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clarivate-my.sharepoint.com/personal/matt_wenzel_clarivate_com/Documents/subject catalogs/"/>
    </mc:Choice>
  </mc:AlternateContent>
  <xr:revisionPtr revIDLastSave="0" documentId="8_{E6745D35-0A6A-4D21-880C-7C5B30D6F365}" xr6:coauthVersionLast="47" xr6:coauthVersionMax="47" xr10:uidLastSave="{00000000-0000-0000-0000-000000000000}"/>
  <bookViews>
    <workbookView xWindow="-110" yWindow="-110" windowWidth="19420" windowHeight="10420" xr2:uid="{00000000-000D-0000-FFFF-FFFF00000000}"/>
  </bookViews>
  <sheets>
    <sheet name="Serials" sheetId="1" r:id="rId1"/>
    <sheet name="Books" sheetId="2" r:id="rId2"/>
    <sheet name="Videos" sheetId="3" r:id="rId3"/>
    <sheet name="Topic Pages" sheetId="4" r:id="rId4"/>
  </sheets>
  <definedNames>
    <definedName name="_xlnm._FilterDatabase" localSheetId="0" hidden="1">Serials!$A$2:$AT$1670</definedName>
    <definedName name="_xlnm.Print_Titles" localSheetId="0">Serials!$2:$2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870" i="2" l="1"/>
  <c r="B12870" i="2"/>
  <c r="C12869" i="2"/>
  <c r="B12869" i="2"/>
  <c r="C12868" i="2"/>
  <c r="B12868" i="2"/>
  <c r="C12867" i="2"/>
  <c r="B12867" i="2"/>
  <c r="C12866" i="2"/>
  <c r="B12866" i="2"/>
  <c r="C12865" i="2"/>
  <c r="B12865" i="2"/>
  <c r="C12864" i="2"/>
  <c r="B12864" i="2"/>
  <c r="C12863" i="2"/>
  <c r="B12863" i="2"/>
  <c r="C12862" i="2"/>
  <c r="B12862" i="2"/>
  <c r="C12861" i="2"/>
  <c r="B12861" i="2"/>
  <c r="C12860" i="2"/>
  <c r="B12860" i="2"/>
  <c r="C12859" i="2"/>
  <c r="B12859" i="2"/>
  <c r="C12858" i="2"/>
  <c r="B12858" i="2"/>
  <c r="C12857" i="2"/>
  <c r="B12857" i="2"/>
  <c r="C12856" i="2"/>
  <c r="B12856" i="2"/>
  <c r="C12855" i="2"/>
  <c r="B12855" i="2"/>
  <c r="C12854" i="2"/>
  <c r="B12854" i="2"/>
  <c r="C12853" i="2"/>
  <c r="B12853" i="2"/>
  <c r="C12852" i="2"/>
  <c r="B12852" i="2"/>
  <c r="C12851" i="2"/>
  <c r="B12851" i="2"/>
  <c r="C12850" i="2"/>
  <c r="B12850" i="2"/>
  <c r="C12849" i="2"/>
  <c r="B12849" i="2"/>
  <c r="C12848" i="2"/>
  <c r="B12848" i="2"/>
  <c r="C12847" i="2"/>
  <c r="B12847" i="2"/>
  <c r="C12846" i="2"/>
  <c r="B12846" i="2"/>
  <c r="C12845" i="2"/>
  <c r="B12845" i="2"/>
  <c r="C12844" i="2"/>
  <c r="B12844" i="2"/>
  <c r="C12843" i="2"/>
  <c r="B12843" i="2"/>
  <c r="C12842" i="2"/>
  <c r="B12842" i="2"/>
  <c r="C12841" i="2"/>
  <c r="B12841" i="2"/>
  <c r="C12840" i="2"/>
  <c r="B12840" i="2"/>
  <c r="C12839" i="2"/>
  <c r="B12839" i="2"/>
  <c r="C12838" i="2"/>
  <c r="B12838" i="2"/>
  <c r="C12837" i="2"/>
  <c r="B12837" i="2"/>
  <c r="C12836" i="2"/>
  <c r="B12836" i="2"/>
  <c r="C12835" i="2"/>
  <c r="B12835" i="2"/>
  <c r="C12834" i="2"/>
  <c r="B12834" i="2"/>
  <c r="C12833" i="2"/>
  <c r="B12833" i="2"/>
  <c r="C12832" i="2"/>
  <c r="B12832" i="2"/>
  <c r="C12831" i="2"/>
  <c r="B12831" i="2"/>
  <c r="C12830" i="2"/>
  <c r="B12830" i="2"/>
  <c r="C12829" i="2"/>
  <c r="B12829" i="2"/>
  <c r="C12828" i="2"/>
  <c r="B12828" i="2"/>
  <c r="C12827" i="2"/>
  <c r="B12827" i="2"/>
  <c r="C12826" i="2"/>
  <c r="B12826" i="2"/>
  <c r="C12825" i="2"/>
  <c r="B12825" i="2"/>
  <c r="C12824" i="2"/>
  <c r="B12824" i="2"/>
  <c r="C12823" i="2"/>
  <c r="B12823" i="2"/>
  <c r="C12822" i="2"/>
  <c r="B12822" i="2"/>
  <c r="C12821" i="2"/>
  <c r="B12821" i="2"/>
  <c r="C12820" i="2"/>
  <c r="B12820" i="2"/>
  <c r="C12819" i="2"/>
  <c r="B12819" i="2"/>
  <c r="C12818" i="2"/>
  <c r="B12818" i="2"/>
  <c r="C12817" i="2"/>
  <c r="B12817" i="2"/>
  <c r="C12816" i="2"/>
  <c r="B12816" i="2"/>
  <c r="C12815" i="2"/>
  <c r="B12815" i="2"/>
  <c r="C12814" i="2"/>
  <c r="B12814" i="2"/>
  <c r="C12813" i="2"/>
  <c r="B12813" i="2"/>
  <c r="C12812" i="2"/>
  <c r="B12812" i="2"/>
  <c r="C12811" i="2"/>
  <c r="B12811" i="2"/>
  <c r="C12810" i="2"/>
  <c r="B12810" i="2"/>
  <c r="C12809" i="2"/>
  <c r="B12809" i="2"/>
  <c r="C12808" i="2"/>
  <c r="B12808" i="2"/>
  <c r="C12807" i="2"/>
  <c r="B12807" i="2"/>
  <c r="C12806" i="2"/>
  <c r="B12806" i="2"/>
  <c r="C12805" i="2"/>
  <c r="B12805" i="2"/>
  <c r="C12804" i="2"/>
  <c r="B12804" i="2"/>
  <c r="C12803" i="2"/>
  <c r="B12803" i="2"/>
  <c r="C12802" i="2"/>
  <c r="B12802" i="2"/>
  <c r="C12801" i="2"/>
  <c r="B12801" i="2"/>
  <c r="C12800" i="2"/>
  <c r="B12800" i="2"/>
  <c r="C12799" i="2"/>
  <c r="B12799" i="2"/>
  <c r="C12798" i="2"/>
  <c r="B12798" i="2"/>
  <c r="C12797" i="2"/>
  <c r="B12797" i="2"/>
  <c r="C12796" i="2"/>
  <c r="B12796" i="2"/>
  <c r="C12795" i="2"/>
  <c r="B12795" i="2"/>
  <c r="C12794" i="2"/>
  <c r="B12794" i="2"/>
  <c r="C12793" i="2"/>
  <c r="B12793" i="2"/>
  <c r="C12792" i="2"/>
  <c r="B12792" i="2"/>
  <c r="C12791" i="2"/>
  <c r="B12791" i="2"/>
  <c r="C12790" i="2"/>
  <c r="B12790" i="2"/>
  <c r="C12789" i="2"/>
  <c r="B12789" i="2"/>
  <c r="C12788" i="2"/>
  <c r="B12788" i="2"/>
  <c r="C12787" i="2"/>
  <c r="B12787" i="2"/>
  <c r="C12786" i="2"/>
  <c r="B12786" i="2"/>
  <c r="C12785" i="2"/>
  <c r="B12785" i="2"/>
  <c r="C12784" i="2"/>
  <c r="B12784" i="2"/>
  <c r="C12783" i="2"/>
  <c r="B12783" i="2"/>
  <c r="C12782" i="2"/>
  <c r="B12782" i="2"/>
  <c r="C12781" i="2"/>
  <c r="B12781" i="2"/>
  <c r="C12780" i="2"/>
  <c r="B12780" i="2"/>
  <c r="C12779" i="2"/>
  <c r="B12779" i="2"/>
  <c r="C12778" i="2"/>
  <c r="B12778" i="2"/>
  <c r="C12777" i="2"/>
  <c r="B12777" i="2"/>
  <c r="C12776" i="2"/>
  <c r="B12776" i="2"/>
  <c r="C12775" i="2"/>
  <c r="B12775" i="2"/>
  <c r="C12774" i="2"/>
  <c r="B12774" i="2"/>
  <c r="C12773" i="2"/>
  <c r="B12773" i="2"/>
  <c r="C12772" i="2"/>
  <c r="B12772" i="2"/>
  <c r="C12771" i="2"/>
  <c r="B12771" i="2"/>
  <c r="C12770" i="2"/>
  <c r="B12770" i="2"/>
  <c r="C12769" i="2"/>
  <c r="B12769" i="2"/>
  <c r="C12768" i="2"/>
  <c r="B12768" i="2"/>
  <c r="C12767" i="2"/>
  <c r="B12767" i="2"/>
  <c r="C12766" i="2"/>
  <c r="B12766" i="2"/>
  <c r="C12765" i="2"/>
  <c r="B12765" i="2"/>
  <c r="C12764" i="2"/>
  <c r="B12764" i="2"/>
  <c r="C12763" i="2"/>
  <c r="B12763" i="2"/>
  <c r="C12762" i="2"/>
  <c r="B12762" i="2"/>
  <c r="C12761" i="2"/>
  <c r="B12761" i="2"/>
  <c r="C12760" i="2"/>
  <c r="B12760" i="2"/>
  <c r="C12759" i="2"/>
  <c r="B12759" i="2"/>
  <c r="C12758" i="2"/>
  <c r="B12758" i="2"/>
  <c r="C12757" i="2"/>
  <c r="B12757" i="2"/>
  <c r="C12756" i="2"/>
  <c r="B12756" i="2"/>
  <c r="C12755" i="2"/>
  <c r="B12755" i="2"/>
  <c r="C12754" i="2"/>
  <c r="B12754" i="2"/>
  <c r="C12753" i="2"/>
  <c r="B12753" i="2"/>
  <c r="C12752" i="2"/>
  <c r="B12752" i="2"/>
  <c r="C12751" i="2"/>
  <c r="B12751" i="2"/>
  <c r="C12750" i="2"/>
  <c r="B12750" i="2"/>
  <c r="C12749" i="2"/>
  <c r="B12749" i="2"/>
  <c r="C12748" i="2"/>
  <c r="B12748" i="2"/>
  <c r="C12747" i="2"/>
  <c r="B12747" i="2"/>
  <c r="C12746" i="2"/>
  <c r="B12746" i="2"/>
  <c r="C12745" i="2"/>
  <c r="B12745" i="2"/>
  <c r="C12744" i="2"/>
  <c r="B12744" i="2"/>
  <c r="C12743" i="2"/>
  <c r="B12743" i="2"/>
  <c r="C12742" i="2"/>
  <c r="B12742" i="2"/>
  <c r="C12741" i="2"/>
  <c r="B12741" i="2"/>
  <c r="C12740" i="2"/>
  <c r="B12740" i="2"/>
  <c r="C12739" i="2"/>
  <c r="B12739" i="2"/>
  <c r="C12738" i="2"/>
  <c r="B12738" i="2"/>
  <c r="C12737" i="2"/>
  <c r="B12737" i="2"/>
  <c r="C12736" i="2"/>
  <c r="B12736" i="2"/>
  <c r="C12735" i="2"/>
  <c r="B12735" i="2"/>
  <c r="C12734" i="2"/>
  <c r="B12734" i="2"/>
  <c r="C12733" i="2"/>
  <c r="B12733" i="2"/>
  <c r="C12732" i="2"/>
  <c r="B12732" i="2"/>
  <c r="C12731" i="2"/>
  <c r="B12731" i="2"/>
  <c r="C12730" i="2"/>
  <c r="B12730" i="2"/>
  <c r="C12729" i="2"/>
  <c r="B12729" i="2"/>
  <c r="C12728" i="2"/>
  <c r="B12728" i="2"/>
  <c r="C12727" i="2"/>
  <c r="B12727" i="2"/>
  <c r="C12726" i="2"/>
  <c r="B12726" i="2"/>
  <c r="C12725" i="2"/>
  <c r="B12725" i="2"/>
  <c r="C12724" i="2"/>
  <c r="B12724" i="2"/>
  <c r="C12723" i="2"/>
  <c r="B12723" i="2"/>
  <c r="C12722" i="2"/>
  <c r="B12722" i="2"/>
  <c r="C12721" i="2"/>
  <c r="B12721" i="2"/>
  <c r="C12720" i="2"/>
  <c r="B12720" i="2"/>
  <c r="C12719" i="2"/>
  <c r="B12719" i="2"/>
  <c r="C12718" i="2"/>
  <c r="B12718" i="2"/>
  <c r="C12717" i="2"/>
  <c r="B12717" i="2"/>
  <c r="C12716" i="2"/>
  <c r="B12716" i="2"/>
  <c r="C12715" i="2"/>
  <c r="B12715" i="2"/>
  <c r="C12714" i="2"/>
  <c r="B12714" i="2"/>
  <c r="C12713" i="2"/>
  <c r="B12713" i="2"/>
  <c r="C12712" i="2"/>
  <c r="B12712" i="2"/>
  <c r="C12711" i="2"/>
  <c r="B12711" i="2"/>
  <c r="C12710" i="2"/>
  <c r="B12710" i="2"/>
  <c r="C12709" i="2"/>
  <c r="B12709" i="2"/>
  <c r="C12708" i="2"/>
  <c r="B12708" i="2"/>
  <c r="C12707" i="2"/>
  <c r="B12707" i="2"/>
  <c r="C12706" i="2"/>
  <c r="B12706" i="2"/>
  <c r="C12705" i="2"/>
  <c r="B12705" i="2"/>
  <c r="C12704" i="2"/>
  <c r="B12704" i="2"/>
  <c r="C12703" i="2"/>
  <c r="B12703" i="2"/>
  <c r="C12702" i="2"/>
  <c r="B12702" i="2"/>
  <c r="C12701" i="2"/>
  <c r="B12701" i="2"/>
  <c r="C12700" i="2"/>
  <c r="B12700" i="2"/>
  <c r="C12699" i="2"/>
  <c r="B12699" i="2"/>
  <c r="C12698" i="2"/>
  <c r="B12698" i="2"/>
  <c r="C12697" i="2"/>
  <c r="B12697" i="2"/>
  <c r="C12696" i="2"/>
  <c r="B12696" i="2"/>
  <c r="C12695" i="2"/>
  <c r="B12695" i="2"/>
  <c r="C12694" i="2"/>
  <c r="B12694" i="2"/>
  <c r="C12693" i="2"/>
  <c r="B12693" i="2"/>
  <c r="C12692" i="2"/>
  <c r="B12692" i="2"/>
  <c r="C12691" i="2"/>
  <c r="B12691" i="2"/>
  <c r="C12690" i="2"/>
  <c r="B12690" i="2"/>
  <c r="C12689" i="2"/>
  <c r="B12689" i="2"/>
  <c r="C12688" i="2"/>
  <c r="B12688" i="2"/>
  <c r="C12687" i="2"/>
  <c r="B12687" i="2"/>
  <c r="C12686" i="2"/>
  <c r="B12686" i="2"/>
  <c r="C12685" i="2"/>
  <c r="B12685" i="2"/>
  <c r="C12684" i="2"/>
  <c r="B12684" i="2"/>
  <c r="C12683" i="2"/>
  <c r="B12683" i="2"/>
  <c r="C12682" i="2"/>
  <c r="B12682" i="2"/>
  <c r="C12681" i="2"/>
  <c r="B12681" i="2"/>
  <c r="C12680" i="2"/>
  <c r="B12680" i="2"/>
  <c r="C12679" i="2"/>
  <c r="B12679" i="2"/>
  <c r="C12678" i="2"/>
  <c r="B12678" i="2"/>
  <c r="C12677" i="2"/>
  <c r="B12677" i="2"/>
  <c r="C12676" i="2"/>
  <c r="B12676" i="2"/>
  <c r="C12675" i="2"/>
  <c r="B12675" i="2"/>
  <c r="C12674" i="2"/>
  <c r="B12674" i="2"/>
  <c r="C12673" i="2"/>
  <c r="B12673" i="2"/>
  <c r="C12672" i="2"/>
  <c r="B12672" i="2"/>
  <c r="C12671" i="2"/>
  <c r="B12671" i="2"/>
  <c r="C12670" i="2"/>
  <c r="B12670" i="2"/>
  <c r="C12669" i="2"/>
  <c r="B12669" i="2"/>
  <c r="C12668" i="2"/>
  <c r="B12668" i="2"/>
  <c r="C12667" i="2"/>
  <c r="B12667" i="2"/>
  <c r="C12666" i="2"/>
  <c r="B12666" i="2"/>
  <c r="C12665" i="2"/>
  <c r="B12665" i="2"/>
  <c r="C12664" i="2"/>
  <c r="B12664" i="2"/>
  <c r="C12663" i="2"/>
  <c r="B12663" i="2"/>
  <c r="C12662" i="2"/>
  <c r="B12662" i="2"/>
  <c r="C12661" i="2"/>
  <c r="B12661" i="2"/>
  <c r="C12660" i="2"/>
  <c r="B12660" i="2"/>
  <c r="C12659" i="2"/>
  <c r="B12659" i="2"/>
  <c r="C12658" i="2"/>
  <c r="B12658" i="2"/>
  <c r="C12657" i="2"/>
  <c r="B12657" i="2"/>
  <c r="C12656" i="2"/>
  <c r="B12656" i="2"/>
  <c r="C12655" i="2"/>
  <c r="B12655" i="2"/>
  <c r="C12654" i="2"/>
  <c r="B12654" i="2"/>
  <c r="C12653" i="2"/>
  <c r="B12653" i="2"/>
  <c r="C12652" i="2"/>
  <c r="B12652" i="2"/>
  <c r="C12651" i="2"/>
  <c r="B12651" i="2"/>
  <c r="C12650" i="2"/>
  <c r="B12650" i="2"/>
  <c r="C12649" i="2"/>
  <c r="B12649" i="2"/>
  <c r="C12648" i="2"/>
  <c r="B12648" i="2"/>
  <c r="C12647" i="2"/>
  <c r="B12647" i="2"/>
  <c r="C12646" i="2"/>
  <c r="B12646" i="2"/>
  <c r="C12645" i="2"/>
  <c r="B12645" i="2"/>
  <c r="C12644" i="2"/>
  <c r="B12644" i="2"/>
  <c r="C12643" i="2"/>
  <c r="B12643" i="2"/>
  <c r="C12642" i="2"/>
  <c r="B12642" i="2"/>
  <c r="C12641" i="2"/>
  <c r="B12641" i="2"/>
  <c r="C12640" i="2"/>
  <c r="B12640" i="2"/>
  <c r="C12639" i="2"/>
  <c r="B12639" i="2"/>
  <c r="C12638" i="2"/>
  <c r="B12638" i="2"/>
  <c r="C12637" i="2"/>
  <c r="B12637" i="2"/>
  <c r="C12636" i="2"/>
  <c r="B12636" i="2"/>
  <c r="C12635" i="2"/>
  <c r="B12635" i="2"/>
  <c r="C12634" i="2"/>
  <c r="B12634" i="2"/>
  <c r="C12633" i="2"/>
  <c r="B12633" i="2"/>
  <c r="C12632" i="2"/>
  <c r="B12632" i="2"/>
  <c r="C12631" i="2"/>
  <c r="B12631" i="2"/>
  <c r="C12630" i="2"/>
  <c r="B12630" i="2"/>
  <c r="C12629" i="2"/>
  <c r="B12629" i="2"/>
  <c r="C12628" i="2"/>
  <c r="B12628" i="2"/>
  <c r="C12627" i="2"/>
  <c r="B12627" i="2"/>
  <c r="C12626" i="2"/>
  <c r="B12626" i="2"/>
  <c r="C12625" i="2"/>
  <c r="B12625" i="2"/>
  <c r="C12624" i="2"/>
  <c r="B12624" i="2"/>
  <c r="C12623" i="2"/>
  <c r="B12623" i="2"/>
  <c r="C12622" i="2"/>
  <c r="B12622" i="2"/>
  <c r="C12621" i="2"/>
  <c r="B12621" i="2"/>
  <c r="C12620" i="2"/>
  <c r="B12620" i="2"/>
  <c r="C12619" i="2"/>
  <c r="B12619" i="2"/>
  <c r="C12618" i="2"/>
  <c r="B12618" i="2"/>
  <c r="C12617" i="2"/>
  <c r="B12617" i="2"/>
  <c r="C12616" i="2"/>
  <c r="B12616" i="2"/>
  <c r="C12615" i="2"/>
  <c r="B12615" i="2"/>
  <c r="C12614" i="2"/>
  <c r="B12614" i="2"/>
  <c r="C12613" i="2"/>
  <c r="B12613" i="2"/>
  <c r="C12612" i="2"/>
  <c r="B12612" i="2"/>
  <c r="C12611" i="2"/>
  <c r="B12611" i="2"/>
  <c r="C12610" i="2"/>
  <c r="B12610" i="2"/>
  <c r="C12609" i="2"/>
  <c r="B12609" i="2"/>
  <c r="C12608" i="2"/>
  <c r="B12608" i="2"/>
  <c r="C12607" i="2"/>
  <c r="B12607" i="2"/>
  <c r="C12606" i="2"/>
  <c r="B12606" i="2"/>
  <c r="C12605" i="2"/>
  <c r="B12605" i="2"/>
  <c r="C12604" i="2"/>
  <c r="B12604" i="2"/>
  <c r="C12603" i="2"/>
  <c r="B12603" i="2"/>
  <c r="C12602" i="2"/>
  <c r="B12602" i="2"/>
  <c r="C12601" i="2"/>
  <c r="B12601" i="2"/>
  <c r="C12600" i="2"/>
  <c r="B12600" i="2"/>
  <c r="C12599" i="2"/>
  <c r="B12599" i="2"/>
  <c r="C12598" i="2"/>
  <c r="B12598" i="2"/>
  <c r="C12597" i="2"/>
  <c r="B12597" i="2"/>
  <c r="C12596" i="2"/>
  <c r="B12596" i="2"/>
  <c r="C12595" i="2"/>
  <c r="B12595" i="2"/>
  <c r="C12594" i="2"/>
  <c r="B12594" i="2"/>
  <c r="C12593" i="2"/>
  <c r="B12593" i="2"/>
  <c r="C12592" i="2"/>
  <c r="B12592" i="2"/>
  <c r="C12591" i="2"/>
  <c r="B12591" i="2"/>
  <c r="C12590" i="2"/>
  <c r="B12590" i="2"/>
  <c r="C12589" i="2"/>
  <c r="B12589" i="2"/>
  <c r="C12588" i="2"/>
  <c r="B12588" i="2"/>
  <c r="C12587" i="2"/>
  <c r="B12587" i="2"/>
  <c r="C12586" i="2"/>
  <c r="B12586" i="2"/>
  <c r="C12585" i="2"/>
  <c r="B12585" i="2"/>
  <c r="C12584" i="2"/>
  <c r="B12584" i="2"/>
  <c r="C12583" i="2"/>
  <c r="B12583" i="2"/>
  <c r="C12582" i="2"/>
  <c r="B12582" i="2"/>
  <c r="C12581" i="2"/>
  <c r="B12581" i="2"/>
  <c r="C12580" i="2"/>
  <c r="B12580" i="2"/>
  <c r="C12579" i="2"/>
  <c r="B12579" i="2"/>
  <c r="C12578" i="2"/>
  <c r="B12578" i="2"/>
  <c r="C12577" i="2"/>
  <c r="B12577" i="2"/>
  <c r="C12576" i="2"/>
  <c r="B12576" i="2"/>
  <c r="C12575" i="2"/>
  <c r="B12575" i="2"/>
  <c r="C12574" i="2"/>
  <c r="B12574" i="2"/>
  <c r="C12573" i="2"/>
  <c r="B12573" i="2"/>
  <c r="C12572" i="2"/>
  <c r="B12572" i="2"/>
  <c r="C12571" i="2"/>
  <c r="B12571" i="2"/>
  <c r="C12570" i="2"/>
  <c r="B12570" i="2"/>
  <c r="C12569" i="2"/>
  <c r="B12569" i="2"/>
  <c r="C12568" i="2"/>
  <c r="B12568" i="2"/>
  <c r="C12567" i="2"/>
  <c r="B12567" i="2"/>
  <c r="C12566" i="2"/>
  <c r="B12566" i="2"/>
  <c r="C12565" i="2"/>
  <c r="B12565" i="2"/>
  <c r="C12564" i="2"/>
  <c r="B12564" i="2"/>
  <c r="C12563" i="2"/>
  <c r="B12563" i="2"/>
  <c r="C12562" i="2"/>
  <c r="B12562" i="2"/>
  <c r="C12561" i="2"/>
  <c r="B12561" i="2"/>
  <c r="C12560" i="2"/>
  <c r="B12560" i="2"/>
  <c r="C12559" i="2"/>
  <c r="B12559" i="2"/>
  <c r="C12558" i="2"/>
  <c r="B12558" i="2"/>
  <c r="C12557" i="2"/>
  <c r="B12557" i="2"/>
  <c r="C12556" i="2"/>
  <c r="B12556" i="2"/>
  <c r="C12555" i="2"/>
  <c r="B12555" i="2"/>
  <c r="C12554" i="2"/>
  <c r="B12554" i="2"/>
  <c r="C12553" i="2"/>
  <c r="B12553" i="2"/>
  <c r="C12552" i="2"/>
  <c r="B12552" i="2"/>
  <c r="C12551" i="2"/>
  <c r="B12551" i="2"/>
  <c r="C12550" i="2"/>
  <c r="B12550" i="2"/>
  <c r="C12549" i="2"/>
  <c r="B12549" i="2"/>
  <c r="C12548" i="2"/>
  <c r="B12548" i="2"/>
  <c r="C12547" i="2"/>
  <c r="B12547" i="2"/>
  <c r="C12546" i="2"/>
  <c r="B12546" i="2"/>
  <c r="C12545" i="2"/>
  <c r="B12545" i="2"/>
  <c r="C12544" i="2"/>
  <c r="B12544" i="2"/>
  <c r="C12543" i="2"/>
  <c r="B12543" i="2"/>
  <c r="C12542" i="2"/>
  <c r="B12542" i="2"/>
  <c r="C12541" i="2"/>
  <c r="B12541" i="2"/>
  <c r="C12540" i="2"/>
  <c r="B12540" i="2"/>
  <c r="C12539" i="2"/>
  <c r="B12539" i="2"/>
  <c r="C12538" i="2"/>
  <c r="B12538" i="2"/>
  <c r="C12537" i="2"/>
  <c r="B12537" i="2"/>
  <c r="C12536" i="2"/>
  <c r="B12536" i="2"/>
  <c r="C12535" i="2"/>
  <c r="B12535" i="2"/>
  <c r="C12534" i="2"/>
  <c r="B12534" i="2"/>
  <c r="C12533" i="2"/>
  <c r="B12533" i="2"/>
  <c r="C12532" i="2"/>
  <c r="B12532" i="2"/>
  <c r="C12531" i="2"/>
  <c r="B12531" i="2"/>
  <c r="C12530" i="2"/>
  <c r="B12530" i="2"/>
  <c r="C12529" i="2"/>
  <c r="B12529" i="2"/>
  <c r="C12528" i="2"/>
  <c r="B12528" i="2"/>
  <c r="C12527" i="2"/>
  <c r="B12527" i="2"/>
  <c r="C12526" i="2"/>
  <c r="B12526" i="2"/>
  <c r="C12525" i="2"/>
  <c r="B12525" i="2"/>
  <c r="C12524" i="2"/>
  <c r="B12524" i="2"/>
  <c r="C12523" i="2"/>
  <c r="B12523" i="2"/>
  <c r="C12522" i="2"/>
  <c r="B12522" i="2"/>
  <c r="C12521" i="2"/>
  <c r="B12521" i="2"/>
  <c r="C12520" i="2"/>
  <c r="B12520" i="2"/>
  <c r="C12519" i="2"/>
  <c r="B12519" i="2"/>
  <c r="C12518" i="2"/>
  <c r="B12518" i="2"/>
  <c r="C12517" i="2"/>
  <c r="B12517" i="2"/>
  <c r="C12516" i="2"/>
  <c r="B12516" i="2"/>
  <c r="C12515" i="2"/>
  <c r="B12515" i="2"/>
  <c r="C12514" i="2"/>
  <c r="B12514" i="2"/>
  <c r="C12513" i="2"/>
  <c r="B12513" i="2"/>
  <c r="C12512" i="2"/>
  <c r="B12512" i="2"/>
  <c r="C12511" i="2"/>
  <c r="B12511" i="2"/>
  <c r="C12510" i="2"/>
  <c r="B12510" i="2"/>
  <c r="C12509" i="2"/>
  <c r="B12509" i="2"/>
  <c r="C12508" i="2"/>
  <c r="B12508" i="2"/>
  <c r="C12507" i="2"/>
  <c r="B12507" i="2"/>
  <c r="C12506" i="2"/>
  <c r="B12506" i="2"/>
  <c r="C12505" i="2"/>
  <c r="B12505" i="2"/>
  <c r="C12504" i="2"/>
  <c r="B12504" i="2"/>
  <c r="C12503" i="2"/>
  <c r="B12503" i="2"/>
  <c r="C12502" i="2"/>
  <c r="B12502" i="2"/>
  <c r="C12501" i="2"/>
  <c r="B12501" i="2"/>
  <c r="C12500" i="2"/>
  <c r="B12500" i="2"/>
  <c r="C12499" i="2"/>
  <c r="B12499" i="2"/>
  <c r="C12498" i="2"/>
  <c r="B12498" i="2"/>
  <c r="C12497" i="2"/>
  <c r="B12497" i="2"/>
  <c r="C12496" i="2"/>
  <c r="B12496" i="2"/>
  <c r="C12495" i="2"/>
  <c r="B12495" i="2"/>
  <c r="C12494" i="2"/>
  <c r="B12494" i="2"/>
  <c r="C12493" i="2"/>
  <c r="B12493" i="2"/>
  <c r="C12492" i="2"/>
  <c r="B12492" i="2"/>
  <c r="C12491" i="2"/>
  <c r="B12491" i="2"/>
  <c r="C12490" i="2"/>
  <c r="B12490" i="2"/>
  <c r="C12489" i="2"/>
  <c r="B12489" i="2"/>
  <c r="C12488" i="2"/>
  <c r="B12488" i="2"/>
  <c r="C12487" i="2"/>
  <c r="B12487" i="2"/>
  <c r="C12486" i="2"/>
  <c r="B12486" i="2"/>
  <c r="C12485" i="2"/>
  <c r="B12485" i="2"/>
  <c r="C12484" i="2"/>
  <c r="B12484" i="2"/>
  <c r="C12483" i="2"/>
  <c r="B12483" i="2"/>
  <c r="C12482" i="2"/>
  <c r="B12482" i="2"/>
  <c r="C12481" i="2"/>
  <c r="B12481" i="2"/>
  <c r="C12480" i="2"/>
  <c r="B12480" i="2"/>
  <c r="C12479" i="2"/>
  <c r="B12479" i="2"/>
  <c r="C12478" i="2"/>
  <c r="B12478" i="2"/>
  <c r="C12477" i="2"/>
  <c r="B12477" i="2"/>
  <c r="C12476" i="2"/>
  <c r="B12476" i="2"/>
  <c r="C12475" i="2"/>
  <c r="B12475" i="2"/>
  <c r="C12474" i="2"/>
  <c r="B12474" i="2"/>
  <c r="C12473" i="2"/>
  <c r="B12473" i="2"/>
  <c r="C12472" i="2"/>
  <c r="B12472" i="2"/>
  <c r="C12471" i="2"/>
  <c r="B12471" i="2"/>
  <c r="C12470" i="2"/>
  <c r="B12470" i="2"/>
  <c r="C12469" i="2"/>
  <c r="B12469" i="2"/>
  <c r="C12468" i="2"/>
  <c r="B12468" i="2"/>
  <c r="C12467" i="2"/>
  <c r="B12467" i="2"/>
  <c r="C12466" i="2"/>
  <c r="B12466" i="2"/>
  <c r="C12465" i="2"/>
  <c r="B12465" i="2"/>
  <c r="C12464" i="2"/>
  <c r="B12464" i="2"/>
  <c r="C12463" i="2"/>
  <c r="B12463" i="2"/>
  <c r="C12462" i="2"/>
  <c r="B12462" i="2"/>
  <c r="C12461" i="2"/>
  <c r="B12461" i="2"/>
  <c r="C12460" i="2"/>
  <c r="B12460" i="2"/>
  <c r="C12459" i="2"/>
  <c r="B12459" i="2"/>
  <c r="C12458" i="2"/>
  <c r="B12458" i="2"/>
  <c r="C12457" i="2"/>
  <c r="B12457" i="2"/>
  <c r="C12456" i="2"/>
  <c r="B12456" i="2"/>
  <c r="C12455" i="2"/>
  <c r="B12455" i="2"/>
  <c r="C12454" i="2"/>
  <c r="B12454" i="2"/>
  <c r="C12453" i="2"/>
  <c r="B12453" i="2"/>
  <c r="C12452" i="2"/>
  <c r="B12452" i="2"/>
  <c r="C12451" i="2"/>
  <c r="B12451" i="2"/>
  <c r="C12450" i="2"/>
  <c r="B12450" i="2"/>
  <c r="C12449" i="2"/>
  <c r="B12449" i="2"/>
  <c r="C12448" i="2"/>
  <c r="B12448" i="2"/>
  <c r="C12447" i="2"/>
  <c r="B12447" i="2"/>
  <c r="C12446" i="2"/>
  <c r="B12446" i="2"/>
  <c r="C12445" i="2"/>
  <c r="B12445" i="2"/>
  <c r="C12444" i="2"/>
  <c r="B12444" i="2"/>
  <c r="C12443" i="2"/>
  <c r="B12443" i="2"/>
  <c r="C12442" i="2"/>
  <c r="B12442" i="2"/>
  <c r="C12441" i="2"/>
  <c r="B12441" i="2"/>
  <c r="C12440" i="2"/>
  <c r="B12440" i="2"/>
  <c r="C12439" i="2"/>
  <c r="B12439" i="2"/>
  <c r="C12438" i="2"/>
  <c r="B12438" i="2"/>
  <c r="C12437" i="2"/>
  <c r="B12437" i="2"/>
  <c r="C12436" i="2"/>
  <c r="B12436" i="2"/>
  <c r="C12435" i="2"/>
  <c r="B12435" i="2"/>
  <c r="C12434" i="2"/>
  <c r="B12434" i="2"/>
  <c r="C12433" i="2"/>
  <c r="B12433" i="2"/>
  <c r="C12432" i="2"/>
  <c r="B12432" i="2"/>
  <c r="C12431" i="2"/>
  <c r="B12431" i="2"/>
  <c r="C12430" i="2"/>
  <c r="B12430" i="2"/>
  <c r="C12429" i="2"/>
  <c r="B12429" i="2"/>
  <c r="C12428" i="2"/>
  <c r="B12428" i="2"/>
  <c r="C12427" i="2"/>
  <c r="B12427" i="2"/>
  <c r="C12426" i="2"/>
  <c r="B12426" i="2"/>
  <c r="C12425" i="2"/>
  <c r="B12425" i="2"/>
  <c r="C12424" i="2"/>
  <c r="B12424" i="2"/>
  <c r="C12423" i="2"/>
  <c r="B12423" i="2"/>
  <c r="C12422" i="2"/>
  <c r="B12422" i="2"/>
  <c r="C12421" i="2"/>
  <c r="B12421" i="2"/>
  <c r="C12420" i="2"/>
  <c r="B12420" i="2"/>
  <c r="C12419" i="2"/>
  <c r="B12419" i="2"/>
  <c r="C12418" i="2"/>
  <c r="B12418" i="2"/>
  <c r="C12417" i="2"/>
  <c r="B12417" i="2"/>
  <c r="C12416" i="2"/>
  <c r="B12416" i="2"/>
  <c r="C12415" i="2"/>
  <c r="B12415" i="2"/>
  <c r="C12414" i="2"/>
  <c r="B12414" i="2"/>
  <c r="C12413" i="2"/>
  <c r="B12413" i="2"/>
  <c r="C12412" i="2"/>
  <c r="B12412" i="2"/>
  <c r="C12411" i="2"/>
  <c r="B12411" i="2"/>
  <c r="C12410" i="2"/>
  <c r="B12410" i="2"/>
  <c r="C12409" i="2"/>
  <c r="B12409" i="2"/>
  <c r="C12408" i="2"/>
  <c r="B12408" i="2"/>
  <c r="C12407" i="2"/>
  <c r="B12407" i="2"/>
  <c r="C12406" i="2"/>
  <c r="B12406" i="2"/>
  <c r="C12405" i="2"/>
  <c r="B12405" i="2"/>
  <c r="C12404" i="2"/>
  <c r="B12404" i="2"/>
  <c r="C12403" i="2"/>
  <c r="B12403" i="2"/>
  <c r="C12402" i="2"/>
  <c r="B12402" i="2"/>
  <c r="C12401" i="2"/>
  <c r="B12401" i="2"/>
  <c r="C12400" i="2"/>
  <c r="B12400" i="2"/>
  <c r="C12399" i="2"/>
  <c r="B12399" i="2"/>
  <c r="C12398" i="2"/>
  <c r="B12398" i="2"/>
  <c r="C12397" i="2"/>
  <c r="B12397" i="2"/>
  <c r="C12396" i="2"/>
  <c r="B12396" i="2"/>
  <c r="C12395" i="2"/>
  <c r="B12395" i="2"/>
  <c r="C12394" i="2"/>
  <c r="B12394" i="2"/>
  <c r="C12393" i="2"/>
  <c r="B12393" i="2"/>
  <c r="C12392" i="2"/>
  <c r="B12392" i="2"/>
  <c r="C12391" i="2"/>
  <c r="B12391" i="2"/>
  <c r="C12390" i="2"/>
  <c r="B12390" i="2"/>
  <c r="C12389" i="2"/>
  <c r="B12389" i="2"/>
  <c r="C12388" i="2"/>
  <c r="B12388" i="2"/>
  <c r="C12387" i="2"/>
  <c r="B12387" i="2"/>
  <c r="C12386" i="2"/>
  <c r="B12386" i="2"/>
  <c r="C12385" i="2"/>
  <c r="B12385" i="2"/>
  <c r="C12384" i="2"/>
  <c r="B12384" i="2"/>
  <c r="C12383" i="2"/>
  <c r="B12383" i="2"/>
  <c r="C12382" i="2"/>
  <c r="B12382" i="2"/>
  <c r="C12381" i="2"/>
  <c r="B12381" i="2"/>
  <c r="C12380" i="2"/>
  <c r="B12380" i="2"/>
  <c r="C12379" i="2"/>
  <c r="B12379" i="2"/>
  <c r="C12378" i="2"/>
  <c r="B12378" i="2"/>
  <c r="C12377" i="2"/>
  <c r="B12377" i="2"/>
  <c r="C12376" i="2"/>
  <c r="B12376" i="2"/>
  <c r="C12375" i="2"/>
  <c r="B12375" i="2"/>
  <c r="C12374" i="2"/>
  <c r="B12374" i="2"/>
  <c r="C12373" i="2"/>
  <c r="B12373" i="2"/>
  <c r="C12372" i="2"/>
  <c r="B12372" i="2"/>
  <c r="C12371" i="2"/>
  <c r="B12371" i="2"/>
  <c r="C12370" i="2"/>
  <c r="B12370" i="2"/>
  <c r="C12369" i="2"/>
  <c r="B12369" i="2"/>
  <c r="C12368" i="2"/>
  <c r="B12368" i="2"/>
  <c r="C12367" i="2"/>
  <c r="B12367" i="2"/>
  <c r="C12366" i="2"/>
  <c r="B12366" i="2"/>
  <c r="C12365" i="2"/>
  <c r="B12365" i="2"/>
  <c r="C12364" i="2"/>
  <c r="B12364" i="2"/>
  <c r="C12363" i="2"/>
  <c r="B12363" i="2"/>
  <c r="C12362" i="2"/>
  <c r="B12362" i="2"/>
  <c r="C12361" i="2"/>
  <c r="B12361" i="2"/>
  <c r="C12360" i="2"/>
  <c r="B12360" i="2"/>
  <c r="C12359" i="2"/>
  <c r="B12359" i="2"/>
  <c r="C12358" i="2"/>
  <c r="B12358" i="2"/>
  <c r="C12357" i="2"/>
  <c r="B12357" i="2"/>
  <c r="C12356" i="2"/>
  <c r="B12356" i="2"/>
  <c r="C12355" i="2"/>
  <c r="B12355" i="2"/>
  <c r="C12354" i="2"/>
  <c r="B12354" i="2"/>
  <c r="C12353" i="2"/>
  <c r="B12353" i="2"/>
  <c r="C12352" i="2"/>
  <c r="B12352" i="2"/>
  <c r="C12351" i="2"/>
  <c r="B12351" i="2"/>
  <c r="C12350" i="2"/>
  <c r="B12350" i="2"/>
  <c r="C12349" i="2"/>
  <c r="B12349" i="2"/>
  <c r="C12348" i="2"/>
  <c r="B12348" i="2"/>
  <c r="C12347" i="2"/>
  <c r="B12347" i="2"/>
  <c r="C12346" i="2"/>
  <c r="B12346" i="2"/>
  <c r="C12345" i="2"/>
  <c r="B12345" i="2"/>
  <c r="C12344" i="2"/>
  <c r="B12344" i="2"/>
  <c r="C12343" i="2"/>
  <c r="B12343" i="2"/>
  <c r="C12342" i="2"/>
  <c r="B12342" i="2"/>
  <c r="C12341" i="2"/>
  <c r="B12341" i="2"/>
  <c r="C12340" i="2"/>
  <c r="B12340" i="2"/>
  <c r="C12339" i="2"/>
  <c r="B12339" i="2"/>
  <c r="C12338" i="2"/>
  <c r="B12338" i="2"/>
  <c r="C12337" i="2"/>
  <c r="B12337" i="2"/>
  <c r="C12336" i="2"/>
  <c r="B12336" i="2"/>
  <c r="C12335" i="2"/>
  <c r="B12335" i="2"/>
  <c r="C12334" i="2"/>
  <c r="B12334" i="2"/>
  <c r="C12333" i="2"/>
  <c r="B12333" i="2"/>
  <c r="C12332" i="2"/>
  <c r="B12332" i="2"/>
  <c r="C12331" i="2"/>
  <c r="B12331" i="2"/>
  <c r="C12330" i="2"/>
  <c r="B12330" i="2"/>
  <c r="C12329" i="2"/>
  <c r="B12329" i="2"/>
  <c r="C12328" i="2"/>
  <c r="B12328" i="2"/>
  <c r="C12327" i="2"/>
  <c r="B12327" i="2"/>
  <c r="C12326" i="2"/>
  <c r="B12326" i="2"/>
  <c r="C12325" i="2"/>
  <c r="B12325" i="2"/>
  <c r="C12324" i="2"/>
  <c r="B12324" i="2"/>
  <c r="C12323" i="2"/>
  <c r="B12323" i="2"/>
  <c r="C12322" i="2"/>
  <c r="B12322" i="2"/>
  <c r="C12321" i="2"/>
  <c r="B12321" i="2"/>
  <c r="C12320" i="2"/>
  <c r="B12320" i="2"/>
  <c r="C12319" i="2"/>
  <c r="B12319" i="2"/>
  <c r="C12318" i="2"/>
  <c r="B12318" i="2"/>
  <c r="C12317" i="2"/>
  <c r="B12317" i="2"/>
  <c r="C12316" i="2"/>
  <c r="B12316" i="2"/>
  <c r="C12315" i="2"/>
  <c r="B12315" i="2"/>
  <c r="C12314" i="2"/>
  <c r="B12314" i="2"/>
  <c r="C12313" i="2"/>
  <c r="B12313" i="2"/>
  <c r="C12312" i="2"/>
  <c r="B12312" i="2"/>
  <c r="C12311" i="2"/>
  <c r="B12311" i="2"/>
  <c r="C12310" i="2"/>
  <c r="B12310" i="2"/>
  <c r="C12309" i="2"/>
  <c r="B12309" i="2"/>
  <c r="C12308" i="2"/>
  <c r="B12308" i="2"/>
  <c r="C12307" i="2"/>
  <c r="B12307" i="2"/>
  <c r="C12306" i="2"/>
  <c r="B12306" i="2"/>
  <c r="C12305" i="2"/>
  <c r="B12305" i="2"/>
  <c r="C12304" i="2"/>
  <c r="B12304" i="2"/>
  <c r="C12303" i="2"/>
  <c r="B12303" i="2"/>
  <c r="C12302" i="2"/>
  <c r="B12302" i="2"/>
  <c r="C12301" i="2"/>
  <c r="B12301" i="2"/>
  <c r="C12300" i="2"/>
  <c r="B12300" i="2"/>
  <c r="C12299" i="2"/>
  <c r="B12299" i="2"/>
  <c r="C12298" i="2"/>
  <c r="B12298" i="2"/>
  <c r="C12297" i="2"/>
  <c r="B12297" i="2"/>
  <c r="C12296" i="2"/>
  <c r="B12296" i="2"/>
  <c r="C12295" i="2"/>
  <c r="B12295" i="2"/>
  <c r="C12294" i="2"/>
  <c r="B12294" i="2"/>
  <c r="C12293" i="2"/>
  <c r="B12293" i="2"/>
  <c r="C12292" i="2"/>
  <c r="B12292" i="2"/>
  <c r="C12291" i="2"/>
  <c r="B12291" i="2"/>
  <c r="C12290" i="2"/>
  <c r="B12290" i="2"/>
  <c r="C12289" i="2"/>
  <c r="B12289" i="2"/>
  <c r="C12288" i="2"/>
  <c r="B12288" i="2"/>
  <c r="C12287" i="2"/>
  <c r="B12287" i="2"/>
  <c r="C12286" i="2"/>
  <c r="B12286" i="2"/>
  <c r="C12285" i="2"/>
  <c r="B12285" i="2"/>
  <c r="C12284" i="2"/>
  <c r="B12284" i="2"/>
  <c r="C12283" i="2"/>
  <c r="B12283" i="2"/>
  <c r="C12282" i="2"/>
  <c r="B12282" i="2"/>
  <c r="C12281" i="2"/>
  <c r="B12281" i="2"/>
  <c r="C12280" i="2"/>
  <c r="B12280" i="2"/>
  <c r="C12279" i="2"/>
  <c r="B12279" i="2"/>
  <c r="C12278" i="2"/>
  <c r="B12278" i="2"/>
  <c r="C12277" i="2"/>
  <c r="B12277" i="2"/>
  <c r="C12276" i="2"/>
  <c r="B12276" i="2"/>
  <c r="C12275" i="2"/>
  <c r="B12275" i="2"/>
  <c r="C12274" i="2"/>
  <c r="B12274" i="2"/>
  <c r="C12273" i="2"/>
  <c r="B12273" i="2"/>
  <c r="C12272" i="2"/>
  <c r="B12272" i="2"/>
  <c r="C12271" i="2"/>
  <c r="B12271" i="2"/>
  <c r="C12270" i="2"/>
  <c r="B12270" i="2"/>
  <c r="C12269" i="2"/>
  <c r="B12269" i="2"/>
  <c r="C12268" i="2"/>
  <c r="B12268" i="2"/>
  <c r="C12267" i="2"/>
  <c r="B12267" i="2"/>
  <c r="C12266" i="2"/>
  <c r="B12266" i="2"/>
  <c r="C12265" i="2"/>
  <c r="B12265" i="2"/>
  <c r="C12264" i="2"/>
  <c r="B12264" i="2"/>
  <c r="C12263" i="2"/>
  <c r="B12263" i="2"/>
  <c r="C12262" i="2"/>
  <c r="B12262" i="2"/>
  <c r="C12261" i="2"/>
  <c r="B12261" i="2"/>
  <c r="C12260" i="2"/>
  <c r="B12260" i="2"/>
  <c r="C12259" i="2"/>
  <c r="B12259" i="2"/>
  <c r="C12258" i="2"/>
  <c r="B12258" i="2"/>
  <c r="C12257" i="2"/>
  <c r="B12257" i="2"/>
  <c r="C12256" i="2"/>
  <c r="B12256" i="2"/>
  <c r="C12255" i="2"/>
  <c r="B12255" i="2"/>
  <c r="C12254" i="2"/>
  <c r="B12254" i="2"/>
  <c r="C12253" i="2"/>
  <c r="B12253" i="2"/>
  <c r="C12252" i="2"/>
  <c r="B12252" i="2"/>
  <c r="C12251" i="2"/>
  <c r="B12251" i="2"/>
  <c r="C12250" i="2"/>
  <c r="B12250" i="2"/>
  <c r="C12249" i="2"/>
  <c r="B12249" i="2"/>
  <c r="C12248" i="2"/>
  <c r="B12248" i="2"/>
  <c r="C12247" i="2"/>
  <c r="B12247" i="2"/>
  <c r="C12246" i="2"/>
  <c r="B12246" i="2"/>
  <c r="C12245" i="2"/>
  <c r="B12245" i="2"/>
  <c r="C12244" i="2"/>
  <c r="B12244" i="2"/>
  <c r="C12243" i="2"/>
  <c r="B12243" i="2"/>
  <c r="C12242" i="2"/>
  <c r="B12242" i="2"/>
  <c r="C12241" i="2"/>
  <c r="B12241" i="2"/>
  <c r="C12240" i="2"/>
  <c r="B12240" i="2"/>
  <c r="C12239" i="2"/>
  <c r="B12239" i="2"/>
  <c r="C12238" i="2"/>
  <c r="B12238" i="2"/>
  <c r="C12237" i="2"/>
  <c r="B12237" i="2"/>
  <c r="C12236" i="2"/>
  <c r="B12236" i="2"/>
  <c r="C12235" i="2"/>
  <c r="B12235" i="2"/>
  <c r="C12234" i="2"/>
  <c r="B12234" i="2"/>
  <c r="C12233" i="2"/>
  <c r="B12233" i="2"/>
  <c r="C12232" i="2"/>
  <c r="B12232" i="2"/>
  <c r="C12231" i="2"/>
  <c r="B12231" i="2"/>
  <c r="C12230" i="2"/>
  <c r="B12230" i="2"/>
  <c r="C12229" i="2"/>
  <c r="B12229" i="2"/>
  <c r="C12228" i="2"/>
  <c r="B12228" i="2"/>
  <c r="C12227" i="2"/>
  <c r="B12227" i="2"/>
  <c r="C12226" i="2"/>
  <c r="B12226" i="2"/>
  <c r="C12225" i="2"/>
  <c r="B12225" i="2"/>
  <c r="C12224" i="2"/>
  <c r="B12224" i="2"/>
  <c r="C12223" i="2"/>
  <c r="B12223" i="2"/>
  <c r="C12222" i="2"/>
  <c r="B12222" i="2"/>
  <c r="C12221" i="2"/>
  <c r="B12221" i="2"/>
  <c r="C12220" i="2"/>
  <c r="B12220" i="2"/>
  <c r="C12219" i="2"/>
  <c r="B12219" i="2"/>
  <c r="C12218" i="2"/>
  <c r="B12218" i="2"/>
  <c r="C12217" i="2"/>
  <c r="B12217" i="2"/>
  <c r="C12216" i="2"/>
  <c r="B12216" i="2"/>
  <c r="C12215" i="2"/>
  <c r="B12215" i="2"/>
  <c r="C12214" i="2"/>
  <c r="B12214" i="2"/>
  <c r="C12213" i="2"/>
  <c r="B12213" i="2"/>
  <c r="C12212" i="2"/>
  <c r="B12212" i="2"/>
  <c r="C12211" i="2"/>
  <c r="B12211" i="2"/>
  <c r="C12210" i="2"/>
  <c r="B12210" i="2"/>
  <c r="C12209" i="2"/>
  <c r="B12209" i="2"/>
  <c r="C12208" i="2"/>
  <c r="B12208" i="2"/>
  <c r="C12207" i="2"/>
  <c r="B12207" i="2"/>
  <c r="C12206" i="2"/>
  <c r="B12206" i="2"/>
  <c r="C12205" i="2"/>
  <c r="B12205" i="2"/>
  <c r="C12204" i="2"/>
  <c r="B12204" i="2"/>
  <c r="C12203" i="2"/>
  <c r="B12203" i="2"/>
  <c r="C12202" i="2"/>
  <c r="B12202" i="2"/>
  <c r="C12201" i="2"/>
  <c r="B12201" i="2"/>
  <c r="C12200" i="2"/>
  <c r="B12200" i="2"/>
  <c r="C12199" i="2"/>
  <c r="B12199" i="2"/>
  <c r="C12198" i="2"/>
  <c r="B12198" i="2"/>
  <c r="C12197" i="2"/>
  <c r="B12197" i="2"/>
  <c r="C12196" i="2"/>
  <c r="B12196" i="2"/>
  <c r="C12195" i="2"/>
  <c r="B12195" i="2"/>
  <c r="C12194" i="2"/>
  <c r="B12194" i="2"/>
  <c r="C12193" i="2"/>
  <c r="B12193" i="2"/>
  <c r="C12192" i="2"/>
  <c r="B12192" i="2"/>
  <c r="C12191" i="2"/>
  <c r="B12191" i="2"/>
  <c r="C12190" i="2"/>
  <c r="B12190" i="2"/>
  <c r="C12189" i="2"/>
  <c r="B12189" i="2"/>
  <c r="C12188" i="2"/>
  <c r="B12188" i="2"/>
  <c r="C12187" i="2"/>
  <c r="B12187" i="2"/>
  <c r="C12186" i="2"/>
  <c r="B12186" i="2"/>
  <c r="C12185" i="2"/>
  <c r="B12185" i="2"/>
  <c r="C12184" i="2"/>
  <c r="B12184" i="2"/>
  <c r="C12183" i="2"/>
  <c r="B12183" i="2"/>
  <c r="C12182" i="2"/>
  <c r="B12182" i="2"/>
  <c r="C12181" i="2"/>
  <c r="B12181" i="2"/>
  <c r="C12180" i="2"/>
  <c r="B12180" i="2"/>
  <c r="C12179" i="2"/>
  <c r="B12179" i="2"/>
  <c r="C12178" i="2"/>
  <c r="B12178" i="2"/>
  <c r="C12177" i="2"/>
  <c r="B12177" i="2"/>
  <c r="C12176" i="2"/>
  <c r="B12176" i="2"/>
  <c r="C12175" i="2"/>
  <c r="B12175" i="2"/>
  <c r="C12174" i="2"/>
  <c r="B12174" i="2"/>
  <c r="C12173" i="2"/>
  <c r="B12173" i="2"/>
  <c r="C12172" i="2"/>
  <c r="B12172" i="2"/>
  <c r="C12171" i="2"/>
  <c r="B12171" i="2"/>
  <c r="C12170" i="2"/>
  <c r="B12170" i="2"/>
  <c r="C12169" i="2"/>
  <c r="B12169" i="2"/>
  <c r="C12168" i="2"/>
  <c r="B12168" i="2"/>
  <c r="C12167" i="2"/>
  <c r="B12167" i="2"/>
  <c r="C12166" i="2"/>
  <c r="B12166" i="2"/>
  <c r="C12165" i="2"/>
  <c r="B12165" i="2"/>
  <c r="C12164" i="2"/>
  <c r="B12164" i="2"/>
  <c r="C12163" i="2"/>
  <c r="B12163" i="2"/>
  <c r="C12162" i="2"/>
  <c r="B12162" i="2"/>
  <c r="C12161" i="2"/>
  <c r="B12161" i="2"/>
  <c r="C12160" i="2"/>
  <c r="B12160" i="2"/>
  <c r="C12159" i="2"/>
  <c r="B12159" i="2"/>
  <c r="C12158" i="2"/>
  <c r="B12158" i="2"/>
  <c r="C12157" i="2"/>
  <c r="B12157" i="2"/>
  <c r="C12156" i="2"/>
  <c r="B12156" i="2"/>
  <c r="C12155" i="2"/>
  <c r="B12155" i="2"/>
  <c r="C12154" i="2"/>
  <c r="B12154" i="2"/>
  <c r="C12153" i="2"/>
  <c r="B12153" i="2"/>
  <c r="C12152" i="2"/>
  <c r="B12152" i="2"/>
  <c r="C12151" i="2"/>
  <c r="B12151" i="2"/>
  <c r="C12150" i="2"/>
  <c r="B12150" i="2"/>
  <c r="C12149" i="2"/>
  <c r="B12149" i="2"/>
  <c r="C12148" i="2"/>
  <c r="B12148" i="2"/>
  <c r="C12147" i="2"/>
  <c r="B12147" i="2"/>
  <c r="C12146" i="2"/>
  <c r="B12146" i="2"/>
  <c r="C12145" i="2"/>
  <c r="B12145" i="2"/>
  <c r="C12144" i="2"/>
  <c r="B12144" i="2"/>
  <c r="C12143" i="2"/>
  <c r="B12143" i="2"/>
  <c r="C12142" i="2"/>
  <c r="B12142" i="2"/>
  <c r="C12141" i="2"/>
  <c r="B12141" i="2"/>
  <c r="C12140" i="2"/>
  <c r="B12140" i="2"/>
  <c r="C12139" i="2"/>
  <c r="B12139" i="2"/>
  <c r="C12138" i="2"/>
  <c r="B12138" i="2"/>
  <c r="C12137" i="2"/>
  <c r="B12137" i="2"/>
  <c r="C12136" i="2"/>
  <c r="B12136" i="2"/>
  <c r="C12135" i="2"/>
  <c r="B12135" i="2"/>
  <c r="C12134" i="2"/>
  <c r="B12134" i="2"/>
  <c r="C12133" i="2"/>
  <c r="B12133" i="2"/>
  <c r="C12132" i="2"/>
  <c r="B12132" i="2"/>
  <c r="C12131" i="2"/>
  <c r="B12131" i="2"/>
  <c r="C12130" i="2"/>
  <c r="B12130" i="2"/>
  <c r="C12129" i="2"/>
  <c r="B12129" i="2"/>
  <c r="C12128" i="2"/>
  <c r="B12128" i="2"/>
  <c r="C12127" i="2"/>
  <c r="B12127" i="2"/>
  <c r="C12126" i="2"/>
  <c r="B12126" i="2"/>
  <c r="C12125" i="2"/>
  <c r="B12125" i="2"/>
  <c r="C12124" i="2"/>
  <c r="B12124" i="2"/>
  <c r="C12123" i="2"/>
  <c r="B12123" i="2"/>
  <c r="C12122" i="2"/>
  <c r="B12122" i="2"/>
  <c r="C12121" i="2"/>
  <c r="B12121" i="2"/>
  <c r="C12120" i="2"/>
  <c r="B12120" i="2"/>
  <c r="C12119" i="2"/>
  <c r="B12119" i="2"/>
  <c r="C12118" i="2"/>
  <c r="B12118" i="2"/>
  <c r="C12117" i="2"/>
  <c r="B12117" i="2"/>
  <c r="C12116" i="2"/>
  <c r="B12116" i="2"/>
  <c r="C12115" i="2"/>
  <c r="B12115" i="2"/>
  <c r="C12114" i="2"/>
  <c r="B12114" i="2"/>
  <c r="C12113" i="2"/>
  <c r="B12113" i="2"/>
  <c r="C12112" i="2"/>
  <c r="B12112" i="2"/>
  <c r="C12111" i="2"/>
  <c r="B12111" i="2"/>
  <c r="C12110" i="2"/>
  <c r="B12110" i="2"/>
  <c r="C12109" i="2"/>
  <c r="B12109" i="2"/>
  <c r="C12108" i="2"/>
  <c r="B12108" i="2"/>
  <c r="C12107" i="2"/>
  <c r="B12107" i="2"/>
  <c r="C12106" i="2"/>
  <c r="B12106" i="2"/>
  <c r="C12105" i="2"/>
  <c r="B12105" i="2"/>
  <c r="C12104" i="2"/>
  <c r="B12104" i="2"/>
  <c r="C12103" i="2"/>
  <c r="B12103" i="2"/>
  <c r="C12102" i="2"/>
  <c r="B12102" i="2"/>
  <c r="C12101" i="2"/>
  <c r="B12101" i="2"/>
  <c r="C12100" i="2"/>
  <c r="B12100" i="2"/>
  <c r="C12099" i="2"/>
  <c r="B12099" i="2"/>
  <c r="C12098" i="2"/>
  <c r="B12098" i="2"/>
  <c r="C12097" i="2"/>
  <c r="B12097" i="2"/>
  <c r="C12096" i="2"/>
  <c r="B12096" i="2"/>
  <c r="C12095" i="2"/>
  <c r="B12095" i="2"/>
  <c r="C12094" i="2"/>
  <c r="B12094" i="2"/>
  <c r="C12093" i="2"/>
  <c r="B12093" i="2"/>
  <c r="C12092" i="2"/>
  <c r="B12092" i="2"/>
  <c r="C12091" i="2"/>
  <c r="B12091" i="2"/>
  <c r="C12090" i="2"/>
  <c r="B12090" i="2"/>
  <c r="C12089" i="2"/>
  <c r="B12089" i="2"/>
  <c r="C12088" i="2"/>
  <c r="B12088" i="2"/>
  <c r="C12087" i="2"/>
  <c r="B12087" i="2"/>
  <c r="C12086" i="2"/>
  <c r="B12086" i="2"/>
  <c r="C12085" i="2"/>
  <c r="B12085" i="2"/>
  <c r="C12084" i="2"/>
  <c r="B12084" i="2"/>
  <c r="C12083" i="2"/>
  <c r="B12083" i="2"/>
  <c r="C12082" i="2"/>
  <c r="B12082" i="2"/>
  <c r="C12081" i="2"/>
  <c r="B12081" i="2"/>
  <c r="C12080" i="2"/>
  <c r="B12080" i="2"/>
  <c r="C12079" i="2"/>
  <c r="B12079" i="2"/>
  <c r="C12078" i="2"/>
  <c r="B12078" i="2"/>
  <c r="C12077" i="2"/>
  <c r="B12077" i="2"/>
  <c r="C12076" i="2"/>
  <c r="B12076" i="2"/>
  <c r="C12075" i="2"/>
  <c r="B12075" i="2"/>
  <c r="C12074" i="2"/>
  <c r="B12074" i="2"/>
  <c r="C12073" i="2"/>
  <c r="B12073" i="2"/>
  <c r="C12072" i="2"/>
  <c r="B12072" i="2"/>
  <c r="C12071" i="2"/>
  <c r="B12071" i="2"/>
  <c r="C12070" i="2"/>
  <c r="B12070" i="2"/>
  <c r="C12069" i="2"/>
  <c r="B12069" i="2"/>
  <c r="C12068" i="2"/>
  <c r="B12068" i="2"/>
  <c r="C12067" i="2"/>
  <c r="B12067" i="2"/>
  <c r="C12066" i="2"/>
  <c r="B12066" i="2"/>
  <c r="C12065" i="2"/>
  <c r="B12065" i="2"/>
  <c r="C12064" i="2"/>
  <c r="B12064" i="2"/>
  <c r="C12063" i="2"/>
  <c r="B12063" i="2"/>
  <c r="C12062" i="2"/>
  <c r="B12062" i="2"/>
  <c r="C12061" i="2"/>
  <c r="B12061" i="2"/>
  <c r="C12060" i="2"/>
  <c r="B12060" i="2"/>
  <c r="C12059" i="2"/>
  <c r="B12059" i="2"/>
  <c r="C12058" i="2"/>
  <c r="B12058" i="2"/>
  <c r="C12057" i="2"/>
  <c r="B12057" i="2"/>
  <c r="C12056" i="2"/>
  <c r="B12056" i="2"/>
  <c r="C12055" i="2"/>
  <c r="B12055" i="2"/>
  <c r="C12054" i="2"/>
  <c r="B12054" i="2"/>
  <c r="C12053" i="2"/>
  <c r="B12053" i="2"/>
  <c r="C12052" i="2"/>
  <c r="B12052" i="2"/>
  <c r="C12051" i="2"/>
  <c r="B12051" i="2"/>
  <c r="C12050" i="2"/>
  <c r="B12050" i="2"/>
  <c r="C12049" i="2"/>
  <c r="B12049" i="2"/>
  <c r="C12048" i="2"/>
  <c r="B12048" i="2"/>
  <c r="C12047" i="2"/>
  <c r="B12047" i="2"/>
  <c r="C12046" i="2"/>
  <c r="B12046" i="2"/>
  <c r="C12045" i="2"/>
  <c r="B12045" i="2"/>
  <c r="C12044" i="2"/>
  <c r="B12044" i="2"/>
  <c r="C12043" i="2"/>
  <c r="B12043" i="2"/>
  <c r="C12042" i="2"/>
  <c r="B12042" i="2"/>
  <c r="C12041" i="2"/>
  <c r="B12041" i="2"/>
  <c r="C12040" i="2"/>
  <c r="B12040" i="2"/>
  <c r="C12039" i="2"/>
  <c r="B12039" i="2"/>
  <c r="C12038" i="2"/>
  <c r="B12038" i="2"/>
  <c r="C12037" i="2"/>
  <c r="B12037" i="2"/>
  <c r="C12036" i="2"/>
  <c r="B12036" i="2"/>
  <c r="C12035" i="2"/>
  <c r="B12035" i="2"/>
  <c r="C12034" i="2"/>
  <c r="B12034" i="2"/>
  <c r="C12033" i="2"/>
  <c r="B12033" i="2"/>
  <c r="C12032" i="2"/>
  <c r="B12032" i="2"/>
  <c r="C12031" i="2"/>
  <c r="B12031" i="2"/>
  <c r="C12030" i="2"/>
  <c r="B12030" i="2"/>
  <c r="C12029" i="2"/>
  <c r="B12029" i="2"/>
  <c r="C12028" i="2"/>
  <c r="B12028" i="2"/>
  <c r="C12027" i="2"/>
  <c r="B12027" i="2"/>
  <c r="C12026" i="2"/>
  <c r="B12026" i="2"/>
  <c r="C12025" i="2"/>
  <c r="B12025" i="2"/>
  <c r="C12024" i="2"/>
  <c r="B12024" i="2"/>
  <c r="C12023" i="2"/>
  <c r="B12023" i="2"/>
  <c r="C12022" i="2"/>
  <c r="B12022" i="2"/>
  <c r="C12021" i="2"/>
  <c r="B12021" i="2"/>
  <c r="C12020" i="2"/>
  <c r="B12020" i="2"/>
  <c r="C12019" i="2"/>
  <c r="B12019" i="2"/>
  <c r="C12018" i="2"/>
  <c r="B12018" i="2"/>
  <c r="C12017" i="2"/>
  <c r="B12017" i="2"/>
  <c r="C12016" i="2"/>
  <c r="B12016" i="2"/>
  <c r="C12015" i="2"/>
  <c r="B12015" i="2"/>
  <c r="C12014" i="2"/>
  <c r="B12014" i="2"/>
  <c r="C12013" i="2"/>
  <c r="B12013" i="2"/>
  <c r="C12012" i="2"/>
  <c r="B12012" i="2"/>
  <c r="C12011" i="2"/>
  <c r="B12011" i="2"/>
  <c r="C12010" i="2"/>
  <c r="B12010" i="2"/>
  <c r="C12009" i="2"/>
  <c r="B12009" i="2"/>
  <c r="C12008" i="2"/>
  <c r="B12008" i="2"/>
  <c r="C12007" i="2"/>
  <c r="B12007" i="2"/>
  <c r="C12006" i="2"/>
  <c r="B12006" i="2"/>
  <c r="C12005" i="2"/>
  <c r="B12005" i="2"/>
  <c r="C12004" i="2"/>
  <c r="B12004" i="2"/>
  <c r="C12003" i="2"/>
  <c r="B12003" i="2"/>
  <c r="C12002" i="2"/>
  <c r="B12002" i="2"/>
  <c r="C12001" i="2"/>
  <c r="B12001" i="2"/>
  <c r="C12000" i="2"/>
  <c r="B12000" i="2"/>
  <c r="C11999" i="2"/>
  <c r="B11999" i="2"/>
  <c r="C11998" i="2"/>
  <c r="B11998" i="2"/>
  <c r="C11997" i="2"/>
  <c r="B11997" i="2"/>
  <c r="C11996" i="2"/>
  <c r="B11996" i="2"/>
  <c r="C11995" i="2"/>
  <c r="B11995" i="2"/>
  <c r="C11994" i="2"/>
  <c r="B11994" i="2"/>
  <c r="C11993" i="2"/>
  <c r="B11993" i="2"/>
  <c r="C11992" i="2"/>
  <c r="B11992" i="2"/>
  <c r="C11991" i="2"/>
  <c r="B11991" i="2"/>
  <c r="C11990" i="2"/>
  <c r="B11990" i="2"/>
  <c r="C11989" i="2"/>
  <c r="B11989" i="2"/>
  <c r="C11988" i="2"/>
  <c r="B11988" i="2"/>
  <c r="C11987" i="2"/>
  <c r="B11987" i="2"/>
  <c r="C11986" i="2"/>
  <c r="B11986" i="2"/>
  <c r="C11985" i="2"/>
  <c r="B11985" i="2"/>
  <c r="C11984" i="2"/>
  <c r="B11984" i="2"/>
  <c r="C11983" i="2"/>
  <c r="B11983" i="2"/>
  <c r="C11982" i="2"/>
  <c r="B11982" i="2"/>
  <c r="C11981" i="2"/>
  <c r="B11981" i="2"/>
  <c r="C11980" i="2"/>
  <c r="B11980" i="2"/>
  <c r="C11979" i="2"/>
  <c r="B11979" i="2"/>
  <c r="C11978" i="2"/>
  <c r="B11978" i="2"/>
  <c r="C11977" i="2"/>
  <c r="B11977" i="2"/>
  <c r="C11976" i="2"/>
  <c r="B11976" i="2"/>
  <c r="C11975" i="2"/>
  <c r="B11975" i="2"/>
  <c r="C11974" i="2"/>
  <c r="B11974" i="2"/>
  <c r="C11973" i="2"/>
  <c r="B11973" i="2"/>
  <c r="C11972" i="2"/>
  <c r="B11972" i="2"/>
  <c r="C11971" i="2"/>
  <c r="B11971" i="2"/>
  <c r="C11970" i="2"/>
  <c r="B11970" i="2"/>
  <c r="C11969" i="2"/>
  <c r="B11969" i="2"/>
  <c r="C11968" i="2"/>
  <c r="B11968" i="2"/>
  <c r="C11967" i="2"/>
  <c r="B11967" i="2"/>
  <c r="C11966" i="2"/>
  <c r="B11966" i="2"/>
  <c r="C11965" i="2"/>
  <c r="B11965" i="2"/>
  <c r="C11964" i="2"/>
  <c r="B11964" i="2"/>
  <c r="C11963" i="2"/>
  <c r="B11963" i="2"/>
  <c r="C11962" i="2"/>
  <c r="B11962" i="2"/>
  <c r="C11961" i="2"/>
  <c r="B11961" i="2"/>
  <c r="C11960" i="2"/>
  <c r="B11960" i="2"/>
  <c r="C11959" i="2"/>
  <c r="B11959" i="2"/>
  <c r="C11958" i="2"/>
  <c r="B11958" i="2"/>
  <c r="C11957" i="2"/>
  <c r="B11957" i="2"/>
  <c r="C11956" i="2"/>
  <c r="B11956" i="2"/>
  <c r="C11955" i="2"/>
  <c r="B11955" i="2"/>
  <c r="C11954" i="2"/>
  <c r="B11954" i="2"/>
  <c r="C11953" i="2"/>
  <c r="B11953" i="2"/>
  <c r="C11952" i="2"/>
  <c r="B11952" i="2"/>
  <c r="C11951" i="2"/>
  <c r="B11951" i="2"/>
  <c r="C11950" i="2"/>
  <c r="B11950" i="2"/>
  <c r="C11949" i="2"/>
  <c r="B11949" i="2"/>
  <c r="C11948" i="2"/>
  <c r="B11948" i="2"/>
  <c r="C11947" i="2"/>
  <c r="B11947" i="2"/>
  <c r="C11946" i="2"/>
  <c r="B11946" i="2"/>
  <c r="C11945" i="2"/>
  <c r="B11945" i="2"/>
  <c r="C11944" i="2"/>
  <c r="B11944" i="2"/>
  <c r="C11943" i="2"/>
  <c r="B11943" i="2"/>
  <c r="C11942" i="2"/>
  <c r="B11942" i="2"/>
  <c r="C11941" i="2"/>
  <c r="B11941" i="2"/>
  <c r="C11940" i="2"/>
  <c r="B11940" i="2"/>
  <c r="C11939" i="2"/>
  <c r="B11939" i="2"/>
  <c r="C11938" i="2"/>
  <c r="B11938" i="2"/>
  <c r="C11937" i="2"/>
  <c r="B11937" i="2"/>
  <c r="C11936" i="2"/>
  <c r="B11936" i="2"/>
  <c r="C11935" i="2"/>
  <c r="B11935" i="2"/>
  <c r="C11934" i="2"/>
  <c r="B11934" i="2"/>
  <c r="C11933" i="2"/>
  <c r="B11933" i="2"/>
  <c r="C11932" i="2"/>
  <c r="B11932" i="2"/>
  <c r="C11931" i="2"/>
  <c r="B11931" i="2"/>
  <c r="C11930" i="2"/>
  <c r="B11930" i="2"/>
  <c r="C11929" i="2"/>
  <c r="B11929" i="2"/>
  <c r="C11928" i="2"/>
  <c r="B11928" i="2"/>
  <c r="C11927" i="2"/>
  <c r="B11927" i="2"/>
  <c r="C11926" i="2"/>
  <c r="B11926" i="2"/>
  <c r="C11925" i="2"/>
  <c r="B11925" i="2"/>
  <c r="C11924" i="2"/>
  <c r="B11924" i="2"/>
  <c r="C11923" i="2"/>
  <c r="B11923" i="2"/>
  <c r="C11922" i="2"/>
  <c r="B11922" i="2"/>
  <c r="C11921" i="2"/>
  <c r="B11921" i="2"/>
  <c r="C11920" i="2"/>
  <c r="B11920" i="2"/>
  <c r="C11919" i="2"/>
  <c r="B11919" i="2"/>
  <c r="C11918" i="2"/>
  <c r="B11918" i="2"/>
  <c r="C11917" i="2"/>
  <c r="B11917" i="2"/>
  <c r="C11916" i="2"/>
  <c r="B11916" i="2"/>
  <c r="C11915" i="2"/>
  <c r="B11915" i="2"/>
  <c r="C11914" i="2"/>
  <c r="B11914" i="2"/>
  <c r="C11913" i="2"/>
  <c r="B11913" i="2"/>
  <c r="C11912" i="2"/>
  <c r="B11912" i="2"/>
  <c r="C11911" i="2"/>
  <c r="B11911" i="2"/>
  <c r="C11910" i="2"/>
  <c r="B11910" i="2"/>
  <c r="C11909" i="2"/>
  <c r="B11909" i="2"/>
  <c r="C11908" i="2"/>
  <c r="B11908" i="2"/>
  <c r="C11907" i="2"/>
  <c r="B11907" i="2"/>
  <c r="C11906" i="2"/>
  <c r="B11906" i="2"/>
  <c r="C11905" i="2"/>
  <c r="B11905" i="2"/>
  <c r="C11904" i="2"/>
  <c r="B11904" i="2"/>
  <c r="C11903" i="2"/>
  <c r="B11903" i="2"/>
  <c r="C11902" i="2"/>
  <c r="B11902" i="2"/>
  <c r="C11901" i="2"/>
  <c r="B11901" i="2"/>
  <c r="C11900" i="2"/>
  <c r="B11900" i="2"/>
  <c r="C11899" i="2"/>
  <c r="B11899" i="2"/>
  <c r="C11898" i="2"/>
  <c r="B11898" i="2"/>
  <c r="C11897" i="2"/>
  <c r="B11897" i="2"/>
  <c r="C11896" i="2"/>
  <c r="B11896" i="2"/>
  <c r="C11895" i="2"/>
  <c r="B11895" i="2"/>
  <c r="C11894" i="2"/>
  <c r="B11894" i="2"/>
  <c r="C11893" i="2"/>
  <c r="B11893" i="2"/>
  <c r="C11892" i="2"/>
  <c r="B11892" i="2"/>
  <c r="C11891" i="2"/>
  <c r="B11891" i="2"/>
  <c r="C11890" i="2"/>
  <c r="B11890" i="2"/>
  <c r="C11889" i="2"/>
  <c r="B11889" i="2"/>
  <c r="C11888" i="2"/>
  <c r="B11888" i="2"/>
  <c r="C11887" i="2"/>
  <c r="B11887" i="2"/>
  <c r="C11886" i="2"/>
  <c r="B11886" i="2"/>
  <c r="C11885" i="2"/>
  <c r="B11885" i="2"/>
  <c r="C11884" i="2"/>
  <c r="B11884" i="2"/>
  <c r="C11883" i="2"/>
  <c r="B11883" i="2"/>
  <c r="C11882" i="2"/>
  <c r="B11882" i="2"/>
  <c r="C11881" i="2"/>
  <c r="B11881" i="2"/>
  <c r="C11880" i="2"/>
  <c r="B11880" i="2"/>
  <c r="C11879" i="2"/>
  <c r="B11879" i="2"/>
  <c r="C11878" i="2"/>
  <c r="B11878" i="2"/>
  <c r="C11877" i="2"/>
  <c r="B11877" i="2"/>
  <c r="C11876" i="2"/>
  <c r="B11876" i="2"/>
  <c r="C11875" i="2"/>
  <c r="B11875" i="2"/>
  <c r="C11874" i="2"/>
  <c r="B11874" i="2"/>
  <c r="C11873" i="2"/>
  <c r="B11873" i="2"/>
  <c r="C11872" i="2"/>
  <c r="B11872" i="2"/>
  <c r="C11871" i="2"/>
  <c r="B11871" i="2"/>
  <c r="C11870" i="2"/>
  <c r="B11870" i="2"/>
  <c r="C11869" i="2"/>
  <c r="B11869" i="2"/>
  <c r="C11868" i="2"/>
  <c r="B11868" i="2"/>
  <c r="C11867" i="2"/>
  <c r="B11867" i="2"/>
  <c r="C11866" i="2"/>
  <c r="B11866" i="2"/>
  <c r="C11865" i="2"/>
  <c r="B11865" i="2"/>
  <c r="C11864" i="2"/>
  <c r="B11864" i="2"/>
  <c r="C11863" i="2"/>
  <c r="B11863" i="2"/>
  <c r="C11862" i="2"/>
  <c r="B11862" i="2"/>
  <c r="C11861" i="2"/>
  <c r="B11861" i="2"/>
  <c r="C11860" i="2"/>
  <c r="B11860" i="2"/>
  <c r="C11859" i="2"/>
  <c r="B11859" i="2"/>
  <c r="C11858" i="2"/>
  <c r="B11858" i="2"/>
  <c r="C11857" i="2"/>
  <c r="B11857" i="2"/>
  <c r="C11856" i="2"/>
  <c r="B11856" i="2"/>
  <c r="C11855" i="2"/>
  <c r="B11855" i="2"/>
  <c r="C11854" i="2"/>
  <c r="B11854" i="2"/>
  <c r="C11853" i="2"/>
  <c r="B11853" i="2"/>
  <c r="C11852" i="2"/>
  <c r="B11852" i="2"/>
  <c r="C11851" i="2"/>
  <c r="B11851" i="2"/>
  <c r="C11850" i="2"/>
  <c r="B11850" i="2"/>
  <c r="C11849" i="2"/>
  <c r="B11849" i="2"/>
  <c r="C11848" i="2"/>
  <c r="B11848" i="2"/>
  <c r="C11847" i="2"/>
  <c r="B11847" i="2"/>
  <c r="C11846" i="2"/>
  <c r="B11846" i="2"/>
  <c r="C11845" i="2"/>
  <c r="B11845" i="2"/>
  <c r="C11844" i="2"/>
  <c r="B11844" i="2"/>
  <c r="C11843" i="2"/>
  <c r="B11843" i="2"/>
  <c r="C11842" i="2"/>
  <c r="B11842" i="2"/>
  <c r="C11841" i="2"/>
  <c r="B11841" i="2"/>
  <c r="C11840" i="2"/>
  <c r="B11840" i="2"/>
  <c r="C11839" i="2"/>
  <c r="B11839" i="2"/>
  <c r="C11838" i="2"/>
  <c r="B11838" i="2"/>
  <c r="C11837" i="2"/>
  <c r="B11837" i="2"/>
  <c r="C11836" i="2"/>
  <c r="B11836" i="2"/>
  <c r="C11835" i="2"/>
  <c r="B11835" i="2"/>
  <c r="C11834" i="2"/>
  <c r="B11834" i="2"/>
  <c r="C11833" i="2"/>
  <c r="B11833" i="2"/>
  <c r="C11832" i="2"/>
  <c r="B11832" i="2"/>
  <c r="C11831" i="2"/>
  <c r="B11831" i="2"/>
  <c r="C11830" i="2"/>
  <c r="B11830" i="2"/>
  <c r="C11829" i="2"/>
  <c r="B11829" i="2"/>
  <c r="C11828" i="2"/>
  <c r="B11828" i="2"/>
  <c r="C11827" i="2"/>
  <c r="B11827" i="2"/>
  <c r="C11826" i="2"/>
  <c r="B11826" i="2"/>
  <c r="C11825" i="2"/>
  <c r="B11825" i="2"/>
  <c r="C11824" i="2"/>
  <c r="B11824" i="2"/>
  <c r="C11823" i="2"/>
  <c r="B11823" i="2"/>
  <c r="C11822" i="2"/>
  <c r="B11822" i="2"/>
  <c r="C11821" i="2"/>
  <c r="B11821" i="2"/>
  <c r="C11820" i="2"/>
  <c r="B11820" i="2"/>
  <c r="C11819" i="2"/>
  <c r="B11819" i="2"/>
  <c r="C11818" i="2"/>
  <c r="B11818" i="2"/>
  <c r="C11817" i="2"/>
  <c r="B11817" i="2"/>
  <c r="C11816" i="2"/>
  <c r="B11816" i="2"/>
  <c r="C11815" i="2"/>
  <c r="B11815" i="2"/>
  <c r="C11814" i="2"/>
  <c r="B11814" i="2"/>
  <c r="C11813" i="2"/>
  <c r="B11813" i="2"/>
  <c r="C11812" i="2"/>
  <c r="B11812" i="2"/>
  <c r="C11811" i="2"/>
  <c r="B11811" i="2"/>
  <c r="C11810" i="2"/>
  <c r="B11810" i="2"/>
  <c r="C11809" i="2"/>
  <c r="B11809" i="2"/>
  <c r="C11808" i="2"/>
  <c r="B11808" i="2"/>
  <c r="C11807" i="2"/>
  <c r="B11807" i="2"/>
  <c r="C11806" i="2"/>
  <c r="B11806" i="2"/>
  <c r="C11805" i="2"/>
  <c r="B11805" i="2"/>
  <c r="C11804" i="2"/>
  <c r="B11804" i="2"/>
  <c r="C11803" i="2"/>
  <c r="B11803" i="2"/>
  <c r="C11802" i="2"/>
  <c r="B11802" i="2"/>
  <c r="C11801" i="2"/>
  <c r="B11801" i="2"/>
  <c r="C11800" i="2"/>
  <c r="B11800" i="2"/>
  <c r="C11799" i="2"/>
  <c r="B11799" i="2"/>
  <c r="C11798" i="2"/>
  <c r="B11798" i="2"/>
  <c r="C11797" i="2"/>
  <c r="B11797" i="2"/>
  <c r="C11796" i="2"/>
  <c r="B11796" i="2"/>
  <c r="C11795" i="2"/>
  <c r="B11795" i="2"/>
  <c r="C11794" i="2"/>
  <c r="B11794" i="2"/>
  <c r="C11793" i="2"/>
  <c r="B11793" i="2"/>
  <c r="C11792" i="2"/>
  <c r="B11792" i="2"/>
  <c r="C11791" i="2"/>
  <c r="B11791" i="2"/>
  <c r="C11790" i="2"/>
  <c r="B11790" i="2"/>
  <c r="C11789" i="2"/>
  <c r="B11789" i="2"/>
  <c r="C11788" i="2"/>
  <c r="B11788" i="2"/>
  <c r="C11787" i="2"/>
  <c r="B11787" i="2"/>
  <c r="C11786" i="2"/>
  <c r="B11786" i="2"/>
  <c r="C11785" i="2"/>
  <c r="B11785" i="2"/>
  <c r="C11784" i="2"/>
  <c r="B11784" i="2"/>
  <c r="C11783" i="2"/>
  <c r="B11783" i="2"/>
  <c r="C11782" i="2"/>
  <c r="B11782" i="2"/>
  <c r="C11781" i="2"/>
  <c r="B11781" i="2"/>
  <c r="C11780" i="2"/>
  <c r="B11780" i="2"/>
  <c r="C11779" i="2"/>
  <c r="B11779" i="2"/>
  <c r="C11778" i="2"/>
  <c r="B11778" i="2"/>
  <c r="C11777" i="2"/>
  <c r="B11777" i="2"/>
  <c r="C11776" i="2"/>
  <c r="B11776" i="2"/>
  <c r="C11775" i="2"/>
  <c r="B11775" i="2"/>
  <c r="C11774" i="2"/>
  <c r="B11774" i="2"/>
  <c r="C11773" i="2"/>
  <c r="B11773" i="2"/>
  <c r="C11772" i="2"/>
  <c r="B11772" i="2"/>
  <c r="C11771" i="2"/>
  <c r="B11771" i="2"/>
  <c r="C11770" i="2"/>
  <c r="B11770" i="2"/>
  <c r="C11769" i="2"/>
  <c r="B11769" i="2"/>
  <c r="C11768" i="2"/>
  <c r="B11768" i="2"/>
  <c r="C11767" i="2"/>
  <c r="B11767" i="2"/>
  <c r="C11766" i="2"/>
  <c r="B11766" i="2"/>
  <c r="C11765" i="2"/>
  <c r="B11765" i="2"/>
  <c r="C11764" i="2"/>
  <c r="B11764" i="2"/>
  <c r="C11763" i="2"/>
  <c r="B11763" i="2"/>
  <c r="C11762" i="2"/>
  <c r="B11762" i="2"/>
  <c r="C11761" i="2"/>
  <c r="B11761" i="2"/>
  <c r="C11760" i="2"/>
  <c r="B11760" i="2"/>
  <c r="C11759" i="2"/>
  <c r="B11759" i="2"/>
  <c r="C11758" i="2"/>
  <c r="B11758" i="2"/>
  <c r="C11757" i="2"/>
  <c r="B11757" i="2"/>
  <c r="C11756" i="2"/>
  <c r="B11756" i="2"/>
  <c r="C11755" i="2"/>
  <c r="B11755" i="2"/>
  <c r="C11754" i="2"/>
  <c r="B11754" i="2"/>
  <c r="C11753" i="2"/>
  <c r="B11753" i="2"/>
  <c r="C11752" i="2"/>
  <c r="B11752" i="2"/>
  <c r="C11751" i="2"/>
  <c r="B11751" i="2"/>
  <c r="C11750" i="2"/>
  <c r="B11750" i="2"/>
  <c r="C11749" i="2"/>
  <c r="B11749" i="2"/>
  <c r="C11748" i="2"/>
  <c r="B11748" i="2"/>
  <c r="C11747" i="2"/>
  <c r="B11747" i="2"/>
  <c r="C11746" i="2"/>
  <c r="B11746" i="2"/>
  <c r="C11745" i="2"/>
  <c r="B11745" i="2"/>
  <c r="C11744" i="2"/>
  <c r="B11744" i="2"/>
  <c r="C11743" i="2"/>
  <c r="B11743" i="2"/>
  <c r="C11742" i="2"/>
  <c r="B11742" i="2"/>
  <c r="C11741" i="2"/>
  <c r="B11741" i="2"/>
  <c r="C11740" i="2"/>
  <c r="B11740" i="2"/>
  <c r="C11739" i="2"/>
  <c r="B11739" i="2"/>
  <c r="C11738" i="2"/>
  <c r="B11738" i="2"/>
  <c r="C11737" i="2"/>
  <c r="B11737" i="2"/>
  <c r="C11736" i="2"/>
  <c r="B11736" i="2"/>
  <c r="C11735" i="2"/>
  <c r="B11735" i="2"/>
  <c r="C11734" i="2"/>
  <c r="B11734" i="2"/>
  <c r="C11733" i="2"/>
  <c r="B11733" i="2"/>
  <c r="C11732" i="2"/>
  <c r="B11732" i="2"/>
  <c r="C11731" i="2"/>
  <c r="B11731" i="2"/>
  <c r="C11730" i="2"/>
  <c r="B11730" i="2"/>
  <c r="C11729" i="2"/>
  <c r="B11729" i="2"/>
  <c r="C11728" i="2"/>
  <c r="B11728" i="2"/>
  <c r="C11727" i="2"/>
  <c r="B11727" i="2"/>
  <c r="C11726" i="2"/>
  <c r="B11726" i="2"/>
  <c r="C11725" i="2"/>
  <c r="B11725" i="2"/>
  <c r="C11724" i="2"/>
  <c r="B11724" i="2"/>
  <c r="C11723" i="2"/>
  <c r="B11723" i="2"/>
  <c r="C11722" i="2"/>
  <c r="B11722" i="2"/>
  <c r="C11721" i="2"/>
  <c r="B11721" i="2"/>
  <c r="C11720" i="2"/>
  <c r="B11720" i="2"/>
  <c r="C11719" i="2"/>
  <c r="B11719" i="2"/>
  <c r="C11718" i="2"/>
  <c r="B11718" i="2"/>
  <c r="C11717" i="2"/>
  <c r="B11717" i="2"/>
  <c r="C11716" i="2"/>
  <c r="B11716" i="2"/>
  <c r="C11715" i="2"/>
  <c r="B11715" i="2"/>
  <c r="C11714" i="2"/>
  <c r="B11714" i="2"/>
  <c r="C11713" i="2"/>
  <c r="B11713" i="2"/>
  <c r="C11712" i="2"/>
  <c r="B11712" i="2"/>
  <c r="C11711" i="2"/>
  <c r="B11711" i="2"/>
  <c r="C11710" i="2"/>
  <c r="B11710" i="2"/>
  <c r="C11709" i="2"/>
  <c r="B11709" i="2"/>
  <c r="C11708" i="2"/>
  <c r="B11708" i="2"/>
  <c r="C11707" i="2"/>
  <c r="B11707" i="2"/>
  <c r="C11706" i="2"/>
  <c r="B11706" i="2"/>
  <c r="C11705" i="2"/>
  <c r="B11705" i="2"/>
  <c r="C11704" i="2"/>
  <c r="B11704" i="2"/>
  <c r="C11703" i="2"/>
  <c r="B11703" i="2"/>
  <c r="C11702" i="2"/>
  <c r="B11702" i="2"/>
  <c r="C11701" i="2"/>
  <c r="B11701" i="2"/>
  <c r="C11700" i="2"/>
  <c r="B11700" i="2"/>
  <c r="C11699" i="2"/>
  <c r="B11699" i="2"/>
  <c r="C11698" i="2"/>
  <c r="B11698" i="2"/>
  <c r="C11697" i="2"/>
  <c r="B11697" i="2"/>
  <c r="C11696" i="2"/>
  <c r="B11696" i="2"/>
  <c r="C11695" i="2"/>
  <c r="B11695" i="2"/>
  <c r="C11694" i="2"/>
  <c r="B11694" i="2"/>
  <c r="C11693" i="2"/>
  <c r="B11693" i="2"/>
  <c r="C11692" i="2"/>
  <c r="B11692" i="2"/>
  <c r="C11691" i="2"/>
  <c r="B11691" i="2"/>
  <c r="C11690" i="2"/>
  <c r="B11690" i="2"/>
  <c r="C11689" i="2"/>
  <c r="B11689" i="2"/>
  <c r="C11688" i="2"/>
  <c r="B11688" i="2"/>
  <c r="C11687" i="2"/>
  <c r="B11687" i="2"/>
  <c r="C11686" i="2"/>
  <c r="B11686" i="2"/>
  <c r="C11685" i="2"/>
  <c r="B11685" i="2"/>
  <c r="C11684" i="2"/>
  <c r="B11684" i="2"/>
  <c r="C11683" i="2"/>
  <c r="B11683" i="2"/>
  <c r="C11682" i="2"/>
  <c r="B11682" i="2"/>
  <c r="C11681" i="2"/>
  <c r="B11681" i="2"/>
  <c r="C11680" i="2"/>
  <c r="B11680" i="2"/>
  <c r="C11679" i="2"/>
  <c r="B11679" i="2"/>
  <c r="C11678" i="2"/>
  <c r="B11678" i="2"/>
  <c r="C11677" i="2"/>
  <c r="B11677" i="2"/>
  <c r="C11676" i="2"/>
  <c r="B11676" i="2"/>
  <c r="C11675" i="2"/>
  <c r="B11675" i="2"/>
  <c r="C11674" i="2"/>
  <c r="B11674" i="2"/>
  <c r="C11673" i="2"/>
  <c r="B11673" i="2"/>
  <c r="C11672" i="2"/>
  <c r="B11672" i="2"/>
  <c r="C11671" i="2"/>
  <c r="B11671" i="2"/>
  <c r="C11670" i="2"/>
  <c r="B11670" i="2"/>
  <c r="C11669" i="2"/>
  <c r="B11669" i="2"/>
  <c r="C11668" i="2"/>
  <c r="B11668" i="2"/>
  <c r="C11667" i="2"/>
  <c r="B11667" i="2"/>
  <c r="C11666" i="2"/>
  <c r="B11666" i="2"/>
  <c r="C11665" i="2"/>
  <c r="B11665" i="2"/>
  <c r="C11664" i="2"/>
  <c r="B11664" i="2"/>
  <c r="C11663" i="2"/>
  <c r="B11663" i="2"/>
  <c r="C11662" i="2"/>
  <c r="B11662" i="2"/>
  <c r="C11661" i="2"/>
  <c r="B11661" i="2"/>
  <c r="C11660" i="2"/>
  <c r="B11660" i="2"/>
  <c r="C11659" i="2"/>
  <c r="B11659" i="2"/>
  <c r="C11658" i="2"/>
  <c r="B11658" i="2"/>
  <c r="C11657" i="2"/>
  <c r="B11657" i="2"/>
  <c r="C11656" i="2"/>
  <c r="B11656" i="2"/>
  <c r="C11655" i="2"/>
  <c r="B11655" i="2"/>
  <c r="C11654" i="2"/>
  <c r="B11654" i="2"/>
  <c r="C11653" i="2"/>
  <c r="B11653" i="2"/>
  <c r="C11652" i="2"/>
  <c r="B11652" i="2"/>
  <c r="C11651" i="2"/>
  <c r="B11651" i="2"/>
  <c r="C11650" i="2"/>
  <c r="B11650" i="2"/>
  <c r="C11649" i="2"/>
  <c r="B11649" i="2"/>
  <c r="C11648" i="2"/>
  <c r="B11648" i="2"/>
  <c r="C11647" i="2"/>
  <c r="B11647" i="2"/>
  <c r="C11646" i="2"/>
  <c r="B11646" i="2"/>
  <c r="C11645" i="2"/>
  <c r="B11645" i="2"/>
  <c r="C11644" i="2"/>
  <c r="B11644" i="2"/>
  <c r="C11643" i="2"/>
  <c r="B11643" i="2"/>
  <c r="C11642" i="2"/>
  <c r="B11642" i="2"/>
  <c r="C11641" i="2"/>
  <c r="B11641" i="2"/>
  <c r="C11640" i="2"/>
  <c r="B11640" i="2"/>
  <c r="C11639" i="2"/>
  <c r="B11639" i="2"/>
  <c r="C11638" i="2"/>
  <c r="B11638" i="2"/>
  <c r="C11637" i="2"/>
  <c r="B11637" i="2"/>
  <c r="C11636" i="2"/>
  <c r="B11636" i="2"/>
  <c r="C11635" i="2"/>
  <c r="B11635" i="2"/>
  <c r="C11634" i="2"/>
  <c r="B11634" i="2"/>
  <c r="C11633" i="2"/>
  <c r="B11633" i="2"/>
  <c r="C11632" i="2"/>
  <c r="B11632" i="2"/>
  <c r="C11631" i="2"/>
  <c r="B11631" i="2"/>
  <c r="C11630" i="2"/>
  <c r="B11630" i="2"/>
  <c r="C11629" i="2"/>
  <c r="B11629" i="2"/>
  <c r="C11628" i="2"/>
  <c r="B11628" i="2"/>
  <c r="C11627" i="2"/>
  <c r="B11627" i="2"/>
  <c r="C11626" i="2"/>
  <c r="B11626" i="2"/>
  <c r="C11625" i="2"/>
  <c r="B11625" i="2"/>
  <c r="C11624" i="2"/>
  <c r="B11624" i="2"/>
  <c r="C11623" i="2"/>
  <c r="B11623" i="2"/>
  <c r="C11622" i="2"/>
  <c r="B11622" i="2"/>
  <c r="C11621" i="2"/>
  <c r="B11621" i="2"/>
  <c r="C11620" i="2"/>
  <c r="B11620" i="2"/>
  <c r="C11619" i="2"/>
  <c r="B11619" i="2"/>
  <c r="C11618" i="2"/>
  <c r="B11618" i="2"/>
  <c r="C11617" i="2"/>
  <c r="B11617" i="2"/>
  <c r="C11616" i="2"/>
  <c r="B11616" i="2"/>
  <c r="C11615" i="2"/>
  <c r="B11615" i="2"/>
  <c r="C11614" i="2"/>
  <c r="B11614" i="2"/>
  <c r="C11613" i="2"/>
  <c r="B11613" i="2"/>
  <c r="C11612" i="2"/>
  <c r="B11612" i="2"/>
  <c r="C11611" i="2"/>
  <c r="B11611" i="2"/>
  <c r="C11610" i="2"/>
  <c r="B11610" i="2"/>
  <c r="C11609" i="2"/>
  <c r="B11609" i="2"/>
  <c r="C11608" i="2"/>
  <c r="B11608" i="2"/>
  <c r="C11607" i="2"/>
  <c r="B11607" i="2"/>
  <c r="C11606" i="2"/>
  <c r="B11606" i="2"/>
  <c r="C11605" i="2"/>
  <c r="B11605" i="2"/>
  <c r="C11604" i="2"/>
  <c r="B11604" i="2"/>
  <c r="C11603" i="2"/>
  <c r="B11603" i="2"/>
  <c r="C11602" i="2"/>
  <c r="B11602" i="2"/>
  <c r="C11601" i="2"/>
  <c r="B11601" i="2"/>
  <c r="C11600" i="2"/>
  <c r="B11600" i="2"/>
  <c r="C11599" i="2"/>
  <c r="B11599" i="2"/>
  <c r="C11598" i="2"/>
  <c r="B11598" i="2"/>
  <c r="C11597" i="2"/>
  <c r="B11597" i="2"/>
  <c r="C11596" i="2"/>
  <c r="B11596" i="2"/>
  <c r="C11595" i="2"/>
  <c r="B11595" i="2"/>
  <c r="C11594" i="2"/>
  <c r="B11594" i="2"/>
  <c r="C11593" i="2"/>
  <c r="B11593" i="2"/>
  <c r="C11592" i="2"/>
  <c r="B11592" i="2"/>
  <c r="C11591" i="2"/>
  <c r="B11591" i="2"/>
  <c r="C11590" i="2"/>
  <c r="B11590" i="2"/>
  <c r="C11589" i="2"/>
  <c r="B11589" i="2"/>
  <c r="C11588" i="2"/>
  <c r="B11588" i="2"/>
  <c r="C11587" i="2"/>
  <c r="B11587" i="2"/>
  <c r="C11586" i="2"/>
  <c r="B11586" i="2"/>
  <c r="C11585" i="2"/>
  <c r="B11585" i="2"/>
  <c r="C11584" i="2"/>
  <c r="B11584" i="2"/>
  <c r="C11583" i="2"/>
  <c r="B11583" i="2"/>
  <c r="C11582" i="2"/>
  <c r="B11582" i="2"/>
  <c r="C11581" i="2"/>
  <c r="B11581" i="2"/>
  <c r="C11580" i="2"/>
  <c r="B11580" i="2"/>
  <c r="C11579" i="2"/>
  <c r="B11579" i="2"/>
  <c r="C11578" i="2"/>
  <c r="B11578" i="2"/>
  <c r="C11577" i="2"/>
  <c r="B11577" i="2"/>
  <c r="C11576" i="2"/>
  <c r="B11576" i="2"/>
  <c r="C11575" i="2"/>
  <c r="B11575" i="2"/>
  <c r="C11574" i="2"/>
  <c r="B11574" i="2"/>
  <c r="C11573" i="2"/>
  <c r="B11573" i="2"/>
  <c r="C11572" i="2"/>
  <c r="B11572" i="2"/>
  <c r="C11571" i="2"/>
  <c r="B11571" i="2"/>
  <c r="C11570" i="2"/>
  <c r="B11570" i="2"/>
  <c r="C11569" i="2"/>
  <c r="B11569" i="2"/>
  <c r="C11568" i="2"/>
  <c r="B11568" i="2"/>
  <c r="C11567" i="2"/>
  <c r="B11567" i="2"/>
  <c r="C11566" i="2"/>
  <c r="B11566" i="2"/>
  <c r="C11565" i="2"/>
  <c r="B11565" i="2"/>
  <c r="C11564" i="2"/>
  <c r="B11564" i="2"/>
  <c r="C11563" i="2"/>
  <c r="B11563" i="2"/>
  <c r="C11562" i="2"/>
  <c r="B11562" i="2"/>
  <c r="C11561" i="2"/>
  <c r="B11561" i="2"/>
  <c r="C11560" i="2"/>
  <c r="B11560" i="2"/>
  <c r="C11559" i="2"/>
  <c r="B11559" i="2"/>
  <c r="C11558" i="2"/>
  <c r="B11558" i="2"/>
  <c r="C11557" i="2"/>
  <c r="B11557" i="2"/>
  <c r="C11556" i="2"/>
  <c r="B11556" i="2"/>
  <c r="C11555" i="2"/>
  <c r="B11555" i="2"/>
  <c r="C11554" i="2"/>
  <c r="B11554" i="2"/>
  <c r="C11553" i="2"/>
  <c r="B11553" i="2"/>
  <c r="C11552" i="2"/>
  <c r="B11552" i="2"/>
  <c r="C11551" i="2"/>
  <c r="B11551" i="2"/>
  <c r="C11550" i="2"/>
  <c r="B11550" i="2"/>
  <c r="C11549" i="2"/>
  <c r="B11549" i="2"/>
  <c r="C11548" i="2"/>
  <c r="B11548" i="2"/>
  <c r="C11547" i="2"/>
  <c r="B11547" i="2"/>
  <c r="C11546" i="2"/>
  <c r="B11546" i="2"/>
  <c r="C11545" i="2"/>
  <c r="B11545" i="2"/>
  <c r="C11544" i="2"/>
  <c r="B11544" i="2"/>
  <c r="C11543" i="2"/>
  <c r="B11543" i="2"/>
  <c r="C11542" i="2"/>
  <c r="B11542" i="2"/>
  <c r="C11541" i="2"/>
  <c r="B11541" i="2"/>
  <c r="C11540" i="2"/>
  <c r="B11540" i="2"/>
  <c r="C11539" i="2"/>
  <c r="B11539" i="2"/>
  <c r="C11538" i="2"/>
  <c r="B11538" i="2"/>
  <c r="C11537" i="2"/>
  <c r="B11537" i="2"/>
  <c r="C11536" i="2"/>
  <c r="B11536" i="2"/>
  <c r="C11535" i="2"/>
  <c r="B11535" i="2"/>
  <c r="C11534" i="2"/>
  <c r="B11534" i="2"/>
  <c r="C11533" i="2"/>
  <c r="B11533" i="2"/>
  <c r="C11532" i="2"/>
  <c r="B11532" i="2"/>
  <c r="C11531" i="2"/>
  <c r="B11531" i="2"/>
  <c r="C11530" i="2"/>
  <c r="B11530" i="2"/>
  <c r="C11529" i="2"/>
  <c r="B11529" i="2"/>
  <c r="C11528" i="2"/>
  <c r="B11528" i="2"/>
  <c r="C11527" i="2"/>
  <c r="B11527" i="2"/>
  <c r="C11526" i="2"/>
  <c r="B11526" i="2"/>
  <c r="C11525" i="2"/>
  <c r="B11525" i="2"/>
  <c r="C11524" i="2"/>
  <c r="B11524" i="2"/>
  <c r="C11523" i="2"/>
  <c r="B11523" i="2"/>
  <c r="C11522" i="2"/>
  <c r="B11522" i="2"/>
  <c r="C11521" i="2"/>
  <c r="B11521" i="2"/>
  <c r="C11520" i="2"/>
  <c r="B11520" i="2"/>
  <c r="C11519" i="2"/>
  <c r="B11519" i="2"/>
  <c r="C11518" i="2"/>
  <c r="B11518" i="2"/>
  <c r="C11517" i="2"/>
  <c r="B11517" i="2"/>
  <c r="C11516" i="2"/>
  <c r="B11516" i="2"/>
  <c r="C11515" i="2"/>
  <c r="B11515" i="2"/>
  <c r="C11514" i="2"/>
  <c r="B11514" i="2"/>
  <c r="C11513" i="2"/>
  <c r="B11513" i="2"/>
  <c r="C11512" i="2"/>
  <c r="B11512" i="2"/>
  <c r="C11511" i="2"/>
  <c r="B11511" i="2"/>
  <c r="C11510" i="2"/>
  <c r="B11510" i="2"/>
  <c r="C11509" i="2"/>
  <c r="B11509" i="2"/>
  <c r="C11508" i="2"/>
  <c r="B11508" i="2"/>
  <c r="C11507" i="2"/>
  <c r="B11507" i="2"/>
  <c r="C11506" i="2"/>
  <c r="B11506" i="2"/>
  <c r="C11505" i="2"/>
  <c r="B11505" i="2"/>
  <c r="C11504" i="2"/>
  <c r="B11504" i="2"/>
  <c r="C11503" i="2"/>
  <c r="B11503" i="2"/>
  <c r="C11502" i="2"/>
  <c r="B11502" i="2"/>
  <c r="C11501" i="2"/>
  <c r="B11501" i="2"/>
  <c r="C11500" i="2"/>
  <c r="B11500" i="2"/>
  <c r="C11499" i="2"/>
  <c r="B11499" i="2"/>
  <c r="C11498" i="2"/>
  <c r="B11498" i="2"/>
  <c r="C11497" i="2"/>
  <c r="B11497" i="2"/>
  <c r="C11496" i="2"/>
  <c r="B11496" i="2"/>
  <c r="C11495" i="2"/>
  <c r="B11495" i="2"/>
  <c r="C11494" i="2"/>
  <c r="B11494" i="2"/>
  <c r="C11493" i="2"/>
  <c r="B11493" i="2"/>
  <c r="C11492" i="2"/>
  <c r="B11492" i="2"/>
  <c r="C11491" i="2"/>
  <c r="B11491" i="2"/>
  <c r="C11490" i="2"/>
  <c r="B11490" i="2"/>
  <c r="C11489" i="2"/>
  <c r="B11489" i="2"/>
  <c r="C11488" i="2"/>
  <c r="B11488" i="2"/>
  <c r="C11487" i="2"/>
  <c r="B11487" i="2"/>
  <c r="C11486" i="2"/>
  <c r="B11486" i="2"/>
  <c r="C11485" i="2"/>
  <c r="B11485" i="2"/>
  <c r="C11484" i="2"/>
  <c r="B11484" i="2"/>
  <c r="C11483" i="2"/>
  <c r="B11483" i="2"/>
  <c r="C11482" i="2"/>
  <c r="B11482" i="2"/>
  <c r="C11481" i="2"/>
  <c r="B11481" i="2"/>
  <c r="C11480" i="2"/>
  <c r="B11480" i="2"/>
  <c r="C11479" i="2"/>
  <c r="B11479" i="2"/>
  <c r="C11478" i="2"/>
  <c r="B11478" i="2"/>
  <c r="C11477" i="2"/>
  <c r="B11477" i="2"/>
  <c r="C11476" i="2"/>
  <c r="B11476" i="2"/>
  <c r="C11475" i="2"/>
  <c r="B11475" i="2"/>
  <c r="C11474" i="2"/>
  <c r="B11474" i="2"/>
  <c r="C11473" i="2"/>
  <c r="B11473" i="2"/>
  <c r="C11472" i="2"/>
  <c r="B11472" i="2"/>
  <c r="C11471" i="2"/>
  <c r="B11471" i="2"/>
  <c r="C11470" i="2"/>
  <c r="B11470" i="2"/>
  <c r="C11469" i="2"/>
  <c r="B11469" i="2"/>
  <c r="C11468" i="2"/>
  <c r="B11468" i="2"/>
  <c r="C11467" i="2"/>
  <c r="B11467" i="2"/>
  <c r="C11466" i="2"/>
  <c r="B11466" i="2"/>
  <c r="C11465" i="2"/>
  <c r="B11465" i="2"/>
  <c r="C11464" i="2"/>
  <c r="B11464" i="2"/>
  <c r="C11463" i="2"/>
  <c r="B11463" i="2"/>
  <c r="C11462" i="2"/>
  <c r="B11462" i="2"/>
  <c r="C11461" i="2"/>
  <c r="B11461" i="2"/>
  <c r="C11460" i="2"/>
  <c r="B11460" i="2"/>
  <c r="C11459" i="2"/>
  <c r="B11459" i="2"/>
  <c r="C11458" i="2"/>
  <c r="B11458" i="2"/>
  <c r="C11457" i="2"/>
  <c r="B11457" i="2"/>
  <c r="C11456" i="2"/>
  <c r="B11456" i="2"/>
  <c r="C11455" i="2"/>
  <c r="B11455" i="2"/>
  <c r="C11454" i="2"/>
  <c r="B11454" i="2"/>
  <c r="C11453" i="2"/>
  <c r="B11453" i="2"/>
  <c r="C11452" i="2"/>
  <c r="B11452" i="2"/>
  <c r="C11451" i="2"/>
  <c r="B11451" i="2"/>
  <c r="C11450" i="2"/>
  <c r="B11450" i="2"/>
  <c r="C11449" i="2"/>
  <c r="B11449" i="2"/>
  <c r="C11448" i="2"/>
  <c r="B11448" i="2"/>
  <c r="C11447" i="2"/>
  <c r="B11447" i="2"/>
  <c r="C11446" i="2"/>
  <c r="B11446" i="2"/>
  <c r="C11445" i="2"/>
  <c r="B11445" i="2"/>
  <c r="C11444" i="2"/>
  <c r="B11444" i="2"/>
  <c r="C11443" i="2"/>
  <c r="B11443" i="2"/>
  <c r="C11442" i="2"/>
  <c r="B11442" i="2"/>
  <c r="C11441" i="2"/>
  <c r="B11441" i="2"/>
  <c r="C11440" i="2"/>
  <c r="B11440" i="2"/>
  <c r="C11439" i="2"/>
  <c r="B11439" i="2"/>
  <c r="C11438" i="2"/>
  <c r="B11438" i="2"/>
  <c r="C11437" i="2"/>
  <c r="B11437" i="2"/>
  <c r="C11436" i="2"/>
  <c r="B11436" i="2"/>
  <c r="C11435" i="2"/>
  <c r="B11435" i="2"/>
  <c r="C11434" i="2"/>
  <c r="B11434" i="2"/>
  <c r="C11433" i="2"/>
  <c r="B11433" i="2"/>
  <c r="C11432" i="2"/>
  <c r="B11432" i="2"/>
  <c r="C11431" i="2"/>
  <c r="B11431" i="2"/>
  <c r="C11430" i="2"/>
  <c r="B11430" i="2"/>
  <c r="C11429" i="2"/>
  <c r="B11429" i="2"/>
  <c r="C11428" i="2"/>
  <c r="B11428" i="2"/>
  <c r="C11427" i="2"/>
  <c r="B11427" i="2"/>
  <c r="C11426" i="2"/>
  <c r="B11426" i="2"/>
  <c r="C11425" i="2"/>
  <c r="B11425" i="2"/>
  <c r="C11424" i="2"/>
  <c r="B11424" i="2"/>
  <c r="C11423" i="2"/>
  <c r="B11423" i="2"/>
  <c r="C11422" i="2"/>
  <c r="B11422" i="2"/>
  <c r="C11421" i="2"/>
  <c r="B11421" i="2"/>
  <c r="C11420" i="2"/>
  <c r="B11420" i="2"/>
  <c r="C11419" i="2"/>
  <c r="B11419" i="2"/>
  <c r="C11418" i="2"/>
  <c r="B11418" i="2"/>
  <c r="C11417" i="2"/>
  <c r="B11417" i="2"/>
  <c r="C11416" i="2"/>
  <c r="B11416" i="2"/>
  <c r="C11415" i="2"/>
  <c r="B11415" i="2"/>
  <c r="C11414" i="2"/>
  <c r="B11414" i="2"/>
  <c r="C11413" i="2"/>
  <c r="B11413" i="2"/>
  <c r="C11412" i="2"/>
  <c r="B11412" i="2"/>
  <c r="C11411" i="2"/>
  <c r="B11411" i="2"/>
  <c r="C11410" i="2"/>
  <c r="B11410" i="2"/>
  <c r="C11409" i="2"/>
  <c r="B11409" i="2"/>
  <c r="C11408" i="2"/>
  <c r="B11408" i="2"/>
  <c r="C11407" i="2"/>
  <c r="B11407" i="2"/>
  <c r="C11406" i="2"/>
  <c r="B11406" i="2"/>
  <c r="C11405" i="2"/>
  <c r="B11405" i="2"/>
  <c r="C11404" i="2"/>
  <c r="B11404" i="2"/>
  <c r="C11403" i="2"/>
  <c r="B11403" i="2"/>
  <c r="C11402" i="2"/>
  <c r="B11402" i="2"/>
  <c r="C11401" i="2"/>
  <c r="B11401" i="2"/>
  <c r="C11400" i="2"/>
  <c r="B11400" i="2"/>
  <c r="C11399" i="2"/>
  <c r="B11399" i="2"/>
  <c r="C11398" i="2"/>
  <c r="B11398" i="2"/>
  <c r="C11397" i="2"/>
  <c r="B11397" i="2"/>
  <c r="C11396" i="2"/>
  <c r="B11396" i="2"/>
  <c r="C11395" i="2"/>
  <c r="B11395" i="2"/>
  <c r="C11394" i="2"/>
  <c r="B11394" i="2"/>
  <c r="C11393" i="2"/>
  <c r="B11393" i="2"/>
  <c r="C11392" i="2"/>
  <c r="B11392" i="2"/>
  <c r="C11391" i="2"/>
  <c r="B11391" i="2"/>
  <c r="C11390" i="2"/>
  <c r="B11390" i="2"/>
  <c r="C11389" i="2"/>
  <c r="B11389" i="2"/>
  <c r="C11388" i="2"/>
  <c r="B11388" i="2"/>
  <c r="C11387" i="2"/>
  <c r="B11387" i="2"/>
  <c r="C11386" i="2"/>
  <c r="B11386" i="2"/>
  <c r="C11385" i="2"/>
  <c r="B11385" i="2"/>
  <c r="C11384" i="2"/>
  <c r="B11384" i="2"/>
  <c r="C11383" i="2"/>
  <c r="B11383" i="2"/>
  <c r="C11382" i="2"/>
  <c r="B11382" i="2"/>
  <c r="C11381" i="2"/>
  <c r="B11381" i="2"/>
  <c r="C11380" i="2"/>
  <c r="B11380" i="2"/>
  <c r="C11379" i="2"/>
  <c r="B11379" i="2"/>
  <c r="C11378" i="2"/>
  <c r="B11378" i="2"/>
  <c r="C11377" i="2"/>
  <c r="B11377" i="2"/>
  <c r="C11376" i="2"/>
  <c r="B11376" i="2"/>
  <c r="C11375" i="2"/>
  <c r="B11375" i="2"/>
  <c r="C11374" i="2"/>
  <c r="B11374" i="2"/>
  <c r="C11373" i="2"/>
  <c r="B11373" i="2"/>
  <c r="C11372" i="2"/>
  <c r="B11372" i="2"/>
  <c r="C11371" i="2"/>
  <c r="B11371" i="2"/>
  <c r="C11370" i="2"/>
  <c r="B11370" i="2"/>
  <c r="C11369" i="2"/>
  <c r="B11369" i="2"/>
  <c r="C11368" i="2"/>
  <c r="B11368" i="2"/>
  <c r="C11367" i="2"/>
  <c r="B11367" i="2"/>
  <c r="C11366" i="2"/>
  <c r="B11366" i="2"/>
  <c r="C11365" i="2"/>
  <c r="B11365" i="2"/>
  <c r="C11364" i="2"/>
  <c r="B11364" i="2"/>
  <c r="C11363" i="2"/>
  <c r="B11363" i="2"/>
  <c r="C11362" i="2"/>
  <c r="B11362" i="2"/>
  <c r="C11361" i="2"/>
  <c r="B11361" i="2"/>
  <c r="C11360" i="2"/>
  <c r="B11360" i="2"/>
  <c r="C11359" i="2"/>
  <c r="B11359" i="2"/>
  <c r="C11358" i="2"/>
  <c r="B11358" i="2"/>
  <c r="C11357" i="2"/>
  <c r="B11357" i="2"/>
  <c r="C11356" i="2"/>
  <c r="B11356" i="2"/>
  <c r="C11355" i="2"/>
  <c r="B11355" i="2"/>
  <c r="C11354" i="2"/>
  <c r="B11354" i="2"/>
  <c r="C11353" i="2"/>
  <c r="B11353" i="2"/>
  <c r="C11352" i="2"/>
  <c r="B11352" i="2"/>
  <c r="C11351" i="2"/>
  <c r="B11351" i="2"/>
  <c r="C11350" i="2"/>
  <c r="B11350" i="2"/>
  <c r="C11349" i="2"/>
  <c r="B11349" i="2"/>
  <c r="C11348" i="2"/>
  <c r="B11348" i="2"/>
  <c r="C11347" i="2"/>
  <c r="B11347" i="2"/>
  <c r="C11346" i="2"/>
  <c r="B11346" i="2"/>
  <c r="C11345" i="2"/>
  <c r="B11345" i="2"/>
  <c r="C11344" i="2"/>
  <c r="B11344" i="2"/>
  <c r="C11343" i="2"/>
  <c r="B11343" i="2"/>
  <c r="C11342" i="2"/>
  <c r="B11342" i="2"/>
  <c r="C11341" i="2"/>
  <c r="B11341" i="2"/>
  <c r="C11340" i="2"/>
  <c r="B11340" i="2"/>
  <c r="C11339" i="2"/>
  <c r="B11339" i="2"/>
  <c r="C11338" i="2"/>
  <c r="B11338" i="2"/>
  <c r="C11337" i="2"/>
  <c r="B11337" i="2"/>
  <c r="C11336" i="2"/>
  <c r="B11336" i="2"/>
  <c r="C11335" i="2"/>
  <c r="B11335" i="2"/>
  <c r="C11334" i="2"/>
  <c r="B11334" i="2"/>
  <c r="C11333" i="2"/>
  <c r="B11333" i="2"/>
  <c r="C11332" i="2"/>
  <c r="B11332" i="2"/>
  <c r="C11331" i="2"/>
  <c r="B11331" i="2"/>
  <c r="C11330" i="2"/>
  <c r="B11330" i="2"/>
  <c r="C11329" i="2"/>
  <c r="B11329" i="2"/>
  <c r="C11328" i="2"/>
  <c r="B11328" i="2"/>
  <c r="C11327" i="2"/>
  <c r="B11327" i="2"/>
  <c r="C11326" i="2"/>
  <c r="B11326" i="2"/>
  <c r="C11325" i="2"/>
  <c r="B11325" i="2"/>
  <c r="C11324" i="2"/>
  <c r="B11324" i="2"/>
  <c r="C11323" i="2"/>
  <c r="B11323" i="2"/>
  <c r="C11322" i="2"/>
  <c r="B11322" i="2"/>
  <c r="C11321" i="2"/>
  <c r="B11321" i="2"/>
  <c r="C11320" i="2"/>
  <c r="B11320" i="2"/>
  <c r="C11319" i="2"/>
  <c r="B11319" i="2"/>
  <c r="C11318" i="2"/>
  <c r="B11318" i="2"/>
  <c r="C11317" i="2"/>
  <c r="B11317" i="2"/>
  <c r="C11316" i="2"/>
  <c r="B11316" i="2"/>
  <c r="C11315" i="2"/>
  <c r="B11315" i="2"/>
  <c r="C11314" i="2"/>
  <c r="B11314" i="2"/>
  <c r="C11313" i="2"/>
  <c r="B11313" i="2"/>
  <c r="C11312" i="2"/>
  <c r="B11312" i="2"/>
  <c r="C11311" i="2"/>
  <c r="B11311" i="2"/>
  <c r="C11310" i="2"/>
  <c r="B11310" i="2"/>
  <c r="C11309" i="2"/>
  <c r="B11309" i="2"/>
  <c r="C11308" i="2"/>
  <c r="B11308" i="2"/>
  <c r="C11307" i="2"/>
  <c r="B11307" i="2"/>
  <c r="C11306" i="2"/>
  <c r="B11306" i="2"/>
  <c r="C11305" i="2"/>
  <c r="B11305" i="2"/>
  <c r="C11304" i="2"/>
  <c r="B11304" i="2"/>
  <c r="C11303" i="2"/>
  <c r="B11303" i="2"/>
  <c r="C11302" i="2"/>
  <c r="B11302" i="2"/>
  <c r="C11301" i="2"/>
  <c r="B11301" i="2"/>
  <c r="C11300" i="2"/>
  <c r="B11300" i="2"/>
  <c r="C11299" i="2"/>
  <c r="B11299" i="2"/>
  <c r="C11298" i="2"/>
  <c r="B11298" i="2"/>
  <c r="C11297" i="2"/>
  <c r="B11297" i="2"/>
  <c r="C11296" i="2"/>
  <c r="B11296" i="2"/>
  <c r="C11295" i="2"/>
  <c r="B11295" i="2"/>
  <c r="C11294" i="2"/>
  <c r="B11294" i="2"/>
  <c r="C11293" i="2"/>
  <c r="B11293" i="2"/>
  <c r="C11292" i="2"/>
  <c r="B11292" i="2"/>
  <c r="C11291" i="2"/>
  <c r="B11291" i="2"/>
  <c r="C11290" i="2"/>
  <c r="B11290" i="2"/>
  <c r="C11289" i="2"/>
  <c r="B11289" i="2"/>
  <c r="C11288" i="2"/>
  <c r="B11288" i="2"/>
  <c r="C11287" i="2"/>
  <c r="B11287" i="2"/>
  <c r="C11286" i="2"/>
  <c r="B11286" i="2"/>
  <c r="C11285" i="2"/>
  <c r="B11285" i="2"/>
  <c r="C11284" i="2"/>
  <c r="B11284" i="2"/>
  <c r="C11283" i="2"/>
  <c r="B11283" i="2"/>
  <c r="C11282" i="2"/>
  <c r="B11282" i="2"/>
  <c r="C11281" i="2"/>
  <c r="B11281" i="2"/>
  <c r="C11280" i="2"/>
  <c r="B11280" i="2"/>
  <c r="C11279" i="2"/>
  <c r="B11279" i="2"/>
  <c r="C11278" i="2"/>
  <c r="B11278" i="2"/>
  <c r="C11277" i="2"/>
  <c r="B11277" i="2"/>
  <c r="C11276" i="2"/>
  <c r="B11276" i="2"/>
  <c r="C11275" i="2"/>
  <c r="B11275" i="2"/>
  <c r="C11274" i="2"/>
  <c r="B11274" i="2"/>
  <c r="C11273" i="2"/>
  <c r="B11273" i="2"/>
  <c r="C11272" i="2"/>
  <c r="B11272" i="2"/>
  <c r="C11271" i="2"/>
  <c r="B11271" i="2"/>
  <c r="C11270" i="2"/>
  <c r="B11270" i="2"/>
  <c r="C11269" i="2"/>
  <c r="B11269" i="2"/>
  <c r="C11268" i="2"/>
  <c r="B11268" i="2"/>
  <c r="C11267" i="2"/>
  <c r="B11267" i="2"/>
  <c r="C11266" i="2"/>
  <c r="B11266" i="2"/>
  <c r="C11265" i="2"/>
  <c r="B11265" i="2"/>
  <c r="C11264" i="2"/>
  <c r="B11264" i="2"/>
  <c r="C11263" i="2"/>
  <c r="B11263" i="2"/>
  <c r="C11262" i="2"/>
  <c r="B11262" i="2"/>
  <c r="C11261" i="2"/>
  <c r="B11261" i="2"/>
  <c r="C11260" i="2"/>
  <c r="B11260" i="2"/>
  <c r="C11259" i="2"/>
  <c r="B11259" i="2"/>
  <c r="C11258" i="2"/>
  <c r="B11258" i="2"/>
  <c r="C11257" i="2"/>
  <c r="B11257" i="2"/>
  <c r="C11256" i="2"/>
  <c r="B11256" i="2"/>
  <c r="C11255" i="2"/>
  <c r="B11255" i="2"/>
  <c r="C11254" i="2"/>
  <c r="B11254" i="2"/>
  <c r="C11253" i="2"/>
  <c r="B11253" i="2"/>
  <c r="C11252" i="2"/>
  <c r="B11252" i="2"/>
  <c r="C11251" i="2"/>
  <c r="B11251" i="2"/>
  <c r="C11250" i="2"/>
  <c r="B11250" i="2"/>
  <c r="C11249" i="2"/>
  <c r="B11249" i="2"/>
  <c r="C11248" i="2"/>
  <c r="B11248" i="2"/>
  <c r="C11247" i="2"/>
  <c r="B11247" i="2"/>
  <c r="C11246" i="2"/>
  <c r="B11246" i="2"/>
  <c r="C11245" i="2"/>
  <c r="B11245" i="2"/>
  <c r="C11244" i="2"/>
  <c r="B11244" i="2"/>
  <c r="C11243" i="2"/>
  <c r="B11243" i="2"/>
  <c r="C11242" i="2"/>
  <c r="B11242" i="2"/>
  <c r="C11241" i="2"/>
  <c r="B11241" i="2"/>
  <c r="C11240" i="2"/>
  <c r="B11240" i="2"/>
  <c r="C11239" i="2"/>
  <c r="B11239" i="2"/>
  <c r="C11238" i="2"/>
  <c r="B11238" i="2"/>
  <c r="C11237" i="2"/>
  <c r="B11237" i="2"/>
  <c r="C11236" i="2"/>
  <c r="B11236" i="2"/>
  <c r="C11235" i="2"/>
  <c r="B11235" i="2"/>
  <c r="C11234" i="2"/>
  <c r="B11234" i="2"/>
  <c r="C11233" i="2"/>
  <c r="B11233" i="2"/>
  <c r="C11232" i="2"/>
  <c r="B11232" i="2"/>
  <c r="C11231" i="2"/>
  <c r="B11231" i="2"/>
  <c r="C11230" i="2"/>
  <c r="B11230" i="2"/>
  <c r="C11229" i="2"/>
  <c r="B11229" i="2"/>
  <c r="C11228" i="2"/>
  <c r="B11228" i="2"/>
  <c r="C11227" i="2"/>
  <c r="B11227" i="2"/>
  <c r="C11226" i="2"/>
  <c r="B11226" i="2"/>
  <c r="C11225" i="2"/>
  <c r="B11225" i="2"/>
  <c r="C11224" i="2"/>
  <c r="B11224" i="2"/>
  <c r="C11223" i="2"/>
  <c r="B11223" i="2"/>
  <c r="C11222" i="2"/>
  <c r="B11222" i="2"/>
  <c r="C11221" i="2"/>
  <c r="B11221" i="2"/>
  <c r="C11220" i="2"/>
  <c r="B11220" i="2"/>
  <c r="C11219" i="2"/>
  <c r="B11219" i="2"/>
  <c r="C11218" i="2"/>
  <c r="B11218" i="2"/>
  <c r="C11217" i="2"/>
  <c r="B11217" i="2"/>
  <c r="C11216" i="2"/>
  <c r="B11216" i="2"/>
  <c r="C11215" i="2"/>
  <c r="B11215" i="2"/>
  <c r="C11214" i="2"/>
  <c r="B11214" i="2"/>
  <c r="C11213" i="2"/>
  <c r="B11213" i="2"/>
  <c r="C11212" i="2"/>
  <c r="B11212" i="2"/>
  <c r="C11211" i="2"/>
  <c r="B11211" i="2"/>
  <c r="C11210" i="2"/>
  <c r="B11210" i="2"/>
  <c r="C11209" i="2"/>
  <c r="B11209" i="2"/>
  <c r="C11208" i="2"/>
  <c r="B11208" i="2"/>
  <c r="C11207" i="2"/>
  <c r="B11207" i="2"/>
  <c r="C11206" i="2"/>
  <c r="B11206" i="2"/>
  <c r="C11205" i="2"/>
  <c r="B11205" i="2"/>
  <c r="C11204" i="2"/>
  <c r="B11204" i="2"/>
  <c r="C11203" i="2"/>
  <c r="B11203" i="2"/>
  <c r="C11202" i="2"/>
  <c r="B11202" i="2"/>
  <c r="C11201" i="2"/>
  <c r="B11201" i="2"/>
  <c r="C11200" i="2"/>
  <c r="B11200" i="2"/>
  <c r="C11199" i="2"/>
  <c r="B11199" i="2"/>
  <c r="C11198" i="2"/>
  <c r="B11198" i="2"/>
  <c r="C11197" i="2"/>
  <c r="B11197" i="2"/>
  <c r="C11196" i="2"/>
  <c r="B11196" i="2"/>
  <c r="C11195" i="2"/>
  <c r="B11195" i="2"/>
  <c r="C11194" i="2"/>
  <c r="B11194" i="2"/>
  <c r="C11193" i="2"/>
  <c r="B11193" i="2"/>
  <c r="C11192" i="2"/>
  <c r="B11192" i="2"/>
  <c r="C11191" i="2"/>
  <c r="B11191" i="2"/>
  <c r="C11190" i="2"/>
  <c r="B11190" i="2"/>
  <c r="C11189" i="2"/>
  <c r="B11189" i="2"/>
  <c r="C11188" i="2"/>
  <c r="B11188" i="2"/>
  <c r="C11187" i="2"/>
  <c r="B11187" i="2"/>
  <c r="C11186" i="2"/>
  <c r="B11186" i="2"/>
  <c r="C11185" i="2"/>
  <c r="B11185" i="2"/>
  <c r="C11184" i="2"/>
  <c r="B11184" i="2"/>
  <c r="C11183" i="2"/>
  <c r="B11183" i="2"/>
  <c r="C11182" i="2"/>
  <c r="B11182" i="2"/>
  <c r="C11181" i="2"/>
  <c r="B11181" i="2"/>
  <c r="C11180" i="2"/>
  <c r="B11180" i="2"/>
  <c r="C11179" i="2"/>
  <c r="B11179" i="2"/>
  <c r="C11178" i="2"/>
  <c r="B11178" i="2"/>
  <c r="C11177" i="2"/>
  <c r="B11177" i="2"/>
  <c r="C11176" i="2"/>
  <c r="B11176" i="2"/>
  <c r="C11175" i="2"/>
  <c r="B11175" i="2"/>
  <c r="C11174" i="2"/>
  <c r="B11174" i="2"/>
  <c r="C11173" i="2"/>
  <c r="B11173" i="2"/>
  <c r="C11172" i="2"/>
  <c r="B11172" i="2"/>
  <c r="C11171" i="2"/>
  <c r="B11171" i="2"/>
  <c r="C11170" i="2"/>
  <c r="B11170" i="2"/>
  <c r="C11169" i="2"/>
  <c r="B11169" i="2"/>
  <c r="C11168" i="2"/>
  <c r="B11168" i="2"/>
  <c r="C11167" i="2"/>
  <c r="B11167" i="2"/>
  <c r="C11166" i="2"/>
  <c r="B11166" i="2"/>
  <c r="C11165" i="2"/>
  <c r="B11165" i="2"/>
  <c r="C11164" i="2"/>
  <c r="B11164" i="2"/>
  <c r="C11163" i="2"/>
  <c r="B11163" i="2"/>
  <c r="C11162" i="2"/>
  <c r="B11162" i="2"/>
  <c r="C11161" i="2"/>
  <c r="B11161" i="2"/>
  <c r="C11160" i="2"/>
  <c r="B11160" i="2"/>
  <c r="C11159" i="2"/>
  <c r="B11159" i="2"/>
  <c r="C11158" i="2"/>
  <c r="B11158" i="2"/>
  <c r="C11157" i="2"/>
  <c r="B11157" i="2"/>
  <c r="C11156" i="2"/>
  <c r="B11156" i="2"/>
  <c r="C11155" i="2"/>
  <c r="B11155" i="2"/>
  <c r="C11154" i="2"/>
  <c r="B11154" i="2"/>
  <c r="C11153" i="2"/>
  <c r="B11153" i="2"/>
  <c r="C11152" i="2"/>
  <c r="B11152" i="2"/>
  <c r="C11151" i="2"/>
  <c r="B11151" i="2"/>
  <c r="C11150" i="2"/>
  <c r="B11150" i="2"/>
  <c r="C11149" i="2"/>
  <c r="B11149" i="2"/>
  <c r="C11148" i="2"/>
  <c r="B11148" i="2"/>
  <c r="C11147" i="2"/>
  <c r="B11147" i="2"/>
  <c r="C11146" i="2"/>
  <c r="B11146" i="2"/>
  <c r="C11145" i="2"/>
  <c r="B11145" i="2"/>
  <c r="C11144" i="2"/>
  <c r="B11144" i="2"/>
  <c r="C11143" i="2"/>
  <c r="B11143" i="2"/>
  <c r="C11142" i="2"/>
  <c r="B11142" i="2"/>
  <c r="C11141" i="2"/>
  <c r="B11141" i="2"/>
  <c r="C11140" i="2"/>
  <c r="B11140" i="2"/>
  <c r="C11139" i="2"/>
  <c r="B11139" i="2"/>
  <c r="C11138" i="2"/>
  <c r="B11138" i="2"/>
  <c r="C11137" i="2"/>
  <c r="B11137" i="2"/>
  <c r="C11136" i="2"/>
  <c r="B11136" i="2"/>
  <c r="C11135" i="2"/>
  <c r="B11135" i="2"/>
  <c r="C11134" i="2"/>
  <c r="B11134" i="2"/>
  <c r="C11133" i="2"/>
  <c r="B11133" i="2"/>
  <c r="C11132" i="2"/>
  <c r="B11132" i="2"/>
  <c r="C11131" i="2"/>
  <c r="B11131" i="2"/>
  <c r="C11130" i="2"/>
  <c r="B11130" i="2"/>
  <c r="C11129" i="2"/>
  <c r="B11129" i="2"/>
  <c r="C11128" i="2"/>
  <c r="B11128" i="2"/>
  <c r="C11127" i="2"/>
  <c r="B11127" i="2"/>
  <c r="C11126" i="2"/>
  <c r="B11126" i="2"/>
  <c r="C11125" i="2"/>
  <c r="B11125" i="2"/>
  <c r="C11124" i="2"/>
  <c r="B11124" i="2"/>
  <c r="C11123" i="2"/>
  <c r="B11123" i="2"/>
  <c r="C11122" i="2"/>
  <c r="B11122" i="2"/>
  <c r="C11121" i="2"/>
  <c r="B11121" i="2"/>
  <c r="C11120" i="2"/>
  <c r="B11120" i="2"/>
  <c r="C11119" i="2"/>
  <c r="B11119" i="2"/>
  <c r="C11118" i="2"/>
  <c r="B11118" i="2"/>
  <c r="C11117" i="2"/>
  <c r="B11117" i="2"/>
  <c r="C11116" i="2"/>
  <c r="B11116" i="2"/>
  <c r="C11115" i="2"/>
  <c r="B11115" i="2"/>
  <c r="C11114" i="2"/>
  <c r="B11114" i="2"/>
  <c r="C11113" i="2"/>
  <c r="B11113" i="2"/>
  <c r="C11112" i="2"/>
  <c r="B11112" i="2"/>
  <c r="C11111" i="2"/>
  <c r="B11111" i="2"/>
  <c r="C11110" i="2"/>
  <c r="B11110" i="2"/>
  <c r="C11109" i="2"/>
  <c r="B11109" i="2"/>
  <c r="C11108" i="2"/>
  <c r="B11108" i="2"/>
  <c r="C11107" i="2"/>
  <c r="B11107" i="2"/>
  <c r="C11106" i="2"/>
  <c r="B11106" i="2"/>
  <c r="C11105" i="2"/>
  <c r="B11105" i="2"/>
  <c r="C11104" i="2"/>
  <c r="B11104" i="2"/>
  <c r="C11103" i="2"/>
  <c r="B11103" i="2"/>
  <c r="C11102" i="2"/>
  <c r="B11102" i="2"/>
  <c r="C11101" i="2"/>
  <c r="B11101" i="2"/>
  <c r="C11100" i="2"/>
  <c r="B11100" i="2"/>
  <c r="C11099" i="2"/>
  <c r="B11099" i="2"/>
  <c r="C11098" i="2"/>
  <c r="B11098" i="2"/>
  <c r="C11097" i="2"/>
  <c r="B11097" i="2"/>
  <c r="C11096" i="2"/>
  <c r="B11096" i="2"/>
  <c r="C11095" i="2"/>
  <c r="B11095" i="2"/>
  <c r="C11094" i="2"/>
  <c r="B11094" i="2"/>
  <c r="C11093" i="2"/>
  <c r="B11093" i="2"/>
  <c r="C11092" i="2"/>
  <c r="B11092" i="2"/>
  <c r="C11091" i="2"/>
  <c r="B11091" i="2"/>
  <c r="C11090" i="2"/>
  <c r="B11090" i="2"/>
  <c r="C11089" i="2"/>
  <c r="B11089" i="2"/>
  <c r="C11088" i="2"/>
  <c r="B11088" i="2"/>
  <c r="C11087" i="2"/>
  <c r="B11087" i="2"/>
  <c r="C11086" i="2"/>
  <c r="B11086" i="2"/>
  <c r="C11085" i="2"/>
  <c r="B11085" i="2"/>
  <c r="C11084" i="2"/>
  <c r="B11084" i="2"/>
  <c r="C11083" i="2"/>
  <c r="B11083" i="2"/>
  <c r="C11082" i="2"/>
  <c r="B11082" i="2"/>
  <c r="C11081" i="2"/>
  <c r="B11081" i="2"/>
  <c r="C11080" i="2"/>
  <c r="B11080" i="2"/>
  <c r="C11079" i="2"/>
  <c r="B11079" i="2"/>
  <c r="C11078" i="2"/>
  <c r="B11078" i="2"/>
  <c r="C11077" i="2"/>
  <c r="B11077" i="2"/>
  <c r="C11076" i="2"/>
  <c r="B11076" i="2"/>
  <c r="C11075" i="2"/>
  <c r="B11075" i="2"/>
  <c r="C11074" i="2"/>
  <c r="B11074" i="2"/>
  <c r="C11073" i="2"/>
  <c r="B11073" i="2"/>
  <c r="C11072" i="2"/>
  <c r="B11072" i="2"/>
  <c r="C11071" i="2"/>
  <c r="B11071" i="2"/>
  <c r="C11070" i="2"/>
  <c r="B11070" i="2"/>
  <c r="C11069" i="2"/>
  <c r="B11069" i="2"/>
  <c r="C11068" i="2"/>
  <c r="B11068" i="2"/>
  <c r="C11067" i="2"/>
  <c r="B11067" i="2"/>
  <c r="C11066" i="2"/>
  <c r="B11066" i="2"/>
  <c r="C11065" i="2"/>
  <c r="B11065" i="2"/>
  <c r="C11064" i="2"/>
  <c r="B11064" i="2"/>
  <c r="C11063" i="2"/>
  <c r="B11063" i="2"/>
  <c r="C11062" i="2"/>
  <c r="B11062" i="2"/>
  <c r="C11061" i="2"/>
  <c r="B11061" i="2"/>
  <c r="C11060" i="2"/>
  <c r="B11060" i="2"/>
  <c r="C11059" i="2"/>
  <c r="B11059" i="2"/>
  <c r="C11058" i="2"/>
  <c r="B11058" i="2"/>
  <c r="C11057" i="2"/>
  <c r="B11057" i="2"/>
  <c r="C11056" i="2"/>
  <c r="B11056" i="2"/>
  <c r="C11055" i="2"/>
  <c r="B11055" i="2"/>
  <c r="C11054" i="2"/>
  <c r="B11054" i="2"/>
  <c r="C11053" i="2"/>
  <c r="B11053" i="2"/>
  <c r="C11052" i="2"/>
  <c r="B11052" i="2"/>
  <c r="C11051" i="2"/>
  <c r="B11051" i="2"/>
  <c r="C11050" i="2"/>
  <c r="B11050" i="2"/>
  <c r="C11049" i="2"/>
  <c r="B11049" i="2"/>
  <c r="C11048" i="2"/>
  <c r="B11048" i="2"/>
  <c r="C11047" i="2"/>
  <c r="B11047" i="2"/>
  <c r="C11046" i="2"/>
  <c r="B11046" i="2"/>
  <c r="C11045" i="2"/>
  <c r="B11045" i="2"/>
  <c r="C11044" i="2"/>
  <c r="B11044" i="2"/>
  <c r="C11043" i="2"/>
  <c r="B11043" i="2"/>
  <c r="C11042" i="2"/>
  <c r="B11042" i="2"/>
  <c r="C11041" i="2"/>
  <c r="B11041" i="2"/>
  <c r="C11040" i="2"/>
  <c r="B11040" i="2"/>
  <c r="C11039" i="2"/>
  <c r="B11039" i="2"/>
  <c r="C11038" i="2"/>
  <c r="B11038" i="2"/>
  <c r="C11037" i="2"/>
  <c r="B11037" i="2"/>
  <c r="C11036" i="2"/>
  <c r="B11036" i="2"/>
  <c r="C11035" i="2"/>
  <c r="B11035" i="2"/>
  <c r="C11034" i="2"/>
  <c r="B11034" i="2"/>
  <c r="C11033" i="2"/>
  <c r="B11033" i="2"/>
  <c r="C11032" i="2"/>
  <c r="B11032" i="2"/>
  <c r="C11031" i="2"/>
  <c r="B11031" i="2"/>
  <c r="C11030" i="2"/>
  <c r="B11030" i="2"/>
  <c r="C11029" i="2"/>
  <c r="B11029" i="2"/>
  <c r="C11028" i="2"/>
  <c r="B11028" i="2"/>
  <c r="C11027" i="2"/>
  <c r="B11027" i="2"/>
  <c r="C11026" i="2"/>
  <c r="B11026" i="2"/>
  <c r="C11025" i="2"/>
  <c r="B11025" i="2"/>
  <c r="C11024" i="2"/>
  <c r="B11024" i="2"/>
  <c r="C11023" i="2"/>
  <c r="B11023" i="2"/>
  <c r="C11022" i="2"/>
  <c r="B11022" i="2"/>
  <c r="C11021" i="2"/>
  <c r="B11021" i="2"/>
  <c r="C11020" i="2"/>
  <c r="B11020" i="2"/>
  <c r="C11019" i="2"/>
  <c r="B11019" i="2"/>
  <c r="C11018" i="2"/>
  <c r="B11018" i="2"/>
  <c r="C11017" i="2"/>
  <c r="B11017" i="2"/>
  <c r="C11016" i="2"/>
  <c r="B11016" i="2"/>
  <c r="C11015" i="2"/>
  <c r="B11015" i="2"/>
  <c r="C11014" i="2"/>
  <c r="B11014" i="2"/>
  <c r="C11013" i="2"/>
  <c r="B11013" i="2"/>
  <c r="C11012" i="2"/>
  <c r="B11012" i="2"/>
  <c r="C11011" i="2"/>
  <c r="B11011" i="2"/>
  <c r="C11010" i="2"/>
  <c r="B11010" i="2"/>
  <c r="C11009" i="2"/>
  <c r="B11009" i="2"/>
  <c r="C11008" i="2"/>
  <c r="B11008" i="2"/>
  <c r="C11007" i="2"/>
  <c r="B11007" i="2"/>
  <c r="C11006" i="2"/>
  <c r="B11006" i="2"/>
  <c r="C11005" i="2"/>
  <c r="B11005" i="2"/>
  <c r="C11004" i="2"/>
  <c r="B11004" i="2"/>
  <c r="C11003" i="2"/>
  <c r="B11003" i="2"/>
  <c r="C11002" i="2"/>
  <c r="B11002" i="2"/>
  <c r="C11001" i="2"/>
  <c r="B11001" i="2"/>
  <c r="C11000" i="2"/>
  <c r="B11000" i="2"/>
  <c r="C10999" i="2"/>
  <c r="B10999" i="2"/>
  <c r="C10998" i="2"/>
  <c r="B10998" i="2"/>
  <c r="C10997" i="2"/>
  <c r="B10997" i="2"/>
  <c r="C10996" i="2"/>
  <c r="B10996" i="2"/>
  <c r="C10995" i="2"/>
  <c r="B10995" i="2"/>
  <c r="C10994" i="2"/>
  <c r="B10994" i="2"/>
  <c r="C10993" i="2"/>
  <c r="B10993" i="2"/>
  <c r="C10992" i="2"/>
  <c r="B10992" i="2"/>
  <c r="C10991" i="2"/>
  <c r="B10991" i="2"/>
  <c r="C10990" i="2"/>
  <c r="B10990" i="2"/>
  <c r="C10989" i="2"/>
  <c r="B10989" i="2"/>
  <c r="C10988" i="2"/>
  <c r="B10988" i="2"/>
  <c r="C10987" i="2"/>
  <c r="B10987" i="2"/>
  <c r="C10986" i="2"/>
  <c r="B10986" i="2"/>
  <c r="C10985" i="2"/>
  <c r="B10985" i="2"/>
  <c r="C10984" i="2"/>
  <c r="B10984" i="2"/>
  <c r="C10983" i="2"/>
  <c r="B10983" i="2"/>
  <c r="C10982" i="2"/>
  <c r="B10982" i="2"/>
  <c r="C10981" i="2"/>
  <c r="B10981" i="2"/>
  <c r="C10980" i="2"/>
  <c r="B10980" i="2"/>
  <c r="C10979" i="2"/>
  <c r="B10979" i="2"/>
  <c r="C10978" i="2"/>
  <c r="B10978" i="2"/>
  <c r="C10977" i="2"/>
  <c r="B10977" i="2"/>
  <c r="C10976" i="2"/>
  <c r="B10976" i="2"/>
  <c r="C10975" i="2"/>
  <c r="B10975" i="2"/>
  <c r="C10974" i="2"/>
  <c r="B10974" i="2"/>
  <c r="C10973" i="2"/>
  <c r="B10973" i="2"/>
  <c r="C10972" i="2"/>
  <c r="B10972" i="2"/>
  <c r="C10971" i="2"/>
  <c r="B10971" i="2"/>
  <c r="C10970" i="2"/>
  <c r="B10970" i="2"/>
  <c r="C10969" i="2"/>
  <c r="B10969" i="2"/>
  <c r="C10968" i="2"/>
  <c r="B10968" i="2"/>
  <c r="C10967" i="2"/>
  <c r="B10967" i="2"/>
  <c r="C10966" i="2"/>
  <c r="B10966" i="2"/>
  <c r="C10965" i="2"/>
  <c r="B10965" i="2"/>
  <c r="C10964" i="2"/>
  <c r="B10964" i="2"/>
  <c r="C10963" i="2"/>
  <c r="B10963" i="2"/>
  <c r="C10962" i="2"/>
  <c r="B10962" i="2"/>
  <c r="C10961" i="2"/>
  <c r="B10961" i="2"/>
  <c r="C10960" i="2"/>
  <c r="B10960" i="2"/>
  <c r="C10959" i="2"/>
  <c r="B10959" i="2"/>
  <c r="C10958" i="2"/>
  <c r="B10958" i="2"/>
  <c r="C10957" i="2"/>
  <c r="B10957" i="2"/>
  <c r="C10956" i="2"/>
  <c r="B10956" i="2"/>
  <c r="C10955" i="2"/>
  <c r="B10955" i="2"/>
  <c r="C10954" i="2"/>
  <c r="B10954" i="2"/>
  <c r="C10953" i="2"/>
  <c r="B10953" i="2"/>
  <c r="C10952" i="2"/>
  <c r="B10952" i="2"/>
  <c r="C10951" i="2"/>
  <c r="B10951" i="2"/>
  <c r="C10950" i="2"/>
  <c r="B10950" i="2"/>
  <c r="C10949" i="2"/>
  <c r="B10949" i="2"/>
  <c r="C10948" i="2"/>
  <c r="B10948" i="2"/>
  <c r="C10947" i="2"/>
  <c r="B10947" i="2"/>
  <c r="C10946" i="2"/>
  <c r="B10946" i="2"/>
  <c r="C10945" i="2"/>
  <c r="B10945" i="2"/>
  <c r="C10944" i="2"/>
  <c r="B10944" i="2"/>
  <c r="C10943" i="2"/>
  <c r="B10943" i="2"/>
  <c r="C10942" i="2"/>
  <c r="B10942" i="2"/>
  <c r="C10941" i="2"/>
  <c r="B10941" i="2"/>
  <c r="C10940" i="2"/>
  <c r="B10940" i="2"/>
  <c r="C10939" i="2"/>
  <c r="B10939" i="2"/>
  <c r="C10938" i="2"/>
  <c r="B10938" i="2"/>
  <c r="C10937" i="2"/>
  <c r="B10937" i="2"/>
  <c r="C10936" i="2"/>
  <c r="B10936" i="2"/>
  <c r="C10935" i="2"/>
  <c r="B10935" i="2"/>
  <c r="C10934" i="2"/>
  <c r="B10934" i="2"/>
  <c r="C10933" i="2"/>
  <c r="B10933" i="2"/>
  <c r="C10932" i="2"/>
  <c r="B10932" i="2"/>
  <c r="C10931" i="2"/>
  <c r="B10931" i="2"/>
  <c r="C10930" i="2"/>
  <c r="B10930" i="2"/>
  <c r="C10929" i="2"/>
  <c r="B10929" i="2"/>
  <c r="C10928" i="2"/>
  <c r="B10928" i="2"/>
  <c r="C10927" i="2"/>
  <c r="B10927" i="2"/>
  <c r="C10926" i="2"/>
  <c r="B10926" i="2"/>
  <c r="C10925" i="2"/>
  <c r="B10925" i="2"/>
  <c r="C10924" i="2"/>
  <c r="B10924" i="2"/>
  <c r="C10923" i="2"/>
  <c r="B10923" i="2"/>
  <c r="C10922" i="2"/>
  <c r="B10922" i="2"/>
  <c r="C10921" i="2"/>
  <c r="B10921" i="2"/>
  <c r="C10920" i="2"/>
  <c r="B10920" i="2"/>
  <c r="C10919" i="2"/>
  <c r="B10919" i="2"/>
  <c r="C10918" i="2"/>
  <c r="B10918" i="2"/>
  <c r="C10917" i="2"/>
  <c r="B10917" i="2"/>
  <c r="C10916" i="2"/>
  <c r="B10916" i="2"/>
  <c r="C10915" i="2"/>
  <c r="B10915" i="2"/>
  <c r="C10914" i="2"/>
  <c r="B10914" i="2"/>
  <c r="C10913" i="2"/>
  <c r="B10913" i="2"/>
  <c r="C10912" i="2"/>
  <c r="B10912" i="2"/>
  <c r="C10911" i="2"/>
  <c r="B10911" i="2"/>
  <c r="C10910" i="2"/>
  <c r="B10910" i="2"/>
  <c r="C10909" i="2"/>
  <c r="B10909" i="2"/>
  <c r="C10908" i="2"/>
  <c r="B10908" i="2"/>
  <c r="C10907" i="2"/>
  <c r="B10907" i="2"/>
  <c r="C10906" i="2"/>
  <c r="B10906" i="2"/>
  <c r="C10905" i="2"/>
  <c r="B10905" i="2"/>
  <c r="C10904" i="2"/>
  <c r="B10904" i="2"/>
  <c r="C10903" i="2"/>
  <c r="B10903" i="2"/>
  <c r="C10902" i="2"/>
  <c r="B10902" i="2"/>
  <c r="C10901" i="2"/>
  <c r="B10901" i="2"/>
  <c r="C10900" i="2"/>
  <c r="B10900" i="2"/>
  <c r="C10899" i="2"/>
  <c r="B10899" i="2"/>
  <c r="C10898" i="2"/>
  <c r="B10898" i="2"/>
  <c r="C10897" i="2"/>
  <c r="B10897" i="2"/>
  <c r="C10896" i="2"/>
  <c r="B10896" i="2"/>
  <c r="C10895" i="2"/>
  <c r="B10895" i="2"/>
  <c r="C10894" i="2"/>
  <c r="B10894" i="2"/>
  <c r="C10893" i="2"/>
  <c r="B10893" i="2"/>
  <c r="C10892" i="2"/>
  <c r="B10892" i="2"/>
  <c r="C10891" i="2"/>
  <c r="B10891" i="2"/>
  <c r="C10890" i="2"/>
  <c r="B10890" i="2"/>
  <c r="C10889" i="2"/>
  <c r="B10889" i="2"/>
  <c r="C10888" i="2"/>
  <c r="B10888" i="2"/>
  <c r="C10887" i="2"/>
  <c r="B10887" i="2"/>
  <c r="C10886" i="2"/>
  <c r="B10886" i="2"/>
  <c r="C10885" i="2"/>
  <c r="B10885" i="2"/>
  <c r="C10884" i="2"/>
  <c r="B10884" i="2"/>
  <c r="C10883" i="2"/>
  <c r="B10883" i="2"/>
  <c r="C10882" i="2"/>
  <c r="B10882" i="2"/>
  <c r="C10881" i="2"/>
  <c r="B10881" i="2"/>
  <c r="C10880" i="2"/>
  <c r="B10880" i="2"/>
  <c r="C10879" i="2"/>
  <c r="B10879" i="2"/>
  <c r="C10878" i="2"/>
  <c r="B10878" i="2"/>
  <c r="C10877" i="2"/>
  <c r="B10877" i="2"/>
  <c r="C10876" i="2"/>
  <c r="B10876" i="2"/>
  <c r="C10875" i="2"/>
  <c r="B10875" i="2"/>
  <c r="C10874" i="2"/>
  <c r="B10874" i="2"/>
  <c r="C10873" i="2"/>
  <c r="B10873" i="2"/>
  <c r="C10872" i="2"/>
  <c r="B10872" i="2"/>
  <c r="C10871" i="2"/>
  <c r="B10871" i="2"/>
  <c r="C10870" i="2"/>
  <c r="B10870" i="2"/>
  <c r="C10869" i="2"/>
  <c r="B10869" i="2"/>
  <c r="C10868" i="2"/>
  <c r="B10868" i="2"/>
  <c r="C10867" i="2"/>
  <c r="B10867" i="2"/>
  <c r="C10866" i="2"/>
  <c r="B10866" i="2"/>
  <c r="C10865" i="2"/>
  <c r="B10865" i="2"/>
  <c r="C10864" i="2"/>
  <c r="B10864" i="2"/>
  <c r="C10863" i="2"/>
  <c r="B10863" i="2"/>
  <c r="C10862" i="2"/>
  <c r="B10862" i="2"/>
  <c r="C10861" i="2"/>
  <c r="B10861" i="2"/>
  <c r="C10860" i="2"/>
  <c r="B10860" i="2"/>
  <c r="C10859" i="2"/>
  <c r="B10859" i="2"/>
  <c r="C10858" i="2"/>
  <c r="B10858" i="2"/>
  <c r="C10857" i="2"/>
  <c r="B10857" i="2"/>
  <c r="C10856" i="2"/>
  <c r="B10856" i="2"/>
  <c r="C10855" i="2"/>
  <c r="B10855" i="2"/>
  <c r="C10854" i="2"/>
  <c r="B10854" i="2"/>
  <c r="C10853" i="2"/>
  <c r="B10853" i="2"/>
  <c r="C10852" i="2"/>
  <c r="B10852" i="2"/>
  <c r="C10851" i="2"/>
  <c r="B10851" i="2"/>
  <c r="C10850" i="2"/>
  <c r="B10850" i="2"/>
  <c r="C10849" i="2"/>
  <c r="B10849" i="2"/>
  <c r="C10848" i="2"/>
  <c r="B10848" i="2"/>
  <c r="C10847" i="2"/>
  <c r="B10847" i="2"/>
  <c r="C10846" i="2"/>
  <c r="B10846" i="2"/>
  <c r="C10845" i="2"/>
  <c r="B10845" i="2"/>
  <c r="C10844" i="2"/>
  <c r="B10844" i="2"/>
  <c r="C10843" i="2"/>
  <c r="B10843" i="2"/>
  <c r="C10842" i="2"/>
  <c r="B10842" i="2"/>
  <c r="C10841" i="2"/>
  <c r="B10841" i="2"/>
  <c r="C10840" i="2"/>
  <c r="B10840" i="2"/>
  <c r="C10839" i="2"/>
  <c r="B10839" i="2"/>
  <c r="C10838" i="2"/>
  <c r="B10838" i="2"/>
  <c r="C10837" i="2"/>
  <c r="B10837" i="2"/>
  <c r="C10836" i="2"/>
  <c r="B10836" i="2"/>
  <c r="C10835" i="2"/>
  <c r="B10835" i="2"/>
  <c r="C10834" i="2"/>
  <c r="B10834" i="2"/>
  <c r="C10833" i="2"/>
  <c r="B10833" i="2"/>
  <c r="C10832" i="2"/>
  <c r="B10832" i="2"/>
  <c r="C10831" i="2"/>
  <c r="B10831" i="2"/>
  <c r="C10830" i="2"/>
  <c r="B10830" i="2"/>
  <c r="C10829" i="2"/>
  <c r="B10829" i="2"/>
  <c r="C10828" i="2"/>
  <c r="B10828" i="2"/>
  <c r="C10827" i="2"/>
  <c r="B10827" i="2"/>
  <c r="C10826" i="2"/>
  <c r="B10826" i="2"/>
  <c r="C10825" i="2"/>
  <c r="B10825" i="2"/>
  <c r="C10824" i="2"/>
  <c r="B10824" i="2"/>
  <c r="C10823" i="2"/>
  <c r="B10823" i="2"/>
  <c r="C10822" i="2"/>
  <c r="B10822" i="2"/>
  <c r="C10821" i="2"/>
  <c r="B10821" i="2"/>
  <c r="C10820" i="2"/>
  <c r="B10820" i="2"/>
  <c r="C10819" i="2"/>
  <c r="B10819" i="2"/>
  <c r="C10818" i="2"/>
  <c r="B10818" i="2"/>
  <c r="C10817" i="2"/>
  <c r="B10817" i="2"/>
  <c r="C10816" i="2"/>
  <c r="B10816" i="2"/>
  <c r="C10815" i="2"/>
  <c r="B10815" i="2"/>
  <c r="C10814" i="2"/>
  <c r="B10814" i="2"/>
  <c r="C10813" i="2"/>
  <c r="B10813" i="2"/>
  <c r="C10812" i="2"/>
  <c r="B10812" i="2"/>
  <c r="C10811" i="2"/>
  <c r="B10811" i="2"/>
  <c r="C10810" i="2"/>
  <c r="B10810" i="2"/>
  <c r="C10809" i="2"/>
  <c r="B10809" i="2"/>
  <c r="C10808" i="2"/>
  <c r="B10808" i="2"/>
  <c r="C10807" i="2"/>
  <c r="B10807" i="2"/>
  <c r="C10806" i="2"/>
  <c r="B10806" i="2"/>
  <c r="C10805" i="2"/>
  <c r="B10805" i="2"/>
  <c r="C10804" i="2"/>
  <c r="B10804" i="2"/>
  <c r="C10803" i="2"/>
  <c r="B10803" i="2"/>
  <c r="C10802" i="2"/>
  <c r="B10802" i="2"/>
  <c r="C10801" i="2"/>
  <c r="B10801" i="2"/>
  <c r="C10800" i="2"/>
  <c r="B10800" i="2"/>
  <c r="C10799" i="2"/>
  <c r="B10799" i="2"/>
  <c r="C10798" i="2"/>
  <c r="B10798" i="2"/>
  <c r="C10797" i="2"/>
  <c r="B10797" i="2"/>
  <c r="C10796" i="2"/>
  <c r="B10796" i="2"/>
  <c r="C10795" i="2"/>
  <c r="B10795" i="2"/>
  <c r="C10794" i="2"/>
  <c r="B10794" i="2"/>
  <c r="C10793" i="2"/>
  <c r="B10793" i="2"/>
  <c r="C10792" i="2"/>
  <c r="B10792" i="2"/>
  <c r="C10791" i="2"/>
  <c r="B10791" i="2"/>
  <c r="C10790" i="2"/>
  <c r="B10790" i="2"/>
  <c r="C10789" i="2"/>
  <c r="B10789" i="2"/>
  <c r="C10788" i="2"/>
  <c r="B10788" i="2"/>
  <c r="C10787" i="2"/>
  <c r="B10787" i="2"/>
  <c r="C10786" i="2"/>
  <c r="B10786" i="2"/>
  <c r="C10785" i="2"/>
  <c r="B10785" i="2"/>
  <c r="C10784" i="2"/>
  <c r="B10784" i="2"/>
  <c r="C10783" i="2"/>
  <c r="B10783" i="2"/>
  <c r="C10782" i="2"/>
  <c r="B10782" i="2"/>
  <c r="C10781" i="2"/>
  <c r="B10781" i="2"/>
  <c r="C10780" i="2"/>
  <c r="B10780" i="2"/>
  <c r="C10779" i="2"/>
  <c r="B10779" i="2"/>
  <c r="C10778" i="2"/>
  <c r="B10778" i="2"/>
  <c r="C10777" i="2"/>
  <c r="B10777" i="2"/>
  <c r="C10776" i="2"/>
  <c r="B10776" i="2"/>
  <c r="C10775" i="2"/>
  <c r="B10775" i="2"/>
  <c r="C10774" i="2"/>
  <c r="B10774" i="2"/>
  <c r="C10773" i="2"/>
  <c r="B10773" i="2"/>
  <c r="C10772" i="2"/>
  <c r="B10772" i="2"/>
  <c r="C10771" i="2"/>
  <c r="B10771" i="2"/>
  <c r="C10770" i="2"/>
  <c r="B10770" i="2"/>
  <c r="C10769" i="2"/>
  <c r="B10769" i="2"/>
  <c r="C10768" i="2"/>
  <c r="B10768" i="2"/>
  <c r="C10767" i="2"/>
  <c r="B10767" i="2"/>
  <c r="C10766" i="2"/>
  <c r="B10766" i="2"/>
  <c r="C10765" i="2"/>
  <c r="B10765" i="2"/>
  <c r="C10764" i="2"/>
  <c r="B10764" i="2"/>
  <c r="C10763" i="2"/>
  <c r="B10763" i="2"/>
  <c r="C10762" i="2"/>
  <c r="B10762" i="2"/>
  <c r="C10761" i="2"/>
  <c r="B10761" i="2"/>
  <c r="C10760" i="2"/>
  <c r="B10760" i="2"/>
  <c r="C10759" i="2"/>
  <c r="B10759" i="2"/>
  <c r="C10758" i="2"/>
  <c r="B10758" i="2"/>
  <c r="C10757" i="2"/>
  <c r="B10757" i="2"/>
  <c r="C10756" i="2"/>
  <c r="B10756" i="2"/>
  <c r="C10755" i="2"/>
  <c r="B10755" i="2"/>
  <c r="C10754" i="2"/>
  <c r="B10754" i="2"/>
  <c r="C10753" i="2"/>
  <c r="B10753" i="2"/>
  <c r="C10752" i="2"/>
  <c r="B10752" i="2"/>
  <c r="C10751" i="2"/>
  <c r="B10751" i="2"/>
  <c r="C10750" i="2"/>
  <c r="B10750" i="2"/>
  <c r="C10749" i="2"/>
  <c r="B10749" i="2"/>
  <c r="C10748" i="2"/>
  <c r="B10748" i="2"/>
  <c r="C10747" i="2"/>
  <c r="B10747" i="2"/>
  <c r="C10746" i="2"/>
  <c r="B10746" i="2"/>
  <c r="C10745" i="2"/>
  <c r="B10745" i="2"/>
  <c r="C10744" i="2"/>
  <c r="B10744" i="2"/>
  <c r="C10743" i="2"/>
  <c r="B10743" i="2"/>
  <c r="C10742" i="2"/>
  <c r="B10742" i="2"/>
  <c r="C10741" i="2"/>
  <c r="B10741" i="2"/>
  <c r="C10740" i="2"/>
  <c r="B10740" i="2"/>
  <c r="C10739" i="2"/>
  <c r="B10739" i="2"/>
  <c r="C10738" i="2"/>
  <c r="B10738" i="2"/>
  <c r="C10737" i="2"/>
  <c r="B10737" i="2"/>
  <c r="C10736" i="2"/>
  <c r="B10736" i="2"/>
  <c r="C10735" i="2"/>
  <c r="B10735" i="2"/>
  <c r="C10734" i="2"/>
  <c r="B10734" i="2"/>
  <c r="C10733" i="2"/>
  <c r="B10733" i="2"/>
  <c r="C10732" i="2"/>
  <c r="B10732" i="2"/>
  <c r="C10731" i="2"/>
  <c r="B10731" i="2"/>
  <c r="C10730" i="2"/>
  <c r="B10730" i="2"/>
  <c r="C10729" i="2"/>
  <c r="B10729" i="2"/>
  <c r="C10728" i="2"/>
  <c r="B10728" i="2"/>
  <c r="C10727" i="2"/>
  <c r="B10727" i="2"/>
  <c r="C10726" i="2"/>
  <c r="B10726" i="2"/>
  <c r="C10725" i="2"/>
  <c r="B10725" i="2"/>
  <c r="C10724" i="2"/>
  <c r="B10724" i="2"/>
  <c r="C10723" i="2"/>
  <c r="B10723" i="2"/>
  <c r="C10722" i="2"/>
  <c r="B10722" i="2"/>
  <c r="C10721" i="2"/>
  <c r="B10721" i="2"/>
  <c r="C10720" i="2"/>
  <c r="B10720" i="2"/>
  <c r="C10719" i="2"/>
  <c r="B10719" i="2"/>
  <c r="C10718" i="2"/>
  <c r="B10718" i="2"/>
  <c r="C10717" i="2"/>
  <c r="B10717" i="2"/>
  <c r="C10716" i="2"/>
  <c r="B10716" i="2"/>
  <c r="C10715" i="2"/>
  <c r="B10715" i="2"/>
  <c r="C10714" i="2"/>
  <c r="B10714" i="2"/>
  <c r="C10713" i="2"/>
  <c r="B10713" i="2"/>
  <c r="C10712" i="2"/>
  <c r="B10712" i="2"/>
  <c r="C10711" i="2"/>
  <c r="B10711" i="2"/>
  <c r="C10710" i="2"/>
  <c r="B10710" i="2"/>
  <c r="C10709" i="2"/>
  <c r="B10709" i="2"/>
  <c r="C10708" i="2"/>
  <c r="B10708" i="2"/>
  <c r="C10707" i="2"/>
  <c r="B10707" i="2"/>
  <c r="C10706" i="2"/>
  <c r="B10706" i="2"/>
  <c r="C10705" i="2"/>
  <c r="B10705" i="2"/>
  <c r="C10704" i="2"/>
  <c r="B10704" i="2"/>
  <c r="C10703" i="2"/>
  <c r="B10703" i="2"/>
  <c r="C10702" i="2"/>
  <c r="B10702" i="2"/>
  <c r="C10701" i="2"/>
  <c r="B10701" i="2"/>
  <c r="C10700" i="2"/>
  <c r="B10700" i="2"/>
  <c r="C10699" i="2"/>
  <c r="B10699" i="2"/>
  <c r="C10698" i="2"/>
  <c r="B10698" i="2"/>
  <c r="C10697" i="2"/>
  <c r="B10697" i="2"/>
  <c r="C10696" i="2"/>
  <c r="B10696" i="2"/>
  <c r="C10695" i="2"/>
  <c r="B10695" i="2"/>
  <c r="C10694" i="2"/>
  <c r="B10694" i="2"/>
  <c r="C10693" i="2"/>
  <c r="B10693" i="2"/>
  <c r="C10692" i="2"/>
  <c r="B10692" i="2"/>
  <c r="C10691" i="2"/>
  <c r="B10691" i="2"/>
  <c r="C10690" i="2"/>
  <c r="B10690" i="2"/>
  <c r="C10689" i="2"/>
  <c r="B10689" i="2"/>
  <c r="C10688" i="2"/>
  <c r="B10688" i="2"/>
  <c r="C10687" i="2"/>
  <c r="B10687" i="2"/>
  <c r="C10686" i="2"/>
  <c r="B10686" i="2"/>
  <c r="C10685" i="2"/>
  <c r="B10685" i="2"/>
  <c r="C10684" i="2"/>
  <c r="B10684" i="2"/>
  <c r="C10683" i="2"/>
  <c r="B10683" i="2"/>
  <c r="C10682" i="2"/>
  <c r="B10682" i="2"/>
  <c r="C10681" i="2"/>
  <c r="B10681" i="2"/>
  <c r="C10680" i="2"/>
  <c r="B10680" i="2"/>
  <c r="C10679" i="2"/>
  <c r="B10679" i="2"/>
  <c r="C10678" i="2"/>
  <c r="B10678" i="2"/>
  <c r="C10677" i="2"/>
  <c r="B10677" i="2"/>
  <c r="C10676" i="2"/>
  <c r="B10676" i="2"/>
  <c r="C10675" i="2"/>
  <c r="B10675" i="2"/>
  <c r="C10674" i="2"/>
  <c r="B10674" i="2"/>
  <c r="C10673" i="2"/>
  <c r="B10673" i="2"/>
  <c r="C10672" i="2"/>
  <c r="B10672" i="2"/>
  <c r="C10671" i="2"/>
  <c r="B10671" i="2"/>
  <c r="C10670" i="2"/>
  <c r="B10670" i="2"/>
  <c r="C10669" i="2"/>
  <c r="B10669" i="2"/>
  <c r="C10668" i="2"/>
  <c r="B10668" i="2"/>
  <c r="C10667" i="2"/>
  <c r="B10667" i="2"/>
  <c r="C10666" i="2"/>
  <c r="B10666" i="2"/>
  <c r="C10665" i="2"/>
  <c r="B10665" i="2"/>
  <c r="C10664" i="2"/>
  <c r="B10664" i="2"/>
  <c r="C10663" i="2"/>
  <c r="B10663" i="2"/>
  <c r="C10662" i="2"/>
  <c r="B10662" i="2"/>
  <c r="C10661" i="2"/>
  <c r="B10661" i="2"/>
  <c r="C10660" i="2"/>
  <c r="B10660" i="2"/>
  <c r="C10659" i="2"/>
  <c r="B10659" i="2"/>
  <c r="C10658" i="2"/>
  <c r="B10658" i="2"/>
  <c r="C10657" i="2"/>
  <c r="B10657" i="2"/>
  <c r="C10656" i="2"/>
  <c r="B10656" i="2"/>
  <c r="C10655" i="2"/>
  <c r="B10655" i="2"/>
  <c r="C10654" i="2"/>
  <c r="B10654" i="2"/>
  <c r="C10653" i="2"/>
  <c r="B10653" i="2"/>
  <c r="C10652" i="2"/>
  <c r="B10652" i="2"/>
  <c r="C10651" i="2"/>
  <c r="B10651" i="2"/>
  <c r="C10650" i="2"/>
  <c r="B10650" i="2"/>
  <c r="C10649" i="2"/>
  <c r="B10649" i="2"/>
  <c r="C10648" i="2"/>
  <c r="B10648" i="2"/>
  <c r="C10647" i="2"/>
  <c r="B10647" i="2"/>
  <c r="C10646" i="2"/>
  <c r="B10646" i="2"/>
  <c r="C10645" i="2"/>
  <c r="B10645" i="2"/>
  <c r="C10644" i="2"/>
  <c r="B10644" i="2"/>
  <c r="C10643" i="2"/>
  <c r="B10643" i="2"/>
  <c r="C10642" i="2"/>
  <c r="B10642" i="2"/>
  <c r="C10641" i="2"/>
  <c r="B10641" i="2"/>
  <c r="C10640" i="2"/>
  <c r="B10640" i="2"/>
  <c r="C10639" i="2"/>
  <c r="B10639" i="2"/>
  <c r="C10638" i="2"/>
  <c r="B10638" i="2"/>
  <c r="C10637" i="2"/>
  <c r="B10637" i="2"/>
  <c r="C10636" i="2"/>
  <c r="B10636" i="2"/>
  <c r="C10635" i="2"/>
  <c r="B10635" i="2"/>
  <c r="C10634" i="2"/>
  <c r="B10634" i="2"/>
  <c r="C10633" i="2"/>
  <c r="B10633" i="2"/>
  <c r="C10632" i="2"/>
  <c r="B10632" i="2"/>
  <c r="C10631" i="2"/>
  <c r="B10631" i="2"/>
  <c r="C10630" i="2"/>
  <c r="B10630" i="2"/>
  <c r="C10629" i="2"/>
  <c r="B10629" i="2"/>
  <c r="C10628" i="2"/>
  <c r="B10628" i="2"/>
  <c r="C10627" i="2"/>
  <c r="B10627" i="2"/>
  <c r="C10626" i="2"/>
  <c r="B10626" i="2"/>
  <c r="C10625" i="2"/>
  <c r="B10625" i="2"/>
  <c r="C10624" i="2"/>
  <c r="B10624" i="2"/>
  <c r="C10623" i="2"/>
  <c r="B10623" i="2"/>
  <c r="C10622" i="2"/>
  <c r="B10622" i="2"/>
  <c r="C10621" i="2"/>
  <c r="B10621" i="2"/>
  <c r="C10620" i="2"/>
  <c r="B10620" i="2"/>
  <c r="C10619" i="2"/>
  <c r="B10619" i="2"/>
  <c r="C10618" i="2"/>
  <c r="B10618" i="2"/>
  <c r="C10617" i="2"/>
  <c r="B10617" i="2"/>
  <c r="C10616" i="2"/>
  <c r="B10616" i="2"/>
  <c r="C10615" i="2"/>
  <c r="B10615" i="2"/>
  <c r="C10614" i="2"/>
  <c r="B10614" i="2"/>
  <c r="C10613" i="2"/>
  <c r="B10613" i="2"/>
  <c r="C10612" i="2"/>
  <c r="B10612" i="2"/>
  <c r="C10611" i="2"/>
  <c r="B10611" i="2"/>
  <c r="C10610" i="2"/>
  <c r="B10610" i="2"/>
  <c r="C10609" i="2"/>
  <c r="B10609" i="2"/>
  <c r="C10608" i="2"/>
  <c r="B10608" i="2"/>
  <c r="C10607" i="2"/>
  <c r="B10607" i="2"/>
  <c r="C10606" i="2"/>
  <c r="B10606" i="2"/>
  <c r="C10605" i="2"/>
  <c r="B10605" i="2"/>
  <c r="C10604" i="2"/>
  <c r="B10604" i="2"/>
  <c r="C10603" i="2"/>
  <c r="B10603" i="2"/>
  <c r="C10602" i="2"/>
  <c r="B10602" i="2"/>
  <c r="C10601" i="2"/>
  <c r="B10601" i="2"/>
  <c r="C10600" i="2"/>
  <c r="B10600" i="2"/>
  <c r="C10599" i="2"/>
  <c r="B10599" i="2"/>
  <c r="C10598" i="2"/>
  <c r="B10598" i="2"/>
  <c r="C10597" i="2"/>
  <c r="B10597" i="2"/>
  <c r="C10596" i="2"/>
  <c r="B10596" i="2"/>
  <c r="C10595" i="2"/>
  <c r="B10595" i="2"/>
  <c r="C10594" i="2"/>
  <c r="B10594" i="2"/>
  <c r="C10593" i="2"/>
  <c r="B10593" i="2"/>
  <c r="C10592" i="2"/>
  <c r="B10592" i="2"/>
  <c r="C10591" i="2"/>
  <c r="B10591" i="2"/>
  <c r="C10590" i="2"/>
  <c r="B10590" i="2"/>
  <c r="C10589" i="2"/>
  <c r="B10589" i="2"/>
  <c r="C10588" i="2"/>
  <c r="B10588" i="2"/>
  <c r="C10587" i="2"/>
  <c r="B10587" i="2"/>
  <c r="C10586" i="2"/>
  <c r="B10586" i="2"/>
  <c r="C10585" i="2"/>
  <c r="B10585" i="2"/>
  <c r="C10584" i="2"/>
  <c r="B10584" i="2"/>
  <c r="C10583" i="2"/>
  <c r="B10583" i="2"/>
  <c r="C10582" i="2"/>
  <c r="B10582" i="2"/>
  <c r="C10581" i="2"/>
  <c r="B10581" i="2"/>
  <c r="C10580" i="2"/>
  <c r="B10580" i="2"/>
  <c r="C10579" i="2"/>
  <c r="B10579" i="2"/>
  <c r="C10578" i="2"/>
  <c r="B10578" i="2"/>
  <c r="C10577" i="2"/>
  <c r="B10577" i="2"/>
  <c r="C10576" i="2"/>
  <c r="B10576" i="2"/>
  <c r="C10575" i="2"/>
  <c r="B10575" i="2"/>
  <c r="C10574" i="2"/>
  <c r="B10574" i="2"/>
  <c r="C10573" i="2"/>
  <c r="B10573" i="2"/>
  <c r="C10572" i="2"/>
  <c r="B10572" i="2"/>
  <c r="C10571" i="2"/>
  <c r="B10571" i="2"/>
  <c r="C10570" i="2"/>
  <c r="B10570" i="2"/>
  <c r="C10569" i="2"/>
  <c r="B10569" i="2"/>
  <c r="C10568" i="2"/>
  <c r="B10568" i="2"/>
  <c r="C10567" i="2"/>
  <c r="B10567" i="2"/>
  <c r="C10566" i="2"/>
  <c r="B10566" i="2"/>
  <c r="C10565" i="2"/>
  <c r="B10565" i="2"/>
  <c r="C10564" i="2"/>
  <c r="B10564" i="2"/>
  <c r="C10563" i="2"/>
  <c r="B10563" i="2"/>
  <c r="C10562" i="2"/>
  <c r="B10562" i="2"/>
  <c r="C10561" i="2"/>
  <c r="B10561" i="2"/>
  <c r="C10560" i="2"/>
  <c r="B10560" i="2"/>
  <c r="C10559" i="2"/>
  <c r="B10559" i="2"/>
  <c r="C10558" i="2"/>
  <c r="B10558" i="2"/>
  <c r="C10557" i="2"/>
  <c r="B10557" i="2"/>
  <c r="C10556" i="2"/>
  <c r="B10556" i="2"/>
  <c r="C10555" i="2"/>
  <c r="B10555" i="2"/>
  <c r="C10554" i="2"/>
  <c r="B10554" i="2"/>
  <c r="C10553" i="2"/>
  <c r="B10553" i="2"/>
  <c r="C10552" i="2"/>
  <c r="B10552" i="2"/>
  <c r="C10551" i="2"/>
  <c r="B10551" i="2"/>
  <c r="C10550" i="2"/>
  <c r="B10550" i="2"/>
  <c r="C10549" i="2"/>
  <c r="B10549" i="2"/>
  <c r="C10548" i="2"/>
  <c r="B10548" i="2"/>
  <c r="C10547" i="2"/>
  <c r="B10547" i="2"/>
  <c r="C10546" i="2"/>
  <c r="B10546" i="2"/>
  <c r="C10545" i="2"/>
  <c r="B10545" i="2"/>
  <c r="C10544" i="2"/>
  <c r="B10544" i="2"/>
  <c r="C10543" i="2"/>
  <c r="B10543" i="2"/>
  <c r="C10542" i="2"/>
  <c r="B10542" i="2"/>
  <c r="C10541" i="2"/>
  <c r="B10541" i="2"/>
  <c r="C10540" i="2"/>
  <c r="B10540" i="2"/>
  <c r="C10539" i="2"/>
  <c r="B10539" i="2"/>
  <c r="C10538" i="2"/>
  <c r="B10538" i="2"/>
  <c r="C10537" i="2"/>
  <c r="B10537" i="2"/>
  <c r="C10536" i="2"/>
  <c r="B10536" i="2"/>
  <c r="C10535" i="2"/>
  <c r="B10535" i="2"/>
  <c r="C10534" i="2"/>
  <c r="B10534" i="2"/>
  <c r="C10533" i="2"/>
  <c r="B10533" i="2"/>
  <c r="C10532" i="2"/>
  <c r="B10532" i="2"/>
  <c r="C10531" i="2"/>
  <c r="B10531" i="2"/>
  <c r="C10530" i="2"/>
  <c r="B10530" i="2"/>
  <c r="C10529" i="2"/>
  <c r="B10529" i="2"/>
  <c r="C10528" i="2"/>
  <c r="B10528" i="2"/>
  <c r="C10527" i="2"/>
  <c r="B10527" i="2"/>
  <c r="C10526" i="2"/>
  <c r="B10526" i="2"/>
  <c r="C10525" i="2"/>
  <c r="B10525" i="2"/>
  <c r="C10524" i="2"/>
  <c r="B10524" i="2"/>
  <c r="C10523" i="2"/>
  <c r="B10523" i="2"/>
  <c r="C10522" i="2"/>
  <c r="B10522" i="2"/>
  <c r="C10521" i="2"/>
  <c r="B10521" i="2"/>
  <c r="C10520" i="2"/>
  <c r="B10520" i="2"/>
  <c r="C10519" i="2"/>
  <c r="B10519" i="2"/>
  <c r="C10518" i="2"/>
  <c r="B10518" i="2"/>
  <c r="C10517" i="2"/>
  <c r="B10517" i="2"/>
  <c r="C10516" i="2"/>
  <c r="B10516" i="2"/>
  <c r="C10515" i="2"/>
  <c r="B10515" i="2"/>
  <c r="C10514" i="2"/>
  <c r="B10514" i="2"/>
  <c r="C10513" i="2"/>
  <c r="B10513" i="2"/>
  <c r="C10512" i="2"/>
  <c r="B10512" i="2"/>
  <c r="C10511" i="2"/>
  <c r="B10511" i="2"/>
  <c r="C10510" i="2"/>
  <c r="B10510" i="2"/>
  <c r="C10509" i="2"/>
  <c r="B10509" i="2"/>
  <c r="C10508" i="2"/>
  <c r="B10508" i="2"/>
  <c r="C10507" i="2"/>
  <c r="B10507" i="2"/>
  <c r="C10506" i="2"/>
  <c r="B10506" i="2"/>
  <c r="C10505" i="2"/>
  <c r="B10505" i="2"/>
  <c r="C10504" i="2"/>
  <c r="B10504" i="2"/>
  <c r="C10503" i="2"/>
  <c r="B10503" i="2"/>
  <c r="C10502" i="2"/>
  <c r="B10502" i="2"/>
  <c r="C10501" i="2"/>
  <c r="B10501" i="2"/>
  <c r="C10500" i="2"/>
  <c r="B10500" i="2"/>
  <c r="C10499" i="2"/>
  <c r="B10499" i="2"/>
  <c r="C10498" i="2"/>
  <c r="B10498" i="2"/>
  <c r="C10497" i="2"/>
  <c r="B10497" i="2"/>
  <c r="C10496" i="2"/>
  <c r="B10496" i="2"/>
  <c r="C10495" i="2"/>
  <c r="B10495" i="2"/>
  <c r="C10494" i="2"/>
  <c r="B10494" i="2"/>
  <c r="C10493" i="2"/>
  <c r="B10493" i="2"/>
  <c r="C10492" i="2"/>
  <c r="B10492" i="2"/>
  <c r="C10491" i="2"/>
  <c r="B10491" i="2"/>
  <c r="C10490" i="2"/>
  <c r="B10490" i="2"/>
  <c r="C10489" i="2"/>
  <c r="B10489" i="2"/>
  <c r="C10488" i="2"/>
  <c r="B10488" i="2"/>
  <c r="C10487" i="2"/>
  <c r="B10487" i="2"/>
  <c r="C10486" i="2"/>
  <c r="B10486" i="2"/>
  <c r="C10485" i="2"/>
  <c r="B10485" i="2"/>
  <c r="C10484" i="2"/>
  <c r="B10484" i="2"/>
  <c r="C10483" i="2"/>
  <c r="B10483" i="2"/>
  <c r="C10482" i="2"/>
  <c r="B10482" i="2"/>
  <c r="C10481" i="2"/>
  <c r="B10481" i="2"/>
  <c r="C10480" i="2"/>
  <c r="B10480" i="2"/>
  <c r="C10479" i="2"/>
  <c r="B10479" i="2"/>
  <c r="C10478" i="2"/>
  <c r="B10478" i="2"/>
  <c r="C10477" i="2"/>
  <c r="B10477" i="2"/>
  <c r="C10476" i="2"/>
  <c r="B10476" i="2"/>
  <c r="C10475" i="2"/>
  <c r="B10475" i="2"/>
  <c r="C10474" i="2"/>
  <c r="B10474" i="2"/>
  <c r="C10473" i="2"/>
  <c r="B10473" i="2"/>
  <c r="C10472" i="2"/>
  <c r="B10472" i="2"/>
  <c r="C10471" i="2"/>
  <c r="B10471" i="2"/>
  <c r="C10470" i="2"/>
  <c r="B10470" i="2"/>
  <c r="C10469" i="2"/>
  <c r="B10469" i="2"/>
  <c r="C10468" i="2"/>
  <c r="B10468" i="2"/>
  <c r="C10467" i="2"/>
  <c r="B10467" i="2"/>
  <c r="C10466" i="2"/>
  <c r="B10466" i="2"/>
  <c r="C10465" i="2"/>
  <c r="B10465" i="2"/>
  <c r="C10464" i="2"/>
  <c r="B10464" i="2"/>
  <c r="C10463" i="2"/>
  <c r="B10463" i="2"/>
  <c r="C10462" i="2"/>
  <c r="B10462" i="2"/>
  <c r="C10461" i="2"/>
  <c r="B10461" i="2"/>
  <c r="C10460" i="2"/>
  <c r="B10460" i="2"/>
  <c r="C10459" i="2"/>
  <c r="B10459" i="2"/>
  <c r="C10458" i="2"/>
  <c r="B10458" i="2"/>
  <c r="C10457" i="2"/>
  <c r="B10457" i="2"/>
  <c r="C10456" i="2"/>
  <c r="B10456" i="2"/>
  <c r="C10455" i="2"/>
  <c r="B10455" i="2"/>
  <c r="C10454" i="2"/>
  <c r="B10454" i="2"/>
  <c r="C10453" i="2"/>
  <c r="B10453" i="2"/>
  <c r="C10452" i="2"/>
  <c r="B10452" i="2"/>
  <c r="C10451" i="2"/>
  <c r="B10451" i="2"/>
  <c r="C10450" i="2"/>
  <c r="B10450" i="2"/>
  <c r="C10449" i="2"/>
  <c r="B10449" i="2"/>
  <c r="C10448" i="2"/>
  <c r="B10448" i="2"/>
  <c r="C10447" i="2"/>
  <c r="B10447" i="2"/>
  <c r="C10446" i="2"/>
  <c r="B10446" i="2"/>
  <c r="C10445" i="2"/>
  <c r="B10445" i="2"/>
  <c r="C10444" i="2"/>
  <c r="B10444" i="2"/>
  <c r="C10443" i="2"/>
  <c r="B10443" i="2"/>
  <c r="C10442" i="2"/>
  <c r="B10442" i="2"/>
  <c r="C10441" i="2"/>
  <c r="B10441" i="2"/>
  <c r="C10440" i="2"/>
  <c r="B10440" i="2"/>
  <c r="C10439" i="2"/>
  <c r="B10439" i="2"/>
  <c r="C10438" i="2"/>
  <c r="B10438" i="2"/>
  <c r="C10437" i="2"/>
  <c r="B10437" i="2"/>
  <c r="C10436" i="2"/>
  <c r="B10436" i="2"/>
  <c r="C10435" i="2"/>
  <c r="B10435" i="2"/>
  <c r="C10434" i="2"/>
  <c r="B10434" i="2"/>
  <c r="C10433" i="2"/>
  <c r="B10433" i="2"/>
  <c r="C10432" i="2"/>
  <c r="B10432" i="2"/>
  <c r="C10431" i="2"/>
  <c r="B10431" i="2"/>
  <c r="C10430" i="2"/>
  <c r="B10430" i="2"/>
  <c r="C10429" i="2"/>
  <c r="B10429" i="2"/>
  <c r="C10428" i="2"/>
  <c r="B10428" i="2"/>
  <c r="C10427" i="2"/>
  <c r="B10427" i="2"/>
  <c r="C10426" i="2"/>
  <c r="B10426" i="2"/>
  <c r="C10425" i="2"/>
  <c r="B10425" i="2"/>
  <c r="C10424" i="2"/>
  <c r="B10424" i="2"/>
  <c r="C10423" i="2"/>
  <c r="B10423" i="2"/>
  <c r="C10422" i="2"/>
  <c r="B10422" i="2"/>
  <c r="C10421" i="2"/>
  <c r="B10421" i="2"/>
  <c r="C10420" i="2"/>
  <c r="B10420" i="2"/>
  <c r="C10419" i="2"/>
  <c r="B10419" i="2"/>
  <c r="C10418" i="2"/>
  <c r="B10418" i="2"/>
  <c r="C10417" i="2"/>
  <c r="B10417" i="2"/>
  <c r="C10416" i="2"/>
  <c r="B10416" i="2"/>
  <c r="C10415" i="2"/>
  <c r="B10415" i="2"/>
  <c r="C10414" i="2"/>
  <c r="B10414" i="2"/>
  <c r="C10413" i="2"/>
  <c r="B10413" i="2"/>
  <c r="C10412" i="2"/>
  <c r="B10412" i="2"/>
  <c r="C10411" i="2"/>
  <c r="B10411" i="2"/>
  <c r="C10410" i="2"/>
  <c r="B10410" i="2"/>
  <c r="C10409" i="2"/>
  <c r="B10409" i="2"/>
  <c r="C10408" i="2"/>
  <c r="B10408" i="2"/>
  <c r="C10407" i="2"/>
  <c r="B10407" i="2"/>
  <c r="C10406" i="2"/>
  <c r="B10406" i="2"/>
  <c r="C10405" i="2"/>
  <c r="B10405" i="2"/>
  <c r="C10404" i="2"/>
  <c r="B10404" i="2"/>
  <c r="C10403" i="2"/>
  <c r="B10403" i="2"/>
  <c r="C10402" i="2"/>
  <c r="B10402" i="2"/>
  <c r="C10401" i="2"/>
  <c r="B10401" i="2"/>
  <c r="C10400" i="2"/>
  <c r="B10400" i="2"/>
  <c r="C10399" i="2"/>
  <c r="B10399" i="2"/>
  <c r="C10398" i="2"/>
  <c r="B10398" i="2"/>
  <c r="C10397" i="2"/>
  <c r="B10397" i="2"/>
  <c r="C10396" i="2"/>
  <c r="B10396" i="2"/>
  <c r="C10395" i="2"/>
  <c r="B10395" i="2"/>
  <c r="C10394" i="2"/>
  <c r="B10394" i="2"/>
  <c r="C10393" i="2"/>
  <c r="B10393" i="2"/>
  <c r="C10392" i="2"/>
  <c r="B10392" i="2"/>
  <c r="C10391" i="2"/>
  <c r="B10391" i="2"/>
  <c r="C10390" i="2"/>
  <c r="B10390" i="2"/>
  <c r="C10389" i="2"/>
  <c r="B10389" i="2"/>
  <c r="C10388" i="2"/>
  <c r="B10388" i="2"/>
  <c r="C10387" i="2"/>
  <c r="B10387" i="2"/>
  <c r="C10386" i="2"/>
  <c r="B10386" i="2"/>
  <c r="C10385" i="2"/>
  <c r="B10385" i="2"/>
  <c r="C10384" i="2"/>
  <c r="B10384" i="2"/>
  <c r="C10383" i="2"/>
  <c r="B10383" i="2"/>
  <c r="C10382" i="2"/>
  <c r="B10382" i="2"/>
  <c r="C10381" i="2"/>
  <c r="B10381" i="2"/>
  <c r="C10380" i="2"/>
  <c r="B10380" i="2"/>
  <c r="C10379" i="2"/>
  <c r="B10379" i="2"/>
  <c r="C10378" i="2"/>
  <c r="B10378" i="2"/>
  <c r="C10377" i="2"/>
  <c r="B10377" i="2"/>
  <c r="C10376" i="2"/>
  <c r="B10376" i="2"/>
  <c r="C10375" i="2"/>
  <c r="B10375" i="2"/>
  <c r="C10374" i="2"/>
  <c r="B10374" i="2"/>
  <c r="C10373" i="2"/>
  <c r="B10373" i="2"/>
  <c r="C10372" i="2"/>
  <c r="B10372" i="2"/>
  <c r="C10371" i="2"/>
  <c r="B10371" i="2"/>
  <c r="C10370" i="2"/>
  <c r="B10370" i="2"/>
  <c r="C10369" i="2"/>
  <c r="B10369" i="2"/>
  <c r="C10368" i="2"/>
  <c r="B10368" i="2"/>
  <c r="C10367" i="2"/>
  <c r="B10367" i="2"/>
  <c r="C10366" i="2"/>
  <c r="B10366" i="2"/>
  <c r="C10365" i="2"/>
  <c r="B10365" i="2"/>
  <c r="C10364" i="2"/>
  <c r="B10364" i="2"/>
  <c r="C10363" i="2"/>
  <c r="B10363" i="2"/>
  <c r="C10362" i="2"/>
  <c r="B10362" i="2"/>
  <c r="C10361" i="2"/>
  <c r="B10361" i="2"/>
  <c r="C10360" i="2"/>
  <c r="B10360" i="2"/>
  <c r="C10359" i="2"/>
  <c r="B10359" i="2"/>
  <c r="C10358" i="2"/>
  <c r="B10358" i="2"/>
  <c r="C10357" i="2"/>
  <c r="B10357" i="2"/>
  <c r="C10356" i="2"/>
  <c r="B10356" i="2"/>
  <c r="C10355" i="2"/>
  <c r="B10355" i="2"/>
  <c r="C10354" i="2"/>
  <c r="B10354" i="2"/>
  <c r="C10353" i="2"/>
  <c r="B10353" i="2"/>
  <c r="C10352" i="2"/>
  <c r="B10352" i="2"/>
  <c r="C10351" i="2"/>
  <c r="B10351" i="2"/>
  <c r="C10350" i="2"/>
  <c r="B10350" i="2"/>
  <c r="C10349" i="2"/>
  <c r="B10349" i="2"/>
  <c r="C10348" i="2"/>
  <c r="B10348" i="2"/>
  <c r="C10347" i="2"/>
  <c r="B10347" i="2"/>
  <c r="C10346" i="2"/>
  <c r="B10346" i="2"/>
  <c r="C10345" i="2"/>
  <c r="B10345" i="2"/>
  <c r="C10344" i="2"/>
  <c r="B10344" i="2"/>
  <c r="C10343" i="2"/>
  <c r="B10343" i="2"/>
  <c r="C10342" i="2"/>
  <c r="B10342" i="2"/>
  <c r="C10341" i="2"/>
  <c r="B10341" i="2"/>
  <c r="C10340" i="2"/>
  <c r="B10340" i="2"/>
  <c r="C10339" i="2"/>
  <c r="B10339" i="2"/>
  <c r="C10338" i="2"/>
  <c r="B10338" i="2"/>
  <c r="C10337" i="2"/>
  <c r="B10337" i="2"/>
  <c r="C10336" i="2"/>
  <c r="B10336" i="2"/>
  <c r="C10335" i="2"/>
  <c r="B10335" i="2"/>
  <c r="C10334" i="2"/>
  <c r="B10334" i="2"/>
  <c r="C10333" i="2"/>
  <c r="B10333" i="2"/>
  <c r="C10332" i="2"/>
  <c r="B10332" i="2"/>
  <c r="C10331" i="2"/>
  <c r="B10331" i="2"/>
  <c r="C10330" i="2"/>
  <c r="B10330" i="2"/>
  <c r="C10329" i="2"/>
  <c r="B10329" i="2"/>
  <c r="C10328" i="2"/>
  <c r="B10328" i="2"/>
  <c r="C10327" i="2"/>
  <c r="B10327" i="2"/>
  <c r="C10326" i="2"/>
  <c r="B10326" i="2"/>
  <c r="C10325" i="2"/>
  <c r="B10325" i="2"/>
  <c r="C10324" i="2"/>
  <c r="B10324" i="2"/>
  <c r="C10323" i="2"/>
  <c r="B10323" i="2"/>
  <c r="C10322" i="2"/>
  <c r="B10322" i="2"/>
  <c r="C10321" i="2"/>
  <c r="B10321" i="2"/>
  <c r="C10320" i="2"/>
  <c r="B10320" i="2"/>
  <c r="C10319" i="2"/>
  <c r="B10319" i="2"/>
  <c r="C10318" i="2"/>
  <c r="B10318" i="2"/>
  <c r="C10317" i="2"/>
  <c r="B10317" i="2"/>
  <c r="C10316" i="2"/>
  <c r="B10316" i="2"/>
  <c r="C10315" i="2"/>
  <c r="B10315" i="2"/>
  <c r="C10314" i="2"/>
  <c r="B10314" i="2"/>
  <c r="C10313" i="2"/>
  <c r="B10313" i="2"/>
  <c r="C10312" i="2"/>
  <c r="B10312" i="2"/>
  <c r="C10311" i="2"/>
  <c r="B10311" i="2"/>
  <c r="C10310" i="2"/>
  <c r="B10310" i="2"/>
  <c r="C10309" i="2"/>
  <c r="B10309" i="2"/>
  <c r="C10308" i="2"/>
  <c r="B10308" i="2"/>
  <c r="C10307" i="2"/>
  <c r="B10307" i="2"/>
  <c r="C10306" i="2"/>
  <c r="B10306" i="2"/>
  <c r="C10305" i="2"/>
  <c r="B10305" i="2"/>
  <c r="C10304" i="2"/>
  <c r="B10304" i="2"/>
  <c r="C10303" i="2"/>
  <c r="B10303" i="2"/>
  <c r="C10302" i="2"/>
  <c r="B10302" i="2"/>
  <c r="C10301" i="2"/>
  <c r="B10301" i="2"/>
  <c r="C10300" i="2"/>
  <c r="B10300" i="2"/>
  <c r="C10299" i="2"/>
  <c r="B10299" i="2"/>
  <c r="C10298" i="2"/>
  <c r="B10298" i="2"/>
  <c r="C10297" i="2"/>
  <c r="B10297" i="2"/>
  <c r="C10296" i="2"/>
  <c r="B10296" i="2"/>
  <c r="C10295" i="2"/>
  <c r="B10295" i="2"/>
  <c r="C10294" i="2"/>
  <c r="B10294" i="2"/>
  <c r="C10293" i="2"/>
  <c r="B10293" i="2"/>
  <c r="C10292" i="2"/>
  <c r="B10292" i="2"/>
  <c r="C10291" i="2"/>
  <c r="B10291" i="2"/>
  <c r="C10290" i="2"/>
  <c r="B10290" i="2"/>
  <c r="C10289" i="2"/>
  <c r="B10289" i="2"/>
  <c r="C10288" i="2"/>
  <c r="B10288" i="2"/>
  <c r="C10287" i="2"/>
  <c r="B10287" i="2"/>
  <c r="C10286" i="2"/>
  <c r="B10286" i="2"/>
  <c r="C10285" i="2"/>
  <c r="B10285" i="2"/>
  <c r="C10284" i="2"/>
  <c r="B10284" i="2"/>
  <c r="C10283" i="2"/>
  <c r="B10283" i="2"/>
  <c r="C10282" i="2"/>
  <c r="B10282" i="2"/>
  <c r="C10281" i="2"/>
  <c r="B10281" i="2"/>
  <c r="C10280" i="2"/>
  <c r="B10280" i="2"/>
  <c r="C10279" i="2"/>
  <c r="B10279" i="2"/>
  <c r="C10278" i="2"/>
  <c r="B10278" i="2"/>
  <c r="C10277" i="2"/>
  <c r="B10277" i="2"/>
  <c r="C10276" i="2"/>
  <c r="B10276" i="2"/>
  <c r="C10275" i="2"/>
  <c r="B10275" i="2"/>
  <c r="C10274" i="2"/>
  <c r="B10274" i="2"/>
  <c r="C10273" i="2"/>
  <c r="B10273" i="2"/>
  <c r="C10272" i="2"/>
  <c r="B10272" i="2"/>
  <c r="C10271" i="2"/>
  <c r="B10271" i="2"/>
  <c r="C10270" i="2"/>
  <c r="B10270" i="2"/>
  <c r="C10269" i="2"/>
  <c r="B10269" i="2"/>
  <c r="C10268" i="2"/>
  <c r="B10268" i="2"/>
  <c r="C10267" i="2"/>
  <c r="B10267" i="2"/>
  <c r="C10266" i="2"/>
  <c r="B10266" i="2"/>
  <c r="C10265" i="2"/>
  <c r="B10265" i="2"/>
  <c r="C10264" i="2"/>
  <c r="B10264" i="2"/>
  <c r="C10263" i="2"/>
  <c r="B10263" i="2"/>
  <c r="C10262" i="2"/>
  <c r="B10262" i="2"/>
  <c r="C10261" i="2"/>
  <c r="B10261" i="2"/>
  <c r="C10260" i="2"/>
  <c r="B10260" i="2"/>
  <c r="C10259" i="2"/>
  <c r="B10259" i="2"/>
  <c r="C10258" i="2"/>
  <c r="B10258" i="2"/>
  <c r="C10257" i="2"/>
  <c r="B10257" i="2"/>
  <c r="C10256" i="2"/>
  <c r="B10256" i="2"/>
  <c r="C10255" i="2"/>
  <c r="B10255" i="2"/>
  <c r="C10254" i="2"/>
  <c r="B10254" i="2"/>
  <c r="C10253" i="2"/>
  <c r="B10253" i="2"/>
  <c r="C10252" i="2"/>
  <c r="B10252" i="2"/>
  <c r="C10251" i="2"/>
  <c r="B10251" i="2"/>
  <c r="C10250" i="2"/>
  <c r="B10250" i="2"/>
  <c r="C10249" i="2"/>
  <c r="B10249" i="2"/>
  <c r="C10248" i="2"/>
  <c r="B10248" i="2"/>
  <c r="C10247" i="2"/>
  <c r="B10247" i="2"/>
  <c r="C10246" i="2"/>
  <c r="B10246" i="2"/>
  <c r="C10245" i="2"/>
  <c r="B10245" i="2"/>
  <c r="C10244" i="2"/>
  <c r="B10244" i="2"/>
  <c r="C10243" i="2"/>
  <c r="B10243" i="2"/>
  <c r="C10242" i="2"/>
  <c r="B10242" i="2"/>
  <c r="C10241" i="2"/>
  <c r="B10241" i="2"/>
  <c r="C10240" i="2"/>
  <c r="B10240" i="2"/>
  <c r="C10239" i="2"/>
  <c r="B10239" i="2"/>
  <c r="C10238" i="2"/>
  <c r="B10238" i="2"/>
  <c r="C10237" i="2"/>
  <c r="B10237" i="2"/>
  <c r="C10236" i="2"/>
  <c r="B10236" i="2"/>
  <c r="C10235" i="2"/>
  <c r="B10235" i="2"/>
  <c r="C10234" i="2"/>
  <c r="B10234" i="2"/>
  <c r="C10233" i="2"/>
  <c r="B10233" i="2"/>
  <c r="C10232" i="2"/>
  <c r="B10232" i="2"/>
  <c r="C10231" i="2"/>
  <c r="B10231" i="2"/>
  <c r="C10230" i="2"/>
  <c r="B10230" i="2"/>
  <c r="C10229" i="2"/>
  <c r="B10229" i="2"/>
  <c r="C10228" i="2"/>
  <c r="B10228" i="2"/>
  <c r="C10227" i="2"/>
  <c r="B10227" i="2"/>
  <c r="C10226" i="2"/>
  <c r="B10226" i="2"/>
  <c r="C10225" i="2"/>
  <c r="B10225" i="2"/>
  <c r="C10224" i="2"/>
  <c r="B10224" i="2"/>
  <c r="C10223" i="2"/>
  <c r="B10223" i="2"/>
  <c r="C10222" i="2"/>
  <c r="B10222" i="2"/>
  <c r="C10221" i="2"/>
  <c r="B10221" i="2"/>
  <c r="C10220" i="2"/>
  <c r="B10220" i="2"/>
  <c r="C10219" i="2"/>
  <c r="B10219" i="2"/>
  <c r="C10218" i="2"/>
  <c r="B10218" i="2"/>
  <c r="C10217" i="2"/>
  <c r="B10217" i="2"/>
  <c r="C10216" i="2"/>
  <c r="B10216" i="2"/>
  <c r="C10215" i="2"/>
  <c r="B10215" i="2"/>
  <c r="C10214" i="2"/>
  <c r="B10214" i="2"/>
  <c r="C10213" i="2"/>
  <c r="B10213" i="2"/>
  <c r="C10212" i="2"/>
  <c r="B10212" i="2"/>
  <c r="C10211" i="2"/>
  <c r="B10211" i="2"/>
  <c r="C10210" i="2"/>
  <c r="B10210" i="2"/>
  <c r="C10209" i="2"/>
  <c r="B10209" i="2"/>
  <c r="C10208" i="2"/>
  <c r="B10208" i="2"/>
  <c r="C10207" i="2"/>
  <c r="B10207" i="2"/>
  <c r="C10206" i="2"/>
  <c r="B10206" i="2"/>
  <c r="C10205" i="2"/>
  <c r="B10205" i="2"/>
  <c r="C10204" i="2"/>
  <c r="B10204" i="2"/>
  <c r="C10203" i="2"/>
  <c r="B10203" i="2"/>
  <c r="C10202" i="2"/>
  <c r="B10202" i="2"/>
  <c r="C10201" i="2"/>
  <c r="B10201" i="2"/>
  <c r="C10200" i="2"/>
  <c r="B10200" i="2"/>
  <c r="C10199" i="2"/>
  <c r="B10199" i="2"/>
  <c r="C10198" i="2"/>
  <c r="B10198" i="2"/>
  <c r="C10197" i="2"/>
  <c r="B10197" i="2"/>
  <c r="C10196" i="2"/>
  <c r="B10196" i="2"/>
  <c r="C10195" i="2"/>
  <c r="B10195" i="2"/>
  <c r="C10194" i="2"/>
  <c r="B10194" i="2"/>
  <c r="C10193" i="2"/>
  <c r="B10193" i="2"/>
  <c r="C10192" i="2"/>
  <c r="B10192" i="2"/>
  <c r="C10191" i="2"/>
  <c r="B10191" i="2"/>
  <c r="C10190" i="2"/>
  <c r="B10190" i="2"/>
  <c r="C10189" i="2"/>
  <c r="B10189" i="2"/>
  <c r="C10188" i="2"/>
  <c r="B10188" i="2"/>
  <c r="C10187" i="2"/>
  <c r="B10187" i="2"/>
  <c r="C10186" i="2"/>
  <c r="B10186" i="2"/>
  <c r="C10185" i="2"/>
  <c r="B10185" i="2"/>
  <c r="C10184" i="2"/>
  <c r="B10184" i="2"/>
  <c r="C10183" i="2"/>
  <c r="B10183" i="2"/>
  <c r="C10182" i="2"/>
  <c r="B10182" i="2"/>
  <c r="C10181" i="2"/>
  <c r="B10181" i="2"/>
  <c r="C10180" i="2"/>
  <c r="B10180" i="2"/>
  <c r="C10179" i="2"/>
  <c r="B10179" i="2"/>
  <c r="C10178" i="2"/>
  <c r="B10178" i="2"/>
  <c r="C10177" i="2"/>
  <c r="B10177" i="2"/>
  <c r="C10176" i="2"/>
  <c r="B10176" i="2"/>
  <c r="C10175" i="2"/>
  <c r="B10175" i="2"/>
  <c r="C10174" i="2"/>
  <c r="B10174" i="2"/>
  <c r="C10173" i="2"/>
  <c r="B10173" i="2"/>
  <c r="C10172" i="2"/>
  <c r="B10172" i="2"/>
  <c r="C10171" i="2"/>
  <c r="B10171" i="2"/>
  <c r="C10170" i="2"/>
  <c r="B10170" i="2"/>
  <c r="C10169" i="2"/>
  <c r="B10169" i="2"/>
  <c r="C10168" i="2"/>
  <c r="B10168" i="2"/>
  <c r="C10167" i="2"/>
  <c r="B10167" i="2"/>
  <c r="C10166" i="2"/>
  <c r="B10166" i="2"/>
  <c r="C10165" i="2"/>
  <c r="B10165" i="2"/>
  <c r="C10164" i="2"/>
  <c r="B10164" i="2"/>
  <c r="C10163" i="2"/>
  <c r="B10163" i="2"/>
  <c r="C10162" i="2"/>
  <c r="B10162" i="2"/>
  <c r="C10161" i="2"/>
  <c r="B10161" i="2"/>
  <c r="C10160" i="2"/>
  <c r="B10160" i="2"/>
  <c r="C10159" i="2"/>
  <c r="B10159" i="2"/>
  <c r="C10158" i="2"/>
  <c r="B10158" i="2"/>
  <c r="C10157" i="2"/>
  <c r="B10157" i="2"/>
  <c r="C10156" i="2"/>
  <c r="B10156" i="2"/>
  <c r="C10155" i="2"/>
  <c r="B10155" i="2"/>
  <c r="C10154" i="2"/>
  <c r="B10154" i="2"/>
  <c r="C10153" i="2"/>
  <c r="B10153" i="2"/>
  <c r="C10152" i="2"/>
  <c r="B10152" i="2"/>
  <c r="C10151" i="2"/>
  <c r="B10151" i="2"/>
  <c r="C10150" i="2"/>
  <c r="B10150" i="2"/>
  <c r="C10149" i="2"/>
  <c r="B10149" i="2"/>
  <c r="C10148" i="2"/>
  <c r="B10148" i="2"/>
  <c r="C10147" i="2"/>
  <c r="B10147" i="2"/>
  <c r="C10146" i="2"/>
  <c r="B10146" i="2"/>
  <c r="C10145" i="2"/>
  <c r="B10145" i="2"/>
  <c r="C10144" i="2"/>
  <c r="B10144" i="2"/>
  <c r="C10143" i="2"/>
  <c r="B10143" i="2"/>
  <c r="C10142" i="2"/>
  <c r="B10142" i="2"/>
  <c r="C10141" i="2"/>
  <c r="B10141" i="2"/>
  <c r="C10140" i="2"/>
  <c r="B10140" i="2"/>
  <c r="C10139" i="2"/>
  <c r="B10139" i="2"/>
  <c r="C10138" i="2"/>
  <c r="B10138" i="2"/>
  <c r="C10137" i="2"/>
  <c r="B10137" i="2"/>
  <c r="C10136" i="2"/>
  <c r="B10136" i="2"/>
  <c r="C10135" i="2"/>
  <c r="B10135" i="2"/>
  <c r="C10134" i="2"/>
  <c r="B10134" i="2"/>
  <c r="C10133" i="2"/>
  <c r="B10133" i="2"/>
  <c r="C10132" i="2"/>
  <c r="B10132" i="2"/>
  <c r="C10131" i="2"/>
  <c r="B10131" i="2"/>
  <c r="C10130" i="2"/>
  <c r="B10130" i="2"/>
  <c r="C10129" i="2"/>
  <c r="B10129" i="2"/>
  <c r="C10128" i="2"/>
  <c r="B10128" i="2"/>
  <c r="C10127" i="2"/>
  <c r="B10127" i="2"/>
  <c r="C10126" i="2"/>
  <c r="B10126" i="2"/>
  <c r="C10125" i="2"/>
  <c r="B10125" i="2"/>
  <c r="C10124" i="2"/>
  <c r="B10124" i="2"/>
  <c r="C10123" i="2"/>
  <c r="B10123" i="2"/>
  <c r="C10122" i="2"/>
  <c r="B10122" i="2"/>
  <c r="C10121" i="2"/>
  <c r="B10121" i="2"/>
  <c r="C10120" i="2"/>
  <c r="B10120" i="2"/>
  <c r="C10119" i="2"/>
  <c r="B10119" i="2"/>
  <c r="C10118" i="2"/>
  <c r="B10118" i="2"/>
  <c r="C10117" i="2"/>
  <c r="B10117" i="2"/>
  <c r="C10116" i="2"/>
  <c r="B10116" i="2"/>
  <c r="C10115" i="2"/>
  <c r="B10115" i="2"/>
  <c r="C10114" i="2"/>
  <c r="B10114" i="2"/>
  <c r="C10113" i="2"/>
  <c r="B10113" i="2"/>
  <c r="C10112" i="2"/>
  <c r="B10112" i="2"/>
  <c r="C10111" i="2"/>
  <c r="B10111" i="2"/>
  <c r="C10110" i="2"/>
  <c r="B10110" i="2"/>
  <c r="C10109" i="2"/>
  <c r="B10109" i="2"/>
  <c r="C10108" i="2"/>
  <c r="B10108" i="2"/>
  <c r="C10107" i="2"/>
  <c r="B10107" i="2"/>
  <c r="C10106" i="2"/>
  <c r="B10106" i="2"/>
  <c r="C10105" i="2"/>
  <c r="B10105" i="2"/>
  <c r="C10104" i="2"/>
  <c r="B10104" i="2"/>
  <c r="C10103" i="2"/>
  <c r="B10103" i="2"/>
  <c r="C10102" i="2"/>
  <c r="B10102" i="2"/>
  <c r="C10101" i="2"/>
  <c r="B10101" i="2"/>
  <c r="C10100" i="2"/>
  <c r="B10100" i="2"/>
  <c r="C10099" i="2"/>
  <c r="B10099" i="2"/>
  <c r="C10098" i="2"/>
  <c r="B10098" i="2"/>
  <c r="C10097" i="2"/>
  <c r="B10097" i="2"/>
  <c r="C10096" i="2"/>
  <c r="B10096" i="2"/>
  <c r="C10095" i="2"/>
  <c r="B10095" i="2"/>
  <c r="C10094" i="2"/>
  <c r="B10094" i="2"/>
  <c r="C10093" i="2"/>
  <c r="B10093" i="2"/>
  <c r="C10092" i="2"/>
  <c r="B10092" i="2"/>
  <c r="C10091" i="2"/>
  <c r="B10091" i="2"/>
  <c r="C10090" i="2"/>
  <c r="B10090" i="2"/>
  <c r="C10089" i="2"/>
  <c r="B10089" i="2"/>
  <c r="C10088" i="2"/>
  <c r="B10088" i="2"/>
  <c r="C10087" i="2"/>
  <c r="B10087" i="2"/>
  <c r="C10086" i="2"/>
  <c r="B10086" i="2"/>
  <c r="C10085" i="2"/>
  <c r="B10085" i="2"/>
  <c r="C10084" i="2"/>
  <c r="B10084" i="2"/>
  <c r="C10083" i="2"/>
  <c r="B10083" i="2"/>
  <c r="C10082" i="2"/>
  <c r="B10082" i="2"/>
  <c r="C10081" i="2"/>
  <c r="B10081" i="2"/>
  <c r="C10080" i="2"/>
  <c r="B10080" i="2"/>
  <c r="C10079" i="2"/>
  <c r="B10079" i="2"/>
  <c r="C10078" i="2"/>
  <c r="B10078" i="2"/>
  <c r="C10077" i="2"/>
  <c r="B10077" i="2"/>
  <c r="C10076" i="2"/>
  <c r="B10076" i="2"/>
  <c r="C10075" i="2"/>
  <c r="B10075" i="2"/>
  <c r="C10074" i="2"/>
  <c r="B10074" i="2"/>
  <c r="C10073" i="2"/>
  <c r="B10073" i="2"/>
  <c r="C10072" i="2"/>
  <c r="B10072" i="2"/>
  <c r="C10071" i="2"/>
  <c r="B10071" i="2"/>
  <c r="C10070" i="2"/>
  <c r="B10070" i="2"/>
  <c r="C10069" i="2"/>
  <c r="B10069" i="2"/>
  <c r="C10068" i="2"/>
  <c r="B10068" i="2"/>
  <c r="C10067" i="2"/>
  <c r="B10067" i="2"/>
  <c r="C10066" i="2"/>
  <c r="B10066" i="2"/>
  <c r="C10065" i="2"/>
  <c r="B10065" i="2"/>
  <c r="C10064" i="2"/>
  <c r="B10064" i="2"/>
  <c r="C10063" i="2"/>
  <c r="B10063" i="2"/>
  <c r="C10062" i="2"/>
  <c r="B10062" i="2"/>
  <c r="C10061" i="2"/>
  <c r="B10061" i="2"/>
  <c r="C10060" i="2"/>
  <c r="B10060" i="2"/>
  <c r="C10059" i="2"/>
  <c r="B10059" i="2"/>
  <c r="C10058" i="2"/>
  <c r="B10058" i="2"/>
  <c r="C10057" i="2"/>
  <c r="B10057" i="2"/>
  <c r="C10056" i="2"/>
  <c r="B10056" i="2"/>
  <c r="C10055" i="2"/>
  <c r="B10055" i="2"/>
  <c r="C10054" i="2"/>
  <c r="B10054" i="2"/>
  <c r="C10053" i="2"/>
  <c r="B10053" i="2"/>
  <c r="C10052" i="2"/>
  <c r="B10052" i="2"/>
  <c r="C10051" i="2"/>
  <c r="B10051" i="2"/>
  <c r="C10050" i="2"/>
  <c r="B10050" i="2"/>
  <c r="C10049" i="2"/>
  <c r="B10049" i="2"/>
  <c r="C10048" i="2"/>
  <c r="B10048" i="2"/>
  <c r="C10047" i="2"/>
  <c r="B10047" i="2"/>
  <c r="C10046" i="2"/>
  <c r="B10046" i="2"/>
  <c r="C10045" i="2"/>
  <c r="B10045" i="2"/>
  <c r="C10044" i="2"/>
  <c r="B10044" i="2"/>
  <c r="C10043" i="2"/>
  <c r="B10043" i="2"/>
  <c r="C10042" i="2"/>
  <c r="B10042" i="2"/>
  <c r="C10041" i="2"/>
  <c r="B10041" i="2"/>
  <c r="C10040" i="2"/>
  <c r="B10040" i="2"/>
  <c r="C10039" i="2"/>
  <c r="B10039" i="2"/>
  <c r="C10038" i="2"/>
  <c r="B10038" i="2"/>
  <c r="C10037" i="2"/>
  <c r="B10037" i="2"/>
  <c r="C10036" i="2"/>
  <c r="B10036" i="2"/>
  <c r="C10035" i="2"/>
  <c r="B10035" i="2"/>
  <c r="C10034" i="2"/>
  <c r="B10034" i="2"/>
  <c r="C10033" i="2"/>
  <c r="B10033" i="2"/>
  <c r="C10032" i="2"/>
  <c r="B10032" i="2"/>
  <c r="C10031" i="2"/>
  <c r="B10031" i="2"/>
  <c r="C10030" i="2"/>
  <c r="B10030" i="2"/>
  <c r="C10029" i="2"/>
  <c r="B10029" i="2"/>
  <c r="C10028" i="2"/>
  <c r="B10028" i="2"/>
  <c r="C10027" i="2"/>
  <c r="B10027" i="2"/>
  <c r="C10026" i="2"/>
  <c r="B10026" i="2"/>
  <c r="C10025" i="2"/>
  <c r="B10025" i="2"/>
  <c r="C10024" i="2"/>
  <c r="B10024" i="2"/>
  <c r="C10023" i="2"/>
  <c r="B10023" i="2"/>
  <c r="C10022" i="2"/>
  <c r="B10022" i="2"/>
  <c r="C10021" i="2"/>
  <c r="B10021" i="2"/>
  <c r="C10020" i="2"/>
  <c r="B10020" i="2"/>
  <c r="C10019" i="2"/>
  <c r="B10019" i="2"/>
  <c r="C10018" i="2"/>
  <c r="B10018" i="2"/>
  <c r="C10017" i="2"/>
  <c r="B10017" i="2"/>
  <c r="C10016" i="2"/>
  <c r="B10016" i="2"/>
  <c r="C10015" i="2"/>
  <c r="B10015" i="2"/>
  <c r="C10014" i="2"/>
  <c r="B10014" i="2"/>
  <c r="C10013" i="2"/>
  <c r="B10013" i="2"/>
  <c r="C10012" i="2"/>
  <c r="B10012" i="2"/>
  <c r="C10011" i="2"/>
  <c r="B10011" i="2"/>
  <c r="C10010" i="2"/>
  <c r="B10010" i="2"/>
  <c r="C10009" i="2"/>
  <c r="B10009" i="2"/>
  <c r="C10008" i="2"/>
  <c r="B10008" i="2"/>
  <c r="C10007" i="2"/>
  <c r="B10007" i="2"/>
  <c r="C10006" i="2"/>
  <c r="B10006" i="2"/>
  <c r="C10005" i="2"/>
  <c r="B10005" i="2"/>
  <c r="C10004" i="2"/>
  <c r="B10004" i="2"/>
  <c r="C10003" i="2"/>
  <c r="B10003" i="2"/>
  <c r="C10002" i="2"/>
  <c r="B10002" i="2"/>
  <c r="C10001" i="2"/>
  <c r="B10001" i="2"/>
  <c r="C10000" i="2"/>
  <c r="B10000" i="2"/>
  <c r="C9999" i="2"/>
  <c r="B9999" i="2"/>
  <c r="C9998" i="2"/>
  <c r="B9998" i="2"/>
  <c r="C9997" i="2"/>
  <c r="B9997" i="2"/>
  <c r="C9996" i="2"/>
  <c r="B9996" i="2"/>
  <c r="C9995" i="2"/>
  <c r="B9995" i="2"/>
  <c r="C9994" i="2"/>
  <c r="B9994" i="2"/>
  <c r="C9993" i="2"/>
  <c r="B9993" i="2"/>
  <c r="C9992" i="2"/>
  <c r="B9992" i="2"/>
  <c r="C9991" i="2"/>
  <c r="B9991" i="2"/>
  <c r="C9990" i="2"/>
  <c r="B9990" i="2"/>
  <c r="C9989" i="2"/>
  <c r="B9989" i="2"/>
  <c r="C9988" i="2"/>
  <c r="B9988" i="2"/>
  <c r="C9987" i="2"/>
  <c r="B9987" i="2"/>
  <c r="C9986" i="2"/>
  <c r="B9986" i="2"/>
  <c r="C9985" i="2"/>
  <c r="B9985" i="2"/>
  <c r="C9984" i="2"/>
  <c r="B9984" i="2"/>
  <c r="C9983" i="2"/>
  <c r="B9983" i="2"/>
  <c r="C9982" i="2"/>
  <c r="B9982" i="2"/>
  <c r="C9981" i="2"/>
  <c r="B9981" i="2"/>
  <c r="C9980" i="2"/>
  <c r="B9980" i="2"/>
  <c r="C9979" i="2"/>
  <c r="B9979" i="2"/>
  <c r="C9978" i="2"/>
  <c r="B9978" i="2"/>
  <c r="C9977" i="2"/>
  <c r="B9977" i="2"/>
  <c r="C9976" i="2"/>
  <c r="B9976" i="2"/>
  <c r="C9975" i="2"/>
  <c r="B9975" i="2"/>
  <c r="C9974" i="2"/>
  <c r="B9974" i="2"/>
  <c r="C9973" i="2"/>
  <c r="B9973" i="2"/>
  <c r="C9972" i="2"/>
  <c r="B9972" i="2"/>
  <c r="C9971" i="2"/>
  <c r="B9971" i="2"/>
  <c r="C9970" i="2"/>
  <c r="B9970" i="2"/>
  <c r="C9969" i="2"/>
  <c r="B9969" i="2"/>
  <c r="C9968" i="2"/>
  <c r="B9968" i="2"/>
  <c r="C9967" i="2"/>
  <c r="B9967" i="2"/>
  <c r="C9966" i="2"/>
  <c r="B9966" i="2"/>
  <c r="C9965" i="2"/>
  <c r="B9965" i="2"/>
  <c r="C9964" i="2"/>
  <c r="B9964" i="2"/>
  <c r="C9963" i="2"/>
  <c r="B9963" i="2"/>
  <c r="C9962" i="2"/>
  <c r="B9962" i="2"/>
  <c r="C9961" i="2"/>
  <c r="B9961" i="2"/>
  <c r="C9960" i="2"/>
  <c r="B9960" i="2"/>
  <c r="C9959" i="2"/>
  <c r="B9959" i="2"/>
  <c r="C9958" i="2"/>
  <c r="B9958" i="2"/>
  <c r="C9957" i="2"/>
  <c r="B9957" i="2"/>
  <c r="C9956" i="2"/>
  <c r="B9956" i="2"/>
  <c r="C9955" i="2"/>
  <c r="B9955" i="2"/>
  <c r="C9954" i="2"/>
  <c r="B9954" i="2"/>
  <c r="C9953" i="2"/>
  <c r="B9953" i="2"/>
  <c r="C9952" i="2"/>
  <c r="B9952" i="2"/>
  <c r="C9951" i="2"/>
  <c r="B9951" i="2"/>
  <c r="C9950" i="2"/>
  <c r="B9950" i="2"/>
  <c r="C9949" i="2"/>
  <c r="B9949" i="2"/>
  <c r="C9948" i="2"/>
  <c r="B9948" i="2"/>
  <c r="C9947" i="2"/>
  <c r="B9947" i="2"/>
  <c r="C9946" i="2"/>
  <c r="B9946" i="2"/>
  <c r="C9945" i="2"/>
  <c r="B9945" i="2"/>
  <c r="C9944" i="2"/>
  <c r="B9944" i="2"/>
  <c r="C9943" i="2"/>
  <c r="B9943" i="2"/>
  <c r="C9942" i="2"/>
  <c r="B9942" i="2"/>
  <c r="C9941" i="2"/>
  <c r="B9941" i="2"/>
  <c r="C9940" i="2"/>
  <c r="B9940" i="2"/>
  <c r="C9939" i="2"/>
  <c r="B9939" i="2"/>
  <c r="C9938" i="2"/>
  <c r="B9938" i="2"/>
  <c r="C9937" i="2"/>
  <c r="B9937" i="2"/>
  <c r="C9936" i="2"/>
  <c r="B9936" i="2"/>
  <c r="C9935" i="2"/>
  <c r="B9935" i="2"/>
  <c r="C9934" i="2"/>
  <c r="B9934" i="2"/>
  <c r="C9933" i="2"/>
  <c r="B9933" i="2"/>
  <c r="C9932" i="2"/>
  <c r="B9932" i="2"/>
  <c r="C9931" i="2"/>
  <c r="B9931" i="2"/>
  <c r="C9930" i="2"/>
  <c r="B9930" i="2"/>
  <c r="C9929" i="2"/>
  <c r="B9929" i="2"/>
  <c r="C9928" i="2"/>
  <c r="B9928" i="2"/>
  <c r="C9927" i="2"/>
  <c r="B9927" i="2"/>
  <c r="C9926" i="2"/>
  <c r="B9926" i="2"/>
  <c r="C9925" i="2"/>
  <c r="B9925" i="2"/>
  <c r="C9924" i="2"/>
  <c r="B9924" i="2"/>
  <c r="C9923" i="2"/>
  <c r="B9923" i="2"/>
  <c r="C9922" i="2"/>
  <c r="B9922" i="2"/>
  <c r="C9921" i="2"/>
  <c r="B9921" i="2"/>
  <c r="C9920" i="2"/>
  <c r="B9920" i="2"/>
  <c r="C9919" i="2"/>
  <c r="B9919" i="2"/>
  <c r="C9918" i="2"/>
  <c r="B9918" i="2"/>
  <c r="C9917" i="2"/>
  <c r="B9917" i="2"/>
  <c r="C9916" i="2"/>
  <c r="B9916" i="2"/>
  <c r="C9915" i="2"/>
  <c r="B9915" i="2"/>
  <c r="C9914" i="2"/>
  <c r="B9914" i="2"/>
  <c r="C9913" i="2"/>
  <c r="B9913" i="2"/>
  <c r="C9912" i="2"/>
  <c r="B9912" i="2"/>
  <c r="C9911" i="2"/>
  <c r="B9911" i="2"/>
  <c r="C9910" i="2"/>
  <c r="B9910" i="2"/>
  <c r="C9909" i="2"/>
  <c r="B9909" i="2"/>
  <c r="C9908" i="2"/>
  <c r="B9908" i="2"/>
  <c r="C9907" i="2"/>
  <c r="B9907" i="2"/>
  <c r="C9906" i="2"/>
  <c r="B9906" i="2"/>
  <c r="C9905" i="2"/>
  <c r="B9905" i="2"/>
  <c r="C9904" i="2"/>
  <c r="B9904" i="2"/>
  <c r="C9903" i="2"/>
  <c r="B9903" i="2"/>
  <c r="C9902" i="2"/>
  <c r="B9902" i="2"/>
  <c r="C9901" i="2"/>
  <c r="B9901" i="2"/>
  <c r="C9900" i="2"/>
  <c r="B9900" i="2"/>
  <c r="C9899" i="2"/>
  <c r="B9899" i="2"/>
  <c r="C9898" i="2"/>
  <c r="B9898" i="2"/>
  <c r="C9897" i="2"/>
  <c r="B9897" i="2"/>
  <c r="C9896" i="2"/>
  <c r="B9896" i="2"/>
  <c r="C9895" i="2"/>
  <c r="B9895" i="2"/>
  <c r="C9894" i="2"/>
  <c r="B9894" i="2"/>
  <c r="C9893" i="2"/>
  <c r="B9893" i="2"/>
  <c r="C9892" i="2"/>
  <c r="B9892" i="2"/>
  <c r="C9891" i="2"/>
  <c r="B9891" i="2"/>
  <c r="C9890" i="2"/>
  <c r="B9890" i="2"/>
  <c r="C9889" i="2"/>
  <c r="B9889" i="2"/>
  <c r="C9888" i="2"/>
  <c r="B9888" i="2"/>
  <c r="C9887" i="2"/>
  <c r="B9887" i="2"/>
  <c r="C9886" i="2"/>
  <c r="B9886" i="2"/>
  <c r="C9885" i="2"/>
  <c r="B9885" i="2"/>
  <c r="C9884" i="2"/>
  <c r="B9884" i="2"/>
  <c r="C9883" i="2"/>
  <c r="B9883" i="2"/>
  <c r="C9882" i="2"/>
  <c r="B9882" i="2"/>
  <c r="C9881" i="2"/>
  <c r="B9881" i="2"/>
  <c r="C9880" i="2"/>
  <c r="B9880" i="2"/>
  <c r="C9879" i="2"/>
  <c r="B9879" i="2"/>
  <c r="C9878" i="2"/>
  <c r="B9878" i="2"/>
  <c r="C9877" i="2"/>
  <c r="B9877" i="2"/>
  <c r="C9876" i="2"/>
  <c r="B9876" i="2"/>
  <c r="C9875" i="2"/>
  <c r="B9875" i="2"/>
  <c r="C9874" i="2"/>
  <c r="B9874" i="2"/>
  <c r="C9873" i="2"/>
  <c r="B9873" i="2"/>
  <c r="C9872" i="2"/>
  <c r="B9872" i="2"/>
  <c r="C9871" i="2"/>
  <c r="B9871" i="2"/>
  <c r="C9870" i="2"/>
  <c r="B9870" i="2"/>
  <c r="C9869" i="2"/>
  <c r="B9869" i="2"/>
  <c r="C9868" i="2"/>
  <c r="B9868" i="2"/>
  <c r="C9867" i="2"/>
  <c r="B9867" i="2"/>
  <c r="C9866" i="2"/>
  <c r="B9866" i="2"/>
  <c r="C9865" i="2"/>
  <c r="B9865" i="2"/>
  <c r="C9864" i="2"/>
  <c r="B9864" i="2"/>
  <c r="C9863" i="2"/>
  <c r="B9863" i="2"/>
  <c r="C9862" i="2"/>
  <c r="B9862" i="2"/>
  <c r="C9861" i="2"/>
  <c r="B9861" i="2"/>
  <c r="C9860" i="2"/>
  <c r="B9860" i="2"/>
  <c r="C9859" i="2"/>
  <c r="B9859" i="2"/>
  <c r="C9858" i="2"/>
  <c r="B9858" i="2"/>
  <c r="C9857" i="2"/>
  <c r="B9857" i="2"/>
  <c r="C9856" i="2"/>
  <c r="B9856" i="2"/>
  <c r="C9855" i="2"/>
  <c r="B9855" i="2"/>
  <c r="C9854" i="2"/>
  <c r="B9854" i="2"/>
  <c r="C9853" i="2"/>
  <c r="B9853" i="2"/>
  <c r="C9852" i="2"/>
  <c r="B9852" i="2"/>
  <c r="C9851" i="2"/>
  <c r="B9851" i="2"/>
  <c r="C9850" i="2"/>
  <c r="B9850" i="2"/>
  <c r="C9849" i="2"/>
  <c r="B9849" i="2"/>
  <c r="C9848" i="2"/>
  <c r="B9848" i="2"/>
  <c r="C9847" i="2"/>
  <c r="B9847" i="2"/>
  <c r="C9846" i="2"/>
  <c r="B9846" i="2"/>
  <c r="C9845" i="2"/>
  <c r="B9845" i="2"/>
  <c r="C9844" i="2"/>
  <c r="B9844" i="2"/>
  <c r="C9843" i="2"/>
  <c r="B9843" i="2"/>
  <c r="C9842" i="2"/>
  <c r="B9842" i="2"/>
  <c r="C9841" i="2"/>
  <c r="B9841" i="2"/>
  <c r="C9840" i="2"/>
  <c r="B9840" i="2"/>
  <c r="C9839" i="2"/>
  <c r="B9839" i="2"/>
  <c r="C9838" i="2"/>
  <c r="B9838" i="2"/>
  <c r="C9837" i="2"/>
  <c r="B9837" i="2"/>
  <c r="C9836" i="2"/>
  <c r="B9836" i="2"/>
  <c r="C9835" i="2"/>
  <c r="B9835" i="2"/>
  <c r="C9834" i="2"/>
  <c r="B9834" i="2"/>
  <c r="C9833" i="2"/>
  <c r="B9833" i="2"/>
  <c r="C9832" i="2"/>
  <c r="B9832" i="2"/>
  <c r="C9831" i="2"/>
  <c r="B9831" i="2"/>
  <c r="C9830" i="2"/>
  <c r="B9830" i="2"/>
  <c r="C9829" i="2"/>
  <c r="B9829" i="2"/>
  <c r="C9828" i="2"/>
  <c r="B9828" i="2"/>
  <c r="C9827" i="2"/>
  <c r="B9827" i="2"/>
  <c r="C9826" i="2"/>
  <c r="B9826" i="2"/>
  <c r="C9825" i="2"/>
  <c r="B9825" i="2"/>
  <c r="C9824" i="2"/>
  <c r="B9824" i="2"/>
  <c r="C9823" i="2"/>
  <c r="B9823" i="2"/>
  <c r="C9822" i="2"/>
  <c r="B9822" i="2"/>
  <c r="C9821" i="2"/>
  <c r="B9821" i="2"/>
  <c r="C9820" i="2"/>
  <c r="B9820" i="2"/>
  <c r="C9819" i="2"/>
  <c r="B9819" i="2"/>
  <c r="C9818" i="2"/>
  <c r="B9818" i="2"/>
  <c r="C9817" i="2"/>
  <c r="B9817" i="2"/>
  <c r="C9816" i="2"/>
  <c r="B9816" i="2"/>
  <c r="C9815" i="2"/>
  <c r="B9815" i="2"/>
  <c r="C9814" i="2"/>
  <c r="B9814" i="2"/>
  <c r="C9813" i="2"/>
  <c r="B9813" i="2"/>
  <c r="C9812" i="2"/>
  <c r="B9812" i="2"/>
  <c r="C9811" i="2"/>
  <c r="B9811" i="2"/>
  <c r="C9810" i="2"/>
  <c r="B9810" i="2"/>
  <c r="C9809" i="2"/>
  <c r="B9809" i="2"/>
  <c r="C9808" i="2"/>
  <c r="B9808" i="2"/>
  <c r="C9807" i="2"/>
  <c r="B9807" i="2"/>
  <c r="C9806" i="2"/>
  <c r="B9806" i="2"/>
  <c r="C9805" i="2"/>
  <c r="B9805" i="2"/>
  <c r="C9804" i="2"/>
  <c r="B9804" i="2"/>
  <c r="C9803" i="2"/>
  <c r="B9803" i="2"/>
  <c r="C9802" i="2"/>
  <c r="B9802" i="2"/>
  <c r="C9801" i="2"/>
  <c r="B9801" i="2"/>
  <c r="C9800" i="2"/>
  <c r="B9800" i="2"/>
  <c r="C9799" i="2"/>
  <c r="B9799" i="2"/>
  <c r="C9798" i="2"/>
  <c r="B9798" i="2"/>
  <c r="C9797" i="2"/>
  <c r="B9797" i="2"/>
  <c r="C9796" i="2"/>
  <c r="B9796" i="2"/>
  <c r="C9795" i="2"/>
  <c r="B9795" i="2"/>
  <c r="C9794" i="2"/>
  <c r="B9794" i="2"/>
  <c r="C9793" i="2"/>
  <c r="B9793" i="2"/>
  <c r="C9792" i="2"/>
  <c r="B9792" i="2"/>
  <c r="C9791" i="2"/>
  <c r="B9791" i="2"/>
  <c r="C9790" i="2"/>
  <c r="B9790" i="2"/>
  <c r="C9789" i="2"/>
  <c r="B9789" i="2"/>
  <c r="C9788" i="2"/>
  <c r="B9788" i="2"/>
  <c r="C9787" i="2"/>
  <c r="B9787" i="2"/>
  <c r="C9786" i="2"/>
  <c r="B9786" i="2"/>
  <c r="C9785" i="2"/>
  <c r="B9785" i="2"/>
  <c r="C9784" i="2"/>
  <c r="B9784" i="2"/>
  <c r="C9783" i="2"/>
  <c r="B9783" i="2"/>
  <c r="C9782" i="2"/>
  <c r="B9782" i="2"/>
  <c r="C9781" i="2"/>
  <c r="B9781" i="2"/>
  <c r="C9780" i="2"/>
  <c r="B9780" i="2"/>
  <c r="C9779" i="2"/>
  <c r="B9779" i="2"/>
  <c r="C9778" i="2"/>
  <c r="B9778" i="2"/>
  <c r="C9777" i="2"/>
  <c r="B9777" i="2"/>
  <c r="C9776" i="2"/>
  <c r="B9776" i="2"/>
  <c r="C9775" i="2"/>
  <c r="B9775" i="2"/>
  <c r="C9774" i="2"/>
  <c r="B9774" i="2"/>
  <c r="C9773" i="2"/>
  <c r="B9773" i="2"/>
  <c r="C9772" i="2"/>
  <c r="B9772" i="2"/>
  <c r="C9771" i="2"/>
  <c r="B9771" i="2"/>
  <c r="C9770" i="2"/>
  <c r="B9770" i="2"/>
  <c r="C9769" i="2"/>
  <c r="B9769" i="2"/>
  <c r="C9768" i="2"/>
  <c r="B9768" i="2"/>
  <c r="C9767" i="2"/>
  <c r="B9767" i="2"/>
  <c r="C9766" i="2"/>
  <c r="B9766" i="2"/>
  <c r="C9765" i="2"/>
  <c r="B9765" i="2"/>
  <c r="C9764" i="2"/>
  <c r="B9764" i="2"/>
  <c r="C9763" i="2"/>
  <c r="B9763" i="2"/>
  <c r="C9762" i="2"/>
  <c r="B9762" i="2"/>
  <c r="C9761" i="2"/>
  <c r="B9761" i="2"/>
  <c r="C9760" i="2"/>
  <c r="B9760" i="2"/>
  <c r="C9759" i="2"/>
  <c r="B9759" i="2"/>
  <c r="C9758" i="2"/>
  <c r="B9758" i="2"/>
  <c r="C9757" i="2"/>
  <c r="B9757" i="2"/>
  <c r="C9756" i="2"/>
  <c r="B9756" i="2"/>
  <c r="C9755" i="2"/>
  <c r="B9755" i="2"/>
  <c r="C9754" i="2"/>
  <c r="B9754" i="2"/>
  <c r="C9753" i="2"/>
  <c r="B9753" i="2"/>
  <c r="C9752" i="2"/>
  <c r="B9752" i="2"/>
  <c r="C9751" i="2"/>
  <c r="B9751" i="2"/>
  <c r="C9750" i="2"/>
  <c r="B9750" i="2"/>
  <c r="C9749" i="2"/>
  <c r="B9749" i="2"/>
  <c r="C9748" i="2"/>
  <c r="B9748" i="2"/>
  <c r="C9747" i="2"/>
  <c r="B9747" i="2"/>
  <c r="C9746" i="2"/>
  <c r="B9746" i="2"/>
  <c r="C9745" i="2"/>
  <c r="B9745" i="2"/>
  <c r="C9744" i="2"/>
  <c r="B9744" i="2"/>
  <c r="C9743" i="2"/>
  <c r="B9743" i="2"/>
  <c r="C9742" i="2"/>
  <c r="B9742" i="2"/>
  <c r="C9741" i="2"/>
  <c r="B9741" i="2"/>
  <c r="C9740" i="2"/>
  <c r="B9740" i="2"/>
  <c r="C9739" i="2"/>
  <c r="B9739" i="2"/>
  <c r="C9738" i="2"/>
  <c r="B9738" i="2"/>
  <c r="C9737" i="2"/>
  <c r="B9737" i="2"/>
  <c r="C9736" i="2"/>
  <c r="B9736" i="2"/>
  <c r="C9735" i="2"/>
  <c r="B9735" i="2"/>
  <c r="C9734" i="2"/>
  <c r="B9734" i="2"/>
  <c r="C9733" i="2"/>
  <c r="B9733" i="2"/>
  <c r="C9732" i="2"/>
  <c r="B9732" i="2"/>
  <c r="C9731" i="2"/>
  <c r="B9731" i="2"/>
  <c r="C9730" i="2"/>
  <c r="B9730" i="2"/>
  <c r="C9729" i="2"/>
  <c r="B9729" i="2"/>
  <c r="C9728" i="2"/>
  <c r="B9728" i="2"/>
  <c r="C9727" i="2"/>
  <c r="B9727" i="2"/>
  <c r="C9726" i="2"/>
  <c r="B9726" i="2"/>
  <c r="C9725" i="2"/>
  <c r="B9725" i="2"/>
  <c r="C9724" i="2"/>
  <c r="B9724" i="2"/>
  <c r="C9723" i="2"/>
  <c r="B9723" i="2"/>
  <c r="C9722" i="2"/>
  <c r="B9722" i="2"/>
  <c r="C9721" i="2"/>
  <c r="B9721" i="2"/>
  <c r="C9720" i="2"/>
  <c r="B9720" i="2"/>
  <c r="C9719" i="2"/>
  <c r="B9719" i="2"/>
  <c r="C9718" i="2"/>
  <c r="B9718" i="2"/>
  <c r="C9717" i="2"/>
  <c r="B9717" i="2"/>
  <c r="C9716" i="2"/>
  <c r="B9716" i="2"/>
  <c r="C9715" i="2"/>
  <c r="B9715" i="2"/>
  <c r="C9714" i="2"/>
  <c r="B9714" i="2"/>
  <c r="C9713" i="2"/>
  <c r="B9713" i="2"/>
  <c r="C9712" i="2"/>
  <c r="B9712" i="2"/>
  <c r="C9711" i="2"/>
  <c r="B9711" i="2"/>
  <c r="C9710" i="2"/>
  <c r="B9710" i="2"/>
  <c r="C9709" i="2"/>
  <c r="B9709" i="2"/>
  <c r="C9708" i="2"/>
  <c r="B9708" i="2"/>
  <c r="C9707" i="2"/>
  <c r="B9707" i="2"/>
  <c r="C9706" i="2"/>
  <c r="B9706" i="2"/>
  <c r="C9705" i="2"/>
  <c r="B9705" i="2"/>
  <c r="C9704" i="2"/>
  <c r="B9704" i="2"/>
  <c r="C9703" i="2"/>
  <c r="B9703" i="2"/>
  <c r="C9702" i="2"/>
  <c r="B9702" i="2"/>
  <c r="C9701" i="2"/>
  <c r="B9701" i="2"/>
  <c r="C9700" i="2"/>
  <c r="B9700" i="2"/>
  <c r="C9699" i="2"/>
  <c r="B9699" i="2"/>
  <c r="C9698" i="2"/>
  <c r="B9698" i="2"/>
  <c r="C9697" i="2"/>
  <c r="B9697" i="2"/>
  <c r="C9696" i="2"/>
  <c r="B9696" i="2"/>
  <c r="C9695" i="2"/>
  <c r="B9695" i="2"/>
  <c r="C9694" i="2"/>
  <c r="B9694" i="2"/>
  <c r="C9693" i="2"/>
  <c r="B9693" i="2"/>
  <c r="C9692" i="2"/>
  <c r="B9692" i="2"/>
  <c r="C9691" i="2"/>
  <c r="B9691" i="2"/>
  <c r="C9690" i="2"/>
  <c r="B9690" i="2"/>
  <c r="C9689" i="2"/>
  <c r="B9689" i="2"/>
  <c r="C9688" i="2"/>
  <c r="B9688" i="2"/>
  <c r="C9687" i="2"/>
  <c r="B9687" i="2"/>
  <c r="C9686" i="2"/>
  <c r="B9686" i="2"/>
  <c r="C9685" i="2"/>
  <c r="B9685" i="2"/>
  <c r="C9684" i="2"/>
  <c r="B9684" i="2"/>
  <c r="C9683" i="2"/>
  <c r="B9683" i="2"/>
  <c r="C9682" i="2"/>
  <c r="B9682" i="2"/>
  <c r="C9681" i="2"/>
  <c r="B9681" i="2"/>
  <c r="C9680" i="2"/>
  <c r="B9680" i="2"/>
  <c r="C9679" i="2"/>
  <c r="B9679" i="2"/>
  <c r="C9678" i="2"/>
  <c r="B9678" i="2"/>
  <c r="C9677" i="2"/>
  <c r="B9677" i="2"/>
  <c r="C9676" i="2"/>
  <c r="B9676" i="2"/>
  <c r="C9675" i="2"/>
  <c r="B9675" i="2"/>
  <c r="C9674" i="2"/>
  <c r="B9674" i="2"/>
  <c r="C9673" i="2"/>
  <c r="B9673" i="2"/>
  <c r="C9672" i="2"/>
  <c r="B9672" i="2"/>
  <c r="C9671" i="2"/>
  <c r="B9671" i="2"/>
  <c r="C9670" i="2"/>
  <c r="B9670" i="2"/>
  <c r="C9669" i="2"/>
  <c r="B9669" i="2"/>
  <c r="C9668" i="2"/>
  <c r="B9668" i="2"/>
  <c r="C9667" i="2"/>
  <c r="B9667" i="2"/>
  <c r="C9666" i="2"/>
  <c r="B9666" i="2"/>
  <c r="C9665" i="2"/>
  <c r="B9665" i="2"/>
  <c r="C9664" i="2"/>
  <c r="B9664" i="2"/>
  <c r="C9663" i="2"/>
  <c r="B9663" i="2"/>
  <c r="C9662" i="2"/>
  <c r="B9662" i="2"/>
  <c r="C9661" i="2"/>
  <c r="B9661" i="2"/>
  <c r="C9660" i="2"/>
  <c r="B9660" i="2"/>
  <c r="C9659" i="2"/>
  <c r="B9659" i="2"/>
  <c r="C9658" i="2"/>
  <c r="B9658" i="2"/>
  <c r="C9657" i="2"/>
  <c r="B9657" i="2"/>
  <c r="C9656" i="2"/>
  <c r="B9656" i="2"/>
  <c r="C9655" i="2"/>
  <c r="B9655" i="2"/>
  <c r="C9654" i="2"/>
  <c r="B9654" i="2"/>
  <c r="C9653" i="2"/>
  <c r="B9653" i="2"/>
  <c r="C9652" i="2"/>
  <c r="B9652" i="2"/>
  <c r="C9651" i="2"/>
  <c r="B9651" i="2"/>
  <c r="C9650" i="2"/>
  <c r="B9650" i="2"/>
  <c r="C9649" i="2"/>
  <c r="B9649" i="2"/>
  <c r="C9648" i="2"/>
  <c r="B9648" i="2"/>
  <c r="C9647" i="2"/>
  <c r="B9647" i="2"/>
  <c r="C9646" i="2"/>
  <c r="B9646" i="2"/>
  <c r="C9645" i="2"/>
  <c r="B9645" i="2"/>
  <c r="C9644" i="2"/>
  <c r="B9644" i="2"/>
  <c r="C9643" i="2"/>
  <c r="B9643" i="2"/>
  <c r="C9642" i="2"/>
  <c r="B9642" i="2"/>
  <c r="C9641" i="2"/>
  <c r="B9641" i="2"/>
  <c r="C9640" i="2"/>
  <c r="B9640" i="2"/>
  <c r="C9639" i="2"/>
  <c r="B9639" i="2"/>
  <c r="C9638" i="2"/>
  <c r="B9638" i="2"/>
  <c r="C9637" i="2"/>
  <c r="B9637" i="2"/>
  <c r="C9636" i="2"/>
  <c r="B9636" i="2"/>
  <c r="C9635" i="2"/>
  <c r="B9635" i="2"/>
  <c r="C9634" i="2"/>
  <c r="B9634" i="2"/>
  <c r="C9633" i="2"/>
  <c r="B9633" i="2"/>
  <c r="C9632" i="2"/>
  <c r="B9632" i="2"/>
  <c r="C9631" i="2"/>
  <c r="B9631" i="2"/>
  <c r="C9630" i="2"/>
  <c r="B9630" i="2"/>
  <c r="C9629" i="2"/>
  <c r="B9629" i="2"/>
  <c r="C9628" i="2"/>
  <c r="B9628" i="2"/>
  <c r="C9627" i="2"/>
  <c r="B9627" i="2"/>
  <c r="C9626" i="2"/>
  <c r="B9626" i="2"/>
  <c r="C9625" i="2"/>
  <c r="B9625" i="2"/>
  <c r="C9624" i="2"/>
  <c r="B9624" i="2"/>
  <c r="C9623" i="2"/>
  <c r="B9623" i="2"/>
  <c r="C9622" i="2"/>
  <c r="B9622" i="2"/>
  <c r="C9621" i="2"/>
  <c r="B9621" i="2"/>
  <c r="C9620" i="2"/>
  <c r="B9620" i="2"/>
  <c r="C9619" i="2"/>
  <c r="B9619" i="2"/>
  <c r="C9618" i="2"/>
  <c r="B9618" i="2"/>
  <c r="C9617" i="2"/>
  <c r="B9617" i="2"/>
  <c r="C9616" i="2"/>
  <c r="B9616" i="2"/>
  <c r="C9615" i="2"/>
  <c r="B9615" i="2"/>
  <c r="C9614" i="2"/>
  <c r="B9614" i="2"/>
  <c r="C9613" i="2"/>
  <c r="B9613" i="2"/>
  <c r="C9612" i="2"/>
  <c r="B9612" i="2"/>
  <c r="C9611" i="2"/>
  <c r="B9611" i="2"/>
  <c r="C9610" i="2"/>
  <c r="B9610" i="2"/>
  <c r="C9609" i="2"/>
  <c r="B9609" i="2"/>
  <c r="C9608" i="2"/>
  <c r="B9608" i="2"/>
  <c r="C9607" i="2"/>
  <c r="B9607" i="2"/>
  <c r="C9606" i="2"/>
  <c r="B9606" i="2"/>
  <c r="C9605" i="2"/>
  <c r="B9605" i="2"/>
  <c r="C9604" i="2"/>
  <c r="B9604" i="2"/>
  <c r="C9603" i="2"/>
  <c r="B9603" i="2"/>
  <c r="C9602" i="2"/>
  <c r="B9602" i="2"/>
  <c r="C9601" i="2"/>
  <c r="B9601" i="2"/>
  <c r="C9600" i="2"/>
  <c r="B9600" i="2"/>
  <c r="C9599" i="2"/>
  <c r="B9599" i="2"/>
  <c r="C9598" i="2"/>
  <c r="B9598" i="2"/>
  <c r="C9597" i="2"/>
  <c r="B9597" i="2"/>
  <c r="C9596" i="2"/>
  <c r="B9596" i="2"/>
  <c r="C9595" i="2"/>
  <c r="B9595" i="2"/>
  <c r="C9594" i="2"/>
  <c r="B9594" i="2"/>
  <c r="C9593" i="2"/>
  <c r="B9593" i="2"/>
  <c r="C9592" i="2"/>
  <c r="B9592" i="2"/>
  <c r="C9591" i="2"/>
  <c r="B9591" i="2"/>
  <c r="C9590" i="2"/>
  <c r="B9590" i="2"/>
  <c r="C9589" i="2"/>
  <c r="B9589" i="2"/>
  <c r="C9588" i="2"/>
  <c r="B9588" i="2"/>
  <c r="C9587" i="2"/>
  <c r="B9587" i="2"/>
  <c r="C9586" i="2"/>
  <c r="B9586" i="2"/>
  <c r="C9585" i="2"/>
  <c r="B9585" i="2"/>
  <c r="C9584" i="2"/>
  <c r="B9584" i="2"/>
  <c r="C9583" i="2"/>
  <c r="B9583" i="2"/>
  <c r="C9582" i="2"/>
  <c r="B9582" i="2"/>
  <c r="C9581" i="2"/>
  <c r="B9581" i="2"/>
  <c r="C9580" i="2"/>
  <c r="B9580" i="2"/>
  <c r="C9579" i="2"/>
  <c r="B9579" i="2"/>
  <c r="C9578" i="2"/>
  <c r="B9578" i="2"/>
  <c r="C9577" i="2"/>
  <c r="B9577" i="2"/>
  <c r="C9576" i="2"/>
  <c r="B9576" i="2"/>
  <c r="C9575" i="2"/>
  <c r="B9575" i="2"/>
  <c r="C9574" i="2"/>
  <c r="B9574" i="2"/>
  <c r="C9573" i="2"/>
  <c r="B9573" i="2"/>
  <c r="C9572" i="2"/>
  <c r="B9572" i="2"/>
  <c r="C9571" i="2"/>
  <c r="B9571" i="2"/>
  <c r="C9570" i="2"/>
  <c r="B9570" i="2"/>
  <c r="C9569" i="2"/>
  <c r="B9569" i="2"/>
  <c r="C9568" i="2"/>
  <c r="B9568" i="2"/>
  <c r="C9567" i="2"/>
  <c r="B9567" i="2"/>
  <c r="C9566" i="2"/>
  <c r="B9566" i="2"/>
  <c r="C9565" i="2"/>
  <c r="B9565" i="2"/>
  <c r="C9564" i="2"/>
  <c r="B9564" i="2"/>
  <c r="C9563" i="2"/>
  <c r="B9563" i="2"/>
  <c r="C9562" i="2"/>
  <c r="B9562" i="2"/>
  <c r="C9561" i="2"/>
  <c r="B9561" i="2"/>
  <c r="C9560" i="2"/>
  <c r="B9560" i="2"/>
  <c r="C9559" i="2"/>
  <c r="B9559" i="2"/>
  <c r="C9558" i="2"/>
  <c r="B9558" i="2"/>
  <c r="C9557" i="2"/>
  <c r="B9557" i="2"/>
  <c r="C9556" i="2"/>
  <c r="B9556" i="2"/>
  <c r="C9555" i="2"/>
  <c r="B9555" i="2"/>
  <c r="C9554" i="2"/>
  <c r="B9554" i="2"/>
  <c r="C9553" i="2"/>
  <c r="B9553" i="2"/>
  <c r="C9552" i="2"/>
  <c r="B9552" i="2"/>
  <c r="C9551" i="2"/>
  <c r="B9551" i="2"/>
  <c r="C9550" i="2"/>
  <c r="B9550" i="2"/>
  <c r="C9549" i="2"/>
  <c r="B9549" i="2"/>
  <c r="C9548" i="2"/>
  <c r="B9548" i="2"/>
  <c r="C9547" i="2"/>
  <c r="B9547" i="2"/>
  <c r="C9546" i="2"/>
  <c r="B9546" i="2"/>
  <c r="C9545" i="2"/>
  <c r="B9545" i="2"/>
  <c r="C9544" i="2"/>
  <c r="B9544" i="2"/>
  <c r="C9543" i="2"/>
  <c r="B9543" i="2"/>
  <c r="C9542" i="2"/>
  <c r="B9542" i="2"/>
  <c r="C9541" i="2"/>
  <c r="B9541" i="2"/>
  <c r="C9540" i="2"/>
  <c r="B9540" i="2"/>
  <c r="C9539" i="2"/>
  <c r="B9539" i="2"/>
  <c r="C9538" i="2"/>
  <c r="B9538" i="2"/>
  <c r="C9537" i="2"/>
  <c r="B9537" i="2"/>
  <c r="C9536" i="2"/>
  <c r="B9536" i="2"/>
  <c r="C9535" i="2"/>
  <c r="B9535" i="2"/>
  <c r="C9534" i="2"/>
  <c r="B9534" i="2"/>
  <c r="C9533" i="2"/>
  <c r="B9533" i="2"/>
  <c r="C9532" i="2"/>
  <c r="B9532" i="2"/>
  <c r="C9531" i="2"/>
  <c r="B9531" i="2"/>
  <c r="C9530" i="2"/>
  <c r="B9530" i="2"/>
  <c r="C9529" i="2"/>
  <c r="B9529" i="2"/>
  <c r="C9528" i="2"/>
  <c r="B9528" i="2"/>
  <c r="C9527" i="2"/>
  <c r="B9527" i="2"/>
  <c r="C9526" i="2"/>
  <c r="B9526" i="2"/>
  <c r="C9525" i="2"/>
  <c r="B9525" i="2"/>
  <c r="C9524" i="2"/>
  <c r="B9524" i="2"/>
  <c r="C9523" i="2"/>
  <c r="B9523" i="2"/>
  <c r="C9522" i="2"/>
  <c r="B9522" i="2"/>
  <c r="C9521" i="2"/>
  <c r="B9521" i="2"/>
  <c r="C9520" i="2"/>
  <c r="B9520" i="2"/>
  <c r="C9519" i="2"/>
  <c r="B9519" i="2"/>
  <c r="C9518" i="2"/>
  <c r="B9518" i="2"/>
  <c r="C9517" i="2"/>
  <c r="B9517" i="2"/>
  <c r="C9516" i="2"/>
  <c r="B9516" i="2"/>
  <c r="C9515" i="2"/>
  <c r="B9515" i="2"/>
  <c r="C9514" i="2"/>
  <c r="B9514" i="2"/>
  <c r="C9513" i="2"/>
  <c r="B9513" i="2"/>
  <c r="C9512" i="2"/>
  <c r="B9512" i="2"/>
  <c r="C9511" i="2"/>
  <c r="B9511" i="2"/>
  <c r="C9510" i="2"/>
  <c r="B9510" i="2"/>
  <c r="C9509" i="2"/>
  <c r="B9509" i="2"/>
  <c r="C9508" i="2"/>
  <c r="B9508" i="2"/>
  <c r="C9507" i="2"/>
  <c r="B9507" i="2"/>
  <c r="C9506" i="2"/>
  <c r="B9506" i="2"/>
  <c r="C9505" i="2"/>
  <c r="B9505" i="2"/>
  <c r="C9504" i="2"/>
  <c r="B9504" i="2"/>
  <c r="C9503" i="2"/>
  <c r="B9503" i="2"/>
  <c r="C9502" i="2"/>
  <c r="B9502" i="2"/>
  <c r="C9501" i="2"/>
  <c r="B9501" i="2"/>
  <c r="C9500" i="2"/>
  <c r="B9500" i="2"/>
  <c r="C9499" i="2"/>
  <c r="B9499" i="2"/>
  <c r="C9498" i="2"/>
  <c r="B9498" i="2"/>
  <c r="C9497" i="2"/>
  <c r="B9497" i="2"/>
  <c r="C9496" i="2"/>
  <c r="B9496" i="2"/>
  <c r="C9495" i="2"/>
  <c r="B9495" i="2"/>
  <c r="C9494" i="2"/>
  <c r="B9494" i="2"/>
  <c r="C9493" i="2"/>
  <c r="B9493" i="2"/>
  <c r="C9492" i="2"/>
  <c r="B9492" i="2"/>
  <c r="C9491" i="2"/>
  <c r="B9491" i="2"/>
  <c r="C9490" i="2"/>
  <c r="B9490" i="2"/>
  <c r="C9489" i="2"/>
  <c r="B9489" i="2"/>
  <c r="C9488" i="2"/>
  <c r="B9488" i="2"/>
  <c r="C9487" i="2"/>
  <c r="B9487" i="2"/>
  <c r="C9486" i="2"/>
  <c r="B9486" i="2"/>
  <c r="C9485" i="2"/>
  <c r="B9485" i="2"/>
  <c r="C9484" i="2"/>
  <c r="B9484" i="2"/>
  <c r="C9483" i="2"/>
  <c r="B9483" i="2"/>
  <c r="C9482" i="2"/>
  <c r="B9482" i="2"/>
  <c r="C9481" i="2"/>
  <c r="B9481" i="2"/>
  <c r="C9480" i="2"/>
  <c r="B9480" i="2"/>
  <c r="C9479" i="2"/>
  <c r="B9479" i="2"/>
  <c r="C9478" i="2"/>
  <c r="B9478" i="2"/>
  <c r="C9477" i="2"/>
  <c r="B9477" i="2"/>
  <c r="C9476" i="2"/>
  <c r="B9476" i="2"/>
  <c r="C9475" i="2"/>
  <c r="B9475" i="2"/>
  <c r="C9474" i="2"/>
  <c r="B9474" i="2"/>
  <c r="C9473" i="2"/>
  <c r="B9473" i="2"/>
  <c r="C9472" i="2"/>
  <c r="B9472" i="2"/>
  <c r="C9471" i="2"/>
  <c r="B9471" i="2"/>
  <c r="C9470" i="2"/>
  <c r="B9470" i="2"/>
  <c r="C9469" i="2"/>
  <c r="B9469" i="2"/>
  <c r="C9468" i="2"/>
  <c r="B9468" i="2"/>
  <c r="C9467" i="2"/>
  <c r="B9467" i="2"/>
  <c r="C9466" i="2"/>
  <c r="B9466" i="2"/>
  <c r="C9465" i="2"/>
  <c r="B9465" i="2"/>
  <c r="C9464" i="2"/>
  <c r="B9464" i="2"/>
  <c r="C9463" i="2"/>
  <c r="B9463" i="2"/>
  <c r="C9462" i="2"/>
  <c r="B9462" i="2"/>
  <c r="C9461" i="2"/>
  <c r="B9461" i="2"/>
  <c r="C9460" i="2"/>
  <c r="B9460" i="2"/>
  <c r="C9459" i="2"/>
  <c r="B9459" i="2"/>
  <c r="C9458" i="2"/>
  <c r="B9458" i="2"/>
  <c r="C9457" i="2"/>
  <c r="B9457" i="2"/>
  <c r="C9456" i="2"/>
  <c r="B9456" i="2"/>
  <c r="C9455" i="2"/>
  <c r="B9455" i="2"/>
  <c r="C9454" i="2"/>
  <c r="B9454" i="2"/>
  <c r="C9453" i="2"/>
  <c r="B9453" i="2"/>
  <c r="C9452" i="2"/>
  <c r="B9452" i="2"/>
  <c r="C9451" i="2"/>
  <c r="B9451" i="2"/>
  <c r="C9450" i="2"/>
  <c r="B9450" i="2"/>
  <c r="C9449" i="2"/>
  <c r="B9449" i="2"/>
  <c r="C9448" i="2"/>
  <c r="B9448" i="2"/>
  <c r="C9447" i="2"/>
  <c r="B9447" i="2"/>
  <c r="C9446" i="2"/>
  <c r="B9446" i="2"/>
  <c r="C9445" i="2"/>
  <c r="B9445" i="2"/>
  <c r="C9444" i="2"/>
  <c r="B9444" i="2"/>
  <c r="C9443" i="2"/>
  <c r="B9443" i="2"/>
  <c r="C9442" i="2"/>
  <c r="B9442" i="2"/>
  <c r="C9441" i="2"/>
  <c r="B9441" i="2"/>
  <c r="C9440" i="2"/>
  <c r="B9440" i="2"/>
  <c r="C9439" i="2"/>
  <c r="B9439" i="2"/>
  <c r="C9438" i="2"/>
  <c r="B9438" i="2"/>
  <c r="C9437" i="2"/>
  <c r="B9437" i="2"/>
  <c r="C9436" i="2"/>
  <c r="B9436" i="2"/>
  <c r="C9435" i="2"/>
  <c r="B9435" i="2"/>
  <c r="C9434" i="2"/>
  <c r="B9434" i="2"/>
  <c r="C9433" i="2"/>
  <c r="B9433" i="2"/>
  <c r="C9432" i="2"/>
  <c r="B9432" i="2"/>
  <c r="C9431" i="2"/>
  <c r="B9431" i="2"/>
  <c r="C9430" i="2"/>
  <c r="B9430" i="2"/>
  <c r="C9429" i="2"/>
  <c r="B9429" i="2"/>
  <c r="C9428" i="2"/>
  <c r="B9428" i="2"/>
  <c r="C9427" i="2"/>
  <c r="B9427" i="2"/>
  <c r="C9426" i="2"/>
  <c r="B9426" i="2"/>
  <c r="C9425" i="2"/>
  <c r="B9425" i="2"/>
  <c r="C9424" i="2"/>
  <c r="B9424" i="2"/>
  <c r="C9423" i="2"/>
  <c r="B9423" i="2"/>
  <c r="C9422" i="2"/>
  <c r="B9422" i="2"/>
  <c r="C9421" i="2"/>
  <c r="B9421" i="2"/>
  <c r="C9420" i="2"/>
  <c r="B9420" i="2"/>
  <c r="C9419" i="2"/>
  <c r="B9419" i="2"/>
  <c r="C9418" i="2"/>
  <c r="B9418" i="2"/>
  <c r="C9417" i="2"/>
  <c r="B9417" i="2"/>
  <c r="C9416" i="2"/>
  <c r="B9416" i="2"/>
  <c r="C9415" i="2"/>
  <c r="B9415" i="2"/>
  <c r="C9414" i="2"/>
  <c r="B9414" i="2"/>
  <c r="C9413" i="2"/>
  <c r="B9413" i="2"/>
  <c r="C9412" i="2"/>
  <c r="B9412" i="2"/>
  <c r="C9411" i="2"/>
  <c r="B9411" i="2"/>
  <c r="C9410" i="2"/>
  <c r="B9410" i="2"/>
  <c r="C9409" i="2"/>
  <c r="B9409" i="2"/>
  <c r="C9408" i="2"/>
  <c r="B9408" i="2"/>
  <c r="C9407" i="2"/>
  <c r="B9407" i="2"/>
  <c r="C9406" i="2"/>
  <c r="B9406" i="2"/>
  <c r="C9405" i="2"/>
  <c r="B9405" i="2"/>
  <c r="C9404" i="2"/>
  <c r="B9404" i="2"/>
  <c r="C9403" i="2"/>
  <c r="B9403" i="2"/>
  <c r="C9402" i="2"/>
  <c r="B9402" i="2"/>
  <c r="C9401" i="2"/>
  <c r="B9401" i="2"/>
  <c r="C9400" i="2"/>
  <c r="B9400" i="2"/>
  <c r="C9399" i="2"/>
  <c r="B9399" i="2"/>
  <c r="C9398" i="2"/>
  <c r="B9398" i="2"/>
  <c r="C9397" i="2"/>
  <c r="B9397" i="2"/>
  <c r="C9396" i="2"/>
  <c r="B9396" i="2"/>
  <c r="C9395" i="2"/>
  <c r="B9395" i="2"/>
  <c r="C9394" i="2"/>
  <c r="B9394" i="2"/>
  <c r="C9393" i="2"/>
  <c r="B9393" i="2"/>
  <c r="C9392" i="2"/>
  <c r="B9392" i="2"/>
  <c r="C9391" i="2"/>
  <c r="B9391" i="2"/>
  <c r="C9390" i="2"/>
  <c r="B9390" i="2"/>
  <c r="C9389" i="2"/>
  <c r="B9389" i="2"/>
  <c r="C9388" i="2"/>
  <c r="B9388" i="2"/>
  <c r="C9387" i="2"/>
  <c r="B9387" i="2"/>
  <c r="C9386" i="2"/>
  <c r="B9386" i="2"/>
  <c r="C9385" i="2"/>
  <c r="B9385" i="2"/>
  <c r="C9384" i="2"/>
  <c r="B9384" i="2"/>
  <c r="C9383" i="2"/>
  <c r="B9383" i="2"/>
  <c r="C9382" i="2"/>
  <c r="B9382" i="2"/>
  <c r="C9381" i="2"/>
  <c r="B9381" i="2"/>
  <c r="C9380" i="2"/>
  <c r="B9380" i="2"/>
  <c r="C9379" i="2"/>
  <c r="B9379" i="2"/>
  <c r="C9378" i="2"/>
  <c r="B9378" i="2"/>
  <c r="C9377" i="2"/>
  <c r="B9377" i="2"/>
  <c r="C9376" i="2"/>
  <c r="B9376" i="2"/>
  <c r="C9375" i="2"/>
  <c r="B9375" i="2"/>
  <c r="C9374" i="2"/>
  <c r="B9374" i="2"/>
  <c r="C9373" i="2"/>
  <c r="B9373" i="2"/>
  <c r="C9372" i="2"/>
  <c r="B9372" i="2"/>
  <c r="C9371" i="2"/>
  <c r="B9371" i="2"/>
  <c r="C9370" i="2"/>
  <c r="B9370" i="2"/>
  <c r="C9369" i="2"/>
  <c r="B9369" i="2"/>
  <c r="C9368" i="2"/>
  <c r="B9368" i="2"/>
  <c r="C9367" i="2"/>
  <c r="B9367" i="2"/>
  <c r="C9366" i="2"/>
  <c r="B9366" i="2"/>
  <c r="C9365" i="2"/>
  <c r="B9365" i="2"/>
  <c r="C9364" i="2"/>
  <c r="B9364" i="2"/>
  <c r="C9363" i="2"/>
  <c r="B9363" i="2"/>
  <c r="C9362" i="2"/>
  <c r="B9362" i="2"/>
  <c r="C9361" i="2"/>
  <c r="B9361" i="2"/>
  <c r="C9360" i="2"/>
  <c r="B9360" i="2"/>
  <c r="C9359" i="2"/>
  <c r="B9359" i="2"/>
  <c r="C9358" i="2"/>
  <c r="B9358" i="2"/>
  <c r="C9357" i="2"/>
  <c r="B9357" i="2"/>
  <c r="C9356" i="2"/>
  <c r="B9356" i="2"/>
  <c r="C9355" i="2"/>
  <c r="B9355" i="2"/>
  <c r="C9354" i="2"/>
  <c r="B9354" i="2"/>
  <c r="C9353" i="2"/>
  <c r="B9353" i="2"/>
  <c r="C9352" i="2"/>
  <c r="B9352" i="2"/>
  <c r="C9351" i="2"/>
  <c r="B9351" i="2"/>
  <c r="C9350" i="2"/>
  <c r="B9350" i="2"/>
  <c r="C9349" i="2"/>
  <c r="B9349" i="2"/>
  <c r="C9348" i="2"/>
  <c r="B9348" i="2"/>
  <c r="C9347" i="2"/>
  <c r="B9347" i="2"/>
  <c r="C9346" i="2"/>
  <c r="B9346" i="2"/>
  <c r="C9345" i="2"/>
  <c r="B9345" i="2"/>
  <c r="C9344" i="2"/>
  <c r="B9344" i="2"/>
  <c r="C9343" i="2"/>
  <c r="B9343" i="2"/>
  <c r="C9342" i="2"/>
  <c r="B9342" i="2"/>
  <c r="C9341" i="2"/>
  <c r="B9341" i="2"/>
  <c r="C9340" i="2"/>
  <c r="B9340" i="2"/>
  <c r="C9339" i="2"/>
  <c r="B9339" i="2"/>
  <c r="C9338" i="2"/>
  <c r="B9338" i="2"/>
  <c r="C9337" i="2"/>
  <c r="B9337" i="2"/>
  <c r="C9336" i="2"/>
  <c r="B9336" i="2"/>
  <c r="C9335" i="2"/>
  <c r="B9335" i="2"/>
  <c r="C9334" i="2"/>
  <c r="B9334" i="2"/>
  <c r="C9333" i="2"/>
  <c r="B9333" i="2"/>
  <c r="C9332" i="2"/>
  <c r="B9332" i="2"/>
  <c r="C9331" i="2"/>
  <c r="B9331" i="2"/>
  <c r="C9330" i="2"/>
  <c r="B9330" i="2"/>
  <c r="C9329" i="2"/>
  <c r="B9329" i="2"/>
  <c r="C9328" i="2"/>
  <c r="B9328" i="2"/>
  <c r="C9327" i="2"/>
  <c r="B9327" i="2"/>
  <c r="C9326" i="2"/>
  <c r="B9326" i="2"/>
  <c r="C9325" i="2"/>
  <c r="B9325" i="2"/>
  <c r="C9324" i="2"/>
  <c r="B9324" i="2"/>
  <c r="C9323" i="2"/>
  <c r="B9323" i="2"/>
  <c r="C9322" i="2"/>
  <c r="B9322" i="2"/>
  <c r="C9321" i="2"/>
  <c r="B9321" i="2"/>
  <c r="C9320" i="2"/>
  <c r="B9320" i="2"/>
  <c r="C9319" i="2"/>
  <c r="B9319" i="2"/>
  <c r="C9318" i="2"/>
  <c r="B9318" i="2"/>
  <c r="C9317" i="2"/>
  <c r="B9317" i="2"/>
  <c r="C9316" i="2"/>
  <c r="B9316" i="2"/>
  <c r="C9315" i="2"/>
  <c r="B9315" i="2"/>
  <c r="C9314" i="2"/>
  <c r="B9314" i="2"/>
  <c r="C9313" i="2"/>
  <c r="B9313" i="2"/>
  <c r="C9312" i="2"/>
  <c r="B9312" i="2"/>
  <c r="C9311" i="2"/>
  <c r="B9311" i="2"/>
  <c r="C9310" i="2"/>
  <c r="B9310" i="2"/>
  <c r="C9309" i="2"/>
  <c r="B9309" i="2"/>
  <c r="C9308" i="2"/>
  <c r="B9308" i="2"/>
  <c r="C9307" i="2"/>
  <c r="B9307" i="2"/>
  <c r="C9306" i="2"/>
  <c r="B9306" i="2"/>
  <c r="C9305" i="2"/>
  <c r="B9305" i="2"/>
  <c r="C9304" i="2"/>
  <c r="B9304" i="2"/>
  <c r="C9303" i="2"/>
  <c r="B9303" i="2"/>
  <c r="C9302" i="2"/>
  <c r="B9302" i="2"/>
  <c r="C9301" i="2"/>
  <c r="B9301" i="2"/>
  <c r="C9300" i="2"/>
  <c r="B9300" i="2"/>
  <c r="C9299" i="2"/>
  <c r="B9299" i="2"/>
  <c r="C9298" i="2"/>
  <c r="B9298" i="2"/>
  <c r="C9297" i="2"/>
  <c r="B9297" i="2"/>
  <c r="C9296" i="2"/>
  <c r="B9296" i="2"/>
  <c r="C9295" i="2"/>
  <c r="B9295" i="2"/>
  <c r="C9294" i="2"/>
  <c r="B9294" i="2"/>
  <c r="C9293" i="2"/>
  <c r="B9293" i="2"/>
  <c r="C9292" i="2"/>
  <c r="B9292" i="2"/>
  <c r="C9291" i="2"/>
  <c r="B9291" i="2"/>
  <c r="C9290" i="2"/>
  <c r="B9290" i="2"/>
  <c r="C9289" i="2"/>
  <c r="B9289" i="2"/>
  <c r="C9288" i="2"/>
  <c r="B9288" i="2"/>
  <c r="C9287" i="2"/>
  <c r="B9287" i="2"/>
  <c r="C9286" i="2"/>
  <c r="B9286" i="2"/>
  <c r="C9285" i="2"/>
  <c r="B9285" i="2"/>
  <c r="C9284" i="2"/>
  <c r="B9284" i="2"/>
  <c r="C9283" i="2"/>
  <c r="B9283" i="2"/>
  <c r="C9282" i="2"/>
  <c r="B9282" i="2"/>
  <c r="C9281" i="2"/>
  <c r="B9281" i="2"/>
  <c r="C9280" i="2"/>
  <c r="B9280" i="2"/>
  <c r="C9279" i="2"/>
  <c r="B9279" i="2"/>
  <c r="C9278" i="2"/>
  <c r="B9278" i="2"/>
  <c r="C9277" i="2"/>
  <c r="B9277" i="2"/>
  <c r="C9276" i="2"/>
  <c r="B9276" i="2"/>
  <c r="C9275" i="2"/>
  <c r="B9275" i="2"/>
  <c r="C9274" i="2"/>
  <c r="B9274" i="2"/>
  <c r="C9273" i="2"/>
  <c r="B9273" i="2"/>
  <c r="C9272" i="2"/>
  <c r="B9272" i="2"/>
  <c r="C9271" i="2"/>
  <c r="B9271" i="2"/>
  <c r="C9270" i="2"/>
  <c r="B9270" i="2"/>
  <c r="C9269" i="2"/>
  <c r="B9269" i="2"/>
  <c r="C9268" i="2"/>
  <c r="B9268" i="2"/>
  <c r="C9267" i="2"/>
  <c r="B9267" i="2"/>
  <c r="C9266" i="2"/>
  <c r="B9266" i="2"/>
  <c r="C9265" i="2"/>
  <c r="B9265" i="2"/>
  <c r="C9264" i="2"/>
  <c r="B9264" i="2"/>
  <c r="C9263" i="2"/>
  <c r="B9263" i="2"/>
  <c r="C9262" i="2"/>
  <c r="B9262" i="2"/>
  <c r="C9261" i="2"/>
  <c r="B9261" i="2"/>
  <c r="C9260" i="2"/>
  <c r="B9260" i="2"/>
  <c r="C9259" i="2"/>
  <c r="B9259" i="2"/>
  <c r="C9258" i="2"/>
  <c r="B9258" i="2"/>
  <c r="C9257" i="2"/>
  <c r="B9257" i="2"/>
  <c r="C9256" i="2"/>
  <c r="B9256" i="2"/>
  <c r="C9255" i="2"/>
  <c r="B9255" i="2"/>
  <c r="C9254" i="2"/>
  <c r="B9254" i="2"/>
  <c r="C9253" i="2"/>
  <c r="B9253" i="2"/>
  <c r="C9252" i="2"/>
  <c r="B9252" i="2"/>
  <c r="C9251" i="2"/>
  <c r="B9251" i="2"/>
  <c r="C9250" i="2"/>
  <c r="B9250" i="2"/>
  <c r="C9249" i="2"/>
  <c r="B9249" i="2"/>
  <c r="C9248" i="2"/>
  <c r="B9248" i="2"/>
  <c r="C9247" i="2"/>
  <c r="B9247" i="2"/>
  <c r="C9246" i="2"/>
  <c r="B9246" i="2"/>
  <c r="C9245" i="2"/>
  <c r="B9245" i="2"/>
  <c r="C9244" i="2"/>
  <c r="B9244" i="2"/>
  <c r="C9243" i="2"/>
  <c r="B9243" i="2"/>
  <c r="C9242" i="2"/>
  <c r="B9242" i="2"/>
  <c r="C9241" i="2"/>
  <c r="B9241" i="2"/>
  <c r="C9240" i="2"/>
  <c r="B9240" i="2"/>
  <c r="C9239" i="2"/>
  <c r="B9239" i="2"/>
  <c r="C9238" i="2"/>
  <c r="B9238" i="2"/>
  <c r="C9237" i="2"/>
  <c r="B9237" i="2"/>
  <c r="C9236" i="2"/>
  <c r="B9236" i="2"/>
  <c r="C9235" i="2"/>
  <c r="B9235" i="2"/>
  <c r="C9234" i="2"/>
  <c r="B9234" i="2"/>
  <c r="C9233" i="2"/>
  <c r="B9233" i="2"/>
  <c r="C9232" i="2"/>
  <c r="B9232" i="2"/>
  <c r="C9231" i="2"/>
  <c r="B9231" i="2"/>
  <c r="C9230" i="2"/>
  <c r="B9230" i="2"/>
  <c r="C9229" i="2"/>
  <c r="B9229" i="2"/>
  <c r="C9228" i="2"/>
  <c r="B9228" i="2"/>
  <c r="C9227" i="2"/>
  <c r="B9227" i="2"/>
  <c r="C9226" i="2"/>
  <c r="B9226" i="2"/>
  <c r="C9225" i="2"/>
  <c r="B9225" i="2"/>
  <c r="C9224" i="2"/>
  <c r="B9224" i="2"/>
  <c r="C9223" i="2"/>
  <c r="B9223" i="2"/>
  <c r="C9222" i="2"/>
  <c r="B9222" i="2"/>
  <c r="C9221" i="2"/>
  <c r="B9221" i="2"/>
  <c r="C9220" i="2"/>
  <c r="B9220" i="2"/>
  <c r="C9219" i="2"/>
  <c r="B9219" i="2"/>
  <c r="C9218" i="2"/>
  <c r="B9218" i="2"/>
  <c r="C9217" i="2"/>
  <c r="B9217" i="2"/>
  <c r="C9216" i="2"/>
  <c r="B9216" i="2"/>
  <c r="C9215" i="2"/>
  <c r="B9215" i="2"/>
  <c r="C9214" i="2"/>
  <c r="B9214" i="2"/>
  <c r="C9213" i="2"/>
  <c r="B9213" i="2"/>
  <c r="C9212" i="2"/>
  <c r="B9212" i="2"/>
  <c r="C9211" i="2"/>
  <c r="B9211" i="2"/>
  <c r="C9210" i="2"/>
  <c r="B9210" i="2"/>
  <c r="C9209" i="2"/>
  <c r="B9209" i="2"/>
  <c r="C9208" i="2"/>
  <c r="B9208" i="2"/>
  <c r="C9207" i="2"/>
  <c r="B9207" i="2"/>
  <c r="C9206" i="2"/>
  <c r="B9206" i="2"/>
  <c r="C9205" i="2"/>
  <c r="B9205" i="2"/>
  <c r="C9204" i="2"/>
  <c r="B9204" i="2"/>
  <c r="C9203" i="2"/>
  <c r="B9203" i="2"/>
  <c r="C9202" i="2"/>
  <c r="B9202" i="2"/>
  <c r="C9201" i="2"/>
  <c r="B9201" i="2"/>
  <c r="C9200" i="2"/>
  <c r="B9200" i="2"/>
  <c r="C9199" i="2"/>
  <c r="B9199" i="2"/>
  <c r="C9198" i="2"/>
  <c r="B9198" i="2"/>
  <c r="C9197" i="2"/>
  <c r="B9197" i="2"/>
  <c r="C9196" i="2"/>
  <c r="B9196" i="2"/>
  <c r="C9195" i="2"/>
  <c r="B9195" i="2"/>
  <c r="C9194" i="2"/>
  <c r="B9194" i="2"/>
  <c r="C9193" i="2"/>
  <c r="B9193" i="2"/>
  <c r="C9192" i="2"/>
  <c r="B9192" i="2"/>
  <c r="C9191" i="2"/>
  <c r="B9191" i="2"/>
  <c r="C9190" i="2"/>
  <c r="B9190" i="2"/>
  <c r="C9189" i="2"/>
  <c r="B9189" i="2"/>
  <c r="C9188" i="2"/>
  <c r="B9188" i="2"/>
  <c r="C9187" i="2"/>
  <c r="B9187" i="2"/>
  <c r="C9186" i="2"/>
  <c r="B9186" i="2"/>
  <c r="C9185" i="2"/>
  <c r="B9185" i="2"/>
  <c r="C9184" i="2"/>
  <c r="B9184" i="2"/>
  <c r="C9183" i="2"/>
  <c r="B9183" i="2"/>
  <c r="C9182" i="2"/>
  <c r="B9182" i="2"/>
  <c r="C9181" i="2"/>
  <c r="B9181" i="2"/>
  <c r="C9180" i="2"/>
  <c r="B9180" i="2"/>
  <c r="C9179" i="2"/>
  <c r="B9179" i="2"/>
  <c r="C9178" i="2"/>
  <c r="B9178" i="2"/>
  <c r="C9177" i="2"/>
  <c r="B9177" i="2"/>
  <c r="C9176" i="2"/>
  <c r="B9176" i="2"/>
  <c r="C9175" i="2"/>
  <c r="B9175" i="2"/>
  <c r="C9174" i="2"/>
  <c r="B9174" i="2"/>
  <c r="C9173" i="2"/>
  <c r="B9173" i="2"/>
  <c r="C9172" i="2"/>
  <c r="B9172" i="2"/>
  <c r="C9171" i="2"/>
  <c r="B9171" i="2"/>
  <c r="C9170" i="2"/>
  <c r="B9170" i="2"/>
  <c r="C9169" i="2"/>
  <c r="B9169" i="2"/>
  <c r="C9168" i="2"/>
  <c r="B9168" i="2"/>
  <c r="C9167" i="2"/>
  <c r="B9167" i="2"/>
  <c r="C9166" i="2"/>
  <c r="B9166" i="2"/>
  <c r="C9165" i="2"/>
  <c r="B9165" i="2"/>
  <c r="C9164" i="2"/>
  <c r="B9164" i="2"/>
  <c r="C9163" i="2"/>
  <c r="B9163" i="2"/>
  <c r="C9162" i="2"/>
  <c r="B9162" i="2"/>
  <c r="C9161" i="2"/>
  <c r="B9161" i="2"/>
  <c r="C9160" i="2"/>
  <c r="B9160" i="2"/>
  <c r="C9159" i="2"/>
  <c r="B9159" i="2"/>
  <c r="C9158" i="2"/>
  <c r="B9158" i="2"/>
  <c r="C9157" i="2"/>
  <c r="B9157" i="2"/>
  <c r="C9156" i="2"/>
  <c r="B9156" i="2"/>
  <c r="C9155" i="2"/>
  <c r="B9155" i="2"/>
  <c r="C9154" i="2"/>
  <c r="B9154" i="2"/>
  <c r="C9153" i="2"/>
  <c r="B9153" i="2"/>
  <c r="C9152" i="2"/>
  <c r="B9152" i="2"/>
  <c r="C9151" i="2"/>
  <c r="B9151" i="2"/>
  <c r="C9150" i="2"/>
  <c r="B9150" i="2"/>
  <c r="C9149" i="2"/>
  <c r="B9149" i="2"/>
  <c r="C9148" i="2"/>
  <c r="B9148" i="2"/>
  <c r="C9147" i="2"/>
  <c r="B9147" i="2"/>
  <c r="C9146" i="2"/>
  <c r="B9146" i="2"/>
  <c r="C9145" i="2"/>
  <c r="B9145" i="2"/>
  <c r="C9144" i="2"/>
  <c r="B9144" i="2"/>
  <c r="C9143" i="2"/>
  <c r="B9143" i="2"/>
  <c r="C9142" i="2"/>
  <c r="B9142" i="2"/>
  <c r="C9141" i="2"/>
  <c r="B9141" i="2"/>
  <c r="C9140" i="2"/>
  <c r="B9140" i="2"/>
  <c r="C9139" i="2"/>
  <c r="B9139" i="2"/>
  <c r="C9138" i="2"/>
  <c r="B9138" i="2"/>
  <c r="C9137" i="2"/>
  <c r="B9137" i="2"/>
  <c r="C9136" i="2"/>
  <c r="B9136" i="2"/>
  <c r="C9135" i="2"/>
  <c r="B9135" i="2"/>
  <c r="C9134" i="2"/>
  <c r="B9134" i="2"/>
  <c r="C9133" i="2"/>
  <c r="B9133" i="2"/>
  <c r="C9132" i="2"/>
  <c r="B9132" i="2"/>
  <c r="C9131" i="2"/>
  <c r="B9131" i="2"/>
  <c r="C9130" i="2"/>
  <c r="B9130" i="2"/>
  <c r="C9129" i="2"/>
  <c r="B9129" i="2"/>
  <c r="C9128" i="2"/>
  <c r="B9128" i="2"/>
  <c r="C9127" i="2"/>
  <c r="B9127" i="2"/>
  <c r="C9126" i="2"/>
  <c r="B9126" i="2"/>
  <c r="C9125" i="2"/>
  <c r="B9125" i="2"/>
  <c r="C9124" i="2"/>
  <c r="B9124" i="2"/>
  <c r="C9123" i="2"/>
  <c r="B9123" i="2"/>
  <c r="C9122" i="2"/>
  <c r="B9122" i="2"/>
  <c r="C9121" i="2"/>
  <c r="B9121" i="2"/>
  <c r="C9120" i="2"/>
  <c r="B9120" i="2"/>
  <c r="C9119" i="2"/>
  <c r="B9119" i="2"/>
  <c r="C9118" i="2"/>
  <c r="B9118" i="2"/>
  <c r="C9117" i="2"/>
  <c r="B9117" i="2"/>
  <c r="C9116" i="2"/>
  <c r="B9116" i="2"/>
  <c r="C9115" i="2"/>
  <c r="B9115" i="2"/>
  <c r="C9114" i="2"/>
  <c r="B9114" i="2"/>
  <c r="C9113" i="2"/>
  <c r="B9113" i="2"/>
  <c r="C9112" i="2"/>
  <c r="B9112" i="2"/>
  <c r="C9111" i="2"/>
  <c r="B9111" i="2"/>
  <c r="C9110" i="2"/>
  <c r="B9110" i="2"/>
  <c r="C9109" i="2"/>
  <c r="B9109" i="2"/>
  <c r="C9108" i="2"/>
  <c r="B9108" i="2"/>
  <c r="C9107" i="2"/>
  <c r="B9107" i="2"/>
  <c r="C9106" i="2"/>
  <c r="B9106" i="2"/>
  <c r="C9105" i="2"/>
  <c r="B9105" i="2"/>
  <c r="C9104" i="2"/>
  <c r="B9104" i="2"/>
  <c r="C9103" i="2"/>
  <c r="B9103" i="2"/>
  <c r="C9102" i="2"/>
  <c r="B9102" i="2"/>
  <c r="C9101" i="2"/>
  <c r="B9101" i="2"/>
  <c r="C9100" i="2"/>
  <c r="B9100" i="2"/>
  <c r="C9099" i="2"/>
  <c r="B9099" i="2"/>
  <c r="C9098" i="2"/>
  <c r="B9098" i="2"/>
  <c r="C9097" i="2"/>
  <c r="B9097" i="2"/>
  <c r="C9096" i="2"/>
  <c r="B9096" i="2"/>
  <c r="C9095" i="2"/>
  <c r="B9095" i="2"/>
  <c r="C9094" i="2"/>
  <c r="B9094" i="2"/>
  <c r="C9093" i="2"/>
  <c r="B9093" i="2"/>
  <c r="C9092" i="2"/>
  <c r="B9092" i="2"/>
  <c r="C9091" i="2"/>
  <c r="B9091" i="2"/>
  <c r="C9090" i="2"/>
  <c r="B9090" i="2"/>
  <c r="C9089" i="2"/>
  <c r="B9089" i="2"/>
  <c r="C9088" i="2"/>
  <c r="B9088" i="2"/>
  <c r="C9087" i="2"/>
  <c r="B9087" i="2"/>
  <c r="C9086" i="2"/>
  <c r="B9086" i="2"/>
  <c r="C9085" i="2"/>
  <c r="B9085" i="2"/>
  <c r="C9084" i="2"/>
  <c r="B9084" i="2"/>
  <c r="C9083" i="2"/>
  <c r="B9083" i="2"/>
  <c r="C9082" i="2"/>
  <c r="B9082" i="2"/>
  <c r="C9081" i="2"/>
  <c r="B9081" i="2"/>
  <c r="C9080" i="2"/>
  <c r="B9080" i="2"/>
  <c r="C9079" i="2"/>
  <c r="B9079" i="2"/>
  <c r="C9078" i="2"/>
  <c r="B9078" i="2"/>
  <c r="C9077" i="2"/>
  <c r="B9077" i="2"/>
  <c r="C9076" i="2"/>
  <c r="B9076" i="2"/>
  <c r="C9075" i="2"/>
  <c r="B9075" i="2"/>
  <c r="C9074" i="2"/>
  <c r="B9074" i="2"/>
  <c r="C9073" i="2"/>
  <c r="B9073" i="2"/>
  <c r="C9072" i="2"/>
  <c r="B9072" i="2"/>
  <c r="C9071" i="2"/>
  <c r="B9071" i="2"/>
  <c r="C9070" i="2"/>
  <c r="B9070" i="2"/>
  <c r="C9069" i="2"/>
  <c r="B9069" i="2"/>
  <c r="C9068" i="2"/>
  <c r="B9068" i="2"/>
  <c r="C9067" i="2"/>
  <c r="B9067" i="2"/>
  <c r="C9066" i="2"/>
  <c r="B9066" i="2"/>
  <c r="C9065" i="2"/>
  <c r="B9065" i="2"/>
  <c r="C9064" i="2"/>
  <c r="B9064" i="2"/>
  <c r="C9063" i="2"/>
  <c r="B9063" i="2"/>
  <c r="C9062" i="2"/>
  <c r="B9062" i="2"/>
  <c r="C9061" i="2"/>
  <c r="B9061" i="2"/>
  <c r="C9060" i="2"/>
  <c r="B9060" i="2"/>
  <c r="C9059" i="2"/>
  <c r="B9059" i="2"/>
  <c r="C9058" i="2"/>
  <c r="B9058" i="2"/>
  <c r="C9057" i="2"/>
  <c r="B9057" i="2"/>
  <c r="C9056" i="2"/>
  <c r="B9056" i="2"/>
  <c r="C9055" i="2"/>
  <c r="B9055" i="2"/>
  <c r="C9054" i="2"/>
  <c r="B9054" i="2"/>
  <c r="C9053" i="2"/>
  <c r="B9053" i="2"/>
  <c r="C9052" i="2"/>
  <c r="B9052" i="2"/>
  <c r="C9051" i="2"/>
  <c r="B9051" i="2"/>
  <c r="C9050" i="2"/>
  <c r="B9050" i="2"/>
  <c r="C9049" i="2"/>
  <c r="B9049" i="2"/>
  <c r="C9048" i="2"/>
  <c r="B9048" i="2"/>
  <c r="C9047" i="2"/>
  <c r="B9047" i="2"/>
  <c r="C9046" i="2"/>
  <c r="B9046" i="2"/>
  <c r="C9045" i="2"/>
  <c r="B9045" i="2"/>
  <c r="C9044" i="2"/>
  <c r="B9044" i="2"/>
  <c r="C9043" i="2"/>
  <c r="B9043" i="2"/>
  <c r="C9042" i="2"/>
  <c r="B9042" i="2"/>
  <c r="C9041" i="2"/>
  <c r="B9041" i="2"/>
  <c r="C9040" i="2"/>
  <c r="B9040" i="2"/>
  <c r="C9039" i="2"/>
  <c r="B9039" i="2"/>
  <c r="C9038" i="2"/>
  <c r="B9038" i="2"/>
  <c r="C9037" i="2"/>
  <c r="B9037" i="2"/>
  <c r="C9036" i="2"/>
  <c r="B9036" i="2"/>
  <c r="C9035" i="2"/>
  <c r="B9035" i="2"/>
  <c r="C9034" i="2"/>
  <c r="B9034" i="2"/>
  <c r="C9033" i="2"/>
  <c r="B9033" i="2"/>
  <c r="C9032" i="2"/>
  <c r="B9032" i="2"/>
  <c r="C9031" i="2"/>
  <c r="B9031" i="2"/>
  <c r="C9030" i="2"/>
  <c r="B9030" i="2"/>
  <c r="C9029" i="2"/>
  <c r="B9029" i="2"/>
  <c r="C9028" i="2"/>
  <c r="B9028" i="2"/>
  <c r="C9027" i="2"/>
  <c r="B9027" i="2"/>
  <c r="C9026" i="2"/>
  <c r="B9026" i="2"/>
  <c r="C9025" i="2"/>
  <c r="B9025" i="2"/>
  <c r="C9024" i="2"/>
  <c r="B9024" i="2"/>
  <c r="C9023" i="2"/>
  <c r="B9023" i="2"/>
  <c r="C9022" i="2"/>
  <c r="B9022" i="2"/>
  <c r="C9021" i="2"/>
  <c r="B9021" i="2"/>
  <c r="C9020" i="2"/>
  <c r="B9020" i="2"/>
  <c r="C9019" i="2"/>
  <c r="B9019" i="2"/>
  <c r="C9018" i="2"/>
  <c r="B9018" i="2"/>
  <c r="C9017" i="2"/>
  <c r="B9017" i="2"/>
  <c r="C9016" i="2"/>
  <c r="B9016" i="2"/>
  <c r="C9015" i="2"/>
  <c r="B9015" i="2"/>
  <c r="C9014" i="2"/>
  <c r="B9014" i="2"/>
  <c r="C9013" i="2"/>
  <c r="B9013" i="2"/>
  <c r="C9012" i="2"/>
  <c r="B9012" i="2"/>
  <c r="C9011" i="2"/>
  <c r="B9011" i="2"/>
  <c r="C9010" i="2"/>
  <c r="B9010" i="2"/>
  <c r="C9009" i="2"/>
  <c r="B9009" i="2"/>
  <c r="C9008" i="2"/>
  <c r="B9008" i="2"/>
  <c r="C9007" i="2"/>
  <c r="B9007" i="2"/>
  <c r="C9006" i="2"/>
  <c r="B9006" i="2"/>
  <c r="C9005" i="2"/>
  <c r="B9005" i="2"/>
  <c r="C9004" i="2"/>
  <c r="B9004" i="2"/>
  <c r="C9003" i="2"/>
  <c r="B9003" i="2"/>
  <c r="C9002" i="2"/>
  <c r="B9002" i="2"/>
  <c r="C9001" i="2"/>
  <c r="B9001" i="2"/>
  <c r="C9000" i="2"/>
  <c r="B9000" i="2"/>
  <c r="C8999" i="2"/>
  <c r="B8999" i="2"/>
  <c r="C8998" i="2"/>
  <c r="B8998" i="2"/>
  <c r="C8997" i="2"/>
  <c r="B8997" i="2"/>
  <c r="C8996" i="2"/>
  <c r="B8996" i="2"/>
  <c r="C8995" i="2"/>
  <c r="B8995" i="2"/>
  <c r="C8994" i="2"/>
  <c r="B8994" i="2"/>
  <c r="C8993" i="2"/>
  <c r="B8993" i="2"/>
  <c r="C8992" i="2"/>
  <c r="B8992" i="2"/>
  <c r="C8991" i="2"/>
  <c r="B8991" i="2"/>
  <c r="C8990" i="2"/>
  <c r="B8990" i="2"/>
  <c r="C8989" i="2"/>
  <c r="B8989" i="2"/>
  <c r="C8988" i="2"/>
  <c r="B8988" i="2"/>
  <c r="C8987" i="2"/>
  <c r="B8987" i="2"/>
  <c r="C8986" i="2"/>
  <c r="B8986" i="2"/>
  <c r="C8985" i="2"/>
  <c r="B8985" i="2"/>
  <c r="C8984" i="2"/>
  <c r="B8984" i="2"/>
  <c r="C8983" i="2"/>
  <c r="B8983" i="2"/>
  <c r="C8982" i="2"/>
  <c r="B8982" i="2"/>
  <c r="C8981" i="2"/>
  <c r="B8981" i="2"/>
  <c r="C8980" i="2"/>
  <c r="B8980" i="2"/>
  <c r="C8979" i="2"/>
  <c r="B8979" i="2"/>
  <c r="C8978" i="2"/>
  <c r="B8978" i="2"/>
  <c r="C8977" i="2"/>
  <c r="B8977" i="2"/>
  <c r="C8976" i="2"/>
  <c r="B8976" i="2"/>
  <c r="C8975" i="2"/>
  <c r="B8975" i="2"/>
  <c r="C8974" i="2"/>
  <c r="B8974" i="2"/>
  <c r="C8973" i="2"/>
  <c r="B8973" i="2"/>
  <c r="C8972" i="2"/>
  <c r="B8972" i="2"/>
  <c r="C8971" i="2"/>
  <c r="B8971" i="2"/>
  <c r="C8970" i="2"/>
  <c r="B8970" i="2"/>
  <c r="C8969" i="2"/>
  <c r="B8969" i="2"/>
  <c r="C8968" i="2"/>
  <c r="B8968" i="2"/>
  <c r="C8967" i="2"/>
  <c r="B8967" i="2"/>
  <c r="C8966" i="2"/>
  <c r="B8966" i="2"/>
  <c r="C8965" i="2"/>
  <c r="B8965" i="2"/>
  <c r="C8964" i="2"/>
  <c r="B8964" i="2"/>
  <c r="C8963" i="2"/>
  <c r="B8963" i="2"/>
  <c r="C8962" i="2"/>
  <c r="B8962" i="2"/>
  <c r="C8961" i="2"/>
  <c r="B8961" i="2"/>
  <c r="C8960" i="2"/>
  <c r="B8960" i="2"/>
  <c r="C8959" i="2"/>
  <c r="B8959" i="2"/>
  <c r="C8958" i="2"/>
  <c r="B8958" i="2"/>
  <c r="C8957" i="2"/>
  <c r="B8957" i="2"/>
  <c r="C8956" i="2"/>
  <c r="B8956" i="2"/>
  <c r="C8955" i="2"/>
  <c r="B8955" i="2"/>
  <c r="C8954" i="2"/>
  <c r="B8954" i="2"/>
  <c r="C8953" i="2"/>
  <c r="B8953" i="2"/>
  <c r="C8952" i="2"/>
  <c r="B8952" i="2"/>
  <c r="C8951" i="2"/>
  <c r="B8951" i="2"/>
  <c r="C8950" i="2"/>
  <c r="B8950" i="2"/>
  <c r="C8949" i="2"/>
  <c r="B8949" i="2"/>
  <c r="C8948" i="2"/>
  <c r="B8948" i="2"/>
  <c r="C8947" i="2"/>
  <c r="B8947" i="2"/>
  <c r="C8946" i="2"/>
  <c r="B8946" i="2"/>
  <c r="C8945" i="2"/>
  <c r="B8945" i="2"/>
  <c r="C8944" i="2"/>
  <c r="B8944" i="2"/>
  <c r="C8943" i="2"/>
  <c r="B8943" i="2"/>
  <c r="C8942" i="2"/>
  <c r="B8942" i="2"/>
  <c r="C8941" i="2"/>
  <c r="B8941" i="2"/>
  <c r="C8940" i="2"/>
  <c r="B8940" i="2"/>
  <c r="C8939" i="2"/>
  <c r="B8939" i="2"/>
  <c r="C8938" i="2"/>
  <c r="B8938" i="2"/>
  <c r="C8937" i="2"/>
  <c r="B8937" i="2"/>
  <c r="C8936" i="2"/>
  <c r="B8936" i="2"/>
  <c r="C8935" i="2"/>
  <c r="B8935" i="2"/>
  <c r="C8934" i="2"/>
  <c r="B8934" i="2"/>
  <c r="C8933" i="2"/>
  <c r="B8933" i="2"/>
  <c r="C8932" i="2"/>
  <c r="B8932" i="2"/>
  <c r="C8931" i="2"/>
  <c r="B8931" i="2"/>
  <c r="C8930" i="2"/>
  <c r="B8930" i="2"/>
  <c r="C8929" i="2"/>
  <c r="B8929" i="2"/>
  <c r="C8928" i="2"/>
  <c r="B8928" i="2"/>
  <c r="C8927" i="2"/>
  <c r="B8927" i="2"/>
  <c r="C8926" i="2"/>
  <c r="B8926" i="2"/>
  <c r="C8925" i="2"/>
  <c r="B8925" i="2"/>
  <c r="C8924" i="2"/>
  <c r="B8924" i="2"/>
  <c r="C8923" i="2"/>
  <c r="B8923" i="2"/>
  <c r="C8922" i="2"/>
  <c r="B8922" i="2"/>
  <c r="C8921" i="2"/>
  <c r="B8921" i="2"/>
  <c r="C8920" i="2"/>
  <c r="B8920" i="2"/>
  <c r="C8919" i="2"/>
  <c r="B8919" i="2"/>
  <c r="C8918" i="2"/>
  <c r="B8918" i="2"/>
  <c r="C8917" i="2"/>
  <c r="B8917" i="2"/>
  <c r="C8916" i="2"/>
  <c r="B8916" i="2"/>
  <c r="C8915" i="2"/>
  <c r="B8915" i="2"/>
  <c r="C8914" i="2"/>
  <c r="B8914" i="2"/>
  <c r="C8913" i="2"/>
  <c r="B8913" i="2"/>
  <c r="C8912" i="2"/>
  <c r="B8912" i="2"/>
  <c r="C8911" i="2"/>
  <c r="B8911" i="2"/>
  <c r="C8910" i="2"/>
  <c r="B8910" i="2"/>
  <c r="C8909" i="2"/>
  <c r="B8909" i="2"/>
  <c r="C8908" i="2"/>
  <c r="B8908" i="2"/>
  <c r="C8907" i="2"/>
  <c r="B8907" i="2"/>
  <c r="C8906" i="2"/>
  <c r="B8906" i="2"/>
  <c r="C8905" i="2"/>
  <c r="B8905" i="2"/>
  <c r="C8904" i="2"/>
  <c r="B8904" i="2"/>
  <c r="C8903" i="2"/>
  <c r="B8903" i="2"/>
  <c r="C8902" i="2"/>
  <c r="B8902" i="2"/>
  <c r="C8901" i="2"/>
  <c r="B8901" i="2"/>
  <c r="C8900" i="2"/>
  <c r="B8900" i="2"/>
  <c r="C8899" i="2"/>
  <c r="B8899" i="2"/>
  <c r="C8898" i="2"/>
  <c r="B8898" i="2"/>
  <c r="C8897" i="2"/>
  <c r="B8897" i="2"/>
  <c r="C8896" i="2"/>
  <c r="B8896" i="2"/>
  <c r="C8895" i="2"/>
  <c r="B8895" i="2"/>
  <c r="C8894" i="2"/>
  <c r="B8894" i="2"/>
  <c r="C8893" i="2"/>
  <c r="B8893" i="2"/>
  <c r="C8892" i="2"/>
  <c r="B8892" i="2"/>
  <c r="C8891" i="2"/>
  <c r="B8891" i="2"/>
  <c r="C8890" i="2"/>
  <c r="B8890" i="2"/>
  <c r="C8889" i="2"/>
  <c r="B8889" i="2"/>
  <c r="C8888" i="2"/>
  <c r="B8888" i="2"/>
  <c r="C8887" i="2"/>
  <c r="B8887" i="2"/>
  <c r="C8886" i="2"/>
  <c r="B8886" i="2"/>
  <c r="C8885" i="2"/>
  <c r="B8885" i="2"/>
  <c r="C8884" i="2"/>
  <c r="B8884" i="2"/>
  <c r="C8883" i="2"/>
  <c r="B8883" i="2"/>
  <c r="C8882" i="2"/>
  <c r="B8882" i="2"/>
  <c r="C8881" i="2"/>
  <c r="B8881" i="2"/>
  <c r="C8880" i="2"/>
  <c r="B8880" i="2"/>
  <c r="C8879" i="2"/>
  <c r="B8879" i="2"/>
  <c r="C8878" i="2"/>
  <c r="B8878" i="2"/>
  <c r="C8877" i="2"/>
  <c r="B8877" i="2"/>
  <c r="C8876" i="2"/>
  <c r="B8876" i="2"/>
  <c r="C8875" i="2"/>
  <c r="B8875" i="2"/>
  <c r="C8874" i="2"/>
  <c r="B8874" i="2"/>
  <c r="C8873" i="2"/>
  <c r="B8873" i="2"/>
  <c r="C8872" i="2"/>
  <c r="B8872" i="2"/>
  <c r="C8871" i="2"/>
  <c r="B8871" i="2"/>
  <c r="C8870" i="2"/>
  <c r="B8870" i="2"/>
  <c r="C8869" i="2"/>
  <c r="B8869" i="2"/>
  <c r="C8868" i="2"/>
  <c r="B8868" i="2"/>
  <c r="C8867" i="2"/>
  <c r="B8867" i="2"/>
  <c r="C8866" i="2"/>
  <c r="B8866" i="2"/>
  <c r="C8865" i="2"/>
  <c r="B8865" i="2"/>
  <c r="C8864" i="2"/>
  <c r="B8864" i="2"/>
  <c r="C8863" i="2"/>
  <c r="B8863" i="2"/>
  <c r="C8862" i="2"/>
  <c r="B8862" i="2"/>
  <c r="C8861" i="2"/>
  <c r="B8861" i="2"/>
  <c r="C8860" i="2"/>
  <c r="B8860" i="2"/>
  <c r="C8859" i="2"/>
  <c r="B8859" i="2"/>
  <c r="C8858" i="2"/>
  <c r="B8858" i="2"/>
  <c r="C8857" i="2"/>
  <c r="B8857" i="2"/>
  <c r="C8856" i="2"/>
  <c r="B8856" i="2"/>
  <c r="C8855" i="2"/>
  <c r="B8855" i="2"/>
  <c r="C8854" i="2"/>
  <c r="B8854" i="2"/>
  <c r="C8853" i="2"/>
  <c r="B8853" i="2"/>
  <c r="C8852" i="2"/>
  <c r="B8852" i="2"/>
  <c r="C8851" i="2"/>
  <c r="B8851" i="2"/>
  <c r="C8850" i="2"/>
  <c r="B8850" i="2"/>
  <c r="C8849" i="2"/>
  <c r="B8849" i="2"/>
  <c r="C8848" i="2"/>
  <c r="B8848" i="2"/>
  <c r="C8847" i="2"/>
  <c r="B8847" i="2"/>
  <c r="C8846" i="2"/>
  <c r="B8846" i="2"/>
  <c r="C8845" i="2"/>
  <c r="B8845" i="2"/>
  <c r="C8844" i="2"/>
  <c r="B8844" i="2"/>
  <c r="C8843" i="2"/>
  <c r="B8843" i="2"/>
  <c r="C8842" i="2"/>
  <c r="B8842" i="2"/>
  <c r="C8841" i="2"/>
  <c r="B8841" i="2"/>
  <c r="C8840" i="2"/>
  <c r="B8840" i="2"/>
  <c r="C8839" i="2"/>
  <c r="B8839" i="2"/>
  <c r="C8838" i="2"/>
  <c r="B8838" i="2"/>
  <c r="C8837" i="2"/>
  <c r="B8837" i="2"/>
  <c r="C8836" i="2"/>
  <c r="B8836" i="2"/>
  <c r="C8835" i="2"/>
  <c r="B8835" i="2"/>
  <c r="C8834" i="2"/>
  <c r="B8834" i="2"/>
  <c r="C8833" i="2"/>
  <c r="B8833" i="2"/>
  <c r="C8832" i="2"/>
  <c r="B8832" i="2"/>
  <c r="C8831" i="2"/>
  <c r="B8831" i="2"/>
  <c r="C8830" i="2"/>
  <c r="B8830" i="2"/>
  <c r="C8829" i="2"/>
  <c r="B8829" i="2"/>
  <c r="C8828" i="2"/>
  <c r="B8828" i="2"/>
  <c r="C8827" i="2"/>
  <c r="B8827" i="2"/>
  <c r="C8826" i="2"/>
  <c r="B8826" i="2"/>
  <c r="C8825" i="2"/>
  <c r="B8825" i="2"/>
  <c r="C8824" i="2"/>
  <c r="B8824" i="2"/>
  <c r="C8823" i="2"/>
  <c r="B8823" i="2"/>
  <c r="C8822" i="2"/>
  <c r="B8822" i="2"/>
  <c r="C8821" i="2"/>
  <c r="B8821" i="2"/>
  <c r="C8820" i="2"/>
  <c r="B8820" i="2"/>
  <c r="C8819" i="2"/>
  <c r="B8819" i="2"/>
  <c r="C8818" i="2"/>
  <c r="B8818" i="2"/>
  <c r="C8817" i="2"/>
  <c r="B8817" i="2"/>
  <c r="C8816" i="2"/>
  <c r="B8816" i="2"/>
  <c r="C8815" i="2"/>
  <c r="B8815" i="2"/>
  <c r="C8814" i="2"/>
  <c r="B8814" i="2"/>
  <c r="C8813" i="2"/>
  <c r="B8813" i="2"/>
  <c r="C8812" i="2"/>
  <c r="B8812" i="2"/>
  <c r="C8811" i="2"/>
  <c r="B8811" i="2"/>
  <c r="C8810" i="2"/>
  <c r="B8810" i="2"/>
  <c r="C8809" i="2"/>
  <c r="B8809" i="2"/>
  <c r="C8808" i="2"/>
  <c r="B8808" i="2"/>
  <c r="C8807" i="2"/>
  <c r="B8807" i="2"/>
  <c r="C8806" i="2"/>
  <c r="B8806" i="2"/>
  <c r="C8805" i="2"/>
  <c r="B8805" i="2"/>
  <c r="C8804" i="2"/>
  <c r="B8804" i="2"/>
  <c r="C8803" i="2"/>
  <c r="B8803" i="2"/>
  <c r="C8802" i="2"/>
  <c r="B8802" i="2"/>
  <c r="C8801" i="2"/>
  <c r="B8801" i="2"/>
  <c r="C8800" i="2"/>
  <c r="B8800" i="2"/>
  <c r="C8799" i="2"/>
  <c r="B8799" i="2"/>
  <c r="C8798" i="2"/>
  <c r="B8798" i="2"/>
  <c r="C8797" i="2"/>
  <c r="B8797" i="2"/>
  <c r="C8796" i="2"/>
  <c r="B8796" i="2"/>
  <c r="C8795" i="2"/>
  <c r="B8795" i="2"/>
  <c r="C8794" i="2"/>
  <c r="B8794" i="2"/>
  <c r="C8793" i="2"/>
  <c r="B8793" i="2"/>
  <c r="C8792" i="2"/>
  <c r="B8792" i="2"/>
  <c r="C8791" i="2"/>
  <c r="B8791" i="2"/>
  <c r="C8790" i="2"/>
  <c r="B8790" i="2"/>
  <c r="C8789" i="2"/>
  <c r="B8789" i="2"/>
  <c r="C8788" i="2"/>
  <c r="B8788" i="2"/>
  <c r="C8787" i="2"/>
  <c r="B8787" i="2"/>
  <c r="C8786" i="2"/>
  <c r="B8786" i="2"/>
  <c r="C8785" i="2"/>
  <c r="B8785" i="2"/>
  <c r="C8784" i="2"/>
  <c r="B8784" i="2"/>
  <c r="C8783" i="2"/>
  <c r="B8783" i="2"/>
  <c r="C8782" i="2"/>
  <c r="B8782" i="2"/>
  <c r="C8781" i="2"/>
  <c r="B8781" i="2"/>
  <c r="C8780" i="2"/>
  <c r="B8780" i="2"/>
  <c r="C8779" i="2"/>
  <c r="B8779" i="2"/>
  <c r="C8778" i="2"/>
  <c r="B8778" i="2"/>
  <c r="C8777" i="2"/>
  <c r="B8777" i="2"/>
  <c r="C8776" i="2"/>
  <c r="B8776" i="2"/>
  <c r="C8775" i="2"/>
  <c r="B8775" i="2"/>
  <c r="C8774" i="2"/>
  <c r="B8774" i="2"/>
  <c r="C8773" i="2"/>
  <c r="B8773" i="2"/>
  <c r="C8772" i="2"/>
  <c r="B8772" i="2"/>
  <c r="C8771" i="2"/>
  <c r="B8771" i="2"/>
  <c r="C8770" i="2"/>
  <c r="B8770" i="2"/>
  <c r="C8769" i="2"/>
  <c r="B8769" i="2"/>
  <c r="C8768" i="2"/>
  <c r="B8768" i="2"/>
  <c r="C8767" i="2"/>
  <c r="B8767" i="2"/>
  <c r="C8766" i="2"/>
  <c r="B8766" i="2"/>
  <c r="C8765" i="2"/>
  <c r="B8765" i="2"/>
  <c r="C8764" i="2"/>
  <c r="B8764" i="2"/>
  <c r="C8763" i="2"/>
  <c r="B8763" i="2"/>
  <c r="C8762" i="2"/>
  <c r="B8762" i="2"/>
  <c r="C8761" i="2"/>
  <c r="B8761" i="2"/>
  <c r="C8760" i="2"/>
  <c r="B8760" i="2"/>
  <c r="C8759" i="2"/>
  <c r="B8759" i="2"/>
  <c r="C8758" i="2"/>
  <c r="B8758" i="2"/>
  <c r="C8757" i="2"/>
  <c r="B8757" i="2"/>
  <c r="C8756" i="2"/>
  <c r="B8756" i="2"/>
  <c r="C8755" i="2"/>
  <c r="B8755" i="2"/>
  <c r="C8754" i="2"/>
  <c r="B8754" i="2"/>
  <c r="C8753" i="2"/>
  <c r="B8753" i="2"/>
  <c r="C8752" i="2"/>
  <c r="B8752" i="2"/>
  <c r="C8751" i="2"/>
  <c r="B8751" i="2"/>
  <c r="C8750" i="2"/>
  <c r="B8750" i="2"/>
  <c r="C8749" i="2"/>
  <c r="B8749" i="2"/>
  <c r="C8748" i="2"/>
  <c r="B8748" i="2"/>
  <c r="C8747" i="2"/>
  <c r="B8747" i="2"/>
  <c r="C8746" i="2"/>
  <c r="B8746" i="2"/>
  <c r="C8745" i="2"/>
  <c r="B8745" i="2"/>
  <c r="C8744" i="2"/>
  <c r="B8744" i="2"/>
  <c r="C8743" i="2"/>
  <c r="B8743" i="2"/>
  <c r="C8742" i="2"/>
  <c r="B8742" i="2"/>
  <c r="C8741" i="2"/>
  <c r="B8741" i="2"/>
  <c r="C8740" i="2"/>
  <c r="B8740" i="2"/>
  <c r="C8739" i="2"/>
  <c r="B8739" i="2"/>
  <c r="C8738" i="2"/>
  <c r="B8738" i="2"/>
  <c r="C8737" i="2"/>
  <c r="B8737" i="2"/>
  <c r="C8736" i="2"/>
  <c r="B8736" i="2"/>
  <c r="C8735" i="2"/>
  <c r="B8735" i="2"/>
  <c r="C8734" i="2"/>
  <c r="B8734" i="2"/>
  <c r="C8733" i="2"/>
  <c r="B8733" i="2"/>
  <c r="C8732" i="2"/>
  <c r="B8732" i="2"/>
  <c r="C8731" i="2"/>
  <c r="B8731" i="2"/>
  <c r="C8730" i="2"/>
  <c r="B8730" i="2"/>
  <c r="C8729" i="2"/>
  <c r="B8729" i="2"/>
  <c r="C8728" i="2"/>
  <c r="B8728" i="2"/>
  <c r="C8727" i="2"/>
  <c r="B8727" i="2"/>
  <c r="C8726" i="2"/>
  <c r="B8726" i="2"/>
  <c r="C8725" i="2"/>
  <c r="B8725" i="2"/>
  <c r="C8724" i="2"/>
  <c r="B8724" i="2"/>
  <c r="C8723" i="2"/>
  <c r="B8723" i="2"/>
  <c r="C8722" i="2"/>
  <c r="B8722" i="2"/>
  <c r="C8721" i="2"/>
  <c r="B8721" i="2"/>
  <c r="C8720" i="2"/>
  <c r="B8720" i="2"/>
  <c r="C8719" i="2"/>
  <c r="B8719" i="2"/>
  <c r="C8718" i="2"/>
  <c r="B8718" i="2"/>
  <c r="C8717" i="2"/>
  <c r="B8717" i="2"/>
  <c r="C8716" i="2"/>
  <c r="B8716" i="2"/>
  <c r="C8715" i="2"/>
  <c r="B8715" i="2"/>
  <c r="C8714" i="2"/>
  <c r="B8714" i="2"/>
  <c r="C8713" i="2"/>
  <c r="B8713" i="2"/>
  <c r="C8712" i="2"/>
  <c r="B8712" i="2"/>
  <c r="C8711" i="2"/>
  <c r="B8711" i="2"/>
  <c r="C8710" i="2"/>
  <c r="B8710" i="2"/>
  <c r="C8709" i="2"/>
  <c r="B8709" i="2"/>
  <c r="C8708" i="2"/>
  <c r="B8708" i="2"/>
  <c r="C8707" i="2"/>
  <c r="B8707" i="2"/>
  <c r="C8706" i="2"/>
  <c r="B8706" i="2"/>
  <c r="C8705" i="2"/>
  <c r="B8705" i="2"/>
  <c r="C8704" i="2"/>
  <c r="B8704" i="2"/>
  <c r="C8703" i="2"/>
  <c r="B8703" i="2"/>
  <c r="C8702" i="2"/>
  <c r="B8702" i="2"/>
  <c r="C8701" i="2"/>
  <c r="B8701" i="2"/>
  <c r="C8700" i="2"/>
  <c r="B8700" i="2"/>
  <c r="C8699" i="2"/>
  <c r="B8699" i="2"/>
  <c r="C8698" i="2"/>
  <c r="B8698" i="2"/>
  <c r="C8697" i="2"/>
  <c r="B8697" i="2"/>
  <c r="C8696" i="2"/>
  <c r="B8696" i="2"/>
  <c r="C8695" i="2"/>
  <c r="B8695" i="2"/>
  <c r="C8694" i="2"/>
  <c r="B8694" i="2"/>
  <c r="C8693" i="2"/>
  <c r="B8693" i="2"/>
  <c r="C8692" i="2"/>
  <c r="B8692" i="2"/>
  <c r="C8691" i="2"/>
  <c r="B8691" i="2"/>
  <c r="C8690" i="2"/>
  <c r="B8690" i="2"/>
  <c r="C8689" i="2"/>
  <c r="B8689" i="2"/>
  <c r="C8688" i="2"/>
  <c r="B8688" i="2"/>
  <c r="C8687" i="2"/>
  <c r="B8687" i="2"/>
  <c r="C8686" i="2"/>
  <c r="B8686" i="2"/>
  <c r="C8685" i="2"/>
  <c r="B8685" i="2"/>
  <c r="C8684" i="2"/>
  <c r="B8684" i="2"/>
  <c r="C8683" i="2"/>
  <c r="B8683" i="2"/>
  <c r="C8682" i="2"/>
  <c r="B8682" i="2"/>
  <c r="C8681" i="2"/>
  <c r="B8681" i="2"/>
  <c r="C8680" i="2"/>
  <c r="B8680" i="2"/>
  <c r="C8679" i="2"/>
  <c r="B8679" i="2"/>
  <c r="C8678" i="2"/>
  <c r="B8678" i="2"/>
  <c r="C8677" i="2"/>
  <c r="B8677" i="2"/>
  <c r="C8676" i="2"/>
  <c r="B8676" i="2"/>
  <c r="C8675" i="2"/>
  <c r="B8675" i="2"/>
  <c r="C8674" i="2"/>
  <c r="B8674" i="2"/>
  <c r="C8673" i="2"/>
  <c r="B8673" i="2"/>
  <c r="C8672" i="2"/>
  <c r="B8672" i="2"/>
  <c r="C8671" i="2"/>
  <c r="B8671" i="2"/>
  <c r="C8670" i="2"/>
  <c r="B8670" i="2"/>
  <c r="C8669" i="2"/>
  <c r="B8669" i="2"/>
  <c r="C8668" i="2"/>
  <c r="B8668" i="2"/>
  <c r="C8667" i="2"/>
  <c r="B8667" i="2"/>
  <c r="C8666" i="2"/>
  <c r="B8666" i="2"/>
  <c r="C8665" i="2"/>
  <c r="B8665" i="2"/>
  <c r="C8664" i="2"/>
  <c r="B8664" i="2"/>
  <c r="C8663" i="2"/>
  <c r="B8663" i="2"/>
  <c r="C8662" i="2"/>
  <c r="B8662" i="2"/>
  <c r="C8661" i="2"/>
  <c r="B8661" i="2"/>
  <c r="C8660" i="2"/>
  <c r="B8660" i="2"/>
  <c r="C8659" i="2"/>
  <c r="B8659" i="2"/>
  <c r="C8658" i="2"/>
  <c r="B8658" i="2"/>
  <c r="C8657" i="2"/>
  <c r="B8657" i="2"/>
  <c r="C8656" i="2"/>
  <c r="B8656" i="2"/>
  <c r="C8655" i="2"/>
  <c r="B8655" i="2"/>
  <c r="C8654" i="2"/>
  <c r="B8654" i="2"/>
  <c r="C8653" i="2"/>
  <c r="B8653" i="2"/>
  <c r="C8652" i="2"/>
  <c r="B8652" i="2"/>
  <c r="C8651" i="2"/>
  <c r="B8651" i="2"/>
  <c r="C8650" i="2"/>
  <c r="B8650" i="2"/>
  <c r="C8649" i="2"/>
  <c r="B8649" i="2"/>
  <c r="C8648" i="2"/>
  <c r="B8648" i="2"/>
  <c r="C8647" i="2"/>
  <c r="B8647" i="2"/>
  <c r="C8646" i="2"/>
  <c r="B8646" i="2"/>
  <c r="C8645" i="2"/>
  <c r="B8645" i="2"/>
  <c r="C8644" i="2"/>
  <c r="B8644" i="2"/>
  <c r="C8643" i="2"/>
  <c r="B8643" i="2"/>
  <c r="C8642" i="2"/>
  <c r="B8642" i="2"/>
  <c r="C8641" i="2"/>
  <c r="B8641" i="2"/>
  <c r="C8640" i="2"/>
  <c r="B8640" i="2"/>
  <c r="C8639" i="2"/>
  <c r="B8639" i="2"/>
  <c r="C8638" i="2"/>
  <c r="B8638" i="2"/>
  <c r="C8637" i="2"/>
  <c r="B8637" i="2"/>
  <c r="C8636" i="2"/>
  <c r="B8636" i="2"/>
  <c r="C8635" i="2"/>
  <c r="B8635" i="2"/>
  <c r="C8634" i="2"/>
  <c r="B8634" i="2"/>
  <c r="C8633" i="2"/>
  <c r="B8633" i="2"/>
  <c r="C8632" i="2"/>
  <c r="B8632" i="2"/>
  <c r="C8631" i="2"/>
  <c r="B8631" i="2"/>
  <c r="C8630" i="2"/>
  <c r="B8630" i="2"/>
  <c r="C8629" i="2"/>
  <c r="B8629" i="2"/>
  <c r="C8628" i="2"/>
  <c r="B8628" i="2"/>
  <c r="C8627" i="2"/>
  <c r="B8627" i="2"/>
  <c r="C8626" i="2"/>
  <c r="B8626" i="2"/>
  <c r="C8625" i="2"/>
  <c r="B8625" i="2"/>
  <c r="C8624" i="2"/>
  <c r="B8624" i="2"/>
  <c r="C8623" i="2"/>
  <c r="B8623" i="2"/>
  <c r="C8622" i="2"/>
  <c r="B8622" i="2"/>
  <c r="C8621" i="2"/>
  <c r="B8621" i="2"/>
  <c r="C8620" i="2"/>
  <c r="B8620" i="2"/>
  <c r="C8619" i="2"/>
  <c r="B8619" i="2"/>
  <c r="C8618" i="2"/>
  <c r="B8618" i="2"/>
  <c r="C8617" i="2"/>
  <c r="B8617" i="2"/>
  <c r="C8616" i="2"/>
  <c r="B8616" i="2"/>
  <c r="C8615" i="2"/>
  <c r="B8615" i="2"/>
  <c r="C8614" i="2"/>
  <c r="B8614" i="2"/>
  <c r="C8613" i="2"/>
  <c r="B8613" i="2"/>
  <c r="C8612" i="2"/>
  <c r="B8612" i="2"/>
  <c r="C8611" i="2"/>
  <c r="B8611" i="2"/>
  <c r="C8610" i="2"/>
  <c r="B8610" i="2"/>
  <c r="C8609" i="2"/>
  <c r="B8609" i="2"/>
  <c r="C8608" i="2"/>
  <c r="B8608" i="2"/>
  <c r="C8607" i="2"/>
  <c r="B8607" i="2"/>
  <c r="C8606" i="2"/>
  <c r="B8606" i="2"/>
  <c r="C8605" i="2"/>
  <c r="B8605" i="2"/>
  <c r="C8604" i="2"/>
  <c r="B8604" i="2"/>
  <c r="C8603" i="2"/>
  <c r="B8603" i="2"/>
  <c r="C8602" i="2"/>
  <c r="B8602" i="2"/>
  <c r="C8601" i="2"/>
  <c r="B8601" i="2"/>
  <c r="C8600" i="2"/>
  <c r="B8600" i="2"/>
  <c r="C8599" i="2"/>
  <c r="B8599" i="2"/>
  <c r="C8598" i="2"/>
  <c r="B8598" i="2"/>
  <c r="C8597" i="2"/>
  <c r="B8597" i="2"/>
  <c r="C8596" i="2"/>
  <c r="B8596" i="2"/>
  <c r="C8595" i="2"/>
  <c r="B8595" i="2"/>
  <c r="C8594" i="2"/>
  <c r="B8594" i="2"/>
  <c r="C8593" i="2"/>
  <c r="B8593" i="2"/>
  <c r="C8592" i="2"/>
  <c r="B8592" i="2"/>
  <c r="C8591" i="2"/>
  <c r="B8591" i="2"/>
  <c r="C8590" i="2"/>
  <c r="B8590" i="2"/>
  <c r="C8589" i="2"/>
  <c r="B8589" i="2"/>
  <c r="C8588" i="2"/>
  <c r="B8588" i="2"/>
  <c r="C8587" i="2"/>
  <c r="B8587" i="2"/>
  <c r="C8586" i="2"/>
  <c r="B8586" i="2"/>
  <c r="C8585" i="2"/>
  <c r="B8585" i="2"/>
  <c r="C8584" i="2"/>
  <c r="B8584" i="2"/>
  <c r="C8583" i="2"/>
  <c r="B8583" i="2"/>
  <c r="C8582" i="2"/>
  <c r="B8582" i="2"/>
  <c r="C8581" i="2"/>
  <c r="B8581" i="2"/>
  <c r="C8580" i="2"/>
  <c r="B8580" i="2"/>
  <c r="C8579" i="2"/>
  <c r="B8579" i="2"/>
  <c r="C8578" i="2"/>
  <c r="B8578" i="2"/>
  <c r="C8577" i="2"/>
  <c r="B8577" i="2"/>
  <c r="C8576" i="2"/>
  <c r="B8576" i="2"/>
  <c r="C8575" i="2"/>
  <c r="B8575" i="2"/>
  <c r="C8574" i="2"/>
  <c r="B8574" i="2"/>
  <c r="C8573" i="2"/>
  <c r="B8573" i="2"/>
  <c r="C8572" i="2"/>
  <c r="B8572" i="2"/>
  <c r="C8571" i="2"/>
  <c r="B8571" i="2"/>
  <c r="C8570" i="2"/>
  <c r="B8570" i="2"/>
  <c r="C8569" i="2"/>
  <c r="B8569" i="2"/>
  <c r="C8568" i="2"/>
  <c r="B8568" i="2"/>
  <c r="C8567" i="2"/>
  <c r="B8567" i="2"/>
  <c r="C8566" i="2"/>
  <c r="B8566" i="2"/>
  <c r="C8565" i="2"/>
  <c r="B8565" i="2"/>
  <c r="C8564" i="2"/>
  <c r="B8564" i="2"/>
  <c r="C8563" i="2"/>
  <c r="B8563" i="2"/>
  <c r="C8562" i="2"/>
  <c r="B8562" i="2"/>
  <c r="C8561" i="2"/>
  <c r="B8561" i="2"/>
  <c r="C8560" i="2"/>
  <c r="B8560" i="2"/>
  <c r="C8559" i="2"/>
  <c r="B8559" i="2"/>
  <c r="C8558" i="2"/>
  <c r="B8558" i="2"/>
  <c r="C8557" i="2"/>
  <c r="B8557" i="2"/>
  <c r="C8556" i="2"/>
  <c r="B8556" i="2"/>
  <c r="C8555" i="2"/>
  <c r="B8555" i="2"/>
  <c r="C8554" i="2"/>
  <c r="B8554" i="2"/>
  <c r="C8553" i="2"/>
  <c r="B8553" i="2"/>
  <c r="C8552" i="2"/>
  <c r="B8552" i="2"/>
  <c r="C8551" i="2"/>
  <c r="B8551" i="2"/>
  <c r="C8550" i="2"/>
  <c r="B8550" i="2"/>
  <c r="C8549" i="2"/>
  <c r="B8549" i="2"/>
  <c r="C8548" i="2"/>
  <c r="B8548" i="2"/>
  <c r="C8547" i="2"/>
  <c r="B8547" i="2"/>
  <c r="C8546" i="2"/>
  <c r="B8546" i="2"/>
  <c r="C8545" i="2"/>
  <c r="B8545" i="2"/>
  <c r="C8544" i="2"/>
  <c r="B8544" i="2"/>
  <c r="C8543" i="2"/>
  <c r="B8543" i="2"/>
  <c r="C8542" i="2"/>
  <c r="B8542" i="2"/>
  <c r="C8541" i="2"/>
  <c r="B8541" i="2"/>
  <c r="C8540" i="2"/>
  <c r="B8540" i="2"/>
  <c r="C8539" i="2"/>
  <c r="B8539" i="2"/>
  <c r="C8538" i="2"/>
  <c r="B8538" i="2"/>
  <c r="C8537" i="2"/>
  <c r="B8537" i="2"/>
  <c r="C8536" i="2"/>
  <c r="B8536" i="2"/>
  <c r="C8535" i="2"/>
  <c r="B8535" i="2"/>
  <c r="C8534" i="2"/>
  <c r="B8534" i="2"/>
  <c r="C8533" i="2"/>
  <c r="B8533" i="2"/>
  <c r="C8532" i="2"/>
  <c r="B8532" i="2"/>
  <c r="C8531" i="2"/>
  <c r="B8531" i="2"/>
  <c r="C8530" i="2"/>
  <c r="B8530" i="2"/>
  <c r="C8529" i="2"/>
  <c r="B8529" i="2"/>
  <c r="C8528" i="2"/>
  <c r="B8528" i="2"/>
  <c r="C8527" i="2"/>
  <c r="B8527" i="2"/>
  <c r="C8526" i="2"/>
  <c r="B8526" i="2"/>
  <c r="C8525" i="2"/>
  <c r="B8525" i="2"/>
  <c r="C8524" i="2"/>
  <c r="B8524" i="2"/>
  <c r="C8523" i="2"/>
  <c r="B8523" i="2"/>
  <c r="C8522" i="2"/>
  <c r="B8522" i="2"/>
  <c r="C8521" i="2"/>
  <c r="B8521" i="2"/>
  <c r="C8520" i="2"/>
  <c r="B8520" i="2"/>
  <c r="C8519" i="2"/>
  <c r="B8519" i="2"/>
  <c r="C8518" i="2"/>
  <c r="B8518" i="2"/>
  <c r="C8517" i="2"/>
  <c r="B8517" i="2"/>
  <c r="C8516" i="2"/>
  <c r="B8516" i="2"/>
  <c r="C8515" i="2"/>
  <c r="B8515" i="2"/>
  <c r="C8514" i="2"/>
  <c r="B8514" i="2"/>
  <c r="C8513" i="2"/>
  <c r="B8513" i="2"/>
  <c r="C8512" i="2"/>
  <c r="B8512" i="2"/>
  <c r="C8511" i="2"/>
  <c r="B8511" i="2"/>
  <c r="C8510" i="2"/>
  <c r="B8510" i="2"/>
  <c r="C8509" i="2"/>
  <c r="B8509" i="2"/>
  <c r="C8508" i="2"/>
  <c r="B8508" i="2"/>
  <c r="C8507" i="2"/>
  <c r="B8507" i="2"/>
  <c r="C8506" i="2"/>
  <c r="B8506" i="2"/>
  <c r="C8505" i="2"/>
  <c r="B8505" i="2"/>
  <c r="C8504" i="2"/>
  <c r="B8504" i="2"/>
  <c r="C8503" i="2"/>
  <c r="B8503" i="2"/>
  <c r="C8502" i="2"/>
  <c r="B8502" i="2"/>
  <c r="C8501" i="2"/>
  <c r="B8501" i="2"/>
  <c r="C8500" i="2"/>
  <c r="B8500" i="2"/>
  <c r="C8499" i="2"/>
  <c r="B8499" i="2"/>
  <c r="C8498" i="2"/>
  <c r="B8498" i="2"/>
  <c r="C8497" i="2"/>
  <c r="B8497" i="2"/>
  <c r="C8496" i="2"/>
  <c r="B8496" i="2"/>
  <c r="C8495" i="2"/>
  <c r="B8495" i="2"/>
  <c r="C8494" i="2"/>
  <c r="B8494" i="2"/>
  <c r="C8493" i="2"/>
  <c r="B8493" i="2"/>
  <c r="C8492" i="2"/>
  <c r="B8492" i="2"/>
  <c r="C8491" i="2"/>
  <c r="B8491" i="2"/>
  <c r="C8490" i="2"/>
  <c r="B8490" i="2"/>
  <c r="C8489" i="2"/>
  <c r="B8489" i="2"/>
  <c r="C8488" i="2"/>
  <c r="B8488" i="2"/>
  <c r="C8487" i="2"/>
  <c r="B8487" i="2"/>
  <c r="C8486" i="2"/>
  <c r="B8486" i="2"/>
  <c r="C8485" i="2"/>
  <c r="B8485" i="2"/>
  <c r="C8484" i="2"/>
  <c r="B8484" i="2"/>
  <c r="C8483" i="2"/>
  <c r="B8483" i="2"/>
  <c r="C8482" i="2"/>
  <c r="B8482" i="2"/>
  <c r="C8481" i="2"/>
  <c r="B8481" i="2"/>
  <c r="C8480" i="2"/>
  <c r="B8480" i="2"/>
  <c r="C8479" i="2"/>
  <c r="B8479" i="2"/>
  <c r="C8478" i="2"/>
  <c r="B8478" i="2"/>
  <c r="C8477" i="2"/>
  <c r="B8477" i="2"/>
  <c r="C8476" i="2"/>
  <c r="B8476" i="2"/>
  <c r="C8475" i="2"/>
  <c r="B8475" i="2"/>
  <c r="C8474" i="2"/>
  <c r="B8474" i="2"/>
  <c r="C8473" i="2"/>
  <c r="B8473" i="2"/>
  <c r="C8472" i="2"/>
  <c r="B8472" i="2"/>
  <c r="C8471" i="2"/>
  <c r="B8471" i="2"/>
  <c r="C8470" i="2"/>
  <c r="B8470" i="2"/>
  <c r="C8469" i="2"/>
  <c r="B8469" i="2"/>
  <c r="C8468" i="2"/>
  <c r="B8468" i="2"/>
  <c r="C8467" i="2"/>
  <c r="B8467" i="2"/>
  <c r="C8466" i="2"/>
  <c r="B8466" i="2"/>
  <c r="C8465" i="2"/>
  <c r="B8465" i="2"/>
  <c r="C8464" i="2"/>
  <c r="B8464" i="2"/>
  <c r="C8463" i="2"/>
  <c r="B8463" i="2"/>
  <c r="C8462" i="2"/>
  <c r="B8462" i="2"/>
  <c r="C8461" i="2"/>
  <c r="B8461" i="2"/>
  <c r="C8460" i="2"/>
  <c r="B8460" i="2"/>
  <c r="C8459" i="2"/>
  <c r="B8459" i="2"/>
  <c r="C8458" i="2"/>
  <c r="B8458" i="2"/>
  <c r="C8457" i="2"/>
  <c r="B8457" i="2"/>
  <c r="C8456" i="2"/>
  <c r="B8456" i="2"/>
  <c r="C8455" i="2"/>
  <c r="B8455" i="2"/>
  <c r="C8454" i="2"/>
  <c r="B8454" i="2"/>
  <c r="C8453" i="2"/>
  <c r="B8453" i="2"/>
  <c r="C8452" i="2"/>
  <c r="B8452" i="2"/>
  <c r="C8451" i="2"/>
  <c r="B8451" i="2"/>
  <c r="C8450" i="2"/>
  <c r="B8450" i="2"/>
  <c r="C8449" i="2"/>
  <c r="B8449" i="2"/>
  <c r="C8448" i="2"/>
  <c r="B8448" i="2"/>
  <c r="C8447" i="2"/>
  <c r="B8447" i="2"/>
  <c r="C8446" i="2"/>
  <c r="B8446" i="2"/>
  <c r="C8445" i="2"/>
  <c r="B8445" i="2"/>
  <c r="C8444" i="2"/>
  <c r="B8444" i="2"/>
  <c r="C8443" i="2"/>
  <c r="B8443" i="2"/>
  <c r="C8442" i="2"/>
  <c r="B8442" i="2"/>
  <c r="C8441" i="2"/>
  <c r="B8441" i="2"/>
  <c r="C8440" i="2"/>
  <c r="B8440" i="2"/>
  <c r="C8439" i="2"/>
  <c r="B8439" i="2"/>
  <c r="C8438" i="2"/>
  <c r="B8438" i="2"/>
  <c r="C8437" i="2"/>
  <c r="B8437" i="2"/>
  <c r="C8436" i="2"/>
  <c r="B8436" i="2"/>
  <c r="C8435" i="2"/>
  <c r="B8435" i="2"/>
  <c r="C8434" i="2"/>
  <c r="B8434" i="2"/>
  <c r="C8433" i="2"/>
  <c r="B8433" i="2"/>
  <c r="C8432" i="2"/>
  <c r="B8432" i="2"/>
  <c r="C8431" i="2"/>
  <c r="B8431" i="2"/>
  <c r="C8430" i="2"/>
  <c r="B8430" i="2"/>
  <c r="C8429" i="2"/>
  <c r="B8429" i="2"/>
  <c r="C8428" i="2"/>
  <c r="B8428" i="2"/>
  <c r="C8427" i="2"/>
  <c r="B8427" i="2"/>
  <c r="C8426" i="2"/>
  <c r="B8426" i="2"/>
  <c r="C8425" i="2"/>
  <c r="B8425" i="2"/>
  <c r="C8424" i="2"/>
  <c r="B8424" i="2"/>
  <c r="C8423" i="2"/>
  <c r="B8423" i="2"/>
  <c r="C8422" i="2"/>
  <c r="B8422" i="2"/>
  <c r="C8421" i="2"/>
  <c r="B8421" i="2"/>
  <c r="C8420" i="2"/>
  <c r="B8420" i="2"/>
  <c r="C8419" i="2"/>
  <c r="B8419" i="2"/>
  <c r="C8418" i="2"/>
  <c r="B8418" i="2"/>
  <c r="C8417" i="2"/>
  <c r="B8417" i="2"/>
  <c r="C8416" i="2"/>
  <c r="B8416" i="2"/>
  <c r="C8415" i="2"/>
  <c r="B8415" i="2"/>
  <c r="C8414" i="2"/>
  <c r="B8414" i="2"/>
  <c r="C8413" i="2"/>
  <c r="B8413" i="2"/>
  <c r="C8412" i="2"/>
  <c r="B8412" i="2"/>
  <c r="C8411" i="2"/>
  <c r="B8411" i="2"/>
  <c r="C8410" i="2"/>
  <c r="B8410" i="2"/>
  <c r="C8409" i="2"/>
  <c r="B8409" i="2"/>
  <c r="C8408" i="2"/>
  <c r="B8408" i="2"/>
  <c r="C8407" i="2"/>
  <c r="B8407" i="2"/>
  <c r="C8406" i="2"/>
  <c r="B8406" i="2"/>
  <c r="C8405" i="2"/>
  <c r="B8405" i="2"/>
  <c r="C8404" i="2"/>
  <c r="B8404" i="2"/>
  <c r="C8403" i="2"/>
  <c r="B8403" i="2"/>
  <c r="C8402" i="2"/>
  <c r="B8402" i="2"/>
  <c r="C8401" i="2"/>
  <c r="B8401" i="2"/>
  <c r="C8400" i="2"/>
  <c r="B8400" i="2"/>
  <c r="C8399" i="2"/>
  <c r="B8399" i="2"/>
  <c r="C8398" i="2"/>
  <c r="B8398" i="2"/>
  <c r="C8397" i="2"/>
  <c r="B8397" i="2"/>
  <c r="C8396" i="2"/>
  <c r="B8396" i="2"/>
  <c r="C8395" i="2"/>
  <c r="B8395" i="2"/>
  <c r="C8394" i="2"/>
  <c r="B8394" i="2"/>
  <c r="C8393" i="2"/>
  <c r="B8393" i="2"/>
  <c r="C8392" i="2"/>
  <c r="B8392" i="2"/>
  <c r="C8391" i="2"/>
  <c r="B8391" i="2"/>
  <c r="C8390" i="2"/>
  <c r="B8390" i="2"/>
  <c r="C8389" i="2"/>
  <c r="B8389" i="2"/>
  <c r="C8388" i="2"/>
  <c r="B8388" i="2"/>
  <c r="C8387" i="2"/>
  <c r="B8387" i="2"/>
  <c r="C8386" i="2"/>
  <c r="B8386" i="2"/>
  <c r="C8385" i="2"/>
  <c r="B8385" i="2"/>
  <c r="C8384" i="2"/>
  <c r="B8384" i="2"/>
  <c r="C8383" i="2"/>
  <c r="B8383" i="2"/>
  <c r="C8382" i="2"/>
  <c r="B8382" i="2"/>
  <c r="C8381" i="2"/>
  <c r="B8381" i="2"/>
  <c r="C8380" i="2"/>
  <c r="B8380" i="2"/>
  <c r="C8379" i="2"/>
  <c r="B8379" i="2"/>
  <c r="C8378" i="2"/>
  <c r="B8378" i="2"/>
  <c r="C8377" i="2"/>
  <c r="B8377" i="2"/>
  <c r="C8376" i="2"/>
  <c r="B8376" i="2"/>
  <c r="C8375" i="2"/>
  <c r="B8375" i="2"/>
  <c r="C8374" i="2"/>
  <c r="B8374" i="2"/>
  <c r="C8373" i="2"/>
  <c r="B8373" i="2"/>
  <c r="C8372" i="2"/>
  <c r="B8372" i="2"/>
  <c r="C8371" i="2"/>
  <c r="B8371" i="2"/>
  <c r="C8370" i="2"/>
  <c r="B8370" i="2"/>
  <c r="C8369" i="2"/>
  <c r="B8369" i="2"/>
  <c r="C8368" i="2"/>
  <c r="B8368" i="2"/>
  <c r="C8367" i="2"/>
  <c r="B8367" i="2"/>
  <c r="C8366" i="2"/>
  <c r="B8366" i="2"/>
  <c r="C8365" i="2"/>
  <c r="B8365" i="2"/>
  <c r="C8364" i="2"/>
  <c r="B8364" i="2"/>
  <c r="C8363" i="2"/>
  <c r="B8363" i="2"/>
  <c r="C8362" i="2"/>
  <c r="B8362" i="2"/>
  <c r="C8361" i="2"/>
  <c r="B8361" i="2"/>
  <c r="C8360" i="2"/>
  <c r="B8360" i="2"/>
  <c r="C8359" i="2"/>
  <c r="B8359" i="2"/>
  <c r="C8358" i="2"/>
  <c r="B8358" i="2"/>
  <c r="C8357" i="2"/>
  <c r="B8357" i="2"/>
  <c r="C8356" i="2"/>
  <c r="B8356" i="2"/>
  <c r="C8355" i="2"/>
  <c r="B8355" i="2"/>
  <c r="C8354" i="2"/>
  <c r="B8354" i="2"/>
  <c r="C8353" i="2"/>
  <c r="B8353" i="2"/>
  <c r="C8352" i="2"/>
  <c r="B8352" i="2"/>
  <c r="C8351" i="2"/>
  <c r="B8351" i="2"/>
  <c r="C8350" i="2"/>
  <c r="B8350" i="2"/>
  <c r="C8349" i="2"/>
  <c r="B8349" i="2"/>
  <c r="C8348" i="2"/>
  <c r="B8348" i="2"/>
  <c r="C8347" i="2"/>
  <c r="B8347" i="2"/>
  <c r="C8346" i="2"/>
  <c r="B8346" i="2"/>
  <c r="C8345" i="2"/>
  <c r="B8345" i="2"/>
  <c r="C8344" i="2"/>
  <c r="B8344" i="2"/>
  <c r="C8343" i="2"/>
  <c r="B8343" i="2"/>
  <c r="C8342" i="2"/>
  <c r="B8342" i="2"/>
  <c r="C8341" i="2"/>
  <c r="B8341" i="2"/>
  <c r="C8340" i="2"/>
  <c r="B8340" i="2"/>
  <c r="C8339" i="2"/>
  <c r="B8339" i="2"/>
  <c r="C8338" i="2"/>
  <c r="B8338" i="2"/>
  <c r="C8337" i="2"/>
  <c r="B8337" i="2"/>
  <c r="C8336" i="2"/>
  <c r="B8336" i="2"/>
  <c r="C8335" i="2"/>
  <c r="B8335" i="2"/>
  <c r="C8334" i="2"/>
  <c r="B8334" i="2"/>
  <c r="C8333" i="2"/>
  <c r="B8333" i="2"/>
  <c r="C8332" i="2"/>
  <c r="B8332" i="2"/>
  <c r="C8331" i="2"/>
  <c r="B8331" i="2"/>
  <c r="C8330" i="2"/>
  <c r="B8330" i="2"/>
  <c r="C8329" i="2"/>
  <c r="B8329" i="2"/>
  <c r="C8328" i="2"/>
  <c r="B8328" i="2"/>
  <c r="C8327" i="2"/>
  <c r="B8327" i="2"/>
  <c r="C8326" i="2"/>
  <c r="B8326" i="2"/>
  <c r="C8325" i="2"/>
  <c r="B8325" i="2"/>
  <c r="C8324" i="2"/>
  <c r="B8324" i="2"/>
  <c r="C8323" i="2"/>
  <c r="B8323" i="2"/>
  <c r="C8322" i="2"/>
  <c r="B8322" i="2"/>
  <c r="C8321" i="2"/>
  <c r="B8321" i="2"/>
  <c r="C8320" i="2"/>
  <c r="B8320" i="2"/>
  <c r="C8319" i="2"/>
  <c r="B8319" i="2"/>
  <c r="C8318" i="2"/>
  <c r="B8318" i="2"/>
  <c r="C8317" i="2"/>
  <c r="B8317" i="2"/>
  <c r="C8316" i="2"/>
  <c r="B8316" i="2"/>
  <c r="C8315" i="2"/>
  <c r="B8315" i="2"/>
  <c r="C8314" i="2"/>
  <c r="B8314" i="2"/>
  <c r="C8313" i="2"/>
  <c r="B8313" i="2"/>
  <c r="C8312" i="2"/>
  <c r="B8312" i="2"/>
  <c r="C8311" i="2"/>
  <c r="B8311" i="2"/>
  <c r="C8310" i="2"/>
  <c r="B8310" i="2"/>
  <c r="C8309" i="2"/>
  <c r="B8309" i="2"/>
  <c r="C8308" i="2"/>
  <c r="B8308" i="2"/>
  <c r="C8307" i="2"/>
  <c r="B8307" i="2"/>
  <c r="C8306" i="2"/>
  <c r="B8306" i="2"/>
  <c r="C8305" i="2"/>
  <c r="B8305" i="2"/>
  <c r="C8304" i="2"/>
  <c r="B8304" i="2"/>
  <c r="C8303" i="2"/>
  <c r="B8303" i="2"/>
  <c r="C8302" i="2"/>
  <c r="B8302" i="2"/>
  <c r="C8301" i="2"/>
  <c r="B8301" i="2"/>
  <c r="C8300" i="2"/>
  <c r="B8300" i="2"/>
  <c r="C8299" i="2"/>
  <c r="B8299" i="2"/>
  <c r="C8298" i="2"/>
  <c r="B8298" i="2"/>
  <c r="C8297" i="2"/>
  <c r="B8297" i="2"/>
  <c r="C8296" i="2"/>
  <c r="B8296" i="2"/>
  <c r="C8295" i="2"/>
  <c r="B8295" i="2"/>
  <c r="C8294" i="2"/>
  <c r="B8294" i="2"/>
  <c r="C8293" i="2"/>
  <c r="B8293" i="2"/>
  <c r="C8292" i="2"/>
  <c r="B8292" i="2"/>
  <c r="C8291" i="2"/>
  <c r="B8291" i="2"/>
  <c r="C8290" i="2"/>
  <c r="B8290" i="2"/>
  <c r="C8289" i="2"/>
  <c r="B8289" i="2"/>
  <c r="C8288" i="2"/>
  <c r="B8288" i="2"/>
  <c r="C8287" i="2"/>
  <c r="B8287" i="2"/>
  <c r="C8286" i="2"/>
  <c r="B8286" i="2"/>
  <c r="C8285" i="2"/>
  <c r="B8285" i="2"/>
  <c r="C8284" i="2"/>
  <c r="B8284" i="2"/>
  <c r="C8283" i="2"/>
  <c r="B8283" i="2"/>
  <c r="C8282" i="2"/>
  <c r="B8282" i="2"/>
  <c r="C8281" i="2"/>
  <c r="B8281" i="2"/>
  <c r="C8280" i="2"/>
  <c r="B8280" i="2"/>
  <c r="C8279" i="2"/>
  <c r="B8279" i="2"/>
  <c r="C8278" i="2"/>
  <c r="B8278" i="2"/>
  <c r="C8277" i="2"/>
  <c r="B8277" i="2"/>
  <c r="C8276" i="2"/>
  <c r="B8276" i="2"/>
  <c r="C8275" i="2"/>
  <c r="B8275" i="2"/>
  <c r="C8274" i="2"/>
  <c r="B8274" i="2"/>
  <c r="C8273" i="2"/>
  <c r="B8273" i="2"/>
  <c r="C8272" i="2"/>
  <c r="B8272" i="2"/>
  <c r="C8271" i="2"/>
  <c r="B8271" i="2"/>
  <c r="C8270" i="2"/>
  <c r="B8270" i="2"/>
  <c r="C8269" i="2"/>
  <c r="B8269" i="2"/>
  <c r="C8268" i="2"/>
  <c r="B8268" i="2"/>
  <c r="C8267" i="2"/>
  <c r="B8267" i="2"/>
  <c r="C8266" i="2"/>
  <c r="B8266" i="2"/>
  <c r="C8265" i="2"/>
  <c r="B8265" i="2"/>
  <c r="C8264" i="2"/>
  <c r="B8264" i="2"/>
  <c r="C8263" i="2"/>
  <c r="B8263" i="2"/>
  <c r="C8262" i="2"/>
  <c r="B8262" i="2"/>
  <c r="C8261" i="2"/>
  <c r="B8261" i="2"/>
  <c r="C8260" i="2"/>
  <c r="B8260" i="2"/>
  <c r="C8259" i="2"/>
  <c r="B8259" i="2"/>
  <c r="C8258" i="2"/>
  <c r="B8258" i="2"/>
  <c r="C8257" i="2"/>
  <c r="B8257" i="2"/>
  <c r="C8256" i="2"/>
  <c r="B8256" i="2"/>
  <c r="C8255" i="2"/>
  <c r="B8255" i="2"/>
  <c r="C8254" i="2"/>
  <c r="B8254" i="2"/>
  <c r="C8253" i="2"/>
  <c r="B8253" i="2"/>
  <c r="C8252" i="2"/>
  <c r="B8252" i="2"/>
  <c r="C8251" i="2"/>
  <c r="B8251" i="2"/>
  <c r="C8250" i="2"/>
  <c r="B8250" i="2"/>
  <c r="C8249" i="2"/>
  <c r="B8249" i="2"/>
  <c r="C8248" i="2"/>
  <c r="B8248" i="2"/>
  <c r="C8247" i="2"/>
  <c r="B8247" i="2"/>
  <c r="C8246" i="2"/>
  <c r="B8246" i="2"/>
  <c r="C8245" i="2"/>
  <c r="B8245" i="2"/>
  <c r="C8244" i="2"/>
  <c r="B8244" i="2"/>
  <c r="C8243" i="2"/>
  <c r="B8243" i="2"/>
  <c r="C8242" i="2"/>
  <c r="B8242" i="2"/>
  <c r="C8241" i="2"/>
  <c r="B8241" i="2"/>
  <c r="C8240" i="2"/>
  <c r="B8240" i="2"/>
  <c r="C8239" i="2"/>
  <c r="B8239" i="2"/>
  <c r="C8238" i="2"/>
  <c r="B8238" i="2"/>
  <c r="C8237" i="2"/>
  <c r="B8237" i="2"/>
  <c r="C8236" i="2"/>
  <c r="B8236" i="2"/>
  <c r="C8235" i="2"/>
  <c r="B8235" i="2"/>
  <c r="C8234" i="2"/>
  <c r="B8234" i="2"/>
  <c r="C8233" i="2"/>
  <c r="B8233" i="2"/>
  <c r="C8232" i="2"/>
  <c r="B8232" i="2"/>
  <c r="C8231" i="2"/>
  <c r="B8231" i="2"/>
  <c r="C8230" i="2"/>
  <c r="B8230" i="2"/>
  <c r="C8229" i="2"/>
  <c r="B8229" i="2"/>
  <c r="C8228" i="2"/>
  <c r="B8228" i="2"/>
  <c r="C8227" i="2"/>
  <c r="B8227" i="2"/>
  <c r="C8226" i="2"/>
  <c r="B8226" i="2"/>
  <c r="C8225" i="2"/>
  <c r="B8225" i="2"/>
  <c r="C8224" i="2"/>
  <c r="B8224" i="2"/>
  <c r="C8223" i="2"/>
  <c r="B8223" i="2"/>
  <c r="C8222" i="2"/>
  <c r="B8222" i="2"/>
  <c r="C8221" i="2"/>
  <c r="B8221" i="2"/>
  <c r="C8220" i="2"/>
  <c r="B8220" i="2"/>
  <c r="C8219" i="2"/>
  <c r="B8219" i="2"/>
  <c r="C8218" i="2"/>
  <c r="B8218" i="2"/>
  <c r="C8217" i="2"/>
  <c r="B8217" i="2"/>
  <c r="C8216" i="2"/>
  <c r="B8216" i="2"/>
  <c r="C8215" i="2"/>
  <c r="B8215" i="2"/>
  <c r="C8214" i="2"/>
  <c r="B8214" i="2"/>
  <c r="C8213" i="2"/>
  <c r="B8213" i="2"/>
  <c r="C8212" i="2"/>
  <c r="B8212" i="2"/>
  <c r="C8211" i="2"/>
  <c r="B8211" i="2"/>
  <c r="C8210" i="2"/>
  <c r="B8210" i="2"/>
  <c r="C8209" i="2"/>
  <c r="B8209" i="2"/>
  <c r="C8208" i="2"/>
  <c r="B8208" i="2"/>
  <c r="C8207" i="2"/>
  <c r="B8207" i="2"/>
  <c r="C8206" i="2"/>
  <c r="B8206" i="2"/>
  <c r="C8205" i="2"/>
  <c r="B8205" i="2"/>
  <c r="C8204" i="2"/>
  <c r="B8204" i="2"/>
  <c r="C8203" i="2"/>
  <c r="B8203" i="2"/>
  <c r="C8202" i="2"/>
  <c r="B8202" i="2"/>
  <c r="C8201" i="2"/>
  <c r="B8201" i="2"/>
  <c r="C8200" i="2"/>
  <c r="B8200" i="2"/>
  <c r="C8199" i="2"/>
  <c r="B8199" i="2"/>
  <c r="C8198" i="2"/>
  <c r="B8198" i="2"/>
  <c r="C8197" i="2"/>
  <c r="B8197" i="2"/>
  <c r="C8196" i="2"/>
  <c r="B8196" i="2"/>
  <c r="C8195" i="2"/>
  <c r="B8195" i="2"/>
  <c r="C8194" i="2"/>
  <c r="B8194" i="2"/>
  <c r="C8193" i="2"/>
  <c r="B8193" i="2"/>
  <c r="C8192" i="2"/>
  <c r="B8192" i="2"/>
  <c r="C8191" i="2"/>
  <c r="B8191" i="2"/>
  <c r="C8190" i="2"/>
  <c r="B8190" i="2"/>
  <c r="C8189" i="2"/>
  <c r="B8189" i="2"/>
  <c r="C8188" i="2"/>
  <c r="B8188" i="2"/>
  <c r="C8187" i="2"/>
  <c r="B8187" i="2"/>
  <c r="C8186" i="2"/>
  <c r="B8186" i="2"/>
  <c r="C8185" i="2"/>
  <c r="B8185" i="2"/>
  <c r="C8184" i="2"/>
  <c r="B8184" i="2"/>
  <c r="C8183" i="2"/>
  <c r="B8183" i="2"/>
  <c r="C8182" i="2"/>
  <c r="B8182" i="2"/>
  <c r="C8181" i="2"/>
  <c r="B8181" i="2"/>
  <c r="C8180" i="2"/>
  <c r="B8180" i="2"/>
  <c r="C8179" i="2"/>
  <c r="B8179" i="2"/>
  <c r="C8178" i="2"/>
  <c r="B8178" i="2"/>
  <c r="C8177" i="2"/>
  <c r="B8177" i="2"/>
  <c r="C8176" i="2"/>
  <c r="B8176" i="2"/>
  <c r="C8175" i="2"/>
  <c r="B8175" i="2"/>
  <c r="C8174" i="2"/>
  <c r="B8174" i="2"/>
  <c r="C8173" i="2"/>
  <c r="B8173" i="2"/>
  <c r="C8172" i="2"/>
  <c r="B8172" i="2"/>
  <c r="C8171" i="2"/>
  <c r="B8171" i="2"/>
  <c r="C8170" i="2"/>
  <c r="B8170" i="2"/>
  <c r="C8169" i="2"/>
  <c r="B8169" i="2"/>
  <c r="C8168" i="2"/>
  <c r="B8168" i="2"/>
  <c r="C8167" i="2"/>
  <c r="B8167" i="2"/>
  <c r="C8166" i="2"/>
  <c r="B8166" i="2"/>
  <c r="C8165" i="2"/>
  <c r="B8165" i="2"/>
  <c r="C8164" i="2"/>
  <c r="B8164" i="2"/>
  <c r="C8163" i="2"/>
  <c r="B8163" i="2"/>
  <c r="C8162" i="2"/>
  <c r="B8162" i="2"/>
  <c r="C8161" i="2"/>
  <c r="B8161" i="2"/>
  <c r="C8160" i="2"/>
  <c r="B8160" i="2"/>
  <c r="C8159" i="2"/>
  <c r="B8159" i="2"/>
  <c r="C8158" i="2"/>
  <c r="B8158" i="2"/>
  <c r="C8157" i="2"/>
  <c r="B8157" i="2"/>
  <c r="C8156" i="2"/>
  <c r="B8156" i="2"/>
  <c r="C8155" i="2"/>
  <c r="B8155" i="2"/>
  <c r="C8154" i="2"/>
  <c r="B8154" i="2"/>
  <c r="C8153" i="2"/>
  <c r="B8153" i="2"/>
  <c r="C8152" i="2"/>
  <c r="B8152" i="2"/>
  <c r="C8151" i="2"/>
  <c r="B8151" i="2"/>
  <c r="C8150" i="2"/>
  <c r="B8150" i="2"/>
  <c r="C8149" i="2"/>
  <c r="B8149" i="2"/>
  <c r="C8148" i="2"/>
  <c r="B8148" i="2"/>
  <c r="C8147" i="2"/>
  <c r="B8147" i="2"/>
  <c r="C8146" i="2"/>
  <c r="B8146" i="2"/>
  <c r="C8145" i="2"/>
  <c r="B8145" i="2"/>
  <c r="C8144" i="2"/>
  <c r="B8144" i="2"/>
  <c r="C8143" i="2"/>
  <c r="B8143" i="2"/>
  <c r="C8142" i="2"/>
  <c r="B8142" i="2"/>
  <c r="C8141" i="2"/>
  <c r="B8141" i="2"/>
  <c r="C8140" i="2"/>
  <c r="B8140" i="2"/>
  <c r="C8139" i="2"/>
  <c r="B8139" i="2"/>
  <c r="C8138" i="2"/>
  <c r="B8138" i="2"/>
  <c r="C8137" i="2"/>
  <c r="B8137" i="2"/>
  <c r="C8136" i="2"/>
  <c r="B8136" i="2"/>
  <c r="C8135" i="2"/>
  <c r="B8135" i="2"/>
  <c r="C8134" i="2"/>
  <c r="B8134" i="2"/>
  <c r="C8133" i="2"/>
  <c r="B8133" i="2"/>
  <c r="C8132" i="2"/>
  <c r="B8132" i="2"/>
  <c r="C8131" i="2"/>
  <c r="B8131" i="2"/>
  <c r="C8130" i="2"/>
  <c r="B8130" i="2"/>
  <c r="C8129" i="2"/>
  <c r="B8129" i="2"/>
  <c r="C8128" i="2"/>
  <c r="B8128" i="2"/>
  <c r="C8127" i="2"/>
  <c r="B8127" i="2"/>
  <c r="C8126" i="2"/>
  <c r="B8126" i="2"/>
  <c r="C8125" i="2"/>
  <c r="B8125" i="2"/>
  <c r="C8124" i="2"/>
  <c r="B8124" i="2"/>
  <c r="C8123" i="2"/>
  <c r="B8123" i="2"/>
  <c r="C8122" i="2"/>
  <c r="B8122" i="2"/>
  <c r="C8121" i="2"/>
  <c r="B8121" i="2"/>
  <c r="C8120" i="2"/>
  <c r="B8120" i="2"/>
  <c r="C8119" i="2"/>
  <c r="B8119" i="2"/>
  <c r="C8118" i="2"/>
  <c r="B8118" i="2"/>
  <c r="C8117" i="2"/>
  <c r="B8117" i="2"/>
  <c r="C8116" i="2"/>
  <c r="B8116" i="2"/>
  <c r="C8115" i="2"/>
  <c r="B8115" i="2"/>
  <c r="C8114" i="2"/>
  <c r="B8114" i="2"/>
  <c r="C8113" i="2"/>
  <c r="B8113" i="2"/>
  <c r="C8112" i="2"/>
  <c r="B8112" i="2"/>
  <c r="C8111" i="2"/>
  <c r="B8111" i="2"/>
  <c r="C8110" i="2"/>
  <c r="B8110" i="2"/>
  <c r="C8109" i="2"/>
  <c r="B8109" i="2"/>
  <c r="C8108" i="2"/>
  <c r="B8108" i="2"/>
  <c r="C8107" i="2"/>
  <c r="B8107" i="2"/>
  <c r="C8106" i="2"/>
  <c r="B8106" i="2"/>
  <c r="C8105" i="2"/>
  <c r="B8105" i="2"/>
  <c r="C8104" i="2"/>
  <c r="B8104" i="2"/>
  <c r="C8103" i="2"/>
  <c r="B8103" i="2"/>
  <c r="C8102" i="2"/>
  <c r="B8102" i="2"/>
  <c r="C8101" i="2"/>
  <c r="B8101" i="2"/>
  <c r="C8100" i="2"/>
  <c r="B8100" i="2"/>
  <c r="C8099" i="2"/>
  <c r="B8099" i="2"/>
  <c r="C8098" i="2"/>
  <c r="B8098" i="2"/>
  <c r="C8097" i="2"/>
  <c r="B8097" i="2"/>
  <c r="C8096" i="2"/>
  <c r="B8096" i="2"/>
  <c r="C8095" i="2"/>
  <c r="B8095" i="2"/>
  <c r="C8094" i="2"/>
  <c r="B8094" i="2"/>
  <c r="C8093" i="2"/>
  <c r="B8093" i="2"/>
  <c r="C8092" i="2"/>
  <c r="B8092" i="2"/>
  <c r="C8091" i="2"/>
  <c r="B8091" i="2"/>
  <c r="C8090" i="2"/>
  <c r="B8090" i="2"/>
  <c r="C8089" i="2"/>
  <c r="B8089" i="2"/>
  <c r="C8088" i="2"/>
  <c r="B8088" i="2"/>
  <c r="C8087" i="2"/>
  <c r="B8087" i="2"/>
  <c r="C8086" i="2"/>
  <c r="B8086" i="2"/>
  <c r="C8085" i="2"/>
  <c r="B8085" i="2"/>
  <c r="C8084" i="2"/>
  <c r="B8084" i="2"/>
  <c r="C8083" i="2"/>
  <c r="B8083" i="2"/>
  <c r="C8082" i="2"/>
  <c r="B8082" i="2"/>
  <c r="C8081" i="2"/>
  <c r="B8081" i="2"/>
  <c r="C8080" i="2"/>
  <c r="B8080" i="2"/>
  <c r="C8079" i="2"/>
  <c r="B8079" i="2"/>
  <c r="C8078" i="2"/>
  <c r="B8078" i="2"/>
  <c r="C8077" i="2"/>
  <c r="B8077" i="2"/>
  <c r="C8076" i="2"/>
  <c r="B8076" i="2"/>
  <c r="C8075" i="2"/>
  <c r="B8075" i="2"/>
  <c r="C8074" i="2"/>
  <c r="B8074" i="2"/>
  <c r="C8073" i="2"/>
  <c r="B8073" i="2"/>
  <c r="C8072" i="2"/>
  <c r="B8072" i="2"/>
  <c r="C8071" i="2"/>
  <c r="B8071" i="2"/>
  <c r="C8070" i="2"/>
  <c r="B8070" i="2"/>
  <c r="C8069" i="2"/>
  <c r="B8069" i="2"/>
  <c r="C8068" i="2"/>
  <c r="B8068" i="2"/>
  <c r="C8067" i="2"/>
  <c r="B8067" i="2"/>
  <c r="C8066" i="2"/>
  <c r="B8066" i="2"/>
  <c r="C8065" i="2"/>
  <c r="B8065" i="2"/>
  <c r="C8064" i="2"/>
  <c r="B8064" i="2"/>
  <c r="C8063" i="2"/>
  <c r="B8063" i="2"/>
  <c r="C8062" i="2"/>
  <c r="B8062" i="2"/>
  <c r="C8061" i="2"/>
  <c r="B8061" i="2"/>
  <c r="C8060" i="2"/>
  <c r="B8060" i="2"/>
  <c r="C8059" i="2"/>
  <c r="B8059" i="2"/>
  <c r="C8058" i="2"/>
  <c r="B8058" i="2"/>
  <c r="C8057" i="2"/>
  <c r="B8057" i="2"/>
  <c r="C8056" i="2"/>
  <c r="B8056" i="2"/>
  <c r="C8055" i="2"/>
  <c r="B8055" i="2"/>
  <c r="C8054" i="2"/>
  <c r="B8054" i="2"/>
  <c r="C8053" i="2"/>
  <c r="B8053" i="2"/>
  <c r="C8052" i="2"/>
  <c r="B8052" i="2"/>
  <c r="C8051" i="2"/>
  <c r="B8051" i="2"/>
  <c r="C8050" i="2"/>
  <c r="B8050" i="2"/>
  <c r="C8049" i="2"/>
  <c r="B8049" i="2"/>
  <c r="C8048" i="2"/>
  <c r="B8048" i="2"/>
  <c r="C8047" i="2"/>
  <c r="B8047" i="2"/>
  <c r="C8046" i="2"/>
  <c r="B8046" i="2"/>
  <c r="C8045" i="2"/>
  <c r="B8045" i="2"/>
  <c r="C8044" i="2"/>
  <c r="B8044" i="2"/>
  <c r="C8043" i="2"/>
  <c r="B8043" i="2"/>
  <c r="C8042" i="2"/>
  <c r="B8042" i="2"/>
  <c r="C8041" i="2"/>
  <c r="B8041" i="2"/>
  <c r="C8040" i="2"/>
  <c r="B8040" i="2"/>
  <c r="C8039" i="2"/>
  <c r="B8039" i="2"/>
  <c r="C8038" i="2"/>
  <c r="B8038" i="2"/>
  <c r="C8037" i="2"/>
  <c r="B8037" i="2"/>
  <c r="C8036" i="2"/>
  <c r="B8036" i="2"/>
  <c r="C8035" i="2"/>
  <c r="B8035" i="2"/>
  <c r="C8034" i="2"/>
  <c r="B8034" i="2"/>
  <c r="C8033" i="2"/>
  <c r="B8033" i="2"/>
  <c r="C8032" i="2"/>
  <c r="B8032" i="2"/>
  <c r="C8031" i="2"/>
  <c r="B8031" i="2"/>
  <c r="C8030" i="2"/>
  <c r="B8030" i="2"/>
  <c r="C8029" i="2"/>
  <c r="B8029" i="2"/>
  <c r="C8028" i="2"/>
  <c r="B8028" i="2"/>
  <c r="C8027" i="2"/>
  <c r="B8027" i="2"/>
  <c r="C8026" i="2"/>
  <c r="B8026" i="2"/>
  <c r="C8025" i="2"/>
  <c r="B8025" i="2"/>
  <c r="C8024" i="2"/>
  <c r="B8024" i="2"/>
  <c r="C8023" i="2"/>
  <c r="B8023" i="2"/>
  <c r="C8022" i="2"/>
  <c r="B8022" i="2"/>
  <c r="C8021" i="2"/>
  <c r="B8021" i="2"/>
  <c r="C8020" i="2"/>
  <c r="B8020" i="2"/>
  <c r="C8019" i="2"/>
  <c r="B8019" i="2"/>
  <c r="C8018" i="2"/>
  <c r="B8018" i="2"/>
  <c r="C8017" i="2"/>
  <c r="B8017" i="2"/>
  <c r="C8016" i="2"/>
  <c r="B8016" i="2"/>
  <c r="C8015" i="2"/>
  <c r="B8015" i="2"/>
  <c r="C8014" i="2"/>
  <c r="B8014" i="2"/>
  <c r="C8013" i="2"/>
  <c r="B8013" i="2"/>
  <c r="C8012" i="2"/>
  <c r="B8012" i="2"/>
  <c r="C8011" i="2"/>
  <c r="B8011" i="2"/>
  <c r="C8010" i="2"/>
  <c r="B8010" i="2"/>
  <c r="C8009" i="2"/>
  <c r="B8009" i="2"/>
  <c r="C8008" i="2"/>
  <c r="B8008" i="2"/>
  <c r="C8007" i="2"/>
  <c r="B8007" i="2"/>
  <c r="C8006" i="2"/>
  <c r="B8006" i="2"/>
  <c r="C8005" i="2"/>
  <c r="B8005" i="2"/>
  <c r="C8004" i="2"/>
  <c r="B8004" i="2"/>
  <c r="C8003" i="2"/>
  <c r="B8003" i="2"/>
  <c r="C8002" i="2"/>
  <c r="B8002" i="2"/>
  <c r="C8001" i="2"/>
  <c r="B8001" i="2"/>
  <c r="C8000" i="2"/>
  <c r="B8000" i="2"/>
  <c r="C7999" i="2"/>
  <c r="B7999" i="2"/>
  <c r="C7998" i="2"/>
  <c r="B7998" i="2"/>
  <c r="C7997" i="2"/>
  <c r="B7997" i="2"/>
  <c r="C7996" i="2"/>
  <c r="B7996" i="2"/>
  <c r="C7995" i="2"/>
  <c r="B7995" i="2"/>
  <c r="C7994" i="2"/>
  <c r="B7994" i="2"/>
  <c r="C7993" i="2"/>
  <c r="B7993" i="2"/>
  <c r="C7992" i="2"/>
  <c r="B7992" i="2"/>
  <c r="C7991" i="2"/>
  <c r="B7991" i="2"/>
  <c r="C7990" i="2"/>
  <c r="B7990" i="2"/>
  <c r="C7989" i="2"/>
  <c r="B7989" i="2"/>
  <c r="C7988" i="2"/>
  <c r="B7988" i="2"/>
  <c r="C7987" i="2"/>
  <c r="B7987" i="2"/>
  <c r="C7986" i="2"/>
  <c r="B7986" i="2"/>
  <c r="C7985" i="2"/>
  <c r="B7985" i="2"/>
  <c r="C7984" i="2"/>
  <c r="B7984" i="2"/>
  <c r="C7983" i="2"/>
  <c r="B7983" i="2"/>
  <c r="C7982" i="2"/>
  <c r="B7982" i="2"/>
  <c r="C7981" i="2"/>
  <c r="B7981" i="2"/>
  <c r="C7980" i="2"/>
  <c r="B7980" i="2"/>
  <c r="C7979" i="2"/>
  <c r="B7979" i="2"/>
  <c r="C7978" i="2"/>
  <c r="B7978" i="2"/>
  <c r="C7977" i="2"/>
  <c r="B7977" i="2"/>
  <c r="C7976" i="2"/>
  <c r="B7976" i="2"/>
  <c r="C7975" i="2"/>
  <c r="B7975" i="2"/>
  <c r="C7974" i="2"/>
  <c r="B7974" i="2"/>
  <c r="C7973" i="2"/>
  <c r="B7973" i="2"/>
  <c r="C7972" i="2"/>
  <c r="B7972" i="2"/>
  <c r="C7971" i="2"/>
  <c r="B7971" i="2"/>
  <c r="C7970" i="2"/>
  <c r="B7970" i="2"/>
  <c r="C7969" i="2"/>
  <c r="B7969" i="2"/>
  <c r="C7968" i="2"/>
  <c r="B7968" i="2"/>
  <c r="C7967" i="2"/>
  <c r="B7967" i="2"/>
  <c r="C7966" i="2"/>
  <c r="B7966" i="2"/>
  <c r="C7965" i="2"/>
  <c r="B7965" i="2"/>
  <c r="C7964" i="2"/>
  <c r="B7964" i="2"/>
  <c r="C7963" i="2"/>
  <c r="B7963" i="2"/>
  <c r="C7962" i="2"/>
  <c r="B7962" i="2"/>
  <c r="C7961" i="2"/>
  <c r="B7961" i="2"/>
  <c r="C7960" i="2"/>
  <c r="B7960" i="2"/>
  <c r="C7959" i="2"/>
  <c r="B7959" i="2"/>
  <c r="C7958" i="2"/>
  <c r="B7958" i="2"/>
  <c r="C7957" i="2"/>
  <c r="B7957" i="2"/>
  <c r="C7956" i="2"/>
  <c r="B7956" i="2"/>
  <c r="C7955" i="2"/>
  <c r="B7955" i="2"/>
  <c r="C7954" i="2"/>
  <c r="B7954" i="2"/>
  <c r="C7953" i="2"/>
  <c r="B7953" i="2"/>
  <c r="C7952" i="2"/>
  <c r="B7952" i="2"/>
  <c r="C7951" i="2"/>
  <c r="B7951" i="2"/>
  <c r="C7950" i="2"/>
  <c r="B7950" i="2"/>
  <c r="C7949" i="2"/>
  <c r="B7949" i="2"/>
  <c r="C7948" i="2"/>
  <c r="B7948" i="2"/>
  <c r="C7947" i="2"/>
  <c r="B7947" i="2"/>
  <c r="C7946" i="2"/>
  <c r="B7946" i="2"/>
  <c r="C7945" i="2"/>
  <c r="B7945" i="2"/>
  <c r="C7944" i="2"/>
  <c r="B7944" i="2"/>
  <c r="C7943" i="2"/>
  <c r="B7943" i="2"/>
  <c r="C7942" i="2"/>
  <c r="B7942" i="2"/>
  <c r="C7941" i="2"/>
  <c r="B7941" i="2"/>
  <c r="C7940" i="2"/>
  <c r="B7940" i="2"/>
  <c r="C7939" i="2"/>
  <c r="B7939" i="2"/>
  <c r="C7938" i="2"/>
  <c r="B7938" i="2"/>
  <c r="C7937" i="2"/>
  <c r="B7937" i="2"/>
  <c r="C7936" i="2"/>
  <c r="B7936" i="2"/>
  <c r="C7935" i="2"/>
  <c r="B7935" i="2"/>
  <c r="C7934" i="2"/>
  <c r="B7934" i="2"/>
  <c r="C7933" i="2"/>
  <c r="B7933" i="2"/>
  <c r="C7932" i="2"/>
  <c r="B7932" i="2"/>
  <c r="C7931" i="2"/>
  <c r="B7931" i="2"/>
  <c r="C7930" i="2"/>
  <c r="B7930" i="2"/>
  <c r="C7929" i="2"/>
  <c r="B7929" i="2"/>
  <c r="C7928" i="2"/>
  <c r="B7928" i="2"/>
  <c r="C7927" i="2"/>
  <c r="B7927" i="2"/>
  <c r="C7926" i="2"/>
  <c r="B7926" i="2"/>
  <c r="C7925" i="2"/>
  <c r="B7925" i="2"/>
  <c r="C7924" i="2"/>
  <c r="B7924" i="2"/>
  <c r="C7923" i="2"/>
  <c r="B7923" i="2"/>
  <c r="C7922" i="2"/>
  <c r="B7922" i="2"/>
  <c r="C7921" i="2"/>
  <c r="B7921" i="2"/>
  <c r="C7920" i="2"/>
  <c r="B7920" i="2"/>
  <c r="C7919" i="2"/>
  <c r="B7919" i="2"/>
  <c r="C7918" i="2"/>
  <c r="B7918" i="2"/>
  <c r="C7917" i="2"/>
  <c r="B7917" i="2"/>
  <c r="C7916" i="2"/>
  <c r="B7916" i="2"/>
  <c r="C7915" i="2"/>
  <c r="B7915" i="2"/>
  <c r="C7914" i="2"/>
  <c r="B7914" i="2"/>
  <c r="C7913" i="2"/>
  <c r="B7913" i="2"/>
  <c r="C7912" i="2"/>
  <c r="B7912" i="2"/>
  <c r="C7911" i="2"/>
  <c r="B7911" i="2"/>
  <c r="C7910" i="2"/>
  <c r="B7910" i="2"/>
  <c r="C7909" i="2"/>
  <c r="B7909" i="2"/>
  <c r="C7908" i="2"/>
  <c r="B7908" i="2"/>
  <c r="C7907" i="2"/>
  <c r="B7907" i="2"/>
  <c r="C7906" i="2"/>
  <c r="B7906" i="2"/>
  <c r="C7905" i="2"/>
  <c r="B7905" i="2"/>
  <c r="C7904" i="2"/>
  <c r="B7904" i="2"/>
  <c r="C7903" i="2"/>
  <c r="B7903" i="2"/>
  <c r="C7902" i="2"/>
  <c r="B7902" i="2"/>
  <c r="C7901" i="2"/>
  <c r="B7901" i="2"/>
  <c r="C7900" i="2"/>
  <c r="B7900" i="2"/>
  <c r="C7899" i="2"/>
  <c r="B7899" i="2"/>
  <c r="C7898" i="2"/>
  <c r="B7898" i="2"/>
  <c r="C7897" i="2"/>
  <c r="B7897" i="2"/>
  <c r="C7896" i="2"/>
  <c r="B7896" i="2"/>
  <c r="C7895" i="2"/>
  <c r="B7895" i="2"/>
  <c r="C7894" i="2"/>
  <c r="B7894" i="2"/>
  <c r="C7893" i="2"/>
  <c r="B7893" i="2"/>
  <c r="C7892" i="2"/>
  <c r="B7892" i="2"/>
  <c r="C7891" i="2"/>
  <c r="B7891" i="2"/>
  <c r="C7890" i="2"/>
  <c r="B7890" i="2"/>
  <c r="C7889" i="2"/>
  <c r="B7889" i="2"/>
  <c r="C7888" i="2"/>
  <c r="B7888" i="2"/>
  <c r="C7887" i="2"/>
  <c r="B7887" i="2"/>
  <c r="C7886" i="2"/>
  <c r="B7886" i="2"/>
  <c r="C7885" i="2"/>
  <c r="B7885" i="2"/>
  <c r="C7884" i="2"/>
  <c r="B7884" i="2"/>
  <c r="C7883" i="2"/>
  <c r="B7883" i="2"/>
  <c r="C7882" i="2"/>
  <c r="B7882" i="2"/>
  <c r="C7881" i="2"/>
  <c r="B7881" i="2"/>
  <c r="C7880" i="2"/>
  <c r="B7880" i="2"/>
  <c r="C7879" i="2"/>
  <c r="B7879" i="2"/>
  <c r="C7878" i="2"/>
  <c r="B7878" i="2"/>
  <c r="C7877" i="2"/>
  <c r="B7877" i="2"/>
  <c r="C7876" i="2"/>
  <c r="B7876" i="2"/>
  <c r="C7875" i="2"/>
  <c r="B7875" i="2"/>
  <c r="C7874" i="2"/>
  <c r="B7874" i="2"/>
  <c r="C7873" i="2"/>
  <c r="B7873" i="2"/>
  <c r="C7872" i="2"/>
  <c r="B7872" i="2"/>
  <c r="C7871" i="2"/>
  <c r="B7871" i="2"/>
  <c r="C7870" i="2"/>
  <c r="B7870" i="2"/>
  <c r="C7869" i="2"/>
  <c r="B7869" i="2"/>
  <c r="C7868" i="2"/>
  <c r="B7868" i="2"/>
  <c r="C7867" i="2"/>
  <c r="B7867" i="2"/>
  <c r="C7866" i="2"/>
  <c r="B7866" i="2"/>
  <c r="C7865" i="2"/>
  <c r="B7865" i="2"/>
  <c r="C7864" i="2"/>
  <c r="B7864" i="2"/>
  <c r="C7863" i="2"/>
  <c r="B7863" i="2"/>
  <c r="C7862" i="2"/>
  <c r="B7862" i="2"/>
  <c r="C7861" i="2"/>
  <c r="B7861" i="2"/>
  <c r="C7860" i="2"/>
  <c r="B7860" i="2"/>
  <c r="C7859" i="2"/>
  <c r="B7859" i="2"/>
  <c r="C7858" i="2"/>
  <c r="B7858" i="2"/>
  <c r="C7857" i="2"/>
  <c r="B7857" i="2"/>
  <c r="C7856" i="2"/>
  <c r="B7856" i="2"/>
  <c r="C7855" i="2"/>
  <c r="B7855" i="2"/>
  <c r="C7854" i="2"/>
  <c r="B7854" i="2"/>
  <c r="C7853" i="2"/>
  <c r="B7853" i="2"/>
  <c r="C7852" i="2"/>
  <c r="B7852" i="2"/>
  <c r="C7851" i="2"/>
  <c r="B7851" i="2"/>
  <c r="C7850" i="2"/>
  <c r="B7850" i="2"/>
  <c r="C7849" i="2"/>
  <c r="B7849" i="2"/>
  <c r="C7848" i="2"/>
  <c r="B7848" i="2"/>
  <c r="C7847" i="2"/>
  <c r="B7847" i="2"/>
  <c r="C7846" i="2"/>
  <c r="B7846" i="2"/>
  <c r="C7845" i="2"/>
  <c r="B7845" i="2"/>
  <c r="C7844" i="2"/>
  <c r="B7844" i="2"/>
  <c r="C7843" i="2"/>
  <c r="B7843" i="2"/>
  <c r="C7842" i="2"/>
  <c r="B7842" i="2"/>
  <c r="C7841" i="2"/>
  <c r="B7841" i="2"/>
  <c r="C7840" i="2"/>
  <c r="B7840" i="2"/>
  <c r="C7839" i="2"/>
  <c r="B7839" i="2"/>
  <c r="C7838" i="2"/>
  <c r="B7838" i="2"/>
  <c r="C7837" i="2"/>
  <c r="B7837" i="2"/>
  <c r="C7836" i="2"/>
  <c r="B7836" i="2"/>
  <c r="C7835" i="2"/>
  <c r="B7835" i="2"/>
  <c r="C7834" i="2"/>
  <c r="B7834" i="2"/>
  <c r="C7833" i="2"/>
  <c r="B7833" i="2"/>
  <c r="C7832" i="2"/>
  <c r="B7832" i="2"/>
  <c r="C7831" i="2"/>
  <c r="B7831" i="2"/>
  <c r="C7830" i="2"/>
  <c r="B7830" i="2"/>
  <c r="C7829" i="2"/>
  <c r="B7829" i="2"/>
  <c r="C7828" i="2"/>
  <c r="B7828" i="2"/>
  <c r="C7827" i="2"/>
  <c r="B7827" i="2"/>
  <c r="C7826" i="2"/>
  <c r="B7826" i="2"/>
  <c r="C7825" i="2"/>
  <c r="B7825" i="2"/>
  <c r="C7824" i="2"/>
  <c r="B7824" i="2"/>
  <c r="C7823" i="2"/>
  <c r="B7823" i="2"/>
  <c r="C7822" i="2"/>
  <c r="B7822" i="2"/>
  <c r="C7821" i="2"/>
  <c r="B7821" i="2"/>
  <c r="C7820" i="2"/>
  <c r="B7820" i="2"/>
  <c r="C7819" i="2"/>
  <c r="B7819" i="2"/>
  <c r="C7818" i="2"/>
  <c r="B7818" i="2"/>
  <c r="C7817" i="2"/>
  <c r="B7817" i="2"/>
  <c r="C7816" i="2"/>
  <c r="B7816" i="2"/>
  <c r="C7815" i="2"/>
  <c r="B7815" i="2"/>
  <c r="C7814" i="2"/>
  <c r="B7814" i="2"/>
  <c r="C7813" i="2"/>
  <c r="B7813" i="2"/>
  <c r="C7812" i="2"/>
  <c r="B7812" i="2"/>
  <c r="C7811" i="2"/>
  <c r="B7811" i="2"/>
  <c r="C7810" i="2"/>
  <c r="B7810" i="2"/>
  <c r="C7809" i="2"/>
  <c r="B7809" i="2"/>
  <c r="C7808" i="2"/>
  <c r="B7808" i="2"/>
  <c r="C7807" i="2"/>
  <c r="B7807" i="2"/>
  <c r="C7806" i="2"/>
  <c r="B7806" i="2"/>
  <c r="C7805" i="2"/>
  <c r="B7805" i="2"/>
  <c r="C7804" i="2"/>
  <c r="B7804" i="2"/>
  <c r="C7803" i="2"/>
  <c r="B7803" i="2"/>
  <c r="C7802" i="2"/>
  <c r="B7802" i="2"/>
  <c r="C7801" i="2"/>
  <c r="B7801" i="2"/>
  <c r="C7800" i="2"/>
  <c r="B7800" i="2"/>
  <c r="C7799" i="2"/>
  <c r="B7799" i="2"/>
  <c r="C7798" i="2"/>
  <c r="B7798" i="2"/>
  <c r="C7797" i="2"/>
  <c r="B7797" i="2"/>
  <c r="C7796" i="2"/>
  <c r="B7796" i="2"/>
  <c r="C7795" i="2"/>
  <c r="B7795" i="2"/>
  <c r="C7794" i="2"/>
  <c r="B7794" i="2"/>
  <c r="C7793" i="2"/>
  <c r="B7793" i="2"/>
  <c r="C7792" i="2"/>
  <c r="B7792" i="2"/>
  <c r="C7791" i="2"/>
  <c r="B7791" i="2"/>
  <c r="C7790" i="2"/>
  <c r="B7790" i="2"/>
  <c r="C7789" i="2"/>
  <c r="B7789" i="2"/>
  <c r="C7788" i="2"/>
  <c r="B7788" i="2"/>
  <c r="C7787" i="2"/>
  <c r="B7787" i="2"/>
  <c r="C7786" i="2"/>
  <c r="B7786" i="2"/>
  <c r="C7785" i="2"/>
  <c r="B7785" i="2"/>
  <c r="C7784" i="2"/>
  <c r="B7784" i="2"/>
  <c r="C7783" i="2"/>
  <c r="B7783" i="2"/>
  <c r="C7782" i="2"/>
  <c r="B7782" i="2"/>
  <c r="C7781" i="2"/>
  <c r="B7781" i="2"/>
  <c r="C7780" i="2"/>
  <c r="B7780" i="2"/>
  <c r="C7779" i="2"/>
  <c r="B7779" i="2"/>
  <c r="C7778" i="2"/>
  <c r="B7778" i="2"/>
  <c r="C7777" i="2"/>
  <c r="B7777" i="2"/>
  <c r="C7776" i="2"/>
  <c r="B7776" i="2"/>
  <c r="C7775" i="2"/>
  <c r="B7775" i="2"/>
  <c r="C7774" i="2"/>
  <c r="B7774" i="2"/>
  <c r="C7773" i="2"/>
  <c r="B7773" i="2"/>
  <c r="C7772" i="2"/>
  <c r="B7772" i="2"/>
  <c r="C7771" i="2"/>
  <c r="B7771" i="2"/>
  <c r="C7770" i="2"/>
  <c r="B7770" i="2"/>
  <c r="C7769" i="2"/>
  <c r="B7769" i="2"/>
  <c r="C7768" i="2"/>
  <c r="B7768" i="2"/>
  <c r="C7767" i="2"/>
  <c r="B7767" i="2"/>
  <c r="C7766" i="2"/>
  <c r="B7766" i="2"/>
  <c r="C7765" i="2"/>
  <c r="B7765" i="2"/>
  <c r="C7764" i="2"/>
  <c r="B7764" i="2"/>
  <c r="C7763" i="2"/>
  <c r="B7763" i="2"/>
  <c r="C7762" i="2"/>
  <c r="B7762" i="2"/>
  <c r="C7761" i="2"/>
  <c r="B7761" i="2"/>
  <c r="C7760" i="2"/>
  <c r="B7760" i="2"/>
  <c r="C7759" i="2"/>
  <c r="B7759" i="2"/>
  <c r="C7758" i="2"/>
  <c r="B7758" i="2"/>
  <c r="C7757" i="2"/>
  <c r="B7757" i="2"/>
  <c r="C7756" i="2"/>
  <c r="B7756" i="2"/>
  <c r="C7755" i="2"/>
  <c r="B7755" i="2"/>
  <c r="C7754" i="2"/>
  <c r="B7754" i="2"/>
  <c r="C7753" i="2"/>
  <c r="B7753" i="2"/>
  <c r="C7752" i="2"/>
  <c r="B7752" i="2"/>
  <c r="C7751" i="2"/>
  <c r="B7751" i="2"/>
  <c r="C7750" i="2"/>
  <c r="B7750" i="2"/>
  <c r="C7749" i="2"/>
  <c r="B7749" i="2"/>
  <c r="C7748" i="2"/>
  <c r="B7748" i="2"/>
  <c r="C7747" i="2"/>
  <c r="B7747" i="2"/>
  <c r="C7746" i="2"/>
  <c r="B7746" i="2"/>
  <c r="C7745" i="2"/>
  <c r="B7745" i="2"/>
  <c r="C7744" i="2"/>
  <c r="B7744" i="2"/>
  <c r="C7743" i="2"/>
  <c r="B7743" i="2"/>
  <c r="C7742" i="2"/>
  <c r="B7742" i="2"/>
  <c r="C7741" i="2"/>
  <c r="B7741" i="2"/>
  <c r="C7740" i="2"/>
  <c r="B7740" i="2"/>
  <c r="C7739" i="2"/>
  <c r="B7739" i="2"/>
  <c r="C7738" i="2"/>
  <c r="B7738" i="2"/>
  <c r="C7737" i="2"/>
  <c r="B7737" i="2"/>
  <c r="C7736" i="2"/>
  <c r="B7736" i="2"/>
  <c r="C7735" i="2"/>
  <c r="B7735" i="2"/>
  <c r="C7734" i="2"/>
  <c r="B7734" i="2"/>
  <c r="C7733" i="2"/>
  <c r="B7733" i="2"/>
  <c r="C7732" i="2"/>
  <c r="B7732" i="2"/>
  <c r="C7731" i="2"/>
  <c r="B7731" i="2"/>
  <c r="C7730" i="2"/>
  <c r="B7730" i="2"/>
  <c r="C7729" i="2"/>
  <c r="B7729" i="2"/>
  <c r="C7728" i="2"/>
  <c r="B7728" i="2"/>
  <c r="C7727" i="2"/>
  <c r="B7727" i="2"/>
  <c r="C7726" i="2"/>
  <c r="B7726" i="2"/>
  <c r="C7725" i="2"/>
  <c r="B7725" i="2"/>
  <c r="C7724" i="2"/>
  <c r="B7724" i="2"/>
  <c r="C7723" i="2"/>
  <c r="B7723" i="2"/>
  <c r="C7722" i="2"/>
  <c r="B7722" i="2"/>
  <c r="C7721" i="2"/>
  <c r="B7721" i="2"/>
  <c r="C7720" i="2"/>
  <c r="B7720" i="2"/>
  <c r="C7719" i="2"/>
  <c r="B7719" i="2"/>
  <c r="C7718" i="2"/>
  <c r="B7718" i="2"/>
  <c r="C7717" i="2"/>
  <c r="B7717" i="2"/>
  <c r="C7716" i="2"/>
  <c r="B7716" i="2"/>
  <c r="C7715" i="2"/>
  <c r="B7715" i="2"/>
  <c r="C7714" i="2"/>
  <c r="B7714" i="2"/>
  <c r="C7713" i="2"/>
  <c r="B7713" i="2"/>
  <c r="C7712" i="2"/>
  <c r="B7712" i="2"/>
  <c r="C7711" i="2"/>
  <c r="B7711" i="2"/>
  <c r="C7710" i="2"/>
  <c r="B7710" i="2"/>
  <c r="C7709" i="2"/>
  <c r="B7709" i="2"/>
  <c r="C7708" i="2"/>
  <c r="B7708" i="2"/>
  <c r="C7707" i="2"/>
  <c r="B7707" i="2"/>
  <c r="C7706" i="2"/>
  <c r="B7706" i="2"/>
  <c r="C7705" i="2"/>
  <c r="B7705" i="2"/>
  <c r="C7704" i="2"/>
  <c r="B7704" i="2"/>
  <c r="C7703" i="2"/>
  <c r="B7703" i="2"/>
  <c r="C7702" i="2"/>
  <c r="B7702" i="2"/>
  <c r="C7701" i="2"/>
  <c r="B7701" i="2"/>
  <c r="C7700" i="2"/>
  <c r="B7700" i="2"/>
  <c r="C7699" i="2"/>
  <c r="B7699" i="2"/>
  <c r="C7698" i="2"/>
  <c r="B7698" i="2"/>
  <c r="C7697" i="2"/>
  <c r="B7697" i="2"/>
  <c r="C7696" i="2"/>
  <c r="B7696" i="2"/>
  <c r="C7695" i="2"/>
  <c r="B7695" i="2"/>
  <c r="C7694" i="2"/>
  <c r="B7694" i="2"/>
  <c r="C7693" i="2"/>
  <c r="B7693" i="2"/>
  <c r="C7692" i="2"/>
  <c r="B7692" i="2"/>
  <c r="C7691" i="2"/>
  <c r="B7691" i="2"/>
  <c r="C7690" i="2"/>
  <c r="B7690" i="2"/>
  <c r="C7689" i="2"/>
  <c r="B7689" i="2"/>
  <c r="C7688" i="2"/>
  <c r="B7688" i="2"/>
  <c r="C7687" i="2"/>
  <c r="B7687" i="2"/>
  <c r="C7686" i="2"/>
  <c r="B7686" i="2"/>
  <c r="C7685" i="2"/>
  <c r="B7685" i="2"/>
  <c r="C7684" i="2"/>
  <c r="B7684" i="2"/>
  <c r="C7683" i="2"/>
  <c r="B7683" i="2"/>
  <c r="C7682" i="2"/>
  <c r="B7682" i="2"/>
  <c r="C7681" i="2"/>
  <c r="B7681" i="2"/>
  <c r="C7680" i="2"/>
  <c r="B7680" i="2"/>
  <c r="C7679" i="2"/>
  <c r="B7679" i="2"/>
  <c r="C7678" i="2"/>
  <c r="B7678" i="2"/>
  <c r="C7677" i="2"/>
  <c r="B7677" i="2"/>
  <c r="C7676" i="2"/>
  <c r="B7676" i="2"/>
  <c r="C7675" i="2"/>
  <c r="B7675" i="2"/>
  <c r="C7674" i="2"/>
  <c r="B7674" i="2"/>
  <c r="C7673" i="2"/>
  <c r="B7673" i="2"/>
  <c r="C7672" i="2"/>
  <c r="B7672" i="2"/>
  <c r="C7671" i="2"/>
  <c r="B7671" i="2"/>
  <c r="C7670" i="2"/>
  <c r="B7670" i="2"/>
  <c r="C7669" i="2"/>
  <c r="B7669" i="2"/>
  <c r="C7668" i="2"/>
  <c r="B7668" i="2"/>
  <c r="C7667" i="2"/>
  <c r="B7667" i="2"/>
  <c r="C7666" i="2"/>
  <c r="B7666" i="2"/>
  <c r="C7665" i="2"/>
  <c r="B7665" i="2"/>
  <c r="C7664" i="2"/>
  <c r="B7664" i="2"/>
  <c r="C7663" i="2"/>
  <c r="B7663" i="2"/>
  <c r="C7662" i="2"/>
  <c r="B7662" i="2"/>
  <c r="C7661" i="2"/>
  <c r="B7661" i="2"/>
  <c r="C7660" i="2"/>
  <c r="B7660" i="2"/>
  <c r="C7659" i="2"/>
  <c r="B7659" i="2"/>
  <c r="C7658" i="2"/>
  <c r="B7658" i="2"/>
  <c r="C7657" i="2"/>
  <c r="B7657" i="2"/>
  <c r="C7656" i="2"/>
  <c r="B7656" i="2"/>
  <c r="C7655" i="2"/>
  <c r="B7655" i="2"/>
  <c r="C7654" i="2"/>
  <c r="B7654" i="2"/>
  <c r="C7653" i="2"/>
  <c r="B7653" i="2"/>
  <c r="C7652" i="2"/>
  <c r="B7652" i="2"/>
  <c r="C7651" i="2"/>
  <c r="B7651" i="2"/>
  <c r="C7650" i="2"/>
  <c r="B7650" i="2"/>
  <c r="C7649" i="2"/>
  <c r="B7649" i="2"/>
  <c r="C7648" i="2"/>
  <c r="B7648" i="2"/>
  <c r="C7647" i="2"/>
  <c r="B7647" i="2"/>
  <c r="C7646" i="2"/>
  <c r="B7646" i="2"/>
  <c r="C7645" i="2"/>
  <c r="B7645" i="2"/>
  <c r="C7644" i="2"/>
  <c r="B7644" i="2"/>
  <c r="C7643" i="2"/>
  <c r="B7643" i="2"/>
  <c r="C7642" i="2"/>
  <c r="B7642" i="2"/>
  <c r="C7641" i="2"/>
  <c r="B7641" i="2"/>
  <c r="C7640" i="2"/>
  <c r="B7640" i="2"/>
  <c r="C7639" i="2"/>
  <c r="B7639" i="2"/>
  <c r="C7638" i="2"/>
  <c r="B7638" i="2"/>
  <c r="C7637" i="2"/>
  <c r="B7637" i="2"/>
  <c r="C7636" i="2"/>
  <c r="B7636" i="2"/>
  <c r="C7635" i="2"/>
  <c r="B7635" i="2"/>
  <c r="C7634" i="2"/>
  <c r="B7634" i="2"/>
  <c r="C7633" i="2"/>
  <c r="B7633" i="2"/>
  <c r="C7632" i="2"/>
  <c r="B7632" i="2"/>
  <c r="C7631" i="2"/>
  <c r="B7631" i="2"/>
  <c r="C7630" i="2"/>
  <c r="B7630" i="2"/>
  <c r="C7629" i="2"/>
  <c r="B7629" i="2"/>
  <c r="C7628" i="2"/>
  <c r="B7628" i="2"/>
  <c r="C7627" i="2"/>
  <c r="B7627" i="2"/>
  <c r="C7626" i="2"/>
  <c r="B7626" i="2"/>
  <c r="C7625" i="2"/>
  <c r="B7625" i="2"/>
  <c r="C7624" i="2"/>
  <c r="B7624" i="2"/>
  <c r="C7623" i="2"/>
  <c r="B7623" i="2"/>
  <c r="C7622" i="2"/>
  <c r="B7622" i="2"/>
  <c r="C7621" i="2"/>
  <c r="B7621" i="2"/>
  <c r="C7620" i="2"/>
  <c r="B7620" i="2"/>
  <c r="C7619" i="2"/>
  <c r="B7619" i="2"/>
  <c r="C7618" i="2"/>
  <c r="B7618" i="2"/>
  <c r="C7617" i="2"/>
  <c r="B7617" i="2"/>
  <c r="C7616" i="2"/>
  <c r="B7616" i="2"/>
  <c r="C7615" i="2"/>
  <c r="B7615" i="2"/>
  <c r="C7614" i="2"/>
  <c r="B7614" i="2"/>
  <c r="C7613" i="2"/>
  <c r="B7613" i="2"/>
  <c r="C7612" i="2"/>
  <c r="B7612" i="2"/>
  <c r="C7611" i="2"/>
  <c r="B7611" i="2"/>
  <c r="C7610" i="2"/>
  <c r="B7610" i="2"/>
  <c r="C7609" i="2"/>
  <c r="B7609" i="2"/>
  <c r="C7608" i="2"/>
  <c r="B7608" i="2"/>
  <c r="C7607" i="2"/>
  <c r="B7607" i="2"/>
  <c r="C7606" i="2"/>
  <c r="B7606" i="2"/>
  <c r="C7605" i="2"/>
  <c r="B7605" i="2"/>
  <c r="C7604" i="2"/>
  <c r="B7604" i="2"/>
  <c r="C7603" i="2"/>
  <c r="B7603" i="2"/>
  <c r="C7602" i="2"/>
  <c r="B7602" i="2"/>
  <c r="C7601" i="2"/>
  <c r="B7601" i="2"/>
  <c r="C7600" i="2"/>
  <c r="B7600" i="2"/>
  <c r="C7599" i="2"/>
  <c r="B7599" i="2"/>
  <c r="C7598" i="2"/>
  <c r="B7598" i="2"/>
  <c r="C7597" i="2"/>
  <c r="B7597" i="2"/>
  <c r="C7596" i="2"/>
  <c r="B7596" i="2"/>
  <c r="C7595" i="2"/>
  <c r="B7595" i="2"/>
  <c r="C7594" i="2"/>
  <c r="B7594" i="2"/>
  <c r="C7593" i="2"/>
  <c r="B7593" i="2"/>
  <c r="C7592" i="2"/>
  <c r="B7592" i="2"/>
  <c r="C7591" i="2"/>
  <c r="B7591" i="2"/>
  <c r="C7590" i="2"/>
  <c r="B7590" i="2"/>
  <c r="C7589" i="2"/>
  <c r="B7589" i="2"/>
  <c r="C7588" i="2"/>
  <c r="B7588" i="2"/>
  <c r="C7587" i="2"/>
  <c r="B7587" i="2"/>
  <c r="C7586" i="2"/>
  <c r="B7586" i="2"/>
  <c r="C7585" i="2"/>
  <c r="B7585" i="2"/>
  <c r="C7584" i="2"/>
  <c r="B7584" i="2"/>
  <c r="C7583" i="2"/>
  <c r="B7583" i="2"/>
  <c r="C7582" i="2"/>
  <c r="B7582" i="2"/>
  <c r="C7581" i="2"/>
  <c r="B7581" i="2"/>
  <c r="C7580" i="2"/>
  <c r="B7580" i="2"/>
  <c r="C7579" i="2"/>
  <c r="B7579" i="2"/>
  <c r="C7578" i="2"/>
  <c r="B7578" i="2"/>
  <c r="C7577" i="2"/>
  <c r="B7577" i="2"/>
  <c r="C7576" i="2"/>
  <c r="B7576" i="2"/>
  <c r="C7575" i="2"/>
  <c r="B7575" i="2"/>
  <c r="C7574" i="2"/>
  <c r="B7574" i="2"/>
  <c r="C7573" i="2"/>
  <c r="B7573" i="2"/>
  <c r="C7572" i="2"/>
  <c r="B7572" i="2"/>
  <c r="C7571" i="2"/>
  <c r="B7571" i="2"/>
  <c r="C7570" i="2"/>
  <c r="B7570" i="2"/>
  <c r="C7569" i="2"/>
  <c r="B7569" i="2"/>
  <c r="C7568" i="2"/>
  <c r="B7568" i="2"/>
  <c r="C7567" i="2"/>
  <c r="B7567" i="2"/>
  <c r="C7566" i="2"/>
  <c r="B7566" i="2"/>
  <c r="C7565" i="2"/>
  <c r="B7565" i="2"/>
  <c r="C7564" i="2"/>
  <c r="B7564" i="2"/>
  <c r="C7563" i="2"/>
  <c r="B7563" i="2"/>
  <c r="C7562" i="2"/>
  <c r="B7562" i="2"/>
  <c r="C7561" i="2"/>
  <c r="B7561" i="2"/>
  <c r="C7560" i="2"/>
  <c r="B7560" i="2"/>
  <c r="C7559" i="2"/>
  <c r="B7559" i="2"/>
  <c r="C7558" i="2"/>
  <c r="B7558" i="2"/>
  <c r="C7557" i="2"/>
  <c r="B7557" i="2"/>
  <c r="C7556" i="2"/>
  <c r="B7556" i="2"/>
  <c r="C7555" i="2"/>
  <c r="B7555" i="2"/>
  <c r="C7554" i="2"/>
  <c r="B7554" i="2"/>
  <c r="C7553" i="2"/>
  <c r="B7553" i="2"/>
  <c r="C7552" i="2"/>
  <c r="B7552" i="2"/>
  <c r="C7551" i="2"/>
  <c r="B7551" i="2"/>
  <c r="C7550" i="2"/>
  <c r="B7550" i="2"/>
  <c r="C7549" i="2"/>
  <c r="B7549" i="2"/>
  <c r="C7548" i="2"/>
  <c r="B7548" i="2"/>
  <c r="C7547" i="2"/>
  <c r="B7547" i="2"/>
  <c r="C7546" i="2"/>
  <c r="B7546" i="2"/>
  <c r="C7545" i="2"/>
  <c r="B7545" i="2"/>
  <c r="C7544" i="2"/>
  <c r="B7544" i="2"/>
  <c r="C7543" i="2"/>
  <c r="B7543" i="2"/>
  <c r="C7542" i="2"/>
  <c r="B7542" i="2"/>
  <c r="C7541" i="2"/>
  <c r="B7541" i="2"/>
  <c r="C7540" i="2"/>
  <c r="B7540" i="2"/>
  <c r="C7539" i="2"/>
  <c r="B7539" i="2"/>
  <c r="C7538" i="2"/>
  <c r="B7538" i="2"/>
  <c r="C7537" i="2"/>
  <c r="B7537" i="2"/>
  <c r="C7536" i="2"/>
  <c r="B7536" i="2"/>
  <c r="C7535" i="2"/>
  <c r="B7535" i="2"/>
  <c r="C7534" i="2"/>
  <c r="B7534" i="2"/>
  <c r="C7533" i="2"/>
  <c r="B7533" i="2"/>
  <c r="C7532" i="2"/>
  <c r="B7532" i="2"/>
  <c r="C7531" i="2"/>
  <c r="B7531" i="2"/>
  <c r="C7530" i="2"/>
  <c r="B7530" i="2"/>
  <c r="C7529" i="2"/>
  <c r="B7529" i="2"/>
  <c r="C7528" i="2"/>
  <c r="B7528" i="2"/>
  <c r="C7527" i="2"/>
  <c r="B7527" i="2"/>
  <c r="C7526" i="2"/>
  <c r="B7526" i="2"/>
  <c r="C7525" i="2"/>
  <c r="B7525" i="2"/>
  <c r="C7524" i="2"/>
  <c r="B7524" i="2"/>
  <c r="C7523" i="2"/>
  <c r="B7523" i="2"/>
  <c r="C7522" i="2"/>
  <c r="B7522" i="2"/>
  <c r="C7521" i="2"/>
  <c r="B7521" i="2"/>
  <c r="C7520" i="2"/>
  <c r="B7520" i="2"/>
  <c r="C7519" i="2"/>
  <c r="B7519" i="2"/>
  <c r="C7518" i="2"/>
  <c r="B7518" i="2"/>
  <c r="C7517" i="2"/>
  <c r="B7517" i="2"/>
  <c r="C7516" i="2"/>
  <c r="B7516" i="2"/>
  <c r="C7515" i="2"/>
  <c r="B7515" i="2"/>
  <c r="C7514" i="2"/>
  <c r="B7514" i="2"/>
  <c r="C7513" i="2"/>
  <c r="B7513" i="2"/>
  <c r="C7512" i="2"/>
  <c r="B7512" i="2"/>
  <c r="C7511" i="2"/>
  <c r="B7511" i="2"/>
  <c r="C7510" i="2"/>
  <c r="B7510" i="2"/>
  <c r="C7509" i="2"/>
  <c r="B7509" i="2"/>
  <c r="C7508" i="2"/>
  <c r="B7508" i="2"/>
  <c r="C7507" i="2"/>
  <c r="B7507" i="2"/>
  <c r="C7506" i="2"/>
  <c r="B7506" i="2"/>
  <c r="C7505" i="2"/>
  <c r="B7505" i="2"/>
  <c r="C7504" i="2"/>
  <c r="B7504" i="2"/>
  <c r="C7503" i="2"/>
  <c r="B7503" i="2"/>
  <c r="C7502" i="2"/>
  <c r="B7502" i="2"/>
  <c r="C7501" i="2"/>
  <c r="B7501" i="2"/>
  <c r="C7500" i="2"/>
  <c r="B7500" i="2"/>
  <c r="C7499" i="2"/>
  <c r="B7499" i="2"/>
  <c r="C7498" i="2"/>
  <c r="B7498" i="2"/>
  <c r="C7497" i="2"/>
  <c r="B7497" i="2"/>
  <c r="C7496" i="2"/>
  <c r="B7496" i="2"/>
  <c r="C7495" i="2"/>
  <c r="B7495" i="2"/>
  <c r="C7494" i="2"/>
  <c r="B7494" i="2"/>
  <c r="C7493" i="2"/>
  <c r="B7493" i="2"/>
  <c r="C7492" i="2"/>
  <c r="B7492" i="2"/>
  <c r="C7491" i="2"/>
  <c r="B7491" i="2"/>
  <c r="C7490" i="2"/>
  <c r="B7490" i="2"/>
  <c r="C7489" i="2"/>
  <c r="B7489" i="2"/>
  <c r="C7488" i="2"/>
  <c r="B7488" i="2"/>
  <c r="C7487" i="2"/>
  <c r="B7487" i="2"/>
  <c r="C7486" i="2"/>
  <c r="B7486" i="2"/>
  <c r="C7485" i="2"/>
  <c r="B7485" i="2"/>
  <c r="C7484" i="2"/>
  <c r="B7484" i="2"/>
  <c r="C7483" i="2"/>
  <c r="B7483" i="2"/>
  <c r="C7482" i="2"/>
  <c r="B7482" i="2"/>
  <c r="C7481" i="2"/>
  <c r="B7481" i="2"/>
  <c r="C7480" i="2"/>
  <c r="B7480" i="2"/>
  <c r="C7479" i="2"/>
  <c r="B7479" i="2"/>
  <c r="C7478" i="2"/>
  <c r="B7478" i="2"/>
  <c r="C7477" i="2"/>
  <c r="B7477" i="2"/>
  <c r="C7476" i="2"/>
  <c r="B7476" i="2"/>
  <c r="C7475" i="2"/>
  <c r="B7475" i="2"/>
  <c r="C7474" i="2"/>
  <c r="B7474" i="2"/>
  <c r="C7473" i="2"/>
  <c r="B7473" i="2"/>
  <c r="C7472" i="2"/>
  <c r="B7472" i="2"/>
  <c r="C7471" i="2"/>
  <c r="B7471" i="2"/>
  <c r="C7470" i="2"/>
  <c r="B7470" i="2"/>
  <c r="C7469" i="2"/>
  <c r="B7469" i="2"/>
  <c r="C7468" i="2"/>
  <c r="B7468" i="2"/>
  <c r="C7467" i="2"/>
  <c r="B7467" i="2"/>
  <c r="C7466" i="2"/>
  <c r="B7466" i="2"/>
  <c r="C7465" i="2"/>
  <c r="B7465" i="2"/>
  <c r="C7464" i="2"/>
  <c r="B7464" i="2"/>
  <c r="C7463" i="2"/>
  <c r="B7463" i="2"/>
  <c r="C7462" i="2"/>
  <c r="B7462" i="2"/>
  <c r="C7461" i="2"/>
  <c r="B7461" i="2"/>
  <c r="C7460" i="2"/>
  <c r="B7460" i="2"/>
  <c r="C7459" i="2"/>
  <c r="B7459" i="2"/>
  <c r="C7458" i="2"/>
  <c r="B7458" i="2"/>
  <c r="C7457" i="2"/>
  <c r="B7457" i="2"/>
  <c r="C7456" i="2"/>
  <c r="B7456" i="2"/>
  <c r="C7455" i="2"/>
  <c r="B7455" i="2"/>
  <c r="C7454" i="2"/>
  <c r="B7454" i="2"/>
  <c r="C7453" i="2"/>
  <c r="B7453" i="2"/>
  <c r="C7452" i="2"/>
  <c r="B7452" i="2"/>
  <c r="C7451" i="2"/>
  <c r="B7451" i="2"/>
  <c r="C7450" i="2"/>
  <c r="B7450" i="2"/>
  <c r="C7449" i="2"/>
  <c r="B7449" i="2"/>
  <c r="C7448" i="2"/>
  <c r="B7448" i="2"/>
  <c r="C7447" i="2"/>
  <c r="B7447" i="2"/>
  <c r="C7446" i="2"/>
  <c r="B7446" i="2"/>
  <c r="C7445" i="2"/>
  <c r="B7445" i="2"/>
  <c r="C7444" i="2"/>
  <c r="B7444" i="2"/>
  <c r="C7443" i="2"/>
  <c r="B7443" i="2"/>
  <c r="C7442" i="2"/>
  <c r="B7442" i="2"/>
  <c r="C7441" i="2"/>
  <c r="B7441" i="2"/>
  <c r="C7440" i="2"/>
  <c r="B7440" i="2"/>
  <c r="C7439" i="2"/>
  <c r="B7439" i="2"/>
  <c r="C7438" i="2"/>
  <c r="B7438" i="2"/>
  <c r="C7437" i="2"/>
  <c r="B7437" i="2"/>
  <c r="C7436" i="2"/>
  <c r="B7436" i="2"/>
  <c r="C7435" i="2"/>
  <c r="B7435" i="2"/>
  <c r="C7434" i="2"/>
  <c r="B7434" i="2"/>
  <c r="C7433" i="2"/>
  <c r="B7433" i="2"/>
  <c r="C7432" i="2"/>
  <c r="B7432" i="2"/>
  <c r="C7431" i="2"/>
  <c r="B7431" i="2"/>
  <c r="C7430" i="2"/>
  <c r="B7430" i="2"/>
  <c r="C7429" i="2"/>
  <c r="B7429" i="2"/>
  <c r="C7428" i="2"/>
  <c r="B7428" i="2"/>
  <c r="C7427" i="2"/>
  <c r="B7427" i="2"/>
  <c r="C7426" i="2"/>
  <c r="B7426" i="2"/>
  <c r="C7425" i="2"/>
  <c r="B7425" i="2"/>
  <c r="C7424" i="2"/>
  <c r="B7424" i="2"/>
  <c r="C7423" i="2"/>
  <c r="B7423" i="2"/>
  <c r="C7422" i="2"/>
  <c r="B7422" i="2"/>
  <c r="C7421" i="2"/>
  <c r="B7421" i="2"/>
  <c r="C7420" i="2"/>
  <c r="B7420" i="2"/>
  <c r="C7419" i="2"/>
  <c r="B7419" i="2"/>
  <c r="C7418" i="2"/>
  <c r="B7418" i="2"/>
  <c r="C7417" i="2"/>
  <c r="B7417" i="2"/>
  <c r="C7416" i="2"/>
  <c r="B7416" i="2"/>
  <c r="C7415" i="2"/>
  <c r="B7415" i="2"/>
  <c r="C7414" i="2"/>
  <c r="B7414" i="2"/>
  <c r="C7413" i="2"/>
  <c r="B7413" i="2"/>
  <c r="C7412" i="2"/>
  <c r="B7412" i="2"/>
  <c r="C7411" i="2"/>
  <c r="B7411" i="2"/>
  <c r="C7410" i="2"/>
  <c r="B7410" i="2"/>
  <c r="C7409" i="2"/>
  <c r="B7409" i="2"/>
  <c r="C7408" i="2"/>
  <c r="B7408" i="2"/>
  <c r="C7407" i="2"/>
  <c r="B7407" i="2"/>
  <c r="C7406" i="2"/>
  <c r="B7406" i="2"/>
  <c r="C7405" i="2"/>
  <c r="B7405" i="2"/>
  <c r="C7404" i="2"/>
  <c r="B7404" i="2"/>
  <c r="C7403" i="2"/>
  <c r="B7403" i="2"/>
  <c r="C7402" i="2"/>
  <c r="B7402" i="2"/>
  <c r="C7401" i="2"/>
  <c r="B7401" i="2"/>
  <c r="C7400" i="2"/>
  <c r="B7400" i="2"/>
  <c r="C7399" i="2"/>
  <c r="B7399" i="2"/>
  <c r="C7398" i="2"/>
  <c r="B7398" i="2"/>
  <c r="C7397" i="2"/>
  <c r="B7397" i="2"/>
  <c r="C7396" i="2"/>
  <c r="B7396" i="2"/>
  <c r="C7395" i="2"/>
  <c r="B7395" i="2"/>
  <c r="C7394" i="2"/>
  <c r="B7394" i="2"/>
  <c r="C7393" i="2"/>
  <c r="B7393" i="2"/>
  <c r="C7392" i="2"/>
  <c r="B7392" i="2"/>
  <c r="C7391" i="2"/>
  <c r="B7391" i="2"/>
  <c r="C7390" i="2"/>
  <c r="B7390" i="2"/>
  <c r="C7389" i="2"/>
  <c r="B7389" i="2"/>
  <c r="C7388" i="2"/>
  <c r="B7388" i="2"/>
  <c r="C7387" i="2"/>
  <c r="B7387" i="2"/>
  <c r="C7386" i="2"/>
  <c r="B7386" i="2"/>
  <c r="C7385" i="2"/>
  <c r="B7385" i="2"/>
  <c r="C7384" i="2"/>
  <c r="B7384" i="2"/>
  <c r="C7383" i="2"/>
  <c r="B7383" i="2"/>
  <c r="C7382" i="2"/>
  <c r="B7382" i="2"/>
  <c r="C7381" i="2"/>
  <c r="B7381" i="2"/>
  <c r="C7380" i="2"/>
  <c r="B7380" i="2"/>
  <c r="C7379" i="2"/>
  <c r="B7379" i="2"/>
  <c r="C7378" i="2"/>
  <c r="B7378" i="2"/>
  <c r="C7377" i="2"/>
  <c r="B7377" i="2"/>
  <c r="C7376" i="2"/>
  <c r="B7376" i="2"/>
  <c r="C7375" i="2"/>
  <c r="B7375" i="2"/>
  <c r="C7374" i="2"/>
  <c r="B7374" i="2"/>
  <c r="C7373" i="2"/>
  <c r="B7373" i="2"/>
  <c r="C7372" i="2"/>
  <c r="B7372" i="2"/>
  <c r="C7371" i="2"/>
  <c r="B7371" i="2"/>
  <c r="C7370" i="2"/>
  <c r="B7370" i="2"/>
  <c r="C7369" i="2"/>
  <c r="B7369" i="2"/>
  <c r="C7368" i="2"/>
  <c r="B7368" i="2"/>
  <c r="C7367" i="2"/>
  <c r="B7367" i="2"/>
  <c r="C7366" i="2"/>
  <c r="B7366" i="2"/>
  <c r="C7365" i="2"/>
  <c r="B7365" i="2"/>
  <c r="C7364" i="2"/>
  <c r="B7364" i="2"/>
  <c r="C7363" i="2"/>
  <c r="B7363" i="2"/>
  <c r="C7362" i="2"/>
  <c r="B7362" i="2"/>
  <c r="C7361" i="2"/>
  <c r="B7361" i="2"/>
  <c r="C7360" i="2"/>
  <c r="B7360" i="2"/>
  <c r="C7359" i="2"/>
  <c r="B7359" i="2"/>
  <c r="C7358" i="2"/>
  <c r="B7358" i="2"/>
  <c r="C7357" i="2"/>
  <c r="B7357" i="2"/>
  <c r="C7356" i="2"/>
  <c r="B7356" i="2"/>
  <c r="C7355" i="2"/>
  <c r="B7355" i="2"/>
  <c r="C7354" i="2"/>
  <c r="B7354" i="2"/>
  <c r="C7353" i="2"/>
  <c r="B7353" i="2"/>
  <c r="C7352" i="2"/>
  <c r="B7352" i="2"/>
  <c r="C7351" i="2"/>
  <c r="B7351" i="2"/>
  <c r="C7350" i="2"/>
  <c r="B7350" i="2"/>
  <c r="C7349" i="2"/>
  <c r="B7349" i="2"/>
  <c r="C7348" i="2"/>
  <c r="B7348" i="2"/>
  <c r="C7347" i="2"/>
  <c r="B7347" i="2"/>
  <c r="C7346" i="2"/>
  <c r="B7346" i="2"/>
  <c r="C7345" i="2"/>
  <c r="B7345" i="2"/>
  <c r="C7344" i="2"/>
  <c r="B7344" i="2"/>
  <c r="C7343" i="2"/>
  <c r="B7343" i="2"/>
  <c r="C7342" i="2"/>
  <c r="B7342" i="2"/>
  <c r="C7341" i="2"/>
  <c r="B7341" i="2"/>
  <c r="C7340" i="2"/>
  <c r="B7340" i="2"/>
  <c r="C7339" i="2"/>
  <c r="B7339" i="2"/>
  <c r="C7338" i="2"/>
  <c r="B7338" i="2"/>
  <c r="C7337" i="2"/>
  <c r="B7337" i="2"/>
  <c r="C7336" i="2"/>
  <c r="B7336" i="2"/>
  <c r="C7335" i="2"/>
  <c r="B7335" i="2"/>
  <c r="C7334" i="2"/>
  <c r="B7334" i="2"/>
  <c r="C7333" i="2"/>
  <c r="B7333" i="2"/>
  <c r="C7332" i="2"/>
  <c r="B7332" i="2"/>
  <c r="C7331" i="2"/>
  <c r="B7331" i="2"/>
  <c r="C7330" i="2"/>
  <c r="B7330" i="2"/>
  <c r="C7329" i="2"/>
  <c r="B7329" i="2"/>
  <c r="C7328" i="2"/>
  <c r="B7328" i="2"/>
  <c r="C7327" i="2"/>
  <c r="B7327" i="2"/>
  <c r="C7326" i="2"/>
  <c r="B7326" i="2"/>
  <c r="C7325" i="2"/>
  <c r="B7325" i="2"/>
  <c r="C7324" i="2"/>
  <c r="B7324" i="2"/>
  <c r="C7323" i="2"/>
  <c r="B7323" i="2"/>
  <c r="C7322" i="2"/>
  <c r="B7322" i="2"/>
  <c r="C7321" i="2"/>
  <c r="B7321" i="2"/>
  <c r="C7320" i="2"/>
  <c r="B7320" i="2"/>
  <c r="C7319" i="2"/>
  <c r="B7319" i="2"/>
  <c r="C7318" i="2"/>
  <c r="B7318" i="2"/>
  <c r="C7317" i="2"/>
  <c r="B7317" i="2"/>
  <c r="C7316" i="2"/>
  <c r="B7316" i="2"/>
  <c r="C7315" i="2"/>
  <c r="B7315" i="2"/>
  <c r="C7314" i="2"/>
  <c r="B7314" i="2"/>
  <c r="C7313" i="2"/>
  <c r="B7313" i="2"/>
  <c r="C7312" i="2"/>
  <c r="B7312" i="2"/>
  <c r="C7311" i="2"/>
  <c r="B7311" i="2"/>
  <c r="C7310" i="2"/>
  <c r="B7310" i="2"/>
  <c r="C7309" i="2"/>
  <c r="B7309" i="2"/>
  <c r="C7308" i="2"/>
  <c r="B7308" i="2"/>
  <c r="C7307" i="2"/>
  <c r="B7307" i="2"/>
  <c r="C7306" i="2"/>
  <c r="B7306" i="2"/>
  <c r="C7305" i="2"/>
  <c r="B7305" i="2"/>
  <c r="C7304" i="2"/>
  <c r="B7304" i="2"/>
  <c r="C7303" i="2"/>
  <c r="B7303" i="2"/>
  <c r="C7302" i="2"/>
  <c r="B7302" i="2"/>
  <c r="C7301" i="2"/>
  <c r="B7301" i="2"/>
  <c r="C7300" i="2"/>
  <c r="B7300" i="2"/>
  <c r="C7299" i="2"/>
  <c r="B7299" i="2"/>
  <c r="C7298" i="2"/>
  <c r="B7298" i="2"/>
  <c r="C7297" i="2"/>
  <c r="B7297" i="2"/>
  <c r="C7296" i="2"/>
  <c r="B7296" i="2"/>
  <c r="C7295" i="2"/>
  <c r="B7295" i="2"/>
  <c r="C7294" i="2"/>
  <c r="B7294" i="2"/>
  <c r="C7293" i="2"/>
  <c r="B7293" i="2"/>
  <c r="C7292" i="2"/>
  <c r="B7292" i="2"/>
  <c r="C7291" i="2"/>
  <c r="B7291" i="2"/>
  <c r="C7290" i="2"/>
  <c r="B7290" i="2"/>
  <c r="C7289" i="2"/>
  <c r="B7289" i="2"/>
  <c r="C7288" i="2"/>
  <c r="B7288" i="2"/>
  <c r="C7287" i="2"/>
  <c r="B7287" i="2"/>
  <c r="C7286" i="2"/>
  <c r="B7286" i="2"/>
  <c r="C7285" i="2"/>
  <c r="B7285" i="2"/>
  <c r="C7284" i="2"/>
  <c r="B7284" i="2"/>
  <c r="C7283" i="2"/>
  <c r="B7283" i="2"/>
  <c r="C7282" i="2"/>
  <c r="B7282" i="2"/>
  <c r="C7281" i="2"/>
  <c r="B7281" i="2"/>
  <c r="C7280" i="2"/>
  <c r="B7280" i="2"/>
  <c r="C7279" i="2"/>
  <c r="B7279" i="2"/>
  <c r="C7278" i="2"/>
  <c r="B7278" i="2"/>
  <c r="C7277" i="2"/>
  <c r="B7277" i="2"/>
  <c r="C7276" i="2"/>
  <c r="B7276" i="2"/>
  <c r="C7275" i="2"/>
  <c r="B7275" i="2"/>
  <c r="C7274" i="2"/>
  <c r="B7274" i="2"/>
  <c r="C7273" i="2"/>
  <c r="B7273" i="2"/>
  <c r="C7272" i="2"/>
  <c r="B7272" i="2"/>
  <c r="C7271" i="2"/>
  <c r="B7271" i="2"/>
  <c r="C7270" i="2"/>
  <c r="B7270" i="2"/>
  <c r="C7269" i="2"/>
  <c r="B7269" i="2"/>
  <c r="C7268" i="2"/>
  <c r="B7268" i="2"/>
  <c r="C7267" i="2"/>
  <c r="B7267" i="2"/>
  <c r="C7266" i="2"/>
  <c r="B7266" i="2"/>
  <c r="C7265" i="2"/>
  <c r="B7265" i="2"/>
  <c r="C7264" i="2"/>
  <c r="B7264" i="2"/>
  <c r="C7263" i="2"/>
  <c r="B7263" i="2"/>
  <c r="C7262" i="2"/>
  <c r="B7262" i="2"/>
  <c r="C7261" i="2"/>
  <c r="B7261" i="2"/>
  <c r="C7260" i="2"/>
  <c r="B7260" i="2"/>
  <c r="C7259" i="2"/>
  <c r="B7259" i="2"/>
  <c r="C7258" i="2"/>
  <c r="B7258" i="2"/>
  <c r="C7257" i="2"/>
  <c r="B7257" i="2"/>
  <c r="C7256" i="2"/>
  <c r="B7256" i="2"/>
  <c r="C7255" i="2"/>
  <c r="B7255" i="2"/>
  <c r="C7254" i="2"/>
  <c r="B7254" i="2"/>
  <c r="C7253" i="2"/>
  <c r="B7253" i="2"/>
  <c r="C7252" i="2"/>
  <c r="B7252" i="2"/>
  <c r="C7251" i="2"/>
  <c r="B7251" i="2"/>
  <c r="C7250" i="2"/>
  <c r="B7250" i="2"/>
  <c r="C7249" i="2"/>
  <c r="B7249" i="2"/>
  <c r="C7248" i="2"/>
  <c r="B7248" i="2"/>
  <c r="C7247" i="2"/>
  <c r="B7247" i="2"/>
  <c r="C7246" i="2"/>
  <c r="B7246" i="2"/>
  <c r="C7245" i="2"/>
  <c r="B7245" i="2"/>
  <c r="C7244" i="2"/>
  <c r="B7244" i="2"/>
  <c r="C7243" i="2"/>
  <c r="B7243" i="2"/>
  <c r="C7242" i="2"/>
  <c r="B7242" i="2"/>
  <c r="C7241" i="2"/>
  <c r="B7241" i="2"/>
  <c r="C7240" i="2"/>
  <c r="B7240" i="2"/>
  <c r="C7239" i="2"/>
  <c r="B7239" i="2"/>
  <c r="C7238" i="2"/>
  <c r="B7238" i="2"/>
  <c r="C7237" i="2"/>
  <c r="B7237" i="2"/>
  <c r="C7236" i="2"/>
  <c r="B7236" i="2"/>
  <c r="C7235" i="2"/>
  <c r="B7235" i="2"/>
  <c r="C7234" i="2"/>
  <c r="B7234" i="2"/>
  <c r="C7233" i="2"/>
  <c r="B7233" i="2"/>
  <c r="C7232" i="2"/>
  <c r="B7232" i="2"/>
  <c r="C7231" i="2"/>
  <c r="B7231" i="2"/>
  <c r="C7230" i="2"/>
  <c r="B7230" i="2"/>
  <c r="C7229" i="2"/>
  <c r="B7229" i="2"/>
  <c r="C7228" i="2"/>
  <c r="B7228" i="2"/>
  <c r="C7227" i="2"/>
  <c r="B7227" i="2"/>
  <c r="C7226" i="2"/>
  <c r="B7226" i="2"/>
  <c r="C7225" i="2"/>
  <c r="B7225" i="2"/>
  <c r="C7224" i="2"/>
  <c r="B7224" i="2"/>
  <c r="C7223" i="2"/>
  <c r="B7223" i="2"/>
  <c r="C7222" i="2"/>
  <c r="B7222" i="2"/>
  <c r="C7221" i="2"/>
  <c r="B7221" i="2"/>
  <c r="C7220" i="2"/>
  <c r="B7220" i="2"/>
  <c r="C7219" i="2"/>
  <c r="B7219" i="2"/>
  <c r="C7218" i="2"/>
  <c r="B7218" i="2"/>
  <c r="C7217" i="2"/>
  <c r="B7217" i="2"/>
  <c r="C7216" i="2"/>
  <c r="B7216" i="2"/>
  <c r="C7215" i="2"/>
  <c r="B7215" i="2"/>
  <c r="C7214" i="2"/>
  <c r="B7214" i="2"/>
  <c r="C7213" i="2"/>
  <c r="B7213" i="2"/>
  <c r="C7212" i="2"/>
  <c r="B7212" i="2"/>
  <c r="C7211" i="2"/>
  <c r="B7211" i="2"/>
  <c r="C7210" i="2"/>
  <c r="B7210" i="2"/>
  <c r="C7209" i="2"/>
  <c r="B7209" i="2"/>
  <c r="C7208" i="2"/>
  <c r="B7208" i="2"/>
  <c r="C7207" i="2"/>
  <c r="B7207" i="2"/>
  <c r="C7206" i="2"/>
  <c r="B7206" i="2"/>
  <c r="C7205" i="2"/>
  <c r="B7205" i="2"/>
  <c r="C7204" i="2"/>
  <c r="B7204" i="2"/>
  <c r="C7203" i="2"/>
  <c r="B7203" i="2"/>
  <c r="C7202" i="2"/>
  <c r="B7202" i="2"/>
  <c r="C7201" i="2"/>
  <c r="B7201" i="2"/>
  <c r="C7200" i="2"/>
  <c r="B7200" i="2"/>
  <c r="C7199" i="2"/>
  <c r="B7199" i="2"/>
  <c r="C7198" i="2"/>
  <c r="B7198" i="2"/>
  <c r="C7197" i="2"/>
  <c r="B7197" i="2"/>
  <c r="C7196" i="2"/>
  <c r="B7196" i="2"/>
  <c r="C7195" i="2"/>
  <c r="B7195" i="2"/>
  <c r="C7194" i="2"/>
  <c r="B7194" i="2"/>
  <c r="C7193" i="2"/>
  <c r="B7193" i="2"/>
  <c r="C7192" i="2"/>
  <c r="B7192" i="2"/>
  <c r="C7191" i="2"/>
  <c r="B7191" i="2"/>
  <c r="C7190" i="2"/>
  <c r="B7190" i="2"/>
  <c r="C7189" i="2"/>
  <c r="B7189" i="2"/>
  <c r="C7188" i="2"/>
  <c r="B7188" i="2"/>
  <c r="C7187" i="2"/>
  <c r="B7187" i="2"/>
  <c r="C7186" i="2"/>
  <c r="B7186" i="2"/>
  <c r="C7185" i="2"/>
  <c r="B7185" i="2"/>
  <c r="C7184" i="2"/>
  <c r="B7184" i="2"/>
  <c r="C7183" i="2"/>
  <c r="B7183" i="2"/>
  <c r="C7182" i="2"/>
  <c r="B7182" i="2"/>
  <c r="C7181" i="2"/>
  <c r="B7181" i="2"/>
  <c r="C7180" i="2"/>
  <c r="B7180" i="2"/>
  <c r="C7179" i="2"/>
  <c r="B7179" i="2"/>
  <c r="C7178" i="2"/>
  <c r="B7178" i="2"/>
  <c r="C7177" i="2"/>
  <c r="B7177" i="2"/>
  <c r="C7176" i="2"/>
  <c r="B7176" i="2"/>
  <c r="C7175" i="2"/>
  <c r="B7175" i="2"/>
  <c r="C7174" i="2"/>
  <c r="B7174" i="2"/>
  <c r="C7173" i="2"/>
  <c r="B7173" i="2"/>
  <c r="C7172" i="2"/>
  <c r="B7172" i="2"/>
  <c r="C7171" i="2"/>
  <c r="B7171" i="2"/>
  <c r="C7170" i="2"/>
  <c r="B7170" i="2"/>
  <c r="C7169" i="2"/>
  <c r="B7169" i="2"/>
  <c r="C7168" i="2"/>
  <c r="B7168" i="2"/>
  <c r="C7167" i="2"/>
  <c r="B7167" i="2"/>
  <c r="C7166" i="2"/>
  <c r="B7166" i="2"/>
  <c r="C7165" i="2"/>
  <c r="B7165" i="2"/>
  <c r="C7164" i="2"/>
  <c r="B7164" i="2"/>
  <c r="C7163" i="2"/>
  <c r="B7163" i="2"/>
  <c r="C7162" i="2"/>
  <c r="B7162" i="2"/>
  <c r="C7161" i="2"/>
  <c r="B7161" i="2"/>
  <c r="C7160" i="2"/>
  <c r="B7160" i="2"/>
  <c r="C7159" i="2"/>
  <c r="B7159" i="2"/>
  <c r="C7158" i="2"/>
  <c r="B7158" i="2"/>
  <c r="C7157" i="2"/>
  <c r="B7157" i="2"/>
  <c r="C7156" i="2"/>
  <c r="B7156" i="2"/>
  <c r="C7155" i="2"/>
  <c r="B7155" i="2"/>
  <c r="C7154" i="2"/>
  <c r="B7154" i="2"/>
  <c r="C7153" i="2"/>
  <c r="B7153" i="2"/>
  <c r="C7152" i="2"/>
  <c r="B7152" i="2"/>
  <c r="C7151" i="2"/>
  <c r="B7151" i="2"/>
  <c r="C7150" i="2"/>
  <c r="B7150" i="2"/>
  <c r="C7149" i="2"/>
  <c r="B7149" i="2"/>
  <c r="C7148" i="2"/>
  <c r="B7148" i="2"/>
  <c r="C7147" i="2"/>
  <c r="B7147" i="2"/>
  <c r="C7146" i="2"/>
  <c r="B7146" i="2"/>
  <c r="C7145" i="2"/>
  <c r="B7145" i="2"/>
  <c r="C7144" i="2"/>
  <c r="B7144" i="2"/>
  <c r="C7143" i="2"/>
  <c r="B7143" i="2"/>
  <c r="C7142" i="2"/>
  <c r="B7142" i="2"/>
  <c r="C7141" i="2"/>
  <c r="B7141" i="2"/>
  <c r="C7140" i="2"/>
  <c r="B7140" i="2"/>
  <c r="C7139" i="2"/>
  <c r="B7139" i="2"/>
  <c r="C7138" i="2"/>
  <c r="B7138" i="2"/>
  <c r="C7137" i="2"/>
  <c r="B7137" i="2"/>
  <c r="C7136" i="2"/>
  <c r="B7136" i="2"/>
  <c r="C7135" i="2"/>
  <c r="B7135" i="2"/>
  <c r="C7134" i="2"/>
  <c r="B7134" i="2"/>
  <c r="C7133" i="2"/>
  <c r="B7133" i="2"/>
  <c r="C7132" i="2"/>
  <c r="B7132" i="2"/>
  <c r="C7131" i="2"/>
  <c r="B7131" i="2"/>
  <c r="C7130" i="2"/>
  <c r="B7130" i="2"/>
  <c r="C7129" i="2"/>
  <c r="B7129" i="2"/>
  <c r="C7128" i="2"/>
  <c r="B7128" i="2"/>
  <c r="C7127" i="2"/>
  <c r="B7127" i="2"/>
  <c r="C7126" i="2"/>
  <c r="B7126" i="2"/>
  <c r="C7125" i="2"/>
  <c r="B7125" i="2"/>
  <c r="C7124" i="2"/>
  <c r="B7124" i="2"/>
  <c r="C7123" i="2"/>
  <c r="B7123" i="2"/>
  <c r="C7122" i="2"/>
  <c r="B7122" i="2"/>
  <c r="C7121" i="2"/>
  <c r="B7121" i="2"/>
  <c r="C7120" i="2"/>
  <c r="B7120" i="2"/>
  <c r="C7119" i="2"/>
  <c r="B7119" i="2"/>
  <c r="C7118" i="2"/>
  <c r="B7118" i="2"/>
  <c r="C7117" i="2"/>
  <c r="B7117" i="2"/>
  <c r="C7116" i="2"/>
  <c r="B7116" i="2"/>
  <c r="C7115" i="2"/>
  <c r="B7115" i="2"/>
  <c r="C7114" i="2"/>
  <c r="B7114" i="2"/>
  <c r="C7113" i="2"/>
  <c r="B7113" i="2"/>
  <c r="C7112" i="2"/>
  <c r="B7112" i="2"/>
  <c r="C7111" i="2"/>
  <c r="B7111" i="2"/>
  <c r="C7110" i="2"/>
  <c r="B7110" i="2"/>
  <c r="C7109" i="2"/>
  <c r="B7109" i="2"/>
  <c r="C7108" i="2"/>
  <c r="B7108" i="2"/>
  <c r="C7107" i="2"/>
  <c r="B7107" i="2"/>
  <c r="C7106" i="2"/>
  <c r="B7106" i="2"/>
  <c r="C7105" i="2"/>
  <c r="B7105" i="2"/>
  <c r="C7104" i="2"/>
  <c r="B7104" i="2"/>
  <c r="C7103" i="2"/>
  <c r="B7103" i="2"/>
  <c r="C7102" i="2"/>
  <c r="B7102" i="2"/>
  <c r="C7101" i="2"/>
  <c r="B7101" i="2"/>
  <c r="C7100" i="2"/>
  <c r="B7100" i="2"/>
  <c r="C7099" i="2"/>
  <c r="B7099" i="2"/>
  <c r="C7098" i="2"/>
  <c r="B7098" i="2"/>
  <c r="C7097" i="2"/>
  <c r="B7097" i="2"/>
  <c r="C7096" i="2"/>
  <c r="B7096" i="2"/>
  <c r="C7095" i="2"/>
  <c r="B7095" i="2"/>
  <c r="C7094" i="2"/>
  <c r="B7094" i="2"/>
  <c r="C7093" i="2"/>
  <c r="B7093" i="2"/>
  <c r="C7092" i="2"/>
  <c r="B7092" i="2"/>
  <c r="C7091" i="2"/>
  <c r="B7091" i="2"/>
  <c r="C7090" i="2"/>
  <c r="B7090" i="2"/>
  <c r="C7089" i="2"/>
  <c r="B7089" i="2"/>
  <c r="C7088" i="2"/>
  <c r="B7088" i="2"/>
  <c r="C7087" i="2"/>
  <c r="B7087" i="2"/>
  <c r="C7086" i="2"/>
  <c r="B7086" i="2"/>
  <c r="C7085" i="2"/>
  <c r="B7085" i="2"/>
  <c r="C7084" i="2"/>
  <c r="B7084" i="2"/>
  <c r="C7083" i="2"/>
  <c r="B7083" i="2"/>
  <c r="C7082" i="2"/>
  <c r="B7082" i="2"/>
  <c r="C7081" i="2"/>
  <c r="B7081" i="2"/>
  <c r="C7080" i="2"/>
  <c r="B7080" i="2"/>
  <c r="C7079" i="2"/>
  <c r="B7079" i="2"/>
  <c r="C7078" i="2"/>
  <c r="B7078" i="2"/>
  <c r="C7077" i="2"/>
  <c r="B7077" i="2"/>
  <c r="C7076" i="2"/>
  <c r="B7076" i="2"/>
  <c r="C7075" i="2"/>
  <c r="B7075" i="2"/>
  <c r="C7074" i="2"/>
  <c r="B7074" i="2"/>
  <c r="C7073" i="2"/>
  <c r="B7073" i="2"/>
  <c r="C7072" i="2"/>
  <c r="B7072" i="2"/>
  <c r="C7071" i="2"/>
  <c r="B7071" i="2"/>
  <c r="C7070" i="2"/>
  <c r="B7070" i="2"/>
  <c r="C7069" i="2"/>
  <c r="B7069" i="2"/>
  <c r="C7068" i="2"/>
  <c r="B7068" i="2"/>
  <c r="C7067" i="2"/>
  <c r="B7067" i="2"/>
  <c r="C7066" i="2"/>
  <c r="B7066" i="2"/>
  <c r="C7065" i="2"/>
  <c r="B7065" i="2"/>
  <c r="C7064" i="2"/>
  <c r="B7064" i="2"/>
  <c r="C7063" i="2"/>
  <c r="B7063" i="2"/>
  <c r="C7062" i="2"/>
  <c r="B7062" i="2"/>
  <c r="C7061" i="2"/>
  <c r="B7061" i="2"/>
  <c r="C7060" i="2"/>
  <c r="B7060" i="2"/>
  <c r="C7059" i="2"/>
  <c r="B7059" i="2"/>
  <c r="C7058" i="2"/>
  <c r="B7058" i="2"/>
  <c r="C7057" i="2"/>
  <c r="B7057" i="2"/>
  <c r="C7056" i="2"/>
  <c r="B7056" i="2"/>
  <c r="C7055" i="2"/>
  <c r="B7055" i="2"/>
  <c r="C7054" i="2"/>
  <c r="B7054" i="2"/>
  <c r="C7053" i="2"/>
  <c r="B7053" i="2"/>
  <c r="C7052" i="2"/>
  <c r="B7052" i="2"/>
  <c r="C7051" i="2"/>
  <c r="B7051" i="2"/>
  <c r="C7050" i="2"/>
  <c r="B7050" i="2"/>
  <c r="C7049" i="2"/>
  <c r="B7049" i="2"/>
  <c r="C7048" i="2"/>
  <c r="B7048" i="2"/>
  <c r="C7047" i="2"/>
  <c r="B7047" i="2"/>
  <c r="C7046" i="2"/>
  <c r="B7046" i="2"/>
  <c r="C7045" i="2"/>
  <c r="B7045" i="2"/>
  <c r="C7044" i="2"/>
  <c r="B7044" i="2"/>
  <c r="C7043" i="2"/>
  <c r="B7043" i="2"/>
  <c r="C7042" i="2"/>
  <c r="B7042" i="2"/>
  <c r="C7041" i="2"/>
  <c r="B7041" i="2"/>
  <c r="C7040" i="2"/>
  <c r="B7040" i="2"/>
  <c r="C7039" i="2"/>
  <c r="B7039" i="2"/>
  <c r="C7038" i="2"/>
  <c r="B7038" i="2"/>
  <c r="C7037" i="2"/>
  <c r="B7037" i="2"/>
  <c r="C7036" i="2"/>
  <c r="B7036" i="2"/>
  <c r="C7035" i="2"/>
  <c r="B7035" i="2"/>
  <c r="C7034" i="2"/>
  <c r="B7034" i="2"/>
  <c r="C7033" i="2"/>
  <c r="B7033" i="2"/>
  <c r="C7032" i="2"/>
  <c r="B7032" i="2"/>
  <c r="C7031" i="2"/>
  <c r="B7031" i="2"/>
  <c r="C7030" i="2"/>
  <c r="B7030" i="2"/>
  <c r="C7029" i="2"/>
  <c r="B7029" i="2"/>
  <c r="C7028" i="2"/>
  <c r="B7028" i="2"/>
  <c r="C7027" i="2"/>
  <c r="B7027" i="2"/>
  <c r="C7026" i="2"/>
  <c r="B7026" i="2"/>
  <c r="C7025" i="2"/>
  <c r="B7025" i="2"/>
  <c r="C7024" i="2"/>
  <c r="B7024" i="2"/>
  <c r="C7023" i="2"/>
  <c r="B7023" i="2"/>
  <c r="C7022" i="2"/>
  <c r="B7022" i="2"/>
  <c r="C7021" i="2"/>
  <c r="B7021" i="2"/>
  <c r="C7020" i="2"/>
  <c r="B7020" i="2"/>
  <c r="C7019" i="2"/>
  <c r="B7019" i="2"/>
  <c r="C7018" i="2"/>
  <c r="B7018" i="2"/>
  <c r="C7017" i="2"/>
  <c r="B7017" i="2"/>
  <c r="C7016" i="2"/>
  <c r="B7016" i="2"/>
  <c r="C7015" i="2"/>
  <c r="B7015" i="2"/>
  <c r="C7014" i="2"/>
  <c r="B7014" i="2"/>
  <c r="C7013" i="2"/>
  <c r="B7013" i="2"/>
  <c r="C7012" i="2"/>
  <c r="B7012" i="2"/>
  <c r="C7011" i="2"/>
  <c r="B7011" i="2"/>
  <c r="C7010" i="2"/>
  <c r="B7010" i="2"/>
  <c r="C7009" i="2"/>
  <c r="B7009" i="2"/>
  <c r="C7008" i="2"/>
  <c r="B7008" i="2"/>
  <c r="C7007" i="2"/>
  <c r="B7007" i="2"/>
  <c r="C7006" i="2"/>
  <c r="B7006" i="2"/>
  <c r="C7005" i="2"/>
  <c r="B7005" i="2"/>
  <c r="C7004" i="2"/>
  <c r="B7004" i="2"/>
  <c r="C7003" i="2"/>
  <c r="B7003" i="2"/>
  <c r="C7002" i="2"/>
  <c r="B7002" i="2"/>
  <c r="C7001" i="2"/>
  <c r="B7001" i="2"/>
  <c r="C7000" i="2"/>
  <c r="B7000" i="2"/>
  <c r="C6999" i="2"/>
  <c r="B6999" i="2"/>
  <c r="C6998" i="2"/>
  <c r="B6998" i="2"/>
  <c r="C6997" i="2"/>
  <c r="B6997" i="2"/>
  <c r="C6996" i="2"/>
  <c r="B6996" i="2"/>
  <c r="C6995" i="2"/>
  <c r="B6995" i="2"/>
  <c r="C6994" i="2"/>
  <c r="B6994" i="2"/>
  <c r="C6993" i="2"/>
  <c r="B6993" i="2"/>
  <c r="C6992" i="2"/>
  <c r="B6992" i="2"/>
  <c r="C6991" i="2"/>
  <c r="B6991" i="2"/>
  <c r="C6990" i="2"/>
  <c r="B6990" i="2"/>
  <c r="C6989" i="2"/>
  <c r="B6989" i="2"/>
  <c r="C6988" i="2"/>
  <c r="B6988" i="2"/>
  <c r="C6987" i="2"/>
  <c r="B6987" i="2"/>
  <c r="C6986" i="2"/>
  <c r="B6986" i="2"/>
  <c r="C6985" i="2"/>
  <c r="B6985" i="2"/>
  <c r="C6984" i="2"/>
  <c r="B6984" i="2"/>
  <c r="C6983" i="2"/>
  <c r="B6983" i="2"/>
  <c r="C6982" i="2"/>
  <c r="B6982" i="2"/>
  <c r="C6981" i="2"/>
  <c r="B6981" i="2"/>
  <c r="C6980" i="2"/>
  <c r="B6980" i="2"/>
  <c r="C6979" i="2"/>
  <c r="B6979" i="2"/>
  <c r="C6978" i="2"/>
  <c r="B6978" i="2"/>
  <c r="C6977" i="2"/>
  <c r="B6977" i="2"/>
  <c r="C6976" i="2"/>
  <c r="B6976" i="2"/>
  <c r="C6975" i="2"/>
  <c r="B6975" i="2"/>
  <c r="C6974" i="2"/>
  <c r="B6974" i="2"/>
  <c r="C6973" i="2"/>
  <c r="B6973" i="2"/>
  <c r="C6972" i="2"/>
  <c r="B6972" i="2"/>
  <c r="C6971" i="2"/>
  <c r="B6971" i="2"/>
  <c r="C6970" i="2"/>
  <c r="B6970" i="2"/>
  <c r="C6969" i="2"/>
  <c r="B6969" i="2"/>
  <c r="C6968" i="2"/>
  <c r="B6968" i="2"/>
  <c r="C6967" i="2"/>
  <c r="B6967" i="2"/>
  <c r="C6966" i="2"/>
  <c r="B6966" i="2"/>
  <c r="C6965" i="2"/>
  <c r="B6965" i="2"/>
  <c r="C6964" i="2"/>
  <c r="B6964" i="2"/>
  <c r="C6963" i="2"/>
  <c r="B6963" i="2"/>
  <c r="C6962" i="2"/>
  <c r="B6962" i="2"/>
  <c r="C6961" i="2"/>
  <c r="B6961" i="2"/>
  <c r="C6960" i="2"/>
  <c r="B6960" i="2"/>
  <c r="C6959" i="2"/>
  <c r="B6959" i="2"/>
  <c r="C6958" i="2"/>
  <c r="B6958" i="2"/>
  <c r="C6957" i="2"/>
  <c r="B6957" i="2"/>
  <c r="C6956" i="2"/>
  <c r="B6956" i="2"/>
  <c r="C6955" i="2"/>
  <c r="B6955" i="2"/>
  <c r="C6954" i="2"/>
  <c r="B6954" i="2"/>
  <c r="C6953" i="2"/>
  <c r="B6953" i="2"/>
  <c r="C6952" i="2"/>
  <c r="B6952" i="2"/>
  <c r="C6951" i="2"/>
  <c r="B6951" i="2"/>
  <c r="C6950" i="2"/>
  <c r="B6950" i="2"/>
  <c r="C6949" i="2"/>
  <c r="B6949" i="2"/>
  <c r="C6948" i="2"/>
  <c r="B6948" i="2"/>
  <c r="C6947" i="2"/>
  <c r="B6947" i="2"/>
  <c r="C6946" i="2"/>
  <c r="B6946" i="2"/>
  <c r="C6945" i="2"/>
  <c r="B6945" i="2"/>
  <c r="C6944" i="2"/>
  <c r="B6944" i="2"/>
  <c r="C6943" i="2"/>
  <c r="B6943" i="2"/>
  <c r="C6942" i="2"/>
  <c r="B6942" i="2"/>
  <c r="C6941" i="2"/>
  <c r="B6941" i="2"/>
  <c r="C6940" i="2"/>
  <c r="B6940" i="2"/>
  <c r="C6939" i="2"/>
  <c r="B6939" i="2"/>
  <c r="C6938" i="2"/>
  <c r="B6938" i="2"/>
  <c r="C6937" i="2"/>
  <c r="B6937" i="2"/>
  <c r="C6936" i="2"/>
  <c r="B6936" i="2"/>
  <c r="C6935" i="2"/>
  <c r="B6935" i="2"/>
  <c r="C6934" i="2"/>
  <c r="B6934" i="2"/>
  <c r="C6933" i="2"/>
  <c r="B6933" i="2"/>
  <c r="C6932" i="2"/>
  <c r="B6932" i="2"/>
  <c r="C6931" i="2"/>
  <c r="B6931" i="2"/>
  <c r="C6930" i="2"/>
  <c r="B6930" i="2"/>
  <c r="C6929" i="2"/>
  <c r="B6929" i="2"/>
  <c r="C6928" i="2"/>
  <c r="B6928" i="2"/>
  <c r="C6927" i="2"/>
  <c r="B6927" i="2"/>
  <c r="C6926" i="2"/>
  <c r="B6926" i="2"/>
  <c r="C6925" i="2"/>
  <c r="B6925" i="2"/>
  <c r="C6924" i="2"/>
  <c r="B6924" i="2"/>
  <c r="C6923" i="2"/>
  <c r="B6923" i="2"/>
  <c r="C6922" i="2"/>
  <c r="B6922" i="2"/>
  <c r="C6921" i="2"/>
  <c r="B6921" i="2"/>
  <c r="C6920" i="2"/>
  <c r="B6920" i="2"/>
  <c r="C6919" i="2"/>
  <c r="B6919" i="2"/>
  <c r="C6918" i="2"/>
  <c r="B6918" i="2"/>
  <c r="C6917" i="2"/>
  <c r="B6917" i="2"/>
  <c r="C6916" i="2"/>
  <c r="B6916" i="2"/>
  <c r="C6915" i="2"/>
  <c r="B6915" i="2"/>
  <c r="C6914" i="2"/>
  <c r="B6914" i="2"/>
  <c r="C6913" i="2"/>
  <c r="B6913" i="2"/>
  <c r="C6912" i="2"/>
  <c r="B6912" i="2"/>
  <c r="C6911" i="2"/>
  <c r="B6911" i="2"/>
  <c r="C6910" i="2"/>
  <c r="B6910" i="2"/>
  <c r="C6909" i="2"/>
  <c r="B6909" i="2"/>
  <c r="C6908" i="2"/>
  <c r="B6908" i="2"/>
  <c r="C6907" i="2"/>
  <c r="B6907" i="2"/>
  <c r="C6906" i="2"/>
  <c r="B6906" i="2"/>
  <c r="C6905" i="2"/>
  <c r="B6905" i="2"/>
  <c r="C6904" i="2"/>
  <c r="B6904" i="2"/>
  <c r="C6903" i="2"/>
  <c r="B6903" i="2"/>
  <c r="C6902" i="2"/>
  <c r="B6902" i="2"/>
  <c r="C6901" i="2"/>
  <c r="B6901" i="2"/>
  <c r="C6900" i="2"/>
  <c r="B6900" i="2"/>
  <c r="C6899" i="2"/>
  <c r="B6899" i="2"/>
  <c r="C6898" i="2"/>
  <c r="B6898" i="2"/>
  <c r="C6897" i="2"/>
  <c r="B6897" i="2"/>
  <c r="C6896" i="2"/>
  <c r="B6896" i="2"/>
  <c r="C6895" i="2"/>
  <c r="B6895" i="2"/>
  <c r="C6894" i="2"/>
  <c r="B6894" i="2"/>
  <c r="C6893" i="2"/>
  <c r="B6893" i="2"/>
  <c r="C6892" i="2"/>
  <c r="B6892" i="2"/>
  <c r="C6891" i="2"/>
  <c r="B6891" i="2"/>
  <c r="C6890" i="2"/>
  <c r="B6890" i="2"/>
  <c r="C6889" i="2"/>
  <c r="B6889" i="2"/>
  <c r="C6888" i="2"/>
  <c r="B6888" i="2"/>
  <c r="C6887" i="2"/>
  <c r="B6887" i="2"/>
  <c r="C6886" i="2"/>
  <c r="B6886" i="2"/>
  <c r="C6885" i="2"/>
  <c r="B6885" i="2"/>
  <c r="C6884" i="2"/>
  <c r="B6884" i="2"/>
  <c r="C6883" i="2"/>
  <c r="B6883" i="2"/>
  <c r="C6882" i="2"/>
  <c r="B6882" i="2"/>
  <c r="C6881" i="2"/>
  <c r="B6881" i="2"/>
  <c r="C6880" i="2"/>
  <c r="B6880" i="2"/>
  <c r="C6879" i="2"/>
  <c r="B6879" i="2"/>
  <c r="C6878" i="2"/>
  <c r="B6878" i="2"/>
  <c r="C6877" i="2"/>
  <c r="B6877" i="2"/>
  <c r="C6876" i="2"/>
  <c r="B6876" i="2"/>
  <c r="C6875" i="2"/>
  <c r="B6875" i="2"/>
  <c r="C6874" i="2"/>
  <c r="B6874" i="2"/>
  <c r="C6873" i="2"/>
  <c r="B6873" i="2"/>
  <c r="C6872" i="2"/>
  <c r="B6872" i="2"/>
  <c r="C6871" i="2"/>
  <c r="B6871" i="2"/>
  <c r="C6870" i="2"/>
  <c r="B6870" i="2"/>
  <c r="C6869" i="2"/>
  <c r="B6869" i="2"/>
  <c r="C6868" i="2"/>
  <c r="B6868" i="2"/>
  <c r="C6867" i="2"/>
  <c r="B6867" i="2"/>
  <c r="C6866" i="2"/>
  <c r="B6866" i="2"/>
  <c r="C6865" i="2"/>
  <c r="B6865" i="2"/>
  <c r="C6864" i="2"/>
  <c r="B6864" i="2"/>
  <c r="C6863" i="2"/>
  <c r="B6863" i="2"/>
  <c r="C6862" i="2"/>
  <c r="B6862" i="2"/>
  <c r="C6861" i="2"/>
  <c r="B6861" i="2"/>
  <c r="C6860" i="2"/>
  <c r="B6860" i="2"/>
  <c r="C6859" i="2"/>
  <c r="B6859" i="2"/>
  <c r="C6858" i="2"/>
  <c r="B6858" i="2"/>
  <c r="C6857" i="2"/>
  <c r="B6857" i="2"/>
  <c r="C6856" i="2"/>
  <c r="B6856" i="2"/>
  <c r="C6855" i="2"/>
  <c r="B6855" i="2"/>
  <c r="C6854" i="2"/>
  <c r="B6854" i="2"/>
  <c r="C6853" i="2"/>
  <c r="B6853" i="2"/>
  <c r="C6852" i="2"/>
  <c r="B6852" i="2"/>
  <c r="C6851" i="2"/>
  <c r="B6851" i="2"/>
  <c r="C6850" i="2"/>
  <c r="B6850" i="2"/>
  <c r="C6849" i="2"/>
  <c r="B6849" i="2"/>
  <c r="C6848" i="2"/>
  <c r="B6848" i="2"/>
  <c r="C6847" i="2"/>
  <c r="B6847" i="2"/>
  <c r="C6846" i="2"/>
  <c r="B6846" i="2"/>
  <c r="C6845" i="2"/>
  <c r="B6845" i="2"/>
  <c r="C6844" i="2"/>
  <c r="B6844" i="2"/>
  <c r="C6843" i="2"/>
  <c r="B6843" i="2"/>
  <c r="C6842" i="2"/>
  <c r="B6842" i="2"/>
  <c r="C6841" i="2"/>
  <c r="B6841" i="2"/>
  <c r="C6840" i="2"/>
  <c r="B6840" i="2"/>
  <c r="C6839" i="2"/>
  <c r="B6839" i="2"/>
  <c r="C6838" i="2"/>
  <c r="B6838" i="2"/>
  <c r="C6837" i="2"/>
  <c r="B6837" i="2"/>
  <c r="C6836" i="2"/>
  <c r="B6836" i="2"/>
  <c r="C6835" i="2"/>
  <c r="B6835" i="2"/>
  <c r="C6834" i="2"/>
  <c r="B6834" i="2"/>
  <c r="C6833" i="2"/>
  <c r="B6833" i="2"/>
  <c r="C6832" i="2"/>
  <c r="B6832" i="2"/>
  <c r="C6831" i="2"/>
  <c r="B6831" i="2"/>
  <c r="C6830" i="2"/>
  <c r="B6830" i="2"/>
  <c r="C6829" i="2"/>
  <c r="B6829" i="2"/>
  <c r="C6828" i="2"/>
  <c r="B6828" i="2"/>
  <c r="C6827" i="2"/>
  <c r="B6827" i="2"/>
  <c r="C6826" i="2"/>
  <c r="B6826" i="2"/>
  <c r="C6825" i="2"/>
  <c r="B6825" i="2"/>
  <c r="C6824" i="2"/>
  <c r="B6824" i="2"/>
  <c r="C6823" i="2"/>
  <c r="B6823" i="2"/>
  <c r="C6822" i="2"/>
  <c r="B6822" i="2"/>
  <c r="C6821" i="2"/>
  <c r="B6821" i="2"/>
  <c r="C6820" i="2"/>
  <c r="B6820" i="2"/>
  <c r="C6819" i="2"/>
  <c r="B6819" i="2"/>
  <c r="C6818" i="2"/>
  <c r="B6818" i="2"/>
  <c r="C6817" i="2"/>
  <c r="B6817" i="2"/>
  <c r="C6816" i="2"/>
  <c r="B6816" i="2"/>
  <c r="C6815" i="2"/>
  <c r="B6815" i="2"/>
  <c r="C6814" i="2"/>
  <c r="B6814" i="2"/>
  <c r="C6813" i="2"/>
  <c r="B6813" i="2"/>
  <c r="C6812" i="2"/>
  <c r="B6812" i="2"/>
  <c r="C6811" i="2"/>
  <c r="B6811" i="2"/>
  <c r="C6810" i="2"/>
  <c r="B6810" i="2"/>
  <c r="C6809" i="2"/>
  <c r="B6809" i="2"/>
  <c r="C6808" i="2"/>
  <c r="B6808" i="2"/>
  <c r="C6807" i="2"/>
  <c r="B6807" i="2"/>
  <c r="C6806" i="2"/>
  <c r="B6806" i="2"/>
  <c r="C6805" i="2"/>
  <c r="B6805" i="2"/>
  <c r="C6804" i="2"/>
  <c r="B6804" i="2"/>
  <c r="C6803" i="2"/>
  <c r="B6803" i="2"/>
  <c r="C6802" i="2"/>
  <c r="B6802" i="2"/>
  <c r="C6801" i="2"/>
  <c r="B6801" i="2"/>
  <c r="C6800" i="2"/>
  <c r="B6800" i="2"/>
  <c r="C6799" i="2"/>
  <c r="B6799" i="2"/>
  <c r="C6798" i="2"/>
  <c r="B6798" i="2"/>
  <c r="C6797" i="2"/>
  <c r="B6797" i="2"/>
  <c r="C6796" i="2"/>
  <c r="B6796" i="2"/>
  <c r="C6795" i="2"/>
  <c r="B6795" i="2"/>
  <c r="C6794" i="2"/>
  <c r="B6794" i="2"/>
  <c r="C6793" i="2"/>
  <c r="B6793" i="2"/>
  <c r="C6792" i="2"/>
  <c r="B6792" i="2"/>
  <c r="C6791" i="2"/>
  <c r="B6791" i="2"/>
  <c r="C6790" i="2"/>
  <c r="B6790" i="2"/>
  <c r="C6789" i="2"/>
  <c r="B6789" i="2"/>
  <c r="C6788" i="2"/>
  <c r="B6788" i="2"/>
  <c r="C6787" i="2"/>
  <c r="B6787" i="2"/>
  <c r="C6786" i="2"/>
  <c r="B6786" i="2"/>
  <c r="C6785" i="2"/>
  <c r="B6785" i="2"/>
  <c r="C6784" i="2"/>
  <c r="B6784" i="2"/>
  <c r="C6783" i="2"/>
  <c r="B6783" i="2"/>
  <c r="C6782" i="2"/>
  <c r="B6782" i="2"/>
  <c r="C6781" i="2"/>
  <c r="B6781" i="2"/>
  <c r="C6780" i="2"/>
  <c r="B6780" i="2"/>
  <c r="C6779" i="2"/>
  <c r="B6779" i="2"/>
  <c r="C6778" i="2"/>
  <c r="B6778" i="2"/>
  <c r="C6777" i="2"/>
  <c r="B6777" i="2"/>
  <c r="C6776" i="2"/>
  <c r="B6776" i="2"/>
  <c r="C6775" i="2"/>
  <c r="B6775" i="2"/>
  <c r="C6774" i="2"/>
  <c r="B6774" i="2"/>
  <c r="C6773" i="2"/>
  <c r="B6773" i="2"/>
  <c r="C6772" i="2"/>
  <c r="B6772" i="2"/>
  <c r="C6771" i="2"/>
  <c r="B6771" i="2"/>
  <c r="C6770" i="2"/>
  <c r="B6770" i="2"/>
  <c r="C6769" i="2"/>
  <c r="B6769" i="2"/>
  <c r="C6768" i="2"/>
  <c r="B6768" i="2"/>
  <c r="C6767" i="2"/>
  <c r="B6767" i="2"/>
  <c r="C6766" i="2"/>
  <c r="B6766" i="2"/>
  <c r="C6765" i="2"/>
  <c r="B6765" i="2"/>
  <c r="C6764" i="2"/>
  <c r="B6764" i="2"/>
  <c r="C6763" i="2"/>
  <c r="B6763" i="2"/>
  <c r="C6762" i="2"/>
  <c r="B6762" i="2"/>
  <c r="C6761" i="2"/>
  <c r="B6761" i="2"/>
  <c r="C6760" i="2"/>
  <c r="B6760" i="2"/>
  <c r="C6759" i="2"/>
  <c r="B6759" i="2"/>
  <c r="C6758" i="2"/>
  <c r="B6758" i="2"/>
  <c r="C6757" i="2"/>
  <c r="B6757" i="2"/>
  <c r="C6756" i="2"/>
  <c r="B6756" i="2"/>
  <c r="C6755" i="2"/>
  <c r="B6755" i="2"/>
  <c r="C6754" i="2"/>
  <c r="B6754" i="2"/>
  <c r="C6753" i="2"/>
  <c r="B6753" i="2"/>
  <c r="C6752" i="2"/>
  <c r="B6752" i="2"/>
  <c r="C6751" i="2"/>
  <c r="B6751" i="2"/>
  <c r="C6750" i="2"/>
  <c r="B6750" i="2"/>
  <c r="C6749" i="2"/>
  <c r="B6749" i="2"/>
  <c r="C6748" i="2"/>
  <c r="B6748" i="2"/>
  <c r="C6747" i="2"/>
  <c r="B6747" i="2"/>
  <c r="C6746" i="2"/>
  <c r="B6746" i="2"/>
  <c r="C6745" i="2"/>
  <c r="B6745" i="2"/>
  <c r="C6744" i="2"/>
  <c r="B6744" i="2"/>
  <c r="C6743" i="2"/>
  <c r="B6743" i="2"/>
  <c r="C6742" i="2"/>
  <c r="B6742" i="2"/>
  <c r="C6741" i="2"/>
  <c r="B6741" i="2"/>
  <c r="C6740" i="2"/>
  <c r="B6740" i="2"/>
  <c r="C6739" i="2"/>
  <c r="B6739" i="2"/>
  <c r="C6738" i="2"/>
  <c r="B6738" i="2"/>
  <c r="C6737" i="2"/>
  <c r="B6737" i="2"/>
  <c r="C6736" i="2"/>
  <c r="B6736" i="2"/>
  <c r="C6735" i="2"/>
  <c r="B6735" i="2"/>
  <c r="C6734" i="2"/>
  <c r="B6734" i="2"/>
  <c r="C6733" i="2"/>
  <c r="B6733" i="2"/>
  <c r="C6732" i="2"/>
  <c r="B6732" i="2"/>
  <c r="C6731" i="2"/>
  <c r="B6731" i="2"/>
  <c r="C6730" i="2"/>
  <c r="B6730" i="2"/>
  <c r="C6729" i="2"/>
  <c r="B6729" i="2"/>
  <c r="C6728" i="2"/>
  <c r="B6728" i="2"/>
  <c r="C6727" i="2"/>
  <c r="B6727" i="2"/>
  <c r="C6726" i="2"/>
  <c r="B6726" i="2"/>
  <c r="C6725" i="2"/>
  <c r="B6725" i="2"/>
  <c r="C6724" i="2"/>
  <c r="B6724" i="2"/>
  <c r="C6723" i="2"/>
  <c r="B6723" i="2"/>
  <c r="C6722" i="2"/>
  <c r="B6722" i="2"/>
  <c r="C6721" i="2"/>
  <c r="B6721" i="2"/>
  <c r="C6720" i="2"/>
  <c r="B6720" i="2"/>
  <c r="C6719" i="2"/>
  <c r="B6719" i="2"/>
  <c r="C6718" i="2"/>
  <c r="B6718" i="2"/>
  <c r="C6717" i="2"/>
  <c r="B6717" i="2"/>
  <c r="C6716" i="2"/>
  <c r="B6716" i="2"/>
  <c r="C6715" i="2"/>
  <c r="B6715" i="2"/>
  <c r="C6714" i="2"/>
  <c r="B6714" i="2"/>
  <c r="C6713" i="2"/>
  <c r="B6713" i="2"/>
  <c r="C6712" i="2"/>
  <c r="B6712" i="2"/>
  <c r="C6711" i="2"/>
  <c r="B6711" i="2"/>
  <c r="C6710" i="2"/>
  <c r="B6710" i="2"/>
  <c r="C6709" i="2"/>
  <c r="B6709" i="2"/>
  <c r="C6708" i="2"/>
  <c r="B6708" i="2"/>
  <c r="C6707" i="2"/>
  <c r="B6707" i="2"/>
  <c r="C6706" i="2"/>
  <c r="B6706" i="2"/>
  <c r="C6705" i="2"/>
  <c r="B6705" i="2"/>
  <c r="C6704" i="2"/>
  <c r="B6704" i="2"/>
  <c r="C6703" i="2"/>
  <c r="B6703" i="2"/>
  <c r="C6702" i="2"/>
  <c r="B6702" i="2"/>
  <c r="C6701" i="2"/>
  <c r="B6701" i="2"/>
  <c r="C6700" i="2"/>
  <c r="B6700" i="2"/>
  <c r="C6699" i="2"/>
  <c r="B6699" i="2"/>
  <c r="C6698" i="2"/>
  <c r="B6698" i="2"/>
  <c r="C6697" i="2"/>
  <c r="B6697" i="2"/>
  <c r="C6696" i="2"/>
  <c r="B6696" i="2"/>
  <c r="C6695" i="2"/>
  <c r="B6695" i="2"/>
  <c r="C6694" i="2"/>
  <c r="B6694" i="2"/>
  <c r="C6693" i="2"/>
  <c r="B6693" i="2"/>
  <c r="C6692" i="2"/>
  <c r="B6692" i="2"/>
  <c r="C6691" i="2"/>
  <c r="B6691" i="2"/>
  <c r="C6690" i="2"/>
  <c r="B6690" i="2"/>
  <c r="C6689" i="2"/>
  <c r="B6689" i="2"/>
  <c r="C6688" i="2"/>
  <c r="B6688" i="2"/>
  <c r="C6687" i="2"/>
  <c r="B6687" i="2"/>
  <c r="C6686" i="2"/>
  <c r="B6686" i="2"/>
  <c r="C6685" i="2"/>
  <c r="B6685" i="2"/>
  <c r="C6684" i="2"/>
  <c r="B6684" i="2"/>
  <c r="C6683" i="2"/>
  <c r="B6683" i="2"/>
  <c r="C6682" i="2"/>
  <c r="B6682" i="2"/>
  <c r="C6681" i="2"/>
  <c r="B6681" i="2"/>
  <c r="C6680" i="2"/>
  <c r="B6680" i="2"/>
  <c r="C6679" i="2"/>
  <c r="B6679" i="2"/>
  <c r="C6678" i="2"/>
  <c r="B6678" i="2"/>
  <c r="C6677" i="2"/>
  <c r="B6677" i="2"/>
  <c r="C6676" i="2"/>
  <c r="B6676" i="2"/>
  <c r="C6675" i="2"/>
  <c r="B6675" i="2"/>
  <c r="C6674" i="2"/>
  <c r="B6674" i="2"/>
  <c r="C6673" i="2"/>
  <c r="B6673" i="2"/>
  <c r="C6672" i="2"/>
  <c r="B6672" i="2"/>
  <c r="C6671" i="2"/>
  <c r="B6671" i="2"/>
  <c r="C6670" i="2"/>
  <c r="B6670" i="2"/>
  <c r="C6669" i="2"/>
  <c r="B6669" i="2"/>
  <c r="C6668" i="2"/>
  <c r="B6668" i="2"/>
  <c r="C6667" i="2"/>
  <c r="B6667" i="2"/>
  <c r="C6666" i="2"/>
  <c r="B6666" i="2"/>
  <c r="C6665" i="2"/>
  <c r="B6665" i="2"/>
  <c r="C6664" i="2"/>
  <c r="B6664" i="2"/>
  <c r="C6663" i="2"/>
  <c r="B6663" i="2"/>
  <c r="C6662" i="2"/>
  <c r="B6662" i="2"/>
  <c r="C6661" i="2"/>
  <c r="B6661" i="2"/>
  <c r="C6660" i="2"/>
  <c r="B6660" i="2"/>
  <c r="C6659" i="2"/>
  <c r="B6659" i="2"/>
  <c r="C6658" i="2"/>
  <c r="B6658" i="2"/>
  <c r="C6657" i="2"/>
  <c r="B6657" i="2"/>
  <c r="C6656" i="2"/>
  <c r="B6656" i="2"/>
  <c r="C6655" i="2"/>
  <c r="B6655" i="2"/>
  <c r="C6654" i="2"/>
  <c r="B6654" i="2"/>
  <c r="C6653" i="2"/>
  <c r="B6653" i="2"/>
  <c r="C6652" i="2"/>
  <c r="B6652" i="2"/>
  <c r="C6651" i="2"/>
  <c r="B6651" i="2"/>
  <c r="C6650" i="2"/>
  <c r="B6650" i="2"/>
  <c r="C6649" i="2"/>
  <c r="B6649" i="2"/>
  <c r="C6648" i="2"/>
  <c r="B6648" i="2"/>
  <c r="C6647" i="2"/>
  <c r="B6647" i="2"/>
  <c r="C6646" i="2"/>
  <c r="B6646" i="2"/>
  <c r="C6645" i="2"/>
  <c r="B6645" i="2"/>
  <c r="C6644" i="2"/>
  <c r="B6644" i="2"/>
  <c r="C6643" i="2"/>
  <c r="B6643" i="2"/>
  <c r="C6642" i="2"/>
  <c r="B6642" i="2"/>
  <c r="C6641" i="2"/>
  <c r="B6641" i="2"/>
  <c r="C6640" i="2"/>
  <c r="B6640" i="2"/>
  <c r="C6639" i="2"/>
  <c r="B6639" i="2"/>
  <c r="C6638" i="2"/>
  <c r="B6638" i="2"/>
  <c r="C6637" i="2"/>
  <c r="B6637" i="2"/>
  <c r="C6636" i="2"/>
  <c r="B6636" i="2"/>
  <c r="C6635" i="2"/>
  <c r="B6635" i="2"/>
  <c r="C6634" i="2"/>
  <c r="B6634" i="2"/>
  <c r="C6633" i="2"/>
  <c r="B6633" i="2"/>
  <c r="C6632" i="2"/>
  <c r="B6632" i="2"/>
  <c r="C6631" i="2"/>
  <c r="B6631" i="2"/>
  <c r="C6630" i="2"/>
  <c r="B6630" i="2"/>
  <c r="C6629" i="2"/>
  <c r="B6629" i="2"/>
  <c r="C6628" i="2"/>
  <c r="B6628" i="2"/>
  <c r="C6627" i="2"/>
  <c r="B6627" i="2"/>
  <c r="C6626" i="2"/>
  <c r="B6626" i="2"/>
  <c r="C6625" i="2"/>
  <c r="B6625" i="2"/>
  <c r="C6624" i="2"/>
  <c r="B6624" i="2"/>
  <c r="C6623" i="2"/>
  <c r="B6623" i="2"/>
  <c r="C6622" i="2"/>
  <c r="B6622" i="2"/>
  <c r="C6621" i="2"/>
  <c r="B6621" i="2"/>
  <c r="C6620" i="2"/>
  <c r="B6620" i="2"/>
  <c r="C6619" i="2"/>
  <c r="B6619" i="2"/>
  <c r="C6618" i="2"/>
  <c r="B6618" i="2"/>
  <c r="C6617" i="2"/>
  <c r="B6617" i="2"/>
  <c r="C6616" i="2"/>
  <c r="B6616" i="2"/>
  <c r="C6615" i="2"/>
  <c r="B6615" i="2"/>
  <c r="C6614" i="2"/>
  <c r="B6614" i="2"/>
  <c r="C6613" i="2"/>
  <c r="B6613" i="2"/>
  <c r="C6612" i="2"/>
  <c r="B6612" i="2"/>
  <c r="C6611" i="2"/>
  <c r="B6611" i="2"/>
  <c r="C6610" i="2"/>
  <c r="B6610" i="2"/>
  <c r="C6609" i="2"/>
  <c r="B6609" i="2"/>
  <c r="C6608" i="2"/>
  <c r="B6608" i="2"/>
  <c r="C6607" i="2"/>
  <c r="B6607" i="2"/>
  <c r="C6606" i="2"/>
  <c r="B6606" i="2"/>
  <c r="C6605" i="2"/>
  <c r="B6605" i="2"/>
  <c r="C6604" i="2"/>
  <c r="B6604" i="2"/>
  <c r="C6603" i="2"/>
  <c r="B6603" i="2"/>
  <c r="C6602" i="2"/>
  <c r="B6602" i="2"/>
  <c r="C6601" i="2"/>
  <c r="B6601" i="2"/>
  <c r="C6600" i="2"/>
  <c r="B6600" i="2"/>
  <c r="C6599" i="2"/>
  <c r="B6599" i="2"/>
  <c r="C6598" i="2"/>
  <c r="B6598" i="2"/>
  <c r="C6597" i="2"/>
  <c r="B6597" i="2"/>
  <c r="C6596" i="2"/>
  <c r="B6596" i="2"/>
  <c r="C6595" i="2"/>
  <c r="B6595" i="2"/>
  <c r="C6594" i="2"/>
  <c r="B6594" i="2"/>
  <c r="C6593" i="2"/>
  <c r="B6593" i="2"/>
  <c r="C6592" i="2"/>
  <c r="B6592" i="2"/>
  <c r="C6591" i="2"/>
  <c r="B6591" i="2"/>
  <c r="C6590" i="2"/>
  <c r="B6590" i="2"/>
  <c r="C6589" i="2"/>
  <c r="B6589" i="2"/>
  <c r="C6588" i="2"/>
  <c r="B6588" i="2"/>
  <c r="C6587" i="2"/>
  <c r="B6587" i="2"/>
  <c r="C6586" i="2"/>
  <c r="B6586" i="2"/>
  <c r="C6585" i="2"/>
  <c r="B6585" i="2"/>
  <c r="C6584" i="2"/>
  <c r="B6584" i="2"/>
  <c r="C6583" i="2"/>
  <c r="B6583" i="2"/>
  <c r="C6582" i="2"/>
  <c r="B6582" i="2"/>
  <c r="C6581" i="2"/>
  <c r="B6581" i="2"/>
  <c r="C6580" i="2"/>
  <c r="B6580" i="2"/>
  <c r="C6579" i="2"/>
  <c r="B6579" i="2"/>
  <c r="C6578" i="2"/>
  <c r="B6578" i="2"/>
  <c r="C6577" i="2"/>
  <c r="B6577" i="2"/>
  <c r="C6576" i="2"/>
  <c r="B6576" i="2"/>
  <c r="C6575" i="2"/>
  <c r="B6575" i="2"/>
  <c r="C6574" i="2"/>
  <c r="B6574" i="2"/>
  <c r="C6573" i="2"/>
  <c r="B6573" i="2"/>
  <c r="C6572" i="2"/>
  <c r="B6572" i="2"/>
  <c r="C6571" i="2"/>
  <c r="B6571" i="2"/>
  <c r="C6570" i="2"/>
  <c r="B6570" i="2"/>
  <c r="C6569" i="2"/>
  <c r="B6569" i="2"/>
  <c r="C6568" i="2"/>
  <c r="B6568" i="2"/>
  <c r="C6567" i="2"/>
  <c r="B6567" i="2"/>
  <c r="C6566" i="2"/>
  <c r="B6566" i="2"/>
  <c r="C6565" i="2"/>
  <c r="B6565" i="2"/>
  <c r="C6564" i="2"/>
  <c r="B6564" i="2"/>
  <c r="C6563" i="2"/>
  <c r="B6563" i="2"/>
  <c r="C6562" i="2"/>
  <c r="B6562" i="2"/>
  <c r="C6561" i="2"/>
  <c r="B6561" i="2"/>
  <c r="C6560" i="2"/>
  <c r="B6560" i="2"/>
  <c r="C6559" i="2"/>
  <c r="B6559" i="2"/>
  <c r="C6558" i="2"/>
  <c r="B6558" i="2"/>
  <c r="C6557" i="2"/>
  <c r="B6557" i="2"/>
  <c r="C6556" i="2"/>
  <c r="B6556" i="2"/>
  <c r="C6555" i="2"/>
  <c r="B6555" i="2"/>
  <c r="C6554" i="2"/>
  <c r="B6554" i="2"/>
  <c r="C6553" i="2"/>
  <c r="B6553" i="2"/>
  <c r="C6552" i="2"/>
  <c r="B6552" i="2"/>
  <c r="C6551" i="2"/>
  <c r="B6551" i="2"/>
  <c r="C6550" i="2"/>
  <c r="B6550" i="2"/>
  <c r="C6549" i="2"/>
  <c r="B6549" i="2"/>
  <c r="C6548" i="2"/>
  <c r="B6548" i="2"/>
  <c r="C6547" i="2"/>
  <c r="B6547" i="2"/>
  <c r="C6546" i="2"/>
  <c r="B6546" i="2"/>
  <c r="C6545" i="2"/>
  <c r="B6545" i="2"/>
  <c r="C6544" i="2"/>
  <c r="B6544" i="2"/>
  <c r="C6543" i="2"/>
  <c r="B6543" i="2"/>
  <c r="C6542" i="2"/>
  <c r="B6542" i="2"/>
  <c r="C6541" i="2"/>
  <c r="B6541" i="2"/>
  <c r="C6540" i="2"/>
  <c r="B6540" i="2"/>
  <c r="C6539" i="2"/>
  <c r="B6539" i="2"/>
  <c r="C6538" i="2"/>
  <c r="B6538" i="2"/>
  <c r="C6537" i="2"/>
  <c r="B6537" i="2"/>
  <c r="C6536" i="2"/>
  <c r="B6536" i="2"/>
  <c r="C6535" i="2"/>
  <c r="B6535" i="2"/>
  <c r="C6534" i="2"/>
  <c r="B6534" i="2"/>
  <c r="C6533" i="2"/>
  <c r="B6533" i="2"/>
  <c r="C6532" i="2"/>
  <c r="B6532" i="2"/>
  <c r="C6531" i="2"/>
  <c r="B6531" i="2"/>
  <c r="C6530" i="2"/>
  <c r="B6530" i="2"/>
  <c r="C6529" i="2"/>
  <c r="B6529" i="2"/>
  <c r="C6528" i="2"/>
  <c r="B6528" i="2"/>
  <c r="C6527" i="2"/>
  <c r="B6527" i="2"/>
  <c r="C6526" i="2"/>
  <c r="B6526" i="2"/>
  <c r="C6525" i="2"/>
  <c r="B6525" i="2"/>
  <c r="C6524" i="2"/>
  <c r="B6524" i="2"/>
  <c r="C6523" i="2"/>
  <c r="B6523" i="2"/>
  <c r="C6522" i="2"/>
  <c r="B6522" i="2"/>
  <c r="C6521" i="2"/>
  <c r="B6521" i="2"/>
  <c r="C6520" i="2"/>
  <c r="B6520" i="2"/>
  <c r="C6519" i="2"/>
  <c r="B6519" i="2"/>
  <c r="C6518" i="2"/>
  <c r="B6518" i="2"/>
  <c r="C6517" i="2"/>
  <c r="B6517" i="2"/>
  <c r="C6516" i="2"/>
  <c r="B6516" i="2"/>
  <c r="C6515" i="2"/>
  <c r="B6515" i="2"/>
  <c r="C6514" i="2"/>
  <c r="B6514" i="2"/>
  <c r="C6513" i="2"/>
  <c r="B6513" i="2"/>
  <c r="C6512" i="2"/>
  <c r="B6512" i="2"/>
  <c r="C6511" i="2"/>
  <c r="B6511" i="2"/>
  <c r="C6510" i="2"/>
  <c r="B6510" i="2"/>
  <c r="C6509" i="2"/>
  <c r="B6509" i="2"/>
  <c r="C6508" i="2"/>
  <c r="B6508" i="2"/>
  <c r="C6507" i="2"/>
  <c r="B6507" i="2"/>
  <c r="C6506" i="2"/>
  <c r="B6506" i="2"/>
  <c r="C6505" i="2"/>
  <c r="B6505" i="2"/>
  <c r="C6504" i="2"/>
  <c r="B6504" i="2"/>
  <c r="C6503" i="2"/>
  <c r="B6503" i="2"/>
  <c r="C6502" i="2"/>
  <c r="B6502" i="2"/>
  <c r="C6501" i="2"/>
  <c r="B6501" i="2"/>
  <c r="C6500" i="2"/>
  <c r="B6500" i="2"/>
  <c r="C6499" i="2"/>
  <c r="B6499" i="2"/>
  <c r="C6498" i="2"/>
  <c r="B6498" i="2"/>
  <c r="C6497" i="2"/>
  <c r="B6497" i="2"/>
  <c r="C6496" i="2"/>
  <c r="B6496" i="2"/>
  <c r="C6495" i="2"/>
  <c r="B6495" i="2"/>
  <c r="C6494" i="2"/>
  <c r="B6494" i="2"/>
  <c r="C6493" i="2"/>
  <c r="B6493" i="2"/>
  <c r="C6492" i="2"/>
  <c r="B6492" i="2"/>
  <c r="C6491" i="2"/>
  <c r="B6491" i="2"/>
  <c r="C6490" i="2"/>
  <c r="B6490" i="2"/>
  <c r="C6489" i="2"/>
  <c r="B6489" i="2"/>
  <c r="C6488" i="2"/>
  <c r="B6488" i="2"/>
  <c r="C6487" i="2"/>
  <c r="B6487" i="2"/>
  <c r="C6486" i="2"/>
  <c r="B6486" i="2"/>
  <c r="C6485" i="2"/>
  <c r="B6485" i="2"/>
  <c r="C6484" i="2"/>
  <c r="B6484" i="2"/>
  <c r="C6483" i="2"/>
  <c r="B6483" i="2"/>
  <c r="C6482" i="2"/>
  <c r="B6482" i="2"/>
  <c r="C6481" i="2"/>
  <c r="B6481" i="2"/>
  <c r="C6480" i="2"/>
  <c r="B6480" i="2"/>
  <c r="C6479" i="2"/>
  <c r="B6479" i="2"/>
  <c r="C6478" i="2"/>
  <c r="B6478" i="2"/>
  <c r="C6477" i="2"/>
  <c r="B6477" i="2"/>
  <c r="C6476" i="2"/>
  <c r="B6476" i="2"/>
  <c r="C6475" i="2"/>
  <c r="B6475" i="2"/>
  <c r="C6474" i="2"/>
  <c r="B6474" i="2"/>
  <c r="C6473" i="2"/>
  <c r="B6473" i="2"/>
  <c r="C6472" i="2"/>
  <c r="B6472" i="2"/>
  <c r="C6471" i="2"/>
  <c r="B6471" i="2"/>
  <c r="C6470" i="2"/>
  <c r="B6470" i="2"/>
  <c r="C6469" i="2"/>
  <c r="B6469" i="2"/>
  <c r="C6468" i="2"/>
  <c r="B6468" i="2"/>
  <c r="C6467" i="2"/>
  <c r="B6467" i="2"/>
  <c r="C6466" i="2"/>
  <c r="B6466" i="2"/>
  <c r="C6465" i="2"/>
  <c r="B6465" i="2"/>
  <c r="C6464" i="2"/>
  <c r="B6464" i="2"/>
  <c r="C6463" i="2"/>
  <c r="B6463" i="2"/>
  <c r="C6462" i="2"/>
  <c r="B6462" i="2"/>
  <c r="C6461" i="2"/>
  <c r="B6461" i="2"/>
  <c r="C6460" i="2"/>
  <c r="B6460" i="2"/>
  <c r="C6459" i="2"/>
  <c r="B6459" i="2"/>
  <c r="C6458" i="2"/>
  <c r="B6458" i="2"/>
  <c r="C6457" i="2"/>
  <c r="B6457" i="2"/>
  <c r="C6456" i="2"/>
  <c r="B6456" i="2"/>
  <c r="C6455" i="2"/>
  <c r="B6455" i="2"/>
  <c r="C6454" i="2"/>
  <c r="B6454" i="2"/>
  <c r="C6453" i="2"/>
  <c r="B6453" i="2"/>
  <c r="C6452" i="2"/>
  <c r="B6452" i="2"/>
  <c r="C6451" i="2"/>
  <c r="B6451" i="2"/>
  <c r="C6450" i="2"/>
  <c r="B6450" i="2"/>
  <c r="C6449" i="2"/>
  <c r="B6449" i="2"/>
  <c r="C6448" i="2"/>
  <c r="B6448" i="2"/>
  <c r="C6447" i="2"/>
  <c r="B6447" i="2"/>
  <c r="C6446" i="2"/>
  <c r="B6446" i="2"/>
  <c r="C6445" i="2"/>
  <c r="B6445" i="2"/>
  <c r="C6444" i="2"/>
  <c r="B6444" i="2"/>
  <c r="C6443" i="2"/>
  <c r="B6443" i="2"/>
  <c r="C6442" i="2"/>
  <c r="B6442" i="2"/>
  <c r="C6441" i="2"/>
  <c r="B6441" i="2"/>
  <c r="C6440" i="2"/>
  <c r="B6440" i="2"/>
  <c r="C6439" i="2"/>
  <c r="B6439" i="2"/>
  <c r="C6438" i="2"/>
  <c r="B6438" i="2"/>
  <c r="C6437" i="2"/>
  <c r="B6437" i="2"/>
  <c r="C6436" i="2"/>
  <c r="B6436" i="2"/>
  <c r="C6435" i="2"/>
  <c r="B6435" i="2"/>
  <c r="C6434" i="2"/>
  <c r="B6434" i="2"/>
  <c r="C6433" i="2"/>
  <c r="B6433" i="2"/>
  <c r="C6432" i="2"/>
  <c r="B6432" i="2"/>
  <c r="C6431" i="2"/>
  <c r="B6431" i="2"/>
  <c r="C6430" i="2"/>
  <c r="B6430" i="2"/>
  <c r="C6429" i="2"/>
  <c r="B6429" i="2"/>
  <c r="C6428" i="2"/>
  <c r="B6428" i="2"/>
  <c r="C6427" i="2"/>
  <c r="B6427" i="2"/>
  <c r="C6426" i="2"/>
  <c r="B6426" i="2"/>
  <c r="C6425" i="2"/>
  <c r="B6425" i="2"/>
  <c r="C6424" i="2"/>
  <c r="B6424" i="2"/>
  <c r="C6423" i="2"/>
  <c r="B6423" i="2"/>
  <c r="C6422" i="2"/>
  <c r="B6422" i="2"/>
  <c r="C6421" i="2"/>
  <c r="B6421" i="2"/>
  <c r="C6420" i="2"/>
  <c r="B6420" i="2"/>
  <c r="C6419" i="2"/>
  <c r="B6419" i="2"/>
  <c r="C6418" i="2"/>
  <c r="B6418" i="2"/>
  <c r="C6417" i="2"/>
  <c r="B6417" i="2"/>
  <c r="C6416" i="2"/>
  <c r="B6416" i="2"/>
  <c r="C6415" i="2"/>
  <c r="B6415" i="2"/>
  <c r="C6414" i="2"/>
  <c r="B6414" i="2"/>
  <c r="C6413" i="2"/>
  <c r="B6413" i="2"/>
  <c r="C6412" i="2"/>
  <c r="B6412" i="2"/>
  <c r="C6411" i="2"/>
  <c r="B6411" i="2"/>
  <c r="C6410" i="2"/>
  <c r="B6410" i="2"/>
  <c r="C6409" i="2"/>
  <c r="B6409" i="2"/>
  <c r="C6408" i="2"/>
  <c r="B6408" i="2"/>
  <c r="C6407" i="2"/>
  <c r="B6407" i="2"/>
  <c r="C6406" i="2"/>
  <c r="B6406" i="2"/>
  <c r="C6405" i="2"/>
  <c r="B6405" i="2"/>
  <c r="C6404" i="2"/>
  <c r="B6404" i="2"/>
  <c r="C6403" i="2"/>
  <c r="B6403" i="2"/>
  <c r="C6402" i="2"/>
  <c r="B6402" i="2"/>
  <c r="C6401" i="2"/>
  <c r="B6401" i="2"/>
  <c r="C6400" i="2"/>
  <c r="B6400" i="2"/>
  <c r="C6399" i="2"/>
  <c r="B6399" i="2"/>
  <c r="C6398" i="2"/>
  <c r="B6398" i="2"/>
  <c r="C6397" i="2"/>
  <c r="B6397" i="2"/>
  <c r="C6396" i="2"/>
  <c r="B6396" i="2"/>
  <c r="C6395" i="2"/>
  <c r="B6395" i="2"/>
  <c r="C6394" i="2"/>
  <c r="B6394" i="2"/>
  <c r="C6393" i="2"/>
  <c r="B6393" i="2"/>
  <c r="C6392" i="2"/>
  <c r="B6392" i="2"/>
  <c r="C6391" i="2"/>
  <c r="B6391" i="2"/>
  <c r="C6390" i="2"/>
  <c r="B6390" i="2"/>
  <c r="C6389" i="2"/>
  <c r="B6389" i="2"/>
  <c r="C6388" i="2"/>
  <c r="B6388" i="2"/>
  <c r="C6387" i="2"/>
  <c r="B6387" i="2"/>
  <c r="C6386" i="2"/>
  <c r="B6386" i="2"/>
  <c r="C6385" i="2"/>
  <c r="B6385" i="2"/>
  <c r="C6384" i="2"/>
  <c r="B6384" i="2"/>
  <c r="C6383" i="2"/>
  <c r="B6383" i="2"/>
  <c r="C6382" i="2"/>
  <c r="B6382" i="2"/>
  <c r="C6381" i="2"/>
  <c r="B6381" i="2"/>
  <c r="C6380" i="2"/>
  <c r="B6380" i="2"/>
  <c r="C6379" i="2"/>
  <c r="B6379" i="2"/>
  <c r="C6378" i="2"/>
  <c r="B6378" i="2"/>
  <c r="C6377" i="2"/>
  <c r="B6377" i="2"/>
  <c r="C6376" i="2"/>
  <c r="B6376" i="2"/>
  <c r="C6375" i="2"/>
  <c r="B6375" i="2"/>
  <c r="C6374" i="2"/>
  <c r="B6374" i="2"/>
  <c r="C6373" i="2"/>
  <c r="B6373" i="2"/>
  <c r="C6372" i="2"/>
  <c r="B6372" i="2"/>
  <c r="C6371" i="2"/>
  <c r="B6371" i="2"/>
  <c r="C6370" i="2"/>
  <c r="B6370" i="2"/>
  <c r="C6369" i="2"/>
  <c r="B6369" i="2"/>
  <c r="C6368" i="2"/>
  <c r="B6368" i="2"/>
  <c r="C6367" i="2"/>
  <c r="B6367" i="2"/>
  <c r="C6366" i="2"/>
  <c r="B6366" i="2"/>
  <c r="C6365" i="2"/>
  <c r="B6365" i="2"/>
  <c r="C6364" i="2"/>
  <c r="B6364" i="2"/>
  <c r="C6363" i="2"/>
  <c r="B6363" i="2"/>
  <c r="C6362" i="2"/>
  <c r="B6362" i="2"/>
  <c r="C6361" i="2"/>
  <c r="B6361" i="2"/>
  <c r="C6360" i="2"/>
  <c r="B6360" i="2"/>
  <c r="C6359" i="2"/>
  <c r="B6359" i="2"/>
  <c r="C6358" i="2"/>
  <c r="B6358" i="2"/>
  <c r="C6357" i="2"/>
  <c r="B6357" i="2"/>
  <c r="C6356" i="2"/>
  <c r="B6356" i="2"/>
  <c r="C6355" i="2"/>
  <c r="B6355" i="2"/>
  <c r="C6354" i="2"/>
  <c r="B6354" i="2"/>
  <c r="C6353" i="2"/>
  <c r="B6353" i="2"/>
  <c r="C6352" i="2"/>
  <c r="B6352" i="2"/>
  <c r="C6351" i="2"/>
  <c r="B6351" i="2"/>
  <c r="C6350" i="2"/>
  <c r="B6350" i="2"/>
  <c r="C6349" i="2"/>
  <c r="B6349" i="2"/>
  <c r="C6348" i="2"/>
  <c r="B6348" i="2"/>
  <c r="C6347" i="2"/>
  <c r="B6347" i="2"/>
  <c r="C6346" i="2"/>
  <c r="B6346" i="2"/>
  <c r="C6345" i="2"/>
  <c r="B6345" i="2"/>
  <c r="C6344" i="2"/>
  <c r="B6344" i="2"/>
  <c r="C6343" i="2"/>
  <c r="B6343" i="2"/>
  <c r="C6342" i="2"/>
  <c r="B6342" i="2"/>
  <c r="C6341" i="2"/>
  <c r="B6341" i="2"/>
  <c r="C6340" i="2"/>
  <c r="B6340" i="2"/>
  <c r="C6339" i="2"/>
  <c r="B6339" i="2"/>
  <c r="C6338" i="2"/>
  <c r="B6338" i="2"/>
  <c r="C6337" i="2"/>
  <c r="B6337" i="2"/>
  <c r="C6336" i="2"/>
  <c r="B6336" i="2"/>
  <c r="C6335" i="2"/>
  <c r="B6335" i="2"/>
  <c r="C6334" i="2"/>
  <c r="B6334" i="2"/>
  <c r="C6333" i="2"/>
  <c r="B6333" i="2"/>
  <c r="C6332" i="2"/>
  <c r="B6332" i="2"/>
  <c r="C6331" i="2"/>
  <c r="B6331" i="2"/>
  <c r="C6330" i="2"/>
  <c r="B6330" i="2"/>
  <c r="C6329" i="2"/>
  <c r="B6329" i="2"/>
  <c r="C6328" i="2"/>
  <c r="B6328" i="2"/>
  <c r="C6327" i="2"/>
  <c r="B6327" i="2"/>
  <c r="C6326" i="2"/>
  <c r="B6326" i="2"/>
  <c r="C6325" i="2"/>
  <c r="B6325" i="2"/>
  <c r="C6324" i="2"/>
  <c r="B6324" i="2"/>
  <c r="C6323" i="2"/>
  <c r="B6323" i="2"/>
  <c r="C6322" i="2"/>
  <c r="B6322" i="2"/>
  <c r="C6321" i="2"/>
  <c r="B6321" i="2"/>
  <c r="C6320" i="2"/>
  <c r="B6320" i="2"/>
  <c r="C6319" i="2"/>
  <c r="B6319" i="2"/>
  <c r="C6318" i="2"/>
  <c r="B6318" i="2"/>
  <c r="C6317" i="2"/>
  <c r="B6317" i="2"/>
  <c r="C6316" i="2"/>
  <c r="B6316" i="2"/>
  <c r="C6315" i="2"/>
  <c r="B6315" i="2"/>
  <c r="C6314" i="2"/>
  <c r="B6314" i="2"/>
  <c r="C6313" i="2"/>
  <c r="B6313" i="2"/>
  <c r="C6312" i="2"/>
  <c r="B6312" i="2"/>
  <c r="C6311" i="2"/>
  <c r="B6311" i="2"/>
  <c r="C6310" i="2"/>
  <c r="B6310" i="2"/>
  <c r="C6309" i="2"/>
  <c r="B6309" i="2"/>
  <c r="C6308" i="2"/>
  <c r="B6308" i="2"/>
  <c r="C6307" i="2"/>
  <c r="B6307" i="2"/>
  <c r="C6306" i="2"/>
  <c r="B6306" i="2"/>
  <c r="C6305" i="2"/>
  <c r="B6305" i="2"/>
  <c r="C6304" i="2"/>
  <c r="B6304" i="2"/>
  <c r="C6303" i="2"/>
  <c r="B6303" i="2"/>
  <c r="C6302" i="2"/>
  <c r="B6302" i="2"/>
  <c r="C6301" i="2"/>
  <c r="B6301" i="2"/>
  <c r="C6300" i="2"/>
  <c r="B6300" i="2"/>
  <c r="C6299" i="2"/>
  <c r="B6299" i="2"/>
  <c r="C6298" i="2"/>
  <c r="B6298" i="2"/>
  <c r="C6297" i="2"/>
  <c r="B6297" i="2"/>
  <c r="C6296" i="2"/>
  <c r="B6296" i="2"/>
  <c r="C6295" i="2"/>
  <c r="B6295" i="2"/>
  <c r="C6294" i="2"/>
  <c r="B6294" i="2"/>
  <c r="C6293" i="2"/>
  <c r="B6293" i="2"/>
  <c r="C6292" i="2"/>
  <c r="B6292" i="2"/>
  <c r="C6291" i="2"/>
  <c r="B6291" i="2"/>
  <c r="C6290" i="2"/>
  <c r="B6290" i="2"/>
  <c r="C6289" i="2"/>
  <c r="B6289" i="2"/>
  <c r="C6288" i="2"/>
  <c r="B6288" i="2"/>
  <c r="C6287" i="2"/>
  <c r="B6287" i="2"/>
  <c r="C6286" i="2"/>
  <c r="B6286" i="2"/>
  <c r="C6285" i="2"/>
  <c r="B6285" i="2"/>
  <c r="C6284" i="2"/>
  <c r="B6284" i="2"/>
  <c r="C6283" i="2"/>
  <c r="B6283" i="2"/>
  <c r="C6282" i="2"/>
  <c r="B6282" i="2"/>
  <c r="C6281" i="2"/>
  <c r="B6281" i="2"/>
  <c r="C6280" i="2"/>
  <c r="B6280" i="2"/>
  <c r="C6279" i="2"/>
  <c r="B6279" i="2"/>
  <c r="C6278" i="2"/>
  <c r="B6278" i="2"/>
  <c r="C6277" i="2"/>
  <c r="B6277" i="2"/>
  <c r="C6276" i="2"/>
  <c r="B6276" i="2"/>
  <c r="C6275" i="2"/>
  <c r="B6275" i="2"/>
  <c r="C6274" i="2"/>
  <c r="B6274" i="2"/>
  <c r="C6273" i="2"/>
  <c r="B6273" i="2"/>
  <c r="C6272" i="2"/>
  <c r="B6272" i="2"/>
  <c r="C6271" i="2"/>
  <c r="B6271" i="2"/>
  <c r="C6270" i="2"/>
  <c r="B6270" i="2"/>
  <c r="C6269" i="2"/>
  <c r="B6269" i="2"/>
  <c r="C6268" i="2"/>
  <c r="B6268" i="2"/>
  <c r="C6267" i="2"/>
  <c r="B6267" i="2"/>
  <c r="C6266" i="2"/>
  <c r="B6266" i="2"/>
  <c r="C6265" i="2"/>
  <c r="B6265" i="2"/>
  <c r="C6264" i="2"/>
  <c r="B6264" i="2"/>
  <c r="C6263" i="2"/>
  <c r="B6263" i="2"/>
  <c r="C6262" i="2"/>
  <c r="B6262" i="2"/>
  <c r="C6261" i="2"/>
  <c r="B6261" i="2"/>
  <c r="C6260" i="2"/>
  <c r="B6260" i="2"/>
  <c r="C6259" i="2"/>
  <c r="B6259" i="2"/>
  <c r="C6258" i="2"/>
  <c r="B6258" i="2"/>
  <c r="C6257" i="2"/>
  <c r="B6257" i="2"/>
  <c r="C6256" i="2"/>
  <c r="B6256" i="2"/>
  <c r="C6255" i="2"/>
  <c r="B6255" i="2"/>
  <c r="C6254" i="2"/>
  <c r="B6254" i="2"/>
  <c r="C6253" i="2"/>
  <c r="B6253" i="2"/>
  <c r="C6252" i="2"/>
  <c r="B6252" i="2"/>
  <c r="C6251" i="2"/>
  <c r="B6251" i="2"/>
  <c r="C6250" i="2"/>
  <c r="B6250" i="2"/>
  <c r="C6249" i="2"/>
  <c r="B6249" i="2"/>
  <c r="C6248" i="2"/>
  <c r="B6248" i="2"/>
  <c r="C6247" i="2"/>
  <c r="B6247" i="2"/>
  <c r="C6246" i="2"/>
  <c r="B6246" i="2"/>
  <c r="C6245" i="2"/>
  <c r="B6245" i="2"/>
  <c r="C6244" i="2"/>
  <c r="B6244" i="2"/>
  <c r="C6243" i="2"/>
  <c r="B6243" i="2"/>
  <c r="C6242" i="2"/>
  <c r="B6242" i="2"/>
  <c r="C6241" i="2"/>
  <c r="B6241" i="2"/>
  <c r="C6240" i="2"/>
  <c r="B6240" i="2"/>
  <c r="C6239" i="2"/>
  <c r="B6239" i="2"/>
  <c r="C6238" i="2"/>
  <c r="B6238" i="2"/>
  <c r="C6237" i="2"/>
  <c r="B6237" i="2"/>
  <c r="C6236" i="2"/>
  <c r="B6236" i="2"/>
  <c r="C6235" i="2"/>
  <c r="B6235" i="2"/>
  <c r="C6234" i="2"/>
  <c r="B6234" i="2"/>
  <c r="C6233" i="2"/>
  <c r="B6233" i="2"/>
  <c r="C6232" i="2"/>
  <c r="B6232" i="2"/>
  <c r="C6231" i="2"/>
  <c r="B6231" i="2"/>
  <c r="C6230" i="2"/>
  <c r="B6230" i="2"/>
  <c r="C6229" i="2"/>
  <c r="B6229" i="2"/>
  <c r="C6228" i="2"/>
  <c r="B6228" i="2"/>
  <c r="C6227" i="2"/>
  <c r="B6227" i="2"/>
  <c r="C6226" i="2"/>
  <c r="B6226" i="2"/>
  <c r="C6225" i="2"/>
  <c r="B6225" i="2"/>
  <c r="C6224" i="2"/>
  <c r="B6224" i="2"/>
  <c r="C6223" i="2"/>
  <c r="B6223" i="2"/>
  <c r="C6222" i="2"/>
  <c r="B6222" i="2"/>
  <c r="C6221" i="2"/>
  <c r="B6221" i="2"/>
  <c r="C6220" i="2"/>
  <c r="B6220" i="2"/>
  <c r="C6219" i="2"/>
  <c r="B6219" i="2"/>
  <c r="C6218" i="2"/>
  <c r="B6218" i="2"/>
  <c r="C6217" i="2"/>
  <c r="B6217" i="2"/>
  <c r="C6216" i="2"/>
  <c r="B6216" i="2"/>
  <c r="C6215" i="2"/>
  <c r="B6215" i="2"/>
  <c r="C6214" i="2"/>
  <c r="B6214" i="2"/>
  <c r="C6213" i="2"/>
  <c r="B6213" i="2"/>
  <c r="C6212" i="2"/>
  <c r="B6212" i="2"/>
  <c r="C6211" i="2"/>
  <c r="B6211" i="2"/>
  <c r="C6210" i="2"/>
  <c r="B6210" i="2"/>
  <c r="C6209" i="2"/>
  <c r="B6209" i="2"/>
  <c r="C6208" i="2"/>
  <c r="B6208" i="2"/>
  <c r="C6207" i="2"/>
  <c r="B6207" i="2"/>
  <c r="C6206" i="2"/>
  <c r="B6206" i="2"/>
  <c r="C6205" i="2"/>
  <c r="B6205" i="2"/>
  <c r="C6204" i="2"/>
  <c r="B6204" i="2"/>
  <c r="C6203" i="2"/>
  <c r="B6203" i="2"/>
  <c r="C6202" i="2"/>
  <c r="B6202" i="2"/>
  <c r="C6201" i="2"/>
  <c r="B6201" i="2"/>
  <c r="C6200" i="2"/>
  <c r="B6200" i="2"/>
  <c r="C6199" i="2"/>
  <c r="B6199" i="2"/>
  <c r="C6198" i="2"/>
  <c r="B6198" i="2"/>
  <c r="C6197" i="2"/>
  <c r="B6197" i="2"/>
  <c r="C6196" i="2"/>
  <c r="B6196" i="2"/>
  <c r="C6195" i="2"/>
  <c r="B6195" i="2"/>
  <c r="C6194" i="2"/>
  <c r="B6194" i="2"/>
  <c r="C6193" i="2"/>
  <c r="B6193" i="2"/>
  <c r="C6192" i="2"/>
  <c r="B6192" i="2"/>
  <c r="C6191" i="2"/>
  <c r="B6191" i="2"/>
  <c r="C6190" i="2"/>
  <c r="B6190" i="2"/>
  <c r="C6189" i="2"/>
  <c r="B6189" i="2"/>
  <c r="C6188" i="2"/>
  <c r="B6188" i="2"/>
  <c r="C6187" i="2"/>
  <c r="B6187" i="2"/>
  <c r="C6186" i="2"/>
  <c r="B6186" i="2"/>
  <c r="C6185" i="2"/>
  <c r="B6185" i="2"/>
  <c r="C6184" i="2"/>
  <c r="B6184" i="2"/>
  <c r="C6183" i="2"/>
  <c r="B6183" i="2"/>
  <c r="C6182" i="2"/>
  <c r="B6182" i="2"/>
  <c r="C6181" i="2"/>
  <c r="B6181" i="2"/>
  <c r="C6180" i="2"/>
  <c r="B6180" i="2"/>
  <c r="C6179" i="2"/>
  <c r="B6179" i="2"/>
  <c r="C6178" i="2"/>
  <c r="B6178" i="2"/>
  <c r="C6177" i="2"/>
  <c r="B6177" i="2"/>
  <c r="C6176" i="2"/>
  <c r="B6176" i="2"/>
  <c r="C6175" i="2"/>
  <c r="B6175" i="2"/>
  <c r="C6174" i="2"/>
  <c r="B6174" i="2"/>
  <c r="C6173" i="2"/>
  <c r="B6173" i="2"/>
  <c r="C6172" i="2"/>
  <c r="B6172" i="2"/>
  <c r="C6171" i="2"/>
  <c r="B6171" i="2"/>
  <c r="C6170" i="2"/>
  <c r="B6170" i="2"/>
  <c r="C6169" i="2"/>
  <c r="B6169" i="2"/>
  <c r="C6168" i="2"/>
  <c r="B6168" i="2"/>
  <c r="C6167" i="2"/>
  <c r="B6167" i="2"/>
  <c r="C6166" i="2"/>
  <c r="B6166" i="2"/>
  <c r="C6165" i="2"/>
  <c r="B6165" i="2"/>
  <c r="C6164" i="2"/>
  <c r="B6164" i="2"/>
  <c r="C6163" i="2"/>
  <c r="B6163" i="2"/>
  <c r="C6162" i="2"/>
  <c r="B6162" i="2"/>
  <c r="C6161" i="2"/>
  <c r="B6161" i="2"/>
  <c r="C6160" i="2"/>
  <c r="B6160" i="2"/>
  <c r="C6159" i="2"/>
  <c r="B6159" i="2"/>
  <c r="C6158" i="2"/>
  <c r="B6158" i="2"/>
  <c r="C6157" i="2"/>
  <c r="B6157" i="2"/>
  <c r="C6156" i="2"/>
  <c r="B6156" i="2"/>
  <c r="C6155" i="2"/>
  <c r="B6155" i="2"/>
  <c r="C6154" i="2"/>
  <c r="B6154" i="2"/>
  <c r="C6153" i="2"/>
  <c r="B6153" i="2"/>
  <c r="C6152" i="2"/>
  <c r="B6152" i="2"/>
  <c r="C6151" i="2"/>
  <c r="B6151" i="2"/>
  <c r="C6150" i="2"/>
  <c r="B6150" i="2"/>
  <c r="C6149" i="2"/>
  <c r="B6149" i="2"/>
  <c r="C6148" i="2"/>
  <c r="B6148" i="2"/>
  <c r="C6147" i="2"/>
  <c r="B6147" i="2"/>
  <c r="C6146" i="2"/>
  <c r="B6146" i="2"/>
  <c r="C6145" i="2"/>
  <c r="B6145" i="2"/>
  <c r="C6144" i="2"/>
  <c r="B6144" i="2"/>
  <c r="C6143" i="2"/>
  <c r="B6143" i="2"/>
  <c r="C6142" i="2"/>
  <c r="B6142" i="2"/>
  <c r="C6141" i="2"/>
  <c r="B6141" i="2"/>
  <c r="C6140" i="2"/>
  <c r="B6140" i="2"/>
  <c r="C6139" i="2"/>
  <c r="B6139" i="2"/>
  <c r="C6138" i="2"/>
  <c r="B6138" i="2"/>
  <c r="C6137" i="2"/>
  <c r="B6137" i="2"/>
  <c r="C6136" i="2"/>
  <c r="B6136" i="2"/>
  <c r="C6135" i="2"/>
  <c r="B6135" i="2"/>
  <c r="C6134" i="2"/>
  <c r="B6134" i="2"/>
  <c r="C6133" i="2"/>
  <c r="B6133" i="2"/>
  <c r="C6132" i="2"/>
  <c r="B6132" i="2"/>
  <c r="C6131" i="2"/>
  <c r="B6131" i="2"/>
  <c r="C6130" i="2"/>
  <c r="B6130" i="2"/>
  <c r="C6129" i="2"/>
  <c r="B6129" i="2"/>
  <c r="C6128" i="2"/>
  <c r="B6128" i="2"/>
  <c r="C6127" i="2"/>
  <c r="B6127" i="2"/>
  <c r="C6126" i="2"/>
  <c r="B6126" i="2"/>
  <c r="C6125" i="2"/>
  <c r="B6125" i="2"/>
  <c r="C6124" i="2"/>
  <c r="B6124" i="2"/>
  <c r="C6123" i="2"/>
  <c r="B6123" i="2"/>
  <c r="C6122" i="2"/>
  <c r="B6122" i="2"/>
  <c r="C6121" i="2"/>
  <c r="B6121" i="2"/>
  <c r="C6120" i="2"/>
  <c r="B6120" i="2"/>
  <c r="C6119" i="2"/>
  <c r="B6119" i="2"/>
  <c r="C6118" i="2"/>
  <c r="B6118" i="2"/>
  <c r="C6117" i="2"/>
  <c r="B6117" i="2"/>
  <c r="C6116" i="2"/>
  <c r="B6116" i="2"/>
  <c r="C6115" i="2"/>
  <c r="B6115" i="2"/>
  <c r="C6114" i="2"/>
  <c r="B6114" i="2"/>
  <c r="C6113" i="2"/>
  <c r="B6113" i="2"/>
  <c r="C6112" i="2"/>
  <c r="B6112" i="2"/>
  <c r="C6111" i="2"/>
  <c r="B6111" i="2"/>
  <c r="C6110" i="2"/>
  <c r="B6110" i="2"/>
  <c r="C6109" i="2"/>
  <c r="B6109" i="2"/>
  <c r="C6108" i="2"/>
  <c r="B6108" i="2"/>
  <c r="C6107" i="2"/>
  <c r="B6107" i="2"/>
  <c r="C6106" i="2"/>
  <c r="B6106" i="2"/>
  <c r="C6105" i="2"/>
  <c r="B6105" i="2"/>
  <c r="C6104" i="2"/>
  <c r="B6104" i="2"/>
  <c r="C6103" i="2"/>
  <c r="B6103" i="2"/>
  <c r="C6102" i="2"/>
  <c r="B6102" i="2"/>
  <c r="C6101" i="2"/>
  <c r="B6101" i="2"/>
  <c r="C6100" i="2"/>
  <c r="B6100" i="2"/>
  <c r="C6099" i="2"/>
  <c r="B6099" i="2"/>
  <c r="C6098" i="2"/>
  <c r="B6098" i="2"/>
  <c r="C6097" i="2"/>
  <c r="B6097" i="2"/>
  <c r="C6096" i="2"/>
  <c r="B6096" i="2"/>
  <c r="C6095" i="2"/>
  <c r="B6095" i="2"/>
  <c r="C6094" i="2"/>
  <c r="B6094" i="2"/>
  <c r="C6093" i="2"/>
  <c r="B6093" i="2"/>
  <c r="C6092" i="2"/>
  <c r="B6092" i="2"/>
  <c r="C6091" i="2"/>
  <c r="B6091" i="2"/>
  <c r="C6090" i="2"/>
  <c r="B6090" i="2"/>
  <c r="C6089" i="2"/>
  <c r="B6089" i="2"/>
  <c r="C6088" i="2"/>
  <c r="B6088" i="2"/>
  <c r="C6087" i="2"/>
  <c r="B6087" i="2"/>
  <c r="C6086" i="2"/>
  <c r="B6086" i="2"/>
  <c r="C6085" i="2"/>
  <c r="B6085" i="2"/>
  <c r="C6084" i="2"/>
  <c r="B6084" i="2"/>
  <c r="C6083" i="2"/>
  <c r="B6083" i="2"/>
  <c r="C6082" i="2"/>
  <c r="B6082" i="2"/>
  <c r="C6081" i="2"/>
  <c r="B6081" i="2"/>
  <c r="C6080" i="2"/>
  <c r="B6080" i="2"/>
  <c r="C6079" i="2"/>
  <c r="B6079" i="2"/>
  <c r="C6078" i="2"/>
  <c r="B6078" i="2"/>
  <c r="C6077" i="2"/>
  <c r="B6077" i="2"/>
  <c r="C6076" i="2"/>
  <c r="B6076" i="2"/>
  <c r="C6075" i="2"/>
  <c r="B6075" i="2"/>
  <c r="C6074" i="2"/>
  <c r="B6074" i="2"/>
  <c r="C6073" i="2"/>
  <c r="B6073" i="2"/>
  <c r="C6072" i="2"/>
  <c r="B6072" i="2"/>
  <c r="C6071" i="2"/>
  <c r="B6071" i="2"/>
  <c r="C6070" i="2"/>
  <c r="B6070" i="2"/>
  <c r="C6069" i="2"/>
  <c r="B6069" i="2"/>
  <c r="C6068" i="2"/>
  <c r="B6068" i="2"/>
  <c r="C6067" i="2"/>
  <c r="B6067" i="2"/>
  <c r="C6066" i="2"/>
  <c r="B6066" i="2"/>
  <c r="C6065" i="2"/>
  <c r="B6065" i="2"/>
  <c r="C6064" i="2"/>
  <c r="B6064" i="2"/>
  <c r="C6063" i="2"/>
  <c r="B6063" i="2"/>
  <c r="C6062" i="2"/>
  <c r="B6062" i="2"/>
  <c r="C6061" i="2"/>
  <c r="B6061" i="2"/>
  <c r="C6060" i="2"/>
  <c r="B6060" i="2"/>
  <c r="C6059" i="2"/>
  <c r="B6059" i="2"/>
  <c r="C6058" i="2"/>
  <c r="B6058" i="2"/>
  <c r="C6057" i="2"/>
  <c r="B6057" i="2"/>
  <c r="C6056" i="2"/>
  <c r="B6056" i="2"/>
  <c r="C6055" i="2"/>
  <c r="B6055" i="2"/>
  <c r="C6054" i="2"/>
  <c r="B6054" i="2"/>
  <c r="C6053" i="2"/>
  <c r="B6053" i="2"/>
  <c r="C6052" i="2"/>
  <c r="B6052" i="2"/>
  <c r="C6051" i="2"/>
  <c r="B6051" i="2"/>
  <c r="C6050" i="2"/>
  <c r="B6050" i="2"/>
  <c r="C6049" i="2"/>
  <c r="B6049" i="2"/>
  <c r="C6048" i="2"/>
  <c r="B6048" i="2"/>
  <c r="C6047" i="2"/>
  <c r="B6047" i="2"/>
  <c r="C6046" i="2"/>
  <c r="B6046" i="2"/>
  <c r="C6045" i="2"/>
  <c r="B6045" i="2"/>
  <c r="C6044" i="2"/>
  <c r="B6044" i="2"/>
  <c r="C6043" i="2"/>
  <c r="B6043" i="2"/>
  <c r="C6042" i="2"/>
  <c r="B6042" i="2"/>
  <c r="C6041" i="2"/>
  <c r="B6041" i="2"/>
  <c r="C6040" i="2"/>
  <c r="B6040" i="2"/>
  <c r="C6039" i="2"/>
  <c r="B6039" i="2"/>
  <c r="C6038" i="2"/>
  <c r="B6038" i="2"/>
  <c r="C6037" i="2"/>
  <c r="B6037" i="2"/>
  <c r="C6036" i="2"/>
  <c r="B6036" i="2"/>
  <c r="C6035" i="2"/>
  <c r="B6035" i="2"/>
  <c r="C6034" i="2"/>
  <c r="B6034" i="2"/>
  <c r="C6033" i="2"/>
  <c r="B6033" i="2"/>
  <c r="C6032" i="2"/>
  <c r="B6032" i="2"/>
  <c r="C6031" i="2"/>
  <c r="B6031" i="2"/>
  <c r="C6030" i="2"/>
  <c r="B6030" i="2"/>
  <c r="C6029" i="2"/>
  <c r="B6029" i="2"/>
  <c r="C6028" i="2"/>
  <c r="B6028" i="2"/>
  <c r="C6027" i="2"/>
  <c r="B6027" i="2"/>
  <c r="C6026" i="2"/>
  <c r="B6026" i="2"/>
  <c r="C6025" i="2"/>
  <c r="B6025" i="2"/>
  <c r="C6024" i="2"/>
  <c r="B6024" i="2"/>
  <c r="C6023" i="2"/>
  <c r="B6023" i="2"/>
  <c r="C6022" i="2"/>
  <c r="B6022" i="2"/>
  <c r="C6021" i="2"/>
  <c r="B6021" i="2"/>
  <c r="C6020" i="2"/>
  <c r="B6020" i="2"/>
  <c r="C6019" i="2"/>
  <c r="B6019" i="2"/>
  <c r="C6018" i="2"/>
  <c r="B6018" i="2"/>
  <c r="C6017" i="2"/>
  <c r="B6017" i="2"/>
  <c r="C6016" i="2"/>
  <c r="B6016" i="2"/>
  <c r="C6015" i="2"/>
  <c r="B6015" i="2"/>
  <c r="C6014" i="2"/>
  <c r="B6014" i="2"/>
  <c r="C6013" i="2"/>
  <c r="B6013" i="2"/>
  <c r="C6012" i="2"/>
  <c r="B6012" i="2"/>
  <c r="C6011" i="2"/>
  <c r="B6011" i="2"/>
  <c r="C6010" i="2"/>
  <c r="B6010" i="2"/>
  <c r="C6009" i="2"/>
  <c r="B6009" i="2"/>
  <c r="C6008" i="2"/>
  <c r="B6008" i="2"/>
  <c r="C6007" i="2"/>
  <c r="B6007" i="2"/>
  <c r="C6006" i="2"/>
  <c r="B6006" i="2"/>
  <c r="C6005" i="2"/>
  <c r="B6005" i="2"/>
  <c r="C6004" i="2"/>
  <c r="B6004" i="2"/>
  <c r="C6003" i="2"/>
  <c r="B6003" i="2"/>
  <c r="C6002" i="2"/>
  <c r="B6002" i="2"/>
  <c r="C6001" i="2"/>
  <c r="B6001" i="2"/>
  <c r="C6000" i="2"/>
  <c r="B6000" i="2"/>
  <c r="C5999" i="2"/>
  <c r="B5999" i="2"/>
  <c r="C5998" i="2"/>
  <c r="B5998" i="2"/>
  <c r="C5997" i="2"/>
  <c r="B5997" i="2"/>
  <c r="C5996" i="2"/>
  <c r="B5996" i="2"/>
  <c r="C5995" i="2"/>
  <c r="B5995" i="2"/>
  <c r="C5994" i="2"/>
  <c r="B5994" i="2"/>
  <c r="C5993" i="2"/>
  <c r="B5993" i="2"/>
  <c r="C5992" i="2"/>
  <c r="B5992" i="2"/>
  <c r="C5991" i="2"/>
  <c r="B5991" i="2"/>
  <c r="C5990" i="2"/>
  <c r="B5990" i="2"/>
  <c r="C5989" i="2"/>
  <c r="B5989" i="2"/>
  <c r="C5988" i="2"/>
  <c r="B5988" i="2"/>
  <c r="C5987" i="2"/>
  <c r="B5987" i="2"/>
  <c r="C5986" i="2"/>
  <c r="B5986" i="2"/>
  <c r="C5985" i="2"/>
  <c r="B5985" i="2"/>
  <c r="C5984" i="2"/>
  <c r="B5984" i="2"/>
  <c r="C5983" i="2"/>
  <c r="B5983" i="2"/>
  <c r="C5982" i="2"/>
  <c r="B5982" i="2"/>
  <c r="C5981" i="2"/>
  <c r="B5981" i="2"/>
  <c r="C5980" i="2"/>
  <c r="B5980" i="2"/>
  <c r="C5979" i="2"/>
  <c r="B5979" i="2"/>
  <c r="C5978" i="2"/>
  <c r="B5978" i="2"/>
  <c r="C5977" i="2"/>
  <c r="B5977" i="2"/>
  <c r="C5976" i="2"/>
  <c r="B5976" i="2"/>
  <c r="C5975" i="2"/>
  <c r="B5975" i="2"/>
  <c r="C5974" i="2"/>
  <c r="B5974" i="2"/>
  <c r="C5973" i="2"/>
  <c r="B5973" i="2"/>
  <c r="C5972" i="2"/>
  <c r="B5972" i="2"/>
  <c r="C5971" i="2"/>
  <c r="B5971" i="2"/>
  <c r="C5970" i="2"/>
  <c r="B5970" i="2"/>
  <c r="C5969" i="2"/>
  <c r="B5969" i="2"/>
  <c r="C5968" i="2"/>
  <c r="B5968" i="2"/>
  <c r="C5967" i="2"/>
  <c r="B5967" i="2"/>
  <c r="C5966" i="2"/>
  <c r="B5966" i="2"/>
  <c r="C5965" i="2"/>
  <c r="B5965" i="2"/>
  <c r="C5964" i="2"/>
  <c r="B5964" i="2"/>
  <c r="C5963" i="2"/>
  <c r="B5963" i="2"/>
  <c r="C5962" i="2"/>
  <c r="B5962" i="2"/>
  <c r="C5961" i="2"/>
  <c r="B5961" i="2"/>
  <c r="C5960" i="2"/>
  <c r="B5960" i="2"/>
  <c r="C5959" i="2"/>
  <c r="B5959" i="2"/>
  <c r="C5958" i="2"/>
  <c r="B5958" i="2"/>
  <c r="C5957" i="2"/>
  <c r="B5957" i="2"/>
  <c r="C5956" i="2"/>
  <c r="B5956" i="2"/>
  <c r="C5955" i="2"/>
  <c r="B5955" i="2"/>
  <c r="C5954" i="2"/>
  <c r="B5954" i="2"/>
  <c r="C5953" i="2"/>
  <c r="B5953" i="2"/>
  <c r="C5952" i="2"/>
  <c r="B5952" i="2"/>
  <c r="C5951" i="2"/>
  <c r="B5951" i="2"/>
  <c r="C5950" i="2"/>
  <c r="B5950" i="2"/>
  <c r="C5949" i="2"/>
  <c r="B5949" i="2"/>
  <c r="C5948" i="2"/>
  <c r="B5948" i="2"/>
  <c r="C5947" i="2"/>
  <c r="B5947" i="2"/>
  <c r="C5946" i="2"/>
  <c r="B5946" i="2"/>
  <c r="C5945" i="2"/>
  <c r="B5945" i="2"/>
  <c r="C5944" i="2"/>
  <c r="B5944" i="2"/>
  <c r="C5943" i="2"/>
  <c r="B5943" i="2"/>
  <c r="C5942" i="2"/>
  <c r="B5942" i="2"/>
  <c r="C5941" i="2"/>
  <c r="B5941" i="2"/>
  <c r="C5940" i="2"/>
  <c r="B5940" i="2"/>
  <c r="C5939" i="2"/>
  <c r="B5939" i="2"/>
  <c r="C5938" i="2"/>
  <c r="B5938" i="2"/>
  <c r="C5937" i="2"/>
  <c r="B5937" i="2"/>
  <c r="C5936" i="2"/>
  <c r="B5936" i="2"/>
  <c r="C5935" i="2"/>
  <c r="B5935" i="2"/>
  <c r="C5934" i="2"/>
  <c r="B5934" i="2"/>
  <c r="C5933" i="2"/>
  <c r="B5933" i="2"/>
  <c r="C5932" i="2"/>
  <c r="B5932" i="2"/>
  <c r="C5931" i="2"/>
  <c r="B5931" i="2"/>
  <c r="C5930" i="2"/>
  <c r="B5930" i="2"/>
  <c r="C5929" i="2"/>
  <c r="B5929" i="2"/>
  <c r="C5928" i="2"/>
  <c r="B5928" i="2"/>
  <c r="C5927" i="2"/>
  <c r="B5927" i="2"/>
  <c r="C5926" i="2"/>
  <c r="B5926" i="2"/>
  <c r="C5925" i="2"/>
  <c r="B5925" i="2"/>
  <c r="C5924" i="2"/>
  <c r="B5924" i="2"/>
  <c r="C5923" i="2"/>
  <c r="B5923" i="2"/>
  <c r="C5922" i="2"/>
  <c r="B5922" i="2"/>
  <c r="C5921" i="2"/>
  <c r="B5921" i="2"/>
  <c r="C5920" i="2"/>
  <c r="B5920" i="2"/>
  <c r="C5919" i="2"/>
  <c r="B5919" i="2"/>
  <c r="C5918" i="2"/>
  <c r="B5918" i="2"/>
  <c r="C5917" i="2"/>
  <c r="B5917" i="2"/>
  <c r="C5916" i="2"/>
  <c r="B5916" i="2"/>
  <c r="C5915" i="2"/>
  <c r="B5915" i="2"/>
  <c r="C5914" i="2"/>
  <c r="B5914" i="2"/>
  <c r="C5913" i="2"/>
  <c r="B5913" i="2"/>
  <c r="C5912" i="2"/>
  <c r="B5912" i="2"/>
  <c r="C5911" i="2"/>
  <c r="B5911" i="2"/>
  <c r="C5910" i="2"/>
  <c r="B5910" i="2"/>
  <c r="C5909" i="2"/>
  <c r="B5909" i="2"/>
  <c r="C5908" i="2"/>
  <c r="B5908" i="2"/>
  <c r="C5907" i="2"/>
  <c r="B5907" i="2"/>
  <c r="C5906" i="2"/>
  <c r="B5906" i="2"/>
  <c r="C5905" i="2"/>
  <c r="B5905" i="2"/>
  <c r="C5904" i="2"/>
  <c r="B5904" i="2"/>
  <c r="C5903" i="2"/>
  <c r="B5903" i="2"/>
  <c r="C5902" i="2"/>
  <c r="B5902" i="2"/>
  <c r="C5901" i="2"/>
  <c r="B5901" i="2"/>
  <c r="C5900" i="2"/>
  <c r="B5900" i="2"/>
  <c r="C5899" i="2"/>
  <c r="B5899" i="2"/>
  <c r="C5898" i="2"/>
  <c r="B5898" i="2"/>
  <c r="C5897" i="2"/>
  <c r="B5897" i="2"/>
  <c r="C5896" i="2"/>
  <c r="B5896" i="2"/>
  <c r="C5895" i="2"/>
  <c r="B5895" i="2"/>
  <c r="C5894" i="2"/>
  <c r="B5894" i="2"/>
  <c r="C5893" i="2"/>
  <c r="B5893" i="2"/>
  <c r="C5892" i="2"/>
  <c r="B5892" i="2"/>
  <c r="C5891" i="2"/>
  <c r="B5891" i="2"/>
  <c r="C5890" i="2"/>
  <c r="B5890" i="2"/>
  <c r="C5889" i="2"/>
  <c r="B5889" i="2"/>
  <c r="C5888" i="2"/>
  <c r="B5888" i="2"/>
  <c r="C5887" i="2"/>
  <c r="B5887" i="2"/>
  <c r="C5886" i="2"/>
  <c r="B5886" i="2"/>
  <c r="C5885" i="2"/>
  <c r="B5885" i="2"/>
  <c r="C5884" i="2"/>
  <c r="B5884" i="2"/>
  <c r="C5883" i="2"/>
  <c r="B5883" i="2"/>
  <c r="C5882" i="2"/>
  <c r="B5882" i="2"/>
  <c r="C5881" i="2"/>
  <c r="B5881" i="2"/>
  <c r="C5880" i="2"/>
  <c r="B5880" i="2"/>
  <c r="C5879" i="2"/>
  <c r="B5879" i="2"/>
  <c r="C5878" i="2"/>
  <c r="B5878" i="2"/>
  <c r="C5877" i="2"/>
  <c r="B5877" i="2"/>
  <c r="C5876" i="2"/>
  <c r="B5876" i="2"/>
  <c r="C5875" i="2"/>
  <c r="B5875" i="2"/>
  <c r="C5874" i="2"/>
  <c r="B5874" i="2"/>
  <c r="C5873" i="2"/>
  <c r="B5873" i="2"/>
  <c r="C5872" i="2"/>
  <c r="B5872" i="2"/>
  <c r="C5871" i="2"/>
  <c r="B5871" i="2"/>
  <c r="C5870" i="2"/>
  <c r="B5870" i="2"/>
  <c r="C5869" i="2"/>
  <c r="B5869" i="2"/>
  <c r="C5868" i="2"/>
  <c r="B5868" i="2"/>
  <c r="C5867" i="2"/>
  <c r="B5867" i="2"/>
  <c r="C5866" i="2"/>
  <c r="B5866" i="2"/>
  <c r="C5865" i="2"/>
  <c r="B5865" i="2"/>
  <c r="C5864" i="2"/>
  <c r="B5864" i="2"/>
  <c r="C5863" i="2"/>
  <c r="B5863" i="2"/>
  <c r="C5862" i="2"/>
  <c r="B5862" i="2"/>
  <c r="C5861" i="2"/>
  <c r="B5861" i="2"/>
  <c r="C5860" i="2"/>
  <c r="B5860" i="2"/>
  <c r="C5859" i="2"/>
  <c r="B5859" i="2"/>
  <c r="C5858" i="2"/>
  <c r="B5858" i="2"/>
  <c r="C5857" i="2"/>
  <c r="B5857" i="2"/>
  <c r="C5856" i="2"/>
  <c r="B5856" i="2"/>
  <c r="C5855" i="2"/>
  <c r="B5855" i="2"/>
  <c r="C5854" i="2"/>
  <c r="B5854" i="2"/>
  <c r="C5853" i="2"/>
  <c r="B5853" i="2"/>
  <c r="C5852" i="2"/>
  <c r="B5852" i="2"/>
  <c r="C5851" i="2"/>
  <c r="B5851" i="2"/>
  <c r="C5850" i="2"/>
  <c r="B5850" i="2"/>
  <c r="C5849" i="2"/>
  <c r="B5849" i="2"/>
  <c r="C5848" i="2"/>
  <c r="B5848" i="2"/>
  <c r="C5847" i="2"/>
  <c r="B5847" i="2"/>
  <c r="C5846" i="2"/>
  <c r="B5846" i="2"/>
  <c r="C5845" i="2"/>
  <c r="B5845" i="2"/>
  <c r="C5844" i="2"/>
  <c r="B5844" i="2"/>
  <c r="C5843" i="2"/>
  <c r="B5843" i="2"/>
  <c r="C5842" i="2"/>
  <c r="B5842" i="2"/>
  <c r="C5841" i="2"/>
  <c r="B5841" i="2"/>
  <c r="C5840" i="2"/>
  <c r="B5840" i="2"/>
  <c r="C5839" i="2"/>
  <c r="B5839" i="2"/>
  <c r="C5838" i="2"/>
  <c r="B5838" i="2"/>
  <c r="C5837" i="2"/>
  <c r="B5837" i="2"/>
  <c r="C5836" i="2"/>
  <c r="B5836" i="2"/>
  <c r="C5835" i="2"/>
  <c r="B5835" i="2"/>
  <c r="C5834" i="2"/>
  <c r="B5834" i="2"/>
  <c r="C5833" i="2"/>
  <c r="B5833" i="2"/>
  <c r="C5832" i="2"/>
  <c r="B5832" i="2"/>
  <c r="C5831" i="2"/>
  <c r="B5831" i="2"/>
  <c r="C5830" i="2"/>
  <c r="B5830" i="2"/>
  <c r="C5829" i="2"/>
  <c r="B5829" i="2"/>
  <c r="C5828" i="2"/>
  <c r="B5828" i="2"/>
  <c r="C5827" i="2"/>
  <c r="B5827" i="2"/>
  <c r="C5826" i="2"/>
  <c r="B5826" i="2"/>
  <c r="C5825" i="2"/>
  <c r="B5825" i="2"/>
  <c r="C5824" i="2"/>
  <c r="B5824" i="2"/>
  <c r="C5823" i="2"/>
  <c r="B5823" i="2"/>
  <c r="C5822" i="2"/>
  <c r="B5822" i="2"/>
  <c r="C5821" i="2"/>
  <c r="B5821" i="2"/>
  <c r="C5820" i="2"/>
  <c r="B5820" i="2"/>
  <c r="C5819" i="2"/>
  <c r="B5819" i="2"/>
  <c r="C5818" i="2"/>
  <c r="B5818" i="2"/>
  <c r="C5817" i="2"/>
  <c r="B5817" i="2"/>
  <c r="C5816" i="2"/>
  <c r="B5816" i="2"/>
  <c r="C5815" i="2"/>
  <c r="B5815" i="2"/>
  <c r="C5814" i="2"/>
  <c r="B5814" i="2"/>
  <c r="C5813" i="2"/>
  <c r="B5813" i="2"/>
  <c r="C5812" i="2"/>
  <c r="B5812" i="2"/>
  <c r="C5811" i="2"/>
  <c r="B5811" i="2"/>
  <c r="C5810" i="2"/>
  <c r="B5810" i="2"/>
  <c r="C5809" i="2"/>
  <c r="B5809" i="2"/>
  <c r="C5808" i="2"/>
  <c r="B5808" i="2"/>
  <c r="C5807" i="2"/>
  <c r="B5807" i="2"/>
  <c r="C5806" i="2"/>
  <c r="B5806" i="2"/>
  <c r="C5805" i="2"/>
  <c r="B5805" i="2"/>
  <c r="C5804" i="2"/>
  <c r="B5804" i="2"/>
  <c r="C5803" i="2"/>
  <c r="B5803" i="2"/>
  <c r="C5802" i="2"/>
  <c r="B5802" i="2"/>
  <c r="C5801" i="2"/>
  <c r="B5801" i="2"/>
  <c r="C5800" i="2"/>
  <c r="B5800" i="2"/>
  <c r="C5799" i="2"/>
  <c r="B5799" i="2"/>
  <c r="C5798" i="2"/>
  <c r="B5798" i="2"/>
  <c r="C5797" i="2"/>
  <c r="B5797" i="2"/>
  <c r="C5796" i="2"/>
  <c r="B5796" i="2"/>
  <c r="C5795" i="2"/>
  <c r="B5795" i="2"/>
  <c r="C5794" i="2"/>
  <c r="B5794" i="2"/>
  <c r="C5793" i="2"/>
  <c r="B5793" i="2"/>
  <c r="C5792" i="2"/>
  <c r="B5792" i="2"/>
  <c r="C5791" i="2"/>
  <c r="B5791" i="2"/>
  <c r="C5790" i="2"/>
  <c r="B5790" i="2"/>
  <c r="C5789" i="2"/>
  <c r="B5789" i="2"/>
  <c r="C5788" i="2"/>
  <c r="B5788" i="2"/>
  <c r="C5787" i="2"/>
  <c r="B5787" i="2"/>
  <c r="C5786" i="2"/>
  <c r="B5786" i="2"/>
  <c r="C5785" i="2"/>
  <c r="B5785" i="2"/>
  <c r="C5784" i="2"/>
  <c r="B5784" i="2"/>
  <c r="C5783" i="2"/>
  <c r="B5783" i="2"/>
  <c r="C5782" i="2"/>
  <c r="B5782" i="2"/>
  <c r="C5781" i="2"/>
  <c r="B5781" i="2"/>
  <c r="C5780" i="2"/>
  <c r="B5780" i="2"/>
  <c r="C5779" i="2"/>
  <c r="B5779" i="2"/>
  <c r="C5778" i="2"/>
  <c r="B5778" i="2"/>
  <c r="C5777" i="2"/>
  <c r="B5777" i="2"/>
  <c r="C5776" i="2"/>
  <c r="B5776" i="2"/>
  <c r="C5775" i="2"/>
  <c r="B5775" i="2"/>
  <c r="C5774" i="2"/>
  <c r="B5774" i="2"/>
  <c r="C5773" i="2"/>
  <c r="B5773" i="2"/>
  <c r="C5772" i="2"/>
  <c r="B5772" i="2"/>
  <c r="C5771" i="2"/>
  <c r="B5771" i="2"/>
  <c r="C5770" i="2"/>
  <c r="B5770" i="2"/>
  <c r="C5769" i="2"/>
  <c r="B5769" i="2"/>
  <c r="C5768" i="2"/>
  <c r="B5768" i="2"/>
  <c r="C5767" i="2"/>
  <c r="B5767" i="2"/>
  <c r="C5766" i="2"/>
  <c r="B5766" i="2"/>
  <c r="C5765" i="2"/>
  <c r="B5765" i="2"/>
  <c r="C5764" i="2"/>
  <c r="B5764" i="2"/>
  <c r="C5763" i="2"/>
  <c r="B5763" i="2"/>
  <c r="C5762" i="2"/>
  <c r="B5762" i="2"/>
  <c r="C5761" i="2"/>
  <c r="B5761" i="2"/>
  <c r="C5760" i="2"/>
  <c r="B5760" i="2"/>
  <c r="C5759" i="2"/>
  <c r="B5759" i="2"/>
  <c r="C5758" i="2"/>
  <c r="B5758" i="2"/>
  <c r="C5757" i="2"/>
  <c r="B5757" i="2"/>
  <c r="C5756" i="2"/>
  <c r="B5756" i="2"/>
  <c r="C5755" i="2"/>
  <c r="B5755" i="2"/>
  <c r="C5754" i="2"/>
  <c r="B5754" i="2"/>
  <c r="C5753" i="2"/>
  <c r="B5753" i="2"/>
  <c r="C5752" i="2"/>
  <c r="B5752" i="2"/>
  <c r="C5751" i="2"/>
  <c r="B5751" i="2"/>
  <c r="C5750" i="2"/>
  <c r="B5750" i="2"/>
  <c r="C5749" i="2"/>
  <c r="B5749" i="2"/>
  <c r="C5748" i="2"/>
  <c r="B5748" i="2"/>
  <c r="C5747" i="2"/>
  <c r="B5747" i="2"/>
  <c r="C5746" i="2"/>
  <c r="B5746" i="2"/>
  <c r="C5745" i="2"/>
  <c r="B5745" i="2"/>
  <c r="C5744" i="2"/>
  <c r="B5744" i="2"/>
  <c r="C5743" i="2"/>
  <c r="B5743" i="2"/>
  <c r="C5742" i="2"/>
  <c r="B5742" i="2"/>
  <c r="C5741" i="2"/>
  <c r="B5741" i="2"/>
  <c r="C5740" i="2"/>
  <c r="B5740" i="2"/>
  <c r="C5739" i="2"/>
  <c r="B5739" i="2"/>
  <c r="C5738" i="2"/>
  <c r="B5738" i="2"/>
  <c r="C5737" i="2"/>
  <c r="B5737" i="2"/>
  <c r="C5736" i="2"/>
  <c r="B5736" i="2"/>
  <c r="C5735" i="2"/>
  <c r="B5735" i="2"/>
  <c r="C5734" i="2"/>
  <c r="B5734" i="2"/>
  <c r="C5733" i="2"/>
  <c r="B5733" i="2"/>
  <c r="C5732" i="2"/>
  <c r="B5732" i="2"/>
  <c r="C5731" i="2"/>
  <c r="B5731" i="2"/>
  <c r="C5730" i="2"/>
  <c r="B5730" i="2"/>
  <c r="C5729" i="2"/>
  <c r="B5729" i="2"/>
  <c r="C5728" i="2"/>
  <c r="B5728" i="2"/>
  <c r="C5727" i="2"/>
  <c r="B5727" i="2"/>
  <c r="C5726" i="2"/>
  <c r="B5726" i="2"/>
  <c r="C5725" i="2"/>
  <c r="B5725" i="2"/>
  <c r="C5724" i="2"/>
  <c r="B5724" i="2"/>
  <c r="C5723" i="2"/>
  <c r="B5723" i="2"/>
  <c r="C5722" i="2"/>
  <c r="B5722" i="2"/>
  <c r="C5721" i="2"/>
  <c r="B5721" i="2"/>
  <c r="C5720" i="2"/>
  <c r="B5720" i="2"/>
  <c r="C5719" i="2"/>
  <c r="B5719" i="2"/>
  <c r="C5718" i="2"/>
  <c r="B5718" i="2"/>
  <c r="C5717" i="2"/>
  <c r="B5717" i="2"/>
  <c r="C5716" i="2"/>
  <c r="B5716" i="2"/>
  <c r="C5715" i="2"/>
  <c r="B5715" i="2"/>
  <c r="C5714" i="2"/>
  <c r="B5714" i="2"/>
  <c r="C5713" i="2"/>
  <c r="B5713" i="2"/>
  <c r="C5712" i="2"/>
  <c r="B5712" i="2"/>
  <c r="C5711" i="2"/>
  <c r="B5711" i="2"/>
  <c r="C5710" i="2"/>
  <c r="B5710" i="2"/>
  <c r="C5709" i="2"/>
  <c r="B5709" i="2"/>
  <c r="C5708" i="2"/>
  <c r="B5708" i="2"/>
  <c r="C5707" i="2"/>
  <c r="B5707" i="2"/>
  <c r="C5706" i="2"/>
  <c r="B5706" i="2"/>
  <c r="C5705" i="2"/>
  <c r="B5705" i="2"/>
  <c r="C5704" i="2"/>
  <c r="B5704" i="2"/>
  <c r="C5703" i="2"/>
  <c r="B5703" i="2"/>
  <c r="C5702" i="2"/>
  <c r="B5702" i="2"/>
  <c r="C5701" i="2"/>
  <c r="B5701" i="2"/>
  <c r="C5700" i="2"/>
  <c r="B5700" i="2"/>
  <c r="C5699" i="2"/>
  <c r="B5699" i="2"/>
  <c r="C5698" i="2"/>
  <c r="B5698" i="2"/>
  <c r="C5697" i="2"/>
  <c r="B5697" i="2"/>
  <c r="C5696" i="2"/>
  <c r="B5696" i="2"/>
  <c r="C5695" i="2"/>
  <c r="B5695" i="2"/>
  <c r="C5694" i="2"/>
  <c r="B5694" i="2"/>
  <c r="C5693" i="2"/>
  <c r="B5693" i="2"/>
  <c r="C5692" i="2"/>
  <c r="B5692" i="2"/>
  <c r="C5691" i="2"/>
  <c r="B5691" i="2"/>
  <c r="C5690" i="2"/>
  <c r="B5690" i="2"/>
  <c r="C5689" i="2"/>
  <c r="B5689" i="2"/>
  <c r="C5688" i="2"/>
  <c r="B5688" i="2"/>
  <c r="C5687" i="2"/>
  <c r="B5687" i="2"/>
  <c r="C5686" i="2"/>
  <c r="B5686" i="2"/>
  <c r="C5685" i="2"/>
  <c r="B5685" i="2"/>
  <c r="C5684" i="2"/>
  <c r="B5684" i="2"/>
  <c r="C5683" i="2"/>
  <c r="B5683" i="2"/>
  <c r="C5682" i="2"/>
  <c r="B5682" i="2"/>
  <c r="C5681" i="2"/>
  <c r="B5681" i="2"/>
  <c r="C5680" i="2"/>
  <c r="B5680" i="2"/>
  <c r="C5679" i="2"/>
  <c r="B5679" i="2"/>
  <c r="C5678" i="2"/>
  <c r="B5678" i="2"/>
  <c r="C5677" i="2"/>
  <c r="B5677" i="2"/>
  <c r="C5676" i="2"/>
  <c r="B5676" i="2"/>
  <c r="C5675" i="2"/>
  <c r="B5675" i="2"/>
  <c r="C5674" i="2"/>
  <c r="B5674" i="2"/>
  <c r="C5673" i="2"/>
  <c r="B5673" i="2"/>
  <c r="C5672" i="2"/>
  <c r="B5672" i="2"/>
  <c r="C5671" i="2"/>
  <c r="B5671" i="2"/>
  <c r="C5670" i="2"/>
  <c r="B5670" i="2"/>
  <c r="C5669" i="2"/>
  <c r="B5669" i="2"/>
  <c r="C5668" i="2"/>
  <c r="B5668" i="2"/>
  <c r="C5667" i="2"/>
  <c r="B5667" i="2"/>
  <c r="C5666" i="2"/>
  <c r="B5666" i="2"/>
  <c r="C5665" i="2"/>
  <c r="B5665" i="2"/>
  <c r="C5664" i="2"/>
  <c r="B5664" i="2"/>
  <c r="C5663" i="2"/>
  <c r="B5663" i="2"/>
  <c r="C5662" i="2"/>
  <c r="B5662" i="2"/>
  <c r="C5661" i="2"/>
  <c r="B5661" i="2"/>
  <c r="C5660" i="2"/>
  <c r="B5660" i="2"/>
  <c r="C5659" i="2"/>
  <c r="B5659" i="2"/>
  <c r="C5658" i="2"/>
  <c r="B5658" i="2"/>
  <c r="C5657" i="2"/>
  <c r="B5657" i="2"/>
  <c r="C5656" i="2"/>
  <c r="B5656" i="2"/>
  <c r="C5655" i="2"/>
  <c r="B5655" i="2"/>
  <c r="C5654" i="2"/>
  <c r="B5654" i="2"/>
  <c r="C5653" i="2"/>
  <c r="B5653" i="2"/>
  <c r="C5652" i="2"/>
  <c r="B5652" i="2"/>
  <c r="C5651" i="2"/>
  <c r="B5651" i="2"/>
  <c r="C5650" i="2"/>
  <c r="B5650" i="2"/>
  <c r="C5649" i="2"/>
  <c r="B5649" i="2"/>
  <c r="C5648" i="2"/>
  <c r="B5648" i="2"/>
  <c r="C5647" i="2"/>
  <c r="B5647" i="2"/>
  <c r="C5646" i="2"/>
  <c r="B5646" i="2"/>
  <c r="C5645" i="2"/>
  <c r="B5645" i="2"/>
  <c r="C5644" i="2"/>
  <c r="B5644" i="2"/>
  <c r="C5643" i="2"/>
  <c r="B5643" i="2"/>
  <c r="C5642" i="2"/>
  <c r="B5642" i="2"/>
  <c r="C5641" i="2"/>
  <c r="B5641" i="2"/>
  <c r="C5640" i="2"/>
  <c r="B5640" i="2"/>
  <c r="C5639" i="2"/>
  <c r="B5639" i="2"/>
  <c r="C5638" i="2"/>
  <c r="B5638" i="2"/>
  <c r="C5637" i="2"/>
  <c r="B5637" i="2"/>
  <c r="C5636" i="2"/>
  <c r="B5636" i="2"/>
  <c r="C5635" i="2"/>
  <c r="B5635" i="2"/>
  <c r="C5634" i="2"/>
  <c r="B5634" i="2"/>
  <c r="C5633" i="2"/>
  <c r="B5633" i="2"/>
  <c r="C5632" i="2"/>
  <c r="B5632" i="2"/>
  <c r="C5631" i="2"/>
  <c r="B5631" i="2"/>
  <c r="C5630" i="2"/>
  <c r="B5630" i="2"/>
  <c r="C5629" i="2"/>
  <c r="B5629" i="2"/>
  <c r="C5628" i="2"/>
  <c r="B5628" i="2"/>
  <c r="C5627" i="2"/>
  <c r="B5627" i="2"/>
  <c r="C5626" i="2"/>
  <c r="B5626" i="2"/>
  <c r="C5625" i="2"/>
  <c r="B5625" i="2"/>
  <c r="C5624" i="2"/>
  <c r="B5624" i="2"/>
  <c r="C5623" i="2"/>
  <c r="B5623" i="2"/>
  <c r="C5622" i="2"/>
  <c r="B5622" i="2"/>
  <c r="C5621" i="2"/>
  <c r="B5621" i="2"/>
  <c r="C5620" i="2"/>
  <c r="B5620" i="2"/>
  <c r="C5619" i="2"/>
  <c r="B5619" i="2"/>
  <c r="C5618" i="2"/>
  <c r="B5618" i="2"/>
  <c r="C5617" i="2"/>
  <c r="B5617" i="2"/>
  <c r="C5616" i="2"/>
  <c r="B5616" i="2"/>
  <c r="C5615" i="2"/>
  <c r="B5615" i="2"/>
  <c r="C5614" i="2"/>
  <c r="B5614" i="2"/>
  <c r="C5613" i="2"/>
  <c r="B5613" i="2"/>
  <c r="C5612" i="2"/>
  <c r="B5612" i="2"/>
  <c r="C5611" i="2"/>
  <c r="B5611" i="2"/>
  <c r="C5610" i="2"/>
  <c r="B5610" i="2"/>
  <c r="C5609" i="2"/>
  <c r="B5609" i="2"/>
  <c r="C5608" i="2"/>
  <c r="B5608" i="2"/>
  <c r="C5607" i="2"/>
  <c r="B5607" i="2"/>
  <c r="C5606" i="2"/>
  <c r="B5606" i="2"/>
  <c r="C5605" i="2"/>
  <c r="B5605" i="2"/>
  <c r="C5604" i="2"/>
  <c r="B5604" i="2"/>
  <c r="C5603" i="2"/>
  <c r="B5603" i="2"/>
  <c r="C5602" i="2"/>
  <c r="B5602" i="2"/>
  <c r="C5601" i="2"/>
  <c r="B5601" i="2"/>
  <c r="C5600" i="2"/>
  <c r="B5600" i="2"/>
  <c r="C5599" i="2"/>
  <c r="B5599" i="2"/>
  <c r="C5598" i="2"/>
  <c r="B5598" i="2"/>
  <c r="C5597" i="2"/>
  <c r="B5597" i="2"/>
  <c r="C5596" i="2"/>
  <c r="B5596" i="2"/>
  <c r="C5595" i="2"/>
  <c r="B5595" i="2"/>
  <c r="C5594" i="2"/>
  <c r="B5594" i="2"/>
  <c r="C5593" i="2"/>
  <c r="B5593" i="2"/>
  <c r="C5592" i="2"/>
  <c r="B5592" i="2"/>
  <c r="C5591" i="2"/>
  <c r="B5591" i="2"/>
  <c r="C5590" i="2"/>
  <c r="B5590" i="2"/>
  <c r="C5589" i="2"/>
  <c r="B5589" i="2"/>
  <c r="C5588" i="2"/>
  <c r="B5588" i="2"/>
  <c r="C5587" i="2"/>
  <c r="B5587" i="2"/>
  <c r="C5586" i="2"/>
  <c r="B5586" i="2"/>
  <c r="C5585" i="2"/>
  <c r="B5585" i="2"/>
  <c r="C5584" i="2"/>
  <c r="B5584" i="2"/>
  <c r="C5583" i="2"/>
  <c r="B5583" i="2"/>
  <c r="C5582" i="2"/>
  <c r="B5582" i="2"/>
  <c r="C5581" i="2"/>
  <c r="B5581" i="2"/>
  <c r="C5580" i="2"/>
  <c r="B5580" i="2"/>
  <c r="C5579" i="2"/>
  <c r="B5579" i="2"/>
  <c r="C5578" i="2"/>
  <c r="B5578" i="2"/>
  <c r="C5577" i="2"/>
  <c r="B5577" i="2"/>
  <c r="C5576" i="2"/>
  <c r="B5576" i="2"/>
  <c r="C5575" i="2"/>
  <c r="B5575" i="2"/>
  <c r="C5574" i="2"/>
  <c r="B5574" i="2"/>
  <c r="C5573" i="2"/>
  <c r="B5573" i="2"/>
  <c r="C5572" i="2"/>
  <c r="B5572" i="2"/>
  <c r="C5571" i="2"/>
  <c r="B5571" i="2"/>
  <c r="C5570" i="2"/>
  <c r="B5570" i="2"/>
  <c r="C5569" i="2"/>
  <c r="B5569" i="2"/>
  <c r="C5568" i="2"/>
  <c r="B5568" i="2"/>
  <c r="C5567" i="2"/>
  <c r="B5567" i="2"/>
  <c r="C5566" i="2"/>
  <c r="B5566" i="2"/>
  <c r="C5565" i="2"/>
  <c r="B5565" i="2"/>
  <c r="C5564" i="2"/>
  <c r="B5564" i="2"/>
  <c r="C5563" i="2"/>
  <c r="B5563" i="2"/>
  <c r="C5562" i="2"/>
  <c r="B5562" i="2"/>
  <c r="C5561" i="2"/>
  <c r="B5561" i="2"/>
  <c r="C5560" i="2"/>
  <c r="B5560" i="2"/>
  <c r="C5559" i="2"/>
  <c r="B5559" i="2"/>
  <c r="C5558" i="2"/>
  <c r="B5558" i="2"/>
  <c r="C5557" i="2"/>
  <c r="B5557" i="2"/>
  <c r="C5556" i="2"/>
  <c r="B5556" i="2"/>
  <c r="C5555" i="2"/>
  <c r="B5555" i="2"/>
  <c r="C5554" i="2"/>
  <c r="B5554" i="2"/>
  <c r="C5553" i="2"/>
  <c r="B5553" i="2"/>
  <c r="C5552" i="2"/>
  <c r="B5552" i="2"/>
  <c r="C5551" i="2"/>
  <c r="B5551" i="2"/>
  <c r="C5550" i="2"/>
  <c r="B5550" i="2"/>
  <c r="C5549" i="2"/>
  <c r="B5549" i="2"/>
  <c r="C5548" i="2"/>
  <c r="B5548" i="2"/>
  <c r="C5547" i="2"/>
  <c r="B5547" i="2"/>
  <c r="C5546" i="2"/>
  <c r="B5546" i="2"/>
  <c r="C5545" i="2"/>
  <c r="B5545" i="2"/>
  <c r="C5544" i="2"/>
  <c r="B5544" i="2"/>
  <c r="C5543" i="2"/>
  <c r="B5543" i="2"/>
  <c r="C5542" i="2"/>
  <c r="B5542" i="2"/>
  <c r="C5541" i="2"/>
  <c r="B5541" i="2"/>
  <c r="C5540" i="2"/>
  <c r="B5540" i="2"/>
  <c r="C5539" i="2"/>
  <c r="B5539" i="2"/>
  <c r="C5538" i="2"/>
  <c r="B5538" i="2"/>
  <c r="C5537" i="2"/>
  <c r="B5537" i="2"/>
  <c r="C5536" i="2"/>
  <c r="B5536" i="2"/>
  <c r="C5535" i="2"/>
  <c r="B5535" i="2"/>
  <c r="C5534" i="2"/>
  <c r="B5534" i="2"/>
  <c r="C5533" i="2"/>
  <c r="B5533" i="2"/>
  <c r="C5532" i="2"/>
  <c r="B5532" i="2"/>
  <c r="C5531" i="2"/>
  <c r="B5531" i="2"/>
  <c r="C5530" i="2"/>
  <c r="B5530" i="2"/>
  <c r="C5529" i="2"/>
  <c r="B5529" i="2"/>
  <c r="C5528" i="2"/>
  <c r="B5528" i="2"/>
  <c r="C5527" i="2"/>
  <c r="B5527" i="2"/>
  <c r="C5526" i="2"/>
  <c r="B5526" i="2"/>
  <c r="C5525" i="2"/>
  <c r="B5525" i="2"/>
  <c r="C5524" i="2"/>
  <c r="B5524" i="2"/>
  <c r="C5523" i="2"/>
  <c r="B5523" i="2"/>
  <c r="C5522" i="2"/>
  <c r="B5522" i="2"/>
  <c r="C5521" i="2"/>
  <c r="B5521" i="2"/>
  <c r="C5520" i="2"/>
  <c r="B5520" i="2"/>
  <c r="C5519" i="2"/>
  <c r="B5519" i="2"/>
  <c r="C5518" i="2"/>
  <c r="B5518" i="2"/>
  <c r="C5517" i="2"/>
  <c r="B5517" i="2"/>
  <c r="C5516" i="2"/>
  <c r="B5516" i="2"/>
  <c r="C5515" i="2"/>
  <c r="B5515" i="2"/>
  <c r="C5514" i="2"/>
  <c r="B5514" i="2"/>
  <c r="C5513" i="2"/>
  <c r="B5513" i="2"/>
  <c r="C5512" i="2"/>
  <c r="B5512" i="2"/>
  <c r="C5511" i="2"/>
  <c r="B5511" i="2"/>
  <c r="C5510" i="2"/>
  <c r="B5510" i="2"/>
  <c r="C5509" i="2"/>
  <c r="B5509" i="2"/>
  <c r="C5508" i="2"/>
  <c r="B5508" i="2"/>
  <c r="C5507" i="2"/>
  <c r="B5507" i="2"/>
  <c r="C5506" i="2"/>
  <c r="B5506" i="2"/>
  <c r="C5505" i="2"/>
  <c r="B5505" i="2"/>
  <c r="C5504" i="2"/>
  <c r="B5504" i="2"/>
  <c r="C5503" i="2"/>
  <c r="B5503" i="2"/>
  <c r="C5502" i="2"/>
  <c r="B5502" i="2"/>
  <c r="C5501" i="2"/>
  <c r="B5501" i="2"/>
  <c r="C5500" i="2"/>
  <c r="B5500" i="2"/>
  <c r="C5499" i="2"/>
  <c r="B5499" i="2"/>
  <c r="C5498" i="2"/>
  <c r="B5498" i="2"/>
  <c r="C5497" i="2"/>
  <c r="B5497" i="2"/>
  <c r="C5496" i="2"/>
  <c r="B5496" i="2"/>
  <c r="C5495" i="2"/>
  <c r="B5495" i="2"/>
  <c r="C5494" i="2"/>
  <c r="B5494" i="2"/>
  <c r="C5493" i="2"/>
  <c r="B5493" i="2"/>
  <c r="C5492" i="2"/>
  <c r="B5492" i="2"/>
  <c r="C5491" i="2"/>
  <c r="B5491" i="2"/>
  <c r="C5490" i="2"/>
  <c r="B5490" i="2"/>
  <c r="C5489" i="2"/>
  <c r="B5489" i="2"/>
  <c r="C5488" i="2"/>
  <c r="B5488" i="2"/>
  <c r="C5487" i="2"/>
  <c r="B5487" i="2"/>
  <c r="C5486" i="2"/>
  <c r="B5486" i="2"/>
  <c r="C5485" i="2"/>
  <c r="B5485" i="2"/>
  <c r="C5484" i="2"/>
  <c r="B5484" i="2"/>
  <c r="C5483" i="2"/>
  <c r="B5483" i="2"/>
  <c r="C5482" i="2"/>
  <c r="B5482" i="2"/>
  <c r="C5481" i="2"/>
  <c r="B5481" i="2"/>
  <c r="C5480" i="2"/>
  <c r="B5480" i="2"/>
  <c r="C5479" i="2"/>
  <c r="B5479" i="2"/>
  <c r="C5478" i="2"/>
  <c r="B5478" i="2"/>
  <c r="C5477" i="2"/>
  <c r="B5477" i="2"/>
  <c r="C5476" i="2"/>
  <c r="B5476" i="2"/>
  <c r="C5475" i="2"/>
  <c r="B5475" i="2"/>
  <c r="C5474" i="2"/>
  <c r="B5474" i="2"/>
  <c r="C5473" i="2"/>
  <c r="B5473" i="2"/>
  <c r="C5472" i="2"/>
  <c r="B5472" i="2"/>
  <c r="C5471" i="2"/>
  <c r="B5471" i="2"/>
  <c r="C5470" i="2"/>
  <c r="B5470" i="2"/>
  <c r="C5469" i="2"/>
  <c r="B5469" i="2"/>
  <c r="C5468" i="2"/>
  <c r="B5468" i="2"/>
  <c r="C5467" i="2"/>
  <c r="B5467" i="2"/>
  <c r="C5466" i="2"/>
  <c r="B5466" i="2"/>
  <c r="C5465" i="2"/>
  <c r="B5465" i="2"/>
  <c r="C5464" i="2"/>
  <c r="B5464" i="2"/>
  <c r="C5463" i="2"/>
  <c r="B5463" i="2"/>
  <c r="C5462" i="2"/>
  <c r="B5462" i="2"/>
  <c r="C5461" i="2"/>
  <c r="B5461" i="2"/>
  <c r="C5460" i="2"/>
  <c r="B5460" i="2"/>
  <c r="C5459" i="2"/>
  <c r="B5459" i="2"/>
  <c r="C5458" i="2"/>
  <c r="B5458" i="2"/>
  <c r="C5457" i="2"/>
  <c r="B5457" i="2"/>
  <c r="C5456" i="2"/>
  <c r="B5456" i="2"/>
  <c r="C5455" i="2"/>
  <c r="B5455" i="2"/>
  <c r="C5454" i="2"/>
  <c r="B5454" i="2"/>
  <c r="C5453" i="2"/>
  <c r="B5453" i="2"/>
  <c r="C5452" i="2"/>
  <c r="B5452" i="2"/>
  <c r="C5451" i="2"/>
  <c r="B5451" i="2"/>
  <c r="C5450" i="2"/>
  <c r="B5450" i="2"/>
  <c r="C5449" i="2"/>
  <c r="B5449" i="2"/>
  <c r="C5448" i="2"/>
  <c r="B5448" i="2"/>
  <c r="C5447" i="2"/>
  <c r="B5447" i="2"/>
  <c r="C5446" i="2"/>
  <c r="B5446" i="2"/>
  <c r="C5445" i="2"/>
  <c r="B5445" i="2"/>
  <c r="C5444" i="2"/>
  <c r="B5444" i="2"/>
  <c r="C5443" i="2"/>
  <c r="B5443" i="2"/>
  <c r="C5442" i="2"/>
  <c r="B5442" i="2"/>
  <c r="C5441" i="2"/>
  <c r="B5441" i="2"/>
  <c r="C5440" i="2"/>
  <c r="B5440" i="2"/>
  <c r="C5439" i="2"/>
  <c r="B5439" i="2"/>
  <c r="C5438" i="2"/>
  <c r="B5438" i="2"/>
  <c r="C5437" i="2"/>
  <c r="B5437" i="2"/>
  <c r="C5436" i="2"/>
  <c r="B5436" i="2"/>
  <c r="C5435" i="2"/>
  <c r="B5435" i="2"/>
  <c r="C5434" i="2"/>
  <c r="B5434" i="2"/>
  <c r="C5433" i="2"/>
  <c r="B5433" i="2"/>
  <c r="C5432" i="2"/>
  <c r="B5432" i="2"/>
  <c r="C5431" i="2"/>
  <c r="B5431" i="2"/>
  <c r="C5430" i="2"/>
  <c r="B5430" i="2"/>
  <c r="C5429" i="2"/>
  <c r="B5429" i="2"/>
  <c r="C5428" i="2"/>
  <c r="B5428" i="2"/>
  <c r="C5427" i="2"/>
  <c r="B5427" i="2"/>
  <c r="C5426" i="2"/>
  <c r="B5426" i="2"/>
  <c r="C5425" i="2"/>
  <c r="B5425" i="2"/>
  <c r="C5424" i="2"/>
  <c r="B5424" i="2"/>
  <c r="C5423" i="2"/>
  <c r="B5423" i="2"/>
  <c r="C5422" i="2"/>
  <c r="B5422" i="2"/>
  <c r="C5421" i="2"/>
  <c r="B5421" i="2"/>
  <c r="C5420" i="2"/>
  <c r="B5420" i="2"/>
  <c r="C5419" i="2"/>
  <c r="B5419" i="2"/>
  <c r="C5418" i="2"/>
  <c r="B5418" i="2"/>
  <c r="C5417" i="2"/>
  <c r="B5417" i="2"/>
  <c r="C5416" i="2"/>
  <c r="B5416" i="2"/>
  <c r="C5415" i="2"/>
  <c r="B5415" i="2"/>
  <c r="C5414" i="2"/>
  <c r="B5414" i="2"/>
  <c r="C5413" i="2"/>
  <c r="B5413" i="2"/>
  <c r="C5412" i="2"/>
  <c r="B5412" i="2"/>
  <c r="C5411" i="2"/>
  <c r="B5411" i="2"/>
  <c r="C5410" i="2"/>
  <c r="B5410" i="2"/>
  <c r="C5409" i="2"/>
  <c r="B5409" i="2"/>
  <c r="C5408" i="2"/>
  <c r="B5408" i="2"/>
  <c r="C5407" i="2"/>
  <c r="B5407" i="2"/>
  <c r="C5406" i="2"/>
  <c r="B5406" i="2"/>
  <c r="C5405" i="2"/>
  <c r="B5405" i="2"/>
  <c r="C5404" i="2"/>
  <c r="B5404" i="2"/>
  <c r="C5403" i="2"/>
  <c r="B5403" i="2"/>
  <c r="C5402" i="2"/>
  <c r="B5402" i="2"/>
  <c r="C5401" i="2"/>
  <c r="B5401" i="2"/>
  <c r="C5400" i="2"/>
  <c r="B5400" i="2"/>
  <c r="C5399" i="2"/>
  <c r="B5399" i="2"/>
  <c r="C5398" i="2"/>
  <c r="B5398" i="2"/>
  <c r="C5397" i="2"/>
  <c r="B5397" i="2"/>
  <c r="C5396" i="2"/>
  <c r="B5396" i="2"/>
  <c r="C5395" i="2"/>
  <c r="B5395" i="2"/>
  <c r="C5394" i="2"/>
  <c r="B5394" i="2"/>
  <c r="C5393" i="2"/>
  <c r="B5393" i="2"/>
  <c r="C5392" i="2"/>
  <c r="B5392" i="2"/>
  <c r="C5391" i="2"/>
  <c r="B5391" i="2"/>
  <c r="C5390" i="2"/>
  <c r="B5390" i="2"/>
  <c r="C5389" i="2"/>
  <c r="B5389" i="2"/>
  <c r="C5388" i="2"/>
  <c r="B5388" i="2"/>
  <c r="C5387" i="2"/>
  <c r="B5387" i="2"/>
  <c r="C5386" i="2"/>
  <c r="B5386" i="2"/>
  <c r="C5385" i="2"/>
  <c r="B5385" i="2"/>
  <c r="C5384" i="2"/>
  <c r="B5384" i="2"/>
  <c r="C5383" i="2"/>
  <c r="B5383" i="2"/>
  <c r="C5382" i="2"/>
  <c r="B5382" i="2"/>
  <c r="C5381" i="2"/>
  <c r="B5381" i="2"/>
  <c r="C5380" i="2"/>
  <c r="B5380" i="2"/>
  <c r="C5379" i="2"/>
  <c r="B5379" i="2"/>
  <c r="C5378" i="2"/>
  <c r="B5378" i="2"/>
  <c r="C5377" i="2"/>
  <c r="B5377" i="2"/>
  <c r="C5376" i="2"/>
  <c r="B5376" i="2"/>
  <c r="C5375" i="2"/>
  <c r="B5375" i="2"/>
  <c r="C5374" i="2"/>
  <c r="B5374" i="2"/>
  <c r="C5373" i="2"/>
  <c r="B5373" i="2"/>
  <c r="C5372" i="2"/>
  <c r="B5372" i="2"/>
  <c r="C5371" i="2"/>
  <c r="B5371" i="2"/>
  <c r="C5370" i="2"/>
  <c r="B5370" i="2"/>
  <c r="C5369" i="2"/>
  <c r="B5369" i="2"/>
  <c r="C5368" i="2"/>
  <c r="B5368" i="2"/>
  <c r="C5367" i="2"/>
  <c r="B5367" i="2"/>
  <c r="C5366" i="2"/>
  <c r="B5366" i="2"/>
  <c r="C5365" i="2"/>
  <c r="B5365" i="2"/>
  <c r="C5364" i="2"/>
  <c r="B5364" i="2"/>
  <c r="C5363" i="2"/>
  <c r="B5363" i="2"/>
  <c r="C5362" i="2"/>
  <c r="B5362" i="2"/>
  <c r="C5361" i="2"/>
  <c r="B5361" i="2"/>
  <c r="C5360" i="2"/>
  <c r="B5360" i="2"/>
  <c r="C5359" i="2"/>
  <c r="B5359" i="2"/>
  <c r="C5358" i="2"/>
  <c r="B5358" i="2"/>
  <c r="C5357" i="2"/>
  <c r="B5357" i="2"/>
  <c r="C5356" i="2"/>
  <c r="B5356" i="2"/>
  <c r="C5355" i="2"/>
  <c r="B5355" i="2"/>
  <c r="C5354" i="2"/>
  <c r="B5354" i="2"/>
  <c r="C5353" i="2"/>
  <c r="B5353" i="2"/>
  <c r="C5352" i="2"/>
  <c r="B5352" i="2"/>
  <c r="C5351" i="2"/>
  <c r="B5351" i="2"/>
  <c r="C5350" i="2"/>
  <c r="B5350" i="2"/>
  <c r="C5349" i="2"/>
  <c r="B5349" i="2"/>
  <c r="C5348" i="2"/>
  <c r="B5348" i="2"/>
  <c r="C5347" i="2"/>
  <c r="B5347" i="2"/>
  <c r="C5346" i="2"/>
  <c r="B5346" i="2"/>
  <c r="C5345" i="2"/>
  <c r="B5345" i="2"/>
  <c r="C5344" i="2"/>
  <c r="B5344" i="2"/>
  <c r="C5343" i="2"/>
  <c r="B5343" i="2"/>
  <c r="C5342" i="2"/>
  <c r="B5342" i="2"/>
  <c r="C5341" i="2"/>
  <c r="B5341" i="2"/>
  <c r="C5340" i="2"/>
  <c r="B5340" i="2"/>
  <c r="C5339" i="2"/>
  <c r="B5339" i="2"/>
  <c r="C5338" i="2"/>
  <c r="B5338" i="2"/>
  <c r="C5337" i="2"/>
  <c r="B5337" i="2"/>
  <c r="C5336" i="2"/>
  <c r="B5336" i="2"/>
  <c r="C5335" i="2"/>
  <c r="B5335" i="2"/>
  <c r="C5334" i="2"/>
  <c r="B5334" i="2"/>
  <c r="C5333" i="2"/>
  <c r="B5333" i="2"/>
  <c r="C5332" i="2"/>
  <c r="B5332" i="2"/>
  <c r="C5331" i="2"/>
  <c r="B5331" i="2"/>
  <c r="C5330" i="2"/>
  <c r="B5330" i="2"/>
  <c r="C5329" i="2"/>
  <c r="B5329" i="2"/>
  <c r="C5328" i="2"/>
  <c r="B5328" i="2"/>
  <c r="C5327" i="2"/>
  <c r="B5327" i="2"/>
  <c r="C5326" i="2"/>
  <c r="B5326" i="2"/>
  <c r="C5325" i="2"/>
  <c r="B5325" i="2"/>
  <c r="C5324" i="2"/>
  <c r="B5324" i="2"/>
  <c r="C5323" i="2"/>
  <c r="B5323" i="2"/>
  <c r="C5322" i="2"/>
  <c r="B5322" i="2"/>
  <c r="C5321" i="2"/>
  <c r="B5321" i="2"/>
  <c r="C5320" i="2"/>
  <c r="B5320" i="2"/>
  <c r="C5319" i="2"/>
  <c r="B5319" i="2"/>
  <c r="C5318" i="2"/>
  <c r="B5318" i="2"/>
  <c r="C5317" i="2"/>
  <c r="B5317" i="2"/>
  <c r="C5316" i="2"/>
  <c r="B5316" i="2"/>
  <c r="C5315" i="2"/>
  <c r="B5315" i="2"/>
  <c r="C5314" i="2"/>
  <c r="B5314" i="2"/>
  <c r="C5313" i="2"/>
  <c r="B5313" i="2"/>
  <c r="C5312" i="2"/>
  <c r="B5312" i="2"/>
  <c r="C5311" i="2"/>
  <c r="B5311" i="2"/>
  <c r="C5310" i="2"/>
  <c r="B5310" i="2"/>
  <c r="C5309" i="2"/>
  <c r="B5309" i="2"/>
  <c r="C5308" i="2"/>
  <c r="B5308" i="2"/>
  <c r="C5307" i="2"/>
  <c r="B5307" i="2"/>
  <c r="C5306" i="2"/>
  <c r="B5306" i="2"/>
  <c r="C5305" i="2"/>
  <c r="B5305" i="2"/>
  <c r="C5304" i="2"/>
  <c r="B5304" i="2"/>
  <c r="C5303" i="2"/>
  <c r="B5303" i="2"/>
  <c r="C5302" i="2"/>
  <c r="B5302" i="2"/>
  <c r="C5301" i="2"/>
  <c r="B5301" i="2"/>
  <c r="C5300" i="2"/>
  <c r="B5300" i="2"/>
  <c r="C5299" i="2"/>
  <c r="B5299" i="2"/>
  <c r="C5298" i="2"/>
  <c r="B5298" i="2"/>
  <c r="C5297" i="2"/>
  <c r="B5297" i="2"/>
  <c r="C5296" i="2"/>
  <c r="B5296" i="2"/>
  <c r="C5295" i="2"/>
  <c r="B5295" i="2"/>
  <c r="C5294" i="2"/>
  <c r="B5294" i="2"/>
  <c r="C5293" i="2"/>
  <c r="B5293" i="2"/>
  <c r="C5292" i="2"/>
  <c r="B5292" i="2"/>
  <c r="C5291" i="2"/>
  <c r="B5291" i="2"/>
  <c r="C5290" i="2"/>
  <c r="B5290" i="2"/>
  <c r="C5289" i="2"/>
  <c r="B5289" i="2"/>
  <c r="C5288" i="2"/>
  <c r="B5288" i="2"/>
  <c r="C5287" i="2"/>
  <c r="B5287" i="2"/>
  <c r="C5286" i="2"/>
  <c r="B5286" i="2"/>
  <c r="C5285" i="2"/>
  <c r="B5285" i="2"/>
  <c r="C5284" i="2"/>
  <c r="B5284" i="2"/>
  <c r="C5283" i="2"/>
  <c r="B5283" i="2"/>
  <c r="C5282" i="2"/>
  <c r="B5282" i="2"/>
  <c r="C5281" i="2"/>
  <c r="B5281" i="2"/>
  <c r="C5280" i="2"/>
  <c r="B5280" i="2"/>
  <c r="C5279" i="2"/>
  <c r="B5279" i="2"/>
  <c r="C5278" i="2"/>
  <c r="B5278" i="2"/>
  <c r="C5277" i="2"/>
  <c r="B5277" i="2"/>
  <c r="C5276" i="2"/>
  <c r="B5276" i="2"/>
  <c r="C5275" i="2"/>
  <c r="B5275" i="2"/>
  <c r="C5274" i="2"/>
  <c r="B5274" i="2"/>
  <c r="C5273" i="2"/>
  <c r="B5273" i="2"/>
  <c r="C5272" i="2"/>
  <c r="B5272" i="2"/>
  <c r="C5271" i="2"/>
  <c r="B5271" i="2"/>
  <c r="C5270" i="2"/>
  <c r="B5270" i="2"/>
  <c r="C5269" i="2"/>
  <c r="B5269" i="2"/>
  <c r="C5268" i="2"/>
  <c r="B5268" i="2"/>
  <c r="C5267" i="2"/>
  <c r="B5267" i="2"/>
  <c r="C5266" i="2"/>
  <c r="B5266" i="2"/>
  <c r="C5265" i="2"/>
  <c r="B5265" i="2"/>
  <c r="C5264" i="2"/>
  <c r="B5264" i="2"/>
  <c r="C5263" i="2"/>
  <c r="B5263" i="2"/>
  <c r="C5262" i="2"/>
  <c r="B5262" i="2"/>
  <c r="C5261" i="2"/>
  <c r="B5261" i="2"/>
  <c r="C5260" i="2"/>
  <c r="B5260" i="2"/>
  <c r="C5259" i="2"/>
  <c r="B5259" i="2"/>
  <c r="C5258" i="2"/>
  <c r="B5258" i="2"/>
  <c r="C5257" i="2"/>
  <c r="B5257" i="2"/>
  <c r="C5256" i="2"/>
  <c r="B5256" i="2"/>
  <c r="C5255" i="2"/>
  <c r="B5255" i="2"/>
  <c r="C5254" i="2"/>
  <c r="B5254" i="2"/>
  <c r="C5253" i="2"/>
  <c r="B5253" i="2"/>
  <c r="C5252" i="2"/>
  <c r="B5252" i="2"/>
  <c r="C5251" i="2"/>
  <c r="B5251" i="2"/>
  <c r="C5250" i="2"/>
  <c r="B5250" i="2"/>
  <c r="C5249" i="2"/>
  <c r="B5249" i="2"/>
  <c r="C5248" i="2"/>
  <c r="B5248" i="2"/>
  <c r="C5247" i="2"/>
  <c r="B5247" i="2"/>
  <c r="C5246" i="2"/>
  <c r="B5246" i="2"/>
  <c r="C5245" i="2"/>
  <c r="B5245" i="2"/>
  <c r="C5244" i="2"/>
  <c r="B5244" i="2"/>
  <c r="C5243" i="2"/>
  <c r="B5243" i="2"/>
  <c r="C5242" i="2"/>
  <c r="B5242" i="2"/>
  <c r="C5241" i="2"/>
  <c r="B5241" i="2"/>
  <c r="C5240" i="2"/>
  <c r="B5240" i="2"/>
  <c r="C5239" i="2"/>
  <c r="B5239" i="2"/>
  <c r="C5238" i="2"/>
  <c r="B5238" i="2"/>
  <c r="C5237" i="2"/>
  <c r="B5237" i="2"/>
  <c r="C5236" i="2"/>
  <c r="B5236" i="2"/>
  <c r="C5235" i="2"/>
  <c r="B5235" i="2"/>
  <c r="C5234" i="2"/>
  <c r="B5234" i="2"/>
  <c r="C5233" i="2"/>
  <c r="B5233" i="2"/>
  <c r="C5232" i="2"/>
  <c r="B5232" i="2"/>
  <c r="C5231" i="2"/>
  <c r="B5231" i="2"/>
  <c r="C5230" i="2"/>
  <c r="B5230" i="2"/>
  <c r="C5229" i="2"/>
  <c r="B5229" i="2"/>
  <c r="C5228" i="2"/>
  <c r="B5228" i="2"/>
  <c r="C5227" i="2"/>
  <c r="B5227" i="2"/>
  <c r="C5226" i="2"/>
  <c r="B5226" i="2"/>
  <c r="C5225" i="2"/>
  <c r="B5225" i="2"/>
  <c r="C5224" i="2"/>
  <c r="B5224" i="2"/>
  <c r="C5223" i="2"/>
  <c r="B5223" i="2"/>
  <c r="C5222" i="2"/>
  <c r="B5222" i="2"/>
  <c r="C5221" i="2"/>
  <c r="B5221" i="2"/>
  <c r="C5220" i="2"/>
  <c r="B5220" i="2"/>
  <c r="C5219" i="2"/>
  <c r="B5219" i="2"/>
  <c r="C5218" i="2"/>
  <c r="B5218" i="2"/>
  <c r="C5217" i="2"/>
  <c r="B5217" i="2"/>
  <c r="C5216" i="2"/>
  <c r="B5216" i="2"/>
  <c r="C5215" i="2"/>
  <c r="B5215" i="2"/>
  <c r="C5214" i="2"/>
  <c r="B5214" i="2"/>
  <c r="C5213" i="2"/>
  <c r="B5213" i="2"/>
  <c r="C5212" i="2"/>
  <c r="B5212" i="2"/>
  <c r="C5211" i="2"/>
  <c r="B5211" i="2"/>
  <c r="C5210" i="2"/>
  <c r="B5210" i="2"/>
  <c r="C5209" i="2"/>
  <c r="B5209" i="2"/>
  <c r="C5208" i="2"/>
  <c r="B5208" i="2"/>
  <c r="C5207" i="2"/>
  <c r="B5207" i="2"/>
  <c r="C5206" i="2"/>
  <c r="B5206" i="2"/>
  <c r="C5205" i="2"/>
  <c r="B5205" i="2"/>
  <c r="C5204" i="2"/>
  <c r="B5204" i="2"/>
  <c r="C5203" i="2"/>
  <c r="B5203" i="2"/>
  <c r="C5202" i="2"/>
  <c r="B5202" i="2"/>
  <c r="C5201" i="2"/>
  <c r="B5201" i="2"/>
  <c r="C5200" i="2"/>
  <c r="B5200" i="2"/>
  <c r="C5199" i="2"/>
  <c r="B5199" i="2"/>
  <c r="C5198" i="2"/>
  <c r="B5198" i="2"/>
  <c r="C5197" i="2"/>
  <c r="B5197" i="2"/>
  <c r="C5196" i="2"/>
  <c r="B5196" i="2"/>
  <c r="C5195" i="2"/>
  <c r="B5195" i="2"/>
  <c r="C5194" i="2"/>
  <c r="B5194" i="2"/>
  <c r="C5193" i="2"/>
  <c r="B5193" i="2"/>
  <c r="C5192" i="2"/>
  <c r="B5192" i="2"/>
  <c r="C5191" i="2"/>
  <c r="B5191" i="2"/>
  <c r="C5190" i="2"/>
  <c r="B5190" i="2"/>
  <c r="C5189" i="2"/>
  <c r="B5189" i="2"/>
  <c r="C5188" i="2"/>
  <c r="B5188" i="2"/>
  <c r="C5187" i="2"/>
  <c r="B5187" i="2"/>
  <c r="C5186" i="2"/>
  <c r="B5186" i="2"/>
  <c r="C5185" i="2"/>
  <c r="B5185" i="2"/>
  <c r="C5184" i="2"/>
  <c r="B5184" i="2"/>
  <c r="C5183" i="2"/>
  <c r="B5183" i="2"/>
  <c r="C5182" i="2"/>
  <c r="B5182" i="2"/>
  <c r="C5181" i="2"/>
  <c r="B5181" i="2"/>
  <c r="C5180" i="2"/>
  <c r="B5180" i="2"/>
  <c r="C5179" i="2"/>
  <c r="B5179" i="2"/>
  <c r="C5178" i="2"/>
  <c r="B5178" i="2"/>
  <c r="C5177" i="2"/>
  <c r="B5177" i="2"/>
  <c r="C5176" i="2"/>
  <c r="B5176" i="2"/>
  <c r="C5175" i="2"/>
  <c r="B5175" i="2"/>
  <c r="C5174" i="2"/>
  <c r="B5174" i="2"/>
  <c r="C5173" i="2"/>
  <c r="B5173" i="2"/>
  <c r="C5172" i="2"/>
  <c r="B5172" i="2"/>
  <c r="C5171" i="2"/>
  <c r="B5171" i="2"/>
  <c r="C5170" i="2"/>
  <c r="B5170" i="2"/>
  <c r="C5169" i="2"/>
  <c r="B5169" i="2"/>
  <c r="C5168" i="2"/>
  <c r="B5168" i="2"/>
  <c r="C5167" i="2"/>
  <c r="B5167" i="2"/>
  <c r="C5166" i="2"/>
  <c r="B5166" i="2"/>
  <c r="C5165" i="2"/>
  <c r="B5165" i="2"/>
  <c r="C5164" i="2"/>
  <c r="B5164" i="2"/>
  <c r="C5163" i="2"/>
  <c r="B5163" i="2"/>
  <c r="C5162" i="2"/>
  <c r="B5162" i="2"/>
  <c r="C5161" i="2"/>
  <c r="B5161" i="2"/>
  <c r="C5160" i="2"/>
  <c r="B5160" i="2"/>
  <c r="C5159" i="2"/>
  <c r="B5159" i="2"/>
  <c r="C5158" i="2"/>
  <c r="B5158" i="2"/>
  <c r="C5157" i="2"/>
  <c r="B5157" i="2"/>
  <c r="C5156" i="2"/>
  <c r="B5156" i="2"/>
  <c r="C5155" i="2"/>
  <c r="B5155" i="2"/>
  <c r="C5154" i="2"/>
  <c r="B5154" i="2"/>
  <c r="C5153" i="2"/>
  <c r="B5153" i="2"/>
  <c r="C5152" i="2"/>
  <c r="B5152" i="2"/>
  <c r="C5151" i="2"/>
  <c r="B5151" i="2"/>
  <c r="C5150" i="2"/>
  <c r="B5150" i="2"/>
  <c r="C5149" i="2"/>
  <c r="B5149" i="2"/>
  <c r="C5148" i="2"/>
  <c r="B5148" i="2"/>
  <c r="C5147" i="2"/>
  <c r="B5147" i="2"/>
  <c r="C5146" i="2"/>
  <c r="B5146" i="2"/>
  <c r="C5145" i="2"/>
  <c r="B5145" i="2"/>
  <c r="C5144" i="2"/>
  <c r="B5144" i="2"/>
  <c r="C5143" i="2"/>
  <c r="B5143" i="2"/>
  <c r="C5142" i="2"/>
  <c r="B5142" i="2"/>
  <c r="C5141" i="2"/>
  <c r="B5141" i="2"/>
  <c r="C5140" i="2"/>
  <c r="B5140" i="2"/>
  <c r="C5139" i="2"/>
  <c r="B5139" i="2"/>
  <c r="C5138" i="2"/>
  <c r="B5138" i="2"/>
  <c r="C5137" i="2"/>
  <c r="B5137" i="2"/>
  <c r="C5136" i="2"/>
  <c r="B5136" i="2"/>
  <c r="C5135" i="2"/>
  <c r="B5135" i="2"/>
  <c r="C5134" i="2"/>
  <c r="B5134" i="2"/>
  <c r="C5133" i="2"/>
  <c r="B5133" i="2"/>
  <c r="C5132" i="2"/>
  <c r="B5132" i="2"/>
  <c r="C5131" i="2"/>
  <c r="B5131" i="2"/>
  <c r="C5130" i="2"/>
  <c r="B5130" i="2"/>
  <c r="C5129" i="2"/>
  <c r="B5129" i="2"/>
  <c r="C5128" i="2"/>
  <c r="B5128" i="2"/>
  <c r="C5127" i="2"/>
  <c r="B5127" i="2"/>
  <c r="C5126" i="2"/>
  <c r="B5126" i="2"/>
  <c r="C5125" i="2"/>
  <c r="B5125" i="2"/>
  <c r="C5124" i="2"/>
  <c r="B5124" i="2"/>
  <c r="C5123" i="2"/>
  <c r="B5123" i="2"/>
  <c r="C5122" i="2"/>
  <c r="B5122" i="2"/>
  <c r="C5121" i="2"/>
  <c r="B5121" i="2"/>
  <c r="C5120" i="2"/>
  <c r="B5120" i="2"/>
  <c r="C5119" i="2"/>
  <c r="B5119" i="2"/>
  <c r="C5118" i="2"/>
  <c r="B5118" i="2"/>
  <c r="C5117" i="2"/>
  <c r="B5117" i="2"/>
  <c r="C5116" i="2"/>
  <c r="B5116" i="2"/>
  <c r="C5115" i="2"/>
  <c r="B5115" i="2"/>
  <c r="C5114" i="2"/>
  <c r="B5114" i="2"/>
  <c r="C5113" i="2"/>
  <c r="B5113" i="2"/>
  <c r="C5112" i="2"/>
  <c r="B5112" i="2"/>
  <c r="C5111" i="2"/>
  <c r="B5111" i="2"/>
  <c r="C5110" i="2"/>
  <c r="B5110" i="2"/>
  <c r="C5109" i="2"/>
  <c r="B5109" i="2"/>
  <c r="C5108" i="2"/>
  <c r="B5108" i="2"/>
  <c r="C5107" i="2"/>
  <c r="B5107" i="2"/>
  <c r="C5106" i="2"/>
  <c r="B5106" i="2"/>
  <c r="C5105" i="2"/>
  <c r="B5105" i="2"/>
  <c r="C5104" i="2"/>
  <c r="B5104" i="2"/>
  <c r="C5103" i="2"/>
  <c r="B5103" i="2"/>
  <c r="C5102" i="2"/>
  <c r="B5102" i="2"/>
  <c r="C5101" i="2"/>
  <c r="B5101" i="2"/>
  <c r="C5100" i="2"/>
  <c r="B5100" i="2"/>
  <c r="C5099" i="2"/>
  <c r="B5099" i="2"/>
  <c r="C5098" i="2"/>
  <c r="B5098" i="2"/>
  <c r="C5097" i="2"/>
  <c r="B5097" i="2"/>
  <c r="C5096" i="2"/>
  <c r="B5096" i="2"/>
  <c r="C5095" i="2"/>
  <c r="B5095" i="2"/>
  <c r="C5094" i="2"/>
  <c r="B5094" i="2"/>
  <c r="C5093" i="2"/>
  <c r="B5093" i="2"/>
  <c r="C5092" i="2"/>
  <c r="B5092" i="2"/>
  <c r="C5091" i="2"/>
  <c r="B5091" i="2"/>
  <c r="C5090" i="2"/>
  <c r="B5090" i="2"/>
  <c r="C5089" i="2"/>
  <c r="B5089" i="2"/>
  <c r="C5088" i="2"/>
  <c r="B5088" i="2"/>
  <c r="C5087" i="2"/>
  <c r="B5087" i="2"/>
  <c r="C5086" i="2"/>
  <c r="B5086" i="2"/>
  <c r="C5085" i="2"/>
  <c r="B5085" i="2"/>
  <c r="C5084" i="2"/>
  <c r="B5084" i="2"/>
  <c r="C5083" i="2"/>
  <c r="B5083" i="2"/>
  <c r="C5082" i="2"/>
  <c r="B5082" i="2"/>
  <c r="C5081" i="2"/>
  <c r="B5081" i="2"/>
  <c r="C5080" i="2"/>
  <c r="B5080" i="2"/>
  <c r="C5079" i="2"/>
  <c r="B5079" i="2"/>
  <c r="C5078" i="2"/>
  <c r="B5078" i="2"/>
  <c r="C5077" i="2"/>
  <c r="B5077" i="2"/>
  <c r="C5076" i="2"/>
  <c r="B5076" i="2"/>
  <c r="C5075" i="2"/>
  <c r="B5075" i="2"/>
  <c r="C5074" i="2"/>
  <c r="B5074" i="2"/>
  <c r="C5073" i="2"/>
  <c r="B5073" i="2"/>
  <c r="C5072" i="2"/>
  <c r="B5072" i="2"/>
  <c r="C5071" i="2"/>
  <c r="B5071" i="2"/>
  <c r="C5070" i="2"/>
  <c r="B5070" i="2"/>
  <c r="C5069" i="2"/>
  <c r="B5069" i="2"/>
  <c r="C5068" i="2"/>
  <c r="B5068" i="2"/>
  <c r="C5067" i="2"/>
  <c r="B5067" i="2"/>
  <c r="C5066" i="2"/>
  <c r="B5066" i="2"/>
  <c r="C5065" i="2"/>
  <c r="B5065" i="2"/>
  <c r="C5064" i="2"/>
  <c r="B5064" i="2"/>
  <c r="C5063" i="2"/>
  <c r="B5063" i="2"/>
  <c r="C5062" i="2"/>
  <c r="B5062" i="2"/>
  <c r="C5061" i="2"/>
  <c r="B5061" i="2"/>
  <c r="C5060" i="2"/>
  <c r="B5060" i="2"/>
  <c r="C5059" i="2"/>
  <c r="B5059" i="2"/>
  <c r="C5058" i="2"/>
  <c r="B5058" i="2"/>
  <c r="C5057" i="2"/>
  <c r="B5057" i="2"/>
  <c r="C5056" i="2"/>
  <c r="B5056" i="2"/>
  <c r="C5055" i="2"/>
  <c r="B5055" i="2"/>
  <c r="C5054" i="2"/>
  <c r="B5054" i="2"/>
  <c r="C5053" i="2"/>
  <c r="B5053" i="2"/>
  <c r="C5052" i="2"/>
  <c r="B5052" i="2"/>
  <c r="C5051" i="2"/>
  <c r="B5051" i="2"/>
  <c r="C5050" i="2"/>
  <c r="B5050" i="2"/>
  <c r="C5049" i="2"/>
  <c r="B5049" i="2"/>
  <c r="C5048" i="2"/>
  <c r="B5048" i="2"/>
  <c r="C5047" i="2"/>
  <c r="B5047" i="2"/>
  <c r="C5046" i="2"/>
  <c r="B5046" i="2"/>
  <c r="C5045" i="2"/>
  <c r="B5045" i="2"/>
  <c r="C5044" i="2"/>
  <c r="B5044" i="2"/>
  <c r="C5043" i="2"/>
  <c r="B5043" i="2"/>
  <c r="C5042" i="2"/>
  <c r="B5042" i="2"/>
  <c r="C5041" i="2"/>
  <c r="B5041" i="2"/>
  <c r="C5040" i="2"/>
  <c r="B5040" i="2"/>
  <c r="C5039" i="2"/>
  <c r="B5039" i="2"/>
  <c r="C5038" i="2"/>
  <c r="B5038" i="2"/>
  <c r="C5037" i="2"/>
  <c r="B5037" i="2"/>
  <c r="C5036" i="2"/>
  <c r="B5036" i="2"/>
  <c r="C5035" i="2"/>
  <c r="B5035" i="2"/>
  <c r="C5034" i="2"/>
  <c r="B5034" i="2"/>
  <c r="C5033" i="2"/>
  <c r="B5033" i="2"/>
  <c r="C5032" i="2"/>
  <c r="B5032" i="2"/>
  <c r="C5031" i="2"/>
  <c r="B5031" i="2"/>
  <c r="C5030" i="2"/>
  <c r="B5030" i="2"/>
  <c r="C5029" i="2"/>
  <c r="B5029" i="2"/>
  <c r="C5028" i="2"/>
  <c r="B5028" i="2"/>
  <c r="C5027" i="2"/>
  <c r="B5027" i="2"/>
  <c r="C5026" i="2"/>
  <c r="B5026" i="2"/>
  <c r="C5025" i="2"/>
  <c r="B5025" i="2"/>
  <c r="C5024" i="2"/>
  <c r="B5024" i="2"/>
  <c r="C5023" i="2"/>
  <c r="B5023" i="2"/>
  <c r="C5022" i="2"/>
  <c r="B5022" i="2"/>
  <c r="C5021" i="2"/>
  <c r="B5021" i="2"/>
  <c r="C5020" i="2"/>
  <c r="B5020" i="2"/>
  <c r="C5019" i="2"/>
  <c r="B5019" i="2"/>
  <c r="C5018" i="2"/>
  <c r="B5018" i="2"/>
  <c r="C5017" i="2"/>
  <c r="B5017" i="2"/>
  <c r="C5016" i="2"/>
  <c r="B5016" i="2"/>
  <c r="C5015" i="2"/>
  <c r="B5015" i="2"/>
  <c r="C5014" i="2"/>
  <c r="B5014" i="2"/>
  <c r="C5013" i="2"/>
  <c r="B5013" i="2"/>
  <c r="C5012" i="2"/>
  <c r="B5012" i="2"/>
  <c r="C5011" i="2"/>
  <c r="B5011" i="2"/>
  <c r="C5010" i="2"/>
  <c r="B5010" i="2"/>
  <c r="C5009" i="2"/>
  <c r="B5009" i="2"/>
  <c r="C5008" i="2"/>
  <c r="B5008" i="2"/>
  <c r="C5007" i="2"/>
  <c r="B5007" i="2"/>
  <c r="C5006" i="2"/>
  <c r="B5006" i="2"/>
  <c r="C5005" i="2"/>
  <c r="B5005" i="2"/>
  <c r="C5004" i="2"/>
  <c r="B5004" i="2"/>
  <c r="C5003" i="2"/>
  <c r="B5003" i="2"/>
  <c r="C5002" i="2"/>
  <c r="B5002" i="2"/>
  <c r="C5001" i="2"/>
  <c r="B5001" i="2"/>
  <c r="C5000" i="2"/>
  <c r="B5000" i="2"/>
  <c r="C4999" i="2"/>
  <c r="B4999" i="2"/>
  <c r="C4998" i="2"/>
  <c r="B4998" i="2"/>
  <c r="C4997" i="2"/>
  <c r="B4997" i="2"/>
  <c r="C4996" i="2"/>
  <c r="B4996" i="2"/>
  <c r="C4995" i="2"/>
  <c r="B4995" i="2"/>
  <c r="C4994" i="2"/>
  <c r="B4994" i="2"/>
  <c r="C4993" i="2"/>
  <c r="B4993" i="2"/>
  <c r="C4992" i="2"/>
  <c r="B4992" i="2"/>
  <c r="C4991" i="2"/>
  <c r="B4991" i="2"/>
  <c r="C4990" i="2"/>
  <c r="B4990" i="2"/>
  <c r="C4989" i="2"/>
  <c r="B4989" i="2"/>
  <c r="C4988" i="2"/>
  <c r="B4988" i="2"/>
  <c r="C4987" i="2"/>
  <c r="B4987" i="2"/>
  <c r="C4986" i="2"/>
  <c r="B4986" i="2"/>
  <c r="C4985" i="2"/>
  <c r="B4985" i="2"/>
  <c r="C4984" i="2"/>
  <c r="B4984" i="2"/>
  <c r="C4983" i="2"/>
  <c r="B4983" i="2"/>
  <c r="C4982" i="2"/>
  <c r="B4982" i="2"/>
  <c r="C4981" i="2"/>
  <c r="B4981" i="2"/>
  <c r="C4980" i="2"/>
  <c r="B4980" i="2"/>
  <c r="C4979" i="2"/>
  <c r="B4979" i="2"/>
  <c r="C4978" i="2"/>
  <c r="B4978" i="2"/>
  <c r="C4977" i="2"/>
  <c r="B4977" i="2"/>
  <c r="C4976" i="2"/>
  <c r="B4976" i="2"/>
  <c r="C4975" i="2"/>
  <c r="B4975" i="2"/>
  <c r="C4974" i="2"/>
  <c r="B4974" i="2"/>
  <c r="C4973" i="2"/>
  <c r="B4973" i="2"/>
  <c r="C4972" i="2"/>
  <c r="B4972" i="2"/>
  <c r="C4971" i="2"/>
  <c r="B4971" i="2"/>
  <c r="C4970" i="2"/>
  <c r="B4970" i="2"/>
  <c r="C4969" i="2"/>
  <c r="B4969" i="2"/>
  <c r="C4968" i="2"/>
  <c r="B4968" i="2"/>
  <c r="C4967" i="2"/>
  <c r="B4967" i="2"/>
  <c r="C4966" i="2"/>
  <c r="B4966" i="2"/>
  <c r="C4965" i="2"/>
  <c r="B4965" i="2"/>
  <c r="C4964" i="2"/>
  <c r="B4964" i="2"/>
  <c r="C4963" i="2"/>
  <c r="B4963" i="2"/>
  <c r="C4962" i="2"/>
  <c r="B4962" i="2"/>
  <c r="C4961" i="2"/>
  <c r="B4961" i="2"/>
  <c r="C4960" i="2"/>
  <c r="B4960" i="2"/>
  <c r="C4959" i="2"/>
  <c r="B4959" i="2"/>
  <c r="C4958" i="2"/>
  <c r="B4958" i="2"/>
  <c r="C4957" i="2"/>
  <c r="B4957" i="2"/>
  <c r="C4956" i="2"/>
  <c r="B4956" i="2"/>
  <c r="C4955" i="2"/>
  <c r="B4955" i="2"/>
  <c r="C4954" i="2"/>
  <c r="B4954" i="2"/>
  <c r="C4953" i="2"/>
  <c r="B4953" i="2"/>
  <c r="C4952" i="2"/>
  <c r="B4952" i="2"/>
  <c r="C4951" i="2"/>
  <c r="B4951" i="2"/>
  <c r="C4950" i="2"/>
  <c r="B4950" i="2"/>
  <c r="C4949" i="2"/>
  <c r="B4949" i="2"/>
  <c r="C4948" i="2"/>
  <c r="B4948" i="2"/>
  <c r="C4947" i="2"/>
  <c r="B4947" i="2"/>
  <c r="C4946" i="2"/>
  <c r="B4946" i="2"/>
  <c r="C4945" i="2"/>
  <c r="B4945" i="2"/>
  <c r="C4944" i="2"/>
  <c r="B4944" i="2"/>
  <c r="C4943" i="2"/>
  <c r="B4943" i="2"/>
  <c r="C4942" i="2"/>
  <c r="B4942" i="2"/>
  <c r="C4941" i="2"/>
  <c r="B4941" i="2"/>
  <c r="C4940" i="2"/>
  <c r="B4940" i="2"/>
  <c r="C4939" i="2"/>
  <c r="B4939" i="2"/>
  <c r="C4938" i="2"/>
  <c r="B4938" i="2"/>
  <c r="C4937" i="2"/>
  <c r="B4937" i="2"/>
  <c r="C4936" i="2"/>
  <c r="B4936" i="2"/>
  <c r="C4935" i="2"/>
  <c r="B4935" i="2"/>
  <c r="C4934" i="2"/>
  <c r="B4934" i="2"/>
  <c r="C4933" i="2"/>
  <c r="B4933" i="2"/>
  <c r="C4932" i="2"/>
  <c r="B4932" i="2"/>
  <c r="C4931" i="2"/>
  <c r="B4931" i="2"/>
  <c r="C4930" i="2"/>
  <c r="B4930" i="2"/>
  <c r="C4929" i="2"/>
  <c r="B4929" i="2"/>
  <c r="C4928" i="2"/>
  <c r="B4928" i="2"/>
  <c r="C4927" i="2"/>
  <c r="B4927" i="2"/>
  <c r="C4926" i="2"/>
  <c r="B4926" i="2"/>
  <c r="C4925" i="2"/>
  <c r="B4925" i="2"/>
  <c r="C4924" i="2"/>
  <c r="B4924" i="2"/>
  <c r="C4923" i="2"/>
  <c r="B4923" i="2"/>
  <c r="C4922" i="2"/>
  <c r="B4922" i="2"/>
  <c r="C4921" i="2"/>
  <c r="B4921" i="2"/>
  <c r="C4920" i="2"/>
  <c r="B4920" i="2"/>
  <c r="C4919" i="2"/>
  <c r="B4919" i="2"/>
  <c r="C4918" i="2"/>
  <c r="B4918" i="2"/>
  <c r="C4917" i="2"/>
  <c r="B4917" i="2"/>
  <c r="C4916" i="2"/>
  <c r="B4916" i="2"/>
  <c r="C4915" i="2"/>
  <c r="B4915" i="2"/>
  <c r="C4914" i="2"/>
  <c r="B4914" i="2"/>
  <c r="C4913" i="2"/>
  <c r="B4913" i="2"/>
  <c r="C4912" i="2"/>
  <c r="B4912" i="2"/>
  <c r="C4911" i="2"/>
  <c r="B4911" i="2"/>
  <c r="C4910" i="2"/>
  <c r="B4910" i="2"/>
  <c r="C4909" i="2"/>
  <c r="B4909" i="2"/>
  <c r="C4908" i="2"/>
  <c r="B4908" i="2"/>
  <c r="C4907" i="2"/>
  <c r="B4907" i="2"/>
  <c r="C4906" i="2"/>
  <c r="B4906" i="2"/>
  <c r="C4905" i="2"/>
  <c r="B4905" i="2"/>
  <c r="C4904" i="2"/>
  <c r="B4904" i="2"/>
  <c r="C4903" i="2"/>
  <c r="B4903" i="2"/>
  <c r="C4902" i="2"/>
  <c r="B4902" i="2"/>
  <c r="C4901" i="2"/>
  <c r="B4901" i="2"/>
  <c r="C4900" i="2"/>
  <c r="B4900" i="2"/>
  <c r="C4899" i="2"/>
  <c r="B4899" i="2"/>
  <c r="C4898" i="2"/>
  <c r="B4898" i="2"/>
  <c r="C4897" i="2"/>
  <c r="B4897" i="2"/>
  <c r="C4896" i="2"/>
  <c r="B4896" i="2"/>
  <c r="C4895" i="2"/>
  <c r="B4895" i="2"/>
  <c r="C4894" i="2"/>
  <c r="B4894" i="2"/>
  <c r="C4893" i="2"/>
  <c r="B4893" i="2"/>
  <c r="C4892" i="2"/>
  <c r="B4892" i="2"/>
  <c r="C4891" i="2"/>
  <c r="B4891" i="2"/>
  <c r="C4890" i="2"/>
  <c r="B4890" i="2"/>
  <c r="C4889" i="2"/>
  <c r="B4889" i="2"/>
  <c r="C4888" i="2"/>
  <c r="B4888" i="2"/>
  <c r="C4887" i="2"/>
  <c r="B4887" i="2"/>
  <c r="C4886" i="2"/>
  <c r="B4886" i="2"/>
  <c r="C4885" i="2"/>
  <c r="B4885" i="2"/>
  <c r="C4884" i="2"/>
  <c r="B4884" i="2"/>
  <c r="C4883" i="2"/>
  <c r="B4883" i="2"/>
  <c r="C4882" i="2"/>
  <c r="B4882" i="2"/>
  <c r="C4881" i="2"/>
  <c r="B4881" i="2"/>
  <c r="C4880" i="2"/>
  <c r="B4880" i="2"/>
  <c r="C4879" i="2"/>
  <c r="B4879" i="2"/>
  <c r="C4878" i="2"/>
  <c r="B4878" i="2"/>
  <c r="C4877" i="2"/>
  <c r="B4877" i="2"/>
  <c r="C4876" i="2"/>
  <c r="B4876" i="2"/>
  <c r="C4875" i="2"/>
  <c r="B4875" i="2"/>
  <c r="C4874" i="2"/>
  <c r="B4874" i="2"/>
  <c r="C4873" i="2"/>
  <c r="B4873" i="2"/>
  <c r="C4872" i="2"/>
  <c r="B4872" i="2"/>
  <c r="C4871" i="2"/>
  <c r="B4871" i="2"/>
  <c r="C4870" i="2"/>
  <c r="B4870" i="2"/>
  <c r="C4869" i="2"/>
  <c r="B4869" i="2"/>
  <c r="C4868" i="2"/>
  <c r="B4868" i="2"/>
  <c r="C4867" i="2"/>
  <c r="B4867" i="2"/>
  <c r="C4866" i="2"/>
  <c r="B4866" i="2"/>
  <c r="C4865" i="2"/>
  <c r="B4865" i="2"/>
  <c r="C4864" i="2"/>
  <c r="B4864" i="2"/>
  <c r="C4863" i="2"/>
  <c r="B4863" i="2"/>
  <c r="C4862" i="2"/>
  <c r="B4862" i="2"/>
  <c r="C4861" i="2"/>
  <c r="B4861" i="2"/>
  <c r="C4860" i="2"/>
  <c r="B4860" i="2"/>
  <c r="C4859" i="2"/>
  <c r="B4859" i="2"/>
  <c r="C4858" i="2"/>
  <c r="B4858" i="2"/>
  <c r="C4857" i="2"/>
  <c r="B4857" i="2"/>
  <c r="C4856" i="2"/>
  <c r="B4856" i="2"/>
  <c r="C4855" i="2"/>
  <c r="B4855" i="2"/>
  <c r="C4854" i="2"/>
  <c r="B4854" i="2"/>
  <c r="C4853" i="2"/>
  <c r="B4853" i="2"/>
  <c r="C4852" i="2"/>
  <c r="B4852" i="2"/>
  <c r="C4851" i="2"/>
  <c r="B4851" i="2"/>
  <c r="C4850" i="2"/>
  <c r="B4850" i="2"/>
  <c r="C4849" i="2"/>
  <c r="B4849" i="2"/>
  <c r="C4848" i="2"/>
  <c r="B4848" i="2"/>
  <c r="C4847" i="2"/>
  <c r="B4847" i="2"/>
  <c r="C4846" i="2"/>
  <c r="B4846" i="2"/>
  <c r="C4845" i="2"/>
  <c r="B4845" i="2"/>
  <c r="C4844" i="2"/>
  <c r="B4844" i="2"/>
  <c r="C4843" i="2"/>
  <c r="B4843" i="2"/>
  <c r="C4842" i="2"/>
  <c r="B4842" i="2"/>
  <c r="C4841" i="2"/>
  <c r="B4841" i="2"/>
  <c r="C4840" i="2"/>
  <c r="B4840" i="2"/>
  <c r="C4839" i="2"/>
  <c r="B4839" i="2"/>
  <c r="C4838" i="2"/>
  <c r="B4838" i="2"/>
  <c r="C4837" i="2"/>
  <c r="B4837" i="2"/>
  <c r="C4836" i="2"/>
  <c r="B4836" i="2"/>
  <c r="C4835" i="2"/>
  <c r="B4835" i="2"/>
  <c r="C4834" i="2"/>
  <c r="B4834" i="2"/>
  <c r="C4833" i="2"/>
  <c r="B4833" i="2"/>
  <c r="C4832" i="2"/>
  <c r="B4832" i="2"/>
  <c r="C4831" i="2"/>
  <c r="B4831" i="2"/>
  <c r="C4830" i="2"/>
  <c r="B4830" i="2"/>
  <c r="C4829" i="2"/>
  <c r="B4829" i="2"/>
  <c r="C4828" i="2"/>
  <c r="B4828" i="2"/>
  <c r="C4827" i="2"/>
  <c r="B4827" i="2"/>
  <c r="C4826" i="2"/>
  <c r="B4826" i="2"/>
  <c r="C4825" i="2"/>
  <c r="B4825" i="2"/>
  <c r="C4824" i="2"/>
  <c r="B4824" i="2"/>
  <c r="C4823" i="2"/>
  <c r="B4823" i="2"/>
  <c r="C4822" i="2"/>
  <c r="B4822" i="2"/>
  <c r="C4821" i="2"/>
  <c r="B4821" i="2"/>
  <c r="C4820" i="2"/>
  <c r="B4820" i="2"/>
  <c r="C4819" i="2"/>
  <c r="B4819" i="2"/>
  <c r="C4818" i="2"/>
  <c r="B4818" i="2"/>
  <c r="C4817" i="2"/>
  <c r="B4817" i="2"/>
  <c r="C4816" i="2"/>
  <c r="B4816" i="2"/>
  <c r="C4815" i="2"/>
  <c r="B4815" i="2"/>
  <c r="C4814" i="2"/>
  <c r="B4814" i="2"/>
  <c r="C4813" i="2"/>
  <c r="B4813" i="2"/>
  <c r="C4812" i="2"/>
  <c r="B4812" i="2"/>
  <c r="C4811" i="2"/>
  <c r="B4811" i="2"/>
  <c r="C4810" i="2"/>
  <c r="B4810" i="2"/>
  <c r="C4809" i="2"/>
  <c r="B4809" i="2"/>
  <c r="C4808" i="2"/>
  <c r="B4808" i="2"/>
  <c r="C4807" i="2"/>
  <c r="B4807" i="2"/>
  <c r="C4806" i="2"/>
  <c r="B4806" i="2"/>
  <c r="C4805" i="2"/>
  <c r="B4805" i="2"/>
  <c r="C4804" i="2"/>
  <c r="B4804" i="2"/>
  <c r="C4803" i="2"/>
  <c r="B4803" i="2"/>
  <c r="C4802" i="2"/>
  <c r="B4802" i="2"/>
  <c r="C4801" i="2"/>
  <c r="B4801" i="2"/>
  <c r="C4800" i="2"/>
  <c r="B4800" i="2"/>
  <c r="C4799" i="2"/>
  <c r="B4799" i="2"/>
  <c r="C4798" i="2"/>
  <c r="B4798" i="2"/>
  <c r="C4797" i="2"/>
  <c r="B4797" i="2"/>
  <c r="C4796" i="2"/>
  <c r="B4796" i="2"/>
  <c r="C4795" i="2"/>
  <c r="B4795" i="2"/>
  <c r="C4794" i="2"/>
  <c r="B4794" i="2"/>
  <c r="C4793" i="2"/>
  <c r="B4793" i="2"/>
  <c r="C4792" i="2"/>
  <c r="B4792" i="2"/>
  <c r="C4791" i="2"/>
  <c r="B4791" i="2"/>
  <c r="C4790" i="2"/>
  <c r="B4790" i="2"/>
  <c r="C4789" i="2"/>
  <c r="B4789" i="2"/>
  <c r="C4788" i="2"/>
  <c r="B4788" i="2"/>
  <c r="C4787" i="2"/>
  <c r="B4787" i="2"/>
  <c r="C4786" i="2"/>
  <c r="B4786" i="2"/>
  <c r="C4785" i="2"/>
  <c r="B4785" i="2"/>
  <c r="C4784" i="2"/>
  <c r="B4784" i="2"/>
  <c r="C4783" i="2"/>
  <c r="B4783" i="2"/>
  <c r="C4782" i="2"/>
  <c r="B4782" i="2"/>
  <c r="C4781" i="2"/>
  <c r="B4781" i="2"/>
  <c r="C4780" i="2"/>
  <c r="B4780" i="2"/>
  <c r="C4779" i="2"/>
  <c r="B4779" i="2"/>
  <c r="C4778" i="2"/>
  <c r="B4778" i="2"/>
  <c r="C4777" i="2"/>
  <c r="B4777" i="2"/>
  <c r="C4776" i="2"/>
  <c r="B4776" i="2"/>
  <c r="C4775" i="2"/>
  <c r="B4775" i="2"/>
  <c r="C4774" i="2"/>
  <c r="B4774" i="2"/>
  <c r="C4773" i="2"/>
  <c r="B4773" i="2"/>
  <c r="C4772" i="2"/>
  <c r="B4772" i="2"/>
  <c r="C4771" i="2"/>
  <c r="B4771" i="2"/>
  <c r="C4770" i="2"/>
  <c r="B4770" i="2"/>
  <c r="C4769" i="2"/>
  <c r="B4769" i="2"/>
  <c r="C4768" i="2"/>
  <c r="B4768" i="2"/>
  <c r="C4767" i="2"/>
  <c r="B4767" i="2"/>
  <c r="C4766" i="2"/>
  <c r="B4766" i="2"/>
  <c r="C4765" i="2"/>
  <c r="B4765" i="2"/>
  <c r="C4764" i="2"/>
  <c r="B4764" i="2"/>
  <c r="C4763" i="2"/>
  <c r="B4763" i="2"/>
  <c r="C4762" i="2"/>
  <c r="B4762" i="2"/>
  <c r="C4761" i="2"/>
  <c r="B4761" i="2"/>
  <c r="C4760" i="2"/>
  <c r="B4760" i="2"/>
  <c r="C4759" i="2"/>
  <c r="B4759" i="2"/>
  <c r="C4758" i="2"/>
  <c r="B4758" i="2"/>
  <c r="C4757" i="2"/>
  <c r="B4757" i="2"/>
  <c r="C4756" i="2"/>
  <c r="B4756" i="2"/>
  <c r="C4755" i="2"/>
  <c r="B4755" i="2"/>
  <c r="C4754" i="2"/>
  <c r="B4754" i="2"/>
  <c r="C4753" i="2"/>
  <c r="B4753" i="2"/>
  <c r="C4752" i="2"/>
  <c r="B4752" i="2"/>
  <c r="C4751" i="2"/>
  <c r="B4751" i="2"/>
  <c r="C4750" i="2"/>
  <c r="B4750" i="2"/>
  <c r="C4749" i="2"/>
  <c r="B4749" i="2"/>
  <c r="C4748" i="2"/>
  <c r="B4748" i="2"/>
  <c r="C4747" i="2"/>
  <c r="B4747" i="2"/>
  <c r="C4746" i="2"/>
  <c r="B4746" i="2"/>
  <c r="C4745" i="2"/>
  <c r="B4745" i="2"/>
  <c r="C4744" i="2"/>
  <c r="B4744" i="2"/>
  <c r="C4743" i="2"/>
  <c r="B4743" i="2"/>
  <c r="C4742" i="2"/>
  <c r="B4742" i="2"/>
  <c r="C4741" i="2"/>
  <c r="B4741" i="2"/>
  <c r="C4740" i="2"/>
  <c r="B4740" i="2"/>
  <c r="C4739" i="2"/>
  <c r="B4739" i="2"/>
  <c r="C4738" i="2"/>
  <c r="B4738" i="2"/>
  <c r="C4737" i="2"/>
  <c r="B4737" i="2"/>
  <c r="C4736" i="2"/>
  <c r="B4736" i="2"/>
  <c r="C4735" i="2"/>
  <c r="B4735" i="2"/>
  <c r="C4734" i="2"/>
  <c r="B4734" i="2"/>
  <c r="C4733" i="2"/>
  <c r="B4733" i="2"/>
  <c r="C4732" i="2"/>
  <c r="B4732" i="2"/>
  <c r="C4731" i="2"/>
  <c r="B4731" i="2"/>
  <c r="C4730" i="2"/>
  <c r="B4730" i="2"/>
  <c r="C4729" i="2"/>
  <c r="B4729" i="2"/>
  <c r="C4728" i="2"/>
  <c r="B4728" i="2"/>
  <c r="C4727" i="2"/>
  <c r="B4727" i="2"/>
  <c r="C4726" i="2"/>
  <c r="B4726" i="2"/>
  <c r="C4725" i="2"/>
  <c r="B4725" i="2"/>
  <c r="C4724" i="2"/>
  <c r="B4724" i="2"/>
  <c r="C4723" i="2"/>
  <c r="B4723" i="2"/>
  <c r="C4722" i="2"/>
  <c r="B4722" i="2"/>
  <c r="C4721" i="2"/>
  <c r="B4721" i="2"/>
  <c r="C4720" i="2"/>
  <c r="B4720" i="2"/>
  <c r="C4719" i="2"/>
  <c r="B4719" i="2"/>
  <c r="C4718" i="2"/>
  <c r="B4718" i="2"/>
  <c r="C4717" i="2"/>
  <c r="B4717" i="2"/>
  <c r="C4716" i="2"/>
  <c r="B4716" i="2"/>
  <c r="C4715" i="2"/>
  <c r="B4715" i="2"/>
  <c r="C4714" i="2"/>
  <c r="B4714" i="2"/>
  <c r="C4713" i="2"/>
  <c r="B4713" i="2"/>
  <c r="C4712" i="2"/>
  <c r="B4712" i="2"/>
  <c r="C4711" i="2"/>
  <c r="B4711" i="2"/>
  <c r="C4710" i="2"/>
  <c r="B4710" i="2"/>
  <c r="C4709" i="2"/>
  <c r="B4709" i="2"/>
  <c r="C4708" i="2"/>
  <c r="B4708" i="2"/>
  <c r="C4707" i="2"/>
  <c r="B4707" i="2"/>
  <c r="C4706" i="2"/>
  <c r="B4706" i="2"/>
  <c r="C4705" i="2"/>
  <c r="B4705" i="2"/>
  <c r="C4704" i="2"/>
  <c r="B4704" i="2"/>
  <c r="C4703" i="2"/>
  <c r="B4703" i="2"/>
  <c r="C4702" i="2"/>
  <c r="B4702" i="2"/>
  <c r="C4701" i="2"/>
  <c r="B4701" i="2"/>
  <c r="C4700" i="2"/>
  <c r="B4700" i="2"/>
  <c r="C4699" i="2"/>
  <c r="B4699" i="2"/>
  <c r="C4698" i="2"/>
  <c r="B4698" i="2"/>
  <c r="C4697" i="2"/>
  <c r="B4697" i="2"/>
  <c r="C4696" i="2"/>
  <c r="B4696" i="2"/>
  <c r="C4695" i="2"/>
  <c r="B4695" i="2"/>
  <c r="C4694" i="2"/>
  <c r="B4694" i="2"/>
  <c r="C4693" i="2"/>
  <c r="B4693" i="2"/>
  <c r="C4692" i="2"/>
  <c r="B4692" i="2"/>
  <c r="C4691" i="2"/>
  <c r="B4691" i="2"/>
  <c r="C4690" i="2"/>
  <c r="B4690" i="2"/>
  <c r="C4689" i="2"/>
  <c r="B4689" i="2"/>
  <c r="C4688" i="2"/>
  <c r="B4688" i="2"/>
  <c r="C4687" i="2"/>
  <c r="B4687" i="2"/>
  <c r="C4686" i="2"/>
  <c r="B4686" i="2"/>
  <c r="C4685" i="2"/>
  <c r="B4685" i="2"/>
  <c r="C4684" i="2"/>
  <c r="B4684" i="2"/>
  <c r="C4683" i="2"/>
  <c r="B4683" i="2"/>
  <c r="C4682" i="2"/>
  <c r="B4682" i="2"/>
  <c r="C4681" i="2"/>
  <c r="B4681" i="2"/>
  <c r="C4680" i="2"/>
  <c r="B4680" i="2"/>
  <c r="C4679" i="2"/>
  <c r="B4679" i="2"/>
  <c r="C4678" i="2"/>
  <c r="B4678" i="2"/>
  <c r="C4677" i="2"/>
  <c r="B4677" i="2"/>
  <c r="C4676" i="2"/>
  <c r="B4676" i="2"/>
  <c r="C4675" i="2"/>
  <c r="B4675" i="2"/>
  <c r="C4674" i="2"/>
  <c r="B4674" i="2"/>
  <c r="C4673" i="2"/>
  <c r="B4673" i="2"/>
  <c r="C4672" i="2"/>
  <c r="B4672" i="2"/>
  <c r="C4671" i="2"/>
  <c r="B4671" i="2"/>
  <c r="C4670" i="2"/>
  <c r="B4670" i="2"/>
  <c r="C4669" i="2"/>
  <c r="B4669" i="2"/>
  <c r="C4668" i="2"/>
  <c r="B4668" i="2"/>
  <c r="C4667" i="2"/>
  <c r="B4667" i="2"/>
  <c r="C4666" i="2"/>
  <c r="B4666" i="2"/>
  <c r="C4665" i="2"/>
  <c r="B4665" i="2"/>
  <c r="C4664" i="2"/>
  <c r="B4664" i="2"/>
  <c r="C4663" i="2"/>
  <c r="B4663" i="2"/>
  <c r="C4662" i="2"/>
  <c r="B4662" i="2"/>
  <c r="C4661" i="2"/>
  <c r="B4661" i="2"/>
  <c r="C4660" i="2"/>
  <c r="B4660" i="2"/>
  <c r="C4659" i="2"/>
  <c r="B4659" i="2"/>
  <c r="C4658" i="2"/>
  <c r="B4658" i="2"/>
  <c r="C4657" i="2"/>
  <c r="B4657" i="2"/>
  <c r="C4656" i="2"/>
  <c r="B4656" i="2"/>
  <c r="C4655" i="2"/>
  <c r="B4655" i="2"/>
  <c r="C4654" i="2"/>
  <c r="B4654" i="2"/>
  <c r="C4653" i="2"/>
  <c r="B4653" i="2"/>
  <c r="C4652" i="2"/>
  <c r="B4652" i="2"/>
  <c r="C4651" i="2"/>
  <c r="B4651" i="2"/>
  <c r="C4650" i="2"/>
  <c r="B4650" i="2"/>
  <c r="C4649" i="2"/>
  <c r="B4649" i="2"/>
  <c r="C4648" i="2"/>
  <c r="B4648" i="2"/>
  <c r="C4647" i="2"/>
  <c r="B4647" i="2"/>
  <c r="C4646" i="2"/>
  <c r="B4646" i="2"/>
  <c r="C4645" i="2"/>
  <c r="B4645" i="2"/>
  <c r="C4644" i="2"/>
  <c r="B4644" i="2"/>
  <c r="C4643" i="2"/>
  <c r="B4643" i="2"/>
  <c r="C4642" i="2"/>
  <c r="B4642" i="2"/>
  <c r="C4641" i="2"/>
  <c r="B4641" i="2"/>
  <c r="C4640" i="2"/>
  <c r="B4640" i="2"/>
  <c r="C4639" i="2"/>
  <c r="B4639" i="2"/>
  <c r="C4638" i="2"/>
  <c r="B4638" i="2"/>
  <c r="C4637" i="2"/>
  <c r="B4637" i="2"/>
  <c r="C4636" i="2"/>
  <c r="B4636" i="2"/>
  <c r="C4635" i="2"/>
  <c r="B4635" i="2"/>
  <c r="C4634" i="2"/>
  <c r="B4634" i="2"/>
  <c r="C4633" i="2"/>
  <c r="B4633" i="2"/>
  <c r="C4632" i="2"/>
  <c r="B4632" i="2"/>
  <c r="C4631" i="2"/>
  <c r="B4631" i="2"/>
  <c r="C4630" i="2"/>
  <c r="B4630" i="2"/>
  <c r="C4629" i="2"/>
  <c r="B4629" i="2"/>
  <c r="C4628" i="2"/>
  <c r="B4628" i="2"/>
  <c r="C4627" i="2"/>
  <c r="B4627" i="2"/>
  <c r="C4626" i="2"/>
  <c r="B4626" i="2"/>
  <c r="C4625" i="2"/>
  <c r="B4625" i="2"/>
  <c r="C4624" i="2"/>
  <c r="B4624" i="2"/>
  <c r="C4623" i="2"/>
  <c r="B4623" i="2"/>
  <c r="C4622" i="2"/>
  <c r="B4622" i="2"/>
  <c r="C4621" i="2"/>
  <c r="B4621" i="2"/>
  <c r="C4620" i="2"/>
  <c r="B4620" i="2"/>
  <c r="C4619" i="2"/>
  <c r="B4619" i="2"/>
  <c r="C4618" i="2"/>
  <c r="B4618" i="2"/>
  <c r="C4617" i="2"/>
  <c r="B4617" i="2"/>
  <c r="C4616" i="2"/>
  <c r="B4616" i="2"/>
  <c r="C4615" i="2"/>
  <c r="B4615" i="2"/>
  <c r="C4614" i="2"/>
  <c r="B4614" i="2"/>
  <c r="C4613" i="2"/>
  <c r="B4613" i="2"/>
  <c r="C4612" i="2"/>
  <c r="B4612" i="2"/>
  <c r="C4611" i="2"/>
  <c r="B4611" i="2"/>
  <c r="C4610" i="2"/>
  <c r="B4610" i="2"/>
  <c r="C4609" i="2"/>
  <c r="B4609" i="2"/>
  <c r="C4608" i="2"/>
  <c r="B4608" i="2"/>
  <c r="C4607" i="2"/>
  <c r="B4607" i="2"/>
  <c r="C4606" i="2"/>
  <c r="B4606" i="2"/>
  <c r="C4605" i="2"/>
  <c r="B4605" i="2"/>
  <c r="C4604" i="2"/>
  <c r="B4604" i="2"/>
  <c r="C4603" i="2"/>
  <c r="B4603" i="2"/>
  <c r="C4602" i="2"/>
  <c r="B4602" i="2"/>
  <c r="C4601" i="2"/>
  <c r="B4601" i="2"/>
  <c r="C4600" i="2"/>
  <c r="B4600" i="2"/>
  <c r="C4599" i="2"/>
  <c r="B4599" i="2"/>
  <c r="C4598" i="2"/>
  <c r="B4598" i="2"/>
  <c r="C4597" i="2"/>
  <c r="B4597" i="2"/>
  <c r="C4596" i="2"/>
  <c r="B4596" i="2"/>
  <c r="C4595" i="2"/>
  <c r="B4595" i="2"/>
  <c r="C4594" i="2"/>
  <c r="B4594" i="2"/>
  <c r="C4593" i="2"/>
  <c r="B4593" i="2"/>
  <c r="C4592" i="2"/>
  <c r="B4592" i="2"/>
  <c r="C4591" i="2"/>
  <c r="B4591" i="2"/>
  <c r="C4590" i="2"/>
  <c r="B4590" i="2"/>
  <c r="C4589" i="2"/>
  <c r="B4589" i="2"/>
  <c r="C4588" i="2"/>
  <c r="B4588" i="2"/>
  <c r="C4587" i="2"/>
  <c r="B4587" i="2"/>
  <c r="C4586" i="2"/>
  <c r="B4586" i="2"/>
  <c r="C4585" i="2"/>
  <c r="B4585" i="2"/>
  <c r="C4584" i="2"/>
  <c r="B4584" i="2"/>
  <c r="C4583" i="2"/>
  <c r="B4583" i="2"/>
  <c r="C4582" i="2"/>
  <c r="B4582" i="2"/>
  <c r="C4581" i="2"/>
  <c r="B4581" i="2"/>
  <c r="C4580" i="2"/>
  <c r="B4580" i="2"/>
  <c r="C4579" i="2"/>
  <c r="B4579" i="2"/>
  <c r="C4578" i="2"/>
  <c r="B4578" i="2"/>
  <c r="C4577" i="2"/>
  <c r="B4577" i="2"/>
  <c r="C4576" i="2"/>
  <c r="B4576" i="2"/>
  <c r="C4575" i="2"/>
  <c r="B4575" i="2"/>
  <c r="C4574" i="2"/>
  <c r="B4574" i="2"/>
  <c r="C4573" i="2"/>
  <c r="B4573" i="2"/>
  <c r="C4572" i="2"/>
  <c r="B4572" i="2"/>
  <c r="C4571" i="2"/>
  <c r="B4571" i="2"/>
  <c r="C4570" i="2"/>
  <c r="B4570" i="2"/>
  <c r="C4569" i="2"/>
  <c r="B4569" i="2"/>
  <c r="C4568" i="2"/>
  <c r="B4568" i="2"/>
  <c r="C4567" i="2"/>
  <c r="B4567" i="2"/>
  <c r="C4566" i="2"/>
  <c r="B4566" i="2"/>
  <c r="C4565" i="2"/>
  <c r="B4565" i="2"/>
  <c r="C4564" i="2"/>
  <c r="B4564" i="2"/>
  <c r="C4563" i="2"/>
  <c r="B4563" i="2"/>
  <c r="C4562" i="2"/>
  <c r="B4562" i="2"/>
  <c r="C4561" i="2"/>
  <c r="B4561" i="2"/>
  <c r="C4560" i="2"/>
  <c r="B4560" i="2"/>
  <c r="C4559" i="2"/>
  <c r="B4559" i="2"/>
  <c r="C4558" i="2"/>
  <c r="B4558" i="2"/>
  <c r="C4557" i="2"/>
  <c r="B4557" i="2"/>
  <c r="C4556" i="2"/>
  <c r="B4556" i="2"/>
  <c r="C4555" i="2"/>
  <c r="B4555" i="2"/>
  <c r="C4554" i="2"/>
  <c r="B4554" i="2"/>
  <c r="C4553" i="2"/>
  <c r="B4553" i="2"/>
  <c r="C4552" i="2"/>
  <c r="B4552" i="2"/>
  <c r="C4551" i="2"/>
  <c r="B4551" i="2"/>
  <c r="C4550" i="2"/>
  <c r="B4550" i="2"/>
  <c r="C4549" i="2"/>
  <c r="B4549" i="2"/>
  <c r="C4548" i="2"/>
  <c r="B4548" i="2"/>
  <c r="C4547" i="2"/>
  <c r="B4547" i="2"/>
  <c r="C4546" i="2"/>
  <c r="B4546" i="2"/>
  <c r="C4545" i="2"/>
  <c r="B4545" i="2"/>
  <c r="C4544" i="2"/>
  <c r="B4544" i="2"/>
  <c r="C4543" i="2"/>
  <c r="B4543" i="2"/>
  <c r="C4542" i="2"/>
  <c r="B4542" i="2"/>
  <c r="C4541" i="2"/>
  <c r="B4541" i="2"/>
  <c r="C4540" i="2"/>
  <c r="B4540" i="2"/>
  <c r="C4539" i="2"/>
  <c r="B4539" i="2"/>
  <c r="C4538" i="2"/>
  <c r="B4538" i="2"/>
  <c r="C4537" i="2"/>
  <c r="B4537" i="2"/>
  <c r="C4536" i="2"/>
  <c r="B4536" i="2"/>
  <c r="C4535" i="2"/>
  <c r="B4535" i="2"/>
  <c r="C4534" i="2"/>
  <c r="B4534" i="2"/>
  <c r="C4533" i="2"/>
  <c r="B4533" i="2"/>
  <c r="C4532" i="2"/>
  <c r="B4532" i="2"/>
  <c r="C4531" i="2"/>
  <c r="B4531" i="2"/>
  <c r="C4530" i="2"/>
  <c r="B4530" i="2"/>
  <c r="C4529" i="2"/>
  <c r="B4529" i="2"/>
  <c r="C4528" i="2"/>
  <c r="B4528" i="2"/>
  <c r="C4527" i="2"/>
  <c r="B4527" i="2"/>
  <c r="C4526" i="2"/>
  <c r="B4526" i="2"/>
  <c r="C4525" i="2"/>
  <c r="B4525" i="2"/>
  <c r="C4524" i="2"/>
  <c r="B4524" i="2"/>
  <c r="C4523" i="2"/>
  <c r="B4523" i="2"/>
  <c r="C4522" i="2"/>
  <c r="B4522" i="2"/>
  <c r="C4521" i="2"/>
  <c r="B4521" i="2"/>
  <c r="C4520" i="2"/>
  <c r="B4520" i="2"/>
  <c r="C4519" i="2"/>
  <c r="B4519" i="2"/>
  <c r="C4518" i="2"/>
  <c r="B4518" i="2"/>
  <c r="C4517" i="2"/>
  <c r="B4517" i="2"/>
  <c r="C4516" i="2"/>
  <c r="B4516" i="2"/>
  <c r="C4515" i="2"/>
  <c r="B4515" i="2"/>
  <c r="C4514" i="2"/>
  <c r="B4514" i="2"/>
  <c r="C4513" i="2"/>
  <c r="B4513" i="2"/>
  <c r="C4512" i="2"/>
  <c r="B4512" i="2"/>
  <c r="C4511" i="2"/>
  <c r="B4511" i="2"/>
  <c r="C4510" i="2"/>
  <c r="B4510" i="2"/>
  <c r="C4509" i="2"/>
  <c r="B4509" i="2"/>
  <c r="C4508" i="2"/>
  <c r="B4508" i="2"/>
  <c r="C4507" i="2"/>
  <c r="B4507" i="2"/>
  <c r="C4506" i="2"/>
  <c r="B4506" i="2"/>
  <c r="C4505" i="2"/>
  <c r="B4505" i="2"/>
  <c r="C4504" i="2"/>
  <c r="B4504" i="2"/>
  <c r="C4503" i="2"/>
  <c r="B4503" i="2"/>
  <c r="C4502" i="2"/>
  <c r="B4502" i="2"/>
  <c r="C4501" i="2"/>
  <c r="B4501" i="2"/>
  <c r="C4500" i="2"/>
  <c r="B4500" i="2"/>
  <c r="C4499" i="2"/>
  <c r="B4499" i="2"/>
  <c r="C4498" i="2"/>
  <c r="B4498" i="2"/>
  <c r="C4497" i="2"/>
  <c r="B4497" i="2"/>
  <c r="C4496" i="2"/>
  <c r="B4496" i="2"/>
  <c r="C4495" i="2"/>
  <c r="B4495" i="2"/>
  <c r="C4494" i="2"/>
  <c r="B4494" i="2"/>
  <c r="C4493" i="2"/>
  <c r="B4493" i="2"/>
  <c r="C4492" i="2"/>
  <c r="B4492" i="2"/>
  <c r="C4491" i="2"/>
  <c r="B4491" i="2"/>
  <c r="C4490" i="2"/>
  <c r="B4490" i="2"/>
  <c r="C4489" i="2"/>
  <c r="B4489" i="2"/>
  <c r="C4488" i="2"/>
  <c r="B4488" i="2"/>
  <c r="C4487" i="2"/>
  <c r="B4487" i="2"/>
  <c r="C4486" i="2"/>
  <c r="B4486" i="2"/>
  <c r="C4485" i="2"/>
  <c r="B4485" i="2"/>
  <c r="C4484" i="2"/>
  <c r="B4484" i="2"/>
  <c r="C4483" i="2"/>
  <c r="B4483" i="2"/>
  <c r="C4482" i="2"/>
  <c r="B4482" i="2"/>
  <c r="C4481" i="2"/>
  <c r="B4481" i="2"/>
  <c r="C4480" i="2"/>
  <c r="B4480" i="2"/>
  <c r="C4479" i="2"/>
  <c r="B4479" i="2"/>
  <c r="C4478" i="2"/>
  <c r="B4478" i="2"/>
  <c r="C4477" i="2"/>
  <c r="B4477" i="2"/>
  <c r="C4476" i="2"/>
  <c r="B4476" i="2"/>
  <c r="C4475" i="2"/>
  <c r="B4475" i="2"/>
  <c r="C4474" i="2"/>
  <c r="B4474" i="2"/>
  <c r="C4473" i="2"/>
  <c r="B4473" i="2"/>
  <c r="C4472" i="2"/>
  <c r="B4472" i="2"/>
  <c r="C4471" i="2"/>
  <c r="B4471" i="2"/>
  <c r="C4470" i="2"/>
  <c r="B4470" i="2"/>
  <c r="C4469" i="2"/>
  <c r="B4469" i="2"/>
  <c r="C4468" i="2"/>
  <c r="B4468" i="2"/>
  <c r="C4467" i="2"/>
  <c r="B4467" i="2"/>
  <c r="C4466" i="2"/>
  <c r="B4466" i="2"/>
  <c r="C4465" i="2"/>
  <c r="B4465" i="2"/>
  <c r="C4464" i="2"/>
  <c r="B4464" i="2"/>
  <c r="C4463" i="2"/>
  <c r="B4463" i="2"/>
  <c r="C4462" i="2"/>
  <c r="B4462" i="2"/>
  <c r="C4461" i="2"/>
  <c r="B4461" i="2"/>
  <c r="C4460" i="2"/>
  <c r="B4460" i="2"/>
  <c r="C4459" i="2"/>
  <c r="B4459" i="2"/>
  <c r="C4458" i="2"/>
  <c r="B4458" i="2"/>
  <c r="C4457" i="2"/>
  <c r="B4457" i="2"/>
  <c r="C4456" i="2"/>
  <c r="B4456" i="2"/>
  <c r="C4455" i="2"/>
  <c r="B4455" i="2"/>
  <c r="C4454" i="2"/>
  <c r="B4454" i="2"/>
  <c r="C4453" i="2"/>
  <c r="B4453" i="2"/>
  <c r="C4452" i="2"/>
  <c r="B4452" i="2"/>
  <c r="C4451" i="2"/>
  <c r="B4451" i="2"/>
  <c r="C4450" i="2"/>
  <c r="B4450" i="2"/>
  <c r="C4449" i="2"/>
  <c r="B4449" i="2"/>
  <c r="C4448" i="2"/>
  <c r="B4448" i="2"/>
  <c r="C4447" i="2"/>
  <c r="B4447" i="2"/>
  <c r="C4446" i="2"/>
  <c r="B4446" i="2"/>
  <c r="C4445" i="2"/>
  <c r="B4445" i="2"/>
  <c r="C4444" i="2"/>
  <c r="B4444" i="2"/>
  <c r="C4443" i="2"/>
  <c r="B4443" i="2"/>
  <c r="C4442" i="2"/>
  <c r="B4442" i="2"/>
  <c r="C4441" i="2"/>
  <c r="B4441" i="2"/>
  <c r="C4440" i="2"/>
  <c r="B4440" i="2"/>
  <c r="C4439" i="2"/>
  <c r="B4439" i="2"/>
  <c r="C4438" i="2"/>
  <c r="B4438" i="2"/>
  <c r="C4437" i="2"/>
  <c r="B4437" i="2"/>
  <c r="C4436" i="2"/>
  <c r="B4436" i="2"/>
  <c r="C4435" i="2"/>
  <c r="B4435" i="2"/>
  <c r="C4434" i="2"/>
  <c r="B4434" i="2"/>
  <c r="C4433" i="2"/>
  <c r="B4433" i="2"/>
  <c r="C4432" i="2"/>
  <c r="B4432" i="2"/>
  <c r="C4431" i="2"/>
  <c r="B4431" i="2"/>
  <c r="C4430" i="2"/>
  <c r="B4430" i="2"/>
  <c r="C4429" i="2"/>
  <c r="B4429" i="2"/>
  <c r="C4428" i="2"/>
  <c r="B4428" i="2"/>
  <c r="C4427" i="2"/>
  <c r="B4427" i="2"/>
  <c r="C4426" i="2"/>
  <c r="B4426" i="2"/>
  <c r="C4425" i="2"/>
  <c r="B4425" i="2"/>
  <c r="C4424" i="2"/>
  <c r="B4424" i="2"/>
  <c r="C4423" i="2"/>
  <c r="B4423" i="2"/>
  <c r="C4422" i="2"/>
  <c r="B4422" i="2"/>
  <c r="C4421" i="2"/>
  <c r="B4421" i="2"/>
  <c r="C4420" i="2"/>
  <c r="B4420" i="2"/>
  <c r="C4419" i="2"/>
  <c r="B4419" i="2"/>
  <c r="C4418" i="2"/>
  <c r="B4418" i="2"/>
  <c r="C4417" i="2"/>
  <c r="B4417" i="2"/>
  <c r="C4416" i="2"/>
  <c r="B4416" i="2"/>
  <c r="C4415" i="2"/>
  <c r="B4415" i="2"/>
  <c r="C4414" i="2"/>
  <c r="B4414" i="2"/>
  <c r="C4413" i="2"/>
  <c r="B4413" i="2"/>
  <c r="C4412" i="2"/>
  <c r="B4412" i="2"/>
  <c r="C4411" i="2"/>
  <c r="B4411" i="2"/>
  <c r="C4410" i="2"/>
  <c r="B4410" i="2"/>
  <c r="C4409" i="2"/>
  <c r="B4409" i="2"/>
  <c r="C4408" i="2"/>
  <c r="B4408" i="2"/>
  <c r="C4407" i="2"/>
  <c r="B4407" i="2"/>
  <c r="C4406" i="2"/>
  <c r="B4406" i="2"/>
  <c r="C4405" i="2"/>
  <c r="B4405" i="2"/>
  <c r="C4404" i="2"/>
  <c r="B4404" i="2"/>
  <c r="C4403" i="2"/>
  <c r="B4403" i="2"/>
  <c r="C4402" i="2"/>
  <c r="B4402" i="2"/>
  <c r="C4401" i="2"/>
  <c r="B4401" i="2"/>
  <c r="C4400" i="2"/>
  <c r="B4400" i="2"/>
  <c r="C4399" i="2"/>
  <c r="B4399" i="2"/>
  <c r="C4398" i="2"/>
  <c r="B4398" i="2"/>
  <c r="C4397" i="2"/>
  <c r="B4397" i="2"/>
  <c r="C4396" i="2"/>
  <c r="B4396" i="2"/>
  <c r="C4395" i="2"/>
  <c r="B4395" i="2"/>
  <c r="C4394" i="2"/>
  <c r="B4394" i="2"/>
  <c r="C4393" i="2"/>
  <c r="B4393" i="2"/>
  <c r="C4392" i="2"/>
  <c r="B4392" i="2"/>
  <c r="C4391" i="2"/>
  <c r="B4391" i="2"/>
  <c r="C4390" i="2"/>
  <c r="B4390" i="2"/>
  <c r="C4389" i="2"/>
  <c r="B4389" i="2"/>
  <c r="C4388" i="2"/>
  <c r="B4388" i="2"/>
  <c r="C4387" i="2"/>
  <c r="B4387" i="2"/>
  <c r="C4386" i="2"/>
  <c r="B4386" i="2"/>
  <c r="C4385" i="2"/>
  <c r="B4385" i="2"/>
  <c r="C4384" i="2"/>
  <c r="B4384" i="2"/>
  <c r="C4383" i="2"/>
  <c r="B4383" i="2"/>
  <c r="C4382" i="2"/>
  <c r="B4382" i="2"/>
  <c r="C4381" i="2"/>
  <c r="B4381" i="2"/>
  <c r="C4380" i="2"/>
  <c r="B4380" i="2"/>
  <c r="C4379" i="2"/>
  <c r="B4379" i="2"/>
  <c r="C4378" i="2"/>
  <c r="B4378" i="2"/>
  <c r="C4377" i="2"/>
  <c r="B4377" i="2"/>
  <c r="C4376" i="2"/>
  <c r="B4376" i="2"/>
  <c r="C4375" i="2"/>
  <c r="B4375" i="2"/>
  <c r="C4374" i="2"/>
  <c r="B4374" i="2"/>
  <c r="C4373" i="2"/>
  <c r="B4373" i="2"/>
  <c r="C4372" i="2"/>
  <c r="B4372" i="2"/>
  <c r="C4371" i="2"/>
  <c r="B4371" i="2"/>
  <c r="C4370" i="2"/>
  <c r="B4370" i="2"/>
  <c r="C4369" i="2"/>
  <c r="B4369" i="2"/>
  <c r="C4368" i="2"/>
  <c r="B4368" i="2"/>
  <c r="C4367" i="2"/>
  <c r="B4367" i="2"/>
  <c r="C4366" i="2"/>
  <c r="B4366" i="2"/>
  <c r="C4365" i="2"/>
  <c r="B4365" i="2"/>
  <c r="C4364" i="2"/>
  <c r="B4364" i="2"/>
  <c r="C4363" i="2"/>
  <c r="B4363" i="2"/>
  <c r="C4362" i="2"/>
  <c r="B4362" i="2"/>
  <c r="C4361" i="2"/>
  <c r="B4361" i="2"/>
  <c r="C4360" i="2"/>
  <c r="B4360" i="2"/>
  <c r="C4359" i="2"/>
  <c r="B4359" i="2"/>
  <c r="C4358" i="2"/>
  <c r="B4358" i="2"/>
  <c r="C4357" i="2"/>
  <c r="B4357" i="2"/>
  <c r="C4356" i="2"/>
  <c r="B4356" i="2"/>
  <c r="C4355" i="2"/>
  <c r="B4355" i="2"/>
  <c r="C4354" i="2"/>
  <c r="B4354" i="2"/>
  <c r="C4353" i="2"/>
  <c r="B4353" i="2"/>
  <c r="C4352" i="2"/>
  <c r="B4352" i="2"/>
  <c r="C4351" i="2"/>
  <c r="B4351" i="2"/>
  <c r="C4350" i="2"/>
  <c r="B4350" i="2"/>
  <c r="C4349" i="2"/>
  <c r="B4349" i="2"/>
  <c r="C4348" i="2"/>
  <c r="B4348" i="2"/>
  <c r="C4347" i="2"/>
  <c r="B4347" i="2"/>
  <c r="C4346" i="2"/>
  <c r="B4346" i="2"/>
  <c r="C4345" i="2"/>
  <c r="B4345" i="2"/>
  <c r="C4344" i="2"/>
  <c r="B4344" i="2"/>
  <c r="C4343" i="2"/>
  <c r="B4343" i="2"/>
  <c r="C4342" i="2"/>
  <c r="B4342" i="2"/>
  <c r="C4341" i="2"/>
  <c r="B4341" i="2"/>
  <c r="C4340" i="2"/>
  <c r="B4340" i="2"/>
  <c r="C4339" i="2"/>
  <c r="B4339" i="2"/>
  <c r="C4338" i="2"/>
  <c r="B4338" i="2"/>
  <c r="C4337" i="2"/>
  <c r="B4337" i="2"/>
  <c r="C4336" i="2"/>
  <c r="B4336" i="2"/>
  <c r="C4335" i="2"/>
  <c r="B4335" i="2"/>
  <c r="C4334" i="2"/>
  <c r="B4334" i="2"/>
  <c r="C4333" i="2"/>
  <c r="B4333" i="2"/>
  <c r="C4332" i="2"/>
  <c r="B4332" i="2"/>
  <c r="C4331" i="2"/>
  <c r="B4331" i="2"/>
  <c r="C4330" i="2"/>
  <c r="B4330" i="2"/>
  <c r="C4329" i="2"/>
  <c r="B4329" i="2"/>
  <c r="C4328" i="2"/>
  <c r="B4328" i="2"/>
  <c r="C4327" i="2"/>
  <c r="B4327" i="2"/>
  <c r="C4326" i="2"/>
  <c r="B4326" i="2"/>
  <c r="C4325" i="2"/>
  <c r="B4325" i="2"/>
  <c r="C4324" i="2"/>
  <c r="B4324" i="2"/>
  <c r="C4323" i="2"/>
  <c r="B4323" i="2"/>
  <c r="C4322" i="2"/>
  <c r="B4322" i="2"/>
  <c r="C4321" i="2"/>
  <c r="B4321" i="2"/>
  <c r="C4320" i="2"/>
  <c r="B4320" i="2"/>
  <c r="C4319" i="2"/>
  <c r="B4319" i="2"/>
  <c r="C4318" i="2"/>
  <c r="B4318" i="2"/>
  <c r="C4317" i="2"/>
  <c r="B4317" i="2"/>
  <c r="C4316" i="2"/>
  <c r="B4316" i="2"/>
  <c r="C4315" i="2"/>
  <c r="B4315" i="2"/>
  <c r="C4314" i="2"/>
  <c r="B4314" i="2"/>
  <c r="C4313" i="2"/>
  <c r="B4313" i="2"/>
  <c r="C4312" i="2"/>
  <c r="B4312" i="2"/>
  <c r="C4311" i="2"/>
  <c r="B4311" i="2"/>
  <c r="C4310" i="2"/>
  <c r="B4310" i="2"/>
  <c r="C4309" i="2"/>
  <c r="B4309" i="2"/>
  <c r="C4308" i="2"/>
  <c r="B4308" i="2"/>
  <c r="C4307" i="2"/>
  <c r="B4307" i="2"/>
  <c r="C4306" i="2"/>
  <c r="B4306" i="2"/>
  <c r="C4305" i="2"/>
  <c r="B4305" i="2"/>
  <c r="C4304" i="2"/>
  <c r="B4304" i="2"/>
  <c r="C4303" i="2"/>
  <c r="B4303" i="2"/>
  <c r="C4302" i="2"/>
  <c r="B4302" i="2"/>
  <c r="C4301" i="2"/>
  <c r="B4301" i="2"/>
  <c r="C4300" i="2"/>
  <c r="B4300" i="2"/>
  <c r="C4299" i="2"/>
  <c r="B4299" i="2"/>
  <c r="C4298" i="2"/>
  <c r="B4298" i="2"/>
  <c r="C4297" i="2"/>
  <c r="B4297" i="2"/>
  <c r="C4296" i="2"/>
  <c r="B4296" i="2"/>
  <c r="C4295" i="2"/>
  <c r="B4295" i="2"/>
  <c r="C4294" i="2"/>
  <c r="B4294" i="2"/>
  <c r="C4293" i="2"/>
  <c r="B4293" i="2"/>
  <c r="C4292" i="2"/>
  <c r="B4292" i="2"/>
  <c r="C4291" i="2"/>
  <c r="B4291" i="2"/>
  <c r="C4290" i="2"/>
  <c r="B4290" i="2"/>
  <c r="C4289" i="2"/>
  <c r="B4289" i="2"/>
  <c r="C4288" i="2"/>
  <c r="B4288" i="2"/>
  <c r="C4287" i="2"/>
  <c r="B4287" i="2"/>
  <c r="C4286" i="2"/>
  <c r="B4286" i="2"/>
  <c r="C4285" i="2"/>
  <c r="B4285" i="2"/>
  <c r="C4284" i="2"/>
  <c r="B4284" i="2"/>
  <c r="C4283" i="2"/>
  <c r="B4283" i="2"/>
  <c r="C4282" i="2"/>
  <c r="B4282" i="2"/>
  <c r="C4281" i="2"/>
  <c r="B4281" i="2"/>
  <c r="C4280" i="2"/>
  <c r="B4280" i="2"/>
  <c r="C4279" i="2"/>
  <c r="B4279" i="2"/>
  <c r="C4278" i="2"/>
  <c r="B4278" i="2"/>
  <c r="C4277" i="2"/>
  <c r="B4277" i="2"/>
  <c r="C4276" i="2"/>
  <c r="B4276" i="2"/>
  <c r="C4275" i="2"/>
  <c r="B4275" i="2"/>
  <c r="C4274" i="2"/>
  <c r="B4274" i="2"/>
  <c r="C4273" i="2"/>
  <c r="B4273" i="2"/>
  <c r="C4272" i="2"/>
  <c r="B4272" i="2"/>
  <c r="C4271" i="2"/>
  <c r="B4271" i="2"/>
  <c r="C4270" i="2"/>
  <c r="B4270" i="2"/>
  <c r="C4269" i="2"/>
  <c r="B4269" i="2"/>
  <c r="C4268" i="2"/>
  <c r="B4268" i="2"/>
  <c r="C4267" i="2"/>
  <c r="B4267" i="2"/>
  <c r="C4266" i="2"/>
  <c r="B4266" i="2"/>
  <c r="C4265" i="2"/>
  <c r="B4265" i="2"/>
  <c r="C4264" i="2"/>
  <c r="B4264" i="2"/>
  <c r="C4263" i="2"/>
  <c r="B4263" i="2"/>
  <c r="C4262" i="2"/>
  <c r="B4262" i="2"/>
  <c r="C4261" i="2"/>
  <c r="B4261" i="2"/>
  <c r="C4260" i="2"/>
  <c r="B4260" i="2"/>
  <c r="C4259" i="2"/>
  <c r="B4259" i="2"/>
  <c r="C4258" i="2"/>
  <c r="B4258" i="2"/>
  <c r="C4257" i="2"/>
  <c r="B4257" i="2"/>
  <c r="C4256" i="2"/>
  <c r="B4256" i="2"/>
  <c r="C4255" i="2"/>
  <c r="B4255" i="2"/>
  <c r="C4254" i="2"/>
  <c r="B4254" i="2"/>
  <c r="C4253" i="2"/>
  <c r="B4253" i="2"/>
  <c r="C4252" i="2"/>
  <c r="B4252" i="2"/>
  <c r="C4251" i="2"/>
  <c r="B4251" i="2"/>
  <c r="C4250" i="2"/>
  <c r="B4250" i="2"/>
  <c r="C4249" i="2"/>
  <c r="B4249" i="2"/>
  <c r="C4248" i="2"/>
  <c r="B4248" i="2"/>
  <c r="C4247" i="2"/>
  <c r="B4247" i="2"/>
  <c r="C4246" i="2"/>
  <c r="B4246" i="2"/>
  <c r="C4245" i="2"/>
  <c r="B4245" i="2"/>
  <c r="C4244" i="2"/>
  <c r="B4244" i="2"/>
  <c r="C4243" i="2"/>
  <c r="B4243" i="2"/>
  <c r="C4242" i="2"/>
  <c r="B4242" i="2"/>
  <c r="C4241" i="2"/>
  <c r="B4241" i="2"/>
  <c r="C4240" i="2"/>
  <c r="B4240" i="2"/>
  <c r="C4239" i="2"/>
  <c r="B4239" i="2"/>
  <c r="C4238" i="2"/>
  <c r="B4238" i="2"/>
  <c r="C4237" i="2"/>
  <c r="B4237" i="2"/>
  <c r="C4236" i="2"/>
  <c r="B4236" i="2"/>
  <c r="C4235" i="2"/>
  <c r="B4235" i="2"/>
  <c r="C4234" i="2"/>
  <c r="B4234" i="2"/>
  <c r="C4233" i="2"/>
  <c r="B4233" i="2"/>
  <c r="C4232" i="2"/>
  <c r="B4232" i="2"/>
  <c r="C4231" i="2"/>
  <c r="B4231" i="2"/>
  <c r="C4230" i="2"/>
  <c r="B4230" i="2"/>
  <c r="C4229" i="2"/>
  <c r="B4229" i="2"/>
  <c r="C4228" i="2"/>
  <c r="B4228" i="2"/>
  <c r="C4227" i="2"/>
  <c r="B4227" i="2"/>
  <c r="C4226" i="2"/>
  <c r="B4226" i="2"/>
  <c r="C4225" i="2"/>
  <c r="B4225" i="2"/>
  <c r="C4224" i="2"/>
  <c r="B4224" i="2"/>
  <c r="C4223" i="2"/>
  <c r="B4223" i="2"/>
  <c r="C4222" i="2"/>
  <c r="B4222" i="2"/>
  <c r="C4221" i="2"/>
  <c r="B4221" i="2"/>
  <c r="C4220" i="2"/>
  <c r="B4220" i="2"/>
  <c r="C4219" i="2"/>
  <c r="B4219" i="2"/>
  <c r="C4218" i="2"/>
  <c r="B4218" i="2"/>
  <c r="C4217" i="2"/>
  <c r="B4217" i="2"/>
  <c r="C4216" i="2"/>
  <c r="B4216" i="2"/>
  <c r="C4215" i="2"/>
  <c r="B4215" i="2"/>
  <c r="C4214" i="2"/>
  <c r="B4214" i="2"/>
  <c r="C4213" i="2"/>
  <c r="B4213" i="2"/>
  <c r="C4212" i="2"/>
  <c r="B4212" i="2"/>
  <c r="C4211" i="2"/>
  <c r="B4211" i="2"/>
  <c r="C4210" i="2"/>
  <c r="B4210" i="2"/>
  <c r="C4209" i="2"/>
  <c r="B4209" i="2"/>
  <c r="C4208" i="2"/>
  <c r="B4208" i="2"/>
  <c r="C4207" i="2"/>
  <c r="B4207" i="2"/>
  <c r="C4206" i="2"/>
  <c r="B4206" i="2"/>
  <c r="C4205" i="2"/>
  <c r="B4205" i="2"/>
  <c r="C4204" i="2"/>
  <c r="B4204" i="2"/>
  <c r="C4203" i="2"/>
  <c r="B4203" i="2"/>
  <c r="C4202" i="2"/>
  <c r="B4202" i="2"/>
  <c r="C4201" i="2"/>
  <c r="B4201" i="2"/>
  <c r="C4200" i="2"/>
  <c r="B4200" i="2"/>
  <c r="C4199" i="2"/>
  <c r="B4199" i="2"/>
  <c r="C4198" i="2"/>
  <c r="B4198" i="2"/>
  <c r="C4197" i="2"/>
  <c r="B4197" i="2"/>
  <c r="C4196" i="2"/>
  <c r="B4196" i="2"/>
  <c r="C4195" i="2"/>
  <c r="B4195" i="2"/>
  <c r="C4194" i="2"/>
  <c r="B4194" i="2"/>
  <c r="C4193" i="2"/>
  <c r="B4193" i="2"/>
  <c r="C4192" i="2"/>
  <c r="B4192" i="2"/>
  <c r="C4191" i="2"/>
  <c r="B4191" i="2"/>
  <c r="C4190" i="2"/>
  <c r="B4190" i="2"/>
  <c r="C4189" i="2"/>
  <c r="B4189" i="2"/>
  <c r="C4188" i="2"/>
  <c r="B4188" i="2"/>
  <c r="C4187" i="2"/>
  <c r="B4187" i="2"/>
  <c r="C4186" i="2"/>
  <c r="B4186" i="2"/>
  <c r="C4185" i="2"/>
  <c r="B4185" i="2"/>
  <c r="C4184" i="2"/>
  <c r="B4184" i="2"/>
  <c r="C4183" i="2"/>
  <c r="B4183" i="2"/>
  <c r="C4182" i="2"/>
  <c r="B4182" i="2"/>
  <c r="C4181" i="2"/>
  <c r="B4181" i="2"/>
  <c r="C4180" i="2"/>
  <c r="B4180" i="2"/>
  <c r="C4179" i="2"/>
  <c r="B4179" i="2"/>
  <c r="C4178" i="2"/>
  <c r="B4178" i="2"/>
  <c r="C4177" i="2"/>
  <c r="B4177" i="2"/>
  <c r="C4176" i="2"/>
  <c r="B4176" i="2"/>
  <c r="C4175" i="2"/>
  <c r="B4175" i="2"/>
  <c r="C4174" i="2"/>
  <c r="B4174" i="2"/>
  <c r="C4173" i="2"/>
  <c r="B4173" i="2"/>
  <c r="C4172" i="2"/>
  <c r="B4172" i="2"/>
  <c r="C4171" i="2"/>
  <c r="B4171" i="2"/>
  <c r="C4170" i="2"/>
  <c r="B4170" i="2"/>
  <c r="C4169" i="2"/>
  <c r="B4169" i="2"/>
  <c r="C4168" i="2"/>
  <c r="B4168" i="2"/>
  <c r="C4167" i="2"/>
  <c r="B4167" i="2"/>
  <c r="C4166" i="2"/>
  <c r="B4166" i="2"/>
  <c r="C4165" i="2"/>
  <c r="B4165" i="2"/>
  <c r="C4164" i="2"/>
  <c r="B4164" i="2"/>
  <c r="C4163" i="2"/>
  <c r="B4163" i="2"/>
  <c r="C4162" i="2"/>
  <c r="B4162" i="2"/>
  <c r="C4161" i="2"/>
  <c r="B4161" i="2"/>
  <c r="C4160" i="2"/>
  <c r="B4160" i="2"/>
  <c r="C4159" i="2"/>
  <c r="B4159" i="2"/>
  <c r="C4158" i="2"/>
  <c r="B4158" i="2"/>
  <c r="C4157" i="2"/>
  <c r="B4157" i="2"/>
  <c r="C4156" i="2"/>
  <c r="B4156" i="2"/>
  <c r="C4155" i="2"/>
  <c r="B4155" i="2"/>
  <c r="C4154" i="2"/>
  <c r="B4154" i="2"/>
  <c r="C4153" i="2"/>
  <c r="B4153" i="2"/>
  <c r="C4152" i="2"/>
  <c r="B4152" i="2"/>
  <c r="C4151" i="2"/>
  <c r="B4151" i="2"/>
  <c r="C4150" i="2"/>
  <c r="B4150" i="2"/>
  <c r="C4149" i="2"/>
  <c r="B4149" i="2"/>
  <c r="C4148" i="2"/>
  <c r="B4148" i="2"/>
  <c r="C4147" i="2"/>
  <c r="B4147" i="2"/>
  <c r="C4146" i="2"/>
  <c r="B4146" i="2"/>
  <c r="C4145" i="2"/>
  <c r="B4145" i="2"/>
  <c r="C4144" i="2"/>
  <c r="B4144" i="2"/>
  <c r="C4143" i="2"/>
  <c r="B4143" i="2"/>
  <c r="C4142" i="2"/>
  <c r="B4142" i="2"/>
  <c r="C4141" i="2"/>
  <c r="B4141" i="2"/>
  <c r="C4140" i="2"/>
  <c r="B4140" i="2"/>
  <c r="C4139" i="2"/>
  <c r="B4139" i="2"/>
  <c r="C4138" i="2"/>
  <c r="B4138" i="2"/>
  <c r="C4137" i="2"/>
  <c r="B4137" i="2"/>
  <c r="C4136" i="2"/>
  <c r="B4136" i="2"/>
  <c r="C4135" i="2"/>
  <c r="B4135" i="2"/>
  <c r="C4134" i="2"/>
  <c r="B4134" i="2"/>
  <c r="C4133" i="2"/>
  <c r="B4133" i="2"/>
  <c r="C4132" i="2"/>
  <c r="B4132" i="2"/>
  <c r="C4131" i="2"/>
  <c r="B4131" i="2"/>
  <c r="C4130" i="2"/>
  <c r="B4130" i="2"/>
  <c r="C4129" i="2"/>
  <c r="B4129" i="2"/>
  <c r="C4128" i="2"/>
  <c r="B4128" i="2"/>
  <c r="C4127" i="2"/>
  <c r="B4127" i="2"/>
  <c r="C4126" i="2"/>
  <c r="B4126" i="2"/>
  <c r="C4125" i="2"/>
  <c r="B4125" i="2"/>
  <c r="C4124" i="2"/>
  <c r="B4124" i="2"/>
  <c r="C4123" i="2"/>
  <c r="B4123" i="2"/>
  <c r="C4122" i="2"/>
  <c r="B4122" i="2"/>
  <c r="C4121" i="2"/>
  <c r="B4121" i="2"/>
  <c r="C4120" i="2"/>
  <c r="B4120" i="2"/>
  <c r="C4119" i="2"/>
  <c r="B4119" i="2"/>
  <c r="C4118" i="2"/>
  <c r="B4118" i="2"/>
  <c r="C4117" i="2"/>
  <c r="B4117" i="2"/>
  <c r="C4116" i="2"/>
  <c r="B4116" i="2"/>
  <c r="C4115" i="2"/>
  <c r="B4115" i="2"/>
  <c r="C4114" i="2"/>
  <c r="B4114" i="2"/>
  <c r="C4113" i="2"/>
  <c r="B4113" i="2"/>
  <c r="C4112" i="2"/>
  <c r="B4112" i="2"/>
  <c r="C4111" i="2"/>
  <c r="B4111" i="2"/>
  <c r="C4110" i="2"/>
  <c r="B4110" i="2"/>
  <c r="C4109" i="2"/>
  <c r="B4109" i="2"/>
  <c r="C4108" i="2"/>
  <c r="B4108" i="2"/>
  <c r="C4107" i="2"/>
  <c r="B4107" i="2"/>
  <c r="C4106" i="2"/>
  <c r="B4106" i="2"/>
  <c r="C4105" i="2"/>
  <c r="B4105" i="2"/>
  <c r="C4104" i="2"/>
  <c r="B4104" i="2"/>
  <c r="C4103" i="2"/>
  <c r="B4103" i="2"/>
  <c r="C4102" i="2"/>
  <c r="B4102" i="2"/>
  <c r="C4101" i="2"/>
  <c r="B4101" i="2"/>
  <c r="C4100" i="2"/>
  <c r="B4100" i="2"/>
  <c r="C4099" i="2"/>
  <c r="B4099" i="2"/>
  <c r="C4098" i="2"/>
  <c r="B4098" i="2"/>
  <c r="C4097" i="2"/>
  <c r="B4097" i="2"/>
  <c r="C4096" i="2"/>
  <c r="B4096" i="2"/>
  <c r="C4095" i="2"/>
  <c r="B4095" i="2"/>
  <c r="C4094" i="2"/>
  <c r="B4094" i="2"/>
  <c r="C4093" i="2"/>
  <c r="B4093" i="2"/>
  <c r="C4092" i="2"/>
  <c r="B4092" i="2"/>
  <c r="C4091" i="2"/>
  <c r="B4091" i="2"/>
  <c r="C4090" i="2"/>
  <c r="B4090" i="2"/>
  <c r="C4089" i="2"/>
  <c r="B4089" i="2"/>
  <c r="C4088" i="2"/>
  <c r="B4088" i="2"/>
  <c r="C4087" i="2"/>
  <c r="B4087" i="2"/>
  <c r="C4086" i="2"/>
  <c r="B4086" i="2"/>
  <c r="C4085" i="2"/>
  <c r="B4085" i="2"/>
  <c r="C4084" i="2"/>
  <c r="B4084" i="2"/>
  <c r="C4083" i="2"/>
  <c r="B4083" i="2"/>
  <c r="C4082" i="2"/>
  <c r="B4082" i="2"/>
  <c r="C4081" i="2"/>
  <c r="B4081" i="2"/>
  <c r="C4080" i="2"/>
  <c r="B4080" i="2"/>
  <c r="C4079" i="2"/>
  <c r="B4079" i="2"/>
  <c r="C4078" i="2"/>
  <c r="B4078" i="2"/>
  <c r="C4077" i="2"/>
  <c r="B4077" i="2"/>
  <c r="C4076" i="2"/>
  <c r="B4076" i="2"/>
  <c r="C4075" i="2"/>
  <c r="B4075" i="2"/>
  <c r="C4074" i="2"/>
  <c r="B4074" i="2"/>
  <c r="C4073" i="2"/>
  <c r="B4073" i="2"/>
  <c r="C4072" i="2"/>
  <c r="B4072" i="2"/>
  <c r="C4071" i="2"/>
  <c r="B4071" i="2"/>
  <c r="C4070" i="2"/>
  <c r="B4070" i="2"/>
  <c r="C4069" i="2"/>
  <c r="B4069" i="2"/>
  <c r="C4068" i="2"/>
  <c r="B4068" i="2"/>
  <c r="C4067" i="2"/>
  <c r="B4067" i="2"/>
  <c r="C4066" i="2"/>
  <c r="B4066" i="2"/>
  <c r="C4065" i="2"/>
  <c r="B4065" i="2"/>
  <c r="C4064" i="2"/>
  <c r="B4064" i="2"/>
  <c r="C4063" i="2"/>
  <c r="B4063" i="2"/>
  <c r="C4062" i="2"/>
  <c r="B4062" i="2"/>
  <c r="C4061" i="2"/>
  <c r="B4061" i="2"/>
  <c r="C4060" i="2"/>
  <c r="B4060" i="2"/>
  <c r="C4059" i="2"/>
  <c r="B4059" i="2"/>
  <c r="C4058" i="2"/>
  <c r="B4058" i="2"/>
  <c r="C4057" i="2"/>
  <c r="B4057" i="2"/>
  <c r="C4056" i="2"/>
  <c r="B4056" i="2"/>
  <c r="C4055" i="2"/>
  <c r="B4055" i="2"/>
  <c r="C4054" i="2"/>
  <c r="B4054" i="2"/>
  <c r="C4053" i="2"/>
  <c r="B4053" i="2"/>
  <c r="C4052" i="2"/>
  <c r="B4052" i="2"/>
  <c r="C4051" i="2"/>
  <c r="B4051" i="2"/>
  <c r="C4050" i="2"/>
  <c r="B4050" i="2"/>
  <c r="C4049" i="2"/>
  <c r="B4049" i="2"/>
  <c r="C4048" i="2"/>
  <c r="B4048" i="2"/>
  <c r="C4047" i="2"/>
  <c r="B4047" i="2"/>
  <c r="C4046" i="2"/>
  <c r="B4046" i="2"/>
  <c r="C4045" i="2"/>
  <c r="B4045" i="2"/>
  <c r="C4044" i="2"/>
  <c r="B4044" i="2"/>
  <c r="C4043" i="2"/>
  <c r="B4043" i="2"/>
  <c r="C4042" i="2"/>
  <c r="B4042" i="2"/>
  <c r="C4041" i="2"/>
  <c r="B4041" i="2"/>
  <c r="C4040" i="2"/>
  <c r="B4040" i="2"/>
  <c r="C4039" i="2"/>
  <c r="B4039" i="2"/>
  <c r="C4038" i="2"/>
  <c r="B4038" i="2"/>
  <c r="C4037" i="2"/>
  <c r="B4037" i="2"/>
  <c r="C4036" i="2"/>
  <c r="B4036" i="2"/>
  <c r="C4035" i="2"/>
  <c r="B4035" i="2"/>
  <c r="C4034" i="2"/>
  <c r="B4034" i="2"/>
  <c r="C4033" i="2"/>
  <c r="B4033" i="2"/>
  <c r="C4032" i="2"/>
  <c r="B4032" i="2"/>
  <c r="C4031" i="2"/>
  <c r="B4031" i="2"/>
  <c r="C4030" i="2"/>
  <c r="B4030" i="2"/>
  <c r="C4029" i="2"/>
  <c r="B4029" i="2"/>
  <c r="C4028" i="2"/>
  <c r="B4028" i="2"/>
  <c r="C4027" i="2"/>
  <c r="B4027" i="2"/>
  <c r="C4026" i="2"/>
  <c r="B4026" i="2"/>
  <c r="C4025" i="2"/>
  <c r="B4025" i="2"/>
  <c r="C4024" i="2"/>
  <c r="B4024" i="2"/>
  <c r="C4023" i="2"/>
  <c r="B4023" i="2"/>
  <c r="C4022" i="2"/>
  <c r="B4022" i="2"/>
  <c r="C4021" i="2"/>
  <c r="B4021" i="2"/>
  <c r="C4020" i="2"/>
  <c r="B4020" i="2"/>
  <c r="C4019" i="2"/>
  <c r="B4019" i="2"/>
  <c r="C4018" i="2"/>
  <c r="B4018" i="2"/>
  <c r="C4017" i="2"/>
  <c r="B4017" i="2"/>
  <c r="C4016" i="2"/>
  <c r="B4016" i="2"/>
  <c r="C4015" i="2"/>
  <c r="B4015" i="2"/>
  <c r="C4014" i="2"/>
  <c r="B4014" i="2"/>
  <c r="C4013" i="2"/>
  <c r="B4013" i="2"/>
  <c r="C4012" i="2"/>
  <c r="B4012" i="2"/>
  <c r="C4011" i="2"/>
  <c r="B4011" i="2"/>
  <c r="C4010" i="2"/>
  <c r="B4010" i="2"/>
  <c r="C4009" i="2"/>
  <c r="B4009" i="2"/>
  <c r="C4008" i="2"/>
  <c r="B4008" i="2"/>
  <c r="C4007" i="2"/>
  <c r="B4007" i="2"/>
  <c r="C4006" i="2"/>
  <c r="B4006" i="2"/>
  <c r="C4005" i="2"/>
  <c r="B4005" i="2"/>
  <c r="C4004" i="2"/>
  <c r="B4004" i="2"/>
  <c r="C4003" i="2"/>
  <c r="B4003" i="2"/>
  <c r="C4002" i="2"/>
  <c r="B4002" i="2"/>
  <c r="C4001" i="2"/>
  <c r="B4001" i="2"/>
  <c r="C4000" i="2"/>
  <c r="B4000" i="2"/>
  <c r="C3999" i="2"/>
  <c r="B3999" i="2"/>
  <c r="C3998" i="2"/>
  <c r="B3998" i="2"/>
  <c r="C3997" i="2"/>
  <c r="B3997" i="2"/>
  <c r="C3996" i="2"/>
  <c r="B3996" i="2"/>
  <c r="C3995" i="2"/>
  <c r="B3995" i="2"/>
  <c r="C3994" i="2"/>
  <c r="B3994" i="2"/>
  <c r="C3993" i="2"/>
  <c r="B3993" i="2"/>
  <c r="C3992" i="2"/>
  <c r="B3992" i="2"/>
  <c r="C3991" i="2"/>
  <c r="B3991" i="2"/>
  <c r="C3990" i="2"/>
  <c r="B3990" i="2"/>
  <c r="C3989" i="2"/>
  <c r="B3989" i="2"/>
  <c r="C3988" i="2"/>
  <c r="B3988" i="2"/>
  <c r="C3987" i="2"/>
  <c r="B3987" i="2"/>
  <c r="C3986" i="2"/>
  <c r="B3986" i="2"/>
  <c r="C3985" i="2"/>
  <c r="B3985" i="2"/>
  <c r="C3984" i="2"/>
  <c r="B3984" i="2"/>
  <c r="C3983" i="2"/>
  <c r="B3983" i="2"/>
  <c r="C3982" i="2"/>
  <c r="B3982" i="2"/>
  <c r="C3981" i="2"/>
  <c r="B3981" i="2"/>
  <c r="C3980" i="2"/>
  <c r="B3980" i="2"/>
  <c r="C3979" i="2"/>
  <c r="B3979" i="2"/>
  <c r="C3978" i="2"/>
  <c r="B3978" i="2"/>
  <c r="C3977" i="2"/>
  <c r="B3977" i="2"/>
  <c r="C3976" i="2"/>
  <c r="B3976" i="2"/>
  <c r="C3975" i="2"/>
  <c r="B3975" i="2"/>
  <c r="C3974" i="2"/>
  <c r="B3974" i="2"/>
  <c r="C3973" i="2"/>
  <c r="B3973" i="2"/>
  <c r="C3972" i="2"/>
  <c r="B3972" i="2"/>
  <c r="C3971" i="2"/>
  <c r="B3971" i="2"/>
  <c r="C3970" i="2"/>
  <c r="B3970" i="2"/>
  <c r="C3969" i="2"/>
  <c r="B3969" i="2"/>
  <c r="C3968" i="2"/>
  <c r="B3968" i="2"/>
  <c r="C3967" i="2"/>
  <c r="B3967" i="2"/>
  <c r="C3966" i="2"/>
  <c r="B3966" i="2"/>
  <c r="C3965" i="2"/>
  <c r="B3965" i="2"/>
  <c r="C3964" i="2"/>
  <c r="B3964" i="2"/>
  <c r="C3963" i="2"/>
  <c r="B3963" i="2"/>
  <c r="C3962" i="2"/>
  <c r="B3962" i="2"/>
  <c r="C3961" i="2"/>
  <c r="B3961" i="2"/>
  <c r="C3960" i="2"/>
  <c r="B3960" i="2"/>
  <c r="C3959" i="2"/>
  <c r="B3959" i="2"/>
  <c r="C3958" i="2"/>
  <c r="B3958" i="2"/>
  <c r="C3957" i="2"/>
  <c r="B3957" i="2"/>
  <c r="C3956" i="2"/>
  <c r="B3956" i="2"/>
  <c r="C3955" i="2"/>
  <c r="B3955" i="2"/>
  <c r="C3954" i="2"/>
  <c r="B3954" i="2"/>
  <c r="C3953" i="2"/>
  <c r="B3953" i="2"/>
  <c r="C3952" i="2"/>
  <c r="B3952" i="2"/>
  <c r="C3951" i="2"/>
  <c r="B3951" i="2"/>
  <c r="C3950" i="2"/>
  <c r="B3950" i="2"/>
  <c r="C3949" i="2"/>
  <c r="B3949" i="2"/>
  <c r="C3948" i="2"/>
  <c r="B3948" i="2"/>
  <c r="C3947" i="2"/>
  <c r="B3947" i="2"/>
  <c r="C3946" i="2"/>
  <c r="B3946" i="2"/>
  <c r="C3945" i="2"/>
  <c r="B3945" i="2"/>
  <c r="C3944" i="2"/>
  <c r="B3944" i="2"/>
  <c r="C3943" i="2"/>
  <c r="B3943" i="2"/>
  <c r="C3942" i="2"/>
  <c r="B3942" i="2"/>
  <c r="C3941" i="2"/>
  <c r="B3941" i="2"/>
  <c r="C3940" i="2"/>
  <c r="B3940" i="2"/>
  <c r="C3939" i="2"/>
  <c r="B3939" i="2"/>
  <c r="C3938" i="2"/>
  <c r="B3938" i="2"/>
  <c r="C3937" i="2"/>
  <c r="B3937" i="2"/>
  <c r="C3936" i="2"/>
  <c r="B3936" i="2"/>
  <c r="C3935" i="2"/>
  <c r="B3935" i="2"/>
  <c r="C3934" i="2"/>
  <c r="B3934" i="2"/>
  <c r="C3933" i="2"/>
  <c r="B3933" i="2"/>
  <c r="C3932" i="2"/>
  <c r="B3932" i="2"/>
  <c r="C3931" i="2"/>
  <c r="B3931" i="2"/>
  <c r="C3930" i="2"/>
  <c r="B3930" i="2"/>
  <c r="C3929" i="2"/>
  <c r="B3929" i="2"/>
  <c r="C3928" i="2"/>
  <c r="B3928" i="2"/>
  <c r="C3927" i="2"/>
  <c r="B3927" i="2"/>
  <c r="C3926" i="2"/>
  <c r="B3926" i="2"/>
  <c r="C3925" i="2"/>
  <c r="B3925" i="2"/>
  <c r="C3924" i="2"/>
  <c r="B3924" i="2"/>
  <c r="C3923" i="2"/>
  <c r="B3923" i="2"/>
  <c r="C3922" i="2"/>
  <c r="B3922" i="2"/>
  <c r="C3921" i="2"/>
  <c r="B3921" i="2"/>
  <c r="C3920" i="2"/>
  <c r="B3920" i="2"/>
  <c r="C3919" i="2"/>
  <c r="B3919" i="2"/>
  <c r="C3918" i="2"/>
  <c r="B3918" i="2"/>
  <c r="C3917" i="2"/>
  <c r="B3917" i="2"/>
  <c r="C3916" i="2"/>
  <c r="B3916" i="2"/>
  <c r="C3915" i="2"/>
  <c r="B3915" i="2"/>
  <c r="C3914" i="2"/>
  <c r="B3914" i="2"/>
  <c r="C3913" i="2"/>
  <c r="B3913" i="2"/>
  <c r="C3912" i="2"/>
  <c r="B3912" i="2"/>
  <c r="C3911" i="2"/>
  <c r="B3911" i="2"/>
  <c r="C3910" i="2"/>
  <c r="B3910" i="2"/>
  <c r="C3909" i="2"/>
  <c r="B3909" i="2"/>
  <c r="C3908" i="2"/>
  <c r="B3908" i="2"/>
  <c r="C3907" i="2"/>
  <c r="B3907" i="2"/>
  <c r="C3906" i="2"/>
  <c r="B3906" i="2"/>
  <c r="C3905" i="2"/>
  <c r="B3905" i="2"/>
  <c r="C3904" i="2"/>
  <c r="B3904" i="2"/>
  <c r="C3903" i="2"/>
  <c r="B3903" i="2"/>
  <c r="C3902" i="2"/>
  <c r="B3902" i="2"/>
  <c r="C3901" i="2"/>
  <c r="B3901" i="2"/>
  <c r="C3900" i="2"/>
  <c r="B3900" i="2"/>
  <c r="C3899" i="2"/>
  <c r="B3899" i="2"/>
  <c r="C3898" i="2"/>
  <c r="B3898" i="2"/>
  <c r="C3897" i="2"/>
  <c r="B3897" i="2"/>
  <c r="C3896" i="2"/>
  <c r="B3896" i="2"/>
  <c r="C3895" i="2"/>
  <c r="B3895" i="2"/>
  <c r="C3894" i="2"/>
  <c r="B3894" i="2"/>
  <c r="C3893" i="2"/>
  <c r="B3893" i="2"/>
  <c r="C3892" i="2"/>
  <c r="B3892" i="2"/>
  <c r="C3891" i="2"/>
  <c r="B3891" i="2"/>
  <c r="C3890" i="2"/>
  <c r="B3890" i="2"/>
  <c r="C3889" i="2"/>
  <c r="B3889" i="2"/>
  <c r="C3888" i="2"/>
  <c r="B3888" i="2"/>
  <c r="C3887" i="2"/>
  <c r="B3887" i="2"/>
  <c r="C3886" i="2"/>
  <c r="B3886" i="2"/>
  <c r="C3885" i="2"/>
  <c r="B3885" i="2"/>
  <c r="C3884" i="2"/>
  <c r="B3884" i="2"/>
  <c r="C3883" i="2"/>
  <c r="B3883" i="2"/>
  <c r="C3882" i="2"/>
  <c r="B3882" i="2"/>
  <c r="C3881" i="2"/>
  <c r="B3881" i="2"/>
  <c r="C3880" i="2"/>
  <c r="B3880" i="2"/>
  <c r="C3879" i="2"/>
  <c r="B3879" i="2"/>
  <c r="C3878" i="2"/>
  <c r="B3878" i="2"/>
  <c r="C3877" i="2"/>
  <c r="B3877" i="2"/>
  <c r="C3876" i="2"/>
  <c r="B3876" i="2"/>
  <c r="C3875" i="2"/>
  <c r="B3875" i="2"/>
  <c r="C3874" i="2"/>
  <c r="B3874" i="2"/>
  <c r="C3873" i="2"/>
  <c r="B3873" i="2"/>
  <c r="C3872" i="2"/>
  <c r="B3872" i="2"/>
  <c r="C3871" i="2"/>
  <c r="B3871" i="2"/>
  <c r="C3870" i="2"/>
  <c r="B3870" i="2"/>
  <c r="C3869" i="2"/>
  <c r="B3869" i="2"/>
  <c r="C3868" i="2"/>
  <c r="B3868" i="2"/>
  <c r="C3867" i="2"/>
  <c r="B3867" i="2"/>
  <c r="C3866" i="2"/>
  <c r="B3866" i="2"/>
  <c r="C3865" i="2"/>
  <c r="B3865" i="2"/>
  <c r="C3864" i="2"/>
  <c r="B3864" i="2"/>
  <c r="C3863" i="2"/>
  <c r="B3863" i="2"/>
  <c r="C3862" i="2"/>
  <c r="B3862" i="2"/>
  <c r="C3861" i="2"/>
  <c r="B3861" i="2"/>
  <c r="C3860" i="2"/>
  <c r="B3860" i="2"/>
  <c r="C3859" i="2"/>
  <c r="B3859" i="2"/>
  <c r="C3858" i="2"/>
  <c r="B3858" i="2"/>
  <c r="C3857" i="2"/>
  <c r="B3857" i="2"/>
  <c r="C3856" i="2"/>
  <c r="B3856" i="2"/>
  <c r="C3855" i="2"/>
  <c r="B3855" i="2"/>
  <c r="C3854" i="2"/>
  <c r="B3854" i="2"/>
  <c r="C3853" i="2"/>
  <c r="B3853" i="2"/>
  <c r="C3852" i="2"/>
  <c r="B3852" i="2"/>
  <c r="C3851" i="2"/>
  <c r="B3851" i="2"/>
  <c r="C3850" i="2"/>
  <c r="B3850" i="2"/>
  <c r="C3849" i="2"/>
  <c r="B3849" i="2"/>
  <c r="C3848" i="2"/>
  <c r="B3848" i="2"/>
  <c r="C3847" i="2"/>
  <c r="B3847" i="2"/>
  <c r="C3846" i="2"/>
  <c r="B3846" i="2"/>
  <c r="C3845" i="2"/>
  <c r="B3845" i="2"/>
  <c r="C3844" i="2"/>
  <c r="B3844" i="2"/>
  <c r="C3843" i="2"/>
  <c r="B3843" i="2"/>
  <c r="C3842" i="2"/>
  <c r="B3842" i="2"/>
  <c r="C3841" i="2"/>
  <c r="B3841" i="2"/>
  <c r="C3840" i="2"/>
  <c r="B3840" i="2"/>
  <c r="C3839" i="2"/>
  <c r="B3839" i="2"/>
  <c r="C3838" i="2"/>
  <c r="B3838" i="2"/>
  <c r="C3837" i="2"/>
  <c r="B3837" i="2"/>
  <c r="C3836" i="2"/>
  <c r="B3836" i="2"/>
  <c r="C3835" i="2"/>
  <c r="B3835" i="2"/>
  <c r="C3834" i="2"/>
  <c r="B3834" i="2"/>
  <c r="C3833" i="2"/>
  <c r="B3833" i="2"/>
  <c r="C3832" i="2"/>
  <c r="B3832" i="2"/>
  <c r="C3831" i="2"/>
  <c r="B3831" i="2"/>
  <c r="C3830" i="2"/>
  <c r="B3830" i="2"/>
  <c r="C3829" i="2"/>
  <c r="B3829" i="2"/>
  <c r="C3828" i="2"/>
  <c r="B3828" i="2"/>
  <c r="C3827" i="2"/>
  <c r="B3827" i="2"/>
  <c r="C3826" i="2"/>
  <c r="B3826" i="2"/>
  <c r="C3825" i="2"/>
  <c r="B3825" i="2"/>
  <c r="C3824" i="2"/>
  <c r="B3824" i="2"/>
  <c r="C3823" i="2"/>
  <c r="B3823" i="2"/>
  <c r="C3822" i="2"/>
  <c r="B3822" i="2"/>
  <c r="C3821" i="2"/>
  <c r="B3821" i="2"/>
  <c r="C3820" i="2"/>
  <c r="B3820" i="2"/>
  <c r="C3819" i="2"/>
  <c r="B3819" i="2"/>
  <c r="C3818" i="2"/>
  <c r="B3818" i="2"/>
  <c r="C3817" i="2"/>
  <c r="B3817" i="2"/>
  <c r="C3816" i="2"/>
  <c r="B3816" i="2"/>
  <c r="C3815" i="2"/>
  <c r="B3815" i="2"/>
  <c r="C3814" i="2"/>
  <c r="B3814" i="2"/>
  <c r="C3813" i="2"/>
  <c r="B3813" i="2"/>
  <c r="C3812" i="2"/>
  <c r="B3812" i="2"/>
  <c r="C3811" i="2"/>
  <c r="B3811" i="2"/>
  <c r="C3810" i="2"/>
  <c r="B3810" i="2"/>
  <c r="C3809" i="2"/>
  <c r="B3809" i="2"/>
  <c r="C3808" i="2"/>
  <c r="B3808" i="2"/>
  <c r="C3807" i="2"/>
  <c r="B3807" i="2"/>
  <c r="C3806" i="2"/>
  <c r="B3806" i="2"/>
  <c r="C3805" i="2"/>
  <c r="B3805" i="2"/>
  <c r="C3804" i="2"/>
  <c r="B3804" i="2"/>
  <c r="C3803" i="2"/>
  <c r="B3803" i="2"/>
  <c r="C3802" i="2"/>
  <c r="B3802" i="2"/>
  <c r="C3801" i="2"/>
  <c r="B3801" i="2"/>
  <c r="C3800" i="2"/>
  <c r="B3800" i="2"/>
  <c r="C3799" i="2"/>
  <c r="B3799" i="2"/>
  <c r="C3798" i="2"/>
  <c r="B3798" i="2"/>
  <c r="C3797" i="2"/>
  <c r="B3797" i="2"/>
  <c r="C3796" i="2"/>
  <c r="B3796" i="2"/>
  <c r="C3795" i="2"/>
  <c r="B3795" i="2"/>
  <c r="C3794" i="2"/>
  <c r="B3794" i="2"/>
  <c r="C3793" i="2"/>
  <c r="B3793" i="2"/>
  <c r="C3792" i="2"/>
  <c r="B3792" i="2"/>
  <c r="C3791" i="2"/>
  <c r="B3791" i="2"/>
  <c r="C3790" i="2"/>
  <c r="B3790" i="2"/>
  <c r="C3789" i="2"/>
  <c r="B3789" i="2"/>
  <c r="C3788" i="2"/>
  <c r="B3788" i="2"/>
  <c r="C3787" i="2"/>
  <c r="B3787" i="2"/>
  <c r="C3786" i="2"/>
  <c r="B3786" i="2"/>
  <c r="C3785" i="2"/>
  <c r="B3785" i="2"/>
  <c r="C3784" i="2"/>
  <c r="B3784" i="2"/>
  <c r="C3783" i="2"/>
  <c r="B3783" i="2"/>
  <c r="C3782" i="2"/>
  <c r="B3782" i="2"/>
  <c r="C3781" i="2"/>
  <c r="B3781" i="2"/>
  <c r="C3780" i="2"/>
  <c r="B3780" i="2"/>
  <c r="C3779" i="2"/>
  <c r="B3779" i="2"/>
  <c r="C3778" i="2"/>
  <c r="B3778" i="2"/>
  <c r="C3777" i="2"/>
  <c r="B3777" i="2"/>
  <c r="C3776" i="2"/>
  <c r="B3776" i="2"/>
  <c r="C3775" i="2"/>
  <c r="B3775" i="2"/>
  <c r="C3774" i="2"/>
  <c r="B3774" i="2"/>
  <c r="C3773" i="2"/>
  <c r="B3773" i="2"/>
  <c r="C3772" i="2"/>
  <c r="B3772" i="2"/>
  <c r="C3771" i="2"/>
  <c r="B3771" i="2"/>
  <c r="C3770" i="2"/>
  <c r="B3770" i="2"/>
  <c r="C3769" i="2"/>
  <c r="B3769" i="2"/>
  <c r="C3768" i="2"/>
  <c r="B3768" i="2"/>
  <c r="C3767" i="2"/>
  <c r="B3767" i="2"/>
  <c r="C3766" i="2"/>
  <c r="B3766" i="2"/>
  <c r="C3765" i="2"/>
  <c r="B3765" i="2"/>
  <c r="C3764" i="2"/>
  <c r="B3764" i="2"/>
  <c r="C3763" i="2"/>
  <c r="B3763" i="2"/>
  <c r="C3762" i="2"/>
  <c r="B3762" i="2"/>
  <c r="C3761" i="2"/>
  <c r="B3761" i="2"/>
  <c r="C3760" i="2"/>
  <c r="B3760" i="2"/>
  <c r="C3759" i="2"/>
  <c r="B3759" i="2"/>
  <c r="C3758" i="2"/>
  <c r="B3758" i="2"/>
  <c r="C3757" i="2"/>
  <c r="B3757" i="2"/>
  <c r="C3756" i="2"/>
  <c r="B3756" i="2"/>
  <c r="C3755" i="2"/>
  <c r="B3755" i="2"/>
  <c r="C3754" i="2"/>
  <c r="B3754" i="2"/>
  <c r="C3753" i="2"/>
  <c r="B3753" i="2"/>
  <c r="C3752" i="2"/>
  <c r="B3752" i="2"/>
  <c r="C3751" i="2"/>
  <c r="B3751" i="2"/>
  <c r="C3750" i="2"/>
  <c r="B3750" i="2"/>
  <c r="C3749" i="2"/>
  <c r="B3749" i="2"/>
  <c r="C3748" i="2"/>
  <c r="B3748" i="2"/>
  <c r="C3747" i="2"/>
  <c r="B3747" i="2"/>
  <c r="C3746" i="2"/>
  <c r="B3746" i="2"/>
  <c r="C3745" i="2"/>
  <c r="B3745" i="2"/>
  <c r="C3744" i="2"/>
  <c r="B3744" i="2"/>
  <c r="C3743" i="2"/>
  <c r="B3743" i="2"/>
  <c r="C3742" i="2"/>
  <c r="B3742" i="2"/>
  <c r="C3741" i="2"/>
  <c r="B3741" i="2"/>
  <c r="C3740" i="2"/>
  <c r="B3740" i="2"/>
  <c r="C3739" i="2"/>
  <c r="B3739" i="2"/>
  <c r="C3738" i="2"/>
  <c r="B3738" i="2"/>
  <c r="C3737" i="2"/>
  <c r="B3737" i="2"/>
  <c r="C3736" i="2"/>
  <c r="B3736" i="2"/>
  <c r="C3735" i="2"/>
  <c r="B3735" i="2"/>
  <c r="C3734" i="2"/>
  <c r="B3734" i="2"/>
  <c r="C3733" i="2"/>
  <c r="B3733" i="2"/>
  <c r="C3732" i="2"/>
  <c r="B3732" i="2"/>
  <c r="C3731" i="2"/>
  <c r="B3731" i="2"/>
  <c r="C3730" i="2"/>
  <c r="B3730" i="2"/>
  <c r="C3729" i="2"/>
  <c r="B3729" i="2"/>
  <c r="C3728" i="2"/>
  <c r="B3728" i="2"/>
  <c r="C3727" i="2"/>
  <c r="B3727" i="2"/>
  <c r="C3726" i="2"/>
  <c r="B3726" i="2"/>
  <c r="C3725" i="2"/>
  <c r="B3725" i="2"/>
  <c r="C3724" i="2"/>
  <c r="B3724" i="2"/>
  <c r="C3723" i="2"/>
  <c r="B3723" i="2"/>
  <c r="C3722" i="2"/>
  <c r="B3722" i="2"/>
  <c r="C3721" i="2"/>
  <c r="B3721" i="2"/>
  <c r="C3720" i="2"/>
  <c r="B3720" i="2"/>
  <c r="C3719" i="2"/>
  <c r="B3719" i="2"/>
  <c r="C3718" i="2"/>
  <c r="B3718" i="2"/>
  <c r="C3717" i="2"/>
  <c r="B3717" i="2"/>
  <c r="C3716" i="2"/>
  <c r="B3716" i="2"/>
  <c r="C3715" i="2"/>
  <c r="B3715" i="2"/>
  <c r="C3714" i="2"/>
  <c r="B3714" i="2"/>
  <c r="C3713" i="2"/>
  <c r="B3713" i="2"/>
  <c r="C3712" i="2"/>
  <c r="B3712" i="2"/>
  <c r="C3711" i="2"/>
  <c r="B3711" i="2"/>
  <c r="C3710" i="2"/>
  <c r="B3710" i="2"/>
  <c r="C3709" i="2"/>
  <c r="B3709" i="2"/>
  <c r="C3708" i="2"/>
  <c r="B3708" i="2"/>
  <c r="C3707" i="2"/>
  <c r="B3707" i="2"/>
  <c r="C3706" i="2"/>
  <c r="B3706" i="2"/>
  <c r="C3705" i="2"/>
  <c r="B3705" i="2"/>
  <c r="C3704" i="2"/>
  <c r="B3704" i="2"/>
  <c r="C3703" i="2"/>
  <c r="B3703" i="2"/>
  <c r="C3702" i="2"/>
  <c r="B3702" i="2"/>
  <c r="C3701" i="2"/>
  <c r="B3701" i="2"/>
  <c r="C3700" i="2"/>
  <c r="B3700" i="2"/>
  <c r="C3699" i="2"/>
  <c r="B3699" i="2"/>
  <c r="C3698" i="2"/>
  <c r="B3698" i="2"/>
  <c r="C3697" i="2"/>
  <c r="B3697" i="2"/>
  <c r="C3696" i="2"/>
  <c r="B3696" i="2"/>
  <c r="C3695" i="2"/>
  <c r="B3695" i="2"/>
  <c r="C3694" i="2"/>
  <c r="B3694" i="2"/>
  <c r="C3693" i="2"/>
  <c r="B3693" i="2"/>
  <c r="C3692" i="2"/>
  <c r="B3692" i="2"/>
  <c r="C3691" i="2"/>
  <c r="B3691" i="2"/>
  <c r="C3690" i="2"/>
  <c r="B3690" i="2"/>
  <c r="C3689" i="2"/>
  <c r="B3689" i="2"/>
  <c r="C3688" i="2"/>
  <c r="B3688" i="2"/>
  <c r="C3687" i="2"/>
  <c r="B3687" i="2"/>
  <c r="C3686" i="2"/>
  <c r="B3686" i="2"/>
  <c r="C3685" i="2"/>
  <c r="B3685" i="2"/>
  <c r="C3684" i="2"/>
  <c r="B3684" i="2"/>
  <c r="C3683" i="2"/>
  <c r="B3683" i="2"/>
  <c r="C3682" i="2"/>
  <c r="B3682" i="2"/>
  <c r="C3681" i="2"/>
  <c r="B3681" i="2"/>
  <c r="C3680" i="2"/>
  <c r="B3680" i="2"/>
  <c r="C3679" i="2"/>
  <c r="B3679" i="2"/>
  <c r="C3678" i="2"/>
  <c r="B3678" i="2"/>
  <c r="C3677" i="2"/>
  <c r="B3677" i="2"/>
  <c r="C3676" i="2"/>
  <c r="B3676" i="2"/>
  <c r="C3675" i="2"/>
  <c r="B3675" i="2"/>
  <c r="C3674" i="2"/>
  <c r="B3674" i="2"/>
  <c r="C3673" i="2"/>
  <c r="B3673" i="2"/>
  <c r="C3672" i="2"/>
  <c r="B3672" i="2"/>
  <c r="C3671" i="2"/>
  <c r="B3671" i="2"/>
  <c r="C3670" i="2"/>
  <c r="B3670" i="2"/>
  <c r="C3669" i="2"/>
  <c r="B3669" i="2"/>
  <c r="C3668" i="2"/>
  <c r="B3668" i="2"/>
  <c r="C3667" i="2"/>
  <c r="B3667" i="2"/>
  <c r="C3666" i="2"/>
  <c r="B3666" i="2"/>
  <c r="C3665" i="2"/>
  <c r="B3665" i="2"/>
  <c r="C3664" i="2"/>
  <c r="B3664" i="2"/>
  <c r="C3663" i="2"/>
  <c r="B3663" i="2"/>
  <c r="C3662" i="2"/>
  <c r="B3662" i="2"/>
  <c r="C3661" i="2"/>
  <c r="B3661" i="2"/>
  <c r="C3660" i="2"/>
  <c r="B3660" i="2"/>
  <c r="C3659" i="2"/>
  <c r="B3659" i="2"/>
  <c r="C3658" i="2"/>
  <c r="B3658" i="2"/>
  <c r="C3657" i="2"/>
  <c r="B3657" i="2"/>
  <c r="C3656" i="2"/>
  <c r="B3656" i="2"/>
  <c r="C3655" i="2"/>
  <c r="B3655" i="2"/>
  <c r="C3654" i="2"/>
  <c r="B3654" i="2"/>
  <c r="C3653" i="2"/>
  <c r="B3653" i="2"/>
  <c r="C3652" i="2"/>
  <c r="B3652" i="2"/>
  <c r="C3651" i="2"/>
  <c r="B3651" i="2"/>
  <c r="C3650" i="2"/>
  <c r="B3650" i="2"/>
  <c r="C3649" i="2"/>
  <c r="B3649" i="2"/>
  <c r="C3648" i="2"/>
  <c r="B3648" i="2"/>
  <c r="C3647" i="2"/>
  <c r="B3647" i="2"/>
  <c r="C3646" i="2"/>
  <c r="B3646" i="2"/>
  <c r="C3645" i="2"/>
  <c r="B3645" i="2"/>
  <c r="C3644" i="2"/>
  <c r="B3644" i="2"/>
  <c r="C3643" i="2"/>
  <c r="B3643" i="2"/>
  <c r="C3642" i="2"/>
  <c r="B3642" i="2"/>
  <c r="C3641" i="2"/>
  <c r="B3641" i="2"/>
  <c r="C3640" i="2"/>
  <c r="B3640" i="2"/>
  <c r="C3639" i="2"/>
  <c r="B3639" i="2"/>
  <c r="C3638" i="2"/>
  <c r="B3638" i="2"/>
  <c r="C3637" i="2"/>
  <c r="B3637" i="2"/>
  <c r="C3636" i="2"/>
  <c r="B3636" i="2"/>
  <c r="C3635" i="2"/>
  <c r="B3635" i="2"/>
  <c r="C3634" i="2"/>
  <c r="B3634" i="2"/>
  <c r="C3633" i="2"/>
  <c r="B3633" i="2"/>
  <c r="C3632" i="2"/>
  <c r="B3632" i="2"/>
  <c r="C3631" i="2"/>
  <c r="B3631" i="2"/>
  <c r="C3630" i="2"/>
  <c r="B3630" i="2"/>
  <c r="C3629" i="2"/>
  <c r="B3629" i="2"/>
  <c r="C3628" i="2"/>
  <c r="B3628" i="2"/>
  <c r="C3627" i="2"/>
  <c r="B3627" i="2"/>
  <c r="C3626" i="2"/>
  <c r="B3626" i="2"/>
  <c r="C3625" i="2"/>
  <c r="B3625" i="2"/>
  <c r="C3624" i="2"/>
  <c r="B3624" i="2"/>
  <c r="C3623" i="2"/>
  <c r="B3623" i="2"/>
  <c r="C3622" i="2"/>
  <c r="B3622" i="2"/>
  <c r="C3621" i="2"/>
  <c r="B3621" i="2"/>
  <c r="C3620" i="2"/>
  <c r="B3620" i="2"/>
  <c r="C3619" i="2"/>
  <c r="B3619" i="2"/>
  <c r="C3618" i="2"/>
  <c r="B3618" i="2"/>
  <c r="C3617" i="2"/>
  <c r="B3617" i="2"/>
  <c r="C3616" i="2"/>
  <c r="B3616" i="2"/>
  <c r="C3615" i="2"/>
  <c r="B3615" i="2"/>
  <c r="C3614" i="2"/>
  <c r="B3614" i="2"/>
  <c r="C3613" i="2"/>
  <c r="B3613" i="2"/>
  <c r="C3612" i="2"/>
  <c r="B3612" i="2"/>
  <c r="C3611" i="2"/>
  <c r="B3611" i="2"/>
  <c r="C3610" i="2"/>
  <c r="B3610" i="2"/>
  <c r="C3609" i="2"/>
  <c r="B3609" i="2"/>
  <c r="C3608" i="2"/>
  <c r="B3608" i="2"/>
  <c r="C3607" i="2"/>
  <c r="B3607" i="2"/>
  <c r="C3606" i="2"/>
  <c r="B3606" i="2"/>
  <c r="C3605" i="2"/>
  <c r="B3605" i="2"/>
  <c r="C3604" i="2"/>
  <c r="B3604" i="2"/>
  <c r="C3603" i="2"/>
  <c r="B3603" i="2"/>
  <c r="C3602" i="2"/>
  <c r="B3602" i="2"/>
  <c r="C3601" i="2"/>
  <c r="B3601" i="2"/>
  <c r="C3600" i="2"/>
  <c r="B3600" i="2"/>
  <c r="C3599" i="2"/>
  <c r="B3599" i="2"/>
  <c r="C3598" i="2"/>
  <c r="B3598" i="2"/>
  <c r="C3597" i="2"/>
  <c r="B3597" i="2"/>
  <c r="C3596" i="2"/>
  <c r="B3596" i="2"/>
  <c r="C3595" i="2"/>
  <c r="B3595" i="2"/>
  <c r="C3594" i="2"/>
  <c r="B3594" i="2"/>
  <c r="C3593" i="2"/>
  <c r="B3593" i="2"/>
  <c r="C3592" i="2"/>
  <c r="B3592" i="2"/>
  <c r="C3591" i="2"/>
  <c r="B3591" i="2"/>
  <c r="C3590" i="2"/>
  <c r="B3590" i="2"/>
  <c r="C3589" i="2"/>
  <c r="B3589" i="2"/>
  <c r="C3588" i="2"/>
  <c r="B3588" i="2"/>
  <c r="C3587" i="2"/>
  <c r="B3587" i="2"/>
  <c r="C3586" i="2"/>
  <c r="B3586" i="2"/>
  <c r="C3585" i="2"/>
  <c r="B3585" i="2"/>
  <c r="C3584" i="2"/>
  <c r="B3584" i="2"/>
  <c r="C3583" i="2"/>
  <c r="B3583" i="2"/>
  <c r="C3582" i="2"/>
  <c r="B3582" i="2"/>
  <c r="C3581" i="2"/>
  <c r="B3581" i="2"/>
  <c r="C3580" i="2"/>
  <c r="B3580" i="2"/>
  <c r="C3579" i="2"/>
  <c r="B3579" i="2"/>
  <c r="C3578" i="2"/>
  <c r="B3578" i="2"/>
  <c r="C3577" i="2"/>
  <c r="B3577" i="2"/>
  <c r="C3576" i="2"/>
  <c r="B3576" i="2"/>
  <c r="C3575" i="2"/>
  <c r="B3575" i="2"/>
  <c r="C3574" i="2"/>
  <c r="B3574" i="2"/>
  <c r="C3573" i="2"/>
  <c r="B3573" i="2"/>
  <c r="C3572" i="2"/>
  <c r="B3572" i="2"/>
  <c r="C3571" i="2"/>
  <c r="B3571" i="2"/>
  <c r="C3570" i="2"/>
  <c r="B3570" i="2"/>
  <c r="C3569" i="2"/>
  <c r="B3569" i="2"/>
  <c r="C3568" i="2"/>
  <c r="B3568" i="2"/>
  <c r="C3567" i="2"/>
  <c r="B3567" i="2"/>
  <c r="C3566" i="2"/>
  <c r="B3566" i="2"/>
  <c r="C3565" i="2"/>
  <c r="B3565" i="2"/>
  <c r="C3564" i="2"/>
  <c r="B3564" i="2"/>
  <c r="C3563" i="2"/>
  <c r="B3563" i="2"/>
  <c r="C3562" i="2"/>
  <c r="B3562" i="2"/>
  <c r="C3561" i="2"/>
  <c r="B3561" i="2"/>
  <c r="C3560" i="2"/>
  <c r="B3560" i="2"/>
  <c r="C3559" i="2"/>
  <c r="B3559" i="2"/>
  <c r="C3558" i="2"/>
  <c r="B3558" i="2"/>
  <c r="C3557" i="2"/>
  <c r="B3557" i="2"/>
  <c r="C3556" i="2"/>
  <c r="B3556" i="2"/>
  <c r="C3555" i="2"/>
  <c r="B3555" i="2"/>
  <c r="C3554" i="2"/>
  <c r="B3554" i="2"/>
  <c r="C3553" i="2"/>
  <c r="B3553" i="2"/>
  <c r="C3552" i="2"/>
  <c r="B3552" i="2"/>
  <c r="C3551" i="2"/>
  <c r="B3551" i="2"/>
  <c r="C3550" i="2"/>
  <c r="B3550" i="2"/>
  <c r="C3549" i="2"/>
  <c r="B3549" i="2"/>
  <c r="C3548" i="2"/>
  <c r="B3548" i="2"/>
  <c r="C3547" i="2"/>
  <c r="B3547" i="2"/>
  <c r="C3546" i="2"/>
  <c r="B3546" i="2"/>
  <c r="C3545" i="2"/>
  <c r="B3545" i="2"/>
  <c r="C3544" i="2"/>
  <c r="B3544" i="2"/>
  <c r="C3543" i="2"/>
  <c r="B3543" i="2"/>
  <c r="C3542" i="2"/>
  <c r="B3542" i="2"/>
  <c r="C3541" i="2"/>
  <c r="B3541" i="2"/>
  <c r="C3540" i="2"/>
  <c r="B3540" i="2"/>
  <c r="C3539" i="2"/>
  <c r="B3539" i="2"/>
  <c r="C3538" i="2"/>
  <c r="B3538" i="2"/>
  <c r="C3537" i="2"/>
  <c r="B3537" i="2"/>
  <c r="C3536" i="2"/>
  <c r="B3536" i="2"/>
  <c r="C3535" i="2"/>
  <c r="B3535" i="2"/>
  <c r="C3534" i="2"/>
  <c r="B3534" i="2"/>
  <c r="C3533" i="2"/>
  <c r="B3533" i="2"/>
  <c r="C3532" i="2"/>
  <c r="B3532" i="2"/>
  <c r="C3531" i="2"/>
  <c r="B3531" i="2"/>
  <c r="C3530" i="2"/>
  <c r="B3530" i="2"/>
  <c r="C3529" i="2"/>
  <c r="B3529" i="2"/>
  <c r="C3528" i="2"/>
  <c r="B3528" i="2"/>
  <c r="C3527" i="2"/>
  <c r="B3527" i="2"/>
  <c r="C3526" i="2"/>
  <c r="B3526" i="2"/>
  <c r="C3525" i="2"/>
  <c r="B3525" i="2"/>
  <c r="C3524" i="2"/>
  <c r="B3524" i="2"/>
  <c r="C3523" i="2"/>
  <c r="B3523" i="2"/>
  <c r="C3522" i="2"/>
  <c r="B3522" i="2"/>
  <c r="C3521" i="2"/>
  <c r="B3521" i="2"/>
  <c r="C3520" i="2"/>
  <c r="B3520" i="2"/>
  <c r="C3519" i="2"/>
  <c r="B3519" i="2"/>
  <c r="C3518" i="2"/>
  <c r="B3518" i="2"/>
  <c r="C3517" i="2"/>
  <c r="B3517" i="2"/>
  <c r="C3516" i="2"/>
  <c r="B3516" i="2"/>
  <c r="C3515" i="2"/>
  <c r="B3515" i="2"/>
  <c r="C3514" i="2"/>
  <c r="B3514" i="2"/>
  <c r="C3513" i="2"/>
  <c r="B3513" i="2"/>
  <c r="C3512" i="2"/>
  <c r="B3512" i="2"/>
  <c r="C3511" i="2"/>
  <c r="B3511" i="2"/>
  <c r="C3510" i="2"/>
  <c r="B3510" i="2"/>
  <c r="C3509" i="2"/>
  <c r="B3509" i="2"/>
  <c r="C3508" i="2"/>
  <c r="B3508" i="2"/>
  <c r="C3507" i="2"/>
  <c r="B3507" i="2"/>
  <c r="C3506" i="2"/>
  <c r="B3506" i="2"/>
  <c r="C3505" i="2"/>
  <c r="B3505" i="2"/>
  <c r="C3504" i="2"/>
  <c r="B3504" i="2"/>
  <c r="C3503" i="2"/>
  <c r="B3503" i="2"/>
  <c r="C3502" i="2"/>
  <c r="B3502" i="2"/>
  <c r="C3501" i="2"/>
  <c r="B3501" i="2"/>
  <c r="C3500" i="2"/>
  <c r="B3500" i="2"/>
  <c r="C3499" i="2"/>
  <c r="B3499" i="2"/>
  <c r="C3498" i="2"/>
  <c r="B3498" i="2"/>
  <c r="C3497" i="2"/>
  <c r="B3497" i="2"/>
  <c r="C3496" i="2"/>
  <c r="B3496" i="2"/>
  <c r="C3495" i="2"/>
  <c r="B3495" i="2"/>
  <c r="C3494" i="2"/>
  <c r="B3494" i="2"/>
  <c r="C3493" i="2"/>
  <c r="B3493" i="2"/>
  <c r="C3492" i="2"/>
  <c r="B3492" i="2"/>
  <c r="C3491" i="2"/>
  <c r="B3491" i="2"/>
  <c r="C3490" i="2"/>
  <c r="B3490" i="2"/>
  <c r="C3489" i="2"/>
  <c r="B3489" i="2"/>
  <c r="C3488" i="2"/>
  <c r="B3488" i="2"/>
  <c r="C3487" i="2"/>
  <c r="B3487" i="2"/>
  <c r="C3486" i="2"/>
  <c r="B3486" i="2"/>
  <c r="C3485" i="2"/>
  <c r="B3485" i="2"/>
  <c r="C3484" i="2"/>
  <c r="B3484" i="2"/>
  <c r="C3483" i="2"/>
  <c r="B3483" i="2"/>
  <c r="C3482" i="2"/>
  <c r="B3482" i="2"/>
  <c r="C3481" i="2"/>
  <c r="B3481" i="2"/>
  <c r="C3480" i="2"/>
  <c r="B3480" i="2"/>
  <c r="C3479" i="2"/>
  <c r="B3479" i="2"/>
  <c r="C3478" i="2"/>
  <c r="B3478" i="2"/>
  <c r="C3477" i="2"/>
  <c r="B3477" i="2"/>
  <c r="C3476" i="2"/>
  <c r="B3476" i="2"/>
  <c r="C3475" i="2"/>
  <c r="B3475" i="2"/>
  <c r="C3474" i="2"/>
  <c r="B3474" i="2"/>
  <c r="C3473" i="2"/>
  <c r="B3473" i="2"/>
  <c r="C3472" i="2"/>
  <c r="B3472" i="2"/>
  <c r="C3471" i="2"/>
  <c r="B3471" i="2"/>
  <c r="C3470" i="2"/>
  <c r="B3470" i="2"/>
  <c r="C3469" i="2"/>
  <c r="B3469" i="2"/>
  <c r="C3468" i="2"/>
  <c r="B3468" i="2"/>
  <c r="C3467" i="2"/>
  <c r="B3467" i="2"/>
  <c r="C3466" i="2"/>
  <c r="B3466" i="2"/>
  <c r="C3465" i="2"/>
  <c r="B3465" i="2"/>
  <c r="C3464" i="2"/>
  <c r="B3464" i="2"/>
  <c r="C3463" i="2"/>
  <c r="B3463" i="2"/>
  <c r="C3462" i="2"/>
  <c r="B3462" i="2"/>
  <c r="C3461" i="2"/>
  <c r="B3461" i="2"/>
  <c r="C3460" i="2"/>
  <c r="B3460" i="2"/>
  <c r="C3459" i="2"/>
  <c r="B3459" i="2"/>
  <c r="C3458" i="2"/>
  <c r="B3458" i="2"/>
  <c r="C3457" i="2"/>
  <c r="B3457" i="2"/>
  <c r="C3456" i="2"/>
  <c r="B3456" i="2"/>
  <c r="C3455" i="2"/>
  <c r="B3455" i="2"/>
  <c r="C3454" i="2"/>
  <c r="B3454" i="2"/>
  <c r="C3453" i="2"/>
  <c r="B3453" i="2"/>
  <c r="C3452" i="2"/>
  <c r="B3452" i="2"/>
  <c r="C3451" i="2"/>
  <c r="B3451" i="2"/>
  <c r="C3450" i="2"/>
  <c r="B3450" i="2"/>
  <c r="C3449" i="2"/>
  <c r="B3449" i="2"/>
  <c r="C3448" i="2"/>
  <c r="B3448" i="2"/>
  <c r="C3447" i="2"/>
  <c r="B3447" i="2"/>
  <c r="C3446" i="2"/>
  <c r="B3446" i="2"/>
  <c r="C3445" i="2"/>
  <c r="B3445" i="2"/>
  <c r="C3444" i="2"/>
  <c r="B3444" i="2"/>
  <c r="C3443" i="2"/>
  <c r="B3443" i="2"/>
  <c r="C3442" i="2"/>
  <c r="B3442" i="2"/>
  <c r="C3441" i="2"/>
  <c r="B3441" i="2"/>
  <c r="C3440" i="2"/>
  <c r="B3440" i="2"/>
  <c r="C3439" i="2"/>
  <c r="B3439" i="2"/>
  <c r="C3438" i="2"/>
  <c r="B3438" i="2"/>
  <c r="C3437" i="2"/>
  <c r="B3437" i="2"/>
  <c r="C3436" i="2"/>
  <c r="B3436" i="2"/>
  <c r="C3435" i="2"/>
  <c r="B3435" i="2"/>
  <c r="C3434" i="2"/>
  <c r="B3434" i="2"/>
  <c r="C3433" i="2"/>
  <c r="B3433" i="2"/>
  <c r="C3432" i="2"/>
  <c r="B3432" i="2"/>
  <c r="C3431" i="2"/>
  <c r="B3431" i="2"/>
  <c r="C3430" i="2"/>
  <c r="B3430" i="2"/>
  <c r="C3429" i="2"/>
  <c r="B3429" i="2"/>
  <c r="C3428" i="2"/>
  <c r="B3428" i="2"/>
  <c r="C3427" i="2"/>
  <c r="B3427" i="2"/>
  <c r="C3426" i="2"/>
  <c r="B3426" i="2"/>
  <c r="C3425" i="2"/>
  <c r="B3425" i="2"/>
  <c r="C3424" i="2"/>
  <c r="B3424" i="2"/>
  <c r="C3423" i="2"/>
  <c r="B3423" i="2"/>
  <c r="C3422" i="2"/>
  <c r="B3422" i="2"/>
  <c r="C3421" i="2"/>
  <c r="B3421" i="2"/>
  <c r="C3420" i="2"/>
  <c r="B3420" i="2"/>
  <c r="C3419" i="2"/>
  <c r="B3419" i="2"/>
  <c r="C3418" i="2"/>
  <c r="B3418" i="2"/>
  <c r="C3417" i="2"/>
  <c r="B3417" i="2"/>
  <c r="C3416" i="2"/>
  <c r="B3416" i="2"/>
  <c r="C3415" i="2"/>
  <c r="B3415" i="2"/>
  <c r="C3414" i="2"/>
  <c r="B3414" i="2"/>
  <c r="C3413" i="2"/>
  <c r="B3413" i="2"/>
  <c r="C3412" i="2"/>
  <c r="B3412" i="2"/>
  <c r="C3411" i="2"/>
  <c r="B3411" i="2"/>
  <c r="C3410" i="2"/>
  <c r="B3410" i="2"/>
  <c r="C3409" i="2"/>
  <c r="B3409" i="2"/>
  <c r="C3408" i="2"/>
  <c r="B3408" i="2"/>
  <c r="C3407" i="2"/>
  <c r="B3407" i="2"/>
  <c r="C3406" i="2"/>
  <c r="B3406" i="2"/>
  <c r="C3405" i="2"/>
  <c r="B3405" i="2"/>
  <c r="C3404" i="2"/>
  <c r="B3404" i="2"/>
  <c r="C3403" i="2"/>
  <c r="B3403" i="2"/>
  <c r="C3402" i="2"/>
  <c r="B3402" i="2"/>
  <c r="C3401" i="2"/>
  <c r="B3401" i="2"/>
  <c r="C3400" i="2"/>
  <c r="B3400" i="2"/>
  <c r="C3399" i="2"/>
  <c r="B3399" i="2"/>
  <c r="C3398" i="2"/>
  <c r="B3398" i="2"/>
  <c r="C3397" i="2"/>
  <c r="B3397" i="2"/>
  <c r="C3396" i="2"/>
  <c r="B3396" i="2"/>
  <c r="C3395" i="2"/>
  <c r="B3395" i="2"/>
  <c r="C3394" i="2"/>
  <c r="B3394" i="2"/>
  <c r="C3393" i="2"/>
  <c r="B3393" i="2"/>
  <c r="C3392" i="2"/>
  <c r="B3392" i="2"/>
  <c r="C3391" i="2"/>
  <c r="B3391" i="2"/>
  <c r="C3390" i="2"/>
  <c r="B3390" i="2"/>
  <c r="C3389" i="2"/>
  <c r="B3389" i="2"/>
  <c r="C3388" i="2"/>
  <c r="B3388" i="2"/>
  <c r="C3387" i="2"/>
  <c r="B3387" i="2"/>
  <c r="C3386" i="2"/>
  <c r="B3386" i="2"/>
  <c r="C3385" i="2"/>
  <c r="B3385" i="2"/>
  <c r="C3384" i="2"/>
  <c r="B3384" i="2"/>
  <c r="C3383" i="2"/>
  <c r="B3383" i="2"/>
  <c r="C3382" i="2"/>
  <c r="B3382" i="2"/>
  <c r="C3381" i="2"/>
  <c r="B3381" i="2"/>
  <c r="C3380" i="2"/>
  <c r="B3380" i="2"/>
  <c r="C3379" i="2"/>
  <c r="B3379" i="2"/>
  <c r="C3378" i="2"/>
  <c r="B3378" i="2"/>
  <c r="C3377" i="2"/>
  <c r="B3377" i="2"/>
  <c r="C3376" i="2"/>
  <c r="B3376" i="2"/>
  <c r="C3375" i="2"/>
  <c r="B3375" i="2"/>
  <c r="C3374" i="2"/>
  <c r="B3374" i="2"/>
  <c r="C3373" i="2"/>
  <c r="B3373" i="2"/>
  <c r="C3372" i="2"/>
  <c r="B3372" i="2"/>
  <c r="C3371" i="2"/>
  <c r="B3371" i="2"/>
  <c r="C3370" i="2"/>
  <c r="B3370" i="2"/>
  <c r="C3369" i="2"/>
  <c r="B3369" i="2"/>
  <c r="C3368" i="2"/>
  <c r="B3368" i="2"/>
  <c r="C3367" i="2"/>
  <c r="B3367" i="2"/>
  <c r="C3366" i="2"/>
  <c r="B3366" i="2"/>
  <c r="C3365" i="2"/>
  <c r="B3365" i="2"/>
  <c r="C3364" i="2"/>
  <c r="B3364" i="2"/>
  <c r="C3363" i="2"/>
  <c r="B3363" i="2"/>
  <c r="C3362" i="2"/>
  <c r="B3362" i="2"/>
  <c r="C3361" i="2"/>
  <c r="B3361" i="2"/>
  <c r="C3360" i="2"/>
  <c r="B3360" i="2"/>
  <c r="C3359" i="2"/>
  <c r="B3359" i="2"/>
  <c r="C3358" i="2"/>
  <c r="B3358" i="2"/>
  <c r="C3357" i="2"/>
  <c r="B3357" i="2"/>
  <c r="C3356" i="2"/>
  <c r="B3356" i="2"/>
  <c r="C3355" i="2"/>
  <c r="B3355" i="2"/>
  <c r="C3354" i="2"/>
  <c r="B3354" i="2"/>
  <c r="C3353" i="2"/>
  <c r="B3353" i="2"/>
  <c r="C3352" i="2"/>
  <c r="B3352" i="2"/>
  <c r="C3351" i="2"/>
  <c r="B3351" i="2"/>
  <c r="C3350" i="2"/>
  <c r="B3350" i="2"/>
  <c r="C3349" i="2"/>
  <c r="B3349" i="2"/>
  <c r="C3348" i="2"/>
  <c r="B3348" i="2"/>
  <c r="C3347" i="2"/>
  <c r="B3347" i="2"/>
  <c r="C3346" i="2"/>
  <c r="B3346" i="2"/>
  <c r="C3345" i="2"/>
  <c r="B3345" i="2"/>
  <c r="C3344" i="2"/>
  <c r="B3344" i="2"/>
  <c r="C3343" i="2"/>
  <c r="B3343" i="2"/>
  <c r="C3342" i="2"/>
  <c r="B3342" i="2"/>
  <c r="C3341" i="2"/>
  <c r="B3341" i="2"/>
  <c r="C3340" i="2"/>
  <c r="B3340" i="2"/>
  <c r="C3339" i="2"/>
  <c r="B3339" i="2"/>
  <c r="C3338" i="2"/>
  <c r="B3338" i="2"/>
  <c r="C3337" i="2"/>
  <c r="B3337" i="2"/>
  <c r="C3336" i="2"/>
  <c r="B3336" i="2"/>
  <c r="C3335" i="2"/>
  <c r="B3335" i="2"/>
  <c r="C3334" i="2"/>
  <c r="B3334" i="2"/>
  <c r="C3333" i="2"/>
  <c r="B3333" i="2"/>
  <c r="C3332" i="2"/>
  <c r="B3332" i="2"/>
  <c r="C3331" i="2"/>
  <c r="B3331" i="2"/>
  <c r="C3330" i="2"/>
  <c r="B3330" i="2"/>
  <c r="C3329" i="2"/>
  <c r="B3329" i="2"/>
  <c r="C3328" i="2"/>
  <c r="B3328" i="2"/>
  <c r="C3327" i="2"/>
  <c r="B3327" i="2"/>
  <c r="C3326" i="2"/>
  <c r="B3326" i="2"/>
  <c r="C3325" i="2"/>
  <c r="B3325" i="2"/>
  <c r="C3324" i="2"/>
  <c r="B3324" i="2"/>
  <c r="C3323" i="2"/>
  <c r="B3323" i="2"/>
  <c r="C3322" i="2"/>
  <c r="B3322" i="2"/>
  <c r="C3321" i="2"/>
  <c r="B3321" i="2"/>
  <c r="C3320" i="2"/>
  <c r="B3320" i="2"/>
  <c r="C3319" i="2"/>
  <c r="B3319" i="2"/>
  <c r="C3318" i="2"/>
  <c r="B3318" i="2"/>
  <c r="C3317" i="2"/>
  <c r="B3317" i="2"/>
  <c r="C3316" i="2"/>
  <c r="B3316" i="2"/>
  <c r="C3315" i="2"/>
  <c r="B3315" i="2"/>
  <c r="C3314" i="2"/>
  <c r="B3314" i="2"/>
  <c r="C3313" i="2"/>
  <c r="B3313" i="2"/>
  <c r="C3312" i="2"/>
  <c r="B3312" i="2"/>
  <c r="C3311" i="2"/>
  <c r="B3311" i="2"/>
  <c r="C3310" i="2"/>
  <c r="B3310" i="2"/>
  <c r="C3309" i="2"/>
  <c r="B3309" i="2"/>
  <c r="C3308" i="2"/>
  <c r="B3308" i="2"/>
  <c r="C3307" i="2"/>
  <c r="B3307" i="2"/>
  <c r="C3306" i="2"/>
  <c r="B3306" i="2"/>
  <c r="C3305" i="2"/>
  <c r="B3305" i="2"/>
  <c r="C3304" i="2"/>
  <c r="B3304" i="2"/>
  <c r="C3303" i="2"/>
  <c r="B3303" i="2"/>
  <c r="C3302" i="2"/>
  <c r="B3302" i="2"/>
  <c r="C3301" i="2"/>
  <c r="B3301" i="2"/>
  <c r="C3300" i="2"/>
  <c r="B3300" i="2"/>
  <c r="C3299" i="2"/>
  <c r="B3299" i="2"/>
  <c r="C3298" i="2"/>
  <c r="B3298" i="2"/>
  <c r="C3297" i="2"/>
  <c r="B3297" i="2"/>
  <c r="C3296" i="2"/>
  <c r="B3296" i="2"/>
  <c r="C3295" i="2"/>
  <c r="B3295" i="2"/>
  <c r="C3294" i="2"/>
  <c r="B3294" i="2"/>
  <c r="C3293" i="2"/>
  <c r="B3293" i="2"/>
  <c r="C3292" i="2"/>
  <c r="B3292" i="2"/>
  <c r="C3291" i="2"/>
  <c r="B3291" i="2"/>
  <c r="C3290" i="2"/>
  <c r="B3290" i="2"/>
  <c r="C3289" i="2"/>
  <c r="B3289" i="2"/>
  <c r="C3288" i="2"/>
  <c r="B3288" i="2"/>
  <c r="C3287" i="2"/>
  <c r="B3287" i="2"/>
  <c r="C3286" i="2"/>
  <c r="B3286" i="2"/>
  <c r="C3285" i="2"/>
  <c r="B3285" i="2"/>
  <c r="C3284" i="2"/>
  <c r="B3284" i="2"/>
  <c r="C3283" i="2"/>
  <c r="B3283" i="2"/>
  <c r="C3282" i="2"/>
  <c r="B3282" i="2"/>
  <c r="C3281" i="2"/>
  <c r="B3281" i="2"/>
  <c r="C3280" i="2"/>
  <c r="B3280" i="2"/>
  <c r="C3279" i="2"/>
  <c r="B3279" i="2"/>
  <c r="C3278" i="2"/>
  <c r="B3278" i="2"/>
  <c r="C3277" i="2"/>
  <c r="B3277" i="2"/>
  <c r="C3276" i="2"/>
  <c r="B3276" i="2"/>
  <c r="C3275" i="2"/>
  <c r="B3275" i="2"/>
  <c r="C3274" i="2"/>
  <c r="B3274" i="2"/>
  <c r="C3273" i="2"/>
  <c r="B3273" i="2"/>
  <c r="C3272" i="2"/>
  <c r="B3272" i="2"/>
  <c r="C3271" i="2"/>
  <c r="B3271" i="2"/>
  <c r="C3270" i="2"/>
  <c r="B3270" i="2"/>
  <c r="C3269" i="2"/>
  <c r="B3269" i="2"/>
  <c r="C3268" i="2"/>
  <c r="B3268" i="2"/>
  <c r="C3267" i="2"/>
  <c r="B3267" i="2"/>
  <c r="C3266" i="2"/>
  <c r="B3266" i="2"/>
  <c r="C3265" i="2"/>
  <c r="B3265" i="2"/>
  <c r="C3264" i="2"/>
  <c r="B3264" i="2"/>
  <c r="C3263" i="2"/>
  <c r="B3263" i="2"/>
  <c r="C3262" i="2"/>
  <c r="B3262" i="2"/>
  <c r="C3261" i="2"/>
  <c r="B3261" i="2"/>
  <c r="C3260" i="2"/>
  <c r="B3260" i="2"/>
  <c r="C3259" i="2"/>
  <c r="B3259" i="2"/>
  <c r="C3258" i="2"/>
  <c r="B3258" i="2"/>
  <c r="C3257" i="2"/>
  <c r="B3257" i="2"/>
  <c r="C3256" i="2"/>
  <c r="B3256" i="2"/>
  <c r="C3255" i="2"/>
  <c r="B3255" i="2"/>
  <c r="C3254" i="2"/>
  <c r="B3254" i="2"/>
  <c r="C3253" i="2"/>
  <c r="B3253" i="2"/>
  <c r="C3252" i="2"/>
  <c r="B3252" i="2"/>
  <c r="C3251" i="2"/>
  <c r="B3251" i="2"/>
  <c r="C3250" i="2"/>
  <c r="B3250" i="2"/>
  <c r="C3249" i="2"/>
  <c r="B3249" i="2"/>
  <c r="C3248" i="2"/>
  <c r="B3248" i="2"/>
  <c r="C3247" i="2"/>
  <c r="B3247" i="2"/>
  <c r="C3246" i="2"/>
  <c r="B3246" i="2"/>
  <c r="C3245" i="2"/>
  <c r="B3245" i="2"/>
  <c r="C3244" i="2"/>
  <c r="B3244" i="2"/>
  <c r="C3243" i="2"/>
  <c r="B3243" i="2"/>
  <c r="C3242" i="2"/>
  <c r="B3242" i="2"/>
  <c r="C3241" i="2"/>
  <c r="B3241" i="2"/>
  <c r="C3240" i="2"/>
  <c r="B3240" i="2"/>
  <c r="C3239" i="2"/>
  <c r="B3239" i="2"/>
  <c r="C3238" i="2"/>
  <c r="B3238" i="2"/>
  <c r="C3237" i="2"/>
  <c r="B3237" i="2"/>
  <c r="C3236" i="2"/>
  <c r="B3236" i="2"/>
  <c r="C3235" i="2"/>
  <c r="B3235" i="2"/>
  <c r="C3234" i="2"/>
  <c r="B3234" i="2"/>
  <c r="C3233" i="2"/>
  <c r="B3233" i="2"/>
  <c r="C3232" i="2"/>
  <c r="B3232" i="2"/>
  <c r="C3231" i="2"/>
  <c r="B3231" i="2"/>
  <c r="C3230" i="2"/>
  <c r="B3230" i="2"/>
  <c r="C3229" i="2"/>
  <c r="B3229" i="2"/>
  <c r="C3228" i="2"/>
  <c r="B3228" i="2"/>
  <c r="C3227" i="2"/>
  <c r="B3227" i="2"/>
  <c r="C3226" i="2"/>
  <c r="B3226" i="2"/>
  <c r="C3225" i="2"/>
  <c r="B3225" i="2"/>
  <c r="C3224" i="2"/>
  <c r="B3224" i="2"/>
  <c r="C3223" i="2"/>
  <c r="B3223" i="2"/>
  <c r="C3222" i="2"/>
  <c r="B3222" i="2"/>
  <c r="C3221" i="2"/>
  <c r="B3221" i="2"/>
  <c r="C3220" i="2"/>
  <c r="B3220" i="2"/>
  <c r="C3219" i="2"/>
  <c r="B3219" i="2"/>
  <c r="C3218" i="2"/>
  <c r="B3218" i="2"/>
  <c r="C3217" i="2"/>
  <c r="B3217" i="2"/>
  <c r="C3216" i="2"/>
  <c r="B3216" i="2"/>
  <c r="C3215" i="2"/>
  <c r="B3215" i="2"/>
  <c r="C3214" i="2"/>
  <c r="B3214" i="2"/>
  <c r="C3213" i="2"/>
  <c r="B3213" i="2"/>
  <c r="C3212" i="2"/>
  <c r="B3212" i="2"/>
  <c r="C3211" i="2"/>
  <c r="B3211" i="2"/>
  <c r="C3210" i="2"/>
  <c r="B3210" i="2"/>
  <c r="C3209" i="2"/>
  <c r="B3209" i="2"/>
  <c r="C3208" i="2"/>
  <c r="B3208" i="2"/>
  <c r="C3207" i="2"/>
  <c r="B3207" i="2"/>
  <c r="C3206" i="2"/>
  <c r="B3206" i="2"/>
  <c r="C3205" i="2"/>
  <c r="B3205" i="2"/>
  <c r="C3204" i="2"/>
  <c r="B3204" i="2"/>
  <c r="C3203" i="2"/>
  <c r="B3203" i="2"/>
  <c r="C3202" i="2"/>
  <c r="B3202" i="2"/>
  <c r="C3201" i="2"/>
  <c r="B3201" i="2"/>
  <c r="C3200" i="2"/>
  <c r="B3200" i="2"/>
  <c r="C3199" i="2"/>
  <c r="B3199" i="2"/>
  <c r="C3198" i="2"/>
  <c r="B3198" i="2"/>
  <c r="C3197" i="2"/>
  <c r="B3197" i="2"/>
  <c r="C3196" i="2"/>
  <c r="B3196" i="2"/>
  <c r="C3195" i="2"/>
  <c r="B3195" i="2"/>
  <c r="C3194" i="2"/>
  <c r="B3194" i="2"/>
  <c r="C3193" i="2"/>
  <c r="B3193" i="2"/>
  <c r="C3192" i="2"/>
  <c r="B3192" i="2"/>
  <c r="C3191" i="2"/>
  <c r="B3191" i="2"/>
  <c r="C3190" i="2"/>
  <c r="B3190" i="2"/>
  <c r="C3189" i="2"/>
  <c r="B3189" i="2"/>
  <c r="C3188" i="2"/>
  <c r="B3188" i="2"/>
  <c r="C3187" i="2"/>
  <c r="B3187" i="2"/>
  <c r="C3186" i="2"/>
  <c r="B3186" i="2"/>
  <c r="C3185" i="2"/>
  <c r="B3185" i="2"/>
  <c r="C3184" i="2"/>
  <c r="B3184" i="2"/>
  <c r="C3183" i="2"/>
  <c r="B3183" i="2"/>
  <c r="C3182" i="2"/>
  <c r="B3182" i="2"/>
  <c r="C3181" i="2"/>
  <c r="B3181" i="2"/>
  <c r="C3180" i="2"/>
  <c r="B3180" i="2"/>
  <c r="C3179" i="2"/>
  <c r="B3179" i="2"/>
  <c r="C3178" i="2"/>
  <c r="B3178" i="2"/>
  <c r="C3177" i="2"/>
  <c r="B3177" i="2"/>
  <c r="C3176" i="2"/>
  <c r="B3176" i="2"/>
  <c r="C3175" i="2"/>
  <c r="B3175" i="2"/>
  <c r="C3174" i="2"/>
  <c r="B3174" i="2"/>
  <c r="C3173" i="2"/>
  <c r="B3173" i="2"/>
  <c r="C3172" i="2"/>
  <c r="B3172" i="2"/>
  <c r="C3171" i="2"/>
  <c r="B3171" i="2"/>
  <c r="C3170" i="2"/>
  <c r="B3170" i="2"/>
  <c r="C3169" i="2"/>
  <c r="B3169" i="2"/>
  <c r="C3168" i="2"/>
  <c r="B3168" i="2"/>
  <c r="C3167" i="2"/>
  <c r="B3167" i="2"/>
  <c r="C3166" i="2"/>
  <c r="B3166" i="2"/>
  <c r="C3165" i="2"/>
  <c r="B3165" i="2"/>
  <c r="C3164" i="2"/>
  <c r="B3164" i="2"/>
  <c r="C3163" i="2"/>
  <c r="B3163" i="2"/>
  <c r="C3162" i="2"/>
  <c r="B3162" i="2"/>
  <c r="C3161" i="2"/>
  <c r="B3161" i="2"/>
  <c r="C3160" i="2"/>
  <c r="B3160" i="2"/>
  <c r="C3159" i="2"/>
  <c r="B3159" i="2"/>
  <c r="C3158" i="2"/>
  <c r="B3158" i="2"/>
  <c r="C3157" i="2"/>
  <c r="B3157" i="2"/>
  <c r="C3156" i="2"/>
  <c r="B3156" i="2"/>
  <c r="C3155" i="2"/>
  <c r="B3155" i="2"/>
  <c r="C3154" i="2"/>
  <c r="B3154" i="2"/>
  <c r="C3153" i="2"/>
  <c r="B3153" i="2"/>
  <c r="C3152" i="2"/>
  <c r="B3152" i="2"/>
  <c r="C3151" i="2"/>
  <c r="B3151" i="2"/>
  <c r="C3150" i="2"/>
  <c r="B3150" i="2"/>
  <c r="C3149" i="2"/>
  <c r="B3149" i="2"/>
  <c r="C3148" i="2"/>
  <c r="B3148" i="2"/>
  <c r="C3147" i="2"/>
  <c r="B3147" i="2"/>
  <c r="C3146" i="2"/>
  <c r="B3146" i="2"/>
  <c r="C3145" i="2"/>
  <c r="B3145" i="2"/>
  <c r="C3144" i="2"/>
  <c r="B3144" i="2"/>
  <c r="C3143" i="2"/>
  <c r="B3143" i="2"/>
  <c r="C3142" i="2"/>
  <c r="B3142" i="2"/>
  <c r="C3141" i="2"/>
  <c r="B3141" i="2"/>
  <c r="C3140" i="2"/>
  <c r="B3140" i="2"/>
  <c r="C3139" i="2"/>
  <c r="B3139" i="2"/>
  <c r="C3138" i="2"/>
  <c r="B3138" i="2"/>
  <c r="C3137" i="2"/>
  <c r="B3137" i="2"/>
  <c r="C3136" i="2"/>
  <c r="B3136" i="2"/>
  <c r="C3135" i="2"/>
  <c r="B3135" i="2"/>
  <c r="C3134" i="2"/>
  <c r="B3134" i="2"/>
  <c r="C3133" i="2"/>
  <c r="B3133" i="2"/>
  <c r="C3132" i="2"/>
  <c r="B3132" i="2"/>
  <c r="C3131" i="2"/>
  <c r="B3131" i="2"/>
  <c r="C3130" i="2"/>
  <c r="B3130" i="2"/>
  <c r="C3129" i="2"/>
  <c r="B3129" i="2"/>
  <c r="C3128" i="2"/>
  <c r="B3128" i="2"/>
  <c r="C3127" i="2"/>
  <c r="B3127" i="2"/>
  <c r="C3126" i="2"/>
  <c r="B3126" i="2"/>
  <c r="C3125" i="2"/>
  <c r="B3125" i="2"/>
  <c r="C3124" i="2"/>
  <c r="B3124" i="2"/>
  <c r="C3123" i="2"/>
  <c r="B3123" i="2"/>
  <c r="C3122" i="2"/>
  <c r="B3122" i="2"/>
  <c r="C3121" i="2"/>
  <c r="B3121" i="2"/>
  <c r="C3120" i="2"/>
  <c r="B3120" i="2"/>
  <c r="C3119" i="2"/>
  <c r="B3119" i="2"/>
  <c r="C3118" i="2"/>
  <c r="B3118" i="2"/>
  <c r="C3117" i="2"/>
  <c r="B3117" i="2"/>
  <c r="C3116" i="2"/>
  <c r="B3116" i="2"/>
  <c r="C3115" i="2"/>
  <c r="B3115" i="2"/>
  <c r="C3114" i="2"/>
  <c r="B3114" i="2"/>
  <c r="C3113" i="2"/>
  <c r="B3113" i="2"/>
  <c r="C3112" i="2"/>
  <c r="B3112" i="2"/>
  <c r="C3111" i="2"/>
  <c r="B3111" i="2"/>
  <c r="C3110" i="2"/>
  <c r="B3110" i="2"/>
  <c r="C3109" i="2"/>
  <c r="B3109" i="2"/>
  <c r="C3108" i="2"/>
  <c r="B3108" i="2"/>
  <c r="C3107" i="2"/>
  <c r="B3107" i="2"/>
  <c r="C3106" i="2"/>
  <c r="B3106" i="2"/>
  <c r="C3105" i="2"/>
  <c r="B3105" i="2"/>
  <c r="C3104" i="2"/>
  <c r="B3104" i="2"/>
  <c r="C3103" i="2"/>
  <c r="B3103" i="2"/>
  <c r="C3102" i="2"/>
  <c r="B3102" i="2"/>
  <c r="C3101" i="2"/>
  <c r="B3101" i="2"/>
  <c r="C3100" i="2"/>
  <c r="B3100" i="2"/>
  <c r="C3099" i="2"/>
  <c r="B3099" i="2"/>
  <c r="C3098" i="2"/>
  <c r="B3098" i="2"/>
  <c r="C3097" i="2"/>
  <c r="B3097" i="2"/>
  <c r="C3096" i="2"/>
  <c r="B3096" i="2"/>
  <c r="C3095" i="2"/>
  <c r="B3095" i="2"/>
  <c r="C3094" i="2"/>
  <c r="B3094" i="2"/>
  <c r="C3093" i="2"/>
  <c r="B3093" i="2"/>
  <c r="C3092" i="2"/>
  <c r="B3092" i="2"/>
  <c r="C3091" i="2"/>
  <c r="B3091" i="2"/>
  <c r="C3090" i="2"/>
  <c r="B3090" i="2"/>
  <c r="C3089" i="2"/>
  <c r="B3089" i="2"/>
  <c r="C3088" i="2"/>
  <c r="B3088" i="2"/>
  <c r="C3087" i="2"/>
  <c r="B3087" i="2"/>
  <c r="C3086" i="2"/>
  <c r="B3086" i="2"/>
  <c r="C3085" i="2"/>
  <c r="B3085" i="2"/>
  <c r="C3084" i="2"/>
  <c r="B3084" i="2"/>
  <c r="C3083" i="2"/>
  <c r="B3083" i="2"/>
  <c r="C3082" i="2"/>
  <c r="B3082" i="2"/>
  <c r="C3081" i="2"/>
  <c r="B3081" i="2"/>
  <c r="C3080" i="2"/>
  <c r="B3080" i="2"/>
  <c r="C3079" i="2"/>
  <c r="B3079" i="2"/>
  <c r="C3078" i="2"/>
  <c r="B3078" i="2"/>
  <c r="C3077" i="2"/>
  <c r="B3077" i="2"/>
  <c r="C3076" i="2"/>
  <c r="B3076" i="2"/>
  <c r="C3075" i="2"/>
  <c r="B3075" i="2"/>
  <c r="C3074" i="2"/>
  <c r="B3074" i="2"/>
  <c r="C3073" i="2"/>
  <c r="B3073" i="2"/>
  <c r="C3072" i="2"/>
  <c r="B3072" i="2"/>
  <c r="C3071" i="2"/>
  <c r="B3071" i="2"/>
  <c r="C3070" i="2"/>
  <c r="B3070" i="2"/>
  <c r="C3069" i="2"/>
  <c r="B3069" i="2"/>
  <c r="C3068" i="2"/>
  <c r="B3068" i="2"/>
  <c r="C3067" i="2"/>
  <c r="B3067" i="2"/>
  <c r="C3066" i="2"/>
  <c r="B3066" i="2"/>
  <c r="C3065" i="2"/>
  <c r="B3065" i="2"/>
  <c r="C3064" i="2"/>
  <c r="B3064" i="2"/>
  <c r="C3063" i="2"/>
  <c r="B3063" i="2"/>
  <c r="C3062" i="2"/>
  <c r="B3062" i="2"/>
  <c r="C3061" i="2"/>
  <c r="B3061" i="2"/>
  <c r="C3060" i="2"/>
  <c r="B3060" i="2"/>
  <c r="C3059" i="2"/>
  <c r="B3059" i="2"/>
  <c r="C3058" i="2"/>
  <c r="B3058" i="2"/>
  <c r="C3057" i="2"/>
  <c r="B3057" i="2"/>
  <c r="C3056" i="2"/>
  <c r="B3056" i="2"/>
  <c r="C3055" i="2"/>
  <c r="B3055" i="2"/>
  <c r="C3054" i="2"/>
  <c r="B3054" i="2"/>
  <c r="C3053" i="2"/>
  <c r="B3053" i="2"/>
  <c r="C3052" i="2"/>
  <c r="B3052" i="2"/>
  <c r="C3051" i="2"/>
  <c r="B3051" i="2"/>
  <c r="C3050" i="2"/>
  <c r="B3050" i="2"/>
  <c r="C3049" i="2"/>
  <c r="B3049" i="2"/>
  <c r="C3048" i="2"/>
  <c r="B3048" i="2"/>
  <c r="C3047" i="2"/>
  <c r="B3047" i="2"/>
  <c r="C3046" i="2"/>
  <c r="B3046" i="2"/>
  <c r="C3045" i="2"/>
  <c r="B3045" i="2"/>
  <c r="C3044" i="2"/>
  <c r="B3044" i="2"/>
  <c r="C3043" i="2"/>
  <c r="B3043" i="2"/>
  <c r="C3042" i="2"/>
  <c r="B3042" i="2"/>
  <c r="C3041" i="2"/>
  <c r="B3041" i="2"/>
  <c r="C3040" i="2"/>
  <c r="B3040" i="2"/>
  <c r="C3039" i="2"/>
  <c r="B3039" i="2"/>
  <c r="C3038" i="2"/>
  <c r="B3038" i="2"/>
  <c r="C3037" i="2"/>
  <c r="B3037" i="2"/>
  <c r="C3036" i="2"/>
  <c r="B3036" i="2"/>
  <c r="C3035" i="2"/>
  <c r="B3035" i="2"/>
  <c r="C3034" i="2"/>
  <c r="B3034" i="2"/>
  <c r="C3033" i="2"/>
  <c r="B3033" i="2"/>
  <c r="C3032" i="2"/>
  <c r="B3032" i="2"/>
  <c r="C3031" i="2"/>
  <c r="B3031" i="2"/>
  <c r="C3030" i="2"/>
  <c r="B3030" i="2"/>
  <c r="C3029" i="2"/>
  <c r="B3029" i="2"/>
  <c r="C3028" i="2"/>
  <c r="B3028" i="2"/>
  <c r="C3027" i="2"/>
  <c r="B3027" i="2"/>
  <c r="C3026" i="2"/>
  <c r="B3026" i="2"/>
  <c r="C3025" i="2"/>
  <c r="B3025" i="2"/>
  <c r="C3024" i="2"/>
  <c r="B3024" i="2"/>
  <c r="C3023" i="2"/>
  <c r="B3023" i="2"/>
  <c r="C3022" i="2"/>
  <c r="B3022" i="2"/>
  <c r="C3021" i="2"/>
  <c r="B3021" i="2"/>
  <c r="C3020" i="2"/>
  <c r="B3020" i="2"/>
  <c r="C3019" i="2"/>
  <c r="B3019" i="2"/>
  <c r="C3018" i="2"/>
  <c r="B3018" i="2"/>
  <c r="C3017" i="2"/>
  <c r="B3017" i="2"/>
  <c r="C3016" i="2"/>
  <c r="B3016" i="2"/>
  <c r="C3015" i="2"/>
  <c r="B3015" i="2"/>
  <c r="C3014" i="2"/>
  <c r="B3014" i="2"/>
  <c r="C3013" i="2"/>
  <c r="B3013" i="2"/>
  <c r="C3012" i="2"/>
  <c r="B3012" i="2"/>
  <c r="C3011" i="2"/>
  <c r="B3011" i="2"/>
  <c r="C3010" i="2"/>
  <c r="B3010" i="2"/>
  <c r="C3009" i="2"/>
  <c r="B3009" i="2"/>
  <c r="C3008" i="2"/>
  <c r="B3008" i="2"/>
  <c r="C3007" i="2"/>
  <c r="B3007" i="2"/>
  <c r="C3006" i="2"/>
  <c r="B3006" i="2"/>
  <c r="C3005" i="2"/>
  <c r="B3005" i="2"/>
  <c r="C3004" i="2"/>
  <c r="B3004" i="2"/>
  <c r="C3003" i="2"/>
  <c r="B3003" i="2"/>
  <c r="C3002" i="2"/>
  <c r="B3002" i="2"/>
  <c r="C3001" i="2"/>
  <c r="B3001" i="2"/>
  <c r="C3000" i="2"/>
  <c r="B3000" i="2"/>
  <c r="C2999" i="2"/>
  <c r="B2999" i="2"/>
  <c r="C2998" i="2"/>
  <c r="B2998" i="2"/>
  <c r="C2997" i="2"/>
  <c r="B2997" i="2"/>
  <c r="C2996" i="2"/>
  <c r="B2996" i="2"/>
  <c r="C2995" i="2"/>
  <c r="B2995" i="2"/>
  <c r="C2994" i="2"/>
  <c r="B2994" i="2"/>
  <c r="C2993" i="2"/>
  <c r="B2993" i="2"/>
  <c r="C2992" i="2"/>
  <c r="B2992" i="2"/>
  <c r="C2991" i="2"/>
  <c r="B2991" i="2"/>
  <c r="C2990" i="2"/>
  <c r="B2990" i="2"/>
  <c r="C2989" i="2"/>
  <c r="B2989" i="2"/>
  <c r="C2988" i="2"/>
  <c r="B2988" i="2"/>
  <c r="C2987" i="2"/>
  <c r="B2987" i="2"/>
  <c r="C2986" i="2"/>
  <c r="B2986" i="2"/>
  <c r="C2985" i="2"/>
  <c r="B2985" i="2"/>
  <c r="C2984" i="2"/>
  <c r="B2984" i="2"/>
  <c r="C2983" i="2"/>
  <c r="B2983" i="2"/>
  <c r="C2982" i="2"/>
  <c r="B2982" i="2"/>
  <c r="C2981" i="2"/>
  <c r="B2981" i="2"/>
  <c r="C2980" i="2"/>
  <c r="B2980" i="2"/>
  <c r="C2979" i="2"/>
  <c r="B2979" i="2"/>
  <c r="C2978" i="2"/>
  <c r="B2978" i="2"/>
  <c r="C2977" i="2"/>
  <c r="B2977" i="2"/>
  <c r="C2976" i="2"/>
  <c r="B2976" i="2"/>
  <c r="C2975" i="2"/>
  <c r="B2975" i="2"/>
  <c r="C2974" i="2"/>
  <c r="B2974" i="2"/>
  <c r="C2973" i="2"/>
  <c r="B2973" i="2"/>
  <c r="C2972" i="2"/>
  <c r="B2972" i="2"/>
  <c r="C2971" i="2"/>
  <c r="B2971" i="2"/>
  <c r="C2970" i="2"/>
  <c r="B2970" i="2"/>
  <c r="C2969" i="2"/>
  <c r="B2969" i="2"/>
  <c r="C2968" i="2"/>
  <c r="B2968" i="2"/>
  <c r="C2967" i="2"/>
  <c r="B2967" i="2"/>
  <c r="C2966" i="2"/>
  <c r="B2966" i="2"/>
  <c r="C2965" i="2"/>
  <c r="B2965" i="2"/>
  <c r="C2964" i="2"/>
  <c r="B2964" i="2"/>
  <c r="C2963" i="2"/>
  <c r="B2963" i="2"/>
  <c r="C2962" i="2"/>
  <c r="B2962" i="2"/>
  <c r="C2961" i="2"/>
  <c r="B2961" i="2"/>
  <c r="C2960" i="2"/>
  <c r="B2960" i="2"/>
  <c r="C2959" i="2"/>
  <c r="B2959" i="2"/>
  <c r="C2958" i="2"/>
  <c r="B2958" i="2"/>
  <c r="C2957" i="2"/>
  <c r="B2957" i="2"/>
  <c r="C2956" i="2"/>
  <c r="B2956" i="2"/>
  <c r="C2955" i="2"/>
  <c r="B2955" i="2"/>
  <c r="C2954" i="2"/>
  <c r="B2954" i="2"/>
  <c r="C2953" i="2"/>
  <c r="B2953" i="2"/>
  <c r="C2952" i="2"/>
  <c r="B2952" i="2"/>
  <c r="C2951" i="2"/>
  <c r="B2951" i="2"/>
  <c r="C2950" i="2"/>
  <c r="B2950" i="2"/>
  <c r="C2949" i="2"/>
  <c r="B2949" i="2"/>
  <c r="C2948" i="2"/>
  <c r="B2948" i="2"/>
  <c r="C2947" i="2"/>
  <c r="B2947" i="2"/>
  <c r="C2946" i="2"/>
  <c r="B2946" i="2"/>
  <c r="C2945" i="2"/>
  <c r="B2945" i="2"/>
  <c r="C2944" i="2"/>
  <c r="B2944" i="2"/>
  <c r="C2943" i="2"/>
  <c r="B2943" i="2"/>
  <c r="C2942" i="2"/>
  <c r="B2942" i="2"/>
  <c r="C2941" i="2"/>
  <c r="B2941" i="2"/>
  <c r="C2940" i="2"/>
  <c r="B2940" i="2"/>
  <c r="C2939" i="2"/>
  <c r="B2939" i="2"/>
  <c r="C2938" i="2"/>
  <c r="B2938" i="2"/>
  <c r="C2937" i="2"/>
  <c r="B2937" i="2"/>
  <c r="C2936" i="2"/>
  <c r="B2936" i="2"/>
  <c r="C2935" i="2"/>
  <c r="B2935" i="2"/>
  <c r="C2934" i="2"/>
  <c r="B2934" i="2"/>
  <c r="C2933" i="2"/>
  <c r="B2933" i="2"/>
  <c r="C2932" i="2"/>
  <c r="B2932" i="2"/>
  <c r="C2931" i="2"/>
  <c r="B2931" i="2"/>
  <c r="C2930" i="2"/>
  <c r="B2930" i="2"/>
  <c r="C2929" i="2"/>
  <c r="B2929" i="2"/>
  <c r="C2928" i="2"/>
  <c r="B2928" i="2"/>
  <c r="C2927" i="2"/>
  <c r="B2927" i="2"/>
  <c r="C2926" i="2"/>
  <c r="B2926" i="2"/>
  <c r="C2925" i="2"/>
  <c r="B2925" i="2"/>
  <c r="C2924" i="2"/>
  <c r="B2924" i="2"/>
  <c r="C2923" i="2"/>
  <c r="B2923" i="2"/>
  <c r="C2922" i="2"/>
  <c r="B2922" i="2"/>
  <c r="C2921" i="2"/>
  <c r="B2921" i="2"/>
  <c r="C2920" i="2"/>
  <c r="B2920" i="2"/>
  <c r="C2919" i="2"/>
  <c r="B2919" i="2"/>
  <c r="C2918" i="2"/>
  <c r="B2918" i="2"/>
  <c r="C2917" i="2"/>
  <c r="B2917" i="2"/>
  <c r="C2916" i="2"/>
  <c r="B2916" i="2"/>
  <c r="C2915" i="2"/>
  <c r="B2915" i="2"/>
  <c r="C2914" i="2"/>
  <c r="B2914" i="2"/>
  <c r="C2913" i="2"/>
  <c r="B2913" i="2"/>
  <c r="C2912" i="2"/>
  <c r="B2912" i="2"/>
  <c r="C2911" i="2"/>
  <c r="B2911" i="2"/>
  <c r="C2910" i="2"/>
  <c r="B2910" i="2"/>
  <c r="C2909" i="2"/>
  <c r="B2909" i="2"/>
  <c r="C2908" i="2"/>
  <c r="B2908" i="2"/>
  <c r="C2907" i="2"/>
  <c r="B2907" i="2"/>
  <c r="C2906" i="2"/>
  <c r="B2906" i="2"/>
  <c r="C2905" i="2"/>
  <c r="B2905" i="2"/>
  <c r="C2904" i="2"/>
  <c r="B2904" i="2"/>
  <c r="C2903" i="2"/>
  <c r="B2903" i="2"/>
  <c r="C2902" i="2"/>
  <c r="B2902" i="2"/>
  <c r="C2901" i="2"/>
  <c r="B2901" i="2"/>
  <c r="C2900" i="2"/>
  <c r="B2900" i="2"/>
  <c r="C2899" i="2"/>
  <c r="B2899" i="2"/>
  <c r="C2898" i="2"/>
  <c r="B2898" i="2"/>
  <c r="C2897" i="2"/>
  <c r="B2897" i="2"/>
  <c r="C2896" i="2"/>
  <c r="B2896" i="2"/>
  <c r="C2895" i="2"/>
  <c r="B2895" i="2"/>
  <c r="C2894" i="2"/>
  <c r="B2894" i="2"/>
  <c r="C2893" i="2"/>
  <c r="B2893" i="2"/>
  <c r="C2892" i="2"/>
  <c r="B2892" i="2"/>
  <c r="C2891" i="2"/>
  <c r="B2891" i="2"/>
  <c r="C2890" i="2"/>
  <c r="B2890" i="2"/>
  <c r="C2889" i="2"/>
  <c r="B2889" i="2"/>
  <c r="C2888" i="2"/>
  <c r="B2888" i="2"/>
  <c r="C2887" i="2"/>
  <c r="B2887" i="2"/>
  <c r="C2886" i="2"/>
  <c r="B2886" i="2"/>
  <c r="C2885" i="2"/>
  <c r="B2885" i="2"/>
  <c r="C2884" i="2"/>
  <c r="B2884" i="2"/>
  <c r="C2883" i="2"/>
  <c r="B2883" i="2"/>
  <c r="C2882" i="2"/>
  <c r="B2882" i="2"/>
  <c r="C2881" i="2"/>
  <c r="B2881" i="2"/>
  <c r="C2880" i="2"/>
  <c r="B2880" i="2"/>
  <c r="C2879" i="2"/>
  <c r="B2879" i="2"/>
  <c r="C2878" i="2"/>
  <c r="B2878" i="2"/>
  <c r="C2877" i="2"/>
  <c r="B2877" i="2"/>
  <c r="C2876" i="2"/>
  <c r="B2876" i="2"/>
  <c r="C2875" i="2"/>
  <c r="B2875" i="2"/>
  <c r="C2874" i="2"/>
  <c r="B2874" i="2"/>
  <c r="C2873" i="2"/>
  <c r="B2873" i="2"/>
  <c r="C2872" i="2"/>
  <c r="B2872" i="2"/>
  <c r="C2871" i="2"/>
  <c r="B2871" i="2"/>
  <c r="C2870" i="2"/>
  <c r="B2870" i="2"/>
  <c r="C2869" i="2"/>
  <c r="B2869" i="2"/>
  <c r="C2868" i="2"/>
  <c r="B2868" i="2"/>
  <c r="C2867" i="2"/>
  <c r="B2867" i="2"/>
  <c r="C2866" i="2"/>
  <c r="B2866" i="2"/>
  <c r="C2865" i="2"/>
  <c r="B2865" i="2"/>
  <c r="C2864" i="2"/>
  <c r="B2864" i="2"/>
  <c r="C2863" i="2"/>
  <c r="B2863" i="2"/>
  <c r="C2862" i="2"/>
  <c r="B2862" i="2"/>
  <c r="C2861" i="2"/>
  <c r="B2861" i="2"/>
  <c r="C2860" i="2"/>
  <c r="B2860" i="2"/>
  <c r="C2859" i="2"/>
  <c r="B2859" i="2"/>
  <c r="C2858" i="2"/>
  <c r="B2858" i="2"/>
  <c r="C2857" i="2"/>
  <c r="B2857" i="2"/>
  <c r="C2856" i="2"/>
  <c r="B2856" i="2"/>
  <c r="C2855" i="2"/>
  <c r="B2855" i="2"/>
  <c r="C2854" i="2"/>
  <c r="B2854" i="2"/>
  <c r="C2853" i="2"/>
  <c r="B2853" i="2"/>
  <c r="C2852" i="2"/>
  <c r="B2852" i="2"/>
  <c r="C2851" i="2"/>
  <c r="B2851" i="2"/>
  <c r="C2850" i="2"/>
  <c r="B2850" i="2"/>
  <c r="C2849" i="2"/>
  <c r="B2849" i="2"/>
  <c r="C2848" i="2"/>
  <c r="B2848" i="2"/>
  <c r="C2847" i="2"/>
  <c r="B2847" i="2"/>
  <c r="C2846" i="2"/>
  <c r="B2846" i="2"/>
  <c r="C2845" i="2"/>
  <c r="B2845" i="2"/>
  <c r="C2844" i="2"/>
  <c r="B2844" i="2"/>
  <c r="C2843" i="2"/>
  <c r="B2843" i="2"/>
  <c r="C2842" i="2"/>
  <c r="B2842" i="2"/>
  <c r="C2841" i="2"/>
  <c r="B2841" i="2"/>
  <c r="C2840" i="2"/>
  <c r="B2840" i="2"/>
  <c r="C2839" i="2"/>
  <c r="B2839" i="2"/>
  <c r="C2838" i="2"/>
  <c r="B2838" i="2"/>
  <c r="C2837" i="2"/>
  <c r="B2837" i="2"/>
  <c r="C2836" i="2"/>
  <c r="B2836" i="2"/>
  <c r="C2835" i="2"/>
  <c r="B2835" i="2"/>
  <c r="C2834" i="2"/>
  <c r="B2834" i="2"/>
  <c r="C2833" i="2"/>
  <c r="B2833" i="2"/>
  <c r="C2832" i="2"/>
  <c r="B2832" i="2"/>
  <c r="C2831" i="2"/>
  <c r="B2831" i="2"/>
  <c r="C2830" i="2"/>
  <c r="B2830" i="2"/>
  <c r="C2829" i="2"/>
  <c r="B2829" i="2"/>
  <c r="C2828" i="2"/>
  <c r="B2828" i="2"/>
  <c r="C2827" i="2"/>
  <c r="B2827" i="2"/>
  <c r="C2826" i="2"/>
  <c r="B2826" i="2"/>
  <c r="C2825" i="2"/>
  <c r="B2825" i="2"/>
  <c r="C2824" i="2"/>
  <c r="B2824" i="2"/>
  <c r="C2823" i="2"/>
  <c r="B2823" i="2"/>
  <c r="C2822" i="2"/>
  <c r="B2822" i="2"/>
  <c r="C2821" i="2"/>
  <c r="B2821" i="2"/>
  <c r="C2820" i="2"/>
  <c r="B2820" i="2"/>
  <c r="C2819" i="2"/>
  <c r="B2819" i="2"/>
  <c r="C2818" i="2"/>
  <c r="B2818" i="2"/>
  <c r="C2817" i="2"/>
  <c r="B2817" i="2"/>
  <c r="C2816" i="2"/>
  <c r="B2816" i="2"/>
  <c r="C2815" i="2"/>
  <c r="B2815" i="2"/>
  <c r="C2814" i="2"/>
  <c r="B2814" i="2"/>
  <c r="C2813" i="2"/>
  <c r="B2813" i="2"/>
  <c r="C2812" i="2"/>
  <c r="B2812" i="2"/>
  <c r="C2811" i="2"/>
  <c r="B2811" i="2"/>
  <c r="C2810" i="2"/>
  <c r="B2810" i="2"/>
  <c r="C2809" i="2"/>
  <c r="B2809" i="2"/>
  <c r="C2808" i="2"/>
  <c r="B2808" i="2"/>
  <c r="C2807" i="2"/>
  <c r="B2807" i="2"/>
  <c r="C2806" i="2"/>
  <c r="B2806" i="2"/>
  <c r="C2805" i="2"/>
  <c r="B2805" i="2"/>
  <c r="C2804" i="2"/>
  <c r="B2804" i="2"/>
  <c r="C2803" i="2"/>
  <c r="B2803" i="2"/>
  <c r="C2802" i="2"/>
  <c r="B2802" i="2"/>
  <c r="C2801" i="2"/>
  <c r="B2801" i="2"/>
  <c r="C2800" i="2"/>
  <c r="B2800" i="2"/>
  <c r="C2799" i="2"/>
  <c r="B2799" i="2"/>
  <c r="C2798" i="2"/>
  <c r="B2798" i="2"/>
  <c r="C2797" i="2"/>
  <c r="B2797" i="2"/>
  <c r="C2796" i="2"/>
  <c r="B2796" i="2"/>
  <c r="C2795" i="2"/>
  <c r="B2795" i="2"/>
  <c r="C2794" i="2"/>
  <c r="B2794" i="2"/>
  <c r="C2793" i="2"/>
  <c r="B2793" i="2"/>
  <c r="C2792" i="2"/>
  <c r="B2792" i="2"/>
  <c r="C2791" i="2"/>
  <c r="B2791" i="2"/>
  <c r="C2790" i="2"/>
  <c r="B2790" i="2"/>
  <c r="C2789" i="2"/>
  <c r="B2789" i="2"/>
  <c r="C2788" i="2"/>
  <c r="B2788" i="2"/>
  <c r="C2787" i="2"/>
  <c r="B2787" i="2"/>
  <c r="C2786" i="2"/>
  <c r="B2786" i="2"/>
  <c r="C2785" i="2"/>
  <c r="B2785" i="2"/>
  <c r="C2784" i="2"/>
  <c r="B2784" i="2"/>
  <c r="C2783" i="2"/>
  <c r="B2783" i="2"/>
  <c r="C2782" i="2"/>
  <c r="B2782" i="2"/>
  <c r="C2781" i="2"/>
  <c r="B2781" i="2"/>
  <c r="C2780" i="2"/>
  <c r="B2780" i="2"/>
  <c r="C2779" i="2"/>
  <c r="B2779" i="2"/>
  <c r="C2778" i="2"/>
  <c r="B2778" i="2"/>
  <c r="C2777" i="2"/>
  <c r="B2777" i="2"/>
  <c r="C2776" i="2"/>
  <c r="B2776" i="2"/>
  <c r="C2775" i="2"/>
  <c r="B2775" i="2"/>
  <c r="C2774" i="2"/>
  <c r="B2774" i="2"/>
  <c r="C2773" i="2"/>
  <c r="B2773" i="2"/>
  <c r="C2772" i="2"/>
  <c r="B2772" i="2"/>
  <c r="C2771" i="2"/>
  <c r="B2771" i="2"/>
  <c r="C2770" i="2"/>
  <c r="B2770" i="2"/>
  <c r="C2769" i="2"/>
  <c r="B2769" i="2"/>
  <c r="C2768" i="2"/>
  <c r="B2768" i="2"/>
  <c r="C2767" i="2"/>
  <c r="B2767" i="2"/>
  <c r="C2766" i="2"/>
  <c r="B2766" i="2"/>
  <c r="C2765" i="2"/>
  <c r="B2765" i="2"/>
  <c r="C2764" i="2"/>
  <c r="B2764" i="2"/>
  <c r="C2763" i="2"/>
  <c r="B2763" i="2"/>
  <c r="C2762" i="2"/>
  <c r="B2762" i="2"/>
  <c r="C2761" i="2"/>
  <c r="B2761" i="2"/>
  <c r="C2760" i="2"/>
  <c r="B2760" i="2"/>
  <c r="C2759" i="2"/>
  <c r="B2759" i="2"/>
  <c r="C2758" i="2"/>
  <c r="B2758" i="2"/>
  <c r="C2757" i="2"/>
  <c r="B2757" i="2"/>
  <c r="C2756" i="2"/>
  <c r="B2756" i="2"/>
  <c r="C2755" i="2"/>
  <c r="B2755" i="2"/>
  <c r="C2754" i="2"/>
  <c r="B2754" i="2"/>
  <c r="C2753" i="2"/>
  <c r="B2753" i="2"/>
  <c r="C2752" i="2"/>
  <c r="B2752" i="2"/>
  <c r="C2751" i="2"/>
  <c r="B2751" i="2"/>
  <c r="C2750" i="2"/>
  <c r="B2750" i="2"/>
  <c r="C2749" i="2"/>
  <c r="B2749" i="2"/>
  <c r="C2748" i="2"/>
  <c r="B2748" i="2"/>
  <c r="C2747" i="2"/>
  <c r="B2747" i="2"/>
  <c r="C2746" i="2"/>
  <c r="B2746" i="2"/>
  <c r="C2745" i="2"/>
  <c r="B2745" i="2"/>
  <c r="C2744" i="2"/>
  <c r="B2744" i="2"/>
  <c r="C2743" i="2"/>
  <c r="B2743" i="2"/>
  <c r="C2742" i="2"/>
  <c r="B2742" i="2"/>
  <c r="C2741" i="2"/>
  <c r="B2741" i="2"/>
  <c r="C2740" i="2"/>
  <c r="B2740" i="2"/>
  <c r="C2739" i="2"/>
  <c r="B2739" i="2"/>
  <c r="C2738" i="2"/>
  <c r="B2738" i="2"/>
  <c r="C2737" i="2"/>
  <c r="B2737" i="2"/>
  <c r="C2736" i="2"/>
  <c r="B2736" i="2"/>
  <c r="C2735" i="2"/>
  <c r="B2735" i="2"/>
  <c r="C2734" i="2"/>
  <c r="B2734" i="2"/>
  <c r="C2733" i="2"/>
  <c r="B2733" i="2"/>
  <c r="C2732" i="2"/>
  <c r="B2732" i="2"/>
  <c r="C2731" i="2"/>
  <c r="B2731" i="2"/>
  <c r="C2730" i="2"/>
  <c r="B2730" i="2"/>
  <c r="C2729" i="2"/>
  <c r="B2729" i="2"/>
  <c r="C2728" i="2"/>
  <c r="B2728" i="2"/>
  <c r="C2727" i="2"/>
  <c r="B2727" i="2"/>
  <c r="C2726" i="2"/>
  <c r="B2726" i="2"/>
  <c r="C2725" i="2"/>
  <c r="B2725" i="2"/>
  <c r="C2724" i="2"/>
  <c r="B2724" i="2"/>
  <c r="C2723" i="2"/>
  <c r="B2723" i="2"/>
  <c r="C2722" i="2"/>
  <c r="B2722" i="2"/>
  <c r="C2721" i="2"/>
  <c r="B2721" i="2"/>
  <c r="C2720" i="2"/>
  <c r="B2720" i="2"/>
  <c r="C2719" i="2"/>
  <c r="B2719" i="2"/>
  <c r="C2718" i="2"/>
  <c r="B2718" i="2"/>
  <c r="C2717" i="2"/>
  <c r="B2717" i="2"/>
  <c r="C2716" i="2"/>
  <c r="B2716" i="2"/>
  <c r="C2715" i="2"/>
  <c r="B2715" i="2"/>
  <c r="C2714" i="2"/>
  <c r="B2714" i="2"/>
  <c r="C2713" i="2"/>
  <c r="B2713" i="2"/>
  <c r="C2712" i="2"/>
  <c r="B2712" i="2"/>
  <c r="C2711" i="2"/>
  <c r="B2711" i="2"/>
  <c r="C2710" i="2"/>
  <c r="B2710" i="2"/>
  <c r="C2709" i="2"/>
  <c r="B2709" i="2"/>
  <c r="C2708" i="2"/>
  <c r="B2708" i="2"/>
  <c r="C2707" i="2"/>
  <c r="B2707" i="2"/>
  <c r="C2706" i="2"/>
  <c r="B2706" i="2"/>
  <c r="C2705" i="2"/>
  <c r="B2705" i="2"/>
  <c r="C2704" i="2"/>
  <c r="B2704" i="2"/>
  <c r="C2703" i="2"/>
  <c r="B2703" i="2"/>
  <c r="C2702" i="2"/>
  <c r="B2702" i="2"/>
  <c r="C2701" i="2"/>
  <c r="B2701" i="2"/>
  <c r="C2700" i="2"/>
  <c r="B2700" i="2"/>
  <c r="C2699" i="2"/>
  <c r="B2699" i="2"/>
  <c r="C2698" i="2"/>
  <c r="B2698" i="2"/>
  <c r="C2697" i="2"/>
  <c r="B2697" i="2"/>
  <c r="C2696" i="2"/>
  <c r="B2696" i="2"/>
  <c r="C2695" i="2"/>
  <c r="B2695" i="2"/>
  <c r="C2694" i="2"/>
  <c r="B2694" i="2"/>
  <c r="C2693" i="2"/>
  <c r="B2693" i="2"/>
  <c r="C2692" i="2"/>
  <c r="B2692" i="2"/>
  <c r="C2691" i="2"/>
  <c r="B2691" i="2"/>
  <c r="C2690" i="2"/>
  <c r="B2690" i="2"/>
  <c r="C2689" i="2"/>
  <c r="B2689" i="2"/>
  <c r="C2688" i="2"/>
  <c r="B2688" i="2"/>
  <c r="C2687" i="2"/>
  <c r="B2687" i="2"/>
  <c r="C2686" i="2"/>
  <c r="B2686" i="2"/>
  <c r="C2685" i="2"/>
  <c r="B2685" i="2"/>
  <c r="C2684" i="2"/>
  <c r="B2684" i="2"/>
  <c r="C2683" i="2"/>
  <c r="B2683" i="2"/>
  <c r="C2682" i="2"/>
  <c r="B2682" i="2"/>
  <c r="C2681" i="2"/>
  <c r="B2681" i="2"/>
  <c r="C2680" i="2"/>
  <c r="B2680" i="2"/>
  <c r="C2679" i="2"/>
  <c r="B2679" i="2"/>
  <c r="C2678" i="2"/>
  <c r="B2678" i="2"/>
  <c r="C2677" i="2"/>
  <c r="B2677" i="2"/>
  <c r="C2676" i="2"/>
  <c r="B2676" i="2"/>
  <c r="C2675" i="2"/>
  <c r="B2675" i="2"/>
  <c r="C2674" i="2"/>
  <c r="B2674" i="2"/>
  <c r="C2673" i="2"/>
  <c r="B2673" i="2"/>
  <c r="C2672" i="2"/>
  <c r="B2672" i="2"/>
  <c r="C2671" i="2"/>
  <c r="B2671" i="2"/>
  <c r="C2670" i="2"/>
  <c r="B2670" i="2"/>
  <c r="C2669" i="2"/>
  <c r="B2669" i="2"/>
  <c r="C2668" i="2"/>
  <c r="B2668" i="2"/>
  <c r="C2667" i="2"/>
  <c r="B2667" i="2"/>
  <c r="C2666" i="2"/>
  <c r="B2666" i="2"/>
  <c r="C2665" i="2"/>
  <c r="B2665" i="2"/>
  <c r="C2664" i="2"/>
  <c r="B2664" i="2"/>
  <c r="C2663" i="2"/>
  <c r="B2663" i="2"/>
  <c r="C2662" i="2"/>
  <c r="B2662" i="2"/>
  <c r="C2661" i="2"/>
  <c r="B2661" i="2"/>
  <c r="C2660" i="2"/>
  <c r="B2660" i="2"/>
  <c r="C2659" i="2"/>
  <c r="B2659" i="2"/>
  <c r="C2658" i="2"/>
  <c r="B2658" i="2"/>
  <c r="C2657" i="2"/>
  <c r="B2657" i="2"/>
  <c r="C2656" i="2"/>
  <c r="B2656" i="2"/>
  <c r="C2655" i="2"/>
  <c r="B2655" i="2"/>
  <c r="C2654" i="2"/>
  <c r="B2654" i="2"/>
  <c r="C2653" i="2"/>
  <c r="B2653" i="2"/>
  <c r="C2652" i="2"/>
  <c r="B2652" i="2"/>
  <c r="C2651" i="2"/>
  <c r="B2651" i="2"/>
  <c r="C2650" i="2"/>
  <c r="B2650" i="2"/>
  <c r="C2649" i="2"/>
  <c r="B2649" i="2"/>
  <c r="C2648" i="2"/>
  <c r="B2648" i="2"/>
  <c r="C2647" i="2"/>
  <c r="B2647" i="2"/>
  <c r="C2646" i="2"/>
  <c r="B2646" i="2"/>
  <c r="C2645" i="2"/>
  <c r="B2645" i="2"/>
  <c r="C2644" i="2"/>
  <c r="B2644" i="2"/>
  <c r="C2643" i="2"/>
  <c r="B2643" i="2"/>
  <c r="C2642" i="2"/>
  <c r="B2642" i="2"/>
  <c r="C2641" i="2"/>
  <c r="B2641" i="2"/>
  <c r="C2640" i="2"/>
  <c r="B2640" i="2"/>
  <c r="C2639" i="2"/>
  <c r="B2639" i="2"/>
  <c r="C2638" i="2"/>
  <c r="B2638" i="2"/>
  <c r="C2637" i="2"/>
  <c r="B2637" i="2"/>
  <c r="C2636" i="2"/>
  <c r="B2636" i="2"/>
  <c r="C2635" i="2"/>
  <c r="B2635" i="2"/>
  <c r="C2634" i="2"/>
  <c r="B2634" i="2"/>
  <c r="C2633" i="2"/>
  <c r="B2633" i="2"/>
  <c r="C2632" i="2"/>
  <c r="B2632" i="2"/>
  <c r="C2631" i="2"/>
  <c r="B2631" i="2"/>
  <c r="C2630" i="2"/>
  <c r="B2630" i="2"/>
  <c r="C2629" i="2"/>
  <c r="B2629" i="2"/>
  <c r="C2628" i="2"/>
  <c r="B2628" i="2"/>
  <c r="C2627" i="2"/>
  <c r="B2627" i="2"/>
  <c r="C2626" i="2"/>
  <c r="B2626" i="2"/>
  <c r="C2625" i="2"/>
  <c r="B2625" i="2"/>
  <c r="C2624" i="2"/>
  <c r="B2624" i="2"/>
  <c r="C2623" i="2"/>
  <c r="B2623" i="2"/>
  <c r="C2622" i="2"/>
  <c r="B2622" i="2"/>
  <c r="C2621" i="2"/>
  <c r="B2621" i="2"/>
  <c r="C2620" i="2"/>
  <c r="B2620" i="2"/>
  <c r="C2619" i="2"/>
  <c r="B2619" i="2"/>
  <c r="C2618" i="2"/>
  <c r="B2618" i="2"/>
  <c r="C2617" i="2"/>
  <c r="B2617" i="2"/>
  <c r="C2616" i="2"/>
  <c r="B2616" i="2"/>
  <c r="C2615" i="2"/>
  <c r="B2615" i="2"/>
  <c r="C2614" i="2"/>
  <c r="B2614" i="2"/>
  <c r="C2613" i="2"/>
  <c r="B2613" i="2"/>
  <c r="C2612" i="2"/>
  <c r="B2612" i="2"/>
  <c r="C2611" i="2"/>
  <c r="B2611" i="2"/>
  <c r="C2610" i="2"/>
  <c r="B2610" i="2"/>
  <c r="C2609" i="2"/>
  <c r="B2609" i="2"/>
  <c r="C2608" i="2"/>
  <c r="B2608" i="2"/>
  <c r="C2607" i="2"/>
  <c r="B2607" i="2"/>
  <c r="C2606" i="2"/>
  <c r="B2606" i="2"/>
  <c r="C2605" i="2"/>
  <c r="B2605" i="2"/>
  <c r="C2604" i="2"/>
  <c r="B2604" i="2"/>
  <c r="C2603" i="2"/>
  <c r="B2603" i="2"/>
  <c r="C2602" i="2"/>
  <c r="B2602" i="2"/>
  <c r="C2601" i="2"/>
  <c r="B2601" i="2"/>
  <c r="C2600" i="2"/>
  <c r="B2600" i="2"/>
  <c r="C2599" i="2"/>
  <c r="B2599" i="2"/>
  <c r="C2598" i="2"/>
  <c r="B2598" i="2"/>
  <c r="C2597" i="2"/>
  <c r="B2597" i="2"/>
  <c r="C2596" i="2"/>
  <c r="B2596" i="2"/>
  <c r="C2595" i="2"/>
  <c r="B2595" i="2"/>
  <c r="C2594" i="2"/>
  <c r="B2594" i="2"/>
  <c r="C2593" i="2"/>
  <c r="B2593" i="2"/>
  <c r="C2592" i="2"/>
  <c r="B2592" i="2"/>
  <c r="C2591" i="2"/>
  <c r="B2591" i="2"/>
  <c r="C2590" i="2"/>
  <c r="B2590" i="2"/>
  <c r="C2589" i="2"/>
  <c r="B2589" i="2"/>
  <c r="C2588" i="2"/>
  <c r="B2588" i="2"/>
  <c r="C2587" i="2"/>
  <c r="B2587" i="2"/>
  <c r="C2586" i="2"/>
  <c r="B2586" i="2"/>
  <c r="C2585" i="2"/>
  <c r="B2585" i="2"/>
  <c r="C2584" i="2"/>
  <c r="B2584" i="2"/>
  <c r="C2583" i="2"/>
  <c r="B2583" i="2"/>
  <c r="C2582" i="2"/>
  <c r="B2582" i="2"/>
  <c r="C2581" i="2"/>
  <c r="B2581" i="2"/>
  <c r="C2580" i="2"/>
  <c r="B2580" i="2"/>
  <c r="C2579" i="2"/>
  <c r="B2579" i="2"/>
  <c r="C2578" i="2"/>
  <c r="B2578" i="2"/>
  <c r="C2577" i="2"/>
  <c r="B2577" i="2"/>
  <c r="C2576" i="2"/>
  <c r="B2576" i="2"/>
  <c r="C2575" i="2"/>
  <c r="B2575" i="2"/>
  <c r="C2574" i="2"/>
  <c r="B2574" i="2"/>
  <c r="C2573" i="2"/>
  <c r="B2573" i="2"/>
  <c r="C2572" i="2"/>
  <c r="B2572" i="2"/>
  <c r="C2571" i="2"/>
  <c r="B2571" i="2"/>
  <c r="C2570" i="2"/>
  <c r="B2570" i="2"/>
  <c r="C2569" i="2"/>
  <c r="B2569" i="2"/>
  <c r="C2568" i="2"/>
  <c r="B2568" i="2"/>
  <c r="C2567" i="2"/>
  <c r="B2567" i="2"/>
  <c r="C2566" i="2"/>
  <c r="B2566" i="2"/>
  <c r="C2565" i="2"/>
  <c r="B2565" i="2"/>
  <c r="C2564" i="2"/>
  <c r="B2564" i="2"/>
  <c r="C2563" i="2"/>
  <c r="B2563" i="2"/>
  <c r="C2562" i="2"/>
  <c r="B2562" i="2"/>
  <c r="C2561" i="2"/>
  <c r="B2561" i="2"/>
  <c r="C2560" i="2"/>
  <c r="B2560" i="2"/>
  <c r="C2559" i="2"/>
  <c r="B2559" i="2"/>
  <c r="C2558" i="2"/>
  <c r="B2558" i="2"/>
  <c r="C2557" i="2"/>
  <c r="B2557" i="2"/>
  <c r="C2556" i="2"/>
  <c r="B2556" i="2"/>
  <c r="C2555" i="2"/>
  <c r="B2555" i="2"/>
  <c r="C2554" i="2"/>
  <c r="B2554" i="2"/>
  <c r="C2553" i="2"/>
  <c r="B2553" i="2"/>
  <c r="C2552" i="2"/>
  <c r="B2552" i="2"/>
  <c r="C2551" i="2"/>
  <c r="B2551" i="2"/>
  <c r="C2550" i="2"/>
  <c r="B2550" i="2"/>
  <c r="C2549" i="2"/>
  <c r="B2549" i="2"/>
  <c r="C2548" i="2"/>
  <c r="B2548" i="2"/>
  <c r="C2547" i="2"/>
  <c r="B2547" i="2"/>
  <c r="C2546" i="2"/>
  <c r="B2546" i="2"/>
  <c r="C2545" i="2"/>
  <c r="B2545" i="2"/>
  <c r="C2544" i="2"/>
  <c r="B2544" i="2"/>
  <c r="C2543" i="2"/>
  <c r="B2543" i="2"/>
  <c r="C2542" i="2"/>
  <c r="B2542" i="2"/>
  <c r="C2541" i="2"/>
  <c r="B2541" i="2"/>
  <c r="C2540" i="2"/>
  <c r="B2540" i="2"/>
  <c r="C2539" i="2"/>
  <c r="B2539" i="2"/>
  <c r="C2538" i="2"/>
  <c r="B2538" i="2"/>
  <c r="C2537" i="2"/>
  <c r="B2537" i="2"/>
  <c r="C2536" i="2"/>
  <c r="B2536" i="2"/>
  <c r="C2535" i="2"/>
  <c r="B2535" i="2"/>
  <c r="C2534" i="2"/>
  <c r="B2534" i="2"/>
  <c r="C2533" i="2"/>
  <c r="B2533" i="2"/>
  <c r="C2532" i="2"/>
  <c r="B2532" i="2"/>
  <c r="C2531" i="2"/>
  <c r="B2531" i="2"/>
  <c r="C2530" i="2"/>
  <c r="B2530" i="2"/>
  <c r="C2529" i="2"/>
  <c r="B2529" i="2"/>
  <c r="C2528" i="2"/>
  <c r="B2528" i="2"/>
  <c r="C2527" i="2"/>
  <c r="B2527" i="2"/>
  <c r="C2526" i="2"/>
  <c r="B2526" i="2"/>
  <c r="C2525" i="2"/>
  <c r="B2525" i="2"/>
  <c r="C2524" i="2"/>
  <c r="B2524" i="2"/>
  <c r="C2523" i="2"/>
  <c r="B2523" i="2"/>
  <c r="C2522" i="2"/>
  <c r="B2522" i="2"/>
  <c r="C2521" i="2"/>
  <c r="B2521" i="2"/>
  <c r="C2520" i="2"/>
  <c r="B2520" i="2"/>
  <c r="C2519" i="2"/>
  <c r="B2519" i="2"/>
  <c r="C2518" i="2"/>
  <c r="B2518" i="2"/>
  <c r="C2517" i="2"/>
  <c r="B2517" i="2"/>
  <c r="C2516" i="2"/>
  <c r="B2516" i="2"/>
  <c r="C2515" i="2"/>
  <c r="B2515" i="2"/>
  <c r="C2514" i="2"/>
  <c r="B2514" i="2"/>
  <c r="C2513" i="2"/>
  <c r="B2513" i="2"/>
  <c r="C2512" i="2"/>
  <c r="B2512" i="2"/>
  <c r="C2511" i="2"/>
  <c r="B2511" i="2"/>
  <c r="C2510" i="2"/>
  <c r="B2510" i="2"/>
  <c r="C2509" i="2"/>
  <c r="B2509" i="2"/>
  <c r="C2508" i="2"/>
  <c r="B2508" i="2"/>
  <c r="C2507" i="2"/>
  <c r="B2507" i="2"/>
  <c r="C2506" i="2"/>
  <c r="B2506" i="2"/>
  <c r="C2505" i="2"/>
  <c r="B2505" i="2"/>
  <c r="C2504" i="2"/>
  <c r="B2504" i="2"/>
  <c r="C2503" i="2"/>
  <c r="B2503" i="2"/>
  <c r="C2502" i="2"/>
  <c r="B2502" i="2"/>
  <c r="C2501" i="2"/>
  <c r="B2501" i="2"/>
  <c r="C2500" i="2"/>
  <c r="B2500" i="2"/>
  <c r="C2499" i="2"/>
  <c r="B2499" i="2"/>
  <c r="C2498" i="2"/>
  <c r="B2498" i="2"/>
  <c r="C2497" i="2"/>
  <c r="B2497" i="2"/>
  <c r="C2496" i="2"/>
  <c r="B2496" i="2"/>
  <c r="C2495" i="2"/>
  <c r="B2495" i="2"/>
  <c r="C2494" i="2"/>
  <c r="B2494" i="2"/>
  <c r="C2493" i="2"/>
  <c r="B2493" i="2"/>
  <c r="C2492" i="2"/>
  <c r="B2492" i="2"/>
  <c r="C2491" i="2"/>
  <c r="B2491" i="2"/>
  <c r="C2490" i="2"/>
  <c r="B2490" i="2"/>
  <c r="C2489" i="2"/>
  <c r="B2489" i="2"/>
  <c r="C2488" i="2"/>
  <c r="B2488" i="2"/>
  <c r="C2487" i="2"/>
  <c r="B2487" i="2"/>
  <c r="C2486" i="2"/>
  <c r="B2486" i="2"/>
  <c r="C2485" i="2"/>
  <c r="B2485" i="2"/>
  <c r="C2484" i="2"/>
  <c r="B2484" i="2"/>
  <c r="C2483" i="2"/>
  <c r="B2483" i="2"/>
  <c r="C2482" i="2"/>
  <c r="B2482" i="2"/>
  <c r="C2481" i="2"/>
  <c r="B2481" i="2"/>
  <c r="C2480" i="2"/>
  <c r="B2480" i="2"/>
  <c r="C2479" i="2"/>
  <c r="B2479" i="2"/>
  <c r="C2478" i="2"/>
  <c r="B2478" i="2"/>
  <c r="C2477" i="2"/>
  <c r="B2477" i="2"/>
  <c r="C2476" i="2"/>
  <c r="B2476" i="2"/>
  <c r="C2475" i="2"/>
  <c r="B2475" i="2"/>
  <c r="C2474" i="2"/>
  <c r="B2474" i="2"/>
  <c r="C2473" i="2"/>
  <c r="B2473" i="2"/>
  <c r="C2472" i="2"/>
  <c r="B2472" i="2"/>
  <c r="C2471" i="2"/>
  <c r="B2471" i="2"/>
  <c r="C2470" i="2"/>
  <c r="B2470" i="2"/>
  <c r="C2469" i="2"/>
  <c r="B2469" i="2"/>
  <c r="C2468" i="2"/>
  <c r="B2468" i="2"/>
  <c r="C2467" i="2"/>
  <c r="B2467" i="2"/>
  <c r="C2466" i="2"/>
  <c r="B2466" i="2"/>
  <c r="C2465" i="2"/>
  <c r="B2465" i="2"/>
  <c r="C2464" i="2"/>
  <c r="B2464" i="2"/>
  <c r="C2463" i="2"/>
  <c r="B2463" i="2"/>
  <c r="C2462" i="2"/>
  <c r="B2462" i="2"/>
  <c r="C2461" i="2"/>
  <c r="B2461" i="2"/>
  <c r="C2460" i="2"/>
  <c r="B2460" i="2"/>
  <c r="C2459" i="2"/>
  <c r="B2459" i="2"/>
  <c r="C2458" i="2"/>
  <c r="B2458" i="2"/>
  <c r="C2457" i="2"/>
  <c r="B2457" i="2"/>
  <c r="C2456" i="2"/>
  <c r="B2456" i="2"/>
  <c r="C2455" i="2"/>
  <c r="B2455" i="2"/>
  <c r="C2454" i="2"/>
  <c r="B2454" i="2"/>
  <c r="C2453" i="2"/>
  <c r="B2453" i="2"/>
  <c r="C2452" i="2"/>
  <c r="B2452" i="2"/>
  <c r="C2451" i="2"/>
  <c r="B2451" i="2"/>
  <c r="C2450" i="2"/>
  <c r="B2450" i="2"/>
  <c r="C2449" i="2"/>
  <c r="B2449" i="2"/>
  <c r="C2448" i="2"/>
  <c r="B2448" i="2"/>
  <c r="C2447" i="2"/>
  <c r="B2447" i="2"/>
  <c r="C2446" i="2"/>
  <c r="B2446" i="2"/>
  <c r="C2445" i="2"/>
  <c r="B2445" i="2"/>
  <c r="C2444" i="2"/>
  <c r="B2444" i="2"/>
  <c r="C2443" i="2"/>
  <c r="B2443" i="2"/>
  <c r="C2442" i="2"/>
  <c r="B2442" i="2"/>
  <c r="C2441" i="2"/>
  <c r="B2441" i="2"/>
  <c r="C2440" i="2"/>
  <c r="B2440" i="2"/>
  <c r="C2439" i="2"/>
  <c r="B2439" i="2"/>
  <c r="C2438" i="2"/>
  <c r="B2438" i="2"/>
  <c r="C2437" i="2"/>
  <c r="B2437" i="2"/>
  <c r="C2436" i="2"/>
  <c r="B2436" i="2"/>
  <c r="C2435" i="2"/>
  <c r="B2435" i="2"/>
  <c r="C2434" i="2"/>
  <c r="B2434" i="2"/>
  <c r="C2433" i="2"/>
  <c r="B2433" i="2"/>
  <c r="C2432" i="2"/>
  <c r="B2432" i="2"/>
  <c r="C2431" i="2"/>
  <c r="B2431" i="2"/>
  <c r="C2430" i="2"/>
  <c r="B2430" i="2"/>
  <c r="C2429" i="2"/>
  <c r="B2429" i="2"/>
  <c r="C2428" i="2"/>
  <c r="B2428" i="2"/>
  <c r="C2427" i="2"/>
  <c r="B2427" i="2"/>
  <c r="C2426" i="2"/>
  <c r="B2426" i="2"/>
  <c r="C2425" i="2"/>
  <c r="B2425" i="2"/>
  <c r="C2424" i="2"/>
  <c r="B2424" i="2"/>
  <c r="C2423" i="2"/>
  <c r="B2423" i="2"/>
  <c r="C2422" i="2"/>
  <c r="B2422" i="2"/>
  <c r="C2421" i="2"/>
  <c r="B2421" i="2"/>
  <c r="C2420" i="2"/>
  <c r="B2420" i="2"/>
  <c r="C2419" i="2"/>
  <c r="B2419" i="2"/>
  <c r="C2418" i="2"/>
  <c r="B2418" i="2"/>
  <c r="C2417" i="2"/>
  <c r="B2417" i="2"/>
  <c r="C2416" i="2"/>
  <c r="B2416" i="2"/>
  <c r="C2415" i="2"/>
  <c r="B2415" i="2"/>
  <c r="C2414" i="2"/>
  <c r="B2414" i="2"/>
  <c r="C2413" i="2"/>
  <c r="B2413" i="2"/>
  <c r="C2412" i="2"/>
  <c r="B2412" i="2"/>
  <c r="C2411" i="2"/>
  <c r="B2411" i="2"/>
  <c r="C2410" i="2"/>
  <c r="B2410" i="2"/>
  <c r="C2409" i="2"/>
  <c r="B2409" i="2"/>
  <c r="C2408" i="2"/>
  <c r="B2408" i="2"/>
  <c r="C2407" i="2"/>
  <c r="B2407" i="2"/>
  <c r="C2406" i="2"/>
  <c r="B2406" i="2"/>
  <c r="C2405" i="2"/>
  <c r="B2405" i="2"/>
  <c r="C2404" i="2"/>
  <c r="B2404" i="2"/>
  <c r="C2403" i="2"/>
  <c r="B2403" i="2"/>
  <c r="C2402" i="2"/>
  <c r="B2402" i="2"/>
  <c r="C2401" i="2"/>
  <c r="B2401" i="2"/>
  <c r="C2400" i="2"/>
  <c r="B2400" i="2"/>
  <c r="C2399" i="2"/>
  <c r="B2399" i="2"/>
  <c r="C2398" i="2"/>
  <c r="B2398" i="2"/>
  <c r="C2397" i="2"/>
  <c r="B2397" i="2"/>
  <c r="C2396" i="2"/>
  <c r="B2396" i="2"/>
  <c r="C2395" i="2"/>
  <c r="B2395" i="2"/>
  <c r="C2394" i="2"/>
  <c r="B2394" i="2"/>
  <c r="C2393" i="2"/>
  <c r="B2393" i="2"/>
  <c r="C2392" i="2"/>
  <c r="B2392" i="2"/>
  <c r="C2391" i="2"/>
  <c r="B2391" i="2"/>
  <c r="C2390" i="2"/>
  <c r="B2390" i="2"/>
  <c r="C2389" i="2"/>
  <c r="B2389" i="2"/>
  <c r="C2388" i="2"/>
  <c r="B2388" i="2"/>
  <c r="C2387" i="2"/>
  <c r="B2387" i="2"/>
  <c r="C2386" i="2"/>
  <c r="B2386" i="2"/>
  <c r="C2385" i="2"/>
  <c r="B2385" i="2"/>
  <c r="C2384" i="2"/>
  <c r="B2384" i="2"/>
  <c r="C2383" i="2"/>
  <c r="B2383" i="2"/>
  <c r="C2382" i="2"/>
  <c r="B2382" i="2"/>
  <c r="C2381" i="2"/>
  <c r="B2381" i="2"/>
  <c r="C2380" i="2"/>
  <c r="B2380" i="2"/>
  <c r="C2379" i="2"/>
  <c r="B2379" i="2"/>
  <c r="C2378" i="2"/>
  <c r="B2378" i="2"/>
  <c r="C2377" i="2"/>
  <c r="B2377" i="2"/>
  <c r="C2376" i="2"/>
  <c r="B2376" i="2"/>
  <c r="C2375" i="2"/>
  <c r="B2375" i="2"/>
  <c r="C2374" i="2"/>
  <c r="B2374" i="2"/>
  <c r="C2373" i="2"/>
  <c r="B2373" i="2"/>
  <c r="C2372" i="2"/>
  <c r="B2372" i="2"/>
  <c r="C2371" i="2"/>
  <c r="B2371" i="2"/>
  <c r="C2370" i="2"/>
  <c r="B2370" i="2"/>
  <c r="C2369" i="2"/>
  <c r="B2369" i="2"/>
  <c r="C2368" i="2"/>
  <c r="B2368" i="2"/>
  <c r="C2367" i="2"/>
  <c r="B2367" i="2"/>
  <c r="C2366" i="2"/>
  <c r="B2366" i="2"/>
  <c r="C2365" i="2"/>
  <c r="B2365" i="2"/>
  <c r="C2364" i="2"/>
  <c r="B2364" i="2"/>
  <c r="C2363" i="2"/>
  <c r="B2363" i="2"/>
  <c r="C2362" i="2"/>
  <c r="B2362" i="2"/>
  <c r="C2361" i="2"/>
  <c r="B2361" i="2"/>
  <c r="C2360" i="2"/>
  <c r="B2360" i="2"/>
  <c r="C2359" i="2"/>
  <c r="B2359" i="2"/>
  <c r="C2358" i="2"/>
  <c r="B2358" i="2"/>
  <c r="C2357" i="2"/>
  <c r="B2357" i="2"/>
  <c r="C2356" i="2"/>
  <c r="B2356" i="2"/>
  <c r="C2355" i="2"/>
  <c r="B2355" i="2"/>
  <c r="C2354" i="2"/>
  <c r="B2354" i="2"/>
  <c r="C2353" i="2"/>
  <c r="B2353" i="2"/>
  <c r="C2352" i="2"/>
  <c r="B2352" i="2"/>
  <c r="C2351" i="2"/>
  <c r="B2351" i="2"/>
  <c r="C2350" i="2"/>
  <c r="B2350" i="2"/>
  <c r="C2349" i="2"/>
  <c r="B2349" i="2"/>
  <c r="C2348" i="2"/>
  <c r="B2348" i="2"/>
  <c r="C2347" i="2"/>
  <c r="B2347" i="2"/>
  <c r="C2346" i="2"/>
  <c r="B2346" i="2"/>
  <c r="C2345" i="2"/>
  <c r="B2345" i="2"/>
  <c r="C2344" i="2"/>
  <c r="B2344" i="2"/>
  <c r="C2343" i="2"/>
  <c r="B2343" i="2"/>
  <c r="C2342" i="2"/>
  <c r="B2342" i="2"/>
  <c r="C2341" i="2"/>
  <c r="B2341" i="2"/>
  <c r="C2340" i="2"/>
  <c r="B2340" i="2"/>
  <c r="C2339" i="2"/>
  <c r="B2339" i="2"/>
  <c r="C2338" i="2"/>
  <c r="B2338" i="2"/>
  <c r="C2337" i="2"/>
  <c r="B2337" i="2"/>
  <c r="C2336" i="2"/>
  <c r="B2336" i="2"/>
  <c r="C2335" i="2"/>
  <c r="B2335" i="2"/>
  <c r="C2334" i="2"/>
  <c r="B2334" i="2"/>
  <c r="C2333" i="2"/>
  <c r="B2333" i="2"/>
  <c r="C2332" i="2"/>
  <c r="B2332" i="2"/>
  <c r="C2331" i="2"/>
  <c r="B2331" i="2"/>
  <c r="C2330" i="2"/>
  <c r="B2330" i="2"/>
  <c r="C2329" i="2"/>
  <c r="B2329" i="2"/>
  <c r="C2328" i="2"/>
  <c r="B2328" i="2"/>
  <c r="C2327" i="2"/>
  <c r="B2327" i="2"/>
  <c r="C2326" i="2"/>
  <c r="B2326" i="2"/>
  <c r="C2325" i="2"/>
  <c r="B2325" i="2"/>
  <c r="C2324" i="2"/>
  <c r="B2324" i="2"/>
  <c r="C2323" i="2"/>
  <c r="B2323" i="2"/>
  <c r="C2322" i="2"/>
  <c r="B2322" i="2"/>
  <c r="C2321" i="2"/>
  <c r="B2321" i="2"/>
  <c r="C2320" i="2"/>
  <c r="B2320" i="2"/>
  <c r="C2319" i="2"/>
  <c r="B2319" i="2"/>
  <c r="C2318" i="2"/>
  <c r="B2318" i="2"/>
  <c r="C2317" i="2"/>
  <c r="B2317" i="2"/>
  <c r="C2316" i="2"/>
  <c r="B2316" i="2"/>
  <c r="C2315" i="2"/>
  <c r="B2315" i="2"/>
  <c r="C2314" i="2"/>
  <c r="B2314" i="2"/>
  <c r="C2313" i="2"/>
  <c r="B2313" i="2"/>
  <c r="C2312" i="2"/>
  <c r="B2312" i="2"/>
  <c r="C2311" i="2"/>
  <c r="B2311" i="2"/>
  <c r="C2310" i="2"/>
  <c r="B2310" i="2"/>
  <c r="C2309" i="2"/>
  <c r="B2309" i="2"/>
  <c r="C2308" i="2"/>
  <c r="B2308" i="2"/>
  <c r="C2307" i="2"/>
  <c r="B2307" i="2"/>
  <c r="C2306" i="2"/>
  <c r="B2306" i="2"/>
  <c r="C2305" i="2"/>
  <c r="B2305" i="2"/>
  <c r="C2304" i="2"/>
  <c r="B2304" i="2"/>
  <c r="C2303" i="2"/>
  <c r="B2303" i="2"/>
  <c r="C2302" i="2"/>
  <c r="B2302" i="2"/>
  <c r="C2301" i="2"/>
  <c r="B2301" i="2"/>
  <c r="C2300" i="2"/>
  <c r="B2300" i="2"/>
  <c r="C2299" i="2"/>
  <c r="B2299" i="2"/>
  <c r="C2298" i="2"/>
  <c r="B2298" i="2"/>
  <c r="C2297" i="2"/>
  <c r="B2297" i="2"/>
  <c r="C2296" i="2"/>
  <c r="B2296" i="2"/>
  <c r="C2295" i="2"/>
  <c r="B2295" i="2"/>
  <c r="C2294" i="2"/>
  <c r="B2294" i="2"/>
  <c r="C2293" i="2"/>
  <c r="B2293" i="2"/>
  <c r="C2292" i="2"/>
  <c r="B2292" i="2"/>
  <c r="C2291" i="2"/>
  <c r="B2291" i="2"/>
  <c r="C2290" i="2"/>
  <c r="B2290" i="2"/>
  <c r="C2289" i="2"/>
  <c r="B2289" i="2"/>
  <c r="C2288" i="2"/>
  <c r="B2288" i="2"/>
  <c r="C2287" i="2"/>
  <c r="B2287" i="2"/>
  <c r="C2286" i="2"/>
  <c r="B2286" i="2"/>
  <c r="C2285" i="2"/>
  <c r="B2285" i="2"/>
  <c r="C2284" i="2"/>
  <c r="B2284" i="2"/>
  <c r="C2283" i="2"/>
  <c r="B2283" i="2"/>
  <c r="C2282" i="2"/>
  <c r="B2282" i="2"/>
  <c r="C2281" i="2"/>
  <c r="B2281" i="2"/>
  <c r="C2280" i="2"/>
  <c r="B2280" i="2"/>
  <c r="C2279" i="2"/>
  <c r="B2279" i="2"/>
  <c r="C2278" i="2"/>
  <c r="B2278" i="2"/>
  <c r="C2277" i="2"/>
  <c r="B2277" i="2"/>
  <c r="C2276" i="2"/>
  <c r="B2276" i="2"/>
  <c r="C2275" i="2"/>
  <c r="B2275" i="2"/>
  <c r="C2274" i="2"/>
  <c r="B2274" i="2"/>
  <c r="C2273" i="2"/>
  <c r="B2273" i="2"/>
  <c r="C2272" i="2"/>
  <c r="B2272" i="2"/>
  <c r="C2271" i="2"/>
  <c r="B2271" i="2"/>
  <c r="C2270" i="2"/>
  <c r="B2270" i="2"/>
  <c r="C2269" i="2"/>
  <c r="B2269" i="2"/>
  <c r="C2268" i="2"/>
  <c r="B2268" i="2"/>
  <c r="C2267" i="2"/>
  <c r="B2267" i="2"/>
  <c r="C2266" i="2"/>
  <c r="B2266" i="2"/>
  <c r="C2265" i="2"/>
  <c r="B2265" i="2"/>
  <c r="C2264" i="2"/>
  <c r="B2264" i="2"/>
  <c r="C2263" i="2"/>
  <c r="B2263" i="2"/>
  <c r="C2262" i="2"/>
  <c r="B2262" i="2"/>
  <c r="C2261" i="2"/>
  <c r="B2261" i="2"/>
  <c r="C2260" i="2"/>
  <c r="B2260" i="2"/>
  <c r="C2259" i="2"/>
  <c r="B2259" i="2"/>
  <c r="C2258" i="2"/>
  <c r="B2258" i="2"/>
  <c r="C2257" i="2"/>
  <c r="B2257" i="2"/>
  <c r="C2256" i="2"/>
  <c r="B2256" i="2"/>
  <c r="C2255" i="2"/>
  <c r="B2255" i="2"/>
  <c r="C2254" i="2"/>
  <c r="B2254" i="2"/>
  <c r="C2253" i="2"/>
  <c r="B2253" i="2"/>
  <c r="C2252" i="2"/>
  <c r="B2252" i="2"/>
  <c r="C2251" i="2"/>
  <c r="B2251" i="2"/>
  <c r="C2250" i="2"/>
  <c r="B2250" i="2"/>
  <c r="C2249" i="2"/>
  <c r="B2249" i="2"/>
  <c r="C2248" i="2"/>
  <c r="B2248" i="2"/>
  <c r="C2247" i="2"/>
  <c r="B2247" i="2"/>
  <c r="C2246" i="2"/>
  <c r="B2246" i="2"/>
  <c r="C2245" i="2"/>
  <c r="B2245" i="2"/>
  <c r="C2244" i="2"/>
  <c r="B2244" i="2"/>
  <c r="C2243" i="2"/>
  <c r="B2243" i="2"/>
  <c r="C2242" i="2"/>
  <c r="B2242" i="2"/>
  <c r="C2241" i="2"/>
  <c r="B2241" i="2"/>
  <c r="C2240" i="2"/>
  <c r="B2240" i="2"/>
  <c r="C2239" i="2"/>
  <c r="B2239" i="2"/>
  <c r="C2238" i="2"/>
  <c r="B2238" i="2"/>
  <c r="C2237" i="2"/>
  <c r="B2237" i="2"/>
  <c r="C2236" i="2"/>
  <c r="B2236" i="2"/>
  <c r="C2235" i="2"/>
  <c r="B2235" i="2"/>
  <c r="C2234" i="2"/>
  <c r="B2234" i="2"/>
  <c r="C2233" i="2"/>
  <c r="B2233" i="2"/>
  <c r="C2232" i="2"/>
  <c r="B2232" i="2"/>
  <c r="C2231" i="2"/>
  <c r="B2231" i="2"/>
  <c r="C2230" i="2"/>
  <c r="B2230" i="2"/>
  <c r="C2229" i="2"/>
  <c r="B2229" i="2"/>
  <c r="C2228" i="2"/>
  <c r="B2228" i="2"/>
  <c r="C2227" i="2"/>
  <c r="B2227" i="2"/>
  <c r="C2226" i="2"/>
  <c r="B2226" i="2"/>
  <c r="C2225" i="2"/>
  <c r="B2225" i="2"/>
  <c r="C2224" i="2"/>
  <c r="B2224" i="2"/>
  <c r="C2223" i="2"/>
  <c r="B2223" i="2"/>
  <c r="C2222" i="2"/>
  <c r="B2222" i="2"/>
  <c r="C2221" i="2"/>
  <c r="B2221" i="2"/>
  <c r="C2220" i="2"/>
  <c r="B2220" i="2"/>
  <c r="C2219" i="2"/>
  <c r="B2219" i="2"/>
  <c r="C2218" i="2"/>
  <c r="B2218" i="2"/>
  <c r="C2217" i="2"/>
  <c r="B2217" i="2"/>
  <c r="C2216" i="2"/>
  <c r="B2216" i="2"/>
  <c r="C2215" i="2"/>
  <c r="B2215" i="2"/>
  <c r="C2214" i="2"/>
  <c r="B2214" i="2"/>
  <c r="C2213" i="2"/>
  <c r="B2213" i="2"/>
  <c r="C2212" i="2"/>
  <c r="B2212" i="2"/>
  <c r="C2211" i="2"/>
  <c r="B2211" i="2"/>
  <c r="C2210" i="2"/>
  <c r="B2210" i="2"/>
  <c r="C2209" i="2"/>
  <c r="B2209" i="2"/>
  <c r="C2208" i="2"/>
  <c r="B2208" i="2"/>
  <c r="C2207" i="2"/>
  <c r="B2207" i="2"/>
  <c r="C2206" i="2"/>
  <c r="B2206" i="2"/>
  <c r="C2205" i="2"/>
  <c r="B2205" i="2"/>
  <c r="C2204" i="2"/>
  <c r="B2204" i="2"/>
  <c r="C2203" i="2"/>
  <c r="B2203" i="2"/>
  <c r="C2202" i="2"/>
  <c r="B2202" i="2"/>
  <c r="C2201" i="2"/>
  <c r="B2201" i="2"/>
  <c r="C2200" i="2"/>
  <c r="B2200" i="2"/>
  <c r="C2199" i="2"/>
  <c r="B2199" i="2"/>
  <c r="C2198" i="2"/>
  <c r="B2198" i="2"/>
  <c r="C2197" i="2"/>
  <c r="B2197" i="2"/>
  <c r="C2196" i="2"/>
  <c r="B2196" i="2"/>
  <c r="C2195" i="2"/>
  <c r="B2195" i="2"/>
  <c r="C2194" i="2"/>
  <c r="B2194" i="2"/>
  <c r="C2193" i="2"/>
  <c r="B2193" i="2"/>
  <c r="C2192" i="2"/>
  <c r="B2192" i="2"/>
  <c r="C2191" i="2"/>
  <c r="B2191" i="2"/>
  <c r="C2190" i="2"/>
  <c r="B2190" i="2"/>
  <c r="C2189" i="2"/>
  <c r="B2189" i="2"/>
  <c r="C2188" i="2"/>
  <c r="B2188" i="2"/>
  <c r="C2187" i="2"/>
  <c r="B2187" i="2"/>
  <c r="C2186" i="2"/>
  <c r="B2186" i="2"/>
  <c r="C2185" i="2"/>
  <c r="B2185" i="2"/>
  <c r="C2184" i="2"/>
  <c r="B2184" i="2"/>
  <c r="C2183" i="2"/>
  <c r="B2183" i="2"/>
  <c r="C2182" i="2"/>
  <c r="B2182" i="2"/>
  <c r="C2181" i="2"/>
  <c r="B2181" i="2"/>
  <c r="C2180" i="2"/>
  <c r="B2180" i="2"/>
  <c r="C2179" i="2"/>
  <c r="B2179" i="2"/>
  <c r="C2178" i="2"/>
  <c r="B2178" i="2"/>
  <c r="C2177" i="2"/>
  <c r="B2177" i="2"/>
  <c r="C2176" i="2"/>
  <c r="B2176" i="2"/>
  <c r="C2175" i="2"/>
  <c r="B2175" i="2"/>
  <c r="C2174" i="2"/>
  <c r="B2174" i="2"/>
  <c r="C2173" i="2"/>
  <c r="B2173" i="2"/>
  <c r="C2172" i="2"/>
  <c r="B2172" i="2"/>
  <c r="C2171" i="2"/>
  <c r="B2171" i="2"/>
  <c r="C2170" i="2"/>
  <c r="B2170" i="2"/>
  <c r="C2169" i="2"/>
  <c r="B2169" i="2"/>
  <c r="C2168" i="2"/>
  <c r="B2168" i="2"/>
  <c r="C2167" i="2"/>
  <c r="B2167" i="2"/>
  <c r="C2166" i="2"/>
  <c r="B2166" i="2"/>
  <c r="C2165" i="2"/>
  <c r="B2165" i="2"/>
  <c r="C2164" i="2"/>
  <c r="B2164" i="2"/>
  <c r="C2163" i="2"/>
  <c r="B2163" i="2"/>
  <c r="C2162" i="2"/>
  <c r="B2162" i="2"/>
  <c r="C2161" i="2"/>
  <c r="B2161" i="2"/>
  <c r="C2160" i="2"/>
  <c r="B2160" i="2"/>
  <c r="C2159" i="2"/>
  <c r="B2159" i="2"/>
  <c r="C2158" i="2"/>
  <c r="B2158" i="2"/>
  <c r="C2157" i="2"/>
  <c r="B2157" i="2"/>
  <c r="C2156" i="2"/>
  <c r="B2156" i="2"/>
  <c r="C2155" i="2"/>
  <c r="B2155" i="2"/>
  <c r="C2154" i="2"/>
  <c r="B2154" i="2"/>
  <c r="C2153" i="2"/>
  <c r="B2153" i="2"/>
  <c r="C2152" i="2"/>
  <c r="B2152" i="2"/>
  <c r="C2151" i="2"/>
  <c r="B2151" i="2"/>
  <c r="C2150" i="2"/>
  <c r="B2150" i="2"/>
  <c r="C2149" i="2"/>
  <c r="B2149" i="2"/>
  <c r="C2148" i="2"/>
  <c r="B2148" i="2"/>
  <c r="C2147" i="2"/>
  <c r="B2147" i="2"/>
  <c r="C2146" i="2"/>
  <c r="B2146" i="2"/>
  <c r="C2145" i="2"/>
  <c r="B2145" i="2"/>
  <c r="C2144" i="2"/>
  <c r="B2144" i="2"/>
  <c r="C2143" i="2"/>
  <c r="B2143" i="2"/>
  <c r="C2142" i="2"/>
  <c r="B2142" i="2"/>
  <c r="C2141" i="2"/>
  <c r="B2141" i="2"/>
  <c r="C2140" i="2"/>
  <c r="B2140" i="2"/>
  <c r="C2139" i="2"/>
  <c r="B2139" i="2"/>
  <c r="C2138" i="2"/>
  <c r="B2138" i="2"/>
  <c r="C2137" i="2"/>
  <c r="B2137" i="2"/>
  <c r="C2136" i="2"/>
  <c r="B2136" i="2"/>
  <c r="C2135" i="2"/>
  <c r="B2135" i="2"/>
  <c r="C2134" i="2"/>
  <c r="B2134" i="2"/>
  <c r="C2133" i="2"/>
  <c r="B2133" i="2"/>
  <c r="C2132" i="2"/>
  <c r="B2132" i="2"/>
  <c r="C2131" i="2"/>
  <c r="B2131" i="2"/>
  <c r="C2130" i="2"/>
  <c r="B2130" i="2"/>
  <c r="C2129" i="2"/>
  <c r="B2129" i="2"/>
  <c r="C2128" i="2"/>
  <c r="B2128" i="2"/>
  <c r="C2127" i="2"/>
  <c r="B2127" i="2"/>
  <c r="C2126" i="2"/>
  <c r="B2126" i="2"/>
  <c r="C2125" i="2"/>
  <c r="B2125" i="2"/>
  <c r="C2124" i="2"/>
  <c r="B2124" i="2"/>
  <c r="C2123" i="2"/>
  <c r="B2123" i="2"/>
  <c r="C2122" i="2"/>
  <c r="B2122" i="2"/>
  <c r="C2121" i="2"/>
  <c r="B2121" i="2"/>
  <c r="C2120" i="2"/>
  <c r="B2120" i="2"/>
  <c r="C2119" i="2"/>
  <c r="B2119" i="2"/>
  <c r="C2118" i="2"/>
  <c r="B2118" i="2"/>
  <c r="C2117" i="2"/>
  <c r="B2117" i="2"/>
  <c r="C2116" i="2"/>
  <c r="B2116" i="2"/>
  <c r="C2115" i="2"/>
  <c r="B2115" i="2"/>
  <c r="C2114" i="2"/>
  <c r="B2114" i="2"/>
  <c r="C2113" i="2"/>
  <c r="B2113" i="2"/>
  <c r="C2112" i="2"/>
  <c r="B2112" i="2"/>
  <c r="C2111" i="2"/>
  <c r="B2111" i="2"/>
  <c r="C2110" i="2"/>
  <c r="B2110" i="2"/>
  <c r="C2109" i="2"/>
  <c r="B2109" i="2"/>
  <c r="C2108" i="2"/>
  <c r="B2108" i="2"/>
  <c r="C2107" i="2"/>
  <c r="B2107" i="2"/>
  <c r="C2106" i="2"/>
  <c r="B2106" i="2"/>
  <c r="C2105" i="2"/>
  <c r="B2105" i="2"/>
  <c r="C2104" i="2"/>
  <c r="B2104" i="2"/>
  <c r="C2103" i="2"/>
  <c r="B2103" i="2"/>
  <c r="C2102" i="2"/>
  <c r="B2102" i="2"/>
  <c r="C2101" i="2"/>
  <c r="B2101" i="2"/>
  <c r="C2100" i="2"/>
  <c r="B2100" i="2"/>
  <c r="C2099" i="2"/>
  <c r="B2099" i="2"/>
  <c r="C2098" i="2"/>
  <c r="B2098" i="2"/>
  <c r="C2097" i="2"/>
  <c r="B2097" i="2"/>
  <c r="C2096" i="2"/>
  <c r="B2096" i="2"/>
  <c r="C2095" i="2"/>
  <c r="B2095" i="2"/>
  <c r="C2094" i="2"/>
  <c r="B2094" i="2"/>
  <c r="C2093" i="2"/>
  <c r="B2093" i="2"/>
  <c r="C2092" i="2"/>
  <c r="B2092" i="2"/>
  <c r="C2091" i="2"/>
  <c r="B2091" i="2"/>
  <c r="C2090" i="2"/>
  <c r="B2090" i="2"/>
  <c r="C2089" i="2"/>
  <c r="B2089" i="2"/>
  <c r="C2088" i="2"/>
  <c r="B2088" i="2"/>
  <c r="C2087" i="2"/>
  <c r="B2087" i="2"/>
  <c r="C2086" i="2"/>
  <c r="B2086" i="2"/>
  <c r="C2085" i="2"/>
  <c r="B2085" i="2"/>
  <c r="C2084" i="2"/>
  <c r="B2084" i="2"/>
  <c r="C2083" i="2"/>
  <c r="B2083" i="2"/>
  <c r="C2082" i="2"/>
  <c r="B2082" i="2"/>
  <c r="C2081" i="2"/>
  <c r="B2081" i="2"/>
  <c r="C2080" i="2"/>
  <c r="B2080" i="2"/>
  <c r="C2079" i="2"/>
  <c r="B2079" i="2"/>
  <c r="C2078" i="2"/>
  <c r="B2078" i="2"/>
  <c r="C2077" i="2"/>
  <c r="B2077" i="2"/>
  <c r="C2076" i="2"/>
  <c r="B2076" i="2"/>
  <c r="C2075" i="2"/>
  <c r="B2075" i="2"/>
  <c r="C2074" i="2"/>
  <c r="B2074" i="2"/>
  <c r="C2073" i="2"/>
  <c r="B2073" i="2"/>
  <c r="C2072" i="2"/>
  <c r="B2072" i="2"/>
  <c r="C2071" i="2"/>
  <c r="B2071" i="2"/>
  <c r="C2070" i="2"/>
  <c r="B2070" i="2"/>
  <c r="C2069" i="2"/>
  <c r="B2069" i="2"/>
  <c r="C2068" i="2"/>
  <c r="B2068" i="2"/>
  <c r="C2067" i="2"/>
  <c r="B2067" i="2"/>
  <c r="C2066" i="2"/>
  <c r="B2066" i="2"/>
  <c r="C2065" i="2"/>
  <c r="B2065" i="2"/>
  <c r="C2064" i="2"/>
  <c r="B2064" i="2"/>
  <c r="C2063" i="2"/>
  <c r="B2063" i="2"/>
  <c r="C2062" i="2"/>
  <c r="B2062" i="2"/>
  <c r="C2061" i="2"/>
  <c r="B2061" i="2"/>
  <c r="C2060" i="2"/>
  <c r="B2060" i="2"/>
  <c r="C2059" i="2"/>
  <c r="B2059" i="2"/>
  <c r="C2058" i="2"/>
  <c r="B2058" i="2"/>
  <c r="C2057" i="2"/>
  <c r="B2057" i="2"/>
  <c r="C2056" i="2"/>
  <c r="B2056" i="2"/>
  <c r="C2055" i="2"/>
  <c r="B2055" i="2"/>
  <c r="C2054" i="2"/>
  <c r="B2054" i="2"/>
  <c r="C2053" i="2"/>
  <c r="B2053" i="2"/>
  <c r="C2052" i="2"/>
  <c r="B2052" i="2"/>
  <c r="C2051" i="2"/>
  <c r="B2051" i="2"/>
  <c r="C2050" i="2"/>
  <c r="B2050" i="2"/>
  <c r="C2049" i="2"/>
  <c r="B2049" i="2"/>
  <c r="C2048" i="2"/>
  <c r="B2048" i="2"/>
  <c r="C2047" i="2"/>
  <c r="B2047" i="2"/>
  <c r="C2046" i="2"/>
  <c r="B2046" i="2"/>
  <c r="C2045" i="2"/>
  <c r="B2045" i="2"/>
  <c r="C2044" i="2"/>
  <c r="B2044" i="2"/>
  <c r="C2043" i="2"/>
  <c r="B2043" i="2"/>
  <c r="C2042" i="2"/>
  <c r="B2042" i="2"/>
  <c r="C2041" i="2"/>
  <c r="B2041" i="2"/>
  <c r="C2040" i="2"/>
  <c r="B2040" i="2"/>
  <c r="C2039" i="2"/>
  <c r="B2039" i="2"/>
  <c r="C2038" i="2"/>
  <c r="B2038" i="2"/>
  <c r="C2037" i="2"/>
  <c r="B2037" i="2"/>
  <c r="C2036" i="2"/>
  <c r="B2036" i="2"/>
  <c r="C2035" i="2"/>
  <c r="B2035" i="2"/>
  <c r="C2034" i="2"/>
  <c r="B2034" i="2"/>
  <c r="C2033" i="2"/>
  <c r="B2033" i="2"/>
  <c r="C2032" i="2"/>
  <c r="B2032" i="2"/>
  <c r="C2031" i="2"/>
  <c r="B2031" i="2"/>
  <c r="C2030" i="2"/>
  <c r="B2030" i="2"/>
  <c r="C2029" i="2"/>
  <c r="B2029" i="2"/>
  <c r="C2028" i="2"/>
  <c r="B2028" i="2"/>
  <c r="C2027" i="2"/>
  <c r="B2027" i="2"/>
  <c r="C2026" i="2"/>
  <c r="B2026" i="2"/>
  <c r="C2025" i="2"/>
  <c r="B2025" i="2"/>
  <c r="C2024" i="2"/>
  <c r="B2024" i="2"/>
  <c r="C2023" i="2"/>
  <c r="B2023" i="2"/>
  <c r="C2022" i="2"/>
  <c r="B2022" i="2"/>
  <c r="C2021" i="2"/>
  <c r="B2021" i="2"/>
  <c r="C2020" i="2"/>
  <c r="B2020" i="2"/>
  <c r="C2019" i="2"/>
  <c r="B2019" i="2"/>
  <c r="C2018" i="2"/>
  <c r="B2018" i="2"/>
  <c r="C2017" i="2"/>
  <c r="B2017" i="2"/>
  <c r="C2016" i="2"/>
  <c r="B2016" i="2"/>
  <c r="C2015" i="2"/>
  <c r="B2015" i="2"/>
  <c r="C2014" i="2"/>
  <c r="B2014" i="2"/>
  <c r="C2013" i="2"/>
  <c r="B2013" i="2"/>
  <c r="C2012" i="2"/>
  <c r="B2012" i="2"/>
  <c r="C2011" i="2"/>
  <c r="B2011" i="2"/>
  <c r="C2010" i="2"/>
  <c r="B2010" i="2"/>
  <c r="C2009" i="2"/>
  <c r="B2009" i="2"/>
  <c r="C2008" i="2"/>
  <c r="B2008" i="2"/>
  <c r="C2007" i="2"/>
  <c r="B2007" i="2"/>
  <c r="C2006" i="2"/>
  <c r="B2006" i="2"/>
  <c r="C2005" i="2"/>
  <c r="B2005" i="2"/>
  <c r="C2004" i="2"/>
  <c r="B2004" i="2"/>
  <c r="C2003" i="2"/>
  <c r="B2003" i="2"/>
  <c r="C2002" i="2"/>
  <c r="B2002" i="2"/>
  <c r="C2001" i="2"/>
  <c r="B2001" i="2"/>
  <c r="C2000" i="2"/>
  <c r="B2000" i="2"/>
  <c r="C1999" i="2"/>
  <c r="B1999" i="2"/>
  <c r="C1998" i="2"/>
  <c r="B1998" i="2"/>
  <c r="C1997" i="2"/>
  <c r="B1997" i="2"/>
  <c r="C1996" i="2"/>
  <c r="B1996" i="2"/>
  <c r="C1995" i="2"/>
  <c r="B1995" i="2"/>
  <c r="C1994" i="2"/>
  <c r="B1994" i="2"/>
  <c r="C1993" i="2"/>
  <c r="B1993" i="2"/>
  <c r="C1992" i="2"/>
  <c r="B1992" i="2"/>
  <c r="C1991" i="2"/>
  <c r="B1991" i="2"/>
  <c r="C1990" i="2"/>
  <c r="B1990" i="2"/>
  <c r="C1989" i="2"/>
  <c r="B1989" i="2"/>
  <c r="C1988" i="2"/>
  <c r="B1988" i="2"/>
  <c r="C1987" i="2"/>
  <c r="B1987" i="2"/>
  <c r="C1986" i="2"/>
  <c r="B1986" i="2"/>
  <c r="C1985" i="2"/>
  <c r="B1985" i="2"/>
  <c r="C1984" i="2"/>
  <c r="B1984" i="2"/>
  <c r="C1983" i="2"/>
  <c r="B1983" i="2"/>
  <c r="C1982" i="2"/>
  <c r="B1982" i="2"/>
  <c r="C1981" i="2"/>
  <c r="B1981" i="2"/>
  <c r="C1980" i="2"/>
  <c r="B1980" i="2"/>
  <c r="C1979" i="2"/>
  <c r="B1979" i="2"/>
  <c r="C1978" i="2"/>
  <c r="B1978" i="2"/>
  <c r="C1977" i="2"/>
  <c r="B1977" i="2"/>
  <c r="C1976" i="2"/>
  <c r="B1976" i="2"/>
  <c r="C1975" i="2"/>
  <c r="B1975" i="2"/>
  <c r="C1974" i="2"/>
  <c r="B1974" i="2"/>
  <c r="C1973" i="2"/>
  <c r="B1973" i="2"/>
  <c r="C1972" i="2"/>
  <c r="B1972" i="2"/>
  <c r="C1971" i="2"/>
  <c r="B1971" i="2"/>
  <c r="C1970" i="2"/>
  <c r="B1970" i="2"/>
  <c r="C1969" i="2"/>
  <c r="B1969" i="2"/>
  <c r="C1968" i="2"/>
  <c r="B1968" i="2"/>
  <c r="C1967" i="2"/>
  <c r="B1967" i="2"/>
  <c r="C1966" i="2"/>
  <c r="B1966" i="2"/>
  <c r="C1965" i="2"/>
  <c r="B1965" i="2"/>
  <c r="C1964" i="2"/>
  <c r="B1964" i="2"/>
  <c r="C1963" i="2"/>
  <c r="B1963" i="2"/>
  <c r="C1962" i="2"/>
  <c r="B1962" i="2"/>
  <c r="C1961" i="2"/>
  <c r="B1961" i="2"/>
  <c r="C1960" i="2"/>
  <c r="B1960" i="2"/>
  <c r="C1959" i="2"/>
  <c r="B1959" i="2"/>
  <c r="C1958" i="2"/>
  <c r="B1958" i="2"/>
  <c r="C1957" i="2"/>
  <c r="B1957" i="2"/>
  <c r="C1956" i="2"/>
  <c r="B1956" i="2"/>
  <c r="C1955" i="2"/>
  <c r="B1955" i="2"/>
  <c r="C1954" i="2"/>
  <c r="B1954" i="2"/>
  <c r="C1953" i="2"/>
  <c r="B1953" i="2"/>
  <c r="C1952" i="2"/>
  <c r="B1952" i="2"/>
  <c r="C1951" i="2"/>
  <c r="B1951" i="2"/>
  <c r="C1950" i="2"/>
  <c r="B1950" i="2"/>
  <c r="C1949" i="2"/>
  <c r="B1949" i="2"/>
  <c r="C1948" i="2"/>
  <c r="B1948" i="2"/>
  <c r="C1947" i="2"/>
  <c r="B1947" i="2"/>
  <c r="C1946" i="2"/>
  <c r="B1946" i="2"/>
  <c r="C1945" i="2"/>
  <c r="B1945" i="2"/>
  <c r="C1944" i="2"/>
  <c r="B1944" i="2"/>
  <c r="C1943" i="2"/>
  <c r="B1943" i="2"/>
  <c r="C1942" i="2"/>
  <c r="B1942" i="2"/>
  <c r="C1941" i="2"/>
  <c r="B1941" i="2"/>
  <c r="C1940" i="2"/>
  <c r="B1940" i="2"/>
  <c r="C1939" i="2"/>
  <c r="B1939" i="2"/>
  <c r="C1938" i="2"/>
  <c r="B1938" i="2"/>
  <c r="C1937" i="2"/>
  <c r="B1937" i="2"/>
  <c r="C1936" i="2"/>
  <c r="B1936" i="2"/>
  <c r="C1935" i="2"/>
  <c r="B1935" i="2"/>
  <c r="C1934" i="2"/>
  <c r="B1934" i="2"/>
  <c r="C1933" i="2"/>
  <c r="B1933" i="2"/>
  <c r="C1932" i="2"/>
  <c r="B1932" i="2"/>
  <c r="C1931" i="2"/>
  <c r="B1931" i="2"/>
  <c r="C1930" i="2"/>
  <c r="B1930" i="2"/>
  <c r="C1929" i="2"/>
  <c r="B1929" i="2"/>
  <c r="C1928" i="2"/>
  <c r="B1928" i="2"/>
  <c r="C1927" i="2"/>
  <c r="B1927" i="2"/>
  <c r="C1926" i="2"/>
  <c r="B1926" i="2"/>
  <c r="C1925" i="2"/>
  <c r="B1925" i="2"/>
  <c r="C1924" i="2"/>
  <c r="B1924" i="2"/>
  <c r="C1923" i="2"/>
  <c r="B1923" i="2"/>
  <c r="C1922" i="2"/>
  <c r="B1922" i="2"/>
  <c r="C1921" i="2"/>
  <c r="B1921" i="2"/>
  <c r="C1920" i="2"/>
  <c r="B1920" i="2"/>
  <c r="C1919" i="2"/>
  <c r="B1919" i="2"/>
  <c r="C1918" i="2"/>
  <c r="B1918" i="2"/>
  <c r="C1917" i="2"/>
  <c r="B1917" i="2"/>
  <c r="C1916" i="2"/>
  <c r="B1916" i="2"/>
  <c r="C1915" i="2"/>
  <c r="B1915" i="2"/>
  <c r="C1914" i="2"/>
  <c r="B1914" i="2"/>
  <c r="C1913" i="2"/>
  <c r="B1913" i="2"/>
  <c r="C1912" i="2"/>
  <c r="B1912" i="2"/>
  <c r="C1911" i="2"/>
  <c r="B1911" i="2"/>
  <c r="C1910" i="2"/>
  <c r="B1910" i="2"/>
  <c r="C1909" i="2"/>
  <c r="B1909" i="2"/>
  <c r="C1908" i="2"/>
  <c r="B1908" i="2"/>
  <c r="C1907" i="2"/>
  <c r="B1907" i="2"/>
  <c r="C1906" i="2"/>
  <c r="B1906" i="2"/>
  <c r="C1905" i="2"/>
  <c r="B1905" i="2"/>
  <c r="C1904" i="2"/>
  <c r="B1904" i="2"/>
  <c r="C1903" i="2"/>
  <c r="B1903" i="2"/>
  <c r="C1902" i="2"/>
  <c r="B1902" i="2"/>
  <c r="C1901" i="2"/>
  <c r="B1901" i="2"/>
  <c r="C1900" i="2"/>
  <c r="B1900" i="2"/>
  <c r="C1899" i="2"/>
  <c r="B1899" i="2"/>
  <c r="C1898" i="2"/>
  <c r="B1898" i="2"/>
  <c r="C1897" i="2"/>
  <c r="B1897" i="2"/>
  <c r="C1896" i="2"/>
  <c r="B1896" i="2"/>
  <c r="C1895" i="2"/>
  <c r="B1895" i="2"/>
  <c r="C1894" i="2"/>
  <c r="B1894" i="2"/>
  <c r="C1893" i="2"/>
  <c r="B1893" i="2"/>
  <c r="C1892" i="2"/>
  <c r="B1892" i="2"/>
  <c r="C1891" i="2"/>
  <c r="B1891" i="2"/>
  <c r="C1890" i="2"/>
  <c r="B1890" i="2"/>
  <c r="C1889" i="2"/>
  <c r="B1889" i="2"/>
  <c r="C1888" i="2"/>
  <c r="B1888" i="2"/>
  <c r="C1887" i="2"/>
  <c r="B1887" i="2"/>
  <c r="C1886" i="2"/>
  <c r="B1886" i="2"/>
  <c r="C1885" i="2"/>
  <c r="B1885" i="2"/>
  <c r="C1884" i="2"/>
  <c r="B1884" i="2"/>
  <c r="C1883" i="2"/>
  <c r="B1883" i="2"/>
  <c r="C1882" i="2"/>
  <c r="B1882" i="2"/>
  <c r="C1881" i="2"/>
  <c r="B1881" i="2"/>
  <c r="C1880" i="2"/>
  <c r="B1880" i="2"/>
  <c r="C1879" i="2"/>
  <c r="B1879" i="2"/>
  <c r="C1878" i="2"/>
  <c r="B1878" i="2"/>
  <c r="C1877" i="2"/>
  <c r="B1877" i="2"/>
  <c r="C1876" i="2"/>
  <c r="B1876" i="2"/>
  <c r="C1875" i="2"/>
  <c r="B1875" i="2"/>
  <c r="C1874" i="2"/>
  <c r="B1874" i="2"/>
  <c r="C1873" i="2"/>
  <c r="B1873" i="2"/>
  <c r="C1872" i="2"/>
  <c r="B1872" i="2"/>
  <c r="C1871" i="2"/>
  <c r="B1871" i="2"/>
  <c r="C1870" i="2"/>
  <c r="B1870" i="2"/>
  <c r="C1869" i="2"/>
  <c r="B1869" i="2"/>
  <c r="C1868" i="2"/>
  <c r="B1868" i="2"/>
  <c r="C1867" i="2"/>
  <c r="B1867" i="2"/>
  <c r="C1866" i="2"/>
  <c r="B1866" i="2"/>
  <c r="C1865" i="2"/>
  <c r="B1865" i="2"/>
  <c r="C1864" i="2"/>
  <c r="B1864" i="2"/>
  <c r="C1863" i="2"/>
  <c r="B1863" i="2"/>
  <c r="C1862" i="2"/>
  <c r="B1862" i="2"/>
  <c r="C1861" i="2"/>
  <c r="B1861" i="2"/>
  <c r="C1860" i="2"/>
  <c r="B1860" i="2"/>
  <c r="C1859" i="2"/>
  <c r="B1859" i="2"/>
  <c r="C1858" i="2"/>
  <c r="B1858" i="2"/>
  <c r="C1857" i="2"/>
  <c r="B1857" i="2"/>
  <c r="C1856" i="2"/>
  <c r="B1856" i="2"/>
  <c r="C1855" i="2"/>
  <c r="B1855" i="2"/>
  <c r="C1854" i="2"/>
  <c r="B1854" i="2"/>
  <c r="C1853" i="2"/>
  <c r="B1853" i="2"/>
  <c r="C1852" i="2"/>
  <c r="B1852" i="2"/>
  <c r="C1851" i="2"/>
  <c r="B1851" i="2"/>
  <c r="C1850" i="2"/>
  <c r="B1850" i="2"/>
  <c r="C1849" i="2"/>
  <c r="B1849" i="2"/>
  <c r="C1848" i="2"/>
  <c r="B1848" i="2"/>
  <c r="C1847" i="2"/>
  <c r="B1847" i="2"/>
  <c r="C1846" i="2"/>
  <c r="B1846" i="2"/>
  <c r="C1845" i="2"/>
  <c r="B1845" i="2"/>
  <c r="C1844" i="2"/>
  <c r="B1844" i="2"/>
  <c r="C1843" i="2"/>
  <c r="B1843" i="2"/>
  <c r="C1842" i="2"/>
  <c r="B1842" i="2"/>
  <c r="C1841" i="2"/>
  <c r="B1841" i="2"/>
  <c r="C1840" i="2"/>
  <c r="B1840" i="2"/>
  <c r="C1839" i="2"/>
  <c r="B1839" i="2"/>
  <c r="C1838" i="2"/>
  <c r="B1838" i="2"/>
  <c r="C1837" i="2"/>
  <c r="B1837" i="2"/>
  <c r="C1836" i="2"/>
  <c r="B1836" i="2"/>
  <c r="C1835" i="2"/>
  <c r="B1835" i="2"/>
  <c r="C1834" i="2"/>
  <c r="B1834" i="2"/>
  <c r="C1833" i="2"/>
  <c r="B1833" i="2"/>
  <c r="C1832" i="2"/>
  <c r="B1832" i="2"/>
  <c r="C1831" i="2"/>
  <c r="B1831" i="2"/>
  <c r="C1830" i="2"/>
  <c r="B1830" i="2"/>
  <c r="C1829" i="2"/>
  <c r="B1829" i="2"/>
  <c r="C1828" i="2"/>
  <c r="B1828" i="2"/>
  <c r="C1827" i="2"/>
  <c r="B1827" i="2"/>
  <c r="C1826" i="2"/>
  <c r="B1826" i="2"/>
  <c r="C1825" i="2"/>
  <c r="B1825" i="2"/>
  <c r="C1824" i="2"/>
  <c r="B1824" i="2"/>
  <c r="C1823" i="2"/>
  <c r="B1823" i="2"/>
  <c r="C1822" i="2"/>
  <c r="B1822" i="2"/>
  <c r="C1821" i="2"/>
  <c r="B1821" i="2"/>
  <c r="C1820" i="2"/>
  <c r="B1820" i="2"/>
  <c r="C1819" i="2"/>
  <c r="B1819" i="2"/>
  <c r="C1818" i="2"/>
  <c r="B1818" i="2"/>
  <c r="C1817" i="2"/>
  <c r="B1817" i="2"/>
  <c r="C1816" i="2"/>
  <c r="B1816" i="2"/>
  <c r="C1815" i="2"/>
  <c r="B1815" i="2"/>
  <c r="C1814" i="2"/>
  <c r="B1814" i="2"/>
  <c r="C1813" i="2"/>
  <c r="B1813" i="2"/>
  <c r="C1812" i="2"/>
  <c r="B1812" i="2"/>
  <c r="C1811" i="2"/>
  <c r="B1811" i="2"/>
  <c r="C1810" i="2"/>
  <c r="B1810" i="2"/>
  <c r="C1809" i="2"/>
  <c r="B1809" i="2"/>
  <c r="C1808" i="2"/>
  <c r="B1808" i="2"/>
  <c r="C1807" i="2"/>
  <c r="B1807" i="2"/>
  <c r="C1806" i="2"/>
  <c r="B1806" i="2"/>
  <c r="C1805" i="2"/>
  <c r="B1805" i="2"/>
  <c r="C1804" i="2"/>
  <c r="B1804" i="2"/>
  <c r="C1803" i="2"/>
  <c r="B1803" i="2"/>
  <c r="C1802" i="2"/>
  <c r="B1802" i="2"/>
  <c r="C1801" i="2"/>
  <c r="B1801" i="2"/>
  <c r="C1800" i="2"/>
  <c r="B1800" i="2"/>
  <c r="C1799" i="2"/>
  <c r="B1799" i="2"/>
  <c r="C1798" i="2"/>
  <c r="B1798" i="2"/>
  <c r="C1797" i="2"/>
  <c r="B1797" i="2"/>
  <c r="C1796" i="2"/>
  <c r="B1796" i="2"/>
  <c r="C1795" i="2"/>
  <c r="B1795" i="2"/>
  <c r="C1794" i="2"/>
  <c r="B1794" i="2"/>
  <c r="C1793" i="2"/>
  <c r="B1793" i="2"/>
  <c r="C1792" i="2"/>
  <c r="B1792" i="2"/>
  <c r="C1791" i="2"/>
  <c r="B1791" i="2"/>
  <c r="C1790" i="2"/>
  <c r="B1790" i="2"/>
  <c r="C1789" i="2"/>
  <c r="B1789" i="2"/>
  <c r="C1788" i="2"/>
  <c r="B1788" i="2"/>
  <c r="C1787" i="2"/>
  <c r="B1787" i="2"/>
  <c r="C1786" i="2"/>
  <c r="B1786" i="2"/>
  <c r="C1785" i="2"/>
  <c r="B1785" i="2"/>
  <c r="C1784" i="2"/>
  <c r="B1784" i="2"/>
  <c r="C1783" i="2"/>
  <c r="B1783" i="2"/>
  <c r="C1782" i="2"/>
  <c r="B1782" i="2"/>
  <c r="C1781" i="2"/>
  <c r="B1781" i="2"/>
  <c r="C1780" i="2"/>
  <c r="B1780" i="2"/>
  <c r="C1779" i="2"/>
  <c r="B1779" i="2"/>
  <c r="C1778" i="2"/>
  <c r="B1778" i="2"/>
  <c r="C1777" i="2"/>
  <c r="B1777" i="2"/>
  <c r="C1776" i="2"/>
  <c r="B1776" i="2"/>
  <c r="C1775" i="2"/>
  <c r="B1775" i="2"/>
  <c r="C1774" i="2"/>
  <c r="B1774" i="2"/>
  <c r="C1773" i="2"/>
  <c r="B1773" i="2"/>
  <c r="C1772" i="2"/>
  <c r="B1772" i="2"/>
  <c r="C1771" i="2"/>
  <c r="B1771" i="2"/>
  <c r="C1770" i="2"/>
  <c r="B1770" i="2"/>
  <c r="C1769" i="2"/>
  <c r="B1769" i="2"/>
  <c r="C1768" i="2"/>
  <c r="B1768" i="2"/>
  <c r="C1767" i="2"/>
  <c r="B1767" i="2"/>
  <c r="C1766" i="2"/>
  <c r="B1766" i="2"/>
  <c r="C1765" i="2"/>
  <c r="B1765" i="2"/>
  <c r="C1764" i="2"/>
  <c r="B1764" i="2"/>
  <c r="C1763" i="2"/>
  <c r="B1763" i="2"/>
  <c r="C1762" i="2"/>
  <c r="B1762" i="2"/>
  <c r="C1761" i="2"/>
  <c r="B1761" i="2"/>
  <c r="C1760" i="2"/>
  <c r="B1760" i="2"/>
  <c r="C1759" i="2"/>
  <c r="B1759" i="2"/>
  <c r="C1758" i="2"/>
  <c r="B1758" i="2"/>
  <c r="C1757" i="2"/>
  <c r="B1757" i="2"/>
  <c r="C1756" i="2"/>
  <c r="B1756" i="2"/>
  <c r="C1755" i="2"/>
  <c r="B1755" i="2"/>
  <c r="C1754" i="2"/>
  <c r="B1754" i="2"/>
  <c r="C1753" i="2"/>
  <c r="B1753" i="2"/>
  <c r="C1752" i="2"/>
  <c r="B1752" i="2"/>
  <c r="C1751" i="2"/>
  <c r="B1751" i="2"/>
  <c r="C1750" i="2"/>
  <c r="B1750" i="2"/>
  <c r="C1749" i="2"/>
  <c r="B1749" i="2"/>
  <c r="C1748" i="2"/>
  <c r="B1748" i="2"/>
  <c r="C1747" i="2"/>
  <c r="B1747" i="2"/>
  <c r="C1746" i="2"/>
  <c r="B1746" i="2"/>
  <c r="C1745" i="2"/>
  <c r="B1745" i="2"/>
  <c r="C1744" i="2"/>
  <c r="B1744" i="2"/>
  <c r="C1743" i="2"/>
  <c r="B1743" i="2"/>
  <c r="C1742" i="2"/>
  <c r="B1742" i="2"/>
  <c r="C1741" i="2"/>
  <c r="B1741" i="2"/>
  <c r="C1740" i="2"/>
  <c r="B1740" i="2"/>
  <c r="C1739" i="2"/>
  <c r="B1739" i="2"/>
  <c r="C1738" i="2"/>
  <c r="B1738" i="2"/>
  <c r="C1737" i="2"/>
  <c r="B1737" i="2"/>
  <c r="C1736" i="2"/>
  <c r="B1736" i="2"/>
  <c r="C1735" i="2"/>
  <c r="B1735" i="2"/>
  <c r="C1734" i="2"/>
  <c r="B1734" i="2"/>
  <c r="C1733" i="2"/>
  <c r="B1733" i="2"/>
  <c r="C1732" i="2"/>
  <c r="B1732" i="2"/>
  <c r="C1731" i="2"/>
  <c r="B1731" i="2"/>
  <c r="C1730" i="2"/>
  <c r="B1730" i="2"/>
  <c r="C1729" i="2"/>
  <c r="B1729" i="2"/>
  <c r="C1728" i="2"/>
  <c r="B1728" i="2"/>
  <c r="C1727" i="2"/>
  <c r="B1727" i="2"/>
  <c r="C1726" i="2"/>
  <c r="B1726" i="2"/>
  <c r="C1725" i="2"/>
  <c r="B1725" i="2"/>
  <c r="C1724" i="2"/>
  <c r="B1724" i="2"/>
  <c r="C1723" i="2"/>
  <c r="B1723" i="2"/>
  <c r="C1722" i="2"/>
  <c r="B1722" i="2"/>
  <c r="C1721" i="2"/>
  <c r="B1721" i="2"/>
  <c r="C1720" i="2"/>
  <c r="B1720" i="2"/>
  <c r="C1719" i="2"/>
  <c r="B1719" i="2"/>
  <c r="C1718" i="2"/>
  <c r="B1718" i="2"/>
  <c r="C1717" i="2"/>
  <c r="B1717" i="2"/>
  <c r="C1716" i="2"/>
  <c r="B1716" i="2"/>
  <c r="C1715" i="2"/>
  <c r="B1715" i="2"/>
  <c r="C1714" i="2"/>
  <c r="B1714" i="2"/>
  <c r="C1713" i="2"/>
  <c r="B1713" i="2"/>
  <c r="C1712" i="2"/>
  <c r="B1712" i="2"/>
  <c r="C1711" i="2"/>
  <c r="B1711" i="2"/>
  <c r="C1710" i="2"/>
  <c r="B1710" i="2"/>
  <c r="C1709" i="2"/>
  <c r="B1709" i="2"/>
  <c r="C1708" i="2"/>
  <c r="B1708" i="2"/>
  <c r="C1707" i="2"/>
  <c r="B1707" i="2"/>
  <c r="C1706" i="2"/>
  <c r="B1706" i="2"/>
  <c r="C1705" i="2"/>
  <c r="B1705" i="2"/>
  <c r="C1704" i="2"/>
  <c r="B1704" i="2"/>
  <c r="C1703" i="2"/>
  <c r="B1703" i="2"/>
  <c r="C1702" i="2"/>
  <c r="B1702" i="2"/>
  <c r="C1701" i="2"/>
  <c r="B1701" i="2"/>
  <c r="C1700" i="2"/>
  <c r="B1700" i="2"/>
  <c r="C1699" i="2"/>
  <c r="B1699" i="2"/>
  <c r="C1698" i="2"/>
  <c r="B1698" i="2"/>
  <c r="C1697" i="2"/>
  <c r="B1697" i="2"/>
  <c r="C1696" i="2"/>
  <c r="B1696" i="2"/>
  <c r="C1695" i="2"/>
  <c r="B1695" i="2"/>
  <c r="C1694" i="2"/>
  <c r="B1694" i="2"/>
  <c r="C1693" i="2"/>
  <c r="B1693" i="2"/>
  <c r="C1692" i="2"/>
  <c r="B1692" i="2"/>
  <c r="C1691" i="2"/>
  <c r="B1691" i="2"/>
  <c r="C1690" i="2"/>
  <c r="B1690" i="2"/>
  <c r="C1689" i="2"/>
  <c r="B1689" i="2"/>
  <c r="C1688" i="2"/>
  <c r="B1688" i="2"/>
  <c r="C1687" i="2"/>
  <c r="B1687" i="2"/>
  <c r="C1686" i="2"/>
  <c r="B1686" i="2"/>
  <c r="C1685" i="2"/>
  <c r="B1685" i="2"/>
  <c r="C1684" i="2"/>
  <c r="B1684" i="2"/>
  <c r="C1683" i="2"/>
  <c r="B1683" i="2"/>
  <c r="C1682" i="2"/>
  <c r="B1682" i="2"/>
  <c r="C1681" i="2"/>
  <c r="B1681" i="2"/>
  <c r="C1680" i="2"/>
  <c r="B1680" i="2"/>
  <c r="C1679" i="2"/>
  <c r="B1679" i="2"/>
  <c r="C1678" i="2"/>
  <c r="B1678" i="2"/>
  <c r="C1677" i="2"/>
  <c r="B1677" i="2"/>
  <c r="C1676" i="2"/>
  <c r="B1676" i="2"/>
  <c r="C1675" i="2"/>
  <c r="B1675" i="2"/>
  <c r="C1674" i="2"/>
  <c r="B1674" i="2"/>
  <c r="C1673" i="2"/>
  <c r="B1673" i="2"/>
  <c r="C1672" i="2"/>
  <c r="B1672" i="2"/>
  <c r="C1671" i="2"/>
  <c r="B1671" i="2"/>
  <c r="C1670" i="2"/>
  <c r="B1670" i="2"/>
  <c r="C1669" i="2"/>
  <c r="B1669" i="2"/>
  <c r="C1668" i="2"/>
  <c r="B1668" i="2"/>
  <c r="C1667" i="2"/>
  <c r="B1667" i="2"/>
  <c r="C1666" i="2"/>
  <c r="B1666" i="2"/>
  <c r="C1665" i="2"/>
  <c r="B1665" i="2"/>
  <c r="C1664" i="2"/>
  <c r="B1664" i="2"/>
  <c r="C1663" i="2"/>
  <c r="B1663" i="2"/>
  <c r="C1662" i="2"/>
  <c r="B1662" i="2"/>
  <c r="C1661" i="2"/>
  <c r="B1661" i="2"/>
  <c r="C1660" i="2"/>
  <c r="B1660" i="2"/>
  <c r="C1659" i="2"/>
  <c r="B1659" i="2"/>
  <c r="C1658" i="2"/>
  <c r="B1658" i="2"/>
  <c r="C1657" i="2"/>
  <c r="B1657" i="2"/>
  <c r="C1656" i="2"/>
  <c r="B1656" i="2"/>
  <c r="C1655" i="2"/>
  <c r="B1655" i="2"/>
  <c r="C1654" i="2"/>
  <c r="B1654" i="2"/>
  <c r="C1653" i="2"/>
  <c r="B1653" i="2"/>
  <c r="C1652" i="2"/>
  <c r="B1652" i="2"/>
  <c r="C1651" i="2"/>
  <c r="B1651" i="2"/>
  <c r="C1650" i="2"/>
  <c r="B1650" i="2"/>
  <c r="C1649" i="2"/>
  <c r="B1649" i="2"/>
  <c r="C1648" i="2"/>
  <c r="B1648" i="2"/>
  <c r="C1647" i="2"/>
  <c r="B1647" i="2"/>
  <c r="C1646" i="2"/>
  <c r="B1646" i="2"/>
  <c r="C1645" i="2"/>
  <c r="B1645" i="2"/>
  <c r="C1644" i="2"/>
  <c r="B1644" i="2"/>
  <c r="C1643" i="2"/>
  <c r="B1643" i="2"/>
  <c r="C1642" i="2"/>
  <c r="B1642" i="2"/>
  <c r="C1641" i="2"/>
  <c r="B1641" i="2"/>
  <c r="C1640" i="2"/>
  <c r="B1640" i="2"/>
  <c r="C1639" i="2"/>
  <c r="B1639" i="2"/>
  <c r="C1638" i="2"/>
  <c r="B1638" i="2"/>
  <c r="C1637" i="2"/>
  <c r="B1637" i="2"/>
  <c r="C1636" i="2"/>
  <c r="B1636" i="2"/>
  <c r="C1635" i="2"/>
  <c r="B1635" i="2"/>
  <c r="C1634" i="2"/>
  <c r="B1634" i="2"/>
  <c r="C1633" i="2"/>
  <c r="B1633" i="2"/>
  <c r="C1632" i="2"/>
  <c r="B1632" i="2"/>
  <c r="C1631" i="2"/>
  <c r="B1631" i="2"/>
  <c r="C1630" i="2"/>
  <c r="B1630" i="2"/>
  <c r="C1629" i="2"/>
  <c r="B1629" i="2"/>
  <c r="C1628" i="2"/>
  <c r="B1628" i="2"/>
  <c r="C1627" i="2"/>
  <c r="B1627" i="2"/>
  <c r="C1626" i="2"/>
  <c r="B1626" i="2"/>
  <c r="C1625" i="2"/>
  <c r="B1625" i="2"/>
  <c r="C1624" i="2"/>
  <c r="B1624" i="2"/>
  <c r="C1623" i="2"/>
  <c r="B1623" i="2"/>
  <c r="C1622" i="2"/>
  <c r="B1622" i="2"/>
  <c r="C1621" i="2"/>
  <c r="B1621" i="2"/>
  <c r="C1620" i="2"/>
  <c r="B1620" i="2"/>
  <c r="C1619" i="2"/>
  <c r="B1619" i="2"/>
  <c r="C1618" i="2"/>
  <c r="B1618" i="2"/>
  <c r="C1617" i="2"/>
  <c r="B1617" i="2"/>
  <c r="C1616" i="2"/>
  <c r="B1616" i="2"/>
  <c r="C1615" i="2"/>
  <c r="B1615" i="2"/>
  <c r="C1614" i="2"/>
  <c r="B1614" i="2"/>
  <c r="C1613" i="2"/>
  <c r="B1613" i="2"/>
  <c r="C1612" i="2"/>
  <c r="B1612" i="2"/>
  <c r="C1611" i="2"/>
  <c r="B1611" i="2"/>
  <c r="C1610" i="2"/>
  <c r="B1610" i="2"/>
  <c r="C1609" i="2"/>
  <c r="B1609" i="2"/>
  <c r="C1608" i="2"/>
  <c r="B1608" i="2"/>
  <c r="C1607" i="2"/>
  <c r="B1607" i="2"/>
  <c r="C1606" i="2"/>
  <c r="B1606" i="2"/>
  <c r="C1605" i="2"/>
  <c r="B1605" i="2"/>
  <c r="C1604" i="2"/>
  <c r="B1604" i="2"/>
  <c r="C1603" i="2"/>
  <c r="B1603" i="2"/>
  <c r="C1602" i="2"/>
  <c r="B1602" i="2"/>
  <c r="C1601" i="2"/>
  <c r="B1601" i="2"/>
  <c r="C1600" i="2"/>
  <c r="B1600" i="2"/>
  <c r="C1599" i="2"/>
  <c r="B1599" i="2"/>
  <c r="C1598" i="2"/>
  <c r="B1598" i="2"/>
  <c r="C1597" i="2"/>
  <c r="B1597" i="2"/>
  <c r="C1596" i="2"/>
  <c r="B1596" i="2"/>
  <c r="C1595" i="2"/>
  <c r="B1595" i="2"/>
  <c r="C1594" i="2"/>
  <c r="B1594" i="2"/>
  <c r="C1593" i="2"/>
  <c r="B1593" i="2"/>
  <c r="C1592" i="2"/>
  <c r="B1592" i="2"/>
  <c r="C1591" i="2"/>
  <c r="B1591" i="2"/>
  <c r="C1590" i="2"/>
  <c r="B1590" i="2"/>
  <c r="C1589" i="2"/>
  <c r="B1589" i="2"/>
  <c r="C1588" i="2"/>
  <c r="B1588" i="2"/>
  <c r="C1587" i="2"/>
  <c r="B1587" i="2"/>
  <c r="C1586" i="2"/>
  <c r="B1586" i="2"/>
  <c r="C1585" i="2"/>
  <c r="B1585" i="2"/>
  <c r="C1584" i="2"/>
  <c r="B1584" i="2"/>
  <c r="C1583" i="2"/>
  <c r="B1583" i="2"/>
  <c r="C1582" i="2"/>
  <c r="B1582" i="2"/>
  <c r="C1581" i="2"/>
  <c r="B1581" i="2"/>
  <c r="C1580" i="2"/>
  <c r="B1580" i="2"/>
  <c r="C1579" i="2"/>
  <c r="B1579" i="2"/>
  <c r="C1578" i="2"/>
  <c r="B1578" i="2"/>
  <c r="C1577" i="2"/>
  <c r="B1577" i="2"/>
  <c r="C1576" i="2"/>
  <c r="B1576" i="2"/>
  <c r="C1575" i="2"/>
  <c r="B1575" i="2"/>
  <c r="C1574" i="2"/>
  <c r="B1574" i="2"/>
  <c r="C1573" i="2"/>
  <c r="B1573" i="2"/>
  <c r="C1572" i="2"/>
  <c r="B1572" i="2"/>
  <c r="C1571" i="2"/>
  <c r="B1571" i="2"/>
  <c r="C1570" i="2"/>
  <c r="B1570" i="2"/>
  <c r="C1569" i="2"/>
  <c r="B1569" i="2"/>
  <c r="C1568" i="2"/>
  <c r="B1568" i="2"/>
  <c r="C1567" i="2"/>
  <c r="B1567" i="2"/>
  <c r="C1566" i="2"/>
  <c r="B1566" i="2"/>
  <c r="C1565" i="2"/>
  <c r="B1565" i="2"/>
  <c r="C1564" i="2"/>
  <c r="B1564" i="2"/>
  <c r="C1563" i="2"/>
  <c r="B1563" i="2"/>
  <c r="C1562" i="2"/>
  <c r="B1562" i="2"/>
  <c r="C1561" i="2"/>
  <c r="B1561" i="2"/>
  <c r="C1560" i="2"/>
  <c r="B1560" i="2"/>
  <c r="C1559" i="2"/>
  <c r="B1559" i="2"/>
  <c r="C1558" i="2"/>
  <c r="B1558" i="2"/>
  <c r="C1557" i="2"/>
  <c r="B1557" i="2"/>
  <c r="C1556" i="2"/>
  <c r="B1556" i="2"/>
  <c r="C1555" i="2"/>
  <c r="B1555" i="2"/>
  <c r="C1554" i="2"/>
  <c r="B1554" i="2"/>
  <c r="C1553" i="2"/>
  <c r="B1553" i="2"/>
  <c r="C1552" i="2"/>
  <c r="B1552" i="2"/>
  <c r="C1551" i="2"/>
  <c r="B1551" i="2"/>
  <c r="C1550" i="2"/>
  <c r="B1550" i="2"/>
  <c r="C1549" i="2"/>
  <c r="B1549" i="2"/>
  <c r="C1548" i="2"/>
  <c r="B1548" i="2"/>
  <c r="C1547" i="2"/>
  <c r="B1547" i="2"/>
  <c r="C1546" i="2"/>
  <c r="B1546" i="2"/>
  <c r="C1545" i="2"/>
  <c r="B1545" i="2"/>
  <c r="C1544" i="2"/>
  <c r="B1544" i="2"/>
  <c r="C1543" i="2"/>
  <c r="B1543" i="2"/>
  <c r="C1542" i="2"/>
  <c r="B1542" i="2"/>
  <c r="C1541" i="2"/>
  <c r="B1541" i="2"/>
  <c r="C1540" i="2"/>
  <c r="B1540" i="2"/>
  <c r="C1539" i="2"/>
  <c r="B1539" i="2"/>
  <c r="C1538" i="2"/>
  <c r="B1538" i="2"/>
  <c r="C1537" i="2"/>
  <c r="B1537" i="2"/>
  <c r="C1536" i="2"/>
  <c r="B1536" i="2"/>
  <c r="C1535" i="2"/>
  <c r="B1535" i="2"/>
  <c r="C1534" i="2"/>
  <c r="B1534" i="2"/>
  <c r="C1533" i="2"/>
  <c r="B1533" i="2"/>
  <c r="C1532" i="2"/>
  <c r="B1532" i="2"/>
  <c r="C1531" i="2"/>
  <c r="B1531" i="2"/>
  <c r="C1530" i="2"/>
  <c r="B1530" i="2"/>
  <c r="C1529" i="2"/>
  <c r="B1529" i="2"/>
  <c r="C1528" i="2"/>
  <c r="B1528" i="2"/>
  <c r="C1527" i="2"/>
  <c r="B1527" i="2"/>
  <c r="C1526" i="2"/>
  <c r="B1526" i="2"/>
  <c r="C1525" i="2"/>
  <c r="B1525" i="2"/>
  <c r="C1524" i="2"/>
  <c r="B1524" i="2"/>
  <c r="C1523" i="2"/>
  <c r="B1523" i="2"/>
  <c r="C1522" i="2"/>
  <c r="B1522" i="2"/>
  <c r="C1521" i="2"/>
  <c r="B1521" i="2"/>
  <c r="C1520" i="2"/>
  <c r="B1520" i="2"/>
  <c r="C1519" i="2"/>
  <c r="B1519" i="2"/>
  <c r="C1518" i="2"/>
  <c r="B1518" i="2"/>
  <c r="C1517" i="2"/>
  <c r="B1517" i="2"/>
  <c r="C1516" i="2"/>
  <c r="B1516" i="2"/>
  <c r="C1515" i="2"/>
  <c r="B1515" i="2"/>
  <c r="C1514" i="2"/>
  <c r="B1514" i="2"/>
  <c r="C1513" i="2"/>
  <c r="B1513" i="2"/>
  <c r="C1512" i="2"/>
  <c r="B1512" i="2"/>
  <c r="C1511" i="2"/>
  <c r="B1511" i="2"/>
  <c r="C1510" i="2"/>
  <c r="B1510" i="2"/>
  <c r="C1509" i="2"/>
  <c r="B1509" i="2"/>
  <c r="C1508" i="2"/>
  <c r="B1508" i="2"/>
  <c r="C1507" i="2"/>
  <c r="B1507" i="2"/>
  <c r="C1506" i="2"/>
  <c r="B1506" i="2"/>
  <c r="C1505" i="2"/>
  <c r="B1505" i="2"/>
  <c r="C1504" i="2"/>
  <c r="B1504" i="2"/>
  <c r="C1503" i="2"/>
  <c r="B1503" i="2"/>
  <c r="C1502" i="2"/>
  <c r="B1502" i="2"/>
  <c r="C1501" i="2"/>
  <c r="B1501" i="2"/>
  <c r="C1500" i="2"/>
  <c r="B1500" i="2"/>
  <c r="C1499" i="2"/>
  <c r="B1499" i="2"/>
  <c r="C1498" i="2"/>
  <c r="B1498" i="2"/>
  <c r="C1497" i="2"/>
  <c r="B1497" i="2"/>
  <c r="C1496" i="2"/>
  <c r="B1496" i="2"/>
  <c r="C1495" i="2"/>
  <c r="B1495" i="2"/>
  <c r="C1494" i="2"/>
  <c r="B1494" i="2"/>
  <c r="C1493" i="2"/>
  <c r="B1493" i="2"/>
  <c r="C1492" i="2"/>
  <c r="B1492" i="2"/>
  <c r="C1491" i="2"/>
  <c r="B1491" i="2"/>
  <c r="C1490" i="2"/>
  <c r="B1490" i="2"/>
  <c r="C1489" i="2"/>
  <c r="B1489" i="2"/>
  <c r="C1488" i="2"/>
  <c r="B1488" i="2"/>
  <c r="C1487" i="2"/>
  <c r="B1487" i="2"/>
  <c r="C1486" i="2"/>
  <c r="B1486" i="2"/>
  <c r="C1485" i="2"/>
  <c r="B1485" i="2"/>
  <c r="C1484" i="2"/>
  <c r="B1484" i="2"/>
  <c r="C1483" i="2"/>
  <c r="B1483" i="2"/>
  <c r="C1482" i="2"/>
  <c r="B1482" i="2"/>
  <c r="C1481" i="2"/>
  <c r="B1481" i="2"/>
  <c r="C1480" i="2"/>
  <c r="B1480" i="2"/>
  <c r="C1479" i="2"/>
  <c r="B1479" i="2"/>
  <c r="C1478" i="2"/>
  <c r="B1478" i="2"/>
  <c r="C1477" i="2"/>
  <c r="B1477" i="2"/>
  <c r="C1476" i="2"/>
  <c r="B1476" i="2"/>
  <c r="C1475" i="2"/>
  <c r="B1475" i="2"/>
  <c r="C1474" i="2"/>
  <c r="B1474" i="2"/>
  <c r="C1473" i="2"/>
  <c r="B1473" i="2"/>
  <c r="C1472" i="2"/>
  <c r="B1472" i="2"/>
  <c r="C1471" i="2"/>
  <c r="B1471" i="2"/>
  <c r="C1470" i="2"/>
  <c r="B1470" i="2"/>
  <c r="C1469" i="2"/>
  <c r="B1469" i="2"/>
  <c r="C1468" i="2"/>
  <c r="B1468" i="2"/>
  <c r="C1467" i="2"/>
  <c r="B1467" i="2"/>
  <c r="C1466" i="2"/>
  <c r="B1466" i="2"/>
  <c r="C1465" i="2"/>
  <c r="B1465" i="2"/>
  <c r="C1464" i="2"/>
  <c r="B1464" i="2"/>
  <c r="C1463" i="2"/>
  <c r="B1463" i="2"/>
  <c r="C1462" i="2"/>
  <c r="B1462" i="2"/>
  <c r="C1461" i="2"/>
  <c r="B1461" i="2"/>
  <c r="C1460" i="2"/>
  <c r="B1460" i="2"/>
  <c r="C1459" i="2"/>
  <c r="B1459" i="2"/>
  <c r="C1458" i="2"/>
  <c r="B1458" i="2"/>
  <c r="C1457" i="2"/>
  <c r="B1457" i="2"/>
  <c r="C1456" i="2"/>
  <c r="B1456" i="2"/>
  <c r="C1455" i="2"/>
  <c r="B1455" i="2"/>
  <c r="C1454" i="2"/>
  <c r="B1454" i="2"/>
  <c r="C1453" i="2"/>
  <c r="B1453" i="2"/>
  <c r="C1452" i="2"/>
  <c r="B1452" i="2"/>
  <c r="C1451" i="2"/>
  <c r="B1451" i="2"/>
  <c r="C1450" i="2"/>
  <c r="B1450" i="2"/>
  <c r="C1449" i="2"/>
  <c r="B1449" i="2"/>
  <c r="C1448" i="2"/>
  <c r="B1448" i="2"/>
  <c r="C1447" i="2"/>
  <c r="B1447" i="2"/>
  <c r="C1446" i="2"/>
  <c r="B1446" i="2"/>
  <c r="C1445" i="2"/>
  <c r="B1445" i="2"/>
  <c r="C1444" i="2"/>
  <c r="B1444" i="2"/>
  <c r="C1443" i="2"/>
  <c r="B1443" i="2"/>
  <c r="C1442" i="2"/>
  <c r="B1442" i="2"/>
  <c r="C1441" i="2"/>
  <c r="B1441" i="2"/>
  <c r="C1440" i="2"/>
  <c r="B1440" i="2"/>
  <c r="C1439" i="2"/>
  <c r="B1439" i="2"/>
  <c r="C1438" i="2"/>
  <c r="B1438" i="2"/>
  <c r="C1437" i="2"/>
  <c r="B1437" i="2"/>
  <c r="C1436" i="2"/>
  <c r="B1436" i="2"/>
  <c r="C1435" i="2"/>
  <c r="B1435" i="2"/>
  <c r="C1434" i="2"/>
  <c r="B1434" i="2"/>
  <c r="C1433" i="2"/>
  <c r="B1433" i="2"/>
  <c r="C1432" i="2"/>
  <c r="B1432" i="2"/>
  <c r="C1431" i="2"/>
  <c r="B1431" i="2"/>
  <c r="C1430" i="2"/>
  <c r="B1430" i="2"/>
  <c r="C1429" i="2"/>
  <c r="B1429" i="2"/>
  <c r="C1428" i="2"/>
  <c r="B1428" i="2"/>
  <c r="C1427" i="2"/>
  <c r="B1427" i="2"/>
  <c r="C1426" i="2"/>
  <c r="B1426" i="2"/>
  <c r="C1425" i="2"/>
  <c r="B1425" i="2"/>
  <c r="C1424" i="2"/>
  <c r="B1424" i="2"/>
  <c r="C1423" i="2"/>
  <c r="B1423" i="2"/>
  <c r="C1422" i="2"/>
  <c r="B1422" i="2"/>
  <c r="C1421" i="2"/>
  <c r="B1421" i="2"/>
  <c r="C1420" i="2"/>
  <c r="B1420" i="2"/>
  <c r="C1419" i="2"/>
  <c r="B1419" i="2"/>
  <c r="C1418" i="2"/>
  <c r="B1418" i="2"/>
  <c r="C1417" i="2"/>
  <c r="B1417" i="2"/>
  <c r="C1416" i="2"/>
  <c r="B1416" i="2"/>
  <c r="C1415" i="2"/>
  <c r="B1415" i="2"/>
  <c r="C1414" i="2"/>
  <c r="B1414" i="2"/>
  <c r="C1413" i="2"/>
  <c r="B1413" i="2"/>
  <c r="C1412" i="2"/>
  <c r="B1412" i="2"/>
  <c r="C1411" i="2"/>
  <c r="B1411" i="2"/>
  <c r="C1410" i="2"/>
  <c r="B1410" i="2"/>
  <c r="C1409" i="2"/>
  <c r="B1409" i="2"/>
  <c r="C1408" i="2"/>
  <c r="B1408" i="2"/>
  <c r="C1407" i="2"/>
  <c r="B1407" i="2"/>
  <c r="C1406" i="2"/>
  <c r="B1406" i="2"/>
  <c r="C1405" i="2"/>
  <c r="B1405" i="2"/>
  <c r="C1404" i="2"/>
  <c r="B1404" i="2"/>
  <c r="C1403" i="2"/>
  <c r="B1403" i="2"/>
  <c r="C1402" i="2"/>
  <c r="B1402" i="2"/>
  <c r="C1401" i="2"/>
  <c r="B1401" i="2"/>
  <c r="C1400" i="2"/>
  <c r="B1400" i="2"/>
  <c r="C1399" i="2"/>
  <c r="B1399" i="2"/>
  <c r="C1398" i="2"/>
  <c r="B1398" i="2"/>
  <c r="C1397" i="2"/>
  <c r="B1397" i="2"/>
  <c r="C1396" i="2"/>
  <c r="B1396" i="2"/>
  <c r="C1395" i="2"/>
  <c r="B1395" i="2"/>
  <c r="C1394" i="2"/>
  <c r="B1394" i="2"/>
  <c r="C1393" i="2"/>
  <c r="B1393" i="2"/>
  <c r="C1392" i="2"/>
  <c r="B1392" i="2"/>
  <c r="C1391" i="2"/>
  <c r="B1391" i="2"/>
  <c r="C1390" i="2"/>
  <c r="B1390" i="2"/>
  <c r="C1389" i="2"/>
  <c r="B1389" i="2"/>
  <c r="C1388" i="2"/>
  <c r="B1388" i="2"/>
  <c r="C1387" i="2"/>
  <c r="B1387" i="2"/>
  <c r="C1386" i="2"/>
  <c r="B1386" i="2"/>
  <c r="C1385" i="2"/>
  <c r="B1385" i="2"/>
  <c r="C1384" i="2"/>
  <c r="B1384" i="2"/>
  <c r="C1383" i="2"/>
  <c r="B1383" i="2"/>
  <c r="C1382" i="2"/>
  <c r="B1382" i="2"/>
  <c r="C1381" i="2"/>
  <c r="B1381" i="2"/>
  <c r="C1380" i="2"/>
  <c r="B1380" i="2"/>
  <c r="C1379" i="2"/>
  <c r="B1379" i="2"/>
  <c r="C1378" i="2"/>
  <c r="B1378" i="2"/>
  <c r="C1377" i="2"/>
  <c r="B1377" i="2"/>
  <c r="C1376" i="2"/>
  <c r="B1376" i="2"/>
  <c r="C1375" i="2"/>
  <c r="B1375" i="2"/>
  <c r="C1374" i="2"/>
  <c r="B1374" i="2"/>
  <c r="C1373" i="2"/>
  <c r="B1373" i="2"/>
  <c r="C1372" i="2"/>
  <c r="B1372" i="2"/>
  <c r="C1371" i="2"/>
  <c r="B1371" i="2"/>
  <c r="C1370" i="2"/>
  <c r="B1370" i="2"/>
  <c r="C1369" i="2"/>
  <c r="B1369" i="2"/>
  <c r="C1368" i="2"/>
  <c r="B1368" i="2"/>
  <c r="C1367" i="2"/>
  <c r="B1367" i="2"/>
  <c r="C1366" i="2"/>
  <c r="B1366" i="2"/>
  <c r="C1365" i="2"/>
  <c r="B1365" i="2"/>
  <c r="C1364" i="2"/>
  <c r="B1364" i="2"/>
  <c r="C1363" i="2"/>
  <c r="B1363" i="2"/>
  <c r="C1362" i="2"/>
  <c r="B1362" i="2"/>
  <c r="C1361" i="2"/>
  <c r="B1361" i="2"/>
  <c r="C1360" i="2"/>
  <c r="B1360" i="2"/>
  <c r="C1359" i="2"/>
  <c r="B1359" i="2"/>
  <c r="C1358" i="2"/>
  <c r="B1358" i="2"/>
  <c r="C1357" i="2"/>
  <c r="B1357" i="2"/>
  <c r="C1356" i="2"/>
  <c r="B1356" i="2"/>
  <c r="C1355" i="2"/>
  <c r="B1355" i="2"/>
  <c r="C1354" i="2"/>
  <c r="B1354" i="2"/>
  <c r="C1353" i="2"/>
  <c r="B1353" i="2"/>
  <c r="C1352" i="2"/>
  <c r="B1352" i="2"/>
  <c r="C1351" i="2"/>
  <c r="B1351" i="2"/>
  <c r="C1350" i="2"/>
  <c r="B1350" i="2"/>
  <c r="C1349" i="2"/>
  <c r="B1349" i="2"/>
  <c r="C1348" i="2"/>
  <c r="B1348" i="2"/>
  <c r="C1347" i="2"/>
  <c r="B1347" i="2"/>
  <c r="C1346" i="2"/>
  <c r="B1346" i="2"/>
  <c r="C1345" i="2"/>
  <c r="B1345" i="2"/>
  <c r="C1344" i="2"/>
  <c r="B1344" i="2"/>
  <c r="C1343" i="2"/>
  <c r="B1343" i="2"/>
  <c r="C1342" i="2"/>
  <c r="B1342" i="2"/>
  <c r="C1341" i="2"/>
  <c r="B1341" i="2"/>
  <c r="C1340" i="2"/>
  <c r="B1340" i="2"/>
  <c r="C1339" i="2"/>
  <c r="B1339" i="2"/>
  <c r="C1338" i="2"/>
  <c r="B1338" i="2"/>
  <c r="C1337" i="2"/>
  <c r="B1337" i="2"/>
  <c r="C1336" i="2"/>
  <c r="B1336" i="2"/>
  <c r="C1335" i="2"/>
  <c r="B1335" i="2"/>
  <c r="C1334" i="2"/>
  <c r="B1334" i="2"/>
  <c r="C1333" i="2"/>
  <c r="B1333" i="2"/>
  <c r="C1332" i="2"/>
  <c r="B1332" i="2"/>
  <c r="C1331" i="2"/>
  <c r="B1331" i="2"/>
  <c r="C1330" i="2"/>
  <c r="B1330" i="2"/>
  <c r="C1329" i="2"/>
  <c r="B1329" i="2"/>
  <c r="C1328" i="2"/>
  <c r="B1328" i="2"/>
  <c r="C1327" i="2"/>
  <c r="B1327" i="2"/>
  <c r="C1326" i="2"/>
  <c r="B1326" i="2"/>
  <c r="C1325" i="2"/>
  <c r="B1325" i="2"/>
  <c r="C1324" i="2"/>
  <c r="B1324" i="2"/>
  <c r="C1323" i="2"/>
  <c r="B1323" i="2"/>
  <c r="C1322" i="2"/>
  <c r="B1322" i="2"/>
  <c r="C1321" i="2"/>
  <c r="B1321" i="2"/>
  <c r="C1320" i="2"/>
  <c r="B1320" i="2"/>
  <c r="C1319" i="2"/>
  <c r="B1319" i="2"/>
  <c r="C1318" i="2"/>
  <c r="B1318" i="2"/>
  <c r="C1317" i="2"/>
  <c r="B1317" i="2"/>
  <c r="C1316" i="2"/>
  <c r="B1316" i="2"/>
  <c r="C1315" i="2"/>
  <c r="B1315" i="2"/>
  <c r="C1314" i="2"/>
  <c r="B1314" i="2"/>
  <c r="C1313" i="2"/>
  <c r="B1313" i="2"/>
  <c r="C1312" i="2"/>
  <c r="B1312" i="2"/>
  <c r="C1311" i="2"/>
  <c r="B1311" i="2"/>
  <c r="C1310" i="2"/>
  <c r="B1310" i="2"/>
  <c r="C1309" i="2"/>
  <c r="B1309" i="2"/>
  <c r="C1308" i="2"/>
  <c r="B1308" i="2"/>
  <c r="C1307" i="2"/>
  <c r="B1307" i="2"/>
  <c r="C1306" i="2"/>
  <c r="B1306" i="2"/>
  <c r="C1305" i="2"/>
  <c r="B1305" i="2"/>
  <c r="C1304" i="2"/>
  <c r="B1304" i="2"/>
  <c r="C1303" i="2"/>
  <c r="B1303" i="2"/>
  <c r="C1302" i="2"/>
  <c r="B1302" i="2"/>
  <c r="C1301" i="2"/>
  <c r="B1301" i="2"/>
  <c r="C1300" i="2"/>
  <c r="B1300" i="2"/>
  <c r="C1299" i="2"/>
  <c r="B1299" i="2"/>
  <c r="C1298" i="2"/>
  <c r="B1298" i="2"/>
  <c r="C1297" i="2"/>
  <c r="B1297" i="2"/>
  <c r="C1296" i="2"/>
  <c r="B1296" i="2"/>
  <c r="C1295" i="2"/>
  <c r="B1295" i="2"/>
  <c r="C1294" i="2"/>
  <c r="B1294" i="2"/>
  <c r="C1293" i="2"/>
  <c r="B1293" i="2"/>
  <c r="C1292" i="2"/>
  <c r="B1292" i="2"/>
  <c r="C1291" i="2"/>
  <c r="B1291" i="2"/>
  <c r="C1290" i="2"/>
  <c r="B1290" i="2"/>
  <c r="C1289" i="2"/>
  <c r="B1289" i="2"/>
  <c r="C1288" i="2"/>
  <c r="B1288" i="2"/>
  <c r="C1287" i="2"/>
  <c r="B1287" i="2"/>
  <c r="C1286" i="2"/>
  <c r="B1286" i="2"/>
  <c r="C1285" i="2"/>
  <c r="B1285" i="2"/>
  <c r="C1284" i="2"/>
  <c r="B1284" i="2"/>
  <c r="C1283" i="2"/>
  <c r="B1283" i="2"/>
  <c r="C1282" i="2"/>
  <c r="B1282" i="2"/>
  <c r="C1281" i="2"/>
  <c r="B1281" i="2"/>
  <c r="C1280" i="2"/>
  <c r="B1280" i="2"/>
  <c r="C1279" i="2"/>
  <c r="B1279" i="2"/>
  <c r="C1278" i="2"/>
  <c r="B1278" i="2"/>
  <c r="C1277" i="2"/>
  <c r="B1277" i="2"/>
  <c r="C1276" i="2"/>
  <c r="B1276" i="2"/>
  <c r="C1275" i="2"/>
  <c r="B1275" i="2"/>
  <c r="C1274" i="2"/>
  <c r="B1274" i="2"/>
  <c r="C1273" i="2"/>
  <c r="B1273" i="2"/>
  <c r="C1272" i="2"/>
  <c r="B1272" i="2"/>
  <c r="C1271" i="2"/>
  <c r="B1271" i="2"/>
  <c r="C1270" i="2"/>
  <c r="B1270" i="2"/>
  <c r="C1269" i="2"/>
  <c r="B1269" i="2"/>
  <c r="C1268" i="2"/>
  <c r="B1268" i="2"/>
  <c r="C1267" i="2"/>
  <c r="B1267" i="2"/>
  <c r="C1266" i="2"/>
  <c r="B1266" i="2"/>
  <c r="C1265" i="2"/>
  <c r="B1265" i="2"/>
  <c r="C1264" i="2"/>
  <c r="B1264" i="2"/>
  <c r="C1263" i="2"/>
  <c r="B1263" i="2"/>
  <c r="C1262" i="2"/>
  <c r="B1262" i="2"/>
  <c r="C1261" i="2"/>
  <c r="B1261" i="2"/>
  <c r="C1260" i="2"/>
  <c r="B1260" i="2"/>
  <c r="C1259" i="2"/>
  <c r="B1259" i="2"/>
  <c r="C1258" i="2"/>
  <c r="B1258" i="2"/>
  <c r="C1257" i="2"/>
  <c r="B1257" i="2"/>
  <c r="C1256" i="2"/>
  <c r="B1256" i="2"/>
  <c r="C1255" i="2"/>
  <c r="B1255" i="2"/>
  <c r="C1254" i="2"/>
  <c r="B1254" i="2"/>
  <c r="C1253" i="2"/>
  <c r="B1253" i="2"/>
  <c r="C1252" i="2"/>
  <c r="B1252" i="2"/>
  <c r="C1251" i="2"/>
  <c r="B1251" i="2"/>
  <c r="C1250" i="2"/>
  <c r="B1250" i="2"/>
  <c r="C1249" i="2"/>
  <c r="B1249" i="2"/>
  <c r="C1248" i="2"/>
  <c r="B1248" i="2"/>
  <c r="C1247" i="2"/>
  <c r="B1247" i="2"/>
  <c r="C1246" i="2"/>
  <c r="B1246" i="2"/>
  <c r="C1245" i="2"/>
  <c r="B1245" i="2"/>
  <c r="C1244" i="2"/>
  <c r="B1244" i="2"/>
  <c r="C1243" i="2"/>
  <c r="B1243" i="2"/>
  <c r="C1242" i="2"/>
  <c r="B1242" i="2"/>
  <c r="C1241" i="2"/>
  <c r="B1241" i="2"/>
  <c r="C1240" i="2"/>
  <c r="B1240" i="2"/>
  <c r="C1239" i="2"/>
  <c r="B1239" i="2"/>
  <c r="C1238" i="2"/>
  <c r="B1238" i="2"/>
  <c r="C1237" i="2"/>
  <c r="B1237" i="2"/>
  <c r="C1236" i="2"/>
  <c r="B1236" i="2"/>
  <c r="C1235" i="2"/>
  <c r="B1235" i="2"/>
  <c r="C1234" i="2"/>
  <c r="B1234" i="2"/>
  <c r="C1233" i="2"/>
  <c r="B1233" i="2"/>
  <c r="C1232" i="2"/>
  <c r="B1232" i="2"/>
  <c r="C1231" i="2"/>
  <c r="B1231" i="2"/>
  <c r="C1230" i="2"/>
  <c r="B1230" i="2"/>
  <c r="C1229" i="2"/>
  <c r="B1229" i="2"/>
  <c r="C1228" i="2"/>
  <c r="B1228" i="2"/>
  <c r="C1227" i="2"/>
  <c r="B1227" i="2"/>
  <c r="C1226" i="2"/>
  <c r="B1226" i="2"/>
  <c r="C1225" i="2"/>
  <c r="B1225" i="2"/>
  <c r="C1224" i="2"/>
  <c r="B1224" i="2"/>
  <c r="C1223" i="2"/>
  <c r="B1223" i="2"/>
  <c r="C1222" i="2"/>
  <c r="B1222" i="2"/>
  <c r="C1221" i="2"/>
  <c r="B1221" i="2"/>
  <c r="C1220" i="2"/>
  <c r="B1220" i="2"/>
  <c r="C1219" i="2"/>
  <c r="B1219" i="2"/>
  <c r="C1218" i="2"/>
  <c r="B1218" i="2"/>
  <c r="C1217" i="2"/>
  <c r="B1217" i="2"/>
  <c r="C1216" i="2"/>
  <c r="B1216" i="2"/>
  <c r="C1215" i="2"/>
  <c r="B1215" i="2"/>
  <c r="C1214" i="2"/>
  <c r="B1214" i="2"/>
  <c r="C1213" i="2"/>
  <c r="B1213" i="2"/>
  <c r="C1212" i="2"/>
  <c r="B1212" i="2"/>
  <c r="C1211" i="2"/>
  <c r="B1211" i="2"/>
  <c r="C1210" i="2"/>
  <c r="B1210" i="2"/>
  <c r="C1209" i="2"/>
  <c r="B1209" i="2"/>
  <c r="C1208" i="2"/>
  <c r="B1208" i="2"/>
  <c r="C1207" i="2"/>
  <c r="B1207" i="2"/>
  <c r="C1206" i="2"/>
  <c r="B1206" i="2"/>
  <c r="C1205" i="2"/>
  <c r="B1205" i="2"/>
  <c r="C1204" i="2"/>
  <c r="B1204" i="2"/>
  <c r="C1203" i="2"/>
  <c r="B1203" i="2"/>
  <c r="C1202" i="2"/>
  <c r="B1202" i="2"/>
  <c r="C1201" i="2"/>
  <c r="B1201" i="2"/>
  <c r="C1200" i="2"/>
  <c r="B1200" i="2"/>
  <c r="C1199" i="2"/>
  <c r="B1199" i="2"/>
  <c r="C1198" i="2"/>
  <c r="B1198" i="2"/>
  <c r="C1197" i="2"/>
  <c r="B1197" i="2"/>
  <c r="C1196" i="2"/>
  <c r="B1196" i="2"/>
  <c r="C1195" i="2"/>
  <c r="B1195" i="2"/>
  <c r="C1194" i="2"/>
  <c r="B1194" i="2"/>
  <c r="C1193" i="2"/>
  <c r="B1193" i="2"/>
  <c r="C1192" i="2"/>
  <c r="B1192" i="2"/>
  <c r="C1191" i="2"/>
  <c r="B1191" i="2"/>
  <c r="C1190" i="2"/>
  <c r="B1190" i="2"/>
  <c r="C1189" i="2"/>
  <c r="B1189" i="2"/>
  <c r="C1188" i="2"/>
  <c r="B1188" i="2"/>
  <c r="C1187" i="2"/>
  <c r="B1187" i="2"/>
  <c r="C1186" i="2"/>
  <c r="B1186" i="2"/>
  <c r="C1185" i="2"/>
  <c r="B1185" i="2"/>
  <c r="C1184" i="2"/>
  <c r="B1184" i="2"/>
  <c r="C1183" i="2"/>
  <c r="B1183" i="2"/>
  <c r="C1182" i="2"/>
  <c r="B1182" i="2"/>
  <c r="C1181" i="2"/>
  <c r="B1181" i="2"/>
  <c r="C1180" i="2"/>
  <c r="B1180" i="2"/>
  <c r="C1179" i="2"/>
  <c r="B1179" i="2"/>
  <c r="C1178" i="2"/>
  <c r="B1178" i="2"/>
  <c r="C1177" i="2"/>
  <c r="B1177" i="2"/>
  <c r="C1176" i="2"/>
  <c r="B1176" i="2"/>
  <c r="C1175" i="2"/>
  <c r="B1175" i="2"/>
  <c r="C1174" i="2"/>
  <c r="B1174" i="2"/>
  <c r="C1173" i="2"/>
  <c r="B1173" i="2"/>
  <c r="C1172" i="2"/>
  <c r="B1172" i="2"/>
  <c r="C1171" i="2"/>
  <c r="B1171" i="2"/>
  <c r="C1170" i="2"/>
  <c r="B1170" i="2"/>
  <c r="C1169" i="2"/>
  <c r="B1169" i="2"/>
  <c r="C1168" i="2"/>
  <c r="B1168" i="2"/>
  <c r="C1167" i="2"/>
  <c r="B1167" i="2"/>
  <c r="C1166" i="2"/>
  <c r="B1166" i="2"/>
  <c r="C1165" i="2"/>
  <c r="B1165" i="2"/>
  <c r="C1164" i="2"/>
  <c r="B1164" i="2"/>
  <c r="C1163" i="2"/>
  <c r="B1163" i="2"/>
  <c r="C1162" i="2"/>
  <c r="B1162" i="2"/>
  <c r="C1161" i="2"/>
  <c r="B1161" i="2"/>
  <c r="C1160" i="2"/>
  <c r="B1160" i="2"/>
  <c r="C1159" i="2"/>
  <c r="B1159" i="2"/>
  <c r="C1158" i="2"/>
  <c r="B1158" i="2"/>
  <c r="C1157" i="2"/>
  <c r="B1157" i="2"/>
  <c r="C1156" i="2"/>
  <c r="B1156" i="2"/>
  <c r="C1155" i="2"/>
  <c r="B1155" i="2"/>
  <c r="C1154" i="2"/>
  <c r="B1154" i="2"/>
  <c r="C1153" i="2"/>
  <c r="B1153" i="2"/>
  <c r="C1152" i="2"/>
  <c r="B1152" i="2"/>
  <c r="C1151" i="2"/>
  <c r="B1151" i="2"/>
  <c r="C1150" i="2"/>
  <c r="B1150" i="2"/>
  <c r="C1149" i="2"/>
  <c r="B1149" i="2"/>
  <c r="C1148" i="2"/>
  <c r="B1148" i="2"/>
  <c r="C1147" i="2"/>
  <c r="B1147" i="2"/>
  <c r="C1146" i="2"/>
  <c r="B1146" i="2"/>
  <c r="C1145" i="2"/>
  <c r="B1145" i="2"/>
  <c r="C1144" i="2"/>
  <c r="B1144" i="2"/>
  <c r="C1143" i="2"/>
  <c r="B1143" i="2"/>
  <c r="C1142" i="2"/>
  <c r="B1142" i="2"/>
  <c r="C1141" i="2"/>
  <c r="B1141" i="2"/>
  <c r="C1140" i="2"/>
  <c r="B1140" i="2"/>
  <c r="C1139" i="2"/>
  <c r="B1139" i="2"/>
  <c r="C1138" i="2"/>
  <c r="B1138" i="2"/>
  <c r="C1137" i="2"/>
  <c r="B1137" i="2"/>
  <c r="C1136" i="2"/>
  <c r="B1136" i="2"/>
  <c r="C1135" i="2"/>
  <c r="B1135" i="2"/>
  <c r="C1134" i="2"/>
  <c r="B1134" i="2"/>
  <c r="C1133" i="2"/>
  <c r="B1133" i="2"/>
  <c r="C1132" i="2"/>
  <c r="B1132" i="2"/>
  <c r="C1131" i="2"/>
  <c r="B1131" i="2"/>
  <c r="C1130" i="2"/>
  <c r="B1130" i="2"/>
  <c r="C1129" i="2"/>
  <c r="B1129" i="2"/>
  <c r="C1128" i="2"/>
  <c r="B1128" i="2"/>
  <c r="C1127" i="2"/>
  <c r="B1127" i="2"/>
  <c r="C1126" i="2"/>
  <c r="B1126" i="2"/>
  <c r="C1125" i="2"/>
  <c r="B1125" i="2"/>
  <c r="C1124" i="2"/>
  <c r="B1124" i="2"/>
  <c r="C1123" i="2"/>
  <c r="B1123" i="2"/>
  <c r="C1122" i="2"/>
  <c r="B1122" i="2"/>
  <c r="C1121" i="2"/>
  <c r="B1121" i="2"/>
  <c r="C1120" i="2"/>
  <c r="B1120" i="2"/>
  <c r="C1119" i="2"/>
  <c r="B1119" i="2"/>
  <c r="C1118" i="2"/>
  <c r="B1118" i="2"/>
  <c r="C1117" i="2"/>
  <c r="B1117" i="2"/>
  <c r="C1116" i="2"/>
  <c r="B1116" i="2"/>
  <c r="C1115" i="2"/>
  <c r="B1115" i="2"/>
  <c r="C1114" i="2"/>
  <c r="B1114" i="2"/>
  <c r="C1113" i="2"/>
  <c r="B1113" i="2"/>
  <c r="C1112" i="2"/>
  <c r="B1112" i="2"/>
  <c r="C1111" i="2"/>
  <c r="B1111" i="2"/>
  <c r="C1110" i="2"/>
  <c r="B1110" i="2"/>
  <c r="C1109" i="2"/>
  <c r="B1109" i="2"/>
  <c r="C1108" i="2"/>
  <c r="B1108" i="2"/>
  <c r="C1107" i="2"/>
  <c r="B1107" i="2"/>
  <c r="C1106" i="2"/>
  <c r="B1106" i="2"/>
  <c r="C1105" i="2"/>
  <c r="B1105" i="2"/>
  <c r="C1104" i="2"/>
  <c r="B1104" i="2"/>
  <c r="C1103" i="2"/>
  <c r="B1103" i="2"/>
  <c r="C1102" i="2"/>
  <c r="B1102" i="2"/>
  <c r="C1101" i="2"/>
  <c r="B1101" i="2"/>
  <c r="C1100" i="2"/>
  <c r="B1100" i="2"/>
  <c r="C1099" i="2"/>
  <c r="B1099" i="2"/>
  <c r="C1098" i="2"/>
  <c r="B1098" i="2"/>
  <c r="C1097" i="2"/>
  <c r="B1097" i="2"/>
  <c r="C1096" i="2"/>
  <c r="B1096" i="2"/>
  <c r="C1095" i="2"/>
  <c r="B1095" i="2"/>
  <c r="C1094" i="2"/>
  <c r="B1094" i="2"/>
  <c r="C1093" i="2"/>
  <c r="B1093" i="2"/>
  <c r="C1092" i="2"/>
  <c r="B1092" i="2"/>
  <c r="C1091" i="2"/>
  <c r="B1091" i="2"/>
  <c r="C1090" i="2"/>
  <c r="B1090" i="2"/>
  <c r="C1089" i="2"/>
  <c r="B1089" i="2"/>
  <c r="C1088" i="2"/>
  <c r="B1088" i="2"/>
  <c r="C1087" i="2"/>
  <c r="B1087" i="2"/>
  <c r="C1086" i="2"/>
  <c r="B1086" i="2"/>
  <c r="C1085" i="2"/>
  <c r="B1085" i="2"/>
  <c r="C1084" i="2"/>
  <c r="B1084" i="2"/>
  <c r="C1083" i="2"/>
  <c r="B1083" i="2"/>
  <c r="C1082" i="2"/>
  <c r="B1082" i="2"/>
  <c r="C1081" i="2"/>
  <c r="B1081" i="2"/>
  <c r="C1080" i="2"/>
  <c r="B1080" i="2"/>
  <c r="C1079" i="2"/>
  <c r="B1079" i="2"/>
  <c r="C1078" i="2"/>
  <c r="B1078" i="2"/>
  <c r="C1077" i="2"/>
  <c r="B1077" i="2"/>
  <c r="C1076" i="2"/>
  <c r="B1076" i="2"/>
  <c r="C1075" i="2"/>
  <c r="B1075" i="2"/>
  <c r="C1074" i="2"/>
  <c r="B1074" i="2"/>
  <c r="C1073" i="2"/>
  <c r="B1073" i="2"/>
  <c r="C1072" i="2"/>
  <c r="B1072" i="2"/>
  <c r="C1071" i="2"/>
  <c r="B1071" i="2"/>
  <c r="C1070" i="2"/>
  <c r="B1070" i="2"/>
  <c r="C1069" i="2"/>
  <c r="B1069" i="2"/>
  <c r="C1068" i="2"/>
  <c r="B1068" i="2"/>
  <c r="C1067" i="2"/>
  <c r="B1067" i="2"/>
  <c r="C1066" i="2"/>
  <c r="B1066" i="2"/>
  <c r="C1065" i="2"/>
  <c r="B1065" i="2"/>
  <c r="C1064" i="2"/>
  <c r="B1064" i="2"/>
  <c r="C1063" i="2"/>
  <c r="B1063" i="2"/>
  <c r="C1062" i="2"/>
  <c r="B1062" i="2"/>
  <c r="C1061" i="2"/>
  <c r="B1061" i="2"/>
  <c r="C1060" i="2"/>
  <c r="B1060" i="2"/>
  <c r="C1059" i="2"/>
  <c r="B1059" i="2"/>
  <c r="C1058" i="2"/>
  <c r="B1058" i="2"/>
  <c r="C1057" i="2"/>
  <c r="B1057" i="2"/>
  <c r="C1056" i="2"/>
  <c r="B1056" i="2"/>
  <c r="C1055" i="2"/>
  <c r="B1055" i="2"/>
  <c r="C1054" i="2"/>
  <c r="B1054" i="2"/>
  <c r="C1053" i="2"/>
  <c r="B1053" i="2"/>
  <c r="C1052" i="2"/>
  <c r="B1052" i="2"/>
  <c r="C1051" i="2"/>
  <c r="B1051" i="2"/>
  <c r="C1050" i="2"/>
  <c r="B1050" i="2"/>
  <c r="C1049" i="2"/>
  <c r="B1049" i="2"/>
  <c r="C1048" i="2"/>
  <c r="B1048" i="2"/>
  <c r="C1047" i="2"/>
  <c r="B1047" i="2"/>
  <c r="C1046" i="2"/>
  <c r="B1046" i="2"/>
  <c r="C1045" i="2"/>
  <c r="B1045" i="2"/>
  <c r="C1044" i="2"/>
  <c r="B1044" i="2"/>
  <c r="C1043" i="2"/>
  <c r="B1043" i="2"/>
  <c r="C1042" i="2"/>
  <c r="B1042" i="2"/>
  <c r="C1041" i="2"/>
  <c r="B1041" i="2"/>
  <c r="C1040" i="2"/>
  <c r="B1040" i="2"/>
  <c r="C1039" i="2"/>
  <c r="B1039" i="2"/>
  <c r="C1038" i="2"/>
  <c r="B1038" i="2"/>
  <c r="C1037" i="2"/>
  <c r="B1037" i="2"/>
  <c r="C1036" i="2"/>
  <c r="B1036" i="2"/>
  <c r="C1035" i="2"/>
  <c r="B1035" i="2"/>
  <c r="C1034" i="2"/>
  <c r="B1034" i="2"/>
  <c r="C1033" i="2"/>
  <c r="B1033" i="2"/>
  <c r="C1032" i="2"/>
  <c r="B1032" i="2"/>
  <c r="C1031" i="2"/>
  <c r="B1031" i="2"/>
  <c r="C1030" i="2"/>
  <c r="B1030" i="2"/>
  <c r="C1029" i="2"/>
  <c r="B1029" i="2"/>
  <c r="C1028" i="2"/>
  <c r="B1028" i="2"/>
  <c r="C1027" i="2"/>
  <c r="B1027" i="2"/>
  <c r="C1026" i="2"/>
  <c r="B1026" i="2"/>
  <c r="C1025" i="2"/>
  <c r="B1025" i="2"/>
  <c r="C1024" i="2"/>
  <c r="B1024" i="2"/>
  <c r="C1023" i="2"/>
  <c r="B1023" i="2"/>
  <c r="C1022" i="2"/>
  <c r="B1022" i="2"/>
  <c r="C1021" i="2"/>
  <c r="B1021" i="2"/>
  <c r="C1020" i="2"/>
  <c r="B1020" i="2"/>
  <c r="C1019" i="2"/>
  <c r="B1019" i="2"/>
  <c r="C1018" i="2"/>
  <c r="B1018" i="2"/>
  <c r="C1017" i="2"/>
  <c r="B1017" i="2"/>
  <c r="C1016" i="2"/>
  <c r="B1016" i="2"/>
  <c r="C1015" i="2"/>
  <c r="B1015" i="2"/>
  <c r="C1014" i="2"/>
  <c r="B1014" i="2"/>
  <c r="C1013" i="2"/>
  <c r="B1013" i="2"/>
  <c r="C1012" i="2"/>
  <c r="B1012" i="2"/>
  <c r="C1011" i="2"/>
  <c r="B1011" i="2"/>
  <c r="C1010" i="2"/>
  <c r="B1010" i="2"/>
  <c r="C1009" i="2"/>
  <c r="B1009" i="2"/>
  <c r="C1008" i="2"/>
  <c r="B1008" i="2"/>
  <c r="C1007" i="2"/>
  <c r="B1007" i="2"/>
  <c r="C1006" i="2"/>
  <c r="B1006" i="2"/>
  <c r="C1005" i="2"/>
  <c r="B1005" i="2"/>
  <c r="C1004" i="2"/>
  <c r="B1004" i="2"/>
  <c r="C1003" i="2"/>
  <c r="B1003" i="2"/>
  <c r="C1002" i="2"/>
  <c r="B1002" i="2"/>
  <c r="C1001" i="2"/>
  <c r="B1001" i="2"/>
  <c r="C1000" i="2"/>
  <c r="B1000" i="2"/>
  <c r="C999" i="2"/>
  <c r="B999" i="2"/>
  <c r="C998" i="2"/>
  <c r="B998" i="2"/>
  <c r="C997" i="2"/>
  <c r="B997" i="2"/>
  <c r="C996" i="2"/>
  <c r="B996" i="2"/>
  <c r="C995" i="2"/>
  <c r="B995" i="2"/>
  <c r="C994" i="2"/>
  <c r="B994" i="2"/>
  <c r="C993" i="2"/>
  <c r="B993" i="2"/>
  <c r="C992" i="2"/>
  <c r="B992" i="2"/>
  <c r="C991" i="2"/>
  <c r="B991" i="2"/>
  <c r="C990" i="2"/>
  <c r="B990" i="2"/>
  <c r="C989" i="2"/>
  <c r="B989" i="2"/>
  <c r="C988" i="2"/>
  <c r="B988" i="2"/>
  <c r="C987" i="2"/>
  <c r="B987" i="2"/>
  <c r="C986" i="2"/>
  <c r="B986" i="2"/>
  <c r="C985" i="2"/>
  <c r="B985" i="2"/>
  <c r="C984" i="2"/>
  <c r="B984" i="2"/>
  <c r="C983" i="2"/>
  <c r="B983" i="2"/>
  <c r="C982" i="2"/>
  <c r="B982" i="2"/>
  <c r="C981" i="2"/>
  <c r="B981" i="2"/>
  <c r="C980" i="2"/>
  <c r="B980" i="2"/>
  <c r="C979" i="2"/>
  <c r="B979" i="2"/>
  <c r="C978" i="2"/>
  <c r="B978" i="2"/>
  <c r="C977" i="2"/>
  <c r="B977" i="2"/>
  <c r="C976" i="2"/>
  <c r="B976" i="2"/>
  <c r="C975" i="2"/>
  <c r="B975" i="2"/>
  <c r="C974" i="2"/>
  <c r="B974" i="2"/>
  <c r="C973" i="2"/>
  <c r="B973" i="2"/>
  <c r="C972" i="2"/>
  <c r="B972" i="2"/>
  <c r="C971" i="2"/>
  <c r="B971" i="2"/>
  <c r="C970" i="2"/>
  <c r="B970" i="2"/>
  <c r="C969" i="2"/>
  <c r="B969" i="2"/>
  <c r="C968" i="2"/>
  <c r="B968" i="2"/>
  <c r="C967" i="2"/>
  <c r="B967" i="2"/>
  <c r="C966" i="2"/>
  <c r="B966" i="2"/>
  <c r="C965" i="2"/>
  <c r="B965" i="2"/>
  <c r="C964" i="2"/>
  <c r="B964" i="2"/>
  <c r="C963" i="2"/>
  <c r="B963" i="2"/>
  <c r="C962" i="2"/>
  <c r="B962" i="2"/>
  <c r="C961" i="2"/>
  <c r="B961" i="2"/>
  <c r="C960" i="2"/>
  <c r="B960" i="2"/>
  <c r="C959" i="2"/>
  <c r="B959" i="2"/>
  <c r="C958" i="2"/>
  <c r="B958" i="2"/>
  <c r="C957" i="2"/>
  <c r="B957" i="2"/>
  <c r="C956" i="2"/>
  <c r="B956" i="2"/>
  <c r="C955" i="2"/>
  <c r="B955" i="2"/>
  <c r="C954" i="2"/>
  <c r="B954" i="2"/>
  <c r="C953" i="2"/>
  <c r="B953" i="2"/>
  <c r="C952" i="2"/>
  <c r="B952" i="2"/>
  <c r="C951" i="2"/>
  <c r="B951" i="2"/>
  <c r="C950" i="2"/>
  <c r="B950" i="2"/>
  <c r="C949" i="2"/>
  <c r="B949" i="2"/>
  <c r="C948" i="2"/>
  <c r="B948" i="2"/>
  <c r="C947" i="2"/>
  <c r="B947" i="2"/>
  <c r="C946" i="2"/>
  <c r="B946" i="2"/>
  <c r="C945" i="2"/>
  <c r="B945" i="2"/>
  <c r="C944" i="2"/>
  <c r="B944" i="2"/>
  <c r="C943" i="2"/>
  <c r="B943" i="2"/>
  <c r="C942" i="2"/>
  <c r="B942" i="2"/>
  <c r="C941" i="2"/>
  <c r="B941" i="2"/>
  <c r="C940" i="2"/>
  <c r="B940" i="2"/>
  <c r="C939" i="2"/>
  <c r="B939" i="2"/>
  <c r="C938" i="2"/>
  <c r="B938" i="2"/>
  <c r="C937" i="2"/>
  <c r="B937" i="2"/>
  <c r="C936" i="2"/>
  <c r="B936" i="2"/>
  <c r="C935" i="2"/>
  <c r="B935" i="2"/>
  <c r="C934" i="2"/>
  <c r="B934" i="2"/>
  <c r="C933" i="2"/>
  <c r="B933" i="2"/>
  <c r="C932" i="2"/>
  <c r="B932" i="2"/>
  <c r="C931" i="2"/>
  <c r="B931" i="2"/>
  <c r="C930" i="2"/>
  <c r="B930" i="2"/>
  <c r="C929" i="2"/>
  <c r="B929" i="2"/>
  <c r="C928" i="2"/>
  <c r="B928" i="2"/>
  <c r="C927" i="2"/>
  <c r="B927" i="2"/>
  <c r="C926" i="2"/>
  <c r="B926" i="2"/>
  <c r="C925" i="2"/>
  <c r="B925" i="2"/>
  <c r="C924" i="2"/>
  <c r="B924" i="2"/>
  <c r="C923" i="2"/>
  <c r="B923" i="2"/>
  <c r="C922" i="2"/>
  <c r="B922" i="2"/>
  <c r="C921" i="2"/>
  <c r="B921" i="2"/>
  <c r="C920" i="2"/>
  <c r="B920" i="2"/>
  <c r="C919" i="2"/>
  <c r="B919" i="2"/>
  <c r="C918" i="2"/>
  <c r="B918" i="2"/>
  <c r="C917" i="2"/>
  <c r="B917" i="2"/>
  <c r="C916" i="2"/>
  <c r="B916" i="2"/>
  <c r="C915" i="2"/>
  <c r="B915" i="2"/>
  <c r="C914" i="2"/>
  <c r="B914" i="2"/>
  <c r="C913" i="2"/>
  <c r="B913" i="2"/>
  <c r="C912" i="2"/>
  <c r="B912" i="2"/>
  <c r="C911" i="2"/>
  <c r="B911" i="2"/>
  <c r="C910" i="2"/>
  <c r="B910" i="2"/>
  <c r="C909" i="2"/>
  <c r="B909" i="2"/>
  <c r="C908" i="2"/>
  <c r="B908" i="2"/>
  <c r="C907" i="2"/>
  <c r="B907" i="2"/>
  <c r="C906" i="2"/>
  <c r="B906" i="2"/>
  <c r="C905" i="2"/>
  <c r="B905" i="2"/>
  <c r="C904" i="2"/>
  <c r="B904" i="2"/>
  <c r="C903" i="2"/>
  <c r="B903" i="2"/>
  <c r="C902" i="2"/>
  <c r="B902" i="2"/>
  <c r="C901" i="2"/>
  <c r="B901" i="2"/>
  <c r="C900" i="2"/>
  <c r="B900" i="2"/>
  <c r="C899" i="2"/>
  <c r="B899" i="2"/>
  <c r="C898" i="2"/>
  <c r="B898" i="2"/>
  <c r="C897" i="2"/>
  <c r="B897" i="2"/>
  <c r="C896" i="2"/>
  <c r="B896" i="2"/>
  <c r="C895" i="2"/>
  <c r="B895" i="2"/>
  <c r="C894" i="2"/>
  <c r="B894" i="2"/>
  <c r="C893" i="2"/>
  <c r="B893" i="2"/>
  <c r="C892" i="2"/>
  <c r="B892" i="2"/>
  <c r="C891" i="2"/>
  <c r="B891" i="2"/>
  <c r="C890" i="2"/>
  <c r="B890" i="2"/>
  <c r="C889" i="2"/>
  <c r="B889" i="2"/>
  <c r="C888" i="2"/>
  <c r="B888" i="2"/>
  <c r="C887" i="2"/>
  <c r="B887" i="2"/>
  <c r="C886" i="2"/>
  <c r="B886" i="2"/>
  <c r="C885" i="2"/>
  <c r="B885" i="2"/>
  <c r="C884" i="2"/>
  <c r="B884" i="2"/>
  <c r="C883" i="2"/>
  <c r="B883" i="2"/>
  <c r="C882" i="2"/>
  <c r="B882" i="2"/>
  <c r="C881" i="2"/>
  <c r="B881" i="2"/>
  <c r="C880" i="2"/>
  <c r="B880" i="2"/>
  <c r="C879" i="2"/>
  <c r="B879" i="2"/>
  <c r="C878" i="2"/>
  <c r="B878" i="2"/>
  <c r="C877" i="2"/>
  <c r="B877" i="2"/>
  <c r="C876" i="2"/>
  <c r="B876" i="2"/>
  <c r="C875" i="2"/>
  <c r="B875" i="2"/>
  <c r="C874" i="2"/>
  <c r="B874" i="2"/>
  <c r="C873" i="2"/>
  <c r="B873" i="2"/>
  <c r="C872" i="2"/>
  <c r="B872" i="2"/>
  <c r="C871" i="2"/>
  <c r="B871" i="2"/>
  <c r="C870" i="2"/>
  <c r="B870" i="2"/>
  <c r="C869" i="2"/>
  <c r="B869" i="2"/>
  <c r="C868" i="2"/>
  <c r="B868" i="2"/>
  <c r="C867" i="2"/>
  <c r="B867" i="2"/>
  <c r="C866" i="2"/>
  <c r="B866" i="2"/>
  <c r="C865" i="2"/>
  <c r="B865" i="2"/>
  <c r="C864" i="2"/>
  <c r="B864" i="2"/>
  <c r="C863" i="2"/>
  <c r="B863" i="2"/>
  <c r="C862" i="2"/>
  <c r="B862" i="2"/>
  <c r="C861" i="2"/>
  <c r="B861" i="2"/>
  <c r="C860" i="2"/>
  <c r="B860" i="2"/>
  <c r="C859" i="2"/>
  <c r="B859" i="2"/>
  <c r="C858" i="2"/>
  <c r="B858" i="2"/>
  <c r="C857" i="2"/>
  <c r="B857" i="2"/>
  <c r="C856" i="2"/>
  <c r="B856" i="2"/>
  <c r="C855" i="2"/>
  <c r="B855" i="2"/>
  <c r="C854" i="2"/>
  <c r="B854" i="2"/>
  <c r="C853" i="2"/>
  <c r="B853" i="2"/>
  <c r="C852" i="2"/>
  <c r="B852" i="2"/>
  <c r="C851" i="2"/>
  <c r="B851" i="2"/>
  <c r="C850" i="2"/>
  <c r="B850" i="2"/>
  <c r="C849" i="2"/>
  <c r="B849" i="2"/>
  <c r="C848" i="2"/>
  <c r="B848" i="2"/>
  <c r="C847" i="2"/>
  <c r="B847" i="2"/>
  <c r="C846" i="2"/>
  <c r="B846" i="2"/>
  <c r="C845" i="2"/>
  <c r="B845" i="2"/>
  <c r="C844" i="2"/>
  <c r="B844" i="2"/>
  <c r="C843" i="2"/>
  <c r="B843" i="2"/>
  <c r="C842" i="2"/>
  <c r="B842" i="2"/>
  <c r="C841" i="2"/>
  <c r="B841" i="2"/>
  <c r="C840" i="2"/>
  <c r="B840" i="2"/>
  <c r="C839" i="2"/>
  <c r="B839" i="2"/>
  <c r="C838" i="2"/>
  <c r="B838" i="2"/>
  <c r="C837" i="2"/>
  <c r="B837" i="2"/>
  <c r="C836" i="2"/>
  <c r="B836" i="2"/>
  <c r="C835" i="2"/>
  <c r="B835" i="2"/>
  <c r="C834" i="2"/>
  <c r="B834" i="2"/>
  <c r="C833" i="2"/>
  <c r="B833" i="2"/>
  <c r="C832" i="2"/>
  <c r="B832" i="2"/>
  <c r="C831" i="2"/>
  <c r="B831" i="2"/>
  <c r="C830" i="2"/>
  <c r="B830" i="2"/>
  <c r="C829" i="2"/>
  <c r="B829" i="2"/>
  <c r="C828" i="2"/>
  <c r="B828" i="2"/>
  <c r="C827" i="2"/>
  <c r="B827" i="2"/>
  <c r="C826" i="2"/>
  <c r="B826" i="2"/>
  <c r="C825" i="2"/>
  <c r="B825" i="2"/>
  <c r="C824" i="2"/>
  <c r="B824" i="2"/>
  <c r="C823" i="2"/>
  <c r="B823" i="2"/>
  <c r="C822" i="2"/>
  <c r="B822" i="2"/>
  <c r="C821" i="2"/>
  <c r="B821" i="2"/>
  <c r="C820" i="2"/>
  <c r="B820" i="2"/>
  <c r="C819" i="2"/>
  <c r="B819" i="2"/>
  <c r="C818" i="2"/>
  <c r="B818" i="2"/>
  <c r="C817" i="2"/>
  <c r="B817" i="2"/>
  <c r="C816" i="2"/>
  <c r="B816" i="2"/>
  <c r="C815" i="2"/>
  <c r="B815" i="2"/>
  <c r="C814" i="2"/>
  <c r="B814" i="2"/>
  <c r="C813" i="2"/>
  <c r="B813" i="2"/>
  <c r="C812" i="2"/>
  <c r="B812" i="2"/>
  <c r="C811" i="2"/>
  <c r="B811" i="2"/>
  <c r="C810" i="2"/>
  <c r="B810" i="2"/>
  <c r="C809" i="2"/>
  <c r="B809" i="2"/>
  <c r="C808" i="2"/>
  <c r="B808" i="2"/>
  <c r="C807" i="2"/>
  <c r="B807" i="2"/>
  <c r="C806" i="2"/>
  <c r="B806" i="2"/>
  <c r="C805" i="2"/>
  <c r="B805" i="2"/>
  <c r="C804" i="2"/>
  <c r="B804" i="2"/>
  <c r="C803" i="2"/>
  <c r="B803" i="2"/>
  <c r="C802" i="2"/>
  <c r="B802" i="2"/>
  <c r="C801" i="2"/>
  <c r="B801" i="2"/>
  <c r="C800" i="2"/>
  <c r="B800" i="2"/>
  <c r="C799" i="2"/>
  <c r="B799" i="2"/>
  <c r="C798" i="2"/>
  <c r="B798" i="2"/>
  <c r="C797" i="2"/>
  <c r="B797" i="2"/>
  <c r="C796" i="2"/>
  <c r="B796" i="2"/>
  <c r="C795" i="2"/>
  <c r="B795" i="2"/>
  <c r="C794" i="2"/>
  <c r="B794" i="2"/>
  <c r="C793" i="2"/>
  <c r="B793" i="2"/>
  <c r="C792" i="2"/>
  <c r="B792" i="2"/>
  <c r="C791" i="2"/>
  <c r="B791" i="2"/>
  <c r="C790" i="2"/>
  <c r="B790" i="2"/>
  <c r="C789" i="2"/>
  <c r="B789" i="2"/>
  <c r="C788" i="2"/>
  <c r="B788" i="2"/>
  <c r="C787" i="2"/>
  <c r="B787" i="2"/>
  <c r="C786" i="2"/>
  <c r="B786" i="2"/>
  <c r="C785" i="2"/>
  <c r="B785" i="2"/>
  <c r="C784" i="2"/>
  <c r="B784" i="2"/>
  <c r="C783" i="2"/>
  <c r="B783" i="2"/>
  <c r="C782" i="2"/>
  <c r="B782" i="2"/>
  <c r="C781" i="2"/>
  <c r="B781" i="2"/>
  <c r="C780" i="2"/>
  <c r="B780" i="2"/>
  <c r="C779" i="2"/>
  <c r="B779" i="2"/>
  <c r="C778" i="2"/>
  <c r="B778" i="2"/>
  <c r="C777" i="2"/>
  <c r="B777" i="2"/>
  <c r="C776" i="2"/>
  <c r="B776" i="2"/>
  <c r="C775" i="2"/>
  <c r="B775" i="2"/>
  <c r="C774" i="2"/>
  <c r="B774" i="2"/>
  <c r="C773" i="2"/>
  <c r="B773" i="2"/>
  <c r="C772" i="2"/>
  <c r="B772" i="2"/>
  <c r="C771" i="2"/>
  <c r="B771" i="2"/>
  <c r="C770" i="2"/>
  <c r="B770" i="2"/>
  <c r="C769" i="2"/>
  <c r="B769" i="2"/>
  <c r="C768" i="2"/>
  <c r="B768" i="2"/>
  <c r="C767" i="2"/>
  <c r="B767" i="2"/>
  <c r="C766" i="2"/>
  <c r="B766" i="2"/>
  <c r="C765" i="2"/>
  <c r="B765" i="2"/>
  <c r="C764" i="2"/>
  <c r="B764" i="2"/>
  <c r="C763" i="2"/>
  <c r="B763" i="2"/>
  <c r="C762" i="2"/>
  <c r="B762" i="2"/>
  <c r="C761" i="2"/>
  <c r="B761" i="2"/>
  <c r="C760" i="2"/>
  <c r="B760" i="2"/>
  <c r="C759" i="2"/>
  <c r="B759" i="2"/>
  <c r="C758" i="2"/>
  <c r="B758" i="2"/>
  <c r="C757" i="2"/>
  <c r="B757" i="2"/>
  <c r="C756" i="2"/>
  <c r="B756" i="2"/>
  <c r="C755" i="2"/>
  <c r="B755" i="2"/>
  <c r="C754" i="2"/>
  <c r="B754" i="2"/>
  <c r="C753" i="2"/>
  <c r="B753" i="2"/>
  <c r="C752" i="2"/>
  <c r="B752" i="2"/>
  <c r="C751" i="2"/>
  <c r="B751" i="2"/>
  <c r="C750" i="2"/>
  <c r="B750" i="2"/>
  <c r="C749" i="2"/>
  <c r="B749" i="2"/>
  <c r="C748" i="2"/>
  <c r="B748" i="2"/>
  <c r="C747" i="2"/>
  <c r="B747" i="2"/>
  <c r="C746" i="2"/>
  <c r="B746" i="2"/>
  <c r="C745" i="2"/>
  <c r="B745" i="2"/>
  <c r="C744" i="2"/>
  <c r="B744" i="2"/>
  <c r="C743" i="2"/>
  <c r="B743" i="2"/>
  <c r="C742" i="2"/>
  <c r="B742" i="2"/>
  <c r="C741" i="2"/>
  <c r="B741" i="2"/>
  <c r="C740" i="2"/>
  <c r="B740" i="2"/>
  <c r="C739" i="2"/>
  <c r="B739" i="2"/>
  <c r="C738" i="2"/>
  <c r="B738" i="2"/>
  <c r="C737" i="2"/>
  <c r="B737" i="2"/>
  <c r="C736" i="2"/>
  <c r="B736" i="2"/>
  <c r="C735" i="2"/>
  <c r="B735" i="2"/>
  <c r="C734" i="2"/>
  <c r="B734" i="2"/>
  <c r="C733" i="2"/>
  <c r="B733" i="2"/>
  <c r="C732" i="2"/>
  <c r="B732" i="2"/>
  <c r="C731" i="2"/>
  <c r="B731" i="2"/>
  <c r="C730" i="2"/>
  <c r="B730" i="2"/>
  <c r="C729" i="2"/>
  <c r="B729" i="2"/>
  <c r="C728" i="2"/>
  <c r="B728" i="2"/>
  <c r="C727" i="2"/>
  <c r="B727" i="2"/>
  <c r="C726" i="2"/>
  <c r="B726" i="2"/>
  <c r="C725" i="2"/>
  <c r="B725" i="2"/>
  <c r="C724" i="2"/>
  <c r="B724" i="2"/>
  <c r="C723" i="2"/>
  <c r="B723" i="2"/>
  <c r="C722" i="2"/>
  <c r="B722" i="2"/>
  <c r="C721" i="2"/>
  <c r="B721" i="2"/>
  <c r="C720" i="2"/>
  <c r="B720" i="2"/>
  <c r="C719" i="2"/>
  <c r="B719" i="2"/>
  <c r="C718" i="2"/>
  <c r="B718" i="2"/>
  <c r="C717" i="2"/>
  <c r="B717" i="2"/>
  <c r="C716" i="2"/>
  <c r="B716" i="2"/>
  <c r="C715" i="2"/>
  <c r="B715" i="2"/>
  <c r="C714" i="2"/>
  <c r="B714" i="2"/>
  <c r="C713" i="2"/>
  <c r="B713" i="2"/>
  <c r="C712" i="2"/>
  <c r="B712" i="2"/>
  <c r="C711" i="2"/>
  <c r="B711" i="2"/>
  <c r="C710" i="2"/>
  <c r="B710" i="2"/>
  <c r="C709" i="2"/>
  <c r="B709" i="2"/>
  <c r="C708" i="2"/>
  <c r="B708" i="2"/>
  <c r="C707" i="2"/>
  <c r="B707" i="2"/>
  <c r="C706" i="2"/>
  <c r="B706" i="2"/>
  <c r="C705" i="2"/>
  <c r="B705" i="2"/>
  <c r="C704" i="2"/>
  <c r="B704" i="2"/>
  <c r="C703" i="2"/>
  <c r="B703" i="2"/>
  <c r="C702" i="2"/>
  <c r="B702" i="2"/>
  <c r="C701" i="2"/>
  <c r="B701" i="2"/>
  <c r="C700" i="2"/>
  <c r="B700" i="2"/>
  <c r="C699" i="2"/>
  <c r="B699" i="2"/>
  <c r="C698" i="2"/>
  <c r="B698" i="2"/>
  <c r="C697" i="2"/>
  <c r="B697" i="2"/>
  <c r="C696" i="2"/>
  <c r="B696" i="2"/>
  <c r="C695" i="2"/>
  <c r="B695" i="2"/>
  <c r="C694" i="2"/>
  <c r="B694" i="2"/>
  <c r="C693" i="2"/>
  <c r="B693" i="2"/>
  <c r="C692" i="2"/>
  <c r="B692" i="2"/>
  <c r="C691" i="2"/>
  <c r="B691" i="2"/>
  <c r="C690" i="2"/>
  <c r="B690" i="2"/>
  <c r="C689" i="2"/>
  <c r="B689" i="2"/>
  <c r="C688" i="2"/>
  <c r="B688" i="2"/>
  <c r="C687" i="2"/>
  <c r="B687" i="2"/>
  <c r="C686" i="2"/>
  <c r="B686" i="2"/>
  <c r="C685" i="2"/>
  <c r="B685" i="2"/>
  <c r="C684" i="2"/>
  <c r="B684" i="2"/>
  <c r="C683" i="2"/>
  <c r="B683" i="2"/>
  <c r="C682" i="2"/>
  <c r="B682" i="2"/>
  <c r="C681" i="2"/>
  <c r="B681" i="2"/>
  <c r="C680" i="2"/>
  <c r="B680" i="2"/>
  <c r="C679" i="2"/>
  <c r="B679" i="2"/>
  <c r="C678" i="2"/>
  <c r="B678" i="2"/>
  <c r="C677" i="2"/>
  <c r="B677" i="2"/>
  <c r="C676" i="2"/>
  <c r="B676" i="2"/>
  <c r="C675" i="2"/>
  <c r="B675" i="2"/>
  <c r="C674" i="2"/>
  <c r="B674" i="2"/>
  <c r="C673" i="2"/>
  <c r="B673" i="2"/>
  <c r="C672" i="2"/>
  <c r="B672" i="2"/>
  <c r="C671" i="2"/>
  <c r="B671" i="2"/>
  <c r="C670" i="2"/>
  <c r="B670" i="2"/>
  <c r="C669" i="2"/>
  <c r="B669" i="2"/>
  <c r="C668" i="2"/>
  <c r="B668" i="2"/>
  <c r="C667" i="2"/>
  <c r="B667" i="2"/>
  <c r="C666" i="2"/>
  <c r="B666" i="2"/>
  <c r="C665" i="2"/>
  <c r="B665" i="2"/>
  <c r="C664" i="2"/>
  <c r="B664" i="2"/>
  <c r="C663" i="2"/>
  <c r="B663" i="2"/>
  <c r="C662" i="2"/>
  <c r="B662" i="2"/>
  <c r="C661" i="2"/>
  <c r="B661" i="2"/>
  <c r="C660" i="2"/>
  <c r="B660" i="2"/>
  <c r="C659" i="2"/>
  <c r="B659" i="2"/>
  <c r="C658" i="2"/>
  <c r="B658" i="2"/>
  <c r="C657" i="2"/>
  <c r="B657" i="2"/>
  <c r="C656" i="2"/>
  <c r="B656" i="2"/>
  <c r="C655" i="2"/>
  <c r="B655" i="2"/>
  <c r="C654" i="2"/>
  <c r="B654" i="2"/>
  <c r="C653" i="2"/>
  <c r="B653" i="2"/>
  <c r="C652" i="2"/>
  <c r="B652" i="2"/>
  <c r="C651" i="2"/>
  <c r="B651" i="2"/>
  <c r="C650" i="2"/>
  <c r="B650" i="2"/>
  <c r="C649" i="2"/>
  <c r="B649" i="2"/>
  <c r="C648" i="2"/>
  <c r="B648" i="2"/>
  <c r="C647" i="2"/>
  <c r="B647" i="2"/>
  <c r="C646" i="2"/>
  <c r="B646" i="2"/>
  <c r="C645" i="2"/>
  <c r="B645" i="2"/>
  <c r="C644" i="2"/>
  <c r="B644" i="2"/>
  <c r="C643" i="2"/>
  <c r="B643" i="2"/>
  <c r="C642" i="2"/>
  <c r="B642" i="2"/>
  <c r="C641" i="2"/>
  <c r="B641" i="2"/>
  <c r="C640" i="2"/>
  <c r="B640" i="2"/>
  <c r="C639" i="2"/>
  <c r="B639" i="2"/>
  <c r="C638" i="2"/>
  <c r="B638" i="2"/>
  <c r="C637" i="2"/>
  <c r="B637" i="2"/>
  <c r="C636" i="2"/>
  <c r="B636" i="2"/>
  <c r="C635" i="2"/>
  <c r="B635" i="2"/>
  <c r="C634" i="2"/>
  <c r="B634" i="2"/>
  <c r="C633" i="2"/>
  <c r="B633" i="2"/>
  <c r="C632" i="2"/>
  <c r="B632" i="2"/>
  <c r="C631" i="2"/>
  <c r="B631" i="2"/>
  <c r="C630" i="2"/>
  <c r="B630" i="2"/>
  <c r="C629" i="2"/>
  <c r="B629" i="2"/>
  <c r="C628" i="2"/>
  <c r="B628" i="2"/>
  <c r="C627" i="2"/>
  <c r="B627" i="2"/>
  <c r="C626" i="2"/>
  <c r="B626" i="2"/>
  <c r="C625" i="2"/>
  <c r="B625" i="2"/>
  <c r="C624" i="2"/>
  <c r="B624" i="2"/>
  <c r="C623" i="2"/>
  <c r="B623" i="2"/>
  <c r="C622" i="2"/>
  <c r="B622" i="2"/>
  <c r="C621" i="2"/>
  <c r="B621" i="2"/>
  <c r="C620" i="2"/>
  <c r="B620" i="2"/>
  <c r="C619" i="2"/>
  <c r="B619" i="2"/>
  <c r="C618" i="2"/>
  <c r="B618" i="2"/>
  <c r="C617" i="2"/>
  <c r="B617" i="2"/>
  <c r="C616" i="2"/>
  <c r="B616" i="2"/>
  <c r="C615" i="2"/>
  <c r="B615" i="2"/>
  <c r="C614" i="2"/>
  <c r="B614" i="2"/>
  <c r="C613" i="2"/>
  <c r="B613" i="2"/>
  <c r="C612" i="2"/>
  <c r="B612" i="2"/>
  <c r="C611" i="2"/>
  <c r="B611" i="2"/>
  <c r="C610" i="2"/>
  <c r="B610" i="2"/>
  <c r="C609" i="2"/>
  <c r="B609" i="2"/>
  <c r="C608" i="2"/>
  <c r="B608" i="2"/>
  <c r="C607" i="2"/>
  <c r="B607" i="2"/>
  <c r="C606" i="2"/>
  <c r="B606" i="2"/>
  <c r="C605" i="2"/>
  <c r="B605" i="2"/>
  <c r="C604" i="2"/>
  <c r="B604" i="2"/>
  <c r="C603" i="2"/>
  <c r="B603" i="2"/>
  <c r="C602" i="2"/>
  <c r="B602" i="2"/>
  <c r="C601" i="2"/>
  <c r="B601" i="2"/>
  <c r="C600" i="2"/>
  <c r="B600" i="2"/>
  <c r="C599" i="2"/>
  <c r="B599" i="2"/>
  <c r="C598" i="2"/>
  <c r="B598" i="2"/>
  <c r="C597" i="2"/>
  <c r="B597" i="2"/>
  <c r="C596" i="2"/>
  <c r="B596" i="2"/>
  <c r="C595" i="2"/>
  <c r="B595" i="2"/>
  <c r="C594" i="2"/>
  <c r="B594" i="2"/>
  <c r="C593" i="2"/>
  <c r="B593" i="2"/>
  <c r="C592" i="2"/>
  <c r="B592" i="2"/>
  <c r="C591" i="2"/>
  <c r="B591" i="2"/>
  <c r="C590" i="2"/>
  <c r="B590" i="2"/>
  <c r="C589" i="2"/>
  <c r="B589" i="2"/>
  <c r="C588" i="2"/>
  <c r="B588" i="2"/>
  <c r="C587" i="2"/>
  <c r="B587" i="2"/>
  <c r="C586" i="2"/>
  <c r="B586" i="2"/>
  <c r="C585" i="2"/>
  <c r="B585" i="2"/>
  <c r="C584" i="2"/>
  <c r="B584" i="2"/>
  <c r="C583" i="2"/>
  <c r="B583" i="2"/>
  <c r="C582" i="2"/>
  <c r="B582" i="2"/>
  <c r="C581" i="2"/>
  <c r="B581" i="2"/>
  <c r="C580" i="2"/>
  <c r="B580" i="2"/>
  <c r="C579" i="2"/>
  <c r="B579" i="2"/>
  <c r="C578" i="2"/>
  <c r="B578" i="2"/>
  <c r="C577" i="2"/>
  <c r="B577" i="2"/>
  <c r="C576" i="2"/>
  <c r="B576" i="2"/>
  <c r="C575" i="2"/>
  <c r="B575" i="2"/>
  <c r="C574" i="2"/>
  <c r="B574" i="2"/>
  <c r="C573" i="2"/>
  <c r="B573" i="2"/>
  <c r="C572" i="2"/>
  <c r="B572" i="2"/>
  <c r="C571" i="2"/>
  <c r="B571" i="2"/>
  <c r="C570" i="2"/>
  <c r="B570" i="2"/>
  <c r="C569" i="2"/>
  <c r="B569" i="2"/>
  <c r="C568" i="2"/>
  <c r="B568" i="2"/>
  <c r="C567" i="2"/>
  <c r="B567" i="2"/>
  <c r="C566" i="2"/>
  <c r="B566" i="2"/>
  <c r="C565" i="2"/>
  <c r="B565" i="2"/>
  <c r="C564" i="2"/>
  <c r="B564" i="2"/>
  <c r="C563" i="2"/>
  <c r="B563" i="2"/>
  <c r="C562" i="2"/>
  <c r="B562" i="2"/>
  <c r="C561" i="2"/>
  <c r="B561" i="2"/>
  <c r="C560" i="2"/>
  <c r="B560" i="2"/>
  <c r="C559" i="2"/>
  <c r="B559" i="2"/>
  <c r="C558" i="2"/>
  <c r="B558" i="2"/>
  <c r="C557" i="2"/>
  <c r="B557" i="2"/>
  <c r="C556" i="2"/>
  <c r="B556" i="2"/>
  <c r="C555" i="2"/>
  <c r="B555" i="2"/>
  <c r="C554" i="2"/>
  <c r="B554" i="2"/>
  <c r="C553" i="2"/>
  <c r="B553" i="2"/>
  <c r="C552" i="2"/>
  <c r="B552" i="2"/>
  <c r="C551" i="2"/>
  <c r="B551" i="2"/>
  <c r="C550" i="2"/>
  <c r="B550" i="2"/>
  <c r="C549" i="2"/>
  <c r="B549" i="2"/>
  <c r="C548" i="2"/>
  <c r="B548" i="2"/>
  <c r="C547" i="2"/>
  <c r="B547" i="2"/>
  <c r="C546" i="2"/>
  <c r="B546" i="2"/>
  <c r="C545" i="2"/>
  <c r="B545" i="2"/>
  <c r="C544" i="2"/>
  <c r="B544" i="2"/>
  <c r="C543" i="2"/>
  <c r="B543" i="2"/>
  <c r="C542" i="2"/>
  <c r="B542" i="2"/>
  <c r="C541" i="2"/>
  <c r="B541" i="2"/>
  <c r="C540" i="2"/>
  <c r="B540" i="2"/>
  <c r="C539" i="2"/>
  <c r="B539" i="2"/>
  <c r="C538" i="2"/>
  <c r="B538" i="2"/>
  <c r="C537" i="2"/>
  <c r="B537" i="2"/>
  <c r="C536" i="2"/>
  <c r="B536" i="2"/>
  <c r="C535" i="2"/>
  <c r="B535" i="2"/>
  <c r="C534" i="2"/>
  <c r="B534" i="2"/>
  <c r="C533" i="2"/>
  <c r="B533" i="2"/>
  <c r="C532" i="2"/>
  <c r="B532" i="2"/>
  <c r="C531" i="2"/>
  <c r="B531" i="2"/>
  <c r="C530" i="2"/>
  <c r="B530" i="2"/>
  <c r="C529" i="2"/>
  <c r="B529" i="2"/>
  <c r="C528" i="2"/>
  <c r="B528" i="2"/>
  <c r="C527" i="2"/>
  <c r="B527" i="2"/>
  <c r="C526" i="2"/>
  <c r="B526" i="2"/>
  <c r="C525" i="2"/>
  <c r="B525" i="2"/>
  <c r="C524" i="2"/>
  <c r="B524" i="2"/>
  <c r="C523" i="2"/>
  <c r="B523" i="2"/>
  <c r="C522" i="2"/>
  <c r="B522" i="2"/>
  <c r="C521" i="2"/>
  <c r="B521" i="2"/>
  <c r="C520" i="2"/>
  <c r="B520" i="2"/>
  <c r="C519" i="2"/>
  <c r="B519" i="2"/>
  <c r="C518" i="2"/>
  <c r="B518" i="2"/>
  <c r="C517" i="2"/>
  <c r="B517" i="2"/>
  <c r="C516" i="2"/>
  <c r="B516" i="2"/>
  <c r="C515" i="2"/>
  <c r="B515" i="2"/>
  <c r="C514" i="2"/>
  <c r="B514" i="2"/>
  <c r="C513" i="2"/>
  <c r="B513" i="2"/>
  <c r="C512" i="2"/>
  <c r="B512" i="2"/>
  <c r="C511" i="2"/>
  <c r="B511" i="2"/>
  <c r="C510" i="2"/>
  <c r="B510" i="2"/>
  <c r="C509" i="2"/>
  <c r="B509" i="2"/>
  <c r="C508" i="2"/>
  <c r="B508" i="2"/>
  <c r="C507" i="2"/>
  <c r="B507" i="2"/>
  <c r="C506" i="2"/>
  <c r="B506" i="2"/>
  <c r="C505" i="2"/>
  <c r="B505" i="2"/>
  <c r="C504" i="2"/>
  <c r="B504" i="2"/>
  <c r="C503" i="2"/>
  <c r="B503" i="2"/>
  <c r="C502" i="2"/>
  <c r="B502" i="2"/>
  <c r="C501" i="2"/>
  <c r="B501" i="2"/>
  <c r="C500" i="2"/>
  <c r="B500" i="2"/>
  <c r="C499" i="2"/>
  <c r="B499" i="2"/>
  <c r="C498" i="2"/>
  <c r="B498" i="2"/>
  <c r="C497" i="2"/>
  <c r="B497" i="2"/>
  <c r="C496" i="2"/>
  <c r="B496" i="2"/>
  <c r="C495" i="2"/>
  <c r="B495" i="2"/>
  <c r="C494" i="2"/>
  <c r="B494" i="2"/>
  <c r="C493" i="2"/>
  <c r="B493" i="2"/>
  <c r="C492" i="2"/>
  <c r="B492" i="2"/>
  <c r="C491" i="2"/>
  <c r="B491" i="2"/>
  <c r="C490" i="2"/>
  <c r="B490" i="2"/>
  <c r="C489" i="2"/>
  <c r="B489" i="2"/>
  <c r="C488" i="2"/>
  <c r="B488" i="2"/>
  <c r="C487" i="2"/>
  <c r="B487" i="2"/>
  <c r="C486" i="2"/>
  <c r="B486" i="2"/>
  <c r="C485" i="2"/>
  <c r="B485" i="2"/>
  <c r="C484" i="2"/>
  <c r="B484" i="2"/>
  <c r="C483" i="2"/>
  <c r="B483" i="2"/>
  <c r="C482" i="2"/>
  <c r="B482" i="2"/>
  <c r="C481" i="2"/>
  <c r="B481" i="2"/>
  <c r="C480" i="2"/>
  <c r="B480" i="2"/>
  <c r="C479" i="2"/>
  <c r="B479" i="2"/>
  <c r="C478" i="2"/>
  <c r="B478" i="2"/>
  <c r="C477" i="2"/>
  <c r="B477" i="2"/>
  <c r="C476" i="2"/>
  <c r="B476" i="2"/>
  <c r="C475" i="2"/>
  <c r="B475" i="2"/>
  <c r="C474" i="2"/>
  <c r="B474" i="2"/>
  <c r="C473" i="2"/>
  <c r="B473" i="2"/>
  <c r="C472" i="2"/>
  <c r="B472" i="2"/>
  <c r="C471" i="2"/>
  <c r="B471" i="2"/>
  <c r="C470" i="2"/>
  <c r="B470" i="2"/>
  <c r="C469" i="2"/>
  <c r="B469" i="2"/>
  <c r="C468" i="2"/>
  <c r="B468" i="2"/>
  <c r="C467" i="2"/>
  <c r="B467" i="2"/>
  <c r="C466" i="2"/>
  <c r="B466" i="2"/>
  <c r="C465" i="2"/>
  <c r="B465" i="2"/>
  <c r="C464" i="2"/>
  <c r="B464" i="2"/>
  <c r="C463" i="2"/>
  <c r="B463" i="2"/>
  <c r="C462" i="2"/>
  <c r="B462" i="2"/>
  <c r="C461" i="2"/>
  <c r="B461" i="2"/>
  <c r="C460" i="2"/>
  <c r="B460" i="2"/>
  <c r="C459" i="2"/>
  <c r="B459" i="2"/>
  <c r="C458" i="2"/>
  <c r="B458" i="2"/>
  <c r="C457" i="2"/>
  <c r="B457" i="2"/>
  <c r="C456" i="2"/>
  <c r="B456" i="2"/>
  <c r="C455" i="2"/>
  <c r="B455" i="2"/>
  <c r="C454" i="2"/>
  <c r="B454" i="2"/>
  <c r="C453" i="2"/>
  <c r="B453" i="2"/>
  <c r="C452" i="2"/>
  <c r="B452" i="2"/>
  <c r="C451" i="2"/>
  <c r="B451" i="2"/>
  <c r="C450" i="2"/>
  <c r="B450" i="2"/>
  <c r="C449" i="2"/>
  <c r="B449" i="2"/>
  <c r="C448" i="2"/>
  <c r="B448" i="2"/>
  <c r="C447" i="2"/>
  <c r="B447" i="2"/>
  <c r="C446" i="2"/>
  <c r="B446" i="2"/>
  <c r="C445" i="2"/>
  <c r="B445" i="2"/>
  <c r="C444" i="2"/>
  <c r="B444" i="2"/>
  <c r="C443" i="2"/>
  <c r="B443" i="2"/>
  <c r="C442" i="2"/>
  <c r="B442" i="2"/>
  <c r="C441" i="2"/>
  <c r="B441" i="2"/>
  <c r="C440" i="2"/>
  <c r="B440" i="2"/>
  <c r="C439" i="2"/>
  <c r="B439" i="2"/>
  <c r="C438" i="2"/>
  <c r="B438" i="2"/>
  <c r="C437" i="2"/>
  <c r="B437" i="2"/>
  <c r="C436" i="2"/>
  <c r="B436" i="2"/>
  <c r="C435" i="2"/>
  <c r="B435" i="2"/>
  <c r="C434" i="2"/>
  <c r="B434" i="2"/>
  <c r="C433" i="2"/>
  <c r="B433" i="2"/>
  <c r="C432" i="2"/>
  <c r="B432" i="2"/>
  <c r="C431" i="2"/>
  <c r="B431" i="2"/>
  <c r="C430" i="2"/>
  <c r="B430" i="2"/>
  <c r="C429" i="2"/>
  <c r="B429" i="2"/>
  <c r="C428" i="2"/>
  <c r="B428" i="2"/>
  <c r="C427" i="2"/>
  <c r="B427" i="2"/>
  <c r="C426" i="2"/>
  <c r="B426" i="2"/>
  <c r="C425" i="2"/>
  <c r="B425" i="2"/>
  <c r="C424" i="2"/>
  <c r="B424" i="2"/>
  <c r="C423" i="2"/>
  <c r="B423" i="2"/>
  <c r="C422" i="2"/>
  <c r="B422" i="2"/>
  <c r="C421" i="2"/>
  <c r="B421" i="2"/>
  <c r="C420" i="2"/>
  <c r="B420" i="2"/>
  <c r="C419" i="2"/>
  <c r="B419" i="2"/>
  <c r="C418" i="2"/>
  <c r="B418" i="2"/>
  <c r="C417" i="2"/>
  <c r="B417" i="2"/>
  <c r="C416" i="2"/>
  <c r="B416" i="2"/>
  <c r="C415" i="2"/>
  <c r="B415" i="2"/>
  <c r="C414" i="2"/>
  <c r="B414" i="2"/>
  <c r="C413" i="2"/>
  <c r="B413" i="2"/>
  <c r="C412" i="2"/>
  <c r="B412" i="2"/>
  <c r="C411" i="2"/>
  <c r="B411" i="2"/>
  <c r="C410" i="2"/>
  <c r="B410" i="2"/>
  <c r="C409" i="2"/>
  <c r="B409" i="2"/>
  <c r="C408" i="2"/>
  <c r="B408" i="2"/>
  <c r="C407" i="2"/>
  <c r="B407" i="2"/>
  <c r="C406" i="2"/>
  <c r="B406" i="2"/>
  <c r="C405" i="2"/>
  <c r="B405" i="2"/>
  <c r="C404" i="2"/>
  <c r="B404" i="2"/>
  <c r="C403" i="2"/>
  <c r="B403" i="2"/>
  <c r="C402" i="2"/>
  <c r="B402" i="2"/>
  <c r="C401" i="2"/>
  <c r="B401" i="2"/>
  <c r="C400" i="2"/>
  <c r="B400" i="2"/>
  <c r="C399" i="2"/>
  <c r="B399" i="2"/>
  <c r="C398" i="2"/>
  <c r="B398" i="2"/>
  <c r="C397" i="2"/>
  <c r="B397" i="2"/>
  <c r="C396" i="2"/>
  <c r="B396" i="2"/>
  <c r="C395" i="2"/>
  <c r="B395" i="2"/>
  <c r="C394" i="2"/>
  <c r="B394" i="2"/>
  <c r="C393" i="2"/>
  <c r="B393" i="2"/>
  <c r="C392" i="2"/>
  <c r="B392" i="2"/>
  <c r="C391" i="2"/>
  <c r="B391" i="2"/>
  <c r="C390" i="2"/>
  <c r="B390" i="2"/>
  <c r="C389" i="2"/>
  <c r="B389" i="2"/>
  <c r="C388" i="2"/>
  <c r="B388" i="2"/>
  <c r="C387" i="2"/>
  <c r="B387" i="2"/>
  <c r="C386" i="2"/>
  <c r="B386" i="2"/>
  <c r="C385" i="2"/>
  <c r="B385" i="2"/>
  <c r="C384" i="2"/>
  <c r="B384" i="2"/>
  <c r="C383" i="2"/>
  <c r="B383" i="2"/>
  <c r="C382" i="2"/>
  <c r="B382" i="2"/>
  <c r="C381" i="2"/>
  <c r="B381" i="2"/>
  <c r="C380" i="2"/>
  <c r="B380" i="2"/>
  <c r="C379" i="2"/>
  <c r="B379" i="2"/>
  <c r="C378" i="2"/>
  <c r="B378" i="2"/>
  <c r="C377" i="2"/>
  <c r="B377" i="2"/>
  <c r="C376" i="2"/>
  <c r="B376" i="2"/>
  <c r="C375" i="2"/>
  <c r="B375" i="2"/>
  <c r="C374" i="2"/>
  <c r="B374" i="2"/>
  <c r="C373" i="2"/>
  <c r="B373" i="2"/>
  <c r="C372" i="2"/>
  <c r="B372" i="2"/>
  <c r="C371" i="2"/>
  <c r="B371" i="2"/>
  <c r="C370" i="2"/>
  <c r="B370" i="2"/>
  <c r="C369" i="2"/>
  <c r="B369" i="2"/>
  <c r="C368" i="2"/>
  <c r="B368" i="2"/>
  <c r="C367" i="2"/>
  <c r="B367" i="2"/>
  <c r="C366" i="2"/>
  <c r="B366" i="2"/>
  <c r="C365" i="2"/>
  <c r="B365" i="2"/>
  <c r="C364" i="2"/>
  <c r="B364" i="2"/>
  <c r="C363" i="2"/>
  <c r="B363" i="2"/>
  <c r="C362" i="2"/>
  <c r="B362" i="2"/>
  <c r="C361" i="2"/>
  <c r="B361" i="2"/>
  <c r="C360" i="2"/>
  <c r="B360" i="2"/>
  <c r="C359" i="2"/>
  <c r="B359" i="2"/>
  <c r="C358" i="2"/>
  <c r="B358" i="2"/>
  <c r="C357" i="2"/>
  <c r="B357" i="2"/>
  <c r="C356" i="2"/>
  <c r="B356" i="2"/>
  <c r="C355" i="2"/>
  <c r="B355" i="2"/>
  <c r="C354" i="2"/>
  <c r="B354" i="2"/>
  <c r="C353" i="2"/>
  <c r="B353" i="2"/>
  <c r="C352" i="2"/>
  <c r="B352" i="2"/>
  <c r="C351" i="2"/>
  <c r="B351" i="2"/>
  <c r="C350" i="2"/>
  <c r="B350" i="2"/>
  <c r="C349" i="2"/>
  <c r="B349" i="2"/>
  <c r="C348" i="2"/>
  <c r="B348" i="2"/>
  <c r="C347" i="2"/>
  <c r="B347" i="2"/>
  <c r="C346" i="2"/>
  <c r="B346" i="2"/>
  <c r="C345" i="2"/>
  <c r="B345" i="2"/>
  <c r="C344" i="2"/>
  <c r="B344" i="2"/>
  <c r="C343" i="2"/>
  <c r="B343" i="2"/>
  <c r="C342" i="2"/>
  <c r="B342" i="2"/>
  <c r="C341" i="2"/>
  <c r="B341" i="2"/>
  <c r="C340" i="2"/>
  <c r="B340" i="2"/>
  <c r="C339" i="2"/>
  <c r="B339" i="2"/>
  <c r="C338" i="2"/>
  <c r="B338" i="2"/>
  <c r="C337" i="2"/>
  <c r="B337" i="2"/>
  <c r="C336" i="2"/>
  <c r="B336" i="2"/>
  <c r="C335" i="2"/>
  <c r="B335" i="2"/>
  <c r="C334" i="2"/>
  <c r="B334" i="2"/>
  <c r="C333" i="2"/>
  <c r="B333" i="2"/>
  <c r="C332" i="2"/>
  <c r="B332" i="2"/>
  <c r="C331" i="2"/>
  <c r="B331" i="2"/>
  <c r="C330" i="2"/>
  <c r="B330" i="2"/>
  <c r="C329" i="2"/>
  <c r="B329" i="2"/>
  <c r="C328" i="2"/>
  <c r="B328" i="2"/>
  <c r="C327" i="2"/>
  <c r="B327" i="2"/>
  <c r="C326" i="2"/>
  <c r="B326" i="2"/>
  <c r="C325" i="2"/>
  <c r="B325" i="2"/>
  <c r="C324" i="2"/>
  <c r="B324" i="2"/>
  <c r="C323" i="2"/>
  <c r="B323" i="2"/>
  <c r="C322" i="2"/>
  <c r="B322" i="2"/>
  <c r="C321" i="2"/>
  <c r="B321" i="2"/>
  <c r="C320" i="2"/>
  <c r="B320" i="2"/>
  <c r="C319" i="2"/>
  <c r="B319" i="2"/>
  <c r="C318" i="2"/>
  <c r="B318" i="2"/>
  <c r="C317" i="2"/>
  <c r="B317" i="2"/>
  <c r="C316" i="2"/>
  <c r="B316" i="2"/>
  <c r="C315" i="2"/>
  <c r="B315" i="2"/>
  <c r="C314" i="2"/>
  <c r="B314" i="2"/>
  <c r="C313" i="2"/>
  <c r="B313" i="2"/>
  <c r="C312" i="2"/>
  <c r="B312" i="2"/>
  <c r="C311" i="2"/>
  <c r="B311" i="2"/>
  <c r="C310" i="2"/>
  <c r="B310" i="2"/>
  <c r="C309" i="2"/>
  <c r="B309" i="2"/>
  <c r="C308" i="2"/>
  <c r="B308" i="2"/>
  <c r="C307" i="2"/>
  <c r="B307" i="2"/>
  <c r="C306" i="2"/>
  <c r="B306" i="2"/>
  <c r="C305" i="2"/>
  <c r="B305" i="2"/>
  <c r="C304" i="2"/>
  <c r="B304" i="2"/>
  <c r="C303" i="2"/>
  <c r="B303" i="2"/>
  <c r="C302" i="2"/>
  <c r="B302" i="2"/>
  <c r="C301" i="2"/>
  <c r="B301" i="2"/>
  <c r="C300" i="2"/>
  <c r="B300" i="2"/>
  <c r="C299" i="2"/>
  <c r="B299" i="2"/>
  <c r="C298" i="2"/>
  <c r="B298" i="2"/>
  <c r="C297" i="2"/>
  <c r="B297" i="2"/>
  <c r="C296" i="2"/>
  <c r="B296" i="2"/>
  <c r="C295" i="2"/>
  <c r="B295" i="2"/>
  <c r="C294" i="2"/>
  <c r="B294" i="2"/>
  <c r="C293" i="2"/>
  <c r="B293" i="2"/>
  <c r="C292" i="2"/>
  <c r="B292" i="2"/>
  <c r="C291" i="2"/>
  <c r="B291" i="2"/>
  <c r="C290" i="2"/>
  <c r="B290" i="2"/>
  <c r="C289" i="2"/>
  <c r="B289" i="2"/>
  <c r="C288" i="2"/>
  <c r="B288" i="2"/>
  <c r="C287" i="2"/>
  <c r="B287" i="2"/>
  <c r="C286" i="2"/>
  <c r="B286" i="2"/>
  <c r="C285" i="2"/>
  <c r="B285" i="2"/>
  <c r="C284" i="2"/>
  <c r="B284" i="2"/>
  <c r="C283" i="2"/>
  <c r="B283" i="2"/>
  <c r="C282" i="2"/>
  <c r="B282" i="2"/>
  <c r="C281" i="2"/>
  <c r="B281" i="2"/>
  <c r="C280" i="2"/>
  <c r="B280" i="2"/>
  <c r="C279" i="2"/>
  <c r="B279" i="2"/>
  <c r="C278" i="2"/>
  <c r="B278" i="2"/>
  <c r="C277" i="2"/>
  <c r="B277" i="2"/>
  <c r="C276" i="2"/>
  <c r="B276" i="2"/>
  <c r="C275" i="2"/>
  <c r="B275" i="2"/>
  <c r="C274" i="2"/>
  <c r="B274" i="2"/>
  <c r="C273" i="2"/>
  <c r="B273" i="2"/>
  <c r="C272" i="2"/>
  <c r="B272" i="2"/>
  <c r="C271" i="2"/>
  <c r="B271" i="2"/>
  <c r="C270" i="2"/>
  <c r="B270" i="2"/>
  <c r="C269" i="2"/>
  <c r="B269" i="2"/>
  <c r="C268" i="2"/>
  <c r="B268" i="2"/>
  <c r="C267" i="2"/>
  <c r="B267" i="2"/>
  <c r="C266" i="2"/>
  <c r="B266" i="2"/>
  <c r="C265" i="2"/>
  <c r="B265" i="2"/>
  <c r="C264" i="2"/>
  <c r="B264" i="2"/>
  <c r="C263" i="2"/>
  <c r="B263" i="2"/>
  <c r="C262" i="2"/>
  <c r="B262" i="2"/>
  <c r="C261" i="2"/>
  <c r="B261" i="2"/>
  <c r="C260" i="2"/>
  <c r="B260" i="2"/>
  <c r="C259" i="2"/>
  <c r="B259" i="2"/>
  <c r="C258" i="2"/>
  <c r="B258" i="2"/>
  <c r="C257" i="2"/>
  <c r="B257" i="2"/>
  <c r="C256" i="2"/>
  <c r="B256" i="2"/>
  <c r="C255" i="2"/>
  <c r="B255" i="2"/>
  <c r="C254" i="2"/>
  <c r="B254" i="2"/>
  <c r="C253" i="2"/>
  <c r="B253" i="2"/>
  <c r="C252" i="2"/>
  <c r="B252" i="2"/>
  <c r="C251" i="2"/>
  <c r="B251" i="2"/>
  <c r="C250" i="2"/>
  <c r="B250" i="2"/>
  <c r="C249" i="2"/>
  <c r="B249" i="2"/>
  <c r="C248" i="2"/>
  <c r="B248" i="2"/>
  <c r="C247" i="2"/>
  <c r="B247" i="2"/>
  <c r="C246" i="2"/>
  <c r="B246" i="2"/>
  <c r="C245" i="2"/>
  <c r="B245" i="2"/>
  <c r="C244" i="2"/>
  <c r="B244" i="2"/>
  <c r="C243" i="2"/>
  <c r="B243" i="2"/>
  <c r="C242" i="2"/>
  <c r="B242" i="2"/>
  <c r="C241" i="2"/>
  <c r="B241" i="2"/>
  <c r="C240" i="2"/>
  <c r="B240" i="2"/>
  <c r="C239" i="2"/>
  <c r="B239" i="2"/>
  <c r="C238" i="2"/>
  <c r="B238" i="2"/>
  <c r="C237" i="2"/>
  <c r="B237" i="2"/>
  <c r="C236" i="2"/>
  <c r="B236" i="2"/>
  <c r="C235" i="2"/>
  <c r="B235" i="2"/>
  <c r="C234" i="2"/>
  <c r="B234" i="2"/>
  <c r="C233" i="2"/>
  <c r="B233" i="2"/>
  <c r="C232" i="2"/>
  <c r="B232" i="2"/>
  <c r="C231" i="2"/>
  <c r="B231" i="2"/>
  <c r="C230" i="2"/>
  <c r="B230" i="2"/>
  <c r="C229" i="2"/>
  <c r="B229" i="2"/>
  <c r="C228" i="2"/>
  <c r="B228" i="2"/>
  <c r="C227" i="2"/>
  <c r="B227" i="2"/>
  <c r="C226" i="2"/>
  <c r="B226" i="2"/>
  <c r="C225" i="2"/>
  <c r="B225" i="2"/>
  <c r="C224" i="2"/>
  <c r="B224" i="2"/>
  <c r="C223" i="2"/>
  <c r="B223" i="2"/>
  <c r="C222" i="2"/>
  <c r="B222" i="2"/>
  <c r="C221" i="2"/>
  <c r="B221" i="2"/>
  <c r="C220" i="2"/>
  <c r="B220" i="2"/>
  <c r="C219" i="2"/>
  <c r="B219" i="2"/>
  <c r="C218" i="2"/>
  <c r="B218" i="2"/>
  <c r="C217" i="2"/>
  <c r="B217" i="2"/>
  <c r="C216" i="2"/>
  <c r="B216" i="2"/>
  <c r="C215" i="2"/>
  <c r="B215" i="2"/>
  <c r="C214" i="2"/>
  <c r="B214" i="2"/>
  <c r="C213" i="2"/>
  <c r="B213" i="2"/>
  <c r="C212" i="2"/>
  <c r="B212" i="2"/>
  <c r="C211" i="2"/>
  <c r="B211" i="2"/>
  <c r="C210" i="2"/>
  <c r="B210" i="2"/>
  <c r="C209" i="2"/>
  <c r="B209" i="2"/>
  <c r="C208" i="2"/>
  <c r="B208" i="2"/>
  <c r="C207" i="2"/>
  <c r="B207" i="2"/>
  <c r="C206" i="2"/>
  <c r="B206" i="2"/>
  <c r="C205" i="2"/>
  <c r="B205" i="2"/>
  <c r="C204" i="2"/>
  <c r="B204" i="2"/>
  <c r="C203" i="2"/>
  <c r="B203" i="2"/>
  <c r="C202" i="2"/>
  <c r="B202" i="2"/>
  <c r="C201" i="2"/>
  <c r="B201" i="2"/>
  <c r="C200" i="2"/>
  <c r="B200" i="2"/>
  <c r="C199" i="2"/>
  <c r="B199" i="2"/>
  <c r="C198" i="2"/>
  <c r="B198" i="2"/>
  <c r="C197" i="2"/>
  <c r="B197" i="2"/>
  <c r="C196" i="2"/>
  <c r="B196" i="2"/>
  <c r="C195" i="2"/>
  <c r="B195" i="2"/>
  <c r="C194" i="2"/>
  <c r="B194" i="2"/>
  <c r="C193" i="2"/>
  <c r="B193" i="2"/>
  <c r="C192" i="2"/>
  <c r="B192" i="2"/>
  <c r="C191" i="2"/>
  <c r="B191" i="2"/>
  <c r="C190" i="2"/>
  <c r="B190" i="2"/>
  <c r="C189" i="2"/>
  <c r="B189" i="2"/>
  <c r="C188" i="2"/>
  <c r="B188" i="2"/>
  <c r="C187" i="2"/>
  <c r="B187" i="2"/>
  <c r="C186" i="2"/>
  <c r="B186" i="2"/>
  <c r="C185" i="2"/>
  <c r="B185" i="2"/>
  <c r="C184" i="2"/>
  <c r="B184" i="2"/>
  <c r="C183" i="2"/>
  <c r="B183" i="2"/>
  <c r="C182" i="2"/>
  <c r="B182" i="2"/>
  <c r="C181" i="2"/>
  <c r="B181" i="2"/>
  <c r="C180" i="2"/>
  <c r="B180" i="2"/>
  <c r="C179" i="2"/>
  <c r="B179" i="2"/>
  <c r="C178" i="2"/>
  <c r="B178" i="2"/>
  <c r="C177" i="2"/>
  <c r="B177" i="2"/>
  <c r="C176" i="2"/>
  <c r="B176" i="2"/>
  <c r="C175" i="2"/>
  <c r="B175" i="2"/>
  <c r="C174" i="2"/>
  <c r="B174" i="2"/>
  <c r="C173" i="2"/>
  <c r="B173" i="2"/>
  <c r="C172" i="2"/>
  <c r="B172" i="2"/>
  <c r="C171" i="2"/>
  <c r="B171" i="2"/>
  <c r="C170" i="2"/>
  <c r="B170" i="2"/>
  <c r="C169" i="2"/>
  <c r="B169" i="2"/>
  <c r="C168" i="2"/>
  <c r="B168" i="2"/>
  <c r="C167" i="2"/>
  <c r="B167" i="2"/>
  <c r="C166" i="2"/>
  <c r="B166" i="2"/>
  <c r="C165" i="2"/>
  <c r="B165" i="2"/>
  <c r="C164" i="2"/>
  <c r="B164" i="2"/>
  <c r="C163" i="2"/>
  <c r="B163" i="2"/>
  <c r="C162" i="2"/>
  <c r="B162" i="2"/>
  <c r="C161" i="2"/>
  <c r="B161" i="2"/>
  <c r="C160" i="2"/>
  <c r="B160" i="2"/>
  <c r="C159" i="2"/>
  <c r="B159" i="2"/>
  <c r="C158" i="2"/>
  <c r="B158" i="2"/>
  <c r="C157" i="2"/>
  <c r="B157" i="2"/>
  <c r="C156" i="2"/>
  <c r="B156" i="2"/>
  <c r="C155" i="2"/>
  <c r="B155" i="2"/>
  <c r="C154" i="2"/>
  <c r="B154" i="2"/>
  <c r="C153" i="2"/>
  <c r="B153" i="2"/>
  <c r="C152" i="2"/>
  <c r="B152" i="2"/>
  <c r="C151" i="2"/>
  <c r="B151" i="2"/>
  <c r="C150" i="2"/>
  <c r="B150" i="2"/>
  <c r="C149" i="2"/>
  <c r="B149" i="2"/>
  <c r="C148" i="2"/>
  <c r="B148" i="2"/>
  <c r="C147" i="2"/>
  <c r="B147" i="2"/>
  <c r="C146" i="2"/>
  <c r="B146" i="2"/>
  <c r="C145" i="2"/>
  <c r="B145" i="2"/>
  <c r="C144" i="2"/>
  <c r="B144" i="2"/>
  <c r="C143" i="2"/>
  <c r="B143" i="2"/>
  <c r="C142" i="2"/>
  <c r="B142" i="2"/>
  <c r="C141" i="2"/>
  <c r="B141" i="2"/>
  <c r="C140" i="2"/>
  <c r="B140" i="2"/>
  <c r="C139" i="2"/>
  <c r="B139" i="2"/>
  <c r="C138" i="2"/>
  <c r="B138" i="2"/>
  <c r="C137" i="2"/>
  <c r="B137" i="2"/>
  <c r="C136" i="2"/>
  <c r="B136" i="2"/>
  <c r="C135" i="2"/>
  <c r="B135" i="2"/>
  <c r="C134" i="2"/>
  <c r="B134" i="2"/>
  <c r="C133" i="2"/>
  <c r="B133" i="2"/>
  <c r="C132" i="2"/>
  <c r="B132" i="2"/>
  <c r="C131" i="2"/>
  <c r="B131" i="2"/>
  <c r="C130" i="2"/>
  <c r="B130" i="2"/>
  <c r="C129" i="2"/>
  <c r="B129" i="2"/>
  <c r="C128" i="2"/>
  <c r="B128" i="2"/>
  <c r="C127" i="2"/>
  <c r="B127" i="2"/>
  <c r="C126" i="2"/>
  <c r="B126" i="2"/>
  <c r="C125" i="2"/>
  <c r="B125" i="2"/>
  <c r="C124" i="2"/>
  <c r="B124" i="2"/>
  <c r="C123" i="2"/>
  <c r="B123" i="2"/>
  <c r="C122" i="2"/>
  <c r="B122" i="2"/>
  <c r="C121" i="2"/>
  <c r="B121" i="2"/>
  <c r="C120" i="2"/>
  <c r="B120" i="2"/>
  <c r="C119" i="2"/>
  <c r="B119" i="2"/>
  <c r="C118" i="2"/>
  <c r="B118" i="2"/>
  <c r="C117" i="2"/>
  <c r="B117" i="2"/>
  <c r="C116" i="2"/>
  <c r="B116" i="2"/>
  <c r="C115" i="2"/>
  <c r="B115" i="2"/>
  <c r="C114" i="2"/>
  <c r="B114" i="2"/>
  <c r="C113" i="2"/>
  <c r="B113" i="2"/>
  <c r="C112" i="2"/>
  <c r="B112" i="2"/>
  <c r="C111" i="2"/>
  <c r="B111" i="2"/>
  <c r="C110" i="2"/>
  <c r="B110" i="2"/>
  <c r="C109" i="2"/>
  <c r="B109" i="2"/>
  <c r="C108" i="2"/>
  <c r="B108" i="2"/>
  <c r="C107" i="2"/>
  <c r="B107" i="2"/>
  <c r="C106" i="2"/>
  <c r="B106" i="2"/>
  <c r="C105" i="2"/>
  <c r="B105" i="2"/>
  <c r="C104" i="2"/>
  <c r="B104" i="2"/>
  <c r="C103" i="2"/>
  <c r="B103" i="2"/>
  <c r="C102" i="2"/>
  <c r="B102" i="2"/>
  <c r="C101" i="2"/>
  <c r="B101" i="2"/>
  <c r="C100" i="2"/>
  <c r="B100" i="2"/>
  <c r="C99" i="2"/>
  <c r="B99" i="2"/>
  <c r="C98" i="2"/>
  <c r="B98" i="2"/>
  <c r="C97" i="2"/>
  <c r="B97" i="2"/>
  <c r="C96" i="2"/>
  <c r="B96" i="2"/>
  <c r="C95" i="2"/>
  <c r="B95" i="2"/>
  <c r="C94" i="2"/>
  <c r="B94" i="2"/>
  <c r="C93" i="2"/>
  <c r="B93" i="2"/>
  <c r="C92" i="2"/>
  <c r="B92" i="2"/>
  <c r="C91" i="2"/>
  <c r="B91" i="2"/>
  <c r="C90" i="2"/>
  <c r="B90" i="2"/>
  <c r="C89" i="2"/>
  <c r="B89" i="2"/>
  <c r="C88" i="2"/>
  <c r="B88" i="2"/>
  <c r="C87" i="2"/>
  <c r="B87" i="2"/>
  <c r="C86" i="2"/>
  <c r="B86" i="2"/>
  <c r="C85" i="2"/>
  <c r="B85" i="2"/>
  <c r="C84" i="2"/>
  <c r="B84" i="2"/>
  <c r="C83" i="2"/>
  <c r="B83" i="2"/>
  <c r="C82" i="2"/>
  <c r="B82" i="2"/>
  <c r="C81" i="2"/>
  <c r="B81" i="2"/>
  <c r="C80" i="2"/>
  <c r="B80" i="2"/>
  <c r="C79" i="2"/>
  <c r="B79" i="2"/>
  <c r="C78" i="2"/>
  <c r="B78" i="2"/>
  <c r="C77" i="2"/>
  <c r="B77" i="2"/>
  <c r="C76" i="2"/>
  <c r="B76" i="2"/>
  <c r="C75" i="2"/>
  <c r="B75" i="2"/>
  <c r="C74" i="2"/>
  <c r="B74" i="2"/>
  <c r="C73" i="2"/>
  <c r="B73" i="2"/>
  <c r="C72" i="2"/>
  <c r="B72" i="2"/>
  <c r="C71" i="2"/>
  <c r="B71" i="2"/>
  <c r="C70" i="2"/>
  <c r="B70" i="2"/>
  <c r="C69" i="2"/>
  <c r="B69" i="2"/>
  <c r="C68" i="2"/>
  <c r="B68" i="2"/>
  <c r="C67" i="2"/>
  <c r="B67" i="2"/>
  <c r="C66" i="2"/>
  <c r="B66" i="2"/>
  <c r="C65" i="2"/>
  <c r="B65" i="2"/>
  <c r="C64" i="2"/>
  <c r="B64" i="2"/>
  <c r="C63" i="2"/>
  <c r="B63" i="2"/>
  <c r="C62" i="2"/>
  <c r="B62" i="2"/>
  <c r="C61" i="2"/>
  <c r="B61" i="2"/>
  <c r="C60" i="2"/>
  <c r="B60" i="2"/>
  <c r="C59" i="2"/>
  <c r="B59" i="2"/>
  <c r="C58" i="2"/>
  <c r="B58" i="2"/>
  <c r="C57" i="2"/>
  <c r="B57" i="2"/>
  <c r="C56" i="2"/>
  <c r="B56" i="2"/>
  <c r="C55" i="2"/>
  <c r="B55" i="2"/>
  <c r="C54" i="2"/>
  <c r="B54" i="2"/>
  <c r="C53" i="2"/>
  <c r="B53" i="2"/>
  <c r="C52" i="2"/>
  <c r="B52" i="2"/>
  <c r="C51" i="2"/>
  <c r="B51" i="2"/>
  <c r="C50" i="2"/>
  <c r="B50" i="2"/>
  <c r="C49" i="2"/>
  <c r="B49" i="2"/>
  <c r="C48" i="2"/>
  <c r="B48" i="2"/>
  <c r="C47" i="2"/>
  <c r="B47" i="2"/>
  <c r="C46" i="2"/>
  <c r="B46" i="2"/>
  <c r="C45" i="2"/>
  <c r="B45" i="2"/>
  <c r="C44" i="2"/>
  <c r="B44" i="2"/>
  <c r="C43" i="2"/>
  <c r="B43" i="2"/>
  <c r="C42" i="2"/>
  <c r="B42" i="2"/>
  <c r="C41" i="2"/>
  <c r="B41" i="2"/>
  <c r="C40" i="2"/>
  <c r="B40" i="2"/>
  <c r="C39" i="2"/>
  <c r="B39" i="2"/>
  <c r="C38" i="2"/>
  <c r="B38" i="2"/>
  <c r="C37" i="2"/>
  <c r="B37" i="2"/>
  <c r="C36" i="2"/>
  <c r="B36" i="2"/>
  <c r="C35" i="2"/>
  <c r="B35" i="2"/>
  <c r="C34" i="2"/>
  <c r="B34" i="2"/>
  <c r="C33" i="2"/>
  <c r="B33" i="2"/>
  <c r="C32" i="2"/>
  <c r="B32" i="2"/>
  <c r="C31" i="2"/>
  <c r="B31" i="2"/>
  <c r="C30" i="2"/>
  <c r="B30" i="2"/>
  <c r="C29" i="2"/>
  <c r="B29" i="2"/>
  <c r="C28" i="2"/>
  <c r="B28" i="2"/>
  <c r="C27" i="2"/>
  <c r="B27" i="2"/>
  <c r="C26" i="2"/>
  <c r="B26" i="2"/>
  <c r="C25" i="2"/>
  <c r="B25" i="2"/>
  <c r="C24" i="2"/>
  <c r="B24" i="2"/>
  <c r="C23" i="2"/>
  <c r="B23" i="2"/>
  <c r="C22" i="2"/>
  <c r="B22" i="2"/>
  <c r="C21" i="2"/>
  <c r="B21" i="2"/>
  <c r="C20" i="2"/>
  <c r="B20" i="2"/>
  <c r="C19" i="2"/>
  <c r="B19" i="2"/>
  <c r="C18" i="2"/>
  <c r="B18" i="2"/>
  <c r="C17" i="2"/>
  <c r="B17" i="2"/>
  <c r="C16" i="2"/>
  <c r="B16" i="2"/>
  <c r="C15" i="2"/>
  <c r="B15" i="2"/>
  <c r="C14" i="2"/>
  <c r="B14" i="2"/>
  <c r="C13" i="2"/>
  <c r="B13" i="2"/>
  <c r="C12" i="2"/>
  <c r="B12" i="2"/>
  <c r="C11" i="2"/>
  <c r="B11" i="2"/>
  <c r="C10" i="2"/>
  <c r="B10" i="2"/>
  <c r="C9" i="2"/>
  <c r="B9" i="2"/>
  <c r="C8" i="2"/>
  <c r="B8" i="2"/>
  <c r="C7" i="2"/>
  <c r="B7" i="2"/>
  <c r="C6" i="2"/>
  <c r="B6" i="2"/>
  <c r="C5" i="2"/>
  <c r="B5" i="2"/>
  <c r="C4" i="2"/>
  <c r="B4" i="2"/>
  <c r="C3" i="2"/>
  <c r="B3" i="2"/>
  <c r="C2" i="2"/>
  <c r="B2" i="2"/>
</calcChain>
</file>

<file path=xl/sharedStrings.xml><?xml version="1.0" encoding="utf-8"?>
<sst xmlns="http://schemas.openxmlformats.org/spreadsheetml/2006/main" count="221717" uniqueCount="60519">
  <si>
    <t>Title</t>
  </si>
  <si>
    <t>Edition</t>
  </si>
  <si>
    <t>Publisher</t>
  </si>
  <si>
    <t>Publication Place</t>
  </si>
  <si>
    <t>Publication Country</t>
  </si>
  <si>
    <t>ISSN</t>
  </si>
  <si>
    <t>eISSN</t>
  </si>
  <si>
    <t>ISBN</t>
  </si>
  <si>
    <t>Full Text
(combined)
First</t>
  </si>
  <si>
    <t>Full Text
(combined)
Last</t>
  </si>
  <si>
    <t>Full Text
(combined)
Gaps</t>
  </si>
  <si>
    <t>Scholarly / Peer-
Reviewed</t>
  </si>
  <si>
    <t>Full Text
First</t>
  </si>
  <si>
    <t>Full Text
Last</t>
  </si>
  <si>
    <t>Full Text
Gaps</t>
  </si>
  <si>
    <t>Full
Text - PDF
First</t>
  </si>
  <si>
    <t>Full
Text - PDF
Last</t>
  </si>
  <si>
    <t>Full
Text - PDF
Gaps</t>
  </si>
  <si>
    <t>Link to FT
First</t>
  </si>
  <si>
    <t>Link to FT
Last</t>
  </si>
  <si>
    <t>Link to FT
Gaps</t>
  </si>
  <si>
    <t>Embargo Days</t>
  </si>
  <si>
    <t>Cit/Abs
(combined)
First</t>
  </si>
  <si>
    <t>Cit/Abs
(combined)
Last</t>
  </si>
  <si>
    <t>Cit/Abs
(combined)
Gaps</t>
  </si>
  <si>
    <t>Citation First</t>
  </si>
  <si>
    <t>Citation Last</t>
  </si>
  <si>
    <t>Citation Gaps</t>
  </si>
  <si>
    <t>Abstract First</t>
  </si>
  <si>
    <t>Abstract Last</t>
  </si>
  <si>
    <t>Abstract
Gaps</t>
  </si>
  <si>
    <t>Other
Formats First</t>
  </si>
  <si>
    <t>Other
Formats Last</t>
  </si>
  <si>
    <t>Other
Formats Gaps</t>
  </si>
  <si>
    <t>Audio/Video
First</t>
  </si>
  <si>
    <t>Audio/Video
Last</t>
  </si>
  <si>
    <t>Audio/Video
Gaps</t>
  </si>
  <si>
    <t>Office Suite
First</t>
  </si>
  <si>
    <t>Office Suite
Last</t>
  </si>
  <si>
    <t>Office Suite
Gaps</t>
  </si>
  <si>
    <t>Peer-
Reviewed</t>
  </si>
  <si>
    <t>Pub Type</t>
  </si>
  <si>
    <t>Pub Language</t>
  </si>
  <si>
    <t>Subjects</t>
  </si>
  <si>
    <t>Pub ID</t>
  </si>
  <si>
    <t>Notes and Changes</t>
  </si>
  <si>
    <t>3-Star Learning Experiences [Blog]</t>
  </si>
  <si>
    <t/>
  </si>
  <si>
    <t>Newstex</t>
  </si>
  <si>
    <t>United States</t>
  </si>
  <si>
    <t>Current</t>
  </si>
  <si>
    <t>N</t>
  </si>
  <si>
    <t>Blogs, Podcasts, &amp; Websites</t>
  </si>
  <si>
    <t>English</t>
  </si>
  <si>
    <t>Education</t>
  </si>
  <si>
    <t>The ACPET Journal for Private Higher Education</t>
  </si>
  <si>
    <t>Australian Council for Private Education and Training</t>
  </si>
  <si>
    <t>East Melbourne</t>
  </si>
  <si>
    <t>Australia</t>
  </si>
  <si>
    <t>2200-6141</t>
  </si>
  <si>
    <t>Y</t>
  </si>
  <si>
    <t>Scholarly Journals</t>
  </si>
  <si>
    <t>Education--Higher Education</t>
  </si>
  <si>
    <t>AERA Open</t>
  </si>
  <si>
    <t>Sage Publications Ltd.</t>
  </si>
  <si>
    <t>District of Columbia</t>
  </si>
  <si>
    <t>United Kingdom</t>
  </si>
  <si>
    <t>2332-8584</t>
  </si>
  <si>
    <t>AIDS Education and Prevention</t>
  </si>
  <si>
    <t>Guilford Press</t>
  </si>
  <si>
    <t>New York</t>
  </si>
  <si>
    <t>0899-9546</t>
  </si>
  <si>
    <t>1943-2755</t>
  </si>
  <si>
    <t>Medical Sciences--Communicable Diseases|Physical Fitness And Hygiene|Public Health And Safety</t>
  </si>
  <si>
    <t>ALAN Review</t>
  </si>
  <si>
    <t>Assembly on Literature for Adolescents -- National Council of Teachers of English</t>
  </si>
  <si>
    <t>Youngstown</t>
  </si>
  <si>
    <t>0882-2840</t>
  </si>
  <si>
    <t>1547-741X</t>
  </si>
  <si>
    <t>Education--Teaching Methods And Curriculum|Literature</t>
  </si>
  <si>
    <t>AMLE Magazine</t>
  </si>
  <si>
    <t>Association for Middle Level Education</t>
  </si>
  <si>
    <t>Westerville</t>
  </si>
  <si>
    <t>2329-8952</t>
  </si>
  <si>
    <t>2329-8944</t>
  </si>
  <si>
    <t>Trade Journals</t>
  </si>
  <si>
    <t>ASEE Prism</t>
  </si>
  <si>
    <t>AMERICAN SOCIETY FOR ENGINEERING EDUCATION</t>
  </si>
  <si>
    <t>Washington</t>
  </si>
  <si>
    <t>1056-8077</t>
  </si>
  <si>
    <t>1930-6148</t>
  </si>
  <si>
    <t>Education--Higher Education|Engineering</t>
  </si>
  <si>
    <t>ASHE Higher Education Report</t>
  </si>
  <si>
    <t>Wiley Subscription Services, Inc.</t>
  </si>
  <si>
    <t>Las Vegas</t>
  </si>
  <si>
    <t>1551-6970</t>
  </si>
  <si>
    <t>1554-6306</t>
  </si>
  <si>
    <t>ATA Magazine</t>
  </si>
  <si>
    <t>The Alberta Teachers' Association</t>
  </si>
  <si>
    <t>Edmonton</t>
  </si>
  <si>
    <t>Canada</t>
  </si>
  <si>
    <t>0380-9102</t>
  </si>
  <si>
    <t>01-Jan-1987--31-Dec-1987</t>
  </si>
  <si>
    <t>ATA News</t>
  </si>
  <si>
    <t>0001-267X</t>
  </si>
  <si>
    <t>01-Jan-1989--31-Dec-1991</t>
  </si>
  <si>
    <t>About Campus</t>
  </si>
  <si>
    <t>1086-4822</t>
  </si>
  <si>
    <t>1536-0687</t>
  </si>
  <si>
    <t>01-May-2014--31-Dec-2017</t>
  </si>
  <si>
    <t>Academe</t>
  </si>
  <si>
    <t>American Association of University Professors</t>
  </si>
  <si>
    <t>0190-2946</t>
  </si>
  <si>
    <t>2162-5247</t>
  </si>
  <si>
    <t>Academia</t>
  </si>
  <si>
    <t>Emerald Group Publishing Limited</t>
  </si>
  <si>
    <t>Bogotá</t>
  </si>
  <si>
    <t>1012-8255</t>
  </si>
  <si>
    <t>2056-5127</t>
  </si>
  <si>
    <t>Spanish; Castilian</t>
  </si>
  <si>
    <t>Business And Economics--Management|Education</t>
  </si>
  <si>
    <t>Academic Psychiatry</t>
  </si>
  <si>
    <t>Springer Nature B.V.</t>
  </si>
  <si>
    <t>Netherlands</t>
  </si>
  <si>
    <t>1042-9670</t>
  </si>
  <si>
    <t>1545-7230</t>
  </si>
  <si>
    <t>Education--Higher Education|Medical Sciences--Psychiatry And Neurology</t>
  </si>
  <si>
    <t>Academic Questions</t>
  </si>
  <si>
    <t>0895-4852</t>
  </si>
  <si>
    <t>1936-4709</t>
  </si>
  <si>
    <t>Academy Magazine</t>
  </si>
  <si>
    <t>John Catt Educational Limited</t>
  </si>
  <si>
    <t>Woodbridge</t>
  </si>
  <si>
    <t>2049-1492</t>
  </si>
  <si>
    <t>2049-1506</t>
  </si>
  <si>
    <t>Magazines</t>
  </si>
  <si>
    <t>Education--School Organization And Administration</t>
  </si>
  <si>
    <t>Academy of Educational Leadership Journal</t>
  </si>
  <si>
    <t>Allied Business Academies</t>
  </si>
  <si>
    <t>London</t>
  </si>
  <si>
    <t>1095-6328</t>
  </si>
  <si>
    <t>1528-2643</t>
  </si>
  <si>
    <t>Academy of Management Learning &amp; Education</t>
  </si>
  <si>
    <t>Academy of Management</t>
  </si>
  <si>
    <t>Briarcliff Manor</t>
  </si>
  <si>
    <t>1537-260X</t>
  </si>
  <si>
    <t>1944-9585</t>
  </si>
  <si>
    <t>Business And Economics--Management</t>
  </si>
  <si>
    <t>Acta Didactica Napocensia</t>
  </si>
  <si>
    <t>Babes Bolyai University, Didactics of Exact Sciences Chair</t>
  </si>
  <si>
    <t>Cluj-Napoca</t>
  </si>
  <si>
    <t>Romania</t>
  </si>
  <si>
    <t>2065-1430</t>
  </si>
  <si>
    <t>Acta Scientiarum. Education</t>
  </si>
  <si>
    <t>Editora da Universidade Estadual de Maringá - EDUEM</t>
  </si>
  <si>
    <t>Maringa</t>
  </si>
  <si>
    <t>Brazil</t>
  </si>
  <si>
    <t>2178-5198</t>
  </si>
  <si>
    <t>2178-5201</t>
  </si>
  <si>
    <t>English|French|Portuguese|Spanish; Castilian</t>
  </si>
  <si>
    <t>Acta Universitatis Lodziensis. Ksztalcenie Polonistyczne Cudzoziemcow</t>
  </si>
  <si>
    <t>University of Łódź</t>
  </si>
  <si>
    <t>Lodz</t>
  </si>
  <si>
    <t>Poland</t>
  </si>
  <si>
    <t>0860-6587</t>
  </si>
  <si>
    <t>2449-6839</t>
  </si>
  <si>
    <t>Polish</t>
  </si>
  <si>
    <t>Linguistics</t>
  </si>
  <si>
    <t>Action Learning</t>
  </si>
  <si>
    <t>Taylor &amp; Francis Ltd.</t>
  </si>
  <si>
    <t>Lancaster</t>
  </si>
  <si>
    <t>1476-7333</t>
  </si>
  <si>
    <t>1476-7341</t>
  </si>
  <si>
    <t>Adolescence</t>
  </si>
  <si>
    <t>Libra Publishers Incorporated</t>
  </si>
  <si>
    <t>Roslyn Heights</t>
  </si>
  <si>
    <t>0001-8449</t>
  </si>
  <si>
    <t>Children And Youth - About|Education|Medical Sciences--Psychiatry And Neurology|Psychology</t>
  </si>
  <si>
    <t>Adult Basic Education</t>
  </si>
  <si>
    <t>Commission On Adult Basic Education</t>
  </si>
  <si>
    <t>Syracuse</t>
  </si>
  <si>
    <t>1052-231X</t>
  </si>
  <si>
    <t>Adult Education Quarterly</t>
  </si>
  <si>
    <t>SAGE PUBLICATIONS, INC.</t>
  </si>
  <si>
    <t>0741-7136</t>
  </si>
  <si>
    <t>1552-3047</t>
  </si>
  <si>
    <t>Education--Adult Education</t>
  </si>
  <si>
    <t>Adult Learning</t>
  </si>
  <si>
    <t>Bowie</t>
  </si>
  <si>
    <t>1045-1595</t>
  </si>
  <si>
    <t>2162-4070</t>
  </si>
  <si>
    <t>Education|Education--Adult Education</t>
  </si>
  <si>
    <t>Adult Skills in Focus</t>
  </si>
  <si>
    <t>Organisation for Economic Cooperation and Development (OECD)</t>
  </si>
  <si>
    <t>Paris</t>
  </si>
  <si>
    <t>France</t>
  </si>
  <si>
    <t>2412-1401</t>
  </si>
  <si>
    <t>Working Papers</t>
  </si>
  <si>
    <t>English|French</t>
  </si>
  <si>
    <t>Adultspan Journal</t>
  </si>
  <si>
    <t>Blackwell Publishing Ltd.</t>
  </si>
  <si>
    <t>Alexandria</t>
  </si>
  <si>
    <t>1524-6817</t>
  </si>
  <si>
    <t>2161-0029</t>
  </si>
  <si>
    <t>Gerontology And Geriatrics|Psychology</t>
  </si>
  <si>
    <t>Advances in Health Sciences Education</t>
  </si>
  <si>
    <t>Dordrecht</t>
  </si>
  <si>
    <t>1382-4996</t>
  </si>
  <si>
    <t>1573-1677</t>
  </si>
  <si>
    <t>Education--Higher Education|Medical Sciences</t>
  </si>
  <si>
    <t>Advances in Mental Health and Intellectual Disabilities</t>
  </si>
  <si>
    <t>Hove</t>
  </si>
  <si>
    <t>2044-1282</t>
  </si>
  <si>
    <t>2044-1290</t>
  </si>
  <si>
    <t>Education--Special Education And Rehabilitation|Medical Sciences--Psychiatry And Neurology</t>
  </si>
  <si>
    <t>Advances in Physiology Education</t>
  </si>
  <si>
    <t>American Physiological Society</t>
  </si>
  <si>
    <t>Bethesda</t>
  </si>
  <si>
    <t>1043-4046</t>
  </si>
  <si>
    <t>1522-1229</t>
  </si>
  <si>
    <t>Biology--Physiology</t>
  </si>
  <si>
    <t>Advise</t>
  </si>
  <si>
    <t>National Association of Secondary School Principals</t>
  </si>
  <si>
    <t>Reston</t>
  </si>
  <si>
    <t>2380-7423</t>
  </si>
  <si>
    <t>Africa Education Review</t>
  </si>
  <si>
    <t>Pretoria</t>
  </si>
  <si>
    <t>1814-6627</t>
  </si>
  <si>
    <t>1753-5921</t>
  </si>
  <si>
    <t>Agora</t>
  </si>
  <si>
    <t>History Teachers’ Association of Victoria</t>
  </si>
  <si>
    <t>Collingwood</t>
  </si>
  <si>
    <t>0044-6726</t>
  </si>
  <si>
    <t>1837-9958</t>
  </si>
  <si>
    <t>The Agricultural Education Magazine</t>
  </si>
  <si>
    <t>National Council for Agricultural Education</t>
  </si>
  <si>
    <t>Henry</t>
  </si>
  <si>
    <t>0732-4677</t>
  </si>
  <si>
    <t>Agriculture|Education</t>
  </si>
  <si>
    <t>The Ahfad Journal</t>
  </si>
  <si>
    <t>Ahfad University, College for Women</t>
  </si>
  <si>
    <t>Omdurman</t>
  </si>
  <si>
    <t>Sudan</t>
  </si>
  <si>
    <t>0255-4070</t>
  </si>
  <si>
    <t>Education|Women's Interests</t>
  </si>
  <si>
    <t>Alberta Counsellor</t>
  </si>
  <si>
    <t>0382-5167</t>
  </si>
  <si>
    <t>Alberta Journal of Educational Research</t>
  </si>
  <si>
    <t>University of Alberta, Faculty of Education</t>
  </si>
  <si>
    <t>0002-4805</t>
  </si>
  <si>
    <t>1923-1857</t>
  </si>
  <si>
    <t>01-Jan-2002--31-Dec-2002</t>
  </si>
  <si>
    <t>Allied Academies International Conference. Academy of Educational Leadership. Proceedings</t>
  </si>
  <si>
    <t>Jordan Whitney Enterprises, Inc</t>
  </si>
  <si>
    <t>Arden</t>
  </si>
  <si>
    <t>Alteridad</t>
  </si>
  <si>
    <t>Universidad Politécnica Salesiana del Ecuador</t>
  </si>
  <si>
    <t>Cuenca</t>
  </si>
  <si>
    <t>Ecuador</t>
  </si>
  <si>
    <t>1390-325X</t>
  </si>
  <si>
    <t>1390-8642</t>
  </si>
  <si>
    <t>English|Spanish; Castilian</t>
  </si>
  <si>
    <t>American Annals of the Deaf</t>
  </si>
  <si>
    <t>Gallaudet University Press</t>
  </si>
  <si>
    <t>0002-726X</t>
  </si>
  <si>
    <t>1543-0375</t>
  </si>
  <si>
    <t>01-Apr-2012--31-Mar-2017</t>
  </si>
  <si>
    <t>Education--Special Education And Rehabilitation|People With Disabilities--Hearing Impaired</t>
  </si>
  <si>
    <t>The American Biology Teacher</t>
  </si>
  <si>
    <t>University of California Press Books Division</t>
  </si>
  <si>
    <t>0002-7685</t>
  </si>
  <si>
    <t>1938-4211</t>
  </si>
  <si>
    <t>Biology|Education--Higher Education</t>
  </si>
  <si>
    <t>American Educational History Journal</t>
  </si>
  <si>
    <t>Information Age Publishing</t>
  </si>
  <si>
    <t>Charlotte</t>
  </si>
  <si>
    <t>1535-0584</t>
  </si>
  <si>
    <t>01-Jan-2009--31-Dec-2009; 01-Jan-2012--31-Dec-2016</t>
  </si>
  <si>
    <t>American Educational Research Journal</t>
  </si>
  <si>
    <t>American Educational Research Association</t>
  </si>
  <si>
    <t>0002-8312</t>
  </si>
  <si>
    <t>1935-1011</t>
  </si>
  <si>
    <t>01-Jan-1979--31-Dec-1996</t>
  </si>
  <si>
    <t>01-Jan-1982--31-Dec-1985; 01-Jan-1987--31-Dec-1994; 01-Jan-2001--31-Dec-2003</t>
  </si>
  <si>
    <t>01-Jan-1982--31-Dec-1985; 01-Jan-1987--31-Dec-1994</t>
  </si>
  <si>
    <t>Education|Psychology|Social Sciences: Comprehensive Works</t>
  </si>
  <si>
    <t>American Indian Quarterly</t>
  </si>
  <si>
    <t>University of Nebraska Press</t>
  </si>
  <si>
    <t>Lincoln</t>
  </si>
  <si>
    <t>0095-182X</t>
  </si>
  <si>
    <t>1534-1828</t>
  </si>
  <si>
    <t>Anthropology|Folklore|History--History Of North And South America|Native People</t>
  </si>
  <si>
    <t>American Indian and Alaska Native Mental Health Research</t>
  </si>
  <si>
    <t>UCHSC</t>
  </si>
  <si>
    <t>Denver</t>
  </si>
  <si>
    <t>0893-5394</t>
  </si>
  <si>
    <t>1533-7731</t>
  </si>
  <si>
    <t>Medical Sciences--Psychiatry And Neurology</t>
  </si>
  <si>
    <t>American Indian and Alaska Native Mental Health Research (Online)</t>
  </si>
  <si>
    <t>Aurora</t>
  </si>
  <si>
    <t>Ethnic Interests|Medical Sciences--Psychiatry And Neurology|Native People|Psychology</t>
  </si>
  <si>
    <t>American Journal of Art Therapy</t>
  </si>
  <si>
    <t>0007-4764</t>
  </si>
  <si>
    <t>Art|Education--Special Education And Rehabilitation|Medical Sciences--Psychiatry And Neurology|Psychology</t>
  </si>
  <si>
    <t>American Journal of Audiology</t>
  </si>
  <si>
    <t>American Speech-Language-Hearing Association</t>
  </si>
  <si>
    <t>Rockville</t>
  </si>
  <si>
    <t>1059-0889</t>
  </si>
  <si>
    <t>1558-9137</t>
  </si>
  <si>
    <t>People With Disabilities--Hearing Impaired</t>
  </si>
  <si>
    <t>American Journal of Audiology (Online)</t>
  </si>
  <si>
    <t>American Journal of Business Education</t>
  </si>
  <si>
    <t>The Clute Institute</t>
  </si>
  <si>
    <t>Littleton</t>
  </si>
  <si>
    <t>1942-2504</t>
  </si>
  <si>
    <t>1942-2512</t>
  </si>
  <si>
    <t>Business And Economics|Education--Teaching Methods And Curriculum</t>
  </si>
  <si>
    <t>American Journal of Business Education (Online)</t>
  </si>
  <si>
    <t>The American Journal of Distance Education</t>
  </si>
  <si>
    <t>Philadelphia</t>
  </si>
  <si>
    <t>0892-3647</t>
  </si>
  <si>
    <t>1538-9286</t>
  </si>
  <si>
    <t>American Journal of Education</t>
  </si>
  <si>
    <t>University of Chicago, acting through its Press</t>
  </si>
  <si>
    <t>Chicago</t>
  </si>
  <si>
    <t>0195-6744</t>
  </si>
  <si>
    <t>1549-6511</t>
  </si>
  <si>
    <t>Children And Youth - About|Education</t>
  </si>
  <si>
    <t>American Journal of Educational Studies</t>
  </si>
  <si>
    <t>American Institute of Higher Education</t>
  </si>
  <si>
    <t>Cary</t>
  </si>
  <si>
    <t>1934-6476</t>
  </si>
  <si>
    <t>The American Journal of Evaluation</t>
  </si>
  <si>
    <t>Thousand Oaks</t>
  </si>
  <si>
    <t>1098-2140</t>
  </si>
  <si>
    <t>1557-0878</t>
  </si>
  <si>
    <t>Business And Economics--Management|Social Sciences: Comprehensive Works</t>
  </si>
  <si>
    <t>The American Journal of Family Therapy</t>
  </si>
  <si>
    <t>Brunner-Mazel Publishing Company</t>
  </si>
  <si>
    <t>Abingdon</t>
  </si>
  <si>
    <t>0192-6187</t>
  </si>
  <si>
    <t>1521-0383</t>
  </si>
  <si>
    <t>Psychology|Sociology</t>
  </si>
  <si>
    <t>American Journal of Health Behavior</t>
  </si>
  <si>
    <t>PNG Publications</t>
  </si>
  <si>
    <t>Star City</t>
  </si>
  <si>
    <t>1087-3244</t>
  </si>
  <si>
    <t>1945-7359</t>
  </si>
  <si>
    <t>Physical Fitness And Hygiene</t>
  </si>
  <si>
    <t>American Journal of Health Education</t>
  </si>
  <si>
    <t>1932-5037</t>
  </si>
  <si>
    <t>2168-3751</t>
  </si>
  <si>
    <t>Education--Teaching Methods And Curriculum|Physical Fitness And Hygiene|Public Health And Safety</t>
  </si>
  <si>
    <t>The American Journal of Occupational Therapy</t>
  </si>
  <si>
    <t>American Occupational Therapy Association, Inc.</t>
  </si>
  <si>
    <t>0272-9490</t>
  </si>
  <si>
    <t>1943-7676</t>
  </si>
  <si>
    <t>01-Jan-2015--30-Jun-2017</t>
  </si>
  <si>
    <t>Medical Sciences|Occupational Health And Safety</t>
  </si>
  <si>
    <t>American Journal of Pharmaceutical Education</t>
  </si>
  <si>
    <t>American Association of Colleges of Pharmacy</t>
  </si>
  <si>
    <t>0002-9459</t>
  </si>
  <si>
    <t>1553-6467</t>
  </si>
  <si>
    <t>Education--Higher Education|Pharmacy And Pharmacology</t>
  </si>
  <si>
    <t>American Journal of Sexuality Education</t>
  </si>
  <si>
    <t>1554-6128</t>
  </si>
  <si>
    <t>1554-6136</t>
  </si>
  <si>
    <t>Physical Fitness And Hygiene|Psychology</t>
  </si>
  <si>
    <t>The American Journal of Sociology</t>
  </si>
  <si>
    <t>0002-9602</t>
  </si>
  <si>
    <t>1537-5390</t>
  </si>
  <si>
    <t>Sociology</t>
  </si>
  <si>
    <t>American Journal of Speech - Language Pathology</t>
  </si>
  <si>
    <t>1058-0360</t>
  </si>
  <si>
    <t>1558-9110</t>
  </si>
  <si>
    <t>Linguistics|Medical Sciences|People With Disabilities--Hearing Impaired</t>
  </si>
  <si>
    <t>American Journal of Speech - Language Pathology (Online)</t>
  </si>
  <si>
    <t>American Journal on Intellectual and Developmental Disabilities</t>
  </si>
  <si>
    <t>American Association of Intellectual &amp; Developmental Disabilities</t>
  </si>
  <si>
    <t>1944-7515</t>
  </si>
  <si>
    <t>1944-7558</t>
  </si>
  <si>
    <t>American Libraries</t>
  </si>
  <si>
    <t>American Library Association</t>
  </si>
  <si>
    <t>0002-9769</t>
  </si>
  <si>
    <t>2163-5129</t>
  </si>
  <si>
    <t>Library And Information Sciences</t>
  </si>
  <si>
    <t>The American Mathematical Monthly</t>
  </si>
  <si>
    <t>0002-9890</t>
  </si>
  <si>
    <t>1930-0972</t>
  </si>
  <si>
    <t>Mathematics</t>
  </si>
  <si>
    <t>The American Music Teacher</t>
  </si>
  <si>
    <t>Music Teachers National Association</t>
  </si>
  <si>
    <t>Cincinnati</t>
  </si>
  <si>
    <t>0003-0112</t>
  </si>
  <si>
    <t>01-Jan-1963--31-Dec-1963; 01-Jan-1975--31-Dec-1989</t>
  </si>
  <si>
    <t>Education|Music</t>
  </si>
  <si>
    <t>The American Political Science Review</t>
  </si>
  <si>
    <t>Cambridge University Press</t>
  </si>
  <si>
    <t>0003-0554</t>
  </si>
  <si>
    <t>1537-5943</t>
  </si>
  <si>
    <t>Political Science|Public Administration</t>
  </si>
  <si>
    <t>American School &amp; University</t>
  </si>
  <si>
    <t>Endeavor Business Media</t>
  </si>
  <si>
    <t>Nashville</t>
  </si>
  <si>
    <t>0003-0945</t>
  </si>
  <si>
    <t>2161-7791</t>
  </si>
  <si>
    <t>American Secondary Education</t>
  </si>
  <si>
    <t>Bowling Green</t>
  </si>
  <si>
    <t>0003-1003</t>
  </si>
  <si>
    <t>2326-9618</t>
  </si>
  <si>
    <t>American Sociological Review</t>
  </si>
  <si>
    <t>American Sociological Association</t>
  </si>
  <si>
    <t>0003-1224</t>
  </si>
  <si>
    <t>1939-8271</t>
  </si>
  <si>
    <t>Population Studies|Psychology|Social Sciences: Comprehensive Works|Sociology</t>
  </si>
  <si>
    <t>American Speech Language Hearing Association. Asha</t>
  </si>
  <si>
    <t>0001-2475</t>
  </si>
  <si>
    <t>Medical Sciences|People With Disabilities--Hearing Impaired</t>
  </si>
  <si>
    <t>American Teacher</t>
  </si>
  <si>
    <t>American Federation of Teachers</t>
  </si>
  <si>
    <t>0003-1380</t>
  </si>
  <si>
    <t>Business And Economics--Labor And Industrial Relations|Education|Labor Unions</t>
  </si>
  <si>
    <t>Anatolian Journal of Educational Leadership and Instruction</t>
  </si>
  <si>
    <t>Duzce University, Faculty of Education</t>
  </si>
  <si>
    <t>Duzce</t>
  </si>
  <si>
    <t>Turkmenistan</t>
  </si>
  <si>
    <t>2148-2667</t>
  </si>
  <si>
    <t>English|Turkish</t>
  </si>
  <si>
    <t>Anatomical Sciences Education</t>
  </si>
  <si>
    <t>1935-9772</t>
  </si>
  <si>
    <t>1935-9780</t>
  </si>
  <si>
    <t>Biology|Medical Sciences</t>
  </si>
  <si>
    <t>Annals of Dyslexia</t>
  </si>
  <si>
    <t>0736-9387</t>
  </si>
  <si>
    <t>1934-7243</t>
  </si>
  <si>
    <t>01-Jan-1999--31-Dec-1999; 01-Jan-2009--31-Dec-2010</t>
  </si>
  <si>
    <t>Education--Special Education And Rehabilitation</t>
  </si>
  <si>
    <t>The Annual of the British School at Athens</t>
  </si>
  <si>
    <t>0068-2454</t>
  </si>
  <si>
    <t>2045-2403</t>
  </si>
  <si>
    <t>Archaeology|Art|Classical Studies</t>
  </si>
  <si>
    <t>Anthropology and Education Quarterly</t>
  </si>
  <si>
    <t>0161-7761</t>
  </si>
  <si>
    <t>1548-1492</t>
  </si>
  <si>
    <t>Anthropology|Education</t>
  </si>
  <si>
    <t>Antistasis</t>
  </si>
  <si>
    <t>University of New Brunswick, Faculty of Education</t>
  </si>
  <si>
    <t>Fredericton</t>
  </si>
  <si>
    <t>1924-6072</t>
  </si>
  <si>
    <t>1929-5014</t>
  </si>
  <si>
    <t>01-Jan-2022--31-Dec-2022</t>
  </si>
  <si>
    <t>Anuac</t>
  </si>
  <si>
    <t>University of Cagliari</t>
  </si>
  <si>
    <t>Cagliari</t>
  </si>
  <si>
    <t>Italy</t>
  </si>
  <si>
    <t>2239-625X</t>
  </si>
  <si>
    <t>English|Italian|Portuguese|Spanish; Castilian</t>
  </si>
  <si>
    <t>Anthropology</t>
  </si>
  <si>
    <t>Appalachia</t>
  </si>
  <si>
    <t>Appalachian Regional Commission</t>
  </si>
  <si>
    <t>0003-6595</t>
  </si>
  <si>
    <t>AppleSeeds</t>
  </si>
  <si>
    <t>Carus Publishing Company, d/b/a ePals Media</t>
  </si>
  <si>
    <t>Peterborough</t>
  </si>
  <si>
    <t>1099-7725</t>
  </si>
  <si>
    <t>Applied Environmental Education and Communication</t>
  </si>
  <si>
    <t>1533-015X</t>
  </si>
  <si>
    <t>1533-0389</t>
  </si>
  <si>
    <t>Communications|Education|Environmental Studies</t>
  </si>
  <si>
    <t>Applied Linguistics</t>
  </si>
  <si>
    <t>Oxford Publishing Limited (England)</t>
  </si>
  <si>
    <t>0142-6001</t>
  </si>
  <si>
    <t>1477-450X</t>
  </si>
  <si>
    <t>Applied Measurement in Education</t>
  </si>
  <si>
    <t>0895-7347</t>
  </si>
  <si>
    <t>1532-4818</t>
  </si>
  <si>
    <t>Applied Psycholinguistics</t>
  </si>
  <si>
    <t>0142-7164</t>
  </si>
  <si>
    <t>1469-1817</t>
  </si>
  <si>
    <t>Linguistics|Medical Sciences--Psychiatry And Neurology|Psychology</t>
  </si>
  <si>
    <t>Applied Psychological Measurement</t>
  </si>
  <si>
    <t>0146-6216</t>
  </si>
  <si>
    <t>1552-3497</t>
  </si>
  <si>
    <t>Psychology</t>
  </si>
  <si>
    <t>Apuntes Universitarios</t>
  </si>
  <si>
    <t>Universidad Peruana Unión - Peruvian Union University</t>
  </si>
  <si>
    <t>Tarapoto</t>
  </si>
  <si>
    <t>Peru</t>
  </si>
  <si>
    <t>2225-7136</t>
  </si>
  <si>
    <t>2304-0335</t>
  </si>
  <si>
    <t>Archives of Disease in Childhood</t>
  </si>
  <si>
    <t>BMJ Publishing Group LTD</t>
  </si>
  <si>
    <t>0003-9888</t>
  </si>
  <si>
    <t>1468-2044</t>
  </si>
  <si>
    <t>01-Jan-1990--31-Dec-1995</t>
  </si>
  <si>
    <t>Medical Sciences--Pediatrics</t>
  </si>
  <si>
    <t>Archivos de Ciencias de la Educación</t>
  </si>
  <si>
    <t>Universidad Nacional de La Plata, Facultad de Humanidades y Ciencias de la Educacion</t>
  </si>
  <si>
    <t>Ensenada</t>
  </si>
  <si>
    <t>Argentina</t>
  </si>
  <si>
    <t>0518-3669</t>
  </si>
  <si>
    <t>2346-8866</t>
  </si>
  <si>
    <t>01-Jan-2009--31-Dec-2009</t>
  </si>
  <si>
    <t>Argumentation and Advocacy</t>
  </si>
  <si>
    <t>River Falls</t>
  </si>
  <si>
    <t>1051-1431</t>
  </si>
  <si>
    <t>2576-8476</t>
  </si>
  <si>
    <t>Communications|Criminology And Law Enforcement|Law|Medical Sciences--Forensic Sciences</t>
  </si>
  <si>
    <t>The Arithmetic Teacher</t>
  </si>
  <si>
    <t>National Council of Teachers of Mathematics</t>
  </si>
  <si>
    <t>0004-136X</t>
  </si>
  <si>
    <t>2327-0756</t>
  </si>
  <si>
    <t>Education--Teaching Methods And Curriculum|Mathematics</t>
  </si>
  <si>
    <t>Art Education</t>
  </si>
  <si>
    <t>0004-3125</t>
  </si>
  <si>
    <t>2325-5161</t>
  </si>
  <si>
    <t>Art|Education</t>
  </si>
  <si>
    <t>Art Museum Teaching [BLOG]</t>
  </si>
  <si>
    <t>Arts Education Policy Review</t>
  </si>
  <si>
    <t>Taylor &amp; Francis Inc.</t>
  </si>
  <si>
    <t>1063-2913</t>
  </si>
  <si>
    <t>1940-4395</t>
  </si>
  <si>
    <t>11-Oct-1992--31-Dec-1995</t>
  </si>
  <si>
    <t>Art|Education--Teaching Methods And Curriculum</t>
  </si>
  <si>
    <t>Arts and Activities</t>
  </si>
  <si>
    <t>Publishers Development Corporation</t>
  </si>
  <si>
    <t>Skokie</t>
  </si>
  <si>
    <t>0004-3931</t>
  </si>
  <si>
    <t>Art|Ceramics, Glass And Pottery|Education--Teaching Methods And Curriculum</t>
  </si>
  <si>
    <t>The Asia - Pacific Education Researcher</t>
  </si>
  <si>
    <t>Manila</t>
  </si>
  <si>
    <t>0119-5646</t>
  </si>
  <si>
    <t>2243-7908</t>
  </si>
  <si>
    <t>Asia - Pacific Forum on Science Learning and Teaching</t>
  </si>
  <si>
    <t>The Education University of Hong Kong, Department of Science and Environmental Studies</t>
  </si>
  <si>
    <t>Hong Kong</t>
  </si>
  <si>
    <t>1609-4913</t>
  </si>
  <si>
    <t>01-Jan-2020--31-Dec-2020</t>
  </si>
  <si>
    <t>Chinese|English</t>
  </si>
  <si>
    <t>Education|Sciences: Comprehensive Works</t>
  </si>
  <si>
    <t>Asia - Pacific Journal of Teacher Education</t>
  </si>
  <si>
    <t>1359-866X</t>
  </si>
  <si>
    <t>1469-2945</t>
  </si>
  <si>
    <t>Education--Teaching Methods And Curriculum</t>
  </si>
  <si>
    <t>Asia Pacific Education Review</t>
  </si>
  <si>
    <t>1598-1037</t>
  </si>
  <si>
    <t>1876-407X</t>
  </si>
  <si>
    <t>01-Jan-2006--31-Dec-2006</t>
  </si>
  <si>
    <t>Asia Pacific Journal of Education</t>
  </si>
  <si>
    <t>Singapore</t>
  </si>
  <si>
    <t>0218-8791</t>
  </si>
  <si>
    <t>1742-6855</t>
  </si>
  <si>
    <t>Asia-Pacific Science Education</t>
  </si>
  <si>
    <t>Brill Academic Publishers, Inc.</t>
  </si>
  <si>
    <t>Leiden</t>
  </si>
  <si>
    <t>Netherlands Antilles</t>
  </si>
  <si>
    <t>2364-1177</t>
  </si>
  <si>
    <t>Education--Teaching Methods And Curriculum|Sciences: Comprehensive Works</t>
  </si>
  <si>
    <t>Asian Association of Open Universities Journal</t>
  </si>
  <si>
    <t>Bingley</t>
  </si>
  <si>
    <t>2414-6994</t>
  </si>
  <si>
    <t>01-Jan-2007--31-Dec-2007</t>
  </si>
  <si>
    <t>Asian Education and Development Studies</t>
  </si>
  <si>
    <t>2046-3162</t>
  </si>
  <si>
    <t>2046-3170</t>
  </si>
  <si>
    <t>Asian Journal of Instruction</t>
  </si>
  <si>
    <t>2148-2659</t>
  </si>
  <si>
    <t>Asian Journal of Nursing Education and Research</t>
  </si>
  <si>
    <t>A&amp;V Publications</t>
  </si>
  <si>
    <t>Raipur</t>
  </si>
  <si>
    <t>India</t>
  </si>
  <si>
    <t>2231-1149</t>
  </si>
  <si>
    <t>2349-2996</t>
  </si>
  <si>
    <t>Medical Sciences--Nurses And Nursing</t>
  </si>
  <si>
    <t>Asian-Pacific Journal of Second and Foreign Language Education</t>
  </si>
  <si>
    <t>Heidelberg</t>
  </si>
  <si>
    <t>2363-5169</t>
  </si>
  <si>
    <t>Education--Teaching Methods And Curriculum|Linguistics</t>
  </si>
  <si>
    <t>Ask</t>
  </si>
  <si>
    <t>1535-4105</t>
  </si>
  <si>
    <t>Children And Youth - For</t>
  </si>
  <si>
    <t>Assessment</t>
  </si>
  <si>
    <t>Odessa</t>
  </si>
  <si>
    <t>1073-1911</t>
  </si>
  <si>
    <t>1552-3489</t>
  </si>
  <si>
    <t>Assessment and Evaluation in Higher Education</t>
  </si>
  <si>
    <t>0260-2938</t>
  </si>
  <si>
    <t>1469-297X</t>
  </si>
  <si>
    <t>Education|Education--Higher Education</t>
  </si>
  <si>
    <t>Assessment in Education</t>
  </si>
  <si>
    <t>0969-594X</t>
  </si>
  <si>
    <t>1465-329X</t>
  </si>
  <si>
    <t>Association for Supervision and Curriculum Development. Yearbook</t>
  </si>
  <si>
    <t>Association for Supervision and Curriculum Development</t>
  </si>
  <si>
    <t>1042-9018</t>
  </si>
  <si>
    <t>Education|Education--Teaching Methods And Curriculum</t>
  </si>
  <si>
    <t>Attention, Perception and Psychophysics</t>
  </si>
  <si>
    <t>Austin</t>
  </si>
  <si>
    <t>1943-3921</t>
  </si>
  <si>
    <t>1943-393X</t>
  </si>
  <si>
    <t>Aula</t>
  </si>
  <si>
    <t>Ediciones Universidad de Salamanca</t>
  </si>
  <si>
    <t>Salamanca</t>
  </si>
  <si>
    <t>Spain</t>
  </si>
  <si>
    <t>0214-3402</t>
  </si>
  <si>
    <t>2174-0925</t>
  </si>
  <si>
    <t>Education|Humanities: Comprehensive Works|Sciences: Comprehensive Works</t>
  </si>
  <si>
    <t>Australasian Journal of Educational Technology</t>
  </si>
  <si>
    <t>Wollongong</t>
  </si>
  <si>
    <t>1449-3098</t>
  </si>
  <si>
    <t>1449-5554</t>
  </si>
  <si>
    <t>Australasian Journal of Special and Inclusive Education</t>
  </si>
  <si>
    <t>Cambridge</t>
  </si>
  <si>
    <t>2515-0731</t>
  </si>
  <si>
    <t>2515-074X</t>
  </si>
  <si>
    <t>Australasian Science</t>
  </si>
  <si>
    <t>Control Publications Pty Ltd</t>
  </si>
  <si>
    <t>Hawksburn</t>
  </si>
  <si>
    <t>1442-679X</t>
  </si>
  <si>
    <t>Sciences: Comprehensive Works</t>
  </si>
  <si>
    <t>The Australasian journal of special education.</t>
  </si>
  <si>
    <t>Copyright Agency Limited (Distributor)</t>
  </si>
  <si>
    <t>Bomaderry</t>
  </si>
  <si>
    <t>1030-0112</t>
  </si>
  <si>
    <t>1833-6914</t>
  </si>
  <si>
    <t>Australian Academic and Research Libraries</t>
  </si>
  <si>
    <t>Kingston</t>
  </si>
  <si>
    <t>0004-8623</t>
  </si>
  <si>
    <t>1839-471X</t>
  </si>
  <si>
    <t>Australian Bulletin of Labour</t>
  </si>
  <si>
    <t>National Institute of Labour Studies</t>
  </si>
  <si>
    <t>Adelaide</t>
  </si>
  <si>
    <t>0311-6336</t>
  </si>
  <si>
    <t>Business And Economics--Labor And Industrial Relations</t>
  </si>
  <si>
    <t>Australian Educational Researcher</t>
  </si>
  <si>
    <t>0311-6999</t>
  </si>
  <si>
    <t>2210-5328</t>
  </si>
  <si>
    <t>01-Jan-2002--31-Dec-2010</t>
  </si>
  <si>
    <t>Australian Educator</t>
  </si>
  <si>
    <t>Hardie Grant Media</t>
  </si>
  <si>
    <t>1328-6021</t>
  </si>
  <si>
    <t>Education|Labor Unions</t>
  </si>
  <si>
    <t>Australian Journal of Adult Learning</t>
  </si>
  <si>
    <t>Canberra</t>
  </si>
  <si>
    <t>1443-1394</t>
  </si>
  <si>
    <t>Australian Journal of Career Development</t>
  </si>
  <si>
    <t>Camberwell</t>
  </si>
  <si>
    <t>1038-4162</t>
  </si>
  <si>
    <t>2200-6974</t>
  </si>
  <si>
    <t>Occupations And Careers</t>
  </si>
  <si>
    <t>Australian Journal of Education</t>
  </si>
  <si>
    <t>0004-9441</t>
  </si>
  <si>
    <t>2050-5884</t>
  </si>
  <si>
    <t>01-Jan-2014--31-Dec-2015</t>
  </si>
  <si>
    <t>Australian Journal of Environmental Education</t>
  </si>
  <si>
    <t>East Lismore</t>
  </si>
  <si>
    <t>0814-0626</t>
  </si>
  <si>
    <t>2049-775X</t>
  </si>
  <si>
    <t>Conservation|Education|Environmental Studies</t>
  </si>
  <si>
    <t>The Australian Journal of Indigenous Education</t>
  </si>
  <si>
    <t>Aboriginal and Torres Strait Islander Studies Unit</t>
  </si>
  <si>
    <t>Santa Lucia</t>
  </si>
  <si>
    <t>1326-0111</t>
  </si>
  <si>
    <t>2049-7784</t>
  </si>
  <si>
    <t>Anthropology|Education|Ethnic Interests</t>
  </si>
  <si>
    <t>Australian Journal of Learning Difficulties</t>
  </si>
  <si>
    <t>Carlton South</t>
  </si>
  <si>
    <t>1940-4158</t>
  </si>
  <si>
    <t>1940-4166</t>
  </si>
  <si>
    <t>Australian Journal of Music Education</t>
  </si>
  <si>
    <t>Nedlands</t>
  </si>
  <si>
    <t>0004-9484</t>
  </si>
  <si>
    <t>1839-8294</t>
  </si>
  <si>
    <t>The Australian Journal of Rehabilitation Counselling</t>
  </si>
  <si>
    <t>Sydney</t>
  </si>
  <si>
    <t>1323-8922</t>
  </si>
  <si>
    <t>1838-6059</t>
  </si>
  <si>
    <t>Education--Special Education And Rehabilitation|Medical Sciences--Physical Medicine And Rehabilitation</t>
  </si>
  <si>
    <t>Australian Library Journal</t>
  </si>
  <si>
    <t>0004-9670</t>
  </si>
  <si>
    <t>2201-4276</t>
  </si>
  <si>
    <t>Australian Science Teachers Journal</t>
  </si>
  <si>
    <t>Australian Science Teachers Association</t>
  </si>
  <si>
    <t>0045-0855</t>
  </si>
  <si>
    <t>BC Studies</t>
  </si>
  <si>
    <t>Pacific Affairs. The University of British Columbia</t>
  </si>
  <si>
    <t>Vancouver</t>
  </si>
  <si>
    <t>0005-2949</t>
  </si>
  <si>
    <t>01-Jan-1994--31-Dec-2003</t>
  </si>
  <si>
    <t>General Interest Periodicals--Canada|Humanities: Comprehensive Works|Social Sciences: Comprehensive Works</t>
  </si>
  <si>
    <t>BMC Medical Education</t>
  </si>
  <si>
    <t>BioMed Central</t>
  </si>
  <si>
    <t>1472-6920</t>
  </si>
  <si>
    <t>Baby Talk</t>
  </si>
  <si>
    <t>Meredith Corporation</t>
  </si>
  <si>
    <t>1529-5389</t>
  </si>
  <si>
    <t>01-Sep-2002--31-Dec-2007</t>
  </si>
  <si>
    <t>Children And Youth - About</t>
  </si>
  <si>
    <t>Bartin Üniversitesi Egitim Fakültesi Dergisi</t>
  </si>
  <si>
    <t>Bartin University, Faculty of Education</t>
  </si>
  <si>
    <t>Bartin</t>
  </si>
  <si>
    <t>Turkey</t>
  </si>
  <si>
    <t>1308-7177</t>
  </si>
  <si>
    <t>Behavior Modification</t>
  </si>
  <si>
    <t>0145-4455</t>
  </si>
  <si>
    <t>1552-4167</t>
  </si>
  <si>
    <t>Behavioral Disorders</t>
  </si>
  <si>
    <t>Tempe</t>
  </si>
  <si>
    <t>0198-7429</t>
  </si>
  <si>
    <t>2163-5307</t>
  </si>
  <si>
    <t>01-Jan-1998--31-Dec-2003</t>
  </si>
  <si>
    <t>Behavioral Medicine</t>
  </si>
  <si>
    <t>0896-4289</t>
  </si>
  <si>
    <t>1940-4026</t>
  </si>
  <si>
    <t>Medical Sciences--Psychiatry And Neurology|Psychology</t>
  </si>
  <si>
    <t>Berkeley Review of Education</t>
  </si>
  <si>
    <t>University of California Digital Library - eScholarship</t>
  </si>
  <si>
    <t>Berkeley</t>
  </si>
  <si>
    <t>1947-5578</t>
  </si>
  <si>
    <t>01-Jan-2011--31-Dec-2016</t>
  </si>
  <si>
    <t>Bildung und Erziehung</t>
  </si>
  <si>
    <t>Vandenhoeck und Ruprecht</t>
  </si>
  <si>
    <t>Göttingen</t>
  </si>
  <si>
    <t>Germany</t>
  </si>
  <si>
    <t>0006-2456</t>
  </si>
  <si>
    <t>2194-3834</t>
  </si>
  <si>
    <t>English|German</t>
  </si>
  <si>
    <t>Bilingual Research Journal</t>
  </si>
  <si>
    <t>1523-5882</t>
  </si>
  <si>
    <t>1523-5890</t>
  </si>
  <si>
    <t>Education|Education--Special Education And Rehabilitation</t>
  </si>
  <si>
    <t>The Bilingual Review</t>
  </si>
  <si>
    <t>University of Texas at San Antonio, College of Education and Human Development, Bicultural Bilingual Studies Department</t>
  </si>
  <si>
    <t>San Antonio</t>
  </si>
  <si>
    <t>0094-5366</t>
  </si>
  <si>
    <t>2327-624X</t>
  </si>
  <si>
    <t>01-Jan-2002--31-Dec-2002; 01-Jan-2005--31-Dec-2007; 01-Jan-2009--31-Dec-2009; 01-Jan-2011--31-Dec-2011</t>
  </si>
  <si>
    <t>Education|Linguistics</t>
  </si>
  <si>
    <t>Bilingualism</t>
  </si>
  <si>
    <t>1366-7289</t>
  </si>
  <si>
    <t>1469-1841</t>
  </si>
  <si>
    <t>Biochemistry and Molecular Biology Education</t>
  </si>
  <si>
    <t>Calgary</t>
  </si>
  <si>
    <t>1470-8175</t>
  </si>
  <si>
    <t>1539-3429</t>
  </si>
  <si>
    <t>Biology|Biology--Biochemistry</t>
  </si>
  <si>
    <t>Bioscience</t>
  </si>
  <si>
    <t>Oxford University Press</t>
  </si>
  <si>
    <t>Oxford</t>
  </si>
  <si>
    <t>0006-3568</t>
  </si>
  <si>
    <t>1525-3244</t>
  </si>
  <si>
    <t>Agriculture|Biology|Medical Sciences</t>
  </si>
  <si>
    <t>Black Collegian</t>
  </si>
  <si>
    <t>Black Collegiate Services, Inc.</t>
  </si>
  <si>
    <t>New Orleans</t>
  </si>
  <si>
    <t>0192-3757</t>
  </si>
  <si>
    <t>1943-7382</t>
  </si>
  <si>
    <t>African American/Caribbean/African|College And Alumni|Education|Ethnic Interests</t>
  </si>
  <si>
    <t>Black Issues Book Review</t>
  </si>
  <si>
    <t>Target Market News</t>
  </si>
  <si>
    <t>Fairfax</t>
  </si>
  <si>
    <t>1522-0524</t>
  </si>
  <si>
    <t>2169-2424</t>
  </si>
  <si>
    <t>African American/Caribbean/African|Literary And Political Reviews</t>
  </si>
  <si>
    <t>The Black Scholar</t>
  </si>
  <si>
    <t>San Francisco</t>
  </si>
  <si>
    <t>0006-4246</t>
  </si>
  <si>
    <t>2162-5387</t>
  </si>
  <si>
    <t>Education|Ethnic Interests|Political Science|Social Sciences: Comprehensive Works</t>
  </si>
  <si>
    <t>Board &amp; Administrator; for Superintendents Only</t>
  </si>
  <si>
    <t>LRP Publications, Inc.</t>
  </si>
  <si>
    <t>Frederick</t>
  </si>
  <si>
    <t>1525-7878</t>
  </si>
  <si>
    <t>1949-3215</t>
  </si>
  <si>
    <t>Book Links</t>
  </si>
  <si>
    <t>Booklist Publications</t>
  </si>
  <si>
    <t>1055-4742</t>
  </si>
  <si>
    <t>2163-5269</t>
  </si>
  <si>
    <t>The Book Report</t>
  </si>
  <si>
    <t>Linworth Publishing Company</t>
  </si>
  <si>
    <t>Columbus</t>
  </si>
  <si>
    <t>0731-4388</t>
  </si>
  <si>
    <t>Publishing And Book Trade</t>
  </si>
  <si>
    <t>Bookbird</t>
  </si>
  <si>
    <t>Bookbird, Inc.</t>
  </si>
  <si>
    <t>Basel</t>
  </si>
  <si>
    <t>0006-7377</t>
  </si>
  <si>
    <t>1918-6983</t>
  </si>
  <si>
    <t>01-Jan-2018--31-Dec-2018</t>
  </si>
  <si>
    <t>Children And Youth - For|Publishing And Book Trade</t>
  </si>
  <si>
    <t>The Booklist</t>
  </si>
  <si>
    <t>0006-7385</t>
  </si>
  <si>
    <t>Boy's Quest</t>
  </si>
  <si>
    <t>Bluffton News Printing and Publishing Co.</t>
  </si>
  <si>
    <t>Bluffton</t>
  </si>
  <si>
    <t>1078-9006</t>
  </si>
  <si>
    <t>British Educational Research Journal</t>
  </si>
  <si>
    <t>0141-1926</t>
  </si>
  <si>
    <t>1469-3518</t>
  </si>
  <si>
    <t>The British Journal of Developmental Psychology</t>
  </si>
  <si>
    <t>British Psychological Society</t>
  </si>
  <si>
    <t>Leicester</t>
  </si>
  <si>
    <t>0261-510X</t>
  </si>
  <si>
    <t>2044-835X</t>
  </si>
  <si>
    <t>British Journal of Educational Psychology</t>
  </si>
  <si>
    <t>0007-0998</t>
  </si>
  <si>
    <t>2044-8279</t>
  </si>
  <si>
    <t>Education|Psychology</t>
  </si>
  <si>
    <t>British Journal of Educational Studies</t>
  </si>
  <si>
    <t>0007-1005</t>
  </si>
  <si>
    <t>1467-8527</t>
  </si>
  <si>
    <t>01-Jan-2017--31-Dec-2018</t>
  </si>
  <si>
    <t>British Journal of Educational Technology</t>
  </si>
  <si>
    <t>Coventry</t>
  </si>
  <si>
    <t>0007-1013</t>
  </si>
  <si>
    <t>1467-8535</t>
  </si>
  <si>
    <t>British Journal of Guidance &amp; Counselling</t>
  </si>
  <si>
    <t>0306-9885</t>
  </si>
  <si>
    <t>1469-3534</t>
  </si>
  <si>
    <t>Occupations And Careers|Psychology</t>
  </si>
  <si>
    <t>British Journal of Learning Disabilities</t>
  </si>
  <si>
    <t>Kidderminster</t>
  </si>
  <si>
    <t>1354-4187</t>
  </si>
  <si>
    <t>1468-3156</t>
  </si>
  <si>
    <t>British Journal of Music Education</t>
  </si>
  <si>
    <t>0265-0517</t>
  </si>
  <si>
    <t>1469-2104</t>
  </si>
  <si>
    <t>Music</t>
  </si>
  <si>
    <t>British Journal of Religious Education</t>
  </si>
  <si>
    <t>0141-6200</t>
  </si>
  <si>
    <t>1740-7931</t>
  </si>
  <si>
    <t>Religions And Theology</t>
  </si>
  <si>
    <t>British Journal of Sociology of Education</t>
  </si>
  <si>
    <t>0142-5692</t>
  </si>
  <si>
    <t>1465-3346</t>
  </si>
  <si>
    <t>Education|Sociology</t>
  </si>
  <si>
    <t>British Society for Research Into Learning Mathematics. Research in Mathematics Education</t>
  </si>
  <si>
    <t>1479-4802</t>
  </si>
  <si>
    <t>1754-0178</t>
  </si>
  <si>
    <t>Education|Mathematics</t>
  </si>
  <si>
    <t>Brock Education</t>
  </si>
  <si>
    <t>Brock University</t>
  </si>
  <si>
    <t>St. Catharines</t>
  </si>
  <si>
    <t>1183-1189</t>
  </si>
  <si>
    <t>2371-7750</t>
  </si>
  <si>
    <t>Brookings Papers on Education Policy</t>
  </si>
  <si>
    <t>The Brookings Institution</t>
  </si>
  <si>
    <t>1096-2719</t>
  </si>
  <si>
    <t>1533-4457</t>
  </si>
  <si>
    <t>Education--School Organization And Administration|Public Administration</t>
  </si>
  <si>
    <t>The Brown Center Chalkboard [BLOG]</t>
  </si>
  <si>
    <t>The Brown Center Report on American Education</t>
  </si>
  <si>
    <t>1934-4635</t>
  </si>
  <si>
    <t>Reports</t>
  </si>
  <si>
    <t>The Buckingham Journal of Education</t>
  </si>
  <si>
    <t>The University of Buckingham Press</t>
  </si>
  <si>
    <t>Buckingham</t>
  </si>
  <si>
    <t>2633-4909</t>
  </si>
  <si>
    <t>2633-4917</t>
  </si>
  <si>
    <t>Bulgarian Journal of Science and Education Policy</t>
  </si>
  <si>
    <t>The University of Sofia</t>
  </si>
  <si>
    <t>Sofia</t>
  </si>
  <si>
    <t>Bulgaria</t>
  </si>
  <si>
    <t>1313-1958</t>
  </si>
  <si>
    <t>1313-9118</t>
  </si>
  <si>
    <t>Bulgarian|English</t>
  </si>
  <si>
    <t>Bulletin of Education and Research</t>
  </si>
  <si>
    <t>AsiaNet Pakistan (Pvt) Ltd.</t>
  </si>
  <si>
    <t>Lahore</t>
  </si>
  <si>
    <t>Pakistan</t>
  </si>
  <si>
    <t>0555-7747</t>
  </si>
  <si>
    <t>Bulletin of Educational Research</t>
  </si>
  <si>
    <t>National Taiwan Normal University, Dept of Education</t>
  </si>
  <si>
    <t>Taipei</t>
  </si>
  <si>
    <t>Taiwan</t>
  </si>
  <si>
    <t>1028-8708</t>
  </si>
  <si>
    <t>Chinese</t>
  </si>
  <si>
    <t>Bulletin of the American Society for Information Science and Technology</t>
  </si>
  <si>
    <t>American Society for Information Science</t>
  </si>
  <si>
    <t>Silver Spring</t>
  </si>
  <si>
    <t>1931-6550</t>
  </si>
  <si>
    <t>1550-8366</t>
  </si>
  <si>
    <t>Bulletin of the American Society for Information Science and Technology (Online)</t>
  </si>
  <si>
    <t>Bulletin of the Center for Children's Books</t>
  </si>
  <si>
    <t>Johns Hopkins University Press</t>
  </si>
  <si>
    <t>Baltimore</t>
  </si>
  <si>
    <t>0008-9036</t>
  </si>
  <si>
    <t>1558-6766</t>
  </si>
  <si>
    <t>Bibliographies|Children And Youth - About|Library And Information Sciences|Literature|Publishing And Book Trade</t>
  </si>
  <si>
    <t>CALICO Journal</t>
  </si>
  <si>
    <t>Equinox Publishing Ltd.</t>
  </si>
  <si>
    <t>San Marcos</t>
  </si>
  <si>
    <t>0742-7778</t>
  </si>
  <si>
    <t>2056-9017</t>
  </si>
  <si>
    <t>01-Jan-1997--31-Dec-1997</t>
  </si>
  <si>
    <t>Computers--Computer Assisted Instruction|Computers--Microcomputers|Computers--Personal Computers|Education--Computer Applications|Linguistics</t>
  </si>
  <si>
    <t>The CASE Journal</t>
  </si>
  <si>
    <t>Durham</t>
  </si>
  <si>
    <t>1544-9106</t>
  </si>
  <si>
    <t>CAUT Bulletin</t>
  </si>
  <si>
    <t>Canadian Association of University Teachers</t>
  </si>
  <si>
    <t>Toronto</t>
  </si>
  <si>
    <t>0834-9614</t>
  </si>
  <si>
    <t>CELE Exchange. Centre for Effective Learning Environments</t>
  </si>
  <si>
    <t>2072-7925</t>
  </si>
  <si>
    <t>CEPS Journal : Center for Educational Policy Studies Journal</t>
  </si>
  <si>
    <t>University of Ljubljana, Faculty of Education</t>
  </si>
  <si>
    <t>Ljubljana</t>
  </si>
  <si>
    <t>Slovenia</t>
  </si>
  <si>
    <t>1855-9719</t>
  </si>
  <si>
    <t>2232-2647</t>
  </si>
  <si>
    <t>COABE Journal</t>
  </si>
  <si>
    <t>CSSHE Professional File</t>
  </si>
  <si>
    <t>Canadian Society for the Study of Higher Education</t>
  </si>
  <si>
    <t>Ottawa</t>
  </si>
  <si>
    <t>0836-7973</t>
  </si>
  <si>
    <t>01-Jan-1996--31-Dec-1998</t>
  </si>
  <si>
    <t>Cadernos de Historia da Educacao</t>
  </si>
  <si>
    <t>Universidade Federal de Uberlândia, Editora da UFU</t>
  </si>
  <si>
    <t>Uberlandia</t>
  </si>
  <si>
    <t>1807-3859</t>
  </si>
  <si>
    <t>1982-7806</t>
  </si>
  <si>
    <t>Portuguese</t>
  </si>
  <si>
    <t>History--History Of North And South America</t>
  </si>
  <si>
    <t>Cambridge Journal of Education</t>
  </si>
  <si>
    <t>0305-764X</t>
  </si>
  <si>
    <t>1469-3577</t>
  </si>
  <si>
    <t>Campbell Systematic Reviews</t>
  </si>
  <si>
    <t>John Wiley &amp; Sons, Inc.</t>
  </si>
  <si>
    <t>Oslo</t>
  </si>
  <si>
    <t>1891-1803</t>
  </si>
  <si>
    <t>Business And Economics--International Development And Assistance|Criminology And Law Enforcement|Social Services And Welfare</t>
  </si>
  <si>
    <t>The Camping Magazine</t>
  </si>
  <si>
    <t>American Camping Association</t>
  </si>
  <si>
    <t>Martinsville</t>
  </si>
  <si>
    <t>0740-4131</t>
  </si>
  <si>
    <t>Sports And Games--Outdoor Life</t>
  </si>
  <si>
    <t>Campus Law Enforcement Journal</t>
  </si>
  <si>
    <t>International Association of Campus Law Enforcement Administrators</t>
  </si>
  <si>
    <t>Hartford</t>
  </si>
  <si>
    <t>0739-0394</t>
  </si>
  <si>
    <t>Criminology And Law Enforcement</t>
  </si>
  <si>
    <t>The Canadian Art Teacher</t>
  </si>
  <si>
    <t>Canadian Society for Education Through Art</t>
  </si>
  <si>
    <t>London, Ont.</t>
  </si>
  <si>
    <t>1701-8587</t>
  </si>
  <si>
    <t>01-Jan-2017--31-Dec-2017</t>
  </si>
  <si>
    <t>The Canadian Journal for the Study of Adult Education (Online)</t>
  </si>
  <si>
    <t>The Canadian Association for the Study of Adult Education</t>
  </si>
  <si>
    <t>Halifax</t>
  </si>
  <si>
    <t>1925-993X</t>
  </si>
  <si>
    <t>The Canadian Journal for the Study of Adult Education</t>
  </si>
  <si>
    <t>0835-4944</t>
  </si>
  <si>
    <t>The Canadian Journal of Applied Linguistics</t>
  </si>
  <si>
    <t>Canadian Association of Applied Linguistics</t>
  </si>
  <si>
    <t>Québec</t>
  </si>
  <si>
    <t>1481-868X</t>
  </si>
  <si>
    <t>1920-1818</t>
  </si>
  <si>
    <t>Canadian Journal of Counselling</t>
  </si>
  <si>
    <t>Canadian Counselling and Psychotherapy Association</t>
  </si>
  <si>
    <t>Kanata</t>
  </si>
  <si>
    <t>0828-3893</t>
  </si>
  <si>
    <t>Canadian Journal of Education</t>
  </si>
  <si>
    <t>Canadian Society for the Study of Education</t>
  </si>
  <si>
    <t>0380-2361</t>
  </si>
  <si>
    <t>1918-5979</t>
  </si>
  <si>
    <t>Canadian Journal of Educational Administration and Policy</t>
  </si>
  <si>
    <t>Winnipeg</t>
  </si>
  <si>
    <t>1207-7798</t>
  </si>
  <si>
    <t>01-Jan-2008--31-Dec-2017</t>
  </si>
  <si>
    <t>The Canadian Journal of Higher Education</t>
  </si>
  <si>
    <t>0316-1218</t>
  </si>
  <si>
    <t>2293-6602</t>
  </si>
  <si>
    <t>The Canadian Journal of Human Sexuality</t>
  </si>
  <si>
    <t>Sex Information and Education Council of Canada</t>
  </si>
  <si>
    <t>1188-4517</t>
  </si>
  <si>
    <t>2291-7063</t>
  </si>
  <si>
    <t>University of Toronto Press</t>
  </si>
  <si>
    <t>Canadian Journal of Native Education</t>
  </si>
  <si>
    <t>University of British Columbia, Faculty of Education - Office of Indigenous Education</t>
  </si>
  <si>
    <t>0710-1481</t>
  </si>
  <si>
    <t>01-Jan-1994--31-Dec-1994</t>
  </si>
  <si>
    <t>Education|Ethnic Interests|Native American Studies</t>
  </si>
  <si>
    <t>The Canadian Journal of Occupational Therapy</t>
  </si>
  <si>
    <t>0008-4174</t>
  </si>
  <si>
    <t>1911-9828</t>
  </si>
  <si>
    <t>01-Jan-1935--31-Dec-1937; 01-Jan-1940--31-Dec-1941; 01-Jan-1943--31-Dec-1945; 01-Jan-1950--31-Dec-1952; 01-Jan-1955--31-Dec-1955; 01-Jan-1958--31-Dec-1958; 01-Jan-1960--31-Dec-1960; 01-Jan-1964--31-Dec-1964</t>
  </si>
  <si>
    <t>01-Jan-1935--31-Dec-1937; 01-Jan-1941--31-Dec-1941; 01-Jan-1943--31-Dec-1944</t>
  </si>
  <si>
    <t>Medical Sciences</t>
  </si>
  <si>
    <t>The Canadian Journal of Program Evaluation</t>
  </si>
  <si>
    <t>0834-1516</t>
  </si>
  <si>
    <t>1496-7308</t>
  </si>
  <si>
    <t>Public Administration</t>
  </si>
  <si>
    <t>Canadian Journal of School Psychology</t>
  </si>
  <si>
    <t>0829-5735</t>
  </si>
  <si>
    <t>2154-3984</t>
  </si>
  <si>
    <t>01-Jan-2010--31-Aug-2016</t>
  </si>
  <si>
    <t>Canadian Journal of Science, Mathematics and Technology Education</t>
  </si>
  <si>
    <t>1492-6156</t>
  </si>
  <si>
    <t>1942-4051</t>
  </si>
  <si>
    <t>01-Jan-2004--31-Dec-2008</t>
  </si>
  <si>
    <t>Canadian Journal of University Continuing Education</t>
  </si>
  <si>
    <t>Canadian Association for University Continuing Education</t>
  </si>
  <si>
    <t>0318-9090</t>
  </si>
  <si>
    <t>The Canadian Learning Journal</t>
  </si>
  <si>
    <t>Canadian Society for Training and Development</t>
  </si>
  <si>
    <t>1490-8743</t>
  </si>
  <si>
    <t>The Canadian Modern Language Review</t>
  </si>
  <si>
    <t>Canadian Modern Language Review</t>
  </si>
  <si>
    <t>0008-4506</t>
  </si>
  <si>
    <t>1710-1131</t>
  </si>
  <si>
    <t>Canadian Review of Art Education, Research and Issues</t>
  </si>
  <si>
    <t>0706-8107</t>
  </si>
  <si>
    <t>Art</t>
  </si>
  <si>
    <t>Canadian Social Studies</t>
  </si>
  <si>
    <t>North York</t>
  </si>
  <si>
    <t>1191-162X</t>
  </si>
  <si>
    <t>Education--Teaching Methods And Curriculum|History|Social Sciences: Comprehensive Works</t>
  </si>
  <si>
    <t>Career Development International</t>
  </si>
  <si>
    <t>Bradford</t>
  </si>
  <si>
    <t>1362-0436</t>
  </si>
  <si>
    <t>1758-6003</t>
  </si>
  <si>
    <t>The Career Development Quarterly</t>
  </si>
  <si>
    <t>0889-4019</t>
  </si>
  <si>
    <t>2161-0045</t>
  </si>
  <si>
    <t>Education|Occupations And Careers</t>
  </si>
  <si>
    <t>Career Development and Transition for Exceptional Individuals</t>
  </si>
  <si>
    <t>2165-1434</t>
  </si>
  <si>
    <t>2165-1442</t>
  </si>
  <si>
    <t>Education--Special Education And Rehabilitation|Occupations And Careers</t>
  </si>
  <si>
    <t>Career Planning and Adult Development Journal</t>
  </si>
  <si>
    <t>Career Planning and Adult Development Network</t>
  </si>
  <si>
    <t>San Jose</t>
  </si>
  <si>
    <t>0736-1920</t>
  </si>
  <si>
    <t>Education--Adult Education|Occupations And Careers</t>
  </si>
  <si>
    <t>Career World</t>
  </si>
  <si>
    <t>Scholastic Inc.</t>
  </si>
  <si>
    <t>Stamford</t>
  </si>
  <si>
    <t>0744-1002</t>
  </si>
  <si>
    <t>01-Feb-1999--31-May-2002</t>
  </si>
  <si>
    <t>Career and Technical Education Research</t>
  </si>
  <si>
    <t>American Vocational Education</t>
  </si>
  <si>
    <t>1554-754X</t>
  </si>
  <si>
    <t>1554-7558</t>
  </si>
  <si>
    <t>Caribbean Curriculum</t>
  </si>
  <si>
    <t>University of West Indies</t>
  </si>
  <si>
    <t>St. Augustine</t>
  </si>
  <si>
    <t>Trinidad And Tobago</t>
  </si>
  <si>
    <t>1017-5636</t>
  </si>
  <si>
    <t>2412-558X</t>
  </si>
  <si>
    <t>01-Jan-1986--31-Dec-1986; 01-Jan-1988--31-Dec-1992; 01-Jan-1997--31-Dec-1998; 01-Jan-2019--31-Dec-2019; 01-Jan-2021--31-Dec-2021</t>
  </si>
  <si>
    <t>Catalyst Ohio</t>
  </si>
  <si>
    <t>Community Renewal Society</t>
  </si>
  <si>
    <t>The Catalyst</t>
  </si>
  <si>
    <t>National Council for Continuing Education &amp; Training</t>
  </si>
  <si>
    <t>Carlsbad</t>
  </si>
  <si>
    <t>2151-9390</t>
  </si>
  <si>
    <t>Catalyst in Depth</t>
  </si>
  <si>
    <t>2160-0007</t>
  </si>
  <si>
    <t>Catechist</t>
  </si>
  <si>
    <t>Bayard, Inc.</t>
  </si>
  <si>
    <t>Dayton</t>
  </si>
  <si>
    <t>0008-7726</t>
  </si>
  <si>
    <t>Central European Journal of Educational Research</t>
  </si>
  <si>
    <t>University of Debrecen</t>
  </si>
  <si>
    <t>Debrecen</t>
  </si>
  <si>
    <t>Hungary</t>
  </si>
  <si>
    <t>2677-0326</t>
  </si>
  <si>
    <t>Chalkbeat</t>
  </si>
  <si>
    <t>Change</t>
  </si>
  <si>
    <t>0009-1383</t>
  </si>
  <si>
    <t>1939-9146</t>
  </si>
  <si>
    <t>Education--Higher Education|Sciences: Comprehensive Works</t>
  </si>
  <si>
    <t>Changing English</t>
  </si>
  <si>
    <t>1358-684X</t>
  </si>
  <si>
    <t>1469-3585</t>
  </si>
  <si>
    <t>Chengren Ji Zhongshen Jiaoyu = Journal of Adult and Lifelong Education</t>
  </si>
  <si>
    <t>Chinese Adult and Lifelong Education Association</t>
  </si>
  <si>
    <t>1818-8001</t>
  </si>
  <si>
    <t>Child &amp; Adolescent Social Work Journal</t>
  </si>
  <si>
    <t>0738-0151</t>
  </si>
  <si>
    <t>1573-2797</t>
  </si>
  <si>
    <t>Children And Youth - About|Psychology|Sociology</t>
  </si>
  <si>
    <t>Child &amp; Family Behavior Therapy</t>
  </si>
  <si>
    <t>0731-7107</t>
  </si>
  <si>
    <t>1545-228X</t>
  </si>
  <si>
    <t>Child &amp; Family Social Work</t>
  </si>
  <si>
    <t>1356-7500</t>
  </si>
  <si>
    <t>1365-2206</t>
  </si>
  <si>
    <t>Children And Youth - About|Social Services And Welfare</t>
  </si>
  <si>
    <t>Child &amp; Youth Care Forum</t>
  </si>
  <si>
    <t>1053-1890</t>
  </si>
  <si>
    <t>1573-3319</t>
  </si>
  <si>
    <t>Children And Youth - About|Psychology</t>
  </si>
  <si>
    <t>Child Abuse &amp; Neglect</t>
  </si>
  <si>
    <t>Elsevier Science Ltd.</t>
  </si>
  <si>
    <t>0145-2134</t>
  </si>
  <si>
    <t>1873-7757</t>
  </si>
  <si>
    <t>Children And Youth - About|Criminology And Law Enforcement|Social Sciences: Comprehensive Works|Sociology</t>
  </si>
  <si>
    <t>Child Care, Health and Development</t>
  </si>
  <si>
    <t>0305-1862</t>
  </si>
  <si>
    <t>1365-2214</t>
  </si>
  <si>
    <t>Child Development</t>
  </si>
  <si>
    <t>Ann Arbor</t>
  </si>
  <si>
    <t>0009-3920</t>
  </si>
  <si>
    <t>1467-8624</t>
  </si>
  <si>
    <t>Children And Youth - About|Medical Sciences--Pediatrics|Psychology</t>
  </si>
  <si>
    <t>Child Health Alert</t>
  </si>
  <si>
    <t>Child Health Alert Inc.</t>
  </si>
  <si>
    <t>Newton Highlands</t>
  </si>
  <si>
    <t>1064-4849</t>
  </si>
  <si>
    <t>Child Indicators Research</t>
  </si>
  <si>
    <t>1874-897X</t>
  </si>
  <si>
    <t>1874-8988</t>
  </si>
  <si>
    <t>Children And Youth - About|Social Sciences: Comprehensive Works</t>
  </si>
  <si>
    <t>Child Language Teaching and Therapy</t>
  </si>
  <si>
    <t>0265-6590</t>
  </si>
  <si>
    <t>1477-0865</t>
  </si>
  <si>
    <t>01-Jan-1990--31-Dec-1990; 01-Jan-1995--31-Dec-1995</t>
  </si>
  <si>
    <t>Education--Special Education And Rehabilitation|Education--Teaching Methods And Curriculum</t>
  </si>
  <si>
    <t>Child Maltreatment</t>
  </si>
  <si>
    <t>1077-5595</t>
  </si>
  <si>
    <t>1552-6119</t>
  </si>
  <si>
    <t>Child Psychiatry and Human Development</t>
  </si>
  <si>
    <t>0009-398X</t>
  </si>
  <si>
    <t>1573-3327</t>
  </si>
  <si>
    <t>Children And Youth - About|Education--Special Education And Rehabilitation|Medical Sciences--Pediatrics|Medical Sciences--Psychiatry And Neurology</t>
  </si>
  <si>
    <t>Child Welfare</t>
  </si>
  <si>
    <t>Child Welfare League of America, Inc.</t>
  </si>
  <si>
    <t>Arlington</t>
  </si>
  <si>
    <t>0009-4021</t>
  </si>
  <si>
    <t>01-Jan-2002--31-Dec-2003</t>
  </si>
  <si>
    <t>Children And Youth - About|Medical Sciences--Psychiatry And Neurology|Psychology|Social Services And Welfare|Sociology</t>
  </si>
  <si>
    <t>Childhood</t>
  </si>
  <si>
    <t>0907-5682</t>
  </si>
  <si>
    <t>1461-7013</t>
  </si>
  <si>
    <t>01-Jan-1995--31-Dec-1995</t>
  </si>
  <si>
    <t>Childhood Education</t>
  </si>
  <si>
    <t>Olney</t>
  </si>
  <si>
    <t>0009-4056</t>
  </si>
  <si>
    <t>2162-0725</t>
  </si>
  <si>
    <t>Children &amp; Libraries</t>
  </si>
  <si>
    <t>1542-9806</t>
  </si>
  <si>
    <t>2374-7641</t>
  </si>
  <si>
    <t>Children And Youth - About|Library And Information Sciences</t>
  </si>
  <si>
    <t>Children &amp; Schools</t>
  </si>
  <si>
    <t>1532-8759</t>
  </si>
  <si>
    <t>1545-682X</t>
  </si>
  <si>
    <t>Education|Social Services And Welfare</t>
  </si>
  <si>
    <t>Children Australia</t>
  </si>
  <si>
    <t>Melbourne</t>
  </si>
  <si>
    <t>1035-0772</t>
  </si>
  <si>
    <t>2049-7776</t>
  </si>
  <si>
    <t>Social Services And Welfare</t>
  </si>
  <si>
    <t>Children Today</t>
  </si>
  <si>
    <t>Superintendent of Documents</t>
  </si>
  <si>
    <t>0361-4336</t>
  </si>
  <si>
    <t>2169-1894</t>
  </si>
  <si>
    <t>Children And Youth - About|Education|Psychology|Sociology</t>
  </si>
  <si>
    <t>Children's Geographies</t>
  </si>
  <si>
    <t>1473-3285</t>
  </si>
  <si>
    <t>1473-3277</t>
  </si>
  <si>
    <t>Children And Youth - About|Psychology|Social Services And Welfare</t>
  </si>
  <si>
    <t>Children's Literature</t>
  </si>
  <si>
    <t>0092-8208</t>
  </si>
  <si>
    <t>1543-3374</t>
  </si>
  <si>
    <t>Literature</t>
  </si>
  <si>
    <t>The Children's Literature Lover's Book of Lists</t>
  </si>
  <si>
    <t>Hoboken</t>
  </si>
  <si>
    <t>9780787965952</t>
  </si>
  <si>
    <t>Books</t>
  </si>
  <si>
    <t>Children And Youth - For|Literature</t>
  </si>
  <si>
    <t>Children's Voice</t>
  </si>
  <si>
    <t>1057-736X</t>
  </si>
  <si>
    <t>1930-868X</t>
  </si>
  <si>
    <t>01-Jan-2017--31-Dec-2019</t>
  </si>
  <si>
    <t>Christian Education Journal</t>
  </si>
  <si>
    <t>Glen Ellyn</t>
  </si>
  <si>
    <t>0739-8913</t>
  </si>
  <si>
    <t>2378-525X</t>
  </si>
  <si>
    <t>Christian Higher Education</t>
  </si>
  <si>
    <t>1536-3759</t>
  </si>
  <si>
    <t>1539-4107</t>
  </si>
  <si>
    <t>The Chronicle for Driver Education Professionals</t>
  </si>
  <si>
    <t>American Driver and Traffic Safety Education Association</t>
  </si>
  <si>
    <t>Indiana</t>
  </si>
  <si>
    <t>2687-8364</t>
  </si>
  <si>
    <t>01-Jan-2017--31-Dec-2017; 01-Jan-2020--31-Dec-2020</t>
  </si>
  <si>
    <t>Education|Transportation--Automobiles</t>
  </si>
  <si>
    <t>The Chronicle of Higher Education</t>
  </si>
  <si>
    <t>Chronicle of Higher Education</t>
  </si>
  <si>
    <t>0009-5982</t>
  </si>
  <si>
    <t>1931-1362</t>
  </si>
  <si>
    <t>01-Jan-1992--31-Dec-1992</t>
  </si>
  <si>
    <t>College And Alumni|Education--Higher Education|Education--Teaching Methods And Curriculum</t>
  </si>
  <si>
    <t>Chung Cheng Educational Studies</t>
  </si>
  <si>
    <t>Chung Cheng University  College of Education</t>
  </si>
  <si>
    <t>China</t>
  </si>
  <si>
    <t>1683-9552</t>
  </si>
  <si>
    <t>01-Jan-2018--31-Dec-2019</t>
  </si>
  <si>
    <t>01-Jan-2017--31-Dec-2019; 01-Jan-2021--31-Dec-2021</t>
  </si>
  <si>
    <t>Class Teaching</t>
  </si>
  <si>
    <t>The Clearing House</t>
  </si>
  <si>
    <t>0009-8655</t>
  </si>
  <si>
    <t>1939-912X</t>
  </si>
  <si>
    <t>Education|Multi-Ethnic</t>
  </si>
  <si>
    <t>Click</t>
  </si>
  <si>
    <t>1094-4273</t>
  </si>
  <si>
    <t>Clifford the Big Red Dog</t>
  </si>
  <si>
    <t>1539-8773</t>
  </si>
  <si>
    <t>Clinical Child and Family Psychology Review</t>
  </si>
  <si>
    <t>1096-4037</t>
  </si>
  <si>
    <t>1573-2827</t>
  </si>
  <si>
    <t>Clues</t>
  </si>
  <si>
    <t>McFarland &amp; Company, Inc.</t>
  </si>
  <si>
    <t>Jefferson</t>
  </si>
  <si>
    <t>0742-4248</t>
  </si>
  <si>
    <t>1940-3046</t>
  </si>
  <si>
    <t>Coach and Athletic Director</t>
  </si>
  <si>
    <t>Jefferson City</t>
  </si>
  <si>
    <t>1087-2000</t>
  </si>
  <si>
    <t>Education--Teaching Methods And Curriculum|Sports And Games</t>
  </si>
  <si>
    <t>Cobblestone</t>
  </si>
  <si>
    <t>0199-5197</t>
  </si>
  <si>
    <t>Children And Youth - About|History--History of North And South America</t>
  </si>
  <si>
    <t>Cogent Education</t>
  </si>
  <si>
    <t>2331-186X</t>
  </si>
  <si>
    <t>Cognition and Instruction</t>
  </si>
  <si>
    <t>0737-0008</t>
  </si>
  <si>
    <t>1532-690X</t>
  </si>
  <si>
    <t>Cognitive Psychology</t>
  </si>
  <si>
    <t>Academic Press</t>
  </si>
  <si>
    <t>San Diego</t>
  </si>
  <si>
    <t>0010-0285</t>
  </si>
  <si>
    <t>1095-5623</t>
  </si>
  <si>
    <t>College &amp; Research Libraries</t>
  </si>
  <si>
    <t>0010-0870</t>
  </si>
  <si>
    <t>2150-6701</t>
  </si>
  <si>
    <t>College And Alumni|Library And Information Sciences</t>
  </si>
  <si>
    <t>College Composition and Communication</t>
  </si>
  <si>
    <t>National Council of Teachers of English</t>
  </si>
  <si>
    <t>Urbana</t>
  </si>
  <si>
    <t>0010-096X</t>
  </si>
  <si>
    <t>1939-9006</t>
  </si>
  <si>
    <t>Education--Higher Education|Education--Teaching Methods And Curriculum|Linguistics</t>
  </si>
  <si>
    <t>College English</t>
  </si>
  <si>
    <t>0010-0994</t>
  </si>
  <si>
    <t>2161-8178</t>
  </si>
  <si>
    <t>01-Jul-2006--01-Mar-2009</t>
  </si>
  <si>
    <t>Education--Higher Education|Education--Teaching Methods And Curriculum|Literature</t>
  </si>
  <si>
    <t>College Literature</t>
  </si>
  <si>
    <t>West Chester</t>
  </si>
  <si>
    <t>0093-3139</t>
  </si>
  <si>
    <t>1542-4286</t>
  </si>
  <si>
    <t>Literature|Literature--Poetry</t>
  </si>
  <si>
    <t>The College Mathematics Journal</t>
  </si>
  <si>
    <t>0746-8342</t>
  </si>
  <si>
    <t>1931-1346</t>
  </si>
  <si>
    <t>College Quarterly</t>
  </si>
  <si>
    <t>Seneca College of Applied Arts and Technology</t>
  </si>
  <si>
    <t>1195-4353</t>
  </si>
  <si>
    <t>2293-7013</t>
  </si>
  <si>
    <t>College Student Affairs Journal</t>
  </si>
  <si>
    <t>Southern Association for College Student Affairs</t>
  </si>
  <si>
    <t>0888-210X</t>
  </si>
  <si>
    <t>College Teaching</t>
  </si>
  <si>
    <t>8756-7555</t>
  </si>
  <si>
    <t>1930-8299</t>
  </si>
  <si>
    <t>College Teaching Methods &amp; Styles Journal</t>
  </si>
  <si>
    <t>1548-9566</t>
  </si>
  <si>
    <t>2157-880X</t>
  </si>
  <si>
    <t>College and University</t>
  </si>
  <si>
    <t>American Association of Collegiate Registrars and Admissions Officers</t>
  </si>
  <si>
    <t>0010-0889</t>
  </si>
  <si>
    <t>Communication Disorders Quarterly</t>
  </si>
  <si>
    <t>1525-7401</t>
  </si>
  <si>
    <t>1538-4837</t>
  </si>
  <si>
    <t>Children And Youth - About|Education--Special Education And Rehabilitation</t>
  </si>
  <si>
    <t>Communication Education</t>
  </si>
  <si>
    <t>0363-4523</t>
  </si>
  <si>
    <t>1479-5795</t>
  </si>
  <si>
    <t>Communications|Education--Special Education And Rehabilitation|Education--Teaching Methods And Curriculum</t>
  </si>
  <si>
    <t>Communication Monographs</t>
  </si>
  <si>
    <t>0363-7751</t>
  </si>
  <si>
    <t>1479-5787</t>
  </si>
  <si>
    <t>Communications|Education|Linguistics</t>
  </si>
  <si>
    <t>Communication Quarterly</t>
  </si>
  <si>
    <t>Eastern Communication Association</t>
  </si>
  <si>
    <t>University Park</t>
  </si>
  <si>
    <t>0146-3373</t>
  </si>
  <si>
    <t>1746-4102</t>
  </si>
  <si>
    <t>Communications|Education--Special Education And Rehabilitation|Linguistics</t>
  </si>
  <si>
    <t>Communication Reports</t>
  </si>
  <si>
    <t>Salt Lake City</t>
  </si>
  <si>
    <t>0893-4215</t>
  </si>
  <si>
    <t>1745-1043</t>
  </si>
  <si>
    <t>Communication Research</t>
  </si>
  <si>
    <t>Beverly Hills</t>
  </si>
  <si>
    <t>0093-6502</t>
  </si>
  <si>
    <t>1552-3810</t>
  </si>
  <si>
    <t>Communications|Sociology</t>
  </si>
  <si>
    <t>Communication Studies</t>
  </si>
  <si>
    <t>Central States Speech Association</t>
  </si>
  <si>
    <t>West Lafayette</t>
  </si>
  <si>
    <t>1051-0974</t>
  </si>
  <si>
    <t>1745-1035</t>
  </si>
  <si>
    <t>Communication Teacher</t>
  </si>
  <si>
    <t>Annandale</t>
  </si>
  <si>
    <t>1740-4622</t>
  </si>
  <si>
    <t>Communications|Education</t>
  </si>
  <si>
    <t>The Community College Enterprise</t>
  </si>
  <si>
    <t>Schoolcraft College</t>
  </si>
  <si>
    <t>Livonia</t>
  </si>
  <si>
    <t>1541-0935</t>
  </si>
  <si>
    <t>Education--Higher Education|Education--School Organization And Administration</t>
  </si>
  <si>
    <t>Community College Journal</t>
  </si>
  <si>
    <t>American Association of Community Colleges</t>
  </si>
  <si>
    <t>1067-1803</t>
  </si>
  <si>
    <t>2151-755X</t>
  </si>
  <si>
    <t>Community College Journal of Research and Practice</t>
  </si>
  <si>
    <t>1066-8926</t>
  </si>
  <si>
    <t>1521-0413</t>
  </si>
  <si>
    <t>Education--Adult Education|Education--Higher Education</t>
  </si>
  <si>
    <t>Community College Review</t>
  </si>
  <si>
    <t>Raleigh</t>
  </si>
  <si>
    <t>0091-5521</t>
  </si>
  <si>
    <t>1940-2325</t>
  </si>
  <si>
    <t>Comparative Education</t>
  </si>
  <si>
    <t>0305-0068</t>
  </si>
  <si>
    <t>1360-0486</t>
  </si>
  <si>
    <t>Comparative Education Review</t>
  </si>
  <si>
    <t>0010-4086</t>
  </si>
  <si>
    <t>1545-701X</t>
  </si>
  <si>
    <t>Comparative and International Education</t>
  </si>
  <si>
    <t>University of Western Ontario</t>
  </si>
  <si>
    <t>2369-2634</t>
  </si>
  <si>
    <t>1927-694X</t>
  </si>
  <si>
    <t>Education--International Education Programs</t>
  </si>
  <si>
    <t>Compare</t>
  </si>
  <si>
    <t>0305-7925</t>
  </si>
  <si>
    <t>1469-3623</t>
  </si>
  <si>
    <t>Complicity</t>
  </si>
  <si>
    <t>Alberta</t>
  </si>
  <si>
    <t>1710-5668</t>
  </si>
  <si>
    <t>Composition Studies</t>
  </si>
  <si>
    <t>University of Cincinnati on behalf of Composition Studies</t>
  </si>
  <si>
    <t>1534-9322</t>
  </si>
  <si>
    <t>Computer Assisted Language Learning</t>
  </si>
  <si>
    <t>0958-8221</t>
  </si>
  <si>
    <t>1744-3210</t>
  </si>
  <si>
    <t>Computers--Computer Assisted Instruction|Education--Computer Applications|Education--Teaching Methods And Curriculum|Linguistics</t>
  </si>
  <si>
    <t>Computer Science Education</t>
  </si>
  <si>
    <t>Norwood</t>
  </si>
  <si>
    <t>0899-3408</t>
  </si>
  <si>
    <t>1744-5175</t>
  </si>
  <si>
    <t>Computers|Education--Computer Applications|Education--Teaching Methods And Curriculum</t>
  </si>
  <si>
    <t>Computers and Composition</t>
  </si>
  <si>
    <t>Ablex Publishing Corporation</t>
  </si>
  <si>
    <t>8755-4615</t>
  </si>
  <si>
    <t>1873-2011</t>
  </si>
  <si>
    <t>Computers|Education--Computer Applications</t>
  </si>
  <si>
    <t>Computers in Education</t>
  </si>
  <si>
    <t>Moorshead Publications</t>
  </si>
  <si>
    <t>0823-9940</t>
  </si>
  <si>
    <t>Computers in Libraries</t>
  </si>
  <si>
    <t>Information Today, Inc.</t>
  </si>
  <si>
    <t>Westport</t>
  </si>
  <si>
    <t>1041-7915</t>
  </si>
  <si>
    <t>Computers--Microcomputers|Library And Information Sciences--Computer Applications</t>
  </si>
  <si>
    <t>Computers in the Schools</t>
  </si>
  <si>
    <t>0738-0569</t>
  </si>
  <si>
    <t>1528-7033</t>
  </si>
  <si>
    <t>Computers--Microcomputers|Computers--Personal Computers|Education--Computer Applications</t>
  </si>
  <si>
    <t>Comunicar</t>
  </si>
  <si>
    <t>Spanish ed.</t>
  </si>
  <si>
    <t>Grupo Comunicar</t>
  </si>
  <si>
    <t>Huelva</t>
  </si>
  <si>
    <t>1134-3478</t>
  </si>
  <si>
    <t>1988-3293</t>
  </si>
  <si>
    <t>Communications|Education|Social Sciences: Comprehensive Works</t>
  </si>
  <si>
    <t>English ed.</t>
  </si>
  <si>
    <t>Education|Social Sciences: Comprehensive Works</t>
  </si>
  <si>
    <t>Conference &amp; Common Room</t>
  </si>
  <si>
    <t>William Clarence Education</t>
  </si>
  <si>
    <t>0265-4458</t>
  </si>
  <si>
    <t>2049-5781</t>
  </si>
  <si>
    <t>Connections</t>
  </si>
  <si>
    <t>Texas Music Educators Conference</t>
  </si>
  <si>
    <t>1073-8193</t>
  </si>
  <si>
    <t>Contemporary Education</t>
  </si>
  <si>
    <t>Indiana State University</t>
  </si>
  <si>
    <t>Terre Haute</t>
  </si>
  <si>
    <t>0010-7476</t>
  </si>
  <si>
    <t>Contemporary Educational Psychology</t>
  </si>
  <si>
    <t>Elsevier BV</t>
  </si>
  <si>
    <t>0361-476X</t>
  </si>
  <si>
    <t>1090-2384</t>
  </si>
  <si>
    <t>Contemporary Issues in Education Research</t>
  </si>
  <si>
    <t>1940-5847</t>
  </si>
  <si>
    <t>1941-756X</t>
  </si>
  <si>
    <t>Contemporary Issues in Education Research (Online)</t>
  </si>
  <si>
    <t>01-Jan-2020--31-Dec-2021</t>
  </si>
  <si>
    <t>Contemporary School Psychology</t>
  </si>
  <si>
    <t>2159-2020</t>
  </si>
  <si>
    <t>2161-1505</t>
  </si>
  <si>
    <t>01-Jan-2010--31-Dec-2010</t>
  </si>
  <si>
    <t>Contents Pages in Education</t>
  </si>
  <si>
    <t>0265-9220</t>
  </si>
  <si>
    <t>1469-3658</t>
  </si>
  <si>
    <t>Contributions to Music Education</t>
  </si>
  <si>
    <t>Ohio Music Education Association</t>
  </si>
  <si>
    <t>0190-4922</t>
  </si>
  <si>
    <t>01-Jan-1975--31-Dec-1975; 01-Jan-1982--31-Dec-1982; 01-Jan-2022--31-Dec-2022</t>
  </si>
  <si>
    <t>01-Jan-1996--31-Dec-1996; 01-Jan-2001--31-Dec-2002; 01-Jan-2022--31-Dec-2022</t>
  </si>
  <si>
    <t>Convergence</t>
  </si>
  <si>
    <t>International Council for Adult Education</t>
  </si>
  <si>
    <t>Uruguay</t>
  </si>
  <si>
    <t>0010-8146</t>
  </si>
  <si>
    <t>The Conversation : Education</t>
  </si>
  <si>
    <t>The Conversation US, Inc.</t>
  </si>
  <si>
    <t>Boston</t>
  </si>
  <si>
    <t>Newspapers</t>
  </si>
  <si>
    <t>Counseling Psychologist</t>
  </si>
  <si>
    <t>College Park</t>
  </si>
  <si>
    <t>0011-0000</t>
  </si>
  <si>
    <t>1552-3861</t>
  </si>
  <si>
    <t>Counseling and Human Development</t>
  </si>
  <si>
    <t>Love Publishing Company</t>
  </si>
  <si>
    <t>0193-7375</t>
  </si>
  <si>
    <t>Counseling and Values</t>
  </si>
  <si>
    <t>0160-7960</t>
  </si>
  <si>
    <t>2161-007X</t>
  </si>
  <si>
    <t>Education--Special Education And Rehabilitation|Psychology|Religions And Theology--Roman Catholic</t>
  </si>
  <si>
    <t>Counselor Education and Supervision</t>
  </si>
  <si>
    <t>0011-0035</t>
  </si>
  <si>
    <t>1556-6978</t>
  </si>
  <si>
    <t>Creative Kids</t>
  </si>
  <si>
    <t>Prufrock Press</t>
  </si>
  <si>
    <t>Waco</t>
  </si>
  <si>
    <t>0892-9599</t>
  </si>
  <si>
    <t>Critical Studies in Education</t>
  </si>
  <si>
    <t>1750-8487</t>
  </si>
  <si>
    <t>1750-8495</t>
  </si>
  <si>
    <t>Critical Studies in Media Communication</t>
  </si>
  <si>
    <t>1529-5036</t>
  </si>
  <si>
    <t>1479-5809</t>
  </si>
  <si>
    <t>Cuadernos de Música, Artes Visuales y Artes Escénicas</t>
  </si>
  <si>
    <t>Editorial Pontificia Universidad Javeriana</t>
  </si>
  <si>
    <t>Colombia</t>
  </si>
  <si>
    <t>1794-6670</t>
  </si>
  <si>
    <t>2215-9959</t>
  </si>
  <si>
    <t>Art|Music</t>
  </si>
  <si>
    <t>Çukurova University. Faculty of Education Journal</t>
  </si>
  <si>
    <t>Cukurova University Faculty of Education</t>
  </si>
  <si>
    <t>Adana</t>
  </si>
  <si>
    <t>1302-9967</t>
  </si>
  <si>
    <t>English|German|Turkish</t>
  </si>
  <si>
    <t>Cultural Studies of Science Education</t>
  </si>
  <si>
    <t>1871-1502</t>
  </si>
  <si>
    <t>1871-1510</t>
  </si>
  <si>
    <t>Cumhuriyet International Journal of Education</t>
  </si>
  <si>
    <t>Dr. Ayhan ÖZTÜRK, Cumhuriyet University/Turkey</t>
  </si>
  <si>
    <t>Sivas</t>
  </si>
  <si>
    <t>2147-1606</t>
  </si>
  <si>
    <t>0011-3131</t>
  </si>
  <si>
    <t>Education|Literary And Political Reviews|Political Science</t>
  </si>
  <si>
    <t>Current Events</t>
  </si>
  <si>
    <t>0011-3492</t>
  </si>
  <si>
    <t>19-Mar-1999--13-May-2002</t>
  </si>
  <si>
    <t>Children And Youth - For|Education</t>
  </si>
  <si>
    <t>Current Health Kids</t>
  </si>
  <si>
    <t>2157-5916</t>
  </si>
  <si>
    <t>01-Sep-1998--01-Oct-2000</t>
  </si>
  <si>
    <t>Current Health Teens</t>
  </si>
  <si>
    <t>2157-5703</t>
  </si>
  <si>
    <t>01-Jan-1999--31-May-2002</t>
  </si>
  <si>
    <t>Education--Teaching Methods And Curriculum|Physical Fitness And Hygiene</t>
  </si>
  <si>
    <t>Current Science</t>
  </si>
  <si>
    <t>0011-3905</t>
  </si>
  <si>
    <t>06-Nov-1998--30-May-2002</t>
  </si>
  <si>
    <t>Children And Youth - For|Education|Literature|Sciences: Comprehensive Works</t>
  </si>
  <si>
    <t>Curriculum Inquiry</t>
  </si>
  <si>
    <t>0362-6784</t>
  </si>
  <si>
    <t>1467-873X</t>
  </si>
  <si>
    <t>01-Jan-2003--31-Dec-2003</t>
  </si>
  <si>
    <t>The Curriculum Journal</t>
  </si>
  <si>
    <t>0958-5176</t>
  </si>
  <si>
    <t>1469-3704</t>
  </si>
  <si>
    <t>Curriculum Review</t>
  </si>
  <si>
    <t>PaperClip Communications</t>
  </si>
  <si>
    <t>Metuchen</t>
  </si>
  <si>
    <t>0147-2453</t>
  </si>
  <si>
    <t>1944-9534</t>
  </si>
  <si>
    <t>Curriculum and Teaching Dialogue</t>
  </si>
  <si>
    <t>1538-750X</t>
  </si>
  <si>
    <t>2169-1231</t>
  </si>
  <si>
    <t>01-Jan-2006--31-Dec-2007; 01-Jan-2009--31-Dec-2009; 01-Jan-2012--31-Dec-2012; 01-Jan-2014--31-Dec-2016</t>
  </si>
  <si>
    <t>Data Technologies and Applications</t>
  </si>
  <si>
    <t>2514-9288</t>
  </si>
  <si>
    <t>2514-9318</t>
  </si>
  <si>
    <t>Library And Information Sciences--Computer Applications</t>
  </si>
  <si>
    <t>Death Studies</t>
  </si>
  <si>
    <t>Taylor &amp; Francis LLC</t>
  </si>
  <si>
    <t>0748-1187</t>
  </si>
  <si>
    <t>1091-7683</t>
  </si>
  <si>
    <t>Education--Teaching Methods And Curriculum|Gerontology And Geriatrics|Psychology|Sociology</t>
  </si>
  <si>
    <t>Decision Sciences Journal of Innovative Education</t>
  </si>
  <si>
    <t>Atlanta</t>
  </si>
  <si>
    <t>1540-4595</t>
  </si>
  <si>
    <t>1540-4609</t>
  </si>
  <si>
    <t>Delta Kappa Gamma Bulletin</t>
  </si>
  <si>
    <t>Delta Kappa Gamma Society International</t>
  </si>
  <si>
    <t>0011-8044</t>
  </si>
  <si>
    <t>2169-5326</t>
  </si>
  <si>
    <t>Education--Higher Education|Women's Interests</t>
  </si>
  <si>
    <t>Die Deutsche Schule</t>
  </si>
  <si>
    <t>Waxmann Verlag GmbH</t>
  </si>
  <si>
    <t>Münster</t>
  </si>
  <si>
    <t>0012-0731</t>
  </si>
  <si>
    <t>German</t>
  </si>
  <si>
    <t>Developmental Disabilities Bulletin</t>
  </si>
  <si>
    <t>University of Alberta - The Governors of, Developmental Disabilities Centre</t>
  </si>
  <si>
    <t>1184-0412</t>
  </si>
  <si>
    <t>Developmental Medicine and Child Neurology</t>
  </si>
  <si>
    <t>Mac Keith Press</t>
  </si>
  <si>
    <t>0012-1622</t>
  </si>
  <si>
    <t>1469-8749</t>
  </si>
  <si>
    <t>Children And Youth - About|Medical Sciences--Pediatrics|Medical Sciences--Psychiatry And Neurology</t>
  </si>
  <si>
    <t>Developmental Psychology</t>
  </si>
  <si>
    <t>American Psychological Association</t>
  </si>
  <si>
    <t>0012-1649</t>
  </si>
  <si>
    <t>1939-0599</t>
  </si>
  <si>
    <t>Dialogic Pedagogy</t>
  </si>
  <si>
    <t>University Library System, University of Pittsburgh</t>
  </si>
  <si>
    <t>Pittsburgh</t>
  </si>
  <si>
    <t>2325-3290</t>
  </si>
  <si>
    <t>Diaspora, Indigenous and Minority Education</t>
  </si>
  <si>
    <t>1559-5692</t>
  </si>
  <si>
    <t>1559-5706</t>
  </si>
  <si>
    <t>Digital Learning</t>
  </si>
  <si>
    <t>Athena Information Solutions Pvt. Ltd.</t>
  </si>
  <si>
    <t>Noida</t>
  </si>
  <si>
    <t>0973-4139</t>
  </si>
  <si>
    <t>Education--Computer Applications</t>
  </si>
  <si>
    <t>Dil ve Edebiyat Egitimi Dergisi</t>
  </si>
  <si>
    <t>Journal of Language and Literature Education / Assoc. Prof. Dr Adnan Karadüz (The Editor)</t>
  </si>
  <si>
    <t>Kayseri</t>
  </si>
  <si>
    <t>2146-6971</t>
  </si>
  <si>
    <t>Education|Linguistics|Literature</t>
  </si>
  <si>
    <t>Dilemas Contemporáneos : Educación, Política y Valore</t>
  </si>
  <si>
    <t>Asesorías y tutorías para la investigación científica en la Educación Puig-Salabarría S.C.</t>
  </si>
  <si>
    <t>Toluca</t>
  </si>
  <si>
    <t>Mexico</t>
  </si>
  <si>
    <t>2007-7890</t>
  </si>
  <si>
    <t>Disability &amp; Society</t>
  </si>
  <si>
    <t>0968-7599</t>
  </si>
  <si>
    <t>1360-0508</t>
  </si>
  <si>
    <t>01-Jan-2001--31-Dec-2001; 01-Jan-2003--31-Dec-2005; 01-Jan-2011--31-Dec-2011</t>
  </si>
  <si>
    <t>Education--Special Education And Rehabilitation|People With Disabilities--Physically Impaired</t>
  </si>
  <si>
    <t>Disciplinary and Interdisciplinary Science Education Research</t>
  </si>
  <si>
    <t>Beijing</t>
  </si>
  <si>
    <t>2662-2300</t>
  </si>
  <si>
    <t>Discourse</t>
  </si>
  <si>
    <t>Wayne State University Press</t>
  </si>
  <si>
    <t>Detroit</t>
  </si>
  <si>
    <t>1522-5321</t>
  </si>
  <si>
    <t>1536-1810</t>
  </si>
  <si>
    <t>Communications|Humanities: Comprehensive Works</t>
  </si>
  <si>
    <t>0159-6306</t>
  </si>
  <si>
    <t>1469-3739</t>
  </si>
  <si>
    <t>Discourse and Communication for Sustainable Education</t>
  </si>
  <si>
    <t>De Gruyter Poland</t>
  </si>
  <si>
    <t>Daugavpils</t>
  </si>
  <si>
    <t>1691-6301</t>
  </si>
  <si>
    <t>2255-7547</t>
  </si>
  <si>
    <t>Distance Education</t>
  </si>
  <si>
    <t>0158-7919</t>
  </si>
  <si>
    <t>1475-0198</t>
  </si>
  <si>
    <t>01-Jan-2004--31-Dec-2004</t>
  </si>
  <si>
    <t>Distance Learning</t>
  </si>
  <si>
    <t>1547-4712</t>
  </si>
  <si>
    <t>Computers--Computer Assisted Instruction|Education--Teaching Methods And Curriculum</t>
  </si>
  <si>
    <t>Diverse Issues in Higher Education</t>
  </si>
  <si>
    <t>Cox, Matthews &amp; Associates, Inc.</t>
  </si>
  <si>
    <t>1557-5411</t>
  </si>
  <si>
    <t>2163-5862</t>
  </si>
  <si>
    <t>Education--Higher Education|Ethnic Interests|Multi-Ethnic</t>
  </si>
  <si>
    <t>Drug and Alcohol Review</t>
  </si>
  <si>
    <t>Surry Hills</t>
  </si>
  <si>
    <t>0959-5236</t>
  </si>
  <si>
    <t>1465-3362</t>
  </si>
  <si>
    <t>Drug Abuse And Alcoholism|Education</t>
  </si>
  <si>
    <t>Drugs; Education, Prevention and Policy</t>
  </si>
  <si>
    <t>0968-7637</t>
  </si>
  <si>
    <t>1465-3370</t>
  </si>
  <si>
    <t>Dyslexia</t>
  </si>
  <si>
    <t>Bracknell</t>
  </si>
  <si>
    <t>1076-9242</t>
  </si>
  <si>
    <t>1099-0909</t>
  </si>
  <si>
    <t>EAF Journal</t>
  </si>
  <si>
    <t>Journal of Educational Administration and Foundations</t>
  </si>
  <si>
    <t>0831-3318</t>
  </si>
  <si>
    <t>01-Jan-2015--31-Dec-2015</t>
  </si>
  <si>
    <t>EAI Endorsed Transactions on e-Learning</t>
  </si>
  <si>
    <t>European Alliance for Innovation (EAI)</t>
  </si>
  <si>
    <t>Ghent</t>
  </si>
  <si>
    <t>Slovakia</t>
  </si>
  <si>
    <t>2032-9253</t>
  </si>
  <si>
    <t>EContent</t>
  </si>
  <si>
    <t>Wilton</t>
  </si>
  <si>
    <t>1525-2531</t>
  </si>
  <si>
    <t>Business And Economics--Management|Computers--Data Base Management|Computers--Internet</t>
  </si>
  <si>
    <t>EDUCAUSE Review</t>
  </si>
  <si>
    <t>EDUCAUSE</t>
  </si>
  <si>
    <t>Boulder</t>
  </si>
  <si>
    <t>1527-6619</t>
  </si>
  <si>
    <t>1945-709X</t>
  </si>
  <si>
    <t>EFTA News/EFTA Bulletin</t>
  </si>
  <si>
    <t>English edition</t>
  </si>
  <si>
    <t>European Free Trade Association</t>
  </si>
  <si>
    <t>Geneva</t>
  </si>
  <si>
    <t>Switzerland</t>
  </si>
  <si>
    <t>Business And Economics|Business And Economics--Domestic Commerce</t>
  </si>
  <si>
    <t>ELIA</t>
  </si>
  <si>
    <t>Universidad de Sevilla, Departamento de Lengua Inglesa</t>
  </si>
  <si>
    <t>Sevilla</t>
  </si>
  <si>
    <t>1576-5059</t>
  </si>
  <si>
    <t>2253-8283</t>
  </si>
  <si>
    <t>ELT Journal</t>
  </si>
  <si>
    <t>0951-0893</t>
  </si>
  <si>
    <t>1477-4526</t>
  </si>
  <si>
    <t>Early Childhood Education Journal</t>
  </si>
  <si>
    <t>1082-3301</t>
  </si>
  <si>
    <t>1573-1707</t>
  </si>
  <si>
    <t>Children And Youth - About|Education|Psychology|Social Services And Welfare</t>
  </si>
  <si>
    <t>Early Childhood Research Quarterly</t>
  </si>
  <si>
    <t>0885-2006</t>
  </si>
  <si>
    <t>1873-7706</t>
  </si>
  <si>
    <t>Early Education and Development</t>
  </si>
  <si>
    <t>1040-9289</t>
  </si>
  <si>
    <t>1556-6935</t>
  </si>
  <si>
    <t>Early Intervention &amp; School Special Interest Section Quarterly / American Occupational Therapy Association</t>
  </si>
  <si>
    <t>2150-3370</t>
  </si>
  <si>
    <t>Early Years</t>
  </si>
  <si>
    <t>0957-5146</t>
  </si>
  <si>
    <t>1472-4421</t>
  </si>
  <si>
    <t>Pharmacy And Pharmacology</t>
  </si>
  <si>
    <t>Eccos</t>
  </si>
  <si>
    <t>Universidade Nove de Julho (UNINOVE); Programa de Pós-Graduação em Educação</t>
  </si>
  <si>
    <t>Sao Paulo</t>
  </si>
  <si>
    <t>1517-1949</t>
  </si>
  <si>
    <t>1983-9278</t>
  </si>
  <si>
    <t>Educação Temática Digital</t>
  </si>
  <si>
    <t>Universidade Estadual de Campinas, Faculdade de Educação</t>
  </si>
  <si>
    <t>Campinas</t>
  </si>
  <si>
    <t>1676-2592</t>
  </si>
  <si>
    <t>Computers--Information Science And Information Theory|Education|Psychology</t>
  </si>
  <si>
    <t>Educação Unisinos</t>
  </si>
  <si>
    <t>Universidade do Vale do Rio dos Sinos - UNISINOS, Editoria de Periódicos Científicos</t>
  </si>
  <si>
    <t>São Leopoldo</t>
  </si>
  <si>
    <t>1519-387X</t>
  </si>
  <si>
    <t>2177-6210</t>
  </si>
  <si>
    <t>Educação e Realidade</t>
  </si>
  <si>
    <t>Universidade Federal do Rio Grande do Sul, Faculdade de Educação</t>
  </si>
  <si>
    <t>Porto Alegre</t>
  </si>
  <si>
    <t>0100-3143</t>
  </si>
  <si>
    <t>2175-6236</t>
  </si>
  <si>
    <t>Educación Artística</t>
  </si>
  <si>
    <t>Universitat de Valencia, Institut de Creativitat i Innovacions Educatives</t>
  </si>
  <si>
    <t>Valencia</t>
  </si>
  <si>
    <t>1695-8403</t>
  </si>
  <si>
    <t>2254-7592</t>
  </si>
  <si>
    <t>Education|Medical Sciences--Psychiatry And Neurology</t>
  </si>
  <si>
    <t>Educación Física y Ciencia</t>
  </si>
  <si>
    <t>1514-0105</t>
  </si>
  <si>
    <t>2314-2561</t>
  </si>
  <si>
    <t>01-Jan-2011--31-Dec-2012</t>
  </si>
  <si>
    <t>English|Portuguese|Spanish; Castilian</t>
  </si>
  <si>
    <t>Education|Physical Fitness And Hygiene</t>
  </si>
  <si>
    <t>Educación XX1</t>
  </si>
  <si>
    <t>Universidad Nacional de Educacion a Distancia (UNED)</t>
  </si>
  <si>
    <t>Madrid</t>
  </si>
  <si>
    <t>1139-613X</t>
  </si>
  <si>
    <t>2174-5374</t>
  </si>
  <si>
    <t>Educación y Educadores</t>
  </si>
  <si>
    <t>Universidad de La Sabana</t>
  </si>
  <si>
    <t>Chia</t>
  </si>
  <si>
    <t>0123-1294</t>
  </si>
  <si>
    <t>Educatia 21</t>
  </si>
  <si>
    <t>Babes-Bolyai University, Educational Sciences Department</t>
  </si>
  <si>
    <t>2247-8671</t>
  </si>
  <si>
    <t>1841-0456</t>
  </si>
  <si>
    <t>Educatio Siglo XXI</t>
  </si>
  <si>
    <t>Servicio de Publicaciones, Universidad de Murcia</t>
  </si>
  <si>
    <t>Murcia</t>
  </si>
  <si>
    <t>1699-2105</t>
  </si>
  <si>
    <t>1989-466X</t>
  </si>
  <si>
    <t>0013-1156</t>
  </si>
  <si>
    <t>01-Jan-2006--31-Dec-2008</t>
  </si>
  <si>
    <t>Education &amp; Law Journal</t>
  </si>
  <si>
    <t>HAB Press Limited</t>
  </si>
  <si>
    <t>0838-2875</t>
  </si>
  <si>
    <t>Education|Law</t>
  </si>
  <si>
    <t>Education &amp; Training</t>
  </si>
  <si>
    <t>0040-0912</t>
  </si>
  <si>
    <t>1758-6127</t>
  </si>
  <si>
    <t>Education|Technology: Comprehensive Works</t>
  </si>
  <si>
    <t>Education &amp; Treatment of Children</t>
  </si>
  <si>
    <t>0748-8491</t>
  </si>
  <si>
    <t>1934-8924</t>
  </si>
  <si>
    <t>Education + Development [BLOG]</t>
  </si>
  <si>
    <t>Education 3 - 13</t>
  </si>
  <si>
    <t>Long Marston</t>
  </si>
  <si>
    <t>0300-4279</t>
  </si>
  <si>
    <t>1475-7575</t>
  </si>
  <si>
    <t>Education Canada</t>
  </si>
  <si>
    <t>Canadian Education Association</t>
  </si>
  <si>
    <t>0013-1253</t>
  </si>
  <si>
    <t>01-Jan-2011--31-Dec-2017</t>
  </si>
  <si>
    <t>Education Daily</t>
  </si>
  <si>
    <t>0013-1261</t>
  </si>
  <si>
    <t>1938-1379</t>
  </si>
  <si>
    <t>04-May-2004--03-Jan-2006</t>
  </si>
  <si>
    <t>Education Department Documents and Publications</t>
  </si>
  <si>
    <t>Federal Information &amp; News Dispatch, LLC</t>
  </si>
  <si>
    <t>Education|Public Administration</t>
  </si>
  <si>
    <t>The Education Digest</t>
  </si>
  <si>
    <t>Prakken Publications, Inc.</t>
  </si>
  <si>
    <t>0013-127X</t>
  </si>
  <si>
    <t>1949-0275</t>
  </si>
  <si>
    <t>Education Economics</t>
  </si>
  <si>
    <t>0964-5292</t>
  </si>
  <si>
    <t>1469-5782</t>
  </si>
  <si>
    <t>Education|Education--School Organization And Administration</t>
  </si>
  <si>
    <t>Education Forum</t>
  </si>
  <si>
    <t>Ontario Secondary School Teachers' Federation</t>
  </si>
  <si>
    <t>0840-9269</t>
  </si>
  <si>
    <t>Education Grants Alert</t>
  </si>
  <si>
    <t>1056-2656</t>
  </si>
  <si>
    <t>30-Apr-2004--31-Dec-2005</t>
  </si>
  <si>
    <t>Education Indicators in Focus</t>
  </si>
  <si>
    <t>2226-7077</t>
  </si>
  <si>
    <t>Education Libraries (Online)</t>
  </si>
  <si>
    <t>Special Libraries Association, Education Division</t>
  </si>
  <si>
    <t>2376-8711</t>
  </si>
  <si>
    <t>Education|Library And Information Sciences</t>
  </si>
  <si>
    <t>Education Libraries Journal</t>
  </si>
  <si>
    <t>LISE-Librarians of Institutes and Schools of Education</t>
  </si>
  <si>
    <t>0957-9575</t>
  </si>
  <si>
    <t>Education Next</t>
  </si>
  <si>
    <t>1539-9664</t>
  </si>
  <si>
    <t>1539-9672</t>
  </si>
  <si>
    <t>Education Next Institute</t>
  </si>
  <si>
    <t>Education Policy Outlook</t>
  </si>
  <si>
    <t>2707-6725</t>
  </si>
  <si>
    <t>01-Jan-2016--31-Dec-2017; 01-Jan-2020--31-Dec-2020</t>
  </si>
  <si>
    <t>Other Sources</t>
  </si>
  <si>
    <t>Education|Education--International Education Programs|Education--School Organization And Administration</t>
  </si>
  <si>
    <t>Education Research International</t>
  </si>
  <si>
    <t>Hindawi Limited</t>
  </si>
  <si>
    <t>2090-4002</t>
  </si>
  <si>
    <t>2090-4010</t>
  </si>
  <si>
    <t>Education Research and Perspectives</t>
  </si>
  <si>
    <t>0311-2543</t>
  </si>
  <si>
    <t>Education Research and Perspectives (Online)</t>
  </si>
  <si>
    <t>Crawley</t>
  </si>
  <si>
    <t>1446-0017</t>
  </si>
  <si>
    <t>Education Sciences</t>
  </si>
  <si>
    <t>MDPI AG</t>
  </si>
  <si>
    <t>2227-7102</t>
  </si>
  <si>
    <t>Education Special Interest Section Quarterly / American Occupational Therapy Association</t>
  </si>
  <si>
    <t>1093-7188</t>
  </si>
  <si>
    <t>Education--Adult Education|Public Health And Safety</t>
  </si>
  <si>
    <t>Education Thinking</t>
  </si>
  <si>
    <t>Analytrics</t>
  </si>
  <si>
    <t>Strasbourg</t>
  </si>
  <si>
    <t>2778-777X</t>
  </si>
  <si>
    <t>Education Today</t>
  </si>
  <si>
    <t>Ontario Public School Board's Association</t>
  </si>
  <si>
    <t>0843-5081</t>
  </si>
  <si>
    <t>Education U.S.A.</t>
  </si>
  <si>
    <t>0013-1571</t>
  </si>
  <si>
    <t>01-Jan-2005--31-Dec-2005</t>
  </si>
  <si>
    <t>Education Week</t>
  </si>
  <si>
    <t>Editorial Projects in Education</t>
  </si>
  <si>
    <t>0277-4232</t>
  </si>
  <si>
    <t>1944-8333</t>
  </si>
  <si>
    <t>Education Week's Digital Directions</t>
  </si>
  <si>
    <t>1940-8609</t>
  </si>
  <si>
    <t>1940-8617</t>
  </si>
  <si>
    <t>Education and Information Technologies</t>
  </si>
  <si>
    <t>1360-2357</t>
  </si>
  <si>
    <t>1573-7608</t>
  </si>
  <si>
    <t>Computers--Information Science And Information Theory|Education--Teaching Methods And Curriculum</t>
  </si>
  <si>
    <t>Education and Science Without Borders</t>
  </si>
  <si>
    <t>Education and Science without Borders</t>
  </si>
  <si>
    <t>Prague</t>
  </si>
  <si>
    <t>Czech Republic</t>
  </si>
  <si>
    <t>1804-2473</t>
  </si>
  <si>
    <t>Education and Training in Autism and Developmental Disabilities</t>
  </si>
  <si>
    <t>Division on Autism and Developmental Disabilities</t>
  </si>
  <si>
    <t>2154-1647</t>
  </si>
  <si>
    <t>Education and Urban Society</t>
  </si>
  <si>
    <t>0013-1245</t>
  </si>
  <si>
    <t>1552-3535</t>
  </si>
  <si>
    <t>Education|Political Science|Sociology</t>
  </si>
  <si>
    <t>Education at a Glance</t>
  </si>
  <si>
    <t>1563-051X</t>
  </si>
  <si>
    <t>1999-1487</t>
  </si>
  <si>
    <t>Education for Health</t>
  </si>
  <si>
    <t>Medknow Publications &amp; Media Pvt. Ltd.</t>
  </si>
  <si>
    <t>Mumbai</t>
  </si>
  <si>
    <t>1357-6283</t>
  </si>
  <si>
    <t>1469-5804</t>
  </si>
  <si>
    <t>01-Jan-2001--31-Dec-2004; 01-Jan-2006--31-Dec-2006</t>
  </si>
  <si>
    <t>Education|Medical Sciences</t>
  </si>
  <si>
    <t>Education for Information</t>
  </si>
  <si>
    <t>IOS Press BV</t>
  </si>
  <si>
    <t>Amsterdam</t>
  </si>
  <si>
    <t>0167-8329</t>
  </si>
  <si>
    <t>1875-8649</t>
  </si>
  <si>
    <t>Education in the Knowledge Society</t>
  </si>
  <si>
    <t>2444-8729</t>
  </si>
  <si>
    <t>Education, Business and Society: Contemporary Middle Eastern Issues</t>
  </si>
  <si>
    <t>1753-7983</t>
  </si>
  <si>
    <t>1753-7991</t>
  </si>
  <si>
    <t>Business And Economics|Education|Sociology</t>
  </si>
  <si>
    <t>Education, Knowledge &amp; Economy</t>
  </si>
  <si>
    <t>1749-6896</t>
  </si>
  <si>
    <t>1749-690X</t>
  </si>
  <si>
    <t>Business And Economics|Education</t>
  </si>
  <si>
    <t>Educational Administration Abstracts</t>
  </si>
  <si>
    <t>0013-1601</t>
  </si>
  <si>
    <t>1552-3527</t>
  </si>
  <si>
    <t>Abstracting And Indexing Services|Education|Education--Abstracting, Bibliographies, Statistics</t>
  </si>
  <si>
    <t>Educational Administration Quarterly</t>
  </si>
  <si>
    <t>0013-161X</t>
  </si>
  <si>
    <t>1552-3519</t>
  </si>
  <si>
    <t>Educational Assessment</t>
  </si>
  <si>
    <t>1062-7197</t>
  </si>
  <si>
    <t>1532-6977</t>
  </si>
  <si>
    <t>Educational Assessment, Evaluation and Accountability</t>
  </si>
  <si>
    <t>1874-8597</t>
  </si>
  <si>
    <t>1874-8600</t>
  </si>
  <si>
    <t>01-Jan-2008--31-Dec-2008</t>
  </si>
  <si>
    <t>Business And Economics--Management|Business And Economics--Personnel Management|Education</t>
  </si>
  <si>
    <t>Educational Digest</t>
  </si>
  <si>
    <t>JanGar Publications, Inc.</t>
  </si>
  <si>
    <t>Gormley</t>
  </si>
  <si>
    <t>0046-1482</t>
  </si>
  <si>
    <t>Educational Evaluation and Policy Analysis</t>
  </si>
  <si>
    <t>0162-3737</t>
  </si>
  <si>
    <t>1935-1062</t>
  </si>
  <si>
    <t>01-Jan-1987--31-Dec-1987; 01-Jan-2000--31-Dec-2000</t>
  </si>
  <si>
    <t>01-Jan-1987--31-Dec-1987; 01-Jan-2000--31-Dec-2000; 01-Jan-2002--31-Dec-2003</t>
  </si>
  <si>
    <t>The Educational Forum</t>
  </si>
  <si>
    <t>Kappa Delta Pi</t>
  </si>
  <si>
    <t>0013-1725</t>
  </si>
  <si>
    <t>1938-8098</t>
  </si>
  <si>
    <t>Educational Gerontology</t>
  </si>
  <si>
    <t>0360-1277</t>
  </si>
  <si>
    <t>1521-0472</t>
  </si>
  <si>
    <t>Education--Adult Education|Gerontology And Geriatrics</t>
  </si>
  <si>
    <t>Educational Leadership</t>
  </si>
  <si>
    <t>0013-1784</t>
  </si>
  <si>
    <t>1943-5878</t>
  </si>
  <si>
    <t>Educational Leadership and Administration</t>
  </si>
  <si>
    <t>Caddo Gap Press</t>
  </si>
  <si>
    <t>1064-4474</t>
  </si>
  <si>
    <t>California Association of Professors of Education Administration</t>
  </si>
  <si>
    <t>Hayward</t>
  </si>
  <si>
    <t>Educational Management Abstracts</t>
  </si>
  <si>
    <t>1467-582X</t>
  </si>
  <si>
    <t>1467-5838</t>
  </si>
  <si>
    <t>Abstracting And Indexing Services|Education--Abstracting, Bibliographies, Statistics</t>
  </si>
  <si>
    <t>Educational Management Administration &amp; Leadership</t>
  </si>
  <si>
    <t>1741-1432</t>
  </si>
  <si>
    <t>1741-1440</t>
  </si>
  <si>
    <t>Educational Measurement, Issues and Practice</t>
  </si>
  <si>
    <t>0731-1745</t>
  </si>
  <si>
    <t>1745-3992</t>
  </si>
  <si>
    <t>Educational Media International</t>
  </si>
  <si>
    <t>0952-3987</t>
  </si>
  <si>
    <t>1469-5790</t>
  </si>
  <si>
    <t>Educational Philosophy and Theory</t>
  </si>
  <si>
    <t>0013-1857</t>
  </si>
  <si>
    <t>1469-5812</t>
  </si>
  <si>
    <t>Educational Policy</t>
  </si>
  <si>
    <t>Los Altos</t>
  </si>
  <si>
    <t>0895-9048</t>
  </si>
  <si>
    <t>1552-3896</t>
  </si>
  <si>
    <t>Educational Policy Forum</t>
  </si>
  <si>
    <t>National Chi Nan University, Department of Education Policy and Administration</t>
  </si>
  <si>
    <t>Puli</t>
  </si>
  <si>
    <t>1560-8298</t>
  </si>
  <si>
    <t>Educational Process: International Journal</t>
  </si>
  <si>
    <t>Universitepark, Co. Ltd.</t>
  </si>
  <si>
    <t>Kutahya</t>
  </si>
  <si>
    <t>2147-0901</t>
  </si>
  <si>
    <t>2564-8020</t>
  </si>
  <si>
    <t>Educational Psychologist</t>
  </si>
  <si>
    <t>0046-1520</t>
  </si>
  <si>
    <t>1532-6985</t>
  </si>
  <si>
    <t>Educational Psychology</t>
  </si>
  <si>
    <t>Dorchester-on-Thames</t>
  </si>
  <si>
    <t>0144-3410</t>
  </si>
  <si>
    <t>1469-5820</t>
  </si>
  <si>
    <t>Educational Psychology Review</t>
  </si>
  <si>
    <t>1040-726X</t>
  </si>
  <si>
    <t>1573-336X</t>
  </si>
  <si>
    <t>Educational Psychology in Practice</t>
  </si>
  <si>
    <t>Harlow</t>
  </si>
  <si>
    <t>0266-7363</t>
  </si>
  <si>
    <t>1469-5839</t>
  </si>
  <si>
    <t>The Educational Record</t>
  </si>
  <si>
    <t>American Council on Education</t>
  </si>
  <si>
    <t>0013-1873</t>
  </si>
  <si>
    <t>Educational Research Quarterly</t>
  </si>
  <si>
    <t>West Monroe</t>
  </si>
  <si>
    <t>0196-5042</t>
  </si>
  <si>
    <t>Educational Research and Evaluation</t>
  </si>
  <si>
    <t>1380-3611</t>
  </si>
  <si>
    <t>1744-4187</t>
  </si>
  <si>
    <t>01-Jan-2021--31-Dec-2021</t>
  </si>
  <si>
    <t>Educational Research and Innovation</t>
  </si>
  <si>
    <t>2076-9679</t>
  </si>
  <si>
    <t>01-Jan-2011--31-Dec-2011</t>
  </si>
  <si>
    <t>Educational Research for Policy and Practice</t>
  </si>
  <si>
    <t>1570-2081</t>
  </si>
  <si>
    <t>1573-1723</t>
  </si>
  <si>
    <t>Educational Research for Social Change</t>
  </si>
  <si>
    <t>Nelson Mandela Metropolitan University, Faculty of Education</t>
  </si>
  <si>
    <t>Port Elizabeth</t>
  </si>
  <si>
    <t>South Africa</t>
  </si>
  <si>
    <t>2221-4070</t>
  </si>
  <si>
    <t>Educational Researcher</t>
  </si>
  <si>
    <t>0013-189X</t>
  </si>
  <si>
    <t>1935-102X</t>
  </si>
  <si>
    <t>Educational Review</t>
  </si>
  <si>
    <t>Birmingham</t>
  </si>
  <si>
    <t>0013-1911</t>
  </si>
  <si>
    <t>1465-3397</t>
  </si>
  <si>
    <t>National Kaohsiung Normal University, Department of Education</t>
  </si>
  <si>
    <t>1563-3527</t>
  </si>
  <si>
    <t>The Educational Review, USA</t>
  </si>
  <si>
    <t>Hill Publishing Group Inc</t>
  </si>
  <si>
    <t>Elmhurst</t>
  </si>
  <si>
    <t>2575-7938</t>
  </si>
  <si>
    <t>2575-7946</t>
  </si>
  <si>
    <t>Educational Studies</t>
  </si>
  <si>
    <t>0305-5698</t>
  </si>
  <si>
    <t>1465-3400</t>
  </si>
  <si>
    <t>Routledge, Taylor &amp; Francis Group</t>
  </si>
  <si>
    <t>0013-1946</t>
  </si>
  <si>
    <t>1532-6993</t>
  </si>
  <si>
    <t>01-Jan-2000--31-Dec-2003; 01-Jan-2017--31-Dec-2019</t>
  </si>
  <si>
    <t>Educational Technology Abstracts</t>
  </si>
  <si>
    <t>0266-3368</t>
  </si>
  <si>
    <t>1467-5846</t>
  </si>
  <si>
    <t>Education--Abstracting, Bibliographies, Statistics</t>
  </si>
  <si>
    <t>Educational Technology Research and Development</t>
  </si>
  <si>
    <t>1042-1629</t>
  </si>
  <si>
    <t>1556-6501</t>
  </si>
  <si>
    <t>01-Jan-1998--31-Dec-2005; 01-Jan-2008--31-Dec-2008</t>
  </si>
  <si>
    <t>Communications|Education|Motion Pictures</t>
  </si>
  <si>
    <t>Educational Theory</t>
  </si>
  <si>
    <t>0013-2004</t>
  </si>
  <si>
    <t>1741-5446</t>
  </si>
  <si>
    <t>Educational and Psychological Measurement</t>
  </si>
  <si>
    <t>0013-1644</t>
  </si>
  <si>
    <t>1552-3888</t>
  </si>
  <si>
    <t>Educação &amp; Formação</t>
  </si>
  <si>
    <t>Universidade Estadual do Ceará</t>
  </si>
  <si>
    <t>Fortaleza-Ceará-Brasil</t>
  </si>
  <si>
    <t>2448-3583</t>
  </si>
  <si>
    <t>Educação Matemática Pesquisa</t>
  </si>
  <si>
    <t>Pontifícia Universidade Católica de São Paulo PUC-SP, Programa de Estudos Pós-Graduados em Educação Matemática</t>
  </si>
  <si>
    <t>1516-5388</t>
  </si>
  <si>
    <t>1983-3156</t>
  </si>
  <si>
    <t>Eesti Haridusteaduste Ajakiri</t>
  </si>
  <si>
    <t>University of Tartu Press</t>
  </si>
  <si>
    <t>Tartu</t>
  </si>
  <si>
    <t>Estonia</t>
  </si>
  <si>
    <t>2346-562X</t>
  </si>
  <si>
    <t>English|Estonian</t>
  </si>
  <si>
    <t>Effective Education</t>
  </si>
  <si>
    <t>1941-5532</t>
  </si>
  <si>
    <t>1941-5540</t>
  </si>
  <si>
    <t>Egitim Bilimleri Fakultesi Dergisi</t>
  </si>
  <si>
    <t>Ankara Universitesi</t>
  </si>
  <si>
    <t>Ankara</t>
  </si>
  <si>
    <t>1301-3718</t>
  </si>
  <si>
    <t>Egitim ve Bilim</t>
  </si>
  <si>
    <t>Turk Egitim Dernegi</t>
  </si>
  <si>
    <t>1300-1337</t>
  </si>
  <si>
    <t>Electronic Journal of E-Learning</t>
  </si>
  <si>
    <t>Academic Conferences International Limited</t>
  </si>
  <si>
    <t>Reading</t>
  </si>
  <si>
    <t>1479-4403</t>
  </si>
  <si>
    <t>Education--Computer Applications|Education--Teaching Methods And Curriculum</t>
  </si>
  <si>
    <t>Electronic Learning in Your Classroom</t>
  </si>
  <si>
    <t>Computers--Computer Assisted Instruction|Education--Computer Applications|Education--Teaching Methods And Curriculum</t>
  </si>
  <si>
    <t>The Electronic Library</t>
  </si>
  <si>
    <t>0264-0473</t>
  </si>
  <si>
    <t>1758-616X</t>
  </si>
  <si>
    <t>The Elementary STEM Journal</t>
  </si>
  <si>
    <t>International Technology Education Association</t>
  </si>
  <si>
    <t>2692-580X</t>
  </si>
  <si>
    <t>2692-5818</t>
  </si>
  <si>
    <t>Ceased Title</t>
  </si>
  <si>
    <t>Elementary School Guidance and Counseling</t>
  </si>
  <si>
    <t>American Counseling Association</t>
  </si>
  <si>
    <t>0013-5976</t>
  </si>
  <si>
    <t>Children And Youth - About|Education|Psychology</t>
  </si>
  <si>
    <t>The Elementary School Journal</t>
  </si>
  <si>
    <t>0013-5984</t>
  </si>
  <si>
    <t>1554-8279</t>
  </si>
  <si>
    <t>Empirical Research in Vocational Education and Training</t>
  </si>
  <si>
    <t>1877-6337</t>
  </si>
  <si>
    <t>1877-6345</t>
  </si>
  <si>
    <t>Encounter</t>
  </si>
  <si>
    <t>Christian Theological Seminary</t>
  </si>
  <si>
    <t>Indianapolis</t>
  </si>
  <si>
    <t>0013-7081</t>
  </si>
  <si>
    <t>Encounters on Education</t>
  </si>
  <si>
    <t>Queens University</t>
  </si>
  <si>
    <t>1494-4936</t>
  </si>
  <si>
    <t>1925-8992</t>
  </si>
  <si>
    <t>English|French|Spanish; Castilian</t>
  </si>
  <si>
    <t>English Education</t>
  </si>
  <si>
    <t>0007-8204</t>
  </si>
  <si>
    <t>1943-2216</t>
  </si>
  <si>
    <t>English Journal</t>
  </si>
  <si>
    <t>High school edition</t>
  </si>
  <si>
    <t>0013-8274</t>
  </si>
  <si>
    <t>2161-8895</t>
  </si>
  <si>
    <t>Education|Education--Teaching Methods And Curriculum|Linguistics</t>
  </si>
  <si>
    <t>English Language Teaching Educational Journal</t>
  </si>
  <si>
    <t>Universitas Ahmad Dahlan</t>
  </si>
  <si>
    <t>Yogjakarta</t>
  </si>
  <si>
    <t>Indonesia</t>
  </si>
  <si>
    <t>2621-6485</t>
  </si>
  <si>
    <t>01-Jan-2019--31-Dec-2020</t>
  </si>
  <si>
    <t>English Leadership Quarterly</t>
  </si>
  <si>
    <t>1054-1578</t>
  </si>
  <si>
    <t>1943-3050</t>
  </si>
  <si>
    <t>English Quarterly Canada</t>
  </si>
  <si>
    <t>Canadian Council of Teachers of English Language Arts</t>
  </si>
  <si>
    <t>Education|Education--Teaching Methods And Curriculum|Literature</t>
  </si>
  <si>
    <t>The English Teacher</t>
  </si>
  <si>
    <t>Malaysian English Language Teaching Association (MELTA)</t>
  </si>
  <si>
    <t>Seri Kembangan</t>
  </si>
  <si>
    <t>Malaysia</t>
  </si>
  <si>
    <t>0128-7729</t>
  </si>
  <si>
    <t>English Teaching</t>
  </si>
  <si>
    <t>University of Waikato, Department of English</t>
  </si>
  <si>
    <t>Hamilton</t>
  </si>
  <si>
    <t>New Zealand</t>
  </si>
  <si>
    <t>2059-5727</t>
  </si>
  <si>
    <t>1175-8708</t>
  </si>
  <si>
    <t>English Teaching and Learning</t>
  </si>
  <si>
    <t>1023-7267</t>
  </si>
  <si>
    <t>English in Australia</t>
  </si>
  <si>
    <t>Australian Association for the Teaching of English</t>
  </si>
  <si>
    <t>0155-2147</t>
  </si>
  <si>
    <t>Enseñanza &amp; Teaching</t>
  </si>
  <si>
    <t>2386-3919</t>
  </si>
  <si>
    <t>2386-3927</t>
  </si>
  <si>
    <t>Enseñanza de las Ciencias Sociales</t>
  </si>
  <si>
    <t>Revista Enseñanza de las Ciencias Sociales</t>
  </si>
  <si>
    <t>Barcelona</t>
  </si>
  <si>
    <t>1579-2617</t>
  </si>
  <si>
    <t>2014-7694</t>
  </si>
  <si>
    <t>Social Sciences: Comprehensive Works</t>
  </si>
  <si>
    <t>Environmental Education Research</t>
  </si>
  <si>
    <t>1350-4622</t>
  </si>
  <si>
    <t>1469-5871</t>
  </si>
  <si>
    <t>Education--Teaching Methods And Curriculum|Environmental Studies</t>
  </si>
  <si>
    <t>Equity &amp; Excellence in Education</t>
  </si>
  <si>
    <t>Equity &amp; Excellence</t>
  </si>
  <si>
    <t>Amherst</t>
  </si>
  <si>
    <t>1066-5684</t>
  </si>
  <si>
    <t>1547-3457</t>
  </si>
  <si>
    <t>01-Dec-1995--01-Dec-2009</t>
  </si>
  <si>
    <t>Erken Çocukluk Çalışmaları Dergisi</t>
  </si>
  <si>
    <t>Association for the Development for the Early Childhood Education in Turkey</t>
  </si>
  <si>
    <t>Eskişehir</t>
  </si>
  <si>
    <t>2564-7601</t>
  </si>
  <si>
    <t>Estudios Sobre Educación</t>
  </si>
  <si>
    <t>Universidad de Navarra</t>
  </si>
  <si>
    <t>Pamplona</t>
  </si>
  <si>
    <t>1578-7001</t>
  </si>
  <si>
    <t>2386-6292</t>
  </si>
  <si>
    <t>Esperanto|Spanish; Castilian</t>
  </si>
  <si>
    <t>Ethics and Education</t>
  </si>
  <si>
    <t>1744-9642</t>
  </si>
  <si>
    <t>1744-9650</t>
  </si>
  <si>
    <t>Ethnography and Education</t>
  </si>
  <si>
    <t>1745-7823</t>
  </si>
  <si>
    <t>1745-7831</t>
  </si>
  <si>
    <t>Eurasian Journal of Applied Linguistics</t>
  </si>
  <si>
    <t>Hacettepe University</t>
  </si>
  <si>
    <t>2149-1135</t>
  </si>
  <si>
    <t>Euromentor Journal</t>
  </si>
  <si>
    <t>Christian University Dimitrie Cantemir, Department of Education</t>
  </si>
  <si>
    <t>Bucharest</t>
  </si>
  <si>
    <t>2068-780X</t>
  </si>
  <si>
    <t>2247-9376</t>
  </si>
  <si>
    <t>English|Romanian; Moldavian; Moldovan</t>
  </si>
  <si>
    <t>European Conference on Research Methodology for Business and Management Studies</t>
  </si>
  <si>
    <t>Kidmore End</t>
  </si>
  <si>
    <t>2049-0968</t>
  </si>
  <si>
    <t>2049-0976</t>
  </si>
  <si>
    <t>Conference Papers &amp; Proceedings</t>
  </si>
  <si>
    <t>European Conference on e-Learning</t>
  </si>
  <si>
    <t>2048-8637</t>
  </si>
  <si>
    <t>2048-8645</t>
  </si>
  <si>
    <t>European Early Childhood Education Research Journal</t>
  </si>
  <si>
    <t>1350-293X</t>
  </si>
  <si>
    <t>1752-1807</t>
  </si>
  <si>
    <t>European Journal of Applied Linguistics and TEFL</t>
  </si>
  <si>
    <t>LinguaBooks Academic Publishing</t>
  </si>
  <si>
    <t>2192-1032</t>
  </si>
  <si>
    <t>European Journal of Education</t>
  </si>
  <si>
    <t>0141-8211</t>
  </si>
  <si>
    <t>1465-3435</t>
  </si>
  <si>
    <t>European Journal of Engineering Education</t>
  </si>
  <si>
    <t>0304-3797</t>
  </si>
  <si>
    <t>1469-5898</t>
  </si>
  <si>
    <t>Education|Engineering</t>
  </si>
  <si>
    <t>European Journal of Language Policy</t>
  </si>
  <si>
    <t>Liverpool University Press</t>
  </si>
  <si>
    <t>Liverpool</t>
  </si>
  <si>
    <t>1757-6822</t>
  </si>
  <si>
    <t>1757-6830</t>
  </si>
  <si>
    <t>European Journal of Physics Education</t>
  </si>
  <si>
    <t>1309-7202</t>
  </si>
  <si>
    <t>Education|Physics</t>
  </si>
  <si>
    <t>European Journal of Psychology of Education</t>
  </si>
  <si>
    <t>0256-2928</t>
  </si>
  <si>
    <t>1878-5174</t>
  </si>
  <si>
    <t>European Journal of Teacher Education</t>
  </si>
  <si>
    <t>0261-9768</t>
  </si>
  <si>
    <t>1469-5928</t>
  </si>
  <si>
    <t>01-Jan-2001--31-Dec-2011</t>
  </si>
  <si>
    <t>European Journal of Training and Development</t>
  </si>
  <si>
    <t>Limerick</t>
  </si>
  <si>
    <t>2046-9012</t>
  </si>
  <si>
    <t>2046-9020</t>
  </si>
  <si>
    <t>Evaluation &amp; Research in Education</t>
  </si>
  <si>
    <t>0950-0790</t>
  </si>
  <si>
    <t>1747-7514</t>
  </si>
  <si>
    <t>Evaluation &amp; the Health Professions</t>
  </si>
  <si>
    <t>0163-2787</t>
  </si>
  <si>
    <t>1552-3918</t>
  </si>
  <si>
    <t>Evaluation Review</t>
  </si>
  <si>
    <t>0193-841X</t>
  </si>
  <si>
    <t>1552-3926</t>
  </si>
  <si>
    <t>Evaluation and Program Planning</t>
  </si>
  <si>
    <t>0149-7189</t>
  </si>
  <si>
    <t>1873-7870</t>
  </si>
  <si>
    <t>Exceptional Children</t>
  </si>
  <si>
    <t>0014-4029</t>
  </si>
  <si>
    <t>2163-5560</t>
  </si>
  <si>
    <t>01-Jan-1936--31-Dec-1936; 01-Jan-1967--31-Dec-1970; 01-Jan-1975--31-Dec-1983; 01-Jan-1985--31-Dec-1988</t>
  </si>
  <si>
    <t>01-Jan-1936--31-Dec-1938; 01-Jan-1950--31-Dec-1951; 01-Jan-1954--31-Dec-1954; 01-Jan-1961--31-Dec-1962; 01-Jan-1967--31-Dec-1970; 01-Jan-1975--31-Dec-1983; 01-Jan-1985--31-Dec-1988</t>
  </si>
  <si>
    <t>The Exceptional Parent (Online)</t>
  </si>
  <si>
    <t>TCA EP World LLC</t>
  </si>
  <si>
    <t>2373-2881</t>
  </si>
  <si>
    <t>Children And Youth - About|Education--Special Education And Rehabilitation|People With Disabilities</t>
  </si>
  <si>
    <t>The Exceptional Parent</t>
  </si>
  <si>
    <t>0046-9157</t>
  </si>
  <si>
    <t>Exceptionality</t>
  </si>
  <si>
    <t>0936-2835</t>
  </si>
  <si>
    <t>1532-7035</t>
  </si>
  <si>
    <t>Exercise Exchange</t>
  </si>
  <si>
    <t>Appalachian State University</t>
  </si>
  <si>
    <t>Clarion</t>
  </si>
  <si>
    <t>0531-531X</t>
  </si>
  <si>
    <t>Faísca. Revista de Altas Capacidades</t>
  </si>
  <si>
    <t>Universidad Complutense de Madrid</t>
  </si>
  <si>
    <t>Santiago de Compostela</t>
  </si>
  <si>
    <t>1136-8136</t>
  </si>
  <si>
    <t>2255-5277</t>
  </si>
  <si>
    <t>Family Relations</t>
  </si>
  <si>
    <t>National Council on Family Relations</t>
  </si>
  <si>
    <t>Minneapolis</t>
  </si>
  <si>
    <t>0197-6664</t>
  </si>
  <si>
    <t>Family and Consumer Sciences Research Journal</t>
  </si>
  <si>
    <t>1077-727X</t>
  </si>
  <si>
    <t>1552-3934</t>
  </si>
  <si>
    <t>Home Economics</t>
  </si>
  <si>
    <t>Fathering</t>
  </si>
  <si>
    <t>Men's Studies Press</t>
  </si>
  <si>
    <t>Harriman</t>
  </si>
  <si>
    <t>1537-6680</t>
  </si>
  <si>
    <t>1933-026X</t>
  </si>
  <si>
    <t>Children And Youth - About|Sociology</t>
  </si>
  <si>
    <t>Feminist Teacher</t>
  </si>
  <si>
    <t>Feminist Teacher Editorial Collective</t>
  </si>
  <si>
    <t>Champaign</t>
  </si>
  <si>
    <t>0882-4843</t>
  </si>
  <si>
    <t>1934-6034</t>
  </si>
  <si>
    <t>Education--Teaching Methods And Curriculum|Women's Interests</t>
  </si>
  <si>
    <t>Field Educator</t>
  </si>
  <si>
    <t>Simmons College</t>
  </si>
  <si>
    <t>2165-3038</t>
  </si>
  <si>
    <t>A Fine FACTA</t>
  </si>
  <si>
    <t>1480-932X</t>
  </si>
  <si>
    <t>01-Jan-2017--31-Dec-2017; 01-Jan-2019--31-Dec-2020; 01-Jan-2023--31-Dec-2023</t>
  </si>
  <si>
    <t>Art|Education|Music</t>
  </si>
  <si>
    <t>First International Conference on Technology and Educational Science</t>
  </si>
  <si>
    <t>Bali</t>
  </si>
  <si>
    <t>9781631901744;9781631901744</t>
  </si>
  <si>
    <t>Focus on Autism and Other Developmental Disabilities</t>
  </si>
  <si>
    <t>1088-3576</t>
  </si>
  <si>
    <t>1538-4829</t>
  </si>
  <si>
    <t>Children And Youth - About|Medical Sciences--Psychiatry And Neurology|Psychology</t>
  </si>
  <si>
    <t>Focus on Exceptional Children</t>
  </si>
  <si>
    <t>0015-511X</t>
  </si>
  <si>
    <t>Foreign Language Annals</t>
  </si>
  <si>
    <t>American Council on the Teaching of Foreign Languages</t>
  </si>
  <si>
    <t>0015-718X</t>
  </si>
  <si>
    <t>1944-9720</t>
  </si>
  <si>
    <t>Form@re</t>
  </si>
  <si>
    <t>Firenze University Press</t>
  </si>
  <si>
    <t>Firenze</t>
  </si>
  <si>
    <t>1825-7321</t>
  </si>
  <si>
    <t>English|Italian</t>
  </si>
  <si>
    <t>Free $ for College for Dummies</t>
  </si>
  <si>
    <t>9780764554674</t>
  </si>
  <si>
    <t>Free Speech Yearbook</t>
  </si>
  <si>
    <t>National Communication Association</t>
  </si>
  <si>
    <t>0899-7225</t>
  </si>
  <si>
    <t>2168-1430</t>
  </si>
  <si>
    <t>The French Review</t>
  </si>
  <si>
    <t>Carbondale</t>
  </si>
  <si>
    <t>0016-111X</t>
  </si>
  <si>
    <t>2329-7131</t>
  </si>
  <si>
    <t>Education|Education--Teaching Methods And Curriculum|Linguistics|Literature</t>
  </si>
  <si>
    <t>Frontiers of Education in China</t>
  </si>
  <si>
    <t>Higher Education Press Limited Company</t>
  </si>
  <si>
    <t>1673-341X</t>
  </si>
  <si>
    <t>1673-3533</t>
  </si>
  <si>
    <t>The Future of Children</t>
  </si>
  <si>
    <t>Princeton University</t>
  </si>
  <si>
    <t>Princeton</t>
  </si>
  <si>
    <t>1054-8289</t>
  </si>
  <si>
    <t>1550-1558</t>
  </si>
  <si>
    <t>01-Jan-2015--31-Dec-2016</t>
  </si>
  <si>
    <t>Children And Youth - About|Public Health And Safety|Social Services And Welfare</t>
  </si>
  <si>
    <t>FutureEd</t>
  </si>
  <si>
    <t>The Futurist</t>
  </si>
  <si>
    <t>World Future Society</t>
  </si>
  <si>
    <t>0016-3317</t>
  </si>
  <si>
    <t>Sciences: Comprehensive Works|Technology: Comprehensive Works</t>
  </si>
  <si>
    <t>GETUP</t>
  </si>
  <si>
    <t>Universidade do Porto Faculdade de Letras</t>
  </si>
  <si>
    <t>Porto</t>
  </si>
  <si>
    <t>Portugal</t>
  </si>
  <si>
    <t>2184-0091</t>
  </si>
  <si>
    <t>Education|Geography</t>
  </si>
  <si>
    <t>Gazette - Ontario Association for Mathematics</t>
  </si>
  <si>
    <t>Ontario Association for Mathematics Education</t>
  </si>
  <si>
    <t>Caledon</t>
  </si>
  <si>
    <t>0030-3011</t>
  </si>
  <si>
    <t>Gender and Education</t>
  </si>
  <si>
    <t>0954-0253</t>
  </si>
  <si>
    <t>1360-0516</t>
  </si>
  <si>
    <t>Education|Men's Studies|Women's Interests|Women's Studies</t>
  </si>
  <si>
    <t>General Music Today</t>
  </si>
  <si>
    <t>National Association for Music Education</t>
  </si>
  <si>
    <t>1048-3713</t>
  </si>
  <si>
    <t>General Music Today (Online)</t>
  </si>
  <si>
    <t>1931-3756</t>
  </si>
  <si>
    <t>Geography Teacher</t>
  </si>
  <si>
    <t>1933-8341</t>
  </si>
  <si>
    <t>1752-6884</t>
  </si>
  <si>
    <t>01-Jan-2018--31-Dec-2021</t>
  </si>
  <si>
    <t>Education--Teaching Methods And Curriculum|Geography</t>
  </si>
  <si>
    <t>German Quarterly</t>
  </si>
  <si>
    <t>American Association of Teachers of German, Inc.</t>
  </si>
  <si>
    <t>Cherry Hill</t>
  </si>
  <si>
    <t>0016-8831</t>
  </si>
  <si>
    <t>1756-1183</t>
  </si>
  <si>
    <t>01-Apr-2015--31-Mar-2017</t>
  </si>
  <si>
    <t>Gerontology &amp; Geriatrics Education</t>
  </si>
  <si>
    <t>0270-1960</t>
  </si>
  <si>
    <t>1545-3847</t>
  </si>
  <si>
    <t>Gerontology And Geriatrics</t>
  </si>
  <si>
    <t>Gerundium</t>
  </si>
  <si>
    <t>2061-5132</t>
  </si>
  <si>
    <t>2061-7097</t>
  </si>
  <si>
    <t>Hungarian</t>
  </si>
  <si>
    <t>Education|History</t>
  </si>
  <si>
    <t>Getting Skills Right</t>
  </si>
  <si>
    <t>2520-6125</t>
  </si>
  <si>
    <t>The Gifted Child Quarterly</t>
  </si>
  <si>
    <t>0016-9862</t>
  </si>
  <si>
    <t>1934-9041</t>
  </si>
  <si>
    <t>Children And Youth - About|Education--Special Education And Rehabilitation|Psychology</t>
  </si>
  <si>
    <t>Gifted Child Today</t>
  </si>
  <si>
    <t>1076-2175</t>
  </si>
  <si>
    <t>2162-951X</t>
  </si>
  <si>
    <t>Girls' Life</t>
  </si>
  <si>
    <t>Girls Life Acquisition Corp</t>
  </si>
  <si>
    <t>1078-3326</t>
  </si>
  <si>
    <t>Global Health Promotion</t>
  </si>
  <si>
    <t>International Union for Health Promotion and Education</t>
  </si>
  <si>
    <t>Saint-Denis Cedex</t>
  </si>
  <si>
    <t>1757-9759</t>
  </si>
  <si>
    <t>1757-9767</t>
  </si>
  <si>
    <t>Physical Fitness And Hygiene|Public Health And Safety</t>
  </si>
  <si>
    <t>Global Journal of Educational Research</t>
  </si>
  <si>
    <t>Global Journal Series</t>
  </si>
  <si>
    <t>Calabar</t>
  </si>
  <si>
    <t>Nigeria</t>
  </si>
  <si>
    <t>Global Journal of Health Education and Promotion</t>
  </si>
  <si>
    <t>Foundation for the Advancement of Health Education</t>
  </si>
  <si>
    <t>Wilmington</t>
  </si>
  <si>
    <t>2332-1016</t>
  </si>
  <si>
    <t>2332-1024</t>
  </si>
  <si>
    <t>Global Perspectives on Accounting Education</t>
  </si>
  <si>
    <t>Smithfield</t>
  </si>
  <si>
    <t>1543-2955</t>
  </si>
  <si>
    <t>Business And Economics--Accounting</t>
  </si>
  <si>
    <t>Good Apple Magazine</t>
  </si>
  <si>
    <t>McGraw Hill Publications Company</t>
  </si>
  <si>
    <t>Torrance</t>
  </si>
  <si>
    <t>Great Plains Quarterly</t>
  </si>
  <si>
    <t>Center for Great Plains Studies, University of Nebraska Lincoln</t>
  </si>
  <si>
    <t>0275-7664</t>
  </si>
  <si>
    <t>2333-5092</t>
  </si>
  <si>
    <t>Geography|History--History of North And South America</t>
  </si>
  <si>
    <t>Green Teacher</t>
  </si>
  <si>
    <t>1192-1285</t>
  </si>
  <si>
    <t>Guidance &amp; Counselling</t>
  </si>
  <si>
    <t>Guidance Centre, Faculty of Education, University of Toronto</t>
  </si>
  <si>
    <t>0831-5493</t>
  </si>
  <si>
    <t>Harvard Educational Review</t>
  </si>
  <si>
    <t>0017-8055</t>
  </si>
  <si>
    <t>1943-5045</t>
  </si>
  <si>
    <t>Harvard Journal of Hispanic Policy</t>
  </si>
  <si>
    <t>Harvard Journal of African American Policy Studies</t>
  </si>
  <si>
    <t>1074-1917</t>
  </si>
  <si>
    <t>2162-5581</t>
  </si>
  <si>
    <t>Ethnic Interests|Hispanic|Political Science</t>
  </si>
  <si>
    <t>Hasan Ali Yücel Egitim Fakültesi Dergisi</t>
  </si>
  <si>
    <t>Istanbul Universitesi/Istanbul University</t>
  </si>
  <si>
    <t>Istanbul</t>
  </si>
  <si>
    <t>1304-8139</t>
  </si>
  <si>
    <t>Health &amp; Social Work</t>
  </si>
  <si>
    <t>0360-7283</t>
  </si>
  <si>
    <t>1545-6854</t>
  </si>
  <si>
    <t>Public Health And Safety|Social Services And Welfare</t>
  </si>
  <si>
    <t>Health Choices</t>
  </si>
  <si>
    <t>1087-6421</t>
  </si>
  <si>
    <t>Education|Medical Sciences|Physical Fitness And Hygiene|Public Health And Safety</t>
  </si>
  <si>
    <t>Health Education</t>
  </si>
  <si>
    <t>0965-4283</t>
  </si>
  <si>
    <t>1758-714X</t>
  </si>
  <si>
    <t>Men's Health|Physical Fitness And Hygiene</t>
  </si>
  <si>
    <t>The Health Education Journal</t>
  </si>
  <si>
    <t>0017-8969</t>
  </si>
  <si>
    <t>1748-8176</t>
  </si>
  <si>
    <t>Health Education Research</t>
  </si>
  <si>
    <t>0268-1153</t>
  </si>
  <si>
    <t>1465-3648</t>
  </si>
  <si>
    <t>Medical Sciences|Social Services And Welfare</t>
  </si>
  <si>
    <t>Health Education and Behavior</t>
  </si>
  <si>
    <t>1090-1981</t>
  </si>
  <si>
    <t>1552-6127</t>
  </si>
  <si>
    <t>01-Jan-1964--31-Dec-1973; 01-Jan-1976--31-Dec-1976; 01-Jan-1979--31-Dec-1981; 01-Jan-1983--31-Dec-1992; 01-Jan-1995--31-Dec-1995</t>
  </si>
  <si>
    <t>01-Jan-1976--31-Dec-1976; 01-Jan-1979--31-Dec-1992; 01-Jan-1995--31-Dec-1995</t>
  </si>
  <si>
    <t>Hellenic Journal of Music, Education &amp; Culture</t>
  </si>
  <si>
    <t>Greek Association of Primary Music Education Teachers</t>
  </si>
  <si>
    <t>Athens</t>
  </si>
  <si>
    <t>Greece</t>
  </si>
  <si>
    <t>1792-2518</t>
  </si>
  <si>
    <t>English|Greek, Modern (1453-)</t>
  </si>
  <si>
    <t>High Ability Studies</t>
  </si>
  <si>
    <t>1359-8139</t>
  </si>
  <si>
    <t>1469-834X</t>
  </si>
  <si>
    <t>High Five Bilingue</t>
  </si>
  <si>
    <t>Highlights for Children, Inc.</t>
  </si>
  <si>
    <t>2330-9733</t>
  </si>
  <si>
    <t>The High School Journal</t>
  </si>
  <si>
    <t>The University of North Carolina Press</t>
  </si>
  <si>
    <t>Chapel Hill</t>
  </si>
  <si>
    <t>0018-1498</t>
  </si>
  <si>
    <t>1534-5157</t>
  </si>
  <si>
    <t>High School Magazine</t>
  </si>
  <si>
    <t>1070-9533</t>
  </si>
  <si>
    <t>Higher Education</t>
  </si>
  <si>
    <t>0018-1560</t>
  </si>
  <si>
    <t>1573-174X</t>
  </si>
  <si>
    <t>Higher Education Evaluation and Development</t>
  </si>
  <si>
    <t>2514-5789</t>
  </si>
  <si>
    <t>2514-5797</t>
  </si>
  <si>
    <t>Higher Education Policy</t>
  </si>
  <si>
    <t>Palgrave Macmillan</t>
  </si>
  <si>
    <t>0952-8733</t>
  </si>
  <si>
    <t>1740-3863</t>
  </si>
  <si>
    <t>Higher Education Politics &amp; Economics</t>
  </si>
  <si>
    <t>STAR Scholars Network</t>
  </si>
  <si>
    <t>Norfolk</t>
  </si>
  <si>
    <t>2577-7270</t>
  </si>
  <si>
    <t>2577-7289</t>
  </si>
  <si>
    <t>Higher Education Quarterly</t>
  </si>
  <si>
    <t>0951-5224</t>
  </si>
  <si>
    <t>1468-2273</t>
  </si>
  <si>
    <t>Higher Education Research and Development</t>
  </si>
  <si>
    <t>Milperra</t>
  </si>
  <si>
    <t>0729-4360</t>
  </si>
  <si>
    <t>1469-8366</t>
  </si>
  <si>
    <t>Higher Education, Skills and Work - Based Learning</t>
  </si>
  <si>
    <t>2042-3896</t>
  </si>
  <si>
    <t>2042-390X</t>
  </si>
  <si>
    <t>Higher Learning Research Communications</t>
  </si>
  <si>
    <t>Scholarworks</t>
  </si>
  <si>
    <t>Joshua Tree</t>
  </si>
  <si>
    <t>2157-6254</t>
  </si>
  <si>
    <t>Highlights High Five</t>
  </si>
  <si>
    <t>1943-1465</t>
  </si>
  <si>
    <t>2330-6955</t>
  </si>
  <si>
    <t>01-Jan-2020--31-Dec-2020; 01-Jan-2022--31-Dec-2022</t>
  </si>
  <si>
    <t>Highlights for Children</t>
  </si>
  <si>
    <t>0018-165X</t>
  </si>
  <si>
    <t>Hispanic Journal of Behavioral Sciences</t>
  </si>
  <si>
    <t>0739-9863</t>
  </si>
  <si>
    <t>1552-6364</t>
  </si>
  <si>
    <t>Ethnic Interests|Psychology</t>
  </si>
  <si>
    <t>The Hispanic Outlook on Education</t>
  </si>
  <si>
    <t>The Hispanic Outlook in Higher Education</t>
  </si>
  <si>
    <t>Saddle Brook</t>
  </si>
  <si>
    <t>1054-2337</t>
  </si>
  <si>
    <t>2471-6448</t>
  </si>
  <si>
    <t>Education--Higher Education|Ethnic Interests|Hispanic</t>
  </si>
  <si>
    <t>Historia de la Educación</t>
  </si>
  <si>
    <t>0212-0267</t>
  </si>
  <si>
    <t>2386-3846</t>
  </si>
  <si>
    <t>History of Education</t>
  </si>
  <si>
    <t>0046-760X</t>
  </si>
  <si>
    <t>1464-5130</t>
  </si>
  <si>
    <t>History of Education Quarterly</t>
  </si>
  <si>
    <t>0018-2680</t>
  </si>
  <si>
    <t>1748-5959</t>
  </si>
  <si>
    <t>01-Aug-2008--31-Dec-2015</t>
  </si>
  <si>
    <t>01-Oct-2006--31-Dec-2015</t>
  </si>
  <si>
    <t>01-Aug-2008--31-Dec-2016</t>
  </si>
  <si>
    <t>History of Education Review</t>
  </si>
  <si>
    <t>Bundoora</t>
  </si>
  <si>
    <t>0819-8691</t>
  </si>
  <si>
    <t>2054-5649</t>
  </si>
  <si>
    <t>The Hoosier Science Teacher</t>
  </si>
  <si>
    <t>Indiana University Press</t>
  </si>
  <si>
    <t>2475-451X</t>
  </si>
  <si>
    <t>The Horn Book Guide to Children's and Young Adult Books</t>
  </si>
  <si>
    <t>1044-405X</t>
  </si>
  <si>
    <t>Children And Youth - About|Library And Information Sciences|Publishing And Book Trade</t>
  </si>
  <si>
    <t>The Horn Book Magazine</t>
  </si>
  <si>
    <t>MSI Information Services</t>
  </si>
  <si>
    <t>0018-5078</t>
  </si>
  <si>
    <t>Children And Youth - About|Publishing And Book Trade</t>
  </si>
  <si>
    <t>How To Complete Your UCAS Application : 2010 Entry</t>
  </si>
  <si>
    <t>Trotman Publishing Ltd</t>
  </si>
  <si>
    <t>Richmond</t>
  </si>
  <si>
    <t>9781844551941;9781844551941</t>
  </si>
  <si>
    <t>Education--Guides To Schools And Colleges</t>
  </si>
  <si>
    <t>Human Communication Research</t>
  </si>
  <si>
    <t>0360-3989</t>
  </si>
  <si>
    <t>1468-2958</t>
  </si>
  <si>
    <t>Communications|Linguistics|Psychology</t>
  </si>
  <si>
    <t>Human Development</t>
  </si>
  <si>
    <t>S. Karger AG</t>
  </si>
  <si>
    <t>0018-716X</t>
  </si>
  <si>
    <t>1423-0054</t>
  </si>
  <si>
    <t>Human Resource Development Quarterly</t>
  </si>
  <si>
    <t>Wiley Periodicals Inc.</t>
  </si>
  <si>
    <t>1044-8004</t>
  </si>
  <si>
    <t>1532-1096</t>
  </si>
  <si>
    <t>01-Jan-2003--30-Sep-2004</t>
  </si>
  <si>
    <t>Business And Economics--Management|Business And Economics--Personnel Management</t>
  </si>
  <si>
    <t>Human Resource Development Review</t>
  </si>
  <si>
    <t>1534-4843</t>
  </si>
  <si>
    <t>1552-6712</t>
  </si>
  <si>
    <t>Business And Economics--Management|Public Administration</t>
  </si>
  <si>
    <t>Humanities</t>
  </si>
  <si>
    <t>0018-7526</t>
  </si>
  <si>
    <t>1555-0532</t>
  </si>
  <si>
    <t>Humanities: Comprehensive Works</t>
  </si>
  <si>
    <t>Humpty Dumpty's Magazine</t>
  </si>
  <si>
    <t>Benjamin Franklin Literary &amp; Medical Society</t>
  </si>
  <si>
    <t>0273-7590</t>
  </si>
  <si>
    <t>The Huntington Library Quarterly</t>
  </si>
  <si>
    <t>University of Pennsylvania Press</t>
  </si>
  <si>
    <t>0018-7895</t>
  </si>
  <si>
    <t>1544-399X</t>
  </si>
  <si>
    <t>01-Jan-2013--31-Dec-2017</t>
  </si>
  <si>
    <t>History|Humanities: Comprehensive Works|Library And Information Sciences|Literature</t>
  </si>
  <si>
    <t>The ICHPER-SD Journal of Research in Health, Physical Education, Recreation, Sport &amp; Dance</t>
  </si>
  <si>
    <t>International Council for Health, Physical Education, Recreation, Sport, and Dance</t>
  </si>
  <si>
    <t>1930-4595</t>
  </si>
  <si>
    <t>01-Jan-2014--31-Dec-2016</t>
  </si>
  <si>
    <t>IEEE Transactions on Education</t>
  </si>
  <si>
    <t>The Institute of Electrical and Electronics Engineers, Inc. (IEEE)</t>
  </si>
  <si>
    <t>0018-9359</t>
  </si>
  <si>
    <t>1557-9638</t>
  </si>
  <si>
    <t>Education|Engineering--Electrical Engineering</t>
  </si>
  <si>
    <t>IEEE Transactions on Learning Technologies</t>
  </si>
  <si>
    <t>Piscataway</t>
  </si>
  <si>
    <t>1939-1382</t>
  </si>
  <si>
    <t>01-Jan-2012--31-Dec-2012</t>
  </si>
  <si>
    <t>Computers--Computer Assisted Instruction|Education--Computer Applications</t>
  </si>
  <si>
    <t>IRAL, International Review of Applied Linguistics in Language Teaching</t>
  </si>
  <si>
    <t>Walter de Gruyter GmbH</t>
  </si>
  <si>
    <t>0019-042X</t>
  </si>
  <si>
    <t>1613-4141</t>
  </si>
  <si>
    <t>01-Jan-2000--31-Dec-2000</t>
  </si>
  <si>
    <t>English|French|German</t>
  </si>
  <si>
    <t>Impact</t>
  </si>
  <si>
    <t>Salisbury</t>
  </si>
  <si>
    <t>2048-4151</t>
  </si>
  <si>
    <t>2048-416X</t>
  </si>
  <si>
    <t>01-Jan-2019--31-Dec-2021</t>
  </si>
  <si>
    <t>Impacting Education</t>
  </si>
  <si>
    <t>2472-5889</t>
  </si>
  <si>
    <t>In Education</t>
  </si>
  <si>
    <t>University of Regina</t>
  </si>
  <si>
    <t>Regina</t>
  </si>
  <si>
    <t>1927-6117</t>
  </si>
  <si>
    <t>Inclusión &amp; Desarrollo</t>
  </si>
  <si>
    <t>Corporación Universitaria Minuto de Dios - UNIMINUTO</t>
  </si>
  <si>
    <t>Bogota</t>
  </si>
  <si>
    <t>2389-7341</t>
  </si>
  <si>
    <t>Industrial &amp; Labor Relations Review</t>
  </si>
  <si>
    <t>Ithaca</t>
  </si>
  <si>
    <t>0019-7939</t>
  </si>
  <si>
    <t>2162-271X</t>
  </si>
  <si>
    <t>Business And Economics--Labor And Industrial Relations|Business And Economics--Management|Occupations And Careers|Social Sciences: Comprehensive Works</t>
  </si>
  <si>
    <t>Infancy</t>
  </si>
  <si>
    <t>Malden</t>
  </si>
  <si>
    <t>1525-0008</t>
  </si>
  <si>
    <t>1532-7078</t>
  </si>
  <si>
    <t>Children And Youth - About|Medical Sciences--Pediatrics</t>
  </si>
  <si>
    <t>Infant and Child Development</t>
  </si>
  <si>
    <t>1522-7227</t>
  </si>
  <si>
    <t>1522-7219</t>
  </si>
  <si>
    <t>Infant and Child Development (Online)</t>
  </si>
  <si>
    <t>Chichester</t>
  </si>
  <si>
    <t>Infants and Young Children</t>
  </si>
  <si>
    <t>Lippincott Williams &amp; Wilkins Ovid Technologies</t>
  </si>
  <si>
    <t>0896-3746</t>
  </si>
  <si>
    <t>1550-5081</t>
  </si>
  <si>
    <t>InformED [BLOG]</t>
  </si>
  <si>
    <t>Informatics in Education</t>
  </si>
  <si>
    <t>Institute of Mathematics and Informatics</t>
  </si>
  <si>
    <t>Vilnius</t>
  </si>
  <si>
    <t>Lithuania</t>
  </si>
  <si>
    <t>1648-5831</t>
  </si>
  <si>
    <t>2335-8971</t>
  </si>
  <si>
    <t>Computers--Automation|Education</t>
  </si>
  <si>
    <t>Information Intelligence Online Libraries and Microcomputers</t>
  </si>
  <si>
    <t>Information Intelligence, Inc.</t>
  </si>
  <si>
    <t>Phoenix</t>
  </si>
  <si>
    <t>0737-7770</t>
  </si>
  <si>
    <t>2169-1193</t>
  </si>
  <si>
    <t>Information Outlook</t>
  </si>
  <si>
    <t>Special Libraries Association</t>
  </si>
  <si>
    <t>1091-0808</t>
  </si>
  <si>
    <t>1938-3819</t>
  </si>
  <si>
    <t>Information Outlook (Online)</t>
  </si>
  <si>
    <t>Information Technology and Libraries</t>
  </si>
  <si>
    <t>0730-9295</t>
  </si>
  <si>
    <t>01-Jan-1990--31-Dec-1991</t>
  </si>
  <si>
    <t>Computers--Information Science And Information Theory|Library And Information Sciences|Library And Information Sciences--Computer Applications</t>
  </si>
  <si>
    <t>Information Technology and Libraries (Online)</t>
  </si>
  <si>
    <t>2163-5226</t>
  </si>
  <si>
    <t>Information Technology, Learning, and Performance Journal</t>
  </si>
  <si>
    <t>Organizational Systems Research Association</t>
  </si>
  <si>
    <t>Morehead</t>
  </si>
  <si>
    <t>1535-1556</t>
  </si>
  <si>
    <t>Business And Economics--Office Equipment And Services|Computers--Computer Systems</t>
  </si>
  <si>
    <t>Information and Learning Science</t>
  </si>
  <si>
    <t>West Yorkshire</t>
  </si>
  <si>
    <t>2398-5348</t>
  </si>
  <si>
    <t>2398-5356</t>
  </si>
  <si>
    <t>Innovation and Education</t>
  </si>
  <si>
    <t>2524-8502</t>
  </si>
  <si>
    <t>Innovations in Education and Teaching International</t>
  </si>
  <si>
    <t>1470-3297</t>
  </si>
  <si>
    <t>1470-3300</t>
  </si>
  <si>
    <t>Innovative Higher Education</t>
  </si>
  <si>
    <t>0742-5627</t>
  </si>
  <si>
    <t>1573-1758</t>
  </si>
  <si>
    <t>Instructional Science</t>
  </si>
  <si>
    <t>0020-4277</t>
  </si>
  <si>
    <t>1573-1952</t>
  </si>
  <si>
    <t>Instructor</t>
  </si>
  <si>
    <t>1049-5851</t>
  </si>
  <si>
    <t>Primary ed.</t>
  </si>
  <si>
    <t>2644-3589</t>
  </si>
  <si>
    <t>Intermediate ed.</t>
  </si>
  <si>
    <t>The Instrumentalist</t>
  </si>
  <si>
    <t>Instrumentalist Co.</t>
  </si>
  <si>
    <t>Northfield</t>
  </si>
  <si>
    <t>0020-4331</t>
  </si>
  <si>
    <t>01-Jan-1958--31-Dec-1991</t>
  </si>
  <si>
    <t>Intellectual and Developmental Disabilities</t>
  </si>
  <si>
    <t>1934-9491</t>
  </si>
  <si>
    <t>1934-9556</t>
  </si>
  <si>
    <t>InterActions</t>
  </si>
  <si>
    <t>Oakland</t>
  </si>
  <si>
    <t>1548-3320</t>
  </si>
  <si>
    <t>Interactive Learning Environments</t>
  </si>
  <si>
    <t>1049-4820</t>
  </si>
  <si>
    <t>1744-5191</t>
  </si>
  <si>
    <t>Interactive Technology and Smart Education</t>
  </si>
  <si>
    <t>1741-5659</t>
  </si>
  <si>
    <t>1758-8510</t>
  </si>
  <si>
    <t>Interchange</t>
  </si>
  <si>
    <t>0826-4805</t>
  </si>
  <si>
    <t>1573-1790</t>
  </si>
  <si>
    <t>01-Jan-2004--31-Dec-2005; 01-Jan-2007--31-Dec-2011</t>
  </si>
  <si>
    <t>01-Jan-2004--31-Dec-2005; 01-Jan-2007--31-Dec-2012</t>
  </si>
  <si>
    <t>Intercollegiate Review</t>
  </si>
  <si>
    <t>Intercollegiate Studies Institute, Inc.</t>
  </si>
  <si>
    <t>0020-5249</t>
  </si>
  <si>
    <t>2168-6300</t>
  </si>
  <si>
    <t>Literary And Political Reviews|Social Sciences: Comprehensive Works</t>
  </si>
  <si>
    <t>Interface - Comunicação, Saúde, Educação</t>
  </si>
  <si>
    <t>Universidade Estadual Paulista "Julio de Mesquita Filho" * Fundacao U N I</t>
  </si>
  <si>
    <t>Botucatu</t>
  </si>
  <si>
    <t>1414-3283</t>
  </si>
  <si>
    <t>1807-5762</t>
  </si>
  <si>
    <t>Portuguese|Spanish; Castilian</t>
  </si>
  <si>
    <t>International Association of School Librarianship. Selected Papers from the ... Annual Conference</t>
  </si>
  <si>
    <t>International Association of School Librarianship</t>
  </si>
  <si>
    <t>Brantford</t>
  </si>
  <si>
    <t>International Conference on e-Learning</t>
  </si>
  <si>
    <t>2048-8882</t>
  </si>
  <si>
    <t>2048-8890</t>
  </si>
  <si>
    <t>International Education</t>
  </si>
  <si>
    <t>University of Tennessee, College of Education, Health &amp; Human Sciences</t>
  </si>
  <si>
    <t>Knoxville</t>
  </si>
  <si>
    <t>0160-5429</t>
  </si>
  <si>
    <t>International Educator</t>
  </si>
  <si>
    <t>NAFSA : ASSOCIATION OF INTERNATIONAL EDUCATORS</t>
  </si>
  <si>
    <t>1059-4221</t>
  </si>
  <si>
    <t>International Electronic Journal of Elementary Education</t>
  </si>
  <si>
    <t>1307-9298</t>
  </si>
  <si>
    <t>International Forum of Teaching and Studies</t>
  </si>
  <si>
    <t>American Scholars Press, Inc.</t>
  </si>
  <si>
    <t>Marietta</t>
  </si>
  <si>
    <t>1555-872X</t>
  </si>
  <si>
    <t>The International Journal for Academic Development</t>
  </si>
  <si>
    <t>1360-144X</t>
  </si>
  <si>
    <t>1470-1324</t>
  </si>
  <si>
    <t>International Journal for Educational Integrity</t>
  </si>
  <si>
    <t>1833-2595</t>
  </si>
  <si>
    <t>International Journal for Educational and Vocational Guidance</t>
  </si>
  <si>
    <t>0251-2513</t>
  </si>
  <si>
    <t>1573-1782</t>
  </si>
  <si>
    <t>International Journal for Lesson and Learning Studies</t>
  </si>
  <si>
    <t>2046-8253</t>
  </si>
  <si>
    <t>2046-8261</t>
  </si>
  <si>
    <t>International Journal for Research in Vocational Education and Training</t>
  </si>
  <si>
    <t>European Research Network Vocational Education and Training</t>
  </si>
  <si>
    <t>Bremen</t>
  </si>
  <si>
    <t>2197-8638</t>
  </si>
  <si>
    <t>2197-8646</t>
  </si>
  <si>
    <t>The International Journal for Technology in Mathematics Education</t>
  </si>
  <si>
    <t>Research Information Ltd.</t>
  </si>
  <si>
    <t>Plymouth</t>
  </si>
  <si>
    <t>1744-2710</t>
  </si>
  <si>
    <t>2045-2519</t>
  </si>
  <si>
    <t>01-Apr-2006--31-Mar-2013</t>
  </si>
  <si>
    <t>Computers--Computer Assisted Instruction|Mathematics--Computer Applications</t>
  </si>
  <si>
    <t>International Journal for the Advancement of Counselling</t>
  </si>
  <si>
    <t>The Hague</t>
  </si>
  <si>
    <t>0165-0653</t>
  </si>
  <si>
    <t>1573-3246</t>
  </si>
  <si>
    <t>International Journal of Adult Education and Technology</t>
  </si>
  <si>
    <t>IGI Global</t>
  </si>
  <si>
    <t>San Bernadino</t>
  </si>
  <si>
    <t>2643-7996</t>
  </si>
  <si>
    <t>2643-8003</t>
  </si>
  <si>
    <t>Education--Adult Education|Technology: Comprehensive Works</t>
  </si>
  <si>
    <t>The International Journal of Adult, Community and Professional Learning</t>
  </si>
  <si>
    <t>Common Ground Research Networks</t>
  </si>
  <si>
    <t>2328-6318</t>
  </si>
  <si>
    <t>2328-6296</t>
  </si>
  <si>
    <t>International Journal of Advanced Corporate Learning</t>
  </si>
  <si>
    <t>International Association of Online Engineering (IAOE)</t>
  </si>
  <si>
    <t>Vienna</t>
  </si>
  <si>
    <t>Austria</t>
  </si>
  <si>
    <t>1867-5565</t>
  </si>
  <si>
    <t>International Journal of Applied Educational Studies</t>
  </si>
  <si>
    <t>Dr. Zaid Al-Shammari</t>
  </si>
  <si>
    <t>Al-Yarmouk</t>
  </si>
  <si>
    <t>Kuwait</t>
  </si>
  <si>
    <t>1996-773X</t>
  </si>
  <si>
    <t>International Journal of Art &amp; Design Education</t>
  </si>
  <si>
    <t>1476-8062</t>
  </si>
  <si>
    <t>1476-8070</t>
  </si>
  <si>
    <t>Art|Education|Education--Teaching Methods And Curriculum</t>
  </si>
  <si>
    <t>International Journal of Artificial Intelligence in Education</t>
  </si>
  <si>
    <t>1560-4292</t>
  </si>
  <si>
    <t>1560-4306</t>
  </si>
  <si>
    <t>Computers--Artificial Intelligence|Education</t>
  </si>
  <si>
    <t>The International Journal of Arts Education</t>
  </si>
  <si>
    <t>4</t>
  </si>
  <si>
    <t>2326-9944</t>
  </si>
  <si>
    <t>2327-0306</t>
  </si>
  <si>
    <t>Education|Humanities: Comprehensive Works</t>
  </si>
  <si>
    <t>The International Journal of Assessment and Evaluation</t>
  </si>
  <si>
    <t>2327-7920</t>
  </si>
  <si>
    <t>2327-8692</t>
  </si>
  <si>
    <t>The International Journal of Bilingualism</t>
  </si>
  <si>
    <t>1367-0069</t>
  </si>
  <si>
    <t>1756-6878</t>
  </si>
  <si>
    <t>Linguistics|Sociology</t>
  </si>
  <si>
    <t>International Journal of Bullying Prevention</t>
  </si>
  <si>
    <t>Dublin</t>
  </si>
  <si>
    <t>2523-3653</t>
  </si>
  <si>
    <t>2523-3661</t>
  </si>
  <si>
    <t>International Journal of Business Communication</t>
  </si>
  <si>
    <t>2329-4884</t>
  </si>
  <si>
    <t>2329-4892</t>
  </si>
  <si>
    <t>Business And Economics--Management|Communications|Education</t>
  </si>
  <si>
    <t>International Journal of Child Care and Education Policy</t>
  </si>
  <si>
    <t>Seoul</t>
  </si>
  <si>
    <t>1976-5681</t>
  </si>
  <si>
    <t>2288-6729</t>
  </si>
  <si>
    <t>01-Jan-2014--31-Dec-2014; 01-Jan-2016--31-Dec-2016</t>
  </si>
  <si>
    <t>International Journal of Child, Youth &amp; Family Studies</t>
  </si>
  <si>
    <t>University of Victoria, Department of Linguistics</t>
  </si>
  <si>
    <t>Victoria</t>
  </si>
  <si>
    <t>1920-7298</t>
  </si>
  <si>
    <t>International Journal of Children's Spirituality</t>
  </si>
  <si>
    <t>1364-436X</t>
  </si>
  <si>
    <t>1469-8455</t>
  </si>
  <si>
    <t>Children And Youth - About|Education|Philosophy|Psychology|Religions And Theology</t>
  </si>
  <si>
    <t>International Journal of Cognitive Research in Science, Engineering and Education</t>
  </si>
  <si>
    <t>International Journal of Cognitive Research in Science</t>
  </si>
  <si>
    <t>Vranje</t>
  </si>
  <si>
    <t>Serbia</t>
  </si>
  <si>
    <t>2334-847X</t>
  </si>
  <si>
    <t>2334-8496</t>
  </si>
  <si>
    <t>Education|Engineering|Sciences: Comprehensive Works</t>
  </si>
  <si>
    <t>International Journal of Comparative Education and Development</t>
  </si>
  <si>
    <t>2396-7404</t>
  </si>
  <si>
    <t>2309-4907</t>
  </si>
  <si>
    <t>International Journal of Computer-Supported Collaborative Learning</t>
  </si>
  <si>
    <t>1556-1607</t>
  </si>
  <si>
    <t>1556-1615</t>
  </si>
  <si>
    <t>International Journal of Curriculum Development and Learning Measurement</t>
  </si>
  <si>
    <t>Crete</t>
  </si>
  <si>
    <t>2644-1721</t>
  </si>
  <si>
    <t>2644-173X</t>
  </si>
  <si>
    <t>International Journal of Cyber Ethics in Education</t>
  </si>
  <si>
    <t>Hershey</t>
  </si>
  <si>
    <t>2155-6903</t>
  </si>
  <si>
    <t>2155-6911</t>
  </si>
  <si>
    <t>Computers|Education</t>
  </si>
  <si>
    <t>The International Journal of Design Education</t>
  </si>
  <si>
    <t>Rome</t>
  </si>
  <si>
    <t>2325-128X</t>
  </si>
  <si>
    <t>2325-1298</t>
  </si>
  <si>
    <t>Architecture</t>
  </si>
  <si>
    <t>The International Journal of Design in Society</t>
  </si>
  <si>
    <t>2325-1328</t>
  </si>
  <si>
    <t>2325-1360</t>
  </si>
  <si>
    <t>International Journal of Distance Education Technologies</t>
  </si>
  <si>
    <t>1539-3100</t>
  </si>
  <si>
    <t>1539-3119</t>
  </si>
  <si>
    <t>The International Journal of Diversity in Education</t>
  </si>
  <si>
    <t>Patras</t>
  </si>
  <si>
    <t>2327-0020</t>
  </si>
  <si>
    <t>2327-2163</t>
  </si>
  <si>
    <t>International Journal of Doctoral Studies</t>
  </si>
  <si>
    <t>Informing Science Institute</t>
  </si>
  <si>
    <t>Santa Rosa</t>
  </si>
  <si>
    <t>1556-8881</t>
  </si>
  <si>
    <t>1556-8873</t>
  </si>
  <si>
    <t>International Journal of E-Learning &amp; Distance Education</t>
  </si>
  <si>
    <t>Canadian Network for Innovation in Education</t>
  </si>
  <si>
    <t>2292-8588</t>
  </si>
  <si>
    <t>International Journal of Early Childhood</t>
  </si>
  <si>
    <t>0020-7187</t>
  </si>
  <si>
    <t>1878-4658</t>
  </si>
  <si>
    <t>The International Journal of Early Childhood Learning</t>
  </si>
  <si>
    <t>2327-7939</t>
  </si>
  <si>
    <t>2327-8722</t>
  </si>
  <si>
    <t>International Journal of Early Years Education</t>
  </si>
  <si>
    <t>0966-9760</t>
  </si>
  <si>
    <t>1469-8463</t>
  </si>
  <si>
    <t>International Journal of Education and Development using Information and Communication Technology</t>
  </si>
  <si>
    <t>University of the West Indies</t>
  </si>
  <si>
    <t>Bridgetown</t>
  </si>
  <si>
    <t>Jamaica</t>
  </si>
  <si>
    <t>1814-0556</t>
  </si>
  <si>
    <t>International Journal of Education and Management Engineering</t>
  </si>
  <si>
    <t>Modern Education and Computer Science Press</t>
  </si>
  <si>
    <t>2305-3623</t>
  </si>
  <si>
    <t>2305-8463</t>
  </si>
  <si>
    <t>Engineering</t>
  </si>
  <si>
    <t>International Journal of Education and Psychology in the Community</t>
  </si>
  <si>
    <t>International Journal of Education &amp; Psychology in the Community</t>
  </si>
  <si>
    <t>Oradea</t>
  </si>
  <si>
    <t>2069-4695</t>
  </si>
  <si>
    <t>International Journal of Educational Advancement</t>
  </si>
  <si>
    <t>Basingstoke</t>
  </si>
  <si>
    <t>1744-6503</t>
  </si>
  <si>
    <t>1744-6511</t>
  </si>
  <si>
    <t>The International Journal of Educational Management</t>
  </si>
  <si>
    <t>0951-354X</t>
  </si>
  <si>
    <t>1758-6518</t>
  </si>
  <si>
    <t>01-Jan-1996--31-Dec-1998; 01-Jan-2000--31-Dec-2000</t>
  </si>
  <si>
    <t>The International Journal of Educational Organization and Leadership</t>
  </si>
  <si>
    <t>2329-1656</t>
  </si>
  <si>
    <t>2329-1591</t>
  </si>
  <si>
    <t>International Journal of Educational Psychology</t>
  </si>
  <si>
    <t>Hipatia Press</t>
  </si>
  <si>
    <t>2014-3591</t>
  </si>
  <si>
    <t>International Journal of Educational Technology in Higher Education</t>
  </si>
  <si>
    <t>2365-9440</t>
  </si>
  <si>
    <t>Catalan; Valencian|English|Spanish; Castilian</t>
  </si>
  <si>
    <t>International Journal of Electrical Engineering &amp; Education</t>
  </si>
  <si>
    <t>Manchester</t>
  </si>
  <si>
    <t>0020-7209</t>
  </si>
  <si>
    <t>2050-4578</t>
  </si>
  <si>
    <t>International Journal of Emerging Technologies in Learning (Online)</t>
  </si>
  <si>
    <t>1863-0383</t>
  </si>
  <si>
    <t>International Journal of Emotional Education</t>
  </si>
  <si>
    <t>European Centre for Educational Resilience and Socio-Emotional Health</t>
  </si>
  <si>
    <t>Msida</t>
  </si>
  <si>
    <t>Malta</t>
  </si>
  <si>
    <t>2073-7629</t>
  </si>
  <si>
    <t>The International Journal of Engineering Education</t>
  </si>
  <si>
    <t>Tempus Publications</t>
  </si>
  <si>
    <t>Hamburg</t>
  </si>
  <si>
    <t>International Journal of English Studies</t>
  </si>
  <si>
    <t>Universidad de Murcia, Facultad de Letras</t>
  </si>
  <si>
    <t>1578-7044</t>
  </si>
  <si>
    <t>1989-6131</t>
  </si>
  <si>
    <t>Linguistics|Literature</t>
  </si>
  <si>
    <t>International Journal of Higher Education Management</t>
  </si>
  <si>
    <t>Centre for Business &amp; Economic Research</t>
  </si>
  <si>
    <t>Harrow</t>
  </si>
  <si>
    <t>2054-9849</t>
  </si>
  <si>
    <t>2054-9857</t>
  </si>
  <si>
    <t>The International Journal of Humanities Education</t>
  </si>
  <si>
    <t>2327-0063</t>
  </si>
  <si>
    <t>2327-2457</t>
  </si>
  <si>
    <t>International Journal of Information and Communication Technology Education</t>
  </si>
  <si>
    <t>1550-1876</t>
  </si>
  <si>
    <t>1550-1337</t>
  </si>
  <si>
    <t>Communications|Computers--Information Science And Information Theory|Education</t>
  </si>
  <si>
    <t>The International Journal of Information and Learning Technology</t>
  </si>
  <si>
    <t>2056-4880</t>
  </si>
  <si>
    <t>2056-4899</t>
  </si>
  <si>
    <t>Computers--Computer Networks|Computers--Personal Computers|Library And Information Sciences--Computer Applications</t>
  </si>
  <si>
    <t>International Journal of Innovation in English Language Teaching and Research</t>
  </si>
  <si>
    <t>Nova Science Publishers, Inc.</t>
  </si>
  <si>
    <t>Hauppauge</t>
  </si>
  <si>
    <t>2156-5716</t>
  </si>
  <si>
    <t>2374-099X</t>
  </si>
  <si>
    <t>International Journal of Innovation in Science and Mathematics Education</t>
  </si>
  <si>
    <t>University of Sydney</t>
  </si>
  <si>
    <t>2200-4270</t>
  </si>
  <si>
    <t>01-Jan-2007--31-Dec-2007; 01-Jan-2009--31-Dec-2009</t>
  </si>
  <si>
    <t>Education--Teaching Methods And Curriculum|Mathematics|Sciences: Comprehensive Works</t>
  </si>
  <si>
    <t>International Journal of Innovative Teaching and Learning in Higher Education</t>
  </si>
  <si>
    <t>Baton Rouge</t>
  </si>
  <si>
    <t>2644-1624</t>
  </si>
  <si>
    <t>2644-1640</t>
  </si>
  <si>
    <t>International Journal of Instructional Media</t>
  </si>
  <si>
    <t>Dr. Phillip J. Sleeman</t>
  </si>
  <si>
    <t>0092-1815</t>
  </si>
  <si>
    <t>Education--Teaching Methods And Curriculum|Technology: Comprehensive Works</t>
  </si>
  <si>
    <t>The International Journal of Interdisciplinary Educational Studies</t>
  </si>
  <si>
    <t>Kraków</t>
  </si>
  <si>
    <t>2327-011X</t>
  </si>
  <si>
    <t>2327-2570</t>
  </si>
  <si>
    <t>International Journal of Leadership in Education</t>
  </si>
  <si>
    <t>1360-3124</t>
  </si>
  <si>
    <t>1464-5092</t>
  </si>
  <si>
    <t>The International Journal of Learning in Higher Education</t>
  </si>
  <si>
    <t>2327-7955</t>
  </si>
  <si>
    <t>2327-8749</t>
  </si>
  <si>
    <t>International Journal of Lifelong Education</t>
  </si>
  <si>
    <t>0260-1370</t>
  </si>
  <si>
    <t>1464-519X</t>
  </si>
  <si>
    <t>The International Journal of Literacies</t>
  </si>
  <si>
    <t>2327-0136</t>
  </si>
  <si>
    <t>2327-266X</t>
  </si>
  <si>
    <t>International Journal of Mathematical Education in Science and Technology</t>
  </si>
  <si>
    <t>0020-739X</t>
  </si>
  <si>
    <t>1464-5211</t>
  </si>
  <si>
    <t>International Journal of Mechanical Engineering Education</t>
  </si>
  <si>
    <t>0306-4190</t>
  </si>
  <si>
    <t>2050-4586</t>
  </si>
  <si>
    <t>Engineering|Engineering--Mechanical Engineering</t>
  </si>
  <si>
    <t>International Journal of Medical Education</t>
  </si>
  <si>
    <t>International Journal of Medical Education (IJME)</t>
  </si>
  <si>
    <t>Nottingham</t>
  </si>
  <si>
    <t>2042-6372</t>
  </si>
  <si>
    <t>International Journal of Mentoring and Coaching in Education</t>
  </si>
  <si>
    <t>2046-6854</t>
  </si>
  <si>
    <t>2046-6862</t>
  </si>
  <si>
    <t>International Journal of Modern Education and Computer Science</t>
  </si>
  <si>
    <t>2075-0161</t>
  </si>
  <si>
    <t>2075-017X</t>
  </si>
  <si>
    <t>Resumed Title</t>
  </si>
  <si>
    <t>International Journal of Multicultural Education</t>
  </si>
  <si>
    <t>International Journal of Multicultural Education (IJME)</t>
  </si>
  <si>
    <t>Logan</t>
  </si>
  <si>
    <t>South Korea</t>
  </si>
  <si>
    <t>1934-5267</t>
  </si>
  <si>
    <t>International Journal of Narrative Therapy and Community Work</t>
  </si>
  <si>
    <t>Dulwich Centre Publications</t>
  </si>
  <si>
    <t>1446-5019</t>
  </si>
  <si>
    <t>Psychology|Social Services And Welfare</t>
  </si>
  <si>
    <t>International Journal of Nursing Education Scholarship</t>
  </si>
  <si>
    <t>Berlin</t>
  </si>
  <si>
    <t>2194-5772</t>
  </si>
  <si>
    <t>1548-923X</t>
  </si>
  <si>
    <t>01-Jan-2013--31-Dec-2013</t>
  </si>
  <si>
    <t>Education|Medical Sciences--Nurses And Nursing</t>
  </si>
  <si>
    <t>International Journal of Online Pedagogy and Course Design</t>
  </si>
  <si>
    <t>2155-6873</t>
  </si>
  <si>
    <t>2155-6881</t>
  </si>
  <si>
    <t>01-Jan-2012--31-Dec-2012; 01-Jan-2015--31-Dec-2015; 01-Jan-2022--31-Dec-2022</t>
  </si>
  <si>
    <t>Computers--Internet|Education</t>
  </si>
  <si>
    <t>International Journal of Pedagogies &amp; Learning</t>
  </si>
  <si>
    <t>Maleny</t>
  </si>
  <si>
    <t>2204-0552</t>
  </si>
  <si>
    <t>1833-4105</t>
  </si>
  <si>
    <t>The International Journal of Pedagogy and Curriculum</t>
  </si>
  <si>
    <t>2327-7963</t>
  </si>
  <si>
    <t>2327-9133</t>
  </si>
  <si>
    <t>International Journal of Qualitative Studies in Education : QSE</t>
  </si>
  <si>
    <t>0951-8398</t>
  </si>
  <si>
    <t>International Journal of Rehabilitation Research</t>
  </si>
  <si>
    <t>0342-5282</t>
  </si>
  <si>
    <t>1473-5660</t>
  </si>
  <si>
    <t>International Journal of Research &amp; Method in Education</t>
  </si>
  <si>
    <t>1743-727X</t>
  </si>
  <si>
    <t>1743-7288</t>
  </si>
  <si>
    <t>International Journal of STEM Education</t>
  </si>
  <si>
    <t>2196-7822</t>
  </si>
  <si>
    <t>International Journal of Science Education</t>
  </si>
  <si>
    <t>0950-0693</t>
  </si>
  <si>
    <t>1464-5289</t>
  </si>
  <si>
    <t>The International Journal of Science, Mathematics and Technology Learning</t>
  </si>
  <si>
    <t>2327-7971</t>
  </si>
  <si>
    <t>2327-915X</t>
  </si>
  <si>
    <t>Education|Mathematics|Sciences: Comprehensive Works|Technology: Comprehensive Works</t>
  </si>
  <si>
    <t>The International Journal of Social Education</t>
  </si>
  <si>
    <t>Indiana Council of the Social Studies</t>
  </si>
  <si>
    <t>Muncie</t>
  </si>
  <si>
    <t>0889-0293</t>
  </si>
  <si>
    <t>International Journal of Sustainability in Higher Education</t>
  </si>
  <si>
    <t>1467-6370</t>
  </si>
  <si>
    <t>1758-6739</t>
  </si>
  <si>
    <t>The International Journal of Technologies in Learning</t>
  </si>
  <si>
    <t>2327-0144</t>
  </si>
  <si>
    <t>2327-2686</t>
  </si>
  <si>
    <t>International Journal of Technology and Design Education</t>
  </si>
  <si>
    <t>0957-7572</t>
  </si>
  <si>
    <t>1573-1804</t>
  </si>
  <si>
    <t>International Journal of Technology-Enhanced Education</t>
  </si>
  <si>
    <t>2771-5612</t>
  </si>
  <si>
    <t>2771-5620</t>
  </si>
  <si>
    <t>International Journal of Testing</t>
  </si>
  <si>
    <t>1530-5058</t>
  </si>
  <si>
    <t>1532-7574</t>
  </si>
  <si>
    <t>International Journal of Training &amp; Development</t>
  </si>
  <si>
    <t>1360-3736</t>
  </si>
  <si>
    <t>1468-2419</t>
  </si>
  <si>
    <t>International Journal of Training Research</t>
  </si>
  <si>
    <t>1448-0220</t>
  </si>
  <si>
    <t>1464-5319</t>
  </si>
  <si>
    <t>International Journal of University Teaching and Faculty Development</t>
  </si>
  <si>
    <t>1949-4947</t>
  </si>
  <si>
    <t>2374-1015</t>
  </si>
  <si>
    <t>International Journal of Work - Integrated Learning</t>
  </si>
  <si>
    <t>International Journal of Work-Integrated Learning</t>
  </si>
  <si>
    <t>2538-1032</t>
  </si>
  <si>
    <t>International Journal on Child Maltreatment</t>
  </si>
  <si>
    <t>Dallas</t>
  </si>
  <si>
    <t>2524-5236</t>
  </si>
  <si>
    <t>2524-5244</t>
  </si>
  <si>
    <t>International Journal on ELearning</t>
  </si>
  <si>
    <t>Association for the Advancement of Computing in Education</t>
  </si>
  <si>
    <t>1537-2456</t>
  </si>
  <si>
    <t>1943-5932</t>
  </si>
  <si>
    <t>Computers|Computers--Internet</t>
  </si>
  <si>
    <t>International Labour Review</t>
  </si>
  <si>
    <t>International Labour Organization, represented by the International Labour Office (ILO)</t>
  </si>
  <si>
    <t>0020-7780</t>
  </si>
  <si>
    <t>1564-913X</t>
  </si>
  <si>
    <t>Business And Economics--Labor And Industrial Relations|Labor Unions|Occupations And Careers</t>
  </si>
  <si>
    <t>The International Migration Review</t>
  </si>
  <si>
    <t>0197-9183</t>
  </si>
  <si>
    <t>1747-7379</t>
  </si>
  <si>
    <t>Ethnic Interests|Political Science|Population Studies|Social Sciences: Comprehensive Works|Sociology</t>
  </si>
  <si>
    <t>International Review of Education</t>
  </si>
  <si>
    <t>0020-8566</t>
  </si>
  <si>
    <t>1573-0638</t>
  </si>
  <si>
    <t>International Review of Research in Open and Distributed Learning</t>
  </si>
  <si>
    <t>International Review of Research in Open and Distance Learning</t>
  </si>
  <si>
    <t>Athabasca</t>
  </si>
  <si>
    <t>1492-3831</t>
  </si>
  <si>
    <t>International School</t>
  </si>
  <si>
    <t>1461-3956</t>
  </si>
  <si>
    <t>2049-5803</t>
  </si>
  <si>
    <t>The International Schools Journal</t>
  </si>
  <si>
    <t>ACS Athens American Community Schools</t>
  </si>
  <si>
    <t>0264-7281</t>
  </si>
  <si>
    <t>The International Scientific Conference eLearning and Software for Education</t>
  </si>
  <si>
    <t>"Carol I" National Defence University</t>
  </si>
  <si>
    <t>International Summit on the Teaching Profession</t>
  </si>
  <si>
    <t>2312-7090</t>
  </si>
  <si>
    <t>Education|Education--School Organization And Administration|Education--Teaching Methods And Curriculum</t>
  </si>
  <si>
    <t>Internationales Jahrbuch der Erwachsenenbildung</t>
  </si>
  <si>
    <t>0074-9818</t>
  </si>
  <si>
    <t>2194-3699</t>
  </si>
  <si>
    <t>Internet Research</t>
  </si>
  <si>
    <t>1066-2243</t>
  </si>
  <si>
    <t>2054-5657</t>
  </si>
  <si>
    <t>Computers--Internet</t>
  </si>
  <si>
    <t>Internet@Schools</t>
  </si>
  <si>
    <t>Medford</t>
  </si>
  <si>
    <t>2156-843X</t>
  </si>
  <si>
    <t>Computers--Computer Networks|Computers--Internet|Education|Education--Computer Applications</t>
  </si>
  <si>
    <t>Intervention in School and Clinic</t>
  </si>
  <si>
    <t>1053-4512</t>
  </si>
  <si>
    <t>1538-4810</t>
  </si>
  <si>
    <t>Education--Special Education And Rehabilitation|Psychology</t>
  </si>
  <si>
    <t>Investigacões em Ensino de Ciências</t>
  </si>
  <si>
    <t>Universidade Federal do Rio Grande do Sul, Instituto de Física</t>
  </si>
  <si>
    <t>1518-9384</t>
  </si>
  <si>
    <t>1518-8795</t>
  </si>
  <si>
    <t>Ipu Kereru: Blog of the New Zealand Association for Research in Education</t>
  </si>
  <si>
    <t>Earth Sciences--Oceanography</t>
  </si>
  <si>
    <t>Irish Educational Studies</t>
  </si>
  <si>
    <t>0332-3315</t>
  </si>
  <si>
    <t>1747-4965</t>
  </si>
  <si>
    <t>Issues</t>
  </si>
  <si>
    <t>0819-8101</t>
  </si>
  <si>
    <t>Earth Sciences|Education--Teaching Methods And Curriculum|Environmental Studies|Geography</t>
  </si>
  <si>
    <t>Issues in Accounting Education</t>
  </si>
  <si>
    <t>American Accounting Association</t>
  </si>
  <si>
    <t>Sarasota</t>
  </si>
  <si>
    <t>0739-3172</t>
  </si>
  <si>
    <t>1558-7983</t>
  </si>
  <si>
    <t>Business And Economics--Accounting|Education--Teaching Methods And Curriculum</t>
  </si>
  <si>
    <t>Issues in Applied Linguistics : IAL</t>
  </si>
  <si>
    <t>University of California</t>
  </si>
  <si>
    <t>Los Angeles</t>
  </si>
  <si>
    <t>1050-4273</t>
  </si>
  <si>
    <t>2379-4542</t>
  </si>
  <si>
    <t>Issues in Child Abuse Accusations</t>
  </si>
  <si>
    <t>Institute for Psychological Therapies</t>
  </si>
  <si>
    <t>1043-8823</t>
  </si>
  <si>
    <t>2169-0308</t>
  </si>
  <si>
    <t>Children And Youth - About|Criminology And Law Enforcement|Law--Criminal Law|Social Services And Welfare</t>
  </si>
  <si>
    <t>Issues in Education</t>
  </si>
  <si>
    <t>Greenwich</t>
  </si>
  <si>
    <t>1080-9724</t>
  </si>
  <si>
    <t>1879-2014</t>
  </si>
  <si>
    <t>Issues in Educational Research</t>
  </si>
  <si>
    <t>Perth</t>
  </si>
  <si>
    <t>0313-7155</t>
  </si>
  <si>
    <t>1837-6290</t>
  </si>
  <si>
    <t>01-Jan-2018--31-Dec-2022</t>
  </si>
  <si>
    <t>Issues in Science and Technology</t>
  </si>
  <si>
    <t>0748-5492</t>
  </si>
  <si>
    <t>1938-1557</t>
  </si>
  <si>
    <t>Issues in Teacher Education</t>
  </si>
  <si>
    <t>1536-3031</t>
  </si>
  <si>
    <t>Issues in Writing</t>
  </si>
  <si>
    <t>University of Wisconsin - Stevens Point</t>
  </si>
  <si>
    <t>Stevens Point</t>
  </si>
  <si>
    <t>0897-0696</t>
  </si>
  <si>
    <t>Education--Higher Education|Journalism</t>
  </si>
  <si>
    <t>JCT</t>
  </si>
  <si>
    <t>Foundation for Curriculum Theory</t>
  </si>
  <si>
    <t>Rochester</t>
  </si>
  <si>
    <t>1057-896X</t>
  </si>
  <si>
    <t>JCT (Online)</t>
  </si>
  <si>
    <t>1942-2563</t>
  </si>
  <si>
    <t>JEM</t>
  </si>
  <si>
    <t>Madison</t>
  </si>
  <si>
    <t>0022-0655</t>
  </si>
  <si>
    <t>1745-3984</t>
  </si>
  <si>
    <t>Jack and Jill</t>
  </si>
  <si>
    <t>0021-3829</t>
  </si>
  <si>
    <t>Jazz Education in Research and Practice</t>
  </si>
  <si>
    <t>Bloomington</t>
  </si>
  <si>
    <t>2639-7668</t>
  </si>
  <si>
    <t>2639-7676</t>
  </si>
  <si>
    <t>Jeugd En Co</t>
  </si>
  <si>
    <t>1873-9164</t>
  </si>
  <si>
    <t>1876-6080</t>
  </si>
  <si>
    <t>Dutch; Flemish</t>
  </si>
  <si>
    <t>Jornal Internacional de Estudos em Educacao Matematica</t>
  </si>
  <si>
    <t>Kroton Educacional, Jornal Internacional de Estudos em Educação Matemática</t>
  </si>
  <si>
    <t>Londrina</t>
  </si>
  <si>
    <t>2176-5634</t>
  </si>
  <si>
    <t>Journal About Women in Higher Education</t>
  </si>
  <si>
    <t>1940-7882</t>
  </si>
  <si>
    <t>1940-7890</t>
  </si>
  <si>
    <t>Journal for Educational Research Online</t>
  </si>
  <si>
    <t>1866-6671</t>
  </si>
  <si>
    <t>Journal for Learning through the Arts</t>
  </si>
  <si>
    <t>1932-7528</t>
  </si>
  <si>
    <t>Journal for Multicultural Education</t>
  </si>
  <si>
    <t>2053-535X</t>
  </si>
  <si>
    <t>2053-5368</t>
  </si>
  <si>
    <t>Journal for Research in Mathematics Education</t>
  </si>
  <si>
    <t>0021-8251</t>
  </si>
  <si>
    <t>1945-2306</t>
  </si>
  <si>
    <t>Journal for STEM Education Research</t>
  </si>
  <si>
    <t>College Station</t>
  </si>
  <si>
    <t>2520-8705</t>
  </si>
  <si>
    <t>2520-8713</t>
  </si>
  <si>
    <t>Education--Teaching Methods And Curriculum|Sciences: Comprehensive Works|Technology: Comprehensive Works</t>
  </si>
  <si>
    <t>Journal for Specialists in Group Work</t>
  </si>
  <si>
    <t>0193-3922</t>
  </si>
  <si>
    <t>1549-6295</t>
  </si>
  <si>
    <t>Journal for a Just and Caring Education</t>
  </si>
  <si>
    <t>1076-285X</t>
  </si>
  <si>
    <t>1938-2693</t>
  </si>
  <si>
    <t>Journal for the Education of Gifted Young Scientists</t>
  </si>
  <si>
    <t>Genç Bilge (Young Wise) Publishing</t>
  </si>
  <si>
    <t>Chelmsford</t>
  </si>
  <si>
    <t>2149-360X</t>
  </si>
  <si>
    <t>Journal for the Education of the Gifted</t>
  </si>
  <si>
    <t>0162-3532</t>
  </si>
  <si>
    <t>2162-9501</t>
  </si>
  <si>
    <t>Journal für Mathematik-Didaktik</t>
  </si>
  <si>
    <t>0173-5322</t>
  </si>
  <si>
    <t>1869-2699</t>
  </si>
  <si>
    <t>Journal of Academic Advising</t>
  </si>
  <si>
    <t>2577-168X</t>
  </si>
  <si>
    <t>01-Jan-2019--31-Dec-2019</t>
  </si>
  <si>
    <t>Journal of Academic Ethics</t>
  </si>
  <si>
    <t>1570-1727</t>
  </si>
  <si>
    <t>1572-8544</t>
  </si>
  <si>
    <t>Education--Higher Education|Sociology</t>
  </si>
  <si>
    <t>Journal of Academic Librarianship</t>
  </si>
  <si>
    <t>0099-1333</t>
  </si>
  <si>
    <t>1879-1999</t>
  </si>
  <si>
    <t>Journal of Accounting Education</t>
  </si>
  <si>
    <t>Harrisonburg</t>
  </si>
  <si>
    <t>0748-5751</t>
  </si>
  <si>
    <t>1873-1996</t>
  </si>
  <si>
    <t>Business And Economics--Accounting|Education--Higher Education</t>
  </si>
  <si>
    <t>Journal of Addictions &amp; Offender Counseling</t>
  </si>
  <si>
    <t>1055-3835</t>
  </si>
  <si>
    <t>2161-1874</t>
  </si>
  <si>
    <t>Criminology And Law Enforcement|Social Services And Welfare</t>
  </si>
  <si>
    <t>Journal of Adolescence</t>
  </si>
  <si>
    <t>0140-1971</t>
  </si>
  <si>
    <t>1095-9254</t>
  </si>
  <si>
    <t>01-Jan-1991--31-Dec-1991</t>
  </si>
  <si>
    <t>Journal of Adolescent &amp; Adult Literacy</t>
  </si>
  <si>
    <t>1081-3004</t>
  </si>
  <si>
    <t>1936-2706</t>
  </si>
  <si>
    <t>Education|Education--School Organization And Administration|Linguistics</t>
  </si>
  <si>
    <t>Journal of Adolescent Research</t>
  </si>
  <si>
    <t>0743-5584</t>
  </si>
  <si>
    <t>1552-6895</t>
  </si>
  <si>
    <t>Journal of Adult Education</t>
  </si>
  <si>
    <t>Mountain Plains Adult Education Association</t>
  </si>
  <si>
    <t>Brigham City</t>
  </si>
  <si>
    <t>0090-4244</t>
  </si>
  <si>
    <t>Journal of Advanced Academics</t>
  </si>
  <si>
    <t>1932-202X</t>
  </si>
  <si>
    <t>2162-9536</t>
  </si>
  <si>
    <t>Journal of Adventure Education and Outdoor Learning : JAEOL</t>
  </si>
  <si>
    <t>1472-9679</t>
  </si>
  <si>
    <t>1754-0402</t>
  </si>
  <si>
    <t>01-Jan-2017--31-Dec-2020</t>
  </si>
  <si>
    <t>Education|Sports And Games--Outdoor Life</t>
  </si>
  <si>
    <t>Journal of Advertising Education</t>
  </si>
  <si>
    <t>Columbia</t>
  </si>
  <si>
    <t>1098-0482</t>
  </si>
  <si>
    <t>2516-1873</t>
  </si>
  <si>
    <t>Advertising And Public Relations|Education</t>
  </si>
  <si>
    <t>Journal of Aesthetic Education</t>
  </si>
  <si>
    <t>University of Illinois Press</t>
  </si>
  <si>
    <t>0021-8510</t>
  </si>
  <si>
    <t>1543-7809</t>
  </si>
  <si>
    <t>01-Jan-2007--31-Dec-2016</t>
  </si>
  <si>
    <t>Art|Education|Humanities: Comprehensive Works|Literature|Philosophy</t>
  </si>
  <si>
    <t>Journal of African Education</t>
  </si>
  <si>
    <t>Adonis &amp; Abbey Publishers Ltd</t>
  </si>
  <si>
    <t>2633-2922</t>
  </si>
  <si>
    <t>2633-2930</t>
  </si>
  <si>
    <t>The Journal of Agricultural Education and Extension</t>
  </si>
  <si>
    <t>1389-224X</t>
  </si>
  <si>
    <t>1750-8622</t>
  </si>
  <si>
    <t>Agriculture|Education--Higher Education</t>
  </si>
  <si>
    <t>Journal of Alcohol and Drug Education</t>
  </si>
  <si>
    <t>American Alcohol and Drug Information Foundation</t>
  </si>
  <si>
    <t>Lansing</t>
  </si>
  <si>
    <t>0090-1482</t>
  </si>
  <si>
    <t>2162-4119</t>
  </si>
  <si>
    <t>Drug Abuse And Alcoholism|Physical Fitness And Hygiene|Public Health And Safety</t>
  </si>
  <si>
    <t>Journal of Allied Health</t>
  </si>
  <si>
    <t>Association of Schools of Allied Health Professions</t>
  </si>
  <si>
    <t>0090-7421</t>
  </si>
  <si>
    <t>1945-404X</t>
  </si>
  <si>
    <t>Public Health And Safety</t>
  </si>
  <si>
    <t>Journal of American College Health</t>
  </si>
  <si>
    <t>0744-8481</t>
  </si>
  <si>
    <t>1940-3208</t>
  </si>
  <si>
    <t>01-Jan-1998--31-Dec-1999</t>
  </si>
  <si>
    <t>Education--Higher Education|Physical Fitness And Hygiene|Public Health And Safety</t>
  </si>
  <si>
    <t>Journal of Applied Behavior Analysis</t>
  </si>
  <si>
    <t>0021-8855</t>
  </si>
  <si>
    <t>1938-3703</t>
  </si>
  <si>
    <t>Journal of Applied Research for Business Instruction</t>
  </si>
  <si>
    <t>National Business Education Association</t>
  </si>
  <si>
    <t>Little Rock</t>
  </si>
  <si>
    <t>1552-8391</t>
  </si>
  <si>
    <t>Journal of Applied Research in Higher Education</t>
  </si>
  <si>
    <t>2050-7003</t>
  </si>
  <si>
    <t>1758-1184</t>
  </si>
  <si>
    <t>01-Jan-2011--31-Dec-2015; 01-Jan-2017--31-Dec-2017</t>
  </si>
  <si>
    <t>Journal of Applied Research in the Community College</t>
  </si>
  <si>
    <t>Montezuma Publishing</t>
  </si>
  <si>
    <t>1068-610X</t>
  </si>
  <si>
    <t>Journal of Applied Technical and Educational Sciences</t>
  </si>
  <si>
    <t>ST Press</t>
  </si>
  <si>
    <t>Budapest</t>
  </si>
  <si>
    <t>2560-5429</t>
  </si>
  <si>
    <t>English|Hungarian|Serbian</t>
  </si>
  <si>
    <t>Journal of Asia TEFL</t>
  </si>
  <si>
    <t>Asia TEFL</t>
  </si>
  <si>
    <t>1738-3102</t>
  </si>
  <si>
    <t>2466-1511</t>
  </si>
  <si>
    <t>Journal of Athletic Training</t>
  </si>
  <si>
    <t>National Athletic Trainers Association</t>
  </si>
  <si>
    <t>1062-6050</t>
  </si>
  <si>
    <t>1938-162X</t>
  </si>
  <si>
    <t>Sports And Games</t>
  </si>
  <si>
    <t>Journal of Autism and Developmental Disorders</t>
  </si>
  <si>
    <t>0162-3257</t>
  </si>
  <si>
    <t>1573-3432</t>
  </si>
  <si>
    <t>Children And Youth - About|Education--Special Education And Rehabilitation|Medical Sciences--Psychiatry And Neurology|Psychology</t>
  </si>
  <si>
    <t>Journal of Baltic Science Education</t>
  </si>
  <si>
    <t>Scientia Socialis Ltd.</t>
  </si>
  <si>
    <t>Šiauliai</t>
  </si>
  <si>
    <t>1648-3898</t>
  </si>
  <si>
    <t>2538-7138</t>
  </si>
  <si>
    <t>Journal of Basic Writing</t>
  </si>
  <si>
    <t>0147-1635</t>
  </si>
  <si>
    <t>2164-5116</t>
  </si>
  <si>
    <t>Journal of Behavioral Education</t>
  </si>
  <si>
    <t>1053-0819</t>
  </si>
  <si>
    <t>1573-3513</t>
  </si>
  <si>
    <t>01-Jan-2001--31-Dec-2001</t>
  </si>
  <si>
    <t>Journal of Beliefs &amp; Values</t>
  </si>
  <si>
    <t>Bath</t>
  </si>
  <si>
    <t>1361-7672</t>
  </si>
  <si>
    <t>1469-9362</t>
  </si>
  <si>
    <t>Education|Religions And Theology</t>
  </si>
  <si>
    <t>Journal of Black Psychology</t>
  </si>
  <si>
    <t>0095-7984</t>
  </si>
  <si>
    <t>1552-4558</t>
  </si>
  <si>
    <t>01-Jan-1984--31-Dec-1984; 01-Jan-1988--31-Dec-1988</t>
  </si>
  <si>
    <t>01-Jan-1984--31-Dec-1984; 01-Jan-1988--31-Dec-1988; 01-Jan-1993--31-Dec-1993</t>
  </si>
  <si>
    <t>Journal of Black Studies</t>
  </si>
  <si>
    <t>0021-9347</t>
  </si>
  <si>
    <t>1552-4566</t>
  </si>
  <si>
    <t>Education|Ethnic Interests|Social Sciences: Comprehensive Works</t>
  </si>
  <si>
    <t>Journal of Blacks in Higher Education (Online)</t>
  </si>
  <si>
    <t>BruCon Publishing Company</t>
  </si>
  <si>
    <t>2326-6023</t>
  </si>
  <si>
    <t>African American/Caribbean/African|Education--Higher Education|Ethnic Interests</t>
  </si>
  <si>
    <t>The Journal of Blacks in Higher Education</t>
  </si>
  <si>
    <t>1077-3711</t>
  </si>
  <si>
    <t>Journal of Business Ethics Education</t>
  </si>
  <si>
    <t>NeilsonJournals Publishing</t>
  </si>
  <si>
    <t>Edinburgh</t>
  </si>
  <si>
    <t>1649-5195</t>
  </si>
  <si>
    <t>2044-4559</t>
  </si>
  <si>
    <t>Business And Economics|Philosophy</t>
  </si>
  <si>
    <t>Journal of Cancer Education</t>
  </si>
  <si>
    <t>0885-8195</t>
  </si>
  <si>
    <t>1543-0154</t>
  </si>
  <si>
    <t>01-Jan-2004--31-Dec-2006</t>
  </si>
  <si>
    <t>01-Dec-2003--31-Dec-2006</t>
  </si>
  <si>
    <t>Medical Sciences--Oncology</t>
  </si>
  <si>
    <t>Journal of Career Assessment</t>
  </si>
  <si>
    <t>Psychological Assessment Resources, Inc.</t>
  </si>
  <si>
    <t>1069-0727</t>
  </si>
  <si>
    <t>1552-4590</t>
  </si>
  <si>
    <t>Journal of Career Development</t>
  </si>
  <si>
    <t>0894-8453</t>
  </si>
  <si>
    <t>1573-3548</t>
  </si>
  <si>
    <t>Journal of Catholic Education</t>
  </si>
  <si>
    <t>Journal of Catholic Education, Loyola Marymount University</t>
  </si>
  <si>
    <t>2373-8170</t>
  </si>
  <si>
    <t>Journal of Character Education</t>
  </si>
  <si>
    <t>1543-1223</t>
  </si>
  <si>
    <t>Education--Teaching Methods And Curriculum|Religions And Theology</t>
  </si>
  <si>
    <t>Journal of Chemical Education</t>
  </si>
  <si>
    <t>American Chemical Society</t>
  </si>
  <si>
    <t>Easton</t>
  </si>
  <si>
    <t>0021-9584</t>
  </si>
  <si>
    <t>1938-1328</t>
  </si>
  <si>
    <t>Chemistry|Education--Higher Education</t>
  </si>
  <si>
    <t>Journal of Child &amp; Adolescent Substance Abuse</t>
  </si>
  <si>
    <t>1067-828X</t>
  </si>
  <si>
    <t>1547-0652</t>
  </si>
  <si>
    <t>Children And Youth - About|Drug Abuse And Alcoholism</t>
  </si>
  <si>
    <t>Journal of Child Language</t>
  </si>
  <si>
    <t>0305-0009</t>
  </si>
  <si>
    <t>1469-7602</t>
  </si>
  <si>
    <t>Children And Youth - About|Linguistics|Psychology</t>
  </si>
  <si>
    <t>Journal of Child Neurology</t>
  </si>
  <si>
    <t>0883-0738</t>
  </si>
  <si>
    <t>1708-8283</t>
  </si>
  <si>
    <t>Medical Sciences--Pediatrics|Medical Sciences--Psychiatry And Neurology</t>
  </si>
  <si>
    <t>Journal of Child Psychology and Psychiatry</t>
  </si>
  <si>
    <t>0021-9630</t>
  </si>
  <si>
    <t>1469-7610</t>
  </si>
  <si>
    <t>Journal of Child Sexual Abuse</t>
  </si>
  <si>
    <t>Binghamton</t>
  </si>
  <si>
    <t>1053-8712</t>
  </si>
  <si>
    <t>1547-0679</t>
  </si>
  <si>
    <t>Journal of Child and Adolescent Psychiatric Nursing</t>
  </si>
  <si>
    <t>1073-6077</t>
  </si>
  <si>
    <t>1744-6171</t>
  </si>
  <si>
    <t>Medical Sciences--Nurses And Nursing|Medical Sciences--Pediatrics|Medical Sciences--Psychiatry And Neurology</t>
  </si>
  <si>
    <t>Journal of Child and Family Studies</t>
  </si>
  <si>
    <t>1062-1024</t>
  </si>
  <si>
    <t>1573-2843</t>
  </si>
  <si>
    <t>Journal of Childhood Studies</t>
  </si>
  <si>
    <t>Prospect Bay</t>
  </si>
  <si>
    <t>2371-4107</t>
  </si>
  <si>
    <t>2371-4115</t>
  </si>
  <si>
    <t>Journal of Children's Literature</t>
  </si>
  <si>
    <t>Children's Literature Assembly</t>
  </si>
  <si>
    <t>1521-7779</t>
  </si>
  <si>
    <t>Journal of Children's Services</t>
  </si>
  <si>
    <t>1746-6660</t>
  </si>
  <si>
    <t>2042-8677</t>
  </si>
  <si>
    <t>Journal of Classics Teaching</t>
  </si>
  <si>
    <t>1741-7627</t>
  </si>
  <si>
    <t>2058-6310</t>
  </si>
  <si>
    <t>Classical Studies|Education--Teaching Methods And Curriculum</t>
  </si>
  <si>
    <t>The Journal of Classroom Interaction</t>
  </si>
  <si>
    <t>Journal of Classroom Interaction</t>
  </si>
  <si>
    <t>Houston</t>
  </si>
  <si>
    <t>0749-4025</t>
  </si>
  <si>
    <t>2376-6670</t>
  </si>
  <si>
    <t>Journal of Clinical Child and Adolescent Psychology</t>
  </si>
  <si>
    <t>1537-4416</t>
  </si>
  <si>
    <t>1537-4424</t>
  </si>
  <si>
    <t>Journal of Cognition and Development</t>
  </si>
  <si>
    <t>1524-8372</t>
  </si>
  <si>
    <t>1532-7647</t>
  </si>
  <si>
    <t>Journal of Cognitive Education and Psychology</t>
  </si>
  <si>
    <t>Springer Publishing Company</t>
  </si>
  <si>
    <t>1945-8959</t>
  </si>
  <si>
    <t>1810-7621</t>
  </si>
  <si>
    <t>Education--Teaching Methods And Curriculum|Psychology</t>
  </si>
  <si>
    <t>Journal of College Admission</t>
  </si>
  <si>
    <t>National Association of College Admissions Counselors</t>
  </si>
  <si>
    <t>0734-6670</t>
  </si>
  <si>
    <t>Journal of College Counseling</t>
  </si>
  <si>
    <t>1099-0399</t>
  </si>
  <si>
    <t>2161-1882</t>
  </si>
  <si>
    <t>Education--Higher Education|Psychology</t>
  </si>
  <si>
    <t>Journal of College Reading and Learning</t>
  </si>
  <si>
    <t>Oak Creek</t>
  </si>
  <si>
    <t>1079-0195</t>
  </si>
  <si>
    <t>01-Jan-2006--31-Dec-2006; 01-Jan-2017--31-Dec-2018</t>
  </si>
  <si>
    <t>Journal of College Science Teaching</t>
  </si>
  <si>
    <t>National Science Teachers Association</t>
  </si>
  <si>
    <t>0047-231X</t>
  </si>
  <si>
    <t>1943-4898</t>
  </si>
  <si>
    <t>Journal of College Student Development</t>
  </si>
  <si>
    <t>0897-5264</t>
  </si>
  <si>
    <t>1543-3382</t>
  </si>
  <si>
    <t>Journal of College Student Retention</t>
  </si>
  <si>
    <t>1521-0251</t>
  </si>
  <si>
    <t>1541-4167</t>
  </si>
  <si>
    <t>Journal of College Teaching &amp; Learning (Online)</t>
  </si>
  <si>
    <t>2157-894X</t>
  </si>
  <si>
    <t>Journal of College Teaching and Learning</t>
  </si>
  <si>
    <t>1544-0389</t>
  </si>
  <si>
    <t>Journal of College and Character</t>
  </si>
  <si>
    <t>2194-587X</t>
  </si>
  <si>
    <t>1940-1639</t>
  </si>
  <si>
    <t>Journal of Communication</t>
  </si>
  <si>
    <t>0021-9916</t>
  </si>
  <si>
    <t>1460-2466</t>
  </si>
  <si>
    <t>Communications|Education|Journalism|Medical Sciences|Psychology|Sociology</t>
  </si>
  <si>
    <t>Journal of Community Engagement and Scholarship</t>
  </si>
  <si>
    <t>University of Alabama Press</t>
  </si>
  <si>
    <t>Tuscaloosa</t>
  </si>
  <si>
    <t>1944-1207</t>
  </si>
  <si>
    <t>Journal of Community Health</t>
  </si>
  <si>
    <t>0094-5145</t>
  </si>
  <si>
    <t>1573-3610</t>
  </si>
  <si>
    <t>Health Facilities And Administration|Medical Sciences|Public Health And Safety</t>
  </si>
  <si>
    <t>Journal of Computer Assisted Learning</t>
  </si>
  <si>
    <t>0266-4909</t>
  </si>
  <si>
    <t>1365-2729</t>
  </si>
  <si>
    <t>01-Jan-2007--31-Dec-2009</t>
  </si>
  <si>
    <t>Journal of Computers in Education</t>
  </si>
  <si>
    <t>2197-9987</t>
  </si>
  <si>
    <t>2197-9995</t>
  </si>
  <si>
    <t>The Journal of Computers in Mathematics and Science Teaching</t>
  </si>
  <si>
    <t>0731-9258</t>
  </si>
  <si>
    <t>1943-5908</t>
  </si>
  <si>
    <t>Mathematics|Mathematics--Computer Applications|Sciences: Comprehensive Works</t>
  </si>
  <si>
    <t>Journal of Computing in Higher Education</t>
  </si>
  <si>
    <t>1042-1726</t>
  </si>
  <si>
    <t>1867-1233</t>
  </si>
  <si>
    <t>Education--Computer Applications|Education--Higher Education</t>
  </si>
  <si>
    <t>The Journal of Conflict Resolution  (1986-1998)</t>
  </si>
  <si>
    <t>0022-0027</t>
  </si>
  <si>
    <t>1552-8766</t>
  </si>
  <si>
    <t>Political Science--International Relations|Psychology|Social Sciences: Comprehensive Works|Sociology</t>
  </si>
  <si>
    <t>The Journal of Conflict Resolution  (pre-1986)</t>
  </si>
  <si>
    <t>The Journal of Conflict Resolution</t>
  </si>
  <si>
    <t>The Journal of Consumer Affairs</t>
  </si>
  <si>
    <t>0022-0078</t>
  </si>
  <si>
    <t>1745-6606</t>
  </si>
  <si>
    <t>01-Jan-1973--31-Dec-1973</t>
  </si>
  <si>
    <t>Business And Economics|Consumer Education And Protection</t>
  </si>
  <si>
    <t>Journal of Continuing Education Topics &amp; Issues</t>
  </si>
  <si>
    <t>American Medical Technologies</t>
  </si>
  <si>
    <t>Rosemont</t>
  </si>
  <si>
    <t>1522-8606</t>
  </si>
  <si>
    <t>Education|Medical Sciences--Experimental Medicine, Laboratory Technique</t>
  </si>
  <si>
    <t>The Journal of Continuing Education in Nursing</t>
  </si>
  <si>
    <t>SLACK INCORPORATED</t>
  </si>
  <si>
    <t>Thorofare</t>
  </si>
  <si>
    <t>0022-0124</t>
  </si>
  <si>
    <t>1938-2472</t>
  </si>
  <si>
    <t>Journal of Continuing Education in the Health Professions</t>
  </si>
  <si>
    <t>0894-1912</t>
  </si>
  <si>
    <t>1554-558X</t>
  </si>
  <si>
    <t>Education|Education--Adult Education|Medical Sciences</t>
  </si>
  <si>
    <t>Journal of Cooperative Education</t>
  </si>
  <si>
    <t>Cooperative Education Association</t>
  </si>
  <si>
    <t>Beltsville</t>
  </si>
  <si>
    <t>0022-0132</t>
  </si>
  <si>
    <t>Journal of Correctional Education</t>
  </si>
  <si>
    <t>Correctional Education Association</t>
  </si>
  <si>
    <t>Lanham</t>
  </si>
  <si>
    <t>0740-2708</t>
  </si>
  <si>
    <t>Criminology And Law Enforcement|Education|Education--Special Education And Rehabilitation|Education--Teaching Methods And Curriculum</t>
  </si>
  <si>
    <t>Journal of Counseling Psychology</t>
  </si>
  <si>
    <t>0022-0167</t>
  </si>
  <si>
    <t>1939-2168</t>
  </si>
  <si>
    <t>Journal of Counseling and Development : JCD</t>
  </si>
  <si>
    <t>0748-9633</t>
  </si>
  <si>
    <t>1556-6676</t>
  </si>
  <si>
    <t>Education|Occupations And Careers|Psychology</t>
  </si>
  <si>
    <t>Journal of Counselor Preparation and Supervision</t>
  </si>
  <si>
    <t>North Atlantic Region Association for Counselor Education and Supervision</t>
  </si>
  <si>
    <t>Montclair</t>
  </si>
  <si>
    <t>2164-3288</t>
  </si>
  <si>
    <t>Journal of Cross - Cultural Psychology</t>
  </si>
  <si>
    <t>0022-0221</t>
  </si>
  <si>
    <t>1552-5422</t>
  </si>
  <si>
    <t>Journal of Cultural Research in Art Education</t>
  </si>
  <si>
    <t>United States Society for Education Through Art</t>
  </si>
  <si>
    <t>Greenville</t>
  </si>
  <si>
    <t>2152-7172</t>
  </si>
  <si>
    <t>Journal of Cultural Research in Art Education (Online)</t>
  </si>
  <si>
    <t>Journal of Curriculum Studies</t>
  </si>
  <si>
    <t>0022-0272</t>
  </si>
  <si>
    <t>1366-5839</t>
  </si>
  <si>
    <t>Angle Publishing Co., Ltd.</t>
  </si>
  <si>
    <t>1816-5338</t>
  </si>
  <si>
    <t>2410-3322</t>
  </si>
  <si>
    <t>Journal of Curriculum and Pedagogy</t>
  </si>
  <si>
    <t>1550-5170</t>
  </si>
  <si>
    <t>2156-8154</t>
  </si>
  <si>
    <t>Journal of Curriculum and Supervision</t>
  </si>
  <si>
    <t>0882-1232</t>
  </si>
  <si>
    <t>Journal of Deaf Studies and Deaf Education</t>
  </si>
  <si>
    <t>1081-4159</t>
  </si>
  <si>
    <t>1465-7325</t>
  </si>
  <si>
    <t>Journal of Developmental Education</t>
  </si>
  <si>
    <t>Appalachian State University d/b/a</t>
  </si>
  <si>
    <t>Boone</t>
  </si>
  <si>
    <t>0894-3907</t>
  </si>
  <si>
    <t>Journal of Developmental and Physical Disabilities</t>
  </si>
  <si>
    <t>1056-263X</t>
  </si>
  <si>
    <t>1573-3580</t>
  </si>
  <si>
    <t>Education--Special Education And Rehabilitation|People With Disabilities</t>
  </si>
  <si>
    <t>Journal of Disability Policy Studies</t>
  </si>
  <si>
    <t>1044-2073</t>
  </si>
  <si>
    <t>1538-4802</t>
  </si>
  <si>
    <t>Law|People With Disabilities</t>
  </si>
  <si>
    <t>Journal of Distance Education</t>
  </si>
  <si>
    <t>0830-0445</t>
  </si>
  <si>
    <t>Journal of Documentation</t>
  </si>
  <si>
    <t>0022-0418</t>
  </si>
  <si>
    <t>1758-7379</t>
  </si>
  <si>
    <t>Business And Economics--Labor And Industrial Relations|Library And Information Sciences</t>
  </si>
  <si>
    <t>Journal of Drug Education</t>
  </si>
  <si>
    <t>0047-2379</t>
  </si>
  <si>
    <t>1541-4159</t>
  </si>
  <si>
    <t>The Journal of Early Adolescence</t>
  </si>
  <si>
    <t>0272-4316</t>
  </si>
  <si>
    <t>1552-5449</t>
  </si>
  <si>
    <t>Journal of Early Childhood Care and Education</t>
  </si>
  <si>
    <t>Allama Iqbal Open University</t>
  </si>
  <si>
    <t>Islamabad</t>
  </si>
  <si>
    <t>2616-7557</t>
  </si>
  <si>
    <t>2616-7565</t>
  </si>
  <si>
    <t>Journal of Early Childhood Teacher Education</t>
  </si>
  <si>
    <t>1090-1027</t>
  </si>
  <si>
    <t>1745-5642</t>
  </si>
  <si>
    <t>Journal of Early Intervention</t>
  </si>
  <si>
    <t>1053-8151</t>
  </si>
  <si>
    <t>2154-3992</t>
  </si>
  <si>
    <t>Children And Youth - About|Education--Special Education And Rehabilitation|Education--Teaching Methods And Curriculum</t>
  </si>
  <si>
    <t>Journal of Economic Development in Higher Education</t>
  </si>
  <si>
    <t>2642-0600</t>
  </si>
  <si>
    <t>Journal of Economic Education</t>
  </si>
  <si>
    <t>0022-0485</t>
  </si>
  <si>
    <t>2152-4068</t>
  </si>
  <si>
    <t>Journal of Economic Education (1986-1998)</t>
  </si>
  <si>
    <t>Journal of Economic Education (pre-1986)</t>
  </si>
  <si>
    <t>Journal of Economics and Economic Education Research</t>
  </si>
  <si>
    <t>1533-3604</t>
  </si>
  <si>
    <t>1533-3590</t>
  </si>
  <si>
    <t>Journal of Education</t>
  </si>
  <si>
    <t>0022-0574</t>
  </si>
  <si>
    <t>2515-5741</t>
  </si>
  <si>
    <t>Journal of Education &amp; Psychology</t>
  </si>
  <si>
    <t>National Chengchi University, Editorial Board of Journal of Education &amp; Psychology</t>
  </si>
  <si>
    <t>1024-9885</t>
  </si>
  <si>
    <t>Journal of Education &amp; Teaching in Emergency Medicine</t>
  </si>
  <si>
    <t>Orange</t>
  </si>
  <si>
    <t>2474-1949</t>
  </si>
  <si>
    <t>Journal of Education Research</t>
  </si>
  <si>
    <t>1680-6360</t>
  </si>
  <si>
    <t>Journal of Education and Educational Development</t>
  </si>
  <si>
    <t>Institute of Business Management</t>
  </si>
  <si>
    <t>Karachi</t>
  </si>
  <si>
    <t>2310-0869</t>
  </si>
  <si>
    <t>2313-3538</t>
  </si>
  <si>
    <t>Journal of Education and Future</t>
  </si>
  <si>
    <t>Nesibe Aydin Education Institutio</t>
  </si>
  <si>
    <t>2146-8249</t>
  </si>
  <si>
    <t>Journal of Education for Business</t>
  </si>
  <si>
    <t>0883-2323</t>
  </si>
  <si>
    <t>1940-3356</t>
  </si>
  <si>
    <t>Business And Economics|Education--Higher Education</t>
  </si>
  <si>
    <t>Journal of Education for Library and Information Science</t>
  </si>
  <si>
    <t>0748-5786</t>
  </si>
  <si>
    <t>2328-2967</t>
  </si>
  <si>
    <t>Education--Teaching Methods And Curriculum|Library And Information Sciences</t>
  </si>
  <si>
    <t>Journal of Education for Students Placed at Risk</t>
  </si>
  <si>
    <t>1082-4669</t>
  </si>
  <si>
    <t>1532-7671</t>
  </si>
  <si>
    <t>Journal of Education for Teaching</t>
  </si>
  <si>
    <t>0260-7476</t>
  </si>
  <si>
    <t>1360-0540</t>
  </si>
  <si>
    <t>Journal of Education in Muslim Societies</t>
  </si>
  <si>
    <t>2641-0044</t>
  </si>
  <si>
    <t>2641-0052</t>
  </si>
  <si>
    <t>Education|Religions And Theology--Islamic</t>
  </si>
  <si>
    <t>Journal of Educational &amp; Psychological Consultation</t>
  </si>
  <si>
    <t>1047-4412</t>
  </si>
  <si>
    <t>1532-768X</t>
  </si>
  <si>
    <t>Journal of Educational Administration</t>
  </si>
  <si>
    <t>Armidale</t>
  </si>
  <si>
    <t>0957-8234</t>
  </si>
  <si>
    <t>1758-7395</t>
  </si>
  <si>
    <t>Journal of Educational Administration and History</t>
  </si>
  <si>
    <t>Leeds</t>
  </si>
  <si>
    <t>0022-0620</t>
  </si>
  <si>
    <t>1478-7431</t>
  </si>
  <si>
    <t>Education--School Organization And Administration|History</t>
  </si>
  <si>
    <t>Journal of Educational Change</t>
  </si>
  <si>
    <t>1389-2843</t>
  </si>
  <si>
    <t>1573-1812</t>
  </si>
  <si>
    <t>01-Jan-2011--31-Dec-2013</t>
  </si>
  <si>
    <t>The Journal of Educational Foundations</t>
  </si>
  <si>
    <t>1047-8248</t>
  </si>
  <si>
    <t>Journal of Educational Media, Memory, and Society</t>
  </si>
  <si>
    <t>Berghahn Books, Inc.</t>
  </si>
  <si>
    <t>2041-6938</t>
  </si>
  <si>
    <t>2041-6946</t>
  </si>
  <si>
    <t>Journal of Educational Multimedia and Hypermedia</t>
  </si>
  <si>
    <t>1055-8896</t>
  </si>
  <si>
    <t>1943-5916</t>
  </si>
  <si>
    <t>Journal of Educational Practice and Research</t>
  </si>
  <si>
    <t>National Taipei University of Education</t>
  </si>
  <si>
    <t>1993-5633</t>
  </si>
  <si>
    <t>Journal of Educational Psychology</t>
  </si>
  <si>
    <t>0022-0663</t>
  </si>
  <si>
    <t>1939-2176</t>
  </si>
  <si>
    <t>Journal of Educational Research</t>
  </si>
  <si>
    <t>Bahawalpur</t>
  </si>
  <si>
    <t>1027-9776</t>
  </si>
  <si>
    <t>2309-8554</t>
  </si>
  <si>
    <t>01-Jan-2018--31-Dec-2020</t>
  </si>
  <si>
    <t>The Journal of Educational Research</t>
  </si>
  <si>
    <t>0022-0671</t>
  </si>
  <si>
    <t>1940-0675</t>
  </si>
  <si>
    <t>Journal of Educational Research and Practice</t>
  </si>
  <si>
    <t>Walden University Publishing</t>
  </si>
  <si>
    <t>Journal of Educational Sciences</t>
  </si>
  <si>
    <t>Qatar University Press</t>
  </si>
  <si>
    <t>Doha</t>
  </si>
  <si>
    <t>Qatar</t>
  </si>
  <si>
    <t>2706-6711</t>
  </si>
  <si>
    <t>2706-672X</t>
  </si>
  <si>
    <t>01-Jan-2008--31-Dec-2018</t>
  </si>
  <si>
    <t>Arabic|English</t>
  </si>
  <si>
    <t>Journal of Educational Sciences and Psychology</t>
  </si>
  <si>
    <t>PG University Ploiesti Publishling House</t>
  </si>
  <si>
    <t>Ploiesti</t>
  </si>
  <si>
    <t>2247-6377</t>
  </si>
  <si>
    <t>2247-8558</t>
  </si>
  <si>
    <t>Journal of Educational Technology &amp; Society</t>
  </si>
  <si>
    <t>International Forum of Educational Technology &amp; Society</t>
  </si>
  <si>
    <t>Palmerston North</t>
  </si>
  <si>
    <t>1176-3647</t>
  </si>
  <si>
    <t>1436-4522</t>
  </si>
  <si>
    <t>Journal of Educational Technology and Online Learning</t>
  </si>
  <si>
    <t>Gürhan Durak</t>
  </si>
  <si>
    <t>Balıkesir</t>
  </si>
  <si>
    <t>2618-6586</t>
  </si>
  <si>
    <t>The Journal of Educational Thought</t>
  </si>
  <si>
    <t>University of Calgary, Faculty of Education</t>
  </si>
  <si>
    <t>0022-0701</t>
  </si>
  <si>
    <t>2561-7990</t>
  </si>
  <si>
    <t>Journal of Educational and Behavioral Statistics</t>
  </si>
  <si>
    <t>1076-9986</t>
  </si>
  <si>
    <t>1935-1054</t>
  </si>
  <si>
    <t>01-Jan-2001--31-Dec-2003</t>
  </si>
  <si>
    <t>Education|Statistics</t>
  </si>
  <si>
    <t>Journal of Emotional and Behavioral Disorders</t>
  </si>
  <si>
    <t>1063-4266</t>
  </si>
  <si>
    <t>1538-4799</t>
  </si>
  <si>
    <t>Education--Special Education And Rehabilitation|Medical Sciences|Medical Sciences--Psychiatry And Neurology|Psychology</t>
  </si>
  <si>
    <t>Journal of Employment Counseling</t>
  </si>
  <si>
    <t>0022-0787</t>
  </si>
  <si>
    <t>2161-1920</t>
  </si>
  <si>
    <t>Journal of Engineering Education</t>
  </si>
  <si>
    <t>1069-4730</t>
  </si>
  <si>
    <t>Journal of Entrepreneurship Education</t>
  </si>
  <si>
    <t>1098-8394</t>
  </si>
  <si>
    <t>1528-2651</t>
  </si>
  <si>
    <t>01-Jan-2001--31-Dec-2001; 01-Jan-2003--31-Dec-2004</t>
  </si>
  <si>
    <t>Business And Economics--Management|Education--Higher Education</t>
  </si>
  <si>
    <t>The Journal of Environmental Education</t>
  </si>
  <si>
    <t>0095-8964</t>
  </si>
  <si>
    <t>1940-1892</t>
  </si>
  <si>
    <t>Environmental Studies</t>
  </si>
  <si>
    <t>The Journal of Experiential Education</t>
  </si>
  <si>
    <t>Association for Experiential Education</t>
  </si>
  <si>
    <t>1053-8259</t>
  </si>
  <si>
    <t>2169-009X</t>
  </si>
  <si>
    <t>Journal of Experimental Child Psychology</t>
  </si>
  <si>
    <t>0022-0965</t>
  </si>
  <si>
    <t>1096-0457</t>
  </si>
  <si>
    <t>01-Mar-2001--30-Jun-2006</t>
  </si>
  <si>
    <t>The Journal of Experimental Education</t>
  </si>
  <si>
    <t>0022-0973</t>
  </si>
  <si>
    <t>1940-0683</t>
  </si>
  <si>
    <t>The Journal of Faculty Development</t>
  </si>
  <si>
    <t>Magna Publications</t>
  </si>
  <si>
    <t>2153-1900</t>
  </si>
  <si>
    <t>2153-1919</t>
  </si>
  <si>
    <t>Journal of Family Issues</t>
  </si>
  <si>
    <t>0192-513X</t>
  </si>
  <si>
    <t>1552-5481</t>
  </si>
  <si>
    <t>Journal of Family and Consumer Sciences</t>
  </si>
  <si>
    <t>American Association of Family &amp; Consumer Sciences</t>
  </si>
  <si>
    <t>1082-1651</t>
  </si>
  <si>
    <t>2331-5369</t>
  </si>
  <si>
    <t>Consumer Education And Protection|Home Economics</t>
  </si>
  <si>
    <t>Journal of Financial Counseling and Planning</t>
  </si>
  <si>
    <t>Association for Financial Counseling and Planning Education</t>
  </si>
  <si>
    <t>1052-3073</t>
  </si>
  <si>
    <t>Business And Economics--Banking And Finance</t>
  </si>
  <si>
    <t>Journal of Food Science Education</t>
  </si>
  <si>
    <t>1541-4329</t>
  </si>
  <si>
    <t>Food And Food Industries</t>
  </si>
  <si>
    <t>Journal of Formative Design in Learning</t>
  </si>
  <si>
    <t>Fort Myers</t>
  </si>
  <si>
    <t>2509-8039</t>
  </si>
  <si>
    <t>Journal of Further and Higher Education</t>
  </si>
  <si>
    <t>0309-877X</t>
  </si>
  <si>
    <t>1469-9486</t>
  </si>
  <si>
    <t>The Journal of Genetic Psychology</t>
  </si>
  <si>
    <t>0022-1325</t>
  </si>
  <si>
    <t>1940-0896</t>
  </si>
  <si>
    <t>Biology--Genetics|Psychology</t>
  </si>
  <si>
    <t>The Journal of Geography</t>
  </si>
  <si>
    <t>0022-1341</t>
  </si>
  <si>
    <t>1752-6868</t>
  </si>
  <si>
    <t>Journal of Geography in Higher Education</t>
  </si>
  <si>
    <t>0309-8265</t>
  </si>
  <si>
    <t>1466-1845</t>
  </si>
  <si>
    <t>Education--Higher Education|Geography</t>
  </si>
  <si>
    <t>Journal of Geoscience Education</t>
  </si>
  <si>
    <t>Bellingham</t>
  </si>
  <si>
    <t>1089-9995</t>
  </si>
  <si>
    <t>2158-1428</t>
  </si>
  <si>
    <t>Earth Sciences--Geology|Education--Higher Education</t>
  </si>
  <si>
    <t>Journal of Global Responsibility</t>
  </si>
  <si>
    <t>2041-2568</t>
  </si>
  <si>
    <t>2041-2576</t>
  </si>
  <si>
    <t>The Journal of Health Administration Education</t>
  </si>
  <si>
    <t>Association of University Programs in Health Administration</t>
  </si>
  <si>
    <t>0735-6722</t>
  </si>
  <si>
    <t>2158-8236</t>
  </si>
  <si>
    <t>Education--Higher Education|Health Facilities And Administration</t>
  </si>
  <si>
    <t>Journal of Health Education Teaching Techniques</t>
  </si>
  <si>
    <t>Sagamore Publishing LLC</t>
  </si>
  <si>
    <t>US Minor Outlying Islands</t>
  </si>
  <si>
    <t>2332-0990</t>
  </si>
  <si>
    <t>2332-1008</t>
  </si>
  <si>
    <t>Education--Teaching Methods And Curriculum|Medical Sciences</t>
  </si>
  <si>
    <t>Journal of Health and Social Behavior</t>
  </si>
  <si>
    <t>0022-1465</t>
  </si>
  <si>
    <t>2150-6000</t>
  </si>
  <si>
    <t>Journal of Higher Education Policy and Management</t>
  </si>
  <si>
    <t>1360-080X</t>
  </si>
  <si>
    <t>1469-9508</t>
  </si>
  <si>
    <t>The Journal of Higher Education</t>
  </si>
  <si>
    <t>0022-1546</t>
  </si>
  <si>
    <t>1538-4640</t>
  </si>
  <si>
    <t>Journal of Higher Education Theory and Practice</t>
  </si>
  <si>
    <t>North American Business Press</t>
  </si>
  <si>
    <t>West Palm Beach</t>
  </si>
  <si>
    <t>2158-3595</t>
  </si>
  <si>
    <t>Journal of Hospitality, Leisure, Sports and Tourism Education</t>
  </si>
  <si>
    <t>Elsevier Limited</t>
  </si>
  <si>
    <t>1473-8376</t>
  </si>
  <si>
    <t>Journal of Hospitality, Leisure, Sports and Tourism Education (Pre-2012)</t>
  </si>
  <si>
    <t>Journal of Human Resources Education</t>
  </si>
  <si>
    <t>Troy University -  Sorrell College of Business; Journal of Human Resources Education</t>
  </si>
  <si>
    <t>Troy</t>
  </si>
  <si>
    <t>1937-5891</t>
  </si>
  <si>
    <t>The Journal of Human Resources</t>
  </si>
  <si>
    <t>University of Wisconsin Press</t>
  </si>
  <si>
    <t>0022-166X</t>
  </si>
  <si>
    <t>1548-8004</t>
  </si>
  <si>
    <t>Business And Economics--Labor And Industrial Relations|Sociology</t>
  </si>
  <si>
    <t>The Journal of Humanistic Counseling</t>
  </si>
  <si>
    <t>2159-0311</t>
  </si>
  <si>
    <t>2161-1939</t>
  </si>
  <si>
    <t>01-Jan-1999--31-Dec-1999; 01-Jan-2001--31-Dec-2003</t>
  </si>
  <si>
    <t>Journal of Information Systems Education</t>
  </si>
  <si>
    <t>EDSIG</t>
  </si>
  <si>
    <t>1055-3096</t>
  </si>
  <si>
    <t>2574-3872</t>
  </si>
  <si>
    <t>Computers--Electronic Data Processing|Education--Computer Applications</t>
  </si>
  <si>
    <t>Journal of Information Technology Education. Innovations in Practice</t>
  </si>
  <si>
    <t>2165-3151</t>
  </si>
  <si>
    <t>2165-316X</t>
  </si>
  <si>
    <t>Journal of Information Technology Education. Research</t>
  </si>
  <si>
    <t>1547-9714</t>
  </si>
  <si>
    <t>1539-3585</t>
  </si>
  <si>
    <t>Journal of Information Technology Teaching Cases</t>
  </si>
  <si>
    <t>2043-8869</t>
  </si>
  <si>
    <t>Journal of Innovation in Psychology, Education and Didactics</t>
  </si>
  <si>
    <t>“Vasile Alecsandri” University of Bacau Pedagogy of Primary and Preschool Education</t>
  </si>
  <si>
    <t>Bacau</t>
  </si>
  <si>
    <t>2247-4579</t>
  </si>
  <si>
    <t>2392-7127</t>
  </si>
  <si>
    <t>Journal of Instructional Psychology</t>
  </si>
  <si>
    <t>Mobile</t>
  </si>
  <si>
    <t>0094-1956</t>
  </si>
  <si>
    <t>Journal of Intellectual &amp; Developmental Disability</t>
  </si>
  <si>
    <t>1366-8250</t>
  </si>
  <si>
    <t>1469-9532</t>
  </si>
  <si>
    <t>Journal of Intellectual Disabilities and Offending Behaviour</t>
  </si>
  <si>
    <t>2050-8824</t>
  </si>
  <si>
    <t>2050-8832</t>
  </si>
  <si>
    <t>Criminology And Law Enforcement|Education--Special Education And Rehabilitation</t>
  </si>
  <si>
    <t>Journal of Intellectual Disability Research</t>
  </si>
  <si>
    <t>0964-2633</t>
  </si>
  <si>
    <t>1365-2788</t>
  </si>
  <si>
    <t>Medical Sciences--Psychiatry And Neurology|Social Services And Welfare</t>
  </si>
  <si>
    <t>Journal of Interactive Learning Research</t>
  </si>
  <si>
    <t>Charlottesville</t>
  </si>
  <si>
    <t>1093-023X</t>
  </si>
  <si>
    <t>Education|Education--Computer Applications</t>
  </si>
  <si>
    <t>Journal of Interdisciplinary Studies in Education</t>
  </si>
  <si>
    <t>Jonesboro</t>
  </si>
  <si>
    <t>2166-2681</t>
  </si>
  <si>
    <t>Journal of International Business Education</t>
  </si>
  <si>
    <t>1649-4946</t>
  </si>
  <si>
    <t>2044-4575</t>
  </si>
  <si>
    <t>Business And Economics</t>
  </si>
  <si>
    <t>Journal of International Education Research</t>
  </si>
  <si>
    <t>2158-0979</t>
  </si>
  <si>
    <t>2158-0987</t>
  </si>
  <si>
    <t>Education--Higher Education|Education--Teaching Methods And Curriculum</t>
  </si>
  <si>
    <t>Journal of International Education in Business</t>
  </si>
  <si>
    <t>Acton</t>
  </si>
  <si>
    <t>2046-469X</t>
  </si>
  <si>
    <t>1836-3261</t>
  </si>
  <si>
    <t>Journal of International Students</t>
  </si>
  <si>
    <t>Journal of International Students (JIS)</t>
  </si>
  <si>
    <t>2162-3104</t>
  </si>
  <si>
    <t>2166-3750</t>
  </si>
  <si>
    <t>Journal of Interpersonal Violence</t>
  </si>
  <si>
    <t>0886-2605</t>
  </si>
  <si>
    <t>1552-6518</t>
  </si>
  <si>
    <t>Criminology And Law Enforcement|Psychology|Sociology</t>
  </si>
  <si>
    <t>Journal of Jewish Education</t>
  </si>
  <si>
    <t>1524-4113</t>
  </si>
  <si>
    <t>1554-611X</t>
  </si>
  <si>
    <t>Education|Religions And Theology--Judaic</t>
  </si>
  <si>
    <t>Journal of Language, Identity, and Education</t>
  </si>
  <si>
    <t>1534-8458</t>
  </si>
  <si>
    <t>1532-7701</t>
  </si>
  <si>
    <t>Journal of Latinos and Education</t>
  </si>
  <si>
    <t>1534-8431</t>
  </si>
  <si>
    <t>1532-771X</t>
  </si>
  <si>
    <t>Education|Ethnic Interests</t>
  </si>
  <si>
    <t>Journal of Law and Education</t>
  </si>
  <si>
    <t>University of South Carolina, School of Law</t>
  </si>
  <si>
    <t>0275-6072</t>
  </si>
  <si>
    <t>Journal of Leadership &amp; Organizational Studies</t>
  </si>
  <si>
    <t>Flint</t>
  </si>
  <si>
    <t>1548-0518</t>
  </si>
  <si>
    <t>1939-7089</t>
  </si>
  <si>
    <t>Journal of Learning Disabilities</t>
  </si>
  <si>
    <t>0022-2194</t>
  </si>
  <si>
    <t>1538-4780</t>
  </si>
  <si>
    <t>Education--Special Education And Rehabilitation|Medical Sciences|Psychology</t>
  </si>
  <si>
    <t>Journal of Legal Studies Education</t>
  </si>
  <si>
    <t>Academy of Legal Studies in Business</t>
  </si>
  <si>
    <t>0896-5811</t>
  </si>
  <si>
    <t>1744-1722</t>
  </si>
  <si>
    <t>Journal of Leisure Research</t>
  </si>
  <si>
    <t>0022-2216</t>
  </si>
  <si>
    <t>2159-6417</t>
  </si>
  <si>
    <t>Conservation|Leisure And Recreation|Sports And Games--Outdoor Life</t>
  </si>
  <si>
    <t>Journal of Life Education</t>
  </si>
  <si>
    <t>National Taiwan University, Life Education Center</t>
  </si>
  <si>
    <t>2074-6601</t>
  </si>
  <si>
    <t>The Journal of Linguistic and Intercultural Education</t>
  </si>
  <si>
    <t>Universitatea "1 Decembrie 1918" Alba Iulia, Editura Aeternitas</t>
  </si>
  <si>
    <t>Alba Iulia</t>
  </si>
  <si>
    <t>2065-6599</t>
  </si>
  <si>
    <t>English|French|German|Italian|Portuguese|Spanish; Castilian</t>
  </si>
  <si>
    <t>Journal of Literacy Research</t>
  </si>
  <si>
    <t>1086-296X</t>
  </si>
  <si>
    <t>1554-8430</t>
  </si>
  <si>
    <t>Journal of Literary &amp; Cultural Disability Studies</t>
  </si>
  <si>
    <t>1757-6458</t>
  </si>
  <si>
    <t>1757-6466</t>
  </si>
  <si>
    <t>The Journal of Management Development</t>
  </si>
  <si>
    <t>0262-1711</t>
  </si>
  <si>
    <t>1758-7492</t>
  </si>
  <si>
    <t>Journal of Management Education</t>
  </si>
  <si>
    <t>1052-5629</t>
  </si>
  <si>
    <t>1552-6658</t>
  </si>
  <si>
    <t>Journal of Marital and Family Therapy</t>
  </si>
  <si>
    <t>0194-472X</t>
  </si>
  <si>
    <t>1752-0606</t>
  </si>
  <si>
    <t>Matrimony|Psychology|Social Services And Welfare|Sociology</t>
  </si>
  <si>
    <t>Journal of Marketing Education</t>
  </si>
  <si>
    <t>0273-4753</t>
  </si>
  <si>
    <t>1552-6550</t>
  </si>
  <si>
    <t>Business And Economics--Marketing And Purchasing|Education--Teaching Methods And Curriculum</t>
  </si>
  <si>
    <t>Journal of Marketing for Higher Education</t>
  </si>
  <si>
    <t>0884-1241</t>
  </si>
  <si>
    <t>1540-7144</t>
  </si>
  <si>
    <t>Journal of Marriage and Family</t>
  </si>
  <si>
    <t>0022-2445</t>
  </si>
  <si>
    <t>1741-3737</t>
  </si>
  <si>
    <t>Children And Youth - About|Education|Matrimony|Public Health And Safety|Sociology</t>
  </si>
  <si>
    <t>Journal of Medical Education and Curricular Development</t>
  </si>
  <si>
    <t>2382-1205</t>
  </si>
  <si>
    <t>Journal of Memory and Language</t>
  </si>
  <si>
    <t>0749-596X</t>
  </si>
  <si>
    <t>1096-0821</t>
  </si>
  <si>
    <t>01-Feb-2001--30-Jun-2006</t>
  </si>
  <si>
    <t>Education|Linguistics|Psychology</t>
  </si>
  <si>
    <t>Journal of Mental Health Counseling</t>
  </si>
  <si>
    <t>American Mental Health Counselors Association</t>
  </si>
  <si>
    <t>1040-2861</t>
  </si>
  <si>
    <t>2163-5749</t>
  </si>
  <si>
    <t>01-Jan-1999--31-Dec-1999</t>
  </si>
  <si>
    <t>Journal of Mental Health Research in Intellectual Disabilities</t>
  </si>
  <si>
    <t>1931-5864</t>
  </si>
  <si>
    <t>1931-5872</t>
  </si>
  <si>
    <t>The Journal of Mental Health Training, Education, and Practice</t>
  </si>
  <si>
    <t>Brighton</t>
  </si>
  <si>
    <t>1755-6228</t>
  </si>
  <si>
    <t>2042-8707</t>
  </si>
  <si>
    <t>Medical Sciences--Psychiatry And Neurology|Occupational Health And Safety</t>
  </si>
  <si>
    <t>Journal of Moral Education</t>
  </si>
  <si>
    <t>0305-7240</t>
  </si>
  <si>
    <t>1465-3877</t>
  </si>
  <si>
    <t>Journal of Motor Behavior</t>
  </si>
  <si>
    <t>0022-2895</t>
  </si>
  <si>
    <t>1940-1027</t>
  </si>
  <si>
    <t>Journal of Multicultural Counseling and Development</t>
  </si>
  <si>
    <t>0883-8534</t>
  </si>
  <si>
    <t>2161-1912</t>
  </si>
  <si>
    <t>Ethnic Interests|Multi-Ethnic|Sociology</t>
  </si>
  <si>
    <t>Journal of Music Teacher Education</t>
  </si>
  <si>
    <t>1057-0837</t>
  </si>
  <si>
    <t>Journal of Music Therapy</t>
  </si>
  <si>
    <t>0022-2917</t>
  </si>
  <si>
    <t>2053-7395</t>
  </si>
  <si>
    <t>Education--Special Education And Rehabilitation|Music</t>
  </si>
  <si>
    <t>Journal of Natural Resources and Life Sciences Education</t>
  </si>
  <si>
    <t>American Society of Agronomy</t>
  </si>
  <si>
    <t>1059-9053</t>
  </si>
  <si>
    <t>1539-1582</t>
  </si>
  <si>
    <t>Agriculture--Crop Production And Soil|Education--Teaching Methods And Curriculum</t>
  </si>
  <si>
    <t>The Journal of Negro Education</t>
  </si>
  <si>
    <t>Howard University, School of Divinity</t>
  </si>
  <si>
    <t>0022-2984</t>
  </si>
  <si>
    <t>2167-6437</t>
  </si>
  <si>
    <t>Journal of New Approaches in Educational Research</t>
  </si>
  <si>
    <t>NAER - Journal of New Approaches in Education Research</t>
  </si>
  <si>
    <t>Alicante</t>
  </si>
  <si>
    <t>2254-7339</t>
  </si>
  <si>
    <t>Journal of Nursing Education</t>
  </si>
  <si>
    <t>0148-4834</t>
  </si>
  <si>
    <t>1938-2421</t>
  </si>
  <si>
    <t>01-Jan-1967--31-Dec-1980</t>
  </si>
  <si>
    <t>Education--Higher Education|Medical Sciences--Nurses And Nursing</t>
  </si>
  <si>
    <t>Journal of Nutrition Education and Behavior</t>
  </si>
  <si>
    <t>1499-4046</t>
  </si>
  <si>
    <t>1708-8259</t>
  </si>
  <si>
    <t>Nutrition And Dietetics</t>
  </si>
  <si>
    <t>Journal of Offender Rehabilitation</t>
  </si>
  <si>
    <t>1050-9674</t>
  </si>
  <si>
    <t>1540-8558</t>
  </si>
  <si>
    <t>01-Jan-1987--31-Dec-1987; 01-Jan-1997--31-Dec-1997</t>
  </si>
  <si>
    <t>Criminology And Law Enforcement|Psychology|Social Services And Welfare</t>
  </si>
  <si>
    <t>Journal of Online Learning and Teaching</t>
  </si>
  <si>
    <t>Multimedia Educational Resource for Learning and Online Teaching (MERLOT)</t>
  </si>
  <si>
    <t>Long Beach</t>
  </si>
  <si>
    <t>1558-9528</t>
  </si>
  <si>
    <t>Journal of Organizational Behavior Education : JOBE</t>
  </si>
  <si>
    <t>1649-7627</t>
  </si>
  <si>
    <t>2047-9999</t>
  </si>
  <si>
    <t>Journal of Organizational Behavior Management</t>
  </si>
  <si>
    <t>0160-8061</t>
  </si>
  <si>
    <t>1540-8604</t>
  </si>
  <si>
    <t>Journal of Organizational and Educational Leadership</t>
  </si>
  <si>
    <t>Gardner-Webb University</t>
  </si>
  <si>
    <t>Boiling Springs</t>
  </si>
  <si>
    <t>2380-0860</t>
  </si>
  <si>
    <t>Journal of Outdoor and Environmental Education</t>
  </si>
  <si>
    <t>Milton</t>
  </si>
  <si>
    <t>2206-3110</t>
  </si>
  <si>
    <t>2522-879X</t>
  </si>
  <si>
    <t>Journal of Peace Education</t>
  </si>
  <si>
    <t>1740-0201</t>
  </si>
  <si>
    <t>1740-021X</t>
  </si>
  <si>
    <t>Political Science--International Relations</t>
  </si>
  <si>
    <t>Journal of Pedagogical Research</t>
  </si>
  <si>
    <t>2602-3717</t>
  </si>
  <si>
    <t>Journal of Pedagogy</t>
  </si>
  <si>
    <t>Warsaw</t>
  </si>
  <si>
    <t>1338-1563</t>
  </si>
  <si>
    <t>1338-2144</t>
  </si>
  <si>
    <t>Czech|English</t>
  </si>
  <si>
    <t>The Journal of Pediatrics</t>
  </si>
  <si>
    <t>Mosby-Year Book, Inc.</t>
  </si>
  <si>
    <t>St. Louis</t>
  </si>
  <si>
    <t>0022-3476</t>
  </si>
  <si>
    <t>Biology--Genetics|Medical Sciences--Pediatrics</t>
  </si>
  <si>
    <t>Journal of Personality Disorders</t>
  </si>
  <si>
    <t>0885-579X</t>
  </si>
  <si>
    <t>1943-2763</t>
  </si>
  <si>
    <t>Journal of Pharmaceutical Education and Research</t>
  </si>
  <si>
    <t>PCTE Group of Institutes</t>
  </si>
  <si>
    <t>Ludhiana</t>
  </si>
  <si>
    <t>0976-8173</t>
  </si>
  <si>
    <t>0976-8238</t>
  </si>
  <si>
    <t>Education|Pharmacy And Pharmacology</t>
  </si>
  <si>
    <t>Journal of Philosophy of Education</t>
  </si>
  <si>
    <t>0309-8249</t>
  </si>
  <si>
    <t>1467-9752</t>
  </si>
  <si>
    <t>Education|Philosophy</t>
  </si>
  <si>
    <t>Journal of Physical Education and Sport</t>
  </si>
  <si>
    <t>Universitatea din Pitesti</t>
  </si>
  <si>
    <t>Pitesti</t>
  </si>
  <si>
    <t>2247-8051</t>
  </si>
  <si>
    <t>2247-806X</t>
  </si>
  <si>
    <t>Physical Fitness And Hygiene|Sports And Games</t>
  </si>
  <si>
    <t>Journal of Physical Education, Recreation &amp; Dance</t>
  </si>
  <si>
    <t>0730-3084</t>
  </si>
  <si>
    <t>2168-3816</t>
  </si>
  <si>
    <t>Education--Teaching Methods And Curriculum|Physical Fitness And Hygiene|Public Health And Safety|Sports And Games</t>
  </si>
  <si>
    <t>Journal of Physical Therapy Education</t>
  </si>
  <si>
    <t>0899-1855</t>
  </si>
  <si>
    <t>1938-3533</t>
  </si>
  <si>
    <t>Medical Sciences--Orthopedics And Traumatology</t>
  </si>
  <si>
    <t>Journal of Planning Education and Research</t>
  </si>
  <si>
    <t>0739-456X</t>
  </si>
  <si>
    <t>1552-6577</t>
  </si>
  <si>
    <t>Housing And Urban Planning</t>
  </si>
  <si>
    <t>Journal of Policy Analysis and Management</t>
  </si>
  <si>
    <t>0276-8739</t>
  </si>
  <si>
    <t>1520-6688</t>
  </si>
  <si>
    <t>Journal of Positive Behavior Interventions</t>
  </si>
  <si>
    <t>1098-3007</t>
  </si>
  <si>
    <t>1538-4772</t>
  </si>
  <si>
    <t>Journal of Pre-College Engineering Education Research</t>
  </si>
  <si>
    <t>Purdue University Press</t>
  </si>
  <si>
    <t>2157-9288</t>
  </si>
  <si>
    <t>Journal of Primary Prevention</t>
  </si>
  <si>
    <t>0278-095X</t>
  </si>
  <si>
    <t>1573-6547</t>
  </si>
  <si>
    <t>Medical Sciences--Psychiatry And Neurology|Physical Fitness And Hygiene|Psychology</t>
  </si>
  <si>
    <t>Journal of Professional Capital and Community</t>
  </si>
  <si>
    <t>2056-9548</t>
  </si>
  <si>
    <t>2056-9556</t>
  </si>
  <si>
    <t>Journal of Professional Counseling, Practice, Theory, &amp; Research</t>
  </si>
  <si>
    <t>1556-6382</t>
  </si>
  <si>
    <t>2168-9156</t>
  </si>
  <si>
    <t>Journal of Psycholinguistic Research</t>
  </si>
  <si>
    <t>0090-6905</t>
  </si>
  <si>
    <t>1573-6555</t>
  </si>
  <si>
    <t>Linguistics|Psychology</t>
  </si>
  <si>
    <t>Journal of Psychological and Educational Research</t>
  </si>
  <si>
    <t>University of Oradea, Faculty of Social and Humanistic Sciences</t>
  </si>
  <si>
    <t>2247-1537</t>
  </si>
  <si>
    <t>Journal of Psychologists and Counsellors in Schools</t>
  </si>
  <si>
    <t>Surrey Hills</t>
  </si>
  <si>
    <t>2055-6365</t>
  </si>
  <si>
    <t>2055-6373</t>
  </si>
  <si>
    <t>Journal of Real Estate Practice and Education</t>
  </si>
  <si>
    <t>Clemson</t>
  </si>
  <si>
    <t>1521-4842</t>
  </si>
  <si>
    <t>1930-8914</t>
  </si>
  <si>
    <t>Real Estate</t>
  </si>
  <si>
    <t>Journal of Research Administration</t>
  </si>
  <si>
    <t>Society of Research Administrators</t>
  </si>
  <si>
    <t>1539-1590</t>
  </si>
  <si>
    <t>2573-7104</t>
  </si>
  <si>
    <t>The Journal of Research in Business Education</t>
  </si>
  <si>
    <t>Journal of Research in Childhood Education</t>
  </si>
  <si>
    <t>0256-8543</t>
  </si>
  <si>
    <t>2150-2641</t>
  </si>
  <si>
    <t>The Journal of Research in Crime and Delinquency</t>
  </si>
  <si>
    <t>0022-4278</t>
  </si>
  <si>
    <t>1552-731X</t>
  </si>
  <si>
    <t>Journal of Research in Education Sciences</t>
  </si>
  <si>
    <t>2073-753X</t>
  </si>
  <si>
    <t>Journal of Research in Educational Sciences</t>
  </si>
  <si>
    <t>ASERS Ltd</t>
  </si>
  <si>
    <t>Craiova</t>
  </si>
  <si>
    <t>2068-8407</t>
  </si>
  <si>
    <t>Journal of Research in Innovative Teaching &amp; Learning</t>
  </si>
  <si>
    <t>2397-7604</t>
  </si>
  <si>
    <t>Journal of Research in Music Education</t>
  </si>
  <si>
    <t>0022-4294</t>
  </si>
  <si>
    <t>1945-0095</t>
  </si>
  <si>
    <t>Journal of Research in Reading</t>
  </si>
  <si>
    <t>0141-0423</t>
  </si>
  <si>
    <t>1467-9817</t>
  </si>
  <si>
    <t>Journal of Research in Rural Education (Online)</t>
  </si>
  <si>
    <t>Journal of Research in Rural Education</t>
  </si>
  <si>
    <t>1551-0670</t>
  </si>
  <si>
    <t>Journal of Research in Science Teaching</t>
  </si>
  <si>
    <t>0022-4308</t>
  </si>
  <si>
    <t>1098-2736</t>
  </si>
  <si>
    <t>Journal of Research in Special Educational Needs</t>
  </si>
  <si>
    <t>1471-3802</t>
  </si>
  <si>
    <t>Journal of Research on Christian Education</t>
  </si>
  <si>
    <t>1065-6219</t>
  </si>
  <si>
    <t>1934-4945</t>
  </si>
  <si>
    <t>Journal of Research on Educational Effectiveness</t>
  </si>
  <si>
    <t>1934-5747</t>
  </si>
  <si>
    <t>1934-5739</t>
  </si>
  <si>
    <t>Journal of Research on Technology in Education</t>
  </si>
  <si>
    <t>Eugene</t>
  </si>
  <si>
    <t>1539-1523</t>
  </si>
  <si>
    <t>1945-0818</t>
  </si>
  <si>
    <t>Computers--Computer Assisted Instruction|Education|Education--Computer Applications</t>
  </si>
  <si>
    <t>Journal of STEM Education : Innovations and Research</t>
  </si>
  <si>
    <t>Institute for SMET Education and Research</t>
  </si>
  <si>
    <t>Auburn</t>
  </si>
  <si>
    <t>1557-5276</t>
  </si>
  <si>
    <t>Engineering|Technology: Comprehensive Works</t>
  </si>
  <si>
    <t>The Journal of School Health</t>
  </si>
  <si>
    <t>Kent</t>
  </si>
  <si>
    <t>0022-4391</t>
  </si>
  <si>
    <t>1746-1561</t>
  </si>
  <si>
    <t>Education|Physical Fitness And Hygiene|Public Health And Safety</t>
  </si>
  <si>
    <t>The Journal of School Nursing</t>
  </si>
  <si>
    <t>1059-8405</t>
  </si>
  <si>
    <t>1546-8364</t>
  </si>
  <si>
    <t>Journal of School Violence</t>
  </si>
  <si>
    <t>1538-8220</t>
  </si>
  <si>
    <t>1538-8239</t>
  </si>
  <si>
    <t>Journal of Science Education</t>
  </si>
  <si>
    <t>0124-5481</t>
  </si>
  <si>
    <t>Journal of Science Teacher Education</t>
  </si>
  <si>
    <t>1046-560X</t>
  </si>
  <si>
    <t>1573-1847</t>
  </si>
  <si>
    <t>The Journal of Social Psychology</t>
  </si>
  <si>
    <t>0022-4545</t>
  </si>
  <si>
    <t>1940-1183</t>
  </si>
  <si>
    <t>Journal of Social Studies Research</t>
  </si>
  <si>
    <t>Cedar Hall</t>
  </si>
  <si>
    <t>0885-985X</t>
  </si>
  <si>
    <t>2352-2798</t>
  </si>
  <si>
    <t>The Journal of Social Theory in Art Education (Online)</t>
  </si>
  <si>
    <t>Caucus of Social Theory &amp; Art Education</t>
  </si>
  <si>
    <t>Art|Education|Social Sciences: Comprehensive Works</t>
  </si>
  <si>
    <t>The Journal of Social Theory in Art Education</t>
  </si>
  <si>
    <t>1057-0292</t>
  </si>
  <si>
    <t>Art|Education--Teaching Methods And Curriculum|Social Sciences: Comprehensive Works</t>
  </si>
  <si>
    <t>Journal of Social Work Education</t>
  </si>
  <si>
    <t>1043-7797</t>
  </si>
  <si>
    <t>2163-5811</t>
  </si>
  <si>
    <t>Journal of Special Education Technology</t>
  </si>
  <si>
    <t>Norman</t>
  </si>
  <si>
    <t>0162-6434</t>
  </si>
  <si>
    <t>2381-3121</t>
  </si>
  <si>
    <t>01-Jan-2000--31-Dec-2001</t>
  </si>
  <si>
    <t>The Journal of Special Education</t>
  </si>
  <si>
    <t>Bensalem</t>
  </si>
  <si>
    <t>0022-4669</t>
  </si>
  <si>
    <t>1538-4764</t>
  </si>
  <si>
    <t>The Journal of Special Education and Rehabilitation</t>
  </si>
  <si>
    <t>Institute of Special Education and Rehabilitation - Faculty of Philosophy</t>
  </si>
  <si>
    <t>Skopje</t>
  </si>
  <si>
    <t>Macedonia</t>
  </si>
  <si>
    <t>1409-6099</t>
  </si>
  <si>
    <t>1857-663X</t>
  </si>
  <si>
    <t>English|Macedonian</t>
  </si>
  <si>
    <t>Education|Education--Special Education And Rehabilitation|Medical Sciences</t>
  </si>
  <si>
    <t>Journal of Speech, Language and Hearing Research (Online)</t>
  </si>
  <si>
    <t>1558-9102</t>
  </si>
  <si>
    <t>Medical Sciences--Otorhinolaryngology|People With Disabilities--Hearing Impaired</t>
  </si>
  <si>
    <t>Journal of Speech, Language, and Hearing Research</t>
  </si>
  <si>
    <t>1092-4388</t>
  </si>
  <si>
    <t>Linguistics|Medical Sciences--Otorhinolaryngology|People With Disabilities--Hearing Impaired</t>
  </si>
  <si>
    <t>Journal of Sport &amp; Exercise Psychology</t>
  </si>
  <si>
    <t>Human Kinetics Publishers, Inc.</t>
  </si>
  <si>
    <t>0895-2779</t>
  </si>
  <si>
    <t>1543-2904</t>
  </si>
  <si>
    <t>Psychology|Sports And Games</t>
  </si>
  <si>
    <t>Journal of Sports Medicine and Physical Fitness</t>
  </si>
  <si>
    <t>Edizioni Minerva Medica</t>
  </si>
  <si>
    <t>Turin</t>
  </si>
  <si>
    <t>0022-4707</t>
  </si>
  <si>
    <t>1827-1928</t>
  </si>
  <si>
    <t>Journal of Strategic Management Education</t>
  </si>
  <si>
    <t>Senate Hall Academic Publishing</t>
  </si>
  <si>
    <t>Ireland</t>
  </si>
  <si>
    <t>1649-3877</t>
  </si>
  <si>
    <t>Journal of Student Affairs Research and Practice</t>
  </si>
  <si>
    <t>1949-6591</t>
  </si>
  <si>
    <t>1949-6605</t>
  </si>
  <si>
    <t>01-Jan-2015--31-Mar-2017</t>
  </si>
  <si>
    <t>Journal of Student Affairs in Africa</t>
  </si>
  <si>
    <t>University of the Western Cape</t>
  </si>
  <si>
    <t>Cape Town</t>
  </si>
  <si>
    <t>2311-1771</t>
  </si>
  <si>
    <t>2307-6267</t>
  </si>
  <si>
    <t>Journal of Teacher Education</t>
  </si>
  <si>
    <t>0022-4871</t>
  </si>
  <si>
    <t>1552-7816</t>
  </si>
  <si>
    <t>Journal of Teacher Education and Professional Development</t>
  </si>
  <si>
    <t>National Changhua University of Education</t>
  </si>
  <si>
    <t>2071-3649</t>
  </si>
  <si>
    <t>Journal of Teacher Education for Sustainability</t>
  </si>
  <si>
    <t>1691-4147</t>
  </si>
  <si>
    <t>1691-5534</t>
  </si>
  <si>
    <t>Journal of Teaching and Learning with Technology</t>
  </si>
  <si>
    <t>2165-2554</t>
  </si>
  <si>
    <t>Journal of Teaching in International Business</t>
  </si>
  <si>
    <t>0897-5930</t>
  </si>
  <si>
    <t>1528-6991</t>
  </si>
  <si>
    <t>Business And Economics--International Commerce|Education</t>
  </si>
  <si>
    <t>Journal of Teaching in Travel &amp; Tourism</t>
  </si>
  <si>
    <t>1531-3220</t>
  </si>
  <si>
    <t>1531-3239</t>
  </si>
  <si>
    <t>01-Jan-2017--31-Dec-2018; 01-Jan-2020--31-Dec-2020</t>
  </si>
  <si>
    <t>Travel And Tourism</t>
  </si>
  <si>
    <t>Journal of Technical Writing and Communication</t>
  </si>
  <si>
    <t>0047-2816</t>
  </si>
  <si>
    <t>1541-3780</t>
  </si>
  <si>
    <t>Journal of Technology Studies</t>
  </si>
  <si>
    <t>Epsilon Pi Tau</t>
  </si>
  <si>
    <t>1071-6084</t>
  </si>
  <si>
    <t>1541-9258</t>
  </si>
  <si>
    <t>Education--Higher Education|Technology: Comprehensive Works</t>
  </si>
  <si>
    <t>Journal of Technology and Information Education</t>
  </si>
  <si>
    <t>Univerzity Palackeho v Olomouci</t>
  </si>
  <si>
    <t>Olomouc</t>
  </si>
  <si>
    <t>1803-537X</t>
  </si>
  <si>
    <t>1803-6805</t>
  </si>
  <si>
    <t>Czech</t>
  </si>
  <si>
    <t>Journal of Technology and Teacher Education</t>
  </si>
  <si>
    <t>1059-7069</t>
  </si>
  <si>
    <t>1943-5924</t>
  </si>
  <si>
    <t>Journal of Textbook Research</t>
  </si>
  <si>
    <t>National Academy for Educational Research</t>
  </si>
  <si>
    <t>1999-8856</t>
  </si>
  <si>
    <t>1999-8864</t>
  </si>
  <si>
    <t>Journal of Thought</t>
  </si>
  <si>
    <t>0022-5231</t>
  </si>
  <si>
    <t>2375-270X</t>
  </si>
  <si>
    <t>Humanities: Comprehensive Works|Social Sciences: Comprehensive Works</t>
  </si>
  <si>
    <t>Journal of Transformative Learning</t>
  </si>
  <si>
    <t>University of Central Oklahoma Journal of Transformative Learning (JoTL)</t>
  </si>
  <si>
    <t>Edmond</t>
  </si>
  <si>
    <t>2471-8823</t>
  </si>
  <si>
    <t>2471-6014</t>
  </si>
  <si>
    <t>Journal of Turkish Science Education</t>
  </si>
  <si>
    <t>Ekip Ltd. Sti.</t>
  </si>
  <si>
    <t>Trabzon</t>
  </si>
  <si>
    <t>1304-6020</t>
  </si>
  <si>
    <t>Journal of Visual Impairment &amp; Blindness</t>
  </si>
  <si>
    <t>0145-482X</t>
  </si>
  <si>
    <t>Education|People With Disabilities--Visually Impaired</t>
  </si>
  <si>
    <t>Journal of Visual Impairment &amp; Blindness (Online)</t>
  </si>
  <si>
    <t>Huntington</t>
  </si>
  <si>
    <t>1559-1476</t>
  </si>
  <si>
    <t>01-Jan-2016--31-Dec-2016</t>
  </si>
  <si>
    <t>01-Jan-1937--31-Dec-1937; 01-Jan-1943--31-Dec-1948; 01-Jan-1950--31-Dec-1950</t>
  </si>
  <si>
    <t>01-Jan-1910--31-Dec-1910; 01-Jan-1912--31-Dec-1912; 01-Jan-1915--31-Dec-1917; 01-Jan-1919--31-Dec-1919; 01-Jan-1921--31-Dec-1922; 01-Jan-1929--31-Dec-1930; 01-Jan-1933--31-Dec-1933; 01-Jan-1937--31-Dec-1938; 01-Jan-1940--31-Dec-1941; 01-Jan-1943--31-Dec-1948; 01-Jan-1950--31-Dec-1952</t>
  </si>
  <si>
    <t>People With Disabilities--Visually Impaired</t>
  </si>
  <si>
    <t>Journal of Women's Entrepreneurship and Education</t>
  </si>
  <si>
    <t>Institut Ekonomskih Nauka</t>
  </si>
  <si>
    <t>Belgrade</t>
  </si>
  <si>
    <t>1821-1283</t>
  </si>
  <si>
    <t>2406-0674</t>
  </si>
  <si>
    <t>Journal of Workplace Learning</t>
  </si>
  <si>
    <t>1366-5626</t>
  </si>
  <si>
    <t>1758-7859</t>
  </si>
  <si>
    <t>01-Jan-1997--31-Dec-2000</t>
  </si>
  <si>
    <t>Business And Economics--Labor And Industrial Relations|Business And Economics--Personnel Management</t>
  </si>
  <si>
    <t>Journal of Youth Development</t>
  </si>
  <si>
    <t>2325-4009</t>
  </si>
  <si>
    <t>2325-4017</t>
  </si>
  <si>
    <t>Journal of Youth and Adolescence</t>
  </si>
  <si>
    <t>0047-2891</t>
  </si>
  <si>
    <t>1573-6601</t>
  </si>
  <si>
    <t>Journal of the American Academy of Child and Adolescent Psychiatry</t>
  </si>
  <si>
    <t>0890-8567</t>
  </si>
  <si>
    <t>1527-5418</t>
  </si>
  <si>
    <t>Children And Youth - About|Medical Sciences--Psychiatry And Neurology</t>
  </si>
  <si>
    <t>Journal of the Association for Information Science and Technology</t>
  </si>
  <si>
    <t>2330-1635</t>
  </si>
  <si>
    <t>2330-1643</t>
  </si>
  <si>
    <t>Computers--Information Science And Information Theory|Library And Information Sciences</t>
  </si>
  <si>
    <t>Journal of the Canadian Association for Curriculum Studies</t>
  </si>
  <si>
    <t>Canadian Association for Curriculum Studies</t>
  </si>
  <si>
    <t>1916-4467</t>
  </si>
  <si>
    <t>Journal of the Experimental Analysis of Behavior</t>
  </si>
  <si>
    <t>0022-5002</t>
  </si>
  <si>
    <t>1938-3711</t>
  </si>
  <si>
    <t>The Journal of the Learning Sciences</t>
  </si>
  <si>
    <t>1050-8406</t>
  </si>
  <si>
    <t>1532-7809</t>
  </si>
  <si>
    <t>Journal of the Scholarship of Teaching and Learning</t>
  </si>
  <si>
    <t>1527-9316</t>
  </si>
  <si>
    <t>01-Jan-2010--31-Dec-2011</t>
  </si>
  <si>
    <t>Journalism &amp; Mass Communication Educator</t>
  </si>
  <si>
    <t>1077-6958</t>
  </si>
  <si>
    <t>2161-4326</t>
  </si>
  <si>
    <t>Journalism and Mass Communication Quarterly</t>
  </si>
  <si>
    <t>1077-6990</t>
  </si>
  <si>
    <t>2161-430X</t>
  </si>
  <si>
    <t>Journalism|Sociology</t>
  </si>
  <si>
    <t>Junior Scholastic</t>
  </si>
  <si>
    <t>0022-6688</t>
  </si>
  <si>
    <t>Children And Youth - For|Education|Literature</t>
  </si>
  <si>
    <t>KEDI Journal of Educational Policy</t>
  </si>
  <si>
    <t>Korean Educational Development Institute</t>
  </si>
  <si>
    <t>1739-4341</t>
  </si>
  <si>
    <t>Kappa Delta Pi Record</t>
  </si>
  <si>
    <t>0022-8958</t>
  </si>
  <si>
    <t>2163-1611</t>
  </si>
  <si>
    <t>01-Jan-2014--31-Dec-2014</t>
  </si>
  <si>
    <t>Kirkus Reviews</t>
  </si>
  <si>
    <t>Kirkus Media LLC</t>
  </si>
  <si>
    <t>1948-7428</t>
  </si>
  <si>
    <t>Library And Information Sciences|Literary And Political Reviews|Publishing And Book Trade</t>
  </si>
  <si>
    <t>Know Your World Extra</t>
  </si>
  <si>
    <t>0163-4844</t>
  </si>
  <si>
    <t>01-Jan-1999--01-May-2002</t>
  </si>
  <si>
    <t>Children And Youth - For|Education|Linguistics|Literature</t>
  </si>
  <si>
    <t>Knowledge Quest</t>
  </si>
  <si>
    <t>1094-9046</t>
  </si>
  <si>
    <t>2163-5234</t>
  </si>
  <si>
    <t>Kuram ve Uygulamada Egitim Bilimleri</t>
  </si>
  <si>
    <t>EDAM (Educational Consultancy Ltd.)</t>
  </si>
  <si>
    <t>1303-0485</t>
  </si>
  <si>
    <t>L2 Journal</t>
  </si>
  <si>
    <t>1945-0222</t>
  </si>
  <si>
    <t>Language Arts</t>
  </si>
  <si>
    <t>0360-9170</t>
  </si>
  <si>
    <t>1943-2402</t>
  </si>
  <si>
    <t>Children And Youth - About|Education--Teaching Methods And Curriculum|Linguistics</t>
  </si>
  <si>
    <t>Language Assessment Quarterly</t>
  </si>
  <si>
    <t>1543-4303</t>
  </si>
  <si>
    <t>1543-4311</t>
  </si>
  <si>
    <t>Language Learning</t>
  </si>
  <si>
    <t>0023-8333</t>
  </si>
  <si>
    <t>1467-9922</t>
  </si>
  <si>
    <t>Anthropology|Education|Linguistics</t>
  </si>
  <si>
    <t>Language Learning and Development</t>
  </si>
  <si>
    <t>Psychology Press</t>
  </si>
  <si>
    <t>Mahwah</t>
  </si>
  <si>
    <t>1547-5441</t>
  </si>
  <si>
    <t>1547-3341</t>
  </si>
  <si>
    <t>Language Learning in Higher Education</t>
  </si>
  <si>
    <t>2191-611X</t>
  </si>
  <si>
    <t>2191-6128</t>
  </si>
  <si>
    <t>Education--Higher Education|Linguistics</t>
  </si>
  <si>
    <t>Language Teaching</t>
  </si>
  <si>
    <t>0261-4448</t>
  </si>
  <si>
    <t>1475-3049</t>
  </si>
  <si>
    <t>Abstracting And Indexing Services|Education--Abstracting, Bibliographies, Statistics|Linguistics--Abstracting, Bibliographies, Statistics</t>
  </si>
  <si>
    <t>Language Teaching Research</t>
  </si>
  <si>
    <t>1362-1688</t>
  </si>
  <si>
    <t>1477-0954</t>
  </si>
  <si>
    <t>Language Testing</t>
  </si>
  <si>
    <t>0265-5322</t>
  </si>
  <si>
    <t>1477-0946</t>
  </si>
  <si>
    <t>Language Testing in Asia</t>
  </si>
  <si>
    <t>2229-0443</t>
  </si>
  <si>
    <t>Language and Literacy</t>
  </si>
  <si>
    <t>Language and Literacy Researchers of Canada</t>
  </si>
  <si>
    <t>1496-0974</t>
  </si>
  <si>
    <t>01-Jan-2000--31-Dec-2002</t>
  </si>
  <si>
    <t>Language and Speech</t>
  </si>
  <si>
    <t>0023-8309</t>
  </si>
  <si>
    <t>1756-6053</t>
  </si>
  <si>
    <t>Education--Special Education And Rehabilitation|Linguistics|Medical Sciences|Psychology</t>
  </si>
  <si>
    <t>Language, Speech &amp; Hearing Services in Schools</t>
  </si>
  <si>
    <t>0161-1461</t>
  </si>
  <si>
    <t>1558-9129</t>
  </si>
  <si>
    <t>Education--Special Education And Rehabilitation|Medical Sciences--Otorhinolaryngology|People With Disabilities--Hearing Impaired</t>
  </si>
  <si>
    <t>Language, Speech &amp; Hearing Services in Schools (Online)</t>
  </si>
  <si>
    <t>Large-Scale Assessments in Education</t>
  </si>
  <si>
    <t>2196-0739</t>
  </si>
  <si>
    <t>Latin American Journal of Content &amp; Language Integrated Learning</t>
  </si>
  <si>
    <t>The Latin American Journal of Content &amp; Language Integration Learning</t>
  </si>
  <si>
    <t>2011-6721</t>
  </si>
  <si>
    <t>2322-9721</t>
  </si>
  <si>
    <t>Law &amp; Order</t>
  </si>
  <si>
    <t>Hendon Publishing Company</t>
  </si>
  <si>
    <t>Wilmette</t>
  </si>
  <si>
    <t>0023-9194</t>
  </si>
  <si>
    <t>Leadership</t>
  </si>
  <si>
    <t>Association of California School Administrators</t>
  </si>
  <si>
    <t>Sacramento</t>
  </si>
  <si>
    <t>1531-3174</t>
  </si>
  <si>
    <t>Leadership and Policy in Schools</t>
  </si>
  <si>
    <t>1570-0763</t>
  </si>
  <si>
    <t>1744-5043</t>
  </si>
  <si>
    <t>Learn and teach mathematics and statistics with Dr Nic [BLOG]</t>
  </si>
  <si>
    <t>Christchurch</t>
  </si>
  <si>
    <t>Learning &amp; Training Innovations</t>
  </si>
  <si>
    <t>Questex, LLC</t>
  </si>
  <si>
    <t>Newton</t>
  </si>
  <si>
    <t>1544-645X</t>
  </si>
  <si>
    <t>Computers--Computer Assisted Instruction</t>
  </si>
  <si>
    <t>Learning Disability Practice (2014+)</t>
  </si>
  <si>
    <t>RCNi</t>
  </si>
  <si>
    <t>1465-8712</t>
  </si>
  <si>
    <t>2047-8968</t>
  </si>
  <si>
    <t>Learning Disability Practice (through 2013)</t>
  </si>
  <si>
    <t>Learning Disability Quarterly</t>
  </si>
  <si>
    <t>Overland Park</t>
  </si>
  <si>
    <t>0731-9487</t>
  </si>
  <si>
    <t>2168-376X</t>
  </si>
  <si>
    <t>Learning Environments Research</t>
  </si>
  <si>
    <t>1387-1579</t>
  </si>
  <si>
    <t>1573-1855</t>
  </si>
  <si>
    <t>Learning Inquiry</t>
  </si>
  <si>
    <t>1558-2973</t>
  </si>
  <si>
    <t>1558-2981</t>
  </si>
  <si>
    <t>The Learning Organization</t>
  </si>
  <si>
    <t>0969-6474</t>
  </si>
  <si>
    <t>1758-7905</t>
  </si>
  <si>
    <t>The Learning Professional</t>
  </si>
  <si>
    <t>National Staff Development Council</t>
  </si>
  <si>
    <t>2476-194X</t>
  </si>
  <si>
    <t>Business And Economics--Personnel Management|Education--Adult Education</t>
  </si>
  <si>
    <t>Learning and Individual Differences</t>
  </si>
  <si>
    <t>1041-6080</t>
  </si>
  <si>
    <t>1873-3425</t>
  </si>
  <si>
    <t>Learning and Motivation</t>
  </si>
  <si>
    <t>0023-9690</t>
  </si>
  <si>
    <t>1095-9122</t>
  </si>
  <si>
    <t>Learning and Teaching</t>
  </si>
  <si>
    <t>1755-2273</t>
  </si>
  <si>
    <t>1755-2281</t>
  </si>
  <si>
    <t>Education--Higher Education|Social Sciences: Comprehensive Works</t>
  </si>
  <si>
    <t>Learning and Teaching in Higher Education: Gulf Perspectives</t>
  </si>
  <si>
    <t>Dubai</t>
  </si>
  <si>
    <t>2077-5504</t>
  </si>
  <si>
    <t>01-Jan-2011--31-Dec-2013; 01-Jan-2020--31-Dec-2020</t>
  </si>
  <si>
    <t>Learning with 'e's [BLOG]</t>
  </si>
  <si>
    <t>Learning, Media and Technology</t>
  </si>
  <si>
    <t>1743-9884</t>
  </si>
  <si>
    <t>1743-9892</t>
  </si>
  <si>
    <t>Lectura y Vida : Revista Latinoamericana de Lectura</t>
  </si>
  <si>
    <t>International Literacy Association</t>
  </si>
  <si>
    <t>Newark</t>
  </si>
  <si>
    <t>0325-8637</t>
  </si>
  <si>
    <t>2307-9630</t>
  </si>
  <si>
    <t>Liberal Education</t>
  </si>
  <si>
    <t>Association of American Colleges and Universities</t>
  </si>
  <si>
    <t>0024-1822</t>
  </si>
  <si>
    <t>Library Administrator's Digest</t>
  </si>
  <si>
    <t>BCPL Foundation</t>
  </si>
  <si>
    <t>Towson</t>
  </si>
  <si>
    <t>0746-6129</t>
  </si>
  <si>
    <t>Education|Education--School Organization And Administration|Library And Information Sciences|Public Administration</t>
  </si>
  <si>
    <t>Library Computing</t>
  </si>
  <si>
    <t>1527-1161</t>
  </si>
  <si>
    <t>Computers--Microcomputers|Computers--Software|Education--Computer Applications|Library And Information Sciences--Computer Applications</t>
  </si>
  <si>
    <t>Library Journal</t>
  </si>
  <si>
    <t>0363-0277</t>
  </si>
  <si>
    <t>Library And Information Sciences|Publishing And Book Trade</t>
  </si>
  <si>
    <t>Library Media Connection</t>
  </si>
  <si>
    <t>Worthington</t>
  </si>
  <si>
    <t>1542-4715</t>
  </si>
  <si>
    <t>The Library Quarterly</t>
  </si>
  <si>
    <t>0024-2519</t>
  </si>
  <si>
    <t>1549-652X</t>
  </si>
  <si>
    <t>Library Technology Reports</t>
  </si>
  <si>
    <t>0024-2586</t>
  </si>
  <si>
    <t>1945-4538</t>
  </si>
  <si>
    <t>01-Jan-2001--28-Feb-2004</t>
  </si>
  <si>
    <t>Library Trends</t>
  </si>
  <si>
    <t>0024-2594</t>
  </si>
  <si>
    <t>1559-0682</t>
  </si>
  <si>
    <t>Link - up</t>
  </si>
  <si>
    <t>0739-988X</t>
  </si>
  <si>
    <t>Computers--Data Communications And Data Transmission Systems|Computers--Information Science And Information Theory</t>
  </si>
  <si>
    <t>Literacy</t>
  </si>
  <si>
    <t>1741-4350</t>
  </si>
  <si>
    <t>1741-4369</t>
  </si>
  <si>
    <t>Literacy Research and Instruction</t>
  </si>
  <si>
    <t>Coral Gables</t>
  </si>
  <si>
    <t>1938-8071</t>
  </si>
  <si>
    <t>1938-8063</t>
  </si>
  <si>
    <t>Literacy Today</t>
  </si>
  <si>
    <t>2411-7862</t>
  </si>
  <si>
    <t>2411-7900</t>
  </si>
  <si>
    <t>Literacy, Teaching and Learning</t>
  </si>
  <si>
    <t>Reading Recovery Council of North America</t>
  </si>
  <si>
    <t>2159-5380</t>
  </si>
  <si>
    <t>Literal Latte</t>
  </si>
  <si>
    <t>1084-3957</t>
  </si>
  <si>
    <t>Literary Cavalcade</t>
  </si>
  <si>
    <t>0024-4511</t>
  </si>
  <si>
    <t>Children And Youth - For|Education|Literary And Political Reviews|Literature</t>
  </si>
  <si>
    <t>London Review of Education</t>
  </si>
  <si>
    <t>IOE Press</t>
  </si>
  <si>
    <t>1474-8460</t>
  </si>
  <si>
    <t>1474-8479</t>
  </si>
  <si>
    <t>MacUser</t>
  </si>
  <si>
    <t>Ziff-Davis Media Inc.</t>
  </si>
  <si>
    <t>0884-0997</t>
  </si>
  <si>
    <t>Computers--Personal Computers</t>
  </si>
  <si>
    <t>Macworld</t>
  </si>
  <si>
    <t>IDG Communications/Peterborough</t>
  </si>
  <si>
    <t>0741-8647</t>
  </si>
  <si>
    <t>Computers--Microcomputers|Computers--Personal Computers</t>
  </si>
  <si>
    <t>Magazine of History</t>
  </si>
  <si>
    <t>Organization of American Historians</t>
  </si>
  <si>
    <t>0882-228X</t>
  </si>
  <si>
    <t>1938-2340</t>
  </si>
  <si>
    <t>History</t>
  </si>
  <si>
    <t>Magis</t>
  </si>
  <si>
    <t>2027-1174</t>
  </si>
  <si>
    <t>2145-0226</t>
  </si>
  <si>
    <t>Mailbox Teacher</t>
  </si>
  <si>
    <t>The Education Center, Inc.</t>
  </si>
  <si>
    <t>Greensboro</t>
  </si>
  <si>
    <t>1098-5670</t>
  </si>
  <si>
    <t>Mainstream</t>
  </si>
  <si>
    <t>Exploring Myths, Inc.</t>
  </si>
  <si>
    <t>0278-8225</t>
  </si>
  <si>
    <t>Making Connections</t>
  </si>
  <si>
    <t>Indiana University of Pennsylvania, IUP Research Institute</t>
  </si>
  <si>
    <t>1930-1987</t>
  </si>
  <si>
    <t>Malaysian Journal of ELT Research</t>
  </si>
  <si>
    <t>1511-8002</t>
  </si>
  <si>
    <t>Malaysian Journal of Learning and Instruction</t>
  </si>
  <si>
    <t>Universiti Utara Malaysia</t>
  </si>
  <si>
    <t>Kedah Darul Alam</t>
  </si>
  <si>
    <t>1675-8110</t>
  </si>
  <si>
    <t>2180-2483</t>
  </si>
  <si>
    <t>English|Malay</t>
  </si>
  <si>
    <t>Mathematical Thinking and Learning</t>
  </si>
  <si>
    <t>1098-6065</t>
  </si>
  <si>
    <t>1532-7833</t>
  </si>
  <si>
    <t>Education|Mathematics|Psychology</t>
  </si>
  <si>
    <t>Mathematics Education Research Journal</t>
  </si>
  <si>
    <t>1033-2170</t>
  </si>
  <si>
    <t>2211-050X</t>
  </si>
  <si>
    <t>The Mathematics Enthusiast</t>
  </si>
  <si>
    <t>University of Montana, ScholarWorks; c/o Bharath Sriraman.</t>
  </si>
  <si>
    <t>Missoula</t>
  </si>
  <si>
    <t>The Mathematics Teacher</t>
  </si>
  <si>
    <t>0025-5769</t>
  </si>
  <si>
    <t>2330-0582</t>
  </si>
  <si>
    <t>Mathematics Teaching</t>
  </si>
  <si>
    <t>The Association of Teachers of Mathematics</t>
  </si>
  <si>
    <t>Derby</t>
  </si>
  <si>
    <t>0025-5785</t>
  </si>
  <si>
    <t>Mathematics Teaching in the Middle School</t>
  </si>
  <si>
    <t>1072-0839</t>
  </si>
  <si>
    <t>2328-5486</t>
  </si>
  <si>
    <t>Mathematics and Computer Education</t>
  </si>
  <si>
    <t>Old Bethpage</t>
  </si>
  <si>
    <t>0730-8639</t>
  </si>
  <si>
    <t>McGill Journal of Education</t>
  </si>
  <si>
    <t>Montreal</t>
  </si>
  <si>
    <t>0024-9033</t>
  </si>
  <si>
    <t>McGill Journal of Education (Online)</t>
  </si>
  <si>
    <t>1916-0666</t>
  </si>
  <si>
    <t>Measurement and Evaluation in Counseling and Development</t>
  </si>
  <si>
    <t>0748-1756</t>
  </si>
  <si>
    <t>1947-6302</t>
  </si>
  <si>
    <t>Measurement in Physical Education and Exercise Science</t>
  </si>
  <si>
    <t>1091-367X</t>
  </si>
  <si>
    <t>1532-7841</t>
  </si>
  <si>
    <t>Media and Methods</t>
  </si>
  <si>
    <t>American Society of Educators</t>
  </si>
  <si>
    <t>0025-6897</t>
  </si>
  <si>
    <t>Medical Teacher</t>
  </si>
  <si>
    <t>0142-159X</t>
  </si>
  <si>
    <t>1466-187X</t>
  </si>
  <si>
    <t>The Medium (Online)</t>
  </si>
  <si>
    <t>Saskatchewan School Library Association</t>
  </si>
  <si>
    <t>Saskatoon</t>
  </si>
  <si>
    <t>Mentoring &amp; Tutoring</t>
  </si>
  <si>
    <t>1361-1267</t>
  </si>
  <si>
    <t>1469-9745</t>
  </si>
  <si>
    <t>Merrill - Palmer Quarterly</t>
  </si>
  <si>
    <t>0272-930X</t>
  </si>
  <si>
    <t>1535-0266</t>
  </si>
  <si>
    <t>Metacognition and Learning</t>
  </si>
  <si>
    <t>1556-1623</t>
  </si>
  <si>
    <t>1556-1631</t>
  </si>
  <si>
    <t>Metropolitan Universities</t>
  </si>
  <si>
    <t>Coalition of Urban and Metropolitan Universities</t>
  </si>
  <si>
    <t>1047-8485</t>
  </si>
  <si>
    <t>2472-3541</t>
  </si>
  <si>
    <t>Micromath</t>
  </si>
  <si>
    <t>0267-5501</t>
  </si>
  <si>
    <t>Mathematics--Computer Applications</t>
  </si>
  <si>
    <t>Middle Grades Research Journal</t>
  </si>
  <si>
    <t>1937-0814</t>
  </si>
  <si>
    <t>1937-0822</t>
  </si>
  <si>
    <t>Middle Ground</t>
  </si>
  <si>
    <t>1094-6675</t>
  </si>
  <si>
    <t>Middle School Journal</t>
  </si>
  <si>
    <t>0094-0771</t>
  </si>
  <si>
    <t>2327-6223</t>
  </si>
  <si>
    <t>01-Sep-2009--31-Dec-2013</t>
  </si>
  <si>
    <t>Migration World Magazine</t>
  </si>
  <si>
    <t>Center for Migration Studies</t>
  </si>
  <si>
    <t>Staten Island</t>
  </si>
  <si>
    <t>1058-5095</t>
  </si>
  <si>
    <t>Population Studies</t>
  </si>
  <si>
    <t>Mocambras</t>
  </si>
  <si>
    <t>Faculdade de Educacao da Universidade de Sao Paulo</t>
  </si>
  <si>
    <t>São Paulo</t>
  </si>
  <si>
    <t>1980-7686</t>
  </si>
  <si>
    <t>The Modern Language Journal</t>
  </si>
  <si>
    <t>0026-7902</t>
  </si>
  <si>
    <t>1540-4781</t>
  </si>
  <si>
    <t>Momentum</t>
  </si>
  <si>
    <t>National Catholic Educational Association</t>
  </si>
  <si>
    <t>0026-914X</t>
  </si>
  <si>
    <t>Monographs of the Society for Research in Child Development</t>
  </si>
  <si>
    <t>0037-976X</t>
  </si>
  <si>
    <t>1540-5834</t>
  </si>
  <si>
    <t>Montessori Life</t>
  </si>
  <si>
    <t>American Montessori Society</t>
  </si>
  <si>
    <t>1054-0040</t>
  </si>
  <si>
    <t>Children And Youth - About|Education--Teaching Methods And Curriculum</t>
  </si>
  <si>
    <t>Monthly Labor Review</t>
  </si>
  <si>
    <t>0098-1818</t>
  </si>
  <si>
    <t>1937-4658</t>
  </si>
  <si>
    <t>Mothering</t>
  </si>
  <si>
    <t>Santa Fe</t>
  </si>
  <si>
    <t>0733-3013</t>
  </si>
  <si>
    <t>Multicultural Education</t>
  </si>
  <si>
    <t>1068-3844</t>
  </si>
  <si>
    <t>Education|Education--Teaching Methods And Curriculum|Ethnic Interests</t>
  </si>
  <si>
    <t>Multicultural Education Abstracts</t>
  </si>
  <si>
    <t>0260-9770</t>
  </si>
  <si>
    <t>1467-5854</t>
  </si>
  <si>
    <t>Multicultural Learning and Teaching</t>
  </si>
  <si>
    <t>2194-654X</t>
  </si>
  <si>
    <t>2161-2412</t>
  </si>
  <si>
    <t>Multicultural Perspectives</t>
  </si>
  <si>
    <t>1521-0960</t>
  </si>
  <si>
    <t>1532-7892</t>
  </si>
  <si>
    <t>Education--International Education Programs|Education--Teaching Methods And Curriculum|Political Science--Civil Rights</t>
  </si>
  <si>
    <t>Multilingual Education</t>
  </si>
  <si>
    <t>2191-5059</t>
  </si>
  <si>
    <t>Multimedia Daily</t>
  </si>
  <si>
    <t>BRP Publications</t>
  </si>
  <si>
    <t>1079-4212</t>
  </si>
  <si>
    <t>Computers</t>
  </si>
  <si>
    <t>Muse</t>
  </si>
  <si>
    <t>1090-0381</t>
  </si>
  <si>
    <t>Children And Youth - For|History</t>
  </si>
  <si>
    <t>Music Education Research</t>
  </si>
  <si>
    <t>1461-3808</t>
  </si>
  <si>
    <t>1469-9893</t>
  </si>
  <si>
    <t>Education--Teaching Methods And Curriculum|Music</t>
  </si>
  <si>
    <t>Music Education Technology</t>
  </si>
  <si>
    <t>Informa</t>
  </si>
  <si>
    <t>1550-9400</t>
  </si>
  <si>
    <t>Music Educators Journal</t>
  </si>
  <si>
    <t>0027-4321</t>
  </si>
  <si>
    <t>1945-0087</t>
  </si>
  <si>
    <t>NACE Journal</t>
  </si>
  <si>
    <t>College Placement Council, Incorporated</t>
  </si>
  <si>
    <t>Bethlehem</t>
  </si>
  <si>
    <t>1542-2046</t>
  </si>
  <si>
    <t>Business And Economics--Management|Education--Higher Education|Occupations And Careers</t>
  </si>
  <si>
    <t>NACTA Journal</t>
  </si>
  <si>
    <t>North American Colleges and Teachers of Agriculture</t>
  </si>
  <si>
    <t>Twin Falls</t>
  </si>
  <si>
    <t>0149-4910</t>
  </si>
  <si>
    <t>NASPA Journal</t>
  </si>
  <si>
    <t>Berkeley Electronic Press</t>
  </si>
  <si>
    <t>0027-6014</t>
  </si>
  <si>
    <t>NEA Today</t>
  </si>
  <si>
    <t>National Education Association</t>
  </si>
  <si>
    <t>0734-7219</t>
  </si>
  <si>
    <t>NHSA Dialog</t>
  </si>
  <si>
    <t>National Head Start Association</t>
  </si>
  <si>
    <t>1524-0754</t>
  </si>
  <si>
    <t>1930-9325</t>
  </si>
  <si>
    <t>NSTA Express</t>
  </si>
  <si>
    <t>Children And Youth - For|Education|Sciences: Comprehensive Works</t>
  </si>
  <si>
    <t>NSTA Reports</t>
  </si>
  <si>
    <t>The National Archives: Education Updates [Blog]</t>
  </si>
  <si>
    <t>National Association of School Psychologists. Communique</t>
  </si>
  <si>
    <t>National Association of School Psychologists</t>
  </si>
  <si>
    <t>0164-775X</t>
  </si>
  <si>
    <t>National Association of Secondary School Principals. NASSP Bulletin</t>
  </si>
  <si>
    <t>0192-6365</t>
  </si>
  <si>
    <t>1930-1405</t>
  </si>
  <si>
    <t>National Council of Teachers of Mathematics Yearbook</t>
  </si>
  <si>
    <t>0077-4103</t>
  </si>
  <si>
    <t>Natural Sciences Education</t>
  </si>
  <si>
    <t>2168-8273</t>
  </si>
  <si>
    <t>2168-8281</t>
  </si>
  <si>
    <t>Biology|Education--Teaching Methods And Curriculum</t>
  </si>
  <si>
    <t>Negotium</t>
  </si>
  <si>
    <t>Fundacion Miguel Unamuno y Jugo</t>
  </si>
  <si>
    <t>Maracaibo</t>
  </si>
  <si>
    <t>Venezuela</t>
  </si>
  <si>
    <t>1856-1810</t>
  </si>
  <si>
    <t>Negro Educational Review</t>
  </si>
  <si>
    <t>Negro Educational Review, Inc.</t>
  </si>
  <si>
    <t>0548-1457</t>
  </si>
  <si>
    <t>Network Computing</t>
  </si>
  <si>
    <t>Manhasset</t>
  </si>
  <si>
    <t>1046-4468</t>
  </si>
  <si>
    <t>01-Jan-1996--31-Dec-1997; 01-Jan-1999--31-Dec-1999</t>
  </si>
  <si>
    <t>Computers--Computer Networks|Computers--Computer Systems</t>
  </si>
  <si>
    <t>New Directions for Adult and Continuing Education</t>
  </si>
  <si>
    <t>1052-2891</t>
  </si>
  <si>
    <t>1536-0717</t>
  </si>
  <si>
    <t>New Directions for Community Colleges</t>
  </si>
  <si>
    <t>0194-3081</t>
  </si>
  <si>
    <t>1536-0733</t>
  </si>
  <si>
    <t>New Directions for Higher Education</t>
  </si>
  <si>
    <t>0271-0560</t>
  </si>
  <si>
    <t>1536-0741</t>
  </si>
  <si>
    <t>New Directions for Institutional Research</t>
  </si>
  <si>
    <t>Tallahassee</t>
  </si>
  <si>
    <t>0271-0579</t>
  </si>
  <si>
    <t>1536-075X</t>
  </si>
  <si>
    <t>New Directions for Student Leadership</t>
  </si>
  <si>
    <t>2373-3349</t>
  </si>
  <si>
    <t>2373-3357</t>
  </si>
  <si>
    <t>New Directions for Student Services</t>
  </si>
  <si>
    <t>0164-7970</t>
  </si>
  <si>
    <t>1536-0695</t>
  </si>
  <si>
    <t>The New England Journal of Higher Education</t>
  </si>
  <si>
    <t>New England Board of Higher Education</t>
  </si>
  <si>
    <t>1938-5978</t>
  </si>
  <si>
    <t>New England Reading Association Journal</t>
  </si>
  <si>
    <t>New England Reading Association</t>
  </si>
  <si>
    <t>Portland</t>
  </si>
  <si>
    <t>0028-4882</t>
  </si>
  <si>
    <t>The New English Teacher</t>
  </si>
  <si>
    <t>Assumption University Press</t>
  </si>
  <si>
    <t>Bangkok</t>
  </si>
  <si>
    <t>Thailand</t>
  </si>
  <si>
    <t>1905-7725</t>
  </si>
  <si>
    <t>New Horizons in Adult Education &amp; Human Resource Development</t>
  </si>
  <si>
    <t>Miami</t>
  </si>
  <si>
    <t>1939-4225</t>
  </si>
  <si>
    <t>New Moon Girls</t>
  </si>
  <si>
    <t>New Moon Girl Media</t>
  </si>
  <si>
    <t>Duluth</t>
  </si>
  <si>
    <t>1943-488X</t>
  </si>
  <si>
    <t>2161-914X</t>
  </si>
  <si>
    <t>Children And Youth - For|Women's Interests</t>
  </si>
  <si>
    <t>New Schools, New Communities</t>
  </si>
  <si>
    <t>1077-2936</t>
  </si>
  <si>
    <t>New Waves</t>
  </si>
  <si>
    <t>Chinese American Educational Research and Development Association</t>
  </si>
  <si>
    <t>Kennesaw</t>
  </si>
  <si>
    <t>1526-8659</t>
  </si>
  <si>
    <t>2379-4275</t>
  </si>
  <si>
    <t>New York Times Upfront</t>
  </si>
  <si>
    <t>1525-1292</t>
  </si>
  <si>
    <t>New Zealand Journal of Educational Studies</t>
  </si>
  <si>
    <t>New Zealand Association for Research in Education</t>
  </si>
  <si>
    <t>0028-8276</t>
  </si>
  <si>
    <t>2199-4714</t>
  </si>
  <si>
    <t>English|Maori</t>
  </si>
  <si>
    <t>New Zealand Physical Educator</t>
  </si>
  <si>
    <t>Physical Education New Zealand</t>
  </si>
  <si>
    <t>Wellington</t>
  </si>
  <si>
    <t>1178-1076</t>
  </si>
  <si>
    <t>2463-5138</t>
  </si>
  <si>
    <t>News for You</t>
  </si>
  <si>
    <t>New Readers Press</t>
  </si>
  <si>
    <t>0884-3910</t>
  </si>
  <si>
    <t>Nurse Education Today</t>
  </si>
  <si>
    <t>0260-6917</t>
  </si>
  <si>
    <t>1532-2793</t>
  </si>
  <si>
    <t>Nurse Education in Practice</t>
  </si>
  <si>
    <t>Kidlington</t>
  </si>
  <si>
    <t>1471-5953</t>
  </si>
  <si>
    <t>1873-5223</t>
  </si>
  <si>
    <t>Nursing Education Perspectives</t>
  </si>
  <si>
    <t>Wolters Kluwer Health, Inc.</t>
  </si>
  <si>
    <t>1536-5026</t>
  </si>
  <si>
    <t>1943-4685</t>
  </si>
  <si>
    <t>OECD Education Policy Perspectives</t>
  </si>
  <si>
    <t>2226-0943</t>
  </si>
  <si>
    <t>Education|Education--International Education Programs|Education--School Organization And Administration|Education--Teaching Methods And Curriculum</t>
  </si>
  <si>
    <t>OECD Education Working Papers</t>
  </si>
  <si>
    <t>1993-9019</t>
  </si>
  <si>
    <t>OECD Reviews of Evaluation and Assessment in Education</t>
  </si>
  <si>
    <t>2223-0955</t>
  </si>
  <si>
    <t>01-Jan-2015--31-Dec-2016; 01-Jan-2018--31-Dec-2018; 01-Jan-2021--31-Dec-2021</t>
  </si>
  <si>
    <t>OECD Reviews of School Resources</t>
  </si>
  <si>
    <t>2413-3841</t>
  </si>
  <si>
    <t>OECD Reviews of Vocational Education and Training</t>
  </si>
  <si>
    <t>2077-7736</t>
  </si>
  <si>
    <t>Education|Electronics</t>
  </si>
  <si>
    <t>OECD Skills Studies</t>
  </si>
  <si>
    <t>2307-8731</t>
  </si>
  <si>
    <t>OR Insight</t>
  </si>
  <si>
    <t>0953-5543</t>
  </si>
  <si>
    <t>1759-0477</t>
  </si>
  <si>
    <t>ORTESOL Journal</t>
  </si>
  <si>
    <t>Oregon Teachers of English To Speakers of Other Languages c/o PSU Department of Applied Linguistics</t>
  </si>
  <si>
    <t>0192-401X</t>
  </si>
  <si>
    <t>OTJR</t>
  </si>
  <si>
    <t>1539-4492</t>
  </si>
  <si>
    <t>1938-2383</t>
  </si>
  <si>
    <t>01-Jul-1999--31-Dec-2003</t>
  </si>
  <si>
    <t>Occupational Outlook Quarterly</t>
  </si>
  <si>
    <t>0199-4786</t>
  </si>
  <si>
    <t>1555-0559</t>
  </si>
  <si>
    <t>Business And Economics--Abstracting, Bibliographies, Statistics|Business And Economics--Labor And Industrial Relations|Occupations And Careers|Occupations And Careers--Abstracting, Bibliographies, Statistics|Statistics</t>
  </si>
  <si>
    <t>Ohio Reading Teacher</t>
  </si>
  <si>
    <t>Ohio Council of the International Reading Association</t>
  </si>
  <si>
    <t>University Heights</t>
  </si>
  <si>
    <t>0030-1035</t>
  </si>
  <si>
    <t>On Campus with Women</t>
  </si>
  <si>
    <t>0734-0141</t>
  </si>
  <si>
    <t>On the Horizon</t>
  </si>
  <si>
    <t>1074-8121</t>
  </si>
  <si>
    <t>2054-1708</t>
  </si>
  <si>
    <t>01-Jan-2002--31-Dec-2004</t>
  </si>
  <si>
    <t>Online</t>
  </si>
  <si>
    <t>0146-5422</t>
  </si>
  <si>
    <t>2324-9706</t>
  </si>
  <si>
    <t>Computers--Computer Networks|Library And Information Sciences</t>
  </si>
  <si>
    <t>Online Information Review</t>
  </si>
  <si>
    <t>1468-4527</t>
  </si>
  <si>
    <t>1468-4535</t>
  </si>
  <si>
    <t>Computers--Computer Networks|Computers--Internet|Library And Information Sciences</t>
  </si>
  <si>
    <t>Online Searcher</t>
  </si>
  <si>
    <t>2324-9684</t>
  </si>
  <si>
    <t>Computers--Data Base Management|Computers--Internet</t>
  </si>
  <si>
    <t>Open Learning</t>
  </si>
  <si>
    <t>0268-0513</t>
  </si>
  <si>
    <t>1469-9958</t>
  </si>
  <si>
    <t>Operations Management Education Review</t>
  </si>
  <si>
    <t>1649-7082</t>
  </si>
  <si>
    <t>2044-4567</t>
  </si>
  <si>
    <t>Organ Atlas</t>
  </si>
  <si>
    <t>Organ Historical Society, Incorporated</t>
  </si>
  <si>
    <t>1943-6912</t>
  </si>
  <si>
    <t>Our Schools, Our Selves</t>
  </si>
  <si>
    <t>Canadian Centre for Policy Alternatives</t>
  </si>
  <si>
    <t>0840-7339</t>
  </si>
  <si>
    <t>01-Jan-2013--31-Dec-2013; 01-Jan-2018--31-Dec-2019</t>
  </si>
  <si>
    <t>Outlook-12</t>
  </si>
  <si>
    <t>Hispanic Outlook - 12 Education</t>
  </si>
  <si>
    <t>Oxford Review of Education</t>
  </si>
  <si>
    <t>0305-4985</t>
  </si>
  <si>
    <t>1465-3915</t>
  </si>
  <si>
    <t>Ozel Egitim Dergisi</t>
  </si>
  <si>
    <t>1304-7639</t>
  </si>
  <si>
    <t>2149-8261</t>
  </si>
  <si>
    <t>Turkish</t>
  </si>
  <si>
    <t>PC Magazine</t>
  </si>
  <si>
    <t>0888-8507</t>
  </si>
  <si>
    <t>2373-2830</t>
  </si>
  <si>
    <t>PC World</t>
  </si>
  <si>
    <t>Foundry</t>
  </si>
  <si>
    <t>0737-8939</t>
  </si>
  <si>
    <t>PC World.Com</t>
  </si>
  <si>
    <t>PCWorld (Online)</t>
  </si>
  <si>
    <t>1944-9143</t>
  </si>
  <si>
    <t>01-Jan-2016--31-Dec-2017</t>
  </si>
  <si>
    <t>PDS Partners</t>
  </si>
  <si>
    <t>PEB Exchange : the Journal of the OECD Programme on Educational Building</t>
  </si>
  <si>
    <t>1018-9327</t>
  </si>
  <si>
    <t>1609-7548</t>
  </si>
  <si>
    <t>Building And Construction|Education--School Organization And Administration</t>
  </si>
  <si>
    <t>PISA</t>
  </si>
  <si>
    <t>1996-3777</t>
  </si>
  <si>
    <t>01-Jan-2002--31-Dec-2002; 01-Jan-2004--31-Dec-2004; 01-Jan-2007--31-Dec-2007; 01-Jan-2009--31-Dec-2009</t>
  </si>
  <si>
    <t>PISA in Focus</t>
  </si>
  <si>
    <t>2226-0919</t>
  </si>
  <si>
    <t>PJE. Peabody Journal of Education</t>
  </si>
  <si>
    <t>0161-956X</t>
  </si>
  <si>
    <t>1532-7930</t>
  </si>
  <si>
    <t>PS, Political Science &amp; Politics</t>
  </si>
  <si>
    <t>1049-0965</t>
  </si>
  <si>
    <t>1537-5935</t>
  </si>
  <si>
    <t>Political Science</t>
  </si>
  <si>
    <t>Paedagogica Historica</t>
  </si>
  <si>
    <t>0030-9230</t>
  </si>
  <si>
    <t>1477-674X</t>
  </si>
  <si>
    <t>Paideía</t>
  </si>
  <si>
    <t>Universidade de São Paulo-Programa de Pós Graduação em Psicologia, Faculdade de Filosofia Ciências e Letras de Ribeirão Preto</t>
  </si>
  <si>
    <t>0103-863X</t>
  </si>
  <si>
    <t>1982-4327</t>
  </si>
  <si>
    <t>Paideusis</t>
  </si>
  <si>
    <t>0838-4517</t>
  </si>
  <si>
    <t>Pakistan Journal of Education</t>
  </si>
  <si>
    <t>1818-3344</t>
  </si>
  <si>
    <t>2413-8517</t>
  </si>
  <si>
    <t>Papers of the British School at Rome</t>
  </si>
  <si>
    <t>0068-2462</t>
  </si>
  <si>
    <t>2045-239X</t>
  </si>
  <si>
    <t>Archaeology|History--History of Europe</t>
  </si>
  <si>
    <t>Parenting for High Potential</t>
  </si>
  <si>
    <t>National Association for Gifted Children Gifted Child Quarterly</t>
  </si>
  <si>
    <t>Parenting. Early Years</t>
  </si>
  <si>
    <t>1947-9883</t>
  </si>
  <si>
    <t>Parenting. School Years</t>
  </si>
  <si>
    <t>1914-1149</t>
  </si>
  <si>
    <t>Parks &amp; Recreation</t>
  </si>
  <si>
    <t>National Recreation and Park Association</t>
  </si>
  <si>
    <t>0031-2215</t>
  </si>
  <si>
    <t>Conservation|Public Administration|Sports And Games--Outdoor Life</t>
  </si>
  <si>
    <t>Pedagogia Social</t>
  </si>
  <si>
    <t>Sociedad Iberoamericana de Pedagogía</t>
  </si>
  <si>
    <t>1139-1723</t>
  </si>
  <si>
    <t>1989-9742</t>
  </si>
  <si>
    <t>Pedagogicka Orientace</t>
  </si>
  <si>
    <t>Pedagogicka Orientace Journal</t>
  </si>
  <si>
    <t>Brno</t>
  </si>
  <si>
    <t>1211-4669</t>
  </si>
  <si>
    <t>1805-9511</t>
  </si>
  <si>
    <t>Pedagogies</t>
  </si>
  <si>
    <t>1554-480X</t>
  </si>
  <si>
    <t>1554-4818</t>
  </si>
  <si>
    <t>Pedagogy, Culture &amp; Society</t>
  </si>
  <si>
    <t>1468-1366</t>
  </si>
  <si>
    <t>1747-5104</t>
  </si>
  <si>
    <t>Pediatric Annals</t>
  </si>
  <si>
    <t>0090-4481</t>
  </si>
  <si>
    <t>1938-2359</t>
  </si>
  <si>
    <t>01-Jan-1980--31-Dec-1980; 01-Jan-1982--31-Dec-1994; 01-Jan-2001--31-Dec-2002</t>
  </si>
  <si>
    <t>Pediatric Nursing</t>
  </si>
  <si>
    <t>Anthony J. Jannetti, Inc.</t>
  </si>
  <si>
    <t>Pitman</t>
  </si>
  <si>
    <t>0097-9805</t>
  </si>
  <si>
    <t>Medical Sciences|Medical Sciences--Nurses And Nursing</t>
  </si>
  <si>
    <t>Pediatrics for Parents</t>
  </si>
  <si>
    <t>Pediatrics for Parents, Inc.</t>
  </si>
  <si>
    <t>Bangor</t>
  </si>
  <si>
    <t>0730-6725</t>
  </si>
  <si>
    <t>Peer Review</t>
  </si>
  <si>
    <t>1541-1389</t>
  </si>
  <si>
    <t>Pegem Egitim ve Ogretim Dergisi = Pegem Journal of Education and Instruction</t>
  </si>
  <si>
    <t>Pegem Akademi Yayincilik Egitim Danismanlik Hizmetleri Tic. Ltd. Sti.</t>
  </si>
  <si>
    <t>2146-0655</t>
  </si>
  <si>
    <t>2148-239X</t>
  </si>
  <si>
    <t>Performance Improvement</t>
  </si>
  <si>
    <t>International Society for Performance Improvement</t>
  </si>
  <si>
    <t>1090-8811</t>
  </si>
  <si>
    <t>1930-8272</t>
  </si>
  <si>
    <t>Performance Improvement Quarterly</t>
  </si>
  <si>
    <t>0898-5952</t>
  </si>
  <si>
    <t>1937-8327</t>
  </si>
  <si>
    <t>Personnel Psychology</t>
  </si>
  <si>
    <t>0031-5826</t>
  </si>
  <si>
    <t>1744-6570</t>
  </si>
  <si>
    <t>Business And Economics--Management|Business And Economics--Personnel Management|Psychology</t>
  </si>
  <si>
    <t>Perspectives : Policy and Practice in Higher Education</t>
  </si>
  <si>
    <t>1360-3108</t>
  </si>
  <si>
    <t>1460-7018</t>
  </si>
  <si>
    <t>Perspectives in Education</t>
  </si>
  <si>
    <t>University of the Free State, Faculty of Education</t>
  </si>
  <si>
    <t>Bloemfontein</t>
  </si>
  <si>
    <t>0258-2236</t>
  </si>
  <si>
    <t>2519-593X</t>
  </si>
  <si>
    <t>Perspectives on Language and Literacy</t>
  </si>
  <si>
    <t>International Dyslexia Association</t>
  </si>
  <si>
    <t>1935-1291</t>
  </si>
  <si>
    <t>Perspectives on Medical Education</t>
  </si>
  <si>
    <t>Ubiquity Press</t>
  </si>
  <si>
    <t>2212-2761</t>
  </si>
  <si>
    <t>2212-277X</t>
  </si>
  <si>
    <t>01-Jan-2016--31-Dec-2021</t>
  </si>
  <si>
    <t>Perspectives on Political Science</t>
  </si>
  <si>
    <t>1045-7097</t>
  </si>
  <si>
    <t>1930-5478</t>
  </si>
  <si>
    <t>Education--Teaching Methods And Curriculum|Political Science</t>
  </si>
  <si>
    <t>Phi Delta Kappa Fastbacks</t>
  </si>
  <si>
    <t>Phi Delta Kappa</t>
  </si>
  <si>
    <t>8756-6494</t>
  </si>
  <si>
    <t>Phi Delta Kappan</t>
  </si>
  <si>
    <t>0031-7217</t>
  </si>
  <si>
    <t>1940-6487</t>
  </si>
  <si>
    <t>Children And Youth - For|College And Alumni|Education</t>
  </si>
  <si>
    <t>Phi Kappa Phi Forum</t>
  </si>
  <si>
    <t>National Forum: Phi Kappa Phi Journal</t>
  </si>
  <si>
    <t>1538-5914</t>
  </si>
  <si>
    <t>College And Alumni|Education|Literary And Political Reviews</t>
  </si>
  <si>
    <t>Philanthropy &amp; Education</t>
  </si>
  <si>
    <t>2470-7686</t>
  </si>
  <si>
    <t>2470-7694</t>
  </si>
  <si>
    <t>Philosophy of Music Education Review</t>
  </si>
  <si>
    <t>1063-5734</t>
  </si>
  <si>
    <t>1543-3412</t>
  </si>
  <si>
    <t>Education--Teaching Methods And Curriculum|Music|Philosophy</t>
  </si>
  <si>
    <t>Phonology</t>
  </si>
  <si>
    <t>0952-6757</t>
  </si>
  <si>
    <t>1469-8188</t>
  </si>
  <si>
    <t>Physical &amp; Health Education Journal</t>
  </si>
  <si>
    <t>Canadian Association for Health, Physical Education, Recreation and Dance</t>
  </si>
  <si>
    <t>Gloucester</t>
  </si>
  <si>
    <t>1498-0940</t>
  </si>
  <si>
    <t>01-Dec-2000--01-Oct-2002; 01-Jan-2001--31-Dec-2001</t>
  </si>
  <si>
    <t>Physical Disabilities</t>
  </si>
  <si>
    <t>2372-451X</t>
  </si>
  <si>
    <t>People With Disabilities</t>
  </si>
  <si>
    <t>Physical Educator</t>
  </si>
  <si>
    <t>0031-8981</t>
  </si>
  <si>
    <t>2160-1682</t>
  </si>
  <si>
    <t>01-Jan-1997--31-Dec-2003</t>
  </si>
  <si>
    <t>Physical Review. Physics Education Research</t>
  </si>
  <si>
    <t>American Physical Society</t>
  </si>
  <si>
    <t>2469-9896</t>
  </si>
  <si>
    <t>Physics</t>
  </si>
  <si>
    <t>The Physician and Sportsmedicine</t>
  </si>
  <si>
    <t>Vendome Group LLC</t>
  </si>
  <si>
    <t>0091-3847</t>
  </si>
  <si>
    <t>2326-3660</t>
  </si>
  <si>
    <t>Medical Sciences--Surgery</t>
  </si>
  <si>
    <t>Physics Education</t>
  </si>
  <si>
    <t>IOP Publishing</t>
  </si>
  <si>
    <t>Brecon</t>
  </si>
  <si>
    <t>0031-9120</t>
  </si>
  <si>
    <t>1361-6552</t>
  </si>
  <si>
    <t>Education--Teaching Methods And Curriculum|Physics</t>
  </si>
  <si>
    <t>Physics Teacher</t>
  </si>
  <si>
    <t>American Association of Physics Teachers</t>
  </si>
  <si>
    <t>0031-921X</t>
  </si>
  <si>
    <t>1943-4928</t>
  </si>
  <si>
    <t>Planning and Changing</t>
  </si>
  <si>
    <t>Illinois State University</t>
  </si>
  <si>
    <t>Normal</t>
  </si>
  <si>
    <t>0032-0684</t>
  </si>
  <si>
    <t>Planning for Higher Education</t>
  </si>
  <si>
    <t>Society for College and University Planning</t>
  </si>
  <si>
    <t>0736-0983</t>
  </si>
  <si>
    <t>Policy Review</t>
  </si>
  <si>
    <t>Hoover Institute</t>
  </si>
  <si>
    <t>0146-5945</t>
  </si>
  <si>
    <t>2169-6802</t>
  </si>
  <si>
    <t>Policy and Practice in Education</t>
  </si>
  <si>
    <t>1708-2749</t>
  </si>
  <si>
    <t>2293-7021</t>
  </si>
  <si>
    <t>Polyphōnía: Revista de Educación Inclusiva/Polyphōnía: Inclusive Education Journal</t>
  </si>
  <si>
    <t>Centro de Estudios Avanzados y Formación de Vanguardia en Educación Inclusiva - CELEI</t>
  </si>
  <si>
    <t>Santiago</t>
  </si>
  <si>
    <t>Chile</t>
  </si>
  <si>
    <t>0719-7438</t>
  </si>
  <si>
    <t>Education--Teaching Methods And Curriculum|Philosophy</t>
  </si>
  <si>
    <t>Portal : Libraries and the Academy</t>
  </si>
  <si>
    <t>1531-2542</t>
  </si>
  <si>
    <t>1530-7131</t>
  </si>
  <si>
    <t>Postdigital Science and Education</t>
  </si>
  <si>
    <t>Zagreb</t>
  </si>
  <si>
    <t>2524-485X</t>
  </si>
  <si>
    <t>2524-4868</t>
  </si>
  <si>
    <t>Practical Assessment, Research &amp; Evaluation</t>
  </si>
  <si>
    <t>Practical Assessment, Research and Evaluation, Inc.</t>
  </si>
  <si>
    <t>1531-7714</t>
  </si>
  <si>
    <t>Praxis</t>
  </si>
  <si>
    <t>Universidad del Magdalena, Revistas de la Universidad del Magdalena</t>
  </si>
  <si>
    <t>Santa Marta</t>
  </si>
  <si>
    <t>1657-4915</t>
  </si>
  <si>
    <t>2389-7856</t>
  </si>
  <si>
    <t>01-Jan-2003--31-Dec-2003; 01-Jan-2005--31-Dec-2007</t>
  </si>
  <si>
    <t>Praxis &amp; Saber</t>
  </si>
  <si>
    <t>Universidad Pedagógica y Tecnologica de Colombia</t>
  </si>
  <si>
    <t>Tunja</t>
  </si>
  <si>
    <t>2216-0159</t>
  </si>
  <si>
    <t>2462-8603</t>
  </si>
  <si>
    <t>Praxis Pedagogica</t>
  </si>
  <si>
    <t>Bogata</t>
  </si>
  <si>
    <t>0124-1494</t>
  </si>
  <si>
    <t>2590-8200</t>
  </si>
  <si>
    <t>01-Jan-2000--31-Dec-2002; 01-Jan-2008--31-Dec-2008</t>
  </si>
  <si>
    <t>Prep School</t>
  </si>
  <si>
    <t>0963-8601</t>
  </si>
  <si>
    <t>2049-579X</t>
  </si>
  <si>
    <t>The Presidency</t>
  </si>
  <si>
    <t>1099-3681</t>
  </si>
  <si>
    <t>2163-2294</t>
  </si>
  <si>
    <t>Preventing School Failure</t>
  </si>
  <si>
    <t>1045-988X</t>
  </si>
  <si>
    <t>1940-4387</t>
  </si>
  <si>
    <t>Primary Voices K - 6</t>
  </si>
  <si>
    <t>1068-073X</t>
  </si>
  <si>
    <t>Primus : Problems, Resources, and Issues in Mathematics Undergraduate Studies</t>
  </si>
  <si>
    <t>1051-1970</t>
  </si>
  <si>
    <t>1935-4053</t>
  </si>
  <si>
    <t>Principal Leadership</t>
  </si>
  <si>
    <t>High School ed.</t>
  </si>
  <si>
    <t>1538-9251</t>
  </si>
  <si>
    <t>Middle Level ed.</t>
  </si>
  <si>
    <t>1529-8957</t>
  </si>
  <si>
    <t>2156-2113</t>
  </si>
  <si>
    <t>Print</t>
  </si>
  <si>
    <t>F &amp; W  Publications, Inc.</t>
  </si>
  <si>
    <t>0032-8510</t>
  </si>
  <si>
    <t>Art|Printing</t>
  </si>
  <si>
    <t>Pro-Posições</t>
  </si>
  <si>
    <t>Universidade Estadual de Campinas - Unicamp; Faculdade de Educação - Revista Pró-Posições</t>
  </si>
  <si>
    <t>0103-7307</t>
  </si>
  <si>
    <t>1980-6248</t>
  </si>
  <si>
    <t>Problems of Education in the 21st Century</t>
  </si>
  <si>
    <t>1822-7864</t>
  </si>
  <si>
    <t>2538-7111</t>
  </si>
  <si>
    <t>The Professional Educator</t>
  </si>
  <si>
    <t>Auburn University</t>
  </si>
  <si>
    <t>0196-786X</t>
  </si>
  <si>
    <t>2162-6618</t>
  </si>
  <si>
    <t>Professional School Counseling</t>
  </si>
  <si>
    <t>1096-2409</t>
  </si>
  <si>
    <t>2156-759X</t>
  </si>
  <si>
    <t>Prospects</t>
  </si>
  <si>
    <t>0033-1538</t>
  </si>
  <si>
    <t>1573-9090</t>
  </si>
  <si>
    <t>Psicología Educativa</t>
  </si>
  <si>
    <t>1135-755X</t>
  </si>
  <si>
    <t>2174-0526</t>
  </si>
  <si>
    <t>01-Jan-1998--31-Dec-2014</t>
  </si>
  <si>
    <t>The Psychological Record</t>
  </si>
  <si>
    <t>0033-2933</t>
  </si>
  <si>
    <t>2163-3452</t>
  </si>
  <si>
    <t>01-Jan-2015--31-Aug-2017</t>
  </si>
  <si>
    <t>Psychometrika</t>
  </si>
  <si>
    <t>Williamsburg</t>
  </si>
  <si>
    <t>0033-3123</t>
  </si>
  <si>
    <t>1860-0980</t>
  </si>
  <si>
    <t>01-Jan-2001--31-Dec-2002; 01-Jan-2004--31-Dec-2004</t>
  </si>
  <si>
    <t>Public Administration Review</t>
  </si>
  <si>
    <t>American Society for Public Administration</t>
  </si>
  <si>
    <t>0033-3352</t>
  </si>
  <si>
    <t>1540-6210</t>
  </si>
  <si>
    <t>Public Interest</t>
  </si>
  <si>
    <t>National Affairs, Inc.</t>
  </si>
  <si>
    <t>0033-3557</t>
  </si>
  <si>
    <t>01-Jan-1992--31-Jan-1993</t>
  </si>
  <si>
    <t>Business And Economics|Political Science|Sociology</t>
  </si>
  <si>
    <t>Public Personnel Management</t>
  </si>
  <si>
    <t>0091-0260</t>
  </si>
  <si>
    <t>1945-7421</t>
  </si>
  <si>
    <t>Publicaciones de la Facultad de Educacion y Humanidades del Campus de Melilla</t>
  </si>
  <si>
    <t>Universidad de Granada - Melilla</t>
  </si>
  <si>
    <t>Melilla</t>
  </si>
  <si>
    <t>1577-4147</t>
  </si>
  <si>
    <t>2530-9269</t>
  </si>
  <si>
    <t>The Qualitative Report</t>
  </si>
  <si>
    <t>Fort Lauderdale</t>
  </si>
  <si>
    <t>1052-0147</t>
  </si>
  <si>
    <t>2160-3715</t>
  </si>
  <si>
    <t>Quality Assurance in Education</t>
  </si>
  <si>
    <t>0968-4883</t>
  </si>
  <si>
    <t>1758-7662</t>
  </si>
  <si>
    <t>Quality in Higher Education</t>
  </si>
  <si>
    <t>1353-8322</t>
  </si>
  <si>
    <t>1470-1081</t>
  </si>
  <si>
    <t>Quantum</t>
  </si>
  <si>
    <t>1048-8820</t>
  </si>
  <si>
    <t>Mathematics|Physics</t>
  </si>
  <si>
    <t>The Quarterly Journal of Speech</t>
  </si>
  <si>
    <t>0033-5630</t>
  </si>
  <si>
    <t>1479-5779</t>
  </si>
  <si>
    <t>Quarterly Review of Distance Education</t>
  </si>
  <si>
    <t>1528-3518</t>
  </si>
  <si>
    <t>2169-1266</t>
  </si>
  <si>
    <t>Quest</t>
  </si>
  <si>
    <t>Quest Media</t>
  </si>
  <si>
    <t>1073-6328</t>
  </si>
  <si>
    <t>General Interest Periodicals--United States</t>
  </si>
  <si>
    <t>RE:view</t>
  </si>
  <si>
    <t>Kirkpatrick Jordon Foundation</t>
  </si>
  <si>
    <t>0899-1510</t>
  </si>
  <si>
    <t>1940-4018</t>
  </si>
  <si>
    <t>01-Jan-1999--31-Dec-2001</t>
  </si>
  <si>
    <t>Education|Education--Special Education And Rehabilitation|People With Disabilities--Visually Impaired</t>
  </si>
  <si>
    <t>REMIE Multidisciplinary Journal of Educational Research</t>
  </si>
  <si>
    <t>2014-2862</t>
  </si>
  <si>
    <t>RMLE Online</t>
  </si>
  <si>
    <t>1940-4476</t>
  </si>
  <si>
    <t>Radical Teacher</t>
  </si>
  <si>
    <t>Center for Critical Education of NY</t>
  </si>
  <si>
    <t>Brooklyn</t>
  </si>
  <si>
    <t>0191-4847</t>
  </si>
  <si>
    <t>1941-0832</t>
  </si>
  <si>
    <t>01-Jan-1989--31-Dec-1989</t>
  </si>
  <si>
    <t>ReCALL : the Journal of EUROCALL</t>
  </si>
  <si>
    <t>0958-3440</t>
  </si>
  <si>
    <t>1474-0109</t>
  </si>
  <si>
    <t>Computers--Computer Assisted Instruction|Linguistics--Computer Applications</t>
  </si>
  <si>
    <t>Read</t>
  </si>
  <si>
    <t>0034-0359</t>
  </si>
  <si>
    <t>Reading &amp; Writing</t>
  </si>
  <si>
    <t>AOSIS (Pty) Ltd</t>
  </si>
  <si>
    <t>2079-8245</t>
  </si>
  <si>
    <t>2308-1422</t>
  </si>
  <si>
    <t>Reading &amp; Writing Quarterly</t>
  </si>
  <si>
    <t>1057-3569</t>
  </si>
  <si>
    <t>1521-0693</t>
  </si>
  <si>
    <t>Children And Youth - For|Education--Special Education And Rehabilitation|Linguistics</t>
  </si>
  <si>
    <t>Reading Horizons</t>
  </si>
  <si>
    <t>Western Michigan University</t>
  </si>
  <si>
    <t>Kalamazoo</t>
  </si>
  <si>
    <t>0034-0502</t>
  </si>
  <si>
    <t>Reading Horizons (Online)</t>
  </si>
  <si>
    <t>2642-8857</t>
  </si>
  <si>
    <t>Reading Psychology</t>
  </si>
  <si>
    <t>0270-2711</t>
  </si>
  <si>
    <t>1521-0685</t>
  </si>
  <si>
    <t>Reading Research Quarterly</t>
  </si>
  <si>
    <t>0034-0553</t>
  </si>
  <si>
    <t>1936-2722</t>
  </si>
  <si>
    <t>The Reading Teacher</t>
  </si>
  <si>
    <t>0034-0561</t>
  </si>
  <si>
    <t>1936-2714</t>
  </si>
  <si>
    <t>Reading and Writing</t>
  </si>
  <si>
    <t>0922-4777</t>
  </si>
  <si>
    <t>1573-0905</t>
  </si>
  <si>
    <t>Education|Linguistics|Medical Sciences--Psychiatry And Neurology|Psychology</t>
  </si>
  <si>
    <t>Reading in a Foreign Language</t>
  </si>
  <si>
    <t>University of Hawaii, National Foreign Language Resource Center</t>
  </si>
  <si>
    <t>Honolulu</t>
  </si>
  <si>
    <t>1539-0578</t>
  </si>
  <si>
    <t>Reclaiming Children and Youth</t>
  </si>
  <si>
    <t>Starr Global Learning Network (dba Reclaiming Youth International)</t>
  </si>
  <si>
    <t>1089-5701</t>
  </si>
  <si>
    <t>Recruiting &amp; Retaining Adult Learners</t>
  </si>
  <si>
    <t>2155-644X</t>
  </si>
  <si>
    <t>2155-6458</t>
  </si>
  <si>
    <t>Reference &amp; User Services Quarterly</t>
  </si>
  <si>
    <t>1094-9054</t>
  </si>
  <si>
    <t>2163-5242</t>
  </si>
  <si>
    <t>Bibliographies|Library And Information Sciences</t>
  </si>
  <si>
    <t>Rehabilitation Counseling Bulletin</t>
  </si>
  <si>
    <t>0034-3552</t>
  </si>
  <si>
    <t>1538-4853</t>
  </si>
  <si>
    <t>Education--Special Education And Rehabilitation|Medical Sciences|Psychology|Social Services And Welfare|Sociology</t>
  </si>
  <si>
    <t>Rehabilitation Research, Policy, and Education</t>
  </si>
  <si>
    <t>2168-6653</t>
  </si>
  <si>
    <t>2168-6661</t>
  </si>
  <si>
    <t>Education--Special Education And Rehabilitation|Social Services And Welfare</t>
  </si>
  <si>
    <t>Religious Education</t>
  </si>
  <si>
    <t>Decatur</t>
  </si>
  <si>
    <t>0034-4087</t>
  </si>
  <si>
    <t>1547-3201</t>
  </si>
  <si>
    <t>Remedial and Special Education</t>
  </si>
  <si>
    <t>0741-9325</t>
  </si>
  <si>
    <t>1538-4756</t>
  </si>
  <si>
    <t>Research &amp; Practice in Assessment</t>
  </si>
  <si>
    <t>Lynchburg</t>
  </si>
  <si>
    <t>2161-4210</t>
  </si>
  <si>
    <t>Research &amp; Teaching in Developmental Education</t>
  </si>
  <si>
    <t>New York College Learning Skills Association, Developmental Studies Department</t>
  </si>
  <si>
    <t>Canandaigua</t>
  </si>
  <si>
    <t>1046-3364</t>
  </si>
  <si>
    <t>Research Quarterly for Exercise and Sport</t>
  </si>
  <si>
    <t>0270-1367</t>
  </si>
  <si>
    <t>2168-3824</t>
  </si>
  <si>
    <t>Research Strategies</t>
  </si>
  <si>
    <t>0734-3310</t>
  </si>
  <si>
    <t>1879-0666</t>
  </si>
  <si>
    <t>Research Synthesis Methods</t>
  </si>
  <si>
    <t>1759-2879</t>
  </si>
  <si>
    <t>1759-2887</t>
  </si>
  <si>
    <t>Research in Drama Education</t>
  </si>
  <si>
    <t>1356-9783</t>
  </si>
  <si>
    <t>Education|Theater</t>
  </si>
  <si>
    <t>Research in Education</t>
  </si>
  <si>
    <t>0034-5237</t>
  </si>
  <si>
    <t>2050-4608</t>
  </si>
  <si>
    <t>Research in English Language Pedagogy (RELP)</t>
  </si>
  <si>
    <t>Islamic Azad University, Isfahan (Khorasgan) Branch</t>
  </si>
  <si>
    <t>Isfahan</t>
  </si>
  <si>
    <t>Iran</t>
  </si>
  <si>
    <t>2588-3259</t>
  </si>
  <si>
    <t>2538-4244</t>
  </si>
  <si>
    <t>Research in Higher Education</t>
  </si>
  <si>
    <t>0361-0365</t>
  </si>
  <si>
    <t>1573-188X</t>
  </si>
  <si>
    <t>Research in Learning Technology</t>
  </si>
  <si>
    <t>Association for Learning Technology</t>
  </si>
  <si>
    <t>Jarfalla</t>
  </si>
  <si>
    <t>2156-7069</t>
  </si>
  <si>
    <t>2156-7077</t>
  </si>
  <si>
    <t>Research in Outdoor Education</t>
  </si>
  <si>
    <t>Cornell University Press</t>
  </si>
  <si>
    <t>2375-5830</t>
  </si>
  <si>
    <t>2375-6381</t>
  </si>
  <si>
    <t>Education--Teaching Methods And Curriculum|Leisure And Recreation</t>
  </si>
  <si>
    <t>Research in Post-Compulsory Education</t>
  </si>
  <si>
    <t>1359-6748</t>
  </si>
  <si>
    <t>1747-5112</t>
  </si>
  <si>
    <t>Research in Science &amp; Technological Education</t>
  </si>
  <si>
    <t>0263-5143</t>
  </si>
  <si>
    <t>1470-1138</t>
  </si>
  <si>
    <t>Research in the Schools</t>
  </si>
  <si>
    <t>Jacksonville</t>
  </si>
  <si>
    <t>1085-5300</t>
  </si>
  <si>
    <t>01-Jan-2014--31-Dec-2014; 01-Jan-2020--31-Dec-2020</t>
  </si>
  <si>
    <t>Research in the Teaching of English</t>
  </si>
  <si>
    <t>0034-527X</t>
  </si>
  <si>
    <t>1943-2348</t>
  </si>
  <si>
    <t>Research into Higher Education Abstracts</t>
  </si>
  <si>
    <t>0034-5326</t>
  </si>
  <si>
    <t>1467-5862</t>
  </si>
  <si>
    <t>Research on Child and Adolescent Psychopathology</t>
  </si>
  <si>
    <t>2730-7166</t>
  </si>
  <si>
    <t>2730-7174</t>
  </si>
  <si>
    <t>Children And Youth - About|Education--Special Education And Rehabilitation|Medical Sciences--Physical Medicine And Rehabilitation|Psychology</t>
  </si>
  <si>
    <t>Resonance ; Journal of Science Education</t>
  </si>
  <si>
    <t>0971-8044</t>
  </si>
  <si>
    <t>0973-712X</t>
  </si>
  <si>
    <t>01-Jan-2011--31-Dec-2014</t>
  </si>
  <si>
    <t>Resource Links</t>
  </si>
  <si>
    <t>Pouch Cove</t>
  </si>
  <si>
    <t>1201-7647</t>
  </si>
  <si>
    <t>Review Journal of Autism and Developmental Disorders</t>
  </si>
  <si>
    <t>2195-7177</t>
  </si>
  <si>
    <t>2195-7185</t>
  </si>
  <si>
    <t>Education--Special Education And Rehabilitation|Medical Sciences--Psychiatry And Neurology|Psychology</t>
  </si>
  <si>
    <t>Review of Artistic Education</t>
  </si>
  <si>
    <t>George Enescu University of Arts, Center of Intercultural Studies and Researches</t>
  </si>
  <si>
    <t>Iasi</t>
  </si>
  <si>
    <t>2069-7554</t>
  </si>
  <si>
    <t>2501-238X</t>
  </si>
  <si>
    <t>Review of Education</t>
  </si>
  <si>
    <t>2049-6613</t>
  </si>
  <si>
    <t>Review of Educational Research</t>
  </si>
  <si>
    <t>0034-6543</t>
  </si>
  <si>
    <t>1935-1046</t>
  </si>
  <si>
    <t>Review of Higher Education</t>
  </si>
  <si>
    <t>0162-5748</t>
  </si>
  <si>
    <t>1090-7009</t>
  </si>
  <si>
    <t>Reviews of National Policies for Education</t>
  </si>
  <si>
    <t>1563-4914</t>
  </si>
  <si>
    <t>1990-0198</t>
  </si>
  <si>
    <t>Revija za Elementarno Izobrazevanje</t>
  </si>
  <si>
    <t>Univerza v Mariboru, Faculty of Education/Pedagoska Fakulteta</t>
  </si>
  <si>
    <t>Maribor</t>
  </si>
  <si>
    <t>1855-4431</t>
  </si>
  <si>
    <t>2350-4803</t>
  </si>
  <si>
    <t>English|Slovenian</t>
  </si>
  <si>
    <t>Revista Academia y Virtualidad</t>
  </si>
  <si>
    <t>Universidad Militar Nueva Granada</t>
  </si>
  <si>
    <t>2011-0731</t>
  </si>
  <si>
    <t>Revista Brasileira de Educação do Campo / Brazilian Scientific Journal of Rural Education</t>
  </si>
  <si>
    <t>Universidade Federal do Tocantins (UFT)</t>
  </si>
  <si>
    <t>Tocantinópolis</t>
  </si>
  <si>
    <t>2525-4863</t>
  </si>
  <si>
    <t>Revista Brasileira de História da Educação</t>
  </si>
  <si>
    <t>Sociedade Brasileira de História da Educação - SBHE</t>
  </si>
  <si>
    <t>Curitiba</t>
  </si>
  <si>
    <t>1519-5902</t>
  </si>
  <si>
    <t>2238-0094</t>
  </si>
  <si>
    <t>Revista Complutense de Educación</t>
  </si>
  <si>
    <t>1130-2496</t>
  </si>
  <si>
    <t>1988-2793</t>
  </si>
  <si>
    <t>Revista Educación y Pedagogía</t>
  </si>
  <si>
    <t>Universidad de Antioquía</t>
  </si>
  <si>
    <t>Medellín</t>
  </si>
  <si>
    <t>0121-7593</t>
  </si>
  <si>
    <t>Revista Electrónica Complutense de Investigación en Educación Musical</t>
  </si>
  <si>
    <t>1698-7454</t>
  </si>
  <si>
    <t>Revista Española de Educación Comparada</t>
  </si>
  <si>
    <t>1137-8654</t>
  </si>
  <si>
    <t>2174-5382</t>
  </si>
  <si>
    <t>Revista Fuentes</t>
  </si>
  <si>
    <t>Universidad de Sevilla. Facultad de Ciencias de la Educación</t>
  </si>
  <si>
    <t>1575-7072</t>
  </si>
  <si>
    <t>2172-7775</t>
  </si>
  <si>
    <t>01-Jan-1999--31-Dec-1999; 01-Jan-2003--31-Dec-2003; 01-Jan-2006--31-Dec-2006</t>
  </si>
  <si>
    <t>Revista Ibero-Americana de Estudos em Educação</t>
  </si>
  <si>
    <t>Universidade Estadual Paulista - UNESP Araraquara</t>
  </si>
  <si>
    <t>Araraquara</t>
  </si>
  <si>
    <t>2446-8606</t>
  </si>
  <si>
    <t>1982-5587</t>
  </si>
  <si>
    <t>Revista Iberoamericana de Educación a Distancia</t>
  </si>
  <si>
    <t>1138-2783</t>
  </si>
  <si>
    <t>1390-3306</t>
  </si>
  <si>
    <t>Computers--Computer Assisted Instruction|Education--Adult Education</t>
  </si>
  <si>
    <t>Revista Interamericana de Investigacion, Educacion y Pedagogia</t>
  </si>
  <si>
    <t>Universidad Santo Tomás de Colombia</t>
  </si>
  <si>
    <t>1657-107X</t>
  </si>
  <si>
    <t>2500-5421</t>
  </si>
  <si>
    <t>Revista Internacional de Educación Musical</t>
  </si>
  <si>
    <t>2307-4841</t>
  </si>
  <si>
    <t>Revista Latinoamericana de Ciencias Sociales, Niñez y Juventud</t>
  </si>
  <si>
    <t>Héctor Fabio Ospina Serna</t>
  </si>
  <si>
    <t>Manizales</t>
  </si>
  <si>
    <t>1692-715X</t>
  </si>
  <si>
    <t>2027-7679</t>
  </si>
  <si>
    <t>01-Jan-2013--31-Dec-2014</t>
  </si>
  <si>
    <t>Revista Latinoamericana de Etnomatemática</t>
  </si>
  <si>
    <t>Red Latinoamericana de Etnomatematica y Universidad de Nariño</t>
  </si>
  <si>
    <t>San Juan de Pasto</t>
  </si>
  <si>
    <t>2011-5474</t>
  </si>
  <si>
    <t>Revista Lusófona de Educação</t>
  </si>
  <si>
    <t>Universidade Lusófona de Humanidades e Tecnologias, Instituto de Ciências da Educação (ICE)</t>
  </si>
  <si>
    <t>Lisbon</t>
  </si>
  <si>
    <t>1645-7250</t>
  </si>
  <si>
    <t>1646-401X</t>
  </si>
  <si>
    <t>Revista Mexicana de Investigación Educativa</t>
  </si>
  <si>
    <t>Consejo Mexicanao de Investigacion Educativa</t>
  </si>
  <si>
    <t>Mexico City</t>
  </si>
  <si>
    <t>1405-6666</t>
  </si>
  <si>
    <t>Revista Orbis</t>
  </si>
  <si>
    <t>1856-1594</t>
  </si>
  <si>
    <t>Revista Q</t>
  </si>
  <si>
    <t>Universidad Pontificia Bolivariana</t>
  </si>
  <si>
    <t>1909-2814</t>
  </si>
  <si>
    <t>Revista d'Innovació i Recerca en Educació</t>
  </si>
  <si>
    <t>Revista d'Innovació I Recerca en Educació</t>
  </si>
  <si>
    <t>2013-2255</t>
  </si>
  <si>
    <t>Revista da FAEEBA</t>
  </si>
  <si>
    <t>Universidade do Estado da Bahia - UNEB Departamento de Educação</t>
  </si>
  <si>
    <t>Brumado</t>
  </si>
  <si>
    <t>0104-7043</t>
  </si>
  <si>
    <t>2358-0194</t>
  </si>
  <si>
    <t>Revista de Educacion y Derecho</t>
  </si>
  <si>
    <t>Universitat de Barcelona, Facultat de Dret</t>
  </si>
  <si>
    <t>2013-584X</t>
  </si>
  <si>
    <t>2386-4885</t>
  </si>
  <si>
    <t>01-Jan-2017--31-Dec-2017; 01-Jan-2019--31-Dec-2019</t>
  </si>
  <si>
    <t>Law</t>
  </si>
  <si>
    <t>Revista de Educación y Desarrollo Social</t>
  </si>
  <si>
    <t>2011-5318</t>
  </si>
  <si>
    <t>2462-8654</t>
  </si>
  <si>
    <t>Revue des Sciences de l'Education</t>
  </si>
  <si>
    <t>Association Canadienne - Française Pour l'Advancement des Sciences</t>
  </si>
  <si>
    <t>0318-479X</t>
  </si>
  <si>
    <t>01-Jan-2002--31-Dec-2002; 01-Jan-2007--31-Dec-2007</t>
  </si>
  <si>
    <t>French</t>
  </si>
  <si>
    <t>Rivista Italiana di Educazione Familiare</t>
  </si>
  <si>
    <t>Florence</t>
  </si>
  <si>
    <t>1973-638X</t>
  </si>
  <si>
    <t>2037-1861</t>
  </si>
  <si>
    <t>Roeper Review</t>
  </si>
  <si>
    <t>Bloomfield Hills</t>
  </si>
  <si>
    <t>0278-3193</t>
  </si>
  <si>
    <t>1940-865X</t>
  </si>
  <si>
    <t>The Rural Educator</t>
  </si>
  <si>
    <t>National Rural Education Association</t>
  </si>
  <si>
    <t>0273-446X</t>
  </si>
  <si>
    <t>2643-9662</t>
  </si>
  <si>
    <t>Rural Society</t>
  </si>
  <si>
    <t>1037-1656</t>
  </si>
  <si>
    <t>2204-0536</t>
  </si>
  <si>
    <t>Environmental Studies|Public Administration|Sociology</t>
  </si>
  <si>
    <t>Rural Sociology</t>
  </si>
  <si>
    <t>0036-0112</t>
  </si>
  <si>
    <t>1549-0831</t>
  </si>
  <si>
    <t>Agriculture|Sociology</t>
  </si>
  <si>
    <t>Rural Special Education Quarterly</t>
  </si>
  <si>
    <t>Morgantown</t>
  </si>
  <si>
    <t>8756-8705</t>
  </si>
  <si>
    <t>2168-8605</t>
  </si>
  <si>
    <t>SIECUS Report</t>
  </si>
  <si>
    <t>Sex Information and Education Council of the U.S.</t>
  </si>
  <si>
    <t>0091-3995</t>
  </si>
  <si>
    <t>SRA Journal</t>
  </si>
  <si>
    <t>1062-8142</t>
  </si>
  <si>
    <t>2573-7112</t>
  </si>
  <si>
    <t>Scandinavian Journal of Educational Research</t>
  </si>
  <si>
    <t>0031-3831</t>
  </si>
  <si>
    <t>1470-1170</t>
  </si>
  <si>
    <t>Scholarship and Practice of Undergraduate Research</t>
  </si>
  <si>
    <t>Council on Undergraduate Research</t>
  </si>
  <si>
    <t>2476-101X</t>
  </si>
  <si>
    <t>Scholastic Action</t>
  </si>
  <si>
    <t>0163-3570</t>
  </si>
  <si>
    <t>1930-5699</t>
  </si>
  <si>
    <t>Scholastic Administr@tor</t>
  </si>
  <si>
    <t>1538-5191</t>
  </si>
  <si>
    <t>Scholastic Art</t>
  </si>
  <si>
    <t>1060-832X</t>
  </si>
  <si>
    <t>1930-5656</t>
  </si>
  <si>
    <t>Art|Education|Humanities: Comprehensive Works</t>
  </si>
  <si>
    <t>Scholastic Choices</t>
  </si>
  <si>
    <t>0883-475X</t>
  </si>
  <si>
    <t>1930-5664</t>
  </si>
  <si>
    <t>Children And Youth - For|Education--Teaching Methods And Curriculum|Home Economics</t>
  </si>
  <si>
    <t>Scholastic DynaMath</t>
  </si>
  <si>
    <t>0732-7773</t>
  </si>
  <si>
    <t>Children And Youth - For|Mathematics</t>
  </si>
  <si>
    <t>Scholastic Early Childhood Today</t>
  </si>
  <si>
    <t>1070-1214</t>
  </si>
  <si>
    <t>2168-2283</t>
  </si>
  <si>
    <t>Scholastic Math Magazine</t>
  </si>
  <si>
    <t>0198-8379</t>
  </si>
  <si>
    <t>Children And Youth - For|Education|Mathematics</t>
  </si>
  <si>
    <t>Scholastic News</t>
  </si>
  <si>
    <t>Ed. 2</t>
  </si>
  <si>
    <t>Ed. 4</t>
  </si>
  <si>
    <t>Ed. 1</t>
  </si>
  <si>
    <t>Ed. 3</t>
  </si>
  <si>
    <t>Edition 5/6</t>
  </si>
  <si>
    <t>1554-2440</t>
  </si>
  <si>
    <t>Scholastic Parent &amp; Child</t>
  </si>
  <si>
    <t>1070-0552</t>
  </si>
  <si>
    <t>2168-2240</t>
  </si>
  <si>
    <t>Scholastic Scope</t>
  </si>
  <si>
    <t>0036-6412</t>
  </si>
  <si>
    <t>1930-5680</t>
  </si>
  <si>
    <t>Scholastic Teacher</t>
  </si>
  <si>
    <t>2380-8659</t>
  </si>
  <si>
    <t>Schole</t>
  </si>
  <si>
    <t>Ashburn</t>
  </si>
  <si>
    <t>1937-156X</t>
  </si>
  <si>
    <t>1041-7052</t>
  </si>
  <si>
    <t>Education|Leisure And Recreation|Sports And Games--Outdoor Life</t>
  </si>
  <si>
    <t>School Administrator</t>
  </si>
  <si>
    <t>American Association of School Administrators</t>
  </si>
  <si>
    <t>0036-6439</t>
  </si>
  <si>
    <t>School Administrators</t>
  </si>
  <si>
    <t>School Administrators Research Association, R.O.C.</t>
  </si>
  <si>
    <t>1606-8300</t>
  </si>
  <si>
    <t>School Arts</t>
  </si>
  <si>
    <t>Davis Publications, Incorporated</t>
  </si>
  <si>
    <t>Needham</t>
  </si>
  <si>
    <t>0036-6463</t>
  </si>
  <si>
    <t>School Community Journal</t>
  </si>
  <si>
    <t>Academic Development Institute</t>
  </si>
  <si>
    <t>1059-308X</t>
  </si>
  <si>
    <t>The School Counselor</t>
  </si>
  <si>
    <t>0036-6536</t>
  </si>
  <si>
    <t>Children And Youth - About|Education|Occupations And Careers|Psychology</t>
  </si>
  <si>
    <t>School Effectiveness and School Improvement</t>
  </si>
  <si>
    <t>0924-3453</t>
  </si>
  <si>
    <t>1744-5124</t>
  </si>
  <si>
    <t>School Executive</t>
  </si>
  <si>
    <t>1058-6431</t>
  </si>
  <si>
    <t>School Law News</t>
  </si>
  <si>
    <t>0194-2271</t>
  </si>
  <si>
    <t>03-May-2004--31-Dec-2005</t>
  </si>
  <si>
    <t>School Leadership &amp; Management</t>
  </si>
  <si>
    <t>1363-2434</t>
  </si>
  <si>
    <t>1364-2626</t>
  </si>
  <si>
    <t>School Librarian's Workshop</t>
  </si>
  <si>
    <t>Weisburg Associates, LLC</t>
  </si>
  <si>
    <t>Berkeley Heights</t>
  </si>
  <si>
    <t>0271-3667</t>
  </si>
  <si>
    <t>School Libraries Worldwide</t>
  </si>
  <si>
    <t>1023-9391</t>
  </si>
  <si>
    <t>School Libraries in Canada</t>
  </si>
  <si>
    <t>Canadian School Libraries</t>
  </si>
  <si>
    <t>Ontario</t>
  </si>
  <si>
    <t>0227-3780</t>
  </si>
  <si>
    <t>School Library Journal</t>
  </si>
  <si>
    <t>0362-8930</t>
  </si>
  <si>
    <t>Education|Library And Information Sciences|Publishing And Book Trade</t>
  </si>
  <si>
    <t>School Library Monthly</t>
  </si>
  <si>
    <t>Libraries Unlimited, Inc.</t>
  </si>
  <si>
    <t>Santa Barbara</t>
  </si>
  <si>
    <t>0889-9371</t>
  </si>
  <si>
    <t>School Library Research</t>
  </si>
  <si>
    <t>2165-1019</t>
  </si>
  <si>
    <t>School Planning &amp; Management</t>
  </si>
  <si>
    <t>1105 Media, Inc.</t>
  </si>
  <si>
    <t>Chatsworth</t>
  </si>
  <si>
    <t>1086-4628</t>
  </si>
  <si>
    <t>School Psychology</t>
  </si>
  <si>
    <t>2578-4218</t>
  </si>
  <si>
    <t>2578-4226</t>
  </si>
  <si>
    <t>School Psychology Forum, Research in Practice</t>
  </si>
  <si>
    <t>1938-2243</t>
  </si>
  <si>
    <t>School Psychology International</t>
  </si>
  <si>
    <t>0143-0343</t>
  </si>
  <si>
    <t>1461-7374</t>
  </si>
  <si>
    <t>School Psychology Review</t>
  </si>
  <si>
    <t>0279-6015</t>
  </si>
  <si>
    <t>2372-966X</t>
  </si>
  <si>
    <t>School Science and Mathematics</t>
  </si>
  <si>
    <t>0036-6803</t>
  </si>
  <si>
    <t>1949-8594</t>
  </si>
  <si>
    <t>School Talk</t>
  </si>
  <si>
    <t>1083-2939</t>
  </si>
  <si>
    <t>1943-3077</t>
  </si>
  <si>
    <t>School-University Partnerships</t>
  </si>
  <si>
    <t>1935-7125</t>
  </si>
  <si>
    <t>Schooldays</t>
  </si>
  <si>
    <t>Frank Schaffer Publications, Inc.</t>
  </si>
  <si>
    <t>1529-160X</t>
  </si>
  <si>
    <t>Schools in the Middle</t>
  </si>
  <si>
    <t>0276-4482</t>
  </si>
  <si>
    <t>Science</t>
  </si>
  <si>
    <t>The American Association for the Advancement of Science</t>
  </si>
  <si>
    <t>0036-8075</t>
  </si>
  <si>
    <t>1095-9203</t>
  </si>
  <si>
    <t>Science Activities</t>
  </si>
  <si>
    <t>0036-8121</t>
  </si>
  <si>
    <t>1940-1302</t>
  </si>
  <si>
    <t>Science Education</t>
  </si>
  <si>
    <t>0036-8326</t>
  </si>
  <si>
    <t>1098-237X</t>
  </si>
  <si>
    <t>Science Educator</t>
  </si>
  <si>
    <t>National Science Education Leadership Association</t>
  </si>
  <si>
    <t>Johnson City</t>
  </si>
  <si>
    <t>1094-3277</t>
  </si>
  <si>
    <t>Science News</t>
  </si>
  <si>
    <t>Society for Science &amp; the Public</t>
  </si>
  <si>
    <t>0036-8423</t>
  </si>
  <si>
    <t>1943-0930</t>
  </si>
  <si>
    <t>Science Scope</t>
  </si>
  <si>
    <t>0887-2376</t>
  </si>
  <si>
    <t>1943-4901</t>
  </si>
  <si>
    <t>The Science Teacher</t>
  </si>
  <si>
    <t>0036-8555</t>
  </si>
  <si>
    <t>1943-4871</t>
  </si>
  <si>
    <t>01-Jan-1997--31-Aug-2017</t>
  </si>
  <si>
    <t>Science World</t>
  </si>
  <si>
    <t>1041-1410</t>
  </si>
  <si>
    <t>22-Mar-1995--31-Dec-1996</t>
  </si>
  <si>
    <t>Children And Youth - For|Sciences: Comprehensive Works</t>
  </si>
  <si>
    <t>Science and Children</t>
  </si>
  <si>
    <t>0036-8148</t>
  </si>
  <si>
    <t>1943-4812</t>
  </si>
  <si>
    <t>ScienceSpin 2-3</t>
  </si>
  <si>
    <t>ScienceSpin 4-6</t>
  </si>
  <si>
    <t>Scientific American</t>
  </si>
  <si>
    <t>Scientific American, Incorporated</t>
  </si>
  <si>
    <t>0036-8733</t>
  </si>
  <si>
    <t>1946-7087</t>
  </si>
  <si>
    <t>01-Jan-1976--31-Dec-1985</t>
  </si>
  <si>
    <t>Sciences: Comprehensive Works|Social Sciences: Comprehensive Works</t>
  </si>
  <si>
    <t>Scientific Studies of Reading</t>
  </si>
  <si>
    <t>1088-8438</t>
  </si>
  <si>
    <t>1532-799X</t>
  </si>
  <si>
    <t>Scout Life</t>
  </si>
  <si>
    <t>Boy Scouts of America</t>
  </si>
  <si>
    <t>Irving</t>
  </si>
  <si>
    <t>2639-3727</t>
  </si>
  <si>
    <t>Children And Youth - For|Clubs|Hobbies|Literature</t>
  </si>
  <si>
    <t>Searcher</t>
  </si>
  <si>
    <t>1070-4795</t>
  </si>
  <si>
    <t>Computers|Computers--Computer Networks|Computers--Data Base Management|Computers--Information Science And Information Theory</t>
  </si>
  <si>
    <t>Second Language Research</t>
  </si>
  <si>
    <t>0267-6583</t>
  </si>
  <si>
    <t>1477-0326</t>
  </si>
  <si>
    <t>Serials Review</t>
  </si>
  <si>
    <t>0098-7913</t>
  </si>
  <si>
    <t>1879-095X</t>
  </si>
  <si>
    <t>01-Jan-1999--31-Dec-2017</t>
  </si>
  <si>
    <t>Sex Education</t>
  </si>
  <si>
    <t>1468-1811</t>
  </si>
  <si>
    <t>1472-0825</t>
  </si>
  <si>
    <t>Children And Youth - About|Education|Medical Sciences--Communicable Diseases</t>
  </si>
  <si>
    <t>Sex Roles</t>
  </si>
  <si>
    <t>0360-0025</t>
  </si>
  <si>
    <t>1573-2762</t>
  </si>
  <si>
    <t>Sign Language Studies</t>
  </si>
  <si>
    <t>0302-1475</t>
  </si>
  <si>
    <t>1533-6263</t>
  </si>
  <si>
    <t>Anthropology|Linguistics</t>
  </si>
  <si>
    <t>Signs</t>
  </si>
  <si>
    <t>0097-9740</t>
  </si>
  <si>
    <t>1545-6943</t>
  </si>
  <si>
    <t>Women's Studies</t>
  </si>
  <si>
    <t>Signum Temporis</t>
  </si>
  <si>
    <t>Riga</t>
  </si>
  <si>
    <t>1691-4929</t>
  </si>
  <si>
    <t>2199-5931</t>
  </si>
  <si>
    <t>Simulation &amp; Gaming</t>
  </si>
  <si>
    <t>1046-8781</t>
  </si>
  <si>
    <t>1552-826X</t>
  </si>
  <si>
    <t>Business And Economics--Computer Applications|Computers--Computer Simulation|Psychology|Sociology</t>
  </si>
  <si>
    <t>Skeptic</t>
  </si>
  <si>
    <t>Millennium Press, Inc.</t>
  </si>
  <si>
    <t>Altadena</t>
  </si>
  <si>
    <t>1063-9330</t>
  </si>
  <si>
    <t>2168-3360</t>
  </si>
  <si>
    <t>New Age Publications|Parapsychology And Occultism</t>
  </si>
  <si>
    <t>Smart Learning Environments</t>
  </si>
  <si>
    <t>2196-7091</t>
  </si>
  <si>
    <t>Social Education</t>
  </si>
  <si>
    <t>National Council for the Social Studies</t>
  </si>
  <si>
    <t>0037-7724</t>
  </si>
  <si>
    <t>1930-3653</t>
  </si>
  <si>
    <t>Social Entrepreneurship Teaching Resources Handbook</t>
  </si>
  <si>
    <t>Debbi D. Brock</t>
  </si>
  <si>
    <t>Berea</t>
  </si>
  <si>
    <t>01-Jan-2009--31-Dec-2010</t>
  </si>
  <si>
    <t>Social Forces</t>
  </si>
  <si>
    <t>0037-7732</t>
  </si>
  <si>
    <t>1534-7605</t>
  </si>
  <si>
    <t>Social Indicators Research</t>
  </si>
  <si>
    <t>0303-8300</t>
  </si>
  <si>
    <t>1573-0921</t>
  </si>
  <si>
    <t>Sociology|Sociology--Abstracting, Bibliographies, Statistics|Statistics</t>
  </si>
  <si>
    <t>Social Policy</t>
  </si>
  <si>
    <t>Labor Neighbor Research and Training Center</t>
  </si>
  <si>
    <t>0037-7783</t>
  </si>
  <si>
    <t>1944-9216</t>
  </si>
  <si>
    <t>Labor Unions|Social Sciences: Comprehensive Works|Social Services And Welfare|Sociology</t>
  </si>
  <si>
    <t>Social Psychology Quarterly</t>
  </si>
  <si>
    <t>0190-2725</t>
  </si>
  <si>
    <t>1939-8999</t>
  </si>
  <si>
    <t>Social Psychology of Education : An International Journal</t>
  </si>
  <si>
    <t>1381-2890</t>
  </si>
  <si>
    <t>1573-1928</t>
  </si>
  <si>
    <t>Social Science Quarterly</t>
  </si>
  <si>
    <t>University of Texas at Austin (University of Texas Press)</t>
  </si>
  <si>
    <t>0038-4941</t>
  </si>
  <si>
    <t>1540-6237</t>
  </si>
  <si>
    <t>Social Studies Research and Practice</t>
  </si>
  <si>
    <t>1933-5415</t>
  </si>
  <si>
    <t>Social Studies Review</t>
  </si>
  <si>
    <t>California Council for the Social Studies</t>
  </si>
  <si>
    <t>Palmdale</t>
  </si>
  <si>
    <t>1056-6325</t>
  </si>
  <si>
    <t>The Social Studies Teacher's Book of Lists</t>
  </si>
  <si>
    <t>2nd ed.</t>
  </si>
  <si>
    <t>9780787965907</t>
  </si>
  <si>
    <t>The Social Studies</t>
  </si>
  <si>
    <t>0037-7996</t>
  </si>
  <si>
    <t>2152-405X</t>
  </si>
  <si>
    <t>Education|History|Multi-Ethnic|Social Sciences: Comprehensive Works|Sociology</t>
  </si>
  <si>
    <t>Social Work</t>
  </si>
  <si>
    <t>0037-8046</t>
  </si>
  <si>
    <t>1545-6846</t>
  </si>
  <si>
    <t>Social Work Research</t>
  </si>
  <si>
    <t>1070-5309</t>
  </si>
  <si>
    <t>1545-6838</t>
  </si>
  <si>
    <t>Abstracting And Indexing Services|Social Services And Welfare|Sociology</t>
  </si>
  <si>
    <t>Socialni Pedagogika</t>
  </si>
  <si>
    <t>Tomas Bata University in Zlín, Faculty of Humanities</t>
  </si>
  <si>
    <t>Zlin</t>
  </si>
  <si>
    <t>1805-8825</t>
  </si>
  <si>
    <t>Czech|Slovak</t>
  </si>
  <si>
    <t>Society</t>
  </si>
  <si>
    <t>0147-2011</t>
  </si>
  <si>
    <t>1936-4725</t>
  </si>
  <si>
    <t>01-Jan-2002--31-Dec-2006</t>
  </si>
  <si>
    <t>Social Sciences: Comprehensive Works|Sociology</t>
  </si>
  <si>
    <t>Sociology of Education</t>
  </si>
  <si>
    <t>Albany</t>
  </si>
  <si>
    <t>0038-0407</t>
  </si>
  <si>
    <t>1939-8573</t>
  </si>
  <si>
    <t>Education|Psychology|Social Sciences: Comprehensive Works|Sociology</t>
  </si>
  <si>
    <t>Sociology of Education Abstracts</t>
  </si>
  <si>
    <t>0038-0415</t>
  </si>
  <si>
    <t>1467-5870</t>
  </si>
  <si>
    <t>Abstracting And Indexing Services|Education--Abstracting, Bibliographies, Statistics|Sociology--Abstracting, Bibliographies, Statistics</t>
  </si>
  <si>
    <t>Sodobna Pedagogika</t>
  </si>
  <si>
    <t>The Slovenian Association of Eduationalists</t>
  </si>
  <si>
    <t>0038-0474</t>
  </si>
  <si>
    <t>Slovenian</t>
  </si>
  <si>
    <t>Solsko Polje</t>
  </si>
  <si>
    <t>Slovensko Drustvo Raziskovalcev Solskega Polja</t>
  </si>
  <si>
    <t>1581-6036</t>
  </si>
  <si>
    <t>1581-6044</t>
  </si>
  <si>
    <t>South African Journal of Childhood Education (SAJCE)</t>
  </si>
  <si>
    <t>Johannesburg</t>
  </si>
  <si>
    <t>2223-7674</t>
  </si>
  <si>
    <t>2223-7682</t>
  </si>
  <si>
    <t>Special Education Report</t>
  </si>
  <si>
    <t>1553-4294</t>
  </si>
  <si>
    <t>Special Educational Needs Abstracts</t>
  </si>
  <si>
    <t>0954-0822</t>
  </si>
  <si>
    <t>1467-5889</t>
  </si>
  <si>
    <t>Specialna in Rehabilitacijska Pedagogika</t>
  </si>
  <si>
    <t>CenterKontura d.o.o. (druzba za svetovanje, socialni razvoj, usposabljanje in zaloznistvo)</t>
  </si>
  <si>
    <t>2386-0235</t>
  </si>
  <si>
    <t>Sport, Education and Society</t>
  </si>
  <si>
    <t>1357-3322</t>
  </si>
  <si>
    <t>1470-1243</t>
  </si>
  <si>
    <t>Education|Physical Fitness And Hygiene|Sports And Games</t>
  </si>
  <si>
    <t>Starting Strong</t>
  </si>
  <si>
    <t>2521-6031</t>
  </si>
  <si>
    <t>01-Jan-2002--31-Dec-2005; 01-Jan-2007--31-Dec-2010; 01-Jan-2012--31-Dec-2014; 01-Jan-2019--31-Dec-2020; 01-Jan-2022--31-Dec-2022</t>
  </si>
  <si>
    <t>01-Jan-2002--31-Dec-2005; 01-Jan-2007--31-Dec-2010; 01-Jan-2012--31-Dec-2014; 01-Jan-2016--31-Dec-2016; 01-Jan-2019--31-Dec-2020; 01-Jan-2022--31-Dec-2022</t>
  </si>
  <si>
    <t>Storyworks</t>
  </si>
  <si>
    <t>1068-0292</t>
  </si>
  <si>
    <t>Strategic Enrollment Management Quarterly</t>
  </si>
  <si>
    <t>2325-4750</t>
  </si>
  <si>
    <t>Strategies</t>
  </si>
  <si>
    <t>0892-4562</t>
  </si>
  <si>
    <t>2168-3778</t>
  </si>
  <si>
    <t>Medical Sciences|Medical Sciences--Sports Medicine</t>
  </si>
  <si>
    <t>Student Affairs Today</t>
  </si>
  <si>
    <t>1098-5166</t>
  </si>
  <si>
    <t>1943-7552</t>
  </si>
  <si>
    <t>Student Aid News</t>
  </si>
  <si>
    <t>0194-2212</t>
  </si>
  <si>
    <t>1943-751X</t>
  </si>
  <si>
    <t>Student Success</t>
  </si>
  <si>
    <t>Queensland University of Technology</t>
  </si>
  <si>
    <t>Brisbane</t>
  </si>
  <si>
    <t>2205-0795</t>
  </si>
  <si>
    <t>Studi sulla Formazione</t>
  </si>
  <si>
    <t>1127-1124</t>
  </si>
  <si>
    <t>2036-6981</t>
  </si>
  <si>
    <t>Italian</t>
  </si>
  <si>
    <t>Studia Paedagogica</t>
  </si>
  <si>
    <t>Masarykova Univerzita Filozofická Fakulta</t>
  </si>
  <si>
    <t>1803-7437</t>
  </si>
  <si>
    <t>2336-4521</t>
  </si>
  <si>
    <t>Studies for the Learning Society</t>
  </si>
  <si>
    <t>Tallinn</t>
  </si>
  <si>
    <t>1736-7085</t>
  </si>
  <si>
    <t>1736-7107</t>
  </si>
  <si>
    <t>Studies in American Indian Literatures</t>
  </si>
  <si>
    <t>0730-3238</t>
  </si>
  <si>
    <t>1548-9590</t>
  </si>
  <si>
    <t>Studies in Art Education</t>
  </si>
  <si>
    <t>0039-3541</t>
  </si>
  <si>
    <t>2325-8039</t>
  </si>
  <si>
    <t>Art|People With Disabilities--Hearing Impaired</t>
  </si>
  <si>
    <t>Studies in Continuing Education</t>
  </si>
  <si>
    <t>0158-037X</t>
  </si>
  <si>
    <t>1470-126X</t>
  </si>
  <si>
    <t>Studies in Graduate and Postdoctoral Education</t>
  </si>
  <si>
    <t>2398-4686</t>
  </si>
  <si>
    <t>2398-4694</t>
  </si>
  <si>
    <t>Studies in Higher Education</t>
  </si>
  <si>
    <t>0307-5079</t>
  </si>
  <si>
    <t>1470-174X</t>
  </si>
  <si>
    <t>Studies in Philosophy and Education</t>
  </si>
  <si>
    <t>0039-3746</t>
  </si>
  <si>
    <t>1573-191X</t>
  </si>
  <si>
    <t>Studies in Science Education</t>
  </si>
  <si>
    <t>0305-7267</t>
  </si>
  <si>
    <t>1940-8412</t>
  </si>
  <si>
    <t>Studies in Second Language Acquisition</t>
  </si>
  <si>
    <t>0272-2631</t>
  </si>
  <si>
    <t>1470-1545</t>
  </si>
  <si>
    <t>Studies in Second Language Learning and Teaching</t>
  </si>
  <si>
    <t>Adam Mickiewicz University Faculty of Pedagogy and Fine Arts</t>
  </si>
  <si>
    <t>Kalisz</t>
  </si>
  <si>
    <t>2084-1965</t>
  </si>
  <si>
    <t>Studying Teacher Education</t>
  </si>
  <si>
    <t>1742-5964</t>
  </si>
  <si>
    <t>1742-5972</t>
  </si>
  <si>
    <t>Success</t>
  </si>
  <si>
    <t>Success Holding Company, LLC</t>
  </si>
  <si>
    <t>0745-2489</t>
  </si>
  <si>
    <t>Suicide &amp; Life - Threatening Behavior</t>
  </si>
  <si>
    <t>0363-0234</t>
  </si>
  <si>
    <t>1943-278X</t>
  </si>
  <si>
    <t>Super Science</t>
  </si>
  <si>
    <t>Support for Learning</t>
  </si>
  <si>
    <t>0268-2141</t>
  </si>
  <si>
    <t>1467-9604</t>
  </si>
  <si>
    <t>T.H.E. Journal</t>
  </si>
  <si>
    <t>Tustin</t>
  </si>
  <si>
    <t>0192-592X</t>
  </si>
  <si>
    <t>2169-2319</t>
  </si>
  <si>
    <t>TALIS</t>
  </si>
  <si>
    <t>2312-9638</t>
  </si>
  <si>
    <t>01-Jan-2011--31-Dec-2011; 01-Jan-2013--31-Dec-2013; 01-Jan-2015--31-Dec-2015; 01-Jan-2017--31-Dec-2018</t>
  </si>
  <si>
    <t>TEFLIN Journal</t>
  </si>
  <si>
    <t>State University of Malang, English Department, Faculty of Letters</t>
  </si>
  <si>
    <t>Malang</t>
  </si>
  <si>
    <t>0215-773X</t>
  </si>
  <si>
    <t>2356-2641</t>
  </si>
  <si>
    <t>TESOL Quarterly</t>
  </si>
  <si>
    <t>0039-8322</t>
  </si>
  <si>
    <t>1545-7249</t>
  </si>
  <si>
    <t>01-Jan-2012--31-Dec-2013</t>
  </si>
  <si>
    <t>TOJET : The Turkish Online Journal of Educational Technology</t>
  </si>
  <si>
    <t>Adapazari</t>
  </si>
  <si>
    <t>1303-6521</t>
  </si>
  <si>
    <t>Taboo</t>
  </si>
  <si>
    <t>1080-5400</t>
  </si>
  <si>
    <t>2164-7399</t>
  </si>
  <si>
    <t>Tag-Educa News Agency</t>
  </si>
  <si>
    <t>SyndiGate Media Inc</t>
  </si>
  <si>
    <t>Amman</t>
  </si>
  <si>
    <t>Wire Feeds</t>
  </si>
  <si>
    <t>Arabic</t>
  </si>
  <si>
    <t>General Interest Periodicals--Jordan</t>
  </si>
  <si>
    <t>Taiwan Journal of Sociology of Education</t>
  </si>
  <si>
    <t>Taiwan Association for the Sociology of Education</t>
  </si>
  <si>
    <t>1680-2004</t>
  </si>
  <si>
    <t>Talent</t>
  </si>
  <si>
    <t>Turkish Journal of Giftedness and Education</t>
  </si>
  <si>
    <t>Eskisehir</t>
  </si>
  <si>
    <t>2717-7122</t>
  </si>
  <si>
    <t>Talent Development</t>
  </si>
  <si>
    <t>Association for Talent Development</t>
  </si>
  <si>
    <t>2374-0663</t>
  </si>
  <si>
    <t>2374-0671</t>
  </si>
  <si>
    <t>Business And Economics--Labor And Industrial Relations|Business And Economics--Management|Education</t>
  </si>
  <si>
    <t>Talking Points</t>
  </si>
  <si>
    <t>1522-6115</t>
  </si>
  <si>
    <t>1943-3085</t>
  </si>
  <si>
    <t>The Taproot</t>
  </si>
  <si>
    <t>1065-5204</t>
  </si>
  <si>
    <t>2168-8958</t>
  </si>
  <si>
    <t>Teach</t>
  </si>
  <si>
    <t>1454119 Ontario Ltd. DBA Teach Magazine</t>
  </si>
  <si>
    <t>1198-7707</t>
  </si>
  <si>
    <t>Teacher Development</t>
  </si>
  <si>
    <t>1366-4530</t>
  </si>
  <si>
    <t>1747-5120</t>
  </si>
  <si>
    <t>Teacher Education Quarterly</t>
  </si>
  <si>
    <t>0737-5328</t>
  </si>
  <si>
    <t>The Teacher Educator</t>
  </si>
  <si>
    <t>0887-8730</t>
  </si>
  <si>
    <t>1938-8101</t>
  </si>
  <si>
    <t>Teacher Librarian</t>
  </si>
  <si>
    <t>E L Kurdyla Publishing LLC</t>
  </si>
  <si>
    <t>1481-1782</t>
  </si>
  <si>
    <t>Teacher Magazine</t>
  </si>
  <si>
    <t>1046-6193</t>
  </si>
  <si>
    <t>Teacherrogers [BLOG]</t>
  </si>
  <si>
    <t>Teachers College Record</t>
  </si>
  <si>
    <t>Teachers College, Columbia University</t>
  </si>
  <si>
    <t>0161-4681</t>
  </si>
  <si>
    <t>1467-9620</t>
  </si>
  <si>
    <t>Teachers and Teaching : Theory and Practice</t>
  </si>
  <si>
    <t>1354-0602</t>
  </si>
  <si>
    <t>1470-1278</t>
  </si>
  <si>
    <t>Teachers, Profs, Parents: Writers Who Care [BLOG]</t>
  </si>
  <si>
    <t>Teaching &amp; Learning Inquiry</t>
  </si>
  <si>
    <t>International Society for the Scholarship of Teaching and Learning (ISSOTL)</t>
  </si>
  <si>
    <t>2167-4779</t>
  </si>
  <si>
    <t>2167-4787</t>
  </si>
  <si>
    <t>The Teaching Artist Journal</t>
  </si>
  <si>
    <t>1541-1796</t>
  </si>
  <si>
    <t>1541-180X</t>
  </si>
  <si>
    <t>Teaching Business &amp; Economics</t>
  </si>
  <si>
    <t>Economics, Business and Enterprise Association</t>
  </si>
  <si>
    <t>Hassocks</t>
  </si>
  <si>
    <t>1367-3289</t>
  </si>
  <si>
    <t>2044-043X</t>
  </si>
  <si>
    <t>Teaching Children Mathematics</t>
  </si>
  <si>
    <t>1073-5836</t>
  </si>
  <si>
    <t>2327-0780</t>
  </si>
  <si>
    <t>Teaching Education</t>
  </si>
  <si>
    <t>1047-6210</t>
  </si>
  <si>
    <t>1470-1286</t>
  </si>
  <si>
    <t>Teaching English in the Two Year College</t>
  </si>
  <si>
    <t>0098-6291</t>
  </si>
  <si>
    <t>1943-2356</t>
  </si>
  <si>
    <t>Teaching Exceptional Children</t>
  </si>
  <si>
    <t>0040-0599</t>
  </si>
  <si>
    <t>2163-5684</t>
  </si>
  <si>
    <t>Teaching History</t>
  </si>
  <si>
    <t>The Historical Association</t>
  </si>
  <si>
    <t>0040-0610</t>
  </si>
  <si>
    <t>2398-1571</t>
  </si>
  <si>
    <t>Teaching In Higher Education</t>
  </si>
  <si>
    <t>1356-2517</t>
  </si>
  <si>
    <t>1470-1294</t>
  </si>
  <si>
    <t>Teaching Journalism &amp; Mass Communication</t>
  </si>
  <si>
    <t>Association for Education in Journalism and Mass Communication Small Programs Interest Group</t>
  </si>
  <si>
    <t>2163-9132</t>
  </si>
  <si>
    <t>Journalism</t>
  </si>
  <si>
    <t>Teaching Mathematics and Computer Science</t>
  </si>
  <si>
    <t>1589-7389</t>
  </si>
  <si>
    <t>2676-8364</t>
  </si>
  <si>
    <t>Teaching Mathematics and its Applications</t>
  </si>
  <si>
    <t>0268-3679</t>
  </si>
  <si>
    <t>1471-6976</t>
  </si>
  <si>
    <t>Teaching Music</t>
  </si>
  <si>
    <t>1069-7446</t>
  </si>
  <si>
    <t>Teaching Pre K - 8</t>
  </si>
  <si>
    <t>Early Years, Inc.</t>
  </si>
  <si>
    <t>Norwalk</t>
  </si>
  <si>
    <t>0891-4508</t>
  </si>
  <si>
    <t>Teaching Science</t>
  </si>
  <si>
    <t>Deakin</t>
  </si>
  <si>
    <t>1449-6313</t>
  </si>
  <si>
    <t>1839-2946</t>
  </si>
  <si>
    <t>Teaching Sociology</t>
  </si>
  <si>
    <t>0092-055X</t>
  </si>
  <si>
    <t>1939-862X</t>
  </si>
  <si>
    <t>Education--Teaching Methods And Curriculum|Sociology</t>
  </si>
  <si>
    <t>Teaching Statistics</t>
  </si>
  <si>
    <t>0141-982X</t>
  </si>
  <si>
    <t>1467-9639</t>
  </si>
  <si>
    <t>Education|Education--Abstracting, Bibliographies, Statistics|Statistics</t>
  </si>
  <si>
    <t>Teaching Theology and Religion</t>
  </si>
  <si>
    <t>1368-4868</t>
  </si>
  <si>
    <t>1467-9647</t>
  </si>
  <si>
    <t>Education--Higher Education|Education--Teaching Methods And Curriculum|Religions And Theology</t>
  </si>
  <si>
    <t>Teaching Young Children</t>
  </si>
  <si>
    <t>National Association for the Education of Young Children</t>
  </si>
  <si>
    <t>1939-7283</t>
  </si>
  <si>
    <t>Teaching and Change</t>
  </si>
  <si>
    <t>1068-378X</t>
  </si>
  <si>
    <t>Teaching for High Potential</t>
  </si>
  <si>
    <t>National Association for Gifted Children</t>
  </si>
  <si>
    <t>2333-5076</t>
  </si>
  <si>
    <t>Teaching in Focus</t>
  </si>
  <si>
    <t>2303-9280</t>
  </si>
  <si>
    <t>Teaching of Psychology</t>
  </si>
  <si>
    <t>0098-6283</t>
  </si>
  <si>
    <t>1532-8023</t>
  </si>
  <si>
    <t>Tech &amp; Learning</t>
  </si>
  <si>
    <t>Future Publishing Ltd</t>
  </si>
  <si>
    <t>San Bruno</t>
  </si>
  <si>
    <t>1053-6728</t>
  </si>
  <si>
    <t>01-Jan-2007--31-May-2008</t>
  </si>
  <si>
    <t>01-Jul-2006--31-May-2008</t>
  </si>
  <si>
    <t>Tech Directions</t>
  </si>
  <si>
    <t>1062-9351</t>
  </si>
  <si>
    <t>1940-3100</t>
  </si>
  <si>
    <t>Building And Construction--Carpentry And Woodwork|Education--Teaching Methods And Curriculum</t>
  </si>
  <si>
    <t>TechTrends</t>
  </si>
  <si>
    <t>8756-3894</t>
  </si>
  <si>
    <t>1559-7075</t>
  </si>
  <si>
    <t>Education--Teaching Methods And Curriculum|Motion Pictures|Technology: Comprehensive Works</t>
  </si>
  <si>
    <t>Technical Communication</t>
  </si>
  <si>
    <t>Society for Technical Communication</t>
  </si>
  <si>
    <t>0049-3155</t>
  </si>
  <si>
    <t>1938-369X</t>
  </si>
  <si>
    <t>Communications|Journalism|Printing</t>
  </si>
  <si>
    <t>Technical Communication Quarterly</t>
  </si>
  <si>
    <t>1057-2252</t>
  </si>
  <si>
    <t>1542-7625</t>
  </si>
  <si>
    <t>Technical Education &amp; Training Abstracts</t>
  </si>
  <si>
    <t>0966-162X</t>
  </si>
  <si>
    <t>1943-0280</t>
  </si>
  <si>
    <t>Abstracting And Indexing Services|Education--Abstracting, Bibliographies, Statistics|Technology: Comprehensive Works--Abstracting, Bibliographies, Statistics</t>
  </si>
  <si>
    <t>Techniques</t>
  </si>
  <si>
    <t>Association for Career &amp; Technical Education</t>
  </si>
  <si>
    <t>1527-1803</t>
  </si>
  <si>
    <t>Technologia Vzdelavania</t>
  </si>
  <si>
    <t>Zdruzenie SLOVDIDAC</t>
  </si>
  <si>
    <t>Nitra</t>
  </si>
  <si>
    <t>1335-003X</t>
  </si>
  <si>
    <t>1338-1202</t>
  </si>
  <si>
    <t>English|Slovak</t>
  </si>
  <si>
    <t>Technology Innovations in Statistics Education</t>
  </si>
  <si>
    <t>1933-4214</t>
  </si>
  <si>
    <t>Education--Teaching Methods And Curriculum|Statistics</t>
  </si>
  <si>
    <t>Technology and Engineering Teacher</t>
  </si>
  <si>
    <t>2158-0502</t>
  </si>
  <si>
    <t>Education|Engineering--Mechanical Engineering|Technology: Comprehensive Works</t>
  </si>
  <si>
    <t>Technology, Knowledge and Learning</t>
  </si>
  <si>
    <t>2211-1662</t>
  </si>
  <si>
    <t>2211-1670</t>
  </si>
  <si>
    <t>Temps d’Educació</t>
  </si>
  <si>
    <t>0214-7351</t>
  </si>
  <si>
    <t>2014-7627</t>
  </si>
  <si>
    <t>Catalan; Valencian</t>
  </si>
  <si>
    <t>Teoría de la Educación ; Revista Interuniversitaria</t>
  </si>
  <si>
    <t>1130-3743</t>
  </si>
  <si>
    <t>1138-9737</t>
  </si>
  <si>
    <t>Tertiary Education and Management</t>
  </si>
  <si>
    <t>1358-3883</t>
  </si>
  <si>
    <t>1573-1936</t>
  </si>
  <si>
    <t>Tertium Comparationis</t>
  </si>
  <si>
    <t>0947-9732</t>
  </si>
  <si>
    <t>1434-1697</t>
  </si>
  <si>
    <t>Texas Journal on Civil Liberties &amp; Civil Rights</t>
  </si>
  <si>
    <t>University of Texas, Austin, School of Law Publications, Inc.</t>
  </si>
  <si>
    <t>1930-2045</t>
  </si>
  <si>
    <t>Law|Law--Constitutional Law|Political Science--Civil Rights</t>
  </si>
  <si>
    <t>Texas Technology Connection</t>
  </si>
  <si>
    <t>Texas Association for Educational Technology</t>
  </si>
  <si>
    <t>Alvin</t>
  </si>
  <si>
    <t>The Journal of Nonprofit Education and Leadership</t>
  </si>
  <si>
    <t>2374-7838</t>
  </si>
  <si>
    <t>2157-0604</t>
  </si>
  <si>
    <t>Theatre Topics</t>
  </si>
  <si>
    <t>1054-8378</t>
  </si>
  <si>
    <t>1086-3346</t>
  </si>
  <si>
    <t>Theater</t>
  </si>
  <si>
    <t>Theory and Practice in Language Studies</t>
  </si>
  <si>
    <t>Academy Publication Co., Ltd.</t>
  </si>
  <si>
    <t>1799-2591</t>
  </si>
  <si>
    <t>2053-0692</t>
  </si>
  <si>
    <t>Theory into Practice</t>
  </si>
  <si>
    <t>Ohio State University, College of Education</t>
  </si>
  <si>
    <t>0040-5841</t>
  </si>
  <si>
    <t>1543-0421</t>
  </si>
  <si>
    <t>Therapeutic Recreation Journal</t>
  </si>
  <si>
    <t>0040-5914</t>
  </si>
  <si>
    <t>2159-6433</t>
  </si>
  <si>
    <t>Education--Special Education And Rehabilitation|Medical Sciences</t>
  </si>
  <si>
    <t>Thinking Classroom</t>
  </si>
  <si>
    <t>Reading and Writing for Critical Thinking</t>
  </si>
  <si>
    <t>1392-947X</t>
  </si>
  <si>
    <t>The Times Educational Supplement Cymru</t>
  </si>
  <si>
    <t>TES Global Limited</t>
  </si>
  <si>
    <t>1743-7164</t>
  </si>
  <si>
    <t>The Times Educational Supplement Scotland</t>
  </si>
  <si>
    <t>0143-8492</t>
  </si>
  <si>
    <t>The Times Educational Supplement</t>
  </si>
  <si>
    <t>0040-7887</t>
  </si>
  <si>
    <t>Times Higher Education</t>
  </si>
  <si>
    <t>THE World Universities Insights Limited</t>
  </si>
  <si>
    <t>0049-3929</t>
  </si>
  <si>
    <t>Timisoara Physical Education and Rehabilitation Journal</t>
  </si>
  <si>
    <t>West University of Timisoara</t>
  </si>
  <si>
    <t>Timisoara</t>
  </si>
  <si>
    <t>2065-0574</t>
  </si>
  <si>
    <t>2199-6040</t>
  </si>
  <si>
    <t>Tizard Learning Disability Review</t>
  </si>
  <si>
    <t>1359-5474</t>
  </si>
  <si>
    <t>2042-8782</t>
  </si>
  <si>
    <t>Today's Catholic Teacher</t>
  </si>
  <si>
    <t>0040-8441</t>
  </si>
  <si>
    <t>Education|Religions And Theology--Roman Catholic</t>
  </si>
  <si>
    <t>Topics in Early Childhood Special Education</t>
  </si>
  <si>
    <t>0271-1214</t>
  </si>
  <si>
    <t>1538-4845</t>
  </si>
  <si>
    <t>Topics in Language Disorders</t>
  </si>
  <si>
    <t>0271-8294</t>
  </si>
  <si>
    <t>1550-3259</t>
  </si>
  <si>
    <t>Education--Special Education And Rehabilitation|Linguistics|Medical Sciences</t>
  </si>
  <si>
    <t>Trainers' Forum</t>
  </si>
  <si>
    <t>Trainers of School Psychologists</t>
  </si>
  <si>
    <t>0277-2574</t>
  </si>
  <si>
    <t>Training</t>
  </si>
  <si>
    <t>Lakewood Media</t>
  </si>
  <si>
    <t>0095-5892</t>
  </si>
  <si>
    <t>01-Aug-2006--30-Jun-2017</t>
  </si>
  <si>
    <t>Transformation in Higher Education</t>
  </si>
  <si>
    <t>2415-0991</t>
  </si>
  <si>
    <t>2519-5638</t>
  </si>
  <si>
    <t>Transformations</t>
  </si>
  <si>
    <t>Pennsylvania State University Press</t>
  </si>
  <si>
    <t>1052-5017</t>
  </si>
  <si>
    <t>2377-9578</t>
  </si>
  <si>
    <t>Trends Shaping Education</t>
  </si>
  <si>
    <t>2218-7049</t>
  </si>
  <si>
    <t>01-Jan-2009--31-Dec-2009; 01-Jan-2011--31-Dec-2012; 01-Jan-2014--31-Dec-2015; 01-Jan-2017--31-Dec-2018; 01-Jan-2020--31-Dec-2021</t>
  </si>
  <si>
    <t>Education|Education--Adult Education|Education--International Education Programs|Education--School Organization And Administration|Education--Teaching Methods And Curriculum</t>
  </si>
  <si>
    <t>Trends Shaping Education Spotlights</t>
  </si>
  <si>
    <t>2663-7219</t>
  </si>
  <si>
    <t>Tribal College</t>
  </si>
  <si>
    <t>American Indian Higher Education Consortium</t>
  </si>
  <si>
    <t>Mancos</t>
  </si>
  <si>
    <t>1052-5505</t>
  </si>
  <si>
    <t>Education--Higher Education|Native People</t>
  </si>
  <si>
    <t>Tribal College (1989-1989)</t>
  </si>
  <si>
    <t>Turkish Journal of Computer and Mathematics Education</t>
  </si>
  <si>
    <t>Karadeniz Technical University Distance Education Research and Application Center</t>
  </si>
  <si>
    <t>1309-4653</t>
  </si>
  <si>
    <t>Computers|Mathematics</t>
  </si>
  <si>
    <t>Turtle Magazine for Preschool Kids</t>
  </si>
  <si>
    <t>0191-3654</t>
  </si>
  <si>
    <t>USA Today</t>
  </si>
  <si>
    <t>Society for Advancement of Education</t>
  </si>
  <si>
    <t>Farmingdale</t>
  </si>
  <si>
    <t>0161-7389</t>
  </si>
  <si>
    <t>2168-362X</t>
  </si>
  <si>
    <t>Education|Political Science</t>
  </si>
  <si>
    <t>Ubiquitous Learning</t>
  </si>
  <si>
    <t>1835-9795</t>
  </si>
  <si>
    <t>2475-9686</t>
  </si>
  <si>
    <t>The Ultimate IQ Test Book</t>
  </si>
  <si>
    <t>Kogan Page Ltd.</t>
  </si>
  <si>
    <t>9780749451325;9780749451325</t>
  </si>
  <si>
    <t>Uni-pluri/versidad</t>
  </si>
  <si>
    <t>1657-4249</t>
  </si>
  <si>
    <t>2665-2730</t>
  </si>
  <si>
    <t>Universidade Federal da Paraíba. Revista Temas em Educação</t>
  </si>
  <si>
    <t>Universidade Federal da Paraíba</t>
  </si>
  <si>
    <t>João Pessoa</t>
  </si>
  <si>
    <t>0104-2777</t>
  </si>
  <si>
    <t>2359-7003</t>
  </si>
  <si>
    <t>01-Jan-2010--31-Dec-2010; 01-Jan-2012--31-Dec-2012</t>
  </si>
  <si>
    <t>University Affairs</t>
  </si>
  <si>
    <t>Universities Canada / Universités Canada</t>
  </si>
  <si>
    <t>0041-9257</t>
  </si>
  <si>
    <t>01-Jan-2012--31-Dec-2016</t>
  </si>
  <si>
    <t>University Wire</t>
  </si>
  <si>
    <t>Uloop, Inc.</t>
  </si>
  <si>
    <t>Die Unterrichtspraxis</t>
  </si>
  <si>
    <t>0042-062X</t>
  </si>
  <si>
    <t>1756-1221</t>
  </si>
  <si>
    <t>Update</t>
  </si>
  <si>
    <t>0847-9364</t>
  </si>
  <si>
    <t>Update : Applications of Research in Music Education</t>
  </si>
  <si>
    <t>8755-1233</t>
  </si>
  <si>
    <t>1945-0109</t>
  </si>
  <si>
    <t>Urban Education</t>
  </si>
  <si>
    <t>0042-0859</t>
  </si>
  <si>
    <t>1552-8340</t>
  </si>
  <si>
    <t>The Urban Review</t>
  </si>
  <si>
    <t>0042-0972</t>
  </si>
  <si>
    <t>1573-1960</t>
  </si>
  <si>
    <t>Education|Education--School Organization And Administration|Sociology</t>
  </si>
  <si>
    <t>VAMboozled! [BLOG]</t>
  </si>
  <si>
    <t>The Video Librarian</t>
  </si>
  <si>
    <t>Video Librarian</t>
  </si>
  <si>
    <t>Poulsbo</t>
  </si>
  <si>
    <t>0887-6851</t>
  </si>
  <si>
    <t>1943-7269</t>
  </si>
  <si>
    <t>01-Jan-2000--31-Dec-2016</t>
  </si>
  <si>
    <t>Communications--Video|Library And Information Sciences</t>
  </si>
  <si>
    <t>Violence &amp; Abuse Abstracts</t>
  </si>
  <si>
    <t>1077-2197</t>
  </si>
  <si>
    <t>1940-4050</t>
  </si>
  <si>
    <t>Drug Abuse And Alcoholism</t>
  </si>
  <si>
    <t>Visible Language</t>
  </si>
  <si>
    <t>University of Cincinnati on behalf of Visible Language</t>
  </si>
  <si>
    <t>0022-2224</t>
  </si>
  <si>
    <t>01-Sep-2012--31-Mar-2017</t>
  </si>
  <si>
    <t>Communications|Education|Humanities: Comprehensive Works|Linguistics</t>
  </si>
  <si>
    <t>Voces de la Educación</t>
  </si>
  <si>
    <t>Víctor Gutiérrez Torres</t>
  </si>
  <si>
    <t>Xalapa</t>
  </si>
  <si>
    <t>1665-1596</t>
  </si>
  <si>
    <t>2448-6248</t>
  </si>
  <si>
    <t>Voces y Silencios</t>
  </si>
  <si>
    <t>Universidad de Los Andes, UNIANDES Journals (Revistas UNIANDES)</t>
  </si>
  <si>
    <t>2215-8421</t>
  </si>
  <si>
    <t>Voices From the Middle</t>
  </si>
  <si>
    <t>1074-4762</t>
  </si>
  <si>
    <t>1943-3069</t>
  </si>
  <si>
    <t>Voices of Practitioners</t>
  </si>
  <si>
    <t>2378-2609</t>
  </si>
  <si>
    <t>The Volta Review</t>
  </si>
  <si>
    <t>Alexander Graham Bell Association for the Deaf, Incorporated</t>
  </si>
  <si>
    <t>0042-8639</t>
  </si>
  <si>
    <t>2162-5158</t>
  </si>
  <si>
    <t>Communications--Telephone And Telegraph|Education--Special Education And Rehabilitation|People With Disabilities--Hearing Impaired|Physics--Sound</t>
  </si>
  <si>
    <t>WES Research &amp; Advisory Services Reports</t>
  </si>
  <si>
    <t>World Education Services</t>
  </si>
  <si>
    <t>WR News. Edition 4-6</t>
  </si>
  <si>
    <t>2159-7928</t>
  </si>
  <si>
    <t>WeMedia</t>
  </si>
  <si>
    <t>R. Coppola</t>
  </si>
  <si>
    <t>Weekly Reader. Edition 1</t>
  </si>
  <si>
    <t>0890-3220</t>
  </si>
  <si>
    <t>Children And Youth - For|Linguistics|Literature</t>
  </si>
  <si>
    <t>Weekly Reader. Edition 2</t>
  </si>
  <si>
    <t>0890-3212</t>
  </si>
  <si>
    <t>Western Journal of Black Studies</t>
  </si>
  <si>
    <t>Washington State University Press</t>
  </si>
  <si>
    <t>Pullman</t>
  </si>
  <si>
    <t>0197-4327</t>
  </si>
  <si>
    <t>Ethnic Interests</t>
  </si>
  <si>
    <t>Western Journal of Communication</t>
  </si>
  <si>
    <t>1057-0314</t>
  </si>
  <si>
    <t>1745-1027</t>
  </si>
  <si>
    <t>Linguistics|Theater</t>
  </si>
  <si>
    <t>What Works in Teaching and Learning</t>
  </si>
  <si>
    <t>1553-4057</t>
  </si>
  <si>
    <t>Education--School Organization And Administration|Education--Teaching Methods And Curriculum</t>
  </si>
  <si>
    <t>What's Working --</t>
  </si>
  <si>
    <t>Palm Beach Gardens</t>
  </si>
  <si>
    <t>Wilson Library Bulletin</t>
  </si>
  <si>
    <t>H W Wilson Company</t>
  </si>
  <si>
    <t>Bronx</t>
  </si>
  <si>
    <t>0043-5651</t>
  </si>
  <si>
    <t>Women in Higher Education</t>
  </si>
  <si>
    <t>1060-8303</t>
  </si>
  <si>
    <t>2331-5466</t>
  </si>
  <si>
    <t>Women in Welfare Education</t>
  </si>
  <si>
    <t>Women in Welfare Education Group</t>
  </si>
  <si>
    <t>1834-4941</t>
  </si>
  <si>
    <t>Social Services And Welfare|Women's Studies</t>
  </si>
  <si>
    <t>Women's Studies Quarterly</t>
  </si>
  <si>
    <t>Feminist Press</t>
  </si>
  <si>
    <t>0732-1562</t>
  </si>
  <si>
    <t>1934-1520</t>
  </si>
  <si>
    <t>Women's Interests|Women's Studies</t>
  </si>
  <si>
    <t>Work and Occupations</t>
  </si>
  <si>
    <t>0730-8884</t>
  </si>
  <si>
    <t>1552-8464</t>
  </si>
  <si>
    <t>World Eagle</t>
  </si>
  <si>
    <t>World Eagle, Inc.</t>
  </si>
  <si>
    <t>0193-7871</t>
  </si>
  <si>
    <t>Education--Teaching Methods And Curriculum|Social Services And Welfare</t>
  </si>
  <si>
    <t>World Education News &amp; Reviews (WENR)</t>
  </si>
  <si>
    <t>World Englishes</t>
  </si>
  <si>
    <t>0883-2919</t>
  </si>
  <si>
    <t>1467-971X</t>
  </si>
  <si>
    <t>World Watch</t>
  </si>
  <si>
    <t>Worldwatch Institute</t>
  </si>
  <si>
    <t>0896-0615</t>
  </si>
  <si>
    <t>Environmental Studies--Abstracting, Bibliographies, Statistics|Sociology</t>
  </si>
  <si>
    <t>Writing</t>
  </si>
  <si>
    <t>0279-7208</t>
  </si>
  <si>
    <t>Education|Journalism</t>
  </si>
  <si>
    <t>The Writing Instructor</t>
  </si>
  <si>
    <t>0277-7789</t>
  </si>
  <si>
    <t>Written Communication</t>
  </si>
  <si>
    <t>0741-0883</t>
  </si>
  <si>
    <t>1552-8472</t>
  </si>
  <si>
    <t>Communications|Literature</t>
  </si>
  <si>
    <t>YC Young Children</t>
  </si>
  <si>
    <t>1538-6619</t>
  </si>
  <si>
    <t>1941-2002</t>
  </si>
  <si>
    <t>Yaratici Drama Dergisi</t>
  </si>
  <si>
    <t>1305-8177</t>
  </si>
  <si>
    <t>2459-167X</t>
  </si>
  <si>
    <t>Youth and Society</t>
  </si>
  <si>
    <t>0044-118X</t>
  </si>
  <si>
    <t>1552-8499</t>
  </si>
  <si>
    <t>Children And Youth - About|Political Science|Sociology</t>
  </si>
  <si>
    <t>ZDM – Mathematics Education</t>
  </si>
  <si>
    <t>1863-9690</t>
  </si>
  <si>
    <t>1863-9704</t>
  </si>
  <si>
    <t>ZEP : Zeitschrift für Internationale Bildungsforschung und Entwicklungspädagogik</t>
  </si>
  <si>
    <t>1434-4688</t>
  </si>
  <si>
    <t>Die Zeit. Campus : Studieren, Arbeiten, Leben</t>
  </si>
  <si>
    <t>Axel Springer Syndication GmbH</t>
  </si>
  <si>
    <t>College And Alumni|General Interest Periodicals--Germany</t>
  </si>
  <si>
    <t>Zeitschrift fuer Weiterbildungsforschung</t>
  </si>
  <si>
    <t>2364-0014</t>
  </si>
  <si>
    <t>2364-0022</t>
  </si>
  <si>
    <t>Zeitschrift für Bildungsforschung</t>
  </si>
  <si>
    <t>2190-6890</t>
  </si>
  <si>
    <t>2190-6904</t>
  </si>
  <si>
    <t>Zeitschrift für Evaluation</t>
  </si>
  <si>
    <t>1619-5515</t>
  </si>
  <si>
    <t>Zona Próxima</t>
  </si>
  <si>
    <t>Fundación Universidad del Norte</t>
  </si>
  <si>
    <t>Barranquilla</t>
  </si>
  <si>
    <t>1657-2416</t>
  </si>
  <si>
    <t>2145-9444</t>
  </si>
  <si>
    <t>beanz</t>
  </si>
  <si>
    <t>Owl Hill Media, LLC</t>
  </si>
  <si>
    <t>Woodmere</t>
  </si>
  <si>
    <t>2573-3958</t>
  </si>
  <si>
    <t>2573-3966</t>
  </si>
  <si>
    <t>Children And Youth - For|Computers</t>
  </si>
  <si>
    <t>The e - Journal of Business Education &amp; Scholarship of Teaching</t>
  </si>
  <si>
    <t>Australian Business Education Research Association</t>
  </si>
  <si>
    <t>Sunnybank Hills</t>
  </si>
  <si>
    <t>1835-9132</t>
  </si>
  <si>
    <t>et Cetera</t>
  </si>
  <si>
    <t>Institute of General Semantics, Inc.</t>
  </si>
  <si>
    <t>Concord</t>
  </si>
  <si>
    <t>0014-164X</t>
  </si>
  <si>
    <t>2168-9245</t>
  </si>
  <si>
    <r>
      <rPr>
        <b/>
        <sz val="16"/>
        <rFont val="Calibri"/>
        <family val="2"/>
      </rPr>
      <t>ProQuest One Education</t>
    </r>
    <r>
      <rPr>
        <sz val="10"/>
        <rFont val="Calibri"/>
        <family val="2"/>
      </rPr>
      <t xml:space="preserve">
Accurate as of 09 March     2024</t>
    </r>
  </si>
  <si>
    <t>PrintIsbn</t>
  </si>
  <si>
    <t>EIsbn</t>
  </si>
  <si>
    <t>Creditor</t>
  </si>
  <si>
    <t>PublicationCity</t>
  </si>
  <si>
    <t>PublicationDate</t>
  </si>
  <si>
    <t>CopyrightYear</t>
  </si>
  <si>
    <t>Imprint</t>
  </si>
  <si>
    <t>PageCount</t>
  </si>
  <si>
    <t>Authors</t>
  </si>
  <si>
    <t>Title Edition</t>
  </si>
  <si>
    <t>Series Title</t>
  </si>
  <si>
    <t>Series Volume</t>
  </si>
  <si>
    <t>Lcc</t>
  </si>
  <si>
    <t>Dewey</t>
  </si>
  <si>
    <t>Lcsh</t>
  </si>
  <si>
    <t>Language</t>
  </si>
  <si>
    <t>Subject</t>
  </si>
  <si>
    <t>Master The LSAT</t>
  </si>
  <si>
    <t>Nova Press</t>
  </si>
  <si>
    <t>West Hollywood, CA</t>
  </si>
  <si>
    <t>UNITED STATES</t>
  </si>
  <si>
    <t>Kolby, Jeff;Thornburg, Scott</t>
  </si>
  <si>
    <t>KF285.Z9 -- K653 2009eb</t>
  </si>
  <si>
    <t>Law School Admission Test -- Study guides. ; Law schools -- United States -- Entrance examinations -- Study guides.</t>
  </si>
  <si>
    <t>Learning by Heart</t>
  </si>
  <si>
    <t>John Wiley &amp; Sons</t>
  </si>
  <si>
    <t>John Wiley &amp; Sons, Incorporated</t>
  </si>
  <si>
    <t>Jossey-Bass</t>
  </si>
  <si>
    <t>Barth, Roland S.;Meier, Deborah</t>
  </si>
  <si>
    <t>LA217.2.B397 2001</t>
  </si>
  <si>
    <t>Education -- Aims and objectives -- United States. ; Educational change -- United States. ; Effective teaching -- United States. ; Group work in education -- United States. ; Learning.</t>
  </si>
  <si>
    <t>Boys and Girls Learn Differently! : A Guide for Teachers and Parents</t>
  </si>
  <si>
    <t>Gurian, Michael;Carter, Philip</t>
  </si>
  <si>
    <t>LC212.92.G87 2000</t>
  </si>
  <si>
    <t>370.15/1</t>
  </si>
  <si>
    <t>Sex differences in education -- United States -- Case studies. ; Educational change -- United States -- Case studies.</t>
  </si>
  <si>
    <t>The Annual Review of Adult Learning and Literacy, Volume 2</t>
  </si>
  <si>
    <t>Comings, John;Garner, Barbara;Smith, Cristine;National Center for the Study of Adult Learning and Literacy</t>
  </si>
  <si>
    <t>J-B Annual Review of Adult Learning and Literacy Series</t>
  </si>
  <si>
    <t>LC5225.R4A55 2001</t>
  </si>
  <si>
    <t>Adult education</t>
  </si>
  <si>
    <t>Lessons from the Cyberspace Classroom : The Realities of Online Teaching</t>
  </si>
  <si>
    <t>Somerset</t>
  </si>
  <si>
    <t>Palloff, Rena M.;Pratt, Keith</t>
  </si>
  <si>
    <t>LB1044.87.P34 2001</t>
  </si>
  <si>
    <t>371.3/58</t>
  </si>
  <si>
    <t>Teaching -- Computer network resources. ; Computer-assisted instruction. ; Distance education.</t>
  </si>
  <si>
    <t>Gender Equity or Bust! : On the Road to Campus Leadership with Women in Higher Education</t>
  </si>
  <si>
    <t>Wenniger, Mary Dee;Conroy, Mary Helen</t>
  </si>
  <si>
    <t>LB2332.32.G45 2001</t>
  </si>
  <si>
    <t>378/.0082</t>
  </si>
  <si>
    <t>Sex discrimination in education -- United States</t>
  </si>
  <si>
    <t>Starting to Teach in the Secondary School : A Companion for the Newly Qualified Teacher</t>
  </si>
  <si>
    <t>Taylor &amp; Francis</t>
  </si>
  <si>
    <t>Taylor &amp; Francis Group</t>
  </si>
  <si>
    <t>UNITED KINGDOM</t>
  </si>
  <si>
    <t>Routledge</t>
  </si>
  <si>
    <t>Capel, Susan;Leask, Marilyn;Turner, Tony;Heilbronn, Ruth</t>
  </si>
  <si>
    <t>LB1737.A3 -- S76 2004eb</t>
  </si>
  <si>
    <t>High school teaching. ; Education.</t>
  </si>
  <si>
    <t>The Rise of an African Middle Class : Colonial Zimbabwe, 1898-1965</t>
  </si>
  <si>
    <t>Open Road Media</t>
  </si>
  <si>
    <t>West, Michael O.</t>
  </si>
  <si>
    <t>HT690.Z55 -- W46 2002eb</t>
  </si>
  <si>
    <t>305.5/5/096891</t>
  </si>
  <si>
    <t>20th century</t>
  </si>
  <si>
    <t>Social Science</t>
  </si>
  <si>
    <t>Dissent in the Heartland : The Sixties at Indiana University</t>
  </si>
  <si>
    <t>Wynkoop, Mary Ann</t>
  </si>
  <si>
    <t>LD2518.8 -- .W96 2002eb</t>
  </si>
  <si>
    <t>378.772/255</t>
  </si>
  <si>
    <t>Indiana University -- History -- 20th century. ; Indiana University -- Students -- Political activity -- History -- 20th century. ; Student movements -- Indiana -- Bloomington -- History -- 20th century.</t>
  </si>
  <si>
    <t>GRE Prep Course</t>
  </si>
  <si>
    <t>Kolby, Jeff;Thornburg, Scott;Pierce, Kathleen</t>
  </si>
  <si>
    <t>LG2367.4 -- .K65 2004eb</t>
  </si>
  <si>
    <t>Graduate Record Examination -- Study guides. ; Universities and colleges -- Examinations.</t>
  </si>
  <si>
    <t>Parisian Scholars in the Early Fourteenth Century : A Social Portrait</t>
  </si>
  <si>
    <t>Courtenay, William J.</t>
  </si>
  <si>
    <t>Cambridge Studies in Medieval Life and Thought: Fourth Series</t>
  </si>
  <si>
    <t>Series Number 41</t>
  </si>
  <si>
    <t>LF2165 .C68 1999</t>
  </si>
  <si>
    <t>Universite p- sA de Paris--History</t>
  </si>
  <si>
    <t>Transforming Music Education</t>
  </si>
  <si>
    <t>Jorgensen, Estelle R.</t>
  </si>
  <si>
    <t>MT1 -- .J678 2003eb</t>
  </si>
  <si>
    <t>780/.71</t>
  </si>
  <si>
    <t>Music -- Instruction and study. ; School music -- Instruction and study.</t>
  </si>
  <si>
    <t>Fine Arts</t>
  </si>
  <si>
    <t>Education in the Moral Domain</t>
  </si>
  <si>
    <t>Nucci, Larry P.</t>
  </si>
  <si>
    <t>LC268 .N83 2001</t>
  </si>
  <si>
    <t>Moral education</t>
  </si>
  <si>
    <t>Creative Mathematics</t>
  </si>
  <si>
    <t>Higginson, William;Phillips, Eileen;Upitis, Rena</t>
  </si>
  <si>
    <t>QA135.5.U6</t>
  </si>
  <si>
    <t>Study and teaching</t>
  </si>
  <si>
    <t>Reclaiming Knowledge : Social Theory, Curriculum and Education Policy</t>
  </si>
  <si>
    <t>Muller, Johan;Goodson, Ivor F.;Wexler, Philip</t>
  </si>
  <si>
    <t>LC191.8.S6</t>
  </si>
  <si>
    <t>Curriculum planning</t>
  </si>
  <si>
    <t>Adults' Mathematical Thinking and Emotions : A Study of Numerate Practice</t>
  </si>
  <si>
    <t>Evans, Jeff</t>
  </si>
  <si>
    <t>Studies in Mathematics Education</t>
  </si>
  <si>
    <t>QA11 -- .E93 2000eb</t>
  </si>
  <si>
    <t>Adult learning</t>
  </si>
  <si>
    <t>Writing to Learn : Poetry and Literacy Across the Primary Curriculum</t>
  </si>
  <si>
    <t>Sedgwick, Fred</t>
  </si>
  <si>
    <t>LB1576 -- .S343413 2000eb</t>
  </si>
  <si>
    <t>Learning in the Museum</t>
  </si>
  <si>
    <t>Hein, George E.</t>
  </si>
  <si>
    <t>Museum Meanings Series</t>
  </si>
  <si>
    <t>AM7.H44 19</t>
  </si>
  <si>
    <t>Educational aspects</t>
  </si>
  <si>
    <t>Museums</t>
  </si>
  <si>
    <t>The Psychology of Teaching and Learning in the Primary School</t>
  </si>
  <si>
    <t>Whitebread, David</t>
  </si>
  <si>
    <t>LB1555 -- .P83 2000eb</t>
  </si>
  <si>
    <t>372.21/0941</t>
  </si>
  <si>
    <t>Educational psychology</t>
  </si>
  <si>
    <t>Education, Work and Social Capital : Towards a New Conception of Vocational Training</t>
  </si>
  <si>
    <t>Winch, Christopher</t>
  </si>
  <si>
    <t>LC1042.5 -- .W56 2000eb</t>
  </si>
  <si>
    <t>370.11/3/01</t>
  </si>
  <si>
    <t>Infrastructure (Economics)</t>
  </si>
  <si>
    <t>Skills in Collaborative Classroom Consultation</t>
  </si>
  <si>
    <t>Jordan, Anne</t>
  </si>
  <si>
    <t>LB2799.J67</t>
  </si>
  <si>
    <t>Educational consultants. ; Mainstreaming in education. ; Interpersonal relations. ; Special education.</t>
  </si>
  <si>
    <t>Time-Constrained Evaluation : A Practical Approach for LEAs and Schools</t>
  </si>
  <si>
    <t>Wilcox, Brian</t>
  </si>
  <si>
    <t>LA632 -- .W47 1992eb</t>
  </si>
  <si>
    <t>379.1/54</t>
  </si>
  <si>
    <t>Educational accountability -- Great Britain</t>
  </si>
  <si>
    <t>Managing the Secondary School</t>
  </si>
  <si>
    <t>Dean, Joan;Dean, Joan</t>
  </si>
  <si>
    <t>LB2822.3.G7 -- D4 1993eb</t>
  </si>
  <si>
    <t>High schools -- Great Britain -- Administration. ; High school principals -- Great Britain.</t>
  </si>
  <si>
    <t>APL: Equal Opportunities for All? : Equal Opportunities for All?</t>
  </si>
  <si>
    <t>McKelvey, Cecilia;Peters, Helen</t>
  </si>
  <si>
    <t>Further Education: the Assessment and Accreditation of Prior Learning Series</t>
  </si>
  <si>
    <t>LC5256.G7 -- M36 1993eb</t>
  </si>
  <si>
    <t>College credits -- Great Britain -- Outside work. ; Experiential learning -- Great Britain -- Evaluation. ; Career development -- Great Britain. ; Vocational education -- Great Britain -- Evaluation.</t>
  </si>
  <si>
    <t>Introducing APEL</t>
  </si>
  <si>
    <t>Challis, Maggie</t>
  </si>
  <si>
    <t>LB2367.G76 -- C43 1993eb</t>
  </si>
  <si>
    <t>College-level examinations -- Great Britain. ; School credits -- Great Britain -- Outside work. ; Experiential learning -- Great Britain. ; Technical institutes -- Great Britain -- Entrance requirements. ; Occupational training -- Great Britain.</t>
  </si>
  <si>
    <t>Mathematics in the Early Years</t>
  </si>
  <si>
    <t>Clemson, David;Clemson, Wendy</t>
  </si>
  <si>
    <t>QA135.5 -- .C547 1994eb</t>
  </si>
  <si>
    <t>372.7/049</t>
  </si>
  <si>
    <t>Mathematics -- Study and teaching (Primary)</t>
  </si>
  <si>
    <t>Education; Mathematics</t>
  </si>
  <si>
    <t>The Skills of Primary School Management</t>
  </si>
  <si>
    <t>Bell, Les;Rhodes, Chris</t>
  </si>
  <si>
    <t>LB2900.5 -- .B45 1996eb</t>
  </si>
  <si>
    <t>School management and organization -- Great Britain</t>
  </si>
  <si>
    <t>APL and the Bilingual Learner</t>
  </si>
  <si>
    <t>Wood, Meena</t>
  </si>
  <si>
    <t>LB2376.6.G7 -- W66 1995eb</t>
  </si>
  <si>
    <t>Students, Foreign -- Great Britain. ; College credits -- Standards -- Evaluation. ; Language and education -- Great Britain. ; Bilingualism -- Great Britain.</t>
  </si>
  <si>
    <t>An Introduction to Cognitive Education : Theory and Applications</t>
  </si>
  <si>
    <t>Ashman, Adrian;Conway, Robert</t>
  </si>
  <si>
    <t>LB1590.3 -- .A74 1997eb</t>
  </si>
  <si>
    <t>Cognitive psychology</t>
  </si>
  <si>
    <t>Changing Places? : Flexibility, Lifelong Learning and a Learning Society</t>
  </si>
  <si>
    <t>Edwards, Richard</t>
  </si>
  <si>
    <t>LC5256.G7E</t>
  </si>
  <si>
    <t>The Making of the Inclusive School</t>
  </si>
  <si>
    <t>Thomas, Gary;Walker, David;Webb, Julie</t>
  </si>
  <si>
    <t>LC1203.G7T</t>
  </si>
  <si>
    <t>Mainstreaming in education</t>
  </si>
  <si>
    <t>Getting It Right for Boys ... and Girls</t>
  </si>
  <si>
    <t>Bradford, Wendy;Noble, Colin</t>
  </si>
  <si>
    <t>LC1390 -- .N63 2000eb</t>
  </si>
  <si>
    <t>Academic achievement</t>
  </si>
  <si>
    <t>Social Science; Education</t>
  </si>
  <si>
    <t>Working with Hannah : A Special Girl in a Mainstream School</t>
  </si>
  <si>
    <t>Glass, Chris;Wise, Liz</t>
  </si>
  <si>
    <t>LC4636.G7 -- W57 2000eb</t>
  </si>
  <si>
    <t>Children with mental disabilities -- Education (Early childhood) -- Great Britain -- Case studies. ; Mainstreaming in education -- Great Britain -- Case studies. ; Inclusive education -- Great Britain -- Case studies. ; Down syndrome -- Great Britain -- Case studies.</t>
  </si>
  <si>
    <t>Making School Count : Promoting Urban Student Motivation and Success</t>
  </si>
  <si>
    <t>Debruin-Parecki, Andrea;Teel, Karen Manheim;DeBruin-Parecki, Andrea</t>
  </si>
  <si>
    <t>LC2717 -- .T44 2001eb</t>
  </si>
  <si>
    <t>Educational innovations</t>
  </si>
  <si>
    <t>Reconstructing Teaching : Standards, Performance and Accountability</t>
  </si>
  <si>
    <t>Hextall, Ian;Mahony, Pat</t>
  </si>
  <si>
    <t>LB2806.22 -- .M345 2000eb</t>
  </si>
  <si>
    <t>Teachers</t>
  </si>
  <si>
    <t>Developing the ICT Capable School</t>
  </si>
  <si>
    <t>Kennewell, Steve;Parkinson, John;Tanner, Howard;Smith, Helen</t>
  </si>
  <si>
    <t>LB1028.5 -- .K433 2000eb</t>
  </si>
  <si>
    <t>Working with Adolescents : Constructing Identity</t>
  </si>
  <si>
    <t>Head, John;Head, Dr John;Head, John</t>
  </si>
  <si>
    <t>BF724.3.I3 -- H43 1997eb</t>
  </si>
  <si>
    <t>Teenagers</t>
  </si>
  <si>
    <t>Psychology; Education</t>
  </si>
  <si>
    <t>Critical Literacy in the Classroom : The Art of the Possible</t>
  </si>
  <si>
    <t>Morgan, Wendy</t>
  </si>
  <si>
    <t>LB1631.M66</t>
  </si>
  <si>
    <t>428/.0071/2</t>
  </si>
  <si>
    <t>Discourse analysis</t>
  </si>
  <si>
    <t>Language/Linguistics; Education</t>
  </si>
  <si>
    <t>A Practical Guide to Fund-Raising in Schools</t>
  </si>
  <si>
    <t>Morris, Paul</t>
  </si>
  <si>
    <t>LC245.G7 -- M67 2000eb</t>
  </si>
  <si>
    <t>Educational fund raising</t>
  </si>
  <si>
    <t>Social Relations in a Secondary School</t>
  </si>
  <si>
    <t>Hargreaves, David H.;Hargreaves, David</t>
  </si>
  <si>
    <t>International Library of Sociology Series</t>
  </si>
  <si>
    <t>LC203 -- .H3 1998eb</t>
  </si>
  <si>
    <t>Social groups</t>
  </si>
  <si>
    <t>The Educational Thought and Influence of Matthew Arnold</t>
  </si>
  <si>
    <t>Connell, W. F.</t>
  </si>
  <si>
    <t>LB675.A82 -- C6 1999eb</t>
  </si>
  <si>
    <t>Arnold, Matthew, -- 1822-1888 -- Influence. ; Education.</t>
  </si>
  <si>
    <t>Social Class Language and Education</t>
  </si>
  <si>
    <t>Lawton, Denis</t>
  </si>
  <si>
    <t>LB1139.L3 -- L36 1968eb</t>
  </si>
  <si>
    <t>Sociolinguistics. ; Children -- Language. ; Educational sociology.</t>
  </si>
  <si>
    <t>Ethics and the University</t>
  </si>
  <si>
    <t>Davis, Michael</t>
  </si>
  <si>
    <t>Professional Ethics Series</t>
  </si>
  <si>
    <t>LB2324 -- .D38 1999eb</t>
  </si>
  <si>
    <t>Research</t>
  </si>
  <si>
    <t>Philosophy; Education</t>
  </si>
  <si>
    <t>Teaching Popular Culture : Beyond Radical Pedagogy</t>
  </si>
  <si>
    <t>Buckingham, David</t>
  </si>
  <si>
    <t>Media, Education and Culture Series</t>
  </si>
  <si>
    <t>LC196 -- .T44 1998eb</t>
  </si>
  <si>
    <t>Education; Social Science</t>
  </si>
  <si>
    <t>English University Life in the Middle Ages</t>
  </si>
  <si>
    <t>Cobban, Alan</t>
  </si>
  <si>
    <t>LA636.3 -- .C58 1999eb</t>
  </si>
  <si>
    <t>Universities and colleges -- England -- History. ; Education, Medieval -- England. ; England -- Intellectual life -- 1066-1485.</t>
  </si>
  <si>
    <t>Learning Mathematics : From Hierarchies to Networks</t>
  </si>
  <si>
    <t>Burton, Prof Leone;Burton, Leone</t>
  </si>
  <si>
    <t>QA11.L437 -- 2002eb</t>
  </si>
  <si>
    <t>Philosophy</t>
  </si>
  <si>
    <t>Rethinking the Mathematics Curriculum</t>
  </si>
  <si>
    <t>Hoyles, Celia;Morgan, Candia;Woodhouse, Geoffrey</t>
  </si>
  <si>
    <t>QA11 -- .R484 1999eb</t>
  </si>
  <si>
    <t>510/.71</t>
  </si>
  <si>
    <t>Curriculum change</t>
  </si>
  <si>
    <t>Combating Educational Disadvantage : Meeting the Needs of Vulnerable Children</t>
  </si>
  <si>
    <t>Cox, Theo</t>
  </si>
  <si>
    <t>LC4065$b.C66 2000</t>
  </si>
  <si>
    <t>Educational change</t>
  </si>
  <si>
    <t>Special Education Reformed : Inclusion - Beyond Rhetoric?</t>
  </si>
  <si>
    <t>Daniels, Harry</t>
  </si>
  <si>
    <t>LC1203.G7 -- S72 1999eb</t>
  </si>
  <si>
    <t>Great Britain</t>
  </si>
  <si>
    <t>Understanding the Boys : Issues of Behaviour and Achievement</t>
  </si>
  <si>
    <t>Head, John;Head, John</t>
  </si>
  <si>
    <t>LC1390.H43</t>
  </si>
  <si>
    <t>Improving Teaching and Learning in the Humanities</t>
  </si>
  <si>
    <t>Ashley, Martin;Harnett, Penelope;Kimber, Don</t>
  </si>
  <si>
    <t>Developing Primary Practice</t>
  </si>
  <si>
    <t>LB1564.G7 -- I47 1999eb</t>
  </si>
  <si>
    <t>Humanities -- Study and teaching (Elementary) -- Great Britain.</t>
  </si>
  <si>
    <t>The Curriculum of the Future : From the 'New Sociology of Education' to a Critical Theory of Learning</t>
  </si>
  <si>
    <t>Young, Michael F. D.</t>
  </si>
  <si>
    <t>Educational sociology</t>
  </si>
  <si>
    <t>Developing Teachers : The Challenges of Lifelong Learning</t>
  </si>
  <si>
    <t>Day, Chris</t>
  </si>
  <si>
    <t>Educational Change and Development</t>
  </si>
  <si>
    <t>LB1775$b.D39 1999</t>
  </si>
  <si>
    <t>In-service training</t>
  </si>
  <si>
    <t>Writing Your Doctoral Dissertation : Invisible Rules for Success</t>
  </si>
  <si>
    <t>Brause, Rita S.</t>
  </si>
  <si>
    <t>LB2369 -- .B72 2000eb</t>
  </si>
  <si>
    <t>Dissertations, Academic -- Handbooks, manuals, etc. ; Report writing -- Handbooks, manuals, etc.</t>
  </si>
  <si>
    <t>Education; Literature</t>
  </si>
  <si>
    <t>Creative Professional</t>
  </si>
  <si>
    <t>Ashcroft, Kate;James, David</t>
  </si>
  <si>
    <t>LB1777.4.G72 -- C74 1999eb</t>
  </si>
  <si>
    <t>Creative thinking -- Study and teaching (Secondary) -- Great Britain</t>
  </si>
  <si>
    <t>Understanding the Development of Inclusive Schools</t>
  </si>
  <si>
    <t>Ainscow, Mel</t>
  </si>
  <si>
    <t>LC1200$b.A56 2002</t>
  </si>
  <si>
    <t>371.9/046</t>
  </si>
  <si>
    <t>Special education</t>
  </si>
  <si>
    <t>Coordinating Information and Communications Technology Across the Primary School</t>
  </si>
  <si>
    <t>Harrison, Mike</t>
  </si>
  <si>
    <t>Subject Leaders' Handbooks Series</t>
  </si>
  <si>
    <t>LB1028.3 -- .H37 1998eb</t>
  </si>
  <si>
    <t>Educational technology -- Great Britain. ; Education, Elementary -- Great Britain -- Computer-assisted instruction.</t>
  </si>
  <si>
    <t>Students As Researchers : Creating Classrooms That Matter</t>
  </si>
  <si>
    <t>Kincheloe, Joe;Steinberg, Shirley</t>
  </si>
  <si>
    <t>Teachers' Library</t>
  </si>
  <si>
    <t>LB1028.24$b.S88 2002</t>
  </si>
  <si>
    <t>Critical thinking</t>
  </si>
  <si>
    <t>Sexual Bullying : Gender Conflict and Pupil Culture in Secondary Schools</t>
  </si>
  <si>
    <t>Duncan, Neil</t>
  </si>
  <si>
    <t>LC212.83.G</t>
  </si>
  <si>
    <t>Education, Secondary</t>
  </si>
  <si>
    <t>Study to Teach : A Guide to Studying in Teacher Education</t>
  </si>
  <si>
    <t>Herne, Steve;Jessel, John;Griffiths, Jenny</t>
  </si>
  <si>
    <t>LB1707 -- .S88 2000eb</t>
  </si>
  <si>
    <t>Teachers -- Training of. ; Teaching. ; Learning.</t>
  </si>
  <si>
    <t>Children's Reading Choices</t>
  </si>
  <si>
    <t>Coles, Martin;Hall, Christine</t>
  </si>
  <si>
    <t>Z1037.A1 -- C59 2001eb</t>
  </si>
  <si>
    <t>028.5/0941</t>
  </si>
  <si>
    <t>Children -- Books and reading -- Great Britain.</t>
  </si>
  <si>
    <t>General Works/Reference</t>
  </si>
  <si>
    <t>Racism, Gender Identities and Young Children : Social Relations in a Multi-Ethnic, Inner City Primary School</t>
  </si>
  <si>
    <t>Connolly, Paul</t>
  </si>
  <si>
    <t>Racism</t>
  </si>
  <si>
    <t>Key Issues for Primary Schools</t>
  </si>
  <si>
    <t>Farrell, Michael</t>
  </si>
  <si>
    <t>LA633 -- .F37 2002eb</t>
  </si>
  <si>
    <t>Education, Elementary -- Great Britain.</t>
  </si>
  <si>
    <t>Improving School Attendance</t>
  </si>
  <si>
    <t>Blyth, Eric;Milner, Judith</t>
  </si>
  <si>
    <t>LC135.G7 -- B59 1999eb</t>
  </si>
  <si>
    <t>371.2/94/0941</t>
  </si>
  <si>
    <t>Modern Languages and Learning Strategies : In Theory and Practice</t>
  </si>
  <si>
    <t>Grenfell, Michael;Harris, Vee</t>
  </si>
  <si>
    <t>PB35$b.G783 1999</t>
  </si>
  <si>
    <t>Language/Linguistics</t>
  </si>
  <si>
    <t>Thinking Through the Curriculum</t>
  </si>
  <si>
    <t>Burden, Robert;Williams, Marion</t>
  </si>
  <si>
    <t>LB1590.3.T</t>
  </si>
  <si>
    <t>Curricula</t>
  </si>
  <si>
    <t>Improving Children's Learning : Effective Teaching in the Primary School</t>
  </si>
  <si>
    <t>Dean, Joan</t>
  </si>
  <si>
    <t>Educational Management</t>
  </si>
  <si>
    <t>LB1725.G6 -- D43 2002eb</t>
  </si>
  <si>
    <t>Elementary school teaching -- Great Britain. ; Elementary school teachers -- Training of -- Great Britain. ; Effective teaching -- Great Britain.</t>
  </si>
  <si>
    <t>On the Subject of Drama</t>
  </si>
  <si>
    <t>Hornbrook, David</t>
  </si>
  <si>
    <t>PN1701 -- .O48 2002eb</t>
  </si>
  <si>
    <t>792/.071</t>
  </si>
  <si>
    <t>Use of Language Across the Secondary Curriculum</t>
  </si>
  <si>
    <t>Bearne, Eve</t>
  </si>
  <si>
    <t>LB1631 -- .B357 1999eb</t>
  </si>
  <si>
    <t>Language arts (Secondary) -- Great Britain. ; Language arts -- Correlation with content subjects -- Great Britain.</t>
  </si>
  <si>
    <t>Education; Language/Linguistics</t>
  </si>
  <si>
    <t>The Philosophy of Human Learning</t>
  </si>
  <si>
    <t>Routledge International Studies in the Philosophy of Education Series</t>
  </si>
  <si>
    <t>LB1060 -- .W56 2002eb</t>
  </si>
  <si>
    <t>153.1/5</t>
  </si>
  <si>
    <t>Learning -- Philosophy</t>
  </si>
  <si>
    <t>Education; Psychology</t>
  </si>
  <si>
    <t>Use of Language Across the Primary Curriculum</t>
  </si>
  <si>
    <t>LB1576 -- U74 1998eb</t>
  </si>
  <si>
    <t>English language -- Study and teaching (Elementary) -- Great Britain. ; Interdisciplinary approach in education -- Great Britain.</t>
  </si>
  <si>
    <t>Assessing Reading 2: Changing Practice in Classrooms</t>
  </si>
  <si>
    <t>Coles, Martin;Jenkins, Rhonda</t>
  </si>
  <si>
    <t>LB1050.46.</t>
  </si>
  <si>
    <t>Reading (Secondary)</t>
  </si>
  <si>
    <t>Assessing Reading 1: Theory and Practice : Theory and Practice</t>
  </si>
  <si>
    <t>Harrison, Colin;Salinger, Terry</t>
  </si>
  <si>
    <t>International Perspectives on Reading Assessment</t>
  </si>
  <si>
    <t>The Ethical School : Consequences, Consistency and Caring</t>
  </si>
  <si>
    <t>Haynes, Felicity</t>
  </si>
  <si>
    <t>LB1779 -- .H39 2002eb</t>
  </si>
  <si>
    <t>174/.937</t>
  </si>
  <si>
    <t>Teachers -- Professional ethics -- Australia -- Case studies.</t>
  </si>
  <si>
    <t>Informal Learning in the Workplace : Unmasking Human Resource Development</t>
  </si>
  <si>
    <t>Garrick, John</t>
  </si>
  <si>
    <t>HF5549.5.T7 -- G344 1998eb</t>
  </si>
  <si>
    <t>Employees -- Training of</t>
  </si>
  <si>
    <t>Business/Management</t>
  </si>
  <si>
    <t>The Japanese High School : Silence and Resistance</t>
  </si>
  <si>
    <t>Yoneyama, Shoko</t>
  </si>
  <si>
    <t>Nissan Institute/Routledge Japanese Studies</t>
  </si>
  <si>
    <t>LA1316.Y67</t>
  </si>
  <si>
    <t>Japan</t>
  </si>
  <si>
    <t>Gender, Policy and Educational Change : Shifting Agendas in the UK and Europe</t>
  </si>
  <si>
    <t>Riddell, Sheila;Salisbury, Jane</t>
  </si>
  <si>
    <t>LC213.3.G7 -- G48 2000eb</t>
  </si>
  <si>
    <t>Sex discrimination in education</t>
  </si>
  <si>
    <t>Early Socialisation : Sociability and Attachment</t>
  </si>
  <si>
    <t>Flanagan, Cara</t>
  </si>
  <si>
    <t>Routledge Modular Psychology Series</t>
  </si>
  <si>
    <t>HQ783 -- .F53 1999eb</t>
  </si>
  <si>
    <t>Socialization</t>
  </si>
  <si>
    <t>Learning Beyond the Classroom : Education for a Changing World</t>
  </si>
  <si>
    <t>Bentley, Tom;Gardner, Howard</t>
  </si>
  <si>
    <t>LA632 -- .B47 2003eb</t>
  </si>
  <si>
    <t>Classroom Pedagogy and Primary Practice</t>
  </si>
  <si>
    <t>McNamara, David;Mcnamara, Professor David</t>
  </si>
  <si>
    <t>LB1555 -- .M425 1994eb</t>
  </si>
  <si>
    <t>Elementary school teaching -- Great Britain. ; Classroom management -- Great Britain.</t>
  </si>
  <si>
    <t>Bilingualism in the Primary School : A Handbook for Teachers</t>
  </si>
  <si>
    <t>Mills, Richard;Mills, Jean</t>
  </si>
  <si>
    <t>LC3736.G6 -- B55 1993eb</t>
  </si>
  <si>
    <t>Education, Elementary -- Great Britain -- Case studies</t>
  </si>
  <si>
    <t>Children's Understanding of Disability</t>
  </si>
  <si>
    <t>Lewis, Ann</t>
  </si>
  <si>
    <t>LC4036.G7 -- L48 1995eb</t>
  </si>
  <si>
    <t>Mainstreaming in education -- Great Britain. ; Children with disabilities -- Great Britain -- Attitudes. ; Learning disabled children -- Great Britain -- Attitudes.</t>
  </si>
  <si>
    <t>Managing the Primary School</t>
  </si>
  <si>
    <t>LB2901 -- .D4 1995eb</t>
  </si>
  <si>
    <t>372.12/00941</t>
  </si>
  <si>
    <t>Education, Elementary -- England</t>
  </si>
  <si>
    <t>Troublesome Behaviour in the Classroom : Meeting Individual Needs</t>
  </si>
  <si>
    <t>McManus, Mick</t>
  </si>
  <si>
    <t>LB3013 -- .M387 2002eb</t>
  </si>
  <si>
    <t>Problem children -- Education</t>
  </si>
  <si>
    <t>Primary Special Needs and the National Curriculum</t>
  </si>
  <si>
    <t>LC4706.G7L</t>
  </si>
  <si>
    <t>371.9/0472/0941</t>
  </si>
  <si>
    <t>Partnership in the Primary School : Working in Collaboration</t>
  </si>
  <si>
    <t>Mills, Jean</t>
  </si>
  <si>
    <t>LB1025.3 -- .P36 1996eb</t>
  </si>
  <si>
    <t>372.1/102/0941</t>
  </si>
  <si>
    <t>Teaching -- Great Britain. ; Teaching teams -- Great Britain. ; Education, Primary -- Great Britain. ; Curriculum planning -- Great Britain.</t>
  </si>
  <si>
    <t>A Curriculum for the Pre-School Child : Learning to Learn</t>
  </si>
  <si>
    <t>Curtis, Audrey</t>
  </si>
  <si>
    <t>LB1140.4.C</t>
  </si>
  <si>
    <t>Wales</t>
  </si>
  <si>
    <t>Schooling and Social Change 1964-1990</t>
  </si>
  <si>
    <t>Lowe, Roy</t>
  </si>
  <si>
    <t>LC191.8.G7</t>
  </si>
  <si>
    <t>Moving on in Your Career : A Guide for Academics and Postgraduates</t>
  </si>
  <si>
    <t>Ali, Lynda;Graham, Barbara</t>
  </si>
  <si>
    <t>LB1778.4.G7 -- A45 2000eb</t>
  </si>
  <si>
    <t>378.1/2/02341</t>
  </si>
  <si>
    <t>Career development</t>
  </si>
  <si>
    <t>Separating, Losing and Excluding Children : Narratives of Difference</t>
  </si>
  <si>
    <t>Billington, Tom</t>
  </si>
  <si>
    <t>Master Classes in Education</t>
  </si>
  <si>
    <t>HV715$b.B55 2000</t>
  </si>
  <si>
    <t>Child psychology</t>
  </si>
  <si>
    <t>Boys, Girls and Achievement : Addressing the Classroom Issues</t>
  </si>
  <si>
    <t>Francis, Becky</t>
  </si>
  <si>
    <t>LC212.9 -- . F73 2000eb</t>
  </si>
  <si>
    <t>Creating the Future School : Coming, Ready or Not</t>
  </si>
  <si>
    <t>Beare, Hedley</t>
  </si>
  <si>
    <t>Student Outcomes and the Reform of Education</t>
  </si>
  <si>
    <t>LB41.5.B44</t>
  </si>
  <si>
    <t>370/.1/12</t>
  </si>
  <si>
    <t>The Counselling Approach to Careers Guidance</t>
  </si>
  <si>
    <t>HF5381 -- .A578 1996eb</t>
  </si>
  <si>
    <t>Vocational guidance -- Study and teaching. ; Counseling -- Study and teaching.</t>
  </si>
  <si>
    <t>Psychology; Business/Management</t>
  </si>
  <si>
    <t>School Effectiveness for Whom?</t>
  </si>
  <si>
    <t>Slee, Roger;Tomlinson, Sally;Weiner, Gaby</t>
  </si>
  <si>
    <t>LB2822.84.G7 -- S346 2003eb</t>
  </si>
  <si>
    <t>School improvement programs</t>
  </si>
  <si>
    <t>Reflecting on Literacy in Education</t>
  </si>
  <si>
    <t>Hannon, Peter</t>
  </si>
  <si>
    <t>LC156.G7 -- H34 2001eb</t>
  </si>
  <si>
    <t>379.2/4/0941</t>
  </si>
  <si>
    <t>Beyond the National Curriculum : Curricular Centralism and Cultural Diversity in Europe and the USA</t>
  </si>
  <si>
    <t>Coulby, Professor David;Coulby, David</t>
  </si>
  <si>
    <t>LB1564.E85 -- C68 2000eb</t>
  </si>
  <si>
    <t>Multicultural education - Europe</t>
  </si>
  <si>
    <t>Beyond the Boundaries of Physical Education : Educating Young People for Citizenship and Social Responsibility</t>
  </si>
  <si>
    <t>Laker, Anthony</t>
  </si>
  <si>
    <t>GV342.27$b.L25 2000</t>
  </si>
  <si>
    <t>370.1/14</t>
  </si>
  <si>
    <t>Citizenship</t>
  </si>
  <si>
    <t>Education; Sport &amp;amp; Recreation</t>
  </si>
  <si>
    <t>Testing: Friend or Foe? : Theory and Practice of Assessment and Testing</t>
  </si>
  <si>
    <t>Black, Paul</t>
  </si>
  <si>
    <t>Educational tests and measurements</t>
  </si>
  <si>
    <t>Developing a Leadership Role Within the Key Stage 2 Curriculum : A Handbook for Students and Newly Qualified Teachers</t>
  </si>
  <si>
    <t>Coordinating English at Key Stage 1</t>
  </si>
  <si>
    <t>Gill, Narinderjit;Tyrrell, Jenny</t>
  </si>
  <si>
    <t>LB1576 -- .T97 2000eb</t>
  </si>
  <si>
    <t>Overcoming Learning and Behaviour Difficulties : Partnership with Pupils</t>
  </si>
  <si>
    <t>Charlton, Tony;Jones, Kevin;Jones, Kevin</t>
  </si>
  <si>
    <t>Overseas Students in Higher Education : Issues in Teaching and Learning</t>
  </si>
  <si>
    <t>Harris, Robert;McNamara, David;Mcnamara, Professor David</t>
  </si>
  <si>
    <t>LB2376.6.G7 -- O84 1997eb</t>
  </si>
  <si>
    <t>Education, Higher</t>
  </si>
  <si>
    <t>Understanding Educational Research</t>
  </si>
  <si>
    <t>Scott, David;Usher, Robin</t>
  </si>
  <si>
    <t>LB1028 -- .U53 1996eb</t>
  </si>
  <si>
    <t>Education -- Research.</t>
  </si>
  <si>
    <t>Teaching Young Adults : A Handbook for Teachers in Post-Compulsory Education</t>
  </si>
  <si>
    <t>Dawn, Trevor;Harkin, Joe;Turner, Gill</t>
  </si>
  <si>
    <t>LB1607.53.G7 -- H37 2000eb</t>
  </si>
  <si>
    <t>High school teaching -- Great Britain</t>
  </si>
  <si>
    <t>Effective Curriculum Management : Co-Ordinating Learning in the Primary School</t>
  </si>
  <si>
    <t>Kitson, Neil;O'Neill, John</t>
  </si>
  <si>
    <t>LB2806.15 -- .E366 1996eb</t>
  </si>
  <si>
    <t>Curriculum planning -- Great Britain. ; Education, Elementary -- Curricula -- Great Britain.</t>
  </si>
  <si>
    <t>Reframing the Early Childhood Curriculum : Educational Imperatives for the Future</t>
  </si>
  <si>
    <t>Page, Jane</t>
  </si>
  <si>
    <t>LB1139.4 -- .P34 2000eb</t>
  </si>
  <si>
    <t>Forecasting</t>
  </si>
  <si>
    <t>Special Needs in the Early Years : Snapshots of Practice</t>
  </si>
  <si>
    <t>Wolfendale, Sheila</t>
  </si>
  <si>
    <t>LC4036.G7 -- S69 2000eb</t>
  </si>
  <si>
    <t>371.9/0472</t>
  </si>
  <si>
    <t>Issues in Physical Education</t>
  </si>
  <si>
    <t>Capel, Susan;Piotrowski, Susan;Piotrowski, Sue</t>
  </si>
  <si>
    <t>Issues in Teaching Series</t>
  </si>
  <si>
    <t>GV361 -- .I78 2000eb</t>
  </si>
  <si>
    <t>Study and teaching (Secondary)</t>
  </si>
  <si>
    <t>Sport &amp;amp; Recreation; Health</t>
  </si>
  <si>
    <t>Teaching in the Primary School : A Learning Relationship</t>
  </si>
  <si>
    <t>Kitson, Neil;Merry, Roger</t>
  </si>
  <si>
    <t>LA633 -- .T44 1997eb</t>
  </si>
  <si>
    <t>Education, Elementary -- Great Britain. ; Elementary school teaching -- Great Britain. ; Child development -- Great Britain.</t>
  </si>
  <si>
    <t>Science 3-13 : The Past, the Present and Possible Futures</t>
  </si>
  <si>
    <t>Linfield, Rachel Sparks;Sparks Linfield, Rachel;Warwick, Paul</t>
  </si>
  <si>
    <t>LB1585.5.G7 -- S33 2000eb</t>
  </si>
  <si>
    <t>Science - Study and teaching (Elementary) - Great Britain</t>
  </si>
  <si>
    <t>Science: General; Education</t>
  </si>
  <si>
    <t>Differentiation and Diversity in the Primary School</t>
  </si>
  <si>
    <t>LC3986.G7 -- D54 1996eb</t>
  </si>
  <si>
    <t>Mainstreaming in education -- Great Britain. ; Education, Elementary -- Curricula -- Great Britain -- Planning. ; Classroom management -- Great Britain. ; Teaching -- Great Britain.</t>
  </si>
  <si>
    <t>City Literacies : Learning to Read Across Generations and Cultures</t>
  </si>
  <si>
    <t>Gregory, Eve;Williams, Ann</t>
  </si>
  <si>
    <t>Literacies Series</t>
  </si>
  <si>
    <t>LC156.G72</t>
  </si>
  <si>
    <t>302.2/244/094212</t>
  </si>
  <si>
    <t>Multicultural education</t>
  </si>
  <si>
    <t>Drama 7-11 : Developing Primary Teaching Skills</t>
  </si>
  <si>
    <t>Kitson, Neil;Spiby, Ian</t>
  </si>
  <si>
    <t>Curriculum in Primary Practice</t>
  </si>
  <si>
    <t>PN1701 -- .K47 1997eb</t>
  </si>
  <si>
    <t>Drama -- Study and teaching (Primary) ; Acting teachers -- Training of.</t>
  </si>
  <si>
    <t>Fine Arts; Education</t>
  </si>
  <si>
    <t>INSET for NQTs : An in-School Course for Teachers in the Primary School</t>
  </si>
  <si>
    <t>Kitson, Neil</t>
  </si>
  <si>
    <t>LB2844.1.N4 -- K57 2000eb</t>
  </si>
  <si>
    <t>Elementary school teachers</t>
  </si>
  <si>
    <t>Basic Education at a Distance : World Review of Distance Education and Open Learning: Volume 2</t>
  </si>
  <si>
    <t>Bradley, Jo;Yates, Chris</t>
  </si>
  <si>
    <t>World Review of Distance Education and Open Learning</t>
  </si>
  <si>
    <t>LC5800.B38</t>
  </si>
  <si>
    <t>Time to Listen to Children : Personal and Professional Communication</t>
  </si>
  <si>
    <t>Carolin, Birgit;Milner, Pat</t>
  </si>
  <si>
    <t>HV751.A6 -- T53 1999eb</t>
  </si>
  <si>
    <t>Child psychotherapy</t>
  </si>
  <si>
    <t>Individual Learners : Personality Differences in Education</t>
  </si>
  <si>
    <t>Crozier, W. Ray</t>
  </si>
  <si>
    <t>LB1117.C76</t>
  </si>
  <si>
    <t>371.8/01/9</t>
  </si>
  <si>
    <t>Learning, Psychology of</t>
  </si>
  <si>
    <t>Learning with Computers : Analysing Productive Interactions</t>
  </si>
  <si>
    <t>Light, Paul;Littleton, Karen</t>
  </si>
  <si>
    <t>LB1028.5 -- .L3886 1999eb</t>
  </si>
  <si>
    <t>Computer-assisted instruction. ; Educational technology. ; Group work in education. ; Social interaction in children.</t>
  </si>
  <si>
    <t>Honored but Invisible : An Inside Look at Teaching in Community Colleges</t>
  </si>
  <si>
    <t>Grubb, W. Norton</t>
  </si>
  <si>
    <t>LB2331 -- .G78 1999eb</t>
  </si>
  <si>
    <t>Teaching</t>
  </si>
  <si>
    <t>Academic Keywords : A Devil's Dictionary for Higher Education</t>
  </si>
  <si>
    <t>Nelson, Cary;Watt, Stephen</t>
  </si>
  <si>
    <t>LB2324 -- .N45 1999eb</t>
  </si>
  <si>
    <t>378/.001/4</t>
  </si>
  <si>
    <t>Universities and colleges -- Terminology.</t>
  </si>
  <si>
    <t>Answering Back : Girls, Boys and Feminism in Schools</t>
  </si>
  <si>
    <t>Blackmore, Jill;Kenway, Jane;Rennie, Leonie;Willis, Sue</t>
  </si>
  <si>
    <t>LC197.A56</t>
  </si>
  <si>
    <t>Feminism and education</t>
  </si>
  <si>
    <t>Women in Teacher Training Colleges, 1900-1960 : A Culture of Femininity</t>
  </si>
  <si>
    <t>Edwards, Elizabeth</t>
  </si>
  <si>
    <t>Women's and Gender History Series</t>
  </si>
  <si>
    <t>LB2837 -- .E39 2001eb</t>
  </si>
  <si>
    <t>Social conditions</t>
  </si>
  <si>
    <t>Teaching and Learning in the Primary School</t>
  </si>
  <si>
    <t>POLLARD, Andrew;Bourne, Jill</t>
  </si>
  <si>
    <t>LA633.T43</t>
  </si>
  <si>
    <t>Education, Elementary -- Great Britain. ; Elementary school teaching -- Great Britain. ; Learning.</t>
  </si>
  <si>
    <t>Gender and Choice in Education and Occupation</t>
  </si>
  <si>
    <t>Radford, John</t>
  </si>
  <si>
    <t>HQ1075.G45</t>
  </si>
  <si>
    <t>306.3/615</t>
  </si>
  <si>
    <t>Sex differences</t>
  </si>
  <si>
    <t>Differently Literate : Boys, Girls and the Schooling of Literacy</t>
  </si>
  <si>
    <t>Millard, Elaine</t>
  </si>
  <si>
    <t>LB1576 -- .M49 1997eb</t>
  </si>
  <si>
    <t>372.6/0941</t>
  </si>
  <si>
    <t>Sex differences in education</t>
  </si>
  <si>
    <t>Studying Teachers' Lives</t>
  </si>
  <si>
    <t>Goodison, I.</t>
  </si>
  <si>
    <t>Investigating Schooling Series</t>
  </si>
  <si>
    <t>LB1775 -- .S75 1992eb</t>
  </si>
  <si>
    <t>Women teachers -- Biography</t>
  </si>
  <si>
    <t>Secondary Education in England 1870-1902 : Public Activity and Private Enterprise</t>
  </si>
  <si>
    <t>Roach, Prof John;Roach, John</t>
  </si>
  <si>
    <t>Art in the Primary School</t>
  </si>
  <si>
    <t>Lancaster, John</t>
  </si>
  <si>
    <t>Subjects in the Primary School Series</t>
  </si>
  <si>
    <t>NX343</t>
  </si>
  <si>
    <t>Arts - Study and teaching (Elementary) - Great Britain</t>
  </si>
  <si>
    <t>Education; Fine Arts</t>
  </si>
  <si>
    <t>Girl Friendly Schooling</t>
  </si>
  <si>
    <t>Cruickshank, Maureen;Deem, Rosemary;Kant, Lesley;Whyte, Judith</t>
  </si>
  <si>
    <t>LC2052 -- .G55 1985eb</t>
  </si>
  <si>
    <t>Educational equalization - Great Britain - Congresses</t>
  </si>
  <si>
    <t>The Management of Special Needs in Ordinary Schools</t>
  </si>
  <si>
    <t>Jones, Neville;Southgate, Tim</t>
  </si>
  <si>
    <t>LC3965 -- .M274 1989eb</t>
  </si>
  <si>
    <t>Teachers In-service education</t>
  </si>
  <si>
    <t>Managing External Relations in Schools : A Practical Guide</t>
  </si>
  <si>
    <t>Foskett, Nicholas Hedley</t>
  </si>
  <si>
    <t>LB2847.M36</t>
  </si>
  <si>
    <t>Universities and colleges -- Public relations -- Great Britain</t>
  </si>
  <si>
    <t>Topic Work in the Early Years : Organising the Curriculum for Four to Eight Year Olds</t>
  </si>
  <si>
    <t>Palmer, Joy;Pettitt, Deirdre</t>
  </si>
  <si>
    <t>Paulo Freire : A Critical Encounter</t>
  </si>
  <si>
    <t>Leonard, Peter;McLaren, Peter</t>
  </si>
  <si>
    <t>LB880.F732</t>
  </si>
  <si>
    <t>Education -- Philosophy. ; Educational sociology.</t>
  </si>
  <si>
    <t>Secondary Teachers at Work</t>
  </si>
  <si>
    <t>Campbell, Jim;Neill, S. R. St. J.</t>
  </si>
  <si>
    <t>The Teaching As Work Project Series</t>
  </si>
  <si>
    <t>LB1777.4.G72 -- C36 1994eb</t>
  </si>
  <si>
    <t>373.11/00941</t>
  </si>
  <si>
    <t>Teachers -- Great Britain</t>
  </si>
  <si>
    <t>A Basis for Music Education</t>
  </si>
  <si>
    <t>Swanwick, Keith</t>
  </si>
  <si>
    <t>MT1 -- .S94 1979eb</t>
  </si>
  <si>
    <t>Music -- Instruction and study. ; Education -- Aids and devices.</t>
  </si>
  <si>
    <t>Quality Assurance in Continuing Professional Education : An Analysis</t>
  </si>
  <si>
    <t>Tovey, Philip</t>
  </si>
  <si>
    <t>LC1059.T68</t>
  </si>
  <si>
    <t>378/.013/0941</t>
  </si>
  <si>
    <t>Professional education -- Great Britain -- Evaluation. ; Continuing education -- Great Britain -- Evaluation. ; Quality assurance -- Great Britain.</t>
  </si>
  <si>
    <t>Emotional Growth and Learning</t>
  </si>
  <si>
    <t>Greenhalgh, Paul</t>
  </si>
  <si>
    <t>LB1073.G74</t>
  </si>
  <si>
    <t>Tackling Bullying in Your School : A Practical Handbook for Teachers</t>
  </si>
  <si>
    <t>Sharp, Sonia;Smith, Peter K.;Smith, Peter</t>
  </si>
  <si>
    <t>371.5/8</t>
  </si>
  <si>
    <t>Bullying</t>
  </si>
  <si>
    <t>Effective Schooling for the Community : Core-Plus Education</t>
  </si>
  <si>
    <t>Townsend, Tony</t>
  </si>
  <si>
    <t>LC215 -- .T65 1994eb</t>
  </si>
  <si>
    <t>Community and school -- Cross-cultural studies. ; School management and organization -- Cross-cultural studies. ; Education -- Curricula -- Cross-cultural studies. ; Educational change -- Cross-cultural studies.</t>
  </si>
  <si>
    <t>Quality Teaching : A Sample of Cases</t>
  </si>
  <si>
    <t>Stones, Edgar</t>
  </si>
  <si>
    <t>Case studies</t>
  </si>
  <si>
    <t>Managing Resources for School Improvement</t>
  </si>
  <si>
    <t>Martin, Jane;Nfa, Jane Martin;Thomas, Hywel</t>
  </si>
  <si>
    <t>LB2826.6.G</t>
  </si>
  <si>
    <t>School management and organization</t>
  </si>
  <si>
    <t>Schools at the Centre</t>
  </si>
  <si>
    <t>Bullock, Alison;Thomas, Hywel</t>
  </si>
  <si>
    <t>Cross-cultural studies</t>
  </si>
  <si>
    <t>Restructuring and Quality: Issues for Tomorrow's Schools : Issues for Tomorrow's Schools</t>
  </si>
  <si>
    <t>LB2805.R45</t>
  </si>
  <si>
    <t>Education and state</t>
  </si>
  <si>
    <t>Working with Experience : Animating Learning</t>
  </si>
  <si>
    <t>Boud, David;Miller, Nod;etc.</t>
  </si>
  <si>
    <t>LB1027.23.</t>
  </si>
  <si>
    <t>370.15/23</t>
  </si>
  <si>
    <t>Experiential learning</t>
  </si>
  <si>
    <t>Children with Visual Impairments : Social Interaction, Language and Learning</t>
  </si>
  <si>
    <t>Roe, Joao;Webster, Alec</t>
  </si>
  <si>
    <t>HV1626.W43</t>
  </si>
  <si>
    <t>Teaching Modern Foreign Languages at Advanced Level</t>
  </si>
  <si>
    <t>Pachler, Norbert</t>
  </si>
  <si>
    <t>PB35 -- .T42 1999eb</t>
  </si>
  <si>
    <t>418/.0071</t>
  </si>
  <si>
    <t>Languages, Modern -- Study and teaching.</t>
  </si>
  <si>
    <t>Teachers and the State : Towards a Directed Profession</t>
  </si>
  <si>
    <t>Bottery, Mike;Wright, Nigel</t>
  </si>
  <si>
    <t>Routledge Research in Education Series</t>
  </si>
  <si>
    <t>LB1775.4.G7 -- B68 2000eb</t>
  </si>
  <si>
    <t>Teachers -- Great Britain. ; Education and state -- Great Britain. ; Teachers -- Training of -- Great Britain. ; Teachers -- Cross-cultural studies.</t>
  </si>
  <si>
    <t>Assessment: Social Practice and Social Product</t>
  </si>
  <si>
    <t>Filer, Ann</t>
  </si>
  <si>
    <t>LB3051 -- .E265 2000eb</t>
  </si>
  <si>
    <t>Examinations -- Social aspects -- Great Britain</t>
  </si>
  <si>
    <t>Leadership for Change and School Reform : International Perspectives</t>
  </si>
  <si>
    <t>Riley, Kathryn;Seashore Louis, Karen</t>
  </si>
  <si>
    <t>LB2806 -- .L382 2000eb</t>
  </si>
  <si>
    <t>Methods in Philosophy of Education</t>
  </si>
  <si>
    <t>Heyting, Frieda;Lenzen, Dieter;White, John;White, John</t>
  </si>
  <si>
    <t>LB41 -- .M619 2002eb</t>
  </si>
  <si>
    <t>Education -- Philosophy.</t>
  </si>
  <si>
    <t>Transitions in the Early Years : Debating Continuity and Progression for Children in Early Education</t>
  </si>
  <si>
    <t>Dunlop, Aline-Wendy;Fabian, Hilary</t>
  </si>
  <si>
    <t>LB1139.23 -- .T73 2002eb</t>
  </si>
  <si>
    <t>A Liberal Vocationalism</t>
  </si>
  <si>
    <t>Brennan, John;Silver, Harold</t>
  </si>
  <si>
    <t>Vocational education - Great Britain</t>
  </si>
  <si>
    <t>Supervision in Teacher Education : A Counselling and Pedagogical Approach</t>
  </si>
  <si>
    <t>Stones, Edger</t>
  </si>
  <si>
    <t>Training of</t>
  </si>
  <si>
    <t>Sociology and School Knowledge</t>
  </si>
  <si>
    <t>Whitty, Geoff</t>
  </si>
  <si>
    <t>Curriculum planning - Social aspects -</t>
  </si>
  <si>
    <t>The Role of Assessment in Schools</t>
  </si>
  <si>
    <t>Sumner, Ray</t>
  </si>
  <si>
    <t>Examinations - Design and construction</t>
  </si>
  <si>
    <t>Mental Handicap : Dilemmas of Parent-Professional Relations</t>
  </si>
  <si>
    <t>Dyson, Simon</t>
  </si>
  <si>
    <t>HV891 -- .D97 1987eb</t>
  </si>
  <si>
    <t>362.3/86</t>
  </si>
  <si>
    <t>Children with mental disabilities -- Services for. ; Parents of children with disabilities -- Counseling of. ; Counselor and client. ; Parent-teacher relationships.</t>
  </si>
  <si>
    <t>Enduring Schools : Problems and Possibilities</t>
  </si>
  <si>
    <t>LA337.B73</t>
  </si>
  <si>
    <t>Education -- New York (State) -- Case studies. ; Learning -- Case studies.</t>
  </si>
  <si>
    <t>Educational Reform at the State Level: the Politics and Problems of Implementation</t>
  </si>
  <si>
    <t>Madsen, Jean</t>
  </si>
  <si>
    <t>LC89 -- .M18 1994eb</t>
  </si>
  <si>
    <t>State departments of education -- United States -- Case studies</t>
  </si>
  <si>
    <t>The Politics of Linking Schools and Social Services : The 1993 Yearbook of the Politics of Education Association</t>
  </si>
  <si>
    <t>Adler, Louise;Gardner, Sid;Goodson, Ivor G.</t>
  </si>
  <si>
    <t>LB2801.A2 -- P65 1994eb</t>
  </si>
  <si>
    <t>Community and school</t>
  </si>
  <si>
    <t>Outcomes, Learning and the Curriculum : Implications for Nvqs, Gnvqs and Other Qualifications</t>
  </si>
  <si>
    <t>Burke, John</t>
  </si>
  <si>
    <t>LC1033.G7O</t>
  </si>
  <si>
    <t>Competency-based education -- Great Britain -- Congresses. ; School-to-work transition -- Great Britain -- Congresses. ; Vocational qualifications -- Great Britain -- Congresses.</t>
  </si>
  <si>
    <t>Children's Childhoods : Observed and Experienced</t>
  </si>
  <si>
    <t>Mayall, Berry</t>
  </si>
  <si>
    <t>HQ767.9.C4</t>
  </si>
  <si>
    <t>Child development. ; Children. ; Children and adults. ; Socialization.</t>
  </si>
  <si>
    <t>Complexities of Teaching : Child-Centred Perspectives</t>
  </si>
  <si>
    <t>Sugrue, Ciaran</t>
  </si>
  <si>
    <t>New Prospects</t>
  </si>
  <si>
    <t>Elementary school teaching</t>
  </si>
  <si>
    <t>Cross-Curricular Primary Practice : Taking a Leadership Role</t>
  </si>
  <si>
    <t>Webb, Rosemary</t>
  </si>
  <si>
    <t>LB1564.G7C</t>
  </si>
  <si>
    <t>Reshaping Education in The 1990s : Perspectives on Primary Schooling</t>
  </si>
  <si>
    <t>Chawla-Duggan, Rita;Pole, Christopher J.</t>
  </si>
  <si>
    <t>LA633 -- .R47 1996eb</t>
  </si>
  <si>
    <t>Curriculum planning -- Great Britain -- Congresses</t>
  </si>
  <si>
    <t>Mentoring in Physical Education : Issues and Insights</t>
  </si>
  <si>
    <t>Mawer, Mick</t>
  </si>
  <si>
    <t>GV363.M38</t>
  </si>
  <si>
    <t>613.7/07</t>
  </si>
  <si>
    <t>Student teaching</t>
  </si>
  <si>
    <t>Health; Sport &amp;amp; Recreation</t>
  </si>
  <si>
    <t>Transforming Schools</t>
  </si>
  <si>
    <t>Telford, Helen</t>
  </si>
  <si>
    <t>LB2979.T45</t>
  </si>
  <si>
    <t>The International Handbook of School Effectiveness Research</t>
  </si>
  <si>
    <t>Reynolds, David;Teddlie, Charles</t>
  </si>
  <si>
    <t>LB2822.75.</t>
  </si>
  <si>
    <t>Schools - Evaluation - Research.</t>
  </si>
  <si>
    <t>The Inner Principal</t>
  </si>
  <si>
    <t>Loader, David</t>
  </si>
  <si>
    <t>LB2831.9.L</t>
  </si>
  <si>
    <t>Educational leadership</t>
  </si>
  <si>
    <t>The Gender Politics of Educational Change</t>
  </si>
  <si>
    <t>Datnow, Amanda</t>
  </si>
  <si>
    <t>LB2822.2$b.D38 1998</t>
  </si>
  <si>
    <t>Teaching about Teaching : Purpose, Passion and Pedagogy in Teacher Education</t>
  </si>
  <si>
    <t>Russell, Tom;Loughran, John</t>
  </si>
  <si>
    <t>LB1707$b.T446 1997</t>
  </si>
  <si>
    <t>370/.71</t>
  </si>
  <si>
    <t>No Quick Fixes : Perspectives on Schools in Difficulty</t>
  </si>
  <si>
    <t>Stoll, Louise;Myers, Kate</t>
  </si>
  <si>
    <t>LB2900.5$b.N6 1998</t>
  </si>
  <si>
    <t>Subject Knowledge : Readings for the Study of School Subjects</t>
  </si>
  <si>
    <t>Anstead, Christopher J.;Goodson, Ivor F.;Mangan, J. Marshall</t>
  </si>
  <si>
    <t>LB1570 -- .G6686 1998eb</t>
  </si>
  <si>
    <t>Feminism and the Classroom Teacher : Research, Praxis, Pedagogy</t>
  </si>
  <si>
    <t>Coffey, Amanda;Delamont, Sara</t>
  </si>
  <si>
    <t>LC197 -- .C64 2000eb</t>
  </si>
  <si>
    <t>Postmodernism and education</t>
  </si>
  <si>
    <t>Physical Education: Teachers' Lives and Careers : PE, Sport and Educational Status</t>
  </si>
  <si>
    <t>Armour, Kathleen R.;Jones, Robyn L.</t>
  </si>
  <si>
    <t>Health</t>
  </si>
  <si>
    <t>Leading Improving Primary Schools : The Work of Heads and Deputies</t>
  </si>
  <si>
    <t>Southworth, Geoff</t>
  </si>
  <si>
    <t>LB2900.5 -- .S68 1998eb</t>
  </si>
  <si>
    <t>372.1/2/011/0941</t>
  </si>
  <si>
    <t>Education, Elementary</t>
  </si>
  <si>
    <t>'Race', Class and Gender in Exclusion from School</t>
  </si>
  <si>
    <t>McGlaughlin, Alex;Weekes, Debbie;Wright, Cecile</t>
  </si>
  <si>
    <t>LC212.3.G7</t>
  </si>
  <si>
    <t>Early Education Transformed</t>
  </si>
  <si>
    <t>Abbott, Lesley;Moylett, Helen;Moylett, Helen</t>
  </si>
  <si>
    <t>LB5 -- .E27 1999eb</t>
  </si>
  <si>
    <t>School Effectiveness : Fracturing the Discourse</t>
  </si>
  <si>
    <t>Morley, Louise;Rassool, Naz</t>
  </si>
  <si>
    <t>LB2822.75$b.M65 1999</t>
  </si>
  <si>
    <t>379.1/58</t>
  </si>
  <si>
    <t>Educational evaluation</t>
  </si>
  <si>
    <t>Teacher-Led School Improvement</t>
  </si>
  <si>
    <t>Durrant, Judith;Frost, David;Head, Michael;Holden, Gary</t>
  </si>
  <si>
    <t>LB2822.84.</t>
  </si>
  <si>
    <t>Learning and Teaching in Physical Education</t>
  </si>
  <si>
    <t>Hardy, Colin;Mawer, Mick</t>
  </si>
  <si>
    <t>GV361 -- .L42 1999eb</t>
  </si>
  <si>
    <t>Physical education and training -- Study and teaching -- Great Britain. ; Physical education teachers -- Great Britain.</t>
  </si>
  <si>
    <t>Teaching As a Professional Discipline : A Multi-Dimensional Model</t>
  </si>
  <si>
    <t>Squires, Geoffrey;Squires, Geoffrey</t>
  </si>
  <si>
    <t>LB1775 -- .S655 1999eb</t>
  </si>
  <si>
    <t>Teaching. ; Teachers. ; Professional socialization.</t>
  </si>
  <si>
    <t>Researching Teaching : Methodologies and Practices for Understanding Pedagogy</t>
  </si>
  <si>
    <t>Loughran, John</t>
  </si>
  <si>
    <t>Action research</t>
  </si>
  <si>
    <t>Schools and Community : The Communitarian Agenda in Education</t>
  </si>
  <si>
    <t>Arthur, James;Bailey, Richard</t>
  </si>
  <si>
    <t>LC221.4.G7 -- A78 2000eb</t>
  </si>
  <si>
    <t>Good Citizenship and Educational Provision</t>
  </si>
  <si>
    <t>Davies, Ian;Gregory, Ian;Riley, Shirley</t>
  </si>
  <si>
    <t>New Progressivism</t>
  </si>
  <si>
    <t>Silcock, Peter</t>
  </si>
  <si>
    <t>LA633 -- .D54 1999eb</t>
  </si>
  <si>
    <t>Progressive education</t>
  </si>
  <si>
    <t>The Challenge of Change in Physical Education</t>
  </si>
  <si>
    <t>Webb, Ida M.</t>
  </si>
  <si>
    <t>GV245 -- .W43 1999eb</t>
  </si>
  <si>
    <t>Chelsea School (University of Brighton)</t>
  </si>
  <si>
    <t>New Directions in Mentoring : Creating a Culture of Synergy</t>
  </si>
  <si>
    <t>Mullen, Carol A.;Lick, Dale W.</t>
  </si>
  <si>
    <t>LB1731.4 -- .N49 1999eb</t>
  </si>
  <si>
    <t>Mentoring in education</t>
  </si>
  <si>
    <t>The Philosophy of Mathematics Education</t>
  </si>
  <si>
    <t>Ernest, Paul</t>
  </si>
  <si>
    <t>QA11$b.E74 1991</t>
  </si>
  <si>
    <t>Mathematics - Study and teaching</t>
  </si>
  <si>
    <t>Teachers As Researchers : Qualitative Inquiry As a Path to Empowerment</t>
  </si>
  <si>
    <t>Kincheloe, Joe L.;Kincheloe Joe, L</t>
  </si>
  <si>
    <t>LB1028.25.U6 -- K56 2003eb</t>
  </si>
  <si>
    <t>Education -- Research -- United States. ; Teachers -- United States.</t>
  </si>
  <si>
    <t>Learning from Children Who Read at an Early Age</t>
  </si>
  <si>
    <t>Hughes, Diana;Stainthorp, Rhona</t>
  </si>
  <si>
    <t>LB1050.43 -- .S83 1999eb</t>
  </si>
  <si>
    <t>Cognition in children</t>
  </si>
  <si>
    <t>Write for Children</t>
  </si>
  <si>
    <t>Abingdon, Oxon</t>
  </si>
  <si>
    <t>Melrose, Andrew</t>
  </si>
  <si>
    <t>PN147.5 -- .M45 2002eb</t>
  </si>
  <si>
    <t>808/.06/8</t>
  </si>
  <si>
    <t>Children's literature -- Authorship.</t>
  </si>
  <si>
    <t>The Drama Classroom : Action, Reflection, Transformation</t>
  </si>
  <si>
    <t>Taylor, Philip</t>
  </si>
  <si>
    <t>PN3171 -- .T38 2003eb</t>
  </si>
  <si>
    <t>Drama in education</t>
  </si>
  <si>
    <t>Out and About : A Teacher's Guide to Safe Practice Out of School</t>
  </si>
  <si>
    <t>O'Connor, Maureen</t>
  </si>
  <si>
    <t>LB1047</t>
  </si>
  <si>
    <t>371.3/8</t>
  </si>
  <si>
    <t>School excursions - Great Britain</t>
  </si>
  <si>
    <t>Where Texts and Children Meet</t>
  </si>
  <si>
    <t>Bearne, Eve;Watson, Victor</t>
  </si>
  <si>
    <t>PR990 -- .W47 2000eb</t>
  </si>
  <si>
    <t>820.9/9282</t>
  </si>
  <si>
    <t>Children</t>
  </si>
  <si>
    <t>Design and Technology in the Primary School : Case Studies for Teachers</t>
  </si>
  <si>
    <t>Makiya, Hind;Rogers, Margaret</t>
  </si>
  <si>
    <t>T107.M34 1</t>
  </si>
  <si>
    <t>Education, Primary Great Britain</t>
  </si>
  <si>
    <t>Engineering; Education; Engineering: General</t>
  </si>
  <si>
    <t>Middle Management in Action : Practical Approaches to School Improvement</t>
  </si>
  <si>
    <t>Ruding, Eric;Ruding, Eric</t>
  </si>
  <si>
    <t>LB2822.84.G7 -- R83 2000eb</t>
  </si>
  <si>
    <t>371.2/00941</t>
  </si>
  <si>
    <t>School improvement programs -- Great Britain. ; Educational leadership -- Great Britain.</t>
  </si>
  <si>
    <t>Realism and Educational Research : New Perspectives and Possibilities</t>
  </si>
  <si>
    <t>Scott, David</t>
  </si>
  <si>
    <t>LB1028 -- .S34 2000eb</t>
  </si>
  <si>
    <t>370/.7/2</t>
  </si>
  <si>
    <t>Education -- Research -- Philosophy. ; Education -- Research -- Methodology. ; Postmodernism and education.</t>
  </si>
  <si>
    <t>Lifelong Learning : Education Across the Lifespan</t>
  </si>
  <si>
    <t>Field, John;Leicester, Mal</t>
  </si>
  <si>
    <t>LC5215 -- .L497 2000eb</t>
  </si>
  <si>
    <t>Adult education. ; Adult learning.</t>
  </si>
  <si>
    <t>Meeting the Standards in Primary Science : A Guide to the ITT NC</t>
  </si>
  <si>
    <t>Newton, Lynn D.</t>
  </si>
  <si>
    <t>LB1585.5.G7 -- N498 2000ebeb</t>
  </si>
  <si>
    <t>372.3/5044/0941</t>
  </si>
  <si>
    <t>Science -- Study and teaching (Elementary) -- Standards -- Great Britain.</t>
  </si>
  <si>
    <t>Women, Class and Education</t>
  </si>
  <si>
    <t>Thompson, Jane</t>
  </si>
  <si>
    <t>LC5056.A3 -- T56 2000eb</t>
  </si>
  <si>
    <t>374/.0082</t>
  </si>
  <si>
    <t>Social aspects</t>
  </si>
  <si>
    <t>Sociology of Sport and Physical Education : An Introduction</t>
  </si>
  <si>
    <t>GV706.5 -- .S63 2002eb</t>
  </si>
  <si>
    <t>Sociological aspects</t>
  </si>
  <si>
    <t>Social Science; Sport &amp;amp; Recreation</t>
  </si>
  <si>
    <t>Read My Mind : Young Children, Poetry and Learning</t>
  </si>
  <si>
    <t>LB1576 -- .S3434 1997eb</t>
  </si>
  <si>
    <t>Poetry -- Study and teaching (Elementary) ; Poetry -- Study and teaching (Elementary) -- Case studies. ; Poetry -- Authorship -- Study and teaching (Elementary) ; Reader-response criticism. ; Learning, Psychology of.</t>
  </si>
  <si>
    <t>The Aims of Education</t>
  </si>
  <si>
    <t>Marples, Roger</t>
  </si>
  <si>
    <t>LB41 -- .A36353 1999eb</t>
  </si>
  <si>
    <t>Education -- Aims and objectives. ; Education -- Philosophy. ; Autonomy (Psychology) ; Educational change.</t>
  </si>
  <si>
    <t>Asian Children at Home and at School : An Ethnographic Study</t>
  </si>
  <si>
    <t>Bhatti, Ghazala</t>
  </si>
  <si>
    <t>LC3485.G7 -- B53 2002eb</t>
  </si>
  <si>
    <t>The Primary School in Changing Times : The Australian Experience</t>
  </si>
  <si>
    <t>LA2104 -- .A97 1998eb</t>
  </si>
  <si>
    <t>Elementary schools -- Australia. ; Education, Elementary -- Australia. ; Educational change -- Australia.</t>
  </si>
  <si>
    <t>Inclusive Education : A Global Agenda</t>
  </si>
  <si>
    <t>Hegarty, Seamus;Meijer, Cor And;Pijl, Sip Jan;Meijer, Cor J. W.</t>
  </si>
  <si>
    <t>LC4015.I48</t>
  </si>
  <si>
    <t>How the Japanese Learn to Work</t>
  </si>
  <si>
    <t>Dore, R. P.;Sako, Mari</t>
  </si>
  <si>
    <t>LC1047.J3 -- D67 1998eb</t>
  </si>
  <si>
    <t>Occupational training</t>
  </si>
  <si>
    <t>Pupils in Transition</t>
  </si>
  <si>
    <t>Gardner, John;Nicholls, Professor Gill</t>
  </si>
  <si>
    <t>LB1626 -- .N53 1999eb</t>
  </si>
  <si>
    <t>Practical Work in School Science : Which Way Now?</t>
  </si>
  <si>
    <t>Wellington, Jerry</t>
  </si>
  <si>
    <t>Q183.4.G7 -- P7 1998eb</t>
  </si>
  <si>
    <t>Science; Science: General</t>
  </si>
  <si>
    <t>Special Education and School Reform in the United States and Britain</t>
  </si>
  <si>
    <t>McLaughlin, Maggie;Rouse, Martyn</t>
  </si>
  <si>
    <t>LC3986.G7 -- S64 2002eb</t>
  </si>
  <si>
    <t>Special education -- Great Britain. ; Special education -- United States. ; School improvement programs -- Great Britain. ; School improvement programs -- United States.</t>
  </si>
  <si>
    <t>Truancy and Schools</t>
  </si>
  <si>
    <t>Reid, Ken</t>
  </si>
  <si>
    <t>LB3081 -- .R45 2003eb</t>
  </si>
  <si>
    <t>School attendance -- Great Britain. ; Education and state -- Great Britain.</t>
  </si>
  <si>
    <t>Supporting Literacy : A Guide for Primary Classroom Assistants</t>
  </si>
  <si>
    <t>Grant, Kate</t>
  </si>
  <si>
    <t>LB1573 -- .G647 2002eb</t>
  </si>
  <si>
    <t>372.6/044/0941</t>
  </si>
  <si>
    <t>Teachers' assistants</t>
  </si>
  <si>
    <t>Effective Teaching in Higher Education</t>
  </si>
  <si>
    <t>Atkins, Madeleine;Brown, George</t>
  </si>
  <si>
    <t>LB2331.B71</t>
  </si>
  <si>
    <t>College teaching -- Great Britain</t>
  </si>
  <si>
    <t>Learning to Teach</t>
  </si>
  <si>
    <t>Bennett, Neville;Carre, Clive</t>
  </si>
  <si>
    <t>LB1725.G6B</t>
  </si>
  <si>
    <t>Teachers -- Training of -- Great Britain</t>
  </si>
  <si>
    <t>Promoting Inclusive Practice</t>
  </si>
  <si>
    <t>Florian, Lani;Rose, Richard;Tilstone, Christina</t>
  </si>
  <si>
    <t>LC1203.G7 -- T57 1998eb</t>
  </si>
  <si>
    <t>Inclusive education -- Great Britain</t>
  </si>
  <si>
    <t>Re-Making Teaching : Ideology, Policy and Practice</t>
  </si>
  <si>
    <t>Shacklock, Geoffrey;Smyth, John</t>
  </si>
  <si>
    <t>LB1775 -- .S59 2003eb</t>
  </si>
  <si>
    <t>Children's Perceptions of Learning with Trainee Teachers</t>
  </si>
  <si>
    <t>Cooper, Hilary.;Hyland, Rob</t>
  </si>
  <si>
    <t>LB2157.G7 -- C45 2000eb</t>
  </si>
  <si>
    <t>Achieving Competence, Success and Excellence in Teaching</t>
  </si>
  <si>
    <t>Brundrett, Mark;Silcock, Peter</t>
  </si>
  <si>
    <t>LB1025.3 -- .S543 2002eb</t>
  </si>
  <si>
    <t>Managing Teams in Secondary Schools</t>
  </si>
  <si>
    <t>Bell, Les</t>
  </si>
  <si>
    <t>LB2806.3 -- .B45 1992eb</t>
  </si>
  <si>
    <t>School management teams -- Great Britain</t>
  </si>
  <si>
    <t>Reading into Racism : Bias in Children's Literature and Learning Materials</t>
  </si>
  <si>
    <t>Klein, Gillian</t>
  </si>
  <si>
    <t>LB3045.64 -- .K57 1985eb</t>
  </si>
  <si>
    <t>371.3/2</t>
  </si>
  <si>
    <t>Textbook bias</t>
  </si>
  <si>
    <t>The Vocational Quest : New Directions in Education and Training</t>
  </si>
  <si>
    <t>Connell, Helen;Lowe, Nicholas;Skilbeck, Malcolm;Tait, Kirsten</t>
  </si>
  <si>
    <t>LC1047.G7 -- V63 1994eb</t>
  </si>
  <si>
    <t>Vocational education -- Great Britain. ; Education -- Great Britain.</t>
  </si>
  <si>
    <t>The Primary Curriculum : Learning from International Perspectives</t>
  </si>
  <si>
    <t>Hargreaves, Linda;Moyles, Janet</t>
  </si>
  <si>
    <t>Promoting Mental, Emotional and Social Health : A Whole School Approach</t>
  </si>
  <si>
    <t>Weare, Katherine</t>
  </si>
  <si>
    <t>LB3430 -- .W42 2002eb</t>
  </si>
  <si>
    <t>371.7/1</t>
  </si>
  <si>
    <t>Inside the Primary Classroom: 20 Years On</t>
  </si>
  <si>
    <t>Comber, Chris;Galton, Maurice;Hargreaves, Linda;Wall, Debbie</t>
  </si>
  <si>
    <t>LA633 -- .I57 1999eb</t>
  </si>
  <si>
    <t>Professional Experience and the Investigative Imagination : The Art of Reflective Writing</t>
  </si>
  <si>
    <t>Buck, Alyson;Sobiechowska, Paula;Winter, Richard</t>
  </si>
  <si>
    <t>LC1072.P73 -- W55 1999eb</t>
  </si>
  <si>
    <t>Practicums</t>
  </si>
  <si>
    <t>Special Educational Needs in Schools</t>
  </si>
  <si>
    <t>Beveridge, Sally</t>
  </si>
  <si>
    <t>Young People, Creativity and New Technologies : The Challenge of Digital Arts</t>
  </si>
  <si>
    <t>Sefton-Green, Julian;Sefton-Green, Julian</t>
  </si>
  <si>
    <t>LB1591.5.U6 -- Y68 1999eb</t>
  </si>
  <si>
    <t>Data processing</t>
  </si>
  <si>
    <t>Effective Classroom Teamwork : Support or Intrusion?</t>
  </si>
  <si>
    <t>Thomas, Gary</t>
  </si>
  <si>
    <t>LB1029.T4 -- T48 1992eb</t>
  </si>
  <si>
    <t>Teaching teams -- United States. ; Master teachers -- United States.</t>
  </si>
  <si>
    <t>Education in France : Continuity and Change in the Mitterrand Years 1981-1995</t>
  </si>
  <si>
    <t>Corbett, Anne;Moon, Bob</t>
  </si>
  <si>
    <t>LC93.F8 -- E374 1996eb</t>
  </si>
  <si>
    <t>Education and state -- France</t>
  </si>
  <si>
    <t>Curriculum Making in Post-16 Education : The Social Conditions of Studentship</t>
  </si>
  <si>
    <t>Bloomer, Martin</t>
  </si>
  <si>
    <t>LC1039.8.G7 -- B56 1997eb</t>
  </si>
  <si>
    <t>Post-compulsory education -- Curricula -- Great Britain. ; Post-compulsory education -- Social aspects -- Great Britain. ; Educational change -- Great Britain. ; Teacher participation in curriculum planning -- Great Britain. ; Student participation in curriculum planning -- Great Britain. ; Education and state -- Great Britain.</t>
  </si>
  <si>
    <t>Counselling Pupils in Schools : Skills and Strategies for Teachers</t>
  </si>
  <si>
    <t>Hall, Carol;Hall, Eric;Hornby, Garry</t>
  </si>
  <si>
    <t>LB1027.5 -- .C672 2003eb</t>
  </si>
  <si>
    <t>Teacher-student relationships</t>
  </si>
  <si>
    <t>Education in a Single Europe</t>
  </si>
  <si>
    <t>Brock, Colin;Tulasiewicz, Withold</t>
  </si>
  <si>
    <t>LA622 -- .E3814 2000eb</t>
  </si>
  <si>
    <t>Education -- European Union countries</t>
  </si>
  <si>
    <t>Action Research in Practice : Partnership for Social Justice in Education</t>
  </si>
  <si>
    <t>Atweh, Bill;Kemmis, Stephen;Weeks, Patricia</t>
  </si>
  <si>
    <t>LB1028.24.</t>
  </si>
  <si>
    <t>Action research in education</t>
  </si>
  <si>
    <t>Aspects of Modern Language Teaching in Europe</t>
  </si>
  <si>
    <t>Gewehr, Wolf</t>
  </si>
  <si>
    <t>PB38.E8 -- A85 1998eb</t>
  </si>
  <si>
    <t>418/.007/04</t>
  </si>
  <si>
    <t>Language and languages -- Study and teaching</t>
  </si>
  <si>
    <t>Education, Exclusion and Citizenship</t>
  </si>
  <si>
    <t>Parsons, Carl</t>
  </si>
  <si>
    <t>LB3089.4.G7 -- P37 1999eb</t>
  </si>
  <si>
    <t>The Convergence of Distance and Conventional Education : Patterns of Flexibility for the Individual Learner</t>
  </si>
  <si>
    <t>Mills, Roger;Tait, Alan</t>
  </si>
  <si>
    <t>LC5800 -- .C67 1999eb</t>
  </si>
  <si>
    <t>Instructional systems</t>
  </si>
  <si>
    <t>An Introduction to Classroom Observation</t>
  </si>
  <si>
    <t>Wragg, Ted</t>
  </si>
  <si>
    <t>LB1731.6 -- .W73 1999eb</t>
  </si>
  <si>
    <t>370.71/1</t>
  </si>
  <si>
    <t>Observation (Educational method) ; Teachers -- Training of.</t>
  </si>
  <si>
    <t>Effective Subject Leadership</t>
  </si>
  <si>
    <t>Field, Kit;Holden, Phil;Lawlor, Hugh;Lawlor, Hugh</t>
  </si>
  <si>
    <t>LB2806.15 -- .F54 2000eb</t>
  </si>
  <si>
    <t>Learning to Lead in Higher Education</t>
  </si>
  <si>
    <t>Ramsden, Paul</t>
  </si>
  <si>
    <t>LB2341.R32</t>
  </si>
  <si>
    <t>378.1/01</t>
  </si>
  <si>
    <t>Issues in English Teaching</t>
  </si>
  <si>
    <t>Davison, Jon;Moss, John;Davison, Jon;Moss, John</t>
  </si>
  <si>
    <t>428/.0071/041</t>
  </si>
  <si>
    <t>England</t>
  </si>
  <si>
    <t>Education, Knowledge and Truth : Beyond the Postmodern Impasse</t>
  </si>
  <si>
    <t>Carr, David</t>
  </si>
  <si>
    <t>LB14.7 -- .E395 1998eb</t>
  </si>
  <si>
    <t>Education -- Philosophy. ; Postmodernism and education. ; Knowledge, Theory of. ; Inquiry (Theory of knowledge) ; Truth. ; Curriculum planning.</t>
  </si>
  <si>
    <t>Psychology and Education</t>
  </si>
  <si>
    <t>Bentham, Susan</t>
  </si>
  <si>
    <t>LB1051 -- .B352 2002eb</t>
  </si>
  <si>
    <t>Exclusion from School : Multi-Professional Approaches to Policy and Practice</t>
  </si>
  <si>
    <t>LB3089.4.G7 -- E93 1996eb</t>
  </si>
  <si>
    <t>371.5/43/0941</t>
  </si>
  <si>
    <t>School discipline</t>
  </si>
  <si>
    <t>Primary Education : Assessing and Planning Learning</t>
  </si>
  <si>
    <t>Craft, Anna</t>
  </si>
  <si>
    <t>LA633.P734</t>
  </si>
  <si>
    <t>Educational planning</t>
  </si>
  <si>
    <t>Teaching and Learning with Multimedia</t>
  </si>
  <si>
    <t>Collins, Janet;Hammond, Michael;Wellington, Jerry;Wellington, Jerry</t>
  </si>
  <si>
    <t>LB1028.55 -- .C65 1997eb</t>
  </si>
  <si>
    <t>371.3/34/67</t>
  </si>
  <si>
    <t>Interactive multimedia. ; Computer-assisted instruction. ; Multimedia systems. ; Media programs (Education)</t>
  </si>
  <si>
    <t>Working the Ruins : Feminist Poststructural Theory and Methods in Education</t>
  </si>
  <si>
    <t>St. Pierre, Elizabeth;Pillow, Wanda;Pierre, Elizabeth St</t>
  </si>
  <si>
    <t>LC197 -- .W67 2000eb</t>
  </si>
  <si>
    <t>370.11/5</t>
  </si>
  <si>
    <t>Coaching Children in Sport : Principles and Practice</t>
  </si>
  <si>
    <t>Lee, Martin</t>
  </si>
  <si>
    <t>GV709.2.C6</t>
  </si>
  <si>
    <t>Sports for children -- Study and teaching. ; Coaching (Athletics) -- Study and teaching. ; Physical education for children -- Study and teaching.</t>
  </si>
  <si>
    <t>Sport &amp;amp; Recreation</t>
  </si>
  <si>
    <t>Politics, Policy and Practice in Physical Education</t>
  </si>
  <si>
    <t>Evans, John;Penney, Dawn;Penney, Dawn</t>
  </si>
  <si>
    <t>GV363$b.P45 1999</t>
  </si>
  <si>
    <t>Physical education and training - Wales -</t>
  </si>
  <si>
    <t>Sport and Physical Education in China</t>
  </si>
  <si>
    <t>Jones, Robin;Riordan, James (Jim)</t>
  </si>
  <si>
    <t>Physical education and training - China -</t>
  </si>
  <si>
    <t>Partnership in Maths: Parents and Schools : The Impact Project</t>
  </si>
  <si>
    <t>Merttens, Ruth;Vass, Jeff</t>
  </si>
  <si>
    <t>QA14.G7 -- P37 1993eb</t>
  </si>
  <si>
    <t>IMPACT (Project) ; Mathematics -- Study and teaching -- Great Britain. ; Education -- Parent participation.</t>
  </si>
  <si>
    <t>The Primary Teacher's Guide to the New National Curriculum</t>
  </si>
  <si>
    <t>Ashcroft, Kate;Ashcroft, Professor Kate;Palacio, David</t>
  </si>
  <si>
    <t>LB1564.G7 -- P755 1995eb</t>
  </si>
  <si>
    <t>Elementary school teachers -- Great Britain</t>
  </si>
  <si>
    <t>Third World Education : Quality and Equality</t>
  </si>
  <si>
    <t>Welch, Anthony R.;Beauchamp, Edward R.</t>
  </si>
  <si>
    <t>Reference Books in International Education Series</t>
  </si>
  <si>
    <t>LC2607 -- .T55 2000eb</t>
  </si>
  <si>
    <t>Educational equalization -- Developing countries -- Cross-cultural studies</t>
  </si>
  <si>
    <t>Higher Education in Korea : Tradition and Adaptation</t>
  </si>
  <si>
    <t>Park, Namgi;Weidman, John</t>
  </si>
  <si>
    <t>RoutledgeFalmer Studies in Higher Education Series</t>
  </si>
  <si>
    <t>LA1333 -- .H54 2000eb</t>
  </si>
  <si>
    <t>Education, Higher -- Korea (South) ; Postsecondary education -- Korea (South)</t>
  </si>
  <si>
    <t>Women's Education in Early Modern Europe : A History, 1500Tto 1800</t>
  </si>
  <si>
    <t>Whitehead, Barbara;Whitehead, Barbara</t>
  </si>
  <si>
    <t>Studies in the History of Education Series</t>
  </si>
  <si>
    <t>LC2032 -- .W66 1999eb</t>
  </si>
  <si>
    <t>Women -- Education -- Europe -- History -- 16th century. ; Women -- Education -- Europe -- History -- 17th century. ; Women -- Education -- Europe -- History -- 18th century. ; Women -- Education -- Europe -- History -- 19th century.</t>
  </si>
  <si>
    <t>Does Government Need to Be Involved in Primary and Secondary Education : Evaluating Policy Options Using Market Role Assessment</t>
  </si>
  <si>
    <t>Peddle, Michael T.</t>
  </si>
  <si>
    <t>Routledge Research in Public Administration and Public Policy Series</t>
  </si>
  <si>
    <t>LC89 -- .P32 2000eb</t>
  </si>
  <si>
    <t>379.1/5/0973</t>
  </si>
  <si>
    <t>Education, Elementary -- Government policy -- United States -- Evaluation. ; Education, Secondary -- Government policy -- United States -- Evaluation. ; Educational change -- Government policy -- United States -- Evaluation.</t>
  </si>
  <si>
    <t>Kitsch : From Education to Public Policy</t>
  </si>
  <si>
    <t>Lugg, Catherine A.</t>
  </si>
  <si>
    <t>Pedagogy and Popular Culture Series</t>
  </si>
  <si>
    <t>BH301.K5 -- L84 1999eb</t>
  </si>
  <si>
    <t>306/.0973</t>
  </si>
  <si>
    <t>Kitsch -- Political aspects -- United States. ; Popular culture -- United States. ; United States -- Politics and government -- 20th century.</t>
  </si>
  <si>
    <t>Philosophy; Social Science</t>
  </si>
  <si>
    <t>Teaching in the 21st Century : Adapting Writing Pedagogies to the College Curriculum</t>
  </si>
  <si>
    <t>CT</t>
  </si>
  <si>
    <t>Robertson, Alice;Smith, Barbara;Robertson, Alice W.;Smith, Barbara</t>
  </si>
  <si>
    <t>Cultural Studies in the Classroom Series</t>
  </si>
  <si>
    <t>Higher Education Through Open and Distance Learning</t>
  </si>
  <si>
    <t>Harry, Keith</t>
  </si>
  <si>
    <t>LC5800 -- .H535 1999eb</t>
  </si>
  <si>
    <t>378.1/75</t>
  </si>
  <si>
    <t>Open learning</t>
  </si>
  <si>
    <t>What Is Indigenous Knowledge? : Voices from the Academy</t>
  </si>
  <si>
    <t>Semali, Ladislaus M.;Kincheloe, Joe L.;Semali, Ladislaus M.;Kincheloe, Joe L.</t>
  </si>
  <si>
    <t>Indigenous Knowledge and Schooling Series</t>
  </si>
  <si>
    <t>GN476 -- .W47 1999eb</t>
  </si>
  <si>
    <t>306.4/2</t>
  </si>
  <si>
    <t>Ethnoscience</t>
  </si>
  <si>
    <t>Self-Evaluation in European Schools : A Story of Change</t>
  </si>
  <si>
    <t>Jakobsen, Lars;MacBeath, John;Meuret, Denis;Schratz, Michael</t>
  </si>
  <si>
    <t>LB2822.84.E85 -- M23 2000eb</t>
  </si>
  <si>
    <t>Change Forces with a Vengeance</t>
  </si>
  <si>
    <t>Fullan, Michael</t>
  </si>
  <si>
    <t>LB2806 -- .F793 2003eb</t>
  </si>
  <si>
    <t>School management and organisation</t>
  </si>
  <si>
    <t>Education Policy and Realist Social Theory : Primary Teachers, Child-Centred Philosophy and the New Managerialism</t>
  </si>
  <si>
    <t>Archer, Robert</t>
  </si>
  <si>
    <t>Routledge Studies in Critical Realism Series</t>
  </si>
  <si>
    <t>LC191.8.E85 -- W55 2002eb</t>
  </si>
  <si>
    <t>Lessons for the Future : The Missing Dimension in Education</t>
  </si>
  <si>
    <t>Hicks, David</t>
  </si>
  <si>
    <t>LB41 -- .H53 2002eb</t>
  </si>
  <si>
    <t>Educational sociology. ; Education -- Aims and objectives.</t>
  </si>
  <si>
    <t>Integration and the Support Service : Changing Roles in Special Education</t>
  </si>
  <si>
    <t>Clough, Peter;Lindsay, Geoff</t>
  </si>
  <si>
    <t>Mainstreaming in education - Great Britain</t>
  </si>
  <si>
    <t>Education under Siege : The Conservative, Liberal and Radical Debate over Schooling</t>
  </si>
  <si>
    <t>Aronowitz, Stanley;Giroux, Henry A.</t>
  </si>
  <si>
    <t>LA209.2 -- .A76 1985eb</t>
  </si>
  <si>
    <t>370.19/0973</t>
  </si>
  <si>
    <t>Education Aims and objectives United States</t>
  </si>
  <si>
    <t>Coordinating Mathematics Across the Primary School</t>
  </si>
  <si>
    <t>Brown, Tony</t>
  </si>
  <si>
    <t>QA135.5$b.B76 1998</t>
  </si>
  <si>
    <t>Mathematics; Education</t>
  </si>
  <si>
    <t>Coordinating Science Across the Primary School</t>
  </si>
  <si>
    <t>Newton, Lynn D.;Newton, Douglas P.;Newton, Douglas P.;Newton, Douglas P.</t>
  </si>
  <si>
    <t>372.3/5/044/0941</t>
  </si>
  <si>
    <t>Interdisciplinary approach in education</t>
  </si>
  <si>
    <t>Disaffection and Diversity : Overcoming Barriers for Adult Learners</t>
  </si>
  <si>
    <t>Calder, Judith</t>
  </si>
  <si>
    <t>The Study of Educational Politics : The 1994 Commemorative Yearbook of the Politics of Education Association 1969-1994</t>
  </si>
  <si>
    <t>Scribner, Jay D.;Layton, Donald H.</t>
  </si>
  <si>
    <t>LC71 -- .S88 1995eb</t>
  </si>
  <si>
    <t>Education -- Political aspects -- Study and teaching. ; Education -- Political aspects -- Study and teaching -- United States.</t>
  </si>
  <si>
    <t>Schooling for Change : Reinventing Education for Early Adolescents</t>
  </si>
  <si>
    <t>Earl, Lorna;Hargreaves, Andy;Ryan, Jim</t>
  </si>
  <si>
    <t>LB1626$b.H38 1996</t>
  </si>
  <si>
    <t>Reinventing Ourselves As Teachers : Beyond Nostalgia</t>
  </si>
  <si>
    <t>Mitchell, Claudia;Weber, Sandra</t>
  </si>
  <si>
    <t>LB1775 -- .M65 1999eb</t>
  </si>
  <si>
    <t>Whose School Is It Anyway? : Power and Politics</t>
  </si>
  <si>
    <t>Riley, Kathryn</t>
  </si>
  <si>
    <t>LC93.G7 -- R55 1998eb</t>
  </si>
  <si>
    <t>Coordinating Assessment Practice Across the Primary School</t>
  </si>
  <si>
    <t>Harrison, Mike;Wintle, Mike;Wintle, Mike</t>
  </si>
  <si>
    <t>LB41 -- .W56 1999eb</t>
  </si>
  <si>
    <t>Education -- Aims and objectives. ; Education.</t>
  </si>
  <si>
    <t>Coordinating the Curriculum in the Smaller Primary School</t>
  </si>
  <si>
    <t>Waters, Mick</t>
  </si>
  <si>
    <t>LB2806.15 -- .E27 1999eb</t>
  </si>
  <si>
    <t>Education, Elementary -- Curricula</t>
  </si>
  <si>
    <t>Lifelong Learning and the University : A Post-Dearing Agenda</t>
  </si>
  <si>
    <t>Taylor, Richard;Watson, David</t>
  </si>
  <si>
    <t>LC5256.G7 -- W37 1998eb</t>
  </si>
  <si>
    <t>Continuing education</t>
  </si>
  <si>
    <t>Teaching Multicultured Students : Culturalism and Anti-Culturalism in the School Classroom</t>
  </si>
  <si>
    <t>Moore, Alex</t>
  </si>
  <si>
    <t>LC3736.G6 -- M66 1999eb</t>
  </si>
  <si>
    <t>Education, Bilingual</t>
  </si>
  <si>
    <t>Inclusive Education : International Voices on Disability and Justice</t>
  </si>
  <si>
    <t>Ballard, Keith</t>
  </si>
  <si>
    <t>Studies in Inclusive Education</t>
  </si>
  <si>
    <t>Film and Television in Education : An Aesthetic Approach to the Moving Image</t>
  </si>
  <si>
    <t>Watson, Robert</t>
  </si>
  <si>
    <t>PN1993.7 -- .W38 1990eb</t>
  </si>
  <si>
    <t>Motion pictures -- Study and teaching. ; Television broadcasting -- Study and teaching. ; Motion pictures -- Aesthetics. ; Motion pictures in education -- Great Britain -- History.</t>
  </si>
  <si>
    <t>The Study of Primary Education : A Source Book - Volume 1: Perspectives</t>
  </si>
  <si>
    <t>Conner, Colin;Lofthouse, Brenda</t>
  </si>
  <si>
    <t>LB1555 -- .S887 1990eb</t>
  </si>
  <si>
    <t>Education, Elementary. ; Education, Elementary -- Great Britain.</t>
  </si>
  <si>
    <t>Enhancing Personal, Social and Health Education : Challenging Practice, Changing Worlds</t>
  </si>
  <si>
    <t>Buck, Martin;Inman, Sally;Tandy, Miles</t>
  </si>
  <si>
    <t>School Concerns</t>
  </si>
  <si>
    <t>LC268 \.E6</t>
  </si>
  <si>
    <t>Language, Classrooms and Computers</t>
  </si>
  <si>
    <t>Scrimshaw, Peter</t>
  </si>
  <si>
    <t>LB1576.L29</t>
  </si>
  <si>
    <t>English language -- Study and teaching -- Computer-assisted instruction</t>
  </si>
  <si>
    <t>Effective Classroom Management : A Teacher's Guide</t>
  </si>
  <si>
    <t>Laslett, Robert;Smith, Colin</t>
  </si>
  <si>
    <t>LB3013 -- .L37 1993eb</t>
  </si>
  <si>
    <t>Classroom management.</t>
  </si>
  <si>
    <t>APL: Developing More Flexible Colleges : Developing more flexible colleges</t>
  </si>
  <si>
    <t>Field, Michael</t>
  </si>
  <si>
    <t>LB2353.67 -- .F54 1993eb</t>
  </si>
  <si>
    <t>Experiential learning -- Great Britain. ; Universities and colleges -- Great Britain -- Administration. ; College credits -- Great Britain.</t>
  </si>
  <si>
    <t>Social Class and the Comprehensive School</t>
  </si>
  <si>
    <t>Ford, Julienne;Ford, Julienne</t>
  </si>
  <si>
    <t>LC191 -- .F63 1999eb</t>
  </si>
  <si>
    <t>373.2/5/0941</t>
  </si>
  <si>
    <t>Comprehensive high schools -- Great Britain. ; Education, Secondary -- Great Britain.</t>
  </si>
  <si>
    <t>After the Bell : Family Background, Public Policy and Educational Success</t>
  </si>
  <si>
    <t>Albright, Karen;Conley, Dalton</t>
  </si>
  <si>
    <t>Routledge Advances in Sociology Series</t>
  </si>
  <si>
    <t>LC225 -- .A37 2004eb</t>
  </si>
  <si>
    <t>Home and school. ; Community and school. ; Educational sociology.</t>
  </si>
  <si>
    <t>Really Raising Standards : Cognitive Intervention and Academic Achievement</t>
  </si>
  <si>
    <t>Adey, Philip;Shayer, Michael</t>
  </si>
  <si>
    <t>LB1590.3 -- .A35 1994eb</t>
  </si>
  <si>
    <t>Teacher Inquiry : Living the Research in Everyday Practice</t>
  </si>
  <si>
    <t>Clarke, Anthony;Erickson, Gaalen</t>
  </si>
  <si>
    <t>LB1028</t>
  </si>
  <si>
    <t>370.7/2</t>
  </si>
  <si>
    <t>Teaching - Research</t>
  </si>
  <si>
    <t>Supportive Schools : Case Studies for Teachers and Other Professionals Working in Schools</t>
  </si>
  <si>
    <t>Charlton, Tony</t>
  </si>
  <si>
    <t>LC3986 -- .G7eb</t>
  </si>
  <si>
    <t>Special education -- Great Britain</t>
  </si>
  <si>
    <t>Talking about Literacy : Principles and Practice of Adult Literacy Education</t>
  </si>
  <si>
    <t>Mace, Jane</t>
  </si>
  <si>
    <t>LC156.G7M2</t>
  </si>
  <si>
    <t>Reading (Adult education) -- Great Britain</t>
  </si>
  <si>
    <t>Design and Technology in Primary School Classrooms : Developing Teachers' Perspectives and Practices</t>
  </si>
  <si>
    <t>Tickle, Les</t>
  </si>
  <si>
    <t>LB1595</t>
  </si>
  <si>
    <t>Technology - Study and teaching (Elementary)</t>
  </si>
  <si>
    <t>Special Educational Needs</t>
  </si>
  <si>
    <t>Gulliford, Ronald;Upton, Graham</t>
  </si>
  <si>
    <t>LC3986.G7S</t>
  </si>
  <si>
    <t>Special education -- Great Britain. ; Children with disabilities -- Education -- Great Britain.</t>
  </si>
  <si>
    <t>Understanding Schooling : An Introductory Sociology of Australian Education</t>
  </si>
  <si>
    <t>Henry, Miriam;Knight, John;Lingard, Robert;Taylor, Sandra</t>
  </si>
  <si>
    <t>LC191.8.A8 -- U531 1988eb</t>
  </si>
  <si>
    <t>Educational sociology -- Australia. ; Education and state -- Australia.</t>
  </si>
  <si>
    <t>Charting the Agenda : Educational Activity after Vygotsky</t>
  </si>
  <si>
    <t>LB1051 -- .C33265 1994eb</t>
  </si>
  <si>
    <t>Vygotskii, L. S. -- (Lev Semenovich), -- 1896-1934</t>
  </si>
  <si>
    <t>Revolutionary Pedagogies : Cultural Politics, Education, and Discourse of Theory</t>
  </si>
  <si>
    <t>Trifonas, Peter</t>
  </si>
  <si>
    <t>LC196 -- .R48 2000eb</t>
  </si>
  <si>
    <t>Critical pedagogy. ; Education -- Political aspects. ; Education -- Social aspects. ; Education -- Philosophy.</t>
  </si>
  <si>
    <t>Lessons from Mount Kilimanjaro : Schooling, Community, and Gender in East Africa</t>
  </si>
  <si>
    <t>Stambach, Amy</t>
  </si>
  <si>
    <t>LA1844.K54</t>
  </si>
  <si>
    <t>Educational anthropology - Tanzania - Kilimanjaro Region.</t>
  </si>
  <si>
    <t>Whose Education for All? : The Recolonization of the African Mind</t>
  </si>
  <si>
    <t>Brock-Utne, Birgit</t>
  </si>
  <si>
    <t>Studies in Education/Politics Series</t>
  </si>
  <si>
    <t>LC67.A435 -- .B76 2000eb</t>
  </si>
  <si>
    <t>The Market for Political Economy : The Advent of Economics in British University Culture, 1850-1905</t>
  </si>
  <si>
    <t>Kadish, Alon;Tribe, Keith</t>
  </si>
  <si>
    <t>HB74.9.G7 -- M37 1993eb</t>
  </si>
  <si>
    <t>Economics -- Study and teaching (Higher) -- Great Britain -- History. ; Universities and colleges -- Curricula -- Great Britain -- History. ; Economics -- Great Britain -- History.</t>
  </si>
  <si>
    <t>Business/Management; Economics</t>
  </si>
  <si>
    <t>Doing Educational Research</t>
  </si>
  <si>
    <t>Walford, Geoffrey</t>
  </si>
  <si>
    <t>LB1028.25.G7 -- D65 1991eb</t>
  </si>
  <si>
    <t>370/.7/8041</t>
  </si>
  <si>
    <t>Education -- Research -- Great Britain. ; Education -- Great Britain.</t>
  </si>
  <si>
    <t>Inspecting and Advising : A Handbook for Inspectors, Advisers and Teachers</t>
  </si>
  <si>
    <t>Emotional and Behavioural Difficulties : Theory to Practice</t>
  </si>
  <si>
    <t>Cooper, Paul;Smith, Colin J.;Upton, Graham</t>
  </si>
  <si>
    <t>LC4803.G7C</t>
  </si>
  <si>
    <t>Problem children -- Education -- Great Britain. ; Behavior modification -- Great Britain. ; Classroom management -- Great Britain.</t>
  </si>
  <si>
    <t>Education Reform in Contemporary Spain</t>
  </si>
  <si>
    <t>Boyd-Barrett, Oliver;O'Malley, Pam</t>
  </si>
  <si>
    <t>International Developments in School Reform</t>
  </si>
  <si>
    <t>LC93.S7 -- E487 1995eb</t>
  </si>
  <si>
    <t>Education and state -- Spain. ; Educational change -- Spain. ; Spain -- Politics and government -- 1975-1982.</t>
  </si>
  <si>
    <t>Managing Misbehaviour in Schools</t>
  </si>
  <si>
    <t>Charlton, Tony;David, Kenneth</t>
  </si>
  <si>
    <t>LB3012.2.M</t>
  </si>
  <si>
    <t>School discipline -- United States. ; School management and organization -- United States. ; Problem children -- Education -- United States. ; Behavior modification -- United States.</t>
  </si>
  <si>
    <t>Research and the Teacher : A Qualitative Introduction to School-Based Research</t>
  </si>
  <si>
    <t>Hitchcock, Graham;Hughes, David</t>
  </si>
  <si>
    <t>School Bullying : Insights and Perspectives</t>
  </si>
  <si>
    <t>LB3011.S41</t>
  </si>
  <si>
    <t>School discipline -- Great Britain. ; Bullying -- Great Britain. ; Aggressiveness in children -- Great Britain. ; School psychology -- Great Britain.</t>
  </si>
  <si>
    <t>Symbols and Meanings in School Mathematics</t>
  </si>
  <si>
    <t>Pimm, David</t>
  </si>
  <si>
    <t>QA11.P586</t>
  </si>
  <si>
    <t>Mathematics -- Study and teaching. ; Mathematical notation.</t>
  </si>
  <si>
    <t>The School Governors' Handbook</t>
  </si>
  <si>
    <t>Partington, J. A.;Wragg, Prof E. C.;Wragg, E. C.;Wragg, E. C.</t>
  </si>
  <si>
    <t>LB2831.W73</t>
  </si>
  <si>
    <t>Management</t>
  </si>
  <si>
    <t>The Cubic Curriculum</t>
  </si>
  <si>
    <t>Wragg, Ted;Wragg, Prof. E. C.</t>
  </si>
  <si>
    <t>LB1564.G7W</t>
  </si>
  <si>
    <t>Subject Mentoring in the Secondary School</t>
  </si>
  <si>
    <t>Arthur, James;Davison, Jon;Moss, John</t>
  </si>
  <si>
    <t>LB1731.4 -- .A78 1997eb</t>
  </si>
  <si>
    <t>Mentoring in education -- Great Britain. ; Student teachers -- Training of -- Great Britain. ; High school teaching -- Great Britain.</t>
  </si>
  <si>
    <t>Education, Autonomy and Democratic Citizenship : Philosophy in a Changing World</t>
  </si>
  <si>
    <t>Bridges, David</t>
  </si>
  <si>
    <t>LB14.7 -- .E39 1997eb</t>
  </si>
  <si>
    <t>Education -- Philosophy -- Cross-cultural studies. ; Education -- Aims and objectives -- Cross-cultural studies. ; Autonomy (Psychology) -- Cross-cultural studies. ; Political participation -- Cross-cultural studies. ; Education -- Economic aspects -- Cross-cultural studies. ; Nationalism and education -- Cross-cultural studies. ; Educational change -- Cross-cultural studies.</t>
  </si>
  <si>
    <t>Women, Educational Policy-Making and Administration in England : Authoritative Women Since 1800</t>
  </si>
  <si>
    <t>Goodman, Joyce;Harrop, Sylvia</t>
  </si>
  <si>
    <t>Routledge Research in Gender and History Series</t>
  </si>
  <si>
    <t>LB2831.826.E5 -- W66 2000eb</t>
  </si>
  <si>
    <t>Women school administrators -- England -- History -- 19th century</t>
  </si>
  <si>
    <t>Education and Psychology in Interaction : Working with Uncertainty in Interconnected Fields</t>
  </si>
  <si>
    <t>Norwich, Brahm</t>
  </si>
  <si>
    <t>LB1051 -- .N645 2000eb</t>
  </si>
  <si>
    <t>Educational psychology. ; Psychology.</t>
  </si>
  <si>
    <t>Hope and Education : The Role of the Utopian Imagination</t>
  </si>
  <si>
    <t>Halpin, David;Halpin, David</t>
  </si>
  <si>
    <t>370/.1</t>
  </si>
  <si>
    <t>Tomorrow's Schools : Towards Integrity</t>
  </si>
  <si>
    <t>Best, Ron;Lodge, Caroline;Watkins, Chris</t>
  </si>
  <si>
    <t>LA632 -- .T66 2000eb</t>
  </si>
  <si>
    <t>The New Politics of Race and Gender : The 1992 Yearbook of the Politics of Education Association</t>
  </si>
  <si>
    <t>Marshall, Catherine;Politics of Education Association,;Ebrary Inc,</t>
  </si>
  <si>
    <t>LC212.2 -- .N49 1994eb</t>
  </si>
  <si>
    <t>Discrimination in education -- United States. ; Sexism in education -- United States. ; Education and state -- United States. ; Minorities -- Education -- United States. ; Women -- Education -- United States.</t>
  </si>
  <si>
    <t>The Making of the Curriculum : Collected Essays</t>
  </si>
  <si>
    <t>Goodson, Ivor F.</t>
  </si>
  <si>
    <t>LB1629.5.G751 -- G655 1988eb</t>
  </si>
  <si>
    <t>Curriculum planning -- Great Britain. ; Education, Secondary -- Curricula -- Great Britain.</t>
  </si>
  <si>
    <t>Looking into Primary Headship : A Research Based Interpretation</t>
  </si>
  <si>
    <t>372.12/012/0941</t>
  </si>
  <si>
    <t>That's Funny You Don't Look Like a Teacher! : Interrogating Images, Identity, and Popular Culture</t>
  </si>
  <si>
    <t>Weber, Sandra J.;Mitchell, Claudia</t>
  </si>
  <si>
    <t>LB1775.4.G</t>
  </si>
  <si>
    <t>Teachers -- Public opinion. ; Children -- Attitudes. ; Students -- Attitudes.</t>
  </si>
  <si>
    <t>Individualism and Community : Education and Social Policy in the Postmodern Condition</t>
  </si>
  <si>
    <t>Peters, Michael;Marshall, James</t>
  </si>
  <si>
    <t>LC191.8.N45$bP48 1996</t>
  </si>
  <si>
    <t>Individualism</t>
  </si>
  <si>
    <t>Children's Health in Primary Schools</t>
  </si>
  <si>
    <t>Barker, Sandy;Bendelow, Gillian;Mayall, Berry;Storey, Pamela;Veltman, Marijcke</t>
  </si>
  <si>
    <t>LB3409.G7 -- C55 1996eb</t>
  </si>
  <si>
    <t>Educational surveys</t>
  </si>
  <si>
    <t>The Compleat Observer? : A Field Research Guide to Observation</t>
  </si>
  <si>
    <t>Sanger, Jack</t>
  </si>
  <si>
    <t>LB1027.28 -- .S27 1996eb</t>
  </si>
  <si>
    <t>Observation (Educational method)</t>
  </si>
  <si>
    <t>Children and Their Curriculum : The Perspectives of Primary and Elementary School Children</t>
  </si>
  <si>
    <t>Filer, Ann;Pollard, Andrew;Thiessen, Dennis;Filer, Ann</t>
  </si>
  <si>
    <t>LB1564.G7 -- C55 1997eb</t>
  </si>
  <si>
    <t>Education, Elementary -- Curricula -- Great Britain. ; Education, Primary -- Curricula.</t>
  </si>
  <si>
    <t>The Future of Schools : Lessons from the Reform of Public Education</t>
  </si>
  <si>
    <t>Caldwell, Brian J.;Hayward, Don</t>
  </si>
  <si>
    <t>LA2162$b.C35 1998</t>
  </si>
  <si>
    <t>Managing Improving Primary Schools : Using Evidence-Based Management</t>
  </si>
  <si>
    <t>Conner, Colin;Southworth, Geoff</t>
  </si>
  <si>
    <t>Elementary schools</t>
  </si>
  <si>
    <t>Primary Education at a Hinge of History</t>
  </si>
  <si>
    <t>Richards, Colin</t>
  </si>
  <si>
    <t>LB1564.G7 -- R53 2003eb</t>
  </si>
  <si>
    <t>How Schools Change : Lessons from Three Communities Revisited</t>
  </si>
  <si>
    <t>Wagner, Tony</t>
  </si>
  <si>
    <t>LA222 -- .W25 2000eb</t>
  </si>
  <si>
    <t>Everybody Belongs : Changing Negative Attitudes Toward Classmates with Disabilities</t>
  </si>
  <si>
    <t>Shapiro, Arthur;Kincheloe, Joe;Steinberg, Shirley R.</t>
  </si>
  <si>
    <t>Critical Education Practice Series</t>
  </si>
  <si>
    <t>LC1201 -- .S53 1999eb</t>
  </si>
  <si>
    <t>Disabled students</t>
  </si>
  <si>
    <t>Effective Early Childhood Education : Cross-Cultural Perspectives</t>
  </si>
  <si>
    <t>Eldering, Lotty;Leseman, Paul P. M.</t>
  </si>
  <si>
    <t>Studies in Education and Culture Series</t>
  </si>
  <si>
    <t>Children with social disabilities -</t>
  </si>
  <si>
    <t>The Heartbeat of Indigenous Africa : A Study of the Chagga Educational System</t>
  </si>
  <si>
    <t>Mosha, R. Sambuli</t>
  </si>
  <si>
    <t>LC191.8.T29$bM67 2000</t>
  </si>
  <si>
    <t>306.43/096</t>
  </si>
  <si>
    <t>Educational sociology - Tanzania</t>
  </si>
  <si>
    <t>The Handbook of Environmental Education</t>
  </si>
  <si>
    <t>Neal, Philip;Palmer, Joy</t>
  </si>
  <si>
    <t>GE70.P35 1</t>
  </si>
  <si>
    <t>333.7/07</t>
  </si>
  <si>
    <t>Economics; Environmental Studies</t>
  </si>
  <si>
    <t>The Social Psychology of the Primary School</t>
  </si>
  <si>
    <t>Rogers, Colin;Kutnick, Peter</t>
  </si>
  <si>
    <t>LC192.3$b.S57 1990</t>
  </si>
  <si>
    <t>Social psychology</t>
  </si>
  <si>
    <t>Primary Teachers Talking : A Study of Teaching As Work</t>
  </si>
  <si>
    <t>Nias, Professor Jennifer;Nias, Jennifer</t>
  </si>
  <si>
    <t>LB1776 -- .N53 1989eb</t>
  </si>
  <si>
    <t>Elementary school teaching. ; Education, Elementary.</t>
  </si>
  <si>
    <t>Learning Opportunities for Adults</t>
  </si>
  <si>
    <t>Corner, Trevor</t>
  </si>
  <si>
    <t>LC5209 -- .L43 1990eb</t>
  </si>
  <si>
    <t>Adult education -- Congresses. ; Community education -- Congresses.</t>
  </si>
  <si>
    <t>Literacy and Schooling</t>
  </si>
  <si>
    <t>Christie, Frances;Misson, Ray</t>
  </si>
  <si>
    <t>LC156 -- .L55 1998eb</t>
  </si>
  <si>
    <t>Literacy -- Great Britain. ; Language arts -- Great Britain. ; Reading -- Great Britain.</t>
  </si>
  <si>
    <t>Judgement and Reasoning in the Child</t>
  </si>
  <si>
    <t>Piaget, Jean.</t>
  </si>
  <si>
    <t>BF723.R4 -- P53 2002eb</t>
  </si>
  <si>
    <t>Child psychology.</t>
  </si>
  <si>
    <t>Rethinking Pastoral Care</t>
  </si>
  <si>
    <t>Collins, Una M.;McNiff, Jean</t>
  </si>
  <si>
    <t>LB1620.53.I73 -- R48 2002eb</t>
  </si>
  <si>
    <t>Using Data for Monitoring and Target Setting : A Practical Guide for Teachers</t>
  </si>
  <si>
    <t>McCallum, Ian;Sumner, Ray</t>
  </si>
  <si>
    <t>LB3056.G7 -- S86 1999eb</t>
  </si>
  <si>
    <t>Educational tests and measurements -- Great Britain -- Data processing -- Handbooks, manuals, etc. ; Students -- Rating of.</t>
  </si>
  <si>
    <t>Search and Re-Search : What the Inquiring Teacher Needs to Know</t>
  </si>
  <si>
    <t>Brause, Rita S.;Mayher, John S.</t>
  </si>
  <si>
    <t>370/.7/8073</t>
  </si>
  <si>
    <t>Managing Change in Schools : A Practical Handbook</t>
  </si>
  <si>
    <t>Newton, Colin;Tarrant, Tony</t>
  </si>
  <si>
    <t>LB2900.5 -- .N48 1992eb</t>
  </si>
  <si>
    <t>School management and organization -- Great Britain. ; Educational planning -- Great Britain.</t>
  </si>
  <si>
    <t>Young Researchers : Informational Reading and Writing in the Early and Primary Years</t>
  </si>
  <si>
    <t>Mallett, Margaret</t>
  </si>
  <si>
    <t>LB1576 -- .M3627 1999eb</t>
  </si>
  <si>
    <t>Reading (Elementary) -- Great Britain. ; Reading (Early childhood) -- Great Britain. ; English language -- Composition and exercises -- Study and teaching (Elementary) -- Great Britain. ; English language -- Composition and exercises -- Study and teaching (Early childhood) -- Great Britain.</t>
  </si>
  <si>
    <t>Teaching Through Texts : Promoting Literacy Through Popular and Literary Texts in the Primary Classroom</t>
  </si>
  <si>
    <t>Anderson, Holly;Styles, Morag</t>
  </si>
  <si>
    <t>372.64/044/0941</t>
  </si>
  <si>
    <t>Children's literature</t>
  </si>
  <si>
    <t>Issues in History Teaching</t>
  </si>
  <si>
    <t>Arthur, James;ROBERT PHILLIPS, University O. F. Wales Swansea</t>
  </si>
  <si>
    <t>D16.2 -- .I88 2002eb</t>
  </si>
  <si>
    <t>907.1/2</t>
  </si>
  <si>
    <t>History; Geography/Travel</t>
  </si>
  <si>
    <t>Effective Schools for Disaffected Students : Integration and Segregation</t>
  </si>
  <si>
    <t>Cooper, Paul</t>
  </si>
  <si>
    <t>LB1090 -- .C66 1993eb</t>
  </si>
  <si>
    <t>Problem children -- Education -- United States</t>
  </si>
  <si>
    <t>Beyond Liberal Education : Essays in Honour of Paul H Hirst</t>
  </si>
  <si>
    <t>Barrow, Robin;White, Patricia</t>
  </si>
  <si>
    <t>LB880.H592 -- B49 1993eb</t>
  </si>
  <si>
    <t>Hirst, Paul Heywood. ; Education -- Philosophy. ; Education, Humanistic.</t>
  </si>
  <si>
    <t>School Subjects and Curriculum Change</t>
  </si>
  <si>
    <t>Goodson, Ivor F.;McClaren, Peter</t>
  </si>
  <si>
    <t>LB1629.5.G7 -- G66 1993eb</t>
  </si>
  <si>
    <t>Curriculum planning -- Great Britain -- History. ; Education, Secondary -- Curricula -- Great Britain -- History.</t>
  </si>
  <si>
    <t>Teacher Appraisal Observed</t>
  </si>
  <si>
    <t>Haynes, G.;Wikely, Felicity;Wragg, E. C.</t>
  </si>
  <si>
    <t>LB2838 -- .T385 1996eb</t>
  </si>
  <si>
    <t>Teachers -- Rating of -- Great Britain -- Case studies</t>
  </si>
  <si>
    <t>Decision Making : Cognitive Models and Explanations</t>
  </si>
  <si>
    <t>Crozier, Ray;Ranyard, Rob;Svenson, Ola</t>
  </si>
  <si>
    <t>Frontiers of Cognitive Science Series</t>
  </si>
  <si>
    <t>BF448 -- .D42 1997eb</t>
  </si>
  <si>
    <t>Decision making. ; Cognition.</t>
  </si>
  <si>
    <t>Contradictions of School Reform : Educational Costs of Standardized Testing</t>
  </si>
  <si>
    <t>McNeil, Linda</t>
  </si>
  <si>
    <t>Critical Social Thought Series</t>
  </si>
  <si>
    <t>LB3060.83 -- .M38 2000eb</t>
  </si>
  <si>
    <t>379.1/58/0973</t>
  </si>
  <si>
    <t>Voices of Conflict : Desegregating South African Universities</t>
  </si>
  <si>
    <t>Mabokela, Reitumetse Obakeng</t>
  </si>
  <si>
    <t>LC212.43.S6 -- M32 2000eb</t>
  </si>
  <si>
    <t>Discrimination in higher education -- South Africa. ; School integration -- South Africa.</t>
  </si>
  <si>
    <t>Comparative and International Research in Education : Globalisation, Context and Difference</t>
  </si>
  <si>
    <t>Crossley, Michael;Watson, Keith</t>
  </si>
  <si>
    <t>Education - Research</t>
  </si>
  <si>
    <t>Politics and Education in Israel : Comparisons with the United States</t>
  </si>
  <si>
    <t>Swirski, Shlomo;Ginsburg, Mark B.</t>
  </si>
  <si>
    <t>LC94.I75 -- S95 1999eb</t>
  </si>
  <si>
    <t>Education -- Political aspects -- Israel. ; Discrimination in education.</t>
  </si>
  <si>
    <t>The Dramatic Arts and Cultural Studies : Educating Against the Grain</t>
  </si>
  <si>
    <t>Berry, Kathleen S.</t>
  </si>
  <si>
    <t>PN3171 -- .B44 2000eb</t>
  </si>
  <si>
    <t>371.39/9</t>
  </si>
  <si>
    <t>Culture - Study and teaching</t>
  </si>
  <si>
    <t>Tackling Truancy in Schools : A Practical Manual for Primary and Secondary Schools</t>
  </si>
  <si>
    <t>LC142 -- .R45 2000eb</t>
  </si>
  <si>
    <t>371.2/95/0941</t>
  </si>
  <si>
    <t>School attendance -- Great Britain -- Handbooks, manuals, etc. ; School management and organization -- Great Britain -- Handbooks, manuals, etc.</t>
  </si>
  <si>
    <t>Distance Training : Taking Stock at a Time of Change</t>
  </si>
  <si>
    <t>Keegan, Desmond</t>
  </si>
  <si>
    <t>Studies in Distance Education</t>
  </si>
  <si>
    <t>LC5800 -- .K42 2000eb</t>
  </si>
  <si>
    <t>371.3/5</t>
  </si>
  <si>
    <t>World Wide Web (Information retrieval system)</t>
  </si>
  <si>
    <t>Markets for Schooling : An Economic Analysis</t>
  </si>
  <si>
    <t>Adnett, Nick;Davies, Peter</t>
  </si>
  <si>
    <t>LC65 -- .A36 2002eb</t>
  </si>
  <si>
    <t>338.4/737</t>
  </si>
  <si>
    <t>Education -- Economic aspects -- Cross-cultural studies. ; Public schools -- Cross-cultural studies. ; School choice -- Cross-cultural studies. ; Educational change -- Cross-cultural studies.</t>
  </si>
  <si>
    <t>Education; Economics; Business/Management</t>
  </si>
  <si>
    <t>World Class Schools : International Perspectives on School Effectiveness</t>
  </si>
  <si>
    <t>Creemers, Bert;Reynolds, David;Stringfield, Sam;Teddlie, Charles</t>
  </si>
  <si>
    <t>LB2822.8 -- .W67 2002eb</t>
  </si>
  <si>
    <t>Schools -- Evaluation -- Cross-cultural studies. ; School improvement programs -- Cross-cultural studies. ; Educational change -- Cross-cultural studies.</t>
  </si>
  <si>
    <t>Self-Evaluation in the Global Classroom</t>
  </si>
  <si>
    <t>MacBeath, John;Sugimine, Hidenori</t>
  </si>
  <si>
    <t>LB2822.75 -- .M336 2003eb</t>
  </si>
  <si>
    <t>School improvement programs -- Cross-cultural studies</t>
  </si>
  <si>
    <t>Raising Standards in Literacy</t>
  </si>
  <si>
    <t>Brooks, Greg;Fisher, Ros;Lewis, Maureen</t>
  </si>
  <si>
    <t>Language and Literacy in Action Series</t>
  </si>
  <si>
    <t>LB1576 -- .R33 2002eb</t>
  </si>
  <si>
    <t>Language arts -- Great Britain. ; Language arts -- United States. ; Language arts -- Australia. ; Education -- Standards -- Great Britain. ; Education -- Standards -- United States. ; Education -- Standards -- Australia.</t>
  </si>
  <si>
    <t>African American Literacies</t>
  </si>
  <si>
    <t>Richardson, Elaine</t>
  </si>
  <si>
    <t>LC151 -- .R53 2003eb</t>
  </si>
  <si>
    <t>371.8/296073</t>
  </si>
  <si>
    <t>English language -- Study and teaching -- African American students. ; Literacy -- Study and teaching.</t>
  </si>
  <si>
    <t>Implementing Performance Management : A Handbook for Schools</t>
  </si>
  <si>
    <t>LB2838 -- .D43 2002eb</t>
  </si>
  <si>
    <t>Performance</t>
  </si>
  <si>
    <t>The Passion to Learn : An Inquiry into Autodidactism</t>
  </si>
  <si>
    <t>Solomon, Joan</t>
  </si>
  <si>
    <t>LB1060 -- .P37 2003eb</t>
  </si>
  <si>
    <t>Self-culture. ; Motivation in education. ; Learning, Psychology of. ; Non-formal education.</t>
  </si>
  <si>
    <t>Comparing Learning Outcomes : International Assessment and Education Policy</t>
  </si>
  <si>
    <t>Moskowitz, Jay;Stephens, Maria</t>
  </si>
  <si>
    <t>LB2822.75 -- .C64 2004eb</t>
  </si>
  <si>
    <t>Educational evaluation -- Cross-cultural studies. ; Academic achievement -- Evaluation -- Cross-cultural studies. ; Educational indicators -- Cross-cultural studies. ; Education and state -- Cross-cultural studies.</t>
  </si>
  <si>
    <t>Meeting Difficulties in Literacy Development : Research, Policy and Practice</t>
  </si>
  <si>
    <t>Reid, Gavin;Soler, Janet;Wearmouth, Janice</t>
  </si>
  <si>
    <t>LB1050.5 \</t>
  </si>
  <si>
    <t>Reading - Remedial teaching</t>
  </si>
  <si>
    <t>A History of Education for Citizenship</t>
  </si>
  <si>
    <t>Heater, Derek</t>
  </si>
  <si>
    <t>LC1091 -- .H35 2004eb</t>
  </si>
  <si>
    <t>Citizenship -- Study and teaching -- History.</t>
  </si>
  <si>
    <t>Education; Political Science</t>
  </si>
  <si>
    <t>Teachers Managing Stress and Preventing Burnout : The Professional Health Solution</t>
  </si>
  <si>
    <t>Gold, Yvonne;Roth, Robert A.</t>
  </si>
  <si>
    <t>LB2840.2.G</t>
  </si>
  <si>
    <t>Teachers -- Job stress. ; Burn out (Psychology) ; Stress management.</t>
  </si>
  <si>
    <t>Assessment in Physical Education : A Teacher's Guide to the Issues</t>
  </si>
  <si>
    <t>Carroll, Bob</t>
  </si>
  <si>
    <t>Testing</t>
  </si>
  <si>
    <t>Children with Emotional and Behavioural Difficulties : Strategies for Assessment and Intervention</t>
  </si>
  <si>
    <t>Farrell, Peter</t>
  </si>
  <si>
    <t>371.93/0941</t>
  </si>
  <si>
    <t>Problem children</t>
  </si>
  <si>
    <t>A Framework for Physical Education in the Early Years</t>
  </si>
  <si>
    <t>Carroll, M. E.;Manners, Miss Hazel;Manners, Hazel</t>
  </si>
  <si>
    <t>GV443.M288</t>
  </si>
  <si>
    <t>Study and teaching (Elementary)</t>
  </si>
  <si>
    <t>Passionate Enquiry and School Development : A Story about Teacher Action Research</t>
  </si>
  <si>
    <t>Dadds, Marion</t>
  </si>
  <si>
    <t>Beyond the Self-Managing School</t>
  </si>
  <si>
    <t>Caldwell, Brian;Spinks, Jim M.</t>
  </si>
  <si>
    <t>LB2805 -- .C35 1998eb</t>
  </si>
  <si>
    <t>Challenging Macho Values</t>
  </si>
  <si>
    <t>Salisbury, Jonathan</t>
  </si>
  <si>
    <t>HQ775 -- .S28 1996eb</t>
  </si>
  <si>
    <t>Masculinity -- Great Britain</t>
  </si>
  <si>
    <t>Equity in the Classroom : Towards Effective Pedagogy for Girls and Boys</t>
  </si>
  <si>
    <t>Gipps, Caroline V.;Murphy, Patricia F.</t>
  </si>
  <si>
    <t>LC212.9.E7</t>
  </si>
  <si>
    <t>Sexism in education</t>
  </si>
  <si>
    <t>Evaluating Teacher Quality in Higher Education</t>
  </si>
  <si>
    <t>Aylett, Robert;Gregory, Kenneth</t>
  </si>
  <si>
    <t>LB2333.E93</t>
  </si>
  <si>
    <t>Implementing the Primary Curriculum : A Teacher's Guide</t>
  </si>
  <si>
    <t>Ashcroft, Kate;Palacio, David</t>
  </si>
  <si>
    <t>LB1564.G7I</t>
  </si>
  <si>
    <t>Curriculum: Construction and Critique : Construction and Critique</t>
  </si>
  <si>
    <t>Ross, Prof Alistair;Ross, Alistair</t>
  </si>
  <si>
    <t>LB1564.G7 -- R66 1999eb</t>
  </si>
  <si>
    <t>Actively Seeking Inclusion : Pupils with Special Needs in Mainstream Schools</t>
  </si>
  <si>
    <t>Allan, Julie</t>
  </si>
  <si>
    <t>LC1203.G7 -- .A55 1999eb</t>
  </si>
  <si>
    <t>Mainstreaming in education -- Scotland -- Case studies. ; Inclusive education -- Scotland -- Case studies. ; Students with disabilities -- Education -- Scotland -- Case studies.</t>
  </si>
  <si>
    <t>Doing Research about Education</t>
  </si>
  <si>
    <t>Social Research and Educational Studies</t>
  </si>
  <si>
    <t>LB1028 -- .D65 1998eb</t>
  </si>
  <si>
    <t>Education - Research - Great Britain</t>
  </si>
  <si>
    <t>Mathematics Teacher Education : Critical International Perspectives</t>
  </si>
  <si>
    <t>Dawson, A. J.;Jaworski, Barbara;Wood, Terry;Wood, Terry</t>
  </si>
  <si>
    <t>Bourdieu and Education : Acts of Practical Theory</t>
  </si>
  <si>
    <t>Grenfell, Michael;James, David;James, David</t>
  </si>
  <si>
    <t>306.4/3/092</t>
  </si>
  <si>
    <t>Spirituality and Education</t>
  </si>
  <si>
    <t>Wright, Andrew</t>
  </si>
  <si>
    <t>LC410.G7 -- W77 2000eb</t>
  </si>
  <si>
    <t>291.7/5</t>
  </si>
  <si>
    <t>Religious education -- Great Britain. ; Religion -- Study and teaching -- Great Britain. ; Spirituality.</t>
  </si>
  <si>
    <t>Religion; Education</t>
  </si>
  <si>
    <t>Surviving the Academy : Feminist Perspectives</t>
  </si>
  <si>
    <t>Malina, Danusia;Maslin-Prothero, Sian</t>
  </si>
  <si>
    <t>LC2046 -- .S87 1998eb</t>
  </si>
  <si>
    <t>378.1/9822</t>
  </si>
  <si>
    <t>Women -- Education (Higher) -- Great Britain -- Congresses</t>
  </si>
  <si>
    <t>Strategic Management of College Premises</t>
  </si>
  <si>
    <t>Ruddiman, Ken</t>
  </si>
  <si>
    <t>Campus planning</t>
  </si>
  <si>
    <t>The Pragmatics of Mathematics Education : Vagueness and Mathematical Discourse</t>
  </si>
  <si>
    <t>Rowland, Tim</t>
  </si>
  <si>
    <t>QA11 -- .R67 2000eb</t>
  </si>
  <si>
    <t>Hans Eysenck: Consensus and Controversy</t>
  </si>
  <si>
    <t>Modgil, Sohan;Modgil, Celia</t>
  </si>
  <si>
    <t>BF109.E9</t>
  </si>
  <si>
    <t>Eysenck, H. J. -- (Hans Jurgen), -- 1916-1997. ; Psychology. ; Psychotherapy. ; Social psychology.</t>
  </si>
  <si>
    <t>Academic and Educational Development : Research, Evaluation and Changing Practice in Higher Education</t>
  </si>
  <si>
    <t>Macdonald, Ranald;Wisdom, James;Macdonald, Ranald;Wisdom, James</t>
  </si>
  <si>
    <t>SEDA Series</t>
  </si>
  <si>
    <t>International Education in Practice : Dimensions for Schools and International Schools</t>
  </si>
  <si>
    <t>Hayden, Mary;Thompson, Jeff;Walker, George</t>
  </si>
  <si>
    <t>International education</t>
  </si>
  <si>
    <t>Multicultural Education : A Source Book, Second Edition</t>
  </si>
  <si>
    <t>Ramsey, Patricia;Williams, Leslie R.;Vold, Edwina</t>
  </si>
  <si>
    <t>RoutledgeFalmer Readers in Education Series</t>
  </si>
  <si>
    <t>LC1099.3 -- .R35 2003eb</t>
  </si>
  <si>
    <t>Education -- United States. ; Multicultural education -- United States.</t>
  </si>
  <si>
    <t>Reconstructing the Lifelong Learner : Pedagogy and Identity in Individual, Organisational and Social Change</t>
  </si>
  <si>
    <t>Chappell, Clive;Rhodes, Carl;Solomon, Nicky;Tennant, Mark;Yates, Lyn</t>
  </si>
  <si>
    <t>Leading Learners, Leading Schools</t>
  </si>
  <si>
    <t>Brooke-Smith, Robin</t>
  </si>
  <si>
    <t>LB2805 \.B</t>
  </si>
  <si>
    <t>From Teaching to Mentoring : Principles and Practice, Dialogue and Life in Adult Education</t>
  </si>
  <si>
    <t>Herman, Lee;Mandell, Alan</t>
  </si>
  <si>
    <t>Economic Geography of Higher Education : Knowledge, Infrastructure and Learning Regions</t>
  </si>
  <si>
    <t>Boekema, Frans;Rutten, Roel</t>
  </si>
  <si>
    <t>LC67.68.E85 -- E26 2003eb</t>
  </si>
  <si>
    <t>Regionalism -- Economic aspects -- Europe</t>
  </si>
  <si>
    <t>Economics; Education; Business/Management</t>
  </si>
  <si>
    <t>Making Progress in Primary Science : A Handbook for Professional Development and Preservice Course Leaders</t>
  </si>
  <si>
    <t>Harlen, Wynne;Macro, Christine;Reed, Kathleen;Schilling, Mike</t>
  </si>
  <si>
    <t>LB1585 \.M</t>
  </si>
  <si>
    <t>Science - Study and teaching (Elementary) - Handbooks, manuals, etc.</t>
  </si>
  <si>
    <t>Ethics and Politics in Early Childhood Education</t>
  </si>
  <si>
    <t>Dahlberg, Gunilla;Moss, Peter</t>
  </si>
  <si>
    <t>Contesting Early Childhood Series</t>
  </si>
  <si>
    <t>LB1555.D34 2005eb</t>
  </si>
  <si>
    <t>Early childhood education - Italy - Reggio Emilia</t>
  </si>
  <si>
    <t>Educating Children with Facial Disfigurement : Creating Inclusive School Communities</t>
  </si>
  <si>
    <t>Frances, Jane</t>
  </si>
  <si>
    <t>LC4215</t>
  </si>
  <si>
    <t>Face - Abnormalities</t>
  </si>
  <si>
    <t>School Management in Transition : Schooling on the Edge</t>
  </si>
  <si>
    <t>Shuttleworth, Dale</t>
  </si>
  <si>
    <t>LB2806 -- .S47 2003eb</t>
  </si>
  <si>
    <t>School management and organization -- Political aspects -- Cross-cultural studies. ; Education and state -- Cross-cultural studies. ; Conservatism -- Cross-cultural studies.</t>
  </si>
  <si>
    <t>Behaviour Problems in the Early Years : A Guide for Understanding and Support</t>
  </si>
  <si>
    <t>Papatheodorou, Theodora</t>
  </si>
  <si>
    <t>Spirituality, Philosophy and Education</t>
  </si>
  <si>
    <t>Carr, David;Haldane, John</t>
  </si>
  <si>
    <t>LC268 -- S65 2003eb</t>
  </si>
  <si>
    <t>Spirituality -- Study and teaching. ; Religious education -- Philosophy. ; Teaching -- Religious aspects. ; Teaching -- Religious aspects -- Christianity.</t>
  </si>
  <si>
    <t>Social Justice, Education and Identity</t>
  </si>
  <si>
    <t>Vincent, Carol</t>
  </si>
  <si>
    <t>LC191 \.S6</t>
  </si>
  <si>
    <t>Early Years Play and Learning : Developing Social Skills and Cooperation</t>
  </si>
  <si>
    <t>Broadhead, Pat</t>
  </si>
  <si>
    <t>LB1139.23.</t>
  </si>
  <si>
    <t>155.4/18</t>
  </si>
  <si>
    <t>Educational tests and measurements - Great Britain</t>
  </si>
  <si>
    <t>Cooperative Learning : The Social and Intellectual Outcomes of Learning in Groups</t>
  </si>
  <si>
    <t>Ashman, Adrian;Gillies, Robyn</t>
  </si>
  <si>
    <t>LB1032</t>
  </si>
  <si>
    <t>Group work in education</t>
  </si>
  <si>
    <t>Education and Conflict : Complexity and Chaos</t>
  </si>
  <si>
    <t>Davies, Lynn</t>
  </si>
  <si>
    <t>Assessing Teacher Effectiveness : Different Models</t>
  </si>
  <si>
    <t>Campbell, Jim;Kyriakides, Leonidas;Muijs, Daniel;Robinson, Wendy</t>
  </si>
  <si>
    <t>Rating of</t>
  </si>
  <si>
    <t>Change Forces in Post-Communist Eastern Europe : Education in Transition</t>
  </si>
  <si>
    <t>Anchan, John P.;Fullan, Michael;Polyzoi, Eleoussa</t>
  </si>
  <si>
    <t>LA622.7 -- .C53 2003eb</t>
  </si>
  <si>
    <t>Educational change -- Europe, Central -- Cross-cultural studies. ; Educational planning -- Europe, Central -- Cross-cultural studies. ; Post-communism -- Europe, Central -- Cross-cultural studies.</t>
  </si>
  <si>
    <t>Improving Assessment Through Student Involvement : Practical Solutions for Aiding Learning in Higher and Further Education</t>
  </si>
  <si>
    <t>Falchikov, Nancy</t>
  </si>
  <si>
    <t>LB2368 -- .F35 2005eb</t>
  </si>
  <si>
    <t>Student participation in administration</t>
  </si>
  <si>
    <t>Educational Interventions for Refugee Children : Theoretical Perspectives and Implementing Best Practice</t>
  </si>
  <si>
    <t>Hamilton, Richard;Moore, Dennis</t>
  </si>
  <si>
    <t>LC3719 \.H</t>
  </si>
  <si>
    <t>Refugee children - Education</t>
  </si>
  <si>
    <t>Migration, Education and Change</t>
  </si>
  <si>
    <t>Luchtenberg, Sigrid</t>
  </si>
  <si>
    <t>371.9/086/912</t>
  </si>
  <si>
    <t>Multicultural education.</t>
  </si>
  <si>
    <t>English in Urban Classrooms : A Multimodal Perspective on Teaching and Learning</t>
  </si>
  <si>
    <t>Bourne, Jill;Franks, Anton;Hardcastle, John;Jewitt, Carey;Jones, Ken;Kress, Gunther;Reid, Euan</t>
  </si>
  <si>
    <t>LB1631 -- .E59 2005eb</t>
  </si>
  <si>
    <t>English language -- Study and teaching (Secondary) -- Social aspects -- England -- London. ; Urban high schools -- England -- London. ; English teachers -- Training of -- England -- London.</t>
  </si>
  <si>
    <t>Educational Futures : Dominant and Contesting Visions</t>
  </si>
  <si>
    <t>Milojevic, Ivana</t>
  </si>
  <si>
    <t>Futures in Education</t>
  </si>
  <si>
    <t>LB41 -- .M752 2005eb</t>
  </si>
  <si>
    <t>Education -- Aims and objectives -- OECD countries. ; Education -- OECD countries.</t>
  </si>
  <si>
    <t>The Action Learning Handbook : Powerful Techniques for Education, Professional Development and Training</t>
  </si>
  <si>
    <t>Brockbank, Anne;McGill, Ian</t>
  </si>
  <si>
    <t>LB1027.23</t>
  </si>
  <si>
    <t>Active learning</t>
  </si>
  <si>
    <t>Supporting Teachers Supporting Pupils : The Emotions of Teaching and Learning</t>
  </si>
  <si>
    <t>Fox Wilson, Diana</t>
  </si>
  <si>
    <t>LB1777 -- .W557 2004eb</t>
  </si>
  <si>
    <t>Teaching. ; High school teachers. ; Teaching -- Vocational guidance.</t>
  </si>
  <si>
    <t>Philosophy and Educational Policy : A Critical Introduction</t>
  </si>
  <si>
    <t>Gingell, John;Winch, Christopher</t>
  </si>
  <si>
    <t>LB14.7 -- .W56 2004eb</t>
  </si>
  <si>
    <t>Education -- Philosophy. ; Education and state.</t>
  </si>
  <si>
    <t>Learning Online : A Guide to Success in the Virtual Classroom</t>
  </si>
  <si>
    <t>McVay Lynch, Maggie</t>
  </si>
  <si>
    <t>LB1028.5 -- .L85 2004eb</t>
  </si>
  <si>
    <t>Education - Effect of technological innovations on</t>
  </si>
  <si>
    <t>Childhood and Postcolonization : Power, Education, and Contemporary Practice</t>
  </si>
  <si>
    <t>Cannella, Gaile S.;Viruru, Radhika</t>
  </si>
  <si>
    <t>Changing Images of Early Childhood Series</t>
  </si>
  <si>
    <t>LB1139.23</t>
  </si>
  <si>
    <t>Postcolonialism</t>
  </si>
  <si>
    <t>Development Education in Japan : A Comparative Analysis of the Contexts for Its Emergence, and Its Introduction into the Japanese School System</t>
  </si>
  <si>
    <t>Ishii, Yuri</t>
  </si>
  <si>
    <t>LC1090 -- .I75 2003eb</t>
  </si>
  <si>
    <t>370.116/0952</t>
  </si>
  <si>
    <t>International education -- Japan -- History</t>
  </si>
  <si>
    <t>Daughters of the Tharu : Gender, Ethnicity, Religion, and the Education of Nepali Girls</t>
  </si>
  <si>
    <t>Maslak, Mary Ann</t>
  </si>
  <si>
    <t>LC2410.N45 -- M37 2003eb</t>
  </si>
  <si>
    <t>371.822/095496</t>
  </si>
  <si>
    <t>Women -- Education -- Social aspects -- Nepal -- Case studies. ; Tharu (South Asian people) -- Nepal -- Social life and customs -- Case studies.</t>
  </si>
  <si>
    <t>Steal This University : The Rise of the Corporate University and the Academic Labor Movement</t>
  </si>
  <si>
    <t>Johnson, Benjamin;Kavanagh, Patrick;Mattson, Kevin</t>
  </si>
  <si>
    <t>LB2335.865</t>
  </si>
  <si>
    <t>331.88/11/378120973</t>
  </si>
  <si>
    <t>Universities and colleges - Employees - United States - Social conditions</t>
  </si>
  <si>
    <t>Economics; Education</t>
  </si>
  <si>
    <t>The Long March of French Universities</t>
  </si>
  <si>
    <t>Musselin, Christine</t>
  </si>
  <si>
    <t>LA698 -- .M87 2004eb</t>
  </si>
  <si>
    <t>Education, Higher -- France -- History -- 20th century. ; Higher education and state -- France. ; Universities and colleges -- France -- Administration.</t>
  </si>
  <si>
    <t>Imagining the Academy : Higher Education and Popular Culture</t>
  </si>
  <si>
    <t>Edgerton, Susan;Holm, Gunilla;Daspit, Toby;Farber, Paul</t>
  </si>
  <si>
    <t>LC191.94 -- .I53 2005eb</t>
  </si>
  <si>
    <t>306.43/2</t>
  </si>
  <si>
    <t>Education in popular culture -- United States. ; Education, Higher -- Social aspects -- United States. ; Education, Higher -- United States -- Marketing. ; Education, Higher -- United States -- Public opinion. ; Public opinion -- United States.</t>
  </si>
  <si>
    <t>Pedagogies of Difference : Rethinking Education for Social Justice</t>
  </si>
  <si>
    <t>Trifonas, Peter Pericles</t>
  </si>
  <si>
    <t>LC196 -- .P45 2003eb</t>
  </si>
  <si>
    <t>Political Spectacle and the Fate of American Schools</t>
  </si>
  <si>
    <t>Smith, Mary Lee;Miller-Kahn, Linda;Heinecke, Walter;Jarvis, Patricia F.</t>
  </si>
  <si>
    <t>LA</t>
  </si>
  <si>
    <t>Political culture - United States.</t>
  </si>
  <si>
    <t>Dividing Classes : How the Middle Class Negotiates and Rationalizes School Advantage</t>
  </si>
  <si>
    <t>Brantlinger, Ellen</t>
  </si>
  <si>
    <t>LC205 -- .B73 2003eb</t>
  </si>
  <si>
    <t>Social stratification - United States</t>
  </si>
  <si>
    <t>High Stakes Education : Inequality, Globalization, and Urban School Reform</t>
  </si>
  <si>
    <t>Lipman, Pauline</t>
  </si>
  <si>
    <t>LC5131</t>
  </si>
  <si>
    <t>306.43/09773/11</t>
  </si>
  <si>
    <t>Educational change - United States</t>
  </si>
  <si>
    <t>Great Books, Honors Programs, and Hidden Origins : The Virginia Plan and the University of Virginia in the Liberal Arts Movement</t>
  </si>
  <si>
    <t>Haarlow, William</t>
  </si>
  <si>
    <t>LD5672 -- .H33 2003eb</t>
  </si>
  <si>
    <t>378.755/481</t>
  </si>
  <si>
    <t>University of Virginia -- Curricula -- History. ; Education, Humanistic -- Curricula -- History. ; Universities and colleges -- Curricula -- United States -- History.</t>
  </si>
  <si>
    <t>The State and the Politics of Knowledge</t>
  </si>
  <si>
    <t>Apple, Michael W.;Aasen, Peter</t>
  </si>
  <si>
    <t>LC71</t>
  </si>
  <si>
    <t>Education and state - Cross-cultural studies</t>
  </si>
  <si>
    <t>Crisis and Hope : The Educational Hopscotch of Latin America</t>
  </si>
  <si>
    <t>Fischman, Gustavo;Ball, Stephen;Gvirtz, Silvina</t>
  </si>
  <si>
    <t>LA541 \.C7</t>
  </si>
  <si>
    <t>370/.98</t>
  </si>
  <si>
    <t>Educational change - Latin America</t>
  </si>
  <si>
    <t>Acting Black : College, Identity and the Performance of Race</t>
  </si>
  <si>
    <t>Willie, Sarah Susannah</t>
  </si>
  <si>
    <t>LC2781.7 \</t>
  </si>
  <si>
    <t>Educational surveys - United States</t>
  </si>
  <si>
    <t>Promises to Keep : Cultural Studies, Democratic Education, and Public Life</t>
  </si>
  <si>
    <t>Dimitriadis, Greg;Carlson, Dennis</t>
  </si>
  <si>
    <t>LC196.5.U6</t>
  </si>
  <si>
    <t>Democracy - Study and teaching - United States</t>
  </si>
  <si>
    <t>World, Class, Women : Global Literature, Education, and Feminism</t>
  </si>
  <si>
    <t>Goodman, Robin Truth</t>
  </si>
  <si>
    <t>LC197</t>
  </si>
  <si>
    <t>Education in literature</t>
  </si>
  <si>
    <t>Unfit Subjects : Education Policy and the Teen Mother, 1972-2002</t>
  </si>
  <si>
    <t>Pillow, Wanda S.</t>
  </si>
  <si>
    <t>LC146.6</t>
  </si>
  <si>
    <t>373.1826/947</t>
  </si>
  <si>
    <t>Teenage mothers - Government policy - United States</t>
  </si>
  <si>
    <t>Educational Equity and Accountability : Paradigms, Policies, and Politics</t>
  </si>
  <si>
    <t>Skrla, Linda;Scheurich, James Joseph</t>
  </si>
  <si>
    <t>LB2806.22</t>
  </si>
  <si>
    <t>Education - Standards - United States</t>
  </si>
  <si>
    <t>Teaching, Learning, and Loving : Reclaiming Passion in Educational Practice</t>
  </si>
  <si>
    <t>Liston, Daniel P.;Garrison, James W.</t>
  </si>
  <si>
    <t>LB1025.2; LB1072 .T</t>
  </si>
  <si>
    <t>370.15/34</t>
  </si>
  <si>
    <t>Limitations and Possibilities of Dialogue among Researchers, Policymakers, and Practitioners : International Perspectives on the Field of Education</t>
  </si>
  <si>
    <t>Ginsburg, Mark B.;Gorostiaga, Jorge</t>
  </si>
  <si>
    <t>LB43 -- .L56 2003eb</t>
  </si>
  <si>
    <t>Comparative education. ; Education and state -- Cross-cultural studies. ; Education -- Political aspects -- Cross-cultural studies.</t>
  </si>
  <si>
    <t>Working Knowledge : Work-Based Learning and Education Reform</t>
  </si>
  <si>
    <t>Bailey, Thomas R.;Hughes, Katherine L.;Moore, David Thornton</t>
  </si>
  <si>
    <t>LC1049</t>
  </si>
  <si>
    <t>Education, Cooperative</t>
  </si>
  <si>
    <t>Lessons to Learn : Voices from the Front Lines of Teach for America</t>
  </si>
  <si>
    <t>Ness, Molly</t>
  </si>
  <si>
    <t>LB1025.3 -- .N47 2004eb</t>
  </si>
  <si>
    <t>370.9/73</t>
  </si>
  <si>
    <t>Teaching -- United States. ; Public schools -- United States.</t>
  </si>
  <si>
    <t>Contesting the Terrain of the Ivory Tower : Spiritual Leadership of African American Women in the Academy</t>
  </si>
  <si>
    <t>Garner, Rochelle</t>
  </si>
  <si>
    <t>Studies in African American History and Culture Series</t>
  </si>
  <si>
    <t>LB2341 \.G</t>
  </si>
  <si>
    <t>378.1/11/0896073</t>
  </si>
  <si>
    <t>Spiritual life - Case studies</t>
  </si>
  <si>
    <t>Re-Imagining Comparative Education : Postfoundational Ideas and Applications for Critical Times</t>
  </si>
  <si>
    <t>Ninnes, Peter;Mehta, Sonia</t>
  </si>
  <si>
    <t>LB43 -- .R45 2004eb</t>
  </si>
  <si>
    <t>The Theory and Practice of Learning</t>
  </si>
  <si>
    <t>Jarvis, Peter;Holford, John;Griffin, Colin</t>
  </si>
  <si>
    <t>The Doctoral Experience : Disciplines, Disciples and the Doctorate</t>
  </si>
  <si>
    <t>Delamont, Sara;Atkinson, Paul;Parry, Odette</t>
  </si>
  <si>
    <t>LB2386 -- .D45 2000eb</t>
  </si>
  <si>
    <t>Graduate students -- Great Britain -- Interviews. ; College teachers -- Great Britain -- Interviews. ; Universities and colleges -- Great Britain -- Graduate work.</t>
  </si>
  <si>
    <t>Inside Japanese Classrooms : The Heart of Education</t>
  </si>
  <si>
    <t>Sato, Nancy</t>
  </si>
  <si>
    <t>LA1314 -- .S28 2004eb</t>
  </si>
  <si>
    <t>Education, Elementary -- Japan</t>
  </si>
  <si>
    <t>Elementary School Counseling : A Commitment to Caring and Community Building</t>
  </si>
  <si>
    <t>Worzbyt, John C.;O'Rourke, Kathleen;Dandeneau, Claire</t>
  </si>
  <si>
    <t>LB1027.5 \</t>
  </si>
  <si>
    <t>Elementary school counselors - Training of - United States</t>
  </si>
  <si>
    <t>University Autonomy in Russian Federation since Perestroika</t>
  </si>
  <si>
    <t>Bain, Olga</t>
  </si>
  <si>
    <t>LB2331.4 \</t>
  </si>
  <si>
    <t>University autonomy - Russia (Federation)</t>
  </si>
  <si>
    <t>Philanthropists in Higher Education : Institutional, Biographical, and Religious Motivations for Giving</t>
  </si>
  <si>
    <t>Cascione, Gregory</t>
  </si>
  <si>
    <t>LB2336 -- .C39 2003eb</t>
  </si>
  <si>
    <t>Universities and colleges - United States - Endowments</t>
  </si>
  <si>
    <t>Crisis Intervention and Crisis Management : Strategies That Work in Schools and Communities</t>
  </si>
  <si>
    <t>Thompson, Rosemary A.</t>
  </si>
  <si>
    <t>LB2866.5 \</t>
  </si>
  <si>
    <t>363.11/9371</t>
  </si>
  <si>
    <t>Crisis intervention (Mental health services) - United States.</t>
  </si>
  <si>
    <t>In Search of an Identity : The Politics of History Teaching in Hong Kong, 1960s-2000</t>
  </si>
  <si>
    <t>Vickers, Edward</t>
  </si>
  <si>
    <t>East Asia: History, Politics, Sociology and Culture Series</t>
  </si>
  <si>
    <t>LC94.C5 -- V53 2003eb</t>
  </si>
  <si>
    <t>Education -- Political aspects -- China -- Hong Kong. ; Educational change -- China -- Hong Kong.</t>
  </si>
  <si>
    <t>The Athens of West Africa : A History of International Education at Fourah Bay College, Freetown, Sierra Leone</t>
  </si>
  <si>
    <t>Paracka, Jr., Daniel J.</t>
  </si>
  <si>
    <t>African Studies</t>
  </si>
  <si>
    <t>LG503.F73 -- P37 2003eb</t>
  </si>
  <si>
    <t>Fourah Bay College -- History. ; International education -- Sierra Leone -- Freetown -- History.</t>
  </si>
  <si>
    <t>Public or Private Education? : Lessons from History</t>
  </si>
  <si>
    <t>Aldrich, Richard</t>
  </si>
  <si>
    <t>Woburn Education Series</t>
  </si>
  <si>
    <t>LC47 -- .P83 2004eb</t>
  </si>
  <si>
    <t>370.9/41</t>
  </si>
  <si>
    <t>Private schools -- History. ; Privatization in education -- History. ; Education -- Social aspects -- Cross-cultural studies.</t>
  </si>
  <si>
    <t>Focus on the Wonder Years : Challenges Facing the American Middle School</t>
  </si>
  <si>
    <t>Rand</t>
  </si>
  <si>
    <t>RAND Corporation, The</t>
  </si>
  <si>
    <t>Santa Monica</t>
  </si>
  <si>
    <t>Juvonen, Jaana;Le, Vi-Nhuan;Kaganoff, Tessa;Augustine, Catherine H.;Constant, Louay</t>
  </si>
  <si>
    <t>LB1623.5 -- .F63 2004eb</t>
  </si>
  <si>
    <t>Middle schools -- United States. ; Middle school education -- United States.</t>
  </si>
  <si>
    <t>Organizational Improvement and Accountability : Lessons for Education from Other Sectors</t>
  </si>
  <si>
    <t>Stecher, Brian;Kirby, Sheila Nataraj;Barney, Heather;Pearson, Marjorie;Chow, Marc;Hamilton, Laura</t>
  </si>
  <si>
    <t>LB2806.22 -- .O74 2004eb</t>
  </si>
  <si>
    <t>Educational accountability -- United States. ; School management and organization -- United States. ; Organizational effectiveness -- Evaluation.</t>
  </si>
  <si>
    <t>Democratic Learning : The Challenge to School Effectiveness</t>
  </si>
  <si>
    <t>MacBeath, John;Moos, Lejf</t>
  </si>
  <si>
    <t>RoutledgeFalmer Readers in Education</t>
  </si>
  <si>
    <t>Learning</t>
  </si>
  <si>
    <t>Many Pathways to Literacy : Young Children Learning with Siblings, Grandparents, Peers and Communities</t>
  </si>
  <si>
    <t>Gregory, Eve;Long, Susi;Volk, Dinah</t>
  </si>
  <si>
    <t>LB1139.5.L</t>
  </si>
  <si>
    <t>Education, Bilingual - Cross-cultural studies</t>
  </si>
  <si>
    <t>Mentoring Students and Young People : A Handbook of Effective Practice</t>
  </si>
  <si>
    <t>Miller, Andrew</t>
  </si>
  <si>
    <t>LB1731.4 -- .M55 2002eb</t>
  </si>
  <si>
    <t>Reshaping Teaching in Higher Education : A Guide to Linking Teaching with Research</t>
  </si>
  <si>
    <t>Breen, Rosanna;Brew, Angela;Jenkins, Alan;Lindsay, Roger</t>
  </si>
  <si>
    <t>LB2326.3 -- .R49 2003eb</t>
  </si>
  <si>
    <t>Education, Higher -- Research. ; College teaching.</t>
  </si>
  <si>
    <t>Staff and Educational Development : Case Studies, Experience and Practice</t>
  </si>
  <si>
    <t>Baume, David;Edwards, Helen;Webb, Graham</t>
  </si>
  <si>
    <t>Case Studies of Teaching in Higher Education Series</t>
  </si>
  <si>
    <t>LB1738 -- .S723 2003eb</t>
  </si>
  <si>
    <t>College teachers -- In-service training -- Case studies. ; Career development -- Case studies. ; College personnel management -- Case studies.</t>
  </si>
  <si>
    <t>Learning Through Storytelling in Higher Education : Using Reflection and Experience to Improve Learning</t>
  </si>
  <si>
    <t>Alterio, Maxine;McDrury, Janice</t>
  </si>
  <si>
    <t>Developing Inclusive Teacher Education : Reforming Teacher Education</t>
  </si>
  <si>
    <t>Booth, Tony;Nes, Kari;Strømstad, Marit</t>
  </si>
  <si>
    <t>LC1200</t>
  </si>
  <si>
    <t>Teachers - Training of</t>
  </si>
  <si>
    <t>Making Inclusion Work for Children with Dyspraxia : Practical Strategies for Teachers</t>
  </si>
  <si>
    <t>Addy, Lois;Dixon, Gill</t>
  </si>
  <si>
    <t>LC1200 \.D59 2004</t>
  </si>
  <si>
    <t>Child with perceptual disabilities - Education - Great Britain</t>
  </si>
  <si>
    <t>Stories for Inclusive Schools : Developing Young Pupils' Skills</t>
  </si>
  <si>
    <t>Johnson, Gill;Leicester, Mal</t>
  </si>
  <si>
    <t>LC1200 -- .L45 2004eb</t>
  </si>
  <si>
    <t>Storytelling</t>
  </si>
  <si>
    <t>Exceptionally Gifted Children</t>
  </si>
  <si>
    <t>Gross, Miraca U. M.</t>
  </si>
  <si>
    <t>LC3999.4 \</t>
  </si>
  <si>
    <t>371.95/0994</t>
  </si>
  <si>
    <t>Gifted children - Education - Australia - Case studies.</t>
  </si>
  <si>
    <t>Contextualizing Inclusive Education : Evaluating Old and New International Paradigms</t>
  </si>
  <si>
    <t>Mitchell, David</t>
  </si>
  <si>
    <t>LC1200 -- .C66 2005eb</t>
  </si>
  <si>
    <t>Inclusive education -- Social aspects -- Cross-cultural studies. ; Children with disabilities -- Education -- Social aspects -- Cross-cultural studies.</t>
  </si>
  <si>
    <t>Doing Foucault in Early Childhood Studies : Applying Post-Structural Ideas</t>
  </si>
  <si>
    <t>Mac Naughton, Glenda</t>
  </si>
  <si>
    <t>Foucault, Michel</t>
  </si>
  <si>
    <t>Education Studies : A Student's Guide</t>
  </si>
  <si>
    <t>Ward, Stephen</t>
  </si>
  <si>
    <t>LB1025.3 \</t>
  </si>
  <si>
    <t>Teaching Character Education Through Literature : Awakening the Moral Imagination in Secondary Classrooms</t>
  </si>
  <si>
    <t>Bohlin, Karen</t>
  </si>
  <si>
    <t>LC268 -- .B175 2005eb</t>
  </si>
  <si>
    <t>Character in literature - Study and teaching (Secondary)</t>
  </si>
  <si>
    <t>Critical Reflections on Career Education and Guidance : Promoting Social Justice Within a Global Economy</t>
  </si>
  <si>
    <t>Irving, Barrie A.;Malik, Beatriz</t>
  </si>
  <si>
    <t>LC1037 -- .C75 2005eb</t>
  </si>
  <si>
    <t>Education and globalization</t>
  </si>
  <si>
    <t>Classrooms As Learning Communities : What's in It for Schools?</t>
  </si>
  <si>
    <t>Watkins, Chris</t>
  </si>
  <si>
    <t>What's in It for Schools? Series</t>
  </si>
  <si>
    <t>LB3013 -- .W38 2005eb</t>
  </si>
  <si>
    <t>Classroom management. ; School management and organization.</t>
  </si>
  <si>
    <t>Teaching Practice for Early Childhood : A Guide for Students</t>
  </si>
  <si>
    <t>Perry, Rosemary</t>
  </si>
  <si>
    <t>LB1139.23 -- .P474 2004eb</t>
  </si>
  <si>
    <t>Early childhood teachers - Training of</t>
  </si>
  <si>
    <t>The Student's Guide to Preparing Dissertations and Theses</t>
  </si>
  <si>
    <t>Allison, Brian;Race, Phil</t>
  </si>
  <si>
    <t>LB2369</t>
  </si>
  <si>
    <t>808/.02</t>
  </si>
  <si>
    <t>Dissertations, Academic - Authorship</t>
  </si>
  <si>
    <t>Citizenship and Higher Education : The Role of Universities in Communities and Society</t>
  </si>
  <si>
    <t>Arthur, James;Bohlin, Karen</t>
  </si>
  <si>
    <t>Key Issues in Higher Education Series</t>
  </si>
  <si>
    <t>LC189 -- .C53 2005eb</t>
  </si>
  <si>
    <t>Education, Higher -- Social aspects. ; Education, Higher -- Aims and objectives. ; Education -- Philosophy.</t>
  </si>
  <si>
    <t>Enhancing Teaching in Higher Education : New Approaches to Improving Student Learning</t>
  </si>
  <si>
    <t>Hartley, Peter;Woods, Amanda;Pill, Martin</t>
  </si>
  <si>
    <t>LB2331 -- .E66 2005eb</t>
  </si>
  <si>
    <t>378.1/2</t>
  </si>
  <si>
    <t>College teaching</t>
  </si>
  <si>
    <t>The Student Assessment Handbook : New Directions in Traditional and Online Assessment</t>
  </si>
  <si>
    <t>Dunn, Lee;Morgan, Chris;O'Reilly, Meg;Parry, Sharon</t>
  </si>
  <si>
    <t>LB2368 \.S</t>
  </si>
  <si>
    <t>378.1/67</t>
  </si>
  <si>
    <t>Educational tests and measurements - Handbooks, manuals, etc.</t>
  </si>
  <si>
    <t>The Challenge to Scholarship : Rethinking Learning, Teaching and Research</t>
  </si>
  <si>
    <t>Nicholls, Gill</t>
  </si>
  <si>
    <t>LB2331 -- .N52 2005eb</t>
  </si>
  <si>
    <t>Onderzoek. -- gtt</t>
  </si>
  <si>
    <t>Men and the Classroom : Gender Imbalances in Teaching</t>
  </si>
  <si>
    <t>Drudy, Sheelagh;Martin, Maeve;O'Flynn, John;Woods, Mairide</t>
  </si>
  <si>
    <t>LC212.9 -- .M46 2005eb</t>
  </si>
  <si>
    <t>371.11/0081</t>
  </si>
  <si>
    <t>Male elementary school teachers</t>
  </si>
  <si>
    <t>Day-To-Day Dyslexia in the Classroom</t>
  </si>
  <si>
    <t>Politt, Rody;Pollock, Joy;Waller, Elisabeth</t>
  </si>
  <si>
    <t>LB4708</t>
  </si>
  <si>
    <t>Reading Bernstein, Researching Bernstein</t>
  </si>
  <si>
    <t>Davies, Brian;Morais, Ana;Muller, Johan</t>
  </si>
  <si>
    <t>LC191 -- .R38 2004eb</t>
  </si>
  <si>
    <t>Bernstein, Basil B. ; Educational sociology -- Congresses. ; Critical pedagogy -- Congresses. ; Bernstein ; Pedagogy ; Knowledges</t>
  </si>
  <si>
    <t>The New Accountability : High Schools and High-Stakes Testing</t>
  </si>
  <si>
    <t>Carnoy, Martin;Elmore, Richard;Siskin, Leslie</t>
  </si>
  <si>
    <t>LB28066.22</t>
  </si>
  <si>
    <t>School improvement programs - United States</t>
  </si>
  <si>
    <t>500 Tips for Tutors</t>
  </si>
  <si>
    <t>Brown, Sally;Race, Phil;Brown, Sally</t>
  </si>
  <si>
    <t>LB2331 -- .R27 2005eb</t>
  </si>
  <si>
    <t>College teaching -- Handbooks, manuals, etc. ; Study skills -- Handbooks, manuals, etc. ; Tutors and tutoring -- Handbooks, manuals, etc.</t>
  </si>
  <si>
    <t>Public Acts : Disruptive Readings on Making Curriculum Public</t>
  </si>
  <si>
    <t>Ibáñez-Carrasco, Francisco;Meiners, Erica</t>
  </si>
  <si>
    <t>Reconstructing the Public Sphere in Curriculum Studies</t>
  </si>
  <si>
    <t>LC1036.8.N67 -- P83 2004eb</t>
  </si>
  <si>
    <t>Education - North America - Experimental methods</t>
  </si>
  <si>
    <t>The Transformation of the Student Career : University Study in Germany, the Netherlands, and Sweden</t>
  </si>
  <si>
    <t>Nugent, Michael</t>
  </si>
  <si>
    <t>LA728 -- .N84 2004eb</t>
  </si>
  <si>
    <t>Education, Higher -- Aims and objectives -- Germany. ; Education, Higher -- Aims and objectives -- Netherlands. ; Education, Higher -- Aims and objectives -- Sweden. ; Higher education and state -- Germany. ; Higher education and state -- Netherlands. ; Higher education and state -- Sweden. ; Comparative education.</t>
  </si>
  <si>
    <t>The Struggle for the American Curriculum, 1893-1958 : 1893-1958 (3rd Edition)</t>
  </si>
  <si>
    <t>Kliebard, Herbert M.</t>
  </si>
  <si>
    <t>LB1570 -- .K585 2004eb</t>
  </si>
  <si>
    <t>370.11/3/0973</t>
  </si>
  <si>
    <t>Curriculum planning - United States - History - 19th century</t>
  </si>
  <si>
    <t>Teaching and Learning in Diverse Classrooms : Faculty Reflections on Their Experiences and Pedagogical Practices of Teaching Diverse Populations</t>
  </si>
  <si>
    <t>Castañeda, Carmelita Rosie</t>
  </si>
  <si>
    <t>LC1099.3 -- .C377 2004eb</t>
  </si>
  <si>
    <t>Multicultural education -- United States. ; Educational equalization -- United States. ; Educational surveys -- United States.</t>
  </si>
  <si>
    <t>Learning Through Collaborative Research : The Six Nation Education Research Project</t>
  </si>
  <si>
    <t>McGinn, Noel F.</t>
  </si>
  <si>
    <t>LC71 -- .L34 2004eb</t>
  </si>
  <si>
    <t>370/.72</t>
  </si>
  <si>
    <t>Education and state -- Cross-cultural studies. ; Education -- Research -- Cross-cultural studies. ; Education -- Political aspects -- Cross-cultural studies.</t>
  </si>
  <si>
    <t>America's Failing Schools : How Parents and Teachers Can Cope with No Child Left Behind</t>
  </si>
  <si>
    <t>Popham, W. James</t>
  </si>
  <si>
    <t>LA217.2 \.P65 2004</t>
  </si>
  <si>
    <t>Skin Color and Identity Formation : Perception of Opportunity and Academic Orientation among Mexican and Puerto Rican Youth</t>
  </si>
  <si>
    <t>Fergus, Edward</t>
  </si>
  <si>
    <t>Latino Communities: Emerging Voices - Political, Social, Cultural and Legal Issues Series</t>
  </si>
  <si>
    <t>LC2688.D48 -- F47 2004eb</t>
  </si>
  <si>
    <t>373.1829/6872073</t>
  </si>
  <si>
    <t>Human skin color - Social aspects - United States</t>
  </si>
  <si>
    <t>Speaking Out : Storytelling and Creative Drama for Children</t>
  </si>
  <si>
    <t>Zipes, Jack</t>
  </si>
  <si>
    <t>LB1042 -- .Z57 2004eb</t>
  </si>
  <si>
    <t>372.67/7</t>
  </si>
  <si>
    <t>Storytelling in education</t>
  </si>
  <si>
    <t>If Classrooms Matter : Progressive Visions of Educational Environments</t>
  </si>
  <si>
    <t>Leo, Jeffrey Di;Jacobs, Walter</t>
  </si>
  <si>
    <t>LB3013.I4</t>
  </si>
  <si>
    <t>Classrooms - United States - Planning</t>
  </si>
  <si>
    <t>Women, Literacy and Development</t>
  </si>
  <si>
    <t>Robinson-Pant, Anna</t>
  </si>
  <si>
    <t>Routledge Research in Literacy Series</t>
  </si>
  <si>
    <t>LC161 -- .W66 2004eb</t>
  </si>
  <si>
    <t>302.2/244/091724</t>
  </si>
  <si>
    <t>Literacy -- Developing countries -- Case studies. ; Literacy programs -- Developing countries -- Case studies. ; Women -- Education -- Developing countries -- Case studies.</t>
  </si>
  <si>
    <t>Schooling As Violence : How Schools Harm Pupils and Societies</t>
  </si>
  <si>
    <t>Harber, Clive</t>
  </si>
  <si>
    <t>LB3013.3 -- .H37 2004eb</t>
  </si>
  <si>
    <t>371.7/82</t>
  </si>
  <si>
    <t>School violence -- Social aspects.</t>
  </si>
  <si>
    <t>The Effective Primary School Classroom : The Essential Guide for New Teachers</t>
  </si>
  <si>
    <t>HV751.A6 W</t>
  </si>
  <si>
    <t>Educational law and legislation - Great Britain.</t>
  </si>
  <si>
    <t>Gender, Literacy, and Empowerment in Morocco</t>
  </si>
  <si>
    <t>Agnaou, Fatima</t>
  </si>
  <si>
    <t>Middle East Studies: History, Politics and Law Series</t>
  </si>
  <si>
    <t>LC2472.2 -- .A36 2004eb</t>
  </si>
  <si>
    <t>370/.82/0964</t>
  </si>
  <si>
    <t>Women -- Education -- Morocco. ; Literacy -- Morocco. ; Women -- Morocco -- Social conditions. ; Women -- Morocco -- Economic conditions.</t>
  </si>
  <si>
    <t>Violence in Schools : The Response in Europe</t>
  </si>
  <si>
    <t>Smith, Peter K.</t>
  </si>
  <si>
    <t>LB3013.34.E9 -- V56 2003eb</t>
  </si>
  <si>
    <t>School violence -- European Union countries. ; School violence -- European Union countries -- Prevention.</t>
  </si>
  <si>
    <t>Passionate Principalship : Learning from the Life Histories of School Leaders</t>
  </si>
  <si>
    <t>LB2831.926.E8 -- P37 2005eb</t>
  </si>
  <si>
    <t>371.2/012/094</t>
  </si>
  <si>
    <t>School principals -- Europe -- Case studies. ; School management and organization -- Europe -- Case studies. ; Educational leadership -- Europe -- Case studies.</t>
  </si>
  <si>
    <t>Primary Teacher Education : High Status? High Standards?</t>
  </si>
  <si>
    <t>Richards, Colin;Simco, Neil;Twiselton, Sam</t>
  </si>
  <si>
    <t>LB1725.G6 -- P75 1998eb</t>
  </si>
  <si>
    <t>Variation and Change in Spanish</t>
  </si>
  <si>
    <t>Penny, Ralph</t>
  </si>
  <si>
    <t>PC4074.7 .P46 2000</t>
  </si>
  <si>
    <t>467/.009</t>
  </si>
  <si>
    <t>Spanish language--Variation</t>
  </si>
  <si>
    <t>Literacy in American Lives</t>
  </si>
  <si>
    <t>Brandt, Deborah</t>
  </si>
  <si>
    <t>LC151 .B72 2001</t>
  </si>
  <si>
    <t>Literacy--United States--History--20th century</t>
  </si>
  <si>
    <t>Social Processes in Children's Learning</t>
  </si>
  <si>
    <t>Cambridge Studies in Cognitive and Perceptual Development Series</t>
  </si>
  <si>
    <t>Series Number 4</t>
  </si>
  <si>
    <t>LB1060 .L533 1999</t>
  </si>
  <si>
    <t>Learning--Social aspects</t>
  </si>
  <si>
    <t>Bound to Sin : Abuse, Holocaust and the Christian Doctrine of Sin</t>
  </si>
  <si>
    <t>McFadyen, Alistair</t>
  </si>
  <si>
    <t>Cambridge Studies in Christian Doctrine Series</t>
  </si>
  <si>
    <t>Series Number 6</t>
  </si>
  <si>
    <t>BT715 .M376 2000</t>
  </si>
  <si>
    <t>Sin--Christianity</t>
  </si>
  <si>
    <t>Religion</t>
  </si>
  <si>
    <t>Dialogic Inquiry : Towards a Socio-Cultural Practice and Theory of Education</t>
  </si>
  <si>
    <t>Wells, Gordon</t>
  </si>
  <si>
    <t>Learning in Doing: Social, Cognitive and Computational Perspectives Series</t>
  </si>
  <si>
    <t>LB1060 .W457 1999</t>
  </si>
  <si>
    <t>Pedagogy, Intellectuals, and Dissent in the Later Middle Ages : Lollardy and Ideas of Learning</t>
  </si>
  <si>
    <t>Copeland, Rita</t>
  </si>
  <si>
    <t>Cambridge Studies in Medieval Literature Series</t>
  </si>
  <si>
    <t>Series Number 44</t>
  </si>
  <si>
    <t>LA631.3 .C66 2001</t>
  </si>
  <si>
    <t>Education, Medieval--Great Britain</t>
  </si>
  <si>
    <t>Humanism and Education in Medieval and Renaissance Italy : Tradition and Innovation in Latin Schools from the Twelfth to the Fifteenth Century</t>
  </si>
  <si>
    <t>Black, Robert</t>
  </si>
  <si>
    <t>PA2065.I7 B58 2001</t>
  </si>
  <si>
    <t>488/.0071/245</t>
  </si>
  <si>
    <t>Latin language--Study and teaching--Italy--History--To 1500</t>
  </si>
  <si>
    <t>School-Based Drug Prevention : What Kind of Drug Use Does It Prevent?</t>
  </si>
  <si>
    <t>RAND Corporation</t>
  </si>
  <si>
    <t>Caulkins, Jonathan;Pacula, Rosalie;Paddock, Susan</t>
  </si>
  <si>
    <t>HV5824.Y68 -- S337 2002eb</t>
  </si>
  <si>
    <t>362.29/17/0973</t>
  </si>
  <si>
    <t>Students -- Drug use -- United States. ; Youth -- Drug use -- United States. ; Drug abuse -- United States -- Prevention.</t>
  </si>
  <si>
    <t>Health; Social Science</t>
  </si>
  <si>
    <t>Charter School Operations and Performance : Evidence from California</t>
  </si>
  <si>
    <t>Zimmer, Ron;Buddin, Richard;Chau, Derrick;Zimmer, Ron W.;Buddin, Richard;Chau, Derrick;Guarino, Cassandra;Krop, Cathy;McCaffrey, Daniel;Sandler, Melinda</t>
  </si>
  <si>
    <t>LB2806.36 -- .C517 2003eb</t>
  </si>
  <si>
    <t>Charter schools -- California -- Evaluation.</t>
  </si>
  <si>
    <t>Making Sense of Test-Based Accountability in Education</t>
  </si>
  <si>
    <t>Hamilton, Laura;Stecher, Brian;Klein, Stephen P.</t>
  </si>
  <si>
    <t>LB3051 -- .M4245 2002eb</t>
  </si>
  <si>
    <t>371.26/4</t>
  </si>
  <si>
    <t>Educational tests and measurements -- United States. ; Educational accountability -- United States.</t>
  </si>
  <si>
    <t>Intelligent Giving : Insights and Strategies for Higher Education Donors</t>
  </si>
  <si>
    <t>Caulkins, Jonathan P.;Cole, Jay;Hardoby, Melissa</t>
  </si>
  <si>
    <t>LB2336 -- .I55 2002eb</t>
  </si>
  <si>
    <t>378.1/06</t>
  </si>
  <si>
    <t>Universities and colleges -- United States -- Endowments. ; Benefactors -- Charitable contributions -- United States. ; Education, Higher -- United States -- Finance.</t>
  </si>
  <si>
    <t>Accountability for After-School Care : Devising Standards and Measuring Adherence to Them</t>
  </si>
  <si>
    <t>Beckett, Megan;Hawken, Angela;Jacknowitz, Alison</t>
  </si>
  <si>
    <t>HQ778.6 -- .B435 2001eb</t>
  </si>
  <si>
    <t>362.7/12/0973</t>
  </si>
  <si>
    <t>School-age child care -- Research -- United States.</t>
  </si>
  <si>
    <t>Mathematical Proficiency for All Students : Toward a Strategic Research and Development Program in Mathematics Education</t>
  </si>
  <si>
    <t>RAND Mathematics Study Panel;Loewenberg, Deborah</t>
  </si>
  <si>
    <t>QA13 -- .R36 2003eb</t>
  </si>
  <si>
    <t>510/.71/073</t>
  </si>
  <si>
    <t>Mathematics -- Study and teaching -- United States. ; Mathematics teachers -- Training of -- United States.</t>
  </si>
  <si>
    <t>Audible Difference : ESL and Social Identities in Schools</t>
  </si>
  <si>
    <t>CoreSource Plus – Channel View Publications</t>
  </si>
  <si>
    <t>Multilingual Matters</t>
  </si>
  <si>
    <t>Clevedon</t>
  </si>
  <si>
    <t>Miller, Jennifer</t>
  </si>
  <si>
    <t>Languages for Intercultural Communication and Education Series</t>
  </si>
  <si>
    <t>PE1128.A2M553 2003</t>
  </si>
  <si>
    <t>English language -- Study and teaching (Secondary) -- Social aspects</t>
  </si>
  <si>
    <t>Continua of Biliteracy : An Ecological Framework for Educational Policy, Research, and Practice in Multilingual Settings</t>
  </si>
  <si>
    <t>Hornberger, Nancy H.</t>
  </si>
  <si>
    <t>Bilingual Education and Bilingualism Series</t>
  </si>
  <si>
    <t>LC3719 -- .C67 2003eb</t>
  </si>
  <si>
    <t>Education, Bilingual. ; Literacy. ; Multiculturalism.</t>
  </si>
  <si>
    <t>Making Sense in Sign : A Lifeline for a Deaf Child</t>
  </si>
  <si>
    <t>Froude, Jenny</t>
  </si>
  <si>
    <t>Parents' and Teachers' Guides</t>
  </si>
  <si>
    <t>P117</t>
  </si>
  <si>
    <t>362.4/2/083 B</t>
  </si>
  <si>
    <t>Deaf - Means of communication</t>
  </si>
  <si>
    <t>Language/Linguistics; Social Science</t>
  </si>
  <si>
    <t>Negotiation of Identities in Multilingual Contexts</t>
  </si>
  <si>
    <t>Pavlenko, Aneta;Blackledge, Adrian</t>
  </si>
  <si>
    <t>P115.N44 2004</t>
  </si>
  <si>
    <t>306.44/6</t>
  </si>
  <si>
    <t>Multilingualism. ; Identity (Psychology).</t>
  </si>
  <si>
    <t>Social Science; Language/Linguistics</t>
  </si>
  <si>
    <t>Beyond the Beginnings : Literacy Interventions for Upper Elementary English Language Learners</t>
  </si>
  <si>
    <t>Carrasquillo, Angela L.;Kucer, Stephen;Abrams, Ruth</t>
  </si>
  <si>
    <t>PE1128.A2C348 2004</t>
  </si>
  <si>
    <t>808/.0428/071</t>
  </si>
  <si>
    <t>English language -- Study and teaching (Elementary) -- Foreign speakers</t>
  </si>
  <si>
    <t>Language/Linguistics; Literature</t>
  </si>
  <si>
    <t>Language Strategies for Bilingual Families : The One-Parent-One-Language Approach</t>
  </si>
  <si>
    <t>Barron-Hauwaert, Suzanne</t>
  </si>
  <si>
    <t>P115.2.B37 2004</t>
  </si>
  <si>
    <t>Bilingualism in children. ; Language acquisition--Parent participation.</t>
  </si>
  <si>
    <t>Maintaining a Minority Language : A Case Study of Hispanic Teenagers</t>
  </si>
  <si>
    <t>Gibbons, John;Ramirez, Elizabeth</t>
  </si>
  <si>
    <t>Multilingual Matters Series</t>
  </si>
  <si>
    <t>P40.5.L322A844 2004</t>
  </si>
  <si>
    <t>404/.2/0994</t>
  </si>
  <si>
    <t>Language maintenance--Australia--Sydney (N.S.W.). ; Bilingualism--Australia--Sydney (N.S.W.). ; Literacy--Australia--Sydney (N.S.W.). ; Spaniards--Australia--Sydney (N.S.W.)--Languages. ; Teenagers--Australia--Sydney (N.S.W.)--Language. ; Spanish language--Social aspects--Australia--Sydney (N.S.W.).</t>
  </si>
  <si>
    <t>A Companion to the Philosophy of Education</t>
  </si>
  <si>
    <t>Wiley-Blackwell</t>
  </si>
  <si>
    <t>Curren, Randall</t>
  </si>
  <si>
    <t>Blackwell Companions to Philosophy Series</t>
  </si>
  <si>
    <t>LB17.C64 2003</t>
  </si>
  <si>
    <t>Education -- Philosophy. ; Teaching.</t>
  </si>
  <si>
    <t>Feeling Power : Emotions and Education</t>
  </si>
  <si>
    <t>Boler, Megan</t>
  </si>
  <si>
    <t>LC196 -- .B65 1999eb</t>
  </si>
  <si>
    <t>370.1/53</t>
  </si>
  <si>
    <t>Emotions and cognition</t>
  </si>
  <si>
    <t>Teaching Toward the 24th Century : Star Trek As Social Curriculum</t>
  </si>
  <si>
    <t>Anijar, Karen</t>
  </si>
  <si>
    <t>LC196.5.U6$bA56 2000</t>
  </si>
  <si>
    <t>Star Trek television programs</t>
  </si>
  <si>
    <t>Freireian Pedagogy, Praxis, and Possibilities : Projects for the New Millennium</t>
  </si>
  <si>
    <t>Steiner, Stanley S.;Krank, H. Mark;Bahruth, Robert E.;McLaren, Peter;Steiner, Stanley F.;Krank, H. Mark;McLaren, Peter;Bahruth, Robert E.</t>
  </si>
  <si>
    <t>LC196 -- .F74 2000eb</t>
  </si>
  <si>
    <t>Freire, Paulo</t>
  </si>
  <si>
    <t>Improving Teacher Education Practice Through Self-Study</t>
  </si>
  <si>
    <t>Loughran, John;Russell, Tom</t>
  </si>
  <si>
    <t>LB1707 -- .I52 2002eb</t>
  </si>
  <si>
    <t>Self-Evaluation : What's in It for Schools?</t>
  </si>
  <si>
    <t>MacBeath, John;Mcglynn, Archie</t>
  </si>
  <si>
    <t>LB2822.75 -- .M334 2002eb</t>
  </si>
  <si>
    <t>371.2/07</t>
  </si>
  <si>
    <t>Educational evaluation. ; Schools -- Evaluation.</t>
  </si>
  <si>
    <t>Getting a PhD : An Action Plan to Help Manage Your Research, Your Supervisor and Your Project</t>
  </si>
  <si>
    <t>Finn, John</t>
  </si>
  <si>
    <t>Doctor of philosophy degree</t>
  </si>
  <si>
    <t>The Art and Science of Teaching and Learning : The Selected Works of Ted Wragg</t>
  </si>
  <si>
    <t>Wragg, E. C.</t>
  </si>
  <si>
    <t>World Library of Educationalists</t>
  </si>
  <si>
    <t>Places of Learning : Media, Architecture, Pedagogy</t>
  </si>
  <si>
    <t>Ellsworth, Elizabeth</t>
  </si>
  <si>
    <t>LC239 -- .E44 2005eb</t>
  </si>
  <si>
    <t>Place-based education</t>
  </si>
  <si>
    <t>Feedback for Learning</t>
  </si>
  <si>
    <t>Askew, Susan</t>
  </si>
  <si>
    <t>LB1060 -- .F44 2000eb</t>
  </si>
  <si>
    <t>Feedback (Psychology) ; Interaction analysis in education. ; Learning.</t>
  </si>
  <si>
    <t>On the Success of Failure : A Reassessment of the Effects of Retention in the Primary School Grades</t>
  </si>
  <si>
    <t>Alexander, Karl L.;Entwisle, Doris R.;Dauber, Susan L.</t>
  </si>
  <si>
    <t>LB3063 .A54 2003</t>
  </si>
  <si>
    <t>371.2/8</t>
  </si>
  <si>
    <t>Grade repetition--United States</t>
  </si>
  <si>
    <t>Literacy and Literacies : Texts, Power, and Identity</t>
  </si>
  <si>
    <t>Collins, James;Blot, Richard</t>
  </si>
  <si>
    <t>Studies in the Social and Cultural Foundations of Language Series</t>
  </si>
  <si>
    <t>Series Number 22</t>
  </si>
  <si>
    <t>LC149 .C64 2003</t>
  </si>
  <si>
    <t>Literacy--Social aspects</t>
  </si>
  <si>
    <t>How Children Learn to Be Healthy</t>
  </si>
  <si>
    <t>Tinsley, Barbara J.</t>
  </si>
  <si>
    <t>Cambridge Studies on Child and Adolescent Health Series</t>
  </si>
  <si>
    <t>RA776.9 .T54 2003</t>
  </si>
  <si>
    <t>613/.0432</t>
  </si>
  <si>
    <t>Medicine, Preventive</t>
  </si>
  <si>
    <t>Social Science; Health</t>
  </si>
  <si>
    <t>Thinking in Education</t>
  </si>
  <si>
    <t>Lipman, Matthew</t>
  </si>
  <si>
    <t>LB1590.3 .L57 2003</t>
  </si>
  <si>
    <t>Thought and thinking--Study and teaching</t>
  </si>
  <si>
    <t>The Changing Adolescent Experience : Societal Trends and the Transition to Adulthood</t>
  </si>
  <si>
    <t>Mortimer, Jeylan T.;Larson, Reed W.</t>
  </si>
  <si>
    <t>HQ796 .C4514 2002</t>
  </si>
  <si>
    <t>Adolescence--Forecasting</t>
  </si>
  <si>
    <t>Happiness and Education</t>
  </si>
  <si>
    <t>Noddings, Nel</t>
  </si>
  <si>
    <t>LB41 .N55 2003</t>
  </si>
  <si>
    <t>Education--Aims and objectives</t>
  </si>
  <si>
    <t>101 Healing Stories for Kids and Teens : Using Metaphors in Therapy</t>
  </si>
  <si>
    <t>Burns, George W.</t>
  </si>
  <si>
    <t>RJ505.M48B87 2005</t>
  </si>
  <si>
    <t>618.92/8914</t>
  </si>
  <si>
    <t>Psychology; Medicine</t>
  </si>
  <si>
    <t>The Free Speech Movement : Reflections on Berkeley in The 1960s</t>
  </si>
  <si>
    <t>University of California Press</t>
  </si>
  <si>
    <t>Cohen, Robert;Zelnik, Reginald E.</t>
  </si>
  <si>
    <t>LD760 -- .F74 2002eb</t>
  </si>
  <si>
    <t>Savio, Mario. ; University of California, Berkeley-Students-History. ; College students-California-Berkeley-Political activity-History. ; Student movements-California-Berkeley-History.</t>
  </si>
  <si>
    <t>Silence at Boalt Hall : The Dismantling of Affirmative Action</t>
  </si>
  <si>
    <t>Guerrero, Andrea</t>
  </si>
  <si>
    <t>KF292.C353$bA54 2002</t>
  </si>
  <si>
    <t>340/.071/179467</t>
  </si>
  <si>
    <t>Discrimination in education</t>
  </si>
  <si>
    <t>The Sacrificed Generation : Youth, History, and the Colonized Mind in Madagascar</t>
  </si>
  <si>
    <t>Sharp, Lesley A.</t>
  </si>
  <si>
    <t>HQ799.M25 -- S53 2002eb</t>
  </si>
  <si>
    <t>305.235/09691</t>
  </si>
  <si>
    <t>Youth -- Madagascar. ; Education -- Madagascar. ; Youth -- Madagascar -- Political activity. ; Imperialism.</t>
  </si>
  <si>
    <t>Globalization : Culture and Education in the New Millennium</t>
  </si>
  <si>
    <t>Suarez-Orozco, Marcelo;Qin-Hilliard, Desiree B.;Suarez-Orozco, Marcelo</t>
  </si>
  <si>
    <t>JZ1318$b.G57925 2004</t>
  </si>
  <si>
    <t>Culture. ; Education. ; Globalization.</t>
  </si>
  <si>
    <t>The Gold and the Blue, Volume One : A Personal Memoir of the University of California, 1949-1967, Academic Triumphs</t>
  </si>
  <si>
    <t>Kerr, Clark</t>
  </si>
  <si>
    <t>LD755.K47$bA33 2001</t>
  </si>
  <si>
    <t>Kerr, Clark, -- 1911-2003. ; University of California (System) -- History. ; University of California, Berkeley -- Presidents -- Biography. ; Education -- History.</t>
  </si>
  <si>
    <t>Scandals and Scoundrels : Seven Cases That Shook the Academy</t>
  </si>
  <si>
    <t>Robin, Ron</t>
  </si>
  <si>
    <t>PN167$b.R63 2004</t>
  </si>
  <si>
    <t>Literature; Philosophy</t>
  </si>
  <si>
    <t>The Gold and the Blue, Volume Two : A Personal Memoir of the University of California, 1949-1967, Political Turmoil</t>
  </si>
  <si>
    <t>LD755.K47 -- P65 2003eb</t>
  </si>
  <si>
    <t>University of California (System) - History</t>
  </si>
  <si>
    <t>The Power of Position : Beijing University, Intellectuals, and Chinese Political Culture, 1898-1929</t>
  </si>
  <si>
    <t>Weston, Timothy B.</t>
  </si>
  <si>
    <t>Berkeley Series in Interdisciplinary Studies of China Series</t>
  </si>
  <si>
    <t>LG51.P28 -- W47 2004eb</t>
  </si>
  <si>
    <t>Beijing da xue-History. ; Higher education and state-China-History. ; Political culture-China-History.</t>
  </si>
  <si>
    <t>Therapist's Guide to Learning and Attention Disorders</t>
  </si>
  <si>
    <t>Elsevier Inc.</t>
  </si>
  <si>
    <t>Elsevier Science &amp; Technology</t>
  </si>
  <si>
    <t>Fine, Aubrey H.;Kotkin, Ronald A.;Fine, Aubrey H.;Kotkin, Ronald A.</t>
  </si>
  <si>
    <t>Issn Series</t>
  </si>
  <si>
    <t>RJ506.L4</t>
  </si>
  <si>
    <t>649/.154</t>
  </si>
  <si>
    <t>Child psychiatry - Differential therapeutics</t>
  </si>
  <si>
    <t>Psychology; Medicine; Home Economics</t>
  </si>
  <si>
    <t>Bullying : Implications for the Classroom</t>
  </si>
  <si>
    <t>Phye, Gary D.;Sanders, Cheryl;Phye, Gary D.</t>
  </si>
  <si>
    <t>LB3013.3.B</t>
  </si>
  <si>
    <t>Bullying - Prevention.</t>
  </si>
  <si>
    <t>Evidence-Based Educational Methods</t>
  </si>
  <si>
    <t>Moran, Daniel J.;Malott, Richard W.;Malott, Richard W;Moran, Daniel J;Moran, Daniel J;Moran, Daniel J;Moran, Daniel J</t>
  </si>
  <si>
    <t>LB</t>
  </si>
  <si>
    <t>Effective teaching. ; Teaching.</t>
  </si>
  <si>
    <t>Literacy and Augmentative and Alternative Communication</t>
  </si>
  <si>
    <t>Brill Academic Publishers</t>
  </si>
  <si>
    <t>BRILL</t>
  </si>
  <si>
    <t>Saint Louis</t>
  </si>
  <si>
    <t>Smith, Martine;Arvidson, Helen H.;Lloyd, Lyle L.</t>
  </si>
  <si>
    <t>LB3454 -- .S65 2005eb</t>
  </si>
  <si>
    <t>Brain -- Imaging. ; Mental illness -- Diagnosis.</t>
  </si>
  <si>
    <t>How Chinese Learn Mathematics: Perspectives From Insiders</t>
  </si>
  <si>
    <t>World Scientific &amp; Imperial College Press</t>
  </si>
  <si>
    <t>World Scientific Publishing Company</t>
  </si>
  <si>
    <t>SINGAPORE</t>
  </si>
  <si>
    <t>World Scientific</t>
  </si>
  <si>
    <t>Lianghuo Fan;Ngai-ying Wong;Jinfa Cai;Shiqi Li</t>
  </si>
  <si>
    <t>Series On Mathematics Education</t>
  </si>
  <si>
    <t>QA14.C6H69 2004</t>
  </si>
  <si>
    <t>Neurosciences</t>
  </si>
  <si>
    <t>Conflicting Paradigms in Adult Literacy Education : In Quest of a U. S. Democratic Politics of Literacy</t>
  </si>
  <si>
    <t>Demetrion, George</t>
  </si>
  <si>
    <t>LC149.7 -- .D416 2005eb</t>
  </si>
  <si>
    <t>Functional literacy -- Government policy -- United States. ; Adult education and state -- United States. ; Progressive education -- United States.</t>
  </si>
  <si>
    <t>Current Issues in School Leadership</t>
  </si>
  <si>
    <t>Hughes, Larry W.</t>
  </si>
  <si>
    <t>Topics in Educational Leadership</t>
  </si>
  <si>
    <t>LB2805 -- .C857 2005eb</t>
  </si>
  <si>
    <t>371.2/00973</t>
  </si>
  <si>
    <t>Educational leadership -- United States. ; School management and organization -- United States. ; Education -- Political aspects -- United States. ; Education -- Social aspects -- United States.</t>
  </si>
  <si>
    <t>Conflict, Contradiction, and Contrarian Elements in Moral Development and Education</t>
  </si>
  <si>
    <t>Nucci, Larry</t>
  </si>
  <si>
    <t>LC311 -- .C49 2005eb</t>
  </si>
  <si>
    <t>Moral education -- United States</t>
  </si>
  <si>
    <t>The Connections Between Language and Reading Disabilities</t>
  </si>
  <si>
    <t>Catts, Hugh W.;Kamhi, Alan G.</t>
  </si>
  <si>
    <t>LB1050.5 -- .C65 2005eb</t>
  </si>
  <si>
    <t>371.91/44</t>
  </si>
  <si>
    <t>Reading disability -- Congresses. ; Language disorders in children -- Congresses. ; Reading -- Remedial teaching -- Congresses. ; Children -- Language -- Physiological aspects -- Congresses.</t>
  </si>
  <si>
    <t>Methods of Research on Teaching the English Language Arts : The Methodology Chapters from the Handbook of Research on Teaching the English Language Arts, Sponsored by International Reading Association and National Council of Teachers of English</t>
  </si>
  <si>
    <t>Flood, James;Lapp, Diane;Squire, James R.;Jensen, Julie</t>
  </si>
  <si>
    <t>LB1576 -- .M46 2005eb</t>
  </si>
  <si>
    <t>Language arts. ; English language -- Study and teaching.</t>
  </si>
  <si>
    <t>Education and Mind in the Knowledge Age</t>
  </si>
  <si>
    <t>Bereiter, Carl</t>
  </si>
  <si>
    <t>LB1057 -- .B47 2002eb</t>
  </si>
  <si>
    <t>Learning, Psychology of. ; Knowledge, Theory of. ; Cognition. ; Educational change.</t>
  </si>
  <si>
    <t>Identification of Learning Disabilities : Research to Practice</t>
  </si>
  <si>
    <t>Bradley, Renee;Danielson, Louis;Hallahan, Daniel P.</t>
  </si>
  <si>
    <t>The LEA Series on Special Education and Disability Series</t>
  </si>
  <si>
    <t>LC4704 -- .I34 2002eb</t>
  </si>
  <si>
    <t>Learning disabilities. ; Learning disabled children -- Education.</t>
  </si>
  <si>
    <t>Children's Language : Volume 11: Interactional Contributions to Language Development</t>
  </si>
  <si>
    <t>Nelson, Keith E.;Aksu-Ko++, Ayhan;Johnson, Carolyn E.;Aksu-Koc, Ayhan</t>
  </si>
  <si>
    <t>Children's Language</t>
  </si>
  <si>
    <t>LB1139.L3 -- N45 2001eb</t>
  </si>
  <si>
    <t>Children -- Language. ; Interpersonal communication in children.</t>
  </si>
  <si>
    <t>Developmental Psychology : How Nature and Nurture Interact</t>
  </si>
  <si>
    <t>Richardson, Keith</t>
  </si>
  <si>
    <t>BF713 -- .R525 2000eb</t>
  </si>
  <si>
    <t>Developmental psychology. ; Nature and nurture.</t>
  </si>
  <si>
    <t>Scientific Thinking in Speech and Language Therapy</t>
  </si>
  <si>
    <t>Lum, Carmel</t>
  </si>
  <si>
    <t>RC428 -- .L86 2002eb</t>
  </si>
  <si>
    <t>616.85/506/072</t>
  </si>
  <si>
    <t>Speech therapy -- Research -- Methodology. ; Science -- Methodology.</t>
  </si>
  <si>
    <t>Medicine</t>
  </si>
  <si>
    <t>Teaching Reading : Effective Schools, Accomplished Teachers</t>
  </si>
  <si>
    <t>Taylor, Barbara M.;Pearson, P. David</t>
  </si>
  <si>
    <t>LB1573 -- .T3895 2002eb</t>
  </si>
  <si>
    <t>School improvement programs -- United States -- Case studies</t>
  </si>
  <si>
    <t>Organized Activities As Contexts of Development : Extracurricular Activities, after School and Community Programs</t>
  </si>
  <si>
    <t>Mahoney, Joseph L.;Larson, Reed W.;Eccles, Jacquelynne S.</t>
  </si>
  <si>
    <t>LB3605 -- .O74 2005eb</t>
  </si>
  <si>
    <t>Student activities -- United States. ; Students -- Services for -- United States. ; Community and school -- United States. ; Child development -- United States. ; Youth. ; Adolescence.</t>
  </si>
  <si>
    <t>Children's Reading Comprehension and Assessment</t>
  </si>
  <si>
    <t>Paris, Scott G.;Stahl, Steven A.</t>
  </si>
  <si>
    <t>LB1050.45 -- .C47 2005eb</t>
  </si>
  <si>
    <t>Reading -- Ability testing</t>
  </si>
  <si>
    <t>High-Stakes Testing : Coping with Collateral Damage</t>
  </si>
  <si>
    <t>Thomas, R. Murray</t>
  </si>
  <si>
    <t>LB3051 -- .T467 2005eb</t>
  </si>
  <si>
    <t>Educational tests and measurements -- United States -- Evaluation. ; Education -- Standards -- United States.</t>
  </si>
  <si>
    <t>Language Minority Students in American Schools : An Education in English</t>
  </si>
  <si>
    <t>Adamson, H. D.</t>
  </si>
  <si>
    <t>ESL and Applied Linguistics Professional Series</t>
  </si>
  <si>
    <t>LC3731 -- .A576 2005eb</t>
  </si>
  <si>
    <t>428.3/4</t>
  </si>
  <si>
    <t>Linguistic minorities -- Education -- United States</t>
  </si>
  <si>
    <t>Defending Standardized Testing</t>
  </si>
  <si>
    <t>Phelps, Richard</t>
  </si>
  <si>
    <t>LB3060.3 -- .D44 2005eb</t>
  </si>
  <si>
    <t>Educational accountability -- United States</t>
  </si>
  <si>
    <t>Expanding the Reach of Education Reforms : Perspectives from Leaders in the Scale-Up of Educational Interventions</t>
  </si>
  <si>
    <t>Glennan, Jr., Thomas K.;Bodilly, Susan J.;Galegher, Jolene;Kerr, i A.</t>
  </si>
  <si>
    <t>LB2822.82 -- .E94 2004eb</t>
  </si>
  <si>
    <t>School improvement programs -- United States. ; Educational change -- United States. ; Education -- Standards -- United States.</t>
  </si>
  <si>
    <t>Rhetoric vs. Reality : What We Know and What We Need To Know About Vouchers and Charter Schools</t>
  </si>
  <si>
    <t>Timpane, Michael;Brewer, Dominic;Gill, Brian;Ross, Karen E.</t>
  </si>
  <si>
    <t>LB2828.7 -- .G55 2001eb</t>
  </si>
  <si>
    <t>379.1/11</t>
  </si>
  <si>
    <t>Educational vouchers. ; Charter schools. ; School choice. ; Educational vouchers -- United States. ; Charter schools -- United States. ; School choice -- United States.</t>
  </si>
  <si>
    <t>Challenges and Potential of a Collaborative Approach to Education Reform</t>
  </si>
  <si>
    <t>Bodilly, Susan J.;Chun, Joan;Ikemoto, Gina;Stockly, Sue</t>
  </si>
  <si>
    <t>LB2822.82 -- .C397 2004eb</t>
  </si>
  <si>
    <t>Collaborating for Education Reform Initiative. ; School improvement programs -- United States -- Case studies. ; Community and school -- United States -- Case studies. ; Education, Urban -- United States -- Case studies.</t>
  </si>
  <si>
    <t>Reading for Understanding : Toward an R&amp;D Program in Reading Comprehension</t>
  </si>
  <si>
    <t>Snow, Catherine</t>
  </si>
  <si>
    <t>LB1050.45 -- .R36 2002eb</t>
  </si>
  <si>
    <t>428.4/3</t>
  </si>
  <si>
    <t>Reading comprehension -- Research. ; Reading -- Research.</t>
  </si>
  <si>
    <t>Education; Language/Linguistics; Juvenile Literature</t>
  </si>
  <si>
    <t>New American Schools' Concept of Break the Mold Designs : How Designs Evolved Over Time and Why</t>
  </si>
  <si>
    <t>Bodilly, Susan</t>
  </si>
  <si>
    <t>LB2822.82 -- .B638 2001eb</t>
  </si>
  <si>
    <t>379.1/5</t>
  </si>
  <si>
    <t>New American Schools (Organization) ; School improvement programs -- United States -- Evaluation. ; Educational change -- United States.</t>
  </si>
  <si>
    <t>Handbook of Autism and Pervasive Developmental Disorders, Diagnosis, Development, Neurobiology, and Behavior : Diagnosis, Development, Neurobiology, and Behavior</t>
  </si>
  <si>
    <t>Volkmar, Fred R.;Paul, Rhea;Klin, Ami;Cohen, Donald J.</t>
  </si>
  <si>
    <t>RJ506.A9H26eb vol. 1</t>
  </si>
  <si>
    <t>618.92/85882</t>
  </si>
  <si>
    <t>Autism in children. ; Autistic children -- Services for. ; Developmental disabilities. ; Developmentally disabled children -- Services for.</t>
  </si>
  <si>
    <t>Medicine; Psychology</t>
  </si>
  <si>
    <t>Essentials of Child Psychopathology</t>
  </si>
  <si>
    <t>Wilmshurst, Linda</t>
  </si>
  <si>
    <t>RJ504.W463 2005</t>
  </si>
  <si>
    <t>Child psychopathology.</t>
  </si>
  <si>
    <t>Educational Freedom in Urban America : Brown V. Board After Half a Century</t>
  </si>
  <si>
    <t>Cato Institute</t>
  </si>
  <si>
    <t>Cato Books</t>
  </si>
  <si>
    <t>Salisbury, David;Lartigue, Casey;Lartigue, Casey , Jr.</t>
  </si>
  <si>
    <t>LC5131 -- .E364 2004eb</t>
  </si>
  <si>
    <t>379.2/6/0973 22</t>
  </si>
  <si>
    <t>Brown, Oliver, -- 1918-1961 -- Trials, litigation, etc. ; Topeka (Kan.). -- Board of Education -- Trials, litigation, etc. ; Education, Urban -- United States. ; Educational equalization -- United States. ; Educational vouchers -- United States. ; School choice -- United States.</t>
  </si>
  <si>
    <t>Voucher wars : Waging the Legal Battle Over School Choice</t>
  </si>
  <si>
    <t>Bolick, Clint</t>
  </si>
  <si>
    <t>KF4137 -- .B65 2003eb</t>
  </si>
  <si>
    <t>344.73/076 21;344.73076</t>
  </si>
  <si>
    <t>Educational vouchers -- Law and legislation -- United States. ; School choice -- Law and legislation -- United States.</t>
  </si>
  <si>
    <t>International Developments in E-learning</t>
  </si>
  <si>
    <t>Emerald Publishing Limited</t>
  </si>
  <si>
    <t>Martin, Graeme;Clarke, Thomas</t>
  </si>
  <si>
    <t>LC5800 -- .I68 2004eb</t>
  </si>
  <si>
    <t>Distance education. ; Internet in education.</t>
  </si>
  <si>
    <t>Earning My Degree : Memoirs of an American University President</t>
  </si>
  <si>
    <t>Gardner, David</t>
  </si>
  <si>
    <t>LA2317.G25$bA3 2005</t>
  </si>
  <si>
    <t>378.1/11 B</t>
  </si>
  <si>
    <t>College presidents - United States - Biography.</t>
  </si>
  <si>
    <t>The Adult Learner : The Definitive Classic in Adult Education and Human Resource Development</t>
  </si>
  <si>
    <t>Burlington</t>
  </si>
  <si>
    <t>Knowles, Malcolm S.;Holton III, Elwood F.;Swanson, Richard A.</t>
  </si>
  <si>
    <t>LC5225.L42 -- K56 2005eb</t>
  </si>
  <si>
    <t>Adult learning. ; Adult education. ; Training.</t>
  </si>
  <si>
    <t>Published In Association With International Association Of ULSF : Sustainability in Higher Education</t>
  </si>
  <si>
    <t>Calder, Wynn;Clugston, Rick;Corcoran, Peter Blaze</t>
  </si>
  <si>
    <t>CB158 -- .P83 2002eb</t>
  </si>
  <si>
    <t>Forecasting -- Study and teaching. ; Sustainable development -- Study and teaching.</t>
  </si>
  <si>
    <t>History; Education</t>
  </si>
  <si>
    <t>Transition From School To Work : A European Perspective</t>
  </si>
  <si>
    <t>Wolter, Stefan C.</t>
  </si>
  <si>
    <t>International Journal of Manpower</t>
  </si>
  <si>
    <t>LC1037.8.E85 -- T73 2002eb</t>
  </si>
  <si>
    <t>Education, Cooperative. ; School-to-work transition.</t>
  </si>
  <si>
    <t>Education; Economics</t>
  </si>
  <si>
    <t>Multimedia Systems For Lifelong Learning : Success And Challenges (part 2)</t>
  </si>
  <si>
    <t>Kinshuk;Hansen, Jens J.;Patel, Ashok</t>
  </si>
  <si>
    <t>Campus Wide Info Systems</t>
  </si>
  <si>
    <t>QA76.575 -- .S83 2002eb</t>
  </si>
  <si>
    <t>658.4/06/0947</t>
  </si>
  <si>
    <t>Database management. ; Multimedia systems.</t>
  </si>
  <si>
    <t>Computer Science/IT; Business/Management</t>
  </si>
  <si>
    <t>Standards And The Doctoral Award</t>
  </si>
  <si>
    <t>Green, D. Howard;Shaw, Malcolm</t>
  </si>
  <si>
    <t>LB2806.22 -- .S83 2002eb</t>
  </si>
  <si>
    <t>378.2/4</t>
  </si>
  <si>
    <t>Education -- Evaluation. ; Educational accountability.</t>
  </si>
  <si>
    <t>Assessing And Examining Research Award</t>
  </si>
  <si>
    <t>Powell, Stuart;Green, Howard</t>
  </si>
  <si>
    <t>LB2806.22 -- .A77 2003eb</t>
  </si>
  <si>
    <t>Educational accountability. ; Quality assurance.</t>
  </si>
  <si>
    <t>QAA Subject Benchmarking</t>
  </si>
  <si>
    <t>Jackson, Norman</t>
  </si>
  <si>
    <t>LB2806.22 -- .Q33 2002eb</t>
  </si>
  <si>
    <t>Educational accountability. ; Quality control.</t>
  </si>
  <si>
    <t>Current Outcomes And Developments In E-learning</t>
  </si>
  <si>
    <t>Dodds, Bob;Smith, Bryan</t>
  </si>
  <si>
    <t>Industrial &amp; Commercial training</t>
  </si>
  <si>
    <t>LB1044.87 -- .C87 2002eb</t>
  </si>
  <si>
    <t>371.33/44678</t>
  </si>
  <si>
    <t>Employees -- Training of. ; Internet in education.</t>
  </si>
  <si>
    <t>Transitions From School To Work</t>
  </si>
  <si>
    <t>Wolter, Stefan</t>
  </si>
  <si>
    <t>Education + Training</t>
  </si>
  <si>
    <t>HF5549.5.C35 -- T73 2002eb</t>
  </si>
  <si>
    <t>Career development. ; Employees -- Training of.</t>
  </si>
  <si>
    <t>Business/Management; Education</t>
  </si>
  <si>
    <t>Vet &amp; Related Issues In An SME Context : National &amp; International Perspectives</t>
  </si>
  <si>
    <t>Matlay, Harry</t>
  </si>
  <si>
    <t>LB1027.47 -- .V48 2002eb</t>
  </si>
  <si>
    <t>Education. ; Training.</t>
  </si>
  <si>
    <t>Education; Business/Management</t>
  </si>
  <si>
    <t>Corporate University</t>
  </si>
  <si>
    <t>Stewart, Jim;Shaw, Sue</t>
  </si>
  <si>
    <t>Journal of European Industrial Training</t>
  </si>
  <si>
    <t>HF5549.5.T7 -- C67 2005eb</t>
  </si>
  <si>
    <t>658.3;658.312404</t>
  </si>
  <si>
    <t>Ciencias sociales -- Artículos -- Publicaciones periódicas. ; Social sciences -- Periodicals. ; Articulos -- Publicaciones periodicas ; Libros electronicos.</t>
  </si>
  <si>
    <t>Information And E-learning</t>
  </si>
  <si>
    <t>Williams, Peter;Quinsee, Susannah</t>
  </si>
  <si>
    <t>ASLIB Proceedings</t>
  </si>
  <si>
    <t>LB1044.87 -- .I64 2005eb</t>
  </si>
  <si>
    <t>371.33;371.334</t>
  </si>
  <si>
    <t>Selected Papers From Fifth International Conference On Information Communication Technologies In Education 2004 Samos Island Greece</t>
  </si>
  <si>
    <t>Fernstrom, Ken</t>
  </si>
  <si>
    <t>Campus Wide Information Systems</t>
  </si>
  <si>
    <t>Z678.93.L63 -- .S45 2005eb</t>
  </si>
  <si>
    <t>Computer networks. ; Library science.</t>
  </si>
  <si>
    <t>Education; Library Science</t>
  </si>
  <si>
    <t>Exploring The Dynamics Of The New Generation Of Corporate Universities And Enterprise Academies</t>
  </si>
  <si>
    <t>Dealtry, Richard</t>
  </si>
  <si>
    <t>HF5549.5.T7 -- E97 2005eb</t>
  </si>
  <si>
    <t>658.3;658.3124</t>
  </si>
  <si>
    <t>Charter Schools : Lessons in School Reform</t>
  </si>
  <si>
    <t>Brouillette, Liane</t>
  </si>
  <si>
    <t>LB2806.36 -- .C54 2002eb</t>
  </si>
  <si>
    <t>Item Generation for Test Development</t>
  </si>
  <si>
    <t>Irvine, Sidney H.;Kyllonen, Patrick C.</t>
  </si>
  <si>
    <t>371.26/1</t>
  </si>
  <si>
    <t>Item response theory</t>
  </si>
  <si>
    <t>Large-Scale Assessment Programs for All Students : Validity, Technical Adequacy, and Implementation</t>
  </si>
  <si>
    <t>Tindal, Gerald;Haladyna, Thomas M.</t>
  </si>
  <si>
    <t>LB3060.68 -- .L37 2002eb</t>
  </si>
  <si>
    <t>371.26/01/3</t>
  </si>
  <si>
    <t>Examinations -- Validity. ; Educational tests and measurements.</t>
  </si>
  <si>
    <t>Language and Image in the Reading-Writing Classroom : Teaching Vision</t>
  </si>
  <si>
    <t>Fleckenstein, Kristie S.;Calendrillo, Linda T.;Worley, Demetrice A.</t>
  </si>
  <si>
    <t>Imagery (Psychology) in children</t>
  </si>
  <si>
    <t>Serve and Learn : Implementing and Evaluating Service-Learning in Middle and High Schools</t>
  </si>
  <si>
    <t>Pritchard, Florence Fay;Whitehead, III, George I.</t>
  </si>
  <si>
    <t>LC220.5 -- .P75 2004eb</t>
  </si>
  <si>
    <t>361.3/7</t>
  </si>
  <si>
    <t>Education, Secondary -- Curricula -- United States</t>
  </si>
  <si>
    <t>The Cradle of Culture and What Children Know about Writing and Numbers Before Being</t>
  </si>
  <si>
    <t>Tolchinsky, Liliana</t>
  </si>
  <si>
    <t>Developing Mind Series</t>
  </si>
  <si>
    <t>LB1139.W7 -- T65 2003eb</t>
  </si>
  <si>
    <t>Children -- Writing. ; Child development. ; Literacy. ; Numeracy.</t>
  </si>
  <si>
    <t>Learning to Teach in an Age of Accountability</t>
  </si>
  <si>
    <t>Costigan, Arthur T.;Zumwalt, Karen Kepler;Crocco, Margaret Smith;Gerwin, David Milton</t>
  </si>
  <si>
    <t>LB2806.22 -- .C67 2004eb</t>
  </si>
  <si>
    <t>Educational accountability -- New York (State) -- New York -- Case studies. ; First year teachers -- New York (State) -- New York -- Case studies. ; Education, Urban -- New York (State) -- New York -- Case studies.</t>
  </si>
  <si>
    <t>Coming of Age in U. S. High Schools : Economic, Kinship, Religious, and Political Crosscurrents</t>
  </si>
  <si>
    <t>Hemmings, Annette B.</t>
  </si>
  <si>
    <t>Sociocultural, Political, and Historical Studies in Education Series</t>
  </si>
  <si>
    <t>LC205 -- .H46 2004eb</t>
  </si>
  <si>
    <t>High school seniors -- United States -- Social conditions -- Case studies. ; High schools -- United States -- Sociological aspects -- Case studies. ; Educational anthropology -- United States -- Case studies.</t>
  </si>
  <si>
    <t>Poverty and Schooling in the U. S. : Contexts and Consequences</t>
  </si>
  <si>
    <t>Books, Sue</t>
  </si>
  <si>
    <t>LC4091 -- .B66 2004eb</t>
  </si>
  <si>
    <t>371.826/942/0973</t>
  </si>
  <si>
    <t>Poor children -- Education -- United States. ; Poor children -- United States -- Social conditions -- 21st century. ; Educational equalization -- United States.</t>
  </si>
  <si>
    <t>Critical Social Issues in American Education : Democracy and Meaning in a Globalizing World</t>
  </si>
  <si>
    <t>Shapiro, H. Svi;Purpel, David E.</t>
  </si>
  <si>
    <t>LC196.5.U6 -- C75 2005eb</t>
  </si>
  <si>
    <t>Critical pedagogy -- United States. ; Education -- Social aspects -- United States. ; Education -- Political aspects -- United States.</t>
  </si>
  <si>
    <t>Curriculum, Plans, and Processes in Instructional Design : International Perspectives</t>
  </si>
  <si>
    <t>Seel, Norbert M.;Dijkstra, Sanne</t>
  </si>
  <si>
    <t>LB1028.38 -- .C87 2004eb</t>
  </si>
  <si>
    <t>Instructional systems -- Design. ; Curriculum planning. ; Educational technology.</t>
  </si>
  <si>
    <t>Motivating Reading Comprehension : Concept-Oriented Reading Instruction</t>
  </si>
  <si>
    <t>Wigfield, Allan;Perencevich, Kathleen C.;Guthrie, John T.</t>
  </si>
  <si>
    <t>LB1573.75 -- .M68 2004eb</t>
  </si>
  <si>
    <t>Content area reading -- United States -- Case studies. ; Reading (Elementary) -- United States -- Case studies. ; Reading comprehension -- United States -- Case studies. ; Motivation in education -- United States -- Case studies.</t>
  </si>
  <si>
    <t>Discourse Analysis and the Study of Classroom Language and Literacy Events : A Microethnographic Perspective</t>
  </si>
  <si>
    <t>Bloome, David;Carter, Stephanie Power;Christian, Beth Morton;Otto, Sheila;Shuart-Faris, Nora</t>
  </si>
  <si>
    <t>LB1576 -- .D4664 2005eb</t>
  </si>
  <si>
    <t>371.102/3</t>
  </si>
  <si>
    <t>Language arts -- Social aspects. ; Discourse analysis -- Social aspects. ; Communication in education -- Social aspects. ; Sociolinguistics.</t>
  </si>
  <si>
    <t>Children's Learning from Educational Television : Sesame Street and Beyond</t>
  </si>
  <si>
    <t>Fisch, Shalom M.</t>
  </si>
  <si>
    <t>Routledge Communication Series</t>
  </si>
  <si>
    <t>LC6576 -- .F57 2004eb</t>
  </si>
  <si>
    <t>371.33/58</t>
  </si>
  <si>
    <t>Sesame Street (Television program) ; Television in education -- United States.</t>
  </si>
  <si>
    <t>Consultee-Centered Consultation : Improving the Quality of Professional Services in Schools and Community Organizations</t>
  </si>
  <si>
    <t>Lambert, Nadine M.;Hylander, Ingrid;Sandoval, Jonathan H.</t>
  </si>
  <si>
    <t>Consultation, Supervision, and Professional Learning in School Psychology Series</t>
  </si>
  <si>
    <t>LB1027.5.C62215 2004eb</t>
  </si>
  <si>
    <t>Counselors -- Professional relationships</t>
  </si>
  <si>
    <t>Situational Context of Education : A Window into the World of Bilingual Learners</t>
  </si>
  <si>
    <t>Brisk, Mar¡a Estela;Burgos, Angela;Hamerla, Sara Ruth</t>
  </si>
  <si>
    <t>LC3731 -- .B686 2004eb</t>
  </si>
  <si>
    <t>Children of immigrants -- Education -- Social aspects -- United States</t>
  </si>
  <si>
    <t>Teaching History for the Common Good</t>
  </si>
  <si>
    <t>Barton, Keith C.;Levstik, Linda S.</t>
  </si>
  <si>
    <t>LB1582.U6 -- B37 2004eb</t>
  </si>
  <si>
    <t>History -- Study and teaching (Elementary) -- United States. ; History -- Study and teaching (Middle school) -- United States. ; Civics -- Study and teaching (Elementary) -- United States. ; Civics -- Study and teaching (Middle school) -- United States.</t>
  </si>
  <si>
    <t>Language Learning and Teacher Education : A Sociocultural Approach</t>
  </si>
  <si>
    <t>Hawkins, Margaret R.</t>
  </si>
  <si>
    <t>P53.8.L3625 2004</t>
  </si>
  <si>
    <t>Language and languages--Study and teaching--Social aspects. ; Language teachers--Training of.</t>
  </si>
  <si>
    <t>Developing in Two Languages : Korean Children in America</t>
  </si>
  <si>
    <t>Shin, Sarah J.</t>
  </si>
  <si>
    <t>Child Language and Child Development Series</t>
  </si>
  <si>
    <t>P115.2.S5 2005</t>
  </si>
  <si>
    <t>404/.2/08309073</t>
  </si>
  <si>
    <t>Bilingualism in children--United States. ; Korean American children--Language.</t>
  </si>
  <si>
    <t>Bilingual Education in South America</t>
  </si>
  <si>
    <t>de Mejía, Anne-Marie</t>
  </si>
  <si>
    <t>LC3735.S68B55 2005</t>
  </si>
  <si>
    <t>370.117/098</t>
  </si>
  <si>
    <t>Education, Bilingual--South America--Cross-cultural studies. ; Bilingualism--South America--Cross-cultural studies.</t>
  </si>
  <si>
    <t>Focus on French As a Foreign Language : Multidisciplinary Approaches</t>
  </si>
  <si>
    <t>Dewaele, Jean-Marc</t>
  </si>
  <si>
    <t>Second Language Acquisition Series</t>
  </si>
  <si>
    <t>PC2074.85.F63 2005</t>
  </si>
  <si>
    <t>440/.71</t>
  </si>
  <si>
    <t>French language--Acquisition. ; Interlanguage (Language learning).</t>
  </si>
  <si>
    <t>Distance Education and Languages : Evolution and Change</t>
  </si>
  <si>
    <t>Holmberg, Börje;Shelley, Monica;White, Cynthia J.</t>
  </si>
  <si>
    <t>New Perspectives on Language and Education Series</t>
  </si>
  <si>
    <t>P53.2967.D57 2005</t>
  </si>
  <si>
    <t>Language and languages--Study and teaching. ; Distance education.</t>
  </si>
  <si>
    <t>Ebonics : The Urban Education Debate</t>
  </si>
  <si>
    <t>Ramirez, David J.;Wiley, Terrence;de Klerk, Gerda;Lee, Enid;Wright, Wayne E.</t>
  </si>
  <si>
    <t>LC2778.L34E26 2005</t>
  </si>
  <si>
    <t>African Americans--Education. ; English language--Study and teaching--African American students. ; Black English. ; Language and education--Social aspects--United States.</t>
  </si>
  <si>
    <t>Decolonisation, Globalisation : Language-In-Education Policy and Practice</t>
  </si>
  <si>
    <t>Lin, Angel;Martin, Peter</t>
  </si>
  <si>
    <t>P40.8.D43 2005</t>
  </si>
  <si>
    <t>306.44/9</t>
  </si>
  <si>
    <t>Language and education. ; Language policy.</t>
  </si>
  <si>
    <t>Assessing Children's Personal and Social Development : Measuring the Unmeasurable?</t>
  </si>
  <si>
    <t>BUCK, Martin;Burke, Helena;Inman, Sally</t>
  </si>
  <si>
    <t>HQ767.9 -- .A77 1998eb</t>
  </si>
  <si>
    <t>Social Science; Psychology</t>
  </si>
  <si>
    <t>Building an Ethical School : A Practical Response to the Moral Crisis in Schools</t>
  </si>
  <si>
    <t>Starratt, Robert J.</t>
  </si>
  <si>
    <t>LC311.S73</t>
  </si>
  <si>
    <t>370.11/4/0973</t>
  </si>
  <si>
    <t>Moral education (Secondary) -- United States. ; Moral education -- United States.</t>
  </si>
  <si>
    <t>Education and the Market Place</t>
  </si>
  <si>
    <t>McLaughlin, Terence H.;Bridges, David</t>
  </si>
  <si>
    <t>LC67.G7E39</t>
  </si>
  <si>
    <t>Education -- England -- Finance</t>
  </si>
  <si>
    <t>Education in Morality</t>
  </si>
  <si>
    <t>Halstead, J. Mark;McLaughlin, Terence H.</t>
  </si>
  <si>
    <t>LC268 -- .E357 1999eb</t>
  </si>
  <si>
    <t>Equity in Mathematics Education : Influences of Feminism and Culture</t>
  </si>
  <si>
    <t>Kaiser, Gabriele;Rogers, Pat</t>
  </si>
  <si>
    <t>The Funding Revolution : New Routes to Project Fundraising</t>
  </si>
  <si>
    <t>Roberts, Tom</t>
  </si>
  <si>
    <t>HV41.9.G7 -- R62 1999eb</t>
  </si>
  <si>
    <t>Finance</t>
  </si>
  <si>
    <t>Gender, 'Race' and Class in Schooling : A New Introduction</t>
  </si>
  <si>
    <t>Gaine, Chris;George, Rosalyn</t>
  </si>
  <si>
    <t>379.2/6</t>
  </si>
  <si>
    <t>Improving Schools and Governing Bodies : Making a Difference</t>
  </si>
  <si>
    <t>Creese, Michael;Earley, Peter</t>
  </si>
  <si>
    <t>LB2822.84.G7 -- C75 1999eb</t>
  </si>
  <si>
    <t>School boards</t>
  </si>
  <si>
    <t>Insights into Teachers' Thinking and Practice</t>
  </si>
  <si>
    <t>Day, Christopher;Pope, Maureen;Denicolo, Pam</t>
  </si>
  <si>
    <t>LB1033</t>
  </si>
  <si>
    <t>Teaching - Case studies</t>
  </si>
  <si>
    <t>The Life and Work of Teachers : International Perspectives in Changing Times</t>
  </si>
  <si>
    <t>Day, Christopher;Fernandez, Alicia;Hauge, Trond E.;Muller, Jorunn;Moller, Jorunn</t>
  </si>
  <si>
    <t>LB1775 -- .L45 2000eb</t>
  </si>
  <si>
    <t>Teachers. ; Teaching. ; Educational change.</t>
  </si>
  <si>
    <t>Meeting the Challenges of Primary Schooling</t>
  </si>
  <si>
    <t>Logan, Lloyd;Sachs, Judyth</t>
  </si>
  <si>
    <t>LA2104.M44</t>
  </si>
  <si>
    <t>Office Hours : Activism and Change in the Academy</t>
  </si>
  <si>
    <t>LB2331.72 -- .N43 2004eb</t>
  </si>
  <si>
    <t>College teachers -- United States -- Political activity. ; Universities and colleges -- United States -- Sociological aspects. ; College teachers' unions -- United States.</t>
  </si>
  <si>
    <t>Professionalism and Ethics in Teaching</t>
  </si>
  <si>
    <t>Carr, David;Carr, David</t>
  </si>
  <si>
    <t>LB1779 -- .C37 2000eb</t>
  </si>
  <si>
    <t>Teachers -- Professional ethics. ; Moral education.</t>
  </si>
  <si>
    <t>Researching Education : Perspectives and Techniques</t>
  </si>
  <si>
    <t>Mallick, Kanka;Verma, Gajendra;Neasham, T.</t>
  </si>
  <si>
    <t>Safety Across the Curriculum : Key Stages 1 And 2</t>
  </si>
  <si>
    <t>Raymond, Carole</t>
  </si>
  <si>
    <t>Social Life in School : Pupils' Experiences of Breaktime and Recess from 7 To 16</t>
  </si>
  <si>
    <t>Blatchford, Peter</t>
  </si>
  <si>
    <t>LB3033.B57</t>
  </si>
  <si>
    <t>Playgrounds</t>
  </si>
  <si>
    <t>Teaching Modern Languages in the Primary School</t>
  </si>
  <si>
    <t>Driscoll, Patricia;Frost, David</t>
  </si>
  <si>
    <t>LB1580.G7 -- T43 1999eb</t>
  </si>
  <si>
    <t>Virtue Ethics and Moral Education</t>
  </si>
  <si>
    <t>Carr, David;Steutel, Jan;Steutel, Jan</t>
  </si>
  <si>
    <t>LC251 -- .V57 1999eb</t>
  </si>
  <si>
    <t>Virtue</t>
  </si>
  <si>
    <t>Making Out-of-School-Time Matter : Evidence for an Action Agenda</t>
  </si>
  <si>
    <t>Bodilly, Susan;Beckett, Megan K.</t>
  </si>
  <si>
    <t>LC34.4 -- .B63 2005eb</t>
  </si>
  <si>
    <t>After-school programs -- United States. ; School-age child care -- United States.</t>
  </si>
  <si>
    <t>Transforming Literacy Curriculum Genres : Working with Teacher Researchers in Urban Classrooms</t>
  </si>
  <si>
    <t>Pappas, Christine C.;Zecker, Liliana;Zecker, Liliana</t>
  </si>
  <si>
    <t>LB1576 -- .T755 2001eb</t>
  </si>
  <si>
    <t>372.6/09773/11</t>
  </si>
  <si>
    <t>Language arts (Elementary) -- Illinois -- Chicago -- Case studies. ; Education, Urban -- Illinois -- Chicago -- Case studies. ; College-school cooperation -- Illinois -- Chicago -- Case studies.</t>
  </si>
  <si>
    <t>Organizational and Educational Change : The Life and Role of a Change Agent Group</t>
  </si>
  <si>
    <t>Bartunek, Jean M.</t>
  </si>
  <si>
    <t>Organization and Management Series</t>
  </si>
  <si>
    <t>LB2822.8 -- .B37 2003eb</t>
  </si>
  <si>
    <t>Teacher participation in administration. ; School improvement programs. ; Educational change.</t>
  </si>
  <si>
    <t>Fundamentals of Curriculum : Passion and Professionalism</t>
  </si>
  <si>
    <t>Walker, Decker F.</t>
  </si>
  <si>
    <t>LB2806.15 -- .W35 2003eb</t>
  </si>
  <si>
    <t>375/.001/0973</t>
  </si>
  <si>
    <t>Curriculum planning -- United States</t>
  </si>
  <si>
    <t>Self-Determined Learning Theory : Construction, Verification, and Evaluation</t>
  </si>
  <si>
    <t>Mithaug, Deirdre K.;Agran, Martin;Martin, James E.;Wehmeyer, Michael L.;Wehmeyer, Michael L.</t>
  </si>
  <si>
    <t>LB1060 -- .S39 2003eb</t>
  </si>
  <si>
    <t>Learning, Psychology of. ; Adjustment (Psychology) ; Autonomy (Psychology)</t>
  </si>
  <si>
    <t>The Family Context of Parenting in Children's Adaptation to Elementary School</t>
  </si>
  <si>
    <t>Cowan, Philip A.;Cowan, Carolyn Pape;Ablow, Jennifer C.;Johnson, Vanessa Kahn;Measelle, Jeffrey R.</t>
  </si>
  <si>
    <t>Monographs in Parenting Series</t>
  </si>
  <si>
    <t>LB1132 -- .F36 2005eb</t>
  </si>
  <si>
    <t>372.21/</t>
  </si>
  <si>
    <t>Parent and child</t>
  </si>
  <si>
    <t>Portraits of Literacy Across Families, Communities, and Schools : Intersections and Tensions</t>
  </si>
  <si>
    <t>Anderson, Jim;Kendrick, Maureen;Rogers, Theresa;Smythe, Suzanne</t>
  </si>
  <si>
    <t>LC149 -- .P65 2005eb</t>
  </si>
  <si>
    <t>Literacy -- Social aspects -- Cross-cultural studies -- Congresses. ; Education, Bilingual -- Social aspects -- Cross-cultural studies -- Congresses. ; Critical pedagogy -- Cross-cultural studies -- Congresses.</t>
  </si>
  <si>
    <t>How Educational Ideologies Are Shaping Global Society : Intergovernmental Organizations, NGOs, and the Decline of the Nation-State</t>
  </si>
  <si>
    <t>Spring, Joel</t>
  </si>
  <si>
    <t>International education. ; Education and state. ; Nationalism and education. ; Intergovernmental cooperation.</t>
  </si>
  <si>
    <t>Designing Performance Assessment Systems for Urban Teacher Preparation</t>
  </si>
  <si>
    <t>Peterman, Francine P.</t>
  </si>
  <si>
    <t>LB1715 -- .D46 2005eb</t>
  </si>
  <si>
    <t>370/.71/1</t>
  </si>
  <si>
    <t>Teachers -- Rating of -- United States</t>
  </si>
  <si>
    <t>Globalizing Education for Work : Comparative Perspectives on Gender and the New Economy</t>
  </si>
  <si>
    <t>Lakes, Richard D.;Carter, Patricia A.</t>
  </si>
  <si>
    <t>LC1500 -- .G56 2004eb</t>
  </si>
  <si>
    <t>374/.013/082</t>
  </si>
  <si>
    <t>Women -- Vocational education -- Case studies. ; Sex discrimination in education -- Case studies. ; Education and globalization.</t>
  </si>
  <si>
    <t>Reinventing Curriculum : A Complex Perspective on Literacy and Writing</t>
  </si>
  <si>
    <t>Laidlaw, Linda</t>
  </si>
  <si>
    <t>LB1576 -- .L243 2005eb</t>
  </si>
  <si>
    <t>Language arts (Elementary) ; English language -- Composition and exercises -- Study and teaching (Elementary)</t>
  </si>
  <si>
    <t>The Discourse of Character Education : Culture Wars in the Classroom</t>
  </si>
  <si>
    <t>Smagorinsky, Peter;Taxel, Joel</t>
  </si>
  <si>
    <t>LC311 -- .S549 2005eb</t>
  </si>
  <si>
    <t>370.11/4</t>
  </si>
  <si>
    <t>Moral education -- Social aspects -- United States. ; Moral education -- Curricula -- United States. ; Moral education -- Government policy -- United States.</t>
  </si>
  <si>
    <t>Teaching Social Foundations of Education : Contexts, Theories, and Issues</t>
  </si>
  <si>
    <t>Butin, Dan W.</t>
  </si>
  <si>
    <t>LC191.4 -- .T425 2005eb</t>
  </si>
  <si>
    <t>306.43/071/1</t>
  </si>
  <si>
    <t>Educational sociology -- Study and teaching -- United States</t>
  </si>
  <si>
    <t>Teaching and Learning Vocabulary : Bringing Research to Practice</t>
  </si>
  <si>
    <t>Hiebert, Elfrieda H.;Kamil, Michael L.</t>
  </si>
  <si>
    <t>LB1574.5 -- .T42 2005eb</t>
  </si>
  <si>
    <t>Vocabulary -- Study and teaching. ; Language arts.</t>
  </si>
  <si>
    <t>Levinson, Ralph</t>
  </si>
  <si>
    <t>Q181.3.T43</t>
  </si>
  <si>
    <t>Education. ; Science -- Study and teaching (Secondary)</t>
  </si>
  <si>
    <t>Improving the Primary School</t>
  </si>
  <si>
    <t>LB2822.5 -- .D43 1999eb</t>
  </si>
  <si>
    <t>Globalising Education: Trends and Applications</t>
  </si>
  <si>
    <t>Mason, Robin</t>
  </si>
  <si>
    <t>LC1090 -- .M37 1998eb</t>
  </si>
  <si>
    <t>Distance education</t>
  </si>
  <si>
    <t>Making Sense of Education : An Introduction to the Philosophy and Theory of Education and Teaching</t>
  </si>
  <si>
    <t>Mothering for Schooling</t>
  </si>
  <si>
    <t>Griffith, Alison;Smith, Dorothy</t>
  </si>
  <si>
    <t>LC225.3.G7</t>
  </si>
  <si>
    <t>Mothers - United States - Social conditions - 21st century - Longitudinal studies.</t>
  </si>
  <si>
    <t>School Climate : Measuring, Improving and Sustaining Healthy Learning Environments</t>
  </si>
  <si>
    <t>Freiberg, H. Jerome</t>
  </si>
  <si>
    <t>LC210.S35</t>
  </si>
  <si>
    <t>How Shall We School Our Children? : The Future of Primary Education</t>
  </si>
  <si>
    <t>Richards, Colin;Taylor, Philip</t>
  </si>
  <si>
    <t>New Millennium</t>
  </si>
  <si>
    <t>LA633 -- .H688 1998eb</t>
  </si>
  <si>
    <t>Reflecting on School Management</t>
  </si>
  <si>
    <t>Evans, Jennifer;Gold, Anne</t>
  </si>
  <si>
    <t>LB2900.5 -- .G65 1998eb</t>
  </si>
  <si>
    <t>The Values of Educational Administration : A Book of Readings</t>
  </si>
  <si>
    <t>Begley, Paul;Leonard, Pauline</t>
  </si>
  <si>
    <t>371.2/001</t>
  </si>
  <si>
    <t>Higher Education Re-Formed</t>
  </si>
  <si>
    <t>Scott, Peter</t>
  </si>
  <si>
    <t>LA637 -- .H66 2000eb</t>
  </si>
  <si>
    <t>Managing the Literacy Curriculum</t>
  </si>
  <si>
    <t>Beveridge, Michael;Reed, Malcolm;Webster, Alec</t>
  </si>
  <si>
    <t>LB1576.W37</t>
  </si>
  <si>
    <t>At Berkeley in the Sixties : The Making of an Activist</t>
  </si>
  <si>
    <t>Freeman, Jo J.</t>
  </si>
  <si>
    <t>LD760 -- .F73 2004eb</t>
  </si>
  <si>
    <t>378.794/67</t>
  </si>
  <si>
    <t>Freeman, Jo. ; University of California, Berkeley -- History. ; College students -- California -- Berkeley -- Political activity -- History. ; Student movements -- California -- Berkeley -- History.</t>
  </si>
  <si>
    <t>Researching School Experience : Explorations of Teaching and Learning</t>
  </si>
  <si>
    <t>Hammersley, Martyn</t>
  </si>
  <si>
    <t>LB1027 -- .R453 1999eb</t>
  </si>
  <si>
    <t>The Causes of Exclusion : Home, School and the Development of Young Criminals</t>
  </si>
  <si>
    <t>Cullingford, Cedric</t>
  </si>
  <si>
    <t>HV6035 -- .C85 1999eb</t>
  </si>
  <si>
    <t>Criminal behavior, Prediction of -- Great Britain. ; Alienation (Social psychology) -- Great Britain. ; Social isolation -- Great Britain.</t>
  </si>
  <si>
    <t>Reproducing Gender : Critical Essays on Educational Theory and Feminist Politics</t>
  </si>
  <si>
    <t>Arnot, Madeleine.</t>
  </si>
  <si>
    <t>LC212.9 -- .A76 2002eb</t>
  </si>
  <si>
    <t>Discriminaiton in education</t>
  </si>
  <si>
    <t>Making Minds Less Well Educated Than Our Own</t>
  </si>
  <si>
    <t>Schank, Roger C.</t>
  </si>
  <si>
    <t>LB41 -- .S293 2004eb</t>
  </si>
  <si>
    <t>Education -- Aims and objectives. ; Education -- Philosophy.</t>
  </si>
  <si>
    <t>The Texts in Elementary Classrooms</t>
  </si>
  <si>
    <t>Hoffman, James V.;Schallert, Diane Lemonnier</t>
  </si>
  <si>
    <t>LB1525 -- .T45 2004eb</t>
  </si>
  <si>
    <t>Reading (Primary) ; Reading (Elementary) ; Education, Primary -- Curricula. ; Education, Elementary -- Curricula. ; Children -- Books and reading.</t>
  </si>
  <si>
    <t>Pedagogy and the Politics of the Body : A Critical Praxis</t>
  </si>
  <si>
    <t>Shapiro, Sherry</t>
  </si>
  <si>
    <t>LC196 -- .S54 1999eb</t>
  </si>
  <si>
    <t>Critical pedagogy. ; Human body (Philosophy) ; Feminism and education. ; Dance -- Study and teaching -- Social aspects. ; Education -- Philosophy.</t>
  </si>
  <si>
    <t>Teachers As Mentors : A Practical Guide</t>
  </si>
  <si>
    <t>Field, Terry;Field, Barbara</t>
  </si>
  <si>
    <t>LB1731.4 -- .T43 1994eb</t>
  </si>
  <si>
    <t>Mentoring in education -- Great Britain. ; Student teaching -- Great Britain. ; Teachers -- In-service training -- Great Britain.</t>
  </si>
  <si>
    <t>Failing Teachers?</t>
  </si>
  <si>
    <t>Chamberlin, R. P.;Haynes, G. S.;Wragg, E. C.;Wragg, Prof E. C.;Wragg, Prof E C;Haynes, Gillian S;Wragg, Caroline M;Chamberlin, Rosemary</t>
  </si>
  <si>
    <t>LB1775.4.G7 -- F35 2000eb</t>
  </si>
  <si>
    <t>Gender in the Secondary Curriculum : Balancing the Books</t>
  </si>
  <si>
    <t>Clark, Ann;Millard, Elaine</t>
  </si>
  <si>
    <t>LC212.93.G</t>
  </si>
  <si>
    <t>Catholic School Leadership : An Invitation to Lead</t>
  </si>
  <si>
    <t>Hunt, Thomas;Oldenski, Brother Thomas;Wallace, Theodore J.</t>
  </si>
  <si>
    <t>371.071/2/73</t>
  </si>
  <si>
    <t>Education and Training for Development in East Asia : The Political Economy of Skill Formation in Newly Industrialised Economies</t>
  </si>
  <si>
    <t>Ashton, David;Green, Francis;James, Donna;Sung, Johnny;Sung, Johnny</t>
  </si>
  <si>
    <t>ESRC Pacific Asia</t>
  </si>
  <si>
    <t>LC67.A78 -- E38 1999eb</t>
  </si>
  <si>
    <t>East Asia</t>
  </si>
  <si>
    <t>School Choice and Competition: Markets in the Public Interest?</t>
  </si>
  <si>
    <t>Woods, Philip;Bagley, Carl;Glatter, Ron</t>
  </si>
  <si>
    <t>LB1027.9W6</t>
  </si>
  <si>
    <t>Supporting Improving Primary Schools : The Role of Schools and LEAs in Raising Standards</t>
  </si>
  <si>
    <t>Lincoln, Paul;Southworth, Geoff</t>
  </si>
  <si>
    <t>Flexible Learning, Human Resource and Organisational Development : Putting Theory to Work</t>
  </si>
  <si>
    <t>Garrick, John;Jakupec, Viktor</t>
  </si>
  <si>
    <t>LC5800 -- .F54 1999eb</t>
  </si>
  <si>
    <t>Issues in Science Teaching</t>
  </si>
  <si>
    <t>Sears, John;Sorenson, Pete</t>
  </si>
  <si>
    <t>Q181 -- .I77 2000eb</t>
  </si>
  <si>
    <t>507/.1</t>
  </si>
  <si>
    <t>Science -- Study and teaching</t>
  </si>
  <si>
    <t>Educating Children with Emotional and Behavioural Difficulties : Inclusive Practice in Mainstream Schools</t>
  </si>
  <si>
    <t>Babbedge, Elly;Strudwick, David;Thacker, John</t>
  </si>
  <si>
    <t>LC4803.G7 -- T43 2002eb</t>
  </si>
  <si>
    <t>Inclusive education</t>
  </si>
  <si>
    <t>Schooling the Child : The Making of Students in Classrooms</t>
  </si>
  <si>
    <t>Austin, Helena;Dwyer, Bronwyn;Freebody, Peter</t>
  </si>
  <si>
    <t>LB1117 -- .A77 2003eb</t>
  </si>
  <si>
    <t>Educating Drug-Exposed Children : The Aftermath of the Crack-Baby Crisis</t>
  </si>
  <si>
    <t>Thomas, Janet Y.</t>
  </si>
  <si>
    <t>LC4806.4</t>
  </si>
  <si>
    <t>Children of prenatal substance abuse - Education - United States</t>
  </si>
  <si>
    <t>Raising and Educating a Deaf Child</t>
  </si>
  <si>
    <t>Oxford University Press USA</t>
  </si>
  <si>
    <t>Marschark, Marc</t>
  </si>
  <si>
    <t>HV2391 -- .M26 1997eb</t>
  </si>
  <si>
    <t>362.4/2/083</t>
  </si>
  <si>
    <t>Deaf children. ; Deaf children -- Language. ; Parents of deaf children.</t>
  </si>
  <si>
    <t>Race, Law, and Culture : Reflections on Brown v. Board of Education</t>
  </si>
  <si>
    <t>Sarat, Austin</t>
  </si>
  <si>
    <t>KF4155.A2 -- R33 1997eb</t>
  </si>
  <si>
    <t>340.1150973;344.73/0798 347.304798;344.730798347.304798;347.302873</t>
  </si>
  <si>
    <t>Brown, Oliver, -- 1918-1961 -- Trials, litigation, etc. -- Congresses. ; Topeka (Kan.). -- Board of Education -- Trials, litigation, etc. -- Congresses. ; Segregation in education -- Law and legislation -- United States -- Congresses. ; Race discrimination -- Law and legislation -- United States -- Congresses. ; United States -- Race relations -- Congresses.</t>
  </si>
  <si>
    <t>When the Old Left Was Young : Student Radicals and America's First Mass Student Movement, 1929-1941</t>
  </si>
  <si>
    <t>Oxford University Press, Incorporated</t>
  </si>
  <si>
    <t>Cohen, Robert</t>
  </si>
  <si>
    <t>LA229 -- .C62 1993eb</t>
  </si>
  <si>
    <t>378.1/9/81/0973</t>
  </si>
  <si>
    <t>Student movements -- United States -- History -- 20th century. ; College students -- Political activity -- United States -- History -- 20th century. ; Depressions -- 1929 -- United States -- History.</t>
  </si>
  <si>
    <t>Writing from the Margins : Power and Pedagogy for Teachers of Composition</t>
  </si>
  <si>
    <t>Hill, Carolyn Ericksen</t>
  </si>
  <si>
    <t>PE1404 -- .H54 1990eb</t>
  </si>
  <si>
    <t>808/.042/07</t>
  </si>
  <si>
    <t>English language -- Rhetoric -- Study and teaching. ; English language -- Grammar.</t>
  </si>
  <si>
    <t>Literature; Language/Linguistics</t>
  </si>
  <si>
    <t>Infancy to Early Childhood : Genetic and Environmental Influences on Developmental Change</t>
  </si>
  <si>
    <t>Emde, Robert N.;Hewitt, John K.;Kagan, Jerome</t>
  </si>
  <si>
    <t>BF723.T9T73 2001</t>
  </si>
  <si>
    <t>155.44/4</t>
  </si>
  <si>
    <t>Twins -- Psychology. ; Twins -- Longitudinal studies. ; Nature and nurture -- Longitudinal studies. ; Child psychology. ; Toddlers -- Psychology.</t>
  </si>
  <si>
    <t>Handbook of Psychological Services for Children and Adolescents</t>
  </si>
  <si>
    <t>Hughes, Jan N.;La Greca, Annette M.;Conoley, Jane Close;La Greca, Annette M.</t>
  </si>
  <si>
    <t>RJ499.3.H3665 2001</t>
  </si>
  <si>
    <t>Child mental health services -- Handbooks, manuals, etc. ; Teenagers -- Mental health services -- Handbooks, manuals, etc.</t>
  </si>
  <si>
    <t>Social Science; Psychology; Medicine; Health</t>
  </si>
  <si>
    <t>Erikson on Development in Adulthood : New Insights from the Unpublished Papers</t>
  </si>
  <si>
    <t>Hoare, Carol Hren;Hoare, Carol H.</t>
  </si>
  <si>
    <t>BF724.5.H59 2002</t>
  </si>
  <si>
    <t>Erikson, Erik H. -- (Erik Homburger), -- 1902-1994. ; Adulthood -- Psychological aspects.</t>
  </si>
  <si>
    <t>Handbook of Infant, Toddler, and Preschool Mental Health Assessment</t>
  </si>
  <si>
    <t>DelCarmen-Wiggins, Rebecca;Carter, Alice</t>
  </si>
  <si>
    <t>RJ503.5.H375 2004</t>
  </si>
  <si>
    <t>618.92/89075</t>
  </si>
  <si>
    <t>Mental illness -- Diagnosis. ; Psychodiagnostics. ; Behavioral assessment of children. ; Child psychiatry. ; Infant psychiatry.</t>
  </si>
  <si>
    <t>Gender Consciousness and Privilege</t>
  </si>
  <si>
    <t>Brody, Celeste;Fuller, Kasi Allen;Gosetti, Penny Poplin;Moscato, Susan Randles;Nagel, Nancy Gail;Pace, Glennellen;Schmuck, Patricia</t>
  </si>
  <si>
    <t>LB3066 -- .G46 2000eb</t>
  </si>
  <si>
    <t>Catholic Church -- Education -- United States -- Case studies. ; Coeducation -- United States -- Case studies. ; Educational equalization -- United States -- Case studies.</t>
  </si>
  <si>
    <t>Learning about Learning : Resources for Supporting Effective Learning</t>
  </si>
  <si>
    <t>Carnell, Eileen;Lodge, Caroline;Wagner, Patsy;Watkins, Chris;Whalley, Caroline;Wagner, MS Patsy;Whalley, Caroline;Carnell, Dr Eileen;Lodge, Caroline;Wagner, MS Patsy</t>
  </si>
  <si>
    <t>LB1060 -- .L395 2000eb</t>
  </si>
  <si>
    <t>Learning. ; Learning strategies. ; Activity programs in education.</t>
  </si>
  <si>
    <t>Managing Professional Development in Education</t>
  </si>
  <si>
    <t>Glover, Derek;Law, Sue</t>
  </si>
  <si>
    <t>LB1731 -- .G56 1996eb</t>
  </si>
  <si>
    <t>Teachers -- In-service training -- Great Britain. ; Teachers -- Training of -- Great Britain.</t>
  </si>
  <si>
    <t>Multicultural Research : Race, Class, Gender and Sexual Orientation</t>
  </si>
  <si>
    <t>Grant, Carl A.</t>
  </si>
  <si>
    <t>Multiculturalism</t>
  </si>
  <si>
    <t>Rethinking Teacher Education : Collaborative Responses to Uncertainty</t>
  </si>
  <si>
    <t>Edwards, Anne;Gilroy, Peter;Hartley, David;Hartley, David;Hartley, David</t>
  </si>
  <si>
    <t>LB1707 -- .E39 2002eb</t>
  </si>
  <si>
    <t>Teachers -- Training of -- Philosophy. ; Education -- Philosophy.</t>
  </si>
  <si>
    <t>Testing Teachers : The Effects of Inspections on Primary Teachers</t>
  </si>
  <si>
    <t>Jeffrey, Bob;Woods, Peter</t>
  </si>
  <si>
    <t>LB2822.75 -- .J44 1998eb</t>
  </si>
  <si>
    <t>Elementary school teachers -- Great Britain -- Attitudes</t>
  </si>
  <si>
    <t>Women and Distance Education : Challenges and Opportunities</t>
  </si>
  <si>
    <t>von Prummer, Christine</t>
  </si>
  <si>
    <t>LC2106.P78</t>
  </si>
  <si>
    <t>Adult education of women</t>
  </si>
  <si>
    <t>Reflective Teacher Development in Primary Science</t>
  </si>
  <si>
    <t>Ovens, Peter</t>
  </si>
  <si>
    <t>Young Children's Literacy Development and the Role of Televisual Texts</t>
  </si>
  <si>
    <t>Browne, Naima</t>
  </si>
  <si>
    <t>Handbook for Beginning Choral Educators</t>
  </si>
  <si>
    <t>Lamble, Walter</t>
  </si>
  <si>
    <t>MT875 -- .L35 2004eb</t>
  </si>
  <si>
    <t>782.5/071</t>
  </si>
  <si>
    <t>Choral music -- Instruction and study.</t>
  </si>
  <si>
    <t>Laugh and Learn : 95 Ways to Use Humor for More Effective Teaching and Training</t>
  </si>
  <si>
    <t>Amacom</t>
  </si>
  <si>
    <t>AMACOM</t>
  </si>
  <si>
    <t>Tamblyn, Doni</t>
  </si>
  <si>
    <t>HF5549.5.T7 -- T256 2003eb</t>
  </si>
  <si>
    <t>658.3/124</t>
  </si>
  <si>
    <t>Wit and humor in business. ; Employees -- Training of.</t>
  </si>
  <si>
    <t>Teacher Thinking and Professional Action</t>
  </si>
  <si>
    <t>Denicolo, Pam;Kompf, Michael</t>
  </si>
  <si>
    <t>LB2840.T43</t>
  </si>
  <si>
    <t>Teaching - Congresses.</t>
  </si>
  <si>
    <t>Understanding Mass Higher Education : Comparative Perspectives on Access</t>
  </si>
  <si>
    <t>Palfreyman, David;Tapper, Ted</t>
  </si>
  <si>
    <t>LB2324 -- .U64 2005eb</t>
  </si>
  <si>
    <t>Education, Higher. ; Education, Higher -- Cross-cultural studies.</t>
  </si>
  <si>
    <t>Excel for Teachers</t>
  </si>
  <si>
    <t>Independent Publishers Group (IPG)</t>
  </si>
  <si>
    <t>Holy Macro! Books</t>
  </si>
  <si>
    <t>Uniontown</t>
  </si>
  <si>
    <t xml:space="preserve">Conmy, Colleen;Hazlett, Bill;Jelen, Bill;Soucy, Adrienne;Soucy, Adrienne </t>
  </si>
  <si>
    <t>Excel for Professionals series</t>
  </si>
  <si>
    <t>HF5548.4.M523 -- C66 2006eb</t>
  </si>
  <si>
    <t>Microsoft Excel (Computer file) ; Electronic spreadsheets.</t>
  </si>
  <si>
    <t>Creativity: When East Meets West</t>
  </si>
  <si>
    <t>Sing Lau;Anna Na Na Hui;Grace Yan Chak Ng</t>
  </si>
  <si>
    <t>BF408.C696 2004</t>
  </si>
  <si>
    <t>Creative ability</t>
  </si>
  <si>
    <t>Schooled to Order : A Social History of Public Schooling in the United States</t>
  </si>
  <si>
    <t>Oxford University Press USA - OSO</t>
  </si>
  <si>
    <t>Nasaw, David</t>
  </si>
  <si>
    <t>LA217 -- .N35 1979eb</t>
  </si>
  <si>
    <t>370.97309;371.010973</t>
  </si>
  <si>
    <t>Public schools -- United States -- History. ; Educational sociology -- United States -- History.</t>
  </si>
  <si>
    <t>history of Franciscan education (c. 1210-1517)</t>
  </si>
  <si>
    <t>NETHERLANDS, THE</t>
  </si>
  <si>
    <t>Roest, B.;Roest, B</t>
  </si>
  <si>
    <t>LC495.F7 -- R64 2000eb</t>
  </si>
  <si>
    <t>370/.94</t>
  </si>
  <si>
    <t>Franciscans -- Education -- Europe -- History. ; Education, Medieval -- Europe.</t>
  </si>
  <si>
    <t>Education in Greek and Roman Antiquity</t>
  </si>
  <si>
    <t>Lee Too, Lee</t>
  </si>
  <si>
    <t>LA71 .E38 2001eb</t>
  </si>
  <si>
    <t>370/.938</t>
  </si>
  <si>
    <t>Education, Ancient. ; Education, Greek. ; Education -- Rome. ; Classical education -- History.</t>
  </si>
  <si>
    <t>Education in Ancient India</t>
  </si>
  <si>
    <t>Scharfe, Hartmut</t>
  </si>
  <si>
    <t>Handbook of Oriental Studies. Section 2 South Asia Series</t>
  </si>
  <si>
    <t>LA36 .S38 2002eb</t>
  </si>
  <si>
    <t>Participatory Learning : Religious Education in a Globalizing Society</t>
  </si>
  <si>
    <t>Hermans, Chris</t>
  </si>
  <si>
    <t>Empirical Studies in Theology Series</t>
  </si>
  <si>
    <t>BL42 .H47 2003eb</t>
  </si>
  <si>
    <t>Religious education-Philosophy. ; Globalization-Religious aspects.</t>
  </si>
  <si>
    <t>Education and Learning in the Netherlands, 1400-1600 : Essays in Honour of Hilde de Ridder-Symoens</t>
  </si>
  <si>
    <t>Goudriaan, Koen;van Moolenbroek, Jaap;Tervoort, Ad</t>
  </si>
  <si>
    <t>Brill's Studies in Intellectual History Series</t>
  </si>
  <si>
    <t>LA821 .E39 2004eb</t>
  </si>
  <si>
    <t>Education-Netherlands-History. ; Netherlands-Intellectual life-16th century. ; Netherlands-Intellectual life-To 1500.</t>
  </si>
  <si>
    <t>Educational Strategies among Muslims in the Context of Globalization : Some National Case Studies</t>
  </si>
  <si>
    <t>Daun, Holger;Walford, Geoffrey</t>
  </si>
  <si>
    <t>Muslim Minorities Series</t>
  </si>
  <si>
    <t>LC904 .E39 2004eb</t>
  </si>
  <si>
    <t>Vision For Business Schools</t>
  </si>
  <si>
    <t>Eric Cornuel</t>
  </si>
  <si>
    <t>Journal of Management Development</t>
  </si>
  <si>
    <t>HF1111 -- .V57 2005eb</t>
  </si>
  <si>
    <t>Business schools. ; Occupational training.</t>
  </si>
  <si>
    <t>E-learning @ The Workplace</t>
  </si>
  <si>
    <t>Christopher Seow;Jason Hughes</t>
  </si>
  <si>
    <t>LB1044.87 -- .E54 2005eb</t>
  </si>
  <si>
    <t>Enhancing The University Industry Interface</t>
  </si>
  <si>
    <t>Douglas Weir;John O’Donaghue</t>
  </si>
  <si>
    <t>HF5549 -- .E64 2005eb</t>
  </si>
  <si>
    <t>Human capital. ; Personnel management.</t>
  </si>
  <si>
    <t>International Successful School Principalship Project</t>
  </si>
  <si>
    <t>Stephen L. Jacobson;Christopher Day;Kenneth Leithwood</t>
  </si>
  <si>
    <t>Journal of Educational Asministration</t>
  </si>
  <si>
    <t>LB3241 -- .I68 2005eb</t>
  </si>
  <si>
    <t>School management and organization. ; School plant management.</t>
  </si>
  <si>
    <t>Rediscovering The Historical Schools Part 1</t>
  </si>
  <si>
    <t>Backhaus, Jurgen</t>
  </si>
  <si>
    <t>Journal of Economic Studies</t>
  </si>
  <si>
    <t>LB43 -- .J68 v.32, no.3 2005eb</t>
  </si>
  <si>
    <t>330.15/42</t>
  </si>
  <si>
    <t>Comparative education. ; Economics.</t>
  </si>
  <si>
    <t>Rediscovering The Historical Schools Part 2</t>
  </si>
  <si>
    <t>LB43 -- .J68 v.32, no.4 2005eb</t>
  </si>
  <si>
    <t>Second Generation E-learning Part 2 : Serious Media</t>
  </si>
  <si>
    <t>Davidson, Drew</t>
  </si>
  <si>
    <t>On The Horizon</t>
  </si>
  <si>
    <t>Q360 -- .S43 2005eb</t>
  </si>
  <si>
    <t>Information theory. ; Library science.</t>
  </si>
  <si>
    <t>Education; Science</t>
  </si>
  <si>
    <t>Extending Educational Reform : From One School to Many</t>
  </si>
  <si>
    <t>Datnow, Amanda;Hubbard, Lea;Mehan, Hugh</t>
  </si>
  <si>
    <t>LB2822.82$b.D38 2002</t>
  </si>
  <si>
    <t>Understanding Teaching Excellence in Higher Education : Towards a Critical Approach</t>
  </si>
  <si>
    <t>Skelton, Alan</t>
  </si>
  <si>
    <t>LB2331 -- .S54 2005eb</t>
  </si>
  <si>
    <t>378.1/25</t>
  </si>
  <si>
    <t>College teaching -- Evaluation. ; Teacher effectiveness.</t>
  </si>
  <si>
    <t>Helping with Behaviour : Establishing the Positive and Addressing the Difficult in the Early Years</t>
  </si>
  <si>
    <t>Roffey, Sue</t>
  </si>
  <si>
    <t>Essential Guides for Early Years Practitioners Series</t>
  </si>
  <si>
    <t>LB1140.2 -- .R624 2006eb</t>
  </si>
  <si>
    <t>372.139/3</t>
  </si>
  <si>
    <t>Behavior modification</t>
  </si>
  <si>
    <t>Stories for Circle Time and Assembly : Developing Literacy Skills and Classroom Values</t>
  </si>
  <si>
    <t>Leicester, Mal</t>
  </si>
  <si>
    <t>LB1576 -- .L377 2006eb</t>
  </si>
  <si>
    <t>Citizenship -- Study and teaching (Elementary) -- Activity programs</t>
  </si>
  <si>
    <t>Early Childhood Educational Research : Issues in Methodology and Ethics</t>
  </si>
  <si>
    <t>Aubrey, Carol;David, Tricia;Godfrey, Ray;Thompson, Linda;Godfrey, Ray;Aubrey, Professor Carol;Thompson, Linda;Godfrey, Ray</t>
  </si>
  <si>
    <t>LB1139.225 -- .E37 2000eb</t>
  </si>
  <si>
    <t>372.21/072</t>
  </si>
  <si>
    <t>Early childhood education -- Research -- Methodology. ; Early childhood education -- Research -- Moral and ethical aspects.</t>
  </si>
  <si>
    <t>Designing the Learning-Centred School : A Cross-Cultural Perspective</t>
  </si>
  <si>
    <t>Dimmock, Clive</t>
  </si>
  <si>
    <t>LB2822.8 -- .D56 2000eb</t>
  </si>
  <si>
    <t>School improvement programs -- Cross-cultural studies. ; Educational change -- Cross-cultural studies. ; School management and organization -- Cross-cultural studies.</t>
  </si>
  <si>
    <t>Educational Evaluation, Assessment and Monitoring : A Systematic Approach</t>
  </si>
  <si>
    <t>CRC Press LLC</t>
  </si>
  <si>
    <t>Glas, Cees;Scheerens, Jaap;Thomas, Sally M.</t>
  </si>
  <si>
    <t>Contexts of Learning Series</t>
  </si>
  <si>
    <t>LB2822.75 -- .S292 2003eb</t>
  </si>
  <si>
    <t>Leadership in Education</t>
  </si>
  <si>
    <t>Sage Publications (UK)</t>
  </si>
  <si>
    <t>SAGE Publications, Limited</t>
  </si>
  <si>
    <t>Brundrett, Mark;Burton, Neil;Smith, Robert</t>
  </si>
  <si>
    <t>Centre for Educational Leadership and Management Series</t>
  </si>
  <si>
    <t>LB2900.5.L435 2003</t>
  </si>
  <si>
    <t>Teaching Secondary English</t>
  </si>
  <si>
    <t>Pike, Mark</t>
  </si>
  <si>
    <t>LB1631.P54 2004</t>
  </si>
  <si>
    <t>English literature - Study and teaching (Secondary) - Great Britain</t>
  </si>
  <si>
    <t>Understanding School Leadership</t>
  </si>
  <si>
    <t>Earley, Peter;Weindling, Dick</t>
  </si>
  <si>
    <t>Published in Association with the British Educational Leadership and Management Society Series</t>
  </si>
  <si>
    <t>LB2900.5.E27 2004</t>
  </si>
  <si>
    <t>School management and organization - Great Britain.</t>
  </si>
  <si>
    <t>The Foundation Stage Teacher in Action : Teaching 3, 4 and 5 Year Olds</t>
  </si>
  <si>
    <t>Edgington, Margaret</t>
  </si>
  <si>
    <t>LB1732.5.L35 2004</t>
  </si>
  <si>
    <t>Preschool teachers -- Training of -- England. ; Teacher-student relationships -- England.</t>
  </si>
  <si>
    <t>Learning to Read Critically in Language and Literacy</t>
  </si>
  <si>
    <t>Goodwyn, Andrew;Stables, Andrew W.</t>
  </si>
  <si>
    <t>Learning to Read Critically Series</t>
  </si>
  <si>
    <t>LB2395 -- .L39 2004eb</t>
  </si>
  <si>
    <t>428.4/071/1</t>
  </si>
  <si>
    <t>Language arts (Higher) ; Reading (Higher education)</t>
  </si>
  <si>
    <t>Improving Literacy at KS2 and KS3</t>
  </si>
  <si>
    <t>Goodwyn, Andrew</t>
  </si>
  <si>
    <t>LB1576.I46 2002</t>
  </si>
  <si>
    <t>English language</t>
  </si>
  <si>
    <t>How Children Learn to Write : Supporting and Developing Childrens Writing in School</t>
  </si>
  <si>
    <t>Latham, Dorothy</t>
  </si>
  <si>
    <t>LB1576.L363 2002</t>
  </si>
  <si>
    <t>372.62/3</t>
  </si>
  <si>
    <t>Managing Effective Learning and Teaching</t>
  </si>
  <si>
    <t>Briggs, Ann;Sommefeldt, Daniela</t>
  </si>
  <si>
    <t>LB2806.15.B755 2002</t>
  </si>
  <si>
    <t>375/.001</t>
  </si>
  <si>
    <t>School supervision</t>
  </si>
  <si>
    <t>Drawing and Painting : Children and Visual Representation</t>
  </si>
  <si>
    <t>Matthews, John</t>
  </si>
  <si>
    <t>Zero to Eight Series</t>
  </si>
  <si>
    <t>LB1139.5.A78M384 200</t>
  </si>
  <si>
    <t>Children's art</t>
  </si>
  <si>
    <t>Learning to Read Critically in Educational Leadership and Management</t>
  </si>
  <si>
    <t>Wallace, Mike;Poulson, Louise</t>
  </si>
  <si>
    <t>LB2806.L384 2003</t>
  </si>
  <si>
    <t>Learning to Read Critically in Teaching and Learning</t>
  </si>
  <si>
    <t>Poulson, Louise;Wallace, Mike;Wallace, Mike</t>
  </si>
  <si>
    <t>LB2395.3.L42 2004</t>
  </si>
  <si>
    <t>Criticism</t>
  </si>
  <si>
    <t>Researching Learning Difficulties : A Guide for Practitioners</t>
  </si>
  <si>
    <t>Porter, Jill;Lacey, Penny;Lacey, Penny</t>
  </si>
  <si>
    <t>LC4706.G7P67 2005</t>
  </si>
  <si>
    <t>Learning disabled children - Education - Research</t>
  </si>
  <si>
    <t>Drafting and Assessing Poetry : A Guide for Teachers</t>
  </si>
  <si>
    <t>Dymoke, Sue</t>
  </si>
  <si>
    <t>PE1404.D96 2003</t>
  </si>
  <si>
    <t>808.1/071</t>
  </si>
  <si>
    <t>Leaders and Leadership in Education</t>
  </si>
  <si>
    <t>Gunter, Helen</t>
  </si>
  <si>
    <t>LB2805.G84 2001</t>
  </si>
  <si>
    <t>Peer Support in Action : From Bystanding to Standing By</t>
  </si>
  <si>
    <t>Cowie, Helen;Wallace, Patti</t>
  </si>
  <si>
    <t>BF637.C6C697 2000</t>
  </si>
  <si>
    <t>371.4/047</t>
  </si>
  <si>
    <t>Careers Guidance in Context</t>
  </si>
  <si>
    <t>Gothard, William P.;Mignot, Philip;Offer, Marcus;Ruff, Melvyn</t>
  </si>
  <si>
    <t>HF5381.C27 2001</t>
  </si>
  <si>
    <t>331.7/02</t>
  </si>
  <si>
    <t>Occupations</t>
  </si>
  <si>
    <t>Understanding and Using Scientific Evidence : How to Critically Evaluate Data</t>
  </si>
  <si>
    <t>Gott, Richard;Duggan, Sandra</t>
  </si>
  <si>
    <t>One-Off</t>
  </si>
  <si>
    <t>Q175.G675 2003</t>
  </si>
  <si>
    <t>Evidence</t>
  </si>
  <si>
    <t>Counselling in Schools</t>
  </si>
  <si>
    <t>Bor, Robert;Ebner-Landy, Jo;Gill, Sheila;Brace, Chris</t>
  </si>
  <si>
    <t>LB1620.53.G7C68 2002</t>
  </si>
  <si>
    <t>371.4/6</t>
  </si>
  <si>
    <t>Educational counseling</t>
  </si>
  <si>
    <t>Modern Languages : Learning and Teaching in an Intercultural Field</t>
  </si>
  <si>
    <t>Phipps, Alison;Gonzalez, Mike</t>
  </si>
  <si>
    <t>Teaching and Learning the Humanities in HE Series</t>
  </si>
  <si>
    <t>PB35.P47 2004</t>
  </si>
  <si>
    <t>Literature - Study and teaching (Higher)</t>
  </si>
  <si>
    <t>Practitioner Research and Professional Development in Education</t>
  </si>
  <si>
    <t>Campbell, Anne;McNamara, Olwen;Gilroy, Peter</t>
  </si>
  <si>
    <t>LB1028.C264 2004</t>
  </si>
  <si>
    <t>374/.013/072</t>
  </si>
  <si>
    <t>Education Policy : Globalization, Citizenship and Democracy</t>
  </si>
  <si>
    <t>Olssen, Mark;Codd, John A.;ONeill, Anne-Marie</t>
  </si>
  <si>
    <t>LC71.O65 2004</t>
  </si>
  <si>
    <t>Education and state.</t>
  </si>
  <si>
    <t>The Challenges of Educational Leadership</t>
  </si>
  <si>
    <t>Bottery, Michael</t>
  </si>
  <si>
    <t>Leading Teachers, Leading Schools Series</t>
  </si>
  <si>
    <t>LB2806.B599 2004</t>
  </si>
  <si>
    <t>Observational Research in U. S. Classrooms : New Approaches for Understanding Cultural and Linguistic Diversity</t>
  </si>
  <si>
    <t>Waxman, Hersh C.;Tharp, Roland G.;Hilberg, R. Soleste</t>
  </si>
  <si>
    <t>LB1027.28 .O35 2004</t>
  </si>
  <si>
    <t>371.1/007/2</t>
  </si>
  <si>
    <t>Joining Society : Social Interaction and Learning in Adolescence and Youth</t>
  </si>
  <si>
    <t>Perret-Clermont, Anne-Nelly;Pontecorvo, Clotilde;Resnick, Lauren B.;Zittoun, Tania;Burge, Barbara</t>
  </si>
  <si>
    <t>The Jacobs Foundation Series on Adolescence Series</t>
  </si>
  <si>
    <t>HQ796 \.J5</t>
  </si>
  <si>
    <t>Social interaction in adolescence - Congresses</t>
  </si>
  <si>
    <t>Language Diversity and Education</t>
  </si>
  <si>
    <t>Corson, David</t>
  </si>
  <si>
    <t>P120.V37$bC67 2001</t>
  </si>
  <si>
    <t>Language and education</t>
  </si>
  <si>
    <t>Negotiating Bilingual and Bicultural Identities : Japanese Returnees Betwixt Two Worlds</t>
  </si>
  <si>
    <t>Kanno, Yasuko</t>
  </si>
  <si>
    <t>LC3719 -- .K36 2003eb</t>
  </si>
  <si>
    <t>Biculturalism -- Case studies. ; Biculturalism -- Psychological aspects. ; Ethnopsychology. ; Japanese students -- Foreign countries -- Case studies. ; English language -- Study and teaching -- Foreign speakers -- Case studies. ; Multicultural education -- Case studies.</t>
  </si>
  <si>
    <t>Elementary Science Teacher Education : International Perspectives on Contemporary Issues and Practice</t>
  </si>
  <si>
    <t>Appleton, Ken</t>
  </si>
  <si>
    <t>LB1585 -- .E393 2006eb</t>
  </si>
  <si>
    <t>372.3/5</t>
  </si>
  <si>
    <t>Science -- Study and teaching (Elementary) -- Cross-cultural studies. ; Science teachers -- Training of -- Cross-cultural studies.</t>
  </si>
  <si>
    <t>Career Counseling for African Americans</t>
  </si>
  <si>
    <t>Walsh, W. Bruce;Bingham, Rosie P.;Brown, Michael T.;Ward, Connie M.;Osipow, Samuel H.</t>
  </si>
  <si>
    <t>HF5382.5.U5 -- C2563 2001eb</t>
  </si>
  <si>
    <t>158.6/089/00973</t>
  </si>
  <si>
    <t>Minorities -- Vocational guidance -- United States</t>
  </si>
  <si>
    <t>Business/Management; Psychology</t>
  </si>
  <si>
    <t>Adapting Educational and Psychological Tests for Cross-Cultural Assessment</t>
  </si>
  <si>
    <t>Hambleton, Ronald K.;Merenda, Peter F.;Spielberger, Charles D.</t>
  </si>
  <si>
    <t>LB3060.65 -- .A33 2005eb</t>
  </si>
  <si>
    <t>Educational tests and measurements -- Design and construction -- Cross-cultural studies. ; Psychological tests -- Design and construction -- Cross-cultural studies.</t>
  </si>
  <si>
    <t>G Is for Growing : Thirty Years of Research on Children and Sesame Street</t>
  </si>
  <si>
    <t>Fisch, Shalom M.;Truglio, Rosemarie T.;Fisch, Shalom M.;Truglio, Rosemarie T.</t>
  </si>
  <si>
    <t>LC6579.S47 -- G58 2001eb</t>
  </si>
  <si>
    <t>791.45/72</t>
  </si>
  <si>
    <t>Television in preschool education - United States</t>
  </si>
  <si>
    <t>Performance Theories in Education : Power, Pedagogy, and the Politics of Identity</t>
  </si>
  <si>
    <t>Alexander, Bryant Keith;Anderson, Gary L.;Gallegos, Bernardo</t>
  </si>
  <si>
    <t>LC196 -- .P46 2004eb</t>
  </si>
  <si>
    <t>Critical pedagogy. ; Performance.</t>
  </si>
  <si>
    <t>Developing and Validating Multiple-Choice Test Items</t>
  </si>
  <si>
    <t>Haladyna, Thomas M.</t>
  </si>
  <si>
    <t>LB3060.32.M85 -- H35 2004eb</t>
  </si>
  <si>
    <t>Multiple-choice examinations -- Design and construction. ; Multiple-choice examinations -- Validity.</t>
  </si>
  <si>
    <t>Language, Literacy, and Power in Schooling</t>
  </si>
  <si>
    <t>McCarty, Teresa L.</t>
  </si>
  <si>
    <t>LC151 -- .L27 2005eb</t>
  </si>
  <si>
    <t>Literacy -- Social aspects -- United States. ; Minorities -- Education -- United States. ; Limited English-proficient students -- Education -- United States. ; Educational equalization -- United States.</t>
  </si>
  <si>
    <t>Schools or Markets? : Commercialism, Privatization, and School-Business Partnerships</t>
  </si>
  <si>
    <t>Boyles, Deron R.</t>
  </si>
  <si>
    <t>LC1085.2 -- .S38 2005eb</t>
  </si>
  <si>
    <t>Business and education -- United States. ; Commercialism in schools -- United States. ; Privatization in education -- United States.</t>
  </si>
  <si>
    <t>Funds of Knowledge : Theorizing Practices in Households, Communities, and Classrooms</t>
  </si>
  <si>
    <t>Gonzalez, Norma;Moll, Luis C.;Amanti, Cathy</t>
  </si>
  <si>
    <t>Sociocultural, Political, and Historical Studies in Education</t>
  </si>
  <si>
    <t>LC225.3 -- .T54 2005eb</t>
  </si>
  <si>
    <t>Home and school -- United States. ; Teachers and community -- United States. ; Place-based education -- United States. ; Children with social disabilities -- Education -- United States. ; Teaching -- Social aspects -- United States.</t>
  </si>
  <si>
    <t>Democracy and Music Education : Liberalism, Ethics, and the Politics of Practice</t>
  </si>
  <si>
    <t>Woodford, Paul G.</t>
  </si>
  <si>
    <t>MT1 -- .W89 2005eb</t>
  </si>
  <si>
    <t>780/.71/073</t>
  </si>
  <si>
    <t>School music -- Instruction and study -- Social aspects. ; Education -- Philosophy.</t>
  </si>
  <si>
    <t>Lucky Few and the Worthy Many : Scholarship Competitions and the World's Future Leaders</t>
  </si>
  <si>
    <t>Ilchman, Warren F.;Ilchman, Alice S.;Tolar, Mary H.</t>
  </si>
  <si>
    <t>LB2338 -- .L83 2004eb</t>
  </si>
  <si>
    <t>Scholarships -- Social aspects. ; Educational evaluation.</t>
  </si>
  <si>
    <t>Teacher Collaboration and Talk in Multilingual Classrooms</t>
  </si>
  <si>
    <t>Creese, Angela</t>
  </si>
  <si>
    <t>LC201.7.G7C74 2005</t>
  </si>
  <si>
    <t>371.14/8</t>
  </si>
  <si>
    <t>Native language and education--England--London--Case studies. ; Education, Bilingual--England--London--Case studies. ; Children of immigrants--Education (Secondary)--England--London--Case studies. ; Language policy--England--London--Case studies.</t>
  </si>
  <si>
    <t>Language, Space and Power : A Critical Look at Bilingual Education</t>
  </si>
  <si>
    <t>Hadi-Tabassum, Samina</t>
  </si>
  <si>
    <t>LC3715.H32 2006</t>
  </si>
  <si>
    <t>Language acquisition -- Social aspects</t>
  </si>
  <si>
    <t>Raising Bilingual-Biliterate Children in Monolingual Cultures</t>
  </si>
  <si>
    <t>Caldas, Stephen J.</t>
  </si>
  <si>
    <t>P118.2.C35 2006</t>
  </si>
  <si>
    <t>Second language acquisition. ; Bilingualism. ; English language--Acquisition. ; French language--Acquisition.</t>
  </si>
  <si>
    <t>Power and Identity in the Creative Writing Classroom : The Authority Project</t>
  </si>
  <si>
    <t>Leahy, Anna</t>
  </si>
  <si>
    <t>New Writing Viewpoints Series</t>
  </si>
  <si>
    <t>PE1404.P618 2005</t>
  </si>
  <si>
    <t>808/.042/0711</t>
  </si>
  <si>
    <t>Creative writing (Higher education) ; English language -- Rhetoric -- Study and teaching.</t>
  </si>
  <si>
    <t>Foreign Language Teachers and Intercultural Competence : An Investigation in 7 Countries of Foreign Language Teachers' Views and Teaching Practices</t>
  </si>
  <si>
    <t>Sercu, Lies</t>
  </si>
  <si>
    <t>P53.45.S473 2005</t>
  </si>
  <si>
    <t>Language and languages--Study and teaching. ; Intercultural communication. ; Multicultural education. ; Communicative competence.</t>
  </si>
  <si>
    <t>Bilingual Minds : Emotional Experience, Expression, and Representation</t>
  </si>
  <si>
    <t>Pavlenko, Aneta</t>
  </si>
  <si>
    <t>P115.4 -- .B55 2006eb</t>
  </si>
  <si>
    <t>Emotions</t>
  </si>
  <si>
    <t>Cross-Linguistic Influences in the Second Language Lexicon</t>
  </si>
  <si>
    <t>Arabski, Janusz</t>
  </si>
  <si>
    <t>P118.25.C76 2006</t>
  </si>
  <si>
    <t>Language transfer (Language learning). ; Interlanguage (Language learning). ; Languages in contact. ; Second language acquisition. ; Intercultural communication. ; Vocabulary--Study and teaching.</t>
  </si>
  <si>
    <t>Childhood Bilingualism : Research on Infancy Through School Age</t>
  </si>
  <si>
    <t>McCardle, Peggy;Hoff, Erika</t>
  </si>
  <si>
    <t>P115.2.C49 2006</t>
  </si>
  <si>
    <t>404/.2/083</t>
  </si>
  <si>
    <t>Bilingualism in children. ; Language acquisition. ; Literacy.</t>
  </si>
  <si>
    <t>Travel Notes from the New Literacy Studies : Instances of Practice</t>
  </si>
  <si>
    <t>Pahl, Kate;Rowsell, Jennifer</t>
  </si>
  <si>
    <t>LC149 -- .T73 2006eb</t>
  </si>
  <si>
    <t>302.2/244</t>
  </si>
  <si>
    <t>Language Learners in Study Abroad Contexts</t>
  </si>
  <si>
    <t>DuFon, Margaret A.;Churchill, Eton E.</t>
  </si>
  <si>
    <t>P118.2 -- .L3645 2006eb</t>
  </si>
  <si>
    <t>Language and culture</t>
  </si>
  <si>
    <t>And the Skylark Sings with Me : Adventures in Homeschooling and Community-Based Education</t>
  </si>
  <si>
    <t>CoreSource Plus All</t>
  </si>
  <si>
    <t>New Society Publishers</t>
  </si>
  <si>
    <t>Gabriola Island</t>
  </si>
  <si>
    <t>CANADA</t>
  </si>
  <si>
    <t>Albert, David H.;Pearce, Joseph Chilton</t>
  </si>
  <si>
    <t>LC40 -- .A42 1999eb</t>
  </si>
  <si>
    <t>Community education</t>
  </si>
  <si>
    <t>The Healing Heart for Communities : Storytelling for Strong and Healthy Communities</t>
  </si>
  <si>
    <t>Cox, Allison;Albert, David;McDonald, Margaret</t>
  </si>
  <si>
    <t>Families</t>
  </si>
  <si>
    <t>GR72.3 -- H42 2003eb</t>
  </si>
  <si>
    <t>808.5/43</t>
  </si>
  <si>
    <t>Storytelling. ; Tales. ; Storytelling -- Social aspects. ; Socialization.</t>
  </si>
  <si>
    <t>Literature; Social Science</t>
  </si>
  <si>
    <t>Language in the Schools : Integrating Linguistic Knowledge into K-12 Teaching</t>
  </si>
  <si>
    <t>Denham, Kristin;Lobeck, Anne;Annaud, Jean-Jacques</t>
  </si>
  <si>
    <t>LB3033 -- .P44 2005eb</t>
  </si>
  <si>
    <t>School recess breaks.</t>
  </si>
  <si>
    <t>Doing Academic Writing in Education : Connecting the Personal and the Professional</t>
  </si>
  <si>
    <t>Richards, Janet C.;Miller, Sharon K.</t>
  </si>
  <si>
    <t>LB2369 -- .R52 2005eb</t>
  </si>
  <si>
    <t>808/.06607</t>
  </si>
  <si>
    <t>Education -- Authorship. ; Academic writing.</t>
  </si>
  <si>
    <t>Learning, Teaching, and Community : Contributions of Situated and Participatory Approaches to Educational Innovation</t>
  </si>
  <si>
    <t>Pease-Alvarez, Lucinda;Schecter, Sandra R.</t>
  </si>
  <si>
    <t>LC1099.3 -- .L443 2005eb</t>
  </si>
  <si>
    <t>Multicultural education -- United States -- Case studies. ; Multicultural education -- Canada -- Case studies. ; Community and school -- United States -- Case studies. ; Community and school -- Canada -- Case studies. ; Educational innovations -- United States -- Case studies. ; Educational innovations -- Canada -- Case studies.</t>
  </si>
  <si>
    <t>Latino Education : An Agenda for Community Action Research</t>
  </si>
  <si>
    <t>Pedraza, Pedro;Rivera, Melissa</t>
  </si>
  <si>
    <t>LC2669 -- .L36 2005eb</t>
  </si>
  <si>
    <t>Hispanic Americans -- Education. ; Action research in education -- United States. ; Educational equalization -- United States. ; Educational change -- United States.</t>
  </si>
  <si>
    <t>Understanding Literacy Development : A Global View</t>
  </si>
  <si>
    <t>McKeough, Anne;Phillips, Linda M.;Timmons, Vianne;Lupart, Judy Lee</t>
  </si>
  <si>
    <t>LB1050.2 -- .U54 2006eb</t>
  </si>
  <si>
    <t>Reading -- Cross-cultural studies. ; Literacy -- Cross-cultural studies.</t>
  </si>
  <si>
    <t>Metacognition in Literacy Learning : Theory, Assessment, Instruction, and Professional Development</t>
  </si>
  <si>
    <t>Israel, Susan E.;Block, Cathy Collins;Bauserman, Kathryn L.;Kinnucan-Welsch, Kathryn</t>
  </si>
  <si>
    <t>LB1050 -- .M46 2005eb</t>
  </si>
  <si>
    <t>Reading, Psychology of</t>
  </si>
  <si>
    <t>Black Education : A Transformative Research and Action Agenda for the New Century</t>
  </si>
  <si>
    <t>King, Joyce E.</t>
  </si>
  <si>
    <t>LC2699 -- .B53 2005eb</t>
  </si>
  <si>
    <t>370/.8996</t>
  </si>
  <si>
    <t>Discrimination in education -- Cross-cultural studies</t>
  </si>
  <si>
    <t>Quick Hits for New Faculty : Successful Strategies by Award-Winning Teachers</t>
  </si>
  <si>
    <t>Cordell, Rosanne M.;Lucal, Elisabeth M, Ph.D.;Morgan, Robin K.;Hamilton, Sharon J;Orr, Robert H</t>
  </si>
  <si>
    <t>LB1738 -- .Q53 2004eb</t>
  </si>
  <si>
    <t>College teaching. ; College teachers. ; Teacher effectiveness. ; First year teachers.</t>
  </si>
  <si>
    <t>Women and Philanthropy in Education</t>
  </si>
  <si>
    <t>Walton, Andrea</t>
  </si>
  <si>
    <t>LC1757 -- .W63 2005eb</t>
  </si>
  <si>
    <t>378.1/982</t>
  </si>
  <si>
    <t>Women in higher education -- United States -- History. ; Endowments -- United States -- History. ; Women philanthropists -- United States -- History.</t>
  </si>
  <si>
    <t>Book review special issue</t>
  </si>
  <si>
    <t>Abeles, Tom</t>
  </si>
  <si>
    <t>LC71.2 -- .B66 2006eb</t>
  </si>
  <si>
    <t>Educational change. ; Educational planning.</t>
  </si>
  <si>
    <t>Education; General Works/Reference</t>
  </si>
  <si>
    <t>Teaching Word Meanings</t>
  </si>
  <si>
    <t>Stahl, Steven A.;Nagy, William E.</t>
  </si>
  <si>
    <t>Literacy Teaching Series</t>
  </si>
  <si>
    <t>LB1574.5 -- .S72 2006eb</t>
  </si>
  <si>
    <t>Vocabulary - Study and teaching (Elementary)</t>
  </si>
  <si>
    <t>Adventures in Paleontology : 36 Classroom Fossil Activities</t>
  </si>
  <si>
    <t>Arlington, VA</t>
  </si>
  <si>
    <t>Hansen, Thor A.;Slesnick, Irwin L.</t>
  </si>
  <si>
    <t>QE715.H36 2006</t>
  </si>
  <si>
    <t>560.71/2</t>
  </si>
  <si>
    <t>Paleontology -- Study and teaching (Middle school) -- Activity programs. ; Paleontology -- Handbooks, manuals, etc.</t>
  </si>
  <si>
    <t>Science; Science: Geology</t>
  </si>
  <si>
    <t>Science Safety in the Community College</t>
  </si>
  <si>
    <t>Summers, John;Texley, Juliana;Kwan, Terry</t>
  </si>
  <si>
    <t>Q183.3.A1S93 2006</t>
  </si>
  <si>
    <t>507.1/173</t>
  </si>
  <si>
    <t>Science -- Study and teaching (Higher) -- United States. ; Science rooms and equipment -- Safety measures. ; Laboratories -- Safety measures.</t>
  </si>
  <si>
    <t>Science: General; Science</t>
  </si>
  <si>
    <t>Linking Science and Literacy in the K-8 Classroom</t>
  </si>
  <si>
    <t>Douglas, Rowena;Worth, Karen;Klentschy, Mike</t>
  </si>
  <si>
    <t>LB1585.3.L556 2006</t>
  </si>
  <si>
    <t>Language arts (Elementary) -- United States. ; Language arts (Middle school) -- United States. ; Science -- Study and teaching (Elementary) -- United States. ; Science -- Study and teaching (Middle school) -- United States.</t>
  </si>
  <si>
    <t>Technology-Based Inquiry for Middle School : An NSTA Press Journals Collection</t>
  </si>
  <si>
    <t>Christmann, Edwin P.</t>
  </si>
  <si>
    <t>Q181.T3544 2006</t>
  </si>
  <si>
    <t>507/.12</t>
  </si>
  <si>
    <t>Science -- Study and teaching (Middle school) -- Technological innovations. ; Science -- Computer-assisted instruction. ; Educational technology.</t>
  </si>
  <si>
    <t>Assessment in Science : Practical Experiences and Education Research</t>
  </si>
  <si>
    <t>McMahon, Maureen;Simmons, Patricia;Sommers, Randy;Crawley, Frank;DeBaets, Diane</t>
  </si>
  <si>
    <t>LB1585.A785 2006</t>
  </si>
  <si>
    <t>Science -- Ability testing. ; Science -- Study and teaching (Elementary) -- Evaluation. ; Science -- Study and teaching (Secondary) -- Evaluation.</t>
  </si>
  <si>
    <t>The Cambridge Handbook of the Learning Sciences</t>
  </si>
  <si>
    <t>Sawyer, R. Keith</t>
  </si>
  <si>
    <t>Cambridge Handbooks in Psychology Series</t>
  </si>
  <si>
    <t>LB1060 -- .C35 2006eb</t>
  </si>
  <si>
    <t>Children's Thinking about Cultural Universals</t>
  </si>
  <si>
    <t>Brophy, Jere;Alleman, Janet</t>
  </si>
  <si>
    <t>LB1530 -- .B76 2006eb</t>
  </si>
  <si>
    <t>Social sciences -- Study and teaching (Primary) -- United States -- Case studies. ; Social learning -- Case studies. ; Child development -- United States -- Case studies.</t>
  </si>
  <si>
    <t>Bilingual Education : From Compensatory to Quality Schooling</t>
  </si>
  <si>
    <t>Brisk, María Estela</t>
  </si>
  <si>
    <t>LC3731 -- .B68 2006eb</t>
  </si>
  <si>
    <t>Compensatory education -- United States</t>
  </si>
  <si>
    <t>Emotionally Intelligent School Counseling</t>
  </si>
  <si>
    <t>Pellitteri, John;Stern, Robin;Shelton, Claudia;Muller-Ackerman, Barbara</t>
  </si>
  <si>
    <t>LB1027.5 -- .E45 2006eb</t>
  </si>
  <si>
    <t>Educational counseling. ; Emotional intelligence.</t>
  </si>
  <si>
    <t>Linguistic Diversity and Teaching</t>
  </si>
  <si>
    <t>Commins, Nancy L.;Miramontes, Ofelia B.</t>
  </si>
  <si>
    <t>Reflective Teaching and the Social Conditions of Schooling Series</t>
  </si>
  <si>
    <t>LC201.5 -- .C59 2005eb</t>
  </si>
  <si>
    <t>Education, Bilingual -- Case studies</t>
  </si>
  <si>
    <t>Teaching Language and Literature in Elementary Classrooms : A Resource Book for Professional Development</t>
  </si>
  <si>
    <t>Popp, Marcia S.</t>
  </si>
  <si>
    <t>LB1576 -- .P656 2005eb</t>
  </si>
  <si>
    <t>372.6/044</t>
  </si>
  <si>
    <t>Language arts (Elementary) ; Literature -- Study and teaching (Elementary)</t>
  </si>
  <si>
    <t>Oxbridge Men : British Masculinity and the Undergraduate Experience, 1850-1920</t>
  </si>
  <si>
    <t>Deslandes, Paul R.</t>
  </si>
  <si>
    <t>LA637.7 -- .D48 2005eb</t>
  </si>
  <si>
    <t>378.1/981/0942</t>
  </si>
  <si>
    <t>University of Oxford -- Students -- History. ; University of Cambridge -- Students -- History. ; Male college students -- England -- History. ; Masculinity -- England -- History.</t>
  </si>
  <si>
    <t>Imagining Multilingual Schools : Languages in Education and Glocalization</t>
  </si>
  <si>
    <t>García, Ofelia;Skutnabb-Kangas, Tove;Torres-Guzmán, María E.;García, Ofelia</t>
  </si>
  <si>
    <t>Linguistic Diversity and Language Rights Series</t>
  </si>
  <si>
    <t>LC3715.I45 2006</t>
  </si>
  <si>
    <t>Globalization--Cross-cultural studies. ; Language and education--Cross-cultural studies. ; Multicultural education--Cross-cultural studies. ; Multilingualism--Cross-cultural studies.</t>
  </si>
  <si>
    <t>Science Education: Best Practices of Research Training for Students Under 21</t>
  </si>
  <si>
    <t>IOS Press</t>
  </si>
  <si>
    <t>IOS Press, Incorporated</t>
  </si>
  <si>
    <t>Csermely, P.;Korcsmáros, T.;Lederman, L.</t>
  </si>
  <si>
    <t>NATO Science Series, V: Science and Technology Policy Series</t>
  </si>
  <si>
    <t>Q181.A1 N38 2005</t>
  </si>
  <si>
    <t>Science-Study and teaching-Congresses. ; Science-Congresses.</t>
  </si>
  <si>
    <t>Artificial Intelligence in Education : Supporting Learning Through Intelligent and Socially Informed Technology</t>
  </si>
  <si>
    <t>Looi, C. K.;McCalla, G.;Bredeweg, B.</t>
  </si>
  <si>
    <t>Frontiers in Artificial Intelligence and Applications Series</t>
  </si>
  <si>
    <t>LB1028.43 .A793 2005</t>
  </si>
  <si>
    <t>Artificial intelligence-Educational applications-Congresses. ; Intelligent tutoring systems-Congresses.</t>
  </si>
  <si>
    <t>Towards the Learning Grid : Advances in Human Learning Services</t>
  </si>
  <si>
    <t>Ritrovato, P.;Allison, C.;Cerri, S. A.</t>
  </si>
  <si>
    <t>LB1028.5 .T58 2005</t>
  </si>
  <si>
    <t>Computer-assisted instruction-Europe. ; Educational technology-Europe. ; Internet in education-Europe. ; Web-based instruction-Europe.</t>
  </si>
  <si>
    <t>Promoting the Psychosocial Well Being of Children Following War and Terrorism</t>
  </si>
  <si>
    <t>Friedman, M. J.;Mikus-Kos, A.</t>
  </si>
  <si>
    <t>NATO Security Through Science Series - e: Human and Societal Dynamics Series</t>
  </si>
  <si>
    <t>HQ784.W3 N38 2005</t>
  </si>
  <si>
    <t>Post-traumatic stress disorder in children-Social aspects-Congresses. ; Psychic trauma in children-Social aspects-Congresses. ; Victims of terrorism-Psychology-Congresses.</t>
  </si>
  <si>
    <t>Social Science; Medicine</t>
  </si>
  <si>
    <t>New World of Knowledge : Canadian Universities and Globalization</t>
  </si>
  <si>
    <t>IDRC</t>
  </si>
  <si>
    <t>International Development Research Centre</t>
  </si>
  <si>
    <t xml:space="preserve">Bond, Sheryl L.;Lemasson, Jean-Pierre;Lemasson, Jean-Pierre </t>
  </si>
  <si>
    <t>LC1090 -- .N499 1999eb</t>
  </si>
  <si>
    <t>International education -- Canada. ; Education, Higher -- Aims and objectives -- Canada. ; Universities and colleges -- Canada -- International cooperation.</t>
  </si>
  <si>
    <t>Camino Al Español : A Comprehensive Course in Spanish</t>
  </si>
  <si>
    <t>de Andrés Martínez, Consuelo;Ariza Bruce, Eugenia;Cook, Christine;Díez-Bonet, Isabel;Trippett, Anthony</t>
  </si>
  <si>
    <t>PC4129.E5 A63 2003</t>
  </si>
  <si>
    <t>Spanish language--Textbooks for foreign speakers--English</t>
  </si>
  <si>
    <t>Bakhtinian Perspectives on Language, Literacy, and Learning</t>
  </si>
  <si>
    <t>Ball, Arnetha F.;Freedman, Sarah Warshauer</t>
  </si>
  <si>
    <t>LC149.B25</t>
  </si>
  <si>
    <t>Measuring Intelligence : Facts and Fallacies</t>
  </si>
  <si>
    <t>Bartholomew, David J.</t>
  </si>
  <si>
    <t>BF431 .B352 2004</t>
  </si>
  <si>
    <t>153.9/3</t>
  </si>
  <si>
    <t>Intelligence tests</t>
  </si>
  <si>
    <t>Critical issues of partnerships between higher education and public schools</t>
  </si>
  <si>
    <t>Calabrese, Raymond L.;Calabrese, R L</t>
  </si>
  <si>
    <t>Volume 20, Issue 3</t>
  </si>
  <si>
    <t>LB2806 -- .C75 2006eb</t>
  </si>
  <si>
    <t>378/.103</t>
  </si>
  <si>
    <t>Education. ; School management and organization.</t>
  </si>
  <si>
    <t>Learning styles in education and training</t>
  </si>
  <si>
    <t>Sadler-Smith, Eugene;Evans, Carol</t>
  </si>
  <si>
    <t>Volume 48, Issue 2 &amp; 3</t>
  </si>
  <si>
    <t>LB1027.47 -- L43 2006eb</t>
  </si>
  <si>
    <t>Training. ; Learning strategies.</t>
  </si>
  <si>
    <t>Social Justice within an American Perspective</t>
  </si>
  <si>
    <t>Shoho, Alan R.;Shoho, A R</t>
  </si>
  <si>
    <t>Volume 44, Issue 3</t>
  </si>
  <si>
    <t>LB2806 -- .D37 2006eb</t>
  </si>
  <si>
    <t>Social justice. ; School management and organization.</t>
  </si>
  <si>
    <t>Special issue : Synchronous methods and applications in e-learning</t>
  </si>
  <si>
    <t>Kinshuk</t>
  </si>
  <si>
    <t>Volume 23, Issue 3</t>
  </si>
  <si>
    <t>LB1044.87 -- .S74 2006eb</t>
  </si>
  <si>
    <t>Internet in education. ; Computer networks.</t>
  </si>
  <si>
    <t>"Post Industrial University"</t>
  </si>
  <si>
    <t>Snyder, David Pearce;Snyder, David Pearce</t>
  </si>
  <si>
    <t>Volume 14, Issue 2</t>
  </si>
  <si>
    <t>LB2324 -- .P67 2006eb</t>
  </si>
  <si>
    <t>Education, Higher. ; Postsecondary education.</t>
  </si>
  <si>
    <t>Learning Zone of One’s Own : Sharing Representations and Flow in Collaborative Learning Environments</t>
  </si>
  <si>
    <t>Steels, L.;Tokoro, M.</t>
  </si>
  <si>
    <t>LB1027.23 -- .L42 2004eb</t>
  </si>
  <si>
    <t>Active learning. ; Student-centered learning. ; Education -- Experimental methods. ; Educational technology.</t>
  </si>
  <si>
    <t>Advances in Learning Theory : Methods, Models and Applications</t>
  </si>
  <si>
    <t>Basu, S.;Horvath, G.;Micchelli, C.;Micchelli, Charles A.;Vandewalle, Joos</t>
  </si>
  <si>
    <t>Nato Science Series</t>
  </si>
  <si>
    <t>Q325.7 -- .N37 2003eb</t>
  </si>
  <si>
    <t>006.3/1</t>
  </si>
  <si>
    <t>Computational learning theory -- Congresses. ; Machine learning -- Mathematical models -- Congresses.</t>
  </si>
  <si>
    <t>Computer Science/IT; Science</t>
  </si>
  <si>
    <t>Artificial Intelligence in Education : Shaping the Future of Learning Through Intelligent Technologies</t>
  </si>
  <si>
    <t>Hoppe, H.U.;Kay, J.;Verdejo, M.F.</t>
  </si>
  <si>
    <t>LB1028.43 -- .W67 2003eb</t>
  </si>
  <si>
    <t>Artificial intelligence -- Educational applications -- Congresses. ; Computer-assisted instruction -- Congresses. ; Intelligent tutoring systems -- Congresses.</t>
  </si>
  <si>
    <t>Artificial Intelligence in Education : Open Learning Environments : New Computational Technologies to Support Learning</t>
  </si>
  <si>
    <t>Lajoie, S.P.;Vivet, M.;Vivet, M.</t>
  </si>
  <si>
    <t>LB1028.73 -- .L35 1999eb</t>
  </si>
  <si>
    <t>Intelligent tutoring systems -- Congresses. ; Artificial intelligence -- Educational applications -- Congresses. ; Open learning -- Congresses.</t>
  </si>
  <si>
    <t>Science Education : Talent Recruitment and Public Understanding</t>
  </si>
  <si>
    <t>Csermely, P.;Lederman, L.;et al,</t>
  </si>
  <si>
    <t>Nato: Science and Technology Policy Series</t>
  </si>
  <si>
    <t>Q181.A1 -- N36 2002eb</t>
  </si>
  <si>
    <t>Science -- Study and teaching -- Congresses.</t>
  </si>
  <si>
    <t>Future of Learning : Issues and Prospects</t>
  </si>
  <si>
    <t>LB1060 -- .F88 2003eb</t>
  </si>
  <si>
    <t>Learning. ; Education -- Aims and objectives.</t>
  </si>
  <si>
    <t>Besieged : School Boards and the Future of Education Politics</t>
  </si>
  <si>
    <t>Rowman &amp; Littlefield Unlimited model</t>
  </si>
  <si>
    <t>Brookings Institution Press</t>
  </si>
  <si>
    <t>Blue Ridge Summit</t>
  </si>
  <si>
    <t>Howell, William G.</t>
  </si>
  <si>
    <t>LB2831.B49 2005</t>
  </si>
  <si>
    <t>379.1/531</t>
  </si>
  <si>
    <t>School management and organization - United States</t>
  </si>
  <si>
    <t>Getting Choice Right : Ensuring Equity and Efficiency in Education Policy</t>
  </si>
  <si>
    <t>Betts, Julian R.;Loveless, Tom</t>
  </si>
  <si>
    <t>LB1027.9.G475 2005</t>
  </si>
  <si>
    <t>School choice - Economic aspects - United States</t>
  </si>
  <si>
    <t>To Export Progress : The Golden Age of University Assistance in the Americas</t>
  </si>
  <si>
    <t>Levy, Daniel C.</t>
  </si>
  <si>
    <t>LB2285.L3 -- L48 2005eb</t>
  </si>
  <si>
    <t>379.1/29</t>
  </si>
  <si>
    <t>Educational assistance, American -- Latin America -- History -- 20th century. ; Economic assistance, American -- Latin America -- History -- 20th century. ; Education, Higher -- Latin America. ; Educational change -- Latin America.</t>
  </si>
  <si>
    <t>Gender Differences in Mathematics : An Integrative Psychological Approach</t>
  </si>
  <si>
    <t>Gallagher, Ann M.;Kaufman, James C.</t>
  </si>
  <si>
    <t>QA27.5.G47</t>
  </si>
  <si>
    <t>Mathematics - Study and teaching - Psychological aspects.</t>
  </si>
  <si>
    <t>Who's in Charge Here? : The Tangled Web of School Governance and Policy</t>
  </si>
  <si>
    <t>Epstein, Noel</t>
  </si>
  <si>
    <t>LB2831.W53 2004</t>
  </si>
  <si>
    <t>Education and state - United States</t>
  </si>
  <si>
    <t>Policy as Practice : Toward a Comparative Sociocultural Analysis of Educational Policy</t>
  </si>
  <si>
    <t>Bloomsbury Publishing US</t>
  </si>
  <si>
    <t>ABC-CLIO, LLC</t>
  </si>
  <si>
    <t>Greenwood Publishing Group</t>
  </si>
  <si>
    <t>Sutton, Margaret;Levinson, Bradley</t>
  </si>
  <si>
    <t>LC71 -- .P565 2001eb</t>
  </si>
  <si>
    <t>Education and state -- Social aspects -- Cross-cultural studies. ; Educational anthropology -- Cross-cultural studies.</t>
  </si>
  <si>
    <t>Curriculum and Assessment</t>
  </si>
  <si>
    <t>LB3051 -- .C865 2001eb</t>
  </si>
  <si>
    <t>Educational tests and measurements -- Cross-cultural studies. ; Curriculum planning -- Cross-cultural studies.</t>
  </si>
  <si>
    <t>Community Colleges : Policy in the Future Context</t>
  </si>
  <si>
    <t>Townsend, Barbara;Twombly, Susan</t>
  </si>
  <si>
    <t>LB2328.15.U6 -- C655 2001eb</t>
  </si>
  <si>
    <t>378.1/543/0973</t>
  </si>
  <si>
    <t>Community colleges -- United States. ; Higher education and state -- United States. ; Education, Higher -- Aims and objectives -- United States.</t>
  </si>
  <si>
    <t>Education in the New Latino Diaspora : Policy and the Politics of Identity</t>
  </si>
  <si>
    <t>Bloomsbury Publishing USA</t>
  </si>
  <si>
    <t>Praeger</t>
  </si>
  <si>
    <t>Wortham, Stanton E. F.;Jr., Enrique G. Murillo;Hamann, Edmund T.</t>
  </si>
  <si>
    <t>Sociocultural Studies in Educational Policy Formation and Appropriation Series</t>
  </si>
  <si>
    <t>LC2669 -- .E39 2002eb</t>
  </si>
  <si>
    <t>371.829/68073</t>
  </si>
  <si>
    <t>Hispanic Americans -- Education.</t>
  </si>
  <si>
    <t>Collaborative Cognition : Children Negotiating Ways of Knowing</t>
  </si>
  <si>
    <t>Bearison, David J.;Dorval, Bruce</t>
  </si>
  <si>
    <t>Advances in Discourse Processes Series</t>
  </si>
  <si>
    <t>BF723.C5B638 2002</t>
  </si>
  <si>
    <t>155.4/13</t>
  </si>
  <si>
    <t>Cognition and culture</t>
  </si>
  <si>
    <t>Problems and Prospects in European Education</t>
  </si>
  <si>
    <t>Orivel, Francois;Schriewer, Jürgen;Swing, Elizabeth S.</t>
  </si>
  <si>
    <t>LC191.8. E85 -- P86 2000eb</t>
  </si>
  <si>
    <t>Education -- Social aspects -- Europe. ; Education -- Economic aspects -- Europe.</t>
  </si>
  <si>
    <t>Working Memory and Education</t>
  </si>
  <si>
    <t>Phye, Gary D.;Pickering, Susan J.</t>
  </si>
  <si>
    <t>BF378.S54W675 2006</t>
  </si>
  <si>
    <t>155.4/1313</t>
  </si>
  <si>
    <t>Short-term memory. ; Child development. ; Cognition in children. ; Memory in children.</t>
  </si>
  <si>
    <t>Success Strategies for Women in Science : A Portable Mentor</t>
  </si>
  <si>
    <t>Pritchard, Peggy A.</t>
  </si>
  <si>
    <t>Q130.S83 2006</t>
  </si>
  <si>
    <t>305.43/5</t>
  </si>
  <si>
    <t>Women in science -- Vocational guidance. ; Science -- Vocational guidance.</t>
  </si>
  <si>
    <t>Science; Social Science</t>
  </si>
  <si>
    <t>Children's Spaces</t>
  </si>
  <si>
    <t>Dudek, Mark</t>
  </si>
  <si>
    <t>LB3205 -- .D83 2005eb</t>
  </si>
  <si>
    <t>Architecture -- Designs and plans</t>
  </si>
  <si>
    <t>Architecture; Education</t>
  </si>
  <si>
    <t>Empirical Methods for Evaluating Educational Interventions</t>
  </si>
  <si>
    <t>Phye, Gary D.;Robinson, Daniel H.;Levin, Joel</t>
  </si>
  <si>
    <t>LB2822.75.E56 2005</t>
  </si>
  <si>
    <t>Academia's Golden Age : Universities in Massachusetts, 1945-1970</t>
  </si>
  <si>
    <t>Freeland, Richard M.</t>
  </si>
  <si>
    <t>LA306.B7 -- F74 1992eb</t>
  </si>
  <si>
    <t>378.744/61</t>
  </si>
  <si>
    <t>Education, Higher -- Massachusetts -- Boston -- History. ; Universities and colleges -- Massachusetts -- Boston -- History.</t>
  </si>
  <si>
    <t>American Medical Schools and the Practice of Medicine : A History</t>
  </si>
  <si>
    <t>Rothstein, William G.</t>
  </si>
  <si>
    <t>R745 -- .R68 1987eb</t>
  </si>
  <si>
    <t>610/.7/1173</t>
  </si>
  <si>
    <t>Medical education -- United States -- History. ; Medicine -- United States -- History.</t>
  </si>
  <si>
    <t>Any Child Can Read Better : Developing Your Child's Reading Skills Outside the Classroom</t>
  </si>
  <si>
    <t>Wiener, Harvey S.</t>
  </si>
  <si>
    <t>LB1050.W437 1996</t>
  </si>
  <si>
    <t>649/.58</t>
  </si>
  <si>
    <t>Reading -- Parent participation. ; Reading (Elementary)</t>
  </si>
  <si>
    <t>Home Economics; Education</t>
  </si>
  <si>
    <t>Autopsy of a Suicidal Mind</t>
  </si>
  <si>
    <t>Shneidman, Edwin S.;Collins, Judy</t>
  </si>
  <si>
    <t>RC569.S468 2004</t>
  </si>
  <si>
    <t>616.85/844509</t>
  </si>
  <si>
    <t>Suicide -- Case studies. ; Psychological autopsy.</t>
  </si>
  <si>
    <t>Awakening Children's Minds : How Parents and Teachers Can Make a Difference</t>
  </si>
  <si>
    <t>Berk, Laura E.;Berk, Laura E.</t>
  </si>
  <si>
    <t>HQ767.9.B465 2004</t>
  </si>
  <si>
    <t>Child development. ; Socialization. ; Early childhood education -- Parent participation. ; Parenting.</t>
  </si>
  <si>
    <t>Berkeley at War : The 1960s</t>
  </si>
  <si>
    <t>Rorabaugh, W. J.;Rorabaugh, Professor of History W J</t>
  </si>
  <si>
    <t>F869.B5 -- R67 1989eb</t>
  </si>
  <si>
    <t>University of California, Berkeley -- History -- 20th century. ; Radicalism -- California -- Berkeley -- History -- 20th century. ; Vietnam War, 1961-1975 -- California -- Berkeley. ; Berkeley (Calif.) -- History. ; Berkeley (Calif.) -- Social conditions.</t>
  </si>
  <si>
    <t>Geography/Travel; History</t>
  </si>
  <si>
    <t>Children at Play : Clinical and Developmental Approaches to Meaning and Representation</t>
  </si>
  <si>
    <t>Slade, Arietta;Wolf, Dennie Palmer</t>
  </si>
  <si>
    <t>BF717.C425 1999</t>
  </si>
  <si>
    <t>Symbolic play. ; Symbolism (Psychology) in children. ; Cognition in children.</t>
  </si>
  <si>
    <t>Contending with Modernity : Catholic Higher Education in the Twentieth Century</t>
  </si>
  <si>
    <t>Gleason, Philip</t>
  </si>
  <si>
    <t>LC501 -- .G56 1995eb</t>
  </si>
  <si>
    <t>377/.82</t>
  </si>
  <si>
    <t>Catholic Church -- Education. ; Catholic universities and colleges -- United States.</t>
  </si>
  <si>
    <t>Contexts for Learning : Sociocultural Dynamics in Children's Development</t>
  </si>
  <si>
    <t>Forman, Ellice A.;Minick, Norris;Stone, C. Addison</t>
  </si>
  <si>
    <t>LB1051.C6782 1996</t>
  </si>
  <si>
    <t>370.15/2</t>
  </si>
  <si>
    <t>Learning, Psychology of -- Social aspects. ; Constructivism (Education) ; Cognition and culture. ; Cognition in children.</t>
  </si>
  <si>
    <t>Educating Deaf Students : From Research to Practice</t>
  </si>
  <si>
    <t>Marschark, Marc;Lang, Harry G.;Albertini, John A.</t>
  </si>
  <si>
    <t>HV2437.M27 2002</t>
  </si>
  <si>
    <t>371.91/2</t>
  </si>
  <si>
    <t>Deaf -- Education. ; Deaf children -- Education. ; Deaf children -- Language. ; Deaf children -- Means of communication.</t>
  </si>
  <si>
    <t>Emerging Minds : The Process of Change in Children's Thinking</t>
  </si>
  <si>
    <t>Siegler, Robert S.</t>
  </si>
  <si>
    <t>BF723.C5 S53 1996eb</t>
  </si>
  <si>
    <t>Gone for Good : Tales of University Life after the Golden Age</t>
  </si>
  <si>
    <t>Rojstaczer, Stuart</t>
  </si>
  <si>
    <t>LA227.4 -- .R65 1999eb</t>
  </si>
  <si>
    <t>Education, Higher -- United States. ; College teaching -- United States.</t>
  </si>
  <si>
    <t>Handbook of Adult Development and Learning</t>
  </si>
  <si>
    <t>Hoare, Carol;Hoare, Carol</t>
  </si>
  <si>
    <t>BF724.5.H365 2006</t>
  </si>
  <si>
    <t>Adulthood -- Psychological aspects.;Learning, Psychology of.;Adult learning.; ; ; ; ;</t>
  </si>
  <si>
    <t>Overcoming the Odds : Raising Academically Successful African American Young Women</t>
  </si>
  <si>
    <t>Hrabowski, Freeman A.;Maton, Kenneth I.;Greene, Monica L.;Greif, Geoffrey L.</t>
  </si>
  <si>
    <t>LC2731.O94 2002</t>
  </si>
  <si>
    <t>649/.15796/073</t>
  </si>
  <si>
    <t>Academic achievement -- United States. ; African American women -- Education. ; African American women -- Family relationships. ; Education -- Parent participation -- United States.</t>
  </si>
  <si>
    <t>Play = Learning : How Play Motivates and Enhances Children's Cognitive and Social-Emotional Growth</t>
  </si>
  <si>
    <t>Singer, Dorothy;Michnick Golinkoff, Roberta;Hirsh-Pasek, Kathy;Singer, Dorothy</t>
  </si>
  <si>
    <t>BF717.P578 2006</t>
  </si>
  <si>
    <t>Play. ; Play -- Psychological aspects. ; Play -- Social aspects.</t>
  </si>
  <si>
    <t>Schooling America : How the Public Schools Meet the Nation's Changing Needs</t>
  </si>
  <si>
    <t>Graham, Patricia Albjerg</t>
  </si>
  <si>
    <t>Institutions of American Democracy Series</t>
  </si>
  <si>
    <t>LA209.G65 2005</t>
  </si>
  <si>
    <t>370/.973/094</t>
  </si>
  <si>
    <t>Education -- United States -- History -- 20th century.</t>
  </si>
  <si>
    <t>The Diverted Dream : Community Colleges and the Promise of Educational Opportunity in America, 1900-1985</t>
  </si>
  <si>
    <t>Brint, Steven;Karabel, Jerome</t>
  </si>
  <si>
    <t>LA226.B74 1989</t>
  </si>
  <si>
    <t>Education, Higher--United States--History--20th century.</t>
  </si>
  <si>
    <t>The School Services Sourcebook : A Guide for School-Based Professionals</t>
  </si>
  <si>
    <t>Franklin, Cynthia;Harris, Mary Beth;Allen-Meares, Paula</t>
  </si>
  <si>
    <t>LB3013.4.S372 2006</t>
  </si>
  <si>
    <t>School social work--Handbooks, manuals, etc.</t>
  </si>
  <si>
    <t>Thinking Goes to School : Piaget's Theory in Practice</t>
  </si>
  <si>
    <t>Furth, Hans G.;Wachs, Harry</t>
  </si>
  <si>
    <t>BF721</t>
  </si>
  <si>
    <t>Games</t>
  </si>
  <si>
    <t>Psychology; Juvenile Literature</t>
  </si>
  <si>
    <t>Twenty Teachers</t>
  </si>
  <si>
    <t>Macrorie, Ken</t>
  </si>
  <si>
    <t>LB1027.3 -- .M33 1987eb</t>
  </si>
  <si>
    <t>371.1/02/0922</t>
  </si>
  <si>
    <t>Teaching. ; Learning and scholarship. ; Teachers -- United States -- Interviews.</t>
  </si>
  <si>
    <t>Elusive Equity : Education Reform in Post-Apartheid South Africa</t>
  </si>
  <si>
    <t>Fiske, Edward B.;Ladd, Helen F.</t>
  </si>
  <si>
    <t>LC213.3.S6F57 2004</t>
  </si>
  <si>
    <t>379.2/6/0968</t>
  </si>
  <si>
    <t>Discrimination in education - South Africa - Prevention</t>
  </si>
  <si>
    <t>Making School Reform Work : New Partnerships for Real Change</t>
  </si>
  <si>
    <t>Hill, Paul T.;Harvey, James</t>
  </si>
  <si>
    <t>LB2822.82.M35 2004</t>
  </si>
  <si>
    <t>Education, Urban -- United States</t>
  </si>
  <si>
    <t>Educating Citizens : International Perspectives on Civic Values and School Choice</t>
  </si>
  <si>
    <t>Wolf, Patrick J.;Macedo, Stephen;Ferrero, David J.;Venegoni, Charles</t>
  </si>
  <si>
    <t>LC47.E38 2004</t>
  </si>
  <si>
    <t>Civics -- Study and teaching -- Case studies</t>
  </si>
  <si>
    <t>Living and Studying Abroad : Research and Practice</t>
  </si>
  <si>
    <t>Byram, Michael;Feng, Anwei</t>
  </si>
  <si>
    <t>LB2375.L58 2006</t>
  </si>
  <si>
    <t>Foreign study. ; Foreign study--Research. ; Foreign study--Research--Methodology.</t>
  </si>
  <si>
    <t>Education for Intercultural Citizenship : Concepts and Comparisons</t>
  </si>
  <si>
    <t>Alred, Geof;Byram, Michael;Fleming, Mike</t>
  </si>
  <si>
    <t>LC1091.E464 2006</t>
  </si>
  <si>
    <t>Citizenship--Study and teaching--Cross-cultural studies. ; Multicultural education--Cross-cultural studies.</t>
  </si>
  <si>
    <t>Fluency in Reading : Synchronization of Processes</t>
  </si>
  <si>
    <t>Breznitz, Zvia</t>
  </si>
  <si>
    <t>LB1050.5 -- .B74 2006eb</t>
  </si>
  <si>
    <t>Dyslexia. ; Reading -- Physiological aspects. ; Synchronization.</t>
  </si>
  <si>
    <t>Universities and Globalization : To Market, to Market</t>
  </si>
  <si>
    <t>Sidhu, Ravinder Kaur</t>
  </si>
  <si>
    <t>LC67.6 -- .S44 2006eb</t>
  </si>
  <si>
    <t>Education, Higher -- Economic aspects -- Cross-cultural studies</t>
  </si>
  <si>
    <t>Business/Management; Education; Economics</t>
  </si>
  <si>
    <t>Classroom Authority : Theory, Research, and Practice</t>
  </si>
  <si>
    <t>Pace, Judith L.;Hemmings, Annette</t>
  </si>
  <si>
    <t>LB3013 -- .C526 2006eb</t>
  </si>
  <si>
    <t>371.102/4</t>
  </si>
  <si>
    <t>Classroom management -- United States</t>
  </si>
  <si>
    <t>Challenging the Classroom Standard Through Museum-Based Education : School in the Park</t>
  </si>
  <si>
    <t>Pumpian, Ian;Fisher, Douglas;Wachowiak, Susan</t>
  </si>
  <si>
    <t>LB1047 -- .C52 2006eb</t>
  </si>
  <si>
    <t>Museums and schools -- United States. ; School field trips -- United States. ; Museums -- Educational aspects -- United States.</t>
  </si>
  <si>
    <t>Preparing Quality Educators for English Language Learners : Research, Policy, and Practice</t>
  </si>
  <si>
    <t>Téllez, Kip;Waxman, Hersh C.</t>
  </si>
  <si>
    <t>LB1715 -- .P725 2006eb</t>
  </si>
  <si>
    <t>Education and state -- United States</t>
  </si>
  <si>
    <t>Losing Heart : The Moral and Spiritual Miseducation of America's Children</t>
  </si>
  <si>
    <t>Shapiro, H. Svi</t>
  </si>
  <si>
    <t>LC191.4 -- .S53 2006eb</t>
  </si>
  <si>
    <t>Education -- Social aspects -- United States. ; Education -- Moral and ethical aspects -- United States. ; Educational change -- United States.</t>
  </si>
  <si>
    <t>Women's advancement in Universities, Volume 28, Issue 6</t>
  </si>
  <si>
    <t>Doherty, Liz;Manfredi, Simonetta;Manfredi, Simonetta</t>
  </si>
  <si>
    <t>Employee Relations</t>
  </si>
  <si>
    <t>LC1481 -- .W66 2006eb</t>
  </si>
  <si>
    <t>376/.63</t>
  </si>
  <si>
    <t>Women -- Education. ; Women college students.</t>
  </si>
  <si>
    <t>Gender and Racial Differences in Vocational Education, Volume 27, Issue 4</t>
  </si>
  <si>
    <t>van der Meulen Rodgers, Yana;Boyer, Teresa</t>
  </si>
  <si>
    <t>LC212.9 -- .G46 2006eb</t>
  </si>
  <si>
    <t>375;375.001</t>
  </si>
  <si>
    <t>Sex differences in education. ; Vocational education.</t>
  </si>
  <si>
    <t>Beginning the principalship - international views, Volume 44, Issue 4 : International Views</t>
  </si>
  <si>
    <t>Walker, Allan;Walker, Professor Allan</t>
  </si>
  <si>
    <t>LB2831.9 -- .B44 2006eb</t>
  </si>
  <si>
    <t>372.12;372.12012</t>
  </si>
  <si>
    <t>Leadership. ; School principals.</t>
  </si>
  <si>
    <t>Keepin' It Real : School Success Beyond Black and White</t>
  </si>
  <si>
    <t>Carter, Prudence L.</t>
  </si>
  <si>
    <t>Transgressing Boundaries: Studies in Black Politics and Black Communities Series</t>
  </si>
  <si>
    <t>LC1099.3.C374 2005</t>
  </si>
  <si>
    <t>Multicultural education -- United States. ; African American students -- Ethnic identity. ; Hispanic American students -- Ethnic identity. ; Academic achievement -- Social aspects -- United States.</t>
  </si>
  <si>
    <t>When Information Came of Age : Technologies of Knowledge in the Age of Reason and Revolution, 1700-1850</t>
  </si>
  <si>
    <t>Headrick, Daniel R.</t>
  </si>
  <si>
    <t>CB203.H39 2000</t>
  </si>
  <si>
    <t>Enlightenment. ; Information resources -- Europe -- History -- 18th century. ; Information resources -- Europe -- History -- 19th century. ; Learning and scholarship -- Europe -- History -- 18th century. ; Learning and scholarship -- Europe -- History -- 19th century. ; Europe -- Intellectual life -- 18th century. ; Europe -- Intellectual life -- 19th century.</t>
  </si>
  <si>
    <t>History; Social Science</t>
  </si>
  <si>
    <t>Romanische Sprachgeschichte / Histoire Linguistique de la Romania. 2. Teilband</t>
  </si>
  <si>
    <t>Walter de Gruyter</t>
  </si>
  <si>
    <t>De Gruyter, Inc.</t>
  </si>
  <si>
    <t>Berlin/Boston</t>
  </si>
  <si>
    <t>GERMANY</t>
  </si>
  <si>
    <t>Ernst, Gerhard;Gleß, Martin-Dietrich;Schmitt, Christian;Schweickard, Wolfgang</t>
  </si>
  <si>
    <t>Handbücher Zur Sprach- und Kommunikationswissenschaft / Handbooks of Linguistics and Communication Science [HSK] Series</t>
  </si>
  <si>
    <t>23/2</t>
  </si>
  <si>
    <t>PC45.R665eb t. 2</t>
  </si>
  <si>
    <t>Sociolinguistics / Soziolinguistik. Volume 3</t>
  </si>
  <si>
    <t>Ammon, Ulrich;Dittmar, Norbert;Mattheier, Klaus J.;Trudgill, Peter</t>
  </si>
  <si>
    <t>P40.S564eb Vol. 3</t>
  </si>
  <si>
    <t>Sociolinguistics. ; Language and culture.</t>
  </si>
  <si>
    <t>The Grammar of the English Tense System : A Comprehensive Analysis</t>
  </si>
  <si>
    <t>Basel/Berlin/Boston</t>
  </si>
  <si>
    <t>De Gruyter Mouton</t>
  </si>
  <si>
    <t>Reed, Susan;Cappelle, Bert</t>
  </si>
  <si>
    <t>Topics in English Linguistics [TiEL] Series</t>
  </si>
  <si>
    <t>PE1301.D36 2006</t>
  </si>
  <si>
    <t>Accountability for Learning : How Teachers and School Leaders Can Take Charge</t>
  </si>
  <si>
    <t>ASCD</t>
  </si>
  <si>
    <t>Association for Supervision &amp; Curriculum Development</t>
  </si>
  <si>
    <t>Reeves, Douglas B.</t>
  </si>
  <si>
    <t>LB1025.3 -- .R44 2004eb</t>
  </si>
  <si>
    <t>Teaching. ; Teaching -- Aids and devices.</t>
  </si>
  <si>
    <t>Beyond Discipline : From Compliance to Community, 10th Anniversary Edition</t>
  </si>
  <si>
    <t>Kohn, Alfie</t>
  </si>
  <si>
    <t>LB3011 .K64 2006</t>
  </si>
  <si>
    <t>Classroom management-United States. ; School discipline-United States.</t>
  </si>
  <si>
    <t>Concept-Rich Mathematics Instruction : Building a Strong Foundation for Reasoning and Problem Solving</t>
  </si>
  <si>
    <t>Ben-Hur, Meir</t>
  </si>
  <si>
    <t>QA11.2 .B455 2006</t>
  </si>
  <si>
    <t>Concepts. ; Mathematical analysis. ; Mathematics-Study and teaching-Methodology. ; Problem solving.</t>
  </si>
  <si>
    <t>Science: General; Mathematics</t>
  </si>
  <si>
    <t>Designing Personalized Learning for Every Student</t>
  </si>
  <si>
    <t>Ferguson, Dianne L.;Ralph, Ginevra;Ralph, Ginevra</t>
  </si>
  <si>
    <t>LB1031 -- .D445 2001eb</t>
  </si>
  <si>
    <t>371.39/4</t>
  </si>
  <si>
    <t>Children with disabilities -- Education. ; Curriculum planning. ; Individualized instruction.</t>
  </si>
  <si>
    <t>Handbook for Qualities of Effective Teachers</t>
  </si>
  <si>
    <t>Stronge, James H.;Tucker, Pamela D.;Hindman, Jennifer L.</t>
  </si>
  <si>
    <t>LB1025.3 -- .S77 2004eb</t>
  </si>
  <si>
    <t>Effective teaching -- Handbooks, manuals, etc. ; Teacher effectiveness -- Handbooks, manuals, etc.</t>
  </si>
  <si>
    <t>How to Coordinate Services for Students and Families</t>
  </si>
  <si>
    <t>Guthrie, Larry;Guthrie, Larry</t>
  </si>
  <si>
    <t>LB3013.4 -- .G88 1996eb</t>
  </si>
  <si>
    <t>371.2/022</t>
  </si>
  <si>
    <t>School social work -- United States. ; School children -- Services for -- United States -- Planning. ; School children -- United States -- Social conditions. ; School health services -- United States.</t>
  </si>
  <si>
    <t>How to Establish a High School Service Learning Program</t>
  </si>
  <si>
    <t>Witmer, Judith T.;Anderson, Carolyn S.</t>
  </si>
  <si>
    <t>LC220.5 -- .W58 1994eb</t>
  </si>
  <si>
    <t>Service learning -- United States. ; Education, Secondary -- United States.</t>
  </si>
  <si>
    <t>How to Form Networks for School Renewal</t>
  </si>
  <si>
    <t>Allen, Lew;Lunsford, Barbara</t>
  </si>
  <si>
    <t>LB1775.2 -- .A44 1995eb</t>
  </si>
  <si>
    <t>Teachers -- Social networks -- United States. ; Educational change -- United States.</t>
  </si>
  <si>
    <t>How to Make Presentations That Teach and Transform : Ascd</t>
  </si>
  <si>
    <t>Garmston, Robert J.;Wellman, Bruce, M.</t>
  </si>
  <si>
    <t>PN4121 .G3118 1992</t>
  </si>
  <si>
    <t>Public speaking. ; Visual communication.</t>
  </si>
  <si>
    <t>How to Solve Typical School Problems</t>
  </si>
  <si>
    <t>Ohle, Nancy;Morley, Cindy Lakin</t>
  </si>
  <si>
    <t>LB2805 -- .O45 1994eb</t>
  </si>
  <si>
    <t>School management and organization -- Case studies. ; Total quality management -- Case studies. ; Problem solving -- Case studies.</t>
  </si>
  <si>
    <t>How to Use Problem-Based Learning in the Classroom</t>
  </si>
  <si>
    <t>Delisle, Robert;Association for Supervision and Curriculum Development Staff</t>
  </si>
  <si>
    <t>LB1027.42 -- .D45 1997eb</t>
  </si>
  <si>
    <t>Problem-based learning. ; Active learning.</t>
  </si>
  <si>
    <t>Inspiring Active Learning</t>
  </si>
  <si>
    <t>Harmin, Merrill;Toth, Melanie</t>
  </si>
  <si>
    <t>LB1025.3 .H37 2006</t>
  </si>
  <si>
    <t>Active learning-Handbooks, manuals, etc. ; Motivation in education-Handbooks, manuals, etc. ; Teaching-Handbooks, manuals, etc.</t>
  </si>
  <si>
    <t>Observing Dimensions of Learning in Classrooms and Schools</t>
  </si>
  <si>
    <t>Brown, John</t>
  </si>
  <si>
    <t>LB1590.3 -- .B757 1995eb</t>
  </si>
  <si>
    <t>Thought and thinking -- Study and teaching. ; Observation (Educational method) ; Cognitive learning.</t>
  </si>
  <si>
    <t>On Becoming a School Leader : A Person-Centered Challenge</t>
  </si>
  <si>
    <t>Combs, Arthur W.;Miser, Ann B.;Whitaker, Kathryn S.;Miser, Ann B;Whitaker, Kathryn S</t>
  </si>
  <si>
    <t>LB2806 -- .C649 1999eb</t>
  </si>
  <si>
    <t>Educational leadership. ; School management and organization.</t>
  </si>
  <si>
    <t>The Power of Paideia Schools : Defining Lives Through Learning</t>
  </si>
  <si>
    <t>Roberts, Terry;the Staff of the National Paideia Center</t>
  </si>
  <si>
    <t>LB2822.82 -- .P69 1998eb</t>
  </si>
  <si>
    <t>370.11/2</t>
  </si>
  <si>
    <t>National Paideia Center. ; School improvement programs -- United States. ; Basic education -- United States. ; Education, Humanistic -- United States. ; Curriculum change -- United States.</t>
  </si>
  <si>
    <t>The Essentials of Mathematics, K-6 : Effective Curriculum, Instruction, and Assessment (Priorities in Practice)</t>
  </si>
  <si>
    <t>Checkley, Kathy</t>
  </si>
  <si>
    <t>QA135.6 -- .C525 2006eb</t>
  </si>
  <si>
    <t>The Essentials of Mathematics, Grades 7-12 : Effective Curriculum, Instruction, and Assessment (Priorities in Practice)</t>
  </si>
  <si>
    <t>Priorities in Practice Series</t>
  </si>
  <si>
    <t>QA135.6 -- .C524 2006eb</t>
  </si>
  <si>
    <t>510.71/2</t>
  </si>
  <si>
    <t>Educational leadership. ; Mathematics -- Study and teaching (Middle school) ; Mathematics -- Study and teaching (Secondary) ; Teacher participation in curriculum planning.</t>
  </si>
  <si>
    <t>Research-Based Methods of Reading Instruction, Grades K-3</t>
  </si>
  <si>
    <t>Vaughn, Sharon;Linan-Thompson, Sylvia</t>
  </si>
  <si>
    <t>LB1525 .V34 2004</t>
  </si>
  <si>
    <t>Reading (Primary)-United States. ; English language-Study and teaching (Primary)-United States.</t>
  </si>
  <si>
    <t>Results Now : How We Can Achieve Unprecedented Improvements in Teaching and Learning</t>
  </si>
  <si>
    <t>Schmoker, Mike</t>
  </si>
  <si>
    <t>LB2822.82 .S356 2006</t>
  </si>
  <si>
    <t>371.2/03</t>
  </si>
  <si>
    <t>Education-Aims and objectives-United States. ; Educational change-United States. ; School improvement programs-United States.</t>
  </si>
  <si>
    <t>Supervision for Learning : A Performance-Based Approach to Teacher Development and School Improvement</t>
  </si>
  <si>
    <t>Aseltine, James M.;Faryniarz, Judith O.</t>
  </si>
  <si>
    <t>LB2838 .A765 2006</t>
  </si>
  <si>
    <t>Teachers-Rating of-United States. ; Teachers-In-service training-United States.</t>
  </si>
  <si>
    <t>Sustaining Change in Schools : How to Overcome Differences and Focus on Quality</t>
  </si>
  <si>
    <t>Johnson, Daniel P.</t>
  </si>
  <si>
    <t>LB2806 -- .J584 2005eb</t>
  </si>
  <si>
    <t>School management and organization -- United States. ; Educational leadership -- United States. ; Typology (Psychology)</t>
  </si>
  <si>
    <t>The Educator's Guide to Preventing and Solving Discipline Problems</t>
  </si>
  <si>
    <t>Boynton, Mark;Boynton, Christine</t>
  </si>
  <si>
    <t>LB3011 .B63 2005</t>
  </si>
  <si>
    <t>The Mathematics Program Improvement Review : A Comprehensive Evaluation Process for K-12 Schools</t>
  </si>
  <si>
    <t>Pelfrey, Ron</t>
  </si>
  <si>
    <t>QA13 -- .P45 2006eb</t>
  </si>
  <si>
    <t>510/.71/273</t>
  </si>
  <si>
    <t>Mathematical readiness -- Evaluation. ; Mathematics -- Study and teaching -- United States -- Evaluation.</t>
  </si>
  <si>
    <t>The Unfinished Revolution : Learning, Human Behavior, Community, and Political Paradox</t>
  </si>
  <si>
    <t>Abbott, John;Ryan, Terry, Jr.;Ryan, Terry</t>
  </si>
  <si>
    <t>LB1060 -- .A25 2001eb</t>
  </si>
  <si>
    <t>Learning, Psychology of. ; Community education. ; Educational change.</t>
  </si>
  <si>
    <t>Winning Strategies for Classroom Management : Ascd</t>
  </si>
  <si>
    <t>Cummings, Carol;Cummings, Carol</t>
  </si>
  <si>
    <t>LB3013 -- .C84 2000eb</t>
  </si>
  <si>
    <t>Classroom management -- United States. ; Effective teaching -- United States. ; Self-management (Psychology) -- Study and teaching -- United States.</t>
  </si>
  <si>
    <t>Is Violence Inevitable in Africa? : Theories of Conflict and Approaches to Conflict Prevention</t>
  </si>
  <si>
    <t>Chabal, Patrick;Engel, Ulf;Gentili, Anna-Maria</t>
  </si>
  <si>
    <t>Africa-Europe Group for Interdisciplinary Studies</t>
  </si>
  <si>
    <t>DT30.5 -- .I65 2005eb</t>
  </si>
  <si>
    <t>Le Collège de Dormans-Beauvais à la Fin du Moyen Âge : Stratégies Politiques et Parcours Individuels à l'Université de Paris (1370-1458)</t>
  </si>
  <si>
    <t>Kouamé, Thierry</t>
  </si>
  <si>
    <t>Education and Society in the Middle Ages and Renaissance Series</t>
  </si>
  <si>
    <t>LF2395.P2 -- K68 2005eb</t>
  </si>
  <si>
    <t>Collège de Dormans-Beauvais (Paris, France)</t>
  </si>
  <si>
    <t>Religion and Education among Latinos in New York City</t>
  </si>
  <si>
    <t>Pantoja, Segundo</t>
  </si>
  <si>
    <t>Religion in the Americas Series</t>
  </si>
  <si>
    <t>LC2675.N7 -- P36 2005eb</t>
  </si>
  <si>
    <t>371.82968/0747/1</t>
  </si>
  <si>
    <t>Schriften im Umkreis mitteleuropäischer Universitäten um 1400 : Lateinische und Volkssprachige Texte aus Prag, Wien und Heidelberg: Unterschiede, Gemeinsam-keiten, Wechselbeziehungen</t>
  </si>
  <si>
    <t>Knapp, Fritz Peter;Miethke, Jurgen;Niesner, Manuela</t>
  </si>
  <si>
    <t>LA627.A2 -- S37 2004eb</t>
  </si>
  <si>
    <t>378.43/09024</t>
  </si>
  <si>
    <t>Universities and colleges -- Europe, Central -- History -- 15th century -- Sources.</t>
  </si>
  <si>
    <t>The Iter Italicum and the Northern Netherlands : Dutch Students at Italian Universities and Their Role in the Netherlands' Society (1426-1575)</t>
  </si>
  <si>
    <t>Tervoort, Ad</t>
  </si>
  <si>
    <t>LC6681 -- .T47 2005eb</t>
  </si>
  <si>
    <t>378.1/98293/31045</t>
  </si>
  <si>
    <t>The Art of Teaching</t>
  </si>
  <si>
    <t>Parini, Jay</t>
  </si>
  <si>
    <t>LA2317.P335A3 2005</t>
  </si>
  <si>
    <t>Parini, Jay. ; College teachers -- United States -- Biography. ; College teaching -- Vocational guidance.</t>
  </si>
  <si>
    <t>Revealing the Inner Worlds of Young Children : The MacArthur Story Stem Battery and Parent-Child Narratives</t>
  </si>
  <si>
    <t>Emde, Robert N.;Wolf, Dennis P.;Oppenheim, David;Wolf, Dennis P.</t>
  </si>
  <si>
    <t>BF723.S74 -- A37 2003eb</t>
  </si>
  <si>
    <t>Storytelling ability in children. ; Cognition in children. ; Children -- Language.</t>
  </si>
  <si>
    <t>Helping Children with Autism Learn : Treatment Approaches for Parents and Professionals</t>
  </si>
  <si>
    <t>Siegel, Bryna;Siegel</t>
  </si>
  <si>
    <t>LC4717.S54 2003</t>
  </si>
  <si>
    <t>Autistic children -- Education. ; Communicative disorders in children -- Treatment. ; Learning disabilities -- Treatment.</t>
  </si>
  <si>
    <t>Learning to Live Together : Preventing Hatred and Violence in Child and Adolescent Development</t>
  </si>
  <si>
    <t>Hamburg, David A.;Hamburg, Beatrix A.;Hamburg, David A.</t>
  </si>
  <si>
    <t>LB1117.H36 2004</t>
  </si>
  <si>
    <t>Child development -- United States. ; Socialization -- United States. ; Multicultural education -- United States. ; Conflict management -- United States.</t>
  </si>
  <si>
    <t>Action Meets Word : How Children Learn Verbs</t>
  </si>
  <si>
    <t>Hirsh-Pasek, Kathy;Michnick Golinkoff, Roberta;Golinkoff, Roberta Michnick</t>
  </si>
  <si>
    <t>P118.A174 2006eb</t>
  </si>
  <si>
    <t>401/.93</t>
  </si>
  <si>
    <t>Language acquisition.;Grammar, Comparative and general -- Verb.; ; ; ; ;</t>
  </si>
  <si>
    <t>Handbook of Bilingualism : Psycholinguistic Approaches</t>
  </si>
  <si>
    <t>Kroll, Judith F.;De Groot, Annette M. B.;Kroll, Judith F.</t>
  </si>
  <si>
    <t>P115.4.H36 2005</t>
  </si>
  <si>
    <t>404/.2019</t>
  </si>
  <si>
    <t>Bilingualism -- Psychological aspects. ; Psycholinguistics.</t>
  </si>
  <si>
    <t>Copperhead Gore : Benjamin Wood's Fort Lafayette and Civil War America</t>
  </si>
  <si>
    <t>Blondheim, Menahem;Blondheim, Menahem</t>
  </si>
  <si>
    <t>PS3349.W3 -- F67 2006eb</t>
  </si>
  <si>
    <t>813/.4</t>
  </si>
  <si>
    <t>Pacifism -- Fiction. ; United States -- History -- Civil War, 1861-1865 -- Fiction.</t>
  </si>
  <si>
    <t>Psychology of Academic Cheating</t>
  </si>
  <si>
    <t>Anderman, Eric M.;Murdock, Tamera B.</t>
  </si>
  <si>
    <t>LB3609 -- .P79 2007eb</t>
  </si>
  <si>
    <t>Cheating (Education)</t>
  </si>
  <si>
    <t>Investigating Tasks in Formal Language Learning</t>
  </si>
  <si>
    <t>García Mayo, María del Pilar;García Mayo, María del Pilar</t>
  </si>
  <si>
    <t>P53.82.I58 2007</t>
  </si>
  <si>
    <t>Language and languages--Study and teaching. ; Task analysis in education.</t>
  </si>
  <si>
    <t>Multilingualism in European Bilingual Contexts : Language Use and Attitudes</t>
  </si>
  <si>
    <t>Lasagabaster, David;Huguet, Ángel</t>
  </si>
  <si>
    <t>P115.5.E85M87 2007</t>
  </si>
  <si>
    <t>404/.2094</t>
  </si>
  <si>
    <t>Multilingualism--Europe. ; Bilingualism--Europe. ; Language awareness--Europe.</t>
  </si>
  <si>
    <t>Cross-Linguistic Similarity in Foreign Language Learning</t>
  </si>
  <si>
    <t>Ringbom, Håkan;Ringbom, Håkan;Ringbom, Håkan</t>
  </si>
  <si>
    <t>P53.777.R56 2007</t>
  </si>
  <si>
    <t>418.001/9</t>
  </si>
  <si>
    <t>Language and languages--Study and teaching. ; Similarity (Language learning).</t>
  </si>
  <si>
    <t>Input for Instructed L2 Learners : The Relevance of Relevance</t>
  </si>
  <si>
    <t>Niżegorodcew, Anna;Niżegorodcew, Anna</t>
  </si>
  <si>
    <t>P53.N57 2007</t>
  </si>
  <si>
    <t>Language and languages--Study and teaching. ; Second language acquisition. ; Discourse analysis. ; Language and education.</t>
  </si>
  <si>
    <t>Bilingualism in International Schools : A Model for Enriching Language Education</t>
  </si>
  <si>
    <t>Carder, Maurice</t>
  </si>
  <si>
    <t>P53.25 -- .C37 2007eb</t>
  </si>
  <si>
    <t>370.117/5</t>
  </si>
  <si>
    <t>Language and languages -- Study and teaching -- Bilingual method. ; Education, Bilingual. ; English language -- Study and teaching -- Foreign speakers. ; International education.</t>
  </si>
  <si>
    <t>Language and Identity in a Dual Immersion School</t>
  </si>
  <si>
    <t>Potowski, Kim</t>
  </si>
  <si>
    <t>P53.44.P68 2007</t>
  </si>
  <si>
    <t>Language and languages--Study and teaching (Elementary). ; Immersion method (Language teaching). ; Anthropological linguistics.</t>
  </si>
  <si>
    <t>Education, Literacy, and Humanization : Exploring the Work of Paulo Freire</t>
  </si>
  <si>
    <t>Roberts, Peter</t>
  </si>
  <si>
    <t>Critical Studies in Education and Culture Series</t>
  </si>
  <si>
    <t>LB880.F732R62 2000</t>
  </si>
  <si>
    <t>Freire, Paulo, -- 1921-1997. ; Education -- Philosophy. ; Popular education. ; Critical pedagogy.</t>
  </si>
  <si>
    <t>Homework : Motivation and Learning Preference</t>
  </si>
  <si>
    <t>Hong, Eunsook;Milgram, Roberta M.;Eunsook Hong</t>
  </si>
  <si>
    <t>LB1048.H69 2000</t>
  </si>
  <si>
    <t>370.15/4</t>
  </si>
  <si>
    <t>Homework -- Psychological aspects. ; Motivation in education.</t>
  </si>
  <si>
    <t>Evaluating, Improving, and Judging Faculty Performance in Two-Year Colleges</t>
  </si>
  <si>
    <t>Finley, Charles;Miller, Richard I.;Vancko, Candace S.;Vancko, Candace Shedd</t>
  </si>
  <si>
    <t>LB2333.M49 2000</t>
  </si>
  <si>
    <t>378.1/224</t>
  </si>
  <si>
    <t>Community college teachers -- Rating of -- United States. ; Community college teachers -- In-service training -- United States.</t>
  </si>
  <si>
    <t>Managing Colleges and Universities : Issues for Leadership</t>
  </si>
  <si>
    <t>Hoffman, Allan M.;Summers, Randal W.</t>
  </si>
  <si>
    <t>LB2341.M2779 2000</t>
  </si>
  <si>
    <t>Universities and colleges -- United States -- Administration</t>
  </si>
  <si>
    <t>Leaders in the Crucible : The Moral Voice of College Presidents</t>
  </si>
  <si>
    <t>Nelson, Stephen J.</t>
  </si>
  <si>
    <t>LB2341.N386 2000</t>
  </si>
  <si>
    <t>378.1/11</t>
  </si>
  <si>
    <t>Educational leadership -- Moral and ethical aspects -- United States</t>
  </si>
  <si>
    <t>Collaboration Uncovered : The Forgotten, the Assumed, and the Unexamined in Collaborative Education</t>
  </si>
  <si>
    <t>Richards, Merle;Elliott, Anne;Woloshyn, Vera;Mitchell, Coral;Mitchell, Coral</t>
  </si>
  <si>
    <t>LB1028.C57214 2001</t>
  </si>
  <si>
    <t>378.1/04</t>
  </si>
  <si>
    <t>Education -- Research. ; Group work in education. ; University cooperation. ; College-school cooperation.</t>
  </si>
  <si>
    <t>Designing Authenticity into Language Learning Materials</t>
  </si>
  <si>
    <t>Intellect, Limited</t>
  </si>
  <si>
    <t>Bristol</t>
  </si>
  <si>
    <t>Mishan, Frieda</t>
  </si>
  <si>
    <t>P53M57 2003</t>
  </si>
  <si>
    <t>Teaching - Aids and devices</t>
  </si>
  <si>
    <t>Critical Studies in Art and Design Education</t>
  </si>
  <si>
    <t>Hickman, Richard</t>
  </si>
  <si>
    <t>Readings in Art and Design Education Series</t>
  </si>
  <si>
    <t>N185.C75 2005</t>
  </si>
  <si>
    <t>Art -- Study and teaching. ; Design -- Study and teaching.</t>
  </si>
  <si>
    <t>ICT for Curriculum Enhancement</t>
  </si>
  <si>
    <t>Monteith, Moira</t>
  </si>
  <si>
    <t>LB1028.5.M66 2004</t>
  </si>
  <si>
    <t>Computer network resources</t>
  </si>
  <si>
    <t>The Search for Mind : Second Edition</t>
  </si>
  <si>
    <t>Ó Nualláin, Seán</t>
  </si>
  <si>
    <t>BF311.O58 2002</t>
  </si>
  <si>
    <t>Cognitive science. ; Interdisciplinary approach to knowledge. ; Philosophy of mind.</t>
  </si>
  <si>
    <t>Understanding Virtual Universities</t>
  </si>
  <si>
    <t>Rada, Roy</t>
  </si>
  <si>
    <t>LB2395.7.R33 2001</t>
  </si>
  <si>
    <t>378/.00285</t>
  </si>
  <si>
    <t>Education, Higher - Effect of technological innovations on</t>
  </si>
  <si>
    <t>Art Education in a Postmodern World : Collected Essays</t>
  </si>
  <si>
    <t>Hardy, Tom;Steers, John</t>
  </si>
  <si>
    <t>N85.A656 2006</t>
  </si>
  <si>
    <t>Arts. ; Art -- Study and teaching.</t>
  </si>
  <si>
    <t>Transforming Teacher Education : Lessons in Professional Development</t>
  </si>
  <si>
    <t>Sockett, Hugh T.;DeMulder, Elizabeth K.;LePage, Pamela C.;Wood, Diane R.</t>
  </si>
  <si>
    <t>LB1715.T673 2001</t>
  </si>
  <si>
    <t>370/.71/173</t>
  </si>
  <si>
    <t>Teachers -- Training of -- United States. ; Teachers -- In-service training -- United States.</t>
  </si>
  <si>
    <t>If You Build It, They Will Learn : 17 Devices for Demonstrating Physical Science</t>
  </si>
  <si>
    <t>Yeany, Bruce</t>
  </si>
  <si>
    <t>LB1585.Y43 2006</t>
  </si>
  <si>
    <t>Science -- Study and teaching (Elementary) -- Activity programs. ; Science -- Study and teaching (Middle school) -- Activity programs.</t>
  </si>
  <si>
    <t>Exemplary Science in Grades PreK-4 : Standards-Based Success Stories</t>
  </si>
  <si>
    <t>Enger, Sandra K.;Yager, Robert Eugene</t>
  </si>
  <si>
    <t>LB1139.5.S35Y34 2006</t>
  </si>
  <si>
    <t>Science -- Study and teaching (Early childhood)</t>
  </si>
  <si>
    <t>All in a Day's Work : Careers Using Science</t>
  </si>
  <si>
    <t>Sullivan, Megan</t>
  </si>
  <si>
    <t>Q149.U5S92 2007</t>
  </si>
  <si>
    <t>Science -- Vocational guidance -- United States. ; Science.</t>
  </si>
  <si>
    <t>Start with a Story : The Case Study Method of Teaching College Science</t>
  </si>
  <si>
    <t>Herreid, Clyde Freeman</t>
  </si>
  <si>
    <t>Q183.3.A1H44 2006</t>
  </si>
  <si>
    <t>Science -- Study and teaching (Higher) -- United States. ; Science -- Study and teaching -- Case studies. ; Teachers -- Training of -- Case studies.</t>
  </si>
  <si>
    <t>Handbook of College Science Teaching</t>
  </si>
  <si>
    <t>Mintzes, Joel J.;Leonard, William H.</t>
  </si>
  <si>
    <t>Q183.3.A1H35 2006</t>
  </si>
  <si>
    <t>507.1/1</t>
  </si>
  <si>
    <t>Science -- Study and teaching (Higher) -- United States -- Handbooks, manuals, etc.</t>
  </si>
  <si>
    <t>Liberty and Learning : Milton Friedman's Voucher Idea at Fifty</t>
  </si>
  <si>
    <t>Enlow, Robert C.;Ealy, Lenore T.;Ealy, Lenore F</t>
  </si>
  <si>
    <t>LB2825 -- .L33 2006eb</t>
  </si>
  <si>
    <t>379.1/110973</t>
  </si>
  <si>
    <t>Friedman, Milton, -- 1912-2006. ; Educational vouchers -- United States.</t>
  </si>
  <si>
    <t>Academic Journals and Academic Publishing</t>
  </si>
  <si>
    <t>Svensson, Goran;Svensson, Goran</t>
  </si>
  <si>
    <t>Z286.S37 -- A33 2006eb</t>
  </si>
  <si>
    <t>Scholarly publishing. ; Scholarly periodicals.</t>
  </si>
  <si>
    <t>Publishing</t>
  </si>
  <si>
    <t>Academic Library and Information Services : New paradigms for the digital age</t>
  </si>
  <si>
    <t>Lossau, Norbert;Rahmsdorf , Sabine;Rahmsdorf, Sabine</t>
  </si>
  <si>
    <t>Z665 -- .A33 2006eb</t>
  </si>
  <si>
    <t>Local government -- Great Britain. ; Public administration -- Great Britain. ; Gobierno local. ; Administración pública. ; Gran Bretaña.</t>
  </si>
  <si>
    <t>Library Science</t>
  </si>
  <si>
    <t>British library and information schools : the research of the Department of Information Studies, University of Wales Aberystwyth</t>
  </si>
  <si>
    <t>Tedd, Lucy A.;Ellis, David;Ellis, David</t>
  </si>
  <si>
    <t>Z669.3 -- .B75 2006eb</t>
  </si>
  <si>
    <t>Library schools -- Wales. ; Library education -- Wales.</t>
  </si>
  <si>
    <t>Challenges for Integrating Work and Learning</t>
  </si>
  <si>
    <t>Hager, Paul;Brown, Tony;Brown, Tony</t>
  </si>
  <si>
    <t>HF5549.5.T7 -- C43 2006eb</t>
  </si>
  <si>
    <t>Employees -- Training of. ; Employer-supported education.</t>
  </si>
  <si>
    <t>Economics; Business/Management</t>
  </si>
  <si>
    <t>Contemporary Issues in Vocational Education and Training : An SME Perspective</t>
  </si>
  <si>
    <t>Matlay, Harry;Matlay, Dr Harry</t>
  </si>
  <si>
    <t>LC1043 -- .C66 2006eb</t>
  </si>
  <si>
    <t>374.013;374.013094</t>
  </si>
  <si>
    <t>Vocational education. ; Vocational guidance.</t>
  </si>
  <si>
    <t>LOEX-of-the-West 2006</t>
  </si>
  <si>
    <t>Tag, Sylvia;Tag, Sylvia</t>
  </si>
  <si>
    <t>ZA3075 -- .L64 2006eb</t>
  </si>
  <si>
    <t>Information literacy -- Study and teaching (Higher) ; Information services -- User education.</t>
  </si>
  <si>
    <t>Public policy on democratizing access to education for marginalized groups</t>
  </si>
  <si>
    <t>Gatta, Mary;Gatta, Mary</t>
  </si>
  <si>
    <t>LC71 -- .P83 2006eb</t>
  </si>
  <si>
    <t>Educational change. ; Women -- Employment.</t>
  </si>
  <si>
    <t>Storytelling in a Liminal Time</t>
  </si>
  <si>
    <t>Sax, Dr Boria;Sax, Boria</t>
  </si>
  <si>
    <t>Q360 -- .S86 2006eb</t>
  </si>
  <si>
    <t>Storytelling. ; Information theory.</t>
  </si>
  <si>
    <t>Science; Literature</t>
  </si>
  <si>
    <t>Doing More with Life : Connecting Christian Higher Education to a Call to Service</t>
  </si>
  <si>
    <t>Baylor University Press</t>
  </si>
  <si>
    <t>Miller, Michael R.</t>
  </si>
  <si>
    <t>Studies in Religion and Higher Education #3</t>
  </si>
  <si>
    <t>BV4740 -- .D65 2007eb</t>
  </si>
  <si>
    <t>248.8/34</t>
  </si>
  <si>
    <t>Filología -- Publicaciones periódicas. ; Lenguaje -- Lenguas -- Didáctica -- Publicaciones periódicas. ; Philology, Modern -- Study and teaching -- Periodicals. ; Language and languages -- Periodicals. ; Filologia -- Publicaciones periodicas ; Libros electronicos.</t>
  </si>
  <si>
    <t>School Money Trials : The Legal Pursuit of Educational Adequacy</t>
  </si>
  <si>
    <t>West, Martin R.;Peterson, Paul E.</t>
  </si>
  <si>
    <t>KF4155.S36 2007</t>
  </si>
  <si>
    <t>Education - Finance - Law and legislation - United States - States</t>
  </si>
  <si>
    <t>Assessment for Learning</t>
  </si>
  <si>
    <t>McGraw-Hill UK (Open University Press)</t>
  </si>
  <si>
    <t>McGraw-Hill Education</t>
  </si>
  <si>
    <t>Maidenhead</t>
  </si>
  <si>
    <t>Open University Press</t>
  </si>
  <si>
    <t>Black, Paul;Harrison, Chris;Lee, Clara;Marshall, Bethan;Wiliam, Dylan</t>
  </si>
  <si>
    <t>UK Higher Education OUP Humanities and Social Sciences Education OUP Series</t>
  </si>
  <si>
    <t>LB3056.E54 -- A87 2003eb</t>
  </si>
  <si>
    <t>Becoming a Researcher : A Research Companion for the Social Sciences</t>
  </si>
  <si>
    <t>Dunne, Mairead;Pryor, John;Yates, Paul</t>
  </si>
  <si>
    <t>Q180.A1 -- D86 2005eb</t>
  </si>
  <si>
    <t>Research. ; Research -- Methodology.</t>
  </si>
  <si>
    <t>Birth to Three Matters : Supporting the Framework of Effective Practice</t>
  </si>
  <si>
    <t>Berkshire</t>
  </si>
  <si>
    <t>Abbott, Lesley;Langston, Ann</t>
  </si>
  <si>
    <t>LB1139.23 -- .B57 2005eb</t>
  </si>
  <si>
    <t>Early childhood education. ; Education.</t>
  </si>
  <si>
    <t>Brief Counselling: a Practical Integrative Approach</t>
  </si>
  <si>
    <t>Feltham, Colin;Dryden, Windy.</t>
  </si>
  <si>
    <t>UK Higher Education OUP Humanities and Social Sciences Counselling and Psychotherapy Series</t>
  </si>
  <si>
    <t>BF636.7.S57 -- F45 2006eb</t>
  </si>
  <si>
    <t>Short-term counseling.</t>
  </si>
  <si>
    <t>Developing Leadership: Creating the Schools of Tomorrow</t>
  </si>
  <si>
    <t>Coles, Martin;Southworth, Geoff</t>
  </si>
  <si>
    <t>LB2806 .C66 2005</t>
  </si>
  <si>
    <t>Engaging the Curriculum</t>
  </si>
  <si>
    <t>Barnett, Ronald;Coate, Kelly</t>
  </si>
  <si>
    <t>LB2361 -- .B37 2005eb</t>
  </si>
  <si>
    <t>Ethical Research with Children</t>
  </si>
  <si>
    <t>Farrell, Ann</t>
  </si>
  <si>
    <t>HQ767.85 -- .E74 2005eb</t>
  </si>
  <si>
    <t>Children -- Research. ; Research -- Moral and ethical aspects.</t>
  </si>
  <si>
    <t>Social Science; Philosophy</t>
  </si>
  <si>
    <t>Gender Equity in the Early Years</t>
  </si>
  <si>
    <t>LB1139.23 -- .B76 2004eb</t>
  </si>
  <si>
    <t>Early childhood education. ; Sex role in children. ; Sexism in preschool education.</t>
  </si>
  <si>
    <t>ICT and Special Educational Needs</t>
  </si>
  <si>
    <t>Florian, Lani;Hegarty, John</t>
  </si>
  <si>
    <t>LC3959.5 -- .I28 2004eb</t>
  </si>
  <si>
    <t>371.9/04334</t>
  </si>
  <si>
    <t>Special education -- Computer-assisted instruction. ; Mainstreaming in education.</t>
  </si>
  <si>
    <t>Managing Research</t>
  </si>
  <si>
    <t>Bushaway, Robert</t>
  </si>
  <si>
    <t>UK Higher Education OUP Humanities and Social Sciences Higher Education OUP Series</t>
  </si>
  <si>
    <t>Q180.55.M3 B88 2003</t>
  </si>
  <si>
    <t>378/.007/2</t>
  </si>
  <si>
    <t>Research-Management-Great Britain.</t>
  </si>
  <si>
    <t>Science; Education</t>
  </si>
  <si>
    <t>Medical Education</t>
  </si>
  <si>
    <t>Fish, Della;Coles, Colin</t>
  </si>
  <si>
    <t>UK Higher Education OUP Humanities and Social Sciences Health and Social Welfare Series</t>
  </si>
  <si>
    <t>R834 -- .F57 2005eb</t>
  </si>
  <si>
    <t>Medical education -- Curricula. ; Curriculum planning. ; Medicine -- Study and teaching.</t>
  </si>
  <si>
    <t>Observing Harry</t>
  </si>
  <si>
    <t>Arnold, Cath</t>
  </si>
  <si>
    <t>HQ767.9 .A76 2003</t>
  </si>
  <si>
    <t>Child development.</t>
  </si>
  <si>
    <t>On Becoming an Innovative University Teacher : Reflection in Action</t>
  </si>
  <si>
    <t>Cowan, John</t>
  </si>
  <si>
    <t>LB2331 .C68 2006</t>
  </si>
  <si>
    <t>College teaching. ; Reflection (Philosophy)-Study and teaching (Higher) ; College teachers-Training of. ; Experiential learning. ; Educational innovations.</t>
  </si>
  <si>
    <t>Professional Knowledge, Professional Lives</t>
  </si>
  <si>
    <t>Goodson, Ivor</t>
  </si>
  <si>
    <t>LB1705 -- .G662 2003eb</t>
  </si>
  <si>
    <t>Teaching. ; Educational change. ; Teachers -- Training of.</t>
  </si>
  <si>
    <t>Research Interviewing: the Range of Techniques</t>
  </si>
  <si>
    <t>Gillham, Bill</t>
  </si>
  <si>
    <t>UK Higher Education OUP Humanities and Social Sciences Study Skills Series</t>
  </si>
  <si>
    <t>H61.28 .G55 2005</t>
  </si>
  <si>
    <t>Research-Methodology. ; Interviewing.</t>
  </si>
  <si>
    <t>Social Science; General Works/Reference</t>
  </si>
  <si>
    <t>Supporting Creativity and Imagination in the Early Years</t>
  </si>
  <si>
    <t>Duffy, Bernadette</t>
  </si>
  <si>
    <t>LB1062 .D84 2006</t>
  </si>
  <si>
    <t>Imagination in children. ; Creative ability in children. ; Early childhood education.</t>
  </si>
  <si>
    <t>Teaching Mathematics 3-5</t>
  </si>
  <si>
    <t>Gifford, Sue</t>
  </si>
  <si>
    <t>QA135.6 -- .G57 2005eb</t>
  </si>
  <si>
    <t>Mathematics -- Study and teaching (Early childhood) -- Great Britain.</t>
  </si>
  <si>
    <t>The Ethical Teacher</t>
  </si>
  <si>
    <t>Campbell, Elizabeth</t>
  </si>
  <si>
    <t>LB1779 .C35 2003</t>
  </si>
  <si>
    <t>Teaching-Moral and ethical aspects. ; Teachers-Professional ethics. ; Moral education.</t>
  </si>
  <si>
    <t>Quick Hits for Educating Citizens : Successful Strategies by Award Winning Teachers</t>
  </si>
  <si>
    <t>Perry, James L.;Jones, Steven;Orr</t>
  </si>
  <si>
    <t>LC220.5 -- .Q53 2006eb</t>
  </si>
  <si>
    <t>378.1/03</t>
  </si>
  <si>
    <t>Service learning -- United States. ; Service learning -- Curricula -- United States. ; Political participation -- United States.</t>
  </si>
  <si>
    <t>Future-Focused Leadership : Preparing Schools, Students, and Communities for Tomorrow's Realities</t>
  </si>
  <si>
    <t>Manx, Gary</t>
  </si>
  <si>
    <t>LB2805 .M2843 2006</t>
  </si>
  <si>
    <t>Educational leadership. ; School management and organization. ; Leadership.</t>
  </si>
  <si>
    <t>Activating the Desire to Learn</t>
  </si>
  <si>
    <t>Sullo, Bob</t>
  </si>
  <si>
    <t>LB1065 .S863 2007</t>
  </si>
  <si>
    <t>Achievement motivation in adolescence. ; Effective teaching. ; Learning. ; Motivation (Psychology) ; Motivation in education.</t>
  </si>
  <si>
    <t>Getting Started with English Language Learners : How Educators Can Meet the Challenge</t>
  </si>
  <si>
    <t>Haynes, Judie</t>
  </si>
  <si>
    <t>LC3725 -- .H39 2007eb</t>
  </si>
  <si>
    <t>428.2/4</t>
  </si>
  <si>
    <t>Linguistic minorities -- Education (Elementary) -- United States. ; Children of immigrants -- Education (Elementary) -- United States. ; English language -- Study and teaching (Elementary) -- United States -- Foreign speakers.</t>
  </si>
  <si>
    <t>Qualities of Effective Teachers</t>
  </si>
  <si>
    <t>Stronge, James H.</t>
  </si>
  <si>
    <t>LB1025.3 -- .S789 2007eb</t>
  </si>
  <si>
    <t>Effective teaching. ; Teacher effectiveness.</t>
  </si>
  <si>
    <t>Enhancing Professional Practice : A Framework for Teaching</t>
  </si>
  <si>
    <t>Danielson, Charlotte</t>
  </si>
  <si>
    <t>LB1025.3 .D35 2007</t>
  </si>
  <si>
    <t>371.1/02</t>
  </si>
  <si>
    <t>Teaching. ; Classroom environment. ; Educational planning.</t>
  </si>
  <si>
    <t>The Best Schools : How Human Development Research Should Inform Educational Practice</t>
  </si>
  <si>
    <t>Armstrong, Thomas</t>
  </si>
  <si>
    <t>LB1131 -- .A729 2006eb</t>
  </si>
  <si>
    <t>Literature; Education</t>
  </si>
  <si>
    <t>Creating Dynamic Schools Through Mentoring, Coaching, and Collaboration</t>
  </si>
  <si>
    <t>Carr, Judy F.;Herman, Nancy</t>
  </si>
  <si>
    <t>LB2806.4 .C37 2005</t>
  </si>
  <si>
    <t>School supervision. ; Mentoring in education. ; Group work in education.</t>
  </si>
  <si>
    <t>Resilient School Leaders : Strategies for Turning Adversity into Achievement</t>
  </si>
  <si>
    <t>Patterson, Jerry L.;Kelleher, Paul</t>
  </si>
  <si>
    <t>LB2805 -- .P33184 2005eb</t>
  </si>
  <si>
    <t>School management and organization. ; Educational leadership.</t>
  </si>
  <si>
    <t>The Essentials of Science, Grades K-6 : Effective Curriculum, Instruction, and Assessment (Priorities in Practice)</t>
  </si>
  <si>
    <t>Allen, Rick</t>
  </si>
  <si>
    <t>Q181 .A415 2006</t>
  </si>
  <si>
    <t>Science-Study and teaching (Elementary)-Methodology. ; Science-Study and teaching-Methodology. ; Teachers-Training of.</t>
  </si>
  <si>
    <t>A Handbook for Classroom Management That Works</t>
  </si>
  <si>
    <t>Marzano, Robert J.;Gaddy, Barbara B.;Foseid, Maria C.;Foseid, Mark P.;Marzano, Jana S.</t>
  </si>
  <si>
    <t>LB3013.H36 2005</t>
  </si>
  <si>
    <t>Managing Your Classroom with Heart : A Guide for Nurturing Adolescent Learners</t>
  </si>
  <si>
    <t>Ridnouer, Katy</t>
  </si>
  <si>
    <t>LB3013 .R526 2006</t>
  </si>
  <si>
    <t>Classroom management. ; Teacher-student relationships. ; Teenagers-Education.</t>
  </si>
  <si>
    <t>Education, Ethics and the "cult of efficiency" : Implications for values and leadership</t>
  </si>
  <si>
    <t>Begley, Paul T.;Stefkovich, Jaqueline A.</t>
  </si>
  <si>
    <t>BJ1012 -- .B44 2004eb</t>
  </si>
  <si>
    <t>Ethics. ; Moral education.</t>
  </si>
  <si>
    <t>E-learning</t>
  </si>
  <si>
    <t>Roffe, Ian</t>
  </si>
  <si>
    <t>LC5800 -- .R64 2004eb</t>
  </si>
  <si>
    <t>371.4/071</t>
  </si>
  <si>
    <t>Restructuring LIS education</t>
  </si>
  <si>
    <t>Ashworth, Susan</t>
  </si>
  <si>
    <t>Z665 -- .A85 2004eb</t>
  </si>
  <si>
    <t>020.7;020.711</t>
  </si>
  <si>
    <t>Information science -- Study and teaching. ; Educational innovations.</t>
  </si>
  <si>
    <t>Second generation e-learning : serious games</t>
  </si>
  <si>
    <t>LC5800 -- .D38 2004eb</t>
  </si>
  <si>
    <t>371.35/8</t>
  </si>
  <si>
    <t>Stories of transformation</t>
  </si>
  <si>
    <t>Lotz-Sisitka, Heila</t>
  </si>
  <si>
    <t>LB1027 -- .L68 2004eb</t>
  </si>
  <si>
    <t>Education, Higher. ; Educational innovations.</t>
  </si>
  <si>
    <t>Improving Schools Through Teacher Leadership</t>
  </si>
  <si>
    <t>Harris, Alma;Muijs, Daniel</t>
  </si>
  <si>
    <t>LB2806.45 .H37 2004</t>
  </si>
  <si>
    <t>Teacher effectiveness. ; Educational leadership. ; School management and organization.</t>
  </si>
  <si>
    <t>Learning Without Limits</t>
  </si>
  <si>
    <t>Hart, Susan;Dixon, Annabelle;Drummond, Mary Jane;McIntyre, Donald</t>
  </si>
  <si>
    <t>LB1025.3 -- .L42 2004eb</t>
  </si>
  <si>
    <t>Teaching -- Great Britain -- Case studies. ; Mixed ability grouping in education -- Great Britain -- Case studies. ; Classroom management -- Great Britain -- Case studies. ; Learning ability.</t>
  </si>
  <si>
    <t>Making Formative Assessment Work</t>
  </si>
  <si>
    <t>Hall, Kathy;Burke, Winnifred</t>
  </si>
  <si>
    <t>LB2822.75 -- .H349 2003eb</t>
  </si>
  <si>
    <t>Educational tests and measurements. ; Elementary school teaching.</t>
  </si>
  <si>
    <t>Museums, Media and Cultural Theory</t>
  </si>
  <si>
    <t>Henning, Michelle</t>
  </si>
  <si>
    <t>UK Higher Education OUP Humanities and Social Sciences Media, Film and Cultural Studies</t>
  </si>
  <si>
    <t>AM7 -- .H458 2006eb</t>
  </si>
  <si>
    <t>Museums -- Educational aspects. ; Museums -- Public relations. ; Museum exhibits.</t>
  </si>
  <si>
    <t>Supporting Inclusion in the Early Years</t>
  </si>
  <si>
    <t>Jones, Caroline</t>
  </si>
  <si>
    <t>LC1200 -- .J66 2004eb</t>
  </si>
  <si>
    <t>Early childhood special education -- Great Britain. ; Children with disabilities -- Education (Preschool) -- Great Britain. ; Mainstreaming in education -- Great Britain. ; Inclusive education -- Great Britain.</t>
  </si>
  <si>
    <t>Guide to Mental Health for Families and Carers of People with Intellectual Disabilities</t>
  </si>
  <si>
    <t>Jessica Kingsley Publishers</t>
  </si>
  <si>
    <t>Gratsa, Anastasia;Holt, Geraldine;Bouras, Nick;Joyce, Theresa;Spiller, Mary Jane;Hardy, Steve</t>
  </si>
  <si>
    <t>RC451.4.M47 -- G85 2004eb</t>
  </si>
  <si>
    <t>362.2/042</t>
  </si>
  <si>
    <t>Caregivers -- Handbooks, manuals, etc. ; Learning disabled -- Mental health.</t>
  </si>
  <si>
    <t>Medicine; Health; Psychology; Social Science</t>
  </si>
  <si>
    <t>Asperger Syndrome in Young Children : A Developmental Approach for Parents and Professionals</t>
  </si>
  <si>
    <t>Leventhal-Belfer, Laurie;Coe, Cassandra</t>
  </si>
  <si>
    <t>RJ506.A9 -- L48 2004eb</t>
  </si>
  <si>
    <t>618.9/28982</t>
  </si>
  <si>
    <t>Different Minds : Gifted Children with AD/HD, Asperger Syndrome, and Other Learning Deficits</t>
  </si>
  <si>
    <t>Lovecky, Deirdre V.</t>
  </si>
  <si>
    <t>RJ507.G55 -- L68 2004eb</t>
  </si>
  <si>
    <t>Communicating Partners : 30 Years of Building Responsive Relationships with Late Talking Children Including Autism, Asperger's Syndrome (ASD), down Syndrome, and Typical Devel</t>
  </si>
  <si>
    <t>MacDonald, James D.</t>
  </si>
  <si>
    <t>RJ496.L35 -- M33 2004eb</t>
  </si>
  <si>
    <t>Stepping Out : Using Games and Activities to Help Your Child with Special Needs</t>
  </si>
  <si>
    <t>Newman, Sarah</t>
  </si>
  <si>
    <t>LC4026 -- .N475 2004eb</t>
  </si>
  <si>
    <t>371.9/043</t>
  </si>
  <si>
    <t>Children with disabilities -- Education (Elementary) ; Educational games. ; Special education -- Activity programs.</t>
  </si>
  <si>
    <t>Homeschooling the Child with Asperger Syndrome : Real Help for Parents Anywhere and on Any Budget</t>
  </si>
  <si>
    <t>Pyles, Lise</t>
  </si>
  <si>
    <t>RJ506.A9 -- P953 2004eb</t>
  </si>
  <si>
    <t>Asperger's syndrome. ; Asperger's syndrome-Patients-Education. ; Home schooling. ; Patient education.</t>
  </si>
  <si>
    <t>Medicine; Psychology; Education</t>
  </si>
  <si>
    <t>Surviving the Special Educational Needs System : How to Be a 'Velvet Bulldozer'</t>
  </si>
  <si>
    <t>Row, Sandy</t>
  </si>
  <si>
    <t>LC4706.G7 -- R69 2004eb</t>
  </si>
  <si>
    <t>Children with disabilities-Great Britain. ; Children with disabilities-Great Britain-Identification. ; Special education-Great Britain.</t>
  </si>
  <si>
    <t>Giggle Time - Establishing the Social Connection : A Program to Develop the Communication Skills of Children with Autism</t>
  </si>
  <si>
    <t>Sonders, Susan Aud</t>
  </si>
  <si>
    <t>LC4717.5 -- .S66 2003eb</t>
  </si>
  <si>
    <t>Adam's Alternative Sports Day : An Asperger Story</t>
  </si>
  <si>
    <t>Welton, Jude</t>
  </si>
  <si>
    <t>RC553.A88 -- W45 2005eb</t>
  </si>
  <si>
    <t>Asperger's syndrome -- Fiction. ; Competition (Psychology) -- Fiction. ; Schools -- Fiction.</t>
  </si>
  <si>
    <t>Literature; Medicine; Psychology; Juvenile Literature</t>
  </si>
  <si>
    <t>Everyday Heaven : Journeys Beyond the Stereotypes of Autism</t>
  </si>
  <si>
    <t>Williams, Donna</t>
  </si>
  <si>
    <t>RC553.A88 -- W5453 2004eb</t>
  </si>
  <si>
    <t>616.89/82/0092 B</t>
  </si>
  <si>
    <t>Williams, Donna,-1963--Mental health. ; Autism-Alternative treatment. ; Autistic people-Biography.</t>
  </si>
  <si>
    <t>How to Live with Autism and Asperger Syndrome : Practical Strategies for Parents and Professionals</t>
  </si>
  <si>
    <t>Brayshaw, Joanne;Young, Olive;Williams, Christine</t>
  </si>
  <si>
    <t>RJ506.A9 -- W485 2004eb</t>
  </si>
  <si>
    <t>Asperger's syndrome. ; Autism in children.</t>
  </si>
  <si>
    <t>Encouraging Appropriate Behavior for Children on the Autism Spectrum : Frequently Asked Questions</t>
  </si>
  <si>
    <t>Richman, Shira</t>
  </si>
  <si>
    <t>RJ506.A9R534 2006</t>
  </si>
  <si>
    <t>Autistic children -- Behavior modification. ; Autistic children -- Family relationships. ; Parent and child. ; Parents of autistic children.</t>
  </si>
  <si>
    <t>People with Autism Behaving Badly : Helping People with ASD Move on from Behavioral and Emotional Challenges</t>
  </si>
  <si>
    <t>Clements, John</t>
  </si>
  <si>
    <t>RC553.A88 C563 2005</t>
  </si>
  <si>
    <t>616.85/88206</t>
  </si>
  <si>
    <t>Asperger's syndrome. ; Autism.</t>
  </si>
  <si>
    <t>Succeeding with Autism : Hear My Voice</t>
  </si>
  <si>
    <t>Cohen, Judith</t>
  </si>
  <si>
    <t>RC553.A88C64 2005</t>
  </si>
  <si>
    <t>616.85/882/0092 B</t>
  </si>
  <si>
    <t>Autistic people-Biography. ; Autism.</t>
  </si>
  <si>
    <t>Transfer Boy : Perspectives on Asperger Syndrome</t>
  </si>
  <si>
    <t>Mihail, Teodor;Ferrari, Michel;Vuletic, Ljiljana</t>
  </si>
  <si>
    <t>RJ506.A9V84 2005</t>
  </si>
  <si>
    <t>616.85/88</t>
  </si>
  <si>
    <t>Mihail, Teodor -- Mental health. ; Asperger's syndrome -- Case studies.</t>
  </si>
  <si>
    <t>Pre-Schoolers with Autism : An Education and Skills Training Programme for Parents - Manual for Parents</t>
  </si>
  <si>
    <t>Tonge, Bruce;Brereton, Avril</t>
  </si>
  <si>
    <t>RJ506.A9B74 2005</t>
  </si>
  <si>
    <t>Autism in children. ; Autistic children -- Education (Early childhood) ; Parents of autistic children.</t>
  </si>
  <si>
    <t>Mental Health Aspects of Autism and Asperger Syndrome</t>
  </si>
  <si>
    <t>Ghaziuddin, Mohammad</t>
  </si>
  <si>
    <t>RC553.A88G485 2005</t>
  </si>
  <si>
    <t>Authentic Relationships in Group Care for Infants and Toddlers - Resources for Infant Educarers (RIE) Principles into Practice</t>
  </si>
  <si>
    <t>Petrie, Stephanie;Owen, Sue</t>
  </si>
  <si>
    <t>HQ774.A88 2005</t>
  </si>
  <si>
    <t>Child care services-Great Britain. ; Child care services. ; Early childhood education. ; Infants-Care. ; Toddlers-Care.</t>
  </si>
  <si>
    <t>The Little Class with the Big Personality : Experiences of Teaching a Class of Young Children with Autism</t>
  </si>
  <si>
    <t>Hunnisett, Fran</t>
  </si>
  <si>
    <t>LC4719.G7H86 2005</t>
  </si>
  <si>
    <t>Asperger's syndrome. ; Autistic children -- Education -- England -- Case studies.</t>
  </si>
  <si>
    <t>Personal Hygiene? What's That Got to Do with Me?</t>
  </si>
  <si>
    <t>Crissey, Pat</t>
  </si>
  <si>
    <t>RJ506.A9C75 2005</t>
  </si>
  <si>
    <t>Autistic children-Health and hygiene-Juvenile literature. ; Asperger's syndrome-Patients-Health and hygiene-Juvenile literature.</t>
  </si>
  <si>
    <t>Medicine; Home Economics; Psychology</t>
  </si>
  <si>
    <t>How to Understand Autism - the Easy Way</t>
  </si>
  <si>
    <t>Durig, Alexander</t>
  </si>
  <si>
    <t>RC553.A88 D873 2005</t>
  </si>
  <si>
    <t>616.85/882</t>
  </si>
  <si>
    <t>Asperger's syndrome. ; Autism-Popular works.</t>
  </si>
  <si>
    <t>Children, Youth and Adults with Asperger Syndrome : Integrating Multiple Perspectives</t>
  </si>
  <si>
    <t>Stoddart, Kevin;Schnurr, Rosina G.;Konstantareas, M. Mary;Muskat, Barbara;Epstein, Trina;Saltzman-Benaiah, Jennifer;Hawkins, Gail;Henault, Isabelle;Lindblad, Tracie;Roberts, S. Wendy</t>
  </si>
  <si>
    <t>RC570 .C45 2005</t>
  </si>
  <si>
    <t>Specialist Support Approaches to Autism Spectrum Disorder Students in Mainstream Settings</t>
  </si>
  <si>
    <t>Hewitt, Sally</t>
  </si>
  <si>
    <t>LC4718.H49 2005</t>
  </si>
  <si>
    <t>Autistic children-Education-United States. ; Inclusive education-United States.</t>
  </si>
  <si>
    <t>Teaching at Home : A New Approach to Tutoring Children with Autism and Asperger Syndrome</t>
  </si>
  <si>
    <t>Holland, Olga</t>
  </si>
  <si>
    <t>LC4717.5.H65 2005</t>
  </si>
  <si>
    <t>Holland, Billy, -- 1993- ; Autistic children -- Education. ; Home schooling.</t>
  </si>
  <si>
    <t>Assessing and Developing Communication and Thinking Skills in People with Autism and Communication Difficulties : A Toolkit for Parents and Professionals</t>
  </si>
  <si>
    <t>Dobson, Paul;Silver, Kate</t>
  </si>
  <si>
    <t>RJ506.A9S55 2005</t>
  </si>
  <si>
    <t>Understanding 12-14-Year-Olds</t>
  </si>
  <si>
    <t>Bradley, Jonathan;Waddell, Margot</t>
  </si>
  <si>
    <t>The Tavistock Clinic - Understanding Your Child Series</t>
  </si>
  <si>
    <t>HQ796.W13 2005</t>
  </si>
  <si>
    <t>Person Centred Planning and Care Management with People with Learning Disabilities</t>
  </si>
  <si>
    <t>Ledger, Sue;Carnaby, Steven;Cambridge, Paul;Osgood, Tony;Mansell, Jim;Shah, Robina</t>
  </si>
  <si>
    <t>HV3004.P434 2005</t>
  </si>
  <si>
    <t>Learning disabled -- Services for. ; People with mental disabilities -- Services for.</t>
  </si>
  <si>
    <t>Revealing the Hidden Social Code : Social Stories (TM) for People with Autistic Spectrum Disorders</t>
  </si>
  <si>
    <t>Howley, Marie;Arnold, Eileen</t>
  </si>
  <si>
    <t>RJ506.A9H675 2005</t>
  </si>
  <si>
    <t>Autistic children -- Behavior modification. ; Autistic children -- Education. ; Autistic children -- Rehabilitation. ; Narration (Rhetoric) -- Psychological aspects. ; Narrative therapy. ; Social skills in children -- Study and teaching.</t>
  </si>
  <si>
    <t>A Safe Place for Caleb : An Interactive Book for Kids, Teens and Adults with Issues of Attachment, Grief, Loss or Early Trauma</t>
  </si>
  <si>
    <t>Berns, Jane M.;Chara, Paul J.;Chara, Kathleen A.</t>
  </si>
  <si>
    <t>RC455.4.A84C438 2004</t>
  </si>
  <si>
    <t>Songwriting : Methods, Techniques and Clinical Applications for Music Therapy Clinicians, Educators and Students</t>
  </si>
  <si>
    <t>Baker, Felicity;Oldfield, Amelia;Magill, Lucanne;Wigram, Tony;Kennelly, Jeanette;Tamplin, Jeanette;Davies, Emma</t>
  </si>
  <si>
    <t>ML3920.S726 -- B35 2005eb</t>
  </si>
  <si>
    <t>Supporting Children in Public Care in Schools : A Resource for Trainers of Teachers, Carers and Social Workers</t>
  </si>
  <si>
    <t>Holland, John</t>
  </si>
  <si>
    <t>HV965 .H65 2005</t>
  </si>
  <si>
    <t>Children-Institutional care. ; Children-Services for.</t>
  </si>
  <si>
    <t>Teaching Children with Autism and Related Spectrum Disorders : An Art and a Science</t>
  </si>
  <si>
    <t>Magnusen, Christy;Attwood, Anthony</t>
  </si>
  <si>
    <t>LC4717.M32 2005</t>
  </si>
  <si>
    <t>Autistic children -- Education. ; Autistic children.</t>
  </si>
  <si>
    <t>Understanding How Asperger Children and Adolescents Think and Learn : Creating Manageable Environments for AS Students</t>
  </si>
  <si>
    <t>Jacobsen, Paula</t>
  </si>
  <si>
    <t>RJ506.A9J335 2005</t>
  </si>
  <si>
    <t>Asperger's syndrome-Patients-Education. ; Autistic children.</t>
  </si>
  <si>
    <t>Understanding Sensory Dysfunction : Learning, Development and Sensory Dysfunction in Autism Spectrum Disorders, ADHD, Learning Disabilities and Bipolar Disorder</t>
  </si>
  <si>
    <t>Emmons, Polly;Anderson, Liz</t>
  </si>
  <si>
    <t>RJ496.S44E465 2005</t>
  </si>
  <si>
    <t>Learning disabled children-Education. ; Minimal brain dysfunction in children-Diagnosis. ; Minimal brain dysfunction in children-Treatment.</t>
  </si>
  <si>
    <t>Choosing Home : Deciding to Homeschool with Asperger's Syndrome</t>
  </si>
  <si>
    <t>Shore, Stephen;Hartnett, Martha</t>
  </si>
  <si>
    <t>LC4717.5 -- .H39 2004eb</t>
  </si>
  <si>
    <t>371.04/2</t>
  </si>
  <si>
    <t>Autistic children-Education. ; Home schooling. ; Asperger's syndrome.</t>
  </si>
  <si>
    <t>Developmental Coordination Disorder : Hints and Tips for the Activities of Daily Living</t>
  </si>
  <si>
    <t>Ball, Morven</t>
  </si>
  <si>
    <t>RJ506.P68 -- D48 2002eb</t>
  </si>
  <si>
    <t>618.9/2/8982</t>
  </si>
  <si>
    <t>Creative Expressive Activities and Asperger's Syndrome : Social and Emotional Skills and Positive Life Goals for Adolescents and Young Adults</t>
  </si>
  <si>
    <t>Martinovich, Judith</t>
  </si>
  <si>
    <t>RJ506.A9M376 2006</t>
  </si>
  <si>
    <t>618.92/858832</t>
  </si>
  <si>
    <t>Asperger's syndrome -- Patients -- Education. ; Asperger's syndrome -- Social aspects. ; Creative ability.</t>
  </si>
  <si>
    <t>Finding You Finding Me : Using Intensive Interaction to Get in Touch with People Whose Severe Learning Disabilities Are Combined with Autistic Spectrum Disorder</t>
  </si>
  <si>
    <t>Caldwell, Phoebe</t>
  </si>
  <si>
    <t>RC553.A88C35 2006</t>
  </si>
  <si>
    <t>Autism. ; Body language. ; Developmentally disabled -- Means of communication. ; Interpersonal communication.</t>
  </si>
  <si>
    <t>Health; Medicine; Social Science; Psychology</t>
  </si>
  <si>
    <t>Rebels with a Cause : Working with Adolescents Using Action Techniques</t>
  </si>
  <si>
    <t>Cossa, Mario;Moreno, Zerka T.</t>
  </si>
  <si>
    <t>RJ505.P89C67 2006</t>
  </si>
  <si>
    <t>Drama -- Therapeutic use. ; Group psychotherapy for teenagers.</t>
  </si>
  <si>
    <t>Seeing Through New Eyes : Changing the Lives of Children with Autism, Asperger Syndrome and Other Developmental Disabilities Through Vision Therapy</t>
  </si>
  <si>
    <t>Edelson, Stephen M.;Kaplan, Melvin</t>
  </si>
  <si>
    <t>RC553.A88K37 2006</t>
  </si>
  <si>
    <t>Asperger's syndrome. ; Autism in children. ; Autism.</t>
  </si>
  <si>
    <t>When Babies Read : A Practical Guide to Helping Young Children with Hyperlexia, Asperger Syndrome and High-Functioning Autism</t>
  </si>
  <si>
    <t>Steen Jensen, Peter;Jensen, Audra</t>
  </si>
  <si>
    <t>LC4708.J46 2005</t>
  </si>
  <si>
    <t>Autism in children. ; Autistic children -- Education. ; Language disorders -- Parents -- Education. ; Reading (Preschool)</t>
  </si>
  <si>
    <t>Education; Health; Social Science</t>
  </si>
  <si>
    <t>Realizing the College Dream with Autism or Asperger Syndrome : A Parent's Guide to Student Success</t>
  </si>
  <si>
    <t>Palmer, Ann</t>
  </si>
  <si>
    <t>RC553.A88P356 2006</t>
  </si>
  <si>
    <t>Asperger's syndrome. ; Autism. ; Parents of autistic children.</t>
  </si>
  <si>
    <t>Shattered Lives : Children Who Live with Courage and Dignity</t>
  </si>
  <si>
    <t>Batmanghelidjh, Camila</t>
  </si>
  <si>
    <t>RC569.5.C55B28 2006</t>
  </si>
  <si>
    <t>Psychology; Medicine; Social Science</t>
  </si>
  <si>
    <t>Group Action : The Dynamics of Groups in Therapeutic, Educational and Corporate Settings</t>
  </si>
  <si>
    <t>Neri, Claudio;Ringer, Martin;Pines, Malcolm</t>
  </si>
  <si>
    <t>RC488 -- .R53 2002eb</t>
  </si>
  <si>
    <t>616.8/9152</t>
  </si>
  <si>
    <t>Group psychotherapy. ; Leadership. ; Teams in the workplace.</t>
  </si>
  <si>
    <t>New Perspectives on Bullying</t>
  </si>
  <si>
    <t>Rigby, Ken</t>
  </si>
  <si>
    <t>BF637.B85 -- R54 2002eb</t>
  </si>
  <si>
    <t>Bullying.</t>
  </si>
  <si>
    <t>Home Economics; Psychology</t>
  </si>
  <si>
    <t>Getting Services for Your Child on the Autism Spectrum</t>
  </si>
  <si>
    <t>Foley, Matthew G.;Hyatt-Foley, DeAnn</t>
  </si>
  <si>
    <t>LC4718 -- .F65 2002eb</t>
  </si>
  <si>
    <t>Communicating with Children and Adolescents : Action for Change</t>
  </si>
  <si>
    <t>Bannister, Anne;Huntington, Annie;Jennings, Sue;Cossa, Mario;Kirk, Kate</t>
  </si>
  <si>
    <t>BF723.C57.C64 2002eb</t>
  </si>
  <si>
    <t>Psychology; Social Science</t>
  </si>
  <si>
    <t>Addressing the Challenging Behavior of Children with High-Functioning Autism/Asperger Syndrome in the Classroom : A Guide for Teachers and Parents</t>
  </si>
  <si>
    <t>Moyes, Rebecca</t>
  </si>
  <si>
    <t>LC4717.5 -- .M68 2002eb</t>
  </si>
  <si>
    <t>Autistic children -- Behavior modification. ; Autistic children -- Education.</t>
  </si>
  <si>
    <t>Non-Verbal Learning Disabilities : Characteristics, Diagnosis and Treatment Within an Educational Setting</t>
  </si>
  <si>
    <t>Molenaar-Klumper, Marieke</t>
  </si>
  <si>
    <t>RJ47.M5613 2002eb</t>
  </si>
  <si>
    <t>Nonverbal learning disabilities. ; Learning disabilities. ; Learning disabled children. ; Social skills in children. ; Child psychology.</t>
  </si>
  <si>
    <t>Children's Unspoken Language</t>
  </si>
  <si>
    <t>Doherty-Sneddon, Gwyneth</t>
  </si>
  <si>
    <t>BF723.C57 -- D64 2003eb</t>
  </si>
  <si>
    <t>Nonverbal communication in children.</t>
  </si>
  <si>
    <t>Working with People with Learning Disabilities : Theory and Practice</t>
  </si>
  <si>
    <t>Woods, Honor;Thomas, David</t>
  </si>
  <si>
    <t>RC394.L37 -- T46 2003eb</t>
  </si>
  <si>
    <t>Learning disabilities. ; Learning disabled children.</t>
  </si>
  <si>
    <t>From Goals to Data and Back Again : Adding Backbone to Developmental Intervention for Children with Autism</t>
  </si>
  <si>
    <t>Lehman, Jill Fain;Klaw, Rebecca</t>
  </si>
  <si>
    <t>RJ506.A9 L446 2003</t>
  </si>
  <si>
    <t>618.92/898206</t>
  </si>
  <si>
    <t>Autism in children-Treatment. ; Autism in children. ; Children with disabilities-Rehabilitation.</t>
  </si>
  <si>
    <t>Inclusive Research with People with Learning Disabilities : Past, Present and Futures</t>
  </si>
  <si>
    <t>Johnson, Kelley;Walmsley, Jan</t>
  </si>
  <si>
    <t>RC394.L37 W356 2003</t>
  </si>
  <si>
    <t>616.85/8890072</t>
  </si>
  <si>
    <t>Learning disabilities-Research-Methodology. ; Participant observation.</t>
  </si>
  <si>
    <t>How to Help a Clumsy Child : Strategies for Young Children with Developmental Motor Concerns</t>
  </si>
  <si>
    <t>Kurtz, Elizabeth A.</t>
  </si>
  <si>
    <t>RJ138 -- .K87 2003eb</t>
  </si>
  <si>
    <t>362.1/98927</t>
  </si>
  <si>
    <t>Clumsiness in children. ; Movement disorders in children -- Popular works.</t>
  </si>
  <si>
    <t>Social Science; Medicine; Health</t>
  </si>
  <si>
    <t>School Phobia, Panic Attacks and Anxiety in Children</t>
  </si>
  <si>
    <t>Csoti, Marianna</t>
  </si>
  <si>
    <t>LB1091 -- .C76 2003eb</t>
  </si>
  <si>
    <t>Anxiety in children. ; School phobia.</t>
  </si>
  <si>
    <t>Social Skills Training for Adolescents with General Moderate Learning Difficulties</t>
  </si>
  <si>
    <t>Ross, Fiona;Cornish, Ursula</t>
  </si>
  <si>
    <t>HQ783 -- .C67 2004eb</t>
  </si>
  <si>
    <t>302/.14/071</t>
  </si>
  <si>
    <t>Asperger's syndrome -- Patients -- Education. ; Learning disabled children -- Education -- Great Britain. ; Social skills in children -- Study and teaching (Secondary) -- Great Britain.</t>
  </si>
  <si>
    <t>Just Schools : A Whole School Approach to Restorative Justice</t>
  </si>
  <si>
    <t>Hopkins, Belinda</t>
  </si>
  <si>
    <t>LB3013.3 .H66 2004</t>
  </si>
  <si>
    <t>Conflict management-Handbooks, manuals, etc. ; Restorative justice-Handbooks, manuals, etc. ; School violence-Prevention-Handbooks, manuals, etc.</t>
  </si>
  <si>
    <t>Succeeding in College with Asperger Syndrome : A Student Guide</t>
  </si>
  <si>
    <t>Fitzgerald, Michael;Harpur, John;Lawlor, Maria</t>
  </si>
  <si>
    <t>LC4717.5 -- .H37 2003eb</t>
  </si>
  <si>
    <t>371.9/0474</t>
  </si>
  <si>
    <t>Autistic children-Education (Higher) ; Asperger's syndrome-Patients-Education (Higher)</t>
  </si>
  <si>
    <t>Filling a Need While Making Some Noise : A Music Therapist's Guide to Pediatrics</t>
  </si>
  <si>
    <t>Lorenzato, Kathy;Roskam, Kay</t>
  </si>
  <si>
    <t>ML3920.L84 2005</t>
  </si>
  <si>
    <t>Children -- Diseases -- Treatment. ; Music therapy for children.</t>
  </si>
  <si>
    <t>Fine Arts; Medicine</t>
  </si>
  <si>
    <t>Understanding Street Drugs : A Handbook of Substance Misuse for Parents, Teachers and Other Professionals Second Edition</t>
  </si>
  <si>
    <t>Emmett, David;Nice, Graeme</t>
  </si>
  <si>
    <t>HV5840.G7E55 2006</t>
  </si>
  <si>
    <t>Drug abuse -- Study and teaching -- Great Britain. ; Drug abuse -- Treatment -- Great Britain. ; Youth -- Drug use -- Prevention.</t>
  </si>
  <si>
    <t>Classroom Tales : Using Storytelling to Build Emotional, Social and Academic Skills Across the Primary Curriculum</t>
  </si>
  <si>
    <t>Eades, Jennifer</t>
  </si>
  <si>
    <t>LB1042.F63 2006</t>
  </si>
  <si>
    <t>Education, Primary. ; Storytelling.</t>
  </si>
  <si>
    <t>Understanding the Nature of Autism and Asperger's Disorder : Forty Years of Clinical Practice and Pioneering Research</t>
  </si>
  <si>
    <t>Ritvo, Edward R.;Attwood, Anthony</t>
  </si>
  <si>
    <t>RC553.A88R58 2006</t>
  </si>
  <si>
    <t>616.85/8832</t>
  </si>
  <si>
    <t>Achieving Best Behavior for Children with Developmental Disabilities : A Step-By-Step Workbook for Parents and Carers</t>
  </si>
  <si>
    <t>Lewis, Pamela</t>
  </si>
  <si>
    <t>RJ507.D48L49 2006</t>
  </si>
  <si>
    <t>Developmentally disabled children -- Life skills guides. ; Developmentally disabled children -- Care. ; Developmentally disabled children -- Psychology.</t>
  </si>
  <si>
    <t>Cannabis and Young People : Reviewing the Evidence</t>
  </si>
  <si>
    <t>Jenkins, Richard</t>
  </si>
  <si>
    <t>Child and Adolescent Mental Health Series</t>
  </si>
  <si>
    <t>HV5824.Y68J46 2006</t>
  </si>
  <si>
    <t>616.86/350083</t>
  </si>
  <si>
    <t>Marijuana. ; Youth -- Drug use.</t>
  </si>
  <si>
    <t>Medicine; Social Science</t>
  </si>
  <si>
    <t>The Music Effect : Music Physiology and Clinical Applications</t>
  </si>
  <si>
    <t>Schneck, Daniel J.;Berger, Dorita S.</t>
  </si>
  <si>
    <t>ML3920.S358 2006</t>
  </si>
  <si>
    <t>Music therapy. ; Music -- Physiological aspects.</t>
  </si>
  <si>
    <t>Reaching the Vulnerable Child : Therapy with Traumatized Children</t>
  </si>
  <si>
    <t>Walsh, Mary;Philpot, Terry</t>
  </si>
  <si>
    <t>Delivering Recovery Series</t>
  </si>
  <si>
    <t>RJ507.A29R93 2006</t>
  </si>
  <si>
    <t>618.92/858223</t>
  </si>
  <si>
    <t>Abused children -- Rehabilitation. ; Child psychotherapy.</t>
  </si>
  <si>
    <t>Different Like Me : My Book of Autism Heroes</t>
  </si>
  <si>
    <t>Elder, Jennifer;Thomas, Marc</t>
  </si>
  <si>
    <t>RC553.A88E43 2006</t>
  </si>
  <si>
    <t>Autism-Juvenile literature. ; Celebrities-Juvenile literature.</t>
  </si>
  <si>
    <t>Different Croaks for Different Folks : All about Children with Special Learning Needs</t>
  </si>
  <si>
    <t>Ochiai, Midori;Fujiwara, Hiroko;Sanders, Esther;Fujiwara, Hiroko;Sanders, Esther</t>
  </si>
  <si>
    <t>RJ506.L4O3413 2006</t>
  </si>
  <si>
    <t>618.92/85889</t>
  </si>
  <si>
    <t>Developmentally disabled children -- Life skills guides. ; Developmentally disabled children -- Popular works. ; Developmentally disabled children -- Education. ; Learning disabled children -- Life skills guides. ; Learning disabled children -- Popular works. ; Learning disabled children -- Education.</t>
  </si>
  <si>
    <t>Finding a Different Kind of Normal : Misadventures with Asperger Syndrome</t>
  </si>
  <si>
    <t>Williams, Donna;Purkis, Yenn</t>
  </si>
  <si>
    <t>RC553.A88P87 2006</t>
  </si>
  <si>
    <t>362.196/8588320092 B</t>
  </si>
  <si>
    <t>Purkis, Jeannette, -- 1974- ; Asperger's syndrome -- Patients -- Biography.</t>
  </si>
  <si>
    <t>Psychology; Health; Social Science; Medicine</t>
  </si>
  <si>
    <t>ASPoetry : Illustrated Poems from an Aspie Life</t>
  </si>
  <si>
    <t>Lawson, Wendy;Calder, Alice Blaes</t>
  </si>
  <si>
    <t>PS3612.A955A75 2006</t>
  </si>
  <si>
    <t>811/.6</t>
  </si>
  <si>
    <t>Asperger's syndrome -- Patients -- Poetry. ; Autistic people -- Poetry.</t>
  </si>
  <si>
    <t>The Spirit of the Child : Revised Edition</t>
  </si>
  <si>
    <t>Hay, David</t>
  </si>
  <si>
    <t>BL625.5.H39 2006</t>
  </si>
  <si>
    <t>248.8/4</t>
  </si>
  <si>
    <t>Child development. ; Children-Religious life.</t>
  </si>
  <si>
    <t>Drama Therapy and Storymaking in Special Education</t>
  </si>
  <si>
    <t>Crimmens, Paula</t>
  </si>
  <si>
    <t>LC4704.5.C75 2006</t>
  </si>
  <si>
    <t>Children with disabilities. ; Drama -- Therapeutic use. ; Learning disabled children -- Education.</t>
  </si>
  <si>
    <t>Education; Medicine</t>
  </si>
  <si>
    <t>Visual Perception Problems in Children with AD/HD, Autism, and Other Learning Disabilities : A Guide for Parents and Professionals</t>
  </si>
  <si>
    <t>JKP Essentials Series</t>
  </si>
  <si>
    <t>RJ506.H9K87 2006</t>
  </si>
  <si>
    <t>Attention-deficit hyperactivity disorder. ; Autism in children. ; Autism.</t>
  </si>
  <si>
    <t>Parenting Across the Autism Spectrum : Unexpected Lessons We Have Learned</t>
  </si>
  <si>
    <t>Morrell, Maureen;Palmer, Ann</t>
  </si>
  <si>
    <t>RJ506.A9M677 2006</t>
  </si>
  <si>
    <t>Autistic children</t>
  </si>
  <si>
    <t>Medicine; Psychology; Home Economics</t>
  </si>
  <si>
    <t>Gifted Children : A Guide for Parents and Professionals</t>
  </si>
  <si>
    <t>Distin, Kate</t>
  </si>
  <si>
    <t>BF723.G5G537 2006</t>
  </si>
  <si>
    <t>155.45/5</t>
  </si>
  <si>
    <t>Education. ; Gifted children.</t>
  </si>
  <si>
    <t>Intimate and Personal Care with People with Learning Disabilities</t>
  </si>
  <si>
    <t>Mallett, Angela;Carnaby, Steven;Cambridge, Paul;Wheeler, Paul;James, Neil;Hatzidimitriadou, Eleni;Milne, Alisoun;McCarthy, Michelle;Shah, Robina</t>
  </si>
  <si>
    <t>RC394.L37I58 2006</t>
  </si>
  <si>
    <t>Learning disabled -- Abuse of -- Prevention. ; Learning disabled -- Care.</t>
  </si>
  <si>
    <t>Medicine; Social Science; Health</t>
  </si>
  <si>
    <t>The Social Play Record : A Toolkit for Assessing and Developing Social Play from Infancy to Adolescence</t>
  </si>
  <si>
    <t>White, Chris</t>
  </si>
  <si>
    <t>RJ506.A9W46 2006</t>
  </si>
  <si>
    <t>Home Economics; Medicine; Psychology</t>
  </si>
  <si>
    <t>Social Skills Groups for Children and Adolescents with Asperger's Syndrome : A Step-By-Step Program</t>
  </si>
  <si>
    <t>Kiker Painter, Kim</t>
  </si>
  <si>
    <t>RJ506.A9P24 2006</t>
  </si>
  <si>
    <t>Asperger's syndrome -- Patients -- Education. ; Asperger's syndrome -- Social aspects. ; Social skills in adolescence. ; Social skills in children.</t>
  </si>
  <si>
    <t>Working with Gangs and Young People : A Toolkit for Resolving Group Conflict</t>
  </si>
  <si>
    <t>Kuumba, Imani;Feinstein, Jessie</t>
  </si>
  <si>
    <t>HV6437.F445 2006</t>
  </si>
  <si>
    <t>364.4/4</t>
  </si>
  <si>
    <t>Conflict management -- Problems, exercises, etc. ; Gang members -- Psychology. ; Gangs. ; Social work with youth.</t>
  </si>
  <si>
    <t>Friendships : The Aspie Way</t>
  </si>
  <si>
    <t>Lawson, Wendy</t>
  </si>
  <si>
    <t>RC553.A88L39 2006</t>
  </si>
  <si>
    <t>Asperger's syndrome -- Patients -- Social networks. ; Friendship.</t>
  </si>
  <si>
    <t>Career Training and Personal Planning for Students with Autism Spectrum Disorders : A Practical Resource for Schools</t>
  </si>
  <si>
    <t>Seip, Jo-Anne;Lundine, Vicki;Smith, Catherine</t>
  </si>
  <si>
    <t>LC4717.5.L86 2006</t>
  </si>
  <si>
    <t>Talking to My Mum : A Picture Workbook for Workers, Mothers and Children Affected by Domestic Abuse</t>
  </si>
  <si>
    <t>Thiara, Ravi;Mullender, Professor Audrey;Humphreys, Cathy;Skamballis, Agnes</t>
  </si>
  <si>
    <t>RC569.5.F3 T355 2006</t>
  </si>
  <si>
    <t>Abused children. ; Victims of family violence.</t>
  </si>
  <si>
    <t>Medicine; Social Science; Psychology</t>
  </si>
  <si>
    <t>An Introduction to Dyslexia for Parents and Professionals</t>
  </si>
  <si>
    <t>Hultquist, Alan M.</t>
  </si>
  <si>
    <t>RJ496.A5H85 2006</t>
  </si>
  <si>
    <t>Dyslexia-Case studies. ; Dyslexia-Popular works. ; Dyslexic children-Education.</t>
  </si>
  <si>
    <t>Interactive Music Therapy - a Positive Approach : Music Therapy at a Child Development Centre</t>
  </si>
  <si>
    <t>Oldfield, Amelia;Janjua, Fatima</t>
  </si>
  <si>
    <t>ML3920.O38 2006</t>
  </si>
  <si>
    <t>Autism in children. ; Music therapy for children.</t>
  </si>
  <si>
    <t>Medicine; Fine Arts</t>
  </si>
  <si>
    <t>By Their Own Young Hand : Deliberate Self-Harm and Suicidal Ideas in Adolescents</t>
  </si>
  <si>
    <t>Hawton, Keith;Rodham, Karen;Evans, Emma</t>
  </si>
  <si>
    <t>RJ506.S39H39 2006</t>
  </si>
  <si>
    <t>The Autism Spectrum and Further Education : A Guide to Good Practice</t>
  </si>
  <si>
    <t>Breakey, Christine</t>
  </si>
  <si>
    <t>LC4717.5.B74 2006</t>
  </si>
  <si>
    <t>Asperger's syndrome -- Patients -- Education (Higher) ; Autistic youth -- Education (Higher)</t>
  </si>
  <si>
    <t>Counselling Adult Survivors of Child Sexual Abuse : Third Edition</t>
  </si>
  <si>
    <t>Sanderson, Christiane</t>
  </si>
  <si>
    <t>RC569.5.A28S26 2006</t>
  </si>
  <si>
    <t>616.85/822390651</t>
  </si>
  <si>
    <t>Adult child sexual abuse victims-Counseling of. ; Psychology.</t>
  </si>
  <si>
    <t>Talking about Domestic Abuse : A Photo Activity Workbook to Develop Communication Between Mothers and Young People</t>
  </si>
  <si>
    <t>Mullender, Professor Audrey;Thiara, Ravi;Skamballis, Agnes;Humphreys, Cathy</t>
  </si>
  <si>
    <t>RC569.5.F3 T35 2006</t>
  </si>
  <si>
    <t>Abused children-Rehabilitation. ; Victims of family violence-Rehabilitation.</t>
  </si>
  <si>
    <t>The Handbook of Gestalt Play Therapy : Practical Guidelines for Child Therapists</t>
  </si>
  <si>
    <t>Blom, Rinda</t>
  </si>
  <si>
    <t>RJ505.G47B56 2006</t>
  </si>
  <si>
    <t>618.92/891653</t>
  </si>
  <si>
    <t>Working with Anger and Young People</t>
  </si>
  <si>
    <t>Luxmoore, Nick</t>
  </si>
  <si>
    <t>BF724.3.A55L89 2006</t>
  </si>
  <si>
    <t>Understanding 6-7-Year-Olds</t>
  </si>
  <si>
    <t>Aves, Corinne;Bradley, Jonathan</t>
  </si>
  <si>
    <t>HQ767.9.A95 2006</t>
  </si>
  <si>
    <t>That's Life with Autism : Tales and Tips for Families with Autism</t>
  </si>
  <si>
    <t>Ross, Donna Satterlee;Jolly, Kelly</t>
  </si>
  <si>
    <t>RJ506.A9T43 2006</t>
  </si>
  <si>
    <t>Autistic children -- Care. ; Autistic children -- Family relationships. ; Autistic children -- Services for.</t>
  </si>
  <si>
    <t>Do You Understand Me? : My Life, My Thoughts, My Autism Spectrum Disorder</t>
  </si>
  <si>
    <t>Koborg Brøsen, Sofie;Koborg Brøsen, Sofie</t>
  </si>
  <si>
    <t>RJ506.A9K6213 2006</t>
  </si>
  <si>
    <t>Living with Dyspraxia : A Guide for Adults with Developmental Dyspraxia - Revised Edition</t>
  </si>
  <si>
    <t>Biggs, Victoria;Colley, Mary;Kirby, Amanda</t>
  </si>
  <si>
    <t>RC394.A75C65 2006</t>
  </si>
  <si>
    <t>616.85/52</t>
  </si>
  <si>
    <t>Canadian Student Financial Survival Guide : A Comprehensive Handbook on Financing Your Education, Managing Your Expenses &amp; Planning for a Debt-Free Future</t>
  </si>
  <si>
    <t>Insomniac Press</t>
  </si>
  <si>
    <t>Insomniac Library</t>
  </si>
  <si>
    <t xml:space="preserve">McWaters, Graham;Sheldon, Winthrop </t>
  </si>
  <si>
    <t>HG179 -- M367 2005eb</t>
  </si>
  <si>
    <t>College students -- Canada -- Finance, Personal. ; College costs -- Canada.</t>
  </si>
  <si>
    <t>Distance Education in Nursing</t>
  </si>
  <si>
    <t>Springer Publishing Company, Incorporated</t>
  </si>
  <si>
    <t>Novotny, Jeanne M.;Davis, Robert</t>
  </si>
  <si>
    <t>Springer Series on the Teaching of Nursing Series</t>
  </si>
  <si>
    <t>RT73.D56 2006</t>
  </si>
  <si>
    <t>Nursing -- Study and teaching</t>
  </si>
  <si>
    <t>Nursing</t>
  </si>
  <si>
    <t>Teaching Cultural Competence in Nursing and Health Care : Inquiry, Action, and Innovation</t>
  </si>
  <si>
    <t>Jeffreys, Marianne R.</t>
  </si>
  <si>
    <t>RT86.5 -- .J442 2006eb</t>
  </si>
  <si>
    <t>Minorities -- Medical care. ; Nursing -- Social aspects. ; Transcultural nursing.</t>
  </si>
  <si>
    <t>Tearing down the Gates : Confronting the Class Divide in American Education</t>
  </si>
  <si>
    <t>Sacks, Peter</t>
  </si>
  <si>
    <t>LC213.2 -- .S23 2007eb</t>
  </si>
  <si>
    <t>379.2/60973</t>
  </si>
  <si>
    <t>Educational equalization -- United States. ; Discrimination in education -- United States. ; Social classes -- United States.</t>
  </si>
  <si>
    <t>International library education</t>
  </si>
  <si>
    <t>Ashcroft, Linda;Ashcroft, Linda</t>
  </si>
  <si>
    <t>New Library World</t>
  </si>
  <si>
    <t>Z668 -- .I68 2007eb</t>
  </si>
  <si>
    <t>Library education. ; Information science -- Study and teaching.</t>
  </si>
  <si>
    <t>Management innovation and library services, part 2</t>
  </si>
  <si>
    <t>O'Conner, Stephen</t>
  </si>
  <si>
    <t>Library management</t>
  </si>
  <si>
    <t>Z672.5 -- .S53 2006eb</t>
  </si>
  <si>
    <t>Library science -- Congresses. ; Information science -- Congresses.</t>
  </si>
  <si>
    <t>Pioneers in business education</t>
  </si>
  <si>
    <t>Jones, Brian;Svensson, Goran;Svensson, Goran</t>
  </si>
  <si>
    <t>European Business Review</t>
  </si>
  <si>
    <t>HF1140 -- .P56 2007eb</t>
  </si>
  <si>
    <t>Business education -- Europe. ; Business schools -- Europe.</t>
  </si>
  <si>
    <t>Social Science; Business/Management</t>
  </si>
  <si>
    <t>Emotion in Education</t>
  </si>
  <si>
    <t>Phye, Gary D.;Schutz, Paul;Pekrun, Reinhard</t>
  </si>
  <si>
    <t>Volume .</t>
  </si>
  <si>
    <t>LB1073.E457 2007</t>
  </si>
  <si>
    <t>Leisure Education, Community Development and Populations with Special Needs</t>
  </si>
  <si>
    <t>CABI</t>
  </si>
  <si>
    <t>Wallingford</t>
  </si>
  <si>
    <t>CAB International</t>
  </si>
  <si>
    <t>Sivan, A.;Ruskin, H.</t>
  </si>
  <si>
    <t>GV14.5 -- .L3945 2000eb</t>
  </si>
  <si>
    <t>362.383;790/.087</t>
  </si>
  <si>
    <t>Leisure -- Study and teaching -- Congresses. ; Community development -- Congresses. ; People with disabilities -- Recreation -- Congresses.</t>
  </si>
  <si>
    <t>Fine Arts; Social Science; Sport &amp;amp; Recreation</t>
  </si>
  <si>
    <t>How to Be a Student: 100 Great Ideas and Practical Habits for Students Everywhere</t>
  </si>
  <si>
    <t>Moore, Sarah;Murphy, Maura</t>
  </si>
  <si>
    <t>LB2343.3 -- .M66 2005eb</t>
  </si>
  <si>
    <t>College students-Conduct of life. ; College student orientation.</t>
  </si>
  <si>
    <t>Meaning Making in Secondary Science Classroomsaa</t>
  </si>
  <si>
    <t>Mortimer, Eduardo;Scott, Philip</t>
  </si>
  <si>
    <t>LB1033 .M67 2003</t>
  </si>
  <si>
    <t>Science-Study and teaching (Secondary) ; Teacher-student relationships.</t>
  </si>
  <si>
    <t>Education; Science: General</t>
  </si>
  <si>
    <t>So What's a Boy?</t>
  </si>
  <si>
    <t>Martino, Wayne;Pallotta-Chiarolli, Maria</t>
  </si>
  <si>
    <t>LC1390 .M35 2003</t>
  </si>
  <si>
    <t>Masculinity-Australia. ; Boys-Education-Social aspects-Australia. ; Sex differences in education-Social aspects-Australia. ; Gender identity.</t>
  </si>
  <si>
    <t>Talking, Listening and Learning</t>
  </si>
  <si>
    <t>Myhill, Debra;Jones, Susan;Hopper, Rosemary</t>
  </si>
  <si>
    <t>LB1034 -- .M94 2006eb</t>
  </si>
  <si>
    <t>Interaction analysis in education. ; Oral communication. ; Verbal learning. ; Effective teaching. ; Elementary school teaching.</t>
  </si>
  <si>
    <t>Africa for Kids : Exploring a Vibrant Continent, 19 Activities</t>
  </si>
  <si>
    <t>Chicago Review Press</t>
  </si>
  <si>
    <t>Croze, Harvey</t>
  </si>
  <si>
    <t>For Kids series</t>
  </si>
  <si>
    <t>DT22 -- .C76 2006eb</t>
  </si>
  <si>
    <t>Africa -- Juvenile literature. ; Africa -- Study and teaching -- Activity programs. ; Africa.</t>
  </si>
  <si>
    <t>Global Issues in Language, Education and Development : Perspectives from Postcolonial Countries</t>
  </si>
  <si>
    <t>Rassool, Naz</t>
  </si>
  <si>
    <t>P40.85.D44R37 2007</t>
  </si>
  <si>
    <t>306.44/9091724</t>
  </si>
  <si>
    <t>Language and education--Developing countries. ; Language policy--Developing countries.</t>
  </si>
  <si>
    <t>Language and Culture Pedagogy : From a National to a Transnational Paradigm</t>
  </si>
  <si>
    <t>Risager, Karen</t>
  </si>
  <si>
    <t>P53.45.R57 2007</t>
  </si>
  <si>
    <t>Language and languages--Study and teaching. ; Multicultural education. ; Language and culture--Study and teaching.</t>
  </si>
  <si>
    <t>Bringing Math Home : A Parent's Guide to Elementary School Math: Games, Activities, Projects</t>
  </si>
  <si>
    <t>Churchman, Suzanne L.</t>
  </si>
  <si>
    <t>QA135.6 -- .C53 2006eb</t>
  </si>
  <si>
    <t>Mathematics -- Study and teaching (Elementary) ; Mathematics -- Problems, exercises, etc. ; Mathematical recreations.</t>
  </si>
  <si>
    <t>The Pursuit of Knowledge : Speeches and Papers of Richard C. Atkinson</t>
  </si>
  <si>
    <t>Atkinson, Richard C.;Pelfrey, Patricia A.</t>
  </si>
  <si>
    <t>LD736.5 -- .A85 2007eb</t>
  </si>
  <si>
    <t>378/.050974</t>
  </si>
  <si>
    <t>Atkinson, Richard C. ; University of California, Berkeley. ; Universities and colleges-Administration. ; Education, Higher-Aims and objectives-United States. ; College presidents-California-Biography.</t>
  </si>
  <si>
    <t>Development of Achievement Motivation</t>
  </si>
  <si>
    <t>Wigfield, Allan;Eccles, Jacquelynne S.</t>
  </si>
  <si>
    <t>LB1065.D35</t>
  </si>
  <si>
    <t>Sex difference</t>
  </si>
  <si>
    <t>Learning about Learning Disabilities</t>
  </si>
  <si>
    <t>Wong, Bernice</t>
  </si>
  <si>
    <t>LC4704.L376 2004</t>
  </si>
  <si>
    <t>Learning disabilities.</t>
  </si>
  <si>
    <t>Our Supreme Court : A History with 14 Activities</t>
  </si>
  <si>
    <t xml:space="preserve">Panchyk, Richard;Kerry, Senator John;Baker, James;Strossen, Nadine </t>
  </si>
  <si>
    <t>KF4550.Z9 -- P36 2007eb</t>
  </si>
  <si>
    <t>347.73/26</t>
  </si>
  <si>
    <t>United States. -- Supreme Court -- Juvenile literature. ; United States. -- Supreme Court -- Interviews. ; United States. -- Supreme Court. ; Constitutional law -- United States -- Juvenile literature. ; Constitutional law -- United States.</t>
  </si>
  <si>
    <t>Un Nouveau Monde De Savoir : Les Universités Canadiennes Et La Mondialisation</t>
  </si>
  <si>
    <t>Bond, Sheryl L.;Lemasson, Jean-Pierre</t>
  </si>
  <si>
    <t>LC1090 -- N3814 1999eb</t>
  </si>
  <si>
    <t>378/.016/0971</t>
  </si>
  <si>
    <t>International education -- Canada. ; Universities and colleges -- Canada.</t>
  </si>
  <si>
    <t>Changing Citizenship</t>
  </si>
  <si>
    <t>Osler, Audrey;Starkey, Hugh</t>
  </si>
  <si>
    <t>LC1099.5.G7 O85 2005</t>
  </si>
  <si>
    <t>Citizenship-Study and teaching-Great Britain. ; Multicultural education.</t>
  </si>
  <si>
    <t>Ethnography for Education</t>
  </si>
  <si>
    <t>Pole, Christopher;Morrison, Marlene</t>
  </si>
  <si>
    <t>GN345 -- .P62 2003eb</t>
  </si>
  <si>
    <t>305.8/0072</t>
  </si>
  <si>
    <t>Ethnology -- Research. ; Education -- Research. ; Ethnology -- Research -- Methodology.</t>
  </si>
  <si>
    <t>Supporting Mathematical Development in the Early Years</t>
  </si>
  <si>
    <t>Pound, Linda</t>
  </si>
  <si>
    <t>QA135.5 .P68 2006</t>
  </si>
  <si>
    <t>Mathematics-Study and teaching (Early childhood) ; Education.</t>
  </si>
  <si>
    <t>Foundations of Problem-Based Learning</t>
  </si>
  <si>
    <t>Savin Baden, Maggi;Howell, Claire</t>
  </si>
  <si>
    <t>LB1027.42 -- .S28 2004eb</t>
  </si>
  <si>
    <t>Problem-based learning. ; Education, Higher.</t>
  </si>
  <si>
    <t>Understanding University: a Guide to Another Planet</t>
  </si>
  <si>
    <t>Sinclair, Christine</t>
  </si>
  <si>
    <t>LB2328.2 .S55 2006</t>
  </si>
  <si>
    <t>Universities and colleges. ; College students.</t>
  </si>
  <si>
    <t>Action Research</t>
  </si>
  <si>
    <t>Somekh, Bridget</t>
  </si>
  <si>
    <t>LB1028.24 -- .S66 2006eb</t>
  </si>
  <si>
    <t>Action research.</t>
  </si>
  <si>
    <t>Evidence-Based Practice in Education</t>
  </si>
  <si>
    <t>Pring, Richard;Thomas, Gary</t>
  </si>
  <si>
    <t>LB1028 -- .E85 2004eb</t>
  </si>
  <si>
    <t>Teaching -- Research. ; Education -- Research.</t>
  </si>
  <si>
    <t>Enhancing Primary Mathematics Teaching</t>
  </si>
  <si>
    <t>Thompson, Ian</t>
  </si>
  <si>
    <t>QA135.6 .E54 2003</t>
  </si>
  <si>
    <t>Mathematics-Study and teaching (Elementary)-Great Britain. ; Education-Great Britain.</t>
  </si>
  <si>
    <t>The Doctoral Examination Process : A Handbook for Students, Examiners and Supervisors</t>
  </si>
  <si>
    <t>Tinkler, Penny;Jackson, Carolyn;Tinkler, Carolyn</t>
  </si>
  <si>
    <t>LB2371.6.G7 -- T56 2004eb</t>
  </si>
  <si>
    <t>Universities and colleges -- Great Britain -- Graduate work -- Examinations. ; Universities and colleges -- Great Britain -- Graduate work -- Examinations -- Case studies. ; Universities and colleges -- Great Britain -- Graduate work -- Examinations -- Study guides.</t>
  </si>
  <si>
    <t>Education in a Post-Welfare Society</t>
  </si>
  <si>
    <t>Tomlinson, Sally</t>
  </si>
  <si>
    <t>UK Higher Education OUP Humanities and Social Sciences Sociology Series</t>
  </si>
  <si>
    <t>LC93.G7 -- T641 2005eb</t>
  </si>
  <si>
    <t>Education and state -- Great Britain. ; Education -- Political aspects -- Great Britain. ; Education -- Social aspects -- Great Britain.</t>
  </si>
  <si>
    <t>Breaking the Cycle of Educational Alienation: a Multiprofessional Approach</t>
  </si>
  <si>
    <t>Williams, Richard;Pritchard, Colin</t>
  </si>
  <si>
    <t>LB3081 .W499 2006</t>
  </si>
  <si>
    <t>School attendance. ; Home and school. ; Parent-teacher relationships. ; School attendance-Case studies.</t>
  </si>
  <si>
    <t>What Does Good Education Research Look Like? : Situating a Field and its Practices</t>
  </si>
  <si>
    <t>Yates, Lyn</t>
  </si>
  <si>
    <t>LB1028 -- .Y38 2004eb</t>
  </si>
  <si>
    <t>Education -- Research. ; Education -- Research -- Evaluation.</t>
  </si>
  <si>
    <t>Critical Issues in Early Childhood Education</t>
  </si>
  <si>
    <t>Yelland, Nicola</t>
  </si>
  <si>
    <t>LB1139.3.G7 C75 2005</t>
  </si>
  <si>
    <t>Early childhood education-Great Britain. ; Early childhood education-Great Britain-Evaluation.</t>
  </si>
  <si>
    <t>Practical Sensory Programmes : For Students with Autism Spectrum Disorder and Other Special Needs</t>
  </si>
  <si>
    <t>Larkey, Sue</t>
  </si>
  <si>
    <t>RJ506.A9L37 2007</t>
  </si>
  <si>
    <t>Autism in children. ; Autism. ; Autistic children -- Education. ; Autistic children -- Rehabilitation.</t>
  </si>
  <si>
    <t>Self-Esteem Games for Children</t>
  </si>
  <si>
    <t>Plummer, Deborah;Serrurier, Jane</t>
  </si>
  <si>
    <t>BF723.S3P59 2007</t>
  </si>
  <si>
    <t>Self-esteem in children-Problems, exercises, etc. ; Self-esteem in children.</t>
  </si>
  <si>
    <t>Sensory Stimulation : Sensory-Focused Activities for People with Physical and Multiple Disabilities</t>
  </si>
  <si>
    <t>Fowler, Susan;Johnson, Hilary</t>
  </si>
  <si>
    <t>RC489.A72F692 2007</t>
  </si>
  <si>
    <t>Arts -- Therapeutic use. ; People with disabilities -- Rehabilitation. ; Perceptual-motor learning. ; Active learning. ; Sensory stimulation.</t>
  </si>
  <si>
    <t>Special Stories for Disability Awareness : Stories and Activities for Teachers, Parents and Professionals</t>
  </si>
  <si>
    <t>Leicester, Mal;Dover, Jane</t>
  </si>
  <si>
    <t>HV888 .L453 2007</t>
  </si>
  <si>
    <t>Children with disabilities-Attitudes. ; Disability awareness. ; Storytelling. ; Values-Study and teaching (Elementary)-Activity programs.</t>
  </si>
  <si>
    <t>The Complete Guide to Asperger's Syndrome</t>
  </si>
  <si>
    <t>Attwood, Anthony</t>
  </si>
  <si>
    <t>RC553.A88A88 2007</t>
  </si>
  <si>
    <t>Asperger's syndrome.</t>
  </si>
  <si>
    <t>Teaching And Learning Of Physics In Cultural Contexts, Proceedings Of The International Conference On Physics Education In Cultural Contexts (Icpec 2001)</t>
  </si>
  <si>
    <t>Yunebae Park</t>
  </si>
  <si>
    <t>QC20.8.I57 2001</t>
  </si>
  <si>
    <t>Physics -- Study and teaching -- Congresses. ; Cross-cultural studies -- Congresses.</t>
  </si>
  <si>
    <t>Science: Physics; Science</t>
  </si>
  <si>
    <t>Web-based Learning: Technology And Pedagogy - Proceedings Of The 4th International Conference</t>
  </si>
  <si>
    <t>Reggie Kwan;Joseph Fong</t>
  </si>
  <si>
    <t>LB1044.87.I39 2005a</t>
  </si>
  <si>
    <t>Internet in education -- Congresses. ; Education -- Computer network resources -- Congresses.</t>
  </si>
  <si>
    <t>The Schooled Heart : Moral Reformation in American Higher Education</t>
  </si>
  <si>
    <t>Henry, Douglas V.;Beaty, Michael D.</t>
  </si>
  <si>
    <t>Studies in Religion and Higher Education Series</t>
  </si>
  <si>
    <t>LB2324 .S356 2007</t>
  </si>
  <si>
    <t>378/.014</t>
  </si>
  <si>
    <t>Education, Higher-Moral and ethical aspects-United States. ; Ethics-Study and teaching (Higher)-United States. ; Education, Higher-Aims and objectives-United States. ; Education-Religious aspects.</t>
  </si>
  <si>
    <t>Closing the Book on Homework : Enhancing Public Education</t>
  </si>
  <si>
    <t>Temple University Press</t>
  </si>
  <si>
    <t>Buell, John</t>
  </si>
  <si>
    <t>Teaching/Learning Social Justi Series</t>
  </si>
  <si>
    <t>LB1048</t>
  </si>
  <si>
    <t>371.3/028/1</t>
  </si>
  <si>
    <t>Education-Parent participation-United States. ; Educational change-United States. ; Home and school-United States. ; Homework-Social aspects-United States.</t>
  </si>
  <si>
    <t>Comprehending Columbine</t>
  </si>
  <si>
    <t>Larkin, Ralph W.</t>
  </si>
  <si>
    <t>LB3013</t>
  </si>
  <si>
    <t>373.17/820978882</t>
  </si>
  <si>
    <t>Columbine High School (Littleton, Colo.) ; School violence -- Colorado.</t>
  </si>
  <si>
    <t>Dewey's Dream : Universities and Democracies in an Age of Education Reform</t>
  </si>
  <si>
    <t>Benson, Lee;Puckett, John;Harkavy, Ira</t>
  </si>
  <si>
    <t>LB875</t>
  </si>
  <si>
    <t>Dewey, John, 1859-1952. ; Education--Philosophy. ; Educational change.</t>
  </si>
  <si>
    <t>Multiethnic Moments : The Politics of Urban Education Reform</t>
  </si>
  <si>
    <t>Hero, Rodney;Sidney, Mara;Clarke, Susan;Fraga, Luis Ricardo;Erlichson, Bari Anhalt</t>
  </si>
  <si>
    <t>Education, Urban-United States-Case studies. ; Educational change-United States-Case studies. ; United States-Ethnic relations-Case studies.</t>
  </si>
  <si>
    <t>Education of a University President</t>
  </si>
  <si>
    <t>Wachman, Marvin</t>
  </si>
  <si>
    <t>LC2851</t>
  </si>
  <si>
    <t>378.11/1</t>
  </si>
  <si>
    <t>Wachman, Marvin,-1917-2007. ; Lincoln University (Pa.)-Presidents-Biography. ; Temple University-Presidents-Biography. ; College presidents-Pennsylvania-Biography.</t>
  </si>
  <si>
    <t>Time to Care : Redesigning Child Care to Promote Education,</t>
  </si>
  <si>
    <t>Lombardi, Joan</t>
  </si>
  <si>
    <t>HQ778</t>
  </si>
  <si>
    <t>362.71/2/0973</t>
  </si>
  <si>
    <t>Universities in the Age of Corporate Science : The UC Berkeley-Novartis Controversy</t>
  </si>
  <si>
    <t>Rudy, Alan P.;Coppin, Dawn;Konefal, Jason;Shaw, Bradley T.;Eyck, Toby Ten;Harris, Craig;Busch, Lawrence</t>
  </si>
  <si>
    <t>LC1085</t>
  </si>
  <si>
    <t>Why I Burned My Book</t>
  </si>
  <si>
    <t>Longmore, Paul</t>
  </si>
  <si>
    <t>American Subjects Series</t>
  </si>
  <si>
    <t>HV1568</t>
  </si>
  <si>
    <t>305.9/0816/0973</t>
  </si>
  <si>
    <t>Early Childhood Interventions : Proven Results, Future Promise</t>
  </si>
  <si>
    <t>Karoly, Lynn A.;Kilburn, M. Rebecca;Cannon, Jill S.</t>
  </si>
  <si>
    <t>HV741 -- .K34 2005eb</t>
  </si>
  <si>
    <t>362.7/0973</t>
  </si>
  <si>
    <t>Children with social disabilities -- Services for -- United States. ; Children with social disabilities -- Services for -- United States -- Evaluation. ; Child welfare -- United States -- Evaluation. ; Early childhood education -- United States. ; Child care services -- United States. ; Public welfare -- United States.</t>
  </si>
  <si>
    <t>Developing Decision-Making Skills for Business</t>
  </si>
  <si>
    <t>Armonk</t>
  </si>
  <si>
    <t>Simon, Julian Lincoln</t>
  </si>
  <si>
    <t>HD30.23.S5</t>
  </si>
  <si>
    <t>Decision making. ; Corporate culture. ; Psychology, Industrial.</t>
  </si>
  <si>
    <t>Science Education: Models and Networking of Student Research Training Under 21</t>
  </si>
  <si>
    <t>Csermely, P.;Korlevic, K.;Sulyok, K.</t>
  </si>
  <si>
    <t>Q179.9 .N39 2006</t>
  </si>
  <si>
    <t>Research-Congresses.</t>
  </si>
  <si>
    <t>Papers from the 17th annual assoc of computing machinery symposium 2002 : [papers from the 17th Annual Assoc. of Computing Machinery Symposium 2002]</t>
  </si>
  <si>
    <t>Al-Mashari, Majed;Aedo, Ignacio;Aedo, Ignacio</t>
  </si>
  <si>
    <t>Z1033.E43 -- E54 2002eb</t>
  </si>
  <si>
    <t>Libraries -- Automation. ; Library science -- Data processing.</t>
  </si>
  <si>
    <t>Social Science; General Works/Reference; Health</t>
  </si>
  <si>
    <t>Ethical Decision Making in Nursing and Health Care : The Symphonological Approach</t>
  </si>
  <si>
    <t>Husted, James H.;Husted, Gladys</t>
  </si>
  <si>
    <t>RT85.H87 2008</t>
  </si>
  <si>
    <t>Nursing ethics. ; Nursing -- Decision making.</t>
  </si>
  <si>
    <t>Focusing the Institution on student Learning Outcomes</t>
  </si>
  <si>
    <t>Shupe, David;Shupe, David</t>
  </si>
  <si>
    <t>LC71.2 -- .F63 2007eb</t>
  </si>
  <si>
    <t>Educational planning. ; Educational change.</t>
  </si>
  <si>
    <t>Sustainability : new insights for education</t>
  </si>
  <si>
    <t>Kevany, Kathleen;Huisingh, Donald;García , Francisco J. Lozano;Garcia, Francisco J</t>
  </si>
  <si>
    <t>LB2324 -- .S87 2007eb</t>
  </si>
  <si>
    <t>Education, Higher -- Environmental aspects. ; Universities and colleges -- Environmental aspects.</t>
  </si>
  <si>
    <t>Business/Management; Economics; Education</t>
  </si>
  <si>
    <t>Building Literacy in Social Studies : Strategies for Improving Comprehension and Critical Thinking</t>
  </si>
  <si>
    <t>Ogle, Donna;Klemp, Ron</t>
  </si>
  <si>
    <t>LB1050.455 .O35 2007</t>
  </si>
  <si>
    <t>300.71/2</t>
  </si>
  <si>
    <t>Content area reading. ; Social sciences-Study and teaching (Middle school) ; Social sciences-Study and teaching (Secondary)</t>
  </si>
  <si>
    <t>Taking Action on Adolescent Literacy : An Implementation Guide for School Leaders</t>
  </si>
  <si>
    <t>Irvin, Judith L.;Meltzer, Julie</t>
  </si>
  <si>
    <t>LB1632 -- .I785 2007eb</t>
  </si>
  <si>
    <t>Brain-Friendly Strategies for the Inclusion Classroom</t>
  </si>
  <si>
    <t>Willis, Judy</t>
  </si>
  <si>
    <t>LB1060 .W544 2007</t>
  </si>
  <si>
    <t>Learning, Psychology of. ; Learning-Physiological aspects. ; Brain. ; Cognitive styles.</t>
  </si>
  <si>
    <t>Principals Who Learn : Asking the Right Questions, Seeking the Best Solutions</t>
  </si>
  <si>
    <t>Kohm, Barbara;Nance, Beverly</t>
  </si>
  <si>
    <t>LB2831.93 .K64 2007</t>
  </si>
  <si>
    <t>371.2/012</t>
  </si>
  <si>
    <t>School management and organization-Study and teaching-United States. ; School principals-Training of-United States. ; School principals-United States.</t>
  </si>
  <si>
    <t>Leading Effective Meetings, Teams, and Work Groups in Districts and Schools : Ascd</t>
  </si>
  <si>
    <t>Jennings, Matthew</t>
  </si>
  <si>
    <t>LB1751 -- .J46 2007eb</t>
  </si>
  <si>
    <t>Meetings -- United States -- Planning. ; Teaching teams -- United States. ; Teachers -- Professional relationships -- United States. ; School management and organization -- United States.</t>
  </si>
  <si>
    <t>Improving Student Learning One Teacher at a Time</t>
  </si>
  <si>
    <t>Pollock, Jane E.</t>
  </si>
  <si>
    <t>LB1025.3 .P65 2007</t>
  </si>
  <si>
    <t>Effective teaching-United States. ; Academic achievement-United States.</t>
  </si>
  <si>
    <t>Social and Communication Development in Autism Spectrum Disorders : Early Identification, Diagnosis, and Intervention</t>
  </si>
  <si>
    <t>Guilford Publications, Inc.</t>
  </si>
  <si>
    <t>Guilford Publications</t>
  </si>
  <si>
    <t>Guilford Press, The</t>
  </si>
  <si>
    <t>Charman, Tony;Stone, Wendy</t>
  </si>
  <si>
    <t>RJ506.A9</t>
  </si>
  <si>
    <t>Autistic children -- Language. ; Autistic children. ; Communicative disorders in children. ; Developmentally disabled children -- Language. ; Language disorders in children -- Treatment. ; Social skills in children.</t>
  </si>
  <si>
    <t>Success with Struggling Readers : The Benchmark School Approach</t>
  </si>
  <si>
    <t>Gaskins, Irene West</t>
  </si>
  <si>
    <t>Solving Problems in the Teaching of Literacy Series</t>
  </si>
  <si>
    <t>LB1050.5 -- .G36 2005eb</t>
  </si>
  <si>
    <t>Reading -- Remedial teaching.</t>
  </si>
  <si>
    <t>Communication Disorders in Spanish Speakers : Theoretical, Research and Clinical Aspects</t>
  </si>
  <si>
    <t>Centeno, José G.;Anderson, Raquel T.;Obler, Loraine K.</t>
  </si>
  <si>
    <t>Communication Disorders Across Languages Series</t>
  </si>
  <si>
    <t>RC423.C6427 2007</t>
  </si>
  <si>
    <t>362.196/855</t>
  </si>
  <si>
    <t>Communicative disorders -- Treatment -- United States</t>
  </si>
  <si>
    <t>Bilingual Education in China : Practices, Policies and Concepts</t>
  </si>
  <si>
    <t>Feng, Anwei</t>
  </si>
  <si>
    <t>LC3737.C6B55 2007</t>
  </si>
  <si>
    <t>Education, Bilingual--China--Cross-cultural studies. ; Bilingualism--China--Cross-cultural studies.</t>
  </si>
  <si>
    <t>Language Planning and Policy: Issues in Language Planning and Literacy</t>
  </si>
  <si>
    <t>Liddicoat, Anthony J.</t>
  </si>
  <si>
    <t>Language Planning and Policy Series</t>
  </si>
  <si>
    <t>P40.5.L35L28 2007</t>
  </si>
  <si>
    <t>306.4/49</t>
  </si>
  <si>
    <t>Language planning. ; Language policy. ; Literacy.</t>
  </si>
  <si>
    <t>Second Language Lexical Processes : Applied Linguistic and Psycholinguistic Perspectives</t>
  </si>
  <si>
    <t>Lengyel, Zsolt;Navracsics, Judit</t>
  </si>
  <si>
    <t>P118.2.S4356 2007</t>
  </si>
  <si>
    <t>Second language acquisition. ; Lexicology--Psychological aspects.</t>
  </si>
  <si>
    <t>Teaching Poetry Writing : A Five-Canon Approach</t>
  </si>
  <si>
    <t>Hunley, Tom;Hunley, Tom C.</t>
  </si>
  <si>
    <t>PN1059.A9 -- H86 2007eb</t>
  </si>
  <si>
    <t>Poetry -- Authorship -- Study and teaching.</t>
  </si>
  <si>
    <t>Amartya Sen's Capability Approach and Social Justice in Education</t>
  </si>
  <si>
    <t>Springer Verlag</t>
  </si>
  <si>
    <t>Walker, Melanie;Unterhalter, Elaine</t>
  </si>
  <si>
    <t>LC71-188</t>
  </si>
  <si>
    <t>Sen, Amartya, -- 1933- ; Educational sociology. ; Education -- Economic aspects. ; Learning ability. ; Social justice.</t>
  </si>
  <si>
    <t>America on the Edge : Henry Giroux on Politics, Culture, and Education</t>
  </si>
  <si>
    <t>Giroux, H.</t>
  </si>
  <si>
    <t>GN550-674</t>
  </si>
  <si>
    <t>United States -- Politics and government -- 2001-2009</t>
  </si>
  <si>
    <t>Civic and Moral Learning in America</t>
  </si>
  <si>
    <t>Warren, D.;Patrick, J.</t>
  </si>
  <si>
    <t>E16-18.85</t>
  </si>
  <si>
    <t>Character -- Study and teaching (Elementary) -- United States</t>
  </si>
  <si>
    <t>College Accreditation : Managing Internal Revitalization and Public Respect</t>
  </si>
  <si>
    <t>Alstete, J.</t>
  </si>
  <si>
    <t>LB1-3640</t>
  </si>
  <si>
    <t>Universities and colleges -- Accreditation -- United States. ; Education.</t>
  </si>
  <si>
    <t>Communities of Difference : Culture, Language, Technology</t>
  </si>
  <si>
    <t>Trifonas, P.</t>
  </si>
  <si>
    <t>Globalization -- Social aspects</t>
  </si>
  <si>
    <t>Community College Faculty : At Work in the New Economy</t>
  </si>
  <si>
    <t>Levin, J.;Kater, S.;Wagoner, Richard L.</t>
  </si>
  <si>
    <t>LB2801-3095</t>
  </si>
  <si>
    <t>Community colleges -- Economic aspects -- United States</t>
  </si>
  <si>
    <t>Cyril Norwood and the Ideal of Secondary Education</t>
  </si>
  <si>
    <t>McCulloch, G.</t>
  </si>
  <si>
    <t>Secondary Education in a Changing World Series</t>
  </si>
  <si>
    <t>LC189-214.53</t>
  </si>
  <si>
    <t>Education, Secondary -- Great Britain -- History -- 20th century</t>
  </si>
  <si>
    <t>Defining Technological Literacy : Towards an Epistemological Framework</t>
  </si>
  <si>
    <t>Dakers, J.</t>
  </si>
  <si>
    <t>HM</t>
  </si>
  <si>
    <t>Technological literacy</t>
  </si>
  <si>
    <t>Early Childhood Education, Postcolonial Theory, and Teaching Practices in India : Balancing Vygotsky and the Veda</t>
  </si>
  <si>
    <t>Gupta, A.</t>
  </si>
  <si>
    <t>QB1-991</t>
  </si>
  <si>
    <t>Education, Primary -- Social aspects -- India</t>
  </si>
  <si>
    <t>Science; Science: Astronomy</t>
  </si>
  <si>
    <t>Educating Israel : Educational Entrepreneurship in Israel's Multicultural Society</t>
  </si>
  <si>
    <t>Shalom, Y.</t>
  </si>
  <si>
    <t>Multiculturalism -- Israel</t>
  </si>
  <si>
    <t>Education As My Agenda : Gertrude Williams, Race, and the Baltimore Public Schools</t>
  </si>
  <si>
    <t>Robinson, J.</t>
  </si>
  <si>
    <t>Palgrave Studies in Oral History Series</t>
  </si>
  <si>
    <t>HT1501-1595.22</t>
  </si>
  <si>
    <t>United States -- Race relations -- History -- 20th century -- Sources</t>
  </si>
  <si>
    <t>Educational Import : Local Encounters with Global Forces in Mongolia</t>
  </si>
  <si>
    <t>Steiner-Khamsi, G.;Stolpe, I.</t>
  </si>
  <si>
    <t>QD241-441</t>
  </si>
  <si>
    <t>Education -- Mongolia. ; Educational change -- Mongolia.</t>
  </si>
  <si>
    <t>Science: Chemistry; Science</t>
  </si>
  <si>
    <t>Gender and Educational Philanthropy : New Perspectives on Funding, Collaboration, and Assessment</t>
  </si>
  <si>
    <t>Ginsberg, A.;Gasman, M.</t>
  </si>
  <si>
    <t>Graduate Study for the Twenty-First Century : How to Build an Academic Career in the Humanities</t>
  </si>
  <si>
    <t>ón Semenza, Gregory M.</t>
  </si>
  <si>
    <t>QE1-996.5</t>
  </si>
  <si>
    <t>Humanities -- Study and teaching (Graduate) -- United States</t>
  </si>
  <si>
    <t>Science: Geology; Science</t>
  </si>
  <si>
    <t>Higher Education, Research, and Knowledge in the Asia-Pacific Region</t>
  </si>
  <si>
    <t>Meek, V.;Suwanwela, C.</t>
  </si>
  <si>
    <t>Issues in Higher Education Series</t>
  </si>
  <si>
    <t>Education, Higher -- Research -- Pacific Area</t>
  </si>
  <si>
    <t>Education; Science; Science: Geology</t>
  </si>
  <si>
    <t>How Computer Games Help Children Learn</t>
  </si>
  <si>
    <t>Gee, James Paul;Shaffer, D.</t>
  </si>
  <si>
    <t>LB1028.3</t>
  </si>
  <si>
    <t>371.33/4</t>
  </si>
  <si>
    <t>Astronomy</t>
  </si>
  <si>
    <t>Inventing the Modern Self and John Dewey : Modernities and the Traveling of Pragmatism in Education</t>
  </si>
  <si>
    <t>Popkewitz, T.</t>
  </si>
  <si>
    <t>Dewey, John, -- 1859-1952 -- Influence. ; Education -- Philosophy.</t>
  </si>
  <si>
    <t>Islamic Identity, Postcoloniality, and Educational Policy : Schooling and Ethno-Religious Conflict in the Southern Philippines</t>
  </si>
  <si>
    <t>Milligan, J.</t>
  </si>
  <si>
    <t>GN</t>
  </si>
  <si>
    <t>Muslims -- Philippines</t>
  </si>
  <si>
    <t>Jewish Intellectuals and the University</t>
  </si>
  <si>
    <t>Morris, M.</t>
  </si>
  <si>
    <t>Antisemitism in education -- Europe -- History</t>
  </si>
  <si>
    <t>Engineering; Science: Geology; Science; Engineering: General</t>
  </si>
  <si>
    <t>Knowledge Society vs. Knowledge Economy : Knowledge, Power, and Politics</t>
  </si>
  <si>
    <t>Sörlin, S.;Vessuri, H.</t>
  </si>
  <si>
    <t>Private Higher Education in Post-Communist Europe : In Search of Legitimacy</t>
  </si>
  <si>
    <t>Slantcheva, S.;Levy, D.</t>
  </si>
  <si>
    <t>Private universities and colleges -- Europe, Central</t>
  </si>
  <si>
    <t>Science; Science: Chemistry</t>
  </si>
  <si>
    <t>Radical Pedagogy : Identity, Generativity, and Social Transformation</t>
  </si>
  <si>
    <t>Bracher, M.</t>
  </si>
  <si>
    <t>Education, Psychoanalysis, and Social Transformation Series</t>
  </si>
  <si>
    <t>BF712-724.92</t>
  </si>
  <si>
    <t>Education -- Social aspects</t>
  </si>
  <si>
    <t>Radicals, Rhetoric, and the War : The University of Nevada in the Wake of Kent State</t>
  </si>
  <si>
    <t>Lucas, B.;Shopes, Linda;Stave, Bruce M.</t>
  </si>
  <si>
    <t>Kent State Shootings, Kent, Ohio, 1970</t>
  </si>
  <si>
    <t>Religion on Our Campuses : A Professor's Guide to Communities, Conflicts, and Promising Conversations</t>
  </si>
  <si>
    <t>Edwards, Mark U., Jr.</t>
  </si>
  <si>
    <t>200.71/173</t>
  </si>
  <si>
    <t>Universities and colleges -- United States -- Religion</t>
  </si>
  <si>
    <t>Science: Geology; Religion; Science</t>
  </si>
  <si>
    <t>Revolution and Pedagogy : Interdisciplinary and Transnational Perspectives on Educational Foundations</t>
  </si>
  <si>
    <t>Ewing, E.</t>
  </si>
  <si>
    <t>Critical pedagogy -- Congresses</t>
  </si>
  <si>
    <t>School Choice and School Governance : A Historical Study of the United States and Germany</t>
  </si>
  <si>
    <t>Herbst, J.</t>
  </si>
  <si>
    <t>QH75-77</t>
  </si>
  <si>
    <t>School choice -- United States -- History</t>
  </si>
  <si>
    <t>Science; Education; Science: Biology/Natural History</t>
  </si>
  <si>
    <t>Schools As Imagined Communities : The Creation of Identity, Meaning, and Conflict in U. S. History</t>
  </si>
  <si>
    <t>Dorn, S.;Shircliffe, B.;Cobb-Roberts, D.</t>
  </si>
  <si>
    <t>371.19/0973</t>
  </si>
  <si>
    <t>Education -- Social aspects -- United States -- History</t>
  </si>
  <si>
    <t>Service-Learning in Higher Education : Critical Issues and Directions</t>
  </si>
  <si>
    <t>Butin, D.</t>
  </si>
  <si>
    <t>LB2300-2799.3</t>
  </si>
  <si>
    <t>Service learning -- United States</t>
  </si>
  <si>
    <t>Surviving Your Academic Job Hunt : Advice for Humanities Phds</t>
  </si>
  <si>
    <t>Hume, K.</t>
  </si>
  <si>
    <t>LB1705-2286</t>
  </si>
  <si>
    <t>Universities and colleges - Faculty - Employment - United States</t>
  </si>
  <si>
    <t>Teaching Transformation : Transcultural Classroom Dialogues</t>
  </si>
  <si>
    <t>Keating, A.</t>
  </si>
  <si>
    <t>The American State Normal School : An Instrument of Great Good</t>
  </si>
  <si>
    <t>Ogren, C.</t>
  </si>
  <si>
    <t>LA1-2396</t>
  </si>
  <si>
    <t>Education-History</t>
  </si>
  <si>
    <t>The Antifascist Classroom : Denazification in Soviet-Occupied Germany, 1945-1949</t>
  </si>
  <si>
    <t>Blessing, B.</t>
  </si>
  <si>
    <t>379.431/0944</t>
  </si>
  <si>
    <t>Chemistry, Organic</t>
  </si>
  <si>
    <t>Science: Chemistry; Science; Education</t>
  </si>
  <si>
    <t>The Child in the World/the World in the Child : Education and the Configuration of a Universal, Modern, and Globalized Childhood</t>
  </si>
  <si>
    <t>Bloch, M.;Kennedy, D.;Lightfoot, T.;Weyenberg, D.</t>
  </si>
  <si>
    <t>Critical Cultural Studies of Childhood Series</t>
  </si>
  <si>
    <t>Comparative education. ; Curriculum change -- Cross-cultural studies. ; Education and globalization -- Cross-cultural studies. ; Education and state -- Cross-cultural studies. ; Education, Elementary -- Standards -- Cross-cultural studies.</t>
  </si>
  <si>
    <t>The College Y : Student Religion in the Era of Secularization</t>
  </si>
  <si>
    <t>Setran, D.</t>
  </si>
  <si>
    <t>BL660-2685.2</t>
  </si>
  <si>
    <t>267/.3973088378198</t>
  </si>
  <si>
    <t>YMCA of the USA -- History</t>
  </si>
  <si>
    <t>The Comprehensive Public High School : Historical Perspectives</t>
  </si>
  <si>
    <t>Sherington, G.;Campbell, Craig</t>
  </si>
  <si>
    <t>Comprehensive high schools -- History -- Cross-cultural studies</t>
  </si>
  <si>
    <t>The Legacy of a Freedom School</t>
  </si>
  <si>
    <t>Adickes, S.</t>
  </si>
  <si>
    <t>Mississippi Freedom Schools. ; Civil rights workers -- Mississippi -- Hattiesburg -- History -- 20th century.</t>
  </si>
  <si>
    <t>To Want to Learn : Insights and Provocations for Engaged Learning</t>
  </si>
  <si>
    <t>J.;Kytle, Jackson</t>
  </si>
  <si>
    <t>LB1050.9-1091</t>
  </si>
  <si>
    <t>Motivation in education</t>
  </si>
  <si>
    <t>Transformations in Schooling : Historical and Comparative Perspectives</t>
  </si>
  <si>
    <t>Tolley, K.</t>
  </si>
  <si>
    <t>Educational change -- History -- 19th century -- Cross-cultural studies. ; Educational change -- History -- 20th century -- Cross-cultural studies. ; Education and state -- History -- 19th century -- Cross-cultural studies. ; Education and state -- History -- 20th century -- Cross-cultural studies.</t>
  </si>
  <si>
    <t>Urban Education in the United States : A Historical Reader</t>
  </si>
  <si>
    <t>Rury, J.</t>
  </si>
  <si>
    <t>Education -- United States -- History</t>
  </si>
  <si>
    <t>What You Don't Know about Schools</t>
  </si>
  <si>
    <t>Kincheloe, J.;Steinberg, S.</t>
  </si>
  <si>
    <t>Education -- Political aspects -- United States. ; Public schools -- Political aspects -- United States.</t>
  </si>
  <si>
    <t>Women and Teaching : Global Perspectives on the Feminization of a Profession</t>
  </si>
  <si>
    <t>Cortina, R.;Román, S. San;San Román, Sonsoles</t>
  </si>
  <si>
    <t>Feminism and education -- History</t>
  </si>
  <si>
    <t>Education; Science: Astronomy; Science</t>
  </si>
  <si>
    <t>Women, Universities, and Change : Gender Equality in the European Union and the United States</t>
  </si>
  <si>
    <t>Sagaria, M.</t>
  </si>
  <si>
    <t>Perspectives on Student Behaviour in Schools : Exploring Theory and Developing Practice</t>
  </si>
  <si>
    <t>Berryman, Mere;Glynn, Ted;Wearmouth, Janice</t>
  </si>
  <si>
    <t>LB1060.2 -- .W43 2005eb</t>
  </si>
  <si>
    <t>Behavior modification -- Cross-cultural studies. ; Problem children -- Education -- Cross-cultural studies. ; School environment -- Cross-cultural studies.</t>
  </si>
  <si>
    <t>Supporting Black Pupils and Parents : Understanding and Improving Home-School Relations</t>
  </si>
  <si>
    <t>Cork, Lorna</t>
  </si>
  <si>
    <t>LC2699 -- .C67 2005eb</t>
  </si>
  <si>
    <t>Students, Black -- Social conditions. ; Home and school. ; Discrimination in education. ; Parent-teacher relationships.</t>
  </si>
  <si>
    <t>Teaching International Students : Improving Learning for All</t>
  </si>
  <si>
    <t>Carroll, Jude;Ryan, Janette;Ryan, Janette</t>
  </si>
  <si>
    <t>LB2375 -- .T43 2005eb</t>
  </si>
  <si>
    <t>Students, Foreign -- English-speaking countries. ; Multicultural education -- English-speaking countries. ; College teaching -- English-speaking countries.</t>
  </si>
  <si>
    <t>Manufacturing Citizenship : Education and Nationalism in Europe, South Asia and China</t>
  </si>
  <si>
    <t>Benei, Veronique</t>
  </si>
  <si>
    <t>LC1091 -- .M36 2005eb</t>
  </si>
  <si>
    <t>Citizenship -- Study and teaching. ; Nationalism -- Study and teaching. ; Educational sociology.</t>
  </si>
  <si>
    <t>Postmodern Education : Politics, Culture, and Social Criticism</t>
  </si>
  <si>
    <t>University of Minnesota Press</t>
  </si>
  <si>
    <t>LA209.2 -- .A78 1991eb</t>
  </si>
  <si>
    <t>370.19/0973;370.190973</t>
  </si>
  <si>
    <t>Knitting. ; Crocheting.</t>
  </si>
  <si>
    <t>End of Education : Toward Posthumanism</t>
  </si>
  <si>
    <t>Spanos, William V.</t>
  </si>
  <si>
    <t>Pedagogy and Cultural Practice</t>
  </si>
  <si>
    <t>LA227.4 -- .S64 1993eb</t>
  </si>
  <si>
    <t>Education, Higher -- United States -- Philosophy. ; Humanism. ; Education, Humanistic -- United States -- History -- 20th century. ; Education, Higher -- Curricula -- United States -- History -- 20th century. ; Educational change -- United States -- History -- 20th century. ; Educational anthropology -- United States.</t>
  </si>
  <si>
    <t>Beyond a Dream Deferred : Multicultural Education and the Politics of Excellence</t>
  </si>
  <si>
    <t>Thompson, Becky W.;Tyagi, Sangeeta;Bell, Derrick</t>
  </si>
  <si>
    <t>LC1099.3 -- .B49 1993eb</t>
  </si>
  <si>
    <t>370.19/6/0973</t>
  </si>
  <si>
    <t>Education, Higher -- Political aspects -- United States. ; Minorities -- Education (Higher) -- United States. ; Education, Higher -- Curricula -- United States. ; Multicultural education -- United States.</t>
  </si>
  <si>
    <t>Learning History in America : Schools, Cultures, and Politics</t>
  </si>
  <si>
    <t>Kramer, Lloyd;Reid, Donald;Barney, William L.</t>
  </si>
  <si>
    <t>E175.8 -- .L43 1994eb</t>
  </si>
  <si>
    <t>907/.2073</t>
  </si>
  <si>
    <t>History -- Study and teaching -- United States. ; Political culture -- United States. ; United States -- History -- Study and teaching. ; United States -- History -- Textbooks.</t>
  </si>
  <si>
    <t>Margins in the Classroom : Teaching Literature</t>
  </si>
  <si>
    <t>Myrsiades, Kostas;Myrsiades, Linda S.</t>
  </si>
  <si>
    <t>v. 2</t>
  </si>
  <si>
    <t>PN70 -- .M35 1994eb</t>
  </si>
  <si>
    <t>807/.1/173</t>
  </si>
  <si>
    <t>Literature -- Study and teaching (Higher) -- United States. ; Literature -- Philosophy. ; Criticism.</t>
  </si>
  <si>
    <t>Crisis of Meaning : In Culture and Education</t>
  </si>
  <si>
    <t>Trend, David</t>
  </si>
  <si>
    <t>v. 3</t>
  </si>
  <si>
    <t>LC196.5.U6 -- T74 1995eb</t>
  </si>
  <si>
    <t>Critical pedagogy -- United States. ; Educational sociology -- United States. ; Education -- Political aspects -- United States. ; Discrimination in education -- United States. ; Minorities -- Education -- United States.</t>
  </si>
  <si>
    <t>Writing Permitted in Designated Areas Only</t>
  </si>
  <si>
    <t>Brodkey, Linda</t>
  </si>
  <si>
    <t>PN181 -- .B76 1996eb</t>
  </si>
  <si>
    <t>808;809</t>
  </si>
  <si>
    <t>Creative writing -- Study and teaching. ; Creative writing.</t>
  </si>
  <si>
    <t>Generations : Academic Feminists in Dialogue</t>
  </si>
  <si>
    <t>Looser, Devoney;Kaplan, E. Ann</t>
  </si>
  <si>
    <t>LC197 -- .G446 1997eb</t>
  </si>
  <si>
    <t>Feminism and education -- United States. ; Feminist theory -- United States. ; Universities and colleges -- United States -- Sociological aspects. ; Women college students -- United States -- Social conditions. ; Women college teachers -- United States -- Social conditions.</t>
  </si>
  <si>
    <t>Framing Identities : Autobiography and the Politics of Pedagogy</t>
  </si>
  <si>
    <t>Hesford, Wendy S.</t>
  </si>
  <si>
    <t>LC196.5.U6 -- H47 1999eb</t>
  </si>
  <si>
    <t>370.11/5;370.115</t>
  </si>
  <si>
    <t>Chicago (Ill.) - History, Local</t>
  </si>
  <si>
    <t>University of Minnesota, 1945-2000 : 1945-2000</t>
  </si>
  <si>
    <t>Lehmberg, Stanford;Pflaum, Ann M.</t>
  </si>
  <si>
    <t>LD3350 -- .L45 2001eb</t>
  </si>
  <si>
    <t>378.776/579</t>
  </si>
  <si>
    <t>University of Minnesota -- History -- 20th century.</t>
  </si>
  <si>
    <t>Snippy and Snappy</t>
  </si>
  <si>
    <t>Gág, Wanda</t>
  </si>
  <si>
    <t>Fesler-Lampert Minnesota Heritage</t>
  </si>
  <si>
    <t>PR6013.A27 -- S65 2003eb</t>
  </si>
  <si>
    <t>813;823.9/12;823.912</t>
  </si>
  <si>
    <t>Friendship -- Juvenile fiction. ; Mice -- Juvenile fiction.</t>
  </si>
  <si>
    <t>Literature; Juvenile Literature</t>
  </si>
  <si>
    <t>Nothing at All</t>
  </si>
  <si>
    <t>PR6013.A27 -- N68 2004eb</t>
  </si>
  <si>
    <t>Dogs -- Fiction. ; Animals -- Infancy -- Fiction. ; Magic -- Fiction.</t>
  </si>
  <si>
    <t>Great Wolf and the Good Woodsman</t>
  </si>
  <si>
    <t>Hoover, Helen;Bowen, Betsy</t>
  </si>
  <si>
    <t>Fesler-Lampert Minnesota Heritage Books</t>
  </si>
  <si>
    <t>PZ10.3.H7803 -- Gr 2005eb</t>
  </si>
  <si>
    <t>[Fic]</t>
  </si>
  <si>
    <t>Wolves -- Juvenile fiction. ; Wolves -- Fiction. ; Christmas stories. ; Animals -- Fiction.</t>
  </si>
  <si>
    <t>Sharing the Wonder of Birds with Kids</t>
  </si>
  <si>
    <t>Erickson, Laura;Marsaa, Kathryn</t>
  </si>
  <si>
    <t>QL673 -- .E74 1997eb</t>
  </si>
  <si>
    <t>Birds. ; Ornithology.</t>
  </si>
  <si>
    <t>Science; Science: Zoology</t>
  </si>
  <si>
    <t>Teaching Kids to Love the Earth</t>
  </si>
  <si>
    <t>Lachecki, Marina;Passineau, Joseph;Linnea, Ann;Treuer, Paul</t>
  </si>
  <si>
    <t>QH51.T433 1991</t>
  </si>
  <si>
    <t>Environmental sciences. ; Nature study -- Activity programs.</t>
  </si>
  <si>
    <t>Juvenile Literature; Science: General; Science: Biology/Natural History; Science</t>
  </si>
  <si>
    <t>History Of Imperial College London, 1907-2007, The: Higher Education And Research In Science, Technology And Medicine</t>
  </si>
  <si>
    <t>Imperial College Press</t>
  </si>
  <si>
    <t>Hannah Gay</t>
  </si>
  <si>
    <t>T173.L9345G39 2007</t>
  </si>
  <si>
    <t>Imperial College of Science, Technology and Medicine</t>
  </si>
  <si>
    <t>Engineering; Engineering: General</t>
  </si>
  <si>
    <t>Mathematical Olympiad In China: Problems And Solutions</t>
  </si>
  <si>
    <t>World Scientific / East China Normal Univ Press, China</t>
  </si>
  <si>
    <t>Bin Xiong;Peng Yee Lee</t>
  </si>
  <si>
    <t>QA43.M3145 2007</t>
  </si>
  <si>
    <t>Mathematics -- Competitions</t>
  </si>
  <si>
    <t>Children's Comprehension Problems in Oral and Written Language : A Cognitive Perspective</t>
  </si>
  <si>
    <t>Cain, Kate;Oakhill, Jane</t>
  </si>
  <si>
    <t>Challenges in Language and Literacy Series</t>
  </si>
  <si>
    <t>LB1050.5</t>
  </si>
  <si>
    <t>Reading disability. ; Reading comprehension. ; Language disorders in children -- Psychological aspects. ; Language disorders in children -- Physiological aspects. ; Cognition disorders in children.</t>
  </si>
  <si>
    <t>Human Behavior, Learning, and the Developing Brain : Atypical Development</t>
  </si>
  <si>
    <t>Coch, Donna;Dawson, Geraldine;Fischer, Kurt W.</t>
  </si>
  <si>
    <t>RJ506.D47</t>
  </si>
  <si>
    <t>618.92/8</t>
  </si>
  <si>
    <t>Developmental disabilities. ; Developmental psychobiology. ; Cognitive neuroscience.</t>
  </si>
  <si>
    <t>Bill Jason Priest : Community College Pioneer</t>
  </si>
  <si>
    <t>University of North Texas</t>
  </si>
  <si>
    <t>University of North Texas Press</t>
  </si>
  <si>
    <t>Whitson, Kathleen Krebbs</t>
  </si>
  <si>
    <t>LA2317.P74 -- W45 2004eb</t>
  </si>
  <si>
    <t>370/.92;B</t>
  </si>
  <si>
    <t>Priest, Bill Jason, -- 1917- ; Dallas County Community College District. ; Community college administrators -- Texas -- Dallas County -- Biography.</t>
  </si>
  <si>
    <t>Inside the Classroom (and Out) : How We Learn Through Folklore</t>
  </si>
  <si>
    <t>Untiedt, Kenneth L.</t>
  </si>
  <si>
    <t>Publications of the Texas Folklore Society (Cloth), 62</t>
  </si>
  <si>
    <t>LB1583.8 -- .I57 2005eb</t>
  </si>
  <si>
    <t>Folklore and education -- United States.</t>
  </si>
  <si>
    <t>Intrinsic and Extrinsic Motivation : The Search for Optimal Motivation and Performance</t>
  </si>
  <si>
    <t>Sansone, Carol;Harackiewicz, Judith M.</t>
  </si>
  <si>
    <t>LB1065 -- .I49 2000eb</t>
  </si>
  <si>
    <t>Chemistry Basics</t>
  </si>
  <si>
    <t>Robertson, William C.</t>
  </si>
  <si>
    <t>QD37.R53 2007</t>
  </si>
  <si>
    <t>Chemistry -- Popular works.</t>
  </si>
  <si>
    <t>Nanoscale Science : Activities for Grades 6-12</t>
  </si>
  <si>
    <t>Jones, M. Gail;Falvo, Michael R.;Taylor, Amy R.;Broadwell, Bethany P.</t>
  </si>
  <si>
    <t>QC176.8.N35N35577 20</t>
  </si>
  <si>
    <t>620/.5</t>
  </si>
  <si>
    <t>Nanoscience. ; Nanostructures. ; Nanotechnology. ; Science -- Study and teaching (Secondary) -- Activity programs. ; Technology -- Study and teaching (Higher) -- Activity programs.</t>
  </si>
  <si>
    <t>Science; Engineering; Science: Physics; Engineering: General</t>
  </si>
  <si>
    <t>More Picture-Perfect Science Lessons : Using Children's Books to Guide Inquiry, K-4</t>
  </si>
  <si>
    <t>Ansberry, Karen Rohrich;Morgan, Emily R.</t>
  </si>
  <si>
    <t>LB1585.A57 2007</t>
  </si>
  <si>
    <t>Science -- Study and teaching (Elementary) ; Picture books for children -- Educational aspects.</t>
  </si>
  <si>
    <t>Uncovering Student Ideas in Science, 2 : 25 More Formative Assessment Probes</t>
  </si>
  <si>
    <t>Keeley, Page;Eberle, Francis;Tugel, Joyce</t>
  </si>
  <si>
    <t>Q181.K248 2005</t>
  </si>
  <si>
    <t>Science -- Study and teaching. ; Educational evaluation.</t>
  </si>
  <si>
    <t>Math</t>
  </si>
  <si>
    <t>Robertson, William C.;Diskin, Brian</t>
  </si>
  <si>
    <t>QA11.2.R63 2006</t>
  </si>
  <si>
    <t>Mathematics -- Study and teaching -- Popular works.</t>
  </si>
  <si>
    <t>Air, Water, and Weather</t>
  </si>
  <si>
    <t>QC981.2.R63 2005</t>
  </si>
  <si>
    <t>551.6/071</t>
  </si>
  <si>
    <t>Weather -- Study and teaching -- Popular works. ; Science -- Study and teaching -- Popular works. ; Science -- Methodology -- Popular works.</t>
  </si>
  <si>
    <t>Science: Physics; Science: Geology; Science</t>
  </si>
  <si>
    <t>Clones, Cats, and Chemicals : Thinking Scientifically about Controversial Issues</t>
  </si>
  <si>
    <t>Slesnick, Irwin L.</t>
  </si>
  <si>
    <t>RB155.S54 2004</t>
  </si>
  <si>
    <t>303.48/3</t>
  </si>
  <si>
    <t>Medical genetics. ; Science -- Public opinion. ; Cats. ; Games of chance (Mathematics) ; Hunting. ; Manned space flight. ; Violence in mass media.</t>
  </si>
  <si>
    <t>Sound : Stop Faking It!</t>
  </si>
  <si>
    <t>QC225.3.R56 2003</t>
  </si>
  <si>
    <t>Sound -- Popular works.</t>
  </si>
  <si>
    <t>Light</t>
  </si>
  <si>
    <t>QC363.R54 2003</t>
  </si>
  <si>
    <t>535/.071/273</t>
  </si>
  <si>
    <t>Light -- Study and teaching (Middle school) ; Optics -- Study and teaching (Middle school)</t>
  </si>
  <si>
    <t>Science; Science: Physics</t>
  </si>
  <si>
    <t>Energy : Stop Faking It!</t>
  </si>
  <si>
    <t>QC73.R55 2002</t>
  </si>
  <si>
    <t>531/.6</t>
  </si>
  <si>
    <t>Force and energy. ; Power (Mechanics)</t>
  </si>
  <si>
    <t>Quantum Quandaries : 100 Brainteasers from Quantum : the Magazine of Math and Science</t>
  </si>
  <si>
    <t>Weber, Timothy;Ivanov, Sergey</t>
  </si>
  <si>
    <t>QA95.Q33 1996</t>
  </si>
  <si>
    <t>Mathematical recreations. ; Mathematics -- Problems, exercises, etc. ; Scientific recreations.</t>
  </si>
  <si>
    <t>Lessons Learned : What International Assessments Tell Us about Math Achievement</t>
  </si>
  <si>
    <t>Loveless, Tom</t>
  </si>
  <si>
    <t>QA135.6.L47 2007</t>
  </si>
  <si>
    <t>International Association for the Evaluation of Educational Achievement - Examinations</t>
  </si>
  <si>
    <t>Think Smart - Act Smart : Avoiding the Business Mistakes That Even Intelligent People Make</t>
  </si>
  <si>
    <t>Nightingale, J.</t>
  </si>
  <si>
    <t>HD30.23 -- .N525 2008eb</t>
  </si>
  <si>
    <t>658.4/03</t>
  </si>
  <si>
    <t>Decision making. ; Errors. ; Management.</t>
  </si>
  <si>
    <t>Online Learning and Teaching in Higher Education</t>
  </si>
  <si>
    <t>Bach, Shirley;Haynes, Philip;Lewis Smith, Jennifer</t>
  </si>
  <si>
    <t>LB2395.7 -- .B33 2007eb</t>
  </si>
  <si>
    <t>Internet in higher education. ; Education, Higher -- Computer-assisted instruction.</t>
  </si>
  <si>
    <t>Facilitating Reflective Learning in Higher Education</t>
  </si>
  <si>
    <t>LB2331 -- .B76 2007eb</t>
  </si>
  <si>
    <t>Education, Higher. ; College teaching. ; Learning strategies.</t>
  </si>
  <si>
    <t>The Research Student's Guide to Success</t>
  </si>
  <si>
    <t>Cryer, Pat</t>
  </si>
  <si>
    <t>LB2395 .C79 2006</t>
  </si>
  <si>
    <t>Universities and colleges-Graduate work. ; Research. ; Dissertations, Academic. ; Study skills.</t>
  </si>
  <si>
    <t>Teachers Matter</t>
  </si>
  <si>
    <t>Day, Christopher;Sammons, Pam;Stobart, Gordon;Kington, Alison;Gu, Qing</t>
  </si>
  <si>
    <t>LB1775 -- .T43 2007eb</t>
  </si>
  <si>
    <t>Teachers -- England. ; Effective teaching -- England.</t>
  </si>
  <si>
    <t>Informing Transitions in the Early Years</t>
  </si>
  <si>
    <t>LB1139.23 -- .I54 2007eb</t>
  </si>
  <si>
    <t>First day of school. ; Early childhood education.</t>
  </si>
  <si>
    <t>Reflective Practice and Supervision for Coaches</t>
  </si>
  <si>
    <t>Hay, Julie</t>
  </si>
  <si>
    <t>HF5549.5.C53 H39 2007</t>
  </si>
  <si>
    <t>Employees-Training of. ; Organizational learning.</t>
  </si>
  <si>
    <t>The Research Game in Academic Life</t>
  </si>
  <si>
    <t>Lucas, Lisa</t>
  </si>
  <si>
    <t>LB2371 -- .L83 2006eb</t>
  </si>
  <si>
    <t>Ethical Leadership</t>
  </si>
  <si>
    <t>Mendonca, Manuel;Kanungo, Rabindra</t>
  </si>
  <si>
    <t>UK Higher Education OUP Psychology Psychology Series</t>
  </si>
  <si>
    <t>HF5387 -- .M46 2007eb</t>
  </si>
  <si>
    <t>Leadership -- Moral and ethical aspects. ; Business ethics. ; Organizational behavior.</t>
  </si>
  <si>
    <t>Effective Leadership and Management in the Early Years</t>
  </si>
  <si>
    <t>Moyles, Janet</t>
  </si>
  <si>
    <t>LB2806 -- .E44 2006eb</t>
  </si>
  <si>
    <t>Educational leadership. ; Early childhood education. ; Nursery schools -- Administration.</t>
  </si>
  <si>
    <t>A Gentle Guide to Research Methods</t>
  </si>
  <si>
    <t>Rugg, Gordon;Petre, Marian</t>
  </si>
  <si>
    <t>LB2369 -- .R84 2007eb</t>
  </si>
  <si>
    <t>B.C. Transit -- Evaluation. ; Local transit -- British Columbia -- Evaluation. ; Transportation and state -- British Columbia.</t>
  </si>
  <si>
    <t>Children's Mathematics 4-15</t>
  </si>
  <si>
    <t>Ryan, Julie;Williams, Julian</t>
  </si>
  <si>
    <t>QA11.2 -- .R93 2007eb</t>
  </si>
  <si>
    <t>Mathematics -- Study and teaching (Elementary) ; Mathematics -- Study and teaching (Secondary)</t>
  </si>
  <si>
    <t>Mathematics; Juvenile Literature</t>
  </si>
  <si>
    <t>Problem-Based Learning Online</t>
  </si>
  <si>
    <t>Savin-Baden, Maggi;Wilkie, Kay</t>
  </si>
  <si>
    <t>LB1027.42 .P76 2006</t>
  </si>
  <si>
    <t>Problem-based learning. ; Internet in education.</t>
  </si>
  <si>
    <t>Professional Learning Communities</t>
  </si>
  <si>
    <t>Stoll, Louise;Seashore Louis, Karen;Stoll, Louise</t>
  </si>
  <si>
    <t>LB1775 -- .S86 2007eb</t>
  </si>
  <si>
    <t>Group work in education. ; Teachers -- Professional relationships.</t>
  </si>
  <si>
    <t>Education and Theory</t>
  </si>
  <si>
    <t>LB14.7 -- .T46 2007eb</t>
  </si>
  <si>
    <t>Education -- Philosophy. ; Theory (Philosophy)</t>
  </si>
  <si>
    <t>The Student's Guide to Exam Success</t>
  </si>
  <si>
    <t>Tracy, Eileen</t>
  </si>
  <si>
    <t>LB3060.57 -- .T73 2006eb</t>
  </si>
  <si>
    <t>378.1/66</t>
  </si>
  <si>
    <t>Réseaux locaux (Informatique) ; Protocoles de réseaux d'ordinateurs. ; Internet. ; Réseaux d'ordinateurs -- Architectures. ; Réseaux locaux (Informatique) -- Problèmes et exercices. ; Local area networks (Computer networks) ; Computer network protocols.</t>
  </si>
  <si>
    <t>Health and Well-Being in Early Childhood</t>
  </si>
  <si>
    <t>Underdown, Angela</t>
  </si>
  <si>
    <t>RJ101 -- .U51 2007eb</t>
  </si>
  <si>
    <t>613.0432;649.4</t>
  </si>
  <si>
    <t>Children -- Health and hygiene. ; Child development. ; Child health services.</t>
  </si>
  <si>
    <t>Medicine; Home Economics; Health</t>
  </si>
  <si>
    <t>Any Child Can Write</t>
  </si>
  <si>
    <t>Wiener, Harvey S.;Wiener, Harvey S.</t>
  </si>
  <si>
    <t>LB1576 -- .W4874 2003eb</t>
  </si>
  <si>
    <t>Education -- Parent participation. ; English language -- Composition and exercises -- Study and teaching. ; Language arts.</t>
  </si>
  <si>
    <t>American Dream and Public Schools</t>
  </si>
  <si>
    <t>Hochschild, Jennifer L.;Scovronick, Nathan</t>
  </si>
  <si>
    <t>LC89.H63 2003</t>
  </si>
  <si>
    <t>371.01/0973</t>
  </si>
  <si>
    <t>Education and state -- United States. ; Educational equalization -- United States. ; Public schools -- United States.</t>
  </si>
  <si>
    <t>Hope and Folly : The United States and UNESCO, 1945-1985</t>
  </si>
  <si>
    <t>Preston, William;Herman, Edward S.;Schiller, Herbert I.</t>
  </si>
  <si>
    <t>Media and Society</t>
  </si>
  <si>
    <t>AS4.U83 -- P74 1989eb</t>
  </si>
  <si>
    <t>341.7/67</t>
  </si>
  <si>
    <t>Local transit -- Employees -- Health and hygiene -- Québec (Province) -- Montréal. ; Subways -- Québec (Province) -- Montréal. ; Industrial hygiene -- Québec (Province) -- Montréal. ; Railroads. ; Occupational Health.</t>
  </si>
  <si>
    <t>Law; General Works/Reference</t>
  </si>
  <si>
    <t>Handbook of Psychoeducational Assessment : A Practical Handbook a Volume in the EDUCATIONAL PSYCHOLOGY Series</t>
  </si>
  <si>
    <t>Phye, Gary D.;Saklofske, Donald H.;Andrews, Jac J. W.;Janzen, Henry L.</t>
  </si>
  <si>
    <t>LB3051.H31985 2001</t>
  </si>
  <si>
    <t>Handbook of Academic Learning : Construction of Knowledge</t>
  </si>
  <si>
    <t>Phye, Gary D.</t>
  </si>
  <si>
    <t>Volume TBD</t>
  </si>
  <si>
    <t>LB1060.H3456 1997</t>
  </si>
  <si>
    <t>Constructivism (Education) ; Learning, Psychology of.</t>
  </si>
  <si>
    <t>Informed Vision : Essays on Learning and Human Nature</t>
  </si>
  <si>
    <t>Algora Publishing</t>
  </si>
  <si>
    <t>Hawkins, David</t>
  </si>
  <si>
    <t>LB41 -- .H34 2002eb</t>
  </si>
  <si>
    <t>Education. ; Science -- Study and teaching.</t>
  </si>
  <si>
    <t>Max Webers Complete Writings on Academic and Political Vocations</t>
  </si>
  <si>
    <t>Dreijmanis, John;Wells, Gordon C.;Dreijmanis, John</t>
  </si>
  <si>
    <t>LB775 -- .W3724 2008eb</t>
  </si>
  <si>
    <t>Education, Higher -- Philosophy. ; Academic freedom. ; Politics, Practical.</t>
  </si>
  <si>
    <t>Artificial Intelligence in Education : Building Technology Rich Learning Contexts That Work</t>
  </si>
  <si>
    <t>Luckin, R.;Koedinger, K. R.;Greer, J.</t>
  </si>
  <si>
    <t>LB1028.43 .I64 2007</t>
  </si>
  <si>
    <t>Artificial intelligence-Educational applications-Congresses. ; Education-Data processing-Congresses.</t>
  </si>
  <si>
    <t>Classroom Literacy Assessment : Making Sense of What Students Know and Do</t>
  </si>
  <si>
    <t>Paratore, Jeanne R.;McCormack, Rachel L.</t>
  </si>
  <si>
    <t>LB1576.C5636 2007</t>
  </si>
  <si>
    <t>Language arts (Elementary) -- Evaluation. ; Reading (Elementary) -- Evaluation.</t>
  </si>
  <si>
    <t>Juvenile Literature; Education</t>
  </si>
  <si>
    <t>Growing up with Autism : Working with School-Age Children and Adolescents</t>
  </si>
  <si>
    <t>Gabriels, Robin L.;Hill, Dina E.</t>
  </si>
  <si>
    <t>Autism in children. ; Autism in adolescence.</t>
  </si>
  <si>
    <t>Promoting Self-Determination in Students with Developmental Disabilities</t>
  </si>
  <si>
    <t>Wehmeyer, Michael L.</t>
  </si>
  <si>
    <t>What Works for Special-Needs Learners Series</t>
  </si>
  <si>
    <t>LC4704.W425 2007</t>
  </si>
  <si>
    <t>Learning disabled children -- Education. ; Learning disabled youth -- Education. ; Decision making in children. ; Decision making in adolescence. ; Determination (Personality trait) in children.</t>
  </si>
  <si>
    <t>Shaping Literacy Achievement : Research We Have, Research We Need</t>
  </si>
  <si>
    <t>Pressley, Michael;Billman, Alison K.;Perry, Kristen H.;Reffitt, Kelly E.;Reynolds, Julia Moorhead</t>
  </si>
  <si>
    <t>LB1050.6.S48 2007</t>
  </si>
  <si>
    <t>428/.4072</t>
  </si>
  <si>
    <t>Literacy -- Research -- United States. ; Reading -- Research -- United States.</t>
  </si>
  <si>
    <t>Food Safety Behaviour and Its Implications</t>
  </si>
  <si>
    <t>Griffith, Chris;Griffith, Chris</t>
  </si>
  <si>
    <t>British Food Journal - Issue 7, Volume 109</t>
  </si>
  <si>
    <t>TX531 -- .F66 2007eb</t>
  </si>
  <si>
    <t>174/.9664</t>
  </si>
  <si>
    <t>Food -- Safety measures. ; Food -- Toxicology.</t>
  </si>
  <si>
    <t>Health; Philosophy</t>
  </si>
  <si>
    <t>Food We Eat - A Range of Perspectives : A Range of Perspectives</t>
  </si>
  <si>
    <t>Vignali, Claudio;Kenyon, Alexandra J.;Kenyon, Alexandra J</t>
  </si>
  <si>
    <t>British Food Journal - Issue 8, Volume 109</t>
  </si>
  <si>
    <t>TX551 -- .F66 2007eb</t>
  </si>
  <si>
    <t>381/.41</t>
  </si>
  <si>
    <t>Food adulteration and inspection. ; Quality control.</t>
  </si>
  <si>
    <t>Business/Management; Health</t>
  </si>
  <si>
    <t>Quality in Apprenticeships</t>
  </si>
  <si>
    <t>Smith, Erica;Grollman, Phillip</t>
  </si>
  <si>
    <t>Education + Training - Issue 6, Volume 49</t>
  </si>
  <si>
    <t>HD4881 -- .Q82 2007eb</t>
  </si>
  <si>
    <t>331.25/922</t>
  </si>
  <si>
    <t>Apprenticeship programs. ; Occupational training.</t>
  </si>
  <si>
    <t>Transition from Higher Education into Work - Tales of Cohesion and Fragmentation : Tales of Cohesion and Fragmentation</t>
  </si>
  <si>
    <t>Holden, Rick;Hamblett, John</t>
  </si>
  <si>
    <t>Education + Training - Issue 7, Volume 49</t>
  </si>
  <si>
    <t>HD5715 -- .H65 2007eb</t>
  </si>
  <si>
    <t>Education, Higher. ; Occupational training.</t>
  </si>
  <si>
    <t>Business/Management; Science; Science: Chemistry</t>
  </si>
  <si>
    <t>Sustainable University - Holistic Approach to Sustainability in Higher Education Institutions : Holistic Approach to Sustainability in Higher Education Institutions</t>
  </si>
  <si>
    <t>Adomssent, Maik;Godemann, Jasmin;Michelsen, Gerd;Michelsen, Gerd</t>
  </si>
  <si>
    <t>International Journal of Sustainability in Higher Education - Issue 4, Volume 8</t>
  </si>
  <si>
    <t>Education, Higher -- Environmental aspects. ; Sustainable development.</t>
  </si>
  <si>
    <t>Integration of Moral Literacy Content and Process in Teaching : The Integration of Moral Literacy Content and Process in Teaching</t>
  </si>
  <si>
    <t>Begley, Paul;Begley, Professor Paul</t>
  </si>
  <si>
    <t>Journal of Educational Administration - Issue 4, Volume 45</t>
  </si>
  <si>
    <t>LC268 -- .I68 2007eb</t>
  </si>
  <si>
    <t>Moral education. ; Ethics.</t>
  </si>
  <si>
    <t>Higher Educations Strategic Response to On-Line Learning - Critical Perspectives and Creative Successes : Critical Perspectives and Creative Successes</t>
  </si>
  <si>
    <t>Kunstler, Barton;Gueverra, Jonathan;Gueverra, Jonathan</t>
  </si>
  <si>
    <t>On the Horizon - Issue 3, Volume 15</t>
  </si>
  <si>
    <t>LC5803.C65 -- H54 2007eb</t>
  </si>
  <si>
    <t>371.33;371.33/4</t>
  </si>
  <si>
    <t>Distance education -- Computer network resources. ; Computer-assisted instruction.</t>
  </si>
  <si>
    <t>Voices of Reason : Adolescents Talk about Their Futures over Time</t>
  </si>
  <si>
    <t>Sachs, Stephen B.</t>
  </si>
  <si>
    <t>HQ796 -- .S2 2002eb</t>
  </si>
  <si>
    <t>646.7/00835</t>
  </si>
  <si>
    <t>Decision making in adolescence -- United States</t>
  </si>
  <si>
    <t>Social Science; Home Economics</t>
  </si>
  <si>
    <t>Revista Panamerica de Salud Pública. Número especial sobre inequidad</t>
  </si>
  <si>
    <t>Pan American Health Organization</t>
  </si>
  <si>
    <t>Washington, D. C.</t>
  </si>
  <si>
    <t>Pan American Health Organization (PAHO)</t>
  </si>
  <si>
    <t>PAHO</t>
  </si>
  <si>
    <t>RA393 .R48 2002</t>
  </si>
  <si>
    <t>Health services accessibility. ; Equality-Health aspects.</t>
  </si>
  <si>
    <t>Making Waves and Riding the Currents : Activism and the Practice of Wisdom</t>
  </si>
  <si>
    <t>Berrett_Koehler</t>
  </si>
  <si>
    <t>Berrett-Koehler Publishers, Incorporated</t>
  </si>
  <si>
    <t>Halpern, Charles;Reich, Robert B.;Reich, Robert B.</t>
  </si>
  <si>
    <t>BK Currents</t>
  </si>
  <si>
    <t>CT275.H2584A3 2008</t>
  </si>
  <si>
    <t>973.92092 B</t>
  </si>
  <si>
    <t>Halpern, Charles, -- 1939- ; Center for Law and Social Policy. ; City University of New York. -- School of Law at Queens College. ; Nathan Cummings Foundation. ; Political activists -- United States -- Biography. ; Social reformers -- United States -- Biography. ; Lawyers -- United States -- Biography.</t>
  </si>
  <si>
    <t>Solving Tough Problems : An Open Way of Talking, Listening, and Creating New Realities</t>
  </si>
  <si>
    <t>Kahane, Adam;Senge, Peter</t>
  </si>
  <si>
    <t>HM1126.K34 2004</t>
  </si>
  <si>
    <t>303.6/9</t>
  </si>
  <si>
    <t>Conflict management. ; Problem solving. ; Communication.</t>
  </si>
  <si>
    <t>Improving Mathematics and Science Education : A Longitudinal Investigation of the Relationship Between Reform-Oriented Instruction and Student Achievement</t>
  </si>
  <si>
    <t>Le, Vi-Nhuan;Stecher, Brian M.;Lockwood, J. R.</t>
  </si>
  <si>
    <t>QA135.6 -- .I47 2006eb</t>
  </si>
  <si>
    <t>Mathematics -- Study and teaching (Elementary) -- United States. ; Science -- Study and teaching (Elementary) -- United States. ; Education -- Aims and objectives -- United States. ; Academic achievement -- United States.</t>
  </si>
  <si>
    <t>Reforming Teacher Education : Something Old, Something New</t>
  </si>
  <si>
    <t>Kirby, Sheila Nataraj;McCombs, Jennifer Sloan;Barney, Heather;Naftel, Scott</t>
  </si>
  <si>
    <t>LB1715 -- .R363 2006eb</t>
  </si>
  <si>
    <t>Teachers -- Training of -- United States. ; Educational change -- United States.</t>
  </si>
  <si>
    <t>Education for a New Era : Design and Implementation of K-12 Education Reform in Qatar</t>
  </si>
  <si>
    <t>Brewer, Dominic J.;Augustine, Catherine H.;Zellman, Gail L.</t>
  </si>
  <si>
    <t>LA1435 -- .E38 2007eb</t>
  </si>
  <si>
    <t>Education -- Qatar. ; Education and state -- Qatar.</t>
  </si>
  <si>
    <t>How Schools Can Help Students Recover from Traumatic Experiences : A Tool Kit for Supporting Long-Term Recovery</t>
  </si>
  <si>
    <t>Jaycox, Lisa H.;Morse, Lindsey K.;Tanielian, Terri</t>
  </si>
  <si>
    <t>RJ506.P66 -- H59 2006eb</t>
  </si>
  <si>
    <t>618.92/8521</t>
  </si>
  <si>
    <t>Psychic trauma in children -- Treatment. ; Post-traumatic stress disorder in children -- Treatment. ; School children -- Mental health. ; Schools -- Sociological aspects.</t>
  </si>
  <si>
    <t>Standards-Based Accountability Under No Child Left Behind : Experiences of Teachers and Administrators in Three States</t>
  </si>
  <si>
    <t>Hamilton, Laura S.;Stecher, Brian M.;Marsh, Julie A.</t>
  </si>
  <si>
    <t>LB2806.22 -- .S73 2007eb</t>
  </si>
  <si>
    <t>379.1/580973</t>
  </si>
  <si>
    <t>United States. -- No Child Left Behind Act of 2001. ; Educational accountability -- California. ; Educational accountability -- Georgia. ; Educational accountability -- Pennsylvania. ; Education -- Standards -- California. ; Education -- Standards -- Georgia. ; Education -- Standards -- Pennsylvania.</t>
  </si>
  <si>
    <t>Revolutionizing Education : Youth Participatory Action Research in Motion</t>
  </si>
  <si>
    <t>Cammarota, Julio;Fine, Michelle</t>
  </si>
  <si>
    <t>Critical Youth Studies</t>
  </si>
  <si>
    <t>LB1028.25.U6 -- R48 2008eb</t>
  </si>
  <si>
    <t>Action research in education - United States</t>
  </si>
  <si>
    <t>Current Trends in the Development and Teaching of the Four Language Skills</t>
  </si>
  <si>
    <t>Usó-Juan, Esther;Martínez-Flor, Alicia;Usó-Juan, Esther;Martínez-Flor, Alicia</t>
  </si>
  <si>
    <t>Studies on Language Acquisition [SOLA] Series</t>
  </si>
  <si>
    <t>P51.C87 2006</t>
  </si>
  <si>
    <t>Language and languages -- Study and teaching.</t>
  </si>
  <si>
    <t>Investigations in Instructed Second Language Acquisition</t>
  </si>
  <si>
    <t>Housen, Alex;Pierrard, Michel</t>
  </si>
  <si>
    <t>P118.2.I583 2005</t>
  </si>
  <si>
    <t>Contemporary Theatre in Education</t>
  </si>
  <si>
    <t>Wooster, Roger</t>
  </si>
  <si>
    <t>PN3171.W66 2007</t>
  </si>
  <si>
    <t>Drama in education. ; Amateur theater.</t>
  </si>
  <si>
    <t>Fine Arts; Fiction</t>
  </si>
  <si>
    <t>International Perspectives on Education, Training and Learning</t>
  </si>
  <si>
    <t>Education + Training - Volume 49, Issue 8 &amp; 9</t>
  </si>
  <si>
    <t>T61 -- .T38498 2007eb</t>
  </si>
  <si>
    <t>607.05A51</t>
  </si>
  <si>
    <t>Technical education -- Great Britain. ; Employees -- Training of.</t>
  </si>
  <si>
    <t>Change Management in Academic Libraries 1 : Change Management in Academic Libraries, Part 1</t>
  </si>
  <si>
    <t>O'Connor, Steve</t>
  </si>
  <si>
    <t>Library Management - Volume 28, Issue 8 &amp; 9</t>
  </si>
  <si>
    <t>Z675.U5 -- L5328 2007eb</t>
  </si>
  <si>
    <t>Academic libraries -- Administration. ; Library administration.</t>
  </si>
  <si>
    <t>Research-Based Methods of Reading Instruction for English Language Learners, Grades K-4 : Ascd</t>
  </si>
  <si>
    <t>LB1525 .V337 2007</t>
  </si>
  <si>
    <t>372.41/6</t>
  </si>
  <si>
    <t>Reading (Elementary)-United States. ; English language-Study and teaching (Elementary)-Foreign speakers.</t>
  </si>
  <si>
    <t>Get Real about Sex</t>
  </si>
  <si>
    <t>Alldred, Pam;David, Miriam</t>
  </si>
  <si>
    <t>HQ57.6.G7 -- A55 2007eb</t>
  </si>
  <si>
    <t>Sex instruction -- Great Britain. ; Sex instruction -- Government policy -- Great Britain. ; Sex instruction for youth. ; Masculinity -- Great Britain. ; Femininity -- Great Britain.</t>
  </si>
  <si>
    <t>A Will to Learn: Being a Student in an Age of Uncertainty</t>
  </si>
  <si>
    <t>Barnett, Ronald</t>
  </si>
  <si>
    <t>LB1071 -- .B37 2007eb</t>
  </si>
  <si>
    <t>Will-Study and teaching (Higher) ; Learning-Study and teaching (Higher) ; Educational psychology. ; Education, Higher.</t>
  </si>
  <si>
    <t>Developing Effective Assessment in Higher Education: a Practical Guide</t>
  </si>
  <si>
    <t>Bloxham, Sue;Boyd, Pete</t>
  </si>
  <si>
    <t>LB3056.G7 -- B569 2007eb</t>
  </si>
  <si>
    <t>Educational tests and measurements-Great Britain. ; Students-Rating of-Great Britain. ; Examinations-Great Britain-Design and construction. ; Education, Higher-Great Britain-Evaluation.</t>
  </si>
  <si>
    <t>Flexible Higher Education: Reflections from Expert Experience</t>
  </si>
  <si>
    <t>Burge, Elizabeth</t>
  </si>
  <si>
    <t>LC5800 .B87 2007</t>
  </si>
  <si>
    <t>Open learning. ; Distance education. ; Education, Higher-Aims and objectives. ; Education, Higher-Effect of technological innovations on.</t>
  </si>
  <si>
    <t>Challenging e-Learning in the University</t>
  </si>
  <si>
    <t>Goodfellow, Robin;Lea, Mary</t>
  </si>
  <si>
    <t>LB2395.7 .G66 2007</t>
  </si>
  <si>
    <t>Education, Higher-Computer-assisted instruction. ; Education, Higher-Computer-assisted instruction-Case studies. ; Internet in higher education.</t>
  </si>
  <si>
    <t>Developing Teaching Skills in the Primary School</t>
  </si>
  <si>
    <t>Johnston, Jane;Halocha, John;Chater, Mark</t>
  </si>
  <si>
    <t>LB1775.8 .J65 2007</t>
  </si>
  <si>
    <t>Primary school teachers-In-service training. ; Primary school teaching. ; Education, Primary.</t>
  </si>
  <si>
    <t>Skilful Time Management</t>
  </si>
  <si>
    <t>Levin, Peter</t>
  </si>
  <si>
    <t>LB1049 .L454 2007</t>
  </si>
  <si>
    <t>Students-Time management. ; Study skills.</t>
  </si>
  <si>
    <t>Adults Learning</t>
  </si>
  <si>
    <t>Rogers, Jenny</t>
  </si>
  <si>
    <t>LC5215 -- .R6 2007eb</t>
  </si>
  <si>
    <t>Children, Families and Communities: Creating and Sustaining Integrated Services</t>
  </si>
  <si>
    <t>Broadhead, Pat;Meleady, Chrissy;Delgado, Marco</t>
  </si>
  <si>
    <t>HV700.G7 B76 2008</t>
  </si>
  <si>
    <t>Children-Services for-Great Britain. ; Family services-Great Britain.</t>
  </si>
  <si>
    <t>Science for Primary School Teachers</t>
  </si>
  <si>
    <t>Gillespie, Helena;Gillespie, Rob</t>
  </si>
  <si>
    <t>LB1585 .G55 2007</t>
  </si>
  <si>
    <t>Science-Study and teaching (Elementary) ; Science-Study and teaching (Elementary)-Handbooks, manuals, etc.</t>
  </si>
  <si>
    <t>Understanding Phonics and the Teaching of Reading: a Critical Perspective</t>
  </si>
  <si>
    <t>Goouch, Kathy;Lambirth, Andrew</t>
  </si>
  <si>
    <t>LB1573.3 .U53 2007</t>
  </si>
  <si>
    <t>Reading-Phonetic method. ; Reading-Phonetic method-Government policy-Great Britain.</t>
  </si>
  <si>
    <t>Education; Juvenile Literature</t>
  </si>
  <si>
    <t>How to Get a Good Degree</t>
  </si>
  <si>
    <t>Race, Phil</t>
  </si>
  <si>
    <t>LB2343.3 .R35 2007</t>
  </si>
  <si>
    <t>College student orientation. ; Degrees, Academic.</t>
  </si>
  <si>
    <t>Playing Outdoors : Spaces and Places, Risk and Challenge</t>
  </si>
  <si>
    <t>Tovey, Helen</t>
  </si>
  <si>
    <t>GV191.63 .T68 2007</t>
  </si>
  <si>
    <t>Outdoor recreation for children. ; Outdoor recreation for children-Safety measures. ; Play environments. ; Play environments-Safety measures.</t>
  </si>
  <si>
    <t>Recess : Its Role in Education and Development</t>
  </si>
  <si>
    <t>Pellegrini, Anthony D.</t>
  </si>
  <si>
    <t>371.2/424</t>
  </si>
  <si>
    <t>Executive MBA : An Insider's Guide for Working Professionals in Pursuit of Graduate Business Education</t>
  </si>
  <si>
    <t>Electronic and Database Publishing</t>
  </si>
  <si>
    <t>Electronic &amp; Database Publishing, Inc.</t>
  </si>
  <si>
    <t>Price, Jason</t>
  </si>
  <si>
    <t>HD30.4.P733 2004</t>
  </si>
  <si>
    <t>Industrial management--Study and teaching (Graduate)</t>
  </si>
  <si>
    <t>Enrolling Our Adult Learners Back Into School : A Five Session Motivational Interviewing Engagement Process</t>
  </si>
  <si>
    <t>Fields, Ann</t>
  </si>
  <si>
    <t>LC5215.F54 2006</t>
  </si>
  <si>
    <t>Adult education.</t>
  </si>
  <si>
    <t>Acting Antics : A Theatrical Approach to Teaching Social Understanding to Kids and Teens with Asperger Syndrome</t>
  </si>
  <si>
    <t>Attwood, Anthony;Schneider, Cindy;Attwood, Tony</t>
  </si>
  <si>
    <t>RJ506.A9S388 2007</t>
  </si>
  <si>
    <t>Asperger's syndrome -- Patients -- Education. ; Asperger's syndrome -- Social aspects. ; Drama -- Therapeutic use. ; Social skills in adolescence. ; Social skills in children.</t>
  </si>
  <si>
    <t>Advocacy in Action : The Fourth Book of Speaking up: a Plain Text Guide to Advocacy</t>
  </si>
  <si>
    <t>Lyon, Kate;Tufail, John;Lyon, Kate</t>
  </si>
  <si>
    <t>HV40 -- .T85 2007eb</t>
  </si>
  <si>
    <t>Social advocacy. ; People with disabilities -- Services for. ; Self-help techniques. ; Self-help groups.</t>
  </si>
  <si>
    <t>Asperger Syndrome and Bullying : Strategies and Solutions</t>
  </si>
  <si>
    <t>Dubin, Nick</t>
  </si>
  <si>
    <t>RC553.A88 -- D83 2007eb</t>
  </si>
  <si>
    <t>362.196/85882</t>
  </si>
  <si>
    <t>Asperger's syndrome -- Social aspects. ; Bullying in schools. ; Bullying in the workplace.</t>
  </si>
  <si>
    <t>Asperger Syndrome in the Inclusive Classroom : Advice and Strategies for Teachers</t>
  </si>
  <si>
    <t>Betts, Stacey W.;Betts, Dion;Gerber-Eckard, Lisa N.</t>
  </si>
  <si>
    <t>LC4717.B48 2007</t>
  </si>
  <si>
    <t>Autistic children -- Education. ; Asperger's syndrome. ; Inclusive education.</t>
  </si>
  <si>
    <t>Autistic Planet</t>
  </si>
  <si>
    <t>RC553.A88 -- E42 2007eb</t>
  </si>
  <si>
    <t>Psychology; Literature; Medicine</t>
  </si>
  <si>
    <t>Counselling People on the Autism Spectrum : A Practical Manual</t>
  </si>
  <si>
    <t>Paxton, Katherine;Estay, Irene</t>
  </si>
  <si>
    <t>RC553.A88 -- P39 2007eb</t>
  </si>
  <si>
    <t>Autistic people -- Counseling of -- Handbooks, manuals, etc. ; Autistic people -- Rehabilitation -- Handbooks, manuals, etc. ; Autism -- Handbooks, manuals, etc.</t>
  </si>
  <si>
    <t>Medicine; Psychology; Health; Social Science</t>
  </si>
  <si>
    <t>Helping Children with Nonverbal Learning Disabilities to Flourish : A Guide for Parents and Professionals</t>
  </si>
  <si>
    <t>Martin Zion, Marilyn</t>
  </si>
  <si>
    <t>RJ506.L4 -- M37 2007eb</t>
  </si>
  <si>
    <t>Learning disabled children -- Rehabilitation. ; Nonverbal learning disabilities.</t>
  </si>
  <si>
    <t>Intervention and Support for Parents and Carers of Children and Young People on the Autism Spectrum : A Resource for Trainers</t>
  </si>
  <si>
    <t>Brayshaw, Joanne;Williams, Christopher;Brayshaw, Joanne</t>
  </si>
  <si>
    <t>RJ506.A9W75 2007</t>
  </si>
  <si>
    <t>Autism in children -- Handbooks, manuals, etc. ; Asperger's syndrome -- Handbooks, manuals, etc.</t>
  </si>
  <si>
    <t>Introducing Advocacy : The First Book of Speaking up: a Plain Text Guide to Advocacy</t>
  </si>
  <si>
    <t>Lyon, Kate;Tufail, John</t>
  </si>
  <si>
    <t>HV40 .T84 2007</t>
  </si>
  <si>
    <t>Social advocacy. ; Patient advocacy.</t>
  </si>
  <si>
    <t>Listen up! Speak Up! : The Third Book of Speaking up - a Plain Text Guide to Advocacy</t>
  </si>
  <si>
    <t>HV40.T85 2007b</t>
  </si>
  <si>
    <t>Social advocacy. ; People with disabilities -- Services for. ; Self-help techniques. ; Listening.</t>
  </si>
  <si>
    <t>Nurture Groups in School and at Home : Connecting with Children with Social, Emotional and Behavioural Difficulties</t>
  </si>
  <si>
    <t>Bennathan, Marion;Cooper, Paul;Tiknaz, Yonca;Rose, Jim</t>
  </si>
  <si>
    <t>Innovative Learning for All Series</t>
  </si>
  <si>
    <t>LB1032.C5915 2007</t>
  </si>
  <si>
    <t>Planning and Support for People with Intellectual Disabilities : Issues for Case Managers and Other Professionals</t>
  </si>
  <si>
    <t>LaVigna, Gary W.;Emerson, Eric;Fyffe, Estelle;Fyffe, Chris;Willis, Thomas J.;Gavidia-Payne, Susana;Balandin, Susan;Bigby, Christine M.;Burgen, Brenda;Flynn, Margaret</t>
  </si>
  <si>
    <t>HV3004 -- .P55 2007eb</t>
  </si>
  <si>
    <t>362.3/532</t>
  </si>
  <si>
    <t>People with mental disabilities -- Services for. ; Social work with people with disabilities.</t>
  </si>
  <si>
    <t>Rules and Standards : The Second Book of Speaking up: a Plain Text Guide to Advocacy</t>
  </si>
  <si>
    <t>HV40.T85 2007</t>
  </si>
  <si>
    <t>Social advocacy. ; People with disabilities -- Services for. ; Self-help techniques.</t>
  </si>
  <si>
    <t>Tales from the Table : Lovaas/ABA Intervention with Children on the Autistic Spectrum</t>
  </si>
  <si>
    <t>Anderson, Margaret</t>
  </si>
  <si>
    <t>LC4717.A53 2007</t>
  </si>
  <si>
    <t>Lovaas, O. Ivar -- (Ole Ivar), -- 1927-2010. ; Autistic children -- Education -- Case studies. ; Home schooling -- Case studies.</t>
  </si>
  <si>
    <t>Talking Teenagers : Information and Inspiration for Parents of Teenagers with Autism or Asperger's Syndrome</t>
  </si>
  <si>
    <t>Boushéy, Ann</t>
  </si>
  <si>
    <t>RJ506.A9B683 2007</t>
  </si>
  <si>
    <t>Autism in adolescence. ; Asperger's syndrome in adolescence. ; Parents of autistic children.</t>
  </si>
  <si>
    <t>The Verbal Behavior Approach : How to Teach Children with Autism and Related Disorders</t>
  </si>
  <si>
    <t>Barbera, Mary Lynch;Rasmussen, Tracy</t>
  </si>
  <si>
    <t>RJ506.A9 -- B27 2007eb</t>
  </si>
  <si>
    <t>Autism in children. ; Autistic children -- Language. ; Developmentally disabled children -- Language. ; Verbal behavior.</t>
  </si>
  <si>
    <t>Working to Be Someone : Child Focused Research and Practice with Working Children</t>
  </si>
  <si>
    <t>Hungerland, Beatrice;Invernizzi, Antonella;Leonard, Madeleine;Liebel, Manfred;Myers, William;Wihstutz, Anne;Morrow, Virginia;Mizen, Phillip;Milne, Brian;Hobbs, Sandy</t>
  </si>
  <si>
    <t>HD6231.W68 2007</t>
  </si>
  <si>
    <t>331.3/1</t>
  </si>
  <si>
    <t>Child labor -- Case studies.</t>
  </si>
  <si>
    <t>Creating a Vision for Your School : Moving from Purpose to Practice</t>
  </si>
  <si>
    <t>Bainbridge, Sarah</t>
  </si>
  <si>
    <t>Lucky Duck Bks.</t>
  </si>
  <si>
    <t>LB2822.84.G7B35 2007</t>
  </si>
  <si>
    <t>371.2/070941</t>
  </si>
  <si>
    <t>School improvement programs -- Great Britain. ; School management and organization.</t>
  </si>
  <si>
    <t>Democratic Leadership in Education</t>
  </si>
  <si>
    <t>Woods, Philip Arthur</t>
  </si>
  <si>
    <t>LB2806.W734 2005</t>
  </si>
  <si>
    <t>Developing Consideration, Respect and Tolerance for 7 to 9 Year Olds</t>
  </si>
  <si>
    <t>Brunskill, Karen</t>
  </si>
  <si>
    <t>LC268.B78 2006</t>
  </si>
  <si>
    <t>Social skills -- Study and teaching. ; Life skills -- Study and teaching.</t>
  </si>
  <si>
    <t>Developing School Provision for Children with Dyspraxia : A Practical Guide</t>
  </si>
  <si>
    <t>Jones, Nichola</t>
  </si>
  <si>
    <t>LC1203.G7D48 2005</t>
  </si>
  <si>
    <t>Apraxia</t>
  </si>
  <si>
    <t>Developing the Emotionally Literate School</t>
  </si>
  <si>
    <t>LB1072.W43 2004</t>
  </si>
  <si>
    <t>Doing Action Research : A Guide for School Support Staff</t>
  </si>
  <si>
    <t>Taylor, Claire;Wilkie, Min;Baser, Judith</t>
  </si>
  <si>
    <t>Supporting Learning Professionally Series</t>
  </si>
  <si>
    <t>LB1028.24.T36 2006</t>
  </si>
  <si>
    <t>Doing Your Undergraduate Project</t>
  </si>
  <si>
    <t>Reardon, Denis</t>
  </si>
  <si>
    <t>SAGE Essential Study Skills Series</t>
  </si>
  <si>
    <t>LB2369.R43 2006</t>
  </si>
  <si>
    <t>378.1/70281</t>
  </si>
  <si>
    <t>Social sciences - Research</t>
  </si>
  <si>
    <t>Educational Leadership : Ambiguity, Professionals and Managerialism</t>
  </si>
  <si>
    <t>Hoyle, Eric;Wallace, Mike</t>
  </si>
  <si>
    <t>LB2805.H7167 2005</t>
  </si>
  <si>
    <t>Educational Leadership : Culture and Diversity</t>
  </si>
  <si>
    <t>Dimmock, Clive;Walker, Allan David</t>
  </si>
  <si>
    <t>LB2805.D523 2005</t>
  </si>
  <si>
    <t>Educational leadership - Social aspects</t>
  </si>
  <si>
    <t>Educational Leadership : Personal Growth for Professional Development</t>
  </si>
  <si>
    <t>Tomlinson, Harry;British Educational Leadership, Management and Administration Society Staff</t>
  </si>
  <si>
    <t>LB2831.9.T66 2004</t>
  </si>
  <si>
    <t>371.2/011</t>
  </si>
  <si>
    <t>Educational Research, Policymaking and Practice</t>
  </si>
  <si>
    <t>LB1028.25.G7H36 2002</t>
  </si>
  <si>
    <t>Enhancing Courage, Respect and Assertiveness for 9 to 12 Year Olds : 9 to 12 Year Olds</t>
  </si>
  <si>
    <t>BJ1631.B78 2006</t>
  </si>
  <si>
    <t>Education; Philosophy</t>
  </si>
  <si>
    <t>Handwriting : The Way to Teach It</t>
  </si>
  <si>
    <t>Sassoon, Rosemary</t>
  </si>
  <si>
    <t>LB1590.S26 2003</t>
  </si>
  <si>
    <t>Penmanship - Study and teaching</t>
  </si>
  <si>
    <t>Handwriting Problems in the Secondary School</t>
  </si>
  <si>
    <t>LB1590.S258 2006</t>
  </si>
  <si>
    <t>Penmanship - Study and teaching (Secondary)</t>
  </si>
  <si>
    <t>How Very Effective Primary Schools Work</t>
  </si>
  <si>
    <t>James, Chris R.;Connolly, Michael;Dunning, Gerald;Elliott, Tony</t>
  </si>
  <si>
    <t>LA664.H69 2006</t>
  </si>
  <si>
    <t>372.24/109429</t>
  </si>
  <si>
    <t>School improvement programs - Wales</t>
  </si>
  <si>
    <t>Introduction to International Education : International Schools and Their Communities</t>
  </si>
  <si>
    <t>Hayden, Mary</t>
  </si>
  <si>
    <t>LC1090.H33 2006</t>
  </si>
  <si>
    <t>International schools</t>
  </si>
  <si>
    <t>Leadership for Mortals : Developing and Sustaining Leaders of Learning</t>
  </si>
  <si>
    <t>Fink, Dean</t>
  </si>
  <si>
    <t>LB2806.F514 2005</t>
  </si>
  <si>
    <t>Leading and Managing Education : International Dimensions</t>
  </si>
  <si>
    <t>Foskett, Nicholas H.;Lumby, Jacky</t>
  </si>
  <si>
    <t>LB2805.F617 2003</t>
  </si>
  <si>
    <t>Learning Power in Practice : A Guide for Teachers</t>
  </si>
  <si>
    <t>Deakin Crick, Ruth</t>
  </si>
  <si>
    <t>LB1060.D39 2006</t>
  </si>
  <si>
    <t>Learning Support for Mature Students : A Guide for Mature Students</t>
  </si>
  <si>
    <t>Hoult, Elizabeth</t>
  </si>
  <si>
    <t>SAGE Study Skills Series</t>
  </si>
  <si>
    <t>LC5225.L42H68 2006</t>
  </si>
  <si>
    <t>Learning to Be Confident, Determined and Caring for 5 to 7 Year Olds</t>
  </si>
  <si>
    <t>LB1115.B78 2006</t>
  </si>
  <si>
    <t>Self-esteem in children. ; Social skills -- Study and teaching. ; Life skills -- Study and teaching.</t>
  </si>
  <si>
    <t>Living Your Best Life with Aspergers Syndrome : How a Young Boy and His Mother Deal with the Challenges and Joys of Being Eleven, Brilliant and Socially Absent</t>
  </si>
  <si>
    <t>Barber, Karra</t>
  </si>
  <si>
    <t>RJ506.A9B37 2006</t>
  </si>
  <si>
    <t>Asperger's syndrome -- Patients -- Biography. ; Autistic people -- Biography.</t>
  </si>
  <si>
    <t>Psychology; Medicine; Social Science; Health</t>
  </si>
  <si>
    <t>Making Sense of Education Policy : Studies in the Sociology and Politics of Education</t>
  </si>
  <si>
    <t>LC93.G7W45 2002</t>
  </si>
  <si>
    <t>Education and state - Wales</t>
  </si>
  <si>
    <t>Managing Special Educational Needs : A Practical Guide for Primary and Secondary Schools</t>
  </si>
  <si>
    <t>Gibson, Suanne;Blandford, Sonia</t>
  </si>
  <si>
    <t>LC3986.G7G53 2005</t>
  </si>
  <si>
    <t>Children with disabilities -- Education (Elementary) -- Great Britain. ; Children with disabilities -- Education (Secondary) -- Great Britain. ; School management and organization -- Great Britain. ; Special education -- Great Britain -- Administration.</t>
  </si>
  <si>
    <t>Managing Teacher Workload : Work-Life Balance and Wellbeing</t>
  </si>
  <si>
    <t>Bubb, Sara;Earley, Peter</t>
  </si>
  <si>
    <t>LB2838.8.B83 2004</t>
  </si>
  <si>
    <t>Teachers -- Workload</t>
  </si>
  <si>
    <t>Managing the Business of Schools</t>
  </si>
  <si>
    <t>Keating, Iris;Moorcroft, Ray</t>
  </si>
  <si>
    <t>LB2805.M2747 2006</t>
  </si>
  <si>
    <t>Mental Health in Schools : A Guide to Pastoral and Curriculum Provision</t>
  </si>
  <si>
    <t>Prever, Mark</t>
  </si>
  <si>
    <t>LB3430.P74 2006</t>
  </si>
  <si>
    <t>Students - Mental health services</t>
  </si>
  <si>
    <t>Planning Educational Visits for the Early Years</t>
  </si>
  <si>
    <t>Salaman, Anna;Tutchell, Suzy</t>
  </si>
  <si>
    <t>LB1047.S315 2005</t>
  </si>
  <si>
    <t>Education, Preschool - Activity programs - Planning</t>
  </si>
  <si>
    <t>Practitioner Research for Teachers</t>
  </si>
  <si>
    <t>Burton, Diana M.;Bartlett, Steve</t>
  </si>
  <si>
    <t>LB1028.B87 2005</t>
  </si>
  <si>
    <t>Preventing Bullying in Schools : A Guide for Teachers and Other Professionals</t>
  </si>
  <si>
    <t>Lee, Chris</t>
  </si>
  <si>
    <t>LB3013.3.L44 2004</t>
  </si>
  <si>
    <t>Bullying in schools - Prevention</t>
  </si>
  <si>
    <t>Promoting Friendships in the Playground : A Peer Befriending Programme for Primary Schools</t>
  </si>
  <si>
    <t>Bishop, Brigette</t>
  </si>
  <si>
    <t>BF723.F68B57 2006</t>
  </si>
  <si>
    <t>Playgrounds -- Social aspects.</t>
  </si>
  <si>
    <t>Promoting Learning for Bilingual Pupils 3-11 : Opening Doors to Success</t>
  </si>
  <si>
    <t>Conteh, Jean</t>
  </si>
  <si>
    <t>LC3725.P76 2006</t>
  </si>
  <si>
    <t>Linguistic minorities - Education (Elementary)</t>
  </si>
  <si>
    <t>Reflective Practice in Geography Teaching</t>
  </si>
  <si>
    <t>Kent, Ashley</t>
  </si>
  <si>
    <t>G73.R42 2000</t>
  </si>
  <si>
    <t>910.7/12</t>
  </si>
  <si>
    <t>Geography/Travel</t>
  </si>
  <si>
    <t>Rethinking Educational Leadership : Challenging the Conventions</t>
  </si>
  <si>
    <t>Bennett, Nigel D.;Anderson, Lesley</t>
  </si>
  <si>
    <t>LB2805.R48 2003</t>
  </si>
  <si>
    <t>Schools and Special Needs : Issues of Innovation and Inclusion</t>
  </si>
  <si>
    <t>Dyson, Alan;Millward, Alan</t>
  </si>
  <si>
    <t>LC3965.D92 2000</t>
  </si>
  <si>
    <t>Science Education : Policy, Professionalism and Change</t>
  </si>
  <si>
    <t>Donnelly, James F.;Jenkins, Edgar W.</t>
  </si>
  <si>
    <t>Q183.4.G7D66 2001</t>
  </si>
  <si>
    <t>507/.1/241</t>
  </si>
  <si>
    <t>Science - Study and teaching (Secondary) -</t>
  </si>
  <si>
    <t>Success on Your Certificate Course in English Language Teaching : A Guide to Becoming a Teacher in ELT/TESOL</t>
  </si>
  <si>
    <t>Brandt, Caroline</t>
  </si>
  <si>
    <t>PE1128.A2B67 2006</t>
  </si>
  <si>
    <t>English teachers - Training of</t>
  </si>
  <si>
    <t>Supporting Language and Communication : A Guide for School Support Staff</t>
  </si>
  <si>
    <t>Sage, Rosemary;Wilkie, Min</t>
  </si>
  <si>
    <t>LB1033.5.S24 2006</t>
  </si>
  <si>
    <t>Communication in education.</t>
  </si>
  <si>
    <t>Teacher Leadership and Behaviour Management</t>
  </si>
  <si>
    <t>Rogers, Bill</t>
  </si>
  <si>
    <t>LB3013 -- .T385 2002eb</t>
  </si>
  <si>
    <t>Teachers Leading Change : Doing Research for School Improvement</t>
  </si>
  <si>
    <t>Durrant, Judith;Holden, Gary</t>
  </si>
  <si>
    <t>LB2822.8.D87 2006</t>
  </si>
  <si>
    <t>Teaching and Learning English Literature</t>
  </si>
  <si>
    <t>Chambers, Ellie;Gregory, Marshall</t>
  </si>
  <si>
    <t>LB2365.H8C53 2006</t>
  </si>
  <si>
    <t>428/.0071</t>
  </si>
  <si>
    <t>English literature - Study and teaching (Higher)</t>
  </si>
  <si>
    <t>Teaching Gifted and Talented Pupils in the Primary School : A Practical Guide</t>
  </si>
  <si>
    <t>Smith, Chris</t>
  </si>
  <si>
    <t>LC3993.22.S47 2005</t>
  </si>
  <si>
    <t>371.95/72</t>
  </si>
  <si>
    <t>Gifted children - Education (Elementary)</t>
  </si>
  <si>
    <t>The Asperger Personal Guide : Raising Self-Esteem and Making the Most of Yourself As a Adult with Aspergers Syndrome</t>
  </si>
  <si>
    <t>Edmonds, Genevieve;Worton, Dean</t>
  </si>
  <si>
    <t>RJ506.A9E35 2006</t>
  </si>
  <si>
    <t>Asperger's syndrome -- Popular works. ; Asperger's syndrome -- Patients -- Conduct of life. ; Self-esteem.</t>
  </si>
  <si>
    <t>The CPD Co-Ordinators Toolkit : Training and Staff Development in Schools</t>
  </si>
  <si>
    <t>Cox, Sue;Kelly, Sue</t>
  </si>
  <si>
    <t>LB1731.K414 2006</t>
  </si>
  <si>
    <t>Teachers - In-service training</t>
  </si>
  <si>
    <t>The International Students Guide : Studying in English at University</t>
  </si>
  <si>
    <t>Lowes, Ricki;Peters, Helen;Stephenson, Marie</t>
  </si>
  <si>
    <t>LB2376.6.G7L68 2004</t>
  </si>
  <si>
    <t>Study skills</t>
  </si>
  <si>
    <t>Transforming Learning and Teaching : We Can If...</t>
  </si>
  <si>
    <t>MacGilchrist, Barbara;Buttress, Margaret</t>
  </si>
  <si>
    <t>LB1060.M315 2005</t>
  </si>
  <si>
    <t>Learning. ; Teaching.</t>
  </si>
  <si>
    <t>Using Drama to Support Literacy : Activities for Children Aged 7 To 14</t>
  </si>
  <si>
    <t>Goodwin, John</t>
  </si>
  <si>
    <t>PN3171.G584 2006</t>
  </si>
  <si>
    <t>Drama in education. ; Literacy programs.</t>
  </si>
  <si>
    <t>Using ICT in the Primary School</t>
  </si>
  <si>
    <t>Elston, Carol</t>
  </si>
  <si>
    <t>LB1028.5.E45 2007</t>
  </si>
  <si>
    <t>Information technology - Study and teaching (Elementary)</t>
  </si>
  <si>
    <t>The Transformation of Learning : Advances in Cultural-Historical Activity Theory</t>
  </si>
  <si>
    <t>Oers, Bert van;Wardekker, Wim;Elbers, Ed;van der Veer, René</t>
  </si>
  <si>
    <t>LB1060 .T73 2008</t>
  </si>
  <si>
    <t>Learning--Philosophy</t>
  </si>
  <si>
    <t>Leadership and Management in the Early Years</t>
  </si>
  <si>
    <t>Jones, Caroline;Pound, Linda</t>
  </si>
  <si>
    <t>LB2831.9 -- .J66 2008eb</t>
  </si>
  <si>
    <t>Educational leadership. ; Early childhood education.</t>
  </si>
  <si>
    <t>Perspectives on Rescuing Urban Literacy Education : Spies, Saboteurs, and Saints</t>
  </si>
  <si>
    <t>Cooter, Robert B.;Johns, J. L.</t>
  </si>
  <si>
    <t>LC5128 -- .P47 2004eb</t>
  </si>
  <si>
    <t>372.4/09764/2812</t>
  </si>
  <si>
    <t>Education, Urban -- Texas -- Dallas -- Case studies. ; Language arts -- Texas -- Dallas -- Case studies.</t>
  </si>
  <si>
    <t>Interpreting Literature with Children</t>
  </si>
  <si>
    <t>Wolf, Shelby A.</t>
  </si>
  <si>
    <t>LB1575.5.U5 -- W65 2004eb</t>
  </si>
  <si>
    <t>Literature -- Study and teaching (Elementary) -- United States. ; Children -- Books and reading -- United States.</t>
  </si>
  <si>
    <t>Bullying in American Schools : A Social-Ecological Perspective on Prevention and Intervention</t>
  </si>
  <si>
    <t>Espelage, Dorothy L.;Swearer, Susan M.</t>
  </si>
  <si>
    <t>LB3013.32.B85 2004eb</t>
  </si>
  <si>
    <t>Bullying in schools -- United States -- Prevention. ; Bullying in schools -- United States -- Psychological aspects.</t>
  </si>
  <si>
    <t>Reading Work : Literacies in the New Workplace</t>
  </si>
  <si>
    <t>Belfiore, Mary Ellen;Defoe, Tracy A.;Folinsbee, Sue;Hunter, Judy;Jackson, Nancy S.</t>
  </si>
  <si>
    <t>LC149.7 -- .R43 2004eb</t>
  </si>
  <si>
    <t>Workplace literacy. ; Employees -- Training of.</t>
  </si>
  <si>
    <t>Inventions of Teaching : A Genealogy</t>
  </si>
  <si>
    <t>Davis, Brent</t>
  </si>
  <si>
    <t>LB14.7 -- .D38 2004eb</t>
  </si>
  <si>
    <t>371.102/01</t>
  </si>
  <si>
    <t>Teaching -- Philosophy</t>
  </si>
  <si>
    <t>The Ambiguity of Teaching to the Test : Standards, Assessment, and Educational Reform</t>
  </si>
  <si>
    <t>Firestone, William A.;Schorr, Roberta Y.;Monfils, Lora F.</t>
  </si>
  <si>
    <t>LB3051 -- .A592 2004eb</t>
  </si>
  <si>
    <t>Education -- Standards -- United States</t>
  </si>
  <si>
    <t>Centering Educational Administration : Cultivating Meaning, Community, Responsibility</t>
  </si>
  <si>
    <t>LB2805 -- .S7438 2003eb</t>
  </si>
  <si>
    <t>371.2/0071/1</t>
  </si>
  <si>
    <t>School management and organization -- Study and teaching (Higher) ; School administrators -- Training of.</t>
  </si>
  <si>
    <t>Integrating Multiple Literacies in K-8 Classrooms : Cases, Commentaries, and Practical Applications</t>
  </si>
  <si>
    <t>Richards, Janet C.;McKenna, Michael C.;Albers, Peggy</t>
  </si>
  <si>
    <t>LC149 -- .I523 2003eb</t>
  </si>
  <si>
    <t>Literacy -- Study and teaching. ; Media literacy -- Study and teaching. ; Interdisciplinary approach in education.</t>
  </si>
  <si>
    <t>Access to Academics for All Students : Critical Approaches to Inclusive Curriculum, Instruction, and Policy</t>
  </si>
  <si>
    <t>Kluth, Paula;Straut, Diana M.;Biklen, Douglas P.</t>
  </si>
  <si>
    <t>LC1200 -- .A23 2003eb</t>
  </si>
  <si>
    <t>Educational equalization</t>
  </si>
  <si>
    <t>Ability Profiling and School Failure : One Child's Struggle to Be Seen As Competent</t>
  </si>
  <si>
    <t>Collins, Kathleen M.;Collins, Kathleen M</t>
  </si>
  <si>
    <t>LB3061 -- .C615 2003eb</t>
  </si>
  <si>
    <t>371.2/54</t>
  </si>
  <si>
    <t>Ability grouping in education -- United States -- Case studies. ; Discrimination in education -- United States -- Case studies.</t>
  </si>
  <si>
    <t>Becoming Biliterate : A Study of Two-Way Bilingual Immersion Education</t>
  </si>
  <si>
    <t>Perez, Bertha</t>
  </si>
  <si>
    <t>LC2688.S2 -- P47 2004eb</t>
  </si>
  <si>
    <t>370.117/09764/351</t>
  </si>
  <si>
    <t>Mexican American children -- Education -- Texas -- San Antonio -- Case studies. ; Education, Bilingual -- Texas -- San Antonio -- Case studies. ; Immersion method (Language teaching) -- Texas -- San Antonio -- Case studies.</t>
  </si>
  <si>
    <t>Medium of Instruction Policies : Which Agenda? Whose Agenda?</t>
  </si>
  <si>
    <t>Tollefson, James W.;Tsui, Amy B. M.</t>
  </si>
  <si>
    <t>LC201.5 -- .M43 2004eb</t>
  </si>
  <si>
    <t>Native language and education -- Government policy -- Cross-cultural studies. ; Education, Bilingual -- Government policy -- Cross-cultural studies.</t>
  </si>
  <si>
    <t>Argumentation in Science Education : Perspectives from Classroom-Based Research</t>
  </si>
  <si>
    <t>Springer Netherlands</t>
  </si>
  <si>
    <t>Erduran, Sibel;Jiménez-Aleixandre, María Pilar;Jiménez-Aleixandre, María Pilar</t>
  </si>
  <si>
    <t>Contemporary Trends and Issues in Science Education Series</t>
  </si>
  <si>
    <t>Q181-183.4</t>
  </si>
  <si>
    <t>Science--Study and teaching (Secondary). ; Science--Methodology. ; Reasoning.</t>
  </si>
  <si>
    <t>Understanding Motor Skills in Children with Dyspraxia, ADHD, Autism, and Other Learning Disabilities : A Guide to Improving Coordination</t>
  </si>
  <si>
    <t>RJ496.M68K87 2008</t>
  </si>
  <si>
    <t>Movement disorders in children-Patients-Rehabilitation. ; Psychomotor disorders in children-Patients-Rehabilitation. ; Learning disabled children-Rehabilitation. ; Motor ability in children. ; Clumsiness in children.</t>
  </si>
  <si>
    <t>Understanding Nonverbal Learning Disabilities : A Common-Sense Guide for Parents and Professionals</t>
  </si>
  <si>
    <t>Mamen, Maggie</t>
  </si>
  <si>
    <t>RJ506.L4M36 2007</t>
  </si>
  <si>
    <t>Learning disabilities. ; Nonverbal learning disabilities.</t>
  </si>
  <si>
    <t>Chopin : The Man and His Music</t>
  </si>
  <si>
    <t>The Floating Press</t>
  </si>
  <si>
    <t>Floating Press, The</t>
  </si>
  <si>
    <t>Auckland</t>
  </si>
  <si>
    <t>NEW ZEALAND</t>
  </si>
  <si>
    <t>Huneker, James</t>
  </si>
  <si>
    <t>ML410.C54 -- .H864 1900eb</t>
  </si>
  <si>
    <t>Chopin, Frédéric, -- 1810-1849. ; Composers -- Biography.</t>
  </si>
  <si>
    <t>Oedipus Trilogy : Oedipus the King, Oedipus at Colonus and Antigone</t>
  </si>
  <si>
    <t>Sophocles;Storr, F.</t>
  </si>
  <si>
    <t>PA4414.O7 -- .S674 2008eb</t>
  </si>
  <si>
    <t>Oedipus (Greek mythology) -- Drama. ; Antigone (Greek mythology) -- Drama.</t>
  </si>
  <si>
    <t>The Iliad</t>
  </si>
  <si>
    <t>Homer;Butler, Samuel</t>
  </si>
  <si>
    <t>PA4025.A75 -- .H664 1898eb</t>
  </si>
  <si>
    <t>883/.01</t>
  </si>
  <si>
    <t>Epic poetry, Greek -- Translations into English. ; Achilles (Greek mythology) -- Fiction. ; Greeks -- Turkey -- Fiction. ; Mythology, Greek -- Fiction. ; Trojan War -- Fiction. ; Troy (Extinct city) -- Fiction.</t>
  </si>
  <si>
    <t>Literature; Fiction</t>
  </si>
  <si>
    <t>The Seagull : A Play in Four Acts</t>
  </si>
  <si>
    <t>Chekov, Anton;Fell, Marian</t>
  </si>
  <si>
    <t>PN1997.2.A74 -- .C445 1895eb</t>
  </si>
  <si>
    <t>Interpersonal relations -- Drama. ; Mothers and sons -- Drama.</t>
  </si>
  <si>
    <t>Fine Arts; Literature</t>
  </si>
  <si>
    <t>Other People's Children : The Battle for Justice and Equality in New Jersey's Schools</t>
  </si>
  <si>
    <t>Rutgers University Press</t>
  </si>
  <si>
    <t>Yaffe, Deborah</t>
  </si>
  <si>
    <t>KFN2190</t>
  </si>
  <si>
    <t>344.749/076</t>
  </si>
  <si>
    <t>The Fundamentals of Literacy Coaching</t>
  </si>
  <si>
    <t>Sandvold, Amy;Baxter, Maelou</t>
  </si>
  <si>
    <t>LB2844.1.R4 -- S26 2008eb</t>
  </si>
  <si>
    <t>428.4071/5</t>
  </si>
  <si>
    <t>Personalizing the High School Experience for Each Student</t>
  </si>
  <si>
    <t>DiMartino, Joseph;Clarke, John H.</t>
  </si>
  <si>
    <t>LB1031 .D56 2008</t>
  </si>
  <si>
    <t>373.139/4</t>
  </si>
  <si>
    <t>Individualized instruction-United States. ; High school teaching-United States.</t>
  </si>
  <si>
    <t>Effective Supply Teaching : Behaviour Management, Classroom Discipline and Colleague Support</t>
  </si>
  <si>
    <t>Rogers, Bill;Rogers, William A.</t>
  </si>
  <si>
    <t>LB2844.1.S8R64 2003</t>
  </si>
  <si>
    <t>371.14/122</t>
  </si>
  <si>
    <t>Effective teaching</t>
  </si>
  <si>
    <t>Studying at University : How to Be a Successful Student</t>
  </si>
  <si>
    <t>McIlroy, David</t>
  </si>
  <si>
    <t>LB2395</t>
  </si>
  <si>
    <t>College student orientation</t>
  </si>
  <si>
    <t>Teaching, Learning and Study Skills : A Guide for Tutors</t>
  </si>
  <si>
    <t>Burns, Tom;Sinfield, Sandra</t>
  </si>
  <si>
    <t>LB2331.B847 2004</t>
  </si>
  <si>
    <t>Study skills - Handbooks, manuals, etc.</t>
  </si>
  <si>
    <t>Succeeding with Your Doctorate</t>
  </si>
  <si>
    <t>Wellington, Jerry;Bathmaker, Ann-Marie;Hunt, Cheryl;McCulloch, Gary;Sikes, Pat</t>
  </si>
  <si>
    <t>LB2369.S825 2005</t>
  </si>
  <si>
    <t>Working with Support in the Classroom</t>
  </si>
  <si>
    <t>Campbell, Anne;Fairbairn, Gavin</t>
  </si>
  <si>
    <t>LB2844.1.A8W67 2005</t>
  </si>
  <si>
    <t>371.14/124</t>
  </si>
  <si>
    <t>Dealing with Bullying in Schools : A Training Manual for Teachers, Parents and Other Professionals</t>
  </si>
  <si>
    <t>OMoore, Mona;Minton, Stephen James</t>
  </si>
  <si>
    <t>LB3013.3.O46 2004</t>
  </si>
  <si>
    <t>371.5'8</t>
  </si>
  <si>
    <t>Bullying in schools</t>
  </si>
  <si>
    <t>Exam Success</t>
  </si>
  <si>
    <t>LB2395 -- .M336 2005eb</t>
  </si>
  <si>
    <t>Universities and colleges - Examinations</t>
  </si>
  <si>
    <t>How to Develop Children As Researchers : A Step by Step Guide to Teaching the Research Process</t>
  </si>
  <si>
    <t>Kellett, Mary</t>
  </si>
  <si>
    <t>LB1047.3.K45 2005</t>
  </si>
  <si>
    <t>Research -- Study and teaching (Elementary) ; Research -- Study and teaching (Secondary)</t>
  </si>
  <si>
    <t>Creating a Learning School</t>
  </si>
  <si>
    <t>Middlewood, David;Parker, Richard;Beere, Jackie</t>
  </si>
  <si>
    <t>LB2805.M464 2005</t>
  </si>
  <si>
    <t>Reclaiming Education for Democracy : Thinking Beyond No Child Left Behind</t>
  </si>
  <si>
    <t>Shaker, Paul;Heilman, Elizabeth E.</t>
  </si>
  <si>
    <t>LC89$b.S475 2008</t>
  </si>
  <si>
    <t>Education - Political aspects - United States</t>
  </si>
  <si>
    <t>Black American Students in an Affluent Suburb : A Study of Academic Disengagement</t>
  </si>
  <si>
    <t>Ogbu, John U.</t>
  </si>
  <si>
    <t>LC2771 -- .O43 2003eb</t>
  </si>
  <si>
    <t>371.829/96/073</t>
  </si>
  <si>
    <t>African Americans -- Education -- Social aspects</t>
  </si>
  <si>
    <t>Schooling, the Puritan Imperative, and the Molding of an American National Identity : Education's Errand into the Wilderness</t>
  </si>
  <si>
    <t>McKnight, Douglas</t>
  </si>
  <si>
    <t>Studies in Curriculum Theory Series</t>
  </si>
  <si>
    <t>National characteristics, American.</t>
  </si>
  <si>
    <t>Writing at University : A Guide for Students</t>
  </si>
  <si>
    <t>Creme, Phyllis;Lea, Mary</t>
  </si>
  <si>
    <t>PE1408 .C71445 2008</t>
  </si>
  <si>
    <t>808/.042</t>
  </si>
  <si>
    <t>Essays-Writing. ; Dissertations, Academic-Writing.</t>
  </si>
  <si>
    <t>Understanding Effective Learning</t>
  </si>
  <si>
    <t>Hewitt, Des</t>
  </si>
  <si>
    <t>LB1060 -- .H49 2008eb</t>
  </si>
  <si>
    <t>Learning. ; Education.</t>
  </si>
  <si>
    <t>Writing up Your University Assignments and Research Projects</t>
  </si>
  <si>
    <t>Murray, Neil;Hughes, Geraldine</t>
  </si>
  <si>
    <t>P301.5.A27 M87 2008</t>
  </si>
  <si>
    <t>Academic writing. ; Dissertations, Academic-Authorship. ; Report writing.</t>
  </si>
  <si>
    <t>Toward a K-20 Student Record Data System for California</t>
  </si>
  <si>
    <t>Vernez, Georges;Krop, Cathy;Vuollo, Mirka;Hansen, Janet S.</t>
  </si>
  <si>
    <t>LB2845.7 -- .T68 2008eb</t>
  </si>
  <si>
    <t>Student records -- California. ; Schools -- California -- Records and correspondence.</t>
  </si>
  <si>
    <t>Value-Added Assessment in Practice : Lessons from the Pennsylvania Value-Added Assessment System Pilot Project</t>
  </si>
  <si>
    <t>McCaffrey, Daniel F.;Hamilton, Laura S.;McCaffrey, Daniel F.</t>
  </si>
  <si>
    <t>LB3052.P46 -- M33 2007eb</t>
  </si>
  <si>
    <t>371.26/2</t>
  </si>
  <si>
    <t>Educational tests and measurements -- Pennsylvania. ; Educational accountability -- United States. ; Educational indicators -- United States.</t>
  </si>
  <si>
    <t>Education for a New Era, Executive Summary : Design and Implementation of K–12 Education Reform in Qatar</t>
  </si>
  <si>
    <t>Brewer, Dominic J.;Augustine, Catherine H.;Zellman, Gail L.;Ryan, Dr Gery W;Goldman, Charles A</t>
  </si>
  <si>
    <t>LA1435 -- .E383 2007eb</t>
  </si>
  <si>
    <t>Brain Korea 21 Phase II : A New Evaluation Model</t>
  </si>
  <si>
    <t>Seong, Somi;Popper, Steven W.;Goldman, Charles A.;Evans, David K.</t>
  </si>
  <si>
    <t>LB2342.4.K6 -- B73 2008eb</t>
  </si>
  <si>
    <t>379.1/214095195</t>
  </si>
  <si>
    <t>Brain Korea 21 (Project) -- Evaluation. ; Education, Higher -- Korea (South) -- Finance. ; Government aid to higher education -- Korea (South)</t>
  </si>
  <si>
    <t>American Studies</t>
  </si>
  <si>
    <t>McDowell, Tremaine</t>
  </si>
  <si>
    <t>LB2321 -- .M33 1948eb</t>
  </si>
  <si>
    <t>Education, Higher.</t>
  </si>
  <si>
    <t>Student Counseling in Japan : A Two-Nation Project in Higher Education</t>
  </si>
  <si>
    <t>Lloyd, Wesley P.</t>
  </si>
  <si>
    <t>LA1311.8 -- .J3 1953eb</t>
  </si>
  <si>
    <t>Education -- Japan -- History -- 1945- ; Educational counseling.</t>
  </si>
  <si>
    <t>University Looks at its Program : The Report of the University of Minnesota Bureau of Institutional Research, 1942-1952</t>
  </si>
  <si>
    <t>Eckert, Ruth E.;Keller, Robert J</t>
  </si>
  <si>
    <t>LD3326.5 -- .A47 1954eb</t>
  </si>
  <si>
    <t>University of Minnesota.</t>
  </si>
  <si>
    <t>Word Association Norms : Grade School Through College</t>
  </si>
  <si>
    <t>Palermo, David S.;Jenkins, James J</t>
  </si>
  <si>
    <t>LB1050 -- .P3 1964eb</t>
  </si>
  <si>
    <t>Reading. ; Association of ideas.</t>
  </si>
  <si>
    <t>Decisions for Tomorrow : Plans of High School Seniors for after Graduation</t>
  </si>
  <si>
    <t>Berdie, Ralph F.;Hood, Albert B</t>
  </si>
  <si>
    <t>Library on Student Personnel Work</t>
  </si>
  <si>
    <t>LB1695 -- .B47 1965eb</t>
  </si>
  <si>
    <t>155.455;158.6</t>
  </si>
  <si>
    <t>High schools -- Alumni and alumnae -- Minnesota. ; Vocational interests.</t>
  </si>
  <si>
    <t>American Students Freedom of Expression : A Research Appraisal</t>
  </si>
  <si>
    <t>Williamson, E.G.;Cowan, John L;Crawford, R. George;Willems, Virginia</t>
  </si>
  <si>
    <t>LA229 -- .W5 1966eb</t>
  </si>
  <si>
    <t>College students -- Political activity -- United States. ; Freedom of speech.</t>
  </si>
  <si>
    <t>Social Education of Bulgarian Youth</t>
  </si>
  <si>
    <t>Georgeoff, Peter John</t>
  </si>
  <si>
    <t>LA951.82 -- .G46 1968eb</t>
  </si>
  <si>
    <t>370/.9497/7</t>
  </si>
  <si>
    <t>Communist education -- Bulgaria.</t>
  </si>
  <si>
    <t>Mentally Retarded Children : What Parents and Other Should Know</t>
  </si>
  <si>
    <t>Blodgett, Harriet E.</t>
  </si>
  <si>
    <t>RJ506.M4 -- B57 1971eb</t>
  </si>
  <si>
    <t>362.7/8/3</t>
  </si>
  <si>
    <t>Children with mental disabilities.</t>
  </si>
  <si>
    <t>Psychology; Social Science; Medicine</t>
  </si>
  <si>
    <t>Transfer, Memory, and Creativity : After-Learning as Perceptual Process</t>
  </si>
  <si>
    <t>Haslerud, George M.</t>
  </si>
  <si>
    <t>LB1059 -- .H32 1972eb</t>
  </si>
  <si>
    <t>Transfer of training. ; Learning, Psychology of.</t>
  </si>
  <si>
    <t>Origins of Personnel Services in American Higher Education</t>
  </si>
  <si>
    <t>Leonard, Eugenie A.</t>
  </si>
  <si>
    <t>LB2343 -- .L42 1956eb</t>
  </si>
  <si>
    <t>Counseling in adult education -- History.</t>
  </si>
  <si>
    <t>Educating Women for a Changing World</t>
  </si>
  <si>
    <t>Mueller, Kate Hevner</t>
  </si>
  <si>
    <t>LC1481 -- .M78 1954eb</t>
  </si>
  <si>
    <t>Women -- Education.</t>
  </si>
  <si>
    <t>Reframing Teacher Leadership to Improve Your School</t>
  </si>
  <si>
    <t>Reeves, Douglas B.;Reeves, Douglas B.</t>
  </si>
  <si>
    <t>LB1715 -- .R345 2008eb</t>
  </si>
  <si>
    <t>371.1/06</t>
  </si>
  <si>
    <t>Teachers -- Training of -- United States. ; Educational leadership -- United States. ; School improvement programs -- United States.</t>
  </si>
  <si>
    <t>The Learning Grid Handbook : Concepts, Technologies and Applications</t>
  </si>
  <si>
    <t>Salerno, S.;Gaeta, M.;Ritrovato, P.</t>
  </si>
  <si>
    <t>The Future of Learning Series</t>
  </si>
  <si>
    <t>LB1044.87 .L44 2008</t>
  </si>
  <si>
    <t>Internet in education. ; Web-based instruction. ; Computer-assisted instruction. ; Educational technology.</t>
  </si>
  <si>
    <t>The American Teacher : Foundations of Education</t>
  </si>
  <si>
    <t>Parkerson, Donald H.;Parkerson, Jo Ann</t>
  </si>
  <si>
    <t>LB2844.1.N4 -- P37 2008eb</t>
  </si>
  <si>
    <t>First year teachers - In-service training - United States</t>
  </si>
  <si>
    <t>50th Anniversary Commemorative Issue</t>
  </si>
  <si>
    <t>Holden, Rick</t>
  </si>
  <si>
    <t>Education + Training - Volume 50, Edition 1</t>
  </si>
  <si>
    <t>T61 -- .T385 2008eb</t>
  </si>
  <si>
    <t>Technical education -- Great Britain. ; Technical education.</t>
  </si>
  <si>
    <t>Engineering: General; Engineering</t>
  </si>
  <si>
    <t>Exploring Style : Enhancing the capacity to learn</t>
  </si>
  <si>
    <t>Evans, Carol;Shaw, Sue</t>
  </si>
  <si>
    <t>Education + Training - Volume 50, Edition 2</t>
  </si>
  <si>
    <t>HF5549.5.R44 -- G733 2008eb</t>
  </si>
  <si>
    <t>Occupational training -- Europe. ; College graduates -- Europe. ; Employees -- Recruiting -- Europe.</t>
  </si>
  <si>
    <t>Business/Management; Political Science</t>
  </si>
  <si>
    <t>Business Schools or Schools for Scholars</t>
  </si>
  <si>
    <t>Wood, Greg;Svensson, Göran</t>
  </si>
  <si>
    <t>European Business Review - Volume 20, Edition 2</t>
  </si>
  <si>
    <t>HF1111 -- .E97 2008eb</t>
  </si>
  <si>
    <t>174/.40711;650.071;650.071/173</t>
  </si>
  <si>
    <t>Business schools. ; Business education.</t>
  </si>
  <si>
    <t>Business/Management; Philosophy</t>
  </si>
  <si>
    <t>Sex and Relationship Education : Bridging the Gap between Research and Practice</t>
  </si>
  <si>
    <t>Kane, Dr Roslyn</t>
  </si>
  <si>
    <t>Health Education - Volume 108, Edition 1</t>
  </si>
  <si>
    <t>RA440.3.G7 -- H41511 2008eb</t>
  </si>
  <si>
    <t>372.24/1</t>
  </si>
  <si>
    <t>Health education -- Great Britain. ; Public health -- Great Britain.</t>
  </si>
  <si>
    <t>Social Science; Education; Health</t>
  </si>
  <si>
    <t>Selected Papers from the IEEE International Workshop on Multimedia Technologies for E-Learning (MTEL)</t>
  </si>
  <si>
    <t>Friedland, Gerald;Knipping, Lars;Ludwig, Nadine</t>
  </si>
  <si>
    <t>Interactive Technology and Smart Education - Volume 4, Edition 4</t>
  </si>
  <si>
    <t>LB1028.73.A1 -- I6144 2007eb</t>
  </si>
  <si>
    <t>Educational technology. ; Interactive multimedia.</t>
  </si>
  <si>
    <t>Library Science; Education</t>
  </si>
  <si>
    <t>Library and the Internet : The Library and the Internet</t>
  </si>
  <si>
    <t>Sax, Boria</t>
  </si>
  <si>
    <t>On the Horizon - Volume 16, Edition 1</t>
  </si>
  <si>
    <t>LC71.2 -- 05811 2008eb</t>
  </si>
  <si>
    <t>025.6/5</t>
  </si>
  <si>
    <t>Making Music and Enriching Lives : A Guide for All Music Teachers</t>
  </si>
  <si>
    <t>Blanchard, Bonnie;Acree, Cynthia Blanchard</t>
  </si>
  <si>
    <t>MT1 -- .B652 2007eb</t>
  </si>
  <si>
    <t>Music -- Instruction and study. ; Music -- Economic aspects.</t>
  </si>
  <si>
    <t>The Art of Teaching Music</t>
  </si>
  <si>
    <t>Counterpoints: Music and Education Series</t>
  </si>
  <si>
    <t>MT1.J667 2008</t>
  </si>
  <si>
    <t>Music - Instruction and study</t>
  </si>
  <si>
    <t>U. S. - China Educational Exchange : State, Society, and Intercultural Relations, 1905-1950</t>
  </si>
  <si>
    <t>New Brunswick</t>
  </si>
  <si>
    <t>Li, Hongshan</t>
  </si>
  <si>
    <t>LB2376</t>
  </si>
  <si>
    <t>370.116/2</t>
  </si>
  <si>
    <t>Educational exchanges-United States. ; Educational exchanges-China. ; United States-Relations-China. ; China-Relations-United States.</t>
  </si>
  <si>
    <t>Educating Artists for the Future : Learning at the Intersections of Art, Science, Technology, and Culture</t>
  </si>
  <si>
    <t>Alexenberg, Mel</t>
  </si>
  <si>
    <t>N72.T4E38 2008</t>
  </si>
  <si>
    <t>Art and technology. ; Artists -- Philosophy. ; Art and design -- Study and teaching (Higher)</t>
  </si>
  <si>
    <t>International Dialogues about Visual Culture, Education and Art</t>
  </si>
  <si>
    <t>Eça, Teresa;Mason, Rachel</t>
  </si>
  <si>
    <t>N85.I58 2008</t>
  </si>
  <si>
    <t>Art -- Study and teaching. ; Multiculturalism in art. ; Art and society.</t>
  </si>
  <si>
    <t>Educating Everybody's Children : Diverse Teaching Strategies for Diverse Learners, Revised and Expanded</t>
  </si>
  <si>
    <t>Cole, Robert W.</t>
  </si>
  <si>
    <t>LB1027.3 -- .A73 2008eb</t>
  </si>
  <si>
    <t>The Differentiated School : Making Revolutionary Changes in Teaching and Learning</t>
  </si>
  <si>
    <t>Tomlinson, Carol;Brimijoin, Kay</t>
  </si>
  <si>
    <t>LB1031 .T652 2008</t>
  </si>
  <si>
    <t>Individualized instruction-United States. ; Individualized instruction-United States-Case studies. ; School improvement programs-United States. ; School improvement programs-United States-Case studies.</t>
  </si>
  <si>
    <t>Mobilizing the Community to Help Students Succeed</t>
  </si>
  <si>
    <t>Price, Hugh B.</t>
  </si>
  <si>
    <t>LC215 .P75 2008</t>
  </si>
  <si>
    <t>Community and school-United States. ; Education-Social aspects-United States. ; Motivation in education-United States-Citizen participation. ; Academic achievement-United States.</t>
  </si>
  <si>
    <t>Can't Play Won't Play : Simply Sizzling Ideas to Get the Ball Rolling for Children with Dyspraxia</t>
  </si>
  <si>
    <t>Atter, Elizabeth;Drew, Sharon</t>
  </si>
  <si>
    <t>RJ496.A63D74 2008</t>
  </si>
  <si>
    <t>618.92/8552</t>
  </si>
  <si>
    <t>Help Your Child or Teen Get Back on Track : What Parents and Professionals Can Do for Childhood Emotional and Behavioral Problems</t>
  </si>
  <si>
    <t>Talan, Kenneth</t>
  </si>
  <si>
    <t>RJ499.34.T35 2008</t>
  </si>
  <si>
    <t>Emotional problems of children - Treatment</t>
  </si>
  <si>
    <t>Listening to Children : A Practitioner's Guide</t>
  </si>
  <si>
    <t>McLeod, Alison</t>
  </si>
  <si>
    <t>BF323.L5M365 2008</t>
  </si>
  <si>
    <t>158/.3083</t>
  </si>
  <si>
    <t>Listening. ; Attention. ; Children.</t>
  </si>
  <si>
    <t>Promoting Resilience in the Classroom : A Guide to Developing Pupils' Emotional and Cognitive Skills</t>
  </si>
  <si>
    <t>Cefai, Carmel;Cooper, Paul</t>
  </si>
  <si>
    <t>LB3013.C368 2008</t>
  </si>
  <si>
    <t>Supporting Children and Families : Lessons from Sure Start for Evidence-Based Practice in Health, Social Care and Education</t>
  </si>
  <si>
    <t>Bowpitt, Graham;Edgley, Alison;Finnigan, Marjorie;Featherstone, Brid;Chaudhary, Sarah;Cullen, Mairi Ann;Avis, Mark;Carpenter, John;Wigfall, Valerie;Schneider, Justine</t>
  </si>
  <si>
    <t>HV751.A6S85 2007</t>
  </si>
  <si>
    <t>Sure Start (Programme)</t>
  </si>
  <si>
    <t>Understanding School Refusal : A Handbook for Professionals in Education, Health and Social Care</t>
  </si>
  <si>
    <t>Grandison, Karen J.;De-Hayes, Louise;Thambirajah, M. S.</t>
  </si>
  <si>
    <t>LC142.T53 2008</t>
  </si>
  <si>
    <t>371.2/94</t>
  </si>
  <si>
    <t>A Companion to Digital Humanities</t>
  </si>
  <si>
    <t>Schreibman, Susan;Siemens, Ray;Unsworth, John</t>
  </si>
  <si>
    <t>Blackwell Companions to Literature and Culture Series</t>
  </si>
  <si>
    <t>AZ105.C588 2004</t>
  </si>
  <si>
    <t>Information storage and retrieval systems -- Humanities</t>
  </si>
  <si>
    <t>Reading Success for Struggling Adolescent Learners</t>
  </si>
  <si>
    <t>Lenski, Susan;Lewis, Jill</t>
  </si>
  <si>
    <t>LB1632.R375 2008</t>
  </si>
  <si>
    <t>428.4/2</t>
  </si>
  <si>
    <t>Learning from the Field: Innovating China’s Higher Education System : Innovating Chinas Higher Education System</t>
  </si>
  <si>
    <t xml:space="preserve">Vernooy, Ronnie; Xiaoyun, Li; Xiuli, Xu; Min, Lu; Gubo, Qi;Xiaoyun, Li;Xiuli, Xu;Min, Lu;Gubo, Qi;Xiuli, Xu ;Min, Lu ;Gubo, Qi </t>
  </si>
  <si>
    <t>LA1133 -- .L43 2008eb</t>
  </si>
  <si>
    <t>Education, Higher -- China. ; Universities and colleges -- China.</t>
  </si>
  <si>
    <t>Management Skills in Schools : A Resource for School Leaders</t>
  </si>
  <si>
    <t>Jones, Jeff</t>
  </si>
  <si>
    <t>LB2806.3.J66 2004</t>
  </si>
  <si>
    <t>School management teams</t>
  </si>
  <si>
    <t>How to Teach Thinking and Learning Skills : A Practical Programme for the Whole School</t>
  </si>
  <si>
    <t>Simister, C. J.</t>
  </si>
  <si>
    <t>LB1062.S495 2007</t>
  </si>
  <si>
    <t>Learning ability - Study and teaching</t>
  </si>
  <si>
    <t>Media Literacy in Schools : Practice, Production and Progression</t>
  </si>
  <si>
    <t>Burn, Andrew;Durran, James</t>
  </si>
  <si>
    <t>P96.M4B87 2007</t>
  </si>
  <si>
    <t>Media literacy -- Study and teaching. ; Mass media in education.</t>
  </si>
  <si>
    <t>Developing Sustainable Leadership</t>
  </si>
  <si>
    <t>Davies, Brent</t>
  </si>
  <si>
    <t>LB2806.D447 2007</t>
  </si>
  <si>
    <t>Identifying Special Needs in the Early Years</t>
  </si>
  <si>
    <t>Mathieson, Kay</t>
  </si>
  <si>
    <t>LC4019.3.M38 2007</t>
  </si>
  <si>
    <t>Early childhood special education -- Great Britain. ; Children with disabilities -- Great Britain -- Identification.</t>
  </si>
  <si>
    <t>Speaking and Listening Through Drama 7-11</t>
  </si>
  <si>
    <t>Prendiville, Francis;Toye, Nigel</t>
  </si>
  <si>
    <t>PN3171.P74 2007</t>
  </si>
  <si>
    <t>Effective Teaching with Internet Technologies : Pedagogy and Practice</t>
  </si>
  <si>
    <t>Pritchard, Alan</t>
  </si>
  <si>
    <t>LB1028.5.P717 2007</t>
  </si>
  <si>
    <t>Internet in education</t>
  </si>
  <si>
    <t>Supporting Childrens Learning : A Guide for Teaching Assistants</t>
  </si>
  <si>
    <t>Overall, Lyn</t>
  </si>
  <si>
    <t>LB1060.O94 2007</t>
  </si>
  <si>
    <t>Mentoring in the Early Years</t>
  </si>
  <si>
    <t>Robins, Alison</t>
  </si>
  <si>
    <t>LB1731.4.M467 2006</t>
  </si>
  <si>
    <t>Early childhood educators - Training of</t>
  </si>
  <si>
    <t>Professional Issues for Primary Teachers</t>
  </si>
  <si>
    <t>Browne, Ann C.;Haylock, Derek</t>
  </si>
  <si>
    <t>1-Off</t>
  </si>
  <si>
    <t>LB1776.4.G7 -- P76 2004eb</t>
  </si>
  <si>
    <t>372.11/00941</t>
  </si>
  <si>
    <t>Elementary school teaching - England</t>
  </si>
  <si>
    <t>Teaching and Learning Communication, Language and Literacy</t>
  </si>
  <si>
    <t>Browne, Ann C.</t>
  </si>
  <si>
    <t>LB1140.25.G7B76 2007</t>
  </si>
  <si>
    <t>Literacy - Study and teaching (Preschool)</t>
  </si>
  <si>
    <t>Getting the Most Out of the Research Experience : What Every Researcher Needs to Know</t>
  </si>
  <si>
    <t>Roberts, Brian E.</t>
  </si>
  <si>
    <t>Q180.A3.R63 2007</t>
  </si>
  <si>
    <t>Research - Methodology</t>
  </si>
  <si>
    <t>General Works/Reference; Science</t>
  </si>
  <si>
    <t>Using Support Groups to Improve Behaviour</t>
  </si>
  <si>
    <t>Mowat, Joan</t>
  </si>
  <si>
    <t>LB1060.2.M69 2007</t>
  </si>
  <si>
    <t>Self-help groups - Great Britain</t>
  </si>
  <si>
    <t>Making Inclusion Happen : A Practical Guide</t>
  </si>
  <si>
    <t>Hayward, Anne</t>
  </si>
  <si>
    <t>LC1203.G7H39 2006</t>
  </si>
  <si>
    <t>Inclusive education - Great Britain</t>
  </si>
  <si>
    <t>Values for Educational Leadership</t>
  </si>
  <si>
    <t>Haydon, Graham</t>
  </si>
  <si>
    <t>LB2806.H3838 2007</t>
  </si>
  <si>
    <t>Education - Philosophy</t>
  </si>
  <si>
    <t>The Practical Guide to Special Educational Needs in Inclusive Primary Classrooms</t>
  </si>
  <si>
    <t>Rose, Richard;Howley, Marie</t>
  </si>
  <si>
    <t>Primary Guides</t>
  </si>
  <si>
    <t>LC3986.G7R67 2007</t>
  </si>
  <si>
    <t>Learning and Teaching in the Primary Classroom</t>
  </si>
  <si>
    <t>Galton, Maurice J.</t>
  </si>
  <si>
    <t>LB1555.G35 2007</t>
  </si>
  <si>
    <t>Elementary teachers - In service training - Great Britain</t>
  </si>
  <si>
    <t>Rethinking School Mathematics</t>
  </si>
  <si>
    <t>Noyes, Andy</t>
  </si>
  <si>
    <t>QA135.6.N69 2007</t>
  </si>
  <si>
    <t>Mathematics - Study and teaching (Elementary)</t>
  </si>
  <si>
    <t>Storytelling in the Classroom : Enhancing Traditional Oral Skills for Teachers and Pupils</t>
  </si>
  <si>
    <t>Davies, Alison</t>
  </si>
  <si>
    <t>LB1042.D335 2007</t>
  </si>
  <si>
    <t>Storytelling. ; Oral interpretation.</t>
  </si>
  <si>
    <t>Resolving Behaviour Problems in Your School : A Practical Guide for Teachers and Support Staff</t>
  </si>
  <si>
    <t>LB1060.2.L44 2007</t>
  </si>
  <si>
    <t>Problem children - Education</t>
  </si>
  <si>
    <t>The Primary ICT and e-Learning Co-ordinators Manual : Book One, a Guide for New Subject Leaders</t>
  </si>
  <si>
    <t>Wright, James</t>
  </si>
  <si>
    <t>LB1028.5.W75eb bk. 1</t>
  </si>
  <si>
    <t>Education, Elementary - Great Britain - Computer-assisted instruction - Management</t>
  </si>
  <si>
    <t>Mathematical Understanding 5-11 : A Practical Guide to Creative Communication in Maths</t>
  </si>
  <si>
    <t>Cockburn, Anne</t>
  </si>
  <si>
    <t>QA135.6.M386 2007</t>
  </si>
  <si>
    <t>Mathematics - Study and teaching (Elementary) - Great Britain</t>
  </si>
  <si>
    <t>Supporting the Emotional Work of School Leaders</t>
  </si>
  <si>
    <t>Harris, Belinda</t>
  </si>
  <si>
    <t>LB2805.H328 2007</t>
  </si>
  <si>
    <t>Emotional intelligence</t>
  </si>
  <si>
    <t>Circles, PSHE and Citizenship : Assessing the Value of Circle Time in Secondary School</t>
  </si>
  <si>
    <t>Tew, Marilyn;Potter, Hilary;Read, Mary</t>
  </si>
  <si>
    <t>LC1091.T49 2007</t>
  </si>
  <si>
    <t>Citizenship -- Study and teaching (Secondary) -- Great Britain. ; Citizenship -- Study and teaching (Secondary) -- Activity programs. ; Social skills -- Study and teaching -- Great Britain. ; Social skills -- Study and teaching -- Activity programs. ; Creative activities and seat work.</t>
  </si>
  <si>
    <t>Helping Teachers Develop</t>
  </si>
  <si>
    <t>Bubb, Sara</t>
  </si>
  <si>
    <t>LB1731.B797 2005</t>
  </si>
  <si>
    <t>Teachers -- In-service training. ; Teachers -- Training of.</t>
  </si>
  <si>
    <t>Motivating Your Team : Coaching for Performance in Schools</t>
  </si>
  <si>
    <t>Taylor, Peter R.</t>
  </si>
  <si>
    <t>LB1065.T37 2007</t>
  </si>
  <si>
    <t>Achievement motivation</t>
  </si>
  <si>
    <t>Circle Time Sessions for Relaxation and Imagination</t>
  </si>
  <si>
    <t>Pryce, Tony</t>
  </si>
  <si>
    <t>BF723.S3P79 2007</t>
  </si>
  <si>
    <t>Self-esteem in children -- Study and teaching (Elementary) -- Great Britain. ; Self-esteem in children -- Study and teaching (Secondary) -- Great Britain. ; Personality development -- Study and teaching (Elementary) -- Great Britain. ; Personality development -- Study and teaching (Secondary) -- Great Britain.</t>
  </si>
  <si>
    <t>Emotional Health and Well-Being : A Practical Guide for Schools</t>
  </si>
  <si>
    <t>Cowie, Helen;Boardman, Christine;Barnsley, Judith;Jennifer, Dawn</t>
  </si>
  <si>
    <t>LB3430.E46 2004</t>
  </si>
  <si>
    <t>373.1/713</t>
  </si>
  <si>
    <t>Student assistance programs</t>
  </si>
  <si>
    <t>Creating Gender-Fair Schools and Classrooms : Engendering Social Justice (for 5 to 13 Year Olds)</t>
  </si>
  <si>
    <t>Raphael Reed, Lynn;Rae, Tina</t>
  </si>
  <si>
    <t>LC212.93.G7R44 2007</t>
  </si>
  <si>
    <t>Sex differences in education -- Great Britain. ; Multicultural education -- Great Britain. ; Discrimination in education -- Great Britain -- Prevention. ; Sex differences (Psychology) in children -- Great Britain. ; Sex role in children -- Great Britain. ; Education, Elementary -- Great Britain.</t>
  </si>
  <si>
    <t>Creating Gender-Fair Schools, Classrooms and Colleges : Engendering Social Justice for 14 to 19 Year Olds</t>
  </si>
  <si>
    <t>LC212.922.G7R44 2007</t>
  </si>
  <si>
    <t>Sex differences in education -- Great Britain. ; Discrimination in education -- Great Britain -- Prevention. ; Multicultural education -- Great Britain. ; Sex differences (Psychology) in children -- Great Britain. ; Sex role in children -- Great Britain. ; Education, Secondary -- Great Britain.</t>
  </si>
  <si>
    <t>How to Succeed in Your Social Science Degree</t>
  </si>
  <si>
    <t>Arksey, Hilary;Harris, David E.</t>
  </si>
  <si>
    <t>H62.A6648 2007</t>
  </si>
  <si>
    <t>Social sciences - Study and teaching (Higher)</t>
  </si>
  <si>
    <t>Every Child Included</t>
  </si>
  <si>
    <t>Tutt, Rona;National Association of Head Teachers (Great Britain) Staff</t>
  </si>
  <si>
    <t>LC1203.G7T88 2007</t>
  </si>
  <si>
    <t>Special education - Government policy - Great Britain</t>
  </si>
  <si>
    <t>Charging Ahead : An Introduction to Electromagnetism</t>
  </si>
  <si>
    <t>Schafer, Larry E.</t>
  </si>
  <si>
    <t>QC760.5 -- .S33 2001eb</t>
  </si>
  <si>
    <t>537/.071/273</t>
  </si>
  <si>
    <t>Electromagnetism -- Study and teaching. ; Magnetism.</t>
  </si>
  <si>
    <t>College Pathways to the Science Education Standards</t>
  </si>
  <si>
    <t>Siebert, Eleanor D.;McIntosh, William J.</t>
  </si>
  <si>
    <t>Q183.3.A1 -- C633 2001eb</t>
  </si>
  <si>
    <t>507/.1/173</t>
  </si>
  <si>
    <t>Mentoring in science -- United States. ; Science -- Study and teaching (Higher) -- Standards -- United States.</t>
  </si>
  <si>
    <t>Dig In! : Hands-On Soil Investigations</t>
  </si>
  <si>
    <t>Nsta;Natural Resources Conservation Service</t>
  </si>
  <si>
    <t>S591.5 -- .D54 2001eb</t>
  </si>
  <si>
    <t>Soil science -- Study and teaching -- Activity programs. ; Soils -- Study and teaching -- Activity programs.</t>
  </si>
  <si>
    <t>Agriculture</t>
  </si>
  <si>
    <t>Everyday Assessment in the Science Classroom</t>
  </si>
  <si>
    <t>Atkin, J. Myron;Coffey, Janet E.</t>
  </si>
  <si>
    <t>LB1585 -- .E97 2003eb</t>
  </si>
  <si>
    <t>Science -- Study and teaching (Elementary) -- Evaluation. ; Science -- Study and teaching (Secondary) -- Evaluation. ; Science -- Ability testing.</t>
  </si>
  <si>
    <t>Evolution in Perspective : The Science Teacher's Compendium</t>
  </si>
  <si>
    <t>Bybee, Rodger W.;Bybee, Roger W.</t>
  </si>
  <si>
    <t>QH362 -- .E853 2004eb</t>
  </si>
  <si>
    <t>Evolution (Biology) -- Study and teaching (Secondary)</t>
  </si>
  <si>
    <t>Science; Science: Biology/Natural History</t>
  </si>
  <si>
    <t>Exemplary Science in Grades 9-12 : Standards-Based Success Stories</t>
  </si>
  <si>
    <t>Yager, Robert</t>
  </si>
  <si>
    <t>Q181 -- .E85 2005eb</t>
  </si>
  <si>
    <t>507/.1/2</t>
  </si>
  <si>
    <t>Science -- Study and teaching (Secondary) -- United States -- Case studies. ; Science -- Study and teaching (Secondary) -- United States -- Standards.</t>
  </si>
  <si>
    <t>Help! I'm Teaching Middle School Science</t>
  </si>
  <si>
    <t>Swango, C. Jill;Steward, Sally Boles</t>
  </si>
  <si>
    <t>LB1585.3 -- .S93 2002eb</t>
  </si>
  <si>
    <t>Science -- Study and teaching (Middle school) -- United States -- Handbooks, manuals, etc.</t>
  </si>
  <si>
    <t>Community Connections for Science Education : History and Theory You Can Use</t>
  </si>
  <si>
    <t>Katz, Phyllis;Robertson, William C.</t>
  </si>
  <si>
    <t>Q183.3.A1C655eb vol.</t>
  </si>
  <si>
    <t>507.1073;507/.1/073</t>
  </si>
  <si>
    <t>Community education -- United States. ; Science -- Study and teaching -- United States.</t>
  </si>
  <si>
    <t>How to Ask the Right Questions</t>
  </si>
  <si>
    <t>Blosser, Patricia E.</t>
  </si>
  <si>
    <t>LB1027.B56 2000</t>
  </si>
  <si>
    <t>371.3/7;371.37</t>
  </si>
  <si>
    <t>Questioning. ; Teaching.</t>
  </si>
  <si>
    <t>How to Weave the Web into K-8 Science</t>
  </si>
  <si>
    <t>Wetzel, David R.</t>
  </si>
  <si>
    <t>LB1585.3.W48 2005</t>
  </si>
  <si>
    <t>372.3/5/044</t>
  </si>
  <si>
    <t>Science -- Study and teaching (Elementary) -- United States. ; Internet in education -- United States. ; Educational Web sites -- United States.</t>
  </si>
  <si>
    <t>How to... Write to Learn Science</t>
  </si>
  <si>
    <t>Tierney, Bob;Dorroh, John</t>
  </si>
  <si>
    <t>Q181.T534 2004</t>
  </si>
  <si>
    <t>507/.1273</t>
  </si>
  <si>
    <t>Science -- Study and teaching (Secondary) ; English language -- Composition and exercises -- Study and teaching (Secondary)</t>
  </si>
  <si>
    <t>Innovative Techniques for Large-Group Instruction : An NSTA Press Journals Collection</t>
  </si>
  <si>
    <t>Q183.3.A1I58 2002</t>
  </si>
  <si>
    <t>Science -- Study and teaching (Higher) -- United States. ; Lecture method in teaching.</t>
  </si>
  <si>
    <t>Inquiring Safely : A Guide for Middle School Teachers</t>
  </si>
  <si>
    <t>Kwan, Terry;Texley, Juliana</t>
  </si>
  <si>
    <t>Q181.K885 2003</t>
  </si>
  <si>
    <t>Science -- Study and teaching (Middle school) ; Science rooms and equipment -- Safety measures. ; Laboratories -- Safety measures.</t>
  </si>
  <si>
    <t>Learning Science and the Science of Learning : Science Educators' Essay Collection</t>
  </si>
  <si>
    <t>Bybee, Rodger W.</t>
  </si>
  <si>
    <t>Q181.L4958 2002</t>
  </si>
  <si>
    <t>507/.1/073</t>
  </si>
  <si>
    <t>Science -- Study and teaching. ; Science teachers -- Training of.</t>
  </si>
  <si>
    <t>Professional Development : Planning and Design</t>
  </si>
  <si>
    <t>Rhoton, Jack;Shane, Patricia</t>
  </si>
  <si>
    <t>Q183.3.A1P755 2001</t>
  </si>
  <si>
    <t>507/.1/55</t>
  </si>
  <si>
    <t>Science teachers -- In-service training -- United States. ; Science -- Study and teaching -- United States.</t>
  </si>
  <si>
    <t>Science Educator's Guide to Laboratory Assessment</t>
  </si>
  <si>
    <t>Doran, Rodney L.;Chan, Fred;Tamir, Pinchas</t>
  </si>
  <si>
    <t>Q181 -- .S3735 2002beb</t>
  </si>
  <si>
    <t>507/.1/273</t>
  </si>
  <si>
    <t>Science -- Study and teaching -- Evaluation.</t>
  </si>
  <si>
    <t>Teaching Science in the Two-Year College : An NSTA Press Journals Collection</t>
  </si>
  <si>
    <t>Cooney, Timothy M.</t>
  </si>
  <si>
    <t>Q181.T3537 2003</t>
  </si>
  <si>
    <t>507/.1/1</t>
  </si>
  <si>
    <t>Science -- Study and teaching (Higher)</t>
  </si>
  <si>
    <t>Teaching with Purpose : Closing the Research-practice Gap</t>
  </si>
  <si>
    <t>Penick, John E.;Harris, Robin Lee</t>
  </si>
  <si>
    <t>Q181.P3475 2005</t>
  </si>
  <si>
    <t>Science -- Study and teaching -- Research. ; Science teachers -- Training of.</t>
  </si>
  <si>
    <t>The Creation Controversy and the Science Classroom</t>
  </si>
  <si>
    <t>Skehan, James William;Nelson, Craig</t>
  </si>
  <si>
    <t>BS651.C6923 2000</t>
  </si>
  <si>
    <t>231.7/652</t>
  </si>
  <si>
    <t>Bible and evolution -- Study and teaching. ; Creationism -- Study and teaching.</t>
  </si>
  <si>
    <t>The Lingo of Learning : 88 Education Terms Every Science Teacher Should Know</t>
  </si>
  <si>
    <t>Colburn, Alan</t>
  </si>
  <si>
    <t>Q181.C5265 2003</t>
  </si>
  <si>
    <t>Science -- Study and teaching. ; Education -- Terminology.</t>
  </si>
  <si>
    <t>Safeguarding Children and Schools</t>
  </si>
  <si>
    <t>Music, Graham;Hendry, Enid;Laskey, Louise;McCulloch, Ken;Baginsky, Mary;McGinnis, Susan;Miller, David;Westcott, Emma;Daniel, Brigid;Baginsky, William</t>
  </si>
  <si>
    <t>Best Practice in Working with Children Series</t>
  </si>
  <si>
    <t>LB3013.3.S262 2008</t>
  </si>
  <si>
    <t>School violence -- Prevention. ; Schools -- Safety measures.</t>
  </si>
  <si>
    <t>Evaluating Children's Writing : A Handbook of Grading Choices for Classroom Teachers</t>
  </si>
  <si>
    <t>Bratcher, Suzanne;Ryan, Linda</t>
  </si>
  <si>
    <t>LB1576 -- .B594 2004eb</t>
  </si>
  <si>
    <t>English language -- Composition and exercises -- Ability testing</t>
  </si>
  <si>
    <t>Handbook of Pediatric Psychology in School Settings</t>
  </si>
  <si>
    <t>Brown, Ronald T.</t>
  </si>
  <si>
    <t>LB1027.55 -- .H36 2004eb</t>
  </si>
  <si>
    <t>School psychology -- United States -- Handbooks, manuals, etc. ; Child psychology -- United States -- Handbooks, manuals, etc. ; School children -- Mental health services -- United States -- Handbooks, manuals, etc.</t>
  </si>
  <si>
    <t>Phonics Exposed : Understanding and Resisting Systematic Direct Intense Phonics Instruction</t>
  </si>
  <si>
    <t>Meyer, Richard J.</t>
  </si>
  <si>
    <t>LB1573.3$b.M49 2002</t>
  </si>
  <si>
    <t>372.46/5</t>
  </si>
  <si>
    <t>English language - Phonetics -</t>
  </si>
  <si>
    <t>Summer Learning : Research, Policies, and Programs</t>
  </si>
  <si>
    <t>Borman, Geoffrey D.;Boulay, Matthew;Alexander, Karl L.</t>
  </si>
  <si>
    <t>LC5751 -- .S78 2004eb</t>
  </si>
  <si>
    <t>371.2/32</t>
  </si>
  <si>
    <t>Summer schools -- United States.</t>
  </si>
  <si>
    <t>Why Reading Literature in School Still Matters : Imagination, Interpretation, Insight</t>
  </si>
  <si>
    <t>Sumara, Dennis J.</t>
  </si>
  <si>
    <t>Reader-response criticism</t>
  </si>
  <si>
    <t>Case Studies of Teacher Development : An in-Depth Look at How Thinking about Pedagogy Develops over Time</t>
  </si>
  <si>
    <t>Levin, Barbara B.</t>
  </si>
  <si>
    <t>Studies in Curriculum Theory</t>
  </si>
  <si>
    <t>LB1731 -- .L474 2003eb</t>
  </si>
  <si>
    <t>Teachers -- In-service training -- United States -- Longitudinal studies.</t>
  </si>
  <si>
    <t>Ensuring Safe School Environments : Exploring Issues--Seeking Solutions</t>
  </si>
  <si>
    <t>Fishbaugh, Mary Susan;Schroth, Gwen;Berkeley, Terry R.</t>
  </si>
  <si>
    <t>LC210.5 -- .E58 2003eb</t>
  </si>
  <si>
    <t>School violence -- United States -- Prevention</t>
  </si>
  <si>
    <t>Multicultural Issues in Literacy Research and Practice</t>
  </si>
  <si>
    <t>Willis, Arlette Ingram;Garcia, Georgia Earnest;Barrera, Rosalinda B.;Harris, Violet J.</t>
  </si>
  <si>
    <t>LC151 -- .M85 2003eb</t>
  </si>
  <si>
    <t>Literacy -- Social aspects -- United States. ; Multicultural education -- United States.</t>
  </si>
  <si>
    <t>Studying Service-Learning : Innovations in Education Research Methodology</t>
  </si>
  <si>
    <t>Billig, Shelley H.;Waterman, Alan S.</t>
  </si>
  <si>
    <t>LC220.5 -- .S795 2003eb</t>
  </si>
  <si>
    <t>Education -- Research -- Methodology. ; Service learning.</t>
  </si>
  <si>
    <t>Global Linguistic Flows : Hip Hop Cultures, Youth Identities, and the Politics of Language</t>
  </si>
  <si>
    <t>Alim, H. Samy;Ibrahim, Awad;Pennycook, Alastair</t>
  </si>
  <si>
    <t>306.44089/9607301732</t>
  </si>
  <si>
    <t>Group identity</t>
  </si>
  <si>
    <t>Post-Secondary Education in Qatar : Employer Demand, Student Choice, and Options for Policy</t>
  </si>
  <si>
    <t>Stasz, Cathleen;Eide, Eric R.;Martorell, Francisco</t>
  </si>
  <si>
    <t>LA1435 -- .P67 2007eb</t>
  </si>
  <si>
    <t>Education, Higher -- Qatar. ; Higher education and state -- Qatar.</t>
  </si>
  <si>
    <t>Revitalizing Arts Education Through Community-Wide Coordination</t>
  </si>
  <si>
    <t>Bodilly, Susan J.;Augustine, Catherine H.;Zakaras, Laura;Augustine, Catherine H;Zakaras, Laura</t>
  </si>
  <si>
    <t>N350 -- .B634 2008eb</t>
  </si>
  <si>
    <t>700.71/073</t>
  </si>
  <si>
    <t>Art -- Study and teaching -- United States. ; Community and school -- United States.</t>
  </si>
  <si>
    <t>On Reading Books to Children : Parents and Teachers</t>
  </si>
  <si>
    <t>van Kleeck, Anne;Stahl, Steven A.;Bauer, Eurydice B.</t>
  </si>
  <si>
    <t>LB1573.5 -- .O62 2003eb</t>
  </si>
  <si>
    <t>Oral reading. ; Storytelling. ; Children -- Books and reading.</t>
  </si>
  <si>
    <t>Writing the Qualitative Dissertation : Understanding by Doing</t>
  </si>
  <si>
    <t>Meloy, Judith M.</t>
  </si>
  <si>
    <t>LB2369.M38</t>
  </si>
  <si>
    <t>Dissertations, Academic -- Authorship -- Handbooks, manuals, etc. ; Research -- Methodology -- Handbooks, manuals, etc. ; Academic writing -- Handbooks, manuals, etc.</t>
  </si>
  <si>
    <t>Outcome Evaluation of the Spirituality for Kids Program</t>
  </si>
  <si>
    <t>Maestas, Nicole;Gaillot, Sarah</t>
  </si>
  <si>
    <t>LC311 -- .M245 2008eb</t>
  </si>
  <si>
    <t>Spirituality for Kids (Program) -- Evaluation. ; Moral education -- United States -- Case studies. ; After-school programs -- United States -- Case studies.</t>
  </si>
  <si>
    <t>U.S. Competitiveness in Science and Technology</t>
  </si>
  <si>
    <t>Galama, Titus;Hosek, James</t>
  </si>
  <si>
    <t>T73 -- .G35 2008eb</t>
  </si>
  <si>
    <t>338.973/06</t>
  </si>
  <si>
    <t>Technical education -- United States. ; Science -- Study and teaching -- United States. ; Labor supply -- Effect of education on -- United States. ; Competition, International. ; Education and state -- United States.</t>
  </si>
  <si>
    <t>Business/Management; Economics; Engineering; Engineering: General</t>
  </si>
  <si>
    <t>Mama, PhD : Women Write about Motherhood and Academic Life</t>
  </si>
  <si>
    <t>Evans, Elrena;Grant, Caroline;Peskowitz, Miriam</t>
  </si>
  <si>
    <t>LC1568</t>
  </si>
  <si>
    <t>378.1/55082</t>
  </si>
  <si>
    <t>Women in higher education-United States-Social conditions. ; Motherhood-United States.</t>
  </si>
  <si>
    <t>Risky Lessons : Sex Education and Social Inequality</t>
  </si>
  <si>
    <t>Fields, Jessica</t>
  </si>
  <si>
    <t>Rutgers Series in Childhood Studies</t>
  </si>
  <si>
    <t>HQ53</t>
  </si>
  <si>
    <t>613.9071/20973</t>
  </si>
  <si>
    <t>Mission and Money : Understanding the University</t>
  </si>
  <si>
    <t>Weisbrod, Burton A.;Ballou, Jeffrey P.;Asch, Evelyn D.</t>
  </si>
  <si>
    <t>LB2342 -- .W384 2008eb</t>
  </si>
  <si>
    <t>Education, Higher - Aims and objectives</t>
  </si>
  <si>
    <t>Freshwater Mussel Ecology : A Multifactor Approach to Distribution and Abundance</t>
  </si>
  <si>
    <t>Strayer, David L.</t>
  </si>
  <si>
    <t>Freshwater Ecology Series</t>
  </si>
  <si>
    <t>QL430.6 -- .S8785 2008eb</t>
  </si>
  <si>
    <t>Freshwater mussels-Ecology.</t>
  </si>
  <si>
    <t>Science: Zoology; Science</t>
  </si>
  <si>
    <t>Racing Odysseus : A College President Becomes a Freshman Again</t>
  </si>
  <si>
    <t>Martin, Roger H.</t>
  </si>
  <si>
    <t>Martin, Roger H., -- 1943- ; St. John's College (Annapolis, Md.) ; College presidents -- United States -- Biography. ; Adult college students -- United States -- Biography. ; Cancer -- Patients -- United States -- Biography.</t>
  </si>
  <si>
    <t>Global Neoliberalism and Education and Its Consequences</t>
  </si>
  <si>
    <t>Hill, Dave;Kumar, Ravi</t>
  </si>
  <si>
    <t>Routledge Studies in Education, Neoliberalism, and Marxism Series</t>
  </si>
  <si>
    <t>LC65 -- .G457 2009eb</t>
  </si>
  <si>
    <t>Education - Economic aspects</t>
  </si>
  <si>
    <t>The Rich World and the Impoverishment of Education : Diminishing Democracy, Equity and Workers' Rights</t>
  </si>
  <si>
    <t>Hill, Dave</t>
  </si>
  <si>
    <t>LC65 -- .R53 2009eb</t>
  </si>
  <si>
    <t>Education - Economic aspects - Developed countries</t>
  </si>
  <si>
    <t>Global Perspectives in the Geography Curriculum : Reviewing the Moral Case for Geography</t>
  </si>
  <si>
    <t>Standish, Alex</t>
  </si>
  <si>
    <t>G76.5.U5 -- S73 2009eb</t>
  </si>
  <si>
    <t>910.71/073</t>
  </si>
  <si>
    <t>Geography - Study and teaching - United States</t>
  </si>
  <si>
    <t>Geography/Travel; Juvenile Literature</t>
  </si>
  <si>
    <t>Teaching the Brain to Read : Strategies for Improving Fluency, Vocabulary, and Comprehension</t>
  </si>
  <si>
    <t>LB1573 -- .W544 2008eb</t>
  </si>
  <si>
    <t>Reading. ; Reading -- Physiological aspects. ; Brain.</t>
  </si>
  <si>
    <t>Detracking for Excellence and Equity</t>
  </si>
  <si>
    <t>Burris, Carol Corbett;Garrity, Delia T.</t>
  </si>
  <si>
    <t>LB3061.8 .B87 2008</t>
  </si>
  <si>
    <t>Track system (Education)-United States. ; Ability grouping in education-United States. ; Slow learning children-Education-United States. ; Academic achievement-United States. ; Educational equalization-United States.</t>
  </si>
  <si>
    <t>How to Give Effective Feedback to Your Students</t>
  </si>
  <si>
    <t>Brookhart, Susan M.</t>
  </si>
  <si>
    <t>LB1033 -- .B658 2008eb</t>
  </si>
  <si>
    <t>371.102/2</t>
  </si>
  <si>
    <t>Communication in education. ; Feedback (Psychology) ; Teacher-student relationships.</t>
  </si>
  <si>
    <t>The Handbook for Enhancing Professional Practice : Using the Framework for Teaching in Your School</t>
  </si>
  <si>
    <t>LB1025.3 .D355 2008</t>
  </si>
  <si>
    <t>Educational planning-Handbooks, manuals, etc. ; Professional education-Handbooks, manuals, etc. ; Teaching-Handbooks, manuals, etc.</t>
  </si>
  <si>
    <t>Critically Reflective Practice in Human Resource Development</t>
  </si>
  <si>
    <t>Rigg, Clare;Trehan, Kiran;Stewart, Jim</t>
  </si>
  <si>
    <t>Journal of European Industrial Training - Volume 32, Issue 5</t>
  </si>
  <si>
    <t>HF5549.15 -- .C758 2008eb</t>
  </si>
  <si>
    <t>Employees -- Training of. ; Personnel management.</t>
  </si>
  <si>
    <t>Research in Art and Design Education : Issues and Exemplars</t>
  </si>
  <si>
    <t>N85 -- .R47 2008eb</t>
  </si>
  <si>
    <t>Art, Community and Environment : Educational Perspectives</t>
  </si>
  <si>
    <t>Coutts, Glen;Jokela, Timo</t>
  </si>
  <si>
    <t>NX180.A77A78 2008</t>
  </si>
  <si>
    <t>Community arts projects. ; Arts -- Study and teaching. ; Environment (Art)</t>
  </si>
  <si>
    <t>Teaching and Learning in a Multilingual School : Choices, Risks, and Dilemmas</t>
  </si>
  <si>
    <t>Goldstein, Tara;Pon, Gordon;Chiu, Timothy;Ngan, Judith</t>
  </si>
  <si>
    <t>Language, Culture, and Teaching Series</t>
  </si>
  <si>
    <t>LC3734.3.T67 -- G65 2003eb</t>
  </si>
  <si>
    <t>Linguistic minorities -- Education (Secondary) -- Ontario -- Toronto -- Case studies. ; Education, Bilingual -- Ontario -- Toronto -- Case studies. ; Educational anthropology -- Ontario -- Toronto -- Case studies.</t>
  </si>
  <si>
    <t>World Class : Teaching and Learning in Global Times</t>
  </si>
  <si>
    <t>Gaudelli, William</t>
  </si>
  <si>
    <t>LC1090 -- .G38 2003eb</t>
  </si>
  <si>
    <t>International education -- United States.</t>
  </si>
  <si>
    <t>Classroom Assessment : Enhancing the Quality of Teacher Decision Making</t>
  </si>
  <si>
    <t>Anderson, Lorin W.</t>
  </si>
  <si>
    <t>LB3051 -- .A699 2003eb</t>
  </si>
  <si>
    <t>Educational tests and measurements. ; Teaching -- Decision making.</t>
  </si>
  <si>
    <t>Achieving Excellence in Preschool Literacy Instruction</t>
  </si>
  <si>
    <t>Justice, Laura M.;Vukelich, Carol;Teale, William H.</t>
  </si>
  <si>
    <t>LB1140.5.L3A28 2008</t>
  </si>
  <si>
    <t>Language arts (Preschool)</t>
  </si>
  <si>
    <t>Fostering Independent Learning : Practical Strategies to Promote Student Success</t>
  </si>
  <si>
    <t>Harvey, Virginia Smith;Chickie-Wolfe, Louise A.</t>
  </si>
  <si>
    <t>The Guilford Practical Intervention in the Schools Series</t>
  </si>
  <si>
    <t>LB2395.2.H37 2007</t>
  </si>
  <si>
    <t>371.39/43</t>
  </si>
  <si>
    <t>Independent study. ; Learning, Psychology of. ; Academic achievement.</t>
  </si>
  <si>
    <t>Handbook of Early Literacy Research, Volume 2</t>
  </si>
  <si>
    <t>Dickinson, David K.;Neuman, Susan B.</t>
  </si>
  <si>
    <t>HG101</t>
  </si>
  <si>
    <t>Language arts (Early childhood) -- Handbooks, manuals, etc. ; Reading (Early childhood) -- Handbooks, manuals, etc. ; Language arts (Early childhood) -- Research -- Handbooks, manuals, etc. ; Children -- Language -- Handbooks, manuals, etc.</t>
  </si>
  <si>
    <t>Teaching Mathematics to Middle School Students with Learning Difficulties</t>
  </si>
  <si>
    <t>Montague, Marjorie;Jitendra, Asha K.</t>
  </si>
  <si>
    <t>QA135.6.T428 2006</t>
  </si>
  <si>
    <t>371.9/0447</t>
  </si>
  <si>
    <t>Mathematics -- Study and teaching (Middle school) ; Learning disabled children -- Education.</t>
  </si>
  <si>
    <t>Tools for Matching Readers to Texts : Research-Based Practices</t>
  </si>
  <si>
    <t>Mesmer, Heidi Anne E.</t>
  </si>
  <si>
    <t>LB1573.M452 2008</t>
  </si>
  <si>
    <t>Reading (Elementary) -- United States. ; Children -- Books and reading -- United States. ; Book selection -- United States.</t>
  </si>
  <si>
    <t>John Dewey's Ethics : Democracy as Experience</t>
  </si>
  <si>
    <t>Pappas, Gregory</t>
  </si>
  <si>
    <t>B945.D44 -- P37 2008eb</t>
  </si>
  <si>
    <t>171/.2</t>
  </si>
  <si>
    <t>Dewey, John, -- 1859-1952. -- Ethics. ; Ethics.</t>
  </si>
  <si>
    <t>Political Correctness and Higher Education : British and American Perspectives</t>
  </si>
  <si>
    <t>Lea, John</t>
  </si>
  <si>
    <t>LC178.G7 -- L43 2009eb</t>
  </si>
  <si>
    <t>Political correctness - Great Britain</t>
  </si>
  <si>
    <t>The Ethics of Teaching : A Casebook</t>
  </si>
  <si>
    <t>Keith-Spiegel, Patricia;Whitley, Jr., Bernard E.;Balogh, Deborah Ware;Perkins, David V.;Wittig, Arno F.</t>
  </si>
  <si>
    <t>LB1779 -- .E76 2002eb</t>
  </si>
  <si>
    <t>174/.9372</t>
  </si>
  <si>
    <t>College teachers -- Professional ethics -- Case studies. ; College teaching -- Moral and ethical aspects -- Case studies.</t>
  </si>
  <si>
    <t>Educating Difficult Adolescents : Effective Education for Children in Public Care or with Emotional and Behavioural Difficulties</t>
  </si>
  <si>
    <t>Dance, Cherilyn;Beecham, Jennifer K.;Berridge, David;Field, Sarah;Stein, Mike;Thomas, Caroline</t>
  </si>
  <si>
    <t>Quality Matters in Childrens Services Series</t>
  </si>
  <si>
    <t>LC4096.G7 -- E25 2008eb</t>
  </si>
  <si>
    <t>Teenagers with social disabilities -- Education -- Great Britain. ; Teenagers -- Institutional care -- Great Britain. ; Foster children -- Education -- Great Britain.</t>
  </si>
  <si>
    <t>How to Make School Make Sense : A Parents' Guide to Helping the Child with Asperger Syndrome</t>
  </si>
  <si>
    <t>Attwood, Anthony;Lawrence, Clare;Attwood, Anthony;Attwood, Tony</t>
  </si>
  <si>
    <t>LC4717 -- .L39 2008eb</t>
  </si>
  <si>
    <t>Autistic children -- Education. ; Education -- Parent participation. ; Asperger's syndrome in children.</t>
  </si>
  <si>
    <t>Social Skills Games for Children</t>
  </si>
  <si>
    <t>Plummer, Deborah;Wright, Jannet;Serrurier, Jane</t>
  </si>
  <si>
    <t>HQ783 -- .H59 2008eb</t>
  </si>
  <si>
    <t>Gifts, Talents and Education : A Living Theory Approach</t>
  </si>
  <si>
    <t>Hymer, Barry;Whitehead, Jack;Huxtable, Marie</t>
  </si>
  <si>
    <t>LC3993.H96 2009</t>
  </si>
  <si>
    <t>Gifted children -- Education. ; Gifted children -- Education -- Research.</t>
  </si>
  <si>
    <t>Educating Learning Technology Designers : Guiding and Inspiring Creators of Innovative Educational Tools</t>
  </si>
  <si>
    <t>DiGiano, Chris;Goldman, Shelley;Chorost, Michael</t>
  </si>
  <si>
    <t>LB1028.3 -- .E319 2008eb</t>
  </si>
  <si>
    <t>Computer-assisted instruction</t>
  </si>
  <si>
    <t>GMAT Math Bible</t>
  </si>
  <si>
    <t>West Hollywood</t>
  </si>
  <si>
    <t>Kolby, Jeff;Vaughn, Derrick</t>
  </si>
  <si>
    <t>QA43.K65 2008</t>
  </si>
  <si>
    <t>Mathematics--Examinations, questions, etc.</t>
  </si>
  <si>
    <t>Mathematics; Business/Management</t>
  </si>
  <si>
    <t>A Teacher's Guide to Multisensory Learning : Improving Literacy by Engaging the Senses</t>
  </si>
  <si>
    <t>Baines, Lawrence</t>
  </si>
  <si>
    <t>LB1576 -- .B245 2008eb</t>
  </si>
  <si>
    <t>Discipline with Dignity : New Challenges, New Solutions</t>
  </si>
  <si>
    <t>Curwin, Richard L.;Mendler, Allen N.;Mendler, Brian D.</t>
  </si>
  <si>
    <t>LB3012.2 -- .C87 2008eb</t>
  </si>
  <si>
    <t>School discipline -- United States. ; Problem children -- Education -- United States.</t>
  </si>
  <si>
    <t>Supporting Transitions in the Early Years</t>
  </si>
  <si>
    <t>Brooker, Liz</t>
  </si>
  <si>
    <t>Supporting Early Learning Series</t>
  </si>
  <si>
    <t>LB1139.23 -- .B76 2008eb</t>
  </si>
  <si>
    <t>Master's Level Study in Education : A Guide to Success for PGCE Students</t>
  </si>
  <si>
    <t>Denby, Neil;Butroyd, Robert;Swift, Helen;Price, Jayne;Glazzard, Jonathan</t>
  </si>
  <si>
    <t>LB2371 -- .D46 2008eb</t>
  </si>
  <si>
    <t>Doing Classroom Research : A Step-By-Step Guide for Student Teachers</t>
  </si>
  <si>
    <t>Elton-Chalcraft, Sally;Hansen, Alice;Twiselton, Samantha</t>
  </si>
  <si>
    <t>LB1028.24 -- .D64 2008eb</t>
  </si>
  <si>
    <t>Approaches to Learning: a Guide for Teachers</t>
  </si>
  <si>
    <t>Jordan, Anne;Carlile, Orison;Stack, Annetta</t>
  </si>
  <si>
    <t>LB1025.3 -- .J67 2008eb</t>
  </si>
  <si>
    <t>What to Do with Your Psychology Degree</t>
  </si>
  <si>
    <t>McDonald, Matthew;Das, Susmita</t>
  </si>
  <si>
    <t>BF76 -- .M33 2008eb</t>
  </si>
  <si>
    <t>Podcasting for Learning in Universities</t>
  </si>
  <si>
    <t>Salmon, Gilly;Edirisingha, Palitha</t>
  </si>
  <si>
    <t>LB1044.9.P63 -- P63 2008eb</t>
  </si>
  <si>
    <t>History's Children : History Wars in the Classroom</t>
  </si>
  <si>
    <t>New South Books, Australia (UNSW)</t>
  </si>
  <si>
    <t>University of NSW Press</t>
  </si>
  <si>
    <t>AUSTRALIA</t>
  </si>
  <si>
    <t>New South</t>
  </si>
  <si>
    <t>Clark, Anna</t>
  </si>
  <si>
    <t>DU109.5.C53 2008</t>
  </si>
  <si>
    <t>20994;907.20994</t>
  </si>
  <si>
    <t>Educational surveys -- Australia; Australian students -- Attitudes; Australia -- History -- Study and teaching.</t>
  </si>
  <si>
    <t>Aiming High : Raising Attainment of Pupils from Culturally-Diverse Backgrounds</t>
  </si>
  <si>
    <t>Parker-Jenkins, Marie;Hewitt, Des;Brownhill, Simon;Sanders, Tania</t>
  </si>
  <si>
    <t>LC3736.G7 -- A36 2007eb</t>
  </si>
  <si>
    <t>Educational attainment - Great Britain</t>
  </si>
  <si>
    <t>Education and Care for Adolescents and Adults with Autism : A Guide for Professionals and Carers</t>
  </si>
  <si>
    <t>Wall, Kate</t>
  </si>
  <si>
    <t>RC553.A88 -- W353 2007eb</t>
  </si>
  <si>
    <t>Autism - Patients - Education</t>
  </si>
  <si>
    <t>Social Science; Medicine; Health; Psychology</t>
  </si>
  <si>
    <t>Getting Your PhD : A Practical Insiders Guide</t>
  </si>
  <si>
    <t>Churchill, Harriet;Sanders, Teela</t>
  </si>
  <si>
    <t>LB2371 -- .C55 2007eb</t>
  </si>
  <si>
    <t>Social sciences - Study and teaching (Graduate)</t>
  </si>
  <si>
    <t>Making a Spectacle of Bullying : An Assembly Performance with Follow-Up Activities for Citizenship, PSHE and Literacy</t>
  </si>
  <si>
    <t>Baker, Kate;Smith, Bridget</t>
  </si>
  <si>
    <t>LB3013.25 -- .B34 2005eb</t>
  </si>
  <si>
    <t>Bullying in schools -- Great Britain -- Prevention. ; Bullying -- Great Britain -- Juvenile drama. ; Citizenship -- Study and teaching (Elementary) -- Activity programs -- Great Britain.</t>
  </si>
  <si>
    <t>Managing Special and Inclusive Education</t>
  </si>
  <si>
    <t>Rayner, Steve G.</t>
  </si>
  <si>
    <t>LC3986.G7 -- R39 2007eb</t>
  </si>
  <si>
    <t>Inclusive education - Great Britain - Administration</t>
  </si>
  <si>
    <t>Managing Violence in Schools : A Whole-School Approach to Best Practice</t>
  </si>
  <si>
    <t>Cowie, Helen;Jennifer, Dawn</t>
  </si>
  <si>
    <t>LB3013.3 -- .C69 2007eb</t>
  </si>
  <si>
    <t>Youth - Social networks</t>
  </si>
  <si>
    <t>Promoting Health in Schools : A Practical Guide for Teachers and School Nurses Working with Children Aged 3 To 11</t>
  </si>
  <si>
    <t>Croghan, Emma</t>
  </si>
  <si>
    <t>RA427.8 -- .C76 2007eb</t>
  </si>
  <si>
    <t>School hygiene - Great Britain</t>
  </si>
  <si>
    <t>Health; Education; Social Science</t>
  </si>
  <si>
    <t>Promoting Personal Safety in PSHE</t>
  </si>
  <si>
    <t>Harries, Jane</t>
  </si>
  <si>
    <t>HQ770.7 -- .H37 2006eb</t>
  </si>
  <si>
    <t>Safety education. ; Accidents -- Prevention.</t>
  </si>
  <si>
    <t>Study Skills : A Teaching Programme for Students in Schools and Colleges</t>
  </si>
  <si>
    <t>Guy, Pat</t>
  </si>
  <si>
    <t>LB1049 -- .G89 2007eb</t>
  </si>
  <si>
    <t>Study skills -- Programmed instruction. ; Study environment.</t>
  </si>
  <si>
    <t>Supporting Young People Coping with Grief, Loss and Death</t>
  </si>
  <si>
    <t>Weymont, Deborah;Rae, Tina</t>
  </si>
  <si>
    <t>BF724.3.G73 -- W49 2006eb</t>
  </si>
  <si>
    <t>Grief in adolescence. ; Loss (Psychology) in adolescence. ; Bereavement in adolescence. ; Teenagers -- Counseling of.</t>
  </si>
  <si>
    <t>The Dyslexia-Friendly Primary School : A Practical Guide for Teachers</t>
  </si>
  <si>
    <t>Pavey, Barbara</t>
  </si>
  <si>
    <t>LC4708 -- .P38 2007eb</t>
  </si>
  <si>
    <t>Dyslexic children - Education</t>
  </si>
  <si>
    <t>Using Phonics to Teach Reading and Spelling</t>
  </si>
  <si>
    <t>Bald, John</t>
  </si>
  <si>
    <t>LB1573.3 -- .B35 2007eb</t>
  </si>
  <si>
    <t>English language - Orthography and spelling - Study and teaching (Elementary)</t>
  </si>
  <si>
    <t>Measuring Quality : Performance Measurement in Libraries. 2nd Revised Edition</t>
  </si>
  <si>
    <t>Poll, Roswitha;te Boekhorst, Peter;Mundt, Sebastian</t>
  </si>
  <si>
    <t>IFLA Publications</t>
  </si>
  <si>
    <t>Z675.U5P78 2007</t>
  </si>
  <si>
    <t>Academic libraries -- Evaluation. ; Public libraries -- Evaluation.</t>
  </si>
  <si>
    <t>Communicating Knowledge : Publishing in the 21st Century</t>
  </si>
  <si>
    <t>Feather, John</t>
  </si>
  <si>
    <t>Z278.F43 2003</t>
  </si>
  <si>
    <t>Beyond Degrees : Professional Learning for Knowledge Services</t>
  </si>
  <si>
    <t>St. Clair, Guy;Albert, Lauren</t>
  </si>
  <si>
    <t>Information Services Management Series</t>
  </si>
  <si>
    <t>HD8039.I37S7 2003</t>
  </si>
  <si>
    <t>E-Learning for Management and Marketing in Libraries : Papers Presented at the IFLA Satellite Meeting, Section Management and Marketing; Management and Marketing Section, Geneva, Switzerland, July 28-30 2003</t>
  </si>
  <si>
    <t>McAdam, Daisy</t>
  </si>
  <si>
    <t>LC5800.I45 2005</t>
  </si>
  <si>
    <t>IFLA Cataloguing Principles: Steps Towards an International Cataloguing Code, 2 : Report from the 2nd IFLA Meeting of Experts on an International Cataloguing Code, Buenos Aires, Argentina 2004</t>
  </si>
  <si>
    <t>Tillett, Barbara B.;Cristán, Ana Lupe</t>
  </si>
  <si>
    <t>IFLA Series on Bibliographic Control Series</t>
  </si>
  <si>
    <t>Z693.3.S72I35 2005</t>
  </si>
  <si>
    <t>Balancing Principles for Teaching Elementary Reading</t>
  </si>
  <si>
    <t>Hoffman, James V.;Afflerbach, Peter;Duffy-Hester, Ann M.;McCarthey, Sarah J.;Baumann, James F.</t>
  </si>
  <si>
    <t>LB1573$b. H459 2000</t>
  </si>
  <si>
    <t>Reading (Elementary)</t>
  </si>
  <si>
    <t>The New Handbook of Administrative Supervision in Counseling</t>
  </si>
  <si>
    <t>Henderson, Patricia G.</t>
  </si>
  <si>
    <t>LB1027.5 -- .H4365 2009eb</t>
  </si>
  <si>
    <t>Educational counseling - United States - Administration</t>
  </si>
  <si>
    <t>Cognitive-Behavioral Interventions for Emotional and Behavioral Disorders : School-Based Practice</t>
  </si>
  <si>
    <t>Mayer, Matthew J.;Van Acker, Richard;Lochman, John E.;Gresham, Frank M.</t>
  </si>
  <si>
    <t>RJ505.C63C63</t>
  </si>
  <si>
    <t>Cognitive therapy for children. ; School mental health services. ; Emotional problems of children -- Treatment. ; Behavior disorders in children -- Treatment.</t>
  </si>
  <si>
    <t>Researching Children's Experiences</t>
  </si>
  <si>
    <t>Freeman, Melissa;Mathison, Sandra</t>
  </si>
  <si>
    <t>BF722.F74 2009</t>
  </si>
  <si>
    <t>Child psychology -- Research. ; Experience in children.</t>
  </si>
  <si>
    <t>Education Outreach and Public Engagement</t>
  </si>
  <si>
    <t>Springer</t>
  </si>
  <si>
    <t>New York, NY</t>
  </si>
  <si>
    <t>Dolan, Erin</t>
  </si>
  <si>
    <t>Mentoring in Academia and Industry Series</t>
  </si>
  <si>
    <t>LB1060-1077</t>
  </si>
  <si>
    <t>Science teachers -- Training of</t>
  </si>
  <si>
    <t>Model Based Learning and Instruction in Science</t>
  </si>
  <si>
    <t>Clement, John;Rea-Ramirez, Mary Anne</t>
  </si>
  <si>
    <t>Models and Modeling in Science Education Series</t>
  </si>
  <si>
    <t>Science--Study and teaching--Simulation methods.</t>
  </si>
  <si>
    <t>The Foundation of Hope : Turning Dreams into Reality</t>
  </si>
  <si>
    <t>Elford, John R.</t>
  </si>
  <si>
    <t>LF795.L584F68 2003</t>
  </si>
  <si>
    <t>Liverpool Hope University College-History. ; Education, Higher-England-Liverpool. ; Theology-Study and teaching-England-Liverpool.</t>
  </si>
  <si>
    <t>Doing Diversity in Higher Education : Faculty Leaders Share Challenges and Strategies</t>
  </si>
  <si>
    <t>Brown-Glaude, Winnifred R.;Harley, Sharon;Hawkesworth, Mary;Litt, Jacqueline S.;Wall, Cheryl;Hartman, Mary;Dill, Bonnie Thornton;McLaughlin, Amy;Billingslea-Brown, Alma Jean;De Allen, Gertrude James Gonzalez</t>
  </si>
  <si>
    <t>LB2332</t>
  </si>
  <si>
    <t>378.1/9829</t>
  </si>
  <si>
    <t>Faculty integration-United States. ; Multiculturalism-United States. ; Universities and colleges-Faculty-United States.</t>
  </si>
  <si>
    <t>A Doll's House</t>
  </si>
  <si>
    <t>Ibsen, Henrik;Haldeman-Julius, E.</t>
  </si>
  <si>
    <t>HQ1682 -- .I274 1923eb</t>
  </si>
  <si>
    <t>Women -- Norway -- Drama. ; Wives -- Drama. ; Norwegian drama -- Translations into English. ; Marriage -- Drama. ; Man-woman relationships -- Drama.</t>
  </si>
  <si>
    <t>How to Tell a Story and Other Essays</t>
  </si>
  <si>
    <t>Twain, Mark</t>
  </si>
  <si>
    <t>LB1042 -- .T835 1899eb</t>
  </si>
  <si>
    <t>Storytelling.</t>
  </si>
  <si>
    <t>Hamlet</t>
  </si>
  <si>
    <t>Shakespeare, William</t>
  </si>
  <si>
    <t>PN57.H32 -- .S535 2008eb</t>
  </si>
  <si>
    <t>Hamlet (Legendary character) -- Drama. ; Kings and rulers -- Succession -- Drama. ; Murder victims' families -- Drama.</t>
  </si>
  <si>
    <t>Literature; Fine Arts</t>
  </si>
  <si>
    <t>Beethoven</t>
  </si>
  <si>
    <t>Wagner, Richard;Ellis, William Ashton</t>
  </si>
  <si>
    <t>ML410.B4 -- .W346 1870eb</t>
  </si>
  <si>
    <t>780/.92</t>
  </si>
  <si>
    <t>Beethoven, Ludwig van, -- 1770-1827. ; Music -- Philosophy and aesthetics.</t>
  </si>
  <si>
    <t>Beethoven, As Revealed in His Own Words : The Man and the Artist</t>
  </si>
  <si>
    <t>Beethoven, Ludwig Van;Kerst, Friedrich;Beethoven, Ludwig van</t>
  </si>
  <si>
    <t>ML410.B4 -- .B448 1904eb</t>
  </si>
  <si>
    <t>Beethoven, Ludwig van, -- 1770-1827. ; Composers -- Germany -- Biography.</t>
  </si>
  <si>
    <t>The Writing-Rich High School Classroom : Engaging Students in the Writing Workshop</t>
  </si>
  <si>
    <t>Berne, Jennifer</t>
  </si>
  <si>
    <t>LB1631.B47 2009</t>
  </si>
  <si>
    <t>808/.0420712</t>
  </si>
  <si>
    <t>English language -- Composition and exercises -- Study and teaching (Secondary) ; English language -- Rhetoric -- Study and teaching (Secondary)</t>
  </si>
  <si>
    <t>Empowerment Evaluation Principles in Practice</t>
  </si>
  <si>
    <t>Fetterman, David M.;Wandersman, Abraham</t>
  </si>
  <si>
    <t>H62 -- .E574 2005eb</t>
  </si>
  <si>
    <t>361/.0068/3</t>
  </si>
  <si>
    <t>Social systems</t>
  </si>
  <si>
    <t>Evaluation Ethics for Best Practice : Cases and Commentaries</t>
  </si>
  <si>
    <t>Morris, Michael A.</t>
  </si>
  <si>
    <t>H62.E8472 2008</t>
  </si>
  <si>
    <t>Evaluation research (Social action programs) -- Moral and ethical aspects.</t>
  </si>
  <si>
    <t>Conceptual Foundations of Teaching Reading</t>
  </si>
  <si>
    <t>Sadoski, Mark</t>
  </si>
  <si>
    <t>LB1050.S135 2004</t>
  </si>
  <si>
    <t>418.4/019</t>
  </si>
  <si>
    <t>Reading. ; Curriculum planning.</t>
  </si>
  <si>
    <t>Juvenile Literature; Language/Linguistics; Education</t>
  </si>
  <si>
    <t>Language and Literacy Learning in Schools</t>
  </si>
  <si>
    <t>Silliman, Elaine R.;Wilkinson, Louise C.;Wilkinson, Louise C.</t>
  </si>
  <si>
    <t>LB1576.L2932</t>
  </si>
  <si>
    <t>Language arts. ; Literacy. ; Interdisciplinary approach in education.</t>
  </si>
  <si>
    <t>Instruction and Assessment for Struggling Writers : Evidence-Based Practices</t>
  </si>
  <si>
    <t>Troia, Gary A.</t>
  </si>
  <si>
    <t>LB1576 -- .I654 2009eb</t>
  </si>
  <si>
    <t>808/.042071</t>
  </si>
  <si>
    <t>English language -- Composition and exercises -- Study and teaching</t>
  </si>
  <si>
    <t>Literature; Education; Juvenile Literature</t>
  </si>
  <si>
    <t>Race and Class Matters at an Elite College</t>
  </si>
  <si>
    <t>Aries, Elizabeth</t>
  </si>
  <si>
    <t>LD156</t>
  </si>
  <si>
    <t>378.744/23</t>
  </si>
  <si>
    <t>Amherst College -- Freshmen -- Social conditions -- Case studies. ; Private universities and colleges -- Social aspects -- Massachusetts -- Amherst -- Case studies. ; Minority college students -- Massachusetts -- Amherst -- Social conditions -- Case studies.</t>
  </si>
  <si>
    <t>Messages from Home : The Parent-Child Home Program for Overcoming Educational Disadvantage</t>
  </si>
  <si>
    <t>Levenstein, Phyllis;Levenstein, Susan</t>
  </si>
  <si>
    <t>LB1134</t>
  </si>
  <si>
    <t>372.119/2</t>
  </si>
  <si>
    <t>Child development-United States. ; Learning ability. ; Education, Preschool-Parent participation-United States. ; Mother and child-United States. ; Academic achievement-United States.</t>
  </si>
  <si>
    <t>The Aspen Institute Guide to Socially Responsible MBA Programs: 2008-2009 : 2008-2009</t>
  </si>
  <si>
    <t>Aspen Institute, , The;Aspen Institute, The</t>
  </si>
  <si>
    <t>HF1111 -- .A77 2008eb</t>
  </si>
  <si>
    <t>Master of business administration degree -- Directories. ; Business education -- Directories.</t>
  </si>
  <si>
    <t>Why Decisions Fail : Avoiding the Blunders and Traps That Lead to Debacles</t>
  </si>
  <si>
    <t>Nutt, Paul</t>
  </si>
  <si>
    <t>HD30.23.N883 2002</t>
  </si>
  <si>
    <t>Decision making. ; Industrial management -- Decision making.</t>
  </si>
  <si>
    <t>All the Essential Half-Truths about Higher Education</t>
  </si>
  <si>
    <t>University of Chicago Press</t>
  </si>
  <si>
    <t>O'Brien, George Dennis</t>
  </si>
  <si>
    <t>LA228</t>
  </si>
  <si>
    <t>378.7/3</t>
  </si>
  <si>
    <t>Universities and colleges -- United States</t>
  </si>
  <si>
    <t>College Choices : The Economics of Where to Go, When to Go, and How to Pay for It</t>
  </si>
  <si>
    <t>Hoxby, Caroline M.</t>
  </si>
  <si>
    <t>National Bureau of Economic Research Conference Report</t>
  </si>
  <si>
    <t>LB2350</t>
  </si>
  <si>
    <t>378.3/0973</t>
  </si>
  <si>
    <t>College choice -- Economic aspects -- United States -- Congresses.</t>
  </si>
  <si>
    <t>Dialogues and Addresses</t>
  </si>
  <si>
    <t>Maintenon, Madame de;Conley, John J.</t>
  </si>
  <si>
    <t>The Other Voice in Early Modern Europe Series</t>
  </si>
  <si>
    <t>LC1422</t>
  </si>
  <si>
    <t>Women -- Europe -- Conduct of life -- Early works to 1800</t>
  </si>
  <si>
    <t>Economic Challenges in Higher Education</t>
  </si>
  <si>
    <t>Clotfelter, Charles T.;Ehrenberg, Ronald G.;Getz, Malcolm;Siegfried, John J.</t>
  </si>
  <si>
    <t>National Bureau of Economic Research Monograph Series</t>
  </si>
  <si>
    <t>LC67</t>
  </si>
  <si>
    <t>College attendance -- United States</t>
  </si>
  <si>
    <t>Individual and Social Responsibility : Child Care, Education, Medical Care, and Long-Term Care in America</t>
  </si>
  <si>
    <t>Fuchs, Victor R.</t>
  </si>
  <si>
    <t>HV91</t>
  </si>
  <si>
    <t>Older people -- Long-term care -- United States -- Congresses</t>
  </si>
  <si>
    <t>Point of View : Talks on Education</t>
  </si>
  <si>
    <t>Levi, Edward H.</t>
  </si>
  <si>
    <t>A Chicago Classic Series</t>
  </si>
  <si>
    <t>LB885</t>
  </si>
  <si>
    <t>378/.001</t>
  </si>
  <si>
    <t>Education -- Philosophy. ; Education.</t>
  </si>
  <si>
    <t>Powers of the Mind : The Reinvention of Liberal Learning in America</t>
  </si>
  <si>
    <t>Levine, Donald N.</t>
  </si>
  <si>
    <t>LB2361</t>
  </si>
  <si>
    <t>Curriculum change -- United States</t>
  </si>
  <si>
    <t>Race and Schooling in the South, 1880-1950 : An Economic History</t>
  </si>
  <si>
    <t>Margo, Robert A.</t>
  </si>
  <si>
    <t>National Bureau of Economic Research Series on Long-Term Factors in Economic Development Series</t>
  </si>
  <si>
    <t>LC66</t>
  </si>
  <si>
    <t>338.4/7370/975</t>
  </si>
  <si>
    <t>Economic development -- Effect of education on</t>
  </si>
  <si>
    <t>Regionalism and the Reading Class</t>
  </si>
  <si>
    <t>Griswold, Wendy</t>
  </si>
  <si>
    <t>LB1050</t>
  </si>
  <si>
    <t>Regionalism -- Social aspects</t>
  </si>
  <si>
    <t>Schools Betrayed : Roots of Failure in Inner-City Education</t>
  </si>
  <si>
    <t>Neckerman, Kathryn M.</t>
  </si>
  <si>
    <t>LC5133</t>
  </si>
  <si>
    <t>370.9773/11</t>
  </si>
  <si>
    <t>Education, Urban -- Illinois -- Chicago -- History -- 20th century</t>
  </si>
  <si>
    <t>Science for Sale : The Perils, Rewards, and Delusions of Campus Capitalism</t>
  </si>
  <si>
    <t>Greenberg, Daniel S.</t>
  </si>
  <si>
    <t>Q180</t>
  </si>
  <si>
    <t>500.71/1</t>
  </si>
  <si>
    <t>Research -- United States -- Finance</t>
  </si>
  <si>
    <t>Studies of Supply and Demand in Higher Education</t>
  </si>
  <si>
    <t>Clotfelter, Charles T.;Rothschild, Michael</t>
  </si>
  <si>
    <t>National Bureau of Economic Research Project Report</t>
  </si>
  <si>
    <t>Education, Higher -- United States -- Finance -- Congresses</t>
  </si>
  <si>
    <t>The Calling of Education : The Academic Ethic and Other Essays on Higher Education</t>
  </si>
  <si>
    <t>Shils, Edward;Grosby, Steven</t>
  </si>
  <si>
    <t>LB2325</t>
  </si>
  <si>
    <t>Education, Higher -- Philosophy</t>
  </si>
  <si>
    <t>The Contest for Knowledge : Debates over Women's Learning in Eighteenth-Century Italy</t>
  </si>
  <si>
    <t>Agnesi, Maria Gaetana;Faini, Diamante Medaglia;Savini de' Rossi, Aretafila;Accademia de' Ricovrati, Accademia de';Messbarger, Rebecca;Findlen, Paula</t>
  </si>
  <si>
    <t>LC2122</t>
  </si>
  <si>
    <t>370.82/0945/09033</t>
  </si>
  <si>
    <t>Women -- Italy -- Social conditions -- 18th century -- Sources</t>
  </si>
  <si>
    <t>The Economics of School Choice</t>
  </si>
  <si>
    <t>LB1027</t>
  </si>
  <si>
    <t>School choice -- Economic aspects -- United States.</t>
  </si>
  <si>
    <t>The Educated Mind : How Cognitive Tools Shape Our Understanding</t>
  </si>
  <si>
    <t>Egan, Kieran</t>
  </si>
  <si>
    <t>LB14</t>
  </si>
  <si>
    <t>The First Year Out : Understanding American Teens after High School</t>
  </si>
  <si>
    <t>Clydesdale, Tim</t>
  </si>
  <si>
    <t>Morality and Society Series</t>
  </si>
  <si>
    <t>LB1695</t>
  </si>
  <si>
    <t>College freshmen -- United States</t>
  </si>
  <si>
    <t>The Knowledge Most Worth Having</t>
  </si>
  <si>
    <t>Booth, Wayne C.</t>
  </si>
  <si>
    <t>LB7</t>
  </si>
  <si>
    <t>Education, Humanistic</t>
  </si>
  <si>
    <t>The Story I Tell Myself : A Venture in Existentialist Autobiography</t>
  </si>
  <si>
    <t>Barnes, Hazel E.</t>
  </si>
  <si>
    <t>CT275</t>
  </si>
  <si>
    <t>Existentialism</t>
  </si>
  <si>
    <t>Social Science; History</t>
  </si>
  <si>
    <t>Training and the Private Sector : International Comparisons</t>
  </si>
  <si>
    <t>Lynch, Lisa M.</t>
  </si>
  <si>
    <t>National Bureau of Economic Research Comparative Labor Markets Series</t>
  </si>
  <si>
    <t>HD5715</t>
  </si>
  <si>
    <t>331.25/92</t>
  </si>
  <si>
    <t>Occupational training -- United States</t>
  </si>
  <si>
    <t>The Professional LGV Driver's Handbook : A Complete Guide to the Driver CPC</t>
  </si>
  <si>
    <t>Kogan Page</t>
  </si>
  <si>
    <t>Kogan Page, Limited</t>
  </si>
  <si>
    <t>Lowe, David</t>
  </si>
  <si>
    <t>TL230.3.L69 2008</t>
  </si>
  <si>
    <t>Truck driving -- Great Britain -- Handbooks, manuals, etc. ; Trucking -- Safety regulations -- Great Britain -- Handbooks, manuals, etc.</t>
  </si>
  <si>
    <t>Engineering: General; Engineering; Engineering: Mechanical</t>
  </si>
  <si>
    <t>Scholarships 101 : The Real-World Guide to Getting Cash for College</t>
  </si>
  <si>
    <t>Saranac Lake</t>
  </si>
  <si>
    <t>STEZALA, Kimberly Ann</t>
  </si>
  <si>
    <t>LB2338 -- .S82 2008eb</t>
  </si>
  <si>
    <t>378.3/4</t>
  </si>
  <si>
    <t>Scholarships -- United States. ; Universities and colleges -- United States -- Admission.</t>
  </si>
  <si>
    <t>Introduction to Childhood Studies</t>
  </si>
  <si>
    <t>Kehily, Mary Jane</t>
  </si>
  <si>
    <t>HQ767.9 -- .I58 2009eb</t>
  </si>
  <si>
    <t>Production management. ; Quality control. ; Industrial management.</t>
  </si>
  <si>
    <t>Achieving Your Professional Doctorate</t>
  </si>
  <si>
    <t>Smith, Nancy Jane</t>
  </si>
  <si>
    <t>LB2386 -- .L44 2009eb</t>
  </si>
  <si>
    <t>Doctor of philosophy degree-Handbooks, manuals, etc. ; Professional education.</t>
  </si>
  <si>
    <t>Doing Action Research in Early Childhood Studies: a Step-By-step Guide</t>
  </si>
  <si>
    <t>Mac Naughton, Glenda;Hughes, Patrick</t>
  </si>
  <si>
    <t>LB1139.225 -- .M33 2009eb</t>
  </si>
  <si>
    <t>Using Secondary Data in Educational and Social Research</t>
  </si>
  <si>
    <t>Smith, Emma</t>
  </si>
  <si>
    <t>LB1028 -- .S55 2008eb</t>
  </si>
  <si>
    <t>Education -- Research -- Statistical methods. ; Social sciences -- Research -- Statistical methods. ; Research -- Methodology.</t>
  </si>
  <si>
    <t>Teaching and Learning Early Number</t>
  </si>
  <si>
    <t>QA135.5 .T398 2008</t>
  </si>
  <si>
    <t>Arithmetic-Study and teaching (Elementary) ; Numeracy-Study and teaching (Elementary)</t>
  </si>
  <si>
    <t>Stepping Stones to Achieving Your Doctorate : By Focusing on Your Viva from the Start</t>
  </si>
  <si>
    <t>Trafford, Vernon;Leshem, Shosh</t>
  </si>
  <si>
    <t>LB2386 .T73 2008</t>
  </si>
  <si>
    <t>Doctor of education degree. ; Doctor of philosophy degree. ; Dissertations, Academic. ; Education-Research-Methodology.</t>
  </si>
  <si>
    <t>Eureka! : European Research Universities and the Challenges of the 21st Century</t>
  </si>
  <si>
    <t>Amsterdam University Press</t>
  </si>
  <si>
    <t>Blondeau, Thomas;Breimer, Douwe;Bremmer, David;Provoost, Frank;Santen, Hester van;Weijts, Christiaan;Funnekotter, Bart</t>
  </si>
  <si>
    <t>LB2342.2.E85 -- E97 2005eb</t>
  </si>
  <si>
    <t>Universities and colleges -- Europe -- Finance. ; Education, Higher -- Europe -- Finance.</t>
  </si>
  <si>
    <t>Never Work Harder Than Your Students and Other Principles of Great Teaching</t>
  </si>
  <si>
    <t>Jackson, Robyn R.</t>
  </si>
  <si>
    <t>LB1025.3 -- .J333 2009eb</t>
  </si>
  <si>
    <t>Building Teachers' Capacity for Success : A Collaborative Approach for Coaches and School Leaders</t>
  </si>
  <si>
    <t>Hall, Pete;Simeral, Alisa</t>
  </si>
  <si>
    <t>LB2822.82 .H357 2008</t>
  </si>
  <si>
    <t>School improvement programs-United States. ; Teacher-administrator relationships-United States.</t>
  </si>
  <si>
    <t>Learning and Leading with Habits of Mind : 16 Essential Characteristics for Success</t>
  </si>
  <si>
    <t>Costa, Arthur L.;Kallick, Bena</t>
  </si>
  <si>
    <t>LB1590.3 .L423 2008</t>
  </si>
  <si>
    <t>370.15/24</t>
  </si>
  <si>
    <t>Thought and thinking-Study and teaching. ; Cognition in children. ; Success.</t>
  </si>
  <si>
    <t>Swimming Against the Tide : African American Girls and Science Education</t>
  </si>
  <si>
    <t>Hanson, Sandra</t>
  </si>
  <si>
    <t>Q183</t>
  </si>
  <si>
    <t>African American girls-Education. ; Racism in education-United States. ; Science-Study and teaching-United States. ; Sexism in science-United States.</t>
  </si>
  <si>
    <t>Quick, Easy and Effective Behaviour Management Ideas for the Classroom</t>
  </si>
  <si>
    <t>Morgan, Nicola</t>
  </si>
  <si>
    <t>LB3013 -- .M666 2009eb</t>
  </si>
  <si>
    <t>Classroom management. ; Social skills-Study and teaching. ; Teacher-student relationships.</t>
  </si>
  <si>
    <t>Learning Without School : Home Education</t>
  </si>
  <si>
    <t>Mountney, Ross</t>
  </si>
  <si>
    <t>LC40.M68 2009</t>
  </si>
  <si>
    <t>Advocacy Leadership : Toward a Post-Reform Agenda in Education</t>
  </si>
  <si>
    <t>Anderson, Gary L.</t>
  </si>
  <si>
    <t>LB2805 -- .A56 2009eb</t>
  </si>
  <si>
    <t>School management and organization - Social aspects - United States</t>
  </si>
  <si>
    <t>The Cherry Orchard, and Other Plays</t>
  </si>
  <si>
    <t>Chekov, Anton;West, Julius</t>
  </si>
  <si>
    <t>PG3458.A1 -- .C445 1916eb</t>
  </si>
  <si>
    <t>Chekhov, Anton Pavlovich, -- 1860-1904. -- Vishnevyĭ sad. -- English.</t>
  </si>
  <si>
    <t>History; Literature</t>
  </si>
  <si>
    <t>More Than One Struggle : The Evolution of Black School Reform in Milwaukee</t>
  </si>
  <si>
    <t>University of North Carolina</t>
  </si>
  <si>
    <t>Dougherty, Jack</t>
  </si>
  <si>
    <t>LC2803.M55 -- D68 2004eb</t>
  </si>
  <si>
    <t>371.829/96073;371.82996073</t>
  </si>
  <si>
    <t>African Americans -- Education -- Wisconsin -- Milwaukee -- History. ; Discrimination in education -- Wisconsin -- Milwaukee -- History. ; Educational change -- Wisconsin -- Milwaukee -- History. ; Milwaukee (Wis.) -- Race relations.</t>
  </si>
  <si>
    <t>Too Much to Ask : Black Women in the Era of Integration</t>
  </si>
  <si>
    <t>Higginbotham, Elizabeth</t>
  </si>
  <si>
    <t>LC2781 -- .H545 2001eb</t>
  </si>
  <si>
    <t>378.1/9829/96073</t>
  </si>
  <si>
    <t>African American women -- Education (Higher) -- Longitudinal studies. ; African American women -- Social conditions -- Longitudinal studies. ; African American college students -- Longitudinal studies. ; College integration -- United States. ; Educational surveys -- United States.</t>
  </si>
  <si>
    <t>Advancing Democracy : African Americans and the Struggle for Access and Equity in Higher Education in Texas</t>
  </si>
  <si>
    <t>University of North Carolina Press</t>
  </si>
  <si>
    <t>Shabazz, Amilcar</t>
  </si>
  <si>
    <t>LC214.22.T48S53 2004</t>
  </si>
  <si>
    <t>University of Texas at Austin -- Students -- History. ; College integration -- Texas -- History. ; African Americans -- Education (Higher) -- Texas -- History.</t>
  </si>
  <si>
    <t>Achieving Against the Odds</t>
  </si>
  <si>
    <t>Kingston-Mann, Esther</t>
  </si>
  <si>
    <t>The New Academy Series</t>
  </si>
  <si>
    <t>LC3727</t>
  </si>
  <si>
    <t>University of Massachusetts at Boston. ; Minority college students-Massachusetts-Boston-Case studies. ; Multicultural education-Massachusetts-Boston-Case studies. ; College environment-Massachusetts-Boston. ; Cultural pluralism.</t>
  </si>
  <si>
    <t>The History of Modern Japanese Education : Constructing the National School System, 1872-1890</t>
  </si>
  <si>
    <t>Duke, Benjamin</t>
  </si>
  <si>
    <t>LA1311</t>
  </si>
  <si>
    <t>Education-Japan-History-19th century. ; Education and state-Japan-History-19th century.</t>
  </si>
  <si>
    <t>Beyond Rationality : The Search for Wisdom in a Troubled Time</t>
  </si>
  <si>
    <t>Hammond, Kenneth R.;Berkley, Karen J.;Hammond, Kenneth R.</t>
  </si>
  <si>
    <t>BF447.H36 2007</t>
  </si>
  <si>
    <t>153.4/6</t>
  </si>
  <si>
    <t>Judgment. ; Decision making.</t>
  </si>
  <si>
    <t>Collaborative Intervention in Early Childhood : Consulting with Parents and Teachers of 3- To 7-Year-Olds</t>
  </si>
  <si>
    <t>Hirschland, Deborah</t>
  </si>
  <si>
    <t>RJ506.B44H57 2008</t>
  </si>
  <si>
    <t>Behavior disorders in children. ; Emotional problems of children. ; Problem children -- Mental health services. ; Developmentally disabled children -- Mental health services.</t>
  </si>
  <si>
    <t>Educating the Muslims of America</t>
  </si>
  <si>
    <t>Haddad, Yvonne Y.;Senzai, Farid;Smith, Jane I.</t>
  </si>
  <si>
    <t>LC913.U6E38 2009</t>
  </si>
  <si>
    <t>Islamic education -- United States. ; Islamic education -- Canada.</t>
  </si>
  <si>
    <t>History of Universities : Volume XXII/1</t>
  </si>
  <si>
    <t>Feingold, Mordechai</t>
  </si>
  <si>
    <t>History of Universities Series</t>
  </si>
  <si>
    <t>LA173.H59eb vol. 22/</t>
  </si>
  <si>
    <t>Universities and colleges -- History. ; Education, Higher -- History.</t>
  </si>
  <si>
    <t>History of Universities : Volume XXII/2</t>
  </si>
  <si>
    <t>Feingold, Mordechai;Bakker, Paul J. J. M.</t>
  </si>
  <si>
    <t>XXII/2</t>
  </si>
  <si>
    <t>History of Universities : Volume XXIII/1</t>
  </si>
  <si>
    <t>LA173.H59eb vol. 23/</t>
  </si>
  <si>
    <t>Implementing Evidence-Based Academic Interventions in School Settings</t>
  </si>
  <si>
    <t>Rosenfield, Sylvia;Berninger, Virginia Wise</t>
  </si>
  <si>
    <t>LB1051.I465 2009</t>
  </si>
  <si>
    <t>Educational psychology. ; Learning, Psychology of. ; Effective teaching.</t>
  </si>
  <si>
    <t>Perfectly Prep : Gender Extremes at a New England Prep School</t>
  </si>
  <si>
    <t>Chase, Sarah A.</t>
  </si>
  <si>
    <t>Child Development in Cultural Context Series</t>
  </si>
  <si>
    <t>LC212.92.C47 2008</t>
  </si>
  <si>
    <t>Sex differences in education -- United States -- Case studies. ; Preparatory school students -- United States -- Social conditions -- Case studies. ; Multicultural education -- United States -- Case studies. ; Preparatory schools -- New England -- Case studies.</t>
  </si>
  <si>
    <t>Raising and Educating a Deaf Child : A Comprehensive Guide to the Choices, Controversies, and Decisions Faced by Parents and Educators</t>
  </si>
  <si>
    <t>HV2391.M26 2007</t>
  </si>
  <si>
    <t>649/.1512</t>
  </si>
  <si>
    <t>Home Economics; Social Science</t>
  </si>
  <si>
    <t>Studying Bilinguals</t>
  </si>
  <si>
    <t>Grosjean, François</t>
  </si>
  <si>
    <t>P115.G763 2008</t>
  </si>
  <si>
    <t>Bilingualism.</t>
  </si>
  <si>
    <t>Taking Charge : A School-Based Life Skills Program for Adolescent Mothers</t>
  </si>
  <si>
    <t>Harris, Mary Beth;Franklin, Cynthia</t>
  </si>
  <si>
    <t>LC4091.H36 2008</t>
  </si>
  <si>
    <t>371.93086/5</t>
  </si>
  <si>
    <t>Teenage mothers -- Education -- United States. ; Dropouts -- United States. ; Teenage mothers -- United States -- Life skills guides.</t>
  </si>
  <si>
    <t>The Consequences of Decision-Making</t>
  </si>
  <si>
    <t>Brunsson, Nils</t>
  </si>
  <si>
    <t>HD30.23.B78 2007</t>
  </si>
  <si>
    <t>Decision making.</t>
  </si>
  <si>
    <t>Toward Positive Youth Development : Transforming Schools and Community Programs</t>
  </si>
  <si>
    <t>Shinn, Marybeth;Yoshikawa, Hirokazu</t>
  </si>
  <si>
    <t>LC210.5.T69 2008</t>
  </si>
  <si>
    <t>Classroom environment -- United States. ; School environment -- United States. ; Youth development -- United States. ; Educational sociology -- United States.</t>
  </si>
  <si>
    <t>Profound Intellectual and Multiple Disabilities : Nursing Complex Needs</t>
  </si>
  <si>
    <t>Pawlyn, Jillian;Carnaby, Steven</t>
  </si>
  <si>
    <t>RC570.P697 2009</t>
  </si>
  <si>
    <t>616.89/1</t>
  </si>
  <si>
    <t>People with mental disabilities -- Rehabilitation</t>
  </si>
  <si>
    <t>Can Schools Save Indigenous Languages? : Policy and Practice on Four Continents</t>
  </si>
  <si>
    <t>Palgrave Macmillan UK</t>
  </si>
  <si>
    <t>Hornberger, N.;Hill, Richard;Hirvonen, Vuokko;Huss, Leena;Kamwangamalu, Nkonko M.;Lopez, Luis Enrique;May, Stephen;Rebolledo, Nicanor;Spolsky, Bernard;McCarty, Teresa L.</t>
  </si>
  <si>
    <t>Palgrave Studies in Minority Languages and Communities Series</t>
  </si>
  <si>
    <t>P40-40.5</t>
  </si>
  <si>
    <t>Sociolinguistics</t>
  </si>
  <si>
    <t>Schools and Kindergartens : A Design Manual</t>
  </si>
  <si>
    <t>Birkhaüser</t>
  </si>
  <si>
    <t>Design Manuals Series</t>
  </si>
  <si>
    <t>LB3221 -- .D83 2007eb</t>
  </si>
  <si>
    <t>School buildings -- Design and construction. ; Kindergarten facilities -- Design and construction.</t>
  </si>
  <si>
    <t>Handbook of Technical and Vocational Education and Training Research</t>
  </si>
  <si>
    <t>Rauner, Felix;Maclean, Rupert</t>
  </si>
  <si>
    <t>LC1051-1072</t>
  </si>
  <si>
    <t>Vocational education research. ; Occupational training--Research. ; Curriculum planning.</t>
  </si>
  <si>
    <t>Extension Education &amp; Communication</t>
  </si>
  <si>
    <t>New Age International (P) Ltd., Publishers</t>
  </si>
  <si>
    <t>New Age International Ltd</t>
  </si>
  <si>
    <t>Daryaganj</t>
  </si>
  <si>
    <t>INDIA</t>
  </si>
  <si>
    <t>New Age International</t>
  </si>
  <si>
    <t>Dubey, V.K.;Bishnoi, Indira</t>
  </si>
  <si>
    <t>S544 -- .D83 2008eb</t>
  </si>
  <si>
    <t>630.71;630.715073</t>
  </si>
  <si>
    <t>Evans, James, -- 1801-1846. ; Missionaries -- England -- Biography. ; Cree Indians -- Missions. ; Missionaries -- Northwest, Canadian -- Biography. ; Missions, English -- Northwest, Canadian -- History. ; Cree language -- Writing.</t>
  </si>
  <si>
    <t>The Hunting of the Snark : An Agony in Eight Fits</t>
  </si>
  <si>
    <t>Carroll, Lewis</t>
  </si>
  <si>
    <t>PZ7.R6 -- .C377 1876eb</t>
  </si>
  <si>
    <t>821/.8</t>
  </si>
  <si>
    <t>Adventure stories. ; Nonsense verses, English.</t>
  </si>
  <si>
    <t>De Zin van Verhalen : Een Boekhouding</t>
  </si>
  <si>
    <t>Soetaert, Ronald</t>
  </si>
  <si>
    <t>Tiele lezingen</t>
  </si>
  <si>
    <t>PN3373 -- .S64 2007eb</t>
  </si>
  <si>
    <t>843/.02</t>
  </si>
  <si>
    <t>Bread. ; Fiction. ; Novelle.</t>
  </si>
  <si>
    <t>Zinvol, Leerbaar, Haalbaar : Over geschiedenisonderwijs en de rol van de canon daarin</t>
  </si>
  <si>
    <t>Vossiuspers UvA</t>
  </si>
  <si>
    <t>Wilschut, Arie</t>
  </si>
  <si>
    <t>D16.2 -- .W55 2005eb</t>
  </si>
  <si>
    <t>History -- Study and teaching.</t>
  </si>
  <si>
    <t>Logic and the Foundations of Game and Decision Theory (LOFT 7)</t>
  </si>
  <si>
    <t>Bonanno, Giacomo;van der Hoek, Wiebe;Wooldridge, Michael</t>
  </si>
  <si>
    <t>Texts in Logic and Games, 3</t>
  </si>
  <si>
    <t>No. 3</t>
  </si>
  <si>
    <t>BC135 -- .L64 2008eb</t>
  </si>
  <si>
    <t>Logic, Symbolic and mathematical. ; Game theory. ; Decision theory.</t>
  </si>
  <si>
    <t>Mathematics; Philosophy</t>
  </si>
  <si>
    <t>From Behind the Curtain : A Study of a Girls Madrasa in India</t>
  </si>
  <si>
    <t>Winkelmann, Mareike J.</t>
  </si>
  <si>
    <t>ISIM Dissertations</t>
  </si>
  <si>
    <t>LC910.I4 -- W56 2005eb</t>
  </si>
  <si>
    <t>Madrasahs -- India -- History. ; Women -- Education -- India -- History. ; Islamic education -- India -- History.</t>
  </si>
  <si>
    <t>Education; Religion</t>
  </si>
  <si>
    <t>Onderwijs waarop we kunnen bouwen : De publieke waarde van het beroepsonderwijs</t>
  </si>
  <si>
    <t>Karsten, Sjoerd</t>
  </si>
  <si>
    <t>VOR Maatschappij- en Gedragswetenschappen</t>
  </si>
  <si>
    <t>LC1043 -- .K37 2006eb</t>
  </si>
  <si>
    <t>Vocational education. ; Education and state. ; School management and organization.</t>
  </si>
  <si>
    <t>Zelf doen! : Over de maakbaarheid van loopbanen</t>
  </si>
  <si>
    <t>van Vianen, Annelies E.M.</t>
  </si>
  <si>
    <t>HF5381 -- .V53 2006eb</t>
  </si>
  <si>
    <t>331.7/02;331.702</t>
  </si>
  <si>
    <t>Vocational guidance.</t>
  </si>
  <si>
    <t>Madrasa in Asia : Political Activism and Transnational Linkages</t>
  </si>
  <si>
    <t>Noor, Farish A.;Sikand, Yoginder;van Bruinessen, Martin</t>
  </si>
  <si>
    <t>ISIM Series on Contemporary Muslim Societies, 2</t>
  </si>
  <si>
    <t>No. 2</t>
  </si>
  <si>
    <t>LC910 -- .M33 2008eb</t>
  </si>
  <si>
    <t>Madrasahs -- Asia -- Congresses. ; Islamic education -- Political aspects -- Asia -- Congresses.</t>
  </si>
  <si>
    <t>Wetenschap versus intuïtie : Professioneel ingrijpen bij ernstige jeugdproblematiek</t>
  </si>
  <si>
    <t>Van der Laan, Peter H.</t>
  </si>
  <si>
    <t>VOR FMG</t>
  </si>
  <si>
    <t>HV1421 -- .V36 2008eb</t>
  </si>
  <si>
    <t>Problem youth.</t>
  </si>
  <si>
    <t>De kloof tussen onderwijsonderzoek en onderwijspraktijk : Een overzichtsstudie van problemen, oorzaken en oplossingen</t>
  </si>
  <si>
    <t>Broekkamp, H.;Van Hout-Wolters, B.;Rijlaarsdam, G.</t>
  </si>
  <si>
    <t>Kohnstamm Kennisreeks</t>
  </si>
  <si>
    <t>No. 1</t>
  </si>
  <si>
    <t>LB1028.25.N4 -- B76 2006eb</t>
  </si>
  <si>
    <t>370;370.7;370.72</t>
  </si>
  <si>
    <t>Niveauverhoging door samenwerkend leren</t>
  </si>
  <si>
    <t>Dekker, Rijkje;Elshout-Mohr, Marianne</t>
  </si>
  <si>
    <t>LC1049 -- .N58 2007eb</t>
  </si>
  <si>
    <t>Education, Cooperative.</t>
  </si>
  <si>
    <t>Het Einde van de Universiteit (volgens een rapport van de Universiteit van Oeloemia) : Diesrede 2007</t>
  </si>
  <si>
    <t>Fresco, Louise O.</t>
  </si>
  <si>
    <t>VOR Diesrede</t>
  </si>
  <si>
    <t>LB2328.2 -- .F74 2007eb</t>
  </si>
  <si>
    <t>Universities and colleges.</t>
  </si>
  <si>
    <t>Van generatie op generatie : Gelijkenis tussen ouders en kinderen</t>
  </si>
  <si>
    <t>Dykstra, Pearl A.;Liefbroer, Aart C.</t>
  </si>
  <si>
    <t>Jaarboek Mens &amp; Maatschappij 2007</t>
  </si>
  <si>
    <t>HM726 -- .V36 2007eb</t>
  </si>
  <si>
    <t>Intergenerational relations. ; Intergenerational relations -- Netherlands. ; Socialization. ; Parent and child. ; Loneliness -- Genetic aspects. ; Children of working mothers.</t>
  </si>
  <si>
    <t>Social Science; Political Science</t>
  </si>
  <si>
    <t>Een zaak van alleman : Over de canon, schoolboeken, docenten en algemene ontwikkeling</t>
  </si>
  <si>
    <t>van Oostrom, Frits</t>
  </si>
  <si>
    <t>VOR Kohnstammlezing</t>
  </si>
  <si>
    <t>LA821 -- .O57 2007eb</t>
  </si>
  <si>
    <t>Education -- Netherlands -- History. ; General education -- Netherlands.</t>
  </si>
  <si>
    <t>Donkere materie : ons kind en het Heelal</t>
  </si>
  <si>
    <t>Icke, Vincent</t>
  </si>
  <si>
    <t>VOR Kohnstammlezing 2006</t>
  </si>
  <si>
    <t>QB61 -- .I25 2006eb</t>
  </si>
  <si>
    <t>Astronomy -- Study and teaching.</t>
  </si>
  <si>
    <t>Whose University Is It?</t>
  </si>
  <si>
    <t>Pallas Publications</t>
  </si>
  <si>
    <t>Breimer, Douwe;Saris, Frans</t>
  </si>
  <si>
    <t>LB2341 -- .W48 2006eb</t>
  </si>
  <si>
    <t>Education, Higher -- Administration. ; Higher education and state -- Netherlands.</t>
  </si>
  <si>
    <t>Duurzame Geesteswetenschappen : Rapport van de commissie Nationaal Plan Toekomst Geesteswetenschappen</t>
  </si>
  <si>
    <t>Cohen, Job</t>
  </si>
  <si>
    <t>LC1024.N4 -- D887 2008eb</t>
  </si>
  <si>
    <t>Education, Humanistic -- Netherlands. ; Education and state -- Netherlands.</t>
  </si>
  <si>
    <t>Leren van de praktijk : Gebruik van lokale kennis en ervaring voor beleid</t>
  </si>
  <si>
    <t>Scientific Council for Government Policy;Meurs, P.L.;Schrijvers, E.K.</t>
  </si>
  <si>
    <t>WRR Verkenningen, 12</t>
  </si>
  <si>
    <t>No. 12</t>
  </si>
  <si>
    <t>JA69.D88 -- M48 2006eb</t>
  </si>
  <si>
    <t>Political science -- Knowledge and learning.</t>
  </si>
  <si>
    <t>Political Science; Social Science</t>
  </si>
  <si>
    <t>Education Studies</t>
  </si>
  <si>
    <t>Murphy, Lisa;Mufti, Emmanuel;Kassem, Derek</t>
  </si>
  <si>
    <t>LC191 -- .M87 2009eb</t>
  </si>
  <si>
    <t>Education. ; Educational sociology.</t>
  </si>
  <si>
    <t>Effective Behaviour Management in the Primary Classroom</t>
  </si>
  <si>
    <t>Shelton, Fiona;Brownhill, Simon</t>
  </si>
  <si>
    <t>LB1060.2 .S54 2008</t>
  </si>
  <si>
    <t>Behavior modification. ; Classroom management.</t>
  </si>
  <si>
    <t>Studying Children: a Cultural-Historical Approach</t>
  </si>
  <si>
    <t>Hedegaard, Marianne;Fleer, Marilyn</t>
  </si>
  <si>
    <t>LB1139.23 .S77 2008</t>
  </si>
  <si>
    <t>Child development-Research. ; Early childhood education-Research.</t>
  </si>
  <si>
    <t>Supporting Learners in the Lifelong Learning Sector</t>
  </si>
  <si>
    <t>Fairclough, Marilyn</t>
  </si>
  <si>
    <t>LB1731.4 .F35 2008</t>
  </si>
  <si>
    <t>Mentoring in education. ; Underachievers.</t>
  </si>
  <si>
    <t>The Scholarship of Teaching and Learning in Higher Education</t>
  </si>
  <si>
    <t>Murray, Rowena</t>
  </si>
  <si>
    <t>Helping Students Learn Series</t>
  </si>
  <si>
    <t>LB2326.3 .S36 2008</t>
  </si>
  <si>
    <t>Education, Higher-United States. ; Education-Research.</t>
  </si>
  <si>
    <t>Building Networks</t>
  </si>
  <si>
    <t>Kenway, Jane;Epstein, Debbie;Boden, Rebecca</t>
  </si>
  <si>
    <t>The Academics Support Kit Series</t>
  </si>
  <si>
    <t>LB2334 -- .K46 2005eb</t>
  </si>
  <si>
    <t>Business networks. ; College teachers -- Social networks.</t>
  </si>
  <si>
    <t>Winning and Managing Research Funding</t>
  </si>
  <si>
    <t>Kenway, Jane;Boden, Rebecca;Epstein, Debbie</t>
  </si>
  <si>
    <t>LB1778 -- .K458 2005eb</t>
  </si>
  <si>
    <t>Research grants. ; Research -- Finance. ; College teachers -- Vocational guidance.</t>
  </si>
  <si>
    <t>Getting Started on Research</t>
  </si>
  <si>
    <t>Boden, Rebecca;Kenway, Jane;Epstein, Debbie</t>
  </si>
  <si>
    <t>LB2326.3 -- .B62 2005eb</t>
  </si>
  <si>
    <t>Education, Higher -- Research. ; Education -- Research.</t>
  </si>
  <si>
    <t>Teaching and Supervision</t>
  </si>
  <si>
    <t>Epstein, Debbie;Boden, Rebecca;Kenway, Jane</t>
  </si>
  <si>
    <t>LB2331 -- .E67 2005eb</t>
  </si>
  <si>
    <t>College teaching. ; Graduate students -- Supervision of.</t>
  </si>
  <si>
    <t>Building Your Academic Career</t>
  </si>
  <si>
    <t>Boden, Rebecca;Epstein, Debbie;Kenway, Jane</t>
  </si>
  <si>
    <t>LB1778 -- .B62 2005eb</t>
  </si>
  <si>
    <t>College teaching -- Vocational guidance. ; College teachers.</t>
  </si>
  <si>
    <t>Problem Postcards : Social, Emotional and Behavioural Skills Training for Disaffected and Difficult Children Aged 7-11</t>
  </si>
  <si>
    <t>Koeries, Janine;Marris, Brian;Rae, Tina</t>
  </si>
  <si>
    <t>HM691 -- .K64 2005eb</t>
  </si>
  <si>
    <t>Social skills in children - Great Britain</t>
  </si>
  <si>
    <t>Just the Same on the Inside : Understanding Diversity and Supporting Inclusion in Circle Time</t>
  </si>
  <si>
    <t>Collins, Margaret;Bornman, Juan</t>
  </si>
  <si>
    <t>HV888 -- .B67 2004eb</t>
  </si>
  <si>
    <t>Children with disabilities. ; Mainstreaming in education.</t>
  </si>
  <si>
    <t>Subject Leadership and School Improvement</t>
  </si>
  <si>
    <t>Busher, Hugh;Harris, Alma;Wise, Christine</t>
  </si>
  <si>
    <t>LB2806.15 -- .B87 2000eb</t>
  </si>
  <si>
    <t>375/.001/0942</t>
  </si>
  <si>
    <t>Child-Centred Education : Reviving the Creative Tradition</t>
  </si>
  <si>
    <t>Doddington, Christine;Hilton, Mary</t>
  </si>
  <si>
    <t>LB1027 -- .D553 2007eb</t>
  </si>
  <si>
    <t>Education - Great Britain - Philosophy</t>
  </si>
  <si>
    <t>Teaching Peer Support for Caring and Co-Operation : Talk Time, a Six-Step Method for 9-12 Year Olds</t>
  </si>
  <si>
    <t>Rae, Tina;Macconville, Ruth M.</t>
  </si>
  <si>
    <t>LB1027.5 -- .M2136 2006eb</t>
  </si>
  <si>
    <t>School psychology. ; Peer counseling of students. ; Social interaction in children. ; Interpersonal relations in children. ; Teacher-student relationships. ; Group relations training. ; Social skills -- Study and teaching.</t>
  </si>
  <si>
    <t>Becoming an Emotionally Healthy School : Auditing and Developing the National Healthy School Standard</t>
  </si>
  <si>
    <t>Smith, Charlie;McKee, Shall</t>
  </si>
  <si>
    <t>LB3430 -- .S65 2005eb</t>
  </si>
  <si>
    <t>National Healthy School Standard</t>
  </si>
  <si>
    <t>Mighty Motivators : Resource Bank for Setting Targets and Rewarding Pupil Progress at Key Stage 1 And 2</t>
  </si>
  <si>
    <t>Watts, Claire;Rae, Tina;Rae, Tina</t>
  </si>
  <si>
    <t>LB1065 -- .M66 2005eb</t>
  </si>
  <si>
    <t>Motivation in education. ; Students -- Rating of.</t>
  </si>
  <si>
    <t>A Students Guide to Presentations : Making Your Presentation Count</t>
  </si>
  <si>
    <t>Chivers, Barbara;Shoolbred, Michael</t>
  </si>
  <si>
    <t>PN4192.S78 -- C48 2007eb</t>
  </si>
  <si>
    <t>Public speaking. ; Oral communication -- Study and teaching (Higher) ; Dissertations, Academic.</t>
  </si>
  <si>
    <t>Early Childhood Education and Care : Policy and Practice</t>
  </si>
  <si>
    <t>Clark, Margaret;WALLER, T. I. M.</t>
  </si>
  <si>
    <t>LB1139.3.G7 -- E268 2007eb</t>
  </si>
  <si>
    <t>Early childhood education - Government policy - Great Britain</t>
  </si>
  <si>
    <t>First Choices : Teaching Children Aged 4-8 to Make Positive Decisions about Their Own Lives</t>
  </si>
  <si>
    <t>Collins, Margaret</t>
  </si>
  <si>
    <t>HQ2039.G74 -- C65 2006eb</t>
  </si>
  <si>
    <t>Social ethics - Study and teaching (Elementary) - Great Britain</t>
  </si>
  <si>
    <t>Positive Behaviour Strategies to Support Children and Young People with Autism</t>
  </si>
  <si>
    <t>Hanbury, Martin</t>
  </si>
  <si>
    <t>RJ506.A9 -- H36 2007eb</t>
  </si>
  <si>
    <t>Autistic youth - Education</t>
  </si>
  <si>
    <t>Medicine; Education; Psychology</t>
  </si>
  <si>
    <t>Key Concepts in Teaching Primary Mathematics</t>
  </si>
  <si>
    <t>Haylock, Derek;Thangata, Fiona</t>
  </si>
  <si>
    <t>SAGE Key Concepts Series</t>
  </si>
  <si>
    <t>QA135.6 -- .H38 2007eb</t>
  </si>
  <si>
    <t>Mathematics -- Study and teaching (Elementary) ; Education.</t>
  </si>
  <si>
    <t>Game Time : Games to Promote Social and Emotional Resilience for Children Aged 4 - 14</t>
  </si>
  <si>
    <t>Hromek, Robyn</t>
  </si>
  <si>
    <t>BF723.R46 -- H76 2005eb</t>
  </si>
  <si>
    <t>Resilience (Personality trait) in children. ; Resilience (Personality trait) in adolescence. ; Games in mental health education. ; Life skills.</t>
  </si>
  <si>
    <t>Helping Pupils with Autistic Spectrum Disorders to Learn</t>
  </si>
  <si>
    <t>Pittman, Mary</t>
  </si>
  <si>
    <t>LC4718 -- .P58 2007eb</t>
  </si>
  <si>
    <t>Autistic children - Education - United States</t>
  </si>
  <si>
    <t>Good Choices : Teaching Young People Aged 8-11 to Make Positive Decisions about Their Own Lives</t>
  </si>
  <si>
    <t>Rae, Tina</t>
  </si>
  <si>
    <t>LB1062.5 -- .R23 2006eb</t>
  </si>
  <si>
    <t>Decision making in children - Study and teaching (Elementary) - Great Britain</t>
  </si>
  <si>
    <t>Just Stop and Think! : Helping Children Plan to Improve Their Own Behaviour</t>
  </si>
  <si>
    <t>Wallace, Fiona</t>
  </si>
  <si>
    <t>LC4801 -- .W3555 2007eb</t>
  </si>
  <si>
    <t>Problem children -- Behavior modification. ; Behavior modification -- Study and teaching. ; Conduct of life.</t>
  </si>
  <si>
    <t>Using Their Brains in Science : Ideas for Children Aged 5 To 14</t>
  </si>
  <si>
    <t>Ward, Hellen</t>
  </si>
  <si>
    <t>LB1585.5.G7 -- W37 2007eb</t>
  </si>
  <si>
    <t>Developing Language and Literacy with Young Children</t>
  </si>
  <si>
    <t>Whitehead, Marian R.</t>
  </si>
  <si>
    <t>LB1139.5.L35 -- W538 2007eb</t>
  </si>
  <si>
    <t>Children - Language</t>
  </si>
  <si>
    <t>Listen to Me : The Voices of Pupils with Emotional and Behavioural Difficulties</t>
  </si>
  <si>
    <t>Wise, Sue</t>
  </si>
  <si>
    <t>LC4803.G7W57 2000</t>
  </si>
  <si>
    <t>Adjustment disorders in children</t>
  </si>
  <si>
    <t>The Primary ICT and e-Learning Co-ordinators Manual : Book Two, a Guide for Experienced Leaders and Managers</t>
  </si>
  <si>
    <t>LB1028.5 -- .W762 2008eb</t>
  </si>
  <si>
    <t>Information technology -- Study and teaching. ; Internet in education.</t>
  </si>
  <si>
    <t>International Perspectives on Youth Conflict and Development</t>
  </si>
  <si>
    <t>Daiute, Colette;Beykont, Zeynep F.;Higson-Smith, Craig;Nucci, Larry</t>
  </si>
  <si>
    <t>HQ799.2.V56I68 2006</t>
  </si>
  <si>
    <t>Youth and violence -- Cross-cultural studies. ; Children and violence -- Cross-cultural studies. ; Youth -- Social conditions -- Cross-cultural studies. ; Children -- Social conditions -- Cross-cultural studies. ; Social conflict -- Cross-cultural studies. ; Developmental psychology -- Cross-cultural studies.</t>
  </si>
  <si>
    <t>Physics in Oxford, 1839-1939 : Laboratories, Learning and College Life</t>
  </si>
  <si>
    <t>Fox, Robert;Gooday, Graeme</t>
  </si>
  <si>
    <t>QC47.G73O947 2005</t>
  </si>
  <si>
    <t>University of Oxford -- History. ; Physics -- Study and teaching (Higher) -- England -- Oxford -- History. ; Physics -- Study and teaching (Graduate) -- England -- Oxford -- History.</t>
  </si>
  <si>
    <t>History of Universities : Volume XX/2 2005</t>
  </si>
  <si>
    <t>LA173.H57 2005</t>
  </si>
  <si>
    <t>Rehabilitation Caseload Management : Concepts and Practice, Second Edition</t>
  </si>
  <si>
    <t>Grubbs, Lee Ann R.;Cassell, Jack L.;Mulkey, S. Wayne</t>
  </si>
  <si>
    <t>HD7255.C38 2006</t>
  </si>
  <si>
    <t>Vocational rehabilitation -- Management. ; Supervision of vocational rehabilitation.</t>
  </si>
  <si>
    <t>Teaching Nursing Care of Chronic Illness : A Storied Approach to Whole Person Care</t>
  </si>
  <si>
    <t>Minden, Pamela;Gullickson, Colleen</t>
  </si>
  <si>
    <t>RT120.C45M56 2005</t>
  </si>
  <si>
    <t>610.73/6/0711</t>
  </si>
  <si>
    <t>Chronic diseases -- Nursing -- Study and teaching. ; Holistic nursing -- Study and teaching. ; Nursing -- Study and teaching.</t>
  </si>
  <si>
    <t>Sexual Violence on Campus : Policies, Programs and Perspectives</t>
  </si>
  <si>
    <t>Ottens, Allen J.;Hotelling, Kathy</t>
  </si>
  <si>
    <t>LC212.862.S52 2001</t>
  </si>
  <si>
    <t>378.1/958</t>
  </si>
  <si>
    <t>Sexual harassment -- United States -- Prevention</t>
  </si>
  <si>
    <t>Fostering Learning in Small Groups : A Practical Guide</t>
  </si>
  <si>
    <t>Westberg, Jane;Jason, Hilliard</t>
  </si>
  <si>
    <t>Springer Series on Medical Education</t>
  </si>
  <si>
    <t>R834.W475 1996</t>
  </si>
  <si>
    <t>Group work in education. ; Medicine -- Study and teaching.</t>
  </si>
  <si>
    <t>Best Practices in Nursing Education : Stories of Exemplary Teachers</t>
  </si>
  <si>
    <t>Fitzpatrick, Joyce J.;Smith, Mary Jane</t>
  </si>
  <si>
    <t>RT90.B47 2006</t>
  </si>
  <si>
    <t>Nursing schools -- Faculty -- Vocational guidance</t>
  </si>
  <si>
    <t>The Doctor of Nursing Practice and Clinical Nurse Leader : Essentials of Program Development and Implementation for Clinical Practice</t>
  </si>
  <si>
    <t>Fitzpatrick, Joyce J.;Kazer, Meredith Wallace</t>
  </si>
  <si>
    <t>RT75.D55 2009</t>
  </si>
  <si>
    <t>610.73071/173</t>
  </si>
  <si>
    <t>Doctor of philosophy degree -- United States</t>
  </si>
  <si>
    <t>Distance Education in Social Work : Planning, Teaching, and Learning</t>
  </si>
  <si>
    <t>Abels, Paul</t>
  </si>
  <si>
    <t>HV11.D596 2005</t>
  </si>
  <si>
    <t>361.3/071/1</t>
  </si>
  <si>
    <t>Social work education. ; Distance education.</t>
  </si>
  <si>
    <t>Nursing Student Retention : Understanding the Process and Making a Difference</t>
  </si>
  <si>
    <t>RT79.J446 2004</t>
  </si>
  <si>
    <t>Nursing -- Study and teaching -- United States</t>
  </si>
  <si>
    <t>Ethics, Law, and Aging Review, Volume 10 : Decision-Making Capacity and Older Persons</t>
  </si>
  <si>
    <t>Kapp, Marshall B.</t>
  </si>
  <si>
    <t>KF390.A4D43 2004</t>
  </si>
  <si>
    <t>Capacity and disability -- United States</t>
  </si>
  <si>
    <t>Psychology and the Economic Mind : Cognitive Processes and Conceptualization</t>
  </si>
  <si>
    <t>Leahy, Robert</t>
  </si>
  <si>
    <t>RC480.5.L369 2003</t>
  </si>
  <si>
    <t>658.4/03/019</t>
  </si>
  <si>
    <t>Risk-taking (Psychology) -- Economic aspects</t>
  </si>
  <si>
    <t>Business/Management; Medicine; Psychology</t>
  </si>
  <si>
    <t>Creativity from Constraints : The Psychology of Breakthrough</t>
  </si>
  <si>
    <t>Stokes, Patricia D.</t>
  </si>
  <si>
    <t>BF408.S78 2006</t>
  </si>
  <si>
    <t>153.3/5</t>
  </si>
  <si>
    <t>Environmental Education</t>
  </si>
  <si>
    <t>De, Anil Kumar;De, Arnab Kumar</t>
  </si>
  <si>
    <t>GE90.I4 -- D4 2004eb</t>
  </si>
  <si>
    <t>Environmental education -- India. ; Environmental sciences -- India.</t>
  </si>
  <si>
    <t>The Materiality of Learning : Technology and Knowledge in Educational Practice</t>
  </si>
  <si>
    <t>Sørensen, Estrid</t>
  </si>
  <si>
    <t>LB1028.5 -- .S688 2009eb</t>
  </si>
  <si>
    <t>Education, Primary - Computer-assisted instruction</t>
  </si>
  <si>
    <t>Handbook of Education Policy Research</t>
  </si>
  <si>
    <t>Sykes, Gary;Schneider, Barbara;Plank, David N.</t>
  </si>
  <si>
    <t>LC71 -- .H363 2009eb</t>
  </si>
  <si>
    <t>Education and state - Research</t>
  </si>
  <si>
    <t>Constructivist Instruction : Success or Failure?</t>
  </si>
  <si>
    <t>Tobias, Sigmund;Duffy, Thomas M.</t>
  </si>
  <si>
    <t>LB1590.3 -- .C6785 2009eb</t>
  </si>
  <si>
    <t>Assessment in Health Professions Education</t>
  </si>
  <si>
    <t>Downing, Steven M.;Yudkowsky, Rachel</t>
  </si>
  <si>
    <t>R834.5 -- .A873 2009eb</t>
  </si>
  <si>
    <t>Health Occupations - education</t>
  </si>
  <si>
    <t>Goals, Goal Structures, and Patterns of Adaptive Learning</t>
  </si>
  <si>
    <t>Midgley, Carol</t>
  </si>
  <si>
    <t>LB1060 -- .G63 2002eb</t>
  </si>
  <si>
    <t>Teacher Education and the Struggle for Social Justice</t>
  </si>
  <si>
    <t>Zeichner, Kenneth M.;Zeichner, Kenneth M</t>
  </si>
  <si>
    <t>LB1707 -- .Z45 2009eb</t>
  </si>
  <si>
    <t>The Psychology of Dyslexia : A Handbook for Teachers with Case Studies</t>
  </si>
  <si>
    <t>Thomson, Michael</t>
  </si>
  <si>
    <t>RC394.W6T46 2009</t>
  </si>
  <si>
    <t>Dyslexia -- Psychological aspects. ; Dyslexic children -- Education.</t>
  </si>
  <si>
    <t>Medicine; Education</t>
  </si>
  <si>
    <t>Why Do We Educate? : Renewing the Conversation</t>
  </si>
  <si>
    <t>Coulter, David L.;Wiens, John R.;Fenstermacher, Gary D.</t>
  </si>
  <si>
    <t>Yearbook of the National Society for the Study of Education Series</t>
  </si>
  <si>
    <t>LB5.N25 107th, pt.1</t>
  </si>
  <si>
    <t>Education. ; Democracy and education. ; Education -- Philosophy. ; Education -- United States. ; Education -- Aims and objectives.</t>
  </si>
  <si>
    <t>Johnson's and Webster's Verbal Examples : With Special Reference to Exemplifying Usage in Dictionary Entries</t>
  </si>
  <si>
    <t>Tübingen</t>
  </si>
  <si>
    <t>Miyoshi, Kusujiro</t>
  </si>
  <si>
    <t>Lexicographica. Series Maior Series</t>
  </si>
  <si>
    <t>PE1617.J7m596 2007</t>
  </si>
  <si>
    <t>The Management of a Student Research Project</t>
  </si>
  <si>
    <t>Sharp, John A.;Peters, John;Howard, Keith;Peters, John</t>
  </si>
  <si>
    <t>LB1049 -- .H65 2002eb</t>
  </si>
  <si>
    <t>378.1/7/0281</t>
  </si>
  <si>
    <t>Independent study. ; Project method in teaching. ; Research.</t>
  </si>
  <si>
    <t>Handbook of Corporate University Development : Managing Strategic Learning Initiatives in Public and Private Domains</t>
  </si>
  <si>
    <t>Gower</t>
  </si>
  <si>
    <t>Taylor, Scott, Dr;Peters, Geoff, Professor;Storey, John, Professor;Taylor, Scott</t>
  </si>
  <si>
    <t>HF5549.5.T7 -- H293 2005eb</t>
  </si>
  <si>
    <t>658.3/1243</t>
  </si>
  <si>
    <t>Employer-supported education. ; Employees -- Training of. ; Organizational learning.</t>
  </si>
  <si>
    <t>Modern Social Work Practice : Teaching and Learning in Practice Settings</t>
  </si>
  <si>
    <t>Brookfield</t>
  </si>
  <si>
    <t>Doel, Mark;Shardlow, Steven M.</t>
  </si>
  <si>
    <t>HV11 -- .D64 2005eb</t>
  </si>
  <si>
    <t>Social work education. ; Social service -- Problems, exercises, etc. ; Social case work -- Problems, exercises, etc. ; Social workers -- In-service training.</t>
  </si>
  <si>
    <t>How Popular Musicians Learn : A Way Ahead for Music Education</t>
  </si>
  <si>
    <t>Green, Lucy</t>
  </si>
  <si>
    <t>Ashgate Popular and Folk Music Series</t>
  </si>
  <si>
    <t>MT3.E5 -- G74 2002eb</t>
  </si>
  <si>
    <t>781.64/071</t>
  </si>
  <si>
    <t>Popular music -- Instruction and study -- England</t>
  </si>
  <si>
    <t>Winning Research Funding</t>
  </si>
  <si>
    <t>Peters, Abby Day</t>
  </si>
  <si>
    <t>HG177 -- .P474 2003eb</t>
  </si>
  <si>
    <t>001.4/4</t>
  </si>
  <si>
    <t>Proposal writing for grants</t>
  </si>
  <si>
    <t>Business/Management; General Works/Reference</t>
  </si>
  <si>
    <t>Action Learning : A Practical Guide</t>
  </si>
  <si>
    <t>Weinstein, Krystyna</t>
  </si>
  <si>
    <t>HF5549.5.T7 -- W387 1999eb</t>
  </si>
  <si>
    <t>658.4/071245</t>
  </si>
  <si>
    <t>Active learning. ; Executives -- Training of.</t>
  </si>
  <si>
    <t>Un Millennium Development Library: Taking Action : Achieving Gender Equality and Empowering Women</t>
  </si>
  <si>
    <t>Millennium Project, U. N.</t>
  </si>
  <si>
    <t>LC2572 -- .T35 2005eb</t>
  </si>
  <si>
    <t>Women -- Education -- Developing countries. ; Educational equalization -- Developing countries. ; Women -- Legal status, laws, etc. -- Developing countries.</t>
  </si>
  <si>
    <t>Un Millennium Development Library: Toward Universal Primary Education : Investments, Incentives and Institutions</t>
  </si>
  <si>
    <t>Millennium Project, U. N.;Levine, Ruth;Birdsall, Nancy</t>
  </si>
  <si>
    <t>LC2608 -- .T63 2005eb</t>
  </si>
  <si>
    <t>Education, Elementary -- Developing countries. ; Education, Primary -- Developing countries. ; Education -- Developing countries. ; Educational equalization -- Developing countries.</t>
  </si>
  <si>
    <t>Understanding TIAA-CREF : How to Plan for a Secure and Comfortable Retirement</t>
  </si>
  <si>
    <t>Schloss, Irving S.;Abildsoe, Deborah V.</t>
  </si>
  <si>
    <t>LB2334.S315 2000</t>
  </si>
  <si>
    <t>332.024/37812/0973</t>
  </si>
  <si>
    <t>Teachers Insurance and Annuity Association. ; College Retirement Equities Fund. ; College teachers -- Retirement -- United States. ; Universities and colleges -- Faculty -- Retirement -- United States.</t>
  </si>
  <si>
    <t>Critical Thinking for Helping Professionals : A Skills-Based Workbook</t>
  </si>
  <si>
    <t>Gambrill, Eileen;Gibbs, Leonard</t>
  </si>
  <si>
    <t>BF441.G36 2009</t>
  </si>
  <si>
    <t>Critical thinking -- Problems, exercises, etc. ; Critical thinking -- Study and teaching. ; Professional employees -- Decision making -- Problems, exercises, etc. ; Decision making -- Study and teaching. ; Human services personnel -- Decision making -- Problems, exercises, etc.</t>
  </si>
  <si>
    <t>Performance, Iconography, Reception : Studies in Honour of Oliver Taplin</t>
  </si>
  <si>
    <t>Revermann, Martin;Wilson, Peter</t>
  </si>
  <si>
    <t>PA3092.P47 2008</t>
  </si>
  <si>
    <t>808.5/4</t>
  </si>
  <si>
    <t>Oral interpretation of poetry. ; Epic poetry, Greek. ; Greek drama. ; Theater -- Greece.</t>
  </si>
  <si>
    <t>Outside In : Minorities and the Transformation of American Education</t>
  </si>
  <si>
    <t>Fass, Paula S.</t>
  </si>
  <si>
    <t>LA217.F38 1989</t>
  </si>
  <si>
    <t>370/.973</t>
  </si>
  <si>
    <t>Education -- United States -- History -- 20th century. ; Minorities -- Education -- United States -- History -- 20th century. ; Americanization -- History -- 20th century. ; High schools -- United States -- History -- 20th century.</t>
  </si>
  <si>
    <t>History of Universities : Volume XXI/1</t>
  </si>
  <si>
    <t>LA173.H59eb vol. 21/</t>
  </si>
  <si>
    <t>Universities and colleges -- History.</t>
  </si>
  <si>
    <t>The Molecular Vision of Life : Caltech, the Rockefeller Foundation, and the Rise of the New Biology</t>
  </si>
  <si>
    <t>Kay, Lily E.</t>
  </si>
  <si>
    <t>Monographs on the History and Philosophy of Biology Series</t>
  </si>
  <si>
    <t>QH506.K39 1993</t>
  </si>
  <si>
    <t>574.8/8/09</t>
  </si>
  <si>
    <t>California Institute of Technology -- Research -- History. ; Rockefeller Foundation -- Research -- History. ; Molecular biology -- History.</t>
  </si>
  <si>
    <t>Science: Biology/Natural History; Science</t>
  </si>
  <si>
    <t>The Letters of Adam Marsh : Volume I</t>
  </si>
  <si>
    <t>Lawrence, Hugh</t>
  </si>
  <si>
    <t>Oxford Medieval Texts</t>
  </si>
  <si>
    <t>BX3602.3.M37 -- A4 2006eb</t>
  </si>
  <si>
    <t>271/.302 B</t>
  </si>
  <si>
    <t>History. ; Arctic regions -- Discovery and exploration.</t>
  </si>
  <si>
    <t>Private Education : Studies in Choice and Public Policy</t>
  </si>
  <si>
    <t>Levy, Daniel C.;Brewster, Kingman</t>
  </si>
  <si>
    <t>Yale Studies on Non-Profit Organizations Series</t>
  </si>
  <si>
    <t>LC47.L48 1986</t>
  </si>
  <si>
    <t>379.3/2/0973</t>
  </si>
  <si>
    <t>Public universities and colleges</t>
  </si>
  <si>
    <t>Research Methodology : Methods and Techniques</t>
  </si>
  <si>
    <t>Kothari, C.R.</t>
  </si>
  <si>
    <t>H62 -- .K68 2004eb</t>
  </si>
  <si>
    <t>001.42;300.72</t>
  </si>
  <si>
    <t>Social sciences -- Research. ; Research -- Methodology.</t>
  </si>
  <si>
    <t>The Handbook of Practice and Research in Study Abroad : Higher Education and the Quest for Global Citizenship</t>
  </si>
  <si>
    <t>Lewin, Ross</t>
  </si>
  <si>
    <t>LB2375 -- .H36 2009eb</t>
  </si>
  <si>
    <t>378/.016</t>
  </si>
  <si>
    <t>World citizenship</t>
  </si>
  <si>
    <t>Reinventing Public Education : How Contracting Can Transform America's Schools</t>
  </si>
  <si>
    <t>Hill, Paul;Pierce, Lawrence C.;Guthrie, James W.</t>
  </si>
  <si>
    <t>LB2806</t>
  </si>
  <si>
    <t>Educational accountability</t>
  </si>
  <si>
    <t>Academic Charisma and the Origins of the Research University</t>
  </si>
  <si>
    <t>Clark, William</t>
  </si>
  <si>
    <t>LA179</t>
  </si>
  <si>
    <t>Universities and colleges -- History -- 19th century</t>
  </si>
  <si>
    <t>The Birth of Head Start : Preschool Education Policies in the Kennedy and Johnson Administrations</t>
  </si>
  <si>
    <t>Vinovskis, Maris A.</t>
  </si>
  <si>
    <t>LC4091</t>
  </si>
  <si>
    <t>372.21/0973</t>
  </si>
  <si>
    <t>Head Start Program (U.S.) -- History. ; Project Head Start (U.S.) -- History. ; Children with social disabilities -- Education (Preschool) -- United States.</t>
  </si>
  <si>
    <t>Essays on Education and Kindred Subjects</t>
  </si>
  <si>
    <t>Spencer, Herbert;Spencer, Herbert</t>
  </si>
  <si>
    <t>LA132 -- .S646 1911eb</t>
  </si>
  <si>
    <t>Education.</t>
  </si>
  <si>
    <t>The Beggar's Opera</t>
  </si>
  <si>
    <t>Gay, John</t>
  </si>
  <si>
    <t>ML48 -- .G39 1728eb</t>
  </si>
  <si>
    <t>782.1/2</t>
  </si>
  <si>
    <t>Ballad operas -- Librettos.</t>
  </si>
  <si>
    <t>The Really Useful Creativity Book</t>
  </si>
  <si>
    <t>Wyse, Dominic;Dowson, Pam</t>
  </si>
  <si>
    <t>The Really Useful Series</t>
  </si>
  <si>
    <t>BF408 -- .W97 2009eb</t>
  </si>
  <si>
    <t>Creative ability - Study and teaching (Primary)</t>
  </si>
  <si>
    <t>Race, Culture, and Identities in Second Language Education : Exploring Critically Engaged Practice</t>
  </si>
  <si>
    <t>Kubota, Ryuko;Lin, Angel M. Y.;Lin, Angel M. Y.</t>
  </si>
  <si>
    <t>PE1128.A2 -- R23 2009eb</t>
  </si>
  <si>
    <t>428.0/4089</t>
  </si>
  <si>
    <t>Second language acquisition - Social aspects</t>
  </si>
  <si>
    <t>Second Language Teacher Education : A Sociocultural Perspective</t>
  </si>
  <si>
    <t>Johnson, Karen E.</t>
  </si>
  <si>
    <t>PE1128.A2 -- J624 2009eb</t>
  </si>
  <si>
    <t>428.0071/1</t>
  </si>
  <si>
    <t>English teachers - Training of - Social aspects</t>
  </si>
  <si>
    <t>Reclaiming Class : Women, Poverty, and the Promise</t>
  </si>
  <si>
    <t>Adair, Vivyan;Dahlberg, Sandra</t>
  </si>
  <si>
    <t>HV1445</t>
  </si>
  <si>
    <t>378.1/9826/942</t>
  </si>
  <si>
    <t>Poor women-United States. ; Poor women-Education (Higher)-United States. ; Low-income single mothers-United States. ; Welfare recipients-United States. ; Women college students-United States.</t>
  </si>
  <si>
    <t>mLearning : Mobile Learning and Performance in the Palm of Your Hand</t>
  </si>
  <si>
    <t>HRD Press</t>
  </si>
  <si>
    <t>Metcalf, David</t>
  </si>
  <si>
    <t>HF5549.5.T7 -- M468 2006eb</t>
  </si>
  <si>
    <t>Employees -- Training of -- Computer-assisted instruction. ; Mobile communication systems in education. ; Mobile communication systems. ; Mobile commerce.</t>
  </si>
  <si>
    <t>Writing for Publication</t>
  </si>
  <si>
    <t>Epstein, Debbie;Kenway, Jane;Boden, Rebecca</t>
  </si>
  <si>
    <t>LB1778 -- .E738 2005eb</t>
  </si>
  <si>
    <t>Scholarly publishing. ; Academic writing. ; College teachers -- Vocational guidance.</t>
  </si>
  <si>
    <t>Promoting Emotional and Social Development in Schools : A Practical Guide</t>
  </si>
  <si>
    <t>Blake, Simon;Bird, Julia;Gerlach, Lynne</t>
  </si>
  <si>
    <t>LB1117 -- .B54 2007eb</t>
  </si>
  <si>
    <t>Social skills in children</t>
  </si>
  <si>
    <t>A Practical Guide to Pre-School Inclusion</t>
  </si>
  <si>
    <t>Dukes, Chris;Smith, Maggie</t>
  </si>
  <si>
    <t>Hands on Guides</t>
  </si>
  <si>
    <t>LC1203.G7 -- D85 2006eb</t>
  </si>
  <si>
    <t>Developing Pre-School Communication and Language</t>
  </si>
  <si>
    <t>LB1140.5.L3 -- D85 2007eb</t>
  </si>
  <si>
    <t>Communication - Study and teaching (Preschool)</t>
  </si>
  <si>
    <t>Introducing English As an Additional Language to Young Children</t>
  </si>
  <si>
    <t>Crosse, Kay</t>
  </si>
  <si>
    <t>PE1128.A2 -- C743 2007eb</t>
  </si>
  <si>
    <t>English language -- Study and teaching (Early childhood) -- Foreign speakers. ; Second language acquisition.</t>
  </si>
  <si>
    <t>The International Students Survival Guide : How to Get the Most from Studying at a UK University</t>
  </si>
  <si>
    <t>Davey, Gareth</t>
  </si>
  <si>
    <t>LB2376.6.G7 -- D38 2008eb</t>
  </si>
  <si>
    <t>Education, Higher - Great Britain - Guidebooks</t>
  </si>
  <si>
    <t>Education; Geography/Travel</t>
  </si>
  <si>
    <t>English for Gifted and Talented Students : 11-18 Years</t>
  </si>
  <si>
    <t>Dean, Geoff</t>
  </si>
  <si>
    <t>LC3993.27 -- .D45 2008eb</t>
  </si>
  <si>
    <t>Gifted children - Education</t>
  </si>
  <si>
    <t>The Social Science Jargon Buster : The Key Terms You Need to Know</t>
  </si>
  <si>
    <t>OLeary, Zina</t>
  </si>
  <si>
    <t>H41 -- .O44 2007eb</t>
  </si>
  <si>
    <t>Social sciences -- Dictionaries. ; Social sciences -- Terminology.</t>
  </si>
  <si>
    <t>How to Tell Stories to Children : And Some Stories to Tell</t>
  </si>
  <si>
    <t>Bryant, Sara Cone</t>
  </si>
  <si>
    <t>LB1042 -- .B793 1918eb</t>
  </si>
  <si>
    <t>Storytelling. ; Activity programs in education.</t>
  </si>
  <si>
    <t>Employment Issues and Multiple Sclerosis</t>
  </si>
  <si>
    <t>Demos Medical Publishing</t>
  </si>
  <si>
    <t>Rumrill, Phillip D., Jr.;Hennessey, Mary;Nissen, Steven</t>
  </si>
  <si>
    <t>RC377.R85 2008</t>
  </si>
  <si>
    <t>Multiple sclerosis -- Patients -- Employment -- United States</t>
  </si>
  <si>
    <t>Mathematics Teaching, Learning, and Liberation in the Lives of Black Children</t>
  </si>
  <si>
    <t>Martin, Danny Bernard</t>
  </si>
  <si>
    <t>Studies in Mathematical Thinking and Learning Series</t>
  </si>
  <si>
    <t>QA135.6 -- .M3857 2009eb</t>
  </si>
  <si>
    <t>372.7089/96073</t>
  </si>
  <si>
    <t>Mathematics - Study and teaching (Elementary) - United States</t>
  </si>
  <si>
    <t>The Newark Teacher Strikes : Hopes on the Line</t>
  </si>
  <si>
    <t>Golin, Steve</t>
  </si>
  <si>
    <t>LB2844</t>
  </si>
  <si>
    <t>331.892/813711</t>
  </si>
  <si>
    <t>Strikes and lockouts-Teachers-New Jersey-Newark-History-20th century. ; Labor disputes-New Jersey-Newark-History-20th century.</t>
  </si>
  <si>
    <t>Straight Edge : Hardcore Punk, Clean Living Youth, and Social Change</t>
  </si>
  <si>
    <t>Haenfler, Ross</t>
  </si>
  <si>
    <t>HQ796</t>
  </si>
  <si>
    <t>306/.10973</t>
  </si>
  <si>
    <t>Youth-United States. ; Straight-edge culture. ; Subculture-United States. ; Straight-edge (Music)-United States. ; Hardcore (Music)-United States. ; Punk culture-United States.</t>
  </si>
  <si>
    <t>Race in the Schoolyard : Negotiating the Color Line in Classrooms and Communities</t>
  </si>
  <si>
    <t>Lewis, Amanda E.</t>
  </si>
  <si>
    <t>LC212</t>
  </si>
  <si>
    <t>Discrimination in education-United States. ; Students-United States-Social conditions-21st century. ; United States-Race relations.</t>
  </si>
  <si>
    <t>Handbook of Research on Literacy and Diversity</t>
  </si>
  <si>
    <t>Morrow, Lesley Mandel;Rueda, Robert;Lapp, Diane;Gordon, Edmund W.;Cooper, Eric J.</t>
  </si>
  <si>
    <t>LB1576</t>
  </si>
  <si>
    <t>Children of minorities -- Education -- United States -- Handbooks, manuals, etc. ; English language -- Study and teaching -- United States -- Foreign speakers -- Handbooks, manuals, etc. ; Language arts -- United States -- Handbooks, manuals, etc. ; Multiculturalism -- United States -- Handbooks, manuals, etc.</t>
  </si>
  <si>
    <t>Self-Esteem and Early Learning : Key People from Birth to School</t>
  </si>
  <si>
    <t>Roberts, Rosemary</t>
  </si>
  <si>
    <t>BF723.S3 -- R63 2006eb</t>
  </si>
  <si>
    <t>Self-esteem in children. ; Early childhood education. ; Early childhood education -- Parent participation.</t>
  </si>
  <si>
    <t>Taking Children Seriously : Applications of Counselling and Therapy in Education</t>
  </si>
  <si>
    <t>Bloomsbury Publishing UK</t>
  </si>
  <si>
    <t>Bloomsbury Publishing Plc</t>
  </si>
  <si>
    <t>Continuum</t>
  </si>
  <si>
    <t>Decker, Steve;Greenwood, Angela;Kirby, Sandy;Moore, Dudley;Decker, Steve;Greenwood, Angela;Kirby, Sandy</t>
  </si>
  <si>
    <t>LB1027.5.T324 1999</t>
  </si>
  <si>
    <t>371.9/3</t>
  </si>
  <si>
    <t>Educational counseling -- Great Britain. ; Behavior therapy for children -- Great Britain.</t>
  </si>
  <si>
    <t>Manifesto for Learning : Fundamental Principles</t>
  </si>
  <si>
    <t>Collins, Janet;Harkin, Joe;Nind, Melanie</t>
  </si>
  <si>
    <t>LB1060.C655 2002</t>
  </si>
  <si>
    <t>370.1/523</t>
  </si>
  <si>
    <t>Tales, Tellers and Texts</t>
  </si>
  <si>
    <t>Styles, Morag;Cliff Hodges, Gabrielle;Drummond, Mary Jane</t>
  </si>
  <si>
    <t>PN1009.A1H64 2000</t>
  </si>
  <si>
    <t>Children's literature, English -- History and criticism. ; English literature -- History and criticism.</t>
  </si>
  <si>
    <t>Creativity in Education</t>
  </si>
  <si>
    <t>Craft, Anna;Jeffrey, Bob;Leibling, Mike;Craft, Ms Anna;Jeffrey, Bob;Leibling, Mike</t>
  </si>
  <si>
    <t>LB1062.C753 2001</t>
  </si>
  <si>
    <t>370.1/57</t>
  </si>
  <si>
    <t>Creative ability in children -- Great Britain. ; Creative activities and seat work -- Great Britain. ; Creative thinking -- Study and teaching -- Great Britain. ; Teaching -- Great Britain -- Aids and devices.</t>
  </si>
  <si>
    <t>Education for Librarianship in China</t>
  </si>
  <si>
    <t>Guangwei, Wu;Lili, Zheng;Harris, Jill</t>
  </si>
  <si>
    <t>Z669.5.C53W84 1997</t>
  </si>
  <si>
    <t>020/.71/151</t>
  </si>
  <si>
    <t>What Teachers Do : Changing Policy and Practice in Primary Education</t>
  </si>
  <si>
    <t>Pollard, Andrew;Broadfoot, Patricia;McNess, Elizabeth;Osborn, Marilyn;Triggs, Pat</t>
  </si>
  <si>
    <t>LB1776.4.G72E646 200</t>
  </si>
  <si>
    <t>Multimodal Teaching and Learning : The Rhetorics of the Science Classroom</t>
  </si>
  <si>
    <t>Kress, Gunther;Jewitt, Carey;Ogborn, Jon;Charalampos, Tsatsarelis</t>
  </si>
  <si>
    <t>Advances in Applied Linguistics Series</t>
  </si>
  <si>
    <t>LB1033.5.M85 2001</t>
  </si>
  <si>
    <t>Promoting Quality in Learning : Does England Have the Answer?</t>
  </si>
  <si>
    <t>Broadfoot, Patricia;Osborn, Marilyn;Planel, Claire</t>
  </si>
  <si>
    <t>LA632.P76 2000</t>
  </si>
  <si>
    <t>Education -- England -- Cross-cultural studies</t>
  </si>
  <si>
    <t>Teacher Supply : The Key Issues</t>
  </si>
  <si>
    <t>Gorard, Stephen;See, Beng Huat;Smith, Emma;White, Patrick</t>
  </si>
  <si>
    <t>Continuum Empirical Studies in Education Series</t>
  </si>
  <si>
    <t>LB2833.T42 2006</t>
  </si>
  <si>
    <t>Teachers -- Supply and demand</t>
  </si>
  <si>
    <t>Teaching the Mother Tongue in a Multilingual Europe</t>
  </si>
  <si>
    <t>Tulasiewicz, Witold;Adams, Anthony</t>
  </si>
  <si>
    <t>P53.5.T43 2005</t>
  </si>
  <si>
    <t>418/.007</t>
  </si>
  <si>
    <t>Native language -- Study and teaching -- Europe</t>
  </si>
  <si>
    <t>Special Needs in the Primary School : One in Five?</t>
  </si>
  <si>
    <t>Croll, Paul;Moses, Diana</t>
  </si>
  <si>
    <t>LC3986.G7C77 2000</t>
  </si>
  <si>
    <t>Education, Elementary -- Great Britain. ; Mainstreaming in education -- Great Britain. ; Special education -- Great Britain.</t>
  </si>
  <si>
    <t>A Systemic Functional Grammar of French : From Grammar to Discourse</t>
  </si>
  <si>
    <t>Caffarel-Cayron, Alice;Caffarel, Dr Alice;Halliday, M A K</t>
  </si>
  <si>
    <t>PC2105.C34 2006</t>
  </si>
  <si>
    <t>French language -- Grammar. ; Romance languages -- Grammar.</t>
  </si>
  <si>
    <t>School Management and Effectiveness in Developing Countries : The Post-Bureaucratic School</t>
  </si>
  <si>
    <t>Harber, Clive;Davies, Lynn</t>
  </si>
  <si>
    <t>LC2607.H37 2002</t>
  </si>
  <si>
    <t>371.2/0091724</t>
  </si>
  <si>
    <t>School management and organization -- Developing countries. ; Educational planning -- Developing countries.</t>
  </si>
  <si>
    <t>Educating Your Child at Home</t>
  </si>
  <si>
    <t>Thomas, Alan;Lowe, Jane</t>
  </si>
  <si>
    <t>LC40.L68 2002</t>
  </si>
  <si>
    <t>371/.042/0941</t>
  </si>
  <si>
    <t>Home schooling -- Great Britain. ; Education -- Parent participation -- Great Britain.</t>
  </si>
  <si>
    <t>Genre and Institutions : Social Processes in the Workplace and School</t>
  </si>
  <si>
    <t>Christie, Frances;Martin, J. R.</t>
  </si>
  <si>
    <t>P302.84.G46 2000</t>
  </si>
  <si>
    <t>401/.41</t>
  </si>
  <si>
    <t>Discourse analysis -- Social aspects. ; Language and education.</t>
  </si>
  <si>
    <t>Educational Issues in the Learning Age</t>
  </si>
  <si>
    <t>Matheson, Catherine;Matheson, David</t>
  </si>
  <si>
    <t>LC191.E427 2000</t>
  </si>
  <si>
    <t>Education -- Social aspects. ; Education -- Philosophy.</t>
  </si>
  <si>
    <t>A Parent's Guide to Primary School : How to Get the Best Out of Your Child's Education</t>
  </si>
  <si>
    <t>Byrne, Katy;McGavin, Harvey</t>
  </si>
  <si>
    <t>LA633.B97 2004</t>
  </si>
  <si>
    <t>372.9/41</t>
  </si>
  <si>
    <t>Education, Elementary -- Great Britain. ; Education, Elementary -- Parent participation -- Great Britain.</t>
  </si>
  <si>
    <t>Musical Development and Learning</t>
  </si>
  <si>
    <t>Hargreaves, David J.;North, Adrian</t>
  </si>
  <si>
    <t>Frontiers of International Education Series</t>
  </si>
  <si>
    <t>MT1.M9993 2001</t>
  </si>
  <si>
    <t>780.7/1</t>
  </si>
  <si>
    <t>Music -- Instruction and study. ; Music -- Methods.</t>
  </si>
  <si>
    <t>Academic Literacy and the Languages of Change</t>
  </si>
  <si>
    <t>Thesen, Lucia;van Pletzen, Ermien;Thesen, Lucia;Van Pletzen, Ermien</t>
  </si>
  <si>
    <t>Criminal Practice Series</t>
  </si>
  <si>
    <t>LC158.S6A23 2006</t>
  </si>
  <si>
    <t>Literacy -- South Africa. ; Sociolinguistics -- South Africa. ; Students -- South Africa -- Language.</t>
  </si>
  <si>
    <t>Educational Research in Practice</t>
  </si>
  <si>
    <t>Swann, Joanna;Pratt, John</t>
  </si>
  <si>
    <t>LB1028.E316 2003</t>
  </si>
  <si>
    <t>370.7'2</t>
  </si>
  <si>
    <t>Education -- Research -- Methodology</t>
  </si>
  <si>
    <t>What Pupils Say : Changing Policy and Practice in Primary Education</t>
  </si>
  <si>
    <t>Pollard, Andrew;Triggs, Pat</t>
  </si>
  <si>
    <t>LA633.P654 2000</t>
  </si>
  <si>
    <t>School children -- England -- Attitudes</t>
  </si>
  <si>
    <t>Crossing Boundaries : Thinking Through Literature</t>
  </si>
  <si>
    <t>Bloomsbury Academic</t>
  </si>
  <si>
    <t>Scanlon, Julie;Waste, Amy</t>
  </si>
  <si>
    <t>PN501.C76 2001</t>
  </si>
  <si>
    <t>Literature -- History and criticism. ; Criticism.</t>
  </si>
  <si>
    <t>Profound and Multiple Learning Difficulties</t>
  </si>
  <si>
    <t>Cartwright, Corinna;Wind-Cowie, Sarah</t>
  </si>
  <si>
    <t>Special Educational Needs Series</t>
  </si>
  <si>
    <t>LC4706.G7C37 2005</t>
  </si>
  <si>
    <t>Learning disabled children -- Education -- Great Britain.</t>
  </si>
  <si>
    <t>Research Questions</t>
  </si>
  <si>
    <t>Andrews, Richard</t>
  </si>
  <si>
    <t>Continuum Research Methods Series</t>
  </si>
  <si>
    <t>LB1028.A53 2003</t>
  </si>
  <si>
    <t>001.4/33</t>
  </si>
  <si>
    <t>Research -- Methodology.</t>
  </si>
  <si>
    <t>Children's Mathematical Thinking in Primary Years</t>
  </si>
  <si>
    <t>Anghileri, Julia</t>
  </si>
  <si>
    <t>QA135.6.C5266 2005</t>
  </si>
  <si>
    <t>Mathematics -- Study and teaching (Elementary) ; Learning, Psychology of. ; Cognition in children.</t>
  </si>
  <si>
    <t>Sport, Ethics and Education</t>
  </si>
  <si>
    <t>Arnold, Peter</t>
  </si>
  <si>
    <t>GV706.3.A96 1997</t>
  </si>
  <si>
    <t>Sports -- Moral and ethical aspects. ; Sports -- Philosophy. ; Physical education and training -- Philosophy.</t>
  </si>
  <si>
    <t>Philosophy; Sport &amp;amp; Recreation</t>
  </si>
  <si>
    <t>Analysing Teaching-Learning Interactions in Higher Education : Accounting for Structure and Agency</t>
  </si>
  <si>
    <t>Ashwin, Paul</t>
  </si>
  <si>
    <t>LB2331.A775 2012</t>
  </si>
  <si>
    <t>Communication in education</t>
  </si>
  <si>
    <t>Transforming Learning</t>
  </si>
  <si>
    <t>Askew, Sue</t>
  </si>
  <si>
    <t>LB1060.A83 1998</t>
  </si>
  <si>
    <t>Making of the 1944 Education Act</t>
  </si>
  <si>
    <t>Barber, Michael</t>
  </si>
  <si>
    <t>KD3600.A3 1994</t>
  </si>
  <si>
    <t>Great Britain. -- Education Act, 1944</t>
  </si>
  <si>
    <t>Education for Spiritual, Moral, Social and Cultural Development</t>
  </si>
  <si>
    <t>Best, Ron;Best, Ron</t>
  </si>
  <si>
    <t>LC268.E355 2000</t>
  </si>
  <si>
    <t>370.1/1</t>
  </si>
  <si>
    <t>Moral education. ; Education -- Social aspects. ; Spiritual formation. ; Social skills in children. ; Culture.</t>
  </si>
  <si>
    <t>Perspectives of Quality in Adult Learning</t>
  </si>
  <si>
    <t>Boshier, Peter</t>
  </si>
  <si>
    <t>LC5225.L42B67 2006</t>
  </si>
  <si>
    <t>Education, Policy and Ethics</t>
  </si>
  <si>
    <t>Bottery, Mike</t>
  </si>
  <si>
    <t>LB2805.B688 2000</t>
  </si>
  <si>
    <t>379/.01</t>
  </si>
  <si>
    <t>Pathways to Literacy</t>
  </si>
  <si>
    <t>Cairney, Trevor</t>
  </si>
  <si>
    <t>LC149 -- .C357 1995eb</t>
  </si>
  <si>
    <t>Literacy -- Study and teaching. ; English language -- Study and teaching. ; Language arts.</t>
  </si>
  <si>
    <t>Faith Schools and Society : Civilizing the Debate</t>
  </si>
  <si>
    <t>Cairns, Jo</t>
  </si>
  <si>
    <t>LC107.C35 2009</t>
  </si>
  <si>
    <t>Church and education. ; Church schools.</t>
  </si>
  <si>
    <t>School, Community and Lifelong Learning</t>
  </si>
  <si>
    <t>Chapman, Judith</t>
  </si>
  <si>
    <t>LC5215 -- .C485 1997eb</t>
  </si>
  <si>
    <t>Pedagogy and the Shaping of Consciousness : Linguistic and Social Processes</t>
  </si>
  <si>
    <t>Christie, Frances</t>
  </si>
  <si>
    <t>LC191 -- .P37 1999eb</t>
  </si>
  <si>
    <t>Educational sociology. ; Sociolinguistics. ; Literacy -- Social aspects. ; Teaching -- Social aspects.</t>
  </si>
  <si>
    <t>Wise Up</t>
  </si>
  <si>
    <t>Bloomsbury Continuum</t>
  </si>
  <si>
    <t>Claxton, Guy</t>
  </si>
  <si>
    <t>Methodology</t>
  </si>
  <si>
    <t>The Quiet Child</t>
  </si>
  <si>
    <t>Collins, Janet</t>
  </si>
  <si>
    <t>LB1033.5.C65 1996</t>
  </si>
  <si>
    <t>371.8/1</t>
  </si>
  <si>
    <t>Children's Literature and Its Effects</t>
  </si>
  <si>
    <t>Z1037.A1C87 1998</t>
  </si>
  <si>
    <t>028.5/5</t>
  </si>
  <si>
    <t>Children -- Books and reading. ; Children's stories -- History and criticism. ; Popular literature -- History and criticism.</t>
  </si>
  <si>
    <t>School Development: Theories and Strategies</t>
  </si>
  <si>
    <t>Dalin, Per</t>
  </si>
  <si>
    <t>LB14.7.D35 2005</t>
  </si>
  <si>
    <t>Educational change. ; School management and organization.</t>
  </si>
  <si>
    <t>Panorthosia by Comenius 19-26</t>
  </si>
  <si>
    <t>Dobbie, A.M.O.</t>
  </si>
  <si>
    <t>LB475.C59D413 1993</t>
  </si>
  <si>
    <t>Education -- Philosophy. ; Education -- Early works to 1800.</t>
  </si>
  <si>
    <t>Killing Thinking : The Death of the Universities</t>
  </si>
  <si>
    <t>Evans, Mary</t>
  </si>
  <si>
    <t>LC191.98.G7E935 2004</t>
  </si>
  <si>
    <t>378.4/1</t>
  </si>
  <si>
    <t>Education - Aims and objectives -</t>
  </si>
  <si>
    <t>The Greatest Educators Ever</t>
  </si>
  <si>
    <t>Flanagan, Frank M.</t>
  </si>
  <si>
    <t>LA2301.F57 2006</t>
  </si>
  <si>
    <t>Educators -- Biography. ; Education.</t>
  </si>
  <si>
    <t>Education and Community</t>
  </si>
  <si>
    <t>Gereluk, Dianne</t>
  </si>
  <si>
    <t>LC215.G47 2006</t>
  </si>
  <si>
    <t>Community and school. ; Community education.</t>
  </si>
  <si>
    <t>Quantitative Methods in Social Science Research</t>
  </si>
  <si>
    <t>Gorard, Stephen</t>
  </si>
  <si>
    <t>H62.G67 2004</t>
  </si>
  <si>
    <t>Social sciences -- Research -- Methodology. ; Social sciences -- Statistical methods.</t>
  </si>
  <si>
    <t>The Internet in School : Second Edition</t>
  </si>
  <si>
    <t>Grey, Duncan</t>
  </si>
  <si>
    <t>LB1044.87.G74 2001</t>
  </si>
  <si>
    <t>371.3/34/4678</t>
  </si>
  <si>
    <t>The Making of Educational Leaders</t>
  </si>
  <si>
    <t>Gronn, Peter</t>
  </si>
  <si>
    <t>LB2805.G76 1999</t>
  </si>
  <si>
    <t>Scientific Discourse : Multiliteracy in the Classroom</t>
  </si>
  <si>
    <t>Hanauer, David Ian</t>
  </si>
  <si>
    <t>LB1585.H294 2006</t>
  </si>
  <si>
    <t>Science -- Study and teaching (Elementary) ; Literacy.</t>
  </si>
  <si>
    <t>Is Religious Education Possible? : A Philosophical Investigation</t>
  </si>
  <si>
    <t>Hand, Michael</t>
  </si>
  <si>
    <t>Continuum Studies in Research in Education Series</t>
  </si>
  <si>
    <t>BV1464.H32 2006</t>
  </si>
  <si>
    <t>Religious education - Philosophy</t>
  </si>
  <si>
    <t>New Perspectives on Disaffection</t>
  </si>
  <si>
    <t>Hendry, Leo;Hendry, Leo B.;Glendinning, Anthony</t>
  </si>
  <si>
    <t>LC4803.G7S36 1997</t>
  </si>
  <si>
    <t>Student suspension - Great Britain</t>
  </si>
  <si>
    <t>Language Acquisition and Language Socialization : Ecological Perspectives</t>
  </si>
  <si>
    <t>Kramsch, Claire</t>
  </si>
  <si>
    <t>P118.L243 2002</t>
  </si>
  <si>
    <t>Education and Development : A Human Rights Analysis</t>
  </si>
  <si>
    <t>Lynch, James</t>
  </si>
  <si>
    <t>LC71.L96 1997</t>
  </si>
  <si>
    <t>Education, Primary -- Aims and objectives. ; Education, Primary -- Developing countries. ; Educational equalization -- Cross-cultural studies. ; Comparative education. ; Education -- Developing countries. ; Non-formal education -- Developing countries. ; Educational innovations.</t>
  </si>
  <si>
    <t>Innovations in Delivering Primary</t>
  </si>
  <si>
    <t>Lynch, James;Modgil, Celia</t>
  </si>
  <si>
    <t>LB1027.I66 1997</t>
  </si>
  <si>
    <t>Education, Primary. ; Education, Primary -- Curricula. ; Curriculum planning. ; Educational planning. ; Teachers -- Training of.</t>
  </si>
  <si>
    <t>Anti-Discriminatory Practice</t>
  </si>
  <si>
    <t>Millam, Rosalind</t>
  </si>
  <si>
    <t>Practical Childcare Series</t>
  </si>
  <si>
    <t>HQ778.7.G7M55 2002</t>
  </si>
  <si>
    <t>362.7/12/0941</t>
  </si>
  <si>
    <t>Multiculturalism -- Great Britain</t>
  </si>
  <si>
    <t>Spelling</t>
  </si>
  <si>
    <t>Montgomery, Diane</t>
  </si>
  <si>
    <t>LB1574.M58 1997</t>
  </si>
  <si>
    <t>Spelling disability</t>
  </si>
  <si>
    <t>Pattern in the Teaching and Learning of Mathematics : Pattern in Teaching and Learning of Mathematics</t>
  </si>
  <si>
    <t>Orton, Anthony</t>
  </si>
  <si>
    <t>QA11.2.P38 2005</t>
  </si>
  <si>
    <t>Mathematics -- Study and teaching. ; Mathematics.</t>
  </si>
  <si>
    <t>Insights into Teaching Mathematics</t>
  </si>
  <si>
    <t>Orton, Anthony;Frobisher, Leonard;Frobisher, Leonard</t>
  </si>
  <si>
    <t>QA14.G7O77 2005</t>
  </si>
  <si>
    <t>Mathematics -- Study and teaching -- Great Britain.</t>
  </si>
  <si>
    <t>Learning Through Language in Early Childhood</t>
  </si>
  <si>
    <t>Painter, Clare</t>
  </si>
  <si>
    <t>LB1139.5.L35P35 1999</t>
  </si>
  <si>
    <t>Language experience approach in education -- Longitudinal studies. ; Language arts (Early childhood) -- Longitudinal studies. ; Language acquisition -- Longitudinal studies. ; Constructivism (Education) -- Longitudinal studies.</t>
  </si>
  <si>
    <t>The Social World of Children's Learning</t>
  </si>
  <si>
    <t>Pollard, Andrew</t>
  </si>
  <si>
    <t>HQ772.P65 2004</t>
  </si>
  <si>
    <t>Child development--Great Britain--Case studies</t>
  </si>
  <si>
    <t>English Curriculum in Schools</t>
  </si>
  <si>
    <t>Poulson, Louise</t>
  </si>
  <si>
    <t>LB1576.P685 1998</t>
  </si>
  <si>
    <t>English language - Study and teaching -</t>
  </si>
  <si>
    <t>The Philosophy of Education</t>
  </si>
  <si>
    <t>Pring, Richard</t>
  </si>
  <si>
    <t>LB14.7 -- .P756 2005eb</t>
  </si>
  <si>
    <t>Education -- Philosophy. ; Education -- Aims and objectives.</t>
  </si>
  <si>
    <t>Involving Parents</t>
  </si>
  <si>
    <t>Stern, Julian</t>
  </si>
  <si>
    <t>Classmates Series</t>
  </si>
  <si>
    <t>LB1048.5.S847 2003</t>
  </si>
  <si>
    <t>Parent-teacher relationships - Great Britain</t>
  </si>
  <si>
    <t>The Spirit of the School</t>
  </si>
  <si>
    <t>LB14.7.S75 2009</t>
  </si>
  <si>
    <t>Schools</t>
  </si>
  <si>
    <t>Educating Children at Home</t>
  </si>
  <si>
    <t>Thomas, Alan</t>
  </si>
  <si>
    <t>LC40.T46 1998</t>
  </si>
  <si>
    <t>Education. ; Home schooling.</t>
  </si>
  <si>
    <t>Widening Participation in Post-Compulsory Education</t>
  </si>
  <si>
    <t>Thomas, Liz;Thomas, Liz</t>
  </si>
  <si>
    <t>LC1039.T48 2001</t>
  </si>
  <si>
    <t>Post-compulsory education -- Great Britain. ; Education -- Great Britain.</t>
  </si>
  <si>
    <t>Paired Reading, Writing and Spelling</t>
  </si>
  <si>
    <t>Topping, Keith</t>
  </si>
  <si>
    <t>LB1576.T67 1995</t>
  </si>
  <si>
    <t>Language arts -- Handbooks, manuals, etc. ; Tutors and tutoring -- Handbooks, manuals, etc. ; Literacy -- Handbooks, manuals, etc.</t>
  </si>
  <si>
    <t>Theory of Education</t>
  </si>
  <si>
    <t>Turner, David A.</t>
  </si>
  <si>
    <t>LB1028.T88 2005</t>
  </si>
  <si>
    <t>Education -- Research -- Methodology. ; Educational planning.</t>
  </si>
  <si>
    <t>Private Education : Tradition and Diversity</t>
  </si>
  <si>
    <t>LC53.G7W345 2006</t>
  </si>
  <si>
    <t>Private schools -- Research -- Great Britain. ; Private schools -- Great Britain.</t>
  </si>
  <si>
    <t>Markets and Equity in Education</t>
  </si>
  <si>
    <t>LB1027.9.W35 3 2006</t>
  </si>
  <si>
    <t>School choice. ; Educational equalization.</t>
  </si>
  <si>
    <t>Reforms in Higher Education</t>
  </si>
  <si>
    <t>Watson, Keith;Modgil, Celia;Modgil, Sohan</t>
  </si>
  <si>
    <t>LB2322.2.R446 1997</t>
  </si>
  <si>
    <t>Education, Higher -- Aims and objectives -- Cross-cultural studies. ; Education, Higher -- Administration -- Cross-cultural studies. ; Higher education and state -- Cross-cultural studies.</t>
  </si>
  <si>
    <t>Education and the End of Work</t>
  </si>
  <si>
    <t>White, John, Jr.;White, John</t>
  </si>
  <si>
    <t>HD4904.W487 1997</t>
  </si>
  <si>
    <t>306.3/613</t>
  </si>
  <si>
    <t>Work ethic</t>
  </si>
  <si>
    <t>Children and Primary Geography</t>
  </si>
  <si>
    <t>Wiegand, Patrick;Cullingford, Cedric</t>
  </si>
  <si>
    <t>G73.W48 1993</t>
  </si>
  <si>
    <t>372.8/91/044/0941</t>
  </si>
  <si>
    <t>Earth sciences -- Study and teaching (Primary) ; Geography -- Study and teaching (Primary)</t>
  </si>
  <si>
    <t>Dragon Gate</t>
  </si>
  <si>
    <t>Zeng, Kangmin</t>
  </si>
  <si>
    <t>LB2353.8.E18Z45 1999</t>
  </si>
  <si>
    <t>371.2/6/095</t>
  </si>
  <si>
    <t>Universities and colleges -- East Asia -- Entrance examinations -- Social aspects. ; Universities and colleges -- East Asia -- Entrance examinations -- Psychological aspects. ; Competition (Psychology) ; Education -- East Asia.</t>
  </si>
  <si>
    <t>Optimizing Teaching and Learning : Practicing Pedagogical Research</t>
  </si>
  <si>
    <t>Gurung, Regan A. R.;Schwartz, Beth M.</t>
  </si>
  <si>
    <t>LB2331G797 2009</t>
  </si>
  <si>
    <t>Critical Thinking and Learning</t>
  </si>
  <si>
    <t>Mason, Mark</t>
  </si>
  <si>
    <t>LB1590.3.C7348 2009</t>
  </si>
  <si>
    <t>Critical thinking -- Study and teaching</t>
  </si>
  <si>
    <t>Narrative Life : Democratic Curriculum and Indigenous Learning</t>
  </si>
  <si>
    <t>Hooley, Neil</t>
  </si>
  <si>
    <t>Explorations of Educational Purpose Series</t>
  </si>
  <si>
    <t>Democracy and education</t>
  </si>
  <si>
    <t>Creating Community : Life and Learning at Montgomery's Black University</t>
  </si>
  <si>
    <t>Westhauser, Karl E.;Moorer, Frank M.;Smith, Elaine M.;Fremlin, Jennifer A.;Franklin, Janice R.;Stephens, Margaret Holler;George, Sunita;Jackson, Kathy Dunn;Jones, Virginia M.;Markham, Annie P.</t>
  </si>
  <si>
    <t>LD59</t>
  </si>
  <si>
    <t>378.761/47</t>
  </si>
  <si>
    <t>Alabama State University-History. ; Alabama State University-Faculty-Anecdotes. ; African American universities and colleges-Alabama-Montgomery-History.</t>
  </si>
  <si>
    <t>Grass Widow : Making My Way in Depression Alabama</t>
  </si>
  <si>
    <t>Fire Ant Books</t>
  </si>
  <si>
    <t>Liddell, Viola Goode</t>
  </si>
  <si>
    <t>Fire Ant Bks.</t>
  </si>
  <si>
    <t>F334</t>
  </si>
  <si>
    <t>976.1/38</t>
  </si>
  <si>
    <t>Liddell, Viola Goode,-1901- ; High school teachers-Alabama-Camden-Biography. ; Camden (Ala.)-Social life and customs. ; Camden (Ala.)-Biography.</t>
  </si>
  <si>
    <t>Rhetoric and the Republic : Politics, Civic Discourse, and Education in Early America</t>
  </si>
  <si>
    <t>Longaker, Mark Garrett</t>
  </si>
  <si>
    <t>Rhetoric, Culture, and Social Critique Series</t>
  </si>
  <si>
    <t>PE1405</t>
  </si>
  <si>
    <t>808.0071/173</t>
  </si>
  <si>
    <t>English language-Rhetoric-Study and teaching-United States. ; Rhetoric-Study and teaching-United States. ; Rhetoric-Political aspects-United States. ; English language-United States-Rhetoric. ; Rhetoric-Social aspects-United States. ; Education, Higher-United States-History-18th century. ; United States-History-Colonial period, ca. 1600-1775.</t>
  </si>
  <si>
    <t>New Lights in the Valley : The Emergence of UAB</t>
  </si>
  <si>
    <t>McWilliams, Tennant</t>
  </si>
  <si>
    <t>378.761/781</t>
  </si>
  <si>
    <t>University of Alabama at Birmingham-History.</t>
  </si>
  <si>
    <t>Inspiring Faith in Schools : Studies in Religious Education</t>
  </si>
  <si>
    <t>Felderhof, Marius;Thompson, Penny;Thompson, Mrs Penny;Astley, Revd Jeff;Francis, Revd Canon Leslie J;Percy, Very Revd Prof Martyn;Slee, Dr Nicola</t>
  </si>
  <si>
    <t>Explorations in Practical, Pastoral and Empirical Theology Series</t>
  </si>
  <si>
    <t>BL42 -- .I57 2007eb</t>
  </si>
  <si>
    <t>Religious education.</t>
  </si>
  <si>
    <t>Mary Astell : Reason, Gender, Faith</t>
  </si>
  <si>
    <t>Kolbrener, William;Michelson, Michal</t>
  </si>
  <si>
    <t>HQ1595.A78 -- M36 2007eb</t>
  </si>
  <si>
    <t>Astell, Mary, -- 1668-1731 -- Criticism and interpretation. ; Astell, Mary, -- 1668-1731 -- Political and social views. ; Astell, Mary, -- 1668-1731 -- Religion. ; Feminism -- Great Britain -- History.</t>
  </si>
  <si>
    <t>Education and Women in the Early Modern Hispanic World</t>
  </si>
  <si>
    <t>Howe, Elizabeth Teresa</t>
  </si>
  <si>
    <t>Women and Gender in the Early Modern World Series</t>
  </si>
  <si>
    <t>LC2222 -- .H69 2008eb</t>
  </si>
  <si>
    <t>Women -- Education -- New Spain -- History</t>
  </si>
  <si>
    <t>Improving Learning Transfer : A Guide to Getting More Out of What You Put into Your Training</t>
  </si>
  <si>
    <t>Kirwan, Cyril</t>
  </si>
  <si>
    <t>HD58.82 -- .K57 2008eb</t>
  </si>
  <si>
    <t>Blended Learning and Online Tutoring : Planning Learner Support and Activity Design</t>
  </si>
  <si>
    <t>MacDonald, Janet</t>
  </si>
  <si>
    <t>LB1028.5 -- .M124 2008eb</t>
  </si>
  <si>
    <t>Blended learning. ; Blended learning -- Case studies. ; Education, Higher -- Computer-assisted instruction. ; Internet in higher education.</t>
  </si>
  <si>
    <t>Resources for Learning Mentors : Practical Activities for Group Sessions</t>
  </si>
  <si>
    <t>Allen, Pam</t>
  </si>
  <si>
    <t>LB1731.4 -- .A454 2007eb</t>
  </si>
  <si>
    <t>Mentoring in education -- Great Britain. ; Group work in education -- Great Britain.</t>
  </si>
  <si>
    <t>Running a Nurture Group</t>
  </si>
  <si>
    <t>Bishop, Simon</t>
  </si>
  <si>
    <t>LB1032 -- .B57 2008eb</t>
  </si>
  <si>
    <t>Using Discourse Analysis to Improve Classroom Interaction</t>
  </si>
  <si>
    <t>Rex, Lesley A.;Schiller, Laura</t>
  </si>
  <si>
    <t>LB1034 -- .R49 2009eb</t>
  </si>
  <si>
    <t>Kingdom of Children : Culture and Controversy in the Homeschooling Movement</t>
  </si>
  <si>
    <t>Princeton University Press_mupo</t>
  </si>
  <si>
    <t>Princeton University Press</t>
  </si>
  <si>
    <t>Stevens, Mitchell</t>
  </si>
  <si>
    <t>Princeton Studies in Cultural Sociology Series</t>
  </si>
  <si>
    <t>LC40.S74 2001</t>
  </si>
  <si>
    <t>Contentious Curricula : Afrocentrism and Creationism in American Public Schools</t>
  </si>
  <si>
    <t>Binder, Amy</t>
  </si>
  <si>
    <t>LB1570.B52 2004</t>
  </si>
  <si>
    <t>One Hundred Semesters : My Adventures As Student, Professor, and University President, and What I Learned along the Way</t>
  </si>
  <si>
    <t>Chace, William M.</t>
  </si>
  <si>
    <t>The William G. Bowen Series</t>
  </si>
  <si>
    <t>LA227.3.C43 2006</t>
  </si>
  <si>
    <t>Troublemaker : A Personal History of School Reform since Sputnik</t>
  </si>
  <si>
    <t>Finn, Chester E., Jr.;Finn, Chester E.</t>
  </si>
  <si>
    <t>LA209.2.F56 2008</t>
  </si>
  <si>
    <t>Does God Belong in Public Schools?</t>
  </si>
  <si>
    <t>Greenawalt, Kent</t>
  </si>
  <si>
    <t>LC111.G74 2005</t>
  </si>
  <si>
    <t>379.28/0973</t>
  </si>
  <si>
    <t>Faith in Schools? : Autonomy, Citizenship, and Religious Education in the Liberal State</t>
  </si>
  <si>
    <t>MacMullen, Ian</t>
  </si>
  <si>
    <t>LC368.M33 2007</t>
  </si>
  <si>
    <t>School Choice : The Moral Debate</t>
  </si>
  <si>
    <t>Wolfe, Alan</t>
  </si>
  <si>
    <t>LB1027.9.S336 2003</t>
  </si>
  <si>
    <t>Educating Professionals : Practice Learning in Health and Social Care</t>
  </si>
  <si>
    <t>Shardlow, Steven M.;Doel, Mark</t>
  </si>
  <si>
    <t>R737 -- .E286 2009eb</t>
  </si>
  <si>
    <t>Medical education. ; Social work education.</t>
  </si>
  <si>
    <t>Humanism and Protestantism in Early Modern English Education</t>
  </si>
  <si>
    <t>Green, Ian;Cameron, Professor Euan;Gordon, Professor Bruce;Heal, Dr Bridget;Mason, Professor Roger A;Nelson Burnett, Professor Amy;Pettegree, Dr Andrew;von Greyerz, Professor Kaspar;Ryrie, Professor Alec;Heal, Dr Felicity</t>
  </si>
  <si>
    <t>St Andrews Studies in Reformation History Series</t>
  </si>
  <si>
    <t>LA631.5 -- .G74 2009eb</t>
  </si>
  <si>
    <t>Education -- England -- History. ; Education, Humanistic -- England -- History. ; Humanism -- England -- History. ; Protestantism -- England -- History.</t>
  </si>
  <si>
    <t>Handbook of Complementary Methods in Education Research</t>
  </si>
  <si>
    <t>Green, Judith L.;Camilli, Gregory;Elmore, Patricia B.;Camilli, Gregory;Elmore, Patricia B.;Elmore, Patricia B</t>
  </si>
  <si>
    <t>LB1028 -- .C577 2006eb</t>
  </si>
  <si>
    <t>Education -- Research -- Methodology. ; Education -- Research.</t>
  </si>
  <si>
    <t>Improving the Context for Inclusion : Personalising Teacher Development Through Collaborative Action Research</t>
  </si>
  <si>
    <t>Howes, Andy;Davies, S. M. B.;Fox, Sam</t>
  </si>
  <si>
    <t>Improving Learning Series</t>
  </si>
  <si>
    <t>LC1203.G7 -- H69 2009eb</t>
  </si>
  <si>
    <t>371.9/0460941</t>
  </si>
  <si>
    <t>Teachers - In-service training - Great Britain</t>
  </si>
  <si>
    <t>Universities, Ethics and Professions : Debate and Scrutiny</t>
  </si>
  <si>
    <t>Strain, John;Barnett, Ronald;Jarvis, Peter</t>
  </si>
  <si>
    <t>LB2324 -- .U55 2009eb</t>
  </si>
  <si>
    <t>Teaching, Learning and Research in Higher Education : A Critical Approach</t>
  </si>
  <si>
    <t>Tennant, Mark;McMullen, Cathi;Kaczynski, Dan</t>
  </si>
  <si>
    <t>LB2331 -- .T4295 2009eb</t>
  </si>
  <si>
    <t>College teaching. ; College teachers -- Professional relationships.</t>
  </si>
  <si>
    <t>Education in Political Science : Discovering a Neglected Field</t>
  </si>
  <si>
    <t>Jakobi, Anja P.;Martens, Kerstin;Wolf, Klaus Dieter</t>
  </si>
  <si>
    <t>Routledge/ECPR Studies in European Political Science Series</t>
  </si>
  <si>
    <t>LC71 -- .E3 2010eb</t>
  </si>
  <si>
    <t>The Journey for Inclusive Education in the Indian Sub-Continent</t>
  </si>
  <si>
    <t>Alur, Mithu;Bach, Michael</t>
  </si>
  <si>
    <t>LC1203.I43 -- A48 2009eb</t>
  </si>
  <si>
    <t>371.9/0460954</t>
  </si>
  <si>
    <t>Children with disabilities - Education - India</t>
  </si>
  <si>
    <t>A Practical Guide to University and College Management : Beyond Bureaucracy</t>
  </si>
  <si>
    <t>Denton, Steve;Brown, Sally</t>
  </si>
  <si>
    <t>LB2341.8.G7 -- P72 2009eb</t>
  </si>
  <si>
    <t>Universities and colleges - Great Britain - Administration</t>
  </si>
  <si>
    <t>Teaching the Art of Poetry : The Moves</t>
  </si>
  <si>
    <t>Wormser, Baron;Cappella, A. David</t>
  </si>
  <si>
    <t>PN1101 -- .W67 2000eb</t>
  </si>
  <si>
    <t>808.1/07</t>
  </si>
  <si>
    <t>Poetry -- Study and teaching</t>
  </si>
  <si>
    <t>Distance and Blended Learning in Asia : Opening Up Asian Education and Training</t>
  </si>
  <si>
    <t>Latchem, Colin;Jung, Insung</t>
  </si>
  <si>
    <t>Open and Flexible Learning Series</t>
  </si>
  <si>
    <t>LC5803.C65 -- L275 2010eb</t>
  </si>
  <si>
    <t>371.35/8095</t>
  </si>
  <si>
    <t>Blended learning - Asia</t>
  </si>
  <si>
    <t>Collaborative Working in Higher Education : The Social Academy</t>
  </si>
  <si>
    <t>Walsh, Lorraine;Kahn, Peter</t>
  </si>
  <si>
    <t>LB2331.5 -- .W35 2009eb</t>
  </si>
  <si>
    <t>College teachers - Professional relationships</t>
  </si>
  <si>
    <t>International Organizations and Higher Education Policy : Thinking Globally, Acting Locally?</t>
  </si>
  <si>
    <t>Bassett, Roberta Malee;Maldonado-Maldonado, Alma</t>
  </si>
  <si>
    <t>International Studies in Higher Education Series</t>
  </si>
  <si>
    <t>LB2322.2 -- .I59 2009eb</t>
  </si>
  <si>
    <t>International organization - Decision making</t>
  </si>
  <si>
    <t>Cross-Cultural Perspectives on Policy and Practice : Decolonizing Community Contexts</t>
  </si>
  <si>
    <t>Lavia, Jennifer;Moore, Michele</t>
  </si>
  <si>
    <t>LB14.7 -- .C76 2009eb</t>
  </si>
  <si>
    <t>Indigenous peoples - Education</t>
  </si>
  <si>
    <t>Trajectories of Education in the Arab World : Legacies and Challenges</t>
  </si>
  <si>
    <t>Abi-Mershed, Osama</t>
  </si>
  <si>
    <t>Routledge Advances in Middle East and Islamic Studies</t>
  </si>
  <si>
    <t>LA1491 -- .T73 2010eb</t>
  </si>
  <si>
    <t>370.17/4927</t>
  </si>
  <si>
    <t>Education -- Arab countries</t>
  </si>
  <si>
    <t>The Routledge International Companion to Multicultural Education</t>
  </si>
  <si>
    <t>Banks, James A.</t>
  </si>
  <si>
    <t>Routledge International Handbooks of Education Series</t>
  </si>
  <si>
    <t>LC1099 -- .R685 2009eb</t>
  </si>
  <si>
    <t>Developing and Evaluating Multi-Agency Partnerships : A Practical Toolkit for Schools and Children's Centre Managers</t>
  </si>
  <si>
    <t>Cheminais, Rita</t>
  </si>
  <si>
    <t>LB2822.75 -- .C466 2010eb</t>
  </si>
  <si>
    <t>379.1/580941</t>
  </si>
  <si>
    <t>Education - Standards - Great Britain</t>
  </si>
  <si>
    <t>The Pocket Guide to Every Child Matters : An at-A-Glance Overview for the Busy Teacher</t>
  </si>
  <si>
    <t>LC4091.G7 -- C54 2009eb</t>
  </si>
  <si>
    <t>379.2/60941</t>
  </si>
  <si>
    <t>Children with social disabilities - Services for - Great Britain</t>
  </si>
  <si>
    <t>Physical Education Futures</t>
  </si>
  <si>
    <t>Kirk, David</t>
  </si>
  <si>
    <t>Routledge Studies in Physical Education and Youth Sport Series</t>
  </si>
  <si>
    <t>GV341 -- .K565 2010eb</t>
  </si>
  <si>
    <t>Physical education and training</t>
  </si>
  <si>
    <t>Curriculum Studies Handbook - the Next Moment : The Next Moment : Exploring Post-Reconceptualization</t>
  </si>
  <si>
    <t>Malewski, Erik</t>
  </si>
  <si>
    <t>LB2806.15 -- .C6965 2010eb</t>
  </si>
  <si>
    <t>Curriculum planning - Philosophy</t>
  </si>
  <si>
    <t>Redefining Teacher Development</t>
  </si>
  <si>
    <t>Neufeld, Jonathan</t>
  </si>
  <si>
    <t>LB1715 -- .N463 2009eb</t>
  </si>
  <si>
    <t>Elementary school teachers - Training of - History</t>
  </si>
  <si>
    <t>Going Beyond the Theory/Practice Divide in Early Childhood Education : Introducing an Intra-Active Pedagogy</t>
  </si>
  <si>
    <t>Lenz Taguchi, Hillevi</t>
  </si>
  <si>
    <t>LB1139.23 -- .L46 2009eb</t>
  </si>
  <si>
    <t>Improving Learning in Later Life</t>
  </si>
  <si>
    <t>Withnall, Alexandra;Withnall, Alexandra</t>
  </si>
  <si>
    <t>LC5457 -- .W58 2010eb</t>
  </si>
  <si>
    <t>Older people - Education</t>
  </si>
  <si>
    <t>Serious Games : Mechanisms and Effects</t>
  </si>
  <si>
    <t>Ritterfeld, Ute;Cody, Michael;Vorderer, Peter</t>
  </si>
  <si>
    <t>GV1201.37 -- .S47 2009eb</t>
  </si>
  <si>
    <t>Games - Research</t>
  </si>
  <si>
    <t>Bullying: a Complete Guide to the Support Group Method</t>
  </si>
  <si>
    <t>Robinson, George;Maines, Barbara</t>
  </si>
  <si>
    <t>LB3013.3 -- .R645 2008eb</t>
  </si>
  <si>
    <t>Bullying in schools -- Great Britain -- Prevention. ; Bullying -- Counseling of -- Great Britain.</t>
  </si>
  <si>
    <t>So You Want to Be a Teacher? : A Guide for Prospective Student Teachers</t>
  </si>
  <si>
    <t>LB1775$b.S414 2008</t>
  </si>
  <si>
    <t>Teaching - Vocational guidance</t>
  </si>
  <si>
    <t>The World Is Open : How Web Technology Is Revolutionizing Education</t>
  </si>
  <si>
    <t>Bonk, Curtis J.</t>
  </si>
  <si>
    <t>LB1044.87.B66 2011</t>
  </si>
  <si>
    <t>Class in Education : Knowledge, Pedagogy, Subjectivity</t>
  </si>
  <si>
    <t>Kelsh, Deborah;Hill, Dave;Macrine, Sheila</t>
  </si>
  <si>
    <t>LC189 -- .C545 2009eb</t>
  </si>
  <si>
    <t>Social classes - Economic aspects</t>
  </si>
  <si>
    <t>Science Homework for Key Stage 2 : Activity-Based Learning</t>
  </si>
  <si>
    <t>Forster, Colin;Brookes, David;Parfitt, Vicki;McGowan, Andrea</t>
  </si>
  <si>
    <t>Active Homework Series</t>
  </si>
  <si>
    <t>LB1585.5.G7 -- F67 2009eb</t>
  </si>
  <si>
    <t>372.3/5044</t>
  </si>
  <si>
    <t>Education, Elementary - Parent participation - Great Britain</t>
  </si>
  <si>
    <t>Argumentation in Higher Education : Improving Practice Through Theory and Research</t>
  </si>
  <si>
    <t>PN4181 -- .A59 2009eb</t>
  </si>
  <si>
    <t>Debates and debating - Study and teaching (Higher)</t>
  </si>
  <si>
    <t>Temple University : 125 Years of Service to Philadelphia, the Nation, and the World</t>
  </si>
  <si>
    <t>Hilty, James</t>
  </si>
  <si>
    <t>LD5275</t>
  </si>
  <si>
    <t>378.748/11</t>
  </si>
  <si>
    <t>Temple University -- History.</t>
  </si>
  <si>
    <t>Social Justice Through Multilingual Education</t>
  </si>
  <si>
    <t>Skutnabb-Kangas, Tove;Phillipson, Robert;Mohanty, Ajit K.;Panda, Minati</t>
  </si>
  <si>
    <t>LC3719 -- .S625 2009eb</t>
  </si>
  <si>
    <t>Linguistic minorities - Education</t>
  </si>
  <si>
    <t>Collaborative Research in Multilingual Classrooms</t>
  </si>
  <si>
    <t>Denos, Corey;Toohey, Kelleen;Neilson, Kathy;Waterstone, Bonnie</t>
  </si>
  <si>
    <t>Critical Language and Literacy Studies</t>
  </si>
  <si>
    <t>P40.8 -- .C64 2009eb</t>
  </si>
  <si>
    <t>370.117/50973</t>
  </si>
  <si>
    <t>Language and education.</t>
  </si>
  <si>
    <t>Towards Multilingual Education : Basque Educational Research from an International Perspective</t>
  </si>
  <si>
    <t>Cenoz, Jasone</t>
  </si>
  <si>
    <t>LC3736.S7C46 2009</t>
  </si>
  <si>
    <t>370.117/509466</t>
  </si>
  <si>
    <t>Education, Bilingual--Spain--País Vasco. ; Multicultural education--Spain--País Vasco. ; Multilingualism--Spain--País Vasco. ; Language and education--Spain--País Vasco. ; Basque language--Study and teaching--Spain--País Vasco. ; Spanish language--Study and teaching--Spain--País Vasco. ; English language--Study and teaching--Spain--País Vasco. ; Second language acquisition--Study and teaching--Spain--País Vasco.</t>
  </si>
  <si>
    <t>The Meaning Makers : Learning to Talk and Talking to Learn</t>
  </si>
  <si>
    <t>LB1139.L3 -- W443 2009eb</t>
  </si>
  <si>
    <t>Children -- Language. ; Language acquisition. ; Literacy. ; Language arts.</t>
  </si>
  <si>
    <t>Improving Learning by Widening Participation in Higher Education</t>
  </si>
  <si>
    <t>David, Miriam;Bathmaker, Ann-Marie;Crozier, Gill;Davis, Pauline;Ertl, Hubert;Fuller, Alison;Hayward, Geoff;Heath, Sue;Hockings, Chris;Parry, Gareth</t>
  </si>
  <si>
    <t>LC4096.G7 -- I66 2009eb</t>
  </si>
  <si>
    <t>People with social disabilities - Education (Higher) - Great Britain</t>
  </si>
  <si>
    <t>Bright Epoch : Women and Coeducation in the American West</t>
  </si>
  <si>
    <t>University of Nebraska</t>
  </si>
  <si>
    <t>Bison Books</t>
  </si>
  <si>
    <t>Radke-Moss, Andrea G</t>
  </si>
  <si>
    <t>Women in the West</t>
  </si>
  <si>
    <t>LC1757 -- .R34 2008eb</t>
  </si>
  <si>
    <t>Coeducation -- West (U.S.) ; Sexism in higher education -- West (U.S.) ; Women college students -- West (U.S.) ; Women -- Education -- West (U.S.)</t>
  </si>
  <si>
    <t>The Moroccan Soul : French Education, Colonial Ethnology, and Muslim Resistance, 1912-1956</t>
  </si>
  <si>
    <t>Segalla, Spencer D;Segalla, Spencer</t>
  </si>
  <si>
    <t>France Overseas</t>
  </si>
  <si>
    <t>LA1941 -- .S44 2009eb</t>
  </si>
  <si>
    <t>Education -- Morocco -- History -- 20th century. ; French -- Morocco -- History -- 20th century. ; Education and state -- Morocco. ; Islamic religious education -- Morocco.</t>
  </si>
  <si>
    <t>Education and Climate Change : Living and Learning in Interesting Times</t>
  </si>
  <si>
    <t>Kagawa, Fumiyo;Selby, David</t>
  </si>
  <si>
    <t>LC191 -- .E268 2009eb</t>
  </si>
  <si>
    <t>Education - Environmental aspects</t>
  </si>
  <si>
    <t>Gender, Equality and Education from International and Comparative Perspectives</t>
  </si>
  <si>
    <t>Baker, David;Wiseman, Alexander W.</t>
  </si>
  <si>
    <t>International Perspectives on Education and Society Series</t>
  </si>
  <si>
    <t>LC213 -- .G46 2009eb</t>
  </si>
  <si>
    <t>The Worldwide Transformation of Higher Education</t>
  </si>
  <si>
    <t>Baker, David P.;Wiseman, Alexander W.</t>
  </si>
  <si>
    <t>LB2322.2 -- .W67 2008eb</t>
  </si>
  <si>
    <t>Education, Higher -- Cross-cultural studies</t>
  </si>
  <si>
    <t>Strong States, Weak Schools : The Benefits and Dilemmas of Centralized Accountability</t>
  </si>
  <si>
    <t>Fuller, Bruce;Hannum, Emily;Henne, Melissa K.</t>
  </si>
  <si>
    <t>Research in the Sociology of Education Series</t>
  </si>
  <si>
    <t>LB2806.22 -- .S77 2008eb</t>
  </si>
  <si>
    <t>Power, Voice and the Public Good : Schooling and Education in Global Societies</t>
  </si>
  <si>
    <t>Hopson, Rodney;Camp-Yeakey, Carol;Boakari, Francis Musa</t>
  </si>
  <si>
    <t>Advances in Education in Diverse Communities: Research, Policy and Praxis Series</t>
  </si>
  <si>
    <t>LC71.P69 2008</t>
  </si>
  <si>
    <t>Autism and Developmental Disabilities : Current Practices and Issues</t>
  </si>
  <si>
    <t>Rotatori, Anthony F.;Obiakor, Festus E.;Burkhardt, Sandra</t>
  </si>
  <si>
    <t>Advances in Special Education Series</t>
  </si>
  <si>
    <t>LC3950.A3618 2008</t>
  </si>
  <si>
    <t>Personnel Preparation</t>
  </si>
  <si>
    <t>Scruggs, Thomas E.</t>
  </si>
  <si>
    <t>Advances in Learning and Behavioral Disabilities Series</t>
  </si>
  <si>
    <t>LC3969.45 -- .P47 2008eb</t>
  </si>
  <si>
    <t>Teachers -- Training of</t>
  </si>
  <si>
    <t>A Transition to Advanced Mathematics : A Survey Course</t>
  </si>
  <si>
    <t>Johnston, William;McAllister, Alex</t>
  </si>
  <si>
    <t>QA37.3.J65 2009</t>
  </si>
  <si>
    <t>Mathematics -- Textbooks. ; Mathematics -- Study and teaching (Higher)</t>
  </si>
  <si>
    <t>The Effective Presentation : Talk Your Way to Success</t>
  </si>
  <si>
    <t>Sage Publications (India)</t>
  </si>
  <si>
    <t>SAGE Publications India Pvt, Ltd.</t>
  </si>
  <si>
    <t>New Delhi</t>
  </si>
  <si>
    <t>Kaul, Asha</t>
  </si>
  <si>
    <t>Response Bks.</t>
  </si>
  <si>
    <t>HF5718.22.K38 2005</t>
  </si>
  <si>
    <t>658.4/52</t>
  </si>
  <si>
    <t>Business presentations. ; Visual communication. ; Oral communication.</t>
  </si>
  <si>
    <t>English Homework for Key Stage 2 : Activity-Based Learning</t>
  </si>
  <si>
    <t>McGowan, Andrea;Brookes, David;Parfitt, Vicki;Forster, Colin</t>
  </si>
  <si>
    <t>LB1576 -- .M3978 2010eb</t>
  </si>
  <si>
    <t>English language - Study and teaching (Elementary) - Activity programs - Great Britain</t>
  </si>
  <si>
    <t>Improving Learning in a Professional Context : A Research Perspective on the New Teacher in School</t>
  </si>
  <si>
    <t>McNally, Jim;Blake, Allan</t>
  </si>
  <si>
    <t>LB2844.1.N4 -- I53 2009eb</t>
  </si>
  <si>
    <t>370.71/155</t>
  </si>
  <si>
    <t>Teachers, Probationary - Great Britain</t>
  </si>
  <si>
    <t>Students' Experiences of e-Learning in Higher Education : The Ecology of Sustainable Innovation</t>
  </si>
  <si>
    <t>Ellis, Robert;Goodyear, Peter</t>
  </si>
  <si>
    <t>LB2395.7 -- .E46 2009eb</t>
  </si>
  <si>
    <t>378.1/7344678</t>
  </si>
  <si>
    <t>Computers and college students</t>
  </si>
  <si>
    <t>Handbook of School-Family Partnerships</t>
  </si>
  <si>
    <t>Christenson, Sandra L.;Reschly, Amy L.</t>
  </si>
  <si>
    <t>LC225.3 -- .H356 2009eb</t>
  </si>
  <si>
    <t>Home and school - United States</t>
  </si>
  <si>
    <t>Learning to Fail : How Society Lets Young People Down</t>
  </si>
  <si>
    <t>Abrams, Fran</t>
  </si>
  <si>
    <t>LC4096.G7 -- A37 2009eb</t>
  </si>
  <si>
    <t>Youth with social disabilities - Education - Great Britain</t>
  </si>
  <si>
    <t>Romanische Sprachgeschichte / Histoire Linguistique de la Romania. 1. Teilband</t>
  </si>
  <si>
    <t>23/1</t>
  </si>
  <si>
    <t>PC45.R665eb T.Bd. 1</t>
  </si>
  <si>
    <t>Globalization and Education : Proceedings of the Joint Working Group, the Pontifical Academy of Sciences, the Pontifical Academy of Social Sciences, 19 - 17 November 2005, Casino Pio IV</t>
  </si>
  <si>
    <t>Sánchez Sorondo, Marcelo;Malinvaud, Edmond;Léna, Pierre;Sánchez Sorondo, Marcelo;Léna, Pierre</t>
  </si>
  <si>
    <t>LC189.85.G56 2007</t>
  </si>
  <si>
    <t>Education -- Social aspects -- Congresses. ; Educational technology -- Congresses. ; Children of immigrants -- Education -- Congresses. ; Education and globalization -- Congresses.</t>
  </si>
  <si>
    <t>History and Hope in the Heart of Dixie : Scholarship, Activism, and Wayne Flynt in the Modern South</t>
  </si>
  <si>
    <t>Harvey, Gordon E.;Thompson, Bailey;Starnes, Richard D.;Manis, Andrew M.;Carter, Dan T.;Feldman, Glenn;Blevins, Brooks;Reed, John Shelton;Ashmore, Susan Y.;Frederick, Jeffrey</t>
  </si>
  <si>
    <t>The Modern South Series</t>
  </si>
  <si>
    <t>F326</t>
  </si>
  <si>
    <t>976.1/063</t>
  </si>
  <si>
    <t>Flynt, Wayne,-1940- ; Political culture-Alabama-History-20th century. ; Religion and politics-Alabama-History-20th century. ; Learning and scholarship-Political aspects-Alabama-History-20th century. ; Historians-Alabama-Biography. ; Political culture-Southern States-History-20th century. ; Religion and politics-Southern States-History-20th century. ; Alabama-Politics and government-20th century. ; Alabama-Race relations-Political aspects-History-20th century. ; Southern States-Race relations-Political aspects-History-20th century.</t>
  </si>
  <si>
    <t>The World in Which We Occur : John Dewey, Pragmatist Ecology, and American Ecological Writing in the Twentieth Century</t>
  </si>
  <si>
    <t>Browne, Neil W.</t>
  </si>
  <si>
    <t>PN48</t>
  </si>
  <si>
    <t>810.9/36</t>
  </si>
  <si>
    <t>Inside the Teaching Machine : Rhetoric and the Globalization of the U. S. Public Research University</t>
  </si>
  <si>
    <t>Chaput, Catherine</t>
  </si>
  <si>
    <t>LB2328</t>
  </si>
  <si>
    <t>378/.050973</t>
  </si>
  <si>
    <t>Education, Higher--Research--United States. ; Education, Higher--Political aspects--United States. ; Education, Higher--Economic aspects--United States. ; Globalization.</t>
  </si>
  <si>
    <t>Chronicles of Faith : The Autobiography of Frederick D. Patterson</t>
  </si>
  <si>
    <t>Goodson, Martia Graham;Patterson, Frederick D.</t>
  </si>
  <si>
    <t>Patterson, Frederick D.-(Frederick Douglass),-1901-1988. ; Tuskegee Institute-Presidents-Biography. ; Tuskegee Institute-History. ; United Negro College Fund-History. ; College presidents-Biography.</t>
  </si>
  <si>
    <t>A Question of Justice : New South Governors and Education, 1968-1976</t>
  </si>
  <si>
    <t>Harvey, Gordon E.</t>
  </si>
  <si>
    <t>LC89</t>
  </si>
  <si>
    <t>Education and state-Alabama-History-20th century. ; Education and state-Florida-History-20th century. ; Education and state-South Carolina-History-20th century. ; Educational change-Alabama-History-20th century. ; Educational change-Florida-History-20th century. ; Educational change-South Carolina-History-20th century. ; School integration-Alabama-History-20th century. ; School integration-Florida-History-20th century. ; School integration-South Carolina-History-20th century.</t>
  </si>
  <si>
    <t>A Mansion's Memories</t>
  </si>
  <si>
    <t>Mathews, Mary Chapman;Cooper, Chip</t>
  </si>
  <si>
    <t>LD73</t>
  </si>
  <si>
    <t>378.761/84</t>
  </si>
  <si>
    <t>University of Alabama-History. ; University of Alabama-Buildings-History. ; College presidents-Alabama.</t>
  </si>
  <si>
    <t>Drama Education with Digital Technology</t>
  </si>
  <si>
    <t>Anderson, Michael;Cameron, David;Carroll, John;Brindley, Sue</t>
  </si>
  <si>
    <t>Education and Digital Technology Series</t>
  </si>
  <si>
    <t>PN1701.5.D73 2009</t>
  </si>
  <si>
    <t>792.078/5</t>
  </si>
  <si>
    <t>Drama--Study and teaching--Audio-visual aids. ; Drama--Computer-assisted instruction. ; Drama in education. ; Video games. ; Digital electronics.</t>
  </si>
  <si>
    <t>Rethinking Citizenship Education : A Curriculum for Participatory Democracy</t>
  </si>
  <si>
    <t>McCowan, Tristan;Haynes, Anthony</t>
  </si>
  <si>
    <t>Continuum Studies in Educational Research Series</t>
  </si>
  <si>
    <t>LC1091.M43 2009</t>
  </si>
  <si>
    <t>Citizenship -- Study and teaching. ; Civics -- Study and teaching.</t>
  </si>
  <si>
    <t>Towards the Sociology of Truth</t>
  </si>
  <si>
    <t>Moore, Rob</t>
  </si>
  <si>
    <t>HM651.M66 2009</t>
  </si>
  <si>
    <t>Knowledge, Sociology of. ; Educational sociology.</t>
  </si>
  <si>
    <t>Handbook of Child Development and Early Education : Research to Practice</t>
  </si>
  <si>
    <t>Barbarin, Oscar A.;Wasik, Barbara Hanna;Wasik, Barbara  Hanna</t>
  </si>
  <si>
    <t>HQ772</t>
  </si>
  <si>
    <t>Child development -- Handbooks, manuals, etc.</t>
  </si>
  <si>
    <t>The Inception of Modern Professional Education : C. C. Langdell, 1826-1906</t>
  </si>
  <si>
    <t>Kimball, Bruce A.</t>
  </si>
  <si>
    <t>Studies in Legal History Series</t>
  </si>
  <si>
    <t>KF368.L36 -- K56 2009eb</t>
  </si>
  <si>
    <t>340.092 B</t>
  </si>
  <si>
    <t>Langdell, C. C. -- (Christopher Columbus), -- 1826-1906. ; Harvard Law School -- History -- 19th century. ; Law teachers -- United States -- Biography. ; Law -- Study and teaching -- United States -- History -- 19th century. ; Professional education -- United States -- History -- 19th century.</t>
  </si>
  <si>
    <t>The Company He Keeps : A History of White College Fraternities</t>
  </si>
  <si>
    <t>Syrett, Nicholas L.</t>
  </si>
  <si>
    <t>Gender and American Culture Series</t>
  </si>
  <si>
    <t>LJ31 -- .S97 2009eb</t>
  </si>
  <si>
    <t>378.1/98550973</t>
  </si>
  <si>
    <t>Greek letter societies -- United States -- History -- 19th century. ; Greek letter societies -- United States -- History -- 20th century. ; Male college students -- United States -- History. ; Masculinity -- United States -- History. ; Electronic books.</t>
  </si>
  <si>
    <t>Handbook of Formative Assessment</t>
  </si>
  <si>
    <t>Andrade, Heidi;Cizek, Gregory J.</t>
  </si>
  <si>
    <t>LB2822.75 -- .H355 2009eb</t>
  </si>
  <si>
    <t>Academic achievement - Testing</t>
  </si>
  <si>
    <t>FERPA Clear and Simple : The College Professional's Guide to Compliance</t>
  </si>
  <si>
    <t>Ramirez, Clifford A.</t>
  </si>
  <si>
    <t>KF4156.5.A3281974 -- A2 2009eb</t>
  </si>
  <si>
    <t>Student records -- Law and legislation -- United States</t>
  </si>
  <si>
    <t>The Complete Guide to the Gap Year : The Best Things to Do Between High School and College</t>
  </si>
  <si>
    <t>White, Kristin M.</t>
  </si>
  <si>
    <t>LC45.3 -- .W45 2009eb</t>
  </si>
  <si>
    <t>378.1/98</t>
  </si>
  <si>
    <t>Gap years. ; Non-formal education. ; Experiential learning. ; High school graduates -- Life skills guides.</t>
  </si>
  <si>
    <t>Transitions and Learning Through the Lifecourse</t>
  </si>
  <si>
    <t>Ecclestone, Kathryn;Biesta, Gert;Hughes, Martin</t>
  </si>
  <si>
    <t>LC5256.G7 -- T73 2009eb</t>
  </si>
  <si>
    <t>374/.941</t>
  </si>
  <si>
    <t>Life cycle, Human - Great Britain</t>
  </si>
  <si>
    <t>Domestic Violence and Children : A Handbook for Schools and Early Years Settings</t>
  </si>
  <si>
    <t>Sterne, Abigail;Poole, Liz</t>
  </si>
  <si>
    <t>LB1027.5 -- .S76 2009eb</t>
  </si>
  <si>
    <t>371.7/8</t>
  </si>
  <si>
    <t>Abused children - Education - Great Britain</t>
  </si>
  <si>
    <t>Alternatives to Exclusion from School</t>
  </si>
  <si>
    <t>Munn, Pamela;Lloyd, Gwynedd;Cullen, Mairi Ann</t>
  </si>
  <si>
    <t>LB3089.4.G7 -- M86 2000eb</t>
  </si>
  <si>
    <t>The Intelligent School</t>
  </si>
  <si>
    <t>MacGilchrist, Barbara;Reed, Jane;Myers, Kate</t>
  </si>
  <si>
    <t>The Autism Inclusion Toolkit : Training Materials and Facilitator Notes</t>
  </si>
  <si>
    <t>Bowen, Maggie;Plimley, Lynn</t>
  </si>
  <si>
    <t>LC4717.8 -- .B69 2008eb</t>
  </si>
  <si>
    <t>Working with Disaffected Students : Why Students Lose Interest in School and What We Can Do about It</t>
  </si>
  <si>
    <t>Riley, Kathryn;Rustique-Forrester, Elle</t>
  </si>
  <si>
    <t>LC4803.G7$bR55 2002</t>
  </si>
  <si>
    <t>Motivation in education - England -</t>
  </si>
  <si>
    <t>How to Achieve the Every Child Matters Standards : A Practical Guide</t>
  </si>
  <si>
    <t>LB2822.75 -- .C468 2007eb</t>
  </si>
  <si>
    <t>School Improvement after Inspection? : School and LEA Responses</t>
  </si>
  <si>
    <t>Earley, Peter</t>
  </si>
  <si>
    <t>LB2845 -- .S355 1998eb</t>
  </si>
  <si>
    <t>Careers Education : Contesting Policy and Practice</t>
  </si>
  <si>
    <t>Harris, Suzy</t>
  </si>
  <si>
    <t>Career Guidance</t>
  </si>
  <si>
    <t>LC1037 -- .H37 1999eb</t>
  </si>
  <si>
    <t>331.7/02/0941</t>
  </si>
  <si>
    <t>How to Make Friends : Building Resilience and Supportive Peer Groups</t>
  </si>
  <si>
    <t>Macconville, Ruth M.</t>
  </si>
  <si>
    <t>HM691 -- .M23 2008eb</t>
  </si>
  <si>
    <t>Social skills -- Study and teaching (Elementary) ; Interpersonal relations in children.</t>
  </si>
  <si>
    <t>The Quick-Reference Handbook for School Leaders : The National Association of Head Teachers</t>
  </si>
  <si>
    <t>of Head Teachers, National Association</t>
  </si>
  <si>
    <t>LB2831.9 -- .Q85 2007eb</t>
  </si>
  <si>
    <t>Educational leadership. ; School management and organization. ; School principals.</t>
  </si>
  <si>
    <t>Literacy Goes to School : The Parents&amp;prime; Role in Young Children&amp;prime;s Literacy Learning</t>
  </si>
  <si>
    <t>Garber, Jo¨</t>
  </si>
  <si>
    <t>370.19312/0941</t>
  </si>
  <si>
    <t>African Centered Response to Ruby Payne's Poverty Theory</t>
  </si>
  <si>
    <t>African American Images</t>
  </si>
  <si>
    <t>Sauk Village</t>
  </si>
  <si>
    <t>Kunjufu, Jawanza</t>
  </si>
  <si>
    <t>LC2771 -- .K857 2006eb</t>
  </si>
  <si>
    <t>371.829/96073</t>
  </si>
  <si>
    <t>African American children -- Education. ; African Americans -- Education. ; African Americans -- Economic conditions.</t>
  </si>
  <si>
    <t>The Other Invisible Hand : Delivering Public Services Through Choice and Competition</t>
  </si>
  <si>
    <t>Le Grand, Julian;Lipsey, David;Enthoven, Alain</t>
  </si>
  <si>
    <t>HV248.L383 2007</t>
  </si>
  <si>
    <t>Schoolhouses, Courthouses, and Statehouses : Solving the Funding-Achievement Puzzle in America's Public Schools</t>
  </si>
  <si>
    <t>Hanushek, Eric A.;Lindseth, Alfred A.</t>
  </si>
  <si>
    <t>LB2825.H25 2009</t>
  </si>
  <si>
    <t>379.1/220973</t>
  </si>
  <si>
    <t>A Larger Sense of Purpose : Higher Education and Society</t>
  </si>
  <si>
    <t>Shapiro, Harold T.</t>
  </si>
  <si>
    <t>LC191.94.S48 2005</t>
  </si>
  <si>
    <t>Efficient Learning for the Poor : Insights from the Frontier of Cognitive Neuroscience</t>
  </si>
  <si>
    <t>World Bank</t>
  </si>
  <si>
    <t>World Bank Publications</t>
  </si>
  <si>
    <t>Herndon</t>
  </si>
  <si>
    <t>The World Bank</t>
  </si>
  <si>
    <t>Abadzi, Helen</t>
  </si>
  <si>
    <t>LC161 -- .A22 2006eb</t>
  </si>
  <si>
    <t>370.111091724;374/.012091724</t>
  </si>
  <si>
    <t>Literacy -- Developing countries. ; Functional literacy -- Developing countries. ; Learning -- Physiological aspects. ; Cognitive neuroscience -- Social aspects.</t>
  </si>
  <si>
    <t>Language, Literacy, and Learning in Primary Schools : Implications for Teacher Development Programs in Nigeria</t>
  </si>
  <si>
    <t>Adekola, Olatunde A.</t>
  </si>
  <si>
    <t>World Bank Working Paper</t>
  </si>
  <si>
    <t>LB1727 .N5 -- A34 2007eb</t>
  </si>
  <si>
    <t>370.71/1669</t>
  </si>
  <si>
    <t>Elementary school teachers -- Training of -- Nigeria. ; Education, Elementary -- Curricula -- Nigeria. ; Education, Elementary -- Nigeria.</t>
  </si>
  <si>
    <t>National Assessments of Educational Achievement, 2 : Developing Tests and Questionnaires for a National Assessment of Educational Achievement</t>
  </si>
  <si>
    <t>Anderson, Prue;Morgan, George</t>
  </si>
  <si>
    <t>LB3051 -- .A715 2008eb</t>
  </si>
  <si>
    <t>Educational evaluation -- United States. ; Educational tests and measurements -- United States.</t>
  </si>
  <si>
    <t>Developing the Workforce, Shaping the Future : Transformation of Madagascar's Post-basic Education</t>
  </si>
  <si>
    <t>Bashir, Sajitha</t>
  </si>
  <si>
    <t>LC67.M28 -- B37 2009eb</t>
  </si>
  <si>
    <t>370/.9691</t>
  </si>
  <si>
    <t>Education -- Economic aspects -- Madagascar. ; Educational change -- Madagascar. ; Education and state -- Madagascar. ; Labor supply -- Madagascar.</t>
  </si>
  <si>
    <t>Abolishing School Fees in Africa : Lessons Learned in Ethiopia, Ghana, Kenya and Mozambique</t>
  </si>
  <si>
    <t>Birger, Fredriksen;Craissati, Dina</t>
  </si>
  <si>
    <t>Africa Human Development Series</t>
  </si>
  <si>
    <t>LB2829.3.A35 -- A26 2009eb</t>
  </si>
  <si>
    <t>372.12/06</t>
  </si>
  <si>
    <t>Education, Elementary -- Africa -- Costs -- Case studies. ; School enrollment -- Africa -- Case studies. ; Education and state -- Africa -- Case studies.</t>
  </si>
  <si>
    <t>Evolving Regulatory Context for Private Education in Emerging Economies : Discussion Paper and Case Studies</t>
  </si>
  <si>
    <t>Bjarnason, Svava;Patrinos, Harry;Tan, Jee-Peng;Tan, Jee-Peng</t>
  </si>
  <si>
    <t>LB2806.36 -- .E96 2009eb</t>
  </si>
  <si>
    <t>Privatization in education -- Developing countries. ; Private schools -- Government policy -- Developing countries.</t>
  </si>
  <si>
    <t>Capacity Building in Economics Education and Research : Lessons Learned and Future Directions (Budapest Proceedings)</t>
  </si>
  <si>
    <t>Bourguignon, Francois;Pleskovic, Boris;Elkana, Yehuda</t>
  </si>
  <si>
    <t>HB74.9.D44 -- S25 2007eb</t>
  </si>
  <si>
    <t>Economics -- Study and teaching (Higher) -- Developing countries -- Congresses. ; Economics -- Research -- Developing countries -- Congresses. ; Economists -- Training of -- Developing countries -- Congresses.</t>
  </si>
  <si>
    <t>Rethinking School Feeding : Social Safety Nets, Child Development, and the Education Sector</t>
  </si>
  <si>
    <t>Bundy, Donald;Burbano, Carmen;Grosh, Margaret E.;Gelli, Aulo;Jukes, Matthew;Drake, Lesley</t>
  </si>
  <si>
    <t>Directions in Development</t>
  </si>
  <si>
    <t>LB3475 -- .R48 2009eb</t>
  </si>
  <si>
    <t>School children -- Food. ; Children -- Nutrition.</t>
  </si>
  <si>
    <t>Courage and Hope : Stories from Teachers Living with HIV in Sub-Saharan Africa</t>
  </si>
  <si>
    <t>Bundy, Donald;Aduda, David;Woolnough, Alice;Drake, Lesley;Manda, Stella</t>
  </si>
  <si>
    <t>RA643.86.A357 -- B86 2009eb</t>
  </si>
  <si>
    <t>362.196/979200967</t>
  </si>
  <si>
    <t>HIV-positive persons -- Africa, Sub-Saharan -- Social conditions. ; Teachers -- Africa, Sub-Saharan -- Social conditions. ; Teachers -- Health and hygiene -- Africa, Sub-Saharan.</t>
  </si>
  <si>
    <t>Vocational Education in the New EU Member States : Enhancing Labor Market Outcomes and Fiscal Efficiency</t>
  </si>
  <si>
    <t>Canning, Mary;Godfrey, Martin;Holzer-Zelazewska, Dorota</t>
  </si>
  <si>
    <t>LC1047.E852 -- C36 2007eb</t>
  </si>
  <si>
    <t>Vocational education -- Europe, Eastern. ; Vocational education -- European Union countries.</t>
  </si>
  <si>
    <t>Higher Education Financing in the New EU Member States : Leveling the Playing Field</t>
  </si>
  <si>
    <t>LC67.68.E85 -- C36 2007eb</t>
  </si>
  <si>
    <t>Education, Higher -- Economic aspects -- European Union countries. ; Universities and colleges -- European Union countries -- Finance.</t>
  </si>
  <si>
    <t>Enhancing China's Competitiveness through Lifelong Learning</t>
  </si>
  <si>
    <t>Dahlman, Carl J;Zeng, Douglas Zhihua;Wang, Shuilin</t>
  </si>
  <si>
    <t>LC5225.E25 -- D34 2007eb</t>
  </si>
  <si>
    <t>Continuing education -- Economic aspects -- China. ; Education and state -- China.</t>
  </si>
  <si>
    <t>Higher Education in Latin America : The International Dimension</t>
  </si>
  <si>
    <t>de Wit, Hans;Jaramillo, Isabel Cristina;Knight, Jane;Gacel-Avila, Jocelyne</t>
  </si>
  <si>
    <t>LA543 -- .H56 2005eb</t>
  </si>
  <si>
    <t>Education, Higher -- Latin America. ; Education and globalization -- Latin America. ; International cooperation.</t>
  </si>
  <si>
    <t>Meeting the Challenges of Secondary Education in Latin America and East Asia : Improving Efficiency and Resource Mobilization</t>
  </si>
  <si>
    <t>di Gropello, Emanuela;World Bank Staff</t>
  </si>
  <si>
    <t>LA542 -- .M44 2006eb</t>
  </si>
  <si>
    <t>Education, Secondary -- Latin America. ; Education, Secondary -- East Asia. ; Educational change -- Latin America. ; Educational change -- East Asia.</t>
  </si>
  <si>
    <t>Comparative Analysis of School-based Management in Central America</t>
  </si>
  <si>
    <t>di Gropello, Emanuela</t>
  </si>
  <si>
    <t>World Bank Working Paper, No. 72</t>
  </si>
  <si>
    <t>No. 72</t>
  </si>
  <si>
    <t>LA541 -- .D498 2006eb</t>
  </si>
  <si>
    <t>Education -- Latin America. ; Schools -- Decentralization -- Latin America.</t>
  </si>
  <si>
    <t>Linking Education Policy to Labor Market Outcomes</t>
  </si>
  <si>
    <t>Fasih, Tazeen</t>
  </si>
  <si>
    <t>HD5852 -- .F376 2008eb</t>
  </si>
  <si>
    <t>331.11/423091724</t>
  </si>
  <si>
    <t>Labor supply -- Education -- Developing countries. ; Economic development -- Effect of education on. ; Education -- Developing countries.</t>
  </si>
  <si>
    <t>Working Out of Poverty : Job Creation and the Quality of Growth in Africa</t>
  </si>
  <si>
    <t>Fox, Louise M.;Fox, Louise</t>
  </si>
  <si>
    <t>HD5837.A6 -- F69 2008eb</t>
  </si>
  <si>
    <t>Job creation -- Africa. ; Labor supply -- Africa. ; Labor market -- Africa. ; Africa -- Economic conditions.</t>
  </si>
  <si>
    <t>Achieving Better Service Delivery Through Decentralization in Ethiopia</t>
  </si>
  <si>
    <t>Garcia, Marito;Rajkumar, Andrew Sunil</t>
  </si>
  <si>
    <t>JQ3759.5.D42 -- G373 2008eb</t>
  </si>
  <si>
    <t>Decentralization in government -- Ethiopia. ; Public administration -- Ethiopia.</t>
  </si>
  <si>
    <t>Differentiation and Articulation in Tertiary Education Systems : A Study of Twelve Countries</t>
  </si>
  <si>
    <t>George, Subotzky;Ng'ethe, Njuguna;Afeti, George</t>
  </si>
  <si>
    <t>Africa Human Development Series, No. 145</t>
  </si>
  <si>
    <t>No. 145</t>
  </si>
  <si>
    <t>LA1503 -- .N54 2008eb</t>
  </si>
  <si>
    <t>Articulation (Education) -- Africa. ; Education, Higher -- Africa.</t>
  </si>
  <si>
    <t>Higher Education in Francophone Africa : What Tools Can Be Used to Support Financially-Sustainable Policies?</t>
  </si>
  <si>
    <t>Gioan, Pierre Antoine</t>
  </si>
  <si>
    <t>LB2342.2.A3543 -- G56 2007eb</t>
  </si>
  <si>
    <t>379.1/1809660917541</t>
  </si>
  <si>
    <t>Education, Higher -- Africa, French-speaking -- Finance. ; Education, Higher -- Economic aspects -- Africa, French-speaking.</t>
  </si>
  <si>
    <t>National Assessments of Educational Achievement, 1 : Assessing National Achievement Levels in Education</t>
  </si>
  <si>
    <t>Greaney, Vincent;Kellaghan, Thomas</t>
  </si>
  <si>
    <t>LB3051 -- .A7663 2008eb</t>
  </si>
  <si>
    <t>Educational tests and measurements. ; Educational evaluation.</t>
  </si>
  <si>
    <t>Toward a Better Future : Education and Training for Economic Development in Singapore since 1965</t>
  </si>
  <si>
    <t>Lee, Sing Kong;Goh, Chor Boon;Fredriksen, Birger</t>
  </si>
  <si>
    <t>LA1239.5 -- .T69 2008eb</t>
  </si>
  <si>
    <t>370.95957/09045</t>
  </si>
  <si>
    <t>Education -- Aims and objectives -- Singapore. ; Education -- Economic aspects -- Singapore. ; Vocational education -- Singapore. ; Singapore -- Economic conditions.</t>
  </si>
  <si>
    <t>Strategies for Sustainable Financing of Secondary Education in Sub-Saharan Africa</t>
  </si>
  <si>
    <t>Lewin, Keith M.</t>
  </si>
  <si>
    <t>LC67.58.A357 -- L48 2008eb</t>
  </si>
  <si>
    <t>379.1/130967</t>
  </si>
  <si>
    <t>Education, Secondary -- Economic aspects -- Africa, Sub-Saharan. ; Education, Secondary -- Africa, Sub-Saharan -- Finance. ; Sustainable development -- Africa, Sub-Saharan.</t>
  </si>
  <si>
    <t>Higher Education Quality Assurance in Sub-Saharan Africa : Status, Challenges, Opportunities, and Promising Practices</t>
  </si>
  <si>
    <t>Materu, Peter Nicolas</t>
  </si>
  <si>
    <t>World Bank Working Papers</t>
  </si>
  <si>
    <t>LA1503 -- .M345 2007eb</t>
  </si>
  <si>
    <t>Education, Higher -- Africa, Sub-Saharan. ; Total quality management in higher education -- Africa, Sub-Saharan. ; Quality assurance -- Africa, Sub-Saharan.</t>
  </si>
  <si>
    <t>Review of Risk Mitigation Instruments for Infrastructure : Financing and Recent Trends and Development</t>
  </si>
  <si>
    <t>Matsukawa, Tomoko;Habeck, Odo</t>
  </si>
  <si>
    <t>HC79.C3 -- M38 2007eb</t>
  </si>
  <si>
    <t>Infrastructure (Economics) -- Finance. ; Financial risk management. ; Financial instruments.</t>
  </si>
  <si>
    <t>Recruiting, Retaining, and Retraining Secondary School Teachers and Principals in Sub-Saharan Africa</t>
  </si>
  <si>
    <t>Mulkeen, Aidan;Chapman, David;DeJaeghere, Joan;Leu, Elizabeth</t>
  </si>
  <si>
    <t>LB1777.4.A357 -- R43 2007eb</t>
  </si>
  <si>
    <t>High school teachers -- Recruiting -- Africa, Sub-Saharan. ; Teacher turnover -- Africa, Sub-Saharan -- Prevention. ; High school teachers -- In-service training -- Africa, Sub-Saharan. ; High school teachers -- Job satisfaction -- Africa, Sub-Saharan. ; High school principals -- Recruiting -- Africa, Sub-Saharan. ; High school principals -- In-service training -- Africa, Sub-Saharan. ; High school principals -- Job satisfaction -- Africa, Sub-Saharan.</t>
  </si>
  <si>
    <t>Breaking the Barriers to Higher Economic Growth : Better Governance and Deeper Reforms in the Middle East and North Africa</t>
  </si>
  <si>
    <t>Nabli, Mustapha Kamel</t>
  </si>
  <si>
    <t>HC415.15 -- .N28 2007eb</t>
  </si>
  <si>
    <t>Economic development -- Political aspects -- Middle East. ; Economic development -- Political aspects -- Africa, North. ; Macroeconomics. ; Middle East -- Economic conditions. ; Africa, North -- Economic conditions. ; Middle East -- Economic policy. ; Africa, North -- Economic policy.</t>
  </si>
  <si>
    <t>Education Inputs in Uganda : An Analysis of Factors Influencing Learning Achievement in Grade Six</t>
  </si>
  <si>
    <t>Nannyonjo, Harriet</t>
  </si>
  <si>
    <t>LA1567</t>
  </si>
  <si>
    <t>World Bank. ; Education -- Uganda. ; Sixth grade (Education) -- Uganda.</t>
  </si>
  <si>
    <t>From Schooling Access to Learning Outcomes : An Unfinished Agenda - An Evaluation of World Bank Support to Primary Education</t>
  </si>
  <si>
    <t>Nielsen, H. Dean</t>
  </si>
  <si>
    <t>LC2608 -- .N53 2006eb</t>
  </si>
  <si>
    <t>379.1/291724</t>
  </si>
  <si>
    <t>World Bank -- Evaluation. ; Education, Elementary -- Developing countries. ; Education -- Developing countries -- Finance. ; Educational assistance -- Developing countries -- Evaluation.</t>
  </si>
  <si>
    <t>Developing Science, Mathematics, and ICT Education in Sub-Saharan Africa : Patterns and Promising Practices</t>
  </si>
  <si>
    <t>Ottevanger, Wout;van den Akker, Jan;de Feiter, Leo</t>
  </si>
  <si>
    <t>LB1028.3 -- .O88 2007eb</t>
  </si>
  <si>
    <t>Educational technology -- Africa, Sub-Saharan. ; High school teachers -- Training of -- Africa, Sub-Saharan. ; Education, Secondary -- Curricula -- Africa, Sub-Saharan. ; Science -- Study and teaching (Secondary) -- Africa, Sub-Saharan. ; Mathematics -- Study and teaching (Secondary) -- Africa, Sub-Saharan. ; Information technology -- Study and teaching (Secondary) -- Africa, Sub-Saharan.</t>
  </si>
  <si>
    <t>Role and Impact of Public-Private Partnerships in Education</t>
  </si>
  <si>
    <t>Patrinos, Harry Anhtony;Barrera-Osorio, Felipe;Guaqueta, Juliana;World Bank,</t>
  </si>
  <si>
    <t>LB2806.36 -- .P39 2009eb</t>
  </si>
  <si>
    <t>Privatization in education. ; Public-private sector cooperation.</t>
  </si>
  <si>
    <t>Mobilizing the Private Sector for Public Education : A View from the Trenches</t>
  </si>
  <si>
    <t>Patrinos, Harry Anthony;Sosale, Shobhana</t>
  </si>
  <si>
    <t>LC1085 -- .M63 2007eb</t>
  </si>
  <si>
    <t>371.19/5</t>
  </si>
  <si>
    <t>Business and education. ; Public-private sector cooperation.</t>
  </si>
  <si>
    <t>Emerging Evidence on Vouchers and Faith-Based Providers in Education : Case Studies from Africa, Latin America, and Asia</t>
  </si>
  <si>
    <t>Patrinos, Harry Anthony;Patrinos, Harry Anthony;Wodon, Quentin T.</t>
  </si>
  <si>
    <t>LB2828.7 -- .E47 2009eb</t>
  </si>
  <si>
    <t>379.1/110917242</t>
  </si>
  <si>
    <t>Educational vouchers -- Developing countries -- Case studies. ; Privatization in education -- Developing countries -- Case studies. ; Church schools -- Developing countries -- Case studies.</t>
  </si>
  <si>
    <t>Decentralized Decision-Making in Schools : The Theory and Evidence on School-Based Management</t>
  </si>
  <si>
    <t>Patrinos, Harry Anthony;Barrera-Osorio, Felipe;Fasih, Tazeen</t>
  </si>
  <si>
    <t>LB2862 -- .B37 2009eb</t>
  </si>
  <si>
    <t>379.1/535</t>
  </si>
  <si>
    <t>Schools -- Decentralization. ; School management and organization. ; Decision making.</t>
  </si>
  <si>
    <t>Promoting Social Cohesion through Education : Case Studies and Tools for Using Textbooks</t>
  </si>
  <si>
    <t>Roberts-Schweitzer, Eluned;Greaney, Vincent;Duer, Krezentia</t>
  </si>
  <si>
    <t>World Bank Institute Learning Resource</t>
  </si>
  <si>
    <t>LC1099 -- .P764 2006eb</t>
  </si>
  <si>
    <t>Multicultural education -- Case studies. ; Cultural pluralism in textbooks -- Case studies.</t>
  </si>
  <si>
    <t>Challenge of Establishing World Class Universities</t>
  </si>
  <si>
    <t>Salmi, Jamil</t>
  </si>
  <si>
    <t>LC67.6 -- .S25 2009eb</t>
  </si>
  <si>
    <t>Education, Higher -- Economic aspects. ; Economic development -- Effect of education on. ; Higher education and state. ; Education and globalization.</t>
  </si>
  <si>
    <t>Link Between Health, Social Issues, and Secondary Education : Life Skills, Health, and Civic Education</t>
  </si>
  <si>
    <t>Smith, Robert;Nesbakken, Guro;Wirak, Anders;Sonn, Brenda</t>
  </si>
  <si>
    <t>LC191.8.A42 -- L56 2007eb</t>
  </si>
  <si>
    <t>Education, Secondary -- Africa, Sub-Saharan. ; Youth -- Education (Secondary) -- Africa, Sub-Saharan. ; Youth -- Health and hygiene -- Africa, Sub-Saharan. ; Life skills -- Africa, Sub-Saharan.</t>
  </si>
  <si>
    <t>African Exploration of the East Asian Education Experience</t>
  </si>
  <si>
    <t>Tan, Jee-Peng;Peng, Tan Jee</t>
  </si>
  <si>
    <t>LA1141 -- .A37 2008eb</t>
  </si>
  <si>
    <t>Education Africa (Organization) ; Education -- East Asia -- Cross-cultural studies. ; Education and state -- East Asia -- Cross-cultural studies.</t>
  </si>
  <si>
    <t>Girl's Education in the 21st Century : Gender Equality, Empowerment and Growth</t>
  </si>
  <si>
    <t>Tembon, Mercy Miyang;Fort, Lucia</t>
  </si>
  <si>
    <t>LC2572 -- .G57 2008eb</t>
  </si>
  <si>
    <t>Educational equalization -- Developing countries. ; Women -- Education -- Economic aspects -- Developing countries. ; Women -- Education -- Developing countries.</t>
  </si>
  <si>
    <t>School Construction Strategies for Universal Primary Education in Africa : Should Communities Be Empowered to Build Their Schools?</t>
  </si>
  <si>
    <t>Theunynck, Serge;World Bank,</t>
  </si>
  <si>
    <t>LB3219.A357 -- T457 2008eb</t>
  </si>
  <si>
    <t>School buildings -- Africa, Sub-Saharan. ; School facilities -- Africa, Sub-Saharan. ; Education, Primary -- Africa, Sub-Saharan.</t>
  </si>
  <si>
    <t>Incentives to Improve Teaching : Lessons from Latin America</t>
  </si>
  <si>
    <t>Vegas, Emiliana</t>
  </si>
  <si>
    <t>LB2844.L29 -- I53 2005eb</t>
  </si>
  <si>
    <t>331.2/813711/0098</t>
  </si>
  <si>
    <t>Teachers -- Salaries, etc. -- Latin America -- Cross-cultural studies. ; Rewards and punishments in education -- Latin America -- Cross-cultural studies. ; School improvement programs -- Latin America -- Cross-cultural studies.</t>
  </si>
  <si>
    <t>Raising Student Learning in Latin America : The Challenge for the 21st Century</t>
  </si>
  <si>
    <t>Vegas, Emiliana;Petrow, Jenny</t>
  </si>
  <si>
    <t>Latin American Development Forum</t>
  </si>
  <si>
    <t>LB1062.6 -- .V43 2008eb</t>
  </si>
  <si>
    <t>Academic achievement -- Latin America. ; Basic education -- Latin America -- Evaluation.</t>
  </si>
  <si>
    <t>At the Crossroads : Choices for Secondary Education in Sub-Saharan Africa</t>
  </si>
  <si>
    <t>World Bank;Verspoor, Adriaan M.</t>
  </si>
  <si>
    <t>LA1502 -- .V47 2008eb</t>
  </si>
  <si>
    <t>Education, Secondary -- Africa, Sub-Saharan. ; Educational assistance -- Africa, Sub-Saharan.</t>
  </si>
  <si>
    <t>Teachers for Rural Schools : Experiences in Lesotho, Malawi, Mozambique, Tanzania, and Uganda</t>
  </si>
  <si>
    <t>World Bank;Chen, Dandan</t>
  </si>
  <si>
    <t>LC5148.A32 -- T43 2008eb</t>
  </si>
  <si>
    <t>Teachers -- Africa, Sub-Saharan. ; Rural schools -- Africa, Sub-Saharan. ; Education, Rural -- Africa, Sub-Saharan.</t>
  </si>
  <si>
    <t>Education in Sierra Leone : Present Challenges, Future Opportunities</t>
  </si>
  <si>
    <t>World Bank;World Bank</t>
  </si>
  <si>
    <t>LA1641 -- .W36 2006eb</t>
  </si>
  <si>
    <t>Education -- Sierra Leone. ; Sierra Leone.</t>
  </si>
  <si>
    <t>Challenge of Expanding Secondary Education and Training in Madagascar</t>
  </si>
  <si>
    <t>World Bank;Ramanantoanina, Patrick</t>
  </si>
  <si>
    <t>Africa Human Development Series, No. 141</t>
  </si>
  <si>
    <t>No. 141</t>
  </si>
  <si>
    <t>LA1792 -- .C48 2008eb</t>
  </si>
  <si>
    <t>Education, Secondary -- Madagascar. ; Vocational education -- Madagascar.</t>
  </si>
  <si>
    <t>Gender Equity in Junior and Senior Secondary Education in Sub-Saharan Africa</t>
  </si>
  <si>
    <t>LA1502 -- .S884 2008eb</t>
  </si>
  <si>
    <t>Education, Secondary -- Africa, Sub-Saharan. ; Girls -- Education (Secondary) -- Africa, Sub-Saharan. ; Sex differences in education -- Africa, Sub-Saharan.</t>
  </si>
  <si>
    <t>Textbooks and School Library Provision Secondary Education in Sub-Saharan Africa</t>
  </si>
  <si>
    <t>World Bank Working Paper, No. 126</t>
  </si>
  <si>
    <t>No. 126</t>
  </si>
  <si>
    <t>LB3048.A357 -- S43 2007eb</t>
  </si>
  <si>
    <t>373.13/20967</t>
  </si>
  <si>
    <t>Textbooks -- Africa, Sub-Saharan. ; High school libraries -- Africa, Sub-Saharan.</t>
  </si>
  <si>
    <t>Central America Education Strategy : An Agenda for Action</t>
  </si>
  <si>
    <t>LA436 -- .C46 2005eb</t>
  </si>
  <si>
    <t>370/.9728</t>
  </si>
  <si>
    <t>Education -- Central America. ; Central America.</t>
  </si>
  <si>
    <t>School and Work in the Eastern Caribbean : Does the Education System Adequately Prepare Youth for the Global Economy?</t>
  </si>
  <si>
    <t>World Bank;Hobbs, Cynthia</t>
  </si>
  <si>
    <t>LC92.C27 -- B56 2008eb</t>
  </si>
  <si>
    <t>Education and state -- Caribbean Area. ; Education -- Economic aspects -- Caribbean Area. ; Labor supply -- Effect of education on -- Caribbean Area.</t>
  </si>
  <si>
    <t>Transitions in Secondary Education in Sub-Saharan Africa : Equity and Efficiency Issues</t>
  </si>
  <si>
    <t>LC146.8.A357 -- T73 2007eb</t>
  </si>
  <si>
    <t>373.12/1967</t>
  </si>
  <si>
    <t>High school attendance -- Economic aspects -- Africa, Sub-Saharan. ; Educational equalization -- Africa, Sub-Saharan. ; Educational assistance -- Africa, Sub-Saharan.</t>
  </si>
  <si>
    <t>Toward High-quality Education in Peru : Standards, Accountability, and Capacity Building</t>
  </si>
  <si>
    <t>LA596 -- .T69 2007eb</t>
  </si>
  <si>
    <t>Education -- Peru. ; Educational indicators -- Peru.</t>
  </si>
  <si>
    <t>Education in Ethiopia : Strengthening the Foundation for Sustainable Progress</t>
  </si>
  <si>
    <t>LA1516 -- .E36 2005eb</t>
  </si>
  <si>
    <t>370/.963</t>
  </si>
  <si>
    <t>Education -- Ethiopia. ; Ethiopia.</t>
  </si>
  <si>
    <t>Accelerating Catch-up : Tertiary Education for Growth in Sub-Saharan Africa</t>
  </si>
  <si>
    <t>LC67.68.A357 -- A23 2008eb</t>
  </si>
  <si>
    <t>338.4/337868</t>
  </si>
  <si>
    <t>Education, Higher -- Economic aspects -- Africa, Sub-Saharan. ; Africa, Sub-Saharan -- Economic policy -- Effect of education on.</t>
  </si>
  <si>
    <t>Economics; Business/Management; Education</t>
  </si>
  <si>
    <t>Costs and Financing of Higher Education in Francophone Africa</t>
  </si>
  <si>
    <t>World Bank;Foko, Borel</t>
  </si>
  <si>
    <t>LB2342.2.A3543 -- B7613 2008eb</t>
  </si>
  <si>
    <t>Education, Higher -- Africa, French-speaking -- Finance.</t>
  </si>
  <si>
    <t>Curricula, Examinations, and Assessment in Secondary Education in Sub-Saharan Africa</t>
  </si>
  <si>
    <t>World Bank;Ottevanger, Wout;Akker, J. J. H</t>
  </si>
  <si>
    <t>LB1629.5.A357 -- L49 2007eb</t>
  </si>
  <si>
    <t>Education, Secondary -- Curricula -- Africa, Sub-Saharan. ; Educational tests and measurements -- Africa, Sub-Saharan.</t>
  </si>
  <si>
    <t>Governance, Management, and Accountability in Secondary Education in Sub-Saharan Africa</t>
  </si>
  <si>
    <t>LB2822.3.A35 -- W67 2006eb</t>
  </si>
  <si>
    <t>High schools -- Africa -- Administration. ; Education, Secondary -- Africa. ; School improvement programs -- Africa. ; Educational accountability -- Africa.</t>
  </si>
  <si>
    <t>Strengthening the Education Sector Response to HIV &amp; AIDS in the Caribbean</t>
  </si>
  <si>
    <t>RA643.86.C27 -- S76 2008eb</t>
  </si>
  <si>
    <t>362.196/9792009729</t>
  </si>
  <si>
    <t>AIDS (Disease) -- Caribbean Area. ; HIV infections -- Caribbean Area.</t>
  </si>
  <si>
    <t>How Universities Promote Economic Growth</t>
  </si>
  <si>
    <t>Yusuf, Shahid;Nabeshima, Kaoru</t>
  </si>
  <si>
    <t>LC1085 -- .H68 2006eb</t>
  </si>
  <si>
    <t>Business and education -- Congresses. ; Economic development -- Effect of education on -- Congresses. ; Technology transfer -- Congresses. ; Education and state -- Congresses.</t>
  </si>
  <si>
    <t>Academic Language/Literacy Strategies for Adolescents : A How-To Manual for Educators</t>
  </si>
  <si>
    <t>Hirai, Debra L. Cook;Borrego, Irene;Garza, Emilio;Kloock, Carl T</t>
  </si>
  <si>
    <t>LB1632 -- .A23 2010eb</t>
  </si>
  <si>
    <t>Language arts (Secondary) -- Handbooks, manuals, etc</t>
  </si>
  <si>
    <t>Asperger Syndrome : A Practical Guide for Teachers</t>
  </si>
  <si>
    <t>Cumine, Val;Dunlop, Julia;Stevenson, Gill</t>
  </si>
  <si>
    <t>RJ506.A9 -- C84 2010eb</t>
  </si>
  <si>
    <t>Autism in children</t>
  </si>
  <si>
    <t>Leading Learning : Process, Themes and Issues in International Contexts</t>
  </si>
  <si>
    <t>O'Donoghue, Tom;Clarke, Simon</t>
  </si>
  <si>
    <t>Leadership for Learning Series</t>
  </si>
  <si>
    <t>LB2805 -- .O335 2010eb</t>
  </si>
  <si>
    <t>Critical Pedagogies of Consumption : Living and Learning in the Shadow of the Shopocalypse</t>
  </si>
  <si>
    <t>Sandlin, Jennifer A.;McLaren, Peter</t>
  </si>
  <si>
    <t>LC66 -- .C74 2010eb</t>
  </si>
  <si>
    <t>Education and globalization - United States</t>
  </si>
  <si>
    <t>The Trouble with Higher Education : A Critical Examination of Our Universities</t>
  </si>
  <si>
    <t>Hussey, Trevor;Smith, Patrick</t>
  </si>
  <si>
    <t>LB2326.3 -- .H87 2010eb</t>
  </si>
  <si>
    <t>Education, Higher -- Research. ; Education, Higher -- Aims and objectives. ; Universities and colleges -- Research.</t>
  </si>
  <si>
    <t>A History of Children's Play and Play Environments : Toward a Contemporary Child-Saving Movement</t>
  </si>
  <si>
    <t>Frost, Joe L.</t>
  </si>
  <si>
    <t>LB1139.35.P55 -- F765 2010eb</t>
  </si>
  <si>
    <t>306.4/81</t>
  </si>
  <si>
    <t>Child development - United States</t>
  </si>
  <si>
    <t>Literacy and Power</t>
  </si>
  <si>
    <t>Janks, Hilary</t>
  </si>
  <si>
    <t>LC158.S6 -- J36 2010eb</t>
  </si>
  <si>
    <t>Multilingualism - South Africa</t>
  </si>
  <si>
    <t>Introducing Neuroeducational Research : Neuroscience, Education and the Brain from Contexts to Practice</t>
  </si>
  <si>
    <t>Howard Jones, Paul;Jones, Paul Howard</t>
  </si>
  <si>
    <t>QP408 -- .H695 2010eb</t>
  </si>
  <si>
    <t>Science: Anatomy/Physiology; Science; Science: Biology/Natural History</t>
  </si>
  <si>
    <t>Teaching by Numbers : Deconstructing the Discourse of Standards and Accountability in Education</t>
  </si>
  <si>
    <t>Maas Taubman, Peter;Savona, Ernesto</t>
  </si>
  <si>
    <t>LB2838 -- .T365 2009eb</t>
  </si>
  <si>
    <t>Educational accountability - United States</t>
  </si>
  <si>
    <t>Collaborative Home/School Interventions : Evidence-Based Solutions for Emotional, Behavioral, and Academic Problems</t>
  </si>
  <si>
    <t>Gimpel Peacock, Gretchen;Collett, Brent R.</t>
  </si>
  <si>
    <t>LC4031</t>
  </si>
  <si>
    <t>Children with disabilities -- Education -- United States. ; Home and school -- United States. ; Parent-teacher relationships -- United States.</t>
  </si>
  <si>
    <t>Metacognition, Strategy Use, and Instruction</t>
  </si>
  <si>
    <t>Waters, Harriet Salatas;Schneider, Wolfgang;Borkowski, John G.</t>
  </si>
  <si>
    <t>LB1062</t>
  </si>
  <si>
    <t>Cognitive learning. ; Creative thinking. ; Metacognition in children. ; Cognitive styles in children.</t>
  </si>
  <si>
    <t>Bringing Reading Research to Life</t>
  </si>
  <si>
    <t>McKeown, Margaret G.;Kucan, Linda</t>
  </si>
  <si>
    <t>LB1050.6 .B75</t>
  </si>
  <si>
    <t>428.407/2</t>
  </si>
  <si>
    <t>Reading -- Research</t>
  </si>
  <si>
    <t>Motivating Your Secondary Class</t>
  </si>
  <si>
    <t>Galton, Maurice J.;Steward, Susan;Hargreaves, Linda;Page, Charlotte;Pell, Anthony</t>
  </si>
  <si>
    <t>LB1737.G7 -- G358 2009eb</t>
  </si>
  <si>
    <t>Effective teaching - Great Britain</t>
  </si>
  <si>
    <t>Supporting Speech, Language and Communication Needs : Working with Students Aged 11 To 19</t>
  </si>
  <si>
    <t>Ripley, Kate;Barrett, Jenny</t>
  </si>
  <si>
    <t>LC3969.4 -- .R57 2008eb</t>
  </si>
  <si>
    <t>Teenagers with disabilities - Education</t>
  </si>
  <si>
    <t>Teachers under Pressure</t>
  </si>
  <si>
    <t>Galton, Maurice J.;MacBeath, John</t>
  </si>
  <si>
    <t>LB2840.2 -- .G35 2008eb</t>
  </si>
  <si>
    <t>Teachers - Workload</t>
  </si>
  <si>
    <t>Educating Children with Complex Conditions : Understanding Overlapping and Co-Existing Developmental Disorders</t>
  </si>
  <si>
    <t>Dittrich, Winand H.;Tutt, Rona</t>
  </si>
  <si>
    <t>LC4015 -- .D55 2008eb</t>
  </si>
  <si>
    <t>Children with disabilities - Education</t>
  </si>
  <si>
    <t>The New Work of Educational Leaders : Changing Leadership Practice in an Era of School Reform</t>
  </si>
  <si>
    <t>LB2805.G75</t>
  </si>
  <si>
    <t>Developing the Gifted and Talented Young Learner</t>
  </si>
  <si>
    <t>Sutherland, Margaret</t>
  </si>
  <si>
    <t>LC3993.218 -- .S878 2008eb</t>
  </si>
  <si>
    <t>Gifted children - Education (Primary) - Great Britain</t>
  </si>
  <si>
    <t>Education and Poverty in Affluent Countries</t>
  </si>
  <si>
    <t>Raffo, Carlo;Dyson, Alan;Gunter, Helen;Hall, Dave;Jones, Lisa;Kalambouka, Afroditi</t>
  </si>
  <si>
    <t>LC4065 -- .E38 2010eb</t>
  </si>
  <si>
    <t>Poverty -- Developed countries -- Cross-cultural studies</t>
  </si>
  <si>
    <t>Handbook of Latinos and Education : Theory, Research, and Practice</t>
  </si>
  <si>
    <t>Muñoz, Juan Sánchez;Machado-Casas, Margarita;Murillo Jr., Enrique G.;Muñoz, Juan Sánchez;Martínez, Corinne;Machado-Casas, Margarita</t>
  </si>
  <si>
    <t>LC2669$b.H36 2010</t>
  </si>
  <si>
    <t>Hispanic Americans - Education</t>
  </si>
  <si>
    <t>Raising the Achievement of All Pupils Within an Inclusive Setting : Practical Strategies for Developing Best Practice</t>
  </si>
  <si>
    <t>Wallace, Belle;Leyden, Sue;Montgomery, Diane;Winstanley, Carrie;Pomerantz, Michael;Fitton, Sally</t>
  </si>
  <si>
    <t>LC1203.G7 -- R35 2010eb</t>
  </si>
  <si>
    <t>Inclusive education -- Great Britain. ; Education -- Great Britain.</t>
  </si>
  <si>
    <t>Early Childhood Matters : Evidence from the Effective Pre-School and Primary Education Project</t>
  </si>
  <si>
    <t>Sylva, Kathy;Melhuish, Edward;Sammons, Pam;Siraj-Blatchford, Iram;Taggart, Brenda</t>
  </si>
  <si>
    <t>LB1140.25.E85 -- E27 2010eb</t>
  </si>
  <si>
    <t>Child development - Europe - Research</t>
  </si>
  <si>
    <t>Understanding Art Education : Engaging Reflexively with Practice</t>
  </si>
  <si>
    <t>Addison, Nicholas;Burgess, Lesley;Steers, John;Trowell, Jane</t>
  </si>
  <si>
    <t>N365.G7 -- U535 2010eb</t>
  </si>
  <si>
    <t>Design - Study and teaching (Secondary) - Great Britain</t>
  </si>
  <si>
    <t>Handbook of Public Pedagogy : Education and Learning Beyond Schooling</t>
  </si>
  <si>
    <t>Sandlin, Jennifer A.;Schultz, Brian D.;Burdick, Jake</t>
  </si>
  <si>
    <t>LC196 -- .H365 2010eb</t>
  </si>
  <si>
    <t>Handbook of Bullying in Schools : An International Perspective</t>
  </si>
  <si>
    <t>Jimerson, Shane R.;Swearer, Susan M.;Espelage, Dorothy L.</t>
  </si>
  <si>
    <t>LB3013.3 -- .H343 2010eb</t>
  </si>
  <si>
    <t>Educational leadership - Great Britain</t>
  </si>
  <si>
    <t>The Routledge International Handbook of the Sociology of Education</t>
  </si>
  <si>
    <t>Apple, Michael W.;Ball, Stephen J.;Gandin, Luís Armando</t>
  </si>
  <si>
    <t>LC191 -- .R684 2010eb</t>
  </si>
  <si>
    <t>Learning and Work and the Politics of Working Life : Global Transformations and Collective Identities in Teaching, Nursing and Social Work</t>
  </si>
  <si>
    <t>Seddon, Terri;Henriksson, Lea;Niemeyer, Beatrix</t>
  </si>
  <si>
    <t>LC5215 -- .S46 2010eb</t>
  </si>
  <si>
    <t>331.25/9</t>
  </si>
  <si>
    <t>Career education -- Cross-cultural studies</t>
  </si>
  <si>
    <t>A Guide to Authentic E-Learning</t>
  </si>
  <si>
    <t>Herrington, Jan;Reeves, Thomas C.;Oliver, Ron</t>
  </si>
  <si>
    <t>Connecting with E-Learning Series</t>
  </si>
  <si>
    <t>LB1044.87 -- .H47 2010eb</t>
  </si>
  <si>
    <t>Internet in education. ; Continuing education -- Computer-assisted instruction.</t>
  </si>
  <si>
    <t>The New Significance of Learning : Imagination's Heartwork</t>
  </si>
  <si>
    <t>Hogan, Pádraig;Hogan, Padraig</t>
  </si>
  <si>
    <t>LB14.7 -- .H645 2010eb</t>
  </si>
  <si>
    <t>Education - History</t>
  </si>
  <si>
    <t>Academic and Professional Identities in Higher Education : The Challenges of a Diversifying Workforce</t>
  </si>
  <si>
    <t>Whitchurch, Celia;Gordon, George</t>
  </si>
  <si>
    <t>LB1778 -- .A2 2010eb</t>
  </si>
  <si>
    <t>Scholars - Professional relationships</t>
  </si>
  <si>
    <t>Creating Drama with 4-7 Year Olds : Lesson Ideas to Integrate Drama into the Primary Curriculum</t>
  </si>
  <si>
    <t>Tandy, Miles;Howell, Jo</t>
  </si>
  <si>
    <t>PN3171 -- .T36 2010eb</t>
  </si>
  <si>
    <t>Drama - Study and teaching (Primary)</t>
  </si>
  <si>
    <t>Creating Drama with 7-11 Year Olds : Lesson Ideas to Integrate Drama into the Primary Curriculum</t>
  </si>
  <si>
    <t>David Fulton Publishers</t>
  </si>
  <si>
    <t>PN3171 -- .T365 2010eb</t>
  </si>
  <si>
    <t>Globalizing Education Policy</t>
  </si>
  <si>
    <t>Rizvi, Fazal;Lingard, Bob</t>
  </si>
  <si>
    <t>LC71 -- .R59 2010eb</t>
  </si>
  <si>
    <t>Education and state. ; Education and globalization.</t>
  </si>
  <si>
    <t>Persistent Inequality : Contemporary Realities in the Education of Undocumented Latina/o Students</t>
  </si>
  <si>
    <t>Pabon Lopez, Maria;Lopez, Gerardo R.</t>
  </si>
  <si>
    <t>LC2670.3 -- .L66 2010eb</t>
  </si>
  <si>
    <t>Latin American students - United States - Social conditions</t>
  </si>
  <si>
    <t>International Perspectives on the Goals of Universal Basic and Secondary Education</t>
  </si>
  <si>
    <t>Cohen, Joel E.;Malin, Martin B.</t>
  </si>
  <si>
    <t>LC1035 -- .I58 2010eb</t>
  </si>
  <si>
    <t>Basic education</t>
  </si>
  <si>
    <t>Home-School Connections in a Multicultural Society : Learning from and with Culturally and Linguistically Diverse Families</t>
  </si>
  <si>
    <t>Dantas, Maria Luiza;Manyak, Patrick C.</t>
  </si>
  <si>
    <t>LC40 -- .H6384 2010eb</t>
  </si>
  <si>
    <t>371.19/20973</t>
  </si>
  <si>
    <t>Bilingual education - United States</t>
  </si>
  <si>
    <t>Researching Sex and Lies in the Classroom : Allegations of Sexual Misconduct in Schools</t>
  </si>
  <si>
    <t>Sikes, Pat;Piper, Heather</t>
  </si>
  <si>
    <t>LB2844.1.C54 -- C63 2010eb</t>
  </si>
  <si>
    <t>371.7/86</t>
  </si>
  <si>
    <t>Child sexual abuse by teachers -- Great Britain. ; Teachers -- Professional ethics -- Great Britain. ; Teachers -- Complaints against -- Great Britain. ; Truthfulness and falsehood -- Great Britain.</t>
  </si>
  <si>
    <t>Philosophy of Education in the Era of Globalization</t>
  </si>
  <si>
    <t>Raley, Yvonne;Preyer, Gerhard</t>
  </si>
  <si>
    <t>LB14.7 -- .P545 2010eb</t>
  </si>
  <si>
    <t>Creating an Emotionally Healthy Classroom : Practical and Creative Literacy and Art Resources for Key Stage 2</t>
  </si>
  <si>
    <t>Gutteridge, Daphne;Smith, Vivien</t>
  </si>
  <si>
    <t>LB1072 -- .G88 2010eb</t>
  </si>
  <si>
    <t>Art -- Study and teaching (Elementary) -- Great Britain</t>
  </si>
  <si>
    <t>Industrial Relations in Education : Transforming the School Workforce</t>
  </si>
  <si>
    <t>Carter, Bob;Stevenson, Howard</t>
  </si>
  <si>
    <t>Routledge Studies in Employment and Work Relations in Context Series</t>
  </si>
  <si>
    <t>LC1085.4.G7 -- C37 2010eb</t>
  </si>
  <si>
    <t>371.19/50941</t>
  </si>
  <si>
    <t>Teachers - Professional relationships - Great Britain</t>
  </si>
  <si>
    <t>Global Crises, Social Justice, and Education</t>
  </si>
  <si>
    <t>Apple, Michael W.</t>
  </si>
  <si>
    <t>LC71 -- .G54 2010eb</t>
  </si>
  <si>
    <t>Social justice - Study and teaching</t>
  </si>
  <si>
    <t>A Principal's Guide to Literacy Instruction</t>
  </si>
  <si>
    <t>Beers, Carol S.;Beers, James W.;Smith, Jeffrey O.</t>
  </si>
  <si>
    <t>Tools for Teaching Literacy Series</t>
  </si>
  <si>
    <t>LC149.B44 2010</t>
  </si>
  <si>
    <t>Literacy. ; Interdisciplinary approach in education. ; General education.</t>
  </si>
  <si>
    <t>Helping Kids and Teens with ADHD in School : A Workbook for Classroom Support and Managing Transitions</t>
  </si>
  <si>
    <t>Edwards, Jason;Horstmann, Kate;Steer, Joanne</t>
  </si>
  <si>
    <t>LC4713.2.S74 2009</t>
  </si>
  <si>
    <t>Decision-Making, Personhood and Dementia : Exploring the Interface</t>
  </si>
  <si>
    <t>Baldwin, Clive;Donnelly, Sinead;Downs, Murna;O'Connor, Deborah;Purves, Barbara;Hulko, Wendy;Keady, John;Manthorpe, Jill;Harrigan, MaryLou;Hall, Marg</t>
  </si>
  <si>
    <t>RC521.D43 2009</t>
  </si>
  <si>
    <t>Activities for Adults with Learning Disabilities : Having Fun, Meeting Needs</t>
  </si>
  <si>
    <t>Sonnet, Helen;Taylor, Ann</t>
  </si>
  <si>
    <t>LC4818.S66 2009</t>
  </si>
  <si>
    <t>371.9/0475</t>
  </si>
  <si>
    <t>Learning disabled. ; Occupational therapy. ; Adult day care centers-Activity programs. ; Nursing homes-Recreational activities.</t>
  </si>
  <si>
    <t>Nonverbal Learning Disabilities at School : Educating Students with NLD, Asperger Syndrome and Related Conditions</t>
  </si>
  <si>
    <t>Tanguay, Pamela</t>
  </si>
  <si>
    <t>LC4704.5 -- .T36 2002eb</t>
  </si>
  <si>
    <t>Asperger's syndrome</t>
  </si>
  <si>
    <t>Education As Freedom : African American Educational Thought and Activism</t>
  </si>
  <si>
    <t>Lexington Books/Fortress Academic</t>
  </si>
  <si>
    <t>Anderson, Noel S.;Kharem, Haroon;Akom, A. A;Banks, Ojeya Cruz;Hurley, Eric A.;Johnson, Karen A.;King-Calnek, Judith;Perlstein, Daniel;Ross, Sabrina</t>
  </si>
  <si>
    <t>LC2741.E35 2009</t>
  </si>
  <si>
    <t>African Americans--Education--History. ; African American educators. ; Discrimination in education--United States--History.</t>
  </si>
  <si>
    <t>Beyond 2020 : Envisioning the Future of Universities in America</t>
  </si>
  <si>
    <t>Rowman &amp; Littlefield Publishers, Incorporated</t>
  </si>
  <si>
    <t>Darden, Mary Landon;Astin, Alexander;Astin, Helen;Box, Jay;System, Technical College;Vivian Bull, President Emerita;Carmody, John;Cloud, Robert C.;Fox, Karen;Gardner, H. Stephen</t>
  </si>
  <si>
    <t>LA198.D37 2009</t>
  </si>
  <si>
    <t>Education, Higher--United States--Forecasting.</t>
  </si>
  <si>
    <t>Activating Assessment for All Students : Differentiated Instruction and Information Methods in Math and Science</t>
  </si>
  <si>
    <t>Rowman &amp; Littlefield Education</t>
  </si>
  <si>
    <t>Hamm, Mary;Adams, Dennis</t>
  </si>
  <si>
    <t>Science - Study and teaching (Elementary)</t>
  </si>
  <si>
    <t>No Child Left Behind : Past, Present, and Future</t>
  </si>
  <si>
    <t>Hayes, William;Urbanski, Adam</t>
  </si>
  <si>
    <t>LB2806.22.H395 2008</t>
  </si>
  <si>
    <t>The Six Virtues of the Educated Person : Helping Kids to Learn, Schools to Succeed</t>
  </si>
  <si>
    <t>Hurley, Casey J.</t>
  </si>
  <si>
    <t>LA217.2.H866 2009</t>
  </si>
  <si>
    <t>Public schools--United States. ; Education and state--United States. ; Education--Philosophy.</t>
  </si>
  <si>
    <t>The Struggle for Identity in Today's Schools : Cultural Recognition in a Time of Increasing Diversity</t>
  </si>
  <si>
    <t>Jenlink, Patrick M.;Hicks Townes, Faye</t>
  </si>
  <si>
    <t>LC1099.3.S896 2009</t>
  </si>
  <si>
    <t>Multicultural education--United States. ; Group identity--United States. ; Recognition (Psychology).</t>
  </si>
  <si>
    <t>Introduction to Teaching : Helping Students Learn</t>
  </si>
  <si>
    <t>Rowman &amp; Littlefield Publishing Group, Inc.</t>
  </si>
  <si>
    <t>Johnson, James;Musial, Diann;Johnson, Annette;Cooper, Robb;Lockard, Jim</t>
  </si>
  <si>
    <t>LB1025.3.J62 2009</t>
  </si>
  <si>
    <t>Marcuse's Challenge to Education</t>
  </si>
  <si>
    <t>Kellner, Douglas</t>
  </si>
  <si>
    <t>LB885.M2473M37 2009</t>
  </si>
  <si>
    <t>Marcuse, Herbert, 1898-1979--Influence. ; Education--Philosophy. ; Critical pedagogy. ; Critical theory.</t>
  </si>
  <si>
    <t>The Dark Side of Educational Leadership : Superintendents and the Professional Victim Syndrome</t>
  </si>
  <si>
    <t>Polka, Walter S.;Litchka, Peter R.</t>
  </si>
  <si>
    <t>LB2831.72.P654 2008</t>
  </si>
  <si>
    <t>School superintendents - United States - Attitudes</t>
  </si>
  <si>
    <t>Building Strong Music Programs : A Handbook for Preservice and Novice Music Teachers</t>
  </si>
  <si>
    <t>Ryan, Charlene</t>
  </si>
  <si>
    <t>MT1.R95 2009</t>
  </si>
  <si>
    <t>780.71/2</t>
  </si>
  <si>
    <t>Music--Instruction and study.</t>
  </si>
  <si>
    <t>Experiencing Racism : Exploring Discrimination Through the Eyes of College Students</t>
  </si>
  <si>
    <t>MD</t>
  </si>
  <si>
    <t>Seltzer, Richard;Johnson, Nicole E.</t>
  </si>
  <si>
    <t>LC212.2.S45 2009</t>
  </si>
  <si>
    <t>Discrimination in education--United States. ; Minority college students--United States--Attitudes. ; African American college students--United States--Attitudes. ; College students, White--United States--Attitudes. ; Black people--Race identity--United States. ; Race discrimination--United States. ; College. (DE-588)4148217-7. ; Diskriminierung. (DE-588)4012472-1. ; Schwarze. (DE-588)4116433-7. ; College. ; Diskriminierung. ; USA. (DE-588)4078704-7. ; Schwarze. ; USA.</t>
  </si>
  <si>
    <t>Les Universités et la Ville Au Moyen Âge : Cohabitation et Tension</t>
  </si>
  <si>
    <t>Gilli, Patrick;Verger, Jacques;Le Blévec, Daniel</t>
  </si>
  <si>
    <t>LA627 .U55 2007</t>
  </si>
  <si>
    <t>Universities and colleges-Europe-History-To 1500. ; Community and college-Europe-History-To 1500.</t>
  </si>
  <si>
    <t>The Qurʾan, Morality and Critical Reason : The Essential Muhammad Shahrur</t>
  </si>
  <si>
    <t>Shahrur, Muhammad;Christmann, Andreas</t>
  </si>
  <si>
    <t>Social, Economic and Political Studies of the Middle East and Asia Series</t>
  </si>
  <si>
    <t>BP161.3 .S48213 2009</t>
  </si>
  <si>
    <t>Shaḥrūr, Muḥammad-Interviews. ; Islam. ; Islam-20th century. ; Muslim scholars-Interviews.</t>
  </si>
  <si>
    <t>Hyphenated Histories: Articulations of Central European Bildung and Slavic Studies in the Contemporary Academy</t>
  </si>
  <si>
    <t>Gow, Andrew Colin</t>
  </si>
  <si>
    <t>AZ182.H97 2007</t>
  </si>
  <si>
    <t>An Ethnography of Knowledge : The Production of Knowledge in Mupfurudzi Resettlement Scheme, Zimbabwe</t>
  </si>
  <si>
    <t>Mudege, Netsayi</t>
  </si>
  <si>
    <t>Afrika-Studiecentrum Series</t>
  </si>
  <si>
    <t>GN657.R5 M83 2008</t>
  </si>
  <si>
    <t>Ethnoscience-Zimbabwe-Shamva District. ; Human settlements-Zimbabwe-Shamva District. ; Land settlement-Zimbabwe-Shamva District. ; Traditional farming-Zimbabwe-Shamva District. ; Traditional ecological knowledge-Zimbabwe-Shamva District. ; Shamva District (Zimbabwe)-Social policy. ; Shamva District (Zimbabwe)-Economic policy.</t>
  </si>
  <si>
    <t>Teacher Collaboration for Professional Learning : Facilitating Study, Research, and Inquiry Communities</t>
  </si>
  <si>
    <t>Lassonde, Cynthia A.;Israel, Susan E.;Almasi, Janice F.</t>
  </si>
  <si>
    <t>LB1731 -- .T37 2009eb</t>
  </si>
  <si>
    <t>Teachers -- Professional relationships -- United States</t>
  </si>
  <si>
    <t>Preparing Principals for a Changing World : Lessons from Effective School Leadership Programs</t>
  </si>
  <si>
    <t>Darling-Hammond, Linda;Meyerson, Debra;LaPointe, Michelle;Orr, Margaret T.;Darling-Hammond, Linda</t>
  </si>
  <si>
    <t>LB2831.9 -- .P74 2010eb</t>
  </si>
  <si>
    <t>371.2/01207155</t>
  </si>
  <si>
    <t>School principals -- In-service training. ; Educational leadership.</t>
  </si>
  <si>
    <t>Concise Encyclopedia of Special Education : A Reference for the Education of the Handicapped and Other Exceptional Children and Adults</t>
  </si>
  <si>
    <t>Reynolds, Cecil R.;Fletcher-Janzen, Elaine;Fletcher-Janzen, Elaine</t>
  </si>
  <si>
    <t>LC4007 -- .E53 2002eb</t>
  </si>
  <si>
    <t>371.9/03</t>
  </si>
  <si>
    <t>Children with disabilities -- Education -- United States -- Encyclopedias. ; Special education -- United States -- Encyclopedias. ; People with disabilities -- Education -- United States -- Encyclopedias.</t>
  </si>
  <si>
    <t>The Complete Guide to Simulations and Serious Games : How the Most Valuable Content Will Be Created in the Age Beyond Gutenberg to Google</t>
  </si>
  <si>
    <t>Center for Creative Leadership</t>
  </si>
  <si>
    <t>Aldrich, Clark</t>
  </si>
  <si>
    <t>LB1029.S5 -- A43 2009eb</t>
  </si>
  <si>
    <t>371.39/7</t>
  </si>
  <si>
    <t>Simulated environment (Teaching method) ; Electronic games.</t>
  </si>
  <si>
    <t>The Classroom Teacher's Survival Guide : Practical Strategies, Management Techniques and Reproducibles for New and Experienced Teachers</t>
  </si>
  <si>
    <t>Partin, Ronald L.</t>
  </si>
  <si>
    <t>J-B Ed: Survival Guides</t>
  </si>
  <si>
    <t>LB3013 -- .P32 2009eb</t>
  </si>
  <si>
    <t>Classroom management -- Handbooks, manuals, etc. ; Teaching -- Handbooks, manuals, etc.</t>
  </si>
  <si>
    <t>Making RTI Work : How Smart Schools Are Reforming Education Through Schoolwide Response-To-Intervention</t>
  </si>
  <si>
    <t>Sailor, Wayne</t>
  </si>
  <si>
    <t>LB1029.R4 -- S235 2009eb</t>
  </si>
  <si>
    <t>Remedial teaching. ; School improvement programs.</t>
  </si>
  <si>
    <t>Disasters and Mental Health</t>
  </si>
  <si>
    <t>Lopez-Ibor, Juan José;Christodoulou, George;Sartorius, Norman;Okasha, Ahmed</t>
  </si>
  <si>
    <t>World Psychiatric Association Series</t>
  </si>
  <si>
    <t>RC451.4.D57D55 2005</t>
  </si>
  <si>
    <t>Post-traumatic stress disorder</t>
  </si>
  <si>
    <t>Strategies for Teaching Adolescents with ADHD : Effective Classroom Techniques Across the Content Areas, Grades 6-12</t>
  </si>
  <si>
    <t>DeRuvo, Silvia L.</t>
  </si>
  <si>
    <t>LC4713.2 -- .D47 2009eb</t>
  </si>
  <si>
    <t>Attention-deficit-disordered youth -- Education. ; Educational innovations. ; Interdisciplinary approach in education. ; Content area reading.</t>
  </si>
  <si>
    <t>Occupational Therapy and Vocational Rehabilitation</t>
  </si>
  <si>
    <t>Wiley-Interscience</t>
  </si>
  <si>
    <t>Ross, Joanne</t>
  </si>
  <si>
    <t>RM735.R65 2007</t>
  </si>
  <si>
    <t>Vocational rehabilitation</t>
  </si>
  <si>
    <t>Free for All : Fixing School Food in America</t>
  </si>
  <si>
    <t>Poppendieck, Janet</t>
  </si>
  <si>
    <t>California Studies in Food and Culture Series</t>
  </si>
  <si>
    <t>LB3479.U6P55 2010</t>
  </si>
  <si>
    <t>371.7/160973</t>
  </si>
  <si>
    <t>National school lunch program.</t>
  </si>
  <si>
    <t>William McGuffey : Mentor to American Industry</t>
  </si>
  <si>
    <t>Skrabec, Quentin R.</t>
  </si>
  <si>
    <t>LA2317.M2 -- S57 2009eb</t>
  </si>
  <si>
    <t>McGuffey, William Holmes, -- 1800-1873. ; Educators -- United States -- Biography. ; Moral education -- United States -- History. ; Readers -- History.</t>
  </si>
  <si>
    <t>Advances in Accounting Education : Teaching and Curriculum Innovations</t>
  </si>
  <si>
    <t>Schwartz, Bill;Catanach, Anthony H., Jr.</t>
  </si>
  <si>
    <t>Advances in Accounting Education Series</t>
  </si>
  <si>
    <t>HF5630.A28 2009</t>
  </si>
  <si>
    <t>Accounting -- Study and teaching. ; Business education.</t>
  </si>
  <si>
    <t>Engaging Children with Print : Building Early Literacy Skills Through Quality Read-Alouds</t>
  </si>
  <si>
    <t>Justice, Laura M.;Sofka, Amy E.</t>
  </si>
  <si>
    <t>LB1573.5.J87 2010</t>
  </si>
  <si>
    <t>372.45/2</t>
  </si>
  <si>
    <t>Oral reading. ; Reading (Early childhood) ; Children -- Books and reading.</t>
  </si>
  <si>
    <t>Working with Families of Young Children with Special Needs</t>
  </si>
  <si>
    <t>McWilliam, R. A.</t>
  </si>
  <si>
    <t>LC4019.3</t>
  </si>
  <si>
    <t>Children with disabilities -- Education (Early childhood) ; Early childhood special education. ; Early childhood education -- Parent participation.</t>
  </si>
  <si>
    <t>The University Against Itself : The NYU Strike and the Future of the Academic Workplace</t>
  </si>
  <si>
    <t>Krause, Monika;Nolan, Mary;Palm, Michael;Ross, Andrew</t>
  </si>
  <si>
    <t>Asian American History and Cultu Series</t>
  </si>
  <si>
    <t>LB2335.845.U52 N53 2008</t>
  </si>
  <si>
    <t>378.747/1</t>
  </si>
  <si>
    <t>New York University-Faculty. ; Strikes and lockouts-Graduate teaching assistants-New York (State)-New York.</t>
  </si>
  <si>
    <t>Saving Alma Mater : A Rescue Plan for America's Public Universities</t>
  </si>
  <si>
    <t>Garland, James C.</t>
  </si>
  <si>
    <t>LB2342</t>
  </si>
  <si>
    <t>378.1/060973</t>
  </si>
  <si>
    <t>Public universities and colleges -- United States -- Finance.</t>
  </si>
  <si>
    <t>Sex and the Soul : Juggling Sexuality, Spirituality, Romance, and Religion on America's College Campuses</t>
  </si>
  <si>
    <t>Freitas, Donna;Winner, Lauren</t>
  </si>
  <si>
    <t>BL625.9.C64 -- F74 2008eb</t>
  </si>
  <si>
    <t>205/.66</t>
  </si>
  <si>
    <t>College students -- Religious life -- United States. ; Church college students -- Religious life -- United States. ; College students -- Sexual behavior -- United States. ; Church college students -- Sexual behavior -- United States.</t>
  </si>
  <si>
    <t>Closed Minds? : Politics and Ideology in American Universities</t>
  </si>
  <si>
    <t>Smith, Bruce;Mayer, Jeremy D.;Fritschler, A. Lee</t>
  </si>
  <si>
    <t>LC173.S59 2008</t>
  </si>
  <si>
    <t>Education, Higher - Political aspects - United States</t>
  </si>
  <si>
    <t>When Mayors Take Charge : School Governance in the City</t>
  </si>
  <si>
    <t>Viteritti, Joseph P.</t>
  </si>
  <si>
    <t>LB2817.3.W47 2009</t>
  </si>
  <si>
    <t>379.1/530973</t>
  </si>
  <si>
    <t>School districts - United States - Administration</t>
  </si>
  <si>
    <t>Parents' and Carers' Guide for Able and Talented Children</t>
  </si>
  <si>
    <t>Teare, Barry;Teare, Barry;Teare, Barry</t>
  </si>
  <si>
    <t>LC3997.G7T43 2004</t>
  </si>
  <si>
    <t>Gifted children -- Education -- Great Britain -- Handbooks, manuals, etc. ; Education -- Great Britain.</t>
  </si>
  <si>
    <t>Advances in Language and Education</t>
  </si>
  <si>
    <t>McCabe, Anne;O'Donnell, Mick;Whittaker, Rachel</t>
  </si>
  <si>
    <t>P40.8.A36 2009</t>
  </si>
  <si>
    <t>370.1/4</t>
  </si>
  <si>
    <t>Learning Cultures in Online Education</t>
  </si>
  <si>
    <t>Goodfellow, Robin;Lamy, Marie-Noëlle;Goodfellow, Robin;Lamy, Marie-No Lle</t>
  </si>
  <si>
    <t>LC1099.L38 2009</t>
  </si>
  <si>
    <t>Multicultural education. ; Distance education -- Social aspects.</t>
  </si>
  <si>
    <t>Foreign Language Learning with Digital Technology</t>
  </si>
  <si>
    <t>Evans, Michael;Brindley, Sue</t>
  </si>
  <si>
    <t>P53.28.F67 2009</t>
  </si>
  <si>
    <t>Language and languages -- Computer-assisted instruction. ; Language and languages -- Study and teaching -- Technological innovations.</t>
  </si>
  <si>
    <t>Language/Linguistics; History</t>
  </si>
  <si>
    <t>Problem Solver Guide for Students with ADHD : Ready-to-Use Interventions for Elementary and Secondary Students</t>
  </si>
  <si>
    <t>Specialty Press/A.D.D. Warehouse</t>
  </si>
  <si>
    <t>Plantation</t>
  </si>
  <si>
    <t>Parker, Harvey C.</t>
  </si>
  <si>
    <t>LC4713.2 -- .P27 2000eb</t>
  </si>
  <si>
    <t>Attention-deficit hyperactivity disorder -- Handbooks, manuals, etc. ; Attention-deficit-disordered children -- Education -- Handbooks, manuals, etc. ; Attention-deficit-disordered youth -- Education -- Handbooks, manuals, etc.</t>
  </si>
  <si>
    <t>Freedom Song : Young Voices and the Struggle for Civil Rights</t>
  </si>
  <si>
    <t>Turck, Mary C.</t>
  </si>
  <si>
    <t>E185.61 -- .T845 2009eb</t>
  </si>
  <si>
    <t>Chicago Children's Choir -- History -- Juvenile literature. ; Freedom Singers -- History -- Juvenile literature. ; African Americans -- Civil rights -- History -- 20th century -- Juvenile literature. ; Civil rights movements -- United States -- History -- 20th century -- Juvenile literature. ; Youth -- Political activity -- United States -- History -- 20th century -- Juvenile literature. ; African Americans -- Music -- Political aspects -- History -- 20th century -- Juvenile literature. ; Music -- Political aspects -- United States -- History -- 20th century -- Juvenile literature.</t>
  </si>
  <si>
    <t>Political Science; History</t>
  </si>
  <si>
    <t>Designing a School Library Media Center for the Future : Second Edition</t>
  </si>
  <si>
    <t>ALA Editions</t>
  </si>
  <si>
    <t>Erikson, Rolf;Markuson, Carolyn;Miller, Ellen G.</t>
  </si>
  <si>
    <t>Z</t>
  </si>
  <si>
    <t>Instructional materials centers -- United States -- Design and construction. ; Instructional materials centers -- United States -- Automation. ; School libraries -- United States -- Design and construction. ; School libraries -- United States -- Automation.</t>
  </si>
  <si>
    <t>Of Reynaert the Fox : Text and Facing Translation of the Middle Dutch Beast Epic Van den vos Reynaerde</t>
  </si>
  <si>
    <t>Bouwman, Andre;Besamusca, Bart</t>
  </si>
  <si>
    <t>PT5583.A2 -- B68 2009eb</t>
  </si>
  <si>
    <t>Reinaert. ; Reynard the Fox (Legendary character)</t>
  </si>
  <si>
    <t>Jacob van Maerlant : docentenhandleiding</t>
  </si>
  <si>
    <t>van Oostrom, F.P.;Biesheuvel, Ingrid</t>
  </si>
  <si>
    <t>Tekst in context, 2</t>
  </si>
  <si>
    <t>PT5571 -- .B54 2009eb</t>
  </si>
  <si>
    <t>370;839.31</t>
  </si>
  <si>
    <t>Maerlant, Jacob van, -- 1235?-1300 -- Criticism and interpretation. ; Authors, Dutch -- Biography.</t>
  </si>
  <si>
    <t>Hermes in the Academy : Ten Years' Study of Western Esotericism at the University of Amsterdam</t>
  </si>
  <si>
    <t>Hanegraaff, Wouter;Pijnenburg, Joyce</t>
  </si>
  <si>
    <t>BF1611 -- .H36 2009eb</t>
  </si>
  <si>
    <t>135.45;791.43</t>
  </si>
  <si>
    <t>Universiteit van Amsterdam. -- Geschiedenis van de Hermetische Filosofie en Verwante Stromingen. ; Hermetism.</t>
  </si>
  <si>
    <t>Philosophy; Fine Arts</t>
  </si>
  <si>
    <t>Leren of ontberen? : Over onderwijsinstituties en ongelijkheid</t>
  </si>
  <si>
    <t>van de Werfhorst, Herman G.</t>
  </si>
  <si>
    <t>LC191.8.N4 -- W47 2008eb</t>
  </si>
  <si>
    <t>Educational sociology -- Netherlands. ; Social stratification -- Netherlands. ; Educational equalization -- Netherlands.</t>
  </si>
  <si>
    <t>Los Angeles, CA</t>
  </si>
  <si>
    <t>Jeff Kolby</t>
  </si>
  <si>
    <t>LB2367.4 -- .K653 2009eb</t>
  </si>
  <si>
    <t>Effective Programs for Latino Students</t>
  </si>
  <si>
    <t>Slavin, Robert E.;Calder¢n, Margarita;Calderon, Margarita</t>
  </si>
  <si>
    <t>LC2669 -- .E44 2000eb</t>
  </si>
  <si>
    <t>Hispanic American students. ; Education, Bilingual -- United States.</t>
  </si>
  <si>
    <t>Teaching Secondary English : Readings and Applications</t>
  </si>
  <si>
    <t>Sheridan, Daniel;Sheridan,  Daniel P.</t>
  </si>
  <si>
    <t>LB1631 -- .T33 2001eb</t>
  </si>
  <si>
    <t>428/.0071/273</t>
  </si>
  <si>
    <t>English language -- Study and teaching (Secondary) -- United States. ; Language arts (Secondary) -- United States. ; English language -- Composition and exercises -- Study and teaching (Secondary) -- United States. ; English literature -- Study and teaching (Secondary) -- United States.</t>
  </si>
  <si>
    <t>Queer Theory in Education</t>
  </si>
  <si>
    <t>Pinar, William F.</t>
  </si>
  <si>
    <t>LC192.6 -- .Q84 1998eb</t>
  </si>
  <si>
    <t>Homosexuality and education. ; Gays -- Identity. ; Lesbians -- Identity. ; Gay and lesbian studies. ; Queer theory.</t>
  </si>
  <si>
    <t>Schooling Students Placed at Risk : Research, Policy, and Practice in the Education of Poor and Minority Adolescents</t>
  </si>
  <si>
    <t>Sanders, Mavis G.;Balfanz, Robert;Cooper, Robert</t>
  </si>
  <si>
    <t>LC4069.4 -- .S35 2000eb</t>
  </si>
  <si>
    <t>Students with social disabilities -- Education (Secondary) -- United States. ; Minorities -- Education (Secondary) -- United States.</t>
  </si>
  <si>
    <t>Inside Multi-Media Case Based Instruction</t>
  </si>
  <si>
    <t>P53.28 -- .I57 1998eb</t>
  </si>
  <si>
    <t>418/.00285</t>
  </si>
  <si>
    <t>Language and languages -- Computer-assisted instruction. ; Language and languages -- Study and teaching.</t>
  </si>
  <si>
    <t>Improving Student Achievement : What State NAEP Test Scores Tell Us</t>
  </si>
  <si>
    <t>Grissmer, David W.;Wilson, Peter A.;Mussington, B. David</t>
  </si>
  <si>
    <t>LB2822.82 -- .I49 2000eb</t>
  </si>
  <si>
    <t>371.26/0973</t>
  </si>
  <si>
    <t>School improvement programs -- Government policy -- United States -- States. ; Academic achievement -- Government policy -- United States -- States. ; Academic achievement -- United States -- States -- Evaluation. ; Educational tests and measurements -- United States -- States -- Statistics.</t>
  </si>
  <si>
    <t>States of Emergency : The Object of American Studies</t>
  </si>
  <si>
    <t>Castronovo, Russ;Gillman, Susan</t>
  </si>
  <si>
    <t>E169.1 -- .S76845 2009eb</t>
  </si>
  <si>
    <t>United States -- History. ; United States -- Civilization. ; United States -- Study and teaching.</t>
  </si>
  <si>
    <t>Hello Professor : A Black Principal and Professional Leadership in the Segregated South</t>
  </si>
  <si>
    <t>Walker, Vanessa Siddle;Byas, Ulysses</t>
  </si>
  <si>
    <t>LA2317.B795 -- S57 2009eb</t>
  </si>
  <si>
    <t>371.2/012092 B</t>
  </si>
  <si>
    <t>Byas, Ulysses. ; African American school principals -- Georgia -- Gainesville -- Biography. ; Public schools -- Georgia -- Gainesville. ; African American students -- Georgia -- Gainesville -- Social conditions. ; Segregation in education -- Georgia -- Gainesville. ; Racism in education -- Georgia -- Gainesville. ; Discrimination in education -- Georgia -- Gainesville.</t>
  </si>
  <si>
    <t>European Journalism Education</t>
  </si>
  <si>
    <t>Terzis, Georgios</t>
  </si>
  <si>
    <t>PN4793. E85E97 2009</t>
  </si>
  <si>
    <t>Journalism -- Study and teaching (Higher) -- Europe. ; Journalism -- Study and teaching -- Europe.</t>
  </si>
  <si>
    <t>Charter Schools in Action : Renewing Public Education</t>
  </si>
  <si>
    <t>Finn, Chester E., Jr.;Manno, Bruno V.;Vanourek, Gregg;Finn, Chester E.</t>
  </si>
  <si>
    <t>LB2806.36.F527 2000</t>
  </si>
  <si>
    <t>IFLA Cataloguing Principles : The Statement of International Cataloguing Principles (ICP) and Its Glossary. in 20 Languages</t>
  </si>
  <si>
    <t>Tillett, Barbara;Cristán, Ana Lupe;Cristán, Ana Lupe</t>
  </si>
  <si>
    <t>Z693.3.S72 -- I567 2009eb</t>
  </si>
  <si>
    <t>Cataloging -- Standards. ; Descriptive cataloging -- Standards.</t>
  </si>
  <si>
    <t>The Age Factor and Early Language Learning</t>
  </si>
  <si>
    <t>Nikolov, Marianne</t>
  </si>
  <si>
    <t>P118.65.A38 2009</t>
  </si>
  <si>
    <t>Language acquisition -- Age factors. ; Second language acquisition. ; Language and languages -- Study and teaching. ; Bilingualism in children.</t>
  </si>
  <si>
    <t>Changing the Trajectory : Education and Training for Youth in Democratic Republic of Congo</t>
  </si>
  <si>
    <t>LA1912 -- .B37 2009eb</t>
  </si>
  <si>
    <t>Education -- Congo (Democratic Republic) ; Youth -- Congo (Democratic Republic)</t>
  </si>
  <si>
    <t>National Assessments of Educational Achievement, 5 : Using the Results of a National Assessment of Educational Achievement</t>
  </si>
  <si>
    <t>Kellaghan, Thomas;Greaney, Vincent;Murray, Scott</t>
  </si>
  <si>
    <t>National Assessments of Educational Achievement</t>
  </si>
  <si>
    <t>LB3051 -- .K189 2009eb</t>
  </si>
  <si>
    <t>Educational tests and measurements. ; Achievement tests. ; Education and state.</t>
  </si>
  <si>
    <t>Teachers in Anglophone Africa : Issues in Teacher Supply, Training, and Management</t>
  </si>
  <si>
    <t>Mulkeen, Aidan</t>
  </si>
  <si>
    <t>LB1727.A357 -- M85 2010eb</t>
  </si>
  <si>
    <t>Teachers -- Training of -- Africa, Sub-Saharan -- Case studies. ; Education -- Africa, Sub-Saharan -- Case studies.</t>
  </si>
  <si>
    <t>Multigrade Teaching in Sub-Saharan Africa : Lessons from Uganda, Senegal, and The Gambia</t>
  </si>
  <si>
    <t>Mulkeen, Aidan;Higgins, Cathal</t>
  </si>
  <si>
    <t>LB1029.C53 -- M856 2009eb</t>
  </si>
  <si>
    <t>371.2/50967</t>
  </si>
  <si>
    <t>Combination of grades -- Africa, Sub-Saharan -- Case studies. ; Education -- Africa, Sub-Saharan -- Case studies.</t>
  </si>
  <si>
    <t>Children's Lives, Children's Futures : A Study of Children Starting Secondary School</t>
  </si>
  <si>
    <t>Croll, Paul;Attwood, Gaynor;Fuller, Carol;Haynes, Anthony</t>
  </si>
  <si>
    <t>LA635.C77 2010</t>
  </si>
  <si>
    <t>Education, Secondary -- Great Britain -- Case studies. ; School children -- Great Britain -- Case studies. ; Social adjustment -- Great Britain -- Case studies.</t>
  </si>
  <si>
    <t>Social Realism, Knowledge and the Sociology of Education : Coalitions of the Mind</t>
  </si>
  <si>
    <t>Maton, Karl;Moore, Rob;Maton, Karl;Moore, Rob;Moore, Rob;Muller, Johan;Wheelahan, Leesa;Young, Michael F. D.</t>
  </si>
  <si>
    <t>LC191 -- .S6565 2010eb</t>
  </si>
  <si>
    <t>Educational sociology. ; Education -- Curricula. ; Constructivism (Education)</t>
  </si>
  <si>
    <t>Equality in the Primary School : Promoting Good Practice Across the Curriculum</t>
  </si>
  <si>
    <t>Hill, Dave;Robertson, Leena Helavaara</t>
  </si>
  <si>
    <t>LC4704.74.E78 2009</t>
  </si>
  <si>
    <t>Education, Elementary -- Social aspects -- Great Britain. ; Educational equalization -- Great Britain. ; Education and state -- Great Britain. ; Neoliberalism -- Great Britain.</t>
  </si>
  <si>
    <t>Equality in the Secondary School : Promoting Good Practice Across the Curriculum</t>
  </si>
  <si>
    <t>Cole, Mike</t>
  </si>
  <si>
    <t>LC213.3.G7E79 2009</t>
  </si>
  <si>
    <t>379.2/60951</t>
  </si>
  <si>
    <t>Discrimination in education -- Great Britain. ; Educational equalization -- Great Britain. ; Education, Secondary -- Great Britain.</t>
  </si>
  <si>
    <t>Education after Dewey</t>
  </si>
  <si>
    <t>Fairfield, Paul</t>
  </si>
  <si>
    <t>LB14.7.F33 2009</t>
  </si>
  <si>
    <t>Dewey, John, -- 1859-1952. ; Education -- Philosophy. ; Education -- Aims and objectives. ; Education, Humanistic.</t>
  </si>
  <si>
    <t>Lifelong Learning and Development : A Southern Perspective</t>
  </si>
  <si>
    <t>Preece, Julia;Haynes, Anthony</t>
  </si>
  <si>
    <t>LC5261.P74 2009</t>
  </si>
  <si>
    <t>338.4/337491724</t>
  </si>
  <si>
    <t>Adult education -- Economic aspects -- Developing countries. ; Adult education -- Economic aspects -- Southern Hemisphere. ; Continuing education -- Economic aspects -- Developing countries. ; Continuing education -- Economic aspects -- Southern Hemisphere.</t>
  </si>
  <si>
    <t>Using the Medical Model in Education : Can Pills Make You Clever?</t>
  </si>
  <si>
    <t>RM334 -- .T87 2010eb</t>
  </si>
  <si>
    <t>Nootropic agents. ; Education. ; Intellect. ; Neuropsychology.</t>
  </si>
  <si>
    <t>Medicine; Pharmacy</t>
  </si>
  <si>
    <t>Milwaukees Jesuit University : Marquette, 1881-1981</t>
  </si>
  <si>
    <t>Marquette University Press</t>
  </si>
  <si>
    <t>Milwaukee</t>
  </si>
  <si>
    <t>Jablonsky, Thomas J.</t>
  </si>
  <si>
    <t>Urban Life</t>
  </si>
  <si>
    <t>LD3231.M542 -- J33 2007eb</t>
  </si>
  <si>
    <t>378.775/95</t>
  </si>
  <si>
    <t>Botánica -- Publicaciones periódicas. ; Plantas -- Publicaciones periódicas. ; Botany -- Periodicals. ; Plants -- Periodicals. ; Botanica -- Publicaciones periodicas ; Libros electronicos.</t>
  </si>
  <si>
    <t>Mathematics Education: The Singapore Journey</t>
  </si>
  <si>
    <t>Khoon Yoong Wong;Peng Yee Lee;Berinderjeet Kaur;Pui Yee Foong;Swee Fong Ng</t>
  </si>
  <si>
    <t>QA14.S55M38 2009</t>
  </si>
  <si>
    <t>Mathematics -- Study and teaching -- Singapore</t>
  </si>
  <si>
    <t>Creating Interdisciplinary Campus Cultures : A Model for Strength and Sustainability</t>
  </si>
  <si>
    <t>Klein, Julie Thompson;Schneider, Carol Geary</t>
  </si>
  <si>
    <t>LB2361.5 -- .K54 2010eb</t>
  </si>
  <si>
    <t>378.1/99</t>
  </si>
  <si>
    <t>Interdisciplinary approach in education -- United States</t>
  </si>
  <si>
    <t>Life Skills Activities for Secondary Students with Special Needs</t>
  </si>
  <si>
    <t>Mannix, Darlene</t>
  </si>
  <si>
    <t>HV1569.3.Y68 -- M363 2009eb</t>
  </si>
  <si>
    <t>Teenagers with disabilities -- United States -- Life skills guides. ; Life skills -- Study and teaching (Secondary) -- United States.</t>
  </si>
  <si>
    <t>Planet U : Sustaining the World, Reinventing the University</t>
  </si>
  <si>
    <t>M'Gonigle, Michael;Starke, Justine</t>
  </si>
  <si>
    <t>LC189 -- .M48 2006eb</t>
  </si>
  <si>
    <t>Education, Higher - Social aspects</t>
  </si>
  <si>
    <t>Education; Architecture</t>
  </si>
  <si>
    <t>Weapons of Mass Instruction : A Schoolteacher's Journey Through the Dark World of Compulsory Schooling</t>
  </si>
  <si>
    <t>Gatto, John Taylor</t>
  </si>
  <si>
    <t>LC131 -- .G38 2009eb</t>
  </si>
  <si>
    <t>Education, Compulsory</t>
  </si>
  <si>
    <t>Indoctrination U : The Lefts War Against Academic Freedom</t>
  </si>
  <si>
    <t>Encounter Books</t>
  </si>
  <si>
    <t>Horowitz, David</t>
  </si>
  <si>
    <t>LC72.2 -- .H67 2007eb</t>
  </si>
  <si>
    <t>Academic freedom - United States</t>
  </si>
  <si>
    <t>Wisdom and the Well-Rounded Life : What Is a University?</t>
  </si>
  <si>
    <t>Fulcrum Publishing</t>
  </si>
  <si>
    <t>Golden</t>
  </si>
  <si>
    <t>Milward, Peter</t>
  </si>
  <si>
    <t>LB2322.2 -- .M55 2009eb</t>
  </si>
  <si>
    <t>Education, Higher -- Philosophy.</t>
  </si>
  <si>
    <t>The Power and Promise of Humane Education</t>
  </si>
  <si>
    <t>Weil, Zoe</t>
  </si>
  <si>
    <t>LC268 -- .W43 2004eb</t>
  </si>
  <si>
    <t>Humane education</t>
  </si>
  <si>
    <t>The Great American University : Its Rise to Preeminence, Its Indispensable National Role, Why It Must Be Protected</t>
  </si>
  <si>
    <t>Hachette Subscription Only</t>
  </si>
  <si>
    <t>PublicAffairs</t>
  </si>
  <si>
    <t>Cole, Jonathan R.</t>
  </si>
  <si>
    <t>LA227.4 -- .C64 2009eb</t>
  </si>
  <si>
    <t>Universities and colleges -- United States. ; Research and development projects -- United States.</t>
  </si>
  <si>
    <t>Oral History for the Qualitative Researcher : Choreographing the Story</t>
  </si>
  <si>
    <t>Janesick, Valerie J.</t>
  </si>
  <si>
    <t>D16.14.J36 2010</t>
  </si>
  <si>
    <t>Oral history. ; Qualitative research.</t>
  </si>
  <si>
    <t>General Works/Reference; History</t>
  </si>
  <si>
    <t>Rethinking Learning Disabilities : Understanding Children Who Struggle in School</t>
  </si>
  <si>
    <t>Waber, Deborah Paula</t>
  </si>
  <si>
    <t>LC4704</t>
  </si>
  <si>
    <t>Learning disabled children -- Education. ; Learning disabilities.</t>
  </si>
  <si>
    <t>The Anthropology of Learning in Childhood</t>
  </si>
  <si>
    <t>AltaMira Press</t>
  </si>
  <si>
    <t>Lancy, David F.;Bock, John;Gaskins, Suzanne</t>
  </si>
  <si>
    <t>LB1125.A567 2010</t>
  </si>
  <si>
    <t>Educational anthropology. ; Child development. ; Learning.</t>
  </si>
  <si>
    <t>School Finance Elections : A Comprehensive Planning Model for Success</t>
  </si>
  <si>
    <t>Lifto, Don E.;Senden, Bradford J.;Domenech, Daniel A.</t>
  </si>
  <si>
    <t>LB2825.L485 2010</t>
  </si>
  <si>
    <t>371.2/06</t>
  </si>
  <si>
    <t>Education--United States--Finance. ; School elections--United States--Planning. ; School taxes--United States.</t>
  </si>
  <si>
    <t>A Toolkit for Creative Teaching in Post-Compulsory Education</t>
  </si>
  <si>
    <t>Eastwood, Linda;Coates, Jennie;Dixon, Liz;Harvey, Josie;Ormondroyd, Chris;Williamson, Sarah</t>
  </si>
  <si>
    <t>LB1062 .T65 2009</t>
  </si>
  <si>
    <t>Creative teaching. ; Post-compulsory education. ; Learning, Psychology of.</t>
  </si>
  <si>
    <t>Inclusion: Developing an Effective Whole School Approach</t>
  </si>
  <si>
    <t>Ekins, Alison;Grimes, Peter</t>
  </si>
  <si>
    <t>LC1200 .E35 2009</t>
  </si>
  <si>
    <t>Inclusive education-Government policy-Great Britain. ; Inclusive education-Great Britain-Case studies. ; Inclusive education. ; School improvement programs-Great Britain.</t>
  </si>
  <si>
    <t>Primary Languages in Practice: a Guide to Teaching and Learning</t>
  </si>
  <si>
    <t>Jones, Jane;McLachlan, Angela</t>
  </si>
  <si>
    <t>LB1580.G7 J66 2009</t>
  </si>
  <si>
    <t>Language and languages-Study and teaching (Elementary)-Great Britain. ; Languages, Modern-Study and teaching (Elementary)-Great Britain.</t>
  </si>
  <si>
    <t>Facilitating Problem-Based Learning</t>
  </si>
  <si>
    <t>Savin-Baden, Maggi</t>
  </si>
  <si>
    <t>LB1027.42 -- .S38 2003eb</t>
  </si>
  <si>
    <t>Education, Higher. ; Adult learning. ; Problem-based learning.</t>
  </si>
  <si>
    <t>Supporting Language and Literacy Development in the Early Years</t>
  </si>
  <si>
    <t>Whitehead, Marian</t>
  </si>
  <si>
    <t>LB1139.5.L35 W45 2009</t>
  </si>
  <si>
    <t>Language arts (Early childhood)-Great Britain. ; Children-Language.</t>
  </si>
  <si>
    <t>Improving What Is Learned at University : An Exploration of the Social and Organisational Diversity of University Education</t>
  </si>
  <si>
    <t>Brennan, John;Edmunds, Robert;Houston, Muir;Jary, David;Lebeau, Yann;Osborne, Michael;Richardson, John T. E.</t>
  </si>
  <si>
    <t>LC191.98.G7 -- I67 2010eb</t>
  </si>
  <si>
    <t>College students - Great Britain - Social conditions</t>
  </si>
  <si>
    <t>Researching IT in Education : Theory, Practice and Future Directions</t>
  </si>
  <si>
    <t>McDougall, Anne;Murnane, John;Jones, Anthony;Reynolds, Nick</t>
  </si>
  <si>
    <t>LB1028.3 -- .R464 2010eb</t>
  </si>
  <si>
    <t>Educational technology</t>
  </si>
  <si>
    <t>Designing and Teaching the Elementary Science Methods Course</t>
  </si>
  <si>
    <t>Abell, Sandra K.;Appleton, Ken;Hanuscin, Deborah L.</t>
  </si>
  <si>
    <t>Teaching and Learning in Science Series</t>
  </si>
  <si>
    <t>LB1585 -- .A24 2010eb</t>
  </si>
  <si>
    <t>Science teachers - In-service training</t>
  </si>
  <si>
    <t>Social Studies and Diversity Education : What We Do and Why We Do It</t>
  </si>
  <si>
    <t>Heilman, Elizabeth E.;Fruja, Ramona;Missias, Matthew</t>
  </si>
  <si>
    <t>LB1584 -- .S6369 2010eb</t>
  </si>
  <si>
    <t>300.71/073</t>
  </si>
  <si>
    <t>Teachers - Training of - United States</t>
  </si>
  <si>
    <t>Social Science; Education; Juvenile Literature</t>
  </si>
  <si>
    <t>Cultural-Historical Perspectives on Teacher Education and Development : Learning Teaching</t>
  </si>
  <si>
    <t>Ellis, Viv;Edwards, Anne;Smagorinsky, Peter</t>
  </si>
  <si>
    <t>LB1731 -- .C84 2010eb</t>
  </si>
  <si>
    <t>370.71/55</t>
  </si>
  <si>
    <t>Teaching - Social aspects</t>
  </si>
  <si>
    <t>Educational Dialogues : Understanding and Promoting Productive Interaction</t>
  </si>
  <si>
    <t>Littleton, Karen;Howe, Christine</t>
  </si>
  <si>
    <t>LB1034 -- .E355 2010eb</t>
  </si>
  <si>
    <t>Collaboration in Education</t>
  </si>
  <si>
    <t>Slater, Judith J.;Ravid, Ruth</t>
  </si>
  <si>
    <t>LB1034 -- .C64 2010eb</t>
  </si>
  <si>
    <t>Educational planning - Social aspects</t>
  </si>
  <si>
    <t>Place- and Community-Based Education in Schools : Place and Community-Based Education in Schools</t>
  </si>
  <si>
    <t>Smith, Gregory A.;Sobel, David</t>
  </si>
  <si>
    <t>LC239 -- .S64 2010eb</t>
  </si>
  <si>
    <t>371.11/5</t>
  </si>
  <si>
    <t>Place-based education - United States</t>
  </si>
  <si>
    <t>Mega-Schools, Technology and Teachers : Achieving Education for All</t>
  </si>
  <si>
    <t>Daniel, Sir John</t>
  </si>
  <si>
    <t>LB1556.7.D48 -- D36 2010eb</t>
  </si>
  <si>
    <t>Distance education - Computer-assisted instruction - Developing countries</t>
  </si>
  <si>
    <t>Action Research and Reflective Practice : Creative and Visual Methods to Facilitate Reflection and Learning</t>
  </si>
  <si>
    <t>McIntosh, Paul</t>
  </si>
  <si>
    <t>LB1028.24 -- .M386 2010eb</t>
  </si>
  <si>
    <t>Reflective teaching - Great Britain</t>
  </si>
  <si>
    <t>Educational Management : Redefining Theory, Policy and Practice</t>
  </si>
  <si>
    <t>Bush, Tony;Bell, Les;Bolam, Jane;Glatter, Ron;Ribbins, Peter M.;Ribbins, Peter M.</t>
  </si>
  <si>
    <t>School management and organization -</t>
  </si>
  <si>
    <t>Key Concepts in Sport and Exercise Sciences</t>
  </si>
  <si>
    <t>Kirk, David;Cooke, Carlton B.;Flintoff, Anne;McKenna, Jim</t>
  </si>
  <si>
    <t>GV706 -- .K46 2008eb</t>
  </si>
  <si>
    <t>Sports sciences</t>
  </si>
  <si>
    <t>Becoming a Teaching Assistant : A Guide for Teaching Assistants and Those Working with Them</t>
  </si>
  <si>
    <t>Drake, Pat;Jacklin, Angela;Robinson, Carol;Thorp, Jo</t>
  </si>
  <si>
    <t>LB2844.1.A</t>
  </si>
  <si>
    <t>Key Concepts in Education</t>
  </si>
  <si>
    <t>Inglis, Fred;Aers, Lesley;Inglis, Fred</t>
  </si>
  <si>
    <t>LB17 -- .I49 2008eb</t>
  </si>
  <si>
    <t>Managing Finance and Resources in Education</t>
  </si>
  <si>
    <t>Coleman, Marianne;Anderson, Lesley</t>
  </si>
  <si>
    <t>LB2826.6.G7 -- M36 2000eb</t>
  </si>
  <si>
    <t>Resource allocation</t>
  </si>
  <si>
    <t>The Emotional Curriculum : A Journey Towards Emotional Literacy</t>
  </si>
  <si>
    <t>Cornwell, Sue;Bundy, Jill</t>
  </si>
  <si>
    <t>BF723.E6 -- C67 2009eb</t>
  </si>
  <si>
    <t>Emotions in children -- Study and teaching (Elementary) ; Emotions.</t>
  </si>
  <si>
    <t>Leadership and Strategic Management in Education</t>
  </si>
  <si>
    <t>Bush, Tony;Coleman, Marianne</t>
  </si>
  <si>
    <t>LB2341.8.G</t>
  </si>
  <si>
    <t>378.1/01/0941</t>
  </si>
  <si>
    <t>Administration</t>
  </si>
  <si>
    <t>Supporting Effective Learning</t>
  </si>
  <si>
    <t>Carnell, Eileen;Lodge, Caroline M.</t>
  </si>
  <si>
    <t>LB1060 -- .C367 2002eb</t>
  </si>
  <si>
    <t>Education and Training 14-19 : Curriculum, Qualifications and Organization</t>
  </si>
  <si>
    <t>Hodgson, Ann;Spours, Ken</t>
  </si>
  <si>
    <t>LA635 -- .H63 2008eb</t>
  </si>
  <si>
    <t>Education, Secondary - Great Britain</t>
  </si>
  <si>
    <t>Managing Careers into the 21st Century</t>
  </si>
  <si>
    <t>Arnold, John</t>
  </si>
  <si>
    <t>Career Development</t>
  </si>
  <si>
    <t>HF5549.5.C35A76 1997</t>
  </si>
  <si>
    <t>650.1/4</t>
  </si>
  <si>
    <t>Personnel management.</t>
  </si>
  <si>
    <t>A Practical Guide to Teaching Reading in the Early Years</t>
  </si>
  <si>
    <t>English and Language Arts</t>
  </si>
  <si>
    <t>LB1139.5.R43 -- B76 1998eb</t>
  </si>
  <si>
    <t>Management Theories for Educational Change</t>
  </si>
  <si>
    <t>Morrison, Keith</t>
  </si>
  <si>
    <t>Administration and Leadership</t>
  </si>
  <si>
    <t>LB2805$b.M686 1998</t>
  </si>
  <si>
    <t>Understanding Art : A Guide for Teachers</t>
  </si>
  <si>
    <t>Wenham, Martin W.</t>
  </si>
  <si>
    <t>N185.W46 2003</t>
  </si>
  <si>
    <t>200 Science Investigations for Young Students : Practical Activities for Science 5 - 11</t>
  </si>
  <si>
    <t>LB1585.5.G</t>
  </si>
  <si>
    <t>Charter Schools : Hope or Hype?</t>
  </si>
  <si>
    <t>Buckley, Jack;Schneider, Mark</t>
  </si>
  <si>
    <t>LB2806.36.B83 2009</t>
  </si>
  <si>
    <t>Socrates in the Boardroom : Why Research Universities Should Be Led by Top Scholars</t>
  </si>
  <si>
    <t>Goodall, Amanda H.</t>
  </si>
  <si>
    <t>LB2341 -- .G572 2009eb</t>
  </si>
  <si>
    <t>Low-Income Students and the Perpetuation of Inequality : Higher Education in America</t>
  </si>
  <si>
    <t>Farnham</t>
  </si>
  <si>
    <t>Berg, Gary A.</t>
  </si>
  <si>
    <t>LC4823 -- .B47 2010eb</t>
  </si>
  <si>
    <t>People with social disabilities -- Education (Higher) -- United States. ; Poor -- Education (Higher) -- United States. ; Education, Higher -- United States -- Costs. ; Universities and colleges -- United States -- Admission.</t>
  </si>
  <si>
    <t>Master Teachers : Making a Difference on the Edge of Chaos</t>
  </si>
  <si>
    <t>Chapin, Dexter</t>
  </si>
  <si>
    <t>LB1060.T288 2008</t>
  </si>
  <si>
    <t>Teachers - Professional relationships</t>
  </si>
  <si>
    <t>Women Leading Education Across the Continents : Sharing the Spirit, Fanning the Flame</t>
  </si>
  <si>
    <t>Sobehart, Helen C.;Dougherty, Charles</t>
  </si>
  <si>
    <t>LB2831.8.W655 2009</t>
  </si>
  <si>
    <t>371.2/011082</t>
  </si>
  <si>
    <t>Women school administrators--Cross-cultural studies--Congresses. ; Women in higher education--Cross-cultural studies--Congresses. ; Educational leadership--Cross-cultural studies--Congresses.</t>
  </si>
  <si>
    <t>Enhancing the Professional Practice of Music Teachers : 101 Tips That Principals Want Music Teachers to Know and Do</t>
  </si>
  <si>
    <t>Young, Paul G.</t>
  </si>
  <si>
    <t>MT1.Y63 2009</t>
  </si>
  <si>
    <t>School music--Instruction and study--United States. ; Teaching--United States.</t>
  </si>
  <si>
    <t>Gender Inclusive Engineering Education</t>
  </si>
  <si>
    <t>Mills, Julie;Ayre, Mary Elizabeth;Gill, Judith</t>
  </si>
  <si>
    <t>T65 -- .M5833 2010eb</t>
  </si>
  <si>
    <t>Women engineers - Education</t>
  </si>
  <si>
    <t>Negotiating Language Policies in Schools : Educators As Policymakers</t>
  </si>
  <si>
    <t>Menken, Kate;Garcia, Ofelia</t>
  </si>
  <si>
    <t>PB1 -- .N44 2010eb</t>
  </si>
  <si>
    <t>Language policy - Study and teaching</t>
  </si>
  <si>
    <t>Exploring Learning, Identity and Power Through Life History and Narrative Research</t>
  </si>
  <si>
    <t>Bathmaker, Ann-Marie;Harnett, Penelope</t>
  </si>
  <si>
    <t>LB1029.B55 -- E87 2010eb</t>
  </si>
  <si>
    <t>Narrative inquiry (Research method)</t>
  </si>
  <si>
    <t>Teaching for Student Learning : Becoming an Accomplished Teacher</t>
  </si>
  <si>
    <t>Arends, Dick;Kilcher, Ann</t>
  </si>
  <si>
    <t>LB1025.3 -- .A755 2010eb</t>
  </si>
  <si>
    <t>370.711;371.102</t>
  </si>
  <si>
    <t>Effective teaching. ; Teachers -- In-service training. ; Learning, Psychology of.</t>
  </si>
  <si>
    <t>Transforming Children's Spaces : Children's and Adults' Participation in Designing Learning Environments</t>
  </si>
  <si>
    <t>Clark, Alison</t>
  </si>
  <si>
    <t>LB1139.23 -- .C53 2010eb</t>
  </si>
  <si>
    <t>Children and adults</t>
  </si>
  <si>
    <t>Knowledge Power : Interdisciplinary Education for a Complex World</t>
  </si>
  <si>
    <t>Wilson, Alan;Wilson, Alan</t>
  </si>
  <si>
    <t>LC65 -- .W45 2010eb</t>
  </si>
  <si>
    <t>Academic-industrial collaboration</t>
  </si>
  <si>
    <t>The Black-White Achievement Gap</t>
  </si>
  <si>
    <t>Paige, Rod;WITTY, Elaine</t>
  </si>
  <si>
    <t>LC205 .P35 2010</t>
  </si>
  <si>
    <t>Education-Demographic aspects-United States. ; Academic achievement-United States. ; Educational equalization-United States.</t>
  </si>
  <si>
    <t>Why Boys Fail : Saving Our Sons from an Educational System That's Leaving Them Behind</t>
  </si>
  <si>
    <t>Whitmire, Richard</t>
  </si>
  <si>
    <t>LB1065 -- .W49 2010eb</t>
  </si>
  <si>
    <t>Motivation in education. ; Academic achievement.</t>
  </si>
  <si>
    <t>Productive Group Work : How to Engage Students, Build Teamwork, and Promote Understanding</t>
  </si>
  <si>
    <t>Frey, Nancy;Fisher, Douglas</t>
  </si>
  <si>
    <t>LB1032 .F78 2009</t>
  </si>
  <si>
    <t>371.3/6</t>
  </si>
  <si>
    <t>Group work in education. ; Team learning approach in education. ; Active learning.</t>
  </si>
  <si>
    <t>A Handbook for the Art and Science of Teaching</t>
  </si>
  <si>
    <t>Marzano, Robert J.;Brown, John L.;Brown, John L.;Marzano, Robert J.</t>
  </si>
  <si>
    <t>LB1025.3 -- .M342 2009eb</t>
  </si>
  <si>
    <t>Effective teaching -- Handbooks, manuals, etc.</t>
  </si>
  <si>
    <t>How to Help Your School Thrive Without Breaking the Bank</t>
  </si>
  <si>
    <t>Gabriel, John G.;Farmer, Paul C.</t>
  </si>
  <si>
    <t>LB2805 -- .G13 2009eb</t>
  </si>
  <si>
    <t>School management and organization. ; School environment.</t>
  </si>
  <si>
    <t>Improving Student Learning One Principal at a Time</t>
  </si>
  <si>
    <t>Pollock, Jane E.;Ford, Sharon M.</t>
  </si>
  <si>
    <t>LB2831.62 -- .P65 2009eb</t>
  </si>
  <si>
    <t>School principals -- United States. ; Teacher-principal relationships -- United States. ; Academic achievement -- United States. ; Educational leadership -- United States.</t>
  </si>
  <si>
    <t>Habits of Mind Across the Curriculum : Practical and Creative Strategies for Teachers</t>
  </si>
  <si>
    <t>LB1590.3 .H33 2009</t>
  </si>
  <si>
    <t>Thought and thinking-Study and teaching. ; Curriculum planning.</t>
  </si>
  <si>
    <t>Multiple Intelligences in the Classroom</t>
  </si>
  <si>
    <t>LB1025.3 -- .A76 2009eb</t>
  </si>
  <si>
    <t>Teaching. ; Cognitive styles. ; Learning. ; Multiple intelligences.</t>
  </si>
  <si>
    <t>The New Teacher's Companion : Practical Wisdom for Succeeding in the Classroom</t>
  </si>
  <si>
    <t>Cunningham, Gini</t>
  </si>
  <si>
    <t>LB2844.1.N4 C86 2009</t>
  </si>
  <si>
    <t>First year teachers-United States. ; Teacher effectiveness-United States. ; Effective teaching-United States.</t>
  </si>
  <si>
    <t>Motivating Black Males to Achieve in School and in Life</t>
  </si>
  <si>
    <t>Kafele, Baruti K.</t>
  </si>
  <si>
    <t>LC2731 .K34 2009</t>
  </si>
  <si>
    <t>African American young men-Education. ; African American men-Education. ; African American boys-Social conditions. ; African American young men-Social conditions. ; Academic achievement-United States.</t>
  </si>
  <si>
    <t>Leading Change in Your School : How to Conquer Myths, Build Commitment, and Get Results</t>
  </si>
  <si>
    <t>LB2805 -- .R416 2009eb</t>
  </si>
  <si>
    <t>Challenging the Whole Child : Reflections on Best Practices in Learning, Teaching, and Leadership</t>
  </si>
  <si>
    <t>Scherer, Marge</t>
  </si>
  <si>
    <t>LB1065 .C437 2009</t>
  </si>
  <si>
    <t>Motivation in education. ; Academic achievement. ; Learning.</t>
  </si>
  <si>
    <t>The Inspired Teacher : How to Know One, Grow One, or Be One</t>
  </si>
  <si>
    <t>Steele, Carol Frederick</t>
  </si>
  <si>
    <t>LB1025.3 .S7342 2009</t>
  </si>
  <si>
    <t>Teaching. ; Teachers. ; Motivation in education.</t>
  </si>
  <si>
    <t>The Motivated Student : Unlocking the Enthusiasm for Learning</t>
  </si>
  <si>
    <t>LB1065 .S865 2009</t>
  </si>
  <si>
    <t>Motivation in education. ; Effective teaching. ; Teacher-student relationships.</t>
  </si>
  <si>
    <t>Rethinking Homework : Best Practices That Support Diverse Needs</t>
  </si>
  <si>
    <t>Vatterott, Cathy</t>
  </si>
  <si>
    <t>LB1048 -- .V37 2009eb</t>
  </si>
  <si>
    <t>371.3/0281</t>
  </si>
  <si>
    <t>Homework. ; Motivation in education.</t>
  </si>
  <si>
    <t>Becoming a Great High School : 6 Strategies and 1 Attitude That Make a Difference</t>
  </si>
  <si>
    <t>Westerberg, Tim R.</t>
  </si>
  <si>
    <t>LB2831.92 .W47 2009</t>
  </si>
  <si>
    <t>School management and organization-United States. ; Education, Secondary-United States. ; Educational change-United States.</t>
  </si>
  <si>
    <t>Catching up or Leading the Way : American Education in the Age of Globalization</t>
  </si>
  <si>
    <t>Zhao, Yong</t>
  </si>
  <si>
    <t>LC66 .Z47 2009</t>
  </si>
  <si>
    <t>Education-Economic aspects-United States. ; Education and globalization-United States. ; Educational leadership-United States.</t>
  </si>
  <si>
    <t>Hutchins' University : A Memoir of the University of Chicago, 1929-1950</t>
  </si>
  <si>
    <t>McNeill, William H.</t>
  </si>
  <si>
    <t>Centennial Publications of the University of Chicago Press Series</t>
  </si>
  <si>
    <t>LD929</t>
  </si>
  <si>
    <t>378.773/11</t>
  </si>
  <si>
    <t>University of Chicago -- History. ; Chicago (Ill.) -- History.</t>
  </si>
  <si>
    <t>Stand for the Best : What I Learned after Leaving My Job As CEO of H&amp;amp;R Block to Become a Teacher and Founder of an Inner-City Charter School</t>
  </si>
  <si>
    <t>Bloch, Thomas M.</t>
  </si>
  <si>
    <t>LC5131 -- .B58 2008eb</t>
  </si>
  <si>
    <t>Teaching -- Social aspects -- United States</t>
  </si>
  <si>
    <t>Academic Research and Researchers</t>
  </si>
  <si>
    <t>Brew, Angela;Lucas, Lisa</t>
  </si>
  <si>
    <t>LB2326.3 .A23 2009</t>
  </si>
  <si>
    <t>Research institutes. ; Research-Government policy. ; Universities and colleges-Graduate work.</t>
  </si>
  <si>
    <t>Narrative Learning</t>
  </si>
  <si>
    <t>Goodson, Ivor F.;Biesta, Gert;Tedder, Michael;Adair, Norma</t>
  </si>
  <si>
    <t>LB1029.B55 -- N36 2010eb</t>
  </si>
  <si>
    <t>Education - Biographical methods</t>
  </si>
  <si>
    <t>Effective Teaching in Gifted Education : Using a Whole School Approach</t>
  </si>
  <si>
    <t>Robinson, Wendy;Campbell, Jim</t>
  </si>
  <si>
    <t>LC3993 -- .R616 2010eb</t>
  </si>
  <si>
    <t>371.95/6</t>
  </si>
  <si>
    <t>Teachers of gifted children</t>
  </si>
  <si>
    <t>Humanism in an Age of Science : The Amsterdam Athenaeum in the Golden Age, 1632-1704</t>
  </si>
  <si>
    <t>van Miert, Dirk</t>
  </si>
  <si>
    <t>LF4077.M5413 2009</t>
  </si>
  <si>
    <t>378.492/352</t>
  </si>
  <si>
    <t>Culture and Power : Tuscany and Its Universities 1537-1609</t>
  </si>
  <si>
    <t>Davies, Jonathan</t>
  </si>
  <si>
    <t>LA797.5.D38 2009</t>
  </si>
  <si>
    <t>378.45/509</t>
  </si>
  <si>
    <t>Universities and colleges-Italy-Tuscany-History. ; Universities and colleges-Social aspects-Italy-Tuscany.</t>
  </si>
  <si>
    <t>Globalizing Practices and University Responses : European and Anglo-American Differences</t>
  </si>
  <si>
    <t>Currie, Jan;Deangelis, Richard;deBoer, Harry;Huisman, Jeroen;Lacotte, Claude</t>
  </si>
  <si>
    <t>Studies in Higher Education Series</t>
  </si>
  <si>
    <t>LB2322.2.G58 2002</t>
  </si>
  <si>
    <t>Comparative education. ; Education and globalization -- Cross-cultural studies. ; Education, Higher -- Cross-cultural studies.</t>
  </si>
  <si>
    <t>Beyond the Boundaries : A Transdisciplinary Approach to Learning and Teaching</t>
  </si>
  <si>
    <t>Kaufman, Douglas;Moss, David;Osborn, Terry A.</t>
  </si>
  <si>
    <t>LB1607.5.B49 2003eb</t>
  </si>
  <si>
    <t>Forced to Fail : The Paradox of School Desegregation</t>
  </si>
  <si>
    <t>Caldas, Stephen J.;III, Carl L. Bankston;III, Carl</t>
  </si>
  <si>
    <t>Non-Series</t>
  </si>
  <si>
    <t>LC212.52.C35 2005</t>
  </si>
  <si>
    <t>379.2/63/0973</t>
  </si>
  <si>
    <t>Segregation in education -- United States. ; Educational equalization -- United States.</t>
  </si>
  <si>
    <t>Latino Students in American Schools : Historical and Contemporary Views</t>
  </si>
  <si>
    <t>Kloosterman, Valentina</t>
  </si>
  <si>
    <t>LC2669.L384 2003</t>
  </si>
  <si>
    <t>Hispanic Americans -- Education</t>
  </si>
  <si>
    <t>Language and Cultural Diversity in U. S. Schools : Democratic Principles in Action</t>
  </si>
  <si>
    <t>Osborn, Terry A.</t>
  </si>
  <si>
    <t>Educate US Series</t>
  </si>
  <si>
    <t>LC1099.3.L37 2005</t>
  </si>
  <si>
    <t>Sociolinguistics -- United States</t>
  </si>
  <si>
    <t>Collegiality and Service for Tenure and Beyond : Acquiring a Reputation As a Team Player</t>
  </si>
  <si>
    <t>Silverman, Franklin H.</t>
  </si>
  <si>
    <t>LB2335.7.S548 2004eb</t>
  </si>
  <si>
    <t>378.1/21</t>
  </si>
  <si>
    <t>College teachers -- Tenure -- Handbooks, manuals, etc. ; College teachers -- Promotions -- Handbooks, manuals, etc. ; College teachers -- Professional relationships -- Handbooks, manuals, etc.</t>
  </si>
  <si>
    <t>Campus Legends : A Handbook</t>
  </si>
  <si>
    <t>Greenwood</t>
  </si>
  <si>
    <t>Tucker, Elizabeth</t>
  </si>
  <si>
    <t>Greenwood Folklore Handbooks Series</t>
  </si>
  <si>
    <t>378/.002</t>
  </si>
  <si>
    <t>Libros electronicos</t>
  </si>
  <si>
    <t>Current Issues and Trends in Special Education : Research, Technology, and Teacher Preparation</t>
  </si>
  <si>
    <t>Obiakor, Festus E.;Bakken, Jeffrey P.;Rotatori, Anthony F.</t>
  </si>
  <si>
    <t>LC3950.A38 v.20</t>
  </si>
  <si>
    <t>Assistive computer technology</t>
  </si>
  <si>
    <t>Literacy and Learning</t>
  </si>
  <si>
    <t>Scruggs, Thomas E.;Mastropieri, Margo A.</t>
  </si>
  <si>
    <t>LC4704.L58eb vol. 23</t>
  </si>
  <si>
    <t>Learning disabilities -- Treatment. ; Learning disabled -- Education. ; Behavior therapy. ; Behavior disorders in children.</t>
  </si>
  <si>
    <t>Religious Schooling in America : Private Education and Public Life</t>
  </si>
  <si>
    <t>Jones, Steven L.</t>
  </si>
  <si>
    <t>LC427 -- .J66 2008eb</t>
  </si>
  <si>
    <t>Church schools -- United States. ; Religious education -- United States. ; Private schools -- United States.</t>
  </si>
  <si>
    <t>Going to School in the Middle East and North Africa</t>
  </si>
  <si>
    <t>Ofori-Attah, Kwabena D.</t>
  </si>
  <si>
    <t>The Global School Room Series</t>
  </si>
  <si>
    <t>LA1430.2 -- .O36 2008eb</t>
  </si>
  <si>
    <t>Education -- Africa, North</t>
  </si>
  <si>
    <t>Launch Your Career in College : Strategies for Students, Educators, and Parents</t>
  </si>
  <si>
    <t>Scheele, Adele M.;Astin, Alexander W</t>
  </si>
  <si>
    <t>LB2343.3 -- .S328 2005eb</t>
  </si>
  <si>
    <t>Business networks. ; Career development. ; College student orientation. ; College students -- Employment. ; College students -- Vocational guidance. ; School-to-work transition.</t>
  </si>
  <si>
    <t>Teaching Literature at a Distance : Open, Online and Blended Learning</t>
  </si>
  <si>
    <t>Kayalis, Takis;Natsina, Anastasia;Kayalis, Takis;Natsina, Anastasia;Borras-Castanyer, L.;Chambers, E.;Devlin-Glass, F.;Heble, A.;Kline, D.T.;Koskimaa, R.</t>
  </si>
  <si>
    <t>LB1028.3.T387 2010</t>
  </si>
  <si>
    <t>807.8/5</t>
  </si>
  <si>
    <t>Educational technology. ; Language and languages -- Study and teaching -- Technological innovations. ; Literature -- Study and teaching -- Technological innovations. ; Web-based instruction.</t>
  </si>
  <si>
    <t>Children As Decision Makers in Education : Sharing Experiences Across Cultures</t>
  </si>
  <si>
    <t>Cox, Sue;Dyer, Caroline;Robinson-Pant, Anna;Schweisfurth, Michele;Cox, Sue;Dyer, Caroline;Robinson-Pant, Anna</t>
  </si>
  <si>
    <t>LB1555.C52 2010</t>
  </si>
  <si>
    <t>Education, Elementary -- Decision making -- Cross-cultural studies. ; School children -- Cross-cultural studies. ; Child psychology -- Cross-cultural studies. ; Decision making -- Cross-cultural studies.</t>
  </si>
  <si>
    <t>Heidegger's Philosophic Pedagogy</t>
  </si>
  <si>
    <t>Ehrmantraut, Michael</t>
  </si>
  <si>
    <t>Continuum Studies in Continental Philosophy Series</t>
  </si>
  <si>
    <t>B3279.H49 -- E385 2010eb</t>
  </si>
  <si>
    <t>Heidegger, Martin, -- 1889-1976. ; Heidegger, Martin, -- 1889-1976. -- Sein und Zeit. ; Education -- Philosophy. ; Philosophy.</t>
  </si>
  <si>
    <t>Technical and Vocational Education and Training : An Investment-Based Approach</t>
  </si>
  <si>
    <t>Gough, Stephen</t>
  </si>
  <si>
    <t>LC1043.G66 2010</t>
  </si>
  <si>
    <t>370.11/3</t>
  </si>
  <si>
    <t>Vocational education. ; Technical education.</t>
  </si>
  <si>
    <t>Work Integrated Learning : A Guide to Effective Practice</t>
  </si>
  <si>
    <t>Cooper, Lesley;Orrell, Janice;Bowden, Margaret</t>
  </si>
  <si>
    <t>LC1037 -- .C66 2010eb</t>
  </si>
  <si>
    <t>371.2/27</t>
  </si>
  <si>
    <t>Career education</t>
  </si>
  <si>
    <t>The Challenges of School District Leadership</t>
  </si>
  <si>
    <t>Duke, Daniel L.</t>
  </si>
  <si>
    <t>LB2817 -- .D85 2010eb</t>
  </si>
  <si>
    <t>School districts. ; School boards. ; School superintendents. ; Educational leadership.</t>
  </si>
  <si>
    <t>Organizing for Social Partnership : Higher Education in Cross-Sector Collaboration</t>
  </si>
  <si>
    <t>Siegel, David J.</t>
  </si>
  <si>
    <t>LC238 -- .S54 2010eb</t>
  </si>
  <si>
    <t>378/.015</t>
  </si>
  <si>
    <t>Business and education - Social aspects - United States</t>
  </si>
  <si>
    <t>Art and Creativity in Reggio Emilia : Exploring the Role and Potential of Ateliers in Early Childhood Education</t>
  </si>
  <si>
    <t>Vecchi, Vea</t>
  </si>
  <si>
    <t>LB1139.5.A78 -- V43 2010eb</t>
  </si>
  <si>
    <t>Creative ability in children - Italy - Reggio Emilia</t>
  </si>
  <si>
    <t>Academically Gifted African American Male College Students</t>
  </si>
  <si>
    <t>II, Fred A. Bonner;Ford, Donna Y.;Lomotey, Kofi</t>
  </si>
  <si>
    <t>LC2781.B56 2010</t>
  </si>
  <si>
    <t>African American men--Education (Higher). ; African American male college students. ; African Americans--Scholarships, fellowships, etc.</t>
  </si>
  <si>
    <t>The Miseducation of the West : How Schools and the Media Distort Our Understanding of the Islamic World</t>
  </si>
  <si>
    <t>Kincheloe, Joe;Steinberg, Shirley R.;Steinberg, Shirley</t>
  </si>
  <si>
    <t>Reverberations: Cultural Studies and Education Series</t>
  </si>
  <si>
    <t>LC1090 -- .M49 2004eb</t>
  </si>
  <si>
    <t>Art/ History. -- Prehistoric and Primitive. -- lcsh ; Arte/ História/ Pré-histórico e Primitivo. -- lcsh ; Arte/Historia/Prehistórico y Ptrimitivo. -- lcsh ; Libros electronicos.</t>
  </si>
  <si>
    <t>The Rise and Fall of American Public Schools : The Political Economy of Public Education in the Twentieth Century</t>
  </si>
  <si>
    <t>Franciosi, Robert J.</t>
  </si>
  <si>
    <t>LA212.F73 2004eb</t>
  </si>
  <si>
    <t>Public schools -- United States -- History -- 20th century</t>
  </si>
  <si>
    <t>Going to School in South Asia</t>
  </si>
  <si>
    <t>Gupta, Amita</t>
  </si>
  <si>
    <t>LA1144.5.G65 2007</t>
  </si>
  <si>
    <t>Education -- South Asia -- History -- Cross-cultural studies</t>
  </si>
  <si>
    <t>The Teachers We Need vs. the Teachers We Have : The Realities and the Possibilities</t>
  </si>
  <si>
    <t>LB1771.B35 2010</t>
  </si>
  <si>
    <t>Teachers--Certification--United States. ; Teachers--Training of--United States.</t>
  </si>
  <si>
    <t>Research and Practice in Education : Building Alliances, Bridging the Divide</t>
  </si>
  <si>
    <t>Coburn, Cynthia E.;Stein, Mary Kay;Baxter, Juliet;D'Amico, Laura;Datnow, Amanda;Engle, Randi;Honig, Meredith;Ikemoto, Gina;Lewis, Catherine C.;Park, Vicki</t>
  </si>
  <si>
    <t>LB1028.25.U6R46 2010</t>
  </si>
  <si>
    <t>Education--Research--United States. ; School improvement programs--United States.</t>
  </si>
  <si>
    <t>Working for Kids : Educational Leadership As Inquiry and Invention</t>
  </si>
  <si>
    <t>Lytle, James H.</t>
  </si>
  <si>
    <t>New Frontiers in Education Series</t>
  </si>
  <si>
    <t>LB2805.L98 2010</t>
  </si>
  <si>
    <t>School management and organization. ; School principals. ; Educational leadership.</t>
  </si>
  <si>
    <t>Academic Turnarounds : Restoring Vitality to Challenged American Colleges/Universities</t>
  </si>
  <si>
    <t>MacTaggart, Terrence;Berberet, Jerry;"Buzz" Shaw, Kenneth A.;Tinsley, Adrian;Townsley, Michael T.</t>
  </si>
  <si>
    <t>LB2341.A2295 2010</t>
  </si>
  <si>
    <t>Higher education and state -- United States</t>
  </si>
  <si>
    <t>The Purposes, Practices, and Professionalism of Teacher Reflectivity : Insights for Twenty-First-Century Teachers and Students</t>
  </si>
  <si>
    <t>Pultorak, Edward G.;Collier, Sunya T.;Cristol, Dean;Dean, Sandra;Dana, Nancy Fichtman;Foss, Donna H.;Fox, Rebecca K.;Gallavan, Nancy P.;Greenwald, Eric;Herner-Patnode, Leah</t>
  </si>
  <si>
    <t>LB1025.3.P89 2010</t>
  </si>
  <si>
    <t>Reflective teaching. ; Teachers--In-service training.</t>
  </si>
  <si>
    <t>Action Research for Educators</t>
  </si>
  <si>
    <t>Tomal, Daniel R.;Hastert, Dennis J.</t>
  </si>
  <si>
    <t>The Concordia University Leadership Series</t>
  </si>
  <si>
    <t>LB1028.24.T66 2010</t>
  </si>
  <si>
    <t>Action research in education--United States--Case studies. ; Group work in education--United States--Case studies.</t>
  </si>
  <si>
    <t>Teaching Environmental Literacy : Across Campus and Across the Curriculum</t>
  </si>
  <si>
    <t>Reynolds, Heather L.;Brondizio, Eduardo S.;Robinson, Jennifer Meta</t>
  </si>
  <si>
    <t>Indiana Series in the Scholarship of Teaching and Learning</t>
  </si>
  <si>
    <t>GE70 -- .T38 2010eb</t>
  </si>
  <si>
    <t>Environmental education. ; Environmental sciences.</t>
  </si>
  <si>
    <t>Environmental Studies; Economics</t>
  </si>
  <si>
    <t>Ending Social Promotion Without Leaving Children Behind : The Case of New York City</t>
  </si>
  <si>
    <t>McCombs, Jennifer Sloan;Kirby, Sheila Nataraj;Mariano, Louis T.;Mariano, Louis T</t>
  </si>
  <si>
    <t>LB3063 -- .M285 2010eb</t>
  </si>
  <si>
    <t>371.2/8097471</t>
  </si>
  <si>
    <t>Promotion (School) -- New York (State) -- New York -- Case studies. ; Grade repetition -- New York (State) -- New York -- Case studies.</t>
  </si>
  <si>
    <t>Learning with Online and Mobile Technologies : A Student Survival Guide</t>
  </si>
  <si>
    <t>MacDonald, Janet;Creanor, Linda</t>
  </si>
  <si>
    <t>LB1028.5 -- .M1245 2010eb</t>
  </si>
  <si>
    <t>Computer-assisted instruction. ; Mobile communication systems. ; College student orientation.</t>
  </si>
  <si>
    <t>Other Duties As Assigned : Tips, Tools, and Techniques for Expert Teacher Leadership</t>
  </si>
  <si>
    <t>Burgess, Jan;Bates, Donna</t>
  </si>
  <si>
    <t>LB2806.45 .B87 2009</t>
  </si>
  <si>
    <t>Teacher participation in administration. ; Educational leadership.</t>
  </si>
  <si>
    <t>The New Circles of Learning : Cooperation in the Classroom and School</t>
  </si>
  <si>
    <t>Johnson, David W.;Johnson, Roger T.;Holubec, Edythe Johnson</t>
  </si>
  <si>
    <t>LB1032 -- .J596 1994eb</t>
  </si>
  <si>
    <t>371.3/95</t>
  </si>
  <si>
    <t>Group work in education. ; Cooperation -- Study and teaching.</t>
  </si>
  <si>
    <t>How to Use Action Research in the Self-Renewing School</t>
  </si>
  <si>
    <t>Calhoun, Emily F.</t>
  </si>
  <si>
    <t>LB1028.24 -- .C25 1994eb</t>
  </si>
  <si>
    <t>Action research in education -- United States. ; School improvement programs -- United States.</t>
  </si>
  <si>
    <t>Inviting Students to Learn : 100 Tips for Talking Effectively with Your Students</t>
  </si>
  <si>
    <t>Edwards, Jenny</t>
  </si>
  <si>
    <t>LB1033.5 .E39 2010</t>
  </si>
  <si>
    <t>Communication in education. ; Motivation in education. ; Teacher-student relationships.</t>
  </si>
  <si>
    <t>Education Unbound : The Promise and Practice of Greenfield Schooling</t>
  </si>
  <si>
    <t>Hess, Frederick M.</t>
  </si>
  <si>
    <t>LA217.2 .H48 2010</t>
  </si>
  <si>
    <t>Educational change-United States. ; Educational innovations-United States.</t>
  </si>
  <si>
    <t>Curriculum 21 : Essential Education for a Changing World</t>
  </si>
  <si>
    <t>Jacobs, Heidi Hayes</t>
  </si>
  <si>
    <t>LB2806.15 .C6915 2010</t>
  </si>
  <si>
    <t>375/.0010973</t>
  </si>
  <si>
    <t>Curriculum planning. ; Educational technology.</t>
  </si>
  <si>
    <t>Taking Charge of Professional Development : A Practical Model for Your School</t>
  </si>
  <si>
    <t>Semadeni, Joseph H.</t>
  </si>
  <si>
    <t>LB1731 -- .S44 2009eb</t>
  </si>
  <si>
    <t>Brain-Based Teaching in the Digital Age</t>
  </si>
  <si>
    <t>Sprenger, Marilee</t>
  </si>
  <si>
    <t>LB1057 -- .S66 2010eb</t>
  </si>
  <si>
    <t>Mental Health Care in the College Community</t>
  </si>
  <si>
    <t>Kay, Jerald;Schwartz, Victor</t>
  </si>
  <si>
    <t>RC451.4.S7T49 2010</t>
  </si>
  <si>
    <t>Universities - organization &amp; administration</t>
  </si>
  <si>
    <t>Methodological Advances in Educational Effectiveness Research</t>
  </si>
  <si>
    <t>Creemers, Bert P. M.;Kyriakides, Leonidas;Sammons, Pam</t>
  </si>
  <si>
    <t>Quantitative Methodology Series</t>
  </si>
  <si>
    <t>LB1028 -- .C736 2010eb</t>
  </si>
  <si>
    <t>Education -- Research -- Methodology.</t>
  </si>
  <si>
    <t>Tools for Dossier Success : A Guide for Promotion and Tenure</t>
  </si>
  <si>
    <t>Burnham, Joy J.;Hooper, Lisa M.;Wright, Vivian H.</t>
  </si>
  <si>
    <t>LB2335.7 -- .B87 2010eb</t>
  </si>
  <si>
    <t>378.1/214</t>
  </si>
  <si>
    <t>College teachers -- Tenure -- United States. ; College teachers -- Promotions -- United States.</t>
  </si>
  <si>
    <t>The Routledge Doctoral Supervisor's Companion : Supporting Effective Research in Education and the Social Sciences</t>
  </si>
  <si>
    <t>Walker, Melanie;Thomson, Pat</t>
  </si>
  <si>
    <t>Companions for PhD and DPhil Research Series</t>
  </si>
  <si>
    <t>LB2372.E3 -- R683 2010eb</t>
  </si>
  <si>
    <t>Education -- Study and teaching (Graduate) -- Handbooks, manuals, etc. ; Education -- Research -- Handbooks, manuals, etc. ; Social sciences -- Study and teaching (Graduate) -- Handbooks, manuals, etc. ; Social sciences -- Research -- Handbooks, manuals, etc. ; Doctoral students -- Handbooks, manuals, etc.</t>
  </si>
  <si>
    <t>The Routledge Doctoral Student's Companion : Getting to Grips with Research in Education and the Social Sciences</t>
  </si>
  <si>
    <t>Thomson, Pat;Walker, Melanie</t>
  </si>
  <si>
    <t>LB2372.E3 -- R68 2010eb</t>
  </si>
  <si>
    <t>Doctoral students</t>
  </si>
  <si>
    <t>Psychology for the Classroom: Constructivism and Social Learning</t>
  </si>
  <si>
    <t>Pritchard, Alan;Woollard, John</t>
  </si>
  <si>
    <t>Psychology for the Classroom Series</t>
  </si>
  <si>
    <t>LB1590.3 -- .P77 2010eb</t>
  </si>
  <si>
    <t>Debating Special Education</t>
  </si>
  <si>
    <t>LC3950 -- .F37 2010eb</t>
  </si>
  <si>
    <t>Lifelong Learning in Paid and Unpaid Work : Survey and Case Study Findings</t>
  </si>
  <si>
    <t>Livingstone, D. W.</t>
  </si>
  <si>
    <t>LC5254 -- .L54 2010eb</t>
  </si>
  <si>
    <t>374/.971</t>
  </si>
  <si>
    <t>Continuing education - Canada</t>
  </si>
  <si>
    <t>Re-Designing Learning Contexts : Technology-Rich, Learner-Centred Ecologies</t>
  </si>
  <si>
    <t>Luckin, Rosemary</t>
  </si>
  <si>
    <t>Foundations and Futures of Education Series</t>
  </si>
  <si>
    <t>LB1027.23 -- .L82 2010eb</t>
  </si>
  <si>
    <t>Active learning. ; Intelligent tutoring systems. ; Interactive computer systems.</t>
  </si>
  <si>
    <t>The Extremes of the Bell Curve : Excellent and Poor School Performance and Risk for Severe Mental Disorders</t>
  </si>
  <si>
    <t>MacCabe, James H.</t>
  </si>
  <si>
    <t>Maudsley Series</t>
  </si>
  <si>
    <t>LB1062.6 -- .M33 2010eb</t>
  </si>
  <si>
    <t>Academic achievement - Psychological aspects - Sweden</t>
  </si>
  <si>
    <t>Maroon and White : Mississippi State University, 1878-2003</t>
  </si>
  <si>
    <t>University Press of Mississippi</t>
  </si>
  <si>
    <t>Jackson</t>
  </si>
  <si>
    <t>Ballard, Michael B</t>
  </si>
  <si>
    <t>LD3381.M62 -- B35 2008eb</t>
  </si>
  <si>
    <t>378.762/953</t>
  </si>
  <si>
    <t>Mississippi State University -- History. ; Mississippi State College -- History.</t>
  </si>
  <si>
    <t>Hard Rain Fell : SDS and Why it Failed</t>
  </si>
  <si>
    <t>Barber, David</t>
  </si>
  <si>
    <t>LA229 -- .B25 2008eb</t>
  </si>
  <si>
    <t>378.1/981</t>
  </si>
  <si>
    <t>Students for a Democratic Society (U.S.) -- History. ; New Left -- United States -- History. ; College students -- Political activity -- United States -- History.</t>
  </si>
  <si>
    <t>Where Have All the Flower Children Gone?</t>
  </si>
  <si>
    <t>Gurvis, Sandra</t>
  </si>
  <si>
    <t>HN59 -- .G85 2006eb</t>
  </si>
  <si>
    <t>303.48/4097309045</t>
  </si>
  <si>
    <t>Protest movements -- United States -- History -- 20th century. ; Student protesters -- United States -- Interviews. ; Hippies -- United States -- Interviews. ; United States -- Social conditions -- 1960-1980.</t>
  </si>
  <si>
    <t>Haunted Halls : Ghostlore of American College Campuses</t>
  </si>
  <si>
    <t>BF1478 -- .T83 2007eb</t>
  </si>
  <si>
    <t>133.1/22</t>
  </si>
  <si>
    <t>Haunted universities and colleges -- United States. ; Ghosts -- United States.</t>
  </si>
  <si>
    <t>Encounters and Reflections : Conversations with Seth Benardete</t>
  </si>
  <si>
    <t>Benardete, Seth;Burger, Ronna</t>
  </si>
  <si>
    <t>PA85</t>
  </si>
  <si>
    <t>Philosophy teachers -- United States -- Interviews</t>
  </si>
  <si>
    <t>Accelerating the Education Sector Response to HIV : Five Years of Experience from Sub-Saharan Africa</t>
  </si>
  <si>
    <t>Bundy, Donald A.P.;Patrikios, Anthi;Mannathoko, Changu;Tembon, Andy;Manda, Stella;Sarr, Bachir;Drake, Lesley</t>
  </si>
  <si>
    <t>RA643.86.A357 -- A33 2010eb</t>
  </si>
  <si>
    <t>AIDS (Disease) -- Prevention -- Africa, Sub-Saharan. ; Health education -- Africa, Sub-Saharan.</t>
  </si>
  <si>
    <t>The Education of English Language Learners : Research to Practice</t>
  </si>
  <si>
    <t>Shatz, Marilyn;Wilkinson, Louise C.</t>
  </si>
  <si>
    <t>P118.2</t>
  </si>
  <si>
    <t>Second language acquisition -- Study and teaching. ; Language and languages -- Study and teaching. ; Multilingualism in children. ; Language and culture. ; Sociolinguistics.</t>
  </si>
  <si>
    <t>Learning Communities and Imagined Social Capital : Learning to Belong</t>
  </si>
  <si>
    <t>Quinn, Jocey;Haynes, Anthony</t>
  </si>
  <si>
    <t>LC5256.G7</t>
  </si>
  <si>
    <t>Continuing education - Great Britain</t>
  </si>
  <si>
    <t>The Education Mayor : Improving America's Schools</t>
  </si>
  <si>
    <t>Georgetown University Press</t>
  </si>
  <si>
    <t>Wong, Kenneth K.;Shen, Francis X.;Anagnostopoulos, Dorothea;Rutledge, Stacey</t>
  </si>
  <si>
    <t>American Governance and Public Policy Series</t>
  </si>
  <si>
    <t>LB2805 -- .E282 2007eb</t>
  </si>
  <si>
    <t>A Learning Community in the Primary Classroom</t>
  </si>
  <si>
    <t>Brophy, Jere;Alleman, Janet;Knighton, Barbara</t>
  </si>
  <si>
    <t>LB1555 -- .B812 2010eb</t>
  </si>
  <si>
    <t>Education, Primary -- Curricula. ; Elementary school teaching. ; Group work in education.</t>
  </si>
  <si>
    <t>Trust and Betrayal in Educational Administration and Leadership</t>
  </si>
  <si>
    <t>Samier, Eugenie A.;Schmidt, Michèle</t>
  </si>
  <si>
    <t>LB2806 -- .T777 2010eb</t>
  </si>
  <si>
    <t>School management and organization -- Moral and ethical aspects. ; Educational leadership -- Moral and ethical aspects. ; Trust. ; Organizational behavior.</t>
  </si>
  <si>
    <t>How Learning Works : Seven Research-Based Principles for Smart Teaching</t>
  </si>
  <si>
    <t>Ambrose, Susan A.;Bridges, Michael W.;DiPietro, Michele;Lovett, Marsha C.;Norman, Marie K.;Mayer, Richard E.</t>
  </si>
  <si>
    <t>Effective teaching -- Case studies</t>
  </si>
  <si>
    <t>Unscientific America : How Scientific Illiteracy Threatens our Future</t>
  </si>
  <si>
    <t>Basic Books</t>
  </si>
  <si>
    <t>Mooney, Chris;Kirshenbaum, Sheril</t>
  </si>
  <si>
    <t>Q149.U5 -- M66 2009eb</t>
  </si>
  <si>
    <t>Science -- Study and teaching -- United States. ; Communication in science -- United States. ; Science in popular culture -- United States.</t>
  </si>
  <si>
    <t>International Students' Handbook : Living and Studying in Australia</t>
  </si>
  <si>
    <t>Ong, Danny</t>
  </si>
  <si>
    <t>LB2378.A8.O64 2009</t>
  </si>
  <si>
    <t>370.1160994;378</t>
  </si>
  <si>
    <t>Philosophy. -- Metaphysics. -- lcsh ; Filosofia. -- Metafísica. -- lcsh ; Filosofía. -- Metafísica. -- lcsh ; Libros electronicos.</t>
  </si>
  <si>
    <t>School Discipline and Self-Discipline : A Practical Guide to Promoting Prosocial Student Behavior</t>
  </si>
  <si>
    <t>Bear, George G.</t>
  </si>
  <si>
    <t>LB3012</t>
  </si>
  <si>
    <t>Classroom management. ; Problem children -- Behavior modification. ; School discipline.</t>
  </si>
  <si>
    <t>The Building Blocks of Preschool Success</t>
  </si>
  <si>
    <t>Beauchat, Katherine A.;Blamey, Katrin L.;Walpole, Sharon</t>
  </si>
  <si>
    <t>LB1140.3.B43 2010</t>
  </si>
  <si>
    <t>Preschool teaching. ; Language arts (Preschool)</t>
  </si>
  <si>
    <t>Teacher Education for Inclusion : Changing Paradigms and Innovative Approaches</t>
  </si>
  <si>
    <t>Forlin, Chris</t>
  </si>
  <si>
    <t>LC1200 -- .T43 2010eb</t>
  </si>
  <si>
    <t>Literacy in Action: Football : 24 Flexible Lessons for Ages 9-11</t>
  </si>
  <si>
    <t>Butler, Heather</t>
  </si>
  <si>
    <t>LB1576 -- .B965 2010eb</t>
  </si>
  <si>
    <t>Language arts (Elementary) - Activity programs - Great Britain</t>
  </si>
  <si>
    <t>Hardest Deal of All : The Battle Over School Integration in Mississippi, 1870-1980</t>
  </si>
  <si>
    <t>Bolton, Charles C.</t>
  </si>
  <si>
    <t>LC214.22.M7 -- B65 2005eb</t>
  </si>
  <si>
    <t>379.2/63/09762</t>
  </si>
  <si>
    <t>Política social. ; Social policy. ; Libros electronicos.</t>
  </si>
  <si>
    <t>Daisy Bates : Civil Rights Crusader from Arkansas</t>
  </si>
  <si>
    <t>Stockley, Grif</t>
  </si>
  <si>
    <t>Margaret Walker Alexander Series in African American Studies</t>
  </si>
  <si>
    <t>F419.L7 -- S76 2005eb</t>
  </si>
  <si>
    <t>323/.092;B</t>
  </si>
  <si>
    <t>Bates, Daisy. ; Central High School (Little Rock, Ark.) ; African American women civil rights workers -- Arkansas -- Little Rock -- Biography. ; African Americans -- Arkansas -- Little Rock -- Biography. ; Civil rights workers -- Arkansas -- Little Rock -- Biography. ; Civil rights movements -- Arkansas -- Little Rock -- History. ; School integration -- Arkansas -- Little Rock -- History.</t>
  </si>
  <si>
    <t>History; Political Science</t>
  </si>
  <si>
    <t>Women's Work? : American Schoolteachers, 1650-1920</t>
  </si>
  <si>
    <t>Perlmann, Joel;Margo, Robert A.</t>
  </si>
  <si>
    <t>LB2837</t>
  </si>
  <si>
    <t>372.11/0082</t>
  </si>
  <si>
    <t>Women teachers -- United States -- Social conditions</t>
  </si>
  <si>
    <t>Teaching Children Science : Hands-On Nature Study in North America, 1890-1930</t>
  </si>
  <si>
    <t>Kohlstedt, Sally Gregory</t>
  </si>
  <si>
    <t>LB1585</t>
  </si>
  <si>
    <t>372.3/5097309041</t>
  </si>
  <si>
    <t>Nature study -- United States -- History -- 20th century</t>
  </si>
  <si>
    <t>Citizenship Across the Curriculum</t>
  </si>
  <si>
    <t>Smith, Michael B.;Nowacek, Rebecca S.;Bernstein, Jeffrey L.</t>
  </si>
  <si>
    <t>LC1091 -- .C58 2010eb</t>
  </si>
  <si>
    <t>Citizenship -- Study and teaching -- Cross-cultural studies. ; Curriculum planning -- Cross-cultural studies.</t>
  </si>
  <si>
    <t>Where Is Knowing Going? : The Horizons of the Knowing Subject</t>
  </si>
  <si>
    <t>Haughey, John C.</t>
  </si>
  <si>
    <t>LC501.H355 2009</t>
  </si>
  <si>
    <t>378/.071273</t>
  </si>
  <si>
    <t>Educating Scholars : Doctoral Education in the Humanities</t>
  </si>
  <si>
    <t>Ehrenberg, Ronald G.;Zuckerman, Harriet;Groen, Jeffrey A.;Brucker, Sharon M.</t>
  </si>
  <si>
    <t>AZ183.U5E35 2010</t>
  </si>
  <si>
    <t>No Longer Separate, Not yet Equal : Race and Class in Elite College Admission and Campus Life</t>
  </si>
  <si>
    <t>Espenshade, Thomas J.;Radford, Alexandria Walton</t>
  </si>
  <si>
    <t>LC3731.E86 2009</t>
  </si>
  <si>
    <t>Little Rock : Race and Resistance at Central High School</t>
  </si>
  <si>
    <t>Anderson, Karen</t>
  </si>
  <si>
    <t>Politics and Society in Modern America Series</t>
  </si>
  <si>
    <t>LC214.23.L56A53 2010</t>
  </si>
  <si>
    <t>379.2/630976773</t>
  </si>
  <si>
    <t>Managing Finance, Resources and Stakeholders in Education</t>
  </si>
  <si>
    <t>Anderson, Lesley;Briggs, Ann;Burton, Neil</t>
  </si>
  <si>
    <t>Education - Great Britain - Finance</t>
  </si>
  <si>
    <t>Improving Services for Young Children : From Sure Start to Childrens Centres</t>
  </si>
  <si>
    <t>Anning, Angela;Ball, Mog</t>
  </si>
  <si>
    <t>HV751.A6 -- I54 2008eb</t>
  </si>
  <si>
    <t>Poor children - Services for - Great Britain</t>
  </si>
  <si>
    <t>The Coaching Toolkit : A Practical Guide for Your School</t>
  </si>
  <si>
    <t>Allison, Shaun;Harbour, Michael</t>
  </si>
  <si>
    <t>LB1731.4 -- .A45 2009eb</t>
  </si>
  <si>
    <t>Leading and Managing Extended Schools : Ensuring Every Child Matters</t>
  </si>
  <si>
    <t>Middlewood, David;Parker, Richard</t>
  </si>
  <si>
    <t>Education Leadership for Social Justice Series</t>
  </si>
  <si>
    <t>LB2806 -- .M432 2009eb</t>
  </si>
  <si>
    <t>School facilities - Extended use</t>
  </si>
  <si>
    <t>Working with Parents : A Guide for Education Professionals</t>
  </si>
  <si>
    <t>Digman, Carmel;Soan, Sue</t>
  </si>
  <si>
    <t>LC225.33.G7 -- D54 2008eb</t>
  </si>
  <si>
    <t>Parent-student counselor relationships - Great Britain</t>
  </si>
  <si>
    <t>Improving School Behaviour</t>
  </si>
  <si>
    <t>Watkins, Chris;Wagner, Patsy</t>
  </si>
  <si>
    <t>LB3012$b.W36 2000</t>
  </si>
  <si>
    <t>Classroom management</t>
  </si>
  <si>
    <t>Starting Science... Again? : Making Progress in Science Learning</t>
  </si>
  <si>
    <t>Braund, Martin</t>
  </si>
  <si>
    <t>Q183.4.G7 -- B73 2008eb</t>
  </si>
  <si>
    <t>Science - Study and teaching (Secondary) - Great Britain</t>
  </si>
  <si>
    <t>Rob Longs Intervention Toolbox : For Social, Emotional and Behavioural Difficulties</t>
  </si>
  <si>
    <t>Long, Rob</t>
  </si>
  <si>
    <t>LC4801 -- .L66 2009eb</t>
  </si>
  <si>
    <t>Problem children -- Education. ; Classroom management. ; Behavior modification.</t>
  </si>
  <si>
    <t>Learning with the Brain in Mind</t>
  </si>
  <si>
    <t>McNeil, Frank</t>
  </si>
  <si>
    <t>LB1060 -- .M36 2009eb</t>
  </si>
  <si>
    <t>Memory in children</t>
  </si>
  <si>
    <t>Attention Seeking : A Complete Guide for Teachers</t>
  </si>
  <si>
    <t>Mellor, Nigel</t>
  </si>
  <si>
    <t>BF637.A77 -- M45 2008eb</t>
  </si>
  <si>
    <t>Attention-seeking. ; Emotional problems of children. ; Problem children -- Behavior modification. ; Problem children -- Education. ; Classroom management.</t>
  </si>
  <si>
    <t>Talking Is for All : How Children and Teenagers Develop Emotional Literacy</t>
  </si>
  <si>
    <t>Rudd, Betty</t>
  </si>
  <si>
    <t>BF576.R83 2008</t>
  </si>
  <si>
    <t>Emotional intelligence. ; Emotions in children. ; Emotions in adolescence. ; Interpersonal communication.</t>
  </si>
  <si>
    <t>Magic Circles : Self-Esteem for Everyone in Circle Time</t>
  </si>
  <si>
    <t>White, Murray</t>
  </si>
  <si>
    <t>BF723.S3 -- W45 2009eb</t>
  </si>
  <si>
    <t>Self-esteem in children -- Study and teaching -- Activity programs. ; Self-esteem in adolescence -- Study and teaching -- Activity programs.</t>
  </si>
  <si>
    <t>Internationalism, National Identities, and Study Abroad : France and the United States, 1890-1970</t>
  </si>
  <si>
    <t>Stanford University Press</t>
  </si>
  <si>
    <t>Redwood City</t>
  </si>
  <si>
    <t>Walton, Whitney</t>
  </si>
  <si>
    <t>370.116/20944</t>
  </si>
  <si>
    <t>Educational exchanges -- France -- History. ; Educational exchanges -- United States -- History. ; Foreign study -- France -- History. ; Foreign study -- United States -- History. ; Internationalism -- History. ; National characteristics, American -- History. ; National characteristics, French -- History.</t>
  </si>
  <si>
    <t>Young People's Voices in Physical Education and Youth Sport</t>
  </si>
  <si>
    <t>O'Sullivan, Mary;MacPhail, Ann</t>
  </si>
  <si>
    <t>GV342.27 -- .Y68 2010eb</t>
  </si>
  <si>
    <t>Physical education for children - Social aspects</t>
  </si>
  <si>
    <t>Handbook of Research on Schools, Schooling and Human Development</t>
  </si>
  <si>
    <t>Meece, Judith L.;Eccles, Jacquelynne S.</t>
  </si>
  <si>
    <t>LB1507 -- .H255 2010eb</t>
  </si>
  <si>
    <t>Adolescent development - Research</t>
  </si>
  <si>
    <t>Bringing the High Scope Approach to Your Early Years Practice</t>
  </si>
  <si>
    <t>Holt, Nicky</t>
  </si>
  <si>
    <t>Bringing ... to Your Early Years Practice Series</t>
  </si>
  <si>
    <t>LB1139.3.G7 -- H65 2010eb</t>
  </si>
  <si>
    <t>Early childhood education - Great Britain</t>
  </si>
  <si>
    <t>Right to Be Hostile : Schools, Prisons, and the Making of Public Enemies</t>
  </si>
  <si>
    <t>Meiners, Erica R.</t>
  </si>
  <si>
    <t>LC196 -- .M435 2007eb</t>
  </si>
  <si>
    <t>Critical pedagogy - United States</t>
  </si>
  <si>
    <t>Globalization, Changing Demographics, and Educational Challenges in East Asia</t>
  </si>
  <si>
    <t>Hannum, Emily;Park, Hyunjoon;Butler, Yuko Goto</t>
  </si>
  <si>
    <t>LC191.8.A353G56 2010</t>
  </si>
  <si>
    <t>Education -- China -- Hong Kong. ; Education -- China. ; Education -- Japan. ; Education -- Korea (South) ; Education -- Singapore. ; Globalization -- Social aspects.</t>
  </si>
  <si>
    <t>Tijd voor dikke leerkrachten : Over maatwerk als kern van goed onderwijs</t>
  </si>
  <si>
    <t>Oostdam, R.</t>
  </si>
  <si>
    <t>HVA Openbare Lessen</t>
  </si>
  <si>
    <t>LB3013 -- .O68 2010eb</t>
  </si>
  <si>
    <t>Classroom management. ; Effective teaching -- Netherlands. ; Teachers -- Training of.</t>
  </si>
  <si>
    <t>Leren in ontwikkelingslanden</t>
  </si>
  <si>
    <t>Pradhan, Menno</t>
  </si>
  <si>
    <t>VOR Economie en Bedrijfskunde, 343</t>
  </si>
  <si>
    <t>No. 343</t>
  </si>
  <si>
    <t>HG3881.5.W57 -- P733 2009eb</t>
  </si>
  <si>
    <t>Poverty -- Developing countries. ; Poor -- Developing countries. ; Poverty -- Indonesia -- Econometric models. ; Developing countries -- Economic conditions.</t>
  </si>
  <si>
    <t>Business/Management; Geography/Travel</t>
  </si>
  <si>
    <t>Linguistics at School : Language Awareness in Primary and Secondary Education</t>
  </si>
  <si>
    <t>Denham, Kristin;Lobeck, Anne</t>
  </si>
  <si>
    <t>LB1576 -- .L536 2010eb</t>
  </si>
  <si>
    <t>English teachers, Training of</t>
  </si>
  <si>
    <t>Culturally and Linguistically Diverse Classrooms : New Dilemmas for Teachers</t>
  </si>
  <si>
    <t>Miller, Jennifer;Kostogriz, Alex;Gearon, Margaret</t>
  </si>
  <si>
    <t>PE1128.A2 -- C85 2009eb</t>
  </si>
  <si>
    <t>English language -- Study and teaching (Secondary) -- United States</t>
  </si>
  <si>
    <t>The Education of Language Minority Immigrants in the United States</t>
  </si>
  <si>
    <t>Wiley, Terrence;Lee, Jin Sook;Rumberger, Russell W.</t>
  </si>
  <si>
    <t>Multilingualism in Mathematics Classrooms : Global Perspectives</t>
  </si>
  <si>
    <t>Barwell, Richard</t>
  </si>
  <si>
    <t>QA13 -- .M87 2009eb</t>
  </si>
  <si>
    <t>372.7/044</t>
  </si>
  <si>
    <t>Mathematics -- Study and teaching. ; Education, Bilingual. ; Multilingualism. ; Language and education.</t>
  </si>
  <si>
    <t>Decolonizing Literacy : Mexican Lives in the Era of Global Capitalism</t>
  </si>
  <si>
    <t>Hernandez-Zamora, Gregorio</t>
  </si>
  <si>
    <t>LC155.M5 -- H47 2010eb</t>
  </si>
  <si>
    <t>302.2/2440972</t>
  </si>
  <si>
    <t>Mexicans -- Social conditions</t>
  </si>
  <si>
    <t>Rethinking Learning for a Digital Age : How Learners Are Shaping Their Own Experiences</t>
  </si>
  <si>
    <t>Sharpe, Rhona;Beetham, Helen;de Freitas, Sara</t>
  </si>
  <si>
    <t>LB1028.5 -- .R438 2010eb</t>
  </si>
  <si>
    <t>Teaching and Learning with Technology : Beyond Constructivism</t>
  </si>
  <si>
    <t>Stewart, Concetta M.;Schifter, Catherine C.;Selverian, Melissa E. Markaridian</t>
  </si>
  <si>
    <t>LB1028.3 -- .T375 2010eb</t>
  </si>
  <si>
    <t>Cross-Border Partnerships in Higher Education : Strategies and Issues</t>
  </si>
  <si>
    <t>Sakamoto, Robin;Chapman, David</t>
  </si>
  <si>
    <t>LC1095 -- .S65 2010eb</t>
  </si>
  <si>
    <t>Transnational education</t>
  </si>
  <si>
    <t>Actor-Network Theory in Education</t>
  </si>
  <si>
    <t>Fenwick, Tara;Edwards, Richard</t>
  </si>
  <si>
    <t>LC210 -- .F46 2010eb</t>
  </si>
  <si>
    <t>School environment - Social aspects</t>
  </si>
  <si>
    <t>Adventure Stories for Reading, Learning and Literacy : Cross-Curricular Resources for the Primary School</t>
  </si>
  <si>
    <t>Leicester, Mal;Twelvetrees, Roger</t>
  </si>
  <si>
    <t>LB1573 -- .L425 2010eb</t>
  </si>
  <si>
    <t>379.2/4</t>
  </si>
  <si>
    <t>Literature - Study and teaching (Elementary)</t>
  </si>
  <si>
    <t>The School Principal : Visionary Leadership and Competent Management</t>
  </si>
  <si>
    <t>Kowalski, Theodore J.</t>
  </si>
  <si>
    <t>LB2831.92 -- .K69 2010eb</t>
  </si>
  <si>
    <t>Victims of Benevolence : The Dark Legacy of the Williams Lake Residential School</t>
  </si>
  <si>
    <t>Arsenal Pulp Press</t>
  </si>
  <si>
    <t>Furniss, Elizabeth</t>
  </si>
  <si>
    <t>E78.B9 -- F87 2000eb</t>
  </si>
  <si>
    <t>Indians of North America -- British Columbia -- Williams Lake -- History. ; Indians, Treatment of -- British Columbia -- Williams Lake -- History. ; Shuswap Indians.</t>
  </si>
  <si>
    <t>Education; History</t>
  </si>
  <si>
    <t>NESA : Activites Handbook for Native and Multicultural Classrooms, Volume 2</t>
  </si>
  <si>
    <t>Sawyer, Don;Napoleon, Art;Native Education Services Associates</t>
  </si>
  <si>
    <t>E96.2 -- .N47 1995eb</t>
  </si>
  <si>
    <t>Indians of North America -- Education. ; Minorities -- Education. ; Experience.</t>
  </si>
  <si>
    <t>Conversations with Great Teachers</t>
  </si>
  <si>
    <t>Smoot, Bill</t>
  </si>
  <si>
    <t>LA2311 -- .S56 2010eb</t>
  </si>
  <si>
    <t>Teachers -- United States -- Interviews. ; Teachers -- United States -- Biography. ; Teachers -- Job satisfaction -- United States.</t>
  </si>
  <si>
    <t>Researching and Understanding Educational Networks</t>
  </si>
  <si>
    <t>McCormick, Robert;Fox, Alison;Carmichael, Patrick;Procter, Richard</t>
  </si>
  <si>
    <t>New Perspectives on Learning and Instruction Series</t>
  </si>
  <si>
    <t>LB1731 -- .R465 2010eb</t>
  </si>
  <si>
    <t>Education, Politics and Religion : Reconciling the Civil and the Sacred in Education</t>
  </si>
  <si>
    <t>Arthur, James;Gearon, Liam;Sears, Alan</t>
  </si>
  <si>
    <t>LC111 -- .A9 2010eb</t>
  </si>
  <si>
    <t>Christians - Political activity - United States</t>
  </si>
  <si>
    <t>Towards Excellence in Early Years Education : Exploring Narratives of Experience</t>
  </si>
  <si>
    <t>Goouch, Kathleen;David, Tricia</t>
  </si>
  <si>
    <t>LB1139.23 -- .G662 2010eb</t>
  </si>
  <si>
    <t>Parent-teacher relationships</t>
  </si>
  <si>
    <t>Tackling Controversial Issues in the Primary School : Facing Life's Challenges with Your Learners</t>
  </si>
  <si>
    <t>Woolley, Richard</t>
  </si>
  <si>
    <t>LC212.82 -- .W66 2010eb</t>
  </si>
  <si>
    <t>372.011/5</t>
  </si>
  <si>
    <t>Education, Elementary - Social aspects - United States</t>
  </si>
  <si>
    <t>Paradox of Natural Mothering</t>
  </si>
  <si>
    <t>Bobel, Chris</t>
  </si>
  <si>
    <t>HQ759</t>
  </si>
  <si>
    <t>306.874/3</t>
  </si>
  <si>
    <t>Mothers-United States-Attitudes. ; Homemakers-United States-Attitudes. ; Alternative lifestyles-United States. ; Childbirth at home-United States. ; Home schooling-United States.</t>
  </si>
  <si>
    <t>White Boy : A Memoir</t>
  </si>
  <si>
    <t>Naison, Mark</t>
  </si>
  <si>
    <t>E185</t>
  </si>
  <si>
    <t>974.7/23</t>
  </si>
  <si>
    <t>Naison, Mark D.,-1946- ; African Americans. ; African Americans-Study and teaching (Higher)-New York (State)-New York-History-20th century. ; College teachers-New York (State)-New York-Biography. ; Men, White-New York (State)-New York-Biography. ; Jews-New York (State)-New York-Biography. ; Brooklyn (New York, N.Y.)-Race relations. ; Brooklyn (New York, N.Y.)-Biography. ; New York (N.Y.)-Race relations. ; New York (N.Y.)-Biography.</t>
  </si>
  <si>
    <t>How to Succeed in Academics, 2nd Edition</t>
  </si>
  <si>
    <t>McCabe, Linda L.;McCabe, Edward R. B.</t>
  </si>
  <si>
    <t>LB1778 -- .M27 2010eb</t>
  </si>
  <si>
    <t>378.1/2023</t>
  </si>
  <si>
    <t>Universities and colleges - Faculty</t>
  </si>
  <si>
    <t>The Lost Boys of Zeta Psi : A Historical Archaeology of Masculinity at a University Fraternity</t>
  </si>
  <si>
    <t>Wilkie, Laurie A.</t>
  </si>
  <si>
    <t>LJ75.Z735 -- W55 2010eb</t>
  </si>
  <si>
    <t>Educating for Advanced Foreign Language Capacities : Constructs, Curriculum, Instruction, Assessment</t>
  </si>
  <si>
    <t>Byrnes, Heidi;Weger, Heather D.;Sprang, Katherine A.;Langacker, Ronald W.;Stutterheim, Christiane von;Carroll, Mary;Lambert, Monique;Behrens, Bergljot;Strauss, Susan;Pavlenko, Aneta</t>
  </si>
  <si>
    <t>Georgetown University Round Table on Languages and Linguistics Series</t>
  </si>
  <si>
    <t>P53 -- .G39a 2005eb</t>
  </si>
  <si>
    <t>418/.0071/1</t>
  </si>
  <si>
    <t>Careers in International Affairs</t>
  </si>
  <si>
    <t>Carland, Maria Pinto;Faber, Candace</t>
  </si>
  <si>
    <t>JZ1238.U6 -- C37 2008eb</t>
  </si>
  <si>
    <t>327.023/73</t>
  </si>
  <si>
    <t>Medicine. -- General. -- Periodicals. -- Cuba. ; Medicina. -- General. -- Publicaciones seriadas. -- Cuba. ; Libros electronicos.</t>
  </si>
  <si>
    <t>Ten Thousand Democracies : Politics and Public Opinion in America's School Districts</t>
  </si>
  <si>
    <t>Berkman, Michael B.;Plutzer, Eric</t>
  </si>
  <si>
    <t>LB2817.3 -- .B47 2005eb</t>
  </si>
  <si>
    <t>Brave New Digital Classroom : Technology and Foreign Language Learning</t>
  </si>
  <si>
    <t>Blake, Robert J.;Chun, Dorothy M.</t>
  </si>
  <si>
    <t>LB1028.3 -- .B567 2008eb</t>
  </si>
  <si>
    <t>Education. -- General. ; Educación. -- General. ; Libros electronicos.</t>
  </si>
  <si>
    <t>School's In : Federalism and the National Education Agenda</t>
  </si>
  <si>
    <t>Manna, Paul</t>
  </si>
  <si>
    <t>LC89 -- .M223 2006eb</t>
  </si>
  <si>
    <t>Mind and Context in Adult Second Language Acquisition : Methods, Theory, and Practice</t>
  </si>
  <si>
    <t>Sanz, Cristina;Chen, Rusan;Adams, Rebecca;Fujii, Akiko;Mackey, Alison;Leow, Ronald P.;Ullman, Michael T.;Byrnes, Heidi;VanPatten, Bill;Wood Bowden, Harriet</t>
  </si>
  <si>
    <t>P118.2 -- .M56 2005eb</t>
  </si>
  <si>
    <t>Nature and Revelation : A History of Macalester College</t>
  </si>
  <si>
    <t>Kilde, Jeanne Halgren;Stewart, James Brewer</t>
  </si>
  <si>
    <t>LD3141.M222 -- N47 2010eb</t>
  </si>
  <si>
    <t>378.776/581</t>
  </si>
  <si>
    <t>Macalester College -- History. ; Universities and colleges -- Minnesota -- Saint Paul -- History.</t>
  </si>
  <si>
    <t>Meeting the Challenges of Change in Postgraduate Education</t>
  </si>
  <si>
    <t>Kerry, Trevor;Elton, Lewis Richard Benjamin;Harland, Tony;Hase, Stewart;Karran, Terence;Kenyon, Chris;Kerry, Prof. Trevor;Kerry, Carolle;Lofgren, Kent;McDermott, Paul</t>
  </si>
  <si>
    <t>LB2371 -- .M44 2010eb</t>
  </si>
  <si>
    <t>Universities and colleges--Great Britain--Graduate work. ; Educational change--Great Britain.</t>
  </si>
  <si>
    <t>Language Program Leadership in a Changing World: an Ecological Model</t>
  </si>
  <si>
    <t>Pennington, Martha;Hoekje, Barbara</t>
  </si>
  <si>
    <t>Innovation and Leadership in English Language Teaching Series</t>
  </si>
  <si>
    <t>PE1128.A2 P46 2010</t>
  </si>
  <si>
    <t>English language-Study and teaching. ; Curriculum planning. ; Educational leadership.</t>
  </si>
  <si>
    <t>Contours of Ableism : The Production of Disability and Abledness</t>
  </si>
  <si>
    <t>Palgrave Macmillan Limited</t>
  </si>
  <si>
    <t>Campbell, F.</t>
  </si>
  <si>
    <t>HV70-72</t>
  </si>
  <si>
    <t>Social policy</t>
  </si>
  <si>
    <t>Art and Disability : The Social and Political Struggles Facing Education</t>
  </si>
  <si>
    <t>Cardinal, Roger;Wexler, A.</t>
  </si>
  <si>
    <t>Arts and society -- United States</t>
  </si>
  <si>
    <t>Decade Ahead : Applications and Contexts of Motivation and Achievement</t>
  </si>
  <si>
    <t>Karabenick, Stuart;Urdan, Tim</t>
  </si>
  <si>
    <t>Advances in Motivation and Achievement Series</t>
  </si>
  <si>
    <t>16, Part B</t>
  </si>
  <si>
    <t>LB1065.D43eb vol. 16</t>
  </si>
  <si>
    <t>Different Three Rs for Education : Reason, Relationality, Rhythm</t>
  </si>
  <si>
    <t>Rodopi</t>
  </si>
  <si>
    <t>Allan, George;Evans, Malcolm D.</t>
  </si>
  <si>
    <t>Value Inquiry Book Series, 176</t>
  </si>
  <si>
    <t>v. 176</t>
  </si>
  <si>
    <t>LC990 -- .D54 2006eb</t>
  </si>
  <si>
    <t>Education -- Philosophy. ; Educational change. ; Holistic education. ; Process philosophy.</t>
  </si>
  <si>
    <t>Making Strange : Beauty, Sublimity, and the (Post) Modern 'Third Aesthetic'</t>
  </si>
  <si>
    <t>Brill / Rodopi</t>
  </si>
  <si>
    <t>Grabes, Herbert</t>
  </si>
  <si>
    <t>Postmodern Studies</t>
  </si>
  <si>
    <t>NX456.5.P66 -- G73 2008eb</t>
  </si>
  <si>
    <t>Contemporary Issues in Education</t>
  </si>
  <si>
    <t>Preston, David Seth</t>
  </si>
  <si>
    <t>At the Interface / Probing the Boundaries Series</t>
  </si>
  <si>
    <t>LA1236</t>
  </si>
  <si>
    <t>Education, Higher-Congresses. ; Universities and colleges-Congresses. ; Education, Higher-Philosophy-Congresses. ; Universities and colleges-Philosophy-Congresses.</t>
  </si>
  <si>
    <t>Virtuality and Education : A Reader</t>
  </si>
  <si>
    <t>Nguyen, Tuan Hoang;Preston, David Seth</t>
  </si>
  <si>
    <t>LB2395.7 .V57 2006</t>
  </si>
  <si>
    <t>Education for a Democratic Society : The Central European Pragmatist Forum, Volume Three</t>
  </si>
  <si>
    <t>Ryder, John;Wegmarshaus, Gert-Rüdiger</t>
  </si>
  <si>
    <t>Value Inquiry Book Series</t>
  </si>
  <si>
    <t>LB14.7</t>
  </si>
  <si>
    <t>Gypsy Scholars, Migrant Teachers and the Global Academic Proletariat : Adjunct Labour in Higher Education</t>
  </si>
  <si>
    <t>Teeuwen, Rudolphus;Hantke, Steffen</t>
  </si>
  <si>
    <t>LB2844.1.P3 .G97 20</t>
  </si>
  <si>
    <t>The Adventure of Education : Process Philosophers on Learning, Teaching, and Research</t>
  </si>
  <si>
    <t>Scarfe, Adam C.</t>
  </si>
  <si>
    <t>LB775.W4642 -- A38 2009eb</t>
  </si>
  <si>
    <t>Observation, Hypothesis, Introspection</t>
  </si>
  <si>
    <t>Wiegner, Adam;Nowakowa, Izabella</t>
  </si>
  <si>
    <t>Poznań Studies in the Philosophy of the Sciences and the Humanities Series</t>
  </si>
  <si>
    <t>B804</t>
  </si>
  <si>
    <t>Transcultural Graffiti : Diasporic Writing and the Teaching of Literary Studies</t>
  </si>
  <si>
    <t>West-Pavlov, Russell</t>
  </si>
  <si>
    <t>Internationale Forschungen Zur Allgemeinen und Vergleichenden Literaturwissenschaft Series</t>
  </si>
  <si>
    <t>PN61 .W478 2005</t>
  </si>
  <si>
    <t>Literature-Study and teaching. ; Translating and interpreting. ; Developing countries-Literatures-Study and teaching.</t>
  </si>
  <si>
    <t>Pragmatism, Education, and Children : International Philosophical Perspectives</t>
  </si>
  <si>
    <t>Taylor, Michael;Schreier, Helmut;Ghiraldelli Jr., Paulo</t>
  </si>
  <si>
    <t>Research on Mother Tongue Education in a Comparative International Perspective : Theoretical and Methodological Issues</t>
  </si>
  <si>
    <t>Herrlitz, Wolfgang;Ongstad, Sigmund;van de Ven, Piet-Hein</t>
  </si>
  <si>
    <t>Utrecht Studies in Language and Communication Series</t>
  </si>
  <si>
    <t>LC201.5</t>
  </si>
  <si>
    <t>Education and Leadership</t>
  </si>
  <si>
    <t>Claes, Tom;McMahon, Frank;Preston, David Seth</t>
  </si>
  <si>
    <t>LB2324 .E37 2008</t>
  </si>
  <si>
    <t>Emerging Practices in Cyberculture and Social Networking</t>
  </si>
  <si>
    <t>Riha, Daniel</t>
  </si>
  <si>
    <t>QA76.9.C66E44 2010</t>
  </si>
  <si>
    <t>Social Science; Computer Science/IT</t>
  </si>
  <si>
    <t>Educational Leadership and Management : Developing Insights and Skills</t>
  </si>
  <si>
    <t>Coleman, Marianne;Glover, Derek</t>
  </si>
  <si>
    <t>LB2806 .C65 2010</t>
  </si>
  <si>
    <t>The Psychological Contract : Managing and Developing Professional Groups</t>
  </si>
  <si>
    <t>George, Christeen</t>
  </si>
  <si>
    <t>HF5549 .G46 2009</t>
  </si>
  <si>
    <t>Industrial management. ; Psychology, Industrial.</t>
  </si>
  <si>
    <t>New Kinds of Smart: Teaching Young People to Be Intelligent for Today's World</t>
  </si>
  <si>
    <t>Lucas, Bill;Claxton, Guy</t>
  </si>
  <si>
    <t>QP398 -- .L83 2010eb</t>
  </si>
  <si>
    <t>The Student's Guide to Research Ethics</t>
  </si>
  <si>
    <t>Oliver, Paul</t>
  </si>
  <si>
    <t>Q180.55.M67 -- O38 2010eb</t>
  </si>
  <si>
    <t>Research-Moral and ethical aspects.</t>
  </si>
  <si>
    <t>Good Practice in Science Teaching: What Research Has to Say</t>
  </si>
  <si>
    <t>Osborne, Jonathan;Dillon, Justin</t>
  </si>
  <si>
    <t>Q181 .G66 2010</t>
  </si>
  <si>
    <t>Science-Study and teaching-Research. ; Research.</t>
  </si>
  <si>
    <t>Contemporary Perspectives on Early Childhood Education</t>
  </si>
  <si>
    <t>LB1139.23 .C66 2010</t>
  </si>
  <si>
    <t>Early childhood education. ; Education, Elementary.</t>
  </si>
  <si>
    <t>Reauthorizing No Child Left Behind : Facts and Recommendations</t>
  </si>
  <si>
    <t>Stecher, Brian M.;Vernez, Georges</t>
  </si>
  <si>
    <t>LB2806.22 -- .S822 2010eb</t>
  </si>
  <si>
    <t>United States. -- No Child Left Behind Act of 2001. ; Educational accountability -- United States.</t>
  </si>
  <si>
    <t>Intercultural and Multicultural Education : Enhancing Global Interconnectedness</t>
  </si>
  <si>
    <t>Grant, Carl A.;Portera, Agostino</t>
  </si>
  <si>
    <t>LC1099 -- .I53 2010eb</t>
  </si>
  <si>
    <t>Inclusive Education in the Middle East</t>
  </si>
  <si>
    <t>Gaad, Eman</t>
  </si>
  <si>
    <t>LC1203.M65 -- G33 2010eb</t>
  </si>
  <si>
    <t>Inclusive education - Middle East</t>
  </si>
  <si>
    <t>A Critical Realist Perspective of Education</t>
  </si>
  <si>
    <t>Shipway, Brad</t>
  </si>
  <si>
    <t>New Studies in Critical Realism and Education (Routledge Critical Realism) Series</t>
  </si>
  <si>
    <t>LB14.7 -- .S5317 2010eb</t>
  </si>
  <si>
    <t>Knowledge, Theory of</t>
  </si>
  <si>
    <t>Teaching Visual Literacy in the Primary Classroom : Comic Books, Film, Television and Picture Narratives</t>
  </si>
  <si>
    <t>Stafford, Tim</t>
  </si>
  <si>
    <t>LB1523 -- .S72 2010eb</t>
  </si>
  <si>
    <t>372.133/5</t>
  </si>
  <si>
    <t>Visual literacy - Study and teaching (Primary)</t>
  </si>
  <si>
    <t>Organizing for Educational Justice : The Campaign for Public School Reform in the South Bronx</t>
  </si>
  <si>
    <t>Fabricant, Michael B.</t>
  </si>
  <si>
    <t>LA339.N5 -- F34 2010eb</t>
  </si>
  <si>
    <t>371.2/0709747275</t>
  </si>
  <si>
    <t>Public schools -- New York (State) -- New York. ; School improvement programs -- New York (State) -- New York. ; Educational change -- New York (State) -- New York. ; Community organization -- New York (State) -- New York. ; Social movements -- New York (State) -- New York. ; Bronx (New York, N.Y.) -- Social conditions.</t>
  </si>
  <si>
    <t>Gophers Illustrated : The Incredible Complete History of Minnesota Football</t>
  </si>
  <si>
    <t>Papas, Al</t>
  </si>
  <si>
    <t>GV958.U529 -- P38 2009eb</t>
  </si>
  <si>
    <t>796.332/6309776579</t>
  </si>
  <si>
    <t>University of Minnesota -- Football -- History. ; Football players -- United States -- Portraits.</t>
  </si>
  <si>
    <t>Chance for European Universities : Or, Avoiding the Looming University Crisis in Europe</t>
  </si>
  <si>
    <t>Ritzen, Jo</t>
  </si>
  <si>
    <t>LA628 -- .R58 2009eb</t>
  </si>
  <si>
    <t>Education, Higher -- Europe.</t>
  </si>
  <si>
    <t>Dot Com Mantra : Social Computing in the Central Himalayas</t>
  </si>
  <si>
    <t>Arora, Payal</t>
  </si>
  <si>
    <t>HN690.A455 -- A76 2010eb</t>
  </si>
  <si>
    <t>Internet -- Social aspects -- India -- Almora. ; Computer networks -- Social aspects -- India -- Almora. ; Computer literacy -- India -- Almora. ; Almora (India) -- Social conditions.</t>
  </si>
  <si>
    <t>Participatory Development in Kenya : Empowerment Transformation and Sustainability</t>
  </si>
  <si>
    <t>Mwanzia, Josephine Syokau;Strathdee, Robert Craig;Grieco, Professor Margaret</t>
  </si>
  <si>
    <t>Voices in Development Management</t>
  </si>
  <si>
    <t>HN793.Z9 -- C6492 2010eb</t>
  </si>
  <si>
    <t>Community development -- Kenya -- Citizen participation. ; Social planning -- Kenya -- Citizen participation.</t>
  </si>
  <si>
    <t>Educational Opportunity : The Geography of Access to Higher Education</t>
  </si>
  <si>
    <t>Singleton, Alexander D.</t>
  </si>
  <si>
    <t>LC191.98.G7 -- S55 2010eb</t>
  </si>
  <si>
    <t>378.1/61</t>
  </si>
  <si>
    <t>Education -- Demographic aspects -- Great Britain</t>
  </si>
  <si>
    <t>Learning from Lincoln : Leadership Practices for School Success</t>
  </si>
  <si>
    <t>Alvy, Harvey;Robbins, Pam</t>
  </si>
  <si>
    <t>LB2805 .A464 2010</t>
  </si>
  <si>
    <t>Lincoln, Abraham,-1809-1865. ; School management and organization. ; Educational leadership.</t>
  </si>
  <si>
    <t>Connecting Teachers, Students, and Standards: Strategies for Success in Diverse and Inclusive Classrooms : Strategies for Success in Diverse and Inclusive Classrooms</t>
  </si>
  <si>
    <t>Voltz, Deborah L.;Sims, Michele Jean</t>
  </si>
  <si>
    <t>LC1201 .V65 2010</t>
  </si>
  <si>
    <t>Inclusive education-United States. ; Classroom management-United States. ; Multicultural education-United States. ; Teaching-United States. ; Special education-United States. ; Children with disabilities-Education-United States.</t>
  </si>
  <si>
    <t>Learning to Love Math : Teaching Strategies That Change Student Attitudes and Get Results</t>
  </si>
  <si>
    <t>QA11.2 .W58 2010</t>
  </si>
  <si>
    <t>Mathematics-Study and teaching-Psychological aspects. ; Mathematics-Psychological aspects.</t>
  </si>
  <si>
    <t>What Every School Leader Needs to Know about RTI</t>
  </si>
  <si>
    <t>Searle, Margaret</t>
  </si>
  <si>
    <t>LB1029.R4 S43 2010</t>
  </si>
  <si>
    <t>Remedial teaching. ; School failure-Prevention. ; Response to intervention (Learning disabled children)</t>
  </si>
  <si>
    <t>What Teachers Really Need to Know about Formative Assessment</t>
  </si>
  <si>
    <t>Greenstein, Laura</t>
  </si>
  <si>
    <t>LB3051 .G72 2010</t>
  </si>
  <si>
    <t>Educational tests and measurements. ; Students-Rating of.</t>
  </si>
  <si>
    <t>Inspiring the Best in Students</t>
  </si>
  <si>
    <t>Erwin, Jonathan C.</t>
  </si>
  <si>
    <t>LB1065 .E79 2010</t>
  </si>
  <si>
    <t>Motivation in education. ; Learning, Psychology of.</t>
  </si>
  <si>
    <t>Meeting Students Where They Live : Motivation in Urban Schools</t>
  </si>
  <si>
    <t>Curwin, Richard L.</t>
  </si>
  <si>
    <t>LC5131 .C87 2010</t>
  </si>
  <si>
    <t>371.009173/2</t>
  </si>
  <si>
    <t>Education, Urban-United States. ; Community and school-United States. ; Students with social disabilities-United States. ; Public schools-Social aspects-United States.</t>
  </si>
  <si>
    <t>Enhancing RTI : How to Ensure Success with Effective Classroom Instruction and Intervention</t>
  </si>
  <si>
    <t>Fisher, Douglas;Frey, Nancy</t>
  </si>
  <si>
    <t>LB1029.R4 F48 2010</t>
  </si>
  <si>
    <t>Remedial teaching-United States. ; Slow learning children-Education-United States. ; Learning disabled children-Education-United States. ; Effective teaching-United States. ; Classroom management-United States. ; Response to intervention (Learning disabled children)</t>
  </si>
  <si>
    <t>Improving Schools Through Collaborative Enquiry</t>
  </si>
  <si>
    <t>Jackson, David;McGrane, Julie;Street, Hilary;Temperley, Julie</t>
  </si>
  <si>
    <t>Improving Schools Series</t>
  </si>
  <si>
    <t>LB2822.8.I485 2005</t>
  </si>
  <si>
    <t>School improvement programs. ; School management and organization.</t>
  </si>
  <si>
    <t>Philosophy with Teenagers : Nurturing a Moral Imagination for the 21st Century</t>
  </si>
  <si>
    <t>Hannam, Patricia;Echeverria, Eugenio</t>
  </si>
  <si>
    <t>LC311.H365 2009</t>
  </si>
  <si>
    <t>Moral education (Secondary) -- United States</t>
  </si>
  <si>
    <t>How to Be a Successful Form Tutor</t>
  </si>
  <si>
    <t>Marland CBE, Michael;Rogers, Richard;Marland Cbe, Michael</t>
  </si>
  <si>
    <t>LC41.M37 2004</t>
  </si>
  <si>
    <t>371.3'94</t>
  </si>
  <si>
    <t>Tutors and tutoring -- Great Britain.</t>
  </si>
  <si>
    <t>Researching Education</t>
  </si>
  <si>
    <t>LB1028.S36 2000</t>
  </si>
  <si>
    <t>Education -- Research</t>
  </si>
  <si>
    <t>Continuum Guide to Geography Education</t>
  </si>
  <si>
    <t>Butt, Graham</t>
  </si>
  <si>
    <t>G76.5.G7B88 2000</t>
  </si>
  <si>
    <t>Geography -- Study and teaching -- Great Britain. ; Geography -- Dictionaries.</t>
  </si>
  <si>
    <t>101 Essential Lists for Secondary Teachers</t>
  </si>
  <si>
    <t>Elkin, Susan</t>
  </si>
  <si>
    <t>101 Essential Lists Series</t>
  </si>
  <si>
    <t>LB1607.E45 2006</t>
  </si>
  <si>
    <t>High school teaching. ; Education, Secondary.</t>
  </si>
  <si>
    <t>Getting the Buggers to Learn 2nd Edition</t>
  </si>
  <si>
    <t>Getting the Buggers Series</t>
  </si>
  <si>
    <t>ZA3075.G74 2009</t>
  </si>
  <si>
    <t>Information literacy -- Study and teaching. ; Information resources -- Evaluation -- Study and teaching. ; Computer network resources -- Evaluation -- Study and teaching. ; Information retrieval -- Study and teaching. ; Teachers -- In-service training.</t>
  </si>
  <si>
    <t>Demystifying Postgraduate Research</t>
  </si>
  <si>
    <t>University of Birmingham Press</t>
  </si>
  <si>
    <t>Grix, Jonathan</t>
  </si>
  <si>
    <t>LB2371.6.G7G75 2001</t>
  </si>
  <si>
    <t>Social sciences -- Research -- Great Britain</t>
  </si>
  <si>
    <t>Women and the Politics of Schooling in Victorian and Edwardian England</t>
  </si>
  <si>
    <t>Martin, Jane</t>
  </si>
  <si>
    <t>LC2057.M37 1999</t>
  </si>
  <si>
    <t>London (England). -- School Board</t>
  </si>
  <si>
    <t>Leadership Skills in the Early Years : Making a Difference</t>
  </si>
  <si>
    <t>O'Sullivan, June</t>
  </si>
  <si>
    <t>LB2822.6.O78 2009</t>
  </si>
  <si>
    <t>Early childhood education -- Administration. ; Children -- Services for -- Management. ; Educational leadership.</t>
  </si>
  <si>
    <t>Philosophy of Educational Research</t>
  </si>
  <si>
    <t>LB1028.P588 2004</t>
  </si>
  <si>
    <t>Education -- Research -- Philosophy.</t>
  </si>
  <si>
    <t>Managing Boys' Behaviour : How to Deal with It - and Help Them Succeed!</t>
  </si>
  <si>
    <t>Rayment, Tabatha</t>
  </si>
  <si>
    <t>LB3012.R39 2006</t>
  </si>
  <si>
    <t>Dyslexia 2nd Edition</t>
  </si>
  <si>
    <t>Reid, Gavin</t>
  </si>
  <si>
    <t>LC4710.G7R45 2007</t>
  </si>
  <si>
    <t>Dyslexia -- Great Britain. ; Dyslexic children -- Education -- Great Britain.</t>
  </si>
  <si>
    <t>Evidence Informed Leadership in Education</t>
  </si>
  <si>
    <t>Taysum, Alison</t>
  </si>
  <si>
    <t>LB2806.T39 2010</t>
  </si>
  <si>
    <t>Towards Discursive Education : Philosophy, Technology, and Modern Education</t>
  </si>
  <si>
    <t>Erneling, Christina E.</t>
  </si>
  <si>
    <t>LB1028.3 .E76 2010</t>
  </si>
  <si>
    <t>The Edinburgh Introduction to Studying English Literature</t>
  </si>
  <si>
    <t>Edinburgh University Press</t>
  </si>
  <si>
    <t>Cavanagh, Dermot;Gillis, Alan;Keown, Michelle;Loxley, James;Stevenson, Randall</t>
  </si>
  <si>
    <t>PR33 -- .E35 2010eb</t>
  </si>
  <si>
    <t>820.71141;820.9</t>
  </si>
  <si>
    <t>English literature -- Study and teaching (Higher) -- Great Britain. ; English literature -- History and criticism. ; Study skills.</t>
  </si>
  <si>
    <t>Teaching Science to English Language Learners</t>
  </si>
  <si>
    <t>Nutta, Joyce;Bautista, Nazan U.;Butler, Malcolm B.</t>
  </si>
  <si>
    <t>LB1585 -- .N87 2010eb</t>
  </si>
  <si>
    <t>English language - Study and teaching (Secondary) - Foreign speakers</t>
  </si>
  <si>
    <t>Dismantling Contemporary Deficit Thinking : Educational Thought and Practice</t>
  </si>
  <si>
    <t>Valencia, Richard R.</t>
  </si>
  <si>
    <t>LB14.7 -- .V27 2010eb</t>
  </si>
  <si>
    <t>Racism in education</t>
  </si>
  <si>
    <t>Constructing Inequality in Multilingual Classrooms</t>
  </si>
  <si>
    <t>Martín Rojo, Luisa;Martín Rojo, Luisa</t>
  </si>
  <si>
    <t>Language, Power and Social Process [LPSP] Series</t>
  </si>
  <si>
    <t>LC3736.S72</t>
  </si>
  <si>
    <t>370.117/5094641</t>
  </si>
  <si>
    <t>Education, Bilingual -- Spain -- Madrid (Region) ; Multicultural education -- Spain -- Madrid (Region) ; Sociolinguistics -- Spain -- Madrid (Region) ; Linguistic minorities -- Spain -- Madrid (Region) ; Education -- Social aspects -- Spain -- Madrid (Region) ; Educational equalization -- Spain -- Madrid (Region)</t>
  </si>
  <si>
    <t>International Handbook of Distance Education</t>
  </si>
  <si>
    <t>Evans, Terry;Haughey, Margaret;Murphy, David</t>
  </si>
  <si>
    <t>LC5800.I582 2008</t>
  </si>
  <si>
    <t>Creating a Sense of Presence in Online Teaching : How to Be There for Distance Learners</t>
  </si>
  <si>
    <t>Lehman, Rosemary M.;Conceição, Simone C. O.</t>
  </si>
  <si>
    <t>Jossey-Bass Guides to Online Teaching and Learning Series</t>
  </si>
  <si>
    <t>LB1044.87.L439 2010</t>
  </si>
  <si>
    <t>Web-based instruction--Social aspects. ; Distance education--Social aspects. ; Education, Higher--Computer-assisted instruction. ; Human-computer interaction. ; Emotions and cognition.</t>
  </si>
  <si>
    <t>Use of Representations in Reasoning and Problem Solving : Analysis and Improvement</t>
  </si>
  <si>
    <t>Verschaffel, Lieven;de Corte, Erik;de Jong, Ton;Elen, Jan</t>
  </si>
  <si>
    <t>LB1060 -- .U84 2010eb</t>
  </si>
  <si>
    <t>Problem solving - Study and teaching</t>
  </si>
  <si>
    <t>Responding to Diversity in Schools : An Inquiry-Based Approach</t>
  </si>
  <si>
    <t>Miles, Susie;Ainscow, Mel;Moore, Michele</t>
  </si>
  <si>
    <t>LC1099.3 -- .R4854 2010eb</t>
  </si>
  <si>
    <t>Disciplines of Education : Their Role in the Future of Education Research</t>
  </si>
  <si>
    <t>Furlong, John;Lawn, Martin</t>
  </si>
  <si>
    <t>LB2326.3 -- .D57 2011eb</t>
  </si>
  <si>
    <t>Education - Study and teaching (Higher) - Great Britain</t>
  </si>
  <si>
    <t>Enhancing Student Learning in Middle School</t>
  </si>
  <si>
    <t>Casas, Martha</t>
  </si>
  <si>
    <t>LB1623 -- .C37 2010eb</t>
  </si>
  <si>
    <t>Middle school teaching</t>
  </si>
  <si>
    <t>Emerging Teachers and Globalisation</t>
  </si>
  <si>
    <t>Czerniawski, Gerry</t>
  </si>
  <si>
    <t>LB1775 -- .C95 2010eb</t>
  </si>
  <si>
    <t>Teaching - Political aspects</t>
  </si>
  <si>
    <t>Parental Involvement and Academic Success</t>
  </si>
  <si>
    <t>Jeynes, William</t>
  </si>
  <si>
    <t>LB1048.5 -- .J49 2010eb</t>
  </si>
  <si>
    <t>Education - Parent participation</t>
  </si>
  <si>
    <t>Learning to Solve Problems : A Handbook for Designing Problem-Solving Learning Environments</t>
  </si>
  <si>
    <t>Jonassen, David H.</t>
  </si>
  <si>
    <t>BF449 -- .J66 2010eb</t>
  </si>
  <si>
    <t>153.4/3</t>
  </si>
  <si>
    <t>Teacher Preparation for Linguistically Diverse Classrooms : A Resource for Teacher Educators</t>
  </si>
  <si>
    <t>Lucas, Tamara</t>
  </si>
  <si>
    <t>LB1715 -- .T415 2010eb</t>
  </si>
  <si>
    <t>Attachment Theory and the Teacher-Student Relationship : A Practical Guide for Teachers, Teacher Educators and School Leaders</t>
  </si>
  <si>
    <t>Riley, Philip</t>
  </si>
  <si>
    <t>LB1033 -- .R54 2010eb</t>
  </si>
  <si>
    <t>Attachment behavior in children</t>
  </si>
  <si>
    <t>Schools and Schooling in the Digital Age : A Critical Analysis</t>
  </si>
  <si>
    <t>Selwyn, Neil</t>
  </si>
  <si>
    <t>LB1028.3 -- .S38886 2010eb</t>
  </si>
  <si>
    <t>Refocusing School Leadership : Foregrounding Human Development Throughout the Work of the School</t>
  </si>
  <si>
    <t>LB2806 -- .S685 2010eb</t>
  </si>
  <si>
    <t>School employees</t>
  </si>
  <si>
    <t>Practical Guide to Developing and Implementing School Policy on Diet and Physical Activity</t>
  </si>
  <si>
    <t>WHO</t>
  </si>
  <si>
    <t>WHO Regional Office for the Eastern Mediterranean</t>
  </si>
  <si>
    <t>SWITZERLAND</t>
  </si>
  <si>
    <t>WHO Regional Office for the Eastern Meditarranean</t>
  </si>
  <si>
    <t>WHO Regional Office for the Eastern Meditarranean;Who Regional Office for the Eastern Mediterranean,</t>
  </si>
  <si>
    <t>LB3411 -- .P72 2009eb</t>
  </si>
  <si>
    <t>School children -- Health and hygiene -- Handbooks, manuals, etc. ; School children -- Nutrition -- Handbooks, manuals, etc. ; Health promotion -- Planning -- Handbooks, manuals, etc.</t>
  </si>
  <si>
    <t>Bereavement, Loss and Learning Disabilities : A Guide for Professionals and Carers</t>
  </si>
  <si>
    <t>Grey, Robin</t>
  </si>
  <si>
    <t>BF575.G7G698 2010</t>
  </si>
  <si>
    <t>155.9/37087</t>
  </si>
  <si>
    <t>Successful School Change and Transition for the Child with Asperger Syndrome : A Guide for Parents</t>
  </si>
  <si>
    <t>Lawrence, Clare</t>
  </si>
  <si>
    <t>LC4717.L38 2010</t>
  </si>
  <si>
    <t>Autistic children-Education. ; Education-Parent participation. ; Asperger's syndrome in children. ; Students, Transfer of-United States-Psychological aspects.</t>
  </si>
  <si>
    <t>The Market Approach to Education : An Analysis of America's First Voucher Program</t>
  </si>
  <si>
    <t>Witte, John F.</t>
  </si>
  <si>
    <t>LB2828.85.W6.W58 20</t>
  </si>
  <si>
    <t>Educational vouchers -- Wisconsin -- Milwaukee -- Case studies. ; School choice -- Wisconsin -- Milwaukee -- Case studies. ; Education, Urban -- Wisconsin -- Milwaukee -- Case studies.</t>
  </si>
  <si>
    <t>American Universities in a Global Market</t>
  </si>
  <si>
    <t>Clotfelter, Charles T.</t>
  </si>
  <si>
    <t>LA227</t>
  </si>
  <si>
    <t>Competition, International</t>
  </si>
  <si>
    <t>Because of Race : How Americans Debate Harm and Opportunity in Our Schools</t>
  </si>
  <si>
    <t>Pollock, Mica</t>
  </si>
  <si>
    <t>LC212.2.P65 2008</t>
  </si>
  <si>
    <t>Children's Literature in the Classroom : Engaging Lifelong Readers</t>
  </si>
  <si>
    <t>Barone, Diane M.</t>
  </si>
  <si>
    <t>LB1573</t>
  </si>
  <si>
    <t>Language arts (Elementary) ; Reading (Elementary) ; English language -- Composition and exercises -- Study and teaching (Elementary)</t>
  </si>
  <si>
    <t>Cyrano de Bergerac : A Play in Five Acts</t>
  </si>
  <si>
    <t>Rostand, Edmond;Thomas, Gladys;Guillemard, Mary F.</t>
  </si>
  <si>
    <t>PQ2635.O7 -- .R678 1897eb</t>
  </si>
  <si>
    <t>Cyrano de Bergerac, -- 1619-1655 -- Drama. ; Love -- Drama. ; Rejection (Psychology) -- Drama.</t>
  </si>
  <si>
    <t>Transforming Professional Development into Student Results</t>
  </si>
  <si>
    <t>LB1731 .R35 2010</t>
  </si>
  <si>
    <t>Teachers-In-service training-United States. ; Teachers-Professional relationships-United States. ; School improvement programs-United States.</t>
  </si>
  <si>
    <t>Institutions of Education: Then and Today : The Legacy of German Idealism</t>
  </si>
  <si>
    <t>Cobben, Paul</t>
  </si>
  <si>
    <t>Critical Studies in German Idealism Series</t>
  </si>
  <si>
    <t>LC1024.G3I57 2010</t>
  </si>
  <si>
    <t>Globalization and Internationalization in Higher Education : Theoretical, Strategic and Management Perspectives</t>
  </si>
  <si>
    <t>Maringe, Felix;Foskett, Nick</t>
  </si>
  <si>
    <t>LB2324.G56 2010</t>
  </si>
  <si>
    <t>Education, Higher -- International cooperation. ; Transnational education. ; Education and globalization.</t>
  </si>
  <si>
    <t>Theory Building in Educational Research</t>
  </si>
  <si>
    <t>Kettley, Nigel</t>
  </si>
  <si>
    <t>LB1028.K46 2010</t>
  </si>
  <si>
    <t>Education - Research - Methodology</t>
  </si>
  <si>
    <t>The Compassionate Classroom : Relationship Based Teaching and Learning</t>
  </si>
  <si>
    <t>PuddleDancer Press</t>
  </si>
  <si>
    <t>Encinitas</t>
  </si>
  <si>
    <t>Hart, Sura;Kindle Hodson, Victoria</t>
  </si>
  <si>
    <t>LB3013 -- .H357 2004eb</t>
  </si>
  <si>
    <t>Classroom environment. ; Teacher-student relationships. ; Interpersonal communication. ; Effective teaching.</t>
  </si>
  <si>
    <t>Teaching Children Compassionately : How Students and Teachers Can Succeed with Mutual Understanding</t>
  </si>
  <si>
    <t>Rosenberg, Marshall B.</t>
  </si>
  <si>
    <t>Nonviolent Communication Guides</t>
  </si>
  <si>
    <t>LB3013 -- .R67 2004eb</t>
  </si>
  <si>
    <t>Teacher-student relationships. ; Interpersonal communication. ; Effective teaching.</t>
  </si>
  <si>
    <t>Key Issues for Education Researchers</t>
  </si>
  <si>
    <t>Burton, Diana M.;Bartlett, Steve;Burton, Diana M.</t>
  </si>
  <si>
    <t>Education Studies: Key Issues Series</t>
  </si>
  <si>
    <t>LB1028 -- .B87 2009eb</t>
  </si>
  <si>
    <t>Education research</t>
  </si>
  <si>
    <t>Between Race and Reason : Violence, Intellectual Responsibility, and the University to Come</t>
  </si>
  <si>
    <t>Searls Giroux, Susan</t>
  </si>
  <si>
    <t>Racism in higher education -- United States. ; Education, Higher -- Political aspects -- United States. ; Racism -- United States. ; United States -- Race relations.</t>
  </si>
  <si>
    <t>Words : The Foundation of Literacy</t>
  </si>
  <si>
    <t>Johnson, Dale D.;Johnson, Bonnie</t>
  </si>
  <si>
    <t>LB1574.5 -- .J65 2010eb</t>
  </si>
  <si>
    <t>Vocabulary -- Study and teaching. ; Language arts -- Correlation with content subjects.</t>
  </si>
  <si>
    <t>How Students Come to Be, Know, and Do : A Case for a Broad View of Learning</t>
  </si>
  <si>
    <t>Herrenkohl, Leslie Rupert;Mertl, Véronique</t>
  </si>
  <si>
    <t>LB1060 .H47 2010</t>
  </si>
  <si>
    <t>370.15/230973</t>
  </si>
  <si>
    <t>Learning -- United States -- Case studies</t>
  </si>
  <si>
    <t>Sustainability Education : Perspectives and Practice Across Higher Education</t>
  </si>
  <si>
    <t>Sterling, Stephen;Selby, David;Sterling, Stephen</t>
  </si>
  <si>
    <t>GE70 -- .S87 2010eb</t>
  </si>
  <si>
    <t>338.4/3378</t>
  </si>
  <si>
    <t>Education, Higher - Environmental aspects</t>
  </si>
  <si>
    <t>Environmental Studies; Business/Management; Economics</t>
  </si>
  <si>
    <t>Frontiers in Higher Education</t>
  </si>
  <si>
    <t>Claes, Tom;Preston, David Seth</t>
  </si>
  <si>
    <t>LB2322.2.F76 2010</t>
  </si>
  <si>
    <t>International Education Governance</t>
  </si>
  <si>
    <t>Amos, S. Karin;Wiseman, Alexander W.</t>
  </si>
  <si>
    <t>School management and organization.</t>
  </si>
  <si>
    <t>Life Lessons through Storytelling : Children's Exploration of Ethics</t>
  </si>
  <si>
    <t>Eder, Donna;Cajete, Gregory;Natural Child Project,</t>
  </si>
  <si>
    <t>LB1042 -- .L48 2010eb</t>
  </si>
  <si>
    <t>Storytelling. ; Social ethics.</t>
  </si>
  <si>
    <t>Deep Change : Discovering the Leader Within</t>
  </si>
  <si>
    <t>Quinn, Robert E.</t>
  </si>
  <si>
    <t>HD58.8 -- .Q56 1996eb</t>
  </si>
  <si>
    <t>Organizational change -- Management</t>
  </si>
  <si>
    <t>Teaching for Understanding with Technology</t>
  </si>
  <si>
    <t>Wiske, Martha Stone;Rennebohm Franz, Kristi;Breit, Lisa</t>
  </si>
  <si>
    <t>LB1028.3 -- .W569 2005eb</t>
  </si>
  <si>
    <t>Teaching for Understanding Project</t>
  </si>
  <si>
    <t>Making Online Teaching Accessible : Inclusive Course Design for Students with Disabilities</t>
  </si>
  <si>
    <t>Coombs, Norman</t>
  </si>
  <si>
    <t>LC4024 -- .C66 2010eb</t>
  </si>
  <si>
    <t>Students with disabilities -- Computer-assisted instruction</t>
  </si>
  <si>
    <t>A History of the University of Manchester, 1973-90</t>
  </si>
  <si>
    <t>Manchester University Press</t>
  </si>
  <si>
    <t>Pullan, Brian;Abendstern, Michele</t>
  </si>
  <si>
    <t>LF455 .P85 2004</t>
  </si>
  <si>
    <t>Practitioner Research at Doctoral Level : Developing Coherent Research Methodologies</t>
  </si>
  <si>
    <t>Drake, Pat;Heath, Linda</t>
  </si>
  <si>
    <t>LB2386 -- .D73 2011eb</t>
  </si>
  <si>
    <t>001.4/2</t>
  </si>
  <si>
    <t>Dissertations, Academic - Research - Methodology</t>
  </si>
  <si>
    <t>Peer Relationships in Early Childhood Education and Care</t>
  </si>
  <si>
    <t>Kernan, Margaret;Singer, Elly</t>
  </si>
  <si>
    <t>LC192.4 -- .P44 2010eb</t>
  </si>
  <si>
    <t>Interpersonal relations in children - United States</t>
  </si>
  <si>
    <t>Inspiring Children to Read and Write for Pleasure : Using Literature to Inspire Literacy Learning for Ages 8-12</t>
  </si>
  <si>
    <t>LB1575 -- .S43 2010eb</t>
  </si>
  <si>
    <t>Language arts (Elementary)</t>
  </si>
  <si>
    <t>Waiting for "SUPERMAN" : How We Can Save America's Failing Public Schools</t>
  </si>
  <si>
    <t>Participant Media;Weber, Karl</t>
  </si>
  <si>
    <t>LB2806.22 -- .W35 2010eb</t>
  </si>
  <si>
    <t>Educational accountability -- Law and legislation -- United States. ; Education -- Standards -- United States. ; Education -- United States -- Evaluation. ; School improvement programs -- United States. ; Educational equalization -- United States.</t>
  </si>
  <si>
    <t>Developing Post-Primary Education in Sub-Saharan Africa : Assessing the Financial Sustainability of Alternative Pathways</t>
  </si>
  <si>
    <t>Mingat, Alain;Ledoux, Blandine;Rakotomalala, Ramahatra</t>
  </si>
  <si>
    <t>LC67.58.A357 -- D48 2010eb</t>
  </si>
  <si>
    <t>Governance of Technical Education in India : Key Issues, Principles, and Case Studies</t>
  </si>
  <si>
    <t>Cheong, Jannette;Blom, Andreas</t>
  </si>
  <si>
    <t>T153 -- .G68 2010eb</t>
  </si>
  <si>
    <t>607.1054;607/.054</t>
  </si>
  <si>
    <t>Technical education -- India. ; Technical education -- India -- Case studies.</t>
  </si>
  <si>
    <t>Education System in Swaziland : Training and Skills Development for Shared Growth and Competitiveness</t>
  </si>
  <si>
    <t>Marope, Mmantsetsa;World Bank,</t>
  </si>
  <si>
    <t>LC67.S78 -- M37 2010eb</t>
  </si>
  <si>
    <t>Education -- Economic aspects -- Swaziland. ; Vocational education -- Swaziland.</t>
  </si>
  <si>
    <t>Sustaining Educational and Economic Momentum in Africa</t>
  </si>
  <si>
    <t>v. 195</t>
  </si>
  <si>
    <t>LA1501 -- .S87 2010eb</t>
  </si>
  <si>
    <t>Education -- Africa -- Congresses. ; Economic development -- Africa -- Congresses.</t>
  </si>
  <si>
    <t>E-Learning in Aviation</t>
  </si>
  <si>
    <t>Kearns, Suzanne;Dekker, Professor Sidney;Key Dismukes, Dr R;Maurino, Captain Daniel E</t>
  </si>
  <si>
    <t>Ashgate Studies in Human Factors for Flight Operations Series</t>
  </si>
  <si>
    <t>TL560 -- .K43 2010eb</t>
  </si>
  <si>
    <t>629.1078/5</t>
  </si>
  <si>
    <t>Aeronautics -- Study and teaching. ; Computer-assisted instruction. ; Web-based instruction.</t>
  </si>
  <si>
    <t>Engineering; Engineering: General; Engineering: Mechanical</t>
  </si>
  <si>
    <t>The Thinking Teacher's Toolkit : Critical Thinking, Thinking Skills and Global Perspectives</t>
  </si>
  <si>
    <t>Matthews, Ruth;Lally, Jo</t>
  </si>
  <si>
    <t>BF441.M345 2010</t>
  </si>
  <si>
    <t>160.71/2</t>
  </si>
  <si>
    <t>Critical thinking -- Study and teaching (Secondary) ; Reasoning -- Study and teaching (Secondary)</t>
  </si>
  <si>
    <t>Philosophy; Psychology</t>
  </si>
  <si>
    <t>Attitudes to Modern Foreign Language Learning : Insights from Comparative Education</t>
  </si>
  <si>
    <t>Bartram, Brendan</t>
  </si>
  <si>
    <t>P51.B38 2010</t>
  </si>
  <si>
    <t>Language teachers - Training of</t>
  </si>
  <si>
    <t>The Behaviour Guru : Behaviour Management Solutions for Teachers</t>
  </si>
  <si>
    <t>Bennett, Tom</t>
  </si>
  <si>
    <t>LB3013.B396 2010</t>
  </si>
  <si>
    <t>Classroom management. ; Problem children -- Behavior modification.</t>
  </si>
  <si>
    <t>The Complete Guide to Lesson Planning and Preparation</t>
  </si>
  <si>
    <t>Haynes, Anthony</t>
  </si>
  <si>
    <t>LB1027.4.H45 2010</t>
  </si>
  <si>
    <t>Lesson planning</t>
  </si>
  <si>
    <t>Resources for Teaching History: 11-14 : 11-14</t>
  </si>
  <si>
    <t>Hodge, Susie</t>
  </si>
  <si>
    <t>Resources for Teaching Series</t>
  </si>
  <si>
    <t>D16.4.G7H63 2010</t>
  </si>
  <si>
    <t>907.1/241</t>
  </si>
  <si>
    <t>History -- Study and teaching (Secondary) -- Great Britain.</t>
  </si>
  <si>
    <t>The Marketisation of Higher Education and the Student As Consumer</t>
  </si>
  <si>
    <t>Molesworth, Mike;Scullion, Richard;Nixon, Elizabeth</t>
  </si>
  <si>
    <t>LB2342.82 -- .M373 2010eb</t>
  </si>
  <si>
    <t>College students as consumers - Great Britain</t>
  </si>
  <si>
    <t>Social Studies As New Literacies in a Global Society : Relational Cosmopolitanism in the Classroom</t>
  </si>
  <si>
    <t>Baildon, Mark;Damico, James S.</t>
  </si>
  <si>
    <t>H62 -- .B264 2010eb</t>
  </si>
  <si>
    <t>Social science teachers - Training of</t>
  </si>
  <si>
    <t>Making Sense (Routledge Revivals) : The Child's Construction of the World</t>
  </si>
  <si>
    <t>Bruner, Jerome S.;Haste, Helen</t>
  </si>
  <si>
    <t>Routledge Revivals Series</t>
  </si>
  <si>
    <t>BF721 -- .M215 1987eb</t>
  </si>
  <si>
    <t>Child psychology. ; Social interaction in children. ; Problem solving in children. ; Children -- Language.</t>
  </si>
  <si>
    <t>New Approaches to Problem-Based Learning : Revitalising Your Practice in Higher Education</t>
  </si>
  <si>
    <t>Barrett, Terry;Moore, Sarah</t>
  </si>
  <si>
    <t>LB2361 -- .N49 2010eb</t>
  </si>
  <si>
    <t>378.1/79</t>
  </si>
  <si>
    <t>Problem-solving - Study and teaching (Higher)</t>
  </si>
  <si>
    <t>Early Childhood Education : Yesterday, Today, and Tomorrow</t>
  </si>
  <si>
    <t>Krogh, Suzanne L.;Slentz, Kristine L.</t>
  </si>
  <si>
    <t>LB1139.4 -- .K736 2010eb</t>
  </si>
  <si>
    <t>Curriculum planning -- United States. ; Early childhood education -- Curricula -- United States. ; Electronic books.</t>
  </si>
  <si>
    <t>Evaluating the Effectiveness of Academic Development : Principles and Practice</t>
  </si>
  <si>
    <t>Stefani, Lorraine</t>
  </si>
  <si>
    <t>LC1099 -- .E87 2010eb</t>
  </si>
  <si>
    <t>378.1/97</t>
  </si>
  <si>
    <t>Educational equalization - Case studies</t>
  </si>
  <si>
    <t>Language and Literacy Development in Bilingual Settings</t>
  </si>
  <si>
    <t>Durgunoglu, Aydin Yücesan;Goldenberg, Claude;Durgunoglu, Aydin Yücesan</t>
  </si>
  <si>
    <t>PE1128.A2 -- L2943 2010eb</t>
  </si>
  <si>
    <t>Bilingualism in children</t>
  </si>
  <si>
    <t>Learning to Learn for Life 3 : Research and Practical Examples for Secondary Schools</t>
  </si>
  <si>
    <t>Goodbourn, Rebecca;Hartley, Tricia;Higgins, Steve;Wall, Kate</t>
  </si>
  <si>
    <t>Campaign for Learning Series</t>
  </si>
  <si>
    <t>LB1628.5.L43 2009</t>
  </si>
  <si>
    <t>372.13028/1</t>
  </si>
  <si>
    <t>Study skills -- Study and teaching (Secondary)</t>
  </si>
  <si>
    <t>The Future of Higher Education : Policy, Pedagogy and the Student Experience</t>
  </si>
  <si>
    <t>Bell, Les;Neary, Mike;Stevenson, Howard;Stevenson, Howard</t>
  </si>
  <si>
    <t>LA637.F86 2009</t>
  </si>
  <si>
    <t>Education, Higher -- Aims and objectives -- Great Britain. ; Higher education and state -- Great Britain. ; Education, Higher -- Economic aspects -- Great Britain. ; Educational change -- Great Britain.</t>
  </si>
  <si>
    <t>Transforming Learning in Schools and Communities : The Remaking of Education for a Cosmopolitan Society</t>
  </si>
  <si>
    <t>Lingard, Bob;Nixon, Jon;Ranson, Stewart;Ranson, Stewart;Boreham, Nick;Blackledge, Adrian;Christensen, Pia;Creese, Angela;Griffiths, Morwenna;Gulson, Kalervo N.</t>
  </si>
  <si>
    <t>LC215.T73 2008</t>
  </si>
  <si>
    <t>302.43/2</t>
  </si>
  <si>
    <t>Community and school. ; Education and globalization. ; Democracy and education. ; Cosmopolitanism.</t>
  </si>
  <si>
    <t>Special Educational Needs : A New Look</t>
  </si>
  <si>
    <t>Warnock, Mary;Norwich, Brahm;Terzi, Lorella;Winch, Christopher</t>
  </si>
  <si>
    <t>Key Debates in Educational Policy Series</t>
  </si>
  <si>
    <t>LC3986.G7N673 2010</t>
  </si>
  <si>
    <t>Special education -- Great Britain. ; Special education teachers -- Great Britain.</t>
  </si>
  <si>
    <t>Educational Equality</t>
  </si>
  <si>
    <t>Brighouse, Harry;Howe, Kenneth R.;Tooley, James;Haydon, Graham;Winch, Christopher</t>
  </si>
  <si>
    <t>LC213.2.B745 2010</t>
  </si>
  <si>
    <t>Educational equalization -- United States. ; Educational equalization -- Great Britain. ; Equality -- United States. ; Equality -- Great Britain.</t>
  </si>
  <si>
    <t>Teaching Thinking Skills</t>
  </si>
  <si>
    <t>Johnson, Stephen;Siegel, Harvey;Winch, Christopher;Winch, Christopher</t>
  </si>
  <si>
    <t>LB1590.3.J65 2010</t>
  </si>
  <si>
    <t>Thought and thinking -- Study and teaching.</t>
  </si>
  <si>
    <t>Supporting and Supervising Your Teaching Assistant</t>
  </si>
  <si>
    <t>Morgan, Jill;Ashbaker, Betty Y.</t>
  </si>
  <si>
    <t>LB2844.1.A8M655 2009</t>
  </si>
  <si>
    <t>Teachers' assistants. ; Teachers' assistants -- Training of.</t>
  </si>
  <si>
    <t>Learning to Lead : Using Leadership Skills to Motivate Students</t>
  </si>
  <si>
    <t>Tyrer, Graham;Brighouse, Tim</t>
  </si>
  <si>
    <t>LB2805.T97 2010</t>
  </si>
  <si>
    <t>Educational leadership. ; School management and organization. ; Organizational learning.</t>
  </si>
  <si>
    <t>School Management and Multi-Professional Partnerships</t>
  </si>
  <si>
    <t>Moorcroft, Raymond;Caton, Geoffrey;Caton, Geoffrey</t>
  </si>
  <si>
    <t>LB2900.5.S325 2009</t>
  </si>
  <si>
    <t>School management and organization -- Great Britain. ; School principals -- Professional relationships -- Great Britain.</t>
  </si>
  <si>
    <t>The Citizenship Teacher's Handbook</t>
  </si>
  <si>
    <t>Brown, Kate;Fairbrass, Stephen</t>
  </si>
  <si>
    <t>Continuum Education Handbooks Series</t>
  </si>
  <si>
    <t>LC1091.B76 2009</t>
  </si>
  <si>
    <t>Citizenship -- Study and teaching (Secondary) -- Great Britain.</t>
  </si>
  <si>
    <t>Political Science; Education</t>
  </si>
  <si>
    <t>The Thinking Child : Brain-Based Learning for the Early Years Foundation Stage</t>
  </si>
  <si>
    <t>Call, Nicola;Featherstone, Sally</t>
  </si>
  <si>
    <t>LB1062 -- .C35 2010eb</t>
  </si>
  <si>
    <t>Cognitive learning. ; Brain. ; Effective teaching. ; Early childhood education.</t>
  </si>
  <si>
    <t>The Thinking Child Resource Book : Brain-Based Learning for the Early Years Foundation Stage</t>
  </si>
  <si>
    <t>LB1062.C353 2010</t>
  </si>
  <si>
    <t>Effective Learning</t>
  </si>
  <si>
    <t>Reid, Gavin;Green, Shannon</t>
  </si>
  <si>
    <t>Ideas in Action Series</t>
  </si>
  <si>
    <t>LB1025.3.R444 2009</t>
  </si>
  <si>
    <t>Effective teaching. ; Learning. ; Motivation in education.</t>
  </si>
  <si>
    <t>Perspectives on Participation and Inclusion : Engaging Education</t>
  </si>
  <si>
    <t>Gibson, Suanne;Haynes, Joanna</t>
  </si>
  <si>
    <t>LC1203.G7P47 2009</t>
  </si>
  <si>
    <t>Inclusive education -- Great Britain. ; Mainstreaming in education -- Great Britain.</t>
  </si>
  <si>
    <t>Developing Children's Emotional Intelligence</t>
  </si>
  <si>
    <t>Bahman, Shahnaz;Maffini, Helen</t>
  </si>
  <si>
    <t>LB1060.B34 2008</t>
  </si>
  <si>
    <t>Learning, Psychology of. ; Classroom environment. ; Emotional intelligence -- Activity programs.</t>
  </si>
  <si>
    <t>Translation Studies in Africa : Central Issues in Interpreting and Literary and Media Translation</t>
  </si>
  <si>
    <t>Inggs, Judith;Meintjes, Libby;Meintjes, Libby</t>
  </si>
  <si>
    <t>Continuum Studies in Translation Series</t>
  </si>
  <si>
    <t>P306.8.A35T73 2009</t>
  </si>
  <si>
    <t>Translating and interpreting -- Africa. ; Multilingualism -- Africa. ; Intercultural communication -- Africa. ; Sociolinguistics -- Africa.</t>
  </si>
  <si>
    <t>Creating Tomorrow's Schools Today : Education - Our Children - Their Futures</t>
  </si>
  <si>
    <t>Bloomsbury Education</t>
  </si>
  <si>
    <t>Gerver, Richard;Robinson, Ken</t>
  </si>
  <si>
    <t>LA632.G47 2010</t>
  </si>
  <si>
    <t>Education -- Aims and objectives -- United States. ; Educational change -- United States. ; Education, Primary.</t>
  </si>
  <si>
    <t>Theology and Religious Studies in Higher Education : Global Perspectives</t>
  </si>
  <si>
    <t>Bird, D. L.;Smith, Simon G.;Smith, Simon G</t>
  </si>
  <si>
    <t>Continuum Advances in Religious Studies</t>
  </si>
  <si>
    <t>BL41 -- .T465 2009eb</t>
  </si>
  <si>
    <t>Religion -- Study and teaching -- Congresses. ; Theology -- Study and teaching -- Congresses. ; Universities and colleges -- Curricula -- Congresses.</t>
  </si>
  <si>
    <t>Using NLP to Enhance Behaviour and Learning : A Handbook for Teachers</t>
  </si>
  <si>
    <t>Elston, Terry;Spohrer, Kate</t>
  </si>
  <si>
    <t>LB3013.E49 2009</t>
  </si>
  <si>
    <t>Classroom management -- Handbooks, manuals, etc. ; Problem children -- Behavior modification -- Handbooks, manuals, etc. ; Neurolinguistic programming -- Handbooks, manuals, etc.</t>
  </si>
  <si>
    <t>The Creative Teaching and Learning Resource Book</t>
  </si>
  <si>
    <t>Best, Brin;Thomas, Will</t>
  </si>
  <si>
    <t>LB1025.3.B4738 2008</t>
  </si>
  <si>
    <t>100 Ideas for Teaching Physical Development</t>
  </si>
  <si>
    <t>Brownhill, Simon</t>
  </si>
  <si>
    <t>100 Ideas for the Early Years Series</t>
  </si>
  <si>
    <t>LB1139.3.G7B76 2009</t>
  </si>
  <si>
    <t>Early childhood education -- Activity programs -- Great Britain. ; Early childhood education -- Great Britain. ; Physical education and training -- Study and teaching (Early childhood) -- Activity programs -- Great Britain.</t>
  </si>
  <si>
    <t>Making Assessment Matter</t>
  </si>
  <si>
    <t>LB3051.B87 2010</t>
  </si>
  <si>
    <t>The English Teacher's Handbook</t>
  </si>
  <si>
    <t>Ceranic, Helena</t>
  </si>
  <si>
    <t>LB1631 -- .C4463 2009eb</t>
  </si>
  <si>
    <t>English language -- Study and teaching (Secondary) -- Great Britain -- Handbooks, manuals, etc. ; English teachers -- Great Britain -- Handbooks, manuals, etc. ; High school teachers -- Great Britain -- Handbooks, manuals, etc.</t>
  </si>
  <si>
    <t>Making a Drama Out of a Crisis : Improving Classroom Behaviour Through Drama Techniques and Exercises</t>
  </si>
  <si>
    <t>Donbavand, Tommy</t>
  </si>
  <si>
    <t>PN3171.D66 2009</t>
  </si>
  <si>
    <t>Classroom management. ; Drama in education.</t>
  </si>
  <si>
    <t>Dos and Don'ts of Behaviour Management 2nd Edition</t>
  </si>
  <si>
    <t>Dunn, Roger</t>
  </si>
  <si>
    <t>LB3013.D86 2009</t>
  </si>
  <si>
    <t>Classroom management -- Great Britain.</t>
  </si>
  <si>
    <t>Meeting the Needs of Gifted and Talented Students</t>
  </si>
  <si>
    <t>Goodhew, Gwen</t>
  </si>
  <si>
    <t>Meeting the Needs Series</t>
  </si>
  <si>
    <t>LC3997.G7G74 2009</t>
  </si>
  <si>
    <t>Gifted children -- Education -- Great Britain.</t>
  </si>
  <si>
    <t>Getting the Buggers to Find Out : Information Skills and Learning How to Learn</t>
  </si>
  <si>
    <t>ZA3075.G74 2008</t>
  </si>
  <si>
    <t>General Works/Reference; Library Science</t>
  </si>
  <si>
    <t>Managing Very Challenging Behaviour 2nd Edition</t>
  </si>
  <si>
    <t>Leaman, Louisa</t>
  </si>
  <si>
    <t>LB3012.L43 2009</t>
  </si>
  <si>
    <t>School discipline. ; Classroom management. ; Problem children -- Behavior modification.</t>
  </si>
  <si>
    <t>Teaching Critical Thinking Skills</t>
  </si>
  <si>
    <t>LB1590.3.L47 2010</t>
  </si>
  <si>
    <t>Critical thinking -- Study and teaching.</t>
  </si>
  <si>
    <t>So You Want to Be a School Leader?</t>
  </si>
  <si>
    <t>Morgan, Shaun T.</t>
  </si>
  <si>
    <t>So You Want to Be A... Series</t>
  </si>
  <si>
    <t>LB2831.926.G7M67 200</t>
  </si>
  <si>
    <t>School principals -- Vocational guidance -- Great Britain. ; School management and organization -- Great Britain. ; Educational leadership -- Great Britain.</t>
  </si>
  <si>
    <t>The Mathematics Teacher's Handbook</t>
  </si>
  <si>
    <t>Ollerton, Mike</t>
  </si>
  <si>
    <t>QA11.2.O49 2009</t>
  </si>
  <si>
    <t>Mathematics -- Study and teaching. ; Mathematics teachers -- Training of. ; Mathematics teachers -- Vocational guidance.</t>
  </si>
  <si>
    <t>Towards Successful Learning 2nd Edition : Furthering the Development of Successful Learning and Teaching in Schools</t>
  </si>
  <si>
    <t>Pardoe, Diana</t>
  </si>
  <si>
    <t>LB1060.P355 2009</t>
  </si>
  <si>
    <t>Learning. ; Effective teaching.</t>
  </si>
  <si>
    <t>Captivating Your Class : Effective Teaching Skills</t>
  </si>
  <si>
    <t>Philpott, Joanne</t>
  </si>
  <si>
    <t>LB1607.53.G7P45 2009</t>
  </si>
  <si>
    <t>High school teaching -- Great Britain. ; Effective teaching -- Great Britain. ; A-level examinations -- Great Britain.</t>
  </si>
  <si>
    <t>The Challenge of Homer : School, Pagan Poets and Early Christianity</t>
  </si>
  <si>
    <t>T&amp;T Clark</t>
  </si>
  <si>
    <t>Sandnes, Karl Olav;Sandnes</t>
  </si>
  <si>
    <t>The Library of New Testament Studies</t>
  </si>
  <si>
    <t>PN1077.S19 2009</t>
  </si>
  <si>
    <t>Homer -- Criticism and interpretation. ; Bible. -- N.T. -- Epistles of Paul -- Criticism, interpretation, etc. ; Bible -- Criticism, interpretation, etc. -- History. ; Religion and poetry. ; Education, Ancient. ; Church history -- Primitive and early church, ca. 30-600.</t>
  </si>
  <si>
    <t>Literature; Religion</t>
  </si>
  <si>
    <t>100 Ideas for Teaching Literacy</t>
  </si>
  <si>
    <t>Continuum One Hundreds Series</t>
  </si>
  <si>
    <t>LB1576.S3433 2010</t>
  </si>
  <si>
    <t>Language arts (Elementary) ; Elementary school teaching.</t>
  </si>
  <si>
    <t>Dyslexia in the Digital Age : Making IT Work</t>
  </si>
  <si>
    <t>Smythe, Ian</t>
  </si>
  <si>
    <t>LC4818.S59 2010</t>
  </si>
  <si>
    <t>371.91/44334</t>
  </si>
  <si>
    <t>Dyslexics -- Education. ; Dyslexics -- Computer-assisted instruction. ; Educational technology. ; Internet in education.</t>
  </si>
  <si>
    <t>Emotional Literacy</t>
  </si>
  <si>
    <t>Spendlove, David</t>
  </si>
  <si>
    <t>LB1073.S64 2008</t>
  </si>
  <si>
    <t>Affective education. ; Emotions in children. ; Emotional intelligence.</t>
  </si>
  <si>
    <t>Everything You Need to Know to Survive Teaching 2nd Edition</t>
  </si>
  <si>
    <t>Teacher, The Ranting</t>
  </si>
  <si>
    <t>Practical Teaching Guides</t>
  </si>
  <si>
    <t>LB1025.3.R366 2009</t>
  </si>
  <si>
    <t>Teaching -- Great Britain. ; Teachers -- Professional relationships -- Great Britain.</t>
  </si>
  <si>
    <t>100 Ideas for Teaching Primary Mathematics</t>
  </si>
  <si>
    <t>Thwaites, Alan</t>
  </si>
  <si>
    <t>QA135.6.T49 2008</t>
  </si>
  <si>
    <t>Mathematics -- Study and teaching (Elementary) -- Activity programs -- Great Britain. ; Mathematics -- Study and teaching -- Great Britain.</t>
  </si>
  <si>
    <t>Coaching for Learning : A Practical Guide for Encouraging Learning</t>
  </si>
  <si>
    <t>Turnbull, Jacquie</t>
  </si>
  <si>
    <t>LB1060.T87 2009</t>
  </si>
  <si>
    <t>Learning. ; Motivation in education. ; Reflective teaching.</t>
  </si>
  <si>
    <t>Meeting the Needs of Disaffected Students : Engaging Students with Social, Emotional and Behavioural Difficulties</t>
  </si>
  <si>
    <t>Vizard, Dave</t>
  </si>
  <si>
    <t>LC4096.G7V59 2009</t>
  </si>
  <si>
    <t>Children with social disabilities -- Education -- Great Britain. ; Motivation in education -- Great Britain. ; Problem youth -- Behavior modification -- Great Britain.</t>
  </si>
  <si>
    <t>So You Want to Be a Teacher? : How to Launch Your Teaching Career</t>
  </si>
  <si>
    <t>Waide, Lucy</t>
  </si>
  <si>
    <t>LB1775.4.G7W35 2008</t>
  </si>
  <si>
    <t>371.1002/3</t>
  </si>
  <si>
    <t>Teaching -- Vocational guidance -- Great Britain.</t>
  </si>
  <si>
    <t>Planning for Educational Change : Putting People and Their Contexts First</t>
  </si>
  <si>
    <t>Wedell, Martin</t>
  </si>
  <si>
    <t>LA632.W36 2009</t>
  </si>
  <si>
    <t>Educational change -- Great Britain. ; Educational change -- Great Britain -- Case studies. ; Educational planning -- Great Britain.</t>
  </si>
  <si>
    <t>Inspired English Teaching : A Practical Guide for Teachers</t>
  </si>
  <si>
    <t>West, Keith</t>
  </si>
  <si>
    <t>LB1631.W22 2010</t>
  </si>
  <si>
    <t>English language -- Study and teaching -- United States. ; Language arts -- United States. ; English teachers -- United States.</t>
  </si>
  <si>
    <t>Rethinking Educational Leadership : From Improvement to Transformation</t>
  </si>
  <si>
    <t>West-Burnham, John</t>
  </si>
  <si>
    <t>LB2805 -- .W46 2009eb</t>
  </si>
  <si>
    <t>The No-Fault Classroom : Tools to Resolve Conflict &amp; Foster Relationship Intelligence</t>
  </si>
  <si>
    <t>LB3013 -- .H3573 2008eb</t>
  </si>
  <si>
    <t>372.1102/4</t>
  </si>
  <si>
    <t>Classroom management. ; Teacher-student relationships. ; Effective teaching.</t>
  </si>
  <si>
    <t>Who's Who in Fluorescence 2008</t>
  </si>
  <si>
    <t>Geddes, Chris D.</t>
  </si>
  <si>
    <t>R850.A1-854</t>
  </si>
  <si>
    <t>Fluorescence</t>
  </si>
  <si>
    <t>Science: Physics; Medicine; Science</t>
  </si>
  <si>
    <t>Cultural Studies and Environmentalism : The Confluence of EcoJustice, Place-Based (Science) Education, and Indigenous Knowledge Systems</t>
  </si>
  <si>
    <t>Tippins, Deborah J.;Mueller, Michael P.;van Eijck, Michiel;Adams, Jennifer D.</t>
  </si>
  <si>
    <t>Cultural Studies of Science Education Series</t>
  </si>
  <si>
    <t>Place-based education. ; Science--Study and teaching. ; Environmentalism. ; écologie humaine--science - enseignement--[études diverses] rero. ; environnement - enseignement--[études diverses] rero.</t>
  </si>
  <si>
    <t>Handbook of Early Literacy Research, Volume 3</t>
  </si>
  <si>
    <t>Neuman, Susan B.;Dickinson, David K.</t>
  </si>
  <si>
    <t>LB1139.5.L35 -- H36 2011eb</t>
  </si>
  <si>
    <t>Sampling for Household-Based Surveys of Child Labour</t>
  </si>
  <si>
    <t>ILO</t>
  </si>
  <si>
    <t>International Labour Office</t>
  </si>
  <si>
    <t>Geneva, Switzerland</t>
  </si>
  <si>
    <t>Verma, Vijay</t>
  </si>
  <si>
    <t>HD6231 -- .V47 2008eb</t>
  </si>
  <si>
    <t>Child labor -- Research. ; Social surveys.</t>
  </si>
  <si>
    <t>Why We Make Art : And Why It Is Taught</t>
  </si>
  <si>
    <t>N85.H53 2010</t>
  </si>
  <si>
    <t>Art in education. ; Art -- Study and teaching.</t>
  </si>
  <si>
    <t>Schooling the Freed People : Teaching, Learning, and the Struggle for Black Freedom, 1861-1876</t>
  </si>
  <si>
    <t>Butchart, Ronald E.</t>
  </si>
  <si>
    <t>LC2802.S9 -- B874 2010eb</t>
  </si>
  <si>
    <t>371.829/960730750934</t>
  </si>
  <si>
    <t>Freedmen -- Education -- Southern States. ; Education -- Southern States -- History -- 19th century. ; African American teachers -- Southern States -- History -- 19th century. ; Reconstruction (U.S. history, 1865-1877) ; Electronic books.</t>
  </si>
  <si>
    <t>Paulo Freire and the Cold War Politics of Literacy</t>
  </si>
  <si>
    <t>Kirkendall, Andrew J.</t>
  </si>
  <si>
    <t>LB880.F732 -- K57 2010eb</t>
  </si>
  <si>
    <t>Freire, Paulo, -- 1921-1997. ; Literacy -- Political aspects. ; Literacy -- Political aspects -- Latin America. ; Cold War.</t>
  </si>
  <si>
    <t>The Quest for Citizenship : African American and Native American Education in Kansas, 1880-1935</t>
  </si>
  <si>
    <t>Warren, Kim Cary</t>
  </si>
  <si>
    <t>LC2741 -- .W37 2010eb</t>
  </si>
  <si>
    <t>371.829/960730781</t>
  </si>
  <si>
    <t>African Americans -- Education -- Kansas -- History. ; Indians of North America -- Education -- Kansas -- History. ; Racism in education -- Kansas -- History. ; Segregation in education -- Kansas -- History. ; Educational change -- Kansas -- History. ; Education and state -- Kansas -- History.</t>
  </si>
  <si>
    <t>The New Plantation : Black Athletes, College Sports, and Predominantly White NCAA Institutions</t>
  </si>
  <si>
    <t>Hawkins, B.</t>
  </si>
  <si>
    <t>LB43</t>
  </si>
  <si>
    <t>Indigenous Knowledge and Learning in Asia/Pacific and Africa : Perspectives on Development, Education, and Culture</t>
  </si>
  <si>
    <t>Kapoor, D.;Shizha, E.</t>
  </si>
  <si>
    <t>Ethnoscience--Africa</t>
  </si>
  <si>
    <t>Science: Astronomy; Science</t>
  </si>
  <si>
    <t>Attention Deficit Hyperactivity Disorder : What Can Teachers Do?</t>
  </si>
  <si>
    <t>Kewley, Geoff</t>
  </si>
  <si>
    <t>Nasen Spotlight Series</t>
  </si>
  <si>
    <t>RJ506.H9 -- K493 2011eb</t>
  </si>
  <si>
    <t>618.92/8589</t>
  </si>
  <si>
    <t>Attention-deficit hyperactivity disorder</t>
  </si>
  <si>
    <t>The Gates Foundation and the Future of US Public Schools</t>
  </si>
  <si>
    <t>Kovacs, Philip E.</t>
  </si>
  <si>
    <t>LC243.B55 -- G38 2011eb</t>
  </si>
  <si>
    <t>Bill &amp; Melinda Gates Foundation</t>
  </si>
  <si>
    <t>Planning and Development in Education : African Perspectives</t>
  </si>
  <si>
    <t>Musaazi, J. C. S.</t>
  </si>
  <si>
    <t>Routledge Library Editions: Development Series</t>
  </si>
  <si>
    <t>LA1501 -- .M873 2014eb</t>
  </si>
  <si>
    <t>Education -- Africa. ; Educational planning -- Africa.</t>
  </si>
  <si>
    <t>Education and Development</t>
  </si>
  <si>
    <t>Garrett, Roger M.;Garrett, Roger M</t>
  </si>
  <si>
    <t>HC79.P6 -- E38 2011eb</t>
  </si>
  <si>
    <t>370/.9172/4</t>
  </si>
  <si>
    <t>Education -- Developing countries. ; Acculturation. ; Multicultural education.</t>
  </si>
  <si>
    <t>The Rural World : Education and Development</t>
  </si>
  <si>
    <t>Malassis, Louis</t>
  </si>
  <si>
    <t>LC5146 -- .M35 2011eb</t>
  </si>
  <si>
    <t>370.19/346</t>
  </si>
  <si>
    <t>Education, Rural. ; Community development.</t>
  </si>
  <si>
    <t>Education and Development in Latin America</t>
  </si>
  <si>
    <t>Gale, Laurence</t>
  </si>
  <si>
    <t>LA541 -- .G35 2011eb</t>
  </si>
  <si>
    <t>370.9/8</t>
  </si>
  <si>
    <t>Education -- Latin America. ; Education -- Latin America -- Economic aspects.</t>
  </si>
  <si>
    <t>Growing-Up Modern : The Western State Builds Third-World Schools</t>
  </si>
  <si>
    <t>Fuller, Bruce</t>
  </si>
  <si>
    <t>LC118.A356 -- .F85 2014eb</t>
  </si>
  <si>
    <t>Education and state -- Africa, Southern. ; Public schools -- Africa, Southern. ; Teachers -- Africa, Southern.</t>
  </si>
  <si>
    <t>Explorations in Giftedness</t>
  </si>
  <si>
    <t>Sternberg, Robert J.;Jarvin, Linda;Grigorenko, Elena L.</t>
  </si>
  <si>
    <t>LC3993 .S73 2011</t>
  </si>
  <si>
    <t>Gifted children</t>
  </si>
  <si>
    <t>Current Issues and Trends in Special Education : Identification, Assessment and Instruction</t>
  </si>
  <si>
    <t>HV7419.N49 2009</t>
  </si>
  <si>
    <t>Empowering Struggling Readers : Practices for the Middle Grades</t>
  </si>
  <si>
    <t>Hall, Leigh A.;Burns, Leslie D.;Edwards, Elizabeth Carr</t>
  </si>
  <si>
    <t>LB1050.455 -- .H35 2011eb</t>
  </si>
  <si>
    <t>428.4071/2</t>
  </si>
  <si>
    <t>Content area reading -- United States. ; Language arts (Middle school) -- Correlation with content subjects -- United States.</t>
  </si>
  <si>
    <t>U. S. Army War College : Military Education in a Democracy</t>
  </si>
  <si>
    <t>Stiehm, Judith Hicks</t>
  </si>
  <si>
    <t>U413</t>
  </si>
  <si>
    <t>355/.0071/173</t>
  </si>
  <si>
    <t>Army War College (U.S.) ; Military education-United States. ; Democracy and education-United States.</t>
  </si>
  <si>
    <t>Military Science</t>
  </si>
  <si>
    <t>A Twentieth-Century Collision : American Intellectual Culture and Pope John Paul II's Idea of a University</t>
  </si>
  <si>
    <t>University Press of America, Incorporated</t>
  </si>
  <si>
    <t>Collins, Peter M.</t>
  </si>
  <si>
    <t>BX1795.I57C65 2010</t>
  </si>
  <si>
    <t>Catholic universities and colleges -- United States. ; Philosophy, American.</t>
  </si>
  <si>
    <t>Stories from Novice Teachers : This Is Induction?</t>
  </si>
  <si>
    <t>Scherff, Lisa;Daria, Mike</t>
  </si>
  <si>
    <t>LB1027.5.S34 2010</t>
  </si>
  <si>
    <t>Mentoring. ; Teachers--Training of. ; Vocational education. ; Educational counseling. ; Educational counseling. (OCoLC)fst00903395. ; Mentoring. (OCoLC)fst01016851. ; Teachers--Training of. (OCoLC)fst01144404. ; Vocational education. (OCoLC)fst01168486.</t>
  </si>
  <si>
    <t>Diary of a Dean</t>
  </si>
  <si>
    <t>Hamilton Books</t>
  </si>
  <si>
    <t>London, Herbert I.</t>
  </si>
  <si>
    <t>LB2341 -- .L66 2010eb</t>
  </si>
  <si>
    <t>New York University - Employees</t>
  </si>
  <si>
    <t>The MLS Project : An Assessment after Sixty Years</t>
  </si>
  <si>
    <t>Scarecrow Press, Incorporated</t>
  </si>
  <si>
    <t>Swigger, Boyd Keith</t>
  </si>
  <si>
    <t>Z668.S95 2010</t>
  </si>
  <si>
    <t>Library education--United States--Evaluation. ; Library schools--Accreditation--United States. ; Librarians--Certification--United States. ; Accreditation--United States. ; Library Science--education--United States. ; Library Schools--United States. ; Program Evaluation.</t>
  </si>
  <si>
    <t>Border Sexualities, Border Families in Schools</t>
  </si>
  <si>
    <t>Pallotta-Chiarolli, Maria</t>
  </si>
  <si>
    <t>Curriculum, Cultures, and (Homo)Sexualities Series</t>
  </si>
  <si>
    <t>LC2574.P35 2010</t>
  </si>
  <si>
    <t>371.826/6</t>
  </si>
  <si>
    <t>Sexual minority students.</t>
  </si>
  <si>
    <t>Banishing Bullying Behavior : Transforming the Culture of Pain, Rage, and Revenge</t>
  </si>
  <si>
    <t>Fried, Suellen</t>
  </si>
  <si>
    <t>LB3013.3.F748 2009</t>
  </si>
  <si>
    <t>Bullying in schools--Prevention. ; School violence--Prevention. ; School children--Conduct of life.</t>
  </si>
  <si>
    <t>Taking Measure of Charter Schools : Better Assessments, Better Policymaking, Better Schools</t>
  </si>
  <si>
    <t>Betts, Julian R.;Hill, Paul T.;Ahn, June;Angel, Larry;Brewer, Dominic J.;Hamilton, Laura S.;Henig, Jeffrey R.;Lake, Robin J.;McEwan, Patrick J.;Olsen, Robert B.</t>
  </si>
  <si>
    <t>LB2806.36.T37 2010</t>
  </si>
  <si>
    <t>Charter schools--United States--Evaluation.</t>
  </si>
  <si>
    <t>Read, Discuss, and Learn : Using Literacy Groups to Student Advantage</t>
  </si>
  <si>
    <t>Fisher, Lisa</t>
  </si>
  <si>
    <t>LB1050.455.F57 2010</t>
  </si>
  <si>
    <t>372.41/62</t>
  </si>
  <si>
    <t>Content area reading. ; Group reading. ; Student-centered learning. ; Individualized instruction.</t>
  </si>
  <si>
    <t>The Doctoral StudentOs Advisor and Mentor : Sage Advice from the Experts</t>
  </si>
  <si>
    <t>Calabrese, Raymond L.;Smith, Page A.;Angelle, Pamela;Agnello, Mary Frances;Amlund, Jeanne T.;Caffarella, Rosemary S.;Chance, Patti L.;Edmonson, Stacey;Fulmer, Connie;Gonzalez, Maria Luisa</t>
  </si>
  <si>
    <t>LB2386.D625 2010</t>
  </si>
  <si>
    <t>Doctor of philosophy degree--United States. ; Doctoral students--United States. ; Mentoring in education--United States. ; Faculty advisors--United States.</t>
  </si>
  <si>
    <t>Balancing Change and Tradition in Global Education Reform</t>
  </si>
  <si>
    <t>Rotberg, Iris C.;Bonnet, Gérard;Canning, Mary;Cheng, Kai-ming;Crooks, Terry J.;Crouch, Luis;Eyal, Ori;Forsberg, Eva;Chew, Phyllis Ghim Lian;Ghosh, Ratna</t>
  </si>
  <si>
    <t>LB43.G56 2010</t>
  </si>
  <si>
    <t>Educational change--Cross-cultural studies. ; Comparative education--Cross-cultural studies. ; Education and state--Cross-cultural studies.</t>
  </si>
  <si>
    <t>First Time in the College Classroom : A Guide for Teaching Assistants, Instructors, and New Professors at All Colleges and Universities</t>
  </si>
  <si>
    <t>Clement, Mary C.</t>
  </si>
  <si>
    <t>LB1738.C44 2010</t>
  </si>
  <si>
    <t>First year teachers--United States. ; College teachers--United States. ; College teaching--Vocational guidance--United States. ; College teaching--Handbooks, manuals, etc.--United States.</t>
  </si>
  <si>
    <t>Back to Common Sense : Rethinking School Change</t>
  </si>
  <si>
    <t>Dawidziak, Joe</t>
  </si>
  <si>
    <t>LB2822.8.D38 2010</t>
  </si>
  <si>
    <t>School improvement programs. ; School management and organization. ; Educational change. ; Strategic planning.</t>
  </si>
  <si>
    <t>Learning Communities 2. 0 : Educating in the Age of Empowerment</t>
  </si>
  <si>
    <t>Spady, William G.;Schwahn, Charles J.</t>
  </si>
  <si>
    <t>LB2822.82.S387 2010</t>
  </si>
  <si>
    <t>School improvement programs--United States. ; Educational leadership--United States. ; Professional learning communities--United States. ; Educational change--United States.</t>
  </si>
  <si>
    <t>Online Learning : A User-Friendly Approach for High School and College Students</t>
  </si>
  <si>
    <t>Bowman, Leslie;Tighe, Michael J.;Bender, Sara;Escott, Thomas E.;Tighe Jr, J. Michael</t>
  </si>
  <si>
    <t>LB2395.7.B68 2010</t>
  </si>
  <si>
    <t>Education, Higher--Computer-assisted instruction. ; Education--Effect of technological innovations on. ; Educational technology--United States. ; Web-based instruction.</t>
  </si>
  <si>
    <t>The Social Studies Helper : Creative Assignments for Exam Success</t>
  </si>
  <si>
    <t>Fawcett Facey, Denise</t>
  </si>
  <si>
    <t>H62.5.U5F33 2010</t>
  </si>
  <si>
    <t>Social sciences--Study and teaching (Secondary)--Activity programs--United States.</t>
  </si>
  <si>
    <t>Culturally Sensitive Narrative Interventions for Immigrant Children and Adolescents</t>
  </si>
  <si>
    <t>Esquivel, Giselle B.;Oades-Sese, Geraldine V.;Jarvis, Marguerite L.</t>
  </si>
  <si>
    <t>LC1099.3.U5E76 2010</t>
  </si>
  <si>
    <t>Multicultural education - United States</t>
  </si>
  <si>
    <t>A School in Trouble : A Personal Story of Central Falls High School</t>
  </si>
  <si>
    <t>Holland, William R.;Morales, Anna Cano</t>
  </si>
  <si>
    <t>LD7501.C2827H65 2010</t>
  </si>
  <si>
    <t>373/.97451</t>
  </si>
  <si>
    <t>Central Falls High School (Central Falls, R.I.). ; Hispanic Americans--Education (Secondary)--Rhode Island--Central Falls.</t>
  </si>
  <si>
    <t>Global Issues in Education : Pedagogy, Policy, Practice, and the Minority Experience</t>
  </si>
  <si>
    <t>Wiggan, Greg;Hutchison, Charles B.</t>
  </si>
  <si>
    <t>LC1099.G57 2009</t>
  </si>
  <si>
    <t>Multicultural education--Case studies. ; Education and globalization--Case studies.</t>
  </si>
  <si>
    <t>ADHD and Social Skills : A Step-By-Step Guide for Teachers and Parents</t>
  </si>
  <si>
    <t>Rapoport, Esta M.</t>
  </si>
  <si>
    <t>LC4713.4.R37 2009</t>
  </si>
  <si>
    <t>Attention-deficit-disordered children--Education--United States. ; Attention-deficit-disordered children--United States. ; Social skills--Study and teaching--United States.</t>
  </si>
  <si>
    <t>Profit of Education</t>
  </si>
  <si>
    <t>Startz, Richard</t>
  </si>
  <si>
    <t>LB2842.22.S73 2010</t>
  </si>
  <si>
    <t>Teachers--Salaries, etc.--United States. ; Bonuses (Employee fringe benefits)--United States. ; School improvement programs--United States.</t>
  </si>
  <si>
    <t>Education and Social Change : Connecting Local and Global Perspectives</t>
  </si>
  <si>
    <t>Elliott, Geoffrey;Fourali, Chahid;Issler, Sally;Akyeampong, Kwame;Andreotti, Vanessa;Annette, John;Bainton, David;Bourn, Douglas;Chapman, Val;Crossley, Michael</t>
  </si>
  <si>
    <t>LC192.E38 2010</t>
  </si>
  <si>
    <t>Education -- Social aspects -- Cross-cultural studies. ; Social change -- Cross-cultural studies. ; Education and globalization -- Cross-cultural studies.</t>
  </si>
  <si>
    <t>Research for Materials Development in Language Learning : Evidence for Best Practice</t>
  </si>
  <si>
    <t>Tomlinson, Brian;Masuhara, Hitomi</t>
  </si>
  <si>
    <t>P107 -- .R57 2010eb</t>
  </si>
  <si>
    <t>Teaching - Aids and devices - Evaluation</t>
  </si>
  <si>
    <t>Education, Dialogue and Hermeneutics</t>
  </si>
  <si>
    <t>Fairfield, Paul;Babich, Babette E.;Davey, Nicholas;Fairfield, Paul;Gallagher, Shaun;Grondin, Jean;Nicholson, Graeme;Ramsey, Eric;Vessey, David T.</t>
  </si>
  <si>
    <t>LB14.7 -- .E392 2011eb</t>
  </si>
  <si>
    <t>Education -- Philosophy. ; Education -- Research. ; Communication in education. ; Hermeneutics.</t>
  </si>
  <si>
    <t>Higher Education and the Public Good : Imagining the University</t>
  </si>
  <si>
    <t>Nixon, Jon</t>
  </si>
  <si>
    <t>LB2322.2 -- .N59 2011eb</t>
  </si>
  <si>
    <t>370/.015</t>
  </si>
  <si>
    <t>Education, Higher -- Philosophy. ; Universities and colleges. ; Common good. ; Community life.</t>
  </si>
  <si>
    <t>Understanding Supervision and the PhD</t>
  </si>
  <si>
    <t>Peelo, Moira</t>
  </si>
  <si>
    <t>LB2371.4 -- .P44 2011eb</t>
  </si>
  <si>
    <t>Graduate students -- Supervision of -- United States. ; Doctoral students -- United States.</t>
  </si>
  <si>
    <t>The Definition of a Profession : The Authority of Metaphor in the History of Intelligence Testing, 1890-1930</t>
  </si>
  <si>
    <t>Brown, JoAnne</t>
  </si>
  <si>
    <t>BF431.5.U6 -- B76 1992eb</t>
  </si>
  <si>
    <t>153.9/3/0973</t>
  </si>
  <si>
    <t>Rethinking School Choice : Limits of the Market Metaphor</t>
  </si>
  <si>
    <t>Henig, Jeffrey R.</t>
  </si>
  <si>
    <t>LB1027.9 -- .H46 1994eb</t>
  </si>
  <si>
    <t>Academic Instincts</t>
  </si>
  <si>
    <t>Garber, Marjorie</t>
  </si>
  <si>
    <t>AZ182 -- .G37 2001eb</t>
  </si>
  <si>
    <t>The Secret of Natural Readers : How Preschool Children Learn to Read</t>
  </si>
  <si>
    <t>Anbar, Ada</t>
  </si>
  <si>
    <t>LB1140.5.R4A515 2004</t>
  </si>
  <si>
    <t>Reading (Preschool) ; Literacy.</t>
  </si>
  <si>
    <t>The Lowering of Higher Education in America : Why Financial Aid Should Be Based on Student Performance</t>
  </si>
  <si>
    <t>Toby, Jackson</t>
  </si>
  <si>
    <t>LC67.62.T63 2010</t>
  </si>
  <si>
    <t>Education, Higher--Economic aspects--United States. ; College students--Rating of--United States. ; Educational accountability--United States.</t>
  </si>
  <si>
    <t>The Theory and Practice of Online Learning</t>
  </si>
  <si>
    <t>Athabasca University Press</t>
  </si>
  <si>
    <t>Anderson, Terry</t>
  </si>
  <si>
    <t>Issues in Distance Education Series</t>
  </si>
  <si>
    <t>LB1028.5 .T496 2008</t>
  </si>
  <si>
    <t>Johann Amos Comenius und Die Pädagogischen Hoffnungen der Gegenwart : Grundzüge Einer Mentalitätsgeschichtlichen Neuinterpretation Seines Werkes</t>
  </si>
  <si>
    <t>Lischewski, Andreas</t>
  </si>
  <si>
    <t>Elementa Series</t>
  </si>
  <si>
    <t>LB475.C6 -- L57 2010eb</t>
  </si>
  <si>
    <t>Philosophical &amp; Sociological Foundations of Education</t>
  </si>
  <si>
    <t>Global Media</t>
  </si>
  <si>
    <t>Himalaya Publishing House</t>
  </si>
  <si>
    <t>Talawar, M.S.;Kumar, T. Pradeep</t>
  </si>
  <si>
    <t>LB14.7 -- .T35 2010eb</t>
  </si>
  <si>
    <t>Ashima, V. Deshmukh;Naik, Anju P.</t>
  </si>
  <si>
    <t>LB3011 -- .D47 2010eb</t>
  </si>
  <si>
    <t>Education for New Generation</t>
  </si>
  <si>
    <t>Pragun Publications</t>
  </si>
  <si>
    <t>Delhi</t>
  </si>
  <si>
    <t>Agarwal, K.</t>
  </si>
  <si>
    <t>LA1151 -- .A33 2006eb</t>
  </si>
  <si>
    <t>Education. ; Education -- India.</t>
  </si>
  <si>
    <t>Special Education</t>
  </si>
  <si>
    <t>Jain, Poonam</t>
  </si>
  <si>
    <t>LC3965 -- .J35 2006eb</t>
  </si>
  <si>
    <t>Special education.</t>
  </si>
  <si>
    <t>Foundations of Education</t>
  </si>
  <si>
    <t>Pachauri, Ashok</t>
  </si>
  <si>
    <t>LB14.7 -- .P33 2006eb</t>
  </si>
  <si>
    <t>Education--Philosophy.</t>
  </si>
  <si>
    <t>Teaching Techniques</t>
  </si>
  <si>
    <t>Puri, Usha</t>
  </si>
  <si>
    <t>LB1025.3 -- .P87 2006eb</t>
  </si>
  <si>
    <t>Using Multimedia in Education</t>
  </si>
  <si>
    <t>Yadav, Vijay</t>
  </si>
  <si>
    <t>LB1028.5 -- .Y33 2006eb</t>
  </si>
  <si>
    <t>Computer-assisted instruction. ; Interactive multimedia.</t>
  </si>
  <si>
    <t>Air Ball : American Education's Failed Experiment with Elite Athletics</t>
  </si>
  <si>
    <t>Gerdy, John R.</t>
  </si>
  <si>
    <t>GV346 -- .G468 2006eb</t>
  </si>
  <si>
    <t>796.04/30973</t>
  </si>
  <si>
    <t>Radio broadcasting -- United States -- History -- 20th century. ; Radio broadcasting -- History.</t>
  </si>
  <si>
    <t>Developmental Theory and Language Disorders</t>
  </si>
  <si>
    <t>John Benjamins</t>
  </si>
  <si>
    <t>John Benjamins Publishing Company</t>
  </si>
  <si>
    <t>Fletcher, Paul;Miller, Jon F.;Fenyvesi, Anna</t>
  </si>
  <si>
    <t>P118 -- .D476 2005eb</t>
  </si>
  <si>
    <t>Language acquisition. ; Language disorders.</t>
  </si>
  <si>
    <t>Discourse in Content and Language Integrated Learning (CLIL) Classrooms</t>
  </si>
  <si>
    <t>Dalton-Puffer, Christiane</t>
  </si>
  <si>
    <t>P40.8 -- .D35 2007eb</t>
  </si>
  <si>
    <t>Language and education. ; Conversation analysis. ; Speech acts (Linguistics)</t>
  </si>
  <si>
    <t>Discourse Intonation in L2 : From theory and research to practice</t>
  </si>
  <si>
    <t>Chun, Dorothy M.</t>
  </si>
  <si>
    <t>P53 -- .C514 2002eb</t>
  </si>
  <si>
    <t>Language and languages -- Study and teaching. ; Intonation (Phonetics) ; Discourse analysis.</t>
  </si>
  <si>
    <t>Exploring Corpora for ESP Learning</t>
  </si>
  <si>
    <t>Gavioli, Laura</t>
  </si>
  <si>
    <t>PE1128.A2 -- G33 2005eb</t>
  </si>
  <si>
    <t>English language -- Study and teaching -- Foreign speakers. ; English language -- Study and teaching -- Data processing. ; English language -- Discourse analysis -- Data processing. ; Computational linguistics.</t>
  </si>
  <si>
    <t>Fundamental Aspects of Interpreter Education : Curriculum and Assessment</t>
  </si>
  <si>
    <t>Sawyer, David B.</t>
  </si>
  <si>
    <t>P306.5 -- .S29 2004eb</t>
  </si>
  <si>
    <t>418/.02/0711</t>
  </si>
  <si>
    <t>Translators -- Training of. ; Linguistics.</t>
  </si>
  <si>
    <t>Goals for Academic Writing : ESL students and their instructors</t>
  </si>
  <si>
    <t>Cumming, Alister</t>
  </si>
  <si>
    <t>PE1128.A2 -- G57 2006eb</t>
  </si>
  <si>
    <t>Academic writing -- Study and teaching -- Canada. ; English language -- Rhetoric -- Study and teaching -- Foreign speakers. ; English language -- Rhetoric -- Study and teaching -- Canada. ; English language -- Study and teaching -- Foreign speakers -- Research. ; English language -- Written English.</t>
  </si>
  <si>
    <t>Heritage Language Development : Focus on East Asian Immigrants</t>
  </si>
  <si>
    <t>Kondo-Brown, Kimi</t>
  </si>
  <si>
    <t>P120.N37 -- H47 2006eb</t>
  </si>
  <si>
    <t>Native language. ; Immigrants -- East Asia.</t>
  </si>
  <si>
    <t>How to Use Corpora in Language Teaching</t>
  </si>
  <si>
    <t>Sinclair, John McH.;Sinclair, John McHardy</t>
  </si>
  <si>
    <t>P53.28 -- .H69 2004eb</t>
  </si>
  <si>
    <t>Language and languages -- Computer-assisted instruction. ; Linguistics.</t>
  </si>
  <si>
    <t>Individual Differences and Instructed Language Learning</t>
  </si>
  <si>
    <t>Robinson, Peter</t>
  </si>
  <si>
    <t>P53.446 -- .I53 2002eb</t>
  </si>
  <si>
    <t>Individual differences. ; Language and languages -- Study and teaching.</t>
  </si>
  <si>
    <t>Intercultural Education and Literacy : An ethnographic study of indigenous knowledge and learning in the Peruvian Amazon</t>
  </si>
  <si>
    <t>Aikman, Sheila</t>
  </si>
  <si>
    <t>Studies in Written Language and Literacy</t>
  </si>
  <si>
    <t>F3430.1.M38 -- A55 1999eb</t>
  </si>
  <si>
    <t>370.117/0984/52</t>
  </si>
  <si>
    <t>Mashco Indians -- Education. ; Mashco Indians -- Social conditions. ; Multicultural education -- Peru -- Madre de Dios (Dept.) ; Education, Bilingual -- Peru -- Madre de Dios (Dept.) ; Mashco language -- Study and teaching -- Peru -- Madre de Dios (Dept.) ; Mashco language -- Writing.</t>
  </si>
  <si>
    <t>Language in Language Teacher Education</t>
  </si>
  <si>
    <t>Trappes-Lomax, Hugh;Ferguson, Gibson</t>
  </si>
  <si>
    <t>P53.85 -- .L357 2002eb</t>
  </si>
  <si>
    <t>407/.1/1</t>
  </si>
  <si>
    <t>Language and languages. ; Language awareness. ; Language teachers -- Training of.</t>
  </si>
  <si>
    <t>Learner and Teacher Autonomy : Concepts, Realities, and Response</t>
  </si>
  <si>
    <t>Amsterdam/Philadelphia</t>
  </si>
  <si>
    <t>Lamb, Terry;Reinders, Hayo</t>
  </si>
  <si>
    <t>AILA Applied Linguistics Series</t>
  </si>
  <si>
    <t>P53.457</t>
  </si>
  <si>
    <t>Language and languages -- Study and teaching. ; Learner autonomy. ; Teaching, Freedom of.</t>
  </si>
  <si>
    <t>Learning and Teaching Languages Through Content : A counterbalanced approach</t>
  </si>
  <si>
    <t>Lyster, Roy</t>
  </si>
  <si>
    <t>P51 -- .L97 2007eb</t>
  </si>
  <si>
    <t>Linguistic Creativity in Japanese Discourse : Exploring the multiplicity of self, perspective, and voice</t>
  </si>
  <si>
    <t>Maynard, Senko K.</t>
  </si>
  <si>
    <t>P37.5.C74 -- M39 2007eb</t>
  </si>
  <si>
    <t>495.6/0141</t>
  </si>
  <si>
    <t>Creativity (Linguistics) ; Discourse analysis. ; Language and languages -- Style. ; Japanese language -- Discourse analysis. ; Japanese language -- Style.</t>
  </si>
  <si>
    <t>Local Educational Order : Ethnomethodological studies of knowledge in action</t>
  </si>
  <si>
    <t>Hester, Stephen K.;Francis, David</t>
  </si>
  <si>
    <t>LB1028.24 -- .L63 2000eb</t>
  </si>
  <si>
    <t>Action research in education -- Methodology. ; Ethnomethodology. ; Interaction analysis in education. ; Classroom environment.</t>
  </si>
  <si>
    <t>Multiple Voices in the Translation Classroom : Activities, tasks and projects</t>
  </si>
  <si>
    <t>González Davies, Maria</t>
  </si>
  <si>
    <t>P306.5 -- .G66 2004eb</t>
  </si>
  <si>
    <t>Translating and interpreting -- Study and teaching (Higher) ; Language and languages.</t>
  </si>
  <si>
    <t>Pedagogical Norms for Second and Foreign Language Learning and Teaching : Studies in honour of Albert Valdman</t>
  </si>
  <si>
    <t>Gass, Susan M.;Bardovi-Harlig, Kathleen;Magnan, Sally Sieloff;Walz, Joel</t>
  </si>
  <si>
    <t>P53 -- .P377 2002eb</t>
  </si>
  <si>
    <t>Language and languages -- Study and teaching. ; Education -- Standards.</t>
  </si>
  <si>
    <t>Phraseology in Foreign Language Learning and Teaching</t>
  </si>
  <si>
    <t>Meunier, Fanny;Granger, Sylviane</t>
  </si>
  <si>
    <t>P53.6123 -- .P49 2007eb</t>
  </si>
  <si>
    <t>Language and languages -- Study and teaching. ; Phraseology -- Study and teaching.</t>
  </si>
  <si>
    <t>Play Frames and Social Identities : Contact encounters in a Greek primary school</t>
  </si>
  <si>
    <t>Lytra, Vally</t>
  </si>
  <si>
    <t>LC3736.G82 -- A865 2007eb</t>
  </si>
  <si>
    <t>372/.9495</t>
  </si>
  <si>
    <t>Children of minorities -- Education (Elementary) -- Greece -- Athens -- Case studies. ; Education, Elementary -- Greece -- Athens -- Case studies. ; Multiculturalism -- Greece -- Athens -- Case studies.</t>
  </si>
  <si>
    <t>Precursors of Functional Literacy</t>
  </si>
  <si>
    <t>Verhoeven, Ludo;Elbro, Carsten;Reitsma, Pieter;Verhoven, Ludo;Elbro, Carsten</t>
  </si>
  <si>
    <t>P118.7 -- .P74 2002eb</t>
  </si>
  <si>
    <t>Language acquisition. ; Literacy. ; Language awareness in children.</t>
  </si>
  <si>
    <t>Progress in Colour Studies : Volume I. Language and culture</t>
  </si>
  <si>
    <t>Biggam, Carole P.;Kay, Christian J.</t>
  </si>
  <si>
    <t>Progress in Colour Studies</t>
  </si>
  <si>
    <t>P305.19.C64 -- P76 2006eb</t>
  </si>
  <si>
    <t>Color -- Terminology. ; Colors, Words for. ; Language and culture. ; Color -- Psychological aspects.</t>
  </si>
  <si>
    <t>Progress in Colour Studies : Volume II. Psychological aspects</t>
  </si>
  <si>
    <t>Pitchford, Nicola;Biggam, Carole P.</t>
  </si>
  <si>
    <t>P305.19.C64 -- P77 2006eb</t>
  </si>
  <si>
    <t>Quechua-Spanish Bilingualism : Interference and convergence in functional categories</t>
  </si>
  <si>
    <t>Sánchez, Liliana</t>
  </si>
  <si>
    <t>P115.2 -- .S26 2003eb</t>
  </si>
  <si>
    <t>498/.32304261/0985</t>
  </si>
  <si>
    <t>Bilingualism in children -- Peru. ; Languages in contact -- Peru. ; Quechua language -- Grammar, Comparative -- Spanish. ; Spanish language -- Grammar, Comparative -- Quechua. ; Interference (Linguistics) ; Language acquisition.</t>
  </si>
  <si>
    <t>Readings in Second Language Pedagogy and Second Language Acquisition : In Japanese Context</t>
  </si>
  <si>
    <t>Yoshitomi, Asako;Umino, Tae;Negishi, Masashi</t>
  </si>
  <si>
    <t>P57.J3 -- R38 2006eb</t>
  </si>
  <si>
    <t>407.1/052</t>
  </si>
  <si>
    <t>Language and languages -- Study and teaching -- Japan. ; Second language acquisition -- Japan.</t>
  </si>
  <si>
    <t>Reflections on Language and Language Learning : In honour of Arthur van Essen</t>
  </si>
  <si>
    <t>Bax, Marcel;Zwart, Jan-Wouter</t>
  </si>
  <si>
    <t>P51 -- .R364 2001eb</t>
  </si>
  <si>
    <t>Language and languages -- Study and teaching. ; Linguistics.</t>
  </si>
  <si>
    <t>Students Writing in the University : Cultural and epistemological issues</t>
  </si>
  <si>
    <t>Jones, Carys;Turner, Joan;Street, Brian</t>
  </si>
  <si>
    <t>PE1405.G7 -- S78 1999eb</t>
  </si>
  <si>
    <t>808/.042/071141</t>
  </si>
  <si>
    <t>English language -- Rhetoric -- Study and teaching -- Great Britain. ; Academic writing -- Study and teaching -- Great Britain. ; College students -- Great Britain -- Social conditions. ; College students -- Great Britain -- Language.</t>
  </si>
  <si>
    <t>Teacher Education in CALL</t>
  </si>
  <si>
    <t>Hubbard, Philip;Levy, Mike</t>
  </si>
  <si>
    <t>P53.85 -- .T385 2006eb</t>
  </si>
  <si>
    <t>Language and languages -- Computer-assisted instruction. ; Language teachers -- Training of.</t>
  </si>
  <si>
    <t>Translation in Undergraduate Degree Programmes</t>
  </si>
  <si>
    <t>Malmkjaer, Kirsten</t>
  </si>
  <si>
    <t>Benjamins Translation Library</t>
  </si>
  <si>
    <t>P306.5 -- .T728 2004eb</t>
  </si>
  <si>
    <t>Translating and interpreting -- Study and teaching (Higher) ; Education, Higher -- Curricula.</t>
  </si>
  <si>
    <t>Vocabulary in a Second Language : Selection, Acquisition, and Testing</t>
  </si>
  <si>
    <t>Bogaards, Paul;Laufer-Dvorkin, Batia</t>
  </si>
  <si>
    <t>Language Learning and Language Teaching Series</t>
  </si>
  <si>
    <t>P53.9.V634 2004</t>
  </si>
  <si>
    <t>Language and languages -- Study and teaching. ; Vocabulary -- Study and teaching. ; Second language acquisition.</t>
  </si>
  <si>
    <t>Creoles in Education : An appraisal of current programs and projects</t>
  </si>
  <si>
    <t>Migge, Bettina;Léglise, Isabelle;Bartens, Angela</t>
  </si>
  <si>
    <t>LC3609 -- .C74 2010eb</t>
  </si>
  <si>
    <t>Creoles -- Education -- Evaluation. ; Native language and education. ; Creole dialects.</t>
  </si>
  <si>
    <t>The Future of Diversity : Academic Leaders Reflect on American Higher Education</t>
  </si>
  <si>
    <t>Little, D.;Mohanty, S.</t>
  </si>
  <si>
    <t>Future of Minority Studies</t>
  </si>
  <si>
    <t>Geology, Structural</t>
  </si>
  <si>
    <t>Curriculum, Community, and Urban School Reform</t>
  </si>
  <si>
    <t>Franklin, B.</t>
  </si>
  <si>
    <t>LB2806.15</t>
  </si>
  <si>
    <t>Geology</t>
  </si>
  <si>
    <t>The Well-Balanced Teacher : How to Work Smarter and Stay Sane Inside the Classroom and Out</t>
  </si>
  <si>
    <t>Anderson, Mike</t>
  </si>
  <si>
    <t>LB1025.3 .M536 2010</t>
  </si>
  <si>
    <t>Effective teaching. ; Educational innovations. ; School improvement programs. ; Learning, Psychology of.</t>
  </si>
  <si>
    <t>How to Assess Higher-Order Thinking Skills in Your Classroom</t>
  </si>
  <si>
    <t>LB1590.3 .B745 2010</t>
  </si>
  <si>
    <t>371.27/1</t>
  </si>
  <si>
    <t>Thought and thinking-Study and teaching (Secondary) ; Critical thinking-Study and teaching (Secondary) ; Cognition in children.</t>
  </si>
  <si>
    <t>Strengthening and Enriching Your Professional Learning Community : The Art of Learning Together</t>
  </si>
  <si>
    <t>Caine, Geoffrey;Caine, Renate N.</t>
  </si>
  <si>
    <t>LB1731 -- .C217 2010eb</t>
  </si>
  <si>
    <t>Guided Instruction</t>
  </si>
  <si>
    <t>LB1775.2 .F596 2010</t>
  </si>
  <si>
    <t>Teachers-United States. ; Teaching-United States-Psychological aspects. ; Teacher-student relationships-United States. ; Motivation in education-United States. ; Learning, Psychology of.</t>
  </si>
  <si>
    <t>Learning for Keeps : Teaching the Strategies Essential for Creating Independent Learners</t>
  </si>
  <si>
    <t>Koenig, Rhoda</t>
  </si>
  <si>
    <t>LB1025.3 .K65 2010</t>
  </si>
  <si>
    <t>Effective teaching. ; Language arts. ; Reading. ; Cognitive learning.</t>
  </si>
  <si>
    <t>Raising Black Students' Achievement Through Culturally Responsive Teaching</t>
  </si>
  <si>
    <t>McKinley, Johnnie</t>
  </si>
  <si>
    <t>LC2803.S43 M35 2010</t>
  </si>
  <si>
    <t>371.829/9607309797</t>
  </si>
  <si>
    <t>Seattle Public Schools-Case studies. ; African Americans-Education-Washington (State)-Seattle-Case studies. ; Academic achievement-Washington (State)-Seattle-Case studies. ; Cultural awareness-Washington (State)-Seattle-Case studies.</t>
  </si>
  <si>
    <t>Leading and Managing a Differentiated Classroom</t>
  </si>
  <si>
    <t>Tomlinson, Carol Ann;Imbeau, Marcia B.</t>
  </si>
  <si>
    <t>LB1031 .T67 2010</t>
  </si>
  <si>
    <t>Individualized instruction-United States. ; Inclusive education-United States. ; Classroom management-United States.</t>
  </si>
  <si>
    <t>Brain Matters : Translating Research into Classroom Practice</t>
  </si>
  <si>
    <t>Wolfe, Patricia</t>
  </si>
  <si>
    <t>LB1060 .W63 2010</t>
  </si>
  <si>
    <t>Learning, Psychology of. ; Learning-Physiological aspects. ; Brain.</t>
  </si>
  <si>
    <t>Breaking Free from Myths about Teaching and Learning : Innovation As an Engine for Student Success</t>
  </si>
  <si>
    <t>Zmuda, Allison</t>
  </si>
  <si>
    <t>LB2822.82 .Z68 2010</t>
  </si>
  <si>
    <t>School improvement programs-United States. ; Academic achievement-United States. ; Educational leadership-United States.</t>
  </si>
  <si>
    <t>Quick Hits for Service-Learning : Successful Strategies by Award-Winning Teachers</t>
  </si>
  <si>
    <t>Cooksey, M. A.;Olivares, Kimberly T.</t>
  </si>
  <si>
    <t>LC220.5 -- .Q54 2010eb</t>
  </si>
  <si>
    <t>Community and school. ; Service learning.</t>
  </si>
  <si>
    <t>Graphics for Learning : Proven Guidelines for Planning, Designing, and Evaluating Visuals in Training Materials</t>
  </si>
  <si>
    <t>Clark, Ruth C.;Lyons, Chopeta</t>
  </si>
  <si>
    <t>LB1043.5 -- .C53 2011eb</t>
  </si>
  <si>
    <t>Academic Leadership Day by Day : Small Steps That Lead to Great Success</t>
  </si>
  <si>
    <t>Buller, Jeffrey L.</t>
  </si>
  <si>
    <t>LB2341.B742 2011</t>
  </si>
  <si>
    <t>Educational leadership--United States. ; Education, Higher--Effect of technological innovations on--United States. ; College administrators--United States.</t>
  </si>
  <si>
    <t>Eportfolios for Lifelong Learning and Assessment</t>
  </si>
  <si>
    <t>Cambridge, Darren</t>
  </si>
  <si>
    <t>LB1029.P67 -- C36 2010eb</t>
  </si>
  <si>
    <t>Electronic portfolios in education. ; College students -- Rating of -- United States. ; Education, Higher -- United States -- Evaluation.</t>
  </si>
  <si>
    <t>Functional Behavioral Assessment, Diagnosis, and Treatment, Second Edition : A Complete System for Education and Mental Health Settings</t>
  </si>
  <si>
    <t>Cipani, Ennio;Schock, Keven M.</t>
  </si>
  <si>
    <t>LB1060.2.C568 2011</t>
  </si>
  <si>
    <t>Behavior modification--Handbooks, manuals, etc. ; People with mental disabilities--Behavior modification--Handbooks, manuals, etc. ; Behavioral assessment--Handbooks, manuals, etc. ; Behavior Therapy--methods. ; Personality Assessment. ; Clinical Protocols. ; Mental Disorders--diagnosis. ; Mental Disorders--therapy.</t>
  </si>
  <si>
    <t>A PhD Is Not Enough : A Guide To Survival In Science</t>
  </si>
  <si>
    <t>Feibelman, Peter J.</t>
  </si>
  <si>
    <t>Q147 -- .F45 2010eb</t>
  </si>
  <si>
    <t>Mentoring in the professions -- Handbooks, manuals, etc. ; Science -- Vocational guidance -- Handbooks, manuals, etc. ; Scientists -- Training of -- Handbooks, manuals, etc.</t>
  </si>
  <si>
    <t>Boys Adrift : The Five Factors Driving the Growing Epidemic of Unmotivated Boys and Underachieving Young Men</t>
  </si>
  <si>
    <t>Sax, Leonard</t>
  </si>
  <si>
    <t>NONE</t>
  </si>
  <si>
    <t>LC1390 -- .S29 2009eb</t>
  </si>
  <si>
    <t>305.231;371.823</t>
  </si>
  <si>
    <t>Boys -- Education. ; Young men -- Education. ; Motivation in education. ; Sex differences in education.</t>
  </si>
  <si>
    <t>Education in Nazi Germany</t>
  </si>
  <si>
    <t>Berg Publishers</t>
  </si>
  <si>
    <t>Pine, Lisa</t>
  </si>
  <si>
    <t>LA721.8.P56 2010</t>
  </si>
  <si>
    <t>National socialism and youth -- Germany</t>
  </si>
  <si>
    <t>Teachers As Servant Leaders</t>
  </si>
  <si>
    <t>Nichols, Joe D.</t>
  </si>
  <si>
    <t>LB1775.N53 2010</t>
  </si>
  <si>
    <t>Teachers--Professional relationships. ; Educational leadership.</t>
  </si>
  <si>
    <t>Saints and Scamps : Ethics in Academia</t>
  </si>
  <si>
    <t>Cahn, Steven M.</t>
  </si>
  <si>
    <t>LB1779.C34 2011</t>
  </si>
  <si>
    <t>174/.937812</t>
  </si>
  <si>
    <t>College teachers--Professional ethics.</t>
  </si>
  <si>
    <t>Principal Leadership in Taiwan Schools</t>
  </si>
  <si>
    <t>Shouse, Roger C.;Lin, Kuan-Pei</t>
  </si>
  <si>
    <t>LB2831.926.T28S46</t>
  </si>
  <si>
    <t>School principals--Taiwan. ; Educational leadership--Taiwan. ; Educational change--Taiwan. ; Education and state--Taiwan.</t>
  </si>
  <si>
    <t>Free to Be Musical : Group Improvisation in Music</t>
  </si>
  <si>
    <t>Higgins, Lee;Campbell, Patricia Shehan;Gary McPherson, Gary</t>
  </si>
  <si>
    <t>MT68.H62 2010</t>
  </si>
  <si>
    <t>781.3/6071</t>
  </si>
  <si>
    <t>Music--Instruction and study. ; Improvisation (Music).</t>
  </si>
  <si>
    <t>Improving Test Scores in Five Easy Steps : The Silver Bullet</t>
  </si>
  <si>
    <t>Quinn, Gary W.</t>
  </si>
  <si>
    <t>LB3051.Q56 2009</t>
  </si>
  <si>
    <t>Educational tests and measurements--United States. ; Academic achievement--United States.</t>
  </si>
  <si>
    <t>Peak Performance for Deans and Chairs : Reframing Higher Education's Middle</t>
  </si>
  <si>
    <t>Roper, Susan Stavert;Deal, Terrence E.</t>
  </si>
  <si>
    <t>LB2341.R587 2009</t>
  </si>
  <si>
    <t>Deans (Education). ; College department heads. ; Universities and colleges--Administration. ; University cooperation. ; Total quality management in higher education.</t>
  </si>
  <si>
    <t>WhatOs Ahead in Education? : An Analysis of the Policies of the Obama Administration</t>
  </si>
  <si>
    <t>Hayes, William J.;Martin, John Edward</t>
  </si>
  <si>
    <t>LC89.H395 2010</t>
  </si>
  <si>
    <t>379.73/0905</t>
  </si>
  <si>
    <t>Obama, Barack. ; Education and state--United States. ; United States--Politics and government--2009-2017.</t>
  </si>
  <si>
    <t>Action Research for Teacher Candidates : Using Classroom Data to Enhance Instruction</t>
  </si>
  <si>
    <t>Pelton, Robert P.;Baker, Elizabeth;Bolyard, Johnna;Curtis, Reagan;Webb-Dempsey, Jaci;Gartland, Debi;Girod, Mark;Hoppey, David;Jenny, Geraldine;LeJeune, Marie</t>
  </si>
  <si>
    <t>LB1028.24.B47 2010</t>
  </si>
  <si>
    <t>Action research in education. ; Teachers--In-service training.</t>
  </si>
  <si>
    <t>Finding Success the First Year : A Survivor's Guide for New Teachers</t>
  </si>
  <si>
    <t>Johnson, Matthew</t>
  </si>
  <si>
    <t>LB2844.1.N4J58 2010</t>
  </si>
  <si>
    <t>First year teachers--Professional relationships. ; First year teachers--In-service training. ; Mentoring in education. ; Teachers--Training of.</t>
  </si>
  <si>
    <t>Exploring the Myths and the Realities of Today's Schools : A Candid Review of the Challenges Educators Face</t>
  </si>
  <si>
    <t>McAdams, Richard P.</t>
  </si>
  <si>
    <t>LA217.2M391 2010</t>
  </si>
  <si>
    <t>Public schools--United States.</t>
  </si>
  <si>
    <t>Leaving Johnny Behind : Overcoming Barriers to Literacy and Reclaiming at-Risk Readers</t>
  </si>
  <si>
    <t>Pedriana, Anthony;Lyon, Reid</t>
  </si>
  <si>
    <t>LB1139.5.R43P43 2010</t>
  </si>
  <si>
    <t>Reading (Early childhood). ; Reading--Remedial teaching. ; Children with disabilities--Education.</t>
  </si>
  <si>
    <t>Privileged Thinking in Today's Schools : The Implications for Social Justice</t>
  </si>
  <si>
    <t>Barnett, David;Christian, Carol J.;Hughes, Richard;Wallace, Rocky</t>
  </si>
  <si>
    <t>LC213.2.P75 2010</t>
  </si>
  <si>
    <t>Educational equalization--United States. ; Children with social disabilities--Education--United States. ; Social justice--United States.</t>
  </si>
  <si>
    <t>Leading Standards-Based Education Reform : Improving Implementation of Standards to Increase Student Achievement</t>
  </si>
  <si>
    <t>Vogel, Linda R.</t>
  </si>
  <si>
    <t>LB3060.83.V65 2010</t>
  </si>
  <si>
    <t>Education--Standards--United States--Handbooks, manuals, etc. ; Educational accountability--United States--Handbooks, manuals, etc. ; Educational evaluation--United States--Handbooks, manuals, etc.</t>
  </si>
  <si>
    <t>Transforming Borders : Chicana/o Popular Culture and Pedagogy</t>
  </si>
  <si>
    <t>Elenes, Alejandra C.</t>
  </si>
  <si>
    <t>LC2670.E54 2011</t>
  </si>
  <si>
    <t>Hispanic American women--Education. ; Feminist theory--United States. ; Women in education--United States. ; Critical pedagogy--United States.</t>
  </si>
  <si>
    <t>Veterans of Future Wars : A Study in Student Activism</t>
  </si>
  <si>
    <t>Whisenhunt, Donald W.</t>
  </si>
  <si>
    <t>LA229.W45 2011</t>
  </si>
  <si>
    <t>378.1/9810973</t>
  </si>
  <si>
    <t>Veterans of Future Wars (U.S.). ; College students--Political activity--United States--History--20th century. ; Student movements--United States--History--20th century. ; Peace movements--United States--History--20th century. ; Pacifism--United States--History--20th century. ; World War, 1914-1918--United States--Influence. ; Veterans--Government policy--United States--History--20th century. ; United States--Social conditions--1933-1945.</t>
  </si>
  <si>
    <t>A Toolkit for Action Research</t>
  </si>
  <si>
    <t>Alber, Sandra M.</t>
  </si>
  <si>
    <t>LB1028.4.A43 2010</t>
  </si>
  <si>
    <t>Action research in education. ; Education--Research. ; Educational reports.</t>
  </si>
  <si>
    <t>Culturally Relevant Pedagogy : Clashes and Confrontations</t>
  </si>
  <si>
    <t>Scherff, Lisa;Spector, Karen;Abt-Perkins, Dawn;Balf, Ruth;Brown, Matthew;Deal, Jacqueline;Dutro, Elizabeth;Helmer, Kimberly Adilia;Jones, Stephanie;Kazemi, Elham</t>
  </si>
  <si>
    <t>LC1099.3.C847 2010</t>
  </si>
  <si>
    <t>Culturally relevant pedagogy--United States. ; Critical pedagogy--United States. ; Teaching--United States. ; Minorities--Education--United States. ; Learning--Social aspects--Cross-cultural studies.</t>
  </si>
  <si>
    <t>Dream! Create! Sustain! : Mastering the Art and Science of Transforming School Systems</t>
  </si>
  <si>
    <t>Duffy, Francis M.</t>
  </si>
  <si>
    <t>Leading Systemic School Improvement Series</t>
  </si>
  <si>
    <t>LB2822.82.D817 2010</t>
  </si>
  <si>
    <t>371.2/070973</t>
  </si>
  <si>
    <t>School improvement programs--United States. ; School districts--United States. ; Educational leadership--United States.</t>
  </si>
  <si>
    <t>Empowering the Voice of the Teacher Researcher : Achieving Success Through a Culture of Inquiry</t>
  </si>
  <si>
    <t>Brindley, Roger Neilson;Crocco, Christine M.;Dana, Nancy Fichtman;Christoff, Christopher S.;Fisher, Lisa A.;Frick, Leslie;Gruhl, Matthew;Lawrence, Danielle;Tehan, Cynthia;Tolson, Janet</t>
  </si>
  <si>
    <t>LB1028.24.E556 2010</t>
  </si>
  <si>
    <t>Action research in education--United States.</t>
  </si>
  <si>
    <t>Steady and Strong : People Skills for Principals</t>
  </si>
  <si>
    <t>Thompson, Russ</t>
  </si>
  <si>
    <t>LB2831.92.T46 2010</t>
  </si>
  <si>
    <t>Thompson, Russ, 1955--Anecdotes. ; School principals--United States. ; Interpersonal relations.</t>
  </si>
  <si>
    <t>Building Transitional Programs for Students with Disabilities : How to Navigate the Course of Their Lives</t>
  </si>
  <si>
    <t>Mahanay-Castro, Christy</t>
  </si>
  <si>
    <t>LC4031.M27 2010</t>
  </si>
  <si>
    <t>371.9/0473</t>
  </si>
  <si>
    <t>Students with disabilities--Education (Secondary)--United States. ; Education, Secondary--Curricula--United States. ; Special education--United States.</t>
  </si>
  <si>
    <t>Using Humor to Maximize Learning : The Links Between Positive Emotions and Education</t>
  </si>
  <si>
    <t>Morrison, Mary Kay</t>
  </si>
  <si>
    <t>LB1051 -- .M67 2008eb</t>
  </si>
  <si>
    <t>Wit and humor in education</t>
  </si>
  <si>
    <t>Finding the Time for Instructional Leadership : Management Strategies for Strengthening the Academic Program</t>
  </si>
  <si>
    <t>Leonard, John</t>
  </si>
  <si>
    <t>LB2805.L3864 2010</t>
  </si>
  <si>
    <t>Educational leadership. ; School management and organization. ; Organizational behavior.</t>
  </si>
  <si>
    <t>Teaching, the Hardest Job You'll Ever Love : Helpful Ideas for Teachers in and Out of the Classroom</t>
  </si>
  <si>
    <t>Sonntag, Steve</t>
  </si>
  <si>
    <t>LB1025.3.S66 2010</t>
  </si>
  <si>
    <t>Teaching--Handbooks, manuals, etc.</t>
  </si>
  <si>
    <t>Theoretical Perspectives on American Indian Education : Taking a New Look at Academic Success and the Achievement Gap</t>
  </si>
  <si>
    <t>Huffman, Terry</t>
  </si>
  <si>
    <t>Contemporary Native American Communities Series</t>
  </si>
  <si>
    <t>E97.H795 2010</t>
  </si>
  <si>
    <t>371.829/97</t>
  </si>
  <si>
    <t>Indians of North America--Education--Philosophy. ; Indians of North America--Education--History. ; Indians of North America--Education.</t>
  </si>
  <si>
    <t>Transforming Literacies and Language : Multimodality and Literacy in the New Media Age</t>
  </si>
  <si>
    <t>Ho, Caroline M. L.;Anderson, Kate T.;Leong, Alvin P.</t>
  </si>
  <si>
    <t>LC149.5.T73 2012</t>
  </si>
  <si>
    <t>302.2/2440285</t>
  </si>
  <si>
    <t>Literacy. ; Literacy -- Effects of technological innovations. ; Educational technology. ; Curriculum planning.</t>
  </si>
  <si>
    <t>Researching Education : Data, Methods and Theory in Educational Enquiry</t>
  </si>
  <si>
    <t>LB1028 -- .S343 2011eb</t>
  </si>
  <si>
    <t>Continuing Professional Development in the Lifelong Learning Sector</t>
  </si>
  <si>
    <t>Scales, Peter;Pickering, Jo;Senior, Lynn;Headley, Kath;Garner, Patsy;Boulton, Helen</t>
  </si>
  <si>
    <t>LC5215 -- .S33 2011eb</t>
  </si>
  <si>
    <t>Right to Be Out : Sexual Orientation and Gender Identity in America's Public Schools</t>
  </si>
  <si>
    <t>Biegel, Stuart</t>
  </si>
  <si>
    <t>LC212.92 -- .B52 2010eb</t>
  </si>
  <si>
    <t>Entrepreneurship. ; New business enterprises -- Management.</t>
  </si>
  <si>
    <t>Humanism and Calvinism : Andrew Melville and the Universities of Scotland, 1560-1625</t>
  </si>
  <si>
    <t>Reid, Steven J.;Cameron, Professor Euan;Gordon, Professor Bruce;Heal, Dr Bridget;Mason, Professor Roger A;Nelson Burnett, Professor Amy;Pettegree, Dr Andrew;von Greyerz, Professor Kaspar;Ryrie, Professor Alec;Heal, Dr Felicity</t>
  </si>
  <si>
    <t>LA657 -- .R45 2011eb</t>
  </si>
  <si>
    <t>378.411/09031</t>
  </si>
  <si>
    <t>Melville, Andrew, -- 1545-1622. ; University of St. Andrews -- History. ; Universities and colleges -- Scotland -- History -- 16th century. ; Universities and colleges -- Scotland -- History -- 17th century. ; Education, Higher -- Scotland -- History -- 16th century. ; Education, Higher -- Scotland -- History -- 17th century. ; Reformation -- Scotland.</t>
  </si>
  <si>
    <t>Post-Socialism Is Not Dead : Reading the Global in Comparative Education</t>
  </si>
  <si>
    <t>Silova, Iveta;Wiseman, Alexander W.</t>
  </si>
  <si>
    <t>LC93</t>
  </si>
  <si>
    <t>GRE 4000 : The 4000 Words Essential for the GRE</t>
  </si>
  <si>
    <t>LB2367.4 -- .K65 2011eb</t>
  </si>
  <si>
    <t>Convents -- Fiction. ; Conversion -- Fiction. ; Incest -- Fiction. ; Inquisition -- Fiction. ; Jews -- Spain -- Fiction. ; Orphans -- Spain -- Fiction.</t>
  </si>
  <si>
    <t>Mentoring the Educational Leader : A Practical Framework for Success</t>
  </si>
  <si>
    <t>Strike, Kimberly T.;Nickelsen, John</t>
  </si>
  <si>
    <t>LB1731.4.S78 2011</t>
  </si>
  <si>
    <t>371.20071/55</t>
  </si>
  <si>
    <t>Mentoring in education. ; Educational leadership. ; School management and organization. ; School improvement programs. ; Academic achievement.</t>
  </si>
  <si>
    <t>Early Childhood and Primary Education: Readings and Reflections</t>
  </si>
  <si>
    <t>Johnston, Jane;Halocha, John</t>
  </si>
  <si>
    <t>LB1139.23 -- .J64 2010eb</t>
  </si>
  <si>
    <t>How to Research</t>
  </si>
  <si>
    <t>Blaxter, Loraine;Hughes, Christina;Tight, Malcolm</t>
  </si>
  <si>
    <t>LB2369 -- .B53 2010eb</t>
  </si>
  <si>
    <t>Research -- Handbooks, manuals, etc.</t>
  </si>
  <si>
    <t>Corporate Finance</t>
  </si>
  <si>
    <t>Helbaek, Morten;Lindset, Snorre;McLellan, Brock</t>
  </si>
  <si>
    <t>HG4026 .H45 2010</t>
  </si>
  <si>
    <t>Corporations-Finance.</t>
  </si>
  <si>
    <t>The Trouble with Play</t>
  </si>
  <si>
    <t>Grieshaber, Susan;McArdle, Felicity</t>
  </si>
  <si>
    <t>LB1137 .G75 2010</t>
  </si>
  <si>
    <t>Play. ; Early childhood education.</t>
  </si>
  <si>
    <t>Giving Students Effective Written Feedback</t>
  </si>
  <si>
    <t>Burke, Deirdre;Pieterick, Jackie</t>
  </si>
  <si>
    <t>LB1033 .B87 2010</t>
  </si>
  <si>
    <t>Teacher-student relationships. ; Feedback (Psychology) ; Communication in education.</t>
  </si>
  <si>
    <t>Critical Thinking Across the Curriculum: Developing Critical Thinking Skills, Literacy and Philosophy in the Primary Classroom</t>
  </si>
  <si>
    <t>LA633 .L45 2010</t>
  </si>
  <si>
    <t>Education, Elementary-Great Britain. ; Critical thinking.</t>
  </si>
  <si>
    <t>Thinking about Play: Developing a Reflective Approach</t>
  </si>
  <si>
    <t>LB1137 .T45 2010</t>
  </si>
  <si>
    <t>Play. ; Teaching.</t>
  </si>
  <si>
    <t>Primary Science: Teaching the Tricky Bits</t>
  </si>
  <si>
    <t>Rutledge, Neil</t>
  </si>
  <si>
    <t>Q181 .R88 2010</t>
  </si>
  <si>
    <t>Science-Study and teaching (Primary)</t>
  </si>
  <si>
    <t>Mind Expanding: Teaching for Thinking and Creativity in Primary Education</t>
  </si>
  <si>
    <t>Wegerif, Rupert</t>
  </si>
  <si>
    <t>LB1062 .W44 2010</t>
  </si>
  <si>
    <t>Creative thinking-Study and teaching (Primary) ; Thought and thinking.</t>
  </si>
  <si>
    <t>Immigrant Teachers, American Students : Cultural Differences, Cultural Disconnections</t>
  </si>
  <si>
    <t>Florence, N.</t>
  </si>
  <si>
    <t>Critical Race, Feminism, and Education : A Social Justice Model</t>
  </si>
  <si>
    <t>Pratt-Clarke, M.</t>
  </si>
  <si>
    <t>Postcolonial Studies in Education Series</t>
  </si>
  <si>
    <t>Gender identity in education</t>
  </si>
  <si>
    <t>A New Social Contract in a Latin American Education Context</t>
  </si>
  <si>
    <t>Westhelle, Vítor;Streck, D.</t>
  </si>
  <si>
    <t>Democracy and education -- Latin America</t>
  </si>
  <si>
    <t>Teaching and Studying the Americas : Cultural Influences from Colonialism to the Present</t>
  </si>
  <si>
    <t>Pinn, A.;Levander, C.;Emerson, Michael O.</t>
  </si>
  <si>
    <t>Chicano School Failure and Success : Past, Present, and Future</t>
  </si>
  <si>
    <t>LC2683 -- .C47 2011eb</t>
  </si>
  <si>
    <t>Mexican American students</t>
  </si>
  <si>
    <t>Learning and Learning Difficulties : Approaches to Teaching and Assessment</t>
  </si>
  <si>
    <t>Westwood, Peter</t>
  </si>
  <si>
    <t>LC4704.W478 2004</t>
  </si>
  <si>
    <t>Learning disabled children--Education</t>
  </si>
  <si>
    <t>The Early Years Curriculum : A View from Outdoors</t>
  </si>
  <si>
    <t>Callaway, Gloria</t>
  </si>
  <si>
    <t>WAC Research Handbooks in Archaeology Series</t>
  </si>
  <si>
    <t>LC1038 -- .C35 2005eb</t>
  </si>
  <si>
    <t>Outdoor education.</t>
  </si>
  <si>
    <t>Technology Enhanced Learning and Cognition</t>
  </si>
  <si>
    <t>Dror, Itiel E.</t>
  </si>
  <si>
    <t>LB1028.3 -- .T43 2011eb</t>
  </si>
  <si>
    <t>Debt relief -- Serbia. ; Serbia -- Economic conditions -- 21st century.</t>
  </si>
  <si>
    <t>Certifiable : Teaching, Learning, and National Board Certification</t>
  </si>
  <si>
    <t>Lustick, David</t>
  </si>
  <si>
    <t>LB1771.L87 2009</t>
  </si>
  <si>
    <t>National Board for Professional Teaching Standards (U.S.). ; Teachers--Certification--United States.</t>
  </si>
  <si>
    <t>Random Musings : Reflections of a Black Intellectual</t>
  </si>
  <si>
    <t>Grenway, Bernard</t>
  </si>
  <si>
    <t>E185.97.G74 -- A3 2011eb</t>
  </si>
  <si>
    <t>African Americans - Social aspects</t>
  </si>
  <si>
    <t>Culture, Relevance, and Schooling : Exploring Uncommon Ground</t>
  </si>
  <si>
    <t>Scherff, Lisa;Spector, Karen;Aguilera-Black Bear, Dorothy E.;Albright, Carolyn;Barton, Angela Calabrese;Drake, Corey;Manter, Miguel;Metzger, Kenan;Newman, Joshua I.;L. Norton, Nadjwa E.</t>
  </si>
  <si>
    <t>LC191.4.S34 2011</t>
  </si>
  <si>
    <t>Education--Social aspects--United States. ; Education--Parent participation--United States. ; Critical pedagogy--United States.</t>
  </si>
  <si>
    <t>Breaking the Mold of Preservice and Inservice Teacher Education : Innovative and Successful Practices for the Twenty-First Century</t>
  </si>
  <si>
    <t>Cohan, Audrey;Honigsfeld, Andrea;Barber, Liz;Bessette, Harriet J.;Bleistein, Tasha;Brogden, Lace Marie;Brown-Schild, Valerie B.;Causton-Theoharis, Julie;Cherubini, Lorenzo;Chikapa, Ethel</t>
  </si>
  <si>
    <t>LB1707.B74 2011</t>
  </si>
  <si>
    <t>Teachers--Training of--Cross-cultural studies. ; Teachers--In-service training--Cross-cultural studies.</t>
  </si>
  <si>
    <t>Understanding Teenage Girls : Culture, Identity and Schooling</t>
  </si>
  <si>
    <t>Hall, Horace R.;Brown-Thirston, Andrea</t>
  </si>
  <si>
    <t>HQ798.H324 2011</t>
  </si>
  <si>
    <t>Teenage girls--United States--Social conditions. ; Teenage girls--Education--United States.</t>
  </si>
  <si>
    <t>Citizenship Education in Japan</t>
  </si>
  <si>
    <t>Ikeno, Norio;Crick, Bernard;Ikeno, Norio</t>
  </si>
  <si>
    <t>370.11/50952</t>
  </si>
  <si>
    <t>Citizenship - Study and teaching - Japan</t>
  </si>
  <si>
    <t>Digital Games and Learning</t>
  </si>
  <si>
    <t>de Freitas, Sara;Maharg, Paul;Maharg, Paul;Barton, Karen;Dickey, Michele;Facer, Keri;Francis, Russell;Freitas, Sara de;Gibson, David;Klopfer, Eric</t>
  </si>
  <si>
    <t>LB1029.G3 -- D535 2010eb</t>
  </si>
  <si>
    <t>371.33/70285</t>
  </si>
  <si>
    <t>Education -- Computer-assisted instruction. ; Computer games. ; Educational games.</t>
  </si>
  <si>
    <t>Effective Action Research : Developing Reflective Thinking and Practice</t>
  </si>
  <si>
    <t>Costello, Patrick J. M.</t>
  </si>
  <si>
    <t>LB1028.24 -- .C67 2011eb</t>
  </si>
  <si>
    <t>Action research in education.</t>
  </si>
  <si>
    <t>Including and Supporting Learners of English As an Additional Language</t>
  </si>
  <si>
    <t>Graf, Madeleine</t>
  </si>
  <si>
    <t>PE1128.A2 -- G73 2011eb</t>
  </si>
  <si>
    <t>English language -- Study and teaching -- Foreign speakers. ; Second language acquisition. ; Education, Bilingual.</t>
  </si>
  <si>
    <t>Testing English : Formative and Summative Approaches to English Assessment</t>
  </si>
  <si>
    <t>Marshall, Bethan</t>
  </si>
  <si>
    <t>LB1576 -- .M37 2011eb</t>
  </si>
  <si>
    <t>Language arts -- Ability testing</t>
  </si>
  <si>
    <t>History of Special Education</t>
  </si>
  <si>
    <t>Rotatori, Anthony F.;Obiakor, Festus E.;Bakken, Jeffrey P.</t>
  </si>
  <si>
    <t>LC3965</t>
  </si>
  <si>
    <t>Special education -- History.</t>
  </si>
  <si>
    <t>The Impact of International Achievement Studies on National Education Policymaking</t>
  </si>
  <si>
    <t>Wiseman, Alexander W.</t>
  </si>
  <si>
    <t>LC71.2</t>
  </si>
  <si>
    <t>Higher education and state</t>
  </si>
  <si>
    <t>Play in Clinical Practice : Evidence-Based Approaches</t>
  </si>
  <si>
    <t>Russ, Sandra W.;Niec, Larissa N.</t>
  </si>
  <si>
    <t>RJ505.P6 -- P53 2011eb</t>
  </si>
  <si>
    <t>Play therapy. ; Play -- Psychological aspects. ; Psychotherapy.</t>
  </si>
  <si>
    <t>Hybrid Learning : The Perils and Promise of Blending Online and Face-To-Face Instruction in Higher Education</t>
  </si>
  <si>
    <t>Snart, Jason Allen</t>
  </si>
  <si>
    <t>LB2395.7.S55 2010</t>
  </si>
  <si>
    <t>Blended learning. ; Distance education--Computer-assisted instruction. ; Education--Effect of technological innovations on. ; Educational technology--Computer-assisted instruction.</t>
  </si>
  <si>
    <t>Key Issues in E-Learning : Research and Practice</t>
  </si>
  <si>
    <t>Pachler, Norbert;Daly, Caroline</t>
  </si>
  <si>
    <t>LB1044.87 -- .P335 2011eb</t>
  </si>
  <si>
    <t>Internet in education. ; Information technology. ; Virtual computer systems. ; World Wide Web.</t>
  </si>
  <si>
    <t>Vygotsky and Special Needs Education : Rethinking Support for Children and Schools</t>
  </si>
  <si>
    <t>Daniels, Harry;Hedegaard, Mariane;Bottcher, Louise;Chaiklin, Seth;Daniels, Harry;Edwards, Anne;Fisher, Ros;Georgeson, Jan;Hayward, Geoff;Hedegaard, Marianne</t>
  </si>
  <si>
    <t>LB880.V94 -- V94 2011eb</t>
  </si>
  <si>
    <t>Vygotskii, L. S. -- (Lev Semenovich), -- 1896-1934 -- Criticism and interpretation. ; Special education -- Philosophy. ; Early childhood education -- Philosophy.</t>
  </si>
  <si>
    <t>The State and Education Policy: the Academies Programme : The Academies Programme</t>
  </si>
  <si>
    <t>Gunter, Helen M.</t>
  </si>
  <si>
    <t>Educational accountability - England</t>
  </si>
  <si>
    <t>The University in Translation : Internationalizing Higher Education</t>
  </si>
  <si>
    <t>LB2375.H37 2011</t>
  </si>
  <si>
    <t>Students, Foreign. ; Education, Higher -- Aims and objectives. ; Language and education. ; Education and globalization.</t>
  </si>
  <si>
    <t>Education and Technology : Key Issues and Debates</t>
  </si>
  <si>
    <t>Bloomsbury Publishing UK Textbook 2</t>
  </si>
  <si>
    <t>LB1028.3.S38883 2017</t>
  </si>
  <si>
    <t>Teaching Lab Science Courses Online : Resources for Best Practices, Tools, and Technology</t>
  </si>
  <si>
    <t>Jeschofnig, Linda;Jeschofnig, Peter</t>
  </si>
  <si>
    <t>Q181 -- .J376 2011eb</t>
  </si>
  <si>
    <t>Science -- Study and teaching (Higher) ; Laboratories. ; Web-based instruction -- Design. ; Science -- Electronic information resources.</t>
  </si>
  <si>
    <t>The Faculty Mentor's Wisdom : Conceptualizing, Writing, and Defending the Dissertation</t>
  </si>
  <si>
    <t>Calabrese, Raymond L.;Smith, Page;Brooks, Jeffrey S.;Browne-Ferrigno, Tricia;Barton, Angela Calabrese;Cordeiro, Paula A.;Daniel, Philip T. K.;Demb, Ada;DiPaola, Michael F.;Donmoyer, Robert</t>
  </si>
  <si>
    <t>LB2369.F33 2010</t>
  </si>
  <si>
    <t>378.2/42</t>
  </si>
  <si>
    <t>Dissertations, Academic. ; Mentoring in education.</t>
  </si>
  <si>
    <t>Betrayed : How the Education Establishment Has Betrayed America and What You Can Do about It</t>
  </si>
  <si>
    <t>Rogers, Laurie H.</t>
  </si>
  <si>
    <t>LA217.2.R65 2010</t>
  </si>
  <si>
    <t>Public schools--United States. ; School improvement programs--United States.</t>
  </si>
  <si>
    <t>Higher Education As a Field of Study in China : Defining Knowledge and Curriculum Structure</t>
  </si>
  <si>
    <t>Wang, Xin</t>
  </si>
  <si>
    <t>Emerging Perspectives on Education in China Series</t>
  </si>
  <si>
    <t>LA1133.W35 2010</t>
  </si>
  <si>
    <t>378.0071/2051</t>
  </si>
  <si>
    <t>Education, Higher--China. ; Education, Higher--Research--China. ; Universities and colleges--China.</t>
  </si>
  <si>
    <t>Travel on and On : Interdisciplinary Lessons on the Music of World Cultures</t>
  </si>
  <si>
    <t>Dekaney, Elisa Macedo;Cunningham, Deborah Alane</t>
  </si>
  <si>
    <t>MT1.D453 2010</t>
  </si>
  <si>
    <t>School music--Instruction and study--Social aspects. ; Music--Cross-cultural studies. ; Interdisciplinary approach in education.</t>
  </si>
  <si>
    <t>In Defense of Science : Why Scientific Literacy Matters</t>
  </si>
  <si>
    <t>Government Institutes</t>
  </si>
  <si>
    <t>Spellman, Frank R.;Price-Bayer, Joan</t>
  </si>
  <si>
    <t>Science for Nonscientists Series</t>
  </si>
  <si>
    <t>Q172.S64 2011</t>
  </si>
  <si>
    <t>Science--Miscellanea. ; Information literacy.</t>
  </si>
  <si>
    <t>A Journalist's Education in the Classroom : The Challenge of School Reform</t>
  </si>
  <si>
    <t>Awbrey, David S.</t>
  </si>
  <si>
    <t>LB1623.5.A95 2010</t>
  </si>
  <si>
    <t>Awbrey, David S. ; Middle school teaching--United States--Anecdotes. ; Journalists--United States. ; Middle school teachers--United States. ; Teacher-student relationships--United States. ; Teaching--United States. ; Education--United States. ; Educational change--United States.</t>
  </si>
  <si>
    <t>A Focus on Hope : Fifty Resilient Students Speak</t>
  </si>
  <si>
    <t>Morales, Erik E.;Trotman, Frances K.</t>
  </si>
  <si>
    <t>LC205 -- .M47 2010eb</t>
  </si>
  <si>
    <t>Students -- United States -- Social conditions. ; Resilience (Personality trait) ; Academic achievement.</t>
  </si>
  <si>
    <t>The Extreme Principle : What Matters Most, What Works Best</t>
  </si>
  <si>
    <t>Babbage, Keen J.</t>
  </si>
  <si>
    <t>LB2822.82.B32 2011</t>
  </si>
  <si>
    <t>School improvement programs--United States. ; Effective teaching--United States. ; Motivation in education--United States.</t>
  </si>
  <si>
    <t>Culture or Chaos in the Village : The Journey to Cultural Fluency</t>
  </si>
  <si>
    <t>Thomas, Ursula;Harris, Karen;Ramanathan, Hema;Strickland, Janet;Witherspoon Arnold, Noelle</t>
  </si>
  <si>
    <t>BF318.C85 2011</t>
  </si>
  <si>
    <t>Learning, Psychology of. ; Urban schools--United States. ; Minority students--United States.</t>
  </si>
  <si>
    <t>The Still Divided Academy : How Competing Visions of Power, Politics, and Diversity Complicate the Mission of Higher Education</t>
  </si>
  <si>
    <t>Rothman, Stanley;Kelly-Woessner, April;Woessner, Matthew</t>
  </si>
  <si>
    <t>LA227.4.R675 2010</t>
  </si>
  <si>
    <t>Education, Higher--Aims and objectives--United States. ; Education, Higher--Political aspects--United States. ; Education, Higher--Social aspects--United States. ; Universities and colleges--United States--Administration. ; Academic freedom--United States.</t>
  </si>
  <si>
    <t>Teaching on a Tightrope : The Diverse Roles of a Great Teacher</t>
  </si>
  <si>
    <t>Zevin, Jack</t>
  </si>
  <si>
    <t>LB1025.3.Z467 2010</t>
  </si>
  <si>
    <t>Effective teacher. ; Educational leadership. ; Role playing. ; Classroom management.</t>
  </si>
  <si>
    <t>Finding, Preparing, and Supporting School Leaders : Critical Issues, Useful Solutions</t>
  </si>
  <si>
    <t>Conley, Sharon;Cooper, Bruce S.;Bauer, Scott C.;Brazer, S. David;Glasman, Naftaly S.;Leach, David C.;Marinell, William H.;Orr, Margaret Terry;Petersen, George J.;Pounder, Diana</t>
  </si>
  <si>
    <t>LB2831.82.F56 2011</t>
  </si>
  <si>
    <t>School administrators--Recruiting--United States. ; School administrators--Training of--United States. ; Educational leadership--United States.</t>
  </si>
  <si>
    <t>Narrative Inquiries into Curriculum Making in Teacher Education</t>
  </si>
  <si>
    <t>Kitchen, Julian;Parker, Darlene Ciuffetelli;Pushor, Debbie;Pinnegar, Stefinee E.</t>
  </si>
  <si>
    <t>Advances in Research on Teaching Series</t>
  </si>
  <si>
    <t>LB1707</t>
  </si>
  <si>
    <t>Unlocking the Gates : How and Why Leading Universities Are Opening up Access to Their Courses</t>
  </si>
  <si>
    <t>Walsh, Taylor;Bowen, William G.</t>
  </si>
  <si>
    <t>LB2395.7 -- .W35 2011eb</t>
  </si>
  <si>
    <t>The Decline of the Secular University : Why the Academy Needs Religion</t>
  </si>
  <si>
    <t>Sommerville, C. John</t>
  </si>
  <si>
    <t>LC383 -- .S66 2006eb</t>
  </si>
  <si>
    <t>Church and college -- United States. ; Universities and colleges -- United States -- Religion.</t>
  </si>
  <si>
    <t>Best Practices for Technology-Enhanced Teaching and Learning : Connecting to Psychology and the Social Sciences</t>
  </si>
  <si>
    <t>Dunn, Dana S.;Wilson, Janie H.;Freeman, James;Stowell, Jeffrey R.</t>
  </si>
  <si>
    <t>LB1051 -- .B469 2011eb</t>
  </si>
  <si>
    <t>Internet in education. ; Computer-assisted instruction. ; Distance education. ; Educational psychology. ; Educational technology -- Study and teaching. ; Science -- Study and teaching.</t>
  </si>
  <si>
    <t>Frames of Mind : The Theory of Multiple Intelligences</t>
  </si>
  <si>
    <t>Gardner, Howard</t>
  </si>
  <si>
    <t>BF431 -- .G244 2011eb</t>
  </si>
  <si>
    <t>Intellect. ; Psychology.</t>
  </si>
  <si>
    <t>Education's Missing Ingredient : What Parents Can Tell Educators</t>
  </si>
  <si>
    <t>Young, Victoria M.</t>
  </si>
  <si>
    <t>LA217.2Y68 2010</t>
  </si>
  <si>
    <t>Public schools--United States. ; Education--Aims and objectives--United States. ; Education--Parent participation--United States.</t>
  </si>
  <si>
    <t>Leadership for World-Class Universities : Challenges for Developing Countries</t>
  </si>
  <si>
    <t>Altbach, Philip G.</t>
  </si>
  <si>
    <t>LB2336 -- .L43 2011eb</t>
  </si>
  <si>
    <t>378.1/01091724</t>
  </si>
  <si>
    <t>Universities and colleges - Administration</t>
  </si>
  <si>
    <t>Critical Curriculum Leadership : A Framework for Progressive Education</t>
  </si>
  <si>
    <t>Ylimaki, Rose M.</t>
  </si>
  <si>
    <t>LB1570 -- .Y55 2011eb</t>
  </si>
  <si>
    <t>Education - Curricula - United States</t>
  </si>
  <si>
    <t>Teacher Preparation for Bilingual Student Populations : Educar para Transformar</t>
  </si>
  <si>
    <t>Bustos Flores, Belinda;Hernández Sheets, Rosa;Riojas Clark, Ellen</t>
  </si>
  <si>
    <t>LC3728 -- .T425 2011eb</t>
  </si>
  <si>
    <t>Schooling Internationally : Globalisation, Internationalisation and the Future for International Schools</t>
  </si>
  <si>
    <t>Bates, Richard</t>
  </si>
  <si>
    <t>LC1090 -- .S423 2011eb</t>
  </si>
  <si>
    <t>The Decentring of the Traditional University : The Future of (Self) Education in Virtually Figured Worlds</t>
  </si>
  <si>
    <t>Francis, Russell</t>
  </si>
  <si>
    <t>LB1044.87 -- .F73 2010eb</t>
  </si>
  <si>
    <t>Education, Higher - Computer network resources</t>
  </si>
  <si>
    <t>Teaching Grammar in Second Language Classrooms : Integrating Form-Focused Instruction in Communicative Context</t>
  </si>
  <si>
    <t>Nassaji, Hossein;Fotos, Sandra S.</t>
  </si>
  <si>
    <t>P118.2 -- .N37 2011eb</t>
  </si>
  <si>
    <t>Grammar, Comparative and general - Study and teaching</t>
  </si>
  <si>
    <t>Cultures of Curriculum</t>
  </si>
  <si>
    <t>Joseph, Pamela Bolotin</t>
  </si>
  <si>
    <t>LB2806.15 -- .C73 2011eb</t>
  </si>
  <si>
    <t>Curriculum planning -- United States. ; Education -- Curricula -- Social aspects -- United States.</t>
  </si>
  <si>
    <t>Child Development in Practice : Responsive Teaching and Learning from Birth to Five</t>
  </si>
  <si>
    <t>May, Pamela</t>
  </si>
  <si>
    <t>LB1140.23 -- .M37 2011eb</t>
  </si>
  <si>
    <t>Early childhood education - Curricula - United States</t>
  </si>
  <si>
    <t>Equality, Participation and Inclusion 1 : Diverse Perspectives</t>
  </si>
  <si>
    <t>Rix, Jon;Nind, Melanie;Sheehy, Kieron;Simmons, Katy;Walsh, Christopher;Walsh, Christopher</t>
  </si>
  <si>
    <t>LC1200 -- .E78 2010eb</t>
  </si>
  <si>
    <t>Equality, Participation and Inclusion 2 : Diverse Contexts</t>
  </si>
  <si>
    <t>Rix, Jonathan;Nind, Melanie;Sheehy, Kieron;Simmons, Katy;Parry, John;Kumrai, Rajni</t>
  </si>
  <si>
    <t>LC1200 -- .E78 2010beb</t>
  </si>
  <si>
    <t>Inclusive education. ; Special education. ; Multicultural education.</t>
  </si>
  <si>
    <t>The Psychology of Education</t>
  </si>
  <si>
    <t>Long, Martyn;Wood, Clare;Littleton, Karen;Passenger, Terri;Sheehy, Kieron</t>
  </si>
  <si>
    <t>LB1051 -- .L774 2011eb</t>
  </si>
  <si>
    <t>Research on Second Language Teacher Education : A Sociocultural Perspective on Professional Development</t>
  </si>
  <si>
    <t>Johnson, Karen E.;Golombek, Paula R.</t>
  </si>
  <si>
    <t>PE1128.A2 -- R4715 2011eb</t>
  </si>
  <si>
    <t>Second language acquisition - Research - Methodology</t>
  </si>
  <si>
    <t>Educational Psychology: Concepts, Research and Challenges</t>
  </si>
  <si>
    <t>Rubie-Davies, Christine M.</t>
  </si>
  <si>
    <t>LB1051 -- .E3616 2011eb</t>
  </si>
  <si>
    <t>Educational psychology - Research</t>
  </si>
  <si>
    <t>The Effective Teacher's Guide to Behavioural and Emotional Disorders : Disruptive Behaviour Disorders, Anxiety Disorders, Depressive Disorders, and Attention Deficit Hyperactivity Disorder</t>
  </si>
  <si>
    <t>The Effective Teacher's Guides</t>
  </si>
  <si>
    <t>LC4801 -- .F373 2011eb</t>
  </si>
  <si>
    <t>Behavior disorders in children -- Handbooks, manuals, etc</t>
  </si>
  <si>
    <t>The Effective Teacher's Guide to Sensory and Physical Impairments : Sensory, Orthopaedic, Motor and Health Impairments, and Traumatic Brain Injury</t>
  </si>
  <si>
    <t>LC4015 -- .F368 2011eb</t>
  </si>
  <si>
    <t>Teaching and Learning Through Reflective Practice : A Practical Guide for Positive Action</t>
  </si>
  <si>
    <t>Ghaye, Tony</t>
  </si>
  <si>
    <t>LB1025.3 -- .G439 2011eb</t>
  </si>
  <si>
    <t>Critical Thinking : An Appeal to Reason</t>
  </si>
  <si>
    <t>Tittle, Peg</t>
  </si>
  <si>
    <t>BC177 -- .T536 2011eb</t>
  </si>
  <si>
    <t>Sourcebook of Experiential Education : Key Thinkers and Their Contributions</t>
  </si>
  <si>
    <t>Smith, Thomas E.;Knapp, Clifford E.</t>
  </si>
  <si>
    <t>LB1027.23 -- .S596 2011eb</t>
  </si>
  <si>
    <t>Educators</t>
  </si>
  <si>
    <t>The Textbook As Discourse : Sociocultural Dimensions of American Schoolbooks</t>
  </si>
  <si>
    <t>Provenzo, Jr., Eugene F.;Shaver, Annis N.;Bello, Manuel</t>
  </si>
  <si>
    <t>LB3047 -- .T46 2011eb</t>
  </si>
  <si>
    <t>371.3/20973</t>
  </si>
  <si>
    <t>Textbooks - Social aspects</t>
  </si>
  <si>
    <t>Towards Creative Learning Spaces : Re-Thinking the Architecture of Post-Compulsory Education</t>
  </si>
  <si>
    <t>Boys, Jos</t>
  </si>
  <si>
    <t>NA6600 -- .B69 2011eb</t>
  </si>
  <si>
    <t>College buildings</t>
  </si>
  <si>
    <t>How Science Works : Exploring Effective Pedagogy and Practice</t>
  </si>
  <si>
    <t>Toplis, Rob</t>
  </si>
  <si>
    <t>Q184.4.G7 -- H69 2011eb</t>
  </si>
  <si>
    <t>507.1/242</t>
  </si>
  <si>
    <t>Critical pedagogy - England</t>
  </si>
  <si>
    <t>The Primary Science and Technology Encyclopedia</t>
  </si>
  <si>
    <t>Collier, Christopher;Davies, Dan;Howe, Alan;McMahon, Kendra</t>
  </si>
  <si>
    <t>LB1585 -- .P744 2011eb</t>
  </si>
  <si>
    <t>Memory and Pedagogy</t>
  </si>
  <si>
    <t>Mitchell, Claudia;Strong-Wilson, Teresa;Pithouse, Kathleen;Allnutt, Susann</t>
  </si>
  <si>
    <t>LC196 -- .M46 2011eb</t>
  </si>
  <si>
    <t>Autobiographical memory</t>
  </si>
  <si>
    <t>Education, Professionalism, and the Quest for Accountability : Hitting the Target but Missing the Point</t>
  </si>
  <si>
    <t>Green, Jane</t>
  </si>
  <si>
    <t>LB2806.22 -- .G744 2011eb</t>
  </si>
  <si>
    <t>Educational accountability - Great Britain</t>
  </si>
  <si>
    <t>Equity and Excellence in Education : Towards Maximal Learning Opportunities for All Students</t>
  </si>
  <si>
    <t>Van den Branden, Kris;Van Avermaet, Piet;Van Houtte, Mieke</t>
  </si>
  <si>
    <t>LC213 -- .E676 2011eb</t>
  </si>
  <si>
    <t>Cultural Validity in Assessment : Addressing Linguistic and Cultural Diversity</t>
  </si>
  <si>
    <t>Basterra, María del Rosario;Trumbull, Elise;Solano-Flores, Guillermo</t>
  </si>
  <si>
    <t>LB3051 -- .C85 2011eb</t>
  </si>
  <si>
    <t>Linguistic minorities - United States - Examinations</t>
  </si>
  <si>
    <t>Teaching U. S. History As Mystery</t>
  </si>
  <si>
    <t>Gerwin, David;Zevin, Jack</t>
  </si>
  <si>
    <t>E175.8 -- .G47 2011eb</t>
  </si>
  <si>
    <t>Teaching - Philosophy</t>
  </si>
  <si>
    <t>Strategic Management of Human Capital in Education : Improving Instructional Practice and Student Learning in Schools</t>
  </si>
  <si>
    <t>Odden, Allan R.</t>
  </si>
  <si>
    <t>LB2831.58 -- .O33 2011eb</t>
  </si>
  <si>
    <t>EDUCATION / Leadership</t>
  </si>
  <si>
    <t>Education Policy, Space and the City : Markets and the (in)visibility of Race</t>
  </si>
  <si>
    <t>Gulson, Kalervo N.</t>
  </si>
  <si>
    <t>LC5115 -- .G85 2011eb</t>
  </si>
  <si>
    <t>Urban geology - Government policy</t>
  </si>
  <si>
    <t>The Power of Role-Based E-Learning : Designing and Moderating Online Role Play</t>
  </si>
  <si>
    <t>Wills, Sandra;Leigh, Elyssebeth;Ip, Albert</t>
  </si>
  <si>
    <t>LB1044.87 -- .W566 2010eb</t>
  </si>
  <si>
    <t>Group work in education - Evaluation</t>
  </si>
  <si>
    <t>Tough Fronts : The Impact of Street Culture on Schooling</t>
  </si>
  <si>
    <t>Dance, L. Janelle</t>
  </si>
  <si>
    <t>Critical Social Thought</t>
  </si>
  <si>
    <t>LC5131 -- .D34 2002eb</t>
  </si>
  <si>
    <t>Education, Urban -- Social aspects -- United States. ; African Americans -- Education -- Social aspects. ; Educational anthropology -- United States.</t>
  </si>
  <si>
    <t>Becoming a Teacher Researcher in Literacy Teaching and Learning : Strategies and Tools for the Inquiry Process</t>
  </si>
  <si>
    <t>Pappas, Christine;Tucker-Raymond, Eli</t>
  </si>
  <si>
    <t>LB1573 -- .P195 2011eb</t>
  </si>
  <si>
    <t>English language - Composition and exercises - Study and teaching (Elementary)</t>
  </si>
  <si>
    <t>Fabricating Quality in Education : Data and Governance in Europe</t>
  </si>
  <si>
    <t>Ozga, Jenny;Dahler-Larsen, Peter;Segerholm, Christina;Simola, Hannu</t>
  </si>
  <si>
    <t>LC93.A2 -- F34 2011eb</t>
  </si>
  <si>
    <t>Education - Europe - Statistics</t>
  </si>
  <si>
    <t>Teaching in a Nutshell : Navigating Your Teacher Education Program As a Student Teacher</t>
  </si>
  <si>
    <t>Kosnik, Clare;Beck, Clive</t>
  </si>
  <si>
    <t>LB2157.A3 -- K67 2011eb</t>
  </si>
  <si>
    <t>Working in Social Work : The Real World Guide to Practice Settings</t>
  </si>
  <si>
    <t>Rosenberg, Jessica;Rosenberg, Jessica</t>
  </si>
  <si>
    <t>HV10.5 -- .R67 2009eb</t>
  </si>
  <si>
    <t>361.3/20973</t>
  </si>
  <si>
    <t>Private practice social work - United States</t>
  </si>
  <si>
    <t>Improving Learning Through the Lifecourse : Learning Lives</t>
  </si>
  <si>
    <t>Biesta, Gert;Field, John;Hodkinson, Phil;Macleod, Flora J.;Goodson, Ivor F.</t>
  </si>
  <si>
    <t>LC5219 -- .I486 2011eb</t>
  </si>
  <si>
    <t>Adult learning - Evaluation</t>
  </si>
  <si>
    <t>The Struggle for the History of Education</t>
  </si>
  <si>
    <t>McCulloch, Gary</t>
  </si>
  <si>
    <t>LA11 -- .M36 2011eb</t>
  </si>
  <si>
    <t>Enhancing Asia-Europe Co-Operation Through Educational Exchange</t>
  </si>
  <si>
    <t>Wiessala, Georg</t>
  </si>
  <si>
    <t>Routledge Contemporary Asia Series</t>
  </si>
  <si>
    <t>LB2376.6.A78 -- W54 2011eb</t>
  </si>
  <si>
    <t>Asia - Relations - Eruope</t>
  </si>
  <si>
    <t>Rethinking Contemporary Art and Multicultural Education</t>
  </si>
  <si>
    <t>New Museum, New;Cahan, Susan;Kocur, Zoya</t>
  </si>
  <si>
    <t>N353 -- .C66 2011eb</t>
  </si>
  <si>
    <t>Art - Study and teaching (Secondary) - United States</t>
  </si>
  <si>
    <t>Exploring Writing and Play in the Early Years</t>
  </si>
  <si>
    <t>Hall, Nigel;Robinson, Anne</t>
  </si>
  <si>
    <t>LB1139.5.L35 -- H35 2003eb</t>
  </si>
  <si>
    <t>372.6/23</t>
  </si>
  <si>
    <t>Play -- Great Britain</t>
  </si>
  <si>
    <t>How to Create the Inclusive Classroom : Removing Barriers to Learning</t>
  </si>
  <si>
    <t>LC1200 -- .C44 2004eb</t>
  </si>
  <si>
    <t>Inclusive education.</t>
  </si>
  <si>
    <t>Page to Stage : Developing Writing, Speaking and Listening Skills in Primary Schools</t>
  </si>
  <si>
    <t>Carter, James</t>
  </si>
  <si>
    <t>LB1576 -- .C37 2010eb</t>
  </si>
  <si>
    <t>Language arts (Early childhood)</t>
  </si>
  <si>
    <t>Motivation for Achievement : Possibilities for Teaching and Learning</t>
  </si>
  <si>
    <t>Alderman, M. Kay</t>
  </si>
  <si>
    <t>LB1065 -- .A477 2008eb</t>
  </si>
  <si>
    <t>Subjectivity, Curriculum, and Society : Between and Beyond the German Didaktik and Anglo-American Curriculum Studies</t>
  </si>
  <si>
    <t>Autio, Tero</t>
  </si>
  <si>
    <t>LB2806.15 -- .A95 2006eb</t>
  </si>
  <si>
    <t>Curriculum planning. ; Educational psychology. ; Teaching.</t>
  </si>
  <si>
    <t>Sacred and Secular Tensions in Higher Education : Connecting Parallel Universities</t>
  </si>
  <si>
    <t>Waggoner, Michael D.</t>
  </si>
  <si>
    <t>LB2324 -- .S23 2011eb</t>
  </si>
  <si>
    <t>378/.01</t>
  </si>
  <si>
    <t>Universities and colleges - United States - Religion</t>
  </si>
  <si>
    <t>Intelligence and Intelligence Testing</t>
  </si>
  <si>
    <t>Fletcher, Richard;Hattie, John</t>
  </si>
  <si>
    <t>BF431 -- .H3487 2011eb</t>
  </si>
  <si>
    <t>Intelligence levels. ; Intelligence tests -- History.</t>
  </si>
  <si>
    <t>Researching Young Children's Perspectives : Debating the Ethics and Dilemmas of Educational Research with Children</t>
  </si>
  <si>
    <t>Harcourt, Deborah;Perry, Bob;Waller, Tim</t>
  </si>
  <si>
    <t>LB1028 -- .R388 2011eb</t>
  </si>
  <si>
    <t>Inclusive education - Research</t>
  </si>
  <si>
    <t>Exploring Classroom Discourse : Language in Action</t>
  </si>
  <si>
    <t>Walsh, Steve</t>
  </si>
  <si>
    <t>Routledge Introductions to Applied Linguistics Series</t>
  </si>
  <si>
    <t>P40.8 -- .W34 2011eb</t>
  </si>
  <si>
    <t>China's Higher Education Reform and Internationalisation</t>
  </si>
  <si>
    <t>Ryan, Janette</t>
  </si>
  <si>
    <t>Routledge Contemporary China Series</t>
  </si>
  <si>
    <t>LA1133 -- .C4435 2011eb</t>
  </si>
  <si>
    <t>Education and globalization - China</t>
  </si>
  <si>
    <t>Foucault and Educational Leadership : Disciplining the Principal</t>
  </si>
  <si>
    <t>Niesche, Richard</t>
  </si>
  <si>
    <t>LB2831.9 -- .N45 2011eb</t>
  </si>
  <si>
    <t>372.2/012</t>
  </si>
  <si>
    <t>Education Reconfigured : Culture, Encounter, and Change</t>
  </si>
  <si>
    <t>Martin, Jane Roland</t>
  </si>
  <si>
    <t>LC199 -- .M37 2011eb</t>
  </si>
  <si>
    <t>Profound Improvement : Building Capacity for a Learning Community</t>
  </si>
  <si>
    <t>Mitchell, Coral;Sackney, Larry</t>
  </si>
  <si>
    <t>LB1060 -- .M575 2011eb</t>
  </si>
  <si>
    <t>Learning - Philosophy</t>
  </si>
  <si>
    <t>Drama Sessions for Primary Schools and Drama Clubs</t>
  </si>
  <si>
    <t>Day, Alison</t>
  </si>
  <si>
    <t>PN1701 -- .D39 2011eb</t>
  </si>
  <si>
    <t>Drama - Study and teaching (elementary) - Great Britain</t>
  </si>
  <si>
    <t>Developing Your Portfolio - Enhancing Your Learning and Showing Your Stuff : A Guide for the Early Childhood Student or Professional</t>
  </si>
  <si>
    <t>Jones, Marianne;Shelton, Marilyn</t>
  </si>
  <si>
    <t>LB1029.P67 -- J66 2011eb</t>
  </si>
  <si>
    <t>Portfolios in education. ; Early childhood teachers -- Training of.</t>
  </si>
  <si>
    <t>Case Studies in Language Curriculum Design : Concepts and Approaches in Action Around the World</t>
  </si>
  <si>
    <t>Macalister, John;Nation, I. S. P.</t>
  </si>
  <si>
    <t>PE1128.A2 -- C368 2011eb</t>
  </si>
  <si>
    <t>Focus : Elevating the Essentials to Radically Improve Student Learning</t>
  </si>
  <si>
    <t>LB1025.3 -- .S36 2011eb</t>
  </si>
  <si>
    <t>Effective teaching.</t>
  </si>
  <si>
    <t>Everyday Engagement : Making Students and Parents Your Partners in Learning</t>
  </si>
  <si>
    <t>LB1048.5 .R53 2011</t>
  </si>
  <si>
    <t>371.19/2</t>
  </si>
  <si>
    <t>Education, Secondary-Parent participation. ; Community and school. ; Educational leadership.</t>
  </si>
  <si>
    <t>How to Plan Rigorous Instruction (Mastering the Principles of Great Teaching Series)</t>
  </si>
  <si>
    <t>LB2806.15 .J33 2011</t>
  </si>
  <si>
    <t>Curriculum planning. ; Lesson planning. ; Education-Standards. ; Critical thinking. ; Effective teaching.</t>
  </si>
  <si>
    <t>Transformational Teaching in the Information Age : Making Why and How We Teach Relevant to Students</t>
  </si>
  <si>
    <t>Rosebrough, Thomas R.;Leverett, Ralph G.</t>
  </si>
  <si>
    <t>LB1025.3 .R67 2011</t>
  </si>
  <si>
    <t>Boys at Home : Discipline, Masculinity, and the Boy-Problem in Nineteenth-Century American Literature</t>
  </si>
  <si>
    <t>University of Tennessee Press</t>
  </si>
  <si>
    <t>Parille, Ken</t>
  </si>
  <si>
    <t>PS374</t>
  </si>
  <si>
    <t>813/.409352341</t>
  </si>
  <si>
    <t>Hours of Opportunity, Volume 2 : The Power of Data to Improve After-School Programs Citywide</t>
  </si>
  <si>
    <t>McCombs, Jennifer Sloan;Orr, Nate;Bodilly, Susan J.;Naftel, Scott;Constant, Louay</t>
  </si>
  <si>
    <t>LC34.4 -- .M33 2010eb</t>
  </si>
  <si>
    <t>Businessmen -- Great Britain -- Biography. ; Business ethics -- Great Britain -- History -- 19th century. ; Entrepreneurship -- Great Britain -- History -- 19th century. ; Great Britain -- Economic conditions -- 19th century.</t>
  </si>
  <si>
    <t>Hours of Opportunity, Volume 1 : Lessons from Five Cities on Building Systems to Improve After-School, Summer School, and Other Out-of-School-Time Programs</t>
  </si>
  <si>
    <t>Bodilly, Susan J.;McCombs, Jennifer Sloan;Orr, Nate;Scherer, Ethan;Constant, Louay;Gershwin, Daniel</t>
  </si>
  <si>
    <t>LC34.4 -- .B63 2010eb</t>
  </si>
  <si>
    <t>Belville, Ruth, -- 1854-1943. ; Time -- Systems and standards -- Great Britain -- History.</t>
  </si>
  <si>
    <t>Outcome Evaluation of the Success for Kids Program</t>
  </si>
  <si>
    <t>Maestas, Nicole;Gaillot, Sarah J.</t>
  </si>
  <si>
    <t>LC34.5.F5 -- M34 2010eb</t>
  </si>
  <si>
    <t>Lacy, Mary. ; Male impersonators -- Great Britain -- Biography. ; Shipwrights -- Great Britain -- Biography. ; Seafaring life.</t>
  </si>
  <si>
    <t>Literary Learning : Teaching the English Major</t>
  </si>
  <si>
    <t>Linkon, Sherry Lee</t>
  </si>
  <si>
    <t>Scholarship of Teaching and Learning</t>
  </si>
  <si>
    <t>PR33 -- .L55 2011eb</t>
  </si>
  <si>
    <t>820.71/1</t>
  </si>
  <si>
    <t>English literature -- Study and teaching (Higher) ; American literature -- Study and teaching (Higher) ; Literature -- Study and teaching (Higher)</t>
  </si>
  <si>
    <t>The New Political Economy of Urban Education : Neoliberalism, Race, and the Right to the City</t>
  </si>
  <si>
    <t>LC5131 -- .L555 2011eb</t>
  </si>
  <si>
    <t>370.9173/2</t>
  </si>
  <si>
    <t>Toleration - United States</t>
  </si>
  <si>
    <t>Mentoring and Coaching in Schools : Professional Learning Through Collaborative Inquiry</t>
  </si>
  <si>
    <t>Burley, Suzanne;Pomphrey, Cathy</t>
  </si>
  <si>
    <t>LB1731.4 -- .B87 2011eb</t>
  </si>
  <si>
    <t>Teaching teams - United States</t>
  </si>
  <si>
    <t>Learning Futures : Education, Technology and Social Change</t>
  </si>
  <si>
    <t>Facer, Keri</t>
  </si>
  <si>
    <t>LB14.7 -- .F33 2011eb</t>
  </si>
  <si>
    <t>Cyberspace - Social aspects</t>
  </si>
  <si>
    <t>Unlocking Mathematics Teaching</t>
  </si>
  <si>
    <t>Koshy, Valsa;Murray, Jean</t>
  </si>
  <si>
    <t>QA135.6 -- .U55 2011eb</t>
  </si>
  <si>
    <t>Numeracy -- Study and teaching (Primary) ; Mathematics -- Study and teaching (Primary)</t>
  </si>
  <si>
    <t>Engendering Curriculum History</t>
  </si>
  <si>
    <t>Hendry, Petra</t>
  </si>
  <si>
    <t>LB1570 -- .H455 2011eb</t>
  </si>
  <si>
    <t>375/.0009</t>
  </si>
  <si>
    <t>Education - Curricula - History</t>
  </si>
  <si>
    <t>The Engaged University : International Perspectives on Civic Engagement</t>
  </si>
  <si>
    <t>Watson, David;Hollister, Robert;Stroud, Susan E.;Babcock, Elizabeth</t>
  </si>
  <si>
    <t>LC237 -- .E54 2011eb</t>
  </si>
  <si>
    <t>EDUCATION - Administration - General</t>
  </si>
  <si>
    <t>Every Nursery Needs a Garden : A Step-By-step Guide to Creating and Using a Garden with Young Children</t>
  </si>
  <si>
    <t>Watts, Ann</t>
  </si>
  <si>
    <t>SB457 -- .W38 2011eb</t>
  </si>
  <si>
    <t>EDUCATION / Preschool &amp; Kindergarten</t>
  </si>
  <si>
    <t>Education; Agriculture</t>
  </si>
  <si>
    <t>Teaching Assistants : Practical Strategies for Effective Classroom Support</t>
  </si>
  <si>
    <t>Balshaw, Maggie;Farrell, Peter</t>
  </si>
  <si>
    <t>LB2844.1.A8 -- B35 2006eb</t>
  </si>
  <si>
    <t>371.1/4124/0941</t>
  </si>
  <si>
    <t>School support teams</t>
  </si>
  <si>
    <t>Troubling Education : Queer Activism and Anti-Oppressive Pedagogy</t>
  </si>
  <si>
    <t>Kumashiro, Kevin</t>
  </si>
  <si>
    <t>LC192.6 -- .K86 2002eb</t>
  </si>
  <si>
    <t>Homosexuality and education -- United States -- Case studies. ; Sex discrimination in education -- United States -- Case studies. ; Gay activists -- United States -- Interviews.</t>
  </si>
  <si>
    <t>Wherever I Go, I Will Always Be a Loyal American : Seattle's Japanese American Schoolchildren During World War II</t>
  </si>
  <si>
    <t>Pak, Yoon</t>
  </si>
  <si>
    <t>Studies in the History of Education</t>
  </si>
  <si>
    <t>LC3175.S43 -- P35 2002eb</t>
  </si>
  <si>
    <t>Japanese Americans -- Education -- Washington (State) -- Seattle. ; World War, 1939-1945 -- Japanese Americans -- Education (Primary) -- Washington (State) -- Seattle. ; World War, 1939-1945 -- Washington (State) -- Seattle.</t>
  </si>
  <si>
    <t>The Reflexive Teacher Educator in TESOL : Roots and Wings</t>
  </si>
  <si>
    <t>Edge, Julian</t>
  </si>
  <si>
    <t>PE1128.A2 -- E29 2011eb</t>
  </si>
  <si>
    <t>Classroom Teacher's Inclusion Handbook : Practical Methods for Integrating Students with Special Needs</t>
  </si>
  <si>
    <t>Arthur Coyle Press</t>
  </si>
  <si>
    <t>Yanoff, Jerome  C.</t>
  </si>
  <si>
    <t>LC1201 -- .Y36 2007eb</t>
  </si>
  <si>
    <t>Public-private sector cooperation. ; Infrastructure (Economics)</t>
  </si>
  <si>
    <t>Educational Change : From Traditional Education to Learning Communities</t>
  </si>
  <si>
    <t>Edwards, Clifford H.</t>
  </si>
  <si>
    <t>LB2822.8.E36 2010</t>
  </si>
  <si>
    <t>School improvement programs. ; Educational change.</t>
  </si>
  <si>
    <t>How to Keep Good Teachers and Principals : Practical Solutions to Today's Classroom Problems</t>
  </si>
  <si>
    <t>Melvin, Lonnie</t>
  </si>
  <si>
    <t>LB3013.M398 2011</t>
  </si>
  <si>
    <t>Classroom management--United States. ; School improvement programs--United States. ; Educational leadership--United States.</t>
  </si>
  <si>
    <t>Student Loans in China : Efficiency, Equity, and Social Justice</t>
  </si>
  <si>
    <t>Cheng, Baoyan</t>
  </si>
  <si>
    <t>LB2340.4.C6C44 2011</t>
  </si>
  <si>
    <t>378.3/620951</t>
  </si>
  <si>
    <t>Student loans--China. ; Educational equalization--China.</t>
  </si>
  <si>
    <t>Blowout! : Sal Castro and the Chicano Struggle for Educational Justice</t>
  </si>
  <si>
    <t>García, Mario T.;Castro, Sal;García, Mario T.</t>
  </si>
  <si>
    <t>LA2317.C36 -- G37 2011eb</t>
  </si>
  <si>
    <t>371.829/68073 B</t>
  </si>
  <si>
    <t>Castro, Sal. ; Hispanic Americans-Education-United States. ; Hispanic Americans-Civil rights-History-20th century. ; Educational equalization-United States. ; Race discrimination-United States. ; United States-Race relations.</t>
  </si>
  <si>
    <t>The School of Rome : Latin Studies and the Origins of Liberal Education</t>
  </si>
  <si>
    <t>Bloomer, W. Martin</t>
  </si>
  <si>
    <t>LA81 -- .B45 2011eb</t>
  </si>
  <si>
    <t>Latin language - Study and teaching - History</t>
  </si>
  <si>
    <t>Understanding Black Male Learning Styles</t>
  </si>
  <si>
    <t>LC2731 -- .K86 2011eb</t>
  </si>
  <si>
    <t>Leadership in Energy and Environmental Design Green Building Rating System -- Examinations -- Study guides. ; Sustainable construction -- Examinations -- Study guides.</t>
  </si>
  <si>
    <t>Arts and Humanities Academics in Schools : Mapping the Pedagogical Interface</t>
  </si>
  <si>
    <t>Baker, Geoff;Fisher, Andrew</t>
  </si>
  <si>
    <t>LC67.62.A77 2010</t>
  </si>
  <si>
    <t>Education, Higher -- Economic aspects -- United States. ; Art and technology. ; Humanities -- Social aspects. ; Academic-industrial collaboration -- United States.</t>
  </si>
  <si>
    <t>Handbook of Reading Interventions</t>
  </si>
  <si>
    <t>O'Connor, Rollanda E.;Vadasy, Patricia F.</t>
  </si>
  <si>
    <t>LB1050.5 -- .H267 2011eb</t>
  </si>
  <si>
    <t>Reading -- Remedial teaching -- Handbooks, manuals, etc</t>
  </si>
  <si>
    <t>Everyday Teacher Leadership : Taking Action Where You Are</t>
  </si>
  <si>
    <t>Collay, Michelle</t>
  </si>
  <si>
    <t>Jossey-Bass Leadership Library in Education Series</t>
  </si>
  <si>
    <t>LB2806 -- .C527 2011eb</t>
  </si>
  <si>
    <t>Educational leadership. ; Teacher participation in administration. ; Teachers--In-service training.</t>
  </si>
  <si>
    <t>Classroom Assessment in Action</t>
  </si>
  <si>
    <t>Shermis, Mark D.;DiVesta, Francis J.</t>
  </si>
  <si>
    <t>LB3051.S47 2011</t>
  </si>
  <si>
    <t>Educational tests and measurements.</t>
  </si>
  <si>
    <t>Behind the Scenes of Science : A Gender Research on Professorial Recruitment and Selection Practices</t>
  </si>
  <si>
    <t>van den Brink, Marieke;Shephard, John R.;Yang Wen-shan</t>
  </si>
  <si>
    <t>Pallas proefschriften</t>
  </si>
  <si>
    <t>LB1778.4.N4 -- V36 2010eb</t>
  </si>
  <si>
    <t>MacBook (Computer) ; Laptop computers. ; Macintosh (Computer)</t>
  </si>
  <si>
    <t>How to Stay Afloat in the Academic Library Job Pool</t>
  </si>
  <si>
    <t>Neely, Teresa Y.;Alire, Camila</t>
  </si>
  <si>
    <t>Academic librarians -- Vocational guidance -- United States. ; Academic librarians -- Selection and appointment -- United States. ; Library science -- Vocational guidance -- United States. ; Employment interviewing -- United States.</t>
  </si>
  <si>
    <t>For Each and Everyone : Catering for Individual Differences Through Learning Studies</t>
  </si>
  <si>
    <t>Hong Kong University Press</t>
  </si>
  <si>
    <t>HONG KONG</t>
  </si>
  <si>
    <t>Lo, Mun Ling;Pong, Wing Yan;Chik, Pakey Pui Man</t>
  </si>
  <si>
    <t>LB1134 -- .F67 2005eb</t>
  </si>
  <si>
    <t>Learning ability. ; Learning, Psychology of. ; Individual differences -- China -- Hong Kong -- Longitudinal studies. ; Action research in education -- China -- Hong Kong.</t>
  </si>
  <si>
    <t>How Assessment Supports Learning : Learning-Oriented Assessment in Action</t>
  </si>
  <si>
    <t>Carless, David;Joughin, Gordon;Liu, Ngar-Fun</t>
  </si>
  <si>
    <t>LB2367.H85 -- H69 2006eb</t>
  </si>
  <si>
    <t>College students -- Rating of -- China -- Hong Kong. ; Educational tests and measurements -- China -- Hong Kong. ; Communication in education -- China -- Hong Kong.</t>
  </si>
  <si>
    <t>Curriculum, Schooling and Society in Hong Kong</t>
  </si>
  <si>
    <t>Morris, Paul;Adamson, Bob</t>
  </si>
  <si>
    <t>LB2806.15 -- .M68 2010eb</t>
  </si>
  <si>
    <t>Macintosh (Computer) ; Microcomputers.</t>
  </si>
  <si>
    <t>Education for Social Citizenship : Perceptions of Teachers in the USA, Australia, England, Russia and China</t>
  </si>
  <si>
    <t>Lee, W. O.;Fouts, Jeffrey T.</t>
  </si>
  <si>
    <t>LC1091 -- .E467 2005eb</t>
  </si>
  <si>
    <t>Classroom Management : Creating a Positive Learning Environment</t>
  </si>
  <si>
    <t>Hue, Ming-tak;Li, Wai-shing</t>
  </si>
  <si>
    <t>Hong Kong Teacher Education Series</t>
  </si>
  <si>
    <t>LB3013 -- .H84 2008eb</t>
  </si>
  <si>
    <t>370;371.1024</t>
  </si>
  <si>
    <t>Service-Learning in Asia : Curricular Models and Practices</t>
  </si>
  <si>
    <t>Xing, Jun;Ma, Carol Hok Ka</t>
  </si>
  <si>
    <t>LC221.4.A78 -- S47 2010eb</t>
  </si>
  <si>
    <t>MacBook (Computer) ; Laptop computers.</t>
  </si>
  <si>
    <t>Bilingual Education : Southeast Asian Perspectives</t>
  </si>
  <si>
    <t>Lin, Angela M. Y.;Man, Evelyn Y.F.</t>
  </si>
  <si>
    <t>LC201.7.A78 -- L55 2009eb</t>
  </si>
  <si>
    <t>Education, Bilingual -- Southeast Asia. ; Education, Bilingual -- Government policy -- Southeast Asia. ; Education, Bilingual -- China -- Hong Kong.</t>
  </si>
  <si>
    <t>International Education and the Chinese Learner</t>
  </si>
  <si>
    <t>Ryan, Janette;Slethaug, Gordon</t>
  </si>
  <si>
    <t>LC1090 -- .I58 2010eb</t>
  </si>
  <si>
    <t>Stocks. ; Investments.</t>
  </si>
  <si>
    <t>Berry, Rita;Kennedy, Kerry J.</t>
  </si>
  <si>
    <t>LB3051 -- .B47 2008eb</t>
  </si>
  <si>
    <t>Educational tests and measurements. ; Students -- Rating of.</t>
  </si>
  <si>
    <t>Lifetime in Academia : An Autobiography by Rayson Huang</t>
  </si>
  <si>
    <t>Huang, Rayson</t>
  </si>
  <si>
    <t>LA2383.C52 -- H786 2000eb</t>
  </si>
  <si>
    <t>Organizational change. ; Employees -- Coaching of. ; Personal coaching. ; Change (Psychology)</t>
  </si>
  <si>
    <t>University Autonomy, the State and Social Change in China</t>
  </si>
  <si>
    <t>Pan, Su-Yan</t>
  </si>
  <si>
    <t>Education in China Series</t>
  </si>
  <si>
    <t>LC179.C6 -- P36 2009eb</t>
  </si>
  <si>
    <t>370;379.51</t>
  </si>
  <si>
    <t>Higher education and state -- China. ; University autonomy -- China. ; Universities and colleges -- China -- Sociological aspects.</t>
  </si>
  <si>
    <t>Learning Diversity in the Chinese Classroom : Contexts and Practice for Students with Special Needs</t>
  </si>
  <si>
    <t>Phillipson, Shane N.</t>
  </si>
  <si>
    <t>LC1203.C6 -- L43 2007eb</t>
  </si>
  <si>
    <t>Inclusive education -- China.</t>
  </si>
  <si>
    <t>Transition or Transformation? : Helping Young People with Autistic Spectrum Disorder Set Out on a Hopeful Road Towards Their Adult Lives</t>
  </si>
  <si>
    <t>Clements, John;Hardy, Julia;Lord, Stephanie</t>
  </si>
  <si>
    <t>LC4717.5 -- .C54 2010eb</t>
  </si>
  <si>
    <t>Autism spectrum disorders. ; Autism. ; Autistic children-Education.</t>
  </si>
  <si>
    <t>Caring for the Physical and Mental Health of People with Learning Disabilities</t>
  </si>
  <si>
    <t>Hammond, Louise;Marston, Geoff;Gaskell, Sherryl;Eva, James;Perry, David;Kearns, Anthony;Davis, Elin</t>
  </si>
  <si>
    <t>RC394.L37 -- C37 2011eb</t>
  </si>
  <si>
    <t>Learning disabled-Medical care. ; Learning disabled-Mental health.</t>
  </si>
  <si>
    <t>Social Science; Health; Medicine</t>
  </si>
  <si>
    <t>A Practical Guide to Outcome Evaluation</t>
  </si>
  <si>
    <t>Hoggarth, Liz;Comfort, Hilary</t>
  </si>
  <si>
    <t>HD69.P75 -- H65 2010eb</t>
  </si>
  <si>
    <t>Project management -- Evaluation. ; Social work administration -- Evaluation.</t>
  </si>
  <si>
    <t>Rising to New Heights of Communication and Learning for Children with Autism : The Definitive Guide to Using Alternative-Augmentative Communication, Visual Strategies, and Learning Supports at Home and School</t>
  </si>
  <si>
    <t>Turner, Vicki;Spears, Carol</t>
  </si>
  <si>
    <t>LC4717.5 -- .S64 2011eb</t>
  </si>
  <si>
    <t>Autistic children-Education. ; Autistic children-Life skills guides. ; Communicative disorders in children.</t>
  </si>
  <si>
    <t>Working with Asperger Syndrome in the Classroom : An Insider's Guide</t>
  </si>
  <si>
    <t>Ansell, Gill D.</t>
  </si>
  <si>
    <t>LC4717 -- .A57 2011eb</t>
  </si>
  <si>
    <t>Autistic children-Education. ; Asperger's syndrome.</t>
  </si>
  <si>
    <t>Developing College Skills in Students with Autism and Asperger's Syndrome</t>
  </si>
  <si>
    <t>Freedman, Sarita;Attwood, Anthony</t>
  </si>
  <si>
    <t>LC4717.5 -- .F74 2010eb</t>
  </si>
  <si>
    <t>Asperger's syndrome in adolescence. ; Autistic children-Education (Higher) ; Teenagers with mental disabilities-Education (Higher)</t>
  </si>
  <si>
    <t>Common SENse for the Inclusive Classroom : How Teachers Can Maximise Existing Skills to Support Special Educational Needs</t>
  </si>
  <si>
    <t>Hanks, Richard</t>
  </si>
  <si>
    <t>LC3965 -- .H36 2011eb</t>
  </si>
  <si>
    <t>Guerrilla Mum : Surviving the Special Educational Needs Jungle</t>
  </si>
  <si>
    <t>Power, Ellen</t>
  </si>
  <si>
    <t>LC1201 -- .P68 2010eb</t>
  </si>
  <si>
    <t>Inclusive education. ; Mainstreaming in education. ; Special education.</t>
  </si>
  <si>
    <t>Get Out, Explore, and Have Fun! : How Families of Children with Autism or Asperger Syndrome Can Get the Most Out of Community Activities</t>
  </si>
  <si>
    <t>Rudy, Lisa Jo</t>
  </si>
  <si>
    <t>RJ506.A9 R83 2010</t>
  </si>
  <si>
    <t>Autistic children-Family relationships. ; Autistic children-Services for. ; Community life. ; Social integration. ; Special education-Parent participation.</t>
  </si>
  <si>
    <t>The Interview : From Formal to Postmodern</t>
  </si>
  <si>
    <t>Fontana, Andrea.;Prokos, Anastasia H.</t>
  </si>
  <si>
    <t>BF637.I5 -- F66 2007eb</t>
  </si>
  <si>
    <t>158/.39</t>
  </si>
  <si>
    <t>Interviews</t>
  </si>
  <si>
    <t>Erotic Mentoring : Women's Transformations in the University</t>
  </si>
  <si>
    <t>Walnut Creek</t>
  </si>
  <si>
    <t>Rushing, Janice Hocker</t>
  </si>
  <si>
    <t>Writing Lives: Ethnographic and Autoethnographic Narratives Series</t>
  </si>
  <si>
    <t>LB2332.3 -- .R87 2006eb</t>
  </si>
  <si>
    <t>Women college teachers. ; Women in higher education. ; Feminism and higher education.</t>
  </si>
  <si>
    <t>Military High Schools in America</t>
  </si>
  <si>
    <t>Trousdale, William B.</t>
  </si>
  <si>
    <t>U430.A1 -- T85 2007eb</t>
  </si>
  <si>
    <t>373.24/30973</t>
  </si>
  <si>
    <t>Military education -- United States</t>
  </si>
  <si>
    <t>Military Science; Education</t>
  </si>
  <si>
    <t>Study Guide for Practical Statistics for Educators</t>
  </si>
  <si>
    <t>Ravid, Ruth;Oyer, Elizabeth</t>
  </si>
  <si>
    <t>LB2846.R333 2011</t>
  </si>
  <si>
    <t>370.2/1</t>
  </si>
  <si>
    <t>Educational statistics--Study and teaching. ; Educational tests and measurements.</t>
  </si>
  <si>
    <t>Higher Education Administration with Social Media : Including Applications in Student Affairs, Enrollment Management, Alumni Relations, and Career Centers</t>
  </si>
  <si>
    <t>Wankel, Laura A.;Wankel, Charles</t>
  </si>
  <si>
    <t>Cutting-Edge Technologies in Higher Education Series</t>
  </si>
  <si>
    <t>LB2341</t>
  </si>
  <si>
    <t>Universities and colleges -- Administration</t>
  </si>
  <si>
    <t>Educating Educators with Social Media</t>
  </si>
  <si>
    <t>Wankel, Charles</t>
  </si>
  <si>
    <t>LB1732</t>
  </si>
  <si>
    <t>Social media</t>
  </si>
  <si>
    <t>Implicit and Explicit Language Learning : Conditions, Processes, and Knowledge in SLA and Bilingualism</t>
  </si>
  <si>
    <t>Sanz, Cristina;Leow, Ronald P.;Bialystok, Ellen;Eckman, Fred R.;Ellis, Nick;Finger, Ingrid;Gordon, Leslie S.;Henshaw, Florencia Giglio;Hilton, Heather E.;Ingram, David</t>
  </si>
  <si>
    <t>P118.2 -- .I47 2011eb</t>
  </si>
  <si>
    <t>City as Campus : Urbanism and Higher Education in Chicago</t>
  </si>
  <si>
    <t>Haar, Sharon</t>
  </si>
  <si>
    <t>LC238.3.C46 -- H33 2011eb</t>
  </si>
  <si>
    <t>378.1/030977311</t>
  </si>
  <si>
    <t>American Sign Language -- Problems, exercises, etc. ; American Sign Language.</t>
  </si>
  <si>
    <t>The Validation Process for EYPS</t>
  </si>
  <si>
    <t>Learning Matters Limited</t>
  </si>
  <si>
    <t>Colloby, Jennifer</t>
  </si>
  <si>
    <t>Achieving EYPS Series</t>
  </si>
  <si>
    <t>LB1139.3.G7 -- C65 2009eb</t>
  </si>
  <si>
    <t>Early childhood education - Great Britain - Examinations</t>
  </si>
  <si>
    <t>Successful Teaching Practice in the Lifelong Learning Sector</t>
  </si>
  <si>
    <t>Duckworth, Vicky;Wood, Jane;Bostock, John;Dickinson, John</t>
  </si>
  <si>
    <t>Achieving QTLS Series</t>
  </si>
  <si>
    <t>LC5256.G7 -- S935 2010eb</t>
  </si>
  <si>
    <t>Continuing education -- Great Britain. ; Teaching -- Great Britain. ; Teaching -- Practice -- Great Britain.</t>
  </si>
  <si>
    <t>Becoming a Professional Tutor in the Lifelong Learning Sector</t>
  </si>
  <si>
    <t>Tummons, Jonathan</t>
  </si>
  <si>
    <t>LB1778 -- .T86 2010eb</t>
  </si>
  <si>
    <t>College teachers</t>
  </si>
  <si>
    <t>Communicating with Learners in the Lifelong Learning Sector</t>
  </si>
  <si>
    <t>Appleyard, Keith;Appleyard, Nancy</t>
  </si>
  <si>
    <t>LB1033.5 -- .A66 2010eb</t>
  </si>
  <si>
    <t>Communication in education - Great Britain</t>
  </si>
  <si>
    <t>Information Skills for Education Students</t>
  </si>
  <si>
    <t>Richardson, Lloyd;McBryde-Wilding, Heather</t>
  </si>
  <si>
    <t>Study Skills in Education Series</t>
  </si>
  <si>
    <t>ZA3075 -- .R533 2009eb</t>
  </si>
  <si>
    <t>Education - Study and teaching</t>
  </si>
  <si>
    <t>The Minimum Core for Numeracy: Knowledge, Understanding and Personal Skills</t>
  </si>
  <si>
    <t>Peart, Sheine</t>
  </si>
  <si>
    <t>QA141 -- .P28 2009eb</t>
  </si>
  <si>
    <t>Numeracy - Study and teaching - Great Britain</t>
  </si>
  <si>
    <t>Fine Arts; Mathematics</t>
  </si>
  <si>
    <t>Academic Writing : Intercultural and textual issues</t>
  </si>
  <si>
    <t>Ventola, Eija;Mauranen, Anna</t>
  </si>
  <si>
    <t>Pragmatics &amp; Beyond New Series</t>
  </si>
  <si>
    <t>PE1404 -- .A33 1996eb</t>
  </si>
  <si>
    <t>English language -- Rhetoric -- Study and teaching. ; Academic writing -- Study and teaching. ; Academic writing -- Social aspects. ; Intercultural communication. ; Multicultural education. ; Language and culture.</t>
  </si>
  <si>
    <t>Primary PE: Unlocking the Potential</t>
  </si>
  <si>
    <t>Williams, Anne;Cliffe, Joanne</t>
  </si>
  <si>
    <t>GV443 .W55 2011</t>
  </si>
  <si>
    <t>Physical education for children.</t>
  </si>
  <si>
    <t>Parents and Professionals in Early Childhood Settings</t>
  </si>
  <si>
    <t>Schools and Schooling in Late Medieval Germany : Regensburg, 1250-1500</t>
  </si>
  <si>
    <t>Sheffler, David</t>
  </si>
  <si>
    <t>LA775.R44 S54 2008</t>
  </si>
  <si>
    <t>370.943/347</t>
  </si>
  <si>
    <t>Schools-Germany-Regensburg-History-To 1500. ; Education, Medieval-Germany-Regensburg.</t>
  </si>
  <si>
    <t>Orca Sports Resource Guide : High Interest Sports Action</t>
  </si>
  <si>
    <t>eBOUND Canada</t>
  </si>
  <si>
    <t>Orca Book Publishers</t>
  </si>
  <si>
    <t>Geye, Susan;Reynolds, Janice;Harvey, Sarah N.;Greye, Susan</t>
  </si>
  <si>
    <t>LB1631.H37 2010eb</t>
  </si>
  <si>
    <t>Language arts. ; Language arts (Middle school)</t>
  </si>
  <si>
    <t>Orca Currents Resource Guide : Middle-School Fiction for Reluctant Readers</t>
  </si>
  <si>
    <t>Geye, Susan;Reynolds, Janice;Hill, Kate Lane;Greye, Susan</t>
  </si>
  <si>
    <t>Orca Currents</t>
  </si>
  <si>
    <t>LB1573.G74 2013eb</t>
  </si>
  <si>
    <t>Reading -- Remedial teaching. ; Reading (Middle school)</t>
  </si>
  <si>
    <t>Orca Soundings : Teen Fiction for Reluctant Readers</t>
  </si>
  <si>
    <t>Geye, Susan;Reynolds, Janice</t>
  </si>
  <si>
    <t>LB1632.O72 2009eb</t>
  </si>
  <si>
    <t>Young adult literature -- Study and teaching (Secondary) ; Literature -- Study and teaching (Secondary) ; Readers (Secondary) ; Reading -- Remedial teaching. ; Language arts -- Remedial teaching. ; Language arts (Secondary) ; Creative activities and seat work.</t>
  </si>
  <si>
    <t>Orca Echoes Resource Guide</t>
  </si>
  <si>
    <t>Van Tol, Alex</t>
  </si>
  <si>
    <t>LB1576.V357 2010eb</t>
  </si>
  <si>
    <t>Language arts -- Correlation with content subjects. ; Language arts (Elementary)</t>
  </si>
  <si>
    <t>Continuing Challenges and Potential for Collaborative Approaches to Education Reform</t>
  </si>
  <si>
    <t>Bodilly, Susan J.;Karam, Rita;Orr, Nate</t>
  </si>
  <si>
    <t>LB2806 -- .B573 2011eb</t>
  </si>
  <si>
    <t>Microsoft Visual studio. ; Application software -- Development.</t>
  </si>
  <si>
    <t>Public Engagement for Public Education : Joining Forces to Revitalize Democracy and Equalize Schools</t>
  </si>
  <si>
    <t>Rogers, John;Orr, Marion</t>
  </si>
  <si>
    <t>LC221</t>
  </si>
  <si>
    <t>Community and school -- United States. ; Public schools -- United States -- Citizen participation. ; Education -- United States -- Citizen participation. ; Educational equalization -- United States.</t>
  </si>
  <si>
    <t>Leadership in Post-Compulsory Education</t>
  </si>
  <si>
    <t>Iszatt-White, Marian;Graham, Connor;Randall, David;Rouncefield, Mark;Rouncefield, Mark</t>
  </si>
  <si>
    <t>LB2805.L3444 2011</t>
  </si>
  <si>
    <t>Educational leadership. ; Post-compulsory education.</t>
  </si>
  <si>
    <t>Developing Student Criticality in Higher Education : Undergraduate Learning in the Arts and Social Sciences</t>
  </si>
  <si>
    <t>Johnston, Brenda;Ford, Peter;Mitchell, Rosamond;Myles, Florence;Haynes, Anthony</t>
  </si>
  <si>
    <t>LB2395.35D48 2010</t>
  </si>
  <si>
    <t>Critical thinking -- Study and thinking (Higher) ; Thought and thinking.</t>
  </si>
  <si>
    <t>Literacy on the Left : Reform and Revolution</t>
  </si>
  <si>
    <t>Lambirth, Andrew</t>
  </si>
  <si>
    <t>LC149.L224 2010</t>
  </si>
  <si>
    <t>Literacy--Political aspects. ; Right and left (Political science). ; Ideology.</t>
  </si>
  <si>
    <t>Online social networks as a site for learning</t>
  </si>
  <si>
    <t>Greenhow, Christine</t>
  </si>
  <si>
    <t>Reference Services Review: Volume 39, Edition 1</t>
  </si>
  <si>
    <t>LC71.2 -- .O6191 2011eb</t>
  </si>
  <si>
    <t>303.48/33</t>
  </si>
  <si>
    <t>JavaScript (Computer program language) ; Scripting languages (Computer science)</t>
  </si>
  <si>
    <t>LOEX of the West, Part 2 : Part 2</t>
  </si>
  <si>
    <t>MacMillan, Margy;Bowler, Meagan</t>
  </si>
  <si>
    <t>Supply Chain Management: An International Journal: Volume 16, Edition 1</t>
  </si>
  <si>
    <t>Z1035.1 -- .R43391 2011eb</t>
  </si>
  <si>
    <t>025.5/6</t>
  </si>
  <si>
    <t>Interactive television. ; Home video systems -- Automatic control.</t>
  </si>
  <si>
    <t>Library Science; General Works/Reference</t>
  </si>
  <si>
    <t>Black Greek-Letter Organizations 2.0 : New Directions in the Study of African American Fraternities and Sororities</t>
  </si>
  <si>
    <t>Hughey, Matthew W.;Parks, Gregory S.;Skocpol, Theda</t>
  </si>
  <si>
    <t>LJ34 -- .B57 2011eb</t>
  </si>
  <si>
    <t>378.1/98508996073</t>
  </si>
  <si>
    <t>Greek letter societies -- United States. ; African American college students -- Societies, etc.</t>
  </si>
  <si>
    <t>Higher Education Reform in China : Beyond the Expansion</t>
  </si>
  <si>
    <t>Morgan, W. John;Wu, Bin</t>
  </si>
  <si>
    <t>China Policy Series</t>
  </si>
  <si>
    <t>LA1133 -- .H535 2011eb</t>
  </si>
  <si>
    <t>378.51/09051</t>
  </si>
  <si>
    <t>Educational innovations - China</t>
  </si>
  <si>
    <t>A Teaching Assistant's Guide to Child Development and Psychology in the Classroom : Second Edition</t>
  </si>
  <si>
    <t>LB1117 -- .B465 2011eb</t>
  </si>
  <si>
    <t>Handbook of Asian Education : A Cultural Perspective</t>
  </si>
  <si>
    <t>Zhao, Yong;Lei, Jing;Li, Guofang;He, Ming Fang;Okano, Kaori;Megahed, Nagwa;Gamage, David;Ramanathan, Hema</t>
  </si>
  <si>
    <t>LA1141 -- .H38 2011eb</t>
  </si>
  <si>
    <t>Education and state - East Asia - Cross-cultural studies</t>
  </si>
  <si>
    <t>Higher Education in Southeast Asia : Blurring Borders, Changing Balance</t>
  </si>
  <si>
    <t>Welch, Anthony</t>
  </si>
  <si>
    <t>Routledge Research on Public and Social Policy in Asia Series</t>
  </si>
  <si>
    <t>LB2329.8.S644 -- W45 2011eb</t>
  </si>
  <si>
    <t>EDUCATION / Higher</t>
  </si>
  <si>
    <t>Beyond the School Gates : Can Full Service and Extended Schools Overcome Disadvantage?</t>
  </si>
  <si>
    <t>Cummings, Colleen;Dyson, Alan;Todd, Liz</t>
  </si>
  <si>
    <t>LC4096.C7 -- C86 2011eb</t>
  </si>
  <si>
    <t>Teacher Education Policy in the United States : Issues and Tensions in an Era of Evolving Expectations</t>
  </si>
  <si>
    <t>Earley, Penelope M.;Imig, David G.;Michelli, Nicholas M.</t>
  </si>
  <si>
    <t>LB1715 -- .T4145 2011eb</t>
  </si>
  <si>
    <t>370.71/173</t>
  </si>
  <si>
    <t>Teachers - Training of - Government policy - United States</t>
  </si>
  <si>
    <t>Science Learning and Instruction : Taking Advantage of Technology to Promote Knowledge Integration</t>
  </si>
  <si>
    <t>Linn, Marcia C.;Eylon, Bat-Sheva</t>
  </si>
  <si>
    <t>LB1585 -- .L54 2011eb</t>
  </si>
  <si>
    <t>Science -- Study and teaching (Elementary) ; Science -- Study and teaching (Middle school)</t>
  </si>
  <si>
    <t>Masculinities in Higher Education : Theoretical and Practical Considerations</t>
  </si>
  <si>
    <t>Laker, Jason A.;Davis, Tracy</t>
  </si>
  <si>
    <t>LC1397 -- .M37 2011eb</t>
  </si>
  <si>
    <t>378.1/9821</t>
  </si>
  <si>
    <t>Men - Education (HIgher) - United States</t>
  </si>
  <si>
    <t>Deconstructing Digital Natives : Young People, Technology, and the New Literacies</t>
  </si>
  <si>
    <t>Thomas, Michael</t>
  </si>
  <si>
    <t>LB1028.5 -- .D353 2011eb</t>
  </si>
  <si>
    <t>Technology and youth - United States</t>
  </si>
  <si>
    <t>Meeting the Child in Steiner Kindergartens : An Exploration of Beliefs, Values and Practices</t>
  </si>
  <si>
    <t>Parker-Rees, Rod</t>
  </si>
  <si>
    <t>LB1029.W34 -- M44 2011eb</t>
  </si>
  <si>
    <t>Coaching Children in Sport : An Introduction</t>
  </si>
  <si>
    <t>Stafford, Ian;Stafford, Ian</t>
  </si>
  <si>
    <t>GV709.24 -- .C63 2011eb</t>
  </si>
  <si>
    <t>Sports for children - Coaching</t>
  </si>
  <si>
    <t>Adventure Education : An Introduction</t>
  </si>
  <si>
    <t>Hodgson, Chris;Berry, Matt</t>
  </si>
  <si>
    <t>LC1038 -- .A35 2011eb</t>
  </si>
  <si>
    <t>371.3/84</t>
  </si>
  <si>
    <t>Adventure education - Study and teaching</t>
  </si>
  <si>
    <t>The Irregular School : Exclusion, Schooling and Inclusive Education</t>
  </si>
  <si>
    <t>Slee, Roger</t>
  </si>
  <si>
    <t>LC1200 -- .S54 2011eb</t>
  </si>
  <si>
    <t>Learning Like a Girl : Educating Our Daughters in Schools of Their Own</t>
  </si>
  <si>
    <t>Meehan, Diana</t>
  </si>
  <si>
    <t>LB3067.4 -- .M434 2007eb</t>
  </si>
  <si>
    <t>Girls' schools -- United States. ; Girls -- Education -- United States. ; Educational equalization -- United States.</t>
  </si>
  <si>
    <t>Dare to Differentiate : Vocabulary Strategies for All Students</t>
  </si>
  <si>
    <t>Brassell, Danny</t>
  </si>
  <si>
    <t>Teaching Practices That Work Series</t>
  </si>
  <si>
    <t>LB1574.5 -- .B73 2011eb</t>
  </si>
  <si>
    <t>Vocabulary -- Study and teaching (Elementary) ; Word recognition -- Study and teaching (Elementary)</t>
  </si>
  <si>
    <t>Education As and for Legitimacy : Developments in West Indian Education Between 1846 And 1895</t>
  </si>
  <si>
    <t>Wilfrid Laurier University</t>
  </si>
  <si>
    <t>Wilfrid Laurier University Press</t>
  </si>
  <si>
    <t>Waterloo, ON</t>
  </si>
  <si>
    <t>Bacchus, M. K.</t>
  </si>
  <si>
    <t>LA476 -- .B3 1994eb</t>
  </si>
  <si>
    <t>370;370.9729</t>
  </si>
  <si>
    <t>Education -- West Indies, British -- History -- 19th century. ; Education and state -- West Indies, British -- History -- 19th century.</t>
  </si>
  <si>
    <t>Utilization, Misuse and Development of Human Resources in the Early West Indian Colonies</t>
  </si>
  <si>
    <t>LA476 -- .B33 1990eb</t>
  </si>
  <si>
    <t>Education -- West Indies, British -- History. ; Education -- Social aspects -- West Indies, British -- History. ; Blacks -- Education -- West Indies, British -- History. ; West Indies, British -- Social conditions.</t>
  </si>
  <si>
    <t>Collective Autonomy : A History of the Council of Ontario Universities, 1962-2000</t>
  </si>
  <si>
    <t>Monahan, Edward</t>
  </si>
  <si>
    <t>LB2301 -- .M66 2004eb</t>
  </si>
  <si>
    <t>378/.006/0713</t>
  </si>
  <si>
    <t>Council of Ontario Universities -- History. ; Universities and colleges -- Ontario -- History -- 20th century.</t>
  </si>
  <si>
    <t>L' Etude des Religions Dans les Ecoles : L'Experience Americaine, Anglaise et Canadienne</t>
  </si>
  <si>
    <t>Ouellet, Fernand</t>
  </si>
  <si>
    <t>Editions SR Series</t>
  </si>
  <si>
    <t>BL42.5.U5 -- O94 1985eb</t>
  </si>
  <si>
    <t>200/.71</t>
  </si>
  <si>
    <t>Religion -- Study and teaching -- United States. ; Religion -- Study and teaching -- Great Britain. ; Religion -- Study and teaching -- Canada.</t>
  </si>
  <si>
    <t>Recollections of Waterloo College</t>
  </si>
  <si>
    <t>Roy, Flora</t>
  </si>
  <si>
    <t>LE3.W34 -- R69 2004eb</t>
  </si>
  <si>
    <t>378.713/45/092</t>
  </si>
  <si>
    <t>Roy, Flora. ; Waterloo College -- History. ; Waterloo College -- Faculty -- Biography. ; College teachers -- Ontario -- Waterloo -- Biography.</t>
  </si>
  <si>
    <t>The Educational Legacy of Romanticism</t>
  </si>
  <si>
    <t>Willinsky, John</t>
  </si>
  <si>
    <t>LB14.6 -- .E345 1990eb</t>
  </si>
  <si>
    <t>370/.12</t>
  </si>
  <si>
    <t>Education -- Philosophy -- Congresses. ; Romanticism -- Congresses. ; Education in literature -- Congresses.</t>
  </si>
  <si>
    <t>Living Nonviolently : Language for Resisting Violence</t>
  </si>
  <si>
    <t>Moran, Gabriel</t>
  </si>
  <si>
    <t>HM1281.M67 2011</t>
  </si>
  <si>
    <t>303.6/1014</t>
  </si>
  <si>
    <t>Nonviolence--Philosophy. ; Language and languages. ; Thought and thinking.</t>
  </si>
  <si>
    <t>Navigating the New Pedagogy : Six Principles That Transform Teaching</t>
  </si>
  <si>
    <t>Halstead, Jeff</t>
  </si>
  <si>
    <t>LB1025.3.H355 2011</t>
  </si>
  <si>
    <t>Effective teaching--United States. ; Teacher effectiveness--United States. ; Teacher-student relationships--United States. ; Lesson planning--United States. ; EDUCATION / Teaching Methods &amp; Materials / General.</t>
  </si>
  <si>
    <t>College Success Guaranteed : 5 Rules to Make It Happen</t>
  </si>
  <si>
    <t>Gauld, Malcolm</t>
  </si>
  <si>
    <t>LB2343.3.G39 2011</t>
  </si>
  <si>
    <t>College student orientation. ; Study skills.</t>
  </si>
  <si>
    <t>Cutting Costs and Generating Revenues in Education</t>
  </si>
  <si>
    <t>Adsit, Tim L.;Murdock, George R.</t>
  </si>
  <si>
    <t>LB2825.A563 2010</t>
  </si>
  <si>
    <t>Education--United States--Finance. ; Education--United States--Cost control. ; School management and organization--United States.</t>
  </si>
  <si>
    <t>Learning and Teaching in Primary Schools</t>
  </si>
  <si>
    <t>Hayes, Denis</t>
  </si>
  <si>
    <t>Achieving QTS Series</t>
  </si>
  <si>
    <t>LB1556.7.G7 -- H39 2009eb</t>
  </si>
  <si>
    <t>Elementary school teaching - Standards - Great Britain</t>
  </si>
  <si>
    <t>Assessment for Learning and Teaching in Secondary Schools</t>
  </si>
  <si>
    <t>Fautley, Martin;Savage, Jonathan</t>
  </si>
  <si>
    <t>LB3056.G7 -- F38 2008eb</t>
  </si>
  <si>
    <t>Grading and marking (Students) -- Great Britain. ; High school teaching -- Great Britain.</t>
  </si>
  <si>
    <t>Primary English: Extending Knowledge in Practice</t>
  </si>
  <si>
    <t>Wray, David;Medwell, Jane A.</t>
  </si>
  <si>
    <t>Achieving QTS Extending Knowledge in Practice LM Series</t>
  </si>
  <si>
    <t>LB1576 -- .W693 2008eb</t>
  </si>
  <si>
    <t>Mentoring in the Lifelong Learning Sector</t>
  </si>
  <si>
    <t>Gravells, Jonathan;Wallace, Susan</t>
  </si>
  <si>
    <t>Professional Development in the Lifelong Learning Sector Series</t>
  </si>
  <si>
    <t>LB1731.4 -- .W35 2007eb</t>
  </si>
  <si>
    <t>Mentoring in education.</t>
  </si>
  <si>
    <t>Primary Mathematics: Extending Knowledge in Practice</t>
  </si>
  <si>
    <t>Hansen, Alice;Hansen, Alice</t>
  </si>
  <si>
    <t>QA135.6 -- .H365 2008eb</t>
  </si>
  <si>
    <t>Behaviour for Learning in the Primary School</t>
  </si>
  <si>
    <t>Adams, Kate</t>
  </si>
  <si>
    <t>LB1051 -- .A253 2009eb</t>
  </si>
  <si>
    <t>Behaviorism (Psychology)</t>
  </si>
  <si>
    <t>Applied Social Science for Early Years</t>
  </si>
  <si>
    <t>Ingleby, Ewan;Oliver, Geraldine;Goodliff, Gillian</t>
  </si>
  <si>
    <t>H95$b.I53 2008</t>
  </si>
  <si>
    <t>Social sciences</t>
  </si>
  <si>
    <t>Creativity in Secondary Education</t>
  </si>
  <si>
    <t>Savage, Jonathan;Fautley, Martin</t>
  </si>
  <si>
    <t>Achieving QTS Cross-Curricular Strand Series</t>
  </si>
  <si>
    <t>LB1590.5 -- .F38 2007eb</t>
  </si>
  <si>
    <t>Creative thinking -- Study and teaching (Secondary) -- Great Britain. ; Creative thinking -- Study and teaching (Secondary) -- Great Britain -- Problems, exercises, etc. ; Effective teaching.</t>
  </si>
  <si>
    <t>Primary Languages: Effective Learning and Teaching</t>
  </si>
  <si>
    <t>Martin, Cynthia;Rumley, Glynis;Deevoy, Tara</t>
  </si>
  <si>
    <t>P51 -- .M37 2008eb</t>
  </si>
  <si>
    <t>Fremdsprachenunterricht</t>
  </si>
  <si>
    <t>Achieving Your Masters in Teaching and Learning</t>
  </si>
  <si>
    <t>McAteer, Mary;Murtagh, Lisa;Hallett, Fiona;Turnbull, Gavin</t>
  </si>
  <si>
    <t>Teaching Handbooks Series</t>
  </si>
  <si>
    <t>LB2371.6.U6 -- M33 2010eb</t>
  </si>
  <si>
    <t>Education - Study and teaching (Graduate)</t>
  </si>
  <si>
    <t>Childhood and Youth Studies</t>
  </si>
  <si>
    <t>Zwozdiak-Myers, Paula</t>
  </si>
  <si>
    <t>Childhood and Youth Studies Series</t>
  </si>
  <si>
    <t>HQ767.9 -- .Z86 2007eb</t>
  </si>
  <si>
    <t>Children -- Services for. ; Youth -- Services for.</t>
  </si>
  <si>
    <t>British Labour and Higher Education, 1945 To 2000 : Ideologies, Policies and Practice</t>
  </si>
  <si>
    <t>Steele, Tom;Haynes, Anthony</t>
  </si>
  <si>
    <t>LA637.T28 2011</t>
  </si>
  <si>
    <t>378.41/09045</t>
  </si>
  <si>
    <t>Labour Party (Great Britain)--Platforms. ; Education, Higher--Great Britain--History. ; Education and state--Great Britain--History.</t>
  </si>
  <si>
    <t>Resources for Teaching English: 11-14 : English 11-14</t>
  </si>
  <si>
    <t>LB1632 -- .C4 2011eb</t>
  </si>
  <si>
    <t>Reading (Middle school) ; Reading (Secondary) ; Young adult literature -- Study and teaching (Middle school) ; Young adult literature -- Study and teaching (Secondary)</t>
  </si>
  <si>
    <t>The Ultimate Teaching Manual : A Route to Success for Beginning Teachers</t>
  </si>
  <si>
    <t>Dixie, Gererd</t>
  </si>
  <si>
    <t>LB2844.1.N4 -- D59 2011eb</t>
  </si>
  <si>
    <t>First year teachers -- Handbooks, manuals, etc. ; Teacher orientation -- Handbooks, manuals, etc. ; Teaching -- Handbooks, manuals, etc.</t>
  </si>
  <si>
    <t>How to Be an Outstanding Primary School Teacher</t>
  </si>
  <si>
    <t>Dunn, David</t>
  </si>
  <si>
    <t>Outstanding Teaching Series</t>
  </si>
  <si>
    <t>LB1025.3 .D866 2011</t>
  </si>
  <si>
    <t>Effective teaching. ; Education. ; Elementary school teaching.</t>
  </si>
  <si>
    <t>100 Completely New Ideas for Managing Behaviour : Managing Behaviour</t>
  </si>
  <si>
    <t>Young, Johnnie</t>
  </si>
  <si>
    <t>LB3012 -- .Y65 2011eb</t>
  </si>
  <si>
    <t>School discipline. ; Classroom management -- Education. ; Behavior modification -- Education.</t>
  </si>
  <si>
    <t>Playing with Purpose : How Experiential Learning Can Be More Than a Game</t>
  </si>
  <si>
    <t>Hutchinson, Steve;Lawrence, Helen</t>
  </si>
  <si>
    <t>LB1027.23 -- .H883 2011eb</t>
  </si>
  <si>
    <t>Experiential learning. ; Educational games.</t>
  </si>
  <si>
    <t>Leading the Strategically Focused School : Success and Sustainability</t>
  </si>
  <si>
    <t>LB2900.5 -- .D37 2011eb</t>
  </si>
  <si>
    <t>Educational leadership -- Great Britain. ; Strategic planning -- Great Britain.</t>
  </si>
  <si>
    <t>Talent Management in Education</t>
  </si>
  <si>
    <t>Davies, Brent;Davies, Barbara J.</t>
  </si>
  <si>
    <t>LB2806 -- .D38 2011eb</t>
  </si>
  <si>
    <t>Changing the Way You Teach, Improving the Way Students Learn</t>
  </si>
  <si>
    <t>Martin-Kniep, Giselle;Picone-Zocchia, Joanne</t>
  </si>
  <si>
    <t>LB1025.3.M33746 2009</t>
  </si>
  <si>
    <t>Effective teaching. ; Motivation in education. ; Curriculum planning.</t>
  </si>
  <si>
    <t>Classroom Assessment and Grading That Work</t>
  </si>
  <si>
    <t>Marzano, Robert J.</t>
  </si>
  <si>
    <t>LB3051 -- .M4573 2006eb</t>
  </si>
  <si>
    <t>Instruction That Measures Up : Successful Teaching in the Age of Accountability</t>
  </si>
  <si>
    <t>LB2838 -- .P63 2009eb</t>
  </si>
  <si>
    <t>Teacher effectiveness. ; Teachers -- Rating of. ; Effective teaching. ; Educational accountability.</t>
  </si>
  <si>
    <t>Making Standards Useful in the Classroom</t>
  </si>
  <si>
    <t>Marzano, Robert J.;Haystead, Mark W.</t>
  </si>
  <si>
    <t>LB3060.83 -- .M379 2008eb</t>
  </si>
  <si>
    <t>379.1/59</t>
  </si>
  <si>
    <t>Susan Isaacs : A Life Freeing the Minds of Children</t>
  </si>
  <si>
    <t>Graham, Philip</t>
  </si>
  <si>
    <t>RC339.52 -- .I83 2009eb</t>
  </si>
  <si>
    <t>Isaacs, Susan Sutherland Fairhurst, -- 1885-1948</t>
  </si>
  <si>
    <t>School Violence : Studies in Alienation, Revenge and Redemption</t>
  </si>
  <si>
    <t>Rose, Ingrid</t>
  </si>
  <si>
    <t>LB3013.3 -- .R67 2009eb</t>
  </si>
  <si>
    <t>School violence. ; School violence -- Psychological aspects. ; School violence -- Social aspects.</t>
  </si>
  <si>
    <t>Autism, the Way Forward : A Self-Help Guide to Teaching Children on the Autistic Spectrum</t>
  </si>
  <si>
    <t>Louise, Stephanie</t>
  </si>
  <si>
    <t>LC4717.5 -- .L69 2008eb</t>
  </si>
  <si>
    <t>Autistic children -- Education. ; Autism in children.</t>
  </si>
  <si>
    <t>The Emotional Experience of Learning and Teaching</t>
  </si>
  <si>
    <t>Osborne, Elsie;Salzberger-Wittenberg, Isca;Williams, Gianna</t>
  </si>
  <si>
    <t>LB1060 -- .S25 1999eb</t>
  </si>
  <si>
    <t>Learning. ; Teacher-student relationships. ; Interaction analysis in education. ; Parent-teacher relationships.</t>
  </si>
  <si>
    <t>Focus on Bilingual Education : Essays in honor of Joshua A. Fishman. Volume 1</t>
  </si>
  <si>
    <t>García, Ofelia</t>
  </si>
  <si>
    <t>LC3715 -- .B56 1991eb</t>
  </si>
  <si>
    <t>Education, Bilingual.</t>
  </si>
  <si>
    <t>Handbook of Adolescent Literacy Research</t>
  </si>
  <si>
    <t>Christenbury, Leila;Bomer, Randy;Smagorinsky, Peter</t>
  </si>
  <si>
    <t>LB1632.H363 2009</t>
  </si>
  <si>
    <t>Reading (Middle school) -- Handbooks, manuals, etc</t>
  </si>
  <si>
    <t>Finding the Right Texts : What Works for Beginning and Struggling Readers</t>
  </si>
  <si>
    <t>Hiebert, Elfrieda H.;Sailors, Misty</t>
  </si>
  <si>
    <t>372.41/4</t>
  </si>
  <si>
    <t>Reading -- Remedial teaching</t>
  </si>
  <si>
    <t>Social Skills Training for Children with Asperger Syndrome and High-Functioning Autism</t>
  </si>
  <si>
    <t>White, Susan Williams</t>
  </si>
  <si>
    <t>HQ783 -- .W515 2011eb</t>
  </si>
  <si>
    <t>649/.68</t>
  </si>
  <si>
    <t>Social skills -- Study and teaching. ; Asperger's syndrome. ; Autism in children.</t>
  </si>
  <si>
    <t>The New Encyclopedia of Southern Culture : Volume 17: Education</t>
  </si>
  <si>
    <t>Mohr, Clarence L.</t>
  </si>
  <si>
    <t>The New Encyclopedia of Southern Culture Series</t>
  </si>
  <si>
    <t>LA230.5.S6 -- E38 2011eb</t>
  </si>
  <si>
    <t>Applied Linguistics and Primary School Teaching</t>
  </si>
  <si>
    <t>Ellis, Sue;McCartney, Elspeth</t>
  </si>
  <si>
    <t>LB1576 .A67 2011</t>
  </si>
  <si>
    <t>Schooling and the Making of Citizens in the Long Nineteenth Century : Comparative Visions</t>
  </si>
  <si>
    <t>Tröhler, Daniel.;Popkewitz, Thomas S.;Labaree, David F.</t>
  </si>
  <si>
    <t>LA126 -- .S32 2011eb</t>
  </si>
  <si>
    <t>Education -- History -- 19th century -- Cross-cultural studies. ; Education -- Aims and objectives -- Cross-cultural studies. ; Citizenship -- Cross-cultural studies.</t>
  </si>
  <si>
    <t>Changing Schools in an Era of Globalization</t>
  </si>
  <si>
    <t>Lee, John Chi-Kin;Caldwell, Brian J.</t>
  </si>
  <si>
    <t>LC1035.6 -- .C33 2011eb</t>
  </si>
  <si>
    <t>Functional literacy - United States</t>
  </si>
  <si>
    <t>Bullying, Suicide, and Homicide : Understanding, Assessing, and Preventing Threats to Self and Others for Victims of Bullying</t>
  </si>
  <si>
    <t>Losey, Butch;Losey, Butch</t>
  </si>
  <si>
    <t>BF637.B85 -- L67 2011eb</t>
  </si>
  <si>
    <t>Bullying - Prevention</t>
  </si>
  <si>
    <t>Education and Sustainability : Learning Across the Diaspora, Indigenous, and Minority Divide</t>
  </si>
  <si>
    <t>MacPherson, Seonaigh</t>
  </si>
  <si>
    <t>LC1090 -- .M24 2011eb</t>
  </si>
  <si>
    <t>International education. ; Education and globalization. ; Sustainable development. ; Native language and education. ; Multiculturalism.</t>
  </si>
  <si>
    <t>Education Reform in China : Changing Concepts, Contexts and Practices</t>
  </si>
  <si>
    <t>LA1133 -- .E38 2011eb</t>
  </si>
  <si>
    <t>The Failure of Environmental Education (and How We Can Fix It)</t>
  </si>
  <si>
    <t>Saylan, Charles;Blumstein, Daniel</t>
  </si>
  <si>
    <t>GE70 -- .S29 2011eb</t>
  </si>
  <si>
    <t>Slam School : Learning Through Conflict in the Hip-Hop and Spoken Word Classroom</t>
  </si>
  <si>
    <t>Low, Bronwen</t>
  </si>
  <si>
    <t>LB1631</t>
  </si>
  <si>
    <t>428.0071/2</t>
  </si>
  <si>
    <t>Language arts (Secondary) -- Social aspects -- United States. ; Performance poetry -- Study and teaching (Secondary) -- United States. ; Education, Secondary -- Curricula -- United States. ; Multicultural education -- United States. ; Intergroup relations -- United States. ; Critical pedagogy -- United States. ; Educational anthropology -- United States.</t>
  </si>
  <si>
    <t>Uncommon Schools : The Global Rise of Postsecondary Institutions for Indigenous Peoples</t>
  </si>
  <si>
    <t>Cole, Wade</t>
  </si>
  <si>
    <t>Indigenous peoples -- Education (Higher) -- Cross-cultural studies. ; Indigenous peoples -- Legal status, laws, etc. -- Cross-cultural studies. ; Indigenous peoples -- Government relations -- Cross-cultural studies. ; Higher education and state -- Cross-cultural studies.</t>
  </si>
  <si>
    <t>Comparing Special Education : Origins to Contemporary Paradoxes</t>
  </si>
  <si>
    <t>Richardson, John G.;Powell, Justin J. W.</t>
  </si>
  <si>
    <t>To Serve a Larger Purpose : Engagement for Democracy and the Transformation of Higher Education</t>
  </si>
  <si>
    <t>Saltmarsh, John;Hartley, Matthew</t>
  </si>
  <si>
    <t>Education, Higher--United States. ; Democracy and education--United States. ; Educational leadership--United States. ; Educational planning--United States.</t>
  </si>
  <si>
    <t>Lincoln Memorial University and the Shaping of Appalachia</t>
  </si>
  <si>
    <t>Hess, Earl J.</t>
  </si>
  <si>
    <t>LD3071</t>
  </si>
  <si>
    <t>No Small Matter : The Impact of Poverty, Shocks, and Human Capital Investments in Early Childhood Development</t>
  </si>
  <si>
    <t>Alderman, Harold</t>
  </si>
  <si>
    <t>BF723.C5 -- N58 2011eb</t>
  </si>
  <si>
    <t>305.23109172/4</t>
  </si>
  <si>
    <t>Cognition in children -- Developing countries. ; Children -- Developing countries -- Economic conditions. ; Children -- Developing countries -- Social conditions.</t>
  </si>
  <si>
    <t>Rethinking School Health : A Key Component of Education for All</t>
  </si>
  <si>
    <t>World Bank;Bundy, Donald</t>
  </si>
  <si>
    <t>LB3409.U5 -- S355 2011eb</t>
  </si>
  <si>
    <t>School health services -- United States -- Evaluation. ; School health services -- United States -- Planning. ; School children -- Health and hygiene -- United States. ; School hygiene -- United States.</t>
  </si>
  <si>
    <t>E-Moderating : The Key to Online Teaching and Learning</t>
  </si>
  <si>
    <t>Salmon, Gilly</t>
  </si>
  <si>
    <t>LB1044.87 -- .S249 2011eb</t>
  </si>
  <si>
    <t>ICT for Teaching Assistants</t>
  </si>
  <si>
    <t>Galloway, John;Norton, Hilary</t>
  </si>
  <si>
    <t>LB1028.43 -- .G348 2011eb</t>
  </si>
  <si>
    <t>Education -- Great Britain -- Data processing. ; Information technology -- Great Britain. ; Teachers' assistants -- Great Britain.</t>
  </si>
  <si>
    <t>Effective Instruction for STEM Disciplines : From Learning Theory to College Teaching</t>
  </si>
  <si>
    <t>Mastascusa, Edward J.;Snyder, William J.;Hoyt, Brian S.;Weimer, Maryellen</t>
  </si>
  <si>
    <t>LB2331 -- .E41 2011eb</t>
  </si>
  <si>
    <t>Essentials of IDEA for Assessment Professionals</t>
  </si>
  <si>
    <t>McBride, Guy;Dumont, Ron;Willis, John O.;Kaufman, Alan S.;Kaufman, Nadeen L.</t>
  </si>
  <si>
    <t>Essentials of Psychological Assessment Series</t>
  </si>
  <si>
    <t>HV888.5 -- .M24 2011eb</t>
  </si>
  <si>
    <t>United States. Individuals with Disabilities Education Act. ; Children with disabilities--Services for--United States. ; Children with disabilities--Education--United States.</t>
  </si>
  <si>
    <t>Mentoring Teachers : Navigating the Real-World Tensions</t>
  </si>
  <si>
    <t>Lieberman, Ann;Hanson, Susan;Gless, Janet;Moir, Ellen</t>
  </si>
  <si>
    <t>LB1731.4.L54 2012</t>
  </si>
  <si>
    <t>Mentoring in education -- United States</t>
  </si>
  <si>
    <t>Getting Smart : How Digital Learning Is Changing the World</t>
  </si>
  <si>
    <t>Vander Ark, Tom;Wise, Bob</t>
  </si>
  <si>
    <t>LB1028.5 -- .V26 2012eb</t>
  </si>
  <si>
    <t>Internet in education -- United States</t>
  </si>
  <si>
    <t>The Ph. D. Process : A Student's Guide to Graduate School in the Sciences</t>
  </si>
  <si>
    <t>Bloom, Dale F.;Karp, Jonathan D.;Cohen, Nicholas</t>
  </si>
  <si>
    <t>Q181 -- .B5574 1998eb</t>
  </si>
  <si>
    <t>Science -- Study and teaching (Graduate) ; Biology -- Study and teaching (Graduate) ; Doctor of philosophy degree. ; Graduate students.</t>
  </si>
  <si>
    <t>The Mobile Academy : MLearning for Higher Education</t>
  </si>
  <si>
    <t>Quinn, Clark N.</t>
  </si>
  <si>
    <t>Bloomberg</t>
  </si>
  <si>
    <t>LB2395.7 -- .Q56 2012eb</t>
  </si>
  <si>
    <t>Education, Higher -- Computer-assisted instruction. ; Mobile communication systems in education.</t>
  </si>
  <si>
    <t>From DNA to Social Cognition</t>
  </si>
  <si>
    <t>Ebstein, Richard;Shamay-Tsoory, Simone;Chew, Soo Hong</t>
  </si>
  <si>
    <t>QP360.5 -- .E27 2011eb</t>
  </si>
  <si>
    <t>Decision making</t>
  </si>
  <si>
    <t>Science; Science: Anatomy/Physiology; Science: Biology/Natural History</t>
  </si>
  <si>
    <t>Seven Keys to Unlock Autism : Making Miracles in the Classroom</t>
  </si>
  <si>
    <t>Hall, Elaine;Isaacs, Diane;Shore, Stephen</t>
  </si>
  <si>
    <t>LC4718 -- .H35 2012eb</t>
  </si>
  <si>
    <t>371.94/044</t>
  </si>
  <si>
    <t>Autistic children -- Education -- United States</t>
  </si>
  <si>
    <t>What School Leaders Need to Know about Digital Technologies and Social Media</t>
  </si>
  <si>
    <t>McLeod, Scott;Lehmann, Chris;Warlick, David F.</t>
  </si>
  <si>
    <t>LB1028.3 -- .M399 2012eb</t>
  </si>
  <si>
    <t>Educational technology--Planning. ; Education--Effect of technological innovations on. ; Social media. ; School management and organization.</t>
  </si>
  <si>
    <t>Student-Centered Leadership</t>
  </si>
  <si>
    <t>Robinson, Viviane</t>
  </si>
  <si>
    <t>LB2805 -- .R688 2011eb</t>
  </si>
  <si>
    <t>Educational leadership.</t>
  </si>
  <si>
    <t>Managing Online Instructor Workload : Strategies for Finding Balance and Success</t>
  </si>
  <si>
    <t>Conceição, Simone C. O.;Lehman, Rosemary M.</t>
  </si>
  <si>
    <t>LC5803.C65 -- C66 2011eb</t>
  </si>
  <si>
    <t>Education, Higher--Study and teaching--United States. ; Professional learning communities--United States.</t>
  </si>
  <si>
    <t>Nonprofit Law for Colleges and Universities : Essential Questions and Answers for Officers, Directors, and Advisors</t>
  </si>
  <si>
    <t>Hopkins, Bruce R.;Gross, Virginia C.;Schenkelberg, Thomas J.</t>
  </si>
  <si>
    <t>Wiley Nonprofit Authority Series</t>
  </si>
  <si>
    <t>KF4234 -- .H67 2011eb</t>
  </si>
  <si>
    <t>346.73/064</t>
  </si>
  <si>
    <t>Universities and colleges--Finance--Law and legislation--United States--Miscellanea. ; BUSINESS &amp; ECONOMICS / Nonprofit Organizations &amp; Charities bisacsh.</t>
  </si>
  <si>
    <t>Don't Forget to Write for the Elementary Grades : 50 Enthralling and Effective Writing Lessons (Ages 5 To 12)</t>
  </si>
  <si>
    <t>Traig, Jennifer;Eggers, Dave</t>
  </si>
  <si>
    <t>LB1576 -- .D6345 2011eb</t>
  </si>
  <si>
    <t>English language -- Composition and exercises -- Study and teaching (Elementary) -- United States. ; Education, Elementary -- Activity programs -- United States.</t>
  </si>
  <si>
    <t>Don't Forget to Write for the Secondary Grades : 50 Enthralling and Effective Writing Lessons (Ages 11 and Up)</t>
  </si>
  <si>
    <t>LB1631 -- .D66 2011eb</t>
  </si>
  <si>
    <t>English language -- Composition and exercises -- Study and teaching (Secondary) -- United States</t>
  </si>
  <si>
    <t>Common Core Curriculum Maps in English Language Arts, Grades K-5</t>
  </si>
  <si>
    <t>Great Minds</t>
  </si>
  <si>
    <t>LB1576 -- .C5785 2012eb</t>
  </si>
  <si>
    <t>Language arts (Elementary) -- Curricula -- United States -- States. ; Language arts (Elementary) -- Standards -- United States -- States.</t>
  </si>
  <si>
    <t>The Good Life of Teaching : An Ethics of Professional Practice</t>
  </si>
  <si>
    <t>Higgins, Chris</t>
  </si>
  <si>
    <t>Journal of Philosophy of Education Series</t>
  </si>
  <si>
    <t>LB1027 -- .H427 2011eb</t>
  </si>
  <si>
    <t>Education -- Moral and ethical aspects</t>
  </si>
  <si>
    <t>Educational Neuroscience : Initiatives and Emerging Issues</t>
  </si>
  <si>
    <t>Patten, Kathryn E.;Campbell, Stephen R.</t>
  </si>
  <si>
    <t>Educational Philosophy and Theory Special Issues Series</t>
  </si>
  <si>
    <t>LB1501 -- .E38 2011eb</t>
  </si>
  <si>
    <t>The Formative Assessment Action Plan : Practical Steps to More Successful Teaching and Learning</t>
  </si>
  <si>
    <t>LB3051 -- .F74 2011eb</t>
  </si>
  <si>
    <t>Effective Supervision : Supporting the Art and Science of Teaching</t>
  </si>
  <si>
    <t>Marzano, Robert J.;Frontier, Tony;Livingston, David</t>
  </si>
  <si>
    <t>LB2838 -- .M37 2011eb</t>
  </si>
  <si>
    <t>The Understanding by Design Guide to Creating High-Quality Units</t>
  </si>
  <si>
    <t>Wiggins, Grant;McTighe, Jay</t>
  </si>
  <si>
    <t>LB2806.15 -- .W545 2011eb</t>
  </si>
  <si>
    <t>Dimensions of Learning Teacher's Manual, 2nd Ed</t>
  </si>
  <si>
    <t>Marzano, Robert J.;Pickering, Debra J.;Arredondo, Daisy E.;Blackburn, Guy J.;Brandt, Ronald S.;Moffett, Cerylle A.;Paynter, Diane E.;Pollock, Jane E.;Whisler, Jo Sue</t>
  </si>
  <si>
    <t>LB1025.3 -- .M37 1997eb</t>
  </si>
  <si>
    <t>Elementary school teaching. ; High school teaching. ; Middle school teaching. ; Junior high school teaching. ; Teaching -- Aids and devices.</t>
  </si>
  <si>
    <t>Teaching Boys Who Struggle in School : Strategies That Turn Underachievers into Successful Learners</t>
  </si>
  <si>
    <t>Cleveland, Kathleen Palmer</t>
  </si>
  <si>
    <t>LC1390 -- .C54 2011eb</t>
  </si>
  <si>
    <t>Transformative Assessment in Action : An Inside Look at Applying the Process</t>
  </si>
  <si>
    <t>LB3051 -- .P67 2011eb</t>
  </si>
  <si>
    <t>Create Success! : Unlocking the Potential of Urban Students</t>
  </si>
  <si>
    <t>Rajagopal, Kadhir</t>
  </si>
  <si>
    <t>LB1025.3 -- .R35 2011eb</t>
  </si>
  <si>
    <t>371.1009173/2</t>
  </si>
  <si>
    <t>Wasting Minds : Why Our Education System Is Failing and What We Can Do about It</t>
  </si>
  <si>
    <t>Wolk, Ronald A.</t>
  </si>
  <si>
    <t>LA217.2 -- .W65 2011eb</t>
  </si>
  <si>
    <t>The Future As an Academic Discipline</t>
  </si>
  <si>
    <t>Wolstenholme, G. E. W.;O'Connor, Maeve</t>
  </si>
  <si>
    <t>Novartis Foundation Symposia Series</t>
  </si>
  <si>
    <t>CB158 -- .S95 1975eb</t>
  </si>
  <si>
    <t>Forecasting -- Congresses. ; Universities and colleges -- Curricula -- Congresses.</t>
  </si>
  <si>
    <t>One-Minute Discipline : Classroom Management Strategies That Work</t>
  </si>
  <si>
    <t>Bianco, Arnie</t>
  </si>
  <si>
    <t>LB3013 -- .B536 2002eb</t>
  </si>
  <si>
    <t>Teacher effectiveness -- Handbooks, manuals, etc</t>
  </si>
  <si>
    <t>Differentiated Assessment : How to Assess the Learning Potential of Every Student (Grades 6-12)</t>
  </si>
  <si>
    <t>Stefanakis, Evangeline Harris;Meier, Deborah</t>
  </si>
  <si>
    <t>LB1134.S67 2011</t>
  </si>
  <si>
    <t>Individualized instruction</t>
  </si>
  <si>
    <t>Women and Educational Leadership</t>
  </si>
  <si>
    <t>Grogan, Margaret;Shakeshaft, Charol</t>
  </si>
  <si>
    <t>LB2831.82.G76 2011</t>
  </si>
  <si>
    <t>Women school administrators -- United States. ; Educational leadership -- United States.</t>
  </si>
  <si>
    <t>The Elementary Teacher's Book of Lists</t>
  </si>
  <si>
    <t>Muschla, Gary R.;Muschla, Judith A.;Muschla, Erin</t>
  </si>
  <si>
    <t>J-B Ed: Book of Lists Series</t>
  </si>
  <si>
    <t>LB1555.M865 2010</t>
  </si>
  <si>
    <t>Elementary school teaching--Handbooks, manuals, etc. ; Education, Elementary--Curricula--Handbooks, manuals, etc.</t>
  </si>
  <si>
    <t>Urban School Leadership</t>
  </si>
  <si>
    <t>Payzant, Tom</t>
  </si>
  <si>
    <t>LC5115.P39 2011</t>
  </si>
  <si>
    <t>Education, Urban</t>
  </si>
  <si>
    <t>Leading in a Culture of Change</t>
  </si>
  <si>
    <t>LB2806 -- .F794 2001eb</t>
  </si>
  <si>
    <t>Educational leadership. ; School management and organization. ; Educational change.</t>
  </si>
  <si>
    <t>A Teacher's Guide to Classroom Assessment : Understanding and Using Assessment to Improve Student Learning</t>
  </si>
  <si>
    <t>Butler, Susan M.;McMunn, Nancy D.</t>
  </si>
  <si>
    <t>LB3051 -- .B86 2006eb</t>
  </si>
  <si>
    <t>Grading and marking (Students) ; Students -- Rating of. ; Educational tests and measurements.</t>
  </si>
  <si>
    <t>Thinking about Schools : A Foundations of Education Reader</t>
  </si>
  <si>
    <t>Blair Hilty, Eleanor</t>
  </si>
  <si>
    <t>LA212 -- .T46 2011eb</t>
  </si>
  <si>
    <t>Education -- United States -- Textbooks. ; Public schools -- United States -- Textbooks.</t>
  </si>
  <si>
    <t>Upper Elementary Math Lessons : Case Studies of Real Teaching</t>
  </si>
  <si>
    <t>Graeber, Anna O.;Valli, Linda;Newton, Kristie Jones</t>
  </si>
  <si>
    <t>QA135.6.G728 2010</t>
  </si>
  <si>
    <t>Mathematics--Study and teaching (Elementary)--Case studies.</t>
  </si>
  <si>
    <t>Creating the Academic Commons : Guidelines for Learning, Teaching, and Research</t>
  </si>
  <si>
    <t>Gould, Thomas H. P.</t>
  </si>
  <si>
    <t>LB2395.7.G68 2011</t>
  </si>
  <si>
    <t>Education, Higher--Computer network resources. ; Education, Higher--Effect of technological innovations on. ; Internet in higher education. ; Distance education.</t>
  </si>
  <si>
    <t>Philosophies of Research into Higher Education</t>
  </si>
  <si>
    <t>Brown, Brian J.;Baker, Sally</t>
  </si>
  <si>
    <t>LB1028 -- .B758 2007eb</t>
  </si>
  <si>
    <t>Education -- Research -- Philosophy. ; Education, Higher.</t>
  </si>
  <si>
    <t>Tales from the Head's Room : Life in a London Primary School</t>
  </si>
  <si>
    <t>Kent, Mike;Kelly, Gerard</t>
  </si>
  <si>
    <t>LB2832.4.G7 -- K46 2011eb</t>
  </si>
  <si>
    <t>372.12/012</t>
  </si>
  <si>
    <t>Kent, M. -- (Mike) -- Anecdotes. ; School principals -- England -- London -- Anecdotes. ; Elementary schools -- England -- London -- Anecdotes.</t>
  </si>
  <si>
    <t>Learning to Teach with a Hangover</t>
  </si>
  <si>
    <t>Barbuti, Jon</t>
  </si>
  <si>
    <t>LB1025.3 -- .B353 2006eb</t>
  </si>
  <si>
    <t>Teaching.</t>
  </si>
  <si>
    <t>Not Quite a Teacher : Target Practice for Beginning Teachers</t>
  </si>
  <si>
    <t>LB2157.G7 -- B47 2011eb</t>
  </si>
  <si>
    <t>370.71/141</t>
  </si>
  <si>
    <t>Student teaching -- Great Britain -- Handbooks, manuals, etc.</t>
  </si>
  <si>
    <t>Dyspraxia 2nd Edition</t>
  </si>
  <si>
    <t>Brookes, Geoff</t>
  </si>
  <si>
    <t>LC4599.G7 -- B76 2007eb</t>
  </si>
  <si>
    <t>Apraxia.</t>
  </si>
  <si>
    <t>Stress Management for Teachers</t>
  </si>
  <si>
    <t>Hartney, Elizabeth</t>
  </si>
  <si>
    <t>RA785 -- .H372 2008eb</t>
  </si>
  <si>
    <t>Stress management. ; Teachers -- Job stress.</t>
  </si>
  <si>
    <t>Health; Psychology; Social Science</t>
  </si>
  <si>
    <t>100 Ideas for Lesson Planning</t>
  </si>
  <si>
    <t>LB1027.4 -- .H39 2007eb</t>
  </si>
  <si>
    <t>Lesson planning -- Great Britain.</t>
  </si>
  <si>
    <t>Educational Attainment and Society</t>
  </si>
  <si>
    <t>LC191.8.G7 -- K48 2006eb</t>
  </si>
  <si>
    <t>Educational attainment -- Social aspects -- Great Britain -- Longitudinal studies. ; Sex differences in education -- Great Britain. ; Students -- Great Britain -- Social conditions. ; Social stratification -- Great Britain.</t>
  </si>
  <si>
    <t>The Teaching Assistant's Guide to Emotional and Behavioural Difficulties</t>
  </si>
  <si>
    <t>Spohrer, Kate</t>
  </si>
  <si>
    <t>Teaching Assistant's Series</t>
  </si>
  <si>
    <t>LC4801 -- .S696 2008eb</t>
  </si>
  <si>
    <t>Problem children -- Education -- Handbooks, manuals, etc. ; Behavior disorders in children -- Handbooks, manuals, etc. ; Behavior modification -- Handbooks, manuals, etc. ; Teachers' assistants -- Handbooks, manuals, etc.</t>
  </si>
  <si>
    <t>Creative Teaching : Getting It Right</t>
  </si>
  <si>
    <t>Starbuck, David</t>
  </si>
  <si>
    <t>LB1025.3 -- .S7325 2006eb</t>
  </si>
  <si>
    <t>Creative teaching</t>
  </si>
  <si>
    <t>Spirituality in Higher Education : Autoethnographies</t>
  </si>
  <si>
    <t>Chang, Heewon;Boyd, Drick</t>
  </si>
  <si>
    <t>LC383 -- .S68 2011eb</t>
  </si>
  <si>
    <t>College administrators - Conduct of life</t>
  </si>
  <si>
    <t>The Learning Sciences in Educational Assessment : The Role of Cognitive Models</t>
  </si>
  <si>
    <t>Leighton, Jacqueline P.;Gierl, Mark J.</t>
  </si>
  <si>
    <t>LB3051 .L425 2011</t>
  </si>
  <si>
    <t>Support Systems and Services for Diverse Populations : Considering the Intersection of Race, Gender, and the Needs of Black Female Undergraduates</t>
  </si>
  <si>
    <t>Chambers, Crystal R.;Frierson, Henry T.</t>
  </si>
  <si>
    <t>Diversity in Higher Education Series</t>
  </si>
  <si>
    <t>LC2781</t>
  </si>
  <si>
    <t>African American community college students -- Services for</t>
  </si>
  <si>
    <t>Transforming Literacy: Changing Lives Through Reading and Writing</t>
  </si>
  <si>
    <t>Waxler, Robert;Hall, Maureen</t>
  </si>
  <si>
    <t>LC149 .W39 2011</t>
  </si>
  <si>
    <t>Literacy.</t>
  </si>
  <si>
    <t>Inside the College Gates : How Class and Culture Matter in Higher Education</t>
  </si>
  <si>
    <t>Stuber, Jenny M.</t>
  </si>
  <si>
    <t>LC67.62.S87 2011</t>
  </si>
  <si>
    <t>Education, Higher--Social aspects--United States. ; Education--Economic aspects--United States. ; College students--Social networks--United States. ; Educational equalization--Cross-cultural studies.</t>
  </si>
  <si>
    <t>Jewish Origins of Cultural Pluralism : The Menorah Association and American Diversity</t>
  </si>
  <si>
    <t>Greene, Daniel</t>
  </si>
  <si>
    <t>Modern Jewish Experience</t>
  </si>
  <si>
    <t>LB3613.J4 -- G74 2011eb</t>
  </si>
  <si>
    <t>378.1/98282960973</t>
  </si>
  <si>
    <t>Harvard Menorah Society (Cambridge, Mass.) -- History -- 20th century. ; Intercollegiate Menorah Association (New York, N.Y.) -- History -- 20th century. ; Menorah Association (New York, N.Y.) -- History -- 20th century. ; Jewish college students -- Massachusetts -- Cambridge -- Societies, etc. ; Jewish college students -- United States -- Societies, etc. ; Jews -- United States -- Identity. ; Jews -- Cultural assimilation -- United States.</t>
  </si>
  <si>
    <t>House Signs and Collegiate Fun : Sex, Race, and Faith in a College Town</t>
  </si>
  <si>
    <t>LaDousa, Chaise</t>
  </si>
  <si>
    <t>LA227.4 -- .L34 2011eb</t>
  </si>
  <si>
    <t>Universities and colleges -- United States. ; Universities and colleges -- Social aspects -- United States. ; Signs and signboards -- United States. ; College campuses -- United States.</t>
  </si>
  <si>
    <t>Growing up with Television : Everyday Learning among Young Adolescents</t>
  </si>
  <si>
    <t>Fisherkeller, Joellen</t>
  </si>
  <si>
    <t>HQ799</t>
  </si>
  <si>
    <t>302.23/45/0835</t>
  </si>
  <si>
    <t>Television and youth-United States. ; Youth-United States-Attitudes. ; Popular culture-United States.</t>
  </si>
  <si>
    <t>Higher Education and Democracy : Essays on Service-Learning and Civic Engagement</t>
  </si>
  <si>
    <t>Saltmarsh, John;Zlotkowski, Edward</t>
  </si>
  <si>
    <t>LB2322</t>
  </si>
  <si>
    <t>Education, Higher--Social aspects. ; Education, Higher--Political aspects. ; Democracy and education. ; Education and state. ; Political participation.</t>
  </si>
  <si>
    <t>Reclaiming the Game : College Sports and Educational Values</t>
  </si>
  <si>
    <t>Bowen, William G.;Levin, Sarah A.;Shulman, James L.;Campbell, Colin G.;Pichler, Susanne C.;Kurzweil, Martin A.</t>
  </si>
  <si>
    <t>GV347 -- .B69 2003eb</t>
  </si>
  <si>
    <t>796.04/3/0973</t>
  </si>
  <si>
    <t>Beyond Binaries in Education Research</t>
  </si>
  <si>
    <t>Midgley, Warren;Tyler, Mark A.;Danaher, Patrick Alan;Mander, Alison</t>
  </si>
  <si>
    <t>LB1028.2 -- .B48 2011eb</t>
  </si>
  <si>
    <t>Minority Students in East Asia : Government Policies, School Practices and Teacher Responses</t>
  </si>
  <si>
    <t>Phillion, JoAnn;Hue, Ming-tak;Wang, YuXiang</t>
  </si>
  <si>
    <t>Routledge Series on Schools and Schooling in Asia Series</t>
  </si>
  <si>
    <t>LC3737.E18 -- M56 2011eb</t>
  </si>
  <si>
    <t>EDUCATION / Curricula</t>
  </si>
  <si>
    <t>Developing Reflective Practice in the Early Years</t>
  </si>
  <si>
    <t>Paige-Smith, Alice;Craft, Anna</t>
  </si>
  <si>
    <t>LB1025.3 -- .D48 2011eb</t>
  </si>
  <si>
    <t>Electronic data processing personnel -- Certification. ; Computer security -- Examinations -- Study guides.</t>
  </si>
  <si>
    <t>Successful School Leadership: Linking with Learning and Achievement</t>
  </si>
  <si>
    <t>Day, Christopher;Sammons, Pam;Leithwood, Ken;Hopkins, David;Gu, Qing;Brown, Eleanor;Ahtaridou, Elpida</t>
  </si>
  <si>
    <t>LB2806 .S83 2011</t>
  </si>
  <si>
    <t>Developing Early Childhood Services: Past, Present and Future</t>
  </si>
  <si>
    <t>Baldock, Peter</t>
  </si>
  <si>
    <t>HV713 -- .B35 2011eb</t>
  </si>
  <si>
    <t>Using Thinking Skills in the Primary Classroom</t>
  </si>
  <si>
    <t>Kelly, Peter</t>
  </si>
  <si>
    <t>LB1590.3.K45 2005</t>
  </si>
  <si>
    <t>Educational psychology.</t>
  </si>
  <si>
    <t>Professor Mommy : Finding Work-Family Balance in Academia</t>
  </si>
  <si>
    <t>Connelly, Rachel;Ghodsee, Kristen</t>
  </si>
  <si>
    <t>LB2332.3.C66 2011</t>
  </si>
  <si>
    <t>Women college teachers--United States--Social conditions. ; Women in higher education--United States--Social conditions. ; Work and family--United States. ; Working mothers--United States.</t>
  </si>
  <si>
    <t>Military Brass vs. Civilian Academics at the National War College : A Clash of Cultures</t>
  </si>
  <si>
    <t>Wiarda, Howard J.</t>
  </si>
  <si>
    <t>U412.W53 2011</t>
  </si>
  <si>
    <t>355.0071/173</t>
  </si>
  <si>
    <t>National War College (U.S.). ; Military education--United States. ; Sociology, Military--United States. ; Academic freedom--United States.</t>
  </si>
  <si>
    <t>Property Ownership and Private Higher Education in China : On What Grounds?</t>
  </si>
  <si>
    <t>Su, Spring</t>
  </si>
  <si>
    <t>LC67.68.C53S8 2011</t>
  </si>
  <si>
    <t>Education, Higher--Economic aspects--China. ; For-profit universities and colleges--China. ; Education and state--China.</t>
  </si>
  <si>
    <t>The Idea of the American University</t>
  </si>
  <si>
    <t>Watson, Bradley C. S.;Agresto, John;Allen, William B.;Foley, Michael P.;Glenn, Gary D.;Hanssen, Susan E.;Henrie, Mark C.;Lawler, Peter Augustine;Mathie, William;Schall, James V.</t>
  </si>
  <si>
    <t>LA227.4.I335 2011</t>
  </si>
  <si>
    <t>Universities and colleges--United States. ; Education, Higher--United States. ; Education, Higher--Aims and objectives--United States.</t>
  </si>
  <si>
    <t>Developing Inquiry for Learning : Reflecting Collaborative Ways to Learn How to Learn in Higher Education</t>
  </si>
  <si>
    <t>Ovens, Peter;Wells, Frances;Wallis, Patricia;Hawkins, Cyndy</t>
  </si>
  <si>
    <t>LB2395 -- .D46 2011eb</t>
  </si>
  <si>
    <t>378.1/794</t>
  </si>
  <si>
    <t>EDUCATION / Testing &amp; Measurement</t>
  </si>
  <si>
    <t>Literacy for All Students : An Instructional Framework for Closing the Gap</t>
  </si>
  <si>
    <t>Powell, Rebecca;Rightmyer, Elizabeth</t>
  </si>
  <si>
    <t>LB1576 -- .L555 2011eb</t>
  </si>
  <si>
    <t>LANGUAGE ARTS &amp; DISCIPLINES / Literacy</t>
  </si>
  <si>
    <t>Under New Management : Universities, Administrative Labor, and the Professional Turn</t>
  </si>
  <si>
    <t>Martin, Randy</t>
  </si>
  <si>
    <t>LB2331</t>
  </si>
  <si>
    <t>Universities and colleges--United States--Faculty. ; Universities and colleges--United States--Administration. ; College personnel management--United States.</t>
  </si>
  <si>
    <t>Crossing Boundaries at Medieval Universities</t>
  </si>
  <si>
    <t>Young, Spencer E.</t>
  </si>
  <si>
    <t>LA177 .C88 2011</t>
  </si>
  <si>
    <t>Universities and colleges-Europe-History. ; Education, Medieval. ; Middle Ages.</t>
  </si>
  <si>
    <t>Educational Linguistics in Practice : Applying the Local Globally and the Global Locally</t>
  </si>
  <si>
    <t>Hult, Francis M.;King, Kendall A.</t>
  </si>
  <si>
    <t>P40.8 -- .E38 2011eb</t>
  </si>
  <si>
    <t>404/.2071</t>
  </si>
  <si>
    <t>Language and education. ; Education, Bilingual.</t>
  </si>
  <si>
    <t>The Multiliteracies Classroom</t>
  </si>
  <si>
    <t>Mills, Kathy A.</t>
  </si>
  <si>
    <t>LC149 -- .M555 2011eb</t>
  </si>
  <si>
    <t>Literacy -- Study and teaching</t>
  </si>
  <si>
    <t>Making the Grades : My Misadventures in the Standardized Testing Industry</t>
  </si>
  <si>
    <t>Farley, Todd</t>
  </si>
  <si>
    <t>LB3060.77 -- .F37 2009eb</t>
  </si>
  <si>
    <t>Farley, Todd -- Career in test scoring. ; Examinations -- United States -- Scoring. ; Business and education -- United States.</t>
  </si>
  <si>
    <t>Pedagogy for Religion : Missionary Education and the Fashioning of Hindus and Muslims in Bengal</t>
  </si>
  <si>
    <t>Sengupta, Parna</t>
  </si>
  <si>
    <t>LA1154.B43 -- S46 2011eb</t>
  </si>
  <si>
    <t>371.071/25414</t>
  </si>
  <si>
    <t>Education -- India -- Bengal -- History. ; Hindus -- Education -- India -- Bengal -- History. ; Muslims -- Education -- India -- Bengal -- History. ; Church schools -- India -- Bengal -- History.</t>
  </si>
  <si>
    <t>Financing Higher Education in Africa</t>
  </si>
  <si>
    <t>LC67.68.A35 -- F56 2010eb</t>
  </si>
  <si>
    <t>Education, Higher -- Economic aspects -- Africa.</t>
  </si>
  <si>
    <t>Leading a Creative School : Initiating and Sustaining School Change</t>
  </si>
  <si>
    <t>Sanders, Ethel</t>
  </si>
  <si>
    <t>Creative Teaching/Creative Schools Series</t>
  </si>
  <si>
    <t>LB2822.8 -- .S265 2011eb</t>
  </si>
  <si>
    <t>How to Motivate Reluctant Learners (Mastering the Principles of Great Teaching Series)</t>
  </si>
  <si>
    <t>LB1065 .J24 2011</t>
  </si>
  <si>
    <t>Motivation in education. ; Effective teaching.</t>
  </si>
  <si>
    <t>Tutoring Matters : Everything You Always Wanted to Know about How to Tutor</t>
  </si>
  <si>
    <t>Chin, Tiffani;Rabow, Jerome;Estrada, Jeimee</t>
  </si>
  <si>
    <t>LC41</t>
  </si>
  <si>
    <t>Tutors and tutoring--United States--Handbooks, manuals, etc.</t>
  </si>
  <si>
    <t>Educating Students with Autism Spectrum Disorders : Research-Based Principles and Practices</t>
  </si>
  <si>
    <t>Zager, Dianne;Wehmeyer, Michael L.;Simpson, Richard L.</t>
  </si>
  <si>
    <t>LC4717 -- .E36 2012eb</t>
  </si>
  <si>
    <t>Autistic children - Education</t>
  </si>
  <si>
    <t>Understanding Babies and Young Children from Conception to Three : A Guide for Students, Practitioners and Parents</t>
  </si>
  <si>
    <t>Macintyre, Christine</t>
  </si>
  <si>
    <t>LB1139.23 -- .M325 2012eb</t>
  </si>
  <si>
    <t>Experiencing Service-Learning</t>
  </si>
  <si>
    <t>Kronick, Robert F.;Cunningham, Robert B.;Gourley, Michele</t>
  </si>
  <si>
    <t>LC220</t>
  </si>
  <si>
    <t>Racism and Education in the U. K. and the U. S. : Towards a Socialist Alternative</t>
  </si>
  <si>
    <t>Marxism and Education Series</t>
  </si>
  <si>
    <t>Education_xPhilosophy</t>
  </si>
  <si>
    <t>Mathematics Education with Digital Technology</t>
  </si>
  <si>
    <t>Oldknow, Adrian;Knights, Carol;Brindley, Sue;Brindley, Sue</t>
  </si>
  <si>
    <t>QA11.2.M2779 2011</t>
  </si>
  <si>
    <t>Mathematics -- Study and teaching (Middle school) -- Technological innovations. ; Electronic instruments, Digital.</t>
  </si>
  <si>
    <t>Networking Research : New Directions in Educational Enquiry</t>
  </si>
  <si>
    <t>Carmichael, Patrick</t>
  </si>
  <si>
    <t>LB1028.C287 2011</t>
  </si>
  <si>
    <t>Education research. ; Research libraries. ; Computers and civilization. ; Digital media. ; Cyberspace.</t>
  </si>
  <si>
    <t>Making Summer Count : How Summer Programs Can Boost Children's Learning</t>
  </si>
  <si>
    <t>McCombs, Jennifer Sloan;Augustine, Catherine H.;Schwartz, Heather L.;Bodilly, Susan J;McInnis, Brian;Lichter, Dahlia S;Cross, Amanda Brown</t>
  </si>
  <si>
    <t>LC5751 -- .M35 2011eb</t>
  </si>
  <si>
    <t>371.2/320973</t>
  </si>
  <si>
    <t>JavaScript (Computer program language) ; Plug-ins (Computer programs)</t>
  </si>
  <si>
    <t>Mothers United : An Immigrant Struggle for Socially Just Education</t>
  </si>
  <si>
    <t>Dyrness, Andrea</t>
  </si>
  <si>
    <t>LC3746.5.C2 -- D97 2011eb</t>
  </si>
  <si>
    <t>371.826/9120979466</t>
  </si>
  <si>
    <t>Customer services. ; Customer services -- Technological innovations.</t>
  </si>
  <si>
    <t>Global Citizenship and the University : Advancing Social Life and Relations in an Interdependent World</t>
  </si>
  <si>
    <t>Rhoads, Robert;Szelényi, Katalin;Szelényi, Katalin</t>
  </si>
  <si>
    <t>LC171</t>
  </si>
  <si>
    <t>Guangdong wai yu wai mao da xue. ; University of California, Los Angeles. ; Universidad de Buenos Aires. ; Central European University. ; Education, Higher -- Political aspects -- Case studies. ; Education, Higher -- Social aspects -- Case studies. ; Education and globalization -- Case studies.</t>
  </si>
  <si>
    <t>The Myths of Standardized Tests : Why They Don't Tell You What You Think They Do</t>
  </si>
  <si>
    <t>Harris, Phillip;Smith, Bruce M.;Harris, Joan;Barber, Larry;Bracey, Gerald W.;O'Brien, Tom;Jones, Ken;Marshall, Gail;Ohanian, Susan;Pogrow, Stanley</t>
  </si>
  <si>
    <t>LB2351.2.H356 2010</t>
  </si>
  <si>
    <t>Universities and colleges--United States--Admission. ; Education, Higher--Standards--United States. ; College applications--United States.</t>
  </si>
  <si>
    <t>Russian Mathematics Education: History And World Significance</t>
  </si>
  <si>
    <t>Bruce R Vogeli;Alexander Karp</t>
  </si>
  <si>
    <t>QA14.R8 -- R87 2010eb</t>
  </si>
  <si>
    <t>Mathematics -- Former communist countries</t>
  </si>
  <si>
    <t>Globalisation And Tertiary Education In The Asia-pacific: The Changing Nature Of A Dynamic Market</t>
  </si>
  <si>
    <t>William G Tierney;Christopher Findlay</t>
  </si>
  <si>
    <t>LA1058.G56 2010</t>
  </si>
  <si>
    <t>Globalization -- Asia</t>
  </si>
  <si>
    <t>Web-Based Instruction : A Guide for Libraries</t>
  </si>
  <si>
    <t>Sharpless Smith, Susan</t>
  </si>
  <si>
    <t>025.5/60785</t>
  </si>
  <si>
    <t>Library orientation -- Computer-assisted instruction. ; Web sites -- Design. ; Library Web sites -- Design. ; Web-based instruction. ; Libraries and the Internet.</t>
  </si>
  <si>
    <t>What They Don't Teach You in Library School</t>
  </si>
  <si>
    <t>Doucett, Elisabeth</t>
  </si>
  <si>
    <t>ALA Guides for the Busy Librarian Series</t>
  </si>
  <si>
    <t>Library science. ; Library science -- Vocational guidance.</t>
  </si>
  <si>
    <t>Notes on Teaching : A Short Guide to an Essential Skill</t>
  </si>
  <si>
    <t>RCR Creative Press</t>
  </si>
  <si>
    <t>Hendricks, Shellee;Reich, Russell</t>
  </si>
  <si>
    <t>Notes On</t>
  </si>
  <si>
    <t>LB1025.3 -- .H46 2011eb</t>
  </si>
  <si>
    <t>SQL server. ; Database security.</t>
  </si>
  <si>
    <t>Emerging Approaches to Educational Research : Tracing the Socio-Material</t>
  </si>
  <si>
    <t>Fenwick, Tara;Edwards, Richard;Sawchuk, Peter</t>
  </si>
  <si>
    <t>LB1028 -- .F36 2011eb</t>
  </si>
  <si>
    <t>Education - Sociological aspects - Research</t>
  </si>
  <si>
    <t>The Routledge International Handbook of Creative Learning</t>
  </si>
  <si>
    <t>Sefton-Green, Julian;Thomson, Pat;Jones, Ken;Bresler, Liora</t>
  </si>
  <si>
    <t>LB1062 -- .R66 2011eb</t>
  </si>
  <si>
    <t>Creative thinking</t>
  </si>
  <si>
    <t>Telling Lives : Exploring Dimensions of Narratives</t>
  </si>
  <si>
    <t>Horsdal, Marianne</t>
  </si>
  <si>
    <t>P302.7 -- .H67 2012eb</t>
  </si>
  <si>
    <t>The Other Alliance : Student Protest in West Germany and the United States in the Global Sixties</t>
  </si>
  <si>
    <t>Klimke, Martin</t>
  </si>
  <si>
    <t>America in the World Series</t>
  </si>
  <si>
    <t>LA229 -- .K54 2010eb</t>
  </si>
  <si>
    <t>373.1/81097309046</t>
  </si>
  <si>
    <t>Uneducated Guesses : Using Evidence to Uncover Misguided Education Policies</t>
  </si>
  <si>
    <t>Wainer, Howard</t>
  </si>
  <si>
    <t>LB2353.2 -- .W35 2011eb</t>
  </si>
  <si>
    <t>378.1/662</t>
  </si>
  <si>
    <t>Global Perspectives on School Libraries : Projects and Practices</t>
  </si>
  <si>
    <t>Marquardt, Luisa;Oberg, Dianne</t>
  </si>
  <si>
    <t>Z675.S3 -- G555 2011eb</t>
  </si>
  <si>
    <t>School libraries. ; School libraries--Case studies.</t>
  </si>
  <si>
    <t>The Fall of the Faculty</t>
  </si>
  <si>
    <t>Ginsberg, Benjamin</t>
  </si>
  <si>
    <t>LB2341 -- .G496 2011eb</t>
  </si>
  <si>
    <t>Universities and colleges -- United States -- Administration. ; Organizational behavior -- United States. ; Education, Higher -- Aims and objectives -- United States. ; Education, Higher -- Social aspects -- United States. ; Academic freedom -- United States.</t>
  </si>
  <si>
    <t>Classroom Literacy Games : Fun-Packed Activities for Ages 7-13</t>
  </si>
  <si>
    <t>LB1576 -- .B963 2012eb</t>
  </si>
  <si>
    <t>373.133/7</t>
  </si>
  <si>
    <t>EDUCATION / Elementary</t>
  </si>
  <si>
    <t>Learning and Teaching Narrative Inquiry : Travelling in the Borderlands</t>
  </si>
  <si>
    <t>Trahar, Sheila</t>
  </si>
  <si>
    <t>LB1028 -- .L324 2011eb</t>
  </si>
  <si>
    <t>Education -- Research -- Methodology. ; Narrative inquiry (Research method) ; Learning -- Research -- Methodology. ; Multicultural education -- Cross-cultural studies. ; Education and globalization.</t>
  </si>
  <si>
    <t>Social Uses of Literacy : Theory and Practice in Contemporary South Africa</t>
  </si>
  <si>
    <t>Prinsloo, Mastin;Breier, Mignonne;Street, Brian;Breier, Mignonne;Street, Brian V.</t>
  </si>
  <si>
    <t>LC158.S6 -- S63 1996eb</t>
  </si>
  <si>
    <t>302.2/244/0968</t>
  </si>
  <si>
    <t>Literacy -- Social aspects -- South Africa. ; Adult education -- Social aspects -- South Africa. ; Education and state -- South Africa. ; Popular education -- South Africa.</t>
  </si>
  <si>
    <t>The Production of Living Knowledge : The Crisis of the University and the Transformation of Labor in Europe and North America</t>
  </si>
  <si>
    <t>Roggero, Gigi</t>
  </si>
  <si>
    <t>Education, Higher--Economic aspects--Europe. ; Education, Higher--Economic aspects--North America. ; Labor productivity--Effect of education on--Europe. ; Labor productivity--Effect of education on--North America. ; Education, Higher--Aims and objectives--Europe. ; Education, Higher--Aims and objectives--North America. ; Educational change--Europe. ; Educational change--North America.</t>
  </si>
  <si>
    <t>Towards a Critical Sociology of Reading Pedagogy : Papers of the XII World Congress on Reading</t>
  </si>
  <si>
    <t>Baker, Carolyn;Luke, Allan</t>
  </si>
  <si>
    <t>LB1049.95 -- .W67 1991eb</t>
  </si>
  <si>
    <t>Reading -- Social aspects -- Congresses. ; Books and reading -- Sociological aspects -- Congresses. ; Books and reading -- Political aspects -- Congresses.</t>
  </si>
  <si>
    <t>The Game of Life : College Sports and Educational Values</t>
  </si>
  <si>
    <t>Shulman, James L.;Bowen, William G.</t>
  </si>
  <si>
    <t>GV351 -- .S48 2002eb</t>
  </si>
  <si>
    <t>Spotlighting the Strengths of Every Single Student : Why U. S. Schools Need a New, Strengths-Based Approach</t>
  </si>
  <si>
    <t>Jones-Smith, Elsie</t>
  </si>
  <si>
    <t>LB1031.J63 2011</t>
  </si>
  <si>
    <t>Individualized instruction. ; School improvement programs. ; Multiple intelligences. ; Academic achievement.</t>
  </si>
  <si>
    <t>Being Indispensable : A School Librarian's Guide to Becoming an Invaluable Leader</t>
  </si>
  <si>
    <t>Toor, Ruth;Weisburg, Hilda K.;Walter, Virginia A.</t>
  </si>
  <si>
    <t>025.1/978</t>
  </si>
  <si>
    <t>School libraries -- United States -- Administration. ; Instructional materials centers -- United States -- Administration. ; School libraries -- Aims and objectives. ; School libraries -- Public relations. ; School libraries -- Evaluation. ; Leadership.</t>
  </si>
  <si>
    <t>Reaching Out to Latino Families of English Language Learners</t>
  </si>
  <si>
    <t>Campos, David;Delgado, Rocio;Huerta, Mary Esther Soto</t>
  </si>
  <si>
    <t>LC2686.4 .C36 2011</t>
  </si>
  <si>
    <t>Hispanic Americans-Education. ; English language-Study and teaching-Spanish speakers-United States. ; Education-Parent participation-United States.</t>
  </si>
  <si>
    <t>Total Participation Techniques : Making Every Student an Active Learner</t>
  </si>
  <si>
    <t>Himmele, Pérsida;Himmele, William;Himmele, Persida</t>
  </si>
  <si>
    <t>LB1027.23 -- .H56 2011eb</t>
  </si>
  <si>
    <t>Autodesk VIZ. ; Computer graphics.</t>
  </si>
  <si>
    <t>How to Teach Now : Five Keys to Personalized Learning in the Global Classroom</t>
  </si>
  <si>
    <t>Powell, William;Kusuma-Powell, Ochan</t>
  </si>
  <si>
    <t>LB1029.G55 P68 2011</t>
  </si>
  <si>
    <t>Global method of teaching. ; Educational technology. ; Education-Effect of technological innovations on. ; International education.</t>
  </si>
  <si>
    <t>How to Support Struggling Students : (Mastering the Principles of Great Teaching Series)</t>
  </si>
  <si>
    <t>Jackson, Robyn R.;Lambert, Claire</t>
  </si>
  <si>
    <t>LB2822.82 .J27 2010</t>
  </si>
  <si>
    <t>School improvement programs-United States. ; Underachievers-Education (Secondary)-United States. ; Learning strategies-United States.</t>
  </si>
  <si>
    <t>Align the Design : A Blueprint for School Improvement</t>
  </si>
  <si>
    <t>Mooney, Nancy J.;Mausbach, Ann T.</t>
  </si>
  <si>
    <t>LB2822.82 .M66 2008</t>
  </si>
  <si>
    <t>School improvement programs-United States. ; Academic achievement-United States.</t>
  </si>
  <si>
    <t>Great Performances : Creating Classroom-Based Assessment Tasks</t>
  </si>
  <si>
    <t>Lewin, Larry;Shoemaker, Betty Jean;Kusuma-Powell, Ochan</t>
  </si>
  <si>
    <t>LB3051 -- .L462 2011eb</t>
  </si>
  <si>
    <t>Educational tests and measurements -- United States. ; Grading and marking (Students) -- United States.</t>
  </si>
  <si>
    <t>Protocols for Professional Learning (the Professional Learning Community Series)</t>
  </si>
  <si>
    <t>Easton, Lois Brown</t>
  </si>
  <si>
    <t>LB1731 .E16 2009</t>
  </si>
  <si>
    <t>Teachers-In-service training-United States. ; Professional learning communities-United States.</t>
  </si>
  <si>
    <t>Understanding Common Core State Standards</t>
  </si>
  <si>
    <t>Kendall, John;Budge, Kathleen M.</t>
  </si>
  <si>
    <t>LB3060.83 -- .K464 2011eb</t>
  </si>
  <si>
    <t>Education -- Standards -- United States.</t>
  </si>
  <si>
    <t>Transformative Assessment</t>
  </si>
  <si>
    <t>LB3051 .P61447 2008</t>
  </si>
  <si>
    <t>Educational tests and measurements. ; School improvement programs.</t>
  </si>
  <si>
    <t>Impacts of Cultural Capital on Student College Choice in China</t>
  </si>
  <si>
    <t>Gao, Lan</t>
  </si>
  <si>
    <t>LC191.G26 2011</t>
  </si>
  <si>
    <t>College choice. ; Universities and colleges--Admission. ; Educational sociology--China. ; Cultural relations--China.</t>
  </si>
  <si>
    <t>Jacques Ranciere: Education, Truth, Emancipation : Education, Truth, Emancipation</t>
  </si>
  <si>
    <t>Bingham, Charles;Biesta, Gert;Ranciere, Jacques</t>
  </si>
  <si>
    <t>LB880.R352.B564 201</t>
  </si>
  <si>
    <t>Rancière, Jacques -- Philosophy. ; Education -- Philosophy.</t>
  </si>
  <si>
    <t>Supporting Children with Autism in Mainstream Schools</t>
  </si>
  <si>
    <t>Seach, Diana;Lloyd, Michele;Preston, Miranda;Minett, John</t>
  </si>
  <si>
    <t>Supporting Children Series</t>
  </si>
  <si>
    <t>LC4717 .S433 2003</t>
  </si>
  <si>
    <t>Autistic children-Education. ; Mainstreaming in education.</t>
  </si>
  <si>
    <t>Questions Dictionary of Maths</t>
  </si>
  <si>
    <t>Delaney, Kev;Pinel, Adrian;Smith, Derek</t>
  </si>
  <si>
    <t>QA5 .D453 1997</t>
  </si>
  <si>
    <t>Mathematics-Dictionaries.</t>
  </si>
  <si>
    <t>Managing Higher Education in Colleges</t>
  </si>
  <si>
    <t>Parry, Gareth;Blackie, Penny;Thompson, Anne</t>
  </si>
  <si>
    <t>Essential FE Toolkit Series</t>
  </si>
  <si>
    <t>LB2341.8.G7 -- P37 2006eb</t>
  </si>
  <si>
    <t>Education, Higher -- Great Britain -- Administration. ; Continuing education centers -- Great Britain -- Administration. ; University cooperation -- Great Britain.</t>
  </si>
  <si>
    <t>Changing Pedagogy : Analysing ELT Teachers in China</t>
  </si>
  <si>
    <t>Zheng, Xin-min;Davison, Chris</t>
  </si>
  <si>
    <t>PE1130.C4 -- Z54 2008eb</t>
  </si>
  <si>
    <t>English language -- Study and teaching -- Chinese speakers. ; English language -- Study and teaching -- China. ; Second language acquisition -- China. ; English language -- Globalization.</t>
  </si>
  <si>
    <t>Ultimate FE Lecturer's Handbook</t>
  </si>
  <si>
    <t>Clow, Ros;Dawn, Trevor</t>
  </si>
  <si>
    <t>LC5225.T4 -- C56 2007eb</t>
  </si>
  <si>
    <t>Adult education teachers -- Training of -- Handbooks, manuals, etc. ; Adult education -- Handbooks, manuals, etc. ; Continuing education -- Handbooks, manuals, etc.</t>
  </si>
  <si>
    <t>Key Issues in Secondary Education : 2nd Edition</t>
  </si>
  <si>
    <t>Beck, John;Earl, Mary C.</t>
  </si>
  <si>
    <t>LA635 -- .K49 2003eb</t>
  </si>
  <si>
    <t>373.4/1</t>
  </si>
  <si>
    <t>Education, Secondary -- Great Britain.</t>
  </si>
  <si>
    <t>London Higher : The Establishment of Higher Education in London</t>
  </si>
  <si>
    <t>Athlone Press, The</t>
  </si>
  <si>
    <t>Floud, Roderick;Glynn, Sean</t>
  </si>
  <si>
    <t>LA639.L8 -- L67 1998eb</t>
  </si>
  <si>
    <t>378.421/2</t>
  </si>
  <si>
    <t>Education, Higher -- England -- London -- History. ; Higher education and state -- England -- London -- History. ; London (England) -- History.</t>
  </si>
  <si>
    <t>Able, Gifted and Talented</t>
  </si>
  <si>
    <t>Bates, Janet;Munday, Sarah</t>
  </si>
  <si>
    <t>LC3993 -- .B384 2005eb</t>
  </si>
  <si>
    <t>Gifted children -- Education</t>
  </si>
  <si>
    <t>Internationalizing the University</t>
  </si>
  <si>
    <t>Turner, Yvonne;Robson, Sue</t>
  </si>
  <si>
    <t>LC1090 -- .T87 2008eb</t>
  </si>
  <si>
    <t>International education. ; Education, Higher -- International cooperation. ; Globalization.</t>
  </si>
  <si>
    <t>Assessment : A Practical Guide for Primary Teachers</t>
  </si>
  <si>
    <t>Overall, Lyn;Sangster, Margaret</t>
  </si>
  <si>
    <t>LB3056.G7 -- .S26 2006eb</t>
  </si>
  <si>
    <t>Educational tests and measurements -- Great Britain. ; School children -- Rating of -- Great Britain.</t>
  </si>
  <si>
    <t>The Exam Class Toolkit : How to Create Engaging Lesson That Ensure Progression and Results</t>
  </si>
  <si>
    <t>Ahrenfelt, Johannes;Watkin, Neal</t>
  </si>
  <si>
    <t>LB2806.15 .A374 2010</t>
  </si>
  <si>
    <t>Curriculum planning-Great Britain. ; Educational tests and measurements-Great Britain. ; Education, Secondary-Great Britain.</t>
  </si>
  <si>
    <t>Future Directions : Practical Ways to Develop Emotional Intelligence and Confidence in Young People</t>
  </si>
  <si>
    <t>Carrington, Diane;Whitten, Helen</t>
  </si>
  <si>
    <t>LB1025.3</t>
  </si>
  <si>
    <t>Emotional intelligence. ; Affect (Psychology) -- Study and teaching. ; Affective education. ; Emotions in adolescence. ; Confidence in children.</t>
  </si>
  <si>
    <t>A Developmental Approach to Early Numeracy : Helping to Raise Children's Achievements and Deal with Difficulties in Learning</t>
  </si>
  <si>
    <t>Aubrey, Carol</t>
  </si>
  <si>
    <t>QA141.15 .A937 1999</t>
  </si>
  <si>
    <t>372.7/2/044/0941</t>
  </si>
  <si>
    <t>Numeracy-Study and teaching (Elementary)</t>
  </si>
  <si>
    <t>Education, Policy and Social Justice : Learning and Skills</t>
  </si>
  <si>
    <t>Avis, James</t>
  </si>
  <si>
    <t>Continuum Studies in Lifelong Learning Series</t>
  </si>
  <si>
    <t>LC1039.8.G7 -- A95 2009eb</t>
  </si>
  <si>
    <t>Post-compulsory education -- Great Britain. ; Vocational education -- Great Britain. ; Labor supply -- Effect of education on -- Great Britain. ; Social justice -- Great Britain.</t>
  </si>
  <si>
    <t>With Drama in Mind : Real Learning in Imagined Worlds</t>
  </si>
  <si>
    <t>Baldwin, Patrice</t>
  </si>
  <si>
    <t>PN1701.B36 2012</t>
  </si>
  <si>
    <t>Education, Elementary - Activity programs - Great Britain</t>
  </si>
  <si>
    <t>Supporting Deaf Children and Young People : Strategies for Intervention, Inclusion and Improvement</t>
  </si>
  <si>
    <t>Brinkley, Derek</t>
  </si>
  <si>
    <t>HV2437.B75 2011</t>
  </si>
  <si>
    <t>Deaf--Education. ; Deaf children--Education. ; Deaf youth--Education.</t>
  </si>
  <si>
    <t>Devil's Dictionary of Education</t>
  </si>
  <si>
    <t>Burgess, Tyrrell</t>
  </si>
  <si>
    <t>PN6231.S3 -- B87 2002eb</t>
  </si>
  <si>
    <t>Education -- Humor -- Dictionaries. ; Schools -- Humor -- Dictionaries.</t>
  </si>
  <si>
    <t>Survival Guide for College Managers and Leaders</t>
  </si>
  <si>
    <t>Collins, David</t>
  </si>
  <si>
    <t>LB2341 -- .C7133 2006eb</t>
  </si>
  <si>
    <t>Universities and colleges -- Administration. ; Continuing education -- Management. ; Educational leadership.</t>
  </si>
  <si>
    <t>100+ Ideas for Teaching Citizenship</t>
  </si>
  <si>
    <t>Davies, Ian</t>
  </si>
  <si>
    <t>LC1091.D278 2011</t>
  </si>
  <si>
    <t>370.11/50941</t>
  </si>
  <si>
    <t>Citizenship--Study and teaching.</t>
  </si>
  <si>
    <t>Mathematics at Home : Practical Activities for Parents and Children</t>
  </si>
  <si>
    <t>Davis, John</t>
  </si>
  <si>
    <t>QA135.5 .D385 2001</t>
  </si>
  <si>
    <t>372.7/0440941</t>
  </si>
  <si>
    <t>Mathematics-Study and teaching (Elementary)</t>
  </si>
  <si>
    <t>100 Ideas for Surviving Your First Year in Teaching</t>
  </si>
  <si>
    <t>Fisher, Laura-Jane</t>
  </si>
  <si>
    <t>LB2844.1.N4 .F574 2006</t>
  </si>
  <si>
    <t>First year teachers. ; Teaching.</t>
  </si>
  <si>
    <t>Guide to Financial Management in FE</t>
  </si>
  <si>
    <t>Gravatt, Julian</t>
  </si>
  <si>
    <t>LC5256.G7 -- G67 2007eb</t>
  </si>
  <si>
    <t>Continuing education -- Great Britain -- Finance. ; Universities and colleges -- Great Britain -- Finance.</t>
  </si>
  <si>
    <t>Creating a Learning to Learn School : Research and Practice for Raising Standards, Motivation and Morale</t>
  </si>
  <si>
    <t>Greany, Toby;Rodd, Jill;Miliband, David;Quesnay, Heather Du;Harrison, Martha;Pugh, Shelle;Ingham, Kerry</t>
  </si>
  <si>
    <t>LB1060 -- .G74 2003eb</t>
  </si>
  <si>
    <t>School management and organization. ; Education. ; Educational change. ; Educational innovations. ; Learning, Psychology of. ; Motivation in education. ; Morale.</t>
  </si>
  <si>
    <t>First Aid Kit for Teachers</t>
  </si>
  <si>
    <t>LB1025.3 .G749 2007</t>
  </si>
  <si>
    <t>Changing Teachers, Changing Times : Teachers' Work and Culture in the Postmodern Age</t>
  </si>
  <si>
    <t>Hargreaves, Andy</t>
  </si>
  <si>
    <t>LB1775$b.H284 1994</t>
  </si>
  <si>
    <t>Teaching Adults</t>
  </si>
  <si>
    <t>Hayes, Amanda</t>
  </si>
  <si>
    <t>LC5256.G7 -- H39 2006eb</t>
  </si>
  <si>
    <t>Adult learning. ; Adult education. ; Continuing education. ; Effective teaching.</t>
  </si>
  <si>
    <t>Homework</t>
  </si>
  <si>
    <t>Kidwell, Victoria</t>
  </si>
  <si>
    <t>LB1048 -- .K53 2004eb</t>
  </si>
  <si>
    <t>Homework -- Handbooks, manuals, etc.</t>
  </si>
  <si>
    <t>100 Ideas for Teaching Geography</t>
  </si>
  <si>
    <t>Leeder, Andy</t>
  </si>
  <si>
    <t>G76.5.G7 -- L44 2006eb</t>
  </si>
  <si>
    <t>Geography -- Study and teaching -- Great Britain.</t>
  </si>
  <si>
    <t>Using Focus Groups in Research</t>
  </si>
  <si>
    <t>Litosseliti, Lia</t>
  </si>
  <si>
    <t>H61.28 -- .L58 2003eb</t>
  </si>
  <si>
    <t>Focus groups.</t>
  </si>
  <si>
    <t>General Works/Reference; Social Science</t>
  </si>
  <si>
    <t>Staff-Student Partnerships in Higher Education</t>
  </si>
  <si>
    <t>Little, Sabine;Little, Sabine</t>
  </si>
  <si>
    <t>LB2331.S6925 2011eb</t>
  </si>
  <si>
    <t>378.1/76</t>
  </si>
  <si>
    <t>College teaching -- Great Britain. ; Teacher-student relationships -- Great Britain. ; Group work in education -- Great Britain.</t>
  </si>
  <si>
    <t>Creating an Accelerated Learning School</t>
  </si>
  <si>
    <t>Lovatt, Mark;Lovatt, Mark;Barking Dog Art</t>
  </si>
  <si>
    <t>Northumberland</t>
  </si>
  <si>
    <t>Discover Your Hidden Talents</t>
  </si>
  <si>
    <t>Lucas, Bill</t>
  </si>
  <si>
    <t>Learning, Psychology of.</t>
  </si>
  <si>
    <t>Getting the Buggers to Turn Up</t>
  </si>
  <si>
    <t>McCormack, Ian</t>
  </si>
  <si>
    <t>LB3081 -- .M36 2005eb</t>
  </si>
  <si>
    <t>School attendance -- Great Britain.</t>
  </si>
  <si>
    <t>Teaching Happiness and Well-Being in Schools : Learning to Ride Elephants</t>
  </si>
  <si>
    <t>Morris, Ian</t>
  </si>
  <si>
    <t>LC268 -- .M75 2009eb</t>
  </si>
  <si>
    <t>Moral education (Secondary) ; Well-being -- Study and teaching (Secondary)</t>
  </si>
  <si>
    <t>Thinking for Learning</t>
  </si>
  <si>
    <t>Percival, Simon;Rockett, Mel;Baiton, Janice;Smith, Alistair;Bounford, Trevor</t>
  </si>
  <si>
    <t>LB1590.3 .R635 2002</t>
  </si>
  <si>
    <t>Thought and thinking-Study and teaching.</t>
  </si>
  <si>
    <t>101 Essential Lists on Assessment</t>
  </si>
  <si>
    <t>LB3051 .R396 2006</t>
  </si>
  <si>
    <t>Inclusion in Schools : Making a Difference</t>
  </si>
  <si>
    <t>Sage, Rosemary</t>
  </si>
  <si>
    <t>LC1200 -- .S24 2007eb</t>
  </si>
  <si>
    <t>101 Essential Lists for Primary Teachers</t>
  </si>
  <si>
    <t>LB1555 .S434 2006</t>
  </si>
  <si>
    <t>Leading Learning</t>
  </si>
  <si>
    <t>Smith, Alistair;Thompson, Carol;Pullinger, Debbie</t>
  </si>
  <si>
    <t>Motivation in education -- Posters. ; Education -- Posters. ; Attitude (Psychology) -- Posters. ; Teaching -- Aids and devices.</t>
  </si>
  <si>
    <t>The Brain's Behind It</t>
  </si>
  <si>
    <t>Smith, Alistair</t>
  </si>
  <si>
    <t>QP408 .S62 2004</t>
  </si>
  <si>
    <t>Brain -- Popular works.</t>
  </si>
  <si>
    <t>Science: Biology/Natural History; Science; Psychology</t>
  </si>
  <si>
    <t>Putting Assessment for Learning into Practice</t>
  </si>
  <si>
    <t>LB3056.G7</t>
  </si>
  <si>
    <t>Educational tests and measurements -- Great Britain. ; Effective teaching -- Great Britain. ; Learning -- Great Britain.</t>
  </si>
  <si>
    <t>101 Essential Lists for the Early Years</t>
  </si>
  <si>
    <t>Tassoni, Penny</t>
  </si>
  <si>
    <t>LB1139.23 .T377 2006</t>
  </si>
  <si>
    <t>Child care. ; Early childhood education.</t>
  </si>
  <si>
    <t>Effective Resources for Able and Talented Children</t>
  </si>
  <si>
    <t>Teare, Barry</t>
  </si>
  <si>
    <t>LC3993</t>
  </si>
  <si>
    <t>Gifted children -- Education. ; Gifted children -- Education -- Curricula. ; Teaching -- Aids and devices.</t>
  </si>
  <si>
    <t>Help Your Talented Child : An Essential Guide for Parents</t>
  </si>
  <si>
    <t>LC3993 .T437 2007</t>
  </si>
  <si>
    <t>Gifted children-Education.</t>
  </si>
  <si>
    <t>Justice and Equality in Education : A Capability Perspective on Disability and Special Educational Needs</t>
  </si>
  <si>
    <t>Terzi, Lorella</t>
  </si>
  <si>
    <t>LC3965 -- .T47 2010eb</t>
  </si>
  <si>
    <t>Special education. ; Inclusive education. ; Educational equalization.</t>
  </si>
  <si>
    <t>Dimensions of Expertise : A Conceptual Exploration of Vocational Knowledge</t>
  </si>
  <si>
    <t>LC1042.5.W563 2010eb</t>
  </si>
  <si>
    <t>Expertise - Philosophy</t>
  </si>
  <si>
    <t>A Toolkit for the Effective Teaching Assistant</t>
  </si>
  <si>
    <t>Parker, Maureen;Lee, Chris;Gunn, Stuart;Heardman, Kitty;Hincks Knight, Rachael;Pittman, Mary;Townsend, Mark</t>
  </si>
  <si>
    <t>LB2844.1.A8 -- T65 2009eb</t>
  </si>
  <si>
    <t>Liversidge, Tony;Cochrane, Matt;Kerfoot, Bernard;Thomas, Judith</t>
  </si>
  <si>
    <t>Developing As a Reflective Secondary Teacher Series</t>
  </si>
  <si>
    <t>Q181 -- .T3533 2009eb</t>
  </si>
  <si>
    <t>Science -- Study and teaching (Secondary) ; Science -- Study and teaching.</t>
  </si>
  <si>
    <t>Secondary Science 11 To 16 : A Practical Guide</t>
  </si>
  <si>
    <t>Ireson, Gren;Crowley, Mark;Richards, Ruth L.;Twidle, John</t>
  </si>
  <si>
    <t>LB1607 -- .S43 2010eb</t>
  </si>
  <si>
    <t>Science - Study and teaching (Secondary) - Activity programs - Great Britain</t>
  </si>
  <si>
    <t>Contemporary Issues in Learning and Teaching</t>
  </si>
  <si>
    <t>McMahon, Margery;Forde, Christine;Martin, Margaret</t>
  </si>
  <si>
    <t>LB1025.3 -- .C66 2011eb</t>
  </si>
  <si>
    <t>Teaching - Great Britain</t>
  </si>
  <si>
    <t>Studying Childhood and Early Childhood : A Guide for Students</t>
  </si>
  <si>
    <t>Sambell, Kay;Gibson, Mel;Miller, Sue</t>
  </si>
  <si>
    <t>HQ767.85 -- .S25 2010eb</t>
  </si>
  <si>
    <t>Child development. ; Early childhood education.</t>
  </si>
  <si>
    <t>Dyslexia-Friendly Further and Higher Education</t>
  </si>
  <si>
    <t>Pavey, Barbara;Meehan, Margaret;Waugh, Alan</t>
  </si>
  <si>
    <t>LC4818.53.G7 -- P35 2010eb</t>
  </si>
  <si>
    <t>Learning disabled -- Education (Higher) -- Great Britain. ; Dyslexics -- Education (Higher) -- Great Britain. ; Dyslexia.</t>
  </si>
  <si>
    <t>Development and Learning for Very Young Children</t>
  </si>
  <si>
    <t>Fabian, Hilary;Mould, Claire</t>
  </si>
  <si>
    <t>HQ772 -- .D485 2009eb</t>
  </si>
  <si>
    <t>Toddlers -- Development</t>
  </si>
  <si>
    <t>Emotional Literacy in the Early Years</t>
  </si>
  <si>
    <t>Bruce, Christine</t>
  </si>
  <si>
    <t>BF723.E6 -- B78 2010eb</t>
  </si>
  <si>
    <t>Emotions - Study and teaching (Elementary)</t>
  </si>
  <si>
    <t>Using SPSS Syntax : A Beginners Guide</t>
  </si>
  <si>
    <t>Collier, Jacqueline</t>
  </si>
  <si>
    <t>HA32 -- .C62 2010eb</t>
  </si>
  <si>
    <t>SPSS</t>
  </si>
  <si>
    <t>The Succession Challenge : Building and Sustaining Leadership Capacity Through Succession Management</t>
  </si>
  <si>
    <t>LB2806 -- .F516 2010eb</t>
  </si>
  <si>
    <t>Executive succession</t>
  </si>
  <si>
    <t>The Complete Guide to Behaviour for Teaching Assistants and Support Staff</t>
  </si>
  <si>
    <t>LB1060.2 -- .L4393 2011eb</t>
  </si>
  <si>
    <t>Problem children - Behavior modification</t>
  </si>
  <si>
    <t>Motivating Every Learner</t>
  </si>
  <si>
    <t>McLean, Alan</t>
  </si>
  <si>
    <t>LB1065 -- .M357 2009eb</t>
  </si>
  <si>
    <t>Making Supervision Work for You : A Students Guide</t>
  </si>
  <si>
    <t>LB2371 -- .W387 2010eb</t>
  </si>
  <si>
    <t>Graduate students -- Supervision of. ; Faculty advisors. ; Dissertations, Academic.</t>
  </si>
  <si>
    <t>Universities and the Public Sphere : Knowledge Creation and State Building in the Era of Globalization</t>
  </si>
  <si>
    <t>Pusser, Brian;Kempner, Ken;Marginson, Simon;Ordorika, Imanol</t>
  </si>
  <si>
    <t>LC67.6 -- .U57 2012eb</t>
  </si>
  <si>
    <t>Privatization in education</t>
  </si>
  <si>
    <t>Education; Business/Management; Economics</t>
  </si>
  <si>
    <t>Reading Researchers in Search of Common Ground : The Expert Study Revisited</t>
  </si>
  <si>
    <t>Flippo, Rona F.</t>
  </si>
  <si>
    <t>LB1573 -- .R2799 2012eb</t>
  </si>
  <si>
    <t>Reading (Elementary) ; Children -- Books and reading.</t>
  </si>
  <si>
    <t>Changing Schools : Alternative Ways to Make a World of Difference</t>
  </si>
  <si>
    <t>Wrigley, Terry.;Thomson, Pat;Lingard, Robert</t>
  </si>
  <si>
    <t>LB2822.8 -- .C525 2012eb</t>
  </si>
  <si>
    <t>EDUCATION / Research</t>
  </si>
  <si>
    <t>Becoming a Reflective English Teacher</t>
  </si>
  <si>
    <t>Green, Andrew</t>
  </si>
  <si>
    <t>PE66 .B43 2011</t>
  </si>
  <si>
    <t>English philology-Study and teaching. ; English teachers-Training of.</t>
  </si>
  <si>
    <t>Teaching History 11 - 18</t>
  </si>
  <si>
    <t>Husbands, Chris;Kitson, Alison;Steward, Susan</t>
  </si>
  <si>
    <t>D16.2 -- .K58 2011eb</t>
  </si>
  <si>
    <t>Institution of Intellectual Values : Realism and Idealism in Higher Education</t>
  </si>
  <si>
    <t>Andrews UK</t>
  </si>
  <si>
    <t>Andrews UK Ltd.</t>
  </si>
  <si>
    <t>Luton</t>
  </si>
  <si>
    <t>Imprint Academic</t>
  </si>
  <si>
    <t>Graham, Gordon</t>
  </si>
  <si>
    <t>St Andrews Studies in Philosophy and Public Affairs, 5</t>
  </si>
  <si>
    <t>LB2322.2 -- .G73 2005eb</t>
  </si>
  <si>
    <t>Education, Higher -- Aims and objectives. ; Education, Higher -- Philosophy. ; Education, Humanistic.</t>
  </si>
  <si>
    <t>Liberalism, Education and Schooling : Essays by T.H. McLaughlin</t>
  </si>
  <si>
    <t>McLaughlin, T.H.;Carr, David;Halstead, Mark;Pring, Richard</t>
  </si>
  <si>
    <t>St Andrews Studies in Philosophy and Public Affairs, 9</t>
  </si>
  <si>
    <t>LB14.7 -- .M394 2008eb</t>
  </si>
  <si>
    <t>Education -- Philosophy. ; Education, Humanistic -- Philosophy. ; Liberalism.</t>
  </si>
  <si>
    <t>Understanding Teaching and Learning : Classic Texts on Education by Augustine, Aquinas, Newman and Mill</t>
  </si>
  <si>
    <t>Mooney, T. Brian;Nowacki, Mark</t>
  </si>
  <si>
    <t>St Andrews Studies in Philosophy and Public Affairs, 16</t>
  </si>
  <si>
    <t>LB14.7 -- .U53 2011eb</t>
  </si>
  <si>
    <t>Investigating Our Experience in the World : A Primer on Qualitative Inquiry</t>
  </si>
  <si>
    <t>Morgan, April</t>
  </si>
  <si>
    <t>H62</t>
  </si>
  <si>
    <t>Qualitative research.</t>
  </si>
  <si>
    <t>Children's Literacy Development</t>
  </si>
  <si>
    <t>McBride-Chang, Catherine</t>
  </si>
  <si>
    <t>International Texts in Developmental Psychology</t>
  </si>
  <si>
    <t>LC149</t>
  </si>
  <si>
    <t>Language arts</t>
  </si>
  <si>
    <t>Maurice Bowra : A Life</t>
  </si>
  <si>
    <t>Mitchell, Leslie</t>
  </si>
  <si>
    <t>LF724.B6 -- M58 2009eb</t>
  </si>
  <si>
    <t>Bowra, C. M. -- (Cecil Maurice), -- 1898-1971. ; Wadham College -- History. ; College teachers -- Great Britain -- Biography. ; Classicists -- Great Britain -- Biography. ; Great Britain -- Intellectual life -- 20th century.</t>
  </si>
  <si>
    <t>Lifelong Learning : Interpretations of an Education Policy in Europe</t>
  </si>
  <si>
    <t>VS Verlag fur Sozialwissenschaften GmbH</t>
  </si>
  <si>
    <t>Wiesbaden</t>
  </si>
  <si>
    <t>Óhidy, Andrea</t>
  </si>
  <si>
    <t>L1-991</t>
  </si>
  <si>
    <t>Bilingualism in the USA : The case of the Chicano-Latino community</t>
  </si>
  <si>
    <t>Amsterda</t>
  </si>
  <si>
    <t>Field, Fredric</t>
  </si>
  <si>
    <t>LC3731 -- .B575 2011eb</t>
  </si>
  <si>
    <t>Education, Bilingual -- United States. ; Bilingualism -- United States. ; Hispanic Americans -- Education. ; Mexican Americans -- Education. ; Language acquisition.</t>
  </si>
  <si>
    <t>Paradise Redefined : Transnational Chinese Students and the Quest for Flexible Citizenship in the Developed World</t>
  </si>
  <si>
    <t>Fong, Vanessa</t>
  </si>
  <si>
    <t>Chinese students -- Foreign countries. ; Foreign study -- China. ; Transnationalism. ; China -- Emigration and immigration.</t>
  </si>
  <si>
    <t>Every Closed Eye Ain't Sleep : African American Perspectives on the Achievement Gap</t>
  </si>
  <si>
    <t>Hill, Teresa</t>
  </si>
  <si>
    <t>LC2717.H55 2011</t>
  </si>
  <si>
    <t>African Americans--Education. ; Academic achievement--United States. ; African American students--Social conditions.</t>
  </si>
  <si>
    <t>Racialized Identities : Race and Achievement among African American Youth</t>
  </si>
  <si>
    <t>Nasir, Na'ilah Suad</t>
  </si>
  <si>
    <t>LC2717</t>
  </si>
  <si>
    <t>African American youth -- Education. ; African Americans -- Race identity. ; African American students -- Social conditions. ; Academic achievement -- United States.</t>
  </si>
  <si>
    <t>Literacy Leadership to Support Reading Improvement : Intervention Programs and Balanced Instruction</t>
  </si>
  <si>
    <t>Moskal, Mary Kay;Keneman, Ayn F.</t>
  </si>
  <si>
    <t>LB1050.5 -- .M685 2011eb</t>
  </si>
  <si>
    <t>Welcome to Nanoscience : Interdisciplinary Environmental Explorations, Grades 9-12</t>
  </si>
  <si>
    <t>Madden, Andrew;Hochella, Michael;Glasson, George;Grady, Julie R.;Bank, Tracy L.</t>
  </si>
  <si>
    <t>Q181 -- .M33 2011eb</t>
  </si>
  <si>
    <t>Nanoscience -- Study and teaching (Secondary) ; Nanotechnology -- Environmental aspects -- Study and teaching (Secondary)</t>
  </si>
  <si>
    <t>Hard-To-Teach Science Concepts : A Framework to Support 3Rd-5Th Grade Learners</t>
  </si>
  <si>
    <t>Koba, Susan B.</t>
  </si>
  <si>
    <t>LB1585 -- .K63 2011eb</t>
  </si>
  <si>
    <t>Science -- Study and teaching (Primary)</t>
  </si>
  <si>
    <t>Schoolyard Science : 101 Easy and Inexpensive Activities</t>
  </si>
  <si>
    <t>Lord, Thomas;Travis, Holly</t>
  </si>
  <si>
    <t>LB1585 -- .L58 2011eb</t>
  </si>
  <si>
    <t>372.35/044</t>
  </si>
  <si>
    <t>Science -- Study and teaching -- Activity programs.</t>
  </si>
  <si>
    <t>Yet More Everyday Science Mysteries : Stories for Inquiry-Based Science Teaching</t>
  </si>
  <si>
    <t>Konicek-Moran, Richard</t>
  </si>
  <si>
    <t>Q175 -- .K6635 2011eb</t>
  </si>
  <si>
    <t>Science -- Methodology. ; Problem solving. ; Science -- Study and teaching. ; Science -- Miscellanea. ; Inquiry-based learning. ; Detective and mystery stories.</t>
  </si>
  <si>
    <t>A Match on Dry Grass : Community Organizing As a Catalyst for School Reform</t>
  </si>
  <si>
    <t>Warren, Mark R.;Mapp, Karen L.;The Community Organizing and School Reform Project</t>
  </si>
  <si>
    <t>LB2822.82 -- .W364 2011eb</t>
  </si>
  <si>
    <t>Electronic apparatus and appliances -- Design and construction -- Amateurs' manuals.</t>
  </si>
  <si>
    <t>Treasured Past, Golden Future : The Centennial History of the University of Southern Mississippi</t>
  </si>
  <si>
    <t>University Press of Mississippi/University of Southern Mississippi</t>
  </si>
  <si>
    <t>Morgan, Chester M.;Saunders, Martha Dunagin</t>
  </si>
  <si>
    <t>LD3425 -- .M673 2010eb</t>
  </si>
  <si>
    <t>378.762/18</t>
  </si>
  <si>
    <t>University of Southern Mississippi -- History.</t>
  </si>
  <si>
    <t>Simply Better : Doing What Matters Most to Change the Odds for Student Success</t>
  </si>
  <si>
    <t>Goodwin, Bryan</t>
  </si>
  <si>
    <t>LB2822.82 -- .G69 2011eb</t>
  </si>
  <si>
    <t>School improvement programs -- United States. ; School management teams -- United States. ; Educational leadership -- United States. ; Study skills -- Handbooks, manuals, etc. ; Success -- Handbooks, manuals, etc.</t>
  </si>
  <si>
    <t>The Geography Teacher's Handbook</t>
  </si>
  <si>
    <t>Best, Brin</t>
  </si>
  <si>
    <t>G73.B515 2011</t>
  </si>
  <si>
    <t>910.71/2</t>
  </si>
  <si>
    <t>Geography--Study and teaching (Secondary).</t>
  </si>
  <si>
    <t>Postcolonial Representations of Women : Critical Issues for Education</t>
  </si>
  <si>
    <t>Bailey Jones, Rachel</t>
  </si>
  <si>
    <t>Women--Social conditions. ; Feminist theory. ; Women in popular culture. ; Postcolonialism. ; Critical pedagogy.</t>
  </si>
  <si>
    <t>The Nature of Science : Integrating Historical, Philosophical, and Sociological Perspectives</t>
  </si>
  <si>
    <t>Espinoza, Fernando</t>
  </si>
  <si>
    <t>Q181.E695 2011</t>
  </si>
  <si>
    <t>Science--Study and teaching--Philosophy. ; Science--Social aspects. ; EDUCATION / Professional Development.</t>
  </si>
  <si>
    <t>High-Stakes Reform : The Politics of Educational Accountability</t>
  </si>
  <si>
    <t>McDermott, Kathryn A.</t>
  </si>
  <si>
    <t>Public Management and Change Series</t>
  </si>
  <si>
    <t>LB2806.22 -- .M38 2011eb</t>
  </si>
  <si>
    <t>Youth Employment and Skills Development in The Gambia</t>
  </si>
  <si>
    <t>Lahire, Nathalie;Johanson, Richard;Wilcox, Ryoko Tomita</t>
  </si>
  <si>
    <t>LC1047.G3 -- L32 2011eb</t>
  </si>
  <si>
    <t>Vocational education -- Gambia. ; Technical education -- Gambia. ; Youth -- Employment -- Gambia. ; Youth -- Gambia -- Social conditions. ; Gambia -- Economic conditions -- 1965-</t>
  </si>
  <si>
    <t>FE Lecturer's Guide to Diversity and Inclusion</t>
  </si>
  <si>
    <t>Wright, Anne-Marie;Colquhoun, Susan;Partridge, Tracey;Speare, Jane;Partridge, Tracey</t>
  </si>
  <si>
    <t>LC5256.G7 -- F39 2006eb</t>
  </si>
  <si>
    <t>Continuing education -- Great Britain. ; Discrimination in education -- Great Britain. ; Inclusive education -- Great Britain.</t>
  </si>
  <si>
    <t>Winning the H Factor : The Secrets of Happy Schools</t>
  </si>
  <si>
    <t>Smith, Alistair;Reid, Joanna;Jones, Sir John</t>
  </si>
  <si>
    <t>LA632 -- .S5595 2010eb</t>
  </si>
  <si>
    <t>371.001/9</t>
  </si>
  <si>
    <t>Schools -- Great Britain. ; Happiness -- Great Britain. ; Students -- Great Britain -- Psychology. ; Teachers -- Great Britain -- Psychology.</t>
  </si>
  <si>
    <t>Teaching Mathematics Using ICT</t>
  </si>
  <si>
    <t>Oldknow, Adrian;Taylor, Ron;Tetlow, Linda</t>
  </si>
  <si>
    <t>QA20.C65 -- O42 2010eb</t>
  </si>
  <si>
    <t>510.78/5</t>
  </si>
  <si>
    <t>Mathematics -- Great Britain -- Computer-assisted instruction. ; Mathematics -- Study and teaching (Secondary) -- Great Britain. ; Computer-assisted instruction -- Great Britain.</t>
  </si>
  <si>
    <t>School Discourse : Learning to Write Across the Years of Schooling</t>
  </si>
  <si>
    <t>Christie, Frances;Derewianka, Beverly;Hyland, Dr Ken</t>
  </si>
  <si>
    <t>Continuum Discourse Series</t>
  </si>
  <si>
    <t>LB1139.W7 -- C47 2008eb</t>
  </si>
  <si>
    <t>Children -- Language. ; English language -- Written English -- Study and teaching. ; Language and education.</t>
  </si>
  <si>
    <t>Effective Teacher</t>
  </si>
  <si>
    <t>LB1025.3$b.C85 1995</t>
  </si>
  <si>
    <t>Resources for Teaching Mathematics: 14-16</t>
  </si>
  <si>
    <t>Foster, Colin</t>
  </si>
  <si>
    <t>QA11 -- .F69 2010eb</t>
  </si>
  <si>
    <t>Mathematics -- Study and teaching (Secondary) ; Curriculum planning. ; Lesson planning.</t>
  </si>
  <si>
    <t>Resources for Teaching English: 14-16</t>
  </si>
  <si>
    <t>Hill, David A.</t>
  </si>
  <si>
    <t>LB1631 -- .H497 2010eb</t>
  </si>
  <si>
    <t>English language -- Study and teaching (Secondary) ; Language arts (Secondary)</t>
  </si>
  <si>
    <t>Dr Dr I Feel Like... Doing a PhD</t>
  </si>
  <si>
    <t>Russell, Lucy</t>
  </si>
  <si>
    <t>LB2386 -- .R87 2008eb</t>
  </si>
  <si>
    <t>Doctor of philosophy degree. ; Universities and colleges -- Graduate work.</t>
  </si>
  <si>
    <t>The History Teacher's Handbook</t>
  </si>
  <si>
    <t>Smith, Neil</t>
  </si>
  <si>
    <t>LB1582.G7 -- S65 2010eb</t>
  </si>
  <si>
    <t>History teachers -- Training of -- Great Britain -- Handbooks, manuals, etc. ; History -- Study and teaching -- Great Britain -- Handbooks, manuals, etc.</t>
  </si>
  <si>
    <t>Resources for Teaching Creative Writing</t>
  </si>
  <si>
    <t>LB1631 -- .Y68 2009eb</t>
  </si>
  <si>
    <t>Creative writing (Secondary education) ; English language -- Study and teaching (Secondary)</t>
  </si>
  <si>
    <t>Understanding Pathological Demand Avoidance Syndrome in Children : A Guide for Parents, Teachers and Other Professionals</t>
  </si>
  <si>
    <t>Duncan, Margaret;Healy, Zara;Fidler, Ruth;Christie, Phil</t>
  </si>
  <si>
    <t>RJ506.B44 -- U56 2012eb</t>
  </si>
  <si>
    <t>618.92/89</t>
  </si>
  <si>
    <t>Social Work Education and Training</t>
  </si>
  <si>
    <t>Ruch, Gillian;Volz, Fritz-Reudiger;Orme, Joan;Hill, Andrew;Ward, David;Skinner, Kate;Knight, Charlotte;Lishman, Joyce;Barr, Hugh;Shaw, Ian</t>
  </si>
  <si>
    <t>Research Highlights in Social Work Series</t>
  </si>
  <si>
    <t>HV11 -- .S58823 2012eb</t>
  </si>
  <si>
    <t>361.3071/141</t>
  </si>
  <si>
    <t>Foreign Eyes : International Students Reflect on Utrecht</t>
  </si>
  <si>
    <t>Besamusca, Emmeline</t>
  </si>
  <si>
    <t>LB2376.6 -- .F67 2011eb</t>
  </si>
  <si>
    <t>306;306.09492</t>
  </si>
  <si>
    <t>Physiology, Pathological. ; Pathology.</t>
  </si>
  <si>
    <t>E-Discovery : Op zoek naar de digitale waarheid</t>
  </si>
  <si>
    <t>Henseler, Ir J.</t>
  </si>
  <si>
    <t>KF8902.E42 -- H46 2010eb</t>
  </si>
  <si>
    <t>004;384.34068;900</t>
  </si>
  <si>
    <t>English language -- Composition and exercises. ; Educational tests and measurements.</t>
  </si>
  <si>
    <t>Computer Science/IT; Law; Geography/Travel; Business/Management</t>
  </si>
  <si>
    <t>Education in Early 2nd Millennium BC Babylonia : The Sumerian Epistolary Miscellany</t>
  </si>
  <si>
    <t>Kleinerman, Alexandra</t>
  </si>
  <si>
    <t>Cuneiform Monographs</t>
  </si>
  <si>
    <t>LA41 -- .K57 2011eb</t>
  </si>
  <si>
    <t>Learning Disability</t>
  </si>
  <si>
    <t>Grant, Gordon;Ramcharan, Paul;Flynn, Margaret;Richardson, Malcolm</t>
  </si>
  <si>
    <t>LC4818.53.G7 -- L43 2010eb</t>
  </si>
  <si>
    <t>Learning disabled-Services for-Great Britain. ; Learning disabled-Great Britain-Social conditions.</t>
  </si>
  <si>
    <t>Developing Teacher Assessment</t>
  </si>
  <si>
    <t>Gardner, John;Harlen, Wynne;Hayward, Louise;Stobart, Gordon;Montgomery, Martin</t>
  </si>
  <si>
    <t>LB3056.G7 -- G373 2010eb</t>
  </si>
  <si>
    <t>Educational tests and measurements. ; Educational accountability-Great Britain. ; Teacher effectiveness-Great Britain.</t>
  </si>
  <si>
    <t>Engaging Play</t>
  </si>
  <si>
    <t>Brooker, Liz;Edwards, Suzy</t>
  </si>
  <si>
    <t>LB1139.23 .E54 2010</t>
  </si>
  <si>
    <t>Early childhood education. ; Play.</t>
  </si>
  <si>
    <t>Rogers, Alan;Horrocks, Naomi</t>
  </si>
  <si>
    <t>LC5215 .R64 2010</t>
  </si>
  <si>
    <t>Adult education. ; Learning.</t>
  </si>
  <si>
    <t>New Literacies: Everyday Practices and Social Learning</t>
  </si>
  <si>
    <t>Lankshear, Colin.;Knobel, Michele</t>
  </si>
  <si>
    <t>Computers and literacy. ; Literacy-Social aspects. ; Internet in education. ; Internet literacy.</t>
  </si>
  <si>
    <t>Issues in Teaching Numeracy in Primary Schools</t>
  </si>
  <si>
    <t>QA135.6 -- .I87 2010eb</t>
  </si>
  <si>
    <t>Confucius, the Analects and Western Education</t>
  </si>
  <si>
    <t>LA1133.F53 2011</t>
  </si>
  <si>
    <t>Confucius. ; Education--China. ; Philosophy, Chinese--Quotations, maxims, etc. ; Education--Philosophy--History. ; Educators--Biography. ; Education--History.</t>
  </si>
  <si>
    <t>Mob Rule Learning : Camps, Unconferences, and Trashing the Talking Head</t>
  </si>
  <si>
    <t>CyberAge Books</t>
  </si>
  <si>
    <t>Boule, Michelle</t>
  </si>
  <si>
    <t>LC45.3 -- .B68 2011eb</t>
  </si>
  <si>
    <t>Pediatric gastroenterology. ; Children -- Diseases.</t>
  </si>
  <si>
    <t>Toward Wholeness : Rudolf Steiner Education in America</t>
  </si>
  <si>
    <t>Wesleyan University Press</t>
  </si>
  <si>
    <t>Middletown, CT. 06459</t>
  </si>
  <si>
    <t>Richards, Mary Caroline</t>
  </si>
  <si>
    <t>LB775.S72 -- R43 1980eb</t>
  </si>
  <si>
    <t>Steiner, Rudolf,-1861-1925. ; Education-Philosophy. ; Education-United States. ; Anthropology.</t>
  </si>
  <si>
    <t>The Crossing Point : Selected Talks and Writings</t>
  </si>
  <si>
    <t>LB885 -- .R5313 1973eb</t>
  </si>
  <si>
    <t>China's Education Development and Policy, 1978-2008</t>
  </si>
  <si>
    <t>Zhang, Xiulan</t>
  </si>
  <si>
    <t>Social Scientific Studies in Reform Era China Series</t>
  </si>
  <si>
    <t>LC94.C5 C4718 2011</t>
  </si>
  <si>
    <t>Education and state-China-History-20th century. ; Education and state-China-History-21st century. ; Education-China-History-1976-</t>
  </si>
  <si>
    <t>What Is Education?</t>
  </si>
  <si>
    <t>Jackson, Philip W.</t>
  </si>
  <si>
    <t>Managing Early Years Settings : Supporting and Leading Teams</t>
  </si>
  <si>
    <t>Robins, Alison;Callan, Sue</t>
  </si>
  <si>
    <t>LB1139.3.G7 -- M28 2009eb</t>
  </si>
  <si>
    <t>Education, Preschool - Administration</t>
  </si>
  <si>
    <t>Constructing History 11-19</t>
  </si>
  <si>
    <t>Cooper, Hilary.;Chapman, Arthur</t>
  </si>
  <si>
    <t>D16.4.G7 -- C66 2009eb</t>
  </si>
  <si>
    <t>History - Study and teaching (Secondary) - England - Case studies</t>
  </si>
  <si>
    <t>Building Better Behaviour in the Early Years</t>
  </si>
  <si>
    <t>HQ755.8 -- .D85 2009eb</t>
  </si>
  <si>
    <t>Parenting. ; Child rearing. ; Children -- Conduct of life.</t>
  </si>
  <si>
    <t>Extending Thought in Young Children : A Parent - Teacher Partnership</t>
  </si>
  <si>
    <t>Athey, Chris</t>
  </si>
  <si>
    <t>BF723.C5 -- A817 2007eb</t>
  </si>
  <si>
    <t>The Manual for the Early Years SENCO</t>
  </si>
  <si>
    <t>Drifte, Collette</t>
  </si>
  <si>
    <t>LC3986.G7 -- D75 2010eb</t>
  </si>
  <si>
    <t>Handbooks and manuals</t>
  </si>
  <si>
    <t>Creating the Opportunity to Learn : Moving from Research to Practice to Close the Achievement Gap</t>
  </si>
  <si>
    <t>Boykin, A. Wade;Noguera, Pedro</t>
  </si>
  <si>
    <t>LC2717 .B59 2011</t>
  </si>
  <si>
    <t>African American students. ; Hispanic American students. ; Educational equalization-United States.</t>
  </si>
  <si>
    <t>Inspiration, Perspiration, and Time : Operations and Achievement in Edison Schools</t>
  </si>
  <si>
    <t>Gill, Brian;Hamilton, Laura S.;Lockwood, J. R.;Marsh, Julie A.;Zimmer, Ron W.;Hill, Deanna;Pribesh, Shana</t>
  </si>
  <si>
    <t>LB2806.36 -- .I575 2005eb</t>
  </si>
  <si>
    <t>Edison Schools Inc. ; Privatization in education -- United States -- Evaluation. ; School management and organization -- United States -- Evaluation.</t>
  </si>
  <si>
    <t>Examining Gaps in Mathematics Achievement Among Racial-Ethnic Groups, 1972-1992</t>
  </si>
  <si>
    <t>Berends, Mark;Lucas, Samuel R.;Sullivan, Thomas;Briggs, R. J.</t>
  </si>
  <si>
    <t>QA13 -- .E956 2005eb</t>
  </si>
  <si>
    <t>Mathematics -- Study and teaching -- United States -- Evaluation. ; Mathematics -- Study and teaching -- United States -- History -- 20th century. ; Mathematical ability -- Testing. ; Minorities -- Education -- United States -- Evaluation.</t>
  </si>
  <si>
    <t>Economics of Investing in Universal Preschool Education in California</t>
  </si>
  <si>
    <t>Karoly, Lynn A.;Bigelow, James H.</t>
  </si>
  <si>
    <t>LB1140.23 -- .K36 2005eb</t>
  </si>
  <si>
    <t>379.1/12</t>
  </si>
  <si>
    <t>Education, Preschool -- Economic aspects -- California. ; Early childhood education -- California -- Cost effectiveness.</t>
  </si>
  <si>
    <t>Police in the Hallways : Discipline in an Urban High School</t>
  </si>
  <si>
    <t>Nolan, Kathleen;Willis, Paul</t>
  </si>
  <si>
    <t>LB3012.2 -- .N65 2011eb</t>
  </si>
  <si>
    <t>Osteopathic medicine -- Examinations -- Study guides. ; First aid in illness and injury -- Examinations -- Study guides.</t>
  </si>
  <si>
    <t>Quick Hits for Teaching with Technology : Successful Strategies by Award-Winning Teachers</t>
  </si>
  <si>
    <t>Morgan, Robin K.;Olivares, Kimberly T.;Dixson, Marcia D.;Gavrin, Andrew D.;Morrone, Michael C.;Lafuze, Joan E.;Morrone, Anastasia S.;McRobbie, Michael A.</t>
  </si>
  <si>
    <t>LB2331 -- .Q53 2012eb</t>
  </si>
  <si>
    <t>Indiana University -- Faculty</t>
  </si>
  <si>
    <t>After Brown : The Rise and Retreat of School Desegregation</t>
  </si>
  <si>
    <t>LC214.2 -- .C56 2004eb</t>
  </si>
  <si>
    <t>Road to Academic Excellence : The Making of World-Class Research Universities</t>
  </si>
  <si>
    <t>Altbach, Philip G.;Salmi, Jamil;Altbach, Philip G.</t>
  </si>
  <si>
    <t>LC67.6 -- .R63 2011eb</t>
  </si>
  <si>
    <t>378.3/8</t>
  </si>
  <si>
    <t>Education, Higher -- Economic aspects. ; Economic development -- Effect of education on. ; Universities and colleges -- Research. ; Higher education and state. ; Education and globalization.</t>
  </si>
  <si>
    <t>Foreign Exchange : Counterculture Behind the Walls of St. Hilda's School for Girls, 1929-1937</t>
  </si>
  <si>
    <t>Lehigh University Press</t>
  </si>
  <si>
    <t>Liu, Judith</t>
  </si>
  <si>
    <t>PN56.E7P35 2010</t>
  </si>
  <si>
    <t>Erotic literature--History and criticism. ; Books and reading. ; Body and soul in literature.</t>
  </si>
  <si>
    <t>Tales from Kentucky One-Room School Teachers</t>
  </si>
  <si>
    <t>University Press of Kentucky</t>
  </si>
  <si>
    <t>Montell, William Lynwood</t>
  </si>
  <si>
    <t>LA292.M66 2011</t>
  </si>
  <si>
    <t>372.12/509769</t>
  </si>
  <si>
    <t>Rural schools - Kentucky - History</t>
  </si>
  <si>
    <t>Frank L. Mcvey and the University of Kentucky : A Progressive President and the Modernization of a Southern University</t>
  </si>
  <si>
    <t>Lexington</t>
  </si>
  <si>
    <t>Moyen, Eric A.</t>
  </si>
  <si>
    <t>Thomas D. Clark Studies in Education, Public Policy, and Social Change Series</t>
  </si>
  <si>
    <t>LD2772.7.M38M69 2011</t>
  </si>
  <si>
    <t>378.769/47 B</t>
  </si>
  <si>
    <t>McVey, Frank LeRond, 1869-1953. ; University of Kentucky--Presidents--Biography. ; University of Kentucky--History--20th century.</t>
  </si>
  <si>
    <t>Cora Wilson Stewart and Kentucky's Moonlight Schools : Fighting for Literacy in America</t>
  </si>
  <si>
    <t>Baldwin, Yvonne Honeycutt;Baldwin, Yvonne Honeycutt Honeycutt</t>
  </si>
  <si>
    <t>LA2317.S826B35 2006</t>
  </si>
  <si>
    <t>370.92 B</t>
  </si>
  <si>
    <t>Stewart, Cora Wilson, -- 1875-1958. ; Educators -- Kentucky -- Biography. ; Literacy -- Kentucky -- History -- 20th century. ; Adult education -- Kentucky -- History -- 20th century.</t>
  </si>
  <si>
    <t>Learning in Adulthood : A Comprehensive Guide</t>
  </si>
  <si>
    <t>Merriam, Sharan B.;Caffarella, Rosemary S.;Baumgartner, Lisa M.</t>
  </si>
  <si>
    <t>CourseSmart</t>
  </si>
  <si>
    <t>LC5225.L42 -- M47 2007eb</t>
  </si>
  <si>
    <t>Adult learning. ; Learning.</t>
  </si>
  <si>
    <t>Confucianism, Colonialism, and the Cold War : Chinese Cultural Education at Hong Kong's New Asia College, 1949-63</t>
  </si>
  <si>
    <t>Chou, Grace Ai-Ling</t>
  </si>
  <si>
    <t>Ideas, History, and Modern China Series</t>
  </si>
  <si>
    <t>LG51.H5 -- C476 2012eb</t>
  </si>
  <si>
    <t>The Age of Knowledge : The Dynamics of Universities, Knowledge and Society</t>
  </si>
  <si>
    <t>Dzisah, James;Etzkowitz, Henry</t>
  </si>
  <si>
    <t>Studies in Critical Social Sciences Series</t>
  </si>
  <si>
    <t>LB2324 -- .A34 2012eb</t>
  </si>
  <si>
    <t>Universities and colleges-Social aspects. ; Education, Higher-Social aspects. ; Knowledge, Sociology of.</t>
  </si>
  <si>
    <t>Empathy in Education : Engagement, Values and Achievement</t>
  </si>
  <si>
    <t>Cooper, Bridget</t>
  </si>
  <si>
    <t>LB1072.C66 2011</t>
  </si>
  <si>
    <t>Affective education. ; Motivation in education. ; Academic achievement.</t>
  </si>
  <si>
    <t>Making Inclusion Work for Students with Autism Spectrum Disorders : An Evidence-Based Guide</t>
  </si>
  <si>
    <t>Smith, Tristram</t>
  </si>
  <si>
    <t>LC4718 -- .S645 2012eb</t>
  </si>
  <si>
    <t>Autistic children -- Education -- United States. ; Inclusive education -- United States. ; Behavioral assessment.</t>
  </si>
  <si>
    <t>Teacher's Guide to ADHD</t>
  </si>
  <si>
    <t>Reid, Robert;Johnson, Joseph</t>
  </si>
  <si>
    <t>LC4713.4 -- .R386 2011eb</t>
  </si>
  <si>
    <t>Hyperactive children -- Education -- United States</t>
  </si>
  <si>
    <t>Emergent Literacy : Children's books from 0 to 3</t>
  </si>
  <si>
    <t>Kümmerling-Meibauer, Bettina</t>
  </si>
  <si>
    <t>LB1140.5.R4 -- E43 2011eb</t>
  </si>
  <si>
    <t>Child psychology. ; Depression in children -- Popular works. ; Child rearing -- Psychological aspects. ; Parenting -- Psychological aspects. ; Optimism.</t>
  </si>
  <si>
    <t>Women As Leaders in Education [2 Volumes] : Succeeding Despite Inequity, Discrimination, and Other Challenges [2 Volumes]</t>
  </si>
  <si>
    <t>Martin, Jennifer L.</t>
  </si>
  <si>
    <t>Women and Careers in Management Series</t>
  </si>
  <si>
    <t>LC212.862.W64 2011</t>
  </si>
  <si>
    <t>Women school administrators--United States. ; Women college administrators--United States. ; Sex discrimination in higher education--United States. ; Educational leadership--United States.</t>
  </si>
  <si>
    <t>Teachers' Legal Rights and Responsibilities : A Guide for Trainee Teachers and Those New to the Profession</t>
  </si>
  <si>
    <t>University Of Hertfordshire Press</t>
  </si>
  <si>
    <t>Hatfield</t>
  </si>
  <si>
    <t>Berry, Jon</t>
  </si>
  <si>
    <t>K3748 -- .B47 2010eb</t>
  </si>
  <si>
    <t>Machining. ; Metal-cutting.</t>
  </si>
  <si>
    <t>Teachers As Cultural Workers : Letters to Those Who Dare Teach with New Commentary by Peter Mclaren, Joe L. Kincheloe, and Shirley Steinberg Expanded Edition</t>
  </si>
  <si>
    <t>LB880.F73 -- P76413 2005eb</t>
  </si>
  <si>
    <t>Teaching -- Social aspects</t>
  </si>
  <si>
    <t>Getting the Buggers to Write : 3rd Edition</t>
  </si>
  <si>
    <t>Cowley, Sue</t>
  </si>
  <si>
    <t>LB1576.C7525 2011</t>
  </si>
  <si>
    <t>English language--Composition and exercises--Study and teaching (Elementary)--Great Britain. ; English language--Composition and exercises--Study and teaching (Secondary)--Great Britain.</t>
  </si>
  <si>
    <t>The Jeanes Teacher in the United States, 1908-1933 : An Account of Twenty-Five Years' Experience in the Supervision of Negro Rural Schools</t>
  </si>
  <si>
    <t>Jones, Lance G. E.</t>
  </si>
  <si>
    <t>LC2707 -- .N44 1937eb</t>
  </si>
  <si>
    <t>Negro Rural School Fund, Inc. ; African Americans -- Education.</t>
  </si>
  <si>
    <t>Positive Behavior Support in Secondary Schools : A Practical Guide</t>
  </si>
  <si>
    <t>Young, Ellie L.;Caldarella, Paul;Richardson, Michael J.;Young, K. Richard</t>
  </si>
  <si>
    <t>LB1027.55 -- .Y68 2011eb</t>
  </si>
  <si>
    <t>373.1102/4</t>
  </si>
  <si>
    <t>School psychology -- United States. ; Behavior modification -- United States. ; School children -- United States -- Discipline. ; High school students -- United States -- Psychology. ; Middle school students -- United States -- Psychology.</t>
  </si>
  <si>
    <t>Language Knowledge for Primary Teachers</t>
  </si>
  <si>
    <t>Wilson, Angela;Scanlon, Julie</t>
  </si>
  <si>
    <t>LB1576 -- .W48875 2011eb</t>
  </si>
  <si>
    <t>English language -- Study and teaching (Elementary) -- Great Britain. ; Electronic books.</t>
  </si>
  <si>
    <t>Teacher Education for Democracy and Social Justice</t>
  </si>
  <si>
    <t>Michelli, Nicholas M.;Keiser, David Lee</t>
  </si>
  <si>
    <t>LB1715 -- .T414 2005eb</t>
  </si>
  <si>
    <t>Teachers -- Training of -- United States. ; Social justice -- Study and teaching -- United States. ; Critical pedagogy -- United States.</t>
  </si>
  <si>
    <t>Leaving Safe Harbors : Toward a New Progressivism in American Education and Public Life</t>
  </si>
  <si>
    <t>Carlson, Dennis</t>
  </si>
  <si>
    <t>LB14.7 -- .C364 2002eb</t>
  </si>
  <si>
    <t>Aims and objectives</t>
  </si>
  <si>
    <t>Languages of Education : Protestant Legacies, National Identities, and Global Aspirations</t>
  </si>
  <si>
    <t>Tröhler, Daniel</t>
  </si>
  <si>
    <t>P40.8 -- .T76 2011eb</t>
  </si>
  <si>
    <t>Protestantism</t>
  </si>
  <si>
    <t>Between Citizens and the State : The Politics of American Higher Education in the 20th Century</t>
  </si>
  <si>
    <t>Loss, Christopher P.</t>
  </si>
  <si>
    <t>LC173 -- .L67 2012eb</t>
  </si>
  <si>
    <t>From the Ballot to the Blackboard : The Redistributive Political Economy of Education</t>
  </si>
  <si>
    <t>Ansell, Ben W.</t>
  </si>
  <si>
    <t>Cambridge Studies in Comparative Politics Series</t>
  </si>
  <si>
    <t>LB2824 .A58 2010</t>
  </si>
  <si>
    <t>379.1/1</t>
  </si>
  <si>
    <t>Education and state -- Case studies</t>
  </si>
  <si>
    <t>Structure and Improvisation in Creative Teaching</t>
  </si>
  <si>
    <t>LB1027.23 .S77 2011</t>
  </si>
  <si>
    <t>School Lunch Politics : The Surprising History of America's Favorite Welfare Program</t>
  </si>
  <si>
    <t>Levine, Susan</t>
  </si>
  <si>
    <t>LB3479.U6 -- L48 2008eb</t>
  </si>
  <si>
    <t>371.7/16</t>
  </si>
  <si>
    <t>A Community of Scholars : Impressions of the Institute for Advanced Study</t>
  </si>
  <si>
    <t>Atiyah, Michael Francis;David, Chantal;Dyson, Freeman;Fulcher, Jane;Goddard, Peter;Kowalzig, Barbara;Lepenies, Wolf;Moravec, Paul;Scott, Joan Wallach;Weinberg, David H.</t>
  </si>
  <si>
    <t>LD2535.I31 -- C66 2012eb</t>
  </si>
  <si>
    <t>General Works/Reference; Education</t>
  </si>
  <si>
    <t>A History of the Eclectic Society of Phi Nu Theta, 1837-1970</t>
  </si>
  <si>
    <t>Moody, William B. B.</t>
  </si>
  <si>
    <t>LJ75.E53 -- M66 2007eb</t>
  </si>
  <si>
    <t>Listening to Learn : Audiobooks Supporting Literacy</t>
  </si>
  <si>
    <t>Grover, Sharon;Hannegan, Lizette D.</t>
  </si>
  <si>
    <t>Reading -- United States. ; Literacy -- Study and teaching -- United States. ; Educational technology. ; Audiobooks. ; Libraries -- Special collections -- Audiobooks. ; School librarian participation in curriculum planning. ; Children -- Books and reading.</t>
  </si>
  <si>
    <t>The Purposeful Classroom : How to Structure Lessons with Learning Goals in Mind</t>
  </si>
  <si>
    <t>LB1027.4 -- .F57 2011eb</t>
  </si>
  <si>
    <t>Lesson planning. ; Effective teaching.</t>
  </si>
  <si>
    <t>Where Great Teaching Begins : Planning for Student Thinking and Learning</t>
  </si>
  <si>
    <t>Reeves, Anne R.</t>
  </si>
  <si>
    <t>LB1028.38 -- .R44 2011eb</t>
  </si>
  <si>
    <t>Instructional systems -- Design. ; Effective teaching.</t>
  </si>
  <si>
    <t>Successful Science Communication : Telling It Like It Is</t>
  </si>
  <si>
    <t>Bennett, David J.;Jennings, Richard C.;Bodmer, Walter</t>
  </si>
  <si>
    <t>Q223 .S884 2011</t>
  </si>
  <si>
    <t>501/.4</t>
  </si>
  <si>
    <t>Communication in science</t>
  </si>
  <si>
    <t>The Early Childhood Educator Professional Development Grant : Research and Practice</t>
  </si>
  <si>
    <t>Sutterby, John A., 1st;Sutterby, John A.</t>
  </si>
  <si>
    <t>Advances in Early Education and Day Care Series</t>
  </si>
  <si>
    <t>Early childhood educators. ; Grants-in-aid. ; Research grants.</t>
  </si>
  <si>
    <t>Actionable Postcolonial Theory in Education</t>
  </si>
  <si>
    <t>Andreotti, V.</t>
  </si>
  <si>
    <t>Sport, Spectacle, and NASCAR Nation : Consumption and the Cultural Politics of Neoliberalism</t>
  </si>
  <si>
    <t>Newman, J.;Giardina, M.</t>
  </si>
  <si>
    <t>Education, Politics and Public Life Series</t>
  </si>
  <si>
    <t>Stock car racing -- Social aspects -- United States</t>
  </si>
  <si>
    <t>Searching for Hope : Life at a Failing School in the Heart of America</t>
  </si>
  <si>
    <t>Bloomington, IN</t>
  </si>
  <si>
    <t>Tully, Matthew</t>
  </si>
  <si>
    <t>LD7501.I4646T85 2012</t>
  </si>
  <si>
    <t>373.772/52</t>
  </si>
  <si>
    <t>Emmerich Manual High School (Indianapolis, Ind.). ; Children with social disabilities--Education (Secondary)--Indiana--Indianapolis.</t>
  </si>
  <si>
    <t>From Text to Txting : New Media in the Classroom</t>
  </si>
  <si>
    <t>Budra, Paul;Burnham, Clint;Kitzmann, Andreas;Marshall, C. W.;Keyes, Daniel;Klobucar, Philip A.;MacDonald, Tanis;Potter, Tiffany;Uszkalo, Kirsten C.;Harkness, Darren J.</t>
  </si>
  <si>
    <t>LB1028.3.F77 2012</t>
  </si>
  <si>
    <t>Popular culture - Effect of technological innovations on</t>
  </si>
  <si>
    <t>Liberating Sanctuary : 100 Years of Women's Education at the College of St. Catherine</t>
  </si>
  <si>
    <t>Lamm Carroll, Jane;Cavallaro, Joanne;Doherty, Sharon</t>
  </si>
  <si>
    <t>LD7165.L53 2012</t>
  </si>
  <si>
    <t>College of St. Catherine--History. ; St. Catherine University--History.</t>
  </si>
  <si>
    <t>Tyranny of the Textbook : An Insider Exposes How Educational Materials Undermine Reforms</t>
  </si>
  <si>
    <t>Jobrack, Beverlee</t>
  </si>
  <si>
    <t>LB3047.J64 2011</t>
  </si>
  <si>
    <t>Textbooks--United States. ; Textbooks--Publishing--United States. ; Textbook bias--United States. ; Curriculum planning--United States. ; Educational change--United States. ; Education and state--United States. ; EDUCATION / Educational Policy &amp; Reform / General. ; EDUCATION / Curricula.</t>
  </si>
  <si>
    <t>Republic of Noise : The Loss of Solitude in Schools and Culture</t>
  </si>
  <si>
    <t>Senechal, Diana</t>
  </si>
  <si>
    <t>LB1027.23.S46 2011</t>
  </si>
  <si>
    <t>Reflective learning. ; Classroom environment. ; Education--Effect of technological innovations on. ; Solitude.</t>
  </si>
  <si>
    <t>Reading Success for All Students : Using Formative Assessment to Guide Instruction and Intervention</t>
  </si>
  <si>
    <t>Gunning, Thomas G.</t>
  </si>
  <si>
    <t>LB1573 -- .G935 2012eb</t>
  </si>
  <si>
    <t>Reading (Elementary). ; Reading (Elementary)--Ability testing.</t>
  </si>
  <si>
    <t>Linking Leadership to Student Learning</t>
  </si>
  <si>
    <t>Leithwood, Kenneth;Seashore-Louis, Karen;Seashore-Louis, Karen</t>
  </si>
  <si>
    <t>LB2806 -- .L3854 2012eb</t>
  </si>
  <si>
    <t>Achievement motivation in children</t>
  </si>
  <si>
    <t>Effective Inclusive Schools : Designing Successful Schoolwide Programs</t>
  </si>
  <si>
    <t>Hehir, Thomas;Katzman, Lauren I.</t>
  </si>
  <si>
    <t>LC1201.H44 2012</t>
  </si>
  <si>
    <t>371.9/0460973</t>
  </si>
  <si>
    <t>Inclusive education--United States. ; School management and organization--United States. ; Mainstreaming in education--United States. ; EDUCATION / Special Education / General. bisacsh.</t>
  </si>
  <si>
    <t>Common Core Curriculum Maps in English Language Arts, Grades 9-12</t>
  </si>
  <si>
    <t>LB1631 -- .C657 2012eb</t>
  </si>
  <si>
    <t>Language arts (Secondary) -- Curricula -- United States -- States. ; Language arts (Secondary) -- Standards -- United States -- States.</t>
  </si>
  <si>
    <t>The Classroom Teacher's Technology Survival Guide</t>
  </si>
  <si>
    <t>Johnson, Doug</t>
  </si>
  <si>
    <t>LB1028.3 -- .J6 2012eb</t>
  </si>
  <si>
    <t>Educational technology. ; Education -- Effect of technological innovations on.</t>
  </si>
  <si>
    <t>The Learning Self : Understanding the Potential for Transformation</t>
  </si>
  <si>
    <t>Tennant, Mark</t>
  </si>
  <si>
    <t>LC1100 -- .T46 2012eb</t>
  </si>
  <si>
    <t>Transformative learning</t>
  </si>
  <si>
    <t>Kick-Start Your Class : Academic Icebreakers to Engage Students</t>
  </si>
  <si>
    <t>Johnson, LouAnne</t>
  </si>
  <si>
    <t>LB1027.4 -- .J64 2012eb</t>
  </si>
  <si>
    <t>Activity programs in education</t>
  </si>
  <si>
    <t>The Guide to Computer Simulations and Games</t>
  </si>
  <si>
    <t>Becker, K.;Parker, J. R.</t>
  </si>
  <si>
    <t>QA76.9.C65</t>
  </si>
  <si>
    <t>Game theory. ; Digital computer simulation.</t>
  </si>
  <si>
    <t>Computer Science/IT</t>
  </si>
  <si>
    <t>Language Teaching Research and Language Pedagogy</t>
  </si>
  <si>
    <t>Ellis, Rod</t>
  </si>
  <si>
    <t>Language and languages -- Research</t>
  </si>
  <si>
    <t>Engaging the Online Learner : Activities and Resources for Creative Instruction</t>
  </si>
  <si>
    <t>Conrad, Rita-Marie;Donaldson, J. Ana</t>
  </si>
  <si>
    <t>Inclusive education. ; Computer-assisted instruction. ; Education -- Effect of technological innovations on. ; Digital electronics.</t>
  </si>
  <si>
    <t>Effective Learning in the Life Sciences : How Students Can Achieve Their Full Potential</t>
  </si>
  <si>
    <t>Adams, David J.</t>
  </si>
  <si>
    <t>QH315.E395 2011</t>
  </si>
  <si>
    <t>570.71/1</t>
  </si>
  <si>
    <t>Life sciences--Study and teaching (Higher). ; Life sciences--Study and teaching (Higher)--Great Britain. ; Creative teaching. ; Biological laboratories. ; Life sciences--Research. ; Life sciences--Fieldwork. ; Learning. ; Biological Science Disciplines--education. ; Learning. ; Biological Science Disciplines--methods. ; Enseignement créatif. ; Biologie--Laboratoires. ; Sciences de la vie--Recherche. ; Sciences de la vie--Recherche sur le terrain. ; Apprentissage. ; NATURE--Reference. ; SCIENCE--Life Sciences--Biology. ; SCIENCE--Life Sciences--General. ; Science. ; Biological laboratories. (OCoLC)fst00832260. ; Creative teaching. (OCoLC)fst01738517. ; Life sciences--Research. (OCoLC)fst00998339. ; Life sciences--Study and teaching (Higher) (OCoLC)fst00998347. ; Biowissenschaften. ; Lernen. ; Methode. ; Biologie. ; Studium. ; Wissenschaftliches Arbeiten. ; Great Britain. (OCoLC)fst01204623. ; Case studies.0(OCoLC)fst01423765.</t>
  </si>
  <si>
    <t>Integrating Schools in a Changing Society : New Policies and Legal Options for a Multiracial Generation</t>
  </si>
  <si>
    <t>Frankenberg, Erica;DeBray, Elizabeth</t>
  </si>
  <si>
    <t>LC214.2 -- .I68 2011eb</t>
  </si>
  <si>
    <t>School integration -- United States. ; Discrimination in education -- United States. ; Multicultural education -- United States. ; Educational equalization -- United States. ; Education and state -- United States. ; Educational law and legislation -- United States.</t>
  </si>
  <si>
    <t>Family Partnership Working : A Guide for Education Practitioners</t>
  </si>
  <si>
    <t>LC225 -- .C44 2011eb</t>
  </si>
  <si>
    <t>Education -- Parent participation. ; Parent-teacher relationships.</t>
  </si>
  <si>
    <t>The Minimum Core for Language and Literacy: Knowledge, Understanding and Personal Skills</t>
  </si>
  <si>
    <t>Appleyard, Nancy;Appleyard, Keith</t>
  </si>
  <si>
    <t>LC156.G7 -- A67 2009eb</t>
  </si>
  <si>
    <t>Adult education teachers - Training of - Great Britain</t>
  </si>
  <si>
    <t>Teaching Early Years Foundation Stage</t>
  </si>
  <si>
    <t>Basford, Jo;Hodson, Elaine</t>
  </si>
  <si>
    <t>LB1139.23 -- .T43 2008eb</t>
  </si>
  <si>
    <t>Preschool teaching</t>
  </si>
  <si>
    <t>The Minimum Core for Information and Communication Technology: Knowledge, Understanding and Personal Skills</t>
  </si>
  <si>
    <t>Clarke, Alan</t>
  </si>
  <si>
    <t>LC5225.T4 -- C53 2009eb</t>
  </si>
  <si>
    <t>Adult education teachers -- Training of -- Great Britain. ; Information technology -- Ability testing -- Great Britain. ; Information technology -- Study and teaching (Continuing education) -- Great Britain.</t>
  </si>
  <si>
    <t>Computer Science/IT; Education</t>
  </si>
  <si>
    <t>Teaching with e-Learning in the Lifelong Learning Sector</t>
  </si>
  <si>
    <t>Hill, Chris</t>
  </si>
  <si>
    <t>LB1028.5 -- .H548 2008eb</t>
  </si>
  <si>
    <t>Computer-assisted instruction. ; College teaching -- Data processing. ; Effective teaching -- Data processing.</t>
  </si>
  <si>
    <t>Teaching Humanities in Primary Schools</t>
  </si>
  <si>
    <t>Hoodless, Pat;McCreery, Elaine;Bowen, Paul;Bermingham, Susan</t>
  </si>
  <si>
    <t>AZ183.G7 -- H66 2009eb</t>
  </si>
  <si>
    <t>Humanities -- Study and teaching (Elementary) -- Great Britain. ; Humanities -- Study and teaching (Primary) -- Great Britain.</t>
  </si>
  <si>
    <t>Teaching History in Primary Schools</t>
  </si>
  <si>
    <t>Hoodless, Pat</t>
  </si>
  <si>
    <t>LB1582.G7 -- H66 2008eb</t>
  </si>
  <si>
    <t>History - Study and teaching (Elementary) - Great Britain</t>
  </si>
  <si>
    <t>The Minimum Core for Language and Literacy: Audit and Test</t>
  </si>
  <si>
    <t>Machin, Lynn</t>
  </si>
  <si>
    <t>LB2844.1.R4 -- M323 2009eb</t>
  </si>
  <si>
    <t>Adult education teachers - Training of</t>
  </si>
  <si>
    <t>Successful Teaching Placement in Scotland Primary and Early Years</t>
  </si>
  <si>
    <t>Medwell, Jane A.;Simpson, Frances</t>
  </si>
  <si>
    <t>Books for Scotland Series</t>
  </si>
  <si>
    <t>LB1564.G7 -- M43 2008eb</t>
  </si>
  <si>
    <t>Elementary school teaching -- Scotland. ; Elementary school teachers -- Employment -- Scotland.</t>
  </si>
  <si>
    <t>The Minimum Core for Information and Communication Technology: Audit and Test</t>
  </si>
  <si>
    <t>Murray, Sandra</t>
  </si>
  <si>
    <t>LB2157.G7 -- M87 2009eb</t>
  </si>
  <si>
    <t>Student teachers -- Training of -- Great Britain. ; Information technology -- Ability testing -- Great Britain. ; Information technology -- Study and teaching (Continuing education) -- Great Britain.</t>
  </si>
  <si>
    <t>The Minimum Core for Numeracy: Audit and Test</t>
  </si>
  <si>
    <t>Patmore, Mark;Woodhouse, Sarah</t>
  </si>
  <si>
    <t>QA11 -- .P375 2009eb</t>
  </si>
  <si>
    <t>Successful Teaching Placements in Secondary Schools</t>
  </si>
  <si>
    <t>Shilvock, K.;Pope, Melanie</t>
  </si>
  <si>
    <t>Achieving QTS Practical Handbooks Series</t>
  </si>
  <si>
    <t>LB2157.G7 -- S85 2008eb</t>
  </si>
  <si>
    <t>Active learning - Great Britain</t>
  </si>
  <si>
    <t>Getting on Better with Teenagers : Improving Behaviour and Learning Through Positive Relationships</t>
  </si>
  <si>
    <t>LB1033.D565 2011</t>
  </si>
  <si>
    <t>373.1102/3</t>
  </si>
  <si>
    <t>Teacher-student relationships. ; Teenagers and adults. ; Effective teaching.</t>
  </si>
  <si>
    <t>Enhancing Minority Student Retention and Academic Performance : What We Can Learn from Program Evaluations</t>
  </si>
  <si>
    <t>Fleming, Jacqueline</t>
  </si>
  <si>
    <t>LC148.15 -- .F54 2012eb</t>
  </si>
  <si>
    <t>College dropouts -- Prevention -- Case studies. ; Minorities -- Education (Higher) -- United States -- Case studies. ; Educational evaluation -- United States -- Case studies.</t>
  </si>
  <si>
    <t>The Handbook of Transformative Learning : Theory, Research, and Practice</t>
  </si>
  <si>
    <t>Taylor, Edward W.;Cranton, Patricia</t>
  </si>
  <si>
    <t>Framing Decisions : Decision-Making That Accounts for Irrationality, People and Constraints</t>
  </si>
  <si>
    <t>Frame, J. Davidson</t>
  </si>
  <si>
    <t>153.8/3</t>
  </si>
  <si>
    <t>Teaching the Common Core Math Standards with Hands-On Activities, Grades 6-8</t>
  </si>
  <si>
    <t>Muschla, Judith A.;Muschla, Gary R.;Muschla, Erin</t>
  </si>
  <si>
    <t>510.71/273</t>
  </si>
  <si>
    <t>Mathematics -- Study and teaching (Middle school) -- United States</t>
  </si>
  <si>
    <t>Common Core Curriculum Maps in English Language Arts : Grades 6-8</t>
  </si>
  <si>
    <t>LB1631.C656 2012</t>
  </si>
  <si>
    <t>428.0071/273</t>
  </si>
  <si>
    <t>Language arts (Middle school) -- Curricula -- United States -- States. ; Language arts (Middle school) -- Standards -- United States -- States.</t>
  </si>
  <si>
    <t>Beyond Stock Stories and Folktales : African Americans' Paths to STEM Fields</t>
  </si>
  <si>
    <t>Frierson, Henry T.;Tate, William F.</t>
  </si>
  <si>
    <t>LC1567</t>
  </si>
  <si>
    <t>African American engineers -- Research</t>
  </si>
  <si>
    <t>Leadership in Education, Corrections and Law Enforcement : A Commitment to Ethics, Equity and Excellence</t>
  </si>
  <si>
    <t>Normore, Anthony H.;Fitch, Brian D.</t>
  </si>
  <si>
    <t>Advances in Educational Administration Series</t>
  </si>
  <si>
    <t>Corrections -- Moral and ethical aspects</t>
  </si>
  <si>
    <t>Nurturing Creativity in the Classroom</t>
  </si>
  <si>
    <t>Beghetto, Ronald A.;Kaufman, James C.</t>
  </si>
  <si>
    <t>LB1062 .N87 2010</t>
  </si>
  <si>
    <t>Transforming Virtual World Learning</t>
  </si>
  <si>
    <t>Wankel, Charles;Hinrichs, Randy</t>
  </si>
  <si>
    <t>LB1044.87</t>
  </si>
  <si>
    <t>Increasing Persistence : Research-Based Strategies for College Student Success</t>
  </si>
  <si>
    <t>Habley, Wesley R.;Bloom, Jennifer L.;Robbins, Steve</t>
  </si>
  <si>
    <t>378.1/69130973</t>
  </si>
  <si>
    <t>College dropouts -- United States -- Prevention</t>
  </si>
  <si>
    <t>The Together Teacher : Plan Ahead, Get Organized, and Save Time!</t>
  </si>
  <si>
    <t>Heyck-Merlin, Maia;Atkins, Norman;Heyck-Merlin, Maia</t>
  </si>
  <si>
    <t>LB2838.8 -- .H49 2012eb</t>
  </si>
  <si>
    <t>Teachers -- Time management. ; Lesson planning.</t>
  </si>
  <si>
    <t>When Can You Trust the Experts? : How to Tell Good Science from Bad in Education</t>
  </si>
  <si>
    <t>Willingham, Daniel T.</t>
  </si>
  <si>
    <t>Reading Assessment : Linking Language, Literacy, and Cognition</t>
  </si>
  <si>
    <t>Farrall, Melissa Lee</t>
  </si>
  <si>
    <t>LB1050.46 -- .F37 2012eb</t>
  </si>
  <si>
    <t>A Guide to Academia : Getting into and Surviving Grad School, Postdocs, and a Research Job</t>
  </si>
  <si>
    <t>Chakrabarty, Prosanta</t>
  </si>
  <si>
    <t>LB2371 -- .C47 2012eb</t>
  </si>
  <si>
    <t>Universities and colleges -- Graduate work -- Handbooks, manuals, etc. ; Education, Higher -- Handbooks, manuals, etc.</t>
  </si>
  <si>
    <t>Making Assessment Matter : Using Test Results to Differentiate Reading Instruction</t>
  </si>
  <si>
    <t>Lesaux, Nonie K.;Marietta, Sky H.</t>
  </si>
  <si>
    <t>LB1050.5 -- .L3878 2012eb</t>
  </si>
  <si>
    <t>Reading -- Remedial teaching. ; Reading (Elementary) ; Reading -- Ability testing. ; Educational tests and measurements. ; Individualized instruction. ; Learning disabled children. ; Response to intervention (Learning disabled children)</t>
  </si>
  <si>
    <t>Education and Its Discontents : Teaching, the Humanities, and the Importance of a Liberal Education in the Age of Mass Information</t>
  </si>
  <si>
    <t>Moss, Mark</t>
  </si>
  <si>
    <t>LC1011.M75 2011</t>
  </si>
  <si>
    <t>Education, Humanistic--United States. ; Humanities--Study and teaching (Higher)--United States. ; Education--Effect of technological innovations on--United States.</t>
  </si>
  <si>
    <t>Death of a Rebel : The Charlie Fenton Story</t>
  </si>
  <si>
    <t>Fairleigh Dickinson University Press</t>
  </si>
  <si>
    <t>Donaldson, Scott</t>
  </si>
  <si>
    <t>PS29.F46D43 2011</t>
  </si>
  <si>
    <t>810.9 B</t>
  </si>
  <si>
    <t>Fenton, Charles A. ; Yale University--Faculty--Biography. ; Biographers--United States--Biography. ; College teachers--United States--Biography. ; Authors, American--20th century--Biography.</t>
  </si>
  <si>
    <t>An a to Z of Critical Thinking</t>
  </si>
  <si>
    <t>Black, Beth</t>
  </si>
  <si>
    <t>BC177</t>
  </si>
  <si>
    <t>Sex and the University : Celebrity, Controversy, and a Student Journalism Revolution</t>
  </si>
  <si>
    <t>Reimold, Daniel</t>
  </si>
  <si>
    <t>LB3621</t>
  </si>
  <si>
    <t>378.1/9897</t>
  </si>
  <si>
    <t>College student newspapers and periodicals-United States. ; Journalism, College-United States. ; Advice columns-United States. ; College students-Sexual behavior-United States. ; Sex counseling-United States.</t>
  </si>
  <si>
    <t>Disability and Difference in Global Contexts : Enabling a Transformative Body Politic</t>
  </si>
  <si>
    <t>Erevelles, N.</t>
  </si>
  <si>
    <t>HM706</t>
  </si>
  <si>
    <t>305.9/08</t>
  </si>
  <si>
    <t>Creating a Healthy School Using the Healthy School Report Card, Canadian : An ASCD Action Tool</t>
  </si>
  <si>
    <t>Lohrmann, David K.;Vamos, Sandra;Yeung</t>
  </si>
  <si>
    <t>LB3409.U5 -- L64 2011eb</t>
  </si>
  <si>
    <t>Insights into Action : Successful School Leaders Share What Works</t>
  </si>
  <si>
    <t>Sterrett, William</t>
  </si>
  <si>
    <t>LB2805 -- .S7457 2011eb</t>
  </si>
  <si>
    <t>Educational leadership -- United States. ; School management and organization -- United States. ; School improvement programs -- United States.</t>
  </si>
  <si>
    <t>Teaching in Tandem : Effective Co-Teaching in the Inclusive Classroom</t>
  </si>
  <si>
    <t>Wilson, Gloria Lodato;Blednick, Joan;Blednick, Joan</t>
  </si>
  <si>
    <t>LB1029.T4 -- W55 2011eb</t>
  </si>
  <si>
    <t>Teaching teams -- United States. ; Inclusive education -- United States. ; Mainstreaming in education -- United States.</t>
  </si>
  <si>
    <t>First-Generation College Students : Understanding and Improving the Experience from Recruitment to Commencement</t>
  </si>
  <si>
    <t>Ward, Lee;Siegel, Michael J.;Davenport, Zebulun</t>
  </si>
  <si>
    <t>LC4069.6 -- .W37 2012eb</t>
  </si>
  <si>
    <t>378.1/982694</t>
  </si>
  <si>
    <t>College student orientation -- United States</t>
  </si>
  <si>
    <t>The Handbook of Institutional Research</t>
  </si>
  <si>
    <t>Howard, Richard D.;McLaughlin, Gerald W.;Knight, William E.</t>
  </si>
  <si>
    <t>LB2326.3 -- .H36 2012eb</t>
  </si>
  <si>
    <t>Education, Higher -- Research -- Handbooks, manuals, etc.</t>
  </si>
  <si>
    <t>Mission Possible : How the Secrets of the Success Academies Can Work in Any School</t>
  </si>
  <si>
    <t>Moskowitz, Eva;Lavinia, Arin</t>
  </si>
  <si>
    <t>LB2822.83.N7 -- M67 2012eb</t>
  </si>
  <si>
    <t>371.2/07097471</t>
  </si>
  <si>
    <t>Charter schools -- New York (State) -- New York -- Case studies</t>
  </si>
  <si>
    <t>Inside the Eagle's Head : An American Indian College</t>
  </si>
  <si>
    <t>Khachadoorian, Angelle A.</t>
  </si>
  <si>
    <t>Contemporary American Indian Studies</t>
  </si>
  <si>
    <t>E97</t>
  </si>
  <si>
    <t>378.1/982997</t>
  </si>
  <si>
    <t>Southwestern Indian Polytechnic Institute. ; Indian universities and colleges--New Mexico--Albuquerque. ; Indian college students--New Mexico--Albuquerque--Attitudes. ; Indian college students--United States--Attitudes. ; Indians of North America--Education (Higher)--New Mexico--Albuquerque. ; Indians of North America--Education (Higher)--Government policy--United States.</t>
  </si>
  <si>
    <t>Schools in the Landscape : Localism, Cultural Tradition, and the Development of Alabama's Public Education System, 1865-1915</t>
  </si>
  <si>
    <t>Ziegler, Edith M.</t>
  </si>
  <si>
    <t>LA231</t>
  </si>
  <si>
    <t>Public schools--Alabama--History. ; Public schools--Social aspects--Alabama. ; Education--Alabama--History. ; Education--Social aspects--Alabama.</t>
  </si>
  <si>
    <t>New Primary Leaders : International Perspectives</t>
  </si>
  <si>
    <t>Cowie, Michael</t>
  </si>
  <si>
    <t>LB2831.9.N49 2011</t>
  </si>
  <si>
    <t>Elementary school administration</t>
  </si>
  <si>
    <t>Inspired Drama Teaching : A Practical Guide for Teachers</t>
  </si>
  <si>
    <t>PN1701 .W47 2011</t>
  </si>
  <si>
    <t>Drawing -- Study and teaching (Secondary) ; Drama in education.</t>
  </si>
  <si>
    <t>Multinational Undergraduate Team Work : Excellence in International Capstone Projects</t>
  </si>
  <si>
    <t>Escudeiro, N. F.;Escudeiro, P. M.</t>
  </si>
  <si>
    <t>LA628.M85 2011</t>
  </si>
  <si>
    <t>Dealing with the Tough Stuff : Practical Solutions for School Administrators</t>
  </si>
  <si>
    <t>Gabriel, John;Farmer, Paul</t>
  </si>
  <si>
    <t>LB2805 -- .G128 2012eb</t>
  </si>
  <si>
    <t>First year school principals</t>
  </si>
  <si>
    <t>Exemplary Instruction in the Middle Grades : Teaching That Supports Engagement and Rigorous Learning</t>
  </si>
  <si>
    <t>Lapp, Diane;Moss, Barbara</t>
  </si>
  <si>
    <t>LB1632 -- .E94 2012eb</t>
  </si>
  <si>
    <t>Reading (Middle school) ; Content area reading. ; Middle school teaching -- United States.</t>
  </si>
  <si>
    <t>Liberal Education and the Public Interest</t>
  </si>
  <si>
    <t>University of Chicago Press Distribution Clients</t>
  </si>
  <si>
    <t>University of Iowa Press</t>
  </si>
  <si>
    <t>Freedman, James O.</t>
  </si>
  <si>
    <t>LC1011</t>
  </si>
  <si>
    <t>378/.012</t>
  </si>
  <si>
    <t>Education, Humanistic -- United States</t>
  </si>
  <si>
    <t>There Goes the Neighborhood : Rural School Consolidation at the Grass Roots in Early Twentieth-Century Iowa</t>
  </si>
  <si>
    <t>Reynolds, David R.</t>
  </si>
  <si>
    <t>LB2861</t>
  </si>
  <si>
    <t>Schools -- Centralization -- Iowa -- History -- 20th century.</t>
  </si>
  <si>
    <t>Both Sides Now : The Story of School Desegregation's Graduates</t>
  </si>
  <si>
    <t>Wells, Amy</t>
  </si>
  <si>
    <t>LC214.2 -- .B68 2009eb</t>
  </si>
  <si>
    <t>379.2/630973</t>
  </si>
  <si>
    <t>The Street Stops Here : A Year at a Catholic High School in Harlem</t>
  </si>
  <si>
    <t>McCloskey, Patrick</t>
  </si>
  <si>
    <t>LC503.N5 -- M38 2008eb</t>
  </si>
  <si>
    <t>371.071/27471</t>
  </si>
  <si>
    <t>Catholic high schools -- New York (State) -- New York. ; African Americans -- Education (Secondary) -- New York (State) -- New York. ; Minorities -- Education (Secondary) -- New York (State) -- New York. ; Harlem (New York, N.Y.)</t>
  </si>
  <si>
    <t>Reflections on the University of California : From the Free Speech Movement to the Global University</t>
  </si>
  <si>
    <t>Smelser, Neil J.</t>
  </si>
  <si>
    <t>LD758.S64 2010</t>
  </si>
  <si>
    <t>University of California, Berkeley -- History. ; Universities and colleges -- California -- History.</t>
  </si>
  <si>
    <t>Reading for Understanding : How Reading Apprenticeship Improves Disciplinary Learning in Secondary and College Classrooms</t>
  </si>
  <si>
    <t>Schoenbach, Ruth;Greenleaf, Cynthia;Murphy, Lynn</t>
  </si>
  <si>
    <t>Reading (Secondary) -- United States. ; Reading (Higher education) -- United States.</t>
  </si>
  <si>
    <t>General Education Essentials : A Guide for College Faculty</t>
  </si>
  <si>
    <t>Hanstedt, Paul;Rhodes, Terrel</t>
  </si>
  <si>
    <t>LB2361.5 -- .H36 2012eb</t>
  </si>
  <si>
    <t>Universities and colleges -- Curricula -- United States -- Planning. ; General education -- United States.</t>
  </si>
  <si>
    <t>Security in Schools : Its Effect on Students</t>
  </si>
  <si>
    <t>LFB Scholarly Publishing</t>
  </si>
  <si>
    <t>LFB Scholarly Publishing LLC</t>
  </si>
  <si>
    <t>El Paso</t>
  </si>
  <si>
    <t>Phaneuf, Shannon Womer</t>
  </si>
  <si>
    <t>Criminal Justice: Recent Scholarship</t>
  </si>
  <si>
    <t>LB2866 -- .P54 2009eb</t>
  </si>
  <si>
    <t>Schools -- Security measures. ; School violence -- Prevention. ; Students -- Protection.</t>
  </si>
  <si>
    <t>Rethinking Bilingual Education in Postcolonial Contexts</t>
  </si>
  <si>
    <t>Chimbutane, Feliciano</t>
  </si>
  <si>
    <t>LC3738.M69 -- C47 2011eb</t>
  </si>
  <si>
    <t>370.117/509679</t>
  </si>
  <si>
    <t>Educational anthropology -- Mozambique</t>
  </si>
  <si>
    <t>Welcoming Linguistic Diversity in Early Childhood Classrooms : Learning from International Schools</t>
  </si>
  <si>
    <t>Murphy, Edna</t>
  </si>
  <si>
    <t>LB1139.5.L35 -- W35 2011eb</t>
  </si>
  <si>
    <t>Language arts (Early childhood) ; Early childhood education -- Cross-cultural studies. ; Child development -- Cross-cultural studies. ; Multicultural education.</t>
  </si>
  <si>
    <t>Language Policy for the Multilingual Classroom : Pedagogy of the Possible</t>
  </si>
  <si>
    <t>Hélot, Christine;Ó Laoire, Muiris</t>
  </si>
  <si>
    <t>LB1576 -- .L335 2011eb</t>
  </si>
  <si>
    <t>Immersion Education : Practices, Policies, Possibilities</t>
  </si>
  <si>
    <t>Tedick, Diane J.;Christian, Donna;Fortune, Tara Williams</t>
  </si>
  <si>
    <t>P53.44 -- .I46 2011eb</t>
  </si>
  <si>
    <t>Immersion method (Language teaching)</t>
  </si>
  <si>
    <t>Lexical Errors and Accuracy in Foreign Language Writing</t>
  </si>
  <si>
    <t>Agustín Llach, María del Pilar</t>
  </si>
  <si>
    <t>P53.27 -- .A38 2011eb</t>
  </si>
  <si>
    <t>Language and languages -- Study and teaching. ; Rhetoric -- Study and teaching. ; Vocabulary -- Study and teaching. ; Second language acquisition.</t>
  </si>
  <si>
    <t>Language and Learning in the International University : From English Uniformity to Diversity and Hybridity</t>
  </si>
  <si>
    <t>Preisler, Bent;Klitgård, Ida;Fabricius, Anne</t>
  </si>
  <si>
    <t>PE1128.A2 -- L36 2011eb</t>
  </si>
  <si>
    <t>Negotiating the Personal in Creative Writing</t>
  </si>
  <si>
    <t>Vandermeulen, Carl</t>
  </si>
  <si>
    <t>PE1404 -- .V36 2011eb</t>
  </si>
  <si>
    <t>Writing centers</t>
  </si>
  <si>
    <t>Individual Learner Differences in SLA</t>
  </si>
  <si>
    <t>Arabski, Janusz;Wojtaszek, Adam</t>
  </si>
  <si>
    <t>P118.2 -- .I53 2011eb</t>
  </si>
  <si>
    <t>Second language acquisition. ; Language and languages -- Study and teaching.</t>
  </si>
  <si>
    <t>Social Justice Language Teacher Education</t>
  </si>
  <si>
    <t>P53.8 -- .S624 2011eb</t>
  </si>
  <si>
    <t>Language and languages -- Study and teaching -- Social aspects</t>
  </si>
  <si>
    <t>Leadership, Capacity Building and School Improvement : Concepts, Themes and Impact</t>
  </si>
  <si>
    <t>LB2805 -- .D525 2012eb</t>
  </si>
  <si>
    <t>Evaluating E-Learning : Guiding Research and Practice</t>
  </si>
  <si>
    <t>Phillips, Rob;McNaught, Carmel;Kennedy, Gregor</t>
  </si>
  <si>
    <t>LB1028.3 -- .P475 2012eb</t>
  </si>
  <si>
    <t>Web-based instruction - Evaluation</t>
  </si>
  <si>
    <t>Interpreting Art in Museums and Galleries</t>
  </si>
  <si>
    <t>Whitehead, Christopher</t>
  </si>
  <si>
    <t>N430 -- .W46 2012eb</t>
  </si>
  <si>
    <t>701/.18</t>
  </si>
  <si>
    <t>Art museums - Educational aspects</t>
  </si>
  <si>
    <t>Classroom Instruction That Works : Research-Based Strategies for Increasing Student Achievement</t>
  </si>
  <si>
    <t>Dean, Ceri B.;Hubbell, Elizabeth Ross</t>
  </si>
  <si>
    <t>LB1025.3 -- .M339 2012eb</t>
  </si>
  <si>
    <t>My Two Oxfords</t>
  </si>
  <si>
    <t>Morris, Willie;Morris, JoAnne Prichard;Morris, David Rae</t>
  </si>
  <si>
    <t>PS3563.O8745 -- Z4734 2009eb</t>
  </si>
  <si>
    <t>Morris, Willie. ; University of Mississippi. ; University of Oxford. ; Authors, American -- 20th century. ; Oxford (Miss.) -- Description and travel. ; Oxford (England) -- Description and travel.</t>
  </si>
  <si>
    <t>Russian Mathematics Education: Programs And Practices</t>
  </si>
  <si>
    <t>QA14 -- .R8 2011eb</t>
  </si>
  <si>
    <t>Mathematics -- Study and teaching -- Russia</t>
  </si>
  <si>
    <t>Assessment In The Mathematics Classroom: Yearbook 2011, Association Of Mathematics Educators</t>
  </si>
  <si>
    <t>Berinderjeet Kaur;Khoon Yoong Wong</t>
  </si>
  <si>
    <t>QA14.S55 -- A87 2011eb</t>
  </si>
  <si>
    <t>Mathematical ability -- Testing</t>
  </si>
  <si>
    <t>Achieving World-Class Education in Brazil : The Next Agenda</t>
  </si>
  <si>
    <t>Bruns, Barbara;Evans, David;Luque, Javier</t>
  </si>
  <si>
    <t>LA557 -- .W67 2011eb</t>
  </si>
  <si>
    <t>Education, Secondary -- Brazil. ; Educational change -- Brazil.</t>
  </si>
  <si>
    <t>Putting Higher Education to Work : Skills and Research for Growth in East Asia</t>
  </si>
  <si>
    <t>di Gropello, Emanuela;Tandon, Prateek;Yusuf, Shahid;Yusuf, Shahid</t>
  </si>
  <si>
    <t>LA1143 -- .P87 2012eb</t>
  </si>
  <si>
    <t>iPod (Digital music player) ; MP3 players.</t>
  </si>
  <si>
    <t>Learning and Hatred for Meaning</t>
  </si>
  <si>
    <t>Letiche, Hugo Kuyper</t>
  </si>
  <si>
    <t>LB2331 -- .L47 1984eb</t>
  </si>
  <si>
    <t>378/.1796</t>
  </si>
  <si>
    <t>Dietetics -- Vocational guidance. ; Nutrition -- Vocational guidance.</t>
  </si>
  <si>
    <t>Liberal Arts and the Jesuit College System</t>
  </si>
  <si>
    <t>Scaglione, Aldo</t>
  </si>
  <si>
    <t>LC493 -- .S22 1986eb</t>
  </si>
  <si>
    <t>Communication in management. ; Business presentations. ; Oral communication.</t>
  </si>
  <si>
    <t>101 Tips to Getting the Residency You Want : A Guide for Medical Students</t>
  </si>
  <si>
    <t>Canady, John</t>
  </si>
  <si>
    <t>R840</t>
  </si>
  <si>
    <t>610.71/173</t>
  </si>
  <si>
    <t>Medicine - Study and teaching (Residency) - United States</t>
  </si>
  <si>
    <t>Dream Not of Other Worlds : Teaching in a Segregated Elementary School,1970</t>
  </si>
  <si>
    <t>Diehl, Huston</t>
  </si>
  <si>
    <t>Sightline Bks.</t>
  </si>
  <si>
    <t>LC2802</t>
  </si>
  <si>
    <t>371.829/960755465</t>
  </si>
  <si>
    <t>African Americans -- Education -- Virginia -- Louisa County -- Case studies.</t>
  </si>
  <si>
    <t>The Most American Thing in America : Circuit Chautauqua As Performance</t>
  </si>
  <si>
    <t>Canning, Charlotte M.</t>
  </si>
  <si>
    <t>Studies Theatre Hist and Culture Series</t>
  </si>
  <si>
    <t>LC6301</t>
  </si>
  <si>
    <t>Chautauquas.</t>
  </si>
  <si>
    <t>Farm House : College Farm to University Museum</t>
  </si>
  <si>
    <t>Atherly, Mary E.</t>
  </si>
  <si>
    <t>Bur Oak Book Series</t>
  </si>
  <si>
    <t>LD2547</t>
  </si>
  <si>
    <t>378.777/546</t>
  </si>
  <si>
    <t>Iowa State University. Farm House Museum.</t>
  </si>
  <si>
    <t>The University of Iowa Guide to Campus Architecture</t>
  </si>
  <si>
    <t>Scott, John Beldon;Lehnertz, Rodney P.</t>
  </si>
  <si>
    <t>Bur Oak Guide Series</t>
  </si>
  <si>
    <t>LD2569</t>
  </si>
  <si>
    <t>378.777/655</t>
  </si>
  <si>
    <t>University of Iowa -- buildings</t>
  </si>
  <si>
    <t>American Idyll : Academic Antielitism As Cultural Critique</t>
  </si>
  <si>
    <t>Liu, Catherine</t>
  </si>
  <si>
    <t>HN90</t>
  </si>
  <si>
    <t>305.5/52097309045</t>
  </si>
  <si>
    <t>Elite (Social Sciences)--United States. ; Intellectuals--United States. ; Education, Higher--United States. ; United States--Social conditions--20th century.</t>
  </si>
  <si>
    <t>An Iowa Schoolma'am : Letters of Elizabeth Bess Corey, 1904-1908</t>
  </si>
  <si>
    <t>Gerber, Philip L.;Wright, Charlotte M.;Theobald, Paul</t>
  </si>
  <si>
    <t>LA2317</t>
  </si>
  <si>
    <t>371.10092 B</t>
  </si>
  <si>
    <t>Corey, Elizabeth--Correspondence. ; Teachers--Iowa--Correspondence. ; Rural schools--Iowa.</t>
  </si>
  <si>
    <t>Key Persons in the Early Years : Building Relationships for Quality Provision in Early Years Settings and Primary Schools</t>
  </si>
  <si>
    <t>Elfer, Peter;Goldschmied, Elinor;Selleck, Dorothy Y.</t>
  </si>
  <si>
    <t>LB1555 -- .E444 2012eb</t>
  </si>
  <si>
    <t>Elementary school teaching. ; Effective teaching. ; Elementary school teachers -- Professional relationships.</t>
  </si>
  <si>
    <t>The Problem with Math Is English : A Language-Focused Approach to Helping All Students Develop a Deeper Understanding of Mathematics</t>
  </si>
  <si>
    <t>Molina, Concepcion</t>
  </si>
  <si>
    <t>QA135.6.M685 2012</t>
  </si>
  <si>
    <t>Mathematics--Study and teaching. ; English language--Study and teaching. ; Language arts--Correlation with content subjects. ; EDUCATION / Teaching Methods &amp; Materials / Mathematics bisacsh.</t>
  </si>
  <si>
    <t>"Multiplication Is for White People" : Raising Expectations for Other People’s Children</t>
  </si>
  <si>
    <t>The New Press</t>
  </si>
  <si>
    <t>Delpit, Lisa</t>
  </si>
  <si>
    <t>LC213.2 -- .D45 2012eb</t>
  </si>
  <si>
    <t>Students with social disabilities - Education - United States</t>
  </si>
  <si>
    <t>Learning with the Lights Off : Educational Film in the United States</t>
  </si>
  <si>
    <t>Orgeron, Devin;Orgeron, Marsha;Streible, Dan</t>
  </si>
  <si>
    <t>LB1044 .L43 2011</t>
  </si>
  <si>
    <t>371.33/523</t>
  </si>
  <si>
    <t>Educational films -- United States -- History and criticism. ; Motion pictures in education -- United States.</t>
  </si>
  <si>
    <t>The Power in / of Language</t>
  </si>
  <si>
    <t>Cole, David R.;Graham, Linda J.</t>
  </si>
  <si>
    <t>P40.8 -- .P685 2012eb</t>
  </si>
  <si>
    <t>Preparing Effective Special Education Teachers</t>
  </si>
  <si>
    <t>Mamlin, Nancy</t>
  </si>
  <si>
    <t>LC3969.45 -- .M36 2012eb</t>
  </si>
  <si>
    <t>Special education teachers -- Training of -- United States. ; Special education -- Study and teaching -- United States.</t>
  </si>
  <si>
    <t>Immigration and the Challenge of Education : A Social Drama Analysis in South Central Los Angeles</t>
  </si>
  <si>
    <t>Jaramillo, N.</t>
  </si>
  <si>
    <t>371.826/912079494</t>
  </si>
  <si>
    <t>Political sociology</t>
  </si>
  <si>
    <t>Thinking about and Enacting Curriculum in "Frames of War"</t>
  </si>
  <si>
    <t>Naqvi, Rahat;Smits, Hans</t>
  </si>
  <si>
    <t>Critical Education Policy and Politics Series</t>
  </si>
  <si>
    <t>LB2806.15.T55 2011</t>
  </si>
  <si>
    <t>Curriculum planning--Philosophy. ; Critical pedagogy. ; Education--Aims and objectives. ; War and education. ; PHILOSOPHY / Epistemology. ; EDUCATION / Educational Policy &amp; Reform / General. ; EDUCATION / Philosophy &amp; Social Aspects.</t>
  </si>
  <si>
    <t>It's Time for a Change : School Reform for the Next Decade</t>
  </si>
  <si>
    <t>Lynch, Matthew</t>
  </si>
  <si>
    <t>LB2822.82.L96 2011</t>
  </si>
  <si>
    <t>School improvement programs--United States. ; Educational change--United States.</t>
  </si>
  <si>
    <t>Time for Action : Stop Teaching to the Test and Start Teaching Skills</t>
  </si>
  <si>
    <t>Wurdinger, Scott D.</t>
  </si>
  <si>
    <t>LB3051.W87 2012</t>
  </si>
  <si>
    <t>Educational tests and measurements--United States. ; Educational change--United States. ; Life skills--Study and teaching--United States.</t>
  </si>
  <si>
    <t>Declaring War Against Schooling : Personalizing Learning Now</t>
  </si>
  <si>
    <t>Glines, Don</t>
  </si>
  <si>
    <t>LB1031.G555 2012</t>
  </si>
  <si>
    <t>Individualized instruction. ; Student-centered learning. ; School improvement programs.</t>
  </si>
  <si>
    <t>Innovative Voices in Education : Engaging Diverse Communities</t>
  </si>
  <si>
    <t>Kugler, Eileen Gale;Darden, Edwin;Adhikary, Shriya;Carjuzaa, Jioanna;Gomez, Jesse Bethke;Gani, Waliha;Fulcher, Debra;Grainger, Sean;Han, Young-Chan;Harris, Ashley</t>
  </si>
  <si>
    <t>LC3731.K84 2011</t>
  </si>
  <si>
    <t>Children of minorities--Education--United States. ; Children of immigrants--Education--United States. ; Multicultural education--United States. ; EDUCATION / Bilingual Education.</t>
  </si>
  <si>
    <t>The Making of Chicana/o Studies : In the Trenches of Academe</t>
  </si>
  <si>
    <t>Acuna, Rodolfo F.;Acuña, Rodolfo F.</t>
  </si>
  <si>
    <t>Latinidad: Transnational Cultures in the United States Series</t>
  </si>
  <si>
    <t>E184.M5 A625 2011</t>
  </si>
  <si>
    <t>973/.046872</t>
  </si>
  <si>
    <t>Mexican Americans-Study and teaching (Higher)-History.</t>
  </si>
  <si>
    <t>Developing and Sustaining Successful First-Year Programs : A Guide for Practitioners</t>
  </si>
  <si>
    <t>Greenfield, Gerald M.;Keup, Jennifer R.;Gardner, John N.</t>
  </si>
  <si>
    <t>LB2343.4.G74 2013eb</t>
  </si>
  <si>
    <t>College student development programs -- United States -- Case studies. ; College freshmen -- United States -- Case studies.</t>
  </si>
  <si>
    <t>Continuing to Engage the Online Learner : More Activities and Resources for Creative Instruction</t>
  </si>
  <si>
    <t>Conrad, Rita-Marie;Donaldson, J. Ana;Conrad, Rita-Marie</t>
  </si>
  <si>
    <t>LB1044.87 -- .C655 2012eb</t>
  </si>
  <si>
    <t>Ecoliterate : How Educators Are Cultivating Emotional, Social, and Ecological Intelligence</t>
  </si>
  <si>
    <t>Goleman, Daniel;Bennett, Lisa;Barlow, Zenobia</t>
  </si>
  <si>
    <t>GE70 -- .G66 2012eb</t>
  </si>
  <si>
    <t>Emotional intelligence -- Study and teaching -- United States</t>
  </si>
  <si>
    <t>Lessons from the Virtual Classroom : The Realities of Online Teaching</t>
  </si>
  <si>
    <t>LB1044.87 -- .P34 2013eb</t>
  </si>
  <si>
    <t>Web-based instruction</t>
  </si>
  <si>
    <t>Vocabulary Instruction for Struggling Students</t>
  </si>
  <si>
    <t>Vadasy, Patricia F.;Nelson, J. Ron</t>
  </si>
  <si>
    <t>LB1574.5 -- .V64 2012eb</t>
  </si>
  <si>
    <t>Vocabulary -- Study and teaching. ; Learning disabled children -- Education. ; Reading -- Remedial teaching.</t>
  </si>
  <si>
    <t>Black Female Undergraduates on Campus : Successes and Challenges</t>
  </si>
  <si>
    <t>Chambers, Crystal R.;Sharpe, Rhonda V.;Frierson, Henry T.</t>
  </si>
  <si>
    <t>African American women college students. ; African American women -- Education (Higher) ; Academic achievement.</t>
  </si>
  <si>
    <t>Misbehavior Online in Higher Education</t>
  </si>
  <si>
    <t>LB2344</t>
  </si>
  <si>
    <t>College discipline</t>
  </si>
  <si>
    <t>Closing Chapters : Urban Change, Religious Reform, and the Decline of Youngstown's Catholic Elementary Schools, 1960-2006</t>
  </si>
  <si>
    <t>Welsh, Thomas G.</t>
  </si>
  <si>
    <t>LC503.Y68W45 2011</t>
  </si>
  <si>
    <t>372.1042/71277139</t>
  </si>
  <si>
    <t>Catholic elementary schools--Ohio--Youngstown--History. ; Urban education--Ohio--Youngstown--History. ; Catholics--Religious identity--United States. ; EDUCATION / Elementary. ; RELIGION / Christian Education / Children &amp; Youth. ; RELIGION / Christianity / Catholic. ; SOCIAL SCIENCE / Sociology / Urban.</t>
  </si>
  <si>
    <t>Feminisms and Educational Research</t>
  </si>
  <si>
    <t>Burbules, Nicholas C.;Kohli, Wendy R.</t>
  </si>
  <si>
    <t>Philosophy, Theory, and Educational Research Series</t>
  </si>
  <si>
    <t>LC197.K65 2012</t>
  </si>
  <si>
    <t>Feminism and education--Research. ; Feminist theory.</t>
  </si>
  <si>
    <t>Advancing Your Career : Getting and Making the Most of Your Doctorate</t>
  </si>
  <si>
    <t>Brubaker, Michael;Brubaker, Dale</t>
  </si>
  <si>
    <t>LB2386.B78 2011</t>
  </si>
  <si>
    <t>Doctor of philosophy degree.</t>
  </si>
  <si>
    <t>Town and Gown : The Fight for Social Justice, Urban Rebirth, and Higher Education</t>
  </si>
  <si>
    <t>Parmet, Robert D.</t>
  </si>
  <si>
    <t>LD6371.Y54P37 2011+</t>
  </si>
  <si>
    <t>378.747/243</t>
  </si>
  <si>
    <t>York College (New York, N.Y.)--History. ; Minorities--Education (Higher)--New York (State)--New York. ; Urban renewal--New York (State)--New York. ; Jamaica (New York, N.Y.)--Social conditions.</t>
  </si>
  <si>
    <t>Academic and Behavior Supports for at-Risk Students : Tier 2 Interventions</t>
  </si>
  <si>
    <t>Stormont, Melissa;Reinke, Wendy M.;Herman, Keith C.;Lembke, Erica S</t>
  </si>
  <si>
    <t>LC4801 -- .A32 2012eb</t>
  </si>
  <si>
    <t>A World-Class Education : Learning from International Models of Excellence and Innovation</t>
  </si>
  <si>
    <t>Stewart, Vivien</t>
  </si>
  <si>
    <t>LB2822.82 -- .S8418 2012eb</t>
  </si>
  <si>
    <t>School improvement programs. ; Education, Higher -- Economic aspects. ; Labor productivity -- Effect of education on. ; Education and globalization.</t>
  </si>
  <si>
    <t>Outdoor Learning: Past and Present</t>
  </si>
  <si>
    <t>Joyce, Rosaleen</t>
  </si>
  <si>
    <t>LC1038 .J69 2012</t>
  </si>
  <si>
    <t>Huang, Rayson;Li, Jun;Lin, Jing;Zha, Qiang</t>
  </si>
  <si>
    <t>LA2383.C52 -- H786 2011eb</t>
  </si>
  <si>
    <t>Huang, Rayson. ; College administrators -- China -- Hong Kong -- Biography.</t>
  </si>
  <si>
    <t>Stepping Forth into the World : The Chinese Educational Mission to the United States, 1872-81</t>
  </si>
  <si>
    <t>Rhoads, Edward J. M.</t>
  </si>
  <si>
    <t>LC3071 -- .R46 2011eb</t>
  </si>
  <si>
    <t>Great Britain. -- Scottish Office -- History. ; Decentralization in government -- Scotland -- History. ; Scotland -- Politics and government -- 19th century. ; Scotland -- Politics and government -- 20th century.</t>
  </si>
  <si>
    <t>Systematic Screenings of Behavior to Support Instruction : From Preschool to High School</t>
  </si>
  <si>
    <t>Lane, Kathleen Lynne;Menzies, Holly Mariah;Oakes, Wendy Peia;Kalberg, Jemma Robertson</t>
  </si>
  <si>
    <t>LB1124 -- .S96 2012eb</t>
  </si>
  <si>
    <t>Behavioral assessment of children</t>
  </si>
  <si>
    <t>The Empire Strikes Back : Outsiders and the Struggle over Legal Education</t>
  </si>
  <si>
    <t>NYU Press</t>
  </si>
  <si>
    <t>New York University Press</t>
  </si>
  <si>
    <t>Austin, Arthur D.</t>
  </si>
  <si>
    <t>Critical America Series</t>
  </si>
  <si>
    <t>KF272 -- .A93 1998eb</t>
  </si>
  <si>
    <t>Critical legal studies - United States</t>
  </si>
  <si>
    <t>Our Schools Suck : Students Talk Back to a Segregated Nation on the Failures of Urban Education</t>
  </si>
  <si>
    <t>Theoharis, Jeanne;Alonso, Gaston;Anderson, Noel S.;Su, Celina</t>
  </si>
  <si>
    <t>LC5131 -- .O87 2009eb</t>
  </si>
  <si>
    <t>370.9173/20973</t>
  </si>
  <si>
    <t>Minority teenagers - Education - United States</t>
  </si>
  <si>
    <t>Children of a New World : Society, Culture, and Globalization</t>
  </si>
  <si>
    <t>HQ792.U5 -- F34 2007eb</t>
  </si>
  <si>
    <t>305.230973/0904</t>
  </si>
  <si>
    <t>Children in popular culture - United States - History - 20th century</t>
  </si>
  <si>
    <t>Getting Wasted : Why College Students Drink Too Much and Party So Hard</t>
  </si>
  <si>
    <t>Ven, Thomas Vander</t>
  </si>
  <si>
    <t>HV5135 -- .V36 2011eb</t>
  </si>
  <si>
    <t>362.292/208420973</t>
  </si>
  <si>
    <t>College students -- Alcohol use -- United States.</t>
  </si>
  <si>
    <t>Homeroom Security : School Discipline in an Age of Fear</t>
  </si>
  <si>
    <t>Kupchik, Aaron</t>
  </si>
  <si>
    <t>Youth, Crime, and Justice Series</t>
  </si>
  <si>
    <t>LB3012 -- .K87 2010eb</t>
  </si>
  <si>
    <t>Schools - Safety measures</t>
  </si>
  <si>
    <t>God's New Whiz Kids? : Korean American Evangelicals on Campus</t>
  </si>
  <si>
    <t>Kim, Rebecca Y.</t>
  </si>
  <si>
    <t>BV4468.2.K6 -- K56 2006eb</t>
  </si>
  <si>
    <t>277.3/083089957</t>
  </si>
  <si>
    <t>Church work with Korean Americans</t>
  </si>
  <si>
    <t>The Chicana/o Cultural Studies Forum : Critical and Ethnographic Practices</t>
  </si>
  <si>
    <t>Chabram-Dernersesian, Angie</t>
  </si>
  <si>
    <t>E184.M5 -- C384 2007eb</t>
  </si>
  <si>
    <t>Mexican Americans-Study and teaching-Congresses. ; Mexican Americans-Intellectual life-Congresses. ; Culture-Study and teaching-United States-Congresses.</t>
  </si>
  <si>
    <t>Corridor Cultures : Mapping Student Resistance at an Urban School</t>
  </si>
  <si>
    <t>Dickar, Maryann</t>
  </si>
  <si>
    <t>Qualitative Studies in Psychology Series</t>
  </si>
  <si>
    <t>LB3605 -- .D53 2008eb</t>
  </si>
  <si>
    <t>Urban schools - United States</t>
  </si>
  <si>
    <t>Educating the Whole Child for the Whole World : The Ross School Model and Education for the Global Era</t>
  </si>
  <si>
    <t>Suarez-Orozco, Marcelo M.;Sattin-Bajaj, Carolyn</t>
  </si>
  <si>
    <t>LC996.N7 -- E38 2010eb</t>
  </si>
  <si>
    <t>Ross School (East Hampton, N.Y.)</t>
  </si>
  <si>
    <t>No University Is an Island : Saving Academic Freedom</t>
  </si>
  <si>
    <t>Nelson, Cary</t>
  </si>
  <si>
    <t>Cultural Front Series</t>
  </si>
  <si>
    <t>LB2322.2 -- .N45 2010eb</t>
  </si>
  <si>
    <t>378.1/213</t>
  </si>
  <si>
    <t>Leading the Sustainable School : Distributing Leadership to Inspire School Improvement</t>
  </si>
  <si>
    <t>Massey, Debra</t>
  </si>
  <si>
    <t>LB2900.5.M37 2011</t>
  </si>
  <si>
    <t>Reading Circles, Novels and Adult Reading Development</t>
  </si>
  <si>
    <t>Duncan, Sam</t>
  </si>
  <si>
    <t>Z1003 -- .D86 2012eb</t>
  </si>
  <si>
    <t>Books and reading. ; Reading.</t>
  </si>
  <si>
    <t>General Works/Reference; Language/Linguistics</t>
  </si>
  <si>
    <t>Developing Everyday Coping Skills in the Early Years : Proactive Strategies for Supporting Social and Emotional Development</t>
  </si>
  <si>
    <t>Frydenberg, Erica;Deans, Jan;O'Brien, Kelly</t>
  </si>
  <si>
    <t>LB1072.F79 2011</t>
  </si>
  <si>
    <t>Affective education. ; Adjustment (Psychology) in children. ; Child development. ; Early childhood education--Parent participation.</t>
  </si>
  <si>
    <t>The Identities and Practices of High Achieving Pupils : Negotiating Achievement and Peer Cultures</t>
  </si>
  <si>
    <t>Francis, Becky;Read, Barbara;Skelton, Christine</t>
  </si>
  <si>
    <t>LC3993.2.F73 2012</t>
  </si>
  <si>
    <t>Gifted children--Education. ; Gifted children--Social conditions. ; Academic achievement. ; Academic achievement--Sex differences.</t>
  </si>
  <si>
    <t>The Primary Curriculum Design Handbook : Preparing Our Children for the 21st Century</t>
  </si>
  <si>
    <t>Male, Brian;Male, Brian</t>
  </si>
  <si>
    <t>LB1139.4</t>
  </si>
  <si>
    <t>Education, Elementary -- Curricula -- Great Britain. ; Curriculum planning -- Great Britain.</t>
  </si>
  <si>
    <t>Get That Teaching Job!</t>
  </si>
  <si>
    <t>Ainsworth, Paul K.</t>
  </si>
  <si>
    <t>LB1780.A47 2012</t>
  </si>
  <si>
    <t>371.102/341</t>
  </si>
  <si>
    <t>Teachers--Employment--Great Britain--Handbooks, manuals, etc. ; Job hunting--Great Britain--Handbooks, manuals, etc. ; Teaching--Vocational guidance--Great Britain--Handbooks, manuals, etc.</t>
  </si>
  <si>
    <t>Cultural Foundations of Learning : East and West</t>
  </si>
  <si>
    <t>Li, Jin</t>
  </si>
  <si>
    <t>LB1060 .L5 2012</t>
  </si>
  <si>
    <t>Learning -- Western countries</t>
  </si>
  <si>
    <t>Making Haste Slowly : The Troubled History of Higher Education in Mississippi</t>
  </si>
  <si>
    <t>Sansing, David G.</t>
  </si>
  <si>
    <t>LA313.5 -- .S26 1990eb</t>
  </si>
  <si>
    <t>Universities and colleges -- Mississippi -- History. ; Education, Higher -- Social aspects -- Mississippi.</t>
  </si>
  <si>
    <t>Entrepreneurial President : Richard Atkinson and the University of California, 1995-2003</t>
  </si>
  <si>
    <t>Pelfrey, Patricia A.</t>
  </si>
  <si>
    <t>LD755.A87 -- P45 2012eb</t>
  </si>
  <si>
    <t>378.0092 B</t>
  </si>
  <si>
    <t>Nuclear energy - Research - Laboratories - Management</t>
  </si>
  <si>
    <t>Handbook of Early Childhood Education</t>
  </si>
  <si>
    <t>Pianta, Robert C.;Barnett, W. Steven;Justice, Laura M.;Sheridan, Susan M.;Sheridan, Susan M.</t>
  </si>
  <si>
    <t>LB1139.25 -- .H343 2012eb</t>
  </si>
  <si>
    <t>Early childhood education -- United States -- Handbooks, manuals, etc.</t>
  </si>
  <si>
    <t>Skills for the 21st Century in Latin America and the Caribbean</t>
  </si>
  <si>
    <t>Aedo, Cristian;Walker, Ian</t>
  </si>
  <si>
    <t>LC67.L3 -- A44 2012eb</t>
  </si>
  <si>
    <t>338.4/737098</t>
  </si>
  <si>
    <t>Education -- Economic aspects -- Latin America. ; Education -- Economic aspects -- Caribbean Area. ; Wages -- Latin America. ; Wages -- Caribbean Area.</t>
  </si>
  <si>
    <t>Status of the Education Sector in Sudan</t>
  </si>
  <si>
    <t>LA1651 -- .S83 2011eb</t>
  </si>
  <si>
    <t>Education -- Sudan -- Evaluation.</t>
  </si>
  <si>
    <t>Skills, not just Diplomas : Managing Education for Results in Eastern Europe and Central Asia</t>
  </si>
  <si>
    <t>Sondergaard, Lars;Murthi, Mamta;Abu-Ghaida, Dina</t>
  </si>
  <si>
    <t>LA621.8 -- .S66 2012eb</t>
  </si>
  <si>
    <t>Education -- Europe, Eastern. ; School management and organization -- Europe, Eastern. ; Education -- Asia, Central. ; School management and organization -- Asia, Central.</t>
  </si>
  <si>
    <t>Implementing a National Assessment of Educational Achievement</t>
  </si>
  <si>
    <t>Greaney, Vincent;Kellaghan, Thomas;Greaney, Vincent</t>
  </si>
  <si>
    <t>LB3051 -- .I463 2012eb</t>
  </si>
  <si>
    <t>Educational tests and measurements -- United States. ; Educational evaluation -- United States.</t>
  </si>
  <si>
    <t>Discretionary Behavior and Performance in Educational Organizations : The Missing Link in Educational Leadership and Management</t>
  </si>
  <si>
    <t>Duyar, Ibrahim;Normore, Anthony H.</t>
  </si>
  <si>
    <t>Organizational behavior. ; School management and organization.</t>
  </si>
  <si>
    <t>The Good News Club : The Christian Right's Stealth Assault on America's Children</t>
  </si>
  <si>
    <t>Stewart, Katherine</t>
  </si>
  <si>
    <t>LC111 -- .S69 2012eb</t>
  </si>
  <si>
    <t>379.2/80973</t>
  </si>
  <si>
    <t>Religion in the public schools -- United States.</t>
  </si>
  <si>
    <t>The Guide to Learning and Study Skills : For Higher Education and at Work</t>
  </si>
  <si>
    <t>Drew, Sue;Bingham, Rosie</t>
  </si>
  <si>
    <t>LB2395 -- .D74 2010eb</t>
  </si>
  <si>
    <t>Study skills -- Handbooks, manuals, etc. ; College student orientation -- Handbooks, manuals, etc.</t>
  </si>
  <si>
    <t>Schools under Surveillance : Cultures of Control in Public Education</t>
  </si>
  <si>
    <t>Monahan, Torin;Torres, Rodolfo D.;Kupchik, Aaron;Bracy, Nicole;Apple, Michael;Hirschfield, Paul;Casella, Ronnie;Gilliom, John;Hope, Andrew;Lewis, Tyson</t>
  </si>
  <si>
    <t>Critical Issues in Crime and Society Series</t>
  </si>
  <si>
    <t>School violence-United States-Prevention. ; Public schools-Security measures-United States. ; Electronic surveillance-United States.</t>
  </si>
  <si>
    <t>The Democratic Dilemma of American Education : Out of Many, One?</t>
  </si>
  <si>
    <t>Shober, Arnold</t>
  </si>
  <si>
    <t>Dilemmas in American Politics</t>
  </si>
  <si>
    <t>LC89 -- .S495 2012eb</t>
  </si>
  <si>
    <t>Education and state -- United States. ; Democracy and education -- United States.</t>
  </si>
  <si>
    <t>RTI Applications, Volume 1 : Academic and Behavioral Interventions</t>
  </si>
  <si>
    <t>Riley-Tillman, T. Chris;VanDerHeyden, Amanda M.;Burns, Matthew K.</t>
  </si>
  <si>
    <t>LC4705 -- .B87 2012eb</t>
  </si>
  <si>
    <t>Response to intervention (Learning disabled children) -- Handbooks, manuals, etc.</t>
  </si>
  <si>
    <t>Researching Education Through Actor-Network Theory</t>
  </si>
  <si>
    <t>Supporting Dyslexic Adults in Higher Education and the Workplace</t>
  </si>
  <si>
    <t>Brunswick, Nicola</t>
  </si>
  <si>
    <t>Dyslexics -- Education (Higher) -- Great Britain</t>
  </si>
  <si>
    <t>Confessions of a Community College Administrator</t>
  </si>
  <si>
    <t>Reed, Matthew;McClenney, Kay;McClenney, Kay</t>
  </si>
  <si>
    <t>LB2328 -- .C714 2013eb</t>
  </si>
  <si>
    <t>Community colleges -- United States.</t>
  </si>
  <si>
    <t>Best Practices in Faculty Evaluation : A Practical Guide for Academic Leaders</t>
  </si>
  <si>
    <t>College teachers -- Rating of -- United States</t>
  </si>
  <si>
    <t>Grant Seeking in Higher Education : Strategies and Tools for College Faculty</t>
  </si>
  <si>
    <t>Licklider, Mary M.;The University of Missouri Grant Writer Network</t>
  </si>
  <si>
    <t>Education, Higher -- United States -- Finance</t>
  </si>
  <si>
    <t>The Strategic Management of Higher Education Institutions : Serving Students As Customers for Institutional Growth</t>
  </si>
  <si>
    <t>Business Expert Press</t>
  </si>
  <si>
    <t>Kazeroony, Hamid</t>
  </si>
  <si>
    <t>LB2341 -- .S776 2012</t>
  </si>
  <si>
    <t>Universities and colleges -- Administration. ; Higher education ; strategy ; change ; management</t>
  </si>
  <si>
    <t>Discipline Without Anger : A New Style of Classroom Management</t>
  </si>
  <si>
    <t>Campbell, Doug</t>
  </si>
  <si>
    <t>LB3012.2.C35 2012</t>
  </si>
  <si>
    <t>School discipline--United States. ; Classroom management--United States. ; Behavior modification--United States. ; EDUCATION / Teaching Methods &amp; Materials / General. bisacsh. ; EDUCATION / Classroom Management. bisacsh. ; EDUCATION / Decision-Making &amp; Problem Solving. bisacsh.</t>
  </si>
  <si>
    <t>Renewal : Remaking America's Schools for the Twenty-First Century</t>
  </si>
  <si>
    <t>Kwalwasser, Harold</t>
  </si>
  <si>
    <t>LB2822.82.K93 2012</t>
  </si>
  <si>
    <t>School improvement programs--United States. ; Educational change--United States. ; Education--Aims and objectives--United States.</t>
  </si>
  <si>
    <t>The New Idea of a University</t>
  </si>
  <si>
    <t>Luton, Bedfordshire</t>
  </si>
  <si>
    <t>Maskell, Duke;Robinson, Ian</t>
  </si>
  <si>
    <t>LA637 -- .M354 2002eb</t>
  </si>
  <si>
    <t>Evaluation</t>
  </si>
  <si>
    <t>Understanding by Design Guide to Advanced Concepts in Creating and Reviewing Units</t>
  </si>
  <si>
    <t>School Resegregation : Must the South Turn Back?</t>
  </si>
  <si>
    <t>Boger, John Charles;Orfield, Gary</t>
  </si>
  <si>
    <t>H. Eugene and Lillian Youngs Lehman Series</t>
  </si>
  <si>
    <t>LC212.622 -- .S35 2005eb</t>
  </si>
  <si>
    <t>379.2/63/0975</t>
  </si>
  <si>
    <t>Segregation in education -- Southern States -- Congresses. ; School integration -- Southern States -- Congresses. ; Public schools -- Southern States -- Congresses.</t>
  </si>
  <si>
    <t>The Education of Blacks in the South, 1860-1935</t>
  </si>
  <si>
    <t>Anderson, James D.</t>
  </si>
  <si>
    <t>LC2802.S9 A53 1988</t>
  </si>
  <si>
    <t>African Americans-Education-Southern States-History-19th century. ; African Americans-Education-Southern States-History-20th century.</t>
  </si>
  <si>
    <t>The Joy of Teaching : A Practical Guide for New College Instructors</t>
  </si>
  <si>
    <t>Filene, Peter;Bain, Ken</t>
  </si>
  <si>
    <t>LB2331.F49</t>
  </si>
  <si>
    <t>First year teachers - Handbooks, manuals, etc.</t>
  </si>
  <si>
    <t>William Friday : Power, Purpose, and American Higher Education</t>
  </si>
  <si>
    <t>Link, William A.</t>
  </si>
  <si>
    <t>LD3942.7.F75 -- L56 1995eb</t>
  </si>
  <si>
    <t>378.111;378.756092</t>
  </si>
  <si>
    <t>Friday, William C. -- (William Clyde) ; University of North Carolina (System) -- Presidents -- Biography. ; Hoger onderwijs. -- gtt</t>
  </si>
  <si>
    <t>Brown's Battleground : Students, Segregationists, and the Struggle for Justice in Prince Edward County, Virginia</t>
  </si>
  <si>
    <t>Titus, Jill Ogline</t>
  </si>
  <si>
    <t>LC214.22.V8 -- T58 2011eb</t>
  </si>
  <si>
    <t>Brown, Oliver, -- 1918-1961 -- Trials, litigation, etc. ; School integration -- Virginia -- Prince Edward County. ; Educational equalization -- Virginia -- Prince Edward County. ; Public schools -- Virginia -- Prince Edward County. ; African American students -- Virginia -- Prince Edward County. ; Civil rights movements -- Virginia -- Prince Edward County.</t>
  </si>
  <si>
    <t>Self-Taught : African American Education in Slavery and Freedom</t>
  </si>
  <si>
    <t>Williams, Heather Andrea</t>
  </si>
  <si>
    <t>The John Hope Franklin Series in African American History and Culture Series</t>
  </si>
  <si>
    <t>LC2802.S9 -- W55 2005eb</t>
  </si>
  <si>
    <t>370/.89/96073075</t>
  </si>
  <si>
    <t>African Americans -- Education -- Southern States -- History. ; Slaves -- Education -- Southern States -- History. ; Freedmen -- Education -- Southern States -- History. ; Self-culture -- Southern States -- History. ; Literacy -- Southern States -- History. ; Education -- Social aspects -- Southern States -- History. ; Slavery -- Southern States -- History.</t>
  </si>
  <si>
    <t>Intellectual Culture in Medieval Paris : Theologians and the University, C. 1100-1330</t>
  </si>
  <si>
    <t>Wei, Ian P.</t>
  </si>
  <si>
    <t>LA698 .W43 2012</t>
  </si>
  <si>
    <t>Université de Paris -- History -- To 1500</t>
  </si>
  <si>
    <t>Young Childrens Creative Thinking</t>
  </si>
  <si>
    <t>Fumoto, Hiroko;Robson, Sue;Greenfield, Sue;Hargreaves, David J.</t>
  </si>
  <si>
    <t>LB1062 -- .Y68 2012eb</t>
  </si>
  <si>
    <t>Kleinkind</t>
  </si>
  <si>
    <t>Teaching Play to Children with Autism : Practical Interventions Using Identiplay</t>
  </si>
  <si>
    <t>Phillips, Nicky;Beavan, Liz</t>
  </si>
  <si>
    <t>RJ506.A9 -- P45 2012eb</t>
  </si>
  <si>
    <t>Autistic children -- Behavior modification. ; Play therapy. ; Autistic children -- Education.</t>
  </si>
  <si>
    <t>Evidence Synthesis for Decision Making in Healthcare</t>
  </si>
  <si>
    <t>Welton, Nicky J.;Sutton, Alexander J.;Cooper, Nicola;Abrams, Keith R.;Ades, A. E.</t>
  </si>
  <si>
    <t>Statistics in Practice Series</t>
  </si>
  <si>
    <t>Evidence-based medicine -- Statistical methods</t>
  </si>
  <si>
    <t>Debates in the Digital Humanities</t>
  </si>
  <si>
    <t>Gold, Matthew K.</t>
  </si>
  <si>
    <t>Debates in the Digital Humanities Series</t>
  </si>
  <si>
    <t>AZ182 -- .D44 2012eb</t>
  </si>
  <si>
    <t>Collaborating to Meet Language Challenges in Indigenous Mathematics Classrooms</t>
  </si>
  <si>
    <t>Meaney, Tamsin;Trinick, Tony;Fairhall, Uenuku</t>
  </si>
  <si>
    <t>Mathematics Education Library</t>
  </si>
  <si>
    <t>QA10.92-20</t>
  </si>
  <si>
    <t>Indigenous peoples -- Education</t>
  </si>
  <si>
    <t>Handbook of Self-Regulation</t>
  </si>
  <si>
    <t>Boekaerts, Monique;Pintrich, Paul R.;Zeidner, Moshe</t>
  </si>
  <si>
    <t>BF636 .B889 2005</t>
  </si>
  <si>
    <t>155.2/5</t>
  </si>
  <si>
    <t>Will</t>
  </si>
  <si>
    <t>Fluency Instruction : Research-Based Best Practices</t>
  </si>
  <si>
    <t>Rasinski, Timothy;Blachowicz, Camille;Lems, Kristin;Rasinski, Timothy V.</t>
  </si>
  <si>
    <t>LB1050 -- .F58 2012eb</t>
  </si>
  <si>
    <t>Reading. ; Reading -- Remedial teaching.</t>
  </si>
  <si>
    <t>Vocabulary Instruction : Research to Practice</t>
  </si>
  <si>
    <t>Kame'enui, Edward J.;Baumann, James F.</t>
  </si>
  <si>
    <t>Vocabulary -- Study and teaching. ; Reading.</t>
  </si>
  <si>
    <t>Improving Learning Environments : School Discipline and Student Achievement in Comparative Perspective</t>
  </si>
  <si>
    <t>Arum, Richard;Velez, Melissa</t>
  </si>
  <si>
    <t>Studies in Social Inequality Series</t>
  </si>
  <si>
    <t>School discipline. ; Academic achievement. ; Comparative education.</t>
  </si>
  <si>
    <t>Public No More : A New Path to Excellence for America's Public Universities</t>
  </si>
  <si>
    <t>Stanford Business Books</t>
  </si>
  <si>
    <t>Policano, Andrew J.;Fethke, Gary C.</t>
  </si>
  <si>
    <t>Public universities and colleges -- United States. ; Universities and colleges -- United States.</t>
  </si>
  <si>
    <t>Education System in the Russian Federation : Education Brief 2012</t>
  </si>
  <si>
    <t>The World Bank;World Bank Publications,</t>
  </si>
  <si>
    <t>World Bank Studies</t>
  </si>
  <si>
    <t>LA839.2 -- .N57 2012eb</t>
  </si>
  <si>
    <t>Education -- Russia (Federation) ; School management and organization -- Russia (Federation)</t>
  </si>
  <si>
    <t>Making Reform Work : The Case for Transforming American Higher Education</t>
  </si>
  <si>
    <t>Zemsky, Robert</t>
  </si>
  <si>
    <t>Education, Higher-United States. ; Educational change-United States.</t>
  </si>
  <si>
    <t>Stand and Prosper : Private Black Colleges and Their Students</t>
  </si>
  <si>
    <t>Drewry, Henry N.;Doermann, Humphrey</t>
  </si>
  <si>
    <t>378.7/3/08996073</t>
  </si>
  <si>
    <t>The Master's Degree in Education As Teacher Professional Development : Re-Envisioning the Role of the Academy in the Development of Practicing Teachers</t>
  </si>
  <si>
    <t>Galluzzo, Gary;Isenberg, Joan P.;White, Stephen C.;Fox, Rebecca K.</t>
  </si>
  <si>
    <t>LB1741.5.M37 2012</t>
  </si>
  <si>
    <t>National Board for Professional Teaching Standards (U.S.). ; Master of education degree--United States. ; Teachers--Training of--Standards--United States. ; EDUCATION / Professional Development. ; EDUCATION / Higher.</t>
  </si>
  <si>
    <t>Benjamin S. Bloom : Portraits of an Educator</t>
  </si>
  <si>
    <t>Guskey, Thomas R.</t>
  </si>
  <si>
    <t>LA2317.B545B46 2012</t>
  </si>
  <si>
    <t>Bloom, Benjamin S. (Benjamin Samuel), 1913-1999. ; Educators--United States--Biography.</t>
  </si>
  <si>
    <t>Central Cambridge : A Guide to the University and Colleges</t>
  </si>
  <si>
    <t>Taylor, Kevin;H. R. H. The Prince Philip, H.</t>
  </si>
  <si>
    <t>LF127 -- .T29 2008eb</t>
  </si>
  <si>
    <t>378.942/659</t>
  </si>
  <si>
    <t>University of Cambridge</t>
  </si>
  <si>
    <t>Reflective Practice for Teaching in Lifelong Learning</t>
  </si>
  <si>
    <t>Rushton, Ian;Suter, Martin</t>
  </si>
  <si>
    <t>LC5225.T4 R87 2012</t>
  </si>
  <si>
    <t>Adult education teachers-Training of. ; Reflective teaching. ; Continuing education.</t>
  </si>
  <si>
    <t>Working with Problem Faculty : A Six-Step Guide for Department Chairs</t>
  </si>
  <si>
    <t>Crookston, R. Kent</t>
  </si>
  <si>
    <t>378.1/1</t>
  </si>
  <si>
    <t>College personnel management</t>
  </si>
  <si>
    <t>Development for Academic Leaders : A Practical Guide for Fundraising Success</t>
  </si>
  <si>
    <t>Hunt, Penelepe C.;Lippincott, John</t>
  </si>
  <si>
    <t>379.1/3</t>
  </si>
  <si>
    <t>Educational fund raising -- United States</t>
  </si>
  <si>
    <t>Social Media for School Leaders : A Comprehensive Guide to Getting the Most Out of Facebook, Twitter, and Other Essential Web Tools</t>
  </si>
  <si>
    <t>Dixon, Brian</t>
  </si>
  <si>
    <t>School administrators -- United States</t>
  </si>
  <si>
    <t>Bodies of Knowledge: Embodied Learning in Adult Education : New Directions for Adult and Continuing Education, Number 134</t>
  </si>
  <si>
    <t>Lawrence, Randee Lipson;Lawrence, Randee Lipson</t>
  </si>
  <si>
    <t>J-B ACE Single Issue Adult and Continuing Education Series</t>
  </si>
  <si>
    <t>LC5225.L42 -- B63 2012eb</t>
  </si>
  <si>
    <t>Adult learning. ; Transformative learning. ; Education -- Philosophy. ; Mind and body.</t>
  </si>
  <si>
    <t>Teaching and Learning from the Inside Out: Revitalizing Ourselves and Our Institutions : New Directions for Teaching and Learning, Number 130</t>
  </si>
  <si>
    <t>Golden, Margaret;Golden, Margaret</t>
  </si>
  <si>
    <t>J-B TL Single Issue Teaching and Learning Series</t>
  </si>
  <si>
    <t>LB1025.2 -- .N456130 2012eb</t>
  </si>
  <si>
    <t>Center for Courage &amp; Renewal. ; Teachers -- Training of. ; Teaching. ; College teaching.</t>
  </si>
  <si>
    <t>Evaluation Voices from Latin America : New Directions for Evaluation, Number 134</t>
  </si>
  <si>
    <t>Kushner, Saville;Rotondo, Emma;Rotondo, Emma</t>
  </si>
  <si>
    <t>J-B PE Single Issue (Program) Evaluation Series</t>
  </si>
  <si>
    <t>H62.A1 -- N4134 2012eb</t>
  </si>
  <si>
    <t>Evaluation research (Social action programs) -- Latin America. ; Evaluation research (Social action programs)</t>
  </si>
  <si>
    <t>Interpretive Pedagogies for Higher Education : Arendt, Berger, Said, Nussbaum and Their Legacies</t>
  </si>
  <si>
    <t>LB2322.2.N595 2012</t>
  </si>
  <si>
    <t>Arendt, Hannah, 1906-1975. ; Berger, John. ; Said, Edward W. ; Nussbaum, Martha Craven, 1947. ; Education, Higher--Aims and objectives. ; Education, Higher--Philosophy.</t>
  </si>
  <si>
    <t>Education and Minorities</t>
  </si>
  <si>
    <t>Atkin, Chris;Brock, Colin;Atkin, Chris</t>
  </si>
  <si>
    <t>Education As a Humanitarian Response Series</t>
  </si>
  <si>
    <t>LC3719.E363 2011</t>
  </si>
  <si>
    <t>Minorities--Education--Cross-cultural studies. ; Multicultural education--Cross-cultural studies.</t>
  </si>
  <si>
    <t>100 Ideas for Supporting Learners with EAL</t>
  </si>
  <si>
    <t>Pim, Chris</t>
  </si>
  <si>
    <t>PE1128.A2P5175 2012</t>
  </si>
  <si>
    <t>English language--Study and teaching--Foreign speakers. ; Second language acquisition. ; EDUCATION / General.</t>
  </si>
  <si>
    <t>Getting the Buggers to Add Up</t>
  </si>
  <si>
    <t>Ollerton, Mike;Sykes, Peter</t>
  </si>
  <si>
    <t>QA135.6.O55 2012</t>
  </si>
  <si>
    <t>510.71/041</t>
  </si>
  <si>
    <t>Mathematics--Study and teaching--Great Britain.</t>
  </si>
  <si>
    <t>Schools for the Future Europe : Values and Change Beyond Lisbon</t>
  </si>
  <si>
    <t>Sayer, John;Erler, Lynn</t>
  </si>
  <si>
    <t>LC93.A2</t>
  </si>
  <si>
    <t>Education--Europe. ; Citizenship--Study and teaching--Europe. ; Place-based education--Europe. ; Educational change--Europe.</t>
  </si>
  <si>
    <t>Creative Teaching : Learning with Style</t>
  </si>
  <si>
    <t>LB1044.88.S73 2012</t>
  </si>
  <si>
    <t>Creative teaching. ; Classroom environment.</t>
  </si>
  <si>
    <t>Baldwin, Patrice;Neelands, Jonothan</t>
  </si>
  <si>
    <t>PN3171 -- .B34 2008eb</t>
  </si>
  <si>
    <t>Drama -- Study and teaching (Elementary) ; Drama in education.</t>
  </si>
  <si>
    <t>Confronting Equity Issues on Campus : Implementing the Equity Scorecard in Theory and Practice</t>
  </si>
  <si>
    <t>Bensimon, Estela Mara;Malcom, Lindsey</t>
  </si>
  <si>
    <t>LC3727.E54 2012</t>
  </si>
  <si>
    <t>378.1/982900973</t>
  </si>
  <si>
    <t>Discrimination in higher education -- United States</t>
  </si>
  <si>
    <t>How to Design and Teach a Hybrid Course : Achieving Student-Centered Learning Through Blended Classroom, Online and Experiential Activities</t>
  </si>
  <si>
    <t>Caulfield, Jay</t>
  </si>
  <si>
    <t>LB1027.23.C24 2011</t>
  </si>
  <si>
    <t>Student-centered learning</t>
  </si>
  <si>
    <t>Team-Based Learning in the Social Sciences and Humanities : Group Work That Works to Generate Critical Thinking and Engagement</t>
  </si>
  <si>
    <t>Sterling</t>
  </si>
  <si>
    <t>Sweet, Michael;Michaelsen, Larry K.</t>
  </si>
  <si>
    <t>H62.T288 2012</t>
  </si>
  <si>
    <t>Social sciences -- Study and teaching (Higher) ; Humanities -- Study and teaching (Higher) ; Team learning approach in education. ; Critical thinking -- Study and teaching (Higher)</t>
  </si>
  <si>
    <t>What They Didn't Teach You in Graduate School : 299 Helpful Hints for Success in Your Academic Career</t>
  </si>
  <si>
    <t>Gray, Paul;Hall, Matthew Henry;Drew, David E.</t>
  </si>
  <si>
    <t>LB1778.2.G73 2012</t>
  </si>
  <si>
    <t>378.1/202373</t>
  </si>
  <si>
    <t>College teaching -- Vocational guidance -- United States</t>
  </si>
  <si>
    <t>Knowledge Matters : The Public Mission of the Research University</t>
  </si>
  <si>
    <t>CoreSource Plus Base</t>
  </si>
  <si>
    <t>Columbia University Press</t>
  </si>
  <si>
    <t>Rhoten, Diana;Calhoun, Craig</t>
  </si>
  <si>
    <t>A Columbia / SSRC Book</t>
  </si>
  <si>
    <t>LB2326.3 -- .K63 2011eb</t>
  </si>
  <si>
    <t>Public universities and colleges - Research</t>
  </si>
  <si>
    <t>Wise and Foolish Virgins : White Women at Work in the Feminized World of Primary School Teaching</t>
  </si>
  <si>
    <t>Galman, Sally</t>
  </si>
  <si>
    <t>LB2837.G35 2012</t>
  </si>
  <si>
    <t>Women teachers--Professional relationships--United States. ; Primary school teachers--Professional relationships--United States. ; Sex differences in education--United States. ; Feminism and education--United States. ; SOCIAL SCIENCE / Gender Studies. ; EDUCATION / Elementary. ; SOCIAL SCIENCE / Anthropology / Cultural.</t>
  </si>
  <si>
    <t>The Idea of Nature in Disney Animation : From Snow White to WALL-E</t>
  </si>
  <si>
    <t>Whitley, David</t>
  </si>
  <si>
    <t>Studies in Childhood, 1700 to the Present Series</t>
  </si>
  <si>
    <t>NC1766.U52$bD594 2012</t>
  </si>
  <si>
    <t>Nature in motion pictures</t>
  </si>
  <si>
    <t>From Student to Scholar : A Candid Guide to Becoming a Professor</t>
  </si>
  <si>
    <t>Cahn, Steven;Stimpson, Catharine R.</t>
  </si>
  <si>
    <t>LB1778 -- .C346 2008eb</t>
  </si>
  <si>
    <t>College teachers -- Vocational guidance -- Handbooks, manuals, etc. ; College teaching -- Vocational guidance -- Handbooks, manuals, etc.</t>
  </si>
  <si>
    <t>Behind the Gate : Inventing Students in Beijing</t>
  </si>
  <si>
    <t>Lanza, Fabio</t>
  </si>
  <si>
    <t>Studies of the Weatherhead East Asian Institute, Columbia University</t>
  </si>
  <si>
    <t>LG51.P28 -- .L36 2010eb</t>
  </si>
  <si>
    <t>378.51/156</t>
  </si>
  <si>
    <t>Beijing da xue -- Students -- Political activity. ; Beijing da xue -- History -- 20th century. ; Higher education and state -- China -- History -- 20th century.</t>
  </si>
  <si>
    <t>Reds at the Blackboard : Communism, Civil Rights, and the New York City Teachers Union</t>
  </si>
  <si>
    <t>Taylor, Clarence</t>
  </si>
  <si>
    <t>LB2844.53.U62 -- N78 2011eb</t>
  </si>
  <si>
    <t>Communism and education - New York (State) - New York - History - 20th century</t>
  </si>
  <si>
    <t>Changing the Subject : How the Women of Columbia Shaped the Way We Think About Sex and Politics</t>
  </si>
  <si>
    <t>Rosenberg, Rosalind</t>
  </si>
  <si>
    <t>LD1250 -- .R28 2004eb</t>
  </si>
  <si>
    <t>Columbia University -- History -- 20th century. ; Columbia University -- Admission -- History -- 20th century. ; Feminism and higher education -- New York (State) -- New York -- History -- 20th century. ; Women in higher education -- New York (State) -- New York -- History -- 20th century. ; Coeducation -- New York (State) -- New York -- History -- 20th century.</t>
  </si>
  <si>
    <t>The Chautauqua Moment : Protestants, Progressives, and the Culture of Modern Liberalism, 1874-1920</t>
  </si>
  <si>
    <t>Rieser, Andrew Chamberlin</t>
  </si>
  <si>
    <t>Religion and American Culture</t>
  </si>
  <si>
    <t>LC6551 -- .R54 2003eb</t>
  </si>
  <si>
    <t>Chautauquas -- United States -- History. ; Protestant churches -- Education -- United States -- History. ; Middle class -- Education -- United States -- History.</t>
  </si>
  <si>
    <t>The Education of John Dewey : A Biography</t>
  </si>
  <si>
    <t>Martin, Jay</t>
  </si>
  <si>
    <t>B945.D44 -- M29 2002eb</t>
  </si>
  <si>
    <t>Dewey, John, -- 1859-1952. ; Educators -- United States -- Biography. ; Philosophers -- United States -- Biography.</t>
  </si>
  <si>
    <t>Pulitzer's School : Columbia University's School of Journalism, 1903-2003</t>
  </si>
  <si>
    <t>Boylan, James</t>
  </si>
  <si>
    <t>PN4791.C7</t>
  </si>
  <si>
    <t>Columbia University. -- Graduate School of Journalism -- History.</t>
  </si>
  <si>
    <t>Stand, Columbia : A History of Columbia University</t>
  </si>
  <si>
    <t>McCaughey, Robert</t>
  </si>
  <si>
    <t>Columbiana</t>
  </si>
  <si>
    <t>LD1248 -- .M33 2003eb</t>
  </si>
  <si>
    <t>Columbia University -- History.</t>
  </si>
  <si>
    <t>Building Teaching Capacities in Higher Education : A Comprehensive International Model</t>
  </si>
  <si>
    <t>Saroyan, Alenoush;Frenay, Mariane</t>
  </si>
  <si>
    <t>LB1738.B76 2010</t>
  </si>
  <si>
    <t>College teachers -- Training of -- Case studies. ; Universities and colleges -- Faculty -- Case studies. ; Education, Higher -- Case studies. ; Curriculum enrichment -- Case studies. ; Academic achievement -- Case studies.</t>
  </si>
  <si>
    <t>Idea-Based Learning : A Course Design Process to Promote Conceptual Understanding</t>
  </si>
  <si>
    <t>Hansen, Edmund J.</t>
  </si>
  <si>
    <t>LB2361.5.H354 2011</t>
  </si>
  <si>
    <t>378.1/990973</t>
  </si>
  <si>
    <t>Education, Higher -- Curricula -- United States. ; Curriculum planning -- United States. ; Concept learning.</t>
  </si>
  <si>
    <t>Becoming World Wise : A Guide to Global Learning</t>
  </si>
  <si>
    <t>Slimbach, Richard</t>
  </si>
  <si>
    <t>LC1090.S59 2010</t>
  </si>
  <si>
    <t>International education. ; Foreign study. ; Tourism.</t>
  </si>
  <si>
    <t>Gateway to Opportunity? : A History of the Community College in the United States</t>
  </si>
  <si>
    <t>Beach, J. M.</t>
  </si>
  <si>
    <t>LB2328.15.U6B43 2010</t>
  </si>
  <si>
    <t>378.1/5430973</t>
  </si>
  <si>
    <t>Community colleges -- United States -- History. ; Community college students -- United States -- History. ; College students -- Conduct of life -- History.</t>
  </si>
  <si>
    <t>Community College Leadership : A Multidimensional Model for Leading Change</t>
  </si>
  <si>
    <t>Eddy, Pamela L.</t>
  </si>
  <si>
    <t>LB2341.E33 2010</t>
  </si>
  <si>
    <t>Community college presidents. ; Community colleges -- Administration. ; Educational leadership. ; Educational change.</t>
  </si>
  <si>
    <t>Demonstrating Student Success : A Practical Guide to Outcomes-Based Assessment of Learning and Development in Student Affairs</t>
  </si>
  <si>
    <t>Gardner, Megan Moore;Hickmott, Jessica;Bresciani Ludvik, Marilee J.</t>
  </si>
  <si>
    <t>378.1/97076</t>
  </si>
  <si>
    <t>Student affairs services -- United States -- Evaluation -- Textbooks</t>
  </si>
  <si>
    <t>Enough Is Enough : A Student Affairs Perspective on Preparedness and Response to a Campus Shooting</t>
  </si>
  <si>
    <t>Hemphill, Brian O.;LaBanc, Brandi Hephner;Dungy, Gwendolyn J;Roberts, Gregory</t>
  </si>
  <si>
    <t>An ACPA / NASPA Joint Publication</t>
  </si>
  <si>
    <t>LB2345.H46 2010</t>
  </si>
  <si>
    <t>378.1/9782</t>
  </si>
  <si>
    <t>Campus violence -- United States. ; Campus violence -- United States -- Prevention. ; School shootings -- United States. ; School shootings -- United States -- Prevention. ; Student affairs services -- United States. ; Universities and colleges -- United States -- Safety measures.</t>
  </si>
  <si>
    <t>Positioning Student Affairs for Sustainable Change : Achieving Organizational Effectiveness Through Multiple Perspectives</t>
  </si>
  <si>
    <t>Kuk, Linda;Banning, James H.;Amey, Marilyn J.</t>
  </si>
  <si>
    <t>Student affairs services -- United States -- Administration. ; Organizational effectiveness -- United States.</t>
  </si>
  <si>
    <t>Blended Learning : Across the Disciplines, Across the Academy</t>
  </si>
  <si>
    <t>Glazer, Francine S.</t>
  </si>
  <si>
    <t>LB2395.7.B56 2012</t>
  </si>
  <si>
    <t>Internet in higher education</t>
  </si>
  <si>
    <t>Cooperative Learning in Higher Education : Across the Disciplines, Across the Academy</t>
  </si>
  <si>
    <t>Millis, Barbara</t>
  </si>
  <si>
    <t>LB1032.C596 2010</t>
  </si>
  <si>
    <t>Group work in education -- United States</t>
  </si>
  <si>
    <t>Team Teaching : Across the Disciplines, Across the Academy</t>
  </si>
  <si>
    <t>Plank, Kathryn M.</t>
  </si>
  <si>
    <t>LB1029.T4A36 2011</t>
  </si>
  <si>
    <t>Exploring More Signature Pedagogies : Approaches to Teaching Disciplinary Habits of Mind</t>
  </si>
  <si>
    <t>Chick, Nancy L.;Haynie, Aeron;Gurung, Regan A. R.</t>
  </si>
  <si>
    <t>LB2331.E946 2012</t>
  </si>
  <si>
    <t>Facilitating Intergroup Dialogues : Bridging Differences, Catalyzing Change</t>
  </si>
  <si>
    <t>Maxwell, Kelly E.;Nagda, Biren Ratnesh;Thompson, Monita C.</t>
  </si>
  <si>
    <t>An ACPA Co-Publication</t>
  </si>
  <si>
    <t>LB1033.5.F33 2011</t>
  </si>
  <si>
    <t>Group relations training</t>
  </si>
  <si>
    <t>Assessing for Learning : Building a Sustainable Commitment Across the Institution</t>
  </si>
  <si>
    <t>Maki, Peggy L.</t>
  </si>
  <si>
    <t>LB2366.2.M35 2010</t>
  </si>
  <si>
    <t>378.1/671</t>
  </si>
  <si>
    <t>Universities and colleges -- United States -- Examinations. ; Education, Higher -- United States -- Evaluation.</t>
  </si>
  <si>
    <t>Multicultural Student Services on Campus : Building Bridges, Re-Visioning Community</t>
  </si>
  <si>
    <t>Stewart, D. L.</t>
  </si>
  <si>
    <t>378.1/97089</t>
  </si>
  <si>
    <t>Minorities -- Education (Higher) -- United States</t>
  </si>
  <si>
    <t>Pitch Perfect : Communicating with Traditional and Social Media for Scholars, Researchers, and Academic Leaders</t>
  </si>
  <si>
    <t>Tyson, William</t>
  </si>
  <si>
    <t>LB2342.8.T97 2010</t>
  </si>
  <si>
    <t>659.2/937873</t>
  </si>
  <si>
    <t>Communication in education -- United States</t>
  </si>
  <si>
    <t>International Service Learning : Conceptual Frameworks and Research</t>
  </si>
  <si>
    <t>Bringle, Robert G.;Hatcher, Julie A.;Jones, Steven G.</t>
  </si>
  <si>
    <t>Higher Education Series</t>
  </si>
  <si>
    <t>LC220.5.I585 2011</t>
  </si>
  <si>
    <t>Service learning. ; Service learning -- Research. ; Education and globalization.</t>
  </si>
  <si>
    <t>White Teachers / Diverse Classrooms : Creating Inclusive Schools, Building on Students' Diversity, and Providing True Educational Equity</t>
  </si>
  <si>
    <t>Landsman, Julie;Lewis, Chance W.</t>
  </si>
  <si>
    <t>LC1099.3.W48 2010</t>
  </si>
  <si>
    <t>Multicultural education -- United States. ; Minorities -- Education -- United States. ; Race awareness -- Study and teaching -- United States. ; Teachers, White -- United States. ; Multiculturalism -- United States.</t>
  </si>
  <si>
    <t>Democratic Dilemmas of Teaching Service-Learning : Curricular Strategies for Success</t>
  </si>
  <si>
    <t>Cress, Christine M.;Donahue, David M.</t>
  </si>
  <si>
    <t>LC220.5 .D46 2011</t>
  </si>
  <si>
    <t>Democracy and education-United States</t>
  </si>
  <si>
    <t>Understanding College and University Organization : Theories for Effective Policy and Practice: Volume II -- Dynamics of the System</t>
  </si>
  <si>
    <t>Bess, James L.;Dee, Jay R.</t>
  </si>
  <si>
    <t>LB2341.B4769 2007</t>
  </si>
  <si>
    <t>Universities and colleges -- Administration. ; Organizational sociology.</t>
  </si>
  <si>
    <t>New Realities in the Management of Student Affairs : Emerging Specialist Roles and Structures for Changing Times</t>
  </si>
  <si>
    <t>Tull, Ashley;Kuk, Linda</t>
  </si>
  <si>
    <t>LB2342.92.N38 2012</t>
  </si>
  <si>
    <t>Development and Assessment of Self-Authorship : Exploring the Concept Across Cultures</t>
  </si>
  <si>
    <t>Magolda, Marcia B. Baxter;Meszaros, Peggy S.;Creamer, Elizabeth G.</t>
  </si>
  <si>
    <t>LB1060D476 2010</t>
  </si>
  <si>
    <t>Learning, Psychology of -- Cross-cultural studies -- Congresses. ; Constructivism (Education) -- Cross-cultural studies -- Congresses. ; Cognitive styles -- Cross-cultural studies -- Congresses. ; Self-actualization (Psychology) -- Cross-cultural studies -- Congresses. ; Developmental psychology -- Cross-cultural studies -- Congresses.</t>
  </si>
  <si>
    <t>Coming to Terms with Student Outcomes Assessment : Faculty and Administrators' Journeys to Integrating Assessment in Their Work and Institutional Culture</t>
  </si>
  <si>
    <t>LB2331.63.C65 2010</t>
  </si>
  <si>
    <t>Universities and colleges -- United States -- Evaluation. ; Education, Higher -- United States -- Evaluation. ; Educational evaluation -- United States. ; Educational tests and measurements -- United States.</t>
  </si>
  <si>
    <t>Coming in from the Margins : Faculty Development's Emerging Organizational Development Role in Institutional Change</t>
  </si>
  <si>
    <t>Schroeder, Connie</t>
  </si>
  <si>
    <t>LB1731.S375 2011</t>
  </si>
  <si>
    <t>Teachers -- In-service training -- United States. ; School management and organization -- United States. ; Teacher-administrator relationships -- United States. ; Organizational change -- United States.</t>
  </si>
  <si>
    <t>Advancing the Culture of Teaching on Campus : How a Teaching Center Can Make a Difference</t>
  </si>
  <si>
    <t>Cook, Constance;Kaplan, Matthew</t>
  </si>
  <si>
    <t>LB1745.A34 2011</t>
  </si>
  <si>
    <t>Teacher centers -- United States.</t>
  </si>
  <si>
    <t>Job Search in Academe : How to Get the Position You Deserve</t>
  </si>
  <si>
    <t>Formo, Dawn M.;Reed, Cheryl</t>
  </si>
  <si>
    <t>LB2331.72.F67 2010</t>
  </si>
  <si>
    <t>College teachers -- Employment -- United States. ; Universities and colleges -- Faculty -- Employment -- United States. ; Job hunting -- United States. ; Employment interviewing -- United States.</t>
  </si>
  <si>
    <t>The New Digital Shoreline : How Web 2. 0 and Millennials Are Revolutionizing Higher Education</t>
  </si>
  <si>
    <t>McHaney, Roger</t>
  </si>
  <si>
    <t>LB1044.87.M34 2011</t>
  </si>
  <si>
    <t>Web 2.0</t>
  </si>
  <si>
    <t>The First Generation Student Experience : Implications for Campus Practice, and Strategies for Improving Persistence and Success</t>
  </si>
  <si>
    <t>Davis, Jeff</t>
  </si>
  <si>
    <t>LC148.2.D38 2010</t>
  </si>
  <si>
    <t>First-generation college students -- United States. ; Academic achievement -- United States.</t>
  </si>
  <si>
    <t>Diverse Millennial Students in College : Implications for Faculty and Student Affairs</t>
  </si>
  <si>
    <t>Bonner II, Fred A.;marbley, aretha f.;Howard-Hamilton, Mary F.</t>
  </si>
  <si>
    <t>Z665.2.U6D58 2011</t>
  </si>
  <si>
    <t>Library users -- Effect of technological innovations on -- United States. ; Libraries and students -- United States. ; Generation Y -- Attitudes -- United States.</t>
  </si>
  <si>
    <t>Social Justice Education : Inviting Faculty to Transform Their Institutions</t>
  </si>
  <si>
    <t>Skubikowski, Kathleen;Wright, Catharine;Graf, Roman</t>
  </si>
  <si>
    <t>Educational sociology -- United States</t>
  </si>
  <si>
    <t>Teachers As Mentors : Models for Promoting Achievement with Disadvantaged and Underrepresented Students by Creating Community</t>
  </si>
  <si>
    <t>Ayalon, Aram</t>
  </si>
  <si>
    <t>LC4092.A93 2011</t>
  </si>
  <si>
    <t>373.18269/4</t>
  </si>
  <si>
    <t>Mentoring in education -- Israel -- Case studies</t>
  </si>
  <si>
    <t>Promoting Health and Wellness in Underserved Communities : Multidisciplinary Perspectives Through Service Learning</t>
  </si>
  <si>
    <t>Pelham, Anabel;Sills, Elizabeth</t>
  </si>
  <si>
    <t>RA427.8.P7654 2010</t>
  </si>
  <si>
    <t>Medically underserved areas</t>
  </si>
  <si>
    <t>Social Responsibility and Sustainability : Multidisciplinary Perspectives Through Service Learning</t>
  </si>
  <si>
    <t>McDonald, Tracy</t>
  </si>
  <si>
    <t>LC220.5.S633 2012</t>
  </si>
  <si>
    <t>A Guide to Building Education Partnerships : Navigating Diverse Cultural Contexts to Turn Challenge into Promise</t>
  </si>
  <si>
    <t>Hora, Matthew T.;Millar, Susan B.</t>
  </si>
  <si>
    <t>LB1775.2.H67 2011</t>
  </si>
  <si>
    <t>Educators -- Professional relationships -- United States. ; College-school cooperation -- United States. ; Government aid to education -- United States. ; Business and education -- United States. ; Interorganizational relations -- United States.</t>
  </si>
  <si>
    <t>The Evolving Challenges of Black College Students : New Insights for Policy, Practice, and Research</t>
  </si>
  <si>
    <t>Strayhorn, Terrell L.;Terrell, Melvin Cleveland</t>
  </si>
  <si>
    <t>LC2781.E86 2010</t>
  </si>
  <si>
    <t>378.1/982996073</t>
  </si>
  <si>
    <t>African Americans -- Education (Higher) ; African American college students -- Social conditions. ; African American college students -- Attitudes.</t>
  </si>
  <si>
    <t>Understanding the Working College Student : New Research and Its Implications for Policy and Practice</t>
  </si>
  <si>
    <t>Perna, Laura W.</t>
  </si>
  <si>
    <t>HD6276.52.U5U64 2010</t>
  </si>
  <si>
    <t>Undergraduates -- Employment -- United States</t>
  </si>
  <si>
    <t>Culture Centers in Higher Education : Perspectives on Identity, Theory, and Practice</t>
  </si>
  <si>
    <t>Patton, Lori D.</t>
  </si>
  <si>
    <t>LC3731.C845 2010</t>
  </si>
  <si>
    <t>United States -- Race relations</t>
  </si>
  <si>
    <t>On Becoming a Scholar : Socialization and Development in Doctoral Education</t>
  </si>
  <si>
    <t>Gardner, Susan K.;Mendoza, Pilar</t>
  </si>
  <si>
    <t>LB2386.O5 2010</t>
  </si>
  <si>
    <t>Doctoral students -- United States -- Social conditions</t>
  </si>
  <si>
    <t>Why Aren't We There Yet? : Taking Personal Responsibility for Creating an Inclusive Campus</t>
  </si>
  <si>
    <t>Torres, Vasti;Arminio, Jan;Pope, Raechele L.</t>
  </si>
  <si>
    <t>LC212.42.W47 2012</t>
  </si>
  <si>
    <t>Discrimination in higher education -- United States. ; Educational equalization -- United States. ; Multicultural education -- United States. ; College environment -- United States.</t>
  </si>
  <si>
    <t>Fundraising Strategies for Community Colleges : The Definitive Guide for Advancement</t>
  </si>
  <si>
    <t>Klingaman, Steve</t>
  </si>
  <si>
    <t>LB2336.K65 2012</t>
  </si>
  <si>
    <t>Understanding College and University Organization : Theories for Effective Policy and Practice: Volume I -- the State of the System</t>
  </si>
  <si>
    <t>For-Profit Colleges and Universities : Their Markets, Regulation, Performance, and Place in Higher Education</t>
  </si>
  <si>
    <t>Hentschke, Guilbert C.;Lechuga, Vicente M.;Tierney, William G.</t>
  </si>
  <si>
    <t>378/.04</t>
  </si>
  <si>
    <t>Education, Higher -- Economic aspects -- United States</t>
  </si>
  <si>
    <t>Social Class on Campus : Theories and Manifestations</t>
  </si>
  <si>
    <t>Barratt, Will;Barrett, Will</t>
  </si>
  <si>
    <t>LC213.2 .B365 2011</t>
  </si>
  <si>
    <t>Educational equalization-United States. ; Academic achievement-United States. ; Minorities-Education-United States.</t>
  </si>
  <si>
    <t>Integrating Study Abroad into the Curriculum : Theory and Practice Across the Disciplines</t>
  </si>
  <si>
    <t>Brewer, Elizabeth;Cunningham, Kiran</t>
  </si>
  <si>
    <t>LB2376.I56 2009</t>
  </si>
  <si>
    <t>Foreign study -- United States. ; Foreign study -- Administration -- Handbooks, manuals, etc. ; Universities and colleges -- Curricula -- United States.</t>
  </si>
  <si>
    <t>Empowering Women in Higher Education and Student Affairs : Theory, Research, Narratives, and Practice from Feminist Perspectives</t>
  </si>
  <si>
    <t>Pasque, Penny A.;Nicholson, Shelley Errington</t>
  </si>
  <si>
    <t>LC1567.E47 2011</t>
  </si>
  <si>
    <t>Feminism and higher education</t>
  </si>
  <si>
    <t>Seasons of a Dean's Life : Understanding the Role and Building Leadership Capacity</t>
  </si>
  <si>
    <t>Gmelch, Walter H.;Hopkins, Dee;Damico, Sandra</t>
  </si>
  <si>
    <t>LB2341.G564 2011</t>
  </si>
  <si>
    <t>Deans (Education) ; Universities and colleges -- Administration. ; Educational leadership.</t>
  </si>
  <si>
    <t>Lesson Study : Using Classroom Inquiry to Improve Teaching and Learning in Higher Education</t>
  </si>
  <si>
    <t>Cerbin, Bill</t>
  </si>
  <si>
    <t>LB2331.C43 2011</t>
  </si>
  <si>
    <t>College teaching -- Methodology. ; Effective teaching.</t>
  </si>
  <si>
    <t>From Brain to Mind : Using Neuroscience to Guide Change in Education</t>
  </si>
  <si>
    <t>Zull, James E.</t>
  </si>
  <si>
    <t>QP408.Z85 2011</t>
  </si>
  <si>
    <t>612.8/2</t>
  </si>
  <si>
    <t>Learning -- Physiological aspects. ; Learning, Psychology of. ; Cognitive neuroscience.</t>
  </si>
  <si>
    <t>Science; Science: Biology/Natural History; Science: Anatomy/Physiology</t>
  </si>
  <si>
    <t>The Challenge of Bologna : What United States Higher Education Has to Learn from Europe, and Why It Matters That We Learn It</t>
  </si>
  <si>
    <t>Gaston, Paul L.</t>
  </si>
  <si>
    <t>LA628.G37 2010</t>
  </si>
  <si>
    <t>Education, Higher -- Europe</t>
  </si>
  <si>
    <t>Transforming Teacher Education : What Went Wrong with Teacher Training, and How We Can Fix It</t>
  </si>
  <si>
    <t>Hill-Jackson, Valerie;Lewis, Chance W.</t>
  </si>
  <si>
    <t>LB1715.T6745 2010</t>
  </si>
  <si>
    <t>Teachers -- Training of -- United States</t>
  </si>
  <si>
    <t>Assessing and Improving Student Organizations : A Guide for Students</t>
  </si>
  <si>
    <t>Ruben, Brent D.;Nolfi, Tricia</t>
  </si>
  <si>
    <t>Students -- Societies, etc. -- Handbooks, manuals, etc</t>
  </si>
  <si>
    <t>Assessing and Improving Student Organizations : Student Workbook</t>
  </si>
  <si>
    <t>Nolfi, Tricia;Ruben, Brent D.</t>
  </si>
  <si>
    <t>LB3605 -- .N65 2010eb</t>
  </si>
  <si>
    <t>Students -- Societies, etc. -- Handbooks, manuals, etc. ; Student activities -- Handbooks, manuals, etc.</t>
  </si>
  <si>
    <t>Teaching Sustainability / Teaching Sustainably</t>
  </si>
  <si>
    <t>Bartels, Kirsten Allen;Parker, Kelly A.</t>
  </si>
  <si>
    <t>GE70.T42 2012</t>
  </si>
  <si>
    <t>338.9/27071</t>
  </si>
  <si>
    <t>Environmental education. ; Sustainable development. ; Environmental responsibility -- Study and teaching. ; Cross-cultural studies.</t>
  </si>
  <si>
    <t>Environmental Studies; Economics; Business/Management</t>
  </si>
  <si>
    <t>Education Reform in Mozambique : Lessons and Challenges</t>
  </si>
  <si>
    <t>Fox, Louise;Santibañez, Lucrecia;Nguyen, Vy;Andre, Pierre</t>
  </si>
  <si>
    <t>LA1986 -- .E38 2012eb</t>
  </si>
  <si>
    <t>Education -- Mozambique -- Longitudinal studies. ; Educational change -- Mozambique.</t>
  </si>
  <si>
    <t>Stanford in Turmoil : Campus Unrest, 1966-1972</t>
  </si>
  <si>
    <t>Stanford General Books</t>
  </si>
  <si>
    <t>Lyman, Richard W.</t>
  </si>
  <si>
    <t>LD3030</t>
  </si>
  <si>
    <t>378.794/73</t>
  </si>
  <si>
    <t>Stanford University -- History -- 20th century. ; Stanford University -- Students. ; Stanford University -- Presidents. ; Student strikes -- California -- Stanford -- History -- 20th century. ; Student movements -- California -- Stanford -- History -- 20th century.</t>
  </si>
  <si>
    <t>The American-Style University at Large : Transplants, Outposts, and the Globalization of Higher Education</t>
  </si>
  <si>
    <t>Kleypas, Kathryn L.;McDougall, James I.</t>
  </si>
  <si>
    <t>LA184.A46 2011</t>
  </si>
  <si>
    <t>Education, Higher--American influences. ; Education and globalization. ; EDUCATION / Higher bisacsh. ; EDUCATION / Organizations &amp; Institutions bisacsh.</t>
  </si>
  <si>
    <t>The Violence Continuum : Creating a Safe School Climate</t>
  </si>
  <si>
    <t>Manvell, Elizabeth C.</t>
  </si>
  <si>
    <t>LB3013.3.M274 2011</t>
  </si>
  <si>
    <t>School violence--Prevention. ; School environment.</t>
  </si>
  <si>
    <t>L2 Writing Development: Multiple Perspectives</t>
  </si>
  <si>
    <t>Manchón, Rosa</t>
  </si>
  <si>
    <t>Trends in Applied Linguistics [TAL] Series</t>
  </si>
  <si>
    <t>P118.2 -- .L2 2012eb</t>
  </si>
  <si>
    <t>Second language acquisition. ; Written communication.</t>
  </si>
  <si>
    <t>The Great Brain Race : How Global Universities Are Reshaping the World</t>
  </si>
  <si>
    <t>Wildavsky, Ben</t>
  </si>
  <si>
    <t>Uncivil Rights : Teachers, Unions, and Race in the Battle for School Equity</t>
  </si>
  <si>
    <t>Perrillo, Jonna</t>
  </si>
  <si>
    <t>LC213</t>
  </si>
  <si>
    <t>379.2/6097471</t>
  </si>
  <si>
    <t>Teachers -- Civil rights -- New York (State) -- New York -- History -- 20th century</t>
  </si>
  <si>
    <t>Socializing the Classroom : Social Networks and Online Learning</t>
  </si>
  <si>
    <t>Barnes, Susan B.</t>
  </si>
  <si>
    <t>LB1044.87.B36 2012</t>
  </si>
  <si>
    <t>Internet in education. ; Social media in education. ; Education--Effect of technological innovations on. ; EDUCATION / Experimental Methods. ; EDUCATION / General. ; EDUCATION / Computers &amp; Technology. ; EDUCATION / Teaching Methods &amp; Materials / Science &amp; Technology.</t>
  </si>
  <si>
    <t>Contemporary Issues in Special Educational Needs: Considering the Whole Child</t>
  </si>
  <si>
    <t>Armstrong, David;Squires, Garry</t>
  </si>
  <si>
    <t>LC4706</t>
  </si>
  <si>
    <t>Children with disabilities-Education. ; Learning disabled children-Education. ; Special education.</t>
  </si>
  <si>
    <t>Creating Learning Without Limits</t>
  </si>
  <si>
    <t>Swann, Mandy;Peacock, Alison;Hart, Susan;Drummond, Mary Jane</t>
  </si>
  <si>
    <t>LB1060.C7 2012</t>
  </si>
  <si>
    <t>Learning. ; Mixed ability grouping in education. ; Elementary schools-England-Potters Bar-Case studies.</t>
  </si>
  <si>
    <t>Understanding Cerebral Palsy : A Guide for Parents and Professionals</t>
  </si>
  <si>
    <t>Stanton, Marion</t>
  </si>
  <si>
    <t>RJ496.C4S86 2012</t>
  </si>
  <si>
    <t>Cerebral palsy. ; Developmental disabilities.</t>
  </si>
  <si>
    <t>Helping Students Take Control of Everyday Executive Functions : The Attention Fix</t>
  </si>
  <si>
    <t>Moraine, Paula</t>
  </si>
  <si>
    <t>Enhancing Instructional Problem Solving : An Efficient System for Assisting Struggling Learners</t>
  </si>
  <si>
    <t>Begeny, John C.;Schulte, Ann C.;Johnson, Kent</t>
  </si>
  <si>
    <t>LC4705 -- .B45 2012eb</t>
  </si>
  <si>
    <t>Response to intervention (Learning disabled children) ; Learning disabled children -- Education. ; Remedial teaching.</t>
  </si>
  <si>
    <t>Transforming Writing Instruction in the Digital Age : Techniques for Grades 5-12</t>
  </si>
  <si>
    <t>Wolsey, Thomas DeVere;Grisham, Dana L.;Dalton, Bridget</t>
  </si>
  <si>
    <t>LB1631.3 -- .W65 2012eb</t>
  </si>
  <si>
    <t>English language -- Composition and exercises -- Study and teaching (Secondary) -- Computer-assisted instruction. ; Internet in education.</t>
  </si>
  <si>
    <t>Mentor : Guiding the Journey of Adult Learners (with New Foreword, Introduction, and Afterword)</t>
  </si>
  <si>
    <t>Daloz, Laurent A.</t>
  </si>
  <si>
    <t>Beating the Global Odds : Successful Decision-Making in a Confused and Troubled World</t>
  </si>
  <si>
    <t>Laudicina, Paul A.;Ambani, Mukesh</t>
  </si>
  <si>
    <t>Strategic planning</t>
  </si>
  <si>
    <t>Education, Aid and Aid Agencies</t>
  </si>
  <si>
    <t>Karpinska, Zuki;Brock, Colin</t>
  </si>
  <si>
    <t>LC2605.E2893 2012</t>
  </si>
  <si>
    <t>370.9172/4</t>
  </si>
  <si>
    <t>Education--Developing countries--Case studies. ; Economic development--Effect of education on--Case studies.</t>
  </si>
  <si>
    <t>Paulo Freire's Philosophy of Education : Origins, Developments, Impacts and Legacies</t>
  </si>
  <si>
    <t>Irwin, Jones</t>
  </si>
  <si>
    <t>LB880.F732I78 2012</t>
  </si>
  <si>
    <t>Freire, Paulo, 1921-1997. ; Education--Philosophy. ; Critical pedagogy. ; EDUCATION / Computers &amp; Technology. bisacsh. ; EDUCATION / Teaching Methods &amp; Materials / General. bisacsh.</t>
  </si>
  <si>
    <t>Think Again : A Philosophical Approach to Teaching</t>
  </si>
  <si>
    <t>Taylor, John L.;Taylor, John L.</t>
  </si>
  <si>
    <t>B52.T29 2012</t>
  </si>
  <si>
    <t>Philosophy--Study and teaching.</t>
  </si>
  <si>
    <t>New Law School : Reexamining Goals, Organization and Methods for a Changing World</t>
  </si>
  <si>
    <t>Jagiellonian University Press</t>
  </si>
  <si>
    <t>POLAND</t>
  </si>
  <si>
    <t>ikawa, daniela;wortham, leah</t>
  </si>
  <si>
    <t>K100.A3 -- N48 2010eb</t>
  </si>
  <si>
    <t>Fracture mechanics. ; Plates (Engineering)</t>
  </si>
  <si>
    <t>Mathematical Thinking: How To Develop It In The Classroom</t>
  </si>
  <si>
    <t>Shigeo Katagiri;Masami Isoda</t>
  </si>
  <si>
    <t>Monographs On Lesson Study For Teaching Mathematics And Sciences</t>
  </si>
  <si>
    <t>QA11.2 -- .I86 2012eb</t>
  </si>
  <si>
    <t>Mathematics -- Study and teaching.</t>
  </si>
  <si>
    <t>Albert Einstein Memorial Lectures</t>
  </si>
  <si>
    <t>Co-published With World Scientific</t>
  </si>
  <si>
    <t>Raphael Mechoulam;Jacob D Bekenstein</t>
  </si>
  <si>
    <t>LC6503 -- .A43 2012eb</t>
  </si>
  <si>
    <t>Einstein, Albert, -- 1879-1955</t>
  </si>
  <si>
    <t>Reasoning, Communication And Connections In Mathematics: Yearbook 2012, Association Of Mathematics Educators</t>
  </si>
  <si>
    <t>Berinderjeet Kaur;Tin Lam Toh</t>
  </si>
  <si>
    <t>QA11.A1 -- R43 2012eb</t>
  </si>
  <si>
    <t>Communication -- Study and teaching</t>
  </si>
  <si>
    <t>Business/Management; Mathematics</t>
  </si>
  <si>
    <t>'News from the Republick of Letters': Scottish Students, Charles Mackie and the United Provinces, 1650-1750 : Scottish Students, Charles Mackie and the United Provinces, 1650-1750</t>
  </si>
  <si>
    <t>Mijers, Esther</t>
  </si>
  <si>
    <t>Studies in Medieval and Reformation Traditions Series</t>
  </si>
  <si>
    <t>Reform Versus Dreams : Preventing Student Failure</t>
  </si>
  <si>
    <t>LaRocque, Rosalind</t>
  </si>
  <si>
    <t>LB2822.82.L368 2012</t>
  </si>
  <si>
    <t>Minding the Achievement Gap One Classroom at a Time</t>
  </si>
  <si>
    <t>Pollock, Jane E.;Ford, Sharon M.;Black, Margaret M.</t>
  </si>
  <si>
    <t>LC213.2 .P65 2012</t>
  </si>
  <si>
    <t>Educational equalization-United States. ; Academic achievement-United States.</t>
  </si>
  <si>
    <t>Herman B Wells : The Promise of the American University</t>
  </si>
  <si>
    <t>Capshew, James H.</t>
  </si>
  <si>
    <t>LD2516</t>
  </si>
  <si>
    <t>Wells, Herman B. ; Indiana University--Presidents--Biography. ; College presidents--Indiana--Biography.</t>
  </si>
  <si>
    <t>There Is Nothing Wrong with Black Students</t>
  </si>
  <si>
    <t>Chicago Heigths</t>
  </si>
  <si>
    <t>LC2771 -- .K86 2012eb</t>
  </si>
  <si>
    <t>370.8996073;373.08996073</t>
  </si>
  <si>
    <t>Polymers -- Handbooks, manuals, etc.</t>
  </si>
  <si>
    <t>Transforming Undergraduate Education : Theory That Compels and Practices That Succeed</t>
  </si>
  <si>
    <t>Harward, Donald W.;Adams, Jann H.;Axer, Jerzy;Bain, Kenneth R.;Bass, Randall J.;Bender, Thomas;Bergen-Cico, Dessa;Bylander, Joyce A.;Chabotar, Kent John;Checkoway, Barry N.</t>
  </si>
  <si>
    <t>LA227.4.T73 2012</t>
  </si>
  <si>
    <t>Education, Higher--Aims and objectives--United States. ; Education, Higher--United States--Philosophy. ; Education, Higher--United States--Administration. ; Universities and colleges--United States.</t>
  </si>
  <si>
    <t>The Black Revolution on Campus</t>
  </si>
  <si>
    <t>Biondi, Martha</t>
  </si>
  <si>
    <t>African American college students -- Political activity -- History -- 20th century. ; African American student movements. ; African Americans -- Education (Higher) -- History.</t>
  </si>
  <si>
    <t>The New Handbook of Research on Music Teaching and Learning : A Project of the Music Educators National Conference</t>
  </si>
  <si>
    <t>Colwell, Richard;Richardson, Carol;Music Educators National Conference Staff</t>
  </si>
  <si>
    <t>MT1 -- .N48 2002eb</t>
  </si>
  <si>
    <t>Music -- Instruction and study. ; Music -- Instruction and study -- Research.</t>
  </si>
  <si>
    <t>The Black Campus Movement : Black Students and the Racial Reconstitution of Higher Education, 1965-1972</t>
  </si>
  <si>
    <t>Kendi, Ibram X.</t>
  </si>
  <si>
    <t>Contemporary Black History Series</t>
  </si>
  <si>
    <t>Social history</t>
  </si>
  <si>
    <t>Moodle Gradebook : If You're Already Using Moodle for Your Courses, Adding the Power of the in-Built Gradebook Can Make Teaching Life a Lot Easier. This Book Tells You All about It - from Basic Concepts to Clever Customization</t>
  </si>
  <si>
    <t>Packt Publishing</t>
  </si>
  <si>
    <t>Packt Publishing, Limited</t>
  </si>
  <si>
    <t>Barrington, Rebecca</t>
  </si>
  <si>
    <t>Database management -- Congresses. ; Data structures (Computer science)</t>
  </si>
  <si>
    <t>School-Based Health Care : Advancing Educational Success and Public Health</t>
  </si>
  <si>
    <t>American Public Health Association</t>
  </si>
  <si>
    <t>APHA Press</t>
  </si>
  <si>
    <t>Wright, Terri D.;Richardson, Jeanita W.</t>
  </si>
  <si>
    <t>LB3405 -- .S36 2012eb</t>
  </si>
  <si>
    <t>Sound. ; Noise.</t>
  </si>
  <si>
    <t>Health; Social Science; Education</t>
  </si>
  <si>
    <t>Psychoanalysis and Education : Minding a Gap</t>
  </si>
  <si>
    <t>Bainbridge, Alan;West, Linden</t>
  </si>
  <si>
    <t>LB1027.55 -- .P79 2012eb</t>
  </si>
  <si>
    <t>School psychology. ; Psychoanalysis. ; Educational psychology.</t>
  </si>
  <si>
    <t>Learning and Teaching Scientific Inquiry : Research and Applications</t>
  </si>
  <si>
    <t>Jadrich, James;Bruxvoort, Crystal</t>
  </si>
  <si>
    <t>Q181 -- .J266 2011eb</t>
  </si>
  <si>
    <t>Science -- Study and teaching. ; Science -- Methodology -- Study and teaching. ; Research -- Study and teaching.</t>
  </si>
  <si>
    <t>Beyond the Numbers : Making Sense of Statistics</t>
  </si>
  <si>
    <t>Christmann, Edwin</t>
  </si>
  <si>
    <t>QA276.12 -- .C468 2012eb</t>
  </si>
  <si>
    <t>Mathematical statistics.</t>
  </si>
  <si>
    <t>Science Stories : Using Case Studies to Teach Critical Thinking</t>
  </si>
  <si>
    <t>Herreid, Clyde;Schiller, Nancy;Herreid, Ky</t>
  </si>
  <si>
    <t>Q181 -- .H394 2012eb</t>
  </si>
  <si>
    <t>Science -- Study and teaching -- Case studies. ; Critical thinking -- Study and teaching.</t>
  </si>
  <si>
    <t>Connecting with Nature : A Naturalist's Perspective</t>
  </si>
  <si>
    <t>Stebbins, Robert C.</t>
  </si>
  <si>
    <t>QH541.2.S72 2012</t>
  </si>
  <si>
    <t>Stebbins, Robert C. -- (Robert Cyril), -- 1915- ; Ecology -- Study and teaching -- Activity programs. ; Nature study -- Activity programs. ; Natural history -- Study and teaching -- Activity programs. ; Environmental education -- Activity programs. ; Outdoor life -- Study and teaching -- Activity programs. ; Naturalists -- United States -- Biography.</t>
  </si>
  <si>
    <t>EVO Teacher's Guide : Ten Questions Everyone Should Ask About Evolution (Book)</t>
  </si>
  <si>
    <t>NSTA Press</t>
  </si>
  <si>
    <t>Bybee, Rodger;Feldman, John</t>
  </si>
  <si>
    <t>QH362 -- .B93 2012eb</t>
  </si>
  <si>
    <t>Thermodynamics. ; Heat.</t>
  </si>
  <si>
    <t>Uncovering Student Ideas in Astronomy : 45 Formative Assessment Probes</t>
  </si>
  <si>
    <t>Keeley, Page;Sneider, Cary Ivan</t>
  </si>
  <si>
    <t>QB61.K44 2012</t>
  </si>
  <si>
    <t>520.71/2</t>
  </si>
  <si>
    <t>Astronomy--Study and teaching--Evaluation.</t>
  </si>
  <si>
    <t>Everyday Engineering : Integrating Science and Engineering Activities</t>
  </si>
  <si>
    <t>Moyer, Richard</t>
  </si>
  <si>
    <t>Inventions -- Popular works. ; Engineering -- Popular works.</t>
  </si>
  <si>
    <t>Science: General</t>
  </si>
  <si>
    <t>Teaching Science Through Trade Books</t>
  </si>
  <si>
    <t>Royce, Christine Anne;Morgan, Emily;Ansberry, Karen</t>
  </si>
  <si>
    <t>LB1585 -- .R59 2012eb</t>
  </si>
  <si>
    <t>Science -- Study and teaching (Elementary) ; Children's literature in science education.</t>
  </si>
  <si>
    <t>Rise and Shine : A Practical Guide for the Beginning Science Teacher</t>
  </si>
  <si>
    <t>Froschauer, Linda;Bigelow, Mary L.</t>
  </si>
  <si>
    <t>Q181 -- .F837 2012eb</t>
  </si>
  <si>
    <t>Science -- Study and teaching. ; Science teachers. ; First year teachers.</t>
  </si>
  <si>
    <t>War, Evacuation, and the Exercise of Power : The Center, Periphery, and Kirov's Pedagogical Institute 1941-1952</t>
  </si>
  <si>
    <t>Holmes, Larry E.</t>
  </si>
  <si>
    <t>LB2098.5.K56 -- H65 2012eb</t>
  </si>
  <si>
    <t>Education - Study and teaching - Russia (Federation) - Kirov (Kirovskaeiia oblast) - History - 20th century</t>
  </si>
  <si>
    <t>Re-Awakening the Learner : Creating Learner-Centric, Standards-Driven Schools</t>
  </si>
  <si>
    <t>Stoll, Copper;Giddings, Gene;Robert J. Marzano, Chief Academic Officer, Marzano Research, Chief Academic Officer</t>
  </si>
  <si>
    <t>LB2822.82.S84185</t>
  </si>
  <si>
    <t>School improvement programs--United States. ; Student-centered learning--United States. ; Education--Standards--United States.</t>
  </si>
  <si>
    <t>Teacher : Mastering the Art and Craft of Teaching</t>
  </si>
  <si>
    <t>LB1025.3.B462 2012</t>
  </si>
  <si>
    <t>Teaching. ; Teachers. ; Teachers--Great Britain. ; Teaching--Great Britain.</t>
  </si>
  <si>
    <t>Why Think? : Philosophical Play From 3-11</t>
  </si>
  <si>
    <t>Stanley, Sara</t>
  </si>
  <si>
    <t>B52.5.S68 2012</t>
  </si>
  <si>
    <t>Philosophy--Study and teaching. ; Education, Primary--Activity programs. ; Games in philosophy education.</t>
  </si>
  <si>
    <t>Moodle 1. 9 for Teaching Special Education Children (5-10): Beginner's Guide : Create Courses and Therapies for Children with Special Educational Needs Using Moodle for Effective E-Learning</t>
  </si>
  <si>
    <t>Vanesa S. Olsen, Vanesa S.;Soledad Olsen, Vanesa;Trust, Moodle</t>
  </si>
  <si>
    <t>MATLAB. ; Science -- Data processing.</t>
  </si>
  <si>
    <t>Moodle 1. 9: the English Teacher's Cookbook : 80 Simple but Incredibly Effective Recipes for Teaching Reading Comprehension, Writing, and Composing Using Moodle 1. 9</t>
  </si>
  <si>
    <t>Trust, Moodle;Silvina P. Hillar, Silvina P.;Hillar, Silvina Paola</t>
  </si>
  <si>
    <t>Generative organs, Female -- Diseases.</t>
  </si>
  <si>
    <t>Moodle 1. 9 for Design and Technology : Support and Enhance Food Technology, Product Design, Resistant Materials, Construction, and the Built Environment Using Moodle VLE</t>
  </si>
  <si>
    <t>Taylor, Paul;Trust, Moodle</t>
  </si>
  <si>
    <t>Analog electronic systems. ; Signal processing -- Digital techniques. ; Signal theory (Telecommunication) ; Transformations (Mathematics)</t>
  </si>
  <si>
    <t>Levinas, Subjectivity, Education : Towards an Ethics of Radical Responsibility</t>
  </si>
  <si>
    <t>Strhan, Anna</t>
  </si>
  <si>
    <t>Contemporary Identities of Creativity and Creative Work</t>
  </si>
  <si>
    <t>Taylor, Stephanie;Littleton, Karen</t>
  </si>
  <si>
    <t>BF408 -- .T33 2012eb</t>
  </si>
  <si>
    <t>305.9/7</t>
  </si>
  <si>
    <t>Creative ability. ; Artists -- Psychology. ; Identity (Psychology) ; Career development. ; Arts. ; Cultural industries.</t>
  </si>
  <si>
    <t>The Comprehensive Guide to Special Education Law : Over 400 Frequently Asked Questions and Answers Every Educator Needs to Know about the Legal Rights of Exceptional Children and Their Parents</t>
  </si>
  <si>
    <t>Giuliani, George A.</t>
  </si>
  <si>
    <t>KF4210.G58 2012</t>
  </si>
  <si>
    <t>Cyberbullying and E-Safety : What Educators and Other Professionals Need to Know</t>
  </si>
  <si>
    <t>Katz, Adrienne</t>
  </si>
  <si>
    <t>Moodle 1. 9 Extension Development : By Writing Moodle Plugins, You Can Make This Open Source Learning Platform Fit Your Needs Precisely, and This Book Shows You How with a Step-By-step Approach That Takes You from the Basics to Advanced Techniques</t>
  </si>
  <si>
    <t>Churchward, Michael;Moore, Jonathan</t>
  </si>
  <si>
    <t>QA76.76.D47M66 2010</t>
  </si>
  <si>
    <t>Computer-assisted instruction -- Computer programs -- Handbooks, manuals, etc. ; Instructional systems -- Design. ; Open source software.</t>
  </si>
  <si>
    <t>Mahara 1. 2 e-Portfolios: Beginner's Guide : Create and Host Educational and Professional e-Portfolios and Personalized Learning Communities</t>
  </si>
  <si>
    <t>Hand, Richard William;Gillian Bradbury, Glenys;Michael Kent, Derrin;Kent, Margaret Anne;Kent, Margaret;Learning Network, Flexible</t>
  </si>
  <si>
    <t>Artificial intelligence -- Congresses. ; Human-computer interaction -- Congresses. ; User interfaces (Computer systems) -- Congresses.</t>
  </si>
  <si>
    <t>Moodle 1. 9 Teaching Techniques : Creative Ways to Build Powerful and Effective Online Courses</t>
  </si>
  <si>
    <t>Trust, Moodle;Nash, Susan Smith;Rice, William</t>
  </si>
  <si>
    <t>LB1028.68R53 2010</t>
  </si>
  <si>
    <t>Moodle. ; Computer-assisted instruction -- Computer programs -- Handbooks, manuals, etc. ; Open source software -- Handbooks, manuals, etc.</t>
  </si>
  <si>
    <t>Moodle 2 for Teaching 7-14 Year Olds Beginner's Guide : You Need No Special Technical Skills or Previous Moodle Experience to Use the e-Learning Platform to Create Fantastic Interactive Teaching Aids for Pre-teen and Early Teenage Students. This Book Takes You from a-Z in Easy Steps</t>
  </si>
  <si>
    <t>Cooch, Mary</t>
  </si>
  <si>
    <t>Autocatalysis. ; Chirality.</t>
  </si>
  <si>
    <t>Essentials of WAIS-IV Assessment</t>
  </si>
  <si>
    <t>Lichtenberger, Elizabeth O.;Kaufman, Alan S.;Kaufman, Nadeen L.</t>
  </si>
  <si>
    <t>BF432.5.W4L53 2013</t>
  </si>
  <si>
    <t>Wechsler Adult Intelligence Scale</t>
  </si>
  <si>
    <t>Meeting the Psychoeducational Needs of Minority Students : Evidence-Based Guidelines for School Psychologists and Other School Personnel</t>
  </si>
  <si>
    <t>Frisby, Craig L.</t>
  </si>
  <si>
    <t>Minority students -- Counseling of</t>
  </si>
  <si>
    <t>WordPress for Education : Create Interactive and Engaging e-Learning Websites with WordPress Book and Ebook</t>
  </si>
  <si>
    <t>Adam D. Scott, Adam D.;Scott, Adam</t>
  </si>
  <si>
    <t>Art -- Handbooks, manuals, etc. ; Computer graphics.</t>
  </si>
  <si>
    <t>Moodle As a Curriculum and Information Management System : Use Moodle to Manage and Organize Your Administrative Duties; Monitor Attendance Records, Manage Student Enrolment, Record Exam Results, and Much More</t>
  </si>
  <si>
    <t>Hollowell, Jason;Trust, Moodle</t>
  </si>
  <si>
    <t>Industrial design -- Congresses. ; Engineering design -- Data processing -- Congresses. ; System design -- Congresses. ; Teams in the workplace -- Data processing -- Congresses.</t>
  </si>
  <si>
    <t>Raising Multicultural Awareness in Higher Education</t>
  </si>
  <si>
    <t>Klein, Ana Maria</t>
  </si>
  <si>
    <t>Multiculturalism - Study and teaching (Higher)</t>
  </si>
  <si>
    <t>Stepping up to Stepping Out: Helping Students Prepare for Life after College : New Directions for Student Services, Number 138</t>
  </si>
  <si>
    <t>McClellan, George S.;Parker, Jill;Parker, Jill</t>
  </si>
  <si>
    <t>J-B SS Single Issue Student Services Series</t>
  </si>
  <si>
    <t>LC1037 -- .S74 2012eb</t>
  </si>
  <si>
    <t>370;378.787</t>
  </si>
  <si>
    <t>School-to-work transition. ; Vocational guidance. ; Career development. ; College graduates -- Employment.</t>
  </si>
  <si>
    <t>Valuing People with a Learning Disability</t>
  </si>
  <si>
    <t>M&amp;K Update Ltd.</t>
  </si>
  <si>
    <t>M&amp;K Update Ltd</t>
  </si>
  <si>
    <t>Cumbria</t>
  </si>
  <si>
    <t>M&amp;K Publishing</t>
  </si>
  <si>
    <t>Mee, Steve</t>
  </si>
  <si>
    <t>LC4818 -- .M44 2012eb</t>
  </si>
  <si>
    <t>Distributed databases -- Congresses. ; Information storage and retrieval systems -- Congresses. ; Internet -- Congresses. ; Web databases -- Congresses.</t>
  </si>
  <si>
    <t>Moodle Administration</t>
  </si>
  <si>
    <t>Buchner, Alex</t>
  </si>
  <si>
    <t>Moodle 1. 9 Theme Design: Beginner's Guide : Customize the Appearance of Your Moodle Theme Using Its Powerful Theming Engine</t>
  </si>
  <si>
    <t>James Gadsdon, Paul;Trust, Moodle;Gadsdon, Paul</t>
  </si>
  <si>
    <t>LB1028.68.G33 2010</t>
  </si>
  <si>
    <t>Computer-assisted instruction -- Computer programs -- Handbooks, manuals, etc. ; Instructional systems -- Design -- Handbooks, manuals, etc. ; Open source software -- Handbooks, manuals, etc.</t>
  </si>
  <si>
    <t>Drupal for Education and E-Learning</t>
  </si>
  <si>
    <t>Fitzgerald, Bill</t>
  </si>
  <si>
    <t>TK5105.8885.D78F58 2</t>
  </si>
  <si>
    <t>Education; Computer Science/IT</t>
  </si>
  <si>
    <t>Moodle 1. 9 Testing and Assessment : Develop and Evaluate Quizzes and Tests Using Moodle Modules</t>
  </si>
  <si>
    <t>Trust, Moodle;Myrick, Jason</t>
  </si>
  <si>
    <t>Knowledge acquisition (Expert systems) -- Congresses. ; Semantic Web -- Congresses.</t>
  </si>
  <si>
    <t>Moodle 1. 9 for Second Language Teaching</t>
  </si>
  <si>
    <t>Stanford, Jeff</t>
  </si>
  <si>
    <t>LB1028.68.P38 2009</t>
  </si>
  <si>
    <t>Moodle 2. 0 First Look : Discover What's New in Moodle 2. 0, How the New Features Work, and How It Will Impact You</t>
  </si>
  <si>
    <t>Cooch, Mary;Trust, Moodle</t>
  </si>
  <si>
    <t>Noncommutative differential geometry -- Congresses. ; Number theory -- Congresses.</t>
  </si>
  <si>
    <t>The Politics of Education Reform in the Middle East : Self and Other in Textbooks and Curricula</t>
  </si>
  <si>
    <t>Berghahn Books</t>
  </si>
  <si>
    <t>Berghahn Books, Incorporated</t>
  </si>
  <si>
    <t>Alayan, Samira;Rohde, Achim;Dhouib, Sarhan</t>
  </si>
  <si>
    <t>LB3048.A65P65 2012</t>
  </si>
  <si>
    <t>Textbooks--Arab countries. ; Textbook bias--Arab countries. ; Curriculum change--Arab countries. ; Educational change--Government policy--Arab countries.</t>
  </si>
  <si>
    <t>Moodle 1. 9 Top Extensions Cookbook : Over 60 Simple and Incredibly Effective Recipes for Harnessing the Power of the Best Moodle Modules to Create Effective Online Learning Sites</t>
  </si>
  <si>
    <t>De Raadt, Michael;Trust, Moodle</t>
  </si>
  <si>
    <t>Calculus of variations. ; Nonlinear theories. ; Field theory (Physics)</t>
  </si>
  <si>
    <t>Oracle User Productivity Kit 3. 5</t>
  </si>
  <si>
    <t>Manuel, Dirk</t>
  </si>
  <si>
    <t>QA76.9.D3M36 2009</t>
  </si>
  <si>
    <t>Teaching Reading in the Content Areas : If Not Me, Then Who?</t>
  </si>
  <si>
    <t>Urquhuart, Vicki;Frazee, Dana</t>
  </si>
  <si>
    <t>LB1050.455 .U77 2012</t>
  </si>
  <si>
    <t>Content area reading. ; Reading (Secondary)</t>
  </si>
  <si>
    <t>Learning Targets : Helping Students Aim for Understanding in Today's Lesson</t>
  </si>
  <si>
    <t>Moss, Connie M.;Brookhart, Susan M.</t>
  </si>
  <si>
    <t>LB1027.4 .M67 2012</t>
  </si>
  <si>
    <t>Lesson planning. ; Effective teaching. ; Academic achievement. ; School improvement programs.</t>
  </si>
  <si>
    <t>Reconceptualizing Leadership in the Early Years</t>
  </si>
  <si>
    <t>McDowall Clark, Rory;Murray, Janet</t>
  </si>
  <si>
    <t>LB2822.5</t>
  </si>
  <si>
    <t>The Role of the Adult in Early Years Settings</t>
  </si>
  <si>
    <t>Rose, Janet;Rogers, Sue</t>
  </si>
  <si>
    <t>LB1139.23 .R67 2012</t>
  </si>
  <si>
    <t>Early childhood education. ; Child development. ; Child care.</t>
  </si>
  <si>
    <t>Culture, Education, and Community : Expressions of the Postcolonial Imagination</t>
  </si>
  <si>
    <t>Lavia, J.;Mahlomaholo, S.</t>
  </si>
  <si>
    <t>A Critical Pedagogy of Embodied Education : Learning to Become an Activist</t>
  </si>
  <si>
    <t>Ollis, T.</t>
  </si>
  <si>
    <t>Cognitive-Behavioral Interventions in Educational Settings : A Handbook for Practice</t>
  </si>
  <si>
    <t>Christner, Ray W.;Mennuti, Rosemary B.</t>
  </si>
  <si>
    <t>LB1027.55 -- .C63 2012eb</t>
  </si>
  <si>
    <t>370.15/28</t>
  </si>
  <si>
    <t>School psychology</t>
  </si>
  <si>
    <t>Teacher Education Around the World : Changing Policies and Practices</t>
  </si>
  <si>
    <t>Darling-Hammond, Linda;LIEBERMAN, A. N. N.</t>
  </si>
  <si>
    <t>Teacher Quality and School Development Series</t>
  </si>
  <si>
    <t>LB1707 -- .D37 2012eb</t>
  </si>
  <si>
    <t>EDUCATION / General</t>
  </si>
  <si>
    <t>Design for Learning in Virtual Worlds</t>
  </si>
  <si>
    <t>Nelson, Brian C.;Erlandson, Benjamin E.</t>
  </si>
  <si>
    <t>Interdisciplinary Approaches to Educational Technology Series</t>
  </si>
  <si>
    <t>LB1044.87 -- .N445 2012eb</t>
  </si>
  <si>
    <t>EDUCATION / Computers &amp; Technology</t>
  </si>
  <si>
    <t>Understanding Undergraduates : Challenging Our Preconceptions of Student Success</t>
  </si>
  <si>
    <t>Popovic, Celia;Green, David A.</t>
  </si>
  <si>
    <t>LB2331 -- .P58 2012eb</t>
  </si>
  <si>
    <t>Multimodal Composing in Classrooms : Learning and Teaching for the Digital World</t>
  </si>
  <si>
    <t>Miller, Suzanne M.;McVee, Mary B.</t>
  </si>
  <si>
    <t>LB1576.7 -- .M85 2012eb</t>
  </si>
  <si>
    <t>808/.0420285</t>
  </si>
  <si>
    <t>Creative writing - Computer-assisted instruction</t>
  </si>
  <si>
    <t>Teaching As a Design Science : Building Pedagogical Patterns for Learning and Technology</t>
  </si>
  <si>
    <t>Laurillard, Diana</t>
  </si>
  <si>
    <t>LB1025.3 -- .L375 2012eb</t>
  </si>
  <si>
    <t>Teaching -- Philosophy. ; Professional learning communities. ; Educational technology.</t>
  </si>
  <si>
    <t>Intellectual Leadership in Higher Education : Renewing the Role of the University Professor</t>
  </si>
  <si>
    <t>Macfarlane, Bruce</t>
  </si>
  <si>
    <t>Research into Higher Education Series</t>
  </si>
  <si>
    <t>LB1778 -- .M24 2012eb</t>
  </si>
  <si>
    <t>Multidisciplinary Approaches to Educational Research : Case Studies from Europe and the Developing World</t>
  </si>
  <si>
    <t>Rizvi, Sadaf</t>
  </si>
  <si>
    <t>LB1028 -- .M776 2012eb</t>
  </si>
  <si>
    <t>Education - Research - Europe</t>
  </si>
  <si>
    <t>Reconciliation and Pedagogy</t>
  </si>
  <si>
    <t>Ahluwalia, Pal;Atkinson, Stephen;Bishop, Peter;Christie, Pam;Hattam, Robert;Matthews, Julie</t>
  </si>
  <si>
    <t>Postcolonial Politics Series</t>
  </si>
  <si>
    <t>LC196 -- .R42 2012eb</t>
  </si>
  <si>
    <t>POLITICAL SCIENCE / General</t>
  </si>
  <si>
    <t>Handbook of Research in the Social Foundations of Education</t>
  </si>
  <si>
    <t>Tozer, Steven;Gallegos, Bernardo P.;Henry, Annette;Bushnell Greiner, Mary;Groves Price, Paula</t>
  </si>
  <si>
    <t>LC191.4 -- .H36 2010eb</t>
  </si>
  <si>
    <t>306.4307/2</t>
  </si>
  <si>
    <t>Educational sociology - United States - Research</t>
  </si>
  <si>
    <t>Developing Equitable Education Systems</t>
  </si>
  <si>
    <t>Ainscow, Mel;Dyson, Alan;Goldrick, Sue;West, Mel</t>
  </si>
  <si>
    <t>LC213.3.G7 -- D48 2012eb</t>
  </si>
  <si>
    <t>EDUCATION / Organizations &amp; Institutions</t>
  </si>
  <si>
    <t>Becoming a Solution Detective : A Strengths-Based Guide to Brief Therapy</t>
  </si>
  <si>
    <t>Sharry, John;Madden, Brendan;Darmody, Melissa</t>
  </si>
  <si>
    <t>RC489.S65 -- S528 2012eb</t>
  </si>
  <si>
    <t>PSYCHOLOGY / Mental Health</t>
  </si>
  <si>
    <t>Learning for Life : Politics and Progress in Recurrent Education</t>
  </si>
  <si>
    <t>Molyneux, Frank;Low, George;Fowler, Gerry</t>
  </si>
  <si>
    <t>Routledge Library Editions: Education Series</t>
  </si>
  <si>
    <t>LC5256.G7 -- L35 2012eb</t>
  </si>
  <si>
    <t>Adult education -- Great Britain. ; Continuing education -- Great Britain.</t>
  </si>
  <si>
    <t>Cross-Curricular Teaching and Learning in the Secondary School... Humanities : History, Geography, Religious Studies and Citizenship</t>
  </si>
  <si>
    <t>Harris, Richard;Harrison, Simon;McFahn, Richard</t>
  </si>
  <si>
    <t>Cross-Curricular Teaching and Learning In... Series</t>
  </si>
  <si>
    <t>LC1011 -- .H296 2012eb</t>
  </si>
  <si>
    <t>Citizenship - Study and teaching (Secondary)</t>
  </si>
  <si>
    <t>Handbook for Research in Cooperative Education and Internships</t>
  </si>
  <si>
    <t>Linn, Patricia L.;Howard, Adam;Miller, Eric</t>
  </si>
  <si>
    <t>LC1049 -- .H36 2004eb</t>
  </si>
  <si>
    <t>Education, Cooperative -- Research. ; Internship programs -- Research.</t>
  </si>
  <si>
    <t>Learning Outside the Classroom : Theory and Guidelines for Practice</t>
  </si>
  <si>
    <t>Beames, Simon;Higgins, Peter;Nicol, Robbie</t>
  </si>
  <si>
    <t>LB1047 -- .B37 2012eb</t>
  </si>
  <si>
    <t>EDUCATION / Non-Formal Education</t>
  </si>
  <si>
    <t>Reconstructions of Secondary Education : Theory, Myth and Practice since the Second World War</t>
  </si>
  <si>
    <t>Gray, John;McPherson, Andrew;Raffe, David</t>
  </si>
  <si>
    <t>LA656 -- .G69 2012eb</t>
  </si>
  <si>
    <t>Education, Secondary -- Scotland -- History -- 20th century. ; Education -- Scotland -- History -- 20th century.</t>
  </si>
  <si>
    <t>Changing Educational Assessment : International Perspectives and Trends</t>
  </si>
  <si>
    <t>Broadfoot, Patricia;Murphy, Roger;Torrance, Harry</t>
  </si>
  <si>
    <t>LB3050.5 -- .C43 2012eb</t>
  </si>
  <si>
    <t>Educational tests and measurements -- Congresses</t>
  </si>
  <si>
    <t>The Instructional Design Knowledge Base : Theory, Research, and Practice</t>
  </si>
  <si>
    <t>Richey, Rita C.;Klein, James D.;Tracey, Monica W.</t>
  </si>
  <si>
    <t>LC5219 -- .R495 2010eb</t>
  </si>
  <si>
    <t>Knowledge and Character Bound with the Modern Teacher(RLE Edu K)</t>
  </si>
  <si>
    <t>Archer, William;Bain, A. Watson</t>
  </si>
  <si>
    <t>LC268 -- .A73 2012eb</t>
  </si>
  <si>
    <t>Teaching -- Great Britain</t>
  </si>
  <si>
    <t>Dilemmas of Schooling (RLE Edu L) : Teaching and Social Change</t>
  </si>
  <si>
    <t>Berlak, Ann;Berlak, Harold</t>
  </si>
  <si>
    <t>LA637 -- .B47 2012eb</t>
  </si>
  <si>
    <t>Education, Elementary -- Social aspects -- Great Britain. ; Teaching -- Social aspects -- Great Britain.</t>
  </si>
  <si>
    <t>Art Teaching : Elementary Through Middle School</t>
  </si>
  <si>
    <t>Szekely, George;Bucknam, Julie Alsip</t>
  </si>
  <si>
    <t>N350 .S94 2011</t>
  </si>
  <si>
    <t>Art -- Study and teaching (Elementary) ; Art -- Study and teaching (Middle school)</t>
  </si>
  <si>
    <t>Power and Authority in British Universities</t>
  </si>
  <si>
    <t>Moodie, Graeme;Eustace, Rowland</t>
  </si>
  <si>
    <t>LC178.G7 -- M66 2012eb</t>
  </si>
  <si>
    <t>Higher education and state -- Great Britain. ; Universities and colleges -- Great Britain -- Administration.</t>
  </si>
  <si>
    <t>Thinking Comprehensively about Education : Spaces of Educative Possibility and Their Implications for Public Policy</t>
  </si>
  <si>
    <t>Dixon-Román, Ezekiel;Gordon, Edmund W.</t>
  </si>
  <si>
    <t>LC45.4 -- .T45 2012eb</t>
  </si>
  <si>
    <t>Leading on Inclusion : Dilemmas, Debates and New Perspectives</t>
  </si>
  <si>
    <t>Cornwall, John;Graham-Matheson, Lynne</t>
  </si>
  <si>
    <t>LC1203.G7 -- L417 2012eb</t>
  </si>
  <si>
    <t>Essays on Political Education</t>
  </si>
  <si>
    <t>Crick, Bernard;Heater, Derek</t>
  </si>
  <si>
    <t>JA88.G7 -- C74 2012eb</t>
  </si>
  <si>
    <t>Education -- Political aspects -- Great Britain</t>
  </si>
  <si>
    <t>Participation, Facilitation, and Mediation : Children and Young People in Their Social Contexts</t>
  </si>
  <si>
    <t>Baraldi, Claudio;Iervese, Vittorio</t>
  </si>
  <si>
    <t>HQ767.9 -- .P474 2012eb</t>
  </si>
  <si>
    <t>Adults - Social conditions</t>
  </si>
  <si>
    <t>Improving Quality in Education : Dynamic Approaches to School Improvement</t>
  </si>
  <si>
    <t>Creemers, Bert P. M.;Kyriakides, Leonidas</t>
  </si>
  <si>
    <t>LB2822.8 -- .C75 2012eb</t>
  </si>
  <si>
    <t>The Psychology of Strength and Conditioning</t>
  </si>
  <si>
    <t>Tod, David;Lavallee, David</t>
  </si>
  <si>
    <t>GV342.22 -- .P84 2012eb</t>
  </si>
  <si>
    <t>SPORTS &amp; RECREATION / Training</t>
  </si>
  <si>
    <t>Research Methods in Physical Education and Youth Sport</t>
  </si>
  <si>
    <t>Armour, Kathleen;Macdonald, Doune</t>
  </si>
  <si>
    <t>GV361 -- .R48 2012eb</t>
  </si>
  <si>
    <t>Sports for children - Research - Methodology</t>
  </si>
  <si>
    <t>Teaching Contemporary Themes in Secondary Education: Technology, Culture and Communication : Technology, Culture and Communication</t>
  </si>
  <si>
    <t>Savage, Jonathan;McGoun, Clive</t>
  </si>
  <si>
    <t>LB1028.3 -- .M35 2012eb</t>
  </si>
  <si>
    <t>Educational technology. ; Media literacy -- Study and teaching.</t>
  </si>
  <si>
    <t>Curriculum, Pedagogy and Educational Research : The Work of Lawrence Stenhouse</t>
  </si>
  <si>
    <t>Elliott, John;Norris, Nigel</t>
  </si>
  <si>
    <t>LB880.S662 -- C87 2012eb</t>
  </si>
  <si>
    <t>Stenhouse, Lawrence</t>
  </si>
  <si>
    <t>The Routledge Companion to Education</t>
  </si>
  <si>
    <t>Arthur, James;Peterson, Andrew</t>
  </si>
  <si>
    <t>Values in Higher Education Teaching</t>
  </si>
  <si>
    <t>Harland, Tony;Pickering, Neil</t>
  </si>
  <si>
    <t>LB1738 -- .H27 2010eb</t>
  </si>
  <si>
    <t>Curriculum enrichment</t>
  </si>
  <si>
    <t>Applied Critical Leadership in Education : Choosing Change</t>
  </si>
  <si>
    <t>Santamaría, Lorri J.;Santamaría, Andrés P.;Santamaria, Andres P</t>
  </si>
  <si>
    <t>LB2805 -- .S2655 2012eb</t>
  </si>
  <si>
    <t>Educational leadership -- United States. ; School management and organization -- United States. ; Education -- Social aspects -- United States.</t>
  </si>
  <si>
    <t>Cross-Curricular Teaching and Learning in the Secondary School ... English : The Centrality of Language in Learning</t>
  </si>
  <si>
    <t>Stevens, David</t>
  </si>
  <si>
    <t>LC1099 -- .S79 2010eb</t>
  </si>
  <si>
    <t>428.0071/241</t>
  </si>
  <si>
    <t>The Impact of Technology on Relationships in Educational Settings : International Perspectives</t>
  </si>
  <si>
    <t>Costabile, Angela;Spears, Barbara A.</t>
  </si>
  <si>
    <t>LB1028.3 -- .I45 2012eb</t>
  </si>
  <si>
    <t>Education -- Effect of technological innovations on. ; Educational technology -- Social aspects. ; Students -- Social networks.</t>
  </si>
  <si>
    <t>Bullying in North American Schools</t>
  </si>
  <si>
    <t>LB3013.32 -- .B85 2010eb</t>
  </si>
  <si>
    <t>Bullying in schools - North America - Psychological aspects</t>
  </si>
  <si>
    <t>Social Crisis and Educational Research (RLE Edu L)</t>
  </si>
  <si>
    <t>Barton, Len;Walker, Stephen A.</t>
  </si>
  <si>
    <t>LC191.2 -- .S62 2012eb</t>
  </si>
  <si>
    <t>Education and state. ; Education -- Research. ; Educational sociology.</t>
  </si>
  <si>
    <t>The Irish Education Experiment : The National System of Education in the Nineteenth Century</t>
  </si>
  <si>
    <t>Akenson, Donald H.</t>
  </si>
  <si>
    <t>LA641.7 -- .A74 2012eb</t>
  </si>
  <si>
    <t>Education -- Ireland -- History. ; Education -- History.</t>
  </si>
  <si>
    <t>School and Society in Victorian Britain : Joseph Payne and the New World of Education</t>
  </si>
  <si>
    <t>LB675.P32 -- A43 2012eb</t>
  </si>
  <si>
    <t>Payne, Joseph, -- 1808-1876. ; Educators -- Great Britain -- Biography. ; Education -- Social aspects -- Great Britain -- History -- 19th century. ; Education -- Great Britain -- Philosophy. ; Great Britain -- History -- Victoria, 1837-1901.</t>
  </si>
  <si>
    <t>American Influence on English Education</t>
  </si>
  <si>
    <t>Armytage, W. H. G.</t>
  </si>
  <si>
    <t>LA205 -- .A76 2012eb</t>
  </si>
  <si>
    <t>Education -- United States -- History. ; Great Britain -- Relations -- United States. ; United States -- Relations -- Great Britain.</t>
  </si>
  <si>
    <t>Harmonizing Global Education : From Genghis Khan to Facebook</t>
  </si>
  <si>
    <t>Baggaley, Jon</t>
  </si>
  <si>
    <t>LC5800 -- .B35 2012eb</t>
  </si>
  <si>
    <t>Distance education - Developing countries</t>
  </si>
  <si>
    <t>The Micro-Politics of the School : Towards a Theory of School Organization</t>
  </si>
  <si>
    <t>Ball, Stephen J.</t>
  </si>
  <si>
    <t>LB2901 -- .B274 2012eb</t>
  </si>
  <si>
    <t>High schools -- Great Britain -- Administration</t>
  </si>
  <si>
    <t>Education in Ancient Rome : From the Elder Cato to the Younger Pliny</t>
  </si>
  <si>
    <t>Bonner, Stanley</t>
  </si>
  <si>
    <t>LA81 -- .B65 2012eb</t>
  </si>
  <si>
    <t>Education -- Rome. ; Education.</t>
  </si>
  <si>
    <t>Bringing Learning to Life : The Learning Revolution, the Economy and the Individual</t>
  </si>
  <si>
    <t>Bradshaw, David C. A.</t>
  </si>
  <si>
    <t>LC988.G7 -- B75 2012eb</t>
  </si>
  <si>
    <t>Education -- Economic aspects -- Great Britain. ; Learning.</t>
  </si>
  <si>
    <t>Freedom and Choice in Education (RLE Edu K)</t>
  </si>
  <si>
    <t>Breese, James</t>
  </si>
  <si>
    <t>LB41 -- .B74 2012eb</t>
  </si>
  <si>
    <t>From Testing to Productive Student Learning : Implementing Formative Assessment in Confucian-Heritage Settings</t>
  </si>
  <si>
    <t>Carless, David</t>
  </si>
  <si>
    <t>LB1025.3 -- .C384 2011eb</t>
  </si>
  <si>
    <t>Educating the Virtues (RLE Edu K) : An Essay on the Philosophical Psychology of Moral Development and Education</t>
  </si>
  <si>
    <t>LC268 -- .C253 2012eb</t>
  </si>
  <si>
    <t>Moral education. ; Moral development. ; Virtue.</t>
  </si>
  <si>
    <t>Church, Community and State in Relation to Education : Towards a Theory of School Organization</t>
  </si>
  <si>
    <t>Clarke, Fred</t>
  </si>
  <si>
    <t>LC375 -- .C53 2012eb</t>
  </si>
  <si>
    <t>Church and education</t>
  </si>
  <si>
    <t>Teacher Education in Plural Societies (RLE Edu N) : An International Review</t>
  </si>
  <si>
    <t>Craft, Maurice</t>
  </si>
  <si>
    <t>LB1707 -- .T417 2012eb</t>
  </si>
  <si>
    <t>Teachers -- Training of -- Cross-cultural studies. ; Multicultural education -- Cross-cultural studies. ; Cultural pluralism -- Cross-cultural studies.</t>
  </si>
  <si>
    <t>Adolescent Literacies in a Multicultural Context</t>
  </si>
  <si>
    <t>LB1631 -- .A34379 2012eb</t>
  </si>
  <si>
    <t>Language arts (Secondary) - Social aspects - United States</t>
  </si>
  <si>
    <t>Politics and the Primary Teacher</t>
  </si>
  <si>
    <t>Cunningham, Peter</t>
  </si>
  <si>
    <t>Understanding Primary Education Series</t>
  </si>
  <si>
    <t>LB1556.7.G7 -- C86 2012eb</t>
  </si>
  <si>
    <t>Elementary school teaching - Political aspects - Great Britain</t>
  </si>
  <si>
    <t>Design Research on Learning and Thinking in Educational Settings : Enhancing Intellectual Growth and Functioning</t>
  </si>
  <si>
    <t>Dai, David Yun</t>
  </si>
  <si>
    <t>Educational Psychology Series</t>
  </si>
  <si>
    <t>LB1062 -- .D485 2012eb</t>
  </si>
  <si>
    <t>EDUCATION / Educational Psychology</t>
  </si>
  <si>
    <t>The Philosophy of Primary Education (RLE Edu K) : An Introduction</t>
  </si>
  <si>
    <t>Dearden, R. F.</t>
  </si>
  <si>
    <t>LB1564.G7 -- D4 2012eb</t>
  </si>
  <si>
    <t>Education, Elementary -- Philosophy. ; Education, Elementary -- Curricula. ; Education, Elementary -- Aims and objectives.</t>
  </si>
  <si>
    <t>Secondary Modern Schools : An Interim Report</t>
  </si>
  <si>
    <t>Dent, H. C.</t>
  </si>
  <si>
    <t>LA635 -- .D4 2012eb</t>
  </si>
  <si>
    <t>Education -- Great Britain. ; Education, Secondary.</t>
  </si>
  <si>
    <t>Critical Dispositions : Evidence and Expertise in Education</t>
  </si>
  <si>
    <t>Dimitriadis, Greg</t>
  </si>
  <si>
    <t>LC65 -- .D56 2012eb</t>
  </si>
  <si>
    <t>Rethinking Multicultural Education for the Next Generation</t>
  </si>
  <si>
    <t>Dolby, Nadine</t>
  </si>
  <si>
    <t>LC1099 -- .M49 2012eb</t>
  </si>
  <si>
    <t>Being an Academic</t>
  </si>
  <si>
    <t>Fanghanel, Joёlle</t>
  </si>
  <si>
    <t>LB2331 -- .F34 2012eb</t>
  </si>
  <si>
    <t>EDUCATION / Adult &amp; Continuing Education</t>
  </si>
  <si>
    <t>The Effective Teacher's Guide to Autism and Communication Difficulties : Practical Strategies</t>
  </si>
  <si>
    <t>LC4717 -- .F37 2012eb</t>
  </si>
  <si>
    <t>Autistic children -- Language</t>
  </si>
  <si>
    <t>The Menace of Nationalism in Education</t>
  </si>
  <si>
    <t>Scott French, Jonathan</t>
  </si>
  <si>
    <t>LC1091 -- .S3 2012eb</t>
  </si>
  <si>
    <t>Education and state. ; Nationalism.</t>
  </si>
  <si>
    <t>Creating the Ethical Academy : A Systems Approach to Understanding Misconduct and Empowering Change</t>
  </si>
  <si>
    <t>Bertram Gallant, Tricia</t>
  </si>
  <si>
    <t>LB3609 -- .C74 2010eb</t>
  </si>
  <si>
    <t>Cheating (Education) - United States</t>
  </si>
  <si>
    <t>Training for Sports Speed and Agility : An Evidence-Based Approach</t>
  </si>
  <si>
    <t>Gamble, Paul</t>
  </si>
  <si>
    <t>GV711.5 -- .G36 2012eb</t>
  </si>
  <si>
    <t>Athletes - Training of</t>
  </si>
  <si>
    <t>Beyond Testing (Classic Edition) : Towards a Theory of Educational Assessment</t>
  </si>
  <si>
    <t>Gipps, Caroline</t>
  </si>
  <si>
    <t>Routledge Education Classic Edition Series</t>
  </si>
  <si>
    <t>LB3051 -- .G517 2012eb</t>
  </si>
  <si>
    <t>Educational tests and measurements. ; Examinations -- Design and construction.</t>
  </si>
  <si>
    <t>The Russian Tradition in Education</t>
  </si>
  <si>
    <t>Hans, Nicholas</t>
  </si>
  <si>
    <t>LA831 -- .H36 2012eb</t>
  </si>
  <si>
    <t>Education -- Soviet Union -- History. ; Education -- Russia (Federation) -- History.</t>
  </si>
  <si>
    <t>Sport Education : International Perspectives</t>
  </si>
  <si>
    <t>Hastie, Peter</t>
  </si>
  <si>
    <t>GV709.2 -- .S662 2012eb</t>
  </si>
  <si>
    <t>613.7/042</t>
  </si>
  <si>
    <t>SPORTS &amp; RECREATION / Coaching / General</t>
  </si>
  <si>
    <t>Christianity in Education : The Hibbert Lectures 1965</t>
  </si>
  <si>
    <t>Hilliard, F. H.;Lee, Desmond;Rupp, Gordon;Nibett, W. R.</t>
  </si>
  <si>
    <t>BL25 -- .H5 2012eb</t>
  </si>
  <si>
    <t>Church and education -- Great Britain</t>
  </si>
  <si>
    <t>Learning to Teach in Urban Schools : The Transition from Preparation to Practice</t>
  </si>
  <si>
    <t>Hollins, Etta R.</t>
  </si>
  <si>
    <t>LB1715 -- .H635 2012eb</t>
  </si>
  <si>
    <t>EDUCATION / Multicultural Education</t>
  </si>
  <si>
    <t>Teaching, Learning and Education in Late Modernity : The Selected Works of Peter Jarvis</t>
  </si>
  <si>
    <t>Jarvis, Peter</t>
  </si>
  <si>
    <t>World Library of Educationalists Series</t>
  </si>
  <si>
    <t>LB14.7 -- .J38 2012eb</t>
  </si>
  <si>
    <t>How Different from Us : A Biography of Miss Buss and Miss Beale</t>
  </si>
  <si>
    <t>Kamm, Josephine</t>
  </si>
  <si>
    <t>LC2055 -- .K36 2012eb</t>
  </si>
  <si>
    <t>Buss, Frances Mary, -- 1827-1894. ; Beale, Dorothea, -- 1831-1906. ; Women -- Education -- England.</t>
  </si>
  <si>
    <t>Embracing Non-Tenure Track Faculty : Changing Campuses for the New Faculty Majority</t>
  </si>
  <si>
    <t>Kezar, Adrianna</t>
  </si>
  <si>
    <t>LB2331.72 -- .E54 2012eb</t>
  </si>
  <si>
    <t>Teachers As Researchers (Classic Edition) : Qualitative Inquiry As a Path to Empowerment</t>
  </si>
  <si>
    <t>Kincheloe, Joe L.</t>
  </si>
  <si>
    <t>LB1028.25.U6 -- K56 2012eb</t>
  </si>
  <si>
    <t>EDUCATION / Special Education / General</t>
  </si>
  <si>
    <t>Social Judgment and Decision Making</t>
  </si>
  <si>
    <t>Krueger, Joachim I.</t>
  </si>
  <si>
    <t>Frontiers of Social Psychology Series</t>
  </si>
  <si>
    <t>BF447 -- .S63 2012eb</t>
  </si>
  <si>
    <t>Judgment - Social aspects</t>
  </si>
  <si>
    <t>Introduction to Vocational Rehabilitation : Policies, Practices and Skills</t>
  </si>
  <si>
    <t>Langman, Clive</t>
  </si>
  <si>
    <t>HD7256.G7 -- L36 2012eb</t>
  </si>
  <si>
    <t>362/.0425</t>
  </si>
  <si>
    <t>MEDICAL / Allied Health Services / Physical Therapy</t>
  </si>
  <si>
    <t>Business/Management; Health; Social Science</t>
  </si>
  <si>
    <t>Theory and Practice of Curriculum Studies</t>
  </si>
  <si>
    <t>LB1570 -- .T455 2012eb</t>
  </si>
  <si>
    <t>375/.0001</t>
  </si>
  <si>
    <t>Curriculum planning. ; Education.</t>
  </si>
  <si>
    <t>The Politics of the School Curriculum</t>
  </si>
  <si>
    <t>LC93.G7 -- L39 2012eb</t>
  </si>
  <si>
    <t>Education -- Curricula -- Great Britain</t>
  </si>
  <si>
    <t>Education in the Post-War Years : A Social History</t>
  </si>
  <si>
    <t>LA631.82 -- .L68 2012eb</t>
  </si>
  <si>
    <t>370/.942</t>
  </si>
  <si>
    <t>Education -- Great Britain -- History -- 20th century. ; Great Britain -- Social conditions -- 1945-</t>
  </si>
  <si>
    <t>The Complete Multifaith Resource for Primary Religious Education : Ages 7-11</t>
  </si>
  <si>
    <t>Lowndes, Judith</t>
  </si>
  <si>
    <t>BL1475.3 -- .L69 2012eb</t>
  </si>
  <si>
    <t>Christianity and other religions - Study and teaching (Elementary)</t>
  </si>
  <si>
    <t>A Guide to Effective School Leadership Theories</t>
  </si>
  <si>
    <t>LB2805 -- .L96 2012eb</t>
  </si>
  <si>
    <t>Broken Ground : John F Kennedy and the Politics of Education</t>
  </si>
  <si>
    <t>McAndrews, Lawrence J.</t>
  </si>
  <si>
    <t>LB2825 -- .M27 2012eb</t>
  </si>
  <si>
    <t>Federal aid to education -- United States -- History</t>
  </si>
  <si>
    <t>Confronting Marginalisation in Education : A Framework for Promoting Inclusion</t>
  </si>
  <si>
    <t>Messiou, Kyriaki</t>
  </si>
  <si>
    <t>LC4065 -- .M47 2012eb</t>
  </si>
  <si>
    <t>371.826/94</t>
  </si>
  <si>
    <t>Children with social disabilities -- Education (Primary) ; Children with social disabilities -- Education. ; Inclusive education. ; Marginality, Social.</t>
  </si>
  <si>
    <t>Education for Sale</t>
  </si>
  <si>
    <t>Midwinter, Eric</t>
  </si>
  <si>
    <t>LC225 -- .M49 2012eb</t>
  </si>
  <si>
    <t>371.1/03</t>
  </si>
  <si>
    <t>Faculty Diversity : Removing the Barriers</t>
  </si>
  <si>
    <t>Moody, JoAnn</t>
  </si>
  <si>
    <t>LB2332.6 -- .M66 2012eb</t>
  </si>
  <si>
    <t>Minority college teachers - Selection and appointment - United States</t>
  </si>
  <si>
    <t>Beginning Interpretative Inquiry : A Step-By-Step Approach to Research and Evaluation</t>
  </si>
  <si>
    <t>Morehouse, Richard E.</t>
  </si>
  <si>
    <t>LB1028 -- .M6437 2012eb</t>
  </si>
  <si>
    <t>Quantitative research</t>
  </si>
  <si>
    <t>Teaching with Emotional Intelligence : A Step-By-step Guide for Higher and Further Education Professionals</t>
  </si>
  <si>
    <t>Mortiboys, Alan</t>
  </si>
  <si>
    <t>LB1072 -- .M67 2012eb</t>
  </si>
  <si>
    <t>EDUCATION / Professional Development</t>
  </si>
  <si>
    <t>Teaching for Understanding : What It Is and How to Do It</t>
  </si>
  <si>
    <t>Newton, Douglas P.</t>
  </si>
  <si>
    <t>LB1025.3 -- .N495 2012eb</t>
  </si>
  <si>
    <t>From 'Science in the Making' to Understanding the Nature of Science : An Overview for Science Educators</t>
  </si>
  <si>
    <t>Niaz, Mansoor</t>
  </si>
  <si>
    <t>Q181 -- .N77 2012eb</t>
  </si>
  <si>
    <t>Onwards and Upwards : Supporting the Transition to Key Stage One</t>
  </si>
  <si>
    <t>Orlandi, Kathleen</t>
  </si>
  <si>
    <t>LB1139.3.G7 -- O75 2012eb</t>
  </si>
  <si>
    <t>Early childhood education -- Great Britain. ; Promotion (School) -- Great Britain.</t>
  </si>
  <si>
    <t>Debates on Early Childhood Policies and Practices : Global Snapshots of Pedagogical Thinking and Encounters</t>
  </si>
  <si>
    <t>LB1139.23 -- .D43 2012eb</t>
  </si>
  <si>
    <t>Early childhood education</t>
  </si>
  <si>
    <t>Perspectives on Plowden (RLE Edu K)</t>
  </si>
  <si>
    <t>Peters, R. S.</t>
  </si>
  <si>
    <t>LB41 -- .P524 2012eb</t>
  </si>
  <si>
    <t>Education, Elementary -- Great Britain -- Philosophy. ; Education -- Philosophy.</t>
  </si>
  <si>
    <t>Education (RLE Edu K) : A Search for New Principles</t>
  </si>
  <si>
    <t>Phillipson, Herbert</t>
  </si>
  <si>
    <t>LB41 -- .P45 2012eb</t>
  </si>
  <si>
    <t>Education and the Spirit of Man (RLE Edu K)</t>
  </si>
  <si>
    <t>Pollard, Francis</t>
  </si>
  <si>
    <t>BX7748.E4 -- P65 2012eb</t>
  </si>
  <si>
    <t>Moral education. ; Society of Friends -- Education.</t>
  </si>
  <si>
    <t>Education (RLE Edu L) : Capitalist and Socialist</t>
  </si>
  <si>
    <t>Pring, Beryl</t>
  </si>
  <si>
    <t>LA632 -- .P75 2012eb</t>
  </si>
  <si>
    <t>Education -- England. ; Socialism -- Great Britain. ; Capitalism.</t>
  </si>
  <si>
    <t>Beyond Learning by Doing : Theoretical Currents in Experiential Education</t>
  </si>
  <si>
    <t>Roberts, Jay W.</t>
  </si>
  <si>
    <t>LB1027.23 -- .R63 2012eb</t>
  </si>
  <si>
    <t>The Higher Education of the Young</t>
  </si>
  <si>
    <t>Sadler, S. H.</t>
  </si>
  <si>
    <t>LB2325 -- .S33 2012eb</t>
  </si>
  <si>
    <t>Education, Higher. ; Education.</t>
  </si>
  <si>
    <t>Creative Learning for Inclusion : Creative Approaches to Meet Special Needs in the Classroom</t>
  </si>
  <si>
    <t>Sellman, Edward</t>
  </si>
  <si>
    <t>LC4015 -- .C655 2012eb</t>
  </si>
  <si>
    <t>EDUCATION / Secondary</t>
  </si>
  <si>
    <t>English Education and the Radicals (RLE Edu L) : 1780-1850</t>
  </si>
  <si>
    <t>Silver, Harold</t>
  </si>
  <si>
    <t>LA631.7 -- .S55 2012eb</t>
  </si>
  <si>
    <t>English language -- Study and teaching -- History. ; Radicalism.</t>
  </si>
  <si>
    <t>Cultivating an Ethical School</t>
  </si>
  <si>
    <t>LC268 -- .S69 2012eb</t>
  </si>
  <si>
    <t>Aubrey on Education : A Hitherto Unpublished Manuscript by the Author of Brief Lives</t>
  </si>
  <si>
    <t>Stephens, J. E.</t>
  </si>
  <si>
    <t>LB475 -- .A8 1972eb</t>
  </si>
  <si>
    <t>Matter and Method in Education</t>
  </si>
  <si>
    <t>Sturt, Mary</t>
  </si>
  <si>
    <t>LB1025 -- .S857 2012eb</t>
  </si>
  <si>
    <t>Education -- England. ; School management and organization -- England.</t>
  </si>
  <si>
    <t>Teaching Music Musically (Classic Edition)</t>
  </si>
  <si>
    <t>MT1 -- .S946 2012eb</t>
  </si>
  <si>
    <t>Music -- Instruction and study</t>
  </si>
  <si>
    <t>The Arts in Education : Some Research Studies</t>
  </si>
  <si>
    <t>NX343.A1 -- A78 2012eb</t>
  </si>
  <si>
    <t>700/.7/1242</t>
  </si>
  <si>
    <t>Arts -- Study and teaching (Elementary) -- Great Britain</t>
  </si>
  <si>
    <t>Critical Incidents in Teaching (Classic Edition) : Developing Professional Judgement</t>
  </si>
  <si>
    <t>Tripp, David</t>
  </si>
  <si>
    <t>LB1025.3 -- .T76 2012eb</t>
  </si>
  <si>
    <t>Classroom management - Great Britain</t>
  </si>
  <si>
    <t>The Sociology of Educational Inequality (RLE Edu L)</t>
  </si>
  <si>
    <t>Tyler, William</t>
  </si>
  <si>
    <t>LC206.G7 -- T9 2012eb</t>
  </si>
  <si>
    <t>Students -- Great Britain -- Social conditions. ; Great Britain -- Social conditions.</t>
  </si>
  <si>
    <t>Life in Public Schools (RLE Edu L)</t>
  </si>
  <si>
    <t>LA635 -- .W28 2012eb</t>
  </si>
  <si>
    <t>Endowed public schools (Great Britain) ; Private schools -- Great Britain.</t>
  </si>
  <si>
    <t>Teaching Literature in Virtual Worlds : Immersive Learning in English Studies</t>
  </si>
  <si>
    <t>Webb, Allen</t>
  </si>
  <si>
    <t>LB1028.3 -- .T3864 2012eb</t>
  </si>
  <si>
    <t>The Behaviourist in the Classroom</t>
  </si>
  <si>
    <t>Wheldall, Kevin</t>
  </si>
  <si>
    <t>LB1060.2 -- .B45 2012eb</t>
  </si>
  <si>
    <t>School discipline -- Great Britain</t>
  </si>
  <si>
    <t>Higher Education in German Occupied Countries (RLE Edu A)</t>
  </si>
  <si>
    <t>Wolf, A.</t>
  </si>
  <si>
    <t>LA628 -- .W6 2012eb</t>
  </si>
  <si>
    <t>Universities and colleges -- Europe. ; World War, 1939-1945 -- Education and the war.</t>
  </si>
  <si>
    <t>An Introduction to Classroom Observation (Classic Edition)</t>
  </si>
  <si>
    <t>LB1731.6 -- .W73 2012eb</t>
  </si>
  <si>
    <t>The Teacher's Reflective Practice Handbook : Becoming an Extended Professional Through Capturing Evidence-Informed Practice</t>
  </si>
  <si>
    <t>Zwozdiak-Myers, Paula Nadine</t>
  </si>
  <si>
    <t>LB1025.3 -- .Z86 2012eb</t>
  </si>
  <si>
    <t>Baby Boomers and Hearing Loss : A Guide to Prevention and Care</t>
  </si>
  <si>
    <t>Burkey, John M.</t>
  </si>
  <si>
    <t>RF290</t>
  </si>
  <si>
    <t>617.8/00846</t>
  </si>
  <si>
    <t>Baby boom generation-Health aspects. ; Deafness. ; Older people-Health aspects.</t>
  </si>
  <si>
    <t>Perfect Motherhood : Science and Childrearing in America</t>
  </si>
  <si>
    <t>Apple, Rima D.;Apple, Rima</t>
  </si>
  <si>
    <t>HQ759.A58 2006</t>
  </si>
  <si>
    <t>306.874/30973</t>
  </si>
  <si>
    <t>Mothers-United States-History. ; Motherhood-United States-History. ; Physician and patient-United States-History.</t>
  </si>
  <si>
    <t>Education in South Sudan : Status and Challenges for a New System</t>
  </si>
  <si>
    <t>The World Bank;Bank, The World</t>
  </si>
  <si>
    <t>LA2090.S68 -- E38 2012eb</t>
  </si>
  <si>
    <t>Education -- South Sudan.</t>
  </si>
  <si>
    <t>White Scholars/African American Texts</t>
  </si>
  <si>
    <t>Long, Lisa</t>
  </si>
  <si>
    <t>E184</t>
  </si>
  <si>
    <t>305.896/073/00711</t>
  </si>
  <si>
    <t>Cockeyed Education : A Case Method Primer</t>
  </si>
  <si>
    <t>Giordano, Gerard</t>
  </si>
  <si>
    <t>LC1029.C37G56 2009</t>
  </si>
  <si>
    <t>Case method. ; Education--United States--History. ; Education--United States--Case studies. ; Problem solving.</t>
  </si>
  <si>
    <t>Digital Schools : How Technology Can Transform Education</t>
  </si>
  <si>
    <t>West, Darrell M.</t>
  </si>
  <si>
    <t>LB1028.3 -- .W426 2012eb</t>
  </si>
  <si>
    <t>The Modern Languages Teacher's Handbook</t>
  </si>
  <si>
    <t>Ramage, Gill</t>
  </si>
  <si>
    <t>P53.R36 2012</t>
  </si>
  <si>
    <t>Language and languages--Study and teaching. ; Language and languages--Handbooks, manuals, etc.</t>
  </si>
  <si>
    <t>Geography in Secondary Schools : Researching Pupils' Classroom Experiences</t>
  </si>
  <si>
    <t>Hopwood, Nick;Butt, Graham</t>
  </si>
  <si>
    <t>G73.H75 2012</t>
  </si>
  <si>
    <t>Geography - Study and teaching (Secondary)</t>
  </si>
  <si>
    <t>Moodle 1. 9 Multimedia</t>
  </si>
  <si>
    <t>SoaresFernandes, Joao Pedro</t>
  </si>
  <si>
    <t>Phraseological Dictionary English - German : General Vocabulary in Technical and Scientific Texts</t>
  </si>
  <si>
    <t>Springer Berlin / Heidelberg</t>
  </si>
  <si>
    <t>Berlin, Heidelberg</t>
  </si>
  <si>
    <t>Kraus, Roland;Baumgartner, Peter</t>
  </si>
  <si>
    <t>P306-310</t>
  </si>
  <si>
    <t>423/.31</t>
  </si>
  <si>
    <t>English language -- Dictionaries -- German</t>
  </si>
  <si>
    <t>Handbook on Decision Making : Vol 2: Risk Management in Decision Making</t>
  </si>
  <si>
    <t>Lu, Jie;Jain, Lakhmi C.;Zhang, Guangquan</t>
  </si>
  <si>
    <t>Intelligent Systems Reference Library</t>
  </si>
  <si>
    <t>Q342</t>
  </si>
  <si>
    <t>Science; Business/Management</t>
  </si>
  <si>
    <t>Relationship Between Democracy and Education</t>
  </si>
  <si>
    <t>Bentham Science Publishers</t>
  </si>
  <si>
    <t>SAIF Zone</t>
  </si>
  <si>
    <t>UNITED ARAB EMIRATES</t>
  </si>
  <si>
    <t>Demirbolat, Ayse Ottekin</t>
  </si>
  <si>
    <t>LC94.T9 -- D46 2012eb</t>
  </si>
  <si>
    <t>Democracy and education -- Turkey. ; Education and state -- Turkey. ; Education -- Philosophy. ; Democracy. ; Education -- Aims and objectives.</t>
  </si>
  <si>
    <t>Occupying the Academy : Just How Important Is Diversity Work in Higher Education?</t>
  </si>
  <si>
    <t>Clark, Christine;Fasching-Varner, Kenneth J.;Brimhall-Vargas, Mark</t>
  </si>
  <si>
    <t>LC3727.O33 2012</t>
  </si>
  <si>
    <t>Minorities--Education (Higher)--United States--Case studies. ; Educational equalization--United States--Case studies. ; Universities and colleges--United States--Case studies.</t>
  </si>
  <si>
    <t>Remaking the American University : Market-Smart and Mission-Centered</t>
  </si>
  <si>
    <t>Zemsky, Robert;Wegner, Gregory R.;Massy, William F.</t>
  </si>
  <si>
    <t>Supporting Children's Social Development : Positive Relationships in the Early Years</t>
  </si>
  <si>
    <t>Mark Allen Group</t>
  </si>
  <si>
    <t>Lindon, Jennie</t>
  </si>
  <si>
    <t>Positive Relationships in the Early Years</t>
  </si>
  <si>
    <t>HQ783 -- .L56 2012eb</t>
  </si>
  <si>
    <t>Socialization. ; Parent and child.</t>
  </si>
  <si>
    <t>What Does It Mean to Be Five? : A practical guide to child development in the Early Years Foundation Stage</t>
  </si>
  <si>
    <t>What Does It Mean to Be</t>
  </si>
  <si>
    <t>LB1115 -- .L56 2008eb</t>
  </si>
  <si>
    <t>Child development -- Great Britain. ; Early childhood education -- Great Britain.</t>
  </si>
  <si>
    <t>How Children Learn : From Montessori to Vygosky - Educational Theories and Approaches Made Easy</t>
  </si>
  <si>
    <t>Pound, Linda;Hughes, Cathy</t>
  </si>
  <si>
    <t>How Children Learn Series</t>
  </si>
  <si>
    <t>LB1060 -- .P68 2006eb</t>
  </si>
  <si>
    <t>Learning, Psychology of. ; Child development -- Psychological aspects. ; Early childhood education -- Philosophy.</t>
  </si>
  <si>
    <t>How Children Learn - Book 2 : An overview of theories on children's literacy, linguistics and intelligence from the best-selling author of How children learn</t>
  </si>
  <si>
    <t>How Children Learn series</t>
  </si>
  <si>
    <t>LB1060 -- .P68 2008eb</t>
  </si>
  <si>
    <t>Youth Culture, Language Endangerment and Linguistic Survivance</t>
  </si>
  <si>
    <t>Wyman, Leisy</t>
  </si>
  <si>
    <t>LC3733.A5 -- W96 2012eb</t>
  </si>
  <si>
    <t>Alaska - Languages</t>
  </si>
  <si>
    <t>Language, Power and Pedagogy : Bilingual Children in the Crossfire</t>
  </si>
  <si>
    <t>Cummins, Jim</t>
  </si>
  <si>
    <t>LC3719 -- .C86 2000eb</t>
  </si>
  <si>
    <t>Education, Bilingual -- Social aspects. ; Minorities -- Education -- Social aspects.</t>
  </si>
  <si>
    <t>Language and Learning in Multilingual Classrooms : A Practical Approach</t>
  </si>
  <si>
    <t>Coelho, Elizabeth</t>
  </si>
  <si>
    <t>LC3731 -- .C557 2012eb</t>
  </si>
  <si>
    <t>English language - Study and teaching - United States - Foreign speakers</t>
  </si>
  <si>
    <t>Rethinking Academic Writing Pedagogy for the European University</t>
  </si>
  <si>
    <t>Breeze, Ruth</t>
  </si>
  <si>
    <t>Education in Sub-Saharan Africa : A Comparative Analysis</t>
  </si>
  <si>
    <t>Majgaard, Kirsten;Mingat, Alain</t>
  </si>
  <si>
    <t>LB2826.6.A34 -- M35 2012eb</t>
  </si>
  <si>
    <t>Education -- Africa, Sub-Saharan -- Finance. ; Education -- Africa, Sub-Saharan -- Finance -- Statistics. ; School management and organization -- Africa, Sub-Saharan. ; Education and state -- Africa, Sub-Saharan.</t>
  </si>
  <si>
    <t>Lessons from the Heartland : A Turbulent Half-Century of Public Education in an Iconic American City</t>
  </si>
  <si>
    <t>New Press, The</t>
  </si>
  <si>
    <t>Miner, Barbara J.</t>
  </si>
  <si>
    <t>Public schools - Wisconsin - Milwaukee - History</t>
  </si>
  <si>
    <t>Debates in Citizenship Education</t>
  </si>
  <si>
    <t>Arthur, James;Cremin, Hilary</t>
  </si>
  <si>
    <t>LC1091 -- .D36 2012eb</t>
  </si>
  <si>
    <t>372.83/044</t>
  </si>
  <si>
    <t>Citizenship - Study and teaching</t>
  </si>
  <si>
    <t>The Routledge International Handbook of Learning</t>
  </si>
  <si>
    <t>Jarvis, Peter;Watts, Mary</t>
  </si>
  <si>
    <t>LB1060 .R68 2012</t>
  </si>
  <si>
    <t>Learning -- Social aspects</t>
  </si>
  <si>
    <t>Learning in and Out of School : The Selected Works of John MacBeath</t>
  </si>
  <si>
    <t>MacBeath, John</t>
  </si>
  <si>
    <t>LA632 .M235 2012</t>
  </si>
  <si>
    <t>Education -- Great Britain</t>
  </si>
  <si>
    <t>The Right to Higher Education : Beyond Widening Participation</t>
  </si>
  <si>
    <t>Burke, Penny Jane</t>
  </si>
  <si>
    <t>LC213.2 .B85 2012</t>
  </si>
  <si>
    <t>Educational equalization -- United States. ; Education, Higher. ; Education, Higher -- Aims and objectives. ; College attendance. ; Education and state. ; Right to education. ; Educational sociology.</t>
  </si>
  <si>
    <t>Global Education Inc : New Policy Networks and the Neoliberal Imaginary</t>
  </si>
  <si>
    <t>LB2806.36 .B353 2012</t>
  </si>
  <si>
    <t>Education, Philosophy and Politics : The Selected Works of Michael A. Peters</t>
  </si>
  <si>
    <t>Peters, Michael A.</t>
  </si>
  <si>
    <t>LB885 .P47 2012; LB</t>
  </si>
  <si>
    <t>Peters, Michael</t>
  </si>
  <si>
    <t>Self-Study and Inquiry into Practice : Learning to Teach for Equity and Social Justice in the Elementary School Classroom</t>
  </si>
  <si>
    <t>Kroll, Linda R.</t>
  </si>
  <si>
    <t>370.71/11732</t>
  </si>
  <si>
    <t>Inquiry-based learning. ; Research -- Methodology -- Study and teaching (Elementary) -- Case studies. ; Elementary school teachers -- Training of -- Case studies. ; Teachers -- Self-rating of -- Case studies. ; Social justice -- Study and teaching (Elementary) ; Education, Urban. ; Critical pedagogy.</t>
  </si>
  <si>
    <t>Teaching and Learning : Pedagogy, Curriculum and Culture</t>
  </si>
  <si>
    <t>LB1025.3 .M64 2012</t>
  </si>
  <si>
    <t>Encyclopedia of Early Childhood Education</t>
  </si>
  <si>
    <t>Fromberg, Doris Pronin;Williams, Leslie R.</t>
  </si>
  <si>
    <t>LB1139.25 .E53</t>
  </si>
  <si>
    <t>Education, Primary</t>
  </si>
  <si>
    <t>We Fight to Win : Inequality and the Politics of Youth Activism</t>
  </si>
  <si>
    <t>Gordon, Hava Rachel</t>
  </si>
  <si>
    <t>Outside the Limelight : Basketball in the Ivy League</t>
  </si>
  <si>
    <t>Orton, Kathy;Feinstein, John</t>
  </si>
  <si>
    <t>GV885</t>
  </si>
  <si>
    <t>796.323/630973</t>
  </si>
  <si>
    <t>Improving School Leadership Through Support, Evaluation, and Incentives : The Pittsburgh Principal Incentive Program</t>
  </si>
  <si>
    <t>Hamilton, Laura S.;Engberg, John;Steiner, Elizabeth D.;Nelson, Catherine Awsumb;Yuan, Kun</t>
  </si>
  <si>
    <t>LB2822.83.P43 -- I47 2012eb</t>
  </si>
  <si>
    <t>Aspect-oriented programming -- Congresses. ; Computer software -- Development -- Congresses.</t>
  </si>
  <si>
    <t>Defining the Curriculum : Histories and Ethnographies</t>
  </si>
  <si>
    <t>Goodson, Ivor F.;Ball, Stephen J.</t>
  </si>
  <si>
    <t>LB1570 .D42</t>
  </si>
  <si>
    <t>Curriculum planning - History</t>
  </si>
  <si>
    <t>Educating Children and Young People with Fetal Alcohol Spectrum Disorders : Constructing Personalised Pathways to Learning</t>
  </si>
  <si>
    <t>Blackburn, Carolyn;Carpenter, Barry;Egerton, Jo</t>
  </si>
  <si>
    <t>LC4704 .B56 2012</t>
  </si>
  <si>
    <t>EDUCATION / Special Education / Mental Disabilities</t>
  </si>
  <si>
    <t>Cross Curricular Teaching and Learning in the Secondary School... Science</t>
  </si>
  <si>
    <t>Byrne, Eleanor;Brodie, Marilyn</t>
  </si>
  <si>
    <t>Q181 .B995 2012</t>
  </si>
  <si>
    <t>Science - Curricula - Great Britain</t>
  </si>
  <si>
    <t>Achieving Literacy (RLE Edu I) : Longitudinal Studies of Adolescents Learning to Read</t>
  </si>
  <si>
    <t>Meek, Margaret</t>
  </si>
  <si>
    <t>LB1631.M42</t>
  </si>
  <si>
    <t>428.4/2/071241</t>
  </si>
  <si>
    <t>Language arts -- Remedial teaching -- Longitudinal studies</t>
  </si>
  <si>
    <t>Dissemination of Innovation (RLE Edu O) : The Humanities Curriculum Project</t>
  </si>
  <si>
    <t>Rudduck, Jean</t>
  </si>
  <si>
    <t>L341.H5 A57; LB1629</t>
  </si>
  <si>
    <t>Education, Secondary -- Curricula -- Great Britain. ; Educational innovations -- Great Britain. ; Education, Humanistic.</t>
  </si>
  <si>
    <t>Preventing Classroom Disruption (RLE Edu O) : Policy, Practice and Evaluation in Urban Schools</t>
  </si>
  <si>
    <t>Coulby, David;Harper, Tim</t>
  </si>
  <si>
    <t>LC4803.G7 C68</t>
  </si>
  <si>
    <t>Problem children -- Great Britain -- Evaluation</t>
  </si>
  <si>
    <t>How to Be a Brilliant English Teacher</t>
  </si>
  <si>
    <t>Wright, Trevor</t>
  </si>
  <si>
    <t>LB1631 .W66 2012</t>
  </si>
  <si>
    <t>Game Sense : Pedagogy for Performance, Participation and Enjoyment</t>
  </si>
  <si>
    <t>Light, Richard</t>
  </si>
  <si>
    <t>GV361 .L49 2013</t>
  </si>
  <si>
    <t>Physical education and training -- Study and teaching. ; Sports -- Study and teaching. ; Sports for children -- Study and teaching. ; Coaching (Athletics) ; Sports for children -- Coaching.</t>
  </si>
  <si>
    <t>Aspects of Learning (RLE Edu O)</t>
  </si>
  <si>
    <t>O'Connell, Brian</t>
  </si>
  <si>
    <t>LB1051 .O338</t>
  </si>
  <si>
    <t>The Routledge International Handbook of Teacher and School Development</t>
  </si>
  <si>
    <t>Day, Christopher</t>
  </si>
  <si>
    <t>LB1025.3 .R68 2012</t>
  </si>
  <si>
    <t>Teaching -- Cross-cultural studies. ; School improvement programs. ; Teachers -- Training of.</t>
  </si>
  <si>
    <t>Global Perspectives on Higher Education and Lifelong Learners</t>
  </si>
  <si>
    <t>Slowey, Maria;Schuetze, Hans</t>
  </si>
  <si>
    <t>LC5215 .G573 2012</t>
  </si>
  <si>
    <t>Adult education--OECD countries--Case studies.</t>
  </si>
  <si>
    <t>Dependence and Interdependence in Education : International Perspectives</t>
  </si>
  <si>
    <t>Watson, Keith</t>
  </si>
  <si>
    <t>LC65 .D45</t>
  </si>
  <si>
    <t>Becoming a Primary Mathematics Specialist Teacher</t>
  </si>
  <si>
    <t>Donaldson, Gina;Field, Jenny;Harries, Dave;Tope, Clare;Taylor, Helen</t>
  </si>
  <si>
    <t>QA135.6 .B435 2012</t>
  </si>
  <si>
    <t>Mathematics -- Study and teaching (Primary) ; Teacher effectiveness.</t>
  </si>
  <si>
    <t>Classroom Environment (RLE Edu O)</t>
  </si>
  <si>
    <t>Fraser, Barry</t>
  </si>
  <si>
    <t>LC210.8.G7 F72</t>
  </si>
  <si>
    <t>School environment -- Great Britain -- Evaluation</t>
  </si>
  <si>
    <t>Advances in Teacher Education (RLE Edu N)</t>
  </si>
  <si>
    <t>McClelland, V. A.;Varma, Ved</t>
  </si>
  <si>
    <t>LB1725.G6 A65</t>
  </si>
  <si>
    <t>Improving Pupil Motivation Together : Teachers and Teaching Assistants Working Collaboratively</t>
  </si>
  <si>
    <t>Bentham, Susan;Hutchins, Roger</t>
  </si>
  <si>
    <t>LB1065 .B44 2012</t>
  </si>
  <si>
    <t>Teachers' assistants - In-service training</t>
  </si>
  <si>
    <t>Education Outcomes and Poverty : A Reassessment</t>
  </si>
  <si>
    <t>Colclough, Christopher</t>
  </si>
  <si>
    <t>Education, Poverty and International Development Series</t>
  </si>
  <si>
    <t>HD75.7 -- .E388 2012eb</t>
  </si>
  <si>
    <t>Economic development - Effect of education on - Developing countries</t>
  </si>
  <si>
    <t>Learning Outside the Primary Classroom</t>
  </si>
  <si>
    <t>LB1047 .S43 2011</t>
  </si>
  <si>
    <t>371.3/840941</t>
  </si>
  <si>
    <t>Place-based education - Great Britain</t>
  </si>
  <si>
    <t>Problems in Primary Education (RLE Edu K)</t>
  </si>
  <si>
    <t>LA633 .D3</t>
  </si>
  <si>
    <t>Education, Elementary -- England.</t>
  </si>
  <si>
    <t>Strategic Curriculum Change in Universities : Global Trends</t>
  </si>
  <si>
    <t>Blackmore, Paul;Kandiko, Camille B.</t>
  </si>
  <si>
    <t>LB2361 .S8195 2012</t>
  </si>
  <si>
    <t>EDUCATION / Educational Policy &amp; Reform / General</t>
  </si>
  <si>
    <t>Language, Schools and Classrooms (RLE Edu l Sociology of Education)</t>
  </si>
  <si>
    <t>Stubbs, Michael</t>
  </si>
  <si>
    <t>LB1576 .S87</t>
  </si>
  <si>
    <t>Language arts -- Great Britain. ; Children -- Great Britain -- Language. ; Sociolinguistics.</t>
  </si>
  <si>
    <t>Running Records : Authentic Instruction in Early Childhood Education</t>
  </si>
  <si>
    <t>Shea, Mary</t>
  </si>
  <si>
    <t>LB1573 .S471 2012</t>
  </si>
  <si>
    <t>The Enquiring Tutor (RLE Edu O) : Exploring the Process of Professional Learning</t>
  </si>
  <si>
    <t>Rowland, Stephen</t>
  </si>
  <si>
    <t>LB1060 .R69</t>
  </si>
  <si>
    <t>Action research in education -- England. ; Learning. ; Professional education -- England. ; Teacher-student relationships -- England. ; Teaching.</t>
  </si>
  <si>
    <t>The Development of Meaning (RLE Edu I) : A Study of Children's Use of Language</t>
  </si>
  <si>
    <t>Tough, Joan</t>
  </si>
  <si>
    <t>P118 -- .T68 2012eb</t>
  </si>
  <si>
    <t>401/.9</t>
  </si>
  <si>
    <t>Children -- Language. ; Language acquisition.</t>
  </si>
  <si>
    <t>Becoming a Successful Early Career Researcher</t>
  </si>
  <si>
    <t>Eley, Adrian;Wellington, Jerry;Pitts, Stephanie;Biggs, Catherine</t>
  </si>
  <si>
    <t>LB2326.3 .B43 2012</t>
  </si>
  <si>
    <t>Universities and colleges -- Research. ; Research -- Vocational guidance. ; College teachers -- Vocational guidance.</t>
  </si>
  <si>
    <t>Using Games to Enhance Learning and Teaching : A Beginner's Guide</t>
  </si>
  <si>
    <t>Whitton, Nicola;Moseley, Alex</t>
  </si>
  <si>
    <t>LB1029.G3 U75 2012</t>
  </si>
  <si>
    <t>371.33/7</t>
  </si>
  <si>
    <t>Creating Meaningful Inquiry in Inclusive Classrooms : Practitioners' Stories of Research</t>
  </si>
  <si>
    <t>Jones, Phyllis;Whitehurst, Teresa;Egerton, Jo</t>
  </si>
  <si>
    <t>LC1201 .C74 2012</t>
  </si>
  <si>
    <t>Deviance in Classrooms (RLE Edu M)</t>
  </si>
  <si>
    <t>Hargreaves, David H.;Hester, Stephen;Mellor, Frank J.</t>
  </si>
  <si>
    <t>LC4801 .H37</t>
  </si>
  <si>
    <t>Teaching. ; Classroom management. ; Educational sociology.</t>
  </si>
  <si>
    <t>Quality of Pupil Learning Experiences (RLE Edu O)</t>
  </si>
  <si>
    <t>Bennett, Neville;Desforges, Charles;Cockburn, Anne;Wilkinson, Betty</t>
  </si>
  <si>
    <t>LA633 .Q34</t>
  </si>
  <si>
    <t>Academic achievement -- Great Britain. ; Education, Elementary -- Great Britain. ; Learning.</t>
  </si>
  <si>
    <t>Learning to Be a Person in Society</t>
  </si>
  <si>
    <t>LC191 .J375</t>
  </si>
  <si>
    <t>Self-culture</t>
  </si>
  <si>
    <t>Doing Science (RLE Edu O) : Images of Science in Science Education</t>
  </si>
  <si>
    <t>Millar, Robin</t>
  </si>
  <si>
    <t>LB1585.5.G7 D65</t>
  </si>
  <si>
    <t>Science -- Study and teaching (Elementary) -- Great Britain</t>
  </si>
  <si>
    <t>Education (RLE Edu l Sociology of Education) : In Search of a Future</t>
  </si>
  <si>
    <t>Brown, Phillip;Lauder, Hugh</t>
  </si>
  <si>
    <t>LA632 .E389</t>
  </si>
  <si>
    <t>Education -- Great Britain. ; Socialism and education -- Great Britain. ; Educational sociology -- Great Britain.</t>
  </si>
  <si>
    <t>Improving Your Reflective Practice Through Stories of Practitioner Research</t>
  </si>
  <si>
    <t>Arnold, Cath;The Pen Green Team,;Arnold, Cath</t>
  </si>
  <si>
    <t>Pen Green Books for Early Years Educators Series</t>
  </si>
  <si>
    <t>LB1139.23 .I56 2012</t>
  </si>
  <si>
    <t>Early childhood education--Research.</t>
  </si>
  <si>
    <t>Effective Schools in Developing Countries</t>
  </si>
  <si>
    <t>Levin, Henry;Lockheed, Marlaine</t>
  </si>
  <si>
    <t>LC2608 .E37</t>
  </si>
  <si>
    <t>School management and organization -- Developing countries -- Case studies</t>
  </si>
  <si>
    <t>Towards Successful Schooling (RLE Edu l Sociology of Education)</t>
  </si>
  <si>
    <t>Lauder, Hugh;Wylie, Cathy</t>
  </si>
  <si>
    <t>LC119.6 .T69</t>
  </si>
  <si>
    <t>Educational sociology - New Zealand</t>
  </si>
  <si>
    <t>Children As Researchers in Primary Schools : Choice, Voice and Participation</t>
  </si>
  <si>
    <t>Bucknall, Sue</t>
  </si>
  <si>
    <t>LB1027.23 .B83 2012</t>
  </si>
  <si>
    <t>Active learning -- Great Britain. ; Education, Elementary -- Research -- Great Britain -- Methodology. ; Action research in education -- Great Britain. ; School improvement programs -- Great Britain.</t>
  </si>
  <si>
    <t>Ending Campus Violence : New Approaches to Prevention</t>
  </si>
  <si>
    <t>Van Brunt, Brian</t>
  </si>
  <si>
    <t>LB2345 .V36 2012</t>
  </si>
  <si>
    <t>PSYCHOLOGY / Psychotherapy / Counseling</t>
  </si>
  <si>
    <t>Education and the Culture of Consumption : Personalisation and the Social Order</t>
  </si>
  <si>
    <t>Hartley, David</t>
  </si>
  <si>
    <t>LC65 .H38 2012</t>
  </si>
  <si>
    <t>EDUCATION / Philosophy &amp; Social Aspects</t>
  </si>
  <si>
    <t>Education and Society (RLE Edu L)</t>
  </si>
  <si>
    <t>Biaggini, E. G.</t>
  </si>
  <si>
    <t>LB775 -- .B5 2012eb</t>
  </si>
  <si>
    <t>Education -- Experimental methods. ; Character tests. ; Education -- Aims and objectives.</t>
  </si>
  <si>
    <t>The Politics of Knowledge in Education</t>
  </si>
  <si>
    <t>Rata, Elizabeth</t>
  </si>
  <si>
    <t>LC196 .R38 2012</t>
  </si>
  <si>
    <t>Peer-Group Mentoring for Teacher Development</t>
  </si>
  <si>
    <t>Heikkinen, Hannu L. T.;Jokinen, Hannu;Tynjälä, Päivi</t>
  </si>
  <si>
    <t>LB1731 .P362 2012</t>
  </si>
  <si>
    <t>Mentoring in education -- Finland. ; Teachers -- In-service training -- Finland.</t>
  </si>
  <si>
    <t>Children and Learning to Read (RLE Edu I)</t>
  </si>
  <si>
    <t>Goodacre, Elizabeth</t>
  </si>
  <si>
    <t>LB1573 .G56 2012</t>
  </si>
  <si>
    <t>Children -- Language. ; Reading (Elementary)</t>
  </si>
  <si>
    <t>Contemporary Debates in Childhood Education and Development</t>
  </si>
  <si>
    <t>Suggate, Sebastian;Reese, Elaine</t>
  </si>
  <si>
    <t>LB1139.23 .C656 2012</t>
  </si>
  <si>
    <t>Future Directions for Inclusive Teacher Education : An International Perspective</t>
  </si>
  <si>
    <t>LB1707 .F88 2012</t>
  </si>
  <si>
    <t>Education for a New Society (RLE Edu l Sociology of Education)</t>
  </si>
  <si>
    <t>Green, Ernest;Shearman, Harold</t>
  </si>
  <si>
    <t>LA631.8 .G7</t>
  </si>
  <si>
    <t>Integrating Science, Technology, Engineering, and Mathematics : Issues, Reflections, and Ways Forward</t>
  </si>
  <si>
    <t>Rennie, Léonie;Venville, Grady;Wallace, John</t>
  </si>
  <si>
    <t>T65 .I584 2012</t>
  </si>
  <si>
    <t>Education; Engineering; Engineering: General</t>
  </si>
  <si>
    <t>Cooperative Learning in Physical Education : A Research Based Approach</t>
  </si>
  <si>
    <t>Dyson, Ben;Casey, Ashley</t>
  </si>
  <si>
    <t>GV361 .C654 2012</t>
  </si>
  <si>
    <t>Keepers of the American Dream : A Study of Staff Development and Multicultural Education</t>
  </si>
  <si>
    <t>Sleeter, Christine</t>
  </si>
  <si>
    <t>LC1099.3 .S57 2012</t>
  </si>
  <si>
    <t>Teachers -- In-service training -- United States -- Case studies</t>
  </si>
  <si>
    <t>Building Cultural Competence : Innovative Activities and Models</t>
  </si>
  <si>
    <t>Deardorff, Darla K.;Berardo, Kate</t>
  </si>
  <si>
    <t>HM1211.B85 2012</t>
  </si>
  <si>
    <t>303.48/2</t>
  </si>
  <si>
    <t>Intercultural communication - Study and teaching - Activity programs</t>
  </si>
  <si>
    <t>Discussion-Based Online Teaching to Enhance Student Learning : Theory, Practice and Assessment</t>
  </si>
  <si>
    <t>Bender, Tisha</t>
  </si>
  <si>
    <t>LB1044.87.B43 2012</t>
  </si>
  <si>
    <t>Internet in higher education -- Social aspects. ; Education, Higher -- Computer-assisted instruction -- Social aspects.</t>
  </si>
  <si>
    <t>Learner-Centered Teaching : Putting the Research on Learning into Practice</t>
  </si>
  <si>
    <t>Doyle, Terry</t>
  </si>
  <si>
    <t>LB1027.23.D69 2011</t>
  </si>
  <si>
    <t>Pathways to Higher Education Administration for African American Women</t>
  </si>
  <si>
    <t>Jones, Tamara Bertrand;Dawkins, LeKita Scott;Glover, Melanie Hayden;McClinton, Marguerite M.</t>
  </si>
  <si>
    <t>LB2341.P39 2012</t>
  </si>
  <si>
    <t>African American women college administrators</t>
  </si>
  <si>
    <t>Student Learning Abroad : What Our Students Are Learning, What They're Not, and What We Can Do about It</t>
  </si>
  <si>
    <t>Vande Berg, Michael;Paige, R. Michael;Lou, Kris Hemming</t>
  </si>
  <si>
    <t>LB2376.S775 2012</t>
  </si>
  <si>
    <t>Foreign study. ; American students -- Foreign countries.</t>
  </si>
  <si>
    <t>Transformative Learning Through Engagement : Student Affairs Practice As Experiential Pedagogy</t>
  </si>
  <si>
    <t>Fried, Jane</t>
  </si>
  <si>
    <t>LB2342.9.F76 2012</t>
  </si>
  <si>
    <t>378.1/94</t>
  </si>
  <si>
    <t>Student affairs services -- United States</t>
  </si>
  <si>
    <t>Style Differences in Cognition, Learning, and Management : Theory, Research, and Practice</t>
  </si>
  <si>
    <t>Rayner, Stephen;Cools, Eva</t>
  </si>
  <si>
    <t>Routledge Studies in Management, Organizations and Society Series</t>
  </si>
  <si>
    <t>BF318 .S82 2011</t>
  </si>
  <si>
    <t>Management - Psychological aspects</t>
  </si>
  <si>
    <t>Why Knowledge Matters in Curriculum : A Social Realist Argument</t>
  </si>
  <si>
    <t>Wheelahan, Leesa</t>
  </si>
  <si>
    <t>LC196 .W54</t>
  </si>
  <si>
    <t>375/.006</t>
  </si>
  <si>
    <t>Bernstein, Basil B</t>
  </si>
  <si>
    <t>Developing Advanced Primary Teaching Skills</t>
  </si>
  <si>
    <t>LB1556.7.G7 H387 20</t>
  </si>
  <si>
    <t>Using Comic Art to Improve Speaking, Reading and Writing</t>
  </si>
  <si>
    <t>Bowkett, Steve.;Hitchman, Tony</t>
  </si>
  <si>
    <t>LB1044.9.C59 -- B69 2012eb</t>
  </si>
  <si>
    <t>372.62/3044</t>
  </si>
  <si>
    <t>Comic books, strips, etc., in education</t>
  </si>
  <si>
    <t>Praise, Motivation and the Child</t>
  </si>
  <si>
    <t>Robins, Gill</t>
  </si>
  <si>
    <t>LB1065 .R55 2012</t>
  </si>
  <si>
    <t>Teaching and Learning in the Digital Age</t>
  </si>
  <si>
    <t>Starkey, Louise</t>
  </si>
  <si>
    <t>LB1028.3 .S737 2012</t>
  </si>
  <si>
    <t>How Schools Do Policy : Policy Enactments in Secondary Schools</t>
  </si>
  <si>
    <t>Ball, Stephen J.;Maguire, Meg;Braun, Annette</t>
  </si>
  <si>
    <t>LC71 .B227 2012</t>
  </si>
  <si>
    <t>Education and state. ; Education, Secondary. ; Educational change. ; Educational sociology. ; Education and state -- Great Britain -- Case studies. ; Education, Secondary -- Great Britain -- Case studies. ; Educational change -- Great Britain -- Case studies.</t>
  </si>
  <si>
    <t>Facilitating Practitioner Research : Developing Transformational Partnerships</t>
  </si>
  <si>
    <t>Groundwater-Smith, Susan;Mitchell, Jane;Mockler, Nicole;Ponte, Petra;Ronnerman, Karin</t>
  </si>
  <si>
    <t>LB1028.24 .F34 2012</t>
  </si>
  <si>
    <t>The Children of England : A Contribution to Social History and to Education</t>
  </si>
  <si>
    <t>Findlay, J.</t>
  </si>
  <si>
    <t>LA631 .F5</t>
  </si>
  <si>
    <t>Education, Secondary -- History</t>
  </si>
  <si>
    <t>Speech and Language Difficulties in the Classroom</t>
  </si>
  <si>
    <t>Martin, Deirdre;Miller, Carol</t>
  </si>
  <si>
    <t>LB3454 .M37 1996</t>
  </si>
  <si>
    <t>371.9/142</t>
  </si>
  <si>
    <t>The Politics of Teacher Professional Development : Policy, Research and Practice</t>
  </si>
  <si>
    <t>Hardy, Ian</t>
  </si>
  <si>
    <t>LB1707 .H365 2012</t>
  </si>
  <si>
    <t>Diverse Perspectives on Inclusive School Communities</t>
  </si>
  <si>
    <t>Tsokova, Diana;Tarr, Jane</t>
  </si>
  <si>
    <t>LC1200 .T76 2012</t>
  </si>
  <si>
    <t>Inclusive education. ; Educational equalization. ; Children with disabilities -- Education.</t>
  </si>
  <si>
    <t>A Guide to Psychiatric Services in Schools : Understanding Roles, Treatment, and Collaboration</t>
  </si>
  <si>
    <t>Brent, Shawna S.</t>
  </si>
  <si>
    <t>School-Based Practice in Action Series</t>
  </si>
  <si>
    <t>LB3430 .B74 2012</t>
  </si>
  <si>
    <t>371.7/13</t>
  </si>
  <si>
    <t>Trends in Communication Policy Research : New Theories, Methods and Subjects</t>
  </si>
  <si>
    <t>Puppis, Manuel;Just, Natascha</t>
  </si>
  <si>
    <t>P95.8 -- .T74 2012eb</t>
  </si>
  <si>
    <t>Communication policy -- Research.</t>
  </si>
  <si>
    <t>College Women in the Nuclear Age : Cultural Literacy and Female Identity, 1940-1960</t>
  </si>
  <si>
    <t>Faehmel, Babette</t>
  </si>
  <si>
    <t>LC1756</t>
  </si>
  <si>
    <t>378.1/98220973</t>
  </si>
  <si>
    <t>Learning the Hard Way : Masculinity, Place, and the Gender Gap in Education</t>
  </si>
  <si>
    <t>Morris, Edward W.</t>
  </si>
  <si>
    <t>Sex differences in education--United States--Case studies. ; High school boys--United States--Social conditions--Case studies. ; Men--United States--Identity--Case studies. ; Black people--Race identity--United States--Case studies. ; Academic achievement--United States--Case studies.</t>
  </si>
  <si>
    <t>Teaching, Learning, and Visual Literacy : The Dual Role of Visual Representation</t>
  </si>
  <si>
    <t>Eilam, Billie</t>
  </si>
  <si>
    <t>LB1068 .E45 2012</t>
  </si>
  <si>
    <t>370.15/5</t>
  </si>
  <si>
    <t>Lysistrata</t>
  </si>
  <si>
    <t>Aristophanes;Lindsay, Jack</t>
  </si>
  <si>
    <t>PA3877 -- .A757 1925eb</t>
  </si>
  <si>
    <t>882/.01</t>
  </si>
  <si>
    <t>Lysistrata (Fictitious character) -- Drama. ; Peace movements -- Drama. ; Women and peace -- Drama. ; Greece -- History -- Peloponnesian War, 431-404 B.C. -- Drama.</t>
  </si>
  <si>
    <t>Mahara EPortfolios: Beginner's Guide : Create Your Own EPortfolio and Communities of Interest Within an Educational and Professional Organization with This Book and Ebook</t>
  </si>
  <si>
    <t>Thomas Bell, Thomas;Derrin Kent, Derrin;Richard Hand, Richard;W. Bell, Thomas;Hand, Richard William;Wyles, Richard;Michael Kent, Derrin</t>
  </si>
  <si>
    <t>Biological assay -- Statistical methods -- Handbooks, manuals, etc. ; Cell migration -- Laboratory manuals. ; Genetics -- Handbooks, manuals, etc.</t>
  </si>
  <si>
    <t>Internationalisation of Social Sciences in Central and Eastern Europe : The 'Catching up' -- a Myth or a Strategy?</t>
  </si>
  <si>
    <t>Kovács, Ilona Pálné;Kutsar, Dagmar</t>
  </si>
  <si>
    <t>Studies in European Sociology Series</t>
  </si>
  <si>
    <t>H53.C38 I58 2010</t>
  </si>
  <si>
    <t>Social sciences - Study and teaching - Europe, Eastern</t>
  </si>
  <si>
    <t>Dyslexia and Maths</t>
  </si>
  <si>
    <t>Kay, Julie;Yeo, Dorian</t>
  </si>
  <si>
    <t>LC4708 .K39</t>
  </si>
  <si>
    <t>371.9/14447</t>
  </si>
  <si>
    <t>Doing Multicultural Education for Achievement and Equity</t>
  </si>
  <si>
    <t>Grant, Carl A.;Sleeter, Christine E.</t>
  </si>
  <si>
    <t>LC1099.3 -- .G717 2011eb</t>
  </si>
  <si>
    <t>The Special Education Handbook : An a-Z Guide</t>
  </si>
  <si>
    <t>LC3986.G7 -- F37 2009eb</t>
  </si>
  <si>
    <t>Education -- Great Britain -- Handbooks, manuals, etc</t>
  </si>
  <si>
    <t>The Cambridge Primary Review Research Surveys</t>
  </si>
  <si>
    <t>Alexander, Robin;Doddington, Christine;Gray, John;Hargreaves, Linda;Kershner, Ruth</t>
  </si>
  <si>
    <t>LA633 .C36 2010</t>
  </si>
  <si>
    <t>Undervisning</t>
  </si>
  <si>
    <t>Advancing the Three-Minute Walk-Through : Mastering Reflective Practice</t>
  </si>
  <si>
    <t>Sage Publications (US)</t>
  </si>
  <si>
    <t>Corwin Press</t>
  </si>
  <si>
    <t>Downey, Carolyn J.;Steffy-English, Betty E.;Poston, William K., Jr.;English, Fenwick W.</t>
  </si>
  <si>
    <t>Comprehensive Behavior Management : Individualized, Classroom, and Schoolwide Approaches</t>
  </si>
  <si>
    <t>SAGE Publications, Incorporated</t>
  </si>
  <si>
    <t>Martella, Ronald C.;Nelson, J. Ron;Marchand-Martella, Nancy E.;O′Reilly, Mark</t>
  </si>
  <si>
    <t>Language and Literacy in Inquiry-Based Science Classrooms, Grades 3-8</t>
  </si>
  <si>
    <t>Fang, Zhihui;Lamme, Linda L.;Pringle, Rose M.</t>
  </si>
  <si>
    <t>Q181 -- .F23 2010eb</t>
  </si>
  <si>
    <t>RTI for Diverse Learners : More Than 200 Instructional Interventions</t>
  </si>
  <si>
    <t>Collier, Catherine C.</t>
  </si>
  <si>
    <t>Using RTI for School Improvement : Raising Every Student's Achievement Scores</t>
  </si>
  <si>
    <t>Shores, Cara F.;Chester, Kimberly B.</t>
  </si>
  <si>
    <t>Effective Strategies for Teaching in K-8 Classrooms</t>
  </si>
  <si>
    <t>Moore, Kenneth D.;Hansen, Jacqueline</t>
  </si>
  <si>
    <t>The Caring Teacher&amp;prime;s Guide to Discipline : Helping Students Learn Self-Control, Responsibility, and Respect, K-6</t>
  </si>
  <si>
    <t>Gootman, Marilyn E.</t>
  </si>
  <si>
    <t>The One-Stop Guide to Implementing RTI : Academic and Behavioral Interventions, K-12</t>
  </si>
  <si>
    <t>Appelbaum, Maryln S.</t>
  </si>
  <si>
    <t>Tier 3 of the RTI Model : Problem Solving Through a Case Study Approach</t>
  </si>
  <si>
    <t>Hunley, Sawyer;McNamara, Kathleen M.</t>
  </si>
  <si>
    <t>Super Teaching : Over 1000 Practical Strategies</t>
  </si>
  <si>
    <t>Jensen, Eric P.</t>
  </si>
  <si>
    <t>The Challenge of Change : Start School Improvement Now!</t>
  </si>
  <si>
    <t>The Socially Networked Classroom : Teaching in the New Media Age</t>
  </si>
  <si>
    <t>Kist, William R.</t>
  </si>
  <si>
    <t>371.33/46754</t>
  </si>
  <si>
    <t>How RTI Works in Secondary Schools</t>
  </si>
  <si>
    <t>Johnson, Evelyn S.;Smith, Lori A.;Harris, Monica L.</t>
  </si>
  <si>
    <t>Response to Intervention in Math</t>
  </si>
  <si>
    <t>Riccomini, Paul J.;Witzel, Bradley S.</t>
  </si>
  <si>
    <t>Realization : The Change Imperative for Deepening District-Wide Reform</t>
  </si>
  <si>
    <t>Sharratt, Lyn D.;Fullan, Michael</t>
  </si>
  <si>
    <t>A Guide to Mathematics Coaching : Processes for Increasing Student Achievement</t>
  </si>
  <si>
    <t>Hull, Ted H.;Balka, Don S.;Harbin Miles, Ruth</t>
  </si>
  <si>
    <t>QA16 -- .H85 2009eb</t>
  </si>
  <si>
    <t>Assessing Educational Leaders : Evaluating Performance for Improved Individual and Organizational Results</t>
  </si>
  <si>
    <t>371.2/01</t>
  </si>
  <si>
    <t>RESULTS Coaching : The New Essential for School Leaders</t>
  </si>
  <si>
    <t>Kee, Kathryn M.;Anderson, Karen A.;Dearing, Vicky S.;Harris, Edna;Shuster, Frances A.</t>
  </si>
  <si>
    <t>Teaching Science with Interactive Notebooks</t>
  </si>
  <si>
    <t>Marcarelli, Kellie</t>
  </si>
  <si>
    <t>Cultivating a Math Coaching Practice : A Guide for K-8 Math Educators</t>
  </si>
  <si>
    <t>Morse, Amy</t>
  </si>
  <si>
    <t>50 Ways to Close the Achievement Gap</t>
  </si>
  <si>
    <t>Powerful Professional Development : Building Expertise Within the Four Walls of Your School</t>
  </si>
  <si>
    <t>Yendol-Hoppey, Diane;Fichtman Dana, Nancy</t>
  </si>
  <si>
    <t>Tools for Teaching in the Block</t>
  </si>
  <si>
    <t>Sejnost, Roberta L.</t>
  </si>
  <si>
    <t>371.2/42</t>
  </si>
  <si>
    <t>Doubling Student Performance : ... and Finding the Resources to Do It</t>
  </si>
  <si>
    <t>Odden, Allan R.;Archibald, Sarah J.</t>
  </si>
  <si>
    <t>Four Powerful Strategies for Struggling Readers, Grades 3-8 : Small Group Instruction That Improves Comprehension</t>
  </si>
  <si>
    <t>Lanning, Lois A.</t>
  </si>
  <si>
    <t>The Cultural Proficiency Journey : Moving Beyond Ethical Barriers Toward Profound School Change</t>
  </si>
  <si>
    <t>CampbellJones, Franklin L.;CampbellJones, Brenda;Lindsey, Randall B.</t>
  </si>
  <si>
    <t>Promoting Academic Achievement among English Learners : A Guide to the Research</t>
  </si>
  <si>
    <t>Goldenberg, Claude;Coleman, Rhoda</t>
  </si>
  <si>
    <t>Copyright Clarity : How Fair Use Supports Digital Learning</t>
  </si>
  <si>
    <t>Hobbs, Renee</t>
  </si>
  <si>
    <t>Mentoring New Teachers</t>
  </si>
  <si>
    <t>Portner, Hal</t>
  </si>
  <si>
    <t>Collaborative Teaching in Elementary Schools : Making the Co-Teaching Marriage Work!</t>
  </si>
  <si>
    <t>Murawski, Wendy</t>
  </si>
  <si>
    <t>372.133/4</t>
  </si>
  <si>
    <t>Culturally Proficient Learning Communities : Confronting Inequities Through Collaborative Curiosity</t>
  </si>
  <si>
    <t>Lindsey, Delores B.;Jungwirth, Linda D.;Pahl, Jarvis V. N. C.;Lindsey, Randall B.</t>
  </si>
  <si>
    <t>LC69 -- .C85 2009eb</t>
  </si>
  <si>
    <t>Collaborative Teaching in Secondary Schools : Making the Co-Teaching Marriage Work!</t>
  </si>
  <si>
    <t>373.114/8</t>
  </si>
  <si>
    <t>Designing Professional Development for Teachers of Science and Mathematics</t>
  </si>
  <si>
    <t>Loucks-Horsley, Susan;Stiles, Katherine E.;Mundry, Susan E.;Love, Nancy B.;Hewson, Peter W.</t>
  </si>
  <si>
    <t>The Educator&amp;prime;s Handbook for Understanding and Closing Achievement Gaps</t>
  </si>
  <si>
    <t>Murphy, Joseph F.</t>
  </si>
  <si>
    <t>The Power of One : How You Can Help or Harm African American Students</t>
  </si>
  <si>
    <t>Thompson, Gail L.</t>
  </si>
  <si>
    <t>From Good Schools to Great Schools : What Their Principals Do Well</t>
  </si>
  <si>
    <t>Gray, Susan P.;Streshly, William A.</t>
  </si>
  <si>
    <t>Purposeful Co-Teaching : Real Cases and Effective Strategies</t>
  </si>
  <si>
    <t>Conderman, Gregory J.;Bresnahan, Mary V.;Pedersen, Theresa</t>
  </si>
  <si>
    <t>371.1/48</t>
  </si>
  <si>
    <t>Taking the Lead on Adolescent Literacy : Action Steps for Schoolwide Success</t>
  </si>
  <si>
    <t>Irvin, Judith L.;Meltzer, Julie;Dean, Nancy D.;Mickler, Martha J.</t>
  </si>
  <si>
    <t>Teaching with the Tools Kids Really Use : Learning with Web and Mobile Technologies</t>
  </si>
  <si>
    <t>Brooks-Young, Susan J.</t>
  </si>
  <si>
    <t>The Principal As Professional Learning Community Leader</t>
  </si>
  <si>
    <t>Ontario Principals′ Council, Ontario Principals′</t>
  </si>
  <si>
    <t>Leading Student Achievement Series</t>
  </si>
  <si>
    <t>Leading Through Quality Questioning : Creating Capacity, Commitment, and Community</t>
  </si>
  <si>
    <t>Walsh, Jackie A.;Sattes, Elizabeth D.</t>
  </si>
  <si>
    <t>371.3/7</t>
  </si>
  <si>
    <t>All Systems Go : The Change Imperative for Whole System Reform</t>
  </si>
  <si>
    <t>Safe and Secure Schools : 27 Strategies for Prevention and Intervention</t>
  </si>
  <si>
    <t>Brunner, Judy M.;Lewis, Dennis K.</t>
  </si>
  <si>
    <t>Giving Wings to Children's Dreams : Making Our Schools Worthy of Our Children</t>
  </si>
  <si>
    <t>Houston, Paul D.</t>
  </si>
  <si>
    <t>A Guide to Mathematics Leadership : Sequencing Instructional Change</t>
  </si>
  <si>
    <t>Balka, Don S.;Hull, Ted H.;Harbin Miles, Ruth</t>
  </si>
  <si>
    <t>On Purpose : How Great School Cultures Form Strong Character</t>
  </si>
  <si>
    <t>Carter, Samuel Casey</t>
  </si>
  <si>
    <t>Self-Study Teacher Research : Improving Your Practice Through Collaborative Inquiry</t>
  </si>
  <si>
    <t>Samaras, Anastasia P.</t>
  </si>
  <si>
    <t>Teach Them ALL to Read : Catching Kids Before They Fall Through the Cracks</t>
  </si>
  <si>
    <t>McEwan-Adkins, Elaine K.</t>
  </si>
  <si>
    <t>Building and Connecting Learning Communities : The Power of Networks for School Improvement</t>
  </si>
  <si>
    <t>Katz, Steven;Earl, Lorna M.;Ben Jaafar, Sonia</t>
  </si>
  <si>
    <t>Succeeding in the Inclusive Classroom : K-12 Lesson Plans Using Universal Design for Learning</t>
  </si>
  <si>
    <t>Metcalf, Deborah J.</t>
  </si>
  <si>
    <t>Inclusive education. ; Special education. ; Students with disabilities -- Education.</t>
  </si>
  <si>
    <t>How to Handle Hard-To-Handle Parents</t>
  </si>
  <si>
    <t>What to Do with the Kid Who... : Developing Cooperation, Self-Discipline, and Responsibility in the Classroom</t>
  </si>
  <si>
    <t>Burke, Kathleen B.</t>
  </si>
  <si>
    <t>371.102/4/0973</t>
  </si>
  <si>
    <t>Multicultural Children's Literature : A Critical Issues Approach</t>
  </si>
  <si>
    <t>Gopalakrishnan, Ambika G.</t>
  </si>
  <si>
    <t>809/.89282</t>
  </si>
  <si>
    <t>A Comprehensive RTI Model : Integrating Behavioral and Academic Interventions</t>
  </si>
  <si>
    <t>Shores, Cara F.</t>
  </si>
  <si>
    <t>American Educational History : School, Society, and the Common Good</t>
  </si>
  <si>
    <t>Jeynes, William H.</t>
  </si>
  <si>
    <t>LA205 .J49 2007</t>
  </si>
  <si>
    <t>Conversations with Principals : Issues, Values, and Politics</t>
  </si>
  <si>
    <t>Dubin, Andrew E.</t>
  </si>
  <si>
    <t>Proactive School Security and Emergency Preparedness Planning</t>
  </si>
  <si>
    <t>Trump, Kenneth S.</t>
  </si>
  <si>
    <t>Build the Brain for Reading, Grades 4-12</t>
  </si>
  <si>
    <t>Nevills, Pamela A.</t>
  </si>
  <si>
    <t>Achieving Success for New and Aspiring Superintendents : A Practical Guide</t>
  </si>
  <si>
    <t>Callan, Mary Frances;Levinson, William J.</t>
  </si>
  <si>
    <t>Place-Based Science Teaching and Learning : 40 Activities for K-8 Classrooms</t>
  </si>
  <si>
    <t>Buxton, Cory A.;Provenzo, Eugene F., Jr.</t>
  </si>
  <si>
    <t>Cases for Teacher Development : Preparing for the Classroom</t>
  </si>
  <si>
    <t>Goldblatt, Patricia F.;Smith, Deirdre</t>
  </si>
  <si>
    <t>Culturally Responsive Standards-Based Teaching : Classroom to Community and Back</t>
  </si>
  <si>
    <t>Saifer, Steffen;Edwards, Keisha;Ellis, Debbie;Ko, Lena;Stuczynski, Amy</t>
  </si>
  <si>
    <t>Arts Based Research</t>
  </si>
  <si>
    <t>Barone, Tom;Eisner, Elliot W.;Barone, Tom, Jr.</t>
  </si>
  <si>
    <t>H62 -- .B3365 2012eb</t>
  </si>
  <si>
    <t>Promoting Literacy Development : 50 Research-Based Strategies for K-8 Learners</t>
  </si>
  <si>
    <t>Antonacci, Patricia A.;O′Callaghan, Catherine M.</t>
  </si>
  <si>
    <t>Seven Steps to Separating Difference from Disability</t>
  </si>
  <si>
    <t>The Adjunct Faculty Handbook</t>
  </si>
  <si>
    <t>Cooper, Lorri E.;Booth, Bryan A.</t>
  </si>
  <si>
    <t>Snapshots of Research : Readings in Criminology and Criminal Justice</t>
  </si>
  <si>
    <t>Hartley, Richard D.</t>
  </si>
  <si>
    <t>Harness the Power of Reflection : Continuous School Improvement from the Front Office to the Classroom</t>
  </si>
  <si>
    <t>Nash, Ron</t>
  </si>
  <si>
    <t>RTI with Differentiated Instruction, Grades K-5 : A Classroom Teacher's Guide</t>
  </si>
  <si>
    <t>O′Meara, Jodi</t>
  </si>
  <si>
    <t>Organizational Learning : Improving Learning, Teaching, and Leading in School Systems</t>
  </si>
  <si>
    <t>Collinson, Vivienne;Cook, Tanya Fedoruk</t>
  </si>
  <si>
    <t>Narrative and Experience in Multicultural Education</t>
  </si>
  <si>
    <t>Phillion, JoAnn;He, Ming Fang;Connelly, F. Michael</t>
  </si>
  <si>
    <t>The Practice of Authentic PLCs : A Guide to Effective Teacher Teams</t>
  </si>
  <si>
    <t>Venables, Daniel R.</t>
  </si>
  <si>
    <t>Critical Literacy : Context, Research, and Practice in the K-12 Classroom</t>
  </si>
  <si>
    <t>Stevens, Lisa Patel;Bean, Thomas W.</t>
  </si>
  <si>
    <t>Leading Schools to Success : Constructing and Sustaining High-Performing Learning Cultures</t>
  </si>
  <si>
    <t>Guthrie, James W.;Schuermann, Patrick J.</t>
  </si>
  <si>
    <t>RTI with Differentiated Instruction, Grades 6-8 : A Classroom Teacher's Guide</t>
  </si>
  <si>
    <t>Global Perspectives on E-Learning : Rhetoric and Reality</t>
  </si>
  <si>
    <t>Carr-Chellman, Alison A.</t>
  </si>
  <si>
    <t>Deliverology 101 : A Field Guide for Educational Leaders</t>
  </si>
  <si>
    <t>Barber, Michael;Moffit, Andy;Kihn, Paul</t>
  </si>
  <si>
    <t>Digital Community, Digital Citizen</t>
  </si>
  <si>
    <t>Ohler, Jason B.</t>
  </si>
  <si>
    <t>Literature-Based Teaching in the Content Areas : 40 Strategies for K-8 Classrooms</t>
  </si>
  <si>
    <t>Cox, Carole A.</t>
  </si>
  <si>
    <t>Team Teaching : What, Why, and How?</t>
  </si>
  <si>
    <t>Buckley, Francis J.</t>
  </si>
  <si>
    <t>Unmistakable Impact : A Partnership Approach for Dramatically Improving Instruction</t>
  </si>
  <si>
    <t>Knight, Jim</t>
  </si>
  <si>
    <t>370.7/155</t>
  </si>
  <si>
    <t>The SAGE Handbook of Curriculum and Instruction</t>
  </si>
  <si>
    <t>Connelly, F. Michael;He, Ming Fang;Phillion, JoAnn</t>
  </si>
  <si>
    <t>LB2806.15 .S24 2008</t>
  </si>
  <si>
    <t>Curriculum planning. ; Education and state.</t>
  </si>
  <si>
    <t>Building the Responsive Campus : Creating High Performance Colleges and Universities</t>
  </si>
  <si>
    <t>Tierney, William G.</t>
  </si>
  <si>
    <t>Distance Learning : The Essential Guide</t>
  </si>
  <si>
    <t>Williams, Marcia L.;Paprock, Kenneth;Covington, Barbara G.</t>
  </si>
  <si>
    <t>The Instructional Leadership Toolbox : A Handbook for Improving Practice</t>
  </si>
  <si>
    <t>Gupton, Sandra L.</t>
  </si>
  <si>
    <t>Empowering Family-Teacher Partnerships : Building Connections Within Diverse Communities</t>
  </si>
  <si>
    <t>Coleman, Mick</t>
  </si>
  <si>
    <t>Understanding and Shaping Curriculum : What We Teach and Why</t>
  </si>
  <si>
    <t>Hewitt, Thomas W.</t>
  </si>
  <si>
    <t>LB1570 -- .H5 2006eb</t>
  </si>
  <si>
    <t>Sacred Trust : A Children's Education Bill of Rights</t>
  </si>
  <si>
    <t>Cookson, Peter W., Jr.</t>
  </si>
  <si>
    <t>The SAGE Handbook of African American Education</t>
  </si>
  <si>
    <t>Tillman, Linda C.</t>
  </si>
  <si>
    <t>African Americans -- Education -- Handbooks, manuals, etc. ; African American teachers -- Handbooks, manuals, etc.</t>
  </si>
  <si>
    <t>Child and Adolescent Life Stories : Perspectives from Youth, Parents, and Teachers</t>
  </si>
  <si>
    <t>Voegtle, Katherine H.;Lodico, Marguerite G.</t>
  </si>
  <si>
    <t>HQ769.L614</t>
  </si>
  <si>
    <t>What Else You Can Do with a PH. D. : A Career Guide for Scholars</t>
  </si>
  <si>
    <t>Secrist, Jan;Fitzpatrick, Jacqueline</t>
  </si>
  <si>
    <t>HF5382.5.U</t>
  </si>
  <si>
    <t>Vocational guidance-United States. ; College graduates-Employment-United States. ; Occupations-United States.</t>
  </si>
  <si>
    <t>So You Want to Be a Professor? : A Handbook for Graduate Students</t>
  </si>
  <si>
    <t>Vesilind, P. Aarne</t>
  </si>
  <si>
    <t>Case Study Analysis in the Classroom : Becoming a Reflective Teacher</t>
  </si>
  <si>
    <t>Campoy, Renee W.</t>
  </si>
  <si>
    <t>LB1025.3.C</t>
  </si>
  <si>
    <t>Poverty Is NOT a Learning Disability : Equalizing Opportunities for Low SES Students</t>
  </si>
  <si>
    <t>Howard, Lizette Y.;Dresser, Sandy G.;Dunklee, Dennis R.</t>
  </si>
  <si>
    <t>372.18/26942</t>
  </si>
  <si>
    <t>Hanley-Maxwell, Cheryl;Collet-Klingenberg, Lana</t>
  </si>
  <si>
    <t>The SAGE Reference Series on Disability: Key Issues and Future Directions Series</t>
  </si>
  <si>
    <t>Special education -- United States -- History. ; Children with disabilities -- Education -- United States -- History. ; Children with social disabilities -- Education -- History. ; Educational equalization -- United States -- History.</t>
  </si>
  <si>
    <t>Handbook of College and University Teaching : A Global Perspective</t>
  </si>
  <si>
    <t>Groccia, James E.;Alsudairi, Mohammed A. T.;Buskist, William F.</t>
  </si>
  <si>
    <t>College teaching -- Cross-cultural studies. ; Learning -- Cross-cultural studies. ; Universities and colleges -- Administration -- Cross-cultural studies.</t>
  </si>
  <si>
    <t>Technology Leadership for School Improvement</t>
  </si>
  <si>
    <t>Papa, Rosemary</t>
  </si>
  <si>
    <t>The SAGE Handbook of Educational Leadership : Advances in Theory, Research, and Practice</t>
  </si>
  <si>
    <t>English, Fenwick W.</t>
  </si>
  <si>
    <t>Careers in and Out of Organizations</t>
  </si>
  <si>
    <t>Hall, Douglas T.</t>
  </si>
  <si>
    <t>Foundations for Organizational Science Series</t>
  </si>
  <si>
    <t>HF5381</t>
  </si>
  <si>
    <t>Teaching As Principled Practice : Managing Complexity for Social Justice</t>
  </si>
  <si>
    <t>Kroll, Linda Ruth;Donahue, David M.;Galguera, Tomas;LaBoskey, Vicki Kubler;Richert, Anna Ershler;Tucher, Philip L.;Cossey, Ruth</t>
  </si>
  <si>
    <t>LB1715 \.T</t>
  </si>
  <si>
    <t>Interpreting Standardized Test Scores : Strategies for Data-Driven Instructional Decision Making</t>
  </si>
  <si>
    <t>Mertler, Craig A.</t>
  </si>
  <si>
    <t>John Dewey and the Art of Teaching : Toward Reflective and Imaginative Practice</t>
  </si>
  <si>
    <t>Simpson, Douglas J.;Jackson, Michael J. B.;Simpson, Judy C.</t>
  </si>
  <si>
    <t>Distance Learning : Principles for Effective Design, Delivery, and Evaluation</t>
  </si>
  <si>
    <t>Mehrotra, Chandra Mohan;Hollister, C. David;McGahey, Lawrence</t>
  </si>
  <si>
    <t>Building on Student Diversity : Profiles and Activities</t>
  </si>
  <si>
    <t>Cowdery, Joy R.;Ingling Rogness, Linda;Morrow, Linda E.;Wilson, Vicki A.</t>
  </si>
  <si>
    <t>Encyclopedia of Educational Reform and Dissent</t>
  </si>
  <si>
    <t>Hunt, Thomas C. (Caspar);Carper, James C.;Lasley, II, Thomas J.;Raisch, C. (Chad) Daniel</t>
  </si>
  <si>
    <t>LB2805 .E528 2010</t>
  </si>
  <si>
    <t>Educational change -- United States -- Encyclopedias. ; Critical pedagogy -- United States -- Encyclopedias.</t>
  </si>
  <si>
    <t>Encyclopedia of Distributed Learning</t>
  </si>
  <si>
    <t>DiStefano, Anna M.;Rudestam, Kjell Erik;Silverman, Robert J.</t>
  </si>
  <si>
    <t>LC5211.E52</t>
  </si>
  <si>
    <t>Continuing education -- Encyclopedias. ; Distance education -- Encyclopedias. ; Adult learning -- Encyclopedias.</t>
  </si>
  <si>
    <t>Models of Teaching : Connecting Student Learning with Standards</t>
  </si>
  <si>
    <t>Dell′Olio, Jeanine M.;Donk, Tony</t>
  </si>
  <si>
    <t>Learning to Lead Together : The Promise and Challenge of Sharing Leadership</t>
  </si>
  <si>
    <t>Chrispeels, Janet H.</t>
  </si>
  <si>
    <t>LB2806.3.L</t>
  </si>
  <si>
    <t>Doing Internet Research : Critical Issues and Methods for Examining the Net</t>
  </si>
  <si>
    <t>Jones, Steven</t>
  </si>
  <si>
    <t>Multifaceted Assessment for Early Childhood Education</t>
  </si>
  <si>
    <t>Wright, Robert J.</t>
  </si>
  <si>
    <t>372.126/4</t>
  </si>
  <si>
    <t>Fostering Child and Adolescent Mental Health in the Classroom</t>
  </si>
  <si>
    <t>Waller, Raymond J.</t>
  </si>
  <si>
    <t>Secrets for a Successful Dissertation</t>
  </si>
  <si>
    <t>Fitzpatrick, Jacqueline;Secrist, Jan;Wright, Debra</t>
  </si>
  <si>
    <t>Mindful Inquiry in Social Research</t>
  </si>
  <si>
    <t>Bentz, Valerie Malhotra;Shapiro, Jeremy J.</t>
  </si>
  <si>
    <t>300/.7/2</t>
  </si>
  <si>
    <t>How to Publish Your Communication Research: an Insider's Guide</t>
  </si>
  <si>
    <t>Alexander, Alison F.;Potter, W. James</t>
  </si>
  <si>
    <t>PN146 .H69 2001</t>
  </si>
  <si>
    <t>070.5/2</t>
  </si>
  <si>
    <t>Literature; Publishing</t>
  </si>
  <si>
    <t>Political and Civic Leadership : A Reference Handbook</t>
  </si>
  <si>
    <t>Couto, Richard A.</t>
  </si>
  <si>
    <t>JC330.3 .P642 2010</t>
  </si>
  <si>
    <t>Political leadership. ; Civic improvement.</t>
  </si>
  <si>
    <t>Teaching Large Classes : Tools and Strategies</t>
  </si>
  <si>
    <t>Carbone, Elisa</t>
  </si>
  <si>
    <t>Survival Skills for Scholars Series</t>
  </si>
  <si>
    <t>Elementary Classroom Management : A Student-Centered Approach to Leading and Learning</t>
  </si>
  <si>
    <t>Williams, Kerry E. Curtiss</t>
  </si>
  <si>
    <t>Ethical Decision Making in School Administration : Leadership As Moral Architecture</t>
  </si>
  <si>
    <t>Wagner, Paul A.;Simpson, Douglas J.</t>
  </si>
  <si>
    <t>School Law for K-12 Educators : Concepts and Cases</t>
  </si>
  <si>
    <t>Aquila, Frank D.</t>
  </si>
  <si>
    <t>Cooperative Learning : Integrating Theory and Practice</t>
  </si>
  <si>
    <t>Gillies, Robyn M.</t>
  </si>
  <si>
    <t>LB1032.G55 2007eb</t>
  </si>
  <si>
    <t>371.39/5</t>
  </si>
  <si>
    <t>Group work in education.</t>
  </si>
  <si>
    <t>Planning a Successful Conference</t>
  </si>
  <si>
    <t>Winter, Cynthia</t>
  </si>
  <si>
    <t>Teacher Action Research : Building Knowledge Democracies</t>
  </si>
  <si>
    <t>Pine, Gerald J.</t>
  </si>
  <si>
    <t>Approaches to Behavior and Classroom Management : Integrating Discipline and Care</t>
  </si>
  <si>
    <t>Scarlett, W. George;Ponte, Iris Chin;Singh, Jay P.</t>
  </si>
  <si>
    <t>LB3013 .S287 2009</t>
  </si>
  <si>
    <t>Confessions in the Courtroom</t>
  </si>
  <si>
    <t>Wrightsman, Lawrence S., Jr.;Kassin, Saul</t>
  </si>
  <si>
    <t>The Art of Educational Leadership : Balancing Performance and Accountability</t>
  </si>
  <si>
    <t>LB2805.E638 2008eb</t>
  </si>
  <si>
    <t>Educational leadership-United States. ; School management and organization-United States.</t>
  </si>
  <si>
    <t>Confronting Diversity Issues on Campus</t>
  </si>
  <si>
    <t>Bowser, Benjamin P.;Auletta, Gale S.;Jones, Terry</t>
  </si>
  <si>
    <t>Improving Writing Skills : Memos, Letters, Reports, and Proposals</t>
  </si>
  <si>
    <t>Berger, Arthur A.</t>
  </si>
  <si>
    <t>Power Politics : Environmental Activism in South Los Angeles</t>
  </si>
  <si>
    <t>Brodkin, Karen</t>
  </si>
  <si>
    <t>GE235</t>
  </si>
  <si>
    <t>363.7/05250979494</t>
  </si>
  <si>
    <t>How Successful Schools Work : The Impact of Innovative School Leadership</t>
  </si>
  <si>
    <t>Tutt, Rona;Williams, Paul</t>
  </si>
  <si>
    <t>LB2806 -- .T88 2012eb</t>
  </si>
  <si>
    <t>Schulerfolg</t>
  </si>
  <si>
    <t>Happy feet, food &amp; fat : Management van lichaamssamenstelling</t>
  </si>
  <si>
    <t>Weijs, Peter</t>
  </si>
  <si>
    <t>HvA Openbare Lessen</t>
  </si>
  <si>
    <t>QP34.5 -- .W45 2012eb</t>
  </si>
  <si>
    <t>Food crops -- Nutrition. ; Food crops -- Fertilizers. ; Food crops -- Quality.</t>
  </si>
  <si>
    <t>Science; Medicine; Science: Biology/Natural History</t>
  </si>
  <si>
    <t>Using Technology with Classroom Instruction That Works</t>
  </si>
  <si>
    <t>Pitler, Howard;Hubbell, Elizabeth R.;Kuhn, Matt</t>
  </si>
  <si>
    <t>The Sixth Scottish University : The Scots Colleges Abroad: 1575 To 1799</t>
  </si>
  <si>
    <t>McInally, Thomas</t>
  </si>
  <si>
    <t>History of Science and Medicine Library</t>
  </si>
  <si>
    <t>LA657 .M38 2011</t>
  </si>
  <si>
    <t>Catholic Church-Clergy-Training of-Europe. ; Scots-Education (Higher)-Europe-History. ; Catholic universities and colleges-Europe-History. ; Church and state-Scotland-History.</t>
  </si>
  <si>
    <t>National, Nordic or European? : Nineteenth-Century University Jubilees and Nordic Cooperation</t>
  </si>
  <si>
    <t>Dhondt, Pieter</t>
  </si>
  <si>
    <t>What Makes a Good School?</t>
  </si>
  <si>
    <t>University of New South Wales Press</t>
  </si>
  <si>
    <t>NewSouth</t>
  </si>
  <si>
    <t xml:space="preserve">Bonner, Chris;Caro, Jane;Bonnor, Chris </t>
  </si>
  <si>
    <t>LA632</t>
  </si>
  <si>
    <t>Idealism -- History -- 20th century. ; Radicalism -- History -- 20th century. ; Radicalism -- United States -- History -- 20th century.</t>
  </si>
  <si>
    <t>How to Create a Culture of Achievement in Your School and Classroom</t>
  </si>
  <si>
    <t>Fisher, Douglas;Frey, Nancy;Pumpian, Ian</t>
  </si>
  <si>
    <t>LB2822.82 .F57 2012</t>
  </si>
  <si>
    <t>School improvement programs-United States. ; Academic achievement-United States. ; School management and organization-United States. ; School environment-United States.</t>
  </si>
  <si>
    <t>Empowerment Starts Here : Seven Principles to Empowering Urban Youth</t>
  </si>
  <si>
    <t>Dye, Angela;Diez, Mary E.</t>
  </si>
  <si>
    <t>LC5131.D94 2011</t>
  </si>
  <si>
    <t>Education, Urban--United States. ; Education, Urban--Social aspects--United States. ; Children with social disabilities--Education--Social aspects--United States. ; Academic achievement--United States. ; Educational change--United States. ; EDUCATION / Educational Psychology. bisacsh.</t>
  </si>
  <si>
    <t>Pragmatism, Post-Modernism, and Complexity Theory : The Fascinating Imaginative Realm of William E. Doll, Jr</t>
  </si>
  <si>
    <t>Trueit, Donna</t>
  </si>
  <si>
    <t>LB1570 .D617 2012</t>
  </si>
  <si>
    <t>Education -- Curricula -- Philosophy</t>
  </si>
  <si>
    <t>Improving Large-Scale Assessment in Education : Theory, Issues, and Practice</t>
  </si>
  <si>
    <t>Simon, Marielle;Ercikan, Kadriye;Rousseau, Michel</t>
  </si>
  <si>
    <t>LB3051 .I467 2013</t>
  </si>
  <si>
    <t>Educability, Schools and Ideology (RLE Edu L)</t>
  </si>
  <si>
    <t>Flude, Michael;AHIER, John</t>
  </si>
  <si>
    <t>LC191 .F57</t>
  </si>
  <si>
    <t>Educational sociology.</t>
  </si>
  <si>
    <t>The Philosophy of Education (RLE Edu K) : An Introduction</t>
  </si>
  <si>
    <t>Schofield, Harry</t>
  </si>
  <si>
    <t>LB1025.2 .M57</t>
  </si>
  <si>
    <t>Dreams and Education (RLE Edu K)</t>
  </si>
  <si>
    <t>Hill, J.</t>
  </si>
  <si>
    <t>QP355 .H5</t>
  </si>
  <si>
    <t>Science: General; Science; Science: Biology/Natural History</t>
  </si>
  <si>
    <t>Creating the Curriculum</t>
  </si>
  <si>
    <t>Wyse, Dominic;Baumfield, Vivienne;Egan, David;Hayward, Louise;Hulme, Moira;Menter, Ian;Gallagher, Carmel;Leitch, Ruth;Livingston, Kay;Lingard, Bob</t>
  </si>
  <si>
    <t>LB2806.15 .C69125 2</t>
  </si>
  <si>
    <t>Overcoming Exclusion : Social Justice Through Education</t>
  </si>
  <si>
    <t>Mittler, Peter</t>
  </si>
  <si>
    <t>LC1200 .M84 2013</t>
  </si>
  <si>
    <t>Contemporary Research in the Sociology of Education (RLE Edu L)</t>
  </si>
  <si>
    <t>Eggleston, John</t>
  </si>
  <si>
    <t>LC203 .C57</t>
  </si>
  <si>
    <t>Education in a Digital World : Global Perspectives on Technology and Education</t>
  </si>
  <si>
    <t>LB1028.3 S38884 2013</t>
  </si>
  <si>
    <t>EDUCATION / Distance Education &amp; Learning</t>
  </si>
  <si>
    <t>Theory of Mind : Beyond the Preschool Years</t>
  </si>
  <si>
    <t>Miller, Scott A.</t>
  </si>
  <si>
    <t>BF773 .M55 2012</t>
  </si>
  <si>
    <t>Young Children Learning Through Schemas : Deepening the Dialogue about Learning in the Home and in the Nursery</t>
  </si>
  <si>
    <t>Mairs, Katey;Arnold, Cath;The Pen Green Team, The Pen</t>
  </si>
  <si>
    <t>BF723.S17 Y68 2013</t>
  </si>
  <si>
    <t>Schemas (Psychology) in children -- Case studies</t>
  </si>
  <si>
    <t>Narratives from the Classroom : An Introduction to Teaching</t>
  </si>
  <si>
    <t>Miller, Paul Chamness</t>
  </si>
  <si>
    <t>Brain-Compatible Classrooms</t>
  </si>
  <si>
    <t>Fogarty, Robin J.</t>
  </si>
  <si>
    <t>Assessing and Addressing Literacy Needs : Cases and Instructional Strategies</t>
  </si>
  <si>
    <t>Combs, Barbara E.</t>
  </si>
  <si>
    <t>Encyclopedia of Law and Higher Education</t>
  </si>
  <si>
    <t>Russo, Charles</t>
  </si>
  <si>
    <t>KF4225.A68 -- E53 2010eb</t>
  </si>
  <si>
    <t>Universities and colleges -- Law and legislation -- United States -- Encyclopedias. ; Universities and colleges -- Law and legislation -- United States -- Cases. ; Education, Higher -- Law and legislation -- United States -- Encyclopedias.</t>
  </si>
  <si>
    <t>The Capacity to Share : A Study of Cuba's International Cooperation in Educational Development</t>
  </si>
  <si>
    <t>Hickling-Hudson, A.;González, J.;Preston, R.</t>
  </si>
  <si>
    <t>Comparative Education : A Study of Educational Factors and Traditions</t>
  </si>
  <si>
    <t>LA21 .H3</t>
  </si>
  <si>
    <t>Comparative education</t>
  </si>
  <si>
    <t>Assessment for Learning in Higher Education</t>
  </si>
  <si>
    <t>Sambell, Kay;McDowell, Liz;Montgomery, Catherine</t>
  </si>
  <si>
    <t>LB2366 .S26 2012</t>
  </si>
  <si>
    <t>Education, Higher -- Evaluation -- Methodology. ; Universities and colleges -- Examinations.</t>
  </si>
  <si>
    <t>Curriculum, Syllabus Design and Equity : A Primer and Model</t>
  </si>
  <si>
    <t>Luke, Allan;Woods, Annette;Weir, Katie</t>
  </si>
  <si>
    <t>LB2806.15 .C886 2012</t>
  </si>
  <si>
    <t>Personal Epistemology : The Psychology of Beliefs about Knowledge and Knowing</t>
  </si>
  <si>
    <t>Hofer, Barbara K.;Pintrich, Paul R.</t>
  </si>
  <si>
    <t>LB1051 .P415</t>
  </si>
  <si>
    <t>Educational psychology. ; Knowledge, Theory of.</t>
  </si>
  <si>
    <t>Making Special Education Inclusive : From Research to Practice</t>
  </si>
  <si>
    <t>Farrell, Peter;Ainscow, Mel</t>
  </si>
  <si>
    <t>LC1203.G7 M35 2012</t>
  </si>
  <si>
    <t>Automatic Item Generation : Theory and Practice</t>
  </si>
  <si>
    <t>Gierl, Mark J.;Haladyna, Thomas M.</t>
  </si>
  <si>
    <t>LB3051 .A89 2013</t>
  </si>
  <si>
    <t>The Education of Children under Seven</t>
  </si>
  <si>
    <t>LB1139.23 -- .S78 2012eb</t>
  </si>
  <si>
    <t>Teaching Psychology 14-19 : Issues and Techniques</t>
  </si>
  <si>
    <t>Jarvis, Matt</t>
  </si>
  <si>
    <t>BF77 -- .J37 2011eb</t>
  </si>
  <si>
    <t>Psychology - Study and teaching (Higher) - Great Britain</t>
  </si>
  <si>
    <t>Action Learning in Schools : Reframing Teachers' Professional Learning and Development</t>
  </si>
  <si>
    <t>Aubusson, Peter;Ewing, Robyn;Hoban, Garry;Hoban, Garry F.</t>
  </si>
  <si>
    <t>LB1731 .A85</t>
  </si>
  <si>
    <t>370.71/5</t>
  </si>
  <si>
    <t>Teachers -- In-service training. ; Active learning.</t>
  </si>
  <si>
    <t>Speed Learning for Kids : The Must-Have Braintraining Tools to Help Your Child Reach Their Full Potential</t>
  </si>
  <si>
    <t>Handley, Bill</t>
  </si>
  <si>
    <t>Educational acceleration</t>
  </si>
  <si>
    <t>Juvenile Literature</t>
  </si>
  <si>
    <t>Transforming Higher Education : Economy, Democracy, and the University</t>
  </si>
  <si>
    <t>Rosow, Stephen J.;Kriger, Thomas;Azari-Rad, Hamid;Dwyer, Catherine M.;Floss, Frederick;Knapp, Sally;Luke, Timothy W.;Lustig, R. Jeffrey;Plotkin, Sidney;Scheuerman, William</t>
  </si>
  <si>
    <t>LA227.3.T69 2010</t>
  </si>
  <si>
    <t>Education, Higher--United States. ; Education, Higher--United States--Administration. ; Educational change--United States.</t>
  </si>
  <si>
    <t>Higher Education and Equality of Opportunity : Cross-National Perspectives</t>
  </si>
  <si>
    <t>Lazin, Fred A.;Jayaram, N.;Evans, Matt;Amit, Miri, Miri;Blackmon, Pamela, Pamela;Cobbah, Josiah, Josiah;Diner, Steven J., Steven J.;Friedlander, Judith Naomi, Judith Naomi;Goastellec, Gaele, Gaele;Harel-Shalev, Ayelet</t>
  </si>
  <si>
    <t>Studies in Public Policy Series</t>
  </si>
  <si>
    <t>LB2322.2.H513 2010</t>
  </si>
  <si>
    <t>Education, Higher--Cross-cultural studies. ; Education and globalization--Cross-cultural studies. ; Affirmative action programs--Cross-cultural studies. ; Minorities--Education (Higher)--Cross-cultural studies.</t>
  </si>
  <si>
    <t>Race, Women of Color, and the State University System : Critical Reflections</t>
  </si>
  <si>
    <t>Yenika-Agbaw, Vivian;Hidalgo-de-Jesús, Amarilis, Amarilis</t>
  </si>
  <si>
    <t>Discrimination in higher education - Pennsylvania</t>
  </si>
  <si>
    <t>The Audacity to Teach! : The Impact of Leadership, School Reform, and the Urban Context on Educational Innovations</t>
  </si>
  <si>
    <t>Easley, Jacob, II;Easley, Jacob</t>
  </si>
  <si>
    <t>Educational innovations -- United States</t>
  </si>
  <si>
    <t>Who Are We? Old, New, and Timeless Answers from Core Texts</t>
  </si>
  <si>
    <t>Anderson, Robert;Flynn, Molly Brigid;Lee, Scott J.</t>
  </si>
  <si>
    <t>Association for Core Texts and Courses Series</t>
  </si>
  <si>
    <t>LB2361.5 -- .A87 2011eb</t>
  </si>
  <si>
    <t>Curriculum planning -- United States -- Congresses.</t>
  </si>
  <si>
    <t>Social Entrepreneurship in Education : Private Ventures for the Public Good</t>
  </si>
  <si>
    <t>Sandler, Michael R.</t>
  </si>
  <si>
    <t>LC1085.2.S26 2009</t>
  </si>
  <si>
    <t>Business and education--United States. ; Privatization in education--United States.</t>
  </si>
  <si>
    <t>Saving Students from a Shattered System : Igniting the Passion for Learning</t>
  </si>
  <si>
    <t>Lee, Eldon 'Cap', Eldon 'Cap';Budzisz, Mary Gale;Cala, William C.</t>
  </si>
  <si>
    <t>LB1065.L39 2009</t>
  </si>
  <si>
    <t>Motivation in education.</t>
  </si>
  <si>
    <t>Studying Diversity in Teacher Education</t>
  </si>
  <si>
    <t>Ball, Arnetha F.;Tyson, Cynthia A.;Ladson-Billings, Gloria;Quijada Cerecer, Patricia D.;Chapman, Thandeka K.;Cochran-Smith, Marilyn;R. Duncan-Andrade, Jeffrey M.;Ford, Donna Y.;Fries, Kim;Gibson, Melissa</t>
  </si>
  <si>
    <t>LB1715.S798 2011</t>
  </si>
  <si>
    <t>Teachers--Training of--United States. ; English language--Study and teaching--United States--Foreign speakers. ; Linguistic minorities--Education--United States. ; Education, Bilingual--United States.</t>
  </si>
  <si>
    <t>Improving Schools and Inspection : The Self-Inspecting School</t>
  </si>
  <si>
    <t>Ferguson, Neil;Earley, Peter;Fidler, Brian;Ouston, Janet</t>
  </si>
  <si>
    <t>LB2822.84.G7 -- I675 2000eb</t>
  </si>
  <si>
    <t>Building Self-Esteem with Adult Learners</t>
  </si>
  <si>
    <t>Lawrence, Denis</t>
  </si>
  <si>
    <t>LC5225.P78</t>
  </si>
  <si>
    <t>Psychological aspects</t>
  </si>
  <si>
    <t>Managing the Curriculum</t>
  </si>
  <si>
    <t>Middlewood, David;Burton, Neil</t>
  </si>
  <si>
    <t>LB2806.15 -- .M36 2001eb</t>
  </si>
  <si>
    <t>375/.001/0941</t>
  </si>
  <si>
    <t>Performance Management in Education : Improving Practice</t>
  </si>
  <si>
    <t>Reeves, Jenny;Smith, Pauline V.;OBrien, James;Tomlinson, Harry;Forde, Christine</t>
  </si>
  <si>
    <t>LB1731$b.P47 2002</t>
  </si>
  <si>
    <t>Performance standards - Great Britain</t>
  </si>
  <si>
    <t>Special Educational Needs : A Resource for Practitioners</t>
  </si>
  <si>
    <t>The Motivated School</t>
  </si>
  <si>
    <t>LB1065$b.M356 2003</t>
  </si>
  <si>
    <t>370.1/54</t>
  </si>
  <si>
    <t>14-19 Education : Policy, Leadership and Learning</t>
  </si>
  <si>
    <t>Lumby, Jacky;Foskett, Nicholas H.</t>
  </si>
  <si>
    <t>LA635 -- .L86 2005eb</t>
  </si>
  <si>
    <t>High schools - Administration - Government policy - Great Britain</t>
  </si>
  <si>
    <t>Using Drama to Teach Personal, Social and Emotional Skills</t>
  </si>
  <si>
    <t>OHanlon, Jacqui;Wootten, Angie</t>
  </si>
  <si>
    <t>PN3171 -- .O43 2007eb</t>
  </si>
  <si>
    <t>Drama in education. ; Social skills -- Study and teaching.</t>
  </si>
  <si>
    <t>Human Resource Management in Schools and Colleges</t>
  </si>
  <si>
    <t>Middlewood, David;Lumby, Jacky</t>
  </si>
  <si>
    <t>LB2900.5 -- .M53 1998eb</t>
  </si>
  <si>
    <t>School personnel management</t>
  </si>
  <si>
    <t>Effective School Leadership : Responding to Change</t>
  </si>
  <si>
    <t>LB2806 -- .M2133 1998eb</t>
  </si>
  <si>
    <t>Crucial Skills : An Anger Management and Problem Solving Teaching Programme for High School Students</t>
  </si>
  <si>
    <t>Johnson, Penny;Rae, Tina</t>
  </si>
  <si>
    <t>BF724.3.A55 -- J64 1999eb</t>
  </si>
  <si>
    <t>Anger in adolescence. ; Problem solving in children.</t>
  </si>
  <si>
    <t>Learning to Listen to Learn : Using Multi-Sensory Teaching for Effective Listening</t>
  </si>
  <si>
    <t>White, Helen;Evans, Christina</t>
  </si>
  <si>
    <t>BF323.L5 -- W45 2005eb</t>
  </si>
  <si>
    <t>Listening -- Study and teaching. ; Learning, Psychology of.</t>
  </si>
  <si>
    <t>Creative Circle Time Lessons for the Early Years</t>
  </si>
  <si>
    <t>Weatherhead, Yvonne</t>
  </si>
  <si>
    <t>LB1139.35.A37 -- W39 2008eb</t>
  </si>
  <si>
    <t>Early childhood education -- Activity programs. ; Social interaction in children -- Study and teaching (Early childhood) -- Activity programs.</t>
  </si>
  <si>
    <t>Its OK to Be Sad : Activities to Help Children Aged 4-9 to Manage Loss, Grief or Bereavement</t>
  </si>
  <si>
    <t>BF723.G75 -- C65 2005eb</t>
  </si>
  <si>
    <t>Bereavement in children. ; Loss (Psychology) in children. ; Children and death. ; Grief in children.</t>
  </si>
  <si>
    <t>Managing People in Education</t>
  </si>
  <si>
    <t>Bush, Tony;Middlewood, David</t>
  </si>
  <si>
    <t>LB2831.585.G7$bM35 1997</t>
  </si>
  <si>
    <t>Personnel management</t>
  </si>
  <si>
    <t>Recognising Early Literacy Development : Assessing Childrens Achievements</t>
  </si>
  <si>
    <t>Nutbrown, Cathy</t>
  </si>
  <si>
    <t>Early Childhood Education</t>
  </si>
  <si>
    <t>LB1050.46$b.N88 1997</t>
  </si>
  <si>
    <t>Ability testing</t>
  </si>
  <si>
    <t>The Behaviour Management Toolkit : Avoiding Exclusion at School</t>
  </si>
  <si>
    <t>Parry-Mitchell, Chris</t>
  </si>
  <si>
    <t>LB1060.2 -- .P37 2012eb</t>
  </si>
  <si>
    <t>Social isolation - Prevention</t>
  </si>
  <si>
    <t>Working with Parents of Children with Special Educational Needs</t>
  </si>
  <si>
    <t>LC3986.G7 -- D85 2007eb</t>
  </si>
  <si>
    <t>Special education - Parent participation - Great Britain</t>
  </si>
  <si>
    <t>Lets Talk : Using Personal Construct Psychology to Support Children and Young People</t>
  </si>
  <si>
    <t>Burnham, Simon</t>
  </si>
  <si>
    <t>BF698.9.P47 -- B87 2008eb</t>
  </si>
  <si>
    <t>Personal construct theory. ; Adolescent psychology.</t>
  </si>
  <si>
    <t>Supporting Numeracy : A Guide for School Support Staff</t>
  </si>
  <si>
    <t>Compton, Ashley;Fielding, Helen;Scott, Mike</t>
  </si>
  <si>
    <t>QA135.6 -- .C65 2007eb</t>
  </si>
  <si>
    <t>Interculturalism, Education and Inclusion</t>
  </si>
  <si>
    <t>Gundara, Jagdish S.</t>
  </si>
  <si>
    <t>LC1099 -- .G86 2000eb</t>
  </si>
  <si>
    <t>370.1/17</t>
  </si>
  <si>
    <t>Managing External Relations in Schools and Colleges : International Dimensions</t>
  </si>
  <si>
    <t>LB2847 -- .M365 1999eb</t>
  </si>
  <si>
    <t>371.1/9</t>
  </si>
  <si>
    <t>Universities and colleges</t>
  </si>
  <si>
    <t>Practitioner Research in Education : Making a Difference</t>
  </si>
  <si>
    <t>Middlewood, David;Coleman, Marianne;Lumby, Jacky</t>
  </si>
  <si>
    <t>LB1028.24 -- .M53 1999eb</t>
  </si>
  <si>
    <t>Exciting Writing : Activities for 5 to 11 Year Olds</t>
  </si>
  <si>
    <t>Harrett, Jacqueline</t>
  </si>
  <si>
    <t>LB1576 -- .H253 2006eb</t>
  </si>
  <si>
    <t>English language -- Composition and exercises -- Study and teaching (Elementary) -- Great Britain. ; English language -- Composition and exercises -- Study and teaching (Elementary) -- Activity programs -- Great Britain.</t>
  </si>
  <si>
    <t>Lets Mediate : A Teachers Guide to Peer Support and Conflict Resolution Skills for All Ages</t>
  </si>
  <si>
    <t>Stacey, Hilary;Robinson, Pat</t>
  </si>
  <si>
    <t>BF637.I48 -- S73 1997eb</t>
  </si>
  <si>
    <t>Peer counseling of students. ; Conflict management.</t>
  </si>
  <si>
    <t>Circle Time : A Resource Book for Primary and Secondary Schools</t>
  </si>
  <si>
    <t>Bliss, Teresa;Tetley, Jo</t>
  </si>
  <si>
    <t>LB1032 -- .B6 2006eb</t>
  </si>
  <si>
    <t>Group work in education. ; Social interaction in children. ; Self-esteem in children. ; Early childhood education -- Activity programs -- Great Britain. ; Education, Elementary -- Activity programs -- Great Britain. ; Education, Secondary -- Activity programs -- Great Britain.</t>
  </si>
  <si>
    <t>The Primary Drama Handbook</t>
  </si>
  <si>
    <t>PN1701 -- .B35 2008eb</t>
  </si>
  <si>
    <t>Drama - Study and teaching (Elementary)</t>
  </si>
  <si>
    <t>Young Buddies : Teaching Peer Support Skills to Children Aged 6 To 11</t>
  </si>
  <si>
    <t>BF723.H45 -- C65 2005eb</t>
  </si>
  <si>
    <t>Helping behavior in children. ; Child psychology.</t>
  </si>
  <si>
    <t>Teaching with Confidence : A Guide to Enhancing Teacher Self-Esteem</t>
  </si>
  <si>
    <t>LB2840 -- .L397 1999eb</t>
  </si>
  <si>
    <t>Self-esteem</t>
  </si>
  <si>
    <t>Living Headship : Voices, Values and Vision</t>
  </si>
  <si>
    <t>Tomlinson, Harry;Gunter, Helen;Smith, Pauline V.</t>
  </si>
  <si>
    <t>LB2831.926.G7 -- L58 1999eb</t>
  </si>
  <si>
    <t>Raising Self-Esteem in Primary Schools : A Whole School Training Programme</t>
  </si>
  <si>
    <t>BF723.S3 -- C65 2009eb</t>
  </si>
  <si>
    <t>Self-esteem in children. ; Self-perception in children. ; Social interaction in children.</t>
  </si>
  <si>
    <t>Using Circle Time to Learn about Stories</t>
  </si>
  <si>
    <t>Deed, Craig;Bellhouse, Bob;Johnston, Glenda</t>
  </si>
  <si>
    <t>LB1027.25 -- .D44 2007eb</t>
  </si>
  <si>
    <t>English literature -- Study and teaching (Elementary) -- Activity programs -- Great Britain. ; Creative activities and seat work.</t>
  </si>
  <si>
    <t>School Effectiveness : Supporting Student Success Through Emotional Literacy</t>
  </si>
  <si>
    <t>Tew, Marilyn</t>
  </si>
  <si>
    <t>BF576 -- .T38 2007eb</t>
  </si>
  <si>
    <t>Emotional intelligence -- Study and teaching. ; Social skills -- Study and teaching. ; Success in adolescence. ; Moral education.</t>
  </si>
  <si>
    <t>Young Children Learning</t>
  </si>
  <si>
    <t>David, Tricia</t>
  </si>
  <si>
    <t>LB1139.23 -- .Y68 1999eb</t>
  </si>
  <si>
    <t>Enhancing Circle Time for the Very Young : Activities for 3 to 7 Year Olds to Do Before, During and after Circle Time</t>
  </si>
  <si>
    <t>Collins, Margaret;Jones, Marilyn</t>
  </si>
  <si>
    <t>LB1139.A37 -- C654 2003eb</t>
  </si>
  <si>
    <t>Social skills -- Study and teaching (Early childhood) ; Early childhood education -- Activity programs. ; Early childhood education -- Great Britain.</t>
  </si>
  <si>
    <t>Developing Circle Time : Taking Circle Time Much Further</t>
  </si>
  <si>
    <t>Bliss, Teresa;Robinson, George;Maines, Barbara</t>
  </si>
  <si>
    <t>LB3013 -- .B55 1995eb</t>
  </si>
  <si>
    <t>Group relations training. ; Circle time -- Self-esteem -- Educational psychology. ; School psychology. ; Self-esteem in children. ; Social interaction in children.</t>
  </si>
  <si>
    <t>Remembering : Providing Support for Children Aged 7 to 13 Who Have Experienced Loss and Bereavement</t>
  </si>
  <si>
    <t>Nelson, Lorna Patricia;Rae, Tina;Smith, Simon</t>
  </si>
  <si>
    <t>BF723.G75 -- N457 2004eb</t>
  </si>
  <si>
    <t>Grief in children. ; Grief in adolescence. ; Bereavement in children. ; Bereavement in adolescence. ; Loss (Psychology) in children. ; Loss (Psychology) in adolescence. ; Children and death.</t>
  </si>
  <si>
    <t>Occupational Therapy Handbook : Practice Education</t>
  </si>
  <si>
    <t>Treseder, Rachel;Polglase, Tracey</t>
  </si>
  <si>
    <t>RM735 -- .P654 2012eb</t>
  </si>
  <si>
    <t>615;615.8515;615/.8515</t>
  </si>
  <si>
    <t>Material culture. ; Human behavior. ; Social archaeology.</t>
  </si>
  <si>
    <t>Understanding How Young Children Learn : Bringing the Science of Child Development to the Classroom</t>
  </si>
  <si>
    <t>Ostroff, Wendy L. Ostroff L.</t>
  </si>
  <si>
    <t>Assignments Matter : Making the Connections That Help Students Meet Standards</t>
  </si>
  <si>
    <t>Dougherty, Eleanor</t>
  </si>
  <si>
    <t>LB1025.3 .D68 2012</t>
  </si>
  <si>
    <t>Education-Aims and objectives. ; Effective teaching. ; Learning.</t>
  </si>
  <si>
    <t>Teacher's Guide to Effective Sentence Writing</t>
  </si>
  <si>
    <t>Saddler, Bruce</t>
  </si>
  <si>
    <t>LB1576 -- .S228 2012eb</t>
  </si>
  <si>
    <t>English language -- Sentences -- Study and teaching. ; English language -- Composition and exercises -- Study and teaching. ; Learning disabled children -- Education.</t>
  </si>
  <si>
    <t>Teaching Strategic Processes in Reading</t>
  </si>
  <si>
    <t>Almasi, Janice F.;Fullerton, Susan King</t>
  </si>
  <si>
    <t>LB1050.42 -- .A44 2012eb</t>
  </si>
  <si>
    <t>Word recognition</t>
  </si>
  <si>
    <t>Learning in the Workplace : A Toolkit for Facilitating Learning and Assessment in Health and Social Care Settings</t>
  </si>
  <si>
    <t>Mulholland, Joan;Turnock, Chris</t>
  </si>
  <si>
    <t>HD5715 .M85 2012</t>
  </si>
  <si>
    <t>Children's Learning in Primary Schools : A Guide for Teaching Assistants</t>
  </si>
  <si>
    <t>Cowdray, Mike</t>
  </si>
  <si>
    <t>LB2844.1.A8 C64 2012</t>
  </si>
  <si>
    <t>371.14/1240941</t>
  </si>
  <si>
    <t>Developing Play and Drama in Children with Autistic Spectrum Disorders</t>
  </si>
  <si>
    <t>Sherratt, Dave;Peter, Melanie</t>
  </si>
  <si>
    <t>RC553.A88 U84 2012</t>
  </si>
  <si>
    <t>Equity and Inclusion in Physical Education and Sport</t>
  </si>
  <si>
    <t>Stidder, Gary;Hayes, Sid</t>
  </si>
  <si>
    <t>GV363</t>
  </si>
  <si>
    <t>Physical education and training -- Study and teaching -- Great Britain. ; Physical education and training -- Curricula -- Great Britain. ; Inclusive education -- Great Britain.</t>
  </si>
  <si>
    <t>Higher Education for Sustainability : Cases, Challenges, and Opportunities from Across the Curriculum</t>
  </si>
  <si>
    <t>Johnston, Lucas F.</t>
  </si>
  <si>
    <t>LB2324 .H543 2012</t>
  </si>
  <si>
    <t>338.9/270711</t>
  </si>
  <si>
    <t>Sustainability - Study and teaching (Higher)</t>
  </si>
  <si>
    <t>Assessment in Physical Education : A Sociocultural Perspective</t>
  </si>
  <si>
    <t>Hay, Peter;Penney, Dawn</t>
  </si>
  <si>
    <t>GV362 .H35 2012</t>
  </si>
  <si>
    <t>Physical education and training -- Evaluation. ; Physical education and training -- Social aspects. ; Physical education and training -- Study and teaching. ; Physical education and training -- Curricula.</t>
  </si>
  <si>
    <t>What If It Happens in My Classroom? : Developing Skills for Expert Behaviour Management</t>
  </si>
  <si>
    <t>Sida-Nicholls, Kate</t>
  </si>
  <si>
    <t>LB3013 .S57 2012</t>
  </si>
  <si>
    <t>Living Languages: an Integrated Approach to Teaching Foreign Languages in Primary Schools</t>
  </si>
  <si>
    <t>Watts, Catherine;Forder, Clare;Phillips, Hilary</t>
  </si>
  <si>
    <t>P53.67 .L57 2012</t>
  </si>
  <si>
    <t>372.65/044</t>
  </si>
  <si>
    <t>Language and languages -- Study and teaching (Primary) -- Audio-visual aids</t>
  </si>
  <si>
    <t>Islam and Higher Education : Concepts, Challenges and Opportunities</t>
  </si>
  <si>
    <t>Muborakshoeva, Marodsilton</t>
  </si>
  <si>
    <t>Routledge Contemporary South Asia Series</t>
  </si>
  <si>
    <t>LA1498 .M84 2012</t>
  </si>
  <si>
    <t>Education, Higher -- Islamic countries. ; Education, Higher -- Pakistan. ; Islamic education -- Pakistan. ; Islamic education. ; Islamic universities and colleges -- Pakistan. ; Islamic universities and colleges.</t>
  </si>
  <si>
    <t>Teacher Education and the Challenge of Development : A Global Analysis</t>
  </si>
  <si>
    <t>Moon, Bob;Moon, Bobby</t>
  </si>
  <si>
    <t>LB1727.D44 T37 2012</t>
  </si>
  <si>
    <t>370.71/1091724</t>
  </si>
  <si>
    <t>Economic development -- Effect of education on -- Developing countries. ; Teachers -- Training of -- Developing countries. ; Teaching -- Developing countries.</t>
  </si>
  <si>
    <t>Teaching and Learning Literacy : Reading and Writing Texts for a Purpose</t>
  </si>
  <si>
    <t>Wray, David</t>
  </si>
  <si>
    <t>LB1576 -- .W73 2004eb</t>
  </si>
  <si>
    <t>Literacy Through Creativity</t>
  </si>
  <si>
    <t>Goodwin, Prue</t>
  </si>
  <si>
    <t>Creative ability in children</t>
  </si>
  <si>
    <t>Dyslexia and Drama</t>
  </si>
  <si>
    <t>Eadon, Helen</t>
  </si>
  <si>
    <t>LC4708</t>
  </si>
  <si>
    <t>371.9/144466</t>
  </si>
  <si>
    <t>Special education - Drama</t>
  </si>
  <si>
    <t>Pediatric School Psychology : Conceptualization, Applications, and Strategies for Leadership Development</t>
  </si>
  <si>
    <t>Power, Thomas J.;Bradley-Klug, Kathy L.</t>
  </si>
  <si>
    <t>LB1027.55 .P69 2013</t>
  </si>
  <si>
    <t>Learning Disability : A Social Approach</t>
  </si>
  <si>
    <t>Race, David</t>
  </si>
  <si>
    <t>LC4706.G7 L437</t>
  </si>
  <si>
    <t>Learning disabled</t>
  </si>
  <si>
    <t>Helping Bilingual Pupils to Access the Curriculum</t>
  </si>
  <si>
    <t>Smyth, Geri</t>
  </si>
  <si>
    <t>LC3736.G7 S69</t>
  </si>
  <si>
    <t>370.1/175/0941</t>
  </si>
  <si>
    <t>Does Quality Pay? : Benefits of Attending a High-Cost, Prestigious College</t>
  </si>
  <si>
    <t>Zhang, Liang</t>
  </si>
  <si>
    <t>LB2331.63 .Z483 2012</t>
  </si>
  <si>
    <t>Universities and colleges -- United States -- Evaluation. ; Wages -- College graduates -- United States. ; Wages -- Effect of education on -- United States.</t>
  </si>
  <si>
    <t>Beyond Reflective Practice : New Approaches to Professional Lifelong Learning</t>
  </si>
  <si>
    <t>Bradbury, Helen;Frost, Nick;Kilminster, Sue;Zukas, Miriam</t>
  </si>
  <si>
    <t>LC5215 -- .B5 2010eb</t>
  </si>
  <si>
    <t>Professional employees - Education (Continuing education)</t>
  </si>
  <si>
    <t>Serving the Gifted : Evidence-Based Clinical and Psychoeducational Practice</t>
  </si>
  <si>
    <t>Pfeiffer, Steven I.</t>
  </si>
  <si>
    <t>LC3993 .P44 2013</t>
  </si>
  <si>
    <t>Bilingual Community Education and Multilingualism : Beyond Heritage Languages in a Global City</t>
  </si>
  <si>
    <t>García, Ofelia;Zakharia, Zeena;Otcu, Bahar</t>
  </si>
  <si>
    <t>LC3733.N5 -- B53 2012eb</t>
  </si>
  <si>
    <t>Multilingualism - New York (State) - New York</t>
  </si>
  <si>
    <t>Constructing the Self in a Digital World</t>
  </si>
  <si>
    <t>Ching, Cynthia Carter;Foley, Brian J.</t>
  </si>
  <si>
    <t>LB1028.5 .C624 2012</t>
  </si>
  <si>
    <t>Computer-assisted instruction -- Social aspects. ; Digital media -- Social aspects. ; Educational technology -- Social aspects. ; Identity (Psychology) ; Internet and teenagers. ; Learning. ; Online identities.</t>
  </si>
  <si>
    <t>Exam Schools : Inside America's Most Selective Public High Schools</t>
  </si>
  <si>
    <t>Finn, Chester E., Jr.;Hockett, Jessica A.;Finn, Chester E.</t>
  </si>
  <si>
    <t>373.22/40973</t>
  </si>
  <si>
    <t>A 21st-Century Approach to School Librarian Evaluation</t>
  </si>
  <si>
    <t>Owen, Patricia</t>
  </si>
  <si>
    <t>School librarians -- Rating of. ; School employees -- Rating of.</t>
  </si>
  <si>
    <t>Campus Traditions : Folklore from the Old-Time College to the Modern Mega-University</t>
  </si>
  <si>
    <t>Bronner, Simon J.;Bronner, Simon J</t>
  </si>
  <si>
    <t>LA229 -- .B655 2012eb</t>
  </si>
  <si>
    <t>378.1/980973</t>
  </si>
  <si>
    <t>College students -- United States. ; College students -- United States -- Social life and customs. ; College environment -- United States. ; Folklore -- United States.</t>
  </si>
  <si>
    <t>The Haitian Creole Language : History, Structure, Use, and Education</t>
  </si>
  <si>
    <t>Spears, Arthur K.;Berotte Joseph, Carole M.;Prou, Marc;Barrows, Elizabeth;Dejean, Yves;Faraclas, Nicholas;Fort, Hugues St.;Fouron, Georges;Locher, Uli;Madhere, Serge</t>
  </si>
  <si>
    <t>Caribbean Studies</t>
  </si>
  <si>
    <t>Creole dialects, French -- Haiti</t>
  </si>
  <si>
    <t>Handbook of Prosocial Education</t>
  </si>
  <si>
    <t>Brown, Philip M.;Corrigan, Michael W.;Higgins-D'Alessandro, Ann</t>
  </si>
  <si>
    <t>LB1072.H36 2012</t>
  </si>
  <si>
    <t>Affective education--Handbooks, manuals, etc. ; Moral education--Handbooks, manuals, etc. ; Social learning--Handbooks, manuals, etc. ; School improvement programs--Handbooks, manuals, etc. ; EDUCATION / Reference bisacsh. ; EDUCATION / Educational Policy &amp; Reform / General bisacsh. ; EDUCATION / Educational Psychology bisacsh. ; REFERENCE / Handbooks &amp; Manuals bisacsh.</t>
  </si>
  <si>
    <t>Assessment for Intervention : A Problem-Solving Approach</t>
  </si>
  <si>
    <t>Brown-Chidsey, Rachel;Hokkanen, Kristina J.;Harrison, Patti L.;Brown-Chidsey, Rachel</t>
  </si>
  <si>
    <t>LB1027.55 -- .A77 2012eb</t>
  </si>
  <si>
    <t>School psychology -- United States.</t>
  </si>
  <si>
    <t>Teaching with the Common Core Standards for English Language Arts, PreK-2</t>
  </si>
  <si>
    <t>Morrow, Lesley Mandel;Shanahan, Timothy;Wixson, Karen K.;Neuman, Susan B.;Del Nero, Jennifer Renner</t>
  </si>
  <si>
    <t>LB1576 -- .T428 2012eb</t>
  </si>
  <si>
    <t>Language arts (Elementary) -- Standards -- United States -- States</t>
  </si>
  <si>
    <t>Applied and Workforce Baccalaureates : New Directions for Community Colleges, Number 158</t>
  </si>
  <si>
    <t>Deborah L. Floyd;Felsher, Rivka A.;Garcia Falconetti, Angela M.;Garcia Falconetti, Angela M.</t>
  </si>
  <si>
    <t>J-B CC Single Issue Community Colleges Series</t>
  </si>
  <si>
    <t>LB2328 -- .A675 2012eb</t>
  </si>
  <si>
    <t>Community colleges -- Degrees. ; Community colleges -- Curricula. ; Bachelor of arts degree. ; Education, Higher -- Aims and objectives. ; Vocational education.</t>
  </si>
  <si>
    <t>Transforming Troubled Lives : Strategies and Interventions for Children with Social, Emotional and Behavioural Difficulties</t>
  </si>
  <si>
    <t>Visser, John;Daniels, Harry;Cole, Ted;Forlin, Chris</t>
  </si>
  <si>
    <t>International Perspectives on Inclusive Education Series</t>
  </si>
  <si>
    <t>LC4801.5</t>
  </si>
  <si>
    <t>Learning disabilities. ; Behavior disorders in children. ; Children with disabilities -- Education.</t>
  </si>
  <si>
    <t>Religious Education in Pre-Modern Europe</t>
  </si>
  <si>
    <t>Tanaseanu-Döbler, Ilinca;Döbler, Marvin</t>
  </si>
  <si>
    <t>Numen Book Series</t>
  </si>
  <si>
    <t>LC313.8.R45 2012</t>
  </si>
  <si>
    <t>370.11/4094</t>
  </si>
  <si>
    <t>Religious education--Europe. ; Education--Europe. ; Europe--Religious life and customs.</t>
  </si>
  <si>
    <t>Compromising Scholarship : Religious and Political Bias in American Higher Education</t>
  </si>
  <si>
    <t>Yancey, George</t>
  </si>
  <si>
    <t>LC111.Y36 2010</t>
  </si>
  <si>
    <t>Sandtray Play and Storymaking : A Hands-On Approach to Build Academic, Social, and Emotional Skills in Mainstream and Special Education</t>
  </si>
  <si>
    <t>Smith, Sheila Dorothy</t>
  </si>
  <si>
    <t>Making Math Learning Fun for Inner City School Students</t>
  </si>
  <si>
    <t>Duhon-Jeanlouis, Glendolyn;McCallum, Alice Duhon-Ross;Esmail, Ashraf</t>
  </si>
  <si>
    <t>Issues in Black Education Series</t>
  </si>
  <si>
    <t>A Guide to Better Teaching : Skills, Advice, and Evaluation for College and University Professors</t>
  </si>
  <si>
    <t>Jahangiri, Leila;Mucciolo, Tom</t>
  </si>
  <si>
    <t>LB2331.J34 2011</t>
  </si>
  <si>
    <t>378.1/250973</t>
  </si>
  <si>
    <t>College teaching--United States. ; College teachers--United States.</t>
  </si>
  <si>
    <t>Research on Schools, Neighborhoods and Communities : Toward Civic Responsibility</t>
  </si>
  <si>
    <t>Tate, William F.;Allen, Walter R.;Arzubiaga, Angela E.;Ceja, Miguel;Chmielewski, Anna K.;Cousins, Linwood H.;Dupree, Davido;Duran, Jacquelyn;Elizondo, Evellyn;Ellen, Ingrid Gould</t>
  </si>
  <si>
    <t>LC221.R47 2012</t>
  </si>
  <si>
    <t>Community and school--United States. ; Educational sociology--United States. ; Educational equalization--United States. ; EDUCATION / Research. ; EDUCATION / Evaluation. ; EDUCATION / Higher. ; EDUCATION / Multicultural Education. ; POLITICAL SCIENCE / General. ; PSYCHOLOGY / Education &amp; Training. ; SOCIAL SCIENCE / Sociology / Urban.</t>
  </si>
  <si>
    <t>Physical Culture and Sport in Soviet Society : Propaganda, Acculturation, and Transformation in the 1920s And 1930s</t>
  </si>
  <si>
    <t>Grant, Susan</t>
  </si>
  <si>
    <t>Routledge Research in Sports History Series</t>
  </si>
  <si>
    <t>GV706.35 .G7 2012</t>
  </si>
  <si>
    <t>Sports - Social aspects - Soviet Union - History</t>
  </si>
  <si>
    <t>Sport &amp;amp; Recreation; Social Science</t>
  </si>
  <si>
    <t>The Future University : Ideas and Possibilities</t>
  </si>
  <si>
    <t>LB2322.2 .F88 2012</t>
  </si>
  <si>
    <t>Education, Higher -- Aims and objectives -- Cross-cultural studies. ; Universities and colleges -- Cross-cultural studies. ; Education and globalization -- Cross-cultural studies.</t>
  </si>
  <si>
    <t>Developing Narrative Theory : Life Histories and Personal Representation</t>
  </si>
  <si>
    <t>LB1029.B55 G65 2012</t>
  </si>
  <si>
    <t>Girls' Literacy Experiences in and Out of School : Learning and Composing Gendered Identities</t>
  </si>
  <si>
    <t>O'Quinn, Elaine</t>
  </si>
  <si>
    <t>LC1755 .G57 2012</t>
  </si>
  <si>
    <t>Teenage girls -- Education -- United States</t>
  </si>
  <si>
    <t>Radical Possibilities : Public Policy, Urban Education, and a New Social Movement</t>
  </si>
  <si>
    <t>Anyon, Jean</t>
  </si>
  <si>
    <t>LC5131 .A56 2012</t>
  </si>
  <si>
    <t>Education, Urban - Social aspects - United States</t>
  </si>
  <si>
    <t>Making Language Matter : Teaching Resources for Meeting the English Language Arts Common Core State Standards in Grades 9-12</t>
  </si>
  <si>
    <t>Vause, Deborah J.;Amberg, Julie S.</t>
  </si>
  <si>
    <t>LB1631 .V38 2012</t>
  </si>
  <si>
    <t>Language arts (Secondary) - Standards - United States</t>
  </si>
  <si>
    <t>Educational Technologies for Teaching Argumentation Skills</t>
  </si>
  <si>
    <t>Niels Pinkwart;Bruce M. McLaren</t>
  </si>
  <si>
    <t>LB1028.3 -- .E38 2012eb</t>
  </si>
  <si>
    <t>Educational technology. ; Teaching -- Aids and devices.</t>
  </si>
  <si>
    <t>Usable Social Science</t>
  </si>
  <si>
    <t>Smelser, Neil J.;Reed, John S.</t>
  </si>
  <si>
    <t>H62 -- .S545 2012eb</t>
  </si>
  <si>
    <t>Trapped in Mediocrity : Why Our Schools Aren't World-Class and What We Can Do about It</t>
  </si>
  <si>
    <t>Baird, Katherine</t>
  </si>
  <si>
    <t>LA217.2.B33 2012</t>
  </si>
  <si>
    <t>Public schools--United States. ; Education--Standards--United States. ; Educational change--United States.</t>
  </si>
  <si>
    <t>Getting It Right : The Essential Elements of a Dissertation</t>
  </si>
  <si>
    <t>Calabrese, Raymond L.</t>
  </si>
  <si>
    <t>LB2369.C275 2012</t>
  </si>
  <si>
    <t>808.06/6378</t>
  </si>
  <si>
    <t>Dissertations, Academic. ; Report writing. ; Research.</t>
  </si>
  <si>
    <t>Early Education in a Global Context</t>
  </si>
  <si>
    <t>Sutterby, John A.</t>
  </si>
  <si>
    <t>Early childhood education -- Cross-cultural studies</t>
  </si>
  <si>
    <t>Management and Leadership of Educational Marketing : Research, Practice and Applications</t>
  </si>
  <si>
    <t>Oplatka, Izhar;Hemsley-Brown, Jane;Normore, Anthony H.</t>
  </si>
  <si>
    <t>LB2847</t>
  </si>
  <si>
    <t>Education--Marketing. ; Schools--Marketing. ; School management and organization.</t>
  </si>
  <si>
    <t>Qualitative Research on Sport and Physical Culture</t>
  </si>
  <si>
    <t>Young, Kevin A.;Atkinson, Michael</t>
  </si>
  <si>
    <t>Research in the Sociology of Sport Series</t>
  </si>
  <si>
    <t>GV361</t>
  </si>
  <si>
    <t>Sports</t>
  </si>
  <si>
    <t>Classroom Behavior, Contexts, and Interventions</t>
  </si>
  <si>
    <t>Cook, Bryan G.;Tankersley, Melody;Landrum, Timothy J.;Scruggs, Thomas E.;Mastropieri, Margo A.</t>
  </si>
  <si>
    <t>Behavior disorders in children. ; Classroom management.</t>
  </si>
  <si>
    <t>Enhancing Quality in Transnational Higher Education : Experiences of Teaching and Learning in Australian Offshore Programs</t>
  </si>
  <si>
    <t>Chapman, Anne;Pyvis, David</t>
  </si>
  <si>
    <t>LC1095.C43 2012</t>
  </si>
  <si>
    <t>378.1/040994</t>
  </si>
  <si>
    <t>Transnational education--Australia. ; EDUCATION / Higher. ; EDUCATION / Multicultural Education.</t>
  </si>
  <si>
    <t>Academic Motherhood : How Faculty Manage Work and Family</t>
  </si>
  <si>
    <t>Ward, Kelly;Wolf-Wendel, Lisa</t>
  </si>
  <si>
    <t>Learning and Teaching in the Chinese Classroom : Responding to Individual Needs</t>
  </si>
  <si>
    <t>Phillipson, Shane N.;Lam, Bick-har</t>
  </si>
  <si>
    <t>LB1573.33 -- .P45 2011eb</t>
  </si>
  <si>
    <t>Language experience approach in education -- China. ; Education -- China.</t>
  </si>
  <si>
    <t>Career Match : Connecting Who You Are with What You'll Love to Do</t>
  </si>
  <si>
    <t>Zichy, Shoya;Bidou, Ann</t>
  </si>
  <si>
    <t>HF5381.Z467 2007</t>
  </si>
  <si>
    <t>Vocational guidance. ; Personality and occupation.</t>
  </si>
  <si>
    <t>Connecting Teaching and Learning : History, Evolution, and Case Studies of Teacher Work Sample Methodology</t>
  </si>
  <si>
    <t>Rosselli, Hilda;Girod, Mark;Brodsky, Meredith;Beghetto, Ronald A.;Buchanan, Karen S.;Buckner, Barbara Chesler;Calhoun, Diane S.;Dahlem, Kyle;Denner, Peter;Elliott, Emerson J.</t>
  </si>
  <si>
    <t>LB2157.U5C57 2010</t>
  </si>
  <si>
    <t>Student teachers--Training of--United States. ; Student teachers--Rating of--United States.</t>
  </si>
  <si>
    <t>Qualitative Research in Education : Interaction and Practice</t>
  </si>
  <si>
    <t>Freebody, Peter R.</t>
  </si>
  <si>
    <t>Introducing Qualitative Methods Series</t>
  </si>
  <si>
    <t>Autism and Understanding : The Waldon Approach to Child Development</t>
  </si>
  <si>
    <t>Solomon, Walter;Holland, Chris;Middleton, Mary Jo</t>
  </si>
  <si>
    <t>LC4717 -- .S65 2012eb</t>
  </si>
  <si>
    <t>Waldon, Geoffrey</t>
  </si>
  <si>
    <t>Positive Psychology for Teachers</t>
  </si>
  <si>
    <t>Swinson, Jeremy;Harrop, Alex</t>
  </si>
  <si>
    <t>LB1051 .S94 2012</t>
  </si>
  <si>
    <t>Educational psychology. ; Classroom management. ; Behavior modification.</t>
  </si>
  <si>
    <t>The Routledge International Companion to Emotional and Behavioural Difficulties</t>
  </si>
  <si>
    <t>Cole, Ted;Daniels, Harry;Visser, John</t>
  </si>
  <si>
    <t>LC4801 .R68 2012</t>
  </si>
  <si>
    <t>Problem children -- Education -- Cross-cultural studies. ; Problem children -- Behavior modification -- Cross-cultural studies. ; Behavior disorders in children -- Cross-cultural studies. ; Behavior modification -- Cross-cultural studies. ; Classroom management -- Cross-cultural studies.</t>
  </si>
  <si>
    <t>Neoliberalism, Pedagogy and Human Development : Exploring Time, Mediation and Collectivity in Contemporary Schools</t>
  </si>
  <si>
    <t>Kontopodis, Michalis</t>
  </si>
  <si>
    <t>LC191 .K64 2012</t>
  </si>
  <si>
    <t>Curriculum Development in the Postmodern Era : Teaching and Learning in an Age of Accountability</t>
  </si>
  <si>
    <t>Slattery, Patrick</t>
  </si>
  <si>
    <t>LB2806.15 .S63 2013</t>
  </si>
  <si>
    <t>Curriculum planning. ; Curriculum change. ; Education -- Curricula -- Philosophy. ; Postmodernism.</t>
  </si>
  <si>
    <t>Resourcing Early Learners : New Networks, New Actors</t>
  </si>
  <si>
    <t>Nichols, Sue;Rowsell, Jennifer;Nixon, Helen;Rainbird, Sophia</t>
  </si>
  <si>
    <t>LB1139.23 .N53 2012</t>
  </si>
  <si>
    <t>Early childhood education - Information resources</t>
  </si>
  <si>
    <t>Cross-Cultural Teaching and Learning for Home and International Students : Internationalisation of Pedagogy and Curriculum in Higher Education</t>
  </si>
  <si>
    <t>LB2375 .R93 2012</t>
  </si>
  <si>
    <t>Students, Foreign -- Case studies. ; Multicultural education -- Case studies. ; College teaching -- Case studies.</t>
  </si>
  <si>
    <t>The Essential Guide to Secondary Mathematics : Successful and Enjoyable Teaching and Learning</t>
  </si>
  <si>
    <t>QA11.2 .F674 2012</t>
  </si>
  <si>
    <t>Mathematics -- Study and teaching (Secondary) ; Effective teaching.</t>
  </si>
  <si>
    <t>Dyslexia : A Practical Guide for Teachers and Parents</t>
  </si>
  <si>
    <t>Riddick, Barbara;Wolfe, Judith;Lumsdon, David</t>
  </si>
  <si>
    <t>LC4710.G7 R53</t>
  </si>
  <si>
    <t>Popular works</t>
  </si>
  <si>
    <t>Student Activism in Asia : Between Protest and Powerlessness</t>
  </si>
  <si>
    <t>Weiss, Meredith L.;Aspinall, Edward;Abinales, Patricio N.;Ortmann, Stephan</t>
  </si>
  <si>
    <t>LA1058.7 -- .S88 2012eb</t>
  </si>
  <si>
    <t>Internet programming -- Congresses. ; Computer networks -- Congresses.</t>
  </si>
  <si>
    <t>A Measure of Success : The Influence of Curriculum-Based Measurement on Education</t>
  </si>
  <si>
    <t>Espin, Christine A.;McMaster, Kristen L.;Rose, Susan;Miura Wayman, Miya</t>
  </si>
  <si>
    <t>LB3060.32.C74 M43 2012</t>
  </si>
  <si>
    <t>Deno, Stanley L. ; Curriculum-based assessment.</t>
  </si>
  <si>
    <t>Dyslexia and Physical Education</t>
  </si>
  <si>
    <t>Portwood, Madeleine</t>
  </si>
  <si>
    <t>LC4710.G7 P67</t>
  </si>
  <si>
    <t>Special education - PHysical education and training</t>
  </si>
  <si>
    <t>Strategy and Training : Making Skills a Competitive Advantage</t>
  </si>
  <si>
    <t>Korda, Philippe</t>
  </si>
  <si>
    <t>LB1027.47 -- .K677 2012</t>
  </si>
  <si>
    <t>Training. ; Strategic planning. ; Employees -- Training of. ; strategy ; strategic programs ; training ; training models</t>
  </si>
  <si>
    <t>HBO-Rechten, het onderzoek(en) waard!</t>
  </si>
  <si>
    <t>van Otterlo, Rob</t>
  </si>
  <si>
    <t>HvA Openbare Les</t>
  </si>
  <si>
    <t>K100 -- .O88 2012eb</t>
  </si>
  <si>
    <t>Cognitive psychology -- Congresses. ; Engineering design -- Psychological aspects -- Congresses. ; Human engineering -- Congresses. ; User interfaces (Computer systems) -- Design and construction -- Congresses. ; Work design -- Psychological aspects -- Congresses.</t>
  </si>
  <si>
    <t>Law; Education</t>
  </si>
  <si>
    <t>Women from Traditional Islamic Educational Institutions in Indonesia : Negotiating Public Spaces</t>
  </si>
  <si>
    <t>Srimulyani, Eka</t>
  </si>
  <si>
    <t>IIAS Publications</t>
  </si>
  <si>
    <t>HQ1170</t>
  </si>
  <si>
    <t>Muslim women--Indonesia--Jawa Timur. ; Islamic education--Indonesia--Jawa Timur. ; Women in Islam--Indonesia--Jawa Timur.</t>
  </si>
  <si>
    <t>Healthy Schools, Healthy Lives : A Teacher's Guide to Tackling Childhood Obesity</t>
  </si>
  <si>
    <t>Loughrey, Anita</t>
  </si>
  <si>
    <t>RJ399.C69 -- L684 2012eb</t>
  </si>
  <si>
    <t>Obesity in children. ; Schools -- Health promotion services. ; Children -- Nutrition.</t>
  </si>
  <si>
    <t>Heuristic Play : A Practical Guide for the Early Years</t>
  </si>
  <si>
    <t>Riddall-Leech, Sheila</t>
  </si>
  <si>
    <t>BF717 -- .R53 2009eb</t>
  </si>
  <si>
    <t>Play -- Psychological aspects. ; Play -- Social aspects. ; Early childhood education. ; Child development.</t>
  </si>
  <si>
    <t>101 Stunts for Principals to Inspire Student Achievement</t>
  </si>
  <si>
    <t>Sennett, Frank</t>
  </si>
  <si>
    <t>LB1071.S46</t>
  </si>
  <si>
    <t>Education in a Post-Metaphysical World : Rethinking Educational Policy and Practice Through Jürgen Habermas' Discourse Morality</t>
  </si>
  <si>
    <t>Martin, Christopher</t>
  </si>
  <si>
    <t>Habermas, Jürgen. ; Education -- Moral and ethical aspects. ; Education -- Aims and objectives.</t>
  </si>
  <si>
    <t>England's Citizenship Education Experiment : State, School and Student Perspectives</t>
  </si>
  <si>
    <t>Jerome, Lee</t>
  </si>
  <si>
    <t>LC1091</t>
  </si>
  <si>
    <t>Citizenship -- Study and teaching -- Great Britain. ; Democracy and education -- Great Britain.</t>
  </si>
  <si>
    <t>RTI Assessment Essentials for Struggling Learners</t>
  </si>
  <si>
    <t>Hoover, John J.</t>
  </si>
  <si>
    <t>LB1029.R4.H668 2009</t>
  </si>
  <si>
    <t>Literacy Lessons, K-8 : Connecting Activities to Standards and Students to Communities</t>
  </si>
  <si>
    <t>Hoffner, Helen I.</t>
  </si>
  <si>
    <t>LB1631.H555 2010</t>
  </si>
  <si>
    <t>The General Educator&amp;prime;s Guide to Special Education</t>
  </si>
  <si>
    <t>Maanum, Jody L.</t>
  </si>
  <si>
    <t>LC4019.M215 2009eb</t>
  </si>
  <si>
    <t>What Successful Science Teachers Do : 75 Research-Based Strategies</t>
  </si>
  <si>
    <t>Glasgow, Neal A.;Cheyne, Michele C.;Yerrick, Randy K.</t>
  </si>
  <si>
    <t>Q181.G53 2010</t>
  </si>
  <si>
    <t>Keys to the Secondary Classroom : A Teacher's Guide to the First Months of School</t>
  </si>
  <si>
    <t>Bongolan, Lorraine S.;Moir, Ellen R.;Baron, Wendy E.</t>
  </si>
  <si>
    <t>LB1737.U6.B664 2010</t>
  </si>
  <si>
    <t>The Biracial and Multiracial Student Experience : A Journey to Racial Literacy</t>
  </si>
  <si>
    <t>Davis, Bonnie M.</t>
  </si>
  <si>
    <t>LC3621.D39 2009eb</t>
  </si>
  <si>
    <t>371.829/0500973</t>
  </si>
  <si>
    <t>Effective Collaboration for Educating the Whole Child</t>
  </si>
  <si>
    <t>Kochhar-Bryant, Carol A.;Heishman, Angela S.</t>
  </si>
  <si>
    <t>Differentiated Instructional Strategies for the Block Schedule</t>
  </si>
  <si>
    <t>Gregory, Gayle H.;Herndon, Lynne E.</t>
  </si>
  <si>
    <t>LB3032.2.G74 2010</t>
  </si>
  <si>
    <t>Building Content Literacy : Strategies for the Adolescent Learner</t>
  </si>
  <si>
    <t>Sejnost, Roberta L.;Thiese, Sharon M.</t>
  </si>
  <si>
    <t>LB1631.S457 2010eb</t>
  </si>
  <si>
    <t>Inclusion Strategies for Secondary Classrooms : Keys for Struggling Learners</t>
  </si>
  <si>
    <t>Gore, Mildred C.</t>
  </si>
  <si>
    <t>LC4031.G64 2010eb</t>
  </si>
  <si>
    <t>371.9/045</t>
  </si>
  <si>
    <t>Improving Reading Skills Across the Content Areas : Ready-To-Use Activities and Assessments for Grades 6-12</t>
  </si>
  <si>
    <t>Gault, Rebecca J.</t>
  </si>
  <si>
    <t>LB1050.455.R69 2006</t>
  </si>
  <si>
    <t>428.4/071/2</t>
  </si>
  <si>
    <t>The Moral Imperative Realized</t>
  </si>
  <si>
    <t>LB2805.F848 2011</t>
  </si>
  <si>
    <t>From School Improvement to Sustained Capacity : The Parallel Leadership Pathway</t>
  </si>
  <si>
    <t>Crowther, Francis A.</t>
  </si>
  <si>
    <t>Leading Academic Achievement for English Language Learners : A Guide for Principals</t>
  </si>
  <si>
    <t>Alford, Betty J.;Nino, Mary C.</t>
  </si>
  <si>
    <t>PE1128.A2.A36 2011eb</t>
  </si>
  <si>
    <t>428.2/4071</t>
  </si>
  <si>
    <t>401 Practical Adaptations for Every Classroom</t>
  </si>
  <si>
    <t>Johns, Beverley H.</t>
  </si>
  <si>
    <t>Transformative Professional Learning : A System to Enhance Teacher and Student Motivation</t>
  </si>
  <si>
    <t>Ginsberg, Margery B.</t>
  </si>
  <si>
    <t>School Budgeting for Hard Times : Confronting Cutbacks and Critics</t>
  </si>
  <si>
    <t>Poston, William K., Jr.</t>
  </si>
  <si>
    <t>Leadership for Social Justice and Democracy in Our Schools</t>
  </si>
  <si>
    <t>Blankstein, Alan M.;Houston, Paul D.</t>
  </si>
  <si>
    <t>The Soul of Educational Leadership Series</t>
  </si>
  <si>
    <t>LB2805.L433 2011</t>
  </si>
  <si>
    <t>Every Teacher&amp;prime;s Guide to Working with Parents</t>
  </si>
  <si>
    <t>Rudney, Gwen L.</t>
  </si>
  <si>
    <t>LC226.R83</t>
  </si>
  <si>
    <t>Leading the Technology-Powered School</t>
  </si>
  <si>
    <t>Grady, Marilyn L.</t>
  </si>
  <si>
    <t>LB1028.3.G733 2011</t>
  </si>
  <si>
    <t>What Every Teacher Should Know about Media and Technology</t>
  </si>
  <si>
    <t>Tileston, Donna E. Walker</t>
  </si>
  <si>
    <t>LB1028.3.T</t>
  </si>
  <si>
    <t>Igniting Creativity in Gifted Learners, K-6 : Strategies for Every Teacher</t>
  </si>
  <si>
    <t>Smutny, Joan F.;von Fremd, Sarah E.</t>
  </si>
  <si>
    <t>LC3993.22.S688 2009</t>
  </si>
  <si>
    <t>Toolkit for Mentor Practice</t>
  </si>
  <si>
    <t>Horn, Patty J.;Metler-Armijo, Kristin</t>
  </si>
  <si>
    <t>Differentiated Science Inquiry</t>
  </si>
  <si>
    <t>Llewellyn, Douglas J.</t>
  </si>
  <si>
    <t>LB1585.L549 2011</t>
  </si>
  <si>
    <t>The TurnAround ToolKit : Managing Rapid, Sustainable School Improvement</t>
  </si>
  <si>
    <t>Winters, Lynn S.;Herman, Joan L.</t>
  </si>
  <si>
    <t>The Difficult Parent : An Educator&amp;prime;s Guide to Handling Aggressive Behavior</t>
  </si>
  <si>
    <t>Jaksec, Charles M., III</t>
  </si>
  <si>
    <t>LC226.J35</t>
  </si>
  <si>
    <t>The Active Workshop : Practical Strategies for Facilitating Professional Learning</t>
  </si>
  <si>
    <t>LB1731.N24 2010</t>
  </si>
  <si>
    <t>Guiding Professional Learning Communities : Inspiration, Challenge, Surprise, and Meaning</t>
  </si>
  <si>
    <t>Hord, Shirley M.;Roussin, Jim;Sommers, William A.</t>
  </si>
  <si>
    <t>LB2822.82.H666 2010</t>
  </si>
  <si>
    <t>Navigating Cultural Competence in Grades 6-12 : A Compass for Teachers</t>
  </si>
  <si>
    <t>Gallavan, Nancy P.</t>
  </si>
  <si>
    <t>Teaching Literacy to Students with Significant Disabilities : Strategies for the K-12 Inclusive Classroom</t>
  </si>
  <si>
    <t>Downing, June E.</t>
  </si>
  <si>
    <t>LC4028.D694 2005eb</t>
  </si>
  <si>
    <t>371.9/0446</t>
  </si>
  <si>
    <t>The New Elementary Teacher&amp;prime;s Handbook : Flourishing in Your First Year</t>
  </si>
  <si>
    <t>Jonson, Kathleen F.;Cappelloni, Nancy L.;Niesyn, Mary E.</t>
  </si>
  <si>
    <t>How the ELL Brain Learns</t>
  </si>
  <si>
    <t>Sousa, David A.</t>
  </si>
  <si>
    <t>428.2/4 019</t>
  </si>
  <si>
    <t>Building Parent Involvement Through the Arts : Activities and Projects That Enrich Classrooms and Schools</t>
  </si>
  <si>
    <t>Sikes, Michael E.</t>
  </si>
  <si>
    <t>NX303.S55 2007</t>
  </si>
  <si>
    <t>Leading Good Schools to Greatness : Mastering What Great Principals Do Well</t>
  </si>
  <si>
    <t>Best Practices of Award-Winning Elementary School Principals</t>
  </si>
  <si>
    <t>Harris, Sandra K.</t>
  </si>
  <si>
    <t>LB2831.82.</t>
  </si>
  <si>
    <t>Letters to a Serious Education President</t>
  </si>
  <si>
    <t>Sarason, Seymour B.</t>
  </si>
  <si>
    <t>LA217.2.S27 2006</t>
  </si>
  <si>
    <t>The Brain and Strengths Based School Leadership</t>
  </si>
  <si>
    <t>Feinstein, Sheryl G.;Kiner, Robert W.</t>
  </si>
  <si>
    <t>LB2805.F297 2011</t>
  </si>
  <si>
    <t>The Legal Rights and Responsibilities of Teachers : Issues of Employment and Instruction</t>
  </si>
  <si>
    <t>Osborne, Allan G., Jr.;Russo, Charles</t>
  </si>
  <si>
    <t>344.73/078</t>
  </si>
  <si>
    <t>Assessment-Powered Teaching</t>
  </si>
  <si>
    <t>Sindelar, Nancy W.</t>
  </si>
  <si>
    <t>LB3051.S522 2011eb</t>
  </si>
  <si>
    <t>Teacher Leader Stories : The Power of Case Methods</t>
  </si>
  <si>
    <t>Swanson, Judy;Elliott, Kimberly;Harmon, Jeanne M.</t>
  </si>
  <si>
    <t>Leading Lesson Study : A Practical Guide for Teachers and Facilitators</t>
  </si>
  <si>
    <t>Stepanek, Jennifer;Appel, Gary;Leong, Melinda;Mangan, Michelle Turner;Mitchell, Mark</t>
  </si>
  <si>
    <t>LB1027.L37 2007</t>
  </si>
  <si>
    <t>Difficult Behavior in Early Childhood : Positive Discipline for PreK-3 Classrooms and Beyond</t>
  </si>
  <si>
    <t>Mah, Ronald</t>
  </si>
  <si>
    <t>LB1060.2.M24 2007eb</t>
  </si>
  <si>
    <t>No More Bystanders = No More Bullies : Activating Action in Educational Professionals</t>
  </si>
  <si>
    <t>Anderson, Shona</t>
  </si>
  <si>
    <t>LB3013.3 .A545 2011</t>
  </si>
  <si>
    <t>Bullying in schools-Prevention. ; Action research in education. ; Teachers-Training of.</t>
  </si>
  <si>
    <t>The Parallel Curriculum in the Classroom, Book 2 : Units for Application Across the Content Areas, K-12</t>
  </si>
  <si>
    <t>Tomlinson, Carol Ann;Kaplan, Sandra;Purcell, Jeanne H.;Leppien, Jann H.;Burns, Deborah E.;Strickland, Cindy A.</t>
  </si>
  <si>
    <t>LC3993.2.P</t>
  </si>
  <si>
    <t>Designing Middle and High School Instruction and Assessment : Using the Cognitive Domain</t>
  </si>
  <si>
    <t>Badgett, John L.;Christmann, Edwin P.</t>
  </si>
  <si>
    <t>373.13/028</t>
  </si>
  <si>
    <t>The Answer Is in the Room : How Effective Schools Scale up Student Success</t>
  </si>
  <si>
    <t>Blankstein, Alan M.</t>
  </si>
  <si>
    <t>LB2822.8.B57 2011</t>
  </si>
  <si>
    <t>The Principal's Guide to Curriculum Leadership</t>
  </si>
  <si>
    <t>Sorenson, Richard D.;Goldsmith, Lloyd M.;Mendez, Zulma Y.;Maxwell, Karen T.</t>
  </si>
  <si>
    <t>LB2806.15.S66 2011</t>
  </si>
  <si>
    <t>Equity 101- the Equity Framework : Book 1</t>
  </si>
  <si>
    <t>Linton, Curtis W.</t>
  </si>
  <si>
    <t>LC213.2.L568 2011</t>
  </si>
  <si>
    <t>Parallel Curriculum Units for Grades K-5</t>
  </si>
  <si>
    <t>Imbeau, Marcia</t>
  </si>
  <si>
    <t>LB2806.15.I52 2011</t>
  </si>
  <si>
    <t>Teaching by Design in Elementary Mathematics, Grades 2-3</t>
  </si>
  <si>
    <t>Stepanek, Jennifer;Leong, Melinda;Griffin, Linda;Lavelle, Lisa</t>
  </si>
  <si>
    <t>QA135.6.T365 2011</t>
  </si>
  <si>
    <t>Jumpstart RTI : Using RTI in Your Elementary School Right Now</t>
  </si>
  <si>
    <t>Hall, Susan L.</t>
  </si>
  <si>
    <t>LB1573 .H1717 2011</t>
  </si>
  <si>
    <t>Reading (Elementary)-United States. ; Learning disabled children-Education-United States. ; Reading-Remedial teaching-United States. ; Response to intervention (Learning disabled children)</t>
  </si>
  <si>
    <t>Differentiating Science Instruction and Assessment for Learners with Special Needs, K-8</t>
  </si>
  <si>
    <t>Finson, Kevin D.;Ormsbee, Christine K.;Jensen, Mary M.</t>
  </si>
  <si>
    <t>LB1585 .F543 2011</t>
  </si>
  <si>
    <t>Learning disabled children-Education (Elementary) ; Learning disabled children-Education (Middle school) ; Science-Study and teaching (Elementary) ; Science-Study and teaching (Middle school) ; Individualized instruction. ; Inclusive education.</t>
  </si>
  <si>
    <t>A Culturally Proficient Society Begins in School : Leadership for Equity</t>
  </si>
  <si>
    <t>Franco, Carmella S.;Ott, Maria G.;Robles, Darline P.</t>
  </si>
  <si>
    <t>LB2805</t>
  </si>
  <si>
    <t>Becoming an Emotionally Intelligent Teacher</t>
  </si>
  <si>
    <t>Powell, William R.;Kusuma-Powell, Ochan</t>
  </si>
  <si>
    <t>Homelessness Comes to School</t>
  </si>
  <si>
    <t>Murphy, Joseph F.;Tobin, Kerri J.</t>
  </si>
  <si>
    <t>371.826/942</t>
  </si>
  <si>
    <t>Reading Strategies for Elementary Students with Learning Difficulties : Strategies for RTI</t>
  </si>
  <si>
    <t>Bender, William N.;Larkin, Martha J.</t>
  </si>
  <si>
    <t>LB1573.B424 2009</t>
  </si>
  <si>
    <t>Transforming School Climate and Learning : Beyond Bullying and Compliance</t>
  </si>
  <si>
    <t>Preble, William K.;Gordon, Rick M.</t>
  </si>
  <si>
    <t>LB3013.3 .P73 2011</t>
  </si>
  <si>
    <t>Bullying in schools. ; School violence.</t>
  </si>
  <si>
    <t>MORE Best Practices for Elementary Classrooms : What Award-Winning Teachers Do</t>
  </si>
  <si>
    <t>Sofman, Randi B.</t>
  </si>
  <si>
    <t>LB1776.2.S766 2009</t>
  </si>
  <si>
    <t>Navigating Cultural Competence in Grades K-5 : A Compass for Teachers</t>
  </si>
  <si>
    <t>LC1099.3 .G355 2011</t>
  </si>
  <si>
    <t>Multicultural education-United States. ; Multiculturalism-Study and teaching (Elementary)-United States.</t>
  </si>
  <si>
    <t>Teaching by Design in Elementary Mathematics, Grades K-1</t>
  </si>
  <si>
    <t>The Educator&amp;prime;s Field Guide : From Organization to Assessment (and Everything in Between)</t>
  </si>
  <si>
    <t>Ebert, Edward S., II;Ebert, Christine K.;Bentley, Michael L.</t>
  </si>
  <si>
    <t>Developing Critical Cultural Competence : A Guide for 21st-Century Educators</t>
  </si>
  <si>
    <t>Cooper, Jewell;He, Ye;Levin, Barbara B.</t>
  </si>
  <si>
    <t>Dignity for All : Safeguarding LGBT Students</t>
  </si>
  <si>
    <t>DeWitt, Peter M.</t>
  </si>
  <si>
    <t>LC192.6 .D48 2012</t>
  </si>
  <si>
    <t>371.826/64</t>
  </si>
  <si>
    <t>Lesbian students-United States. ; Gay students-United States. ; Bisexual students-United States. ; Transgender youth-Education-United States. ; Schools-Safety measures-United States-Handbooks, manuals, etc.</t>
  </si>
  <si>
    <t>School Discipline, Classroom Management, and Student Self-Management : A PBS Implementation Guide</t>
  </si>
  <si>
    <t>Knoff, Howard M.</t>
  </si>
  <si>
    <t>LB3012.2 .K63 2012</t>
  </si>
  <si>
    <t>371.102/40973</t>
  </si>
  <si>
    <t>School discipline-United States. ; School discipline-United States-Case studies. ; Classroom management-United States. ; Community and school-United States-Case studies.</t>
  </si>
  <si>
    <t>Getting to the Core of English Language Arts, Grades 6-12 : How to Meet the Common Core State Standards with Lessons from the Classroom</t>
  </si>
  <si>
    <t>Giouroukakis, Vicky M.;Connolly, Maureen</t>
  </si>
  <si>
    <t>LB1631 .G568 2012</t>
  </si>
  <si>
    <t>Language arts (Secondary)-Curricula-United States-States. ; Language arts (Secondary)-Standards-United States-States.</t>
  </si>
  <si>
    <t>Literacy Coaching : A Handbook for School Leaders</t>
  </si>
  <si>
    <t>Moxley, Dale E.;Taylor, Rosemarye T.</t>
  </si>
  <si>
    <t>LB1576.M823 2006</t>
  </si>
  <si>
    <t>Studying Your Own School : An Educator&amp;prime;s Guide to Practitioner Action Research</t>
  </si>
  <si>
    <t>Anderson, Gary;Herr, Kathryn G.;Nihlen, Ann S.</t>
  </si>
  <si>
    <t>Using Formative Assessment to Differentiate Mathematics Instruction, Grades 4-10 : Seven Practices to Maximize Learning</t>
  </si>
  <si>
    <t>Laud, Leslie E.</t>
  </si>
  <si>
    <t>QA11.2.L38 2011</t>
  </si>
  <si>
    <t>Leadership As Lunacy : And Other Metaphors for Educational Leadership</t>
  </si>
  <si>
    <t>Lumby, Jacky;English, Fenwick W.</t>
  </si>
  <si>
    <t>LB2806.L84 2010eb</t>
  </si>
  <si>
    <t>Culturally Proficient Collaboration : Use and Misuse of School Counselors</t>
  </si>
  <si>
    <t>Stephens, Diana L.;Lindsey, Randall B.</t>
  </si>
  <si>
    <t>LB1027.5 .S757 2011</t>
  </si>
  <si>
    <t>Educational counseling. ; Student counselors-Professional relationships. ; Cross-cultural counseling.</t>
  </si>
  <si>
    <t>Handbook of School Improvement : How High-Performing Principals Create High-Performing Schools</t>
  </si>
  <si>
    <t>Blase, Rebajo R.;Blase, Joseph;Phillips, Dana Yon</t>
  </si>
  <si>
    <t>LB2822.82.B54 2010eb</t>
  </si>
  <si>
    <t>Ten Best Teaching Practices : How Brain Research and Learning Styles Define Teaching Competencies</t>
  </si>
  <si>
    <t>How Not to Be a Terrible School Board Member : Lessons for School Administrators and Board Members</t>
  </si>
  <si>
    <t>Mayer, Richard E.</t>
  </si>
  <si>
    <t>LB2831.M39 2011</t>
  </si>
  <si>
    <t>Study Abroad in a New Global Century : Renewing the Promise, Refining the Purpose, ASHE Higher Education Report</t>
  </si>
  <si>
    <t>Twombly, Susan B.;Salisbury, Mark H.;Tumanut, Shannon D.;Klute, Paul;Klute, Paul</t>
  </si>
  <si>
    <t>J-B ASHE Higher Education Report Series (AEHE) Series</t>
  </si>
  <si>
    <t>LB2375 -- .S78 2012eb</t>
  </si>
  <si>
    <t>Foreign study.</t>
  </si>
  <si>
    <t>Refining the Focus on Faculty Diversity in Postsecondary Institutions : New Directions for Institutional Research, Number 155</t>
  </si>
  <si>
    <t>Xu, Yonghong Jade;Xu, Yonghong Jade</t>
  </si>
  <si>
    <t>J-B IR Single Issue Institutional Research Series</t>
  </si>
  <si>
    <t>LB2332.6 -- .R44 2012eb</t>
  </si>
  <si>
    <t>Faculty integration -- United States. ; Minority college teachers -- Selection and appointment -- United States. ; Diversity in the workplace -- United States.</t>
  </si>
  <si>
    <t>International Perspectives on Higher Education : Challenging Values and Practice</t>
  </si>
  <si>
    <t>Kerry, Trevor</t>
  </si>
  <si>
    <t>LB2322.2.I63 2012</t>
  </si>
  <si>
    <t>Secondary Education in Ethiopia : Supporting Growth and Transformation</t>
  </si>
  <si>
    <t>Joshi, Rajendra;Verspoor, Adriaan;Verspoor, Adriaan</t>
  </si>
  <si>
    <t>LA1517 -- .J67 2012eb</t>
  </si>
  <si>
    <t>Education, Secondary -- Ethiopia. ; Education -- Ethiopia.</t>
  </si>
  <si>
    <t>Drug Use and Delinquency : Causes of Dropping Out of High School</t>
  </si>
  <si>
    <t>Gasper, Joseph M</t>
  </si>
  <si>
    <t>LC146.6 -- .G37 2012eb</t>
  </si>
  <si>
    <t>373.12/9130973</t>
  </si>
  <si>
    <t>High school dropouts -- Social conditions -- United States. ; High school dropouts -- Drug use -- United States. ; Problem youth -- Drug use -- United States. ; Juvenile delinquency -- United States.</t>
  </si>
  <si>
    <t>Student Speech on the Internet : The Role of First Amendment Protections</t>
  </si>
  <si>
    <t>Gibbs, Jesulon S R</t>
  </si>
  <si>
    <t>Law and Society</t>
  </si>
  <si>
    <t>KF4150 -- .G49 2010eb</t>
  </si>
  <si>
    <t>342.7308/53</t>
  </si>
  <si>
    <t>Management -- Mathematical models. ; Digital computer simulation.</t>
  </si>
  <si>
    <t>Undocumented Students and the Policies of Wasted Potential</t>
  </si>
  <si>
    <t>Lopez, Janet K.</t>
  </si>
  <si>
    <t>The New Americans: Recent Immigration and American Society</t>
  </si>
  <si>
    <t>LC2670.4 -- .L67 2010eb</t>
  </si>
  <si>
    <t>371.829/680756</t>
  </si>
  <si>
    <t>Latin Americans -- Education (Secondary) -- North Carolina -- Case studies.;Noncitizen children -- Education (Secondary) -- North Carolina -- Case studies.;Educational equalization -- North Carolina -- Case studies.</t>
  </si>
  <si>
    <t>Struggles Over Immigrants' Language : Literacy Tests in the United States, 1917-1966</t>
  </si>
  <si>
    <t>Oh, Young-In</t>
  </si>
  <si>
    <t>LC151 -- .O4 2012eb</t>
  </si>
  <si>
    <t>371.826/9120973</t>
  </si>
  <si>
    <t>Literacy -- Social aspects -- United States -- History -- 20th century. ; Literacy -- Ability testing -- United States -- History -- 20th century. ; Immigrants -- Education -- United States -- History -- 20th century. ; United States -- Emigration and immigration -- Social aspects. ; United States -- Emigration and immigration -- History -- 20th century.</t>
  </si>
  <si>
    <t>Language, Gender, and Academic Performance : A Study of the Children of Dominican Immigrants</t>
  </si>
  <si>
    <t xml:space="preserve">Perea, Flavia C;Pera, Flavia C;Pereua, Flavia C </t>
  </si>
  <si>
    <t>LC3746 -- .P45 2011eb</t>
  </si>
  <si>
    <t>Deaf -- Means of communication. ; Communication devices for people with disabilities. ; Deaf -- Means of communication -- Technological innovations. ; Communication devices for people with disabilities -- Technological innovations.</t>
  </si>
  <si>
    <t>Undocumented Latino College Students : Their Socioemotional and Academic Experiences</t>
  </si>
  <si>
    <t xml:space="preserve">Perez, William;Cortes, Richard Douglas;Peurez William Corteus Richard Douglas, </t>
  </si>
  <si>
    <t>LC3727 -- .P47 2011eb</t>
  </si>
  <si>
    <t>Algorithms. ; Cancer -- Surgery. ; Oncology.</t>
  </si>
  <si>
    <t>Undocumented Uruguayan Immigrants : Biliteracy andEducational Experiences</t>
  </si>
  <si>
    <t>Pessoa, Silvia</t>
  </si>
  <si>
    <t>LC3731 -- .P47 2010eb</t>
  </si>
  <si>
    <t>371.829/68895073</t>
  </si>
  <si>
    <t>Immigrants -- Education -- United States -- Case studies. ; Uruguayans -- Education -- United States. ; Education, Bilingual -- United States -- Case studies. ; English language -- Study and teaching -- Foreign speakers -- United States -- Case studies.</t>
  </si>
  <si>
    <t>Student First Amendment Speech and Expression Rights : Armbands to Bong HiTS</t>
  </si>
  <si>
    <t>Ramey, R. Chace</t>
  </si>
  <si>
    <t>KF4770 -- .R36 2011eb</t>
  </si>
  <si>
    <t>342.7308/5</t>
  </si>
  <si>
    <t>Pancreas -- Cancer. ; Digestive organs -- Cancer.</t>
  </si>
  <si>
    <t>John Dewey's Philosophy of Education : An Introduction and Recontextualization for Our Times</t>
  </si>
  <si>
    <t>Garrison, J.;Neubert, S.;Reich, K.</t>
  </si>
  <si>
    <t>A Higher Education : Baylor and the Vocation of a Christian University</t>
  </si>
  <si>
    <t>Davis, Elizabeth;Brody, Baruch A.;Cantor, Nancy;Elshtain, Jean Bethke;Elzinga, Kenneth G.;Noll, Mark;Shulman, Lee S.;Starr, Kenneth Winston</t>
  </si>
  <si>
    <t>LC383.B35 2012</t>
  </si>
  <si>
    <t>378/.071</t>
  </si>
  <si>
    <t>Baylor University. ; Church and college -- United States. ; Christian universities and colleges -- United States. ; Education, Higher -- United States.</t>
  </si>
  <si>
    <t>College Students in the United States : Characteristics, Experiences, and Outcomes</t>
  </si>
  <si>
    <t>Renn, Kristen A.;Reason, Robert D.</t>
  </si>
  <si>
    <t>LC148.2 -- .R44 2013eb</t>
  </si>
  <si>
    <t>378.1/619</t>
  </si>
  <si>
    <t>College attendance -- United States. ; College students -- United States. ; Education -- Demographic aspects -- United States.</t>
  </si>
  <si>
    <t>The Environmental Legacy of the UC Natural Reserve System</t>
  </si>
  <si>
    <t>Fiedler, Peggy L.;Rumsey, Susan Gee;Wong, Kathleen</t>
  </si>
  <si>
    <t>333.73/1609794</t>
  </si>
  <si>
    <t>University of California Natural Reserve System-History. ; University of California (System)-Faculty. ; Natural areas-California. ; Environmental protection-California. ; Ecology-Study and teaching-California. ; Natural history-Study and teaching-California.</t>
  </si>
  <si>
    <t>A New Day in the Delta : Inventing School Desegregation As You Go</t>
  </si>
  <si>
    <t>Beckwith, David W.</t>
  </si>
  <si>
    <t>Beckwith, David W. ; Teachers--United States--Biography. ; Teachers, White--Mississippi--Leland. ; Faculty integration--Mississippi--Leland.</t>
  </si>
  <si>
    <t>A Handbook for Classroom Instruction That Works</t>
  </si>
  <si>
    <t>Pitler, Howawrd;Stone, Bj</t>
  </si>
  <si>
    <t>LB1025.3 .H364 2012</t>
  </si>
  <si>
    <t>Effective teaching-United States-Handbooks, manuals, etc. ; Learning-Handbooks, manuals, etc.</t>
  </si>
  <si>
    <t>100+ Ways to Recognize and Reward Your School Staff</t>
  </si>
  <si>
    <t>Houck, Emily E.</t>
  </si>
  <si>
    <t>LB2842.22 .H68 2012</t>
  </si>
  <si>
    <t>School personnel management. ; Incentive awards. ; Employee motivation. ; Motivation in education.</t>
  </si>
  <si>
    <t>The Price We Pay : Economic and Social Consequences of Inadequate Education</t>
  </si>
  <si>
    <t>Belfield, Clive R.;Henry M. Levin</t>
  </si>
  <si>
    <t>LC66.P735 2007</t>
  </si>
  <si>
    <t>Education -- Economic aspects -- United States</t>
  </si>
  <si>
    <t>Standards-Based Reform and the Poverty Gap : Lessons for "No Child Left Behind"</t>
  </si>
  <si>
    <t>Gamoran, Adam</t>
  </si>
  <si>
    <t>LB2806.22.S736 2007</t>
  </si>
  <si>
    <t>Poor - Education - United States</t>
  </si>
  <si>
    <t>Response to Intervention and Precision Teaching : Creating Synergy in the Classroom</t>
  </si>
  <si>
    <t>Johnson, Kent;Street, Elizabeth M.</t>
  </si>
  <si>
    <t>LB1029.R4 J66 2013</t>
  </si>
  <si>
    <t>Effective teaching. ; Remedial teaching. ; Response to intervention (Learning disabled children).</t>
  </si>
  <si>
    <t>Teaching in the Lifelong Learning Sector</t>
  </si>
  <si>
    <t>Scales, Peter</t>
  </si>
  <si>
    <t>LB1027 .S2892 2013</t>
  </si>
  <si>
    <t>Teaching-Great Britain. ; Continuing education-Great Britain.</t>
  </si>
  <si>
    <t>Making Policy in British Higher Education 1945-2011</t>
  </si>
  <si>
    <t>Shattock, Michael</t>
  </si>
  <si>
    <t>LC93.G7 S53 2012</t>
  </si>
  <si>
    <t>Education and state-Great Britain. ; Education, Higher-Political aspects-Great Britain.</t>
  </si>
  <si>
    <t>Approaches to Creativity: a Guide for Teachers</t>
  </si>
  <si>
    <t>Carlile, Orison;Jordan, Anne</t>
  </si>
  <si>
    <t>What Works In Inclusion?</t>
  </si>
  <si>
    <t>Boyle, Chris;Topping, Keith</t>
  </si>
  <si>
    <t>LC1200 -- .W43 2012eb</t>
  </si>
  <si>
    <t>Stoichiometry. ; Chemistry, Physical and theoretical.</t>
  </si>
  <si>
    <t>U. S. Immigration and Education : Cultural and Policy Issues Across the Lifespan</t>
  </si>
  <si>
    <t>Grigorenko, Elena L.</t>
  </si>
  <si>
    <t>LC3746.U7 2013</t>
  </si>
  <si>
    <t>Children of immigrants--Education--United States. ; Children of minorities--Education--United States. ; Immigrants--United States--Social conditions. ; Cultural pluralism--United States.</t>
  </si>
  <si>
    <t>Developing Effective Part-Time Teachers in Higher Education : New Approaches to Professional Development</t>
  </si>
  <si>
    <t>Beaton, Fran;Gilbert, Amanda</t>
  </si>
  <si>
    <t>LB2331.7 .D48 2013</t>
  </si>
  <si>
    <t>College teachers, Part-time. ; College teaching.</t>
  </si>
  <si>
    <t>Critical Pedagogy and Social Change : Critical Analysis on the Language of Possibility</t>
  </si>
  <si>
    <t>Cho, Seehwa</t>
  </si>
  <si>
    <t>LC196 .C46 2012</t>
  </si>
  <si>
    <t>Critical pedagogy</t>
  </si>
  <si>
    <t>Learner-Centered English Language Education : The Selected Works of David Nunan</t>
  </si>
  <si>
    <t>Nunan, David</t>
  </si>
  <si>
    <t>PE1065 N48 2012</t>
  </si>
  <si>
    <t>Instructional systems - Design</t>
  </si>
  <si>
    <t>Reading and Learning Difficulties</t>
  </si>
  <si>
    <t>371.9/0444</t>
  </si>
  <si>
    <t>Learning disabled children - Education</t>
  </si>
  <si>
    <t>Intervening Early : Promoting Positive Behaviour in Young Children</t>
  </si>
  <si>
    <t>Hutchinson, Nicky;Smith, Hilary</t>
  </si>
  <si>
    <t>LB1139.35</t>
  </si>
  <si>
    <t>372.2/1</t>
  </si>
  <si>
    <t>Affirmative Action : Racial Preference in Black and White</t>
  </si>
  <si>
    <t>Wise, Tim J.</t>
  </si>
  <si>
    <t>Positions: Education, Politics, and Culture Series</t>
  </si>
  <si>
    <t>LC213.52 .W57 2012</t>
  </si>
  <si>
    <t>Discrimination in higher education - United States.</t>
  </si>
  <si>
    <t>Universities and Global Diversity : Preparing Educators for Tomorrow</t>
  </si>
  <si>
    <t>Lindsay, Beverly;Blanchett, Wanda J.</t>
  </si>
  <si>
    <t>LB2322.2 .U565 2011</t>
  </si>
  <si>
    <t>Universities and colleges -- Cross-cultural studies</t>
  </si>
  <si>
    <t>Defining Physical Education (Routledge Revivals) : The Social Construction of a School Subject in Postwar Britain</t>
  </si>
  <si>
    <t>GV342.27 .K57</t>
  </si>
  <si>
    <t>Physical education and training -- Social aspects -- Great Britain -- History -- 20th century. ; Physical education and training -- Curricula -- Great Britain -- History -- 20th century.</t>
  </si>
  <si>
    <t>Action Research for Teachers : A Practical Guide</t>
  </si>
  <si>
    <t>McNiff, Jean;Whitehead, Jack</t>
  </si>
  <si>
    <t>LB1028.24 .M399 2012</t>
  </si>
  <si>
    <t>Widening the Circle : Culturally Relevant Pedagogy for American Indian Children</t>
  </si>
  <si>
    <t>Klug, Beverly J.;Whitfield, Patricia T.</t>
  </si>
  <si>
    <t>E97 .K58 2012</t>
  </si>
  <si>
    <t>School Leadership and Administration : Adopting a Cultural Perspective</t>
  </si>
  <si>
    <t>Walker, Allan;Dimmock, Clive</t>
  </si>
  <si>
    <t>LB2806 .S3416 2012</t>
  </si>
  <si>
    <t>Educational anthropology</t>
  </si>
  <si>
    <t>International Students Negotiating Higher Education : Critical Perspectives</t>
  </si>
  <si>
    <t>Sovic, Silvia;Blythman, Margo</t>
  </si>
  <si>
    <t>LB2376.6.G72 I68 20</t>
  </si>
  <si>
    <t>378.1/9826910941</t>
  </si>
  <si>
    <t>College student mobility - Great Britain</t>
  </si>
  <si>
    <t>The Routledge Education Studies Textbook</t>
  </si>
  <si>
    <t>Arthur, James;Davies, Ian</t>
  </si>
  <si>
    <t>Education - Study and teaching (Higher)</t>
  </si>
  <si>
    <t>Language, Education and Citizenship in Japan</t>
  </si>
  <si>
    <t>Castro-Vázquez, Genaro;Castro-Vázquez, Genaro</t>
  </si>
  <si>
    <t>Japan Anthropology Workshop Series</t>
  </si>
  <si>
    <t>LB2376.6.J3 C37 2013</t>
  </si>
  <si>
    <t>378.1/9826910952</t>
  </si>
  <si>
    <t>Students - Japan - Social conditions</t>
  </si>
  <si>
    <t>Can Education Change Society?</t>
  </si>
  <si>
    <t>LC191 .A665 2013</t>
  </si>
  <si>
    <t>Education - Sociological aspects</t>
  </si>
  <si>
    <t>A Mirror to Kathleen's Face : Education in Independent Ireland 1922-60</t>
  </si>
  <si>
    <t>Akenson, Donald</t>
  </si>
  <si>
    <t>LA641.8 .A44 2012</t>
  </si>
  <si>
    <t>Reconstructing Identities in Higher Education : The Rise of 'Third Space' Professionals</t>
  </si>
  <si>
    <t>Whitchurch, Celia</t>
  </si>
  <si>
    <t>LB1778 .W45 2012</t>
  </si>
  <si>
    <t>Universities and colleges - Professional staff - Employment</t>
  </si>
  <si>
    <t>Cultivating Teacher Renewal : Guarding Against Stress and Burnout</t>
  </si>
  <si>
    <t>Larrivee, Barbara</t>
  </si>
  <si>
    <t>LB2840.2 -- .L37 2012eb</t>
  </si>
  <si>
    <t>Teachers -- Job stress</t>
  </si>
  <si>
    <t>Teach Well, Live Well : Strategies for Success</t>
  </si>
  <si>
    <t>Luckner, John;Rudolph, Suzanne</t>
  </si>
  <si>
    <t>Lucky to Be a Teacher : Life-Changing Affirmations for Positive Classrooms</t>
  </si>
  <si>
    <t>Chickie-Wolfe, Louise A.</t>
  </si>
  <si>
    <t>PN6084.E38.C453 2009</t>
  </si>
  <si>
    <t>Response to Intervention : A Practical Guide for Every Teacher</t>
  </si>
  <si>
    <t>Bender, William N.;Shores, Cara F.</t>
  </si>
  <si>
    <t>LB1029.R4.B463 2007</t>
  </si>
  <si>
    <t>Using Equity Audits to Create Equitable and Excellent Schools</t>
  </si>
  <si>
    <t>Skrla, Linda E.;McKenzie, Kathryn B.;Scheurich, James Joseph</t>
  </si>
  <si>
    <t>Transformers : Creative Teachers for the 21st Century</t>
  </si>
  <si>
    <t>Schreck, Mary K.</t>
  </si>
  <si>
    <t>LB1590.5.S37 2009</t>
  </si>
  <si>
    <t>370.15/7</t>
  </si>
  <si>
    <t>Beyond School Improvement : The Journey to Innovative Leadership</t>
  </si>
  <si>
    <t>Davidovich, Robert D.;Nikolay, Pauline M.;Laugerman, Bonnie;Commodore, Carol A.</t>
  </si>
  <si>
    <t>LB2805.B49 2010eb</t>
  </si>
  <si>
    <t>Teaching for Wisdom, Intelligence, Creativity, and Success</t>
  </si>
  <si>
    <t>No Limits to Literacy for Preschool English Learners</t>
  </si>
  <si>
    <t>Roberts, Theresa A.</t>
  </si>
  <si>
    <t>PE1128.A2 .R634 2009</t>
  </si>
  <si>
    <t>372.65/21</t>
  </si>
  <si>
    <t>Brain-Compatible Activities for Mathematics, Grades 4-5</t>
  </si>
  <si>
    <t>QA135.6.S687 2010</t>
  </si>
  <si>
    <t>What Successful Teachers Do : 101 Research-Based Classroom Strategies for New and Veteran Teachers</t>
  </si>
  <si>
    <t>Glasgow, Neal A.;Hicks, Cathy D.</t>
  </si>
  <si>
    <t>LB1025.3.G5163 2009</t>
  </si>
  <si>
    <t>Facilitator&amp;prime;s Guide to Failure Is Not an Option® : 6 Principles for Making Student Success the ONLY Option</t>
  </si>
  <si>
    <t>LB2822.82.B536 2010</t>
  </si>
  <si>
    <t>10 Strategies for Doubling Student Performance</t>
  </si>
  <si>
    <t>LB1062.6.O32 2009</t>
  </si>
  <si>
    <t>Leading with Inquiry and Action : How Principals Improve Teaching and Learning</t>
  </si>
  <si>
    <t>Militello, Matthew C.;Rallis, Sharon F.;Goldring, Ellen B.</t>
  </si>
  <si>
    <t>LB2831.92.M54 2009</t>
  </si>
  <si>
    <t>Accelerating Student and Staff Learning : Purposeful Curriculum Collaboration</t>
  </si>
  <si>
    <t>Psencik, Margaret Kay</t>
  </si>
  <si>
    <t>LB1060.P828 2009eb</t>
  </si>
  <si>
    <t>Succeeding at Teaching Secondary Mathematics : Your First Year</t>
  </si>
  <si>
    <t>Roddick, Cheryl D.;Sliva Spitzer, Julie A.</t>
  </si>
  <si>
    <t>QA11.2 .R635 2010</t>
  </si>
  <si>
    <t>Mathematics-Study and teaching (Secondary)</t>
  </si>
  <si>
    <t>Differentiated Literacy Strategies for Student Growth and Achievement in Grades K-6</t>
  </si>
  <si>
    <t>Gregory, Gayle H.;Kuzmich, Linda M.</t>
  </si>
  <si>
    <t>LB1576.G773 2005</t>
  </si>
  <si>
    <t>Leaders As Communicators and Diplomats</t>
  </si>
  <si>
    <t>Houston, Paul D.;Blankstein, Alan M.;Cole, Robert W.</t>
  </si>
  <si>
    <t>LB2807.L433 2009</t>
  </si>
  <si>
    <t>The School Counselor's Guide to ADHD : What to Know and Do to Help Your Students</t>
  </si>
  <si>
    <t>Lougy, Richard A.;DeRuvo, Silvia L.;Rosenthal, David</t>
  </si>
  <si>
    <t>LC4713.4.L68 2009</t>
  </si>
  <si>
    <t>The Eleven Commandments of Good Teaching</t>
  </si>
  <si>
    <t>Gill, Vickie</t>
  </si>
  <si>
    <t>LB1025.3.G45 2009</t>
  </si>
  <si>
    <t>The 200 Most Frequently Asked Legal Questions for Educators</t>
  </si>
  <si>
    <t>Essex, Nathan L.</t>
  </si>
  <si>
    <t>KF4119.85.E849 2009</t>
  </si>
  <si>
    <t>344.73/071</t>
  </si>
  <si>
    <t>Promoting Your School : Going Beyond PR</t>
  </si>
  <si>
    <t>Warner, Carolyn</t>
  </si>
  <si>
    <t>LB2847.W36 2009</t>
  </si>
  <si>
    <t>659.2/9371</t>
  </si>
  <si>
    <t>Differentiation Through Learning Styles and Memory</t>
  </si>
  <si>
    <t>Sprenger, Marilee B.</t>
  </si>
  <si>
    <t>LB1060 .S695 2008</t>
  </si>
  <si>
    <t>Learning. ; Memory. ; Brain.</t>
  </si>
  <si>
    <t>Using RTI to Teach Literacy to Diverse Learners, K-8 : Strategies for the Inclusive Classroom</t>
  </si>
  <si>
    <t>Alber-Morgan, Sheila</t>
  </si>
  <si>
    <t>Differentiated Literacy Strategies for English Language Learners, Grades 7-12</t>
  </si>
  <si>
    <t>Gregory, Gayle H.;Burkman, Amy J.</t>
  </si>
  <si>
    <t>PE1128.A2 .G682 2012</t>
  </si>
  <si>
    <t>English language-Study and teaching (Middle school)-Foreign speakers. ; English language-Study and teaching (Secondary)-Foreign speakers. ; Content area reading. ; Individualized instruction.</t>
  </si>
  <si>
    <t>What Successful Mentors Do : 81 Research-Based Strategies for New Teacher Induction, Training, and Support</t>
  </si>
  <si>
    <t>Hicks, Cathy D.;Glasgow, Neal A.;McNary, Sarah J.</t>
  </si>
  <si>
    <t>LB1731.4.H53 2005eb</t>
  </si>
  <si>
    <t>Leading with Passion and Knowledge : The Principal As Action Researcher</t>
  </si>
  <si>
    <t>Fichtman Dana, Nancy</t>
  </si>
  <si>
    <t>The Fourth Way : The Inspiring Future for Educational Change</t>
  </si>
  <si>
    <t>Hargreaves, Andy;Shirley, Dennis</t>
  </si>
  <si>
    <t>LB43 -- .H37 2009eb</t>
  </si>
  <si>
    <t>Thinking and Acting Like an Eclectic School Counselor</t>
  </si>
  <si>
    <t>Parsons, Richard D.</t>
  </si>
  <si>
    <t>LB1027.5.P377 2009</t>
  </si>
  <si>
    <t>The Educator&amp;prime;s Guide to Teaching Students with Autism Spectrum Disorders</t>
  </si>
  <si>
    <t>Ben-Arieh, Josefa;Miller, Helen J.</t>
  </si>
  <si>
    <t>Working with and Evaluating Difficult School Employees</t>
  </si>
  <si>
    <t>Eller, John F.;Eller, Sheila A.</t>
  </si>
  <si>
    <t>LB2831.5  .E454 2010</t>
  </si>
  <si>
    <t>School personnel management. ; School employees-Rating of. ; Problem employees.</t>
  </si>
  <si>
    <t>Mentoring and Coaching : A Lifeline for Teachers in a Multicultural Setting</t>
  </si>
  <si>
    <t>Gudwin, Denise M.;Salazar-Wallace, Magda D.</t>
  </si>
  <si>
    <t>LC1099.4.F6.G83 201</t>
  </si>
  <si>
    <t>From Difficult Teachers ... to Dynamic Teams</t>
  </si>
  <si>
    <t>Brock, Barbara L.;Grady, Marilyn L.</t>
  </si>
  <si>
    <t>LB2832.2.B763 2009</t>
  </si>
  <si>
    <t>Discipline in Special Education</t>
  </si>
  <si>
    <t>LC3981.O725 2009</t>
  </si>
  <si>
    <t>The School-Home Connection : Forging Positive Relationships with Parents</t>
  </si>
  <si>
    <t>Olender, Rosemary A.;Elias, Jacquelyn;Mastroleo, Rosemary D.</t>
  </si>
  <si>
    <t>LC226.O446 2010</t>
  </si>
  <si>
    <t>How Do We Know They're Getting Better? : Assessment for 21st Century Minds, K-8</t>
  </si>
  <si>
    <t>Barell, John F.</t>
  </si>
  <si>
    <t>Differentiated Literacy Strategies for English Language Learners, Grades K-6</t>
  </si>
  <si>
    <t>The Complete Guide to RTI : An Implementation Toolkit</t>
  </si>
  <si>
    <t>Burton, Dolores T.;Kappenberg, John W.</t>
  </si>
  <si>
    <t>LC4705.C656 2012eb</t>
  </si>
  <si>
    <t>Differentiated Instructional Strategies for Reading in the Content Areas</t>
  </si>
  <si>
    <t>Chapman, Carolyn M.;King, Rita S.</t>
  </si>
  <si>
    <t>LB1050.455.C437 2009</t>
  </si>
  <si>
    <t>Overcoming Textbook Fatigue : 21st Century Tools to Revitalize Teaching and Learning</t>
  </si>
  <si>
    <t>Lent, ReLeah Cossett</t>
  </si>
  <si>
    <t>LB3047 .L46 2012</t>
  </si>
  <si>
    <t>Textbooks-United States. ; Educational change-United States. ; Active learning-United States. ; Motivation in education-United States. ; Language arts-Correlation with content subjects-United States. ; Content area reading-United States.</t>
  </si>
  <si>
    <t>Common Core Standards for High School English Language Arts : A Quick-Start Guide</t>
  </si>
  <si>
    <t>Ryan, Susan;Frazee, Dana</t>
  </si>
  <si>
    <t>LB1631 .R94 2012</t>
  </si>
  <si>
    <t>Language arts (Secondary)-United States. ; Language arts (Secondary)-Standards-United States.</t>
  </si>
  <si>
    <t>Aspirations, Education and Social Justice : Applying Sen and Bourdieu</t>
  </si>
  <si>
    <t>Hart, Caroline Sarojini</t>
  </si>
  <si>
    <t>LB1027.8</t>
  </si>
  <si>
    <t>Sen, Amartya, -- 1933- ; Bourdieu, Pierre, -- 1930-2002. ; Student aspirations -- Great Britain -- Case studies. ; High school students -- Great Britain -- Attitudes -- Case studies. ; Education -- Social aspects -- Great Britain -- Case studies. ; Education and globalization -- Great Britain -- Case studies. ; Maturation (Psychology) -- Great Britain -- Case studies.</t>
  </si>
  <si>
    <t>Consuming Higher Education : Why Learning Can't Be Bought</t>
  </si>
  <si>
    <t>Williams, Joanna;Williams, Joanna</t>
  </si>
  <si>
    <t>LC67.68</t>
  </si>
  <si>
    <t>Education, Higher -- Economic aspects. ; Education, Higher -- Marketing. ; Education, Higher -- Aims and objectives. ; Higher education and state.</t>
  </si>
  <si>
    <t>Educating the Postmodern Child : The Struggle for Learning in a World of Virtual Realities</t>
  </si>
  <si>
    <t>Long, Fiachra</t>
  </si>
  <si>
    <t>Problem children--Education. ; Children--Social conditions. ; Postmodernism.</t>
  </si>
  <si>
    <t>Education and Internally Displaced Persons</t>
  </si>
  <si>
    <t>Smith Ellison, Christine;Smith, Alan;Brock, Colin;Smith Ellison, Christine;Brock, Colin</t>
  </si>
  <si>
    <t>LC3719</t>
  </si>
  <si>
    <t>Education -- Social aspects. ; Internally displaced persons -- Education. ; Refugee children -- Education.</t>
  </si>
  <si>
    <t>Imagination in Educational Theory and Practice : A Many-sided Vision</t>
  </si>
  <si>
    <t>Cambridge Scholars Publishing</t>
  </si>
  <si>
    <t>Newcastle-upon-Tyne</t>
  </si>
  <si>
    <t>Nielsen, Thomas William;Fitzgerald, Robert;Fettes, Mark</t>
  </si>
  <si>
    <t>LB1590.5 -- .I43 2010eb</t>
  </si>
  <si>
    <t>Creative thinking -- Study and teaching. ; Creative ability in children. ; Creative activities and seat work.</t>
  </si>
  <si>
    <t>Academic Apartheid : Waging the Adjunct War</t>
  </si>
  <si>
    <t>DeSantis, Sylvia M.</t>
  </si>
  <si>
    <t>LB2844.1.P3 -- A33 2011eb</t>
  </si>
  <si>
    <t>College teachers, Part-time.</t>
  </si>
  <si>
    <t>Academic Identities—Academic Challenges? American and European Experience of the Transformation of Higher Education and Research</t>
  </si>
  <si>
    <t>Halvorsen, Tor;Nyhagen, Atle</t>
  </si>
  <si>
    <t>LB2324 -- .A26 2011eb</t>
  </si>
  <si>
    <t>Education, Higher -- Europe. ; Education, Higher -- United States. ; Universities and colleges.</t>
  </si>
  <si>
    <t>Analysing the Consequences of Academic Mobility and Migration</t>
  </si>
  <si>
    <t>Dervin, Fred</t>
  </si>
  <si>
    <t>LC1095 -- .A53 2011eb</t>
  </si>
  <si>
    <t>Transnational education. ; Foreign study.</t>
  </si>
  <si>
    <t>International Education Policy in Japan in an Age of Globalisation and Risk</t>
  </si>
  <si>
    <t>Global Oriental</t>
  </si>
  <si>
    <t>Aspinall, Robert W.</t>
  </si>
  <si>
    <t>LC1090 .A745 2013</t>
  </si>
  <si>
    <t>Education and globalization-Japan. ; English language-Study and teaching-Japan. ; International education-Japan.</t>
  </si>
  <si>
    <t>Pedagogies to Enhance Learning for Indigenous Students : Evidence-Based Practice</t>
  </si>
  <si>
    <t>Springer Singapore Pte. Limited</t>
  </si>
  <si>
    <t>Jorgensen, Robyn;Sullivan, Peter;Grootenboer, Peter</t>
  </si>
  <si>
    <t>Indigenous peoples -- Education. ; Education.</t>
  </si>
  <si>
    <t>Sustainable Learning Community : One University’s Journey to the Future</t>
  </si>
  <si>
    <t>University of Massachusetts Press</t>
  </si>
  <si>
    <t>University of New Hampshire Press</t>
  </si>
  <si>
    <t>Hanover</t>
  </si>
  <si>
    <t>New Hampshire</t>
  </si>
  <si>
    <t>Aber, John;Kelly, Tom;Mallory, Bruce</t>
  </si>
  <si>
    <t>LD3779.N43 -- S87 2009eb</t>
  </si>
  <si>
    <t>378.742/5</t>
  </si>
  <si>
    <t>University of New Hampshire. ; College facilities -- Environmental aspects -- New Hampshire. ; Sustainable living -- New Hampshire. ; Universities and colleges -- Environmental aspects -- New Hampshire.</t>
  </si>
  <si>
    <t>The Indian History of an American Institution : Native Americans and Dartmouth</t>
  </si>
  <si>
    <t>University Press of New England</t>
  </si>
  <si>
    <t>Calloway, Colin G.</t>
  </si>
  <si>
    <t>Indians of North America -- Education (Higher) -- New Hampshire -- Hanover -- History.</t>
  </si>
  <si>
    <t>The Benderly Boys and American Jewish Education</t>
  </si>
  <si>
    <t>Brandeis University Press</t>
  </si>
  <si>
    <t>Krasner, Jonathan B.</t>
  </si>
  <si>
    <t>Brandeis Series in American Jewish History, Culture, and Life Series</t>
  </si>
  <si>
    <t>LC3571</t>
  </si>
  <si>
    <t>370.89/924073</t>
  </si>
  <si>
    <t>Jews -- Education -- United States -- History -- 20th century</t>
  </si>
  <si>
    <t>Forever New : The Speeches of James Wright, President of Dartmouth College, 1998-2009</t>
  </si>
  <si>
    <t>Wright, James;Culbert, Sheila</t>
  </si>
  <si>
    <t>LD1443</t>
  </si>
  <si>
    <t>378.742/3</t>
  </si>
  <si>
    <t>College orations -- Dartmouth College</t>
  </si>
  <si>
    <t>Articulate Studio Cookbook : Go from Studio Newbie to Studio Guru</t>
  </si>
  <si>
    <t>Kennedy, Robert;Robert Kennedy III, Robert Kennedy</t>
  </si>
  <si>
    <t>Quantum chemistry. ; Quantum theory.</t>
  </si>
  <si>
    <t>Essential Motivation in the Classroom</t>
  </si>
  <si>
    <t>Gilbert, Ian</t>
  </si>
  <si>
    <t>LB1065 .G48 2013</t>
  </si>
  <si>
    <t>The Changing Russian University : From State to Market</t>
  </si>
  <si>
    <t>Maximova-Mentzoni, Tatiana</t>
  </si>
  <si>
    <t>Routledge Contemporary Russia and Eastern Europe Series</t>
  </si>
  <si>
    <t>LA839.4 .M39 2012</t>
  </si>
  <si>
    <t>Research - Economic aspects - Russia (Federation)</t>
  </si>
  <si>
    <t>Creativity and Critical Thinking</t>
  </si>
  <si>
    <t>Padget, Steve</t>
  </si>
  <si>
    <t>Teaching Contemporary Themes in Secondary Education Series</t>
  </si>
  <si>
    <t>BF408 .C75445 2012</t>
  </si>
  <si>
    <t>370.11/8</t>
  </si>
  <si>
    <t>General Education and the Development of Global Citizenship in Hong Kong, Taiwan and Mainland China : Not Merely Icing on the Cake</t>
  </si>
  <si>
    <t>Xing, Jun;Ng, Pak-Sheung;Cheng, Chloe</t>
  </si>
  <si>
    <t>Routledge Research in Asian Education Series</t>
  </si>
  <si>
    <t>LC988.C6 G46 2013</t>
  </si>
  <si>
    <t>370.11/10951</t>
  </si>
  <si>
    <t>Education, Higher - Taiwan</t>
  </si>
  <si>
    <t>The Transition Tightrope : Supporting Students in Transition to Secondary School</t>
  </si>
  <si>
    <t>Wilcock, Angie</t>
  </si>
  <si>
    <t>LB1626 .W55 2012</t>
  </si>
  <si>
    <t>The University in Dissent : Scholarship in the Corporate University</t>
  </si>
  <si>
    <t>Rolfe, Gary</t>
  </si>
  <si>
    <t>LB2322.2 .R65 2012</t>
  </si>
  <si>
    <t>Drama, Disability and Education : A Critical Exploration for Students and Practitioners</t>
  </si>
  <si>
    <t>Kempe, Andy</t>
  </si>
  <si>
    <t>PN1701 .K43 2013</t>
  </si>
  <si>
    <t>372.66/044</t>
  </si>
  <si>
    <t>Drama -- Study and teaching. ; Children with disabilities -- Education. ; Drama in education. ; Special education.</t>
  </si>
  <si>
    <t>Teacher Development in Higher Education : Existing Programs, Program Impact, and Future Trends</t>
  </si>
  <si>
    <t>Simon, Eszter;Pleschová, Gabriela</t>
  </si>
  <si>
    <t>LB1738 .T43 2012</t>
  </si>
  <si>
    <t>EDUCATION / Comparative</t>
  </si>
  <si>
    <t>Introducing Malaguzzi : Exploring the Life and Work of Reggio Emilia's Founding Father</t>
  </si>
  <si>
    <t>Smidt, Sandra</t>
  </si>
  <si>
    <t>Introducing Early Years Thinkers Series</t>
  </si>
  <si>
    <t>LB880.M3152 S65 2012</t>
  </si>
  <si>
    <t>Malaguzzi, Loris, -- 1920-1994. ; Educators -- Italy -- Biography. ; Reggio Emilia approach (Early childhood education)</t>
  </si>
  <si>
    <t>Corporatism, Social Control, and Cultural Domination in Education: from the Radical Right to Globalization : The Selected Works of Joel Spring</t>
  </si>
  <si>
    <t>LC71 .S65 2012</t>
  </si>
  <si>
    <t>EDUCATION / Aims &amp; Objectives</t>
  </si>
  <si>
    <t>Unifying Educational Systems : Leadership and Policy Perspectives</t>
  </si>
  <si>
    <t>Burrello, Leonard C.;Sailor, Wayne;Kleinhammer-Tramill, Jeannie</t>
  </si>
  <si>
    <t>LC1200 .U65 2012</t>
  </si>
  <si>
    <t>The Great American Education-Industrial Complex : Ideology, Technology, and Profit</t>
  </si>
  <si>
    <t>Picciano, Anthony G.;Spring, Joel</t>
  </si>
  <si>
    <t>378.1/035</t>
  </si>
  <si>
    <t>Academic-industrial collaboration - United States</t>
  </si>
  <si>
    <t>Educational Delusions? : Why Choice Can Deepen Inequality and How to Make Schools Fair</t>
  </si>
  <si>
    <t>Orfield, Gary;Frankenberg, Erica</t>
  </si>
  <si>
    <t>Party School : Crime, Campus, and Community</t>
  </si>
  <si>
    <t>Northeastern University Press</t>
  </si>
  <si>
    <t>Northeastern</t>
  </si>
  <si>
    <t>Weiss, Karen G.</t>
  </si>
  <si>
    <t>Northeastern Series on Gender, Crime, and Law</t>
  </si>
  <si>
    <t>LA229 -- .W425 2013eb</t>
  </si>
  <si>
    <t>College students -- Alcohol use -- United States. ; College students -- Drug use -- United States. ; College students -- United States -- Social conditions. ; College environment -- United States.</t>
  </si>
  <si>
    <t>Education and Natural Disasters</t>
  </si>
  <si>
    <t>Smawfield, David;Brock, Colin;Brock, Colin</t>
  </si>
  <si>
    <t>LC192.2</t>
  </si>
  <si>
    <t>Emergency management -- Study and teaching -- Cross-cultural studies. ; Environmental disasters -- Study and teaching -- Cross-cultural studies. ; Environmental education -- Cross-cultural studies. ; Natural disasters -- Study and teaching -- Cross-cultural studies.</t>
  </si>
  <si>
    <t>Education; Environmental Studies</t>
  </si>
  <si>
    <t>Drought and the Human Story : Braving the Bull of Heaven</t>
  </si>
  <si>
    <t>Heathcote, R. L.</t>
  </si>
  <si>
    <t>QC929.24 -- .H43 2012eb</t>
  </si>
  <si>
    <t>Droughts -- History. ; Droughts -- Social aspects -- History. ; Human ecology -- History. ; World history.</t>
  </si>
  <si>
    <t>Social Science; Science; Science: Physics</t>
  </si>
  <si>
    <t>International Social Work Practice : Case Studies from a Global Context</t>
  </si>
  <si>
    <t>Bettmann, Joanna E.;Jacques, Gloria;Frost, Caren J.</t>
  </si>
  <si>
    <t>HV10.5 .I48 2012</t>
  </si>
  <si>
    <t>361.3/2</t>
  </si>
  <si>
    <t>Social service - Vocational guidance</t>
  </si>
  <si>
    <t>Young People and Everyday Multiculturalism</t>
  </si>
  <si>
    <t>Harris, Anita</t>
  </si>
  <si>
    <t>LC1099.5.A8 H37 2012</t>
  </si>
  <si>
    <t>The Organisational Dynamics of University Reform in Japan : International Inside Out</t>
  </si>
  <si>
    <t>Breaden, Jeremy</t>
  </si>
  <si>
    <t>LA1318 .B74 2012</t>
  </si>
  <si>
    <t>Universities and colleges - Japan - Administration</t>
  </si>
  <si>
    <t>Universities, Cities and Regions : Loci for Knowledge and Innovation Creation</t>
  </si>
  <si>
    <t>Capello, Roberta;Olechnicka, Agnieszka;Gorzelak, Grzegorz</t>
  </si>
  <si>
    <t>Routledge Studies in Global Competition Series</t>
  </si>
  <si>
    <t>LC67.6 .U573 2012</t>
  </si>
  <si>
    <t>Education, Higher -- Economic aspects. ; Universities and colleges -- Economic aspects. ; Regional economics. ; Research -- Economic aspects. ; Diffusion of innovations. ; Business and education. ; Academic-industrial collaboration.</t>
  </si>
  <si>
    <t>Reading - from Words to Multiple Texts</t>
  </si>
  <si>
    <t>Britt, Anne;Goldman, Susan;Rouet, Jean-Francois</t>
  </si>
  <si>
    <t>BF455</t>
  </si>
  <si>
    <t>Perfetti, Charles A</t>
  </si>
  <si>
    <t>Psychology; Language/Linguistics</t>
  </si>
  <si>
    <t>A Frenchwoman's Imperial Story : Madame Luce in Nineteenth-Century Algeria</t>
  </si>
  <si>
    <t>Rogers, Rebecca</t>
  </si>
  <si>
    <t>LA2375</t>
  </si>
  <si>
    <t>Luce, -- Madame, -- 1804-1882. ; Women teachers -- France -- Biography. ; Muslim girls -- Education -- Algeria -- History -- 19th century. ; Education and state -- Algeria -- History -- 19th century. ; Women -- Algeria -- Social conditions -- 19th century. ; France -- Colonies -- Africa -- History -- 19th century.</t>
  </si>
  <si>
    <t>Teach Beyond Your Reach : An Instructor's Guide to Developing and Running Successful Distance Learning Classes, Workshops, Training Sessions, and More</t>
  </si>
  <si>
    <t>Neidorf, Robin;Neidorf, Robin</t>
  </si>
  <si>
    <t>LC5800 -- .N45 2012eb</t>
  </si>
  <si>
    <t>Distance education. ; Teacher-student relationships.</t>
  </si>
  <si>
    <t>Divorce, Family Structure, and the Academic Success of Children</t>
  </si>
  <si>
    <t>LC5159.3</t>
  </si>
  <si>
    <t>Children of divorced parents -- Education -- United States. ; Children of single parents -- Education -- United States. ; Home and school -- United States. ; Academic achievement -- United States. ; Educational surveys -- United States.</t>
  </si>
  <si>
    <t>University-Community Partnerships : Universities in Civic Engagement</t>
  </si>
  <si>
    <t>Soska, Tracy;Butterfield, Alice K. Johnson</t>
  </si>
  <si>
    <t>LB2331.44 .U55</t>
  </si>
  <si>
    <t>Universities and colleges -- United States -- Public services. ; Community and college -- United States.</t>
  </si>
  <si>
    <t>School Leadership and Complexity Theory</t>
  </si>
  <si>
    <t>LB2806 .M649</t>
  </si>
  <si>
    <t>Pledging Allegiance : Learning Nationalism at the el Paso-Juarez Border</t>
  </si>
  <si>
    <t>Rippberger, Susan J.;Staudt, Kathleen A.;Scapp, Ronn</t>
  </si>
  <si>
    <t>LC90.T4 R56 2012</t>
  </si>
  <si>
    <t>Civics - Study and teaching (Elementary)</t>
  </si>
  <si>
    <t>Challenges in Primary Science : Meeting the Needs of Able Young Scientists at Key Stage Two</t>
  </si>
  <si>
    <t>Coates, David;Wilson, Helen</t>
  </si>
  <si>
    <t>LB1585 -- .C63 2003eb</t>
  </si>
  <si>
    <t>Science -- Study and teaching (Elementary)</t>
  </si>
  <si>
    <t>Education and Society in a Changing Mizoram : The Practice of Pedagogy</t>
  </si>
  <si>
    <t>Routledge India</t>
  </si>
  <si>
    <t>Bhatia, Lakshmi</t>
  </si>
  <si>
    <t>Transition in Northeastern India Series</t>
  </si>
  <si>
    <t>DS432.L8 B46 2012</t>
  </si>
  <si>
    <t>Education, Secondary - Social aspects - India - Mizoram</t>
  </si>
  <si>
    <t>Adult Education and Lifelong Learning : Theory and Practice</t>
  </si>
  <si>
    <t>LC5215 .J37 2012</t>
  </si>
  <si>
    <t>Literacy Moves On : Using Popular Culture, New Technologies and Critical Literacy in the Primary Classroom</t>
  </si>
  <si>
    <t>Evans, Janet</t>
  </si>
  <si>
    <t>LB1576 .L5565 2012</t>
  </si>
  <si>
    <t>Language arts (Elementary) ; Technological literacy. ; Education -- Effect of technological innovations on. ; Popular culture.</t>
  </si>
  <si>
    <t>Creative Teaching: History in the Primary Classroom</t>
  </si>
  <si>
    <t>Turner-Bisset, Rosie</t>
  </si>
  <si>
    <t>LB1555</t>
  </si>
  <si>
    <t>History -- Study and teaching (Elementary)</t>
  </si>
  <si>
    <t>Therapeutic Storywriting : A Practical Guide to Developing Emotional Literacy in Primary Schools</t>
  </si>
  <si>
    <t>Waters, Trisha</t>
  </si>
  <si>
    <t>LB1139.W7; LC4801.5</t>
  </si>
  <si>
    <t>Narrative therapy</t>
  </si>
  <si>
    <t>Echoes from Freire for a Critically Engaged Pedagogy</t>
  </si>
  <si>
    <t>Bloomsbury Academic &amp; Professional</t>
  </si>
  <si>
    <t>Mayo, Peter</t>
  </si>
  <si>
    <t>Critical Pedagogy Today Series</t>
  </si>
  <si>
    <t>LB1073 .M384 2012</t>
  </si>
  <si>
    <t>Affective education. ; Education -- Aims and objectives.</t>
  </si>
  <si>
    <t>Leadership and Religious Schools : International Perspectives and Challenges</t>
  </si>
  <si>
    <t>Buchanan, Michael T.</t>
  </si>
  <si>
    <t>LC331</t>
  </si>
  <si>
    <t>Educational leadership -- Cross-cultural studies</t>
  </si>
  <si>
    <t>The Aesthetics of Education : Theatre, Curiosity, and Politics in the Work of Jacques Ranciere and Paulo Freire</t>
  </si>
  <si>
    <t>Lewis, Tyson E.</t>
  </si>
  <si>
    <t>LC196.L48 2012</t>
  </si>
  <si>
    <t>Rancière, Jacques</t>
  </si>
  <si>
    <t>Education, Extremism and Terrorism : What Should Be Taught in Citizenship Education and Why</t>
  </si>
  <si>
    <t>LC1091.G446 2012</t>
  </si>
  <si>
    <t>Citizenship--Study and teaching. ; Civics--Study and teaching. ; Radicalism--Study and teaching. ; Terrorism--Study and teaching. ; EDUCATION / Physical Education. bisacsh. ; EDUCATION / Computers &amp; Technology. bisacsh.</t>
  </si>
  <si>
    <t>Service-Learning and Educating in Challenging Contexts : International Perspectives</t>
  </si>
  <si>
    <t>Murphy, Timothy;Tan, Jon</t>
  </si>
  <si>
    <t>LC220.5.S4547 2012</t>
  </si>
  <si>
    <t>Handbook of Implementation Science for Psychology in Education</t>
  </si>
  <si>
    <t>Kelly, Barbara;Perkins, Daniel F.</t>
  </si>
  <si>
    <t>LB1051 .H2355 2012</t>
  </si>
  <si>
    <t>The Scholarship of Teaching and Learning in and Across the Disciplines</t>
  </si>
  <si>
    <t>McKinney, Kathleen;Huber, Mary Taylor;Albers, Cheryl M.;Bennett, Curtis D.;Bernstein, Jeffrey L.;Bauer-Dantoin, Angela;Chick, Nancy L.;Christensen, Tyler B.;Dewar, Jacqueline M.;Díaz, Arlene J.</t>
  </si>
  <si>
    <t>Scholarship of Teaching and Learning Series</t>
  </si>
  <si>
    <t>LA227.4 -- .S36 2013eb</t>
  </si>
  <si>
    <t>Education, Higher -- United States. ; Interdisciplinary approach in education -- United States.</t>
  </si>
  <si>
    <t>My Boys and Girls Are in There : The 1937 New London School Explosion</t>
  </si>
  <si>
    <t>Texas A&amp;M</t>
  </si>
  <si>
    <t>Texas A&amp;M University Press</t>
  </si>
  <si>
    <t>Rozelle, Ron</t>
  </si>
  <si>
    <t>LD7501.N4662 -- R69 2012eb</t>
  </si>
  <si>
    <t>Natural gas - Accidents - Texas - New London - History - 20th century.</t>
  </si>
  <si>
    <t>Together We Can : Pathways to Collective Leadership in Agriculture at Texas A&amp;M</t>
  </si>
  <si>
    <t>Hiler, Edward A.;Bosserman, Steven L.</t>
  </si>
  <si>
    <t>AgriLife Research and Extension Service</t>
  </si>
  <si>
    <t>LD5309 -- .H55 2011eb</t>
  </si>
  <si>
    <t>Hiler, Edward A. -- (Edward Allan) ; Texas A &amp; M University System -- Administration. ; State universities and colleges -- Texas -- Administration. ; Educational leadership -- Texas. ; Agricultural education -- Texas. ; Educational change -- Texas. ; College administrators -- Texas -- Biography.</t>
  </si>
  <si>
    <t>Basil Bernstein : The Thinker and the Field</t>
  </si>
  <si>
    <t>LB880.B462 M66 2013</t>
  </si>
  <si>
    <t>Becoming a Secondary School Teacher : How to Make a Success of Your Initial Teacher Training and Induction</t>
  </si>
  <si>
    <t>Fleming, Peter</t>
  </si>
  <si>
    <t>LB1737.G7 F54 2013</t>
  </si>
  <si>
    <t>High school teaching - Great Britain</t>
  </si>
  <si>
    <t>Motivation and Learning Strategies for College Success : A Focus on Self-Regulated Learning</t>
  </si>
  <si>
    <t>Dembo, Myron H.;Seli, Helena</t>
  </si>
  <si>
    <t>LB2343.3 .D46 2012</t>
  </si>
  <si>
    <t>College student orientation. ; Achievement motivation. ; Learning strategies.</t>
  </si>
  <si>
    <t>Girls Growing up in Late Victorian and Edwardian England</t>
  </si>
  <si>
    <t>Dyhouse, Carol</t>
  </si>
  <si>
    <t>Routledge Library Editions: Women's History Series</t>
  </si>
  <si>
    <t>HQ798 .D85</t>
  </si>
  <si>
    <t>305.2/3/0941</t>
  </si>
  <si>
    <t>Teenage girls -- Education -- Great Britain -- History -- 19th century</t>
  </si>
  <si>
    <t>Knowledge, Power, and Education : The Selected Works of Michael W. Apple</t>
  </si>
  <si>
    <t>Apple, Michael</t>
  </si>
  <si>
    <t>LC196 .A75 2012</t>
  </si>
  <si>
    <t>Provision Mapping : Improving outcomes in primary schools</t>
  </si>
  <si>
    <t>Independence</t>
  </si>
  <si>
    <t>Massey, Anne</t>
  </si>
  <si>
    <t>David Fulton / Nasen</t>
  </si>
  <si>
    <t>LB2822.75 -- .M383 2013eb</t>
  </si>
  <si>
    <t>Educational evaluation -- Great Britain. ; School improvement programs -- Great Britain.</t>
  </si>
  <si>
    <t>Education Reform and Social Class in Japan : The Emerging Incentive Divide</t>
  </si>
  <si>
    <t>Kariya, Takehiko</t>
  </si>
  <si>
    <t>Routledge/University of Tokyo Series</t>
  </si>
  <si>
    <t>LA1312 .K344 2013</t>
  </si>
  <si>
    <t>British Student Activism in the Long Sixties</t>
  </si>
  <si>
    <t>Hoefferle, Caroline</t>
  </si>
  <si>
    <t>Routledge Studies in Modern British History Series</t>
  </si>
  <si>
    <t>LA631.82 .H64 2013</t>
  </si>
  <si>
    <t>Student movements -- Great Britain -- History -- 20th century. ; College students -- Political activity -- Great Britain -- History -- 20th century.</t>
  </si>
  <si>
    <t>Using Social Media Effectively in the Classroom : Blogs, Wikis, Twitter, and More</t>
  </si>
  <si>
    <t>Seo, Kay</t>
  </si>
  <si>
    <t>LB1044.87 .S46 2012</t>
  </si>
  <si>
    <t>Maximising the Impact of Teaching Assistants : Guidance for school leaders and teachers</t>
  </si>
  <si>
    <t>Webster, Rob;Russell, Anthony;Blatchford, Peter</t>
  </si>
  <si>
    <t>LB2844.1.A8 -- R87 2013eb</t>
  </si>
  <si>
    <t>Teachers' assistants.</t>
  </si>
  <si>
    <t>Determined to Succeed? : Performance Versus Choice in Educational Attainment</t>
  </si>
  <si>
    <t>Jackson, Michelle</t>
  </si>
  <si>
    <t>Educational equalization -- Cross-cultural studies. ; Educational attainment -- Cross-cultural studies. ; Academic achievement -- Cross-cultural studies.</t>
  </si>
  <si>
    <t>Making the Common Core Standards Work : Using Professional Development to Build World-Class Schools</t>
  </si>
  <si>
    <t>Manley, Robert J.;Hawkins, Richard J.</t>
  </si>
  <si>
    <t>LB3060.83 .M36 2013</t>
  </si>
  <si>
    <t>Education-Standards-United States. ; Education-Curricula-United States. ; Educational leadership-United States.</t>
  </si>
  <si>
    <t>Educational Theory and Jewish Studies in Conversation : From Volozhin to Buczacz</t>
  </si>
  <si>
    <t>Shapiro, Harvey</t>
  </si>
  <si>
    <t>LC719 -- .S485 2013eb</t>
  </si>
  <si>
    <t>Jewish religious education - Philosophy</t>
  </si>
  <si>
    <t>Dissertation Solutions : A Concise Guide to Planning, Implementing, and Surviving the Dissertation Process</t>
  </si>
  <si>
    <t>Axelrod, Bradley;Windell, James</t>
  </si>
  <si>
    <t>LB2369.A94 2012</t>
  </si>
  <si>
    <t>Dissertations, Academic--Handbooks, manuals, etc. ; Proposal writing in research--Handbooks, manuals, etc. ; Academic writing--Handbooks, manuals, etc.</t>
  </si>
  <si>
    <t>Safe and Peaceful Schools : Addressing Conflict and Eliminating Violence</t>
  </si>
  <si>
    <t>Winslade, John M.;Williams, Michael</t>
  </si>
  <si>
    <t>LB3013.3 .W556 2012</t>
  </si>
  <si>
    <t>371.7/820973</t>
  </si>
  <si>
    <t>School violence-United States-Prevention. ; Schools-United States-Safety measures. ; Conflict management-Study and teaching-United States.</t>
  </si>
  <si>
    <t>Changing Suburbs, Changing Students : Helping School Leaders Face the Challenges</t>
  </si>
  <si>
    <t>Wepner, Shelley B.;Ferrara, JoAnne G.;Rainville, Kristin N.;Gómez, Diane W.;Lang, Diane E.;Bigaouette, Laura A.;Gómez, Diane W.</t>
  </si>
  <si>
    <t>LC5145.2.W46 2012</t>
  </si>
  <si>
    <t>The RTI Startup Guide : Tools and Templates for Schoolwide Implementation</t>
  </si>
  <si>
    <t>Lawrence, Cynthia A.</t>
  </si>
  <si>
    <t>LC4705.L28 2012</t>
  </si>
  <si>
    <t>Be a CHANGEMASTER : 12 Coaching Strategies for Leading Professional and Personal Change</t>
  </si>
  <si>
    <t>Reiss, Karla</t>
  </si>
  <si>
    <t>LB2831.5 .R45 2012</t>
  </si>
  <si>
    <t>School personnel management. ; Educational leadership. ; Organizational change. ; Self-actualization (Psychology)</t>
  </si>
  <si>
    <t>Teaching Children Who Are Hard to Reach : Relationship-Driven Classroom Practice</t>
  </si>
  <si>
    <t>Marlowe, Michael J.;Hayden, Torey</t>
  </si>
  <si>
    <t>Problem children-Education. ; Problem children-Behavior modification. ; Classroom management. ; Teacher-student relationships. ; Effective teaching.</t>
  </si>
  <si>
    <t>Creative Scheduling for Diverse Populations in Middle and High School : Maximizing Opportunities for Learning</t>
  </si>
  <si>
    <t>Merenbloom, Elliot Y.;Kalina, Barbara A.</t>
  </si>
  <si>
    <t>LB3032.M46 2013</t>
  </si>
  <si>
    <t>Kindergarten Readiness</t>
  </si>
  <si>
    <t>Cappelloni, Nancy L.</t>
  </si>
  <si>
    <t>LB1132.C36 2013</t>
  </si>
  <si>
    <t>41 Active Learning Strategies for the Inclusive Classroom, Grades 6-12</t>
  </si>
  <si>
    <t>Casale-Giannola, Diane P.;Green, Linda S.</t>
  </si>
  <si>
    <t>LB1027.23.C22 2012</t>
  </si>
  <si>
    <t>Managing the Cycle of Meltdowns for Students with Autism Spectrum Disorder</t>
  </si>
  <si>
    <t>Colvin, Geoffrey T.;Sheehan, Martin R.</t>
  </si>
  <si>
    <t>LC4717.C658 2012</t>
  </si>
  <si>
    <t>Realizing the Promise of 21st-Century Education : An Owner&amp;prime;s Manual</t>
  </si>
  <si>
    <t>Joyce, Bruce;Calhoun, Emily</t>
  </si>
  <si>
    <t>LA209.2 .J648 2012</t>
  </si>
  <si>
    <t>Education-United States-History-21st century.</t>
  </si>
  <si>
    <t>The Data Toolkit : Ten Tools for Supporting School Improvement</t>
  </si>
  <si>
    <t>Hess, Robert T.;Robbins, Pamela M.</t>
  </si>
  <si>
    <t>LB2806.17 .H47 2012</t>
  </si>
  <si>
    <t>School management and organization-Data processing. ; School management and organization-Decision making. ; School improvement programs.</t>
  </si>
  <si>
    <t>How to Use Value-Added Analysis to Improve Student Learning : A Field Guide for School and District Leaders</t>
  </si>
  <si>
    <t>Kennedy, Kate;Peters, Mary;Thomas, James M.</t>
  </si>
  <si>
    <t>LB1025.3.K466 2012</t>
  </si>
  <si>
    <t>Teach Reading, Not Testing : Best Practice in an Age of Accountability</t>
  </si>
  <si>
    <t>Hollingworth, Liz;Drake, Hilleary M.</t>
  </si>
  <si>
    <t>Culturally Considerate School Counseling : Helping Without Bias</t>
  </si>
  <si>
    <t>Anderson, Kim L.</t>
  </si>
  <si>
    <t>LB1027.5.A6235 2010</t>
  </si>
  <si>
    <t>A Developmental Approach to Educating Young Children</t>
  </si>
  <si>
    <t>Daniels, Denise;Clarkson, Patricia K.</t>
  </si>
  <si>
    <t>Classroom Insights from Educational Psychology Series</t>
  </si>
  <si>
    <t>High-Five Teaching, K-5 : Using Green Light Strategies to Create Dynamic, Student-Focused Classrooms</t>
  </si>
  <si>
    <t>Allen, Rich;Waldman, Cindy</t>
  </si>
  <si>
    <t>LB1555.A454 2010</t>
  </si>
  <si>
    <t>Inquiry : A Districtwide Approach to Staff and Student Learning</t>
  </si>
  <si>
    <t>Fichtman Dana, Nancy;Thomas, Carol M.;Boynton, Sylvia S.</t>
  </si>
  <si>
    <t>LB1027.23 .D36 2011</t>
  </si>
  <si>
    <t>Inquiry-based learning. ; Teachers-In-service training.</t>
  </si>
  <si>
    <t>Multi-Dimensional Education : A Common Sense Approach to Data-Driven Thinking</t>
  </si>
  <si>
    <t>Corrigan, Michael W.;Grove, Douglas;Vincent, Philip F.</t>
  </si>
  <si>
    <t>LB2806.17.C67 2011</t>
  </si>
  <si>
    <t>Aligning Your Curriculum to the Common Core State Standards</t>
  </si>
  <si>
    <t>Crawford, Joe T.</t>
  </si>
  <si>
    <t>LB1570 .C874 2012</t>
  </si>
  <si>
    <t>Education-Curricula-Standards-United States-States.</t>
  </si>
  <si>
    <t>The Best of Corwin: Equity</t>
  </si>
  <si>
    <t>Lindsey, Randall B.</t>
  </si>
  <si>
    <t>The Best of Corwin Series</t>
  </si>
  <si>
    <t>LC213.2 .B47 2012</t>
  </si>
  <si>
    <t>Educational equalization-United States. ; Multicultural education-United States.</t>
  </si>
  <si>
    <t>Sparking Student Synapses, Grades 9-12 : Think Critically and Accelerate Learning</t>
  </si>
  <si>
    <t>Allen, Rich;Scozzi, Nigel</t>
  </si>
  <si>
    <t>LB1590.3.A53 2012</t>
  </si>
  <si>
    <t>The Daily Practices of Successful Principals</t>
  </si>
  <si>
    <t>LB2831.9.B77 2012</t>
  </si>
  <si>
    <t>Making Friends, PreK-3 : A Social Skills Program for Inclusive Settings</t>
  </si>
  <si>
    <t>Ross, Ruth Herron;Roberts-Pacchione, Elizabeth L.</t>
  </si>
  <si>
    <t>HM691.R67 2011</t>
  </si>
  <si>
    <t>40 Active Learning Strategies for the Inclusive Classroom, Grades K-5</t>
  </si>
  <si>
    <t>Green, Linda S.;Casale-Giannola, Diane P.</t>
  </si>
  <si>
    <t>LB1027.23.G744 2011</t>
  </si>
  <si>
    <t>Online Professional Development : Design, Deliver, Succeed!</t>
  </si>
  <si>
    <t>Ross, John D.</t>
  </si>
  <si>
    <t>LB1731.R615 2011</t>
  </si>
  <si>
    <t>The Instructional Leader and the Brain : Using Neuroscience to Inform Practice</t>
  </si>
  <si>
    <t>Glick, Margaret C.</t>
  </si>
  <si>
    <t>LB1060 .G558 2011</t>
  </si>
  <si>
    <t>Learning, Psychology of. ; Learning-Physiological aspects. ; Neurosciences.</t>
  </si>
  <si>
    <t>Strategies for Teaching Fractions : Using Error Analysis for Intervention and Assessment</t>
  </si>
  <si>
    <t>Spangler, David B.</t>
  </si>
  <si>
    <t>QA137.S73 2011</t>
  </si>
  <si>
    <t>372.7/2</t>
  </si>
  <si>
    <t>Mirror Images : New Reflections on Teacher Leadership</t>
  </si>
  <si>
    <t>Reason, Casey S.;Reason, Clair M.</t>
  </si>
  <si>
    <t>LB1775.R34 2011eb</t>
  </si>
  <si>
    <t>Teaching Adolescents with Autism : Practical Strategies for the Inclusive Classroom</t>
  </si>
  <si>
    <t>Kaweski, Walter G., Jr.</t>
  </si>
  <si>
    <t>The Teacher's Guide to Media Literacy : Critical Thinking in a Multimedia World</t>
  </si>
  <si>
    <t>Scheibe, Cynthia L.;Rogow, Faith</t>
  </si>
  <si>
    <t>P96.M4 .S34 2012</t>
  </si>
  <si>
    <t>Media literacy-Study and teaching (Elementary) ; Critical thinking-Study and teaching (Elementary)</t>
  </si>
  <si>
    <t>Ignorant Yobs?: Low Attainers in a Global Knowledge Economy</t>
  </si>
  <si>
    <t>HV1568.5 .T66 2013</t>
  </si>
  <si>
    <t>362.3/84</t>
  </si>
  <si>
    <t>Learning disabled -- Vocational guidance. ; People with disabilities -- Vocational guidance. ; Special education -- Cross-cultural studies. ; Learning disabled -- Education. ; Labor market.</t>
  </si>
  <si>
    <t>Exemplary Teachers of Students in Poverty</t>
  </si>
  <si>
    <t>Munns, Geoff;Sawyer, Wayne;Cole, Bronwyn</t>
  </si>
  <si>
    <t>LC4065 .E94 2013</t>
  </si>
  <si>
    <t>Education in Modern Egypt (RLE Egypt) : Ideals and Realities</t>
  </si>
  <si>
    <t>Hyde, Georgie D. M.</t>
  </si>
  <si>
    <t>Routledge Library Editions: Egypt Series</t>
  </si>
  <si>
    <t>LA1646 .H92</t>
  </si>
  <si>
    <t>Education -- Egypt -- History.</t>
  </si>
  <si>
    <t>Education in Egypt (RLE Egypt)</t>
  </si>
  <si>
    <t>Cochran, Judith</t>
  </si>
  <si>
    <t>LA1646 .C63</t>
  </si>
  <si>
    <t>Education - Egypt - History</t>
  </si>
  <si>
    <t>The Power of Teacher Networks</t>
  </si>
  <si>
    <t>Meyers, Ellen;Paul, Peter A.;Kirkland, David E.;Fichtman Dana, Nancy</t>
  </si>
  <si>
    <t>Promising Practices for Elementary Teachers : Make No Excuses!</t>
  </si>
  <si>
    <t>Benner, Susan M.</t>
  </si>
  <si>
    <t>LB1555.B466 2010</t>
  </si>
  <si>
    <t>Making a Difference : 10 Essential Steps to Building a PreK-3 System</t>
  </si>
  <si>
    <t>Sullivan-Dudzic, Linda T.;Gearns, Donna K.;Leavell, Kelli J.</t>
  </si>
  <si>
    <t>LB1139.23 |b  .S85 2010</t>
  </si>
  <si>
    <t>Early childhood education.</t>
  </si>
  <si>
    <t>The School Counselor&amp;prime;s Guide to Special Education</t>
  </si>
  <si>
    <t>Trolley, Barbara C.;Haas, Heather S.;Patti, Danielle Campese</t>
  </si>
  <si>
    <t>Lesson Design for Differentiated Instruction, Grades 4-9</t>
  </si>
  <si>
    <t>Glass, Kathy Tuchman</t>
  </si>
  <si>
    <t>LB1027.4.G53 2009</t>
  </si>
  <si>
    <t>Understanding Girl Bullying and What to Do about It : Strategies to Help Heal the Divide</t>
  </si>
  <si>
    <t>Field, Julaine E.;Kolbert, Jered B.;Crothers, Laura M.;Hughes, Tammy L.</t>
  </si>
  <si>
    <t>LB3013.32.U63 2009</t>
  </si>
  <si>
    <t>Learning First! : A School Leader&amp;prime;s Guide to Closing Achievement Gaps</t>
  </si>
  <si>
    <t>Kelley, Carolyn J.;Shaw, James J.</t>
  </si>
  <si>
    <t>Responding to the Culture of Bullying and Disrespect : New Perspectives on Collaboration, Compassion, and Responsibility</t>
  </si>
  <si>
    <t>Beaudoin, Marie-Nathalie;Taylor, Maureen E.</t>
  </si>
  <si>
    <t>Winning Strategies for Test Taking, Grades 3-8 : A Practical Guide for Teaching Test Preparation</t>
  </si>
  <si>
    <t>Denstaedt, Linda G.;Kelly, Judith C.;Kryza, Kathleen</t>
  </si>
  <si>
    <t>School Public Relations for Student Success</t>
  </si>
  <si>
    <t>Moore, Edward H.</t>
  </si>
  <si>
    <t>LB2847.M66 2009eb</t>
  </si>
  <si>
    <t>The New Teacher Toolbox : Proven Tips and Strategies for a Great First Year</t>
  </si>
  <si>
    <t>Mandel, Scott M.</t>
  </si>
  <si>
    <t>LB2844.1.N4.M26 200</t>
  </si>
  <si>
    <t>Understanding and Engaging Adolescents</t>
  </si>
  <si>
    <t>Miller, Jeffrey A.;Desberg, Peter</t>
  </si>
  <si>
    <t>LB1623.M56 2009</t>
  </si>
  <si>
    <t>Powerful Practices for High-Performing Special Educators</t>
  </si>
  <si>
    <t>Kaufman, Roberta C.;Wandberg, Robert W.</t>
  </si>
  <si>
    <t>Rethinking Classroom Management : Strategies for Prevention, Intervention, and Problem Solving</t>
  </si>
  <si>
    <t>Belvel, Patricia L. Sequeira</t>
  </si>
  <si>
    <t>LB3013.B394 2010eb</t>
  </si>
  <si>
    <t>The Principal&amp;prime;s Field Manual : The School Principal As the Organizational Leader</t>
  </si>
  <si>
    <t>Ayers, Michael B.;Sommers, William A.</t>
  </si>
  <si>
    <t>LB2831.92.A94 2009eb</t>
  </si>
  <si>
    <t>Teaching with Author Web Sites, K-8</t>
  </si>
  <si>
    <t>Reissman, Rose C.;Gura, Mark L.</t>
  </si>
  <si>
    <t>LB1044.87.R447 2010</t>
  </si>
  <si>
    <t>372.6078/54678</t>
  </si>
  <si>
    <t>Young Learners, Diverse Children : Celebrating Diversity in Early Childhood</t>
  </si>
  <si>
    <t>Gonzalez, Virginia M.</t>
  </si>
  <si>
    <t>LB1139.25.G657 2009</t>
  </si>
  <si>
    <t>Using the Parallel Curriculum Model in Urban Settings, Grades K-8</t>
  </si>
  <si>
    <t>Kaplan, Sandra;Guzman, Irene;Tomlinson, Carol Ann</t>
  </si>
  <si>
    <t>LB2806.15.K375 2009</t>
  </si>
  <si>
    <t>A Teacher&amp;prime;s Guide to Change : Understanding, Navigating, and Leading the Process</t>
  </si>
  <si>
    <t>Stivers, Jan L.;Cramer, Sharon F.</t>
  </si>
  <si>
    <t>LB1731.S717 2009</t>
  </si>
  <si>
    <t>Academic Instruction for Students with Moderate and Severe Intellectual Disabilities in Inclusive Classrooms</t>
  </si>
  <si>
    <t>LC4031.D695 2010eb</t>
  </si>
  <si>
    <t>371.92/6</t>
  </si>
  <si>
    <t>A Gendered Choice : Designing and Implementing Single-Sex Programs and Schools</t>
  </si>
  <si>
    <t>Chadwell, David W.</t>
  </si>
  <si>
    <t>LB3067.4.C43 2010</t>
  </si>
  <si>
    <t>Differentiation for Real Classrooms : Making It Simple, Making It Work</t>
  </si>
  <si>
    <t>Kryza, Kathleen;Duncan, Alicia M.;Stephens, S. Joy</t>
  </si>
  <si>
    <t>LB1031.K78 2010</t>
  </si>
  <si>
    <t>Formative Assessment for Secondary Science Teachers</t>
  </si>
  <si>
    <t>Furtak, Erin Marie</t>
  </si>
  <si>
    <t>Q182.F87 2009</t>
  </si>
  <si>
    <t>507.1/2</t>
  </si>
  <si>
    <t>Classroom Testing and Assessment for ALL Students : Beyond Standardization</t>
  </si>
  <si>
    <t>Salend, Spencer J.</t>
  </si>
  <si>
    <t>LB3051.S242 2009eb</t>
  </si>
  <si>
    <t>An Educational Leader&amp;prime;s Guide to Curriculum Mapping : Creating and Sustaining Collaborative Cultures</t>
  </si>
  <si>
    <t>Hale, Janet A.;Dunlap, Richard F., Jr.</t>
  </si>
  <si>
    <t>LB2806.15.H346 2010</t>
  </si>
  <si>
    <t>From Conflict to Conciliation : How to Defuse Difficult Situations</t>
  </si>
  <si>
    <t>Purkey, William W., Sr.;Schmidt, John J.;Novak, John M.</t>
  </si>
  <si>
    <t>LB2805.P87 2010</t>
  </si>
  <si>
    <t>Begin with the Brain : Orchestrating the Learner-Centered Classroom</t>
  </si>
  <si>
    <t>Kaufeldt, Martha M.</t>
  </si>
  <si>
    <t>LB1057.K38 2010eb</t>
  </si>
  <si>
    <t>Eight Steps to Classroom Management Success : A Guide for Teachers of Challenging Students</t>
  </si>
  <si>
    <t>Kapalka, George M.</t>
  </si>
  <si>
    <t>Assessing Student Understanding in Science : A Standards-Based K-12 Handbook</t>
  </si>
  <si>
    <t>Enger, Sandra K.;Yager, Robert E.</t>
  </si>
  <si>
    <t>LB1585.3.E53 2009</t>
  </si>
  <si>
    <t>Differentiating for the Young Child : Teaching Strategies Across the Content Areas, PreK-3</t>
  </si>
  <si>
    <t>LB1523.S59 2010eb</t>
  </si>
  <si>
    <t>Individualized instruction. ; Cognitive styles in children. ; Early childhood education-Curricula. ; Education, Primary-Curricula.</t>
  </si>
  <si>
    <t>International Handbook of Research on Environmental Education</t>
  </si>
  <si>
    <t>Stevenson, Robert B.;Brody, Michael;Dillon, Justin;Wals, Arjen E. J.</t>
  </si>
  <si>
    <t>GE70 .I584 2012</t>
  </si>
  <si>
    <t>Environmental education -- Handbooks, manuals, etc. ; Environmental sciences -- Study and teaching -- Handbooks, manuals, etc.</t>
  </si>
  <si>
    <t>Bullying : Experiences and Discourses of Sexuality and Gender</t>
  </si>
  <si>
    <t>Rivers, Ian;Duncan, Neil</t>
  </si>
  <si>
    <t>Foundations and Futures of Education</t>
  </si>
  <si>
    <t>LC212.82 .B85 2012</t>
  </si>
  <si>
    <t>Harassment in schools. ; Sexual harassment in education. ; Bullying in schools. ; Bullying in schools -- Psychological aspects.</t>
  </si>
  <si>
    <t>Leading the Common Core State Standards : From Common Sense to Common Practice</t>
  </si>
  <si>
    <t>Dunkle, Cheryl A.</t>
  </si>
  <si>
    <t>LB3060.83.D87 2012</t>
  </si>
  <si>
    <t>Count Me in! K-5 : Including Learners with Special Needs in Mathematics Classrooms</t>
  </si>
  <si>
    <t>Storeygard, Judith S.</t>
  </si>
  <si>
    <t>QA20.I53.S76 2012</t>
  </si>
  <si>
    <t>Mathematics-Study and teaching (Elementary) ; Individualized instruction.</t>
  </si>
  <si>
    <t>Opening the Common Core : How to Bring ALL Students to College and Career Readiness</t>
  </si>
  <si>
    <t>378.1/610973</t>
  </si>
  <si>
    <t>Motivating Defiant and Disruptive Students to Learn : Positive Classroom Management Strategies</t>
  </si>
  <si>
    <t>Korb, Richard D.</t>
  </si>
  <si>
    <t>LB3013 .K665 2012</t>
  </si>
  <si>
    <t>Classroom management. ; Problem children-Education. ; Problem children-Behavior modification. ; Motivation in education.</t>
  </si>
  <si>
    <t>Children's Literature in Second Language Education</t>
  </si>
  <si>
    <t>Bland, Janice;Lütge, Christiane</t>
  </si>
  <si>
    <t>Children -- Books and reading. ; Children's literature -- Study and teaching (Elementary) ; English language -- Study and teaching -- Foreign speakers. ; Second language acquisition -- Study and teaching.</t>
  </si>
  <si>
    <t>Girls Behind Bars : Reclaiming Education in Transformative Spaces</t>
  </si>
  <si>
    <t>Sharma, Suniti</t>
  </si>
  <si>
    <t>HV9081.S53 2012</t>
  </si>
  <si>
    <t>Juvenile detention--United States</t>
  </si>
  <si>
    <t>The Road Out : A Teacher's Odyssey in Poor America</t>
  </si>
  <si>
    <t>Hicks, Deborah</t>
  </si>
  <si>
    <t>Hicks, Deborah -- Anecdotes. ; Poor girls -- Education -- Ohio -- Cincinnati. ; Poor whites -- Education -- Ohio -- Cincinnati. ; Poor girls -- Books and reading -- Ohio -- Cincinnati. ; Poor girls -- Ohio -- Cincinnati -- Anecdotes.</t>
  </si>
  <si>
    <t>Common Core Standards for High School Mathematics : A Quick-Start Guide</t>
  </si>
  <si>
    <t>Schwols, Amitra;Dempsey, Kathleen;Kendall, John</t>
  </si>
  <si>
    <t>QA11.2 .S39 2012</t>
  </si>
  <si>
    <t>Mathematics-Study and teaching (Secondary)-Standards. ; Education.</t>
  </si>
  <si>
    <t>Neurodiversity in the Classroom : Strength-Based Strategies to Help Students with Special Needs Succeed in School and Life</t>
  </si>
  <si>
    <t>LC4031 .A68 2012</t>
  </si>
  <si>
    <t>Neurobehavioral disorders. ; Neuropsychology. ; Brain-Variation.</t>
  </si>
  <si>
    <t>Common Core Standards for Middle School English Language Arts : A Quick-Start Guide</t>
  </si>
  <si>
    <t>Ryan, Susan Ryan;Frazee, Dana;Kendall, John</t>
  </si>
  <si>
    <t>LB1631 .R95 2012</t>
  </si>
  <si>
    <t>Language arts (Middle school)-Standards. ; Language arts (Middle school)-Curricula. ; Lesson planning.</t>
  </si>
  <si>
    <t>How to Change to a Nongraded School</t>
  </si>
  <si>
    <t>Hunter, Madeline</t>
  </si>
  <si>
    <t>How to</t>
  </si>
  <si>
    <t>LB1029.N6 -- H86 1992eb</t>
  </si>
  <si>
    <t>371.2;371.2/54;371.254</t>
  </si>
  <si>
    <t>Nongraded schools. ; Education.</t>
  </si>
  <si>
    <t>How to Implement and Supervise a Learning Style Program</t>
  </si>
  <si>
    <t>Dunn, Rita Dunn</t>
  </si>
  <si>
    <t>LB1060 -- .D86 1996eb</t>
  </si>
  <si>
    <t>Learning. ; Cognitive styles -- United States. ; School supervision -- United States.</t>
  </si>
  <si>
    <t>Global Encounters : Pedagogical Paradigms and Educational Practices</t>
  </si>
  <si>
    <t>Swaffield, Bruce C.;Guske, Iris</t>
  </si>
  <si>
    <t>LB1025.3 -- .G56 2011eb</t>
  </si>
  <si>
    <t>Teaching. ; Education. ; Multicultural education. ; Education and globalization.</t>
  </si>
  <si>
    <t>Mapping the Broad Field of Multicultural and Intercultural Education Worldwide : Towards the Development of a New Citizen</t>
  </si>
  <si>
    <t>Palaiologou, Nektaria;Dietz, Gunther</t>
  </si>
  <si>
    <t>Multicultural and Intercultural Education Series</t>
  </si>
  <si>
    <t>LC1099 -- .M37 2012eb</t>
  </si>
  <si>
    <t>Multicultural education. ; Education.</t>
  </si>
  <si>
    <t>Engaging Imagination and Developing Creativity in Education</t>
  </si>
  <si>
    <t>Egan, Kieran;Madej, Krystina</t>
  </si>
  <si>
    <t>LB1062 -- .E54 2010eb</t>
  </si>
  <si>
    <t>370.118;370.157</t>
  </si>
  <si>
    <t>Creative ability -- Study and teaching. ; Imagination. ; Creative ability in children. ; Creative teaching.</t>
  </si>
  <si>
    <t>The Secondary Curriculum Design Handbook : Preparing Young People for Their Futures</t>
  </si>
  <si>
    <t>Male, Brian;Waters, Mick;Male, Brian</t>
  </si>
  <si>
    <t>LB2806.15.M338 2012</t>
  </si>
  <si>
    <t>Curriculum planning. ; Education, Secondary--Curricula. ; Curriculum planning--Great Britain. ; Education, Secondary--Curricula--Great Britain.</t>
  </si>
  <si>
    <t>Creative Teaching Approaches in the Lifelong Learning Sector</t>
  </si>
  <si>
    <t>Harvey, Brendon;Harvey, Josie</t>
  </si>
  <si>
    <t>LC5219.H3 2013</t>
  </si>
  <si>
    <t>Continuing education. ; Motivation in adult education.</t>
  </si>
  <si>
    <t>Bad Education: Debunking Myths in Education</t>
  </si>
  <si>
    <t>Adey, Philip;Dillon, Justin</t>
  </si>
  <si>
    <t>LB14.7.B3 2012</t>
  </si>
  <si>
    <t>Education-Research. ; Teaching. ; Learning.</t>
  </si>
  <si>
    <t>Evidence-Based Strategies for Leading 21st Century Schools</t>
  </si>
  <si>
    <t>Schrum, Lynne R.;Levin, Barbara B.</t>
  </si>
  <si>
    <t>LB1028.5.S354 2012</t>
  </si>
  <si>
    <t>Instructional Coaches and the Instructional Leadership Team : A Guide for School-Building Improvement</t>
  </si>
  <si>
    <t>Spaulding, Dean T.;Smith, Gail M.</t>
  </si>
  <si>
    <t>LB2806.4 .S7 2012</t>
  </si>
  <si>
    <t>School supervision-United States-Handbooks, manuals, etc. ; Educational leadership-United States-Handbooks, manuals, etc. ; School management and organization-United States. ; School improvement programs-United States.</t>
  </si>
  <si>
    <t>Tools Students Need to Be Skillful Writers : Building Better Sentences</t>
  </si>
  <si>
    <t>Hostmeyer, Phyllis</t>
  </si>
  <si>
    <t>LB1576.H673 2013</t>
  </si>
  <si>
    <t>The New School Management by Wandering Around</t>
  </si>
  <si>
    <t>Streshly, William A.;Gray, Susan P.;Frase, Larry E.</t>
  </si>
  <si>
    <t>LB2805 .S8144 2012</t>
  </si>
  <si>
    <t>School management and organization-United States. ; Educational leadership-United States.</t>
  </si>
  <si>
    <t>Walking the Equity Talk : A Guide for Culturally Courageous Leadership in School Communities</t>
  </si>
  <si>
    <t>Browne, John R.;Browne, John R., II</t>
  </si>
  <si>
    <t>Getting Serious about the System : A Fieldbook for District and School Leaders</t>
  </si>
  <si>
    <t>Cowan, D′Ette F.;Joyner, Stacey L.;Beckwith, Shirley B.</t>
  </si>
  <si>
    <t>LB2822.82.C693 2012</t>
  </si>
  <si>
    <t>Unlocking Group Potential to Improve Schools</t>
  </si>
  <si>
    <t>Garmston, Robert John;von Frank, Valerie</t>
  </si>
  <si>
    <t>Education; Psychology; Social Science</t>
  </si>
  <si>
    <t>Strategic Reading Groups : Guiding Readers in the Middle Grades</t>
  </si>
  <si>
    <t>Berne, Jennifer I.;Degener, Sophie C.</t>
  </si>
  <si>
    <t>Developing a Learning Classroom : Moving Beyond Management Through Relationships, Relevance, and Rigor</t>
  </si>
  <si>
    <t>Cooper, Ned A.;Garner, Betty K.</t>
  </si>
  <si>
    <t>Classroom environment. ; Teacher-student relationships.</t>
  </si>
  <si>
    <t>Improving Student Learning When Budgets Are Tight</t>
  </si>
  <si>
    <t>LB2822.82 .O33 2012</t>
  </si>
  <si>
    <t>School improvement programs-United States. ; School budgets-United States.</t>
  </si>
  <si>
    <t>The Essential Guide for Educating Beginning English Learners</t>
  </si>
  <si>
    <t>Zacarian, Debbie;Haynes, Judie</t>
  </si>
  <si>
    <t>PE1128.A2 .Z23 2012</t>
  </si>
  <si>
    <t>English language-Study and teaching-United States-Foreign speakers.</t>
  </si>
  <si>
    <t>Developing Mindful Students, Skillful Thinkers, Thoughtful Schools</t>
  </si>
  <si>
    <t>Buoncristiani, Martin;Buoncristiani, Patricia E.</t>
  </si>
  <si>
    <t>LB1590.3 .B86 2012</t>
  </si>
  <si>
    <t>Thought and thinking-Study and teaching. ; Metacognition in children. ; School improvement programs.</t>
  </si>
  <si>
    <t>School Social Work Services in Federally Funded Programs : An African American Perspective</t>
  </si>
  <si>
    <t>Bland, Hope M.;Esmail, Ashraf</t>
  </si>
  <si>
    <t>African American students - Services for - United States</t>
  </si>
  <si>
    <t>Vocabulary in Action : Lessons from Great Literacy Teachers</t>
  </si>
  <si>
    <t>Fawcett, Gay</t>
  </si>
  <si>
    <t>LB1574.5.F38 2012</t>
  </si>
  <si>
    <t>Vocabulary--Study and teaching (Elementary)--United States. ; Language arts (Elementary)--United States.</t>
  </si>
  <si>
    <t>Cautionary Tales : Strategy Lessons from Struggling Colleges</t>
  </si>
  <si>
    <t>Brown, Alice W.</t>
  </si>
  <si>
    <t>LB2341.B667 2012</t>
  </si>
  <si>
    <t>Universities and colleges -- United States -- Administration -- Case studies</t>
  </si>
  <si>
    <t>Contested Issues in Student Affairs : Diverse Perspectives and Respectful Dialogue</t>
  </si>
  <si>
    <t>Magolda, Peter M.;Magolda, Marcia B. Baxter</t>
  </si>
  <si>
    <t>LB2342.92.C67 2011</t>
  </si>
  <si>
    <t>Student affairs services -- United States.</t>
  </si>
  <si>
    <t>Social Reconstruction Learning : Dualism, Dewey and Philosophy in Schools</t>
  </si>
  <si>
    <t>Bleazby, Jennifer</t>
  </si>
  <si>
    <t>LB14.7 .B58 2013</t>
  </si>
  <si>
    <t>Philosophy - Study and teaching - United States</t>
  </si>
  <si>
    <t>Rethinking School Bullying : Dominance, Identity and School Culture</t>
  </si>
  <si>
    <t>Jacobson, Ronald B.</t>
  </si>
  <si>
    <t>LB3013.3 .J3 2012</t>
  </si>
  <si>
    <t>SOCIAL SCIENCE / Violence in Society</t>
  </si>
  <si>
    <t>The Role of Participants in Education Research : Ethics, Epistemologies, and Methods</t>
  </si>
  <si>
    <t>Midgley, Warren;Danaher, Patrick Alan;Baguley, Margaret</t>
  </si>
  <si>
    <t>LB1028 .R54 2012</t>
  </si>
  <si>
    <t>Diversity, Intercultural Encounters, and Education</t>
  </si>
  <si>
    <t>Gonçalves, Susana;Carpenter, Markus A.</t>
  </si>
  <si>
    <t>LC1099 .D56 2012</t>
  </si>
  <si>
    <t>Basic Skills Education in Community Colleges : Inside and Outside of Classrooms</t>
  </si>
  <si>
    <t>LB2328 .G78 2013</t>
  </si>
  <si>
    <t>378.1/543</t>
  </si>
  <si>
    <t>Dialogic: Education for the Internet Age</t>
  </si>
  <si>
    <t>LB1044.87 .W475 2013</t>
  </si>
  <si>
    <t>Internet in education -- Philosophy. ; Education -- Effect of technological innovations on. ; Questioning.</t>
  </si>
  <si>
    <t>E-Learning and Social Networking Handbook : Resources for Higher Education</t>
  </si>
  <si>
    <t>Rennie, Frank;Morrison, Tara</t>
  </si>
  <si>
    <t>LB1044.87 .M26 2012</t>
  </si>
  <si>
    <t>Internet in higher education -- Handbooks, manuals, etc. ; Online social networks -- Handbooks, manuals, etc. ; Instructional systems -- Design -- Handbooks, manuals, etc.</t>
  </si>
  <si>
    <t>Exceptionality in East Asia : Explorations in the Actiotope Model of Giftedness</t>
  </si>
  <si>
    <t>Phillipson, Shane N.;Stoeger, Heidrun;Ziegler, Albert</t>
  </si>
  <si>
    <t>LC3999.4 .E94 2013</t>
  </si>
  <si>
    <t>Gifted children -- Education.</t>
  </si>
  <si>
    <t>Complexity Thinking in Physical Education : Reframing Curriculum, Pedagogy and Research</t>
  </si>
  <si>
    <t>Ovens, Alan;Hopper, Tim;Butler, Joy</t>
  </si>
  <si>
    <t>GV361 .C635 2013</t>
  </si>
  <si>
    <t>613.7/1</t>
  </si>
  <si>
    <t>Physical education and training - Research</t>
  </si>
  <si>
    <t>Educational Leadership and Technology : Preparing School Administrators for a Digital Age</t>
  </si>
  <si>
    <t>Garland, Virginia E.;Tadeja, Chester</t>
  </si>
  <si>
    <t>LB2805 .G29 2013</t>
  </si>
  <si>
    <t>School administrators - Effect of technological innovations on</t>
  </si>
  <si>
    <t>Debates in Geography Education</t>
  </si>
  <si>
    <t>Jones, Mark;Lambert, David</t>
  </si>
  <si>
    <t>Debates in Subject Teaching</t>
  </si>
  <si>
    <t>G73 -- .D283 2013eb</t>
  </si>
  <si>
    <t>Geography -- Study and teaching.</t>
  </si>
  <si>
    <t>Education for Civic and Political Participation : A Critical Approach</t>
  </si>
  <si>
    <t>Hedtke, Reinhold;Zimenkova, Tatiana</t>
  </si>
  <si>
    <t>LC1091 .E42 2013</t>
  </si>
  <si>
    <t>Democracy and education - Europe</t>
  </si>
  <si>
    <t>Curricular Conversations : Play Is the (Missing) Thing</t>
  </si>
  <si>
    <t>Latta, Margaret Macintyre</t>
  </si>
  <si>
    <t>LB2806.15 .M326 2012</t>
  </si>
  <si>
    <t>Education Governance for the Twenty-First Century : Overcoming the Structural Barriers to School Reform</t>
  </si>
  <si>
    <t>Manna, Paul;McGuinn, Patrick</t>
  </si>
  <si>
    <t>LC89 -- .E257 2013eb</t>
  </si>
  <si>
    <t>Linking Architecture and Education : Sustainable Design of Learning Environments</t>
  </si>
  <si>
    <t>University of New Mexico Press</t>
  </si>
  <si>
    <t>Albuquerque</t>
  </si>
  <si>
    <t>Taylor, Anne;Enggass, Katherine</t>
  </si>
  <si>
    <t>LB3205 -- .T39 2009eb</t>
  </si>
  <si>
    <t>Wireless sensor networks -- Congresses. ; Sensor networks -- Congresses.</t>
  </si>
  <si>
    <t>The Active Classroom Field Book : Success Stories from the Active Classroom</t>
  </si>
  <si>
    <t>LB1027.23.N374 2010</t>
  </si>
  <si>
    <t>Why Great Teachers Quit : And How We Might Stop the Exodus</t>
  </si>
  <si>
    <t>Farber, Katherine</t>
  </si>
  <si>
    <t>LB2833.2.F37 2010</t>
  </si>
  <si>
    <t>Collaborating with Students in Instruction and Decision Making : The Untapped Resource</t>
  </si>
  <si>
    <t>Villa, Richard A.;Thousand, Jacqueline S.;Nevin, Ann I.</t>
  </si>
  <si>
    <t>LB1031.5 .V45 2010</t>
  </si>
  <si>
    <t>Student participation in administration. ; Student participation in curriculum planning. ; Education-Decision making.</t>
  </si>
  <si>
    <t>When Kids Are Grieving : Addressing Grief and Loss in School</t>
  </si>
  <si>
    <t>Burns, Donna M.</t>
  </si>
  <si>
    <t>LB1027.55.B87 2010eb</t>
  </si>
  <si>
    <t>Responsible Classroom Management, Grades 6-12 : A Schoolwide Plan</t>
  </si>
  <si>
    <t>Queen, J. Allen;Algozzine, Bob</t>
  </si>
  <si>
    <t>LB3013.Q45 2010</t>
  </si>
  <si>
    <t>Zing! Seven Creativity Practices for Educators and Students</t>
  </si>
  <si>
    <t>Mora, Pat</t>
  </si>
  <si>
    <t>An Interpersonal Approach to Classroom Management : Strategies for Improving Student Engagement</t>
  </si>
  <si>
    <t>Davis, Heather A.;Summers, Jessica J.;Miller, Lauren M.</t>
  </si>
  <si>
    <t>Classroom management. ; Teacher-student relationships. ; Educational psychology.</t>
  </si>
  <si>
    <t>U-Turn Teaching : Strategies to Accelerate Learning and Transform Middle School Achievement</t>
  </si>
  <si>
    <t>Allen, Rich;Currie, Jennifer L.</t>
  </si>
  <si>
    <t>LB1623.A454 2012</t>
  </si>
  <si>
    <t>Teaching Matters Most : A School Leader's Guide to Improving Classroom Instruction</t>
  </si>
  <si>
    <t>McCann, Thomas M.;Jones, Alan C.;Aronoff, Gail A.</t>
  </si>
  <si>
    <t>LB1731 .M42 2012</t>
  </si>
  <si>
    <t>Teachers-In-service training. ; School improvement programs.</t>
  </si>
  <si>
    <t>Making Sense of Virtual Risks : A Quasi-Experimental Investigation into Game-Based Training</t>
  </si>
  <si>
    <t>Harteveld, C.</t>
  </si>
  <si>
    <t>Deltares Select Series</t>
  </si>
  <si>
    <t>LB1028.5 .C37 2012</t>
  </si>
  <si>
    <t>Computer-assistened instruction. ; Educational games. ; Video games. ; Problem-based learning.</t>
  </si>
  <si>
    <t>Wang Gungwu: Educator And Scholar</t>
  </si>
  <si>
    <t>Kok Khoo Phua;Yongnian Zheng</t>
  </si>
  <si>
    <t>LA1143 -- .W36 2013eb</t>
  </si>
  <si>
    <t>Education, Higher -- East Asia</t>
  </si>
  <si>
    <t>Understanding Regulation Disorders of Sensory Processing in Children : Management Strategies for Parents and Professionals</t>
  </si>
  <si>
    <t>Reebye, Pratibha N.;Stalker, Aileen</t>
  </si>
  <si>
    <t>RJ496.S44R44 2008</t>
  </si>
  <si>
    <t>Sensory integration dysfunction in children. ; Developmentally disabled children-Care. ; Developmentally disabled children-Education.</t>
  </si>
  <si>
    <t>Teaching Arithmetic in Primary Schools : Audit and Test</t>
  </si>
  <si>
    <t>English, Richard</t>
  </si>
  <si>
    <t>Transforming Primary QTS Series</t>
  </si>
  <si>
    <t>QA135.6</t>
  </si>
  <si>
    <t>Arithmetic -- Study and teaching (Elementary) -- Great Britain.</t>
  </si>
  <si>
    <t>School-Based Teacher Training : A Handbook for Tutors and Mentors</t>
  </si>
  <si>
    <t>White, Elizabeth;Jarvis, Joy</t>
  </si>
  <si>
    <t>LB1707 -- .S3 2013eb</t>
  </si>
  <si>
    <t>Lehrerbildung</t>
  </si>
  <si>
    <t>Strategies for Learning : Empowering Students for Success, Grades 9-12</t>
  </si>
  <si>
    <t>Rooney, Karen J.</t>
  </si>
  <si>
    <t>LC4704.74.R66 2010</t>
  </si>
  <si>
    <t>Passing the Superintendent TExES Exam : Keys to Certification and District Leadership</t>
  </si>
  <si>
    <t>Wilmore, Elaine L.</t>
  </si>
  <si>
    <t>LB1768.W556 2010</t>
  </si>
  <si>
    <t>371.2/012076</t>
  </si>
  <si>
    <t>Creating Culturally Considerate Schools : Educating Without Bias</t>
  </si>
  <si>
    <t>Anderson, Kim L.;Davis, Bonnie M.</t>
  </si>
  <si>
    <t>Teaching Advanced Learners in the General Education Classroom : Doing More with Less!</t>
  </si>
  <si>
    <t>371.95/2</t>
  </si>
  <si>
    <t>Boosting Executive Skills in the Classroom : A Practical Guide for Educators</t>
  </si>
  <si>
    <t>Cooper-Kahn, Joyce;Foster, Margaret;Cooper-Kahn, Joyce</t>
  </si>
  <si>
    <t>LC4601.C66 2013</t>
  </si>
  <si>
    <t>Children with mental disabilities--Education.</t>
  </si>
  <si>
    <t>Meeting the Challenge : Innovative Feminist Pedagogies in Action</t>
  </si>
  <si>
    <t>Rose, Ellen;Cronan Rose, Ellen;Mayberry, Maralee</t>
  </si>
  <si>
    <t>LC197 .M44</t>
  </si>
  <si>
    <t>Feminism and education. ; Critical pedagogy.</t>
  </si>
  <si>
    <t>Supporting Communication Disorders : A Handbook for Teachers and Teaching Assistants</t>
  </si>
  <si>
    <t>Thompson, Gill</t>
  </si>
  <si>
    <t>RJ496.C67 .S384 2013</t>
  </si>
  <si>
    <t>371.9/14</t>
  </si>
  <si>
    <t>Learning on the Net : A Practical Guide to Enhancing Learning in Primary Classrooms</t>
  </si>
  <si>
    <t>LB1044.87 .P75 2004</t>
  </si>
  <si>
    <t>372.1/3344678</t>
  </si>
  <si>
    <t>Education, Elementary - Computer network resources</t>
  </si>
  <si>
    <t>Dyslexia in the Early Years : A Practical Guide to Teaching and Learning</t>
  </si>
  <si>
    <t>Hartas, Dimitra</t>
  </si>
  <si>
    <t>LC4708 .H37</t>
  </si>
  <si>
    <t>Learning disabled children - Education (Early childhood)</t>
  </si>
  <si>
    <t>Thinking Skills and Problem-Solving - an Inclusive Approach : A Practical Guide for Teachers in Primary Schools</t>
  </si>
  <si>
    <t>Wallace, Belle;Maker, June;Cave, Diana</t>
  </si>
  <si>
    <t>LB1590.3 .T49 2013</t>
  </si>
  <si>
    <t>Problem solving -- Study and teaching (Elementary) ; Thought and thinking -- Study and teaching (Elementary) ; Interdisciplinary approach in education.</t>
  </si>
  <si>
    <t>Globalization, Technological Change, and Public Education</t>
  </si>
  <si>
    <t>Monahan, Torin</t>
  </si>
  <si>
    <t>Social Theory, Education, and Cultural Change Series</t>
  </si>
  <si>
    <t>LC191 .M5943</t>
  </si>
  <si>
    <t>Educational technology - Social aspects</t>
  </si>
  <si>
    <t>Educating the Gifted and Talented : Resource Issues and Processes for Teachers</t>
  </si>
  <si>
    <t>Clark, Catherine;Callow, Ralph</t>
  </si>
  <si>
    <t>LC3997.G7 C52</t>
  </si>
  <si>
    <t>371.9/56/0941</t>
  </si>
  <si>
    <t>Kids and Violence : The Invisible School Experience</t>
  </si>
  <si>
    <t>Dulmus, Catherine;Sowers, Karen</t>
  </si>
  <si>
    <t>LB3013.32 .K52 2013</t>
  </si>
  <si>
    <t>Architectural design</t>
  </si>
  <si>
    <t>Teaching Language and Literacy in the Early Years</t>
  </si>
  <si>
    <t>Godwin, Diane;Perkins, Margaret</t>
  </si>
  <si>
    <t>LB1139.5.L35 G63 20</t>
  </si>
  <si>
    <t>372.2/1/0941</t>
  </si>
  <si>
    <t>Listening to Able Underachievers : Creating Opportunities for Change</t>
  </si>
  <si>
    <t>Pomerantz, Michael;Pomerantz, Kathryn Ann</t>
  </si>
  <si>
    <t>LC4696.G7 P66</t>
  </si>
  <si>
    <t>371.2/8/0941</t>
  </si>
  <si>
    <t>RTI Applications, Volume 2 : Assessment, Analysis, and Decision Making</t>
  </si>
  <si>
    <t>Riley-Tillman, T. Chris;Burns, Matthew K.;Gibbons, Kimberly;Riley-Tillman, T. Chris</t>
  </si>
  <si>
    <t>Response to intervention (Learning disabled children)</t>
  </si>
  <si>
    <t>RTI Team Building : Effective Collaboration and Data-Based Decision Making</t>
  </si>
  <si>
    <t>Broxterman, Kelly;Whalen, Angela J.</t>
  </si>
  <si>
    <t>LB1029.R4 -- B775 2013eb</t>
  </si>
  <si>
    <t>Remedial teaching -- United States. ; Response to intervention (Learning disabled children) ; Learning disabled children -- Identification. ; Learning disabled children -- Education -- United States. ; Educational tests and measurements -- United States. ; Educational evaluation -- United States.</t>
  </si>
  <si>
    <t>Handbook of Learning Disabilities</t>
  </si>
  <si>
    <t>Swanson, H. Lee;Harris, Karen R.;Graham, Steve</t>
  </si>
  <si>
    <t>LC4704 -- .H364 2013eb</t>
  </si>
  <si>
    <t>EDUCATION / Special Education / Communicative Disorders</t>
  </si>
  <si>
    <t>The Infant Mind : Origins of the Social Brain</t>
  </si>
  <si>
    <t>Legerstee, Maria;Haley, David W.;Bornstein, Marc H.</t>
  </si>
  <si>
    <t>BF723.S6 -- I54 2013eb</t>
  </si>
  <si>
    <t>155.42/23</t>
  </si>
  <si>
    <t>Social perception in children. ; Social interaction in children. ; Cognition in children. ; Infants -- Development.</t>
  </si>
  <si>
    <t>Gay, Lesbian, and Transgender Issues in Education : Programs, Policies, and Practices</t>
  </si>
  <si>
    <t>Sears, James</t>
  </si>
  <si>
    <t>LC192.6</t>
  </si>
  <si>
    <t>Homosexuality and education. ; Sexual minorities -- Education. ; Gender identity.</t>
  </si>
  <si>
    <t>Behaviour Management in the Classroom : A Transactional Analysis Approach</t>
  </si>
  <si>
    <t>Newell, Sandra;Jeffery, David</t>
  </si>
  <si>
    <t>LB3013 .B44</t>
  </si>
  <si>
    <t>Behaviour modification</t>
  </si>
  <si>
    <t>Spotlight on Spelling : A Teacher's Toolkit of Instant Spelling Activities</t>
  </si>
  <si>
    <t>Hannell, Glynis</t>
  </si>
  <si>
    <t>LB1574 .H347 2009</t>
  </si>
  <si>
    <t>Freeing the Female Body : Inspirational Icons</t>
  </si>
  <si>
    <t>Hong, Fan</t>
  </si>
  <si>
    <t>Sport in the Global Society Series</t>
  </si>
  <si>
    <t>GV439 .F67 2001</t>
  </si>
  <si>
    <t>Physical education for women -- Social aspects -- History</t>
  </si>
  <si>
    <t>Creativity in the Classroom : Case Studies in Using the Arts in Teaching and Learning in Higher Education</t>
  </si>
  <si>
    <t>McIntosh, Paul;Warren, Digby</t>
  </si>
  <si>
    <t>LB1062 -- .C74 2013eb</t>
  </si>
  <si>
    <t>Creative thinking. ; Education, Higher.</t>
  </si>
  <si>
    <t>Scotty and Elvis : Aboard the Mystery Train</t>
  </si>
  <si>
    <t>Moore, Scotty;Dickerson, James L.</t>
  </si>
  <si>
    <t>American Made Music Series</t>
  </si>
  <si>
    <t>ML418.M665 M66 2013</t>
  </si>
  <si>
    <t>Moore, Scotty. ; Presley, Elvis,-1935-1977. ; Guitarists-United States-Biography.</t>
  </si>
  <si>
    <t>Leadership of Place : Stories from Schools in the US, UK and South Africa</t>
  </si>
  <si>
    <t>LC191.4 -- .R55 2013eb</t>
  </si>
  <si>
    <t>Educational sociology -- United States -- Case studies. ; Educational sociology -- Great Britain -- Case studies. ; Educational sociology -- South Africa -- Case studies. ; Place attachment -- Cross-cultural studies. ; Belonging (Social psychology) -- Cross-cultural studies.</t>
  </si>
  <si>
    <t>Politics of Interculturality</t>
  </si>
  <si>
    <t>Dervin, Fred;Gajardo,  Anahy;Lavanchy, Anne</t>
  </si>
  <si>
    <t>LC1099 -- .P655 2011eb</t>
  </si>
  <si>
    <t>Multicultural education -- Case studies. ; Education -- Political aspects.</t>
  </si>
  <si>
    <t>Psychology and Indigenous Australians : Effective Teaching and Practice</t>
  </si>
  <si>
    <t>Ranzijn, Rob;McConnochie,  Keith;Nolan, Wendy</t>
  </si>
  <si>
    <t>LC3501.A3 -- P79 2008eb</t>
  </si>
  <si>
    <t>150;362.849915</t>
  </si>
  <si>
    <t>Aboriginal Australians -- Education. ; Aboriginal Australians -- Psychology.</t>
  </si>
  <si>
    <t>Social Science; Education; Psychology</t>
  </si>
  <si>
    <t>Universalisation of Elementary Education : A Study of District Primary Education Programme from South India</t>
  </si>
  <si>
    <t>Babu, J. Ravindra</t>
  </si>
  <si>
    <t>LC94.I4 -- B33 2009eb</t>
  </si>
  <si>
    <t>District Primary Education Programme (India) ; Education and state -- India. ; Education, Elementary -- Government policy -- India.</t>
  </si>
  <si>
    <t>"Just Like Other Students" : Reception of the 1956 Hungarian Refugee Students in Britain</t>
  </si>
  <si>
    <t>Czigány, Magda</t>
  </si>
  <si>
    <t>LB2376.6.G7 -- C95 2009eb</t>
  </si>
  <si>
    <t>Hungarian students -- Great Britain -- History -- 20th century. ; Political refugees -- Hungary -- History -- 20th century. ; Political refugees -- Great Britain -- History -- 20th century. ; Hungary -- History -- Revolution, 1956 -- Foreign public opinion, British.</t>
  </si>
  <si>
    <t>Palestinian State Formation : Education and the Construction of National Identity</t>
  </si>
  <si>
    <t>Newcastle upon Tyne</t>
  </si>
  <si>
    <t>Hovsepian, Nubar</t>
  </si>
  <si>
    <t>LC191.8.P19 -- H68 2008eb</t>
  </si>
  <si>
    <t>Artificial intelligence -- Congresses. ; Artificial intelligence -- Medical applications -- Congresses. ; Medical informatics -- Congresses.</t>
  </si>
  <si>
    <t>Power in the EFL Classroom : Critical Pedagogy in the Middle East</t>
  </si>
  <si>
    <t>Wachob, Phyllis</t>
  </si>
  <si>
    <t>LC196.5.M628 -- P69 2009eb</t>
  </si>
  <si>
    <t>Critical pedagogy -- Middle East. ; Transformative learning -- Middle East. ; Education and state -- Middle East.</t>
  </si>
  <si>
    <t>Improving Learning In Uganda, Volume I : Community-Led School Feeding Practices and issues for Consideration</t>
  </si>
  <si>
    <t>Najjumba, Innocent;Bunjo, Charles;Kyaddondo, David;Misinde, Cyprian</t>
  </si>
  <si>
    <t>LB3479.U333 -- I665 2013eb</t>
  </si>
  <si>
    <t>371.7/16096761</t>
  </si>
  <si>
    <t>School children -- Food -- Uganda -- Case studies. ; Children -- Nutrition -- Uganda -- Case studies.</t>
  </si>
  <si>
    <t>Research and Practice in Physical Education</t>
  </si>
  <si>
    <t>Tannehill, Deborah;MacPhail, Ann;Halbert, Ger;Murphy, Frances</t>
  </si>
  <si>
    <t>GV361 .M183 2013</t>
  </si>
  <si>
    <t>Physical education and training -- Research.</t>
  </si>
  <si>
    <t>Workplace Bullying in Higher Education</t>
  </si>
  <si>
    <t>Lester, Jaime</t>
  </si>
  <si>
    <t>LB3013.32 .W67 2012</t>
  </si>
  <si>
    <t>College teachers - Abuse of - United States</t>
  </si>
  <si>
    <t>School Psychology and Social Justice : Conceptual Foundations and Tools for Practice</t>
  </si>
  <si>
    <t>Shriberg, David;Song, Samuel Y.;Halsell Miranda, Antoinette;Radliff, Kisha</t>
  </si>
  <si>
    <t>LB1027.55 .S38 2012</t>
  </si>
  <si>
    <t>International Guide to Student Achievement</t>
  </si>
  <si>
    <t>Hattie, John;Anderman, Eric M.</t>
  </si>
  <si>
    <t>Educational Psychology Handbook Series</t>
  </si>
  <si>
    <t>LB1062.6 .I72 2012</t>
  </si>
  <si>
    <t>EDUCATION / Teaching Methods &amp; Materials / General</t>
  </si>
  <si>
    <t>Understanding the Te Whariki Approach : Early Years Education in Practice</t>
  </si>
  <si>
    <t>Lee, Wendy;Carr, Margaret;Soutar, Brenda;Mitchell, Linda</t>
  </si>
  <si>
    <t>Understanding the... Approach Series</t>
  </si>
  <si>
    <t>LB1139.3.N45 U53 20</t>
  </si>
  <si>
    <t>Early childhood education -- New Zealand. ; Multicultural education -- New Zealand.</t>
  </si>
  <si>
    <t>Family, Community, and Higher Education</t>
  </si>
  <si>
    <t>Jenkins, Toby S.</t>
  </si>
  <si>
    <t>LC238 .F36 2012</t>
  </si>
  <si>
    <t>Language, Literacy, and Pedagogy in Postindustrial Societies : The Case of Black Academic Underachievement</t>
  </si>
  <si>
    <t>Mocombe, Paul C.;Tomlin, Carol</t>
  </si>
  <si>
    <t>LC2699 .M63 2012</t>
  </si>
  <si>
    <t>371.829/96</t>
  </si>
  <si>
    <t>Underachievement - Great Britain</t>
  </si>
  <si>
    <t>Imagining the University</t>
  </si>
  <si>
    <t>LB2322.2 .B365 2013</t>
  </si>
  <si>
    <t>SOCIAL SCIENCE / Sociology / General</t>
  </si>
  <si>
    <t>Understanding Staff Development (Routledge Revivals)</t>
  </si>
  <si>
    <t>Webb, Graham</t>
  </si>
  <si>
    <t>LB2331 .W35</t>
  </si>
  <si>
    <t>Organisation and management of education</t>
  </si>
  <si>
    <t>Care in Education : Teaching with Understanding and Compassion</t>
  </si>
  <si>
    <t>Wilde, Sandra</t>
  </si>
  <si>
    <t>LC268 .W55 2012</t>
  </si>
  <si>
    <t>Supporting Students for Success in Online and Distance Education : Third Edition</t>
  </si>
  <si>
    <t>Simpson, Ormond</t>
  </si>
  <si>
    <t>LC5800 .S56</t>
  </si>
  <si>
    <t>Distance education. ; Open learning.</t>
  </si>
  <si>
    <t>Teaching with the Screen : Pedagogy, Agency, and Media Culture</t>
  </si>
  <si>
    <t>Leopard, Dan</t>
  </si>
  <si>
    <t>LB1044 .L47 2012</t>
  </si>
  <si>
    <t>Dynamics of the Contemporary University : Growth, Accretion, and Conflict</t>
  </si>
  <si>
    <t>The Clark Kerr Lectures on the Role of Higher Education in Society Series</t>
  </si>
  <si>
    <t>Universities and colleges -- United States. ; Universities and colleges -- Administration -- United States. ; Educational change -- United States.</t>
  </si>
  <si>
    <t>Unsustainable : Re-Imagining Community Literacy, Public Writing, Service-Learning, and the University</t>
  </si>
  <si>
    <t>Cella, Laurie J. C.;Restaino, Jessica</t>
  </si>
  <si>
    <t>Cultural Studies/Pedagogy/Activism Series</t>
  </si>
  <si>
    <t>LC151 -- .U67 2013eb</t>
  </si>
  <si>
    <t>Literacy - Social aspects - United States</t>
  </si>
  <si>
    <t>Financing Schools and Educational Programs : Policy, Practice, and Politics</t>
  </si>
  <si>
    <t>Ramirez, Al</t>
  </si>
  <si>
    <t>LB2825.R33 2012</t>
  </si>
  <si>
    <t>379.1/210973</t>
  </si>
  <si>
    <t>Public schools--United States--Finance. ; Government aid to education--United States.</t>
  </si>
  <si>
    <t>The Pedagogy of Pop : Theoretical and Practical Strategies for Success</t>
  </si>
  <si>
    <t>Janak, Edward;Blum, Denise F.;Benavides, Yvette;Besteman, Seth;Brockheim, Carrie;Coughlin, Colleen;Culver, Jennifer;Delony, Sheila;Delony, Mikee;Dishon-Fischer, Charity</t>
  </si>
  <si>
    <t>LC191.4 -- .P43 2013eb</t>
  </si>
  <si>
    <t>Critical pedagogy -- United States</t>
  </si>
  <si>
    <t>Modernizing Minds in el Salvador : Education Reform and the Cold War, 1960-1980</t>
  </si>
  <si>
    <t>Lindo-Fuentes, Héctor;Ching, Erik</t>
  </si>
  <si>
    <t>Diálogos Series</t>
  </si>
  <si>
    <t>LC6581.S2L56 2012</t>
  </si>
  <si>
    <t>Television in education--El Salvador. ; Educational change--El Salvador. ; Education and state--El Salvador--History. ; El Salvador--History--1944-1979.</t>
  </si>
  <si>
    <t>Public Education in New Mexico</t>
  </si>
  <si>
    <t>Mondragón, John;Stapleton, Ernest</t>
  </si>
  <si>
    <t>LA334 -- .M56 2005eb</t>
  </si>
  <si>
    <t>370/.9789</t>
  </si>
  <si>
    <t>Diagnostic imaging. ; Fluorescence spectroscopy. ; Lasers -- Diagnostic use.</t>
  </si>
  <si>
    <t>From the Barrio to Washington : An Educator's Journey</t>
  </si>
  <si>
    <t>Taylor, Keith;Rodriguez, Armando;Van Deerlin, Lionel</t>
  </si>
  <si>
    <t>Complement (Immunology) ; Immunity.</t>
  </si>
  <si>
    <t>Signs of Change : New Directions in Theatre Education: Revised and Amplified Edition</t>
  </si>
  <si>
    <t>Lazarus, Joan</t>
  </si>
  <si>
    <t>Theatre in Education</t>
  </si>
  <si>
    <t>PN2075 -- .L39 2012eb</t>
  </si>
  <si>
    <t>Theater - Study and teaching</t>
  </si>
  <si>
    <t>Planning Programs for Adult Learners : A Practical Guide</t>
  </si>
  <si>
    <t>Caffarella, Rosemary S.;Daffron, Sandra Ratcliff;Cervero, Ronald M.;Daffron, Sandra Ratcliff</t>
  </si>
  <si>
    <t>LC5225.A34.C34 2013</t>
  </si>
  <si>
    <t>Adult education - United States - Planning</t>
  </si>
  <si>
    <t>Learner-Centered Teaching : Five Key Changes to Practice</t>
  </si>
  <si>
    <t>Weimer, Maryellen</t>
  </si>
  <si>
    <t>Undergraduate Curricular Peer Mentoring Programs : Perspectives on Innovation by Faculty, Staff, and Students</t>
  </si>
  <si>
    <t>Smith, Tania S.;Barry, Andrew;Bolton, Tamsin;Epstein, Marcia Jenneth;Goel, Sanjay;Singleton-Jackson, Jill;Johnson, Ralph H.;Mogyorody, Veronika;Nelson, Robert;Pollock, Carol</t>
  </si>
  <si>
    <t>LB1731.4.U53 2013</t>
  </si>
  <si>
    <t>Chavez's Children : Ideology, Education, and Society in Latin America</t>
  </si>
  <si>
    <t>Anselmi, Manuel</t>
  </si>
  <si>
    <t>Ideology - Venezuela</t>
  </si>
  <si>
    <t>Reading Without Limits : Teaching Strategies to Build Independent Reading for Life</t>
  </si>
  <si>
    <t>Witter, Maddie;Levin, Dave</t>
  </si>
  <si>
    <t>Reading.</t>
  </si>
  <si>
    <t>Teaching Emotional Intelligence : Strategies and Activities for Helping Students Make Effective Choices</t>
  </si>
  <si>
    <t>Lewkowicz, Adina Bloom</t>
  </si>
  <si>
    <t>BF576.L49 2007</t>
  </si>
  <si>
    <t>152.4071/2</t>
  </si>
  <si>
    <t>Teacher Teams That Get Results : 61 Strategies for Sustaining and Renewing Professional Learning Communities</t>
  </si>
  <si>
    <t>LB1029.T4.G74 2007</t>
  </si>
  <si>
    <t>Building School-Community Partnerships : Collaboration for Student Success</t>
  </si>
  <si>
    <t>Sanders, Mavis G.</t>
  </si>
  <si>
    <t>LC221.S26 2006eb</t>
  </si>
  <si>
    <t>Reviving the Soul of Teaching : Balancing Metrics and Magic</t>
  </si>
  <si>
    <t>Deal, Terrence E.;Redman, Peggy Deal</t>
  </si>
  <si>
    <t>Effective Teacher Evaluation : A Guide for Principals</t>
  </si>
  <si>
    <t>Peterson, Kenneth D.;Peterson, Catherine A.</t>
  </si>
  <si>
    <t>LB2838 .P484 2006</t>
  </si>
  <si>
    <t>371.14/4</t>
  </si>
  <si>
    <t>Formative Assessment for Literacy, Grades K-6 : Building Reading and Academic Language Skills Across the Curriculum</t>
  </si>
  <si>
    <t>Bailey, Alison L.;Heritage, Margaret</t>
  </si>
  <si>
    <t>A Guide to Literacy Coaching : Helping Teachers Increase Student Achievement</t>
  </si>
  <si>
    <t>Jay, Annemarie B.;Strong, Mary W.</t>
  </si>
  <si>
    <t>428.4/071</t>
  </si>
  <si>
    <t>Involving Parents of Students with Special Needs : 25 Ready-To-Use Strategies</t>
  </si>
  <si>
    <t>Dardig, Jill C.</t>
  </si>
  <si>
    <t>Cool Tech Tools for Lower Tech Teachers : 20 Tactics for Every Classroom</t>
  </si>
  <si>
    <t>Bender, William N.;Waller, Laura B.</t>
  </si>
  <si>
    <t>Off the Clock : Moving Education from Time to Competency</t>
  </si>
  <si>
    <t>Bramante, Fredrick J., Jr.;Colby, Rose L.</t>
  </si>
  <si>
    <t>The Principal As Leader of the Equitable School</t>
  </si>
  <si>
    <t>The Relentless Pursuit of Excellence : Lessons from a Transformational Leader</t>
  </si>
  <si>
    <t>Sagor, Richard D.;Rickey, Deborah L.</t>
  </si>
  <si>
    <t>LB2822.83.O7.S34 20</t>
  </si>
  <si>
    <t>371.2/070979541</t>
  </si>
  <si>
    <t>The Teacher's Journey : The Human Dimensions</t>
  </si>
  <si>
    <t>Kottler, Jeffrey A.;Kottler, Ellen</t>
  </si>
  <si>
    <t>LB1025.3.K668 2013</t>
  </si>
  <si>
    <t>Educating Latino Boys : An Asset-Based Approach</t>
  </si>
  <si>
    <t>Campos, David</t>
  </si>
  <si>
    <t>LC2670 .C36 2013</t>
  </si>
  <si>
    <t>Hispanic American boys-Education. ; Hispanic American boys-Social conditions.</t>
  </si>
  <si>
    <t>Violence Against Women : Current Theory and Practice in Domestic Abuse, Sexual Violence and Exploitation</t>
  </si>
  <si>
    <t>Gill, Aisha;Radford, Lorraine;Barter, Christine;Gilchrist, Elizabeth;Hester, Marianne;Lombard, Nancy;Phipps, Alison;Whiting, Nel;McMillan, Lesley;McCarry, Melanie</t>
  </si>
  <si>
    <t>Observing Children with Attachment Difficulties in School : A Tool for Identifying and Supporting Emotional and Social Difficulties in Children Aged 5-11</t>
  </si>
  <si>
    <t>Worrall, Helen;Templeton, Sian;Roberts, Netty;Frost, Ann;Golding, Kim S.;Durrant, Eleanor;Fain, Jane;Mills, Cathy</t>
  </si>
  <si>
    <t>Higher Education in the Digital Age : Updated Edition</t>
  </si>
  <si>
    <t>Bowen, William G.;Guthrie, Kevin M.</t>
  </si>
  <si>
    <t>Education, Higher-Computer network resources. ; Education, Higher-Effect of technological innovations on. ; Internet in higher education.</t>
  </si>
  <si>
    <t>The School Improvement Specialist Field Guide</t>
  </si>
  <si>
    <t>Page, Debra L.;Hale, Judith A.</t>
  </si>
  <si>
    <t>LB2822.8.P23 2013</t>
  </si>
  <si>
    <t>School Learning and Cognitive Styles</t>
  </si>
  <si>
    <t>Riding, Richard</t>
  </si>
  <si>
    <t>LB1060</t>
  </si>
  <si>
    <t>Delivering Effective Behaviour Support in Schools : A Practical Guide</t>
  </si>
  <si>
    <t>Barrow, Giles</t>
  </si>
  <si>
    <t>LC4801 .D384 2013</t>
  </si>
  <si>
    <t>371.9/3/6</t>
  </si>
  <si>
    <t>Common Core Standards for Middle School Mathematics : A Quick-Start Guide</t>
  </si>
  <si>
    <t>How to Create and Use Rubrics for Formative Assessment and Grading</t>
  </si>
  <si>
    <t>LB3051 .B7285 2013</t>
  </si>
  <si>
    <t>Grading and marking (Students) ; Educational evaluation.</t>
  </si>
  <si>
    <t>Increasing Student Engagement and Retention Using Mobile Applications : Smartphones, Skype and Texting Technologies</t>
  </si>
  <si>
    <t>Wankel, Laura A.;Blessinger, Patrick;Wankel, Charles</t>
  </si>
  <si>
    <t>6, Part D</t>
  </si>
  <si>
    <t>Facilitating Action Learning: a Practitioner's Guide</t>
  </si>
  <si>
    <t>Pedler, Mike;Abbott, Christine</t>
  </si>
  <si>
    <t>Active learning.</t>
  </si>
  <si>
    <t>Business/Management; Education; Psychology</t>
  </si>
  <si>
    <t>Understanding Behaviour 14+</t>
  </si>
  <si>
    <t>Duckworth, Vicky;Flanagan, Karen;McCormack, Karen;Tummons, Jonathan</t>
  </si>
  <si>
    <t>HQ796 .U53 2012</t>
  </si>
  <si>
    <t>Youth. ; Adolescence.</t>
  </si>
  <si>
    <t>Identity and Pedagogy in Higher Education : International Comparisons</t>
  </si>
  <si>
    <t>Bhopal, Kalwant;Danaher, Patrick</t>
  </si>
  <si>
    <t>LC1099.4</t>
  </si>
  <si>
    <t>Discrimination in higher education -- Great Britain. ; Discrimination in higher education -- Australia.</t>
  </si>
  <si>
    <t>Identity Development of College Students : Advancing Frameworks for Multiple Dimensions of Identity</t>
  </si>
  <si>
    <t>Jones, Susan R.;Abes, Elisa S.;Baxter Magolda, Marcia B.</t>
  </si>
  <si>
    <t>The University and the City</t>
  </si>
  <si>
    <t>Goddard, John;Vallance, Paul</t>
  </si>
  <si>
    <t>Regions and Cities Series</t>
  </si>
  <si>
    <t>LC67.68.G7 G63 2013</t>
  </si>
  <si>
    <t>338.4/73780941</t>
  </si>
  <si>
    <t>Universities and colleges -- Economic aspects -- Great Britain. ; Education, Higher -- Economic aspects -- Great Britain. ; Urban economics. ; Community development, Urban -- Great Britain. ; City planning -- Great Britain.</t>
  </si>
  <si>
    <t>Education and the Nation State : The Selected Works of S. Gopinathan</t>
  </si>
  <si>
    <t>Gopinathan, S.</t>
  </si>
  <si>
    <t>LA1239.5 .G65 2012</t>
  </si>
  <si>
    <t>Education -- Singapore. ; Educational change -- Singapore. ; Education and state -- Singapore.</t>
  </si>
  <si>
    <t>Focus Groups : From Structured Interviews to Collective Conversations</t>
  </si>
  <si>
    <t>Kamberelis, George;Dimitriadis, Greg</t>
  </si>
  <si>
    <t>H61.28 .K36 2013</t>
  </si>
  <si>
    <t>Focus groups</t>
  </si>
  <si>
    <t>Teaching in Primary Schools in China and India : Contexts of Learning</t>
  </si>
  <si>
    <t>Rao, Nirmala;Pearson, Emma;Cheng, Kai-ming;Taplin, Margaret</t>
  </si>
  <si>
    <t>Routledge Research in International and Comparative Education Series</t>
  </si>
  <si>
    <t>LB43 .R365 2013</t>
  </si>
  <si>
    <t>Education, Elementary - China</t>
  </si>
  <si>
    <t>Engaging Diverse College Alumni : The Essential Guide to Fundraising</t>
  </si>
  <si>
    <t>Gasman, Marybeth;Bowman III, Nelson</t>
  </si>
  <si>
    <t>LB2336 .G36 2013</t>
  </si>
  <si>
    <t>Educational fund raising -- United States. ; Education, Higher -- United States -- Finance. ; Universities and colleges -- Alumni and alumnae -- United States.</t>
  </si>
  <si>
    <t>The Sustainable University : Progress and Prospects</t>
  </si>
  <si>
    <t>Sterling, Stephen;Maxey, Larch;Luna, Heather</t>
  </si>
  <si>
    <t>Routledge Studies in Sustainable Development Series</t>
  </si>
  <si>
    <t>LB3241.4.G7 S87 2013</t>
  </si>
  <si>
    <t>Environmental education -- Great Britain</t>
  </si>
  <si>
    <t>Youth, Arts, and Education : Reassembling Subjectivity Through Affect</t>
  </si>
  <si>
    <t>Hickey-Moody, Anna</t>
  </si>
  <si>
    <t>NX180.Y68 H53 2013</t>
  </si>
  <si>
    <t>ART / Study &amp; Teaching</t>
  </si>
  <si>
    <t>Comparative Perspectives on International School Leadership : Policy, Preparation, and Practice</t>
  </si>
  <si>
    <t>Magno, Cathryn S.</t>
  </si>
  <si>
    <t>LB2806 -- .M223 2013eb</t>
  </si>
  <si>
    <t>Using Data to Focus Instructional Improvement</t>
  </si>
  <si>
    <t>James-Ward, Cheryl;Fisher, Douglas;Frey, Nancy;Lapp, Diane</t>
  </si>
  <si>
    <t>LB2846 -- .U85 2013eb</t>
  </si>
  <si>
    <t>Educational indicators -- United States. ; Education -- United States -- Statistics. ; Educational evaluation -- United States. ; Effective teaching. ; School improvement programs -- United States.</t>
  </si>
  <si>
    <t>Role Reversal : Achieving Uncommonly Excellent Results in the Student-Centered Classroom</t>
  </si>
  <si>
    <t>Barnes, Mark</t>
  </si>
  <si>
    <t>LB3013 -- .B32 2013eb</t>
  </si>
  <si>
    <t>Classroom management -- United States. ; Teaching -- United States. ; Teacher-student relationships -- United States. ; Educational tests and measurements -- United States.</t>
  </si>
  <si>
    <t>Identifying Leaders for Urban Charter, Autonomous and Independent Schools : Above and Beyond the Standards</t>
  </si>
  <si>
    <t>Hughes, Kimberly B.;Silva, Sara A. M.;Normore, Anthony H.</t>
  </si>
  <si>
    <t>LB2806.36</t>
  </si>
  <si>
    <t>Increasing Student Engagement and Retention Using Classroom Technologies : Classroom Response Systems and Mediated Discourse Technologies</t>
  </si>
  <si>
    <t>Wankel, Charles;Blessinger, Patrick</t>
  </si>
  <si>
    <t>6, Part E</t>
  </si>
  <si>
    <t>Education and Corporate Social Responsibility : International Perspectives</t>
  </si>
  <si>
    <t>Ahmad, Jamilah;Crowther, David</t>
  </si>
  <si>
    <t>Developments in Corporate Governance and Responsibility Series</t>
  </si>
  <si>
    <t>LC191 -- .E38 2013eb</t>
  </si>
  <si>
    <t>Social Justice Issues and Racism in the College Classroom : Perspectives from Different Voices</t>
  </si>
  <si>
    <t>Davis, Dannielle Joy, 2nd;Boyer, Patricia G., 1st;Tight, Malcolm;Davis, Dannielle Joy;Boyer, Patricia G.</t>
  </si>
  <si>
    <t>International Perspectives on Higher Education Research Series</t>
  </si>
  <si>
    <t>Racism in higher education</t>
  </si>
  <si>
    <t>Civic Education and the Future of American Citizenship</t>
  </si>
  <si>
    <t>Busch, Elizabeth Kaufer;White, Jonathan W.;Agresto, John;Bauerlein, Mark;Benoliel, Peter A.;Bergner, Jeff;Cole, Bruce;Gioia, Dana;Hirsch, E. D.;McClay, Wilfred M.</t>
  </si>
  <si>
    <t>LC1091 -- .C52877 2013eb</t>
  </si>
  <si>
    <t>United States - Politics and government - Study and teaching</t>
  </si>
  <si>
    <t>Affective Learning Together : Social and Emotional Dimensions of Collaborative Learning</t>
  </si>
  <si>
    <t>Baker, Michael;Andriessen, Jerry;Järvelä, Sanna</t>
  </si>
  <si>
    <t>LB1072 A45 2013</t>
  </si>
  <si>
    <t>Affective education. ; Educational psychology. ; Learning -- Social aspects. ; Emotions. ; Group work in education. ; Team learning approach in education.</t>
  </si>
  <si>
    <t>How to Stop Bullying in Classrooms and Schools : Using Social Architecture to Prevent, Lessen, and End Bullying</t>
  </si>
  <si>
    <t>Goodstein, Phyllis Kaufman</t>
  </si>
  <si>
    <t>LB3013.3 .G66 2013</t>
  </si>
  <si>
    <t>EDUCATION / Counseling / Crisis Management</t>
  </si>
  <si>
    <t>Understanding Family Diversity and Home - School Relations : A Guide for Students and Practitioners in Early Years and Primary Settings</t>
  </si>
  <si>
    <t>Knowles, Gianna;Holmstrom, Radhika</t>
  </si>
  <si>
    <t>LC225.33G7 K66 2013</t>
  </si>
  <si>
    <t>371.19/20941</t>
  </si>
  <si>
    <t>Home and school -- Great Britain. ; Families -- Great Britain.</t>
  </si>
  <si>
    <t>The Reorder of Things : The University and Its Pedagogies of Minority Difference</t>
  </si>
  <si>
    <t>Ferguson, Roderick A.</t>
  </si>
  <si>
    <t>Difference Incorporated Series</t>
  </si>
  <si>
    <t>LC3727 .F47 2012</t>
  </si>
  <si>
    <t>Minorities -- Education (Higher) -- United States -- History -- 20th century. ; Minorities -- Study and teaching (Higher) -- United States -- History -- 20th century. ; Universities and colleges -- Curricula -- United States -- History -- 20th century. ; Educational equalization -- United States -- History -- 20th century.</t>
  </si>
  <si>
    <t>Library Spaces for 21st-Century Learners : A Planning Guide for Creating New School Library Concepts</t>
  </si>
  <si>
    <t>Sullivan, Margaret</t>
  </si>
  <si>
    <t>School libraries -- Planning; LANGUAGE ARTS &amp; DISCIPLINES -- Library &amp; Information Science -- School Media</t>
  </si>
  <si>
    <t>Juvenile Justice and Alternative Education : A Life Course Assessment of Best Practices</t>
  </si>
  <si>
    <t>Prior, Nicole</t>
  </si>
  <si>
    <t>LC46.4 -- .P75 2013eb</t>
  </si>
  <si>
    <t>Phylogeny -- Congresses. ; Social evolution -- Congresses.</t>
  </si>
  <si>
    <t>The Transparent Teacher : Taking Charge of Your Instruction with Peer-Collected Classroom Data</t>
  </si>
  <si>
    <t>Kaufman, Trent;Grimm, Emily</t>
  </si>
  <si>
    <t>The Art of Coaching : Effective Strategies for School Transformation</t>
  </si>
  <si>
    <t>Aguilar, Elena</t>
  </si>
  <si>
    <t>Math for All Participant Book (K-2)</t>
  </si>
  <si>
    <t>Moeller, Babette;Dubitsky, Barbara;Cohen, Marvin;Marschke-Tobier, Karen;Melnick, Hal R.;Metnetsky, Linda</t>
  </si>
  <si>
    <t>QA135.6.M384 2013</t>
  </si>
  <si>
    <t>Internationalizing Higher Education in Malaysia : Understanding, Practices and Challenges</t>
  </si>
  <si>
    <t>ISEAS - Yusof Ishak Institute</t>
  </si>
  <si>
    <t>Institute of Southeast Asian Studies</t>
  </si>
  <si>
    <t>Pasir Panjang</t>
  </si>
  <si>
    <t>Yean, Tham Siew</t>
  </si>
  <si>
    <t>LA1238 .Y384 2012</t>
  </si>
  <si>
    <t>Environmental sciences -- Study and teaching (Higher) ; Environmental monitoring. ; Security, International.</t>
  </si>
  <si>
    <t>Powerful Techniques for Teaching Adults</t>
  </si>
  <si>
    <t>Brookfield, Stephen D.</t>
  </si>
  <si>
    <t>Adult learning.</t>
  </si>
  <si>
    <t>The Ten-Minute Inservice : 40 Quick Training Sessions That Build Teacher Effectiveness</t>
  </si>
  <si>
    <t>Whitaker, Todd;Breaux, Annette</t>
  </si>
  <si>
    <t>St. Philip's College : A Point of Pride on San Antonio's Eastside</t>
  </si>
  <si>
    <t>Thurston, Marie Pannell;Ferrier, Maria Hernandez;Loston, Adena Williams</t>
  </si>
  <si>
    <t>Peoples and Cultures of Texas, Sponsored by Texas A&amp;M University-San Antonio</t>
  </si>
  <si>
    <t>LC2803.S36 -- T48 2013eb</t>
  </si>
  <si>
    <t>378.764/351</t>
  </si>
  <si>
    <t>St. Philip's College -- History. ; African American schools -- Texas -- San Antonio -- History. ; African American universities and colleges -- Texas -- San Antonio -- History. ; African Americans -- Education -- Texas -- San Antonio -- History. ; Christian universities and colleges -- Texas -- San Antonio -- History. ; Community colleges -- Texas -- San Antonio -- History.</t>
  </si>
  <si>
    <t>Opening the Doors : The Desegregation of the University of Alabama and the Fight for Civil Rights in Tuscaloosa</t>
  </si>
  <si>
    <t>Hollars, B. J.</t>
  </si>
  <si>
    <t>University of Alabama--History. ; College integration--Alabama--History. ; Civil rights movements--Alabama--History.</t>
  </si>
  <si>
    <t>Transformative Conversations : A Guide to Mentoring Communities among Colleagues in Higher Education</t>
  </si>
  <si>
    <t>Felten, Peter;Bauman, H-Dirksen L.;Kheriaty, Aaron;Taylor, Edward;Palmer, Parker J.;Remen, Rachel Naomi;Arrien, Angeles</t>
  </si>
  <si>
    <t>International Handbook of Research on Children's Literacy, Learning and Culture</t>
  </si>
  <si>
    <t>Hall, Kathy;Cremin, Teresa;Comber, Barbara;Moll, Luis C.</t>
  </si>
  <si>
    <t>Language arts (Primary) -- Handbooks, manuals, etc</t>
  </si>
  <si>
    <t>Immigrant Students and Higher Education : ASHE Higher Education Report 38:6</t>
  </si>
  <si>
    <t>Kim, Eunyoung;Diaz, Jeannette;Kim, Eunyoung</t>
  </si>
  <si>
    <t>LC3715 -- .K56 2013eb</t>
  </si>
  <si>
    <t>Immigrants -- Education. ; Education, Higher.</t>
  </si>
  <si>
    <t>The Dreamkeepers : Successful Teachers of African American Children</t>
  </si>
  <si>
    <t>Ladson-Billings, Gloria</t>
  </si>
  <si>
    <t>LC2717 -- .L33 2009eb</t>
  </si>
  <si>
    <t>370/.8996073</t>
  </si>
  <si>
    <t>African Americans -- Education. ; Teaching. ; Educational anthropology -- United States.</t>
  </si>
  <si>
    <t>English and Empowerment in the Developing World</t>
  </si>
  <si>
    <t>Hussain, Nasreen;Ahmed,  Azra;Zafar, Mohammad</t>
  </si>
  <si>
    <t>LC67.D44 -- .E54 2009eb</t>
  </si>
  <si>
    <t>English language -- Study and teaching -- Foreign speakers -- Congresses. ; Education -- Sociological aspects -- Developing countries -- Congresses.</t>
  </si>
  <si>
    <t>Constructing Capacities : Building Capabilities through Learning and Engagement</t>
  </si>
  <si>
    <t>Danaher, Patrick Alan;Midgley, Warren;Henderson, Robyn;Matthews, Karl J.;Midgley, Warren;Noble, Karen;Tyler, Mark A.;Arden, Catherine H.</t>
  </si>
  <si>
    <t>LB41 -- .C66 2012eb</t>
  </si>
  <si>
    <t>Education -- Aims and objectives. ; Teaching.</t>
  </si>
  <si>
    <t>Children and Childhoods 2 : Images of Childhood</t>
  </si>
  <si>
    <t>Wyver, Shirley;, Peter Whiteman</t>
  </si>
  <si>
    <t>Children and Childhoods</t>
  </si>
  <si>
    <t>LB1139.3.A8 -- I53 2012eb</t>
  </si>
  <si>
    <t>Children. ; Infants -- Development. ; Early childhood education -- Australia -- Congresses. ; Early childhood education -- Activity programs -- Congresses. ; Early childhood education -- Congresses.</t>
  </si>
  <si>
    <t>Understanding the Dynamics of Classroom Communication</t>
  </si>
  <si>
    <t>Ko, Sungbae</t>
  </si>
  <si>
    <t>LB1033.5 -- .K68 2013eb</t>
  </si>
  <si>
    <t>Communication in education. ; Language and education.</t>
  </si>
  <si>
    <t>The Next Buddha may be a Community : Practising Intercultural Competence at Macquarie University, Sydney, Australia</t>
  </si>
  <si>
    <t>Krajewski, Sabine</t>
  </si>
  <si>
    <t>LC1099 -- .K73 2011eb</t>
  </si>
  <si>
    <t>Macquarie University -- Curricula. ; Multicultural education -- Australia.</t>
  </si>
  <si>
    <t>Learning Disabilities : Practice Concerns and Students with LD</t>
  </si>
  <si>
    <t>Bakken, Jeffrey P.;Obiakor, Festus E.;Rotatori, Anthony F.</t>
  </si>
  <si>
    <t>LC4704.5</t>
  </si>
  <si>
    <t>Advanced Literacy Practices : From the Clinic to the Classroom</t>
  </si>
  <si>
    <t>Ortlieb, Evan;Cheek, Earl H., Jr.</t>
  </si>
  <si>
    <t>Literacy Research, Practice and Evaluation Series</t>
  </si>
  <si>
    <t>Literacy -- Research. ; Literacy programs.</t>
  </si>
  <si>
    <t>ICT and Changing Mindsets in Education</t>
  </si>
  <si>
    <t>African Books Collective</t>
  </si>
  <si>
    <t>Langaa RPCIG</t>
  </si>
  <si>
    <t>CAMEROON</t>
  </si>
  <si>
    <t>Toure, Kathryn;Tchombe, Therese</t>
  </si>
  <si>
    <t>Universities and Economic Development in Africa : Pact, Academic Core and Coordination</t>
  </si>
  <si>
    <t>African Minds</t>
  </si>
  <si>
    <t>SOUTH AFRICA</t>
  </si>
  <si>
    <t>Cloete, Nico;Bailey, Tracy</t>
  </si>
  <si>
    <t>Privatisation and Private Higher Education in Kenya. Implications for Access, Equity and Knowledge Production : Implications for Access, Equity and Knowledge Production</t>
  </si>
  <si>
    <t>CODESRIA (Conseil pour le Developpement de la Recherche Economique et Sociale en Afrique)</t>
  </si>
  <si>
    <t>SENEGAL</t>
  </si>
  <si>
    <t>Oanda, Ogachi;Chege, N.</t>
  </si>
  <si>
    <t>The Cameroon GCE Crisis: a Test of Anglophone Solidarity : A Test of Anglophone Solidarity</t>
  </si>
  <si>
    <t>Nyamnhoh, B.;Akum, Fonteh</t>
  </si>
  <si>
    <t>Challenges of Education Financing and Planning in Africa: What Works and What Does Not Work : What Works and What Does Not Work</t>
  </si>
  <si>
    <t>Olukoshi, Adebayo;Diarra, Chérif</t>
  </si>
  <si>
    <t>Where to for Provincial Education? : Reviewing Provincial Education Budgets 2006 To 2012</t>
  </si>
  <si>
    <t>IDASA Publishers</t>
  </si>
  <si>
    <t>Wildeman, Russell;Hemmer-Vitti, Rose</t>
  </si>
  <si>
    <t>Higher Education in Africa. Crises, Reforms and Transformation</t>
  </si>
  <si>
    <t>Assie-Lumumba, T.</t>
  </si>
  <si>
    <t>Reussite Scolaire, Faillite Sociale : Généalogie Mentale de la Crise de l'Afrique Noire Francophone</t>
  </si>
  <si>
    <t>Azeyeh, Albert</t>
  </si>
  <si>
    <t>Academic Freedom and the Social Responsibilities of Academics in Tanzania</t>
  </si>
  <si>
    <t>Chachage, L.</t>
  </si>
  <si>
    <t>Youth and Higher Education in Africa. the Cases of Cameroon, South Africa, Eritrea and Zimbabwe : The Cases of Cameroon, South Africa, Eritrea and Zimbabwe</t>
  </si>
  <si>
    <t>Chimanikire, P.</t>
  </si>
  <si>
    <t>Amady Aly Dieng Memoires d'un Etudiant Africain : De l'école Régionale de Diourbel á l'Universite de Paris (1945-1960</t>
  </si>
  <si>
    <t>Dieng, Amady Aly</t>
  </si>
  <si>
    <t>Amady Aly Dieng Memoires díun Etudiant Africain : De lìUniversite de Paris a Mon Retour Au Senegal (1960-1967)</t>
  </si>
  <si>
    <t>Dieng, Aly</t>
  </si>
  <si>
    <t>Genuine Intellectuals. Academic and Social Responsibilities of Universities in Africa : Academic and Social Responsibilities of Universities in Africa</t>
  </si>
  <si>
    <t>Fonlon, Nsokika</t>
  </si>
  <si>
    <t>The University in Africa and Democratic Citizenship : Hothouse or Training Ground?</t>
  </si>
  <si>
    <t>Luescher-Mamashela, M.</t>
  </si>
  <si>
    <t>Scholars in the Marketplace. the Dilemmas of Neo-Liberal Reform at Makerere University, 1989-2005 : The Dilemmas of Neo-Liberal Reform at Makerere University, 1989-2005</t>
  </si>
  <si>
    <t>Mamdani, Mahmood</t>
  </si>
  <si>
    <t>Higher Education Financing in East and Southern Africa</t>
  </si>
  <si>
    <t>Pillay, Pundy</t>
  </si>
  <si>
    <t>Bully Prevention : Tips and Strategies for School Leaders and Classroom Teachers</t>
  </si>
  <si>
    <t>Barton, Elizabeth A.</t>
  </si>
  <si>
    <t>LB3013.3.B378 2006</t>
  </si>
  <si>
    <t>Gender and Literacy : A Handbook for Educators and Parents</t>
  </si>
  <si>
    <t>Krasny, Karen A.;Bean, Tom;Khayatt, Didi</t>
  </si>
  <si>
    <t>Handbooks for Educators and Parents Series</t>
  </si>
  <si>
    <t>LC212.K73 2013</t>
  </si>
  <si>
    <t>Implementing Transfer Associate Degrees: Perspectives from the States : New Directions for Community Colleges, Number 160</t>
  </si>
  <si>
    <t>Kisker, Carrie B.;Wagoner, Richard L.;Wagoner, Richard L.</t>
  </si>
  <si>
    <t>LB2381 -- .I47 2013eb</t>
  </si>
  <si>
    <t>Degrees, Academic. ; Education, Higher.</t>
  </si>
  <si>
    <t>53 Ways to Deal with Large Classes</t>
  </si>
  <si>
    <t>The Professional and Higher Partnership / Frontinus Ltd</t>
  </si>
  <si>
    <t>The Professional and Higher Partnership Ltd</t>
  </si>
  <si>
    <t>Suffolk</t>
  </si>
  <si>
    <t>Professional and Higher Partnership</t>
  </si>
  <si>
    <t>Strawson, Hannah</t>
  </si>
  <si>
    <t>Professional and Higher Education</t>
  </si>
  <si>
    <t>LB1027 -- .S77 2013eb</t>
  </si>
  <si>
    <t>371.2;378</t>
  </si>
  <si>
    <t>Teaching. ; Effective teaching.</t>
  </si>
  <si>
    <t>Connecting Policy and Practice : Challenges for Teaching and Learning in Schools and Universities</t>
  </si>
  <si>
    <t>Kompf, Michael;Denicolo, Pam</t>
  </si>
  <si>
    <t>L13.A2 C66 2015</t>
  </si>
  <si>
    <t>Faro (Algarve, 2003)</t>
  </si>
  <si>
    <t>The Edison Schools : Corporate Schooling and the Assault on Public Education</t>
  </si>
  <si>
    <t>Saltman, Kenneth J.</t>
  </si>
  <si>
    <t>LB2806.36 .S26 2015</t>
  </si>
  <si>
    <t>Edison Schools Inc</t>
  </si>
  <si>
    <t>The Primary Coordinator and OFSTED Re-Inspection</t>
  </si>
  <si>
    <t>Gadsby, Phil;Harrison, Mike</t>
  </si>
  <si>
    <t>LB2806.15 .G33 2014</t>
  </si>
  <si>
    <t>Elementary schools -- Evaluation -- Great Britain</t>
  </si>
  <si>
    <t>Neoliberal Transformation of Education in Turkey : Political and Ideological Analysis of Educational Reforms in the Age of the AKP</t>
  </si>
  <si>
    <t>Inal, K.;Akkaymak, G.;?nal, Kemal</t>
  </si>
  <si>
    <t>Education in the Age of Biocapitalism : Optimizing Educational Life for a Flat World</t>
  </si>
  <si>
    <t>Pierce, C.</t>
  </si>
  <si>
    <t>New Frontiers in Education, Culture, and Politics Series</t>
  </si>
  <si>
    <t>Engaging the Disengaged : Inclusive Approaches to Teaching the Least Advantaged</t>
  </si>
  <si>
    <t>McKenna, Tarquam;Cacciattolo, Marcelle;Vicars, Mark</t>
  </si>
  <si>
    <t>LB1065 -- .M35 2013eb</t>
  </si>
  <si>
    <t>The School Services Sourcebook, Second Edition : A Guide for School-Based Professionals</t>
  </si>
  <si>
    <t>LB3013.4.S372 2013eb</t>
  </si>
  <si>
    <t>School children -- Mental health services -- Handbooks, manuals, etc. ; School social work -- Handbooks, manuals, etc.</t>
  </si>
  <si>
    <t>Chinese Research Perspectives on Educational Development, Volume 1</t>
  </si>
  <si>
    <t>Yang, Dongping</t>
  </si>
  <si>
    <t>Chinese Research Perspectives Series</t>
  </si>
  <si>
    <t>Educating Young Children with Autism Spectrum Disorders</t>
  </si>
  <si>
    <t>Barton, Erin E.;Harn, Beth A.</t>
  </si>
  <si>
    <t>Schools Can Change : A Step-By-Step Change Creation System for Building Innovative Schools and Increasing Student Learning</t>
  </si>
  <si>
    <t>Lick, Dale W.;Clauset, Karl H.;Murphy, Carlene U.</t>
  </si>
  <si>
    <t>Starting from the Child: Teaching and Learning in the Foundation Stage</t>
  </si>
  <si>
    <t>Fisher, Julie</t>
  </si>
  <si>
    <t>Reviewing Qualitative Research in the Social Sciences : A Guide for Researchers and Reviewers</t>
  </si>
  <si>
    <t>Trainor, Audrey A.;Graue, Elizabeth</t>
  </si>
  <si>
    <t>H62 -- .R4665 2013eb</t>
  </si>
  <si>
    <t>Qualitative research</t>
  </si>
  <si>
    <t>Ethical Educational Leadership in Turbulent Times : (Re) Solving Moral Dilemmas</t>
  </si>
  <si>
    <t>Shapiro, Joan Poliner;Gross, Steven Jay</t>
  </si>
  <si>
    <t>LB2806 -- .S353 2013eb</t>
  </si>
  <si>
    <t>Educational leadership -- Moral and ethical aspects.</t>
  </si>
  <si>
    <t>Reconfiguring the Natures of Childhood</t>
  </si>
  <si>
    <t>Taylor, Affrica</t>
  </si>
  <si>
    <t>LB1139.23 -- .T38 2013eb</t>
  </si>
  <si>
    <t>Philosophy of nature</t>
  </si>
  <si>
    <t>Teaching and Learning in Further Education : Diversity and Change</t>
  </si>
  <si>
    <t>Huddleston, Prue;Unwin, Lorna</t>
  </si>
  <si>
    <t>LC5256.G7 -- H76 2013eb</t>
  </si>
  <si>
    <t>Continuing education -- Great Britain. ; Adult learning -- Great Britain. ; Teaching -- Great Britain.</t>
  </si>
  <si>
    <t>Gender, Masculinities and Lifelong Learning</t>
  </si>
  <si>
    <t>Bowl, Marion;Tobias, Robert;Leahy, Jennifer;Ferguson, Graeme;Gage, Jeffrey</t>
  </si>
  <si>
    <t>LC5225.S64 -- G46 2012eb</t>
  </si>
  <si>
    <t>Organizational Theory in Higher Education</t>
  </si>
  <si>
    <t>Manning, Kathleen</t>
  </si>
  <si>
    <t>Core Concepts in Higher Education Series</t>
  </si>
  <si>
    <t>LB2341 -- .M285 2013eb</t>
  </si>
  <si>
    <t>A Common Wealth of Learning : Millennium Development Goals Revisited</t>
  </si>
  <si>
    <t>MacBeath, John;Younger, Mike</t>
  </si>
  <si>
    <t>LA669.5 -- .C66 2013eb</t>
  </si>
  <si>
    <t>370.9171/241</t>
  </si>
  <si>
    <t>Education - Aims and objectives - Commonwealth countries</t>
  </si>
  <si>
    <t>Cyber Security for Educational Leaders : A Guide to Understanding and Implementing Technology Policies</t>
  </si>
  <si>
    <t>Phillips, Richard;Sianjina, Rayton R.</t>
  </si>
  <si>
    <t>LB1028.3 -- .P4745 2013eb</t>
  </si>
  <si>
    <t>Educational technology - Security measures</t>
  </si>
  <si>
    <t>Social Origins of Educational Systems</t>
  </si>
  <si>
    <t>Archer, Margaret S.</t>
  </si>
  <si>
    <t>Classical Texts in Critical Realism (Routledge Critical Realism) Series</t>
  </si>
  <si>
    <t>LC191 -- .A674 2013eb</t>
  </si>
  <si>
    <t>School management and organization - Denmark - History</t>
  </si>
  <si>
    <t>Language, Culture, and Identity among Minority Students in China : The Case of the Hui</t>
  </si>
  <si>
    <t>Wang, YuXiang</t>
  </si>
  <si>
    <t>LC2807.C6 -- W36 2013eb</t>
  </si>
  <si>
    <t>Multicultural education - China - Ningxia Huizu Zizhiqu</t>
  </si>
  <si>
    <t>Language Teaching Through the Ages</t>
  </si>
  <si>
    <t>Wheeler, Garon</t>
  </si>
  <si>
    <t>P61 -- .W44 2013eb</t>
  </si>
  <si>
    <t>EDUCATION / Bilingual Education</t>
  </si>
  <si>
    <t>The Professional Identity of Teacher Educators : Career on the Cusp?</t>
  </si>
  <si>
    <t>Davey, Ronnie</t>
  </si>
  <si>
    <t>LB1778.2 -- .D38 2013eb</t>
  </si>
  <si>
    <t>Teacher educators -- Professional relationships. ; Teachers -- Training of.</t>
  </si>
  <si>
    <t>The School Leader's Guide to Restorative School Discipline</t>
  </si>
  <si>
    <t>Meyer, Luanna H.;Evans, William John M.</t>
  </si>
  <si>
    <t>LB3012.2.M494 2012</t>
  </si>
  <si>
    <t>Music 3-5</t>
  </si>
  <si>
    <t>Young, Susan</t>
  </si>
  <si>
    <t>MT1 -- .Y655 2009eb</t>
  </si>
  <si>
    <t>School music -- Instruction and study -- Juvenile.</t>
  </si>
  <si>
    <t>Segregated Schools : Educational Apartheid in Post-Civil Rights America</t>
  </si>
  <si>
    <t>Street, Paul</t>
  </si>
  <si>
    <t>LC212.52 -- .S87 2005eb</t>
  </si>
  <si>
    <t>Segregation in education - United States</t>
  </si>
  <si>
    <t>A Handbook for Inclusion Managers : Steering Your School Towards Inclusion</t>
  </si>
  <si>
    <t>Sydney, Ann</t>
  </si>
  <si>
    <t>LC1203.G7 -- S94 2010eb</t>
  </si>
  <si>
    <t>Connecting Inquiry and Professional Learning in Education : International Perspectives and Practical Solutions</t>
  </si>
  <si>
    <t>Campbell, Anne;Groundwater-Smith, Susan</t>
  </si>
  <si>
    <t>LB1707 .C657 2010</t>
  </si>
  <si>
    <t>Single-Subject Designs for School Psychologists</t>
  </si>
  <si>
    <t>Skinner, Christopher H.</t>
  </si>
  <si>
    <t>LB1027.55 -- .S56 2012eb</t>
  </si>
  <si>
    <t>School psychology.</t>
  </si>
  <si>
    <t>Improving Learning In Uganda, Volume 2 : Problematic Curriculum Areas and Teacher Effectiveness: Insights from National Assessments</t>
  </si>
  <si>
    <t>Najjumba, Innocent Mulindwa;Marshall, Jeffery H.;Najjumba, Innocent Mulindwa</t>
  </si>
  <si>
    <t>LB2806.15 -- .N355 2013eb</t>
  </si>
  <si>
    <t>Curriculum planning -- Uganda. ; School improvement programs -- Uganda. ; Teacher effectiveness -- Uganda. ; School-based management -- Uganda.</t>
  </si>
  <si>
    <t>Improving Learning In Uganda, Volume 3 : School-Based Management: Policy and Functionality</t>
  </si>
  <si>
    <t>Najjumba, Innocent Mulindwa;Habyarimana, James;Bunjo, Charles Lwanga</t>
  </si>
  <si>
    <t>LB2822.84.U33 -- .N35 2013eb</t>
  </si>
  <si>
    <t>371.2/07096761</t>
  </si>
  <si>
    <t>School improvement programs -- Uganda. ; School children -- Food -- Uganda. ; Curriculum planning -- Uganda. ; Teacher effectiveness -- Uganda. ; School-based management -- Uganda.</t>
  </si>
  <si>
    <t>Wiring the Brain for Reading : Brain-Based Strategies for Teaching Literacy</t>
  </si>
  <si>
    <t>Reading. ; Child development. ; Brain -- Growth.</t>
  </si>
  <si>
    <t>Education; Language/Linguistics; Medicine</t>
  </si>
  <si>
    <t>A Survival Guide for New Special Educators</t>
  </si>
  <si>
    <t>Billingsley, Bonnie S.;Brownell, Mary T.;Israel, Maya;Kamman, Margaret L.</t>
  </si>
  <si>
    <t>First year teachers -- United States. ; Special education -- United States.</t>
  </si>
  <si>
    <t>What Our Stories Teach Us : A Guide to Critical Reflection for College Faculty</t>
  </si>
  <si>
    <t>Shadiow, Linda K.</t>
  </si>
  <si>
    <t>Voices of Native American Educators : Integrating History, Culture, and Language to Improve Learning Outcomes for Native American Students</t>
  </si>
  <si>
    <t>Gregory, Sheila T.</t>
  </si>
  <si>
    <t>E97.V65 2012</t>
  </si>
  <si>
    <t>371.829/97073</t>
  </si>
  <si>
    <t>Indians of North America--Education. ; Indian students--United States. ; Indian students--United States--Social conditions. ; Academic achievement--United States. ; Indian teachers--United States.</t>
  </si>
  <si>
    <t>Agency Through Teacher Education : Reflection, Community, and Learning</t>
  </si>
  <si>
    <t>Flessner, Ryan;Miller, Grant;Horwitz, Julie;Patrizio, Kami;Digby, Annette</t>
  </si>
  <si>
    <t>LB1715.A49 2012</t>
  </si>
  <si>
    <t>Teachers--Training of. ; Critical pedagogy--United States. ; Community and school--United States. ; Educational change--United States.</t>
  </si>
  <si>
    <t>Learner-Centred Education in International Perspective : Whose Pedagogy for Whose Development?</t>
  </si>
  <si>
    <t>Schweisfurth, Michele</t>
  </si>
  <si>
    <t>LB1027.23 .S37 2013</t>
  </si>
  <si>
    <t>Student-centered learning - Developing countries</t>
  </si>
  <si>
    <t>Experiences of Single African-American Women Professors : With This Ph. D. , I Thee Wed</t>
  </si>
  <si>
    <t>Gilchrist, Eletra S.</t>
  </si>
  <si>
    <t>LC2781.5.E97 2011</t>
  </si>
  <si>
    <t>378.1/208996073</t>
  </si>
  <si>
    <t>African American women college teachers--Social conditions. ; African Americans--Marriage. ; Single women--United States. ; Mate selection--United States. ; Universities and colleges--United States--Sociological aspects.</t>
  </si>
  <si>
    <t>Improving Learning Through Dynamic Assessment : A Practical Classroom Resource</t>
  </si>
  <si>
    <t>Lauchlan, Fraser;Carrigan, Donna</t>
  </si>
  <si>
    <t>LB2822.75 -- .L38 2013eb</t>
  </si>
  <si>
    <t>Educational evaluation. ; Learning -- Evaluation.</t>
  </si>
  <si>
    <t>E-Safety for the I-Generation : Combating the Misuse and Abuse of Technology in Schools</t>
  </si>
  <si>
    <t>Watson, Nikki</t>
  </si>
  <si>
    <t>TK5105.878 -- .G53 2013eb</t>
  </si>
  <si>
    <t>Online etiquette -- Study and teaching. ; Internet in education. ; Internet and children.</t>
  </si>
  <si>
    <t>Disability Classification in Education : Issues and Perspectives</t>
  </si>
  <si>
    <t>Florian, Lani;McLaughlin, Margaret J.</t>
  </si>
  <si>
    <t>LC4005 .D57 2008</t>
  </si>
  <si>
    <t>No Challenge Left Behind : Transforming American Education Through Heart and Soul</t>
  </si>
  <si>
    <t>Caring Enough to Lead : How Reflective Practice Leads to Moral Leadership</t>
  </si>
  <si>
    <t>Pellicer, Leonard O.</t>
  </si>
  <si>
    <t>LB2805.P375 2008</t>
  </si>
  <si>
    <t>More Than 100 Tools for Developing Literacy</t>
  </si>
  <si>
    <t>Groeber, Joan F.</t>
  </si>
  <si>
    <t>LB1050.4 .G764 2008</t>
  </si>
  <si>
    <t>How to Say the Right Thing Every Time : Communicating Well with Students, Staff, Parents, and the Public</t>
  </si>
  <si>
    <t>Ramsey, Robert D.</t>
  </si>
  <si>
    <t>LB1033.5.R367 2009</t>
  </si>
  <si>
    <t>Teaching in a Special Education Classroom : A Step-By-Step Guide for Educators</t>
  </si>
  <si>
    <t>Pierangelo, Roger;Giuliani, George A.</t>
  </si>
  <si>
    <t>Schools That Change : Evidence-Based Improvement and Effective Change Leadership</t>
  </si>
  <si>
    <t>Smith, Lew</t>
  </si>
  <si>
    <t>LB2822.82.S645 2008</t>
  </si>
  <si>
    <t>School improvement programs-United States-Case studies. ; Educational change-United States-Case studies. ; Educational leadership-United States-Case studies.</t>
  </si>
  <si>
    <t>The One-Minute Temper Tantrum Solution : Strategies for Responding to Children&amp;prime;s Challenging Behaviors</t>
  </si>
  <si>
    <t>The Superintendent&amp;prime;s Planner : A Monthly Guide and Reflective Journal</t>
  </si>
  <si>
    <t>Johnston, Gloria L.;Townsend, Rene S.;Gross, Gwen E.;Lynch, Margaret A.;Garcy, Lorraine M.;Roberts, Benita B.;Novotney, Patricia B.</t>
  </si>
  <si>
    <t>Vocabulary Lists and Activities for the PreK-2 Classroom : Integrating Vocabulary, Children's Literature, and Think-Alouds to Enhance Literacy</t>
  </si>
  <si>
    <t>Israel, Susan E.</t>
  </si>
  <si>
    <t>372.6/1</t>
  </si>
  <si>
    <t>Choose to Learn : Teaching for Success Every Day</t>
  </si>
  <si>
    <t>Osguthorpe, Russell T.;Osguthorpe, Lolly S.</t>
  </si>
  <si>
    <t>LB1060 .O848 2009</t>
  </si>
  <si>
    <t>Early Reading First and Beyond : A Guide to Building Early Literacy Skills</t>
  </si>
  <si>
    <t>Nurturing the Gifted Female : A Guide for Educators and Parents</t>
  </si>
  <si>
    <t>Navan, Joy</t>
  </si>
  <si>
    <t>Formative Assessment Strategies for Enhanced Learning in Science, K-8</t>
  </si>
  <si>
    <t>Hammerman, Elizabeth</t>
  </si>
  <si>
    <t>Differentiation at Work, K-5 : Principles, Lessons, and Strategies</t>
  </si>
  <si>
    <t>Narvaez, M. Lane;Brimijoin, Kay</t>
  </si>
  <si>
    <t>LB1031 .N378 2010</t>
  </si>
  <si>
    <t>Individualized instruction. ; Education, Elementary.</t>
  </si>
  <si>
    <t>Ethical Leadership in Schools : Creating Community in an Environment of Accountability</t>
  </si>
  <si>
    <t>Strike, Kenneth A.</t>
  </si>
  <si>
    <t>LB2831.9.S77 2007eb</t>
  </si>
  <si>
    <t>Balancing Leadership and Personal Growth : The School Administrator&amp;prime;s Guide</t>
  </si>
  <si>
    <t>Metzger, Christa</t>
  </si>
  <si>
    <t>LB2805 .M47 2006</t>
  </si>
  <si>
    <t>Educational leadership-United States. ; School administrators-Training of-United States. ; Self-actualization (Psychology)</t>
  </si>
  <si>
    <t>Creating a College Culture for Latino Students : Successful Programs, Practices, and Strategies</t>
  </si>
  <si>
    <t>Delgado Gaitan, Concha</t>
  </si>
  <si>
    <t>LC2670.6.D45 2013</t>
  </si>
  <si>
    <t>Strategy Instruction for Middle and Secondary Students with Mild Disabilities : Creating Independent Learners</t>
  </si>
  <si>
    <t>Conderman, Gregory J.;Hedin, Laura R.;Bresnahan, Mary V.</t>
  </si>
  <si>
    <t>Connecting Teacher Leadership and School Improvement</t>
  </si>
  <si>
    <t>LB2806.45 .M877 2005</t>
  </si>
  <si>
    <t>Building Strong School Cultures : A Guide to Leading Change</t>
  </si>
  <si>
    <t>Kruse, Sharon;Louis, Karen Seashore</t>
  </si>
  <si>
    <t>LC203 .K78 2009</t>
  </si>
  <si>
    <t>School environment-United States. ; Community and school-United States. ; School improvement programs-United States. ; Educational change-United States.</t>
  </si>
  <si>
    <t>Leading Schools in a Data-Rich World : Harnessing Data for School Improvement</t>
  </si>
  <si>
    <t>Earl, Lorna M.;Katz, Steven</t>
  </si>
  <si>
    <t>What Successful Teachers Do in Inclusive Classrooms : 60 Research-Based Teaching Strategies That Help Special Learners Succeed</t>
  </si>
  <si>
    <t>McNary, Sarah J.;Glasgow, Neal A.;Hicks, Cathy D.</t>
  </si>
  <si>
    <t>LC1200.M36 2005eb</t>
  </si>
  <si>
    <t>Mindful Leadership : A Brain-Based Framework</t>
  </si>
  <si>
    <t>Dickmann, Michael H.;Stanford-Blair, Nancy</t>
  </si>
  <si>
    <t>303.3/4</t>
  </si>
  <si>
    <t>The Principal&amp;prime;s Guide to Managing School Personnel</t>
  </si>
  <si>
    <t>Sorenson, Richard D.;Goldsmith, Lloyd M.</t>
  </si>
  <si>
    <t>Ten Things New Teachers Need to Succeed</t>
  </si>
  <si>
    <t>Why Can&amp;prime;t We Get It Right? : Designing High-Quality Professional Development for Standards-Based Schools</t>
  </si>
  <si>
    <t>Speck, Marsha;Knipe, Caroll O.</t>
  </si>
  <si>
    <t>Embracing Disabilities in the Classroom : Strategies to Maximize Students' Assets</t>
  </si>
  <si>
    <t>Karten, Toby J.</t>
  </si>
  <si>
    <t>From Silos to Systems : Reframing Schools for Success</t>
  </si>
  <si>
    <t>Kilgore, Sally B.;Reynolds, Karen J.</t>
  </si>
  <si>
    <t>Constructing an Online Professional Learning Network for School Unity and Student Achievement</t>
  </si>
  <si>
    <t>Thompson, Robin C.;Kitchie, Laurie C.;Gagnon, Robert J.</t>
  </si>
  <si>
    <t>LB1731 .T48 2011</t>
  </si>
  <si>
    <t>Professional learning communities. ; Teachers-In-service training. ; Educational technology.</t>
  </si>
  <si>
    <t>Reading and Writing Across Content Areas</t>
  </si>
  <si>
    <t>LB1576.S343415 2007</t>
  </si>
  <si>
    <t>Culture Re-Boot : Reinvigorating School Culture to Improve Student Outcomes</t>
  </si>
  <si>
    <t>Kaplan, Leslie Schkemmkeman;Owings, William Allen</t>
  </si>
  <si>
    <t xml:space="preserve">LB2822.8 .K36 2013 </t>
  </si>
  <si>
    <t>School improvement programs. ; School environment. ; Educational leadership. ; Educational change.</t>
  </si>
  <si>
    <t>The World Through Children's Books</t>
  </si>
  <si>
    <t>Stan, Susan;Hearne, Betsy</t>
  </si>
  <si>
    <t>Bibliography</t>
  </si>
  <si>
    <t>Reframing Retention Strategy for Institutional Improvement : New Directions for Higher Education, Number 161</t>
  </si>
  <si>
    <t>Kalsbeek, David H.</t>
  </si>
  <si>
    <t>J-B HE Single Issue Higher Education Series</t>
  </si>
  <si>
    <t>LC148 -- .R44 2013eb</t>
  </si>
  <si>
    <t>College attendance -- United States. ; College dropouts -- United States.</t>
  </si>
  <si>
    <t>Emotion and School : Understanding How the Hidden Curriculum Influences Relationships, Leadership, Teaching, and Learning</t>
  </si>
  <si>
    <t>Newberry, Melissa;Gallant, Andrea;Riley, Philip</t>
  </si>
  <si>
    <t>LB1051</t>
  </si>
  <si>
    <t>Teacher-student relationships -- Psychological aspects</t>
  </si>
  <si>
    <t>Increasing Student Engagement and Retention Using Multimedia Technologies : Video Annotation, Multimedia Applications, Videoconferencing and Transmedia Storytelling</t>
  </si>
  <si>
    <t>Wankel, Laura A.;Blessinger, Patrick</t>
  </si>
  <si>
    <t>6, Part F</t>
  </si>
  <si>
    <t>LC142</t>
  </si>
  <si>
    <t>Computer-assisted instruction. ; Educational change.</t>
  </si>
  <si>
    <t>Composing Lives in Transition : A Narrative Inquiry into the Experiences of Early School Leavers</t>
  </si>
  <si>
    <t>Clandinin, D. Jean;Steeves, Pam;Caine, Vera</t>
  </si>
  <si>
    <t>LC146.5</t>
  </si>
  <si>
    <t>College students</t>
  </si>
  <si>
    <t>Principal Evaluation : Standards, Rubrics, and Tools for Effective Performance</t>
  </si>
  <si>
    <t>Stronge, James H.;Xu, Xianxuan;Leeper, Lauri;Tonneson, Virginia</t>
  </si>
  <si>
    <t>LB2831.96 .S77 2013</t>
  </si>
  <si>
    <t>School principals-Rating of.</t>
  </si>
  <si>
    <t>Upgrade Your Curriculum : Practical Ways to Transform Units and Engage Students</t>
  </si>
  <si>
    <t>Hale, Janet A.;Fisher, Michael</t>
  </si>
  <si>
    <t>LB1570 .H256 2013</t>
  </si>
  <si>
    <t>Education-Curricula-United States. ; Curriculum change-United States. ; Curriculum planning-United States.</t>
  </si>
  <si>
    <t>Turnaround Tools for the Teenage Brain : Helping Underperforming Students Become Lifelong Learners</t>
  </si>
  <si>
    <t>Jensen, Eric;Snider, Carole</t>
  </si>
  <si>
    <t>LC4661.J39 2013</t>
  </si>
  <si>
    <t>Underachievers--Education. ; Teenagers--Education. ; Cognitive learning. ; Motivation in education.</t>
  </si>
  <si>
    <t>The Breadth of Current Faculty Development: Practitioners' Perspectives : New Directions for Teaching and Learning, Number 133</t>
  </si>
  <si>
    <t>McKee, C. William;Johnson, Mitzy;Ritchie, William F.;Tew, W. Mark</t>
  </si>
  <si>
    <t>LB2331.72 -- .B74 2013eb</t>
  </si>
  <si>
    <t>College teachers -- Training of. ; Universities and colleges -- Faculty.</t>
  </si>
  <si>
    <t>Acts of Knowing : Critical Pedagogy in, Against and Beyond the University</t>
  </si>
  <si>
    <t>Cowden, Stephen;Singh, Gurnam</t>
  </si>
  <si>
    <t>LC196 .A27 2013</t>
  </si>
  <si>
    <t>Critical pedagogy. ; Education, Higher -- Philosophy.</t>
  </si>
  <si>
    <t>Learning Transfer in Adult Education : New Directions for Adult and Continuing Education, Number 137</t>
  </si>
  <si>
    <t>Kaiser, Leann M. R.;Kaminski, Karen;Foley, Jeffrey M.</t>
  </si>
  <si>
    <t>LB1059.L43 2013</t>
  </si>
  <si>
    <t>Transfer of training.</t>
  </si>
  <si>
    <t>Academic Archives : Managing the Next Generation of College and University Archives, Records, and Special Collections</t>
  </si>
  <si>
    <t>Purcell, Aaron D.</t>
  </si>
  <si>
    <t>025.1/977</t>
  </si>
  <si>
    <t>Quantum computers. ; Molecular computers. ; Nanotechnology.</t>
  </si>
  <si>
    <t>Using Web 2. 0 and Social Networking Tools in the K-12 Classroom</t>
  </si>
  <si>
    <t>Crane, Beverley E.</t>
  </si>
  <si>
    <t>Pulmonary hypertension -- Pathophysiology. ; Pulmonary veins. ; Pulmonary circulation.</t>
  </si>
  <si>
    <t>The China Educational Development Yearbook, Volume 1</t>
  </si>
  <si>
    <t>The Chinese Academy of Social Sciences Yearbooks: Educational Development Series</t>
  </si>
  <si>
    <t>LA1131.82 .C45 2009</t>
  </si>
  <si>
    <t>Education-China-History-1976- ; Educational change-China. ; Education and state-China.</t>
  </si>
  <si>
    <t>Case Studies in Elementary and Secondary Curriculum : SAGE Publications</t>
  </si>
  <si>
    <t>Boboc, Marius J.;Nordgren, R. (Rollin) D.</t>
  </si>
  <si>
    <t>Culturally and Linguistically Diverse Exceptional Students : Strategies for Teaching and Assessment</t>
  </si>
  <si>
    <t>Grassi, Elizabeth A.;Barker, Heidi B.</t>
  </si>
  <si>
    <t>Human Resources Administration for Educational Leaders : SAGE Publications</t>
  </si>
  <si>
    <t>Norton, M. Scott</t>
  </si>
  <si>
    <t>Successful Transition Programs : Pathways for Students with Intellectual and Developmental Disabilities</t>
  </si>
  <si>
    <t>McDonnell, John;Hardman, Michael L.</t>
  </si>
  <si>
    <t>Integrating Teaching, Learning, and Action Research : Enhancing Instruction in the K-12 Classroom</t>
  </si>
  <si>
    <t>Stringer, Ernest T.;Christensen, Lois McFadyen;Baldwin, Shelia C.</t>
  </si>
  <si>
    <t>We&amp;prime;re Born to Learn : Using the Brain&amp;prime;s Natural Learning Process to Create Today&amp;prime;s Curriculum</t>
  </si>
  <si>
    <t>Smilkstein, Rita</t>
  </si>
  <si>
    <t>Pediatric Disorders : Current Topics and Interventions for Educators</t>
  </si>
  <si>
    <t>McCabe, Paul C.;Shaw, Steven R.</t>
  </si>
  <si>
    <t>Psychiatric Disorders : Current Topics and Interventions for Educators</t>
  </si>
  <si>
    <t>Leadership for Family and Community Involvement</t>
  </si>
  <si>
    <t>Language Arts : Integrating Skills for Classroom Teaching</t>
  </si>
  <si>
    <t>Donoghue, Mildred R.</t>
  </si>
  <si>
    <t>Making Connections in Elementary and Middle School Social Studies</t>
  </si>
  <si>
    <t>Johnson, Andrew P.</t>
  </si>
  <si>
    <t>Positive Academic Leadership : How to Stop Putting Out Fires and Start Making a Difference</t>
  </si>
  <si>
    <t>Jossey-Bass Resources for Department Chairs Series</t>
  </si>
  <si>
    <t>Universities and colleges--Administration</t>
  </si>
  <si>
    <t>The Seeds We Planted : Portraits of a Native Hawaiian Charter School</t>
  </si>
  <si>
    <t>Goodyear-Ka'opua, Noelani</t>
  </si>
  <si>
    <t>First Peoples: New Directions Indigenous Series</t>
  </si>
  <si>
    <t>LB2806.36 -- .G68 2013eb</t>
  </si>
  <si>
    <t>Brain -- Anatomy -- Atlases. ; Magnetic resonance imaging -- Atlases.</t>
  </si>
  <si>
    <t>Rethinking Teacher Supervision and Evaluation : How to Work Smart, Build Collaboration, and Close the Achievement Gap</t>
  </si>
  <si>
    <t>Marshall, Kim</t>
  </si>
  <si>
    <t>Teachers -- Rating of</t>
  </si>
  <si>
    <t>MAT for Dummies</t>
  </si>
  <si>
    <t>For Dummies</t>
  </si>
  <si>
    <t>Kotchian, Vince;Kotchian, Edwin</t>
  </si>
  <si>
    <t>Miller analogies test.</t>
  </si>
  <si>
    <t>Essential Questions : Opening Doors to Student Understanding</t>
  </si>
  <si>
    <t>McTighe, Jay;Wiggins, Grant</t>
  </si>
  <si>
    <t>LB1027.44 .M38 2013</t>
  </si>
  <si>
    <t>Questioning. ; Inquiry-based learning.</t>
  </si>
  <si>
    <t>The Revised EYFS in Practice</t>
  </si>
  <si>
    <t>Featherstone</t>
  </si>
  <si>
    <t>Langston, Ann;Doherty, Jonathan</t>
  </si>
  <si>
    <t>Professional Development Series</t>
  </si>
  <si>
    <t>LB1139.4 -- .L36 2012eb</t>
  </si>
  <si>
    <t>Early childhood education -- Curricula -- Great Britain. ; Education, Primary -- Curricula -- Great Britain.</t>
  </si>
  <si>
    <t>Teacher Education, Diversity, and Community Engagement in Liberal Arts Colleges</t>
  </si>
  <si>
    <t>Mule, Lucy W.</t>
  </si>
  <si>
    <t>LB1715 -- .M74 2010eb</t>
  </si>
  <si>
    <t>Multiculturalism - Study and teaching (Higher) - United States</t>
  </si>
  <si>
    <t>Good Day, Bad Day : Teaching As a High-Wire Act</t>
  </si>
  <si>
    <t>Winograd, Ken</t>
  </si>
  <si>
    <t>LB2844.1.N</t>
  </si>
  <si>
    <t>Teacher effectiveness</t>
  </si>
  <si>
    <t>The Supportive School : Wellbeing and the Young Adolescent</t>
  </si>
  <si>
    <t>Gray, John;Galton,  Maurice;McLaughlin,  Colleen;Clarke, Barbie;Symonds, Jennifer</t>
  </si>
  <si>
    <t>LB1117 -- .G73 2011eb</t>
  </si>
  <si>
    <t>School children -- Attitudes. ; School children -- Mental health. ; Well-being.</t>
  </si>
  <si>
    <t>Technology and the Pedagogics of Learning</t>
  </si>
  <si>
    <t>Mapuva, Jephias</t>
  </si>
  <si>
    <t>LB1028.3 -- .M36 2010eb</t>
  </si>
  <si>
    <t>Educational technology -- Study and teaching (Higher) ; Learning.</t>
  </si>
  <si>
    <t>Handbook of School Violence</t>
  </si>
  <si>
    <t>Gerler, Jr, Edwin R.</t>
  </si>
  <si>
    <t>LB3013.32.</t>
  </si>
  <si>
    <t>Marketing</t>
  </si>
  <si>
    <t>Inclusion and Behaviour Management in Schools : Issues and Challenges</t>
  </si>
  <si>
    <t>Wearmouth, Janice;Glynn, Ted;Richmond, Robin C.;Berryman, Mere</t>
  </si>
  <si>
    <t>LC1200 -- .I53 2004eb</t>
  </si>
  <si>
    <t>370.1/528</t>
  </si>
  <si>
    <t>Dyslexia and English</t>
  </si>
  <si>
    <t>Turner, Elizabeth;Pughe, Jayne</t>
  </si>
  <si>
    <t>LC4710.G7 T87</t>
  </si>
  <si>
    <t>371.9/14446</t>
  </si>
  <si>
    <t>Dyslexic children - Education - Great Britain</t>
  </si>
  <si>
    <t>Addressing Pupil's Behaviour : Responses at District, School and Individual Levels</t>
  </si>
  <si>
    <t>LB3011.5 .A87</t>
  </si>
  <si>
    <t>Positive Alternatives to Exclusion</t>
  </si>
  <si>
    <t>Cooper, Paul;Drummond, Mary Jane;Hart, Susan;Lovey, Jane;McLaughlin, Colleen</t>
  </si>
  <si>
    <t>LC1203.G7 P68</t>
  </si>
  <si>
    <t>Understanding Pupil Behaviour in School : A Diversity of Approaches</t>
  </si>
  <si>
    <t>LB3013 -- .W43 2004eb</t>
  </si>
  <si>
    <t>Classroom environment</t>
  </si>
  <si>
    <t>Childhood in the Promised Land : Working-Class Movements and the Colonies de Vacances in France, 1880-1960</t>
  </si>
  <si>
    <t>Duke University Press</t>
  </si>
  <si>
    <t>Downs, Laura Lee</t>
  </si>
  <si>
    <t>LC5771</t>
  </si>
  <si>
    <t>371.826/23/0944</t>
  </si>
  <si>
    <t>Vacation schools-France-History. ; Poor children-Education-France-History. ; City children-Education-France-History. ; Children-France-Social conditions. ; Labor movement-France-History.</t>
  </si>
  <si>
    <t>The Futures of American Studies</t>
  </si>
  <si>
    <t>Wiegman, Robyn;Pease, Donald E.;Radway, Janice</t>
  </si>
  <si>
    <t>New Americanists Series</t>
  </si>
  <si>
    <t>E175</t>
  </si>
  <si>
    <t>973/.071</t>
  </si>
  <si>
    <t>Exploring Leadership : For College Students Who Want to Make a Difference, Facilitation and Activity Guide</t>
  </si>
  <si>
    <t>Wagner, Wendy;Ostick, Daniel T.</t>
  </si>
  <si>
    <t>Interpersonal relations--United States</t>
  </si>
  <si>
    <t>Exploring Leadership : For College Students Who Want to Make a Difference, Student Workbook</t>
  </si>
  <si>
    <t>Student activities--United States</t>
  </si>
  <si>
    <t>Teacher Reforms Around the World : Implementations and Outcomes</t>
  </si>
  <si>
    <t>Akiba, Motoko</t>
  </si>
  <si>
    <t>LB1775</t>
  </si>
  <si>
    <t>Teaching -- Vocational guidance</t>
  </si>
  <si>
    <t>Increasing Student Engagement and Retention in e-Learning Environments : Web 2. 0 and Blended Learning Technologies</t>
  </si>
  <si>
    <t>6, Part G</t>
  </si>
  <si>
    <t>Computer-assisted instruction. ; Education -- Effect of technological innovations on. ; Education and state. ; Educational change.</t>
  </si>
  <si>
    <t>Black Male Teachers : Diversifying the United States' Teacher Workforce</t>
  </si>
  <si>
    <t>Lewis, Chance W.;Toldson, Ivory</t>
  </si>
  <si>
    <t>Advances in Race and Ethnicity in Education Series</t>
  </si>
  <si>
    <t>LC2802.S9</t>
  </si>
  <si>
    <t>Discrimination in education -- United States -- Case studies</t>
  </si>
  <si>
    <t>Observation, Assessment and Planning in the Early Years - Bringing It All Together</t>
  </si>
  <si>
    <t>Brodie, Kathy</t>
  </si>
  <si>
    <t>LB1027.28 .B76 2013</t>
  </si>
  <si>
    <t>Early childhood education. ; Effective teaching. ; Observation (Educational method)</t>
  </si>
  <si>
    <t>The Secrets of College Success</t>
  </si>
  <si>
    <t>Jacobs, Lynn F.;Hyman, Jeremy S.</t>
  </si>
  <si>
    <t>Professors' Guide Series</t>
  </si>
  <si>
    <t>LB2343.32.J35 2013</t>
  </si>
  <si>
    <t>College student orientation--United States.</t>
  </si>
  <si>
    <t>Human Development and Capabilities : Re-Imagining the University of the Twenty-first Century</t>
  </si>
  <si>
    <t>Boni, Alejandra;Walker, Melanie</t>
  </si>
  <si>
    <t>LB2322.2 -- .H86 2013eb</t>
  </si>
  <si>
    <t>Education, Higher -- Aims and objectives. ; Education and globalization.</t>
  </si>
  <si>
    <t>Learning, Problem Solving, and Mindtools : Essays in Honor of David H. Jonassen</t>
  </si>
  <si>
    <t>Spector, J. Michael;Lockee, Barbara B.;Smaldino, Sharon;Herring, Mary</t>
  </si>
  <si>
    <t>LB1590.3 -- .L44 2013eb</t>
  </si>
  <si>
    <t>Meaning-Centered Education : International Perspectives and Explorations in Higher Education</t>
  </si>
  <si>
    <t>Kovbasyuk, Olga;Blessinger, Patrick</t>
  </si>
  <si>
    <t>LB14.7 -- .M42 2013eb</t>
  </si>
  <si>
    <t>The Growing Child : Laying the Foundations of Active Learning and Physical Health</t>
  </si>
  <si>
    <t>Stevens, Clair</t>
  </si>
  <si>
    <t>Foundations of Child Development Series</t>
  </si>
  <si>
    <t>LB1139.35.P55 -- S74 2013eb</t>
  </si>
  <si>
    <t>The Social Child : Laying the Foundations of Relationships and Language</t>
  </si>
  <si>
    <t>Buchan, Toni</t>
  </si>
  <si>
    <t>HQ783 -- .B83 2013eb</t>
  </si>
  <si>
    <t>Social interaction</t>
  </si>
  <si>
    <t>Bilingual Education and Language Policy in the Global South</t>
  </si>
  <si>
    <t>Shoba, Jo Arthur;Chimbutane, Feliciano;Chimbutane, Feliciano</t>
  </si>
  <si>
    <t>Routledge Critical Studies in Multilingualism Series</t>
  </si>
  <si>
    <t>P40.85.D44 -- B55 2013eb</t>
  </si>
  <si>
    <t>Language and education -- Developing countries. ; Language policy -- Developing countries. ; Education, Bilingual -- Developing countries.</t>
  </si>
  <si>
    <t>Educating in the Divine Image : Gender Issues in Orthodox Jewish Day Schools</t>
  </si>
  <si>
    <t>Gorsetman, Chaya Rosenfeld;Sztokman, Elana Maryles</t>
  </si>
  <si>
    <t>HBI Series on Jewish Women Series</t>
  </si>
  <si>
    <t>LC715</t>
  </si>
  <si>
    <t>Jewish day schools -- Cross-cultural studies</t>
  </si>
  <si>
    <t>The Best School in Jerusalem : Annie Landau's School for Girls, 1900-1960</t>
  </si>
  <si>
    <t>Schor, Laura S.;Reinharz, Shulamit</t>
  </si>
  <si>
    <t>LC54</t>
  </si>
  <si>
    <t>Evelina de Rothschild Girls' School (Jerusalem) -- History</t>
  </si>
  <si>
    <t>Subject Lessons : The Western Education of Colonial India</t>
  </si>
  <si>
    <t>Seth, Sanjay;Adams, Julia;Steinmetz, George</t>
  </si>
  <si>
    <t>Politics, History, and Culture Series</t>
  </si>
  <si>
    <t>LA1151</t>
  </si>
  <si>
    <t>379.54/09034</t>
  </si>
  <si>
    <t>Education-India-Western influences-History-19th century. ; Education and state-India-History-19th century. ; Nationalism and education-India-History-20th century.</t>
  </si>
  <si>
    <t>The Student Leadership Challenge : Facilitation and Activity Guide</t>
  </si>
  <si>
    <t>Kouzes, James M.;Posner, Barry Z.;High, Beth;Morgan, Gary M.</t>
  </si>
  <si>
    <t>J-B Leadership Challenge: Kouzes/Posner Series</t>
  </si>
  <si>
    <t>College student government.</t>
  </si>
  <si>
    <t>The Student Leadership Challenge : Student Workbook and Personal Leadership Journal</t>
  </si>
  <si>
    <t>Expanding the Donor Base in Higher Education : Engaging Non-Traditional Donors</t>
  </si>
  <si>
    <t>Drezner, Noah D.</t>
  </si>
  <si>
    <t>LB2336 -- .E95 2013eb</t>
  </si>
  <si>
    <t>College benefactors - United States</t>
  </si>
  <si>
    <t>The Arts and Emergent Bilingual Youth : Building Culturally Responsive, Critical and Creative Education in School and Community Contexts</t>
  </si>
  <si>
    <t>Chappell, Sharon Verner;Faltis, Christian J.</t>
  </si>
  <si>
    <t>LC3621.A78 2013</t>
  </si>
  <si>
    <t>Arts - Study and teaching - United States</t>
  </si>
  <si>
    <t>Rethinking Pedagogy for a Digital Age : Designing for 21St Century Learning</t>
  </si>
  <si>
    <t>Beetham, Helen;Sharpe, Rhona</t>
  </si>
  <si>
    <t>LB1028.5 -- .R44 2013eb</t>
  </si>
  <si>
    <t>Computer-assisted instruction -- Curricula -- Planning.</t>
  </si>
  <si>
    <t>Handbook of Automated Essay Evaluation : Current Applications and New Directions</t>
  </si>
  <si>
    <t>Shermis, Mark D.;Burstein, Jill</t>
  </si>
  <si>
    <t>LB3060.37 -- .H36 2013eb</t>
  </si>
  <si>
    <t>Report writing - Study and teaching - Evaluation</t>
  </si>
  <si>
    <t>Teacher-Student Relationships: Toward Personalized Education : New Directions for Youth Development, Number 137</t>
  </si>
  <si>
    <t>Bernstein-Yamashiro, Beth;Noam, Gil G.</t>
  </si>
  <si>
    <t>J-B MHS Single Issue Mental Health Services Series</t>
  </si>
  <si>
    <t>LB1033.B47 2013</t>
  </si>
  <si>
    <t>Teacher-student relationships.</t>
  </si>
  <si>
    <t>Parents, Personalities and Power : Welsh-Medium Schools in South-east Wales</t>
  </si>
  <si>
    <t>Gwasg Prifysgol Cymru / University of Wales Press</t>
  </si>
  <si>
    <t>La Vergne</t>
  </si>
  <si>
    <t>Thomas, Huw;Williams, Colin H.</t>
  </si>
  <si>
    <t>LA666 -- .P37 2013eb</t>
  </si>
  <si>
    <t>Education, Secondary -- Wales, South.</t>
  </si>
  <si>
    <t>The Community College in a Global Context : New Directions for Community Colleges, Number 161</t>
  </si>
  <si>
    <t>Treat, Tod;Hagedorn, Linda Serra;Hagedorn, Linda Serra</t>
  </si>
  <si>
    <t>LB2328.C66 2013</t>
  </si>
  <si>
    <t>378.3;378/.1</t>
  </si>
  <si>
    <t>Community colleges.</t>
  </si>
  <si>
    <t>Good Morning, Mr Sarra : My life working for a stronger, smarter future for our children</t>
  </si>
  <si>
    <t>University of Queensland Press</t>
  </si>
  <si>
    <t>St Lucia</t>
  </si>
  <si>
    <t>Sarra, Chris</t>
  </si>
  <si>
    <t>LC3501.A3 -- S37 2012eb</t>
  </si>
  <si>
    <t>Sarra, Chris. ; Cherbourg Aboriginal Settlement (Qld.) ; Aboriginal Australians -- Education (Primary) -- Australia -- Queensland. ; School principals -- Australia -- Queensland -- Biography.</t>
  </si>
  <si>
    <t>What does it mean to be two? Revised : What every practitioner needs to understand about the development of two-year-olds</t>
  </si>
  <si>
    <t>RJ131 -- .L56 2012eb</t>
  </si>
  <si>
    <t>305.232;372.21;649.5</t>
  </si>
  <si>
    <t>Memory disorders. ; Memory disorders -- Treatment.</t>
  </si>
  <si>
    <t>Education; Social Science; Home Economics; Medicine</t>
  </si>
  <si>
    <t>Latinos in Higher Education: Creating Conditions for Student Success : ASHE Higher Education Report, 39:1</t>
  </si>
  <si>
    <t>Nuñez, Anne-Marie;Hoover, Richard E.;Pickett, Kellie;Stuart-Carruthers, A. Christine;Vazquez, Maria;Vazquez, Maria;Nunez, Anne-Marie</t>
  </si>
  <si>
    <t>LC2670.6 -- .L38 2013eb</t>
  </si>
  <si>
    <t>378;378.1982968073;378/.008968</t>
  </si>
  <si>
    <t>Hispanic Americans -- Education (Higher) ; Educational equalization -- United States.</t>
  </si>
  <si>
    <t>Does Religious Education Have a Future? : Pedagogical and Policy Prospects</t>
  </si>
  <si>
    <t>Chater, Mark;Erricker, Clive</t>
  </si>
  <si>
    <t>BV1471.3 .C43 2013</t>
  </si>
  <si>
    <t>Religious education</t>
  </si>
  <si>
    <t>Moving Teacher Education into Urban Schools and Communities : Prioritizing Community Strengths</t>
  </si>
  <si>
    <t>Noel, Jana</t>
  </si>
  <si>
    <t>LB1715 .M68 2013</t>
  </si>
  <si>
    <t>370.71/10973</t>
  </si>
  <si>
    <t>Children's Ways with Science and Literacy : Integrated Multimodal Enactments in Urban Elementary Classrooms</t>
  </si>
  <si>
    <t>Varelas, Maria;Pappas, Christine C.</t>
  </si>
  <si>
    <t>LB1585.3 .V35 2013</t>
  </si>
  <si>
    <t>Blackboard Learn Administration</t>
  </si>
  <si>
    <t>Patterson, Terry</t>
  </si>
  <si>
    <t>LB1044.87 -- .P38 2013eb</t>
  </si>
  <si>
    <t>Spanish language -- Phonology. ; Spanish language -- Morphology. ; Spanish language -- Mexico. ; Folklore -- Spain.</t>
  </si>
  <si>
    <t>Curriculum As Meditative Inquiry</t>
  </si>
  <si>
    <t>Kumar, A.</t>
  </si>
  <si>
    <t>Curriculum Studies Worldwide Series</t>
  </si>
  <si>
    <t>Transnational Student-Migrants and the State : The Education-Migration Nexus</t>
  </si>
  <si>
    <t>Robertson, Shanthi</t>
  </si>
  <si>
    <t>Migration, Diasporas and Citizenship Series</t>
  </si>
  <si>
    <t>371.826/91</t>
  </si>
  <si>
    <t>Creating Postcolonial Literature : African Writers and British Publishers</t>
  </si>
  <si>
    <t>Davis, C.</t>
  </si>
  <si>
    <t>PN770-779</t>
  </si>
  <si>
    <t>African literature</t>
  </si>
  <si>
    <t>The Jossey-Bass Reader on Educational Leadership</t>
  </si>
  <si>
    <t>Grogan, Margaret;Fullan, Michael</t>
  </si>
  <si>
    <t>School management and organization -- United States</t>
  </si>
  <si>
    <t>Personalized Learning : Student-Designed Pathways to High School Graduation</t>
  </si>
  <si>
    <t>Clarke, John H.</t>
  </si>
  <si>
    <t>LB1031.C5 2013eb</t>
  </si>
  <si>
    <t>Individualized instruction-United States-Case studies. ; High school teaching-United States-Case studies. ; Educational change-United States-Case studies.</t>
  </si>
  <si>
    <t>Do Babies Matter? : Gender and Family in the Ivory Tower</t>
  </si>
  <si>
    <t>Mason, Mary Ann;Wolfinger, Nicholas H.;Goulden, Marc;Wolfinger, Nicholas</t>
  </si>
  <si>
    <t>Families in Focus Series</t>
  </si>
  <si>
    <t>LC212.862.M33 2013</t>
  </si>
  <si>
    <t>Sex discrimination in higher education--United States. ; Women in higher education--United States. ; Mothers--Employment--United States.</t>
  </si>
  <si>
    <t>Everyone at the Table : Engaging Teachers in Evaluation Reform</t>
  </si>
  <si>
    <t>Behrstock-Sherratt, Ellen;Rizzolo, Allison;Laine, Sabrina W.;Friedman, Will;Friedman, Will</t>
  </si>
  <si>
    <t>LB2838.B47 2013</t>
  </si>
  <si>
    <t>Teachers--Rating of--United States. ; Teaching--United States--Evaluation.</t>
  </si>
  <si>
    <t>Final Hurdle : A guide to a Successful Viva</t>
  </si>
  <si>
    <t>National Book Network International(NBNI)</t>
  </si>
  <si>
    <t>Royal Society of Chemistry</t>
  </si>
  <si>
    <t>Mansfield, Natalie</t>
  </si>
  <si>
    <t>LB2369 -- .M36 2007eb</t>
  </si>
  <si>
    <t>Law -- Canada -- Miscellanea. ; Law -- Canada -- History -- Miscellanea. ; Law -- Social aspects -- Canada -- History -- Miscellanea. ; Law -- Canada -- Popular works.</t>
  </si>
  <si>
    <t>Your Chemical Science Thesis : An introductory guide to writing up your research project</t>
  </si>
  <si>
    <t>Mackenzie, William Lyon, -- 1795-1861. ; Politicians -- Canada -- Biography. ; Canada -- Politics and government -- 1841-1867. ; United States -- Politics and government -- 1845-1861.</t>
  </si>
  <si>
    <t>Understanding the Principalship : An International Guide to Principal Preparation</t>
  </si>
  <si>
    <t>Slater, Charles L.;Nelson, Sarah W.</t>
  </si>
  <si>
    <t>School principals</t>
  </si>
  <si>
    <t>Learning Transnational Learning</t>
  </si>
  <si>
    <t>Mariussen, Åge;Virkkala, Seija</t>
  </si>
  <si>
    <t>Routledge Studies in Human Geography Series</t>
  </si>
  <si>
    <t>HT391 .L42 2013</t>
  </si>
  <si>
    <t>Regional planning. ; Learning. ; Knowledge management. ; Transnationalism.</t>
  </si>
  <si>
    <t>Reflective Practice for Social Workers: a Handbook for Developing Professional Confidence</t>
  </si>
  <si>
    <t>Bruce, Linda</t>
  </si>
  <si>
    <t>Education; Political Science; Social Science</t>
  </si>
  <si>
    <t>Handbook of Research-Based Practice in Early Education</t>
  </si>
  <si>
    <t>Reutzel, D. Ray;Reutzel, D. Ray</t>
  </si>
  <si>
    <t>LB1139.23 -- .H36 2013eb</t>
  </si>
  <si>
    <t>Early childhood education - Research</t>
  </si>
  <si>
    <t>The West Without Water : What Past Floods, Droughts, and Other Climatic Clues Tell Us about Tomorrow</t>
  </si>
  <si>
    <t>Ingram, B. Lynn;Malamud-Roam, Frances</t>
  </si>
  <si>
    <t>Climatic changes-West (U.S.)-Forecasting. ; Climatic changes-West (U.S.) ; Hydrology-West (U.S.)</t>
  </si>
  <si>
    <t>Aneignungen des Humanismus : Institutionelle und Individuelle Praktiken an der Universität Ingolstadt Im 15. Jahrhundert</t>
  </si>
  <si>
    <t>Schuh, Maximilian</t>
  </si>
  <si>
    <t>Universität Ingolstadt-History-To 1500. ; Humanism-Study and teaching (Higher)-Germany-History-To 1500. ; Classical education-Germany-History-To 1500. ; Education, Higher-Germany-History-To 1500. ; Education-Germany-Philosophy-History-To 1500. ; Germany-Intellectual life.</t>
  </si>
  <si>
    <t>Madeline Hunter&amp;prime;s Mastery Teaching : Increasing Instructional Effectiveness in Elementary and Secondary Schools</t>
  </si>
  <si>
    <t>Hunter, Robin</t>
  </si>
  <si>
    <t>TrainSmart : Effective Trainings Every Time</t>
  </si>
  <si>
    <t>Allen, Rich</t>
  </si>
  <si>
    <t>Sustaining Professional Learning Communities</t>
  </si>
  <si>
    <t>Blankstein, Alan M.;Houston, Paul D.;Cole, Robert W.</t>
  </si>
  <si>
    <t>The Teacher&amp;prime;s Concise Guide to Functional Behavioral Assessment</t>
  </si>
  <si>
    <t>Teaching That Changes Lives : 12 Mindset Tools for Igniting the Love of Learning</t>
  </si>
  <si>
    <t>Adams, Marilee G.;Costa, Arthur L.;Kallick, Bena</t>
  </si>
  <si>
    <t>BK Life</t>
  </si>
  <si>
    <t>LB1590.3 -- .A34 2013eb</t>
  </si>
  <si>
    <t>Thought and thinking -- Study and teaching -- United States. ; Cognition in children. ; Effective teaching -- United States. ; Educational change -- United States.</t>
  </si>
  <si>
    <t>Living Powers(RLE Edu K) : The Arts in Education</t>
  </si>
  <si>
    <t>Abbs, Peter</t>
  </si>
  <si>
    <t>NX280 .L58 2013</t>
  </si>
  <si>
    <t>Arts -- Study and teaching (Elementary) ; Education, Elementary -- Curricula.</t>
  </si>
  <si>
    <t>Reading and Comprehension in the African Context : A Cognitive Enquiry</t>
  </si>
  <si>
    <t>Zapf Chancery Publishers Africa Ltd</t>
  </si>
  <si>
    <t>KENYA</t>
  </si>
  <si>
    <t>Kibui, Wanja</t>
  </si>
  <si>
    <t>JQ2947.A95K494547</t>
  </si>
  <si>
    <t>Doing Your Masters Dissertation : From Start to Finish</t>
  </si>
  <si>
    <t>Furseth, Inger;Everett, Euris Larry</t>
  </si>
  <si>
    <t>Student Success Series</t>
  </si>
  <si>
    <t>LB2369 -- .F87 2013eb</t>
  </si>
  <si>
    <t>Social sciences -- Research -- Methodology. ; Dissertations, Academic. ; Academic writing. ; Dissertations, Academic -- Authorship.</t>
  </si>
  <si>
    <t>Getting to the Core of Literacy for History/Social Studies, Science, and Technical Subjects, Grades 6-12</t>
  </si>
  <si>
    <t>LB1631 .G568 2013</t>
  </si>
  <si>
    <t>Language arts (Middle school)-United States. ; Language arts (Middle school)-Standards-United States. ; Language arts (Secondary)-United States. ; Language arts (Secondary)-Standards-United States. ; Language arts-Correlation with content subjects-United States.</t>
  </si>
  <si>
    <t>Improving Student Engagement and Development Through Assessment : Theory and Practice in Higher Education</t>
  </si>
  <si>
    <t>Clouder, Lynn;Broughan, Christine;Jewell, Steve;Steventon, Graham</t>
  </si>
  <si>
    <t>LB2368 .I47 2012</t>
  </si>
  <si>
    <t>Education, Higher - Evaluation</t>
  </si>
  <si>
    <t>Exploring Leadership : For College Students Who Want to Make a Difference</t>
  </si>
  <si>
    <t>Komives, Susan R.;Lucas, Nance;McMahon, Timothy R.</t>
  </si>
  <si>
    <t>Leadership - Study and teaching (Higher) - United States</t>
  </si>
  <si>
    <t>Global Issues in Institutional Research : New Directions for Institutional Research, Number 157</t>
  </si>
  <si>
    <t>Calderone, Angel;Webber, Karen L.</t>
  </si>
  <si>
    <t>LB2321.C384 2013</t>
  </si>
  <si>
    <t>Education, Higher--Research.</t>
  </si>
  <si>
    <t>Art and Human Development</t>
  </si>
  <si>
    <t>Milbrath, Constance;Lightfoot, Cynthia</t>
  </si>
  <si>
    <t>Jean Piaget Symposia Series</t>
  </si>
  <si>
    <t>BF408 .A726 2013</t>
  </si>
  <si>
    <t>Arts - Psychological aspects</t>
  </si>
  <si>
    <t>Chicana/o Struggles for Education : Activism in the Community</t>
  </si>
  <si>
    <t>San Miguel, Guadalupe</t>
  </si>
  <si>
    <t>University of Houston Series in Mexican American Studies, Sponsored by the Cente</t>
  </si>
  <si>
    <t>LC2683 -- .S35 2013eb</t>
  </si>
  <si>
    <t>Chicano movement -- United States -- History. ; Discrimination in education -- United States -- History -- 20th century. ; Education, Bilingual -- United States -- History -- 20th century. ; Educational equalization -- United States -- History -- 20th century. ; Mexican American teachers -- United States -- Political activity -- 20th century. ; Mexican Americans -- Education -- History -- 20th century. ; Mexican Americans -- Social conditions -- 20th century.</t>
  </si>
  <si>
    <t>Information Communication Technology In Education: Singapore's Ict Masterplans 1997-2008</t>
  </si>
  <si>
    <t>Sai Choo Lee;Thiam Seng Koh</t>
  </si>
  <si>
    <t>LB1028.3 -- .I519348 2008eb</t>
  </si>
  <si>
    <t>Educational technology -- Singapore</t>
  </si>
  <si>
    <t>Nurturing Reflective Learners In Mathematics: Yearbook 2013, Association Of Mathematics Educators</t>
  </si>
  <si>
    <t>Berinderjeet Kaur</t>
  </si>
  <si>
    <t>QA11.2 -- .N87 2013eb</t>
  </si>
  <si>
    <t>Mathematics teachers</t>
  </si>
  <si>
    <t>Developments in Educational Psychology</t>
  </si>
  <si>
    <t>LB1051 .D473</t>
  </si>
  <si>
    <t>Education, Epistemology and Critical Realism</t>
  </si>
  <si>
    <t>LB14.7 .S385</t>
  </si>
  <si>
    <t>Critical realism</t>
  </si>
  <si>
    <t>Write in Style : A Guide to Good English</t>
  </si>
  <si>
    <t>Palmer, Richard</t>
  </si>
  <si>
    <t>PE1408 .P246</t>
  </si>
  <si>
    <t>Written English</t>
  </si>
  <si>
    <t>Emotional Survival : An Emotional Literacy Course for High School Students</t>
  </si>
  <si>
    <t>BF724.3.E5 -- R34 2008eb</t>
  </si>
  <si>
    <t>Emotions in adolescence. ; Adolescent psychology -- Study and teaching (Secondary) ; Emotions in adolescence -- Study and teaching (Secondary)</t>
  </si>
  <si>
    <t>The New American High School</t>
  </si>
  <si>
    <t>Sizer, Ted;Meier, Deborah;Faust Sizer, Nancy</t>
  </si>
  <si>
    <t>High schools--United States</t>
  </si>
  <si>
    <t>Learning from the Bumps in the Road : Insights from Early Childhood Leaders</t>
  </si>
  <si>
    <t>Redleaf Press</t>
  </si>
  <si>
    <t>St Paul, MN</t>
  </si>
  <si>
    <t>Bruno, Holly Elissa;Gonzalez-Mena, Janet;Hernandez, Luis A.;Sullivan, Debra Ren-Etta</t>
  </si>
  <si>
    <t>LB2822.6 -- .B783 2013eb</t>
  </si>
  <si>
    <t>Early childhood education - Administration</t>
  </si>
  <si>
    <t>Professional Studies in the Primary School : Thinking Beyond the Standards</t>
  </si>
  <si>
    <t>English, Eve;Newton, Lynn</t>
  </si>
  <si>
    <t>LB1569</t>
  </si>
  <si>
    <t>372.1/102</t>
  </si>
  <si>
    <t>Elementary school teaching.</t>
  </si>
  <si>
    <t>Improving Teacher Quality : Using the Teacher Work Sample to Make Evidence-Based Decisions</t>
  </si>
  <si>
    <t>Henning, John;Kohler, Frank;Robinson, Victoria;Wilson, Barry</t>
  </si>
  <si>
    <t>LB2157.U5I48 2009</t>
  </si>
  <si>
    <t>Planning for Schematic Learning in the Early Years : A Practical Guide</t>
  </si>
  <si>
    <t>Constable, Karen;Green, Sandy</t>
  </si>
  <si>
    <t>LB1031 .C56 2013</t>
  </si>
  <si>
    <t>Individualized instruction. ; Education, Primary.</t>
  </si>
  <si>
    <t>School Level Leadership in Post-Conflict Societies : The Importance of Context</t>
  </si>
  <si>
    <t>Clarke, Simon R. P.;O'Donoghue, Thomas A.</t>
  </si>
  <si>
    <t>School management and organization -- Cross-cultural studies. ; Educational leadership -- Cross-cultural studies. ; Postwar reconstruction -- Cross-cultural studies.</t>
  </si>
  <si>
    <t>Effective Innovation in the Secondary Geography Curriculum : A Practical Guide</t>
  </si>
  <si>
    <t>Rawding, Charles</t>
  </si>
  <si>
    <t>G73 .R26.5 2013</t>
  </si>
  <si>
    <t>Re-Evaluating Education in Japan and Korea : De-Mystifying Stereotypes</t>
  </si>
  <si>
    <t>Park, Hyunjoon</t>
  </si>
  <si>
    <t>Routledge Studies in Education and Society in Asia Series</t>
  </si>
  <si>
    <t>LA1312 .P37 2013</t>
  </si>
  <si>
    <t>Academic achievement - Korea</t>
  </si>
  <si>
    <t>Encouraging Learning : How You Can Help Children Learn</t>
  </si>
  <si>
    <t>Nottingham, James</t>
  </si>
  <si>
    <t>LB1065 -- .N58 2013eb</t>
  </si>
  <si>
    <t>SAGE Handbook of Research on Classroom Assessment : SAGE Publications</t>
  </si>
  <si>
    <t>McMillan, James H.</t>
  </si>
  <si>
    <t>Sociology of Education : An a-To-Z Guide</t>
  </si>
  <si>
    <t>Ainsworth, James</t>
  </si>
  <si>
    <t>LC191 -- .S63 2013eb</t>
  </si>
  <si>
    <t>Great Habits, Great Readers : A Practical Guide for K - 4 Reading in the Light of Common Core</t>
  </si>
  <si>
    <t>Bambrick-Santoyo, Paul;Settles, Aja;Worrell, Juliana;Atkins, Norman</t>
  </si>
  <si>
    <t>Language arts (Elementary)--Curricula--United States</t>
  </si>
  <si>
    <t>Teaching on the Education Frontier : Instructional Strategies for Online and Blended Classrooms Grades 5-12</t>
  </si>
  <si>
    <t>Kipp, Kristin;Patrick, Susan</t>
  </si>
  <si>
    <t>Palestine in Israeli School Books : Ideology and Propaganda in Education</t>
  </si>
  <si>
    <t>I. B. Tauris &amp; Company, Limited</t>
  </si>
  <si>
    <t>Peled-Elhanan, Nurit</t>
  </si>
  <si>
    <t>DS119.7 .P2665 2012</t>
  </si>
  <si>
    <t>Nationalism and education -- Israel</t>
  </si>
  <si>
    <t>America's Urban Crisis and the Advent of Color-Blind Politics : Education, Incarceration, Segregation, and the Future of the U. S. Multiracial Democracy</t>
  </si>
  <si>
    <t>Ivery, Curtis L.;Bassett, Joshua;Baker, Houston;Boggs, Grace Lee;DeMott, Benjamin;Frankenberg, Erica;Gates, Henry Louis, Jr.;Grant-Thomas, Andrew;Guinier, Lani;Herbert, Bob</t>
  </si>
  <si>
    <t>LC213.E377 2011</t>
  </si>
  <si>
    <t>Educational equalization. ; Discrimination in education. ; Imprisonment.</t>
  </si>
  <si>
    <t>Changing School Culture for Black Males</t>
  </si>
  <si>
    <t>Chicago Heights</t>
  </si>
  <si>
    <t>LC2771 -- .K86 2013eb</t>
  </si>
  <si>
    <t>Mannheim, Karl, -- 1893-1947. ; Marx, Karl, -- 1818-1883. ; Knowledge, Sociology of.</t>
  </si>
  <si>
    <t>Raising the Stakes</t>
  </si>
  <si>
    <t>Coaldrake, Peter;Stedman, Lawrence</t>
  </si>
  <si>
    <t>LA2108 -- .C63 2013eb</t>
  </si>
  <si>
    <t>Education, Higher -- Australia. ; Educational change -- Australia. ; Universities and colleges -- Finance.</t>
  </si>
  <si>
    <t>Handbook of Vocational Psychology : Theory, Research, and Practice</t>
  </si>
  <si>
    <t>Walsh, W. Bruce;Savickas, Mark L.;Hartung, Paul</t>
  </si>
  <si>
    <t>HF5381 .H1335 2013</t>
  </si>
  <si>
    <t>Vocational guidance -- Psychological aspects. ; Career development -- Psychological aspects. ; Personality and occupation.</t>
  </si>
  <si>
    <t>Ideas of Education : Philosophy and Politics from Plato to Dewey</t>
  </si>
  <si>
    <t>Brooke, Christopher;Frazer, Elizabeth</t>
  </si>
  <si>
    <t>LB14.7 .I34 2013</t>
  </si>
  <si>
    <t>Lifelong Learning in the UK : An Introductory Guide for Education Studies</t>
  </si>
  <si>
    <t>O'Grady, Anne</t>
  </si>
  <si>
    <t>LC5256.G7 O37 2013</t>
  </si>
  <si>
    <t>Continuing education -- Great Britain. ; Adult education -- Great Britain.</t>
  </si>
  <si>
    <t>Early Literacy Work with Families : Policy, Practice and Research</t>
  </si>
  <si>
    <t>Nutbrown, Cathy;Hannon, Peter;Morgan, Anne</t>
  </si>
  <si>
    <t>LB1139.5.L35 -- N87 2005eb</t>
  </si>
  <si>
    <t>Family literacy programs - Great Britain</t>
  </si>
  <si>
    <t>Rebel Mexico : Student Unrest and Authoritarian Political Culture During the Long Sixties</t>
  </si>
  <si>
    <t>Pensado, Jaime M.</t>
  </si>
  <si>
    <t>LA428</t>
  </si>
  <si>
    <t>Students--Political activity--Mexico--History--20th century. ; Student movements--Mexico--History--20th century. ; Political culture--Mexico--History--20th century. ; Mexico--Politics and government--1946-1970.</t>
  </si>
  <si>
    <t>Visible Learners : Promoting Reggio-Inspired Approaches in All Schools</t>
  </si>
  <si>
    <t>Krechevsky, Mara;Mardell, Ben;Rivard, Melissa;Wilson, Daniel</t>
  </si>
  <si>
    <t>The Liberal Arts Tradition : A Documentary History</t>
  </si>
  <si>
    <t>LC1011.L457 2010</t>
  </si>
  <si>
    <t>Education, Humanistic--United States--History. ; Education, Humanistic--History.</t>
  </si>
  <si>
    <t>International Perspectives on Transition to School : Reconceptualising Beliefs, Policy and Practice</t>
  </si>
  <si>
    <t>Margetts, Kay;Kienig, Anna</t>
  </si>
  <si>
    <t>LB1132 .I58 2013</t>
  </si>
  <si>
    <t>Readiness for school. ; Education, Elementary.</t>
  </si>
  <si>
    <t>Reframing Educational Research : Resisting the 'what Works' Agenda</t>
  </si>
  <si>
    <t>Farnsworth, Valerie;Solomon, Yvette</t>
  </si>
  <si>
    <t>LB1028 .F29 2013</t>
  </si>
  <si>
    <t>Education -- Research. ; Education -- Research -- Methodology.</t>
  </si>
  <si>
    <t>Education Quality and Social Justice in the Global South : Challenges for Policy, Practice and Research</t>
  </si>
  <si>
    <t>Tikly, Leon;Barrett, Angeline M.</t>
  </si>
  <si>
    <t>LC213 -- .E379 2013eb</t>
  </si>
  <si>
    <t>379.2/609172/4</t>
  </si>
  <si>
    <t>The Resegregation of Schools : Education and Race in the Twenty-First Century</t>
  </si>
  <si>
    <t>Donnor, Jamel K.;Dixson, Adrienne</t>
  </si>
  <si>
    <t>LC196 .R46 2013</t>
  </si>
  <si>
    <t>Deeper Writing : Quick Writes and Mentor Texts to Illuminate New Possibilities</t>
  </si>
  <si>
    <t>Holland, Robin W.</t>
  </si>
  <si>
    <t>Adult Education and Learning in a Precarious Age: the Hamburg Declaration Revisited : New Directions for Adult and Continuing Education, Number 138</t>
  </si>
  <si>
    <t>Nesbit, Tom;Welton, Michael;Welton, Michael</t>
  </si>
  <si>
    <t>LC5215.A385 2013</t>
  </si>
  <si>
    <t>Mobile Learning for All : Supporting Accessibility with the IPad</t>
  </si>
  <si>
    <t>Perez, Luis F.</t>
  </si>
  <si>
    <t>The Autism Ambassadors Handbook : Peer Support for Learning, Growth, and Success</t>
  </si>
  <si>
    <t>Kukoff, Zak</t>
  </si>
  <si>
    <t>LC4717.5</t>
  </si>
  <si>
    <t>Inclusion Coaching for Collaborative Schools</t>
  </si>
  <si>
    <t>LC1201</t>
  </si>
  <si>
    <t>The Burden of Academic Success : Managing Working-Class Identities in College</t>
  </si>
  <si>
    <t>Hurst, Allison L.</t>
  </si>
  <si>
    <t>LC5051.H87 2009</t>
  </si>
  <si>
    <t>378.1/982623</t>
  </si>
  <si>
    <t>Working class--Education (Higher)--United States. ; Academic achievement--Social aspects--United States. ; Social classes--United States.</t>
  </si>
  <si>
    <t>School-Based Interventions for Struggling Readers, K-8</t>
  </si>
  <si>
    <t>Reading -- Remedial teaching. ; Reading (Elementary) ; Reading (Secondary)</t>
  </si>
  <si>
    <t>Evidence-Based Practices</t>
  </si>
  <si>
    <t>Cook, Bryan G.;Tankersley, Melody;Landrum, Timothy J.</t>
  </si>
  <si>
    <t>Children with disabilities -- Education. ; Learning disabilities. ; Problem children.</t>
  </si>
  <si>
    <t>Mixed Methods and Credibility of Evidence in Evaluation : New Directions for Evaluation, Number 138</t>
  </si>
  <si>
    <t>Mertens, Donna M.;Hesse-Biber, Sharlene</t>
  </si>
  <si>
    <t>AZ191.M59 2013eb</t>
  </si>
  <si>
    <t>Evaluation--Methodology.</t>
  </si>
  <si>
    <t>Contemplative Studies in Higher Education : New Directions for Teaching and Learning, Number 134</t>
  </si>
  <si>
    <t>Sanders, Linda A.</t>
  </si>
  <si>
    <t>BV5091.C7.C66 2013eb</t>
  </si>
  <si>
    <t>Contemplation--Study and teaching (Higher)</t>
  </si>
  <si>
    <t>Common Core Standards for Elementary Grades K-2 Math and English Language Arts : A Quick-Start Guide</t>
  </si>
  <si>
    <t>Evenson, Amber;McIver, Monette;Ryan, Susan;Schwols, Amitra;Kendall, John</t>
  </si>
  <si>
    <t>QA135.6 .E848 2013</t>
  </si>
  <si>
    <t>372.602/1873</t>
  </si>
  <si>
    <t>Mathematics-Study and teaching (Elementary)-United States. ; Mathematics-Study and teaching (Elementary)-Standards-United States. ; Language arts (Elementary)-Curricula-United States-States. ; Language arts (Elementary)-Standards-United States-States.</t>
  </si>
  <si>
    <t>Never Underestimate Your Teachers : Instructional Leadership for Excellence in Every Classroom</t>
  </si>
  <si>
    <t>LB2805 .J15 2013</t>
  </si>
  <si>
    <t>School management and organization. ; Educational leadership. ; Teaching. ; Learning.</t>
  </si>
  <si>
    <t>Collegiate Transfer: Navigating the New Normal : New Directions for Higher Education, Number 162</t>
  </si>
  <si>
    <t>Marling, Janet L.</t>
  </si>
  <si>
    <t>LB2360.C65 2013eb</t>
  </si>
  <si>
    <t>Transfer students -- Education (Higher) ; Students, Transfer of -- Education (Higher)</t>
  </si>
  <si>
    <t>The Cleverness of Boys</t>
  </si>
  <si>
    <t>Featherstone, Sally;Bayley, Ros;Featherstone, Sally</t>
  </si>
  <si>
    <t>LC1390.F43 2010eb</t>
  </si>
  <si>
    <t>Boys -- Education -- Great Britain. ; Sex differences in education -- Great Britain.</t>
  </si>
  <si>
    <t>Setting the Scene : Creating Successful Environments for Babies and Young Children</t>
  </si>
  <si>
    <t>Featherstone, Sally;Massey, Elaine;Goodman, Sam</t>
  </si>
  <si>
    <t>LB3013.F43 2011eb</t>
  </si>
  <si>
    <t>Classroom environment. ; Early childhood education.</t>
  </si>
  <si>
    <t>Catching Them at It! : Assessment in the Early Years</t>
  </si>
  <si>
    <t>Featherstone, Sally</t>
  </si>
  <si>
    <t>LB3051.F43 2011eb</t>
  </si>
  <si>
    <t>Independent Learning in the Foundation Stage</t>
  </si>
  <si>
    <t>Bayley, Ros;Featherstone, Sally</t>
  </si>
  <si>
    <t>LB1139.3.G7.F43 201</t>
  </si>
  <si>
    <t>Early childhood education -- Great Britain. ; Effective teaching -- Great Britain.</t>
  </si>
  <si>
    <t>Reinventing the Curriculum : New Trends in Curriculum Policy and Practice</t>
  </si>
  <si>
    <t>Priestley, Mark;Biesta, Gert</t>
  </si>
  <si>
    <t>LB2806.15.R45 2013</t>
  </si>
  <si>
    <t>Curriculum planning. ; Curriculum change. ; Curriculum planning--Scotland--Case studies. ; Curriculum change--Scotland--Case studies.</t>
  </si>
  <si>
    <t>Producing Pedagogy</t>
  </si>
  <si>
    <t>Burton, Lorelle;Lawrence,  Jill;Dashwood,  Ann;Brown, Alice</t>
  </si>
  <si>
    <t>LA2138 -- .B87 2013eb</t>
  </si>
  <si>
    <t>University of Southern Queensland. ; Education, Higher -- Study and teaching -- Australia.</t>
  </si>
  <si>
    <t>Organized Out-Of-School Activities: Setting for Peer Relationships : New Directions for Child and Adolescent Development, Number 140</t>
  </si>
  <si>
    <t>Fredricks, Jennifer A.;Simpkins, Sandra D.</t>
  </si>
  <si>
    <t>J-B CAD Single Issue Child and Adolescent Development Series</t>
  </si>
  <si>
    <t>LB3605.O64 2013eb</t>
  </si>
  <si>
    <t>Student activities.</t>
  </si>
  <si>
    <t>Handbook of Mobile Learning</t>
  </si>
  <si>
    <t>Berge, Zane L.;Muilenburg, Lin</t>
  </si>
  <si>
    <t>LB1044.84 .H36 2013</t>
  </si>
  <si>
    <t>Mobile communication systems in education</t>
  </si>
  <si>
    <t>Education and Masculinities : Social, Cultural and Global Transformations</t>
  </si>
  <si>
    <t>Haywood, Chris;Mac an Ghaill, Mairtin</t>
  </si>
  <si>
    <t>LC212.9 -- .H39 2013eb</t>
  </si>
  <si>
    <t>A Faculty Guide for Succeeding in Academe</t>
  </si>
  <si>
    <t>Twale, Darla J.</t>
  </si>
  <si>
    <t>LB1778 -- .T87 2013eb</t>
  </si>
  <si>
    <t>Educational Leadership and Michel Foucault</t>
  </si>
  <si>
    <t>Gillies, Donald</t>
  </si>
  <si>
    <t>Critical Studies in Educational Leadership, Management and Administration</t>
  </si>
  <si>
    <t>LB2806 -- .G47 2013eb</t>
  </si>
  <si>
    <t>Foucault, Michel, -- 1926-1984. ; Educational leadership. ; Education -- Philosophy.</t>
  </si>
  <si>
    <t>Educational Assessment, Evaluation and Research : The Selected Works of Mary E. James</t>
  </si>
  <si>
    <t>James, Mary</t>
  </si>
  <si>
    <t>LB3051 -- .J36 2013eb</t>
  </si>
  <si>
    <t>Community Colleges and STEM : Examining Underrepresented Racial and Ethnic Minorities</t>
  </si>
  <si>
    <t>Palmer, Robert T.;Wood, J. Luke</t>
  </si>
  <si>
    <t>Q183.3.A1 -- C653 2013eb</t>
  </si>
  <si>
    <t>Science -- Study and teaching (Higher) -- United States. ; Technology -- Study and teaching (Higher) -- United States. ; Engineering -- Study and teaching (Higher) -- United States. ; Mathematics -- Study and teaching (Higher) -- United States. ; Science students -- United States. ; Community college students -- United States. ; Minority college students -- United States.</t>
  </si>
  <si>
    <t>E-Tivities : The Key to Active Online Learning</t>
  </si>
  <si>
    <t>LB1044.87 .S25 2014</t>
  </si>
  <si>
    <t>The Savvy Student's Guide to Online Learning</t>
  </si>
  <si>
    <t>Sosulski, Kristen;Bongiovanni, Ted</t>
  </si>
  <si>
    <t>LC5803.C65 -- S67 2013eb</t>
  </si>
  <si>
    <t>Distance education -- Computer-assisted instruction. ; Internet in education.</t>
  </si>
  <si>
    <t>Enhancing Quality in Higher Education : International Perspectives</t>
  </si>
  <si>
    <t>Land, Ray;Gordon, George</t>
  </si>
  <si>
    <t>LB2322.2 .Q35 2013</t>
  </si>
  <si>
    <t>Performance Funding for Higher Education: What Are the Mechanisms? What Are the Impacts? : ASHE Higher Education Report, 39:2</t>
  </si>
  <si>
    <t>Dougherty, Kevin J.;Reddy, Vikash</t>
  </si>
  <si>
    <t>LB2342.D68 2013</t>
  </si>
  <si>
    <t>State universities and colleges--United States--Finance.</t>
  </si>
  <si>
    <t>Race and Gender in the Classroom : Teachers, Privilege, and Enduring Social Inequalities</t>
  </si>
  <si>
    <t>Stoll, Laurie Cooper;Embrick, David G.</t>
  </si>
  <si>
    <t>LC196.5.U6.S86 2013</t>
  </si>
  <si>
    <t>Feminism and education -- United States</t>
  </si>
  <si>
    <t>Selected Contemporary Assessment Issues : New Directions for Student Services, Number 142</t>
  </si>
  <si>
    <t>Schuh, John H.;Schuh, John H.</t>
  </si>
  <si>
    <t>LB1027.5.S45 2013</t>
  </si>
  <si>
    <t>378.1;378.197</t>
  </si>
  <si>
    <t>Educational counseling--United States.</t>
  </si>
  <si>
    <t>Attention Deficit Hyperactivity Disorder : A Practical Guide for Teachers</t>
  </si>
  <si>
    <t>Cooper, Paul;Bilton, Katherine M.</t>
  </si>
  <si>
    <t>LC4713.4 -- .C66 2002eb</t>
  </si>
  <si>
    <t>Attention-deficit disordered children</t>
  </si>
  <si>
    <t>Primary Science Curriculum Guide</t>
  </si>
  <si>
    <t>Stringer, John;Atkinson, Hilary</t>
  </si>
  <si>
    <t>LB1585 -- .S77 2002eb</t>
  </si>
  <si>
    <t>Could It Be Otherwise? : Parents and the Inequalities of Public School Choice</t>
  </si>
  <si>
    <t>André-Bechely, Lois</t>
  </si>
  <si>
    <t>School choice - United States</t>
  </si>
  <si>
    <t>Leading Dynamic Schools : How to Create and Implement Ethical Policies</t>
  </si>
  <si>
    <t>Rallis, Sharon F.;Rossman, Gretchen B.;Cobb, Casey D.;Reagan, Timothy G.;Kuntz, Aaron M.</t>
  </si>
  <si>
    <t>LB2805.L3447 2008</t>
  </si>
  <si>
    <t>Differentiated School Leadership : Effective Collaboration, Communication, and Change Through Personality Type</t>
  </si>
  <si>
    <t>Kise, Jane A. G.;Russell, Beth Ross-Shannon</t>
  </si>
  <si>
    <t>LB2805.K524 2008</t>
  </si>
  <si>
    <t>Univer-cities: Strategic Implications For Asia - Readings From Cambridge And Berkeley To Singapore</t>
  </si>
  <si>
    <t>Anthony Soon Chye Teo</t>
  </si>
  <si>
    <t>LC238.4.A78 -- U65 2013eb</t>
  </si>
  <si>
    <t>Nanyang Technological University</t>
  </si>
  <si>
    <t>Failure of American and Soviet Cultural Imperialism in German Universities, 1945-1990</t>
  </si>
  <si>
    <t>Tsvetkova, Natalia</t>
  </si>
  <si>
    <t>LC178.G3.T78 2013eb</t>
  </si>
  <si>
    <t>Higher education and state-Germany. ; Education, Higher-Germany-American influences. ; Education, Higher-Germany-Soviet influences. ; Cold War. ; Germany-Civilization-American influences. ; Germany-Civilization-Soviet influences.</t>
  </si>
  <si>
    <t>A Culturally Proficient Response to LGBT Communities : A Guide for Educators</t>
  </si>
  <si>
    <t>Lindsey, Randall B.;Diaz, Richard M.;Nuri-Robins, Kikanza;Terrell, Raymond D.;Lindsey, Delores B.</t>
  </si>
  <si>
    <t>LC2575.C85 2013eb</t>
  </si>
  <si>
    <t>Lesbian students-United States. ; Gay students-United States. ; Bisexual students-United States. ; Transgender youth-Education-United States. ; Sexual minorities-Education. ; Homosexuality and education-United States.</t>
  </si>
  <si>
    <t>Endangering Prosperity : A Global View of the American School</t>
  </si>
  <si>
    <t>Hanushek, Eric A.;Peterson, Paul E.;Woessmann, Ludger</t>
  </si>
  <si>
    <t>LA217.2.H36 2013eb</t>
  </si>
  <si>
    <t>Public schools - United States - Public opinion</t>
  </si>
  <si>
    <t>University Expansion in a Changing Global Economy : Triumph of the BRICs?</t>
  </si>
  <si>
    <t>Carnoy, Martin;Loyalka, Prashant;Dobryakova, Maria;Dossani, Rafiq;Froumin, Isak;Kuhns, Katherine;Tilak, Jandhyala;Wang, Rong</t>
  </si>
  <si>
    <t>LC2610+</t>
  </si>
  <si>
    <t>Education, Higher -- BRIC countries. ; Higher education and state -- BRIC countries. ; Comparative education.</t>
  </si>
  <si>
    <t>Science, Philosophy and Physical Geography</t>
  </si>
  <si>
    <t>Inkpen, Robert;Wilson, Graham</t>
  </si>
  <si>
    <t>GB21 .I55 2013</t>
  </si>
  <si>
    <t>910/.02</t>
  </si>
  <si>
    <t>Physical geography -- Philosophy.</t>
  </si>
  <si>
    <t>Geography/Travel; Science; Science: Geology</t>
  </si>
  <si>
    <t>Designing Critical Literacy Education Through Critical Discourse Analysis : Pedagogical and Research Tools for Teacher-Researchers</t>
  </si>
  <si>
    <t>Rogers, Rebecca;Mosley Wetzel, Melissa</t>
  </si>
  <si>
    <t>LC2778.L34 .R76 2013</t>
  </si>
  <si>
    <t>African American children -- Education (Elementary) -- United States. ; Language arts (Elementary) -- United States. ; Literacy -- United States. ; Critical pedagogy -- United States.</t>
  </si>
  <si>
    <t>Single Case Research in Schools : Practical Guidelines for School-Based Professionals</t>
  </si>
  <si>
    <t>Vannest, Kimberly J.;Davis, John L.;Parker, Richard I.</t>
  </si>
  <si>
    <t>LB1028 .S5118 2013</t>
  </si>
  <si>
    <t>Single subject research</t>
  </si>
  <si>
    <t>Discipline in the Secondary Classroom : A Positive Approach to Behavior Management</t>
  </si>
  <si>
    <t>Sprick, Randall S.</t>
  </si>
  <si>
    <t>LB3013.S64 2013eb</t>
  </si>
  <si>
    <t>The First-Year Teacher's Survival Guide : Ready-To-Use Strategies, Tools and Activities for Meeting the Challenges of Each School Day</t>
  </si>
  <si>
    <t>Thompson, Julia G.</t>
  </si>
  <si>
    <t>LB2844.1.N4.T52 201</t>
  </si>
  <si>
    <t>First year teachers--Handbooks, manuals, etc.</t>
  </si>
  <si>
    <t>From Discipline to Culturally Responsive Engagement : 45 Classroom Management Strategies</t>
  </si>
  <si>
    <t>Pinto, Laura E.</t>
  </si>
  <si>
    <t>LB3013.P485 2013</t>
  </si>
  <si>
    <t>Classroom management. ; Behavior modification. ; Multicultural education.</t>
  </si>
  <si>
    <t>Teacherpreneurs : Innovative Teachers Who Lead but Don't Leave</t>
  </si>
  <si>
    <t>Berry, Barnett;Byrd, Ann;Wieder, Alan</t>
  </si>
  <si>
    <t>EDUCATION / Administration / General</t>
  </si>
  <si>
    <t>Improving Reading, Writing, and Content Learning for Students in Grades 4-12</t>
  </si>
  <si>
    <t>Taylor, Rosemarye T.</t>
  </si>
  <si>
    <t>LB1576.T354 2007eb</t>
  </si>
  <si>
    <t>Emotion, Motivation, and Self-Regulation : A Handbook for Teachers</t>
  </si>
  <si>
    <t>Hall, Nathan C.;Goetz, Thomas</t>
  </si>
  <si>
    <t>LB1025.3.E66 2013eb</t>
  </si>
  <si>
    <t>Cultural Studies, Education, and Youth : Beyond Schools</t>
  </si>
  <si>
    <t>Frymer, Benjamin;Broughton, John;Carlin, Matthew;Cho, K. Daniel;Friedberg, Brian;Kellner, Douglas;Hochman, Jessica;Lewis, Tyson;Maitra, Rob;McCarthy, Cameron</t>
  </si>
  <si>
    <t>LC191 -- .C775 2011eb</t>
  </si>
  <si>
    <t>Youth - Social conditions</t>
  </si>
  <si>
    <t>Online Learning and Community Cohesion : Linking Schools</t>
  </si>
  <si>
    <t>Austin, Roger;Hunter, Bill</t>
  </si>
  <si>
    <t>LB1028.5 .A799 2013</t>
  </si>
  <si>
    <t>Refugees, Immigrants, and Education in the Global South : Lives in Motion</t>
  </si>
  <si>
    <t>Bartlett, Lesley;Ghaffar-Kucher, Ameena</t>
  </si>
  <si>
    <t>LC3719 .R44 2013</t>
  </si>
  <si>
    <t>Comparative education - Southern Hemisphere</t>
  </si>
  <si>
    <t>The Child's Unconscious Mind : The Relations of Psychoanalysis to Education</t>
  </si>
  <si>
    <t>Lay, Wilfrid, Wilfrid</t>
  </si>
  <si>
    <t>BF721 .L4</t>
  </si>
  <si>
    <t>Psychoanalysis and education. ; Child psychology.</t>
  </si>
  <si>
    <t>The Dynamics of Education : A Methodology of Progressive Educational Thought</t>
  </si>
  <si>
    <t>Taba, Hilda, Hilda;Kilpatrick, William Heard</t>
  </si>
  <si>
    <t>LB875 .T3</t>
  </si>
  <si>
    <t>Learning, Psychology of. ; Education -- Philosophy.</t>
  </si>
  <si>
    <t>Play, Dreams and Imitation in Childhood</t>
  </si>
  <si>
    <t>Piaget, Jean, Jean</t>
  </si>
  <si>
    <t>BF721 .P452</t>
  </si>
  <si>
    <t>Play assessment (Child psychology) ; Imitation in children. ; Children's dreams.</t>
  </si>
  <si>
    <t>Rethinking University Teaching : A Conversational Framework for the Effective Use of Learning Technologies</t>
  </si>
  <si>
    <t>LB2331 .L27 2013</t>
  </si>
  <si>
    <t>Effective Pupil Grouping in the Primary School : A Practical Guide</t>
  </si>
  <si>
    <t>Hallam, Susan;Ireson, Judy;Davies, Jane</t>
  </si>
  <si>
    <t>LB3061 .H35 2013</t>
  </si>
  <si>
    <t>371.2/5</t>
  </si>
  <si>
    <t>Ability grouping in education</t>
  </si>
  <si>
    <t>Smarter Clicking : School Technology Policies That Work!</t>
  </si>
  <si>
    <t>Wells, Christopher W.</t>
  </si>
  <si>
    <t>The Special Educator's Reflective Calendar and Planning Journal : Motivation, Inspiration, and Affirmation</t>
  </si>
  <si>
    <t>McGrath, Mary Zabolio;Johns, Beverley H.</t>
  </si>
  <si>
    <t>Flywheel : Transformational Leadership Coaching for Sustainable Change</t>
  </si>
  <si>
    <t>Allison-Napolitano, Eileen T.</t>
  </si>
  <si>
    <t>HD30.4 .A455 2013</t>
  </si>
  <si>
    <t>Executive coaching. ; Leadership-Study and teaching.</t>
  </si>
  <si>
    <t>Differentiated Instructional Strategies Professional Learning Guide : One Size Doesn&amp;prime;t Fit All</t>
  </si>
  <si>
    <t>Gregory, Gayle H.</t>
  </si>
  <si>
    <t>LB1031.G744 2013</t>
  </si>
  <si>
    <t>Instant Edmodo How-To</t>
  </si>
  <si>
    <t>Laur, Dayna</t>
  </si>
  <si>
    <t>LB1044.87.L38 2013eb</t>
  </si>
  <si>
    <t>Engineering. ; Engineering -- Problems, exercises, etc. ; Science. ; Science -- Problems, exercises, etc.</t>
  </si>
  <si>
    <t>Incorporating Social Goals in the Classroom : A Guide for Teachers and Parents of Children with High-Functioning Autism and Asperger Syndrome</t>
  </si>
  <si>
    <t>Moyes, Rebecca;Moreno, Susan J.</t>
  </si>
  <si>
    <t>Asperger's syndrome. ; Autism in children. ; Autistic children -- Education -- Social aspects.</t>
  </si>
  <si>
    <t>Inside the New University : Prerequisites for a Contemporary Knowledge Production</t>
  </si>
  <si>
    <t>Sharjah</t>
  </si>
  <si>
    <t>Johansson, Kristina;Lassbo, Goran;Nehls, Eddy</t>
  </si>
  <si>
    <t>LB2324 -- .I57 2013eb</t>
  </si>
  <si>
    <t>Universities and colleges -- Planning. ; Teaching teams.</t>
  </si>
  <si>
    <t>Early Childhood Education and Development in Poor Villages of Indonesia : Strong Foundations, Later Success</t>
  </si>
  <si>
    <t>Hasan, Amer;Hyson, Marilou;Chang, Mae Chu</t>
  </si>
  <si>
    <t>LB1139.3.I6 -- E37 2013eb</t>
  </si>
  <si>
    <t>Early childhood education -- Indonesia. ; Children with social disabilities -- Education -- Indonesia. ; Poor children -- Indonesia. ; Child development -- Indonesia. ; Children -- Indonesia -- Social conditions.</t>
  </si>
  <si>
    <t>Education Policy : Philosophical Critique</t>
  </si>
  <si>
    <t>Smith, Richard</t>
  </si>
  <si>
    <t>LC71.E324 2013eb</t>
  </si>
  <si>
    <t>Education and state -- Philosophy.</t>
  </si>
  <si>
    <t>Playing to Win : Raising Children in a Competitive Culture</t>
  </si>
  <si>
    <t>Levey Friedman, Hilary</t>
  </si>
  <si>
    <t>BF723.C6.F75 2013eb</t>
  </si>
  <si>
    <t>PSYCHOLOGY / General</t>
  </si>
  <si>
    <t>Advancing Social Justice : Tools, Pedagogies, and Strategies to Transform Your Campus</t>
  </si>
  <si>
    <t>Davis, Tracy;Harrison, Laura M.</t>
  </si>
  <si>
    <t>LC192.2.D38 2013eb</t>
  </si>
  <si>
    <t>Social justice -- Study and teaching (Higher)</t>
  </si>
  <si>
    <t>Leveraging Educational Quality in Southern African Educational Systems : A Practitioners' Perspective</t>
  </si>
  <si>
    <t>Mawere, Munyaradzi;Rambe, Patient</t>
  </si>
  <si>
    <t>Mandela the Spear and Other Poems : Why Pedagogical Reforms Fail in Sub-Saharan Africa</t>
  </si>
  <si>
    <t>African Perspectives Publishing</t>
  </si>
  <si>
    <t>Okai, Atukwei</t>
  </si>
  <si>
    <t>LC95.A357.T33 2013eb</t>
  </si>
  <si>
    <t>The Whole Spectrum of Social, Motor and Sensory Games : Using Every Child's Natural Love of Play to Enhance Key Skills and Promote Inclusion</t>
  </si>
  <si>
    <t>Sher, Barbara</t>
  </si>
  <si>
    <t>GV1203.S4953 2013eb</t>
  </si>
  <si>
    <t>Games. ; Educational games. ; Child development.</t>
  </si>
  <si>
    <t>Learning Through Theatre : The Changing Face of Theatre in Education</t>
  </si>
  <si>
    <t>Jackson, Anthony;Vine, Chris</t>
  </si>
  <si>
    <t>PN3171 .L38 2013</t>
  </si>
  <si>
    <t>Drama in education.</t>
  </si>
  <si>
    <t>International Handbook of Research on Conceptual Change</t>
  </si>
  <si>
    <t>Vosniadou, Stella</t>
  </si>
  <si>
    <t>LB1062 .I58 2013</t>
  </si>
  <si>
    <t>Concept learning -- Research. ; Concepts -- Research.</t>
  </si>
  <si>
    <t>Psychodynamic Perspectives on Working with Children, Families, and Schools</t>
  </si>
  <si>
    <t>Northvale NJ</t>
  </si>
  <si>
    <t>Jason Aronson</t>
  </si>
  <si>
    <t>O'Loughlin, Michael;Archangelo, Ana;Bunyard, Derek;Catapano, Carrie;Chase, Carola B.;Cohen, Jonathan;Covitz, Howard H.;Frank, Daniel B.;Galves, Al;Hoffman, Leon</t>
  </si>
  <si>
    <t>New Imago Series</t>
  </si>
  <si>
    <t>LB1092.P84 2013eb</t>
  </si>
  <si>
    <t>Psychoanalysis and education. ; Educational psychology. ; Psychodynamic psychotherapy. ; Child development. ; Child psychology. ; School psychology.</t>
  </si>
  <si>
    <t>Effective Teachers=Student Achievement : What the Research Says</t>
  </si>
  <si>
    <t>Stronge, James</t>
  </si>
  <si>
    <t>LB1025.3 .S788 2013</t>
  </si>
  <si>
    <t>Passing Exams for Dummies</t>
  </si>
  <si>
    <t>Sherratt, Patrick</t>
  </si>
  <si>
    <t>LB2395.2.S44 2013eb</t>
  </si>
  <si>
    <t>Independent study</t>
  </si>
  <si>
    <t>L. S. Vygotsky and Education</t>
  </si>
  <si>
    <t>Moll, Luis C.</t>
  </si>
  <si>
    <t>Routledge Key Ideas in Education Series</t>
  </si>
  <si>
    <t>Second language acquisition - Philosophy</t>
  </si>
  <si>
    <t>Wonder-Full Education : The Centrality of Wonder in Teaching and Learning Across the Curriculum</t>
  </si>
  <si>
    <t>Egan, Kieran;Cant, Annabella I.;Judson, Gillian</t>
  </si>
  <si>
    <t>LB1060 .W654 2014</t>
  </si>
  <si>
    <t>Learning, Psychology of. ; Wonder in children.</t>
  </si>
  <si>
    <t>Disability and Teaching</t>
  </si>
  <si>
    <t>Gabel, Susan;Connor, David</t>
  </si>
  <si>
    <t>LC4019 .G33 2014</t>
  </si>
  <si>
    <t>People with disabilities - Education</t>
  </si>
  <si>
    <t>Learning Across the Early Childhood Curriculum</t>
  </si>
  <si>
    <t>Cohen, Lynn;Waite-Stupiansky, Sandra</t>
  </si>
  <si>
    <t>LB1139.27.L43 2013eb</t>
  </si>
  <si>
    <t>Early childhood education. ; Early childhood education -- Curricula. ; Early childhood education -- Research.</t>
  </si>
  <si>
    <t>Zombies in the Academy : Living Death in Higher Education</t>
  </si>
  <si>
    <t>Whelan, Andrew;Walker, Ruth;Moore, Christopher</t>
  </si>
  <si>
    <t>LB2322.2 -- .W445 2013eb</t>
  </si>
  <si>
    <t>Education, Higher -- Aims and objectives. ; Zombiism.</t>
  </si>
  <si>
    <t>How Drama Activates Learning : Contemporary Research and Practice</t>
  </si>
  <si>
    <t>Anderson, Michael;Dunn, Julie</t>
  </si>
  <si>
    <t>PN3171.H69 2013eb</t>
  </si>
  <si>
    <t>Drama in education. ; Critical pedagogy.</t>
  </si>
  <si>
    <t>Towards a Sustainable University : The Ca' Foscari Experience</t>
  </si>
  <si>
    <t>Palgrave Pivot</t>
  </si>
  <si>
    <t>Mio, C.</t>
  </si>
  <si>
    <t>HD28-70</t>
  </si>
  <si>
    <t>Management science</t>
  </si>
  <si>
    <t>Genesis of the Salk Institute : The Epic of Its Founders</t>
  </si>
  <si>
    <t>Bourgeois, Suzanne</t>
  </si>
  <si>
    <t>QH322.S25.B68 2013eb</t>
  </si>
  <si>
    <t>Biology - Research - California - San Diego</t>
  </si>
  <si>
    <t>Teacher Evaluation That Makes a Difference : A New Model for Teacher Growth and Student Achievement</t>
  </si>
  <si>
    <t>Marzano, Robert J.;Toth, Michael D.</t>
  </si>
  <si>
    <t>LB2838 .M3769 2013</t>
  </si>
  <si>
    <t>Teachers-Rating of. ; Teaching.</t>
  </si>
  <si>
    <t>Engaging Teachers in Classroom Walkthroughs</t>
  </si>
  <si>
    <t>Kachur, Donald S.;Stout, Judith A.;Edwards, Claudia L.</t>
  </si>
  <si>
    <t>LB1731.6 -- .K34 2013eb</t>
  </si>
  <si>
    <t>Observation (Educational method) ; School improvement programs.</t>
  </si>
  <si>
    <t>Teaching the Critical Vocabulary of the Common Core : 55 Words That Make or Break Student Understanding</t>
  </si>
  <si>
    <t>LB1574.5 .S725 2013</t>
  </si>
  <si>
    <t>Vocabulary-Study and teaching-United States. ; Education-Standards-United States.</t>
  </si>
  <si>
    <t>Education-at-large: Student Life And Activities In Singapore 1945-1965</t>
  </si>
  <si>
    <t>Huay Leng Lee;Cheow Thia Chan;Siao See Teng</t>
  </si>
  <si>
    <t>LA1239.5 .X5313 2012</t>
  </si>
  <si>
    <t>High school students -- Singapore -- History -- 20th century</t>
  </si>
  <si>
    <t>Teaching to Avoid Plagiarism: How to Promote Good Source Use</t>
  </si>
  <si>
    <t>Pecorari, Diane</t>
  </si>
  <si>
    <t>PN167.P43 2013eb</t>
  </si>
  <si>
    <t>Plagiarism.</t>
  </si>
  <si>
    <t>Multicultural Education : From Theory to Practice</t>
  </si>
  <si>
    <t>Arslan, Hasan;Raţă, Georgeta</t>
  </si>
  <si>
    <t>LC1099 -- .M858 2013eb</t>
  </si>
  <si>
    <t>An Integrated Approach to Curricular Contents : Particular Features for Primary Schools</t>
  </si>
  <si>
    <t>Bocoş, Muşata;Chiş, Vasile</t>
  </si>
  <si>
    <t>LA972 -- .I58 2013eb</t>
  </si>
  <si>
    <t>Educational change -- Romania. ; Curriculum change -- Romania.</t>
  </si>
  <si>
    <t>Evaluating What Good Teachers Do : Eight Research-Based Standards for Assessing Teacher Excellence</t>
  </si>
  <si>
    <t>LB1025.3 .S7887 2013</t>
  </si>
  <si>
    <t>The Transatlantic World of Higher Education : Americans at German Universities, 1776-1914</t>
  </si>
  <si>
    <t>Werner, Anja</t>
  </si>
  <si>
    <t>European Studies in American History Series</t>
  </si>
  <si>
    <t>LA729.A3 W47 2012</t>
  </si>
  <si>
    <t>378.1/980943</t>
  </si>
  <si>
    <t>American students--Germany--History. ; American students--Germany--Social life and customs. ; Americans--Education (Higher)--Germany--History. ; Universities and colleges--Germany--History. ; Education, Higher--United States--German influences.</t>
  </si>
  <si>
    <t>Developing Digital Literacies : A Framework for Professional Learning</t>
  </si>
  <si>
    <t>Summey, Dustin C.</t>
  </si>
  <si>
    <t>Developing People's Information Capabilities : Fostering Information Literacy in Educational, Workplace and Community Contexts</t>
  </si>
  <si>
    <t>Hepworth, Mark;Walton, Geoff</t>
  </si>
  <si>
    <t>Library and Information Science Series</t>
  </si>
  <si>
    <t>ZA3075.D48 2013eb</t>
  </si>
  <si>
    <t>Information behavior. ; Information literacy -- Study and teaching.</t>
  </si>
  <si>
    <t>Re-Visioning Community Colleges : Positioning for Innovation</t>
  </si>
  <si>
    <t>Sydow, Debbie;Alfred, Richard L.</t>
  </si>
  <si>
    <t>ACE Series on Community Colleges Series</t>
  </si>
  <si>
    <t>Community colleges - Evaluation</t>
  </si>
  <si>
    <t>Academic Advising Approaches : Strategies That Teach Students to Make the Most of College</t>
  </si>
  <si>
    <t>Drake, Jayne K.;Jordan, Peggy;Miller, Marsha A.</t>
  </si>
  <si>
    <t>Faculty advisors -- United States -- Handbooks, manuals, etc</t>
  </si>
  <si>
    <t>Beyond Equality in the American Classroom : The Case for Inclusive Education</t>
  </si>
  <si>
    <t>Shyman, Eric</t>
  </si>
  <si>
    <t>LC1201.S538 2013</t>
  </si>
  <si>
    <t>Inclusive education--United States.</t>
  </si>
  <si>
    <t>Learning to Teach in the Secondary School : A Companion to School Experience</t>
  </si>
  <si>
    <t>Capel, Susan;Leask, Marilyn;Younie, Sarah;Turner, Tony</t>
  </si>
  <si>
    <t>Learning to Teach Subjects in the Secondary School Series</t>
  </si>
  <si>
    <t>LB1737.A3 -- .L437 2013eb</t>
  </si>
  <si>
    <t>High school teaching -- Handbooks, manuals, etc. ; Classroom management -- Handbooks, manuals, etc.</t>
  </si>
  <si>
    <t>American Education : A History</t>
  </si>
  <si>
    <t>Urban, Wayne J.;Wagoner, Jennings L., Jr.</t>
  </si>
  <si>
    <t>LA205 .U73 2013</t>
  </si>
  <si>
    <t>Education -- United States -- History.</t>
  </si>
  <si>
    <t>Developmental Cognitive Science Goes to School</t>
  </si>
  <si>
    <t>Stein, Nancy L.;Raudenbush, Stephen</t>
  </si>
  <si>
    <t>LB1062 .D497 2013</t>
  </si>
  <si>
    <t>Cognitive learning -- Congresses. ; Science -- Study and teaching -- Congresses. ; Mathematics -- Study and teaching -- Congresses. ; Content area reading -- Congresses.</t>
  </si>
  <si>
    <t>Fly Me to the Moon : An Insider's Guide to the New Science of Space Travel</t>
  </si>
  <si>
    <t>Belbruno, Edward;Tyson, Neil deGrasse</t>
  </si>
  <si>
    <t>629.4/111</t>
  </si>
  <si>
    <t>From the Shtetl to the Lecture Hall : Jewish Women and Cultural Exchange</t>
  </si>
  <si>
    <t>Hirsch, Luise</t>
  </si>
  <si>
    <t>Studies in Judaism Series</t>
  </si>
  <si>
    <t>LC1571.G3.H577 2013</t>
  </si>
  <si>
    <t>Jewish women - Germany - Intellectual life - 20th century</t>
  </si>
  <si>
    <t>Teaching Twos and Threes : A Comprehensive Curriculum</t>
  </si>
  <si>
    <t>Falasco, Deborah</t>
  </si>
  <si>
    <t>LB1139.4 -- .F35 2014eb</t>
  </si>
  <si>
    <t>EDUCATION / Reference</t>
  </si>
  <si>
    <t>Career Counseling in P-12 Schools</t>
  </si>
  <si>
    <t>Curry, Jennifer;Milsom, Amy</t>
  </si>
  <si>
    <t>Emperors -- Rome -- Biography</t>
  </si>
  <si>
    <t>Education in Southern Africa</t>
  </si>
  <si>
    <t>Harber, Clive;Brock, Colin</t>
  </si>
  <si>
    <t>Education Around the World Series</t>
  </si>
  <si>
    <t>LA1536 -- .E35 2013eb</t>
  </si>
  <si>
    <t>Education -- South Africa</t>
  </si>
  <si>
    <t>From Excellence to Distinction : The University of Lagos on World's Intellectual Map</t>
  </si>
  <si>
    <t>Safari Books Limited</t>
  </si>
  <si>
    <t>Olanlokun, Simeon Olajire;Adediji, Okanlawon Oladip</t>
  </si>
  <si>
    <t>LA1633 .O384 2012</t>
  </si>
  <si>
    <t>Education, Higher -- Nigeria. ; Education. ; Universities and colleges -- Nigeria.</t>
  </si>
  <si>
    <t>Sound Practice : Phonological Awareness in the Classroom</t>
  </si>
  <si>
    <t>Layton, Lyn;Deeny, Karen</t>
  </si>
  <si>
    <t>LB1139.L3 -- .L398 2002eb</t>
  </si>
  <si>
    <t>372.6/9/044/0941</t>
  </si>
  <si>
    <t>Phonetics</t>
  </si>
  <si>
    <t>The Fearless School Leader : Making the Right Decisions</t>
  </si>
  <si>
    <t>Mc Cabe, Cynthia</t>
  </si>
  <si>
    <t>LB2805 -- .M33215 2011eb</t>
  </si>
  <si>
    <t>Beyond Stories : Young Children's Nonfiction Composition</t>
  </si>
  <si>
    <t>Britsch, Susan</t>
  </si>
  <si>
    <t>LB1139.5.L35 -- .B758 2013eb</t>
  </si>
  <si>
    <t>English language -- Composition and exercises -- Study and teaching (Early childhood) ; English language -- Composition and exercises -- Study and teaching (Primary) ; Exposition (Rhetoric)</t>
  </si>
  <si>
    <t>Dewey, Russell, Whitehead : Philosophers As Educators</t>
  </si>
  <si>
    <t>Southern Illinois University Press</t>
  </si>
  <si>
    <t>Hendley, Brian Patrick;Plochmann, George Kimball;Brumbaugh, Robert S.</t>
  </si>
  <si>
    <t>Philosophical Explorations Series</t>
  </si>
  <si>
    <t>LA126</t>
  </si>
  <si>
    <t>Dewey, John,-1859-1952. ; Russell, Bertrand,-1872-1970. ; Whitehead, Alfred North,-1861-1947. ; Education-Philosophy-History.</t>
  </si>
  <si>
    <t>John Dewey's Educational Philosophy in International Perspective : A New Democracy for the Twenty-First Century</t>
  </si>
  <si>
    <t>Hickman, Larry A.;Spadafora, Giuseppe</t>
  </si>
  <si>
    <t>Dewey, John,-1859-1952. ; Education-Philosophy. ; Education-Social aspects. ; Progressive education.</t>
  </si>
  <si>
    <t>Silence and Listening As Rhetorical Arts</t>
  </si>
  <si>
    <t>Glenn, Cheryl;Ratcliffe, Krista;Ianetta, Melissa Joan;Fleckenstein, Kristie S.;Myers, Nancy;Watson, Shevaun;Suter, Lisa;Ferguson, Kennan;Lunsford, Andrea;Ochieng, Omedi</t>
  </si>
  <si>
    <t>English language--Rhetoric--Study and teaching--United States. ; Report writing--Study and teaching (Higher)--United States. ; Silence--Study and teaching (Higher)--United States. ; Listening--Study and teaching (Higher)--United States.</t>
  </si>
  <si>
    <t>Teachers, Leaders, and Schools : Essays by John Dewey</t>
  </si>
  <si>
    <t>Simpson, Douglas J.;Stack, Sam F.</t>
  </si>
  <si>
    <t>Dewey, John, 1859-1952--Criticism and interpretation. ; Dewey, John, 1859-1952--Philosophy. ; Education--Philosophy.</t>
  </si>
  <si>
    <t>The Black Struggle for Public Schooling in Nineteenth-Century Illinois</t>
  </si>
  <si>
    <t>McCaul, Robert L.</t>
  </si>
  <si>
    <t>LC2771</t>
  </si>
  <si>
    <t>370/.8996073/0773</t>
  </si>
  <si>
    <t>Identity Safe Classrooms, Grades K-5 : Places to Belong and Learn</t>
  </si>
  <si>
    <t>Steele, Dorothy M.;Cohn-Vargas, Becki</t>
  </si>
  <si>
    <t>LC191.4.S735 2013</t>
  </si>
  <si>
    <t>Creating impactful e-learning experiences</t>
  </si>
  <si>
    <t>Anderson, Greg;Whitefield, Tony</t>
  </si>
  <si>
    <t>Volume 30, Issue 3</t>
  </si>
  <si>
    <t>LC5800 -- .C74 2013eb</t>
  </si>
  <si>
    <t>371.33;371.3344678</t>
  </si>
  <si>
    <t>Corporations -- Public relations. ; Public relations.</t>
  </si>
  <si>
    <t>Systemwide Reform : Examining Districts Under Pressure</t>
  </si>
  <si>
    <t>Daly, Alan J.;Finnigan, Kara S.</t>
  </si>
  <si>
    <t>Volume 51, Issue 4</t>
  </si>
  <si>
    <t>LB2806 -- .S97 2013eb</t>
  </si>
  <si>
    <t>Energy policy. ; International economic relations. ; Geopolitics.</t>
  </si>
  <si>
    <t>Parity and Prestige in English Secondary Education : A Study in Educational Sociology</t>
  </si>
  <si>
    <t>Banks, Olive</t>
  </si>
  <si>
    <t>LA635 -- .B3 1998eb</t>
  </si>
  <si>
    <t>Educational sociology. ; Education -- Great Britain.</t>
  </si>
  <si>
    <t>Handbook of Research on Educational Leadership for Equity and Diversity</t>
  </si>
  <si>
    <t>Tillman, Linda C.;Scheurich, James Joseph</t>
  </si>
  <si>
    <t>LB2805 -- .H2866 2013eb</t>
  </si>
  <si>
    <t>Educational leadership - Research - United States</t>
  </si>
  <si>
    <t>A Theory of Contemporary Rhetoric</t>
  </si>
  <si>
    <t>P301 -- .T48 2014eb</t>
  </si>
  <si>
    <t>Rhetoric. ; Language and languages -- Style.</t>
  </si>
  <si>
    <t>The Science of Making Friends : Helping Socially Challenged Teens and Young Adults</t>
  </si>
  <si>
    <t>Laugeson, Elizabeth;Robison, John Elder.</t>
  </si>
  <si>
    <t>RC489.S63.L38 2013eb</t>
  </si>
  <si>
    <t>Social skills in adolescence</t>
  </si>
  <si>
    <t>Understanding Institutional Diversity in American Higher Education : ASHE Higher Education Report, 39:3</t>
  </si>
  <si>
    <t>Harris, Michael</t>
  </si>
  <si>
    <t>LA226 -- .H37 2013eb</t>
  </si>
  <si>
    <t>Universities and colleges -- United States. ; Education, Higher -- United States. ; Educational change -- United States. ; Multicultural education -- United States.</t>
  </si>
  <si>
    <t>Learning Windows 8 Game Development</t>
  </si>
  <si>
    <t>Quandt, Michael</t>
  </si>
  <si>
    <t>QA76.76.C672.Q83 20</t>
  </si>
  <si>
    <t>Mathematics -- Research. ; Mathematics -- Study and teaching -- Research.</t>
  </si>
  <si>
    <t>Computer Science/IT; Sport &amp;amp; Recreation</t>
  </si>
  <si>
    <t>The Superintendent&amp;prime;s Fieldbook : A Guide for Leaders of Learning</t>
  </si>
  <si>
    <t>Harvey, James S., Jr.;Cambron-McCabe, Nelda H.;Cunningham, Luvern L.;Koff, Robert H.</t>
  </si>
  <si>
    <t>LB2817.3.S874 2013</t>
  </si>
  <si>
    <t>Learning for Leadership : Developmental Strategies for Building Capacity in Our Schools</t>
  </si>
  <si>
    <t>Drago-Severson, Eleanor;Blum-DeStefano, Jessica;Asghar, Anila</t>
  </si>
  <si>
    <t>Growing into Equity : Professional Learning and Personalization in High-Achieving Schools</t>
  </si>
  <si>
    <t>Gleason, Sonia Caus;Gerzon, Nancy J.</t>
  </si>
  <si>
    <t>LB1715 .G543 2013</t>
  </si>
  <si>
    <t>Teachers-Training of-United States-Case studies. ; Individualized instruction-United States-Case studies. ; Public schools-United States-Case studies.</t>
  </si>
  <si>
    <t>Dam in the River : Releasing the Flow of University Ideas</t>
  </si>
  <si>
    <t>Camhi, Jeff</t>
  </si>
  <si>
    <t>LB2331.44 -- .C36 2013eb</t>
  </si>
  <si>
    <t>Universities and colleges -- United States -- Public services. ; Universities and colleges -- United States -- Influence. ; Community and college -- United States. ; Communication in education -- United States.</t>
  </si>
  <si>
    <t>Teaching Tech-Savvy Kids : Bringing Digital Media into the Classroom, Grades 5-12</t>
  </si>
  <si>
    <t>Parker, Jessica K.</t>
  </si>
  <si>
    <t>371.33/4464</t>
  </si>
  <si>
    <t>A Guide to Curriculum Mapping : Planning, Implementing, and Sustaining the Process</t>
  </si>
  <si>
    <t>Hale, Janet A.</t>
  </si>
  <si>
    <t>LB2806.15.H348 2008</t>
  </si>
  <si>
    <t>How to Coach Teachers Who Don&amp;prime;t Think Like You : Using Literacy Strategies to Coach Across Content Areas</t>
  </si>
  <si>
    <t>LB1576.D2372 2008eb</t>
  </si>
  <si>
    <t>Golden Opportunity : Advancing California's Early Care and Education Workforce Professional Development System</t>
  </si>
  <si>
    <t>Karoly, Lynn A.</t>
  </si>
  <si>
    <t>LB1775.6 -- .K37 2012eb</t>
  </si>
  <si>
    <t>370.71/109794</t>
  </si>
  <si>
    <t>Early childhood educators -- Training of -- California. ; Child care workers -- Training of -- California.</t>
  </si>
  <si>
    <t>Addressing Challenges in Evaluating School Principal Improvement Efforts</t>
  </si>
  <si>
    <t>Burkhauser, Susan;Pierson, Ashley;Gates, Susan M.</t>
  </si>
  <si>
    <t>LB2805 -- .O23 2012eb</t>
  </si>
  <si>
    <t>School administrators. ; School management and organization. ; School improvement programs.</t>
  </si>
  <si>
    <t>A School District's Journey to Excellence : Lessons from Business and Education</t>
  </si>
  <si>
    <t>McNeal, William R.;Oxholm, Thomas B.</t>
  </si>
  <si>
    <t>LB1062.6 .M435 2009</t>
  </si>
  <si>
    <t>Academic achievement-United States-Evaluation. ; Educational tests and measurements-United States. ; Education-United States-Evaluation. ; Community and school-United States.</t>
  </si>
  <si>
    <t>What If Your ABCs Were Your 123s? : Building Connections Between Literacy and Numeracy</t>
  </si>
  <si>
    <t>Minton, Leslie G.</t>
  </si>
  <si>
    <t>QA135.6.M56 2007</t>
  </si>
  <si>
    <t>The Developing Brain : Birth to Age Eight</t>
  </si>
  <si>
    <t>QP363.5.S67 2008eb</t>
  </si>
  <si>
    <t>Developmental neurobiology. ; Child development.</t>
  </si>
  <si>
    <t>Science: Anatomy/Physiology; Science: Biology/Natural History; Science</t>
  </si>
  <si>
    <t>Out-Of-the-Box Leadership</t>
  </si>
  <si>
    <t>LB2805.O767 2007</t>
  </si>
  <si>
    <t>Understanding Assessment in the Special Education Process : A Step-By-Step Guide for Educators</t>
  </si>
  <si>
    <t>Best Practices for Teaching Reading : What Award-Winning Classroom Teachers Do</t>
  </si>
  <si>
    <t>Evaluating School Programs : An Educator&amp;prime;s Guide</t>
  </si>
  <si>
    <t>Sanders, James R.;Sullins, Carolyn D.</t>
  </si>
  <si>
    <t>LB2822.75.S26 2006eb</t>
  </si>
  <si>
    <t>Using the Language Experience Approach with English Language Learners : Strategies for Engaging Students and Developing Literacy</t>
  </si>
  <si>
    <t>Nessel, Denise D.;Dixon, Carol N.</t>
  </si>
  <si>
    <t>PE1128.A2 N374 2008</t>
  </si>
  <si>
    <t>English language-Study and teaching-Foreign speakers. ; Language experience approach in education.</t>
  </si>
  <si>
    <t>The American Community College</t>
  </si>
  <si>
    <t>Cohen, Arthur M.;Brawer, Florence B.;Kisker, Carrie B.</t>
  </si>
  <si>
    <t>Community colleges -- United States</t>
  </si>
  <si>
    <t>Embracing Risk in Urban Education : Curiosity, Creativity, and Courage in the Era of "No Excuses" and Relay Race Reform</t>
  </si>
  <si>
    <t>Ginsberg, Alice E.</t>
  </si>
  <si>
    <t>LC4093.P5.G56 2012</t>
  </si>
  <si>
    <t>371.826/940974811</t>
  </si>
  <si>
    <t>Children with social disabilities--Pennsylvania--Philadelphia--Case studies. ; Education, Urban--Pennsylvania--Philadelphia--Case studies. ; School improvement programs--Pennsylvania--Philadelphia--Case studies. ; EDUCATION / Evaluation bisacsh. ; EDUCATION / Multicultural Education bisacsh.</t>
  </si>
  <si>
    <t>Globalization and Higher Education in Albania</t>
  </si>
  <si>
    <t>Rexhepi, Jevdet</t>
  </si>
  <si>
    <t>LA1040.A4 -- .R494 2013eb</t>
  </si>
  <si>
    <t>Educational change - Albania</t>
  </si>
  <si>
    <t>From Fluency to Comprehension : Powerful Instruction Through Authentic Reading</t>
  </si>
  <si>
    <t>Rasinski, Timothy;Padak, Nancy D.</t>
  </si>
  <si>
    <t>LB1050 -- .F736 2013eb</t>
  </si>
  <si>
    <t>Strategies for Teaching Students with Learning Disabilities</t>
  </si>
  <si>
    <t>Martin, Lucy C.</t>
  </si>
  <si>
    <t>Creating Inclusive Learning Environments for Young Children : What to Do on Monday Morning</t>
  </si>
  <si>
    <t>Willis, Clarissa</t>
  </si>
  <si>
    <t>LC4015.W55 2009</t>
  </si>
  <si>
    <t>The Teacher in Ancient Rome : The Magister and His World</t>
  </si>
  <si>
    <t>Maurice, Lisa</t>
  </si>
  <si>
    <t>LA81.M38 2013eb</t>
  </si>
  <si>
    <t>Teachers - Rome</t>
  </si>
  <si>
    <t>How to Finish and Defend Your Dissertation : Strategies to Complete the Professional Practice Doctorate</t>
  </si>
  <si>
    <t>Grant, Cynthia;Tomal, Daniel R.</t>
  </si>
  <si>
    <t>LB2369 -- .G69 2013eb</t>
  </si>
  <si>
    <t>Teaching and Learning in Higher Education : Studies of Three Student Development Programs</t>
  </si>
  <si>
    <t>Bridglall, Beatrice L.;Hrabowski, Freeman A., III;Maton, Kenneth I.;Layden, Susan;Solomon, Sheldon;Hrabowski, Freeman A.</t>
  </si>
  <si>
    <t>LB2343.4.B75 2013eb</t>
  </si>
  <si>
    <t>College student development programs - United States</t>
  </si>
  <si>
    <t>The Beethoven Obsession</t>
  </si>
  <si>
    <t>Ward, Brendan</t>
  </si>
  <si>
    <t>ML410.B4.W37 2013</t>
  </si>
  <si>
    <t>Composers--Biography.</t>
  </si>
  <si>
    <t>School Reform : The Critical Issues</t>
  </si>
  <si>
    <t>Hoover Institution Press</t>
  </si>
  <si>
    <t>Evers, Williamson M.;Izumi, Lance T.;Riley, Pamela A.</t>
  </si>
  <si>
    <t>LB2822.82 -- .S372 2001eb</t>
  </si>
  <si>
    <t>School improvement programs -- United States. ; Educational change -- United States.</t>
  </si>
  <si>
    <t>Teacher Quality</t>
  </si>
  <si>
    <t>Stanford</t>
  </si>
  <si>
    <t>Evers, Williamson F.;Izumi, Lance T.</t>
  </si>
  <si>
    <t>LB1715 -- .T426 2002eb</t>
  </si>
  <si>
    <t>Teachers -- Training of -- United States -- Congresses. ; Educational accountability -- United States -- Congresses.</t>
  </si>
  <si>
    <t>Testing Student Learning, Evaluating Teaching Effectiveness</t>
  </si>
  <si>
    <t>Evers, Williamson F.;Walberg, Herbert J.</t>
  </si>
  <si>
    <t>LB3051 -- .T4425 2004eb</t>
  </si>
  <si>
    <t>Educational tests and measurements -- United States. ; Educational accountability -- United States. ; Teacher effectiveness -- United States.</t>
  </si>
  <si>
    <t>Charter Schools against the Odds : An Assessment of the Koret Task Force on K–12 Education</t>
  </si>
  <si>
    <t>Hill, Paul T.</t>
  </si>
  <si>
    <t>LB2806.36 -- .C536 2006eb</t>
  </si>
  <si>
    <t>Charter schools -- Government policy -- United States. ; Privatization in education -- United States.</t>
  </si>
  <si>
    <t>A Primer on America's Schools</t>
  </si>
  <si>
    <t>Moe, Terry M.</t>
  </si>
  <si>
    <t>LA210 -- .P677 2001eb</t>
  </si>
  <si>
    <t>Education -- United States. ; Educational change -- United States.</t>
  </si>
  <si>
    <t>The Peak Performing Professor : A Practical Guide to Productivity and Happiness</t>
  </si>
  <si>
    <t>Robison, Susan</t>
  </si>
  <si>
    <t>LB2331.R54 2013eb</t>
  </si>
  <si>
    <t>Hindi Is Our Ground, English Is Our Sky : Education, Language, and Social Class in Contemporary India</t>
  </si>
  <si>
    <t>LC315.I4 L33 2014</t>
  </si>
  <si>
    <t>Education--Social aspects--India. ; Language and education--India. ; Language policy--India. ; English language--Study and teaching--India. ; Social classes--India.</t>
  </si>
  <si>
    <t>Connecting Histories of Education : Transnational and Cross-Cultural Exchanges in (Post)Colonial Education</t>
  </si>
  <si>
    <t>Bagchi, Barnita;Fuchs, Eckhardt;Rousmaniere, Kate</t>
  </si>
  <si>
    <t>LB14.7 .C66 2013</t>
  </si>
  <si>
    <t>Education-Philosophy. ; Transnational education. ; Postcolonialism. ; Globalization.</t>
  </si>
  <si>
    <t>The Scholar's Survival Manual : A Road Map for Students, Faculty, and Administrators</t>
  </si>
  <si>
    <t>Krieger, Martin H.</t>
  </si>
  <si>
    <t>LB2371.K75 2013eb</t>
  </si>
  <si>
    <t>Universities and colleges--Graduate work. ; Graduate students.</t>
  </si>
  <si>
    <t>Literacy, Information, and Development in Morocco During The 1990s</t>
  </si>
  <si>
    <t>Touati, Samia</t>
  </si>
  <si>
    <t>Literacy - Morocco</t>
  </si>
  <si>
    <t>Language/Linguistics; Political Science; Social Science</t>
  </si>
  <si>
    <t>Adult Learning : Linking Theory and Practice</t>
  </si>
  <si>
    <t>Merriam, Sharan B.;Bierema, Laura L.</t>
  </si>
  <si>
    <t>LC5215.M524 2014eb</t>
  </si>
  <si>
    <t>Adult education -- Research</t>
  </si>
  <si>
    <t>Getting Ready for College, Careers, and the Common Core : What Every Educator Needs to Know</t>
  </si>
  <si>
    <t>Conley, David T.</t>
  </si>
  <si>
    <t>Education, Secondary -- United States. ; Education -- Curricula -- Standards -- United States.</t>
  </si>
  <si>
    <t>Motivating and Retaining Online Students : Research-Based Strategies That Work</t>
  </si>
  <si>
    <t>Lehman, Rosemary M.;Conceição, Simone C. O.;Conceição, Simone C. O.</t>
  </si>
  <si>
    <t>LB1044.87.L44 2014eb</t>
  </si>
  <si>
    <t>G Is for Genes : The Impact of Genetics on Education and Achievement</t>
  </si>
  <si>
    <t>Asbury, Kathryn;Plomin, Robert</t>
  </si>
  <si>
    <t>Understanding Children's Worlds Series</t>
  </si>
  <si>
    <t>LB1134.A83 2014eb</t>
  </si>
  <si>
    <t>Learning ability -- Genetic aspects</t>
  </si>
  <si>
    <t>Frameworks and Ethics for Research with Immigrants : New Directions for Child and Adolescent Development, Number 141</t>
  </si>
  <si>
    <t>Hernández, María G.;Nguyen, Jacqueline;Saetermoe, Carrie L.;Suárez-Orozco, Carola;Hernández, María G.;Suárez-Orozco, Carola</t>
  </si>
  <si>
    <t>HV4005.F73 2013eb</t>
  </si>
  <si>
    <t>Immigrant children -- Research. ; Teenage immigrants -- Research. ; Immigrant families -- Research. ; Social sciences -- Research -- Methodology. ; Social sciences -- Research -- Moral and ethical aspects. ; Social sciences and ethics.</t>
  </si>
  <si>
    <t>Assessing and Improving Your Teaching : Strategies and Rubrics for Faculty Growth and Student Learning</t>
  </si>
  <si>
    <t>Blumberg, Phyllis</t>
  </si>
  <si>
    <t>LB1025.3.B595 2013eb</t>
  </si>
  <si>
    <t>20 Strategies for Collaborative School Leaders</t>
  </si>
  <si>
    <t>Lindle, Jane Clark</t>
  </si>
  <si>
    <t>LB2805 .L49 2013</t>
  </si>
  <si>
    <t>School management and organization -- United States. ; Educational leadership -- United States.</t>
  </si>
  <si>
    <t>Leading Every Day : Actions for Effective Leadership</t>
  </si>
  <si>
    <t>Kaser, Joyce S.;Mundry, Susan E.;Stiles, Katherine E.;Loucks-Horsley, Susan</t>
  </si>
  <si>
    <t>LB2805.L345 2013</t>
  </si>
  <si>
    <t>Educational leadership--Handbooks, manuals, etc. ; School management and organization--Handbooks, manuals, etc.</t>
  </si>
  <si>
    <t>Differentiating Math Instruction, K-8 : Common Core Mathematics in the 21st Century Classroom</t>
  </si>
  <si>
    <t>Bender, William N.</t>
  </si>
  <si>
    <t>Individualized instruction. ; Mathematics-Study and teaching (Preschool) ; Mathematics-Study and teaching (Elementary) ; Mathematics-Study and teaching (Middle school)</t>
  </si>
  <si>
    <t>Education and Racism : A Primer on Issues and Dilemmas</t>
  </si>
  <si>
    <t>Leonardo, Zeus;Grubb, W. Norton</t>
  </si>
  <si>
    <t>LC212.2 .L457 2013</t>
  </si>
  <si>
    <t>Racism in education - United States</t>
  </si>
  <si>
    <t>Autobiographical Writing and Identity in EFL Education</t>
  </si>
  <si>
    <t>Yang, Shizhou</t>
  </si>
  <si>
    <t>PE1479.A88 Y36 2014</t>
  </si>
  <si>
    <t>English language - Rhetoric - Study and teaching - Foreign speakers</t>
  </si>
  <si>
    <t>Fierce Teaching : Purpose, Passion, and What Matters Most</t>
  </si>
  <si>
    <t>LB1025.3.J458 2008</t>
  </si>
  <si>
    <t>The Win-Win Classroom : A Fresh and Positive Look at Classroom Management</t>
  </si>
  <si>
    <t>Bluestein, Jane E.</t>
  </si>
  <si>
    <t>LB3013.B548 2008</t>
  </si>
  <si>
    <t>200+ Active Learning Strategies and Projects for Engaging Students' Multiple Intelligences</t>
  </si>
  <si>
    <t>Bellanca, James A.</t>
  </si>
  <si>
    <t>Developing Performance-Based Assessments, Grades 6-12</t>
  </si>
  <si>
    <t>LB3051.G264 2009</t>
  </si>
  <si>
    <t>Are You Sure You&amp;prime;re the Principal? : A Guide for New and Aspiring Leaders</t>
  </si>
  <si>
    <t>Villani, Susan</t>
  </si>
  <si>
    <t>LB2831.92.V55 2008</t>
  </si>
  <si>
    <t>Civic Literacy Through Curriculum Drama, Grades 6-12</t>
  </si>
  <si>
    <t>Franklin, Catherine A.</t>
  </si>
  <si>
    <t>Writing Home : A Literacy Autobiography</t>
  </si>
  <si>
    <t>Goldblatt, Eli</t>
  </si>
  <si>
    <t>LC151</t>
  </si>
  <si>
    <t>Goldblatt, Eli. ; Literacy--Social aspects--United States. ; Education--Biographical methods. ; College teachers--United States--Biography. ; LANGUAGE ARTS &amp; DISCIPLINES / Literacy. ; BIOGRAPHY &amp; AUTOBIOGRAPHY / Educators. ; LANGUAGE ARTS &amp; DISCIPLINES / Composition &amp; Creative Writing. ; BIOGRAPHY &amp; AUTOBIOGRAPHY / Personal Memoirs.</t>
  </si>
  <si>
    <t>Supervising and Writing a Good Undergraduate Dissertation</t>
  </si>
  <si>
    <t>Donnelly, Roisin;Dallat, John;Fitzmaurice, Marian</t>
  </si>
  <si>
    <t>LB2369 -- .S87 2013eb</t>
  </si>
  <si>
    <t>Engaging Students with Poverty in Mind : Practical Strategies for Raising Achievement</t>
  </si>
  <si>
    <t>Jensen, Eric</t>
  </si>
  <si>
    <t>LC4091 .J46 2013</t>
  </si>
  <si>
    <t>Poor children-Education-United States. ; Academic achievement-United States. ; Motivation in education-United States.</t>
  </si>
  <si>
    <t>The 12 Touchstones of Good Teaching : A Checklist for Staying Focused Every Day</t>
  </si>
  <si>
    <t>Goodwin, Bryan;Hubbell, Elizabeth Ross</t>
  </si>
  <si>
    <t>LB1025.3 .G664 2013</t>
  </si>
  <si>
    <t>Effective teaching. ; Teacher effectiveness. ; Teacher-student relationships. ; Academic achievement.</t>
  </si>
  <si>
    <t>Closing the Attitude Gap : How to Fire up Your Students to Strive for Success</t>
  </si>
  <si>
    <t>Kafele, Baruti</t>
  </si>
  <si>
    <t>LB1065 .K257 2013</t>
  </si>
  <si>
    <t>Motivation in education. ; Academic achievement. ; Teacher-student relationships. ; Teachers-Attitudes. ; Students-Attitudes.</t>
  </si>
  <si>
    <t>Self-Determined Learning : Heutagogy in Action</t>
  </si>
  <si>
    <t>Hase, Stewart;Kenyon, Chris</t>
  </si>
  <si>
    <t>LB1060.S454 2013eb</t>
  </si>
  <si>
    <t>Getting Started with Draftsight</t>
  </si>
  <si>
    <t>Santos, Joao</t>
  </si>
  <si>
    <t>T385.S26 2013eb</t>
  </si>
  <si>
    <t>Boroughs -- Scotland -- History -- 16th century. ; Boroughs -- Scotland -- History -- 17th century. ; Scotland -- Politics and government -- 16th century. ; Scotland -- Politics and government -- 17th century.</t>
  </si>
  <si>
    <t>Engineering: General; Engineering; Computer Science/IT</t>
  </si>
  <si>
    <t>Moodle for Mobile Learning</t>
  </si>
  <si>
    <t>Aberdour, Mark</t>
  </si>
  <si>
    <t>LB1028.38.A247 2013</t>
  </si>
  <si>
    <t>International relations. ; Persian Gulf Region -- Foreign relations -- United States. ; United States -- Foreign relations -- Persian Gulf Region.</t>
  </si>
  <si>
    <t>Building Minecraft Server Modifications</t>
  </si>
  <si>
    <t>Sommer, Cody M.</t>
  </si>
  <si>
    <t>GV1469.3.S666 2013eb</t>
  </si>
  <si>
    <t>Health care reform -- Russia (Federation) ; Medical care -- Russia (Federation) ; Health behavior -- Russia (Federation) ; Social medicine -- Russia (Federation) ; Medical economics -- Russia (Federation)</t>
  </si>
  <si>
    <t>From Entitlement to Engagement: Affirming Millennial Students' Egos in the Higher Education Classroom : New Directions for Teaching and Learning, Number 135</t>
  </si>
  <si>
    <t>Knowlton, Dave S.;Hagopian, Kevin Jack</t>
  </si>
  <si>
    <t>LB1027.23.F76 2013eb</t>
  </si>
  <si>
    <t>Active learning. ; Education, Higher -- Aims and objectives. ; Student-centered learning. ; Generation Y -- Education (Higher)</t>
  </si>
  <si>
    <t>The Future of the Urban Community College: Shaping the Pathways to a Mutiracial Democracy : New Directions for Community College, Number 162</t>
  </si>
  <si>
    <t>Myran, Gunder;Ivery, Curtis L.;Parsons, Michael H.;Kinsley, Charles;Parsons, Michael H.</t>
  </si>
  <si>
    <t>LC89.F88 2013eb</t>
  </si>
  <si>
    <t>Democracy and education -- United States. ; Community colleges -- Social aspects -- United States.</t>
  </si>
  <si>
    <t>Creating Significant Learning Experiences : An Integrated Approach to Designing College Courses</t>
  </si>
  <si>
    <t>Fink, L. Dee</t>
  </si>
  <si>
    <t>College teaching--United States. ; Education, Higher--Curricula--United States. ; EDUCATION / Teaching Methods &amp; Materials / General. bisacsh.</t>
  </si>
  <si>
    <t>The Inverted Classroom Model : The 2nd German ICM-Conference - Proceedings</t>
  </si>
  <si>
    <t>Berlin/München/Boston</t>
  </si>
  <si>
    <t>Handke, Jürgen;Kiesler, Natalie;Wiemeyer, Leonie</t>
  </si>
  <si>
    <t>Active learning -- Congresses. ; Instructional systems -- Design. ; Teachers -- In-service training. ; Teachers -- Training of. ; Web-based instruction -- Congresses.</t>
  </si>
  <si>
    <t>Annual Review of Comparative and International Education 2013</t>
  </si>
  <si>
    <t>Philosophical Perspectives on Social Cohesion : New Directions for Educational Policy</t>
  </si>
  <si>
    <t>Healy, Mary</t>
  </si>
  <si>
    <t>LC71.H375 2013eb</t>
  </si>
  <si>
    <t>Education and state. ; Education -- Philosophy. ; Education -- Social aspects. ; Social groups. ; Social participation.</t>
  </si>
  <si>
    <t>School Commercialism : From Democratic Ideal to Market Commodity</t>
  </si>
  <si>
    <t>Molnar, Alex</t>
  </si>
  <si>
    <t>Commercialism in schools - United States</t>
  </si>
  <si>
    <t>Students' Identities and Literacy Learning</t>
  </si>
  <si>
    <t>McCarthey, Sarah J.;Ira</t>
  </si>
  <si>
    <t>IRA's Literacy Studies Series</t>
  </si>
  <si>
    <t>LB1576 -- .M249 2002eb</t>
  </si>
  <si>
    <t>Identity (Psychology) -- United States -- Case studies</t>
  </si>
  <si>
    <t>Multicultural Issues and Literacy Achievement</t>
  </si>
  <si>
    <t>Au, Kathryn</t>
  </si>
  <si>
    <t>LC151 -- .A95 2006eb</t>
  </si>
  <si>
    <t>Literacy -- Social aspects -- United States. ; Language arts -- Social aspects -- United States. ; Multicultural education -- United States.</t>
  </si>
  <si>
    <t>Money, Politics, and Law</t>
  </si>
  <si>
    <t>DeMoss, Karen;Wong, Kenneth K.</t>
  </si>
  <si>
    <t>LB2825.M66 2013</t>
  </si>
  <si>
    <t>Education--United States--Finance.</t>
  </si>
  <si>
    <t>Reading, Writing, and Gender : Helping Boys and Girls Become Better Readers and Writers</t>
  </si>
  <si>
    <t>Goldberg, Gail Lynn;Roswell, Barbara</t>
  </si>
  <si>
    <t>LB1576 -- .G68 2013eb</t>
  </si>
  <si>
    <t>Language arts. ; Children -- Books and reading. ; Sex differences in education.</t>
  </si>
  <si>
    <t>Exemplars of Curriculum Theory</t>
  </si>
  <si>
    <t>Ellis, Arthur K.</t>
  </si>
  <si>
    <t>LB1570 -- .E45 2013eb</t>
  </si>
  <si>
    <t>Education -- Curricula -- United States. ; Curriculum planning -- Social aspects -- United States.</t>
  </si>
  <si>
    <t>Beyond Measure : Neglected Elements of Accountability</t>
  </si>
  <si>
    <t>Holland, Patricia</t>
  </si>
  <si>
    <t>LB2806.22 -- .B49 2013eb</t>
  </si>
  <si>
    <t>Educational accountability -- United States.</t>
  </si>
  <si>
    <t>Bravo Teacher : Building Relationships with Actions That Value Others</t>
  </si>
  <si>
    <t>Harris, Sandra</t>
  </si>
  <si>
    <t>LB1775 -- .H37 2013eb</t>
  </si>
  <si>
    <t>Community-Based Education for Students with Developmental Disabilities in Tanzania</t>
  </si>
  <si>
    <t>Stone-MacDonald, Angela</t>
  </si>
  <si>
    <t>SpringerBriefs in Education Series</t>
  </si>
  <si>
    <t>Community-based family services -- Tanzania. ; Developmentally disabled -- Education -- Tanzania.</t>
  </si>
  <si>
    <t>Equity 101: Culture : Book 2</t>
  </si>
  <si>
    <t>Linton, Curtis W.;Davis, Bonnie M.</t>
  </si>
  <si>
    <t>LC213.2.L563 2013</t>
  </si>
  <si>
    <t>Planning for Technology : A Guide for School Administrators, Technology Coordinators, and Curriculum Leaders</t>
  </si>
  <si>
    <t>Whitehead, Bruce M.;Jensen, Devon;Boschee, Floyd A.</t>
  </si>
  <si>
    <t>LB1028.3.W48 2013</t>
  </si>
  <si>
    <t>Designing and Implementing Effective Professional Learning</t>
  </si>
  <si>
    <t>Murray, John M.</t>
  </si>
  <si>
    <t>LB1731.M868 2014eb</t>
  </si>
  <si>
    <t>100 Commonly Asked Questions in Math Class : Answers That Promote Mathematical Understanding, Grades 6-12</t>
  </si>
  <si>
    <t>Posamentier, Alfred S.;Farber, William L.;Germain-Williams, Terri L.;Paris, Elaine S.;Thaller, Bernd;Lehmann, Ingmar H.</t>
  </si>
  <si>
    <t>QA139 .O54 2013</t>
  </si>
  <si>
    <t>Mathematics-Study and teaching (Secondary) ; Mathematics-Study and teaching (Middle school) ; Mathematics-Problems, exercises, etc.</t>
  </si>
  <si>
    <t>A School Board Guide to Leading Successful Schools : Focusing on Learning</t>
  </si>
  <si>
    <t>Hirsh, Stephanie A.;Foster, Anne W.</t>
  </si>
  <si>
    <t>Playwork: Theory and Practice</t>
  </si>
  <si>
    <t>Brown, Fraser</t>
  </si>
  <si>
    <t>LB1137 .P557 2003</t>
  </si>
  <si>
    <t>Supporting Musical Development in the Early Years</t>
  </si>
  <si>
    <t>Pound, Linda;Harrison, Chris</t>
  </si>
  <si>
    <t>MT1 .P66 2003</t>
  </si>
  <si>
    <t>372.87/049</t>
  </si>
  <si>
    <t>Music-Instruction and study-Juvenile. ; Child development. ; Education, Elementary.</t>
  </si>
  <si>
    <t>Increasing Diversity in Doctoral Education: Implications for Theory and Practice : New Directions for Higher Education, Number 163</t>
  </si>
  <si>
    <t>Holley, Karri A.;Joseph, Joretta</t>
  </si>
  <si>
    <t>LC3727.I53 2013eb</t>
  </si>
  <si>
    <t>Minorities -- Education (Graduate) ; Doctoral students. ; First-generation college students. ; Education, Higher.</t>
  </si>
  <si>
    <t>Successful Strategies for Teaching Undergraduate Research</t>
  </si>
  <si>
    <t>Deyrup, Marta;Bloom, Beth</t>
  </si>
  <si>
    <t>LB2369.S827 2013eb</t>
  </si>
  <si>
    <t>Research - Methodology - Study and teaching (Higher)</t>
  </si>
  <si>
    <t>Positive Psychology and Appreciative Inquiry in Higher Education : New Directions for Student Services, Number 143</t>
  </si>
  <si>
    <t>Mather, Peter C.;Hulme, Eileen</t>
  </si>
  <si>
    <t>LB2322.2.P67 2013eb</t>
  </si>
  <si>
    <t>Education, Higher. ; Education -- Philosophy.</t>
  </si>
  <si>
    <t>Data Visualization, Part 1 : New Directions for Evaluation, Number 139</t>
  </si>
  <si>
    <t>Azzam, Tarek;Evergreen, Stephanie</t>
  </si>
  <si>
    <t>TK7882.I6.D38 2013eb</t>
  </si>
  <si>
    <t>Information visualization. ; Evaluation research (Social action programs) ; Social surveys.</t>
  </si>
  <si>
    <t>Computer Science/IT; Engineering; Engineering: Electrical</t>
  </si>
  <si>
    <t>Developing Performance-Based Assessments, Grades K-5</t>
  </si>
  <si>
    <t>The High Achiever&amp;prime;s Guide to Happiness</t>
  </si>
  <si>
    <t>Caesar, Vance;Caesar, Carol Ann</t>
  </si>
  <si>
    <t>HD57.7.C34 2006eb</t>
  </si>
  <si>
    <t>The Teacher&amp;prime;s Guide to Inclusive Education : 750 Strategies for Success!</t>
  </si>
  <si>
    <t>Hammeken, Peggy A.</t>
  </si>
  <si>
    <t>LC1201.H263 2007</t>
  </si>
  <si>
    <t>Cooperative Problem-Solving Activities for Social Studies, Grades 6-12</t>
  </si>
  <si>
    <t>Hickman, Michael;Wigginton, Erin O′Donell</t>
  </si>
  <si>
    <t>300.71/273</t>
  </si>
  <si>
    <t>40 Engaging Brain-Based Tools for the Classroom</t>
  </si>
  <si>
    <t>Scaddan, Michael A.</t>
  </si>
  <si>
    <t>The Principal As Instructional Leader in Literacy</t>
  </si>
  <si>
    <t>LB1576.P738 2009</t>
  </si>
  <si>
    <t>Before the Special Education Referral : Leading Intervention Teams</t>
  </si>
  <si>
    <t>Jennings, Matthew J.</t>
  </si>
  <si>
    <t>Mentoring As Collaboration : Lessons from the Field for Classroom, School, and District Leaders</t>
  </si>
  <si>
    <t>Blank, Mary Ann;Kershaw, Cheryl A.</t>
  </si>
  <si>
    <t>LB1731.4 .B536 2009</t>
  </si>
  <si>
    <t>Mentoring in education-United States. ; First year teachers-In-service training-United States. ; Group work in education-United States.</t>
  </si>
  <si>
    <t>The Portfolio Connection : Student Work Linked to Standards</t>
  </si>
  <si>
    <t>Belgrad, Susan F.;Burke, Kathleen B.;Fogarty, Robin J.</t>
  </si>
  <si>
    <t>Using WebQuests in the Social Studies Classroom : A Culturally Responsive Approach</t>
  </si>
  <si>
    <t>Thombs, Margaret M.;Gillis, Maureen M.;Canestrari, Alan S.</t>
  </si>
  <si>
    <t>H62.3 .T466 2009</t>
  </si>
  <si>
    <t>300.78/5</t>
  </si>
  <si>
    <t>Social sciences-Problems, exercises, etc. ; Social sciences-Study and teaching-Activity programs. ; Internet-Activity programs. ; Internet in education. ; Activity programs in education. ; Education-Computer network resources. ; Teaching-Computer network resources.</t>
  </si>
  <si>
    <t>Principal Mentoring : A Safe, Simple, and Supportive Approach</t>
  </si>
  <si>
    <t>Weingartner, Carl J.</t>
  </si>
  <si>
    <t>Beyond Differentiated Instruction</t>
  </si>
  <si>
    <t>LB1031.O49 2010</t>
  </si>
  <si>
    <t>Bullying and Students with Disabilities : Strategies and Techniques to Create a Safe Learning Environment for All</t>
  </si>
  <si>
    <t>McNamara, Barry Edwards</t>
  </si>
  <si>
    <t>LB 3013.32 .M43 2013</t>
  </si>
  <si>
    <t>Bullying. ; Children with disabilities.</t>
  </si>
  <si>
    <t>Reach Before You Teach : Ignite Passion and Purpose in Your Classroom</t>
  </si>
  <si>
    <t>Prentis, Paula P.;Parrott, Christine K.;Smith, Amy K.</t>
  </si>
  <si>
    <t>LB1737.A3</t>
  </si>
  <si>
    <t>Decentering the Ivory Tower of Academia : New Directions for Adult and Continuing Education, Number 139</t>
  </si>
  <si>
    <t>Ramdeholl, Dianne</t>
  </si>
  <si>
    <t>LC5219.D43 2013eb</t>
  </si>
  <si>
    <t>This Is Your Brain : Teaching about Neuroscience and Addiction Research</t>
  </si>
  <si>
    <t>Terra Nova Learning Systems</t>
  </si>
  <si>
    <t>RC564.T53 2012eb</t>
  </si>
  <si>
    <t>Drug abuse -- Research. ; Drug addiction -- Prevention. ; Neurosciences.</t>
  </si>
  <si>
    <t>Psychology; Social Science; Medicine; Health</t>
  </si>
  <si>
    <t>NSTA Ready-Reference Guide to Safer Science</t>
  </si>
  <si>
    <t>Roy, Kenneth Russell</t>
  </si>
  <si>
    <t>Q182.3.R69 2012eb</t>
  </si>
  <si>
    <t>Science -- Study and teaching (Middle school) -- United States -- Safety measures. ; Science rooms and equipment -- United States -- Safety measures. ; Scientific apparatus and instruments -- United States -- Safety measures. ; Science -- Experiments -- Safety measures. ; Hazardous substances -- United States -- Safety measures.</t>
  </si>
  <si>
    <t>Q182.3.R691 2012eb</t>
  </si>
  <si>
    <t>Science -- Study and teaching (Secondary) -- United States -- Safety measures. ; Science rooms and equipment -- United States -- Safety measures. ; Scientific apparatus and instruments -- United States -- Safety measures. ; Science -- Experiments -- Safety measures.</t>
  </si>
  <si>
    <t>Scientific Argumentation in Biology : 30 Classroom Activities</t>
  </si>
  <si>
    <t>Sampson, Victor;Schleigh, Sharon</t>
  </si>
  <si>
    <t>Q339.25.S26 2013eb</t>
  </si>
  <si>
    <t>570.71/2</t>
  </si>
  <si>
    <t>Qualitative reasoning. ; Biology.</t>
  </si>
  <si>
    <t>Perspectives : Research and Tips to Support Science Education, K-6</t>
  </si>
  <si>
    <t>Hanuscin, Deborah;Rogers, Meredith Park</t>
  </si>
  <si>
    <t>LB1585.P46 2012eb</t>
  </si>
  <si>
    <t>Science -- Study and teaching (Elementary) ; Science teachers -- In-service training.</t>
  </si>
  <si>
    <t>Exemplary Science : Best Practices in Professional Development</t>
  </si>
  <si>
    <t>Koba, Susan B.;Wojnowski, Brenda S.;Yager, Robert E.</t>
  </si>
  <si>
    <t>Q181.E83 2013eb</t>
  </si>
  <si>
    <t>The Case for STEM Education : Challenges and Opportunities</t>
  </si>
  <si>
    <t>Q125.B977 2013eb</t>
  </si>
  <si>
    <t>Science and state. ; Technology and state. ; Science -- Study and teaching -- Government policy. ; Technology -- Study and teaching -- Government policy.</t>
  </si>
  <si>
    <t>The NSTA Reader's Guide to a Framework for K-12 Science Education : Practices, Crosscutting Concepts and Core Ideas</t>
  </si>
  <si>
    <t>Pratt, Harold;Bybee, Rodger W.;National Science Teachers Association Staff</t>
  </si>
  <si>
    <t>LB1585.3.N77 2012eb</t>
  </si>
  <si>
    <t>Science -- Study and teaching -- Standards -- United States. ; Science -- Study and teaching -- Aids and devices -- United States.</t>
  </si>
  <si>
    <t>Citizen Science : 15 Lessons That Bring Biology to Life, 6-12</t>
  </si>
  <si>
    <t>Trautmann, Nancy;Fee, Jennifer;Tomasek, Terry M.</t>
  </si>
  <si>
    <t>QH316.4.C58 2013eb</t>
  </si>
  <si>
    <t>Biology -- Study and teaching (Secondary) -- Activity programs. ; Biology -- Research -- Citizen participation.</t>
  </si>
  <si>
    <t>Uncovering Student Ideas in Primary Science, Volume 1 : 25 New Formative Assessment Probes for Grades K-2</t>
  </si>
  <si>
    <t>Keeley, Page</t>
  </si>
  <si>
    <t>LB1139.5.S35.K441 2</t>
  </si>
  <si>
    <t>Early childhood education - Aims and objectives</t>
  </si>
  <si>
    <t>Engaging Young Children with Informational Books</t>
  </si>
  <si>
    <t>Patrick, Helen;Mantzicopoulos, P. Youli</t>
  </si>
  <si>
    <t>LB1576 .P269 2014</t>
  </si>
  <si>
    <t>Language arts (Elementary) ; Exposition (Rhetoric)-Study and teaching (Elementary) ; English language-Composition and exercises-Study and teaching (Elementary)</t>
  </si>
  <si>
    <t>Developing Reading Comprehension</t>
  </si>
  <si>
    <t>Clarke, Paula J.;Truelove, Emma;Hulme, Charles;Snowling, Margaret J.</t>
  </si>
  <si>
    <t>LB1573.7.D46 2014eb</t>
  </si>
  <si>
    <t>Reading comprehension. ; Reading comprehension -- Study and teaching (Elementary)</t>
  </si>
  <si>
    <t>Instant Nancy Web Development</t>
  </si>
  <si>
    <t>Horsdal, Christian</t>
  </si>
  <si>
    <t>QA76.76.M52.H677 20</t>
  </si>
  <si>
    <t>Intensive care nursing. ; Internal medicine.</t>
  </si>
  <si>
    <t>Learning That Never Ends : Qualities of a Lifelong Learner</t>
  </si>
  <si>
    <t>Pearse, Margie;Dunwoody, Mary</t>
  </si>
  <si>
    <t>LC5215 -- .P43 2013eb</t>
  </si>
  <si>
    <t>Sport Pedagogy : An Introduction for Teaching and Coaching</t>
  </si>
  <si>
    <t>Armour, Kathleen</t>
  </si>
  <si>
    <t>GV361 .S64 2013</t>
  </si>
  <si>
    <t>Sports - Study and teaching</t>
  </si>
  <si>
    <t>Applying Standards-Based Constructivism : Elementary</t>
  </si>
  <si>
    <t>Flynn, Pat;Mesibov, Don;Vermette, Paul</t>
  </si>
  <si>
    <t>LB1555 .A66 2004</t>
  </si>
  <si>
    <t>Elementary school teaching -- United States. ; Constructivism (Education) -- United States. ; Motivation in education -- United States.</t>
  </si>
  <si>
    <t>Journey into Community</t>
  </si>
  <si>
    <t>Parson, Stephen</t>
  </si>
  <si>
    <t>LB2820.P35</t>
  </si>
  <si>
    <t>School improvement programs - United States.</t>
  </si>
  <si>
    <t>From Rigorous Standards to Student Achievement</t>
  </si>
  <si>
    <t>Mc Cullough, Laura;Rettig, Michael D.;Santos, Karen</t>
  </si>
  <si>
    <t>LB3060.83 .F76 2013</t>
  </si>
  <si>
    <t>Education -- Standards -- United States. ; Academic achievement -- United States. ; Educational accountability -- United States.</t>
  </si>
  <si>
    <t>Real Teachers, Real Challenges, Real Solutions : 25 Ways to Handle the Challenges of the Classroom Effectively</t>
  </si>
  <si>
    <t>Breaux, Elizabeth;Breaux, Annette</t>
  </si>
  <si>
    <t>LB3013.B743 2013</t>
  </si>
  <si>
    <t>Classroom management--Handbooks, manuals, etc.</t>
  </si>
  <si>
    <t>Call to Teacher Leadership</t>
  </si>
  <si>
    <t>Zepeda, Sally J.;Mayers, R. Stewart;Benson, Brad</t>
  </si>
  <si>
    <t>LB1775.2 .Z47 2013</t>
  </si>
  <si>
    <t>Teacher participation in administration -- United States</t>
  </si>
  <si>
    <t>Addressing Difficulties in Literacy Development : Responses at Family, School, Pupil and Teacher Levels</t>
  </si>
  <si>
    <t>LB1050.5 .A35 2013</t>
  </si>
  <si>
    <t>Reading disability</t>
  </si>
  <si>
    <t>6 Types of Teachers : Recruiting, Retaining, and Mentoring the Best</t>
  </si>
  <si>
    <t>Whitaker, Todd;Fiore, Douglas</t>
  </si>
  <si>
    <t>LB2832 .F56 2013</t>
  </si>
  <si>
    <t>Handbook on Differentiated Instruction for Middle and High Schools</t>
  </si>
  <si>
    <t>Spencer-Waterman, Sheryn</t>
  </si>
  <si>
    <t>LB1031 .N65 2013</t>
  </si>
  <si>
    <t>High school teaching</t>
  </si>
  <si>
    <t>School Leader's Guide to Root Cause Analysis</t>
  </si>
  <si>
    <t>Preuss, Paul</t>
  </si>
  <si>
    <t>LB2822.75 .P74 2013</t>
  </si>
  <si>
    <t>Coaching and Mentoring First-Year and Student Teachers</t>
  </si>
  <si>
    <t>Denmark, Vicki;Podsen, India J.</t>
  </si>
  <si>
    <t>LB1731.4 .P63 2013</t>
  </si>
  <si>
    <t>First year teachers -- United States. ; First year teachers. ; Mentoring in education -- United States. ; Mentoring in education. ; Student teachers -- United States. ; Student teachers.</t>
  </si>
  <si>
    <t>Math Intervention 3-5 : Building Number Power with Formative Assessments, Differentiation, and Games, Grades 3-5</t>
  </si>
  <si>
    <t>Taylor-Cox, Jennifer</t>
  </si>
  <si>
    <t>QA135.6.T395 2013</t>
  </si>
  <si>
    <t>Mathematics--Study and teaching (Elementary)</t>
  </si>
  <si>
    <t>Standards of Practice for Teachers : A Brief Handbook</t>
  </si>
  <si>
    <t>Walker, Sue A.;Smart, Mary Jane;Frey, P. Diane</t>
  </si>
  <si>
    <t>LB1728 .F74 2013</t>
  </si>
  <si>
    <t>Teachers -- Rating of -- Handbooks, manuals, etc. ; Teachers -- In-service training -- Handbooks, manuals, etc. ; Education -- Standards -- Handbooks, manuals, etc.</t>
  </si>
  <si>
    <t>Passing the Special Education TExES Exam : Keys to Certification and Exceptional Learners</t>
  </si>
  <si>
    <t>LB1763.T4</t>
  </si>
  <si>
    <t>When Computers Were Human</t>
  </si>
  <si>
    <t>Grier, David Alan</t>
  </si>
  <si>
    <t>QA303.2.G75 2005eb</t>
  </si>
  <si>
    <t>510/.92/2</t>
  </si>
  <si>
    <t>From the Campfire to the Holodeck : Creating Engaging and Powerful 21st Century Learning Environments</t>
  </si>
  <si>
    <t>Thornburg, David</t>
  </si>
  <si>
    <t>LB3013.T57 2014eb</t>
  </si>
  <si>
    <t>Education -- Environmental aspects</t>
  </si>
  <si>
    <t>Academic Language in Diverse Classrooms: English Language Arts, Grades K-2 : Promoting Content and Language Learning</t>
  </si>
  <si>
    <t>Gottlieb, Margo;Ernst-Slavit, Gisela</t>
  </si>
  <si>
    <t>PE1128</t>
  </si>
  <si>
    <t>Educational Provision for Children with Autism and Asperger Syndrome : Meeting Their Needs</t>
  </si>
  <si>
    <t>Jones, Glenys</t>
  </si>
  <si>
    <t>LC4719.G7 J66 2013</t>
  </si>
  <si>
    <t>Gender, Colonialism and Education : An International Perspective</t>
  </si>
  <si>
    <t>Goodman, Joyce;Martin, Jane</t>
  </si>
  <si>
    <t>LA5 .G46 2012</t>
  </si>
  <si>
    <t>Making the Right Decisions : A Guide for School Leaders</t>
  </si>
  <si>
    <t>Joseph, Charles;Fiore, Douglas</t>
  </si>
  <si>
    <t>LB2806.F52 2013</t>
  </si>
  <si>
    <t>School management and organization--Decision making.</t>
  </si>
  <si>
    <t>Differentiating by Readiness : Strategies and Lesson Plans for Tiered Instruction, Grades K-8</t>
  </si>
  <si>
    <t>Allen, Linda;Turville, Joni</t>
  </si>
  <si>
    <t>LB1027.23.T87 2010</t>
  </si>
  <si>
    <t>Money and Schools</t>
  </si>
  <si>
    <t>Thompson, David C.;Crampton, Faith;Wood, Craig R.;Wood, Craig</t>
  </si>
  <si>
    <t>LB2830.2 -- .T56 2013eb</t>
  </si>
  <si>
    <t>371.2/060973</t>
  </si>
  <si>
    <t>School budgets -- United States -- Handbooks, manuals, etc. ; Schools -- United States -- Handbooks, manuals, etc. -- Accounting. ; Education -- United States -- Finance -- Handbooks, manuals, etc.</t>
  </si>
  <si>
    <t>Einstein's Jury : The Race to Test Relativity</t>
  </si>
  <si>
    <t>Crelinsten, Jeffrey</t>
  </si>
  <si>
    <t>QC173.585.C74 2006eb</t>
  </si>
  <si>
    <t>Einstein, Albert,-1879-1955. ; Relativity (Physics) ; Astrophysics-History-20th century. ; Physics-History-20th century. ; Astronomy-History-20th century.</t>
  </si>
  <si>
    <t>Assessment and Student Success in a Differentiated Classroom</t>
  </si>
  <si>
    <t>Tomlinson, Carol Ann;Moon, Tonya R.</t>
  </si>
  <si>
    <t>LB1031 .T64 2013</t>
  </si>
  <si>
    <t>Educational tests and measurements. ; Individualized instruction-United States.</t>
  </si>
  <si>
    <t>Whole Novels for the Whole Class : A Student-Centered Approach</t>
  </si>
  <si>
    <t>Sacks, Ariel</t>
  </si>
  <si>
    <t>LB1570.S23 2014eb</t>
  </si>
  <si>
    <t>Education -- Curricula.</t>
  </si>
  <si>
    <t>Vygotsky : Philosophy and Education</t>
  </si>
  <si>
    <t>Derry, Jan</t>
  </si>
  <si>
    <t>Riding the Rocket : How to manage your modern career</t>
  </si>
  <si>
    <t>Marshall Cavendish ASIA</t>
  </si>
  <si>
    <t>Marshall Cavendish International (Asia) Private Limited</t>
  </si>
  <si>
    <t>MarshallCavendishEdition</t>
  </si>
  <si>
    <t>Maun, Richard</t>
  </si>
  <si>
    <t>HF5381 -- .M38 2013eb</t>
  </si>
  <si>
    <t>Canada -- Commerce. ; Canada -- Economic conditions -- 1991- ; Canada.</t>
  </si>
  <si>
    <t>Chinese Activism of a Different Kind : The Chinese Students' Campaign to Stay in Australia</t>
  </si>
  <si>
    <t>Jia, Gao</t>
  </si>
  <si>
    <t>Social Sciences in Asia Series</t>
  </si>
  <si>
    <t>LC3089.A8 G36 2013</t>
  </si>
  <si>
    <t>Chinese students-Australia.</t>
  </si>
  <si>
    <t>Breakthrough Leadership in the Digital Age : Using Learning Science to Reboot Schooling</t>
  </si>
  <si>
    <t>Hess, Frederick M.;Saxberg, Bror V. H.</t>
  </si>
  <si>
    <t>LB1028.3.H477 2014</t>
  </si>
  <si>
    <t>Teaching Secondary Geography As If the Planet Matters</t>
  </si>
  <si>
    <t>Morgan, John</t>
  </si>
  <si>
    <t>Teaching... As If the Planet Matters Series</t>
  </si>
  <si>
    <t>G73 -- .M616 2012eb</t>
  </si>
  <si>
    <t>Reading, Writing, and Talking Gender in Literacy Learning</t>
  </si>
  <si>
    <t>Guzzetti, Barbara J.;Young, Josephine Peyto;Gritsavage, Margaret M.;Fyfe, Laurie M.;Hardenbrook, Marie</t>
  </si>
  <si>
    <t>LC212.9 -- .R43 2011eb</t>
  </si>
  <si>
    <t>Sex differences in education. ; Sexism in education. ; Language arts -- Social aspects.</t>
  </si>
  <si>
    <t>School Improvement Through Performance Feedback</t>
  </si>
  <si>
    <t>Visscher, A.J.;Coe, R.</t>
  </si>
  <si>
    <t>LB2822.8 -- .S36 2002eb</t>
  </si>
  <si>
    <t>Language Teachers and Teaching : Global Perspectives, Local Initiatives</t>
  </si>
  <si>
    <t>Ben Said, Selim;Zhang, Lawrence Jun</t>
  </si>
  <si>
    <t>P53.85 .L37 2013</t>
  </si>
  <si>
    <t>Teaching Young Children with ADHD : Successful Strategies and Practical Interventions for PreK-3</t>
  </si>
  <si>
    <t>Essential Topics in Applied Linguistics and Multilingualism : Studies in Honor of David Singleton</t>
  </si>
  <si>
    <t>Springer International Publishing AG</t>
  </si>
  <si>
    <t>Cham</t>
  </si>
  <si>
    <t>Pawlak, Mirosław;Aronin, Larissa</t>
  </si>
  <si>
    <t>Second Language Learning and Teaching Series</t>
  </si>
  <si>
    <t>P129-138.7222</t>
  </si>
  <si>
    <t>Applied linguistics</t>
  </si>
  <si>
    <t>Women's Retreat : Voices of Female Faculty in Higher Education</t>
  </si>
  <si>
    <t>Seto, Atsuko;Bruce, Mary Alice</t>
  </si>
  <si>
    <t>LB2332.32.W675 2013</t>
  </si>
  <si>
    <t>378.1/2082</t>
  </si>
  <si>
    <t>Women college teachers - Professional relationships - United States</t>
  </si>
  <si>
    <t>Teachers Working Together for School Success</t>
  </si>
  <si>
    <t>Martinez, Mario C.</t>
  </si>
  <si>
    <t>Cultivating Leader Identity and Capacity in Students from Diverse Backgrounds : ASHE Higher Education Report, 39:4</t>
  </si>
  <si>
    <t>Guthrie, Kathy L.;Jones, Tamara Bertrand;Osteen, Laura;Hu, Shouping;Jones, Tamara Bertrand</t>
  </si>
  <si>
    <t>LC203.G88 2013eb</t>
  </si>
  <si>
    <t>Leadership -- Study and teaching. ; Minorities -- Education.</t>
  </si>
  <si>
    <t>Youth Programs As Builders of Social Capital : New Directions for Youth Development, Number 138</t>
  </si>
  <si>
    <t>Calvert, Matthew;Emery, Mary;Kinsey, Sharon</t>
  </si>
  <si>
    <t>HQ796 -- .Y68 2013eb</t>
  </si>
  <si>
    <t>Youth development. ; Social capital (Sociology)</t>
  </si>
  <si>
    <t>The Really Useful ELearning Instruction Manual : Your Toolkit for Putting Elearning into Practice</t>
  </si>
  <si>
    <t>Hubbard, Rob</t>
  </si>
  <si>
    <t>Computer-assisted instruction. ; Educational technology.</t>
  </si>
  <si>
    <t>Education and the Growth of Knowledge : Perspectives from Social and Virtue Epistemology</t>
  </si>
  <si>
    <t>Kotzee, Ben</t>
  </si>
  <si>
    <t>BD161.E383 2014eb</t>
  </si>
  <si>
    <t>Social epistemology</t>
  </si>
  <si>
    <t>Advanced Educational Foundations for Teachers : The History, Philosophy, and Culture of Schooling</t>
  </si>
  <si>
    <t>Sharpes, Donald K.</t>
  </si>
  <si>
    <t>LA11 -- .S53 2012eb</t>
  </si>
  <si>
    <t>Biography</t>
  </si>
  <si>
    <t>La Clase Mágica : Imagining Optimal Possibilities in a Bilingual Community of Learners</t>
  </si>
  <si>
    <t>Vasquez, Olga A.</t>
  </si>
  <si>
    <t>LC3731 -- .V37 2003eb</t>
  </si>
  <si>
    <t>Minorities -- Education -- United States. ; Education, Bilingual -- United States.</t>
  </si>
  <si>
    <t>Science: Geology; Science; Education</t>
  </si>
  <si>
    <t>Literacy Through Symbols : Improving Access for Children and Adults</t>
  </si>
  <si>
    <t>Detheridge, Tina;Detheridge, Mike</t>
  </si>
  <si>
    <t>LC149 -- .D48 2013eb</t>
  </si>
  <si>
    <t>Unlocking Writing : A Guide for Teachers</t>
  </si>
  <si>
    <t>Mary Williams, Mary</t>
  </si>
  <si>
    <t>Unlocking Series</t>
  </si>
  <si>
    <t>LB1631 -- .U55 2013eb</t>
  </si>
  <si>
    <t>372.6/23/044/0941</t>
  </si>
  <si>
    <t>The Administrator's Guide to School-Community Relations</t>
  </si>
  <si>
    <t>Pawlas, George E.</t>
  </si>
  <si>
    <t>LC221 -- .P39 2013eb</t>
  </si>
  <si>
    <t>370.19/31</t>
  </si>
  <si>
    <t>Community and school -- United States. ; School principals -- United States. ; Educational leadership -- United States.</t>
  </si>
  <si>
    <t>Transforming Nursery Education : SAGE Publications</t>
  </si>
  <si>
    <t>Moss, Peter;Penn, Helen</t>
  </si>
  <si>
    <t>LB1140.25.G7$bM67 1996</t>
  </si>
  <si>
    <t>Education, Preschool</t>
  </si>
  <si>
    <t>Teaching Young Children : SAGE Publications</t>
  </si>
  <si>
    <t>LB1139.3.G</t>
  </si>
  <si>
    <t>Valuing Quality in Early Childhood Services : New Approaches to Defining Quality</t>
  </si>
  <si>
    <t>Moss, Peter;Pence, Alan</t>
  </si>
  <si>
    <t>HQ778.5 -- .V35 1994eb</t>
  </si>
  <si>
    <t>School Culture : SAGE Publications</t>
  </si>
  <si>
    <t>Prosser, Jon</t>
  </si>
  <si>
    <t>LC191.4 -- .S34 1999eb</t>
  </si>
  <si>
    <t>Developing Writing for Different Purposes : Teaching about Genre in the Early Years</t>
  </si>
  <si>
    <t>Riley, Jeni;Reedy, David</t>
  </si>
  <si>
    <t>LB1139.W7 -- R55 2000eb</t>
  </si>
  <si>
    <t>Strategic Management in Schools and Colleges : SAGE Publications</t>
  </si>
  <si>
    <t>Middlewood, David;Lumby, Jacky;Bush, Tony</t>
  </si>
  <si>
    <t>LB2901 -- .S77 2010eb</t>
  </si>
  <si>
    <t>371.2/00941/09049</t>
  </si>
  <si>
    <t>Democratizing Higher Education Policy : Constraints of Reform in Post-Apartheid South Africa</t>
  </si>
  <si>
    <t>Sehoole, M. T.</t>
  </si>
  <si>
    <t>LC180.S6 S45 2013</t>
  </si>
  <si>
    <t>Higher education and state -- South Africa. ; Educational change -- South Africa. ; Democracy -- South Africa.</t>
  </si>
  <si>
    <t>Promoting School Readiness and Early Learning : Implications of Developmental Research for Practice</t>
  </si>
  <si>
    <t>Boivin, Michel;Bierman, Karen L.</t>
  </si>
  <si>
    <t>LB1132 -- .P76 2014eb</t>
  </si>
  <si>
    <t>Readiness for school. ; Education, Primary.</t>
  </si>
  <si>
    <t>Assessing L2 Students with Learning and Other Disabilities</t>
  </si>
  <si>
    <t>Tsagari, Dina;Spanoudis,  George</t>
  </si>
  <si>
    <t>LC4028 -- .A87 2013eb</t>
  </si>
  <si>
    <t>Children with disabilities -- Education. ; Language and languages -- Study and teaching. ; Second language acquisition.</t>
  </si>
  <si>
    <t>Accessing the General Curriculum : Including Students with Disabilities in Standards-Based Reform</t>
  </si>
  <si>
    <t>Nolet, Victor;McLaughlin, Margaret J.</t>
  </si>
  <si>
    <t>Designing and Implementing Two-Way Bilingual Programs : A Step-By-Step Guide for Administrators, Teachers, and Parents</t>
  </si>
  <si>
    <t>Calderon, Margarita Espino;Minaya-Rowe, Liliana</t>
  </si>
  <si>
    <t>LC3715</t>
  </si>
  <si>
    <t>Collaborative Teacher Leadership : How Teachers Can Foster Equitable Schools</t>
  </si>
  <si>
    <t>Krovetz, Martin L.;Arriaza, Gilberto</t>
  </si>
  <si>
    <t>Teaching for Tomorrow : Teaching Content and Problem-Solving Skills</t>
  </si>
  <si>
    <t>McCain, Ted</t>
  </si>
  <si>
    <t>LB1607.M38 2005</t>
  </si>
  <si>
    <t>Keys to Curriculum Mapping : Strategies and Tools to Make It Work</t>
  </si>
  <si>
    <t>Udelhofen, Susan K.</t>
  </si>
  <si>
    <t>LB2806.15.U34 2005eb</t>
  </si>
  <si>
    <t>Boosting ALL Children&amp;prime;s Social and Emotional Brain Power : Life Transforming Activities</t>
  </si>
  <si>
    <t>Beaudoin, Marie-Nathalie</t>
  </si>
  <si>
    <t>BF723.P8 .B43 2014</t>
  </si>
  <si>
    <t>372.37/4</t>
  </si>
  <si>
    <t>Problem solving in children. ; Emotions in children.</t>
  </si>
  <si>
    <t>Reality and Education : A New Direction for Educational Policy</t>
  </si>
  <si>
    <t>Wentland, Daniel</t>
  </si>
  <si>
    <t>LC89 -- .W38 2013eb</t>
  </si>
  <si>
    <t>Educational planning - United States</t>
  </si>
  <si>
    <t>Degrees of Inequality : How the Politics of Higher Education Sabotaged the American Dream</t>
  </si>
  <si>
    <t>Mettler, Suzanne</t>
  </si>
  <si>
    <t>LC173 -- .M488 2014eb</t>
  </si>
  <si>
    <t>Education, Higher -- Political aspects -- United States. ; Education, Higher -- Social aspects -- United States. ; Education, Higher -- Economic aspects -- United States. ; Educational change -- United States.</t>
  </si>
  <si>
    <t>The Global Achievement Gap : Why Even Our Best Schools Don't Teach the New Survival Skills Our Children Needand What We Can Do About It</t>
  </si>
  <si>
    <t>LB1607.5 -- .W346 2008eb</t>
  </si>
  <si>
    <t>Education, Secondary -- Aims and objectives -- United States. ; Educational change -- United States. ; School improvement programs -- United States.</t>
  </si>
  <si>
    <t>Hold Fast to Dreams : A College Guidance Counselor, His Students, and the Vision of a Life Beyond Poverty</t>
  </si>
  <si>
    <t>Zasloff, Beth;Steckel, Joshua</t>
  </si>
  <si>
    <t>LB1027.5.Z38 2014</t>
  </si>
  <si>
    <t>Educational counseling--New York (State)--New York--Case studies. ; High school students--New York (State)--New York--Interviews. ; Student aspirations--New York (State)--New York--Case studies. ; Minority students--Counseling of--United States. ; College choice--United States. ; Academic achievement--United States.</t>
  </si>
  <si>
    <t>New Directions in Islamic Education : Pedagogy and Identity Formation</t>
  </si>
  <si>
    <t>Kube Publishing Ltd</t>
  </si>
  <si>
    <t>Markfield</t>
  </si>
  <si>
    <t>Sahin, Abdullah</t>
  </si>
  <si>
    <t>LC903 -- .S24 2013eb</t>
  </si>
  <si>
    <t>Islam -- Study and teaching. ; Islamic education.</t>
  </si>
  <si>
    <t>Inclusion in the City : Selection, Schooling and Community</t>
  </si>
  <si>
    <t>Potts, Patricia</t>
  </si>
  <si>
    <t>LC1200 -- .I53 2013eb</t>
  </si>
  <si>
    <t>371.9/046/0942496</t>
  </si>
  <si>
    <t>Education in the United Kingdom : Structures and Organisation</t>
  </si>
  <si>
    <t>Gearon, Liam</t>
  </si>
  <si>
    <t>LA632 -- .E38 2012eb</t>
  </si>
  <si>
    <t>Children Starting School : A Guide to Successful Transitions and Transfers for Teachers and Assistants</t>
  </si>
  <si>
    <t>Fabian, Hilary</t>
  </si>
  <si>
    <t>LB1132 -- .F33 2012eb</t>
  </si>
  <si>
    <t>372.2/41/0941</t>
  </si>
  <si>
    <t>Readiness for school</t>
  </si>
  <si>
    <t>School Behaviour and Families : Frameworks for Working Together</t>
  </si>
  <si>
    <t>LC225 -- .S36 2012eb</t>
  </si>
  <si>
    <t>371.1/92</t>
  </si>
  <si>
    <t>Creativity and Writing Skills : Finding a Balance in the Primary Classroom</t>
  </si>
  <si>
    <t>Hiatt, Kay;Rooke, Jonathan</t>
  </si>
  <si>
    <t>LB1576 -- .H53 2012eb</t>
  </si>
  <si>
    <t>Basic Skills for Childcare - Literacy : Tutor Pack</t>
  </si>
  <si>
    <t>Green, Julie</t>
  </si>
  <si>
    <t>LC149 -- .G74 2012eb</t>
  </si>
  <si>
    <t>Literacy -- Study and teaching (Elementary)</t>
  </si>
  <si>
    <t>Helping Teachers Develop Through Classroom Observation</t>
  </si>
  <si>
    <t>LB2838 -- .M66 2012eb</t>
  </si>
  <si>
    <t>Stepping Outside Your Comfort Zone Lessons for School Leaders : Lessons For School Leaders</t>
  </si>
  <si>
    <t>Beaudoin, Nelson</t>
  </si>
  <si>
    <t>LB2831.92 -- .B43 2013eb</t>
  </si>
  <si>
    <t>School principals -- United States -- Anecdotes. ; Educational leadership -- United States -- Anecdotes.</t>
  </si>
  <si>
    <t>Student Transitions from Middle to High School : Improving Achievement and Creating a Safer Environment</t>
  </si>
  <si>
    <t>Queen, J. Allen</t>
  </si>
  <si>
    <t>LB1626 -- .Q44 2013eb</t>
  </si>
  <si>
    <t>Articulation (Education) -- United States. ; Middle school education -- United States. ; Education, Secondary -- United States. ; Student adjustment -- United States.</t>
  </si>
  <si>
    <t>The Principal's Edge</t>
  </si>
  <si>
    <t>Mc Call, Jack</t>
  </si>
  <si>
    <t>LB2805 -- .M33 2013eb</t>
  </si>
  <si>
    <t>Handbook on Teacher Portfolios for Evaluation and Professional Development</t>
  </si>
  <si>
    <t>Tucker, Pamela;Stronge, James;Gareis, Christopher</t>
  </si>
  <si>
    <t>LB1728 -- .T83 2013eb</t>
  </si>
  <si>
    <t>Portfolios in education -- United States -- Handbooks, manuals, etc. ; Teachers -- Rating of -- United States -- Handbooks, manuals, etc. ; Teachers -- In-service training -- United States -- Handbooks, manuals, etc.</t>
  </si>
  <si>
    <t>Old School Still Matters : Lessons from History to Reform Public Education in America</t>
  </si>
  <si>
    <t>Fife, Brian L.</t>
  </si>
  <si>
    <t>LA212.F48 2013eb</t>
  </si>
  <si>
    <t>EDUCATION / History</t>
  </si>
  <si>
    <t>Reading in the Wild : The Book Whisperer's Keys to Cultivating Lifelong Reading Habits</t>
  </si>
  <si>
    <t>Miller, Donalyn;Kelley, Susan</t>
  </si>
  <si>
    <t>Rethinking College Student Retention</t>
  </si>
  <si>
    <t>Braxton, John M.;Doyle, William R.;Hartley, Harold V., III;Hirschy, Amy S.;Jones, Willis A.;McLendon, Michael K.;Hartley, Harold V., III</t>
  </si>
  <si>
    <t>LC148.2.B73 2014eb</t>
  </si>
  <si>
    <t>Academic achievement -- United States. ; College attendance -- United States. ; College dropouts -- United States.</t>
  </si>
  <si>
    <t>The Insider's Guide to Winning Education Grants</t>
  </si>
  <si>
    <t>Pawlicki, Dakota;James, Chase;Michie, Gregory</t>
  </si>
  <si>
    <t>Proposal writing in education -- United States -- Handbooks, manuals, etc</t>
  </si>
  <si>
    <t>Enabling Children's Learning Through Drawing</t>
  </si>
  <si>
    <t>Gender in Policy and Practice : Perspectives on Single Sex and Coeducational Schooling</t>
  </si>
  <si>
    <t>Datnow, Amanda;Hubbard, Lea;Hubbard, Lea Ann</t>
  </si>
  <si>
    <t>Sociology in Education Series</t>
  </si>
  <si>
    <t>LB3067.3 .G46 2013</t>
  </si>
  <si>
    <t>Towards a Curriculum for All : A Practical Guide for Developing an Inclusive Curriculum for Pupils Attaining Significantly below Age-Related Expectations</t>
  </si>
  <si>
    <t>Dorchester Curriculum Group, Dorchester Curriculum</t>
  </si>
  <si>
    <t>LC1203.G7 T69 2013</t>
  </si>
  <si>
    <t>Handbook for Pre-School SEN Provision : The Code of Practice in Relation to the Early Years</t>
  </si>
  <si>
    <t>Spencer, Chris;Schnelling, Kate</t>
  </si>
  <si>
    <t>LC3986.G7 S688 2013</t>
  </si>
  <si>
    <t>Shakespeare and Classic Works in the Classroom : Teaching Pre-20th Century Literature at KS2 and KS3</t>
  </si>
  <si>
    <t>Carter, Dennis</t>
  </si>
  <si>
    <t>PR51.G7 C27 2013</t>
  </si>
  <si>
    <t>820.7/1041</t>
  </si>
  <si>
    <t>First Steps in Inclusion : A Handbook for Parents, Teachers, Governors and LEAs</t>
  </si>
  <si>
    <t>Lorenz, Stephanie</t>
  </si>
  <si>
    <t>LC1203.G7 L67 2013</t>
  </si>
  <si>
    <t>Swings and Roundabouts : A Self-Coaching Workbook for Parents and Those Considering Becoming Parents</t>
  </si>
  <si>
    <t>Golawski, Anna;Bamford, Agnes;Gersch, Professor Irvine</t>
  </si>
  <si>
    <t>The Professional Coaching Series</t>
  </si>
  <si>
    <t>HQ755.8 -- .G65 2013eb</t>
  </si>
  <si>
    <t>Child rearing. ; Parenting.</t>
  </si>
  <si>
    <t>Professional Development Schools and Social Justice : Schools and Universities Partnering to Make a Difference</t>
  </si>
  <si>
    <t>Zenkov, Kristien;Corrigan, Diane;Beebe, Ronald S.;Sell, Corey R.</t>
  </si>
  <si>
    <t>LB2154.A3.P76 2013eb</t>
  </si>
  <si>
    <t>Laboratory schools - United States</t>
  </si>
  <si>
    <t>Theory and Method in Higher Education Research</t>
  </si>
  <si>
    <t>Huisman, Jeroen;Tight, Malcolm</t>
  </si>
  <si>
    <t>International Perspectives on Higher Education Research</t>
  </si>
  <si>
    <t>LB2300-2430</t>
  </si>
  <si>
    <t>Education, Higher -- Research -- Methodology. ; Education, Higher -- Research.</t>
  </si>
  <si>
    <t>Development of Higher Education in Africa : Prospects and Challenges</t>
  </si>
  <si>
    <t>Wiseman, Alexander W.;Wolhuter, C. C.</t>
  </si>
  <si>
    <t>LA1503.D49 2013eb</t>
  </si>
  <si>
    <t>Universities and colleges -- Africa</t>
  </si>
  <si>
    <t>Succeeding with Inquiry in Science and Math Classroom</t>
  </si>
  <si>
    <t>Marshall, Jeff C.</t>
  </si>
  <si>
    <t>LB1027.23 .M28 2013</t>
  </si>
  <si>
    <t>Classroom management. ; Inquiry-based learning. ; Mathematics-Study and teaching. ; Science-Study and teaching.</t>
  </si>
  <si>
    <t>Citizens of Character : New Directions in Character and Values Education</t>
  </si>
  <si>
    <t>Arthur, James</t>
  </si>
  <si>
    <t>LC314 -- .C58 2013eb</t>
  </si>
  <si>
    <t>Moral education -- Great Britain. ; Values -- Study and teaching -- Great Britain.</t>
  </si>
  <si>
    <t>Teaching and Learning Early Years Mathematics : Subject and Pedagogic Knowledge</t>
  </si>
  <si>
    <t>Critical Publishing</t>
  </si>
  <si>
    <t>Northwich</t>
  </si>
  <si>
    <t>Briggs, Mary</t>
  </si>
  <si>
    <t>Critical Teaching Series</t>
  </si>
  <si>
    <t>Mathematics -- Study and teaching (Early childhood) -- Great Britain. ; Mathematics -- Study and teaching (Early childhood). ; Mathematics.</t>
  </si>
  <si>
    <t>Beyond Early Reading</t>
  </si>
  <si>
    <t>Waugh, David;Neaum, Sally</t>
  </si>
  <si>
    <t>LB1139.5</t>
  </si>
  <si>
    <t>Education, Elementary. ; Literacy. ; Reading (Elementary).</t>
  </si>
  <si>
    <t>Culturally Relevant Schools : Creating Positive Workplace Relationships and Preventing Intergroup Differences</t>
  </si>
  <si>
    <t>Madsen, Jean A.;Mabokela, Reitumetse Obakeng</t>
  </si>
  <si>
    <t>LC1099.3.M</t>
  </si>
  <si>
    <t>Introduction to Educational Leadership and Organizational Behavior</t>
  </si>
  <si>
    <t>Chance, Patti</t>
  </si>
  <si>
    <t>LB2805 .C445 2013</t>
  </si>
  <si>
    <t>Educational leadership -- United States. ; Organizational behavior -- United States. ; School management and organization -- United States.</t>
  </si>
  <si>
    <t>School Finance and Teacher Quality : Exploring the Connections</t>
  </si>
  <si>
    <t>Plecki, Margaret L.;Monk, David H.</t>
  </si>
  <si>
    <t>LB2832.2 -- .S36 2013eb</t>
  </si>
  <si>
    <t>Teacher effectiveness -- Economic aspects -- United States. ; Education -- United States -- Finance.</t>
  </si>
  <si>
    <t>Helping Students Graduate : A Strategic Approach to Dropout Prevention</t>
  </si>
  <si>
    <t>Schargel, Franklin;Smink, Jay</t>
  </si>
  <si>
    <t>LC143 .H42 2013</t>
  </si>
  <si>
    <t>Dropouts -- United States -- Prevention. ; Educational change -- United States. ; Motivation in education -- United States. ; School improvement programs -- United States.</t>
  </si>
  <si>
    <t>Promoting Social Skills in the Inclusive Classroom</t>
  </si>
  <si>
    <t>Wilkerson, Kimber L.;Perzigian, Aaron B. T.;Schurr, Jill K.</t>
  </si>
  <si>
    <t>LC1201 -- .W55 2014eb</t>
  </si>
  <si>
    <t>Education. ; Educational psychology. ; Inclusive education -- Social aspects -- United States. ; Social skills -- Study and teaching (Elementary) -- United States.</t>
  </si>
  <si>
    <t>An Architectural Approach to Instructional Design</t>
  </si>
  <si>
    <t>Gibbons, Andrew S.</t>
  </si>
  <si>
    <t>LB1028.38 .G53 2013</t>
  </si>
  <si>
    <t>Contemplative Practices in Higher Education : Powerful Methods to Transform Teaching and Learning</t>
  </si>
  <si>
    <t>Barbezat, Daniel P.;Bush, Mirabai</t>
  </si>
  <si>
    <t>LB1025.2.B37 2014eb</t>
  </si>
  <si>
    <t>Contemplation -- Study and teaching (Higher) ; Education, Higher -- Curricula. ; Meditation -- Study and teaching (Higher)</t>
  </si>
  <si>
    <t>The Relevance of Higher Education : Exploring a Contested Notion</t>
  </si>
  <si>
    <t>Simpson, Timothy;Trepanier, Lee;Fennell, Jon M.;Warnick, Bryan R.;Schwartz, Michael;Willis, Wayne;Johnston, James Scott;Watson, Bradley C. S.;Hail, Michael Wayne;Jividen, Jason R.</t>
  </si>
  <si>
    <t>LB2322.2.R448 2013eb</t>
  </si>
  <si>
    <t>Fostering the Liberal Arts in the 21st-Century Community College : New Directions for Community Colleges, Number 163</t>
  </si>
  <si>
    <t>Kroll, Keith</t>
  </si>
  <si>
    <t>LC1011.F67 2013eb</t>
  </si>
  <si>
    <t>Education, Humanistic. ; Education. ; Liberal arts.</t>
  </si>
  <si>
    <t>BA: An Insider's Guide : An Insider's Guide</t>
  </si>
  <si>
    <t>Auckland University Press</t>
  </si>
  <si>
    <t>Jury, Rebecca</t>
  </si>
  <si>
    <t>LB2395 -- .J87 2012eb</t>
  </si>
  <si>
    <t>Study skills -- Handbooks, manuals, etc. ; College students -- New Zealand -- Life skills guides. ; Bachelor of arts degree -- New Zealand.</t>
  </si>
  <si>
    <t>Educating Muslim Women : The West African Legacy of Nana Asma’u 1793-1864</t>
  </si>
  <si>
    <t>Mack, Beverley;Boyd, Jean</t>
  </si>
  <si>
    <t>LC2412 -- .B69 2013eb</t>
  </si>
  <si>
    <t>Muslim women -- Education. ; Africa, West.</t>
  </si>
  <si>
    <t>The Multigenerational Workplace : Communicate, Collaborate, and Create Community</t>
  </si>
  <si>
    <t>Abrams, Jennifer B.;von Frank, Valerie</t>
  </si>
  <si>
    <t>HD30.3 .A273 2014</t>
  </si>
  <si>
    <t>Communication in management. ; Intergenerational relations. ; Mentoring in business. ; Employees-Training of. ; Diversity in the workplace. ; Supervision of employees.</t>
  </si>
  <si>
    <t>The Common Core, an Uncommon Opportunity : Redesigning Classroom Instruction</t>
  </si>
  <si>
    <t>March, Judith K.;Peters, Karen H.</t>
  </si>
  <si>
    <t>Understanding the Further Education Sector : A Critical Guide to Policies and Practices</t>
  </si>
  <si>
    <t>Wallace, Susan</t>
  </si>
  <si>
    <t>Further Education Series</t>
  </si>
  <si>
    <t>LA183</t>
  </si>
  <si>
    <t>Community colleges. ; Education, Higher -- Social aspects. ; Education, Higher.</t>
  </si>
  <si>
    <t>Academic Profiling : Latinos, Asian Americans, and the Achievement Gap</t>
  </si>
  <si>
    <t>Ochoa, Gilda L.</t>
  </si>
  <si>
    <t>LC212.22.C35 O24 20</t>
  </si>
  <si>
    <t>Academic achievement -- California. ; Asian Americans -- Education -- California. ; Discrimination in education -- California. ; Latin Americans -- Education -- California.</t>
  </si>
  <si>
    <t>Oxford Classics : Teaching and Learning 1800-2000</t>
  </si>
  <si>
    <t>Stray, Christopher;Collard, Christopher;Ellis, Heather;Evangelista, Stefano-Maria;Harrison, Stephen;Hingley, Ronald;Hurst, Isobel;Imholtz, August A.;Millett, Paul;Morwood, James</t>
  </si>
  <si>
    <t>LF509.O94 2007eb</t>
  </si>
  <si>
    <t>University of Oxford -- History. ; Classical education -- History. ; Classical philology -- Study and teaching -- England -- Oxford -- History -- 19th century. ; Classical philology -- Study and teaching -- England -- Oxford -- History -- 20th century. ; Oxford (England) -- Intellectual life.</t>
  </si>
  <si>
    <t>The Evolution of Educational Thought : Lectures on the Formation and Development of Secondary Education in France</t>
  </si>
  <si>
    <t>Durkheim, Emile</t>
  </si>
  <si>
    <t>LA691 .D813</t>
  </si>
  <si>
    <t>Education, Secondary -- France -- History.</t>
  </si>
  <si>
    <t>Early Learning and Development : Cultural-Historical Concepts in Play</t>
  </si>
  <si>
    <t>Fleer, Marilyn;Hedegaard, Mariane</t>
  </si>
  <si>
    <t>LB1139.23.F64 2010eb</t>
  </si>
  <si>
    <t>Writing in the Content Areas</t>
  </si>
  <si>
    <t>Benjamin, Amy</t>
  </si>
  <si>
    <t>LB1631 .B385 2005</t>
  </si>
  <si>
    <t>808/.042/0712</t>
  </si>
  <si>
    <t>English language -- Composition and exercises -- Study and teaching (Secondary) ; Language arts -- Correlation with content subjects.</t>
  </si>
  <si>
    <t>Best Classroom Management Practices for Reaching All Learners : What Award-Winning Classroom Teachers Do</t>
  </si>
  <si>
    <t>LB3011.S766 2005</t>
  </si>
  <si>
    <t>Wedding the Wild Particular</t>
  </si>
  <si>
    <t>Texas Review Press</t>
  </si>
  <si>
    <t>Huntsville</t>
  </si>
  <si>
    <t>Benson, Robert</t>
  </si>
  <si>
    <t>PR143 -- .B46 2012eb</t>
  </si>
  <si>
    <t>814/.6</t>
  </si>
  <si>
    <t>Benson, Robert, -- 1941- ; University of the South -- Faculty. ; English literature -- History and criticism. ; Nature in literature -- Anecdotes. ; Outdoor life in literature -- Anecdotes. ; Wilderness areas in literature -- Anecdotes. ; Literature teachers -- United States.</t>
  </si>
  <si>
    <t>Supporting College and University Students with Invisible Disabilities : A Guide for Faculty and Staff Working with Students with Autism, AD/HD, Language Processing Disorders, Anxiety, and Mental Illness</t>
  </si>
  <si>
    <t>Oslund, Christy</t>
  </si>
  <si>
    <t>LC4818.38.O75 2014eb</t>
  </si>
  <si>
    <t>College students with disabilities. ; People with disabilities -- Education.</t>
  </si>
  <si>
    <t>Developing Skills for Economic Transformation and Social Harmony in China : A Study of Yunnan Province</t>
  </si>
  <si>
    <t>Liang, Xiaoyan;Chen, Shuang</t>
  </si>
  <si>
    <t>LC1047.C6 -- L53 2014eb</t>
  </si>
  <si>
    <t>331.25;331.25920951;331.2592095135</t>
  </si>
  <si>
    <t>Education -- China -- Yunnan Sheng. ; Vocational education -- China -- Yunnan Sheng.</t>
  </si>
  <si>
    <t>L'ancien et le Nouveau : La production du savoir dans líAfrique díaujourdíhui</t>
  </si>
  <si>
    <t>Mankon</t>
  </si>
  <si>
    <t>Hountondji, Paulin J.</t>
  </si>
  <si>
    <t>LA1501 -- .H68 2013eb</t>
  </si>
  <si>
    <t>Death Valley National Park (Calif. and Nev.) -- Description and travel. ; Death Valley National Park (Calif. and Nev.) -- Guidebooks.</t>
  </si>
  <si>
    <t>When Diversity Drops : Race, Religion, and Affirmative Action in Higher Education</t>
  </si>
  <si>
    <t>Park, Julie J.</t>
  </si>
  <si>
    <t>Inter-Varsity Christian Fellowship. ; Minorities-Education (Higher)-United States. ; Affirmative action programs in education-United States. ; Multiculturalism-United States. ; United States-Race relations.</t>
  </si>
  <si>
    <t>Why Public Higher Education Should Be Free : How to Decrease Cost and Increase Quality at American Universities</t>
  </si>
  <si>
    <t>Samuels, Robert</t>
  </si>
  <si>
    <t>Universities and colleges-United States-Finance. ; Educational accountability-United States.</t>
  </si>
  <si>
    <t>Reconstituting the Curriculum</t>
  </si>
  <si>
    <t>Wiley-Scrivener</t>
  </si>
  <si>
    <t>Islam, M. R.;Zatzman, Gary M.;Islam, Jaan S.</t>
  </si>
  <si>
    <t>LB1027.R34 2014eb</t>
  </si>
  <si>
    <t>Montessori : The Australian Story</t>
  </si>
  <si>
    <t>Feez, Susan</t>
  </si>
  <si>
    <t>LB1029.M75 F44 2013</t>
  </si>
  <si>
    <t>Czech Republic -- Economic conditions. ; Czech Republic.</t>
  </si>
  <si>
    <t>EPPP Fundamentals : Review for the Examination for Professional Practice in Psychology</t>
  </si>
  <si>
    <t>Moore, Bret A.;Klee, Anne L.</t>
  </si>
  <si>
    <t>BF75.K54 2014eb</t>
  </si>
  <si>
    <t>Psychology -- Practice -- Examinations, questions, etc</t>
  </si>
  <si>
    <t>Cracking the Common Core : Choosing and Using Texts in Grades 6-12</t>
  </si>
  <si>
    <t>Lewis, William E.;Walpole, Sharon;McKenna, Michael C.;Menzer, Jeffrey;Nagy, Jacob</t>
  </si>
  <si>
    <t>Language arts (Secondary) -- Standards -- United States</t>
  </si>
  <si>
    <t>Children of the Dictatorship : Student Resistance, Cultural Politics and the 'Long 1960s' in Greece</t>
  </si>
  <si>
    <t>Kornetis, Kostis</t>
  </si>
  <si>
    <t>Protest, Culture and Society Series</t>
  </si>
  <si>
    <t>LA788.7 .K67 2013</t>
  </si>
  <si>
    <t>Ethnikon Metsovion Polytechneion (Greece)-Student strike, 1973. ; Student movements-Greece-History-20th century. ; College students-Political activity-Greece-History-20th century. ; Greece-Politics and government-1967-1974. ; Greece-Social conditions-20th century.</t>
  </si>
  <si>
    <t>Instructional Leadership for School Improvement</t>
  </si>
  <si>
    <t>Zepeda, Sally J.</t>
  </si>
  <si>
    <t>LB2822.82 .Z46 2013</t>
  </si>
  <si>
    <t>Educational leadership -- United States. ; School improvement programs -- United States. ; School principals -- United States. ; Teachers -- Training of -- United States.</t>
  </si>
  <si>
    <t>English Students at Leiden University, 1575-1650 : 'Advancing Your Abilities in Learning and Bettering Your Understanding of the World and State Affairs'</t>
  </si>
  <si>
    <t>Prögler, Daniela</t>
  </si>
  <si>
    <t>LF4147 -- .P76 2013eb</t>
  </si>
  <si>
    <t>Rijksuniversiteit te Leiden -- Students -- History -- 16th century. ; Rijksuniversiteit te Leiden -- Students -- History -- 17th century. ; English -- Education (Higher) -- Netherlands -- History -- 16th century. ; English -- Education (Higher) -- Netherlands -- History -- 17th century. ; England -- Relations -- Netherlands. ; Netherlands -- Relations -- England.</t>
  </si>
  <si>
    <t>Reach the Highest Standard in Professional Learning: Learning Communities</t>
  </si>
  <si>
    <t>Hord, Shirley M.;Roy, Patricia A.</t>
  </si>
  <si>
    <t>LB1731.R433 2014</t>
  </si>
  <si>
    <t>Children, Their Schools and What They Learn on Beginning Primary School : English and French Educational Legacies in Cameroon Schools</t>
  </si>
  <si>
    <t>Nana, Genevoix</t>
  </si>
  <si>
    <t>LA1852 -- .N36 2013eb</t>
  </si>
  <si>
    <t>Education, Elementary -- Cameroon. ; Comparative education.</t>
  </si>
  <si>
    <t>School Figures : The Data behind the Debate</t>
  </si>
  <si>
    <t>Skandera, Hanna;Sousa, Richard</t>
  </si>
  <si>
    <t>LB2846 -- .S54 2003eb</t>
  </si>
  <si>
    <t>370/.2/1</t>
  </si>
  <si>
    <t>Education -- United States. ; Educational indicators -- United States.</t>
  </si>
  <si>
    <t>Paul Robert Hanna : A Life of Expanding Communities</t>
  </si>
  <si>
    <t>Stallones, Jared R.</t>
  </si>
  <si>
    <t>Educators - United States - Biography.</t>
  </si>
  <si>
    <t>All Else Equal : Are Public and Private Schools Different?</t>
  </si>
  <si>
    <t>Benveniste, Luis;Carnoy, Martin;Rothstein, Richard</t>
  </si>
  <si>
    <t>LB2806.36 .B43 2013</t>
  </si>
  <si>
    <t>Private schools - United States - California - Case studies</t>
  </si>
  <si>
    <t>Developing Materials for Language Teaching</t>
  </si>
  <si>
    <t>Bloomsbury Publishing UK Textbook 1</t>
  </si>
  <si>
    <t>Tomlinson, Brian</t>
  </si>
  <si>
    <t>P53.15.D48 2013eb</t>
  </si>
  <si>
    <t>Immigrant and Native Black College Students : Social Experiences and Academic Outcomes</t>
  </si>
  <si>
    <t>Thomas, Audrey Alforque</t>
  </si>
  <si>
    <t>LC2781.7 -- .T56 2014eb</t>
  </si>
  <si>
    <t>Business enterprises -- Finance.</t>
  </si>
  <si>
    <t>An Encouragement of Learning</t>
  </si>
  <si>
    <t>Fukuzawa, Yukichi;Dilworth, David;Dilworth, David</t>
  </si>
  <si>
    <t>LB775 -- .F81313 2013eb</t>
  </si>
  <si>
    <t>Education - Japan</t>
  </si>
  <si>
    <t>Civic Education in the Asia-Pacific Region : Case Studies Across Six Societies</t>
  </si>
  <si>
    <t>Cogan, John L.;Print, Murray</t>
  </si>
  <si>
    <t>LC1091 .C5288 2013</t>
  </si>
  <si>
    <t>External Quality Audit : Has It Improved Quality Assurance in Universities?</t>
  </si>
  <si>
    <t>Shah, Mahsood;Nair, Chenicheri Sid</t>
  </si>
  <si>
    <t>Chandos Learning and Teaching Series</t>
  </si>
  <si>
    <t>LB2331.62.E98 2013eb</t>
  </si>
  <si>
    <t>Universities and colleges -- Evaluation</t>
  </si>
  <si>
    <t>The Plugged-In Professor : Tips and Techniques for Teaching with Social Media</t>
  </si>
  <si>
    <t>Ferris, Sharmila;Wilder, Hilary</t>
  </si>
  <si>
    <t>Chandos Publishing Social Media Series</t>
  </si>
  <si>
    <t>LB1044.87.P58 2013eb</t>
  </si>
  <si>
    <t>Supporting Research Writing : Roles and Challenges in Multilingual Settings</t>
  </si>
  <si>
    <t>Witney</t>
  </si>
  <si>
    <t>Chandos Publishing</t>
  </si>
  <si>
    <t>Matarese, Valerie;Matarese, Valerie</t>
  </si>
  <si>
    <t>Chandos Information Professional Series</t>
  </si>
  <si>
    <t>LB2369 -- .S88 2013eb</t>
  </si>
  <si>
    <t>Academic writing -- Study and teaching. ; Authorship -- Study and teaching.</t>
  </si>
  <si>
    <t>Simple Strategies for Teaching Children at Risk, K-5</t>
  </si>
  <si>
    <t>Stormont, Melissa A.;Thomas, Cathy N.</t>
  </si>
  <si>
    <t>LC4801.S79 2014eb</t>
  </si>
  <si>
    <t>Problem children-Education. ; Effective teaching. ; Education, Elementary.</t>
  </si>
  <si>
    <t>The Student Leadership Competencies Guidebook : Designing Intentional Leadership Learning and Development</t>
  </si>
  <si>
    <t>Seemiller, Corey</t>
  </si>
  <si>
    <t>LB3605.S383 2014eb</t>
  </si>
  <si>
    <t>Educational leadership -- Study and teaching (Higher)</t>
  </si>
  <si>
    <t>Navigating Comprehensive School Change</t>
  </si>
  <si>
    <t>Everhart, Robert;Chenoweth, Thomas</t>
  </si>
  <si>
    <t>LB2822.8 .C55 2013</t>
  </si>
  <si>
    <t>School improvement programs -- Handbooks, manuals, etc. ; Educational leadership -- Handbooks, manuals, etc. ; Educational change -- Handbooks, manuals, etc.</t>
  </si>
  <si>
    <t>Developing and Assessing Personal and Social Responsibility in College : New Directions for Higher Education, Number 164</t>
  </si>
  <si>
    <t>Reason, Robert D.</t>
  </si>
  <si>
    <t>LC5215.D484 2013eb</t>
  </si>
  <si>
    <t>Adult education. ; Education. ; Education, Higher.</t>
  </si>
  <si>
    <t>Connecting Animals and Children in Early Childhood</t>
  </si>
  <si>
    <t>Selly, Patty Born;Selly, Patty Born</t>
  </si>
  <si>
    <t>LB1592 -- .S455 2014eb</t>
  </si>
  <si>
    <t>PETS / Reference</t>
  </si>
  <si>
    <t>Motivational Interviewing in Schools : Strategies for Engaging Parents, Teachers, and Students</t>
  </si>
  <si>
    <t>Herman, Keith C.;Reinke, Wendy M.;Frey, Andy J.;Shepard, Stephanie A.</t>
  </si>
  <si>
    <t>LB1027.5.H4367 2014</t>
  </si>
  <si>
    <t>Basic Education beyond the Millennium Development Goals in Ghana : How Equity in Service Delivery Affects Educational and Learning Outcomes</t>
  </si>
  <si>
    <t>Washington DC</t>
  </si>
  <si>
    <t>Balwanz, David;Darvas, Peter;Balwanz, David</t>
  </si>
  <si>
    <t>LC1035.8.G4 -- .D37 2013eb</t>
  </si>
  <si>
    <t>Basic education -- Ghana. ; Education and state -- Ghana. ; Educational assistance -- Ghana. ; Educational change -- Ghana. ; Educational evaluation -- Ghana. ; Educational indicators -- Ghana.</t>
  </si>
  <si>
    <t>Math Know-How : Answers to Your Most Persistent Teaching Issues, Grades 3-5</t>
  </si>
  <si>
    <t>Adams, Thomasenia L.;LaFramenta, Joanne J.</t>
  </si>
  <si>
    <t>QA11.2.A315 2014</t>
  </si>
  <si>
    <t>Banishing Bullying Behavior : Transforming the Culture of Peer Abuse</t>
  </si>
  <si>
    <t>SuEllen Fried, SuEllen;Sosland, Blanche E.</t>
  </si>
  <si>
    <t>LB3013.3.F748 2011</t>
  </si>
  <si>
    <t>Continuing Education in Colleges and Universities: Challenges and Opportunities : New Directions for Adult and Continuing Education, Number 140</t>
  </si>
  <si>
    <t>White, Ronald;DiSilvestro, Frank</t>
  </si>
  <si>
    <t>LC5219.C668 2013eb</t>
  </si>
  <si>
    <t>University extension -- Evaluation. ; Continuing education -- United States -- Evaluation. ; Continuing education -- Evaluation. ; University extension -- United States -- Evaluation.</t>
  </si>
  <si>
    <t>Learning Teaching from Experience : Multiple Perspectives and International Contexts</t>
  </si>
  <si>
    <t>Ellis, Viv;Orchard, Janet</t>
  </si>
  <si>
    <t>LB1707.L43 2014eb</t>
  </si>
  <si>
    <t>Teachers -- Training of.</t>
  </si>
  <si>
    <t>Globalization, Change and Learning in South Asia</t>
  </si>
  <si>
    <t>Khilji, Shaista;Rowley, Chris</t>
  </si>
  <si>
    <t>Chandos Asian Studies Series</t>
  </si>
  <si>
    <t>LC67.S64.G56 2013eb</t>
  </si>
  <si>
    <t>Education -- Economic aspects -- South Asia</t>
  </si>
  <si>
    <t>History in the Early Years</t>
  </si>
  <si>
    <t>Cooper, Hilary.</t>
  </si>
  <si>
    <t>LB1139.5.S64 C66 20</t>
  </si>
  <si>
    <t>372.8/9</t>
  </si>
  <si>
    <t>Negotiating the Self : Identity, Sexuality, and Emotion in Learning to Teach</t>
  </si>
  <si>
    <t>Evans, Kate</t>
  </si>
  <si>
    <t>LB2844.1.G39 E93 20</t>
  </si>
  <si>
    <t>Gay teachers</t>
  </si>
  <si>
    <t>Gifted and Talented Learners : Creating a Policy for Inclusion</t>
  </si>
  <si>
    <t>Hymer, Barry;Michel, Deborah</t>
  </si>
  <si>
    <t>LC3997.G7 H96 2013</t>
  </si>
  <si>
    <t>371.9/5/0941</t>
  </si>
  <si>
    <t>Cultural Foundations of Chinese Education</t>
  </si>
  <si>
    <t>Gu, Mingyuan</t>
  </si>
  <si>
    <t>Brill's Series on Chinese Education Series</t>
  </si>
  <si>
    <t>LB45 .G79 2014</t>
  </si>
  <si>
    <t>Educational anthropology-China. ; Educational sociology-China. ; Education-China.</t>
  </si>
  <si>
    <t>What Every Teacher Needs to Know about Assessment</t>
  </si>
  <si>
    <t>Wilson, Leslie Walker</t>
  </si>
  <si>
    <t>LB3051 .W4997 2013</t>
  </si>
  <si>
    <t>Educational tests and measurements -- United States</t>
  </si>
  <si>
    <t>Flipping Your English Class to Reach All Learners : Strategies and Lesson Plans</t>
  </si>
  <si>
    <t>Cockrum, Troy</t>
  </si>
  <si>
    <t>LB1576 .C5675 2014</t>
  </si>
  <si>
    <t>Language arts (Elementary) - Study and teaching - United States</t>
  </si>
  <si>
    <t>Funding the Future : Philanthropy's Influence on American Higher Education</t>
  </si>
  <si>
    <t>Bernstein, Alison R.</t>
  </si>
  <si>
    <t>LB2336 -- .B47 2014eb</t>
  </si>
  <si>
    <t>Connecting with Students : Strategies for Building Rapport with Urban Learners</t>
  </si>
  <si>
    <t>Higgs, Crystal</t>
  </si>
  <si>
    <t>LC5115 -- .H44 2014eb</t>
  </si>
  <si>
    <t>City children - Education</t>
  </si>
  <si>
    <t>Educating the New Southern Woman : Speech, Writing, and Race at the Public Women's Colleges, 1884-1945</t>
  </si>
  <si>
    <t>Gold, David;Hobbs, Catherine L.</t>
  </si>
  <si>
    <t>Studies in Rhetorics and Feminisms Series</t>
  </si>
  <si>
    <t>LA230</t>
  </si>
  <si>
    <t>Women-Education-Southern States-History. ; English language-Rhetoric-Study and teaching-Southern States-History. ; Report writing-Study and teaching (Higher)-Southern States-History. ; Rhetoric-Southern States-History. ; Education, Higher-Southern States-History.</t>
  </si>
  <si>
    <t>Dyslexia Included : A Whole School Approach</t>
  </si>
  <si>
    <t>LC4708 -- .D975 2013eb</t>
  </si>
  <si>
    <t>Location Writing : Taking Literacy into the Environment</t>
  </si>
  <si>
    <t>Davey, Caroline;Moses, Brian</t>
  </si>
  <si>
    <t>LB1576 .D38 2013</t>
  </si>
  <si>
    <t>English language - Composition and exercises - Study and teaching (Elementary) - Great Britain</t>
  </si>
  <si>
    <t>Support Services and Mainstream Schools : A Guide for Working Together</t>
  </si>
  <si>
    <t>Blamires, Mike;Moore, John</t>
  </si>
  <si>
    <t>LC1203.G7 S86 2013</t>
  </si>
  <si>
    <t>Teacher-Led Development Work : Guidance and Support</t>
  </si>
  <si>
    <t>Frost, David;Durrant, Judy</t>
  </si>
  <si>
    <t>LB2806.45 -- .F76 2013eb</t>
  </si>
  <si>
    <t>Exemplar Methods and Research: Strategies for Investigation : New Directions for Child and Adolescent Development, Number 142</t>
  </si>
  <si>
    <t>Matsuba, M. Kyle;King, Pamela Ebstyne;Bronk, Kendall Cotton</t>
  </si>
  <si>
    <t>BF713.E946 2013eb</t>
  </si>
  <si>
    <t>Developmental psychology -- Research. ; Research -- Methodology. ; Research -- Moral and ethical aspects. ; Environmentalists -- Research. ; Cultural awareness.</t>
  </si>
  <si>
    <t>Creating Successful Multicultural Initiatives in Higher Education and Student Affairs : New Directions for Student Services, Number 144</t>
  </si>
  <si>
    <t>Watt, Sherry K.;Linley, Jodi L.</t>
  </si>
  <si>
    <t>LC5215.C743 2013eb</t>
  </si>
  <si>
    <t>Adult education. ; Education, Higher. ; Education.</t>
  </si>
  <si>
    <t>Allies for Inclusion: Disability and Equity in Higher Education : ASHE Volume 39, Number 5</t>
  </si>
  <si>
    <t>Myers, Karen A.;Jenkins Lindburg, Jaci;Nied, Danielle M.</t>
  </si>
  <si>
    <t>LC4813.M947 2013eb</t>
  </si>
  <si>
    <t>People with disabilities -- Education (Higher) -- United States. ; College students with disabilities -- United States.</t>
  </si>
  <si>
    <t>Leaders of Their Own Learning : Transforming Schools Through Student-Engaged Assessment</t>
  </si>
  <si>
    <t>Berger, Ron;Rugen, Leah;Woodfin, Libby</t>
  </si>
  <si>
    <t>LB2822.75.B425 2014</t>
  </si>
  <si>
    <t>Sportdidaktik und Sportpädagogik : Ein Fachdidaktischer Grundriss</t>
  </si>
  <si>
    <t>Lange, Harald</t>
  </si>
  <si>
    <t>Physical education teachers - Training of</t>
  </si>
  <si>
    <t>Building Schools : Key Issues for Contemporary Design</t>
  </si>
  <si>
    <t>Care, Leo;Evans, Howard;Holder, Anna;Kemp, Claire;Chiles, Prue</t>
  </si>
  <si>
    <t>School buildings -- Design and construction. ; School buildings -- Designs and plans. ; School buildings.</t>
  </si>
  <si>
    <t>Ethics and Research in Inclusive Education : Values into Practice</t>
  </si>
  <si>
    <t>Nind, Melanie;Rix, Jonathan;Sheehy, Kieron;Simmons, Katy</t>
  </si>
  <si>
    <t>LC1200 -- .E84 2005eb</t>
  </si>
  <si>
    <t>371.9/046/072</t>
  </si>
  <si>
    <t>Inclusive education - Research - Moral and ethical aspects</t>
  </si>
  <si>
    <t>Intellectual Disability : An Inability to Cope with an Intellectually Demanding World</t>
  </si>
  <si>
    <t>Whitaker, S.</t>
  </si>
  <si>
    <t>Emerging Perspectives on Disability Studies</t>
  </si>
  <si>
    <t>Wappett, M.;Arndt, K.</t>
  </si>
  <si>
    <t>Foundations of Disability Studies</t>
  </si>
  <si>
    <t>Disability studies</t>
  </si>
  <si>
    <t>Doing the Scholarship of Teaching and Learning, Measuring Systematic Changes to Teaching and Improvements in Learning : New Directions for Teaching and Learning, Number 136</t>
  </si>
  <si>
    <t>Gurung, Regan A. R.;Wilson, Janie H.</t>
  </si>
  <si>
    <t>LB2822.75.D656 2013</t>
  </si>
  <si>
    <t>Educational evaluation. ; Education, Higher -- Research.</t>
  </si>
  <si>
    <t>College Presidents Reflect : Life in and Out of the Ivory Tower</t>
  </si>
  <si>
    <t>LB2341 -- .N457 2014eb</t>
  </si>
  <si>
    <t>378.0092/2</t>
  </si>
  <si>
    <t>College presidents - United States</t>
  </si>
  <si>
    <t>Politics of Anti-Racism Education: in Search of Strategies for Transformative Learning</t>
  </si>
  <si>
    <t>Sefa Dei, George J.;McDermott, Mairi</t>
  </si>
  <si>
    <t>Anti-racism</t>
  </si>
  <si>
    <t>School-Parent Collaborations in Indigenous Communities : Providing Services for Children with Disabilities</t>
  </si>
  <si>
    <t>Manor-Binyamini, Iris</t>
  </si>
  <si>
    <t>LB1027.55</t>
  </si>
  <si>
    <t>Out of the Shadows : The Global Intensification of Supplementary Education</t>
  </si>
  <si>
    <t>Aurini, Janice;Dierkes, Julian;Davies, Scott</t>
  </si>
  <si>
    <t>L7-991</t>
  </si>
  <si>
    <t>After-school programs. ; Tutors and tutoring.</t>
  </si>
  <si>
    <t>A National Developmental and Negotiated Approach to School and Curriculum Evaluation</t>
  </si>
  <si>
    <t>Lai, Mei Kuin;Kushner, Saville</t>
  </si>
  <si>
    <t>Advances in Program Evaluation Series</t>
  </si>
  <si>
    <t>LB2361-2365</t>
  </si>
  <si>
    <t>Educational evaluation.</t>
  </si>
  <si>
    <t>Redesigning Courses for Online Delivery : Design, Interaction, Media and Evaluation</t>
  </si>
  <si>
    <t>Parker, Robyn E.</t>
  </si>
  <si>
    <t>LA173-186</t>
  </si>
  <si>
    <t>Web-based instruction. ; Instructional systems -- Design.</t>
  </si>
  <si>
    <t>Models and Approaches to STEM Professional Development</t>
  </si>
  <si>
    <t>Wojnowski, Brenda;Pea, Celestine</t>
  </si>
  <si>
    <t>Q183.3 .A1 M6659 20</t>
  </si>
  <si>
    <t>Engineering teachers -- Training of -- United States. ; Mathematics teachers -- Training of -- United States. ; Science teachers -- Training of -- United States.</t>
  </si>
  <si>
    <t>Students' Accuracy in Written English Under the Impression of the new "G8" System: A Case Study : A Case Study</t>
  </si>
  <si>
    <t>Schweitzer Fachinformationen</t>
  </si>
  <si>
    <t>Diplomica Verlag</t>
  </si>
  <si>
    <t>Bachelor + Master Publishing</t>
  </si>
  <si>
    <t>Schroeder, Johanna</t>
  </si>
  <si>
    <t>PE1074.7 -- .S376 2013eb</t>
  </si>
  <si>
    <t>English language -- Written English -- Ability testing -- Students.</t>
  </si>
  <si>
    <t>South-South Transfer : A Study of Sino-African Exchanges</t>
  </si>
  <si>
    <t>Gillespie, Sandra</t>
  </si>
  <si>
    <t>East Asia Series</t>
  </si>
  <si>
    <t>LB2376.6.C6 G55 2014</t>
  </si>
  <si>
    <t>Africa</t>
  </si>
  <si>
    <t>The Resource Handbook for Academic Deans</t>
  </si>
  <si>
    <t>Behling, Laura L.;Behling, Laura L.</t>
  </si>
  <si>
    <t>LB2341.R476 2014eb</t>
  </si>
  <si>
    <t>Universities and colleges -- United States -- Administration. ; Deans (Education) -- United States.</t>
  </si>
  <si>
    <t>Education Loan and Inclusive Growth : India in a Comparative Perspective</t>
  </si>
  <si>
    <t>John, Jacob</t>
  </si>
  <si>
    <t>LB2342.2.I4 -- J64 2013eb</t>
  </si>
  <si>
    <t>Universities and colleges -- Finance -- India.</t>
  </si>
  <si>
    <t>Managing Institutions : The Survival of Minban Secondary Schools in Mainland China</t>
  </si>
  <si>
    <t>Wang, Ying</t>
  </si>
  <si>
    <t>LC54.C6 -- W36 2013eb</t>
  </si>
  <si>
    <t>Private schools -- China.</t>
  </si>
  <si>
    <t>Research Journeys : A Collection of Narratives of the Doctoral Experience</t>
  </si>
  <si>
    <t>Lee, Elsa;Seal,  Emma;Blackmore,  Chloe</t>
  </si>
  <si>
    <t>LB2371 -- .R47 2013eb</t>
  </si>
  <si>
    <t>Universities and colleges -- Graduate work. ; Education, Higher -- Research.</t>
  </si>
  <si>
    <t>Building Cultural Bridges in Education</t>
  </si>
  <si>
    <t>Bakić-Mirić, Nataša;Gaipov,  Davronzhon Erkinovich</t>
  </si>
  <si>
    <t>LB14.7 -- .B85 2013eb</t>
  </si>
  <si>
    <t>Education -- Aims and objectives. ; Multicultural education.</t>
  </si>
  <si>
    <t>Exploring Wellbeing in the Early Years</t>
  </si>
  <si>
    <t>Manning-Morton, Julia</t>
  </si>
  <si>
    <t>LB1115.E97 2014eb</t>
  </si>
  <si>
    <t>Child development. ; Child welfare.</t>
  </si>
  <si>
    <t>Lesson Planning for Effective Learning</t>
  </si>
  <si>
    <t>LB1027.4.F38 2013eb</t>
  </si>
  <si>
    <t>Lesson planning. ; Education-Curricula.</t>
  </si>
  <si>
    <t>Facilitating Children's Learning in the EYFS</t>
  </si>
  <si>
    <t>Langston, Ann</t>
  </si>
  <si>
    <t>LB1139.23.L36 2014eb</t>
  </si>
  <si>
    <t>Faith-Based Schools in Latin America : Case Studies on Fe Y Alegria</t>
  </si>
  <si>
    <t>Osorio, Juan Carlos Parra;Wodon, Quentin;World Bank Publications,</t>
  </si>
  <si>
    <t>LC4095.A2 -- F35 2014eb</t>
  </si>
  <si>
    <t>Fe y Alegría (Organization) -- Case studies. ; Jesuits -- Education -- Latin America -- Case studies. ; Poor children -- Education -- Latin America -- Case studies. ; Educational equalization -- Latin America -- Case studies.</t>
  </si>
  <si>
    <t>Teacher Reform in Indonesia : The Role of Politics and Evidence in Policy Making</t>
  </si>
  <si>
    <t>Chang, Mae Chu;Shaeffer, Sheldon;Al-Samarrai, Samer;Ragatz, Andrew B.;De Ree, Joppe;Shaeffer, Sheldon;Stevenson, Richie</t>
  </si>
  <si>
    <t>Directions in Development - Human Development</t>
  </si>
  <si>
    <t>LA1271 -- .A745 2013eb</t>
  </si>
  <si>
    <t>Teachers -- Government policy -- Indonesia. ; Educational change -- Indonesia. ; Education and state -- Indonesia.</t>
  </si>
  <si>
    <t>Popular Culture, Pedagogy and Teacher Education : International Perspectives</t>
  </si>
  <si>
    <t>Benson, Phil;Chik, Alice</t>
  </si>
  <si>
    <t>LB2806.15 .P66 2014</t>
  </si>
  <si>
    <t>EDUCATION / Language Experience Approach</t>
  </si>
  <si>
    <t>Effective Committee Service</t>
  </si>
  <si>
    <t>AS6.S564 1993eb</t>
  </si>
  <si>
    <t>658.4/56</t>
  </si>
  <si>
    <t>General Works/Reference; Business/Management</t>
  </si>
  <si>
    <t>Coping with Faculty Stress</t>
  </si>
  <si>
    <t>Gmelch, Walter H.</t>
  </si>
  <si>
    <t>LB2333.3.G58 1993eb</t>
  </si>
  <si>
    <t>The Women&amp;prime;s Guide to Surviving Graduate School</t>
  </si>
  <si>
    <t>Rittner, Barbara;Trudeau, Patricia A.</t>
  </si>
  <si>
    <t>Surviving Graduate School Series</t>
  </si>
  <si>
    <t>LB2371.4.R58 1997eb</t>
  </si>
  <si>
    <t>Grants, Etc : Originally Published As Grantmanship and Fund Raising</t>
  </si>
  <si>
    <t>Lauffer, Armand</t>
  </si>
  <si>
    <t>HG177.L375 1997eb</t>
  </si>
  <si>
    <t>Surviving Graduate School Part Time</t>
  </si>
  <si>
    <t>Pittman, Von V.</t>
  </si>
  <si>
    <t>LB2371.4.P58 1997eb</t>
  </si>
  <si>
    <t>378.1/55</t>
  </si>
  <si>
    <t>Popular Music, Gender and Postmodernism : Anger Is an Energy</t>
  </si>
  <si>
    <t>Nehring, Neil R.</t>
  </si>
  <si>
    <t>ML3534.N44 1997eb</t>
  </si>
  <si>
    <t>Screwed-Up School Reform : Fixing America's Broken Promise</t>
  </si>
  <si>
    <t>Cooper, Bruce S.;Shear, Richard G.</t>
  </si>
  <si>
    <t>LB2822.82.S438 2012</t>
  </si>
  <si>
    <t>Great Ancient Egypt Projects : You Can Build Yourself</t>
  </si>
  <si>
    <t>Baker &amp; Taylor Publisher Services (BTPS)</t>
  </si>
  <si>
    <t>Nomad Press</t>
  </si>
  <si>
    <t>White River Junction</t>
  </si>
  <si>
    <t>Van Vleet, Carmella</t>
  </si>
  <si>
    <t>Build It Yourself</t>
  </si>
  <si>
    <t>DT61 -- .V35 2006eb</t>
  </si>
  <si>
    <t>Egypt - History - To 640 A.D - Study and teaching - Activity programs</t>
  </si>
  <si>
    <t>History; Fine Arts</t>
  </si>
  <si>
    <t>Educating the Net Generation : How to Engage Students in the 21st Century</t>
  </si>
  <si>
    <t>Santa Monica Press</t>
  </si>
  <si>
    <t>Pletka, Bob</t>
  </si>
  <si>
    <t>LA227.4 -- .P58 2007eb</t>
  </si>
  <si>
    <t>Generation Y -- Education -- United States. ; High school dropouts -- United States. ; High school students -- United States -- Attitudes.</t>
  </si>
  <si>
    <t>Great Colonial America Projects : You Can Build Yourself</t>
  </si>
  <si>
    <t>Bordessa, Kris</t>
  </si>
  <si>
    <t>TT157 -- .B673 2006eb</t>
  </si>
  <si>
    <t>Handicraft - United States</t>
  </si>
  <si>
    <t>Barely There, Powerfully Present : Years of US Policy on International Higher Education</t>
  </si>
  <si>
    <t>Ruther, Nancy L.</t>
  </si>
  <si>
    <t>LC1090 .R88 2014</t>
  </si>
  <si>
    <t>Professional Development in Science Teacher Education : Local Insight with Lessons for the Global Community</t>
  </si>
  <si>
    <t>Fraser-Abder, Pamela</t>
  </si>
  <si>
    <t>Science - Study and</t>
  </si>
  <si>
    <t>Illuminating Enterprise and Entrepreneurship Education</t>
  </si>
  <si>
    <t>Matlay, Harry;McCracken, Martin;Harte, Vicky</t>
  </si>
  <si>
    <t>Education + Training : Volume 55, Issue 8/9</t>
  </si>
  <si>
    <t>HB615 -- .I45 2013eb</t>
  </si>
  <si>
    <t>Entrepreneurship -- Study and teaching. ; Technical education. ; Technical education -- Great Britain. ; Business and education. ; Education.</t>
  </si>
  <si>
    <t>Innovative Practices in Undergraduate Business Education Abroad</t>
  </si>
  <si>
    <t>Elliott, Chris Wilcox;Orahood, Tammy</t>
  </si>
  <si>
    <t>Journal of International Education in Business: Volume 6, Issue 2</t>
  </si>
  <si>
    <t>HD62.4 -- .I56 2013eb</t>
  </si>
  <si>
    <t>300;657.071</t>
  </si>
  <si>
    <t>International business enterprises -- Study and teaching. ; Business education -- Study and teaching. ; International education.</t>
  </si>
  <si>
    <t>Business/Management; Social Science</t>
  </si>
  <si>
    <t>Searching for Excellence in Islamic Studies : A South East Asia Perspective</t>
  </si>
  <si>
    <t>Hardaker, Glenn;Raja-Yusof, Raja-Jamilah;Grine, Fadila</t>
  </si>
  <si>
    <t>Multicultural Education &amp; Technology Journal: Volume 7, Issue 4</t>
  </si>
  <si>
    <t>BP42 -- .S43 2013eb</t>
  </si>
  <si>
    <t>Islam -- Research. ; Islam -- Southeast Asia. ; Islamic art. ; Islam -- Religious life.</t>
  </si>
  <si>
    <t>Religion; History</t>
  </si>
  <si>
    <t>The Principal : Three Keys to Maximizing Impact</t>
  </si>
  <si>
    <t>LB2813.9.F85 2014eb</t>
  </si>
  <si>
    <t>School principals. ; Educational leadership. ; Educational change. ; Educational innovations. ; School management and organization.</t>
  </si>
  <si>
    <t>What Lies Ahead for America's Children and Their Schools</t>
  </si>
  <si>
    <t>Education Next Books</t>
  </si>
  <si>
    <t>Finn, Jr., Chester E.;Sousa, Richard</t>
  </si>
  <si>
    <t>LA219 -- .W438 2014eb</t>
  </si>
  <si>
    <t>Education, Elementary -- Standards -- United States. ; Education -- United States. ; Public schools -- United States.</t>
  </si>
  <si>
    <t>An Improbable Life : My Sixty Years at Columbia and Other Adventures</t>
  </si>
  <si>
    <t>Sovern, Michael;Mondale, Walter;Bollinger, Lee</t>
  </si>
  <si>
    <t>LD1239 -- .S68 2014eb</t>
  </si>
  <si>
    <t>Sovern, Michael I. ; Columbia University -- Presidents -- Biography. ; Columbia University -- History. ; College presidents -- United States -- Biography.</t>
  </si>
  <si>
    <t>Religion in Secular Education : What, in Heaven's Name, Are We Teaching Our Children?</t>
  </si>
  <si>
    <t>Byrne, Cathy</t>
  </si>
  <si>
    <t>International Studies in Religion and Society Series</t>
  </si>
  <si>
    <t>LC107.B976 2014eb</t>
  </si>
  <si>
    <t>379.2/8</t>
  </si>
  <si>
    <t>Religion in the public schools-Cross-cultural studies. ; Religion in the public schools-Australia. ; Church and state.</t>
  </si>
  <si>
    <t>The Student Leadership Challenge : Five Practices for Becoming an Exemplary Leader</t>
  </si>
  <si>
    <t>Kouzes, James M.;Posner, Barry Z.</t>
  </si>
  <si>
    <t>LB2346.K689 2014eb</t>
  </si>
  <si>
    <t>College student government. ; Leadership.</t>
  </si>
  <si>
    <t>Implement, Improve and Expand Your Statewide Longitudinal Data System : Creating a Culture of Data in Education</t>
  </si>
  <si>
    <t>McQuiggan, Jamie;Sapp, Armistead W.</t>
  </si>
  <si>
    <t>Wiley and SAS Business Series</t>
  </si>
  <si>
    <t>LB2846.M3994 2014</t>
  </si>
  <si>
    <t>Educational statistics--Computer programs. ; Longitudinal method--Data processing. ; BUSINESS &amp; ECONOMICS / Decision-Making &amp; Problem Solving. bisacsh.</t>
  </si>
  <si>
    <t>Education Attainment in Public Administration Around the World : Evidence from a New Dataset</t>
  </si>
  <si>
    <t>International Monetary Fund</t>
  </si>
  <si>
    <t>INTERNATIONAL MONETARY FUND</t>
  </si>
  <si>
    <t>Arezki, Rabah;Lui, Herbert;Quintyn, Marc</t>
  </si>
  <si>
    <t>IMF Working Papers</t>
  </si>
  <si>
    <t>LC191 -- .A74 2012eb</t>
  </si>
  <si>
    <t>300;332.1</t>
  </si>
  <si>
    <t>Education. ; Educational attainment.</t>
  </si>
  <si>
    <t>Social Science; Education; Economics</t>
  </si>
  <si>
    <t>To Teach in Ancient Israel : A Cognitive Linguistic Study of a Biblical Hebrew Lexical Set</t>
  </si>
  <si>
    <t>Widder, Wendy L.</t>
  </si>
  <si>
    <t>Beihefte Zur Zeitschrift Für Die Alttestamentliche Wissenschaft Series</t>
  </si>
  <si>
    <t>LA47 -- .W53 2014eb</t>
  </si>
  <si>
    <t>Jews -- Education -- History -- To 70 A.D. ; Education -- Philosophy -- History -- To 70 A.D. ; Teaching -- Philosophy -- History -- To 70 A.D.</t>
  </si>
  <si>
    <t>The Project Approach in Early Years Provision : A practical guide to promoting children's creativity and critical thinking through project work</t>
  </si>
  <si>
    <t>Sargent, Marianne</t>
  </si>
  <si>
    <t>LB1140.22 -- .S27 2011eb</t>
  </si>
  <si>
    <t>370.15/4;372.19</t>
  </si>
  <si>
    <t>Education, Preschool -- Curricula. ; Project method in teaching.</t>
  </si>
  <si>
    <t>Immigrant Children Negotiate School : The Border in Our Hearts</t>
  </si>
  <si>
    <t>Vukelich-Selva, Donna</t>
  </si>
  <si>
    <t>LC2670 -- .V854 2014eb</t>
  </si>
  <si>
    <t>Latin Americans -- Education -- United States. ; Latin American students -- United States -- Social conditions. ; Immigrant children -- Education -- United States. ; Immigrant children -- United States -- Social conditions.</t>
  </si>
  <si>
    <t>Nonviolence and Education : Cross-Cultural Pathways</t>
  </si>
  <si>
    <t>Wang, Hongyu</t>
  </si>
  <si>
    <t>HM1281 .W35 2014</t>
  </si>
  <si>
    <t>Nonviolence -- Cross-cultural studies. ; Education -- Curricula -- Cross-cultural studies.</t>
  </si>
  <si>
    <t>School Social Workers in the Multicultural Environment : New Roles, Responsibilities, and Educational Enrichment</t>
  </si>
  <si>
    <t>Keys, Paul R.</t>
  </si>
  <si>
    <t>HV11 .S3815 2014</t>
  </si>
  <si>
    <t>Multiculturalism -</t>
  </si>
  <si>
    <t>Turning the Tide : The University of Alabama in The 1960s</t>
  </si>
  <si>
    <t>Tilford, Earl H.;Drake, Jack</t>
  </si>
  <si>
    <t>University of Alabama-History-20th century. ; College integration-Alabama-History-20th century. ; Civil rights movements-Alabama-History-20th century. ; African Americans-Civil rights-Alabama-History-20th century.</t>
  </si>
  <si>
    <t>Smart but Stuck : Emotions in Teens and Adults with ADHD</t>
  </si>
  <si>
    <t>Brown, Thomas E.</t>
  </si>
  <si>
    <t>Attention-deficit disorder in adolescence. ; Attention-deficit disorder in adults. ; Emotions.</t>
  </si>
  <si>
    <t>The College Completion Agenda: Practical Approaches for Reaching the Big Goal : New Directions for Community Colleges, Number 164</t>
  </si>
  <si>
    <t>Phillips, Brad C.;Horowitz, Jordan E.</t>
  </si>
  <si>
    <t>LB2343.32 -- .C65 2014eb</t>
  </si>
  <si>
    <t>College student orientation -- United States. ; Educational attainment -- United States. ; Education, Higher -- United States. ; Universities and colleges -- United States.</t>
  </si>
  <si>
    <t>Counterrevolution and Repression in the Politics of Education : At the Midnight of Dissent</t>
  </si>
  <si>
    <t>Walsh, Sean Noah</t>
  </si>
  <si>
    <t>LC71 -- .W26 2014eb</t>
  </si>
  <si>
    <t>Education - Political aspects</t>
  </si>
  <si>
    <t>Urban Teaching in America : Theory, Research, and Practice in K-12 Classrooms</t>
  </si>
  <si>
    <t>Stairs, Andrea J. (Jo);Donnell, Kelly A.;Dunn, Alyssa H. (Hadley)</t>
  </si>
  <si>
    <t>LC5119.8 .S83 2012</t>
  </si>
  <si>
    <t>Education, Urban-United States-Research. ; Teachers-Training of-United States. ; Urban schools-United States. ; Teaching-Social aspects-United States.</t>
  </si>
  <si>
    <t>Readings for Reflective Teaching in Schools</t>
  </si>
  <si>
    <t>Pollard, Andrew;Pollard, Amy</t>
  </si>
  <si>
    <t>Reflective Teaching Series</t>
  </si>
  <si>
    <t>LB1027 .H427 2014</t>
  </si>
  <si>
    <t>The Expert Learner</t>
  </si>
  <si>
    <t>Stobart, Gordon</t>
  </si>
  <si>
    <t>Learning, Psychology of. ; Educational tests and measurements.</t>
  </si>
  <si>
    <t>A to Z of Inclusion in Early Childhood</t>
  </si>
  <si>
    <t>Dickins, Mary</t>
  </si>
  <si>
    <t>LC4019.2 .A96 2014</t>
  </si>
  <si>
    <t>Children with disabilities-Education (Preschool)-United States. ; Early childhood education-United States. ; Mainstreaming in education-United States. ; Children with disabilities-Development-United States. ; Special education-United States. ; Inclusive education-United States.</t>
  </si>
  <si>
    <t>Education in Sub-Saharan Africa : Comparing Faith-Inspired, Private Secular, and Public Schools</t>
  </si>
  <si>
    <t>Wodon, Quentin</t>
  </si>
  <si>
    <t>LA1501 -- .W64 2014eb</t>
  </si>
  <si>
    <t>Education -- Africa, Sub-Saharan. ; Education and state -- Africa, Sub-Saharan. ; Education -- Africa, Sub-Saharan -- Statistics.</t>
  </si>
  <si>
    <t>Innovations in Improving Access to Higher Education : New Directions for Youth Development, Number 140</t>
  </si>
  <si>
    <t>Schneider, Barbara;Judy, Justina</t>
  </si>
  <si>
    <t>LB2351.2 -- .I56 2014eb</t>
  </si>
  <si>
    <t>College preparation programs -- Research -- United States.</t>
  </si>
  <si>
    <t>Teaching the Common Core Math Standards with Hands-On Activities, Grades 3-5</t>
  </si>
  <si>
    <t>Muschla, Judith A.;Muschla, Gary R.;Muschla-Berry, Erin</t>
  </si>
  <si>
    <t>Education, Elementary -- Curricula -- Standards -- United States</t>
  </si>
  <si>
    <t>How Teachers Can Turn Data into Action</t>
  </si>
  <si>
    <t>Resource Allocation</t>
  </si>
  <si>
    <t>Norton, Scott M.;Kelly, Larry</t>
  </si>
  <si>
    <t>LB2805 .N73 2014</t>
  </si>
  <si>
    <t>The Student Loan Mess : How Good Intentions Created a Trillion-Dollar Problem</t>
  </si>
  <si>
    <t>Best, Joel;Best, Eric</t>
  </si>
  <si>
    <t>Student loans -- United States. ; Student loans -- Government policy -- United States. ; College graduates -- United States -- Finance, Personal.</t>
  </si>
  <si>
    <t>The Influence of Fraternity and Sorority Involvement: a Critical Analysis of Research (1996 - 2013) : AEHE Volume 39, Number 6</t>
  </si>
  <si>
    <t>Biddix, J. Patrick;Matney, Malinda M.;Norman, Eric M.;Martin, Georgianna L.</t>
  </si>
  <si>
    <t>LJ141 -- .I545 2014eb</t>
  </si>
  <si>
    <t>Greek letter societies -- Research -- Evaluation.</t>
  </si>
  <si>
    <t>Leading in a Culture of Change Personal Action Guide and Workbook</t>
  </si>
  <si>
    <t>Educational change. ; Educational leadership. ; School management and organization.</t>
  </si>
  <si>
    <t>Education in Modern China</t>
  </si>
  <si>
    <t>Price, R. F.</t>
  </si>
  <si>
    <t>LA1131.82 .P74 2014</t>
  </si>
  <si>
    <t>370/.951</t>
  </si>
  <si>
    <t>Education -- China -- History -- 20th century.</t>
  </si>
  <si>
    <t>Teamwork in the Management of Emotional and Behavioural Difficulties : Developing Peer Support Systems for Teachers in Mainstream and Special Schools</t>
  </si>
  <si>
    <t>Hill, Fran;Parsons, Lynne</t>
  </si>
  <si>
    <t>LC4803.G7 H55 2014</t>
  </si>
  <si>
    <t>Case Book of Brief Psychotherapy with College Students</t>
  </si>
  <si>
    <t>Whitaker, Leighton;Cooper, Stewart;Archer Jr, James;Cooper, Stewart E.;Archer, James , Jr.;Whitaker, Leighton C.</t>
  </si>
  <si>
    <t>RC451.4.S7 C37 2014</t>
  </si>
  <si>
    <t>College students -- Mental health. ; Brief psychotherapy. ; Brief psychotherapy for teenagers.</t>
  </si>
  <si>
    <t>Self – Concept, Learning Styles, Study Habits and Academic Achievement of Adolescents in Kashmir: A study on Psychological variables and academic achievement of adolescents in Kashmir : A study on Psychological variables and academic achievement of adolescents in Kashmir</t>
  </si>
  <si>
    <t>Anchor Academic Publishing</t>
  </si>
  <si>
    <t>Shazia, Siraj</t>
  </si>
  <si>
    <t>LB1060 -- .Z374 2014eb</t>
  </si>
  <si>
    <t>Learning, Psychology of -- Germany. ; Study skills -- Germany.</t>
  </si>
  <si>
    <t>What are the Effects of Cultural Traditions on the Education of women? (The Study of the Tumbuka People of Zambia)</t>
  </si>
  <si>
    <t>Mushibwe, Christine Phiri</t>
  </si>
  <si>
    <t>LA1596 -- .M874 2014eb</t>
  </si>
  <si>
    <t>Education -- Zambia -- History.</t>
  </si>
  <si>
    <t>What Every Teacher Should Know about Diverse Learners</t>
  </si>
  <si>
    <t>LC1099.3.T554 2010</t>
  </si>
  <si>
    <t>The Best of Corwin: Differentiated Instruction</t>
  </si>
  <si>
    <t>LB1031.B53 2011</t>
  </si>
  <si>
    <t>Essentials of Planning, Selecting, and Tailoring Interventions for Unique Learners</t>
  </si>
  <si>
    <t>Mascolo, Jennifer T.;Alfonso, Vincent C.;Flanagan, Dawn P.</t>
  </si>
  <si>
    <t>Developing and Delivering Adult Degree Programs : New Directions for Adult and Continuing Education, Number 103</t>
  </si>
  <si>
    <t>Pappas, James P.;Jerman, Jerry</t>
  </si>
  <si>
    <t>LC5215 -- .D484 2004eb</t>
  </si>
  <si>
    <t>Adult education. ; Continuing education. ; Degrees, Academic.</t>
  </si>
  <si>
    <t>Opera Scenes for Class and Stage</t>
  </si>
  <si>
    <t>Wallace, Mary Elaine;Wallace, Robert</t>
  </si>
  <si>
    <t>MT955</t>
  </si>
  <si>
    <t>1821-1827, Nachträge</t>
  </si>
  <si>
    <t>Horlacher, Rebekka.;Tröhler, Daniel.</t>
  </si>
  <si>
    <t>LC71 -- .S268 2015eb</t>
  </si>
  <si>
    <t>Education and state. ; Educational planning.</t>
  </si>
  <si>
    <t>The Implementation of Inclusive Education in Beijing : Exorcizing the Haunting Specter of Meritocracy</t>
  </si>
  <si>
    <t>Yu, Kai</t>
  </si>
  <si>
    <t>LC1203.C6.Y9 2014eb</t>
  </si>
  <si>
    <t>Beijing (China) -- Politics and government</t>
  </si>
  <si>
    <t>Schools for Conflict or for Peace in Afghanistan</t>
  </si>
  <si>
    <t>Burde, Dana</t>
  </si>
  <si>
    <t>LA1081 -- .B87 2014eb</t>
  </si>
  <si>
    <t>Education and state - Afghanistan</t>
  </si>
  <si>
    <t>Eight Myths of Student Disengagement : Creating Classrooms of Deep Learning</t>
  </si>
  <si>
    <t>Fredricks, Jennifer Ann</t>
  </si>
  <si>
    <t>LB1065.F723 2014</t>
  </si>
  <si>
    <t>The Environmental Toolkit for Teachers : First Steps to Sustainability</t>
  </si>
  <si>
    <t>Fraser, Neil</t>
  </si>
  <si>
    <t>LB2805 -- .F737 2014eb</t>
  </si>
  <si>
    <t>School management and organization. ; Environmental management. ; Environmental education.</t>
  </si>
  <si>
    <t>Full Potential GMAT Sentence Correction Intensive</t>
  </si>
  <si>
    <t>Sapir, Bara;Van Hoek, Professor Karen</t>
  </si>
  <si>
    <t>LB3060.32.C65 -- .S27 2014eb</t>
  </si>
  <si>
    <t>Computer adaptive testing -- Study guides. ; Graduate Management Admission Test -- Study guides. ; Management -- Study and teaching (Graduate) ; Management -- United States -- Examinations, questions, etc.</t>
  </si>
  <si>
    <t>Minority Education in China : Balancing Unity and Diversity in an Era of Critical Pluralism</t>
  </si>
  <si>
    <t>Leibold, James;Chen, Yangbin</t>
  </si>
  <si>
    <t>LC3737.C6 -- .M566 2014eb</t>
  </si>
  <si>
    <t>Minorities -- Education -- China. ; Education, Bilingual -- China.</t>
  </si>
  <si>
    <t>Values in Education</t>
  </si>
  <si>
    <t>LC314.G7.H39 2006eb</t>
  </si>
  <si>
    <t>Developing a Questionnaire</t>
  </si>
  <si>
    <t>Real World Research Series</t>
  </si>
  <si>
    <t>H61 -- .G55125 2007eb</t>
  </si>
  <si>
    <t>Questionnaires. ; Research -- Methodology.</t>
  </si>
  <si>
    <t>The Right to Childhoods : Critical Perspectives on Rights, Difference and Knowledge in a Transient World</t>
  </si>
  <si>
    <t>HQ767.9$b.H39 2011</t>
  </si>
  <si>
    <t>Children's rights</t>
  </si>
  <si>
    <t>Powerful Classroom Stories from Accomplished Teachers</t>
  </si>
  <si>
    <t>Mack-Kirschner, Adrienne M.</t>
  </si>
  <si>
    <t>LB1025.3.M</t>
  </si>
  <si>
    <t>School Leaders Building Capacity from Within : Resolving Competing Agendas Creatively</t>
  </si>
  <si>
    <t>Burrello, Leonard C.;Hoffman, Lauren;Murray, Lynn</t>
  </si>
  <si>
    <t>LB2822.82.</t>
  </si>
  <si>
    <t>Inequality, Poverty, Education : A Political Economy of School Exclusion</t>
  </si>
  <si>
    <t>Ashurst, F.</t>
  </si>
  <si>
    <t>Trust Matters : Leadership for Successful Schools</t>
  </si>
  <si>
    <t>Tschannen-Moran, Megan</t>
  </si>
  <si>
    <t>LB2806.4</t>
  </si>
  <si>
    <t>School supervision--United States--Case studies. ; Teacher-principal relationships--United States--Case studies. ; Educational leadership--United States--Case studies. ; EDUCATION / Administration / General. bisacsh.</t>
  </si>
  <si>
    <t>Being an Effective Mentor : How to Help Beginning Teachers Succeed</t>
  </si>
  <si>
    <t>Jonson, Kathleen F.</t>
  </si>
  <si>
    <t>LB1731.4.J66 2008eb</t>
  </si>
  <si>
    <t>Mentoring in education-United States-Handbooks, manuals, etc. ; First year teachers-Training of-United States-Handbooks, manuals, etc.</t>
  </si>
  <si>
    <t>Designing Assessment for Mathematics</t>
  </si>
  <si>
    <t>Depka, Eileen M.</t>
  </si>
  <si>
    <t>QA135.6.D475 2007</t>
  </si>
  <si>
    <t>Small Schools and Urban Youth : Using the Power of School Culture to Engage Students</t>
  </si>
  <si>
    <t>Conchas, Gilberto Q.;Rodriguez, Louie F.</t>
  </si>
  <si>
    <t>LC5133.O15.C66 2008</t>
  </si>
  <si>
    <t>The Reflective School Counselor&amp;prime;s Guide to Practitioner Research : Skills and Strategies for Successful Inquiry</t>
  </si>
  <si>
    <t>Brooks-McNamara, Vicki;Torres, Danielle</t>
  </si>
  <si>
    <t>LB1027.5.B735 2008</t>
  </si>
  <si>
    <t>Strategies and Lessons for Improving Basic Early Literacy Skills</t>
  </si>
  <si>
    <t>Algozzine, Bob;Marr, Mary Beth;McClanahan, Tina A.;Barnes, Emma McGee</t>
  </si>
  <si>
    <t>LB1573.S887 2008</t>
  </si>
  <si>
    <t>The Principal&amp;prime;s Guide to Afterschool Programs, K-8 : Extending Student Learning Opportunities</t>
  </si>
  <si>
    <t>Lockwood, Anne Turnbaugh</t>
  </si>
  <si>
    <t>LC34.4.L63 2007</t>
  </si>
  <si>
    <t>Special Education Eligibility : A Step-By-Step Guide for Educators</t>
  </si>
  <si>
    <t>A Reflective Planning Journal for School Leaders : With Insights and Tips from Award-Winning Principals</t>
  </si>
  <si>
    <t>Jorgenson, Olaf</t>
  </si>
  <si>
    <t>LB2805.J67 2008</t>
  </si>
  <si>
    <t>Education for a Knowledge Society in Arabian Gulf Countries</t>
  </si>
  <si>
    <t>Wiseman, Alexander W.;Alromi, Naif H.;Alshumrani, Saleh A.</t>
  </si>
  <si>
    <t>Labor supply -- Effect of education on -- Persian Gulf Region</t>
  </si>
  <si>
    <t>Theory and Method in Higher Education Research II</t>
  </si>
  <si>
    <t>Fostering Learner Independence : An Essential Guide for K-6 Educators</t>
  </si>
  <si>
    <t>Rose-Duckworth, Roxann;Ramer, Karin</t>
  </si>
  <si>
    <t>LB1027.23.R674 2009</t>
  </si>
  <si>
    <t>Strategies for Teaching Whole Number Computation : Using Error Analysis for Intervention and Assessment</t>
  </si>
  <si>
    <t>QA135.6.S568 2010</t>
  </si>
  <si>
    <t>Empowering Young Voices for the Planet</t>
  </si>
  <si>
    <t>Cherry, Lynne;Texley, Juliana;Lyons, Suzanne E.</t>
  </si>
  <si>
    <t>QC903.C4285 2014</t>
  </si>
  <si>
    <t>Environmental Studies; Science: Physics; Science</t>
  </si>
  <si>
    <t>Data-Driven Leadership</t>
  </si>
  <si>
    <t>Datnow, Amanda;Park, Vicki</t>
  </si>
  <si>
    <t>Educational leadership. ; School improvement programs -- Data processing.</t>
  </si>
  <si>
    <t>Engaging Students As Partners in Learning and Teaching : A Guide for Faculty</t>
  </si>
  <si>
    <t>Cook-Sather, Alison;Bovill, Catherine;Felten, Peter</t>
  </si>
  <si>
    <t>What Successful Literacy Teachers Do : 70 Research-Based Strategies for Teachers, Reading Coaches, and Instructional Planners</t>
  </si>
  <si>
    <t>Glasgow, Neal A.;Farrell, Thomas S. C.</t>
  </si>
  <si>
    <t>LB1050.G56 2007</t>
  </si>
  <si>
    <t>Literacy Projects for Student-Centered Classrooms : Tips and Lessons to Engage Students</t>
  </si>
  <si>
    <t>Hickman, Karrell</t>
  </si>
  <si>
    <t>LB1631.H49 2007</t>
  </si>
  <si>
    <t>Brain-Compatible Learning for the Block</t>
  </si>
  <si>
    <t>Williams, R. Bruce;Dunn, Steven E.</t>
  </si>
  <si>
    <t>LB3032.2.W55 2008</t>
  </si>
  <si>
    <t>Writing a Successful Thesis or Dissertation : Tips and Strategies for Students in the Social and Behavioral Sciences</t>
  </si>
  <si>
    <t>Lunenburg, Fred C.;Irby, Beverly J.</t>
  </si>
  <si>
    <t>LB2369.L814 2008eb</t>
  </si>
  <si>
    <t>Data-Enhanced Leadership</t>
  </si>
  <si>
    <t>LB2806.D265 2010</t>
  </si>
  <si>
    <t>371.20028/5</t>
  </si>
  <si>
    <t>What Teachers Should Know but Textbooks Don&amp;prime;t Show</t>
  </si>
  <si>
    <t>Erbes, Stella</t>
  </si>
  <si>
    <t>LB2844.1.N4.E73 2008</t>
  </si>
  <si>
    <t>Literacy for Young Children : A Guide for Early Childhood Educators</t>
  </si>
  <si>
    <t>Griffith, Priscilla L.;Beach, Sara Ann;Ruan, Jiening;Dunn, A. Loraine</t>
  </si>
  <si>
    <t>LB1140.5.L3.G75 200</t>
  </si>
  <si>
    <t>Grin and Share It! : More Laugh Lines for Educators</t>
  </si>
  <si>
    <t>Hodges, Diane</t>
  </si>
  <si>
    <t>LA23.H624 2008</t>
  </si>
  <si>
    <t>371.1002/07</t>
  </si>
  <si>
    <t>What Every Teacher Should Know about Learning, Memory, and the Brain</t>
  </si>
  <si>
    <t>LB1060 \.T</t>
  </si>
  <si>
    <t>Improving Achievement in Low-Performing Schools : Key Results for School Leaders</t>
  </si>
  <si>
    <t>Ward, Randolph E.;Burke, Mary Ann</t>
  </si>
  <si>
    <t>LB2822.8 .W27 2004</t>
  </si>
  <si>
    <t>School improvement programs. ; Academic achievement. ; Educational leadership.</t>
  </si>
  <si>
    <t>Leading for Social Justice : Transforming Schools for All Learners</t>
  </si>
  <si>
    <t>Frattura, Elise M.;Capper, Colleen A.</t>
  </si>
  <si>
    <t>LC1201.F73 2007</t>
  </si>
  <si>
    <t>100 Frequently Asked Questions about the Special Education Process : A Step-By-Step Guide for Educators</t>
  </si>
  <si>
    <t>Strategies for Successful Classroom Management : Helping Students Succeed Without Losing Your Dignity or Sanity</t>
  </si>
  <si>
    <t>Mendler, Brian D.;Curwin, Richard L.;Mendler, Allen N.</t>
  </si>
  <si>
    <t>LB3012.M462 2008eb</t>
  </si>
  <si>
    <t>Jump-Start the Adult Learner : How to Engage and Motivate Adults Using Brain-Compatible Strategies</t>
  </si>
  <si>
    <t>Materna, Laurie E.</t>
  </si>
  <si>
    <t>LC5225.L42M365 2007</t>
  </si>
  <si>
    <t>What Every Teacher Should Know about Effective Teaching Strategies</t>
  </si>
  <si>
    <t>Cultivating and Keeping Committed Special Education Teachers : What Principals and District Leaders Can Do</t>
  </si>
  <si>
    <t>Billingsley, Bonnie S.</t>
  </si>
  <si>
    <t>LC4019.8.B</t>
  </si>
  <si>
    <t>Finding the Story Behind the Numbers : A Tool-Based Guide for Evaluating Educational Programs</t>
  </si>
  <si>
    <t>Cox, James B.</t>
  </si>
  <si>
    <t>LB2822.75 .C69 2007</t>
  </si>
  <si>
    <t>Educational evaluation-United States.</t>
  </si>
  <si>
    <t>Motivation to Learn : Transforming Classroom Culture to Support Student Achievement</t>
  </si>
  <si>
    <t>Middleton, Michael J.;Perks, Kevin</t>
  </si>
  <si>
    <t>LB1065.M45 2014</t>
  </si>
  <si>
    <t>Facilitator&amp;prime;s Guide to More Inclusion Strategies That Work!</t>
  </si>
  <si>
    <t>LC4814</t>
  </si>
  <si>
    <t>Engaging Imagination : Helping Students Become Creative and Reflective Thinkers</t>
  </si>
  <si>
    <t>James, Al;Brookfield, Stephen D.</t>
  </si>
  <si>
    <t>Creative thinking -- Study and teaching</t>
  </si>
  <si>
    <t>Essentials of ADHD Assessment for Children and Adolescents</t>
  </si>
  <si>
    <t>Sparrow, Elizabeth P.;Erhardt, Drew;Kaufman, Alan S.;Kaufman, Nadeen L.</t>
  </si>
  <si>
    <t>Attention-deficit-disordered children. ; Attention-deficit disorder in adolescence. ; Attention-deficit-disordered children -- Psychological testing. ; Attention-deficit disorder in adolescence -- Diagnosis.</t>
  </si>
  <si>
    <t>Common Core Literacy for ELA, History/Social Studies, and the Humanities : Strategies to Deepen Content Knowledge (Grades 6-12)</t>
  </si>
  <si>
    <t>McKnight, Katherine S.</t>
  </si>
  <si>
    <t>Content area reading -- Study and teaching (Secondary) -- United States -- Standards. ; Language arts (Secondary) -- United States -- Standards.</t>
  </si>
  <si>
    <t>Ten Traits of Highly Effective Schools : Raising the Achievement Bar for All Students</t>
  </si>
  <si>
    <t>LB1025.3.M3556 2009</t>
  </si>
  <si>
    <t>40 Ways to Support Struggling Readers in Content Classrooms, Grades 6-12</t>
  </si>
  <si>
    <t>LB1632.M347 2007eb</t>
  </si>
  <si>
    <t>Leadership for Literacy : Research-Based Practice, PreK-3</t>
  </si>
  <si>
    <t>LB1139.5.R</t>
  </si>
  <si>
    <t>Speaking of Fourth Grade : What Listening to Kids Tells Us about School in America</t>
  </si>
  <si>
    <t>Schaenen</t>
  </si>
  <si>
    <t>LB1571 4th -- .S33 2014eb</t>
  </si>
  <si>
    <t>School children - Missouri</t>
  </si>
  <si>
    <t>Engaging Minds in Science and Math Classrooms : The Surprising Power of Joy</t>
  </si>
  <si>
    <t>Brunsell, Eric;Fleming, Michelle A.;Opitz, Michael F.;Ford, Michael P.</t>
  </si>
  <si>
    <t>LB1585 .B786 2014</t>
  </si>
  <si>
    <t>Science-Study and teaching (Elementary) ; Mathematics-Study and teaching (Elementary) ; Science-Study and teaching (Middle school) ; Mathematics-Study and teaching (Middle school)</t>
  </si>
  <si>
    <t>Engaging Minds in Social Studies Classrooms : The Surprising Power of Joy</t>
  </si>
  <si>
    <t>Erekson, James A.;Opitz, Michael F.;Ford, Michael P.</t>
  </si>
  <si>
    <t>LB1584 E745 2014</t>
  </si>
  <si>
    <t>Social sciences-Study and teaching. ; Social science teachers-Training of. ; Motivation in education. ; Effective teaching.</t>
  </si>
  <si>
    <t>Engaging Minds in English Language Arts Classrooms : The Surprising Power of Joy</t>
  </si>
  <si>
    <t>Fresch, Mary Jo;Opitz, Michael F.;Ford, Michael P.</t>
  </si>
  <si>
    <t>LB1576 .F733 2014</t>
  </si>
  <si>
    <t>Language arts-Psychological aspects. ; Motivation in education. ; Effective teaching.</t>
  </si>
  <si>
    <t>Teacher Mentoring and Induction : The State of the Art and Beyond</t>
  </si>
  <si>
    <t>LB1731.4.T</t>
  </si>
  <si>
    <t>370/.71/55</t>
  </si>
  <si>
    <t>Teacher Leadership : Improving Teaching and Learning from Inside the Classroom</t>
  </si>
  <si>
    <t>LB1025.3.W52 2007</t>
  </si>
  <si>
    <t>Promoting Positive Behaviors : An Elementary Principal's Guide to Structuring the Learning Environment</t>
  </si>
  <si>
    <t>LB3012.2.Y68 2008</t>
  </si>
  <si>
    <t>Reaching Out : A K-8 Resource for Connecting Families and Schools</t>
  </si>
  <si>
    <t>Kyle, Diane W.;McIntyre, Ellen;Miller, Karen Buckingham;Moore, Gayle H.</t>
  </si>
  <si>
    <t>LB1048.5.R</t>
  </si>
  <si>
    <t>Standards-Based Instruction and Assessment for English Language Learners</t>
  </si>
  <si>
    <t>Lachat, Mary Ann</t>
  </si>
  <si>
    <t>LC3731.L33</t>
  </si>
  <si>
    <t>Helping Teachers Learn : Principal Leadership for Adult Growth and Development</t>
  </si>
  <si>
    <t>Drago-Severson, Eleanor</t>
  </si>
  <si>
    <t>LB2831.92</t>
  </si>
  <si>
    <t>371.2/012/0973</t>
  </si>
  <si>
    <t>What Every Teacher Should Know about the Profession and Politics of Teaching</t>
  </si>
  <si>
    <t>LB1775.2.T</t>
  </si>
  <si>
    <t>Handbook of Instructional Leadership : How Successful Principals Promote Teaching and Learning</t>
  </si>
  <si>
    <t>Blase, Rebajo R.;Blase, Joseph</t>
  </si>
  <si>
    <t>LB2806.4.B</t>
  </si>
  <si>
    <t>Strategies and Resources for Teaching and Learning in Inclusive Classrooms</t>
  </si>
  <si>
    <t>Gardner, Paul</t>
  </si>
  <si>
    <t>LC1203.G7 G37 2014</t>
  </si>
  <si>
    <t>Learning strategies</t>
  </si>
  <si>
    <t>The Moral Dimensions of Teaching : Language, Power, and Culture in Classroom Interaction</t>
  </si>
  <si>
    <t>Buzzelli, Cary;Johnston, Bill</t>
  </si>
  <si>
    <t>LB1027 .B89 2014</t>
  </si>
  <si>
    <t>Ourselves</t>
  </si>
  <si>
    <t>Shelbourne, Helen</t>
  </si>
  <si>
    <t>Exploring Play Series</t>
  </si>
  <si>
    <t>LB1140.35 .C74 S54</t>
  </si>
  <si>
    <t>Social skills -- Study and teaching (Preschool) -- Activity programs -- Great Britain</t>
  </si>
  <si>
    <t>Behavior Psychology in the Schools : Innovations in Evaluation, Support, and Consultation</t>
  </si>
  <si>
    <t>Luiselli, James K.;Diament, Charles</t>
  </si>
  <si>
    <t>LB1027.55 .B44 2014</t>
  </si>
  <si>
    <t>370.15/3</t>
  </si>
  <si>
    <t>School psychology. ; Behavioral assessment.</t>
  </si>
  <si>
    <t>Play Using Natural Materials</t>
  </si>
  <si>
    <t>Howe, Alison</t>
  </si>
  <si>
    <t>Ready, Steady, Play! Series</t>
  </si>
  <si>
    <t>LB1139.35.P55 H6 20</t>
  </si>
  <si>
    <t>Early childhood education -- Great Britain. ; Play.</t>
  </si>
  <si>
    <t>Designs for Learning : A New Architecture for Professional Development in Schools</t>
  </si>
  <si>
    <t>Bredeson, Paul V.</t>
  </si>
  <si>
    <t>LB1731.B72</t>
  </si>
  <si>
    <t>370/.71/5</t>
  </si>
  <si>
    <t>Identification of Students for Gifted and Talented Programs</t>
  </si>
  <si>
    <t>Renzulli, Joseph S.;Reis, Sally M.</t>
  </si>
  <si>
    <t>Essential Readings in Gifted Education Series</t>
  </si>
  <si>
    <t>LC3993.9.I</t>
  </si>
  <si>
    <t>A Look at Transfer : Seven Strategies That Work</t>
  </si>
  <si>
    <t>Fogarty, Robin J.;Pete, Brian Mitchell</t>
  </si>
  <si>
    <t>In a Nutshell Series</t>
  </si>
  <si>
    <t>LB1059.F642 2004</t>
  </si>
  <si>
    <t>The State of the College Union: Contemporary Issues and Trends : New Directions for Student Services, Number 145</t>
  </si>
  <si>
    <t>Tamara Yakaboski;De Sawal, Danielle M.</t>
  </si>
  <si>
    <t>LB3640.S738 2014eb</t>
  </si>
  <si>
    <t>Education. ; Student services. ; Student unions.</t>
  </si>
  <si>
    <t>Language Skills : Traditions, Transitions and Ways Forward</t>
  </si>
  <si>
    <t>Chodkiewicz, Halina;Trepczyńska,  Magdalena</t>
  </si>
  <si>
    <t>LB1576 -- .L364 2014eb</t>
  </si>
  <si>
    <t>Language arts. ; Language and languages -- Study and teaching.</t>
  </si>
  <si>
    <t>Student Power! The Radical Days of the English Universities : The Radical Days of the English Universities</t>
  </si>
  <si>
    <t>Hanna, Esmée Sinéad</t>
  </si>
  <si>
    <t>LB3610 -- .H366 2013eb</t>
  </si>
  <si>
    <t>College students -- Political activity -- England -- 20th century. ; Student movements -- North America. ; Student movements.</t>
  </si>
  <si>
    <t>Education and Continuous Education</t>
  </si>
  <si>
    <t>Raţă, Georgeta;Runcan,  Patricia-Luciana;Runcan, Patricia-Luciana</t>
  </si>
  <si>
    <t>LC5209 -- .E383 2014eb</t>
  </si>
  <si>
    <t>Adult education -- Congresses. ; Education. ; Educational technology -- Congresses.</t>
  </si>
  <si>
    <t>Effectiveness of School Leadership and Management Development in Cameroon : A Guide for Educational Systems, Schools and School Leaders</t>
  </si>
  <si>
    <t>Ashu, Frederick Ebot</t>
  </si>
  <si>
    <t>LB41 -- .E344 2014eb</t>
  </si>
  <si>
    <t>Education. ; Educational systems. ; School management.</t>
  </si>
  <si>
    <t>Leading for the Future</t>
  </si>
  <si>
    <t>Lambert, Steve</t>
  </si>
  <si>
    <t>LB2341 -- .L363 2014eb</t>
  </si>
  <si>
    <t>Education, Higher -- Administration. ; Educational leadership. ; Universities and colleges -- Administration.</t>
  </si>
  <si>
    <t>Strong Starts, Supported Transitions and Student Success</t>
  </si>
  <si>
    <t>Funston, Andrew;Gil,  Miguel;Gilmore,  Gwen;Funston, Andrew;Gil, Miguel</t>
  </si>
  <si>
    <t>LB2325 -- .S776 2014eb</t>
  </si>
  <si>
    <t>Universities and colleges. ; Education. ; Education, Higher.</t>
  </si>
  <si>
    <t>The Teacher of the 21st Century : Quality Education for Quality Teaching</t>
  </si>
  <si>
    <t>Daniela, Linda;Luka,  Ineta;Rutka,  Lūcija;Zogla, Irena;Daniela, Linda;Luka, Ineta</t>
  </si>
  <si>
    <t>LB2325 -- .T433 2014eb</t>
  </si>
  <si>
    <t>Education, Higher. ; Education. ; Educational technology.</t>
  </si>
  <si>
    <t>African American Women Educators : A Critical Examination of Their Pedagogies, Educational Ideas, and Activism from the Nineteenth to the Mid-Twentieth Century</t>
  </si>
  <si>
    <t>Johnson, Karen A.;Pitre, Abul;Johnson, Kenneth L.</t>
  </si>
  <si>
    <t>Critical Black Pedagogy in Education Series</t>
  </si>
  <si>
    <t>LA2311 -- .A375 2014eb</t>
  </si>
  <si>
    <t>African American women educators -- History</t>
  </si>
  <si>
    <t>Mindful Learning : 101 Proven Strategies for Student and Teacher Success</t>
  </si>
  <si>
    <t>Campbell, Linda M.;Campbell, Bruce</t>
  </si>
  <si>
    <t>LB1025.3.C34 2009</t>
  </si>
  <si>
    <t>Confident Communication : Speaking Tips for Educators</t>
  </si>
  <si>
    <t>Parker, Douglas A.</t>
  </si>
  <si>
    <t>LB1033.5.P</t>
  </si>
  <si>
    <t>808.5/1/02437</t>
  </si>
  <si>
    <t>Seven Steps to Effective Instructional Leadership</t>
  </si>
  <si>
    <t>LB2831.662.M34 2003</t>
  </si>
  <si>
    <t>Developing Highly Qualified Teachers : A Handbook for School Leaders</t>
  </si>
  <si>
    <t>Glatthorn, Allan A.;Jones, Brenda K.;Bullock, Ann Adams</t>
  </si>
  <si>
    <t>LB2832.2.G53 2006</t>
  </si>
  <si>
    <t>Seven Strategies of Highly Effective Readers : Using Cognitive Research to Boost K-8 Achievement</t>
  </si>
  <si>
    <t>LB1181.2.M32 2004</t>
  </si>
  <si>
    <t>What Every Parent Should Know about Schools, Standards, and High Stakes Tests</t>
  </si>
  <si>
    <t>LB3060.83.</t>
  </si>
  <si>
    <t>Transformational Leadership and Decision Making in Schools</t>
  </si>
  <si>
    <t>Brower, Robert E.;Balch, Bradley V.</t>
  </si>
  <si>
    <t>Data! Dialogue! Decisions! : The Data Difference</t>
  </si>
  <si>
    <t>Pete, Brian Mitchell;Duncan, Catherine A.</t>
  </si>
  <si>
    <t>LB2822.8.P48 2004</t>
  </si>
  <si>
    <t>Teach More and Discipline Less : Preventing Problem Behaviors in the K-6 Classroom</t>
  </si>
  <si>
    <t>Reider, Barbara</t>
  </si>
  <si>
    <t>LB3011.R39 2005</t>
  </si>
  <si>
    <t>Curriculum Design for Writing Instruction : Creating Standards-Based Lesson Plans and Rubrics</t>
  </si>
  <si>
    <t>Twice-Exceptional and Special Populations of Gifted Students</t>
  </si>
  <si>
    <t>Baum, Susan Marcia;Reis, Sally M.</t>
  </si>
  <si>
    <t>LC3993.9.T</t>
  </si>
  <si>
    <t>Close the Achievement Gap : Simple Strategies That Work</t>
  </si>
  <si>
    <t>Pete, Brian Mitchell;Fogarty, Robin J.</t>
  </si>
  <si>
    <t>LC4091 .P475 2005</t>
  </si>
  <si>
    <t>The Adult Learner : Some Things We Know</t>
  </si>
  <si>
    <t>LC5219.F57 2004</t>
  </si>
  <si>
    <t>Understanding How Students Learn : A Guide for Instructional Leaders</t>
  </si>
  <si>
    <t>Murphy, P. Karen;Alexander, Patricia A.</t>
  </si>
  <si>
    <t>LB1060.M87</t>
  </si>
  <si>
    <t>Mentoring Principals : Frameworks, Agendas, Tips, and Case Stories for Mentors and Mentees</t>
  </si>
  <si>
    <t>Young, Paul G.;Sheets, Jeromey M.;Knight, Dustin D.</t>
  </si>
  <si>
    <t>LB2831.9.Y</t>
  </si>
  <si>
    <t>How to Survive and Thrive in the First Three Weeks of School</t>
  </si>
  <si>
    <t>LB1025.3 .M3553 2006</t>
  </si>
  <si>
    <t>Teaching. ; School year-Planning.</t>
  </si>
  <si>
    <t>What Successful Math Teachers Do, Grades PreK-5 : 47 Research-Based Strategies for the Standards-Based Classroom</t>
  </si>
  <si>
    <t>Wall, Edward S.;Posamentier, Alfred S.</t>
  </si>
  <si>
    <t>QA13 .W345 2007</t>
  </si>
  <si>
    <t>Mathematics-Study and teaching (Primary)-Standards-United States.</t>
  </si>
  <si>
    <t>Backstage Pass for Trainers, Facilitators, and Public Speakers : Your Guide to Successful Presentations</t>
  </si>
  <si>
    <t>Jones, Susan J.</t>
  </si>
  <si>
    <t>PN4129.15.</t>
  </si>
  <si>
    <t>808.5/1</t>
  </si>
  <si>
    <t>Curriculum Mapping for Differentiated Instruction, K-8</t>
  </si>
  <si>
    <t>Langa, Michelle A.;Yost, Janice L.</t>
  </si>
  <si>
    <t>LB2806.15 .L36 2007</t>
  </si>
  <si>
    <t>Teacher participation in curriculum planning-United States. ; Individualized instruction-United States.</t>
  </si>
  <si>
    <t>Everything I Need to Know about Teaching ... They Forgot to Tell Me!</t>
  </si>
  <si>
    <t>Jarvis, Stacey;Algozzine, Bob</t>
  </si>
  <si>
    <t>LB2844.1.N4 .J378 2006</t>
  </si>
  <si>
    <t>First year teachers. ; Teacher effectiveness. ; Effective teaching.</t>
  </si>
  <si>
    <t>Best Practices of Award-Winning Secondary School Principals</t>
  </si>
  <si>
    <t>LB2831.92 .H3617 2006</t>
  </si>
  <si>
    <t>373.12/012</t>
  </si>
  <si>
    <t>High school principals-United States-Case studies. ; High schools-United States-Administration-Case studies. ; School improvement programs-United States-Case studies. ; Educational leadership-United States-Case studies.</t>
  </si>
  <si>
    <t>Reaching and Teaching Middle School Learners : Asking Students to Show Us What Works</t>
  </si>
  <si>
    <t>Bishop, Penny A.;Pflaum, Susanna W.</t>
  </si>
  <si>
    <t>LB1623.5.B</t>
  </si>
  <si>
    <t>Breaking the Learning Barrier for Underachieving Students : Practical Teaching Strategies for Dramatic Results</t>
  </si>
  <si>
    <t>Nelson, George D.</t>
  </si>
  <si>
    <t>LC4691.N45 2006eb</t>
  </si>
  <si>
    <t>What Every Principal Should Know about Instructional Leadership</t>
  </si>
  <si>
    <t>Glanz, Jeffrey G.</t>
  </si>
  <si>
    <t>LB2806.4.G</t>
  </si>
  <si>
    <t>What Every Principal Should Know about Operational Leadership</t>
  </si>
  <si>
    <t>Educating for Wisdom and Compassion : Creating Conditions for Timeless Learning</t>
  </si>
  <si>
    <t>Miller, John P.</t>
  </si>
  <si>
    <t>Teachers Versus the Public : What Americans Think about Schools and How to Fix Them</t>
  </si>
  <si>
    <t>Peterson, Paul E.;Henderson, Michael;West, Martin R.</t>
  </si>
  <si>
    <t>LA230.P48 2014eb</t>
  </si>
  <si>
    <t>Schools - United States - Public opinion</t>
  </si>
  <si>
    <t>Education Policy and Equal Opportunity in Japan</t>
  </si>
  <si>
    <t>Okada, Akito</t>
  </si>
  <si>
    <t>Asia-Pacific Studies: Past and Present Series</t>
  </si>
  <si>
    <t>LA1312.O4145 2011</t>
  </si>
  <si>
    <t>Educational planning--Japan. ; Educational equalization--Japan. ; Education and state--Japan.</t>
  </si>
  <si>
    <t>Principal Induction : A Standards-Based Model for Administrator Development</t>
  </si>
  <si>
    <t>LB1738.5.W</t>
  </si>
  <si>
    <t>371.2/012/07155</t>
  </si>
  <si>
    <t>The Big Book of Special Education Resources</t>
  </si>
  <si>
    <t>Giuliani, George A.;Pierangelo, Roger</t>
  </si>
  <si>
    <t>LC3965 .G538 2006</t>
  </si>
  <si>
    <t>025.06/3719</t>
  </si>
  <si>
    <t>Special education-Computer network resources. ; Special education-Directories.</t>
  </si>
  <si>
    <t>Evidence-Based Practices and Programs for Early Childhood Care and Education</t>
  </si>
  <si>
    <t>Groark, Christina J.;Mehaffie, Kelly E.;McCall, Robert B.;Greenberg, Mark T.</t>
  </si>
  <si>
    <t>LB1139.23 .E89 2007</t>
  </si>
  <si>
    <t>Early childhood education. ; Child care.</t>
  </si>
  <si>
    <t>The Spiritual Dimension of Leadership : 8 Key Principles to Leading More Effectively</t>
  </si>
  <si>
    <t>Houston, Paul D.;Sokolow, Stephen L.</t>
  </si>
  <si>
    <t>BL325.L4 .H68 2006</t>
  </si>
  <si>
    <t>Leadership-Religious aspects. ; Teaching-Religious aspects. ; Religion in the public schools.</t>
  </si>
  <si>
    <t>The Portable Dissertation Advisor</t>
  </si>
  <si>
    <t>Bryant, Miles T.</t>
  </si>
  <si>
    <t>LB1742.B79</t>
  </si>
  <si>
    <t>Becoming a Better Science Teacher : 8 Steps to High Quality Instruction and Student Achievement</t>
  </si>
  <si>
    <t>Q181 .H147 2006</t>
  </si>
  <si>
    <t>Science-Study and teaching. ; Curriculum planning. ; Mathematics-Study and teaching-Standards. ; Science teachers-Training of.</t>
  </si>
  <si>
    <t>Nine Best Practices That Make the Difference</t>
  </si>
  <si>
    <t>LB1027 .P3877 2003</t>
  </si>
  <si>
    <t>Taming of the Team : How Great Teams Work Together</t>
  </si>
  <si>
    <t>Incentive Publications</t>
  </si>
  <si>
    <t>Berckemeyer, Jack</t>
  </si>
  <si>
    <t>LB1032 -- .B47 2013eb</t>
  </si>
  <si>
    <t>Team learning approach in education.</t>
  </si>
  <si>
    <t>Studies on the Teaching of Asian Languages in the 21st Century</t>
  </si>
  <si>
    <t>Küçükler, Ali;İçen, Hüseyin;Erdemir, A Volkan;Kucukler, Ali</t>
  </si>
  <si>
    <t>LB41 -- .S78 2014eb</t>
  </si>
  <si>
    <t>Education. ; Multicultural education. ; Teaching.</t>
  </si>
  <si>
    <t>Responsible Classroom Management, Grades K-5 : A Schoolwide Plan</t>
  </si>
  <si>
    <t>LB1555.Q44 2010</t>
  </si>
  <si>
    <t>Health Problems in the Classroom 6-12 : An a-Z Reference Guide for Educators</t>
  </si>
  <si>
    <t>Huffman, Dolores M.;Fontaine, Karen Lee;Price, Bernadette K.</t>
  </si>
  <si>
    <t>LB3409.U5</t>
  </si>
  <si>
    <t>Staying on Track : An Educational Leader&amp;prime;s Guide to Preventing Derailment and Ensuring Personal and Organizational Success</t>
  </si>
  <si>
    <t>Brubaker, Dale L.;Coble, Larry D.</t>
  </si>
  <si>
    <t>LB1777.5 .B783 2007</t>
  </si>
  <si>
    <t>School management and organization-Vocational guidance-United States. ; School administrators-Employment-United States. ; Career development-United States. ; Educational leadership-United States.</t>
  </si>
  <si>
    <t>Integrating Environmental Print Across the Curriculum, PreK-3 : Making Literacy Instruction Meaningful</t>
  </si>
  <si>
    <t>Kirkland, Lynn;Aldridge, Jerry;Kuby, Patricia</t>
  </si>
  <si>
    <t>LB1139.5.L35 .K57 2007</t>
  </si>
  <si>
    <t>Language arts (Early childhood) ; Early childhood education-Activity programs. ; Interdisciplinary approach in education.</t>
  </si>
  <si>
    <t>Service Learning : A Guide to Planning, Implementing, and Assessing Student Projects</t>
  </si>
  <si>
    <t>Berman, Sally</t>
  </si>
  <si>
    <t>LC220.5.B476 2006</t>
  </si>
  <si>
    <t>Mentoring Novice Teachers : Fostering a Dialogue Process</t>
  </si>
  <si>
    <t>Pitton, Debra Eckerman</t>
  </si>
  <si>
    <t>LB1731.4 .P57 2006</t>
  </si>
  <si>
    <t>Mentoring in education. ; First year teachers.</t>
  </si>
  <si>
    <t>More Than 50 Ways to Build Team Consensus</t>
  </si>
  <si>
    <t>Williams, R. Bruce</t>
  </si>
  <si>
    <t>HD66 .W54 2007</t>
  </si>
  <si>
    <t>658.4/022</t>
  </si>
  <si>
    <t>Teams in the workplace. ; Group decision making. ; Consensus (Social sciences)</t>
  </si>
  <si>
    <t>How to Teach Adults : Plan Your Class, Teach Your Students, Change the World, Expanded Edition</t>
  </si>
  <si>
    <t>Spalding, Dan</t>
  </si>
  <si>
    <t>LC5225.T4.S67 2014eb</t>
  </si>
  <si>
    <t>Adult education -- Study and teaching -- United States</t>
  </si>
  <si>
    <t>Financial Literacy and Adult Education : New Directions for Adult and Continuing Education, Number 141</t>
  </si>
  <si>
    <t>Forté, Karin Sprow;Taylor, Edward W.;Tisdell, Elizabeth J.;Forté, Karin Sprow</t>
  </si>
  <si>
    <t>HG179.F56 2014eb</t>
  </si>
  <si>
    <t>Education. ; Finance, Personal -- Mathematics. ; Financial literacy -- Study and teaching (Secondary). ; Financial literacy.</t>
  </si>
  <si>
    <t>Writing Useful, Accessible, and Legally Defensible Psychoeducational Reports</t>
  </si>
  <si>
    <t>Hass, Michael;Carriere, Jeanne Anne</t>
  </si>
  <si>
    <t>LC4019.H384 2014eb</t>
  </si>
  <si>
    <t>Children with disabilities -- Education -- Evaluation. ; Individualized education programs. ; Report writing.</t>
  </si>
  <si>
    <t>Active Learning Spaces : New Directions for Teaching and Learning, Number 137</t>
  </si>
  <si>
    <t>Baepler, Paul;Brooks, D. Christopher;Walker, J. D.</t>
  </si>
  <si>
    <t>LB1027.2.A285 2014eb</t>
  </si>
  <si>
    <t>Active learning -- Study and teaching (Higher). ; Active learning -- United States -- Case studies. ; Education, Higher --Effect of technological innovations on. ; Educational technology..</t>
  </si>
  <si>
    <t>Strengthening Community Colleges Through Institutional Collaborations : New Directions for Community Colleges, Number 165</t>
  </si>
  <si>
    <t>Roggow, Michael J.</t>
  </si>
  <si>
    <t>LB2328.R644 2014eb</t>
  </si>
  <si>
    <t>Community colleges -- Administration. ; Community colleges -- Case studies. ; Community colleges -- Planning.</t>
  </si>
  <si>
    <t>Asian Americans in Higher Education: Charting New Realities : AEHE Volume 40, Number 1</t>
  </si>
  <si>
    <t>Pak, Yoon K.;Maramba, Dina C.;Hernandez, Xavier J.</t>
  </si>
  <si>
    <t>LC2633.6.P35 2014eb</t>
  </si>
  <si>
    <t>Asian American college students -- Research. ; Asian American college students. ; Asian Americans -- Education (Higher) -- Research. ; Education (Higher) -- Research.</t>
  </si>
  <si>
    <t>Strengths-Based Counseling with at-Risk Youth</t>
  </si>
  <si>
    <t>Ungar, Michael</t>
  </si>
  <si>
    <t>616.89/00835</t>
  </si>
  <si>
    <t>Working with Families and Community Agencies to Support Students with Special Needs : A Practical Guide for Every Teacher</t>
  </si>
  <si>
    <t>Ysseldyke, James E.;Algozzine, Bob</t>
  </si>
  <si>
    <t>LC4015 .Y77 2006</t>
  </si>
  <si>
    <t>Children with disabilities-Education. ; Children with disabilities-Services for. ; Special education-Parent participation.</t>
  </si>
  <si>
    <t>Uncovering Student Ideas in Physical Science : 39 New Electricity and Magnetism Formative Assessment Probes</t>
  </si>
  <si>
    <t>Brunsell, Eric;Deb, Kneser</t>
  </si>
  <si>
    <t>QC73.6</t>
  </si>
  <si>
    <t>507.1/273</t>
  </si>
  <si>
    <t>Educational evaluation. ; Electricity. ; Force and energy -- Study and teaching. ; Magnetism. ; Motion -- Study and teaching.</t>
  </si>
  <si>
    <t>Science; Science: Physics; Science: General</t>
  </si>
  <si>
    <t>Social Efficiency and Instrumentalism in Education : Critical Essays in Ontology, Phenomenology, and Philosophical Hermeneutics</t>
  </si>
  <si>
    <t>Magrini, James M.</t>
  </si>
  <si>
    <t>JC423 .S863 2014</t>
  </si>
  <si>
    <t>Education -- Curricula -- Philosophy. ; Education -- Social aspects. ; Ontology.</t>
  </si>
  <si>
    <t>Build the Brain the Common Core Way</t>
  </si>
  <si>
    <t>LB1775.2.N48 2014</t>
  </si>
  <si>
    <t>Maori and Pasifika Higher Education Horizons</t>
  </si>
  <si>
    <t>Tuagalu, Clark;Cram, Fiona;Phillips, Hazel;Sauni, Pale</t>
  </si>
  <si>
    <t>LC1099-1099.5</t>
  </si>
  <si>
    <t>Higher education and state -- New Zealand</t>
  </si>
  <si>
    <t>Performance Management for School Improvement : A Practical Guide for Secondary Schools</t>
  </si>
  <si>
    <t>LB2822.84.G7 J66 20</t>
  </si>
  <si>
    <t>373.12/00941</t>
  </si>
  <si>
    <t>The Politics of Youth, Sex, and Health Care in American Schools</t>
  </si>
  <si>
    <t>Feit, Marvin D.;Rienzo, Barbara A.;Rienzo, Barbara A</t>
  </si>
  <si>
    <t>LB3409.U5 B88 2014</t>
  </si>
  <si>
    <t>School health services -- Political aspects -- United States -- Case studies. ; Sex instruction for youth -- Political aspects -- United States -- Case studies.</t>
  </si>
  <si>
    <t>Governance Reconsidered : How Boards, Presidents, Administrators, and Faculty Can Help Their Colleges Thrive</t>
  </si>
  <si>
    <t>Pierce, Susan R.;Trachtenberg, Stephen</t>
  </si>
  <si>
    <t>LB2341.P537 2014eb</t>
  </si>
  <si>
    <t>Universities and colleges -- United States -- Administration.</t>
  </si>
  <si>
    <t>Education and Training 14-19 : Chaos or Coherence?</t>
  </si>
  <si>
    <t>Halsall, Rob;Cockett, Michael</t>
  </si>
  <si>
    <t>LA635 .E287 2014</t>
  </si>
  <si>
    <t>Vocational education</t>
  </si>
  <si>
    <t>Enabling Access</t>
  </si>
  <si>
    <t>Carpenter, Barry;Stevens, Chris;Bovair, Keith;Ashdown, Rob</t>
  </si>
  <si>
    <t>LC4706.G7 E53 2014</t>
  </si>
  <si>
    <t>Chartered Schools : Two Hundred Years of Independent Academies in the United States, 1727-1925</t>
  </si>
  <si>
    <t>Beadie, Nancy;Tolley, Kim</t>
  </si>
  <si>
    <t>LC49 .C47 2014</t>
  </si>
  <si>
    <t>Private schools -- United States -- History.</t>
  </si>
  <si>
    <t>Early Learning Goals for Children with Special Needs : Learning Through Play</t>
  </si>
  <si>
    <t>LC3965 -- .D75 2013eb</t>
  </si>
  <si>
    <t>Activity programs</t>
  </si>
  <si>
    <t>Access to Citizenship : Curriculum Planning and Practical Activities for Pupils with Learning Difficulties</t>
  </si>
  <si>
    <t>Fergusson, Ann;Lawson, Hazel</t>
  </si>
  <si>
    <t>LC1091 -- .F47 2013eb</t>
  </si>
  <si>
    <t>371.9/044832/0941</t>
  </si>
  <si>
    <t>The Common Core Coaching Book : Strategies to Help Teachers Address the K-5 ELA Standards</t>
  </si>
  <si>
    <t>Elish-Piper, Laurie;L'Allier, Susan K.</t>
  </si>
  <si>
    <t>Language arts (Elementary) -- Activity programs -- United States</t>
  </si>
  <si>
    <t>The Emerging Principalship</t>
  </si>
  <si>
    <t>Skrla, Linda;Erlandson, David A.;Reed, Eileen</t>
  </si>
  <si>
    <t>LB2831.92 .E43 2014</t>
  </si>
  <si>
    <t>School principals -- United States. ; School management and organization -- United States. ; Educational leadership -- United States.</t>
  </si>
  <si>
    <t>Teacher's Skills Tests for Dummies</t>
  </si>
  <si>
    <t>Beveridge, Colin;Green, Andrew</t>
  </si>
  <si>
    <t>LB1762.B48 2014eb</t>
  </si>
  <si>
    <t>Teachers -- Certification</t>
  </si>
  <si>
    <t>Pedagogy of Solidarity</t>
  </si>
  <si>
    <t>Freire, Paulo;Freire, Ana Maria Araújo;de Oliveira, Walter;Giroux, Henry A.</t>
  </si>
  <si>
    <t>Qualitative Inquiry and Social Justice Series</t>
  </si>
  <si>
    <t>LC196 -- .F738 2014eb</t>
  </si>
  <si>
    <t>SOCIAL SCIENCE / Methodology</t>
  </si>
  <si>
    <t>Asian donors and changing landscape of International Educational Cooperation : Exploring Uniqueness and Diversity</t>
  </si>
  <si>
    <t>Gilchrist, Gail;Hughes, Liz;Chan, Sheng-Ju</t>
  </si>
  <si>
    <t>Asian Education and Development Studies: Volume 3, Issue 1</t>
  </si>
  <si>
    <t>3, 1</t>
  </si>
  <si>
    <t>LC2605 -- .A85 2014eb</t>
  </si>
  <si>
    <t>Education -- Developing countries. ; Educational cooperation -- Developing countries.</t>
  </si>
  <si>
    <t>Education Management and Administration in China</t>
  </si>
  <si>
    <t>Rae, David;Jones, Paul;Tunstall, Richard</t>
  </si>
  <si>
    <t>International Journal of Educational Management: Volume 28, Issue 3</t>
  </si>
  <si>
    <t>28, 3</t>
  </si>
  <si>
    <t>LB2341.8.C6 -- .E38 2014eb</t>
  </si>
  <si>
    <t>Universities and colleges -- China -- Administration. ; Education, Higher -- China -- History -- 20th century.</t>
  </si>
  <si>
    <t>How Universities Can Help Create a Wiser World : The Urgent Need for an Academic Revolution</t>
  </si>
  <si>
    <t>Maxwell, Nicholas</t>
  </si>
  <si>
    <t>Societas</t>
  </si>
  <si>
    <t>LC189 -- .M399 2014eb</t>
  </si>
  <si>
    <t>Education, Higher -- Social aspects. ; Educational sociology. ; Universities and colleges -- Sociological aspects.</t>
  </si>
  <si>
    <t>Las Cinco tareas diarias : Promoción de la independencia en alfabetización enlos grados primarios</t>
  </si>
  <si>
    <t>Stenhouse Publishers</t>
  </si>
  <si>
    <t>Boushey, Gail;Moser, Joan</t>
  </si>
  <si>
    <t>LB3013 .B687 2014</t>
  </si>
  <si>
    <t>Explaining Reading : A Resource for Explicit Teaching of the Common Core Standards</t>
  </si>
  <si>
    <t>Duffy, Gerald G.</t>
  </si>
  <si>
    <t>LB1050.42 -- .D84 2014eb</t>
  </si>
  <si>
    <t>Reading. ; Reading -- Remedial teaching. ; Vocabulary.</t>
  </si>
  <si>
    <t>Glazzard, Jonathan;Denby, Neil;Price, Jayne</t>
  </si>
  <si>
    <t>LB1025.3.G539 2014eb</t>
  </si>
  <si>
    <t>Picturing the Language of Images</t>
  </si>
  <si>
    <t>Pedri, Nancy;Petit,  Laurence</t>
  </si>
  <si>
    <t>LB1067.5 -- .P53 2013eb</t>
  </si>
  <si>
    <t>Visual learning. ; Imagery (Psychology) in literature.</t>
  </si>
  <si>
    <t>Writing Well in the 21st Century : The Five Essentials</t>
  </si>
  <si>
    <t>Spencer, Linda</t>
  </si>
  <si>
    <t>LB2369.S65 2014</t>
  </si>
  <si>
    <t>Report writing. ; Language arts.</t>
  </si>
  <si>
    <t>Job One 2. 0 : Understanding the Next Generation of Student Affairs Professionals</t>
  </si>
  <si>
    <t>Magolda, Peter M.;Carnaghi, Jill Ellen</t>
  </si>
  <si>
    <t>LC1059.J63 2014eb</t>
  </si>
  <si>
    <t>Student affairs administrators - Training of</t>
  </si>
  <si>
    <t>Measurement Issues and Assessment for Teaching Quality</t>
  </si>
  <si>
    <t>Gitomer, Drew</t>
  </si>
  <si>
    <t>The USC Trojans Football Encyclopedia</t>
  </si>
  <si>
    <t>McFarland &amp; Company</t>
  </si>
  <si>
    <t>McFarland &amp; Company, Incorporated Publishers</t>
  </si>
  <si>
    <t>Shmelter, Richard J.</t>
  </si>
  <si>
    <t>GV958.U5857.S45 201</t>
  </si>
  <si>
    <t>796.332/630979494</t>
  </si>
  <si>
    <t>University of Southern California -- Football -- History. ; Southern California Trojans (Football team) -- History.</t>
  </si>
  <si>
    <t>Chinese Research Perspectives on Educational Development, Volume 2</t>
  </si>
  <si>
    <t>LC94.C5 .C4719 2014</t>
  </si>
  <si>
    <t>Education and state-China. ; Education-Aims and objectives-China. ; Educational change-China.</t>
  </si>
  <si>
    <t>Candid Science Vi: More Conversations With Famous Scientists</t>
  </si>
  <si>
    <t>Istvan Hargittai;Magdolna Hargittai</t>
  </si>
  <si>
    <t>Q141.H264 2006</t>
  </si>
  <si>
    <t>Mathematicians -- Interviews</t>
  </si>
  <si>
    <t>Virtual Environments For Teaching And Learning</t>
  </si>
  <si>
    <t>Robert J Howlett;N S Ichalkaranje;Lakhmi C Jain;Graziella Tonfoni</t>
  </si>
  <si>
    <t>Series On Innovative Intelligence</t>
  </si>
  <si>
    <t>LC5800.V57 2002</t>
  </si>
  <si>
    <t>Literacy for Childcare Students : A Basic Skills Guide</t>
  </si>
  <si>
    <t>Green, June</t>
  </si>
  <si>
    <t>LC149.7</t>
  </si>
  <si>
    <t>373/.012</t>
  </si>
  <si>
    <t>Functional literacy</t>
  </si>
  <si>
    <t>Defining Student Success : The Role of School and Culture</t>
  </si>
  <si>
    <t>Nunn, Lisa M.</t>
  </si>
  <si>
    <t>LB1620</t>
  </si>
  <si>
    <t>High school environment--United States--Case studies. ; High school students--United States--Case studies. ; Prediction of scholastic success--United States--Case studies. ; SOCIAL SCIENCE / Children's Studies. bisacsh. ; EDUCATION / General. bisacsh.</t>
  </si>
  <si>
    <t>Working Through Whiteness : Examining White Racial Identity and Profession with Pre-Service Teachers</t>
  </si>
  <si>
    <t>Fasching-Varner, Kenneth J.;Dixson, Adrienne D.;Mitchell, Roland W.</t>
  </si>
  <si>
    <t>LB2157.U5 -- F37 2012eb</t>
  </si>
  <si>
    <t>Teachers, White - Training of - United States</t>
  </si>
  <si>
    <t>Mathematics And Mathematics Education, Procs Of The Third Intl Palestinian Conf</t>
  </si>
  <si>
    <t>Raghib Abu-saris;Saber N Elaydi;Surender K Jain;Mohammad Saleh;Edriss S Titi</t>
  </si>
  <si>
    <t>QA1.I58 2000</t>
  </si>
  <si>
    <t>Mathematics -- Congresses. ; Mathematics -- Study and teaching -- Congresses.</t>
  </si>
  <si>
    <t>West Meets East : Best Practices from Expert Teachers in the U. S. and China</t>
  </si>
  <si>
    <t>Grant, Leslie;Stronge, James;Xu, Xianxuan;Popp, Patricia;Sun, Yaling</t>
  </si>
  <si>
    <t>LB1025.3 .W478 2014</t>
  </si>
  <si>
    <t>Effective teaching-United States. ; Effective teaching-China. ; Comparative education.</t>
  </si>
  <si>
    <t>Learning in the Fast Lane : 8 Ways to Put ALL Students on the Road to Academic SuccessASCD</t>
  </si>
  <si>
    <t>Rollins, Suzy Pepper</t>
  </si>
  <si>
    <t>LB1029.R4 R54 2014</t>
  </si>
  <si>
    <t>Remedial teaching. ; Academic achievement.</t>
  </si>
  <si>
    <t>Memory at Work in the Classroom: : Strategies to Help Underachieving Students</t>
  </si>
  <si>
    <t>Bailey, Francis;Pransky, Ken</t>
  </si>
  <si>
    <t>LB1060 .B35 2014</t>
  </si>
  <si>
    <t>Learning, Psychology of. ; Remedial teaching. ; Memory in children.</t>
  </si>
  <si>
    <t>Teaching the Core Skills of Listening and Speaking : Ascd</t>
  </si>
  <si>
    <t>Palmer, Erik</t>
  </si>
  <si>
    <t>LB1572.P35 2014eb</t>
  </si>
  <si>
    <t>Studies In Educational Learning Environments: An International Perspective</t>
  </si>
  <si>
    <t>Swee Chiew Goh;Myint Swe Khine</t>
  </si>
  <si>
    <t>LC210.S78 2002</t>
  </si>
  <si>
    <t>Classroom environment. ; Interaction analysis in education.</t>
  </si>
  <si>
    <t>Experiments And Demonstrations In Physics: Bar-ilan Physics Laboratory</t>
  </si>
  <si>
    <t>Yaakov Kraftmakher</t>
  </si>
  <si>
    <t>QC33.K68 2007</t>
  </si>
  <si>
    <t>Physics -- Computer-assisted instruction</t>
  </si>
  <si>
    <t>Examinations In Singapore: Change And Continuity (1891-2007)</t>
  </si>
  <si>
    <t>Hong Kheng Chow;Christine Goh;Yap Kwang Tan</t>
  </si>
  <si>
    <t>LB3058.S55T36 2008</t>
  </si>
  <si>
    <t>Educational tests and measurements -- Singapore</t>
  </si>
  <si>
    <t>Decision By Objectives: How To Convince Others That You Are Right</t>
  </si>
  <si>
    <t>Ernest Forman;Mary Ann Selly</t>
  </si>
  <si>
    <t>HD30.23.F694 2001</t>
  </si>
  <si>
    <t>Management by objectives</t>
  </si>
  <si>
    <t>Web-based Learning: Men And Machines - Proceedings Of The First International Conference On Web-based Learning In China (Icwl 2002)</t>
  </si>
  <si>
    <t>Jimmy Sun Fat Chan;Ronnie Chu Ting Cheung;Anthony Fong;Wei-jia Jia;Reggie Kwan</t>
  </si>
  <si>
    <t>LB1044.87.I39 2002a</t>
  </si>
  <si>
    <t>Education -- Computer network resources -- Congresses</t>
  </si>
  <si>
    <t>Are You The King, Or Are You The Joker?: Play Math For Young Children</t>
  </si>
  <si>
    <t>Adrian Ning Hong Yeo</t>
  </si>
  <si>
    <t>QA95.Y46 2006</t>
  </si>
  <si>
    <t>Games in mathematics education. ; Mathematical recreations.</t>
  </si>
  <si>
    <t>Mathematics; Sport &amp;amp; Recreation</t>
  </si>
  <si>
    <t>Asian Physics Olympiad (1st-8th): Problems And Solutions</t>
  </si>
  <si>
    <t>Yongling Zheng</t>
  </si>
  <si>
    <t>QC32 -- .A83 2010eb</t>
  </si>
  <si>
    <t>Physics -- Problems, exercises, etc</t>
  </si>
  <si>
    <t>Contemporary Approaches To Research On Learning Environments: Worldviews</t>
  </si>
  <si>
    <t>Darrell Fisher;Myint Swe Khine</t>
  </si>
  <si>
    <t>LC210.C56 2006</t>
  </si>
  <si>
    <t>Classroom environment. ; Computer-assisted instruction. ; Internet in education.</t>
  </si>
  <si>
    <t>100 Inspiring Rafflesians, 1823-2003</t>
  </si>
  <si>
    <t>Guan Heng Tan</t>
  </si>
  <si>
    <t>LG395.S55T36 2008</t>
  </si>
  <si>
    <t>Raffles Institution (Singapore) -- Alumni and alumnae -- Biography.</t>
  </si>
  <si>
    <t>Day's Adventure In Math Wonderland, A</t>
  </si>
  <si>
    <t>Jin Akiyama;Mari-jo Ruiz</t>
  </si>
  <si>
    <t>QA19.M34A45 2008</t>
  </si>
  <si>
    <t>Mathematics -- Study and teaching. ; Manipulatives (Education)</t>
  </si>
  <si>
    <t>Adventures In Mathematics</t>
  </si>
  <si>
    <t>Martin Moskowitz</t>
  </si>
  <si>
    <t>QA37.2.M67 2003</t>
  </si>
  <si>
    <t>Mathematics. ; Number theory.</t>
  </si>
  <si>
    <t>Enhancing Learning Through Technology</t>
  </si>
  <si>
    <t>Philip Tsang;Reggie Kwan;Robert Fox</t>
  </si>
  <si>
    <t>LB1028.3.E642 2007</t>
  </si>
  <si>
    <t>Practical Guide To Medical Student Assessment</t>
  </si>
  <si>
    <t>Zubair Amin;Yap Seng Chong;Hoon Eng Khoo</t>
  </si>
  <si>
    <t>R837.A2A45 2006</t>
  </si>
  <si>
    <t>Medical education. ; Medical students -- Rating of. ; Medicine -- Study and teaching.</t>
  </si>
  <si>
    <t>Symbolic Computation And Education</t>
  </si>
  <si>
    <t>Dongming Wang;Shangzhi Li;Jing-zhong Zhang</t>
  </si>
  <si>
    <t>QA20.C65I585 2006</t>
  </si>
  <si>
    <t>Mathematics -- Computer-assisted instruction -- Congresses</t>
  </si>
  <si>
    <t>Improving Assessment in Higher Education : A Whole-of-Institution Approach</t>
  </si>
  <si>
    <t>Henry, Richard;Marshall, Stephen;Ramburuth, Prem</t>
  </si>
  <si>
    <t>LB2366.2</t>
  </si>
  <si>
    <t>378.1;378.1/664;378.1664</t>
  </si>
  <si>
    <t>Universities and colleges -- United States -- Examinations.</t>
  </si>
  <si>
    <t>Handbook of Moral and Character Education</t>
  </si>
  <si>
    <t>Nucci, Larry;Krettenauer, Tobias</t>
  </si>
  <si>
    <t>LC268 .H264 2014</t>
  </si>
  <si>
    <t>Moral education -- Handbooks, manuals, etc. ; Personality development -- Handbooks, manuals, etc.</t>
  </si>
  <si>
    <t>Children of the Mill : Schooling and Society in Gary, Indiana, 1906-1960</t>
  </si>
  <si>
    <t>Cohen, Ronald D.</t>
  </si>
  <si>
    <t>LA285.G2 C65 2014</t>
  </si>
  <si>
    <t>370/.9772/990904</t>
  </si>
  <si>
    <t>Educational sociology - Indiana - Gary - History - 20th century</t>
  </si>
  <si>
    <t>Unleashing Student Superpowers : Practical Teaching Strategies for 21st Century Students</t>
  </si>
  <si>
    <t>Swanson, Kristen N.;Ferguson, Hadley J.</t>
  </si>
  <si>
    <t>LB1025.3.S93 2014</t>
  </si>
  <si>
    <t>Teaching-Methodology. ; Active learning.</t>
  </si>
  <si>
    <t>Community-University Engagement: a Process for Building Democratic Communities : ASHE Higher Education Report, 40:2</t>
  </si>
  <si>
    <t>Moore, Tami L.</t>
  </si>
  <si>
    <t>40-2</t>
  </si>
  <si>
    <t>LC237.M667 2014eb</t>
  </si>
  <si>
    <t>Community and college. ; Education, Higher. ; Universities and colleges.</t>
  </si>
  <si>
    <t>What&amp;prime;s Behind the Research? : Discovering Hidden Assumptions in the Behavioral Sciences</t>
  </si>
  <si>
    <t>Slife, Brent D.;Williams, Richard N.</t>
  </si>
  <si>
    <t>BF41 .S57 1995</t>
  </si>
  <si>
    <t>Critical Narrative As Pedagogy</t>
  </si>
  <si>
    <t>Goodson, Ivor;Gill, Scherto</t>
  </si>
  <si>
    <t>LC196.G663 2014eb</t>
  </si>
  <si>
    <t>Autobiography</t>
  </si>
  <si>
    <t>Contemporary Perspectives and Research on Early Childhood Education</t>
  </si>
  <si>
    <t>Yasar, Mustafa;Ozgun,  Ozkan;Galbraith,  Jeanne</t>
  </si>
  <si>
    <t>LB1139.3.G7 -- .C668 2014eb</t>
  </si>
  <si>
    <t>Early childhood education -- Great Britain.</t>
  </si>
  <si>
    <t>Multiple Pathways to the Student Brain : Energizing and Enhancing Instruction</t>
  </si>
  <si>
    <t>Zadina, Janet</t>
  </si>
  <si>
    <t>Learning, Psychology of. ; Learning -- Physiological aspects. ; Cognitive neuroscience.</t>
  </si>
  <si>
    <t>Learning about Social Issues Through Scripts for Learners Aged 11-16 : Tried and Tested Projects for Teachers</t>
  </si>
  <si>
    <t>Rainer, John;Walters, Kirsty</t>
  </si>
  <si>
    <t>PN2078.G7 R35 2014</t>
  </si>
  <si>
    <t>Social sciences - Study and teaching (Secondary) - Great Britain</t>
  </si>
  <si>
    <t>Dropout Prevention</t>
  </si>
  <si>
    <t>Goss, C. Lee;Hokkanen, Kristina J.</t>
  </si>
  <si>
    <t>LC146.6 -- .G67 2014eb</t>
  </si>
  <si>
    <t>371.2/913</t>
  </si>
  <si>
    <t>High school dropouts -- United States. ; Dropout behavior, Prediction of. ; Youth with social disabilities -- Education -- United States. ; School improvement programs -- United States. ; Educational change -- United States.</t>
  </si>
  <si>
    <t>Multicultural Relations on Campus : A Personal Growth Approach</t>
  </si>
  <si>
    <t>Parker, Woodrow M.;Archer Jr., James;Scott, James;Scott, James</t>
  </si>
  <si>
    <t>LC1099.3 .P37 2014</t>
  </si>
  <si>
    <t>Multicultural education -- United States. ; Cross-cultural orientation -- United States. ; Universities and colleges -- United States. ; Activity programs in education -- United States.</t>
  </si>
  <si>
    <t>Early and School-Age Care in Santa Monica : Current System, Policy Options, and Recommendations: Executive Summary</t>
  </si>
  <si>
    <t>Pierson, Ashley;Karoly, Lynn A.;Beckett, Megan K.;Zellman, Gail L.</t>
  </si>
  <si>
    <t>Research Report (Rand Corporation); Series</t>
  </si>
  <si>
    <t>RR-289-CSM.</t>
  </si>
  <si>
    <t>LB1139</t>
  </si>
  <si>
    <t>Early childhood education -- California -- Santa Monica.</t>
  </si>
  <si>
    <t>Higher Education in Portuguese Speaking African Countries</t>
  </si>
  <si>
    <t>Langa, Vitorino</t>
  </si>
  <si>
    <t>LC67.6 .L364 2013</t>
  </si>
  <si>
    <t>Education, Higher-Economic aspects-Cross-cultural studies.</t>
  </si>
  <si>
    <t>Early and School-Age Care in Santa Monica : Current System, Policy Options, and Recommendations</t>
  </si>
  <si>
    <t>Pierson, Ashley;Karoly, Lynn A.;Zellman, Gail L.;Beckett, Megan K.</t>
  </si>
  <si>
    <t>Teaching Is an Art : An a-Z Handbook for Successful Teaching in Middle Schools and High Schools</t>
  </si>
  <si>
    <t>Spreyer, Leon</t>
  </si>
  <si>
    <t>LB1025.3.S</t>
  </si>
  <si>
    <t>Maximum Mentoring : An Action Guide for Teacher Trainers and Cooperating Teachers</t>
  </si>
  <si>
    <t>Rudney, Gwen L.;Guillaume, Andrea M.</t>
  </si>
  <si>
    <t>LB1731.4.R</t>
  </si>
  <si>
    <t>Beyond the Bubble Test : How Performance Assessments Support 21st Century Learning</t>
  </si>
  <si>
    <t>Darling-Hammond, Linda;Adamson, Frank</t>
  </si>
  <si>
    <t>Educational tests and measurements -- United States.</t>
  </si>
  <si>
    <t>The PMLD Ambiguity : Articulating the Life-Worlds of Children with Profound and Multiple Learning Disabilities</t>
  </si>
  <si>
    <t>Simmons, Ben;Watson, Debbie</t>
  </si>
  <si>
    <t>LC4704 -- .S566 2014eb</t>
  </si>
  <si>
    <t>Learning disabled children -- Education.</t>
  </si>
  <si>
    <t>Make Early Learning Standards Come Alive : Connecting Your Practice and Curriculum to State Guidelines</t>
  </si>
  <si>
    <t>Gronlund, Gaye</t>
  </si>
  <si>
    <t>LB1140.23 -- .G766 2014eb</t>
  </si>
  <si>
    <t>EDUCATION / Evaluation</t>
  </si>
  <si>
    <t>The Vices of Learning : Morality and Knowledge at Early Modern Universities</t>
  </si>
  <si>
    <t>Kivisto, Sari</t>
  </si>
  <si>
    <t>LB1060 .K585 2014</t>
  </si>
  <si>
    <t>Learning, Psychology of. ; Learning-Philosophy-United States. ; Learning-Social aspects-United States. ; Plagiarism.</t>
  </si>
  <si>
    <t>The Imperial University : Academic Repression and Scholarly Dissent</t>
  </si>
  <si>
    <t>Chatterjee, Piya;Maira, Sunaina</t>
  </si>
  <si>
    <t>LB2825 -- .I47 2014eb</t>
  </si>
  <si>
    <t>Education. ; Public schools -- United States -- Finance.</t>
  </si>
  <si>
    <t>Educated in Whiteness : Good Intentions and Diversity in Schools</t>
  </si>
  <si>
    <t>Castagno, Angelina E.</t>
  </si>
  <si>
    <t>LC212.22.U83 -- .C37 2014eb</t>
  </si>
  <si>
    <t>Racism in education -- Utah.</t>
  </si>
  <si>
    <t>Beyond the Classroom Walls : Ethnographic Inquiry As Pedagogy</t>
  </si>
  <si>
    <t>Gordon, June A.</t>
  </si>
  <si>
    <t>LB45 -- .G65 2002eb</t>
  </si>
  <si>
    <t>Development Planning and School Improvement for Middle Managers</t>
  </si>
  <si>
    <t>Leask, Marilyn;Terrell, Ian</t>
  </si>
  <si>
    <t>LB2901 -- .L43 2013eb</t>
  </si>
  <si>
    <t>373.1/207</t>
  </si>
  <si>
    <t>Buddies : Reading, Writing, and Math Lessons</t>
  </si>
  <si>
    <t>Hansen, Pia</t>
  </si>
  <si>
    <t>LB1031.5 -- .P69 2013eb</t>
  </si>
  <si>
    <t>Peer teaching. ; Language arts (Elementary) ; Mathematics -- Study and teaching (Elementary) -- Activity programs. ; Education, Elementary -- Activity programs.</t>
  </si>
  <si>
    <t>Pregnant Bodies, Fertile Minds : Gender, Race, and the Schooling of Pregnant Teens</t>
  </si>
  <si>
    <t>Luttrell, Wendy</t>
  </si>
  <si>
    <t>LC4091 .L88 2014</t>
  </si>
  <si>
    <t>371.93/086/5</t>
  </si>
  <si>
    <t>Ethnicity - United States</t>
  </si>
  <si>
    <t>Handbook on Educational Specialist Evaluation</t>
  </si>
  <si>
    <t>Stronge, James;Tucker, Pamela</t>
  </si>
  <si>
    <t>LB2831.57.E35 -- .S78 2013eb</t>
  </si>
  <si>
    <t>School employees -- Rating of -- United States -- Handbooks, manuals, etc. ; School improvement programs -- United States -- Handbooks, manuals, etc.</t>
  </si>
  <si>
    <t>Supervision Across the Content Areas</t>
  </si>
  <si>
    <t>Zepeda, Sally J.;Mayers, R. Stewart</t>
  </si>
  <si>
    <t>LB2806.4 .Z47 2004</t>
  </si>
  <si>
    <t>School supervision -- United States. ; Curriculum planning -- United States. ; Educational accountability -- United States.</t>
  </si>
  <si>
    <t>Teacher Identity and the Struggle for Recognition : Meeting the Challenges of a Diverse Society</t>
  </si>
  <si>
    <t>Jenlink, Patrick M.</t>
  </si>
  <si>
    <t>LB2840 -- .J46 2014eb</t>
  </si>
  <si>
    <t>Teaching - Psychological aspects - United States</t>
  </si>
  <si>
    <t>Evernote for Dummies</t>
  </si>
  <si>
    <t>Sarna, David E. Y.</t>
  </si>
  <si>
    <t>LB2395 -- .S276 2014eb</t>
  </si>
  <si>
    <t>Evernote. ; Time management -- Computer programs. ; Note-taking -- Computer programs. ; File organization (Computer science) -- Computer programs.</t>
  </si>
  <si>
    <t>Yes, You Can! : Advice for Teachers Who Want a Great Start and a Great Finish with Their Students of Color</t>
  </si>
  <si>
    <t>Thompson, Gail L.;Thompson, Rufus</t>
  </si>
  <si>
    <t>LC1099.3.T466 2014</t>
  </si>
  <si>
    <t>Culturally relevant pedagogy-United States. ; African American children-Education. ; Teacher-student relationships-United States.</t>
  </si>
  <si>
    <t>Proven Programs in Education: Classroom Management and Assessment</t>
  </si>
  <si>
    <t>Slavin, Robert</t>
  </si>
  <si>
    <t>LB3013.C5273 2014</t>
  </si>
  <si>
    <t>Classroom management-Case studies. ; Educational tests and measurements-Case studies.</t>
  </si>
  <si>
    <t>Time for Learning : Top 10 Reasons Why Flipping the Classroom Can Change Education</t>
  </si>
  <si>
    <t>Fulton, Kathleen P. L.</t>
  </si>
  <si>
    <t>LB1028.5.F857 2014</t>
  </si>
  <si>
    <t>Blended learning. ; Homework-Computer network resources.</t>
  </si>
  <si>
    <t>School Guidance and Counselling : Trends and Practices</t>
  </si>
  <si>
    <t>Lee-Man, Yuk Ching;Luk-Fong, Pattie Y. Y.</t>
  </si>
  <si>
    <t>LB1027.5 .L384 2013</t>
  </si>
  <si>
    <t>Educational counseling -- China -- Hong Kong.</t>
  </si>
  <si>
    <t>Diagnostic Assessment of Learning Disabilities in Childhood : Bridging the Gap Between Research and Practice</t>
  </si>
  <si>
    <t>Taylor, Amber E. Brueggemann</t>
  </si>
  <si>
    <t>Contemporary Issues in Psychological Assessment Series</t>
  </si>
  <si>
    <t>Learning disabled children -- Identification. ; Learning disabilities -- Diagnosis.</t>
  </si>
  <si>
    <t>Students with Intellectual Disabilities : Insights, Implications and Recommendations</t>
  </si>
  <si>
    <t>Datta, Poulomee</t>
  </si>
  <si>
    <t>Children with disabilities -- Education. ; Developmental psychology -- Congresses.</t>
  </si>
  <si>
    <t>Higher Education Beyond Job Creation : Universities, Citizenship, and Community</t>
  </si>
  <si>
    <t>Bryer, Thomas A.</t>
  </si>
  <si>
    <t>LC238 -- .B78 2014eb</t>
  </si>
  <si>
    <t>Education, Higher - Aims and objectives - United States - vCase studies</t>
  </si>
  <si>
    <t>Doing the Right Thing for Children : Eight Qualities of Leadership</t>
  </si>
  <si>
    <t>Sykes, Maurice;Schultz, Thomas</t>
  </si>
  <si>
    <t>LB2822.6 -- .S95 2014eb</t>
  </si>
  <si>
    <t>Curriculum and the Teacher : 35 Years of the Cambridge Journal of Education</t>
  </si>
  <si>
    <t>Norris, Nigel</t>
  </si>
  <si>
    <t>Education Heritage Series</t>
  </si>
  <si>
    <t>LB2806.15 -- .C877 2008eb</t>
  </si>
  <si>
    <t>Curriculum change - Great Britain - History - 20th century</t>
  </si>
  <si>
    <t>The Health Handbook for Schools</t>
  </si>
  <si>
    <t>Brooke, Adrian;Welton, Steve</t>
  </si>
  <si>
    <t>LC4015 -- .B766 2003eb</t>
  </si>
  <si>
    <t>Diseases</t>
  </si>
  <si>
    <t>Yeah Right! Adolescents in the Classroom</t>
  </si>
  <si>
    <t>LB1033 -- .L664 2005eb</t>
  </si>
  <si>
    <t>Teacher-student relationships. ; High school students -- Attitudes.</t>
  </si>
  <si>
    <t>Contextualising Difficulties in Literacy Development : Exploring Politics, Culture, Ethnicity and Ethics</t>
  </si>
  <si>
    <t>Reid, Gavin;Soler, Janet;Wearmouth, Janice;Reid, Gavin;Soler, Janet</t>
  </si>
  <si>
    <t>LB1050.5 .C6615 2014</t>
  </si>
  <si>
    <t>Prudence Crandall's Legacy : The Fight for Equality in the 1830s, Dred Scott, and Brown V. Board of Education</t>
  </si>
  <si>
    <t>Williams, Donald E., Jr.;Williams, Donald E.</t>
  </si>
  <si>
    <t>The Driftless Connecticut Series and Garnet Bks.</t>
  </si>
  <si>
    <t>371.100922 B</t>
  </si>
  <si>
    <t>Discrimination in education -- Law and legislation -- Connecticut</t>
  </si>
  <si>
    <t>Education in East and Central Africa</t>
  </si>
  <si>
    <t>Wolhuter, Charl;Brock, Colin</t>
  </si>
  <si>
    <t>LA1501.E3655 2014</t>
  </si>
  <si>
    <t>Education--Africa, East. ; Education--Africa, Central. ; EDUCATION / Comparative. bisacsh. ; EDUCATION / Multicultural Education. bisacsh.</t>
  </si>
  <si>
    <t>Practical Puppetry A-Z : A Guide for Librarians and Teachers</t>
  </si>
  <si>
    <t>Exner, Carol R.</t>
  </si>
  <si>
    <t>PN1972 -- .E86 2005eb</t>
  </si>
  <si>
    <t>791.5/3/03</t>
  </si>
  <si>
    <t>Puppet theater -- Encyclopedias.</t>
  </si>
  <si>
    <t>Higher Education in the UK and the US : Converging University Models in a Global Academic World?</t>
  </si>
  <si>
    <t>Pickard, Sarah</t>
  </si>
  <si>
    <t>Youth in a Globalizing World Series</t>
  </si>
  <si>
    <t>Education, Higher-Aims and objectives-Great Britain. ; Higher education and state-Great Britain. ; Education, Higher-Economic aspects-Great Britain. ; Education, Higher-Social aspects-Great Britain. ; Education, Higher-Aims and objectives-United States.</t>
  </si>
  <si>
    <t>A-Z of Lifelong Learning</t>
  </si>
  <si>
    <t>Tummons, Jonathan;Powell, Sharon</t>
  </si>
  <si>
    <t>Continuing education.</t>
  </si>
  <si>
    <t>Systemic School Improvement Interventions in South Africa : Some Practical Lessons from Development Practioners</t>
  </si>
  <si>
    <t>Khosa, Godwin</t>
  </si>
  <si>
    <t>LB1727.S6 .S978 2013</t>
  </si>
  <si>
    <t>Teachers-Training of-South Africa. ; School improvement programs-South Africa. ; Educational change-South Africa. ; School management and organization-South Africa.</t>
  </si>
  <si>
    <t>Building the Skills for Economic Growth and Competitiveness in Sri Lanka</t>
  </si>
  <si>
    <t>Dundar, Halil;Millot, Benoît;Savchenko, Yevgeniya;Millot, Benoit;Piyasiri, Tilakaratne A.;Aturupane, Harsha</t>
  </si>
  <si>
    <t>LC1047.S72 -- .B855 2014eb</t>
  </si>
  <si>
    <t>Vocational education -- Sri Lanka. ; Vocational qualifications -- Sri Lanka. ; Labor market -- Sri Lanka. ; Economic development -- Sri Lanka.</t>
  </si>
  <si>
    <t>Student Learning in South Asia : Challenges, Opportunities, and Policy Priorities</t>
  </si>
  <si>
    <t>Dundar, Halil;Béteille, Tara;Riboud, Michelle;Beteille, Tara;Deolalikar, Anil B.</t>
  </si>
  <si>
    <t>LB1556.7.S65 -- .S783 2014eb</t>
  </si>
  <si>
    <t>Education, Elementary -- South Asia. ; Education and state -- South Asia. ; Academic achievement -- South Asia.</t>
  </si>
  <si>
    <t>International Perspectives on Education, Religion and Law</t>
  </si>
  <si>
    <t>Russo, Charles J.</t>
  </si>
  <si>
    <t>Routledge Research in Religion and Education Series</t>
  </si>
  <si>
    <t>Religion in the public schools -- Case studies</t>
  </si>
  <si>
    <t>Music for Children with Hearing Loss : A Resource for Parents and Teachers</t>
  </si>
  <si>
    <t>Schraer-Joiner, Lyn</t>
  </si>
  <si>
    <t>MT17 -- .S37 2014eb</t>
  </si>
  <si>
    <t>Music for hearing impaired children. ; Deaf children -- Education.</t>
  </si>
  <si>
    <t>Undergraduate Global Education: Issues for Faculty, Staff, and Students : New Directions for Student Services, Number 146</t>
  </si>
  <si>
    <t>Highum, Ann</t>
  </si>
  <si>
    <t>LB2325 -- .U534 2014eb</t>
  </si>
  <si>
    <t>Education, Higher. ; Education. ; International education.</t>
  </si>
  <si>
    <t>The Differentiated Classroom : Responding to the Needs of All Learners</t>
  </si>
  <si>
    <t>Tomlinson, Carol Ann</t>
  </si>
  <si>
    <t>LB1031 .T665 2014</t>
  </si>
  <si>
    <t>Individualized instruction. ; Cognitive styles in children. ; Mixed ability grouping in education.</t>
  </si>
  <si>
    <t>Literacy in Early Modern Europe</t>
  </si>
  <si>
    <t>Houston, R. A.</t>
  </si>
  <si>
    <t>LA621.5 -- .H687 2013eb</t>
  </si>
  <si>
    <t>370.9/4/0903</t>
  </si>
  <si>
    <t>Learning and scholarship</t>
  </si>
  <si>
    <t>Technology-Assisted Delivery of School Based Mental Health Services : Defining School Social Work for the 21st Century</t>
  </si>
  <si>
    <t>Pahwa, Bhavna</t>
  </si>
  <si>
    <t>LB3013.4 .T43 2014</t>
  </si>
  <si>
    <t>School social work -- Technological innovations -- United States.</t>
  </si>
  <si>
    <t>Resource Allocation in Private Research Universities</t>
  </si>
  <si>
    <t>Rodas, Daniel</t>
  </si>
  <si>
    <t>LB2342 .R63 2014</t>
  </si>
  <si>
    <t>Private universities and colleges -- United States -- Finance -- Case studies. ; Private universities and colleges -- United States -- Finance. ; Resource allocation -- Case studies.</t>
  </si>
  <si>
    <t>A Handbook for Deputy Heads in Schools</t>
  </si>
  <si>
    <t>Donnelly, Jim</t>
  </si>
  <si>
    <t>LB2900.5 .D66 2014</t>
  </si>
  <si>
    <t>School's Out : Gay and Lesbian Teachers in the Classroom</t>
  </si>
  <si>
    <t>Connell, Cati</t>
  </si>
  <si>
    <t>Homosexuality and education. ; Sexual minorities-Education. ; Gender identity.</t>
  </si>
  <si>
    <t>Getting into Primary Teaching</t>
  </si>
  <si>
    <t>Owen, David;Burnett, Cathy;Hobson, Andrew J.</t>
  </si>
  <si>
    <t>Critical Learning Series</t>
  </si>
  <si>
    <t>LB3013 .O384 2014</t>
  </si>
  <si>
    <t>Education. ; Elementary school teaching -- Great Britain. ; Elementary school teaching -- Vocational guidance -- Great Britain.</t>
  </si>
  <si>
    <t>Focus on Text : Tackling the Common Core Reading Standards, Grades 4-8</t>
  </si>
  <si>
    <t>LB1576 .B4377 2014</t>
  </si>
  <si>
    <t>Language arts (Middle School) - Standards - United States</t>
  </si>
  <si>
    <t>African American Male Students in PreK-12 Schools : Informing Research, Policy, and Practice</t>
  </si>
  <si>
    <t>Lewis, Chance W.;Moore, James L., III</t>
  </si>
  <si>
    <t>LC2699-2913</t>
  </si>
  <si>
    <t>African Americans -- Education (Elementary)</t>
  </si>
  <si>
    <t>Academic Mobility</t>
  </si>
  <si>
    <t>Tight, Malcolm;Maadad, Nina</t>
  </si>
  <si>
    <t>Teacher exchange programs. ; Educational exchanges. ; College teacher mobility.</t>
  </si>
  <si>
    <t>Inclusion in Further Education</t>
  </si>
  <si>
    <t>Spenceley, Lydia;Wallace, Susan</t>
  </si>
  <si>
    <t>LB1027.23 .S384 2014</t>
  </si>
  <si>
    <t>Education. ; Inclusive education. ; Mainstreaming in education.</t>
  </si>
  <si>
    <t>Teaching and Supporting Adult Learners</t>
  </si>
  <si>
    <t>Scruton, Jackie;Ferguson, Belinda;Wallace, Susan</t>
  </si>
  <si>
    <t>Further Education</t>
  </si>
  <si>
    <t>LB1025.3 .S384 2014</t>
  </si>
  <si>
    <t>College teaching. ; Education. ; Teachers -- Self-rating of -- Great Britain.</t>
  </si>
  <si>
    <t>A Different Kind of Boy : A Father's Memoir about Raising a Gifted Child with Autism</t>
  </si>
  <si>
    <t>Mont, Dan</t>
  </si>
  <si>
    <t>Mont, Alex. ; Mont, Daniel-Family. ; Autistic children-Care. ; Autistic children-Education. ; Parents of autistic children-Biography.</t>
  </si>
  <si>
    <t>Reduplication at the Word Level : The Greek Facts in Typological Perspective</t>
  </si>
  <si>
    <t>Kallergi, Haritini</t>
  </si>
  <si>
    <t>Studia Typologica [STTYP] Series</t>
  </si>
  <si>
    <t>LB1139.L3 C6424 2014</t>
  </si>
  <si>
    <t>Children -- Language. ; English language -- Acquisition. ; English language -- Word frequency. ; German language -- Acquisition. ; German language -- Word frequency. ; Language acquisition.</t>
  </si>
  <si>
    <t>Public Universities and Regional Growth : Insights from the University of California</t>
  </si>
  <si>
    <t>Kenney, Martin;Mowery, David C.</t>
  </si>
  <si>
    <t>Innovation and Technology in the World Economy Series</t>
  </si>
  <si>
    <t>LD729</t>
  </si>
  <si>
    <t>University of California (System) ; Public universities and colleges -- Economic aspects -- California. ; Academic-industrial collaboration -- California. ; Research -- Economic aspects -- California. ; Economic development -- California.</t>
  </si>
  <si>
    <t>In Search of Self: Exploring Student Identity Development : New Directions for Higher Education, Number 166</t>
  </si>
  <si>
    <t>Hanson, Chad</t>
  </si>
  <si>
    <t>LC191 -- .I57 2014eb</t>
  </si>
  <si>
    <t>Educational sociology. ; Education, Higher. ; Identity (Psychology) in youth.</t>
  </si>
  <si>
    <t>Cross-Curricular Dimensions of Language Learning and Teaching</t>
  </si>
  <si>
    <t>Krawiec, Marek</t>
  </si>
  <si>
    <t>LB1576 -- .C767 2014eb</t>
  </si>
  <si>
    <t>Language arts.</t>
  </si>
  <si>
    <t>The Age of Learning : Education and the Knowledge Society</t>
  </si>
  <si>
    <t>LB1050.45 .A384 2014</t>
  </si>
  <si>
    <t>Public Health Approach to Bullying Prevention</t>
  </si>
  <si>
    <t>Masiello, Matthew G.;Schroeder, Diana</t>
  </si>
  <si>
    <t>LB3013.3 -- .P83 2014eb</t>
  </si>
  <si>
    <t>Bullying in schools -- Prevention. ; Bullying -- Prevention.</t>
  </si>
  <si>
    <t>Hidden Roads: Nonnative English-Speaking International Professors in the Classroom : New Directions for Teaching and Learning, Number 138</t>
  </si>
  <si>
    <t>Hendrix, Katherine Grace;Hebbani, Aparna</t>
  </si>
  <si>
    <t>378.1;378.111</t>
  </si>
  <si>
    <t>College department heads -- United States. ; College teachers -- United States. ; Universities and colleges -- United States -- Faculty.</t>
  </si>
  <si>
    <t>Inequality in the Promised Land : Race, Resources, and Suburban Schooling</t>
  </si>
  <si>
    <t>Lewis-McCoy, R. L'Heureux</t>
  </si>
  <si>
    <t>Educational equalization -- United States -- Case studies. ; Suburban schools -- United States -- Case studies. ; African Americans -- Education -- Case studies. ; Minorities -- Education -- United States -- Case studies. ; Social classes -- United States -- Case studies. ; Education -- Social aspects -- United States -- Case studies.</t>
  </si>
  <si>
    <t>Game-Based Learning : Challenges and Opportunities</t>
  </si>
  <si>
    <t>Felicia, Patrick</t>
  </si>
  <si>
    <t>LB1029.G3 -- .G364 2014eb</t>
  </si>
  <si>
    <t>Educational games. ; Education -- Computer-assisted instruction.</t>
  </si>
  <si>
    <t>Saharan Crossroads : Exploring Historical, Cultural, and Artistic Linkages between North and West Africa</t>
  </si>
  <si>
    <t>Deubel, Tara F.;Youngstedt,  Scott M.;Tissières,  Hélène</t>
  </si>
  <si>
    <t>LA1502 -- .S243 2014eb</t>
  </si>
  <si>
    <t>Education, Secondary -- Africa, Sub-Saharan. ; Educational assistance -- Africa, Sub-Saharan. ; Educational assistance.</t>
  </si>
  <si>
    <t>Reforming Social Sciences, Humanities and Higher Education in Eastern Europe and CIS after 1991</t>
  </si>
  <si>
    <t>Mikhailov, Anatoli;Breskaya,  Olga</t>
  </si>
  <si>
    <t>LA628 -- .R446 2014eb</t>
  </si>
  <si>
    <t>Education, Higher -- Europe, Eastern. ; Education, Higher -- Former Soviet republics.</t>
  </si>
  <si>
    <t>Teach, Breathe, Learn : Mindfulness in and out of the Classroom</t>
  </si>
  <si>
    <t>Parallax Press</t>
  </si>
  <si>
    <t>Srinivasan, Meena</t>
  </si>
  <si>
    <t>LB1065 -- .S73 2014eb</t>
  </si>
  <si>
    <t>Attention -- Study and teaching. ; Awareness -- Study and teaching. ; Emotions and cognition. ; Learning, Psychology of. ; Mindfulness-based cognitive therapy.</t>
  </si>
  <si>
    <t>Deeper Learning : How Eight Innovative Public Schools Are Transforming Education in the Twenty-First Century</t>
  </si>
  <si>
    <t>Martinez, Monica;McGrath, Dennis</t>
  </si>
  <si>
    <t>LA217.2 -- .M366 2014eb</t>
  </si>
  <si>
    <t>Public schools -- United States -- Case studies. ; Education -- Aims and objectives -- United States. ; Education -- Experimental methods. ; School improvement programs -- United States -- Case studies. ; Educational change -- United States -- Case studies.</t>
  </si>
  <si>
    <t>The Teaching Brain : An Evolutionary Trait at the Heart of Education</t>
  </si>
  <si>
    <t>Rodriguez, Vanessa;Fitzpatrick, Michelle</t>
  </si>
  <si>
    <t>Teaching -- Psychological aspects</t>
  </si>
  <si>
    <t>Loose Parts : Inspiring Play in Young Children</t>
  </si>
  <si>
    <t>Daly, Lisa;Beloglovsky, Miriam;Daly, Jenna</t>
  </si>
  <si>
    <t>Loose Parts Series</t>
  </si>
  <si>
    <t>LB1139.35.P55 -- .D35 2015eb</t>
  </si>
  <si>
    <t>Early childhood education - Activity programs</t>
  </si>
  <si>
    <t>Thinking through Children’s Literature in the Classroom</t>
  </si>
  <si>
    <t>Reyes-Torres, Agustín;Villacañas-de-Castro,  Luis S.;Soler-Pardo,  Betlem</t>
  </si>
  <si>
    <t>LB1576 -- .T456 2014eb</t>
  </si>
  <si>
    <t>Organisational Transformation and Scientific Change : The Impact of Institutional Restructuring on Universities and Intellectual Innovation</t>
  </si>
  <si>
    <t>Whitley, Richard;Glaser, Jochen</t>
  </si>
  <si>
    <t>Research in the Sociology of Organizations Series</t>
  </si>
  <si>
    <t>HD58.7-58.95</t>
  </si>
  <si>
    <t>Education, Higher -- Administration. ; Universities and colleges -- Administration. ; Organizational change.</t>
  </si>
  <si>
    <t>Gifted Education : Current Perspectives and Issues</t>
  </si>
  <si>
    <t>Rotatori, Anthony F.;Bakken, Jeffrey P.;Obiakor, Festus E.</t>
  </si>
  <si>
    <t>LC8-6691</t>
  </si>
  <si>
    <t>Gifted children -- Education -- United States</t>
  </si>
  <si>
    <t>Theoretical Models of Learning and Literacy Development</t>
  </si>
  <si>
    <t>Ortlieb, Evan</t>
  </si>
  <si>
    <t>LB5-3640</t>
  </si>
  <si>
    <t>Making School a Game Worth Playing : Digital Games in the Classroom</t>
  </si>
  <si>
    <t>Schaaf, Ryan L.;Mohan, Nicky</t>
  </si>
  <si>
    <t>LB1028.5.S238 2014</t>
  </si>
  <si>
    <t>Sport &amp;amp; Recreation; Education</t>
  </si>
  <si>
    <t>Identification and Evaluation of Learning Disabilities : The School Team's Guide to Student Success</t>
  </si>
  <si>
    <t>Johnson, Evelyn S.;Clohessy, Anne B.</t>
  </si>
  <si>
    <t>LB1029.R4.J644 2014</t>
  </si>
  <si>
    <t>Learning disabled children-Identification. ; Learning disabled children-Education. ; Response to intervention (Learning disabled children)</t>
  </si>
  <si>
    <t>Information and Communications Technology : In the 21st Century Classroom</t>
  </si>
  <si>
    <t>Warschau/Berlin</t>
  </si>
  <si>
    <t>De Gruyter Open</t>
  </si>
  <si>
    <t>Pérez Marín, Diana;Pérez Marín, Diana</t>
  </si>
  <si>
    <t>HC430</t>
  </si>
  <si>
    <t>COMPUTERS -- Reference. ; Electronic information resource literacy -- Study and teaching (Secondary) -- United States -- Congresses. ; Information technology -- Study and teaching (Secondary) -- United States -- Congresses.</t>
  </si>
  <si>
    <t>Erfolgreiche Rhetorik : Faire und Unfaire Verhaltensweisen in Rede und Gespräch</t>
  </si>
  <si>
    <t>De Gruyter Oldenbourg</t>
  </si>
  <si>
    <t>Vogt, Gustav</t>
  </si>
  <si>
    <t>Oral communication -- Study and teaching. ; Self-help techniques. ; Self-presentation. ; Public speaking.</t>
  </si>
  <si>
    <t>Effizient Schreiben : Leitfaden Zum Verfassen Von Qualifizierungsarbeiten und Wissenschaftlichen Texten</t>
  </si>
  <si>
    <t>Plümper, Thomas;Plümper, Thomas</t>
  </si>
  <si>
    <t>T11 -- .P56 2012eb</t>
  </si>
  <si>
    <t>Technical writing. ; Academic writing.</t>
  </si>
  <si>
    <t>Schools and Public Health : Past, Present, Future</t>
  </si>
  <si>
    <t>Gard, Michael;Pluim, Carolyn</t>
  </si>
  <si>
    <t>LA217.2.G373 2014eb</t>
  </si>
  <si>
    <t>Public schools - Health promotion services - United States</t>
  </si>
  <si>
    <t>The Fountain of Knowledge : The Role of Universities in Economic Development</t>
  </si>
  <si>
    <t>Breznitz, Shiri M.</t>
  </si>
  <si>
    <t>Yale University. ; University of Cambridge. ; Universities and colleges -- Economic aspects -- Case studies. ; Technology transfer -- Case studies. ; Biotechnology -- Technology transfer -- Case studies. ; Academic-industrial collaboration -- Economic aspects -- Case studies.</t>
  </si>
  <si>
    <t>The Schooled Society : The Educational Transformation of Global Culture</t>
  </si>
  <si>
    <t>Baker, David P.</t>
  </si>
  <si>
    <t>LC192</t>
  </si>
  <si>
    <t>Education -- Social aspects. ; Social change. ; Education and globalization.</t>
  </si>
  <si>
    <t>Don&amp;prime;t Teach the Canaries Not to Sing : Creating a School Culture That Boosts Achievement</t>
  </si>
  <si>
    <t>LC210.R36 2008</t>
  </si>
  <si>
    <t>Cultivating the Learner-Centered Classroom : From Theory to Practice</t>
  </si>
  <si>
    <t>Tollefson, Kaia A.;Osborn, Monica K.</t>
  </si>
  <si>
    <t>LB1027.23.T65 2008</t>
  </si>
  <si>
    <t>Facilitator&amp;prime;s Guide to Leading Schools in a Data-Rich World : Harnessing Data for School Improvement</t>
  </si>
  <si>
    <t>Earl, Lorna M.;Katz, Steven;Ben Jaafar, Sonia</t>
  </si>
  <si>
    <t>LB2805.E275 2008eb</t>
  </si>
  <si>
    <t>Strategies for Reading in the Content Areas</t>
  </si>
  <si>
    <t>LB1576.S456 2003</t>
  </si>
  <si>
    <t>The Power of Visual Imagery : A Reading Comprehension Program for Students with Reading Difficulties</t>
  </si>
  <si>
    <t>Kelly, Karen Patricia</t>
  </si>
  <si>
    <t>LB1050.5.K35 2007</t>
  </si>
  <si>
    <t>Mary Wollstonecraft : Philosophical Mother of Coeducation</t>
  </si>
  <si>
    <t>Laird, Susan;Bailey, Richard</t>
  </si>
  <si>
    <t>Bloomsbury Library of Educational Thought Series</t>
  </si>
  <si>
    <t>LB575.W842 -- .L357 2014eb</t>
  </si>
  <si>
    <t>Wollstonecraft, Mary, -- 1759-1797. ; Educators -- Great Britain -- Biography. ; Authors, English -- 18th century -- Biography. ; Feminists -- Great Britain -- Biography. ; Coeducation -- Great Britain -- History.</t>
  </si>
  <si>
    <t>Plato</t>
  </si>
  <si>
    <t>Barrow, Robin;Bailey, Richard</t>
  </si>
  <si>
    <t>LB85.P7 -- .B367 2014eb</t>
  </si>
  <si>
    <t>Plato. ; Education -- Philosophy. ; Education, Greek.</t>
  </si>
  <si>
    <t>Schooling for Sustainable Development Across the Pacific</t>
  </si>
  <si>
    <t>Lee, John Chi-Kin;Efird, Rob</t>
  </si>
  <si>
    <t>Schooling for Sustainable Development Series</t>
  </si>
  <si>
    <t>Sustainable development -- Study and teaching -- Pacific area</t>
  </si>
  <si>
    <t>Environmental Studies; Education; Economics</t>
  </si>
  <si>
    <t>Multidisciplinary Perspectives on Education</t>
  </si>
  <si>
    <t>Arslan, Hasan;Raţă,  Georgeta;Kocayörük,  Ercan;Icbay, Mehmet Ali</t>
  </si>
  <si>
    <t>LB1576 -- .M85 2014eb</t>
  </si>
  <si>
    <t>Language arts -- Research -- Congresses. ; Applied linguistics -- Research -- Congresses.</t>
  </si>
  <si>
    <t>Seeking Impact and Visibility : Scholarly Communication in Southern Africa</t>
  </si>
  <si>
    <t>Trotter, Henry;Kell, Catherine</t>
  </si>
  <si>
    <t>LA1503.7 .S44 2014</t>
  </si>
  <si>
    <t>Communication in learning and scholarship-Technological innovations-Africa, Southern. ; Communication in learning and scholarship-Africa, Southern. ; Scholarly publishing-Africa, Southern. ; Open access publishing-Africa, Southern. ; Research-Publishing-Africa, Southern. ; Universities and colleges-Africa, Southern.</t>
  </si>
  <si>
    <t>Driving Change : The Story of the South Africa Norway Tertiary Education Development Programme</t>
  </si>
  <si>
    <t>Gibbon, Trish</t>
  </si>
  <si>
    <t>LA1538.G53 2014eb</t>
  </si>
  <si>
    <t>Call to Purpose : Mission-Centered Change at Three Liberal Arts Colleges</t>
  </si>
  <si>
    <t>Hartley, Matthew</t>
  </si>
  <si>
    <t>LB2341 -- .H325 2002eb</t>
  </si>
  <si>
    <t>Mission statements - United States</t>
  </si>
  <si>
    <t>Why School Communication Matters : Strategies from PR Professionals</t>
  </si>
  <si>
    <t>Porterfield, Kitty;Carnes, Meg</t>
  </si>
  <si>
    <t>LB2831.8 .P67 2014</t>
  </si>
  <si>
    <t>School administrators - Professional relationships</t>
  </si>
  <si>
    <t>You Can Do This : Hope and Help for New Teachers</t>
  </si>
  <si>
    <t>Teaching -- Handbooks, manuals, etc. ; First year teachers -- Handbooks, manuals, etc.</t>
  </si>
  <si>
    <t>The Teacher's Introduction to Attachment : Practical Essentials for Teachers, Carers and School Support Staff</t>
  </si>
  <si>
    <t>Marshall, Nicola;Thomas, Phil</t>
  </si>
  <si>
    <t>LC4801.M364 2014eb</t>
  </si>
  <si>
    <t>Problem children -- Education. ; Psychic trauma in children. ; Attachment disorder in children.</t>
  </si>
  <si>
    <t>Raised at Rutgers : A President's Story</t>
  </si>
  <si>
    <t>McCormick, Richard L.</t>
  </si>
  <si>
    <t>Rivergate Regionals Collection</t>
  </si>
  <si>
    <t>LD4752</t>
  </si>
  <si>
    <t>378.749/41</t>
  </si>
  <si>
    <t>McCormick, Richard L. ; Rutgers University-Presidents-Biography. ; Rutgers University-History. ; College presidents-New Jersey-Biography.</t>
  </si>
  <si>
    <t>Developing Word Recognition</t>
  </si>
  <si>
    <t>Hayes, Latisha;Flanigan, Kevin</t>
  </si>
  <si>
    <t>The Essential Library of PreK-2 Literacy Series</t>
  </si>
  <si>
    <t>LB1050.44 -- .H39 2014eb</t>
  </si>
  <si>
    <t>372.46/2</t>
  </si>
  <si>
    <t>Word recognition.</t>
  </si>
  <si>
    <t>Education in Community Psychology : Models for Graduate and Undergraduate Programs</t>
  </si>
  <si>
    <t>Ferrari, Joseph R.;O'Donnell, Clifford R.</t>
  </si>
  <si>
    <t>RA790.55 .E38 2014</t>
  </si>
  <si>
    <t>Community psychology -- Study and teaching.</t>
  </si>
  <si>
    <t>Next Generation Assessment : Moving Beyond the Bubble Test to Support 21st Century Learning</t>
  </si>
  <si>
    <t>Darling-Hammond, Linda</t>
  </si>
  <si>
    <t>Engaging Students Through Social Media : Evidence-Based Practices for Use in Student Affairs</t>
  </si>
  <si>
    <t>Junco, Reynol</t>
  </si>
  <si>
    <t>LB2343 -- .J863 2014eb</t>
  </si>
  <si>
    <t>Student affairs services -- Research -- United States. ; Education, Higher -- Effect of technological innovations on. ; Social media.</t>
  </si>
  <si>
    <t>On Teaching and Learning : Putting the Principles and Practices of Dialogue Education into Action</t>
  </si>
  <si>
    <t>Vella, Jane</t>
  </si>
  <si>
    <t>LC196.V455 2008eb</t>
  </si>
  <si>
    <t>Questioning</t>
  </si>
  <si>
    <t>Collaborative Learning Techniques : A Handbook for College Faculty</t>
  </si>
  <si>
    <t>Barkley, Elizabeth F.;Cross, K. Patricia</t>
  </si>
  <si>
    <t>Team learning approach in education -- Handbooks, manuals, etc</t>
  </si>
  <si>
    <t>Read, Write, Lead : Breakthrough Strategies for Schoolwide Literacy Success</t>
  </si>
  <si>
    <t>Routman, Regie</t>
  </si>
  <si>
    <t>LB1576 .R7583 2014</t>
  </si>
  <si>
    <t>Language arts (Elementary) ; Language arts (Secondary) ; Educational leadership.</t>
  </si>
  <si>
    <t>Positive Pupil Management and Motivation : A Secondary Teacher's Guide</t>
  </si>
  <si>
    <t>McNamara, Eddie</t>
  </si>
  <si>
    <t>LB3013 .M395 2014</t>
  </si>
  <si>
    <t>Speaking and Listening for All</t>
  </si>
  <si>
    <t>Edwards, Sylvia</t>
  </si>
  <si>
    <t>LB1572 .E39 2014</t>
  </si>
  <si>
    <t>372.62/2</t>
  </si>
  <si>
    <t>Fulton Special Education Digest : Selected Resources for Teachers, Parents and Carers</t>
  </si>
  <si>
    <t>Worthington, Ann;Russell, Philippa</t>
  </si>
  <si>
    <t>LC3986.G7 F84 2014</t>
  </si>
  <si>
    <t>Directories</t>
  </si>
  <si>
    <t>The German Example : English Interest in Educational Provision in Germany Since 1800</t>
  </si>
  <si>
    <t>Phillips, David</t>
  </si>
  <si>
    <t>LA631.P45 2011eb</t>
  </si>
  <si>
    <t>Education -- Great Britain -- History. ; Education -- Great Britain -- German influences. ; Education -- Germany -- History. ; Great Britain -- Relations -- Germany. ; Germany -- Relations -- Great Britain.</t>
  </si>
  <si>
    <t>Learning, Teaching and Education Research in the 21st Century : An Evolutionary Analysis of the Role of Teachers</t>
  </si>
  <si>
    <t>Swann, Joanna</t>
  </si>
  <si>
    <t>Popper, Karl R. -- (Karl Raimund), -- 1902-1994. ; Learning -- Philosophy. ; Teaching -- Philosophy.</t>
  </si>
  <si>
    <t>Subject Knowledge and Teacher Education : The Development of Beginning Teachers' Thinking</t>
  </si>
  <si>
    <t>Ellis, Viv</t>
  </si>
  <si>
    <t>LB1725.G6 -- G42 2007eb</t>
  </si>
  <si>
    <t>Teachers -- Training of -- England. ; Teachers -- Attitudes -- Case studies. ; Teachers -- Psychology -- Case studies. ; English teachers -- England -- Attitudes -- Case studies. ; English teachers -- England -- Psychology -- Case studies. ; Knowledge, Theory of. ; Knowledge, Sociology of.</t>
  </si>
  <si>
    <t>Reclaiming Education</t>
  </si>
  <si>
    <t>Tooley, James</t>
  </si>
  <si>
    <t>LC71 -- .T65 2000eb</t>
  </si>
  <si>
    <t>Education and state. ; Education and state -- Great Britain. ; Privatization in education. ; Privatization in education -- Great Britain. ; Educational change. ; Educational change -- Great Britain.</t>
  </si>
  <si>
    <t>Improving Schools in Exceptionally Challenging Circumstances : Tales from the Frontline</t>
  </si>
  <si>
    <t>Harris, Alma;Clarke, Paul;Gunraj, Judith;James, Belinda;James, Sue</t>
  </si>
  <si>
    <t>LB2822.8 -- .H37 2006eb</t>
  </si>
  <si>
    <t>Sociology of Knowledge and Education</t>
  </si>
  <si>
    <t>LC189.M667 2007</t>
  </si>
  <si>
    <t>Romanticism and Education : Love, Heroism and Imagination in Pedagogy</t>
  </si>
  <si>
    <t>Halpin, David</t>
  </si>
  <si>
    <t>LB14.7.H343 2007</t>
  </si>
  <si>
    <t>Schools and Religions : Imagining the Real</t>
  </si>
  <si>
    <t>LC107.S747 2007</t>
  </si>
  <si>
    <t>Religion in the public schools.</t>
  </si>
  <si>
    <t>Doing Qualitative Educational Research</t>
  </si>
  <si>
    <t>LB1028 -- .W35 2001eb</t>
  </si>
  <si>
    <t>Improving Schools in Difficulty</t>
  </si>
  <si>
    <t>Clarke, Paul</t>
  </si>
  <si>
    <t>LB2822.8 -- .I483 2005eb</t>
  </si>
  <si>
    <t>Rethinking Universities : The Social Functions of Higher Education</t>
  </si>
  <si>
    <t>Baker, Sally;Brown, Brian J.</t>
  </si>
  <si>
    <t>C191.9.B354 2007</t>
  </si>
  <si>
    <t>Education, Higher--Social aspects.</t>
  </si>
  <si>
    <t>Schools and Communities : Working Together to Transform Children's Lives</t>
  </si>
  <si>
    <t>West-Burnham, John;Farrar, Maggie;Otero, George</t>
  </si>
  <si>
    <t>LC215 -- .W47 2007eb</t>
  </si>
  <si>
    <t>Community and school. ; Educational equalization. ; Education -- Social aspects.</t>
  </si>
  <si>
    <t>Transforming Education for Every Child: a Practical Handbook : A Practical Handbook</t>
  </si>
  <si>
    <t>West-Burnham, John;Coates, Max</t>
  </si>
  <si>
    <t>LB1031 -- .W47 2006eb</t>
  </si>
  <si>
    <t>Individualized instruction. ; Curriculum planning.</t>
  </si>
  <si>
    <t>Teaching Teachers : Processes and Practices</t>
  </si>
  <si>
    <t>Malderez, Angi;Wedell, Martin</t>
  </si>
  <si>
    <t>LB1731 -- .M317 2007eb</t>
  </si>
  <si>
    <t>Teachers -- In-service training. ; School supervision.</t>
  </si>
  <si>
    <t>Middle Management in FE</t>
  </si>
  <si>
    <t>Briggs, Ann</t>
  </si>
  <si>
    <t>LC5256.G7$bB625 2006</t>
  </si>
  <si>
    <t>Education, Higher - Great Britain -</t>
  </si>
  <si>
    <t>The Governance of Education</t>
  </si>
  <si>
    <t>LC65.H377 2007</t>
  </si>
  <si>
    <t>Education--Economic aspects.</t>
  </si>
  <si>
    <t>Killing Thinking : Death of the University</t>
  </si>
  <si>
    <t>LA637 -- .E93 2004eb</t>
  </si>
  <si>
    <t>Education -- Aims and objectives -- Great Britain</t>
  </si>
  <si>
    <t>How to Manage Stress in FE : Applying Research, Theory and Skills to Post-Compulsory Education and Training</t>
  </si>
  <si>
    <t>LB2333.3$b.H37 2006</t>
  </si>
  <si>
    <t>College teachers - Job stress</t>
  </si>
  <si>
    <t>School Effectiveness, School Improvement</t>
  </si>
  <si>
    <t>Reynolds, David</t>
  </si>
  <si>
    <t>LB2822.84.G7 -- S344 2005eb</t>
  </si>
  <si>
    <t>Getting the Buggers Motivated in FE</t>
  </si>
  <si>
    <t>LB1065 -- .W284 2007eb</t>
  </si>
  <si>
    <t>Motivation in education -- Great Britain. ; Problem youth -- Education (Continuing education) -- Great Britain. ; Problem youth -- Behavior modification -- Great Britain. ; Achievement motivation in youth -- Great Britain.</t>
  </si>
  <si>
    <t>Rethinking the Education Improvement Agenda : A Critical Philosophical Approach</t>
  </si>
  <si>
    <t>Flint, Kevin J.;Peim, Nick</t>
  </si>
  <si>
    <t>Educational change. ; School improvement programs. ; Education--Philosophy.</t>
  </si>
  <si>
    <t>The e-Learning Reader</t>
  </si>
  <si>
    <t>de Freitas, Sara;Jameson, Jill</t>
  </si>
  <si>
    <t>LB1028.5.E185 2012</t>
  </si>
  <si>
    <t>Computer-assisted instruction.</t>
  </si>
  <si>
    <t>A to Z for Every Manager in FE</t>
  </si>
  <si>
    <t>Wallace, Susan;Gravells, Jonathan</t>
  </si>
  <si>
    <t>LC5225.A34 -- W34 2007eb</t>
  </si>
  <si>
    <t>Postsecondary education - Administration</t>
  </si>
  <si>
    <t>Employability of higher education graduates in Europe</t>
  </si>
  <si>
    <t>Ziderman, Adrian;Svetlik, Ivan;Pavlin, Samo</t>
  </si>
  <si>
    <t>International Journal of Manpower: Volume 35, Issue 4</t>
  </si>
  <si>
    <t>LA628.7 -- .E475 2014eb</t>
  </si>
  <si>
    <t>Bologna process (European higher education) ; College graduates -- Employment -- Europe. ; Education and globalization -- Europe.</t>
  </si>
  <si>
    <t>E-learning Globalization : The impact of E-learning - what difference has it made</t>
  </si>
  <si>
    <t>Skinner, Heather;Jones, Paul;McCracken, Martin</t>
  </si>
  <si>
    <t>Education + Training: Volume 56, Issue 2/3</t>
  </si>
  <si>
    <t>LB1028.5 -- .E543 2014eb</t>
  </si>
  <si>
    <t>Computer-assisted instruction. ; Internet in education. ; World Wide Web.</t>
  </si>
  <si>
    <t>Global Studies means Forward-Looking</t>
  </si>
  <si>
    <t>Hardaker, Glenn;Öztaysi, Basar;Kabak, Özgür</t>
  </si>
  <si>
    <t>Campus-Wide Information Systems: Volume 31, Issue 2/3</t>
  </si>
  <si>
    <t>LB1029.G55 -- .G563 2014eb</t>
  </si>
  <si>
    <t>Global method of teaching. ; Curriculum enrichment. ; Globalization -- Social aspects.</t>
  </si>
  <si>
    <t>Geography/Travel; Education</t>
  </si>
  <si>
    <t>Advancing HRD Theory : New Theoretical Perspectives and Promoting Methodological Pluralism</t>
  </si>
  <si>
    <t>Garavan, Thomas;Carbery, Ronan</t>
  </si>
  <si>
    <t>European Journal of Training and Development: Volume 38, Issue 4</t>
  </si>
  <si>
    <t>LC5219 -- .A383 2014eb</t>
  </si>
  <si>
    <t>Adult education teachers -- Certification -- United States.</t>
  </si>
  <si>
    <t>Managing Academic Careers : Global Perspectives</t>
  </si>
  <si>
    <t>Jawahar, I.M.;Baruch, Yehuda;Dany, Françoise</t>
  </si>
  <si>
    <t>Career Development International: Volume 19, Issue 3</t>
  </si>
  <si>
    <t>LC71 -- .M363 2014eb</t>
  </si>
  <si>
    <t>Education and globalization -- Congresses. ; Education, Higher -- Congresses. ; Multicultural education -- Congresses.</t>
  </si>
  <si>
    <t>From Formal to Non-Formal : Education, Learning and Knowledge</t>
  </si>
  <si>
    <t>Žagar, Igor Ž.;Kelava,  Polona</t>
  </si>
  <si>
    <t>LB14.7 -- .Z343 2014eb</t>
  </si>
  <si>
    <t>Education -- Philosophy. ; Knowledge, Theory of. ; Learning and scholarship.</t>
  </si>
  <si>
    <t>About The Boys : Stories from the Urban Community</t>
  </si>
  <si>
    <t>Maddern, Lynn</t>
  </si>
  <si>
    <t>LC3736.G7 -- M33 2013eb</t>
  </si>
  <si>
    <t>305.89601732;307.7/6</t>
  </si>
  <si>
    <t>Minorities -- Education -- England -- Bristol. ; Blacks -- Education -- England -- Bristol. ; Boys -- Education -- England -- Bristol. ; African diaspora. ; Community development, Urban. ; Community organization.</t>
  </si>
  <si>
    <t>Horizons North : Contact, Culture and Education in Canada</t>
  </si>
  <si>
    <t>Matheson, Sue;Butler,  John Anthony</t>
  </si>
  <si>
    <t>E78.C2 -- H67 2013eb</t>
  </si>
  <si>
    <t>303.48/2;303.482;306.0971</t>
  </si>
  <si>
    <t>Indigenous peoples -- Canada. ; Indians of North America. ; Indians of North America -- Education -- Canada.</t>
  </si>
  <si>
    <t>The Effect of Interactivity in e-Learning Systems</t>
  </si>
  <si>
    <t>Palacios, Luis;Evans,  Chris</t>
  </si>
  <si>
    <t>LB1028.3 -- .P35 2013eb</t>
  </si>
  <si>
    <t>Literacy and the Common Core : Recipes for Action</t>
  </si>
  <si>
    <t>Tantillo, Sarah</t>
  </si>
  <si>
    <t>Language arts -- Standards -- United States</t>
  </si>
  <si>
    <t>Applied Social Sciences : Education Sciences</t>
  </si>
  <si>
    <t>Raţă, Georgeta;Runcan,  Patricia-Luciana;Arslan, Hasan</t>
  </si>
  <si>
    <t>LB14.7 -- .A67 2013eb</t>
  </si>
  <si>
    <t>Education -- Aims and objectives. ; Education -- Social aspects.</t>
  </si>
  <si>
    <t>Helping Students with Autism Spectrum Disorder Express Their Thoughts and Knowledge in Writing : Tips and Exercises for Developing Writing Skills</t>
  </si>
  <si>
    <t>Geither, Elise;Meeks, Lisa M.</t>
  </si>
  <si>
    <t>LC4717.G45 2014eb</t>
  </si>
  <si>
    <t>Total Literacy Techniques : Tools to Help Students Analyze Literature and Informational Texts</t>
  </si>
  <si>
    <t>Himmele, Pérsida;Himmele, William</t>
  </si>
  <si>
    <t>LB1050 .H55 2014</t>
  </si>
  <si>
    <t>Reading. ; Language arts.</t>
  </si>
  <si>
    <t>Grading Smarter, Not Harder : Assessment Strategies That Motivate Kids and Help Them Learn</t>
  </si>
  <si>
    <t>Dueck, Myron</t>
  </si>
  <si>
    <t>LB3051 .D668 2014</t>
  </si>
  <si>
    <t>Educational tests and measurements-United States. ; Grading and marking (Students)-United States. ; Educational evaluation-United States.</t>
  </si>
  <si>
    <t>Cyberbullying : Causes, Consequences, and Coping Strategies</t>
  </si>
  <si>
    <t>Weber, Nicole L.;Pelfrey Jr., William V.</t>
  </si>
  <si>
    <t>LB3013.3 -- .W434 2014eb</t>
  </si>
  <si>
    <t>Cyberbullying. ; Bullying in schools. ; Computer crimes. ; Internet and teenagers.</t>
  </si>
  <si>
    <t>Constructing Black Education at Oberlin College : A Documentary History</t>
  </si>
  <si>
    <t>Ohio University Press</t>
  </si>
  <si>
    <t>Athens, OH</t>
  </si>
  <si>
    <t>Baumann, Roland M.</t>
  </si>
  <si>
    <t>378.771/23</t>
  </si>
  <si>
    <t>Demand and Supply of Skills in Ghana : How Can Training Programs Improve Employment and Productivity?</t>
  </si>
  <si>
    <t>Darvas, Peter;Palmer, Robert;Palmer, Robert</t>
  </si>
  <si>
    <t>LC1047.8 -- .D378 2014eb</t>
  </si>
  <si>
    <t>Vocational education -- Administration -- Ghana. ; Education and training services industry. ; Occupational training.</t>
  </si>
  <si>
    <t>Globalization of Education : An Introduction</t>
  </si>
  <si>
    <t>Del Otro Lado : Literacy and Migration Across the U. S. -Mexico Border</t>
  </si>
  <si>
    <t>Meyers, Susan V.</t>
  </si>
  <si>
    <t>L*</t>
  </si>
  <si>
    <t>Literacy Teacher Education : Principles and Effective Practices</t>
  </si>
  <si>
    <t>Litt, Deborah G.;Martin, Susan D.;Place, Nancy A.;Risko, Victoria J.</t>
  </si>
  <si>
    <t>LB2844.1.R4 -- .L588 2015eb</t>
  </si>
  <si>
    <t>Unpacking Complexity in Informational Texts : Principles and Practices for Grades 2-8</t>
  </si>
  <si>
    <t>Cummins, Sunday;Hiebert, Elfrieda H.</t>
  </si>
  <si>
    <t>LB1576 -- .C866 2015eb</t>
  </si>
  <si>
    <t>English language - Composition and exercises - Study and teaching (Middle School)</t>
  </si>
  <si>
    <t>Making Change Happen in Student Affairs : Challenges and Strategies</t>
  </si>
  <si>
    <t>Barr, Margaret J.;McClellan, George S.;Sandeen, Arthur</t>
  </si>
  <si>
    <t>LB2342.9 -- .B377 2014eb</t>
  </si>
  <si>
    <t>Student affairs services. ; College student development programs. ; Student affairs administrators. ; Educational change.</t>
  </si>
  <si>
    <t>The Forgotten Contribution of the Teaching Sisters : A Historiographical Essay on the Educational Work of Catholic Women Religious in the 19th and 20th Centuries</t>
  </si>
  <si>
    <t>Leuven University Press</t>
  </si>
  <si>
    <t>Leuven</t>
  </si>
  <si>
    <t>BELGIUM</t>
  </si>
  <si>
    <t>Hellinckx, Bart;Simon, Frank;Depaepe, Marc</t>
  </si>
  <si>
    <t>Studia Paedagogica Series</t>
  </si>
  <si>
    <t>LC490 -- .H45 2009eb</t>
  </si>
  <si>
    <t>Catholic Church -- Education -- Historiography. ; Nuns as teachers -- Historiography.</t>
  </si>
  <si>
    <t>Between Educationalization and Appropriation : Selected Writings on the History of Modern Educational Systems</t>
  </si>
  <si>
    <t>Depaepe, Marc</t>
  </si>
  <si>
    <t>LA13 -- .D47 2012eb</t>
  </si>
  <si>
    <t>An Educational Pilgrimage to the United States. un Pèlerinage Psycho-Pédagogique Aux États-Unis : Travel Diary of Raymond Buyse, 1922. Carnet de Voyage de Raymond Buyse 1922</t>
  </si>
  <si>
    <t>Depaepe, Marc;D'hulst, Lieven</t>
  </si>
  <si>
    <t>BF109.B898.P454 201</t>
  </si>
  <si>
    <t>The Focus Model : Systematic School Improvement for All Schools</t>
  </si>
  <si>
    <t>Jones, B. (Billy) R. (Ray), Jr.</t>
  </si>
  <si>
    <t>LB2822.82 .J384 2014</t>
  </si>
  <si>
    <t>Early Childhood in Postcolonial Australia : Children's Contested Identities</t>
  </si>
  <si>
    <t>Srinivasan, P.</t>
  </si>
  <si>
    <t>#EdJourney : A Roadmap to the Future of Education</t>
  </si>
  <si>
    <t>Lichtman, Grant</t>
  </si>
  <si>
    <t>School improvement programs.</t>
  </si>
  <si>
    <t>Who's Afraid of the Big Bad Dragon? : Why China Has the Best (and Worst) Education System in the World</t>
  </si>
  <si>
    <t>Educational anthropology -- China</t>
  </si>
  <si>
    <t>Advising Student Groups and Organizations</t>
  </si>
  <si>
    <t>Dunkel, Norbert W.;Schuh, John H.;Chrystal-Green, Nancy E.</t>
  </si>
  <si>
    <t>Student activities -- United States</t>
  </si>
  <si>
    <t>A Non-Freaked Out Guide to Teaching the Common Core : Using the 32 Literacy Anchor Standards to Develop College- and Career-Ready Students</t>
  </si>
  <si>
    <t>Stuart, Dave;Stuart, Dave, Jr.</t>
  </si>
  <si>
    <t>Transformational Literacy : Making the Common Core Shift with Work That Matters</t>
  </si>
  <si>
    <t>Berger, Ron;Woodfin, Libby;Plaut, Suzanne Nathan;Dobbertin, Cheryl Becker</t>
  </si>
  <si>
    <t>Language arts -- United States. ; Transformative learning -- United States. ; Education -- Standards -- United States -- States.</t>
  </si>
  <si>
    <t>Using RTI in Secondary Schools : A Training Manual for Successful Implementation</t>
  </si>
  <si>
    <t>Callender, Wayne A.</t>
  </si>
  <si>
    <t>LB1573 .C384 2014</t>
  </si>
  <si>
    <t>Tackling Selective Mutism : A Guide for Professionals and Parents</t>
  </si>
  <si>
    <t>Jemmett, Miriam;Lanes, Denise;Jones, Kate;Bramble, David;Firth, Charlotte;Sage, Rosemary;Sutton, Carl;Kakuta, Keiko;Gross, Jean;Cline, Tony</t>
  </si>
  <si>
    <t>Education and Gender</t>
  </si>
  <si>
    <t>Dhar, Debotri;Brock, Colin</t>
  </si>
  <si>
    <t>LC212.9 -- .E37 2014eb</t>
  </si>
  <si>
    <t>Sex differences in education -- Cross-cultural studies. ; Gender identity in education -- Cross-cultural studies. ; Women -- Education -- Cross-cultural studies. ; Educational equalization -- Cross-cultural studies.</t>
  </si>
  <si>
    <t>Perspectives on Student Affairs in South Africa</t>
  </si>
  <si>
    <t>Speckman, McGlory;Mandew, Martin</t>
  </si>
  <si>
    <t>Professional School Leadership : Dealing with Dilemmas</t>
  </si>
  <si>
    <t>Murphy, Daniel</t>
  </si>
  <si>
    <t>LB2806.M87 2013eb</t>
  </si>
  <si>
    <t>Five Dimensions of Quality : A Common Sense Guide to Accreditation and Accountability</t>
  </si>
  <si>
    <t>Suskie, Linda;Ikenberry, Stanley O.</t>
  </si>
  <si>
    <t>The Virginia Tech Massacre : Strategies and Challenges for Improving Mental Health Policy on Campus and Beyond</t>
  </si>
  <si>
    <t>Sood, Aradhana Bela;Cohen, Robert</t>
  </si>
  <si>
    <t>Developmental Perspectives in Psychiatry Series</t>
  </si>
  <si>
    <t>RC451.4.S7 -- .V57 2014eb</t>
  </si>
  <si>
    <t>College students -- Mental health -- United States. ; College students -- Mental health services -- United States. ; Virginia Tech Shootings, Blacksburg, Va., 2007.</t>
  </si>
  <si>
    <t>Representing U : Popular Culture, Media, and Higher Education : ASHE Higher Education Report, 40:4</t>
  </si>
  <si>
    <t>Reynolds, Pauline J.</t>
  </si>
  <si>
    <t>LB2325 -- .R496 2014eb</t>
  </si>
  <si>
    <t>Education, Higher. ; Mass media and culture. ; Popular culture -- Study and teaching.</t>
  </si>
  <si>
    <t>The Test : Why Our Schools are Obsessed with Standardized TestingBut You Don't Have to Be</t>
  </si>
  <si>
    <t>Kamenetz, Anya</t>
  </si>
  <si>
    <t>LB3060.83 -- .K36 2015eb</t>
  </si>
  <si>
    <t>Education -- Standards -- United States. ; Educational tests and measurements -- United States. ; Education and state -- United States. ; Academic achievement -- United States.</t>
  </si>
  <si>
    <t>Academic Freedom and the Law : A Comparative Study</t>
  </si>
  <si>
    <t>Hart Publishing</t>
  </si>
  <si>
    <t>Barendt, Eric;Wintemute, School of Law Robert;Andenas, Director Center of European Law Mads</t>
  </si>
  <si>
    <t>K3755 -- .B37 2010eb</t>
  </si>
  <si>
    <t>Academic freedom -- Great Britain. ; Academic freedom -- Germany. ; Academic freedom -- United States. ; Intellectual freedom -- Great Britain. ; Intellectual freedom -- Germany. ; Intellectual freedom -- United States.</t>
  </si>
  <si>
    <t>The University Socialist Club and the Contest for Malaya : Tangled Strands of Modernity</t>
  </si>
  <si>
    <t>Loh, Kah Seng;Liao, Edgar;Lim, Cheng Tju;Seng, Guo Quan</t>
  </si>
  <si>
    <t>DS610</t>
  </si>
  <si>
    <t>Watch and Learn : Rhetorical Devices in Classroom Films After 1940</t>
  </si>
  <si>
    <t>Masson, Eef</t>
  </si>
  <si>
    <t>Framing Film Series</t>
  </si>
  <si>
    <t>LB1044</t>
  </si>
  <si>
    <t>Educational Mobility of Second-Generation Turks : Cross-National Perspectives</t>
  </si>
  <si>
    <t>Schnell, Philipp</t>
  </si>
  <si>
    <t>IMISCOE Research Series</t>
  </si>
  <si>
    <t>Social World of Pupil Assessment : Strategic Biographies Through Primary School</t>
  </si>
  <si>
    <t>Pollard, Andrew;Filer, Ann</t>
  </si>
  <si>
    <t>LB3056.G7F55 2000</t>
  </si>
  <si>
    <t>Education, Elementary-Social aspects-Great Britain</t>
  </si>
  <si>
    <t>Jerome Bruner : The Cognitive Revolution in Educational Theory</t>
  </si>
  <si>
    <t>Olson, David R.;Bailey, Richard</t>
  </si>
  <si>
    <t>LA2317.B734 -- .O47 2007eb</t>
  </si>
  <si>
    <t>Bruner, Jerome S. -- (Jerome Seymour) ; Educators -- United States -- Biography. ; Psychologists -- United States -- Biography. ; Educational psychology. ; Education -- Philosophy.</t>
  </si>
  <si>
    <t>Multicampus University Systems : Africa and the Kenyan Experience</t>
  </si>
  <si>
    <t>Munene, Ishmael I.;Hoffman, Frank</t>
  </si>
  <si>
    <t>LA1503 .M856 2014</t>
  </si>
  <si>
    <t>Sound recording industry - Dictionaries.</t>
  </si>
  <si>
    <t>Teaching Dilemmas and Solutions in Content-Area Literacy, Grades 6-12</t>
  </si>
  <si>
    <t>Smagorinsky, Peter</t>
  </si>
  <si>
    <t>LB1631 .S384 2014</t>
  </si>
  <si>
    <t>Emerging Research and Practices on First-Year Students : New Directions for Institutional Research, Number 160</t>
  </si>
  <si>
    <t>Padgett, Ryan D.;Padgett, Ryan D;Padgett, Ryan D</t>
  </si>
  <si>
    <t>LB2325 -- .E447 2014eb</t>
  </si>
  <si>
    <t>Education, Higher. ; Academic achievement.</t>
  </si>
  <si>
    <t>Indigenous Concepts of Education : Toward Elevating Humanity for All Learners</t>
  </si>
  <si>
    <t>van Wyk, Berte;Adeniji-Neill, D.</t>
  </si>
  <si>
    <t>Language Planning and National Identity in Croatia</t>
  </si>
  <si>
    <t>Langston, K.;Peti-Stantic, A.</t>
  </si>
  <si>
    <t>Annual Review of Comparative and International Education 2014</t>
  </si>
  <si>
    <t>Wiseman, Alexander W.;Anderson, Emily</t>
  </si>
  <si>
    <t>LB43 -- .A568 2014eb</t>
  </si>
  <si>
    <t>Special Education Past, Present, and Future</t>
  </si>
  <si>
    <t>Landrum, Timothy J.;Cook, Bryan G.;Tankersley, Melody</t>
  </si>
  <si>
    <t>LB3011-3095</t>
  </si>
  <si>
    <t>Special Education International Perspectives : Practices Across the Globe</t>
  </si>
  <si>
    <t>Rotatori, Anthony F.;Bakken, Jeffrey P.;Obiakor, Festus E.;Burkhardt, Sandra;Sharma, Umesh</t>
  </si>
  <si>
    <t>LC3950-4806.5</t>
  </si>
  <si>
    <t>Assessment Essentials : Planning, Implementing, and Improving Assessment in Higher Education</t>
  </si>
  <si>
    <t>Banta, Trudy W.;Palomba, Catherine A.;Kinzie, Jillian</t>
  </si>
  <si>
    <t>Reading, Writing, and Discussing at the Graduate Level : A Guidebook for International Students</t>
  </si>
  <si>
    <t>Kim, Rina;Ablert, Lillie R.;Sihn, Hang Gyun</t>
  </si>
  <si>
    <t>Universities and colleges -- United States -- Graduate work -- Handbooks, manuals, etc</t>
  </si>
  <si>
    <t>International Handbook of Research in Professional and Practice-Based Learning</t>
  </si>
  <si>
    <t>Billett, Stephen;Harteis, Christian;Gruber, Hans</t>
  </si>
  <si>
    <t>Springer International Handbooks of Education Series</t>
  </si>
  <si>
    <t>Professional education -- Handbooks, manuals, etc</t>
  </si>
  <si>
    <t>Meeting the Transitional Needs of Young Adult Learners : New Directions for Adult and Continuing Education, Number 143</t>
  </si>
  <si>
    <t>Davis, C. Amelia;Olson, Joann S.</t>
  </si>
  <si>
    <t>LB1060 .D384 2014</t>
  </si>
  <si>
    <t>Continuing education -- 20th century -- Case studies. ; Continuing education -- 21st century -- Case studies. ; Education.</t>
  </si>
  <si>
    <t>Applying the College Completion Agenda to Practice : New Directions for Community Colleges, Number 167</t>
  </si>
  <si>
    <t>Hughes, Katherine L.;Venezia, Andrea</t>
  </si>
  <si>
    <t>LC148.2</t>
  </si>
  <si>
    <t>College attendance -- United States. ; Community college dropouts -- United States -- Prevention. ; Community college student development programs -- United States.</t>
  </si>
  <si>
    <t>Assessment, Evaluation and Sex and Relationships Education : A Practical Toolkit for Education, Health and Community Settings</t>
  </si>
  <si>
    <t>National Children's Bureau</t>
  </si>
  <si>
    <t>Blake, Simon;Muttock, Stella;Beal, Sam;Handy, Lisa</t>
  </si>
  <si>
    <t>LB1025.3 -- .B53 2012eb</t>
  </si>
  <si>
    <t>Teaching -- Methodology. ; Education.</t>
  </si>
  <si>
    <t>Listening to Four Year Olds : How They Can Help Us Plan Their Education and Care</t>
  </si>
  <si>
    <t>Cousins, Jacqui</t>
  </si>
  <si>
    <t>HQ769 -- .C68 1999eb</t>
  </si>
  <si>
    <t>305.2/31</t>
  </si>
  <si>
    <t>Maintaining Children in School : The Contribution of Social Services Departments</t>
  </si>
  <si>
    <t>Vernon, Jeni;Sinclair, Ruth</t>
  </si>
  <si>
    <t>LB3081 -- .V47 1998eb</t>
  </si>
  <si>
    <t>Leadership for Quality in Early Years and Playwork : Supporting Your Team to Achieve Better Outcomes for Children and Families</t>
  </si>
  <si>
    <t>Lancaster, Andrea;Garvey, Debbie;Wainwright, Jonathan</t>
  </si>
  <si>
    <t>LB2822.6 -- .G378 2010eb</t>
  </si>
  <si>
    <t>Educational leadership. ; Early childhood education. ; Child development.</t>
  </si>
  <si>
    <t>Augmentative and Alternative Communication : Supporting Children and Adults with Complex Communication Needs</t>
  </si>
  <si>
    <t>Firebrand Technologies</t>
  </si>
  <si>
    <t>Brookes Publishing</t>
  </si>
  <si>
    <t>Beukelman, David R.;Mirenda, Pat;Ball, Laura J.;Koch Fager, Susan;Garrett, Kathryn L.;Hanson, Elizabeth K.;Lasker, Joanne P.;Light, Janice C.;McNaughton, David B.</t>
  </si>
  <si>
    <t>RC423.B485 2013</t>
  </si>
  <si>
    <t>616.85/503</t>
  </si>
  <si>
    <t>Communicative disorders.</t>
  </si>
  <si>
    <t>First Steps to Preschool Inclusion : How to Jumpstart Your Programwide Plan</t>
  </si>
  <si>
    <t>Gupta, Sarika;Henninger, William R., IV;Vinh, Megan;Strain, Phillip S.;DiNardo, Laura S.</t>
  </si>
  <si>
    <t>LC4019.2.G86 2014</t>
  </si>
  <si>
    <t>Children with disabilities--Education (Preschool). ; Children with disabilities--Education (Early childhood) . ; Inclusive education. ; Special education. ; Early childhood education--Administration.</t>
  </si>
  <si>
    <t>The Paraprofessional's Handbook for Effective Support in Inclusive Classrooms</t>
  </si>
  <si>
    <t>Causton-Theoharis, Julie;Kluth, Paula</t>
  </si>
  <si>
    <t>LC1200 -- .C38 2009eb</t>
  </si>
  <si>
    <t>Inclusive education -- Handbooks, manuals, etc. ; Children with disabilities -- Education -- Handbooks, manuals, etc. ; Children with disabilities -- Services for -- Handbooks, manuals, etc. ; Teachers'' assistants -- Handbooks, manuals, etc.</t>
  </si>
  <si>
    <t>The Principal's Handbook for Leading Inclusive Schools</t>
  </si>
  <si>
    <t>Causton, Julie;Theoharis, George;Villa, Richard</t>
  </si>
  <si>
    <t>LC1201 -- .C375 2014eb</t>
  </si>
  <si>
    <t>Inclusive education -- United States. ; Mainstreaming in education -- United States. ; Special education -- United States. ; School administrators -- United States -- Handbooks, manuals, etc. ; School principals -- United States -- Handbooks, manuals, etc.</t>
  </si>
  <si>
    <t>Early Intervention Every Day! : Embedding Activities in Daily Routines for Young Children and Their Families</t>
  </si>
  <si>
    <t>Crawford, Merle J.;Weber, Barbara</t>
  </si>
  <si>
    <t>HV888.5 -- .C73 2014eb</t>
  </si>
  <si>
    <t>Children with autism spectrum disorders - Family relationships</t>
  </si>
  <si>
    <t>Making Preschool Inclusion Work : Strategies for Supporting Children, Teachers, and Programs</t>
  </si>
  <si>
    <t>Richardson-Gibbs, Anne Marie;Klein, M.</t>
  </si>
  <si>
    <t>LC4019.3R53 2014</t>
  </si>
  <si>
    <t>Children with disabilities -- Education (Early childhood) -- United States. ; Inclusive education -- United States.</t>
  </si>
  <si>
    <t>The Story of Intellectual Disability : An Evolution of Meaning, Understanding, and Public Perception</t>
  </si>
  <si>
    <t>Wehmeyer, Michael L.;Craig, Ellis M;Ferguson, Dianne L;Ferguson, Philip M;Noll, Steven;Schalock, Robert L</t>
  </si>
  <si>
    <t>HV3004 -- .S85 2013eb</t>
  </si>
  <si>
    <t>People with mental disabilities -- History. ; Mental retardation -- Social aspects -- History.</t>
  </si>
  <si>
    <t>Number Sense Interventions</t>
  </si>
  <si>
    <t>Jordan, Nancy;Dyson, Nancy</t>
  </si>
  <si>
    <t>QA141.15.J67 2014</t>
  </si>
  <si>
    <t>Number concept--Study and teaching (Early childhood)--Activity programs--United States. ; Learning disabled children--Education (Early childhood)--United States.</t>
  </si>
  <si>
    <t>Design and Deliver : Planning and Teaching Using Universal Design for Learning</t>
  </si>
  <si>
    <t>Nelson, Loui Lord;Rose, David;Posey, Allison</t>
  </si>
  <si>
    <t>LB1031.N365 2014</t>
  </si>
  <si>
    <t>Individualized instruction. ; Cognitive styles. ; Educational technology. ; Children with disabilities -- Education. ; Universal design.</t>
  </si>
  <si>
    <t>Michael Oakeshott Selected Writings Collection</t>
  </si>
  <si>
    <t>Oakeshott, Michael;O'Sullivan, Luke</t>
  </si>
  <si>
    <t>Michael Oakeshott Selected Writings</t>
  </si>
  <si>
    <t>LB14.7 -- .M534 2014eb</t>
  </si>
  <si>
    <t>Legacies of Socialist Solidarity : East Germany in Mozambique</t>
  </si>
  <si>
    <t>Müller, Tanja R.;Müller, Tanja R.</t>
  </si>
  <si>
    <t>LF3195.S637 -- .M85 2014eb</t>
  </si>
  <si>
    <t>Schule der Freundschaft (Stassfurt, Germany) ; Student exchange programs -- Mozambique. ; Student exchange programs -- Germany (East) ; Socialism and education -- Germany (East)</t>
  </si>
  <si>
    <t>Enacting English across Borders : Critical Studies in the Asia Pacific</t>
  </si>
  <si>
    <t>Chowdhury, Raqib;Marlina,  Roby</t>
  </si>
  <si>
    <t>LB1576 -- .E53 2014eb</t>
  </si>
  <si>
    <t>English language -- Study and teaching. ; Language and languages -- Computer-assisted instruction.</t>
  </si>
  <si>
    <t>Metaphors for, in and of Education Research</t>
  </si>
  <si>
    <t>Midgley, Warren;Trimmer,  Karen;Davies, Andy</t>
  </si>
  <si>
    <t>LB1028 -- .M483 2013eb</t>
  </si>
  <si>
    <t>Research Studies in Higher Education : Educating Multicultural College Students</t>
  </si>
  <si>
    <t>Hicks, Terence;Pitre, Abul;Vincent, Gregory J.</t>
  </si>
  <si>
    <t>LC2781 -- .R474 2012eb</t>
  </si>
  <si>
    <t>First-generation college students</t>
  </si>
  <si>
    <t>The End of the Rainbow : How Educating for Happiness--Not Money--Would Transform Our Schools</t>
  </si>
  <si>
    <t>Engel, Susan</t>
  </si>
  <si>
    <t>LA217.2 -- .E535 2015eb</t>
  </si>
  <si>
    <t>Leading with the Brain in Mind : 101 Brain-Compatible Practices for Leaders</t>
  </si>
  <si>
    <t>Dickmann, Michael H.;Stanford-Blair, Nancy;Rosati-Bojar, Anthea L.</t>
  </si>
  <si>
    <t>Conquering the Content : A Blueprint for Online Course Design and Development</t>
  </si>
  <si>
    <t>Smith, Robin M.</t>
  </si>
  <si>
    <t>New Perspectives in Philosophy of Education : Ethics, Politics and Religion</t>
  </si>
  <si>
    <t>Lewin, David;Guilherme, Alexandre;White, Morgan;White, Morgan</t>
  </si>
  <si>
    <t>LB14.7+ -- .N497 2014eb</t>
  </si>
  <si>
    <t>Anatomy of a Professionalization Project : The Making of the Modern School Business Manager</t>
  </si>
  <si>
    <t>Woods, Charlotte</t>
  </si>
  <si>
    <t>LB2823.5 -- .W66 2014 eb</t>
  </si>
  <si>
    <t>Public schools - Great Britain - Business administration</t>
  </si>
  <si>
    <t>Universities in Decline : From the Great Society to Today</t>
  </si>
  <si>
    <t>LA227.3 -- .W537 2014eb</t>
  </si>
  <si>
    <t>Research institutes - Political aspects</t>
  </si>
  <si>
    <t>Success As an Online Student : Strategies for Effective Learning</t>
  </si>
  <si>
    <t>Fandl, Kevin J.;Smith, Jamie D.</t>
  </si>
  <si>
    <t>LB1044.87 F36 2013</t>
  </si>
  <si>
    <t>Web-based instruction. ; Internet in education. ; Computer-assisted instruction.</t>
  </si>
  <si>
    <t>Critical Cultural Awareness : Managing Stereotypes through Intercultural (Language) Education</t>
  </si>
  <si>
    <t>Houghton, Stephanie Ann;Furumura,  Yumiko;Lebedko,  Maria;Li, Song;Houghton, Stephanie Ann;Furumura, Yumiko</t>
  </si>
  <si>
    <t>HM1096 -- .C75 2013eb</t>
  </si>
  <si>
    <t>303.48;370.116</t>
  </si>
  <si>
    <t>Stereotypes (Social psychology)</t>
  </si>
  <si>
    <t>The Supervisory Assemblage : A Singular Doctoral Experience</t>
  </si>
  <si>
    <t>Done, Elizabeth J.;Done, Liz</t>
  </si>
  <si>
    <t>LB2386 -- .D66 2013eb</t>
  </si>
  <si>
    <t>Whiteness in Academia : Counter-Stories of Betrayal and Resistance</t>
  </si>
  <si>
    <t>Preston, John</t>
  </si>
  <si>
    <t>Post-intercultural Communication and Education</t>
  </si>
  <si>
    <t>LC191 -- .P74 2013eb</t>
  </si>
  <si>
    <t>Educational sociology. ; Multicultural education. ; Whites -- Race identity. ; Social change.</t>
  </si>
  <si>
    <t>Radical Academia ? Understanding the Climates for Campus Activists : New Directions for Higher Education, Number 167</t>
  </si>
  <si>
    <t>Broadhurst, Christopher J.;Martin, Georgianna L.</t>
  </si>
  <si>
    <t>LA229 -- .R33 2014eb</t>
  </si>
  <si>
    <t>Student movements -- United States. ; Student protesters -- United States. ; College students -- Political activity -- United States.</t>
  </si>
  <si>
    <t>Multidisciplinary Collaboration: Research and Relationships : New Directions for Teaching and Learning, Number 139</t>
  </si>
  <si>
    <t>Swanson, Karen Weller</t>
  </si>
  <si>
    <t>LB1029 .T4</t>
  </si>
  <si>
    <t>378.1;378.125</t>
  </si>
  <si>
    <t>Interdisciplinary approach in education. ; Teaching teams. ; Teaching.</t>
  </si>
  <si>
    <t>Building a New Generation of Culturally Responsive Evaluators Through AEA's Graduate Education Diversity Internship Program : New Directions for Evaluation, Number 143</t>
  </si>
  <si>
    <t>Collins, Prisca M.;Hopson, Rodney</t>
  </si>
  <si>
    <t>LC3727 -- .B85 2014eb</t>
  </si>
  <si>
    <t>American Evaluation Association. ; Minorities -- Education (Graduate) ; Evaluation -- Study and teaching.</t>
  </si>
  <si>
    <t>The Elephant in the Room: Corruption and Cheating in Russian Universities : Corruption and Cheating in Russian Universities</t>
  </si>
  <si>
    <t>Ibidem Verlag</t>
  </si>
  <si>
    <t>Stuttgart</t>
  </si>
  <si>
    <t>Golunov, Sergey;Umland, Andreas</t>
  </si>
  <si>
    <t>Soviet and Post-Soviet Politics and Society</t>
  </si>
  <si>
    <t>LB3609 -- .G658 2014eb</t>
  </si>
  <si>
    <t>Cheating (Education) ; Education, Higher -- Russia (Federation) ; Cheating (Education) -- Russia (Federation)</t>
  </si>
  <si>
    <t>Sparking Student Creativity : Practical Ways to Promote Innovative Thinking and Problem Solving</t>
  </si>
  <si>
    <t>Drapeau, Patti</t>
  </si>
  <si>
    <t>Inclusive Special Education : Evidence-Based Practices for Children with Special Needs and Disabilities</t>
  </si>
  <si>
    <t>Springer New York</t>
  </si>
  <si>
    <t>Hornby, Garry</t>
  </si>
  <si>
    <t>Handbook of Strategic Enrollment Management</t>
  </si>
  <si>
    <t>Hossler, Don;Bontrager, Bob</t>
  </si>
  <si>
    <t>College students -- Recruiting -- United States</t>
  </si>
  <si>
    <t>African Literacies : Ideologies, Scripts, Education</t>
  </si>
  <si>
    <t>Juffermans, Kasper;Asfaha,  Yonas Mesfun;Abdelhay,  Ashraf;Bondarev, Dmitry;Bao-Diop, Sokhna;Dyers, Charlyn;El Aissati, Abderrahman;Henriksen, Sarita Monjane;Kroon, Sjaak;Kurvers, Jeanne</t>
  </si>
  <si>
    <t>LC158.A1 -- .A375 2014eb</t>
  </si>
  <si>
    <t>Literacy -- Africa. ; Multilingualism -- Africa.</t>
  </si>
  <si>
    <t>Education and Hegemony : Social Construction of Knowledge in India in the Era of Globalisation</t>
  </si>
  <si>
    <t>Gundemeda, Nagaraju</t>
  </si>
  <si>
    <t>LC212 -- .G863 2014eb</t>
  </si>
  <si>
    <t>Discrimination in education -- India. ; Education -- Curricula -- India. ; Education -- Philosophy.</t>
  </si>
  <si>
    <t>Contemporary Issues of Equity in Education</t>
  </si>
  <si>
    <t>Somerville, Margaret;Gannon,  Susanne</t>
  </si>
  <si>
    <t>LC213.3.A8 -- .C668 2014eb</t>
  </si>
  <si>
    <t>Educational equalization -- Australia -- Congresses. ; Social justice -- Australia -- Congresses.</t>
  </si>
  <si>
    <t>Teaching and Learning English in East Asian Universities : Global Visions and Local Practices</t>
  </si>
  <si>
    <t>Qian, David D.;Li,  Lan;Qian, David D;Li, Lan</t>
  </si>
  <si>
    <t>LB1576 -- .T433 2014eb</t>
  </si>
  <si>
    <t>English language -- Study and teaching -- Arab countries. ; English language -- Study and teaching -- Arabic speakers. ; English language -- Study and teaching -- Middle East. ; English language -- Study and teaching.</t>
  </si>
  <si>
    <t>The Higher Education Scene in America : Some Observations</t>
  </si>
  <si>
    <t>Gitlow, Abraham;Gitlow, Howard</t>
  </si>
  <si>
    <t>Education, Higher - Administration</t>
  </si>
  <si>
    <t>Listen, Copy, Read : Popular Learning in Early Modern Japan</t>
  </si>
  <si>
    <t>Hayek, Matthias;Horiuchi, Annick</t>
  </si>
  <si>
    <t>Brill's Japanese Studies Library</t>
  </si>
  <si>
    <t>LA1311 .L57 2014</t>
  </si>
  <si>
    <t>Figuration Work : Student Participation, Democracy and University Reform in a Global Knowledge Economy</t>
  </si>
  <si>
    <t>Nielsen, Gritt B.</t>
  </si>
  <si>
    <t>EASA Series</t>
  </si>
  <si>
    <t>LA878.N54 2015</t>
  </si>
  <si>
    <t>Developing Creative and Critical Educational Practitioners</t>
  </si>
  <si>
    <t>Door, Victoria;Menter, Ian;Menter, Ian</t>
  </si>
  <si>
    <t>Critical Guides for Teacher Educators</t>
  </si>
  <si>
    <t>LB1775.2 .D384 2014</t>
  </si>
  <si>
    <t>Education. ; Educational leadership. ; Teachers -- Training of -- United States.</t>
  </si>
  <si>
    <t>Developing Outstanding Practice in School-Based Teacher Education</t>
  </si>
  <si>
    <t>Jones, Kim;White, Elizabeth;Menter, Ian</t>
  </si>
  <si>
    <t>Critical Guides for Teacher Educators Series</t>
  </si>
  <si>
    <t>LB1775.2 .J384 2014</t>
  </si>
  <si>
    <t>Education. ; Teachers -- Training of -- United States. ; Teachers -- Training of.</t>
  </si>
  <si>
    <t>The Professional Teacher in Further Education</t>
  </si>
  <si>
    <t>Appleyard, Keith;Appleyard, Nancy;Wallace, Susan</t>
  </si>
  <si>
    <t>LB1731</t>
  </si>
  <si>
    <t>Adult education teachers - Professional ethics - Great Britain</t>
  </si>
  <si>
    <t>Practical Ideas for Teaching Primary Science</t>
  </si>
  <si>
    <t>Cooke, Vivian;Howard, Colin</t>
  </si>
  <si>
    <t>Communication in science. ; Learning. ; Science -- Study and teaching (Primary). ; Task analysis in education.</t>
  </si>
  <si>
    <t>Vocational Education of Female Entrepreneurs in China : A Multitheoretical and Multidimensional Analysis of Successful Businesswomen's Everyday Lives</t>
  </si>
  <si>
    <t>Routledge Research in Lifelong Learning and Adult Education Series</t>
  </si>
  <si>
    <t>HD62.7 .V384 2014</t>
  </si>
  <si>
    <t>Businesswomen - China</t>
  </si>
  <si>
    <t>Blended : Using Disruptive Innovation to Improve Schools</t>
  </si>
  <si>
    <t>Horn, Michael B.;Staker, Heather;Christensen, Clayton M.</t>
  </si>
  <si>
    <t>Educational Trends : A Symposium in Belize, Central America</t>
  </si>
  <si>
    <t>Cook, Pamela R.</t>
  </si>
  <si>
    <t>Pierides</t>
  </si>
  <si>
    <t>LC189.85 -- .E383 2014eb</t>
  </si>
  <si>
    <t>Educational sociology -- Congresses.</t>
  </si>
  <si>
    <t>Local Contextual Influences on Teaching : Narrative Insights from ESL and EFL Professionals</t>
  </si>
  <si>
    <t>Ng, Patrick;Boucher-Yip,  Esther</t>
  </si>
  <si>
    <t>LC149 -- .L633 2014eb</t>
  </si>
  <si>
    <t>Literacy -- Study and teaching.</t>
  </si>
  <si>
    <t>Multilingualism and Education in Africa : The State of the State of the Art</t>
  </si>
  <si>
    <t>Orwenjo, Daniel O.;Njoroge,  Martin C.;Ndung’u,  Ruth W.;Ndung'U, Ruth W.;Njoroge, Martin C</t>
  </si>
  <si>
    <t>LC3738.A2 -- .M858 2014eb</t>
  </si>
  <si>
    <t>Education, Bilingual -- Africa.</t>
  </si>
  <si>
    <t>Research Methodology - Contemporary Practices : Guidelines for Academic Researchers</t>
  </si>
  <si>
    <t>Habib, Md. Mamun;Pathik,  Bishwajit Banik;Maryam,  Hafsa;Habib, Mamun</t>
  </si>
  <si>
    <t>LB2369 -- .H335 2014eb</t>
  </si>
  <si>
    <t>Academic writing. ; Social sciences -- Research -- Methodology.</t>
  </si>
  <si>
    <t>Virtual Teacher : Cognitive Approach to e-Learning Material</t>
  </si>
  <si>
    <t>Aberšek, Boris;Borstner,  Bojan;Bregant,  Janez</t>
  </si>
  <si>
    <t>LB1028.5 -- .A247 2014eb</t>
  </si>
  <si>
    <t>Computer-assisted instruction. ; Education -- Data processing. ; Group work in education.</t>
  </si>
  <si>
    <t>Beating Dyspraxia with a Hop, Skip and a Jump : A Simple Exercise Program to Improve Motor Skills at Home and School Revised Edition</t>
  </si>
  <si>
    <t>Platt, Geoffrey</t>
  </si>
  <si>
    <t>RJ496.A63</t>
  </si>
  <si>
    <t>Apraxia -- Exercise therapy. ; Motor ability in children. ; Movement disorders in children.</t>
  </si>
  <si>
    <t>Enhancing Communication for Individuals with Autism : A Guide to the Visual Immersion System</t>
  </si>
  <si>
    <t>Shane, Howard C.;Laubscher, Emily;Schlosser, Ralf W.;Fadie, Holly L.;Sorce, James F.;Abramson, Jennifer S.;Flynn, Suzanne;Corley, Kara</t>
  </si>
  <si>
    <t>RJ506.A9 .S536 2015</t>
  </si>
  <si>
    <t>Autistic children-Rehabilitation. ; Communicative disorders in children. ; EDUCATION / Special Education / General.-bisacsh ; MEDICAL / Audiology &amp; Speech Pathology.-bisacsh ; LANGUAGE ARTS &amp; DISCIPLINES / Speech.-bisacsh</t>
  </si>
  <si>
    <t>Knowledge in Action : University-Community Engagement in Australia</t>
  </si>
  <si>
    <t>Bartkowiak-Théron, Isabelle;Anderson,  Kathryn;Bartkowiak-Theron, Isabelle;Anderson, Kathryn</t>
  </si>
  <si>
    <t>LA2102 .B384 2014</t>
  </si>
  <si>
    <t>Education, Higher -- Social aspects -- Australia. ; Universities and colleges -- Australia. ; Universities and colleges -- Sociological aspects.</t>
  </si>
  <si>
    <t>Researching the Stereotypes of People Around Me : An Introductory Thesis Writing Course for International Students</t>
  </si>
  <si>
    <t>Houghton, Stephanie Ann</t>
  </si>
  <si>
    <t>LB2369 .H384 2014</t>
  </si>
  <si>
    <t>Education. ; Thesis writing. ; Thesis, Academic.</t>
  </si>
  <si>
    <t>Measuring Writing: Recent Insights into Theory, Methodology and Practice</t>
  </si>
  <si>
    <t>van Steendam, Elke;Tillema, Marion;Rijlaarsdam, Gert;van den Bergh, Huub</t>
  </si>
  <si>
    <t>Studies in Writing Series</t>
  </si>
  <si>
    <t>P53</t>
  </si>
  <si>
    <t>The Humboldtian Tradition : Origins and Legacies</t>
  </si>
  <si>
    <t>Josephson, Peter;Karlsohn, Thomas;Östling, Johan</t>
  </si>
  <si>
    <t>Scientific and Learned Cultures and Their Institutions Series</t>
  </si>
  <si>
    <t>LB2322.2 .H87 2014</t>
  </si>
  <si>
    <t>University Jubilees and University History Writing : A Challenging Relationship</t>
  </si>
  <si>
    <t>LA621 .U55 2014</t>
  </si>
  <si>
    <t>Adult Literacy and American Identity : The Moonlight Schools and Americanization Programs</t>
  </si>
  <si>
    <t>NeCamp, Samantha</t>
  </si>
  <si>
    <t>LC5147</t>
  </si>
  <si>
    <t>374/.0124</t>
  </si>
  <si>
    <t>From the Marine Corps to College : Transitioning from the Service to Higher Education</t>
  </si>
  <si>
    <t>Ventrone, Jillian</t>
  </si>
  <si>
    <t>UB357 -- .V34 2014eb</t>
  </si>
  <si>
    <t>378.1/982697</t>
  </si>
  <si>
    <t>Marines - Education - United States</t>
  </si>
  <si>
    <t>Mental Health Practice in Today's Schools : Issues and Interventions</t>
  </si>
  <si>
    <t>Witte, Raymond H.;Mosley- Howard, G. Susan</t>
  </si>
  <si>
    <t>RA790.5</t>
  </si>
  <si>
    <t>School children -- Mental health service</t>
  </si>
  <si>
    <t>Conformity and resistance to neo-liberal discourses : shaping a curricula based on Social Justice in Further Education and Training</t>
  </si>
  <si>
    <t>McCracken, Martin;Smith, Erica;Harte, Vicky</t>
  </si>
  <si>
    <t>Education + Training : Volume 56, Issue 7</t>
  </si>
  <si>
    <t>LB1564.G7 -- .C66 2014eb</t>
  </si>
  <si>
    <t>Education -- Curricula -- Great Britain.</t>
  </si>
  <si>
    <t>Digital Uptake in Higher Education</t>
  </si>
  <si>
    <t>Hardaker, Glenn;Anderson, Gregory</t>
  </si>
  <si>
    <t>Campus-Wide Information Systems : Volume 31, Issue 4</t>
  </si>
  <si>
    <t>LB1027 -- .D54 2014eb</t>
  </si>
  <si>
    <t>Educational innovations. ; Education.</t>
  </si>
  <si>
    <t>Studying Language through Literature : An Old Perspective Revisited and Something More</t>
  </si>
  <si>
    <t>Martino, Emilia Di;Sabato,  Bruna Di;Di Martino, Emilia;Di Sabato, Bruna</t>
  </si>
  <si>
    <t>LB1576 -- .M378 2014eb</t>
  </si>
  <si>
    <t>English language -- Study and teaching -- Activities. ; English language -- Study and teaching -- Foreign speakers. ; Language arts -- Correlation with content subjects.</t>
  </si>
  <si>
    <t>Investing in Our Education : Leading, Learning, Researching and the Doctorate</t>
  </si>
  <si>
    <t>Taysum, Alison;Rayner, Stephen</t>
  </si>
  <si>
    <t>Education, Higher -- Research. ; Doctor of philosophy degree. ; Educational leadership.</t>
  </si>
  <si>
    <t>Measuring Inclusive Education</t>
  </si>
  <si>
    <t>Forlin, Chris;Loreman, Tim</t>
  </si>
  <si>
    <t>Educational indicators</t>
  </si>
  <si>
    <t>Education, Learning, Training : Critical Issues for Development</t>
  </si>
  <si>
    <t>Martinus Nijhoff Publishers</t>
  </si>
  <si>
    <t>Carbonnier, Gilles;Carton, Michel;King, Kenneth</t>
  </si>
  <si>
    <t>International Development Policy</t>
  </si>
  <si>
    <t>LB1707 -- .E383 2014eb</t>
  </si>
  <si>
    <t>Wesleyan University, 1910-1970 : Academic Ambition and Middle-Class America</t>
  </si>
  <si>
    <t>Potts, David B.</t>
  </si>
  <si>
    <t>Xenophon’s Theory of Moral Education</t>
  </si>
  <si>
    <t>Lu, Houliang</t>
  </si>
  <si>
    <t>LB14.7 -- .L84 2015eb</t>
  </si>
  <si>
    <t>Xenophon -- Criticism and interpretation. ; Education -- Philosophy. ; Moral education.</t>
  </si>
  <si>
    <t>Transferring the Notion of Good Practice when Working with Pupils with Emotional, Behavioural and Social Difficulties in a Cypriot Educational Context</t>
  </si>
  <si>
    <t>Tryfonos, Stella</t>
  </si>
  <si>
    <t>LA1481 -- .T79 2014eb</t>
  </si>
  <si>
    <t>Education -- Cyprus.</t>
  </si>
  <si>
    <t>Issues in English Education in the Arab World</t>
  </si>
  <si>
    <t>Al-Mahrooqi, Rahma;Denman,  Christopher;Al-Mahrooqi, Rahma;Denman, Christopher</t>
  </si>
  <si>
    <t>LA1491 -- .I87 2015eb</t>
  </si>
  <si>
    <t>428.0071/056</t>
  </si>
  <si>
    <t>Education -- Arab countries. ; Education -- Middle East.</t>
  </si>
  <si>
    <t>A Forgotten Sisterhood : Pioneering Black Women Educators and Activists in the Jim Crow South</t>
  </si>
  <si>
    <t>McCluskey, Audrey Thomas</t>
  </si>
  <si>
    <t>LA2311 .F384 2014</t>
  </si>
  <si>
    <t>370.922 B</t>
  </si>
  <si>
    <t>African Americans - Education - Southern States</t>
  </si>
  <si>
    <t>China Through the Lens of Comparative Education : The Selected Works of Ruth Hayhoe</t>
  </si>
  <si>
    <t>Hayhoe, Ruth</t>
  </si>
  <si>
    <t>LA1131.82 -- .H38 2015eb</t>
  </si>
  <si>
    <t>Education - China - Philosophy</t>
  </si>
  <si>
    <t>Prep School Cowboys : Ranch Schools in the American West</t>
  </si>
  <si>
    <t>Bingmann, Melissa</t>
  </si>
  <si>
    <t>LC58.5.W47 B56 2015</t>
  </si>
  <si>
    <t>373.22/20978</t>
  </si>
  <si>
    <t>Preparatory schools -- West (U.S.) -- History. ; Private schools -- West (U.S.) -- History. ; Education -- Social aspects -- West (U.S.) -- History. ; Ranch life -- West (U.S.) ; Ranchers -- West (U.S.) ; Cowboys -- West (U.S.) -- Social life and customs. ; West (U.S.) -- Social life and customs.</t>
  </si>
  <si>
    <t>Remaking College : The Changing Ecology of Higher Education</t>
  </si>
  <si>
    <t>Stevens, Mitchell;Kirst, Michael W.</t>
  </si>
  <si>
    <t>LA226</t>
  </si>
  <si>
    <t>Education, Higher -- United States. ; Universities and colleges -- United States.</t>
  </si>
  <si>
    <t>Student Learning in College Residence Halls : What Works, What Doesn't, and Why</t>
  </si>
  <si>
    <t>Blimling, Gregory S.</t>
  </si>
  <si>
    <t>The Inverted Classroom Model : The 3rd German ICM-Conference - Proceedings</t>
  </si>
  <si>
    <t>Großkurth, Eva-Marie;Handke, Jürgen</t>
  </si>
  <si>
    <t>Active learning. ; Instructional systems -- Design. ; Teachers -- In-service training. ; Teachers -- Training of. ; Web-based instruction -- Congresses.</t>
  </si>
  <si>
    <t>Interventions in Education Systems : Reform and Development</t>
  </si>
  <si>
    <t>Scott, David;Posner, C. M.;Martin, Christopher;Guzman, Elsa;Alvarez-Macotela, Dr. Oscar</t>
  </si>
  <si>
    <t>LB2822.8 -- .I584 2015eb</t>
  </si>
  <si>
    <t>Eldorado de Laurent Gaudé (Analyse de L'oeuvre) : Analyse Complète et Résumé détaillé de L'oeuvre</t>
  </si>
  <si>
    <t>Primento</t>
  </si>
  <si>
    <t>Lemaitre Publishing</t>
  </si>
  <si>
    <t>Brussels</t>
  </si>
  <si>
    <t>Le Petit Litteraire</t>
  </si>
  <si>
    <t>lePetitLitteraire;Fleury, Agnès;Henri, René</t>
  </si>
  <si>
    <t>Fiche de Lecture Series</t>
  </si>
  <si>
    <t>PQ2667.A873 F548 2006</t>
  </si>
  <si>
    <t>Gaudé, Laurent-Criticism and interpretation.</t>
  </si>
  <si>
    <t>Antigone de Jean Anouilh (Analyse de L'oeuvre) : Analyse Complète et Résumé détaillé de L'oeuvre</t>
  </si>
  <si>
    <t>Namur</t>
  </si>
  <si>
    <t>lePetitLitteraire;Sable, Alain;Henri, René</t>
  </si>
  <si>
    <t>Les Souvenirs de David Foenkinos (Analyse de L'oeuvre) : Analyse Complète et Résumé détaillé de L'oeuvre</t>
  </si>
  <si>
    <t>lePetitLitteraire;Crochet, Anne;Dimitrov, Margot</t>
  </si>
  <si>
    <t>French literature.</t>
  </si>
  <si>
    <t>Education; Fiction</t>
  </si>
  <si>
    <t>Au Bonheur des Dames d'Émile Zola (Analyse de L'oeuvre) : Analyse Complète et Résumé détaillé de L'oeuvre</t>
  </si>
  <si>
    <t>lePetitLitteraire;Delandmeter, Anne;Couture, Maud</t>
  </si>
  <si>
    <t>Fahrenheit 451 de Ray Bradbury (Analyse de L'oeuvre) : Analyse Complète et Résumé détaillé de L'oeuvre</t>
  </si>
  <si>
    <t>lePetitLitteraire;De Clercq, Anne-Sophie;Boulanger, Apolline</t>
  </si>
  <si>
    <t>Atala de François-René de Chateaubriand (Analyse de L'oeuvre) : Analyse Complète et Résumé détaillé de L'oeuvre</t>
  </si>
  <si>
    <t>lePetitLitteraire;Puerto Gomez, Maria;Ollivier, Margaux</t>
  </si>
  <si>
    <t>Chateaubriand, François-René,-vicomte de,-1768-1848.-Atala.</t>
  </si>
  <si>
    <t>La délicatesse de David Foenkinos (Analyse de L'oeuvre) : Analyse Complète et Résumé détaillé de L'oeuvre</t>
  </si>
  <si>
    <t>lePetitLitteraire;Huchon, Audrey;Wauquez, Marie-Sophie</t>
  </si>
  <si>
    <t>La Couleur des Sentiments de Kathryn Stockett (Analyse de L'oeuvre) : Analyse Complète et Résumé détaillé de L'oeuvre</t>
  </si>
  <si>
    <t>lePetitLitteraire;Touya, Aurore;Balthasar, Florence</t>
  </si>
  <si>
    <t>Bel-Ami de Guy de Maupassant (Analyse de L'oeuvre) : Analyse Complète et Résumé détaillé de L'oeuvre</t>
  </si>
  <si>
    <t>lePetitLitteraire;Frankinet, Baptiste;Henri, René</t>
  </si>
  <si>
    <t>Maupassant, Guy de,-1850-1893.-Bel-Ami.</t>
  </si>
  <si>
    <t>D'autres Vies Que la Mienne d'Emmanuel Carrère (Analyse de L'oeuvre) : Analyse Complète et Résumé détaillé de L'oeuvre</t>
  </si>
  <si>
    <t>lePetitLitteraire;Bourguignon, Catherine;Quintard, Marie-Pierre</t>
  </si>
  <si>
    <t>Carrère, Emmanuel,-1957-</t>
  </si>
  <si>
    <t>La Valse Lente des Tortues de Katherine Pancol (Analyse de L'oeuvre) : Analyse Complète et Résumé détaillé de L'oeuvre</t>
  </si>
  <si>
    <t>lePetitLitteraire;Bourguignon, Catherine;Ramain, Célia</t>
  </si>
  <si>
    <t>Ensemble, C'est Tout d'Anna Gavalda (Analyse de L'oeuvre) : Analyse Complète et Résumé détaillé de L'oeuvre</t>
  </si>
  <si>
    <t>lePetitLitteraire;Perrel, Cécile;Cubadda, Emmanuelle</t>
  </si>
  <si>
    <t>La Bête Humaine d'Émile Zola (Analyse de L'oeuvre) : Analyse Complète et Résumé détaillé de L'oeuvre</t>
  </si>
  <si>
    <t>lePetitLitteraire;Perrel, Cécile;Biehler, Johanna</t>
  </si>
  <si>
    <t>Man-woman relationships-Fiction. ; Locomotive engineers.</t>
  </si>
  <si>
    <t>Tristan et Iseult de René Louis (Analyse de L'oeuvre) : Analyse Complète et Résumé détaillé de L'oeuvre</t>
  </si>
  <si>
    <t>lePetitLitteraire;Legros, Christelle;Lohay, Noémie</t>
  </si>
  <si>
    <t>Arthurian romances-Adaptations.</t>
  </si>
  <si>
    <t>Frankenstein de Mary Shelley (Analyse de L'oeuvre) : Analyse Complète et Résumé détaillé de L'oeuvre</t>
  </si>
  <si>
    <t>lePetitLitteraire;Cornillon, Claire;Hamou, Nasim</t>
  </si>
  <si>
    <t>La Vénus d'Ille de Prosper Mérimée (Analyse de L'oeuvre) : Analyse Complète et Résumé détaillé de L'oeuvre</t>
  </si>
  <si>
    <t>lePetitLitteraire;Cornillon, Claire;Coullet, Pauline</t>
  </si>
  <si>
    <t>Children's stories, French-History and criticism.</t>
  </si>
  <si>
    <t>Phèdre de Jean Racine (Analyse de L'oeuvre) : Analyse Complète et Résumé détaillé de L'oeuvre</t>
  </si>
  <si>
    <t>lePetitLitteraire;Cornillon, Claire;Randal, Alexandre</t>
  </si>
  <si>
    <t>Motion pictures, French. ; Feature films.</t>
  </si>
  <si>
    <t>Le Passe-Muraille de Marcel Aymé (Analyse de L'oeuvre) : Analyse Complète et Résumé détaillé de L'oeuvre</t>
  </si>
  <si>
    <t>lePetitLitteraire;Ferdinand, Julien</t>
  </si>
  <si>
    <t>Le Diable Au Corps de Raymond Radiguet (Analyse de L'oeuvre) : Analyse Complète et Résumé détaillé de L'oeuvre</t>
  </si>
  <si>
    <t>lePetitLitteraire;Leloup, Delphine;Biehler, Johanna</t>
  </si>
  <si>
    <t>Adultery-Fiction. ; Wives-Fiction.</t>
  </si>
  <si>
    <t>La Chambre des Officiers de Marc Dugain (Analyse de L'oeuvre) : Analyse Complète et Résumé détaillé de L'oeuvre</t>
  </si>
  <si>
    <t>lePetitLitteraire;Coutant-Defer, Dominique;Randal, Alexandre</t>
  </si>
  <si>
    <t>Friendship-Fiction. ; World War, 1914-1918-Fiction.</t>
  </si>
  <si>
    <t>Matilda de Roald Dahl (Analyse de L'oeuvre) : Analyse Complète et Résumé détaillé de L'oeuvre</t>
  </si>
  <si>
    <t>lePetitLitteraire;Coutant-Defer, Dominique;Murat, Eloïse</t>
  </si>
  <si>
    <t>Le Tour du Monde en Quatre-Vingts Jours de Jules Verne (Analyse de L'oeuvre) : Analyse Complète et Résumé détaillé de L'oeuvre</t>
  </si>
  <si>
    <t>lePetitLitteraire;Coutant-Defer, Dominique;Coullet, Pauline</t>
  </si>
  <si>
    <t>Cannibale de Didier Daeninckx (Analyse de L'oeuvre) : Analyse Complète et Résumé détaillé de L'oeuvre</t>
  </si>
  <si>
    <t>lePetitLitteraire;Pinaud, Elena;Duval, Larissa</t>
  </si>
  <si>
    <t>L' Appel de la forêt de Jack London (Aanalyse de L'oeuvre) : Analyse Complète et Résumé détaillé de L'oeuvre</t>
  </si>
  <si>
    <t>lePetitLitteraire;Pinaud, Elena;Lohay, Noémie</t>
  </si>
  <si>
    <t>Le Chien des Baskerville d'Arthur Conan Doyle (Analyse de L'oeuvre) : Analyse Complète et Résumé détaillé de L'oeuvre</t>
  </si>
  <si>
    <t>lePetitLitteraire;Pinaud, Elena;Biehler, Johanna</t>
  </si>
  <si>
    <t>La Belle et la Bête de Madame Leprince de Beaumont (Analyse de L'oeuvre) : Analyse Complète et Résumé détaillé de L'oeuvre</t>
  </si>
  <si>
    <t>lePetitLitteraire;Choffray, Éliane;Pépin, Margot</t>
  </si>
  <si>
    <t>Monsters-Fiction. ; Pride and vanity-Fiction.</t>
  </si>
  <si>
    <t>Le Vieil Homme et la Mer d'Ernest Hemingway (Analyse de L'oeuvre) : Analyse Complète et Résumé détaillé de L'oeuvre</t>
  </si>
  <si>
    <t>lePetitLitteraire;Thiébaut, Elodie;Coullet, Pauline</t>
  </si>
  <si>
    <t>Fishers-Fiction. ; Older people-Fiction.</t>
  </si>
  <si>
    <t>Nadja d'André Breton (Analyse de L'oeuvre) : Analyse Complète et Résumé détaillé de L'oeuvre</t>
  </si>
  <si>
    <t>lePetitLitteraire;Normand, Fanny;Carrein, Kelly</t>
  </si>
  <si>
    <t>Authorship-Collaboration.</t>
  </si>
  <si>
    <t>La Princesse des Glaces de Camilla läckberg (Analyse de L'oeuvre) : Analyse Complète et Résumé détaillé de L'oeuvre</t>
  </si>
  <si>
    <t>lePetitLitteraire;Beaugendre, Flore;Biehler, Johanna</t>
  </si>
  <si>
    <t>Le Dernier Jour d'un Condamné de Victor Hugo (Analyse de L'oeuvre) : Analyse Complète et Résumé détaillé de L'oeuvre</t>
  </si>
  <si>
    <t>lePetitLitteraire;Randal, Alexandre;Hellin, Florence</t>
  </si>
  <si>
    <t>Candide Ou l'Optimisme de Voltaire (Analyse de L'oeuvre) : Analyse Complète et Résumé détaillé de L'oeuvre</t>
  </si>
  <si>
    <t>lePetitLitteraire;Peris, Guillaume;Henri, René</t>
  </si>
  <si>
    <t>Fiction; Education</t>
  </si>
  <si>
    <t>Lettres Persanes de Montesquieu (Analyse de L'oeuvre) : Analyse Complète et Résumé détaillé de L'oeuvre</t>
  </si>
  <si>
    <t>lePetitLitteraire;Peris, Guillaume;Lhoste, Lucile</t>
  </si>
  <si>
    <t>Germinal d'Émile Zola (Analyse de L'oeuvre) : Analyse Complète et Résumé détaillé de L'oeuvre</t>
  </si>
  <si>
    <t>lePetitLitteraire;Seret, Hadrien;Lhoste, Lucile</t>
  </si>
  <si>
    <t>Le Roi Arthur de Michaël Morpurgo (Fiche de Lecture) : Analyse Complète et Résumé détaillé de L'oeuvre</t>
  </si>
  <si>
    <t>lePetitLitteraire;Seret, Hadrien</t>
  </si>
  <si>
    <t>Carmen de Prosper Mérimée (Analyse de L'oeuvre) : Analyse Complète et Résumé détaillé de L'oeuvre</t>
  </si>
  <si>
    <t>lePetitLitteraire;De Meese, Isabelle;César, Ariane</t>
  </si>
  <si>
    <t>Fiction</t>
  </si>
  <si>
    <t>L'Élégance du Hérisson de Muriel Barbery (Analyse de L'oeuvre) : Analyse Complète et Résumé détaillé de L'oeuvre</t>
  </si>
  <si>
    <t>lePetitLitteraire;Defossa, Isabelle;Vanderborght, Harmony</t>
  </si>
  <si>
    <t>Claude Gueux de Victor Hugo (Analyse de L'oeuvre) : Analyse Complète et Résumé détaillé de L'oeuvre</t>
  </si>
  <si>
    <t>lePetitLitteraire;Sculier, Ivan;Randal, Alexandre</t>
  </si>
  <si>
    <t>Le Papa de Simon de Guy de Maupassant (Analyse de L'oeuvre) : Analyse Complète et Résumé détaillé de L'oeuvre</t>
  </si>
  <si>
    <t>lePetitLitteraire;Vansteenbrugge, Jessica;Bourras, Bachir</t>
  </si>
  <si>
    <t>Le Tartuffe de Molière (Analyse de L'oeuvre) : Analyse Complète et Résumé détaillé de L'oeuvre</t>
  </si>
  <si>
    <t>lePetitLitteraire;Jusseret, Kathy;Randal, Alexandre</t>
  </si>
  <si>
    <t>Enfance de Nathalie Sarraute (Analyse de L'oeuvre) : Analyse Complète et Résumé détaillé de L'oeuvre</t>
  </si>
  <si>
    <t>lePetitLitteraire;Coscioli, Léa;Pépin, Margot</t>
  </si>
  <si>
    <t>Novelists, French-20th century-Biography.</t>
  </si>
  <si>
    <t>Des Souris et des Hommes de John Steinbeck (Analyse de L'oeuvre) : Analyse Complète et Résumé détaillé de L'oeuvre</t>
  </si>
  <si>
    <t>lePetitLitteraire;Tailler, Maël;Coullet, Pauline</t>
  </si>
  <si>
    <t>La Peste d'Albert Camus (Analyse de L'oeuvre) : Analyse Complète et Résumé détaillé de L'oeuvre</t>
  </si>
  <si>
    <t>lePetitLitteraire;Tailler, Maël;Lhoste, Lucile</t>
  </si>
  <si>
    <t>La Peur et Autres Contes Fantastiques de Guy de Maupassant (Analyse de L'oeuvre) : Analyse Complète et Résumé détaillé de L'oeuvre</t>
  </si>
  <si>
    <t>lePetitLitteraire;Andreetto, Marie;César, Ariane</t>
  </si>
  <si>
    <t>Roméo et Juliette de William Shakespeare (Analyse de L'oeuvre) : Analyse Complète et Résumé détaillé de L'oeuvre</t>
  </si>
  <si>
    <t>lePetitLitteraire;Biehler, Johanna;Kuta, Mélanie</t>
  </si>
  <si>
    <t>Journal du Voleur de Jean Genet (Analyse de L'oeuvre) : Analyse Complète et Résumé détaillé de L'oeuvre</t>
  </si>
  <si>
    <t>lePetitLitteraire;Hassoun, Myriam;Somssich, Alice</t>
  </si>
  <si>
    <t>Books and reading-Fiction.</t>
  </si>
  <si>
    <t>Indignez-Vous ! de Stéphane Hessel (Analyse de L'oeuvre) : Analyse Complète et Résumé détaillé de L'oeuvre</t>
  </si>
  <si>
    <t>lePetitLitteraire;Cerf, Natacha;Hamou, Nasim</t>
  </si>
  <si>
    <t>World politics-20th century.</t>
  </si>
  <si>
    <t>Thérèse Raquin d'Émile Zola (Analyse de L'oeuvre) : Analyse Complète et Résumé détaillé de L'oeuvre</t>
  </si>
  <si>
    <t>lePetitLitteraire;Cerf, Natacha;Coullet, Pauline</t>
  </si>
  <si>
    <t>Paris (France)-Social life and customs-Fiction.</t>
  </si>
  <si>
    <t>Émile Ou de l'éducation de Jean-Jacques Rousseau (Fiche de Lecture) : Analyse Complète et Résumé détaillé de L'oeuvre</t>
  </si>
  <si>
    <t>lePetitLitteraire;Roland, Nathalie</t>
  </si>
  <si>
    <t>Stupeur et Tremblements d'Amélie Nothomb (Analyse de L'oeuvre) : Analyse Complète et Résumé détaillé de L'oeuvre</t>
  </si>
  <si>
    <t>lePetitLitteraire;Dewez, Nausicaa;Randal, Alexandre</t>
  </si>
  <si>
    <t>Le Petit Prince d'Antoine de Saint-Exupéry (Analyse de L'oeuvre) : Analyse Complète et Résumé détaillé de L'oeuvre</t>
  </si>
  <si>
    <t>lePetitLitteraire;Weber, Pierre;Henri, René</t>
  </si>
  <si>
    <t>Le Père Goriot d'Honoré de Balzac (Analyse de L'oeuvre) : Analyse Complète et Résumé détaillé de L'oeuvre</t>
  </si>
  <si>
    <t>lePetitLitteraire;Weber, Pierre;Balthasar, Florence</t>
  </si>
  <si>
    <t>Fathers and daughters-Fiction. ; Older men-Fiction.</t>
  </si>
  <si>
    <t>Si C'est un Homme de Primo Levi (Analyse de L'oeuvre) : Analyse Complète et Résumé détaillé de L'oeuvre</t>
  </si>
  <si>
    <t>lePetitLitteraire;Greindl, Sibylle;Randal, Alexandre</t>
  </si>
  <si>
    <t>La Fée Carabine de Daniel Pennac (Analyse de L'oeuvre) : Analyse Complète et Résumé détaillé de L'oeuvre</t>
  </si>
  <si>
    <t>lePetitLitteraire;Nève, Thylla;Pépin, Margot</t>
  </si>
  <si>
    <t>Andromaque de Jean Racine (Analyse de L'oeuvre) : Analyse Complète et Résumé détaillé de L'oeuvre</t>
  </si>
  <si>
    <t>lePetitLitteraire;Graulich, Tram-Bach;Biehler, Johanna</t>
  </si>
  <si>
    <t>Le Jour du Chien de Caroline Lamarche (Analyse de L'oeuvre) : Analyse Complète et Résumé détaillé de L'oeuvre</t>
  </si>
  <si>
    <t>lePetitLitteraire;Guillaume, Vincent;Wauquez, Marie-Sophie</t>
  </si>
  <si>
    <t>Short stories-Fiction.</t>
  </si>
  <si>
    <t>L' existentialisme Est un Humanisme de Jean-Paul Sartre (Analyse de L'oeuvre) : Analyse Complète et Résumé détaillé de L'oeuvre</t>
  </si>
  <si>
    <t>lePetitLitteraire;Guillaume, Vincent;Randal, Alexandre</t>
  </si>
  <si>
    <t>Le Horla de Guy de Maupassant (Analyse de L'oeuvre) : Analyse Complète et Résumé détaillé de L'oeuvre</t>
  </si>
  <si>
    <t>lePetitLitteraire;Jooris, Vincent;de Gouveia, Erika</t>
  </si>
  <si>
    <t>Designing and Teaching Undergraduate Capstone Courses</t>
  </si>
  <si>
    <t>Hauhart, Robert C.;Grahe, Jon E.</t>
  </si>
  <si>
    <t>College students -- Rating of</t>
  </si>
  <si>
    <t>Change Leadership in Higher Education : A Practical Guide to Academic Transformation</t>
  </si>
  <si>
    <t>Quick Answers for Busy Teachers : Solutions to 60 Common Challenges</t>
  </si>
  <si>
    <t>Breaux, Annette;Whitaker, Todd</t>
  </si>
  <si>
    <t>Classroom management -- Handbooks, manuals, etc. ; Teacher-student relationships -- Handbooks, manuals, etc. ; Effective teaching -- Handbooks, manuals, etc. ; Parent-teacher relationships -- Handbooks, manuals, etc. ; Teachers -- Professional relationships -- Handbooks, manuals, etc.</t>
  </si>
  <si>
    <t>Developing and Managing Your School Guidance and Counseling Program</t>
  </si>
  <si>
    <t>Gysbers, Norman C.;Henderson, Patricia</t>
  </si>
  <si>
    <t>371.4/220973</t>
  </si>
  <si>
    <t>Educational counseling -- United States</t>
  </si>
  <si>
    <t>Learning Technologies and the Body : Integration and Implementation in Formal and Informal Learning Environments</t>
  </si>
  <si>
    <t>Lee, Victor R.</t>
  </si>
  <si>
    <t>LB1028.3 -- .L378 2015eb</t>
  </si>
  <si>
    <t>Educational technology. ; Human-computer interaction. ; User interfaces (Computer systems) ; Movement, Psychology of.</t>
  </si>
  <si>
    <t>Disability Services and Disability Studies in Higher Education: History, Contexts, and Social Impacts</t>
  </si>
  <si>
    <t>Oslund, C.</t>
  </si>
  <si>
    <t>Human body-Social aspects</t>
  </si>
  <si>
    <t>Lifelong Education for Adults : An International Handbook</t>
  </si>
  <si>
    <t>Pergamon</t>
  </si>
  <si>
    <t>Titmus, C. J.</t>
  </si>
  <si>
    <t>Advances in Education Series</t>
  </si>
  <si>
    <t>LC5215 .L495 2014</t>
  </si>
  <si>
    <t>Adult education -- Handbooks, manuals, etc. ; Continuing education -- Handbooks, manuals, etc.</t>
  </si>
  <si>
    <t>Learning and Study Strategies : Issues in Assessment, Instruction, and Evaluation</t>
  </si>
  <si>
    <t>Edwards, Allen J.;Weinstein, Claire E.;Goetz, Ernest T.;Alexander, Patricia A.</t>
  </si>
  <si>
    <t>LB1060 .L4235 2014</t>
  </si>
  <si>
    <t>Cognitive styles -- Congresses</t>
  </si>
  <si>
    <t>Using Evidence of Student Learning to Improve Higher Education</t>
  </si>
  <si>
    <t>Kuh, George D.;Ikenberry, Stanley O.;Jankowski, Natasha A.;Cain, Timothy Reese;Ewell, Peter T.;Hutchings, Pat;Kinzie, Jillian</t>
  </si>
  <si>
    <t>378.1/6620973</t>
  </si>
  <si>
    <t>Educational tests and measurements -- United States -- Evaluation</t>
  </si>
  <si>
    <t>Inspiring Middle and Secondary Learners : Honoring Differences and Creating Community Through Differentiating Instructional Practices</t>
  </si>
  <si>
    <t>Kryza, Kathleen;Stephens, S. Joy;Duncan, Alicia M.</t>
  </si>
  <si>
    <t>LB1029.D55.K79 2007</t>
  </si>
  <si>
    <t>The Science of Play : How to Build Playgrounds That Enhance Children's Development</t>
  </si>
  <si>
    <t>Solomon, Susan G.</t>
  </si>
  <si>
    <t>GV425</t>
  </si>
  <si>
    <t>796.06/8</t>
  </si>
  <si>
    <t>Playgrounds -- Design and construction.</t>
  </si>
  <si>
    <t>The Hidden Curriculum in Health Professional Education</t>
  </si>
  <si>
    <t>Hafferty, Frederic W.;O'Donnell, Joseph F.;Baldwin Jr., DeWitt C.</t>
  </si>
  <si>
    <t>R834</t>
  </si>
  <si>
    <t>Professional education</t>
  </si>
  <si>
    <t>Evaluating the Quality of Learning : The SOLO Taxonomy (Structure of the Observed Learning Outcome)</t>
  </si>
  <si>
    <t>Biggs, John B.;Collis, Kevin F.;Edward, Allen J.</t>
  </si>
  <si>
    <t>LB1055.B53 1982eb</t>
  </si>
  <si>
    <t>Educational psychology. ; Cognition in children.</t>
  </si>
  <si>
    <t>Space Space Space Gr. 1-3</t>
  </si>
  <si>
    <t>Classroom Complete Press</t>
  </si>
  <si>
    <t>Rainbow Horizons Publishing</t>
  </si>
  <si>
    <t>Trembach, Vera</t>
  </si>
  <si>
    <t>Space Set</t>
  </si>
  <si>
    <t>QB61.T746 1997</t>
  </si>
  <si>
    <t>Astronomy--Study and teaching.</t>
  </si>
  <si>
    <t>Constructing Modern Asian Citizenship</t>
  </si>
  <si>
    <t>Vickers, Edward;Kumar, Krishna</t>
  </si>
  <si>
    <t>JQ24 .C66 2014</t>
  </si>
  <si>
    <t>Student Engagement Online: What Works and Why : ASHE Higher Education Report, Volume 40, Number 6</t>
  </si>
  <si>
    <t>Meyer, Katrina A.;AEHE,;Meyer, Katrina A</t>
  </si>
  <si>
    <t>LB1028.3 -- .M49 2014eb</t>
  </si>
  <si>
    <t>Education -- Effect of technological innovations on.</t>
  </si>
  <si>
    <t>Methodological Advances and Issues in Studying College Impact : New Directions for Institutional Research, Number 161</t>
  </si>
  <si>
    <t>Bowman, Nicholas A.;Herzog, Serge</t>
  </si>
  <si>
    <t>LB2326.3 -- .M48 2014eb</t>
  </si>
  <si>
    <t>Education, Higher -- Research -- Methodology. ; College students -- Psychology. ; Education, Higher -- Research -- United States.</t>
  </si>
  <si>
    <t>International Teacher Education : Promising Pedagogies</t>
  </si>
  <si>
    <t>Craig, Cheryl J.;Orland-Barak, Lily</t>
  </si>
  <si>
    <t>22, Part A</t>
  </si>
  <si>
    <t>LB1025-1050.75</t>
  </si>
  <si>
    <t>Transforming Schools Using Project-Based Learning, Performance Assessment, and Common Core Standards</t>
  </si>
  <si>
    <t>Lenz, Bob;Wells, Justin;Kingston, Sally</t>
  </si>
  <si>
    <t>LB1027.43.L46 2015</t>
  </si>
  <si>
    <t>Project method in teaching. ; EDUCATION / Teaching Methods &amp; Materials / General.</t>
  </si>
  <si>
    <t>Here's How Children Learn Speech and Language: a Text on Different Learning Strategies</t>
  </si>
  <si>
    <t>Plural Publishing</t>
  </si>
  <si>
    <t>Plural Publishing, Incorporated</t>
  </si>
  <si>
    <t>371.91/42</t>
  </si>
  <si>
    <t>Black Male Collegians: Increasing Access, Retention, and Persistence in Higher Education : ASHE Higher Education Report 40:3</t>
  </si>
  <si>
    <t>Palmer, Robert T.;Wood, J. Luke;Dancy, T. Elon;Strayhorn, Terrell L.</t>
  </si>
  <si>
    <t>LC2781.P34 2014</t>
  </si>
  <si>
    <t>African American men--Education (Higher). ; African American male college students. ; Education, Higher. ; Universities and colleges. ; African American boys--Education. ; Community and college. ; African American boys--Education. (OCoLC)fst00799056. ; African American male college students. (OCoLC)fst01736758. ; African American men--Education (Higher) (OCoLC)fst00799244. ; Community and college. (OCoLC)fst00870663. ; Education, Higher. (OCoLC)fst00903005. ; Universities and colleges. (OCoLC)fst01161597. ; Schwarze. (DE-588)4116433-7. ; Student. (DE-588)4058167-6. ; Hochschulbildung. (DE-588)4160198-1. ; College. (DE-588)4148217-7. ; USA. (DE-588)4078704-7.</t>
  </si>
  <si>
    <t>New Scholarship in Critical Quantitative Research, Part 1: Studying Institutions and People in Context : New Directions for Institutional Research, Number 158</t>
  </si>
  <si>
    <t>Stage, Frances K.;Wells, Ryan S.;I. R.,;Wells, Ryan S</t>
  </si>
  <si>
    <t>LB1028.24 .S384 2014</t>
  </si>
  <si>
    <t>Education, Higher -- Research -- United States. ; Quantitative research. ; Universities and colleges -- Research.</t>
  </si>
  <si>
    <t>John Dewey and the Future of Community College Education</t>
  </si>
  <si>
    <t>Harbour, Clifford P.</t>
  </si>
  <si>
    <t>LB2328.15</t>
  </si>
  <si>
    <t>Dewey, John, -- 1859-1952 -- Views on education</t>
  </si>
  <si>
    <t>Reimagining Liberal Education : Affiliation and Inquiry in Democratic Schooling</t>
  </si>
  <si>
    <t>Alexander, Hanan</t>
  </si>
  <si>
    <t>Solution-Focused Counseling in Schools</t>
  </si>
  <si>
    <t>Murphy, John J.</t>
  </si>
  <si>
    <t>Counseling in middle school education -- United States -- Case studies</t>
  </si>
  <si>
    <t>MOOCs : Design, Use and Business Models</t>
  </si>
  <si>
    <t>Wiley-ISTE</t>
  </si>
  <si>
    <t>Pomerol, Jean-Charles;Epelboin, Yves;Thoury, Claire</t>
  </si>
  <si>
    <t>MOOCs (Web-based instruction)</t>
  </si>
  <si>
    <t>Discussion in the College Classroom : Getting Your Students Engaged and Participating in Person and Online</t>
  </si>
  <si>
    <t>Howard, Jay R.;Weimer, Maryellen</t>
  </si>
  <si>
    <t>LB2331.H68 2015</t>
  </si>
  <si>
    <t>College teaching. ; Seminars.</t>
  </si>
  <si>
    <t>Essentials of Gifted Assessment</t>
  </si>
  <si>
    <t>Pfeiffer, Steven I.;Kaufman, Alan S.;Kaufman, Nadeen L.</t>
  </si>
  <si>
    <t>371.9/52</t>
  </si>
  <si>
    <t>Gifted children -- Identification</t>
  </si>
  <si>
    <t>Creating Courses for Adults : Design for Learning</t>
  </si>
  <si>
    <t>St. Clair, Ralf</t>
  </si>
  <si>
    <t>Essentials of WJ IV Tests of Achievement</t>
  </si>
  <si>
    <t>Mather, Nancy;Wendling, Barbara J.</t>
  </si>
  <si>
    <t>LB1131.75.W66M373</t>
  </si>
  <si>
    <t>Woodcock-Johnson Psycho-Educational Battery.</t>
  </si>
  <si>
    <t>Emotionally Intelligent Leadership for Students : Facilitation and Activity Guide</t>
  </si>
  <si>
    <t>Levy Shankman, Marcy;Allen, Scott J.;Haber-Curran, Paige</t>
  </si>
  <si>
    <t>LB2346 .L384 2015</t>
  </si>
  <si>
    <t>Emotionally Intelligent Leadership for Students : Student Workbook</t>
  </si>
  <si>
    <t>LB2806 .L384 2015</t>
  </si>
  <si>
    <t>Mobile Learning : A Handbook for Developers, Educators, and Learners</t>
  </si>
  <si>
    <t>McQuiggan, Scott;McQuiggan, Jamie;Sabourin, Jennifer;Kosturko, Lucy</t>
  </si>
  <si>
    <t>Mobile communication systems in education. ; Educational technology.</t>
  </si>
  <si>
    <t>Learning Personalized : The Evolution of the Contemporary Classroom</t>
  </si>
  <si>
    <t>Zmuda, Allison;Curtis, Greg;Ullman, Diane</t>
  </si>
  <si>
    <t>Individualized instruction -- United States</t>
  </si>
  <si>
    <t>Raising Kids Who Read : What Parents and Teachers Can Do</t>
  </si>
  <si>
    <t>Reading promotion</t>
  </si>
  <si>
    <t>Emotionally Intelligent Leadership : A Guide for Students</t>
  </si>
  <si>
    <t>Community College Finance : A Guide for Institutional Leaders</t>
  </si>
  <si>
    <t>Mullin, Christopher M.;Baime, David S.;Honeyman, David S.</t>
  </si>
  <si>
    <t>Community colleges -- United States -- Finance.</t>
  </si>
  <si>
    <t>101 More Ways to Make Training Active</t>
  </si>
  <si>
    <t>Biech, Elaine</t>
  </si>
  <si>
    <t>Active Training Series</t>
  </si>
  <si>
    <t>Emotionally Intelligent Leadership for Students : Inventory</t>
  </si>
  <si>
    <t>Levy Shankman, Marcy;Allen, Scott J.;Miguel, Rosanna</t>
  </si>
  <si>
    <t>Rapid Instructional Design : Learning ID Fast and Right</t>
  </si>
  <si>
    <t>Piskurich, George M.</t>
  </si>
  <si>
    <t>371.3/34</t>
  </si>
  <si>
    <t>Instructional systems -- Design.</t>
  </si>
  <si>
    <t>Go Blended! : A Handbook for Blending Technology in Schools</t>
  </si>
  <si>
    <t>Arney, Liz</t>
  </si>
  <si>
    <t>LB1028.5</t>
  </si>
  <si>
    <t>Education -- Effect of technological innovations on -- Handbooks, manuals, etc</t>
  </si>
  <si>
    <t>Creating Cultures of Thinking : The 8 Forces We Must Master to Truly Transform Our Schools</t>
  </si>
  <si>
    <t>Ritchhart, Ron</t>
  </si>
  <si>
    <t>Thought and thinking -- Study and teaching</t>
  </si>
  <si>
    <t>Building Academic Leadership Capacity : A Guide to Best Practices</t>
  </si>
  <si>
    <t>Gmelch, Walter H.;Buller, Jeffrey L.</t>
  </si>
  <si>
    <t>College administrators</t>
  </si>
  <si>
    <t>STEM to Story : Enthralling and Effective Lesson Plans for Grades 5-8</t>
  </si>
  <si>
    <t>Activity Learning : Discovering, Recognizing, and Predicting Human Behavior from Sensor Data</t>
  </si>
  <si>
    <t>Cook, Diane J.;Krishnan, Narayanan C.</t>
  </si>
  <si>
    <t>Wiley Series on Parallel and Distributed Computing Series</t>
  </si>
  <si>
    <t>LB1027.23 .C665 2015</t>
  </si>
  <si>
    <t>Detectors -- Data processing</t>
  </si>
  <si>
    <t>Critical Perspectives on Global Competition in Higher Education : New Directions for Higher Education, Number 168</t>
  </si>
  <si>
    <t>Portnoi, Laura M.;Bagley, Sylvia S.;Bagley, Sylvia S;Portnoi,;Bagley, Sylvia S;Portnoi,</t>
  </si>
  <si>
    <t>LB2325 -- .C758 2014eb</t>
  </si>
  <si>
    <t>Education, Higher. ; Competition, International. ; International education. ; Education and globalization.</t>
  </si>
  <si>
    <t>The Skillful Teacher : On Technique, Trust, and Responsiveness in the Classroom</t>
  </si>
  <si>
    <t>Swimming Upstream: Black Males in Adult Education : New Directions for Adult and Continuing Education, Number 144</t>
  </si>
  <si>
    <t>Rosser-Mims, Dionne;Schwartz, Joni;Drayton, Brendaly;Guy, Talmadge C.</t>
  </si>
  <si>
    <t>LC2699 -- .S95 2014eb</t>
  </si>
  <si>
    <t>African American men -- Education -- Social aspects. ; Adult education. ; African American men -- Education (Higher) ; African American men -- Social conditions. ; African American college students.</t>
  </si>
  <si>
    <t>Strategic Directions for Career Services Within the University Setting : New Directions for Student Services, Number 148</t>
  </si>
  <si>
    <t>Smith, Kelli K.;Smith, Kelli K;Smith,</t>
  </si>
  <si>
    <t>LB2343 -- .S773 2014eb</t>
  </si>
  <si>
    <t>Counseling in higher education. ; Vocational guidance.</t>
  </si>
  <si>
    <t>Inclusive Teaching: Presence in the Classroom : New Directions for Teaching and Learning, Number 140</t>
  </si>
  <si>
    <t>Thomas, Cornell</t>
  </si>
  <si>
    <t>LC1200 -- .I53 2014eb</t>
  </si>
  <si>
    <t>Inclusive education. ; Teachers -- Attitudes.</t>
  </si>
  <si>
    <t>Budget and Finance in the American Community College : New Directions for Community Colleges, Number 168</t>
  </si>
  <si>
    <t>Bers, Trudy H.;Head, Ronald B.;Palmer, James C.</t>
  </si>
  <si>
    <t>378.1;378.15430973</t>
  </si>
  <si>
    <t>Community colleges -- United States -- Finance. ; Education, Higher -- United States -- Finance.</t>
  </si>
  <si>
    <t>The School Leadership Playbook : A Field Guide for Dramatic Improvement</t>
  </si>
  <si>
    <t>Desravines, Jean;Fenton, Benjamin</t>
  </si>
  <si>
    <t>LB2806 .D436 2015</t>
  </si>
  <si>
    <t>Revenue Generation Strategies: Leveraging Higher Education Resources for Increased Income : AEHE Volume 41, Number 1</t>
  </si>
  <si>
    <t>Alstete, Jeffrey W.</t>
  </si>
  <si>
    <t>LB2341.98 -- .A47 2014eb</t>
  </si>
  <si>
    <t>Education, Higher -- Finance. ; Universities and colleges -- Finance. ; Nonprofit organizations -- Management. ; Revenue.</t>
  </si>
  <si>
    <t>Dual Enrollment Policies, Pathways, and Perspectives : New Directions for Community Colleges, Number 169</t>
  </si>
  <si>
    <t>Taylor, Jason L.;Pretlow, Joshua</t>
  </si>
  <si>
    <t>LB2359.5 -- .D835 2015eb</t>
  </si>
  <si>
    <t>College credits -- United States. ; Dual enrollment. ; High school students -- Education (Higher) -- United States.</t>
  </si>
  <si>
    <t>Accreditation, Certification, and Credentialing: Relevant Concerns for U. S. Evaluators : New Directions for Evaluation, Number 145</t>
  </si>
  <si>
    <t>Altschuld, James W.;Engle, Molly</t>
  </si>
  <si>
    <t>LB2355 -- .A53 2015eb</t>
  </si>
  <si>
    <t>362.1;362.1068</t>
  </si>
  <si>
    <t>Accreditation (Education) ; Evaluation research (Social action programs) ; Certification.</t>
  </si>
  <si>
    <t>Enhancing and Expanding Undergraduate Research: a Systems Approach : New Directions for Higher Education, Number 169</t>
  </si>
  <si>
    <t>Malachowski, Mitchell;Osborn, Jeffrey M.;Karukstis, Kerry K.;Ambos, Elizabeth L.</t>
  </si>
  <si>
    <t>LB2326.3 -- .E543 2015eb</t>
  </si>
  <si>
    <t>Universities and colleges -- Research. ; Universities and colleges -- Research -- United States. ; Research -- Study and teaching (Higher) -- United States. ; University cooperation -- United States. ; Consortia -- United States.</t>
  </si>
  <si>
    <t>Teaching the Common Core Math Standards with Hands-On Activities, Grades 9-12</t>
  </si>
  <si>
    <t>Muschla, Gary R.</t>
  </si>
  <si>
    <t>Mathematics--Study and teaching (Middle school)</t>
  </si>
  <si>
    <t>Looking and Learning: Visual Literacy Across the Disciplines : New Directions for Teaching and Learning, Number 141</t>
  </si>
  <si>
    <t>Little, Deandra;Felten, Peter;Berry, Chad</t>
  </si>
  <si>
    <t>LB1068 -- .L665 2015eb</t>
  </si>
  <si>
    <t>Visual literacy. ; Visual learning.</t>
  </si>
  <si>
    <t>The School Counseling and School Social Work Treatment Planner, with DSM-5 Updates, 2nd Edition</t>
  </si>
  <si>
    <t>Knapp, Sarah Edison;Berghuis, David J.;Dimmitt, Catherine L.</t>
  </si>
  <si>
    <t>PracticePlanners Series</t>
  </si>
  <si>
    <t>LB1027.5.K588 2014</t>
  </si>
  <si>
    <t>Educational counseling. ; School social work. ; PSYCHOLOGY / Psychotherapy / Child &amp; Adolescent. bisacsh.</t>
  </si>
  <si>
    <t>Assessing Civic Engagement : New Directions for Institutional Research, Number 162</t>
  </si>
  <si>
    <t>Terkla, Dawn Geronimo;O'Leary, Lisa S.;Terkla, Dawn Geronimo</t>
  </si>
  <si>
    <t>LC238 -- .A874 2014eb</t>
  </si>
  <si>
    <t>Community and college -- United States. ; Service learning -- United States. ; Student volunteers in social service -- United States.</t>
  </si>
  <si>
    <t>Learning Communities from Start to Finish : New Directions for Student Services, Number 149</t>
  </si>
  <si>
    <t>Benjamin, Mimi;Benjamin, Mimi</t>
  </si>
  <si>
    <t>LB1731 -- .L437 2015eb</t>
  </si>
  <si>
    <t>Professional learning communities. ; Team learning approach in education -- United States. ; College teaching -- United States. ; Group work in education -- United States.</t>
  </si>
  <si>
    <t>Public Policy and Higher Education: Strategies for Framing a Research Agenda : ASHE Higher Education Report, Volume 41, Number 2</t>
  </si>
  <si>
    <t>Hillman, Nicholas W.;Tandberg, David A.;Sponsler, Brian A.</t>
  </si>
  <si>
    <t>LB2326.3 -- .H55 2015eb</t>
  </si>
  <si>
    <t>Education, Higher -- Research.</t>
  </si>
  <si>
    <t>Learning Cities for Adult Learners : New Directions for Adult and Continuing Education, Number 145</t>
  </si>
  <si>
    <t>Scott, Leodis</t>
  </si>
  <si>
    <t>LC5215 -- .L43 2015eb</t>
  </si>
  <si>
    <t>Adult education. ; Continuing education.</t>
  </si>
  <si>
    <t>Inquiry-Based Learning for Faculty and Institutional Development : A Conceptual and Practical Resource for Educators</t>
  </si>
  <si>
    <t>Blessinger, Patrick;Carfora, John M.</t>
  </si>
  <si>
    <t>Innovations in Higher Education Teaching and Learning Series</t>
  </si>
  <si>
    <t>Inquiry-based learning.</t>
  </si>
  <si>
    <t>Inquiry-Based Learning for the Arts, Humanities and Social Sciences : A Conceptual and Practical Resource for Educators</t>
  </si>
  <si>
    <t>Inquiry-based learning</t>
  </si>
  <si>
    <t>Videogames and Education</t>
  </si>
  <si>
    <t>Brown, Harry J.</t>
  </si>
  <si>
    <t>GV1469.34.P79 -- B76 2008eb</t>
  </si>
  <si>
    <t>Video games -- Psychological aspects</t>
  </si>
  <si>
    <t>Teaching the Humanities Online: a Practical Guide to the Virtual Classroom : A Practical Guide to the Virtual Classroom</t>
  </si>
  <si>
    <t>Hoffman, Steven J.;Hoffman, Steven J.</t>
  </si>
  <si>
    <t>History, Humanities, and New Technology</t>
  </si>
  <si>
    <t>AZ182 -- .T43 2011eb</t>
  </si>
  <si>
    <t>Humanities -- Study and teaching. ; Humanities -- Study and teaching -- Technological innovations. ; Web-based instruction. ; Distance education.</t>
  </si>
  <si>
    <t>Patriots or Traitors : A History of American Educated Chinese Students</t>
  </si>
  <si>
    <t>Bieler, Stacey</t>
  </si>
  <si>
    <t>LC3071 -- .B54 2015eb</t>
  </si>
  <si>
    <t>Chinese students -- United States -- History. ; Returned students -- China -- History. ; China -- Civilization -- Western influences.</t>
  </si>
  <si>
    <t>Introducing Economics: a Critical Guide for Teaching : A Critical Guide for Teaching</t>
  </si>
  <si>
    <t>Maier, Mark H.;Nelson, Julie</t>
  </si>
  <si>
    <t>HB74.5 -- .M35 2007eb</t>
  </si>
  <si>
    <t>Economics -- Study and teaching (Secondary)</t>
  </si>
  <si>
    <t>Moodle Gradebook</t>
  </si>
  <si>
    <t>Moodle. ; Instructional systems -- Design. ; Computer-assisted instruction -- Computer programs -- Electronic books.</t>
  </si>
  <si>
    <t>Checking for Understanding : Formative Assessment Techniques for Your Classroom</t>
  </si>
  <si>
    <t>Educating Black Girls</t>
  </si>
  <si>
    <t>Chicago, IL</t>
  </si>
  <si>
    <t>LC2717 .K865 2015</t>
  </si>
  <si>
    <t>African American girls-Education. ; African American students. ; African Americans-Education.</t>
  </si>
  <si>
    <t>Enabling Communication in Children with Autism</t>
  </si>
  <si>
    <t>Potter, Carol;Whittaker, Christopher</t>
  </si>
  <si>
    <t>La Citadelle : Layle Lane and Social Activism in Twentieth-Century America</t>
  </si>
  <si>
    <t>Bethel, Leonard L.</t>
  </si>
  <si>
    <t>LA2317.L364 -- B48 2015eb</t>
  </si>
  <si>
    <t>323.092 B</t>
  </si>
  <si>
    <t>Lane, Layle</t>
  </si>
  <si>
    <t>Educating the Next Generation : Improving Teacher Quality in Cambodia</t>
  </si>
  <si>
    <t>Tandon, Prateek;Fukao, Tsuyoshi</t>
  </si>
  <si>
    <t>LB1727.C16 -- .T36 2015eb</t>
  </si>
  <si>
    <t>Teachers -- Training of -- Cambodia. ; Teacher effectiveness -- Cambodia. ; Education and state -- Cambodia.</t>
  </si>
  <si>
    <t>Educational Leadership: Perspectives on Preparation and Practice</t>
  </si>
  <si>
    <t>Haynes, Norris M.;Arafeh, Sousan;McDaniels, Cynthia</t>
  </si>
  <si>
    <t>LB2805 -- .E38 2015eb</t>
  </si>
  <si>
    <t>Who's Afraid of Academic Freedom?</t>
  </si>
  <si>
    <t>Bilgrami, Akeel;Cole, Jonathan R.</t>
  </si>
  <si>
    <t>LC72.2 -- .W48 2015eb</t>
  </si>
  <si>
    <t>Academic freedom - Moral and ethical aspects - United States</t>
  </si>
  <si>
    <t>Al-Qaeda Goes to College : Impact of the War on Terror on American Higher Education</t>
  </si>
  <si>
    <t>Castagnera, James Ottavio</t>
  </si>
  <si>
    <t>LC173.C38 2009eb</t>
  </si>
  <si>
    <t>Domestic terrorism - United States</t>
  </si>
  <si>
    <t>Great Teachers : How to Raise Student Learning in Latin America and the Caribbean</t>
  </si>
  <si>
    <t>Bruns, Barbara;Luque, Javier;de Gregorio, Soledad</t>
  </si>
  <si>
    <t>LB1025.3 -- .B786 2015eb</t>
  </si>
  <si>
    <t>Teaching -- South America. ; Teaching -- Caribbean Area.</t>
  </si>
  <si>
    <t>Academic Leadership in Higher Education : From the Top down and the Bottom Up</t>
  </si>
  <si>
    <t>Sternberg, Robert J.;Davis, Elizabeth;Mason, April C.;Smith, Robert V.;Vitter, Jeffrey S.;Wheatly, Michele</t>
  </si>
  <si>
    <t>LB2341 .A228 2015</t>
  </si>
  <si>
    <t>The History and Practice of College Health</t>
  </si>
  <si>
    <t>Turner, H. Spencer;Hurley, Janet L.</t>
  </si>
  <si>
    <t>LB3497.3 -- .H57 2010eb</t>
  </si>
  <si>
    <t>378.1/971</t>
  </si>
  <si>
    <t>College students -- Health and hygiene -- United States -- History. ; College students -- Medical care -- United States -- History.</t>
  </si>
  <si>
    <t>The Little White Schoolhouse</t>
  </si>
  <si>
    <t>Hartford, Ellis F.</t>
  </si>
  <si>
    <t>LA292 -- .H378 2004eb</t>
  </si>
  <si>
    <t>Public schools -- Kentucky -- History. ; School size.</t>
  </si>
  <si>
    <t>Fifty Years of Segregation : Black Higher Education in Kentucky, 1904-1954</t>
  </si>
  <si>
    <t>Hardin, John A.</t>
  </si>
  <si>
    <t>LC212.722.K4.H37 19</t>
  </si>
  <si>
    <t>378.769/08996073</t>
  </si>
  <si>
    <t>Segregation in higher education -- Kentucky -- History. ; African American universities and colleges -- Kentucky -- History.</t>
  </si>
  <si>
    <t>The Path to a Larger Life : Creating Kentucky's Educational Future</t>
  </si>
  <si>
    <t>Prichard Committee, Prichard;Prichard Committee for Academic Excellence,</t>
  </si>
  <si>
    <t>LC90.K4 -- .P753 1990eb</t>
  </si>
  <si>
    <t>Education and state -- Kentucky. ; Education -- Economic aspects -- Kentucky. ; Public schools -- Kentucky. ; Teachers -- Kentucky. ; School administrators -- Kentucky. ; Education, Higher -- Kentucky.</t>
  </si>
  <si>
    <t>Transylvania : Tutor to the West</t>
  </si>
  <si>
    <t>Wright, John D., Jr.</t>
  </si>
  <si>
    <t>Transylvania University-History.</t>
  </si>
  <si>
    <t>A Black Educator in the Segregated South : Kentucky's Rufus B. Atwood</t>
  </si>
  <si>
    <t>Smith, Gerald L.</t>
  </si>
  <si>
    <t>LC2851.K417 1929.S6</t>
  </si>
  <si>
    <t>Atwood, Rufus B., -- 1897- ; Kentucky State College (Frankfort, Ky.) -- Presidents -- Biography. ; Segregation in higher education -- Kentucky -- History.</t>
  </si>
  <si>
    <t>A College for Appalachia : Alice Lloyd on Caney Creek</t>
  </si>
  <si>
    <t>Searles, P. David</t>
  </si>
  <si>
    <t>LA2317.L75.S43 1995</t>
  </si>
  <si>
    <t>370/.092 B</t>
  </si>
  <si>
    <t>Lloyd, Alice, -- -1962. ; Alice Lloyd College -- History. ; Educators -- Kentucky -- Biography. ; Appalachian Region -- History.</t>
  </si>
  <si>
    <t>Western Kentucky University</t>
  </si>
  <si>
    <t>Harrison, Lowell H.</t>
  </si>
  <si>
    <t>LD5941.W5.H37 1987eb</t>
  </si>
  <si>
    <t>378.769/74</t>
  </si>
  <si>
    <t>Western Kentucky University -- History.</t>
  </si>
  <si>
    <t>Albert D. Kirwan</t>
  </si>
  <si>
    <t>Mathias, Frank F.</t>
  </si>
  <si>
    <t>LD2772.7 1968.M37 1</t>
  </si>
  <si>
    <t>Kirwan, Albert Dennis.</t>
  </si>
  <si>
    <t>Highlander : No Ordinary School 1932-1962</t>
  </si>
  <si>
    <t>Glen, John M.</t>
  </si>
  <si>
    <t>LC5301.M65.G55 1988</t>
  </si>
  <si>
    <t>Highlander Folk School (Monteagle, Tenn.) -- History. ; Adult education -- Tennessee -- History. ; Working class -- Education -- Tennessee -- History.</t>
  </si>
  <si>
    <t>Keeping the University Free and Growing</t>
  </si>
  <si>
    <t>Donovan, Herman Lee</t>
  </si>
  <si>
    <t>LD2762.D6 1959eb</t>
  </si>
  <si>
    <t>University of Kentucky.</t>
  </si>
  <si>
    <t>Moral and Spiritual Values in Education : A Challenge to Every American</t>
  </si>
  <si>
    <t>Bower, William Clayton</t>
  </si>
  <si>
    <t>LC268.B694 1952eb</t>
  </si>
  <si>
    <t>Moral education.</t>
  </si>
  <si>
    <t>Schools for All : The Blacks and Public Education in the South, 1865-1877</t>
  </si>
  <si>
    <t>Vaughn, William Preston</t>
  </si>
  <si>
    <t>LC2802.S9.V38 1974eb</t>
  </si>
  <si>
    <t>African Americans -- Education -- Southern States -- History.</t>
  </si>
  <si>
    <t>An American Experience in Indonesia : The University of Kentucky Affiliation with the Agricultural University at Bogor</t>
  </si>
  <si>
    <t>Beers, Howard W.</t>
  </si>
  <si>
    <t>LB2331.5.B447 1971eb</t>
  </si>
  <si>
    <t>Institut Pertanian Bogor. ; University cooperation -- Indonesia. ; University cooperation -- Kentucky.</t>
  </si>
  <si>
    <t>Agriculture; Education</t>
  </si>
  <si>
    <t>Education for Tragedy : Essays in Disenchanted Hope for Modern Man</t>
  </si>
  <si>
    <t>Benne, Kenneth D.</t>
  </si>
  <si>
    <t>LB45.B44 1967eb</t>
  </si>
  <si>
    <t>Educational anthropology.</t>
  </si>
  <si>
    <t>The Gates Open Slowly : A History of Education in Kentucky</t>
  </si>
  <si>
    <t>McVey, Frank L.</t>
  </si>
  <si>
    <t>LA292.M3 1949eb</t>
  </si>
  <si>
    <t>Education -- Kentucky -- History.</t>
  </si>
  <si>
    <t>Education and Responsibility</t>
  </si>
  <si>
    <t>Romein, Tunis</t>
  </si>
  <si>
    <t>LC268.R58 1955eb</t>
  </si>
  <si>
    <t>Power and Empowerment in Higher Education : Studies in Honor of Louis Smith</t>
  </si>
  <si>
    <t>Robertson, D. B.;Robertson, D B</t>
  </si>
  <si>
    <t>LB2331.4.P63 1978eb</t>
  </si>
  <si>
    <t>Smith, Louis, -- 1905-1994. ; University autonomy. ; Higher education and state. ; Universities and colleges -- Administration.</t>
  </si>
  <si>
    <t>The University in the American Future</t>
  </si>
  <si>
    <t>Stroup, Thomas B.</t>
  </si>
  <si>
    <t>LA228.U558 1966eb</t>
  </si>
  <si>
    <t>Universities and colleges -- United States. ; Education, Higher.</t>
  </si>
  <si>
    <t>The University of Kentucky : A Pictorial History</t>
  </si>
  <si>
    <t>Cone, Carl B.</t>
  </si>
  <si>
    <t>378.769/47/09</t>
  </si>
  <si>
    <t>University Crisis and Student Protests in Africa : The 2005 -2006 University Students' Strike in Cameroon</t>
  </si>
  <si>
    <t>Nyamnjoh, Francis B.;Konings, Piet;Nkwi, Walter Gam</t>
  </si>
  <si>
    <t>Participatory Action Research for Educational Leadership : Using Data-Driven Decision Making to Improve Schools</t>
  </si>
  <si>
    <t>James, E. Alana;Milenkiewicz, Margaret T.;Bucknam, Alan J.</t>
  </si>
  <si>
    <t>LB1028.24.J36 2008eb</t>
  </si>
  <si>
    <t>International Perspectives on Children's Play</t>
  </si>
  <si>
    <t>Roopnarine, Jaipaul;Patte, Michael;Johnson, James;Kuschner, David</t>
  </si>
  <si>
    <t>BF721 .I584 2015</t>
  </si>
  <si>
    <t>Child development. ; Child rearing. ; Dependency (Psychology) ; Identity (Psychology) in children.</t>
  </si>
  <si>
    <t>Creative Ways to Teach Primary Science</t>
  </si>
  <si>
    <t>Cross, Alan;Board, Jon</t>
  </si>
  <si>
    <t>LB1585.C76 2014eb</t>
  </si>
  <si>
    <t>Leading Change in the Early Years</t>
  </si>
  <si>
    <t>Rodd, Jillian</t>
  </si>
  <si>
    <t>UK Higher Education Humanities and Social Sciences Education Series</t>
  </si>
  <si>
    <t>LB2805.R633 2015eb</t>
  </si>
  <si>
    <t>Educational change. ; Educational leadership. ; Social change.</t>
  </si>
  <si>
    <t>Collaborative Imagination : Earning Activism Through Literacy Education</t>
  </si>
  <si>
    <t>Feigenbaum, Paul</t>
  </si>
  <si>
    <t>379.2/40973</t>
  </si>
  <si>
    <t>Literacy--Social aspects--United States. ; Literacy programs--United States. ; Communication in social action--United States. ; Rhetoric--Political aspects--United States. ; Social justice--Study and teaching. ; Social action--United States. ; LANGUAGE ARTS &amp; DISCIPLINES / Literacy. bisacsh. ; LANGUAGE ARTS &amp; DISCIPLINES / Study &amp; Teaching. bisacsh.</t>
  </si>
  <si>
    <t>New Perspectives on Yenching University, 1916-1952 : A Liberal Education for a New China</t>
  </si>
  <si>
    <t>Rosenbaum, Arthur Lewis</t>
  </si>
  <si>
    <t>LG51.P95 .N49 2012</t>
  </si>
  <si>
    <t>Yanjing da xue-History-20th century. ; Biculturalism-China.</t>
  </si>
  <si>
    <t>Nicholas Miraculous : The Amazing Career of the Redoubtable Dr. Nicholas Murray Butler</t>
  </si>
  <si>
    <t>Rosenthal, Michael;O’Toole, Patricia</t>
  </si>
  <si>
    <t>LD1239 .R67 2015</t>
  </si>
  <si>
    <t>Columbia University - Presidents</t>
  </si>
  <si>
    <t>Expanding Opportunities for the Next Generation : Early Childhood Development in the Middle East and North Africa</t>
  </si>
  <si>
    <t>El-Kogali, Safaa;Krafft, Caroline</t>
  </si>
  <si>
    <t>LB1139.3.M628 -- .E5 2015eb</t>
  </si>
  <si>
    <t>Early childhood education -- Middle East. ; Early childhood education -- Africa, North. ; Early childhood education -- Middle East -- Case studies. ; Early childhood education -- Africa, North -- Case studies.</t>
  </si>
  <si>
    <t>Increasing Language Skills of Students from Low-Income Backgrounds: Practical Strategies for Professionals, Second Edition</t>
  </si>
  <si>
    <t>LC4091 -- .R674 2013eb</t>
  </si>
  <si>
    <t>Poverty - psychology - United States</t>
  </si>
  <si>
    <t>Pathways to Success Through Identity-Based Motivation</t>
  </si>
  <si>
    <t>Oyserman, Daphna</t>
  </si>
  <si>
    <t>153.1/534</t>
  </si>
  <si>
    <t>Goal (Psychology)</t>
  </si>
  <si>
    <t>The Dyspraxic Learner : Strategies for Success</t>
  </si>
  <si>
    <t>Patrick, Alison</t>
  </si>
  <si>
    <t>Children with disabilities -- Education. ; Movement disorders in children. ; Apraxia.</t>
  </si>
  <si>
    <t>Dictionary of Education</t>
  </si>
  <si>
    <t>Philosophical Library, Incorporated</t>
  </si>
  <si>
    <t>Dewey, John</t>
  </si>
  <si>
    <t>LB875 .D494 1959</t>
  </si>
  <si>
    <t>Education-Dictionaries.</t>
  </si>
  <si>
    <t>Creating Multicultural Change on Campus</t>
  </si>
  <si>
    <t>Pope, Raechele L.;Reynolds, Amy L.;Mueller, John A.;McTighe Musil, Caryn</t>
  </si>
  <si>
    <t>Multicultural education -- United States</t>
  </si>
  <si>
    <t>Supporting Student Affairs Professionals : New Directions for Community Colleges, Number 166</t>
  </si>
  <si>
    <t>Ozaki, C. Casey;Hornak, Anne M.;Lunceford, Christina J.</t>
  </si>
  <si>
    <t>LB2342.9 -- .S877 2014eb</t>
  </si>
  <si>
    <t>Student affairs services. ; Student affairs administrators. ; Community college administrators.</t>
  </si>
  <si>
    <t>Re-Imagining Relationships in Education : Ethics, Politics and Practices</t>
  </si>
  <si>
    <t>Griffiths, Morwenna;Honerød Hoveid, Marit;Todd, Sharon;Winter, Christine</t>
  </si>
  <si>
    <t>PHILOSOPHY / History &amp; Surveys / General</t>
  </si>
  <si>
    <t>Five Skills to Learning How to Learn : From Confusion to AHA!</t>
  </si>
  <si>
    <t>Durham, Guinevere</t>
  </si>
  <si>
    <t>Inside the Bauhaus</t>
  </si>
  <si>
    <t>Elsevier Science &amp; Technology Books</t>
  </si>
  <si>
    <t>Architectural Press</t>
  </si>
  <si>
    <t>Dearstyne, Howard;Spaeth, David</t>
  </si>
  <si>
    <t>N332.G33.D43 1986eb</t>
  </si>
  <si>
    <t>709/.2/2</t>
  </si>
  <si>
    <t>Bauhaus -- History. ; Art schools -- Germany -- Berlin. ; Art, German -- Germany -- Berlin -- 20th century.</t>
  </si>
  <si>
    <t>Engineering Agriculture at Texas A&amp;M : The First Hundred Years</t>
  </si>
  <si>
    <t>Dethloff, Henry C.;Searcy, Stephen W.</t>
  </si>
  <si>
    <t>Texas A&amp;M AgriLife Research and Extension Service Series</t>
  </si>
  <si>
    <t>LD5309 -- .D484 2015eb</t>
  </si>
  <si>
    <t>378.764/242</t>
  </si>
  <si>
    <t>Texas A &amp; M University. -- Department of Biological &amp; Agricultural Engineering -- History. ; Texas A &amp; M University. -- Department of Biological &amp; Agricultural Engineering -- Biography. ; Agricultural engineering -- Study and teaching -- Texas -- College Station.</t>
  </si>
  <si>
    <t>Summative Assessment in the Early Years</t>
  </si>
  <si>
    <t>Sharman, Carole;Cross, Wendy;Vennis, Diana</t>
  </si>
  <si>
    <t>LB1139.23 -- .S537 2015eb</t>
  </si>
  <si>
    <t>Early childhood education. ; Education -- Standards. ; Educational evaluation.</t>
  </si>
  <si>
    <t>From the Navy to College : Transitioning from the Service to Higher Education</t>
  </si>
  <si>
    <t>Ventrone, Jillian;Blue, Robert W., Jr.;Blue, Robert W.</t>
  </si>
  <si>
    <t>UB357 -- .V343 2015eb</t>
  </si>
  <si>
    <t>Sailors -- Education -- United States</t>
  </si>
  <si>
    <t>Transforming Teacher Education : Reconfiguring the Academic Work</t>
  </si>
  <si>
    <t>Ellis, Viv;McNicholl, Jane</t>
  </si>
  <si>
    <t>LB1715 -- .E455 2015eb</t>
  </si>
  <si>
    <t>378.1/20941</t>
  </si>
  <si>
    <t>College teachers - In-service training - England</t>
  </si>
  <si>
    <t>Understanding Authority in Higher Education</t>
  </si>
  <si>
    <t>Smith, Dean O.</t>
  </si>
  <si>
    <t>LB2341 -- .S658 2015eb</t>
  </si>
  <si>
    <t>378.1/010973</t>
  </si>
  <si>
    <t>The Handbook of the Study of Play</t>
  </si>
  <si>
    <t>Johnson, James E.;Eberle, Scott G.;Henricks, Thomas S.;Kuschner, David</t>
  </si>
  <si>
    <t>B105.P54 -- .H358 2015eb</t>
  </si>
  <si>
    <t>Play -- Social aspects</t>
  </si>
  <si>
    <t>Fine Arts; Philosophy</t>
  </si>
  <si>
    <t>Working with Teachers and Other Support Staff for Inclusive Education</t>
  </si>
  <si>
    <t>Chambers, Dianne;Forlin, Chris</t>
  </si>
  <si>
    <t>LC1200-1203</t>
  </si>
  <si>
    <t>Teachers'' assistants -- Training of. ; Inclusive education.</t>
  </si>
  <si>
    <t>Research on Preparing Inservice Teachers to Work Effectively with Emergent Bilinguals</t>
  </si>
  <si>
    <t>Freeman, Yvonne S.;Freeman, David E.</t>
  </si>
  <si>
    <t>L</t>
  </si>
  <si>
    <t>Issues in Religion and Education : Whose Religion?</t>
  </si>
  <si>
    <t>Beaman, Lori G.;Van Arragon, Leo</t>
  </si>
  <si>
    <t>Religion in the public schools-Cross-cultural studies-Congresses. ; Church and education-Cross-cultural studies-Congresses.</t>
  </si>
  <si>
    <t>Teaching Communication Skills to Students with Severe Disabilities</t>
  </si>
  <si>
    <t>Downing, June E.;Hanreddy, Amy;Peckham-Hardin, Kathryn D.;Soto, Gloria</t>
  </si>
  <si>
    <t>LC4028 .D696 2015</t>
  </si>
  <si>
    <t>Children with disabilities-Education. ; Language arts. ; Communicative disorders in children. ; Language disorders in children. ; EDUCATION / Inclusive Education.-bisacsh ; MEDICAL / Audiology &amp; Speech Pathology.-bisacsh ; EDUCATION / Special Education / Communicative Disorders.-bisacsh</t>
  </si>
  <si>
    <t>Massaging the Mindset : An Intelligent Approach to Systemic Change in Education</t>
  </si>
  <si>
    <t>Nace, Felecia</t>
  </si>
  <si>
    <t>School improvement programs -- United States</t>
  </si>
  <si>
    <t>Sex and the Soul, Updated Edition : Juggling Sexuality, Spirituality, Romance, and Religion on America's College Campuses</t>
  </si>
  <si>
    <t>Freitas, Donna</t>
  </si>
  <si>
    <t>BL625.9.C64 -- .F74 2015eb</t>
  </si>
  <si>
    <t>205/.664088378198</t>
  </si>
  <si>
    <t>Church college students - Sexual behavior - United States</t>
  </si>
  <si>
    <t>Get Set for Study Abroad</t>
  </si>
  <si>
    <t>Barron, Tom</t>
  </si>
  <si>
    <t>Get Set for University EUP</t>
  </si>
  <si>
    <t>LB2376 -- .B37 2006eb</t>
  </si>
  <si>
    <t>Education, Higher. ; Foreign study -- Handbooks, manuals, etc.</t>
  </si>
  <si>
    <t>Get Set for Teacher Training</t>
  </si>
  <si>
    <t>Skinner, Don</t>
  </si>
  <si>
    <t>LB1707 -- .S55 2005eb</t>
  </si>
  <si>
    <t>Teachers -- Training of. ; Teaching.</t>
  </si>
  <si>
    <t>Developing Safer Schools and Communities for Our Children : The Interdisciplinary Responsibility of Our Time</t>
  </si>
  <si>
    <t>Gunzelmann, Betsy</t>
  </si>
  <si>
    <t>The Conscience of a Teacher : More Than Fulfilling a Contract</t>
  </si>
  <si>
    <t>Babbage, Keen</t>
  </si>
  <si>
    <t>LB1779 -- .B34 2015eb</t>
  </si>
  <si>
    <t>Teachers -- Professional ethics</t>
  </si>
  <si>
    <t>Effective Content Reading Strategies to Develop Mathematical and Scientific Literacy : Supporting the Common Core State Standards and the Next Generation Science Standards</t>
  </si>
  <si>
    <t>Pugalee, David K.</t>
  </si>
  <si>
    <t>QA13 -- .P86 2015eb</t>
  </si>
  <si>
    <t>507.1/2073</t>
  </si>
  <si>
    <t>Civility, Compassion, and Courage in Schools Today : Strategies for Implementing in K-12 Classrooms</t>
  </si>
  <si>
    <t>Kohler-Evans, Patricia;Dowd Barnes, Candice</t>
  </si>
  <si>
    <t>LC311 -- .K645 2015eb</t>
  </si>
  <si>
    <t>Common Core State Standards for Grade 9 : Language Arts Instructional Strategies and Activities</t>
  </si>
  <si>
    <t>Manville, Michelle</t>
  </si>
  <si>
    <t>LB1631 -- .M38546 2015eb</t>
  </si>
  <si>
    <t>Language arts (Middle school) -- Curricula -- United States -- States. ; Language arts (Middle school) -- Standards -- United States -- States. ; Common Core State Standards (Education)</t>
  </si>
  <si>
    <t>Interactive Student Centered Learning : A Cooperative Approach to Learning</t>
  </si>
  <si>
    <t>Spooner, Edward</t>
  </si>
  <si>
    <t>LB1027.23 -- .S599 2015eb</t>
  </si>
  <si>
    <t>Student-centered learning.</t>
  </si>
  <si>
    <t>Indigenous Education : Language, Culture and Identity</t>
  </si>
  <si>
    <t>Jacob, W. James;Cheng, Sheng Yao;Porter, Maureen K.</t>
  </si>
  <si>
    <t>Indigenous peoples -- Education.</t>
  </si>
  <si>
    <t>Embracing Indigenous Knowledge in Science and Medical Teaching</t>
  </si>
  <si>
    <t>Hewson, Mariana G.</t>
  </si>
  <si>
    <t>Global Universities and Urban Development: Case Studies and Analysis : Case Studies and Analysis</t>
  </si>
  <si>
    <t>Wiewel, Wim;Perry, David C.</t>
  </si>
  <si>
    <t>LC237 -- .G56 2008eb</t>
  </si>
  <si>
    <t>Community development, Urban -- Case studies</t>
  </si>
  <si>
    <t>Education and Social Change in China: Inequality in a Market Economy : Inequality in a Market Economy</t>
  </si>
  <si>
    <t>Postiglione, Gerard A.</t>
  </si>
  <si>
    <t>LC191.8.C5 -- E38 2006eb</t>
  </si>
  <si>
    <t>306.43/20951</t>
  </si>
  <si>
    <t>Educational sociology -- China -- Congresses. ; Educational equalization -- China -- Congresses. ; Education, Rural -- China -- Congresses. ; Education and state -- China -- Congresses.</t>
  </si>
  <si>
    <t>An Introduction to the Internationalization of Higher Education : Essential Topics</t>
  </si>
  <si>
    <t>Arabkheradmand, Ali;Shabani, Enayat A.;Zand-Moghadam, Amir;Bahrami, Hossein Samadi;Derakhshesh, Ali;Golkhandan, Arya Rahimi</t>
  </si>
  <si>
    <t>Reclaiming the Teaching Profession : Transforming the Dialogue on Public Education</t>
  </si>
  <si>
    <t>Hatch, J. Amos</t>
  </si>
  <si>
    <t>LA217.2 -- .H383 2015eb</t>
  </si>
  <si>
    <t>Writing and Understanding Poetry for Teachers and Students : A Heart's Craft</t>
  </si>
  <si>
    <t>Keyworth, Suzanne;Robison, Cassandra</t>
  </si>
  <si>
    <t>PN1059.A9 -- .K499 2015eb</t>
  </si>
  <si>
    <t>Poetry -- Authorship. ; Poetics.</t>
  </si>
  <si>
    <t>An Empty Curriculum : The Need to Reform Teacher Licensing Regulations and Tests</t>
  </si>
  <si>
    <t>Stotsky, Sandra</t>
  </si>
  <si>
    <t>379.1/57</t>
  </si>
  <si>
    <t>Teachers -- Training of -- United States -- Handbooks, manuals, etc</t>
  </si>
  <si>
    <t>National Assessments of Educational Achievement, Volume 4 : Analyzing Data from a National Assessment of Educational Achievement</t>
  </si>
  <si>
    <t>Shiel, Gerry;Cartwright, Fernando;Greaney, Vincent</t>
  </si>
  <si>
    <t>LB3051 -- .S554 2015eb</t>
  </si>
  <si>
    <t>The Education Apocalypse : How It Happened and How to Survive It</t>
  </si>
  <si>
    <t>Reynolds, Glenn</t>
  </si>
  <si>
    <t>LA217.2 -- .R49 2015eb</t>
  </si>
  <si>
    <t>Public schools -- United States. ; Educational change -- United States. ; Education -- Effect of technological innovations on.</t>
  </si>
  <si>
    <t>The University As Urban Developer: Case Studies and Analysis : Case Studies and Analysis</t>
  </si>
  <si>
    <t>Perry, David C.;Wiewel, Wim</t>
  </si>
  <si>
    <t>LC238.U546</t>
  </si>
  <si>
    <t>Urban universities and colleges - Environmental aspects - United States - Case studies.</t>
  </si>
  <si>
    <t>The Power of Peers in the Classroom : Enhancing Learning and Social Skills</t>
  </si>
  <si>
    <t>Harris, Karen R.;Meltzer, Lynn</t>
  </si>
  <si>
    <t>LB1031.5 .P695 2015</t>
  </si>
  <si>
    <t>Children with disabilities -- Education. ; Peer teaching. ; Special education.</t>
  </si>
  <si>
    <t>Japanese Higher Education As Myth</t>
  </si>
  <si>
    <t>McVeigh, Brian J.</t>
  </si>
  <si>
    <t>LA1312 -- .M384 2015eb</t>
  </si>
  <si>
    <t>Education, Higher -- Japan -- History -- 21st century.</t>
  </si>
  <si>
    <t>Brainstorming Common Core : Challenging the Way We Think about Education</t>
  </si>
  <si>
    <t>Lee, Eldon "Cap"</t>
  </si>
  <si>
    <t>LB3060.83 -- .L44 2015eb</t>
  </si>
  <si>
    <t>Academic achievement -- United States</t>
  </si>
  <si>
    <t>The Prison Path : School Practices That Hurt Our Youth</t>
  </si>
  <si>
    <t>Clemson, Christen E.</t>
  </si>
  <si>
    <t>Right to education</t>
  </si>
  <si>
    <t>Managing Your Classroom 2nd Edition</t>
  </si>
  <si>
    <t>LB3013 .D595 2007</t>
  </si>
  <si>
    <t>Resources for Teaching Mathematics: 11-14 : 11-14</t>
  </si>
  <si>
    <t>QA135.6 .F678 2011</t>
  </si>
  <si>
    <t>Curriculum planning. ; Lesson planning. ; Mathematics -- Study and teaching (Middle school)</t>
  </si>
  <si>
    <t>100 Ideas for Teaching Design and Technology</t>
  </si>
  <si>
    <t>TS171.4 -- .S646 2011eb</t>
  </si>
  <si>
    <t>372.35/8</t>
  </si>
  <si>
    <t>Industrial design -- Study and teaching (Elementary) ; Industrial design -- Study and teaching (Secondary) ; Technology -- Study and teaching (Elementary) ; Technology -- Study and teaching (Secondary)</t>
  </si>
  <si>
    <t>The If Machine : Philosophical Enquiry in the Classroom</t>
  </si>
  <si>
    <t>Worley, Peter;Levi, Tamar</t>
  </si>
  <si>
    <t>LB1590.3.W67 2011</t>
  </si>
  <si>
    <t>Critical thinking--Study and teaching (Elementary). ; Reflective learning. ; Children and philosophy.</t>
  </si>
  <si>
    <t>100+ Ideas for Teaching Mathematics</t>
  </si>
  <si>
    <t>QA11 -- .O454 2011eb</t>
  </si>
  <si>
    <t>The If Odyssey : A Philosophical Journey Through Greek Myth and Storytelling For 8 - 16-Year-Olds</t>
  </si>
  <si>
    <t>BL785</t>
  </si>
  <si>
    <t>Homer. -- Odyssey. ; Storytelling in education. ; Mythology, Greek -- Study and teaching (Elementary) ; Mythology, Greek -- Study and teaching (Secondary) ; Philosophy -- Study and teaching (Elementary) ; Philosophy -- Study and teaching (Secondary) ; Interdisciplinary approach in education.</t>
  </si>
  <si>
    <t>Performing Science : Teaching Chemistry, Physics and Biology Through Drama</t>
  </si>
  <si>
    <t>Abrahams, Ian;Braund, Martin;Abrahams, Ian</t>
  </si>
  <si>
    <t>Q181 -- .P3544 2012eb</t>
  </si>
  <si>
    <t>Science -- Study and teaching (Secondary) -- Activity programs -- Great Britain. ; Drama in education -- Great Britain.</t>
  </si>
  <si>
    <t>Getting the Buggers to Behave : The Must-Have Behaviour Management Bible</t>
  </si>
  <si>
    <t>LB3013 -- .C69 2014eb</t>
  </si>
  <si>
    <t>Classroom management -- Handbooks, manuals, etc. ; Behavior modification -- Study and teaching.</t>
  </si>
  <si>
    <t>The Dyscalculia Solution : Teaching Number Sense</t>
  </si>
  <si>
    <t>Emerson, Jane;Babtie, Patricia</t>
  </si>
  <si>
    <t>LC4704 -- .E447 2014eb</t>
  </si>
  <si>
    <t>Learning disabled children -- Education. ; Acalculia -- Patients -- Education.</t>
  </si>
  <si>
    <t>Impact : How Assistant Principals Can Be High Performing Leaders</t>
  </si>
  <si>
    <t>Colwell, Christopher</t>
  </si>
  <si>
    <t>LB2831.92 -- .C659 2015eb</t>
  </si>
  <si>
    <t>Assistant school principals - United States</t>
  </si>
  <si>
    <t>The Politics of Authentic Engagement : Perspectives, Strategies, and Tools for Student Success</t>
  </si>
  <si>
    <t>Leslie, Kathy;Taccogna, Judy</t>
  </si>
  <si>
    <t>LC71.2.L46 2014</t>
  </si>
  <si>
    <t>Educational planning. ; School management and organization. ; Education--Parent participation. ; Community and school. ; Academic achievement.</t>
  </si>
  <si>
    <t>Promoting Global Competence and Social Justice in Teacher Education : Successes and Challenges Within Local and International Contexts</t>
  </si>
  <si>
    <t>Schwarzer, David;Bridglall, Beatrice L.;Ates, Burcu;Boer, Perien Joniell;Brown, Alexandra;Burke, Marya;Caena, Francesca;Camicia, Steven;Di Stefano, Marialuisa;Gichiru, Wangari</t>
  </si>
  <si>
    <t>LB1715 -- .P766 2015eb</t>
  </si>
  <si>
    <t>Behind the Curtain : Tackling the Myths and Mistakes of School Management</t>
  </si>
  <si>
    <t>Barber, Anthony P.;Capolupo, James P.</t>
  </si>
  <si>
    <t>LB2805 -- .B27219 2015eb</t>
  </si>
  <si>
    <t>School management and organization -- United States.</t>
  </si>
  <si>
    <t>From School Delusion to Design : Mixed-Age Groups and Values-Led Transformation</t>
  </si>
  <si>
    <t>Barnard, Peter A.</t>
  </si>
  <si>
    <t>LC41 -- .B365 2015eb</t>
  </si>
  <si>
    <t>Out-of-School Youth in Sub-Saharan Africa : A Policy Perspective</t>
  </si>
  <si>
    <t>Inoue, Keiko;di Gropello, Emanuela;Taylor, Yesim Sayin;James, Gresham</t>
  </si>
  <si>
    <t>LC45.3 -- .O98 2015eb</t>
  </si>
  <si>
    <t>Non-formal education -- Africa, Sub-Saharan. ; Youth -- Africa, Sub-Saharan.</t>
  </si>
  <si>
    <t>Kent State and May 4th : A Social Science Perspective</t>
  </si>
  <si>
    <t>The Kent State University Press</t>
  </si>
  <si>
    <t>Ashland</t>
  </si>
  <si>
    <t>Hensley, Thomas R.;Lewis, Jerry M.</t>
  </si>
  <si>
    <t>LD4191.O72 -- K46 2010eb</t>
  </si>
  <si>
    <t>378.771/37</t>
  </si>
  <si>
    <t>Kent State Shootings, Kent, Ohio, 1970.</t>
  </si>
  <si>
    <t>Understanding the Digital Generation : Teaching and Learning in the New Digital Landscape</t>
  </si>
  <si>
    <t>Jukes, Ian;McCain, Ted;Watanabe-Crockett, Lee</t>
  </si>
  <si>
    <t>The 21st Century Fluency Series</t>
  </si>
  <si>
    <t>LB1028.3 .J854 2010</t>
  </si>
  <si>
    <t>Educational technology.</t>
  </si>
  <si>
    <t>How to Stop Bullying and Social Aggression : Elementary Grade Lessons and Activities That Teach Empathy, Friendship, and Respect</t>
  </si>
  <si>
    <t>Breakstone, Steve;Dreiblatt, Michael;Dreiblatt, Karen</t>
  </si>
  <si>
    <t>LB3013.3.B745 2008</t>
  </si>
  <si>
    <t>Thinking and Acting Like a Behavioral School Counselor</t>
  </si>
  <si>
    <t>LB1027.5 .P377 2009</t>
  </si>
  <si>
    <t>Educational counseling. ; Student counselors. ; Problem children-Behavior modification.</t>
  </si>
  <si>
    <t>Financial Mastery for the Career Teacher</t>
  </si>
  <si>
    <t>Siciliano, Gene</t>
  </si>
  <si>
    <t>HG179 .S469 2010</t>
  </si>
  <si>
    <t>332.0240024/3711</t>
  </si>
  <si>
    <t>Teachers-Finance, Personal. ; First year teachers-Finance, Personal.</t>
  </si>
  <si>
    <t>Succeeding with English Language Learners : A Guide for Beginning Teachers</t>
  </si>
  <si>
    <t>Farrell, Thomas S. C.</t>
  </si>
  <si>
    <t>PE1404 .F359 2006</t>
  </si>
  <si>
    <t>English language-Study and teaching-Foreign speakers-Handbooks, manuals, etc.</t>
  </si>
  <si>
    <t>Genuine School Leadership : Experience, Reflection, and Beliefs</t>
  </si>
  <si>
    <t>Rebore, Ronald W., Sr.;Walmsley, Angela L. E.</t>
  </si>
  <si>
    <t>LB2801.A2R435 2009</t>
  </si>
  <si>
    <t>Bringing Your Learning Community to Life : A Road Map for Sustainable School Improvement</t>
  </si>
  <si>
    <t>Kaagan, Stephen S.;Headley, Linda L.</t>
  </si>
  <si>
    <t>LB1731 .K224 2010</t>
  </si>
  <si>
    <t>Teachers-In-service training-United States. ; Professional learning communities-United States. ; School improvement programs-United States.</t>
  </si>
  <si>
    <t>What Brain Research Can Teach about Cutting School Budgets</t>
  </si>
  <si>
    <t>Olsen, Karen D.</t>
  </si>
  <si>
    <t>LB2830.2 .O57 2010</t>
  </si>
  <si>
    <t>School budgets-United States. ; Education, Elementary-United States-Finance. ; Brain-Research.</t>
  </si>
  <si>
    <t>Evidence-Based School Counseling : Making a Difference with Data-Driven Practices</t>
  </si>
  <si>
    <t>Dimmitt, Catherine L.;Carey, John C.;Hatch, Trish</t>
  </si>
  <si>
    <t>LB1027.5.D466 2007</t>
  </si>
  <si>
    <t>Leading Professional Learning Communities : Voices from Research and Practice</t>
  </si>
  <si>
    <t>Hord, Shirley M.;Sommers, William A.</t>
  </si>
  <si>
    <t>LB2822.82 .H667 2008</t>
  </si>
  <si>
    <t>School improvement programs-United States. ; Group work in education-United States. ; Educational change-United States. ; Educational leadership-United States.</t>
  </si>
  <si>
    <t>Brain-Compatible Strategies</t>
  </si>
  <si>
    <t>LB1060.J467 2004</t>
  </si>
  <si>
    <t>Teaching the Digital Generation : No More Cookie-Cutter High Schools</t>
  </si>
  <si>
    <t>Kelly, Frank S.;McCain, Ted;Jukes, Ian</t>
  </si>
  <si>
    <t>LB1607.5.K45 2009</t>
  </si>
  <si>
    <t>Developing Teacher Leaders : How Teacher Leadership Enhances School Success</t>
  </si>
  <si>
    <t>Crowther, Francis A.;Ferguson, Margaret;Hann, Leonne</t>
  </si>
  <si>
    <t>Cyber Law : Maximizing Safety and Minimizing Risk in Classrooms</t>
  </si>
  <si>
    <t>Bissonette, Aimee M.</t>
  </si>
  <si>
    <t>KF4209.E38 .B57 2009</t>
  </si>
  <si>
    <t>Mathematics Curriculum Topic Study : Bridging the Gap Between Standards and Practice</t>
  </si>
  <si>
    <t>Keeley, Page D.;Tobey, Cheryl Rose</t>
  </si>
  <si>
    <t>QA13.K44 2006</t>
  </si>
  <si>
    <t>Leading for Results : Transforming Teaching, Learning, and Relationships in Schools</t>
  </si>
  <si>
    <t>Sparks, Dennis</t>
  </si>
  <si>
    <t>Season It with Fun! : A Year of Recognition, Fun, and Celebrations to Enliven Your School</t>
  </si>
  <si>
    <t>LB3031 .H63 2010</t>
  </si>
  <si>
    <t>371.8/9</t>
  </si>
  <si>
    <t>Schools-Exercises and recreations. ; School improvement programs. ; Motivation in education.</t>
  </si>
  <si>
    <t>Brain-Compatible Activities for Mathematics, Grades K-1</t>
  </si>
  <si>
    <t>QA135.6 .S5664 2010</t>
  </si>
  <si>
    <t>Mathematics-Study and teaching (Preschool)-Activity programs. ; Mathematics-Study and teaching (Primary)-Activity programs.</t>
  </si>
  <si>
    <t>Inclusion Strategies That Work for Adolescent Learners!</t>
  </si>
  <si>
    <t>LC1201 .K369 2009</t>
  </si>
  <si>
    <t>Inclusive education-United States. ; Teenagers-Education-United States.</t>
  </si>
  <si>
    <t>Brain-Compatible Activities for Mathematics, Grades 2-3</t>
  </si>
  <si>
    <t>QA135.6 .S566 2010</t>
  </si>
  <si>
    <t>Mathematics-Study and teaching (Primary)-Activity programs.</t>
  </si>
  <si>
    <t>Mental Health in Schools : Engaging Learners, Preventing Problems, and Improving Schools</t>
  </si>
  <si>
    <t>Adelman, Howard S.;Taylor, Linda</t>
  </si>
  <si>
    <t>LB3430 .A34 2010</t>
  </si>
  <si>
    <t>Students-Mental health-United States. ; Students-Mental health services-United States. ; School improvement programs-United States.</t>
  </si>
  <si>
    <t>Continuous School Improvement</t>
  </si>
  <si>
    <t>Smylie, Mark A.</t>
  </si>
  <si>
    <t>LB2822.82 .S66 2010</t>
  </si>
  <si>
    <t>School improvement programs-United States.</t>
  </si>
  <si>
    <t>Other Ways to Win : Creating Alternatives for High School Graduates</t>
  </si>
  <si>
    <t>Gray, Kenneth C.;Herr, Edwin L.</t>
  </si>
  <si>
    <t>LC1037.5.G73 2006</t>
  </si>
  <si>
    <t>Culturally Proficient Education : An Asset-Based Response to Conditions of Poverty</t>
  </si>
  <si>
    <t>Lindsey, Randall B.;Karns, Michelle S.;Myatt, Keith T.</t>
  </si>
  <si>
    <t>LC4065 .L56 2010</t>
  </si>
  <si>
    <t>371.826/9420973</t>
  </si>
  <si>
    <t>Educational equalization. ; Children with social disabilities-Education. ; Poor-Education.</t>
  </si>
  <si>
    <t>Literacy Beyond Picture Books : Teaching Secondary Students with Moderate to Severe Disabilities</t>
  </si>
  <si>
    <t>Smith, Dorothy D.;DeMarco, Jill F.;Worley, Martha S.</t>
  </si>
  <si>
    <t>LC4604 .S65 2009</t>
  </si>
  <si>
    <t>Children with mental disabilities-Education (Secondary) ; Language arts-Remedial teaching. ; Literature-Study and teaching (Secondary)</t>
  </si>
  <si>
    <t>The Write to Read : Response Journals That Increase Comprehension</t>
  </si>
  <si>
    <t>Roessing, Lesley J.</t>
  </si>
  <si>
    <t>LB1631 .R575 2009</t>
  </si>
  <si>
    <t>Language arts (Secondary)-United States. ; Reading comprehension-United States. ; Reading promotion-United States. ; Diaries-Authorship.</t>
  </si>
  <si>
    <t>Reaching Standards and Beyond in Kindergarten : Nurturing Children&amp;prime;s Sense of Wonder and Joy in Learning</t>
  </si>
  <si>
    <t>Jacobs, Gera;Crowley, Kathleen E.</t>
  </si>
  <si>
    <t>Children and Youth with Asperger Syndrome : Strategies for Success in Inclusive Settings</t>
  </si>
  <si>
    <t>Smith Myles, Brenda</t>
  </si>
  <si>
    <t>LC4717.5 .M95 2005</t>
  </si>
  <si>
    <t>Asperger's syndrome-Patients-Education. ; Autistic children-Education. ; Autistic youth-Education. ; Inclusive education.</t>
  </si>
  <si>
    <t>A Guide to Co-Teaching with Paraeducators : Practical Tips for K-12 Educators</t>
  </si>
  <si>
    <t>Nevin, Ann I.;Villa, Richard A.;Thousand, Jacqueline S.</t>
  </si>
  <si>
    <t>LB1029.T4N48 2009</t>
  </si>
  <si>
    <t>The Block Scheduling Handbook</t>
  </si>
  <si>
    <t>LB3032.2 .Q85 2009</t>
  </si>
  <si>
    <t>Block scheduling (Education) ; Curriculum planning.</t>
  </si>
  <si>
    <t>Writing for Understanding : Strategies to Increase Content Learning</t>
  </si>
  <si>
    <t>Walling, Donovan R.</t>
  </si>
  <si>
    <t>LB1631 .W233 2009</t>
  </si>
  <si>
    <t>English language-Composition and exercises-Study and teaching (Secondary) ; Language arts-Correlation with content subjects.</t>
  </si>
  <si>
    <t>Literacy Coaching to Build Adolescent Learning : 5 Pillars of Practice</t>
  </si>
  <si>
    <t>Guth, Nancy DeVries;Pratt-Fartro, Tamie</t>
  </si>
  <si>
    <t>LB2844.1.R4 .G88 2010</t>
  </si>
  <si>
    <t>303.6/6071</t>
  </si>
  <si>
    <t>Language arts teachers-In-service training-United States. ; Language arts (Secondary)-United States.</t>
  </si>
  <si>
    <t>Differentiation for the Adolescent Learner : Accommodating Brain Development, Language, Literacy, and Special Needs</t>
  </si>
  <si>
    <t>Crawford, Glenda Beamon</t>
  </si>
  <si>
    <t>LB1031 .C73 2008</t>
  </si>
  <si>
    <t>Individualized instruction. ; Cognitive styles in children. ; Mixed ability grouping in education. ; Learning, Psychology of. ; Adolescent psychology.</t>
  </si>
  <si>
    <t>Understanding Standards-Based Education : A Practical Guide for Teachers and Administrators</t>
  </si>
  <si>
    <t>Zagranski, Richard A.;Whigham, William T.;Dardenne, Patrice L.</t>
  </si>
  <si>
    <t>LB3060.83.Z34 2008</t>
  </si>
  <si>
    <t>Differentiating School Leadership : Facing the Challenges of Practice</t>
  </si>
  <si>
    <t>LB2831.9 .D854 2010</t>
  </si>
  <si>
    <t>School principals-In-service training.</t>
  </si>
  <si>
    <t>The Active Teacher : Practical Strategies for Maximizing Teacher Effectiveness</t>
  </si>
  <si>
    <t>LB3013 .N27 2009</t>
  </si>
  <si>
    <t>Classroom management. ; Teacher-student relationships. ; Active learning.</t>
  </si>
  <si>
    <t>Leading Learning : Change Student Achievement Today!</t>
  </si>
  <si>
    <t>LB2822.8 .T39 2010</t>
  </si>
  <si>
    <t>Building Sustainable Leadership Capacity</t>
  </si>
  <si>
    <t>LB2801.A2</t>
  </si>
  <si>
    <t>Homework Done Right : Powerful Learning in Real-Life Situations</t>
  </si>
  <si>
    <t>Alleman, Janet E.;Brophy, Jere E.;Knighton, Barbara L.;Ley, Robert T.;Botwinski, Benjamin C.;Middlestead, Sarah C.</t>
  </si>
  <si>
    <t>LB1048 .H66 2010</t>
  </si>
  <si>
    <t>Homework. ; Study skills.</t>
  </si>
  <si>
    <t>Lead, Follow, or Get Out of the Way : How to Be a More Effective Leader in Today&amp;prime;s Schools</t>
  </si>
  <si>
    <t>LB2831.82.R36 2006</t>
  </si>
  <si>
    <t>Bullying from Both Sides : Strategic Interventions for Working with Bullies and Victims</t>
  </si>
  <si>
    <t>Roberts, Walter B., Jr.</t>
  </si>
  <si>
    <t>LB3013.3 .R63 2006</t>
  </si>
  <si>
    <t>InFormative Assessment : When It&amp;prime;s Not about a Grade</t>
  </si>
  <si>
    <t>Fogarty, Robin J.;Kerns, Gene M.</t>
  </si>
  <si>
    <t>LB3051 .F643 2009</t>
  </si>
  <si>
    <t>Educational tests and measurements. ; Effective teaching.</t>
  </si>
  <si>
    <t>From Staff Room to Classroom II : The One-Minute Professional Development Planner</t>
  </si>
  <si>
    <t>LB1731 .P48 2010</t>
  </si>
  <si>
    <t>Teachers-In-service training-United States. ; Career development-United States.</t>
  </si>
  <si>
    <t>The Elementary Principal's Personal Coach : Tapping into Your Power for Extraordinary Leadership</t>
  </si>
  <si>
    <t>Williams, Diana R.;Richardson, Essie H.</t>
  </si>
  <si>
    <t>LB2831.9 .W54 2010</t>
  </si>
  <si>
    <t>371.12/011</t>
  </si>
  <si>
    <t>Elementary school principals. ; Elementary school administration. ; Educational leadership.</t>
  </si>
  <si>
    <t>Hands-On Learning! : More Than 1000 Activities for Young Children Using Everyday Objects</t>
  </si>
  <si>
    <t>Kaltman, Gwendolyn S.</t>
  </si>
  <si>
    <t>LB1139.35.A37 .K35 2009</t>
  </si>
  <si>
    <t>Early childhood education-Activity programs.</t>
  </si>
  <si>
    <t>Getting Beyond Bullying and Exclusion, PreK-5 : Empowering Children in Inclusive Classrooms</t>
  </si>
  <si>
    <t>LB3013.3 .M2456 2009</t>
  </si>
  <si>
    <t>372.15/8</t>
  </si>
  <si>
    <t>Bullying in schools-Prevention. ; Inclusive education. ; Problem children-Education (Early childhood) ; Problem children-Education (Elementary) ; Classroom management.</t>
  </si>
  <si>
    <t>Parallel Curriculum Units for Social Studies, Grades 6-12</t>
  </si>
  <si>
    <t>Purcell, Jeanne H.;Leppien, Jann H.</t>
  </si>
  <si>
    <t>LB1584 .P24 2010</t>
  </si>
  <si>
    <t>Social sciences-Study and teaching (Elementary) ; Social sciences-Study and teaching (Secondary) ; Curriculum planning. ; Curriculum evaluation.</t>
  </si>
  <si>
    <t>Creative Strategies to Transform School Culture</t>
  </si>
  <si>
    <t>LB2805 .E45 2009</t>
  </si>
  <si>
    <t>School management and organization-United States. ; School environment-United States.</t>
  </si>
  <si>
    <t>Motivate! Inspire! Lead! : 10 Strategies for Building Collegial Learning Communities</t>
  </si>
  <si>
    <t>Vojtek, RoseAnne O′Brien;Vojtek, Robert J.</t>
  </si>
  <si>
    <t>LB2805 .V65 2009</t>
  </si>
  <si>
    <t>School management and organization. ; Teacher-principal relationships. ; School improvement programs. ; Motivation in education.</t>
  </si>
  <si>
    <t>The Active Mentor : Practical Strategies for Supporting New Teachers</t>
  </si>
  <si>
    <t>LB2844.1.N4 .N36 2010</t>
  </si>
  <si>
    <t>First year teachers-United States. ; Mentoring in education-United States.</t>
  </si>
  <si>
    <t>MORE Best Practices for Middle School Classrooms : What Award-Winning Teachers Do</t>
  </si>
  <si>
    <t>LB1623.5 .S766 2010</t>
  </si>
  <si>
    <t>Teaching the 3 Cs: Creativity, Curiosity, and Courtesy : Activities That Build a Foundation for Success</t>
  </si>
  <si>
    <t>Dischler, Patricia A.</t>
  </si>
  <si>
    <t>LB1139.35.A37 .D57 2010</t>
  </si>
  <si>
    <t>Creative activities and seat work. ; Early childhood education-Activity programs. ; Social interaction-Study and teaching (Early childhood)</t>
  </si>
  <si>
    <t>Learning at Home, PreK-3 : Homework Activities That Engage Children and Families</t>
  </si>
  <si>
    <t>Barbour, Ann C.</t>
  </si>
  <si>
    <t>LB1139.35.P37 .B37 2010</t>
  </si>
  <si>
    <t>Homework. ; Early childhood education-Activity programs. ; Motivation in education.</t>
  </si>
  <si>
    <t>Picture This : Photography Activities for Early Childhood Learning</t>
  </si>
  <si>
    <t>Entz, Susan G.</t>
  </si>
  <si>
    <t>LB1043.67.E58 2009</t>
  </si>
  <si>
    <t>Staff Development Guide for the Parallel Curriculum</t>
  </si>
  <si>
    <t>Strickland, Cindy A.;Glass, Kathy Tuchman</t>
  </si>
  <si>
    <t>LC3993.2 .S87 2009</t>
  </si>
  <si>
    <t>371.95/3</t>
  </si>
  <si>
    <t>Gifted children-Education-Curricula-Handbooks, manuals, etc. ; Curriculum planning-Handbooks, manuals, etc. ; Teachers-In-service training-Handbooks, manuals, etc.</t>
  </si>
  <si>
    <t>Changing for Good : Sustaining School Improvement</t>
  </si>
  <si>
    <t>Andris, Melissa Evans</t>
  </si>
  <si>
    <t>LB2822.8.E853 2010</t>
  </si>
  <si>
    <t>MORE Best Practices for High School Classrooms : What Award-Winning Secondary Teachers Do</t>
  </si>
  <si>
    <t>LB1777.2 .S76 2010</t>
  </si>
  <si>
    <t>High school teachers-United States-Case studies. ; High school teaching-United States-Case studies.</t>
  </si>
  <si>
    <t>A Child&amp;prime;s Brain : The Need for Nurture</t>
  </si>
  <si>
    <t>Sylwester, Robert A.</t>
  </si>
  <si>
    <t>LB1062 .S95 2010</t>
  </si>
  <si>
    <t>Peer Coaching for Adolescent Writers</t>
  </si>
  <si>
    <t>Ruckdeschel, Susan</t>
  </si>
  <si>
    <t>LB1631 .R835 2010</t>
  </si>
  <si>
    <t>English language-Composition and exercises-Study and teaching (Middle school) ; English language-Composition and exercises-Study and teaching (Secondary) ; Peer teaching.</t>
  </si>
  <si>
    <t>From Lesson Plans to Power Struggles, Grades 6-12 : Classroom Management Strategies for New Teachers</t>
  </si>
  <si>
    <t>Zuckerman, June Trop</t>
  </si>
  <si>
    <t>LB3013 .Z83 2009</t>
  </si>
  <si>
    <t>Classroom management. ; Classroom management-Anecdotes. ; Teachers-Anecdotes.</t>
  </si>
  <si>
    <t>Talking, Listening, and Teaching : A Guide to Classroom Communication</t>
  </si>
  <si>
    <t>LB1033.5.F37 2009</t>
  </si>
  <si>
    <t>Improve Learning by Building Community : A Principal&amp;prime;s Guide to Action</t>
  </si>
  <si>
    <t>Daresh, John C.;Lynch, Jane</t>
  </si>
  <si>
    <t>LB2805 .D1518 2010</t>
  </si>
  <si>
    <t>School management and organization-United States-Case studies. ; School improvement programs-United States-Case studies. ; Community and school-United States-Case studies.</t>
  </si>
  <si>
    <t>Lifelong Leadership by Design : How to Do More Good for Kids and Feel Better about Your Life&amp;prime;s Work</t>
  </si>
  <si>
    <t>LB2831.8 .R36 2010</t>
  </si>
  <si>
    <t>371.2/011023</t>
  </si>
  <si>
    <t>School administrators-Vocational guidance. ; School management and organization. ; Educational leadership.</t>
  </si>
  <si>
    <t>Increasing Student Motivation : Strategies for Middle and High School Teachers</t>
  </si>
  <si>
    <t>Theobald, Margaret A.</t>
  </si>
  <si>
    <t>LB1065.T46 2006</t>
  </si>
  <si>
    <t>Developing Successful K-8 Schools : A Principal&amp;prime;s Guide</t>
  </si>
  <si>
    <t>Wiles, Jon W.</t>
  </si>
  <si>
    <t>Shift Ed : A Call to Action for Transforming K-12 Education</t>
  </si>
  <si>
    <t>Houle, David E.;Cobb, Jeff T.</t>
  </si>
  <si>
    <t>LA217 .H66 2011</t>
  </si>
  <si>
    <t>The Teacher&amp;prime;s Reflective Calendar and Planning Journal : Motivation, Inspiration, and Affirmation</t>
  </si>
  <si>
    <t>Leadership on Purpose : Promising Practices for African American and Hispanic Students</t>
  </si>
  <si>
    <t>Papa, Rosemary;Fortune, Rex</t>
  </si>
  <si>
    <t>LC2717 .P36 2002</t>
  </si>
  <si>
    <t>African Americans-Education. ; Hispanic Americans-Education. ; Education, Urban-United States. ; Educational leadership-United States.</t>
  </si>
  <si>
    <t>Active Lessons for Active Brains : Teaching Boys and Other Experiential Learners, Grades 3-10</t>
  </si>
  <si>
    <t>James, Abigail Norfleet;Allison, Sandra Boyd;McKenzie, Caitlin Zimmerman</t>
  </si>
  <si>
    <t>LB1027.23.A29 2011</t>
  </si>
  <si>
    <t>Parallel Curriculum Units for Mathematics, Grades 6-12</t>
  </si>
  <si>
    <t>Leppien, Jann H.;Purcell, Jeanne H.</t>
  </si>
  <si>
    <t>QA11.2 .P366 2011</t>
  </si>
  <si>
    <t>Mathematics-Study and teaching (Middle school) ; Mathematics-Study and teaching (Secondary) ; Curriculum planning. ; Curriculum evaluation. ; EDUCATION / Teaching Methods &amp; Materials / Mathematics.-bisacsh</t>
  </si>
  <si>
    <t>The Parallel Curriculum : A Design to Develop Learner Potential and Challenge Advanced Learners</t>
  </si>
  <si>
    <t>Tomlinson, Carol Ann;Kaplan, Sandra;Renzulli, Joseph S.;Purcell, Jeanne H.;Leppien, Jann H.;Burns, Deborah E.;Strickland, Cindy A.;Imbeau, Marcia</t>
  </si>
  <si>
    <t>LC3993.2 .P34 2009</t>
  </si>
  <si>
    <t>Gifted children-Education-Curricula. ; Curriculum planning.</t>
  </si>
  <si>
    <t>Who Said School Administration Would Be Fun? : Coping with a New Emotional and Social Reality</t>
  </si>
  <si>
    <t>Sigford, Jane L.</t>
  </si>
  <si>
    <t>LB2805 .S5877 2005</t>
  </si>
  <si>
    <t>School management and organization-United States. ; School administrators-United States.</t>
  </si>
  <si>
    <t>PLCs, DI, and RTI : A Tapestry for School Change</t>
  </si>
  <si>
    <t>Stoehr, Judy;Banks, Maria D.;Allen, Linda G.</t>
  </si>
  <si>
    <t>LB2822.8 .S74 2011</t>
  </si>
  <si>
    <t>School improvement programs. ; Professional learning communities. ; Individualized instruction. ; Response to intervention (Learning disabled children)</t>
  </si>
  <si>
    <t>The Exceptional Teacher&amp;prime;s Handbook : The First-Year Special Education Teacher&amp;prime;s Guide to Success</t>
  </si>
  <si>
    <t>Shelton, Carla F.;Pollingue, Alice B.</t>
  </si>
  <si>
    <t>LC3969 .S36 2009</t>
  </si>
  <si>
    <t>371.9/0973</t>
  </si>
  <si>
    <t>Special education-United States-Handbooks, manuals, etc. ; Special education teachers-United States-Handbooks, manuals, etc. ; First year teachers-United States-Handbooks, manuals, etc.</t>
  </si>
  <si>
    <t>Connecting Content and Academic Language for English Learners and Struggling Students, Grades 2-6</t>
  </si>
  <si>
    <t>Swinney, Ruth;Velasco, Patricia</t>
  </si>
  <si>
    <t>LB1050.455 .S95 2011</t>
  </si>
  <si>
    <t>Content area reading. ; Language arts (Elementary) ; Reading-Remedial teaching. ; English language-Study and teaching (Elementary)-Foreign speakers.</t>
  </si>
  <si>
    <t>The Literacy Coach's Companion, PreK-3</t>
  </si>
  <si>
    <t>Mraz, Maryann E.;Algozzine, Bob;Kissel, Brian T.</t>
  </si>
  <si>
    <t>LB1140.2 .M73 2009</t>
  </si>
  <si>
    <t>Education, Preschool. ; Literacy-Study and teaching.</t>
  </si>
  <si>
    <t>Learning Places : A Field Guide for Improving the Context of Schooling</t>
  </si>
  <si>
    <t>Fullan, Michael;St. Germain, Clif</t>
  </si>
  <si>
    <t>LB2822.8 .F848 2006</t>
  </si>
  <si>
    <t>From Standards to Rubrics in Six Steps : Tools for Assessing Student Learning</t>
  </si>
  <si>
    <t>LC1032 .B87 2011</t>
  </si>
  <si>
    <t>Competency-based education. ; Curriculum planning. ; Educational tests and measurements. ; Grading and marking (Students) ; Education, Elementary-Curricula-United States.</t>
  </si>
  <si>
    <t>The School Counselor&amp;prime;s Mental Health Sourcebook : Strategies to Help Students Succeed</t>
  </si>
  <si>
    <t>Auger, Richard W.</t>
  </si>
  <si>
    <t>LB3430 .A94 2011</t>
  </si>
  <si>
    <t>School mental health services-Handbooks, manuals, etc. ; Child mental health-Handbooks, manuals, etc.</t>
  </si>
  <si>
    <t>400 Quotable Quotes from the World&amp;prime;s Leading Educators</t>
  </si>
  <si>
    <t>LB41 .S466 2004</t>
  </si>
  <si>
    <t>Education-Aims and objectives-United States. ; Educators-Quotations.</t>
  </si>
  <si>
    <t>Teaching by Design in Elementary Mathematics, Grades 4-5</t>
  </si>
  <si>
    <t>Leong, Melinda;Stepanek, Jennifer;Griffin, Linda;Lavelle, Lisa</t>
  </si>
  <si>
    <t>QA135.6 .T365 2011</t>
  </si>
  <si>
    <t>Mathematics-Study and teaching (Elementary) ; Teaching teams.</t>
  </si>
  <si>
    <t>Kid's Eye View of Science : A Conceptual, Integrated Approach to Teaching Science, K-6</t>
  </si>
  <si>
    <t>Kovalik, Susan J.;Olsen, Karen D.</t>
  </si>
  <si>
    <t>LB1585 .K69 2010</t>
  </si>
  <si>
    <t>Science-Study and teaching (Elementary) ; Science teachers-In-service training.</t>
  </si>
  <si>
    <t>The Effective School Leader&amp;prime;s Guide to Management</t>
  </si>
  <si>
    <t>LB2805.S542 2006</t>
  </si>
  <si>
    <t>Empower English Language Learners with Tools from the Web</t>
  </si>
  <si>
    <t>Langer de Ramirez, Lori</t>
  </si>
  <si>
    <t>PE1128.A2L294 2010</t>
  </si>
  <si>
    <t>428.0078/54678</t>
  </si>
  <si>
    <t>Visible Thinking in the K-8 Mathematics Classroom</t>
  </si>
  <si>
    <t>QA135.6 .H85 2011</t>
  </si>
  <si>
    <t>Six Principles for Teaching English Language Learners in All Classrooms</t>
  </si>
  <si>
    <t>McIntyre, Ellen;Kyle, Diane W.;Chen, Cheng-Ting;Kraemer, Jayne;Parr, Johanna</t>
  </si>
  <si>
    <t>PE1128.A2S592 2009</t>
  </si>
  <si>
    <t>No Place for Bullying : Leadership for Schools That Care for Every Student</t>
  </si>
  <si>
    <t>Dillon, James E.</t>
  </si>
  <si>
    <t>LB3013.3 .D57 2012</t>
  </si>
  <si>
    <t>Bullying in schools-Prevention. ; Educational leadership.</t>
  </si>
  <si>
    <t>Leading for Diversity : How School Leaders Promote Positive Interethnic Relations</t>
  </si>
  <si>
    <t>Henze, Rosemary C.;Norte, Edmundo;Sather, Susan E.;Walker, Ernest;Katz, Anne</t>
  </si>
  <si>
    <t>LC1099.3 .L44 2002</t>
  </si>
  <si>
    <t>Multicultural education-United States. ; Educational leadership-United States.</t>
  </si>
  <si>
    <t>Teaching Beginner ELLs Using Picture Books : Tellability</t>
  </si>
  <si>
    <t>Lado, Ana L.</t>
  </si>
  <si>
    <t>PE1128.A2 .L235 2012</t>
  </si>
  <si>
    <t>Early Literacy Materials Selector (ELMS) : A Tool for Review of Early Literacy Program Materials</t>
  </si>
  <si>
    <t>Roskos, Kathleen A.;Lenhart, Lisa A.;Noll, Brandi L.</t>
  </si>
  <si>
    <t>Homeschooling in America : Capturing and Assessing the Movement</t>
  </si>
  <si>
    <t>LC40 .M87 2012</t>
  </si>
  <si>
    <t>Discovering and Developing Talents in Spanish-Speaking Students</t>
  </si>
  <si>
    <t>Smutny, Joan F.;Haydon, Kathryn P.;Bolanos, Olivia G.;Danley, Gina M. Estrada</t>
  </si>
  <si>
    <t>LC2669.D57</t>
  </si>
  <si>
    <t>Facilitating Authentic Learning, Grades 6-12 : A Framework for Student-Driven Instruction</t>
  </si>
  <si>
    <t>Thomas, Laura L. R.</t>
  </si>
  <si>
    <t>LB1027.23.T54 2013</t>
  </si>
  <si>
    <t>Secrets of the Teenage Brain : Research-Based Strategies for Reaching and Teaching Today&amp;prime;s Adolescents</t>
  </si>
  <si>
    <t>Feinstein, Sheryl G.</t>
  </si>
  <si>
    <t>LB1737.U6 .F418 2009</t>
  </si>
  <si>
    <t>The Curriculum Bridge : From Standards to Actual Classroom Practice</t>
  </si>
  <si>
    <t>Solomon, Pearl G.</t>
  </si>
  <si>
    <t>LB2806.15 .S65 2009</t>
  </si>
  <si>
    <t>How the Gifted Brain Learns</t>
  </si>
  <si>
    <t>LC3993.9 .S68 2009</t>
  </si>
  <si>
    <t>Integrating the Performing Arts in Grades K-5</t>
  </si>
  <si>
    <t>Rajan, Rekha S.</t>
  </si>
  <si>
    <t>PN1577 .R35 2012</t>
  </si>
  <si>
    <t>Write for Mathematics</t>
  </si>
  <si>
    <t>Rothstein, Andrew S.;Rothstein, Evelyn B.;Lauber, Gerald</t>
  </si>
  <si>
    <t>A Teacher&amp;prime;s Guide for Getting Serious about the System</t>
  </si>
  <si>
    <t>LB2822.82.C69 2012</t>
  </si>
  <si>
    <t>How to Build an Instructional Coaching Program for Maximum Capacity</t>
  </si>
  <si>
    <t>Morel, Nina Jones;Cushman, Carla Staton</t>
  </si>
  <si>
    <t>LB1731 .M65 2012</t>
  </si>
  <si>
    <t>Proactive Classroom Management, K-8 : A Practical Guide to Empower Students and Teachers</t>
  </si>
  <si>
    <t>Denti, Louis G.</t>
  </si>
  <si>
    <t>LB3013 .D468 2012</t>
  </si>
  <si>
    <t>Learnership : Invest in Teachers, Focus on Learning, and Put Test Scores in Perspective</t>
  </si>
  <si>
    <t>Toll, Cathy A.</t>
  </si>
  <si>
    <t>LB1060.T647 2012</t>
  </si>
  <si>
    <t>Digital Learning for All, Now : A School Leader&amp;prime;s Guide for 1:1 on a Budget</t>
  </si>
  <si>
    <t>Costa, Jonathan P., Sr.</t>
  </si>
  <si>
    <t>LB1044.87 .C677 2012</t>
  </si>
  <si>
    <t>STAND TALL Teacher&amp;prime;s Manual, Grades 4-6 : Lessons That Teach Respect and Prevent Bullying</t>
  </si>
  <si>
    <t>Peck, Suzanne W.</t>
  </si>
  <si>
    <t>LC1099 .P43 2012</t>
  </si>
  <si>
    <t>The Teaching Revolution : RTI, Technology, and Differentiation Transform Teaching for the 21st Century</t>
  </si>
  <si>
    <t>LB1025.3 .B457 2011</t>
  </si>
  <si>
    <t>Parallel Curriculum Units for Science, Grades 6-12</t>
  </si>
  <si>
    <t>LB1585 .P365 2011</t>
  </si>
  <si>
    <t>Science-Study and teaching (Middle school) ; Science-Study and teaching (Secondary)</t>
  </si>
  <si>
    <t>Cyber Savvy : Embracing Digital Safety and Civility</t>
  </si>
  <si>
    <t>Willard, Nancy E.</t>
  </si>
  <si>
    <t>HQ784.I58 .W56 2012</t>
  </si>
  <si>
    <t>004.67/80835</t>
  </si>
  <si>
    <t>Internet and children. ; Internet and teenagers. ; Internet-Safety measures. ; Parenting.</t>
  </si>
  <si>
    <t>Mentorship of Special Educators</t>
  </si>
  <si>
    <t>Madigan, Jennifer C. Booker;Schroth-Cavataio, Georganne S.</t>
  </si>
  <si>
    <t>LC3969.45 .M34 2012</t>
  </si>
  <si>
    <t>Special education teachers-Training of-Handbooks, manuals, etc. ; Special education-Handbooks, manuals, etc. ; Mentoring in education-Handbooks, manuals, etc.</t>
  </si>
  <si>
    <t>Violence in Student Writing : A School Administrator&amp;prime;s Guide</t>
  </si>
  <si>
    <t>Oltman, Gretchen A.</t>
  </si>
  <si>
    <t>LB3013.32 .O48 2013</t>
  </si>
  <si>
    <t>School violence-United States-Prevention. ; Violence in literature. ; High school students' writings. ; School management and organization-United States.</t>
  </si>
  <si>
    <t>Strategic Writing Mini-Lessons for All Students, Grades 4-8</t>
  </si>
  <si>
    <t>Richards, Janet, Jr.;Lassonde, Cynthia A.;Richards, Janet</t>
  </si>
  <si>
    <t>LB1575.9</t>
  </si>
  <si>
    <t>Building Student Resilience, K-8 : Strategies to Overcome Risk and Adversity</t>
  </si>
  <si>
    <t>Simon, Gabriel H.</t>
  </si>
  <si>
    <t>LB1065</t>
  </si>
  <si>
    <t>Using Formative Assessment to Differentiate Middle School Literacy Instruction : Seven Practices to Maximize Learning</t>
  </si>
  <si>
    <t>Laud, Leslie E.;Patel, Pooja</t>
  </si>
  <si>
    <t>LB1631 .L267 2013</t>
  </si>
  <si>
    <t>Language arts (Middle school)-Evaluation. ; Academic achievement.</t>
  </si>
  <si>
    <t>Understanding, Developing, and Writing Effective IEPs : A Step-By-Step Guide for Educators</t>
  </si>
  <si>
    <t>Classroom Management for Students with Emotional and Behavioral Disorders : A Step-By-Step Guide for Educators</t>
  </si>
  <si>
    <t>Classroom Management Techniques for Students with ADHD : A Step-By-Step Guide for Educators</t>
  </si>
  <si>
    <t>LC4713.2.P53 2008</t>
  </si>
  <si>
    <t>Frequently Asked Questions about Response to Intervention : A Step-By-Step Guide for Educators</t>
  </si>
  <si>
    <t>LB1029.R4P54 2008</t>
  </si>
  <si>
    <t>Helping Deaf and Hard of Hearing Students to Use Spoken Language : A Guide for Educators and Families</t>
  </si>
  <si>
    <t>Easterbrooks, Susan;Estes, Ellen L.</t>
  </si>
  <si>
    <t>HV2483.E23 2007</t>
  </si>
  <si>
    <t>Self-Determination : Instructional and Assessment Strategies</t>
  </si>
  <si>
    <t>Wehmeyer, Michael L.;Field, Sharon</t>
  </si>
  <si>
    <t>LC4019.W43 2007</t>
  </si>
  <si>
    <t>Making Physics Fun : Key Concepts, Classroom Activities, and Everyday Examples, Grades K-8</t>
  </si>
  <si>
    <t>Prigo, Robert</t>
  </si>
  <si>
    <t>QC30.P745 2007</t>
  </si>
  <si>
    <t>The Adolescent Brain : Reaching for Autonomy</t>
  </si>
  <si>
    <t>HQ796.S967 2007</t>
  </si>
  <si>
    <t>Generations at School : Building an Age-Friendly Learning Community</t>
  </si>
  <si>
    <t>Lovely, Suzette;Buffum, Austin G.</t>
  </si>
  <si>
    <t>LB2831.5.L68 2007</t>
  </si>
  <si>
    <t>Using Curriculum Mapping and Assessment Data to Improve Learning</t>
  </si>
  <si>
    <t>Kallick, Bena;Colosimo, Jeff</t>
  </si>
  <si>
    <t>LB2806.15.K35 2008</t>
  </si>
  <si>
    <t>Succeeding at Teaching Mathematics, K-6</t>
  </si>
  <si>
    <t>Sliva Spitzer, Julie A.;Roddick, Cheryl D.</t>
  </si>
  <si>
    <t>QA135.6.S65 2008</t>
  </si>
  <si>
    <t>Constructivist Strategies for Teaching English Language Learners</t>
  </si>
  <si>
    <t>Reyes, Sharon Adelman;Vallone, Trina Lynn</t>
  </si>
  <si>
    <t>PE1128.A2R4725 2008</t>
  </si>
  <si>
    <t>Dear Teacher : Expert Advice for Effective Study Skills</t>
  </si>
  <si>
    <t>Peltz, William H.</t>
  </si>
  <si>
    <t>LB1049.P417 2007</t>
  </si>
  <si>
    <t>373.13/0281</t>
  </si>
  <si>
    <t>Closing the Leadership Gap : How District and University Partnerships Shape Effective School Leaders</t>
  </si>
  <si>
    <t>Miller, Teresa N.;Devin, Mary E.;Shoop, Robert J.</t>
  </si>
  <si>
    <t>LB1738.5.S56 2007</t>
  </si>
  <si>
    <t>Reading for Academic Success, Grades 2-6 : Differentiated Strategies for Struggling, Average, and Advanced Readers</t>
  </si>
  <si>
    <t>Strong, Richard W.;Silver, Harvey F.;Perini, Matthew J.</t>
  </si>
  <si>
    <t>LB1573.S895 2008</t>
  </si>
  <si>
    <t>Nourishing Vocabulary : Balancing Words and Learning</t>
  </si>
  <si>
    <t>Lubliner, Shira I.;Scott, Judith A.</t>
  </si>
  <si>
    <t>LB1574.5.S36 2008</t>
  </si>
  <si>
    <t>More Than 100 Ways to Learner-Centered Literacy</t>
  </si>
  <si>
    <t>Lipton, Laura;Hubble, Deborah S.</t>
  </si>
  <si>
    <t>LB1140.5.L3L56 2009</t>
  </si>
  <si>
    <t>The Educator&amp;prime;s Professional Growth Plan : A Process for Developing Staff and Improving Instruction</t>
  </si>
  <si>
    <t>Peine, Jodi</t>
  </si>
  <si>
    <t>LB1738.5.M43 2007</t>
  </si>
  <si>
    <t>Leading the Teacher Induction and Mentoring Program</t>
  </si>
  <si>
    <t>Sweeny, Barry W.</t>
  </si>
  <si>
    <t>LB1731.4.S88 2008</t>
  </si>
  <si>
    <t>The Principal As Early Literacy Leader</t>
  </si>
  <si>
    <t>LB1139.5.L35P75 2009</t>
  </si>
  <si>
    <t>The Principal As Data-Driven Leader</t>
  </si>
  <si>
    <t>LB2822.8.P75 2008</t>
  </si>
  <si>
    <t>Brain-Based Teaching with Adolescent Learning in Mind</t>
  </si>
  <si>
    <t>LB1607.B315 2007</t>
  </si>
  <si>
    <t>Coming Together As Readers : Building Literacy Teams</t>
  </si>
  <si>
    <t>Ogle, Donna M.</t>
  </si>
  <si>
    <t>LB1050.O27 2007</t>
  </si>
  <si>
    <t>Brain-Compatible Assessments</t>
  </si>
  <si>
    <t>Ronis, Diane L.</t>
  </si>
  <si>
    <t>100 Experiential Learning Activities for Social Studies, Literature, and the Arts, Grades 5-12</t>
  </si>
  <si>
    <t>Provenzo, Eugene F., Jr.;Butin, Dan W.;Angelini, Anthony</t>
  </si>
  <si>
    <t>LB1027.23.P76 2008</t>
  </si>
  <si>
    <t>Designing and Assessing Educational Objectives : Applying the New Taxonomy</t>
  </si>
  <si>
    <t>Marzano, Robert J.;Kendall, John S.</t>
  </si>
  <si>
    <t>LB17.M393 2008</t>
  </si>
  <si>
    <t>Comprehension Strategies for Your K-6 Literacy Classroom : Thinking Before, During, and after Reading</t>
  </si>
  <si>
    <t>Stebick, Divonna M.;Dain, Joy M.</t>
  </si>
  <si>
    <t>LB1573.7.S743 2007</t>
  </si>
  <si>
    <t>Common-Sense Classroom Management for Special Education Teachers, Grades 6-12</t>
  </si>
  <si>
    <t>Lindberg, Jill A.;Kelley, Dianne Evans;Walker-Wied, Judith K.;Beckwith, Kristin M. Forjan</t>
  </si>
  <si>
    <t>Educating Immigrant Students in the 21st Century : What Educators Need to Know</t>
  </si>
  <si>
    <t>Rong, Xue Lan;Preissle, Judith</t>
  </si>
  <si>
    <t>LC3731.R66 2009</t>
  </si>
  <si>
    <t>371.826/912</t>
  </si>
  <si>
    <t>The Upper Elementary Years : Ensuring Success in Grades 3-6</t>
  </si>
  <si>
    <t>Finnan, Christine R.</t>
  </si>
  <si>
    <t>LA219.F56 2009</t>
  </si>
  <si>
    <t>Teaching Money Applications to Make Mathematics Meaningful, Grades 7-12</t>
  </si>
  <si>
    <t>Marquez, Elizabeth;Westbrook, Paul</t>
  </si>
  <si>
    <t>QA11.2.M2675 2007</t>
  </si>
  <si>
    <t>Improving Literacy Instruction with Classroom Research</t>
  </si>
  <si>
    <t>Deeney, Theresa A.</t>
  </si>
  <si>
    <t>LB1050.6.D44 2009</t>
  </si>
  <si>
    <t>Assessing Teacher Competency : Five Standards-Based Steps to Valid Measurement Using the CAATS Model</t>
  </si>
  <si>
    <t>Wilkerson, Judy R.;Lang, William S.</t>
  </si>
  <si>
    <t>LB1771.W55 2007</t>
  </si>
  <si>
    <t>Creating Small Schools : A Handbook for Raising Equity and Achievement</t>
  </si>
  <si>
    <t>French, Dan;Atkinson, Mary;Rugen, Leah</t>
  </si>
  <si>
    <t>LB3012.5.F74 2007</t>
  </si>
  <si>
    <t>Looking Forward to MORE Monday Mornings : How to Drive Your Colleagues Happy!</t>
  </si>
  <si>
    <t>LB2842.22.M645 2007</t>
  </si>
  <si>
    <t>How to Succeed As a Substitute Teacher : Everything You Need from Start to Finish</t>
  </si>
  <si>
    <t>Rude, Cicely A.</t>
  </si>
  <si>
    <t>LB2844.1.S8R83 2008</t>
  </si>
  <si>
    <t>Building an Intentional School Culture : Excellence in Academics and Character</t>
  </si>
  <si>
    <t>Elbot, Charles F.;Fulton, David</t>
  </si>
  <si>
    <t>LB2822.8E38 2007</t>
  </si>
  <si>
    <t>Unleashing the Potential of the Teenage Brain : Ten Powerful Ideas</t>
  </si>
  <si>
    <t>Corbin, Barry Doran</t>
  </si>
  <si>
    <t>LB1060.C6598 2008</t>
  </si>
  <si>
    <t>Brain-Friendly Study Strategies, Grades 2-8 : How Teachers Can Help Students Learn</t>
  </si>
  <si>
    <t>Schwed, Amy J.;Melichar-Utter, Janice</t>
  </si>
  <si>
    <t>LB1049</t>
  </si>
  <si>
    <t>Secrets to Success for Social Studies Teachers</t>
  </si>
  <si>
    <t>Kottler, Ellen;Gallavan, Nancy P.</t>
  </si>
  <si>
    <t>H62.5.U5K68 2008</t>
  </si>
  <si>
    <t>Working with Parents of Bullies and Victims</t>
  </si>
  <si>
    <t>LB3013.3.R635 2008</t>
  </si>
  <si>
    <t>Making Your First Year a Success : A Classroom Survival Guide for Middle and High School Teachers</t>
  </si>
  <si>
    <t>Wyatt, Robert L., III;White, Joyce Elaine</t>
  </si>
  <si>
    <t>LB2844.1.N4W93 2007</t>
  </si>
  <si>
    <t>Building Bridges from Early to Intermediate Literacy, Grades 2-4</t>
  </si>
  <si>
    <t>Mahurt, Sarah F.;Metcalfe, Ruth E.;Gwyther, Margaret Ann</t>
  </si>
  <si>
    <t>LB1528.M284 2007</t>
  </si>
  <si>
    <t>FUNdraising : 50 Proven Strategies for Successful School Fundraisers</t>
  </si>
  <si>
    <t>LC243.A1S46 2007</t>
  </si>
  <si>
    <t>The Hungry Brain : The Nutrition/Cognition Connection</t>
  </si>
  <si>
    <t>Augustine, Susan</t>
  </si>
  <si>
    <t>RJ206.M277 2007</t>
  </si>
  <si>
    <t>How to Differentiate Learning : Curriculum, Instruction, Assessment</t>
  </si>
  <si>
    <t>LB1031.F64 2005</t>
  </si>
  <si>
    <t>Twelve Roles of Facilitators for School Change</t>
  </si>
  <si>
    <t>LB2806.W53 2008</t>
  </si>
  <si>
    <t>Saving Our Students, Saving Our Schools : 50 Proven Strategies for Helping Underachieving Students and Improving Schools</t>
  </si>
  <si>
    <t>Barr, Robert Dale;Parrett, William H.</t>
  </si>
  <si>
    <t>LC4091.B37 2008</t>
  </si>
  <si>
    <t>Transforming School Mental Health Services : Population-Based Approaches to Promoting the Competency and Wellness of Children</t>
  </si>
  <si>
    <t>Doll, Beth;Cummings, Jack A.</t>
  </si>
  <si>
    <t>LB3430.T72 2008</t>
  </si>
  <si>
    <t>Smart Discipline for the Classroom : Respect and Cooperation Restored</t>
  </si>
  <si>
    <t>Koenig, Larry J.</t>
  </si>
  <si>
    <t>LB3012.2.K64 2008</t>
  </si>
  <si>
    <t>Engaging Adolescents in Reading</t>
  </si>
  <si>
    <t>Guthrie, John T.</t>
  </si>
  <si>
    <t>LB1632.E54 2008</t>
  </si>
  <si>
    <t>Academic Competitions for Gifted Students : A Resource Book for Teachers and Parents</t>
  </si>
  <si>
    <t>Tallent-Runnels, Mary K.;Candler-Lotven, Ann C.</t>
  </si>
  <si>
    <t>LB3068.T35 2008</t>
  </si>
  <si>
    <t>Teaching from the Deep End : Succeeding with Today&amp;prime;s Classroom Challenges</t>
  </si>
  <si>
    <t>Belmonte, Dominic V.</t>
  </si>
  <si>
    <t>LB1025.3.B455 2009</t>
  </si>
  <si>
    <t>Making Sense of Social Networks in Schools</t>
  </si>
  <si>
    <t>Deal, Terrence E.;Purinton, Ted;Waetjen, Daria Cook</t>
  </si>
  <si>
    <t>LB1738.5.D43 2009</t>
  </si>
  <si>
    <t>How the Brain Influences Behavior : Management Strategies for Every Classroom</t>
  </si>
  <si>
    <t>LB3013.S628 2008</t>
  </si>
  <si>
    <t>Starting Strong : Surviving and Thriving As a New Teacher</t>
  </si>
  <si>
    <t>Nelson, Kristen J.;Bailey, Kimberly</t>
  </si>
  <si>
    <t>LB2844.1.N4N45 2008</t>
  </si>
  <si>
    <t>Teaching for Successful Intelligence : To Increase Student Learning and Achievement</t>
  </si>
  <si>
    <t>Sternberg, Robert J.;Grigorenko, Elena L.</t>
  </si>
  <si>
    <t>LB1590.5.S85 2008</t>
  </si>
  <si>
    <t>Students Who Drive You Crazy : Succeeding with Resistant, Unmotivated, and Otherwise Difficult Young People</t>
  </si>
  <si>
    <t>LC4801.K65 2009</t>
  </si>
  <si>
    <t>The Learning-Centered Kindergarten : 10 Keys to Success for Standards-Based Classrooms</t>
  </si>
  <si>
    <t>Ehly, Shari Y.</t>
  </si>
  <si>
    <t>LB1169.E35 2009</t>
  </si>
  <si>
    <t>372.21/8</t>
  </si>
  <si>
    <t>Common-Sense Classroom Management Techniques for Working with Students with Significant Disabilities</t>
  </si>
  <si>
    <t>Lindberg, Jill A.;Ziegler, Michele F.;Barczyk, Lisa A.</t>
  </si>
  <si>
    <t>LB3013.L555 2009</t>
  </si>
  <si>
    <t>Problem-Solving Strategies for Efficient and Elegant Solutions, Grades 6-12 : A Resource for the Mathematics Teacher</t>
  </si>
  <si>
    <t>Posamentier, Alfred S.;Krulik, Stephen</t>
  </si>
  <si>
    <t>QA63.P67 2008</t>
  </si>
  <si>
    <t>Interactive Learning Experiences, Grades 6-12 : Increasing Student Engagement and Learning</t>
  </si>
  <si>
    <t>Smokler, David Samuel</t>
  </si>
  <si>
    <t>LB1628.S56 2009</t>
  </si>
  <si>
    <t>Teaching in Two Languages : A Guide for K-12 Bilingual Educators</t>
  </si>
  <si>
    <t>Reyes, Sharon Adelman;Kleyn, Tatyana</t>
  </si>
  <si>
    <t>LC3275.R49 2010</t>
  </si>
  <si>
    <t>How to Meet Standards, Motivate Students, and Still Enjoy Teaching! : Four Practices That Improve Student Learning</t>
  </si>
  <si>
    <t>Benson, Barbara P.</t>
  </si>
  <si>
    <t>LB1025.3.B465 2009</t>
  </si>
  <si>
    <t>Teaching U. S. History Beyond the Textbook : Six Investigative Strategies, Grades 5-12</t>
  </si>
  <si>
    <t>Williams, Yohuru R.</t>
  </si>
  <si>
    <t>E175.8.W555 2009</t>
  </si>
  <si>
    <t>The School Leadership Triangle : From Compliance to Innovation</t>
  </si>
  <si>
    <t>Kimmelman, Paul L.</t>
  </si>
  <si>
    <t>LB2805.K51655 2010</t>
  </si>
  <si>
    <t>Genetic and Acquired Disorders : Current Topics and Interventions for Educators</t>
  </si>
  <si>
    <t>LB1051.G3845 2010</t>
  </si>
  <si>
    <t>Math for All Participant Book (3-5)</t>
  </si>
  <si>
    <t>QA11.2</t>
  </si>
  <si>
    <t>The Survival Kit for the Elementary School Principal</t>
  </si>
  <si>
    <t>Bergman, Abby B.;Powers, Judith E.;Pullen, Michael L.</t>
  </si>
  <si>
    <t>LB2831.92.B47 2010</t>
  </si>
  <si>
    <t>In a Class of Your Own : Essential Strategies for the New K-6 Teacher</t>
  </si>
  <si>
    <t>Samkoff, Rhoda M.</t>
  </si>
  <si>
    <t>LB1555.S16 2010</t>
  </si>
  <si>
    <t>In Search of Better Angels : Stories of Disability in the Human Family</t>
  </si>
  <si>
    <t>Smith, J. David</t>
  </si>
  <si>
    <t>LC4019.S55 2003</t>
  </si>
  <si>
    <t>The Educator&amp;prime;s Book of Quotes</t>
  </si>
  <si>
    <t>Blaydes, John</t>
  </si>
  <si>
    <t>PN6084.E38E38 2003</t>
  </si>
  <si>
    <t>Teaching Strategies for Active Learning : Five Essentials for Your Teaching Plan</t>
  </si>
  <si>
    <t>LB1027.23.T55 2007</t>
  </si>
  <si>
    <t>Aligning and Balancing the Standards-Based Curriculum</t>
  </si>
  <si>
    <t>Squires, David A.</t>
  </si>
  <si>
    <t>LB2806.15.S73 2005</t>
  </si>
  <si>
    <t>Launching Your First Principalship : A Guide for Beginning Principals</t>
  </si>
  <si>
    <t>LB2831.93.B76 2004</t>
  </si>
  <si>
    <t>The Principal As Professional Development Leader</t>
  </si>
  <si>
    <t>Lindstrom, Phyllis H.;Speck, Marsha</t>
  </si>
  <si>
    <t>LB2831.92.L53 2004</t>
  </si>
  <si>
    <t>Working with Challenging Parents of Students with Special Needs</t>
  </si>
  <si>
    <t>Gorman, Jean Cheng</t>
  </si>
  <si>
    <t>LC4019</t>
  </si>
  <si>
    <t>371.9/04</t>
  </si>
  <si>
    <t>Leading from below the Surface : A Non-Traditional Approach to School Leadership</t>
  </si>
  <si>
    <t>Creighton, Theodore B.</t>
  </si>
  <si>
    <t>LB2831.9.C74 2005</t>
  </si>
  <si>
    <t>The Five Essentials of Organizational Excellence : Maximizing Schoolwide Student Achievement and Performance</t>
  </si>
  <si>
    <t>Marazza, Lawrence L.</t>
  </si>
  <si>
    <t>LB2806.M225 2003</t>
  </si>
  <si>
    <t>Guiding Change in Special Education : How to Help Schools with New Ideas and Practices</t>
  </si>
  <si>
    <t>Havelock, Ronald G.;Hamilton, James L.</t>
  </si>
  <si>
    <t>LC3981.H38 2004</t>
  </si>
  <si>
    <t>Overcoming Barricades to Reading : A Multiple Intelligences Approach</t>
  </si>
  <si>
    <t>Teele, Suzanne C.</t>
  </si>
  <si>
    <t>LB1573.8.T44 2004</t>
  </si>
  <si>
    <t>372.47/2</t>
  </si>
  <si>
    <t>What Every Teacher Should Know about Instructional Planning</t>
  </si>
  <si>
    <t>LB1027.4.T55 2004</t>
  </si>
  <si>
    <t>What Every Teacher Should Know about Classroom Management and Discipline</t>
  </si>
  <si>
    <t>LB3013.T53 2003</t>
  </si>
  <si>
    <t>What Every Teacher Should Know about Student Assessment</t>
  </si>
  <si>
    <t>LB3051.T564 2004</t>
  </si>
  <si>
    <t>What Every Teacher Should Know about Special Learners</t>
  </si>
  <si>
    <t>LC3981.T53 2004</t>
  </si>
  <si>
    <t>Best Teaching Practices for Reaching All Learners : What Award-Winning Classroom Teachers Do</t>
  </si>
  <si>
    <t>LB1025.3.B48 2004</t>
  </si>
  <si>
    <t>Involving Latino Families in Schools : Raising Student Achievement Through Home-School Partnerships</t>
  </si>
  <si>
    <t>Secrets for Secondary School Teachers : How to Succeed in Your First Year</t>
  </si>
  <si>
    <t>Kottler, Ellen;Kottler, Jeffrey A.;Kottler, Cary J.</t>
  </si>
  <si>
    <t>LB2844.1.N4K67 2004</t>
  </si>
  <si>
    <t>Reflective Practice in Action : 80 Reflection Breaks for Busy Teachers</t>
  </si>
  <si>
    <t>LB1027.F28 2003</t>
  </si>
  <si>
    <t>Faculty Groups : From Frustration to Collaboration</t>
  </si>
  <si>
    <t>Wheelan, Susan A.</t>
  </si>
  <si>
    <t>LB1029.T4W44 2005</t>
  </si>
  <si>
    <t>Creating a Positive School Culture : How Principals and Teachers Can Solve Problems Together</t>
  </si>
  <si>
    <t>LB2840.B39 2004</t>
  </si>
  <si>
    <t>Great Teaching : What Matters Most in Helping Students Succeed</t>
  </si>
  <si>
    <t>Di Giulio, Robert C.</t>
  </si>
  <si>
    <t>LB1025.3.D55 2004</t>
  </si>
  <si>
    <t>The Frazzled Principal&amp;prime;s Wellness Plan : Reclaiming Time, Managing Stress, and Creating a Healthy Lifestyle</t>
  </si>
  <si>
    <t>Queen, J. Allen;Queen, Patsy S.</t>
  </si>
  <si>
    <t>LB2831.958.Q44 2004</t>
  </si>
  <si>
    <t>Teaching English Language Learners K-12 : A Quick-Start Guide for the New Teacher</t>
  </si>
  <si>
    <t>Jesness, Jerry</t>
  </si>
  <si>
    <t>PE1128.A2J47 2004</t>
  </si>
  <si>
    <t>The Teacher&amp;prime;s Guide to Leading Student-Centered Discussions : Talking about Texts in the Classroom</t>
  </si>
  <si>
    <t>Hale, Michael S.;City, Elizabeth A.</t>
  </si>
  <si>
    <t>LB1027.23.H35 2006</t>
  </si>
  <si>
    <t>Artistically and Musically Talented Students</t>
  </si>
  <si>
    <t>Zimmerman, Enid;Reis, Sally M.</t>
  </si>
  <si>
    <t>LC3993.265.A78 2004</t>
  </si>
  <si>
    <t>371.95/35</t>
  </si>
  <si>
    <t>Grouping and Acceleration Practices in Gifted Education</t>
  </si>
  <si>
    <t>Brody, Linda E.;Reis, Sally M.</t>
  </si>
  <si>
    <t>LC3993.9.G76 2004</t>
  </si>
  <si>
    <t>Curriculum for Gifted and Talented Students</t>
  </si>
  <si>
    <t>VanTassel-Baska, Joyce;Reis, Sally M.</t>
  </si>
  <si>
    <t>LC3993.9.C89 2004</t>
  </si>
  <si>
    <t>Creativity and Giftedness</t>
  </si>
  <si>
    <t>Treffinger, Donald J.;Reis, Sally M.</t>
  </si>
  <si>
    <t>LC3993.2.C73 2004</t>
  </si>
  <si>
    <t>Differentiation for Gifted and Talented Students</t>
  </si>
  <si>
    <t>Tomlinson, Carol Ann;Reis, Sally M.</t>
  </si>
  <si>
    <t>LC3993.23.D54 2004</t>
  </si>
  <si>
    <t>The Ten Commandments of Professionalism for Teachers : Wisdom from a Veteran Teacher</t>
  </si>
  <si>
    <t>LB1025.3.G454 2005</t>
  </si>
  <si>
    <t>What Matters Most for School Leaders : 25 Reminders of What Is Really Important</t>
  </si>
  <si>
    <t>LB2805.R26 2005</t>
  </si>
  <si>
    <t>Best Practices for Effective Secondary School Counselors</t>
  </si>
  <si>
    <t>Shelton, Carla F.;James, Edward L.</t>
  </si>
  <si>
    <t>LB1620.5.S49 2005</t>
  </si>
  <si>
    <t>Common-Sense Classroom Management for Special Education Teachers, Grades K-5</t>
  </si>
  <si>
    <t>Lindberg, Jill A.;Walker-Wied, Judith K.;Beckwith, Kristin M. Forjan</t>
  </si>
  <si>
    <t>LC3981.L56 2006</t>
  </si>
  <si>
    <t>Six Pathways to Healthy Child Development and Academic Success : The Field Guide to Comer Schools in Action</t>
  </si>
  <si>
    <t>Comer, James P.;Joyner, Edward T.;Ben-Avie, Michael</t>
  </si>
  <si>
    <t>LB1117.S53 2004</t>
  </si>
  <si>
    <t>Integrating Inquiry Across the Curriculum</t>
  </si>
  <si>
    <t>Audet, Richard H.;Jordan, Linda K.</t>
  </si>
  <si>
    <t>LB1027.23.I58 2005</t>
  </si>
  <si>
    <t>Graduation for All : A Practical Guide to Decreasing School Dropout</t>
  </si>
  <si>
    <t>Lehr, Camilla A.;Clapper, Ann T.;Thurlow, Martha L.</t>
  </si>
  <si>
    <t>LC143.L45 2005</t>
  </si>
  <si>
    <t>Constructivist Learning Design : Key Questions for Teaching to Standards</t>
  </si>
  <si>
    <t>Gagnon, George W., Jr.;Collay, Michelle</t>
  </si>
  <si>
    <t>LB1590.3.G33 2006</t>
  </si>
  <si>
    <t>Service Learning in Grades K-8 : Experiential Learning That Builds Character and Motivation</t>
  </si>
  <si>
    <t>Thomsen, Katherine</t>
  </si>
  <si>
    <t>LC220.5.T46 2006</t>
  </si>
  <si>
    <t>The Contemporary Superintendent : Preparation, Practice, and Development</t>
  </si>
  <si>
    <t>Bjork, Lars G.;Kowalski, Theodore J.</t>
  </si>
  <si>
    <t>A Practical Guide to Effective School Board Meetings</t>
  </si>
  <si>
    <t>Townsend, Rene S.;Brown, James R.;Buster, Walter L.</t>
  </si>
  <si>
    <t>LB2831.T65 2005</t>
  </si>
  <si>
    <t>Teacher Pay and Teacher Quality : Attracting, Developing, and Retaining the Best Teachers</t>
  </si>
  <si>
    <t>Stronge, James H.;Gareis, Christopher R.;Little, Catherine A.</t>
  </si>
  <si>
    <t>LB2842.22.S87 2006</t>
  </si>
  <si>
    <t>331.2/813711/00973</t>
  </si>
  <si>
    <t>School Discipline : Best Practices for Administrators</t>
  </si>
  <si>
    <t>Rosen, Louis</t>
  </si>
  <si>
    <t>LB3012.2.R67 2005</t>
  </si>
  <si>
    <t>The Principal&amp;prime;s Guide to Managing Communication</t>
  </si>
  <si>
    <t>Schneider, E. Joseph;Hollenczer, Lara L.</t>
  </si>
  <si>
    <t>LB1033.5.S36 2006</t>
  </si>
  <si>
    <t>Classroom Record Keeping Made Simple : Tips for Time-Strapped Teachers</t>
  </si>
  <si>
    <t>Mierzwik, Nancy Diane</t>
  </si>
  <si>
    <t>LB2845.7.M54 2005</t>
  </si>
  <si>
    <t>Workshops That Really Work : The ABC's of Designing and Delivering Sensational Presentations</t>
  </si>
  <si>
    <t>LB1743.P67 2006</t>
  </si>
  <si>
    <t>Best Practices for Teacher Leadership : What Award-Winning Teachers Do for Their Professional Learning Communities</t>
  </si>
  <si>
    <t>Sofman, Randi B.;Cuper, Prudence H.</t>
  </si>
  <si>
    <t>LB1025.3.S755 2006</t>
  </si>
  <si>
    <t>Help! for Teachers of Young Children : 88 Tips to Develop Children&amp;prime;s Social Skills and Create Positive Teacher-Family Relationships</t>
  </si>
  <si>
    <t>LB1140.2.K314</t>
  </si>
  <si>
    <t>Secrets to Success for Beginning Elementary School Teachers</t>
  </si>
  <si>
    <t>LB1555.K68 2007</t>
  </si>
  <si>
    <t>Setting Leadership Priorities : What's Necessary, What's Nice, and What's Got to Go</t>
  </si>
  <si>
    <t>Lovely, Suzette</t>
  </si>
  <si>
    <t>LB2805.L65 2006</t>
  </si>
  <si>
    <t>Lesson Study Communities : Increasing Achievement with Diverse Students</t>
  </si>
  <si>
    <t>Wiburg, Karin Miller;Brown, Susan</t>
  </si>
  <si>
    <t>LB1027.4.W554 2006</t>
  </si>
  <si>
    <t>The Charismatic Leader : The Presentation of Self and the Creation of Educational Settings</t>
  </si>
  <si>
    <t>Brubaker, Dale L.</t>
  </si>
  <si>
    <t>LB2806.B82 2006</t>
  </si>
  <si>
    <t>What Every Principal Should Know about Cultural Leadership</t>
  </si>
  <si>
    <t>LB2805.G52 2006</t>
  </si>
  <si>
    <t>What Every Principal Should Know about Collaborative Leadership</t>
  </si>
  <si>
    <t>LB2831.93.G53 2006</t>
  </si>
  <si>
    <t>What Every Principal Should Know about Strategic Leadership</t>
  </si>
  <si>
    <t>LB2831.93.G532 2006</t>
  </si>
  <si>
    <t>Improving Students&amp;prime; Writing, K-8 : From Meaning-Making to High Stakes!</t>
  </si>
  <si>
    <t>Barone, Diane;Taylor, Joan M</t>
  </si>
  <si>
    <t>LB1576.B299 2006</t>
  </si>
  <si>
    <t>You Can&amp;prime;t Make Me! : From Chaos to Cooperation in the Elementary Classroom</t>
  </si>
  <si>
    <t>Rockwell, Sylvia</t>
  </si>
  <si>
    <t>LC4801.R62 2007</t>
  </si>
  <si>
    <t>The Data Guidebook for Teachers and Leaders : Tools for Continuous Improvement</t>
  </si>
  <si>
    <t>Reaching and Teaching Stressed and Anxious Learners in Grades 4-8 : Strategies for Relieving Distress and Trauma in Schools and Classrooms</t>
  </si>
  <si>
    <t>Oehlberg, Barbara E.</t>
  </si>
  <si>
    <t>LC4165.O34 2006</t>
  </si>
  <si>
    <t>The K-12 Literacy Leadership Fieldbook</t>
  </si>
  <si>
    <t>Taylor, Rosemarye T.;Gunter, Glenda A.</t>
  </si>
  <si>
    <t>LB1576.T355 2005</t>
  </si>
  <si>
    <t>102 Reading Response Lessons : Improving Comprehension Skills for Test Day--And Beyond</t>
  </si>
  <si>
    <t>Wolfgang, Kristin Noelle</t>
  </si>
  <si>
    <t>LB1573.7.W65 2006</t>
  </si>
  <si>
    <t>Using the Workshop Approach in the High School English Classroom : Modeling Effective Writing, Reading, and Thinking Strategies for Student Success</t>
  </si>
  <si>
    <t>Urbanski, Cynthia D.</t>
  </si>
  <si>
    <t>LB1631.U73 2006</t>
  </si>
  <si>
    <t>Raising Reading Achievement in Middle and High Schools : Five Simple-To-Follow Strategies</t>
  </si>
  <si>
    <t>LB1632.M35 2007</t>
  </si>
  <si>
    <t>Teaching for Deep Understanding : What Every Educator Should Know</t>
  </si>
  <si>
    <t>Leithwood, Kenneth;McAdie, Pat;Bascia, Nina;Rodrigue, Anne</t>
  </si>
  <si>
    <t>LB2395.35.L43 2006</t>
  </si>
  <si>
    <t>Building Culturally Responsive Classrooms : A Guide for K-6 Teachers</t>
  </si>
  <si>
    <t>LC1099.D44 2006</t>
  </si>
  <si>
    <t>Quotes to Inspire Great Reading Teachers : A Reflective Tool for Advancing Students&amp;prime; Literacy</t>
  </si>
  <si>
    <t>Block, Cathy Collins;Israel, Susan E.</t>
  </si>
  <si>
    <t>LB1573.39.B57 2006</t>
  </si>
  <si>
    <t>Inspirational Quotes, Notes, and Anecdotes That Honor Teachers and Teaching</t>
  </si>
  <si>
    <t>PN6084.E38I57 2006</t>
  </si>
  <si>
    <t>The Reflective Educator's Guide to Mentoring : Strengthening Practice Through Knowledge, Story, and Metaphor</t>
  </si>
  <si>
    <t>LB1731.4.Y46 2007</t>
  </si>
  <si>
    <t>Memory 101 for Educators</t>
  </si>
  <si>
    <t>LB1063.S67 2007</t>
  </si>
  <si>
    <t>School Leadership : Handbook for Excellence in Student Learning</t>
  </si>
  <si>
    <t>Smith, Stuart C.;Piele, Philip K.</t>
  </si>
  <si>
    <t>LB2801.A1S34 2006</t>
  </si>
  <si>
    <t>Leadership Strategies for Teachers</t>
  </si>
  <si>
    <t>Merideth, Eunice M.</t>
  </si>
  <si>
    <t>LB1775.2.M47 2007</t>
  </si>
  <si>
    <t>Practical Action Research for Change</t>
  </si>
  <si>
    <t>Schmuck, Richard A.</t>
  </si>
  <si>
    <t>LB1028.24.S45 2006</t>
  </si>
  <si>
    <t>Aligning Standards and Curriculum for Classroom Success</t>
  </si>
  <si>
    <t>Perna, Daniel M.;Davis, James R.</t>
  </si>
  <si>
    <t>LB2806.15.P47 2007</t>
  </si>
  <si>
    <t>Keys to Success for Urban School Principals</t>
  </si>
  <si>
    <t>Cooke, Gwendolyn J.</t>
  </si>
  <si>
    <t>LB2831.92.C67 2006</t>
  </si>
  <si>
    <t>371.2/0120973</t>
  </si>
  <si>
    <t>Effective Superintendent-School Board Practices : Strategies for Developing and Maintaining Good Relationships with Your Board</t>
  </si>
  <si>
    <t>Townsend, Rene S.;Johnston, Gloria L.;Gross, Gwen E.;Lynch, Margaret A.;Garcy, Lorraine M.;Roberts, Benita B.;Novotney, Patricia B.</t>
  </si>
  <si>
    <t>LB2831.E39 2007</t>
  </si>
  <si>
    <t>Quantum Learning and Instructional Leadership in Practice</t>
  </si>
  <si>
    <t>Le Tellier, John Parks</t>
  </si>
  <si>
    <t>LB1060.L3829 2006</t>
  </si>
  <si>
    <t>The Fundamentals of Special Education : A Practical Guide for Every Teacher</t>
  </si>
  <si>
    <t>Algozzine, Bob;Ysseldyke, James E.</t>
  </si>
  <si>
    <t>LC3981.A663 2006</t>
  </si>
  <si>
    <t>Teaching Students with Medical, Physical, and Multiple Disabilities : A Practical Guide for Every Teacher</t>
  </si>
  <si>
    <t>LC4031.A56 2006</t>
  </si>
  <si>
    <t>Teaching Students with Communication Disorders : A Practical Guide for Every Teacher</t>
  </si>
  <si>
    <t>LC4028.Y78 2006</t>
  </si>
  <si>
    <t>371.91/4</t>
  </si>
  <si>
    <t>Teaching Students with Gifts and Talents : A Practical Guide for Every Teacher</t>
  </si>
  <si>
    <t>LC3993.9.A75 2006</t>
  </si>
  <si>
    <t>Productive Learning : Science, Art, and Einstein&amp;prime;s Relativity in Educational Reform</t>
  </si>
  <si>
    <t>Glazek, Stanislaw D.;Sarason, Seymour B.</t>
  </si>
  <si>
    <t>LB1060.G557 2007</t>
  </si>
  <si>
    <t>Mastering the Balance of the Principalship : How to Be a Compassionate and Decisive Leader</t>
  </si>
  <si>
    <t>Ricken, Robert</t>
  </si>
  <si>
    <t>LB2831.92.R54 2007</t>
  </si>
  <si>
    <t>Engaging &amp;prime;Tweens and Teens : A Brain-Compatible Approach to Reaching Middle and High School Students</t>
  </si>
  <si>
    <t>Philp, Raleigh T.</t>
  </si>
  <si>
    <t>LB1025.3.P485 2005</t>
  </si>
  <si>
    <t>Twelve Brain Principles That Make the Difference</t>
  </si>
  <si>
    <t>LB1060.P465 2003eb</t>
  </si>
  <si>
    <t>10 Critical Components for Success in the Special Education Classroom</t>
  </si>
  <si>
    <t>Rohrer, Marcia W.;Samson, Nannette M.</t>
  </si>
  <si>
    <t>Reading for Academic Success : Powerful Strategies for Struggling, Average, and Advanced Readers, Grades 7-12</t>
  </si>
  <si>
    <t>Strong, Richard W.;Silver, Harvey F.;Perini, Matthew J.;Tuculescu, Gregory M.</t>
  </si>
  <si>
    <t>LB1632.R356 2002</t>
  </si>
  <si>
    <t>Making Good Choices : Developing Responsibility, Respect, and Self-Discipline in Grades 4-9</t>
  </si>
  <si>
    <t>LB3012.C87 2003</t>
  </si>
  <si>
    <t>Breaking the Silence : Overcoming the Problem of Principal Mistreatment of Teachers</t>
  </si>
  <si>
    <t>Blase, Joseph;Blase, Rebajo R.</t>
  </si>
  <si>
    <t>LB2840.2.B53 2002</t>
  </si>
  <si>
    <t>Extending the Challenge in Mathematics : Developing Mathematical Promise in K-8 Students</t>
  </si>
  <si>
    <t>Sheffield, Linda Jensen</t>
  </si>
  <si>
    <t>QA13.S49 2003</t>
  </si>
  <si>
    <t>372.7/0973</t>
  </si>
  <si>
    <t>Mentoring and Induction Programs That Support New Principals</t>
  </si>
  <si>
    <t>LB2831.92.V556 2006</t>
  </si>
  <si>
    <t>Teachers Learning Together : Creating Learning Communities</t>
  </si>
  <si>
    <t>LB1731.O354 2003eb</t>
  </si>
  <si>
    <t>Engaging Teaching Tools : Measuring and Improving Student Engagement</t>
  </si>
  <si>
    <t>Sladkey, David U.</t>
  </si>
  <si>
    <t>Proven Programs in Education: Science, Technology, and Mathematics (STEM)</t>
  </si>
  <si>
    <t>LB1585.S393 2014</t>
  </si>
  <si>
    <t>Achieving Excellence in School Counseling Through Motivation, Self-Direction, Self-Knowledge and Relationships</t>
  </si>
  <si>
    <t>Squier, Karl L.;Nailor, Patricia;Carey, John C.</t>
  </si>
  <si>
    <t>LB1027.5.S66 2014</t>
  </si>
  <si>
    <t>English Learners in the Mathematics Classroom</t>
  </si>
  <si>
    <t>Coggins, Debra S.</t>
  </si>
  <si>
    <t>QA13.E48 2014</t>
  </si>
  <si>
    <t>Building Trust in Teacher Evaluations : It's Not What You Say; It's How You Say It</t>
  </si>
  <si>
    <t>Arneson, Mary Shelly</t>
  </si>
  <si>
    <t>LB2838.A763 2014</t>
  </si>
  <si>
    <t>371.14/00973</t>
  </si>
  <si>
    <t>The Go-To Guide for Engineering Curricula, PreK-5 : Choosing and Using the Best Instructional Materials for Your Students</t>
  </si>
  <si>
    <t>Sneider, Cary I.</t>
  </si>
  <si>
    <t>LB1585.3</t>
  </si>
  <si>
    <t>Teaching Students with Mental Retardation : A Practical Guide for Every Teacher</t>
  </si>
  <si>
    <t>LC4631.A72 2006</t>
  </si>
  <si>
    <t>Academic Language in Diverse Classrooms: Mathematics, Grades K-2 : Promoting Content and Language Learning</t>
  </si>
  <si>
    <t>QA13 .A327 2013</t>
  </si>
  <si>
    <t>Mathematics-Study and teaching (Primary)-United States. ; Language arts (Primary)-United States. ; Language arts-Correlation with content subjects-United States. ; English language-Study and teaching (Primary)-United States. ; English language-Study and teaching (Primary)-Foreign speakers. ; Multicultural education-United States.</t>
  </si>
  <si>
    <t>Academic Language in Diverse Classrooms: Mathematics, Grades 3-5 : Promoting Content and Language Learning</t>
  </si>
  <si>
    <t>QA13 .A325 2013</t>
  </si>
  <si>
    <t>Mathematics-Study and teaching (Elementary)-United States. ; Language arts-Correlation with content subjects-United States. ; English language-Study and teaching (Elementary)-United States. ; English language-Study and teaching (Elementary)-Foreign speakers. ; Multicultural education-United States.</t>
  </si>
  <si>
    <t>Captivate, Activate, and Invigorate the Student Brain in Science and Math, Grades 6-12</t>
  </si>
  <si>
    <t>Almarode, John T.;Miller, Ann M.</t>
  </si>
  <si>
    <t>Q181</t>
  </si>
  <si>
    <t>Evaluating America's Teachers : Mission Possible?</t>
  </si>
  <si>
    <t>LB2838</t>
  </si>
  <si>
    <t>A Straightforward Guide to Teacher Merit Pay : Encouraging and Rewarding Schoolwide Improvement</t>
  </si>
  <si>
    <t>Ritter, Gary;Barnett, Joshua H.</t>
  </si>
  <si>
    <t>LB2842.22</t>
  </si>
  <si>
    <t>Digital Storytelling in the Classroom : New Media Pathways to Literacy, Learning, and Creativity</t>
  </si>
  <si>
    <t>LB1042</t>
  </si>
  <si>
    <t>372.67/70285</t>
  </si>
  <si>
    <t>Academic Language in Diverse Classrooms: Mathematics, Grades 6-8 : Promoting Content and Language Learning</t>
  </si>
  <si>
    <t>Counseling Students in Levels 2 And 3 : A PBIS/RTI Guide</t>
  </si>
  <si>
    <t>Shepard, Jon M.;Shahidullah, Jeffrey D.;Carlson, John S.</t>
  </si>
  <si>
    <t>LB1620.5</t>
  </si>
  <si>
    <t>Online Professional Development Through Virtual Learning Communities</t>
  </si>
  <si>
    <t>Hollins-Alexander, Sonja</t>
  </si>
  <si>
    <t>LB1731.H59 2013</t>
  </si>
  <si>
    <t>Teachers--In-service training--Computer networks. ; Professional learning communities.</t>
  </si>
  <si>
    <t>Untangling the Web : 20 Tools to Power up Your Teaching</t>
  </si>
  <si>
    <t>Dembo, Stephen E.;Bellow, Adam S.</t>
  </si>
  <si>
    <t>LB1044.87.D45 2013</t>
  </si>
  <si>
    <t>The Architecture of School Improvement : Lessons Learned</t>
  </si>
  <si>
    <t>LB2822.82</t>
  </si>
  <si>
    <t>Uncovering Student Thinking about Mathematics in the Common Core, Grades K-2 : 20 Formative Assessment Probes</t>
  </si>
  <si>
    <t>Tobey, Cheryl Rose;Fagan, Emily R.</t>
  </si>
  <si>
    <t>Teacher Rounds : A Guide to Collaborative Learning in and from Practice</t>
  </si>
  <si>
    <t>Del Prete, Thomas A.</t>
  </si>
  <si>
    <t>LB1731.D435 2013</t>
  </si>
  <si>
    <t>Professional learning communities.</t>
  </si>
  <si>
    <t>High School Graduation : K-12 Strategies That Work</t>
  </si>
  <si>
    <t>Glaze, Avis E.;Mattingley, Ruth E.;Andrews, Rob</t>
  </si>
  <si>
    <t>What Successful Math Teachers Do, Grades 6-12 : 80 Research-Based Strategies for the Common Core-Aligned Classroom</t>
  </si>
  <si>
    <t>Posamentier, Alfred S.;Germain-Williams, Terri L.;Jaye, Daniel I.</t>
  </si>
  <si>
    <t>QA13.P67 2013</t>
  </si>
  <si>
    <t>Peer Coaching : Unlocking the Power of Collaboration</t>
  </si>
  <si>
    <t>Foltos, Lester J.</t>
  </si>
  <si>
    <t>I&amp;prime;m in the Principal&amp;prime;s Seat, Now What? : The Story of a Turnaround Principal</t>
  </si>
  <si>
    <t>Bonilla, Allan R.</t>
  </si>
  <si>
    <t>LB2831.9.B63 2013</t>
  </si>
  <si>
    <t>The Frazzled Teacher's Wellness Plan : A Five-Step Program for Reclaiming Time, Managing Stress, and Creating a Healthy Lifestyle</t>
  </si>
  <si>
    <t>LB2831.958.Q44 2013</t>
  </si>
  <si>
    <t>Mathematics, the Common Core, and RTI : An Integrated Approach to Teaching in Today&amp;prime;s Classrooms</t>
  </si>
  <si>
    <t>QA13.B868 2013</t>
  </si>
  <si>
    <t>Academic Language in Diverse Classrooms: English Language Arts, Grades 3-5 : Promoting Content and Language Learning</t>
  </si>
  <si>
    <t>Academic Language in Diverse Classrooms: English Language Arts, Grades 6-8 : Promoting Content and Language Learning</t>
  </si>
  <si>
    <t>Uncovering Student Thinking about Mathematics in the Common Core, Grades 6-8 : 25 Formative Assessment Probes</t>
  </si>
  <si>
    <t>Tobey, Cheryl Rose;Arline, Carolyn B.</t>
  </si>
  <si>
    <t>QA135.6.T588 2014</t>
  </si>
  <si>
    <t>The Superintendent As CEO : Standards-Based Performance</t>
  </si>
  <si>
    <t>Hoyle, John R.;Bjork, Lars G.;Collier, Virginia;Glass, Thomas Eugene</t>
  </si>
  <si>
    <t>LB2831.72.S86 2005</t>
  </si>
  <si>
    <t>Improving Achievement with Digital Age Best Practices</t>
  </si>
  <si>
    <t>Moersch, Christopher M.</t>
  </si>
  <si>
    <t>Distributed Leadership Matters : Perspectives, Practicalities, and Potential</t>
  </si>
  <si>
    <t>Harris, Alma</t>
  </si>
  <si>
    <t>Uncovering Student Thinking about Mathematics in the Common Core, Grades 3-5 : 25 Formative Assessment Probes</t>
  </si>
  <si>
    <t>QA135.6.T587 2014</t>
  </si>
  <si>
    <t>Creating Content with Your Tablet</t>
  </si>
  <si>
    <t>LB1028.5.B76 2014eb</t>
  </si>
  <si>
    <t>Bounce Forward : The Extraordinary Resilience of Leadership</t>
  </si>
  <si>
    <t>LB2831.62</t>
  </si>
  <si>
    <t>Using Data to Close the Achievement Gap : How to Measure Equity in Our Schools</t>
  </si>
  <si>
    <t>Johnson, Ruth S.</t>
  </si>
  <si>
    <t>LC213.2.J64 2002</t>
  </si>
  <si>
    <t>Health Problems in the Classroom PreK-6 : An a-Z Reference Guide for Educators</t>
  </si>
  <si>
    <t>LB3409.U5H84 2003</t>
  </si>
  <si>
    <t>20 Biggest Mistakes Principals Make and How to Avoid Them</t>
  </si>
  <si>
    <t>LB2831.9.G74 2004</t>
  </si>
  <si>
    <t>Improving Reading and Literacy in Grades 1-5 : A Resource Guide to Research-Based Programs</t>
  </si>
  <si>
    <t>St. John, Edward Patrick;Loescher, Siri Ann;Bardzell, Jeffrey S.</t>
  </si>
  <si>
    <t>Reflective Analysis of Student Work : Improving Teaching Through Collaboration</t>
  </si>
  <si>
    <t>Bella, Norene J.</t>
  </si>
  <si>
    <t>LB1032.B44 2004</t>
  </si>
  <si>
    <t>Structured English Immersion : A Step-By-Step Guide for K-6 Teachers and Administrators</t>
  </si>
  <si>
    <t>Haver, Johanna J.</t>
  </si>
  <si>
    <t>LB1576.H324 2003</t>
  </si>
  <si>
    <t>Developing Learning Communities Through Teacher Expertise</t>
  </si>
  <si>
    <t>Martin-Kniep, Giselle O.</t>
  </si>
  <si>
    <t>LB1731.M364 2004</t>
  </si>
  <si>
    <t>Building Resilient Students : Integrating Resiliency into What You Already Know and Do</t>
  </si>
  <si>
    <t>LB1051.T383 2002</t>
  </si>
  <si>
    <t>Creating Successful Learning Environments for African American Learners with Exceptionalities</t>
  </si>
  <si>
    <t>Obiakor, Festus E.;Ford, Bridgie Alexis</t>
  </si>
  <si>
    <t>LC2731.C74 2002</t>
  </si>
  <si>
    <t>371.9/089/96073</t>
  </si>
  <si>
    <t>The Professional Development Schools Handbook : Starting, Sustaining, and Assessing Partnerships That Improve Student Learning</t>
  </si>
  <si>
    <t>Teitel, Lee</t>
  </si>
  <si>
    <t>LB2154.A3T46 2003</t>
  </si>
  <si>
    <t>Problem-Based Learning in Middle and High School Classrooms : A Teacher&amp;prime;s Guide to Implementation</t>
  </si>
  <si>
    <t>Lambros, Marian Ann</t>
  </si>
  <si>
    <t>LB1027.42</t>
  </si>
  <si>
    <t>Improving Schools Through Community Engagement : A Practical Guide for Educators</t>
  </si>
  <si>
    <t>Thomforde, Kathy Gardner Chadwick</t>
  </si>
  <si>
    <t>LC221.C53 2004</t>
  </si>
  <si>
    <t>Teachers Mentoring Teachers : A Practical Approach to Helping New and Experienced Staff</t>
  </si>
  <si>
    <t>Daresh, John C.</t>
  </si>
  <si>
    <t>LB1731.4.D375 2003</t>
  </si>
  <si>
    <t>School Leadership from a to Z : Practical Lessons from Successful Schools and Businesses</t>
  </si>
  <si>
    <t>LB2831.82.R37 2003</t>
  </si>
  <si>
    <t>Understanding and Evaluating Qualitative Educational Research</t>
  </si>
  <si>
    <t>Lichtman, Marilyn V.</t>
  </si>
  <si>
    <t>Essentials of Science Classroom Assessment</t>
  </si>
  <si>
    <t>Liu, Xiufeng</t>
  </si>
  <si>
    <t>Q181 -- .L745 2010eb</t>
  </si>
  <si>
    <t>Teaching English Language Learners : 43 Strategies for Successful K-8 Classrooms</t>
  </si>
  <si>
    <t>Colombo, Michaela</t>
  </si>
  <si>
    <t>Handbook of Youth Mentoring</t>
  </si>
  <si>
    <t>DuBois, David L.;Karcher, Michael</t>
  </si>
  <si>
    <t>The SAGE Program on Applied Developmental Science Series</t>
  </si>
  <si>
    <t>HV1431.H3 2014eb</t>
  </si>
  <si>
    <t>362.7/083</t>
  </si>
  <si>
    <t>Online Teaching in the Digital Age</t>
  </si>
  <si>
    <t>Swenson, Patricia Jane;Taylor, Nancy Annette</t>
  </si>
  <si>
    <t>LB1044.87.S94 2012eb</t>
  </si>
  <si>
    <t>Effective College and University Teaching : Strategies and Tactics for the New Professoriate</t>
  </si>
  <si>
    <t>Buskist, William F.;Benassi, Victor A.</t>
  </si>
  <si>
    <t>College teaching-United States. ; Professional learning communities-United States. ; Effective teaching.</t>
  </si>
  <si>
    <t>The SAGE Handbook of International Higher Education</t>
  </si>
  <si>
    <t>Deardorff, Darla K.;de Wit, Hans;Heyl, John D.;Adams, Tony</t>
  </si>
  <si>
    <t>LC1090.S26 2012eb</t>
  </si>
  <si>
    <t>Alternative Schooling and School Choice</t>
  </si>
  <si>
    <t>Osborne, Allan G., Jr.;Russo, Charles;Cattaro, Gerald M.</t>
  </si>
  <si>
    <t>Debating Issues in American Education: a SAGE Reference Set Series</t>
  </si>
  <si>
    <t>School Governance</t>
  </si>
  <si>
    <t>Hunter, Richard C.;Brown, Frank D.;Donahoo, Saran N.</t>
  </si>
  <si>
    <t>School Law</t>
  </si>
  <si>
    <t>Standards and Accountability in Schools</t>
  </si>
  <si>
    <t>Lasley, II, Thomas J.</t>
  </si>
  <si>
    <t>371.14/40973</t>
  </si>
  <si>
    <t>Technology in Schools</t>
  </si>
  <si>
    <t>Brady, Kevin P.</t>
  </si>
  <si>
    <t>Curriculum and Instruction</t>
  </si>
  <si>
    <t>Eakle, A. Jonathan</t>
  </si>
  <si>
    <t>LB2806.15 -- .C6923 2012eb</t>
  </si>
  <si>
    <t>Public schools - Curricula - United States</t>
  </si>
  <si>
    <t>Diversity in Schools</t>
  </si>
  <si>
    <t>Brown, Frank D.;Hunter, Richard C.;Donahoo, Saran N.</t>
  </si>
  <si>
    <t>School Discipline and Safety</t>
  </si>
  <si>
    <t>Eckes, Suzanne E.;Russo, Charles</t>
  </si>
  <si>
    <t>School Finance</t>
  </si>
  <si>
    <t>Thro, William</t>
  </si>
  <si>
    <t>LB2825 -- .S33595 2012eb</t>
  </si>
  <si>
    <t>Education -- United States -- Finance. ; Education -- Finance.</t>
  </si>
  <si>
    <t>Learner-Centered Instruction : Building Relationships for Student Success</t>
  </si>
  <si>
    <t>Cornelius-White, Jeffrey H. D.;Harbaugh, Adam P.</t>
  </si>
  <si>
    <t>Student-centered learning. ; Active learning. ; Teacher-student relationships. ; Academic achievement.</t>
  </si>
  <si>
    <t>The SAGE Encyclopedia of Educational Technology</t>
  </si>
  <si>
    <t>Spector, J. Michael</t>
  </si>
  <si>
    <t>371.33/03</t>
  </si>
  <si>
    <t>The SAGE Guide to Educational Leadership and Management</t>
  </si>
  <si>
    <t>When Young Children Need Help : Understanding and Addressing Emotional, Behavorial, and Developmental Challenges</t>
  </si>
  <si>
    <t>Saint Paul</t>
  </si>
  <si>
    <t>LC4801 -- .H54 2015eb</t>
  </si>
  <si>
    <t>Problem children -- Education, Elementary. ; Behavior disorders in children. ; Emotional problems of children. ; Behavioral assessment of children.</t>
  </si>
  <si>
    <t>Knowledge Production and Contradictory Functions in African Higher Education</t>
  </si>
  <si>
    <t>Cloete, Nico;Maassen, Peter</t>
  </si>
  <si>
    <t>LA1503 .K569 2015</t>
  </si>
  <si>
    <t>Education, Higher-Africa.</t>
  </si>
  <si>
    <t>Self-Harm and Eating Disorders in Schools : A Guide to Whole-School Strategies and Practical Support</t>
  </si>
  <si>
    <t>Knightsmith, Pooky;Brennan, Sarah</t>
  </si>
  <si>
    <t>618.92/8582</t>
  </si>
  <si>
    <t>90 Let Pra&amp;#382;ské Polonistiky - d&amp;#283;jiny a Sou&amp;#269;asnost</t>
  </si>
  <si>
    <t>Karolinum Press</t>
  </si>
  <si>
    <t>CZECH REPUBLIC</t>
  </si>
  <si>
    <t>Rusin Dybalska, Renata;Zakopalová, Lucie;Zakopalová, Lucie</t>
  </si>
  <si>
    <t>PG7011.A2 -- .B464 2013eb</t>
  </si>
  <si>
    <t>Polonist -- Biography. ; Polish philology -- Study and teaching (Higher) -- Czech Republic -- Prague -- History.</t>
  </si>
  <si>
    <t>Odborné a Pedagogické Praxe Ve Sportu a T&amp;#283;lesné Výchov&amp;#283;</t>
  </si>
  <si>
    <t>Tilinger, Pavel</t>
  </si>
  <si>
    <t>GV211</t>
  </si>
  <si>
    <t>Physical education and training. ; Sports sciences. ; Sports.</t>
  </si>
  <si>
    <t>Úloha Osobností a Institucí V Rozvoji Vzdělanosti V Evropském Kontextu : (Prezentace Skolství a Vzdělanosti)</t>
  </si>
  <si>
    <t>Kasper, Tomás;Pelcová, Naděžda;Pelcová, Naděžda</t>
  </si>
  <si>
    <t>LA628</t>
  </si>
  <si>
    <t>Education, Higher -- Aims and objectives -- Europe, Central -- Congresses. ; Education, Higher -- Aims and objectives -- Europe, Central. ; Education, Higher -- Aims and objectives. ; Education, Higher -- Europe -- Philosophy -- Congresses. ; Education, Higher -- Philosophy. ; Universities and colleges -- Europe, Central -- History -- Congresses. ; Universities and colleges -- Europe, Central -- History. ; Universities and colleges.</t>
  </si>
  <si>
    <t>Strengthening Popular Participation in the African Union : A Guide to AU Structures and Processes</t>
  </si>
  <si>
    <t>Oxfam, Oxfam;AfriMap, AfriMap</t>
  </si>
  <si>
    <t>Academic Identities in Higher Education : The Changing European Landscape</t>
  </si>
  <si>
    <t>Evans, Linda;Nixon, Jon;Evans, Linda</t>
  </si>
  <si>
    <t>LA622 -- .A233 2015eb</t>
  </si>
  <si>
    <t>Educational change -- European Union countries.</t>
  </si>
  <si>
    <t>Lifelong Learning for Poverty Eradication</t>
  </si>
  <si>
    <t>Raditloaneng, Wapula N.;Chawawa, Morgen</t>
  </si>
  <si>
    <t>LC5201-6660.4</t>
  </si>
  <si>
    <t>Continuing education -- Africa</t>
  </si>
  <si>
    <t>The SAGE Sourcebook of Service-Learning and Civic Engagement</t>
  </si>
  <si>
    <t>Delano-Oriaran, Bola;Penick-Parks, Marguerite W.;Fondrie, Suzanne</t>
  </si>
  <si>
    <t>LC220.5.S23 2015</t>
  </si>
  <si>
    <t>Behavior Support</t>
  </si>
  <si>
    <t>Bambara, Linda M.;Janney, Rachel;Snell, Martha E.</t>
  </si>
  <si>
    <t>Teachers' Guides</t>
  </si>
  <si>
    <t>LB1060.2 .B363 2015</t>
  </si>
  <si>
    <t>371.39/3</t>
  </si>
  <si>
    <t>Behavior modification-Case studies. ; Inclusive education-Case studies. ; EDUCATION / Inclusive Education.-bisacsh ; EDUCATION / Classroom Management.-bisacsh</t>
  </si>
  <si>
    <t>Women Leading Education Across the Continents : Overcoming the Barriers</t>
  </si>
  <si>
    <t>Reilly, Elizabeth C.;Bauer, Quirin J.;Sobehart, Helen C.</t>
  </si>
  <si>
    <t>LB2831.8 -- .W654 2015eb</t>
  </si>
  <si>
    <t>Women in higher education -- Cross-cultural studies -- Congresses</t>
  </si>
  <si>
    <t>Stop Making Sense : Music from the Perspective of the Real</t>
  </si>
  <si>
    <t>Wilson, Scott</t>
  </si>
  <si>
    <t>The Psychoanalysis and Popular Culture Series</t>
  </si>
  <si>
    <t>LB1060 -- .W557 2015eb</t>
  </si>
  <si>
    <t>Trendsetting Charter Schools : Raising the Bar for Civic Education</t>
  </si>
  <si>
    <t>Schmitt, Gary J.;Miller, Cheryl</t>
  </si>
  <si>
    <t>LB2806.36 -- .T746 2015eb</t>
  </si>
  <si>
    <t>Charter schools -- United States. ; Civics -- Study and teaching -- United States.</t>
  </si>
  <si>
    <t>Dramatic Interactions in Education : Vygotskian and Sociocultural Approaches to Drama, Education and Research</t>
  </si>
  <si>
    <t>Davis, Susan;Ferholt, Beth;Clemson, Hannah Grainger;Jansson, Satu-Mari;Marjanovic-Shane, Ana</t>
  </si>
  <si>
    <t>PN1701 -- .D725 2015eb</t>
  </si>
  <si>
    <t>Vygotskii, L. S. -- (Lev Semenovich), -- 1896-1934. ; Drama -- Study and teaching.</t>
  </si>
  <si>
    <t>Rethinking Practice, Research and Education : A Philosophical Inquiry</t>
  </si>
  <si>
    <t>Flint, Kevin J.</t>
  </si>
  <si>
    <t>Bloomsbury Research Methods Series</t>
  </si>
  <si>
    <t>LB1028.F5177 2015</t>
  </si>
  <si>
    <t>Education -- Research. ; Education -- Research -- Methodology. ; Education -- Philosophy.</t>
  </si>
  <si>
    <t>Advances in School Psychology (Psychology Revivals) : Volume 8</t>
  </si>
  <si>
    <t>Kratochwill, Thomas R.;Elliott, Stephen N.;Gettinger, Maribeth</t>
  </si>
  <si>
    <t>Psychology Revivals Series</t>
  </si>
  <si>
    <t>LB1051 -- .A383 2015eb</t>
  </si>
  <si>
    <t>Educational psychology. ; School psychology -- United States.</t>
  </si>
  <si>
    <t>Footprints in Aggieland : Remembrances of a Veteran Fundraiser</t>
  </si>
  <si>
    <t>Walker, Robert L.</t>
  </si>
  <si>
    <t>LD5309 -- .W355 2015eb</t>
  </si>
  <si>
    <t>Walker, Robert L., -- 1936- ; Texas A &amp; M Foundation -- History. ; Texas A &amp; M University. -- Development Foundation -- History. ; Texas A &amp; M University -- Finance. ; Texas A &amp; M University -- Alumni and alumnae -- Biography. ; Fund raisers (Persons) -- Texas -- Biography. ; Educational fund raising -- Texas -- College Station.</t>
  </si>
  <si>
    <t>Learning Together : The Law, Politics, Economics, Pedagogy, and Neuroscience of Early Childhood Education</t>
  </si>
  <si>
    <t>Kaufman, Michael J.;Kaufman, Sherelyn R.;Nelson, Elizabeth C.</t>
  </si>
  <si>
    <t>LB1139.25 -- .K384 2015eb</t>
  </si>
  <si>
    <t>Educational law and legislation -- United States</t>
  </si>
  <si>
    <t>Antigone d'Henry Bauchau (Analyse de L'oeuvre) : Analyse Complète et Résumé détaillé de L'oeuvre</t>
  </si>
  <si>
    <t>lePetitLitteraire;Pinaud, Elena;Livinal, Paola</t>
  </si>
  <si>
    <t>Mythology, Greek-Drama.</t>
  </si>
  <si>
    <t>Der Vielfalt Raum geben: Möglichkeiten zum Umgang mit individuellen Ressourcen im Unterricht : Möglichkeiten zum Umgang mit individuellen Ressourcen im Unterricht</t>
  </si>
  <si>
    <t>Stenz, Mario</t>
  </si>
  <si>
    <t>LB3013 -- .S746 2015eb</t>
  </si>
  <si>
    <t>Classroom management. ; Effective teaching -- Evaluation. ; Effective teaching -- Germany.</t>
  </si>
  <si>
    <t>Die Auswirkungen des Fernsehens auf das Kinderzeichnen: Wie beliebte Serien die Vorstellung unserer Kinder beeinflussen : Wie beliebte Serien die Vorstellung unserer Kinder beeinflussen</t>
  </si>
  <si>
    <t>Maier, Katharina</t>
  </si>
  <si>
    <t>LB1044.7 -- .M354 2015eb</t>
  </si>
  <si>
    <t>Television in education. ; Television viewers. ; Television.</t>
  </si>
  <si>
    <t>Die Jugendarbeit im Kontext der Integration in die Gemeinde: Grundlagen, Ziele, Aufträge und Probleme : Grundlagen, Ziele, Aufträge und Probleme</t>
  </si>
  <si>
    <t>Hagel, Matthias</t>
  </si>
  <si>
    <t>HV1441.G7 -- .H344 2015eb</t>
  </si>
  <si>
    <t>Social work with youth -- Great Britain. ; Community organization. ; Leadership.</t>
  </si>
  <si>
    <t>Interkulturelle Elternarbeit in Bildungseinrichtungen: Herausforderungen in der Kooperation von Schulen und Eltern mit Migrationshintergrund : Herausforderungen in der Kooperation von Schulen und Eltern mit Migrationshintergrund</t>
  </si>
  <si>
    <t>Geissler, Doris</t>
  </si>
  <si>
    <t>LB1048.5 -- .G457 2015eb</t>
  </si>
  <si>
    <t>Education -- Parent participation. ; Education and globalization. ; Emigration and immigration.</t>
  </si>
  <si>
    <t>Pädagogisches Handeln in Kindertageseinrichtungen: Zur Bedeutung der Interaktion im Außengelände und im Gebäude : Zur Bedeutung der Interaktion im Außengelände und im Gebäude</t>
  </si>
  <si>
    <t>Niebergall, Tobias</t>
  </si>
  <si>
    <t>HQ778.5 -- .N543 2015eb</t>
  </si>
  <si>
    <t>Day care centers -- Activity programs. ; Early childhood education -- Activity programs. ; Education, Preschool -- Curricula.</t>
  </si>
  <si>
    <t>Bildung und Globalisierung: Konsequenzen für die Elementarpädagogik : Konsequenzen für die Elementarpädagogik</t>
  </si>
  <si>
    <t>Thiem, Monika</t>
  </si>
  <si>
    <t>LC191 -- .T454 2015eb</t>
  </si>
  <si>
    <t>Education and globalization.</t>
  </si>
  <si>
    <t>Jesus als Held – oder: Was ist dran an medialen Helden und ihrer Vorbildfunktion? Ergebnisse einer Fragebogenanalyse im Religionsunterricht bei Berufsschülern : Was ist dran an medialen Helden und ihrer Vorbildfunktion? Ergebnisse einer Fragebogenanalyse im Religionsunterricht bei Berufsschülern</t>
  </si>
  <si>
    <t>Freudenberger, Peter</t>
  </si>
  <si>
    <t>BT203 -- .F748 2015eb</t>
  </si>
  <si>
    <t>Jesus Christ. ; Religious thought -- 20th century. ; Christianity -- 20th century.</t>
  </si>
  <si>
    <t>Lernsoftware in der Volksschule: Möglichkeiten und Grenzen des Computereinsatzes im Mathematikunterricht der Grundschule : Möglichkeiten und Grenzen des Computereinsatzes im Mathematikunterricht der Grundschule</t>
  </si>
  <si>
    <t>Apfler, Sabine</t>
  </si>
  <si>
    <t>LB1028.5 -- .A645 2015eb</t>
  </si>
  <si>
    <t>Education, Elementary -- Great Britain -- Computer-assisted instruction. ; Internet in education -- Great Britain. ; Telecommunication in education -- Great Britain.</t>
  </si>
  <si>
    <t>Förderung von Fähigkeit und Leistungsfreude in der „Schule der Person“: Personalisierung im Kontext einer kompetenzorientierten Begabungsförderung in der Grundschule : Personalisierung im Kontext einer kompetenzorientierten Begabungsförderung in der Grundschule</t>
  </si>
  <si>
    <t>Leitner, Gabriele</t>
  </si>
  <si>
    <t>LC3997.G3 -- .L458 2015eb</t>
  </si>
  <si>
    <t>Gifted children -- Education -- Germany. ; Mainstreaming in education -- Germany. ; Phenomenology.</t>
  </si>
  <si>
    <t>Gewalt in der (Grund-)Schule: Eine grundlegende Analyse von möglichen Ursachen, Folgen und präventiven Maßnahmen am Beispiel des Präventionsprogramms FAUSTLOS : Eine grundlegende Analyse von möglichen Ursachen, Folgen und präventiven Maßnahmen am Beispiel des Präventionsprogramms FAUSTLOS</t>
  </si>
  <si>
    <t>Arabatzidou, Maria</t>
  </si>
  <si>
    <t>LB3013.3 -- .A733 2015eb</t>
  </si>
  <si>
    <t>School violence -- Prevention. ; School violence. ; Violence -- Prevention and control.</t>
  </si>
  <si>
    <t>Lernen nach Montessori im Spiegel der Neurowissenschaften: Lassen sich die Annahmen und Prinzipien der Pädagogik Maria Montessoris durch neurowissenschaftliche Erkenntnisse zum Themenbereich Lernen bestätigen? : Lassen sich die Annahmen und Prinzipien der Pädagogik Maria Montessoris durch neurowissenschaftliche Erkenntnisse zum Themenbereich Lernen bestätigen?</t>
  </si>
  <si>
    <t>Schmidt, Edyta</t>
  </si>
  <si>
    <t>LA126 -- .S36 2015eb</t>
  </si>
  <si>
    <t>Montessori method of education. ; Education, Preschool -- Philosophy.</t>
  </si>
  <si>
    <t>Gewaltvideos in ihrer extremsten Form: Eine Untersuchung des "Happy Raping"-Phänomens und seiner Auswirkungen : Eine Untersuchung des "Happy Raping"-Phänomens und seiner Auswirkungen</t>
  </si>
  <si>
    <t>Brand, Gönül</t>
  </si>
  <si>
    <t>HV6080 -- .B736 2015eb</t>
  </si>
  <si>
    <t>Criminal behavior. ; Violence.</t>
  </si>
  <si>
    <t>Erklärungsfaktoren des Schulerfolgs von Kindern und Jugendlichen mit Migrationshintergrund: Eine systemisch-konstruktivistische Betrachtungsweise : Eine systemisch-konstruktivistische Betrachtungsweise</t>
  </si>
  <si>
    <t>Stephan, Marti</t>
  </si>
  <si>
    <t>LC3745 -- .S747 2015eb</t>
  </si>
  <si>
    <t>Children of immigrants -- Education. ; Multicultural education.</t>
  </si>
  <si>
    <t>Required Leadership in Krisensituationen an Schulen: Schulische Möglichkeiten zum Umgang mit Krisen – Prävention – Intervention – Nachsorge : Schulische Möglichkeiten zum Umgang mit Krisen – Prävention – Intervention – Nachsorge</t>
  </si>
  <si>
    <t>Schodritz, Sabine</t>
  </si>
  <si>
    <t>LB2805 -- .S36 2015eb</t>
  </si>
  <si>
    <t>Musikunterricht 2.0: Globales Lernen mit WebQuests : Globales Lernen mit WebQuests</t>
  </si>
  <si>
    <t>Bernauer, Sebastian</t>
  </si>
  <si>
    <t>LB1028.5 -- .B476 2015eb</t>
  </si>
  <si>
    <t>Computer-assisted instruction. ; Group work in education. ; Inquiry-based learning.</t>
  </si>
  <si>
    <t>Montessori Pädagogik und Waldorfpädagogik – Gemeinsamkeiten und Unterschiede: Einführung in Theorien und Praktiken : Einführung in Theorien und Praktiken</t>
  </si>
  <si>
    <t>Strohmaier, Gloria</t>
  </si>
  <si>
    <t>LB1029.W34 -- .S776 2015eb</t>
  </si>
  <si>
    <t>Steiner, Rudolf, -- 1861-1925. ; Waldorf method of education -- Germany -- History. ; Anthroposophy.</t>
  </si>
  <si>
    <t>Schulische Integration von Kindern mit gravierenden Lernschwierigkeiten</t>
  </si>
  <si>
    <t>Kolke, Stefan</t>
  </si>
  <si>
    <t>LC4031 -- .K655 2015eb</t>
  </si>
  <si>
    <t>Children with disabilities -- Education -- United States.</t>
  </si>
  <si>
    <t>Geistigbehindertenpädagogik in der DDR: Die Entwicklung einer Pädagogik zwischen Bildungsfähigkeit und Ausgrenzung : Die Entwicklung einer Pädagogik zwischen Bildungsfähigkeit und Ausgrenzung</t>
  </si>
  <si>
    <t>Niemann, Tobias</t>
  </si>
  <si>
    <t>RA790 -- .N546 2015eb</t>
  </si>
  <si>
    <t>Community mental health services. ; Mentally ill -- Rehabilitation. ; Occupational therapy. ; People with mental disabilities -- Rehabilitation.</t>
  </si>
  <si>
    <t>Junge Lesben und Schwule: Eine Herausforderung für die Jugendhilfe : Eine Herausforderung für die Jugendhilfe</t>
  </si>
  <si>
    <t>Schrodt, Torsten</t>
  </si>
  <si>
    <t>HQ76 -- .S37 2015eb</t>
  </si>
  <si>
    <t>Gay men. ; Lesbianism. ; Lesbians.</t>
  </si>
  <si>
    <t>Erlebnispädagogik in der Schule: Die Konzeption erlebnispädagogischer Unterrichtsstunden und Projekte : Die Konzeption erlebnispädagogischer Unterrichtsstunden und Projekte</t>
  </si>
  <si>
    <t>Vent-Schmidt, Andreas</t>
  </si>
  <si>
    <t>LB1027.23 -- .V468 2015eb</t>
  </si>
  <si>
    <t>Active learning. ; Experiential learning. ; Learning by discovery.</t>
  </si>
  <si>
    <t>Collaborative Teaming</t>
  </si>
  <si>
    <t>King-Sears, Margaret E.;Janney, Rachel;Snell, Martha E.;Renberg, Julia;Hamberger, Rachel;Ainsworth, Melissa;Alt, Leighann;Avila, Kimberly;Barry, Colleen;Dunaway, Michelle</t>
  </si>
  <si>
    <t>LC1201 .K564 2015</t>
  </si>
  <si>
    <t>Inclusive education-United States. ; Home and school-United States. ; School support teams-United States.</t>
  </si>
  <si>
    <t>The Broad Autism Phenotype</t>
  </si>
  <si>
    <t>Rotatori, Anthony F.;Deisinger, Julie A.</t>
  </si>
  <si>
    <t>Autism spectrum disorders</t>
  </si>
  <si>
    <t>Why Tutoring? : A Way to Achieve Success in School</t>
  </si>
  <si>
    <t>Nelson-Royes, Andrea M.</t>
  </si>
  <si>
    <t>LC41 -- .N457 2015eb</t>
  </si>
  <si>
    <t>Tutors and tutoring</t>
  </si>
  <si>
    <t>A History of Southland College : The Society of Friends and Black Education in Arkansas</t>
  </si>
  <si>
    <t>University of Arkansas Press</t>
  </si>
  <si>
    <t>Kennedy, Thomas</t>
  </si>
  <si>
    <t>378.767/88</t>
  </si>
  <si>
    <t>African Americans - Education (Higher) - Arkansas</t>
  </si>
  <si>
    <t>An Epitaph for Little Rock : A Fiftieth Anniversary Retrospective on the Central High Crisis</t>
  </si>
  <si>
    <t>Kirk, John A.;Williams, Juan</t>
  </si>
  <si>
    <t>LC214</t>
  </si>
  <si>
    <t>School integration -- Arkansas -- Little Rock -- History -- 20th century</t>
  </si>
  <si>
    <t>Finding the Lost Year : What Happened When Little Rock Closed Its Public Schools</t>
  </si>
  <si>
    <t>Gordy, Sondra</t>
  </si>
  <si>
    <t>Central High School (Little Rock, Ark.)</t>
  </si>
  <si>
    <t>Leading the Way : Student Engagement and Nationally Competitive Awards</t>
  </si>
  <si>
    <t>McCray, Suzanne</t>
  </si>
  <si>
    <t>LB2338</t>
  </si>
  <si>
    <t>378.3/40973</t>
  </si>
  <si>
    <t>Scholarships - United States - Evaluation</t>
  </si>
  <si>
    <t>Nationally Competitive Scholarships : Serving Students and the Public Good</t>
  </si>
  <si>
    <t>371.2/230973</t>
  </si>
  <si>
    <t>Scholarships -- United States -- Evaluation -- Congresses.</t>
  </si>
  <si>
    <t>All In : Expanding Access Through Nationally Competitive Awards</t>
  </si>
  <si>
    <t>78.3/40973</t>
  </si>
  <si>
    <t>Scholarships</t>
  </si>
  <si>
    <t>Education; Journalism</t>
  </si>
  <si>
    <t>Yazoo : Integration in a Deep-Southern Town</t>
  </si>
  <si>
    <t>Morris, Willie;Morris, JoAnne Prichard;Wallach, Jennifer Jensen</t>
  </si>
  <si>
    <t>379.2/630976249</t>
  </si>
  <si>
    <t>Segregation in education -- Mississippi -- Yazoo City</t>
  </si>
  <si>
    <t>The Principal 50 : Critical Leadership Questions for Inspiring Schoolwide Excellence</t>
  </si>
  <si>
    <t>Unique Challenges in Urban Schools : The Involvement of African American Parents</t>
  </si>
  <si>
    <t>Jackson, Eric;Turner, Carolyn;Battle, Dorothy E.</t>
  </si>
  <si>
    <t>Education -- Parent participation -- United States</t>
  </si>
  <si>
    <t>How to Become Data Literate : The Basics for Educators</t>
  </si>
  <si>
    <t>Carroll, Susan Rovezzi;Carroll, David J.</t>
  </si>
  <si>
    <t>370/.21</t>
  </si>
  <si>
    <t>Educational statistics</t>
  </si>
  <si>
    <t>Passing the Mathematics Test for Elementary Teachers : Offering a Pathway to Success</t>
  </si>
  <si>
    <t>Pearse, Margie;Devanney, Diane;Nagy, Darla</t>
  </si>
  <si>
    <t>QA10.5 -- .P437 2015eb</t>
  </si>
  <si>
    <t>Elementary school teachers -- Certification</t>
  </si>
  <si>
    <t>Emergent Literacy: Lessons for Success</t>
  </si>
  <si>
    <t>Digital Scholarship in the Tenure, Promotion and Review Process</t>
  </si>
  <si>
    <t>Andersen, Deborah Lines</t>
  </si>
  <si>
    <t>LB2333 -- .D545 2015eb</t>
  </si>
  <si>
    <t>College teachers -- Rating of. ; College teachers -- Tenure. ; Scholarly electronic publishing. ; Education, Higher -- Effect of technological innovations on.</t>
  </si>
  <si>
    <t>A Guide for us-american students to understand and communicate with Germans</t>
  </si>
  <si>
    <t>Traugott Bautz Verlag</t>
  </si>
  <si>
    <t>Nordhausen</t>
  </si>
  <si>
    <t>Thomas, Alexander;Markowsky, Richard</t>
  </si>
  <si>
    <t>LA229 -- .T46 2012eb</t>
  </si>
  <si>
    <t>College students -- United States -- Attitudes. ; Germany -- Civilization.</t>
  </si>
  <si>
    <t>Global Childhoods</t>
  </si>
  <si>
    <t>Edwards, Monica;Davison, Chelle</t>
  </si>
  <si>
    <t>Critical Approaches to the Early Years Series</t>
  </si>
  <si>
    <t>HQ767.9.E393 2015</t>
  </si>
  <si>
    <t>305.2/3</t>
  </si>
  <si>
    <t>Indonesian Education : Teachers, Schools, and Central Bureaucracy</t>
  </si>
  <si>
    <t>Bjork, Christopher</t>
  </si>
  <si>
    <t>LA1271 -- .B567 2005eb</t>
  </si>
  <si>
    <t>Education - Indonesia</t>
  </si>
  <si>
    <t>The Good, the Bad and the Irritating : A Practical Approach for Parents of Children Who Are Attention Seeking</t>
  </si>
  <si>
    <t>HQ773 -- .M45 2000eb</t>
  </si>
  <si>
    <t>A Creative Approach to Teaching Rhythm and Rhyme</t>
  </si>
  <si>
    <t>Croft, Andy</t>
  </si>
  <si>
    <t>PE1561 -- .C764 2015eb</t>
  </si>
  <si>
    <t>English language -- Rhythm. ; English language -- Rhyme. ; Poetry -- Study and teaching.</t>
  </si>
  <si>
    <t>Effectiveness of anti-corruption agencies in five Asian countries</t>
  </si>
  <si>
    <t>Yu, Chilik;Mok, Ka;Quah, Jon</t>
  </si>
  <si>
    <t>Asian Education and Development Studies: Volume 4, Issue 1</t>
  </si>
  <si>
    <t>LA1050 -- .E344 2015eb</t>
  </si>
  <si>
    <t>Education -- Asia -- Periodicals.</t>
  </si>
  <si>
    <t>Principal-teacher relationships : Foregrounding the International Importance of Principals’ Social Relationships for School Learning Climates</t>
  </si>
  <si>
    <t>Price, Heather;Moolenaar, Nienke;Hallinger, Phillip</t>
  </si>
  <si>
    <t>Foregrounding the international importance of principals’ social relationships for school learn</t>
  </si>
  <si>
    <t>LB2341 -- .P756 2015eb</t>
  </si>
  <si>
    <t>Universities and colleges -- Administration -- Periodicals. ; School management and organization -- Periodicals.</t>
  </si>
  <si>
    <t>Teach, Reflect, Learn : Building Your Capacity for Success in the Classroom</t>
  </si>
  <si>
    <t xml:space="preserve">LB1025.3 .H345 2015 </t>
  </si>
  <si>
    <t>Reflective teaching. ; Effective teaching. ; Teaching-Evaluation.</t>
  </si>
  <si>
    <t>Educational Entrepreneurship : Promoting Public-Private Partnerships for the 21st Century</t>
  </si>
  <si>
    <t>Young, Nicholas D.;Bittel, Peter</t>
  </si>
  <si>
    <t>LB2806.36 -- .Y686 2015eb</t>
  </si>
  <si>
    <t>Business and education</t>
  </si>
  <si>
    <t>Within These Gates : Academic Work, Academic Leadership, University Life, and the Presidency</t>
  </si>
  <si>
    <t>Thomas, Jack</t>
  </si>
  <si>
    <t>LB2341 -- .T466 2015eb</t>
  </si>
  <si>
    <t>378/.00973/090512</t>
  </si>
  <si>
    <t>College presidents -- United States</t>
  </si>
  <si>
    <t>Spanish Education in Morocco, 1912-1956 : Cultural Interactions in a Colonial Context</t>
  </si>
  <si>
    <t>González, Irene González</t>
  </si>
  <si>
    <t>Liverpool Studies in Spanish History Series</t>
  </si>
  <si>
    <t>Education-Morocco-History. ; Morocco (Spanish zone) ; Morocco-History-1912-1956.</t>
  </si>
  <si>
    <t>We Get It : Voices of Grieving College Students and Young Adults</t>
  </si>
  <si>
    <t>Servaty-Seib, Heather L.;Fajgenbaum, David</t>
  </si>
  <si>
    <t>BF575.G7 S44 2015</t>
  </si>
  <si>
    <t>155.9/370842</t>
  </si>
  <si>
    <t>Restorative Practice and Special Needs : A Practical Guide to Working Restoratively with Young People</t>
  </si>
  <si>
    <t>Burnett, Nicholas;Thorsborne, Margaret;Riestenberg, Nancy</t>
  </si>
  <si>
    <t>LC4015.B86 2015</t>
  </si>
  <si>
    <t>Children with disabilities--Education. ; Children with disabilities--Behavior modification. ; Children with disabilities--Psychology. ; Educational psychology. ; Psychology, Applied.</t>
  </si>
  <si>
    <t>Champions in the Classroom</t>
  </si>
  <si>
    <t>Turrentine, Penny</t>
  </si>
  <si>
    <t>College athletes -- Education. ; College sports.</t>
  </si>
  <si>
    <t>Philosophical Perspectives on Teacher Education</t>
  </si>
  <si>
    <t>Heilbronn, Ruth;Foreman-Peck, Lorraine</t>
  </si>
  <si>
    <t>Graphic Organizers for Reading Comprehension</t>
  </si>
  <si>
    <t>Classroom Complete Press Ltd</t>
  </si>
  <si>
    <t>, Classroom Complete Press</t>
  </si>
  <si>
    <t>Graphic Organizers Series, 1</t>
  </si>
  <si>
    <t>LB1573.7.C537 2015</t>
  </si>
  <si>
    <t>Reading comprehension--Study and teaching (Elementary)</t>
  </si>
  <si>
    <t>Stalinist Confessions : Messianism and Terror at the Leningrad Communist University</t>
  </si>
  <si>
    <t>University of Pittsburgh Press</t>
  </si>
  <si>
    <t>Halfin, Igal</t>
  </si>
  <si>
    <t>Russian and East European Studies</t>
  </si>
  <si>
    <t>LC178</t>
  </si>
  <si>
    <t>378.47/21</t>
  </si>
  <si>
    <t>Stalin, Joseph,-1878-1953-Influence. ; Higher education and state-Soviet Union-History. ; College students-Political activity-Soviet Union-History. ; Political messianism-Soviet Union-History. ; State-sponsored terrorism-Soviet Union-History. ; Political purges-Soviet Union-History. ; Political psychology-History-20th century. ; Soviet Union-Politics and government-1936-1953.</t>
  </si>
  <si>
    <t>Waking and the Reticular Activating System in Health and Disease</t>
  </si>
  <si>
    <t>Garcia-Rill, Edgar</t>
  </si>
  <si>
    <t>Reticular formation. ; Wakefulness.</t>
  </si>
  <si>
    <t>Science: Anatomy/Physiology; Science</t>
  </si>
  <si>
    <t>The Rhetoric of Remediation</t>
  </si>
  <si>
    <t>Stanley, Jane</t>
  </si>
  <si>
    <t>Composition, Literacy, and Culture Series</t>
  </si>
  <si>
    <t>LD741</t>
  </si>
  <si>
    <t>378.1/6109794</t>
  </si>
  <si>
    <t>University of California (System)-Admission. ; University of California (System)-History. ; College freshmen-Rating of-California. ; English language-Remedial teaching. ; English language-Study and teaching (Higher) ; Students with social disabilities-California.</t>
  </si>
  <si>
    <t>To Know Her Own History : Writing at the Woman's College, 1943-1963</t>
  </si>
  <si>
    <t>Ritter, Kelly</t>
  </si>
  <si>
    <t>Women's colleges-United States-History-20th century. ; Academic writing-Study and teaching (Higher)-Case studies. ; Women-Education (Higher)-United States-History-20th century. ; Composition (Language arts)-Study and teaching (Secondary)-United States.</t>
  </si>
  <si>
    <t>Toward a Composition Made Whole</t>
  </si>
  <si>
    <t>Shipka, Jody</t>
  </si>
  <si>
    <t>PE1404</t>
  </si>
  <si>
    <t>English language-Rhetoric-Study and teaching. ; Report writing-Study and teaching. ; Academic writing-Study and teaching.</t>
  </si>
  <si>
    <t>Multimodal Literacies and Emerging Genres</t>
  </si>
  <si>
    <t>Bowen, Tracey;Whithaus, Carl</t>
  </si>
  <si>
    <t>English language-Rhetoric-Study and teaching-Computer-assisted instruction. ; Creative writing-Computer-assisted instruction. ; English language-Computer-assisted instruction. ; Educational technology.</t>
  </si>
  <si>
    <t>New Natures : Joining Environmental History with Science and Technology Studies</t>
  </si>
  <si>
    <t>Jørgensen, Dolly;Jørgensen, Finn Arne;Pritchard, Sara B.;Jørgensen, Dolly;Jørgensen, Finn Arne</t>
  </si>
  <si>
    <t>GF13</t>
  </si>
  <si>
    <t>Human ecology-History. ; Nature-Effect of human beings on. ; Environmental sciences-Study and teaching. ; Science-Study and teaching. ; Technology-Study and teaching. ; Interdisciplinary approach in education.</t>
  </si>
  <si>
    <t>Social Science; Environmental Studies</t>
  </si>
  <si>
    <t>Will College Pay Off? : A Guide to the Most Important Financial Decision You'll Ever Make</t>
  </si>
  <si>
    <t>Cappelli, Peter</t>
  </si>
  <si>
    <t>Capital investments. ; Education -- Finance. ; Educational planning. ; Universities and colleges -- Finance.</t>
  </si>
  <si>
    <t>Úvod Do Sociologie</t>
  </si>
  <si>
    <t>Havlík, Radomír</t>
  </si>
  <si>
    <t>LC189</t>
  </si>
  <si>
    <t>370.19;370.190973</t>
  </si>
  <si>
    <t>Authority. ; Educational sociology. ; Sociology.</t>
  </si>
  <si>
    <t>Producing Good Citizens : Literacy Training in Anxious Times</t>
  </si>
  <si>
    <t>Wan, Amy J.</t>
  </si>
  <si>
    <t>Literacy-Political aspects-United States-History-20th century. ; Citizenship-United States-History-20th century. ; Immigrants-United States-History-20th century. ; Acculturation-United States-History-20th century. ; Americanization-History-20th century.</t>
  </si>
  <si>
    <t>Surprise Rival : A History of the Education Faculty, Monash University, 1964-2014</t>
  </si>
  <si>
    <t>International Specialized Book Services (ISBS)</t>
  </si>
  <si>
    <t>Monash University Publishing</t>
  </si>
  <si>
    <t>Clayton</t>
  </si>
  <si>
    <t>Gregory, Alan</t>
  </si>
  <si>
    <t>LA2108 -- .G744 2014eb</t>
  </si>
  <si>
    <t>Monash University. -- Faculty of Education -- History. ; Education, Higher -- Australia -- History.</t>
  </si>
  <si>
    <t>A Critique of Universities</t>
  </si>
  <si>
    <t>Casemate Publishing</t>
  </si>
  <si>
    <t>University of Iceland Press</t>
  </si>
  <si>
    <t>Havertown</t>
  </si>
  <si>
    <t>Skúlason, Páll</t>
  </si>
  <si>
    <t>Education, Higher. ; Education. ; Educational policy.</t>
  </si>
  <si>
    <t>The SAGE Encyclopedia of Classroom Management</t>
  </si>
  <si>
    <t>Scarlett, W. George</t>
  </si>
  <si>
    <t>LB3013 .S237 2015</t>
  </si>
  <si>
    <t>Supporting Primary Teaching and Learning</t>
  </si>
  <si>
    <t>Hall, Fiona;Hindmarch, Duncan;Hoy, Douglas;Machin, Lynn</t>
  </si>
  <si>
    <t>Teaching Assistants Series</t>
  </si>
  <si>
    <t>Classroom management -- Great Britain. ; Education. ; Elementary school teaching -- Great Britain.</t>
  </si>
  <si>
    <t>A Call for Character Education and Prayer in the Schools</t>
  </si>
  <si>
    <t>Jeynes, William H.;Murray, William J.</t>
  </si>
  <si>
    <t>LC311.J48 2009</t>
  </si>
  <si>
    <t>Moral education--United States. ; Prayer in the public schools--United States.</t>
  </si>
  <si>
    <t>Standards-Based Leadership : A Case Study Book for the Principalship</t>
  </si>
  <si>
    <t>Harris, Sandra;Ballenger, Julia;Cummings, Cindy</t>
  </si>
  <si>
    <t>Educational leadership--United States--Case studies. ; Education--Standards--United States--Case studies. ; School superintendents--United States--Case studies.</t>
  </si>
  <si>
    <t>Le Body Language : Comprendre l'importance et la Signification des Signaux Corporels</t>
  </si>
  <si>
    <t>50 Minutes</t>
  </si>
  <si>
    <t>Gangemi, Rosanna;50Minutes</t>
  </si>
  <si>
    <t>Coaching Pro Series</t>
  </si>
  <si>
    <t>Body language.</t>
  </si>
  <si>
    <t>The Economics of Screening and Risk Sharing in Higher Education : Human Capital Formation, Income Inequality, and Welfare</t>
  </si>
  <si>
    <t>Eckwert, Bernhard;Zilcha, Itzhak</t>
  </si>
  <si>
    <t>HD83 .E384 2015</t>
  </si>
  <si>
    <t>Business. ; Economic development. ; Economic policy. ; Industrialization.</t>
  </si>
  <si>
    <t>The Magnificent Mays : A Biography of Benjamin Elijah Mays</t>
  </si>
  <si>
    <t>University of South Carolina Press</t>
  </si>
  <si>
    <t>Roper, John Herbert, Sr.</t>
  </si>
  <si>
    <t>LC2851.M72 R67 2012</t>
  </si>
  <si>
    <t>Mays, Benjamin E. (Benjamin Elijah), 1894-1984. ; Morehouse College (Atlanta, Ga.)--Presidents--Biography. ; African American educators--Biography. ; African Americans--Civil rights.</t>
  </si>
  <si>
    <t>Theater Careers : A Realistic Guide</t>
  </si>
  <si>
    <t>Donahue, Tim;Patterson, Jim</t>
  </si>
  <si>
    <t>PN2074 .D66 2012</t>
  </si>
  <si>
    <t>792.02/93</t>
  </si>
  <si>
    <t>Theater-Vocational guidance-United States. ; Acting-Vocational guidance-United States.</t>
  </si>
  <si>
    <t>You Can't Padlock an Idea : Rhetorical Education at the Highlander Folk School, 1932-1961</t>
  </si>
  <si>
    <t>Schneider, Stephen A.</t>
  </si>
  <si>
    <t>Studies in Rhetoric and Communication Series</t>
  </si>
  <si>
    <t>LC5301.M65 .S36 2014</t>
  </si>
  <si>
    <t>Highlander Folk School (Monteagle, Tenn.)-History. ; Social change-Southern States-History-20th century. ; Rhetoric-Social aspects-Southern States-History-20th century. ; Adult education-Tennessee-History-20th century. ; Working class-Education-Tennessee-History-20th century.</t>
  </si>
  <si>
    <t>I Came Out of the Eighteenth Century</t>
  </si>
  <si>
    <t>Rice, John Andrew;Bauerlein, Mark;Rice, William Craig</t>
  </si>
  <si>
    <t>Southern Classics Series</t>
  </si>
  <si>
    <t>LA2317.R47 .R534 2014</t>
  </si>
  <si>
    <t>Rice, John Andrew,-1888-1968. ; Education, Higher-Philosophy. ; College administrators-North Carolina-Biography.</t>
  </si>
  <si>
    <t>WISC-V Assessment and Interpretation : Scientist-Practitioner Perspectives</t>
  </si>
  <si>
    <t>Weiss, Lawrence G.;Saklofske, Donald H.;Holdnack, James A.;Prifitera, Aurelio</t>
  </si>
  <si>
    <t>Psychological tests for children</t>
  </si>
  <si>
    <t>Maintaining Strategic Relevance : Career and Technical Education Program Discontinuance in Community and Technical Colleges</t>
  </si>
  <si>
    <t>Fleming, Kevin J.</t>
  </si>
  <si>
    <t>LC1043</t>
  </si>
  <si>
    <t>Occupational training. ; Technical education. ; Vocational education.</t>
  </si>
  <si>
    <t>Mentoring Away the Glass Ceiling in Academia : A Cultured Critique</t>
  </si>
  <si>
    <t>Marina, Brenda;Ben, Lillie;Blankson, Isaac Abeku;Brown, Venessa A.;Evrensel, Ayse;Foxx, Krystal A.;Haddock-Millar, Julie;Johnson, Jennifer Michelle;Bertrand Jones, Tamara;Larson-Casselton, Cindy</t>
  </si>
  <si>
    <t>LC1568 .M46 2015</t>
  </si>
  <si>
    <t>Discrimination in higher education. ; Mentoring in education -- United States. ; Women college administrators -- United States. ; Women college teachers -- United States. ; Women in higher education -- United States.</t>
  </si>
  <si>
    <t>Assessment in Emergent Literacy</t>
  </si>
  <si>
    <t>LB1139.5.R43</t>
  </si>
  <si>
    <t>Reading (Early childhood) - Evaluation</t>
  </si>
  <si>
    <t>Essential Readings in Problem-Based Learning : Exploring and Extending the Legacy of Howard S. Barrows</t>
  </si>
  <si>
    <t>West Lafayette, IN</t>
  </si>
  <si>
    <t>Walker, Andrew;Leary, Heather;Hmelo-Silver, Cindy;Ertmer, Peggy A.</t>
  </si>
  <si>
    <t>LB1027.42.E77 2015</t>
  </si>
  <si>
    <t>Barrows, Howard S., 1928. ; Problem-based learning. ; EDUCATION / Philosophy &amp; Social Aspects. bisacsh. ; EDUCATION / Teaching Methods &amp; Materials / Science &amp; Technology. bisacsh.</t>
  </si>
  <si>
    <t>To MOOC or Not to MOOC : How Can Online Learning Help to Build the Future of Higher Education?</t>
  </si>
  <si>
    <t>Porter, Sarah</t>
  </si>
  <si>
    <t>Distance education. ; Educational technology. ; MOOCs (Web-based instruction).</t>
  </si>
  <si>
    <t>Getting Textbooks to Every Child in Sub-Saharan Africa : Strategies for Addressing the High Cost and Low Availability Problem</t>
  </si>
  <si>
    <t>Fredriksen, Birger;Brar, Sukhdeep;Trucano, Michael</t>
  </si>
  <si>
    <t>LA1501</t>
  </si>
  <si>
    <t>Children and politics. ; Education -- Africa. ; Education and state -- Africa.</t>
  </si>
  <si>
    <t>Teorie Výchovy - Tradice, Současnost, Perspektivy : tradice, současnost, perspektivy</t>
  </si>
  <si>
    <t>Jedlička, Richard</t>
  </si>
  <si>
    <t>LA11 -- .T467 2014eb</t>
  </si>
  <si>
    <t>Education -- History. ; Education -- International cooperation.</t>
  </si>
  <si>
    <t>Building Global Education with a Local Perspective : An Introduction to Glocal Higher Education</t>
  </si>
  <si>
    <t>Jean Francois, Emmanuel</t>
  </si>
  <si>
    <t>The Hidden Role of Software in Educational Research : Policy to Practice</t>
  </si>
  <si>
    <t>Lynch, Tom Liam</t>
  </si>
  <si>
    <t>LB1028.43 .L96 2015</t>
  </si>
  <si>
    <t>Education -- Data processing. ; Education -- Standards. ; Educational evaluation. ; Telecommunication in education.</t>
  </si>
  <si>
    <t>Healthy Teens, Healthy Schools : How Media Literacy Education Can Renew Education in the United States</t>
  </si>
  <si>
    <t>Domine, Vanessa</t>
  </si>
  <si>
    <t>LB1588.U6 D66 2015</t>
  </si>
  <si>
    <t>371.7/10973</t>
  </si>
  <si>
    <t>Students -- Health and hygiene -- United States</t>
  </si>
  <si>
    <t>Managing the Graduate School Experience : From Acceptance to Graduation and Beyond</t>
  </si>
  <si>
    <t>Rossman, Mark H.;Muchnick, Kim;Benak, Nicole</t>
  </si>
  <si>
    <t>LB2371 .R67 2015</t>
  </si>
  <si>
    <t>Universities and colleges -- Graduate work -- Handbooks, manuals, etc.</t>
  </si>
  <si>
    <t>Handbook of Urban Educational Leadership</t>
  </si>
  <si>
    <t>Khalifa, Muhammad;Witherspoon Arnold, Noelle;Osanloo, Azadeh F.;Grant, Cosette M.</t>
  </si>
  <si>
    <t>LC5131 .H355 2015</t>
  </si>
  <si>
    <t>Education, Urban -- United States -- Administration. ; Education, Urban -- United States. ; Educational leadership -- United States.</t>
  </si>
  <si>
    <t>Challenging Standards : Navigating Conflict and Building Capacity in the Era of the Common Core</t>
  </si>
  <si>
    <t>Supovitz, Jonathan A.;Spillane, James</t>
  </si>
  <si>
    <t>LB3060.83 .C435 2015</t>
  </si>
  <si>
    <t>Common Core State Standards (Education)</t>
  </si>
  <si>
    <t>impact of social and mobile media and networks on learning environments in higher education</t>
  </si>
  <si>
    <t>Blessinger, Patrick</t>
  </si>
  <si>
    <t>Journal of Applied Research in Higher Education: Volume 7, Issue 1</t>
  </si>
  <si>
    <t>371.3346754;378</t>
  </si>
  <si>
    <t>Computer-assisted instruction.. ; Education -- Computer network resources. ; Internet in education. ; Media programs (Education). ; Online social networks. ; Social media.</t>
  </si>
  <si>
    <t>Sub-prime scholarship</t>
  </si>
  <si>
    <t>Vicars, Mark;Austin, Jon;Sikes, Pat</t>
  </si>
  <si>
    <t>Qualitative Research Journal: Volume 15, Issue 2</t>
  </si>
  <si>
    <t>LB2331.7</t>
  </si>
  <si>
    <t>College teachers. ; College teaching. ; Education, Higher -- Economic aspects.</t>
  </si>
  <si>
    <t>Envisioning Music Teacher Education</t>
  </si>
  <si>
    <t>Wharton Conkling, Susan</t>
  </si>
  <si>
    <t>MT1.E6 2015</t>
  </si>
  <si>
    <t>Music--Instruction and study--Congresses. ; Music teachers--Training of--Congresses.</t>
  </si>
  <si>
    <t>How to Teach Without Instructing : 29 Smart Rules for Educators</t>
  </si>
  <si>
    <t>Arnold, Rolf</t>
  </si>
  <si>
    <t>LB1025 .A815 2015</t>
  </si>
  <si>
    <t>We're in This Together : Public-Private Partnerships in Special and At-Risk-Education</t>
  </si>
  <si>
    <t>Claypool, Mark K.;McLaughlin, John M.</t>
  </si>
  <si>
    <t>LC4031 .C595 2015</t>
  </si>
  <si>
    <t>Public schools -- United States</t>
  </si>
  <si>
    <t>The Graveyard of School Reform : Why the Resistance to Change and New Ideas</t>
  </si>
  <si>
    <t>Fibkins, William L.</t>
  </si>
  <si>
    <t>LB2822.82 .F384 2015</t>
  </si>
  <si>
    <t>All Before Them : Student Opportunities and Nationally Competitive Fellowships</t>
  </si>
  <si>
    <t>McCray, Suzanne;Cutchins, Doug</t>
  </si>
  <si>
    <t>LB2338 .M384 2015</t>
  </si>
  <si>
    <t>Student aid</t>
  </si>
  <si>
    <t>Small Handprints on My Classroom Door; Small Handprints on My Heart : Early Childhood Teaching Standards in Practice</t>
  </si>
  <si>
    <t>Johns, Robin;Wallace, Rocky</t>
  </si>
  <si>
    <t>Early childhood education--Standards--United States</t>
  </si>
  <si>
    <t>The Assault on Communities of Color : Exploring the Realities of Race-Based Violence</t>
  </si>
  <si>
    <t>Fasching-Varner, Kenneth J.;Hartlep, Nicholas Daniel</t>
  </si>
  <si>
    <t>HT1521 .F384 2015</t>
  </si>
  <si>
    <t>Marginality, Social</t>
  </si>
  <si>
    <t>Le Messager d'Athènes d'Odile Weulersse : Analyse Complète et Résumé détaillé de L'oeuvre</t>
  </si>
  <si>
    <t>lePetitLitteraire;Giraud-Claude-Lafontaine, Marie</t>
  </si>
  <si>
    <t>Réussir le Bac de Français Series</t>
  </si>
  <si>
    <t>Listening to Young People in School, Youth Work and Counselling</t>
  </si>
  <si>
    <t>LB1027.5 -- .L86 2000eb</t>
  </si>
  <si>
    <t>Educational counseling -- Great Britain. ; Youth -- Counseling of -- Great Britain.</t>
  </si>
  <si>
    <t>Black Males and Intercollegiate Athletics : An Exploration of Problems and Solutions</t>
  </si>
  <si>
    <t>Bennett, Robert A., III;Hodge, Samuel R.;Graham, David L.;Moore, James L., III</t>
  </si>
  <si>
    <t>African American male college students</t>
  </si>
  <si>
    <t>Psychology of Learning and Motivation</t>
  </si>
  <si>
    <t>Ross, Brian H.</t>
  </si>
  <si>
    <t>Volume 63</t>
  </si>
  <si>
    <t>BF503</t>
  </si>
  <si>
    <t>Learning, Psychology of. ; Motivation (Psychology). ; Psychology.</t>
  </si>
  <si>
    <t>Launch a Teaching Career : Secrets for Aspiring Teachers</t>
  </si>
  <si>
    <t>Leibman, Peter P.</t>
  </si>
  <si>
    <t>Teachers -- Employment -- United States</t>
  </si>
  <si>
    <t>Twenty Years of Education Transformation in Gauteng 1994 To 2014</t>
  </si>
  <si>
    <t>Maringe, Felix;Prew, Martin</t>
  </si>
  <si>
    <t>Quality in Postgraduate Research</t>
  </si>
  <si>
    <t>McCulloch, Alistair;Picard, Michelle;Holley, Karri</t>
  </si>
  <si>
    <t>International Journal for Researcher Development: Volume 6, Issue 1</t>
  </si>
  <si>
    <t>Education -- Research. ; Education, Higher. ; Educational change.</t>
  </si>
  <si>
    <t>Managing Your Brand : Career Management and Personal PR for Librarians</t>
  </si>
  <si>
    <t>Still, Julie</t>
  </si>
  <si>
    <t>Career management. ; Career planning. ; Management.</t>
  </si>
  <si>
    <t>Les Mains Libres de Paul Éluard et Man Ray (Fiche de Lecture) : Analyse Complète et Résumé détaillé de L'oeuvre</t>
  </si>
  <si>
    <t>lePetitLitteraire;Dalle, Yann</t>
  </si>
  <si>
    <t>PQ146 .D355 2015</t>
  </si>
  <si>
    <t>Poets, French-Biography.</t>
  </si>
  <si>
    <t>Bilbo le Hobbit de J. R. R. Tolkien (Analyse de L'oeuvre) : Analyse Complète et Résumé détaillé de L'oeuvre</t>
  </si>
  <si>
    <t>lePetitLitteraire;Seret, Hadrien;Ramain, Célia</t>
  </si>
  <si>
    <t>Authors, English-20th century-Biography.</t>
  </si>
  <si>
    <t>Bonjour Tristesse de Françoise Sagan (Analyse de L'oeuvre) : Analyse Complète et Résumé détaillé de L'oeuvre</t>
  </si>
  <si>
    <t>lePetitLitteraire;Coutant-Defer, Dominique;Jenoudet, Pierre-Maximilien</t>
  </si>
  <si>
    <t>French fiction-21st century. ; Fathers and daughters-Fiction.</t>
  </si>
  <si>
    <t>Et AprèS... de Guillaume Musso (Analyse de L'oeuvre) : Analyse Complète et Résumé détaillé de L'oeuvre</t>
  </si>
  <si>
    <t>lePetitLitteraire;Meurée, Florence;Lohay, Noémie</t>
  </si>
  <si>
    <t>Death-Psychological aspects.</t>
  </si>
  <si>
    <t>L' Enfant Noir de Camara Laye (Analyse de L'oeuvre) : Analyse Complète et Résumé détaillé de L'oeuvre</t>
  </si>
  <si>
    <t>lePetitLitteraire;Cogan, Gaëlle;Ramain, Célia</t>
  </si>
  <si>
    <t>Authors, Guinean-20th century-Biography.</t>
  </si>
  <si>
    <t>L' Oeuvre d'Émile Zola (Analyse de L'oeuvre) : Analyse Complète et Résumé détaillé de L'oeuvre</t>
  </si>
  <si>
    <t>lePetitLitteraire;Cerf, Natacha;Jenoudet, Pierre-Maximilien</t>
  </si>
  <si>
    <t>L' amour Dure Trois Ans de Frédéric Beigbeder (Analyse de L'oeuvre) : Analyse Complète et Résumé détaillé de L'oeuvre</t>
  </si>
  <si>
    <t>lePetitLitteraire;Coutant-Defer, Dominique;Van Roeyen, Tina</t>
  </si>
  <si>
    <t>Man-woman relationships. ; Marriage-Fiction.</t>
  </si>
  <si>
    <t>Les Piliers de la Terre de Ken Follett (Analyse de L'oeuvre) : Analyse Complète et Résumé détaillé de L'oeuvre</t>
  </si>
  <si>
    <t>lePetitLitteraire;Schneider, Marie-Charlotte;Hamou, Nasim</t>
  </si>
  <si>
    <t>PR6013.O35 .S36 2011</t>
  </si>
  <si>
    <t>Cathedrals-Design and construction-Fiction.</t>
  </si>
  <si>
    <t>Les Souffrances du Jeune Werther de Goethe (Analyse de L'oeuvre) : Analyse Complète et Résumé détaillé de L'oeuvre</t>
  </si>
  <si>
    <t>lePetitLitteraire;Coutant-Defer, Dominique;Carrein, Kelly</t>
  </si>
  <si>
    <t>PS3523.O557 .C688 2017</t>
  </si>
  <si>
    <t>Man-woman relationships-Fiction.</t>
  </si>
  <si>
    <t>Cinquante Nuances de Grey d'E. L. James - la Trilogie (Analyse de L'oeuvre) : Analyse Complète et Résumé détaillé de L'oeuvre</t>
  </si>
  <si>
    <t>lePetitLitteraire;Cerf, Natacha;Henri, René</t>
  </si>
  <si>
    <t>HQ79 .C474 2011</t>
  </si>
  <si>
    <t>Sexual dominance and submission. ; Man-woman relationships.</t>
  </si>
  <si>
    <t>Les Genres Littéraires - le Roman, la Poésie et le Théâtre (Bac de Français)) : Réussir le Bac de Français</t>
  </si>
  <si>
    <t>lePetitLitteraire;Schneider, Marie-Charlotte</t>
  </si>
  <si>
    <t>Literary form.</t>
  </si>
  <si>
    <t>Les Mouvements Littéraires - le Classicisme, les Lumières, le Romantisme, le Réalisme et Bien d'autres (Fiche de Révision) : Réussir le Bac de Français</t>
  </si>
  <si>
    <t>lePetitLitteraire;Vienne, Magali</t>
  </si>
  <si>
    <t>Literary movements.</t>
  </si>
  <si>
    <t>Access and Inclusion for Children with Autistic Spectrum Disorders : Let Me In'</t>
  </si>
  <si>
    <t>Breakey, Christine;Hesmondhalgh, Matthew</t>
  </si>
  <si>
    <t>Autistic children-Education-Great Britain. ; Inclusive education-Great Britain.</t>
  </si>
  <si>
    <t>Psychology; Home Economics</t>
  </si>
  <si>
    <t>Bringing College Education into Prisons : New Directions for Community Colleges, Number 170</t>
  </si>
  <si>
    <t>Scott, Robert</t>
  </si>
  <si>
    <t>Community colleges -- United States. ; Education, Higher -- Aims and objectives -- United States. ; Prisoners -- Education (Higher) -- United States.</t>
  </si>
  <si>
    <t>Exploring Diversity at Historically Black Colleges and Universities: Implications for Policy and Practice : New Directions for Higher Education, Number 170</t>
  </si>
  <si>
    <t>Palmer, Robert T.;Shorette, C. Rob, II;Gasman, Marybeth</t>
  </si>
  <si>
    <t>LB2343.32</t>
  </si>
  <si>
    <t>African American universities and colleges. ; College student orientation -- United States -- Handbooks, manuals, etc. ; Segregation in education -- United States.</t>
  </si>
  <si>
    <t>Preparing the Next Generation in Tanzania : Challenges and Opportunities in Education</t>
  </si>
  <si>
    <t>Joshi, Arun R.;Gaddis, Isis;Gaddis, Isis</t>
  </si>
  <si>
    <t>LA1841</t>
  </si>
  <si>
    <t>Education -- Tanzania. ; Education and state -- Tanzania. ; Education.</t>
  </si>
  <si>
    <t>Developing Tomorrow's Leaders : Context, Challenges, and Capabilities</t>
  </si>
  <si>
    <t>Eddy, Pamela L.;Sydow, Debbie L.;Alfred, Richard L.;Garza-Mitchell, Regina L.</t>
  </si>
  <si>
    <t>The Futures Series on Community Colleges Series</t>
  </si>
  <si>
    <t>LB2341 .E334 2015</t>
  </si>
  <si>
    <t>Community college administrators -- United States</t>
  </si>
  <si>
    <t>High School to College Transition Research Studies</t>
  </si>
  <si>
    <t>Hicks, Terence;Chance W. Lewis, Chance W.</t>
  </si>
  <si>
    <t>College freshmen -- Social conditions. ; Counseling in secondary education. ; Education.</t>
  </si>
  <si>
    <t>The Most Important Work : Stories of Sovereignty in the Struggle for Literacy</t>
  </si>
  <si>
    <t>Shanton, Kyle D.</t>
  </si>
  <si>
    <t>JC327 .S384 2015</t>
  </si>
  <si>
    <t>Literacy. ; Self-determination, National. ; Sovereignty.</t>
  </si>
  <si>
    <t>Technology-Rich Teaching : Classrooms in the 21st Century</t>
  </si>
  <si>
    <t>Ackerman, Gary L.</t>
  </si>
  <si>
    <t>LB1028.43 .A384 2015</t>
  </si>
  <si>
    <t>Making the Most of Intercultural Education</t>
  </si>
  <si>
    <t>Layne, Heidi;Trémion,  Virginie;Dervin,  Fred</t>
  </si>
  <si>
    <t>LC1099</t>
  </si>
  <si>
    <t>Culturally relevant pedagogy. ; Culture. ; Multicultural education.</t>
  </si>
  <si>
    <t>New Frontiers in Teaching and Learning English</t>
  </si>
  <si>
    <t>Vettorel, Paola</t>
  </si>
  <si>
    <t>PE1128.A2.N49 2015</t>
  </si>
  <si>
    <t>English language--Study and teaching--Foreign speakers.</t>
  </si>
  <si>
    <t>Proceedings of the International Conference on Education, Reflection and Development</t>
  </si>
  <si>
    <t>Chis, Vasile;Albulescu,  Ion</t>
  </si>
  <si>
    <t>LA132 .C384 2015</t>
  </si>
  <si>
    <t>Education -- Congresses. ; Education and globalization -- Congresses. ; Teachers -- Training of -- Congresses.</t>
  </si>
  <si>
    <t>Raising Children Bilingually in the United States</t>
  </si>
  <si>
    <t>Pittman, Iulia</t>
  </si>
  <si>
    <t>LC3731 .P384 2015</t>
  </si>
  <si>
    <t>Bilingualism in children -- United States. ; Education, Bilingual -- United States. ; Education.</t>
  </si>
  <si>
    <t>The Grammar Problem in Higher Education in Cameroon : Assessing Written Standard English among Undergraduates of the Department of English at the University of Yaounde 1</t>
  </si>
  <si>
    <t>Ayafor, Miriam</t>
  </si>
  <si>
    <t>LA1503.7</t>
  </si>
  <si>
    <t>Education, Higher -- Cameroon. ; English language -- Grammar -- Study and teaching -- Cameroon. ; English language -- Study and teaching -- Cameroon.</t>
  </si>
  <si>
    <t>Art and Social Justice : The Media Connection</t>
  </si>
  <si>
    <t>Hajimichael, Mike</t>
  </si>
  <si>
    <t>LC191 -- .A78 2015eb</t>
  </si>
  <si>
    <t>Education -- Social aspects. ; Arts -- Study and teaching.</t>
  </si>
  <si>
    <t>Bringing Back the Child : Language Development after Extreme Deprivation (Children and Childhoods 4)</t>
  </si>
  <si>
    <t>Brown, Lisa;Jones,  Peter E.</t>
  </si>
  <si>
    <t>LB1139.L3 -- .B76 2014eb</t>
  </si>
  <si>
    <t>Children -- Language. ; Children -- Language -- Ability testing.</t>
  </si>
  <si>
    <t>Citizenship, the Self and the Other : Critical Discussions on Citizenship and How to Approach Religious and Cultural Difference</t>
  </si>
  <si>
    <t>Ajani, Malik</t>
  </si>
  <si>
    <t>LC1091 -- .A33 2015eb</t>
  </si>
  <si>
    <t>Citizenship -- Study and teaching. ; Citizenship -- Study and teaching -- England.</t>
  </si>
  <si>
    <t>Cross-Curricular Approaches to Language Education</t>
  </si>
  <si>
    <t>Psaltou-Joycey, Angeliki;Mattheoudakis,  Marina;Agathopoulou,  Eleni;Psaltou-Joycey, Angeliki;Mattheoudakis, Marina</t>
  </si>
  <si>
    <t>LB1564.G7 -- .C767 2014eb</t>
  </si>
  <si>
    <t>Interdisciplinary approach in education -- England. ; Interdisciplinary approach in education -- Data processing.</t>
  </si>
  <si>
    <t>Investigating Lexis : Vocabulary Teaching, ESP, Lexicography and Lexical Innovation</t>
  </si>
  <si>
    <t>Calvo-Ferrer, José Ramón;Pardillos,  Miguel Ángel Campos</t>
  </si>
  <si>
    <t>LB1574.5 -- .I584 2014eb</t>
  </si>
  <si>
    <t>Vocabulary -- Study and teaching. ; English language -- Study and teaching.</t>
  </si>
  <si>
    <t>Meaning and λόγος : Proceedings from the Early Professional Interdisciplinary Conference</t>
  </si>
  <si>
    <t>Hughes, Erica</t>
  </si>
  <si>
    <t>LB1738 -- .M436 2015eb</t>
  </si>
  <si>
    <t>College teachers -- In-service training -- Congresses. ; Career education -- Congresses. ; Interdisciplinary approach in education -- Congresses. ; Interdisciplinary research -- Congresses.</t>
  </si>
  <si>
    <t>University Ethics : How Colleges Can Build and Benefit from a Culture of Ethics</t>
  </si>
  <si>
    <t>Keenan, SJ, James F.</t>
  </si>
  <si>
    <t>LB2341 .K365 2015</t>
  </si>
  <si>
    <t>College administrators -- Professional ethics -- United States. ; Education, Higher -- Moral and ethical aspects -- United States. ; Universities and colleges -- Administration -- Moral and ethical aspects -- United States.</t>
  </si>
  <si>
    <t>Dyslexia and Mental Health : Helping People Identify Destructive Behaviours and Find Positive Ways to Cope</t>
  </si>
  <si>
    <t>Alexander-Passe, Neil;Ryan, Michael;Aston, Pennie</t>
  </si>
  <si>
    <t>RC394.W6 A45 2015</t>
  </si>
  <si>
    <t>616.85/5320651</t>
  </si>
  <si>
    <t>Ready for Fall? near-Term Effects of Voluntary Summer Learning Programs on Low-Income Students' Learning Opportunities and Outcomes</t>
  </si>
  <si>
    <t>McCombs, Jennifer Sloan;Pane, John F.;Augustine, Catherine H.;Martorell, Paco;Schwartz, Heather L.;Zakaras, Laura</t>
  </si>
  <si>
    <t>LC5751</t>
  </si>
  <si>
    <t>Low-income students - United States</t>
  </si>
  <si>
    <t>Sold Out : How Marketing in School Threatens Children's Well-Being and Undermines Their Education</t>
  </si>
  <si>
    <t>Molnar, Alex;Boninger, Faith</t>
  </si>
  <si>
    <t>LC67.62 .M384 2015</t>
  </si>
  <si>
    <t>Commercialism in schools -- United States</t>
  </si>
  <si>
    <t>Returning Sanity to the Classroom : Eliminating the Testing Mania</t>
  </si>
  <si>
    <t>Lucido, Horace 'Rog' B.</t>
  </si>
  <si>
    <t>LB1775.2 .L384 2015</t>
  </si>
  <si>
    <t>Classroom environment - United States</t>
  </si>
  <si>
    <t>Hooking Up : Sex, Dating, and Relationships on Campus</t>
  </si>
  <si>
    <t>Bogle, Kathleen A.</t>
  </si>
  <si>
    <t>306.73084/20973</t>
  </si>
  <si>
    <t>How the University Works : Higher Education and the Low-Wage Nation</t>
  </si>
  <si>
    <t>Bousquet, Marc;Nelson, Cary</t>
  </si>
  <si>
    <t>331.2/8137812</t>
  </si>
  <si>
    <t>Universities and colleges - Employees - Salaries, etc - United States</t>
  </si>
  <si>
    <t>Economics</t>
  </si>
  <si>
    <t>The Burdens of Aspiration : Schools, Youth, and Success in the Divided Social Worlds of Silicon Valley</t>
  </si>
  <si>
    <t>Davidson, Elsa</t>
  </si>
  <si>
    <t>379.2/60979473</t>
  </si>
  <si>
    <t>Education -- Social aspects -- California -- Santa Clara Valley (Santa Clara County) ; Student aspirations -- California -- Santa Clara Valley (Santa Clara County) ; Educational equalization -- California -- Santa Clara Valley (Santa Clara County) ; Polarization (Social sciences) -- California -- Santa Clara Valley (Santa Clara County) ; Youth -- California -- Santa Clara Valley (Santa Clara County) -- Social conditions.</t>
  </si>
  <si>
    <t>Mindful Teaching and Learning : Developing a Pedagogy of Well-Being</t>
  </si>
  <si>
    <t>Ragoonaden, Karen;Bassarear, Tom;Byrnes, Kathryn;Cherkowski, Sabre;Hanson, Kelly;Kelly, Jennifer;Latta, Margaret Macintyre;Mackenzie, Elizabeth;Soloway, Geoffrey</t>
  </si>
  <si>
    <t>LB1025.3 .M57 2015</t>
  </si>
  <si>
    <t>Reflective teaching</t>
  </si>
  <si>
    <t>Lesson Planning 3rd Edition</t>
  </si>
  <si>
    <t>LB1027.4 .B885 2008</t>
  </si>
  <si>
    <t>Lesson planning.</t>
  </si>
  <si>
    <t>How Not to Teach : Diary of an Urban Primary Teacher</t>
  </si>
  <si>
    <t>LB1555$b.R425 2006</t>
  </si>
  <si>
    <t>Elementary school teaching - Great Britain</t>
  </si>
  <si>
    <t>How to Be a Successful Teaching Assistant</t>
  </si>
  <si>
    <t>Morgan, Jill</t>
  </si>
  <si>
    <t>LB2844.1.A8 M65 2007</t>
  </si>
  <si>
    <t>Education. ; Teachers'' assistants -- Vocational guidance. ; Teachers'' assistants.</t>
  </si>
  <si>
    <t>The Teaching Assistant's Guide to Autistic Spectrum Disorders</t>
  </si>
  <si>
    <t>Cartwright, Ann;Morgan, Jill</t>
  </si>
  <si>
    <t>LB2844.1.A8 C37 2008</t>
  </si>
  <si>
    <t>Autism -- Great Britain. ; Special education -- Great Britain. ; Teachers’ assistants -- Great Britain.</t>
  </si>
  <si>
    <t>How to Be a Successful Head of Year : A Practical Guide</t>
  </si>
  <si>
    <t>Carline, Brian</t>
  </si>
  <si>
    <t>LC1037.8.G7</t>
  </si>
  <si>
    <t>Career education -- Great Britain. ; Educational counseling -- Great Britain. ; School management and organization -- Great Britain. ; Teacher-student relationships -- Great Britain.</t>
  </si>
  <si>
    <t>Grant Writing : Practical Strategies for Scholars and Professionals</t>
  </si>
  <si>
    <t>Rajan, Rekha S.;Tomal, Daniel R.</t>
  </si>
  <si>
    <t>HG177</t>
  </si>
  <si>
    <t>658.15/224</t>
  </si>
  <si>
    <t>Education -- Research grants -- Handbooks, manuals, etc</t>
  </si>
  <si>
    <t>Creating Culturally Responsive Schools : One Classroom at a Time</t>
  </si>
  <si>
    <t>Wages, Michele</t>
  </si>
  <si>
    <t>LC1099.3 .W34 2015</t>
  </si>
  <si>
    <t>Cultural awareness - United States</t>
  </si>
  <si>
    <t>Le Mythe de la Souveraineté : Du Corps Au Contrat Social</t>
  </si>
  <si>
    <t>L'Harmattan</t>
  </si>
  <si>
    <t>Editions Modulaires Europeennes</t>
  </si>
  <si>
    <t>FRANCE</t>
  </si>
  <si>
    <t>Politique et Culture Series</t>
  </si>
  <si>
    <t>Sovereignty-History. ; Sovereignty-Philosophy.</t>
  </si>
  <si>
    <t>L'intervention sociale en débats</t>
  </si>
  <si>
    <t>EME éditions</t>
  </si>
  <si>
    <t>Cork</t>
  </si>
  <si>
    <t>Ferréol, Gilles;Laffort, Bruno;Pagès, Alexandre</t>
  </si>
  <si>
    <t>HV40 .I584 2015</t>
  </si>
  <si>
    <t>Social service-Congresses. ; Social workers-Congresses.</t>
  </si>
  <si>
    <t>F&amp;S 28 - La culture comme espace d'appropriation du français par les immigrés</t>
  </si>
  <si>
    <t>Manço, Altay;Alen, Patricia</t>
  </si>
  <si>
    <t>PC2068.B4 .A446 2014</t>
  </si>
  <si>
    <t>French language-Study and teaching-Belgium.</t>
  </si>
  <si>
    <t>Le Recrutement des Personnels Enseignants et l'évolution du Métier de Gestionnaire de Concours : Approche Socio-Organisationnelle et étude de Cas</t>
  </si>
  <si>
    <t>Malige, Régis</t>
  </si>
  <si>
    <t>Proximités Sociologie Series</t>
  </si>
  <si>
    <t>Teachers-Recruiting.</t>
  </si>
  <si>
    <t>A Librarian's Guide to Graphs, Data and the Semantic Web</t>
  </si>
  <si>
    <t>Powell, James</t>
  </si>
  <si>
    <t>L'école bruxelloise d'étude des religions : 150 ans d'approche libre-exaministe du fait religieux : Ouvrage de référence sur l'histoire de l'enseignement religieux à l'ULB</t>
  </si>
  <si>
    <t>Schreiber, Jean-Philippe</t>
  </si>
  <si>
    <t>LF3914 .L436 2014</t>
  </si>
  <si>
    <t>Université libre de Bruxelles.</t>
  </si>
  <si>
    <t>College, Quicker : 24 Practical Ways to Save Money and Get Your Degree Faster</t>
  </si>
  <si>
    <t>Sourcebooks</t>
  </si>
  <si>
    <t>Sourcebooks, Incorporated</t>
  </si>
  <si>
    <t>Naperville</t>
  </si>
  <si>
    <t>Stephens, Kate</t>
  </si>
  <si>
    <t>378.1/618</t>
  </si>
  <si>
    <t>College credits-Juvenile literature. ; College costs-Juvenile literature.</t>
  </si>
  <si>
    <t>Qualitative Research : A Guide to Design and Implementation</t>
  </si>
  <si>
    <t>Merriam, Sharan B.;Tisdell, Elizabeth J.</t>
  </si>
  <si>
    <t>LB1028 .M477 2016</t>
  </si>
  <si>
    <t>Education-Research-Case studies</t>
  </si>
  <si>
    <t>Get an Internship and Make the Most of It : Practical Information for High School and Community College Students</t>
  </si>
  <si>
    <t>McLachlan, Joan E.;Hess, Patricia F.</t>
  </si>
  <si>
    <t>LC1072.I58 M349 2015</t>
  </si>
  <si>
    <t>Community college students - Employment - United States</t>
  </si>
  <si>
    <t>Building Better Dictation Skills</t>
  </si>
  <si>
    <t>Buonviri, Nathan O.</t>
  </si>
  <si>
    <t>MT35.B89 2015</t>
  </si>
  <si>
    <t>781.4/2</t>
  </si>
  <si>
    <t>Musical dictation.</t>
  </si>
  <si>
    <t>Essentials of Teaching and Integrating Visual and Media Literacy : Visualizing Learning</t>
  </si>
  <si>
    <t>Baylen, Danilo M.;D'Alba, Adriana</t>
  </si>
  <si>
    <t>Media literacy -- Study and teaching</t>
  </si>
  <si>
    <t>Information Professionals' Career Confidential : Straight Talk and Savvy Tips</t>
  </si>
  <si>
    <t>OXford</t>
  </si>
  <si>
    <t>de Stricker, Ulla</t>
  </si>
  <si>
    <t>Z668.5</t>
  </si>
  <si>
    <t>Career development. ; Information science -- Study and teaching (Continuing education). ; Information science. ; Library education (Continuing education).</t>
  </si>
  <si>
    <t>Business/Management; Library Science</t>
  </si>
  <si>
    <t>Adventures in Reasoning : Communal Inquiry Through Fantasy Role-Play</t>
  </si>
  <si>
    <t>Howard, Jason J.</t>
  </si>
  <si>
    <t>B52 .H693 2015</t>
  </si>
  <si>
    <t>Fantasy games</t>
  </si>
  <si>
    <t>Classroom Dilemmas : Solutions for Everyday Problems</t>
  </si>
  <si>
    <t>Kimbrough, Richard B.</t>
  </si>
  <si>
    <t>LB3013;LC107</t>
  </si>
  <si>
    <t>Improving Professional Learning Through in-House Inquiry</t>
  </si>
  <si>
    <t>Middlewood, David;Abbott, Ian</t>
  </si>
  <si>
    <t>LB1060 .M384 2015</t>
  </si>
  <si>
    <t>Professional learning communities</t>
  </si>
  <si>
    <t>What Counts As a Good Job in Teaching? : Becoming a Teacher As We Race to the Top</t>
  </si>
  <si>
    <t>Gilrane, Colleen;Rearden, Kristin</t>
  </si>
  <si>
    <t>Skola V Globální Době : Proměny Pěti českých Základních Skol</t>
  </si>
  <si>
    <t>Dvořák, Dominik;Starý, Karel;Starý, Karel</t>
  </si>
  <si>
    <t>LB1084 .D384 2015</t>
  </si>
  <si>
    <t>Education and globalization. ; Education. ; Educational change -- Social aspects.</t>
  </si>
  <si>
    <t>Vous Saurez Tout Sur le Permis : Un Livre Rassurant Pour les Maudits du Volant</t>
  </si>
  <si>
    <t>La Boîte à Pandore</t>
  </si>
  <si>
    <t>Belile, Nina</t>
  </si>
  <si>
    <t>Automobile driver education. ; Automobile drivers' tests. ; Drivers' licenses. ; REFERENCE-Personal &amp; Practical Guides.-bisacsh ; TRANSPORTATION-Automotive-Driver Education.-bisacsh ; TRANSPORTATION-Automotive-General.-bisacsh</t>
  </si>
  <si>
    <t>Engineering; General Works/Reference</t>
  </si>
  <si>
    <t>Vous N'êtes Pas des élèves de Merde ! : Une Année Dans la Vie d'un Prof</t>
  </si>
  <si>
    <t>Pirard, Pierre;La Boîte à Pandore, La Boîte</t>
  </si>
  <si>
    <t>Teachers-Biography.</t>
  </si>
  <si>
    <t>Education; History; Social Science</t>
  </si>
  <si>
    <t>Tirer Parti du Travail En équipe : Les étapes-Clés d'un Teamworking Réussi</t>
  </si>
  <si>
    <t>Cailteux, Caroline;50minutes</t>
  </si>
  <si>
    <t>Business networks.</t>
  </si>
  <si>
    <t>Where Have All the Textbooks Gone? : Toward Sustainable Provision of Teaching and Learning Materials in Sub-Saharan Africa</t>
  </si>
  <si>
    <t>Read, Tony;Bontoux, Vincent</t>
  </si>
  <si>
    <t>Directions in Development;Directions in Development - Human Development</t>
  </si>
  <si>
    <t>LB3048.A357 .R384 2015</t>
  </si>
  <si>
    <t>Textbooks - Africa, Sub-Saharan</t>
  </si>
  <si>
    <t>The Public Lives of Charlotte and Marie Stopes</t>
  </si>
  <si>
    <t>Green, Stephanie</t>
  </si>
  <si>
    <t>Dramatic Lives Series</t>
  </si>
  <si>
    <t>HQ1412 .G74 2015</t>
  </si>
  <si>
    <t>Academic achievement -- Social aspects -- Great Britain -- History -- 19th century. ; Academic achievement -- Social aspects -- Great Britain -- History -- 20th century. ; Academic achievement -- Social aspects. ; Birth control -- Great Britain. ; Feminists -- Great Britain -- Biography. ; Political activists -- Great Britain -- Biography. ; Self-presentation -- History -- 19th century. ; Self-presentation -- History -- 20th century.</t>
  </si>
  <si>
    <t>Science As Service : Establishing and Reformulating American Land-Grant Universities, 1865-1930</t>
  </si>
  <si>
    <t>Marcus, Alan I.;Geiger, Roger L.;Finlay, Mark R.;Sorber, Nathan M.;Rueber, Micah;Nienkamp, Paul K.;Reid, Debra A.;Fairbanks, Robert B.;Hirsh, Richard F.;Morris, Sara E.</t>
  </si>
  <si>
    <t>NEXUS: New Histories of Science, Technology, the Environment, Agriculture, and Medicine Series</t>
  </si>
  <si>
    <t>LB2329</t>
  </si>
  <si>
    <t>378/.053</t>
  </si>
  <si>
    <t>United States.-Land Grant Act of 1862. ; State universities and colleges-United States-History-19th century. ; State universities and colleges-United States-History-20th century. ; Science-Study and teaching (Higher)-United States-History-19th century. ; Science-Study and teaching (Higher)-United States-History-20th century. ; Technology-Study and teaching (Higher)-United States-History-19th century. ; Technology-Study and teaching (Higher)-United States-History-20th century.</t>
  </si>
  <si>
    <t>Milestone Moments in Getting Your PhD in Qualitative Research</t>
  </si>
  <si>
    <t>Zeegers, Margaret;Barron, Deirdre</t>
  </si>
  <si>
    <t>Dissertations, Academic -- Handbooks, manuals, etc</t>
  </si>
  <si>
    <t>Early Childhood Education and Development in Indonesia : An Assessment of Policies Using SABER</t>
  </si>
  <si>
    <t>Denboba, Amina;Hasan, Amer;Wodon, Quentin</t>
  </si>
  <si>
    <t>LB1139.3 .I5</t>
  </si>
  <si>
    <t>Child development. ; Child psychology. ; Early childhood education -- Indonesia -- Philosophy. ; Early childhood education -- Indonesia.</t>
  </si>
  <si>
    <t>The Missing Stratum : Technical School Education in England 1900-1990s</t>
  </si>
  <si>
    <t>Sanderson, Michael</t>
  </si>
  <si>
    <t>History: Bloomsbury Academic Collections</t>
  </si>
  <si>
    <t>T107 .S384 2015</t>
  </si>
  <si>
    <t>Technical education -- England -- History -- 19th century. ; Technical education -- England -- History -- 20th century. ; Technical institutes -- England -- History -- 19th century. ; Technical institutes -- England -- History -- 20th century.</t>
  </si>
  <si>
    <t>Sustainability in Higher Education</t>
  </si>
  <si>
    <t>Davim, J. Paulo</t>
  </si>
  <si>
    <t>Sustainable development -- Study and teaching (Higher)</t>
  </si>
  <si>
    <t>Writing in the Dark : Phenomenological Studies in Interpretive Inquiry</t>
  </si>
  <si>
    <t>van Manen, Max</t>
  </si>
  <si>
    <t>BF76.7</t>
  </si>
  <si>
    <t>Phenomenology. ; Readers -- Social sciences. ; Social sciences -- Authorship.</t>
  </si>
  <si>
    <t>Theatre for Youth Third Space : Performance, Democracy, and Community Cultural Development</t>
  </si>
  <si>
    <t>Woodson, Stephani Etheridge</t>
  </si>
  <si>
    <t>PN3157 .W663 2015</t>
  </si>
  <si>
    <t>Children's theater-Study and teaching. ; Drama in education.</t>
  </si>
  <si>
    <t>Dictionary of Multicultural Education</t>
  </si>
  <si>
    <t>Greenwood Press</t>
  </si>
  <si>
    <t>Grant, Carl A.;Ladson-Billings, Gloria;Haynie, Kerry L.;McCulloch, Anne M.</t>
  </si>
  <si>
    <t>LC1099 -- .D53 1997eb</t>
  </si>
  <si>
    <t>370.117/03</t>
  </si>
  <si>
    <t>Multicultural education -- Dictionaries.</t>
  </si>
  <si>
    <t>A Professional Development School Partnership : Conflict and Collaboration</t>
  </si>
  <si>
    <t>LB2154.A3C36 2000</t>
  </si>
  <si>
    <t>Laboratory schools -- United States -- Case studies. ; College-school cooperation -- United States -- Case studies.</t>
  </si>
  <si>
    <t>African-Centered Schooling in Theory and Practice</t>
  </si>
  <si>
    <t>Ajirotutu, Cheryl S.;Pollard, Diane S.</t>
  </si>
  <si>
    <t>African Americans -- Education -- Evaluation -- Longitudinal studies</t>
  </si>
  <si>
    <t>Creating Caring and Nurturing Educational Environments for African American Children</t>
  </si>
  <si>
    <t>Morris, Vivian;Morris, Curtis</t>
  </si>
  <si>
    <t>LC2802.A2M67 2000</t>
  </si>
  <si>
    <t>372.182996/073/761</t>
  </si>
  <si>
    <t>African American children -- Education -- Alabama. ; African Americans -- Education (Elementary) -- Alabama.</t>
  </si>
  <si>
    <t>The Bright Boys : A History of Townsend Harris High School</t>
  </si>
  <si>
    <t>Lebow, Eileen</t>
  </si>
  <si>
    <t>Contributions to the Study of Education Series</t>
  </si>
  <si>
    <t>LD7501.N5T692 2000</t>
  </si>
  <si>
    <t>373.747/1</t>
  </si>
  <si>
    <t>Townsend Harris High School (Manhattan, New York, N.Y.) -- History</t>
  </si>
  <si>
    <t>Developing Non-Hierarchical Leadership on Campus : Case Studies and Best Practices in Higher Education</t>
  </si>
  <si>
    <t>Faris, Shannon;McMahon, Kathleen;Outcalt, Charles</t>
  </si>
  <si>
    <t>The Greenwood Educators' Reference Collection</t>
  </si>
  <si>
    <t>Educational leadership -- United States -- Case studies. ; Leadership -- Study and teaching (Higher) -- United States -- Case studies. ; Civic leaders -- Training of -- United States -- Case studies.</t>
  </si>
  <si>
    <t>Apartheid No More : Case Studies of Southern African Universities in the Process of Transformation</t>
  </si>
  <si>
    <t>Mabokela, Reitumetse Obakeng;King, Kimberly Lenease;Mabokela, Reitumetse;King, Kimberly Len;Arnove, Robert</t>
  </si>
  <si>
    <t>LC212.43.S6 -- A53 2001eb</t>
  </si>
  <si>
    <t>Discrimination in higher education -- South Africa -- History -- Case studies. ; Discrimination in higher education -- Namibia -- History -- Case studies. ; Universities and colleges -- South Africa -- Sociological aspects -- Case studies. ; Universities and colleges -- Namibia -- Sociological aspects -- Case studies.</t>
  </si>
  <si>
    <t>Practical Approaches to Using Learning Styles in Higher Education</t>
  </si>
  <si>
    <t>Dunn, Rita;Griggs, Shirley A.</t>
  </si>
  <si>
    <t>Study skills. ; Education, Higher.</t>
  </si>
  <si>
    <t>Multiple Perspectives on Mathematics Teaching and Learning</t>
  </si>
  <si>
    <t>Boaler, Jo</t>
  </si>
  <si>
    <t>International Perspectives on Mathematics Education Series</t>
  </si>
  <si>
    <t>QA11 -- .M79 2000eb</t>
  </si>
  <si>
    <t>Curriculum Partner : Redefining the Role of the Library Media Specialist</t>
  </si>
  <si>
    <t>Kearney, Carol A.</t>
  </si>
  <si>
    <t>Z675.S3 -- K42 2000eb</t>
  </si>
  <si>
    <t>School libraries -- United States. ; Curriculum planning -- United States. ; Instructional materials centers -- United States. ; Teacher-librarians -- United States.</t>
  </si>
  <si>
    <t>Learning and Teaching Number Theory : Research in Cognition and Instruction</t>
  </si>
  <si>
    <t>Campbell, Stephen R.;Zazkis, Rina</t>
  </si>
  <si>
    <t>QA241 -- .L43 2002eb</t>
  </si>
  <si>
    <t>510 s;512/.7071</t>
  </si>
  <si>
    <t>Number theory -- Study and teaching.</t>
  </si>
  <si>
    <t>Repay As You Earn : The Flawed Government Program to Help Students Have Public Service Careers</t>
  </si>
  <si>
    <t>Schrag, Philip G.</t>
  </si>
  <si>
    <t>LB2340.2 -- .S38 2002eb</t>
  </si>
  <si>
    <t>378.3/62/0973</t>
  </si>
  <si>
    <t>Women in American Education : The Female Force and Educational Reform</t>
  </si>
  <si>
    <t>Edwards, June</t>
  </si>
  <si>
    <t>LC1757 -- .E39 2002eb</t>
  </si>
  <si>
    <t>370/.82</t>
  </si>
  <si>
    <t>Women in education -- United States -- History. ; Women educators -- United States -- Biography. ; Educational change -- United States -- History.</t>
  </si>
  <si>
    <t>Handbook of Research on Catholic Education</t>
  </si>
  <si>
    <t>Hunt, Thomas C.;Joseph, Ellis A.;Nuzzi, Ronald J.</t>
  </si>
  <si>
    <t>LC501 -- .H34 2001eb</t>
  </si>
  <si>
    <t>Catholic Church -- Education -- United States</t>
  </si>
  <si>
    <t>Raising Multilingual Children : Foreign Language Acquisition and Children</t>
  </si>
  <si>
    <t>Tokuhama-Espinosa, Tracey</t>
  </si>
  <si>
    <t>P115.2 -- .T65 2001eb</t>
  </si>
  <si>
    <t>Bilingualism in children. ; Child rearing. ; Language acquisition. ; Language and languages -- Study and teaching. ; English language -- Study and teaching -- Foreign speakers. ; Comparative education.</t>
  </si>
  <si>
    <t>Young Adult Poetry : A Survey and Theme Guide</t>
  </si>
  <si>
    <t>Schwedt, Rachel;DeLong, Janice</t>
  </si>
  <si>
    <t>PS309.Y69 -- S39 2002eb</t>
  </si>
  <si>
    <t>809.1/0071/073</t>
  </si>
  <si>
    <t>Young adult poetry, American -- History and criticism. ; Young adult poetry -- Themes, motives. ; Young adults -- Books and reading.</t>
  </si>
  <si>
    <t>Vietnam War on Campus : Other Voices, More Distant Drums</t>
  </si>
  <si>
    <t>Gilbert, Marc Jason</t>
  </si>
  <si>
    <t>LA229 -- .V54 2001eb</t>
  </si>
  <si>
    <t>Student movements -- United States -- History -- 20th century -- Case studies. ; Students -- United States -- Political activity -- History -- 20th century -- Case studies. ; Vietnam War, 1961-1975 -- Protest movements -- United States -- Case studies.</t>
  </si>
  <si>
    <t>Teen Guide to Getting Started in the Arts</t>
  </si>
  <si>
    <t>Ritzenthaler, Carol</t>
  </si>
  <si>
    <t>NX503.R58 2002</t>
  </si>
  <si>
    <t>700/.23/73</t>
  </si>
  <si>
    <t>Arts -- Vocational guidance -- United States. ; Teenagers -- Vocational guidance -- United States.</t>
  </si>
  <si>
    <t>Shattering the Denial : Protocols for the Classroom and Beyond</t>
  </si>
  <si>
    <t>Donaldson, Karen B.</t>
  </si>
  <si>
    <t>LC212.2 -- .D64 2001eb</t>
  </si>
  <si>
    <t>305.8/00973</t>
  </si>
  <si>
    <t>Discrimination in education -- United States</t>
  </si>
  <si>
    <t>Beyond Modernism and Postmodernism : Essays on the Politics of Culture</t>
  </si>
  <si>
    <t>Berube, Maurice R.</t>
  </si>
  <si>
    <t>HM623 -- .B47 2002eb</t>
  </si>
  <si>
    <t>Intellectuals -- United States -- Political activity</t>
  </si>
  <si>
    <t>Planning and Managing School Facilities</t>
  </si>
  <si>
    <t>LB3218.A1 -- K638 2002eb</t>
  </si>
  <si>
    <t>371.6/8/0973</t>
  </si>
  <si>
    <t>School facilities -- United States -- Planning. ; School plant management -- United States.</t>
  </si>
  <si>
    <t>Paradigm Debates in Curriculum and Supervision : Modern and Postmodern Perspectives</t>
  </si>
  <si>
    <t>Behar-Horenstein, Linda;Glanz, Jeffrey</t>
  </si>
  <si>
    <t>LB2806.4.P37 2000</t>
  </si>
  <si>
    <t>Curriculum planning -- Social aspects</t>
  </si>
  <si>
    <t>Issues in Web-Based Pedagogy : A Critical Primer</t>
  </si>
  <si>
    <t>Cole, Robert A.</t>
  </si>
  <si>
    <t>378.1/73/4</t>
  </si>
  <si>
    <t>Political Relationship and Narrative Knowledge : A Critical Analysis of School Authoritarianism</t>
  </si>
  <si>
    <t>Armitage, Peter B.</t>
  </si>
  <si>
    <t>Education -- Political aspects -- Great Britain. ; Authoritarianism -- Great Britain. ; Critical theory. ; Critical pedagogy.</t>
  </si>
  <si>
    <t>Succeeding in an Academic Career : A Guide for Faculty of Color</t>
  </si>
  <si>
    <t>Garcia, Mildred;Moses, Yolanda</t>
  </si>
  <si>
    <t>LB2331.72 -- .S83 2000eb</t>
  </si>
  <si>
    <t>378.1/2/08996073</t>
  </si>
  <si>
    <t>Universities and colleges -- United States -- Faculty -- Case studies. ; Minority college teachers -- United States -- Case studies. ; African American college teachers -- Case studies.</t>
  </si>
  <si>
    <t>Academic Staff in Europe : Changing Contexts and Conditions</t>
  </si>
  <si>
    <t>Enders, Jürgen</t>
  </si>
  <si>
    <t>LB2331.74.E85 -- A33 2001eb</t>
  </si>
  <si>
    <t>378.1/2/094</t>
  </si>
  <si>
    <t>College personnel management -- Europe. ; College teachers -- Europe. ; Universities and colleges -- Europe -- Administration.</t>
  </si>
  <si>
    <t>Making Space : Merging Theory and Practice in Adult Education</t>
  </si>
  <si>
    <t>Sheared, Vanessa;Sissel, Peggy A.;Cunningham, Phyllis</t>
  </si>
  <si>
    <t>LC5225.S64M24 2001</t>
  </si>
  <si>
    <t>374/.973</t>
  </si>
  <si>
    <t>Adult education -- Social aspects -- United States. ; Discrimination in education -- United States. ; Critical pedagogy -- United States.</t>
  </si>
  <si>
    <t>Narrative Inquiry in a Multicultural Landscape : Multicultural Teaching and Learning</t>
  </si>
  <si>
    <t>Phillion, JoAnn</t>
  </si>
  <si>
    <t>Issues in Curriculum Theory, Policy, and Research Series</t>
  </si>
  <si>
    <t>LC1099.5.C2P55 2002</t>
  </si>
  <si>
    <t>370.117/0971</t>
  </si>
  <si>
    <t>Multicultural education -- Canada -- Case studies</t>
  </si>
  <si>
    <t>Higher Education in the Developing World : Changing Contexts and Institutional Responses</t>
  </si>
  <si>
    <t>Chapman, David W.;Austin, Ann E.</t>
  </si>
  <si>
    <t>LC2610.H55 2002</t>
  </si>
  <si>
    <t>378/.009172/4</t>
  </si>
  <si>
    <t>Education, Higher -- Developing countries.</t>
  </si>
  <si>
    <t>The Future of Foreign Language Education in the United States</t>
  </si>
  <si>
    <t>Contemporary Language Education Series</t>
  </si>
  <si>
    <t>LB1580.U6F88 2002</t>
  </si>
  <si>
    <t>418/.0071/073</t>
  </si>
  <si>
    <t>Languages, Modern -- Study and teaching -- United States.</t>
  </si>
  <si>
    <t>Academic Pathfinders : Knowledge Creation and Feminist Scholarship</t>
  </si>
  <si>
    <t>Gumport, Patricia J.</t>
  </si>
  <si>
    <t>LB2332.3.G86 2002</t>
  </si>
  <si>
    <t>Women college teachers. ; Women college students. ; Women in higher education. ; Feminism and education. ; Learning and scholarship.</t>
  </si>
  <si>
    <t>Teaching Strategies for Constructivist and Developmental Counselor Education</t>
  </si>
  <si>
    <t>McAuliffe, Garrett;Eriksen, Karen</t>
  </si>
  <si>
    <t>Student counselors -- Training of</t>
  </si>
  <si>
    <t>A Broken Silence : Voices of African American Women in the Academy</t>
  </si>
  <si>
    <t>Myers, Lena</t>
  </si>
  <si>
    <t>LC2781.5.M94 2002</t>
  </si>
  <si>
    <t>African American women college teachers. ; Discrimination in higher education.</t>
  </si>
  <si>
    <t>Rethinking Multicultural Education : Case Studies in Cultural Transition</t>
  </si>
  <si>
    <t>Korn-Bursztyn, Carol</t>
  </si>
  <si>
    <t>LC1099.3 -- .R49 2002eb</t>
  </si>
  <si>
    <t>370.117/0973</t>
  </si>
  <si>
    <t>Minorities -- Education -- United States</t>
  </si>
  <si>
    <t>African-American Teens Discuss Their Schooling Experiences : It's a Black Thing, Do You Want to Understand?</t>
  </si>
  <si>
    <t>LC2717 -- .T47 2002eb</t>
  </si>
  <si>
    <t>373.1829/96/073</t>
  </si>
  <si>
    <t>African Americans -- Education. ; African American high school students -- Attitudes. ; Educational surveys -- United States.</t>
  </si>
  <si>
    <t>Unequal Opportunity : A Crisis in America's Schools?</t>
  </si>
  <si>
    <t>Mitchell, Bruce;Salsbury, Robert E.</t>
  </si>
  <si>
    <t>LC213.2.M58 2002</t>
  </si>
  <si>
    <t>379.2/6/0973</t>
  </si>
  <si>
    <t>Ethnography and Educational Policy : A View Across the Americas</t>
  </si>
  <si>
    <t>Levinson, Bradley A. U.;Cade, Sandra L.;Padawer, Ana;Cade, Sandra L.;Padawer, Ana;Elvir, Ana Patricia</t>
  </si>
  <si>
    <t>LB45 -- .E838 2002eb</t>
  </si>
  <si>
    <t>Educational anthropology -- America -- Congresses. ; Educational anthropology -- Cross-cultural studies -- Congresses.</t>
  </si>
  <si>
    <t>Working with Troubled Youth in Schools : A Guide for All School Staff</t>
  </si>
  <si>
    <t>McAuliffe, Garrett</t>
  </si>
  <si>
    <t>LC4091 -- .W68 2002eb</t>
  </si>
  <si>
    <t>Youth with social disabilities -- Education -- United States.</t>
  </si>
  <si>
    <t>Hanging Out : Community-Based after-School Programs for Children</t>
  </si>
  <si>
    <t>Garner, Ruth</t>
  </si>
  <si>
    <t>LB3605.H273 2002</t>
  </si>
  <si>
    <t>The School As a Safe Haven</t>
  </si>
  <si>
    <t>Watson, Rollin J.;Watson, Robert S.</t>
  </si>
  <si>
    <t>LB2864.6.A25W38 2002</t>
  </si>
  <si>
    <t>School crisis management -- United States -- History -- 20th century</t>
  </si>
  <si>
    <t>The Manifesto : A Guide to Developing a Creative Career</t>
  </si>
  <si>
    <t>Torrance, E. Paul</t>
  </si>
  <si>
    <t>Publications in Creativity Research Series</t>
  </si>
  <si>
    <t>LB1590.5.T67 2002</t>
  </si>
  <si>
    <t>Gifted children -- Education -- United States -- Longitudinal studies</t>
  </si>
  <si>
    <t>Rethinking Professional Issues in Special Education</t>
  </si>
  <si>
    <t>Paul, James L.;Lavely, Carolyn D.;Cranston-Gingras, Ann;Taylor, Ella L.</t>
  </si>
  <si>
    <t>Contemporary Studies in Social and Policy Issues in Education: the David C. Anch Series</t>
  </si>
  <si>
    <t>LC4019.8.R48 2002</t>
  </si>
  <si>
    <t>Teachers of children with disabilities -- Training of -- United States. ; Students with disabilities -- Education -- United States.</t>
  </si>
  <si>
    <t>Citizenship, Education, and the Curriculum</t>
  </si>
  <si>
    <t>Scott, David;Lawson, Helen</t>
  </si>
  <si>
    <t>LC1091 -- .C524 2002eb</t>
  </si>
  <si>
    <t>Body and Language : Intercultural Learning Through Drama</t>
  </si>
  <si>
    <t>Bräuer, Gerd</t>
  </si>
  <si>
    <t>Advances in Foreign and Second Language Pedagogy Series</t>
  </si>
  <si>
    <t>PN3171.B574 2002</t>
  </si>
  <si>
    <t>Workforce Education for Latinos : Politics, Programs, and Practices</t>
  </si>
  <si>
    <t>Huerta-Macías, Ana G.</t>
  </si>
  <si>
    <t>LC149.7.H84 2002</t>
  </si>
  <si>
    <t>374.1829/68073</t>
  </si>
  <si>
    <t>Workplace literacy -- United States. ; Hispanic Americans -- Education (Continuing education) ; Education, Bilingual -- United States.</t>
  </si>
  <si>
    <t>Children of Intercountry Adoptions in School : A Primer for Parents and Professionals</t>
  </si>
  <si>
    <t>Meese, Ruth Lyn</t>
  </si>
  <si>
    <t>LC3731 -- .M43 2002eb</t>
  </si>
  <si>
    <t>Minorities -- Education -- United States -- Handbooks, manuals, etc. ; Adopted children -- Education -- United States -- Handbooks, manuals, etc. ; Intercountry adoption -- United States.</t>
  </si>
  <si>
    <t>Successful Educators : A Practical Guide for Understanding Children's Learning Problems and Mental Health Issues</t>
  </si>
  <si>
    <t>Naparstek, Nathan</t>
  </si>
  <si>
    <t>LC4019.N315 2002</t>
  </si>
  <si>
    <t>Children with disabilities -- Education. ; Educational psychology. ; Attention-deficit-disordered children -- Education. ; Learning disabled children -- Education. ; Academic achievement.</t>
  </si>
  <si>
    <t>Children's Imaginative Play : A Visit to Wonderland</t>
  </si>
  <si>
    <t>Ariel, Shlomo</t>
  </si>
  <si>
    <t>Child Psychology and Mental Health Series</t>
  </si>
  <si>
    <t>BF717.A75 2002</t>
  </si>
  <si>
    <t>Play -- Psychological aspects</t>
  </si>
  <si>
    <t>Developing Media Literacy in Cyberspace : Pedagogy and Critical Learning for the Twenty-First-Century Classroom</t>
  </si>
  <si>
    <t>Frechette, Julie D.</t>
  </si>
  <si>
    <t>LC149.5.F74 2002</t>
  </si>
  <si>
    <t>Computers and literacy. ; Media literacy. ; Mass media in education. ; Internet in education. ; Critical pedagogy.</t>
  </si>
  <si>
    <t>Banned in the U.S.A. : A Reference Guide to Book Censorship in Schools and Public Libraries</t>
  </si>
  <si>
    <t>Foerstel, Herbert N.</t>
  </si>
  <si>
    <t>Z658.U5 -- F64 2002eb</t>
  </si>
  <si>
    <t>025.2/13</t>
  </si>
  <si>
    <t>Censorship -- United States. ; Textbooks -- Censorship -- United States. ; Public libraries -- Censorship -- United States. ; Public schools -- Censorship -- United States. ; Book selection -- United States. ; Public libraries -- Book selection -- United States.</t>
  </si>
  <si>
    <t>Middle School and the Age of Adjustment : A Guide for Parents</t>
  </si>
  <si>
    <t>Bernstein, Eileen</t>
  </si>
  <si>
    <t>LB1623 -- .B48 2002eb</t>
  </si>
  <si>
    <t>Middle school education -- Parent participation -- Handbooks, manuals, etc. ; Adolescent psychology -- Handbooks, manuals, etc.</t>
  </si>
  <si>
    <t>Fundamentals of Sociology of Education with Reference to Africa</t>
  </si>
  <si>
    <t>University of Nairobi Press</t>
  </si>
  <si>
    <t>Nairobi</t>
  </si>
  <si>
    <t>Kibera, Lucy Wairimu;Kimokoti, Agnes</t>
  </si>
  <si>
    <t>LC191.8.A4.K53 2007</t>
  </si>
  <si>
    <t>Educational sociology--Africa.</t>
  </si>
  <si>
    <t>Introductory History of Education</t>
  </si>
  <si>
    <t>Sifuna, Daniel;Otiende, James E.</t>
  </si>
  <si>
    <t>LA1501.S548 2006</t>
  </si>
  <si>
    <t>Education--Africa--History.</t>
  </si>
  <si>
    <t>School Buddy System : The Practice of Collaboration</t>
  </si>
  <si>
    <t>Bush, Gail;Mancall, Jacqueline C</t>
  </si>
  <si>
    <t>LB1029.T4 -- B87 2003eb</t>
  </si>
  <si>
    <t>Teaching teams. ; Group work in education.</t>
  </si>
  <si>
    <t>Achieving National Board Certification for School Library Media Specialists : A Study Guide</t>
  </si>
  <si>
    <t>Dickinson, Gail K.</t>
  </si>
  <si>
    <t>Z682.4.S34 -- D53 2005eb</t>
  </si>
  <si>
    <t>School librarians -- Certification -- Standards -- United States. ; Instructional materials personnel -- Certification -- Standards -- United States. ; Media programs (Education) -- United States.</t>
  </si>
  <si>
    <t>Creating the Full-Service Homework Center in Your Library</t>
  </si>
  <si>
    <t>Mediavilla, Cindy</t>
  </si>
  <si>
    <t>Z718.7 -- .M44 2001eb</t>
  </si>
  <si>
    <t>Homework centers in libraries -- United States. ; Homework -- United States -- Library resources. ; Latchkey children -- Services for -- United States. ; Libraries and students -- United States.</t>
  </si>
  <si>
    <t>More Outstanding Books for the College Bound</t>
  </si>
  <si>
    <t>Young Adult Library Services Association;Waddle, Linda</t>
  </si>
  <si>
    <t>Z1039.C65 -- M67 2006eb</t>
  </si>
  <si>
    <t>028/.9</t>
  </si>
  <si>
    <t>College students -- Books and reading -- United States. ; Best books -- United States.</t>
  </si>
  <si>
    <t>Picture Books Plus : 100 Extension Activities in Art, Drama, Music, Math, and Science</t>
  </si>
  <si>
    <t>Nespeca, Sue McCleaf;Reeve, Joan B.</t>
  </si>
  <si>
    <t>LB1044.9.P49 -- N47 2003eb</t>
  </si>
  <si>
    <t>Picture books for children -- Educational aspects. ; Education, Elementary -- Activity programs. ; School children -- Books and reading.</t>
  </si>
  <si>
    <t>Books in Bloom : Creative Patterns and Props That Bring Stories to Life</t>
  </si>
  <si>
    <t>Faurot, Kimberly K.</t>
  </si>
  <si>
    <t>Z718.3 -- .F38 2003eb</t>
  </si>
  <si>
    <t>027.62/51</t>
  </si>
  <si>
    <t>Storytelling -- United States. ; Children''s libraries -- Activity programs -- United States. ; Libraries and puppets -- United States. ; Storytelling -- United States -- Audio-visual aids.</t>
  </si>
  <si>
    <t>Teaching Banned Books : 12 Guides for Young Readers</t>
  </si>
  <si>
    <t>Scales, Pat R.;Blume, Judy</t>
  </si>
  <si>
    <t>Z1019 -- .S33 2001eb</t>
  </si>
  <si>
    <t>098/.1/071</t>
  </si>
  <si>
    <t>Challenged books -- United States. ; Children''s literature, American -- Study and teaching (Middle school) -- United States. ; Freedom of speech -- Study and teaching (Middle school) -- United States. ; Middle school libraries -- Activity programs -- United States. ; Middle school students -- Books and reading -- United States.</t>
  </si>
  <si>
    <t>Collaborative Strategies for Teaching Reading Comprehension : Maximizing Your Impact</t>
  </si>
  <si>
    <t>Moreillon, Judi</t>
  </si>
  <si>
    <t>LB1050.45 -- .M667 2007eb</t>
  </si>
  <si>
    <t>Reading comprehension -- Study and teaching. ; Lesson planning.</t>
  </si>
  <si>
    <t>Censorship and Selection : Issues and Answers for Schools</t>
  </si>
  <si>
    <t>Reichman, Henry;American Library Association</t>
  </si>
  <si>
    <t>Z675.S3 -- R42 2001eb</t>
  </si>
  <si>
    <t>025.2/1878/0973</t>
  </si>
  <si>
    <t>School libraries -- Censorship -- United States. ; School libraries -- Book selection -- United States. ; School libraries -- Collection development -- United States. ; Education -- Curricula -- Censorship -- United States. ; Student publications -- Censorship -- United States. ; Children''s literature -- Censorship -- United States. ; Educational law and legislation -- United States.</t>
  </si>
  <si>
    <t>5-Star Programming and Services for Your 55+ Library Customers</t>
  </si>
  <si>
    <t>Mates, Barbara T.</t>
  </si>
  <si>
    <t>Z711.92.A35 -- M38 2003eb</t>
  </si>
  <si>
    <t>027.6/22</t>
  </si>
  <si>
    <t>Libraries and older people -- United States. ; Adult services in public libraries -- United States.</t>
  </si>
  <si>
    <t>Action Plan for Outcomes Assessment in Your Library</t>
  </si>
  <si>
    <t>Hernon, Peter;Dugan, Robert E.</t>
  </si>
  <si>
    <t>Z675.U5 -- H54 2002eb</t>
  </si>
  <si>
    <t>027.7/0973</t>
  </si>
  <si>
    <t>Academic libraries -- United States -- Evaluation. ; Universities and colleges -- Accreditation -- United States. ; Competency-based education -- United States.</t>
  </si>
  <si>
    <t>Adult Programs in the Library</t>
  </si>
  <si>
    <t>Lear, Brett W.</t>
  </si>
  <si>
    <t>027.6/2</t>
  </si>
  <si>
    <t>Adult services in public libraries -- United States. ; Libraries -- Cultural programs -- United States. ; Libraries and community -- United States.</t>
  </si>
  <si>
    <t>Information Literacy Assessment : Standards-Based Tools and Assignments</t>
  </si>
  <si>
    <t>Neely, Teresa Y.;Rader, Hannelore B.</t>
  </si>
  <si>
    <t>ZA3075 -- .N435 2006eb</t>
  </si>
  <si>
    <t>Information literacy -- Standards. ; Information literacy -- Study and teaching (Higher) ; Information literacy -- Ability testing. ; Library orientation for college students -- Evaluation.</t>
  </si>
  <si>
    <t>Creating the One-Shot Library Workshop : A Step-by-Step Guide</t>
  </si>
  <si>
    <t>Veldof, Jerilyn</t>
  </si>
  <si>
    <t>Z711.2 -- .V46 2006eb</t>
  </si>
  <si>
    <t>Library orientation. ; Library institutes and workshops.</t>
  </si>
  <si>
    <t>Ain't Nobody be Learnin Nothin : The Fraud and the Fix for High-Poverty Schools</t>
  </si>
  <si>
    <t>Rossiter, Caleb S.</t>
  </si>
  <si>
    <t>LC4091 -- .R675 2015eb</t>
  </si>
  <si>
    <t>Poor children -- Education -- United States. ; Children with social disabilities -- Education -- United States. ; Poverty -- United States. ; Academic achievement -- United States. ; School improvement programs -- United States.</t>
  </si>
  <si>
    <t>Brief Introduction to Piaget</t>
  </si>
  <si>
    <t>Agathon Press</t>
  </si>
  <si>
    <t>Isaacs, Nathan;Lawrence, Evelyn</t>
  </si>
  <si>
    <t>LB775.P49 -- .I833 2015eb</t>
  </si>
  <si>
    <t>Piaget, Jean, -- 1896-1980.</t>
  </si>
  <si>
    <t>Archiving should be just like an Apple, en acht andere, nuttige (?) stellingen</t>
  </si>
  <si>
    <t>Bussel, G.J. van</t>
  </si>
  <si>
    <t>CD972.B87 2012</t>
  </si>
  <si>
    <t>Archives.</t>
  </si>
  <si>
    <t>Facing Epistemic Uncertainty : Characteristics, possibilities, and limitations of a dynamic discursive approach to philosophy of education</t>
  </si>
  <si>
    <t>Goor, Roel van</t>
  </si>
  <si>
    <t>Uva Proefschriften</t>
  </si>
  <si>
    <t>LB14.7.G66 2012</t>
  </si>
  <si>
    <t>Differentiation in Practice : A Resource Guide for Differentiating Curriculum, Grades 5-9</t>
  </si>
  <si>
    <t>Association for Supervision &amp; Curriculum Development (ASCD)</t>
  </si>
  <si>
    <t>Tomlinson, Carol Ann;Eidson, Caroline Cunningham</t>
  </si>
  <si>
    <t>LB1623.5 -- .T66 2003eb</t>
  </si>
  <si>
    <t>Middle school education -- Curricula -- United States. ; Ability grouping in education -- United States.</t>
  </si>
  <si>
    <t>Truth about Testing : An Educator's Call to Action</t>
  </si>
  <si>
    <t>Popham, James</t>
  </si>
  <si>
    <t>LB3051.P67 2001</t>
  </si>
  <si>
    <t>Educational tests and measurements--United States.</t>
  </si>
  <si>
    <t>Teaching to the Brains Natural Learning Systems</t>
  </si>
  <si>
    <t>Given, Barbara</t>
  </si>
  <si>
    <t>LB1060.G58 2002</t>
  </si>
  <si>
    <t>Becoming a Better Teacher : Eight Innovations That Work</t>
  </si>
  <si>
    <t>LB1025.3 -- .M3374 2000eb</t>
  </si>
  <si>
    <t>Effective teaching. ; Curriculum planning. ; Educational tests and measurements.</t>
  </si>
  <si>
    <t>Teachers Guide to Working with Paraeducators and Other Classroom Aides</t>
  </si>
  <si>
    <t>Morgan, Jill;Ashbaker, Betty</t>
  </si>
  <si>
    <t>LB2844.1.A8.M66 2001</t>
  </si>
  <si>
    <t>Teachers' assistants--United States--Handbooks, manuals, etc.</t>
  </si>
  <si>
    <t>The Respectful School : How Educators and Students Can Conquer Hate and Harassment</t>
  </si>
  <si>
    <t>Wessler, Stephen;Preble, William</t>
  </si>
  <si>
    <t>LB3013.3 -- .W47 2003eb</t>
  </si>
  <si>
    <t>School violence -- United States -- Prevention. ; Bullying in schools -- United States -- Prevention. ; School environment -- United States.</t>
  </si>
  <si>
    <t>Enhancing Student Achievement : A Framework for School Improvement</t>
  </si>
  <si>
    <t>LB2822.8 -- .D37 2002eb</t>
  </si>
  <si>
    <t>School improvement programs. ; Academic achievement.</t>
  </si>
  <si>
    <t>Differentiation in Practice : A Resource Guide for Differentiating Curriculum, Grades K-5</t>
  </si>
  <si>
    <t>LB1570 -- .T593 2003eb</t>
  </si>
  <si>
    <t>Education, Elementary -- Curricula -- United States. ; Individualized instruction -- United States.</t>
  </si>
  <si>
    <t>The New Basics : Education and the Future of Work in the Telematic Age</t>
  </si>
  <si>
    <t>LB1028.3 -- .T56 2002eb</t>
  </si>
  <si>
    <t>Education -- Effect of technological innovations on. ; Labor supply -- Effect of technological innovations on.</t>
  </si>
  <si>
    <t>The Portfolio Organizer : Succeeding with Portfolios in Your Classroom</t>
  </si>
  <si>
    <t>Rolheiser, Carol;Bower, Barbara;Stevahn, Laurie</t>
  </si>
  <si>
    <t>LB1029.P67 -- R65 2000eb</t>
  </si>
  <si>
    <t>Portfolios in education. ; Teaching -- Aids and devices.</t>
  </si>
  <si>
    <t>The Brain-Compatible Classroom : Using What We Know about Learning to Improve Teaching</t>
  </si>
  <si>
    <t>Erlauer, Laura</t>
  </si>
  <si>
    <t>LB1060 -- .E75 2003eb</t>
  </si>
  <si>
    <t>Finding Your Leadership Style : A Guide for Educators</t>
  </si>
  <si>
    <t>Glanz, Jeffrey</t>
  </si>
  <si>
    <t>LB2806.4 -- .G5317 2002eb</t>
  </si>
  <si>
    <t>Educational leadership -- Handbooks, manuals, etc. ; Educators -- United States -- Handbooks, manuals, etc. ; School supervision -- United States -- Handbooks, manuals, etc.</t>
  </si>
  <si>
    <t>Honoring Diverse Teaching Styles : A Guide for Supervisors</t>
  </si>
  <si>
    <t>Pajak, Edward</t>
  </si>
  <si>
    <t>LB2806.4 -- .P355 2003eb</t>
  </si>
  <si>
    <t>School supervision -- United States. ; Effective teaching -- United States. ; Teachers -- In-service training -- United States.</t>
  </si>
  <si>
    <t>Teacher Evaluation to Enhance Professional Practice</t>
  </si>
  <si>
    <t>Danielson, Charlotte;McGreal, Thomas L.</t>
  </si>
  <si>
    <t>LB2838 -- .D26 2000eb</t>
  </si>
  <si>
    <t>Teachers -- Rating of -- United States. ; Teaching -- United States -- Evaluation. ; Electronic books.</t>
  </si>
  <si>
    <t>Connecting Character to Conduct</t>
  </si>
  <si>
    <t>Stein, Rita;Richin, Roberta;Banyon, Richard</t>
  </si>
  <si>
    <t>LC311.C63 2000</t>
  </si>
  <si>
    <t>Character--Study and teaching--United States.</t>
  </si>
  <si>
    <t>Schooling for Life : Reclaiming the Essence of Learning</t>
  </si>
  <si>
    <t>Brooks, Jacqueline Grennon</t>
  </si>
  <si>
    <t>LB1590.3 -- .B753 2002eb</t>
  </si>
  <si>
    <t>Thought and thinking -- Study and teaching -- United States. ; Constructivism (Education) -- United States. ; Active learning -- United States.</t>
  </si>
  <si>
    <t>Leadership for Differentiating Schools and Classrooms</t>
  </si>
  <si>
    <t>Tomlinson, Carol Ann;Allan, Susan Demirsky</t>
  </si>
  <si>
    <t>Connecting with Students</t>
  </si>
  <si>
    <t>Mendler, Allen N.</t>
  </si>
  <si>
    <t>LB1033 -- .M415 2001eb</t>
  </si>
  <si>
    <t>Teacher-student relationships. ; Classroom management.</t>
  </si>
  <si>
    <t>How to Conduct Collaborative Action Research</t>
  </si>
  <si>
    <t>Sagor, Richard</t>
  </si>
  <si>
    <t>LB1028.25.U6 -- S24 1992eb</t>
  </si>
  <si>
    <t>370/.78/073</t>
  </si>
  <si>
    <t>Action research in education -- United States -- Methodology. ; Education -- Research.</t>
  </si>
  <si>
    <t>Increasing Student Learning Through Multimedia Projects</t>
  </si>
  <si>
    <t>Simkins, Michael;Cole, Karen;Tavalin, Fern;Means, Barbara</t>
  </si>
  <si>
    <t>LB1028.4 -- .I53 2002eb</t>
  </si>
  <si>
    <t>371.33/5</t>
  </si>
  <si>
    <t>Media programs (Education) -- United States. ; Interactive multimedia -- United States. ; Project method in teaching -- United States.</t>
  </si>
  <si>
    <t>Succeeding with Standards : Linking Curriculum, Assessment, and Action Planning</t>
  </si>
  <si>
    <t>Carr, Judy F.;Harris, Douglas E.</t>
  </si>
  <si>
    <t>LB3060.83 -- .C37 2001eb</t>
  </si>
  <si>
    <t>Education -- Standards -- United States. ; Curriculum planning -- United States. ; Educational tests and measurements -- United States. ; Electronic books.</t>
  </si>
  <si>
    <t>Leadership Capacity for Lasting School Improvement</t>
  </si>
  <si>
    <t>Lambert, Linda</t>
  </si>
  <si>
    <t>LB2805 -- .L28 2003eb</t>
  </si>
  <si>
    <t>Educational leadership -- United States. ; Teacher participation in administration -- United States. ; School improvement programs -- United States.</t>
  </si>
  <si>
    <t>How to Help Beginning Teachers Succeed</t>
  </si>
  <si>
    <t>Gordon, Stephen P.;Maxey, Susan</t>
  </si>
  <si>
    <t>LB2844.1.N4 -- G67 2000eb</t>
  </si>
  <si>
    <t>First year teachers -- United States -- Handbooks, manuals, etc. ; School management and organization -- United States.</t>
  </si>
  <si>
    <t>Energizing Teacher Education and Professional Development with Problem-Based Learning</t>
  </si>
  <si>
    <t>Levin, Barbara</t>
  </si>
  <si>
    <t>LB1027.42 -- .E54 2001eb</t>
  </si>
  <si>
    <t>378/.0071</t>
  </si>
  <si>
    <t>Problem-based learning -- United States -- Case studies. ; Teachers -- Training of -- United States -- Case studies.</t>
  </si>
  <si>
    <t>Problems As Possibilities : Problem-Based Learning for K-16 Education</t>
  </si>
  <si>
    <t>Torp, Linda;Sage, Sara</t>
  </si>
  <si>
    <t>LB1027.42 -- .T67 2002eb</t>
  </si>
  <si>
    <t>Problem-based learning. ; Curriculum planning.</t>
  </si>
  <si>
    <t>Better Beginning : Supporting and Mentoring New Teachers</t>
  </si>
  <si>
    <t>LB2844.1.N4 -- B48 1999eb</t>
  </si>
  <si>
    <t>First year teachers -- United States. ; Mentoring in education -- United States. ; Electronic books.</t>
  </si>
  <si>
    <t>Lessons from Exceptional School Leaders</t>
  </si>
  <si>
    <t>Goldberg, Mark</t>
  </si>
  <si>
    <t>LB2822.82.G63 2001</t>
  </si>
  <si>
    <t>School improvement programs--United States.</t>
  </si>
  <si>
    <t>How to Prepare for and Respond to a Crisis</t>
  </si>
  <si>
    <t>Lichtenstein, Robert;Schonfeld, David J.;Pruett, Marsha Kline</t>
  </si>
  <si>
    <t>LB2866.5 -- .H68 2002eb</t>
  </si>
  <si>
    <t>371.7/7</t>
  </si>
  <si>
    <t>School crisis management -- United States. ; Crisis intervention (Mental health services) -- United States. ; School psychology -- United States.</t>
  </si>
  <si>
    <t>Effective Teacher Hiring : A Guide to Getting the Best</t>
  </si>
  <si>
    <t>Peterson, Kenneth D.</t>
  </si>
  <si>
    <t>LB2835.25 -- .P48 2002eb</t>
  </si>
  <si>
    <t>331.7/6113711/00973</t>
  </si>
  <si>
    <t>Teachers -- Selection and appointment -- United States. ; Education.</t>
  </si>
  <si>
    <t>Educating Oppositional and Defiant Children</t>
  </si>
  <si>
    <t>Hall, Philip S.;Hall, Nancy D.</t>
  </si>
  <si>
    <t>LC4802 -- .H34 2003eb</t>
  </si>
  <si>
    <t>Problem children -- Education -- United States. ; Classroom management -- United States.</t>
  </si>
  <si>
    <t>Preventing Early Learning Failure</t>
  </si>
  <si>
    <t>Sornson, Bob</t>
  </si>
  <si>
    <t>LB1139.23.P74 2001</t>
  </si>
  <si>
    <t>Student Achievement Through Staff Development</t>
  </si>
  <si>
    <t>Joyce, Bruce;Showers, Beverly</t>
  </si>
  <si>
    <t>LB1731.J69 2002</t>
  </si>
  <si>
    <t>Teachers--In-service training--United States.</t>
  </si>
  <si>
    <t>How to Differentiate Instruction in Mixed-Ability Classrooms</t>
  </si>
  <si>
    <t>LB3061.3.T65 2001</t>
  </si>
  <si>
    <t>Mixed ability grouping in education--United States.</t>
  </si>
  <si>
    <t>Arts with the Brain in Mind</t>
  </si>
  <si>
    <t>Developing More Curious Minds</t>
  </si>
  <si>
    <t>Barell, John</t>
  </si>
  <si>
    <t>LB1027.44 -- .B37 2003eb</t>
  </si>
  <si>
    <t>Questioning. ; Critical thinking. ; Problem-based learning.</t>
  </si>
  <si>
    <t>LB1060 -- .W63 2001eb</t>
  </si>
  <si>
    <t>Learning, Psychology of. ; Learning -- Physiological aspects. ; Brain.</t>
  </si>
  <si>
    <t>Results Fieldbook : Practical Strategies from Dramatically Improved Schools</t>
  </si>
  <si>
    <t>LB2822.82 -- .S354 2001eb</t>
  </si>
  <si>
    <t>School improvement programs -- United States -- Case studies. ; School management and organization -- United States -- Case studies. ; Electronic books.</t>
  </si>
  <si>
    <t>Analytic Processes for School Leaders</t>
  </si>
  <si>
    <t>Richetti, Cynthia T.;Tregoe, Benjamin B.</t>
  </si>
  <si>
    <t>Math Wonders to Inspire Teachers and Students</t>
  </si>
  <si>
    <t>Posamentier, Alfred</t>
  </si>
  <si>
    <t>QA11.2.P64 2003</t>
  </si>
  <si>
    <t>Mathematics--Study and teaching.</t>
  </si>
  <si>
    <t>Powerful Learning</t>
  </si>
  <si>
    <t>Brandt, Ron</t>
  </si>
  <si>
    <t>LB1060 -- .B73 1998eb</t>
  </si>
  <si>
    <t>Learning, Psychology of. ; Learning -- Social aspects -- United States. ; School management and organization -- United States. ; Electronic books.</t>
  </si>
  <si>
    <t>Inclusive Schools in Action : Making Differences Ordinary</t>
  </si>
  <si>
    <t>McLeskey, James;Waldron, Nancy</t>
  </si>
  <si>
    <t>LC1201 -- .M39 2000eb</t>
  </si>
  <si>
    <t>Inclusive education -- United States. ; Education.</t>
  </si>
  <si>
    <t>Test Better, Teach Better : The Instructional Role of Assessment</t>
  </si>
  <si>
    <t>LB3051 -- .P61433 2003eb</t>
  </si>
  <si>
    <t>Educational tests and measurements. ; Examinations. ; Effective teaching.</t>
  </si>
  <si>
    <t>Principals and Student Achievement : What the Research Says</t>
  </si>
  <si>
    <t>Cotton, Kathleen</t>
  </si>
  <si>
    <t>LB2831.93 -- .C68 2003eb</t>
  </si>
  <si>
    <t>School principals -- United States. ; Academic achievement -- United States. ; Educational accountability -- United States.</t>
  </si>
  <si>
    <t>Literacy Leadership for Grades 5-12</t>
  </si>
  <si>
    <t>Taylor, Rosemarye;Collins, Valerie Doyle</t>
  </si>
  <si>
    <t>LB1631 -- .T245 2003eb</t>
  </si>
  <si>
    <t>Language arts (Middle school) -- United States. ; Language arts (Secondary) -- United States. ; School administrators -- United States.</t>
  </si>
  <si>
    <t>The Key Elements of Classroom Management : Managing Time and Space, Student Behavior, and Instructional Strategies</t>
  </si>
  <si>
    <t>McLeod, Joyce;Fisher, Jan;Hoover, Ginny</t>
  </si>
  <si>
    <t>LB3013 -- .M386 2003eb</t>
  </si>
  <si>
    <t>Classroom Management That Works : Research-Based Strategies for Every Teacher</t>
  </si>
  <si>
    <t>Marzano, Robert J.;Marzano, Jana S.;Pickering, Debra</t>
  </si>
  <si>
    <t>LB3013 -- .M365 2003eb</t>
  </si>
  <si>
    <t>Classroom management -- United States. ; Effective teaching -- United States.</t>
  </si>
  <si>
    <t>Keeping Good Teachers</t>
  </si>
  <si>
    <t>Scherer, Marge;Scherer, Marge</t>
  </si>
  <si>
    <t>LB1715 -- .K34 2003eb</t>
  </si>
  <si>
    <t>Teachers -- Training of -- United States. ; Teachers -- In-service training -- United States. ; Mentoring in education -- United States. ; Electronic books.</t>
  </si>
  <si>
    <t>What Works in Schools : Translating Research into Action</t>
  </si>
  <si>
    <t>Closing the Achievement Gap : A Vision for Changing Beliefs and Practices</t>
  </si>
  <si>
    <t>Williams, Belinda</t>
  </si>
  <si>
    <t>LC4091 -- .C56 2003eb</t>
  </si>
  <si>
    <t>370/.91732</t>
  </si>
  <si>
    <t>Children with social disabilities -- Education -- United States. ; Education, Urban -- Social aspects -- United States. ; Academic achievement -- United States. ; Educational change -- United States.</t>
  </si>
  <si>
    <t>The Threads of Reading : Strategies for Literacy Development</t>
  </si>
  <si>
    <t>Tankersley, Karen</t>
  </si>
  <si>
    <t>LB1050 -- .T27 2003eb</t>
  </si>
  <si>
    <t>Reading. ; Literacy.</t>
  </si>
  <si>
    <t>Staffing the Principalship : Finding, Coaching, and Mentoring School Leaders</t>
  </si>
  <si>
    <t>LB2831.93 -- .L68 2004eb</t>
  </si>
  <si>
    <t>School principals -- In-service training -- United States. ; School principals -- Recruiting -- United States. ; School principals -- Job satisfaction -- United States. ; Mentoring in education -- United States.</t>
  </si>
  <si>
    <t>ASCD 1984–2004 : Defining Moments, Future Prospects</t>
  </si>
  <si>
    <t>L13.A6953 -- A87 2004eb</t>
  </si>
  <si>
    <t>371.2/03/06073</t>
  </si>
  <si>
    <t>Association for Supervision and Curriculum Development -- History. ; Education.</t>
  </si>
  <si>
    <t>Meeting Standards Through Integrated Curriculum</t>
  </si>
  <si>
    <t>Drake, Susan;Burns, Rebecca</t>
  </si>
  <si>
    <t>LB1570 -- .D697 2004eb</t>
  </si>
  <si>
    <t>Education -- Curricula -- United States. ; Interdisciplinary approach in education -- United States. ; Education -- Standards -- United States. ; Electronic books.</t>
  </si>
  <si>
    <t>Building Shared Responsibility for Student Learning</t>
  </si>
  <si>
    <t>O'Neill, Jan;Conzemius, Anne</t>
  </si>
  <si>
    <t>LB2822.8 -- .C66 2001eb</t>
  </si>
  <si>
    <t>School improvement programs. ; School environment. ; Group work in education.</t>
  </si>
  <si>
    <t>The School Law Handbook : What Every Leader Needs to Know</t>
  </si>
  <si>
    <t>Bosher Jr., William C.;Kaminski, Kate R.;Vacca, Richard S.</t>
  </si>
  <si>
    <t>KF4119 -- .B67 2004eb</t>
  </si>
  <si>
    <t>Educational law and legislation -- United States. ; Public schools -- Curricula -- United States.</t>
  </si>
  <si>
    <t>Totally Positive Teaching : A Five-Stage Approach to Energizing Students and Teachers</t>
  </si>
  <si>
    <t>Ciaccio, Joseph;Association for Supervision and Curriculum Development Staff</t>
  </si>
  <si>
    <t>LB1065 -- .C52 2004eb</t>
  </si>
  <si>
    <t>Motivation in education. ; Teaching.</t>
  </si>
  <si>
    <t>New Principal's Fieldbook : Strategies for Success</t>
  </si>
  <si>
    <t>Robbins, Pam;Alvy, Harvey;Association for Supervision and Curriculum Development Staff</t>
  </si>
  <si>
    <t>LB2831.93 -- .R63 2004eb</t>
  </si>
  <si>
    <t>First year school principals -- United States -- Handbooks, manuals, etc. ; School management and organization -- United States -- Handbooks, manuals, etc.</t>
  </si>
  <si>
    <t>Making the Most of Understanding by Design</t>
  </si>
  <si>
    <t>Brown, John L.</t>
  </si>
  <si>
    <t>LB2806.15 -- .B77 2004eb</t>
  </si>
  <si>
    <t>Wiggins, Grant P., -- 1950- -- Understanding by design. ; Curriculum planning -- United States. ; Curriculum-based assessment -- United States. ; Learning. ; Comprehension. ; Electronic books.</t>
  </si>
  <si>
    <t>The Technology Fix : The Promise and Reality of Computers in Our Schools</t>
  </si>
  <si>
    <t>Pflaum, William D.</t>
  </si>
  <si>
    <t>371.33/4/0973</t>
  </si>
  <si>
    <t>How to Mentor in the Midst of Change</t>
  </si>
  <si>
    <t>Sullivan, Cheryl Granade</t>
  </si>
  <si>
    <t>LB1731.4 -- .S85 2004eb</t>
  </si>
  <si>
    <t>371.102/0973</t>
  </si>
  <si>
    <t>Mentoring in education -- United States. ; Teacher orientation -- United States. ; Teachers -- In-service training -- United States. ; School administrators -- In-service training -- United States.</t>
  </si>
  <si>
    <t>The Classroom of Choice : Giving Students What They Need and Getting What You Want</t>
  </si>
  <si>
    <t>LB3013 -- .E73 2004eb</t>
  </si>
  <si>
    <t>Classroom management. ; Motivation in education.</t>
  </si>
  <si>
    <t>Transforming Schools : Creating a Culture of Continuous Improvement</t>
  </si>
  <si>
    <t>Zmuda, Allison;Kuklis, Robert;Kline, Everett</t>
  </si>
  <si>
    <t>LB1731 -- .Z62 2004eb</t>
  </si>
  <si>
    <t>Teachers -- In-service training. ; School improvement programs.</t>
  </si>
  <si>
    <t>Teacher-Centered Professional Development</t>
  </si>
  <si>
    <t>Diaz-Maggioli, Gabriel</t>
  </si>
  <si>
    <t>LB1731 -- .D53 2004eb</t>
  </si>
  <si>
    <t>Teachers -- In-service training -- United States. ; Teachers -- United States.</t>
  </si>
  <si>
    <t>Education and Public Health : Natural Partners in Learning for Life</t>
  </si>
  <si>
    <t>Smith, Jenny</t>
  </si>
  <si>
    <t>LB1587.S65 2003</t>
  </si>
  <si>
    <t>Health education--United States.</t>
  </si>
  <si>
    <t>Teachers Wanted : Attracting and Retaining Good Teachers</t>
  </si>
  <si>
    <t>Heller, Daniel A.</t>
  </si>
  <si>
    <t>LB2835.25 -- .H45 2004eb</t>
  </si>
  <si>
    <t>Teachers -- Recruiting -- United States. ; Teacher turnover -- United States -- Prevention. ; Teachers -- Training of -- United States.</t>
  </si>
  <si>
    <t>Using the Internet to Strengthen Curriculum</t>
  </si>
  <si>
    <t>Lewin, Larry</t>
  </si>
  <si>
    <t>LB1044.87.L498 2001</t>
  </si>
  <si>
    <t>Internet in education--United States.</t>
  </si>
  <si>
    <t>Bullying and Harassment : A Legal Guide for Educators</t>
  </si>
  <si>
    <t>Conn, Kathleen</t>
  </si>
  <si>
    <t>KF4155 -- .C66 2004eb</t>
  </si>
  <si>
    <t>344.73/079</t>
  </si>
  <si>
    <t>Sexual harassment in education -- Law and legislation -- United States. ; Bullying in schools -- United States.</t>
  </si>
  <si>
    <t>Building Background Knowledge for Academic Achievement : Research on What Works in Schools</t>
  </si>
  <si>
    <t>371.2/03/0973</t>
  </si>
  <si>
    <t>Getting Results with Curriculum Mapping</t>
  </si>
  <si>
    <t>LB2806.15.G48 2004</t>
  </si>
  <si>
    <t>Teacher participation in curriculum planning--United States.</t>
  </si>
  <si>
    <t>Becoming a Multiple Intelligences School</t>
  </si>
  <si>
    <t>Hoerr, Thomas R.</t>
  </si>
  <si>
    <t>LB1060 -- .H62 2000eb</t>
  </si>
  <si>
    <t>New City School (Saint Louis, Mo.) ; Multiple intelligences -- Case studies. ; Cognitive styles in children -- Case studies. ; Curriculum planning -- Case studies. ; Electronic books.</t>
  </si>
  <si>
    <t>Promises Kept : Sustaining School and District Leadership in a Turbulent Era</t>
  </si>
  <si>
    <t>Gross, Steven Jay</t>
  </si>
  <si>
    <t>LB2805 -- .G77 2004eb</t>
  </si>
  <si>
    <t>The Big Picture : Education Is Everyone's Business</t>
  </si>
  <si>
    <t>Littky, Dennis;Grabelle, Samantha</t>
  </si>
  <si>
    <t>LB14.7 -- .L58 2004eb</t>
  </si>
  <si>
    <t>Education -- Aims and objectives -- United States. ; Student-centered learning -- United States. ; Effective teaching -- United States. ; School environment -- United States.</t>
  </si>
  <si>
    <t>In There with the Kids : Crafting Lessons That Connect with Students, 2nd Ed</t>
  </si>
  <si>
    <t>Kobrin, David</t>
  </si>
  <si>
    <t>LB1025.3.K63 2004</t>
  </si>
  <si>
    <t>The First Amendment in Schools : A Guide from the First Amendment Center</t>
  </si>
  <si>
    <t>Haynes, Charles C.;Chaltain, Sam;Ferguson, John E., Jr.;Hudson, David L., Jr.;Thomas, Oliver</t>
  </si>
  <si>
    <t>KF4124.5.F57 2003</t>
  </si>
  <si>
    <t>342.73/085</t>
  </si>
  <si>
    <t>Educational law and legislation--United States.</t>
  </si>
  <si>
    <t>Promoting Social and Emotional Learning : Guidelines for Educators</t>
  </si>
  <si>
    <t>Elias, Maurice;Zins, Joseph;Weissberg, Roger P.;Frey, Karin S;Greenberg, Mark T;Haynes, Norris M</t>
  </si>
  <si>
    <t>LB1072 -- .P76 1997eb</t>
  </si>
  <si>
    <t>Affective education -- United States. ; Social skills -- Study and teaching -- United States. ; Emotions -- Study and teaching -- United States. ; Electronic books.</t>
  </si>
  <si>
    <t>Building Learning Communities with Character : How to Integrate Academic, Social, and Emotional Learning</t>
  </si>
  <si>
    <t>Novick, Bernard;Kress, Jeffrey;Elias, Maurice J.;Novick, Bernard</t>
  </si>
  <si>
    <t>LB1072 -- .N68 2002eb</t>
  </si>
  <si>
    <t>Affective education. ; Social learning. ; Character -- Study and teaching.</t>
  </si>
  <si>
    <t>Linking Teacher Evaluation and Student Learning</t>
  </si>
  <si>
    <t>Tucker, Pamela D.;Stronge, James H.</t>
  </si>
  <si>
    <t>LB2838 -- .T73 2005eb</t>
  </si>
  <si>
    <t>Teachers -- Rating of -- United States -- Case studies. ; Teacher effectiveness -- United States -- Case studies. ; Academic achievement -- United States -- Case studies.</t>
  </si>
  <si>
    <t>Creating an Inclusive School</t>
  </si>
  <si>
    <t>Villa, Richard A.;Thousand, Jacqueline S.</t>
  </si>
  <si>
    <t>LC4031 -- .C74 2005eb</t>
  </si>
  <si>
    <t>Children with disabilities -- Education -- United States. ; Mainstreaming in education -- United States. ; School management and organization -- United States.</t>
  </si>
  <si>
    <t>In Search of Understanding : The Case for Constructivist Classrooms, with a new introduction by the authors</t>
  </si>
  <si>
    <t>Brooks, Jacqueline Grennon;Brooks, Martin G.</t>
  </si>
  <si>
    <t>LB1590.3 -- .B75 1999eb</t>
  </si>
  <si>
    <t>Constructivism (Education) ; Cognition in children -- United States. ; Active learning -- United States. ; Thought and thinking -- Study and teaching -- United States.</t>
  </si>
  <si>
    <t>How to Teach So Students Remember</t>
  </si>
  <si>
    <t>LB1027 -- .S685 2005eb</t>
  </si>
  <si>
    <t>Teaching. ; Learning. ; Memory.</t>
  </si>
  <si>
    <t>Classroom Strategies for Helping At-Risk Students</t>
  </si>
  <si>
    <t>Snow, David R.</t>
  </si>
  <si>
    <t>LC4691 -- .S59 2005eb</t>
  </si>
  <si>
    <t>Underachievers -- Education (Elementary) -- United States. ; Education -- Standards -- United States. ; Remedial teaching -- United States.</t>
  </si>
  <si>
    <t>Understanding by Design</t>
  </si>
  <si>
    <t>374/.001</t>
  </si>
  <si>
    <t>Teaching Writing in the Content Areas</t>
  </si>
  <si>
    <t>Urquhart, Vicki;McIver, Monette</t>
  </si>
  <si>
    <t>LB1576.U74 2005</t>
  </si>
  <si>
    <t>Language arts--Correlation with content subjects.</t>
  </si>
  <si>
    <t>Literacy Strategies for Grades 4-12 : Reinforcing the Threads of Reading</t>
  </si>
  <si>
    <t>LB1573.T26 2005</t>
  </si>
  <si>
    <t>Reading (Elementary)--United States.</t>
  </si>
  <si>
    <t>How to Thrive as a Teacher Leader</t>
  </si>
  <si>
    <t>Gabriel, John G.</t>
  </si>
  <si>
    <t>LB2806.45.G33 2005</t>
  </si>
  <si>
    <t>Teacher participation in administration--United States.</t>
  </si>
  <si>
    <t>Differentiation in Practice : A Resource Guide for Differentiating Curriculum, Grades 9-12</t>
  </si>
  <si>
    <t>Tomlinson, Carol Ann;Strickland, Cindy A.</t>
  </si>
  <si>
    <t>LB1628.5 -- .T66 2005eb</t>
  </si>
  <si>
    <t>Education, Secondary -- Curricula -- United States. ; Ability grouping in education -- United States.</t>
  </si>
  <si>
    <t>Getting the Grant : How Educators Can Write Winning Proposals and Manage Successful Projects</t>
  </si>
  <si>
    <t>Gajda, Rebecca;Tulikangas, Richard</t>
  </si>
  <si>
    <t>LC243.A1G35 2005</t>
  </si>
  <si>
    <t>Educational fund raising -- United States -- Handbooks, manuals, etc. ; Proposal writing for grants -- United States -- Handbooks, manuals, etc. ; Proposal writing in education -- United States -- Handbooks, manuals, etc.</t>
  </si>
  <si>
    <t>From Standards to Success : A Guide for School Leaders</t>
  </si>
  <si>
    <t>O'Shea, Mark R.</t>
  </si>
  <si>
    <t>LB3060.83 -- .O84 2005eb</t>
  </si>
  <si>
    <t>Education -- Standards -- United States -- Handbooks, manuals, etc. ; Curriculum planning -- Standards -- United States -- Handbooks, manuals, etc. ; Educational leadership -- United States.</t>
  </si>
  <si>
    <t>Building Student Literacy Through Sustained Silent Reading</t>
  </si>
  <si>
    <t>Gardiner, Steve</t>
  </si>
  <si>
    <t>LB1050.55 -- .G37 2005eb</t>
  </si>
  <si>
    <t>E</t>
  </si>
  <si>
    <t>Silent reading -- United States. ; Language arts -- United States.</t>
  </si>
  <si>
    <t>Literacy Strategies for Improving Mathematics Instruction</t>
  </si>
  <si>
    <t>Kenney, Joan M.;Hancewicz, Euthecia</t>
  </si>
  <si>
    <t>School Leadership That Works : From Research to Results</t>
  </si>
  <si>
    <t>Marzano, Robert J.;Waters, Timothy</t>
  </si>
  <si>
    <t>Teaching with the Brain in Mind</t>
  </si>
  <si>
    <t>LB1060 -- .J46 2005eb</t>
  </si>
  <si>
    <t>Learning, Psychology of. ; Teaching -- Psychological aspects. ; Brain.</t>
  </si>
  <si>
    <t>The Hero's Journey : How Educators Can Transform Schools and Improve Learning</t>
  </si>
  <si>
    <t>Brown, John L.;Moffett, Cerylle A.</t>
  </si>
  <si>
    <t>Integrating Differentiated Instruction and Understanding by Design : Connecting Content and Kids</t>
  </si>
  <si>
    <t>Tomlinson, Carol Ann;McTighe, Jay</t>
  </si>
  <si>
    <t>Reducing School Violence Through Conflict Resolution</t>
  </si>
  <si>
    <t>Johnson, David;Johnson, Roger</t>
  </si>
  <si>
    <t>LB3013.3 -- .J65 1995eb</t>
  </si>
  <si>
    <t>School violence -- United States -- Prevention. ; Conflict management -- United States. ; Electronic books.</t>
  </si>
  <si>
    <t>The Art of School Leadership</t>
  </si>
  <si>
    <t>Hoerr, Thomas R.;Hoerr, Thomas R.</t>
  </si>
  <si>
    <t>LB2805 -- .H585 2005eb</t>
  </si>
  <si>
    <t>Building Leadership Capacity in Schools</t>
  </si>
  <si>
    <t>LB2805.L26 1998</t>
  </si>
  <si>
    <t>Educational leadership--United States.</t>
  </si>
  <si>
    <t>Awakening Genius in the Classroom</t>
  </si>
  <si>
    <t>Learning and Memory : The Brain in Action</t>
  </si>
  <si>
    <t>Sprenger, Marilee Sprenger</t>
  </si>
  <si>
    <t>LB1057 -- .S67 1999eb</t>
  </si>
  <si>
    <t>Learning, Psychology of. ; Learning -- Physiological aspects. ; Brain. ; Memory. ; Teaching. ; Electronic books.</t>
  </si>
  <si>
    <t>ADD/ADHD Alternatives in the Classroom</t>
  </si>
  <si>
    <t>LC4713.2.A76 1999</t>
  </si>
  <si>
    <t>Attention-deficit-disordered children--Education.</t>
  </si>
  <si>
    <t>How to Create an Independent Research Program</t>
  </si>
  <si>
    <t>Krieger, Melanie Jacobs</t>
  </si>
  <si>
    <t>Q183.3.N72 -- S485 1999eb</t>
  </si>
  <si>
    <t>Science -- Study and teaching (Secondary) -- New York (State) -- Setauket. ; Mathematics -- Study and teaching (Secondary) -- New York (State) -- Setauket. ; Independent study -- New York (State) -- Setauket. ; Electronic books.</t>
  </si>
  <si>
    <t>Capturing the Wisdom of Practice : Professional Portfolios for Educators</t>
  </si>
  <si>
    <t>LB1728 -- .M27 1999eb</t>
  </si>
  <si>
    <t>Teachers -- Rating of -- United States. ; School administrators -- Rating of -- United States. ; Portfolios in education -- United States. ; Electronic books.</t>
  </si>
  <si>
    <t>Multiple Intelligences and Student Achievement : Success Stories from Six Schools</t>
  </si>
  <si>
    <t>Campbell, Lisa;Campbell, Bruce</t>
  </si>
  <si>
    <t>LB1060 -- .C364 1999eb</t>
  </si>
  <si>
    <t>Multiple intelligences. ; Academic achievement. ; Teaching.</t>
  </si>
  <si>
    <t>How to Develop Student Creativity</t>
  </si>
  <si>
    <t>Sternberg, Robert J.;Williams, Wendy M.</t>
  </si>
  <si>
    <t>LB1590.5 -- .S84 1996eb</t>
  </si>
  <si>
    <t>Creative thinking -- Study and teaching. ; Creative ability -- Study and teaching. ; Electronic books.</t>
  </si>
  <si>
    <t>Uncommon Sense : Core Knowledge in the Classroom</t>
  </si>
  <si>
    <t>Mackley, Timm A.</t>
  </si>
  <si>
    <t>LB1570 -- .M323 1999eb</t>
  </si>
  <si>
    <t>375/.000973</t>
  </si>
  <si>
    <t>Education -- Curricula -- United States. ; Teaching -- Aids and devices.</t>
  </si>
  <si>
    <t>How to Use Standards in the Classroom</t>
  </si>
  <si>
    <t>Harris, Douglas E.;Carr, Judy F.</t>
  </si>
  <si>
    <t>LB3060.83 -- .H68 1996eb</t>
  </si>
  <si>
    <t>371.3/9</t>
  </si>
  <si>
    <t>Education -- Standards -- United States. ; Education -- Curricula -- United States. ; Lesson planning -- United States. ; Competency-based education -- United States. ; Electronic books.</t>
  </si>
  <si>
    <t>How to Design an Advisory System for a Secondary School</t>
  </si>
  <si>
    <t>LB1620.5 -- .G65 1998eb</t>
  </si>
  <si>
    <t>373.14/046</t>
  </si>
  <si>
    <t>Counseling in secondary education -- United States. ; Teacher participation in educational counseling -- United States.</t>
  </si>
  <si>
    <t>Lewin, Larry;Shoemaker, Betty Jean</t>
  </si>
  <si>
    <t>LB3051 -- .L462 1998eb</t>
  </si>
  <si>
    <t>Results : The Key to Continuous School Improvement</t>
  </si>
  <si>
    <t>LB2822.82 -- .S35 1999eb</t>
  </si>
  <si>
    <t>School improvement programs -- United States. ; Educational change -- United States. ; Education -- Aims and objectives -- United States.</t>
  </si>
  <si>
    <t>Soul of Education : Helping Students Find Connection, Compassion, and Character at School</t>
  </si>
  <si>
    <t>Kessler, Rachael</t>
  </si>
  <si>
    <t>LB1072 -- .K48 2000eb</t>
  </si>
  <si>
    <t>373.17/82</t>
  </si>
  <si>
    <t>Affective education -- United States. ; Emotions -- Study and teaching (Secondary) -- United States. ; Social skills -- Study and teaching (Secondary) -- United States. ; Education, Secondary -- Activity programs -- United States.</t>
  </si>
  <si>
    <t>Educators As Learners : Creating a Professional Learning Community in Your School</t>
  </si>
  <si>
    <t>Wald, Penelope J.;Castleberry, Michael S.;Castleberry, Michael S.</t>
  </si>
  <si>
    <t>LB1731 -- .E38 2000eb</t>
  </si>
  <si>
    <t>Teachers -- In-service training -- United States -- Case studies. ; Teachers -- Training of.</t>
  </si>
  <si>
    <t>Teaching Beginning Reading and Writing with the Picture Word Inductive Model</t>
  </si>
  <si>
    <t>LB1528 -- .C35 1999eb</t>
  </si>
  <si>
    <t>Language arts (Primary) ; Reading (Primary) ; Reading -- Phonetic method. ; English language -- Composition and exercises -- Study and teaching (Primary) ; Pictures in education.</t>
  </si>
  <si>
    <t>Marching to Different Drummers</t>
  </si>
  <si>
    <t>Guild, Pat Burke;Garger, Stephen</t>
  </si>
  <si>
    <t>LB1060 -- .G85 1998eb</t>
  </si>
  <si>
    <t>Learning. ; Cognition in children. ; Individualized instruction.</t>
  </si>
  <si>
    <t>Guiding School Improvement with Action Research : Ascd</t>
  </si>
  <si>
    <t>Sagor, Richard;Sagor, Richard</t>
  </si>
  <si>
    <t>LB1028.24 -- .S34 2000eb</t>
  </si>
  <si>
    <t>371.2/07/0973</t>
  </si>
  <si>
    <t>Action research in education -- United States -- Methodology. ; School improvement programs -- United States.</t>
  </si>
  <si>
    <t>The Teacher Quality Index : A Protocol for Teacher Selection</t>
  </si>
  <si>
    <t>Stronge, James H.;Hindman, Jennifer L.</t>
  </si>
  <si>
    <t>Teacher Leadership That Strengthens Professional Practice</t>
  </si>
  <si>
    <t>Learning Leader : How to Focus School Improvement for Better Results</t>
  </si>
  <si>
    <t>LB2805 -- .R42 2006eb</t>
  </si>
  <si>
    <t>Educational leadership -- United States. ; Educational accountability -- United States. ; School improvement programs -- United States.</t>
  </si>
  <si>
    <t>Creating Literacy-Rich Schools for Adolescents : Ascd</t>
  </si>
  <si>
    <t>Ivey, Gay;Fisher, Douglas</t>
  </si>
  <si>
    <t>LB1632.I84.I84 2006</t>
  </si>
  <si>
    <t>Learning on Display : Student-Created Museums That Build Understanding</t>
  </si>
  <si>
    <t>D'Acquisto, Linda</t>
  </si>
  <si>
    <t>LB3291.D33 2006</t>
  </si>
  <si>
    <t>School museums--United States.</t>
  </si>
  <si>
    <t>Learning-Driven Schools : A Practical Guide for Teachers and Principals</t>
  </si>
  <si>
    <t>Beers, Barry</t>
  </si>
  <si>
    <t>Teachers as Classroom Coaches : How to Motivate Students Across the Content Areas</t>
  </si>
  <si>
    <t>Stix, Andi;Hrbek, Frank</t>
  </si>
  <si>
    <t>LB1065 -- .S832 2006eb</t>
  </si>
  <si>
    <t>Connecting Leadership with Learning : A Framework for Reflection, Planning, and Action</t>
  </si>
  <si>
    <t>Copland, Michael A.;Knapp, Michael S.</t>
  </si>
  <si>
    <t>Exemplary Practices for Secondary Math Teachers</t>
  </si>
  <si>
    <t>Posamentier, Alfred S.;Jaye, Daniel</t>
  </si>
  <si>
    <t>Fisher, Doug;Frey, Nancy</t>
  </si>
  <si>
    <t>LB3013 -- .F515 2007eb</t>
  </si>
  <si>
    <t>Classroom management. ; Effective teaching.</t>
  </si>
  <si>
    <t>Essentials of World Languages, Grades K–12 : Effective Curriculum, Instruction, and Assessment</t>
  </si>
  <si>
    <t>Jensen, Janis;Sandrock, Paul;Franklin, John</t>
  </si>
  <si>
    <t>P57.U7 -- .J46 2007eb</t>
  </si>
  <si>
    <t>Language and languages -- Study and teaching -- United States.</t>
  </si>
  <si>
    <t>Schooling by Design : Mission, Action, and Achievement</t>
  </si>
  <si>
    <t>EdSpeak : A Glossary of Education Terms, Phrases, Buzzwords, and Jargon</t>
  </si>
  <si>
    <t>Ravitch, Diane</t>
  </si>
  <si>
    <t>LB15 -- .R285 2007eb</t>
  </si>
  <si>
    <t>Education -- United States -- Dictionaries. ; Education -- United States -- Acronyms -- Dictionaries.</t>
  </si>
  <si>
    <t>Art and Science of Teaching : A Comprehensive Framework for Effective Instruction</t>
  </si>
  <si>
    <t>LB1025.3 -- .M3387 2007eb</t>
  </si>
  <si>
    <t>Effective teaching -- United States. ; Classroom management -- United States. ; Teaching -- Aids and devices. ; Learning, Psychology of.</t>
  </si>
  <si>
    <t>Tests That Teach : Using Standardized Tests to Improve Instruction</t>
  </si>
  <si>
    <t>LB3051.T26 2007</t>
  </si>
  <si>
    <t>Priorities in Practice : The Essentials of Social Studies, Grades K-8 : Effective Curriculum, Instruction, and Assessment</t>
  </si>
  <si>
    <t>LB1584 -- .C485 2008eb</t>
  </si>
  <si>
    <t>Social sciences -- Study and teaching (Elementary) ; Social sciences -- Study and teaching (Middle school)</t>
  </si>
  <si>
    <t>Managing Diverse Classrooms : How to Build on Students’ Cultural Strengths</t>
  </si>
  <si>
    <t>Rothstein-Fisch, Carrie;Trumbull, Elise</t>
  </si>
  <si>
    <t>LC1099.3 -- .R68 2008eb</t>
  </si>
  <si>
    <t>Multicultural education -- United States. ; Classroom management -- United States.</t>
  </si>
  <si>
    <t>Differentiated Literacy Coaching : Scaffolding for Student and Teacher Success</t>
  </si>
  <si>
    <t>Moran, Mary-Catherine</t>
  </si>
  <si>
    <t>LB2844.1.R4 -- M67 2007eb</t>
  </si>
  <si>
    <t>Reading teachers -- In-service training. ; Mentoring in education. ; Teaching teams. ; Reading. ; Lesson planning.</t>
  </si>
  <si>
    <t>Getting to Got It! : Helping Struggling Students Learn How to Learn</t>
  </si>
  <si>
    <t>Garner, Betty K.</t>
  </si>
  <si>
    <t>The Educator's Guide to Assessing and Improving School Discipline Programs : Ascd</t>
  </si>
  <si>
    <t>LB3011 -- .B628 2007eb</t>
  </si>
  <si>
    <t>School discipline. ; Classroom management.</t>
  </si>
  <si>
    <t>Strategic Teacher : Selecting the Right Research-Based Strategy for Every Lesson</t>
  </si>
  <si>
    <t>Silver, Harvey F.;Strong, Richard W.;Perini, Matthew J.</t>
  </si>
  <si>
    <t>LB1025.3 -- .S548 2007eb</t>
  </si>
  <si>
    <t>Effective teaching. ; Learning, Psychology of. ; Lesson planning.</t>
  </si>
  <si>
    <t>Priorities in Practice : Essentials of Science, Grades 7-12 : Effective Curriculum, Instruction, and Assessment</t>
  </si>
  <si>
    <t>Q181 -- .A414 2007eb</t>
  </si>
  <si>
    <t>Science -- Study and teaching (Secondary) ; Science -- Study and teaching (Middle school)</t>
  </si>
  <si>
    <t>Engaging the Whole Child : Reflections on Best Practices in Learning, Teaching, and Leadership</t>
  </si>
  <si>
    <t>LB1065 -- .E543 2009eb</t>
  </si>
  <si>
    <t>Motivation in education. ; Learning, Psychology of. ; Academic achievement. ; Learning.</t>
  </si>
  <si>
    <t>Supporting the Whole Child : Reflections on Best Practices in Learning, Teaching, and Leadership</t>
  </si>
  <si>
    <t>LB1065.S87 2009</t>
  </si>
  <si>
    <t>Keeping the Whole Child Healthy and Safe : Reflections on Best Practices in Learning, Teaching, and Leadership</t>
  </si>
  <si>
    <t>Dimensions of Learning Trainer's Manual</t>
  </si>
  <si>
    <t>Marzano, Robert J.;Pickering, Debra J.;Arredondo, Daisy E.</t>
  </si>
  <si>
    <t>HF5549.5.T7.M37 1997</t>
  </si>
  <si>
    <t>Training manuals.</t>
  </si>
  <si>
    <t>Creating a Healthy School Using the Healthy School Report Card : An ASCD Action Tool</t>
  </si>
  <si>
    <t>Lohrmann, David K.</t>
  </si>
  <si>
    <t>LB3409.U5 -- L64 2010eb</t>
  </si>
  <si>
    <t>Reflective Learning in Practice</t>
  </si>
  <si>
    <t>Brockbank, Anne;McGill, Ian;Beech, Professor Nic</t>
  </si>
  <si>
    <t>LB1027.23$b.R43 2002</t>
  </si>
  <si>
    <t>Organizational learning</t>
  </si>
  <si>
    <t>Team-Based Learning</t>
  </si>
  <si>
    <t>Gower Publishing Limited</t>
  </si>
  <si>
    <t>Hills, Howard</t>
  </si>
  <si>
    <t>LB1032 -- .H56 2001eb</t>
  </si>
  <si>
    <t>Team learning approach in education. ; Classroom management.</t>
  </si>
  <si>
    <t>How to Plan and Manage an E-Learning Programme</t>
  </si>
  <si>
    <t>Lewis, Roger;Whitlock, Quentin A.</t>
  </si>
  <si>
    <t>LB1028.43 -- .L48 2003eb</t>
  </si>
  <si>
    <t>Education -- Data processing. ; Training -- Data processing.</t>
  </si>
  <si>
    <t>Graduate Recruitment Manual</t>
  </si>
  <si>
    <t>Kandola, Binna;Wood, Robert;Dholakia, Bindi</t>
  </si>
  <si>
    <t>HD6278.G7 -- G69 2001eb</t>
  </si>
  <si>
    <t>658.3/111</t>
  </si>
  <si>
    <t>College graduates -- Employment -- Great Britain. ; College students -- Employment -- Great Britain. ; Graduate students -- Employment -- Great Britain. ; Employees -- Recruiting -- Great Britain.</t>
  </si>
  <si>
    <t>Designing Computer-Based Learning Materials</t>
  </si>
  <si>
    <t>LB1028.66 -- .C53 2001eb</t>
  </si>
  <si>
    <t>Computer-assisted instruction -- Authoring programs. ; Instructional systems -- Design. ; Learning.</t>
  </si>
  <si>
    <t>Individual Preferences in E-Learning</t>
  </si>
  <si>
    <t>LC5803.C65$bH55 2003</t>
  </si>
  <si>
    <t>Individualized instruction - Data processing</t>
  </si>
  <si>
    <t>Permission to Forget : And Nine Other Root Causes of America's Frustration with Education</t>
  </si>
  <si>
    <t>ASQ Quality Press</t>
  </si>
  <si>
    <t>Lee Jenkins</t>
  </si>
  <si>
    <t>LB2822.75 -- .J46 2013eb</t>
  </si>
  <si>
    <t>Total quality management - United States</t>
  </si>
  <si>
    <t>ICT and Literacy : Information and Communications Technology, Media, Reading, and Writing</t>
  </si>
  <si>
    <t>Gamble, Nikki;Easingwood, Nick;Gamble, MS Nikki;Easingwood, Nick</t>
  </si>
  <si>
    <t>LC149.5.G36 2000</t>
  </si>
  <si>
    <t>302.2/244/0285</t>
  </si>
  <si>
    <t>Literacy -- Study and teaching -- Technological innovations. ; Computer-assisted instruction. ; Educational innovations. ; Information technology. ; Computers and literacy.</t>
  </si>
  <si>
    <t>School and System Leadership : Changing Roles for Primary Headteachers</t>
  </si>
  <si>
    <t>Robinson, Sue;Hopkins, David</t>
  </si>
  <si>
    <t>Elementary school principals--Great Britain. ; Elementary school administration--Great Britain.</t>
  </si>
  <si>
    <t>Philosophy for Children Through the Secondary Curriculum</t>
  </si>
  <si>
    <t>Lewis, Lizzy;Chandley, Nick</t>
  </si>
  <si>
    <t>B52.P497 2012</t>
  </si>
  <si>
    <t>Philosophy--Study and teaching (Elementary). ; Children and philosophy. ; Philosophy--Study and teaching (Elementary)--Great Britain.</t>
  </si>
  <si>
    <t>Inspiring Writing Through Drama : Creative Approaches to Teaching Ages 7-16</t>
  </si>
  <si>
    <t>Baldwin, Patrice;John, Rob;Baldwin, Patrice</t>
  </si>
  <si>
    <t>LB1576.B257 2012</t>
  </si>
  <si>
    <t>English language--Composition and exercises--Study and teaching--Great Britain. ; Playwriting--Study and teaching--Great Britain. ; Drama in education--Great Britain. ; Role playing.</t>
  </si>
  <si>
    <t>Studieren an Mittelalterlichen Universitaten : Chancen und Risiken : Gesammelte Aufsatze</t>
  </si>
  <si>
    <t>Miethke, Jurgen</t>
  </si>
  <si>
    <t>LA177 -- .M64 2004eb</t>
  </si>
  <si>
    <t>370/.94/0902</t>
  </si>
  <si>
    <t>Education, Medieval. ; Education, Higher -- History -- To 1500.</t>
  </si>
  <si>
    <t>Cyberspace, Distance Learning, and Higher Education : Old and Emergent Issues of Access, Pedagogy, and Knowledge Production</t>
  </si>
  <si>
    <t>Assie-Lumumba, N'Dri Therese</t>
  </si>
  <si>
    <t>LB2395.7 -- .C93 2004eb</t>
  </si>
  <si>
    <t>378.1/734</t>
  </si>
  <si>
    <t>Education, Higher -- Computer-assisted instruction -- Social aspects -- Africa -- Cross-cultural studies. ; Distance education -- Social aspects -- Africa -- Cross-cultural studies. ; Internet in higher education -- Social aspects -- Africa -- Cross-cultural studies.</t>
  </si>
  <si>
    <t>The Roman Collegia : The Modern Evolution of an Ancient Concept</t>
  </si>
  <si>
    <t>Perry, Jonathan S.</t>
  </si>
  <si>
    <t>Mnemosyne, Supplements Series</t>
  </si>
  <si>
    <t>HS1506.P47 2006</t>
  </si>
  <si>
    <t>Fraternal organizations-History.</t>
  </si>
  <si>
    <t>Revolution at the Margins : The Impact of Competition on Urban School Systems</t>
  </si>
  <si>
    <t>LB1027.9.H49 2002</t>
  </si>
  <si>
    <t>379.1/11/0973</t>
  </si>
  <si>
    <t>School choice -- United States</t>
  </si>
  <si>
    <t>The Great Curriculum Debate : How Should We Teach Reading and Math?</t>
  </si>
  <si>
    <t>LB1570.G72 2001</t>
  </si>
  <si>
    <t>Education -- Curricula -- United States</t>
  </si>
  <si>
    <t>When Schools Compete : A Cautionary Tale</t>
  </si>
  <si>
    <t>LB2822.84.N45 -- F58 2000eb</t>
  </si>
  <si>
    <t>School improvement programs -- New Zealand -- Case studies. ; Education -- Social aspects -- New Zealand -- Case studies. ; Education and state -- New Zealand -- Case studies.</t>
  </si>
  <si>
    <t>Schools, Vouchers, and the American Public</t>
  </si>
  <si>
    <t>LB2828.8.M64 2001</t>
  </si>
  <si>
    <t>Education -- Political aspects -- United States</t>
  </si>
  <si>
    <t>Charters, Vouchers and Public Education</t>
  </si>
  <si>
    <t>Peterson, Paul E.;Campbell, David E.</t>
  </si>
  <si>
    <t>LB2806.36.C55 2001</t>
  </si>
  <si>
    <t>Charter schools -- United States</t>
  </si>
  <si>
    <t>Choosing Equality : School Choice, the Constitution, and Civil Society</t>
  </si>
  <si>
    <t>Viteritti, Joseph</t>
  </si>
  <si>
    <t>LB1027.9 -- .V58 1999eb</t>
  </si>
  <si>
    <t>School choice -- United States. ; School choice -- Law and legislation -- United States. ; Educational equalization -- United States.</t>
  </si>
  <si>
    <t>All Together Now : Creating Middle-Class Schools Through Public School Choice</t>
  </si>
  <si>
    <t>Kahlenberg, Richard D.</t>
  </si>
  <si>
    <t>LC213.2.K35 2001</t>
  </si>
  <si>
    <t>Educational equalization -- United States. ; Education -- Economic aspects -- United States. ; Public schools -- United States.</t>
  </si>
  <si>
    <t>Vouchers and the Provision of Public Services</t>
  </si>
  <si>
    <t>Steuerle, C. Eugene;Ooms, Van Doorn;Peterson, George E.;Robert D. Reischauer, former Director, Congressional Budget Office DIS .40, former Director</t>
  </si>
  <si>
    <t>HC79.S9V68 2000</t>
  </si>
  <si>
    <t>361/.05</t>
  </si>
  <si>
    <t>Subsidies - United States</t>
  </si>
  <si>
    <t>Charter Schools and Accountability in Public Education</t>
  </si>
  <si>
    <t>Hill, Paul T.;Lake, Robin J.;Celio, Mary Beth</t>
  </si>
  <si>
    <t>LB2806.36.H54 2002</t>
  </si>
  <si>
    <t>Evidence Matters : Randomized Trials in Education Research</t>
  </si>
  <si>
    <t>Mosteller, Frederick F.;Boruch, Robert F.</t>
  </si>
  <si>
    <t>LB1028.E95 2002</t>
  </si>
  <si>
    <t>Bridging the Achievement Gap</t>
  </si>
  <si>
    <t>Chubb, John E.;Loveless, Tom</t>
  </si>
  <si>
    <t>LC213.2.B74 2002</t>
  </si>
  <si>
    <t>379.2/0973</t>
  </si>
  <si>
    <t>Academic achievement -- United States. ; Educational equalization -- United States.</t>
  </si>
  <si>
    <t>No Child Left Behind? : The Politics and Practice of School Accountability</t>
  </si>
  <si>
    <t>Peterson, Paul E.;West, Martin R.</t>
  </si>
  <si>
    <t>KF4125.N6 2003</t>
  </si>
  <si>
    <t>Education; Law</t>
  </si>
  <si>
    <t>The Education Gap : Vouchers and Urban Schools</t>
  </si>
  <si>
    <t>Howell, William G.;Peterson, Paul E.</t>
  </si>
  <si>
    <t>LB2828.8.H69 2006</t>
  </si>
  <si>
    <t>The Black-White Test Score Gap</t>
  </si>
  <si>
    <t>Jencks, Christopher;Phillips, Meredith</t>
  </si>
  <si>
    <t>Conduct Disorders in Childhood and Adolescence</t>
  </si>
  <si>
    <t>Hill, Jonathan;Maughan, Barbara</t>
  </si>
  <si>
    <t>Cambridge Child and Adolescent Psychiatry Series</t>
  </si>
  <si>
    <t>RJ499 .C615 2001</t>
  </si>
  <si>
    <t>Conduct disorders in children</t>
  </si>
  <si>
    <t>How to Teach Modern Languages - and Survive!</t>
  </si>
  <si>
    <t>Pleuger, Jan</t>
  </si>
  <si>
    <t>Modern Language in Practice Series</t>
  </si>
  <si>
    <t>PB35.P54 2001</t>
  </si>
  <si>
    <t>Mentor Development in the Education of Modern Language Teachers</t>
  </si>
  <si>
    <t>Gray, Carol</t>
  </si>
  <si>
    <t>P53.85 -- .G73 2001eb</t>
  </si>
  <si>
    <t>410/.71</t>
  </si>
  <si>
    <t>Dual Language Education</t>
  </si>
  <si>
    <t>Lindholm-Leary, Kathryn J.</t>
  </si>
  <si>
    <t>LC3731.L568 2001</t>
  </si>
  <si>
    <t>Language and Literacy in Bilingual Children</t>
  </si>
  <si>
    <t>Oller, Kimbrough;Eilers, Rebecca</t>
  </si>
  <si>
    <t>P115.2.L35 2002</t>
  </si>
  <si>
    <t>Bilingualism in children. ; Children--Language.</t>
  </si>
  <si>
    <t>Teaching for Understanding Across the Primary Curriculum</t>
  </si>
  <si>
    <t>LB1555.T383 2002</t>
  </si>
  <si>
    <t>Evaluation and research in education</t>
  </si>
  <si>
    <t>Language and Literacy Teaching for Indigenous Education : A Bilingual Approach</t>
  </si>
  <si>
    <t>Francis, Norbert;Reyhner, Jon</t>
  </si>
  <si>
    <t>PM107.F73 2002</t>
  </si>
  <si>
    <t>497/.071</t>
  </si>
  <si>
    <t>Indians -- Languages -- Study and teaching -- Bilingual method</t>
  </si>
  <si>
    <t>Language Minority Students in the Mainstream Classroom</t>
  </si>
  <si>
    <t>Carrasquillo, Angela L.;Rodriguez, Vivian</t>
  </si>
  <si>
    <t>LC3731.C3428 2002</t>
  </si>
  <si>
    <t>371.97/00973</t>
  </si>
  <si>
    <t>English language -- Study and teaching -- United States -- Foreign speakers</t>
  </si>
  <si>
    <t>Critical Citizens for an Intercultural World : Foreign Language Education As Cultural Politics</t>
  </si>
  <si>
    <t>Guilherme, Manuela</t>
  </si>
  <si>
    <t>LC196.G85 2002</t>
  </si>
  <si>
    <t>Languages, Modern -- Study and teaching</t>
  </si>
  <si>
    <t>Intercultural Experience and Education</t>
  </si>
  <si>
    <t>LC1099.I563 2003</t>
  </si>
  <si>
    <t>International education -- Congresses</t>
  </si>
  <si>
    <t>Power, Prestige and Bilingualism : International Perspectives on Elite Bilingual Education</t>
  </si>
  <si>
    <t>LC3719.D42 2002</t>
  </si>
  <si>
    <t>Upper class -- Education -- Cross-cultural studies</t>
  </si>
  <si>
    <t>Identity and the Young English Language Learner</t>
  </si>
  <si>
    <t>Day, Elaine</t>
  </si>
  <si>
    <t>PE1128.A2D395 2002</t>
  </si>
  <si>
    <t>English language -- Study and teaching -- Psychological aspects -- Case studies</t>
  </si>
  <si>
    <t>Multilingual Classroom Ecologies : Inter-Relationship, Interactions and Ideologies</t>
  </si>
  <si>
    <t>Creese, Angela;Martin, Peter</t>
  </si>
  <si>
    <t>LC3705.M86 2003</t>
  </si>
  <si>
    <t>Education, Bilingual--Congresses. ; Multiculturalism--Congresses. ; Literacy--Congresses.</t>
  </si>
  <si>
    <t>Bilingual Children's Language and Literacy Development : New Zealand Case Studies</t>
  </si>
  <si>
    <t>Barnard, Roger;Glynn, Ted</t>
  </si>
  <si>
    <t>P115.2.B553 2003</t>
  </si>
  <si>
    <t>306.44/6/0830993</t>
  </si>
  <si>
    <t>Bilingualism in children--New Zealand. ; Education, Primary--New Zealand. ; Language and education--New Zealand.</t>
  </si>
  <si>
    <t>Bilingualism and Language Pedagogy</t>
  </si>
  <si>
    <t>Brutt-Griffler, Janina;Varghese, Manka</t>
  </si>
  <si>
    <t>P115.B5453 2004</t>
  </si>
  <si>
    <t>404/.2</t>
  </si>
  <si>
    <t>Bilingualism. ; Education, Bilingual. ; Language and languages--Study and teaching.</t>
  </si>
  <si>
    <t>French Words : Past, Present and Future</t>
  </si>
  <si>
    <t>Offord, Malcolm</t>
  </si>
  <si>
    <t>PC2445.O44 2001</t>
  </si>
  <si>
    <t>French language -- Vocabulary -- History</t>
  </si>
  <si>
    <t>Language Learners As Ethnographers</t>
  </si>
  <si>
    <t>Roberts, Celia;Byram, Michael;Barro, Ana;Jordan, Shirley;Street, Brian V.</t>
  </si>
  <si>
    <t>P53.45.R59 2001</t>
  </si>
  <si>
    <t>Readings in Technology in Education : Selected Papers from the International Conference on Information and Communications Technology in Education 2006</t>
  </si>
  <si>
    <t>Emerald Group Publishing Ltd</t>
  </si>
  <si>
    <t>Shurville, Simon;Fernstrom, Ken</t>
  </si>
  <si>
    <t>LC1087.R43 2007</t>
  </si>
  <si>
    <t>High technology and education.</t>
  </si>
  <si>
    <t>Multimedia Technologies for E-Learning Workshops</t>
  </si>
  <si>
    <t>Emerald Insight</t>
  </si>
  <si>
    <t>Ketterl, Markus;Brooks, Christopher;Schimanke, Florian</t>
  </si>
  <si>
    <t>LB1028.5.I58 2014</t>
  </si>
  <si>
    <t>Enhancing employability through placements in Higher Education</t>
  </si>
  <si>
    <t>Helyer, Ruth;Brooks, Ruth;Kay, Judie</t>
  </si>
  <si>
    <t>Higher Education, Skills and Work-Based Learning</t>
  </si>
  <si>
    <t>HF5382.5.G7.U55 2014</t>
  </si>
  <si>
    <t>Employability.</t>
  </si>
  <si>
    <t>Deaf President Now! : The 1988 Revolution at Gallaudet University</t>
  </si>
  <si>
    <t>Christiansen, John B.;Barnartt, Sharon N.</t>
  </si>
  <si>
    <t>HV2561</t>
  </si>
  <si>
    <t>371.91/2/09753</t>
  </si>
  <si>
    <t>Speechreading : A Way to Improve Understanding</t>
  </si>
  <si>
    <t>Kaplan, Harriet;Garretson, Carol;Bally, Scott</t>
  </si>
  <si>
    <t>HV2487</t>
  </si>
  <si>
    <t>371.91/27</t>
  </si>
  <si>
    <t>Analyzing Syntax and Semantics : A Self-Instructional Approach for Teachers and Clinicians</t>
  </si>
  <si>
    <t>Heidinger, Virginia A.</t>
  </si>
  <si>
    <t>PE1066 -- .H45 1984eb</t>
  </si>
  <si>
    <t>428/.007/11</t>
  </si>
  <si>
    <t>English language -- Study and teaching (Higher) ; English language -- Grammar, Generative. ; Deaf -- Education. ; Individualized instruction.</t>
  </si>
  <si>
    <t>Literacy and Your Deaf Child : What Every Parent of Deaf Children Should Know</t>
  </si>
  <si>
    <t>Stewart, David Alan;Clarke, Bryan R.;Clarke, Byran R</t>
  </si>
  <si>
    <t>HV2465 -- .S735 2003eb</t>
  </si>
  <si>
    <t>Deaf children -- Education. ; Deaf children -- Language. ; Language acquisition -- Parent participation. ; Literacy.</t>
  </si>
  <si>
    <t>Alone in the Mainstream : A Deaf Woman Remembers Public School</t>
  </si>
  <si>
    <t>Oliva, Gina A.</t>
  </si>
  <si>
    <t>Deaf Lives Series</t>
  </si>
  <si>
    <t>HV2534</t>
  </si>
  <si>
    <t>Oliva, Gina A. ; Deaf women -- United States -- Biography. ; Deaf -- Education -- United States. ; Mainstreaming in education -- United States. ; Deaf -- Government policy -- United States. ; Deaf -- United States -- Interviews.</t>
  </si>
  <si>
    <t>Building Bridges, Crossing Borders : One Young Deaf Woman's Education</t>
  </si>
  <si>
    <t>Getty, Ann Darby</t>
  </si>
  <si>
    <t>HV2430G354</t>
  </si>
  <si>
    <t>371.91/2092</t>
  </si>
  <si>
    <t>Deaf -- Education.</t>
  </si>
  <si>
    <t>Child Day Care Management</t>
  </si>
  <si>
    <t>Garcia, Elizabeth</t>
  </si>
  <si>
    <t>HQ778.5.G37 2007</t>
  </si>
  <si>
    <t>Day care centers--Administration.</t>
  </si>
  <si>
    <t>School Management</t>
  </si>
  <si>
    <t>Gupta, Kamlesh</t>
  </si>
  <si>
    <t>LB2805.G87 2006</t>
  </si>
  <si>
    <t>Educational Counselling</t>
  </si>
  <si>
    <t>Dev, Kapil</t>
  </si>
  <si>
    <t>LB1027.5.D48 2006</t>
  </si>
  <si>
    <t>Educational counseling.</t>
  </si>
  <si>
    <t>Educational Guidance</t>
  </si>
  <si>
    <t>Educational Philosophy</t>
  </si>
  <si>
    <t>Lal, B.M.</t>
  </si>
  <si>
    <t>LB14.7.L35 2006</t>
  </si>
  <si>
    <t>Communicative Approach to the Teaching of English as a Second Language</t>
  </si>
  <si>
    <t>Shastri, Pratima Dave</t>
  </si>
  <si>
    <t>LB1576.S53 2010</t>
  </si>
  <si>
    <t>English language--Study and teaching.</t>
  </si>
  <si>
    <t>LC5800.P87 2006</t>
  </si>
  <si>
    <t>Distance education.</t>
  </si>
  <si>
    <t>Education : Theory and Practice</t>
  </si>
  <si>
    <t>LB14.7.P87 2006</t>
  </si>
  <si>
    <t>Srivastava, Neelu</t>
  </si>
  <si>
    <t>LB1051.S65 2006</t>
  </si>
  <si>
    <t>Educational Evaluation : Theory and Practice</t>
  </si>
  <si>
    <t>Patel, Rambhai N.</t>
  </si>
  <si>
    <t>LB2822.75.P38 2010</t>
  </si>
  <si>
    <t>Principles of Education</t>
  </si>
  <si>
    <t>LB14.7.P33 2006</t>
  </si>
  <si>
    <t>Education Reform and the Quest for Excellence : The Hong Kong Story</t>
  </si>
  <si>
    <t>Ho, Lok-Sang;Morris, Paul;Chung, Yue-Ping</t>
  </si>
  <si>
    <t>LA1134.H6 -- E385 2005eb</t>
  </si>
  <si>
    <t>Educational change -- China -- Hong Kong. ; Education -- Aims and objectives -- China -- Hong Kong.</t>
  </si>
  <si>
    <t>To Serve and to Lead</t>
  </si>
  <si>
    <t>Fung, Yee Wang;Chan-Yeung,  Mo Wah Moira</t>
  </si>
  <si>
    <t>LC432.C6.F86 2009</t>
  </si>
  <si>
    <t>Church schools--China.</t>
  </si>
  <si>
    <t>Curriculum Change and Innovation</t>
  </si>
  <si>
    <t>Yeung, Shirley S. Y.;Lam, John T.S.;Leung, Anthony W.L.</t>
  </si>
  <si>
    <t>LB2946.H85.Y48 2012</t>
  </si>
  <si>
    <t>Curriculum change--China--Hong Kong.</t>
  </si>
  <si>
    <t>Images and Identity : Educating Citizenship Through Visual Arts</t>
  </si>
  <si>
    <t>Mason, Rachel;Buschkuehle, Carl-Peter</t>
  </si>
  <si>
    <t>LB2361 -- .I434 2013eb</t>
  </si>
  <si>
    <t>Interdisciplinary approach in education -- Europe. ; Citizenship -- Study and teaching -- Europe. ; Art -- Study and teaching -- Europe. ; Art and society -- Europe.</t>
  </si>
  <si>
    <t>Our Schools and Our Future : Are We Still at Risk?</t>
  </si>
  <si>
    <t>Hoover Press</t>
  </si>
  <si>
    <t>Peterson, Paul E.</t>
  </si>
  <si>
    <t>LA217.2 -- .O87 2003eb</t>
  </si>
  <si>
    <t>The Accessible Games Book</t>
  </si>
  <si>
    <t>Marl, Katie</t>
  </si>
  <si>
    <t>LC4026 -- .M37 1999eb</t>
  </si>
  <si>
    <t>Children with disabilities -- Recreation. ; People with disabilities -- Recreation. ; Educational games.</t>
  </si>
  <si>
    <t>A Teacher's Handbook of Death</t>
  </si>
  <si>
    <t>Colwell, Jim;Jackson, Maggie</t>
  </si>
  <si>
    <t>BF723.D3 -- J33 2002eb</t>
  </si>
  <si>
    <t>Children and death. ; Thanatology.</t>
  </si>
  <si>
    <t>Advocacy and Learning Disability</t>
  </si>
  <si>
    <t>Gray, Barry;Jackson, Robin</t>
  </si>
  <si>
    <t>LC4704.5 -- .A38 2002eb</t>
  </si>
  <si>
    <t>Home Educating Our Autistic Spectrum Children : Paths Are Made by Walking</t>
  </si>
  <si>
    <t>Cowlishaw, Kitt;Cohen, Rachel;Dowty, Terri;Pyles, Lise</t>
  </si>
  <si>
    <t>RJ506.A9 C69 2002</t>
  </si>
  <si>
    <t>618.92/8982</t>
  </si>
  <si>
    <t>Autism in children. ; Autistic children-Education. ; Home schooling.</t>
  </si>
  <si>
    <t>Perspectives on Bullying and Difference : Supporting Young People with Special Educational Needs and/or Disabilities in Schools</t>
  </si>
  <si>
    <t>Oliver, Caroline;McLaughlin, Colleen;Byers, Richard;Oliver, Caroline</t>
  </si>
  <si>
    <t>LB3013.34.G7.P477 2012</t>
  </si>
  <si>
    <t>Bullying in schools--Great Britain.</t>
  </si>
  <si>
    <t>Appraising Research in Second Language Learning. A practical approach to critical analysis of quantitative research.</t>
  </si>
  <si>
    <t>Porte, Graeme Keith</t>
  </si>
  <si>
    <t>P118.2 -- .P66 2002eb</t>
  </si>
  <si>
    <t>418/.007/2</t>
  </si>
  <si>
    <t>Second language acquisition -- Research -- Methodology.</t>
  </si>
  <si>
    <t>Immigrant Children and the Politics of English-Only : Views from the Classroom</t>
  </si>
  <si>
    <t>Stritikus, Tom</t>
  </si>
  <si>
    <t>LC3732.C2 -- S82 2002eb</t>
  </si>
  <si>
    <t>Immigrant children -- Education -- California -- Case studies. ; Hispanic Americans -- Education -- California -- Case studies. ; Education, Bilingual -- California -- Case studies. ; English-only movement -- California -- Case studies. ; Education, Bilingual -- Government policy -- California. ; Education, Bilingual -- Law and legislation -- California.</t>
  </si>
  <si>
    <t>Transnational Messages : Experiences of Chinese and Mexican Immigrants in American Schools</t>
  </si>
  <si>
    <t>Brittain, Carmina</t>
  </si>
  <si>
    <t>LC3746 -- .B75 2002eb</t>
  </si>
  <si>
    <t>371.829/6872/073</t>
  </si>
  <si>
    <t>Children of immigrants -- Education -- Social aspects -- United States. ; Chinese American students -- Attitudes. ; Mexican American students -- Attitudes.</t>
  </si>
  <si>
    <t>Occupational Attainment of Caribbean Immigrants in the United States, Canada, and England</t>
  </si>
  <si>
    <t>Heron, Melonie P.</t>
  </si>
  <si>
    <t>LC3719 -- .H47 2001eb</t>
  </si>
  <si>
    <t>Minorities -- Education -- Cross-cultural studies. ; Immigrants -- Education -- Cross-cultural studies. ; West Indians -- Education -- Cross-cultural studies. ; Occupational mobility -- Cross-cultural studies.</t>
  </si>
  <si>
    <t>Being Real : The Student-Teacher Relationship and African-American Male Delinquency</t>
  </si>
  <si>
    <t>Gibson, Camille</t>
  </si>
  <si>
    <t>LC2803.N65 -- G53 2002eb</t>
  </si>
  <si>
    <t>African American teenage boys -- Education (Secondary) -- New York (State) -- New York -- Case studies. ; Teacher-student relationships -- New York (State) -- New York -- Case studies. ; African American juvenile delinquents.</t>
  </si>
  <si>
    <t>Courts As Policymakers : School Finance Reform Litigation</t>
  </si>
  <si>
    <t>Lukemeyer, Anna</t>
  </si>
  <si>
    <t>KF4137 -- .L85 2003eb</t>
  </si>
  <si>
    <t>344.73/076</t>
  </si>
  <si>
    <t>Education -- Finance -- Law and legislation -- United States. ; Judgments -- United States. ; Judicial process -- United States. ; Education -- United States -- Finance.</t>
  </si>
  <si>
    <t>Equal Educational Opportunity : Brown's Elusive Mandate</t>
  </si>
  <si>
    <t>Ehrlander, Mary F.</t>
  </si>
  <si>
    <t>LC214.2 -- .E57 2002eb</t>
  </si>
  <si>
    <t>School integration -- United States -- Case studies. ; School integration -- Law and legislation -- United States.</t>
  </si>
  <si>
    <t>School Community and Disorder : Communal Schools, Student Bonding, Delinquency, and Victimization</t>
  </si>
  <si>
    <t>Payne, Allison Ann</t>
  </si>
  <si>
    <t>LB3013.32 -- .P39 2004eb</t>
  </si>
  <si>
    <t>School violence -- United States -- Prevention. ; School environment -- United States. ; Social control -- United States.</t>
  </si>
  <si>
    <t>Identity Formation of Vietnamese Immigrant Youth in an American High School</t>
  </si>
  <si>
    <t>Centrie, Craig</t>
  </si>
  <si>
    <t>LC3501.V53 -- C45 2004eb</t>
  </si>
  <si>
    <t>373.18295/92073</t>
  </si>
  <si>
    <t>West Side High School (New York, N.Y.) -- Students -- Social conditions -- Case studies. ; Vietnamese American youth -- Education (Secondary) -- Social aspects -- New York (State) -- New York -- Case studies. ; Children of immigrants -- Education (Secondary) -- Social aspects -- New York (State) -- New York -- Case studies. ; Group identity -- New York (State) -- New York -- Case studies.</t>
  </si>
  <si>
    <t>Uprooting Children : Mobility, Social Capital, and Mexican American Underachievement</t>
  </si>
  <si>
    <t>Ream, Robert Ketner</t>
  </si>
  <si>
    <t>LB3064.2 -- .R4 2005eb</t>
  </si>
  <si>
    <t>371.2/91</t>
  </si>
  <si>
    <t>Student mobility -- United States. ; Academic achievement -- United States. ; Social capital (Sociology) -- United States. ; Mexican American students. ; Minority students -- United States.</t>
  </si>
  <si>
    <t>Race, Law, and the Desegregation of Public Schools</t>
  </si>
  <si>
    <t>Moran, Peter William</t>
  </si>
  <si>
    <t>KFX1591.S34 -- M67 2005eb</t>
  </si>
  <si>
    <t>344.778/4110798</t>
  </si>
  <si>
    <t>Kansas City (Mo.). -- Board of Education. ; Segregation in education -- Law and legislation -- Missouri -- Kansas City. ; Discrimination in education -- Law and legislation -- Missouri -- Kansas City. ; Kansas City (Mo.) -- Race relations.</t>
  </si>
  <si>
    <t>Immigrant Education : Variations by Generation, Age-at-Immigration, and Country of Origin</t>
  </si>
  <si>
    <t>DebBurman, Noyna</t>
  </si>
  <si>
    <t>LC3731 -- .D42 2005eb</t>
  </si>
  <si>
    <t>371.826/912/0973</t>
  </si>
  <si>
    <t>Immigrants -- Education -- United States. ; Children of immigrants -- Education -- United States. ; Academic achievement -- United States. ; Educational surveys -- United States.</t>
  </si>
  <si>
    <t>Delinquency, Schools, and the Social Bond</t>
  </si>
  <si>
    <t>Eith, Christine A.</t>
  </si>
  <si>
    <t>LC210.5 -- .E38 2005eb</t>
  </si>
  <si>
    <t>School environment -- United States. ; Socialization -- United States. ; Juvenile delinquency -- United States.</t>
  </si>
  <si>
    <t>Bi-Cultural Competence and Academic Resilience among Immigrants</t>
  </si>
  <si>
    <t>Vargas-Reighley, Rosalva Vega</t>
  </si>
  <si>
    <t>HV4011.C2 -- V37 2005eb</t>
  </si>
  <si>
    <t>373.794/01/9</t>
  </si>
  <si>
    <t>Teenage immigrants -- California. ; Teenagers with social disabilities -- California. ; Acculturation -- California. ; Academic achievement -- Social aspects -- California. ; Resilience (Personality trait) -- California. ; Home and school -- California.</t>
  </si>
  <si>
    <t>Unequal Origins : Immigrant Selection and the Education of the Second Generation</t>
  </si>
  <si>
    <t>Feliciano, Cynthia</t>
  </si>
  <si>
    <t>LC3746 -- .F45 2006eb</t>
  </si>
  <si>
    <t>Children of immigrants -- Education -- United States -- Cross-cultural studies. ; Immigrants -- Education -- Cross-cultural studies. ; Educational attainment -- United States -- Cross-cultural studies.</t>
  </si>
  <si>
    <t>Educational Attainment in Immigrant Families : Community Context and Family Background</t>
  </si>
  <si>
    <t>Gonzalez, Gabriella C.</t>
  </si>
  <si>
    <t>LC3746 -- .G66 2005eb</t>
  </si>
  <si>
    <t>Children of immigrants -- Education -- United States. ; Educational attainment -- United States.</t>
  </si>
  <si>
    <t>Security Technology in U. S. Public Schools</t>
  </si>
  <si>
    <t>Coon, Julie Kiernan</t>
  </si>
  <si>
    <t>LB2866 -- .C67 2007eb</t>
  </si>
  <si>
    <t>Public schools -- Security measures -- United States. ; Security systems -- United States.</t>
  </si>
  <si>
    <t>Undocumented Immigrants and Higher Education : Si Se Puede!</t>
  </si>
  <si>
    <t xml:space="preserve">Rincon, Alejandra;Rinc[n, Alejandra </t>
  </si>
  <si>
    <t>LC3727 -- .R56 2008eb</t>
  </si>
  <si>
    <t>378.1/98269120973</t>
  </si>
  <si>
    <t>Noncitizens -- Education (Higher) -- United States. ; Universities and colleges -- Residence requirements -- United States. ; Higher education and state -- United States. ; Tuition -- Law and legislation -- United States.</t>
  </si>
  <si>
    <t>Mexican Immigrant Parents Advocating for School Reform</t>
  </si>
  <si>
    <t>Reyes-Cruz, Mariolga</t>
  </si>
  <si>
    <t>LC2683.3 -- .R49 2008eb</t>
  </si>
  <si>
    <t>371.19/2086872073</t>
  </si>
  <si>
    <t>Mexican American students -- Education. ; Education -- Parent participation -- United States. ; Children of immigrants -- Education -- United States. ; Educational change -- United States.</t>
  </si>
  <si>
    <t>Resistance to Public School Desegregation : Little Rock, Arkansas, and Beyond</t>
  </si>
  <si>
    <t>Baer, Frances Lisa</t>
  </si>
  <si>
    <t>LC212.52 -- .B34 2008eb</t>
  </si>
  <si>
    <t>Geschichte 1957-1959 -- swd ; Discrimination in education -- United States -- History. ; School integration -- United States -- History. ; Discrimination in education -- Arkansas -- Little Rock -- History. ; School integration -- Arkansas -- Little Rock -- History.</t>
  </si>
  <si>
    <t>Undocumented and Unwanted : Attending College against the Odds</t>
  </si>
  <si>
    <t>Garcia, Lisa D.</t>
  </si>
  <si>
    <t>New Americans : Recent Immigration and American Society</t>
  </si>
  <si>
    <t>LC3727 -- .G37 2013eb</t>
  </si>
  <si>
    <t>Noncitizens -- Education (Higher) -- United States. ; Universities and colleges -- Residence requirements -- United States. ; Student aid -- United States. ; College costs -- United States.</t>
  </si>
  <si>
    <t>Ideas for the University : Proceedings of Marquette University's Mission Seminar and Conference</t>
  </si>
  <si>
    <t>Block, Edwin</t>
  </si>
  <si>
    <t>LA227.4 -- .I34 1995eb</t>
  </si>
  <si>
    <t>Jesuits -- Education (Higher) -- United States -- Congresses. ; Education, Higher -- Aims and objectives -- United States -- Congresses.</t>
  </si>
  <si>
    <t>Values and Vision in Primary Education</t>
  </si>
  <si>
    <t>Taylor, Kathleen;Woolley, Richard</t>
  </si>
  <si>
    <t>LB1555 .V35 2013</t>
  </si>
  <si>
    <t>Education, Elementary.</t>
  </si>
  <si>
    <t>Handbook of Verbal Reasoning</t>
  </si>
  <si>
    <t>New Age International Ltd., Publishers</t>
  </si>
  <si>
    <t>Banerjee, Surendra Nath</t>
  </si>
  <si>
    <t>BF463.V45.B36 2008</t>
  </si>
  <si>
    <t>Verbal ability--Testing.</t>
  </si>
  <si>
    <t>Brief Course on Technology Management</t>
  </si>
  <si>
    <t>Nagarajan, K.</t>
  </si>
  <si>
    <t>LB1028.3 -- .N343 2015eb</t>
  </si>
  <si>
    <t>Educational technology -- Management. ; Community colleges -- Technology -- Management.</t>
  </si>
  <si>
    <t>GRE Math Bible</t>
  </si>
  <si>
    <t>QA43.K653 2008</t>
  </si>
  <si>
    <t>Power, Privilege, and Education : Pedagogy, Curriculum, and Student Outcomes</t>
  </si>
  <si>
    <t>Nova Science Publishers</t>
  </si>
  <si>
    <t>Nova Science Publishers, Incorporated</t>
  </si>
  <si>
    <t>Nova</t>
  </si>
  <si>
    <t>Greg Wiggan</t>
  </si>
  <si>
    <t>Education in a Competitive and Globalizing World</t>
  </si>
  <si>
    <t>LB1570 -- .P653 2011eb</t>
  </si>
  <si>
    <t>Education - Curricula - Social aspects - United States</t>
  </si>
  <si>
    <t>Malcolm Shepherd Knowles: A History of his Thought : A History of his Thought</t>
  </si>
  <si>
    <t>Henry, George</t>
  </si>
  <si>
    <t>LA2317.K567 -- H46 2011eb</t>
  </si>
  <si>
    <t>Knowles, Malcolm S. -- (Malcolm Shepherd), -- 1913-1997. ; Adult education teachers -- United States -- Biography. ; Adult education -- United States.</t>
  </si>
  <si>
    <t>Higher Education in a State of Crisis</t>
  </si>
  <si>
    <t>Teixeira, Roccia, M.</t>
  </si>
  <si>
    <t>LB2322.2 -- .H525 2011eb</t>
  </si>
  <si>
    <t>Education, Higher -- Cross-cultural studies. ; Education, Higher -- Aims and objectives.</t>
  </si>
  <si>
    <t>Magnetic Nanoparticles: Properties, Synthesis and Applications : Properties, Synthesis and Applications</t>
  </si>
  <si>
    <t>Acklin, Beate;Lautens, Edon</t>
  </si>
  <si>
    <t>Nanotechnology Science and Technology</t>
  </si>
  <si>
    <t>QC176.8.N35.M3386 2012</t>
  </si>
  <si>
    <t>Nanoparticles--Magnetic properties.</t>
  </si>
  <si>
    <t>Faculty Training for Web Enhanced Learning</t>
  </si>
  <si>
    <t>Repetto, Manuela;Trentin, Guglielmo</t>
  </si>
  <si>
    <t>LB2395.7 -- .F325 2011eb</t>
  </si>
  <si>
    <t>Education, Higher -- Computer-assisted instruction. ; College teachers -- In-service training. ; College teaching -- Web-based instruction.</t>
  </si>
  <si>
    <t>Educating for Social Justice and Inclusion in an African Context : Pathways and Transitions</t>
  </si>
  <si>
    <t>Muthukrishna, Nithi;Muthukrishna, Anbanithi</t>
  </si>
  <si>
    <t>LC196.5.A35 -- E38 2008eb</t>
  </si>
  <si>
    <t>370.11/5096</t>
  </si>
  <si>
    <t>Critical pedagogy -- Africa. ; Social justice -- Africa.</t>
  </si>
  <si>
    <t>Anxiety in College Students</t>
  </si>
  <si>
    <t>Ayres, Benjamin;Bristow, Michelle</t>
  </si>
  <si>
    <t>LB3609 -- .A59 2009eb</t>
  </si>
  <si>
    <t>Anxiety. ; College students -- Psychology.</t>
  </si>
  <si>
    <t>Standardized Assessment and Test Construction without Anguish: The Complete Step-By-Step Guide to Test Design, Administration, Scoring, Analysis, and Interpretation : The Complete Step-By-Step Guide to Test Design, Administration, Scoring, Analysis, and Interpretation</t>
  </si>
  <si>
    <t>Shawer, Saad F.</t>
  </si>
  <si>
    <t>LB3051 -- .S45 2010eb</t>
  </si>
  <si>
    <t>Educational tests and measurements -- Design and construction -- Handbooks, manuals, etc. ; Students -- Rating of -- Handbooks, manuals, etc.</t>
  </si>
  <si>
    <t>Pedagogical Models: The Discipline of Online Teaching : The Discipline of Online Teaching</t>
  </si>
  <si>
    <t>Shaughnessy, Michael F.;Fulgham, Susan</t>
  </si>
  <si>
    <t>LB1044.87 -- .P42 2011eb</t>
  </si>
  <si>
    <t>Web-based instruction. ; Internet in education. ; Computer-assisted instruction. ; Distance education.</t>
  </si>
  <si>
    <t>Journey into Dialogic Pedagogy</t>
  </si>
  <si>
    <t>Matusov, Eugene</t>
  </si>
  <si>
    <t>LB1027.44 -- .M35 2009eb</t>
  </si>
  <si>
    <t>Questioning. ; Interaction analysis in education. ; Communication in education. ; Education -- Philosophy.</t>
  </si>
  <si>
    <t>Recent Trends in Life Long Education</t>
  </si>
  <si>
    <t>Geinare, Patricia F.</t>
  </si>
  <si>
    <t>LC5215 -- .R43 2009eb</t>
  </si>
  <si>
    <t>Continuing education. ; Adult education.</t>
  </si>
  <si>
    <t>Adopting Blended Learning for Collaborative Work in Higher Education</t>
  </si>
  <si>
    <t>Hogarth, Alan</t>
  </si>
  <si>
    <t>LB1028.5 -- .H625 2009eb</t>
  </si>
  <si>
    <t>Blended learning -- Scotland. ; Educational technology -- Scotland. ; Group work in education -- Scotland. ; Education, Higher -- Scotland.</t>
  </si>
  <si>
    <t>Computer-Enabled Mathematics: Integrating Experiment and Theory in Teacher Education AUTHOR MUST SEE FINAL PROOFS : Integrating Experiment and Theory in Teacher Education</t>
  </si>
  <si>
    <t>Abramovich, Sergei</t>
  </si>
  <si>
    <t>QA10.5 -- .A225 2011eb</t>
  </si>
  <si>
    <t>Mathematics teachers -- Training of. ; Mathematics -- Study and teaching (Secondary) -- Data processing. ; Mathematics -- Computer-assisted instruction. ; Electronic data processing -- Study and teaching (Secondary)</t>
  </si>
  <si>
    <t>New Research in Education : Adult, Medical, and Vocational</t>
  </si>
  <si>
    <t>Balistrieri, Edmondo;DeNino, Giustino</t>
  </si>
  <si>
    <t>LC5215 -- .N468 2009eb</t>
  </si>
  <si>
    <t>Adult education. ; Medical education. ; Vocational education.</t>
  </si>
  <si>
    <t>Civic Engagement and Service Learning in a Metropolitan University: Multiple Approaches and Perspectives : Multiple Approaches and Perspectives</t>
  </si>
  <si>
    <t>Ledoux, Michael W.;Wilhite, Stephen C.;Silver, Paula</t>
  </si>
  <si>
    <t>LC220.5 -- .C56 2011eb</t>
  </si>
  <si>
    <t>Widener University - Curricula</t>
  </si>
  <si>
    <t>Higher Education: Access Issues and Financial Aid Avenues : Access Issues and Financial Aid Avenues</t>
  </si>
  <si>
    <t>Morelli, Jaclyn M.</t>
  </si>
  <si>
    <t>LB2351.2 -- .H54 2010eb</t>
  </si>
  <si>
    <t>Student aid - United States - Government policy</t>
  </si>
  <si>
    <t>Multiculturalism in the Age of the Mosaic: Essays in Honor of Rudolph G. Wilson</t>
  </si>
  <si>
    <t>Afọláyan, Michael Ọladẹjọ</t>
  </si>
  <si>
    <t>LC1099.5.A35 -- M85 2010eb</t>
  </si>
  <si>
    <t>Wilson, Rudolph G. ; Multicultural education -- Africa. ; Educational anthropology -- Africa. ; International education -- Africa. ; Education and state -- Africa.</t>
  </si>
  <si>
    <t>Education Reforms in Ghana: Curriculum in Junior High Schools : Curriculum in Junior High Schools</t>
  </si>
  <si>
    <t>Osei, George M.</t>
  </si>
  <si>
    <t>LB1623.53.G4 -- O84 2010eb</t>
  </si>
  <si>
    <t>Junior high schools -- Curricula -- Ghana. ; Educational change -- Ghana.</t>
  </si>
  <si>
    <t>America's Historically Black Colleges and Universities</t>
  </si>
  <si>
    <t>Lucisano, Giovani</t>
  </si>
  <si>
    <t>LC2781 -- .A54 2010eb</t>
  </si>
  <si>
    <t>378.73089/96073</t>
  </si>
  <si>
    <t>African American universities and colleges. ; African Americans -- Education (Higher)</t>
  </si>
  <si>
    <t>Effective Teaching for Intended Learning Outcomes in Science and Technology (Metilost)</t>
  </si>
  <si>
    <t>Lopes, Bernardino;Cravino, Paulo;Silva, A. A.</t>
  </si>
  <si>
    <t>Q181.3 -- .E34 2010eb</t>
  </si>
  <si>
    <t>Science -- Study and teaching (Higher) ; Technology -- Study and teaching (Higher) ; Effective teaching.</t>
  </si>
  <si>
    <t>Evidence-Based Education</t>
  </si>
  <si>
    <t>Chun-Lok, Dennis Fung;Wang-Yan, Valerie Yip</t>
  </si>
  <si>
    <t>LB1025.3 -- .E94 2012eb</t>
  </si>
  <si>
    <t>Effective teaching -- Cross-cultural studies. ; Teacher effectiveness -- Cross-cultural studies. ; Teaching -- Evaluation -- Cross-cultural studies. ; Educational equalization -- Cross-cultural studies.</t>
  </si>
  <si>
    <t>Conceptions of Assessment: Understanding What Assessment Means to Teachers and Students : Understanding What Assessment Means to Teachers and Students</t>
  </si>
  <si>
    <t>L. Brown, Gavin T.</t>
  </si>
  <si>
    <t>LB3058.N4 -- B76 2008eb</t>
  </si>
  <si>
    <t>Educational tests and measurements -- New Zealand.</t>
  </si>
  <si>
    <t>Academic Administration: A Quest for Better Management and Leadership in Higher Education : A Quest for Better Management and Leadership in Higher Education</t>
  </si>
  <si>
    <t>Chen, Sheying</t>
  </si>
  <si>
    <t>LB2341 -- .A216 2009eb</t>
  </si>
  <si>
    <t>Universities and colleges -- Administration.</t>
  </si>
  <si>
    <t>Approaches to Early Childhood and Elementary Education</t>
  </si>
  <si>
    <t>Wardle, Francis</t>
  </si>
  <si>
    <t>LB1139.23 -- .W368 2009eb</t>
  </si>
  <si>
    <t>Early childhood education. ; Education, Elementary. ; Child development.</t>
  </si>
  <si>
    <t>Decentralization and Marketization: The Changing Landscape of China's Adult and Continuing Education : The Changing Landscape of China's Adult and Continuing Education</t>
  </si>
  <si>
    <t>Liu, Ning Rong</t>
  </si>
  <si>
    <t>LC5257.C6 -- L58 2010eb</t>
  </si>
  <si>
    <t>374/.951</t>
  </si>
  <si>
    <t>Adult education -- China. ; Continuing education -- China. ; Education, Higher -- China. ; Universities and colleges -- Decentralization -- China. ; Educational change -- China.</t>
  </si>
  <si>
    <t>Chinese Women and the Teaching Profession</t>
  </si>
  <si>
    <t>Kwong, Julia;Wanhua, Ma</t>
  </si>
  <si>
    <t>LB2837 -- .C45 2009eb</t>
  </si>
  <si>
    <t>371/.0082/0951</t>
  </si>
  <si>
    <t>Women teachers -- China -- History. ; Sex differences in education -- China.</t>
  </si>
  <si>
    <t>Curriculum Reform in China : Changes and Challenges</t>
  </si>
  <si>
    <t>Yin, Hong-Biao;Lee, John Chi-Kin</t>
  </si>
  <si>
    <t>Education in a Competitive and Globalizing World/China in the 21st Century</t>
  </si>
  <si>
    <t>LB2806.15 -- .C882 2012eb</t>
  </si>
  <si>
    <t>375/.0010951</t>
  </si>
  <si>
    <t>Curriculum planning -- China. ; Curriculum change -- China. ; Education -- Curricula -- China.</t>
  </si>
  <si>
    <t>Building Strategic Language Ability Programs</t>
  </si>
  <si>
    <t>Weston, Joshua R.</t>
  </si>
  <si>
    <t>Languages and Linguistics</t>
  </si>
  <si>
    <t>P53.4 -- .B85 2010eb</t>
  </si>
  <si>
    <t>Language and languages -- Ability testing. ; Communicative competence.</t>
  </si>
  <si>
    <t>Attracting International Students for Higher Education</t>
  </si>
  <si>
    <t>Carswell, Russell C.</t>
  </si>
  <si>
    <t>LC1090.A85 2010</t>
  </si>
  <si>
    <t>International education--United States.</t>
  </si>
  <si>
    <t>Essays on Supportive Peer Review</t>
  </si>
  <si>
    <t>Amaral, Alberto;Rovio-Johansson, Airi;Rosa, Maria Joao;Westerheijden, Don</t>
  </si>
  <si>
    <t>LB2331.65.E85 -- E84 2008eb</t>
  </si>
  <si>
    <t>European University Association. -- Institutional Evaluation Programme. ; Education, Higher -- Europe -- Evaluation. ; Educational accountability -- Europe. ; Quality (Philosophy)</t>
  </si>
  <si>
    <t>Progress in Education, Volume 17</t>
  </si>
  <si>
    <t>Nata, Robert V.</t>
  </si>
  <si>
    <t>LA205.P76 2009</t>
  </si>
  <si>
    <t>Education--United States.</t>
  </si>
  <si>
    <t>Digital Technologies in Higher Education : Sweeping Expectations and Actual Effects</t>
  </si>
  <si>
    <t>Guri-Rosenblit, Sarah</t>
  </si>
  <si>
    <t>LB2395.7 -- .G87 2009eb</t>
  </si>
  <si>
    <t>Education, Higher -- Computer-assisted instruction. ; Education, Higher -- Effect of technological innovations on.</t>
  </si>
  <si>
    <t>Challenges of Quality Education in Sub-Saharan African Countries</t>
  </si>
  <si>
    <t>Sifuna, Daniel Namusonge;Sawamura, Nobuhide</t>
  </si>
  <si>
    <t>LA1501 -- .S558 2010eb</t>
  </si>
  <si>
    <t>Education -- Africa, Sub-Saharan -- Philosophy. ; Education -- Standards -- Africa, Sub-Saharan. ; Educational evaluation -- Africa, Sub-Saharan. ; Education and state -- Africa, Sub-Saharan.</t>
  </si>
  <si>
    <t>College and University Endowments: Case Studies and Tax Issues : Case Studies and Tax Issues</t>
  </si>
  <si>
    <t>Bellfleur, Jessica I.</t>
  </si>
  <si>
    <t>LB2336 -- .C575 2010eb</t>
  </si>
  <si>
    <t>Universities and colleges -- United States -- Endowments. ; Endowments -- Taxation -- United States. ; Tax exemption -- United States.</t>
  </si>
  <si>
    <t>Science Education in a Rapidly Changing World</t>
  </si>
  <si>
    <t>Grahame, Seth D.</t>
  </si>
  <si>
    <t>Q181 -- .S36886 2011eb</t>
  </si>
  <si>
    <t>Science -- Study and teaching.</t>
  </si>
  <si>
    <t>Educational Evaluation in East Asia : Emerging Issues and Challenges</t>
  </si>
  <si>
    <t>Peng, Samuel S.;Li, Zijian;Lee, John Chi-Kin</t>
  </si>
  <si>
    <t>LA1141.E27 2009</t>
  </si>
  <si>
    <t>379.1/58095</t>
  </si>
  <si>
    <t>Educational evaluation -- East Asia. ; Educational accountability -- East Asia.</t>
  </si>
  <si>
    <t>Education in Post-Colonial Ghana</t>
  </si>
  <si>
    <t>LA1626 -- .O74 2009eb</t>
  </si>
  <si>
    <t>370.9667/09045</t>
  </si>
  <si>
    <t>Education -- Ghana. ; Schools -- Decentralization -- Ghana. ; Educational change -- Ghana.</t>
  </si>
  <si>
    <t>MacTeer, Claudia F.</t>
  </si>
  <si>
    <t>LC5800 -- .D558 2011eb</t>
  </si>
  <si>
    <t>Distance education. ; Distance education -- Cross-cultural studies.</t>
  </si>
  <si>
    <t>Education Leadership, Management and Governance in South Africa</t>
  </si>
  <si>
    <t>Chikoko, Vitallis;Jørgensen, Kenneth Mølbjerg</t>
  </si>
  <si>
    <t>African Political, Economic, and Security Issues</t>
  </si>
  <si>
    <t>LC95.S68 -- E37 2012eb</t>
  </si>
  <si>
    <t>Education and state -- South Africa. ; School management and organization -- South Africa. ; Educational leadership -- South Africa. ; Educational change -- South Africa. ; Education -- Social aspects -- South Africa.</t>
  </si>
  <si>
    <t>Shaughnessy, Michael F.;Kleyn, Kinsey</t>
  </si>
  <si>
    <t>LB1139.25 -- .H34 2012eb</t>
  </si>
  <si>
    <t>Early childhood education -- United States. ; Child care -- United States. ; Child development -- United States.</t>
  </si>
  <si>
    <t>Successful Science Education Practices : Exploring What, Why and How They Worked</t>
  </si>
  <si>
    <t>Redman, Christine</t>
  </si>
  <si>
    <t>LB1585.5.A8 -- S83 2013eb</t>
  </si>
  <si>
    <t>372.35/0440994</t>
  </si>
  <si>
    <t>Science -- Study and teaching (Elementary) -- Australia.</t>
  </si>
  <si>
    <t>Critical Thinking</t>
  </si>
  <si>
    <t>Horvath, Christopher P.;Forte, James M.</t>
  </si>
  <si>
    <t>BF441 -- .C735 2011eb</t>
  </si>
  <si>
    <t>Critical thinking.</t>
  </si>
  <si>
    <t>Psychology; Philosophy</t>
  </si>
  <si>
    <t>Following the Northern Star: Caribbean Identities and Education in North American Schools : Caribbean Identities and Education in North American Schools</t>
  </si>
  <si>
    <t>Wiggan, Greg;Walrond, Jean T.</t>
  </si>
  <si>
    <t>LC2805.W47 -- W54 2013eb</t>
  </si>
  <si>
    <t>371.829/9697290973</t>
  </si>
  <si>
    <t>West Indians -- Education -- United States. ; West Indians -- United States -- Ethnic identity. ; West Indians -- Migrations.</t>
  </si>
  <si>
    <t>Kindergartens: Teaching Methods, Expectations and Current Challenges : Teaching Methods, Expectations and Current Challenges</t>
  </si>
  <si>
    <t>Switzer, Henry;Foulke, Dwayne</t>
  </si>
  <si>
    <t>LB1199 -- .K57 2013eb</t>
  </si>
  <si>
    <t>Kindergarten. ; Education, Primary.</t>
  </si>
  <si>
    <t>Empowering Scientific Literacy through Digital Literacy and Multiliteracies</t>
  </si>
  <si>
    <t>Ng, Wan</t>
  </si>
  <si>
    <t>Q181 -- .N76 2012eb</t>
  </si>
  <si>
    <t>Science -- Study and teaching. ; Technological literacy. ; Science -- Methodology.</t>
  </si>
  <si>
    <t>Elementary School Children's Spelling-Specific Self-Beliefs : Longitudinal Analyses of their Relations to Academic Achievement, School Attitudes, and Self-Esteem</t>
  </si>
  <si>
    <t>Faber, Günter;Faber, Gnter</t>
  </si>
  <si>
    <t>LB1574 -- .E44 2012eb</t>
  </si>
  <si>
    <t>372.63/2</t>
  </si>
  <si>
    <t>Spelling ability. ; Academic achievement -- Longitudinal studies. ; Self-esteem in children -- Longitudinal studies.</t>
  </si>
  <si>
    <t>Education Research Summaries : Book 2</t>
  </si>
  <si>
    <t>Stephens, Troy B.;Duncan, Jon E.</t>
  </si>
  <si>
    <t>LB1028 -- .E264 2013eb</t>
  </si>
  <si>
    <t>Education -- Research. ; Educators -- Bio-bibliography.</t>
  </si>
  <si>
    <t>Class Issues : Pedagogy, Cultural Studies, and the Public Sphere</t>
  </si>
  <si>
    <t>Kumar, Amitava</t>
  </si>
  <si>
    <t>LC196.C53 1997eb</t>
  </si>
  <si>
    <t>Critical pedagogy. ; Intellectuals -- Political activity. ; Class consciousness. ; Culture -- Study and teaching. ; Socialism and education. ; Postmodernism and education.</t>
  </si>
  <si>
    <t>Fraternity Gang Rape : Sex, Brotherhood, and Privilege on Campus</t>
  </si>
  <si>
    <t>Sanday, Peggy Reeves</t>
  </si>
  <si>
    <t>Gang rape - United States</t>
  </si>
  <si>
    <t>Aquamarine Blue 5 : Personal Stories of College Students with Autism</t>
  </si>
  <si>
    <t>Swallow Press</t>
  </si>
  <si>
    <t>Prince-Hughes, Dawn</t>
  </si>
  <si>
    <t>LC4717.5 -- .A7 2002eb</t>
  </si>
  <si>
    <t>Autistic youth -- Education. ; College students with disabilities -- Attitudes. ; College students'' writings.</t>
  </si>
  <si>
    <t>Soulful Bobcats : Experiences of African American Students at Ohio University, 1950-1960</t>
  </si>
  <si>
    <t>Walker, Carl H.;Hollow, Betty;McDavis1948-, Roderick J.</t>
  </si>
  <si>
    <t>LD4191.O84.W35 2013</t>
  </si>
  <si>
    <t>African American college students - Ohio - History - 20th century</t>
  </si>
  <si>
    <t>People v. Harvard Law : How America's Oldest Law School Turned Its Back on Free Speech</t>
  </si>
  <si>
    <t>Thomas, Andrew Peyton</t>
  </si>
  <si>
    <t>KF292.H3 -- T48 2005eb</t>
  </si>
  <si>
    <t>340/.071/17444</t>
  </si>
  <si>
    <t>Harvard Law School. ; Law schools -- Political aspects -- Massachusetts -- Cambridge. ; Freedom of speech -- Massachusetts -- Cambridge. ; Political correctness -- Massachusetts -- Cambridge.</t>
  </si>
  <si>
    <t>Systematic and Engaging Early Literacy : Instruction and Intervention</t>
  </si>
  <si>
    <t>Culatta, Brabara;Hall-Kenyon, Kendra M.;Black, Sharon</t>
  </si>
  <si>
    <t>LB1139.5.L35 -- C85 2013eb</t>
  </si>
  <si>
    <t>Staffing-at Risk School Districts in Texas : Problems and Prospects</t>
  </si>
  <si>
    <t>Berends, Mark;Naftel, Scott;Kirby, Sheila Nataraj</t>
  </si>
  <si>
    <t>LB2833.3.T4 -- K57 1999eb</t>
  </si>
  <si>
    <t>331.12/313711/009764</t>
  </si>
  <si>
    <t>Minority teachers -- Supply and demand -- Texas -- Longitudinal studies. ; Children of minorities -- Education -- Texas -- Longitudinal studies.</t>
  </si>
  <si>
    <t>Paying for University Research Facilities &amp; Administration</t>
  </si>
  <si>
    <t>Williams, T.;Goldman, Charles A.;Adamson, David M.;Rosenblatt, Kathy</t>
  </si>
  <si>
    <t>Q180.U5.G55 2000</t>
  </si>
  <si>
    <t>507/.2073</t>
  </si>
  <si>
    <t>Research institutes--United States--Finance.</t>
  </si>
  <si>
    <t>Assessing the Progress of New American Schools : A Status Report</t>
  </si>
  <si>
    <t>Sullivan, Thomas;Berends, Mark;Heilbrunn, Joanna Z.</t>
  </si>
  <si>
    <t>LB2822.82 -- .B45 1999eb</t>
  </si>
  <si>
    <t>Governance of the City University of New York : A System at Odds with Itself</t>
  </si>
  <si>
    <t>Gill, Brian P.</t>
  </si>
  <si>
    <t>LD3835.G55 2000</t>
  </si>
  <si>
    <t>City University of New York--Administration.</t>
  </si>
  <si>
    <t>Ounce of Prevention, a Pound of Uncertainty : The Cost-Effectiveness of School-Based Drug Prevention Programs</t>
  </si>
  <si>
    <t>Rydell, C. Peter;Chiesa, James;Caulkins, Jonathan</t>
  </si>
  <si>
    <t>HV5824.Y68 -- O94 1999eb</t>
  </si>
  <si>
    <t>Youth -- Drug use -- United States -- Prevention -- Cost effectiveness. ; Students -- Drug use -- United States -- Prevention -- Cost effectiveness. ; Cocaine abuse -- United States -- Prevention -- Cost effectiveness. ; Drug abuse -- Study and teaching -- United States -- Cost effectiveness.</t>
  </si>
  <si>
    <t>Untangling the Web : Applications of the Internet and Other Information Technologies to Higher Education</t>
  </si>
  <si>
    <t>Lewis, Matthew W.;McArthur, David J.</t>
  </si>
  <si>
    <t>LB1044.87 -- .M32 1998eb</t>
  </si>
  <si>
    <t>025.06/37</t>
  </si>
  <si>
    <t>Education, Higher -- Computer network resources. ; Internet in education. ; World Wide Web.</t>
  </si>
  <si>
    <t>Closing the Education Gap : Benefits and Costs</t>
  </si>
  <si>
    <t>Rydell, C. Peter;Vernez, George;Krop, Richard A.</t>
  </si>
  <si>
    <t>LC213.2 -- .V47 1999eb</t>
  </si>
  <si>
    <t>Educational equalization -- United States. ; Minorities -- Education -- Economic aspects -- United States.</t>
  </si>
  <si>
    <t>Teaching Practices and Student Achievement : Report of First-Year Findings from the 'Mosaic' Study of...</t>
  </si>
  <si>
    <t>Stecher, Brian;Klein, Stephen;McCaffrey, Daniel;Stecher, Brian M.;Robyn, Abby;Burroughs, Delia</t>
  </si>
  <si>
    <t>LB1025.3.T4365 2000</t>
  </si>
  <si>
    <t>Effective teaching--United States.</t>
  </si>
  <si>
    <t>Appropriating the Discourse of Social Justice in Teacher Education</t>
  </si>
  <si>
    <t>Baltodano, Marta P.</t>
  </si>
  <si>
    <t>Teachers -- Training of -- Social aspects -- United States</t>
  </si>
  <si>
    <t>Israeli and Palestinian Identities in Dialogue : The School for Peace Approach</t>
  </si>
  <si>
    <t>Halabi, Rabah</t>
  </si>
  <si>
    <t>LC1099.5.I75 -- D5313 2004eb</t>
  </si>
  <si>
    <t>370.117/095694</t>
  </si>
  <si>
    <t>Ne?eh shalom (School) ; Multicultural education -- Israel. ; Intergroup relations -- Israel. ; Conflict management -- Israel. ; Youth -- Israel -- Attitudes. ; Arab-Israeli conflict -- 1993- -- Peace. ; Israel -- Ethnic relations.</t>
  </si>
  <si>
    <t>Buying In or Selling Out? : The Commercialization of the American Research University</t>
  </si>
  <si>
    <t>Stein, Donald;Angell, Marcia;Bohlander, Ronald A.;et al,</t>
  </si>
  <si>
    <t>LB2326.3 -- .B89 2004eb</t>
  </si>
  <si>
    <t>Education, Higher -- Economic aspects -- United States. ; Research -- Economic aspects -- United States. ; Universities and colleges -- United States -- Finance.</t>
  </si>
  <si>
    <t>Instructional Coaching : A Partnership Approach to Improving Instruction</t>
  </si>
  <si>
    <t>The Keys to Effective Schools : Educational Reform As Continuous Improvement</t>
  </si>
  <si>
    <t>Hawley, Willis D.</t>
  </si>
  <si>
    <t>25 Biggest Mistakes Teachers Make and How to Avoid Them</t>
  </si>
  <si>
    <t>Orange, Carolyn M.</t>
  </si>
  <si>
    <t>Engaged Learning</t>
  </si>
  <si>
    <t>VanDeWeghe, Richard P.</t>
  </si>
  <si>
    <t>Making Great Kids Greater : Easing the Burden of Being Gifted</t>
  </si>
  <si>
    <t>Sisk, Dorothy</t>
  </si>
  <si>
    <t>So Now You&amp;prime;re the Superintendent!</t>
  </si>
  <si>
    <t>Eller, John F.;Carlson, Howard C.</t>
  </si>
  <si>
    <t>Reading, Writing, and Inquiry in the Science Classroom, Grades 6-12 : Strategies to Improve Content Learning</t>
  </si>
  <si>
    <t>Chamberlain, Kathleen;Crane, Christine Corby</t>
  </si>
  <si>
    <t>Best Practices for Teaching Social Studies : What Award-Winning Classroom Teachers Do</t>
  </si>
  <si>
    <t>On Being a Teacher : The Human Dimension</t>
  </si>
  <si>
    <t>Kottler, Jeffrey A.;Zehm, Stanley J.;Kottler, Ellen</t>
  </si>
  <si>
    <t>More Inclusion Strategies That Work! : Aligning Student Strengths with Standards</t>
  </si>
  <si>
    <t>How to Integrate the Curricula</t>
  </si>
  <si>
    <t>Beginning the Assistant Principalship : A Practical Guide for New School Administrators</t>
  </si>
  <si>
    <t>The Educator&amp;prime;s Guide to Solving Common Behavior Problems</t>
  </si>
  <si>
    <t>The Personnel Evaluation Standards : How to Assess Systems for Evaluating Educators</t>
  </si>
  <si>
    <t>Gullickson, Arlen R.</t>
  </si>
  <si>
    <t>63 Tactics for Teaching Diverse Learners, Grades 6-12</t>
  </si>
  <si>
    <t>Algozzine, Bob;Campbell, Pamela;Wang, Jianjun Adam</t>
  </si>
  <si>
    <t>Designing Elementary Instruction and Assessment : Using the Cognitive Domain</t>
  </si>
  <si>
    <t>Problem Solving in Mathematics, Grades 3-6 : Powerful Strategies to Deepen Understanding</t>
  </si>
  <si>
    <t>QA63 -- .P668 2009eb</t>
  </si>
  <si>
    <t>Secrets to Success for Science Teachers</t>
  </si>
  <si>
    <t>Kottler, Ellen;Costa, Victoria B.</t>
  </si>
  <si>
    <t>The Portable Mentor : A Resource Guide for Entry-Year Principals and Mentors</t>
  </si>
  <si>
    <t>Lindley, Frederick A.</t>
  </si>
  <si>
    <t>Powerful Partnerships : A Handbook for Principals Mentoring Assistant Principals</t>
  </si>
  <si>
    <t>Bloom, Gary S.;Krovetz, Martin L.</t>
  </si>
  <si>
    <t>Brain-Friendly Strategies for Developing Student Writing Skills</t>
  </si>
  <si>
    <t>Hanson, Anne M.</t>
  </si>
  <si>
    <t>Learning from the Best : Lessons from Award-Winning Superintendents</t>
  </si>
  <si>
    <t>Collaborative Peer Coaching That Improves Instruction : The 2 + 2 Performance Appraisal Model</t>
  </si>
  <si>
    <t>Allen, Dwight W.;LeBlanc, Alyce C.</t>
  </si>
  <si>
    <t>Applying for Research Funding : Getting Started and Getting Funded</t>
  </si>
  <si>
    <t>Ries, Joanne B.;Leukefeld, Carl</t>
  </si>
  <si>
    <t>G177.R53</t>
  </si>
  <si>
    <t>Geography/Travel; Business/Management</t>
  </si>
  <si>
    <t>Evaluating Programs to Increase Student Achievement</t>
  </si>
  <si>
    <t>Jason, Martin H.</t>
  </si>
  <si>
    <t>Case Studies in 21st Century School Administration : Addressing Challenges for Educational Leadership</t>
  </si>
  <si>
    <t>Gray, David L.;Smith, Agnes</t>
  </si>
  <si>
    <t>Leading Professional Learning Teams : A Start-Up Guide for Improving Instruction</t>
  </si>
  <si>
    <t>Sather, Susan E.</t>
  </si>
  <si>
    <t>LB1731.S28 2009eb</t>
  </si>
  <si>
    <t>Rti : A Practitioner&amp;prime;s Guide to Implementing Response to Intervention</t>
  </si>
  <si>
    <t>Mellard, Daryl F.;Johnson, Evelyn S.</t>
  </si>
  <si>
    <t>LB1029.R4.M45 2008eb</t>
  </si>
  <si>
    <t>Constructing Scientific Understanding through Contextual Teaching</t>
  </si>
  <si>
    <t>Frank &amp; Timme</t>
  </si>
  <si>
    <t>Heering, Peter;Osewold, Daniel</t>
  </si>
  <si>
    <t>Q181.C66 2007</t>
  </si>
  <si>
    <t>Science--Study and teaching.</t>
  </si>
  <si>
    <t>Obsessed with the Doctoral Theses</t>
  </si>
  <si>
    <t>Rotterdam</t>
  </si>
  <si>
    <t>Määttä, Kaarina</t>
  </si>
  <si>
    <t>Dissertations, Academic.</t>
  </si>
  <si>
    <t>Discipline and Learn</t>
  </si>
  <si>
    <t>Watkins, Megan</t>
  </si>
  <si>
    <t>Tertiary Education at a Glance: China</t>
  </si>
  <si>
    <t>Yu, Kai;Lynn Stith, Andrea;Liu, Li;Chen, Huizhong</t>
  </si>
  <si>
    <t>Global Perspectives on Higher Education Series</t>
  </si>
  <si>
    <t>Miracle of Education : The Principles and Practices of Teaching and Learning in Finnish Schools</t>
  </si>
  <si>
    <t>Brill / Sense</t>
  </si>
  <si>
    <t>Niemi, Hannele;Toom, Auli;Kallioniemi, Arto</t>
  </si>
  <si>
    <t>Teachers--Training of--Finland.</t>
  </si>
  <si>
    <t>The Immigration and Education Nexus</t>
  </si>
  <si>
    <t>Urias, David A.</t>
  </si>
  <si>
    <t>Comparative and International Education: a Diversity of Voices Series</t>
  </si>
  <si>
    <t>Minorities-Education (Elementary) ; Minorities-Education (Secondary) ; Minorities-Education (Higher)</t>
  </si>
  <si>
    <t>Changes in Teachers' Moral Role : From Passive Observers to Moral and Democratic Leaders</t>
  </si>
  <si>
    <t>Alt, Dorit;Reingold, Roni</t>
  </si>
  <si>
    <t>Moral Development and Citizenship Education Series</t>
  </si>
  <si>
    <t>Moral education. ; Values-Study and teaching.</t>
  </si>
  <si>
    <t>Ratio and Proportion</t>
  </si>
  <si>
    <t>Ben-Chaim, David;Keret, Yaffa;Ilany, Bat-Sheva</t>
  </si>
  <si>
    <t>Mathematics teachers--Training of.</t>
  </si>
  <si>
    <t>Campaigning for Education for All : Histories, Strategies and Outcomes of Transnational Advocacy Coalitions in Education</t>
  </si>
  <si>
    <t>Verger, Antoni;Novelli, Mario</t>
  </si>
  <si>
    <t>Education--Political aspects.</t>
  </si>
  <si>
    <t>Gratitude in Education : A Radical View</t>
  </si>
  <si>
    <t>Howells, Kerry</t>
  </si>
  <si>
    <t>Contemporary Issues in African Sciences and Science Education</t>
  </si>
  <si>
    <t>Asabere-Ameyaw, Akwasi;Sefa Dei, George J.;Raheem, Kolawole</t>
  </si>
  <si>
    <t>Science -- Study and teaching -- Africa.</t>
  </si>
  <si>
    <t>It Takes a Village : A Collaborative Assault on the Struggling Reader Dilemma</t>
  </si>
  <si>
    <t>Rattigan-Rohr, Jean</t>
  </si>
  <si>
    <t>Reading teachers.</t>
  </si>
  <si>
    <t>Learning, Social Interaction and Diversity - Exploring Identities in School Practices</t>
  </si>
  <si>
    <t>Hjörne, Eva;van der Aalsvoort, Geerdina;de Abreu, Guida</t>
  </si>
  <si>
    <t>Multicultural education. ; Communication in education. ; Social interaction in children.</t>
  </si>
  <si>
    <t>Quality and Qualities: Tensions in Education Reforms</t>
  </si>
  <si>
    <t>Acedo, Clementina;Adams, Don;Popa, Simona</t>
  </si>
  <si>
    <t>Opening the Cage : Critique and Politics of Mathematics Education</t>
  </si>
  <si>
    <t>Skovsmose, Ole;Greer, Brian</t>
  </si>
  <si>
    <t>New Directions in Mathematics and Science Education Series</t>
  </si>
  <si>
    <t>Mathematics-Study and teaching-Political aspects.</t>
  </si>
  <si>
    <t>Making It Real : Case Stories for Secondary Teachers</t>
  </si>
  <si>
    <t>Gorlewski, Julie A.;Gorlewski, David A.</t>
  </si>
  <si>
    <t>Education, Secondary -- Standards -- United States -- Case studies. ; High school teaching -- United States -- Case studies.</t>
  </si>
  <si>
    <t>The World Bank and Education : Critiques and Alternatives</t>
  </si>
  <si>
    <t>Klees, Steven J.;Samoff, Joel;Stromquist, Nelly P.</t>
  </si>
  <si>
    <t>World Bank. ; Education-Finance. ; Education-Political aspects.</t>
  </si>
  <si>
    <t>Research in Mathematics Education in Australasia 2008-2011</t>
  </si>
  <si>
    <t>Perry, Bob;Lowrie, Tom;Logan, Tracy;MacDonald, Amy;Greenlees, Jane</t>
  </si>
  <si>
    <t>Mathematics--Study and teaching--Australasia.</t>
  </si>
  <si>
    <t>The Socratic Classroom</t>
  </si>
  <si>
    <t>Chesters, Sarah Davey</t>
  </si>
  <si>
    <t>Questioning.</t>
  </si>
  <si>
    <t>Inclusive Communities : A Critical Reader</t>
  </si>
  <si>
    <t>Azzopardi, Andrew;Grech, Shaun</t>
  </si>
  <si>
    <t>Studies in Inclusive Education Series</t>
  </si>
  <si>
    <t>Inclusive education. ; Communities.</t>
  </si>
  <si>
    <t>Collective Responsibility: Redefining What Falls Between the Cracks for School Reform</t>
  </si>
  <si>
    <t>Whalan, Frances</t>
  </si>
  <si>
    <t>Educational change.</t>
  </si>
  <si>
    <t>Learning and Doing Policy Analysis in Education: Examining Diverse Approaches to Increasing Educational Access</t>
  </si>
  <si>
    <t>Tatto, Maria Teresa;Bruner, Justin;Hussain Chang, Fida;George Cramfield, Corvell;Miyoko Kintz, Tara;Kuo, Nai-Cheng;Kurtti Pylvainen, Sandra;Sharif, Andleeb</t>
  </si>
  <si>
    <t>Reading for Evidence and Interpreting Visualizations in Mathematics and Science Education</t>
  </si>
  <si>
    <t>Norris, Stephen P.</t>
  </si>
  <si>
    <t>Educational Research and Professional Learning in Changing Times: the MARBLE Experience</t>
  </si>
  <si>
    <t>Watson, Jane;Beswick, Kim;Brown, Natalie</t>
  </si>
  <si>
    <t>Education--Research.</t>
  </si>
  <si>
    <t>Teacher Learning and Power in the Knowledge Society</t>
  </si>
  <si>
    <t>Clark, Rosemary;Livingstone, D. W.;Smaller, Harry</t>
  </si>
  <si>
    <t>The Knowledge Economy and Education Series</t>
  </si>
  <si>
    <t>Teachers-Training of. ; Professional education.</t>
  </si>
  <si>
    <t>Precarious International Multicultural Education:Hegemony, Dissent and Rising Alternatives</t>
  </si>
  <si>
    <t>Wright, Handel Kashope;Singh, Michael;Race, Richard</t>
  </si>
  <si>
    <t>Transgressions Series</t>
  </si>
  <si>
    <t>Multicultural education. ; International education.</t>
  </si>
  <si>
    <t>Getting There : Women's Journeys to and Through Educational Attainment</t>
  </si>
  <si>
    <t>Pemberton, Cynthia Lee A.;Akkary, Rima Karami;Beegle, Donna M.;White, Eileen Casey;Gatimu, Wangeci M.</t>
  </si>
  <si>
    <t>Women--Education.</t>
  </si>
  <si>
    <t>The New Politics of the Textbook : Problematizing the Portrayal of Marginalized Groups in Textbooks</t>
  </si>
  <si>
    <t>Hickman, Heather;Porfilio, Brad J.</t>
  </si>
  <si>
    <t>Constructing Knowledge: Curriculum Studies in Action Series</t>
  </si>
  <si>
    <t>Textbooks-Social aspects. ; Marginality, Social.</t>
  </si>
  <si>
    <t>Canadian Education : Governing Practices and Producing Subjects</t>
  </si>
  <si>
    <t>Spencer, Brenda L.;Gariepy, Kenneth D.;Dehli, Kari;Ryan, James</t>
  </si>
  <si>
    <t>Education--Canada.</t>
  </si>
  <si>
    <t>Being and Learning : A Poetic Phenomenology of Education</t>
  </si>
  <si>
    <t>Duarte, Eduardo M.</t>
  </si>
  <si>
    <t>Science in Primary Schools: Examining the Practices of Effective Teachers</t>
  </si>
  <si>
    <t>Fitzgerald, Angela</t>
  </si>
  <si>
    <t>Science--Study and teaching (Elementary)</t>
  </si>
  <si>
    <t>Professional Learning in the Knowledge Society</t>
  </si>
  <si>
    <t>Jensen, Karen;Lahn, Leif Chr.;Nerland, Monika</t>
  </si>
  <si>
    <t>Professional education.</t>
  </si>
  <si>
    <t>EleMENtary School:(Hyper) Masculinity in a Feminized Context</t>
  </si>
  <si>
    <t>Richardson, Scott</t>
  </si>
  <si>
    <t>Sex differences in education.</t>
  </si>
  <si>
    <t>Mother-Scholar : (Re)imagining K-12 Education</t>
  </si>
  <si>
    <t>Lapayese, Yvette V.</t>
  </si>
  <si>
    <t>Ways of Learning to Teach : A Philosophically Inspired Analysis of Teacher Education Programs</t>
  </si>
  <si>
    <t>Back, Shlomo</t>
  </si>
  <si>
    <t>Teachers--Training of.</t>
  </si>
  <si>
    <t>Collaborative Knowledge Creation : Practices, Tools, Concepts</t>
  </si>
  <si>
    <t>Moen, Anne;Mørch, Anders I.;Paavola, Sami</t>
  </si>
  <si>
    <t>Technology Enhanced Learning Series</t>
  </si>
  <si>
    <t>Group work in education. ; Team learning approach in education. ; Education-Experimental methods.</t>
  </si>
  <si>
    <t>Reflections on Learning, Life and Work : Completing Doctoral Studies in Mid and Later Life and Career</t>
  </si>
  <si>
    <t>Ryan, Maureen</t>
  </si>
  <si>
    <t>Dancing in the Light : Essential Elements for an Inquiry Classroom</t>
  </si>
  <si>
    <t>Behrenbruch, Marcia</t>
  </si>
  <si>
    <t>Composing a Care of the Self : A Critical History of Writing Assessment in Secondary English Education</t>
  </si>
  <si>
    <t>Carlson, David Lee;Albright, James</t>
  </si>
  <si>
    <t>English language--Study and teaching (Secondary)--History.</t>
  </si>
  <si>
    <t>Enlightenment, Creativity and Education : Polities, Politics, Performances</t>
  </si>
  <si>
    <t>Wikander, Lennart;Gustafsson, Christina;Riis, Ulla</t>
  </si>
  <si>
    <t>Education-Research-Congresses. ; Philosophy, Modern-Congresses.</t>
  </si>
  <si>
    <t>Effects of Higher Education Reforms: Change Dynamics</t>
  </si>
  <si>
    <t>Vukasović, Martina;Maassen, Peter;Nerland, Monika;Stensaker, Bjø</t>
  </si>
  <si>
    <t>Higher Education Research in the 21st Century Series</t>
  </si>
  <si>
    <t>Higher education and state. ; Educational change.</t>
  </si>
  <si>
    <t>The New Inheritors : Transforming Young People's Expectations of University</t>
  </si>
  <si>
    <t>Mattarozzi Laming, Madeleine</t>
  </si>
  <si>
    <t>College students--Australia.</t>
  </si>
  <si>
    <t>Understanding Teaching and Learning : Classroom Research Revisited</t>
  </si>
  <si>
    <t>Kaur, Baljit</t>
  </si>
  <si>
    <t>Interaction analysis in education.</t>
  </si>
  <si>
    <t>Shifting Strands : Curriculum Theory for a Democratic Age</t>
  </si>
  <si>
    <t>Griffith, Bryant</t>
  </si>
  <si>
    <t>Education--Curricula.</t>
  </si>
  <si>
    <t>Schooling the Estate Kids</t>
  </si>
  <si>
    <t>Studies in Professional Life and Work Series</t>
  </si>
  <si>
    <t>Poor children-Education-Great Britain. ; Educational equalization-Great Britain.</t>
  </si>
  <si>
    <t>Dimensions in Mentoring : A Continuum of Practice from Beginning Teachers to Teacher Leaders</t>
  </si>
  <si>
    <t>Myers, Susan;Anderson, Connie</t>
  </si>
  <si>
    <t>Complex Classroom Encounters : A South African Perspective</t>
  </si>
  <si>
    <t>Evans, Rinelle;Cleghorn, Ailie</t>
  </si>
  <si>
    <t>Education--South Africa.</t>
  </si>
  <si>
    <t>Theories of Bildung and Growth : Connections and Controversies Between Continental Educational Thinking and American Pragmatism</t>
  </si>
  <si>
    <t>Siljander, Pauli;Kivelä, Ari;Sutinen, Ari</t>
  </si>
  <si>
    <t>Greening the Academy : Ecopedagogy Through the Liberal Arts</t>
  </si>
  <si>
    <t>Fassbinder, Samuel;Nocella, Anthony;Kahn, Richard</t>
  </si>
  <si>
    <t>Universities and colleges--Environmental aspects--United States.</t>
  </si>
  <si>
    <t>Making the Moment Matter : Care Theory for Teacher Learning</t>
  </si>
  <si>
    <t>Trout, Muffet</t>
  </si>
  <si>
    <t>Teacher-student relationships. ; Teachers-Training of.</t>
  </si>
  <si>
    <t>Alternative Forms of Knowing (in) Mathematics : Celebrations of Diversity of Mathematical Practices</t>
  </si>
  <si>
    <t>Mukhopadhyay, Swapna;Roth, Wolff-Michael</t>
  </si>
  <si>
    <t>Mathematics-Study and teaching. ; Mathematics-Study and teaching-United States.</t>
  </si>
  <si>
    <t>Theory into Practice : Case Stories for School Leaders</t>
  </si>
  <si>
    <t>Gorlewski, Julie A.;Gorlewski, David A.;Ramming, Thomas M.</t>
  </si>
  <si>
    <t>Educational leadership-Case studies.</t>
  </si>
  <si>
    <t>Chinese Scholars on Western Ideas about Thinking, Leadership, Reform and Development in Education</t>
  </si>
  <si>
    <t>Chen, Sylvester;Kompf, Michael</t>
  </si>
  <si>
    <t>Critical Issues in the Future of Learning and Teaching Series</t>
  </si>
  <si>
    <t>Education-China. ; Education-Western countries.</t>
  </si>
  <si>
    <t>Interpersonal Relationships in Education : An Overview of Contemporary Research</t>
  </si>
  <si>
    <t>Wubbels, Theo;den Brok, Perry;van Tartwijk, Jan;Levy, Jack</t>
  </si>
  <si>
    <t>Advances in Learning Environments Research Series</t>
  </si>
  <si>
    <t>Teacher-student relationships. ; Interpersonal relations.</t>
  </si>
  <si>
    <t>Indigenous Education : A Learning Journey for Teachers, Schools and Communities</t>
  </si>
  <si>
    <t>Burridge, Nina;Whalan, Frances;Vaughan, Karen</t>
  </si>
  <si>
    <t>Learning with Adults : A Critical Pedagogical Introduction</t>
  </si>
  <si>
    <t>English, Leona M.;Mayo, Peter</t>
  </si>
  <si>
    <t>International Issues in Adult Education Series</t>
  </si>
  <si>
    <t>Twenty-First Century Learning by Doing</t>
  </si>
  <si>
    <t>Meloy, Judith</t>
  </si>
  <si>
    <t>Higher Education Management and Operational Research : Demonstrating New Practices and Metaphors</t>
  </si>
  <si>
    <t>Bell, Gary;Warwick, Jon;Galbraith, Peter</t>
  </si>
  <si>
    <t>Educational Futures Series</t>
  </si>
  <si>
    <t>Education, Higher-Administration. ; Education-Administration.</t>
  </si>
  <si>
    <t>Critical Issues in Higher Education</t>
  </si>
  <si>
    <t>Kompf, Michael;Denicolo, Pamela M.</t>
  </si>
  <si>
    <t>Expanding Notions of Assessment for Learning : Inside Science and Technology Primary Classrooms</t>
  </si>
  <si>
    <t>Cowie, Bronwen;Moreland, Judy;Otrel-Cass, Kathrin</t>
  </si>
  <si>
    <t>The Servant : Leadership Role of Catholic High School Principals</t>
  </si>
  <si>
    <t>Nsiah, Joseph;Walker, Keith</t>
  </si>
  <si>
    <t>The Pedagogy of the Open Society : Knowledge and the Governance of Higher Education</t>
  </si>
  <si>
    <t>Peters, Michael A.;Liu, Tze-Chang;Ondercin, David J.</t>
  </si>
  <si>
    <t>Open Education Series</t>
  </si>
  <si>
    <t>Personalisation of Education in Contexts : Policy Critique and Theories of Personal Improvement</t>
  </si>
  <si>
    <t>E. Mincu, Monica</t>
  </si>
  <si>
    <t>Individualized education programs. ; Individualized instruction.</t>
  </si>
  <si>
    <t>Families, Education and Giftedness : Case Studies in the Construction of High Achievement</t>
  </si>
  <si>
    <t>Campbell, Jim;Smith, Laura Mazzoli</t>
  </si>
  <si>
    <t>Advances in Creativity and Giftedness Series</t>
  </si>
  <si>
    <t>Gifted children-Education-England. ; Home and school-England.</t>
  </si>
  <si>
    <t>Learning and Education for a Better World : The Role of Social Movements</t>
  </si>
  <si>
    <t>Hall, Budd L.;Clover, Darlene E.;Crowther, Jim;Scandrett, Eurig</t>
  </si>
  <si>
    <t>Social movements. ; Educational sociology.</t>
  </si>
  <si>
    <t>Whisperings from the Corridors : Stories of Teachers in Higher Education</t>
  </si>
  <si>
    <t>Garvis, Susanne;Dwyer, Rachael</t>
  </si>
  <si>
    <t>College teachers.</t>
  </si>
  <si>
    <t>Practice-Based Education : Perspectives and Strategies</t>
  </si>
  <si>
    <t>Higgs, Joy;Barnett, Ronald;Billett, Stephen;Hutchings, Maggie;Trede, Franziska</t>
  </si>
  <si>
    <t>Practice, Education, Work and Society Series</t>
  </si>
  <si>
    <t>Professional education. ; Education, Higher.</t>
  </si>
  <si>
    <t>Realising Exemplary Practice-Based Education</t>
  </si>
  <si>
    <t>Higgs, Joy;Sheehan, Dale;Currens, Julie Baldry;Letts, Will;Jensen, Gail M.</t>
  </si>
  <si>
    <t>Education--Methodology. ; Research--Methodology. ; Professional education.</t>
  </si>
  <si>
    <t>Rattling Chains : Exploring Social Justice in Education</t>
  </si>
  <si>
    <t>G. Denti, Louis;A. Whang, Patricia</t>
  </si>
  <si>
    <t>Social justice-Study and teaching. ; Education-Social aspects.</t>
  </si>
  <si>
    <t>Preparation, Practice, and Politics of Teachers : Problems and Prospects in Comparative Perspective</t>
  </si>
  <si>
    <t>Ginsburg, Mark</t>
  </si>
  <si>
    <t>Comparative and International Education: Diversity of Voices Series</t>
  </si>
  <si>
    <t>LB1775 .P74 2012</t>
  </si>
  <si>
    <t>Teachers. ; Teachers-Training of.</t>
  </si>
  <si>
    <t>Gendered Voices : Reflections on Gender and Education in South Africa and Sudan</t>
  </si>
  <si>
    <t>Holmarsdottir, H. B.;Nomlomo, V.;Farag, A. I.;Desai, Z.</t>
  </si>
  <si>
    <t>Gender identity in education-South Africa. ; Gender identity in education-Sudan.</t>
  </si>
  <si>
    <t>Schools, Curriculum and Civic Education for Building Democratic Citizens</t>
  </si>
  <si>
    <t>Print, Murray;Lange, Dirk</t>
  </si>
  <si>
    <t>We Saved the Best for You : Letters of Hope, Imagination and Wisdom for 21st Century Educators</t>
  </si>
  <si>
    <t>Kress, Tricia M.;Lake, Robert</t>
  </si>
  <si>
    <t>Imagination and Praxis: Criticality and Creativity in Education and Educational Research Series</t>
  </si>
  <si>
    <t>Children's Human Rights and Public Schooling in the United States</t>
  </si>
  <si>
    <t>Hall, Julia</t>
  </si>
  <si>
    <t>Educational sociology-United States. ; Public schools-United States. ; Children's rights-United States.</t>
  </si>
  <si>
    <t>Critical Perspectives on International Education</t>
  </si>
  <si>
    <t>Hébert, Yvonne;Abdi, Ali A.</t>
  </si>
  <si>
    <t>International education. ; Education.</t>
  </si>
  <si>
    <t>Human Rights in the Field of Comparative Education</t>
  </si>
  <si>
    <t>Biseth, Heidi</t>
  </si>
  <si>
    <t>Comparative education. ; Human rights-Study and teaching.</t>
  </si>
  <si>
    <t>Creating Holistic Technology-Enhanced Learning Experiences : Tales from a Future School in Singapore</t>
  </si>
  <si>
    <t>TAY, Lee Yong;LIM, Cher Ping</t>
  </si>
  <si>
    <t>Educational technology--Singapore.</t>
  </si>
  <si>
    <t>Permanent Exclusion from School and Institutional Prejudice : Creating Change Through Critical Bureaucracy</t>
  </si>
  <si>
    <t>Carlile, Anna</t>
  </si>
  <si>
    <t>Student expulsion. ; School discipline.</t>
  </si>
  <si>
    <t>The Nature of Transformation : Environmental Adult Education</t>
  </si>
  <si>
    <t>Clover, Darlene E.;Jayme, Bruno de O.;Hall, Budd L.;Follen, Shirley</t>
  </si>
  <si>
    <t>Environmental education. ; Adult education.</t>
  </si>
  <si>
    <t>Civic Education and Competences for Engaging Citizens in Democracies</t>
  </si>
  <si>
    <t>Civic and Political Education Series</t>
  </si>
  <si>
    <t>LC1091 .C58 2013</t>
  </si>
  <si>
    <t>Citizenship-Study and teaching-Europe. ; Civics-Study and teaching-Europe.</t>
  </si>
  <si>
    <t>Living Otherwise : Students with Profound and Multiple Learning Disabilities As Agents in Educational Contexts</t>
  </si>
  <si>
    <t>Mercieca, Duncan P.</t>
  </si>
  <si>
    <t>Children with disabilities-Education. ; Inclusive education. ; Mainstreaming in education.</t>
  </si>
  <si>
    <t>Learning What to Ignore : Connecting Multidiscipline Content and Process</t>
  </si>
  <si>
    <t>P. Pritscher, Conrad</t>
  </si>
  <si>
    <t>Open learning. ; Education-Philosophy.</t>
  </si>
  <si>
    <t>Technology Education for Teachers</t>
  </si>
  <si>
    <t>Williams, P. John</t>
  </si>
  <si>
    <t>International Technology Education Series</t>
  </si>
  <si>
    <t>Technology--Study and teaching.</t>
  </si>
  <si>
    <t>Education, Dominance and Identity</t>
  </si>
  <si>
    <t>Napier, Diane B.;Majhanovich, Suzanne</t>
  </si>
  <si>
    <t>Learn Science, Learn Math, Learn to Teach Science and Math, Homo Sapiens</t>
  </si>
  <si>
    <t>MOSCOVICI, Hedy;Gilmer, Penny J.;Wieseman, Katherine C.</t>
  </si>
  <si>
    <t>Cultural Perspectives in Science Education Series</t>
  </si>
  <si>
    <t>Conceptual Model-Based Problem Solving : Teach Students with Learning Difficulties to Solve Math Problems</t>
  </si>
  <si>
    <t>Xin, Yan Ping</t>
  </si>
  <si>
    <t>Mathematics--Study and teaching (Elementary)--United States.</t>
  </si>
  <si>
    <t>Supervising Student Teachers : Issues, Perspectives and Future Directions</t>
  </si>
  <si>
    <t>Cuenca, Alexander</t>
  </si>
  <si>
    <t>Student teachers--Supervision of--United States.</t>
  </si>
  <si>
    <t>Segregation Hurts : Voices of Youth with Disabilities and Their Families in India</t>
  </si>
  <si>
    <t>Antony, Pavan John</t>
  </si>
  <si>
    <t>Fighting, Loving, Teaching : An Exploration of Hope, Armed Love and Critical Urban Pedagogies</t>
  </si>
  <si>
    <t>A. Daniels, Emily</t>
  </si>
  <si>
    <t>Leadership for Inclusive Education : Values, Vision and Voices</t>
  </si>
  <si>
    <t>Ruairc, G. Mac;Ottesen, E.;Precey, R.</t>
  </si>
  <si>
    <t>Education for Tomorrow : A Biocentric, Student-Focused Model for Reconstructing Education</t>
  </si>
  <si>
    <t>Risku, Michael;Harding, Letitia</t>
  </si>
  <si>
    <t>Education--Aims and objectives.</t>
  </si>
  <si>
    <t>John Dewey and Education Outdoors : Making Sense of the 'Educational Situation' Through More Than a Century of Progressive Reforms</t>
  </si>
  <si>
    <t>Quay, John;Seaman, Jayson</t>
  </si>
  <si>
    <t>Building World-Class Universities : Different Approaches to a Shared Goal</t>
  </si>
  <si>
    <t>Wang, Qi;Cheng, Ying;Cai Liu, Nian</t>
  </si>
  <si>
    <t>Literacy Teacher Educators : Preparing Teachers for a Changing World</t>
  </si>
  <si>
    <t>Kosnik, Clare;Rowsell, Jennifer;Williamson, Peter;Simon, Rob</t>
  </si>
  <si>
    <t>Reading teachers--Training of.</t>
  </si>
  <si>
    <t>Constructing Representations to Learn in Science</t>
  </si>
  <si>
    <t>Tytler, Russell;Prain, Vaughan;Hubber, Peter;Waldrip, Bruce</t>
  </si>
  <si>
    <t>Many Faces of Love</t>
  </si>
  <si>
    <t>Sense Publishers</t>
  </si>
  <si>
    <t>Uusiautti, Satu;Määttä, Kaarina</t>
  </si>
  <si>
    <t>Love.</t>
  </si>
  <si>
    <t>Conceptualising Women's Working Lives : Moving the Boundaries of Discourse</t>
  </si>
  <si>
    <t>Patton, Wendy</t>
  </si>
  <si>
    <t>Career Development Series</t>
  </si>
  <si>
    <t>Cartographies of Becoming in Education : A Deleuze-Guattari Perspective</t>
  </si>
  <si>
    <t>Masny, Diana</t>
  </si>
  <si>
    <t>Arts-Based Research : A Critique and a Proposal</t>
  </si>
  <si>
    <t>Jagodzinski, Jan;Wallin, Jason</t>
  </si>
  <si>
    <t>Qualitative research--Methodology.</t>
  </si>
  <si>
    <t>Modeling and Measuring Competencies in Higher Education : Tasks and Challenges</t>
  </si>
  <si>
    <t>Blömeke, Sigrid;Zlatkin-Troitschanskaia, Olga;Kuhn, Christiane;Fege, Judith</t>
  </si>
  <si>
    <t>Professional and VET Learning Series</t>
  </si>
  <si>
    <t>Fairness in Access to Higher Education in a Global Perspective : Reconciling Excellence, Efficiency, and Justice</t>
  </si>
  <si>
    <t>Meyer, Heinz-Dieter;St. John, Edward P.;Chankseliani, Maia;Uribe, Lina</t>
  </si>
  <si>
    <t>Universities and colleges--Admission.</t>
  </si>
  <si>
    <t>Creatively Gifted Students Are Not Like Other Gifted Students : Research, Theory, and Practice</t>
  </si>
  <si>
    <t>Kim, Kyung Hee;Kaufman, James C.;Baer, John;Sriraman, Bharath</t>
  </si>
  <si>
    <t>Teaching Chemistry - a Studybook : A Practical Guide and Textbook for Student Teachers, Teacher Trainees and Teachers</t>
  </si>
  <si>
    <t>Eilks, Ingo;Hofstein, Avi</t>
  </si>
  <si>
    <t>Chemistry--Study and teaching.</t>
  </si>
  <si>
    <t>STEM Project-Based Learning : An Integrated Science, Technology, Engineering, and Mathematics (STEM) Approach</t>
  </si>
  <si>
    <t>Capraro, Robert M.;Capraro, Mary Margaret;Morgan, James R.</t>
  </si>
  <si>
    <t>Language Issues in Comparative Education : Inclusive Teaching and Learning in Non-Dominant Languages and Cultures</t>
  </si>
  <si>
    <t>Benson, Carol;Kosonen, Kimmo</t>
  </si>
  <si>
    <t>Language and education. ; Multicultural education. ; Multilingual education.</t>
  </si>
  <si>
    <t>Back to the Future : Legacies, Continuities and Changes in Educational Policy, Practice and Research</t>
  </si>
  <si>
    <t>Vilaça, Maria Teresa;Carvalho, Ana Amélia;Ferreira, Fernando Ilídio;Flores, Maria Assunção</t>
  </si>
  <si>
    <t>What More in/for Science Education : An Ethnomethodological Perspective</t>
  </si>
  <si>
    <t>Roth, Wolff-Michael</t>
  </si>
  <si>
    <t>Science-Study and teaching.</t>
  </si>
  <si>
    <t>Exploring Relational Professionalism in Schools</t>
  </si>
  <si>
    <t>Frelin, Anneli</t>
  </si>
  <si>
    <t>Teachers-Vocational guidance. ; Professional socialization.</t>
  </si>
  <si>
    <t>Telling Tales over Time : Calendars, Clocks, and School Effectiveness</t>
  </si>
  <si>
    <t>Weiss, Joel;S. Brown, Robert</t>
  </si>
  <si>
    <t>Schedules, School.</t>
  </si>
  <si>
    <t>On Meaning and Mental Representation : A Pragmatic Approach</t>
  </si>
  <si>
    <t>Mathematics-Study and teaching. ; Science-Study and teaching.</t>
  </si>
  <si>
    <t>From Diagnostics to Learning Success : Proceedings in Vocational Education and Training</t>
  </si>
  <si>
    <t>Beck, Klaus</t>
  </si>
  <si>
    <t>Vocational education.</t>
  </si>
  <si>
    <t>Constructing New Professional Identities : Career Changers in Teacher Education</t>
  </si>
  <si>
    <t>Williams, Judy</t>
  </si>
  <si>
    <t>Teachers--Vocational guidance.</t>
  </si>
  <si>
    <t>Teaching in Tension : International Pedagogies, National Policies, and Teachers' Practices in Tanzania</t>
  </si>
  <si>
    <t>Vavrus, Frances;Bartlett, Lesley</t>
  </si>
  <si>
    <t>Pittsburgh Studies in Comparative and International Education Series</t>
  </si>
  <si>
    <t>Education-Tanzania. ; Education and state-Tanzania. ; Multicultural education-Tanzania.</t>
  </si>
  <si>
    <t>Raising the Alarm : An Examination of Innovation and Philosophical Denial</t>
  </si>
  <si>
    <t>Andrew Este, Robert</t>
  </si>
  <si>
    <t>Advances in Innovation Education Series</t>
  </si>
  <si>
    <t>Educational innovations. ; Educational change. ; Education-Philosophy.</t>
  </si>
  <si>
    <t>Pedagogies for the Future : Leading Quality Learning and Teaching in Higher Education</t>
  </si>
  <si>
    <t>Brandenburg, Robyn;Z. Wilson, Jacqueline</t>
  </si>
  <si>
    <t>Volunteer Work, Informal Learning and Social Action</t>
  </si>
  <si>
    <t>Duguid, Fiona;Mündel, Karsten;Schugurensky, Daniel</t>
  </si>
  <si>
    <t>Service learning. ; Voluntarism. ; Student volunteers in social service.</t>
  </si>
  <si>
    <t>Contemporary Studies in Environmental and Indigenous Pedagogies : A Curricula of Stories and Place</t>
  </si>
  <si>
    <t>Kulnieks, Andrejs;Longboat, Dan Roronhiakewen;Young, Kelly</t>
  </si>
  <si>
    <t>Critical pedagogy.</t>
  </si>
  <si>
    <t>Being Alongside : For the Teaching and Learning of Mathematics</t>
  </si>
  <si>
    <t>Coles, Alf</t>
  </si>
  <si>
    <t>The Edusemiotics of Images : Essays on the Art&amp;sim;Science of Tarot</t>
  </si>
  <si>
    <t>Semetsky, Inna</t>
  </si>
  <si>
    <t>Indirect Pedagogy : Some Lessons in Existential Education</t>
  </si>
  <si>
    <t>Saeverot, Herner</t>
  </si>
  <si>
    <t>Teaching-Philosophy. ; Education-Philosophy.</t>
  </si>
  <si>
    <t>Counselling for Career Construction : Connecting Life Themes to Construct Life Portraits: Turning Pain into Hope</t>
  </si>
  <si>
    <t>Maree, J. G.</t>
  </si>
  <si>
    <t>Vocational guidance. ; Career development.</t>
  </si>
  <si>
    <t>Excellence in Scholarship : Transcending Transdisciplinarity in Teacher Education</t>
  </si>
  <si>
    <t>Alagumalai, Sivakumar;Burley, Stephanie;Keeves, John P.</t>
  </si>
  <si>
    <t>Teaching -- Methodology. ; Teaching -- Research.</t>
  </si>
  <si>
    <t>Mathematics Classrooms: Students' Activities and Teachers' Practices</t>
  </si>
  <si>
    <t>Vandebrouck, Fabrice</t>
  </si>
  <si>
    <t>Mathematics -- Study and teaching. ; Mathematics teachers.</t>
  </si>
  <si>
    <t>Multilingualism and Multimodality : Current Challenges for Educational Studies</t>
  </si>
  <si>
    <t>de Saint-Georges, Ingrid;Weber, Jean-Jacques</t>
  </si>
  <si>
    <t>The Future of Education Research Series</t>
  </si>
  <si>
    <t>Multilingualism. ; Education-Methodology.</t>
  </si>
  <si>
    <t>Engaged Scholarship : The Politics of Engagement and Disengagement</t>
  </si>
  <si>
    <t>Shultz, Lynette;Kajner, Tania</t>
  </si>
  <si>
    <t>Education and state. ; Education-Political aspects.</t>
  </si>
  <si>
    <t>Leaders in Gender and Education : Intellectual Self-Portraits</t>
  </si>
  <si>
    <t>Hightower, Marcus B. Weaver-;Skelton, Christine</t>
  </si>
  <si>
    <t>Leaders in Educational Studies</t>
  </si>
  <si>
    <t>Gender identity in education. ; Sex differences in education.</t>
  </si>
  <si>
    <t>Proficiency and Beliefs in Learning and Teaching Mathematics : Learning from Alan Schoenfeld and Günter Törner</t>
  </si>
  <si>
    <t>Li, Yeping;Moschkovich, Judit N.</t>
  </si>
  <si>
    <t>Mathematics Teaching and Learning Series</t>
  </si>
  <si>
    <t>Törner, Günter,-1947- ; Schoenfeld, Alan H. ; Mathematics-Study and teaching.</t>
  </si>
  <si>
    <t>The Nature of Technology : Implications for Learning and Teaching</t>
  </si>
  <si>
    <t>Clough, Michael P.;Olson, Joanne K.;Niederhauser, Dale S.</t>
  </si>
  <si>
    <t>Political Sociology of Adult Education</t>
  </si>
  <si>
    <t>Torres, Carlos Alberto</t>
  </si>
  <si>
    <t>Education-Social aspects. ; Education-Political aspects.</t>
  </si>
  <si>
    <t>Private Tutoring Across the Mediterranean : Power Dynamics and Implications for Learning and Equity</t>
  </si>
  <si>
    <t>Bray, Mark;Mazawi, André E.;Sultana, Ronald G.</t>
  </si>
  <si>
    <t>Tutors and tutoring. ; Education-Social aspects.</t>
  </si>
  <si>
    <t>Activity Theory in Formal and Informal Science Education</t>
  </si>
  <si>
    <t>Plakitsi, Katerina</t>
  </si>
  <si>
    <t>Science-Study and teaching. ; Teaching-Methodology.</t>
  </si>
  <si>
    <t>The Creative University</t>
  </si>
  <si>
    <t>Peters, Michael A.;Besley, Tina</t>
  </si>
  <si>
    <t>Creative Education Series</t>
  </si>
  <si>
    <t>Capacity Building for School Improvement : Revisited</t>
  </si>
  <si>
    <t>Stringer, Patricia</t>
  </si>
  <si>
    <t>Contemporary Approaches to Research in Learning Innovations Series</t>
  </si>
  <si>
    <t>Educational change. ; School improvement programs.</t>
  </si>
  <si>
    <t>Educating Health Professionals: Becoming a University Teacher</t>
  </si>
  <si>
    <t>Loftus, Stephen;Gerzina, Tania;Higgs, Joy;Smith, Megan;Duffy, Elaine</t>
  </si>
  <si>
    <t>Health education. ; Teacher educators.</t>
  </si>
  <si>
    <t>The Creation of a Professional Learning Community for School Leaders : Insights on the Change Process from the Lens of the School Leader</t>
  </si>
  <si>
    <t>Ludeke, Amalia Humada-</t>
  </si>
  <si>
    <t>Educational leadership. ; Educational change.</t>
  </si>
  <si>
    <t>Student Voice in Mathematics Classrooms Around the World</t>
  </si>
  <si>
    <t>Kaur, Berinderjeet;Anthony, Glenda;Ohtani, Minoru;Clarke, David</t>
  </si>
  <si>
    <t>Learner's Perspective Study Series</t>
  </si>
  <si>
    <t>510.71 S933</t>
  </si>
  <si>
    <t>Re-Calling the Humanities : Language, Education, and Humans Being</t>
  </si>
  <si>
    <t>Hvolbek, Russell H.</t>
  </si>
  <si>
    <t>Humanities-Study and teaching. ; Learning and scholarship.</t>
  </si>
  <si>
    <t>Internationalisation of African Higher Education : Towards Achieving the MDGs</t>
  </si>
  <si>
    <t>Sehoole, Chika;Knight, Jane</t>
  </si>
  <si>
    <t>Education, Higher-Africa. ; Globalization-Africa. ; Education and globalization-Africa.</t>
  </si>
  <si>
    <t>Productive Remembering and Social Agency</t>
  </si>
  <si>
    <t>Strong-Wilson, Teresa;Mitchell, Claudia;Allnutt, Susann;Pithouse-Morgan, Kathleen</t>
  </si>
  <si>
    <t>Memory. ; Memory-Social aspects.</t>
  </si>
  <si>
    <t>Lifelong Action Learning for Community Development : Learning and Development for a Better World</t>
  </si>
  <si>
    <t>Zuber-Skerritt, Ortrun;Teare, Richard</t>
  </si>
  <si>
    <t>Continuing education. ; Community development. ; Adult education. ; Self-culture.</t>
  </si>
  <si>
    <t>Unfolding the Unexpectedness of Uncertainty : Creative Nonfiction and the Lives of Becoming Teachers</t>
  </si>
  <si>
    <t>Sinner, Anita</t>
  </si>
  <si>
    <t>Social Fictions Series</t>
  </si>
  <si>
    <t>Teachers-Canada. ; Teaching-Canada. ; Creative nonfiction. ; Uncertainty. ; Teachers-Training of.</t>
  </si>
  <si>
    <t>Buddhist Voices in School : How a Community Created a Buddhist Education Program for State Schools</t>
  </si>
  <si>
    <t>Erica Smith, Sue</t>
  </si>
  <si>
    <t>Digital Representations of Student Performance for Assessment</t>
  </si>
  <si>
    <t>Williams, P. John;Newhouse, C. Paul</t>
  </si>
  <si>
    <t>Students -- Rating of -- Technological innovations. ; Educational tests and measurements -- Technological innovations. ; Educational technology.</t>
  </si>
  <si>
    <t>The Stewardship of Higher Education : Re-Imagining the Role of Education and Wellness on Community Impact</t>
  </si>
  <si>
    <t>Callejo Pérez, David M.;Ode, Joshua</t>
  </si>
  <si>
    <t>Education, Higher -- Social aspects. ; Health promotion. ; Well-being. ; Universities and colleges -- Health promotion services. ; Universities and colleges -- Social aspects.</t>
  </si>
  <si>
    <t>Disabled Students in Welsh Higher Education : A Framework for Equality and Inclusion</t>
  </si>
  <si>
    <t>Beauchamp-Pryor, Karen</t>
  </si>
  <si>
    <t>People with disabilities-Education (Higher)-Wales. ; People with disabilities in higher education-Wales.</t>
  </si>
  <si>
    <t>The Development of Higher Education Research in Europe : 25 Years of CHER</t>
  </si>
  <si>
    <t>Kehm, Barbara M.;Musselin, Christine</t>
  </si>
  <si>
    <t>Consortium of Higher Education Researchers-History. ; Education, Higher.</t>
  </si>
  <si>
    <t>Portals of Promise : Transforming Beliefs and Practices Through a Curriculum of Parents</t>
  </si>
  <si>
    <t>Pushor, Debbie;the Parent Engagement Collaborative, the Parent Engagement Collaborative</t>
  </si>
  <si>
    <t>Home and school. ; Parent-teacher relationships. ; Community and school.</t>
  </si>
  <si>
    <t>A Critical Pedagogy of Resistance : 34 Pedagogues We Need to Know</t>
  </si>
  <si>
    <t>Kirylo, James D.</t>
  </si>
  <si>
    <t>Education. ; Educators-Biography.</t>
  </si>
  <si>
    <t>The Ecology of School</t>
  </si>
  <si>
    <t>Zandvliet, David</t>
  </si>
  <si>
    <t>Place-based education-Case studies. ; Place-based education-British Columbia-Bowen Island. ; Community and school-British Columbia-Bowen Island.</t>
  </si>
  <si>
    <t>Mediterranean Art and Education : Navigating Local, Regional and Global Imaginaries Through the Lens of the Arts and Learning</t>
  </si>
  <si>
    <t>Baldacchino, John;Vella, Raphael</t>
  </si>
  <si>
    <t>Arts-Mediterranean Region. ; Architecture-Mediterranean Region. ; Creation (Literary, artistic, etc.)-History.</t>
  </si>
  <si>
    <t>Becoming Teachers of Inner-City Students : Life Histories and Teacher Stories of Committed White Teachers</t>
  </si>
  <si>
    <t>C. Jupp, James</t>
  </si>
  <si>
    <t>Teachers, White-Attitudes. ; Teachers-Training of. ; Race awareness. ; Narrative inquiry (Research method)</t>
  </si>
  <si>
    <t>Critical Foundations in Young Adult Literature : Challenging Genres</t>
  </si>
  <si>
    <t>Garcia, Antero</t>
  </si>
  <si>
    <t>Critical Literacy Teaching Series: Challenging Authors and Genres Series</t>
  </si>
  <si>
    <t>PN1008.8 .G36 2013</t>
  </si>
  <si>
    <t>Young adult literature-History and criticism. ; Young adults-Books and reading.</t>
  </si>
  <si>
    <t>Purpose, Process and Future Direction of Disability Research</t>
  </si>
  <si>
    <t>Symeonidou, Simoni;Beauchamp-Pryor, Karen</t>
  </si>
  <si>
    <t>Of Other Thoughts: Non-Traditional Ways to the Doctorate : A Guidebook for Candidates and Supervisors</t>
  </si>
  <si>
    <t>Engels-Schwarzpaul, A. -Chr.;A. Peters, Michael</t>
  </si>
  <si>
    <t>Dissertations, Academic. ; Doctoral students-Education. ; Nontraditional college students-Education. ; Research. ; Universities and colleges-Graduate work.</t>
  </si>
  <si>
    <t>Unhooking from Whiteness : The Key to Dismantling Racism in the United States</t>
  </si>
  <si>
    <t>Hayes, Cleveland;D. Hartlep, Nicholas</t>
  </si>
  <si>
    <t>Interaction in Educational Domains</t>
  </si>
  <si>
    <t>Tirri, Kirsi;Kuusisto, Elina</t>
  </si>
  <si>
    <t>Metastasis and Metastability : A Deleuzian Approach to Information</t>
  </si>
  <si>
    <t>X. Faucher, Kane</t>
  </si>
  <si>
    <t>Information theory-Philosophy. ; Knowledge, Theory of.</t>
  </si>
  <si>
    <t>Contemporary British Autoethnography</t>
  </si>
  <si>
    <t>Short, Nigel P.;Turner, Lydia;Grant, Alec</t>
  </si>
  <si>
    <t>Autobiography-English authors. ; Ethnology-Great Britain.</t>
  </si>
  <si>
    <t>Transfer, Transitions and Transformations of Learning</t>
  </si>
  <si>
    <t>Middleton, Howard;Baartman, L. K. J.</t>
  </si>
  <si>
    <t>International Technology Education Studies</t>
  </si>
  <si>
    <t>LB1069 .T73 2013</t>
  </si>
  <si>
    <t>Transfer of training. ; Transformative learning.</t>
  </si>
  <si>
    <t>Education and the Political : New Theoretical Articulations</t>
  </si>
  <si>
    <t>Szkudlarek, Tomasz</t>
  </si>
  <si>
    <t>Curriculum Innovations in Changing Societies : Chinese Perspectives from Hong Kong, Taiwan and Mainland China</t>
  </si>
  <si>
    <t>Chau, K. W.</t>
  </si>
  <si>
    <t>HD9502-9502.5</t>
  </si>
  <si>
    <t>The Change Laboratory : A Tool for Collaborative Development of Work and Education</t>
  </si>
  <si>
    <t>Virkkunen, Jaakko</t>
  </si>
  <si>
    <t>Organizational learning. ; Group work in education. ; Teams in the workplace.</t>
  </si>
  <si>
    <t>Transforming Teachers' Work Globally : In Search of a Better Way for Schools and Their Communities</t>
  </si>
  <si>
    <t>Kimonen, Eija;Nevalainen, Raimo</t>
  </si>
  <si>
    <t>Educational change. ; Educational innovations. ; Teachers.</t>
  </si>
  <si>
    <t>Creative Leadership Signposts in Higher Education : ... Turn Left at the Duck Pond!</t>
  </si>
  <si>
    <t>Peterson, Fiona J.</t>
  </si>
  <si>
    <t>The International Imperative in Higher Education</t>
  </si>
  <si>
    <t>LB2322.2 .A483 2013</t>
  </si>
  <si>
    <t>Education, Higher-Aims and objectives. ; Education, Higher-Developing countries. ; Comparative education.</t>
  </si>
  <si>
    <t>Testing Times : A History of Vocational, Civil Service and Secondary Examinations in England Since 1850</t>
  </si>
  <si>
    <t>Willis, Richard</t>
  </si>
  <si>
    <t>Examinations -- History. ; Examinations -- England -- History.</t>
  </si>
  <si>
    <t>Practical Design Patterns for Teaching and Learning with Technology</t>
  </si>
  <si>
    <t>Mor, Yishay;Mellar, Harvey;Warburton, Steven;Winters, Niall</t>
  </si>
  <si>
    <t>Educational technology-Planning. ; Educational innovations.</t>
  </si>
  <si>
    <t>A Learning Profession? : Teachers and Their Professional Development in England and Wales 1920-2000</t>
  </si>
  <si>
    <t>Robinson, Wendy</t>
  </si>
  <si>
    <t>LB1725.G7 .R635 2014</t>
  </si>
  <si>
    <t>Teachers-Training of-Great Britain-History-20th century. ; Teachers-In-service training-Great Britain-20th century. ; Career development.</t>
  </si>
  <si>
    <t>A Comparative Analysis of Higher Education Systems : Issues, Challenges and Dilemmas</t>
  </si>
  <si>
    <t>Kariwo, Michael;Gounko, Tatiana;Nungu, Musembi</t>
  </si>
  <si>
    <t>LB2322.2.C667 2014eb</t>
  </si>
  <si>
    <t>Education, Higher -- Cross-cultural studies. ; Comparative education.</t>
  </si>
  <si>
    <t>Alliances for Advancing Academic Women : Guidelines for Collaborating in STEM Fields</t>
  </si>
  <si>
    <t>Gilmer, Penny J.;Tansel, Berrin;Hughes Miller, Michelle</t>
  </si>
  <si>
    <t>Bold Visions in Educational Research Series</t>
  </si>
  <si>
    <t>LB2332.3 .A455 2014</t>
  </si>
  <si>
    <t>Women college teachers. ; Women in higher education. ; Women in science. ; Women in technology. ; Women in engineering.</t>
  </si>
  <si>
    <t>Detournement As Pedagogical Praxis</t>
  </si>
  <si>
    <t>Trier, James</t>
  </si>
  <si>
    <t>Foundations and Applications of Artificial Intelligence Series</t>
  </si>
  <si>
    <t>Educational technology-Study and teaching.</t>
  </si>
  <si>
    <t>Anecdotes and Afterthoughts: Literature As a Teacher's Curriculum</t>
  </si>
  <si>
    <t>Podsiadlik III, Edward</t>
  </si>
  <si>
    <t>LB14.7 .P637 2014</t>
  </si>
  <si>
    <t>Education-Philosophy. ; Curriculum planning. ; Literature-Study and teaching.</t>
  </si>
  <si>
    <t>Handbook for Teacher Educators : Transfer, Translate or Transform</t>
  </si>
  <si>
    <t>Rodrigues, Susan</t>
  </si>
  <si>
    <t>Teachers -- Training of. ; Teacher educators.</t>
  </si>
  <si>
    <t>Qualities of Education in a Globalised World</t>
  </si>
  <si>
    <t>Napier, Diane Brook</t>
  </si>
  <si>
    <t>Educational tests and measurements. ; Education and state.</t>
  </si>
  <si>
    <t>Speaking of Learning... : Recollections, Revelations, and Realizations</t>
  </si>
  <si>
    <t>Cohen, Avraham;Bai, Heesoon;Leggo, Carl;Porath, Marion;Meyer, Karen;Clarke, Anthony</t>
  </si>
  <si>
    <t>Education -- Study and teaching.</t>
  </si>
  <si>
    <t>Higher Education in Societies : A Multi Scale Perspective</t>
  </si>
  <si>
    <t>Goastellec, Gaële;Picard, France</t>
  </si>
  <si>
    <t>Education, Higher-Research.</t>
  </si>
  <si>
    <t>The Relevant PhD</t>
  </si>
  <si>
    <t>Letiche, Hugo;Lightfoot, Geoffrey</t>
  </si>
  <si>
    <t>Doctor of philosophy degree. ; Doctoral students.</t>
  </si>
  <si>
    <t>Successful Teacher Education: Partnerships, Reflective Practice and the Place of Technology</t>
  </si>
  <si>
    <t>Jones, Mellita;Ryan, Josephine</t>
  </si>
  <si>
    <t>Teachers -- Training of -- Australia.</t>
  </si>
  <si>
    <t>Working Cross-Culturally : Identity Learning, Border Crossing and Culture Brokering</t>
  </si>
  <si>
    <t>Michie, Michael</t>
  </si>
  <si>
    <t>Teachers -- Training of. ; Multicultural education.</t>
  </si>
  <si>
    <t>Project-Based Writing in Science</t>
  </si>
  <si>
    <t>Science-Study and teaching. ; Report writing. ; Grading and marking (Students)</t>
  </si>
  <si>
    <t>How World-Class Universities Affect Global Higher Education : Influences and Responses</t>
  </si>
  <si>
    <t>Cheng, Ying;Wang, Qi;Liu, Nian Cai</t>
  </si>
  <si>
    <t>Education, Higher-Aims and objectives. ; Higher education and state.</t>
  </si>
  <si>
    <t>Algebra Teaching Around the World</t>
  </si>
  <si>
    <t>Leung, Frederick K. S.;Park, Kyungmee;Holton, Derek;Clarke, David</t>
  </si>
  <si>
    <t>Algebra-Study and teaching.</t>
  </si>
  <si>
    <t>Critical Pedagogy for a Polymodal World</t>
  </si>
  <si>
    <t>Loveless, Douglas J.;Griffith, Bryant</t>
  </si>
  <si>
    <t>Student Voice, Teacher Action Research and Classroom Improvement</t>
  </si>
  <si>
    <t>Bell, Lisa M.;Aldridge, Jill M.</t>
  </si>
  <si>
    <t>Action research in education. ; School improvement programs.</t>
  </si>
  <si>
    <t>The Great Globe and All Who It Inherit : Narrative and Dialogue in Story-Telling with Halliday, Vygotsky, and Shakespeare</t>
  </si>
  <si>
    <t>Kellogg, David</t>
  </si>
  <si>
    <t>Literacy. ; Teachers-Training of.</t>
  </si>
  <si>
    <t>A Few of Our Favorite Things : Teaching Ideas for K-12 Science Methods Instructors</t>
  </si>
  <si>
    <t>Morrell, Patricia D.;Popejoy, Kate</t>
  </si>
  <si>
    <t>Graphic Texts : Literacy Enhancing Tools in Early Childhood</t>
  </si>
  <si>
    <t>Teubal, Eva;Guberman, Ainat</t>
  </si>
  <si>
    <t>Literacy-Study and teaching (Preschool) ; Language arts (Early childhood) ; Language arts (Preschool)</t>
  </si>
  <si>
    <t>Stories of Transformative Learning</t>
  </si>
  <si>
    <t>Kroth, Michael;Cranton, Patricia</t>
  </si>
  <si>
    <t>Transformative learning. ; Adult learning. ; Adult education.</t>
  </si>
  <si>
    <t>Being in and Out : Providing Voice to Early Career Women in Academia</t>
  </si>
  <si>
    <t>Lemon, Narelle;Garvis, Susanne</t>
  </si>
  <si>
    <t>Women in higher education. ; Women college teachers.</t>
  </si>
  <si>
    <t>Leaders in Educational Research : Intellectual Self Portraits by Fellows of the International Academy of Education</t>
  </si>
  <si>
    <t>de Ibarrola, María;Phillips, D. C.</t>
  </si>
  <si>
    <t>Educational leadership-Research.</t>
  </si>
  <si>
    <t>Against All Odds : An Empirical Study about the Situative Pedagogical Ethos of Vocational Trainers</t>
  </si>
  <si>
    <t>Forster-Heinzer, Sarah</t>
  </si>
  <si>
    <t>Vocational teachers-Moral and ethical aspects. ; Occupational training-Standards.</t>
  </si>
  <si>
    <t>Local Languages As a Human Right in Education : Comparative Cases from Africa</t>
  </si>
  <si>
    <t>Babaci-Wilhite, Zehlia</t>
  </si>
  <si>
    <t>Native language and education-Africa. ; Education, Bilingual-Africa.</t>
  </si>
  <si>
    <t>Timor-Leste: Transforming Education Through Partnership in a Small Post-Conflict State</t>
  </si>
  <si>
    <t>Butcher, Jude;Bastian, Peter;Beck, Margie;d'Arbon, Tony;Taouk, Youssef</t>
  </si>
  <si>
    <t>Education-Timor-Leste.</t>
  </si>
  <si>
    <t>Scientific Literacy for Participation : A Systemic Functional Approach to Analysis of School Science Discourses</t>
  </si>
  <si>
    <t>Knain, Erik</t>
  </si>
  <si>
    <t>Leadership for Change in Teacher Education : Voices of Canadian Deans of Education</t>
  </si>
  <si>
    <t>Elliott-Johns, Susan E.</t>
  </si>
  <si>
    <t>Teachers--Training of--Canada.</t>
  </si>
  <si>
    <t>Analytical Autoethnodrama : Autobiographed and Researched Experiences with Academic Writing</t>
  </si>
  <si>
    <t>Moriarty, Jess</t>
  </si>
  <si>
    <t>College teachers-Great Britain. ; Academic writing-Social aspects. ; Academic writing-Psychological aspects.</t>
  </si>
  <si>
    <t>Inclusion, Disability and Culture</t>
  </si>
  <si>
    <t>Hassanein, Elsayed Elshabrawy Ahmad</t>
  </si>
  <si>
    <t>The Inventive Schoolmaster : Simón Rodríguez</t>
  </si>
  <si>
    <t>Kohan, Walter Omar</t>
  </si>
  <si>
    <t>Educators--Venezuela.</t>
  </si>
  <si>
    <t>Unfit to Be a Slave</t>
  </si>
  <si>
    <t>Greene, David</t>
  </si>
  <si>
    <t>Anti-Colonial Educational Perspectives for Transformative Change Series</t>
  </si>
  <si>
    <t>Working class-Education (Higher)-Social aspects. ; Adult education and state. ; Educational change. ; Education-Social aspects. ; Social change.</t>
  </si>
  <si>
    <t>Transformative Researchers and Educators for Democracy : Dartmouth Dialogues</t>
  </si>
  <si>
    <t>Paraskeva, João M.;LaVallee, Thad</t>
  </si>
  <si>
    <t>Education and state. ; Education -- Aims and objectives.</t>
  </si>
  <si>
    <t>Neoliberalizing Educational Reform : America's Quest for Profitable Market-Colonies and the Undoing of Public Good</t>
  </si>
  <si>
    <t>Sturges, Keith M.</t>
  </si>
  <si>
    <t>Educational change-Economic aspects-United States. ; Neoliberalism-United States.</t>
  </si>
  <si>
    <t>Contesting and Constructing International Perspectives in Global Education</t>
  </si>
  <si>
    <t>Reynolds, R.;Bradbery, D.;Brown, J.;Carroll, K.;Donnelly, D.;Ferguson-Patrick, K.;Macqueen, S.</t>
  </si>
  <si>
    <t>International education. ; Education -- Philosophy.</t>
  </si>
  <si>
    <t>Educator to Educator : Unpacking and Repacking Generative Concepts in Social Studies</t>
  </si>
  <si>
    <t>Horton, Todd A.;Lemisko, Lynn</t>
  </si>
  <si>
    <t>Social sciences -- Study and teaching. ; Education.</t>
  </si>
  <si>
    <t>On the Facilitation of the Academy</t>
  </si>
  <si>
    <t>Westergaard, Elias;Wiewiura, Joachim S.</t>
  </si>
  <si>
    <t>Education, Higher -- Philosophy. ; Education, Higher -- Social aspects.</t>
  </si>
  <si>
    <t>Mutuality, Mystery, and Mentorship in Higher Education</t>
  </si>
  <si>
    <t>Hinsdale, Mary Jo</t>
  </si>
  <si>
    <t>Mobility Studies and Education Series</t>
  </si>
  <si>
    <t>Mentoring in education-United States-Handbooks, manuals, etc. ; Mentoring in education-Cross-cultural studies. ; Mentoring in education-United States-Case studies. ; Education, Higher-Social aspects-United States. ; Universities and colleges-United States-Sociological aspects.</t>
  </si>
  <si>
    <t>529 College Savings Plan Made Simple</t>
  </si>
  <si>
    <t>Sphinx Publishing, an Imprint of Sourcebooks, Inc.</t>
  </si>
  <si>
    <t>Feigenbaum, Richard A.;Morton, David J.;Morton,;Morton, David</t>
  </si>
  <si>
    <t>LB2342 -- .F42 2005eb</t>
  </si>
  <si>
    <t>College costs -- United States. ; Education savings accounts -- United States. ; Finance, Personal -- United States.</t>
  </si>
  <si>
    <t>Solving Life's Problems : A 5-Step Guide to Enhanced Well-Being : A 5-Step Guide to Enhanced Well-Being</t>
  </si>
  <si>
    <t>D'Zurilla, Thomas J.;Nezu, Arthur M.</t>
  </si>
  <si>
    <t>BF449 -- .S65 2007eb</t>
  </si>
  <si>
    <t>616.89/14</t>
  </si>
  <si>
    <t>Problem solving. ; Life skills.</t>
  </si>
  <si>
    <t>History in Mathematics Education : The ICMI Study</t>
  </si>
  <si>
    <t>Fauvel, John;van Maanen, J. A.</t>
  </si>
  <si>
    <t>New ICMI Study Series</t>
  </si>
  <si>
    <t>Mathematics -- History -- Study and teaching</t>
  </si>
  <si>
    <t>On the Teaching of Linear Algebra</t>
  </si>
  <si>
    <t>Dorier, J. -L.</t>
  </si>
  <si>
    <t>Algebras, Linear -- Study and teaching</t>
  </si>
  <si>
    <t>Intuition in Science and Mathematics : An Educational Approach</t>
  </si>
  <si>
    <t>Fischbein, Efraim;Fischbein, Efraim</t>
  </si>
  <si>
    <t>Science -- Philosophy</t>
  </si>
  <si>
    <t>Formative Assessment and Science Education</t>
  </si>
  <si>
    <t>Bell, Nigel;Cowie, B.</t>
  </si>
  <si>
    <t>Effective teaching -- New Zealand</t>
  </si>
  <si>
    <t>Mathematics Education and Language : Interpreting Hermeneutics and Post-Structuralism</t>
  </si>
  <si>
    <t>Examining Pedagogical Content Knowledge : The Construct and Its Implications for Science Education</t>
  </si>
  <si>
    <t>Gess-Newsome, Julie;Lederman, Norman G.</t>
  </si>
  <si>
    <t>Science -- Study and teaching -- United States</t>
  </si>
  <si>
    <t>Science Teacher Education : An International Perspective</t>
  </si>
  <si>
    <t>Abell, Sandra K.</t>
  </si>
  <si>
    <t>Revisiting Mathematics Education : China Lectures</t>
  </si>
  <si>
    <t>Freudenthal, Hans</t>
  </si>
  <si>
    <t>510/.7</t>
  </si>
  <si>
    <t>Teachers' Learning : Stories of Science Education</t>
  </si>
  <si>
    <t>Wallace, J.;Louden, W.</t>
  </si>
  <si>
    <t>Science -- Study and teaching -- Case studies</t>
  </si>
  <si>
    <t>Test Anxiety : The State of the Art</t>
  </si>
  <si>
    <t>Zeidner, Moshe</t>
  </si>
  <si>
    <t>Perspectives on Individual Differences Series</t>
  </si>
  <si>
    <t>Test anxiety. ; Stress (Psychology) ; Test anxiety -- Treatment. ; Test anxiety -- Research.</t>
  </si>
  <si>
    <t>Teaching Mathematics in Multilingual Classrooms</t>
  </si>
  <si>
    <t>Adler, J. B.</t>
  </si>
  <si>
    <t>Mathematics -- Study and teaching (Secondary) -- South Africa. ; Multilingual persons -- Education (Secondary) -- South Africa.</t>
  </si>
  <si>
    <t>Theory of Didactical Situations in Mathematics : Didactique des Mathématiques, 1970-1990</t>
  </si>
  <si>
    <t>Balacheff, Nicolas;Brousseau, Guy;Cooper, Martin;Sutherland, Rosamund;Warfield, Virginia</t>
  </si>
  <si>
    <t>510/.71/044</t>
  </si>
  <si>
    <t>Mathematics -- Study and teaching -- France</t>
  </si>
  <si>
    <t>Towards Gender Equity in Mathematics Education : An ICMI Study</t>
  </si>
  <si>
    <t>Hanna, Gila</t>
  </si>
  <si>
    <t>Mathematical ability -- Sex differences</t>
  </si>
  <si>
    <t>Constructing Test Items : Multiple-Choice, Constructed-Response, Performance and Other Formats</t>
  </si>
  <si>
    <t>Osterlind, Steven J.</t>
  </si>
  <si>
    <t>Evaluation in Education and Human Services Series</t>
  </si>
  <si>
    <t>LB3050-3060.87</t>
  </si>
  <si>
    <t>Examinations -- Design and construction.</t>
  </si>
  <si>
    <t>Computers and Education : Towards an Interconnected Society</t>
  </si>
  <si>
    <t>Ortega, Manuel;Bravo, José;Ortega, Manuel;Bravo, José</t>
  </si>
  <si>
    <t>370/.285</t>
  </si>
  <si>
    <t>Internet in education -- Congresses</t>
  </si>
  <si>
    <t>Computerized Adaptive Testing: Theory and Practice</t>
  </si>
  <si>
    <t>van der Linden, Wim J.;Glas, Cees A. W.</t>
  </si>
  <si>
    <t>Computer adaptive testing.</t>
  </si>
  <si>
    <t>Computers and Education in the 21st Century</t>
  </si>
  <si>
    <t>Dangerous Adolescents, Model Adolescents : Shaping the Role and Promise of Education</t>
  </si>
  <si>
    <t>Levesque, Roger J. R.</t>
  </si>
  <si>
    <t>Perspectives in Law and Psychology Series</t>
  </si>
  <si>
    <t>BF1-990</t>
  </si>
  <si>
    <t>Education, Secondary -- Social aspects -- United States. ; Teenagers -- Education -- Social aspects -- United States. ; Problem children -- Education -- Social aspects -- United States. ; Educational law and legislation -- United States.</t>
  </si>
  <si>
    <t>Educational Leadership for Organisational Learning and Improved Student Outcomes</t>
  </si>
  <si>
    <t>Mulford, William;Silins, Halia;Leithwood, Kenneth A.</t>
  </si>
  <si>
    <t>Studies in Educational Leadership Series</t>
  </si>
  <si>
    <t>School improvement programs--Australia--Case studies</t>
  </si>
  <si>
    <t>Inclusion, Participation and Democracy: What Is the Purpose?</t>
  </si>
  <si>
    <t>Allan, J.</t>
  </si>
  <si>
    <t>Inclusive Education: Cross Cultural Perspectives Series</t>
  </si>
  <si>
    <t>Inclusive education -- Cross-cultural studies -- Congresses. ; Special education -- Cross-cultural studies -- Congresses.</t>
  </si>
  <si>
    <t>Practitioner's Guide to Empirically Based Measures of School Behavior</t>
  </si>
  <si>
    <t>Kelley, Mary Lou;Reitman, David;Noell, George H.</t>
  </si>
  <si>
    <t>ABCT Clinical Assessment Series</t>
  </si>
  <si>
    <t>RC466.8-467.97</t>
  </si>
  <si>
    <t>Clinical child psychology. ; Developmental psychology.</t>
  </si>
  <si>
    <t>Teaching and Learning in the Science Laboratory</t>
  </si>
  <si>
    <t>Psillos, Dimitris;Niedderer, H.</t>
  </si>
  <si>
    <t>Science -- Study and teaching (Secondary) ; Science -- Study and teaching (Higher) ; Science -- Experiments.</t>
  </si>
  <si>
    <t>Beliefs: a Hidden Variable in Mathematics Education?</t>
  </si>
  <si>
    <t>Leder, G. C.;Pehkonen, Erkki;Törner, Günter</t>
  </si>
  <si>
    <t>Belief and doubt</t>
  </si>
  <si>
    <t>The Professional Development of Teachers: Practice and Theory</t>
  </si>
  <si>
    <t>Adey, Philip</t>
  </si>
  <si>
    <t>Teachers -- Training of. ; School employees -- Training of.</t>
  </si>
  <si>
    <t>Seeking Modernity in China's Name : Chinese Students in the United States, 1900-1927</t>
  </si>
  <si>
    <t>Ye, Weili</t>
  </si>
  <si>
    <t>378.1/9829951073</t>
  </si>
  <si>
    <t>Enhancing Campus Capacity for Leadership : An Examination of Grassroots Leaders in Higher Education</t>
  </si>
  <si>
    <t>Kezar, Adrianna;Lester, Jaime</t>
  </si>
  <si>
    <t>Educational leadership -- United States. ; Universities and colleges -- United States -- Administration.</t>
  </si>
  <si>
    <t>Knowledge in the Blood : Confronting Race and the Apartheid Past</t>
  </si>
  <si>
    <t>Jansen, Jonathan D.</t>
  </si>
  <si>
    <t>LG471</t>
  </si>
  <si>
    <t>University of Pretoria -- Administration. ; Afrikaner students -- South Africa -- Attitudes. ; College integration -- South Africa. ; College students, White -- South Africa -- Attitudes. ; Educational change -- South Africa. ; Post-apartheid era -- South Africa. ; Racism in higher education -- South Africa.</t>
  </si>
  <si>
    <t>The Chief Diversity Officer : Strategy Structure, and Change Management</t>
  </si>
  <si>
    <t>Williams, Damon A.;Wade-Golden, Katrina C.</t>
  </si>
  <si>
    <t>LC3731.W52 2013eb</t>
  </si>
  <si>
    <t>Educational equalization--United States.</t>
  </si>
  <si>
    <t>Research, Actionable Knowledge, and Social Change : Reclaiming Social Responsibility Through Research Partnerships</t>
  </si>
  <si>
    <t>St. John, Edward P.</t>
  </si>
  <si>
    <t>LB1028.24.S83 2013eb</t>
  </si>
  <si>
    <t>Action research in education. ; Education -- Social aspects -- Research. ; Social justice -- Study and teaching.</t>
  </si>
  <si>
    <t>Provost : Experiences, Reflections and Advice from a Former Number Two on Campus</t>
  </si>
  <si>
    <t>Nielsen, Larry A.</t>
  </si>
  <si>
    <t>LB2341.N49 2013eb</t>
  </si>
  <si>
    <t>College administrators -- United States</t>
  </si>
  <si>
    <t>Advancing Higher Education As a Field of Study : In Quest of Doctoral Degree Guidelines - Commemorating 120 Years of Excellence</t>
  </si>
  <si>
    <t>Freeman, Sydney;Hagedorn, Linda Serra;Goodchild, Lester;Wright, Dianne</t>
  </si>
  <si>
    <t>LB2341.A358 2013</t>
  </si>
  <si>
    <t>Universities and colleges -- United States -- Graduate work -- Administration. ; College administrators -- Training of -- United States.</t>
  </si>
  <si>
    <t>Reflection in Action : A Guidebook for Student Affairs Professionals and Teaching Faculty</t>
  </si>
  <si>
    <t>Kline, Kimberly A.</t>
  </si>
  <si>
    <t>LB2342.9 -- .R44 2014eb</t>
  </si>
  <si>
    <t>Universities and colleges -- United States -- Sociological aspects</t>
  </si>
  <si>
    <t>A Concise Guide to Improving Student Learning : Six Evidence-Based Principles and How to Apply Them</t>
  </si>
  <si>
    <t>Persellin, Diane Cummings;Daniels, Mary Blythe</t>
  </si>
  <si>
    <t>LB2331.P425 2014</t>
  </si>
  <si>
    <t>College teaching -- Handbooks, manuals, etc</t>
  </si>
  <si>
    <t>Leveraging the EPortfolio for Integrative Learning : A Faculty Guide to Classroom Practices for Transforming Student Learning</t>
  </si>
  <si>
    <t>Reynolds, Candyce;Patton, Judith</t>
  </si>
  <si>
    <t>LB1029.P67R46 2014</t>
  </si>
  <si>
    <t>Getting Started with Team-Based Learning</t>
  </si>
  <si>
    <t>Sibley, Jim;Ostafichuk, Pete</t>
  </si>
  <si>
    <t>LB1032.S485 2014</t>
  </si>
  <si>
    <t>Group work in education. ; Team learning approach in education.</t>
  </si>
  <si>
    <t>A Day in the Life of a Student Affairs Educator : Competencies and Case Studies for Early-Career Professionals</t>
  </si>
  <si>
    <t>Hornak, Anne M.;Marshall, Sarah M.</t>
  </si>
  <si>
    <t>LB2343.M36 2014</t>
  </si>
  <si>
    <t>Student affairs services -- United States -- Administration -- Case studies</t>
  </si>
  <si>
    <t>Leadership Theory and the Community College : Applying Theory to Practice</t>
  </si>
  <si>
    <t>Nevarez, Carlos;Wood, J. Luke;Penrose, Rose</t>
  </si>
  <si>
    <t>LB2341.N433 2013</t>
  </si>
  <si>
    <t>Community college presidents</t>
  </si>
  <si>
    <t>Handbook for Student Affairs in Community Colleges</t>
  </si>
  <si>
    <t>Tull, Ashley;Kuk, Linda;Dalpes, Paulette</t>
  </si>
  <si>
    <t>LB2342.92.H36 2014</t>
  </si>
  <si>
    <t>Student affairs administrators -- In-service training -- United States</t>
  </si>
  <si>
    <t>Higher Education at Risk : Strategies to Improve Outcomes, Reduce Tuition, and Stay Competitive in a Disruptive Environment</t>
  </si>
  <si>
    <t>Featherman, Sandra</t>
  </si>
  <si>
    <t>College costs -- United States</t>
  </si>
  <si>
    <t>Building on Resilience : Models and Frameworks of Black Male Success Across the P-20 Pipeline</t>
  </si>
  <si>
    <t>Bonner II, Fred A.</t>
  </si>
  <si>
    <t>LC2731.B85 2014</t>
  </si>
  <si>
    <t>African American young men -- Social conditions</t>
  </si>
  <si>
    <t>Creating Strategic Partnerships : A Guide for Educational Institutions and Their Partners</t>
  </si>
  <si>
    <t>Amey, Marilyn J.;Eddy, Pamela L.</t>
  </si>
  <si>
    <t>LB2341.92 .E33 2014</t>
  </si>
  <si>
    <t>Universities and colleges-Business management. ; Strategic alliances (Business) ; Public-private sector cooperation.</t>
  </si>
  <si>
    <t>Crossing Boundaries : Tension and Transformation in International Service-Learning</t>
  </si>
  <si>
    <t>Green, Patrick M.;Johnson, Mathew</t>
  </si>
  <si>
    <t>LB2375.C76 2014</t>
  </si>
  <si>
    <t>Culture and Online Learning : Global Perspectives and Research</t>
  </si>
  <si>
    <t>Jung, Insung;Gunawardena, Charlotte Nirmalani</t>
  </si>
  <si>
    <t>LC5803.C65 C85 2014</t>
  </si>
  <si>
    <t>Distance education-Computer-assisted instruction-Social aspects. ; Multicultural education-Computer-assisted instruction. ; Education and globalization.</t>
  </si>
  <si>
    <t>Modeling Mentoring Across Race/Ethnicity and Gender : Practices to Cultivate the Next Generation of Diverse Faculty</t>
  </si>
  <si>
    <t>Turner, Caroline Sotello Viernes;González, Juan Carlos</t>
  </si>
  <si>
    <t>LB2332.6.M64 2015</t>
  </si>
  <si>
    <t>Make Haste Slowly : Moderates, Conservatives, and School Desegregation in Houston</t>
  </si>
  <si>
    <t>Texas A &amp; M University Press</t>
  </si>
  <si>
    <t>Kellar, William H.</t>
  </si>
  <si>
    <t>LC214.23.H68 -- K45 1999eb</t>
  </si>
  <si>
    <t>379.2/63/097641411</t>
  </si>
  <si>
    <t>Houston Independent School District (Tex.) -- History. ; School integration -- Texas -- Houston -- History. ; African Americans -- Civil rights -- Texas -- Houston -- History.</t>
  </si>
  <si>
    <t>Texas Aggie Medals of Honor : Seven Heroes of World War II</t>
  </si>
  <si>
    <t>Woodall, James R.;Hollingsworth, James F.</t>
  </si>
  <si>
    <t>Williams-Ford Texas A&amp;M University Military History</t>
  </si>
  <si>
    <t>UB434.T4 -- W66 2010eb</t>
  </si>
  <si>
    <t>355.1/342</t>
  </si>
  <si>
    <t>Texas A &amp; M University -- Students -- Biography. ; Medal of Honor -- Biography. ; World War, 1939-1945 -- Medals. ; World War, 1939-1945 -- Biography. ; Heroes -- Awards. ; Heroes -- Texas -- Biography. ; United States -- Armed Forces -- Biography.</t>
  </si>
  <si>
    <t>Building Leaders, Living Traditions : The Memorial Student Center at Texas A and M University</t>
  </si>
  <si>
    <t>Bacon, Amy L.;Koldus, John J.</t>
  </si>
  <si>
    <t>Centennial Series of the Association of Former Students, Texas A and M University</t>
  </si>
  <si>
    <t>LD5309 -- .B33 2009eb</t>
  </si>
  <si>
    <t>Texas A &amp; M University. -- Memorial Student Center -- History. ; Student unions -- Texas -- College Station -- History. ; Student activities -- Texas -- College Station -- History.</t>
  </si>
  <si>
    <t>To Get a Better School System : One Hundred Years of Education Reform in Texas</t>
  </si>
  <si>
    <t>Preuss, Gene B.</t>
  </si>
  <si>
    <t>Centennial Series of the Association of Former Students, Texas A&amp;M University</t>
  </si>
  <si>
    <t>LA370 -- .P74 2009eb</t>
  </si>
  <si>
    <t>379.764/0904</t>
  </si>
  <si>
    <t>Educational change -- Texas -- History. ; Education and state -- Texas -- History. ; Minorities -- Education -- Texas -- History. ; Education, Rural -- Texas -- History. ; Gilmer-Aiken laws, 1949.</t>
  </si>
  <si>
    <t>Texas Aggies Go to War : In Service of Their Country, Expanded Edition</t>
  </si>
  <si>
    <t>Dethloff, Henry C.;Adams, John A.;Bush, George H. W.</t>
  </si>
  <si>
    <t>U430.T37 -- D48 2008eb</t>
  </si>
  <si>
    <t>355.0092/2764</t>
  </si>
  <si>
    <t>Texas A &amp; M University -- Alumni and alumnae. ; Texas A &amp; M University -- Students. ; Military education -- Texas. ; Soldiers -- United States. ; United States -- Armed Forces -- Recruiting, enlistment, etc.</t>
  </si>
  <si>
    <t>Entomology at the Land Grant University : Perspectives from the Texas A&amp;M University Department Centenary</t>
  </si>
  <si>
    <t>Heinz, Kevin M.;Frisbie, Raymond E.;Bográn, Carlos E.</t>
  </si>
  <si>
    <t>Texas A&amp;M University Agriculture Series</t>
  </si>
  <si>
    <t>QL468.5 -- .E58 2005eb</t>
  </si>
  <si>
    <t>595.7/07</t>
  </si>
  <si>
    <t>Entomology -- Study and teaching -- History. ; State universities and colleges -- History.</t>
  </si>
  <si>
    <t>Importing Diversity : Inside Japan's JET Program</t>
  </si>
  <si>
    <t>McConnell, David L.</t>
  </si>
  <si>
    <t>JET Puroguramu. ; Educational exchanges -- Social aspects -- Japan. ; Multicultural education -- Japan.</t>
  </si>
  <si>
    <t>Social Science; History; Education</t>
  </si>
  <si>
    <t>Academic Lives : Memoir, Cultural Theory, and the University Today</t>
  </si>
  <si>
    <t>University of Georgia Press</t>
  </si>
  <si>
    <t>Franklin, Cynthia G.</t>
  </si>
  <si>
    <t>LB1778.2.F73 2009</t>
  </si>
  <si>
    <t>Autobiography-Authorship. ; College teachers as authors-United States. ; College teachers-United States-Biography.</t>
  </si>
  <si>
    <t>We Shall Not Be Moved : The Desegregation of the University of Georgia</t>
  </si>
  <si>
    <t>Pratt, Robert A.</t>
  </si>
  <si>
    <t>LD1986 -- .P73 2002eb</t>
  </si>
  <si>
    <t>378.758/18</t>
  </si>
  <si>
    <t>University of Georgia -- Students -- History. ; College integration -- Georgia -- Athens -- History. ; African Americans -- Civil rights.</t>
  </si>
  <si>
    <t>Sitting in and Speaking Out : Student Movements in the American South, 1960-1970</t>
  </si>
  <si>
    <t>Turner, Jeffrey A.</t>
  </si>
  <si>
    <t>LA229 -- .T87 2010eb</t>
  </si>
  <si>
    <t>378.1/981097509045</t>
  </si>
  <si>
    <t>Student movements -- Southern States -- History -- 20th century. ; College students -- Political activity -- Southern States -- History -- 20th century. ; Civil rights movements -- Southern States -- History -- 20th century. ; Whites -- Southern States -- History -- 20th century. ; African Americans -- Civil rights -- History -- 20th century. ; Southern States -- Race relations.</t>
  </si>
  <si>
    <t>Religion Enters the Academy : The Origins of the Scholarly Study of Religion in America</t>
  </si>
  <si>
    <t>Turner, James</t>
  </si>
  <si>
    <t>George H. Shriver Lecture Series in Religion in American History</t>
  </si>
  <si>
    <t>BL41 -- .T86 2011eb</t>
  </si>
  <si>
    <t>200.07/073</t>
  </si>
  <si>
    <t>Religion -- Study and teaching -- United States -- History -- 19th century. ; Religions -- Study and teaching -- United States -- History -- 19th century.</t>
  </si>
  <si>
    <t>Berry College : A History</t>
  </si>
  <si>
    <t>Dickey, Ouida;Mathis, Doyle</t>
  </si>
  <si>
    <t>LD405.B22 -- D53 2005eb</t>
  </si>
  <si>
    <t>378.758/35</t>
  </si>
  <si>
    <t>Berry College -- History.</t>
  </si>
  <si>
    <t>American College and University : A History</t>
  </si>
  <si>
    <t>Rudolph, Frederick;Thelin, John R.</t>
  </si>
  <si>
    <t>LA226 -- .R72 1990eb</t>
  </si>
  <si>
    <t>Universities and colleges -- United States -- History.</t>
  </si>
  <si>
    <t>Born to Rebel : An Autobiography</t>
  </si>
  <si>
    <t>Mays, Benjamin E.;Burton, Orville Vernon</t>
  </si>
  <si>
    <t>LC2851.M72 -- M38 2003eb</t>
  </si>
  <si>
    <t>378/.112;B</t>
  </si>
  <si>
    <t>Mays, Benjamin E. -- (Benjamin Elijah), -- 1894-1984. ; Morehouse College (Atlanta, Ga.) -- Presidents. ; African Americans -- Civil rights.</t>
  </si>
  <si>
    <t>Integrating the 40 Acres : The Fifty-Year Struggle for Racial Equality at the University of Texas</t>
  </si>
  <si>
    <t>Goldstone, Dwonna</t>
  </si>
  <si>
    <t>LC214.22.T48 -- G65 2006eb</t>
  </si>
  <si>
    <t>378.1/9829960764</t>
  </si>
  <si>
    <t>Sokal Hoax : The Sham That Shook the Academy</t>
  </si>
  <si>
    <t>Franca, Lingua;Brenkman, John;Lloyd, Elizabeth;Albert, David</t>
  </si>
  <si>
    <t>Q175.37 -- .S65 2000eb</t>
  </si>
  <si>
    <t>Sokal, Alan D., -- 1955- ; Fraud in science. ; Science -- Philosophy. ; Science -- Social aspects. ; Humanities.</t>
  </si>
  <si>
    <t>Boarding School Seasons : American Indian Families, 1900-1940</t>
  </si>
  <si>
    <t>Child, Brenda J.</t>
  </si>
  <si>
    <t>370/.89/973</t>
  </si>
  <si>
    <t>Haskell Institute -- History. ; Flandreau Indian School (S.D.) -- History. ; Ojibwa youth -- Education. ; Ojibwa youth -- Correspondence. ; Ojibwa Indians -- Correspondence. ; Off-reservation boarding schools -- Kansas -- History. ; Off-reservation boarding schools -- South Dakota -- History.</t>
  </si>
  <si>
    <t>Affirmative Action and the University : Race, Ethnicity and Gender in Higher Education Employment</t>
  </si>
  <si>
    <t>Rai, Kul B.;Critzer, John W.</t>
  </si>
  <si>
    <t>LC212.42 -- .R35 2000eb</t>
  </si>
  <si>
    <t>Discrimination in higher education -- United States. ; Minority college teachers -- Employment -- United States. ; Minority college administrators -- Employment -- United States. ; Affirmative action programs -- United States.</t>
  </si>
  <si>
    <t>Into the Night : Tales of Nocturnal Wildlife Expeditions</t>
  </si>
  <si>
    <t>University Press of Colorado</t>
  </si>
  <si>
    <t>Adams, Rick;Adams, Rick A.</t>
  </si>
  <si>
    <t>QL755</t>
  </si>
  <si>
    <t>591.5/18</t>
  </si>
  <si>
    <t>Natural history -- Fieldwork</t>
  </si>
  <si>
    <t>Class Not Dismissed : Reflections on Undergraduate Education and Teaching the Liberal Arts</t>
  </si>
  <si>
    <t>Aveni, Anthony</t>
  </si>
  <si>
    <t>Education, Humanistic. ; College teaching. ; Lecture method in teaching. ; Undergraduates. ; EDUCATION / Higher. bisacsh. ; BIOGRAPHY &amp; AUTOBIOGRAPHY / Personal Memoirs. bisacsh.</t>
  </si>
  <si>
    <t>Equality for Contingent Faculty : Overcoming the Two-Tier System</t>
  </si>
  <si>
    <t>Vanderbilt University Press</t>
  </si>
  <si>
    <t>Hoeller, Keith</t>
  </si>
  <si>
    <t>LB2334.E59 2014eb</t>
  </si>
  <si>
    <t>College teachers, Part-time--Salaries, etc.--United States. ; College teachers--Tenure--United States. ; Universities and colleges--United States--Faculty. ; EDUCATION / Higher. bisacsh. ; POLITICAL SCIENCE / Labor &amp; Industrial Relations. bisacsh. ; BUSINESS &amp; ECONOMICS / Labor. bisacsh.</t>
  </si>
  <si>
    <t>Toward a Cultural Theory of Education and Schooling</t>
  </si>
  <si>
    <t>Gearing, Frederick;Sangree, Lucinda</t>
  </si>
  <si>
    <t>World Anthropology Series</t>
  </si>
  <si>
    <t>LB45 -- .T63 1979eb</t>
  </si>
  <si>
    <t>Educational anthropology. ; Education -- Philosophy.</t>
  </si>
  <si>
    <t>The Anthropological Study of Education</t>
  </si>
  <si>
    <t>Calhoun, Craig J.;Janni, Francis A.</t>
  </si>
  <si>
    <t>LB45 -- .A58 1976eb</t>
  </si>
  <si>
    <t>Educational anthropology -- Congresses.</t>
  </si>
  <si>
    <t>Bilingual Education and Language Maintenance : A Southern Peruvian Quechua Case</t>
  </si>
  <si>
    <t>Topics in Sociolinguistics Series</t>
  </si>
  <si>
    <t>Library Work for Children and Young Adults in the Developing Countries / les Enfants, les Jeunes et les Bibliothèques Dans les Pays en Développement : Proceedings of the IFLA/UNESCO Pre-Session Seminar in Leipzig, GDR, 10-15 August, 1981 / Actes du Séminaire IFLA/UNESCO de Leipzig, RDA, 10-15 Août 1981</t>
  </si>
  <si>
    <t>Patte, Geneviève;Hannesdóttir, Sigrún Klara;International Federation of Library Associations and Institutions, International Federation;Unesco;Patte, Geneviève;Hannesdóttir, Sigrún Klara</t>
  </si>
  <si>
    <t>Children''s libraries -- Developing countries -- Congresses. ; Young adults'' libraries -- Developing countries -- Congresses. ; Children -- Books and reading -- Developing countries -- Congresses. ; Young adults -- Books and reading -- Developing countries -- Congresses.</t>
  </si>
  <si>
    <t>Research on Dictionary Use in the Context of Foreign Language Learning : Focus on Reading Comprehension</t>
  </si>
  <si>
    <t>Tono, Yukio</t>
  </si>
  <si>
    <t>Resources Pour les Bibliothèques et Centres Documentaires Scolaires / Resourcebook for School Libraries and Resource Centers</t>
  </si>
  <si>
    <t>Bernhard, Paulette</t>
  </si>
  <si>
    <t>Z675.S3.R47 1997eb</t>
  </si>
  <si>
    <t>School libraries.</t>
  </si>
  <si>
    <t>Child Language, Aphasia and Phonological Universals</t>
  </si>
  <si>
    <t>Jakobson, Roman;Keiler, Allan R.</t>
  </si>
  <si>
    <t>Janua Linguarum. Series Minor Series</t>
  </si>
  <si>
    <t>LB1139.L3.J313 1968</t>
  </si>
  <si>
    <t>The Narrative Symbol in Childhood Literature : Explorations in the Construction of Text</t>
  </si>
  <si>
    <t>Golden, Joanne M.</t>
  </si>
  <si>
    <t>Approaches to Semiotics [AS] Series</t>
  </si>
  <si>
    <t>PN1009.A1.G566 1990</t>
  </si>
  <si>
    <t>Ethnic Minority Children Acquiring Literacy</t>
  </si>
  <si>
    <t>Verhoeven, Ludo</t>
  </si>
  <si>
    <t>P118.V47 1987eb</t>
  </si>
  <si>
    <t>Briefe Aus Den Jahren 1808 Und 1809 (Nr. 1337-1852)</t>
  </si>
  <si>
    <t>Dejung, Emanuel</t>
  </si>
  <si>
    <t>LB621.1980eb</t>
  </si>
  <si>
    <t>One Word at a Time : The Use of Single Word Utterances Before Syntax</t>
  </si>
  <si>
    <t>Bloom, Lois</t>
  </si>
  <si>
    <t>LB1139.L3.B56 1976eb</t>
  </si>
  <si>
    <t>On Writing the Biography of a Modest Man</t>
  </si>
  <si>
    <t>Harvard University Press</t>
  </si>
  <si>
    <t>Brown, Rollo Walter</t>
  </si>
  <si>
    <t>LD2149.B75 -- .B769 1935eb</t>
  </si>
  <si>
    <t>923./773</t>
  </si>
  <si>
    <t>Briggs, Le Baron Russell, -- 1855-1934.</t>
  </si>
  <si>
    <t>Values Education : Theory, Practice, Problems, Prospects</t>
  </si>
  <si>
    <t>Meyer, John R.;Burnham, Brian;Cholvat, John</t>
  </si>
  <si>
    <t>LC283.V34 1975</t>
  </si>
  <si>
    <t>Reflections on Values Education</t>
  </si>
  <si>
    <t>Meyer, John R.</t>
  </si>
  <si>
    <t>LC283.R44 1976</t>
  </si>
  <si>
    <t>Unity in Diversity</t>
  </si>
  <si>
    <t>Nyiri, Nicolas A.;Preece, Rod</t>
  </si>
  <si>
    <t>H62.U57</t>
  </si>
  <si>
    <t>Social sciences--Research.</t>
  </si>
  <si>
    <t>Hidden Challenges to Education Systems in Transition Economies</t>
  </si>
  <si>
    <t>World Bank Staff</t>
  </si>
  <si>
    <t>LC67.E9 -- H53 2000eb</t>
  </si>
  <si>
    <t>338.4/737/094</t>
  </si>
  <si>
    <t>Education -- Economic aspects -- Europe. ; Education -- Economic aspects -- Asia, Central. ; Educational change -- Europe. ; Educational change -- Asia, Central.</t>
  </si>
  <si>
    <t>Early Childhood Counts : A Programming Guide on Early Childhood Care for Development</t>
  </si>
  <si>
    <t>Evans, Judith L.;Meyers, Robert G.;Ilfeld, Ellen;World Bank,</t>
  </si>
  <si>
    <t>HQ767.9 -- .E96 2000eb</t>
  </si>
  <si>
    <t>Child development. ; Child care. ; Early childhood education.</t>
  </si>
  <si>
    <t>Education and HIV/AIDS : A Window of Hope</t>
  </si>
  <si>
    <t>RA643.86.D44 -- E385 2002eb</t>
  </si>
  <si>
    <t>362.1/969792/0091724</t>
  </si>
  <si>
    <t>World Bank. ; AIDS (Disease) -- Developing countries. ; Education -- Developing countries. ; Government aid to education.</t>
  </si>
  <si>
    <t>Monitoring Educational Performance in the Caribbean</t>
  </si>
  <si>
    <t>Di Gropello, Emanuela;World Bank,</t>
  </si>
  <si>
    <t>LA541 -- .D5 2003eb</t>
  </si>
  <si>
    <t>379.1/58/09729</t>
  </si>
  <si>
    <t>Education -- Caribbean Area -- Evaluation. ; Education -- Caribbean Area -- Statistics.</t>
  </si>
  <si>
    <t>Lifelong Learning in the Global Knowledge Economy : Challenges for Developing Countries</t>
  </si>
  <si>
    <t>LC5261 -- .L54 2003eb</t>
  </si>
  <si>
    <t>374/.097172/4</t>
  </si>
  <si>
    <t>Continuing education -- Developing countries. ; Continuing education.</t>
  </si>
  <si>
    <t>Tools for Education Policy Analysis</t>
  </si>
  <si>
    <t>Mingat, Alain;Tan, Jee-Peng;Sosale, Shobhana</t>
  </si>
  <si>
    <t>LB2822.75 -- .M56 2003eb</t>
  </si>
  <si>
    <t>379.1/58/091724</t>
  </si>
  <si>
    <t>Educational evaluation -- Methodology. ; Educational evaluation -- Developing countries. ; Education -- Developing countries -- Cost effectiveness.</t>
  </si>
  <si>
    <t>Closing the Gap in Education and Technology</t>
  </si>
  <si>
    <t>De Ferranti, David M.</t>
  </si>
  <si>
    <t>LC67.L3 -- C56 2003eb</t>
  </si>
  <si>
    <t>338.4/7378/098</t>
  </si>
  <si>
    <t>Education -- Economic aspects -- Latin America. ; Education -- Effect of technological innovations on -- Latin America.</t>
  </si>
  <si>
    <t>Tertiary Education in Colombia : Paving the Way for Reform</t>
  </si>
  <si>
    <t>World Bank Staff;Hanson, James A.;Majnoni, Giovanni</t>
  </si>
  <si>
    <t>LA568 -- .T47 2003eb</t>
  </si>
  <si>
    <t>Education, Higher -- Colombia. ; Professional education -- Colombia. ; Educational change -- Colombia.</t>
  </si>
  <si>
    <t>Education and Training in Madagascar : Towards a Policy Agenda for Economic Growth and Poverty Reduction</t>
  </si>
  <si>
    <t>World Bank Staff;Levine, Nancy;Bolo, Paule</t>
  </si>
  <si>
    <t>LC95.5.M42 -- W67 2002eb</t>
  </si>
  <si>
    <t>Education and state -- Madagascar. ; Economic development -- Effect of education on. ; Educational planning -- Madagascar. ; Education -- Economic aspects -- Madagascar.</t>
  </si>
  <si>
    <t>Financing Vocational Training in Sub-Saharan Africa</t>
  </si>
  <si>
    <t>Ziderman, Adrian</t>
  </si>
  <si>
    <t>LC1047.A357 -- Z53 2003eb</t>
  </si>
  <si>
    <t>370.11/3/0967</t>
  </si>
  <si>
    <t>Vocational education -- Africa, Sub-Saharan -- Finance. ; Occupational training -- Africa, Sub-Saharan -- Finance.</t>
  </si>
  <si>
    <t>Achieving Universal Primary Education by 2015 : A Chance for Every Child</t>
  </si>
  <si>
    <t>Bruns, Barbara;Mingat, Alain;Rakotomalala, Ramahatra</t>
  </si>
  <si>
    <t>LB1513.B78 2003</t>
  </si>
  <si>
    <t>Education, Primary.</t>
  </si>
  <si>
    <t>Education in Rwanda : Rebalancing Resources to Accelerate Post-Conflict Development and Poverty Reduction</t>
  </si>
  <si>
    <t>LA2090.R95 -- E37 2004eb</t>
  </si>
  <si>
    <t>370/.967571</t>
  </si>
  <si>
    <t>Education -- Rwanda. ; Education -- Rwanda -- Statistics.</t>
  </si>
  <si>
    <t>Skills Development in Sub-Saharan Africa</t>
  </si>
  <si>
    <t>Johanson, Richard K.;Adams, Arvil V.</t>
  </si>
  <si>
    <t>LC1047.A357 -- J64 2004eb</t>
  </si>
  <si>
    <t>Vocational education -- Africa, Sub-Saharan. ; Technical education -- Africa, Sub-Saharan.</t>
  </si>
  <si>
    <t>Assessing Student Learning in Africa</t>
  </si>
  <si>
    <t>LB2822.75 -- .G73 2004eb</t>
  </si>
  <si>
    <t>371.26/096</t>
  </si>
  <si>
    <t>Educational evaluation -- Africa -- Case studies. ; Educational tests and measurements -- Africa -- Case studies.</t>
  </si>
  <si>
    <t>Books, Buildings, and Learning Outcomes : An Impact Evaluation of World Bank Support to Basic Education in Ghana</t>
  </si>
  <si>
    <t>White, Howard;World Bank, Operations Evaluation Dept Staff</t>
  </si>
  <si>
    <t>LC1035.8.G4 -- W55 2004eb</t>
  </si>
  <si>
    <t>370/.9667</t>
  </si>
  <si>
    <t>World Bank -- Evaluation. ; Basic education -- Ghana -- Finance. ; Educational assistance -- Ghana -- Evaluation. ; Educational evaluation -- Ghana.</t>
  </si>
  <si>
    <t>Reshaping the Future : Education and Post-Conflict Reconstruction</t>
  </si>
  <si>
    <t>Buckland, Peter</t>
  </si>
  <si>
    <t>JZ5538.R47 2005</t>
  </si>
  <si>
    <t>Postwar reconstruction.</t>
  </si>
  <si>
    <t>Education in the Democratic Republic of Congo : Priorities and Options for Regeneration</t>
  </si>
  <si>
    <t>World Bank, The</t>
  </si>
  <si>
    <t>LA1910 -- .E38 2005eb</t>
  </si>
  <si>
    <t>Education -- Congo (Democratic Republic) ; Education and state -- Congo (Democratic Republic)</t>
  </si>
  <si>
    <t>Expanding Opportunities and Building Competencies for Young People : A New Agenda for Secondary Education</t>
  </si>
  <si>
    <t>LC67.5 -- .E96 2005eb</t>
  </si>
  <si>
    <t>Competency-based education. ; Education, Secondary -- Economic aspects. ; Educational change.</t>
  </si>
  <si>
    <t>Les Défis de l'Expansion de l'Enseignement Secondaire et de la Formation à Madagascar</t>
  </si>
  <si>
    <t>Ramanantoanina, Patrick;Ramanantoanina, Patrick</t>
  </si>
  <si>
    <t>LA1792.D44 2008</t>
  </si>
  <si>
    <t>Education, Secondary--Madagascar.</t>
  </si>
  <si>
    <t>Le Système Éducatif Centrafricain : : Contraintes et Marges de Manœuvre Pour la Reconstruction du Système Éducatif dans la Perspective de la Réduction de la Pauvreté</t>
  </si>
  <si>
    <t>LA1785.S97 2008</t>
  </si>
  <si>
    <t>Education--Central African Republic.</t>
  </si>
  <si>
    <t>Assurance Qualité de l'Enseignement Supérieur en Afrique Subsaharienne : Etat de la Question, Défis, Opportunités et Pratiques Positives</t>
  </si>
  <si>
    <t>LA1503 -- .M38 2008eb</t>
  </si>
  <si>
    <t>Education, Higher -- Africa, Sub-Saharan. ; Total quality management in higher education -- Africa, Sub-Saharan.</t>
  </si>
  <si>
    <t>Différenciation et Articulation dans les Systèmes d'Enseignement Supérieur en Afrique : Une Étude de Douze Pays Africains</t>
  </si>
  <si>
    <t>Ng'ethe, Njuguna;Subotzky, G.;Afeti, George</t>
  </si>
  <si>
    <t>LA1503 -- .N576 2008eb</t>
  </si>
  <si>
    <t>Education, Higher -- Africa, Sub-Saharan.</t>
  </si>
  <si>
    <t>Mieux Former la Population Active pour Préparer l'avenir : La Transformation de l'enseignement Post-fondamental à Madagascar</t>
  </si>
  <si>
    <t>LA1793.B37 2009</t>
  </si>
  <si>
    <t>Education, Higher--Madagascar.</t>
  </si>
  <si>
    <t>Evolution du Contexte Réglementaire pour l'Enseignement Privé dans les Economies Emergentes : Avant-projet et Documents des Pays</t>
  </si>
  <si>
    <t>LC57.5.E86 2009</t>
  </si>
  <si>
    <t>Education--Developing countries.</t>
  </si>
  <si>
    <t>Reforming Education Finance in Transition Countries : Six Case Studies in per Capita Financing Systems</t>
  </si>
  <si>
    <t>Alonso, Juan Diego;Sánchez, Alonso</t>
  </si>
  <si>
    <t>LB2826.6.D44 -- R44 2011eb</t>
  </si>
  <si>
    <t>Education -- Developing countries -- Finance -- Case studies.</t>
  </si>
  <si>
    <t>User Manual for ADePT Education</t>
  </si>
  <si>
    <t>Porta, Emilio;Arcia, Gustavo;Macdonald, Kevin</t>
  </si>
  <si>
    <t>World Bank Training</t>
  </si>
  <si>
    <t>LB2846 -- .A76 2011eb</t>
  </si>
  <si>
    <t>379.2/60285</t>
  </si>
  <si>
    <t>Educational indicators -- Data processing. ; Educational equalization -- Data processing.</t>
  </si>
  <si>
    <t>Early Child Education : Making Programs Work for Brazil's Most Important Generation</t>
  </si>
  <si>
    <t>Evans, David;Kosec, Katrina</t>
  </si>
  <si>
    <t>LB1139.3.B6.E93 2012</t>
  </si>
  <si>
    <t>Early childhood education--Brazil.</t>
  </si>
  <si>
    <t>Reflective Spin, The: Case Studies Of Teachers In Higher Education Transforming Action</t>
  </si>
  <si>
    <t>Ai Yen Chen;John Van Maanen</t>
  </si>
  <si>
    <t>LB2324.R44 1999</t>
  </si>
  <si>
    <t>Education, Higher--Philosophy.</t>
  </si>
  <si>
    <t>Common Core : Paradigmatic Shifts</t>
  </si>
  <si>
    <t>Chadwick, Jocelyn A.</t>
  </si>
  <si>
    <t>LB1025 -- .C433 2015eb</t>
  </si>
  <si>
    <t>Education -- Study and teaching. ; Teachers -- Training of.</t>
  </si>
  <si>
    <t>Current Trends and Issues in Higher Education : An International Dialogue</t>
  </si>
  <si>
    <t>LA227.3 -- .C877 2015eb</t>
  </si>
  <si>
    <t>Education, Higher -- United States. ; Education, Higher -- United States -- Management.</t>
  </si>
  <si>
    <t>Diversities and Interculturality in Textbooks : Finland as an Example</t>
  </si>
  <si>
    <t>Hahl, Kaisa;Niemi,  Pia-Maria;Longfor,  Rita Johnson;Dervin, Fred</t>
  </si>
  <si>
    <t>LC1099.5.F5 -- .D584 2015eb</t>
  </si>
  <si>
    <t>Multicultural education -- Finland.</t>
  </si>
  <si>
    <t>Research and Relevant Knowledge : American Research Universities since World War II</t>
  </si>
  <si>
    <t>Geiger, Roger L.</t>
  </si>
  <si>
    <t>Q180.U5 -- G33 1993eb</t>
  </si>
  <si>
    <t>Research -- United States -- History. ; Universities and colleges -- Research -- United States -- History.</t>
  </si>
  <si>
    <t>To Advance Knowledge : The Growth of American Research Universities, 1900-1940</t>
  </si>
  <si>
    <t>Q180.U5 -- G34 1986eb</t>
  </si>
  <si>
    <t>001.4/0973</t>
  </si>
  <si>
    <t>Research institutes -- United States -- History. ; Science -- United States -- History. ; Universities and colleges -- United States.</t>
  </si>
  <si>
    <t>Art of Teaching Science : Inquiry and Innovation in Middle School and High School</t>
  </si>
  <si>
    <t>Hassard, Jack</t>
  </si>
  <si>
    <t>Q181 -- .H156 2005eb</t>
  </si>
  <si>
    <t>507/.11</t>
  </si>
  <si>
    <t>Science teachers -- Training of -- Handbooks, manuals, etc. ; Science -- Study and teaching (Secondary) -- Handbooks, manuals, etc.</t>
  </si>
  <si>
    <t>Understanding Child Maltreatment : An Ecological and Developmental Perspective</t>
  </si>
  <si>
    <t>Scannapieco, Maria;Connell-Carrick, Kelli</t>
  </si>
  <si>
    <t>HV6626.5.S33 2005</t>
  </si>
  <si>
    <t>Child abuse. ; Child development. ; Family assessment. ; Family social work. ; Risk assessment.</t>
  </si>
  <si>
    <t>Emerging Adulthood : The Winding Road from the Late Teens Through the Twenties</t>
  </si>
  <si>
    <t>Arnett, Jeffrey Jensen</t>
  </si>
  <si>
    <t>HQ799.5 -- .A72 2004eb</t>
  </si>
  <si>
    <t>Young adults.</t>
  </si>
  <si>
    <t>The Demands of Liberal Education</t>
  </si>
  <si>
    <t>Levinson, Meira</t>
  </si>
  <si>
    <t>LC1091.L38 1999</t>
  </si>
  <si>
    <t>Autonomy (Psychology) ; Citizenship -- Study and teaching. ; Education and state. ; Education -- Aims and objectives. ; Liberalism.</t>
  </si>
  <si>
    <t>School Choice and Social Justice</t>
  </si>
  <si>
    <t>Brighouse, Harry</t>
  </si>
  <si>
    <t>LB1027.9 -- .B75 2000eb</t>
  </si>
  <si>
    <t>School choice -- Social aspects. ; Educational equalization. ; Education and state.</t>
  </si>
  <si>
    <t>Freedom's Orator : Mario Savio and the Radical Legacy of The 1960s</t>
  </si>
  <si>
    <t>LD760.C64 2009</t>
  </si>
  <si>
    <t>College students - Political activity - California - Berkeley - History</t>
  </si>
  <si>
    <t>Beyond Sound : The College and Career Guide in Music Technology</t>
  </si>
  <si>
    <t>Phillips, Scott L.</t>
  </si>
  <si>
    <t>ML3795 -- .P426 2013eb</t>
  </si>
  <si>
    <t>Music -- Vocational guidance. ; Music and technology.</t>
  </si>
  <si>
    <t>Learning by Playing : Video Gaming in Education</t>
  </si>
  <si>
    <t>Blumberg, Fran C.</t>
  </si>
  <si>
    <t>LB1028.3 -- .L3775 2014eb</t>
  </si>
  <si>
    <t>Educational technology. ; Education -- Effect of technological innovations on. ; Video games and children.</t>
  </si>
  <si>
    <t>Investments : Principles of Portfolio and Equity Analysis</t>
  </si>
  <si>
    <t>McMillan, Michael;Pinto, Jerald E.;Pirie, Wendy L.;Van de Venter, Gerhard;Kochard, Lawrence E.</t>
  </si>
  <si>
    <t>CFA Institute Investment Series</t>
  </si>
  <si>
    <t>Equity</t>
  </si>
  <si>
    <t>Origami^{3} : Third International Meeting of Origami Science, Math, and Education</t>
  </si>
  <si>
    <t>Florida</t>
  </si>
  <si>
    <t>A K Peters/CRC Press</t>
  </si>
  <si>
    <t>Hull, Thomas;Damour, Thibault</t>
  </si>
  <si>
    <t>AK Peters/CRC Recreational Mathematics Series</t>
  </si>
  <si>
    <t>QA491 -- .I55 2001eb</t>
  </si>
  <si>
    <t>Origami in education -- Congresses. ; Origami -- Mathematics -- Congresses.</t>
  </si>
  <si>
    <t>Empathetic Education</t>
  </si>
  <si>
    <t>Laura, Ronald S.;Cotton, Mathew C.</t>
  </si>
  <si>
    <t>BD161 -- .L349 1999eb</t>
  </si>
  <si>
    <t>Environmental education. ; Knowledge, Theory of.</t>
  </si>
  <si>
    <t>Environmental Studies; Philosophy; Economics</t>
  </si>
  <si>
    <t>Art in the Early Years</t>
  </si>
  <si>
    <t>Eglinton, Kristen Ali</t>
  </si>
  <si>
    <t>Teaching and Learning in the Early Years</t>
  </si>
  <si>
    <t>LB1139.5.A</t>
  </si>
  <si>
    <t>Art - Study and teaching (Early childhood)</t>
  </si>
  <si>
    <t>Critical Voices in School Reform : Students Living Through Change</t>
  </si>
  <si>
    <t>Rubin, Beth;Silva, Elena</t>
  </si>
  <si>
    <t>LB2822.75 -- .C75eb</t>
  </si>
  <si>
    <t>379.1/58/088375</t>
  </si>
  <si>
    <t>Students -- Attitudes. ; Educational change. ; School improvement programs. ; Student participation in administration.</t>
  </si>
  <si>
    <t>Handbook of Research on Teaching the English Language Arts</t>
  </si>
  <si>
    <t>Lawrence Erlbaum Associates</t>
  </si>
  <si>
    <t>Flood, James;Lapp, Diane;Squire, James R.</t>
  </si>
  <si>
    <t>LB1576 -- .H234 2003eb</t>
  </si>
  <si>
    <t>428/.007073</t>
  </si>
  <si>
    <t>Education Policy and Social Reproduction : Class Inscription and Symbolic Control</t>
  </si>
  <si>
    <t>Fitz, John;Davies, Brian;Evans, John</t>
  </si>
  <si>
    <t>LC71 -- .F58 2006eb</t>
  </si>
  <si>
    <t>Education and state. ; Education -- Political aspects.</t>
  </si>
  <si>
    <t>Partnerships for Smart Growth : University-Community Collaboration for Better Public Places</t>
  </si>
  <si>
    <t>Wiewel, Wim;Knaap, Gerrit</t>
  </si>
  <si>
    <t>LC237 -- .P37 2005eb</t>
  </si>
  <si>
    <t>Regional planning -- Environmental aspects -- Case studies</t>
  </si>
  <si>
    <t>Special Educational Needs in the Early Years</t>
  </si>
  <si>
    <t>Wilson, Ruth</t>
  </si>
  <si>
    <t>LC4019.3 \</t>
  </si>
  <si>
    <t>Handicapped children - Education (Early childhood)</t>
  </si>
  <si>
    <t>Supporting Learning and Teaching</t>
  </si>
  <si>
    <t>Bold, Christine</t>
  </si>
  <si>
    <t>LB1025.3 -- .S87 2011eb</t>
  </si>
  <si>
    <t>Reflective teaching. ; Action research in education.</t>
  </si>
  <si>
    <t>Problems in Education Ils 232</t>
  </si>
  <si>
    <t>Holmes, Brian</t>
  </si>
  <si>
    <t>LB43 -- .H656 2011eb</t>
  </si>
  <si>
    <t>Comparative education -- History. ; School management and organization -- United States.</t>
  </si>
  <si>
    <t>Narrative Ecologies: Teachers As Pedagogical Toolmakers</t>
  </si>
  <si>
    <t>Turvey, Keith</t>
  </si>
  <si>
    <t>LB1731 -- .T83 2013eb</t>
  </si>
  <si>
    <t>Teachers -- In-service training</t>
  </si>
  <si>
    <t>Constructing Education for Development : International Organizations and Education for All</t>
  </si>
  <si>
    <t>Chabbott, Colette</t>
  </si>
  <si>
    <t>LC2607 -- .C39 2003eb</t>
  </si>
  <si>
    <t>379.1/29172/4</t>
  </si>
  <si>
    <t>Educational assistance - Developing countries</t>
  </si>
  <si>
    <t>Solutions Manual for Geometry : A High School Course</t>
  </si>
  <si>
    <t>Carlson, Philip</t>
  </si>
  <si>
    <t>Geometry, Plane-Problems, exercises, etc.</t>
  </si>
  <si>
    <t>Early Fraction Learning</t>
  </si>
  <si>
    <t>Hunting, Robert P.;Davis, Gary</t>
  </si>
  <si>
    <t>Recent Research in Psychology Series</t>
  </si>
  <si>
    <t>370.15/651326</t>
  </si>
  <si>
    <t>Number concept in children.</t>
  </si>
  <si>
    <t>Approaches to Algebra : Perspectives for Research and Teaching</t>
  </si>
  <si>
    <t>Bednarz, N.;Kieran, C.;Lee, L.</t>
  </si>
  <si>
    <t>512/.0071</t>
  </si>
  <si>
    <t>Algebra--Study and teaching</t>
  </si>
  <si>
    <t>Mathematical Enculturation : A Cultural Perspective on Mathematics Education</t>
  </si>
  <si>
    <t>Bishop, Alan</t>
  </si>
  <si>
    <t>Windows on Mathematical Meanings : Learning Cultures and Computers</t>
  </si>
  <si>
    <t>Noss, Richard;Hoyles, Celia</t>
  </si>
  <si>
    <t>Development, Learning and Community : Educating for Identity in Pluralistic Jewish High Schools</t>
  </si>
  <si>
    <t>Academic Studies Press</t>
  </si>
  <si>
    <t>Boston, MA</t>
  </si>
  <si>
    <t>Kress, Jeffrey</t>
  </si>
  <si>
    <t>Judaism and Jewish Life Series</t>
  </si>
  <si>
    <t>LC3557 -- .K74 2012eb</t>
  </si>
  <si>
    <t>Jews -- Education. ; Jewish day schools.</t>
  </si>
  <si>
    <t>Time for Change, Executive Summary : Report on the Future of the Study of Islam and Muslims in Universities and Colleges in Multicultural Britain</t>
  </si>
  <si>
    <t>Al-Maktoum Institute</t>
  </si>
  <si>
    <t>Al-Maktoum Institute Academic Press</t>
  </si>
  <si>
    <t>Dundee</t>
  </si>
  <si>
    <t>El-Awaisi, Abd al-Fattah;Nye, Malory</t>
  </si>
  <si>
    <t>BP43.G7.U939 2006</t>
  </si>
  <si>
    <t>Islam--Study and teaching (Higher)--Great Britain.</t>
  </si>
  <si>
    <t>Time for Change : Report on the Future of the Study of Islam and Muslims in Universities and Colleges in Multicultural Britain</t>
  </si>
  <si>
    <t>BP43.G7.U93 2006</t>
  </si>
  <si>
    <t>Stark’s Conjectures : Recent Work and New Directions</t>
  </si>
  <si>
    <t>American Mathematic Society</t>
  </si>
  <si>
    <t>American Mathematical Society</t>
  </si>
  <si>
    <t>Providence</t>
  </si>
  <si>
    <t>Burns, David;Popescu, Cristian;Sands, Jonathan;Solomon, David</t>
  </si>
  <si>
    <t>Contemporary Mathematics</t>
  </si>
  <si>
    <t>QA246 -- .I58 2002eb</t>
  </si>
  <si>
    <t>512.7/4</t>
  </si>
  <si>
    <t>Stark's conjectures -- Congresses.</t>
  </si>
  <si>
    <t>Transforming Education in Egypt : Western Influence and Domestic Policy Reform</t>
  </si>
  <si>
    <t>American University in Cairo Press</t>
  </si>
  <si>
    <t>Cairo</t>
  </si>
  <si>
    <t>EGYPT</t>
  </si>
  <si>
    <t>Sayed, Fatma H.</t>
  </si>
  <si>
    <t>LA1646 -- .S39 2006eb</t>
  </si>
  <si>
    <t>Educational assistance -- Egypt. ; Educational change -- Egypt. ; Education -- Egypt.</t>
  </si>
  <si>
    <t>Vesalius College : 25 Years Of Academic Excellence In Teaching And Research</t>
  </si>
  <si>
    <t>ASP Academic and Scientific Publishers</t>
  </si>
  <si>
    <t>ASP</t>
  </si>
  <si>
    <t>Bruxelles</t>
  </si>
  <si>
    <t>VUBPRESS</t>
  </si>
  <si>
    <t>Chew III, William L.;Mosselmans, Bert</t>
  </si>
  <si>
    <t>LA818 -- .V473 2012eb</t>
  </si>
  <si>
    <t>Education, Higher -- Belgium. ; Universities and colleges -- Belgium.</t>
  </si>
  <si>
    <t>Why Don't We KISS!? : A Contribution to Close the Gap Between Real-World Decision Makers and Theoretical Decision-Model Builders</t>
  </si>
  <si>
    <t>UPA</t>
  </si>
  <si>
    <t>De Keyser, Wim;Springael, Johan</t>
  </si>
  <si>
    <t>HD30.23 -- .D4 2009eb</t>
  </si>
  <si>
    <t>Uses of Education : Readings in Enlightenment Theory in England</t>
  </si>
  <si>
    <t>Associated University Presses</t>
  </si>
  <si>
    <t>Bucknell University Press</t>
  </si>
  <si>
    <t>Lewisburg</t>
  </si>
  <si>
    <t>Bygrave, Stephen</t>
  </si>
  <si>
    <t>LC1024.G7 -- B94 2009eb</t>
  </si>
  <si>
    <t>370.942/09033</t>
  </si>
  <si>
    <t>Education -- Great Britain -- Philosophy -- History -- 18th century. ; Education, Humanistic -- Great Britain -- History -- 18th century.</t>
  </si>
  <si>
    <t>Clear Writing : A Step by Step Guide</t>
  </si>
  <si>
    <t>AXZO Press</t>
  </si>
  <si>
    <t>Course Technology Crisp</t>
  </si>
  <si>
    <t>Menlo Park</t>
  </si>
  <si>
    <t>Course Technology / Cengage Learning</t>
  </si>
  <si>
    <t>Bonet, Diana;Brett, Elaine</t>
  </si>
  <si>
    <t>HF5718.3 -- .B65 1991eb</t>
  </si>
  <si>
    <t>658.4/53</t>
  </si>
  <si>
    <t>Business writing. ; English language -- Rhetoric.</t>
  </si>
  <si>
    <t>Study Skills Strategies : Your Guide to Critical Thinking</t>
  </si>
  <si>
    <t>Lengefeld, Uelaine;Crisp, Michael;Mapson, Ralph</t>
  </si>
  <si>
    <t>LB1049 -- .L44 1994eb</t>
  </si>
  <si>
    <t>371.3/028/12</t>
  </si>
  <si>
    <t>Study skills.</t>
  </si>
  <si>
    <t>Case Examples of Music Therapy for Self-Development</t>
  </si>
  <si>
    <t>Barcelona Publishers</t>
  </si>
  <si>
    <t>Gilsum</t>
  </si>
  <si>
    <t>Bruscia, Kenneth E.</t>
  </si>
  <si>
    <t>LC32 -- .C37 2012eb</t>
  </si>
  <si>
    <t>Self-culture -- Case studies. ; Music therapy -- Case studies.</t>
  </si>
  <si>
    <t>Online Education : Global Questions, Local Answers</t>
  </si>
  <si>
    <t>Amityville</t>
  </si>
  <si>
    <t>Cook, Kelli Cargile;Grant-Davis, Keith</t>
  </si>
  <si>
    <t>Baywood's Technical Communications Series</t>
  </si>
  <si>
    <t>LB2395.7 -- .O63 2005eb</t>
  </si>
  <si>
    <t>Education, Higher -- Computer-assisted instruction. ; Distance education -- Computer-assisted instruction. ; Internet in higher education.</t>
  </si>
  <si>
    <t>Online Education 2. 0 : Evolving, Adapting, and Reinventing Online Technical Communication</t>
  </si>
  <si>
    <t>Cargile Cook, Kelli;Grant-Davie, Keith</t>
  </si>
  <si>
    <t>LB2395.7 -- .O55 2013eb</t>
  </si>
  <si>
    <t>Education, Higher - Computer-assisted instruction</t>
  </si>
  <si>
    <t>Designing Texts : Teaching Visual Communication</t>
  </si>
  <si>
    <t>Brumberger, Eva R.;Northcut, Kathryn M.</t>
  </si>
  <si>
    <t>P93.5 -- .D47 2013eb</t>
  </si>
  <si>
    <t>302.2/2</t>
  </si>
  <si>
    <t>Visual communication -- Study and teaching (Higher) ; Interdisciplinary approach in education.</t>
  </si>
  <si>
    <t>Designing Web-Based Applications for 21st Century Writing Classrooms</t>
  </si>
  <si>
    <t>Pullman, George;Baotong, Gu</t>
  </si>
  <si>
    <t>LB1028.3 -- .D483 2013eb</t>
  </si>
  <si>
    <t>Educational technology. ; Language and languages -- Study and teaching -- Technological innovations. ; Literature -- Study and teaching -- Technological innovations. ; Academic writing -- Study and teaching -- Technological innovations. ; Web-based instruction. ; Technical writing.</t>
  </si>
  <si>
    <t>Rhetorical Accessability : At the Intersection of Technical Communication and Disability Studies</t>
  </si>
  <si>
    <t>Meloncon, Lisa</t>
  </si>
  <si>
    <t>T10.5 -- .R44 2013eb</t>
  </si>
  <si>
    <t>610.28/4</t>
  </si>
  <si>
    <t>People with disabilities -- Information technology</t>
  </si>
  <si>
    <t>Engineering; Medicine; Engineering: General</t>
  </si>
  <si>
    <t>Under Deadman's Skin : Discovering the Meaning of Children's Violent Play</t>
  </si>
  <si>
    <t>Beacon Press</t>
  </si>
  <si>
    <t>Katch, Jane;Paley, Vivian</t>
  </si>
  <si>
    <t>HQ784.V55 -- K38 2001eb</t>
  </si>
  <si>
    <t>303.6/083</t>
  </si>
  <si>
    <t>Children and violence. ; Violence in children. ; Social groups.</t>
  </si>
  <si>
    <t>Schools with Spirit : Nurturing the Inner Lives of Children and Teachers</t>
  </si>
  <si>
    <t>Goleman, Daniel;Lantieri, Linda</t>
  </si>
  <si>
    <t>LB1027.2 -- .S36 2001eb</t>
  </si>
  <si>
    <t>Teaching -- Religious aspects. ; School children -- Religious life. ; Teachers -- Religious life. ; Spiritual life.</t>
  </si>
  <si>
    <t>Passionate Learner : How Teachers and Parents Can Help Children Reclaim the Joy of Discovery</t>
  </si>
  <si>
    <t>Fried, Robert L.</t>
  </si>
  <si>
    <t>LB1065 -- .F73 2001eb</t>
  </si>
  <si>
    <t>Education -- Parent participation. ; Effective teaching. ; Motivation in education.</t>
  </si>
  <si>
    <t>When the Drama Club Is Not Enough : Lessons from the Safe Schools Program for Gay and Lesbian Students</t>
  </si>
  <si>
    <t>Perrotti, Jeff;Westheimer, Kim</t>
  </si>
  <si>
    <t>LC192.6 -- .P47 2001eb</t>
  </si>
  <si>
    <t>Massachusetts. -- Safe Schools Program for Gay &amp; Lesbian Students. ; Homosexuality and education -- Massachusetts. ; Gay students -- Massachusetts. ; Lesbian students -- Massachusetts.</t>
  </si>
  <si>
    <t>Radical Equations : Organizing Math Literacy in America's Schools</t>
  </si>
  <si>
    <t>Moses, Robert P.;Cobb, Charles E.</t>
  </si>
  <si>
    <t>E184.A1 -- M7 2001eb</t>
  </si>
  <si>
    <t>512/.071/073</t>
  </si>
  <si>
    <t>Minorities -- Civil rights -- United States. ; Minorities -- Education -- United States. ; Algebra -- Study and teaching (Middle school) -- United States. ; Mathematics -- Study and teaching (Middle school) -- United States. ; Literacy -- United States. ; Social justice -- United States. ; African Americans -- Civil rights -- Southern States -- History -- 20th century.</t>
  </si>
  <si>
    <t>Mathematics; History</t>
  </si>
  <si>
    <t>Welcome to Lizard Motel : Protecting the Imaginative Lives of Children</t>
  </si>
  <si>
    <t>Feinberg, Barbara</t>
  </si>
  <si>
    <t>Z1037.A1 -- F45 2004eb</t>
  </si>
  <si>
    <t>Feinberg, Barbara. ; Children -- Books and reading -- United States. ; Imagination in children. ; Home and school -- United States. ; Reading -- Parent participation -- United States.</t>
  </si>
  <si>
    <t>White Money/Black Power : The Surprising History of African American Studies and the Crisis of Race and Higher Education</t>
  </si>
  <si>
    <t>Rooks, Noliwe M.</t>
  </si>
  <si>
    <t>E184.7 -- .R66 2006eb</t>
  </si>
  <si>
    <t>973/.0496073/0071173</t>
  </si>
  <si>
    <t>Ford Foundation -- History -- 20th century. ; African Americans -- Study and teaching (Higher) -- History -- 20th century. ; Education, Higher -- Economic aspects -- United States -- History -- 20th century. ; African Americans -- Education (Higher) -- History -- 20th century. ; Black power -- United States -- History -- 20th century. ; African American college students -- History -- 20th century. ; Student movements -- United States -- History -- 20th century.</t>
  </si>
  <si>
    <t>Teaching Toward Freedom</t>
  </si>
  <si>
    <t>Ayers, William</t>
  </si>
  <si>
    <t>LB1775.2 -- .A94 2004eb</t>
  </si>
  <si>
    <t>Teachers -- United States. ; Teaching -- Moral and ethical aspects -- United States.</t>
  </si>
  <si>
    <t>Can We Talk about Race? : And Other Conversations in an Era of School Resegregation</t>
  </si>
  <si>
    <t>Tatum, Beverly Daniel</t>
  </si>
  <si>
    <t>LC212.62 -- .T38 2007eb</t>
  </si>
  <si>
    <t>379.2/63</t>
  </si>
  <si>
    <t>Segregation in education -- United States. ; School integration -- United States.</t>
  </si>
  <si>
    <t>In Defense of Childhood : Protecting Kids' Inner Wildness</t>
  </si>
  <si>
    <t>Mercogliano, Chris</t>
  </si>
  <si>
    <t>HQ782 -- .M45 2007eb</t>
  </si>
  <si>
    <t>Children. ; Stress in children. ; Child mental health. ; Child rearing.</t>
  </si>
  <si>
    <t>Not Keeping up with Our Parents : The Decline of the Professional Middle Class</t>
  </si>
  <si>
    <t>Mooney, Nan</t>
  </si>
  <si>
    <t>HD8038.U5 -- M66 2008eb</t>
  </si>
  <si>
    <t>330.9730086/22</t>
  </si>
  <si>
    <t>Professional employees -- United States. ; Middle class -- United States -- Economic conditions. ; College graduates -- United States -- Economic conditions -- 21st century.</t>
  </si>
  <si>
    <t>Student Loan Scam : The Most Oppressive Debt in U. S. History - and How We Can Fight Back</t>
  </si>
  <si>
    <t>Collinge, Alan Michael</t>
  </si>
  <si>
    <t>LB2340.2 -- .C645 2009eb</t>
  </si>
  <si>
    <t>Student loans -- Corrupt practices -- United States. ; College graduates -- United States -- Finance, Personal. ; Debt -- United States.</t>
  </si>
  <si>
    <t>Another Kind of Public Education : Race, the Media, Schools, and Democratic Possibilities</t>
  </si>
  <si>
    <t>Hill Collins, Patricia</t>
  </si>
  <si>
    <t>LC212.2 -- .H55 2009eb</t>
  </si>
  <si>
    <t>Racism in education -- United States. ; Public schools -- United States. ; Education in mass media -- United States. ; Democracy and education -- United States.</t>
  </si>
  <si>
    <t>Write These Laws on Your Children : Inside the World of Conservative Christian Homeschooling</t>
  </si>
  <si>
    <t>Kunzman, Robert</t>
  </si>
  <si>
    <t>LC40 -- .K86 2009eb</t>
  </si>
  <si>
    <t>371.04/20973</t>
  </si>
  <si>
    <t>Home schooling -- United States. ; Christian education -- United States.</t>
  </si>
  <si>
    <t>Hardest Questions Aren't on the Test : Lessons from an Innovative Urban School</t>
  </si>
  <si>
    <t>Nathan, Linda F.</t>
  </si>
  <si>
    <t>LB2822.83.M4 -- N38 2009eb</t>
  </si>
  <si>
    <t>371.2/070974461</t>
  </si>
  <si>
    <t>School improvement programs -- Massachusetts -- Boston -- Case studies. ; Education, Urban -- Massachusetts -- Boston -- Case studies. ; High schools -- Massachusetts -- Boston -- Case studies.</t>
  </si>
  <si>
    <t>Boys from Little Mexico : A Season Chasing the American Dream</t>
  </si>
  <si>
    <t>Wilson, Steve</t>
  </si>
  <si>
    <t>GV944.U6 -- W55 2010eb</t>
  </si>
  <si>
    <t>796.334/620979537</t>
  </si>
  <si>
    <t>Woodburn High School (Woodburn, Or.) ; Soccer -- Oregon -- Woodburn. ; School sports -- Oregon -- Woodburn. ; Soccer -- Social aspects -- Oregon -- Woodburn. ; Soccer players -- Mexico. ; Noncitizens -- Oregon.</t>
  </si>
  <si>
    <t>Cradles of Conscience : Ohio's Independent Colleges and Universities</t>
  </si>
  <si>
    <t>Oliver Jr., John William;Hodges, James A;O'Donnell, James H.</t>
  </si>
  <si>
    <t>LB2328.52.U6 -- C73 2003eb</t>
  </si>
  <si>
    <t>378/.04/09771</t>
  </si>
  <si>
    <t>Private universities and colleges -- Ohio -- History.</t>
  </si>
  <si>
    <t>Reading Hemingway's The Sun Also Rises : Glossary and Commentary</t>
  </si>
  <si>
    <t>Kent, OH</t>
  </si>
  <si>
    <t>Stoneback, H. R.</t>
  </si>
  <si>
    <t>Reading Hemingway</t>
  </si>
  <si>
    <t>PS3515.E37 -- S9286 2007eb</t>
  </si>
  <si>
    <t>Hemingway, Ernest</t>
  </si>
  <si>
    <t>The Deans' Bible : Five Purdue Women and Their Quest for Equality</t>
  </si>
  <si>
    <t>Klink, Angie</t>
  </si>
  <si>
    <t>The Founders Series</t>
  </si>
  <si>
    <t>LD4672 -- .K54 2014eb</t>
  </si>
  <si>
    <t>Purdue University -- Faculty -- Biography. ; Women deans (Education) -- United States -- Biography.</t>
  </si>
  <si>
    <t>The Modern Land-Grant University</t>
  </si>
  <si>
    <t>Sternberg, Robert J.</t>
  </si>
  <si>
    <t>LB2329.5 -- .M58 2014eb</t>
  </si>
  <si>
    <t>State universities and colleges -- United States. ; Education, Higher -- Aims and objectives -- United States.</t>
  </si>
  <si>
    <t>Engineering in Pre-College Settings : Synthesizing Research, Policy, and Practices</t>
  </si>
  <si>
    <t>Purzer, Şenay;Strobel, Johannes;Cardella, Monica E.</t>
  </si>
  <si>
    <t>TA147 -- .E54 2014eb</t>
  </si>
  <si>
    <t>620.0071/2</t>
  </si>
  <si>
    <t>Engineering -- Study and teaching (Elementary) ; Engineering -- Study and teaching (Secondary)</t>
  </si>
  <si>
    <t>Engineering; Engineering: General; Engineering: Civil</t>
  </si>
  <si>
    <t>Happiness and Wisdom : Augustine's Early Theology of Education</t>
  </si>
  <si>
    <t>Catholic University of America Press</t>
  </si>
  <si>
    <t>Topping, Ryan N. S.</t>
  </si>
  <si>
    <t>LB125</t>
  </si>
  <si>
    <t>The Crisis of Western Education (the Works of Christopher Dawson)</t>
  </si>
  <si>
    <t>Dawson, Christopher;Olsen, Glenn W.</t>
  </si>
  <si>
    <t>The Works of Christopher Dawson Series</t>
  </si>
  <si>
    <t>Education, Humanistic -- History. ; Christian education.</t>
  </si>
  <si>
    <t>From Class to Identity : The Politics of Education Reforms in Former Yugoslavia</t>
  </si>
  <si>
    <t>CEU Press</t>
  </si>
  <si>
    <t>Central European University Press</t>
  </si>
  <si>
    <t>HUNGARY</t>
  </si>
  <si>
    <t>Bacevic, Jana</t>
  </si>
  <si>
    <t>Education and state-Former Yugoslav republics. ; Educational change-Former Yugoslav republics. ; Education-Political aspects-Former Yugoslav republics. ; Education-Social aspects-Former Yugoslav republics.</t>
  </si>
  <si>
    <t>U.S. Education Reform and National Security</t>
  </si>
  <si>
    <t>Council on Foreign Relations</t>
  </si>
  <si>
    <t>Council on Foreign Relations Press</t>
  </si>
  <si>
    <t>Klein, Joel I.;Rice, Condoleezza;Levy, Julia</t>
  </si>
  <si>
    <t>Independent Task Force Report</t>
  </si>
  <si>
    <t>LB2806 -- .C68 2012eb</t>
  </si>
  <si>
    <t>Educational change -- United States. ; National security -- United States.</t>
  </si>
  <si>
    <t>Reading Appalachia from Left to Right : Conservatives and the 1974 Kanawha County Textbook Controversy</t>
  </si>
  <si>
    <t>Mason, Carol</t>
  </si>
  <si>
    <t>LB3047.5.W4 -- M37 2009eb</t>
  </si>
  <si>
    <t>379.1/560975437</t>
  </si>
  <si>
    <t>Textbooks -- West Virginia -- Kanawha County. ; Multicultural education -- Curricula -- West Virginia -- Kanawha County. ; Language arts -- Curricula -- West Virginia -- Kanawha County. ; Culture conflict -- West Virginia -- Kanawha County. ; Ethnic conflict -- West Virginia -- Kanawha County. ; Community and school -- West Virginia -- Kanawha County.</t>
  </si>
  <si>
    <t>Brown in Baltimore : School Desegregation and the Limits of Liberalism</t>
  </si>
  <si>
    <t>Baum, Howell S.</t>
  </si>
  <si>
    <t>379.2/63097526</t>
  </si>
  <si>
    <t>School integration -- Maryland -- Baltimore. ; Segregation in education -- Maryland -- Baltimore. ; Race relations in school management -- Maryland -- Baltimore. ; School choice -- Maryland -- Baltimore. ; Liberalism -- Maryland -- Baltimore. ; Baltimore (Md.) -- Race relations.</t>
  </si>
  <si>
    <t>Streetwise for Book Smarts : Grassroots Organizing and Education Reform in the Bronx</t>
  </si>
  <si>
    <t>Su, Celina</t>
  </si>
  <si>
    <t>LB2822.83.N7 -- S82 2009eb</t>
  </si>
  <si>
    <t>School improvement programs -- New York (State) -- New York -- Case studies. ; Educational change -- New York (State) -- New York -- Case studies. ; Community organization -- New York (State) -- New York -- Case studies. ; Nonprofit organizations -- New York (State) -- New York -- Case studies. ; Social movements -- New York (State) -- New York -- Case studies. ; Community and school -- New York (State) -- New York. ; Bronx (New York, N.Y.) -- Social conditions.</t>
  </si>
  <si>
    <t>Doctoral Education and the Faculty of the Future</t>
  </si>
  <si>
    <t>Ehrenberg, Ronald G.;Kuh, Charlotte V.</t>
  </si>
  <si>
    <t>LB2386 -- .D62 2009eb</t>
  </si>
  <si>
    <t>Doctor of philosophy degree -- United States -- Congresses. ; Universities and colleges -- United States -- Graduate work -- Congresses. ; Universities and colleges -- United States -- Faculty -- Congresses.</t>
  </si>
  <si>
    <t>Mi Voz, Mi Vida : Latino College Students Tell Their Life Stories</t>
  </si>
  <si>
    <t>Garrod, Andrew C.;Kilkenny, Robert;Gomez, Christina</t>
  </si>
  <si>
    <t>LC2670</t>
  </si>
  <si>
    <t>378.742/3 B</t>
  </si>
  <si>
    <t>Dartmouth College -- Students -- Biography. ; Hispanic American college students -- New Hampshire -- Hanover -- Biography. ; Hispanic American youth -- Education (Higher) -- New Hampshire -- Hanover.</t>
  </si>
  <si>
    <t>An Education in Politics : The Origins and Evolution of No Child Left Behind</t>
  </si>
  <si>
    <t>Rhodes, Jesse H.</t>
  </si>
  <si>
    <t>American Institutions and Society Series</t>
  </si>
  <si>
    <t>United States. -- No Child Left Behind Act of 2001. ; Education and state -- United States -- History -- 20th century. ; Education and state -- United States -- History -- 21st century.</t>
  </si>
  <si>
    <t>Mere Equals : The Paradox of Educated Women in the Early American Republic</t>
  </si>
  <si>
    <t>McMahon, Lucia</t>
  </si>
  <si>
    <t>LC1752</t>
  </si>
  <si>
    <t>Women -- Education -- United States -- History -- 18th century. ; Women -- Education -- United States -- History -- 19th century. ; Women -- United States -- Social conditions -- 18th century. ; Women -- United States -- Social conditions -- 19th century.</t>
  </si>
  <si>
    <t>Cornell '69 : Liberalism and the Crisis of the American University</t>
  </si>
  <si>
    <t>Downs, Donald A.</t>
  </si>
  <si>
    <t>LD1370</t>
  </si>
  <si>
    <t>378.747/71</t>
  </si>
  <si>
    <t>Cornell University -- Student strike, 1969. ; Cornell University -- Administration -- History. ; Student movements -- United States -- History. ; Black power -- United States -- History. ; Education, Humanistic -- United States.</t>
  </si>
  <si>
    <t>The Light of Knowledge : Literacy Activism and the Politics of Writing in South India</t>
  </si>
  <si>
    <t>Cody, Francis</t>
  </si>
  <si>
    <t>Expertise: Cultures and Technologies of Knowledge Series</t>
  </si>
  <si>
    <t>LC157</t>
  </si>
  <si>
    <t>379.2/4095482</t>
  </si>
  <si>
    <t>Arivo?i (Organization : Tamil Nadu, India) ; Literacy programs -- India -- Tamil Nadu. ; Literacy -- Political aspects -- India -- Tamil Nadu. ; Tamil Nadu (India) -- Rural conditions.</t>
  </si>
  <si>
    <t>The Rise of Universities</t>
  </si>
  <si>
    <t>Haskins, Charles Homer;Mommsen, Theodor E.</t>
  </si>
  <si>
    <t>LA177.H37 1965eb</t>
  </si>
  <si>
    <t>Education, Medieval</t>
  </si>
  <si>
    <t>Mixed : Multiracial College Students Tell Their Life Stories</t>
  </si>
  <si>
    <t>LC3641</t>
  </si>
  <si>
    <t>Racially mixed youth - Education (Higher) - New Hampshire - Hanover</t>
  </si>
  <si>
    <t>Growing up Muslim : Muslim College Students in America Tell Their Life Stories</t>
  </si>
  <si>
    <t>Garrod, Andrew C.;Kilkenny, Robert;Patel, Eboo</t>
  </si>
  <si>
    <t>LD1435</t>
  </si>
  <si>
    <t>Dartmouth College -- Students -- Biography. ; Muslim college students -- New Hampshire -- Hanover -- Biography. ; Muslim youth -- Education (Higher) -- New Hampshire -- Hanover.</t>
  </si>
  <si>
    <t>Cornell : A History, 1940-2015</t>
  </si>
  <si>
    <t>Altschuler, Glenn C.;Kramnick, Isaac</t>
  </si>
  <si>
    <t>379.747/71</t>
  </si>
  <si>
    <t>Cornell University -- History.</t>
  </si>
  <si>
    <t>Class Divide : Yale '64 and the Conflicted Legacy of the Sixties</t>
  </si>
  <si>
    <t>Gillette, Howard</t>
  </si>
  <si>
    <t>LD6329</t>
  </si>
  <si>
    <t>Yale College (1887- ). -- Class of 1964. ; Yale University -- History -- 20th century. ; Yale University -- Alumni and alumnae -- Biography. ; Social change -- United States -- History -- 20th century. ; United States -- Social conditions -- 1960-1980.</t>
  </si>
  <si>
    <t>Bookmarks - A Manual For Combating Hate Speech Online Through Human Rights Education</t>
  </si>
  <si>
    <t>Council of Europe</t>
  </si>
  <si>
    <t>LB3013.3 -- .K446 2014eb</t>
  </si>
  <si>
    <t>Cyberbullying -- Europe. ; Online hate speech -- Europe. ; Human rights -- Europe.</t>
  </si>
  <si>
    <t>Signposts - Policy and Practice for Teaching about Religions and Non-Religious World Views in Intercultural Education</t>
  </si>
  <si>
    <t xml:space="preserve">Jackson, Robert;Council of Europe, </t>
  </si>
  <si>
    <t>LC1099.5.E85 -- .S54 2014eb</t>
  </si>
  <si>
    <t>Multicultural education -- Europe. ; Religious pluralism -- Europe.</t>
  </si>
  <si>
    <t>Learning mobility and non-formal learning in European contexts : Policies, approaches and examples</t>
  </si>
  <si>
    <t>LA622.7 -- .L437 2013eb</t>
  </si>
  <si>
    <t>Student mobility -- European Union countries. ; Educational exchanges -- European Union countries. ; Education, Higher -- European Union countries.</t>
  </si>
  <si>
    <t>Teaching Human Rights : Curriculum Resources for Social Work Educators</t>
  </si>
  <si>
    <t>Council on Social Work Education</t>
  </si>
  <si>
    <t>Hokenstad, M.C. Terry;Healy, Lynne M.;Segal, Uma A.</t>
  </si>
  <si>
    <t>JC571.T43 2013</t>
  </si>
  <si>
    <t>Human rights--Study and teaching.</t>
  </si>
  <si>
    <t>Report to the Academy (Re : The New Conflict of the Faculties)</t>
  </si>
  <si>
    <t>The Davies Group, Publishers</t>
  </si>
  <si>
    <t>Lambert, Gregg</t>
  </si>
  <si>
    <t>LB2322.2 -- .L36 2001eb</t>
  </si>
  <si>
    <t>Education, Higher -- Philosophy. ; Universities and colleges -- United States -- Faculty -- Attitudes. ; Postmodernism and higher education -- United States. ; Subjectivity -- Social aspects -- United States.</t>
  </si>
  <si>
    <t>Facilitating University : Positioning next Generation Educational Technology</t>
  </si>
  <si>
    <t>Eburon Academic Publishers</t>
  </si>
  <si>
    <t>Delft</t>
  </si>
  <si>
    <t>van der Zanden, Piet</t>
  </si>
  <si>
    <t>LB1028.3 -- .Z363 2009eb</t>
  </si>
  <si>
    <t>Educating Tomorrow's Knowledge Workers : The Concept of eCompetence and its Application in International Higher Education</t>
  </si>
  <si>
    <t>Schneckenberg, Dirk</t>
  </si>
  <si>
    <t>LB1028.3 -- .S364 2008eb</t>
  </si>
  <si>
    <t>Educational technology -- Europe. ; Education, Higher -- Europe -- Computer-assisted instruction. ; Teachers -- Training of -- Europe. ; Universities and colleges -- Technological innovations -- Europe.</t>
  </si>
  <si>
    <t>SIG de la A a la Z : Diccionario ilustrado de los sistemas de información geográfica</t>
  </si>
  <si>
    <t>ESRI Press</t>
  </si>
  <si>
    <t>Esri Press</t>
  </si>
  <si>
    <t>Redlands</t>
  </si>
  <si>
    <t>Wade, Tasha;Sommer, Shelly</t>
  </si>
  <si>
    <t>G70.212 -- .S543 2010eb</t>
  </si>
  <si>
    <t>Geographic information systems -- Dictionaries.</t>
  </si>
  <si>
    <t>Fordham : A History and Memoir, Revised Edition</t>
  </si>
  <si>
    <t>Fordham University Press</t>
  </si>
  <si>
    <t>Schroth, Raymond A.</t>
  </si>
  <si>
    <t>LD1811.F52 -- S357 2008eb</t>
  </si>
  <si>
    <t>378.747/275</t>
  </si>
  <si>
    <t>Fordham University</t>
  </si>
  <si>
    <t>Medieval Education</t>
  </si>
  <si>
    <t>Begley, Ronald B.;Koterski, Joseph W.</t>
  </si>
  <si>
    <t>Fordham Series in Medieval Studies</t>
  </si>
  <si>
    <t>LA91 -- .M43 2005eb</t>
  </si>
  <si>
    <t>Education, Medieval -- History.</t>
  </si>
  <si>
    <t>Even in Chaos : Education in Times of Emergency</t>
  </si>
  <si>
    <t>Cahill, Kevin M.;Brockmann, H. E. Miguel D'Escoto</t>
  </si>
  <si>
    <t>International Humanitarian Affairs Series</t>
  </si>
  <si>
    <t>Cognition in children. ; Crisis management. ; Chaotic behavior in systems. ; Interdisciplinary approach to knowledge.</t>
  </si>
  <si>
    <t>Miracle on High Street : The Rise, Fall and Resurrection of St. Benedict's Prep in Newark, N. J.</t>
  </si>
  <si>
    <t>McCabe, Thomas A.</t>
  </si>
  <si>
    <t>LD7501.N6M336 2011</t>
  </si>
  <si>
    <t>373.749/32</t>
  </si>
  <si>
    <t>St. Benedict''s Preparatory School (Newark, N.J.) -- History. ; Preparatory schools -- New Jersey -- Newark -- History. ; Minorities -- Education (Secondary) -- New Jersey -- Newark -- History.</t>
  </si>
  <si>
    <t>As Bad As They Say? : Three Decades of Teaching in the Bronx</t>
  </si>
  <si>
    <t>Mayer, Janet Grossbach</t>
  </si>
  <si>
    <t>LA2317.M367 2011</t>
  </si>
  <si>
    <t>373.110092 B</t>
  </si>
  <si>
    <t>Jesuit and Feminist Education : Intersections in Teaching and Learning for the Twenty-first Century</t>
  </si>
  <si>
    <t>US</t>
  </si>
  <si>
    <t>Boryczka, Jocelyn;Petrino, Elizabeth;von Arx, Jeffrey;S.J., Charles L. Currie,</t>
  </si>
  <si>
    <t>LC493 -- .J355 2012eb</t>
  </si>
  <si>
    <t>Jesuits - Education (Higher) - United States</t>
  </si>
  <si>
    <t>Stanley Cavell and the Education of Grownups</t>
  </si>
  <si>
    <t>Saito, Naoko;Standish, Paul</t>
  </si>
  <si>
    <t>American Philosophy</t>
  </si>
  <si>
    <t>B945.C274 -- S74 2012eb</t>
  </si>
  <si>
    <t>Cavell, Stanley</t>
  </si>
  <si>
    <t>A Time for the Humanities : Futurity and the Limits of Autonomy</t>
  </si>
  <si>
    <t>Bono, James J.;Dean, Tim;Ziarek, Ewa Plonowska</t>
  </si>
  <si>
    <t>AZ103 -- .T56 2008eb</t>
  </si>
  <si>
    <t>Geopolitics - Forecasting</t>
  </si>
  <si>
    <t>Counter-Institutions : Jacques Derrida and the Question of the University</t>
  </si>
  <si>
    <t>Wortham, Simon Morgan</t>
  </si>
  <si>
    <t>Perspectives in Continental Philosophy</t>
  </si>
  <si>
    <t>B2430.D484 -- W68 2006eb</t>
  </si>
  <si>
    <t>Education, Higher - Philosophy</t>
  </si>
  <si>
    <t>John Dewey Between Pragmatism and Constructivism</t>
  </si>
  <si>
    <t>Hickman, Larry A.;Neubert, Stefan;Reich, Kersten</t>
  </si>
  <si>
    <t>American Philosophy Series</t>
  </si>
  <si>
    <t>Pragmatism</t>
  </si>
  <si>
    <t>Transforming Ourselves, Transforming the World : Justice in Jesuit Higher Education</t>
  </si>
  <si>
    <t>Combs, Mary Beth;Schmidt, Patricia Ruggiano</t>
  </si>
  <si>
    <t>LC493 -- .T73 2013eb</t>
  </si>
  <si>
    <t>Jesuits - Education (Higher) - Uited States</t>
  </si>
  <si>
    <t>Teach Me to Be Generous : The First Century of Regis High School in New York City</t>
  </si>
  <si>
    <t>Andreassi, Anthony D.;Dolan, Timothy Cardinal Dolan</t>
  </si>
  <si>
    <t>Regis High School (New York, N.Y.) -- History. ; Catholic high schools -- New York (State) -- New York -- History. ; Catholic high school students -- New York (State) -- New York -- History.</t>
  </si>
  <si>
    <t>Good Journey : 150 Years of History at St. Bonaventure University</t>
  </si>
  <si>
    <t>Franciscan Institute Publications</t>
  </si>
  <si>
    <t>St. Bonaventure</t>
  </si>
  <si>
    <t>McCarthy, Robert;McCarthy, Ann;McCarthy, Daniel</t>
  </si>
  <si>
    <t>LD4794.S82.G66 2011</t>
  </si>
  <si>
    <t>Universities and colleges--New York (State)--History.</t>
  </si>
  <si>
    <t>Critical Perspectives in Canadian Music Education</t>
  </si>
  <si>
    <t>Beynon, Carol A.;Veblen, Kari K.</t>
  </si>
  <si>
    <t>MT3.C35 -- C93 2012eb</t>
  </si>
  <si>
    <t>780.71/071</t>
  </si>
  <si>
    <t>Musique - aEtude et enseignement - Canada</t>
  </si>
  <si>
    <t>Creating a Class : College Admissions and the Education of Elites</t>
  </si>
  <si>
    <t>Stevens, Mitchell L.</t>
  </si>
  <si>
    <t>LB2351</t>
  </si>
  <si>
    <t>Universities and colleges-United States-Admission. ; Education, Higher-United States. ; Elite (Social sciences)-United States.</t>
  </si>
  <si>
    <t>Print Literacy Development</t>
  </si>
  <si>
    <t>Purcell-Gates, Victoria;Jacobson, Erik;Degener, Sophie;Purcell-Gates</t>
  </si>
  <si>
    <t>Literacy-Social aspects-United States-Case studies. ; Cognitive learning-United States-Case studies. ; Adult education students-United States-Case studies.</t>
  </si>
  <si>
    <t>The Process of Education : Revised Edition</t>
  </si>
  <si>
    <t>Bruner, Jerome</t>
  </si>
  <si>
    <t>LB885.B78 1977</t>
  </si>
  <si>
    <t>Education-Aims and objectives.</t>
  </si>
  <si>
    <t>A Class of Their Own : Black Teachers in the Segregated South</t>
  </si>
  <si>
    <t>Fairclough, Adam</t>
  </si>
  <si>
    <t>371.10089/96073</t>
  </si>
  <si>
    <t>Catholic Schools and the Common Good</t>
  </si>
  <si>
    <t>Bryk, Anthony S.;Lee, Valerie E.;Holland, Peter B.</t>
  </si>
  <si>
    <t>LC501</t>
  </si>
  <si>
    <t>Catholic high schools-United States-History. ; Catholic high schools-United States-Administration.</t>
  </si>
  <si>
    <t>Inside Teaching : How Classroom Life Undermines Reform</t>
  </si>
  <si>
    <t>Kennedy, Mary M.</t>
  </si>
  <si>
    <t>LC210</t>
  </si>
  <si>
    <t>Classroom environment-United States. ; Educational change-United States.</t>
  </si>
  <si>
    <t>White Teacher</t>
  </si>
  <si>
    <t>Paley, Vivian Gussin</t>
  </si>
  <si>
    <t>LC2771 -- .P34 1979eb</t>
  </si>
  <si>
    <t>371.8299/073</t>
  </si>
  <si>
    <t>African Americans -- Education. ; Kindergarten. ; Classroom management.</t>
  </si>
  <si>
    <t>Beyond the Ivory Tower : Social Responsibilities of the Modern University</t>
  </si>
  <si>
    <t>Bok, Derek</t>
  </si>
  <si>
    <t>Education, Higher-Aims and objectives-United States. ; Academic freedom-United States.</t>
  </si>
  <si>
    <t>The Girl with the Brown Crayon</t>
  </si>
  <si>
    <t>LB1140</t>
  </si>
  <si>
    <t>Lionni, Leo,-1910-1999. ; Language arts (Preschool)-Illinois-Chicago-Case studies. ; Children's literature-Study and teaching (Preschool)-Illinois-Chicago-Case studies. ; Preschool children-Books and reading-Illinois-Chicago-Case studies.</t>
  </si>
  <si>
    <t>The Boy Who Would Be a Helicopter</t>
  </si>
  <si>
    <t>Paley, Vivian Gussin;Coles, Robert</t>
  </si>
  <si>
    <t>Preschool teaching. ; Teacher-student relationships. ; Child development. ; Fantasy in children-Case studies.</t>
  </si>
  <si>
    <t>The Blackboard and the Bottom Line</t>
  </si>
  <si>
    <t>Cuban, Larry</t>
  </si>
  <si>
    <t>Business and education-United States. ; Public schools-United States. ; Educational change-United States.</t>
  </si>
  <si>
    <t>Wally's Stories</t>
  </si>
  <si>
    <t>LB1169</t>
  </si>
  <si>
    <t>Kindergarten-Methods and manuals. ; Creative thinking.</t>
  </si>
  <si>
    <t>Oversold and Underused : Computers in the Classroom</t>
  </si>
  <si>
    <t>Diversity and Distrust : Civic Education in a Multicultural Democracy</t>
  </si>
  <si>
    <t>Macedo, Stephen</t>
  </si>
  <si>
    <t>LA217</t>
  </si>
  <si>
    <t>Public schools-United States. ; Moral education-United States. ; Citizenship-Study and teaching-United States. ; Liberalism-United States. ; Multiculturalism-United States.</t>
  </si>
  <si>
    <t>Tinkering Toward Utopia : A Century of Public School Reform</t>
  </si>
  <si>
    <t>Tyack, David B.;Cuban, Larry</t>
  </si>
  <si>
    <t>LA216</t>
  </si>
  <si>
    <t>371/.01/0973/0904</t>
  </si>
  <si>
    <t>Educational change-United States-History-19th century. ; Educational change-United States-History-20th century. ; Education-Social aspects-United States. ; Education and state-United States. ; Education-Political aspects-United States.</t>
  </si>
  <si>
    <t>Inside Charter Schools</t>
  </si>
  <si>
    <t>Fuller, Bruce;Wexler, Edward;Zernike, Kate;Huerta, Luis;Rofes, Eric Edward;Yancey, Patty;Wells, Amy Stuart;Holme, Jennifer Jellison;Vasudeva, Ash</t>
  </si>
  <si>
    <t>Charter schools-United States. ; Schools-Decentralization-United States. ; Education and state-United States.</t>
  </si>
  <si>
    <t>Innocents Abroad : American Teachers in the American Century</t>
  </si>
  <si>
    <t>Zimmerman, Jonathan</t>
  </si>
  <si>
    <t>LB2283</t>
  </si>
  <si>
    <t>370.116/3</t>
  </si>
  <si>
    <t>By Design</t>
  </si>
  <si>
    <t>Light, Richard J.;Singer, Judith D.;Willett, John B.</t>
  </si>
  <si>
    <t>LB2326</t>
  </si>
  <si>
    <t>378/.0072073</t>
  </si>
  <si>
    <t>Education, Higher-Research-United States. ; Universities and colleges-United States-Evaluation.</t>
  </si>
  <si>
    <t>Reaching Higher</t>
  </si>
  <si>
    <t>Weinstein, Rhona S.</t>
  </si>
  <si>
    <t>Education for Thinking</t>
  </si>
  <si>
    <t>Kuhn, Deanna</t>
  </si>
  <si>
    <t>LB1590</t>
  </si>
  <si>
    <t>372/.01/1</t>
  </si>
  <si>
    <t>Thought and thinking-Study and teaching. ; Inquiry-based learning. ; Critical thinking in children. ; Education-Aims and objectives.</t>
  </si>
  <si>
    <t>The Sandbox Investment</t>
  </si>
  <si>
    <t>Kirp, David L.</t>
  </si>
  <si>
    <t>Education, Preschool-Political aspects-United States. ; Education, Preschool-United States-Philosophy.</t>
  </si>
  <si>
    <t>Investing in College</t>
  </si>
  <si>
    <t>Getz, Malcolm</t>
  </si>
  <si>
    <t>College choice-United States. ; Universities and colleges-United States-Handbooks, manuals, etc.</t>
  </si>
  <si>
    <t>Increasing Faculty Diversity</t>
  </si>
  <si>
    <t>Cole, Stephen;Barber, Elinor</t>
  </si>
  <si>
    <t>378.1/2/089</t>
  </si>
  <si>
    <t>Faculty integration-United States. ; Minority college teachers-United States. ; Minority college graduates-Employment-United States. ; Vocational interests-United States.</t>
  </si>
  <si>
    <t>The Questions of Tenure</t>
  </si>
  <si>
    <t>Chait, Richard P.;Altbach, Philip G.;Baldwin, Roger;Chronister, Jay L.;Clotfelter, Charles T.;Honan, James;Mallon, William T.;Rice, R. Eugene;Trower, Cathy A.</t>
  </si>
  <si>
    <t>LB2335</t>
  </si>
  <si>
    <t>College teachers-Tenure-United States. ; Universities and colleges-Faculty-Employment-United States.</t>
  </si>
  <si>
    <t>The Schoolhome</t>
  </si>
  <si>
    <t>LC225</t>
  </si>
  <si>
    <t>370.1/0973</t>
  </si>
  <si>
    <t>Home and school-United States. ; Education-United States-Philosophy. ; Montessori method of education. ; Curriculum planning-United States. ; United States-Social conditions-1980-2020.</t>
  </si>
  <si>
    <t>Tuition Rising : Why College Costs So Much, with a New Preface</t>
  </si>
  <si>
    <t>Ehrenberg, Ronald G.</t>
  </si>
  <si>
    <t>College costs-United States. ; Education, Higher-Economic aspects-United States. ; Universities and colleges-United States-Administration.</t>
  </si>
  <si>
    <t>Judging School Discipline</t>
  </si>
  <si>
    <t>Arum, Richard;Beattie, Irenee R.;Pitt, Richard;Thompson, Jennifer;Way, Sandra</t>
  </si>
  <si>
    <t>LC311</t>
  </si>
  <si>
    <t>Moral education-United States. ; School discipline-Law and legislation-United States. ; Education-Social aspects-United States.</t>
  </si>
  <si>
    <t>The Education Gospel : The Economic Power of Schooling</t>
  </si>
  <si>
    <t>Grubb, W. Norton;Lazerson, Marvin</t>
  </si>
  <si>
    <t>Education-Economic aspects-United States. ; Vocational education-United States. ; Education-Effect of technological innovations on.</t>
  </si>
  <si>
    <t>The Early Admissions Game</t>
  </si>
  <si>
    <t>Avery, Christopher;Fairbanks, Andrew;Zeckhauser, Richard</t>
  </si>
  <si>
    <t>Harvard a to Z</t>
  </si>
  <si>
    <t>Bethell, John T.;Hunt, Richard M.;Shenton, Robert</t>
  </si>
  <si>
    <t>LD2155</t>
  </si>
  <si>
    <t>378.744/4</t>
  </si>
  <si>
    <t>Standards Deviation</t>
  </si>
  <si>
    <t>Spillane, James P.</t>
  </si>
  <si>
    <t>Children As Pawns : The Politics of Educational Reform</t>
  </si>
  <si>
    <t>Hacsi, Timothy A.</t>
  </si>
  <si>
    <t>Reconstructing American Education</t>
  </si>
  <si>
    <t>Katz, Michael B.</t>
  </si>
  <si>
    <t>LA212</t>
  </si>
  <si>
    <t>Teaching in America</t>
  </si>
  <si>
    <t>Grant, Gerald;Murray, Christine E.</t>
  </si>
  <si>
    <t>371.1/02/0973</t>
  </si>
  <si>
    <t>The Golden Age of the Classics in America</t>
  </si>
  <si>
    <t>Richard, Carl J.</t>
  </si>
  <si>
    <t>E165</t>
  </si>
  <si>
    <t>Civilization, Classical-Study and teaching-United States-History-19th century. ; Classical literature-Study and teaching-United States-History-19th century. ; Political culture-United States-History-19th century. ; Education-United States-History-19th century. ; United States-Civilization-Classical influences. ; United States-Civilization-1783-1865. ; United States-Intellectual life-1783-1865. ; Greece-Study and teaching-United States-History-19th century. ; Rome-Study and teaching-United States-History-19th century. ; United States-Social conditions-To 1865.</t>
  </si>
  <si>
    <t>How Professors Think : Inside the Curious World of Academic Judgment</t>
  </si>
  <si>
    <t>Lamont, Michèle</t>
  </si>
  <si>
    <t>LB2333</t>
  </si>
  <si>
    <t>College teachers-Rating of. ; Peer review. ; Teacher effectiveness. ; Portfolios in education.</t>
  </si>
  <si>
    <t>Hope and Despair in the American City : Why There Are No Bad Schools in Raleigh</t>
  </si>
  <si>
    <t>Grant, Gerald</t>
  </si>
  <si>
    <t>LB2822</t>
  </si>
  <si>
    <t>School improvement programs-North Carolina-Raleigh-Case studies. ; Urban schools-United States-Case studies. ; Urban renewal-United States-Case studies.</t>
  </si>
  <si>
    <t>The Best of the Best : Becoming Elite at an American Boarding School</t>
  </si>
  <si>
    <t>Gaztambide-Fernández, Rubén A.;Gaztambide-Fernández, Rubén A.</t>
  </si>
  <si>
    <t>LC4941</t>
  </si>
  <si>
    <t>373.2/220973</t>
  </si>
  <si>
    <t>Boarding schools-United States-Case studies. ; Elite (Social sciences)-Education-United States-Case studies.</t>
  </si>
  <si>
    <t>Teaching What You Don't Know</t>
  </si>
  <si>
    <t>Huston, Therese</t>
  </si>
  <si>
    <t>College teaching. ; Effective teaching. ; Learning.</t>
  </si>
  <si>
    <t>The College Fear Factor : How Students and Professors Misunderstand One Another</t>
  </si>
  <si>
    <t>Cox, Rebecca D.</t>
  </si>
  <si>
    <t>378.1/98019</t>
  </si>
  <si>
    <t>Community college students-Psychology. ; Community college teachers-Attitudes. ; Teacher-student relationships. ; Communication in education. ; Educational psychology.</t>
  </si>
  <si>
    <t>The Reading Crisis : Why Poor Children Fall Behind</t>
  </si>
  <si>
    <t>Chall, Jeanne S.;Jacobs, Vicki A.;Baldwin, Luke E.</t>
  </si>
  <si>
    <t>Language arts (Elementary)-United States-Evaluation. ; Reading (Elementary)-United States-Evaluation. ; Underachievers-United States-Evaluation. ; Children with social disabilities-Education-United States-Evaluation. ; Literacy-United States-Evaluation.</t>
  </si>
  <si>
    <t>Saving Schools : From Horace Mann to Virtual Learning</t>
  </si>
  <si>
    <t>Education-United States-Philosophy. ; Education-United States-History. ; Educators-United States-History. ; Educational change-United States-History.</t>
  </si>
  <si>
    <t>College Admissions for the 21st Century</t>
  </si>
  <si>
    <t>Universities and colleges-United States-Admission. ; Education, Higher-Standards-United States. ; Educational equalization-United States.</t>
  </si>
  <si>
    <t>Someone Has to Fail : The Zero-Sum Game of Public Schooling</t>
  </si>
  <si>
    <t>Labaree, David F.</t>
  </si>
  <si>
    <t>Educational change-United States. ; Public schools-United States. ; Students with social disabilities-United States.</t>
  </si>
  <si>
    <t>True American : Language, Identity, and the Education of Immigrant Children</t>
  </si>
  <si>
    <t>Salomone, Rosemary C.</t>
  </si>
  <si>
    <t>LC3731</t>
  </si>
  <si>
    <t>371.82/691</t>
  </si>
  <si>
    <t>Immigrant children-Education-United States. ; Immigrant children-United States-Language. ; Immigrant children-United States-Ethnic identity. ; Education, Bilingual-United States. ; Americanization. ; United States-Ethnic relations. ; United States-Emigration and immigration.</t>
  </si>
  <si>
    <t>Liberal Arts at the Brink</t>
  </si>
  <si>
    <t>Ferrall Jr., Victor E.</t>
  </si>
  <si>
    <t>Kids Don't Want to Fail : Oppositional Culture and the Black-White Achievement Gap</t>
  </si>
  <si>
    <t>Harris, Angel L.</t>
  </si>
  <si>
    <t>African American students. ; Academic achievement-United States. ; Educational equalization-United States. ; Minorities-Education-United States.</t>
  </si>
  <si>
    <t>Dropping Out</t>
  </si>
  <si>
    <t>Rumberger, Russell W.</t>
  </si>
  <si>
    <t>LC146</t>
  </si>
  <si>
    <t>373.12/913</t>
  </si>
  <si>
    <t>High school dropouts-United States. ; High school dropouts-United States-Prevention.</t>
  </si>
  <si>
    <t>Teaching and Its Predicaments</t>
  </si>
  <si>
    <t>Cohen, David K.</t>
  </si>
  <si>
    <t>LB1025</t>
  </si>
  <si>
    <t>No Citizen Left Behind</t>
  </si>
  <si>
    <t>Educational Psychology: Critical Pedagogical Perspectives; Series</t>
  </si>
  <si>
    <t>Working Knowledge</t>
  </si>
  <si>
    <t>Isaac, Joel</t>
  </si>
  <si>
    <t>300.71/17444</t>
  </si>
  <si>
    <t>Harvard University-History. ; Social sciences-Research-Massachusetts-Cambridge. ; Social sciences-Study and teaching-Massachusetts-Cambridge. ; Universities and colleges-Massachusetts-Cambridge-History.</t>
  </si>
  <si>
    <t>Stylish Academic Writing</t>
  </si>
  <si>
    <t>Sword, Helen</t>
  </si>
  <si>
    <t>808/.0420711</t>
  </si>
  <si>
    <t>Academic writing. ; English language--Style.</t>
  </si>
  <si>
    <t>What the Best College Students Do</t>
  </si>
  <si>
    <t>Bain, Ken</t>
  </si>
  <si>
    <t>LA229</t>
  </si>
  <si>
    <t>College students-United States. ; Academic achievement-United States.</t>
  </si>
  <si>
    <t>The Harvard Sampler : Liberal Education for the Twenty-First Century</t>
  </si>
  <si>
    <t>Shephard, Jennifer M.;Kosslyn, Stephen M.;Hammonds, Evelynn M.</t>
  </si>
  <si>
    <t>Harvard University-Faculty. ; Education, Humanistic.</t>
  </si>
  <si>
    <t>Testing Wars in the Public Schools</t>
  </si>
  <si>
    <t>Reese, William J.</t>
  </si>
  <si>
    <t>LB3051</t>
  </si>
  <si>
    <t>Why Are Professors Liberal and Why Do Conservatives Care?</t>
  </si>
  <si>
    <t>Gross, Neil</t>
  </si>
  <si>
    <t>College teachers-Political activity-United States. ; Liberalism-United States.</t>
  </si>
  <si>
    <t>Paying for the Party</t>
  </si>
  <si>
    <t>Armstrong, Elizabeth A.;Hamilton, Laura T.</t>
  </si>
  <si>
    <t>Educational sociology-United States. ; Public universities and colleges-United States. ; Women college students-United States-Social conditions.</t>
  </si>
  <si>
    <t>Cheating Lessons</t>
  </si>
  <si>
    <t>Lang, James M.</t>
  </si>
  <si>
    <t>LB3609</t>
  </si>
  <si>
    <t>Slow Reading in a Hurried Age</t>
  </si>
  <si>
    <t>Mikics, David</t>
  </si>
  <si>
    <t>Books and reading-Philosophy. ; Reading comprehension.</t>
  </si>
  <si>
    <t>Migrant Teachers</t>
  </si>
  <si>
    <t>Bartlett, Lora</t>
  </si>
  <si>
    <t>LC5115</t>
  </si>
  <si>
    <t>Education, Urban-United States. ; Teachers, Foreign-United States.</t>
  </si>
  <si>
    <t>The Broken Compass</t>
  </si>
  <si>
    <t>Robinson, Keith;Harris, Angel L.</t>
  </si>
  <si>
    <t>Education-Parent participation-United States. ; Home and school-United States.</t>
  </si>
  <si>
    <t>How College Works</t>
  </si>
  <si>
    <t>Chambliss, Daniel F.;Takacs, Christopher G.</t>
  </si>
  <si>
    <t>College students.</t>
  </si>
  <si>
    <t>Lines of Descent</t>
  </si>
  <si>
    <t>Appiah, Kwame Anthony</t>
  </si>
  <si>
    <t>The W. E. B. du Bois Lectures</t>
  </si>
  <si>
    <t>Du Bois, W. E. B.-(William Edward Burghardt),-1868-1963. ; Education-Philosophy. ; African Americans-Education. ; African American intellectuals.</t>
  </si>
  <si>
    <t>Learning as We Go : Why School Choice is Worth the Wait</t>
  </si>
  <si>
    <t>Hoover inst press Publication</t>
  </si>
  <si>
    <t>LB1027.9 -- .H55 2010eb</t>
  </si>
  <si>
    <t>School choice -- United States. ; School improvement programs -- United States.</t>
  </si>
  <si>
    <t>Swing Dance : Justice O'Connor and the Michigan Muddle</t>
  </si>
  <si>
    <t>Zelnick, Robert</t>
  </si>
  <si>
    <t>Hoover Institution Press Publication</t>
  </si>
  <si>
    <t>KF8742 -- .Z44 2004eb</t>
  </si>
  <si>
    <t>344.73/0798</t>
  </si>
  <si>
    <t>O''Connor, Sandra Day, -- 1930- ; United States. -- Supreme Court. ; Universities and colleges -- Admission -- Law and legislation -- Michigan. ; Discrimination in education -- Law and legislation -- Michigan. ; Affirmative action programs in education -- Law and legislation -- Michigan.</t>
  </si>
  <si>
    <t>Tests, Testing, and Genuine School Reform</t>
  </si>
  <si>
    <t>Walberg, Herbert J.</t>
  </si>
  <si>
    <t>LB3051 -- .W295 2011eb</t>
  </si>
  <si>
    <t>Educational tests and measurements -- United States. ; Education -- Standards -- United States. ; Educational change -- United States. ; School improvement programs -- United States.</t>
  </si>
  <si>
    <t>Advancing Student Achievement</t>
  </si>
  <si>
    <t>LB2822.82 -- .W35 2010eb</t>
  </si>
  <si>
    <t>School improvement programs -- United States. ; Academic achievement -- United States. ; Educational psychology -- United States.</t>
  </si>
  <si>
    <t>The Best Teachers in the World : Why We Don't Have Them and How We Could</t>
  </si>
  <si>
    <t>Chubb, John E.;Schmidt, Benno C.;Schmidt, Benno C.</t>
  </si>
  <si>
    <t>LB2832.2 -- .C48 2012eb</t>
  </si>
  <si>
    <t>Teacher effectiveness -- United States. ; Teachers -- Selection and appointment -- United States. ; Teachers -- Certification -- United States. ; Teachers -- Training of -- United States.</t>
  </si>
  <si>
    <t>Learning from No Child Left Behind : How and Why the Nation's Most Important but Controversial Education Law Should Be Renewed</t>
  </si>
  <si>
    <t>Chubb, John E.</t>
  </si>
  <si>
    <t>LB2806.22 -- .C47 2009eb</t>
  </si>
  <si>
    <t>United States. -- No Child Left Behind Act of 2001. ; Educational accountability -- Law and legislation -- United States. ; Education -- Standards -- United States. ; Education -- United States -- Evaluation. ; Educational equalization -- United States.</t>
  </si>
  <si>
    <t>Reroute the Preschool Juggernaut</t>
  </si>
  <si>
    <t>Finn, Jr., Chester E.</t>
  </si>
  <si>
    <t>Hoover Inst Press Publication</t>
  </si>
  <si>
    <t>LB1140.23 -- .F56 2009eb</t>
  </si>
  <si>
    <t>Education, Preschool -- Government policy -- United States. ; Education, Preschool -- United States -- Public opinion. ; Education, Preschool -- Economic aspects -- United States. ; Public opinion -- United States. ; Education and state.</t>
  </si>
  <si>
    <t>Bringing in a New Era in Character Education</t>
  </si>
  <si>
    <t>Damon, William</t>
  </si>
  <si>
    <t>LC311 -- .B74 2002eb</t>
  </si>
  <si>
    <t>Moral education -- United States. ; Character -- Study and teaching -- United States.</t>
  </si>
  <si>
    <t>CÃÂ³mo Mejorar la EducaciÃÂ³n : Ideas Latinoamericanas y Resultados AsiÃÂ¡ticos</t>
  </si>
  <si>
    <t>Inter-American Development Bank</t>
  </si>
  <si>
    <t>de Moura Castro, Claudia;Verdisco, Aimee</t>
  </si>
  <si>
    <t>LA541 -- .C66 2004eb</t>
  </si>
  <si>
    <t>Education -- Latin America. ; Education -- Asia.</t>
  </si>
  <si>
    <t>From Bullets to Blackboards : Education for Peace in Latin America and Asia</t>
  </si>
  <si>
    <t>Vargas-BarÃÂ³n, Emily;Bernal AlarcÃÂ³n, Hernando</t>
  </si>
  <si>
    <t>JZ5538 -- .F76 2005eb</t>
  </si>
  <si>
    <t>Peace-building -- Latin America -- Congresses. ; Peace-building -- East Asia -- Congresses.</t>
  </si>
  <si>
    <t>Making Education Work : Latin American Ideas and Asian Results</t>
  </si>
  <si>
    <t>de Moura Castro, Claudio;Verdisco, Aimee</t>
  </si>
  <si>
    <t>LA541 -- .M215 2002eb</t>
  </si>
  <si>
    <t>Education -- Latin America. ; Education -- Asia. ; Education and state -- Latin America. ; Education and state -- Asia. ; Education -- Latin America -- Evaluation.</t>
  </si>
  <si>
    <t>Art, Argument and Advocacy : Mastering Parliamentary Debate</t>
  </si>
  <si>
    <t>IDEA</t>
  </si>
  <si>
    <t>International Debate Education Association</t>
  </si>
  <si>
    <t>Meany, John;Shuster, Kate</t>
  </si>
  <si>
    <t>PN4181.M38 2002</t>
  </si>
  <si>
    <t>Debates and debating.</t>
  </si>
  <si>
    <t>Perspectives in Controversy : Selected Essays from Contemporary Argumentation and Debate</t>
  </si>
  <si>
    <t>Broda-Bahm, Kenneth</t>
  </si>
  <si>
    <t>PN4181.P433 2002</t>
  </si>
  <si>
    <t>Many Sides : Debate Across the Curriculum</t>
  </si>
  <si>
    <t>Schnurer, Maxwell;Snider, Alfred</t>
  </si>
  <si>
    <t>PN4181 -- .S66 2002eb</t>
  </si>
  <si>
    <t>Conflict and Communication : A Guide Through the Labyrinth of Conflict Management</t>
  </si>
  <si>
    <t>Shapiro, Daniel</t>
  </si>
  <si>
    <t>HM1126 -- .S53 2004eb</t>
  </si>
  <si>
    <t>303.6/9/071</t>
  </si>
  <si>
    <t>Conflict management -- Study and teaching. ; Social conflict -- Study and teaching. ; Conflict management -- Study and teaching -- Activity programs. ; Social conflict -- Study and teaching -- Activity programs.</t>
  </si>
  <si>
    <t>Speaking Across the Curriculum : Practical Ideas for Incorporating Listening and Speaking into the Classroom</t>
  </si>
  <si>
    <t>CA HS Speech Association</t>
  </si>
  <si>
    <t>PN4192.T43 -- S64 2004eb</t>
  </si>
  <si>
    <t>Debates and debating. ; Public speaking. ; Oral communication.</t>
  </si>
  <si>
    <t>Argument and Audience</t>
  </si>
  <si>
    <t xml:space="preserve">Kempf, Daniella;Kempf, Daniella </t>
  </si>
  <si>
    <t>PN4181 -- .B76 2004eb</t>
  </si>
  <si>
    <t>808.5/3</t>
  </si>
  <si>
    <t>In Search of Red Buddha : Higher Education in China after Mao Zedong</t>
  </si>
  <si>
    <t>Lynch Street, Nancy</t>
  </si>
  <si>
    <t>LA1131.82 -- .S77 2004eb</t>
  </si>
  <si>
    <t>370/.951/09047</t>
  </si>
  <si>
    <t>Education -- China -- History -- 1976- ; China -- Intellectual life -- 1976-</t>
  </si>
  <si>
    <t>Environment and Our Global Community</t>
  </si>
  <si>
    <t>Shapiro, Susan G.</t>
  </si>
  <si>
    <t>GE77 -- .E58 2006eb</t>
  </si>
  <si>
    <t>Environmental education -- Activity programs. ; Environmental education -- Curricula. ; Environmental responsibility -- Study and teaching (Elementary) -- Activity programs.</t>
  </si>
  <si>
    <t>Influencing Through Argument</t>
  </si>
  <si>
    <t xml:space="preserve">Huber, Robert B.;Snider, Alfred C.;Lawrence, Edwin W. </t>
  </si>
  <si>
    <t>PN4121 -- .H78 2005eb</t>
  </si>
  <si>
    <t>Persuasion (Rhetoric) ; Reasoning.</t>
  </si>
  <si>
    <t>Speak Out : A Guide to Middle School Debate</t>
  </si>
  <si>
    <t>PN4181 -- .S53 2005eb</t>
  </si>
  <si>
    <t>Debates and debating. ; Public speaking.</t>
  </si>
  <si>
    <t>Voices in the Sky : Radio Debates</t>
  </si>
  <si>
    <t>Snider, Alfred C.</t>
  </si>
  <si>
    <t>PN4181 -- .S665 2005eb</t>
  </si>
  <si>
    <t>Debates and debating. ; Radio addresses, debates, etc.</t>
  </si>
  <si>
    <t>Discovering the World Through Debate</t>
  </si>
  <si>
    <t>International Debate Education Association Staff;Driscoll, William;Trapp, Robert</t>
  </si>
  <si>
    <t>PN4181 -- .D75 2005eb</t>
  </si>
  <si>
    <t>Debates and debating. ; Parliamentary practice.</t>
  </si>
  <si>
    <t>Teaching and Learning Strategies for the Thinking Classroom</t>
  </si>
  <si>
    <t xml:space="preserve">Crawford, Alan;Saul, Wendy;Mathews, Samuel R.;MaKinster, James G. </t>
  </si>
  <si>
    <t>LB1027.23 -- .T426 2005eb</t>
  </si>
  <si>
    <t>Active learning. ; Effective teaching.</t>
  </si>
  <si>
    <t>Exploring Future Options : A Career Development Curriculum for Middle School Students</t>
  </si>
  <si>
    <t>Perry, Nancy;Vanzandt, Zark</t>
  </si>
  <si>
    <t>LC1037 -- .P42 2005eb</t>
  </si>
  <si>
    <t>Career education -- Curricula. ; Career education -- Study and teaching (Middle school) ; Vocational guidance.</t>
  </si>
  <si>
    <t>Focus on the Future : A Career Development Curriculum for Secondary School Students</t>
  </si>
  <si>
    <t>Perry, Nancy;VanZandt, Zark</t>
  </si>
  <si>
    <t>LC1037 -- .P37 2005eb</t>
  </si>
  <si>
    <t>Career education -- Curricula. ; Career education -- Study and teaching (Secondary) ; Vocational guidance.</t>
  </si>
  <si>
    <t>Teacher's Guide for Discovering the World Through Debate : A Practical Guide to Educational Debate for Debaters, Coaches and Judges (3rd Edition)</t>
  </si>
  <si>
    <t>Claxton, Nancy</t>
  </si>
  <si>
    <t>PN4181 -- .D75 2006eb</t>
  </si>
  <si>
    <t>Participation for All : A Youth Parliament Handbook</t>
  </si>
  <si>
    <t>Middleton, Michael K.</t>
  </si>
  <si>
    <t>JF515 -- .M57 2007eb</t>
  </si>
  <si>
    <t>060.4/2</t>
  </si>
  <si>
    <t>Parliamentary practice. ; Debates and debating.</t>
  </si>
  <si>
    <t>General Works/Reference; Political Science</t>
  </si>
  <si>
    <t>Using Deliberative Techniques in the English as a Foreigh Language Classroom : A Manual for Teachers of Advanced Level Students</t>
  </si>
  <si>
    <t>PE1128.A2 -- C535 2008eb</t>
  </si>
  <si>
    <t>English language -- Study and teaching -- Foreign speakers -- Handbooks, manuals, etc.</t>
  </si>
  <si>
    <t>Student Voices Against Poverty : Lesson Plans and Resources Manual for Teachers</t>
  </si>
  <si>
    <t>Millennium Campaign Curriculum Project</t>
  </si>
  <si>
    <t>HC59.72.P6.S78 2007</t>
  </si>
  <si>
    <t>Developing countries--Economic policy.</t>
  </si>
  <si>
    <t>On Demand Writing : Applying the Strategies of Impromptu Speaking to Impromptu Writing</t>
  </si>
  <si>
    <t>Williamson, Lynette</t>
  </si>
  <si>
    <t>LB1631 -- .W396 2009eb</t>
  </si>
  <si>
    <t>English language -- Composition and exercises -- Study and teaching (Secondary) ; Essay -- Authorship. ; Test-taking skills -- Study and teaching (Secondary) ; Extemporaneous speaking.</t>
  </si>
  <si>
    <t>Regis Study Skills Guide</t>
  </si>
  <si>
    <t>Walsh, Frank;Reisig, Chris</t>
  </si>
  <si>
    <t>LB1049 -- .W26 2008eb</t>
  </si>
  <si>
    <t>Study skills. ; Learning.</t>
  </si>
  <si>
    <t>Discourse, Debate and Democracy : Readings from Controversia - An International Journal of Debate and Democratic Renewal</t>
  </si>
  <si>
    <t>Williams, David Cratis;Young, Marilyn J.;David, Williams</t>
  </si>
  <si>
    <t>PN4181 -- .D55 2009eb</t>
  </si>
  <si>
    <t>Debates and debating. ; Democracy.</t>
  </si>
  <si>
    <t>Winning Debates : A Guide to Debating in the Style of the World Universities Debating Championships</t>
  </si>
  <si>
    <t>Johnson, Steven L.</t>
  </si>
  <si>
    <t>PN4181 -- .J545 2009eb</t>
  </si>
  <si>
    <t>Debating in the World Schools Style</t>
  </si>
  <si>
    <t>Quinn, Simon</t>
  </si>
  <si>
    <t>PN4181 -- .Q56 2009eb</t>
  </si>
  <si>
    <t>Debatabase Book</t>
  </si>
  <si>
    <t>Trapp, Robert;International Debate Education Association</t>
  </si>
  <si>
    <t>PN4181 -- .D3945 2009eb</t>
  </si>
  <si>
    <t>Practical Guide to Debating : Worlds Style/ British Parliamentary Style</t>
  </si>
  <si>
    <t>Harvey-Smith, Neill</t>
  </si>
  <si>
    <t>JF515 -- .H245 2011eb</t>
  </si>
  <si>
    <t>Parliamentary practice -- Handbooks, manuals, etc. ; Debates and debating -- Handbooks, manuals, etc. ; Parliamentary practice -- Competitions -- Handbooks, manuals, etc. ; Debates and debating -- Competitions -- Handbooks, manuals, etc.</t>
  </si>
  <si>
    <t>Literature; Political Science</t>
  </si>
  <si>
    <t>American Scholar, The</t>
  </si>
  <si>
    <t>Infomotions</t>
  </si>
  <si>
    <t>Infomotions, Inc.</t>
  </si>
  <si>
    <t>South Bend</t>
  </si>
  <si>
    <t>Emerson, Ralph Waldo</t>
  </si>
  <si>
    <t>LA228 -- .E5 2001eb</t>
  </si>
  <si>
    <t>Learning and scholarship. ; Character.</t>
  </si>
  <si>
    <t>Epistemologies of Ignorance in Education</t>
  </si>
  <si>
    <t>Information Age Publishing, Incorporated</t>
  </si>
  <si>
    <t>Charlotte, NC</t>
  </si>
  <si>
    <t>Malewski, Erik;Jaramillo, Nathalia</t>
  </si>
  <si>
    <t>LC196 .E65 2011</t>
  </si>
  <si>
    <t>Critical pedagogy. ; Education-Philosophy. ; Ignorance (Theory of knowledge)</t>
  </si>
  <si>
    <t>Power, Resistance, and Literacy : Writing for Social Justice</t>
  </si>
  <si>
    <t>Gorlewski, Julie A.</t>
  </si>
  <si>
    <t>Critical Constructions: Studies on Education and Society Series</t>
  </si>
  <si>
    <t>LB1631 .G655 2011</t>
  </si>
  <si>
    <t>English language-Composition and exercises-Study and teaching (Secondary)-Case studies. ; Composition (Language arts)-Social aspects-United States-Case studies. ; Children with social disabilities-Education (Secondary)-United States-Case studies. ; Critical pedagogy-United States-Case studies.</t>
  </si>
  <si>
    <t>Lost in Transition : Redefining Students and Universities in the Contemporary Kyrgyz Republic</t>
  </si>
  <si>
    <t>DeYoung, Alan J.</t>
  </si>
  <si>
    <t>International Perspectives on Educational Policy, Research and Practice Series</t>
  </si>
  <si>
    <t>LA1386.4.D49 2010</t>
  </si>
  <si>
    <t>Critical Qualitative Research in Second Language Studies : Agency and Advocacy</t>
  </si>
  <si>
    <t>Davis, Kathryn A.</t>
  </si>
  <si>
    <t>P118.2 .C75 2011</t>
  </si>
  <si>
    <t>Second language acquisition-Social aspects-Cross-cultural studies. ; Second language acquisition-Research. ; Critical discourse analysis-Cross-cultural studies.</t>
  </si>
  <si>
    <t>Leading Research in Educational Administration : A Festschrift for Wayne K. Hoy</t>
  </si>
  <si>
    <t>DiPaola, Michael;Forsyth, Patrick B.</t>
  </si>
  <si>
    <t>Research and Theory in Educational Administration Series</t>
  </si>
  <si>
    <t>LB2805 .L3455 2011</t>
  </si>
  <si>
    <t>Hoy, Wayne K. ; School management and organization. ; School management and organization-Research. ; Educational leadership.</t>
  </si>
  <si>
    <t>Including Families and Communities in Urban Education</t>
  </si>
  <si>
    <t>Hands, Catherine;Hubbard, Lea</t>
  </si>
  <si>
    <t>Issues in the Research, Theory, Policy, and Practice of Urban Education Series</t>
  </si>
  <si>
    <t>LC5131 .I46 2011</t>
  </si>
  <si>
    <t>Education, Urban-United States. ; Education-Parent participation-United States. ; Community and school-United States. ; Children of minorities-Education-United States. ; Educational equalization-United States.</t>
  </si>
  <si>
    <t>Adult Learning and Relationships</t>
  </si>
  <si>
    <t>Strom, Robert D.;Strom, Paris S.</t>
  </si>
  <si>
    <t>Lifespan Learning Series</t>
  </si>
  <si>
    <t>LB1060 .S848 2011</t>
  </si>
  <si>
    <t>Adult learning. ; Learning-Philosophy. ; Community and school. ; Educational change.</t>
  </si>
  <si>
    <t>Students As Designers of Their Own Life Curricula : The Reconstruction of Experience in Education</t>
  </si>
  <si>
    <t>Izuegbu, Vincent</t>
  </si>
  <si>
    <t>LB1027.23 .I98 2011</t>
  </si>
  <si>
    <t>Experiential learning. ; Active learning. ; Curriculum change. ; Education-Biographical methods.</t>
  </si>
  <si>
    <t>Knowing and Writing School History : The Language of Students' Expository Writing and Teachers' Expectations</t>
  </si>
  <si>
    <t>de Oliveira, Luciana C.</t>
  </si>
  <si>
    <t>LB1631 .D292 2011</t>
  </si>
  <si>
    <t>English language-Composition and exercises-Study and teaching (Secondary) ; Exposition (Rhetoric)-Study and teaching (Secondary) ; Historiography-Study and teaching (Secondary)</t>
  </si>
  <si>
    <t>Sociocultural Theories of Learning and Motivation : Looking Back, Looking Forward</t>
  </si>
  <si>
    <t>McInerney, Dennis M.;Walker, Richard A.;Liem, Gregory Arief D.</t>
  </si>
  <si>
    <t>Research on Sociocultural Influences on Motivation and Learning Series</t>
  </si>
  <si>
    <t>LB1065 .S63 2011</t>
  </si>
  <si>
    <t>Motivation in education-Social aspects. ; Learning-Social aspects. ; Educational sociology-Research.</t>
  </si>
  <si>
    <t>The Cost-Effectiveness of 22 Approaches for Raising Student Achievement</t>
  </si>
  <si>
    <t>Yeh, Stuart S.</t>
  </si>
  <si>
    <t>LB1062.6 .Y44 2011</t>
  </si>
  <si>
    <t>Academic achievement-Cost effectiveness. ; School improvement programs-Cost effectiveness.</t>
  </si>
  <si>
    <t>Investigating University-School Partnerships</t>
  </si>
  <si>
    <t>Nath, Janice L.;Guadarrama, Irma N.;Ramsey, John</t>
  </si>
  <si>
    <t>LB2331.53.I68 2011</t>
  </si>
  <si>
    <t>Religious Diversity and Children's Literature</t>
  </si>
  <si>
    <t>Green, Connie R.;Oldendorf, Sandra Brenneman</t>
  </si>
  <si>
    <t>International Social Studies Forum: the Series</t>
  </si>
  <si>
    <t>BL42 .G74 2011</t>
  </si>
  <si>
    <t>207/.5083</t>
  </si>
  <si>
    <t>Religious education of children. ; Religions-Juvenile literature-Book reviews. ; Children's literature-Book reviews.</t>
  </si>
  <si>
    <t>At a Crossroads : The Educational Leadership Professoriate in the 21st Century</t>
  </si>
  <si>
    <t>Hackmann, Donald G.;McCarthy, Martha M.</t>
  </si>
  <si>
    <t>UCEA Leadership Series</t>
  </si>
  <si>
    <t>LB2805 .H222 2011</t>
  </si>
  <si>
    <t>Educational leadership-United States. ; School management and organization-United States. ; Educational change-United States.</t>
  </si>
  <si>
    <t>The Phenomenon of Obama and the Agenda for Education : Can Hope Audaciously Trump Neoliberalism?</t>
  </si>
  <si>
    <t>Carr, Paul R.;Porfilio, Brad J.</t>
  </si>
  <si>
    <t>LB2341.98 .P45 2011</t>
  </si>
  <si>
    <t>Obama, Barack. ; Government aid to education. ; Neoliberalism.</t>
  </si>
  <si>
    <t>Ubiquitous Learning : Strategies for Pedagogy, Course Design and Technology</t>
  </si>
  <si>
    <t>Kidd, Terry T.;Chen, Irene</t>
  </si>
  <si>
    <t>LB1028.3 .U355 2011</t>
  </si>
  <si>
    <t>Educational technology. ; Ubiquitous computing. ; Digital media. ; Instructional systems-Design. ; Education-Effect of technological innovations on.</t>
  </si>
  <si>
    <t>Latinos/as and Mathematics Education : Research on Learning and Teaching in Classrooms and Communities</t>
  </si>
  <si>
    <t>Téllez, Kip;Moschkovich, Judit N.;Civil, Marta</t>
  </si>
  <si>
    <t>Research in Educational Diversity and Excellence Series</t>
  </si>
  <si>
    <t>QA13 .L3725 2011</t>
  </si>
  <si>
    <t>Mathematics-Study and teaching-United States. ; Hispanic Americans-Education-United States.</t>
  </si>
  <si>
    <t>Gender and Early Learning Environments</t>
  </si>
  <si>
    <t>Irby, Beverly;Brown, Genevieve H.</t>
  </si>
  <si>
    <t>Research on Women and Education Series</t>
  </si>
  <si>
    <t>LC212.9 .G399 2011</t>
  </si>
  <si>
    <t>Sex differences in education. ; Gender identity in education. ; Early childhood education-Social aspects. ; Girls-Education (Early childhood)</t>
  </si>
  <si>
    <t>Clinical Teacher Education : Reflections from an Urban Professional Development School Network</t>
  </si>
  <si>
    <t>Bohan, Chara Haeussler;Many, Joyce E.</t>
  </si>
  <si>
    <t>Readings in Educational Thought Series</t>
  </si>
  <si>
    <t>LB1715 .C575 2011</t>
  </si>
  <si>
    <t>Teachers-Training of-United States. ; Teachers-Professional relationships-United States. ; College-school cooperation-United States. ; Education, Urban-United States.</t>
  </si>
  <si>
    <t>Promising Practices for Family Engagement in Out-Of-School Time</t>
  </si>
  <si>
    <t>Kreider, Holly;Westmoreland, Helen</t>
  </si>
  <si>
    <t>Family School Community Partnership Issues Series</t>
  </si>
  <si>
    <t>LC225.3.P786 2011</t>
  </si>
  <si>
    <t>Teaching for Global Community : Overcoming the Divide and Conquer Strategies</t>
  </si>
  <si>
    <t>Rossatto, César Augusto</t>
  </si>
  <si>
    <t>LC196 .T43 2011</t>
  </si>
  <si>
    <t>Critical pedagogy. ; Education and globalization. ; International education.</t>
  </si>
  <si>
    <t>The Legacy of Middle School Leaders : In Their Own Words</t>
  </si>
  <si>
    <t>Smith, Tracy W.;McEwin, C. Kenneth</t>
  </si>
  <si>
    <t>The Handbook of Resources in Middle Level Education Series</t>
  </si>
  <si>
    <t>LB2831.92 .S57 2011</t>
  </si>
  <si>
    <t>Middle school principals-United States. ; Educational leadership-United States.</t>
  </si>
  <si>
    <t>The Education of Children in Geographically Remote Regions Through Distance Education</t>
  </si>
  <si>
    <t>Lopes, Elaine;O'Donoghue, Tom;O'Neill, Marnie</t>
  </si>
  <si>
    <t>LC5808.A8 L67 2011</t>
  </si>
  <si>
    <t>Distance education-Australia. ; Education, Rural-Australia.</t>
  </si>
  <si>
    <t>Internationalisation in Secondary Education in Europe : A European and International Orientation in Schools Policies, Theories and Research</t>
  </si>
  <si>
    <t>Maslowski, Ralf;Oonk, Henk;van der Werf, Greetje</t>
  </si>
  <si>
    <t>LB1629.5.E9 I58 2011</t>
  </si>
  <si>
    <t>378.91242/2</t>
  </si>
  <si>
    <t>Education, Secondary-Curricula-European Union countries-Cross-cultural studies. ; Education and globalization-European Union countries-Cross-cultural studies. ; Educational change-European Union countries-Cross-cultural studies. ; European cooperation-Cross-cultural studies.</t>
  </si>
  <si>
    <t>Filling in the Blanks : Standardized Testing and the Black-White Achievement Gap</t>
  </si>
  <si>
    <t>Arbuthnot, Keena</t>
  </si>
  <si>
    <t>Contemporary Perspectives in Race and Ethnic Relations Series</t>
  </si>
  <si>
    <t>LB3051 .A7445 2011</t>
  </si>
  <si>
    <t>Educational tests and measurements-Social aspects-United States. ; Test bias-United States. ; Educational equalization-United States.</t>
  </si>
  <si>
    <t>Surveying Borders, Boundaries, and Contested Spaces in Curriculum and Pedagogy</t>
  </si>
  <si>
    <t>Reilly, Cole;Russell, Victoria;Chehayl, Laurel K.</t>
  </si>
  <si>
    <t>Curriculum and Pedagogy Series</t>
  </si>
  <si>
    <t>LC191.4 .S86 2011</t>
  </si>
  <si>
    <t>Education-Social aspects-United States. ; Education-Curricula-Social aspects-United States. ; Critical pedagogy-United States.</t>
  </si>
  <si>
    <t>Think, Care, Act : Teaching for a Peaceful Future</t>
  </si>
  <si>
    <t>Cannon, Susan Gelber</t>
  </si>
  <si>
    <t>Peace Education Series</t>
  </si>
  <si>
    <t>JZ5534 .C36 2011</t>
  </si>
  <si>
    <t>Peace-Study and teaching. ; Multicultural education. ; Education-Social aspects.</t>
  </si>
  <si>
    <t>Higher Education in Development : Lessons from Sub Saharan Africa</t>
  </si>
  <si>
    <t>Ashcroft, Kate;Rayner, Philip</t>
  </si>
  <si>
    <t>LA1503.A845 2011</t>
  </si>
  <si>
    <t>Personality, Stress, and Coping : Implications for Education</t>
  </si>
  <si>
    <t>Reevy, Gretchen M.;Frydenberg, Erica</t>
  </si>
  <si>
    <t>Research on Stress and Coping in Education Series</t>
  </si>
  <si>
    <t>LB1088.P47 2011</t>
  </si>
  <si>
    <t>Reflections on Teaching Literacy : Selected Speeches of Margaret J. Early</t>
  </si>
  <si>
    <t>Wolcott, Willa</t>
  </si>
  <si>
    <t>LB1050.E196 2011</t>
  </si>
  <si>
    <t>418/.4071</t>
  </si>
  <si>
    <t>Two Nobodies Speak Out : Our 150 Year Journey and Perspectives on Education</t>
  </si>
  <si>
    <t>Marcus, Sheldon;Vairo, Philip D.</t>
  </si>
  <si>
    <t>LA2311.T95 2011</t>
  </si>
  <si>
    <t>370.92/2</t>
  </si>
  <si>
    <t>Creating Connections in Teaching and Learning</t>
  </si>
  <si>
    <t>Abawi, Lindy;Conway, Joan;Henderson, Robyn</t>
  </si>
  <si>
    <t>Research on Teaching and Learning Series</t>
  </si>
  <si>
    <t>LB1060.C755 2011</t>
  </si>
  <si>
    <t>Messengers of Music : The Legacy of Julia E. Crane</t>
  </si>
  <si>
    <t>Collins, Caron L.</t>
  </si>
  <si>
    <t>ML423.C88C65 2011</t>
  </si>
  <si>
    <t>780.71/174756</t>
  </si>
  <si>
    <t>Ethnicity and Race : Creating Educational Opportunities Around the Globe</t>
  </si>
  <si>
    <t>Brown, Elinor L.;Gibbons, Pamela E.</t>
  </si>
  <si>
    <t>International Advances in Education: Global Initiatives for Equity and Social Justice Series</t>
  </si>
  <si>
    <t>LC3715 .E85 2011</t>
  </si>
  <si>
    <t>Minorities-Education-Cross-cultural studies. ; Ethnic relations-Cross-cultural studies. ; Discrimination in education-Cross-cultural studies.</t>
  </si>
  <si>
    <t>Leadership from the Ground Up : Effective Schooling in Traditionally Low Performing Schools</t>
  </si>
  <si>
    <t>Wilson, Cynthia L.;Acker-Hocevar, Michele A.;Cruz-Janzen, Marta I.</t>
  </si>
  <si>
    <t>LB2822.82 .A27 2012</t>
  </si>
  <si>
    <t>School improvement programs-United States-Case studies. ; Educational leadership-United States-Case studies. ; Children with social disabilities-Education-United States-Case studies.</t>
  </si>
  <si>
    <t>10 Great Curricula : Lived Conversations of Progressive, Democratic Curricula in School and Society</t>
  </si>
  <si>
    <t>Poetter, Thomas S.</t>
  </si>
  <si>
    <t>LB2806.15 .A12 2011</t>
  </si>
  <si>
    <t>Curriculum planning-Social aspects. ; Curriculum planning-Political aspects. ; Education-Philosophy.</t>
  </si>
  <si>
    <t>Putting It into Practice : Developing Student Critical Thinking Skills in Teacher Education - the Models, Methods, Experiences and Results</t>
  </si>
  <si>
    <t>Jones, Paula;Haydon, Debbie</t>
  </si>
  <si>
    <t>LB1590.3 .P79 2012</t>
  </si>
  <si>
    <t>Critical thinking-Study and teaching. ; Teachers-Training of.</t>
  </si>
  <si>
    <t>Taking Your Course Online : An Interdisciplinary Journey</t>
  </si>
  <si>
    <t>Torrens, Kathleen M.;Amador, José A.</t>
  </si>
  <si>
    <t>LB2395.7 .T35 2012</t>
  </si>
  <si>
    <t>Education, Higher-Computer-assisted instruction.</t>
  </si>
  <si>
    <t>Transcendental Learning : The Educational Legacy of Alcott, Emerson, Fuller, Peabody and Thoreau</t>
  </si>
  <si>
    <t>Current Perspectives in Holistic Education Series</t>
  </si>
  <si>
    <t>LC990 .M55 2011</t>
  </si>
  <si>
    <t>Holistic education. ; Transcendentalism. ; Learning.</t>
  </si>
  <si>
    <t>Practical Strategies for Teaching K-12 Social Studies in Inclusive Classrooms</t>
  </si>
  <si>
    <t>Lintner, Timothy;Schweder, Windy</t>
  </si>
  <si>
    <t>LB1584 .P67 2011</t>
  </si>
  <si>
    <t>Social sciences-Study and teaching (Elementary)-United States. ; Social sciences-Study and teaching (Secondary)-United States. ; Inclusive education.</t>
  </si>
  <si>
    <t>Placing Practitioner Knowledge at the Center of Teacher Education : Rethinking the Policies and Practices of the Education Doctorate</t>
  </si>
  <si>
    <t>Macintyre Latta, Margaret;Wunder, Susan</t>
  </si>
  <si>
    <t>Education Policy in Practice: Critical Cultural Studies</t>
  </si>
  <si>
    <t>LB1715 .P535 2012</t>
  </si>
  <si>
    <t>Doctor of education degree-United States. ; Teachers-Training of-Curricula-United States. ; Teachers-Training of-United States.</t>
  </si>
  <si>
    <t>Ignoring Poverty in the U. S. : The Corporate Takeover of Public Education</t>
  </si>
  <si>
    <t>Thomas, P. L.</t>
  </si>
  <si>
    <t>LC1085.2 .T53 2012</t>
  </si>
  <si>
    <t>Business and education-United States. ; Education-Economic aspects-United States. ; Poor children-Education-United States. ; Education and state-United States. ; Public schools-United States. ; Educational equalization-United States.</t>
  </si>
  <si>
    <t>The Bilingual School in the United States : A Documentary History</t>
  </si>
  <si>
    <t>Ramsey, Paul J.</t>
  </si>
  <si>
    <t>Research in Bilingual Education Series</t>
  </si>
  <si>
    <t>LC3731 .B56 2012</t>
  </si>
  <si>
    <t>Education, Bilingual-United States-History. ; Multicultural education-United States-History. ; Minorities-Education-United States-History.</t>
  </si>
  <si>
    <t>Advances in Special Education Research and Praxis in Selected Countries of Africa, Caribbean and the Middle East</t>
  </si>
  <si>
    <t>Mutua, Kagendo;Sunal, Cynthia S.</t>
  </si>
  <si>
    <t>Research on Education in Africa, the Caribbean, and the Middle East Series</t>
  </si>
  <si>
    <t>LC4038.A2 A38 2012</t>
  </si>
  <si>
    <t>Children with disabilities-Education-Research-Africa. ; Children with disabilities-Education-Research-Caribbean Area. ; Children with disabilities-Education-Research-Middle East. ; Education and state-Research-Africa. ; Education and state-Research-Caribbean Area. ; Education and state-Research-Middle East.</t>
  </si>
  <si>
    <t>Peer Relationships and Adjustment at School</t>
  </si>
  <si>
    <t>Ryan, Allison M.;Ladd, Gary W.</t>
  </si>
  <si>
    <t>Adolescence and Education Series</t>
  </si>
  <si>
    <t>LB1139.S88 P44 2012</t>
  </si>
  <si>
    <t>Student adjustment. ; Interpersonal relations in adolescence.</t>
  </si>
  <si>
    <t>Can Educators Make a Difference? : Experimenting with, and Experiencing, Democracy in Education</t>
  </si>
  <si>
    <t>Carr, Paul R.;Zyngier, David;Pruyn, Marc</t>
  </si>
  <si>
    <t>LC1091.C25 2012</t>
  </si>
  <si>
    <t>Trends and Issues in Distance Education 2nd Edition : International Perspectives</t>
  </si>
  <si>
    <t>Visser, Lya;Visser, Yusra Laila;Amirault, Ray</t>
  </si>
  <si>
    <t>Perspectives in Instructional Technology and Distance Education Series</t>
  </si>
  <si>
    <t>LC5800 .T74 2012</t>
  </si>
  <si>
    <t>Encouraging a Continuing Personal Investment in Learning : Motivation As an Instructional Outcome</t>
  </si>
  <si>
    <t>Maehr, Martin L.</t>
  </si>
  <si>
    <t>LB1065 .M2744 2012</t>
  </si>
  <si>
    <t>Motivation in education. ; Achievement motivation. ; Effective teaching.</t>
  </si>
  <si>
    <t>Teachers Sourcebook for Extensive Reading</t>
  </si>
  <si>
    <t>Farrell, Thomas S. C.;Jacobs, George</t>
  </si>
  <si>
    <t>LB1573 .J33 2012</t>
  </si>
  <si>
    <t>Reading. ; Individualized reading instruction. ; Children-Books and reading. ; Motivation in education.</t>
  </si>
  <si>
    <t>Consilio et Animis : Tracing a Path to Social Justice Through the Classics</t>
  </si>
  <si>
    <t>Ryan, Antoinette M.</t>
  </si>
  <si>
    <t>PA78.U6 R93 2012</t>
  </si>
  <si>
    <t>Classical philology-Study and teaching-United States. ; Classical literature-Study and teaching-United States. ; Critical pedagogy-United States. ; Social justice-Study and teaching-United States.</t>
  </si>
  <si>
    <t>Teachers' Roles in Second Language Learning : Classroom Applications of Sociocultural Theory</t>
  </si>
  <si>
    <t>Yoon, Bogum;Kim, Hoe Kyeung</t>
  </si>
  <si>
    <t>Research in Second Language Learning Series</t>
  </si>
  <si>
    <t>PE1128.A2 T384 2012</t>
  </si>
  <si>
    <t>English-Study and teaching-Foreign speakers. ; Language and languages-Study and teaching-Social aspects. ; Education, Bilingual. ; Code switching (Linguistics)</t>
  </si>
  <si>
    <t>Let the Music Play! : Harnessing the Power of Music for History and Social Studies Classrooms</t>
  </si>
  <si>
    <t>Lee, Christopher Dean;Pellegrino, Anthony M.</t>
  </si>
  <si>
    <t>Teaching and Learning Social Studies</t>
  </si>
  <si>
    <t>MT1 .L577 2012</t>
  </si>
  <si>
    <t>Music in education. ; History-Study and teaching. ; Social sciences-Study and teaching. ; Music-Social aspects. ; Music-Political aspects.</t>
  </si>
  <si>
    <t>Teaching Again : A Professor's Tale of Returning to a Ninth Grade Classroom</t>
  </si>
  <si>
    <t>LB1737.A3 P64 2012</t>
  </si>
  <si>
    <t>High school teaching-United States. ; Career changes-United States.</t>
  </si>
  <si>
    <t>Pressing Forward : Increasing and Expanding Rigor and Relevance in America's High Schools</t>
  </si>
  <si>
    <t>Smerdon, Becky;Borman, Kathryn M.</t>
  </si>
  <si>
    <t>Research on High School and Beyond Series</t>
  </si>
  <si>
    <t>LA222.P74 2011</t>
  </si>
  <si>
    <t>Fostering Global Citizenship : Through Faculty-Led International Programs</t>
  </si>
  <si>
    <t>Mullens, Jo Beth;Cuper, Pru</t>
  </si>
  <si>
    <t>LB2375 .M85 2012</t>
  </si>
  <si>
    <t>Foreign study. ; International education. ; College students-Travel. ; College teachers-Travel.</t>
  </si>
  <si>
    <t>Student Engagement in Urban Schools : Beyond Neoliberal Discourses</t>
  </si>
  <si>
    <t>McMahon, Brenda J.;Portelli, John P.</t>
  </si>
  <si>
    <t>LC5115 .S84 2012</t>
  </si>
  <si>
    <t>Education, Urban. ; Educational equalization. ; Neoliberalism.</t>
  </si>
  <si>
    <t>Women Leaders : Advancing Careers</t>
  </si>
  <si>
    <t>Brown, Genevieve H.;Irby, Beverly;Jackson, Shirley A.</t>
  </si>
  <si>
    <t>LB2831.82 .W66 2012</t>
  </si>
  <si>
    <t>Women school administrators-Selection and appointment-United States. ; Educational leadership-United States.</t>
  </si>
  <si>
    <t>Black Graduate Education at Historically Black Colleges and Universities</t>
  </si>
  <si>
    <t>Palmer, Robert T.;Hilton, Adriel A.;Fountaine, Tiffany Patrice</t>
  </si>
  <si>
    <t>LC2781 .B462 2012</t>
  </si>
  <si>
    <t>African Americans-Education (Graduate) ; African Americans-Education (Higher) ; African American universities and colleges-Graduate work. ; Universities and colleges-United States-Graduate work. ; African American graduate students-Social conditions.</t>
  </si>
  <si>
    <t>Contemporary Science Teaching Approaches : Promoting Conceptual Understanding in Science</t>
  </si>
  <si>
    <t>Ornek, Funda;Saleh, Issa M.</t>
  </si>
  <si>
    <t>Q183.3.A1 C67 2012</t>
  </si>
  <si>
    <t>Science-Study and teaching (Secondary) ; Inquiry-based learning.</t>
  </si>
  <si>
    <t>Refugee and Immigrant Students : Achieving Equity in Education</t>
  </si>
  <si>
    <t>McCarthy, Florence E.;Vickers, Margaret H.</t>
  </si>
  <si>
    <t>LC3715 .R43 2012</t>
  </si>
  <si>
    <t>Refugees-Education. ; Immigrants-Education. ; Educational equalization.</t>
  </si>
  <si>
    <t>Ethics and International Curriculum Work : The Challenges of Culture and Context</t>
  </si>
  <si>
    <t>Mason, Terrence C.;Helfenbein, Robert J.</t>
  </si>
  <si>
    <t>LB2806.15 .E84 2012</t>
  </si>
  <si>
    <t>Curriculum planning-Moral and ethical aspects. ; Educators-Professional ethics. ; Democracy and education.</t>
  </si>
  <si>
    <t>Examining the Assistant Principalship : New Puzzles and Perennial Challenges for the 21st Century</t>
  </si>
  <si>
    <t>Shoho, Alan R.;Barnett, Bruce G.;Tooms, Autumn K.</t>
  </si>
  <si>
    <t>International Research on School Leadership Series</t>
  </si>
  <si>
    <t>LB2831.92 .E94 2012</t>
  </si>
  <si>
    <t>Assistant school principals-United States. ; High schools-United States-Administration. ; School management and organization-United States.</t>
  </si>
  <si>
    <t>Best Practices of Online Education : A Guide for Christian Higher Education</t>
  </si>
  <si>
    <t>Maddix, Mark A.;Estep, James R.;Lowe, Mary E.</t>
  </si>
  <si>
    <t>LB2395.7 .B47 2012</t>
  </si>
  <si>
    <t>371.33/40973</t>
  </si>
  <si>
    <t>Christian universities and colleges-United States-Data processing. ; Computer-assisted instruction-United States.</t>
  </si>
  <si>
    <t>Computers and Their Impact on State Assessments : Recent History and Predictions for the Future</t>
  </si>
  <si>
    <t>Lissitz, Robert W.;Jiao, Hong</t>
  </si>
  <si>
    <t>The MARCES Book Series</t>
  </si>
  <si>
    <t>LB3060.5 .C65 2012</t>
  </si>
  <si>
    <t>Educational tests and measurements-Computer programs. ; Educational tests and measurements-Data processing.</t>
  </si>
  <si>
    <t>Cultural Psychology of Human Values</t>
  </si>
  <si>
    <t>Valsiner, Jaan;Uchoa Branco, Angela</t>
  </si>
  <si>
    <t>Advances in Cultural Psychology: Constructing Human Development Series</t>
  </si>
  <si>
    <t>BF778 .C795 2012</t>
  </si>
  <si>
    <t>303.3/72</t>
  </si>
  <si>
    <t>Values. ; Ethnopsychology.</t>
  </si>
  <si>
    <t>Taking on a Learning Disability : At the Crossroads of Special Education and Adolescent Literacy Learning</t>
  </si>
  <si>
    <t>McCloskey, Erin</t>
  </si>
  <si>
    <t>LB1050.5.M3725 2012</t>
  </si>
  <si>
    <t>Approaches to Studying the Enacted Mathematics Curriculum</t>
  </si>
  <si>
    <t>Heck, Dan;Chval, Kathryn;Weiss, Iris</t>
  </si>
  <si>
    <t>Research in Mathematics Education Series</t>
  </si>
  <si>
    <t>QA11.2 .A64 2012</t>
  </si>
  <si>
    <t>Mathematics-Study and teaching-Curricula. ; Education-Curricula-Study and teaching.</t>
  </si>
  <si>
    <t>Advances in Longitudinal Methods in the Social and Behavioral Sciences</t>
  </si>
  <si>
    <t>Harring, Jeffrey R.;Hancock, Gregory R.</t>
  </si>
  <si>
    <t>CILVR Series on Latent Variable Methodology Series</t>
  </si>
  <si>
    <t>H61 .A3937 2012</t>
  </si>
  <si>
    <t>300.72/1</t>
  </si>
  <si>
    <t>Social sciences-Methodology. ; Social sciences-Longitudinal studies. ; Longitudinal method.</t>
  </si>
  <si>
    <t>The 21st Century Parent : Multicultural Parent Engagement Leadership Strategies Handbook</t>
  </si>
  <si>
    <t>Johnson, Mary</t>
  </si>
  <si>
    <t>LB1048.5 .J67 2012</t>
  </si>
  <si>
    <t>Parent-U-Turn (Organization) ; Education-Parent participation-California-Los Angeles-Handbooks, manuals, etc. ; School improvement programs-California-Los Angeles. ; Multiculturalism-California-Los Angeles.</t>
  </si>
  <si>
    <t>Reforming Legal Education : Law Schools at the Crossroads</t>
  </si>
  <si>
    <t>Moss, David M.;Moss Curtis, Debra</t>
  </si>
  <si>
    <t>KF272 .R44 2012</t>
  </si>
  <si>
    <t>340.071/173</t>
  </si>
  <si>
    <t>Law schools-United States. ; Law-Study and teaching-United States.</t>
  </si>
  <si>
    <t>Learning from the Boys : Looking Inside the Reading Lives of Three Adolescent Boys</t>
  </si>
  <si>
    <t>Lee, Valarie G.</t>
  </si>
  <si>
    <t>Literacy, Language and Learning Series</t>
  </si>
  <si>
    <t>LB1632 .L45 2012</t>
  </si>
  <si>
    <t>Reading (Secondary)-United States-Case studies. ; Teenage boys-Books and reading-United States-Case studies. ; Sex differences in education-United States-Case studies.</t>
  </si>
  <si>
    <t>Contemporary Uses of Technology in K-12 Physical Education : Policy, Practice, and Advocacy</t>
  </si>
  <si>
    <t>Sanders, Steve;Witherspoon, Lisa</t>
  </si>
  <si>
    <t>Educational Policy in the 21st Century: Opportunities, Challenges and Solutions Series</t>
  </si>
  <si>
    <t>GV364 .C54 2012</t>
  </si>
  <si>
    <t>Physical education and training-Computer-assisted instruction. ; Educational technology.</t>
  </si>
  <si>
    <t>Demystifying Career Paths after Graduate School : A Guide for Second Language Professionals in Higher Education</t>
  </si>
  <si>
    <t>Kubota, Ryuko;Sun, Yilin</t>
  </si>
  <si>
    <t>PE1128.A2 D434 2012</t>
  </si>
  <si>
    <t>English language-Study and teaching-Foreign speakers-Vocational guidance. ; English language-Study and teaching-Vocational guidance. ; English teachers-Employment. ; English teachers-Training of.</t>
  </si>
  <si>
    <t>Making Sense of Infinite Uniqueness : The Emerging System of Idiographic Science</t>
  </si>
  <si>
    <t>Salvatore, Sergio;Gennaro, Alessandro;Valsiner, Jaan</t>
  </si>
  <si>
    <t>Yearbook of Idiographic Science Series</t>
  </si>
  <si>
    <t>BF76.5.M3155 2012</t>
  </si>
  <si>
    <t>Dialogic Formations : Investigations into the Origins and Development of the Dialogical Self</t>
  </si>
  <si>
    <t>Bertau, Marie-Cécile;Gonçalves, Miguel M.;Raggatt, Peter T. F.</t>
  </si>
  <si>
    <t>BF697 .D526 2012</t>
  </si>
  <si>
    <t>Self. ; Dialogue analysis-Psychological aspects. ; Developmental psychology. ; Psycholinguistics.</t>
  </si>
  <si>
    <t>Perspectives and Provocations in Early Childhood Education</t>
  </si>
  <si>
    <t>Vasquez, Vivian;Wood, Jeffrey</t>
  </si>
  <si>
    <t>Early Childhood Education Assembly Series</t>
  </si>
  <si>
    <t>LB1139.5.L35 P46 2012</t>
  </si>
  <si>
    <t>Language arts (Early childhood) ; English language-Phonetics-Study and teaching (Early childhood)</t>
  </si>
  <si>
    <t>Interplays Between Dialogical Learning and Dialogical Self</t>
  </si>
  <si>
    <t>Ligorio, M. Beatrice;César, Margarida</t>
  </si>
  <si>
    <t>LC191 .I497 2013</t>
  </si>
  <si>
    <t>Educational sociology. ; Identity (Psychology)</t>
  </si>
  <si>
    <t>Challenging Status Quo Retrenchment : New Directions in Critical Research</t>
  </si>
  <si>
    <t>Kress, Tricia M.;Malott, Curry;Porfilio, Brad J.</t>
  </si>
  <si>
    <t>LB1028.24 .C35 2013</t>
  </si>
  <si>
    <t>Action research in education-United States. ; Qualitative research-United States. ; Critical pedagogy-United States.</t>
  </si>
  <si>
    <t>Improving Urban Schools : Equity and Access in K-16 STEM Education</t>
  </si>
  <si>
    <t>Capraro, Mary Margaret;Capraro, Robert M.;Lewis, Chance W.</t>
  </si>
  <si>
    <t>Contemporary Perspectives on Access, Equity, and Achievement Series</t>
  </si>
  <si>
    <t>LC5129 .I47 2013</t>
  </si>
  <si>
    <t>Education, Urban-United States. ; Science-Study and teaching-United States. ; Technology-Study and teaching-United States. ; Engineering-Study and teaching-United States. ; Mathematics-Study and teaching-United States. ; School improvement programs-United States. ; Educational equalization-United States.</t>
  </si>
  <si>
    <t>Visual Data and Their Use in Science Education</t>
  </si>
  <si>
    <t>Finson, Kevin D.;Pedersen, Jon</t>
  </si>
  <si>
    <t>LB1585 .V48 2013</t>
  </si>
  <si>
    <t>Science-Study and teaching (Elementary) ; Science-Study and teaching (Middle school) ; Visual learning.</t>
  </si>
  <si>
    <t>Navigating the Academic Career : Common Issues and Uncommon Strategies</t>
  </si>
  <si>
    <t>Shaw, Victor N.</t>
  </si>
  <si>
    <t>LB2331.7 .S53 2013</t>
  </si>
  <si>
    <t>Universities and colleges-Faculty. ; College teachers-Employment. ; Universities and colleges-Administration.</t>
  </si>
  <si>
    <t>Dystopia and Education : Insights into Theory, Praxis, and Policy in an Age of Utopia-Gone-Wrong</t>
  </si>
  <si>
    <t>Heybach, Jessica A.;Sheffield, Eric C.</t>
  </si>
  <si>
    <t>Studies in the Philosophy of Education Series</t>
  </si>
  <si>
    <t>Going Back for Our Future : Carrying Forward the Spirit of Pioneers of Science Education</t>
  </si>
  <si>
    <t>Pedersen, Jon;Finson, Kevin D.;Spector, Barbara S.</t>
  </si>
  <si>
    <t>Pioneers of Science Education Series</t>
  </si>
  <si>
    <t>Q181 .G65 2013</t>
  </si>
  <si>
    <t>Teacher Education for Social Justice : Perspectives and Lessons Learned</t>
  </si>
  <si>
    <t>LC196 .T38 2013</t>
  </si>
  <si>
    <t>Critical pedagogy. ; Social justice-Study and teaching.</t>
  </si>
  <si>
    <t>Reflections from the Field : How Coaching Made Us Better Teachers</t>
  </si>
  <si>
    <t>DeMeulenaere, Eric J.;Cann, Colette N.;McDermott, James E.</t>
  </si>
  <si>
    <t>LB1025.3 .D445 2013</t>
  </si>
  <si>
    <t>Teaching. ; Coaches (Athletics) ; Classroom management.</t>
  </si>
  <si>
    <t>In Their Own Words : A Journey to the Stewardship of the Practice in Education</t>
  </si>
  <si>
    <t>Perry, Jill Alexa;Carlson, David Lee</t>
  </si>
  <si>
    <t>LB1742 .I58 2013</t>
  </si>
  <si>
    <t>Doctor of education degree.</t>
  </si>
  <si>
    <t>More Than a Curriculum : Education for Peace and Development</t>
  </si>
  <si>
    <t>Galtung, Johan;Udayakumar, S. P.</t>
  </si>
  <si>
    <t>LC1090 .G35 2013</t>
  </si>
  <si>
    <t>International education. ; Education-Aims and objectives. ; Peace-Study and teaching. ; Economic development-Effect of education on.</t>
  </si>
  <si>
    <t>Beyond the Campus : Building a Sustainable University - Community Partnership</t>
  </si>
  <si>
    <t>Harkins, Debra</t>
  </si>
  <si>
    <t>LC237 .B47 2013</t>
  </si>
  <si>
    <t>Community and college-Environmental aspects. ; Community development. ; Sustainable development.</t>
  </si>
  <si>
    <t>Anti-Racist School Leadership : Toward Equity in Education for America's Students Introduction</t>
  </si>
  <si>
    <t>Brooks, Jeffrey S.;Witherspoon-Arnold, Noelle</t>
  </si>
  <si>
    <t>Educational Leadership for Social Justice Series</t>
  </si>
  <si>
    <t>Crises of Identifying : Negotiating and Mediating Race, Gender, and Disability Within Family and Schools</t>
  </si>
  <si>
    <t>Mitchell, Dymaneke D.</t>
  </si>
  <si>
    <t>LC2787 .M58 2013</t>
  </si>
  <si>
    <t>African Americans with disabilities-Education-Case studies. ; African Americans with disabilities-Case studies. ; African American children-Education-Case studies. ; African American children-Case studies. ; Women with disabilities-Education-United States-Case studies. ; Women with disabilities-United States-Case studies. ; African American women-Education-Case studies.</t>
  </si>
  <si>
    <t>Courageous Pedagogy : Enacting Critical Science Education</t>
  </si>
  <si>
    <t>Gilbert, Andrew</t>
  </si>
  <si>
    <t>Q181 .G393 2013</t>
  </si>
  <si>
    <t>Science-Study and teaching. ; Critical pedagogy.</t>
  </si>
  <si>
    <t>Common Planning Time in Middle Level Schools : Research Studies from the MLER SIG's National Project</t>
  </si>
  <si>
    <t>Mertens, Steven B.;Anfara, Vincent A.;Caskey, Micki M.</t>
  </si>
  <si>
    <t>The Handbook of Research in Middle Level Education Series</t>
  </si>
  <si>
    <t>LB1623.5 .C66 2013</t>
  </si>
  <si>
    <t>Middle school teaching-United States. ; Curriculum planning-United States. ; Interdisciplinary approach in education-United States.</t>
  </si>
  <si>
    <t>Authentic Leadership : An Engaged Discussion of LGBTQ Work As Culturally Relevant</t>
  </si>
  <si>
    <t>Watson, Lemuel W.;Johnson, Joshua Moon</t>
  </si>
  <si>
    <t>HQ76.25 .A98 2013</t>
  </si>
  <si>
    <t>306.76/6</t>
  </si>
  <si>
    <t>Homosexuality. ; Leadership. ; Homosexuality in the workplace.</t>
  </si>
  <si>
    <t>Writing Visions of Hope : Teaching Twentieth-Century American Literature and Research</t>
  </si>
  <si>
    <t>Raymond, Richard C.</t>
  </si>
  <si>
    <t>PS47.K8 .R39 2013</t>
  </si>
  <si>
    <t>810.7/114971</t>
  </si>
  <si>
    <t>American literature-Study and teaching (Higher)-Kosovo (Republic)-Pristina. ; Liberty-Study and teaching (Higher)-Kosovo (Republic)-Pristina.</t>
  </si>
  <si>
    <t>Integrating Play Techniques in Comprehensive School Counseling Programs</t>
  </si>
  <si>
    <t>Curry, Jennifer;Fazio-Griffith, Laura</t>
  </si>
  <si>
    <t>LB1027.5 .C87 2013</t>
  </si>
  <si>
    <t>371.4/22</t>
  </si>
  <si>
    <t>Educational counseling. ; Educational counseling-Psychological aspects. ; Play-Psychological aspects.</t>
  </si>
  <si>
    <t>Research on the Influences of Educational Policy on Teaching and Learning</t>
  </si>
  <si>
    <t>Sunal, Cynthia S.;Mutua, Kagendo</t>
  </si>
  <si>
    <t>LC95.A2 R47 2013</t>
  </si>
  <si>
    <t>Education and state-Africa. ; Education and state-Caribbean Area. ; Education and state-Middle East.</t>
  </si>
  <si>
    <t>Learning Through Visual Displays</t>
  </si>
  <si>
    <t>Schraw, Gregory;McCrudden, Matthew T.;Robinson, Daniel</t>
  </si>
  <si>
    <t>Current Perspectives on Cognition, Learning and Instruction Series</t>
  </si>
  <si>
    <t>LB1067.5 .L43 2013</t>
  </si>
  <si>
    <t>Visual learning. ; Cognition. ; Learning, Psychology of.</t>
  </si>
  <si>
    <t>Cultural Competence in America's Schools : Leadership, Engagement and Understanding</t>
  </si>
  <si>
    <t>Jones, Bruce Anthony;Nichols, Edwin J.</t>
  </si>
  <si>
    <t>LC1099.3.J66 2013eb</t>
  </si>
  <si>
    <t>End of Academic Freedom : The Coming Obliteration of the Core Purpose of the University</t>
  </si>
  <si>
    <t>Bowen, William M.;Schwartz, Michael;Camp, Lisa</t>
  </si>
  <si>
    <t>LA227.4.B694 2014eb</t>
  </si>
  <si>
    <t>STEM Models of Success : Programs, Policies, and Practices in the Community College</t>
  </si>
  <si>
    <t>Wood, J. Luke;Palmer, Robert T.</t>
  </si>
  <si>
    <t>Q183.3.A1.S74 2014eb</t>
  </si>
  <si>
    <t>Understanding Peace Cultures</t>
  </si>
  <si>
    <t>Oxford, Rebecca L.</t>
  </si>
  <si>
    <t>JZ5534.U53 2014eb</t>
  </si>
  <si>
    <t>Beyond Tears, Tirades, and Tantrums : Clinical Simulations for School Leader Development</t>
  </si>
  <si>
    <t>Dotger, Benjamin H.</t>
  </si>
  <si>
    <t>LB1738.5.D68 2014eb</t>
  </si>
  <si>
    <t>Service-Learning in Literacy Education : Possibilities for Teaching and Learning</t>
  </si>
  <si>
    <t>Kinloch, Valerie;Smagorinsky, Peter</t>
  </si>
  <si>
    <t>LC220.5.S4586 2014eb</t>
  </si>
  <si>
    <t>Higher Education Finance Research : Policy, Politics, and Practice</t>
  </si>
  <si>
    <t>McKeown-Moak, Mary P.;Mullin, Christopher M.</t>
  </si>
  <si>
    <t>Conducting Research in Education Finance: Methods, Measurement, and Policy Perspectives Series</t>
  </si>
  <si>
    <t>LB2342 .M374 2013</t>
  </si>
  <si>
    <t>Education, Higher-Finance-United States-History. ; Education, Higher-United States-Research-Methdology. ; Education and state-United States-History.</t>
  </si>
  <si>
    <t>Learner's Privilege and Responsibility : A Critical Examination of the Experiences and Perspectives of Learners from Chinese Backgrounds in the United States</t>
  </si>
  <si>
    <t>Ma, Wen;Wang, Chuang</t>
  </si>
  <si>
    <t>LC3071 .L437 2014</t>
  </si>
  <si>
    <t>Chinese students-United States. ; Multiculturalism.</t>
  </si>
  <si>
    <t>Real-Life Distance Education : Case Studies in Practice</t>
  </si>
  <si>
    <t>Pina, Anthony a;Mizell, Al P.</t>
  </si>
  <si>
    <t>LB1028.3 .R413 2014</t>
  </si>
  <si>
    <t>Educational technology-Case studies. ; Distance education-Case studies. ; Computer-assisted instruction-Case studies. ; Computer network resources-Case studies.</t>
  </si>
  <si>
    <t>Student Writing : Give It a Generous Reading</t>
  </si>
  <si>
    <t>Spence, Lucy K.</t>
  </si>
  <si>
    <t>PE1404 .S73 2014</t>
  </si>
  <si>
    <t>English language-Rhetoric-Study and teaching.</t>
  </si>
  <si>
    <t>Exemplary Elementary Social Studies : Case Studies in Practice</t>
  </si>
  <si>
    <t>Libresco, Andrea S.;Alleman, Janet;Field, Sherry L.</t>
  </si>
  <si>
    <t>Research in Curriculum and Instruction Series</t>
  </si>
  <si>
    <t>LB1584 .E96 2014</t>
  </si>
  <si>
    <t>Social sciences-Study and teaching (Elementary)-Case studies.</t>
  </si>
  <si>
    <t>Paul Diederich and the Progressive American High School</t>
  </si>
  <si>
    <t>Hampel, Robert L.</t>
  </si>
  <si>
    <t>LB1628.5 .H34 2014</t>
  </si>
  <si>
    <t>Diederich, Paul Bernard,-1906--Influence. ; Curriculum change-United States-History-20th century. ; High schools-Curricula-United States-History-20th century. ; Educational change-United States-History-20th century.</t>
  </si>
  <si>
    <t>Teacher Education and Black Communities : Implications for Access, Equity and Achievement</t>
  </si>
  <si>
    <t>Sealey-Ruiz, Yolanda;Lewis, Chance W.;Toldson, Ivory</t>
  </si>
  <si>
    <t>LC2731 .T433 2014</t>
  </si>
  <si>
    <t>Black people-Education.</t>
  </si>
  <si>
    <t>Violence at Work : What Everyone Should Know</t>
  </si>
  <si>
    <t>Van Fleet, Ella W.;Van Fleet, David D.</t>
  </si>
  <si>
    <t>HF5549.5.E43 .V364 2014</t>
  </si>
  <si>
    <t>613.6/6</t>
  </si>
  <si>
    <t>Violence in the workplace.</t>
  </si>
  <si>
    <t>Health; Business/Management</t>
  </si>
  <si>
    <t>Peace and Conflict Studies Research : A Qualitative Perspective</t>
  </si>
  <si>
    <t>Cooper, Robin;Finley, Laura L.</t>
  </si>
  <si>
    <t>303.6/60721</t>
  </si>
  <si>
    <t>STEM and the City : A Report on STEM Education in the Great American Urban Public School System</t>
  </si>
  <si>
    <t>Berube, Clair T.</t>
  </si>
  <si>
    <t>LC5129 .B47 2014</t>
  </si>
  <si>
    <t>Education, Urban-United States. ; Science-Study and teaching-United States. ; Technology-Study and teaching-United States. ; Engineering-Study and teaching-United States. ; Mathematics-Study and teaching-United States. ; Educational equalization-United States.</t>
  </si>
  <si>
    <t>Growing up Between Two Cultures : Issues and Problems of Muslim Children</t>
  </si>
  <si>
    <t>Salili, Farideh;Hoosain, Rumjahn</t>
  </si>
  <si>
    <t>Research in Multicultural Education and International Perspectives Series</t>
  </si>
  <si>
    <t>BP52.5 .G76 2014</t>
  </si>
  <si>
    <t>305.23088/297</t>
  </si>
  <si>
    <t>Muslims-Non-Islamic countries. ; Muslim children. ; Muslim children-Education. ; Muslim youth.</t>
  </si>
  <si>
    <t>Social Science; Religion</t>
  </si>
  <si>
    <t>The Duality of Women Scholars of Color : Transforming and Being Transformed in the Academy</t>
  </si>
  <si>
    <t>Jean-Marie, Gaëtane;Grant, Cosette M.;Irby, Beverly</t>
  </si>
  <si>
    <t>LB2332.3 .D83 2014</t>
  </si>
  <si>
    <t>Women in higher education-Cross-cultural studies. ; Minority women in higher education. ; Women college teachers. ; Women scholars.</t>
  </si>
  <si>
    <t>Unnormalizing Education : Addressing Homophobia in Higher Education and K-12 Schools</t>
  </si>
  <si>
    <t>Jones, Joseph R.</t>
  </si>
  <si>
    <t>LB2831.82 .J66 2014</t>
  </si>
  <si>
    <t>School administrators-United States. ; School management and organization-United States. ; Educational change-United States.</t>
  </si>
  <si>
    <t>Selected Writings from the Journal of the Mathematics Council of the Alberta Teachers' Association : Celebrating 50 Years (1962-2012) of Delta-K</t>
  </si>
  <si>
    <t>Chernoff, Egan J.;Sterenberg, Gladys</t>
  </si>
  <si>
    <t>The Montana Mathematics Enthusiast Series</t>
  </si>
  <si>
    <t>QA11 .S45 2014</t>
  </si>
  <si>
    <t>Mathematics-Study and teaching. ; Mathematics-Study and teaching-Activity programs.</t>
  </si>
  <si>
    <t>Understanding Developmental Disorders of Auditory Processing, Language and Literacy Across Languages : International Perspectives</t>
  </si>
  <si>
    <t>Chung, Kevin Kien Hoa;Yuen, Kevin Chi Pun;McInerney, Dennis M.</t>
  </si>
  <si>
    <t>RC394.W63 .U53 2014</t>
  </si>
  <si>
    <t>Word deafness-Popular works. ; Hearing disorders in children-Complications.</t>
  </si>
  <si>
    <t>Critical Perspectives on Black Education : Spirituality, Religion and Social Justice</t>
  </si>
  <si>
    <t>Witherspoon-Arnold, Noelle;Brooks, Melanie C.;Arnold, Bruce Makoto</t>
  </si>
  <si>
    <t>New Directions in Educational Leadership: Innovations in Scholarship, Teaching, and Service Series</t>
  </si>
  <si>
    <t>LC2731.C758 2014eb</t>
  </si>
  <si>
    <t>Learning over Time : Learning Trajectories in Mathematics Education</t>
  </si>
  <si>
    <t>Maloney, Alan P.;Confrey, Jere;Nguyen, Kenny H.</t>
  </si>
  <si>
    <t>QA135.6 .L434 2014</t>
  </si>
  <si>
    <t>Mathematics-Study and teaching (Early childhood) ; Educational psychology. ; Child development.</t>
  </si>
  <si>
    <t>Adolescents in the Internet Age, 2nd Edition : Teaching and Learning from Them</t>
  </si>
  <si>
    <t>Strom, Paris S.;Strom, Robert D.</t>
  </si>
  <si>
    <t>LB1044.87 .S847 2014</t>
  </si>
  <si>
    <t>Internet in education-United States. ; Computer-assisted instruction-United States. ; Teacher-student relationships-United States. ; Internet and children-United States. ; Internet and teenagers-United States.</t>
  </si>
  <si>
    <t>Governance and Transformations of Universities in Africa : A Global Perspective</t>
  </si>
  <si>
    <t>Nafukho, Fredrick. M.;Muyia, Helen M. A.;Irby, Beverly</t>
  </si>
  <si>
    <t>International Higher Education Series</t>
  </si>
  <si>
    <t>LC95.A2 .G684 2014</t>
  </si>
  <si>
    <t>Education and state-Africa. ; Educational planning-Africa. ; Africa-Politics and government.</t>
  </si>
  <si>
    <t>Applied Psychometrics Using SAS</t>
  </si>
  <si>
    <t>Finch, Holmes;French, Brian F.;Immekus, Jason C.</t>
  </si>
  <si>
    <t>QA276.4 .F563 2014</t>
  </si>
  <si>
    <t>SAS (Computer file) ; Mathematical statistics-Data processing.</t>
  </si>
  <si>
    <t>Research Based Undergraduate Science Teaching</t>
  </si>
  <si>
    <t>Sunal, Dennis W.;Sunal, Cynthia S.;Wright, Emmett L.</t>
  </si>
  <si>
    <t>Research in Science Education Series</t>
  </si>
  <si>
    <t>Q181 .S863 2014</t>
  </si>
  <si>
    <t>Women Interrupting, Disrupting, and Revolutionizing Educational Policy and Practice</t>
  </si>
  <si>
    <t>Sherman Newcomb, Whitney;Mansfield, Katherine Cumings</t>
  </si>
  <si>
    <t>LC1567 .W664 2014</t>
  </si>
  <si>
    <t>Women-Education (Higher) ; Feminism and education.</t>
  </si>
  <si>
    <t>Emerging Perspectives on Gesture and Embodiment in Mathematics</t>
  </si>
  <si>
    <t>Edwards, Laurie D.;Ferrara, Francesca;Moore-Russo, Deborah</t>
  </si>
  <si>
    <t>Cognition, Equity and Society: International Perspectives Series</t>
  </si>
  <si>
    <t>QA20.G47 .E44 2014</t>
  </si>
  <si>
    <t>Gesture in mathematics education. ; Communication and education. ; Mathematics-Study and teaching.</t>
  </si>
  <si>
    <t>Caring Leadership in Turbulent Times : Tackling Neoliberal Education Reform</t>
  </si>
  <si>
    <t>Green, Mary G.</t>
  </si>
  <si>
    <t>LC65 .G744 2014</t>
  </si>
  <si>
    <t>Education-Economic aspects. ; Education and globalization. ; Educational change. ; Neoliberalism.</t>
  </si>
  <si>
    <t>Collective Unravelings of the Hegemonic Web</t>
  </si>
  <si>
    <t>Noël Smith, Becky L.;Becker, Katherine;Miller, Libbi R.</t>
  </si>
  <si>
    <t>From Policy to Practice : Sustainable Innovations in School Leadership Preparation and Development</t>
  </si>
  <si>
    <t>Sanzo, Karen L.</t>
  </si>
  <si>
    <t>LB2806 .F766 2014</t>
  </si>
  <si>
    <t>Intersectionality and Urban Education : Identities, Policies, Spaces and Power</t>
  </si>
  <si>
    <t>Grant, Carl A.;Zwier, Elisabeth</t>
  </si>
  <si>
    <t>Urban Education Studies Series</t>
  </si>
  <si>
    <t>HQ1075 .I584 2014</t>
  </si>
  <si>
    <t>Gender identity.</t>
  </si>
  <si>
    <t>StreetWays : Chronicling the Homeless in Miami</t>
  </si>
  <si>
    <t>Provenzo, Eugene F.;Ameen, Edward;Bengochea, Alain</t>
  </si>
  <si>
    <t>The University of Miami School of Education and Human Development Series</t>
  </si>
  <si>
    <t>HV4493 .S774 2014</t>
  </si>
  <si>
    <t>Homelessness-Florida-Miami. ; Homeless-Florida-Miami.</t>
  </si>
  <si>
    <t>Rethinking Science Education : Philosophical Perspectives</t>
  </si>
  <si>
    <t>Schulz, Roland M.</t>
  </si>
  <si>
    <t>Science and Engineering Education Sources Series</t>
  </si>
  <si>
    <t>Q181 .S38 2014</t>
  </si>
  <si>
    <t>Science-Study and teaching-Philosophy.</t>
  </si>
  <si>
    <t>Educational Reform in Europe : History, Culture, and Ideology</t>
  </si>
  <si>
    <t>Verdugo, Richard R.</t>
  </si>
  <si>
    <t>LA632 .E383 2014</t>
  </si>
  <si>
    <t>Education-Europe-History. ; Educational change-Europe-History. ; School improvement programs-Europe.</t>
  </si>
  <si>
    <t>Women and Leadership in Higher Education</t>
  </si>
  <si>
    <t>Madsen, Susan R.;Longman, Karen a</t>
  </si>
  <si>
    <t>Women and Leadership Series</t>
  </si>
  <si>
    <t>Women in higher education. ; Women college administrators. ; Leadership in women. ; Educational leadership. ; Feminism and higher education.</t>
  </si>
  <si>
    <t>Mentoring African American Males : A Research Design Comparison Perspective</t>
  </si>
  <si>
    <t>Ross, William</t>
  </si>
  <si>
    <t>African American Male Series: Guiding the Next Generation Through Mentoring, Teaching and Counseling Series</t>
  </si>
  <si>
    <t>LC2781 .M468 2014</t>
  </si>
  <si>
    <t>African American men-Education (Higher)</t>
  </si>
  <si>
    <t>Technologies of Government : Politics and Power in the Information Age</t>
  </si>
  <si>
    <t>Baez, Benjamin</t>
  </si>
  <si>
    <t>JF799.5 .B349 2014</t>
  </si>
  <si>
    <t>Political participation-Technological innovations. ; Information technology-Political aspects. ; Information technology-Social aspects.</t>
  </si>
  <si>
    <t>Action Research : Models, Methods, and Examples</t>
  </si>
  <si>
    <t>Willis, Jerry W.;Edwards, Claudia</t>
  </si>
  <si>
    <t>Applied Research in Education and the Social Sciences Series</t>
  </si>
  <si>
    <t>Critique As Uncertainty</t>
  </si>
  <si>
    <t>Skovsmose, Ole</t>
  </si>
  <si>
    <t>QA8.7 .S568 2014</t>
  </si>
  <si>
    <t>Mathematics-Study and teaching-Philosophy. ; Criticism (Philosophy)</t>
  </si>
  <si>
    <t>Ethical Leadership and the Community College : Paradigms, Decision-Making, and Praxis</t>
  </si>
  <si>
    <t>Wood, J. Luke;Nevarez, Carlos</t>
  </si>
  <si>
    <t>Transformative Leadership in Postsecondary Education Series</t>
  </si>
  <si>
    <t>LB1779 .N483 2014</t>
  </si>
  <si>
    <t>Educational leadership-Moral and ethical aspects-United States. ; School administrators-Professional ethics-United States. ; School management and organization-Moral and ethical aspects-United States.</t>
  </si>
  <si>
    <t>Effective Educational Programs, Practices, and Policies for English Learners</t>
  </si>
  <si>
    <t>Minaya-Rowe, Liliana</t>
  </si>
  <si>
    <t>PE1128.A2 .E344 2015</t>
  </si>
  <si>
    <t>English language-Study and teaching-Foreign speakers. ; English language-Study and teaching-Technological innovations.</t>
  </si>
  <si>
    <t>Writing Math Research Papers - 4th Edition : A Guide for High School Students and Instructors</t>
  </si>
  <si>
    <t>Gerver, Robert</t>
  </si>
  <si>
    <t>QA42 .G478 2014</t>
  </si>
  <si>
    <t>808.06/651</t>
  </si>
  <si>
    <t>Mathematics-Authorship. ; Mathematics-Study and teaching (Secondary)</t>
  </si>
  <si>
    <t>Literature; Mathematics</t>
  </si>
  <si>
    <t>Building Sustainable Futures for Adult Learners</t>
  </si>
  <si>
    <t>Holtz, Jennifer K.;Springer, Stephen B.;Boden, Carrie J.</t>
  </si>
  <si>
    <t>Adult Learning in Professional, Organizational, and Community Settings Series</t>
  </si>
  <si>
    <t>LC5215 .B855 2015</t>
  </si>
  <si>
    <t>Mathematics in Middle and Secondary School : A Problem Solving Approach</t>
  </si>
  <si>
    <t>Karp, Alexander;Wasserman, Nicholas</t>
  </si>
  <si>
    <t>QA63 .K37 2015</t>
  </si>
  <si>
    <t>Problem solving-Study and teaching (Middle school) ; Problem solving-Study and teaching (Secondary)</t>
  </si>
  <si>
    <t>Getting to Know Ourselves and Others Through the ABCs : A Journey Toward Intercultural Understanding</t>
  </si>
  <si>
    <t>Finkbeiner, Claudia;Lazar, Althier</t>
  </si>
  <si>
    <t>LC1099 .G48 2015</t>
  </si>
  <si>
    <t>Multicultural education. ; Education-Biographical methods. ; Intercultural communication.</t>
  </si>
  <si>
    <t>Uncovering the Cultural Dynamics in Mentoring Programs and Relationships : Enhancing Practice and Research</t>
  </si>
  <si>
    <t>Kochan, Frances K.;Kent, Andrea M.;Green, André M.;Green, André M.</t>
  </si>
  <si>
    <t>Perspectives on Mentoring Series</t>
  </si>
  <si>
    <t>LB1731.4 .U527 2015</t>
  </si>
  <si>
    <t>Mentoring in education-Social aspects. ; Mentoring in education-Cross-cultural studies. ; Mentoring in education-Reseach.</t>
  </si>
  <si>
    <t>Library Partnerships : Making Connections Between School and Public Libraries</t>
  </si>
  <si>
    <t>Information Today</t>
  </si>
  <si>
    <t>Squires, Tasha</t>
  </si>
  <si>
    <t>Z718 -- .S68 2009eb</t>
  </si>
  <si>
    <t>021.2/4</t>
  </si>
  <si>
    <t>Libraries and schools -- United States. ; Libraries and students -- United States. ; Library cooperation -- United States. ; Public libraries -- United States. ; School libraries -- United States.</t>
  </si>
  <si>
    <t>Educational Technology for the Global Village : Worldwide Innovation and Best Practices</t>
  </si>
  <si>
    <t>Lloyd, Les;Barreneche, Gabriel I.</t>
  </si>
  <si>
    <t>LB1028.3 -- .E383 2014eb</t>
  </si>
  <si>
    <t>Educational technology -- Cross-cultural studies. ; Education and globalization.</t>
  </si>
  <si>
    <t>Creative Engagements with Children Inside and Outside School Contexts</t>
  </si>
  <si>
    <t>Xeni, Elena</t>
  </si>
  <si>
    <t>Beyond Textual Literacy: Visual Literacy for Creative and Critical Inquiry</t>
  </si>
  <si>
    <t>Drinkwater, Mary A.</t>
  </si>
  <si>
    <t>LB1068 .B496 2011</t>
  </si>
  <si>
    <t>Visual literacy. ; Visual perception. ; Visual perception-Cross-cultural studies.</t>
  </si>
  <si>
    <t>Greening the College Curriculum : A Guide to Environmental Teaching in the Liberal Arts</t>
  </si>
  <si>
    <t>Island Press</t>
  </si>
  <si>
    <t>Rolston, Holmes;Balée, William;Collett, Jonathan;Campbell, David;Durkee, Vern;Filemyr, Ann;Black, Michael;Grumbling, Owen;Katz, Dan;Kraft, Michael</t>
  </si>
  <si>
    <t>LC1023</t>
  </si>
  <si>
    <t>333.7/0711</t>
  </si>
  <si>
    <t>Education, Humanistic-Curricula-United States. ; Environmental education-Curricula-United States. ; Education, Higher-Curricula-United States.</t>
  </si>
  <si>
    <t>Education; Economics; Environmental Studies</t>
  </si>
  <si>
    <t>El cuidado de la persona en el servicio de autoridad al estilo de los jesuitas</t>
  </si>
  <si>
    <t>ITESO</t>
  </si>
  <si>
    <t>Tlaquepaque</t>
  </si>
  <si>
    <t>MEXICO</t>
  </si>
  <si>
    <t>Hernández, Juan Luis Orozco</t>
  </si>
  <si>
    <t>LC493 -- .H47 2014eb</t>
  </si>
  <si>
    <t>Jesuits -- Education.</t>
  </si>
  <si>
    <t>El rol actual del profesor en la universidad jesuita</t>
  </si>
  <si>
    <t>Velasco, Luis Rafael</t>
  </si>
  <si>
    <t>LC493 -- .R65 2014eb</t>
  </si>
  <si>
    <t>Jesuits -- Education (Higher) ; Catholic teachers.</t>
  </si>
  <si>
    <t>City Schools : Lessons from New York</t>
  </si>
  <si>
    <t>Ravitch, Diane;Viteritti, Joseph P.</t>
  </si>
  <si>
    <t>LC5133.N4C57 2000</t>
  </si>
  <si>
    <t>370/.9747/1</t>
  </si>
  <si>
    <t>Redesigning the Financial Aid System : Why Colleges and Universities Should Switch Roles with the Federal Government</t>
  </si>
  <si>
    <t>Archibald, Robert B.</t>
  </si>
  <si>
    <t>LB2340.5.A73 2002</t>
  </si>
  <si>
    <t>Higher Ed, Inc : The Rise of the for-Profit University</t>
  </si>
  <si>
    <t>Ruch, Richard S.;Keller, George</t>
  </si>
  <si>
    <t>LB2342 .R72 2001</t>
  </si>
  <si>
    <t>Universities and colleges-United States-Finance. ; Proprietary schools-United States-Finance. ; Vocational education-United States.</t>
  </si>
  <si>
    <t>Teaching Without Tenure : Policies and Practices for a New Era</t>
  </si>
  <si>
    <t>Baldwin, Roger G.;Chronister, Jay L.</t>
  </si>
  <si>
    <t>LB2335.7B36 2001</t>
  </si>
  <si>
    <t>Higher Education Law : The Faculty</t>
  </si>
  <si>
    <t>Poskanzer, Steven G.</t>
  </si>
  <si>
    <t>KF4225 .P67 2002</t>
  </si>
  <si>
    <t>344.73/074</t>
  </si>
  <si>
    <t>Education, Higher-Law and legislation-United States. ; College teachers-Legal status, laws, etc.-United States.</t>
  </si>
  <si>
    <t>Faculty Misconduct in Collegiate Teaching</t>
  </si>
  <si>
    <t>Braxton, John M.;Bayer, Alan E.</t>
  </si>
  <si>
    <t>LB1779 .B73 1999</t>
  </si>
  <si>
    <t>College teachers-Professional ethics-United States. ; College teaching-Corrupt practices-United States.</t>
  </si>
  <si>
    <t>Catholic Women's Colleges in America</t>
  </si>
  <si>
    <t>Schier, Tracy;Russett, Cynthia</t>
  </si>
  <si>
    <t>LC501 .C3497 2002</t>
  </si>
  <si>
    <t>378/.071/273</t>
  </si>
  <si>
    <t>Leadership Conference of Women Religious of the United States. ; Catholic universities and colleges-United States-History. ; Women's colleges-United States-History. ; Catholic women-Education (Higher)-United States-History.</t>
  </si>
  <si>
    <t>Student Movements for Multiculturalism : Challenging the Curricular Color Line in Higher Education</t>
  </si>
  <si>
    <t>Yamane, David</t>
  </si>
  <si>
    <t>LC212.42 .Y24 2001</t>
  </si>
  <si>
    <t>Discrimination in higher education-United States. ; Multicultural education-United States. ; Curriculum change-United States. ; Universities and colleges-Curricula-United States.</t>
  </si>
  <si>
    <t>In Defense of American Higher Education</t>
  </si>
  <si>
    <t>Altbach, Philip G.;Gumport, Patricia J.;Johnstone, D. Bruce</t>
  </si>
  <si>
    <t>LA227.4 .I5 2001</t>
  </si>
  <si>
    <t>Education, Higher-Aims and objectives-United States. ; Education, Higher-Social aspects-United States.</t>
  </si>
  <si>
    <t>Catholic Higher Education in Protestant America : The Jesuits and Harvard in the Age of the University</t>
  </si>
  <si>
    <t>Mahoney, Kathleen A.</t>
  </si>
  <si>
    <t>LC383.M325 2003</t>
  </si>
  <si>
    <t>378/.0088/22</t>
  </si>
  <si>
    <t>Jesuits-Education (Higher)-United States. ; Harvard University-Administration-History. ; Church and college-United States-History. ; Catholics-Education (Higher)-United States-History. ; Catholic universities and colleges-United States. ; Protestant churches-United States-Relations-Catholic Church-History.</t>
  </si>
  <si>
    <t>The Two-Body Problem : Dual-Career-Couple Hiring Practices in Higher Education</t>
  </si>
  <si>
    <t>Wolf-Wendel, Lisa;Twombly, Susan B.;Rice, Suzanne</t>
  </si>
  <si>
    <t>LB1778.45.W65 2003</t>
  </si>
  <si>
    <t>Academic couples-Employment-United States. ; Academic couples-Selection and appointment-United States. ; Dual-career families-Employment-United States. ; Dual-career families-Selection and appointment-United States.</t>
  </si>
  <si>
    <t>Defending the Community College Equity Agenda</t>
  </si>
  <si>
    <t>Bailey, Thomas;Morest, Vanessa Smith</t>
  </si>
  <si>
    <t>LB2341 .D39 2006</t>
  </si>
  <si>
    <t>Community colleges-United States-Administration. ; Community colleges-Curricula-United States. ; Educational equalization-United States.</t>
  </si>
  <si>
    <t>The Humanities and the Dynamics of Inclusion since World War II</t>
  </si>
  <si>
    <t>Hollinger, David A.</t>
  </si>
  <si>
    <t>AZ183.U5 H839 2006</t>
  </si>
  <si>
    <t>001.3071/173</t>
  </si>
  <si>
    <t>Humanities-Study and teaching (Higher)-United States. ; Humanities-United States-History-20th century. ; Learned institutions and societies-United States-History-20th century. ; Learning and scholarship-United States-History-20th century. ; Multicultural education-United States-History-20th century. ; Education-Demographic aspects-United States-History-20th century. ; Demography-United States-History-20th century.</t>
  </si>
  <si>
    <t>What Ever Happened to the Faculty? : Drift and Decision in Higher Education</t>
  </si>
  <si>
    <t>Burgan, Mary</t>
  </si>
  <si>
    <t>LB2331.72 .B87 2006</t>
  </si>
  <si>
    <t>Universities and colleges-United States-Faculty. ; Universities and colleges-United States-Administration.</t>
  </si>
  <si>
    <t>Sociology of Higher Education : Contributions and Their Contexts</t>
  </si>
  <si>
    <t>LC191.9.S63</t>
  </si>
  <si>
    <t>Education, Higher -- Social aspects</t>
  </si>
  <si>
    <t>Train up a Child : Old Order Amish and Mennonite Schools</t>
  </si>
  <si>
    <t>Johnson-Weiner, Karen M.</t>
  </si>
  <si>
    <t>Young Center Books in Anabaptist and Pietist Studies</t>
  </si>
  <si>
    <t>371.071/97</t>
  </si>
  <si>
    <t>Envisioning Black Colleges : A History of the United Negro College Fund</t>
  </si>
  <si>
    <t>Gasman, Marybeth</t>
  </si>
  <si>
    <t>LB2336 .G37 2007</t>
  </si>
  <si>
    <t>United Negro College Fund-History.</t>
  </si>
  <si>
    <t>The University of Mantua, the Gonzaga, and the Jesuits, 1584-1630</t>
  </si>
  <si>
    <t>Grendler, Paul F.</t>
  </si>
  <si>
    <t>LF3893.M36 G74 2009</t>
  </si>
  <si>
    <t>378.45/281</t>
  </si>
  <si>
    <t>Gonzaga family. ; Pacifico ginnasio mantovano. ; Jesuits-Education (Higher)-Italy-History-17th century. ; Jesuits-Education (Higher)-Italy-History-16th century.</t>
  </si>
  <si>
    <t>Higher Learning, Greater Good : The Private and Social Benefits of Higher Education</t>
  </si>
  <si>
    <t>McMahon, Walter W.</t>
  </si>
  <si>
    <t>LB2324 .M39 2009</t>
  </si>
  <si>
    <t>Education, Higher. ; Higher education and state. ; Education-Economic aspects. ; Education-Social aspects.</t>
  </si>
  <si>
    <t>Higher Education and the New Society</t>
  </si>
  <si>
    <t>Keller, George</t>
  </si>
  <si>
    <t>LA227.4 .K455 2008</t>
  </si>
  <si>
    <t>Education, Higher-Aims and objectives-United States. ; Education, Higher-Social aspects-United States. ; Educational change-United States.</t>
  </si>
  <si>
    <t>Professing to Learn : Creating Tenured Lives and Careers in the American Research University</t>
  </si>
  <si>
    <t>Neumann, Anna</t>
  </si>
  <si>
    <t>LB1778.2 .N475 2009</t>
  </si>
  <si>
    <t>College teachers-Vocational guidance-United States. ; Scholars-Vocational guidance-United States. ; College teachers-Tenure-United States.</t>
  </si>
  <si>
    <t>Policy and Performance in American Higher Education : An Examination of Cases Across State Systems</t>
  </si>
  <si>
    <t>Richardson, Richard, Jr.;Martinez, Mario</t>
  </si>
  <si>
    <t>LC173 .R53 2009</t>
  </si>
  <si>
    <t>Education, Higher-United States. ; Higher education and state-United States-States-Case studies. ; Education, Higher-United States-States-Case studies.</t>
  </si>
  <si>
    <t>Higher Education for Women in Postwar America, 1945-1965</t>
  </si>
  <si>
    <t>Eisenmann, Linda</t>
  </si>
  <si>
    <t>LC1756 .E57 2006</t>
  </si>
  <si>
    <t>378.1/9822/097309045</t>
  </si>
  <si>
    <t>Women-Education (Higher)-United States-History-20th century. ; Education, Higher-United States-History-20th century.</t>
  </si>
  <si>
    <t>Selling Teaching Hospitals and Practice Plans : George Washington and Georgetown Universities</t>
  </si>
  <si>
    <t>Kastor, John A.</t>
  </si>
  <si>
    <t>RA975.T43 K376 2008</t>
  </si>
  <si>
    <t>George Washington University.-Medical Center. ; Georgetown University.-Medical Center. ; Teaching hospitals-Washington (D.C.)-Administration. ; Teaching hospitals-Washington (D.C.)-Finance. ; Academic medical centers-Washington (D.C.)-Administration. ; Hospitals-Ownership-Washington (D.C.)</t>
  </si>
  <si>
    <t>Seeing the Light : Religious Colleges in Twenty-First-Century America</t>
  </si>
  <si>
    <t>Schuman, Samuel</t>
  </si>
  <si>
    <t>LC538 .S38 2009</t>
  </si>
  <si>
    <t>378/.0710973</t>
  </si>
  <si>
    <t>Christian universities and colleges-United States. ; Colleges and undiversities-United States.</t>
  </si>
  <si>
    <t>Life on the Tenure Track : Lessons from the First Year</t>
  </si>
  <si>
    <t>LB2836 .L36 2005</t>
  </si>
  <si>
    <t>Teachers-Tenure-United States. ; First year teachers-United States. ; College teachers-United States.</t>
  </si>
  <si>
    <t>Gold Medal Physics : The Science of Sports</t>
  </si>
  <si>
    <t>Goff, John Eric</t>
  </si>
  <si>
    <t>GV558.G64 2010</t>
  </si>
  <si>
    <t>Turnaround : Leading Stressed Colleges and Universities to Excellence</t>
  </si>
  <si>
    <t>Martin, James;Samels, James E.</t>
  </si>
  <si>
    <t>LA227.4 .T86 2009</t>
  </si>
  <si>
    <t>378.1/070973</t>
  </si>
  <si>
    <t>Universities and colleges-United States. ; Educational change-United States.</t>
  </si>
  <si>
    <t>Learning While Black : Creating Educational Excellence for African-American Children</t>
  </si>
  <si>
    <t>Hale, Janice E.;Franklin, V. P.</t>
  </si>
  <si>
    <t>LC2771 .H35 2001</t>
  </si>
  <si>
    <t>African American children-Education. ; Discrimination in education-United States. ; Educational equalization-United States.</t>
  </si>
  <si>
    <t>Getting to Graduation : The Completion Agenda in Higher Education</t>
  </si>
  <si>
    <t>Kelly, Andrew P.;Schneider, Mark</t>
  </si>
  <si>
    <t>LA227.4 .G49 2012</t>
  </si>
  <si>
    <t>Education, Higher-Aims and objectives-United States. ; Education and state-United States. ; Educational change-United States. ; Educational attainment-United States. ; College graduates-United States.</t>
  </si>
  <si>
    <t>Is Graduate School Really for You? : The Whos, Whats, Hows, and Whys of Pursuing a Master's or Ph. D.</t>
  </si>
  <si>
    <t>Seligman, Amanda I.</t>
  </si>
  <si>
    <t>LB2371 .S56 2012</t>
  </si>
  <si>
    <t>Universities and colleges-Graduate work-Handbooks, manuals, etc. ; Graduate students-Handbooks, manuals, etc. ; Dissertations, Academic-Handbooks, manuals, etc.</t>
  </si>
  <si>
    <t>Success on the Tenure Track : Five Keys to Faculty Job Satisfaction</t>
  </si>
  <si>
    <t>Trower, Cathy Ann</t>
  </si>
  <si>
    <t>LB2335.7 .T76 2012</t>
  </si>
  <si>
    <t>378.1/20973</t>
  </si>
  <si>
    <t>College teachers-Tenure-United States. ; Universities and colleges-United States-Faculty.</t>
  </si>
  <si>
    <t>Cheating in College : Why Students Do It and What Educators Can Do about It</t>
  </si>
  <si>
    <t>McCabe, Donald L.;Butterfield, Kenneth D.;Treviño, Linda K.</t>
  </si>
  <si>
    <t>LB3609 .M27 2012</t>
  </si>
  <si>
    <t>Education, Higher-Moral and ethical aspects. ; Cheating (Education)-United States. ; College students-United States-Conduct of life.</t>
  </si>
  <si>
    <t>The Sustainable University : Green Goals and New Challenges for Higher Education Leaders</t>
  </si>
  <si>
    <t>LB3223 .S745 2012</t>
  </si>
  <si>
    <t>378.1/960973</t>
  </si>
  <si>
    <t>Universities and colleges-Environmental aspects-United States. ; College buildings-Energy conservation-United States. ; Sustainability.</t>
  </si>
  <si>
    <t>Presidencies Derailed : Why University Leaders Fail and How to Prevent It</t>
  </si>
  <si>
    <t>Trachtenberg, Stephen Joel;Kauvar, Gerald B.;Bogue, E. Grady</t>
  </si>
  <si>
    <t>LB2341 .T6815 2013</t>
  </si>
  <si>
    <t>College presidents. ; Universities and colleges-Administration.</t>
  </si>
  <si>
    <t>Remaking College : Innovation and the Liberal Arts</t>
  </si>
  <si>
    <t>Chopp, Rebecca;Frost, Susan;Weiss, Daniel H.</t>
  </si>
  <si>
    <t>LB2328.32.U6 R46 2013</t>
  </si>
  <si>
    <t>Education, Humanistic-United States. ; Small colleges-United States.</t>
  </si>
  <si>
    <t>Gap Year : How Delaying College Changes People in Ways the World Needs</t>
  </si>
  <si>
    <t>O'Shea, Joseph</t>
  </si>
  <si>
    <t>LC45.3 .O75 2013</t>
  </si>
  <si>
    <t>Experiential learning. ; Gap years. ; High school graduates-Life skills guides. ; Non-formal education.</t>
  </si>
  <si>
    <t>How Universities Work</t>
  </si>
  <si>
    <t>Lombardi, John V.</t>
  </si>
  <si>
    <t>Higher Ed Leadership Essentials Series</t>
  </si>
  <si>
    <t>LA227.4 .L65 2013</t>
  </si>
  <si>
    <t>Education, Higher-United States-Administration. ; Education, Higher-United States. ; Universities and colleges-United States-Administration. ; Universities and colleges-United States.</t>
  </si>
  <si>
    <t>Professors Behaving Badly : Faculty Misconduct in Graduate Education</t>
  </si>
  <si>
    <t>Braxton, John M.;Proper, Eve M.;Bayer, Alan E.</t>
  </si>
  <si>
    <t>LB1779 .B74 2011</t>
  </si>
  <si>
    <t>College teachers-Professional ethics-United States. ; College teaching-Corrupt practices-United States. ; Teachers-Professional ethics.</t>
  </si>
  <si>
    <t>The Boy Problem : Educating Boys in Urban America, 1870-1970</t>
  </si>
  <si>
    <t>Grant, Julia</t>
  </si>
  <si>
    <t>LC1397 .G73 2014</t>
  </si>
  <si>
    <t>Boys-Education-United States. ; City children-Education-United States. ; Urban schools-United States. ; Academic achievement-United States.</t>
  </si>
  <si>
    <t>Transforming Students : Fulfilling the Promise of Higher Education</t>
  </si>
  <si>
    <t>Johansson, Charity;Felten, Peter</t>
  </si>
  <si>
    <t>The Attainment Agenda : State Policy Leadership in Higher Education</t>
  </si>
  <si>
    <t>Perna, Laura W.;Finney, Joni E.;Callan, Patrick M.</t>
  </si>
  <si>
    <t>LC173 .P47 2014</t>
  </si>
  <si>
    <t>Higher education and state-United States-States. ; Higher education and state-United States-States-Case studies. ; Education, Higher-United States-States. ; Education, Higher-United States-States-Case studies. ; Educational attainment-United States-States. ; School management and organization-United States-States.</t>
  </si>
  <si>
    <t>Postsecondary Play : The Role of Games and Social Media in Higher Education</t>
  </si>
  <si>
    <t>Tierney, William G.;Corwin, Zoë B.;Fullerton, Tracy</t>
  </si>
  <si>
    <t>Tech. edu: a Hopkins Series on Education and Technology Series</t>
  </si>
  <si>
    <t>LB2395.7 .P68 2014</t>
  </si>
  <si>
    <t>Education, Higher-Effect of technological innovations on. ; Education, Higher-Social aspects. ; Play-Social aspects. ; Video games. ; Social media.</t>
  </si>
  <si>
    <t>Professors and Their Politics</t>
  </si>
  <si>
    <t>Gross, Neil;Simmons, Solon</t>
  </si>
  <si>
    <t>LB2331.72 .P77 2014</t>
  </si>
  <si>
    <t>College teachers-United States-Political activity. ; ollege teachers-United States-Attitudes.</t>
  </si>
  <si>
    <t>China's Rising Research Universities : A New Era of Global Ambition</t>
  </si>
  <si>
    <t>Rhoads, Robert A.;Wang, Xiaoyang;Shi, Xiaoguang</t>
  </si>
  <si>
    <t>LB2326.3 .C456 2014</t>
  </si>
  <si>
    <t>Universities and colleges-Research-China. ; Education, Higher-Research-China.</t>
  </si>
  <si>
    <t>Refinancing the College Dream : Access, Equal Opportunity, and Justice for Taxpayers</t>
  </si>
  <si>
    <t>St. John, Edward P.;Asker, Eric H.</t>
  </si>
  <si>
    <t>LB2342 .S8754 2003</t>
  </si>
  <si>
    <t>378.1/06/0973</t>
  </si>
  <si>
    <t>Education, Higher-United States-Finance. ; Educational equalization-United States.</t>
  </si>
  <si>
    <t>Those Good Gertrudes : A Social History of Women Teachers in America</t>
  </si>
  <si>
    <t>Clifford, Geraldine J.</t>
  </si>
  <si>
    <t>Wikipedia U : Knowledge, Authority, and Liberal Education in the Digital Age</t>
  </si>
  <si>
    <t>Leitch, Thomas</t>
  </si>
  <si>
    <t>LC1011 .L44 2014</t>
  </si>
  <si>
    <t>Wikipedia. ; Education, Humanistic. ; Research-Methodology-Data processing.</t>
  </si>
  <si>
    <t>Women's Colleges and Universities in a Global Context</t>
  </si>
  <si>
    <t>Renn, Kristen A.</t>
  </si>
  <si>
    <t>LC1567 .R46 2014</t>
  </si>
  <si>
    <t>Women's colleges. ; Women's colleges-Cross-cultural studies. ; Women-Education. ; Women in higher education.</t>
  </si>
  <si>
    <t>Teaching Machines : Learning from the Intersection of Education and Technology</t>
  </si>
  <si>
    <t>Ferster, Bill</t>
  </si>
  <si>
    <t>LB1028.3 .F49 2014</t>
  </si>
  <si>
    <t>Designing the New American University</t>
  </si>
  <si>
    <t>Crow, Michael M.;Dabars, William B.</t>
  </si>
  <si>
    <t>LA226 .C87 2015</t>
  </si>
  <si>
    <t>Education, Higher-United States. ; Universities and colleges-United States.</t>
  </si>
  <si>
    <t>Teaching Online : A Guide to Theory, Research, and Practice</t>
  </si>
  <si>
    <t>LB1044.87 .M356 2015</t>
  </si>
  <si>
    <t>Web-based instruction. ; Teaching-Methodology.</t>
  </si>
  <si>
    <t>The Provost's Handbook : The Role of the Chief Academic Officer</t>
  </si>
  <si>
    <t>LB2341 .M295 2015</t>
  </si>
  <si>
    <t>Education, Higher-United States-Administration. ; Deans (Education)-United States.</t>
  </si>
  <si>
    <t>Organizing Enlightenment : Information Overload and the Invention of the Modern Research University</t>
  </si>
  <si>
    <t>Wellmon, Chad</t>
  </si>
  <si>
    <t>LA727 .W455 2015</t>
  </si>
  <si>
    <t>Universities and colleges-Germany-History-18th century. ; Universities and colleges-Curricula-Germany-History-18th century. ; Education, Higher-Germany-History-18th century. ; Research-Germany-History-18th century. ; Enlightenment-Germany. ; Education, Higher-Philosophy. ; Germany-Intellectual life-19th century.</t>
  </si>
  <si>
    <t>The Politics of Performance Funding for Higher Education : Origins, Discontinuations, and Transformations</t>
  </si>
  <si>
    <t>Dougherty, Kevin J.;Natow, Rebecca S.</t>
  </si>
  <si>
    <t>LB2342 .D674 2015</t>
  </si>
  <si>
    <t>379.1/18</t>
  </si>
  <si>
    <t>Government aid to higher education. ; Universities and colleges-United States-Finance. ; Education, Higher-Economic aspects-United States.</t>
  </si>
  <si>
    <t>The Higher Learning in America: the Annotated Edition : A Memorandum on the Conduct of Universities by Business Men</t>
  </si>
  <si>
    <t>Veblen, Thorstein;Teichgraeber, Richard F., III</t>
  </si>
  <si>
    <t>LA226 .V3 2015</t>
  </si>
  <si>
    <t>Education, Higher. ; Universities and colleges-United States.</t>
  </si>
  <si>
    <t>U&amp;#269;itelé Na Vlnách Transformace : Kultura Skoly P&amp;#345;ed Rokem 1989 a Po N&amp;#283;m</t>
  </si>
  <si>
    <t>Moree, Dana</t>
  </si>
  <si>
    <t>LB1555 -- .M674 2013eb</t>
  </si>
  <si>
    <t>Elementary school teachers -- Czech Republic.</t>
  </si>
  <si>
    <t>T&amp;#283;lovýchova a Sport Ve Slu&amp;#382;bách &amp;#269;eské Národní Emancipace</t>
  </si>
  <si>
    <t>Waic, Marek</t>
  </si>
  <si>
    <t>GV288.C9 -- .W353 2013eb</t>
  </si>
  <si>
    <t>Physical education and training -- Czechoslovakia.</t>
  </si>
  <si>
    <t>Morální Vývoj Skolák&amp;#367; a P&amp;#345;edskolák&amp;#367; : Paradigmatické Výzvy Dle Jeana Piageta</t>
  </si>
  <si>
    <t>Klusák, Miroslav</t>
  </si>
  <si>
    <t>BF723.M54 -- .K587 2014eb</t>
  </si>
  <si>
    <t>Piaget, Jean, -- 1896-1980. ; Moral development. ; Preschool children.</t>
  </si>
  <si>
    <t>Skolní Vzdělávání V Estonsku</t>
  </si>
  <si>
    <t>Jezková, Věra;Krull, Edgar;Krull, Edgar</t>
  </si>
  <si>
    <t>LA850.2 -- .J495 2014eb</t>
  </si>
  <si>
    <t>Education -- Estonia. ; Education -- Curricula -- Estonia.</t>
  </si>
  <si>
    <t>Bastion of Liberty : Leiden University Today and Yesterday</t>
  </si>
  <si>
    <t>Leiden University Press</t>
  </si>
  <si>
    <t>Otterspeer, Willem</t>
  </si>
  <si>
    <t>LF4143 -- .O878 2008eb</t>
  </si>
  <si>
    <t>Rijksuniversiteit te Leiden -- History.</t>
  </si>
  <si>
    <t>Technology for Justice : How Information Technology Can Support Judicial Reform</t>
  </si>
  <si>
    <t>Reiling, Dory</t>
  </si>
  <si>
    <t>Law, Governance, and Development Dissertations</t>
  </si>
  <si>
    <t>K487.T4 -- R455 2009eb</t>
  </si>
  <si>
    <t>340-349</t>
  </si>
  <si>
    <t>Technology and law. ; Courts -- Effect of technological innovations on -- Netherlands.</t>
  </si>
  <si>
    <t>Observations upon Liberal Education</t>
  </si>
  <si>
    <t>Liberty Fund</t>
  </si>
  <si>
    <t>Liberty Fund, Incorporated</t>
  </si>
  <si>
    <t>Indianapolis, IN</t>
  </si>
  <si>
    <t>Turnbull, George;Moore, Terrence O., Jr.</t>
  </si>
  <si>
    <t>Natural Law and Enlightenment Classics Series</t>
  </si>
  <si>
    <t>LB575.T87 -- T86 2003eb</t>
  </si>
  <si>
    <t>Education -- Philosophy -- Early works to 1800. ; Education, Humanistic -- Early works to 1800.</t>
  </si>
  <si>
    <t>Education, Land, and Location</t>
  </si>
  <si>
    <t>Lincoln Institute of Land Policy</t>
  </si>
  <si>
    <t>Cambridge, MA</t>
  </si>
  <si>
    <t>Ingram, Gregory K.;Kenyon, Daphne A.</t>
  </si>
  <si>
    <t>LB3220 -- .E35 2014eb</t>
  </si>
  <si>
    <t>371.6/10973</t>
  </si>
  <si>
    <t>School sites -- United States. ; School sites -- United States -- Sociological aspects. ; Educational sociology -- United States. ; Municipal finance -- United States. ; Education -- United States -- Finance. ; Education and state -- United States. ; Land use -- Government policy -- United States.</t>
  </si>
  <si>
    <t>Mathematical Learning Disability : Cognitive Conditions, Development and Predictions</t>
  </si>
  <si>
    <t>Open Access - Linköping University Press</t>
  </si>
  <si>
    <t>Linkopings Universitet</t>
  </si>
  <si>
    <t>Linköping</t>
  </si>
  <si>
    <t>SWEDEN</t>
  </si>
  <si>
    <t>Östergren, Rickard</t>
  </si>
  <si>
    <t>Linköping Studies in Arts and Sciences Series</t>
  </si>
  <si>
    <t>Online Teaching Practices : Sociomaterial Matters in Higher Education Settings</t>
  </si>
  <si>
    <t>Bolldén, Karin</t>
  </si>
  <si>
    <t>Linköping Studies in Behavioural Science Series</t>
  </si>
  <si>
    <t>Rebel Literacy : Cuba's National Literacy Campaign and Critical Global Citizenship</t>
  </si>
  <si>
    <t>Litwin Books</t>
  </si>
  <si>
    <t>Litwin Books LLC</t>
  </si>
  <si>
    <t>Abendroth, Mark;McLaren, Peter , Ph.D.</t>
  </si>
  <si>
    <t>LC155.C9 -- A34 2009eb</t>
  </si>
  <si>
    <t>Literacy -- Social aspects -- Cuba. ; Literacy programs -- Cuba. ; World citizenship.</t>
  </si>
  <si>
    <t>Information Literacy and Social Justice</t>
  </si>
  <si>
    <t>Library Juice Press</t>
  </si>
  <si>
    <t>Gregory, Lua;Higgins, Shana</t>
  </si>
  <si>
    <t>ZA3075 -- .I5328 2013eb</t>
  </si>
  <si>
    <t>Information literacy -- Social aspects. ; Information literacy -- Political aspects. ; Information literacy -- Study and teaching. ; Social justice.</t>
  </si>
  <si>
    <t>Borrowing Inequality : Race, Class, and Student Loans</t>
  </si>
  <si>
    <t>Lynne Rienner Publishers</t>
  </si>
  <si>
    <t>Boulder, CO</t>
  </si>
  <si>
    <t>Price, Derek V.</t>
  </si>
  <si>
    <t>LB2340 -- .P753 2004eb</t>
  </si>
  <si>
    <t>378.3/62</t>
  </si>
  <si>
    <t>Student loans -- United States. ; Discrimination in higher education -- United States.</t>
  </si>
  <si>
    <t>Keeping It R.E.A.L. : Research Experiences for All Learners</t>
  </si>
  <si>
    <t>MAA Press</t>
  </si>
  <si>
    <t>Martin, Carla D.;Tongen, Anthony</t>
  </si>
  <si>
    <t>Classroom Resource Materials</t>
  </si>
  <si>
    <t>LB2395.35 -- .M37 2011eb</t>
  </si>
  <si>
    <t>Critical thinking -- Problems, exercises, etc. ; Mathematics -- Research. ; Mathematics -- Problems, exercises, etc. ; Mathematics -- Study and teaching (Higher) ; Computation laboratories. ; Project method in teaching.</t>
  </si>
  <si>
    <t>Beyond the Quadratic Formula</t>
  </si>
  <si>
    <t>Irving, Ron</t>
  </si>
  <si>
    <t>QA445 -- .I78 2013eb</t>
  </si>
  <si>
    <t>Geometry.</t>
  </si>
  <si>
    <t>Bridge to Abstract Mathematics</t>
  </si>
  <si>
    <t>Oberste-Vorth, Ralph W.;Mouzakitis, Aristides;Lawrence, Bonita</t>
  </si>
  <si>
    <t>MAA Textbooks</t>
  </si>
  <si>
    <t>QA36 -- .O24 2012eb</t>
  </si>
  <si>
    <t>Mathematics.</t>
  </si>
  <si>
    <t>Functions, Data and Models : An Applied Approach to College Algebra</t>
  </si>
  <si>
    <t>Gordon, Sheldon P.;Gordon, Florence S.</t>
  </si>
  <si>
    <t>QA154.3 -- .G67 2010eb</t>
  </si>
  <si>
    <t>Algebra -- Textbooks.</t>
  </si>
  <si>
    <t>Mathematics for Secondary School Teachers</t>
  </si>
  <si>
    <t>Bremigan, Elizabeth G.;Bremigan, Ralph J.;Lorch, John D.</t>
  </si>
  <si>
    <t>QA39.3 -- .B75 2011eb</t>
  </si>
  <si>
    <t>Mathematics -- Textbooks. ; Mathematics -- Study and teaching (Secondary)</t>
  </si>
  <si>
    <t>Combinatorics : A Guided Tour</t>
  </si>
  <si>
    <t>Mazur, David R.</t>
  </si>
  <si>
    <t>QA164 -- .M398 2010eb</t>
  </si>
  <si>
    <t>Combinatorial analysis.</t>
  </si>
  <si>
    <t>Episodic History of Mathematics</t>
  </si>
  <si>
    <t>Krantz, Steven G.</t>
  </si>
  <si>
    <t>QA21 -- .K72 2010eb</t>
  </si>
  <si>
    <t>Mathematics -- History -- Study and teaching (Higher) ; Mathematics -- Problems, exercises, etc. ; Mathematics -- Study and teaching (Higher) ; Mathematicians.</t>
  </si>
  <si>
    <t>MAA Textbooks : Calculus Deconstructed: a Second Course in First-Year Calculus</t>
  </si>
  <si>
    <t>Nitecki, Zbigniew H.</t>
  </si>
  <si>
    <t>AMS/MAA Textbooks Series</t>
  </si>
  <si>
    <t>QA303.2.N58 2009eb</t>
  </si>
  <si>
    <t>Calculus -- Textbooks. ; Calculus -- Problems, exercises, etc.</t>
  </si>
  <si>
    <t>Essentials of Mathematics : Introduction to Theory, Proof, and the Professional Culture</t>
  </si>
  <si>
    <t>Hale, Margie</t>
  </si>
  <si>
    <t>QA39.3 -- .H34 2003eb</t>
  </si>
  <si>
    <t>Distilling Ideas : An Introduction to Mathematical Thinking</t>
  </si>
  <si>
    <t>Katz, Brian P.;Starbird, Michael</t>
  </si>
  <si>
    <t>QA9 .K38 2013</t>
  </si>
  <si>
    <t>Logic, Symbolic and mathematical. ; Mathematics-Philosophy. ; Critical thinking.</t>
  </si>
  <si>
    <t>Women in the Canadian Academic Tundra : Challenging the Chill</t>
  </si>
  <si>
    <t>McGill-Queens University Press</t>
  </si>
  <si>
    <t>McGill-Queen's University Press</t>
  </si>
  <si>
    <t>Hannah, Elena;Paul, Linda;Vethamany-Globus, Swani</t>
  </si>
  <si>
    <t>LB2332.34.C3 W65 2002</t>
  </si>
  <si>
    <t>378/.0082/0971</t>
  </si>
  <si>
    <t>Women college teachers-Canada. ; Sex discrimination in higher education-Canada.</t>
  </si>
  <si>
    <t>Classroom and Empire : The Politics of Schooling Russia's Eastern Nationalities, 1860-1917</t>
  </si>
  <si>
    <t>Dowler, Wayne</t>
  </si>
  <si>
    <t>LA831.8</t>
  </si>
  <si>
    <t>University : International Expectations</t>
  </si>
  <si>
    <t>Alexander, King;Alexander, Kern</t>
  </si>
  <si>
    <t>LB2322.2</t>
  </si>
  <si>
    <t>Tower under Siege : Technology, Power, and Education</t>
  </si>
  <si>
    <t>Lewis, Brian;Massey, Christine;Smith, Richard</t>
  </si>
  <si>
    <t>LB1028.3 L494 2001</t>
  </si>
  <si>
    <t>Education, Higher-Effect of technological innovations on-Canada. ; Educational technology-Canada. ; Higher education and state-Canada. ; Educational change-Canada.</t>
  </si>
  <si>
    <t>In Defence of Religious Schools and Colleges</t>
  </si>
  <si>
    <t>Thiessen, Elmer John</t>
  </si>
  <si>
    <t>LC368 .T44 2001</t>
  </si>
  <si>
    <t>371.07/01</t>
  </si>
  <si>
    <t>Religious education-Philosophy. ; Pluralism. ; Liberalism-Religious aspects.</t>
  </si>
  <si>
    <t>Humanism Betrayed : Theory, Ideology, and Culture in the Contemporary University</t>
  </si>
  <si>
    <t>Good, Graham</t>
  </si>
  <si>
    <t>LA184</t>
  </si>
  <si>
    <t>Education, Higher-Philosophy. ; Education, Higher-Aims and objectives. ; Education, Humanistic.</t>
  </si>
  <si>
    <t>View from Rome : Archbishop Stagni's 1915 Reports on the Ontario Bilingual Schools Question</t>
  </si>
  <si>
    <t>Stagni, Pellegrino;Zucchi, John E.</t>
  </si>
  <si>
    <t>McGill-Queen's Studies in the History of Religion Series</t>
  </si>
  <si>
    <t>LC3734.2.O6 S6813 2002</t>
  </si>
  <si>
    <t>371.071/2713</t>
  </si>
  <si>
    <t>Education, Bilingual-Ontario-History. ; Catholics-Education-Ontario-History-Sources.</t>
  </si>
  <si>
    <t>Integrating School and Workplace Learning in Canada : Principles and Practices of Alternation Education and Training</t>
  </si>
  <si>
    <t>Schuetze, Hans G.;Sweet, Robert</t>
  </si>
  <si>
    <t>Creating Carleton : The Shaping of a University</t>
  </si>
  <si>
    <t>Neatby, H. Blair;McEown, Don</t>
  </si>
  <si>
    <t>378.713/84</t>
  </si>
  <si>
    <t>Carleton University-History.</t>
  </si>
  <si>
    <t>Comings and Goings : University Students in Canadian Society, 1854-1973</t>
  </si>
  <si>
    <t>Levi, Charles Moden</t>
  </si>
  <si>
    <t>LE3.T668 L49 2003</t>
  </si>
  <si>
    <t>378.1/98309713541</t>
  </si>
  <si>
    <t>University College (Toronto, Ont.)-Students-Societies, etc.-History. ; University College (Toronto, Ont.)-Etudiants-Associations-Histoire.</t>
  </si>
  <si>
    <t>Long Eclipse : The Liberal Protestant Establishment and the Canadian University, 1920-1970</t>
  </si>
  <si>
    <t>Gidney, Catherine</t>
  </si>
  <si>
    <t>LC114 .G53 2004</t>
  </si>
  <si>
    <t>Church and education-Canada-History-20th century. ; Protestant churches-Canada-Influence-History-20th century. ; Universities and colleges-Canada-History-20th century. ; Eglise et education-Canada-Histoire-20e siecle. ; Eglises protestantes-Canada-Influence-Histoire-20e siecle. ; Universites-Canada-Histoire-20e siecle.</t>
  </si>
  <si>
    <t>Schools and Work : Technical and Vocational Education in France since the Third Republic</t>
  </si>
  <si>
    <t>Day, Charles</t>
  </si>
  <si>
    <t>T121 .D395 2001</t>
  </si>
  <si>
    <t>607.1/044</t>
  </si>
  <si>
    <t>Technical education-France-History-20th century. ; Vocational education-France-History-20th century.</t>
  </si>
  <si>
    <t>Lying about the Wolf : Essays in Culture and Education</t>
  </si>
  <si>
    <t>Solway, David</t>
  </si>
  <si>
    <t>LB45</t>
  </si>
  <si>
    <t>Autonomy and Schooling</t>
  </si>
  <si>
    <t>Callan, Eamonn</t>
  </si>
  <si>
    <t>Grammar Schools of Medieval England : A. F. Leach in Historiographical Perspective</t>
  </si>
  <si>
    <t>Miner, John N.</t>
  </si>
  <si>
    <t>Outside the Lines : Issues in Interdisciplinary Research</t>
  </si>
  <si>
    <t>Salter, Liora;Hearn, Alison</t>
  </si>
  <si>
    <t>Q180.55.I48 O97 1997</t>
  </si>
  <si>
    <t>Interdisciplinary research. ; Research.</t>
  </si>
  <si>
    <t>Science; General Works/Reference</t>
  </si>
  <si>
    <t>When the North Was Red : Aboriginal Education in Soviet Siberia</t>
  </si>
  <si>
    <t>Bartels, Dennis A.;Bartels, Alice L.</t>
  </si>
  <si>
    <t>McGill-Queen's Indigenous and Northern Studies</t>
  </si>
  <si>
    <t>LA1393.7 .B37 1995</t>
  </si>
  <si>
    <t>371.97/971</t>
  </si>
  <si>
    <t>Indigenous peoples-Education-Russia (Federation)-Siberia-History. ; Education-Russia (Federation)-Siberia.</t>
  </si>
  <si>
    <t>Turtle Hypodermic of Sickenpods : Liberal Studies in the Corporate Age</t>
  </si>
  <si>
    <t>LB14.7 .S65 2000</t>
  </si>
  <si>
    <t>Education-Philosophy. ; Educational change. ; Educational technology. ; School management and organization.</t>
  </si>
  <si>
    <t>Builders and Deserters : Students, State, and Community in Leningrad, 1917-1941</t>
  </si>
  <si>
    <t>Konecny, Peter</t>
  </si>
  <si>
    <t>LA839.5.S25 K66 1999</t>
  </si>
  <si>
    <t>Education, Higher-Political aspects-Russia (Federation)-Saint Petersburg. ; Higher education and state-Soviet Union-History-Case studies.</t>
  </si>
  <si>
    <t>Seeking New Horizons : A Perceptual Approach to Geographic Education</t>
  </si>
  <si>
    <t>Castner, Henry W.</t>
  </si>
  <si>
    <t>G74 .C37 1990</t>
  </si>
  <si>
    <t>910/.7</t>
  </si>
  <si>
    <t>Geography-Study and teaching. ; Cartography-Study and teaching. ; Geographical perception.</t>
  </si>
  <si>
    <t>Teaching for Commitment : Liberal Education, Indoctrination, and Christian Nurture</t>
  </si>
  <si>
    <t>BV1464</t>
  </si>
  <si>
    <t>Norbert Elias and Human Interdependencies</t>
  </si>
  <si>
    <t>Salumets, Thomas</t>
  </si>
  <si>
    <t>HM479.E38 N66 2001</t>
  </si>
  <si>
    <t>Elias, Norbert-Congresses. ; Sociology-Congresses. ; Civilization, Modern-Congresses.</t>
  </si>
  <si>
    <t>Insights, Discoveries, Surprises : Drawing from the Model</t>
  </si>
  <si>
    <t>Caiserman-Roth, Ghitta;Cohen, Rhoda</t>
  </si>
  <si>
    <t>NC593 -- .C35 1993eb</t>
  </si>
  <si>
    <t>Post Secondary Education</t>
  </si>
  <si>
    <t>McLeod, T.</t>
  </si>
  <si>
    <t>Education, Higher-Congresses. ; Postsecondary education-Congresses.</t>
  </si>
  <si>
    <t>Living and Learning in the Free School</t>
  </si>
  <si>
    <t>Novak, Mark</t>
  </si>
  <si>
    <t>Carleton Library Series</t>
  </si>
  <si>
    <t>Free schools-Canada. ; Alternative schools-Canada.</t>
  </si>
  <si>
    <t>Open-Mindedness and Education</t>
  </si>
  <si>
    <t>Hare, William</t>
  </si>
  <si>
    <t>LB41 .H285 1979</t>
  </si>
  <si>
    <t>Education-Aims and objectives. ; Judgment. ; Reasoning.</t>
  </si>
  <si>
    <t>Preparing for Post-Secondary Education : New Roles for Governments and Families</t>
  </si>
  <si>
    <t>Anisef, Paul;Sweet, Robert</t>
  </si>
  <si>
    <t>LB2342.2.C3 P74 2005</t>
  </si>
  <si>
    <t>378.3/8/0971</t>
  </si>
  <si>
    <t>Education, Higher-Canada-Finance. ; Postsecondary education-Canada-Finance. ; Education, Higher-Parent participation-Canada. ; College students-Canada-Finance, Personal. ; Education, Higher-Canada-Costs. ; Higher education and state-Canada. ; Education savings accounts-Canada. ; Enseignement superieur-Canada-Finances. ; Enseignement postsecondaire-Canada-Finances. ; Enseignement superieur-Participation des parents-Canada. ; Etudiants-Canada-Finances personnelles. ; Enseignement superieur-Canada-Cout. ; Enseignement superieur-Politique gouvernementale-Canada. ; Epargne-etudes-Canada.</t>
  </si>
  <si>
    <t>Robert Edwards Holloway : Newfoundland Educator, Scientist, Photographer, 1874-1904</t>
  </si>
  <si>
    <t>Gough, Ruby</t>
  </si>
  <si>
    <t>LA2325.H65 G68 2005</t>
  </si>
  <si>
    <t>378.1/2/092</t>
  </si>
  <si>
    <t>Holloway, Robert Edwards,-1850-1904. ; Holloway, Robert Edwards,-1850-1904. ; Methodist College (St. John's, N.L.)-Faculty-Biography. ; Methodist College (St. John's, N.-L.)-Corps enseignant-Biographies. ; College teachers-Newfoundland and Labrador-St. John's-Biography. ; Professeurs (Enseignement superieur)-Terre-Neuve-et-Labrador-St. Johns's-Biographies.</t>
  </si>
  <si>
    <t>In Defence of Open-Mindedness</t>
  </si>
  <si>
    <t>LB1025.2 .H2978 1985</t>
  </si>
  <si>
    <t>Education-Philosophy. ; Teachers-Attitudes.</t>
  </si>
  <si>
    <t>Faithful Intellect : Samuel S. Nelles and Victoria University</t>
  </si>
  <si>
    <t>Semple, Neil</t>
  </si>
  <si>
    <t>LE3.T617 N45 2005</t>
  </si>
  <si>
    <t>378.713/57/092</t>
  </si>
  <si>
    <t>Nelles, S. S.-(Samuel Sobieski),-1823-1887. ; Nelles, S. S.-(Samuel Sobieski),-1823-1887. ; Victoria University (Cobourg, Ont.)-History. ; Victoria University (Cobourg, Ont.)-Presidents-Biography. ; Victoria University (Cobourg, Ont.)-Histoire. ; Victoria University (Cobourg, Ont.)-Presidents et recteurs d'universite-Biographies. ; Education, Higher-Ontario-History-19th century. ; College presidents-Ontario-Cobourg-Biography. ; Methodists-Ontario-Biography. ; Enseignement superieur-Ontario-Histoire-19e siecle. ; Presidents et recteurs d'universite-Ontario-Cobourg-Biographies. ; Methodistes-Ontario-Biographies. ; Cobourg (Ont.)-Biography. ; Cobourg (Ont.)-Biographies.</t>
  </si>
  <si>
    <t>Teaching As Activism : Equity Meets Environmentalism</t>
  </si>
  <si>
    <t>Tripp, Peggy;Muzzin, Linda</t>
  </si>
  <si>
    <t>A Social History of the Cloister : Daily Life in the Teaching Monasteries of the Old Regime</t>
  </si>
  <si>
    <t>Rapley, Elizabeth</t>
  </si>
  <si>
    <t>271/.903044</t>
  </si>
  <si>
    <t>Monasticism and religious orders for women-France-History. ; Women in Christianity-France-History.</t>
  </si>
  <si>
    <t>Coyote and Raven Go Canoeing : Coming Home to the Village</t>
  </si>
  <si>
    <t>Cole, Peter</t>
  </si>
  <si>
    <t>E96.2 .C64 2006</t>
  </si>
  <si>
    <t>Indians of North America-Education-Canada. ; Indians of North America-Canada-Intellectual life. ; Indian mythology-Canada. ; Indigenous peoples-Education. ; Indigenous peoples-Social conditions.</t>
  </si>
  <si>
    <t>Choosing to Labour? : School-Work Transitions and Social Class</t>
  </si>
  <si>
    <t>Lehmann, Wolfgang</t>
  </si>
  <si>
    <t>LC1037.8.C2 L44 2007</t>
  </si>
  <si>
    <t>331.702/330971</t>
  </si>
  <si>
    <t>School-to-work transition-Canada. ; School-to-work transition-Germany. ; Vocational guidance-Canada. ; Vocational guidance-Germany. ; Apprenticeship programs-Canada. ; Apprenticeship programs-Germany. ; High school students-Canada-Economic conditions. ; High school students-Germany-Economic conditions.</t>
  </si>
  <si>
    <t>Selling Out : Academic Freedom and the Corporate Market</t>
  </si>
  <si>
    <t>Woodhouse, Howard</t>
  </si>
  <si>
    <t>LC72.5.C2 W66 2009</t>
  </si>
  <si>
    <t>Academic freedom-Canada. ; Business and education-Canada. ; Higher education and state-Canada. ; University autonomy-Canada.</t>
  </si>
  <si>
    <t>Achieving Student Success : Effective Student Services in Canadian Higher Education</t>
  </si>
  <si>
    <t>Hardy Cox, Donna;Strange, C. Carney</t>
  </si>
  <si>
    <t>LB2342.94 .C3 A34 2010</t>
  </si>
  <si>
    <t>378.1/940971</t>
  </si>
  <si>
    <t>College students-Services for-Canada. ; Student affairs services-Canada. ; Universities and colleges-Canada-Administration.</t>
  </si>
  <si>
    <t>As One Who Serves : The Making of the University of Regina</t>
  </si>
  <si>
    <t>Pitsula, James M.</t>
  </si>
  <si>
    <t>LE3.R4 P583 2006</t>
  </si>
  <si>
    <t>University of Regina-History. ; Nineteen sixties. ; Regina (Sask.)-Social conditions-20th century. ; Saskatchewan-Social conditions-1945-1991.</t>
  </si>
  <si>
    <t>York University : The Way Must Be Tried</t>
  </si>
  <si>
    <t>Horn, Michiel</t>
  </si>
  <si>
    <t>LE3.Y6 H67 2009</t>
  </si>
  <si>
    <t>378.713/541</t>
  </si>
  <si>
    <t>York University (Toronto, Ont.)-History. ; Universities and colleges-Ontario-Toronto-History.</t>
  </si>
  <si>
    <t>Church, State, and the Control of Schooling in Ireland 1900-1944</t>
  </si>
  <si>
    <t>Titley, B.</t>
  </si>
  <si>
    <t>LC506.I73 T58 1983</t>
  </si>
  <si>
    <t>377/.09415</t>
  </si>
  <si>
    <t>Catholic Church-Education-Ireland-History-20th century. ; Church and education-Ireland-History-20th century. ; Education-Ireland-History-20th century.</t>
  </si>
  <si>
    <t>Cultural Diversity and Canadian Education : Issues and Innovations</t>
  </si>
  <si>
    <t>Mallea, John</t>
  </si>
  <si>
    <t>LA412 .C85 1990</t>
  </si>
  <si>
    <t>370.19/34/0971</t>
  </si>
  <si>
    <t>Education-Canada.</t>
  </si>
  <si>
    <t>Idealism Transformed : The Making of a Progressive Educator</t>
  </si>
  <si>
    <t>Wood, Anne</t>
  </si>
  <si>
    <t>LA2325.P87 W66 1985</t>
  </si>
  <si>
    <t>370/.92/4</t>
  </si>
  <si>
    <t>Putman, J. Harold-(John Harold),-1866-1940. ; Educators-Canada-Biography. ; Education-Canada-History. ; Education-Canada-Philosophy-History.</t>
  </si>
  <si>
    <t>Chinese Education in Transition</t>
  </si>
  <si>
    <t>Kwong, J.</t>
  </si>
  <si>
    <t>Urdu for Children, Book 1 : Part 1</t>
  </si>
  <si>
    <t>Alvi, Sajida</t>
  </si>
  <si>
    <t>Urdu for Children Series</t>
  </si>
  <si>
    <t>Urdu for Children, Book 1 : Part 2</t>
  </si>
  <si>
    <t>PK1973 .U73 1997</t>
  </si>
  <si>
    <t>Urdu language-Textbooks for foreign speakers-English. ; Urdu language-Study and teaching (Primary) ; Children's literature, Urdu.</t>
  </si>
  <si>
    <t>Urdu for Children, Book 1 : Workbook</t>
  </si>
  <si>
    <t>PK1973 .W67 1997</t>
  </si>
  <si>
    <t>Democracy and the Intersection of Religion : The Reading of John Dewey's Understanding of Democracy and Education</t>
  </si>
  <si>
    <t>Bruno-Jofré, Rosa;Johnston, James Scott;Jover, Gonzalo</t>
  </si>
  <si>
    <t>LB875.D5 D456 2010</t>
  </si>
  <si>
    <t>Dewey, John,-1859-1952-Influence. ; Dewey, John,-1859-1952-Criticism and interpretation. ; Democracy and education-China. ; Democracy and education-Spain. ; Democracy and education-Latin America. ; Church and education.</t>
  </si>
  <si>
    <t>Urban Aboriginal Policy Making in Canadian Municipalities</t>
  </si>
  <si>
    <t>Peters, Evelyn J.</t>
  </si>
  <si>
    <t>Fields of Governance: Policy Making in Canadian Municipalities Series</t>
  </si>
  <si>
    <t>305.897/071</t>
  </si>
  <si>
    <t>Urban policy-Canada. ; Sociology, Urban-Canada.</t>
  </si>
  <si>
    <t>Blitzkrieg and Jitterbugs : College Life in Wartime, 1939-1942</t>
  </si>
  <si>
    <t>Waterston, Elizabeth Hillman</t>
  </si>
  <si>
    <t>Footprints Series</t>
  </si>
  <si>
    <t>LE3.M219 W38 2012</t>
  </si>
  <si>
    <t>378.714/28</t>
  </si>
  <si>
    <t>Waterston, Elizabeth,-1922- ; McGill University-Students-Biography. ; College students-Québec (Province)-Montréal-History-20th century. ; Women college students-Québec (Province)-Montréal-Biography. ; World War, 1939-1945-Canada. ; Canada-History-1914-1945.</t>
  </si>
  <si>
    <t>Fragile Majorities and Education : Belgium, Catalonia, Northern Ireland, and Quebec</t>
  </si>
  <si>
    <t>McAndrew, Marie</t>
  </si>
  <si>
    <t>Minorities-Education. ; Linguistic minorities-Education. ; Ethnic groups-Education. ; Cultural pluralism. ; History-Study and teaching-Social aspects. ; Comparative education.</t>
  </si>
  <si>
    <t>The Grand Regulator : The Miseducation of Nova Scotia's Teachers, 1838-1997</t>
  </si>
  <si>
    <t>Perry, George D.</t>
  </si>
  <si>
    <t>LB2169.C2.P47 2013eb</t>
  </si>
  <si>
    <t>370.71/1716</t>
  </si>
  <si>
    <t>Teachers-Training of-Nova Scotia-History. ; Teachers-Training of-Government policy-Nova Scotia. ; Teachers-Training of-Social aspects-Nova Scotia.</t>
  </si>
  <si>
    <t>Leading Research Universities in a Competitive World</t>
  </si>
  <si>
    <t>Lacroix, Robert;Maheu, Louis;Klassen, Paul</t>
  </si>
  <si>
    <t>LB2331.62.L337 2015</t>
  </si>
  <si>
    <t>Building the Nation : N. F. S. Grundtvig and Danish National Identity</t>
  </si>
  <si>
    <t>Hall, John A.;Korsgaard, Ove;Pedersen, Ove K.</t>
  </si>
  <si>
    <t>948.9/04092</t>
  </si>
  <si>
    <t>Serving the Old Dominion : A History of Christopher Newport University, 1958-2011</t>
  </si>
  <si>
    <t>Mercer University Press</t>
  </si>
  <si>
    <t>Macon</t>
  </si>
  <si>
    <t>Hamilton, Phillip</t>
  </si>
  <si>
    <t>LD961.C65 -- H36 2011eb</t>
  </si>
  <si>
    <t>378/.0509755416</t>
  </si>
  <si>
    <t>Christopher Newport University -- History. ; Universities and colleges -- Virginia.</t>
  </si>
  <si>
    <t>How to Write Your MBA Thesis : A Comprehensive Guide for All Masters Students Required to Write a Research-Based Thesis or Dissertation</t>
  </si>
  <si>
    <t>Meyer &amp; Meyer Fachverlag GmbH</t>
  </si>
  <si>
    <t>Meyer &amp; Meyer Sport (UK) Ltd.</t>
  </si>
  <si>
    <t>Jones, Stephanie;Wahba, Khaled;van der Heijden, Beatrice</t>
  </si>
  <si>
    <t>LB2369 -- .J664 2007eb</t>
  </si>
  <si>
    <t>Dissertations, Academic -- Authorship. ; Academic writing. ; Master of business administration degree.</t>
  </si>
  <si>
    <t>Democracy and Higher Education : Traditions and Stories of Civic Engagement</t>
  </si>
  <si>
    <t>Michigan State University Press</t>
  </si>
  <si>
    <t>East Lansing</t>
  </si>
  <si>
    <t>Peters, Scott J.;Alter, Theodore R.;Schwartzbach, Neil</t>
  </si>
  <si>
    <t>Transformations in Higher Education Series</t>
  </si>
  <si>
    <t>Democracy and education-United States. ; Education, Higher-United States-Administration. ; Equality-United States. ; Education, Humanistic-Philosophy. ; United States-Politics and government.</t>
  </si>
  <si>
    <t>International and Language Education for a Global Future : Fifty Years of U. S. Title VI and Fulbright-Hays Programs</t>
  </si>
  <si>
    <t>Wiley, David S.;Glew, Robert S.</t>
  </si>
  <si>
    <t>LC1090</t>
  </si>
  <si>
    <t>Handbook of Engaged Scholarship : Contemporary Landscapes, Future Directions: Volume 1: Institutional Change</t>
  </si>
  <si>
    <t>Fitzgerald, Hiram E.;Burack, Cathy;Seifer, Sarena D.</t>
  </si>
  <si>
    <t>LC238</t>
  </si>
  <si>
    <t>Handbook of Engaged Scholarship : Contemporary Landscapes, Future Directions: Volume 2: Community-Campus Partnerships</t>
  </si>
  <si>
    <t>Community and college-United States-Handbooks, manuals, etc. ; Service learning-United States-Handbooks, manuals, etc. ; Education, Higher-Aims and objectives-United States.</t>
  </si>
  <si>
    <t>School Siting and Healthy Communities : Why Where We Invest in School Facilities Matters</t>
  </si>
  <si>
    <t>Miles, Rebecca;Adelaja, Adesoji;Wyckoff, Mark</t>
  </si>
  <si>
    <t>LB3220</t>
  </si>
  <si>
    <t>371.6/1</t>
  </si>
  <si>
    <t>The Test</t>
  </si>
  <si>
    <t>Adams, Walter</t>
  </si>
  <si>
    <t>LD3248</t>
  </si>
  <si>
    <t>378.1/12/0924 B</t>
  </si>
  <si>
    <t>The Road Half Traveled : University Engagement at a Crossroads</t>
  </si>
  <si>
    <t>Hodges, Rita Axelroth;Dubb, Steve</t>
  </si>
  <si>
    <t>378.1/030973</t>
  </si>
  <si>
    <t>Going Public : Civic and Community Engagement</t>
  </si>
  <si>
    <t>Fitzgerald, Hiram E.;Primavera, Judith</t>
  </si>
  <si>
    <t>Crisis in Higher Education : A Plan to Save Small Liberal Arts Colleges in America</t>
  </si>
  <si>
    <t>Docking, Jeffrey R.;Curton, Carman C.</t>
  </si>
  <si>
    <t>LD51</t>
  </si>
  <si>
    <t>Small colleges-United States. ; Private universities and colleges-United States.</t>
  </si>
  <si>
    <t>Holding the Center : Memoirs of a Life in Higher Education</t>
  </si>
  <si>
    <t>MIT Press</t>
  </si>
  <si>
    <t>Johnson, Howard W.;Reed, John S.</t>
  </si>
  <si>
    <t>The MIT Press Series</t>
  </si>
  <si>
    <t>T171.M49 J62 1999</t>
  </si>
  <si>
    <t>378.744/4 B</t>
  </si>
  <si>
    <t>Johnson, Howard Wesley,-1922-2009. ; Massachusetts Institute of Technology-Presidents-Biography. ; Massachusetts Institute of Technology-History. ; College presidents-Massachusetts-Biography.</t>
  </si>
  <si>
    <t>Semi-Supervised Learning</t>
  </si>
  <si>
    <t>Chapelle, Olivier;Schölkopf, Bernhard;Zien, Alexander</t>
  </si>
  <si>
    <t>Adaptive Computation and Machine Learning Series</t>
  </si>
  <si>
    <t>Q325.75.S42 2006</t>
  </si>
  <si>
    <t>Educating All Children : A Global Agenda</t>
  </si>
  <si>
    <t>Cohen, Joel E.;Bloom, David E.;Malin, Martin B.;Malin, Martin B</t>
  </si>
  <si>
    <t>LC213.3.D44 -- E33 2006eb</t>
  </si>
  <si>
    <t>Educational equalization -- Developing countries. ; Education -- Developing countries -- Finance.</t>
  </si>
  <si>
    <t>Design on the Edge : The Making of a High-Performance Building</t>
  </si>
  <si>
    <t>Orr, David W.</t>
  </si>
  <si>
    <t>LD4170.A32O77 2006</t>
  </si>
  <si>
    <t>727/.3077123</t>
  </si>
  <si>
    <t>Adam Joseph Lewis Center (Oberlin, Ohio) ; Oberlin College -- Buildings. ; Buildings -- Ohio -- Oberlin -- History.</t>
  </si>
  <si>
    <t>Group Cognition : Computer Support for Building Collaborative Knowledge</t>
  </si>
  <si>
    <t>Stahl, Gerry;Foot, Kirsten A.;Nardi, Bonnie A.</t>
  </si>
  <si>
    <t>Acting with Technology Series</t>
  </si>
  <si>
    <t>LB1028.5.S696 2006</t>
  </si>
  <si>
    <t>Mind and Hand : The Birth of MIT</t>
  </si>
  <si>
    <t>Stratton, Julius A.;Mannix, Loretta H.;Gray, Paul E.;Stratton, Catherine</t>
  </si>
  <si>
    <t>T171.M428S77 2005</t>
  </si>
  <si>
    <t>Massachusetts Institute of Technology -- History.</t>
  </si>
  <si>
    <t>Engineering: General; Education; Engineering</t>
  </si>
  <si>
    <t>Imagining MIT : Designing a Campus for the Twenty-First Century</t>
  </si>
  <si>
    <t>Mitchell, William J.</t>
  </si>
  <si>
    <t>T171.M49 -- M58 2007eb</t>
  </si>
  <si>
    <t>Massachusetts Institute of Technology -- Buildings. ; Massachusetts Institute of Technology -- Planning. ; Campus planning -- Massachusetts -- Cambridge.</t>
  </si>
  <si>
    <t>Structures of Scientific Collaboration</t>
  </si>
  <si>
    <t>Shrum, Wesley;Genuth, Joel;Chompalov, Ivan;Bijker, Wiebe E.;Carlson, W. Bernard;Pinch, Trevor</t>
  </si>
  <si>
    <t>Inside Technology Series</t>
  </si>
  <si>
    <t>Q172.5.I5S57 2007</t>
  </si>
  <si>
    <t>Schools and the Equal Opportunity Problem</t>
  </si>
  <si>
    <t>Woessmann, Ludger;Peterson, Paul E.;Fuest, Clemens</t>
  </si>
  <si>
    <t>CESifo Seminar Series</t>
  </si>
  <si>
    <t>LC213.3.E85S36 2007</t>
  </si>
  <si>
    <t>Educational equalization -- Europe -- Congresses. ; Educational equalization -- United States -- Congresses. ; Educational change -- Europe -- Congresses. ; Educational change -- United States -- Congresses. ; Equality -- Europe -- Congresses. ; Equality -- United States -- Congresses.</t>
  </si>
  <si>
    <t>Scholarship in the Digital Age : Information, Infrastructure, and the Internet</t>
  </si>
  <si>
    <t>Borgman, Christine L.</t>
  </si>
  <si>
    <t>Communication in learning and scholarship-Technological innovations. ; Scholarly electronic publishing. ; Information technology. ; Learning and scholarship-Social aspects.</t>
  </si>
  <si>
    <t>101 Things I Learned in Architecture School</t>
  </si>
  <si>
    <t>Frederick, Matthew</t>
  </si>
  <si>
    <t>NA2000.F74 2007</t>
  </si>
  <si>
    <t>Architecture-Study and teaching. ; Architectural design-Study and teaching.</t>
  </si>
  <si>
    <t>Augmented Learning : Research and Design of Mobile Educational Games</t>
  </si>
  <si>
    <t>Klopfer, Eric</t>
  </si>
  <si>
    <t>LB1029.G3K585 2008</t>
  </si>
  <si>
    <t>Educational games -- Data processing. ; Educational games -- Design and construction. ; Simulation games in education -- Design and construction. ; Mobile computing. ; Pocket computers -- Programming.</t>
  </si>
  <si>
    <t>Helping Children Left Behind : State Aid and the Pursuit of Educational Equity</t>
  </si>
  <si>
    <t>Yinger, John</t>
  </si>
  <si>
    <t>LB2825.H38 2004</t>
  </si>
  <si>
    <t>Government aid to education -- United States -- States -- Case studies. ; Educational equalization -- United States -- States -- Case studies.</t>
  </si>
  <si>
    <t>Falling for Science : Objects in Mind</t>
  </si>
  <si>
    <t>Turkle, Sherry;Hockfield, Susan;Ingber, Donald;Kay, Alan;Kuhn, Sarah;Norman, Don;Papert, Seymour A.;Picard, Rosalind W.;Safdie, Moshe;Esserman, Chuck</t>
  </si>
  <si>
    <t>Q181.3.F35 2008</t>
  </si>
  <si>
    <t>Science-Study and teaching-United States. ; Engineering-Study and teaching-United States. ; Technology-Study and teaching-United States.</t>
  </si>
  <si>
    <t>Crisis on Campus : Confronting Academic Misconduct</t>
  </si>
  <si>
    <t>Bradford Books</t>
  </si>
  <si>
    <t>Decoo, Wilfried;Colpaert, Jozef;Colpaert, Jozef</t>
  </si>
  <si>
    <t>A Bradford Book Series</t>
  </si>
  <si>
    <t>LB2344 -- .D43 2002eb</t>
  </si>
  <si>
    <t>College discipline. ; Plagiarism.</t>
  </si>
  <si>
    <t>Stuck in the Shallow End : Education, Race, and Computing</t>
  </si>
  <si>
    <t>Margolis, Jane;Estrella, Rachel;Goode, Joanna;Holme, Jennifer Jellison;Nao, Kim</t>
  </si>
  <si>
    <t>004.071/2</t>
  </si>
  <si>
    <t>Children of minorities-Education (Secondary)-United States. ; Computer science-Study and teaching (Secondary)-United States. ; Digital divide-United States.</t>
  </si>
  <si>
    <t>School Choice International : Exploring Public-Private Partnerships</t>
  </si>
  <si>
    <t>Chakrabarti, Rajashri;Peterson, Paul E.;Woessmann, Ludger;Nechyba, Thomas J.;LaRocque, Norman;Kremer, Michael;Muralidharan, Karthik;Kingdon, Geeta G.;Bettinger, Eric P.;Bellei, Cristian</t>
  </si>
  <si>
    <t>LB1027.9.S333 2009</t>
  </si>
  <si>
    <t>School choice -- Cross-cultural studies. ; Public schools -- Cross-cultural studies. ; Charter schools -- Cross-cultural studies. ; Education and state -- Cross-cultural studies.</t>
  </si>
  <si>
    <t>Off-Track Profs : Nontenured Teachers in Higher Education</t>
  </si>
  <si>
    <t>Goldenberg, Edie N.;Cross, John G.</t>
  </si>
  <si>
    <t>LB2335.7 .C76 2009</t>
  </si>
  <si>
    <t>College teachers-Tenure-United States. ; College teachers-Employment-United States.</t>
  </si>
  <si>
    <t>Streetlights and Shadows : Searching for the Keys to Adaptive Decision Making</t>
  </si>
  <si>
    <t>Klein, Gary A.</t>
  </si>
  <si>
    <t>BF448.K54 2009</t>
  </si>
  <si>
    <t>Engineering Play : A Cultural History of Children's Software</t>
  </si>
  <si>
    <t>Ito, Mizuko</t>
  </si>
  <si>
    <t>The John D. and Catherine T. MacArthur Foundation Series on Digital Media and Learning Series</t>
  </si>
  <si>
    <t>QA76.76.C54I86 2009</t>
  </si>
  <si>
    <t>Children''s software -- Development -- United States -- History. ; Computer-assisted instruction -- United States. ; Computers and children -- United States. ; Entertainment computing -- United States.</t>
  </si>
  <si>
    <t>Computer Science/IT; Fine Arts</t>
  </si>
  <si>
    <t>Instruction and Technology : Designs for Everyday Learning</t>
  </si>
  <si>
    <t>Mehlenbacher, Brad</t>
  </si>
  <si>
    <t>LB1044.87 -- .M44 2010eb</t>
  </si>
  <si>
    <t>Education - Computer network resources</t>
  </si>
  <si>
    <t>Nightwork : A History of Hacks and Pranks at MIT</t>
  </si>
  <si>
    <t>Peterson, Institute Historian T. F.;Bender, Eric;Bender, Eric</t>
  </si>
  <si>
    <t>T171.M49 -- P48 2011eb</t>
  </si>
  <si>
    <t>Massachusetts Institute of Technology -- History. ; Student activities -- Massachusetts -- Cambridge -- History. ; College students -- Massachusetts -- Cambridge -- Humor. ; College wit and humor.</t>
  </si>
  <si>
    <t>A Widening Sphere : Evolving Cultures at MIT</t>
  </si>
  <si>
    <t>Alexander, Philip N.</t>
  </si>
  <si>
    <t>6071/17444</t>
  </si>
  <si>
    <t>Massachusetts Institute of Technology -- Biography. ; Cambridge (Mass.) -- Intellectual life.</t>
  </si>
  <si>
    <t>Education; Engineering: General</t>
  </si>
  <si>
    <t>Abelard to Apple : The Fate of American Colleges and Universities</t>
  </si>
  <si>
    <t>Demillo, Richard A.</t>
  </si>
  <si>
    <t>Universities and colleges -- United States. ; Education, Higher -- Aims and objectives -- United States. ; Educational change -- United States.</t>
  </si>
  <si>
    <t>101 Things to Learn in Art School</t>
  </si>
  <si>
    <t>White, Kit</t>
  </si>
  <si>
    <t>N325 -- .W49 2011eb</t>
  </si>
  <si>
    <t>The More We Know : NBC News, Educational Innovation, and Learning from Failure</t>
  </si>
  <si>
    <t>Klopfer, Eric;Haas, Jason;Jenkins, Henry</t>
  </si>
  <si>
    <t>Digital media-Social aspects. ; Education in mass media-Forecasting. ; Science-Study and teaching-Technological innovations.</t>
  </si>
  <si>
    <t>Virtual Knowledge : Experimenting in the Humanities and the Social Sciences</t>
  </si>
  <si>
    <t>Antonijevic, Smiljana;Wouters, Paul;Beaulieu, Anne;Scharnhorst, Andrea;Wyatt, Sally;Rijcke, Sarah de;Heur, Bas van;Dormans, Stefan;Kouw, Matthijs;Heuvel, Charles van den</t>
  </si>
  <si>
    <t>AZ195 -- .V57 2012eb</t>
  </si>
  <si>
    <t>Communication in learning and scholarship -- Technological innovations. ; Humanities -- Information technology. ; Social sciences -- Information technology. ; Humanities -- Research. ; Social sciences -- Research. ; Internet research. ; Information visualization.</t>
  </si>
  <si>
    <t>Becoming MIT : Moments of Decision</t>
  </si>
  <si>
    <t>Kaiser, David;Smith, Merritt Roe;Sinclair, Bruce;Lécuyer, Christophe;Douglas, Deborah G.;Leslie, Stuart W.;Durant, John;Bailyn, Lotte;Hopkins, Nancy;Hockfield, Susan</t>
  </si>
  <si>
    <t>T171.M428 B43 2010</t>
  </si>
  <si>
    <t>Massachusetts Institute of Technology-History. ; Universities and colleges-Massachusetts-History.</t>
  </si>
  <si>
    <t>Giving Kids a Fair Chance</t>
  </si>
  <si>
    <t>Heckman, James J.</t>
  </si>
  <si>
    <t>Boston Review Bks.</t>
  </si>
  <si>
    <t>Children with social disabilities -- Education (Early childhood) -- United States. ; Educational equalization -- United States. ; United States -- Social policy.</t>
  </si>
  <si>
    <t>Connected Play : Tweens in a Virtual World</t>
  </si>
  <si>
    <t>Kafai, Yasmin B.;Fields, Deborah A.;Ito, Mizuko</t>
  </si>
  <si>
    <t>Whyville. ; Education -- Simulation methods. ; Shared virtual environments. ; Educational games. ; Preteens -- Recreation.</t>
  </si>
  <si>
    <t>The Nine Elements of a Sustainable Campus</t>
  </si>
  <si>
    <t>Thomashow, Mitchell;Cortese, Anthony</t>
  </si>
  <si>
    <t>The War on Learning : Gaining Ground in the Digital University</t>
  </si>
  <si>
    <t>Losh, Elizabeth</t>
  </si>
  <si>
    <t>Education, Higher -- Effect of technological innovations on. ; Education, Higher -- Computer network resources. ; Teacher-student relationships. ; Internet in education.</t>
  </si>
  <si>
    <t>How to Write a Thesis</t>
  </si>
  <si>
    <t>Eco, Umberto;Farina, Caterina Mongiat;Farina, Geoff;Erspamer, Francesco</t>
  </si>
  <si>
    <t>Enhancing Undergraduate Learning with Information Technology : A Workshop Summary</t>
  </si>
  <si>
    <t>National Academies Press</t>
  </si>
  <si>
    <t>Washington, D.C.</t>
  </si>
  <si>
    <t>Hilton, Margaret</t>
  </si>
  <si>
    <t>LB1028.43.E54 2002</t>
  </si>
  <si>
    <t>Education, Higher-Effect of technological innovations on-United States-Congresses. ; Education, Higher-United States-Data processing-Congresses. ; Information technology-United States-Congresses.</t>
  </si>
  <si>
    <t>Scientific Research in Education</t>
  </si>
  <si>
    <t>Towne, Lisa;Shavelson, Richard J.</t>
  </si>
  <si>
    <t>LB1028.N332 2002</t>
  </si>
  <si>
    <t>Education-Research-Methodology. ; Inquiry (Theory of knowledge)</t>
  </si>
  <si>
    <t>Minority Students in Special and Gifted Education</t>
  </si>
  <si>
    <t>Cross, Christopher T.;Donovan, M. Suzanne</t>
  </si>
  <si>
    <t>LC3981.N355 2002</t>
  </si>
  <si>
    <t>Special education-Government policy-United States. ; Minorities-Education-Government policy-United States. ; Educational equalization-Government policy-United States.</t>
  </si>
  <si>
    <t>Methodological Advances in Cross-National Surveys of Educational Achievement</t>
  </si>
  <si>
    <t>Gamoran, Adam;Porter, Andrew C.</t>
  </si>
  <si>
    <t>LB1028.M419 2002</t>
  </si>
  <si>
    <t>Education-Research-Methodology-Congresses. ; Academic achievement-Congresses. ; Comparative education-Congresses.</t>
  </si>
  <si>
    <t>Learning and Understanding : Improving Advanced Study of Mathematics and Science in U. S. High Schools</t>
  </si>
  <si>
    <t>Curtis, Philip C.;Labov, Jay B.;Bertenthal, Meryl W.;Gollub, Jerry P.</t>
  </si>
  <si>
    <t>QA13.L38 2002</t>
  </si>
  <si>
    <t>507.1/073</t>
  </si>
  <si>
    <t>Mathematics -- Study and teaching (Secondary) -- United States. ; Science -- Study and teaching (Secondary) -- United States. ; Advanced placement programs (Education)</t>
  </si>
  <si>
    <t>Mathematics; Science: General</t>
  </si>
  <si>
    <t>Achieving High Educational Standards for All : Conference Summary</t>
  </si>
  <si>
    <t>Snow, Catherine E.;Edley, Christopher;Ready, Timothy</t>
  </si>
  <si>
    <t>LC3731.N355 2002eb</t>
  </si>
  <si>
    <t>Minorities-Education-United States-Congresses. ; Educational equalization-United States-Congresses.</t>
  </si>
  <si>
    <t>Studying Classroom Teaching As a Medium for Professional Development : Proceedings of a U. S. -Japan Workshop</t>
  </si>
  <si>
    <t>Burrill, Gail;Usiskin, Zalman P.;Bass, Hyman</t>
  </si>
  <si>
    <t>QA135.6.S78 2002</t>
  </si>
  <si>
    <t>372.7/0952</t>
  </si>
  <si>
    <t>Mathematics-Study and teaching (Elementary)-Japan-Congresses. ; Mathematics-Study and teaching (Elementary)-United States-Congresses.</t>
  </si>
  <si>
    <t>Knowing What Students Know : The Science and Design of Educational Assessment</t>
  </si>
  <si>
    <t>Glaser, Robert;Chudowsky, Naomi;Pellegrino, James W.</t>
  </si>
  <si>
    <t>LB3051.K59 2001eb</t>
  </si>
  <si>
    <t>Educational tests and measurements-United States-Design and construction. ; Cognitive learning theory.</t>
  </si>
  <si>
    <t>Testing Teacher Candidates : The Role of Licensure Tests in Improving Teacher Quality</t>
  </si>
  <si>
    <t>Knowles, Kaeli T.;Plake, Barbara S.;Robinson, David Z.;Mitchell, Karen J.</t>
  </si>
  <si>
    <t>LB1762.N37 2001</t>
  </si>
  <si>
    <t>Teaching-United States-Examinations. ; Teachers-Certification-United States.</t>
  </si>
  <si>
    <t>The Knowledge Economy and Postsecondary Education : Report of a Workshop</t>
  </si>
  <si>
    <t>Stacey, Nevzer G.;Graham, Patricia Albjerg</t>
  </si>
  <si>
    <t>LC67.62.K66 2002</t>
  </si>
  <si>
    <t>Education, Higher-Economic aspects-United States.</t>
  </si>
  <si>
    <t>Educating Children with Autism</t>
  </si>
  <si>
    <t>McGee, James P.;Lord, Catherine</t>
  </si>
  <si>
    <t>LC4718.E39 2001eb</t>
  </si>
  <si>
    <t>Autistic children-Education (Early childhood)-United States. ; Autism in children-United States.</t>
  </si>
  <si>
    <t>Reporting Test Results for Students with Disabilities and English-Language Learners : Summary of a Workshop</t>
  </si>
  <si>
    <t>Koenig, Judith Anderson</t>
  </si>
  <si>
    <t>LB3060.8.R46 2002eb</t>
  </si>
  <si>
    <t>Examinations-Interpretation. ; Students with disabilities. ; English language-Study and teaching-Foreign speakers.</t>
  </si>
  <si>
    <t>Overcoming Barriers to Collaborative Research : Report of a Workshop</t>
  </si>
  <si>
    <t>T176.G68 1999</t>
  </si>
  <si>
    <t>Research-United States-Congresses. ; Research, Industrial-United States-Congresses. ; Research and development contracts-United States-Congresses. ; Science and industry-United States-Congresses. ; Universities and colleges-Research-United States-Congresses.</t>
  </si>
  <si>
    <t>Engineering: General; Engineering; General Works/Reference</t>
  </si>
  <si>
    <t>Improving Learning with Information Technology : Report of a Workshop</t>
  </si>
  <si>
    <t>Pritchard, Gail E.</t>
  </si>
  <si>
    <t>LB1028.43.I52 2002eb</t>
  </si>
  <si>
    <t>Education-United States-Data processing-Congresses. ; Information technology-Congresses. ; Educational technology-United States-Evaluation-Congresses. ; Action research in education-Congresses.</t>
  </si>
  <si>
    <t>Global Perspectives for Local Action : Using TIMSS to Improve U. S. Mathematics and Science Education, Professional Development Guide</t>
  </si>
  <si>
    <t>QA13.G56 1999eb</t>
  </si>
  <si>
    <t>Third International Mathematics and Science Study. ; Mathematics-Study and teaching-United States. ; Science-Study and teaching-United States.</t>
  </si>
  <si>
    <t>Attracting Phds to K-12 Education : A Demonstration Program for Science, Mathematics, and Technology</t>
  </si>
  <si>
    <t>Q183.3.A1.A88 2002eb</t>
  </si>
  <si>
    <t>Science teachers-Supply and demand-United States. ; Mathematics teachers-Supply and demand-United States. ; High school teachers-Supply and demand-United States. ; Doctor of philosophy degree.</t>
  </si>
  <si>
    <t>Eager to Learn : Educating Our Preschoolers</t>
  </si>
  <si>
    <t>Burns, M. Susan;Donovan, M. Suzanne;Bowman, Barbara T.</t>
  </si>
  <si>
    <t>LB1140.23 .N38 2001</t>
  </si>
  <si>
    <t>Education, Preschool-United States. ; Learning-Social aspects-United States.</t>
  </si>
  <si>
    <t>Performance Assessments for Adult Education : Exploring the Measurement Issues: Report of a Workshop</t>
  </si>
  <si>
    <t>Knowles, Kaeli T.;Mislevy, Robert J.</t>
  </si>
  <si>
    <t>LC5225.A75.P47 2002</t>
  </si>
  <si>
    <t>Adult education-Evaluation-United States. ; Educational tests and measurements-United States. ; Educational evaluation-United States.</t>
  </si>
  <si>
    <t>Evaluation of the Voluntary National Tests, Year 2 : Final Report</t>
  </si>
  <si>
    <t>Koenig, Judith A.;Noeth, Richard J.;Wise, Lauress L.</t>
  </si>
  <si>
    <t>LB3060.83.N29 1999</t>
  </si>
  <si>
    <t>372.126/0973</t>
  </si>
  <si>
    <t>Educational tests and measurements-United States. ; Reading (Elementary)-Ability testing-United States. ; Mathematical ability-Testing.</t>
  </si>
  <si>
    <t>Grading the Nation's Report Card : Research from the Evaluation of NAEP</t>
  </si>
  <si>
    <t>Jones, Lee R.;Mitchell, Karen J.;Bertenthal, Meryl W.;Pellegrino, James W.;Raju, Nambury S.</t>
  </si>
  <si>
    <t>LB3051.G66688 2000eb</t>
  </si>
  <si>
    <t>National Assessment of Educational Progress (Project)-Evaluation. ; Educational tests and measurements-United States.</t>
  </si>
  <si>
    <t>Tests and Teaching Quality : Interim Report</t>
  </si>
  <si>
    <t>LB1762.N38 2000eb</t>
  </si>
  <si>
    <t>Helping Children Learn Mathematics</t>
  </si>
  <si>
    <t>Swafford, Jane;Kilpatrick, Jeremy</t>
  </si>
  <si>
    <t>QA13.H45 2002eb</t>
  </si>
  <si>
    <t>Mathematics-Study and teaching-United States.</t>
  </si>
  <si>
    <t>Preparing for the Revolution : Information Technology and the Future of the Research University</t>
  </si>
  <si>
    <t>LB1028.26.N37 2002</t>
  </si>
  <si>
    <t>Information technology-United States. ; Universities and colleges-United States. ; Forecasting-United States.</t>
  </si>
  <si>
    <t>Reporting District-Level NAEP Data : Summary of a Workshop</t>
  </si>
  <si>
    <t>Koenig, Judith A.;DeVito, Pasquale J.</t>
  </si>
  <si>
    <t>LB3051.R369 2000</t>
  </si>
  <si>
    <t>National Assessment of Educational Progress (Project)-Congresses. ; Educational tests and measurements-United States-Congresses. ; School districts-United States-Evaluation-Congresses.</t>
  </si>
  <si>
    <t>Understanding Dropouts : Statistics, Strategies, and High-Stakes Testing</t>
  </si>
  <si>
    <t>Heubert, Jay P.;Trent, William T.;Neisser, Ulric;Beatty, Alexandra</t>
  </si>
  <si>
    <t>LC143.N378 2001</t>
  </si>
  <si>
    <t>Adding It Up : Helping Children Learn Mathematics</t>
  </si>
  <si>
    <t>Findell, Bradford;Swafford, Jane;Kilpatrick, Jeremy</t>
  </si>
  <si>
    <t>QA135.5 .A32 2001</t>
  </si>
  <si>
    <t>Mathematics-Study and teaching (Elementary)-United States. ; Mathematics-Study and teaching (Middle school)-United States.</t>
  </si>
  <si>
    <t>Educating Teachers of Science, Mathematics, and Technology : New Practices for the New Millennium</t>
  </si>
  <si>
    <t>Q183.3.A1 E39 2001</t>
  </si>
  <si>
    <t>Science teachers-Training of-United States. ; Mathematics teachers-Training of-United States. ; Engineering teachers-Training of-United States.</t>
  </si>
  <si>
    <t>From Neurons to Neighborhoods : The Science of Early Childhood Development</t>
  </si>
  <si>
    <t>Phillips, Deborah A.;Shonkoff, Jack P.</t>
  </si>
  <si>
    <t>HQ767.9.F76 2000eb</t>
  </si>
  <si>
    <t>Child development-United States. ; Preschool children-United States. ; Preschool children-Services for-United States. ; Nature and nurture-United States. ; Early childhood education-United States.</t>
  </si>
  <si>
    <t>Enhancing the Postdoctoral Experience for Scientists and Engineers : A Guide for Postdoctoral Scholars, Advisers, Institutions, Funding Organizations, and Disciplinary Societies</t>
  </si>
  <si>
    <t>Q183.3.A1 E54 2000</t>
  </si>
  <si>
    <t>Science-Study and teaching (Graduate)-United States. ; Engineering-Study and teaching (Graduate)-United States. ; Graduate students in science-United States. ; Graduate students in engineering-United States.</t>
  </si>
  <si>
    <t>Integrating Research and Education : Biocomplexity Investigators Explore the Possibilities: Summary of a Workshop</t>
  </si>
  <si>
    <t>Avila, Bridget K. B.</t>
  </si>
  <si>
    <t>QH45.2.A95 2003</t>
  </si>
  <si>
    <t>Environmental sciences-Research-United States. ; Environmental policy-United States.</t>
  </si>
  <si>
    <t>Classroom Assessment and the National Science Education Standards</t>
  </si>
  <si>
    <t>Coffey, Janet;Black, Paul;Atkin, J. Myron</t>
  </si>
  <si>
    <t>LB1585.3 .C54 2001</t>
  </si>
  <si>
    <t>Science-Ability testing-United States. ; Science-Study and teaching-United States-Evaluation. ; Science-Study and teaching-Standards-United States.</t>
  </si>
  <si>
    <t>Science, Evidence, and Inference in Education : Report of a Workshop</t>
  </si>
  <si>
    <t>Feuer, Michael J.;Shavelson, Richard J.;Towne, Lisa</t>
  </si>
  <si>
    <t>Q183.3.A1 S3545 2001</t>
  </si>
  <si>
    <t>Science-Study and teaching-United States-Congresses. ; Science.</t>
  </si>
  <si>
    <t>The Power of Video Technology in International Comparative Research in Education</t>
  </si>
  <si>
    <t>Beatty, Alexandra;Ulewicz, Monica</t>
  </si>
  <si>
    <t>LB1044.75.P69 2001</t>
  </si>
  <si>
    <t>Graduate Education in the Chemical Sciences : Issues for the 21st Century: Report of a Workshop</t>
  </si>
  <si>
    <t>QD47.G73 2000eb</t>
  </si>
  <si>
    <t>540/.71/173</t>
  </si>
  <si>
    <t>Chemistry-Study and teaching (Graduate)-United States-Congresses.</t>
  </si>
  <si>
    <t>How People Learn : Brain, Mind, Experience, and School: Expanded Edition</t>
  </si>
  <si>
    <t>LB1060 .H672 2000</t>
  </si>
  <si>
    <t>Learning, Psychology of. ; Learning-Social aspects.</t>
  </si>
  <si>
    <t>Deadly Lessons : Understanding Lethal School Violence</t>
  </si>
  <si>
    <t>McLaughlin, Brenda L.;Braga, Anthony A.;Petrie, Carol V.;Moore, Mark H.</t>
  </si>
  <si>
    <t>LB3013.32.D43 2003</t>
  </si>
  <si>
    <t>371.7/82/0973</t>
  </si>
  <si>
    <t>What Is the Influence of the National Science Education Standards? : Reviewing the Evidence, a Workshop Summary</t>
  </si>
  <si>
    <t>Hill, David;Hollweg, Karen S.</t>
  </si>
  <si>
    <t>Q183.3.A1H65 2003</t>
  </si>
  <si>
    <t>What is the influence of the National Science Education Standards?-(2002 :-Washington, D.C.) ; Science-Study and teaching-Standards-United States.</t>
  </si>
  <si>
    <t>Designing a Market Basket for NAEP : Summary of a Workshop</t>
  </si>
  <si>
    <t>LB3051.D445 2000</t>
  </si>
  <si>
    <t>National Assessment of Educational Progress (Project)-Congresses. ; Education-United States-Evaluation-Congresses. ; Educational tests and measurements-United States-Congresses.</t>
  </si>
  <si>
    <t>Preventing Reading Difficulties in Young Children</t>
  </si>
  <si>
    <t>Griffin, Peg;Burns, M. Susan;Snow, Catherine E.</t>
  </si>
  <si>
    <t>LB1525.76 .C66 1998</t>
  </si>
  <si>
    <t>Reading (Primary)-United States. ; Reading disability-United States. ; Reading-Remedial teaching-United States. ; Reading comprehension-United States. ; Word recognition.</t>
  </si>
  <si>
    <t>Equity and Adequacy in Education Finance : Issues and Perspectives</t>
  </si>
  <si>
    <t>Hansen, Janet S.;Chalk, Rosemary;Ladd, Helen F.</t>
  </si>
  <si>
    <t>LB2825 .E68 1999</t>
  </si>
  <si>
    <t>379.1/1/0973</t>
  </si>
  <si>
    <t>Education-United States-Finance. ; Educational equalization-United States.</t>
  </si>
  <si>
    <t>Small-Area Estimates of School-Age Children in Poverty : Interim Report 3</t>
  </si>
  <si>
    <t>Kalton, Graham;Citro, Constance F.</t>
  </si>
  <si>
    <t>High School Mathematics at Work : Essays and Examples for the Education of All Students</t>
  </si>
  <si>
    <t>QA13 .H54 1998</t>
  </si>
  <si>
    <t>Mathematics-Study and teaching (Secondary)-United States.</t>
  </si>
  <si>
    <t>Testing, Teaching, and Learning : A Guide for States and School Districts</t>
  </si>
  <si>
    <t>Rothman, Robert;Elmore, Richard F.</t>
  </si>
  <si>
    <t>LC3981 .N36 1999</t>
  </si>
  <si>
    <t>Special education-Standards-United States. ; Compensatory education-Standards-United States. ; Special education-Government policy-United States. ; Compensatory education-Government policy-United States.</t>
  </si>
  <si>
    <t>High Stakes : Testing for Tracking, Promotion, and Graduation</t>
  </si>
  <si>
    <t>Hauser, Robert M.;Heubert, Jay P.</t>
  </si>
  <si>
    <t>LB3051 .H475 1999</t>
  </si>
  <si>
    <t>Educational tests and measurements-United States. ; Educational accountability-United States. ; Education and state-United States.</t>
  </si>
  <si>
    <t>Global Perspectives for Local Action : Using TIMSS to Improve U. S. Mathematics and Science Education</t>
  </si>
  <si>
    <t>QA13 -- .G56 1999eb</t>
  </si>
  <si>
    <t>Educating Language-Minority Children</t>
  </si>
  <si>
    <t>Hakuta, Kenji;August, Diane</t>
  </si>
  <si>
    <t>LC3731 .E373 1998</t>
  </si>
  <si>
    <t>370.117/5/0973</t>
  </si>
  <si>
    <t>Linguistic minorities-Education-United States-Evaluation. ; Education, Bilingual-United States-Evaluation. ; English language-Study and teaching-United States-Evaluation. ; Second language acquisition.</t>
  </si>
  <si>
    <t>From Analysis to Action : Undergraduate Education in Science, Mathematics, Engineering, and Technology</t>
  </si>
  <si>
    <t>Center for Science</t>
  </si>
  <si>
    <t>Q181.F76 1996</t>
  </si>
  <si>
    <t>Science -- Study and teaching. ; Mathematics -- Study and teaching. ; Engineering -- Study and teaching. ; Technology -- Study and teaching.</t>
  </si>
  <si>
    <t>Grading the Nation's Report Card : Evaluating NAEP and Transforming the Assessment of Educational Progress</t>
  </si>
  <si>
    <t>Mitchell, Karen J.;Jones, Lee R.;Pellegrino, James W.</t>
  </si>
  <si>
    <t>Inquiry and the National Science Education Standards : A Guide for Teaching and Learning</t>
  </si>
  <si>
    <t>Starting Out Right : A Guide to Promoting Children's Reading Success</t>
  </si>
  <si>
    <t>Snow, Catherine E.;Griffin, Peg;Burns, M. Susan</t>
  </si>
  <si>
    <t>The Assessment of Science Meets the Science of Assessment : Summary of a Workshop</t>
  </si>
  <si>
    <t>Next Steps for TIMSS : Directions for Secondary Analysis</t>
  </si>
  <si>
    <t>Ramirez, Francisco O.;Paine, Lynn W.;Beatty, Alexandra</t>
  </si>
  <si>
    <t>QA13 -- .N5 1999eb</t>
  </si>
  <si>
    <t>Adolescent Decision Making : Implications for Prevention Programs: Summary of a Workshop</t>
  </si>
  <si>
    <t>Kipke, Michele;Crowell, Nancy A.;Fischhoff, Baruch</t>
  </si>
  <si>
    <t>BF724.3.D47 A36 1999</t>
  </si>
  <si>
    <t>Decision making in adolescence-United States-Congresses. ; Risk-taking (Psychology) in adolescence-United States-Prevention-Congresses.</t>
  </si>
  <si>
    <t>How People Learn : Bridging Research and Practice</t>
  </si>
  <si>
    <t>Pellegrino, James W.;Bransford, John D.;Donovan, M. Suzanne</t>
  </si>
  <si>
    <t>LB1060 .N39 1999</t>
  </si>
  <si>
    <t>Learning-Research. ; Learning, Psychology of. ; Learning-Social aspects.</t>
  </si>
  <si>
    <t>Making Money Matter : Financing America's Schools</t>
  </si>
  <si>
    <t>Hansen, Janet S.;Ladd, Helen F.</t>
  </si>
  <si>
    <t>LB2825 .M13 1999</t>
  </si>
  <si>
    <t>Education-United States-Finance. ; Educational productivity-United States. ; Educational equalization-United States. ; Educational change-United States.</t>
  </si>
  <si>
    <t>Myths and Tradeoffs : The Role of Tests in Undergraduate Admissions</t>
  </si>
  <si>
    <t>Linn, Robert L.;Greenwood, M. R. C.;Beatty, Alexandra</t>
  </si>
  <si>
    <t>LB2353.2 -- .N28 1999eb</t>
  </si>
  <si>
    <t>Universities and colleges -- United States -- Entrance examinations. ; Universities and colleges -- United States -- Admission. ; Educational tests and measurements -- United States. ; SAT (Educational test) ; ACT Assessment.</t>
  </si>
  <si>
    <t>How People Learn : Brain, Mind, Experience, and School</t>
  </si>
  <si>
    <t>Bransford, John D.;Brown, Ann L.;Cocking, Rodney R.</t>
  </si>
  <si>
    <t>LB1060 -- .H672 1999eb</t>
  </si>
  <si>
    <t>Learning, Psychology of. ; Learning -- Social aspects.</t>
  </si>
  <si>
    <t>Uncommon Measures : Equivalence and Linkage among Educational Tests</t>
  </si>
  <si>
    <t>Hemphill, F. Cadell;Bertenthal, Meryl W.;Green, Bert F.;Holland, Paul W.;Feuer, Michael J.</t>
  </si>
  <si>
    <t>LB3060.8 .U53 1999</t>
  </si>
  <si>
    <t>National Assessment of Educational Progress (Project) ; Educational tests and measurements-United States-Interpretation.</t>
  </si>
  <si>
    <t>Evaluating Federal Research Programs : Research and the Government Performance and Results Act</t>
  </si>
  <si>
    <t>Q180.55.E9 -- E915 1999eb</t>
  </si>
  <si>
    <t>United States. -- Government Performance and Results Act of 1993. ; Research -- United States -- Evaluation. ; Engineering -- Research -- United States -- Evaluation. ; Administrative agencies -- United States -- Management -- Evaluation.</t>
  </si>
  <si>
    <t>Selecting Instructional Materials : A Guide for K-12 Science</t>
  </si>
  <si>
    <t>Tuomi, Jan;Singer, Maxine</t>
  </si>
  <si>
    <t>LB1585.3 .C45 1999</t>
  </si>
  <si>
    <t>Science-Study and teaching-United States-Aids and devices. ; Science-Study and teaching-Aids and devices-Purchasing-United States.</t>
  </si>
  <si>
    <t>Designing Mathematics or Science Curriculum Programs : A Guide for Using Mathematics and Science Education Standards</t>
  </si>
  <si>
    <t>Q183.3.A1 D465 1999</t>
  </si>
  <si>
    <t>Science-Study and teaching-United States. ; Mathematics-Study and teaching-United States. ; Education-Standards-United States. ; Curriculum planning-United States.</t>
  </si>
  <si>
    <t>Transitions in Work and Learning : Implications for Assessment</t>
  </si>
  <si>
    <t>Black, Allison M.;Feuer, Michael J.;Lesgold, Alan</t>
  </si>
  <si>
    <t>LC1048.V63 -- .T73 1997eb</t>
  </si>
  <si>
    <t>Vocational evaluation -- United States. ; School-to-work transition -- United States. ; Vocational education -- United States. ; Occupational training -- United States. ; Labor market -- United States.</t>
  </si>
  <si>
    <t>Agriculture's Role in K-12 Education : Proceedings of a Forum on the National Science Education Standards</t>
  </si>
  <si>
    <t>LB1585.3 .F67 1998</t>
  </si>
  <si>
    <t>Science-Study and teaching (Elementary)-Standards-United States-Congresses. ; Science-Study and teaching (Secondary)-Standards-United States-Congresses.</t>
  </si>
  <si>
    <t>The Nature and Role of Algebra in the K-14 Curriculum : Proceedings of a National Symposium</t>
  </si>
  <si>
    <t>QA159 .N38 1998</t>
  </si>
  <si>
    <t>Algebra-Study and teaching-United States-Congresses.</t>
  </si>
  <si>
    <t>Critical Perspectives on Schooling and Fertility in the Developing World</t>
  </si>
  <si>
    <t>Haaga, John G.;Johnson-Kuhn, Jennifer A.;Casterline, John B.;Bledsoe, Caroline H.</t>
  </si>
  <si>
    <t>363.9/6/07101724</t>
  </si>
  <si>
    <t>Improving America's Schools : The Role of Incentives</t>
  </si>
  <si>
    <t>Hanushek, Eric A.;National Research Council Staff;Jorgenson, Dale</t>
  </si>
  <si>
    <t>LB2805 -- .I434 1996eb</t>
  </si>
  <si>
    <t>School management and organization -- United States. ; Educational change -- United States. ; School improvement programs -- United States.</t>
  </si>
  <si>
    <t>Equivalency and Linkage of Educational Tests : Interim Report</t>
  </si>
  <si>
    <t>Green, Bert F.;Hemphill, F. Cadelle;Bertenthal, Meryl W.;Holland, Paul W.;Feuer, Michael J.</t>
  </si>
  <si>
    <t>LB3060.83 -- .N28 1998eb</t>
  </si>
  <si>
    <t>National Assessment of Educational Progress (Project) ; Educational tests and measurements -- United States -- Interpretation.</t>
  </si>
  <si>
    <t>Taking Flight : Education and Training for Aviation Careers</t>
  </si>
  <si>
    <t>Oster, Clinton V.;Hansen, Janet S.</t>
  </si>
  <si>
    <t>TL561 .T35 1997</t>
  </si>
  <si>
    <t>629.13/0023</t>
  </si>
  <si>
    <t>Aeronautics-Vocational guidance.</t>
  </si>
  <si>
    <t>Engineering; Engineering: Mechanical; Engineering: General</t>
  </si>
  <si>
    <t>Improving Schooling for Language-Minority Children : A Research Agenda</t>
  </si>
  <si>
    <t>Science Teaching Reconsidered : A Handbook</t>
  </si>
  <si>
    <t>Q181.S3822 1997eb</t>
  </si>
  <si>
    <t>Science-Study and teaching (Higher)-Handbooks, manuals, etc.</t>
  </si>
  <si>
    <t>Evaluation of the Voluntary National Tests : Phase 1</t>
  </si>
  <si>
    <t>Feuer, Michael J.;Mitchell, Karen J.;Hauser, Robert M.;Wise, Lauress L.</t>
  </si>
  <si>
    <t>LB3060.83 .E93 1999</t>
  </si>
  <si>
    <t>Educational tests and measurements-United States-Planning. ; Reading (Elementary)-Ability testing-United States. ; Mathematical ability-Testing.</t>
  </si>
  <si>
    <t>Careers in Science and Engineering : A Student Planning Guide to Grad School and Beyond</t>
  </si>
  <si>
    <t>TA157 .C284 1996</t>
  </si>
  <si>
    <t>500/.23/73</t>
  </si>
  <si>
    <t>Engineering-Vocational guidance. ; Science-Vocational guidance.</t>
  </si>
  <si>
    <t>Engineering; Engineering: Civil; Science: General</t>
  </si>
  <si>
    <t>Assessment in Support of Instruction and Learning : Bridging the Gap Between Large-Scale and Classroom Assessment: Workshop Report</t>
  </si>
  <si>
    <t>LB2822.75.A87 2003</t>
  </si>
  <si>
    <t>Educational evaluation--United States. ; Education--United States--Evaluation. ; Science--Study and teaching--United States. ; Educational tests and measurements--United States. ; Academic achievement--United States--Testing.</t>
  </si>
  <si>
    <t>Improving Undergraduate Instruction in Science, Technology, Engineering, and Mathematics : Report of a Workshop</t>
  </si>
  <si>
    <t>Schuck, Julie Anne;DeHaan, Robert L.;McCray, Richard A.</t>
  </si>
  <si>
    <t>Q183.3.A1I493 2003</t>
  </si>
  <si>
    <t>Science-Study and teaching (Higher)-United States-Evaluation-Congresses. ; Technical education-United States-Evaluation-Congresses. ; Engineering-Study and teaching (Higher)-United States-Evaluation-Congresses. ; Mathematics-Study and teaching (Higher)-United States-Evaluation-Congresses.</t>
  </si>
  <si>
    <t>Planning for Two Transformations in Education and Learning Technology : Report of a Workshop</t>
  </si>
  <si>
    <t>Darling, Martha A.;Elliott, Stuart W.;Wulf, William A.;Pea, Roy</t>
  </si>
  <si>
    <t>LB1028.43.P59 2003</t>
  </si>
  <si>
    <t>Education--United States--Data processing--Congresses. ; Information technology--United States--Congresses. ; Education--Effect of technological innovations on--United States--Congresses.</t>
  </si>
  <si>
    <t>Information Technology (IT)-Based Educational Materials : Workshop Report with Recommendations</t>
  </si>
  <si>
    <t>LB1028.43 .I65 2003</t>
  </si>
  <si>
    <t>Strategic Education Research Partnership</t>
  </si>
  <si>
    <t>Snow, C. E.;Wigdor, A. K.;Donovan, M. S.</t>
  </si>
  <si>
    <t>LB1028.25.U6N37 2003</t>
  </si>
  <si>
    <t>Assessing Research-Doctorate Programs : A Methodology Study</t>
  </si>
  <si>
    <t>Voytuk, James A.;Kuh, Charlotte V.;Ostriker, Jeremiah P.</t>
  </si>
  <si>
    <t>Q180.U5A87 2003</t>
  </si>
  <si>
    <t>507/.2/073</t>
  </si>
  <si>
    <t>Learning and Instruction : A SERP Research Agenda</t>
  </si>
  <si>
    <t>Pellegrino, James W.;Donovan, M. Suzanne</t>
  </si>
  <si>
    <t>LB1028.25.U6N39 2004</t>
  </si>
  <si>
    <t>Education--Research--United States. ; Reading--United States. ; Mathematics--Study and teaching--United States. ; Science--Study and teaching--United States.</t>
  </si>
  <si>
    <t>Engaging Schools : Fostering High School Students' Motivation to Learn</t>
  </si>
  <si>
    <t>LB1607.5.N39 2004</t>
  </si>
  <si>
    <t>373.12/00973</t>
  </si>
  <si>
    <t>High school teaching--United States. ; School management and organization--United States. ; Motivation in education.</t>
  </si>
  <si>
    <t>Embedding Questions : The Pursuit of a Common Measure in Uncommon Tests</t>
  </si>
  <si>
    <t>Green, Bert F.;Bertenthal, Meryl W.;Koretz, Daniel M.</t>
  </si>
  <si>
    <t>LB3051.N319 1999</t>
  </si>
  <si>
    <t>Education and Delinquency : Summary of a Workshop</t>
  </si>
  <si>
    <t>Crowell, Nancy A.;Bamba, Melissa I.;Widom, Cathy Spatz;McCord, Joan</t>
  </si>
  <si>
    <t>HV9104.E42 2000</t>
  </si>
  <si>
    <t>NAEP Reporting Practices : Investigating District-Level and Market-Basket Reporting</t>
  </si>
  <si>
    <t>LB3060.83.N287 2001</t>
  </si>
  <si>
    <t>Early Childhood Intervention : Views from the Field: Report of a Workshop</t>
  </si>
  <si>
    <t>Keilty, Bonnie;Phillips, Deborah A.;Shonkoff, Jack P.</t>
  </si>
  <si>
    <t>HQ778.63.E37 2000</t>
  </si>
  <si>
    <t>Evolution in Hawaii : A Supplement to 'Teaching about Evolution and the Nature of Science'</t>
  </si>
  <si>
    <t>Olson, Steve</t>
  </si>
  <si>
    <t>QH362.T435 1998eb Su</t>
  </si>
  <si>
    <t>Technology and Assessment : Thinking Ahead: Proceedings from a Workshop</t>
  </si>
  <si>
    <t>LB1028.3.T43 2002</t>
  </si>
  <si>
    <t>Mathematics Education in the Middle Grades : Teaching to Meet the Needs of Middle Grades Learners and to Maintain High Expectations: Proceedings of a National Convocation and Action Conferences</t>
  </si>
  <si>
    <t>QA13.M156 2000</t>
  </si>
  <si>
    <t>Testing English-Language Learners in U. S. Schools : Report and Workshop Summary</t>
  </si>
  <si>
    <t>Beatty, Alexandra;Hakuta, Kenji</t>
  </si>
  <si>
    <t>PE1128.A2T4547 2000</t>
  </si>
  <si>
    <t>After-School Programs to Promote Child and Adolescent Development : Summary of a Workshop</t>
  </si>
  <si>
    <t>Gootman, Jennifer Appleton</t>
  </si>
  <si>
    <t>HQ778.63.A37 2000</t>
  </si>
  <si>
    <t>Getting to Positive Outcomes for Children in Child Care : A Summary of Two Workshops</t>
  </si>
  <si>
    <t>HQ778.63.G47 2001</t>
  </si>
  <si>
    <t>Measuring Access to Learning Opportunities</t>
  </si>
  <si>
    <t>Ready, Timothy;Hawley, Willis D.</t>
  </si>
  <si>
    <t>LC213.2.N396 2003</t>
  </si>
  <si>
    <t>Mathematics and Science Education Around the World : What Can We Learn from the Survey of Mathematics and Science Opportunities (SMSO) and the Third International Mathematics and Science Study (TIMSS)?</t>
  </si>
  <si>
    <t>Losing Generations : Adolescents in High-Risk Settings</t>
  </si>
  <si>
    <t>HV1421 -- .L67 1993eb</t>
  </si>
  <si>
    <t>362.7/4/0973</t>
  </si>
  <si>
    <t>Youth with social disabilities -- United States. ; Adolescent psychology.</t>
  </si>
  <si>
    <t>Implementing Randomized Field Trials in Education : Report of a Workshop</t>
  </si>
  <si>
    <t>Hilton, Margaret;Towne, Lisa</t>
  </si>
  <si>
    <t>LB1028.25.U6I47 2004</t>
  </si>
  <si>
    <t>Education-Research-United States-Methodology. ; Educational tests and measurements.</t>
  </si>
  <si>
    <t>The Role of Scientists in the Professional Development of Science Teachers</t>
  </si>
  <si>
    <t>QH315.25 .R64 1996</t>
  </si>
  <si>
    <t>574/.071/55</t>
  </si>
  <si>
    <t>Biology teachers-In-service training-United States. ; Science teachers-In-service training-United States. ; Biology-Study and teaching (Continuing education)-United States. ; Science-Study and teaching (Continuing education)-United States.</t>
  </si>
  <si>
    <t>Fateful Choices : The Future of the U. S. Academic Research Enterprise</t>
  </si>
  <si>
    <t>LB1028.25.U6 -- F38 1992eb</t>
  </si>
  <si>
    <t>370/.78073</t>
  </si>
  <si>
    <t>Education -- Research -- United States.</t>
  </si>
  <si>
    <t>Preserving Strength While Meeting Challenges : Summary Report of a Workshop on Actions for the Mathematical Sciences</t>
  </si>
  <si>
    <t>QA13 .P73 1997</t>
  </si>
  <si>
    <t>Mathematics-Study and teaching (Graduate)-United States-Congresses.</t>
  </si>
  <si>
    <t>Science and Engineering Programs : On Target for Women?</t>
  </si>
  <si>
    <t>Dix, Linda Skidmore;Matyas, Marsha Lakes</t>
  </si>
  <si>
    <t>Q130 .S325 1992</t>
  </si>
  <si>
    <t>Women in science-United States. ; Women in engineering-United States.</t>
  </si>
  <si>
    <t>Social Science; Science</t>
  </si>
  <si>
    <t>Measuring What Counts : A Conceptual Guide for Mathematics Assessment</t>
  </si>
  <si>
    <t>QA13 -- .N37 1993eb</t>
  </si>
  <si>
    <t>510/.71/2</t>
  </si>
  <si>
    <t>Mathematics -- Study and teaching -- United States -- Evaluation. ; Mathematical ability -- Testing.</t>
  </si>
  <si>
    <t>Measuring Up : Prototypes for Mathematics Assessment</t>
  </si>
  <si>
    <t>QA135.5 .M457 1993</t>
  </si>
  <si>
    <t>372.7/076</t>
  </si>
  <si>
    <t>Mathematics-Study and teaching (Elementary)-United States-Evaluation. ; Mathematical ability-Testing.</t>
  </si>
  <si>
    <t>Industry-University Research Collaborations : Report of a Workshop</t>
  </si>
  <si>
    <t>Q180.U5 I44 1996</t>
  </si>
  <si>
    <t>607/.273</t>
  </si>
  <si>
    <t>Research-United States-Congresses. ; Research, Industrial-United States-Congresses. ; Universities and colleges-Research-Congresses.</t>
  </si>
  <si>
    <t>Engineering: General; Engineering; Science</t>
  </si>
  <si>
    <t>Ending Mandatory Retirement for Tenured Faculty : The Consequences for Higher Education</t>
  </si>
  <si>
    <t>Morgan, Harriet P.;Hammond, P. Brett</t>
  </si>
  <si>
    <t>LB2334 .N334 1991</t>
  </si>
  <si>
    <t>331.25/2</t>
  </si>
  <si>
    <t>College teachers-Retirement-United States. ; Universities and colleges-Faculty-Retirement-United States. ; Age discrimination-United States.</t>
  </si>
  <si>
    <t>Volunteers in Public Schools</t>
  </si>
  <si>
    <t>371.2/02</t>
  </si>
  <si>
    <t>Volunteer workers in education -- United States. ; Volunteer workers in education -- United States -- Statistics.</t>
  </si>
  <si>
    <t>Preparing for the Workplace : Charting a Course for Federal Postsecondary Training Policy</t>
  </si>
  <si>
    <t>Hansen, Janet S.</t>
  </si>
  <si>
    <t>LC1037.5 -- .P72 1994eb</t>
  </si>
  <si>
    <t>378/.013</t>
  </si>
  <si>
    <t>Career education -- Government policy -- United States. ; Postsecondary education -- United States. ; Federal aid to higher education -- United States. ; Labor supply -- Effect of education on.</t>
  </si>
  <si>
    <t>Moving Beyond Myths : Revitalizing Undergraduate Mathematics</t>
  </si>
  <si>
    <t>QA13 .C56 1991</t>
  </si>
  <si>
    <t>510/.71/173</t>
  </si>
  <si>
    <t>Mathematics-Study and teaching (Higher)-United States.</t>
  </si>
  <si>
    <t>Transforming Undergraduate Education in Science, Mathematics, Engineering, and Technology</t>
  </si>
  <si>
    <t>Q183.3.A1 T73 1999</t>
  </si>
  <si>
    <t>Science-Study and teaching (Higher)-United States. ; Mathematics-Study and teaching (Higher)-United States. ; Technology-Study and teaching (Higher)-United States.</t>
  </si>
  <si>
    <t>The Academic Research Enterprise Within the Industrialized Nations : Comparative Perspectives</t>
  </si>
  <si>
    <t>Q179.9 -- .A33 1990eb</t>
  </si>
  <si>
    <t>607.2/172/2</t>
  </si>
  <si>
    <t>Research -- Developed countries -- Congresses. ; Research, Industrial -- Developed countries -- Congresses. ; Universities and colleges -- Research -- Developed countries -- Congresses. ; Federal aid to research -- Developed countries -- Congresses.</t>
  </si>
  <si>
    <t>Engineering; Science; Engineering: General</t>
  </si>
  <si>
    <t>Teacher Supply, Demand, and Quality : Policy Issues, Models, and Data Bases</t>
  </si>
  <si>
    <t>Gilford, Dorothy M.;Boe, Erling E.</t>
  </si>
  <si>
    <t>LB2833.2 -- .T46 1992eb</t>
  </si>
  <si>
    <t>331.12/31371100973</t>
  </si>
  <si>
    <t>Teachers -- Supply and demand -- United States -- Congresses. ; Teachers -- Rating of -- United States -- Congresses.</t>
  </si>
  <si>
    <t>Adviser, Teacher, Role Model, Friend : On Being a Mentor to Students in Science and Engineering</t>
  </si>
  <si>
    <t>Q181 .A35 1997</t>
  </si>
  <si>
    <t>Science-Study and teaching-Handbooks, manuals, etc. ; Engineering-Study and teaching-Handbooks, manuals, etc. ; Faculty advisors-Handbooks, manuals, etc. ; Mentoring in science-Handbooks, manuals, etc.</t>
  </si>
  <si>
    <t>Modern Interdisciplinary University Statistics Education : Proceedings of a Symposium</t>
  </si>
  <si>
    <t>QA276.18 -- .N38 1994eb</t>
  </si>
  <si>
    <t>519.5/071/173</t>
  </si>
  <si>
    <t>Statistics -- Study and teaching (Higher) -- United States -- Congresses. ; Mathematical statistics -- Study and teaching (Higher) -- United States -- Congresses.</t>
  </si>
  <si>
    <t>Improving Student Learning in Mathematics and Science : The Role of National Standards in State Policy</t>
  </si>
  <si>
    <t>QA13 .B867 1997</t>
  </si>
  <si>
    <t>Mathematics-Study and teaching-Standards-United States-States. ; Science-Study and teaching-Standards-United States-States.</t>
  </si>
  <si>
    <t>Every Child a Scientist : Achieving Scientific Literacy for All</t>
  </si>
  <si>
    <t>LB1585.3 .E95 1998</t>
  </si>
  <si>
    <t>507.1/0973</t>
  </si>
  <si>
    <t>Science-Study and teaching-Standards-United States.</t>
  </si>
  <si>
    <t>The Path to the Ph. D. : Measuring Graduate Attrition in the Sciences and Humanities</t>
  </si>
  <si>
    <t>Beyond the Blueprint : Directions for Research on Head Start's Families</t>
  </si>
  <si>
    <t>Cabrera, Natasha J.;Phillips, Deborah A.</t>
  </si>
  <si>
    <t>HV741 .B488 1996</t>
  </si>
  <si>
    <t>372.21/09797</t>
  </si>
  <si>
    <t>Head Start Program (U.S.) ; Child welfare-Research-United States. ; Head Start programs-United States.</t>
  </si>
  <si>
    <t>Humanities Doctorates in the United States : 1995 Profile</t>
  </si>
  <si>
    <t>AZ183.U5 H84 1997</t>
  </si>
  <si>
    <t>Humanities-Study and teaching (Higher)-United States-Statistics. ; Doctor of philosophy degree-United States-Statistics.</t>
  </si>
  <si>
    <t>Improving Student Learning : A Strategic Plan for Education Research and Its Utilization</t>
  </si>
  <si>
    <t>LB1028.25.U6 -- I66 1999eb</t>
  </si>
  <si>
    <t>370/.7/20973</t>
  </si>
  <si>
    <t>Education -- Research -- United States. ; School improvement programs -- United States.</t>
  </si>
  <si>
    <t>U. S. Research Institutes in the Mathematical Sciences : Assessment and Perspectives</t>
  </si>
  <si>
    <t>QA13 -- .U75 1999eb</t>
  </si>
  <si>
    <t>Everybody Counts : A Report to the Nation on the Future of Mathematics Education</t>
  </si>
  <si>
    <t>QA13 -- .E94 1989eb</t>
  </si>
  <si>
    <t>Mathematics -- Study and teaching -- United States. ; Mathematical readiness.</t>
  </si>
  <si>
    <t>Educating Mathematical Scientists : Doctoral Study and the Postdoctoral Experience in the United States</t>
  </si>
  <si>
    <t>QA13 -- .N37 1992eb</t>
  </si>
  <si>
    <t>Mathematics -- Study and teaching (Graduate) -- United States.</t>
  </si>
  <si>
    <t>Engineering Education and Practice in the United States : Engineering Technology Education</t>
  </si>
  <si>
    <t>T21 -- .E54 1985eb</t>
  </si>
  <si>
    <t>620/.007/1173</t>
  </si>
  <si>
    <t>Engineering -- Study and teaching -- United States. ; Technology -- Study and teaching -- United States.</t>
  </si>
  <si>
    <t>Engineering Graduate Education and Research</t>
  </si>
  <si>
    <t>T73 -- .E47 1985eb</t>
  </si>
  <si>
    <t>Technical education -- United States. ; Technology -- Study and teaching.</t>
  </si>
  <si>
    <t>Opportunities in Chemistry : Today and Tomorrow</t>
  </si>
  <si>
    <t>Coonrod, Janice A.;Pimentel, George C.</t>
  </si>
  <si>
    <t>QD47 -- .P56 1987eb</t>
  </si>
  <si>
    <t>Chemistry -- Research -- United States. ; Chemistry -- Vocational guidance -- United States.</t>
  </si>
  <si>
    <t>Research and Education Reform : Roles for the Office of Educational Research and Improvement</t>
  </si>
  <si>
    <t>Jackson, Gregg B.;Atkinson, Richard C.</t>
  </si>
  <si>
    <t>LB1028.25.U6 -- N38 1992eb</t>
  </si>
  <si>
    <t>Education -- Research -- United States. ; Educational innovations -- United States. ; Educational change -- United States.</t>
  </si>
  <si>
    <t>Improving Indicators of the Quality of Science and Mathematics Education in Grades K-12</t>
  </si>
  <si>
    <t>Q183.3.A1 I48 1988</t>
  </si>
  <si>
    <t>Science-Study and teaching-United States-Evaluation. ; Mathematics-Study and teaching-United States-Evaluation.</t>
  </si>
  <si>
    <t>Chinese Students in America : Policies, Issues, and Numbers</t>
  </si>
  <si>
    <t>Orleans, Leo A.</t>
  </si>
  <si>
    <t>LC3071 -- .O74 1988eb</t>
  </si>
  <si>
    <t>Chinese students -- United States. ; Students, Foreign -- United States.</t>
  </si>
  <si>
    <t>Education for Tomorrow's Jobs</t>
  </si>
  <si>
    <t>Sherman, Susan W.</t>
  </si>
  <si>
    <t>LC4091 -- .N367 1983eb</t>
  </si>
  <si>
    <t>Youth with social disabilities -- Education -- United States. ; Vocational education -- Economic aspects -- United States. ; Youth with social disabilities -- Employment -- United States. ; Business and education -- Economic aspects -- United States.</t>
  </si>
  <si>
    <t>Renewing U. S. Mathematics : A Plan for The 1990s</t>
  </si>
  <si>
    <t>QA13 .N37 1990</t>
  </si>
  <si>
    <t>Mathematics-Research-United States. ; Mathematics-Study and teaching-United States.</t>
  </si>
  <si>
    <t>On Time to the Doctorate : A Study of the Lengthening Time to Completion for Doctorates in Science and Engineering</t>
  </si>
  <si>
    <t>Q183.3.A1 -- T83 1990eb</t>
  </si>
  <si>
    <t>Science -- Study and teaching (Higher) -- United States. ; Engineering -- Study and teaching (Higher) -- United States. ; Doctor of philosophy degree.</t>
  </si>
  <si>
    <t>Indicators of Precollege Education in Science and Mathematics : A Preliminary Review</t>
  </si>
  <si>
    <t>Q183.3.A1.I53 1985</t>
  </si>
  <si>
    <t>Science -- Study and teaching (Secondary) -- United States -- Evaluation. ; Mathematics -- Study and teaching (Secondary) -- United States -- Evaluation.</t>
  </si>
  <si>
    <t>Improving Teacher Preparation and Credentialing Consistent with the National Science Education Standards : Report of a Symposium</t>
  </si>
  <si>
    <t>National Research Council;Division of Behavioral and Social Sciences and Education;Teacher Advisory Council;Board on Science Education;Center for Science, Mathematics, and Engineering Education;National Academy of Sciences,</t>
  </si>
  <si>
    <t>Q183.3.A1 -- I49 1997eb</t>
  </si>
  <si>
    <t>Science teachers -- Certification -- Standards -- United States -- Congresses. ; Science -- Study and teaching -- Standards -- United States -- Congresses.</t>
  </si>
  <si>
    <t>Schools and Health : Our Nation's Investment</t>
  </si>
  <si>
    <t>Wyche, James;Nicholson, Lois;Lawson, Elaine;Allensworth, Diane</t>
  </si>
  <si>
    <t>LB3409.U5 S33 1997</t>
  </si>
  <si>
    <t>371.7/1/0973</t>
  </si>
  <si>
    <t>School health services-United States. ; School health services-United States-Planning. ; Health education-United States.</t>
  </si>
  <si>
    <t>Learning and Understanding : Improving Advanced Study of Mathematics and Science in U.S. High Schools : Report of the Content Panel for Chemistry</t>
  </si>
  <si>
    <t>National Research Council Staff</t>
  </si>
  <si>
    <t>QA13 -- .R47 2002eb</t>
  </si>
  <si>
    <t>Learning and Understanding : Improving Advanced Study of Mathematics and Science in U.S. High Schools : Report of the Content Panel for Mathematics</t>
  </si>
  <si>
    <t>QA13 -- .R476 2002eb</t>
  </si>
  <si>
    <t>Measuring What Counts : A Policy Brief</t>
  </si>
  <si>
    <t>QA13 -- .N37 1993aeb</t>
  </si>
  <si>
    <t>Learning and Understanding : Improving Advanced Study of Mathematics and Science in U.S. High Schools : Report of the Content Panel for Biology</t>
  </si>
  <si>
    <t>QA13 -- .R4767 2002eb</t>
  </si>
  <si>
    <t>On the Shoulders of Giants : New Approaches to Numeracy</t>
  </si>
  <si>
    <t>Steen, Lynn Arthur</t>
  </si>
  <si>
    <t>QA13 -- .O53 1990eb</t>
  </si>
  <si>
    <t>513/.071073</t>
  </si>
  <si>
    <t>Mathematics -- Study and teaching -- United States. ; Numeracy -- United States.</t>
  </si>
  <si>
    <t>Colleges of Agriculture at the Land Grant Universities : A Profile</t>
  </si>
  <si>
    <t>S533 .C695 1995</t>
  </si>
  <si>
    <t>630/.71/173</t>
  </si>
  <si>
    <t>Agricultural colleges-United States. ; Agricultural education-United States. ; State universities and colleges-United States.</t>
  </si>
  <si>
    <t>Quality in Student Financial Aid Programs : A New Approach</t>
  </si>
  <si>
    <t>Fecso, Ronald S.</t>
  </si>
  <si>
    <t>LB2340.5 -- .Q35 1993eb</t>
  </si>
  <si>
    <t>Student financial aid administration -- United States -- Evaluation. ; Student aid -- United States.</t>
  </si>
  <si>
    <t>Fulfilling the Promise : Biology Education in the Nation's Schools</t>
  </si>
  <si>
    <t>QH319.A1 -- N38 1990eb</t>
  </si>
  <si>
    <t>574/.071/0973</t>
  </si>
  <si>
    <t>Biology -- Study and teaching -- United States. ; Life sciences -- Study and teaching -- United States.</t>
  </si>
  <si>
    <t>Learning from Experience : Evaluating Early Childhood Demonstration Programs</t>
  </si>
  <si>
    <t>Light, Richard J.;Travers, Jeffrey R.</t>
  </si>
  <si>
    <t>LB1115 -- .L33 1982eb</t>
  </si>
  <si>
    <t>Child development -- United States. ; Education, Preschool -- United States.</t>
  </si>
  <si>
    <t>Precollege Science and Mathematics Teachers : Monitoring Supply, Demand, and Quality</t>
  </si>
  <si>
    <t>Q181.A1 -- P73 1990eb</t>
  </si>
  <si>
    <t>Mathematics teachers -- Supply and demand -- United States. ; Science teachers -- Supply and demand -- United States. ; Mathematics teachers -- Training of. ; Science teachers -- Training of.</t>
  </si>
  <si>
    <t>Placing Children in Special Education : A Strategy for Equity</t>
  </si>
  <si>
    <t>LC4602 -- .N35 1982eb</t>
  </si>
  <si>
    <t>371.92/8</t>
  </si>
  <si>
    <t>Children with mental disabilities -- Education -- Congresses. ; Students -- Rating of -- Congresses. ; Educational tests and measurements -- Congresses.</t>
  </si>
  <si>
    <t>Science for All Children : A Guide to Improving Elementary Science Education in Your School District</t>
  </si>
  <si>
    <t>LB1585.3 -- .S388 1997eb</t>
  </si>
  <si>
    <t>Science -- Study and teaching (Elementary) -- United States. ; Science -- Study and teaching (Elementary) -- United States -- Case studies. ; Problem-based learning -- United States. ; Problem-based learning -- United States -- Case studies.</t>
  </si>
  <si>
    <t>An Assessment of Research-Doctorate Programs in the United States : Social and Behavioral Sciences</t>
  </si>
  <si>
    <t>Coggeshall, Porter E.;Lindzey, Gardner;Jones, Lyle V.</t>
  </si>
  <si>
    <t>H62 -- .A72 1982eb</t>
  </si>
  <si>
    <t>300/.7/1173</t>
  </si>
  <si>
    <t>Psychology -- Study and teaching (Higher) -- United States -- Evaluation. ; Research -- United States -- Evaluation. ; Doctor of philosophy degree -- United States -- Evaluation. ; Social sciences -- Study and teaching (Higher) -- United States -- Evaluation. ; Geography -- Study and teaching (Higher) -- United States -- Evaluation.</t>
  </si>
  <si>
    <t>Assessing Evaluation Studies : The Case of Bilingual Education Strategies</t>
  </si>
  <si>
    <t>Fienberg, Stephen E.;Meyer, Michael M.</t>
  </si>
  <si>
    <t>LC3731 -- .C345 1992eb</t>
  </si>
  <si>
    <t>371.97/0973</t>
  </si>
  <si>
    <t>Education, Bilingual -- United States -- Evaluation. ; Methodology.</t>
  </si>
  <si>
    <t>An Assessment of Research-Doctorate Programs in the United States : Mathematical and Physical Sciences</t>
  </si>
  <si>
    <t>Q183.3.A1A77 1982</t>
  </si>
  <si>
    <t>500.2/07/1173</t>
  </si>
  <si>
    <t>Science -- Study and teaching (Higher) -- United States -- Evaluation. ; Research -- United States -- Evaluation. ; Doctor of philosophy degree -- United States -- Evaluation.</t>
  </si>
  <si>
    <t>China Bound, Revised : A Guide to Academic Life and Work in the PRC</t>
  </si>
  <si>
    <t>Reed, Linda A.;Turner-Gottschang, Karen;Thurston, Anne F.</t>
  </si>
  <si>
    <t>LB2376.3.C6 -- T48 1994eb</t>
  </si>
  <si>
    <t>370.19/6</t>
  </si>
  <si>
    <t>Foreign study -- China. ; American students -- China. ; Teachers, Foreign -- China. ; China -- Description and travel.</t>
  </si>
  <si>
    <t>Attracting Science and Mathematics Ph. D. s to Secondary School Education</t>
  </si>
  <si>
    <t>Q183.3.A1N354 2000</t>
  </si>
  <si>
    <t>Strengthening Peer Review in Federal Agencies That Support Education Research</t>
  </si>
  <si>
    <t>Wise, Lauress L.;Fletcher, Jack M.;Towne, Lisa</t>
  </si>
  <si>
    <t>Q180.55.E9S77 2004</t>
  </si>
  <si>
    <t>Research -- United States -- Evaluation. ; Peer review. ; Peer review -- Government policy -- United States. ; Administrative agencies -- Research -- United States. ; Administrative agencies -- United States -- Rules and practice.</t>
  </si>
  <si>
    <t>An Assessment of Research-Doctorate Programs in the United States : Biological Sciences</t>
  </si>
  <si>
    <t>QH319 -- .A1A78 1982eb</t>
  </si>
  <si>
    <t>574/.07/1173</t>
  </si>
  <si>
    <t>Biology -- Study and teaching (Higher) -- United States -- Evaluation. ; Biology -- Research -- United States -- Evaluation. ; Doctor of philosophy degree -- United States -- Evaluation.</t>
  </si>
  <si>
    <t>A Relationship Restored : Trends in U. S. -China Educational Exchanges, 1978-1984</t>
  </si>
  <si>
    <t>LB2285.C55L36 1986</t>
  </si>
  <si>
    <t>Educational exchanges -- United States. ; Educational exchanges -- China. ; American students -- China. ; Chinese students -- United States.</t>
  </si>
  <si>
    <t>National Scholars Program - SUMMARY : Excellence with Diversity for the Future</t>
  </si>
  <si>
    <t>Committee on the Feasibility of a National Scholars Program</t>
  </si>
  <si>
    <t>LA226.N38 1996</t>
  </si>
  <si>
    <t>United States. -- National Aeronautics and Space Administration. ; Universities and colleges -- Funds and scholarships.</t>
  </si>
  <si>
    <t>Improving Mathematics Education : Resources for Decision Making</t>
  </si>
  <si>
    <t>Burrill, Gail;Leinwand, Steve</t>
  </si>
  <si>
    <t>QA113.I47 2001</t>
  </si>
  <si>
    <t>Mathematics-Study and teaching-United States. ; Mathematical readiness.</t>
  </si>
  <si>
    <t>An Assessment of Research-Doctorate Programs in the United States : Engineering</t>
  </si>
  <si>
    <t>TA160.4 -- .A78 1982eb</t>
  </si>
  <si>
    <t>620/.0072073</t>
  </si>
  <si>
    <t>Engineering -- Research -- United States. ; Engineering -- Study and teaching -- United States. ; Engineering schools -- United States.</t>
  </si>
  <si>
    <t>Engineering: General; Engineering: Civil; Engineering</t>
  </si>
  <si>
    <t>An Assessment of Research-Doctorate Programs in the United States : Humanities</t>
  </si>
  <si>
    <t>AZ183.U5 -- H86 1982eb</t>
  </si>
  <si>
    <t>378/.1553/072073</t>
  </si>
  <si>
    <t>Doctor of philosophy degree -- United States -- Evaluation. ; Humanities -- Study and teaching (Graduate) -- United States -- Evaluation. ; Research -- United States -- Evaluation.</t>
  </si>
  <si>
    <t>Robert Wood Johnson Health Policy Fellowships Program Directory of Fellows 1974-1995</t>
  </si>
  <si>
    <t>Office of Health Policy Programs and Fellowships National Academy of Sciences</t>
  </si>
  <si>
    <t>LB2338.R63 1995</t>
  </si>
  <si>
    <t>Medical policy. ; Scholarships -- Directories.</t>
  </si>
  <si>
    <t>Reshaping the Graduate Education of Scientists and Engineers</t>
  </si>
  <si>
    <t>Q183.3.A1 C65 1995</t>
  </si>
  <si>
    <t>Science-Study and teaching-United States. ; Engineering-Study and teaching-United States.</t>
  </si>
  <si>
    <t>National Scholars Program : Excellence with Diversity for the Future - Program Design</t>
  </si>
  <si>
    <t>LA226 -- .N38 1996eb</t>
  </si>
  <si>
    <t>United States. -- National Aeronautics and Space Administration. ; Scholarships.</t>
  </si>
  <si>
    <t>International Comparative Studies in Education : Descriptions of Selected Large-Scale Assessments and Case Studies</t>
  </si>
  <si>
    <t>Board on International Comparative Studies in Education</t>
  </si>
  <si>
    <t>LB43 -- .I67 1995eb</t>
  </si>
  <si>
    <t>Comparative education -- Case studies. ; Comparative education -- Research.</t>
  </si>
  <si>
    <t>Urban Scholars Program : Report of a Planning Meeting</t>
  </si>
  <si>
    <t>Mitchell, Faith</t>
  </si>
  <si>
    <t>HT109 -- .U73 2000eb</t>
  </si>
  <si>
    <t>United States. -- Dept. of Housing and Urban Development. -- Office of Policy Development and Program Evaluation. ; Cities and towns -- Study and teaching (Graduate) -- Scholarships, fellowships, etc. -- Congresses.</t>
  </si>
  <si>
    <t>Serving the Needs of Pre-College Science and Mathematics Education : Impact of a Digital National Library on Teacher Education and Practice. Proceedings from a National Research Council Workshop</t>
  </si>
  <si>
    <t>Executive Committee;Mathematical Sciences Education Board;National Research Council</t>
  </si>
  <si>
    <t>Q182.7 -- .N38 1999eb</t>
  </si>
  <si>
    <t>Digital libraries -- United States. ; Mathematics -- Study and teaching. ; Science -- Study and teaching -- Digital libraries.</t>
  </si>
  <si>
    <t>Science; Library Science</t>
  </si>
  <si>
    <t>Early Childhood Development and Learning : New Knowledge for Policy</t>
  </si>
  <si>
    <t>National Research Council</t>
  </si>
  <si>
    <t>LB1115 -- .E27 2001eb</t>
  </si>
  <si>
    <t>Child development -- Government policy -- United States. ; Early childhood education -- Government policy -- United States.</t>
  </si>
  <si>
    <t>Assessing Vocational Education Research and Development</t>
  </si>
  <si>
    <t>Committee on Vocational Education Research and Development</t>
  </si>
  <si>
    <t>LC1045 -- .N376 1976eb</t>
  </si>
  <si>
    <t>Technical education -- United States. ; Vocational education -- United States.</t>
  </si>
  <si>
    <t>Summary Report 1996 : Doctorate Recipients from United States Universities</t>
  </si>
  <si>
    <t>Office of Scientific and Engineering Personnel Advisory Committee;Clarke, Julie E;Woods, Cynthia</t>
  </si>
  <si>
    <t>LB2386 -- .S85 1998eb</t>
  </si>
  <si>
    <t>Doctor of philosophy degree -- United States -- Statistics -- Periodicals. ; Degrees, Academic -- United States -- Statistics -- Periodicals.</t>
  </si>
  <si>
    <t>Valedictory : Reflections on 60 Years in Educational Testing</t>
  </si>
  <si>
    <t>Board on Testing and Assessment;Atkinson, Richard C;Bradburn, Norman M;Horvitz, Daniel G</t>
  </si>
  <si>
    <t>LB3051 -- .V35 1995eb</t>
  </si>
  <si>
    <t>Educational tests and measurements -- United States. ; Examinations -- United States.</t>
  </si>
  <si>
    <t>Evaluation of the Voluntary National Tests, Year 2 : Interim Report</t>
  </si>
  <si>
    <t>Wise, Lauress L.;Noeth, Richard J.;Koenig, Judith A</t>
  </si>
  <si>
    <t>LB3060.83 -- .E93 1999eb</t>
  </si>
  <si>
    <t>Educational tests and measurements -- United States. ; Reading (Elementary) -- Ability testing -- United States. ; Mathematical ability -- Testing.</t>
  </si>
  <si>
    <t>Final Report to the U.S. Department of Defense on the Defense Reinvestment Initiative</t>
  </si>
  <si>
    <t>Defense Reinvestment Initiative Advisory Board</t>
  </si>
  <si>
    <t>LB1716 -- .C2 1999eb</t>
  </si>
  <si>
    <t>Center for Science, Mathematics, and Engineering Education -- Defense Reinvestment Intiative. ; Science teachers -- Training of -- California. ; Mathematics teachers -- Training of -- California. ; Military engineers -- California. ; Military scientists -- California. ; Occupational retraining -- California.</t>
  </si>
  <si>
    <t>Preparing for the 21st Century : The Education Imperative</t>
  </si>
  <si>
    <t>Q181 -- .P74 1997eb</t>
  </si>
  <si>
    <t>Science -- Study and teaching -- Research -- United States. ; Mathematics -- Study and teaching -- United States. ; Technological innovations. ; Educational technology.</t>
  </si>
  <si>
    <t>Summary Report 1993 : Doctorate Recipients from United States Universities</t>
  </si>
  <si>
    <t>LB2386.S85 1995</t>
  </si>
  <si>
    <t>Science Teacher Preparation in an Era of Standards-Based Reform</t>
  </si>
  <si>
    <t>Committee on Undergraduate Science Education</t>
  </si>
  <si>
    <t>Q183.3.A1 -- S379 1997eb</t>
  </si>
  <si>
    <t>Science -- Study and teaching (Higher) -- United States. ; Science teachers -- Training of. ; Educational change. ; Education -- Standards.</t>
  </si>
  <si>
    <t>National Laboratories and Universities : Building New Ways to Work Together: Report of a Workshop</t>
  </si>
  <si>
    <t>Q180.6.U6N38 2005</t>
  </si>
  <si>
    <t>Research-United States. ; Research and development contracts-United States. ; Universities and colleges-Research-United States. ; Laboratories-United States.</t>
  </si>
  <si>
    <t>How Students Learn : History, Mathematics, and Science in the Classroom</t>
  </si>
  <si>
    <t>Bransford, John D.;Donovan, M. Suzanne</t>
  </si>
  <si>
    <t>LB1060.N38 2005</t>
  </si>
  <si>
    <t>Learning. ; Classroom management. ; Curriculum planning.</t>
  </si>
  <si>
    <t>Advancing Scientific Research in Education</t>
  </si>
  <si>
    <t>Winters, Tina M.;Wise, Lauress L.;Towne, Lisa</t>
  </si>
  <si>
    <t>LB1028.25.U6N373 200</t>
  </si>
  <si>
    <t>Education--Research--United States.</t>
  </si>
  <si>
    <t>Mathematical and Scientific Development in Early Childhood : A Workshop Summary</t>
  </si>
  <si>
    <t>Beatty, Alix</t>
  </si>
  <si>
    <t>QA13M38 2005</t>
  </si>
  <si>
    <t>How Students Learn : Science in the Classroom</t>
  </si>
  <si>
    <t>LB1585 .N385 2005</t>
  </si>
  <si>
    <t>Classroom management. ; Curriculum planning. ; Learning. ; Science-Study and teaching (Elementary) ; Science-Study and teaching (Secondary)</t>
  </si>
  <si>
    <t>How Students Learn : Mathematics in the Classroom</t>
  </si>
  <si>
    <t>How Students Learn : History in the Classroom</t>
  </si>
  <si>
    <t>LB1060 .N383 2005</t>
  </si>
  <si>
    <t>Learning. ; Classroom management. ; Curriculum planning. ; History-Study and teaching (Elementary) ; History-Study and teaching (Secondary)</t>
  </si>
  <si>
    <t>Learning and Understanding : Improving Advanced Study of Mathematics and Science in U.S. High Schools : Report of the Content Panel for Physics</t>
  </si>
  <si>
    <t>Committee on Programs for Advanced Study of Mathematics and Science in American High Schools;National Research Council</t>
  </si>
  <si>
    <t>Relative Risks of School Travel : A National Perspective and Guidance for Local Community Risk Assessment -- Special Report 269</t>
  </si>
  <si>
    <t>Committee on School Transportation Safety;National Research Council</t>
  </si>
  <si>
    <t>LB2864 -- .N336 2002eb</t>
  </si>
  <si>
    <t>School children -- Transportation -- United States. ; Risk assessment -- United States.</t>
  </si>
  <si>
    <t>Frameworks for Higher Education in Homeland Security</t>
  </si>
  <si>
    <t>LB2322.2 -- .F73 2005eb</t>
  </si>
  <si>
    <t>Education, Higher -- Aims and objectives -- United States. ; Terrorism. ; National security. ; Adult education. ; Education.</t>
  </si>
  <si>
    <t>Assessment of NIH Minority Research and Training Programs : Phase 3</t>
  </si>
  <si>
    <t>R693.N38 2005</t>
  </si>
  <si>
    <t>Minorities-Education (Higher)-United States. ; Medicine-Research-United States.</t>
  </si>
  <si>
    <t>America's Lab Report : Investigations in High School Science</t>
  </si>
  <si>
    <t>Schweingruber, Heidi A.;Hilton, Margaret L.;Singer, Susan R.</t>
  </si>
  <si>
    <t>Q183.3.A1A44 2006</t>
  </si>
  <si>
    <t>Enhancing the Community College Pathway to Engineering Careers</t>
  </si>
  <si>
    <t>Sislin, John;Mattis, Mary C.</t>
  </si>
  <si>
    <t>T65.E44 2005</t>
  </si>
  <si>
    <t>620.0071/173</t>
  </si>
  <si>
    <t>Engineering--Study and teaching (Higher)--United States. ; Community colleges--Curricula--United States. ; Engineering--Vocational guidance--United States.</t>
  </si>
  <si>
    <t>Measuring Literacy : Performance Levels for Adults</t>
  </si>
  <si>
    <t>Elliott, Stuart W.;Koenig, Judith Anderson;Edley, Christopher F.;Hauser, Robert M.</t>
  </si>
  <si>
    <t>LC149.7.M4 2005</t>
  </si>
  <si>
    <t>Functional literacy--United States--Evaluation.</t>
  </si>
  <si>
    <t>Science, Medicine, and Animals : A Circle of Discovery: Teacher's Guide</t>
  </si>
  <si>
    <t>R853.A53S36 2004eb S</t>
  </si>
  <si>
    <t>Alternative toxicity testing-Moral and ethical aspects-Study and teaching. ; Animal experimentation-Moral and ethical aspects-Study and teaching. ; Animal models in research-Study and teaching. ; Medicine-Research-Study and teaching.</t>
  </si>
  <si>
    <t>Learning to Think Spatially</t>
  </si>
  <si>
    <t>BF723.S63L43 2006</t>
  </si>
  <si>
    <t>Space perception--Study and teaching. ; Geographic information systems.</t>
  </si>
  <si>
    <t>Systems for State Science Assessment</t>
  </si>
  <si>
    <t>Bertenthal, Meryl W.;Wilson, Mark R.</t>
  </si>
  <si>
    <t>LB1585.3.S96 2006</t>
  </si>
  <si>
    <t>Science--Study and teaching (Elementary)--United States--Evaluation. ; Science--Study and teaching (Secondary)--United States--Evaluation. ; Science--United States--Examinations, questions, etc.</t>
  </si>
  <si>
    <t>A Study of Interactions : Emerging Issues in the Science of Adolescence: Workshop Summary</t>
  </si>
  <si>
    <t>Chalk, Rosemary;Beatty, Alexandra</t>
  </si>
  <si>
    <t>HQ796.S78 2006</t>
  </si>
  <si>
    <t>Adolescent psychiatry. ; Developmental psychology.</t>
  </si>
  <si>
    <t>Tech Tally : Approaches to Assessing Technological Literacy</t>
  </si>
  <si>
    <t>Pearson, Greg;Garmire, Elsa</t>
  </si>
  <si>
    <t>T73.T4165 2006</t>
  </si>
  <si>
    <t>Technical education--United States--Evaluation. ; Technological literacy--United States.</t>
  </si>
  <si>
    <t>ICT Fluency and High Schools : A Workshop Summary</t>
  </si>
  <si>
    <t>Marcus, Steven</t>
  </si>
  <si>
    <t>T58.5.I28 2006</t>
  </si>
  <si>
    <t>Information technology-Study and teaching (Secondary)-United States-Congresses. ; Electronic information resource literacy-Study and teaching (Secondary)-United States-Congresses.</t>
  </si>
  <si>
    <t>Engineering; Engineering: General; Computer Science/IT</t>
  </si>
  <si>
    <t>Biological, Social, and Organizational Components of Success for Women in Academic Science and Engineering : Report of a Workshop</t>
  </si>
  <si>
    <t>Q130.B56 2006</t>
  </si>
  <si>
    <t>Women in science--Social aspects--Congresses. ; Women scientists--Social conditions--Congresses. ; Women in engineering--Social aspects--Congresses. ; Women engineers--Social conditions--Congresses.</t>
  </si>
  <si>
    <t>Hearing Loss Research at NIOSH : Reviews of Research Programs of the National Institute for Occupational Safety and Health</t>
  </si>
  <si>
    <t>RF291.C6 2006</t>
  </si>
  <si>
    <t>National Institute for Occupational Safety and Health. ; Deafness-Research-Evaluation. ; Deafness. ; Industrial safety.</t>
  </si>
  <si>
    <t>Policy Implications of International Graduate Students and Postdoctoral Scholars in the United States</t>
  </si>
  <si>
    <t>LB2371.4 .P65 2005</t>
  </si>
  <si>
    <t>Graduate students-United States. ; Scholarships-United States.</t>
  </si>
  <si>
    <t>Taking Science to School : Learning and Teaching Science in Grades K-8</t>
  </si>
  <si>
    <t>Shouse, Andrew W.;Schweingruber, Heidi A.;Duschl, Richard A.</t>
  </si>
  <si>
    <t>LB1585.3.T35 2007</t>
  </si>
  <si>
    <t>Science--Study and teaching (Elementary)--United States.</t>
  </si>
  <si>
    <t>A Strategy for Assessing Science : Behavioral and Social Research on Aging</t>
  </si>
  <si>
    <t>Stern, Paul C.;Feller, Irwin</t>
  </si>
  <si>
    <t>HQ1064.U5A87 2007</t>
  </si>
  <si>
    <t>Gerontology--United States. ; Aging--Government policy--United States. ; Aging--United States. ; Research Design--United States. ; Behavioral Research--United States. ; Cognition Disorders--United States.</t>
  </si>
  <si>
    <t>Beyond Bias and Barriers : Fulfilling the Potential of Women in Academic Science and Engineering</t>
  </si>
  <si>
    <t>Q130.C65 2006</t>
  </si>
  <si>
    <t>500.82/0973</t>
  </si>
  <si>
    <t>Women in science--United States. ; Women in engineering--United States. ; Science--Study and teaching--United States. ; Engineering--Study and teaching--United States. ; Women--Education--United States. ; Vocational interests--United States.</t>
  </si>
  <si>
    <t>Enhancing Professional Development for Teachers : Potential Uses of Information Technology: Report of a Workshop</t>
  </si>
  <si>
    <t>LB1731.E33 2007</t>
  </si>
  <si>
    <t>Nutrition Standards for Foods in Schools : Leading the Way Toward Healthier Youth</t>
  </si>
  <si>
    <t>Yaktine, Ann L.;Stallings, Virginia A.</t>
  </si>
  <si>
    <t>LB3479.U6N88 2007</t>
  </si>
  <si>
    <t>Ready, Set, SCIENCE! : Putting Research to Work in K-8 Science Classrooms</t>
  </si>
  <si>
    <t>Schweingruber, Heidi A.;Shouse, Andrew W.;Michaels, Sarah</t>
  </si>
  <si>
    <t>LB1585.3.M53 2008</t>
  </si>
  <si>
    <t>Science--Study and teaching (Elementary)--United States. ; Science--Study and teaching (Secondary)--United States. ; Research--United States. ; Education, Secondary--Curricula--United States.</t>
  </si>
  <si>
    <t>Understanding Interventions That Encourage Minorities to Pursue Research Careers : Summary of a Workshop</t>
  </si>
  <si>
    <t>Fagen, Adam P.;Olson, Steven</t>
  </si>
  <si>
    <t>Q183.3.A1U584 2007</t>
  </si>
  <si>
    <t>NASA's Elementary and Secondary Education Program : Review and Critique</t>
  </si>
  <si>
    <t>Feder, Michael A.;Schweingruber, Heidi A.;Quinn, Helen R.</t>
  </si>
  <si>
    <t>TL845 -- .N38 2008eb</t>
  </si>
  <si>
    <t>Engineering; Engineering: Mechanical</t>
  </si>
  <si>
    <t>Assessing the Role of K-12 Academic Standards in States : Workshop Summary</t>
  </si>
  <si>
    <t>Beatty, Alexandra</t>
  </si>
  <si>
    <t>LB2822.75.B385 2008</t>
  </si>
  <si>
    <t>Assessing Accomplished Teaching : Advanced-Level Certification Programs</t>
  </si>
  <si>
    <t>Elliott, Stuart W.;Koenig, Judith Anderson;Hakel, Milton D.</t>
  </si>
  <si>
    <t>LB1771.A77 2008</t>
  </si>
  <si>
    <t>Teachers--Certification--United States.</t>
  </si>
  <si>
    <t>Common Standards for K-12 Education? : Considering the Evidence: Summary of a Workshop Series</t>
  </si>
  <si>
    <t>LB3060.83.B43 2008</t>
  </si>
  <si>
    <t>Science Professionals : Master's Education for a Competitive World</t>
  </si>
  <si>
    <t>Q181.S3759 2008</t>
  </si>
  <si>
    <t>Protecting Student Records and Facilitating Education Research : A Workshop Summary</t>
  </si>
  <si>
    <t>LB1028.N38 2009</t>
  </si>
  <si>
    <t>Nutrition Standards and Meal Requirements for National School Lunch and Breakfast Programs : Phase I. Proposed Approach for Recommending Revisions</t>
  </si>
  <si>
    <t>Taylor, Christine L.;Stallings, Virginia A.</t>
  </si>
  <si>
    <t>LB3479.U6I58 2008</t>
  </si>
  <si>
    <t>Partnerships for Emerging Research Institutions : Report of a Workshop</t>
  </si>
  <si>
    <t>LB2326.3.P37 2009</t>
  </si>
  <si>
    <t>Early Childhood Assessment : Why, What, and How</t>
  </si>
  <si>
    <t>Van Hemel, Susan B.;Snow, Catherine E.</t>
  </si>
  <si>
    <t>LC4069.2.E37 2008</t>
  </si>
  <si>
    <t>Children with social disabilities--Education (Preschool)--United States. ; Child development--United States. ; Competency-based education--United States.</t>
  </si>
  <si>
    <t>Strengthening High School Chemistry Education Through Teacher Outreach Programs : A Workshop Summary to the Chemical Sciences Roundtable</t>
  </si>
  <si>
    <t>QD47.O47 2009</t>
  </si>
  <si>
    <t>Learning Science in Informal Environments : People, Places, and Pursuits</t>
  </si>
  <si>
    <t>Feder, Michael A.;Shouse, Andrew W.;Lewenstein, Bruce;Bell, Philip</t>
  </si>
  <si>
    <t>Q181.L49585 2009</t>
  </si>
  <si>
    <t>Science--Study and teaching. ; Learning.</t>
  </si>
  <si>
    <t>Ethics Education and Scientific and Engineering Research : What's Been Learned? What Should Be Done? Summary of a Workshop</t>
  </si>
  <si>
    <t>Arenberg, Carol R.;Hollander, Rachelle</t>
  </si>
  <si>
    <t>Q180.55.M67E85 2009</t>
  </si>
  <si>
    <t>Transforming Agricultural Education for a Changing World</t>
  </si>
  <si>
    <t>S531.T68 2009</t>
  </si>
  <si>
    <t>Agricultural education. ; Agricultural education--United States. ; Agriculture and state--United States. ; Educational change--United States.</t>
  </si>
  <si>
    <t>Interacademy Programs Between the United States and Eastern Europe 1967-2009 : The Changing Landscape</t>
  </si>
  <si>
    <t>Schweitzer, Glenn E.</t>
  </si>
  <si>
    <t>Q223.S39 2009</t>
  </si>
  <si>
    <t>Mathematics Learning in Early Childhood : Paths Toward Excellence and Equity</t>
  </si>
  <si>
    <t>Schweingruber, Heidi;Woods, Taniesha A.;Cross, Christopher T.</t>
  </si>
  <si>
    <t>QA135.6.M384 2009</t>
  </si>
  <si>
    <t>Mathematics--Study and teaching (Early childhood). ; Early childhood education.</t>
  </si>
  <si>
    <t>Nurturing and Sustaining Effective Programs in Science Education for Grades K-8 : Building a Village in California: Summary of a Convocation</t>
  </si>
  <si>
    <t>Labov, Jay;Olson, Steve</t>
  </si>
  <si>
    <t>LB1585.3.O47 2009</t>
  </si>
  <si>
    <t>Protecting and Accessing Data from the Survey of Earned Doctorates : A Workshop Summary</t>
  </si>
  <si>
    <t>Plewes, Thomas J.</t>
  </si>
  <si>
    <t>LB2386.S8538 2010</t>
  </si>
  <si>
    <t>Exploring the Intersection of Science Education and 21st Century Skills : A Workshop Summary</t>
  </si>
  <si>
    <t>Q181.A1H55 2010</t>
  </si>
  <si>
    <t>Redesigning Continuing Education in the Health Professions</t>
  </si>
  <si>
    <t>R745.I57 2010</t>
  </si>
  <si>
    <t>Getting Value Out of Value-Added : Report of a Workshop</t>
  </si>
  <si>
    <t>Koenig, Judith;Chudowsky, Naomi;Braun, Henry</t>
  </si>
  <si>
    <t>LB2838.G48 2010</t>
  </si>
  <si>
    <t>Surrounded by Science : Learning Science in Informal Environments</t>
  </si>
  <si>
    <t>Schweingruber, Heidi A.;Fenichel, Marilyn</t>
  </si>
  <si>
    <t>Q181.F3295 2010</t>
  </si>
  <si>
    <t>Science--Study and teaching--Case studies. ; Active learning. ; Experiential learning.</t>
  </si>
  <si>
    <t>A Database for a Changing Economy : Review of the Occupational Information Network (o*NET)</t>
  </si>
  <si>
    <t>Hilton, Margaret L.;Tippins, Nancy T.</t>
  </si>
  <si>
    <t>HB2595.D38x 2010</t>
  </si>
  <si>
    <t>Preparing Teachers : Building Evidence for Sound Policy</t>
  </si>
  <si>
    <t>LB1715.P727 2010</t>
  </si>
  <si>
    <t>Teachers--Training of--United States.</t>
  </si>
  <si>
    <t>Language Diversity, School Learning, and Closing Achievement Gaps : A Workshop Summary</t>
  </si>
  <si>
    <t>Welch-Ross, Melissa</t>
  </si>
  <si>
    <t>Developing and Evaluating Methods for Using American Community Survey Data to Support the School Meals Programs : Interim Report</t>
  </si>
  <si>
    <t>Kirkendall, Nancy J.;Schirm, Allen L.</t>
  </si>
  <si>
    <t>RJ206 -- .N38 2010eb</t>
  </si>
  <si>
    <t>Standards for K-12 Engineering Education?</t>
  </si>
  <si>
    <t>Engineering: General; Education</t>
  </si>
  <si>
    <t>The Teacher Development Continuum in the United States and China : Summary of a Workshop</t>
  </si>
  <si>
    <t>Sztein, A. Ester;Olson, Steve;Ferreras, Ana</t>
  </si>
  <si>
    <t>QA13 -- .T424 2010eb</t>
  </si>
  <si>
    <t>State Assessment Systems : Exploring Best Practices and Innovations: Summary of Two Workshops</t>
  </si>
  <si>
    <t>LB3054.U6 -- N38 2010eb</t>
  </si>
  <si>
    <t>Educational tests and measurements -- United States -- States -- Congresses. ; Educational accountability -- Congresses. ; Education -- Standards -- Congresses.</t>
  </si>
  <si>
    <t>High School Dropout, Graduation, and Completion Rates : Better Data, Better Measures, Better Decisions</t>
  </si>
  <si>
    <t>Koenig, Judith Anderson;Hauser, Robert M.</t>
  </si>
  <si>
    <t>Promising Practices in Undergraduate Science, Technology, Engineering, and Mathematics Education : Summary of Two Workshops</t>
  </si>
  <si>
    <t>Nielsen, Natalie</t>
  </si>
  <si>
    <t>Successful K-12 STEM Education : Identifying Effective Approaches in Science, Technology, Engineering, and Mathematics</t>
  </si>
  <si>
    <t>School Meals : Building Blocks for Healthy Children</t>
  </si>
  <si>
    <t>Taylor, Christine L.;Suitor, Carol West;Stallings, Virginia A.</t>
  </si>
  <si>
    <t>China Bound : A Guide to Academic Life and Work in the PRC</t>
  </si>
  <si>
    <t>Reed, Linda A.;Turner-Gottschang, Karen</t>
  </si>
  <si>
    <t>LB2376.3.C6T87 1987</t>
  </si>
  <si>
    <t>Engineering in K-12 Education : Understanding the Status and Improving the Prospects</t>
  </si>
  <si>
    <t>Feder, Michael;Pearson, Greg;Katehi, Linda</t>
  </si>
  <si>
    <t>LB1594.E54 2009</t>
  </si>
  <si>
    <t>Engineering--Study and teaching (Elementary)--United States. ; Engineering--Study and teaching (Secondary)--United States.</t>
  </si>
  <si>
    <t>Engineering: General; Engineering; Education</t>
  </si>
  <si>
    <t>Educating One and All : Students with Disabilities and Standards-Based Reform</t>
  </si>
  <si>
    <t>Morison, Patricia;McLaughlin, Margaret J.;McDonnell, Lorraine M.</t>
  </si>
  <si>
    <t>Assessing 21st Century Skills : Summary of a Workshop</t>
  </si>
  <si>
    <t>Incentives and Test-Based Accountability in Education</t>
  </si>
  <si>
    <t>Elliott, Stuart W.;Hout, Michael</t>
  </si>
  <si>
    <t>The Early Childhood Care and Education Workforce : Challenges and Opportunities: a Workshop Report</t>
  </si>
  <si>
    <t>Improving Adult Literacy Instruction : Options for Practice and Research</t>
  </si>
  <si>
    <t>Welch-Ross, Melissa;Lesgold, Alan M.</t>
  </si>
  <si>
    <t>302.2/2440973</t>
  </si>
  <si>
    <t>A Framework for K-12 Science Education : Practices, Crosscutting Concepts, and Core Ideas</t>
  </si>
  <si>
    <t>LB1585.3 -- .N38 2012eb</t>
  </si>
  <si>
    <t>Science -- Study and teaching -- Standards -- United States.</t>
  </si>
  <si>
    <t>Improving Adult Literacy Instruction : Supporting Learning and Motivation</t>
  </si>
  <si>
    <t>Lesgold, Alan M.;Welch-Ross, Melissa;Committee on Learning Sciences: Foundations and Applications to Adolescent and Adult Literacy;National Research Council,</t>
  </si>
  <si>
    <t>LC151.I477 2012</t>
  </si>
  <si>
    <t>Functional literacy -- United States. ; Literacy -- United States.</t>
  </si>
  <si>
    <t>Key National Education Indicators : Workshop Summary</t>
  </si>
  <si>
    <t>Koenig, Judith A.;Beatty, Alexandra</t>
  </si>
  <si>
    <t>L112 -- .K4 2012eb</t>
  </si>
  <si>
    <t>Improving Adult Literacy Instruction : Developing Reading and Writing</t>
  </si>
  <si>
    <t>Lesgold, Alan M.;Welch-Ross, Melissa;Committee on Learning Sciences: Foundations and Applications to Adolescent and Adult Literacy;Lesgold, Alan M.;Welch-Ross, Melissa</t>
  </si>
  <si>
    <t>LC151.N385 2012</t>
  </si>
  <si>
    <t>Discipline-Based Education Research : Understanding and Improving Learning in Undergraduate Science and Engineering</t>
  </si>
  <si>
    <t>Schweingruber, Heidi A.;Nielsen, Natalie R.;Singer, Susan R.</t>
  </si>
  <si>
    <t>Next Generation Science Standards : For States, by States</t>
  </si>
  <si>
    <t>LB1585.N46 2013eb</t>
  </si>
  <si>
    <t>Education for Life and Work : Developing Transferable Knowledge and Skills in the 21st Century</t>
  </si>
  <si>
    <t>Hilton, Margaret L.;Pellegrino, James W.</t>
  </si>
  <si>
    <t>LB2822.75.N395 2012</t>
  </si>
  <si>
    <t>Educational evaluation--United States. ; Education--United States--21st century.</t>
  </si>
  <si>
    <t>Monitoring Progress Toward Successful K-12 STEM Education : A Nation Advancing?</t>
  </si>
  <si>
    <t>LB1585.3.N39 2013eb</t>
  </si>
  <si>
    <t>Improving Measurement of Productivity in Higher Education</t>
  </si>
  <si>
    <t>Sinha, Esha;Massy, William F.;Mackie, Christopher;Sullivan, Teresa A.</t>
  </si>
  <si>
    <t>LB2806.22.N215 2012</t>
  </si>
  <si>
    <t>Colloquy on Minority Males in Science, Technology, Engineering, and Mathematics</t>
  </si>
  <si>
    <t>Cady, Elizabeth;Fortenberry, Norman L.;Didion, Catherine</t>
  </si>
  <si>
    <t>Q183.3.A1.C645 2010</t>
  </si>
  <si>
    <t>Using American Community Survey Data to Expand Access to the School Meals Programs</t>
  </si>
  <si>
    <t>LB3479.U6.N38 2012eb</t>
  </si>
  <si>
    <t>Furthering America's Research Enterprise</t>
  </si>
  <si>
    <t>Straf, Miron L.;Griswold, Ann;Celeste, Richard F.</t>
  </si>
  <si>
    <t>LB1028 -- .N38 2014eb</t>
  </si>
  <si>
    <t>Education -- Research. ; Research institutes.</t>
  </si>
  <si>
    <t>The Postdoctoral Experience Revisited</t>
  </si>
  <si>
    <t>LB2371 -- .P678 2014eb</t>
  </si>
  <si>
    <t>Universities and colleges -- United States -- Graduate work. ; Science -- United States -- Graduate work. ; Engineering -- United States -- Graduate work.</t>
  </si>
  <si>
    <t>Comparative study of Nordic teacher-training programmes</t>
  </si>
  <si>
    <t>Nordic Council of Ministers</t>
  </si>
  <si>
    <t>Copenhagen</t>
  </si>
  <si>
    <t>DENMARK</t>
  </si>
  <si>
    <t>Nordic Council of Ministers' publishing house</t>
  </si>
  <si>
    <t>Nordiska ministerrådet</t>
  </si>
  <si>
    <t>LB1725.S34.C66 2009</t>
  </si>
  <si>
    <t>Teachers -- Training of -- Scandinavia. ; Teachers -- Salaries, etc. -- Scandinavia.</t>
  </si>
  <si>
    <t>Learning Disabilities Sourcebook</t>
  </si>
  <si>
    <t>Omnigraphics, Inc.</t>
  </si>
  <si>
    <t>Omnigraphics, Incorporated</t>
  </si>
  <si>
    <t>Omnigraphics</t>
  </si>
  <si>
    <t>Judd, Sandra J.</t>
  </si>
  <si>
    <t>Health Reference Series</t>
  </si>
  <si>
    <t>LC4705 -- .L434 2012eb</t>
  </si>
  <si>
    <t>Learning disabilities -- United States -- Handbooks, manuals, etc. ; Learning disabled children -- Education -- United States -- Handbooks, manuals, etc. ; Learning disabled -- Education -- United States -- Handbooks, manuals, etc. ; Learning disabilities -- Diagnosis -- United States -- Handbooks, manuals, etc.</t>
  </si>
  <si>
    <t>Digital Humanities Pedagogy : Practices, Principles and Politics</t>
  </si>
  <si>
    <t>Open Book Publishers</t>
  </si>
  <si>
    <t>Cambridge, UK</t>
  </si>
  <si>
    <t>Hirsch, Brett D.</t>
  </si>
  <si>
    <t>Digital Humanities Series</t>
  </si>
  <si>
    <t>Developing Skills for Distance Learning</t>
  </si>
  <si>
    <t>Open University of Hong Kong Press</t>
  </si>
  <si>
    <t>CHINA</t>
  </si>
  <si>
    <t>Murphy, David;Baker, Chris;Sharman, Rex</t>
  </si>
  <si>
    <t>LC5808.H85.D48 2006</t>
  </si>
  <si>
    <t>Distance education -- China -- Hong Kong. ; Open learning -- China -- Hong Kong.</t>
  </si>
  <si>
    <t>Teaching for Success : Developing Your Teacher Identity in Today's Classroom</t>
  </si>
  <si>
    <t>Olsen, Brad</t>
  </si>
  <si>
    <t>LB2840 -- .O474 2010eb</t>
  </si>
  <si>
    <t>Identity (Psychology) ; Teachers -- Psychology.</t>
  </si>
  <si>
    <t>Pedagogy of Indignation</t>
  </si>
  <si>
    <t>Series in Critical Narrative Series</t>
  </si>
  <si>
    <t>LC196 -- .F457 2004eb</t>
  </si>
  <si>
    <t>Critical pedagogy. ; Education.</t>
  </si>
  <si>
    <t>Mythologizing Black Women : Unveiling White Men's Racist Deep Frame on Race and Gender</t>
  </si>
  <si>
    <t>Slatton, Brittany C.</t>
  </si>
  <si>
    <t>E185.86 -- .S627 2013eb</t>
  </si>
  <si>
    <t>African American women -- Social conditions. ; Feminine beauty (Aesthetics) -- United States. ; Race discrimination -- United States.</t>
  </si>
  <si>
    <t>CourseBuilder F/X Design</t>
  </si>
  <si>
    <t>Paraglyph Press</t>
  </si>
  <si>
    <t>Baker, Donna</t>
  </si>
  <si>
    <t>LB1028.66 -- .B35 2001eb</t>
  </si>
  <si>
    <t>Macromedia CourseBuilder extension for Dreamweaver and UltraDev. ; Computer-assisted instruction -- Authoring programs -- Handbooks, manuals, etc. ; Instructional systems -- Design -- Handbooks, manuals, etc.</t>
  </si>
  <si>
    <t>Supporting Individuals with Learning Disabilities : Understanding the Context : A Care Quality Guide For Health And Social Care Staff And Carers</t>
  </si>
  <si>
    <t>Pavilion Publishing</t>
  </si>
  <si>
    <t>Pavilion</t>
  </si>
  <si>
    <t>Fulton, Rorie;Richardson, Kate</t>
  </si>
  <si>
    <t>LC4818 -- .F84 2014eb</t>
  </si>
  <si>
    <t>Learning disabled. ; Learning disabled -- Services for.</t>
  </si>
  <si>
    <t>In the Global Classroom 2</t>
  </si>
  <si>
    <t>Pippin Publishing</t>
  </si>
  <si>
    <t>Pippin Publishing Corporation</t>
  </si>
  <si>
    <t>Scarborough</t>
  </si>
  <si>
    <t>Pike, Graham;Selby, David</t>
  </si>
  <si>
    <t>LB1029.G55 -- P55 2000eb</t>
  </si>
  <si>
    <t>Activity programs in education. ; Global method of teaching.</t>
  </si>
  <si>
    <t>And Then There Were Two : Children and Second-Language Learning</t>
  </si>
  <si>
    <t>Piper, Terry</t>
  </si>
  <si>
    <t>PE1128.A2 -- .P57 2001eb</t>
  </si>
  <si>
    <t>Second language acquisition. ; Anglais (Langue) -- Étude et enseignement (Primaire) -- Allophones. ; Anglais (Langue) -- Étude et enseignement (Secondaire) -- Allophones. ; Langue seconde -- Acquisition.</t>
  </si>
  <si>
    <t>Is That Right? Critical Thinking and the Social World of the Young Learner</t>
  </si>
  <si>
    <t>Wright, Ian</t>
  </si>
  <si>
    <t>LB1590.3 -- .W75 2002eb</t>
  </si>
  <si>
    <t>Critical thinking -- Study and teaching (Elementary) ; Social sciences -- Study and teaching (Elementary) ; Pensée critique -- Étude et enseignement (Primaire) ; Sciences sociales -- Étude et enseignement (Primaire)</t>
  </si>
  <si>
    <t>Fusing Science with Literature : Strategies and Lessons for Classroom Success</t>
  </si>
  <si>
    <t>King, Caryn M.;Sudol, Peg</t>
  </si>
  <si>
    <t>LB1585 -- .K56 1998eb</t>
  </si>
  <si>
    <t>Science -- Study and teaching (Middle school) ; Science -- Juvenile literature -- Bibliography. ; Middle school students -- Books and reading. ; Content area reading. ; Sciences -- Étude et enseignement (École moyenne) ; Sciences -- Ouvrages pour la jeunesse -- Bibliographie. ; Élèves d''école moyenne -- Livres et lecture.</t>
  </si>
  <si>
    <t>In the Global Classroom 1</t>
  </si>
  <si>
    <t>LB1029.G55 -- P54 2000eb</t>
  </si>
  <si>
    <t>Am I teaching well? : Self-Evaluation Strategies for Effective Teachers</t>
  </si>
  <si>
    <t>Nikolic, Vesna;Cabaj, Hanna</t>
  </si>
  <si>
    <t>LB2838 -- .N55 2000eb</t>
  </si>
  <si>
    <t>Teachers -- Self-rating of. ; Enseignants -- Auto-évaluation.</t>
  </si>
  <si>
    <t>Supporting Struggling Readers</t>
  </si>
  <si>
    <t>Walker, Barbara J.;Rivers, Dyanne</t>
  </si>
  <si>
    <t>LB1050.5 -- W355 2003eb</t>
  </si>
  <si>
    <t>Books and reading. ; Reading -- Remedial teaching.</t>
  </si>
  <si>
    <t>Look at Me When I Talk to You : ESL Learners in Non-ESL Classrooms</t>
  </si>
  <si>
    <t>Helmer, Sylvia;Eddy, Catherine L.</t>
  </si>
  <si>
    <t>PE1128.A2 -- H453 2003eb</t>
  </si>
  <si>
    <t>428/.0071/5</t>
  </si>
  <si>
    <t>Communication in education. ; Minorities -- Education.</t>
  </si>
  <si>
    <t>Adding English : A Guide to Teaching in Multilingual Classrooms</t>
  </si>
  <si>
    <t>LC3715 -- .C624 2004eb</t>
  </si>
  <si>
    <t>Linguistic minorities -- Education. ; Multicultural education.</t>
  </si>
  <si>
    <t>Poetry and the Meaning of Life</t>
  </si>
  <si>
    <t>Hanauer, David Ian;Rivers, Dyanne</t>
  </si>
  <si>
    <t>PN1075 -- .H35 2004eb</t>
  </si>
  <si>
    <t>Poetry -- Study and teaching. ; Communication -- Study and teaching.</t>
  </si>
  <si>
    <t>Infotext : Reading and Learning</t>
  </si>
  <si>
    <t>Feathers, Karen M.;Rivers, Dyanne</t>
  </si>
  <si>
    <t>LB1050.45 -- .F43 2004eb</t>
  </si>
  <si>
    <t>Content area reading. ; Reading (Elementary) ; Reading (Higher education) ; Reading (Secondary) ; Reading comprehension.</t>
  </si>
  <si>
    <t>English Through Pictures, Book 3 and A Second Workbook of English</t>
  </si>
  <si>
    <t>Richards, I.A.;Gibson, Christine M.</t>
  </si>
  <si>
    <t>PE1128 -- .R533 2005eb</t>
  </si>
  <si>
    <t>Basic English. ; Vocabulary.</t>
  </si>
  <si>
    <t>English Through Pictures, Book 2 and A Second Workbook of English</t>
  </si>
  <si>
    <t>PE1128 -- R532 2005eb</t>
  </si>
  <si>
    <t>English Through Pictures, Book 1 and A Second Workbook of English</t>
  </si>
  <si>
    <t>PE1128 -- R531 2005eb</t>
  </si>
  <si>
    <t>Teaching Multilevel Classes in ESL</t>
  </si>
  <si>
    <t>Bell, Jill Sinclair</t>
  </si>
  <si>
    <t>PE1128 A2 -- B45 2004eb</t>
  </si>
  <si>
    <t>Education. ; English language -- Study and teaching -- Foreign speakers.</t>
  </si>
  <si>
    <t>Using Student-Centered Methods with Teacher-Centered Students</t>
  </si>
  <si>
    <t>Lewis, Marilyn;Reinders, Hayo</t>
  </si>
  <si>
    <t>PE1128.A2.L44 2008</t>
  </si>
  <si>
    <t>Word Wall : Teaching Vocabulary Through Immersion</t>
  </si>
  <si>
    <t>Green, Joseph;Hill, Sylvia Saverson</t>
  </si>
  <si>
    <t>LB1576 -- .G74 2003eb</t>
  </si>
  <si>
    <t>Language arts (Elementary) ; Language arts (Secondary) ; Vocabulary -- Study and teaching (Elementary) ; Vocabulary -- Study and teaching (Secondary)</t>
  </si>
  <si>
    <t>Thoughtful Teachers, Thoughtful Learners : Helping Students Think Critically</t>
  </si>
  <si>
    <t>Unrau, Norman</t>
  </si>
  <si>
    <t>LB1590.3.U57 2008</t>
  </si>
  <si>
    <t>Thought and thinking -- Study and teaching (Secondary) ; Critical thinking -- Study and teaching (Secondary)</t>
  </si>
  <si>
    <t>Teaching the World's Children : ESL for Ages Three to Seven</t>
  </si>
  <si>
    <t>Ashworth, Mary;Wakefield, H. Patricia</t>
  </si>
  <si>
    <t>PE1128.A2 -- A76 2004eb</t>
  </si>
  <si>
    <t>372.652/1044</t>
  </si>
  <si>
    <t>Education. ; English language -- Study and teaching.</t>
  </si>
  <si>
    <t>Through Other Eyes : Developing Empathy and Multicultural Perspectives in the Social Studies</t>
  </si>
  <si>
    <t>Skolnick, Joan;Dulberg, Nancy;Maestre, Thea</t>
  </si>
  <si>
    <t>LB1584 -- .S56 2004eb</t>
  </si>
  <si>
    <t>300/.71</t>
  </si>
  <si>
    <t>Social sciences -- Study and teaching. ; History -- Study and teaching. ; Multicultural education.</t>
  </si>
  <si>
    <t>Games Language People Play</t>
  </si>
  <si>
    <t>Steinberg, Jerry</t>
  </si>
  <si>
    <t>GV1507.W8.S74 2009</t>
  </si>
  <si>
    <t>Word games. ; Language and languages -- Study and teaching. ; English language -- Study and teaching. ; Teaching -- Aids and devices.</t>
  </si>
  <si>
    <t>Peaceful Resistance : Building a Palestinian University Under Occupation</t>
  </si>
  <si>
    <t>Pluto Press</t>
  </si>
  <si>
    <t>Baramki, Gabi;Carter, Jimmy</t>
  </si>
  <si>
    <t>LG341.B57 -- B37 2010eb</t>
  </si>
  <si>
    <t>371.1/04</t>
  </si>
  <si>
    <t>Jami?at Bir Zayt -- History. ; Academic freedom -- West Bank. ; Palestinian Arabs -- Education -- Israel.</t>
  </si>
  <si>
    <t>Out of the Frame : The Struggle for Academic Freedom in Israel</t>
  </si>
  <si>
    <t>Pappe, Ilan</t>
  </si>
  <si>
    <t>LC72.5.I75 -- P37 2010eb</t>
  </si>
  <si>
    <t>Academic freedom -- Israel.</t>
  </si>
  <si>
    <t>Giving Much/Gaining More : Mentoring for Success</t>
  </si>
  <si>
    <t>Wadsworth, Emily M.</t>
  </si>
  <si>
    <t>TA157 -- .W28 2002eb</t>
  </si>
  <si>
    <t>620/.0023</t>
  </si>
  <si>
    <t>Engineering -- Vocational guidance. ; Mentoring in the professions -- Case studies. ; Women engineers -- Vocational guidance.</t>
  </si>
  <si>
    <t>Engineering; Engineering: Civil; Engineering: General</t>
  </si>
  <si>
    <t>Le Virus du Nil Occidental</t>
  </si>
  <si>
    <t>Editions Quae</t>
  </si>
  <si>
    <t>Quae</t>
  </si>
  <si>
    <t>Versailles</t>
  </si>
  <si>
    <t>Bicout, Dominique J.</t>
  </si>
  <si>
    <t>Synthèses Series</t>
  </si>
  <si>
    <t>RA644.W47 -- .A764 2013eb</t>
  </si>
  <si>
    <t>West Nile fever -- Geographical distribution.</t>
  </si>
  <si>
    <t>Health; Social Science; Medicine</t>
  </si>
  <si>
    <t>Quality of Higher Education: Organizational and Educational Perspectives</t>
  </si>
  <si>
    <t>River Publishers</t>
  </si>
  <si>
    <t>Aalborg</t>
  </si>
  <si>
    <t>Zou, Yihuan</t>
  </si>
  <si>
    <t>River Publishers Series in Innovation and Change in Education Series</t>
  </si>
  <si>
    <t>Gender and Diversity in a Problem and Project Based Learning Environment</t>
  </si>
  <si>
    <t>Du, Xiang-Yun</t>
  </si>
  <si>
    <t>Improving Students´ Learning Outcomes</t>
  </si>
  <si>
    <t>Samfundslitteratur</t>
  </si>
  <si>
    <t>Frederiksberg</t>
  </si>
  <si>
    <t>Copenhagen Business School Press</t>
  </si>
  <si>
    <t>Nygaard, Claus;Holtham, Clive;Courtney, Nigel</t>
  </si>
  <si>
    <t>LB1027.23 .I47 2009</t>
  </si>
  <si>
    <t>Student-centered learning. ; Active learning. ; College teaching.</t>
  </si>
  <si>
    <t>Multicultural Challenge : A Visual-Cultural Guide to Coping in the Global Era</t>
  </si>
  <si>
    <t>South Asian Studies Association</t>
  </si>
  <si>
    <t>Woodland Hills</t>
  </si>
  <si>
    <t xml:space="preserve">Aall, Ingrid;Aall, Ingrid ;Aall, Dr Ingrid </t>
  </si>
  <si>
    <t>N72.G55.A25 2011</t>
  </si>
  <si>
    <t>Art and globalization. ; Art and society. ; Cultural pluralism. ; Multiculturalism.</t>
  </si>
  <si>
    <t>Cultures Built to Last : Systemic PLCs at Work TM</t>
  </si>
  <si>
    <t>Solution Tree, Inc.</t>
  </si>
  <si>
    <t>Solution Tree</t>
  </si>
  <si>
    <t>DuFour, Richard;Fullan, Michael</t>
  </si>
  <si>
    <t>School improvement programs-United States. ; Professional learning communities. ; Group work in education-United States. ; Team learning approach in education-United States. ; Educational leadership-United States.</t>
  </si>
  <si>
    <t>Getting Started : Reculturing Schools to Become Professional Learning Communities</t>
  </si>
  <si>
    <t>Eaker, Robert;DuFour, Richard</t>
  </si>
  <si>
    <t>Solutions Series</t>
  </si>
  <si>
    <t>LB2822.82 .E25 2002</t>
  </si>
  <si>
    <t>School improvement programs-United States. ; Group work in education-United States. ; Team learning approach in education-United States. ; Educational change-United States. ; Educational leadership-United States.</t>
  </si>
  <si>
    <t>20 Literacy Strategies to Meet the Common Core : ... . .</t>
  </si>
  <si>
    <t>McEwan-Adkins, Elaine K.;Burnett, Allyson J.</t>
  </si>
  <si>
    <t>LB1631 -- .M3943 2013eb</t>
  </si>
  <si>
    <t>Language arts (Middle school) -- United States. ; Language arts (Secondary) -- United States. ; Language arts -- Standards -- United States.</t>
  </si>
  <si>
    <t>Vocabulary for the Common Core</t>
  </si>
  <si>
    <t>Marzano Resources</t>
  </si>
  <si>
    <t>Marzano, Robert J.;Simms, Julia A.</t>
  </si>
  <si>
    <t>LB1574.5 -- .M37 2013eb</t>
  </si>
  <si>
    <t>Language arts - Curricula - United States - States</t>
  </si>
  <si>
    <t>Common Core Mathematics in a PLC at Work®, High School</t>
  </si>
  <si>
    <t>Kanold, Timothy</t>
  </si>
  <si>
    <t>QA13 .C5657 2012</t>
  </si>
  <si>
    <t>Mathematics-Study and teaching (Secondary)-Standards-United States. ; Professional learning communities.</t>
  </si>
  <si>
    <t>Who Owns the Learning? : Preparing Students for Success in the Digital Age</t>
  </si>
  <si>
    <t>November, Alan</t>
  </si>
  <si>
    <t>Essentials for Principals Series</t>
  </si>
  <si>
    <t>Student-centered learning. ; Computer literacy. ; Information literacy.</t>
  </si>
  <si>
    <t>Balanced Assessment : From Formative to Summative</t>
  </si>
  <si>
    <t>Burke, Kay</t>
  </si>
  <si>
    <t>Leading Edge Series</t>
  </si>
  <si>
    <t>Educational evaluation-United States. ; Education-Standards-United States.</t>
  </si>
  <si>
    <t>The School Leader's Guide to English Learners</t>
  </si>
  <si>
    <t>PE1128.A2 -- F547 2012eb</t>
  </si>
  <si>
    <t>425.0071/073</t>
  </si>
  <si>
    <t>English language -- Study and teaching -- Foreign speakers.</t>
  </si>
  <si>
    <t>Leading by Design : An Action Framework for PLC at Work Leaders</t>
  </si>
  <si>
    <t>Erkens, Cassandra;Twadell, Eric</t>
  </si>
  <si>
    <t>Teaching teams. ; Teachers-Professional relationships.</t>
  </si>
  <si>
    <t>Classroom Habitudes : Teaching Habits and Attitudes for 21st Century Learning</t>
  </si>
  <si>
    <t>Solution Tree Press</t>
  </si>
  <si>
    <t>Maiers, Angela</t>
  </si>
  <si>
    <t>LB1065 -- .M276 2012eb</t>
  </si>
  <si>
    <t>Motivation in education. ; Classroom environment. ; Effective teaching.</t>
  </si>
  <si>
    <t>Motivating Students Who Don't Care : Successful Techniques for Educators</t>
  </si>
  <si>
    <t>Bloomington, Indiana</t>
  </si>
  <si>
    <t>Mendler, Allen</t>
  </si>
  <si>
    <t>LB1065 -- .M377 2000eb</t>
  </si>
  <si>
    <t>Motivation in education. ; Students -- Attitudes.</t>
  </si>
  <si>
    <t>The Global School : Connecting Classrooms and Students Around the World</t>
  </si>
  <si>
    <t>Kist, William</t>
  </si>
  <si>
    <t>What Principals Need to Know Series</t>
  </si>
  <si>
    <t>LC1090 .K53 2013</t>
  </si>
  <si>
    <t>International education-United States. ; Multicultural education-United States.</t>
  </si>
  <si>
    <t>Got Data? Now What? : Creating and Leading Cultures of Inquiry</t>
  </si>
  <si>
    <t>Lipton, Laura;Wellman, Bruce</t>
  </si>
  <si>
    <t>Educational statistics. ; Group work in education.</t>
  </si>
  <si>
    <t>Becoming a Reflective Teacher</t>
  </si>
  <si>
    <t>Marzano, Robert J.;Boogren, Tina</t>
  </si>
  <si>
    <t>The Classroom Strategies Series</t>
  </si>
  <si>
    <t>LB1027 -- .M335 2012eb</t>
  </si>
  <si>
    <t>Building a Culture of Hope : Enriching Schools with Optimism and Opportunity (School Improvement Strategies for Overcoming Student Poverty and Adversity)</t>
  </si>
  <si>
    <t>Barr, Robert D.;Gibson, Emily L.</t>
  </si>
  <si>
    <t>School Leader's Guide to the Common Core : Achieving Results Through Rigor and Relevance</t>
  </si>
  <si>
    <t>Bellanca, James A.;Fogarty, Robin J.;Pete, Dr Brian M;Stinson, Rebecca L</t>
  </si>
  <si>
    <t>LB3060.83 -- .B45 2013eb</t>
  </si>
  <si>
    <t>Education -- Standards -- United States. ; Educational change -- United States. ; School administrators -- United States -- Handbooks, manuals, etc. ; School principals -- United States -- Handbooks, manuals, etc.</t>
  </si>
  <si>
    <t>The School Leader's Guide to Professional Learning Communities at Work TM</t>
  </si>
  <si>
    <t>DuFour, Richard;DuFour, Rebecca</t>
  </si>
  <si>
    <t>LB1731 -- .D75 2012eb</t>
  </si>
  <si>
    <t>Professional learning communities. ; School management and organization. ; School principals -- Professional relationships.</t>
  </si>
  <si>
    <t>Breaking Through : Effective Instruction and Assessment for Reaching English Learners</t>
  </si>
  <si>
    <t>Calderon, Margarita</t>
  </si>
  <si>
    <t>Linguistic minorities-Education-United States. ; Education, Bilingual-United States. ; English language-Study and teaching-Foreign speakers. ; English language-Study and teaching-United States-Evaluation.</t>
  </si>
  <si>
    <t>Common Core Mathematics in a PLC at Work®, Grades 3-5</t>
  </si>
  <si>
    <t>Kanold, Timothy D.</t>
  </si>
  <si>
    <t>QA13 .C5655 2012</t>
  </si>
  <si>
    <t>372.702/1873</t>
  </si>
  <si>
    <t>Mathematics-Study and teaching (Elementary)-Standards-United States. ; Professional learning communities.</t>
  </si>
  <si>
    <t>Collaborating for Success with the Common Core : A Toolkit for Professional Learning Communities at Work(tm)</t>
  </si>
  <si>
    <t>Bailey, Kim;Jakicic, Chris</t>
  </si>
  <si>
    <t>LB3060.83 .B35 2014</t>
  </si>
  <si>
    <t>Education-Standards-United States. ; Professional learning communities. ; Teaching teams.</t>
  </si>
  <si>
    <t>Common Core English Language Arts in a PLC at Work®, Grades K-2</t>
  </si>
  <si>
    <t>LB1576 .F4419 2013</t>
  </si>
  <si>
    <t>Language arts (Elementary)-Standards-United States. ; Language arts (Elementary)-Curricula-United States. ; Professional learning communities.</t>
  </si>
  <si>
    <t>What Principals Need to Know About Teaching and Learning Science</t>
  </si>
  <si>
    <t>Sheninger, Eric C.;Devereaux, Keith</t>
  </si>
  <si>
    <t>What Principals Need to Know</t>
  </si>
  <si>
    <t>LB1585.3 -- .S55 2013eb</t>
  </si>
  <si>
    <t>Science -- Study and teaching (Elementary) -- United States. ; Science -- Study and teaching (Middle school) -- United States. ; Elementary school principals -- United States -- Handbooks, manuals, etc. ; Middle school principals -- United States -- Handbooks, manuals, etc.</t>
  </si>
  <si>
    <t>Parents Assuring Student Success : Achievement Made Easy by Learning Together</t>
  </si>
  <si>
    <t>Ban, John R.</t>
  </si>
  <si>
    <t>LB1048.5.B36 2002</t>
  </si>
  <si>
    <t>Education -- Parent participation -- United States. ; Home and school -- United States.</t>
  </si>
  <si>
    <t>Deeper Learning : Beyond 21st Century Skills</t>
  </si>
  <si>
    <t>Learning ability. ; Learning strategies. ; Thought and thinking. ; Teaching.</t>
  </si>
  <si>
    <t>The Racial Crisis in American Higher Education</t>
  </si>
  <si>
    <t>State University of New York (SUNY)</t>
  </si>
  <si>
    <t>State University of New York Press</t>
  </si>
  <si>
    <t>Suny Press</t>
  </si>
  <si>
    <t>Altbach, Philip G.;Lomotey, Kofi</t>
  </si>
  <si>
    <t>SUNY Series, Frontiers in Education Series</t>
  </si>
  <si>
    <t>LC3731 -- .R255 1991eb</t>
  </si>
  <si>
    <t>Minorities -- Education (Higher) -- United States. ; College integration -- United States. ; Universities and colleges -- United States -- Case studies. ; United States -- Race relations -- Case studies.</t>
  </si>
  <si>
    <t>Emergent Issues in Education : Comparative Perspectives</t>
  </si>
  <si>
    <t>Arnove, Robert F.;Altbach, Philip G.;Kelly, Gail P.</t>
  </si>
  <si>
    <t>LB43 -- .E46 1992eb</t>
  </si>
  <si>
    <t>370.19/5</t>
  </si>
  <si>
    <t>Comparative education. ; Education and state.</t>
  </si>
  <si>
    <t>Early Care and Education for Children in Poverty : Promises, Programs, and Long-Term Results</t>
  </si>
  <si>
    <t>Barnett, W. Steven;Boocock, Sarane Spence</t>
  </si>
  <si>
    <t>SUNY Series, Youth Social Services, Schooling, and Public Policy Series</t>
  </si>
  <si>
    <t>LC4091 -- .E24 1998eb</t>
  </si>
  <si>
    <t>371.93/08694</t>
  </si>
  <si>
    <t>Poor children -- Education (Early childhood) -- United States. ; Poor children -- Services for -- United States. ; Child care -- United States.</t>
  </si>
  <si>
    <t>Changing Education : Women As Radicals and Conservators</t>
  </si>
  <si>
    <t>Antler, Joyce;Biklen, Sari Knopp</t>
  </si>
  <si>
    <t>SUNY Series, Feminist Theory in Education Series</t>
  </si>
  <si>
    <t>LC1752 -- .C48 1990eb</t>
  </si>
  <si>
    <t>376/.973</t>
  </si>
  <si>
    <t>Women -- Education -- United States. ; Women social reformers -- United States. ; United States -- Social conditions -- 1865-1918. ; United States -- Social conditions -- 1945-</t>
  </si>
  <si>
    <t>Professional Development for Cooperative Learning : Issues and Approaches</t>
  </si>
  <si>
    <t>Brody, Celeste M.;Davidson, Neil</t>
  </si>
  <si>
    <t>LB1032 -- .P76 1998eb</t>
  </si>
  <si>
    <t>Group work in education. ; Constructivism (Education) ; Teachers -- In-service training. ; Teachers -- Training of.</t>
  </si>
  <si>
    <t>Incentive Pay and Career Ladders for Today's Teachers : A Study of Current Programs and Practices</t>
  </si>
  <si>
    <t>Brandt, Richard M.</t>
  </si>
  <si>
    <t>SUNY Series, Educational Leadership Series</t>
  </si>
  <si>
    <t>LB2842.2 -- .B7 1990eb</t>
  </si>
  <si>
    <t>Teachers -- Salaries, etc. -- United States. ; Merit pay -- United States. ; Compensation management -- United States. ; Teachers -- Rating of -- United States.</t>
  </si>
  <si>
    <t>Destined to Rule the Schools : Women and the Superintendency, 1873-1995</t>
  </si>
  <si>
    <t>Blount, Jackie M.</t>
  </si>
  <si>
    <t>LB2831.72 -- .B53 1998eb</t>
  </si>
  <si>
    <t>Women school superintendents -- United States -- History. ; School management and organization -- United States -- History.</t>
  </si>
  <si>
    <t>Changing American Education : Recapturing the Past or Inventing the Future?</t>
  </si>
  <si>
    <t>Borman, Kathryn M.;Greenman, Nancy P.</t>
  </si>
  <si>
    <t>SUNY Series, Teacher Preparation and Development Series</t>
  </si>
  <si>
    <t>LA210 -- .C46 1993eb</t>
  </si>
  <si>
    <t>Educational change -- United States. ; School improvement programs -- United States. ; Curriculum change -- United States. ; School management and organization -- United States.</t>
  </si>
  <si>
    <t>The Teacher-Curriculum Encounter : Freeing Teachers from the Tyranny of Texts</t>
  </si>
  <si>
    <t>Ben-Peretz, Miriam</t>
  </si>
  <si>
    <t>SUNY Series in Curriculum Issues and Inquiries Series</t>
  </si>
  <si>
    <t>LB2806.15 -- .B46 1990eb</t>
  </si>
  <si>
    <t>Curriculum planning. ; Teachers -- Training of.</t>
  </si>
  <si>
    <t>Education in the Third Reich : Race and History in Nazi Textbooks</t>
  </si>
  <si>
    <t>Blackburn, Gilmer W.</t>
  </si>
  <si>
    <t>Education, Cultural Myths, and the Ecological Crisis : Toward Deep Changes</t>
  </si>
  <si>
    <t>Bowers, C. A.</t>
  </si>
  <si>
    <t>SUNY Series, the Philosophy of Education Series</t>
  </si>
  <si>
    <t>GF27 -- .B69 1993eb</t>
  </si>
  <si>
    <t>304.2/071/073</t>
  </si>
  <si>
    <t>Environmental ethics -- United States. ; Educational anthropology -- United States. ; Environmental education -- United States. ; Environmental protection -- Study and teaching -- United States.</t>
  </si>
  <si>
    <t>Environmental Studies; Social Science</t>
  </si>
  <si>
    <t>Behind Closed Doors : Teachers and the Role of the Teachers' Lounge</t>
  </si>
  <si>
    <t>Ben-Peretz, Miriam;Schonmann, Shifra;Jackson, Philip W.</t>
  </si>
  <si>
    <t>LB1775 -- .B45 2000eb</t>
  </si>
  <si>
    <t>Teachers -- Professional relationships. ; Teachers -- Social conditions. ; Teachers'' lounges. ; Teachers -- In-service training.</t>
  </si>
  <si>
    <t>Schooling Young Children : A Feminist Pedagogy for Liberatory Learning</t>
  </si>
  <si>
    <t>Brady, Jeanne</t>
  </si>
  <si>
    <t>LC197 -- .B73 1995eb</t>
  </si>
  <si>
    <t>370.19/345</t>
  </si>
  <si>
    <t>Feminism and education. ; Critical pedagogy. ; Multicultural education.</t>
  </si>
  <si>
    <t>Promising Practices in Teaching Social Responsibility</t>
  </si>
  <si>
    <t>Berman, Sheldon;LaFarge, Phyllis</t>
  </si>
  <si>
    <t>SUNY Series, Democracy and Education Series</t>
  </si>
  <si>
    <t>LC192.4 -- .P76 1993eb</t>
  </si>
  <si>
    <t>Social learning. ; Social values -- Study and teaching (Elementary) ; Social skills -- Study and teaching (Elementary) ; Citizenship -- Study and teaching (Elementary)</t>
  </si>
  <si>
    <t>The Modern Practice of Adult Education : A Postmodern Critique</t>
  </si>
  <si>
    <t>Briton, Derek</t>
  </si>
  <si>
    <t>SUNY Series, Teacher Empowerment and School Reform Series</t>
  </si>
  <si>
    <t>LC5219 -- .B723 1996eb</t>
  </si>
  <si>
    <t>Adult education -- Philosophy. ; Critical pedagogy. ; Postmodernism and education. ; Adult education -- Research.</t>
  </si>
  <si>
    <t>Lost Subjects, Contested Objects : Toward a Psychoanalytic Inquiry of Learning</t>
  </si>
  <si>
    <t>Britzman, Deborah P.</t>
  </si>
  <si>
    <t>LB1060 -- .B765 1998eb</t>
  </si>
  <si>
    <t>Learning. ; Psychoanalysis. ; Ethics. ; Critical pedagogy.</t>
  </si>
  <si>
    <t>Curriculum Politics, Policy, Practice : Cases in Comparative Context</t>
  </si>
  <si>
    <t>Cornbleth, Catherine</t>
  </si>
  <si>
    <t>SUNY Series, Innovations in Curriculum Series</t>
  </si>
  <si>
    <t>LC71.3 -- .C87 2000eb</t>
  </si>
  <si>
    <t>379.1/55</t>
  </si>
  <si>
    <t>Education -- Curricula -- Political aspects -- Cross-cultural studies. ; Curriculum change -- Cross-cultural studies.</t>
  </si>
  <si>
    <t>Transforming the Curriculum : Ethnic Studies and Women's Studies</t>
  </si>
  <si>
    <t>Butler, Johnnella E.;Walter, John C.</t>
  </si>
  <si>
    <t>HQ1181.U5 -- T73 1991eb</t>
  </si>
  <si>
    <t>305.4/071/173</t>
  </si>
  <si>
    <t>Women''s studies -- United States. ; Ethnology -- Study and teaching (Graduate) -- United States.</t>
  </si>
  <si>
    <t>A Geology of School Reform : The Successive Restructurings of a School District</t>
  </si>
  <si>
    <t>SUNY Series, Restructuring and School Change Series</t>
  </si>
  <si>
    <t>LB2806.35 -- .B76 1996eb</t>
  </si>
  <si>
    <t>School-based management -- United States -- Case studies. ; Educational change -- United States -- Case studies. ; School districts -- United States -- Administration -- Case studies.</t>
  </si>
  <si>
    <t>Play and Early Literacy Development</t>
  </si>
  <si>
    <t>Christie, James F.</t>
  </si>
  <si>
    <t>SUNY Series, Children's Play in Society Series</t>
  </si>
  <si>
    <t>LB1140.35.P55 -- P555 1991eb</t>
  </si>
  <si>
    <t>Play. ; Language arts (Preschool) ; Language acquisition.</t>
  </si>
  <si>
    <t>Educational Theory As Theory of Conduct : From Aristotle to Dewey</t>
  </si>
  <si>
    <t>Chambliss, J. J.</t>
  </si>
  <si>
    <t>LB41 -- .C49 1987eb</t>
  </si>
  <si>
    <t>Education -- Philosophy -- History. ; Education -- Aims and objectives. ; Conduct of life.</t>
  </si>
  <si>
    <t>The Challenge of Eastern Asian Education : Implications for America</t>
  </si>
  <si>
    <t>Cummings, William K.;Altbach, Philip G.</t>
  </si>
  <si>
    <t>LA1052 -- .C43 1997eb</t>
  </si>
  <si>
    <t>370/.95</t>
  </si>
  <si>
    <t>Education -- East Asia -- Cross-cultural studies. ; Education -- United States -- Cross-cultural studies. ; Education and state -- East Asia -- Cross-cultural studies. ; Education and state -- United States -- Cross-cultural studies.</t>
  </si>
  <si>
    <t>Educating Tomorrow's Valuable Citizen</t>
  </si>
  <si>
    <t>Burstyn, Joan N.;Burstyn J,</t>
  </si>
  <si>
    <t>JK1759 -- .E26 1996eb</t>
  </si>
  <si>
    <t>323.6/07/073</t>
  </si>
  <si>
    <t>Civics -- Study and teaching -- United States. ; Citizenship -- Study and teaching -- United States.</t>
  </si>
  <si>
    <t>Ethical and Social Issues in Professional Education</t>
  </si>
  <si>
    <t>Brody, Celeste M.;Wallace, James</t>
  </si>
  <si>
    <t>LC1059 -- .E87 1994eb</t>
  </si>
  <si>
    <t>Professional education -- Moral and ethical aspects. ; Professional education -- Social aspects -- United States. ; Education, Humanistic -- United States.</t>
  </si>
  <si>
    <t>Teaching Writing : Pedagogy, Gender, and Equity</t>
  </si>
  <si>
    <t>Caywood, Cynthia;Overing, Gillian R.</t>
  </si>
  <si>
    <t>PE1404 -- .T4 1987eb</t>
  </si>
  <si>
    <t>English language -- Rhetoric -- Study and teaching. ; English language -- Sex differences. ; Sex discrimination in education. ; Nonsexist language. ; Feminism. ; Women -- Education. ; Women -- Language.</t>
  </si>
  <si>
    <t>Making and Molding Identity in Schools</t>
  </si>
  <si>
    <t>Davidson, Ann L.</t>
  </si>
  <si>
    <t>LC205.5.C2 -- D38 1996eb</t>
  </si>
  <si>
    <t>370.19/342/09794</t>
  </si>
  <si>
    <t>High school students -- California -- Social conditions -- Longitudinal studies. ; Ethnicity -- California -- Longitudinal studies. ; Identity (Psychology) -- California -- Longitudinal studies.</t>
  </si>
  <si>
    <t>Principles of Power : Women Superintendents and the Riddle of the Heart</t>
  </si>
  <si>
    <t>Brunner, C. Cryss</t>
  </si>
  <si>
    <t>SUNY Series in Women in Education Series</t>
  </si>
  <si>
    <t>The Managerial Imperative and the Practice of Leadership in Schools</t>
  </si>
  <si>
    <t>LB2831.5 -- .C83 1988eb</t>
  </si>
  <si>
    <t>Teacher-administrator relationships. ; School management and organization.</t>
  </si>
  <si>
    <t>Education/Technology/Power : Educational Computing As a Social Practice</t>
  </si>
  <si>
    <t>Apple, Michael W.;Bromley, Hank</t>
  </si>
  <si>
    <t>LB1028.43 -- .E372 1998eb</t>
  </si>
  <si>
    <t>Education -- Data processing -- Social aspects. ; Computer-assisted instruction -- Social aspects. ; Computer managed instruction -- Social aspects. ; Critical pedagogy.</t>
  </si>
  <si>
    <t>Classroom Discipline in American Schools : Problems and Possibilities for Democratic Education</t>
  </si>
  <si>
    <t>Butchart, Ronald E.;McEwan, Barbara;Butchart, Ronald E.</t>
  </si>
  <si>
    <t>LB3012.2 -- .C53 1998eb</t>
  </si>
  <si>
    <t>371.5/0973</t>
  </si>
  <si>
    <t>School discipline -- Social aspects -- United States. ; School discipline -- Political aspects -- United States. ; Classroom management -- Social aspects -- United States. ; Classroom management -- Political aspects -- United States. ; Constructivism (Education) -- United States.</t>
  </si>
  <si>
    <t>Pushing the Limits : The Female Administrative Aspirant</t>
  </si>
  <si>
    <t>Edson, Sakre K.</t>
  </si>
  <si>
    <t>LB2831.62 -- .E33 1988eb</t>
  </si>
  <si>
    <t>371.2/0088042</t>
  </si>
  <si>
    <t>Women school administrators -- United States -- Longitudinal studies. ; Sex discrimination against women -- United States -- Longitudinal studies.</t>
  </si>
  <si>
    <t>The School That Refused to Die : Continuity and Change at Thomas Jefferson High School</t>
  </si>
  <si>
    <t>LD7501.R47 -- D85 1995eb</t>
  </si>
  <si>
    <t>373.755/451</t>
  </si>
  <si>
    <t>Thomas Jefferson High School (Richmond, Va.) -- History. ; Education, Urban -- Virginia -- Richmond -- Case studies.</t>
  </si>
  <si>
    <t>Systemic Violence in Education : Promise Broken</t>
  </si>
  <si>
    <t>Epp, Juanita Ross;Watkinson, Ailsa M.</t>
  </si>
  <si>
    <t>SUNY Series, Education and Culture: Critical Factors in the Formation of Character and Community in American Life Series</t>
  </si>
  <si>
    <t>LB3013.3 -- .S97 1997eb</t>
  </si>
  <si>
    <t>School violence -- Canada -- Case studies. ; School violence -- United States -- Case studies. ; School management and organization -- Case studies. ; Classroom management -- Social aspects -- Case studies. ; Sexual harassment in education -- Case studies. ; Schools -- Sociological aspects -- Case studies.</t>
  </si>
  <si>
    <t>Cultural Diversity in Schools : From Rhetoric to Practice</t>
  </si>
  <si>
    <t>DeVillar, Robert A.;Faltis, Christian J.;Cummins, James P.</t>
  </si>
  <si>
    <t>LC1099.3 -- .C82 1994eb</t>
  </si>
  <si>
    <t>Multicultural education -- United States. ; Educational equalization -- United States. ; Education -- Social aspects -- United States. ; Classroom management -- United States. ; Educational technology -- United States. ; English language -- United States -- Rhetoric.</t>
  </si>
  <si>
    <t>Teaching-The Imperiled Profession</t>
  </si>
  <si>
    <t>LB2840.2.D85 1984</t>
  </si>
  <si>
    <t>Teacher morale -- United States. ; Teachers -- Job satisfaction -- United States. ; Teachers -- Job stress -- United States. ; Teacher morale.</t>
  </si>
  <si>
    <t>The Contradictory College : The Conflicting Origins, Impacts, and Futures of the Community College</t>
  </si>
  <si>
    <t>Dougherty, Kevin J.</t>
  </si>
  <si>
    <t>LB2328.15.U6 -- D68 1994eb</t>
  </si>
  <si>
    <t>378/.052/0973</t>
  </si>
  <si>
    <t>Community colleges -- United States. ; Education, Higher -- Aims and objectives -- United States. ; Higher education and state -- United States.</t>
  </si>
  <si>
    <t>The Other Struggle for Equal Schools : Mexican Americans During the Civil Rights Era</t>
  </si>
  <si>
    <t>Donato, Rubén</t>
  </si>
  <si>
    <t>SUNY Series, the Social Context of Education Series</t>
  </si>
  <si>
    <t>LC2683 -- .D66 1997eb</t>
  </si>
  <si>
    <t>371.829/6872/07309046</t>
  </si>
  <si>
    <t>Mexican Americans -- Education -- History -- 20th century. ; Children of migrant laborers -- Education -- United States -- History -- 20th century. ; School integration -- United States -- History -- 20th century.</t>
  </si>
  <si>
    <t>The Knowledge Base in Educational Administration : Multiple Perspectives</t>
  </si>
  <si>
    <t>Donmoyer, Robert;Imber, Michael;Scheurich, James Joseph</t>
  </si>
  <si>
    <t>LB2805 -- .D66 1994eb</t>
  </si>
  <si>
    <t>School management and organization -- United States -- Philosophy. ; School management and organization -- Social aspects -- United States. ; School supervision -- United States.</t>
  </si>
  <si>
    <t>Paulo Freire on Higher Education : A Dialogue at the National University of Mexico</t>
  </si>
  <si>
    <t>Escobar, Miguel;Fernandez, Alfredo L.;Guevara-Niebla, Gilberto</t>
  </si>
  <si>
    <t>LB2322.2 -- .E83 1994eb</t>
  </si>
  <si>
    <t>Freire, Paulo, -- 1921-1997. ; Education, Higher -- Philosophy -- Congresses. ; Popular education -- Congresses. ; Critical pedagogy -- Congresses.</t>
  </si>
  <si>
    <t>The Success Ethic, Education, and the American Dream</t>
  </si>
  <si>
    <t>DeVitis, Joseph L.;Rich, John Martin</t>
  </si>
  <si>
    <t>BJ1611.2 -- .D45 1996eb</t>
  </si>
  <si>
    <t>170/.973</t>
  </si>
  <si>
    <t>Success. ; Conduct of life. ; Ethics.</t>
  </si>
  <si>
    <t>Teacher Induction and Mentoring : School-Based Collaborative Programs</t>
  </si>
  <si>
    <t>DeBolt, Gary P.;Marine-Dershimer, Greta</t>
  </si>
  <si>
    <t>LB1729 -- .T44 1992eb</t>
  </si>
  <si>
    <t>Teacher orientation -- United States. ; Mentoring in education -- United States.</t>
  </si>
  <si>
    <t>At-Risk Students : Portraits, Policies, Programs, and Practices</t>
  </si>
  <si>
    <t>Donmoyer, Robert;Kos, Raylene;Donmoyer/Kos,</t>
  </si>
  <si>
    <t>LC4091 -- .A925 1993eb</t>
  </si>
  <si>
    <t>371.96/7</t>
  </si>
  <si>
    <t>Children with social disabilities -- Education -- United States. ; Children with social disabilities -- Education -- United States -- Case studies.</t>
  </si>
  <si>
    <t>Teacher Burnout in the Public Schools : Structural Causes and Consequences for Children</t>
  </si>
  <si>
    <t>Dworkin, A. Gary</t>
  </si>
  <si>
    <t>LB2840.2.D96 1987</t>
  </si>
  <si>
    <t>Faculty integration -- Texas -- Houston -- Longitudinal studies. ; Teacher turnover -- Texas -- Houston -- Longitudinal studies. ; Burn out (Psychology) -- Longitudinal studies. ; Teachers -- Job stress -- Texas -- Houston -- Longitudinal studies.</t>
  </si>
  <si>
    <t>Community, Collaboration, and Collegiality in School Reform : An Odyssey Toward Connections</t>
  </si>
  <si>
    <t>Dorsch, Nina G.</t>
  </si>
  <si>
    <t>LB2805 -- .D67 1998eb</t>
  </si>
  <si>
    <t>School management and organization -- United States. ; Educational change -- United States. ; Group work in education -- United States.</t>
  </si>
  <si>
    <t>Critical Postmodernism in Human Movement, Physical Education, and Sport</t>
  </si>
  <si>
    <t>Fernandez-Balboa, Juan-Miguel</t>
  </si>
  <si>
    <t>SUNY Series on Sport, Culture, and Social Relations Series</t>
  </si>
  <si>
    <t>GV342.27 -- .C75 1997eb</t>
  </si>
  <si>
    <t>306.4/83</t>
  </si>
  <si>
    <t>Physical education and training -- Social aspects. ; Sports -- Social aspects. ; Human locomotion -- Social aspects. ; Critical pedagogy. ; Postmodernism and education.</t>
  </si>
  <si>
    <t>Pedagogy of Praxis : A Dialectical Philosophy of Education</t>
  </si>
  <si>
    <t>Gadotti, Moacir;Milton, John;Freire, Paulo</t>
  </si>
  <si>
    <t>LB880.G24 1996</t>
  </si>
  <si>
    <t>Education -- Philosophy. ; Dialectic. ; Critical pedagogy -- Philosophy. ; Pragmatism. ; Educational equalization -- Philosophy.</t>
  </si>
  <si>
    <t>Schooling in the Light of Popular Culture</t>
  </si>
  <si>
    <t>Farber, Paul;Provenzo Jr., Eugene F.;Holm, Gunilla</t>
  </si>
  <si>
    <t>LC191.4 -- .S35 1994eb</t>
  </si>
  <si>
    <t>Education -- Social aspects -- United States. ; Popular culture -- United States. ; Education in popular culture -- United States.</t>
  </si>
  <si>
    <t>Reading Paulo Freire : His Life and Work</t>
  </si>
  <si>
    <t>Gadotti, Moacir;Milton, John;Torres, Carlos A.</t>
  </si>
  <si>
    <t>LB880.F732 -- G34 1994eb</t>
  </si>
  <si>
    <t>Freire, Paulo, -- 1921-1997. ; Educators -- Brazil -- Biography. ; Education -- Philosophy. ; Popular education. ; Critical pedagogy.</t>
  </si>
  <si>
    <t>Redesigning Teaching : Professionalism or Bureaucracy?</t>
  </si>
  <si>
    <t>Firestone, William A.;Bader, Beth D.</t>
  </si>
  <si>
    <t>LB1775.2 -- .F57 1992eb</t>
  </si>
  <si>
    <t>371.1/00973</t>
  </si>
  <si>
    <t>Teachers -- United States -- Case studies. ; Education and state -- United States -- Case studies. ; Educational change -- United States -- Case studies.</t>
  </si>
  <si>
    <t>Self and School Success : Voices and Lore of Inner-City Students</t>
  </si>
  <si>
    <t>Farrell, Edwin</t>
  </si>
  <si>
    <t>SUNY Series, Studying the Self Series</t>
  </si>
  <si>
    <t>LC4091 -- .F37 1994eb</t>
  </si>
  <si>
    <t>371.96/7/097471</t>
  </si>
  <si>
    <t>Children with social disabilities -- New York (State) -- New York -- Attitudes. ; Children with social disabilities -- Education -- New York (State) -- New York. ; Children with social disabilities -- New York (State) -- New York -- Interviews. ; Identity (Psychology) ; Ego (Psychology) ; Educational surveys -- New York (State) -- New York.</t>
  </si>
  <si>
    <t>From Backwardness to At-Risk : Childhood Learning Difficulties and the Contradictions of School Reform</t>
  </si>
  <si>
    <t>Franklin, Barry M.</t>
  </si>
  <si>
    <t>LC4705 -- .F73 1994eb</t>
  </si>
  <si>
    <t>Learning disabled children -- Education -- United States -- History. ; Children with mental disabilities -- Education -- Georgia -- Atlanta -- Case studies. ; Learning disabled children -- Education -- Minnesota -- Minneapolis -- Case studies.</t>
  </si>
  <si>
    <t>Re Visioning Composition Textbooks : Conflicts of Culture, Ideology, and Pedagogy</t>
  </si>
  <si>
    <t>Gale, Xin Liu;Gale, Fredric G.;Gale, Xin Liu</t>
  </si>
  <si>
    <t>PE1404 -- .R46 1999eb</t>
  </si>
  <si>
    <t>English language -- Rhetoric -- Textbooks -- History -- 20th century. ; English language -- Rhetoric -- Study and teaching -- Social aspects. ; English language -- Rhetoric -- Study and teaching -- Political aspects. ; English language -- Rhetoric -- Textbooks -- Publishing. ; Report writing -- Study and teaching. ; Cultural pluralism. ; Culture conflict.</t>
  </si>
  <si>
    <t>Teachers, Discourses, and Authority in the Postmodern Composition Classroom</t>
  </si>
  <si>
    <t>Gale, Xin Liu</t>
  </si>
  <si>
    <t>PE1404 -- .G35 1996eb</t>
  </si>
  <si>
    <t>English language -- Rhetoric -- Study and teaching. ; English language -- Discourse analysis. ; Report writing -- Study and teaching. ; English teachers -- Training of. ; Postmodernism. ; Authority.</t>
  </si>
  <si>
    <t>Affirmative Action's Testament of Hope : Strategies for a New Era in Higher Education</t>
  </si>
  <si>
    <t>Garcia, Mildred</t>
  </si>
  <si>
    <t>LC212.42 -- .A39 1997eb</t>
  </si>
  <si>
    <t>Discrimination in higher education -- United States -- Prevention. ; Affirmative action programs -- United States. ; Universities and colleges -- United States -- Admission. ; College teachers -- Selection and appointment -- United States. ; Minorities -- Education (Higher) -- United States.</t>
  </si>
  <si>
    <t>The Dimensions of Time and the Challenge of School Reform</t>
  </si>
  <si>
    <t>Gándara, Patricia;Brunner, C. Cryss</t>
  </si>
  <si>
    <t>LB3032 -- .D55 2000eb</t>
  </si>
  <si>
    <t>Schedules, School -- United States. ; Time management -- United States. ; Educational change -- United States.</t>
  </si>
  <si>
    <t>Coloring Outside the Lines : Mentoring Women into School Leadership</t>
  </si>
  <si>
    <t>Gardiner, Mary E.;Enomoto, Ernestine;Grogan, Margaret</t>
  </si>
  <si>
    <t>LB2831.82 -- .G37 2000eb</t>
  </si>
  <si>
    <t>371.2/0082</t>
  </si>
  <si>
    <t>Women school administrators -- United States -- Interviews. ; Feminism and education -- United States -- Case studies. ; Mentoring in education -- United States -- Case studies.</t>
  </si>
  <si>
    <t>Over the Ivy Walls : The Educational Mobility of Low-Income Chicanos</t>
  </si>
  <si>
    <t>Gándara, Patricia</t>
  </si>
  <si>
    <t>LC2683.6 -- .G36 1995eb</t>
  </si>
  <si>
    <t>371.97/6872073</t>
  </si>
  <si>
    <t>Mexican Americans -- Education (Higher) -- Social aspects. ; Mexican Americans -- Education (Higher) -- Economic aspects. ; Academic achievement -- United States. ; Educational sociology -- United States.</t>
  </si>
  <si>
    <t>The Development of Multiplicative Reasoning in the Learning of Mathematics</t>
  </si>
  <si>
    <t>Harel, Guershon;Confrey, Jere;Harel, Guershon;Confrey, Jere</t>
  </si>
  <si>
    <t>SUNY Series, Reform in Mathematics Education Series</t>
  </si>
  <si>
    <t>QA135.5 -- .D49 1994eb</t>
  </si>
  <si>
    <t>372.7/2044</t>
  </si>
  <si>
    <t>Mathematics -- Study and teaching (Elementary) ; Multiplication. ; Division.</t>
  </si>
  <si>
    <t>Principal Succession : Establishing Leadership in Schools</t>
  </si>
  <si>
    <t>Hart, Ann Weaver</t>
  </si>
  <si>
    <t>LB2831.92 -- .H37 1993eb</t>
  </si>
  <si>
    <t>School principals -- United States. ; Leadership -- United States.</t>
  </si>
  <si>
    <t>Integrated Curriculum and Developmentally Appropriate Practice : Birth to Age Eight</t>
  </si>
  <si>
    <t>Hart, Craig H.;Burts, Diane C.;Charlesworth, Rosalind</t>
  </si>
  <si>
    <t>SUNY Series, Early Childhood Education: Inquiries and Insights Series</t>
  </si>
  <si>
    <t>LB1139.4 -- .I58 1997eb</t>
  </si>
  <si>
    <t>Early childhood education -- Curricula -- United States. ; Child development -- United States. ; Curriculum planning -- United States. ; Interdisciplinary approach in education -- United States.</t>
  </si>
  <si>
    <t>Change in Schools : Facilitating the Process</t>
  </si>
  <si>
    <t>Hall, Gene;Hord, Shirley</t>
  </si>
  <si>
    <t>LB2822.82 -- .H35 1987eb</t>
  </si>
  <si>
    <t>School improvement programs -- United States. ; Curriculum change -- United States. ; School principals -- Attitudes -- United States.</t>
  </si>
  <si>
    <t>On Literacy and Its Teaching : Issues in English Education</t>
  </si>
  <si>
    <t>Hawisher, Gail E.;Soter, Anna O.;Purves, Alan C.</t>
  </si>
  <si>
    <t>SUNY Series, Literacy, Culture, and Learning: Theory and Practice Series</t>
  </si>
  <si>
    <t>LB1631 -- .O56 1990eb</t>
  </si>
  <si>
    <t>English language -- Study and teaching (Secondary) -- United States. ; English teachers -- Training of -- United States.</t>
  </si>
  <si>
    <t>Time and Learning in the Special Education Classroom</t>
  </si>
  <si>
    <t>Goodman, Libby</t>
  </si>
  <si>
    <t>SUNY Series in Special Education Series</t>
  </si>
  <si>
    <t>LC3965 -- .G58 1990eb</t>
  </si>
  <si>
    <t>Special education. ; Teachers -- Time management.</t>
  </si>
  <si>
    <t>The Business of Reforming American Schools</t>
  </si>
  <si>
    <t>Gelberg, Denise</t>
  </si>
  <si>
    <t>LA212 -- .G35 1997eb</t>
  </si>
  <si>
    <t>Educational change -- United States -- History. ; Education -- Aims and objectives -- United States. ; Business and education -- United States -- History.</t>
  </si>
  <si>
    <t>Voices of Women Aspiring to the Superintendency</t>
  </si>
  <si>
    <t>Grogan, Margaret</t>
  </si>
  <si>
    <t>LB2831.83 -- .G76 1996eb</t>
  </si>
  <si>
    <t>Women school administrators -- United States -- Interviews. ; Women school principals -- United States -- Interviews. ; Women school superintendents -- United States. ; Feminism and education -- United States.</t>
  </si>
  <si>
    <t>Teacher Education Policy : Narratives, Stories, and Cases</t>
  </si>
  <si>
    <t>Gideonse, Hendrik D.</t>
  </si>
  <si>
    <t>LB1715 -- .T423 1992eb</t>
  </si>
  <si>
    <t>370/.71/0973</t>
  </si>
  <si>
    <t>Teachers -- Training of -- United States. ; Education and state -- United States.</t>
  </si>
  <si>
    <t>Educating Black Males : Critical Lessons in Schooling, Community, and Power</t>
  </si>
  <si>
    <t>Hopkins, Ronnie</t>
  </si>
  <si>
    <t>SUNY Series, Urban Voices, Urban Visions Series</t>
  </si>
  <si>
    <t>LC2731 -- .H66 1997eb</t>
  </si>
  <si>
    <t>African American young men -- Education. ; African American men -- Education. ; Educational innovations -- United States. ; Community and school -- United States.</t>
  </si>
  <si>
    <t>Parent-School Collaboration : Feminist Organizational Structures and School Leadership</t>
  </si>
  <si>
    <t>Gardiner, Mary E.;Henry, Mary E.</t>
  </si>
  <si>
    <t>LC225.3 -- .H468 1996eb</t>
  </si>
  <si>
    <t>370.19/312</t>
  </si>
  <si>
    <t>Home and school -- United States. ; Feminism and education -- United States. ; School management and organization -- United States.</t>
  </si>
  <si>
    <t>Literacy As Social Exchange : Intersections of Class, Gender, and Culture</t>
  </si>
  <si>
    <t>Hourigan, Maureen M.</t>
  </si>
  <si>
    <t>LC151 -- .H68 1994eb</t>
  </si>
  <si>
    <t>370.19/2/0973</t>
  </si>
  <si>
    <t>Literacy -- Social aspects -- United States. ; Educational anthropology -- United States. ; Critical pedagogy -- United States. ; Multicultural education -- United States.</t>
  </si>
  <si>
    <t>Empowering Ourselves and Transforming Schools : Educators Making a Difference</t>
  </si>
  <si>
    <t>Irwin, Judith W.</t>
  </si>
  <si>
    <t>LB2805 -- .I7 1996eb</t>
  </si>
  <si>
    <t>Educational change -- United States. ; School management and organization -- United States. ; Educational change -- United States -- Case studies.</t>
  </si>
  <si>
    <t>Cooperative Learning in Context : An Educational Innovation in Everyday Classrooms</t>
  </si>
  <si>
    <t>Jacob, Evelyn</t>
  </si>
  <si>
    <t>LB1032 -- .J33 1999eb</t>
  </si>
  <si>
    <t>Group work in education -- United States -- Case studies. ; Team learning approach in education -- United States -- Case studies. ; Effective teaching -- United States -- Case studies. ; Educational change -- United States -- Case studies.</t>
  </si>
  <si>
    <t>Teachers' Everyday Use of Imagination and Intuition : In Pursuit of the Elusive Image</t>
  </si>
  <si>
    <t>Jagla, Virginia M.</t>
  </si>
  <si>
    <t>LB1025.3 -- .J34 1994eb</t>
  </si>
  <si>
    <t>Teachers. ; Teaching. ; Imagination. ; Intuition. ; Classroom management.</t>
  </si>
  <si>
    <t>Collaborative Reform and Other Improbable Dreams : The Challenges of Professional Development Schools</t>
  </si>
  <si>
    <t>Johnston-Parsons, Marilyn;Brosnan, Patti;Cramer, Don;Dove, Tim</t>
  </si>
  <si>
    <t>LB2154.A3 -- C65 2000eb</t>
  </si>
  <si>
    <t>Laboratory schools -- United States. ; Educational change -- United States.</t>
  </si>
  <si>
    <t>Women's Education in the Third World : Comparative Perspectives</t>
  </si>
  <si>
    <t>Kelly, Gail P.;Elliott, Carolyn M</t>
  </si>
  <si>
    <t>LC2607 -- .W65 1982eb</t>
  </si>
  <si>
    <t>Women -- Education. ; Developing countries -- Education.</t>
  </si>
  <si>
    <t>The High Status Track : Studies of Elite Schools and Stratification</t>
  </si>
  <si>
    <t>Kingston, Paul W.;Lewis, Lionel S.</t>
  </si>
  <si>
    <t>LC4941 -- .H54 1990eb</t>
  </si>
  <si>
    <t>371.96/2/0973</t>
  </si>
  <si>
    <t>Upper class -- Education -- United States. ; Social status -- United States. ; Power (Social sciences)</t>
  </si>
  <si>
    <t>Laura and Jim and What They Taught Me about the Gap Between Educational Theory and Practice</t>
  </si>
  <si>
    <t>Kagan, Dona M.</t>
  </si>
  <si>
    <t>LB1777.2 -- .K64 1993eb</t>
  </si>
  <si>
    <t>373.11/00473</t>
  </si>
  <si>
    <t>High school teachers -- United States -- Case studies. ; College teachers -- United States -- Case studies. ; Teaching -- Political aspects. ; Teachers -- Training of -- Political aspects -- United States. ; Education -- United States -- Philosophy.</t>
  </si>
  <si>
    <t>Troubled Times for American Higher Education : The 1990s and Beyond</t>
  </si>
  <si>
    <t>LA227.4 -- .K47 1993eb</t>
  </si>
  <si>
    <t>Education, Higher -- Aims and objectives -- United States. ; Education, Higher -- Social aspects -- United States. ; Education, Higher -- Economic aspects -- United States.</t>
  </si>
  <si>
    <t>Alternative American Schools : Ideals in Action</t>
  </si>
  <si>
    <t>Korn, Claire V.</t>
  </si>
  <si>
    <t>LB1029.F7 -- K58 1990eb</t>
  </si>
  <si>
    <t>371/.04</t>
  </si>
  <si>
    <t>Free schools -- United States.</t>
  </si>
  <si>
    <t>Youth Development and Critical Education : The Promise of Democratic Action</t>
  </si>
  <si>
    <t>Lakes, Richard D.</t>
  </si>
  <si>
    <t>LC1036.5 -- .L35 1996eb</t>
  </si>
  <si>
    <t>Community education -- United States. ; Critical pedagogy -- United States. ; Youth with social disabilities -- Education -- United States.</t>
  </si>
  <si>
    <t>The Cultural Production of the Educated Person : Critical Ethnographies of Schooling and Local Practice</t>
  </si>
  <si>
    <t>Levinson, Bradley A.;Foley, Douglas E.;Holland, Dorothy C.;Weis, Lois</t>
  </si>
  <si>
    <t>SUNY Series, Power, Social Identity, and Education Series</t>
  </si>
  <si>
    <t>LB45 -- .C83 1996eb</t>
  </si>
  <si>
    <t>370.1/92</t>
  </si>
  <si>
    <t>Educational anthropology -- Case studies. ; Educational sociology -- Case studies. ; Critical pedagogy -- Case studies. ; Ethnicity -- Case studies.</t>
  </si>
  <si>
    <t>Effective School District Leadership : Transforming Politics into Education</t>
  </si>
  <si>
    <t>Leithwood, Kenneth;Leithwood, K</t>
  </si>
  <si>
    <t>LB2831.726.C2 -- E33 1995eb</t>
  </si>
  <si>
    <t>371.2/011/09713</t>
  </si>
  <si>
    <t>School superintendents -- Ontario. ; Educational leadership -- Ontario. ; School management and organization -- Ontario.</t>
  </si>
  <si>
    <t>The Role of Self in Teacher Development</t>
  </si>
  <si>
    <t>Lipka, Richard P.;Brinthaupt, Thomas M.</t>
  </si>
  <si>
    <t>LB1775.2 -- .R65 1999eb</t>
  </si>
  <si>
    <t>371.1/0023</t>
  </si>
  <si>
    <t>Teachers -- United States -- Psychology. ; Teachers -- Training of -- United States. ; First year teachers -- United States -- Attitudes. ; Teacher effectiveness -- United States. ; Self.</t>
  </si>
  <si>
    <t>Conversations with Educational Leaders : Contemporary Viewpoints on Education in America</t>
  </si>
  <si>
    <t>LC191.4 -- .L63 1997eb</t>
  </si>
  <si>
    <t>Education -- Social aspects -- United States. ; Educational leadership -- United States. ; Educational change -- United States. ; School management and organization -- United States.</t>
  </si>
  <si>
    <t>Going to School : The African-American Experience</t>
  </si>
  <si>
    <t>Lomotey, Kofi</t>
  </si>
  <si>
    <t>LC2771 -- .G65 1990eb</t>
  </si>
  <si>
    <t>370/.89/96073</t>
  </si>
  <si>
    <t>African Americans -- Education. ; African American students -- Social conditions. ; Academic achievement -- United States. ; Achievement tests -- United States. ; School improvement programs -- United States -- Case studies.</t>
  </si>
  <si>
    <t>Pedagogy, Printing and Protestantism : The Discourse on Childhood</t>
  </si>
  <si>
    <t>Luke, Carmen</t>
  </si>
  <si>
    <t>LA721.4 -- .L84 1989eb</t>
  </si>
  <si>
    <t>370/.943</t>
  </si>
  <si>
    <t>Education -- Germany -- History -- 16th century. ; Child rearing -- Germany -- History -- 16th century. ; Printing -- Germany -- History -- 16th century. ; Printing -- Social aspects -- Germany. ; Protestant churches -- Germany -- History -- 16th century. ; Reformation -- Germany. ; Technology and civilization.</t>
  </si>
  <si>
    <t>Interactive Technologies and the Social Studies : Emerging Issues and Applications</t>
  </si>
  <si>
    <t>Martorella, Peter H.</t>
  </si>
  <si>
    <t>SUNY Series, Theory, Research, and Practice in Social Education Series</t>
  </si>
  <si>
    <t>H62 -- .I67 1997eb</t>
  </si>
  <si>
    <t>300/.7</t>
  </si>
  <si>
    <t>Social sciences -- Study and teaching. ; Interactive multimedia.</t>
  </si>
  <si>
    <t>Social Theory and Education : A Critique of Theories of Social and Cultural Reproduction</t>
  </si>
  <si>
    <t>Morrow, Raymond Allen;Torres, Carlos Alberto</t>
  </si>
  <si>
    <t>LC191 -- .M67 1995eb</t>
  </si>
  <si>
    <t>Educational sociology. ; Education -- Philosophy. ; Critical theory. ; Critical pedagogy.</t>
  </si>
  <si>
    <t>Computers, Cognition, and Writing Instruction</t>
  </si>
  <si>
    <t>Montague, Marjorie</t>
  </si>
  <si>
    <t>SUNY Series in Computers in Education Series</t>
  </si>
  <si>
    <t>LB1576.7.M66 1990</t>
  </si>
  <si>
    <t>428/.0078</t>
  </si>
  <si>
    <t>English language -- Computer-assisted instruction. ; English language -- Composition and exercises. ; Report writing -- Study and teaching. ; Word processing in education.</t>
  </si>
  <si>
    <t>Removing College Price Barriers : What Government Has Done and Why It Hasn't Worked</t>
  </si>
  <si>
    <t>Mumper, Michael</t>
  </si>
  <si>
    <t>LB2342 -- .M76 1996eb</t>
  </si>
  <si>
    <t>378/.02</t>
  </si>
  <si>
    <t>Universities and colleges -- United States -- Finance. ; Federal aid to higher education -- United States. ; Government aid to higher education -- United States.</t>
  </si>
  <si>
    <t>Feminisms and Pedagogies of Everyday Life</t>
  </si>
  <si>
    <t>LC197 -- .F466 1996eb</t>
  </si>
  <si>
    <t>Feminism and education. ; Critical pedagogy. ; Social learning. ; Women -- Socialization. ; Sex role.</t>
  </si>
  <si>
    <t>Education and the Soul : Toward a Spiritual Curriculum</t>
  </si>
  <si>
    <t>Miller, John P.;Moore, Thomas</t>
  </si>
  <si>
    <t>LC268 -- .M52 2000eb</t>
  </si>
  <si>
    <t>Moral education. ; Spiritual formation. ; Education -- Curricula. ; Soul.</t>
  </si>
  <si>
    <t>Participatory Action Research : International Contexts and Consequences</t>
  </si>
  <si>
    <t>McTaggart, Robin</t>
  </si>
  <si>
    <t>LB1028.24 -- .P36 1997eb</t>
  </si>
  <si>
    <t>Action research in education -- Cross-cultural studies.</t>
  </si>
  <si>
    <t>Learning Disabilities : Appropriate Practices for a Diverse Population</t>
  </si>
  <si>
    <t>LC4705 -- .M46 1998eb</t>
  </si>
  <si>
    <t>Learning disabled children -- Education -- United States. ; Children of minorities -- Education -- United States. ; Learning disabled children -- United States -- Social conditions. ; Children of minorities -- United States -- Social conditions. ; Learning disabled children -- Services for -- United States. ; Learning disabilities -- United States.</t>
  </si>
  <si>
    <t>Shaping the Preschool Agenda : Early Literacy, Public Policy, and Professional Beliefs</t>
  </si>
  <si>
    <t>McGill-Franzen, Anne</t>
  </si>
  <si>
    <t>LB1132 -- .M33 1993eb</t>
  </si>
  <si>
    <t>Readiness for school. ; Education, Preschool -- Curricula -- United States. ; Children with social disabilities -- Education -- United States. ; Reading -- United States. ; Educational equalization -- United States.</t>
  </si>
  <si>
    <t>Approaches to Administrative Training in Education</t>
  </si>
  <si>
    <t>Murphy, Joseph F.;Hallinger, Philip</t>
  </si>
  <si>
    <t>LB2831.8 -- .A66 1987eb</t>
  </si>
  <si>
    <t>School administrators -- Training of. ; School administrators -- Training of -- United States.</t>
  </si>
  <si>
    <t>Democratic Teacher Education : Programs, Processes, Problems, and Prospects</t>
  </si>
  <si>
    <t>Novak, John</t>
  </si>
  <si>
    <t>LB1715 -- .D45 1994eb</t>
  </si>
  <si>
    <t>370.71/0973</t>
  </si>
  <si>
    <t>Teachers -- Training of -- United States. ; Democracy -- Study and teaching -- United States. ; Teaching -- Philosophy.</t>
  </si>
  <si>
    <t>Education, Modernity, and Fractured Meaning : Toward a Process Theory of Teaching and Learning</t>
  </si>
  <si>
    <t>Oliver, Donald W.;Gershman, Kathleen Waldron</t>
  </si>
  <si>
    <t>SUNY Series in Philosophy Series</t>
  </si>
  <si>
    <t>LB885.O44 -- E38 1989eb</t>
  </si>
  <si>
    <t>Education -- Philosophy. ; Process philosophy. ; Curriculum planning.</t>
  </si>
  <si>
    <t>The School Within Us : The Creation of an Innovative Public School</t>
  </si>
  <si>
    <t>Nehring, James</t>
  </si>
  <si>
    <t>LD7501.D3746 -- N44 1998eb</t>
  </si>
  <si>
    <t>373.747/43</t>
  </si>
  <si>
    <t>Bethlehem Central Lab School (Delmar, N.Y.) ; High schools -- New York (State) -- Bethlehem -- Case studies. ; Educational innovations -- New York (State) -- Bethlehem -- Case studies. ; School management and organization -- New York (State) -- Bethlehem -- Case studies. ; Laboratory schools -- New York (State) -- Bethlehem -- Case studies.</t>
  </si>
  <si>
    <t>Academic and Workplace Sexual Harassment : A Resource Manual</t>
  </si>
  <si>
    <t>Paludi, Michele A.;Barickman, Richard B.</t>
  </si>
  <si>
    <t>SUNY Series, the Psychology of Women Series</t>
  </si>
  <si>
    <t>LC212.862 -- .P35 1991eb</t>
  </si>
  <si>
    <t>331.4/133</t>
  </si>
  <si>
    <t>Sexual harassment in universities and colleges -- United States. ; Sex discrimination in employment -- United States. ; Sexual harassment of women -- United States.</t>
  </si>
  <si>
    <t>Hurricane Andrew, the Public Schools, and the Rebuilding of Community</t>
  </si>
  <si>
    <t>Provenzo Jr., Eugene F.;Fradd, Sandra H.</t>
  </si>
  <si>
    <t>LA259.D3 -- P76 1995eb</t>
  </si>
  <si>
    <t>371/.01/0975938</t>
  </si>
  <si>
    <t>Public schools -- Florida -- Miami-Dade County. ; Community and school -- Florida -- Miami-Dade County. ; Hurricane Andrew, 1992.</t>
  </si>
  <si>
    <t>John Dewey and the Paradox of Liberal Reform</t>
  </si>
  <si>
    <t>Paringer, William Andrew</t>
  </si>
  <si>
    <t>SUNY Series, Global Conflict and Peace Education Series</t>
  </si>
  <si>
    <t>LB875.D5 -- P37 1990eb</t>
  </si>
  <si>
    <t>370/.1/092 B</t>
  </si>
  <si>
    <t>Dewey, John, -- 1859-1952. ; Education -- Philosophy.</t>
  </si>
  <si>
    <t>Education and Women's Work : Female Schooling and the Division of Labor in Urban America, 1870-1930</t>
  </si>
  <si>
    <t>Rury, John L.</t>
  </si>
  <si>
    <t>SUNY Series on Women and Work Series</t>
  </si>
  <si>
    <t>LC1755 -- .R87 1991eb</t>
  </si>
  <si>
    <t>376/.63/0973</t>
  </si>
  <si>
    <t>Women -- Education (Secondary) -- United States -- History. ; Women -- Employment -- United States -- History. ; United States -- Social conditions -- 1865-1918. ; United States -- Social conditions -- 1918-1932.</t>
  </si>
  <si>
    <t>Teachers' Reading/Teachers' Lives</t>
  </si>
  <si>
    <t>Rummel, Mary Kay;Quintero, Elizabeth P.;Barry, Anne M.</t>
  </si>
  <si>
    <t>LB1029.B55 -- R86 1997eb</t>
  </si>
  <si>
    <t>371.1/0092/2</t>
  </si>
  <si>
    <t>Education -- Biographical methods. ; Teachers -- Books and reading -- United States. ; Teachers -- United States -- Biography. ; Teaching -- United States -- Case studies.</t>
  </si>
  <si>
    <t>Community Service and Higher Learning : Explorations of the Caring Self</t>
  </si>
  <si>
    <t>Rhoads, Robert A.</t>
  </si>
  <si>
    <t>LC220.5 -- .R56 1997eb</t>
  </si>
  <si>
    <t>Service learning -- United States. ; Student volunteers in social service -- United States. ; Community and college -- United States. ; Education, Higher -- Aims and objectives -- United States.</t>
  </si>
  <si>
    <t>The Art of Learning : A Self-Help Manual for Students</t>
  </si>
  <si>
    <t>Ramsland, Katherine M.</t>
  </si>
  <si>
    <t>LB1060 -- .R35 1992eb</t>
  </si>
  <si>
    <t>Learning, Psychology of. ; Thought and thinking. ; Study skills.</t>
  </si>
  <si>
    <t>Ethnomathematics : Challenging Eurocentrism in Mathematics Education</t>
  </si>
  <si>
    <t>Powell, Arthur B.;Frankenstein, Marilyn</t>
  </si>
  <si>
    <t>GN476.15 -- .E85 1997eb</t>
  </si>
  <si>
    <t>Ethnomathematics. ; Mathematics -- Study and teaching. ; Eurocentrism.</t>
  </si>
  <si>
    <t>Social Science; Mathematics</t>
  </si>
  <si>
    <t>Reform in School Mathematics and Authentic Assessment</t>
  </si>
  <si>
    <t>Romberg, Thomas A.;Romberg, Thomas A.</t>
  </si>
  <si>
    <t>QA13 -- .R437 1995eb</t>
  </si>
  <si>
    <t>510/.76</t>
  </si>
  <si>
    <t>Multiple Perspectives on Play in Early Childhood Education</t>
  </si>
  <si>
    <t>Saracho, Olivia N.;Spodek, Bernard</t>
  </si>
  <si>
    <t>LB1139.35.P55 -- M85 1998eb</t>
  </si>
  <si>
    <t>Religious Fundamentalism and American Education : The Battle for the Public Schools</t>
  </si>
  <si>
    <t>Provenzo Jr., Eugene F.</t>
  </si>
  <si>
    <t>LC111 -- .P83 1990eb</t>
  </si>
  <si>
    <t>371/.01/0973</t>
  </si>
  <si>
    <t>Church and education -- United States. ; Public schools -- United States. ; Fundamentalism.</t>
  </si>
  <si>
    <t>Bilingualism Through Schooling : Cross-Cultural Education for Minority and Majority Students</t>
  </si>
  <si>
    <t>Ramirez, Arnulfo G.</t>
  </si>
  <si>
    <t>LC3731 -- .R36 1985eb</t>
  </si>
  <si>
    <t>Education, Bilingual -- United States. ; English language -- Study and teaching (Elementary) -- Foreign speakers. ; English language -- Study and teaching -- Bilingual method. ; Children of minorities -- Education -- United States.</t>
  </si>
  <si>
    <t>A Legacy of Learning : A History of Western Education</t>
  </si>
  <si>
    <t>Power, Edward J.</t>
  </si>
  <si>
    <t>LA11 -- .P65 1991eb</t>
  </si>
  <si>
    <t>370/.9181/2</t>
  </si>
  <si>
    <t>Education -- History. ; Education -- Europe -- History. ; Education -- United States -- History.</t>
  </si>
  <si>
    <t>Restructuring Schools for Collaboration : Promises and Pitfalls</t>
  </si>
  <si>
    <t>Pounder, Diana G.</t>
  </si>
  <si>
    <t>LB2806 -- .R396 1998eb</t>
  </si>
  <si>
    <t>School management and organization -- United States. ; School-based management -- United States. ; Community and school -- United States. ; Educational change -- United States.</t>
  </si>
  <si>
    <t>Social Studies in Schools : A History of the Early Years</t>
  </si>
  <si>
    <t>Saxe, David Warren</t>
  </si>
  <si>
    <t>300/.71/273</t>
  </si>
  <si>
    <t>Social sciences -- Study and teaching (Secondary) -- United States -- History. ; Social sciences -- Study and teaching (Secondary) -- United States -- History -- Bibliography. ; Civics -- Study and teaching (Secondary) -- United States -- History.</t>
  </si>
  <si>
    <t>School Recess and Playground Behavior : Educational and Developmental Roles</t>
  </si>
  <si>
    <t>LB3033 -- .P45 1995eb</t>
  </si>
  <si>
    <t>School recess breaks. ; Play -- United States. ; Child development. ; Educational surveys -- United States.</t>
  </si>
  <si>
    <t>Modes of Learning : Whitehead's Metaphysics and the Stages of Education</t>
  </si>
  <si>
    <t>Allan, George</t>
  </si>
  <si>
    <t>SUNY at Sixty : The Promise of the State University of New York</t>
  </si>
  <si>
    <t>Clark, John B.;Leslie, W. Bruce;O'Brien, Kenneth P.;Zimpher, Nancy L.</t>
  </si>
  <si>
    <t>Interdisciplinarity and Social Justice : Revisioning Academic Accountability</t>
  </si>
  <si>
    <t>Parker, Joseph D.;Samantrai, Ranu;Romero, Mary</t>
  </si>
  <si>
    <t>SUNY Series, Praxis: Theory in Action Series</t>
  </si>
  <si>
    <t>Educating Democracy : Alexis de Tocqueville and Leadership in America</t>
  </si>
  <si>
    <t>Danoff, Brian</t>
  </si>
  <si>
    <t>Decision Making for Educational Leaders : Underexamined Dimensions and Issues</t>
  </si>
  <si>
    <t>Johnson, Bob L.;Kruse, Sharon D.</t>
  </si>
  <si>
    <t>Literacy with an Attitude, Second Edition : Educating Working-Class Children in Their Own Self-Interest</t>
  </si>
  <si>
    <t>Finn, Patrick J.</t>
  </si>
  <si>
    <t>Unresolved Identities : Discourse, Ambivalence, and Urban Immigrant Students</t>
  </si>
  <si>
    <t>Ngo, Bic;Britzman, Deborah P.</t>
  </si>
  <si>
    <t>SUNY Series, Second Thoughts: New Theoretical Formations Series</t>
  </si>
  <si>
    <t>Mediumism : A Philosophical Reconstruction of Modernism for Existential Learning</t>
  </si>
  <si>
    <t>Arcilla, René V.</t>
  </si>
  <si>
    <t>Teachers Learning in Community : Realities and Possibilities</t>
  </si>
  <si>
    <t>Whitford, Betty Lou;Wood, Diane R.</t>
  </si>
  <si>
    <t>Higher Education and International Student Mobility in the Global Knowledge Economy : Revised and Updated Second Edition</t>
  </si>
  <si>
    <t>Guruz, Kemal;Zimpher, Nancy L.</t>
  </si>
  <si>
    <t>Racism, Public Schooling, and the Entrenchment of White Supremacy : A Critical Race Ethnography</t>
  </si>
  <si>
    <t>Vaught, Sabina E.</t>
  </si>
  <si>
    <t>Disciplining Women : Alpha Kappa Alpha, Black Counterpublics, and the Cultural Politics of Black Sororities</t>
  </si>
  <si>
    <t>Whaley, Deborah Elizabeth</t>
  </si>
  <si>
    <t>LJ31 -- .W43 2010eb</t>
  </si>
  <si>
    <t>Over Ten Million Served : Gendered Service in Language and Literature Workplaces</t>
  </si>
  <si>
    <t>Massé, Michelle A.;Hogan, Katie J.</t>
  </si>
  <si>
    <t>SUNY Series in Feminist Criticism and Theory Series</t>
  </si>
  <si>
    <t>Integral Education : New Directions for Higher Learning</t>
  </si>
  <si>
    <t>Esbjö-Hargens, Sean;Reams, Jonathan;Gunnlaugson, Olen</t>
  </si>
  <si>
    <t>SUNY Series in Integral Theory Series</t>
  </si>
  <si>
    <t>The Making of a Family Saga : Ginling College</t>
  </si>
  <si>
    <t>Feng, Jin</t>
  </si>
  <si>
    <t>378.51/136</t>
  </si>
  <si>
    <t>Splintered Accountability : State Governance and Education Reform</t>
  </si>
  <si>
    <t>Shober, Arnold F.</t>
  </si>
  <si>
    <t>SUNY Series in Public Policy Series</t>
  </si>
  <si>
    <t>379.1/520973</t>
  </si>
  <si>
    <t>School Choice Policies and Outcomes : Empirical and Philosophical Perspectives</t>
  </si>
  <si>
    <t>Feinberg, Walter;Lubienski, Christopher</t>
  </si>
  <si>
    <t>Grade Inflation : Academic Standards in Higher Education</t>
  </si>
  <si>
    <t>Hunt, Lester H.</t>
  </si>
  <si>
    <t>371.27/2</t>
  </si>
  <si>
    <t>Teachers United : The Rise of New York State United Teachers</t>
  </si>
  <si>
    <t>Gaffney, Dennis</t>
  </si>
  <si>
    <t>331.881/13711009747</t>
  </si>
  <si>
    <t>Democratic Dilemmas : Joint Work, Education Politics, and Community</t>
  </si>
  <si>
    <t>Marsh, Julie A.</t>
  </si>
  <si>
    <t>SUNY Series, School Districts: Research, Policy, and Reform Series</t>
  </si>
  <si>
    <t>LA243 -- .M35 2007eb</t>
  </si>
  <si>
    <t>Mexicans and Hispanos in Colorado Schools and Communities, 1920-1960</t>
  </si>
  <si>
    <t>Performing and Reforming Leaders : Gender, Educational Restructuring, and Organizational Change</t>
  </si>
  <si>
    <t>Blackmore, Jill;Sachs, Judyth</t>
  </si>
  <si>
    <t>Authority Is Relational : Rethinking Educational Empowerment</t>
  </si>
  <si>
    <t>Bingham, Charles</t>
  </si>
  <si>
    <t>LA134 -- .B56 2008eb</t>
  </si>
  <si>
    <t>The Rising State : How State Power Is Transforming Our Nation's Schools</t>
  </si>
  <si>
    <t>Fusarelli, Bonnie C.;Cooper, Bruce S.</t>
  </si>
  <si>
    <t>LC89 -- .R57 2009eb</t>
  </si>
  <si>
    <t>John Dewey and Our Educational Prospect : A Critical Engagement with Dewey's Democracy and Education</t>
  </si>
  <si>
    <t>Hansen, David T.</t>
  </si>
  <si>
    <t>Anne Sexton : Teacher of Weird Abundance</t>
  </si>
  <si>
    <t>Salvio, Paula M.;Grumet, Madeleine R.</t>
  </si>
  <si>
    <t>811/.54 B</t>
  </si>
  <si>
    <t>Stories of the Eight-Year Study : Reexamining Secondary Education in America</t>
  </si>
  <si>
    <t>Kridel, Craig;Bullough Jr., Robert V.;Goodlad, John I.</t>
  </si>
  <si>
    <t>LA209 -- .K75 2007eb</t>
  </si>
  <si>
    <t>Teacher Education with an Attitude : Preparing Teachers to Educate Working-Class Students in Their Collective Self-Interest</t>
  </si>
  <si>
    <t>Finn, Patrick J.;Finn, Mary E.</t>
  </si>
  <si>
    <t>Jimmy Carter As Educational Policymaker : Equal Opportunity and Efficiency</t>
  </si>
  <si>
    <t>Michael, Deanna L.</t>
  </si>
  <si>
    <t>The New Institutionalism in Education</t>
  </si>
  <si>
    <t>Meyer, Heinz-Dieter;Rowan, Brian</t>
  </si>
  <si>
    <t>Imitation and Education : A Philosophical Inquiry into Learning by Example</t>
  </si>
  <si>
    <t>Warnick, Bryan R.</t>
  </si>
  <si>
    <t>Strengthening the African American Educational Pipeline : Informing Research, Policy, and Practice</t>
  </si>
  <si>
    <t>Jackson, Jerlando F. L.;Ladson-Billings, Gloria</t>
  </si>
  <si>
    <t>Making Writing Matter : Composition in the Engaged University</t>
  </si>
  <si>
    <t>Feldman, Ann M.</t>
  </si>
  <si>
    <t>Free School Teaching : A Journey into Radical Progressive Education</t>
  </si>
  <si>
    <t>Morrison, Kristan Accles</t>
  </si>
  <si>
    <t>Education Reform in Florida : Diversity and Equity in Public Policy</t>
  </si>
  <si>
    <t>Borman, Kathryn M.;Dorn, Sherman</t>
  </si>
  <si>
    <t>The Way Literacy Lives : Rhetorical Dexterity and Basic Writing Instruction</t>
  </si>
  <si>
    <t>Carter, Shannon</t>
  </si>
  <si>
    <t>Expelling Hope : The Assault on Youth and the Militarization of Schooling</t>
  </si>
  <si>
    <t>Robbins, Christopher G.</t>
  </si>
  <si>
    <t>SUNY Series, INTERRUPTIONS: Border Testimony(ies) and Critical Discourse/s Series</t>
  </si>
  <si>
    <t>LC89 -- .R63 2008eb</t>
  </si>
  <si>
    <t>A Level Playing Field : School Finance in the Northeast</t>
  </si>
  <si>
    <t>Morse, Jane Fowler</t>
  </si>
  <si>
    <t>379.1/10974</t>
  </si>
  <si>
    <t>Educating for Human Rights and Global Citizenship</t>
  </si>
  <si>
    <t>Abdi, Ali A.;Shultz, Lynette</t>
  </si>
  <si>
    <t>The Politics of Inquiry : Education Research and the Culture of Science</t>
  </si>
  <si>
    <t>Baez, Benjamin;Boyles, Deron</t>
  </si>
  <si>
    <t>The Social Studies Curriculum : Purposes, Problems, and Possibilities, Third Edition</t>
  </si>
  <si>
    <t>Ross, E. Wayne</t>
  </si>
  <si>
    <t>LB1584 -- .S6373 2006eb</t>
  </si>
  <si>
    <t>372.83/043</t>
  </si>
  <si>
    <t>Social sciences -- Study and teaching (Elementary) -- Curricula -- United States. ; Social sciences -- Study and teaching (Secondary) -- Curricula -- United States. ; Curriculum planning -- United States.</t>
  </si>
  <si>
    <t>Why Community Matters : Connecting Education with Civic Life</t>
  </si>
  <si>
    <t>Longo, Nicholas V.</t>
  </si>
  <si>
    <t>LC221 -- .L66 2007eb</t>
  </si>
  <si>
    <t>Plagiarism : Alchemy and Remedy in Higher Education</t>
  </si>
  <si>
    <t>Marsh, Bill</t>
  </si>
  <si>
    <t>Late to Class : Social Class and Schooling in the New Economy</t>
  </si>
  <si>
    <t>Van Galen, Jane A.;Noblit, George W.;Apple, Michael W.</t>
  </si>
  <si>
    <t>Struggles over Difference : Curriculum, Texts, and Pedagogy in the Asia-Pacific</t>
  </si>
  <si>
    <t>Nozaki, Yoshiko;Openshaw, Roger;Luke, Allan</t>
  </si>
  <si>
    <t>Triple Takes on Curricular Worlds</t>
  </si>
  <si>
    <t>Doll, Mary Aswell;Wear, Delese;Whitaker, Martha L.</t>
  </si>
  <si>
    <t>375/.0071/1</t>
  </si>
  <si>
    <t>Governance and the Public Good</t>
  </si>
  <si>
    <t>Earnings from Learning : The Rise of for-Profit Universities</t>
  </si>
  <si>
    <t>Breneman, David W.;Pusser, Brian;Turner, Sarah E.</t>
  </si>
  <si>
    <t>Making Modern Lives : Subjectivity, Schooling, and Social Change</t>
  </si>
  <si>
    <t>McLeod, Julie;Yates, Lyn</t>
  </si>
  <si>
    <t>306.43/2/0994</t>
  </si>
  <si>
    <t>Medusa's Ear : University Foundings from Kant to Chora L</t>
  </si>
  <si>
    <t>McCance, Dawne</t>
  </si>
  <si>
    <t>LB2322.2 -- .M33 2004eb</t>
  </si>
  <si>
    <t>Derrida, Jacques. ; Postmodernism and higher education. ; Philosophy, European. ; Education, Higher -- Philosophy.</t>
  </si>
  <si>
    <t>The War That Wasn't : Religious Conflict and Compromise in the Common Schools of New York State, 1865-1900</t>
  </si>
  <si>
    <t>Justice, Benjamin</t>
  </si>
  <si>
    <t>379.2/8/097471</t>
  </si>
  <si>
    <t>The Emancipatory Promise of Charter Schools : Toward a Progressive Politics of School Choice</t>
  </si>
  <si>
    <t>Rofes, Eric;Stulberg, Lisa M.;Gintis, Herbert</t>
  </si>
  <si>
    <t>Graduating Class : Disadvantaged Students Crossing the Bridge of Higher Education</t>
  </si>
  <si>
    <t>Goodwin, Latty L.;Weis, Lois</t>
  </si>
  <si>
    <t>Reforming Schools : Working Within a Progressive Tradition During Conservative Times</t>
  </si>
  <si>
    <t>Goodman, Jesse</t>
  </si>
  <si>
    <t>Meaningful Urban Education Reform : Confronting the Learning Crisis in Mathematics and Science</t>
  </si>
  <si>
    <t>Borman, Kathryn M.</t>
  </si>
  <si>
    <t>QA13 -- .B67 2005eb</t>
  </si>
  <si>
    <t>African Americans and College Choice : The Influence of Family and School</t>
  </si>
  <si>
    <t>Freeman, Kassie;Brown II, M. Christopher</t>
  </si>
  <si>
    <t>Innovations in Teacher Education : A Social Constructivist Approach</t>
  </si>
  <si>
    <t>Beck, Clive;Kosnik, Clare</t>
  </si>
  <si>
    <t>The Well of Being : Childhood, Subjectivity, and Education</t>
  </si>
  <si>
    <t>Kennedy, David</t>
  </si>
  <si>
    <t>Education Empire : The Evolution of an Excellent Suburban School System</t>
  </si>
  <si>
    <t>370/.9755/291</t>
  </si>
  <si>
    <t>Expanding Opportunity in Higher Education : Leveraging Promise</t>
  </si>
  <si>
    <t>Gándara, Patricia;Orfield, Gary;Horn, Catherine L.</t>
  </si>
  <si>
    <t>Grappling with the Good : Talking about Religion and Morality in Public Schools</t>
  </si>
  <si>
    <t>LC111 -- .K86 2006eb</t>
  </si>
  <si>
    <t>Preparing for Inclusive Teaching : Meeting the Challenges of Teacher Education Reform</t>
  </si>
  <si>
    <t>Bondy, Elizabeth;Ross, Dorene D.</t>
  </si>
  <si>
    <t>Urban Education with an Attitude</t>
  </si>
  <si>
    <t>Johnson, Lauri;Finn, Mary E.;Lewis, Rebecca</t>
  </si>
  <si>
    <t>370/.9173/2</t>
  </si>
  <si>
    <t>Peking University : Chinese Scholarship and Intellectuals, 1898-1937</t>
  </si>
  <si>
    <t>Lin, Xiaoqing Diana</t>
  </si>
  <si>
    <t>SUNY Series in Chinese Philosophy and Culture Series</t>
  </si>
  <si>
    <t>From Center to Margins : The Importance of Self-Definition in Research</t>
  </si>
  <si>
    <t>Pollard, Diane S.;Welch, Olga M.;Sleeter, Christine E.</t>
  </si>
  <si>
    <t>Culturally Contested Pedagogy : Battles of Literacy and Schooling Between Mainstream Teachers and Asian Immigrant Parents</t>
  </si>
  <si>
    <t>Li, Guofang</t>
  </si>
  <si>
    <t>371.829/95/073</t>
  </si>
  <si>
    <t>On Spiritual Strivings : Transforming an African American Woman's Academic Life</t>
  </si>
  <si>
    <t>Dillard, Cynthia B.</t>
  </si>
  <si>
    <t>Rethinking Standards Through Teacher Preparation Partnerships</t>
  </si>
  <si>
    <t>Griffin, Gary A.</t>
  </si>
  <si>
    <t>The Racial Crisis in American Higher Education : Continuing Challenges for the Twenty-First Century, Revised Edition</t>
  </si>
  <si>
    <t>Smith, William A.;Altbach, Philip G.;Lomotey, Kofi</t>
  </si>
  <si>
    <t>Reeducating the Educator : Global Perspectives on Community Building</t>
  </si>
  <si>
    <t>Christiansen, Helen;Ramadevi, S.</t>
  </si>
  <si>
    <t>Increasing Access to College : Extending Possibilities for All Students</t>
  </si>
  <si>
    <t>Tierney, William G.;Hagedorn, Linda Serra</t>
  </si>
  <si>
    <t>Universal Preschool : Policy Change, Stability, and the Pew Charitable Trusts</t>
  </si>
  <si>
    <t>Bushouse, Brenda K.</t>
  </si>
  <si>
    <t>African-Centered Pedagogy : Developing Schools of Achievement for African American Children</t>
  </si>
  <si>
    <t>Murrell Jr., Peter C.</t>
  </si>
  <si>
    <t>Defining and Designing Multiculturalism : One School System's Efforts</t>
  </si>
  <si>
    <t>Leistyna, Pepi;McLaren, Peter L.</t>
  </si>
  <si>
    <t>Deweyan Inquiry : From Education Theory to Practice</t>
  </si>
  <si>
    <t>Johnston, James Scott</t>
  </si>
  <si>
    <t>Women and School Leadership : International Perspectives</t>
  </si>
  <si>
    <t>Reynolds, Cecilia</t>
  </si>
  <si>
    <t>378.1/11/082</t>
  </si>
  <si>
    <t>School As Community : From Promise to Practice</t>
  </si>
  <si>
    <t>Furman, Gail</t>
  </si>
  <si>
    <t>Between Speaking and Silence : A Study of Quiet Students</t>
  </si>
  <si>
    <t>Reda, Mary M.</t>
  </si>
  <si>
    <t>Anti-Racist Scholarship : An Advocacy</t>
  </si>
  <si>
    <t>Scheurich, James Joseph</t>
  </si>
  <si>
    <t>Doing Qualitative Research in Education Settings</t>
  </si>
  <si>
    <t>Natural Discourse : Toward Ecocomposition</t>
  </si>
  <si>
    <t>Dobrin, Sidney I.;Weisser, Christian R.</t>
  </si>
  <si>
    <t>808/.066333</t>
  </si>
  <si>
    <t>The Melting Pot in Israel : The Commission of Inquiry Concerning the Education of Immigrant Children During the Early Years of the State</t>
  </si>
  <si>
    <t>Zameret, Zvi</t>
  </si>
  <si>
    <t>SUNY Series in Israeli Studies</t>
  </si>
  <si>
    <t>303.48/2/095694</t>
  </si>
  <si>
    <t>Prioritizing Urban Children, Teachers, and Schools Through Professional Development Schools</t>
  </si>
  <si>
    <t>Wong, Pia Lindquist;Glass, Ronald David</t>
  </si>
  <si>
    <t>The Very Thought of Education : Psychoanalysis and the Impossible Professions</t>
  </si>
  <si>
    <t>Researching Lived Experience : Human Science for an Action Sensitive Pedagogy</t>
  </si>
  <si>
    <t>LB1028 -- .M2685 1990eb</t>
  </si>
  <si>
    <t>Education -- Research. ; Hermeneutics -- Research. ; Phenomenology -- Research.</t>
  </si>
  <si>
    <t>Intellectual Capital : The Intangible Assets of Professional Development Schools</t>
  </si>
  <si>
    <t>Basile, Carole G.</t>
  </si>
  <si>
    <t>At Home in the World : Human Nature, Ecological Thought, and Education after Darwin</t>
  </si>
  <si>
    <t>Schwartz, Eilon</t>
  </si>
  <si>
    <t>BF341 -- .S38 2009eb</t>
  </si>
  <si>
    <t>370.1/2</t>
  </si>
  <si>
    <t>Education, Empowerment, and Control : The Case of the Arabs in Israel</t>
  </si>
  <si>
    <t>Al-Haj, Majid</t>
  </si>
  <si>
    <t>370/.95694</t>
  </si>
  <si>
    <t>Reconsidering Feminist Research in Educational Leadership</t>
  </si>
  <si>
    <t>Young, Michelle D.;Skrla, Linda</t>
  </si>
  <si>
    <t>371.2/011/082</t>
  </si>
  <si>
    <t>Reinterpreting Urban School Reform : Have Urban Schools Failed, or Has the Reform Movement Failed Urban Schools?</t>
  </si>
  <si>
    <t>Miron, Louis F.;St. John, Edward P.</t>
  </si>
  <si>
    <t>371./00973/091732</t>
  </si>
  <si>
    <t>Practice Makes Practice : A Critical Study of Learning to Teach, Revised Edition</t>
  </si>
  <si>
    <t>Britzman, Deborah P.;Greene, Maxine</t>
  </si>
  <si>
    <t>Arts of Living : Reinventing the Humanities for the Twenty-First Century</t>
  </si>
  <si>
    <t>Spellmeyer, Kurt</t>
  </si>
  <si>
    <t>001.3/071/173</t>
  </si>
  <si>
    <t>Higher Education in the Making : Pragmatism, Whitehead, and the Canon</t>
  </si>
  <si>
    <t>SUNY Series in Constructive Postmodern Thought Series</t>
  </si>
  <si>
    <t>379.1/99</t>
  </si>
  <si>
    <t>Gendered Futures in Higher Education : Critical Perspectives for Change</t>
  </si>
  <si>
    <t>Ropers-Huilman, Becky</t>
  </si>
  <si>
    <t>Learning from the Other : Levinas, Psychoanalysis, and Ethical Possibilities in Education</t>
  </si>
  <si>
    <t>Todd, Sharon</t>
  </si>
  <si>
    <t>LC269 -- .T63 2003eb</t>
  </si>
  <si>
    <t>America Goes to College : Political Theory for the Liberal Arts</t>
  </si>
  <si>
    <t>Seery, John E.</t>
  </si>
  <si>
    <t>Educational Leadership in an Age of Accountability : The Virginia Experience</t>
  </si>
  <si>
    <t>Duke, Daniel L.;Grogan, Margaret;Tucker, Pamela D.;Heinecke, Walter F.</t>
  </si>
  <si>
    <t>379.1/58/09755</t>
  </si>
  <si>
    <t>Who's in Charge of America's Research Universities? : A Blueprint for Reform</t>
  </si>
  <si>
    <t>Tighe, Thomas J.</t>
  </si>
  <si>
    <t>Teaching Cooperative Learning : The Challenge for Teacher Education</t>
  </si>
  <si>
    <t>Cohen, Elizabeth G.;Brody, Celeste M.;Sapon-Shevin, Mara</t>
  </si>
  <si>
    <t>After-Education : Anna Freud, Melanie Klein, and Psychoanalytic Histories of Learning</t>
  </si>
  <si>
    <t>370/.15</t>
  </si>
  <si>
    <t>Burning down the House : Politics, Governance, and Affirmative Action at the University of California</t>
  </si>
  <si>
    <t>Pusser, Brian</t>
  </si>
  <si>
    <t>378.1/61/09794</t>
  </si>
  <si>
    <t>Beyond the Margins : Reflections of a Feminist Philosopher</t>
  </si>
  <si>
    <t>Bell, Linda A.</t>
  </si>
  <si>
    <t>SUNY Series, Feminist Philosophy Series</t>
  </si>
  <si>
    <t>LC197 -- .B45 2003eb</t>
  </si>
  <si>
    <t>The Teacher's Body : Embodiment, Authority, and Identity in the Academy</t>
  </si>
  <si>
    <t>Freedman, Diane P.;Holmes, Martha Stoddard;Garland-Thomson, Rosemarie;Grumet, Madeleine R.</t>
  </si>
  <si>
    <t>Adolescent Lives in Transition : How Social Class Influences the Adjustment to Middle School</t>
  </si>
  <si>
    <t>San Antonio, Donna Marie</t>
  </si>
  <si>
    <t>Boom for Whom? : Education, Desegregation, and Development in Charlotte</t>
  </si>
  <si>
    <t>Smith, Stephen Samuel</t>
  </si>
  <si>
    <t>LC214.523.C48 -- S63 2004eb</t>
  </si>
  <si>
    <t>379.2/63/0975676</t>
  </si>
  <si>
    <t>Busing for school integration -- North Carolina -- Charlotte -- History. ; Education, Urban -- Political aspects -- North Carolina -- Charlotte. ; School improvement programs -- North Carolina -- Charlotte. ; Charlotte (N.C.) -- Politics and government. ; Charlotte (N.C.) -- Economic conditions.</t>
  </si>
  <si>
    <t>A Good Little School</t>
  </si>
  <si>
    <t>Basile, Carole G.;Goodlad, John I.</t>
  </si>
  <si>
    <t>373/.9788/84</t>
  </si>
  <si>
    <t>The Ideology of Education : The Commonwealth, the Market, and America's Schools</t>
  </si>
  <si>
    <t>Smith, Kevin B.</t>
  </si>
  <si>
    <t>Talking about a Revolution : The Languages of Educational Reform</t>
  </si>
  <si>
    <t>Cossentino, Jacqueline</t>
  </si>
  <si>
    <t>Identity Matters : Schooling the Student Body in Academic Discourse</t>
  </si>
  <si>
    <t>LeCourt, Donna</t>
  </si>
  <si>
    <t>Mixed Race Students in College : The Ecology of Race, Identity, and Community on Campus</t>
  </si>
  <si>
    <t>LA229 -- .R45 2004eb</t>
  </si>
  <si>
    <t>378.1/9829/073</t>
  </si>
  <si>
    <t>College students -- United States -- Attitudes. ; College environment -- United States. ; Racially mixed people -- United States. ; Race awareness -- United States. ; Education, Higher -- Social aspects -- United States. ; Educational surveys -- United States. ; United States -- Race relations.</t>
  </si>
  <si>
    <t>Community Action for School Reform</t>
  </si>
  <si>
    <t>371.19/09752/6</t>
  </si>
  <si>
    <t>Red Genesis : The Hunan First Normal School and the Creation of Chinese Communism, 1903-1921</t>
  </si>
  <si>
    <t>Liu, Liyan</t>
  </si>
  <si>
    <t>378.51/215</t>
  </si>
  <si>
    <t>Farmingdale State College : A History</t>
  </si>
  <si>
    <t>Cavaioli, Frank J.</t>
  </si>
  <si>
    <t>Excelsior Editions Series</t>
  </si>
  <si>
    <t>607.747/245</t>
  </si>
  <si>
    <t>Universities and Colleges As Economic Drivers : Measuring Higher Education's Role in Economic Development</t>
  </si>
  <si>
    <t>Lane, Jason E.;Johnstone, D. Bruce;Zimpher, Nancy L.</t>
  </si>
  <si>
    <t>SUNY Series, Critical Issues in Higher Education Series</t>
  </si>
  <si>
    <t>Inside the Undergraduate Teaching Experience : The University of Washington's Growth in Faculty Teaching Study</t>
  </si>
  <si>
    <t>Beyer, Catharine Hoffman;Taylor, Edward;Gillmore, Gerald M.</t>
  </si>
  <si>
    <t>LD5753.B495 2013</t>
  </si>
  <si>
    <t>A Creature of Our Own Making : Reflections on Contemporary Academic Life</t>
  </si>
  <si>
    <t>Olson, Gary A.</t>
  </si>
  <si>
    <t>LA227.4.O57 2013</t>
  </si>
  <si>
    <t>Vernacular Insurrections : Race, Black Protest, and the New Century in Composition-Literacies Studies</t>
  </si>
  <si>
    <t>Kynard, Carmen</t>
  </si>
  <si>
    <t>LC2717.K94 2013</t>
  </si>
  <si>
    <t>College Girl : A Memoir</t>
  </si>
  <si>
    <t>Gray-Rosendale, Laura</t>
  </si>
  <si>
    <t>LA2317.G635A3 2013</t>
  </si>
  <si>
    <t>Running on Empty : The Rise and Fall of Southampton College, 1963-2005</t>
  </si>
  <si>
    <t>Strong, John A.</t>
  </si>
  <si>
    <t>LD3844.S87 2013</t>
  </si>
  <si>
    <t>Higher Education Systems 3. 0 : Harnessing Systemness, Delivering Performance</t>
  </si>
  <si>
    <t>Lane, Jason E.;Johnstone, D. Bruce</t>
  </si>
  <si>
    <t>LC173.H544 2013eb</t>
  </si>
  <si>
    <t>The Principal's Office : A Social History of the American School Principal</t>
  </si>
  <si>
    <t>Rousmaniere, Kate</t>
  </si>
  <si>
    <t>LB2831.92.R68 2013eb</t>
  </si>
  <si>
    <t>Education Feminism : Classic and Contemporary Readings</t>
  </si>
  <si>
    <t>Thayer-Bacon, Barbara J.;Stone, Lynda;Sprecher, Katharine M.</t>
  </si>
  <si>
    <t>LC197.C53 2013eb</t>
  </si>
  <si>
    <t>Subtractive Schooling : U. S. - Mexican Youth and the Politics of Caring</t>
  </si>
  <si>
    <t>Valenzuela, Angela</t>
  </si>
  <si>
    <t>LC2683.4.V354 1999eb</t>
  </si>
  <si>
    <t>371.829/6872073</t>
  </si>
  <si>
    <t>Mexican Americans-Education (Secondary)-Texas-Case studies. ; Children of immigrants-Education (Secondary)-Texas-Case studies. ; Mexican American youth-Texas-Social conditions-Case studies.</t>
  </si>
  <si>
    <t>Inside Ocean Hill-Brownsville : A Teacher's Education, 1968-69</t>
  </si>
  <si>
    <t>Excelsior Editions</t>
  </si>
  <si>
    <t>Isaacs, Charles S.</t>
  </si>
  <si>
    <t>Social Science; Education; Political Science</t>
  </si>
  <si>
    <t>The Pursuit of Wisdom and Happiness in Education : Historical Sources and Contemplative Practices</t>
  </si>
  <si>
    <t>Steel, Sean</t>
  </si>
  <si>
    <t>Education-Philosophy. ; Knowledge, Theory of. ; Happiness.</t>
  </si>
  <si>
    <t>Contemplative Learning and Inquiry Across Disciplines</t>
  </si>
  <si>
    <t>Gunnlaugson, Olen;Sarath, Edward W.;Scott, Charles;Bai, Heesoon</t>
  </si>
  <si>
    <t>LC268.C775 2014eb</t>
  </si>
  <si>
    <t>Building a Smarter University : Big Data, Innovation, and Analytics</t>
  </si>
  <si>
    <t>Lane, Jason E.;Zimpher, Nancy L.</t>
  </si>
  <si>
    <t>LB2395.7.B85 2015</t>
  </si>
  <si>
    <t>Education, Higher--United States--Data processing--Congresses.</t>
  </si>
  <si>
    <t>Faculty Fathers : Toward a New Ideal in the Research University</t>
  </si>
  <si>
    <t>Sallee, Margaret W.</t>
  </si>
  <si>
    <t>College teachers-United States-Leaves of absence-Case studies. ; College teachers-Family relationships-United States-Case studies. ; Male teachers-United States-Leaves of absence-Case studies. ; Male teachers-Family relationships-United States-Case studies. ; Parental leave-United States-Case studies. ; Sex differences in education-United States-Case studies.</t>
  </si>
  <si>
    <t>CFA 2008 Level I Certification : The Candidates 500 Question Concept Check Q&amp;A Workbook for Chartered Financial Analyst</t>
  </si>
  <si>
    <t>TotalRecall Press</t>
  </si>
  <si>
    <t>TotalRecall Publications</t>
  </si>
  <si>
    <t>Friendswood</t>
  </si>
  <si>
    <t>Vessey, Jane;Pamilih, M. Afdal;Stewart, David</t>
  </si>
  <si>
    <t>HG4621.V4772 2008</t>
  </si>
  <si>
    <t>Financial planners -- Study guides. ; Investment advisors -- Study guides.</t>
  </si>
  <si>
    <t>CFA 2008 Level I Certification : With Preliminary Reading Assignments</t>
  </si>
  <si>
    <t>HG4621.V471 2008</t>
  </si>
  <si>
    <t>Learning the Possible : Mexican American Students Moving from the Margins of Life to New Ways of Being</t>
  </si>
  <si>
    <t>University of Arizona Press</t>
  </si>
  <si>
    <t>Tucson</t>
  </si>
  <si>
    <t>Reyes, Reynaldo;Faltis, Christian J.</t>
  </si>
  <si>
    <t>LC2682</t>
  </si>
  <si>
    <t>Mexican American children-Education. ; Mexican American youth-Education. ; Mexican American students-Social conditions.</t>
  </si>
  <si>
    <t>Raza Studies : The Public Option for Educational Revolution</t>
  </si>
  <si>
    <t>Cammarota, Julio;Romero, Augustine;Stovall, David</t>
  </si>
  <si>
    <t>LC2688</t>
  </si>
  <si>
    <t>Tucson Unified School District (Pima County, Ariz.) ; Mexican American children-Education-Arizona-Tucson. ; Mexican Americans-Study and teaching-Arizona-Tucson. ; Critical pedagogy.</t>
  </si>
  <si>
    <t>Aztlán Arizona : Mexican American Educational Empowerment, 1968-1978</t>
  </si>
  <si>
    <t>Echeverría, Darius V.;Echeverría, Darius V.</t>
  </si>
  <si>
    <t>LC2687</t>
  </si>
  <si>
    <t>Academic Freedom and the Inclusive University</t>
  </si>
  <si>
    <t>University of British Columbia Press</t>
  </si>
  <si>
    <t>UBC Press</t>
  </si>
  <si>
    <t>Kahn, Sharon E.;Pavlich, Dennis</t>
  </si>
  <si>
    <t>LC72 -- .A447 2000eb</t>
  </si>
  <si>
    <t>Academic freedom. ; University autonomy. ; Inclusive education.</t>
  </si>
  <si>
    <t>Growth and Governance of Canadian Universities : An Insider's View</t>
  </si>
  <si>
    <t>Clark, Howard C.</t>
  </si>
  <si>
    <t>LA417 -- .C52 2004eb</t>
  </si>
  <si>
    <t>Clark, Howard C. ; Universities and colleges -- Canada. ; Education, Higher -- Canada.</t>
  </si>
  <si>
    <t>Student Affairs : Experiencing Higher Education</t>
  </si>
  <si>
    <t>Andres, Lesley;Finlay, Finola</t>
  </si>
  <si>
    <t>LB2342.9.C3 -- S78 2004eb</t>
  </si>
  <si>
    <t>378.1/98/09711</t>
  </si>
  <si>
    <t>College students -- British Columbia. ; Education, Higher -- British Columbia. ; Academic achievement -- British Columbia. ; College environment -- British Columbia.</t>
  </si>
  <si>
    <t>Early Childhood Care and Education in Canada : Past, Present, and Future</t>
  </si>
  <si>
    <t>Prochner, Larry;Howe, Nina;Howe, Nina</t>
  </si>
  <si>
    <t>LB1139.3.C2 -- E25 2000eb</t>
  </si>
  <si>
    <t>372.21/0971</t>
  </si>
  <si>
    <t>Child care services -- Canada. ; Day care centers -- Canada. ; Early childhood education -- Canada.</t>
  </si>
  <si>
    <t>No Place to Learn : Why Universities Aren't Working</t>
  </si>
  <si>
    <t>Pocklington, Thomas C;Tupper, Allan</t>
  </si>
  <si>
    <t>LB2329.8.C2 -- P63 2002eb</t>
  </si>
  <si>
    <t>Universities and colleges -- Canada. ; Schools -- Canada.</t>
  </si>
  <si>
    <t>Alex Lord's British Columbia : Recollections of a Rural School Inspector, 1915-1936</t>
  </si>
  <si>
    <t>Calam, John;Calam, John</t>
  </si>
  <si>
    <t>The Pioneers of British Columbia Series</t>
  </si>
  <si>
    <t>LA2325.L64 -- L67 1991eb</t>
  </si>
  <si>
    <t>971.1/03</t>
  </si>
  <si>
    <t>Lord, A. R. -- (Alexander Russell), -- 1885-1961. ; Education, Rural -- British Columbia -- History -- 20th century. ; School supervision, Rural -- British Columbia -- History -- 20th century.</t>
  </si>
  <si>
    <t>Power of Words : Literacy and Revolution in South China, 1949-1995</t>
  </si>
  <si>
    <t>Peterson, Glen</t>
  </si>
  <si>
    <t>LC157.C6 -- P476 1997eb</t>
  </si>
  <si>
    <t>302.2/244/09512709045</t>
  </si>
  <si>
    <t>Literacy -- China -- Guangdong Sheng -- History. ; Literacy -- Government policy -- China -- History.</t>
  </si>
  <si>
    <t>Challenge and Opportunity : Canada's Community Colleges at the Crossroads</t>
  </si>
  <si>
    <t>Dennison, John D.</t>
  </si>
  <si>
    <t>LB2328.15.C2 -- C53 1995eb</t>
  </si>
  <si>
    <t>378/.052/0971</t>
  </si>
  <si>
    <t>Community colleges -- Canada. ; Postsecondary education -- Canada.</t>
  </si>
  <si>
    <t>Taking Control : Power and Contradiction in First Nations Adult Education</t>
  </si>
  <si>
    <t>Haig-Brown, Celia</t>
  </si>
  <si>
    <t>E96.65.B7 -- H35 1995eb</t>
  </si>
  <si>
    <t>371.97/97071133</t>
  </si>
  <si>
    <t>Native Education Centre (Vancouver, B.C.) ; Indians of North America -- Education -- British Columbia -- Vancouver. ; Adult education -- British Columbia -- Vancouver.</t>
  </si>
  <si>
    <t>Sexing the Teacher : School Sex Scandals and Queer Pedagogies</t>
  </si>
  <si>
    <t>Cavanagh, Sheila L.</t>
  </si>
  <si>
    <t>Sexuality Studies</t>
  </si>
  <si>
    <t>LB2844.1.C54 -- C38 2007eb</t>
  </si>
  <si>
    <t>Women teachers -- Sexual behavior. ; Child sexual abuse by teachers. ; Sexually abused boys. ; Teacher-student relationships. ; Queer theory. ; Feminist film criticism.</t>
  </si>
  <si>
    <t>Reshaping the University : Responsibility, Indigenous Epistemes, and the Logic of the Gift</t>
  </si>
  <si>
    <t>Kuokkanen, Rauna</t>
  </si>
  <si>
    <t>LB2322.2 -- .K86 2007eb</t>
  </si>
  <si>
    <t>Education, Higher -- Philosophy. ; Education, Higher -- Aims and objectives. ; Education, Humanistic. ; Indigenous peoples -- Education (Higher) ; Ethnophilosophy. ; Discrimination in higher education.</t>
  </si>
  <si>
    <t>Multicultural Education Policies in Canada and the United States</t>
  </si>
  <si>
    <t>Joshee, Reva;Johnson, Lauri</t>
  </si>
  <si>
    <t>LC1099.5.C2 -- M854 2007eb</t>
  </si>
  <si>
    <t>Multicultural education -- Canada. ; Multicultural education -- United States.</t>
  </si>
  <si>
    <t>Canada's Community Colleges : A Critical Analysis</t>
  </si>
  <si>
    <t>Dennison, John D.;Gallagher, Paul</t>
  </si>
  <si>
    <t>LB2328 -- .D38 1986eb</t>
  </si>
  <si>
    <t>Community colleges -- Canada. ; Public universities and colleges -- Canada.</t>
  </si>
  <si>
    <t>Lord of Point Grey : Larry MacKenzie of UBC</t>
  </si>
  <si>
    <t>Waite, P.B.</t>
  </si>
  <si>
    <t>LE3.B79 -- W35 1987eb</t>
  </si>
  <si>
    <t>MacKenzie, Norman, -- 1894-1986. ; University of British Columbia -- History. ; University of British Columbia -- Presidents -- Biography. ; College presidents -- British Columbia -- Biography. ; Legislators -- Canada -- Biography.</t>
  </si>
  <si>
    <t>It's Up to You : Women at UBC in the Early Years</t>
  </si>
  <si>
    <t>Stewart, Lee</t>
  </si>
  <si>
    <t>LE3.B82 -- S74 1990eb</t>
  </si>
  <si>
    <t>University of British Columbia -- History. ; Women college teachers -- British Columbia -- Vancouver -- History. ; Women college students -- British Columbia -- Vancouver -- History.</t>
  </si>
  <si>
    <t>Gordon Shrum : An Autobiography with Peter Stursberg</t>
  </si>
  <si>
    <t>Shrum, Gordon;Stursberg, Peter</t>
  </si>
  <si>
    <t>LA2325.S37 -- A3 1986eb</t>
  </si>
  <si>
    <t>Shrum, Gordon, -- 1896-1985. ; Educators -- British Columbia -- Biography.</t>
  </si>
  <si>
    <t>Growing Up British in British Columbia : Boys in Private School</t>
  </si>
  <si>
    <t>Barman, Jean</t>
  </si>
  <si>
    <t>LC51.2.B7 -- B34 1984eb</t>
  </si>
  <si>
    <t>Private schools -- British Columbia -- History. ; Education -- British Columbia -- British influences. ; Boys -- Education -- British Columbia.</t>
  </si>
  <si>
    <t>The Exchange University : Corporatization of Academic Culture</t>
  </si>
  <si>
    <t>Chan, Adrienne S.;Fisher, Donald</t>
  </si>
  <si>
    <t>LC67.68.C2 -- E84 2008eb</t>
  </si>
  <si>
    <t>338.4/337871</t>
  </si>
  <si>
    <t>Education, Higher -- Economic aspects -- Canada. ; Universities and colleges -- Canada -- Finance. ; Business and education -- Canada. ; Academic spin-outs -- Canada. ; Education, Higher -- Research -- Economic aspects -- Canada. ; Higher education and state -- Canada. ; Enseignement supérieur -- Aspect économique -- Canada.</t>
  </si>
  <si>
    <t>A History of Early Childhood Education in Canada, Australia, and New Zealand</t>
  </si>
  <si>
    <t>Prochner, Larry</t>
  </si>
  <si>
    <t>LB1139.23 -- .P755 2009eb</t>
  </si>
  <si>
    <t>Early childhood education -- History. ; Early childhood education -- Canada -- History. ; Early childhood education -- Australia -- History. ; Early childhood education -- New Zealand -- History.</t>
  </si>
  <si>
    <t>New Possibilities for the Past : Shaping History Education in Canada</t>
  </si>
  <si>
    <t>Clark, Penney</t>
  </si>
  <si>
    <t>F1025 -- .N49 2011eb</t>
  </si>
  <si>
    <t>History -- Study and teaching -- Canada. ; Canada -- History -- Study and teaching.</t>
  </si>
  <si>
    <t>Academic Careers and the Gender Gap</t>
  </si>
  <si>
    <t>Baker, Maureen</t>
  </si>
  <si>
    <t>LB2332.3 -- .B35 2012eb</t>
  </si>
  <si>
    <t>Women college teachers. ; Women in higher education. ; Work and family. ; Sex role in the work environment. ; Universities and colleges -- Social aspects.</t>
  </si>
  <si>
    <t>Teachers' Schools and the Making of the Modern Chinese Nation-State, 1897-1937</t>
  </si>
  <si>
    <t>Cong, Xiaoping</t>
  </si>
  <si>
    <t>Contemporary Chinese Studies Series</t>
  </si>
  <si>
    <t>LB1727.C6 -- C66 2007eb</t>
  </si>
  <si>
    <t>Teachers colleges -- China -- History -- 20th century. ; Teachers -- Training of -- China -- History -- 20th century. ; Education and state -- China -- History -- 20th century.</t>
  </si>
  <si>
    <t>Pay for Play : A History of Big-Time College Athletic Reform</t>
  </si>
  <si>
    <t>Smith, Ronald A.</t>
  </si>
  <si>
    <t>GV347</t>
  </si>
  <si>
    <t>College sports - Law and legislation - United States - History</t>
  </si>
  <si>
    <t>Dirty Words : The Rhetoric of Public Sex Education, 1870-1924</t>
  </si>
  <si>
    <t>Jensen, Robin E.</t>
  </si>
  <si>
    <t>HQ57</t>
  </si>
  <si>
    <t>613.9/51071273</t>
  </si>
  <si>
    <t>Sex instruction-United States-History. ; Sexual ethics for teenagers-Study and teaching-United States.</t>
  </si>
  <si>
    <t>Harlem vs. Columbia University : Black Student Power in the Late 1960s</t>
  </si>
  <si>
    <t>Bradley, Stefan M.</t>
  </si>
  <si>
    <t>LD1250</t>
  </si>
  <si>
    <t>Columbia University--Student strike, 1968. ; African American student movements--New York (State)--New York--History. ; Black power--New York (State)--New York--History. ; Morningside Park (New York, N.Y.)--History.</t>
  </si>
  <si>
    <t>Bridging Divides : The Origins of the Beckman Institute at Illinois</t>
  </si>
  <si>
    <t>Brown, Theodore L.;Ikenberry, Stanley O.;Herman, Richard H.</t>
  </si>
  <si>
    <t>507.2/077366</t>
  </si>
  <si>
    <t>Beckman, Arnold O. ; Beckman Institute for Advanced Science and Technology--History. ; Research institutes--Illinois--History. ; Science--Study and teaching (Higher)--Illinois--History. ; Technology--Study and teaching (Higher)--Illinois--History.</t>
  </si>
  <si>
    <t>Cope, Bill;Kalantzis, Mary;Appleford, Simon J.;Berry, Patrick;Brighton, Jack;Bruce, Bertram C.;Buck, Amber;Burbules, Nicholas C.;Burton, Orville Vernon;Cash, Timothy</t>
  </si>
  <si>
    <t>LC5803</t>
  </si>
  <si>
    <t>Blended learning</t>
  </si>
  <si>
    <t>Sweet Charlie, Dike, Cazzie, and Bobby Joe : High School Basketball in Illinois</t>
  </si>
  <si>
    <t>Bell, Taylor H. A.</t>
  </si>
  <si>
    <t>796.323/09773</t>
  </si>
  <si>
    <t>Basketball-Illinois-History. ; School sports-Illinois-History. ; Basketball players-Illinois. ; Racism in sports-Illinois-History.</t>
  </si>
  <si>
    <t>The Era of Education : The Presidents and the Schools, 1965-2001</t>
  </si>
  <si>
    <t>Education and state-United States-History. ; Federal aid to education-United States-History. ; United States-Politics and government.</t>
  </si>
  <si>
    <t>Nettl's Elephant</t>
  </si>
  <si>
    <t>Nettl, Bruno;Seeger, Anthony</t>
  </si>
  <si>
    <t>ML3799</t>
  </si>
  <si>
    <t>Ethnomusicology-History. ; Musicology.</t>
  </si>
  <si>
    <t>Black Power on Campus : The University of Illinois, 1965-75</t>
  </si>
  <si>
    <t>WIlliamson, Joy Ann</t>
  </si>
  <si>
    <t>LD2380</t>
  </si>
  <si>
    <t>Sweet Dreams : The World of Patsy Cline</t>
  </si>
  <si>
    <t>Hofstra, Warren R.;Bailey, Beth;Foreman, Mike;Gomery, Douglas;Hamilton IV, George;Jensen, Joli;Malone, Bill C.;McCusker, Kristine M.;Neal, Jocelyn R.</t>
  </si>
  <si>
    <t>Music in American Life Series</t>
  </si>
  <si>
    <t>ML420</t>
  </si>
  <si>
    <t>782.421642092 B</t>
  </si>
  <si>
    <t>Country music - Social aspects</t>
  </si>
  <si>
    <t>Bird : The Life and Music of Charlie Parker</t>
  </si>
  <si>
    <t>Haddix, Chuck</t>
  </si>
  <si>
    <t>ML419</t>
  </si>
  <si>
    <t>Parker, Charlie, 1920-1955. ; Jazz musicians--United States--Biography.</t>
  </si>
  <si>
    <t>World Flutelore : Folktales, Myths, and Other Stories of Magical Flute Power</t>
  </si>
  <si>
    <t>Olsen, Dale A.</t>
  </si>
  <si>
    <t>ML935</t>
  </si>
  <si>
    <t>788.3/209</t>
  </si>
  <si>
    <t>Flute -- History. ; Flute -- Folklore. ; Flute in literature.</t>
  </si>
  <si>
    <t>An Illinois Sampler : Teaching and Research on the Prairie</t>
  </si>
  <si>
    <t>Winkelmes, Mary-Ann;Burton, Antoinette;Mays, Kyle;Fouke, Bruce W.;Gunn, Julie Jordan;Abelmann, Nancy;Athreya, Jayadev;Denofrio-Corrales, Lauren A.;Lu, Yi;Andrade, Flavia</t>
  </si>
  <si>
    <t>College teaching. ; Education, Higher--Research.</t>
  </si>
  <si>
    <t>Jane Addams in the Classroom</t>
  </si>
  <si>
    <t>Schaafsma, David;DeStigter, Todd;Grate, Lanette;Griffith, Susan;Junkin, Lisa;Krikava, Jennifer;Lee, Lisa;Munro, Petra;O'Rourke, Bridget;Steffen, Beth</t>
  </si>
  <si>
    <t>No Child Left Behind and the Public Schools</t>
  </si>
  <si>
    <t>University of Michigan Press</t>
  </si>
  <si>
    <t>Abernathy, Scott</t>
  </si>
  <si>
    <t>Punishing Schools : Fear and Citizenship in American Public Education</t>
  </si>
  <si>
    <t>Lyons, William (Bill) Thomas;Drew, Julie</t>
  </si>
  <si>
    <t>Law, Meaning, and Violence Series</t>
  </si>
  <si>
    <t>LC90</t>
  </si>
  <si>
    <t>Social control - Ohio</t>
  </si>
  <si>
    <t>The View from the Helm : Leading the American University During an Era of Change</t>
  </si>
  <si>
    <t>Duderstadt, James J.</t>
  </si>
  <si>
    <t>Intercollegiate Athletics and the American University : A University President's Perspective</t>
  </si>
  <si>
    <t>GV351</t>
  </si>
  <si>
    <t>College sports - Social aspects - United States</t>
  </si>
  <si>
    <t>A University for the 21st Century</t>
  </si>
  <si>
    <t>LD3280</t>
  </si>
  <si>
    <t>School Choice and the Future of American Democracy</t>
  </si>
  <si>
    <t>Charter schools - United States</t>
  </si>
  <si>
    <t>The Next Twenty-Five Years : Affirmative Action in Higher Education in the United States and South Africa</t>
  </si>
  <si>
    <t>Featherman, David Lee;Krislov, Marvin;Hall, Martin</t>
  </si>
  <si>
    <t>Education, Higher--United States. ; Education, Higher--South Africa. ; Affirmative action programs--United States. ; Affirmative action programs--South Africa.</t>
  </si>
  <si>
    <t>Schoolbook Nation : Conflicts over American History Textbooks from the Civil War to the Present</t>
  </si>
  <si>
    <t>Moreau, Joseph</t>
  </si>
  <si>
    <t>973/.071/273</t>
  </si>
  <si>
    <t>Textbooks - Political aspects - United States - History</t>
  </si>
  <si>
    <t>Defending Diversity : Affirmative Action at the University of Michigan</t>
  </si>
  <si>
    <t>Gurin, Patricia;Lehman, Jeffrey S.;Lewis, Earl;Dey, Eric L.;Hurtado, Sylvia;Gurin, Gerald</t>
  </si>
  <si>
    <t>University of Michigan -- Admission. ; Universities and colleges -- United States -- Admission. ; Minority college students -- Recruiting -- United States. ; Affirmative action programs -- United States. ; Universities and colleges -- Michigan -- Ann Arbor -- Admission. ; Universities and colleges -- Admission -- Law and legislation -- United States.</t>
  </si>
  <si>
    <t>Idealism and Liberal Education</t>
  </si>
  <si>
    <t>Education, Higher -- Aims and objectives -- United States. ; Education, Humanistic -- United States. ; Idealism.</t>
  </si>
  <si>
    <t>The Pedagogical Contract : The Economies of Teaching and Learning in the Ancient World</t>
  </si>
  <si>
    <t>Too, Yun Lee</t>
  </si>
  <si>
    <t>The Body, in Theory: Histories of Cultural Materialism Series</t>
  </si>
  <si>
    <t>Education, Greek - Philosophy</t>
  </si>
  <si>
    <t>Cops, Teachers, Counselors : Stories from the Front Lines of Public Service</t>
  </si>
  <si>
    <t>Maynard-Moody, Steven Williams;Musheno, Michael Craig</t>
  </si>
  <si>
    <t>HV40</t>
  </si>
  <si>
    <t>Human services personnel - United States</t>
  </si>
  <si>
    <t>The Social Benefits of Education</t>
  </si>
  <si>
    <t>Behrman, Jere R.;Stacey, Nevzer</t>
  </si>
  <si>
    <t>Economics of Education Series</t>
  </si>
  <si>
    <t>LC191</t>
  </si>
  <si>
    <t>Money, Mandates, and Local Control in American Public Education</t>
  </si>
  <si>
    <t>Shelly, Bryan</t>
  </si>
  <si>
    <t>LB2825</t>
  </si>
  <si>
    <t>Education--United States--Finance. ; Educational accountability--United States. ; Education and state--United States. ; Educational equalization--United States. ; Educational change--United States. ; POLITICAL SCIENCE / Public Policy / Social Policy bisacsh. ; EDUCATION / Educational Policy &amp; Reform / General bisacsh.</t>
  </si>
  <si>
    <t>Behind the Lines : Creative Writing with Offenders and People at Risk</t>
  </si>
  <si>
    <t>Waterside Press Ltd.</t>
  </si>
  <si>
    <t>Waterside Press</t>
  </si>
  <si>
    <t>Hook</t>
  </si>
  <si>
    <t>Crowley, Michael;Ramsbotham, Lord</t>
  </si>
  <si>
    <t>Back to School : Jewish Day School in the Lives of Adult Jews</t>
  </si>
  <si>
    <t>Pomson, Alex;Schnoor, Randal F.;Wertheimer, Jack</t>
  </si>
  <si>
    <t>LC741 -- .P66 2008eb</t>
  </si>
  <si>
    <t>Jewish day schools -- United States. ; Jewish day schools -- Canada. ; Jews -- United States -- Identity. ; Jews -- Canada -- Identity.</t>
  </si>
  <si>
    <t>In Her Hands : The Education of Jewish Girls in Tsarist Russia</t>
  </si>
  <si>
    <t>Adler, Eliyana R.;Eliyana R. Adler</t>
  </si>
  <si>
    <t>LC3585.R8 -- A34 2011eb</t>
  </si>
  <si>
    <t>Jewish girls -- Education -- Russia -- 19th century. ; Jewish day schools -- Russia -- 19th century. ; Russia -- History -- 1801-1917.</t>
  </si>
  <si>
    <t>Civics in a Digital Republic : A Transformative Curriculum</t>
  </si>
  <si>
    <t>West Virginia University Press</t>
  </si>
  <si>
    <t>Waterson, Robert A.</t>
  </si>
  <si>
    <t>West Virginia University : Symbol of Unity in a Sectionalized State</t>
  </si>
  <si>
    <t>Doherty, William T., Jr.;SUMMERS, Festus P.;Wise, Charles C., Jr.</t>
  </si>
  <si>
    <t>UPCC Book Collections on Project MUSE Series</t>
  </si>
  <si>
    <t>LD5923</t>
  </si>
  <si>
    <t>Testcraft : A Teacher`s Guide to Writing and Using Language Test Specifications</t>
  </si>
  <si>
    <t>Yale University Press</t>
  </si>
  <si>
    <t>New Haven</t>
  </si>
  <si>
    <t>Davidson, Fred;Lynch, Brian K.</t>
  </si>
  <si>
    <t>P53.4.D367 2001</t>
  </si>
  <si>
    <t>407/.6</t>
  </si>
  <si>
    <t>Language and languages -- Ability testing.</t>
  </si>
  <si>
    <t>Using Technology in Teaching</t>
  </si>
  <si>
    <t>Clyde, William;Delohery, Andrew</t>
  </si>
  <si>
    <t>LB2395.7.C59 2005</t>
  </si>
  <si>
    <t>Education, Higher -- Computer-assisted instruction</t>
  </si>
  <si>
    <t>Every Other Thursday : Stories and Strategies from Successful Women Scientists</t>
  </si>
  <si>
    <t>Daniell, Ellen</t>
  </si>
  <si>
    <t>Q130.D36 2006</t>
  </si>
  <si>
    <t>Women in science. ; Women scientists. ; Science -- Vocational guidance.</t>
  </si>
  <si>
    <t>Doing School : How We Are Creating a Generation of Stressed-Out, Materialistic, and Miseducated Students</t>
  </si>
  <si>
    <t>Pope, Denise Clark</t>
  </si>
  <si>
    <t>LA229.P59 2001</t>
  </si>
  <si>
    <t>A History of Yale's School of Medicine : Passing Torches to Others</t>
  </si>
  <si>
    <t>Burrow, Gerard N.</t>
  </si>
  <si>
    <t>R747.Y27B87 2002</t>
  </si>
  <si>
    <t>610.71/1746/8</t>
  </si>
  <si>
    <t>Medical colleges -- Connecticut -- History</t>
  </si>
  <si>
    <t>Learning Policy : When State Education Reform Works</t>
  </si>
  <si>
    <t>Cohen, David K.;Hill, Heather C.</t>
  </si>
  <si>
    <t>LC90.C2C64 2001</t>
  </si>
  <si>
    <t>Mathematics -- Study and teaching -- California</t>
  </si>
  <si>
    <t>Clueless in Academe : How Schooling Obscures the Life of the Mind</t>
  </si>
  <si>
    <t>Graff, Gerald</t>
  </si>
  <si>
    <t>LC191.94.G73 2003</t>
  </si>
  <si>
    <t>Learning and scholarship -- United States</t>
  </si>
  <si>
    <t>Attention Deficit Disorder : The Unfocused Mind in Children and Adults</t>
  </si>
  <si>
    <t>Brown, Thomas</t>
  </si>
  <si>
    <t>Yale University Press Health and Wellness Series</t>
  </si>
  <si>
    <t>RJ506.H9B765 2005</t>
  </si>
  <si>
    <t>616.85/89</t>
  </si>
  <si>
    <t>Attention-deficit disorder in adults. ; Attention-deficit hyperactivity disorder.</t>
  </si>
  <si>
    <t>Learning to Forget : Schooling and Family Life in New Haven?s Working Class, 1870-1940</t>
  </si>
  <si>
    <t>Lassonde, Stephen</t>
  </si>
  <si>
    <t>LC5053.N37L37 2005</t>
  </si>
  <si>
    <t>370.86/23097468</t>
  </si>
  <si>
    <t>Working class -- Education -- Connecticut -- New Haven -- History -- 20th century</t>
  </si>
  <si>
    <t>History of the Yale Law School : The Tercentennial Lectures</t>
  </si>
  <si>
    <t>Kronman, Anthony T.</t>
  </si>
  <si>
    <t>KF292.Y314Z657 2004</t>
  </si>
  <si>
    <t>Yale Law School -- History</t>
  </si>
  <si>
    <t>Adolescent Risk Behaviors : Why Teens Experiment and Strategies to Keep Them Safe</t>
  </si>
  <si>
    <t>Wolfe, David A.;Jaffe, Peter G.;Crooks, Claire V.</t>
  </si>
  <si>
    <t>Current Perspectives in Psychology Series</t>
  </si>
  <si>
    <t>RJ506.R57W65 2006</t>
  </si>
  <si>
    <t>Risk-taking (Psychology) in adolescence -- Prevention.</t>
  </si>
  <si>
    <t>The Trouble with Ed Schools</t>
  </si>
  <si>
    <t>LB1811.L33 2004</t>
  </si>
  <si>
    <t>Teachers colleges -- United States. ; Teachers -- Training of -- United States. ; Teacher educators -- United States.</t>
  </si>
  <si>
    <t>School Choice and the Question of Accountability : The Milwaukee Experience</t>
  </si>
  <si>
    <t>Van Dunk, Emily;Dickman, Anneliese M.</t>
  </si>
  <si>
    <t>LB1027.9.V36 2003</t>
  </si>
  <si>
    <t>371.1/11/0977595</t>
  </si>
  <si>
    <t>Educational accountability -- Wisconsin -- Milwaukee -- Case studies</t>
  </si>
  <si>
    <t>The Red Pencil : Convictions from Experience in Education</t>
  </si>
  <si>
    <t>Sizer, Theodore R.</t>
  </si>
  <si>
    <t>LA222.S546 2004</t>
  </si>
  <si>
    <t>Education, Secondary -- United States</t>
  </si>
  <si>
    <t>The Good of This Place : Values and Challenges in College Education</t>
  </si>
  <si>
    <t>Brodhead, Richard H.</t>
  </si>
  <si>
    <t>LB2324.B76 2004</t>
  </si>
  <si>
    <t>Yale University. ; Education, Higher -- Aims and objectives. ; Universities and colleges -- Administration.</t>
  </si>
  <si>
    <t>Smiling Through the Cultural Catastrophe : Toward the Revival of Higher Education</t>
  </si>
  <si>
    <t>Hart, Jeffrey</t>
  </si>
  <si>
    <t>LC1011.H365 2001</t>
  </si>
  <si>
    <t>California Dreaming : Reforming Mathematics Education</t>
  </si>
  <si>
    <t>Wilson, Suzanne M.</t>
  </si>
  <si>
    <t>QA13.5.C2W57 2003</t>
  </si>
  <si>
    <t>510/.71/097940904</t>
  </si>
  <si>
    <t>Mathematics -- Study and teaching -- California -- History -- 20th century. ; Educational change -- California -- History -- 20th century.</t>
  </si>
  <si>
    <t>The First Three Years and Beyond : Brain Development and Social Policy</t>
  </si>
  <si>
    <t>Zigler, Edward F.;Finn-Stevenson, Matia;Hall, Nancy W.</t>
  </si>
  <si>
    <t>HQ767.9.Z543 2002</t>
  </si>
  <si>
    <t>Family policy -- United States</t>
  </si>
  <si>
    <t>Beyond Methods: Macrostrategies for Language Teaching</t>
  </si>
  <si>
    <t>Kumaravadivelu, B.</t>
  </si>
  <si>
    <t>Yale Language Series</t>
  </si>
  <si>
    <t>P51.K88 2003</t>
  </si>
  <si>
    <t>Interpreting Communicative Language Teaching : Contexts and Concerns in Teacher Education</t>
  </si>
  <si>
    <t>Savignon, Sandra J.</t>
  </si>
  <si>
    <t>LB1578.I56 2002</t>
  </si>
  <si>
    <t>Language teachers -- Training of</t>
  </si>
  <si>
    <t>Visions of Schooling : Conscience, Community, and Common Education</t>
  </si>
  <si>
    <t>LB1027.9.S26 2000</t>
  </si>
  <si>
    <t>Same, Different, Equal : Rethinking Single-Sex Schooling</t>
  </si>
  <si>
    <t>LB3067.4.S35 2003</t>
  </si>
  <si>
    <t>Single-sex schools -- United States</t>
  </si>
  <si>
    <t>The Strike That Changed New York : Blacks, Whites and the Ocean Hill-Brownsville Crisis</t>
  </si>
  <si>
    <t>Podair, Jerald E.</t>
  </si>
  <si>
    <t>LB2844.47.U62N4867 2</t>
  </si>
  <si>
    <t>Ocean Hill-Brownsville Demonstration School District (New York, N.Y.)</t>
  </si>
  <si>
    <t>Leave No Child Behind : Preparing Today's Youth for Tomorrow's World</t>
  </si>
  <si>
    <t>Comer, James</t>
  </si>
  <si>
    <t>LB2822.82.C664 2004</t>
  </si>
  <si>
    <t>379.7/3</t>
  </si>
  <si>
    <t>Power, Plain English, and the Rise of Modern Poetry</t>
  </si>
  <si>
    <t>Rosen, David</t>
  </si>
  <si>
    <t>PR601.R577 2006</t>
  </si>
  <si>
    <t>821/.9109</t>
  </si>
  <si>
    <t>Eliot, T. S. -- (Thomas Stearns), -- 1888-1965 -- Criticism and interpretation. ; Yeats, W. B. -- (William Butler), -- 1865-1939 -- Criticism and interpretation. ; Auden, W. H. -- (Wystan Hugh), -- 1907-1973 -- Criticism and interpretation. ; Wordsworth, William, -- 1770-1850 -- Criticism and interpretation. ; Locke, John, -- 1632-1704 -- Influence. ; English poetry -- 20th century -- History and criticism. ; English poetry -- 19th century -- History and criticism.</t>
  </si>
  <si>
    <t>Reading Between the Lines : Perspectives on Foreign Language Literacy</t>
  </si>
  <si>
    <t>Patrikis, Peter C.</t>
  </si>
  <si>
    <t>P53.475.R43 2003</t>
  </si>
  <si>
    <t>Improving Literacy in America : Guidelines from Research</t>
  </si>
  <si>
    <t>Morrison, Frederick J.;Bachman, Heather J.;Connor, Carol McDonald</t>
  </si>
  <si>
    <t>LC151.M69 2005</t>
  </si>
  <si>
    <t>372.6/0973</t>
  </si>
  <si>
    <t>Language arts (Primary) -- United States</t>
  </si>
  <si>
    <t>The Work of the University</t>
  </si>
  <si>
    <t>Levin, Richard C.</t>
  </si>
  <si>
    <t>LA227.4.L48 2003</t>
  </si>
  <si>
    <t>Yale University. ; Education, Higher -- Aims and objectives -- United States.</t>
  </si>
  <si>
    <t>Who's Teaching Your Children? : Why the Teacher Crisis Is Worse Than You Think and What Can Be Done about It</t>
  </si>
  <si>
    <t>Troen, Vivian;Boles, Katherine C.</t>
  </si>
  <si>
    <t>LB1776.2.T76 2003</t>
  </si>
  <si>
    <t>372.11/00973</t>
  </si>
  <si>
    <t>Elementary school teachers -- United States -- Social conditions. ; Elementary school teachers -- Training of -- United States. ; Educational change -- United States.</t>
  </si>
  <si>
    <t>Twelve American Voices : An Authentic Listening and Integrated-Skills Textbook</t>
  </si>
  <si>
    <t>Hauck, Maurice Cogan;MacDougall, Kenneth;Isay, David</t>
  </si>
  <si>
    <t>PE1128 -- .H39 2002eb</t>
  </si>
  <si>
    <t>United States -- Social life and customs -- Problems, exercises, etc</t>
  </si>
  <si>
    <t>The Elements of Learning</t>
  </si>
  <si>
    <t>Banner, James M.;Cannon, Harold C.;Banner, James M., Jr.</t>
  </si>
  <si>
    <t>LB1060.B36 1999</t>
  </si>
  <si>
    <t>Education's End : Why Our Colleges and Universities Have Given up on the Meaning of Life</t>
  </si>
  <si>
    <t>AZ183.U5K76 2007</t>
  </si>
  <si>
    <t>001.3071/0973</t>
  </si>
  <si>
    <t>Humanities -- Study and teaching (Higher) -- United States</t>
  </si>
  <si>
    <t>Bart Giamatti : A Profile</t>
  </si>
  <si>
    <t>Moncreiff, Robert P.</t>
  </si>
  <si>
    <t>LD6330 1978.M66 2007</t>
  </si>
  <si>
    <t>Giamatti, A. Bartlett. ; Yale University -- Presidents -- Biography. ; Baseball commissioners -- United States -- Biography.</t>
  </si>
  <si>
    <t>The Rise and Fall of English : Reconstructing English As a Discipline</t>
  </si>
  <si>
    <t>Scholes, Robert</t>
  </si>
  <si>
    <t>PE68.U5 -- S35 1998eb</t>
  </si>
  <si>
    <t>420/.71/173</t>
  </si>
  <si>
    <t>English teachers -- United States -- Biography</t>
  </si>
  <si>
    <t>The Elements of Teaching</t>
  </si>
  <si>
    <t>Banner, James M., Jr.;Cannon, Harold C.;Banner, James M.</t>
  </si>
  <si>
    <t>LB1025.3 -- .B35 1997eb</t>
  </si>
  <si>
    <t>Making Good Citizens : Education and Civil Society</t>
  </si>
  <si>
    <t>LC1091.M28 2001</t>
  </si>
  <si>
    <t>370.1/15</t>
  </si>
  <si>
    <t>Civics -- Study and teaching -- United States</t>
  </si>
  <si>
    <t>History Lesson : A Race Odyssey</t>
  </si>
  <si>
    <t>Lefkowitz, Mary</t>
  </si>
  <si>
    <t>D16.2.L44 2008</t>
  </si>
  <si>
    <t>907.1/17447</t>
  </si>
  <si>
    <t>Academic freedom</t>
  </si>
  <si>
    <t>Predictocracy : Market Mechanisms for Public and Private Decision Making</t>
  </si>
  <si>
    <t>Abramowicz, Michael</t>
  </si>
  <si>
    <t>HD30.27.A27 2007</t>
  </si>
  <si>
    <t>658.4/0355</t>
  </si>
  <si>
    <t>Business forecasting. ; Economic forecasting. ; Decision making. ; Forecasting.</t>
  </si>
  <si>
    <t>The Future of Education : Reimagining Our Schools from the Ground Up</t>
  </si>
  <si>
    <t>LB14.7.E533 2008</t>
  </si>
  <si>
    <t>Education -- Philosophy. ; Teaching. ; Learning.</t>
  </si>
  <si>
    <t>Small Wonder : The Little Red Schoolhouse in History and Memory</t>
  </si>
  <si>
    <t>Icons of America Series</t>
  </si>
  <si>
    <t>LB3218.A1Z56 2009</t>
  </si>
  <si>
    <t>371.6/20973</t>
  </si>
  <si>
    <t>School buildings -- Social aspects -- United States -- History</t>
  </si>
  <si>
    <t>The Bus Kids : Children's Experiences with Voluntary Desegregation</t>
  </si>
  <si>
    <t>Lit, Ira W.</t>
  </si>
  <si>
    <t>LC214.22.C2L58 2009</t>
  </si>
  <si>
    <t>Minorities -- Education -- California -- Case studies</t>
  </si>
  <si>
    <t>The Learning to Teach Through Discussion : The Art of Turning the Soul</t>
  </si>
  <si>
    <t>Haroutunian-Gordon, Sophie</t>
  </si>
  <si>
    <t>LB1027.44.H38 2009</t>
  </si>
  <si>
    <t>The Making of Americans : Democracy and Our Schools</t>
  </si>
  <si>
    <t>Hirsch, E. D., Jr.</t>
  </si>
  <si>
    <t>LA217.2.H57 2009</t>
  </si>
  <si>
    <t>Education -- Aims and objectives -- United States</t>
  </si>
  <si>
    <t>For the Common Good : Principles of American Academic Freedom</t>
  </si>
  <si>
    <t>Finkin, Matthew W.;Post, Robert C.</t>
  </si>
  <si>
    <t>Academic freedom -- United States.</t>
  </si>
  <si>
    <t>Acting White : The Ironic Legacy of Desegregation</t>
  </si>
  <si>
    <t>Buck, Stuart</t>
  </si>
  <si>
    <t>The Idea of a University</t>
  </si>
  <si>
    <t>Newman, John;Turner, Frank M.</t>
  </si>
  <si>
    <t>Rethinking the Western Tradition Series</t>
  </si>
  <si>
    <t>LB2321 -- .N54 1996eb</t>
  </si>
  <si>
    <t>Making a Place for Pleasure in Early Childhood Education</t>
  </si>
  <si>
    <t>Tobin, Joseph J.</t>
  </si>
  <si>
    <t>LB1139.25 -- .M36 1997eb</t>
  </si>
  <si>
    <t>Child development -- United States</t>
  </si>
  <si>
    <t>The Worth of the University</t>
  </si>
  <si>
    <t>LB2324.L48 -- W67 2013eb</t>
  </si>
  <si>
    <t>Knowledge in the Making : Academic Freedom and Free Speech in America's Schools and Universities</t>
  </si>
  <si>
    <t>DelFattore, Joan</t>
  </si>
  <si>
    <t>KF4124.5 -- .D45 2010eb</t>
  </si>
  <si>
    <t>The Winds of Freedom : Addressing Challenges to the University</t>
  </si>
  <si>
    <t>Casper, Gerhard</t>
  </si>
  <si>
    <t>Education, Higher -- Aims and objectives</t>
  </si>
  <si>
    <t>Freedom(s) - Learning activities for secondary schools on the case law of the European Court of Human Rights</t>
  </si>
  <si>
    <t>LB1607 -- .C686 2015eb</t>
  </si>
  <si>
    <t>Education, Secondary -- Activity programs -- Europe. ; Education, Secondary -- Law and legislation -- Europe. ; Education, Secondary -- Europe. ; Human rights -- Europe.</t>
  </si>
  <si>
    <t>Sparking the Debate : How To Create a Debate Program</t>
  </si>
  <si>
    <t>International Debate Educational Association</t>
  </si>
  <si>
    <t>Idebate Press</t>
  </si>
  <si>
    <t>Snider, Alfred A.</t>
  </si>
  <si>
    <t>PN4181 -- .S663 2014eb</t>
  </si>
  <si>
    <t>Debatabase Book : A Must Have Guide for Successful Debate</t>
  </si>
  <si>
    <t>Editors of IDEA</t>
  </si>
  <si>
    <t>PN4181 -- .D3945 2013eb</t>
  </si>
  <si>
    <t>Middle Schoolers' Debatabase : 75 Current Controversies for Debaters</t>
  </si>
  <si>
    <t xml:space="preserve">Bettivia, Rhiannon;National Forensic League, </t>
  </si>
  <si>
    <t>LB1572 -- .B48 2011eb</t>
  </si>
  <si>
    <t>Debates and debating -- Study and teaching (Middle school)</t>
  </si>
  <si>
    <t>Discovering the World Through Debate : A Practical Guide to Educational Debate for Debaters, Coaches, and Judges</t>
  </si>
  <si>
    <t>Bibby, Nick</t>
  </si>
  <si>
    <t>PN4181 -- .D75 2014eb</t>
  </si>
  <si>
    <t>Making Civics Relevant, Making Citizens Effective : Action Civics in the Classroom</t>
  </si>
  <si>
    <t>Millenson, Daniel;Mills, Molly;Andes, Sarah</t>
  </si>
  <si>
    <t>LC1091 -- .M58 2014eb</t>
  </si>
  <si>
    <t>Civics -- Study and teaching (Secondary) -- United States.</t>
  </si>
  <si>
    <t>Speaking, Listening and Understanding : Language Debate for Non-Native Speakers</t>
  </si>
  <si>
    <t>Rybold, Gary;Harvey-Smith, Neill</t>
  </si>
  <si>
    <t>PN4181 -- .R94 2013eb</t>
  </si>
  <si>
    <t>Debates and debating. ; English language -- Study and teaching -- Foreign speakers.</t>
  </si>
  <si>
    <t>Pathfinders in International Psychology</t>
  </si>
  <si>
    <t>Rich, Grant J.;Gielen, Uwe</t>
  </si>
  <si>
    <t>International Psychology Series</t>
  </si>
  <si>
    <t>BF109.A1 .P38 2015</t>
  </si>
  <si>
    <t>150.92/2</t>
  </si>
  <si>
    <t>Psychologists-Biography. ; Psychologists-History. ; Psychiatrists-Biography. ; Psychiatrists-History.</t>
  </si>
  <si>
    <t>Undisciplining Knowledge : Interdisciplinarity in the Twentieth Century</t>
  </si>
  <si>
    <t>Graff, Harvey J.</t>
  </si>
  <si>
    <t>Education and Empowered Citizenship in Mali</t>
  </si>
  <si>
    <t>Bleck, Jaimie</t>
  </si>
  <si>
    <t>Literacy for Science : Exploring the Intersection of the Next Generation Science Standards and Common Core for ELA Standards: a Workshop Summary</t>
  </si>
  <si>
    <t>Feder, Michael A.;Rhodes, Holly</t>
  </si>
  <si>
    <t>Q183.3.A1 .L584 2014</t>
  </si>
  <si>
    <t>Science-Study and teaching-United States-Congresses. ; Literacy-Study and teaching-United States-Congresses.</t>
  </si>
  <si>
    <t>Infusing Real World Experiences into Engineering Education</t>
  </si>
  <si>
    <t>AMD NextGen Engineer</t>
  </si>
  <si>
    <t>T73 -- .N385 2012eb</t>
  </si>
  <si>
    <t>Engineering -- Study and teaching (Higher) -- United States. ; Experiential learning. ; Service learning.</t>
  </si>
  <si>
    <t>A Second Home : Missouri's Early Schools</t>
  </si>
  <si>
    <t>University of Missouri</t>
  </si>
  <si>
    <t>University of Missouri Press</t>
  </si>
  <si>
    <t>Thomas, Sue</t>
  </si>
  <si>
    <t>Missouri Heritage Readers Series</t>
  </si>
  <si>
    <t>LA316</t>
  </si>
  <si>
    <t>370/.977809</t>
  </si>
  <si>
    <t>Schools - Missouri - History</t>
  </si>
  <si>
    <t>In Search of the Talented Tenth : Howard University Public Intellectuals and the Dilemmas of Race, 1926-1970</t>
  </si>
  <si>
    <t>Williams, Zachery R.</t>
  </si>
  <si>
    <t>Howard University-History-20th century. ; Howard University-Faculty-History-20th century. ; African American scholars-History-20th century. ; African American intellectuals-History-20th century.</t>
  </si>
  <si>
    <t>Black Philosopher, White Academy : The Career of William Fontaine</t>
  </si>
  <si>
    <t>Kuklick, Bruce</t>
  </si>
  <si>
    <t>191 B</t>
  </si>
  <si>
    <t>Fontaine, William,-1909-1968. ; University of Pennsylvania.-Faculty-Biography. ; African American educators-Biography. ; Philosophy teachers-United States-Biography.</t>
  </si>
  <si>
    <t>Education; Philosophy; Social Science</t>
  </si>
  <si>
    <t>The Envy of Angels : Cathedral Schools and Social Ideals in Medieval Europe, 95-12</t>
  </si>
  <si>
    <t>Jaeger, C. Stephen</t>
  </si>
  <si>
    <t>The Middle Ages Series</t>
  </si>
  <si>
    <t>LA95 -- .J34 1994eb</t>
  </si>
  <si>
    <t>Between North and South : Delaware, Desegregation, and the Myth of American Sectionalism</t>
  </si>
  <si>
    <t>Gadsden, Brett</t>
  </si>
  <si>
    <t>Politics and Culture in Modern America Series</t>
  </si>
  <si>
    <t>379.2/6309751</t>
  </si>
  <si>
    <t>Censure and Heresy at the University of Paris, 1200-1400</t>
  </si>
  <si>
    <t>Thijssen, J. M. M. H.</t>
  </si>
  <si>
    <t>History; Religion</t>
  </si>
  <si>
    <t>In the Crossfire : Marcus Foster and the Troubled History of American School Reform</t>
  </si>
  <si>
    <t>Spencer, John P.</t>
  </si>
  <si>
    <t>Ms. Mentor's Impeccable Advice for Women in Academia</t>
  </si>
  <si>
    <t>Toth, Emily</t>
  </si>
  <si>
    <t>378.1/2/082</t>
  </si>
  <si>
    <t>Public Education under Siege</t>
  </si>
  <si>
    <t>Katz, Michael B.;Rose, Mike</t>
  </si>
  <si>
    <t>LC191.4.P82 2013</t>
  </si>
  <si>
    <t>Educational change-Social aspects-United States. ; Public schools-Social aspects-United States. ; Teachers-United States-Social conditions.</t>
  </si>
  <si>
    <t>Why Education Is Useless</t>
  </si>
  <si>
    <t>Cottom, Daniel</t>
  </si>
  <si>
    <t>Education-Philosophy. ; Postmodernism and education.</t>
  </si>
  <si>
    <t>Ms. Mentor's New and Ever More Impeccable Advice for Women and Men in Academia</t>
  </si>
  <si>
    <t>Women college teachers-United States-Miscellanea. ; Women graduate students-United States-Miscellanea. ; Women college teachers-United States-Social conditions. ; Women graduate students-United States-Social conditions. ; Women college teachers-United States-Conduct of life. ; Women graduate students-United States-Conduct of life.</t>
  </si>
  <si>
    <t>Confronting Suburban School Resegregation in California</t>
  </si>
  <si>
    <t>Hurd, Clayton A.</t>
  </si>
  <si>
    <t>Contemporary Ethnography Series</t>
  </si>
  <si>
    <t>Educational equalization. ; School integration. ; Mexican American students.</t>
  </si>
  <si>
    <t>The Port Huron Statement : Sources and Legacies of the New Left's Founding Manifesto</t>
  </si>
  <si>
    <t>Flacks, Richard;Lichtenstein, Nelson</t>
  </si>
  <si>
    <t>LA229 -- .P67 2015eb</t>
  </si>
  <si>
    <t>Becoming Penn : The Pragmatic American University, 195-2</t>
  </si>
  <si>
    <t>Puckett, John L.;Lloyd, Mark</t>
  </si>
  <si>
    <t>University of Pennsylvania-History-20th century. ; Community and college-Pennsylvania-Philadelphia-History-20th century. ; Urban renewal-Pennsylvania-Philadelphia-History-20th century.</t>
  </si>
  <si>
    <t>Writing-Intensive : Becoming W-Faculty in a New Writing Curriculum</t>
  </si>
  <si>
    <t>Utah State University Press</t>
  </si>
  <si>
    <t>Strachan, Wendy</t>
  </si>
  <si>
    <t>English language--Rhetoric--Study and teaching (Higher). ; Interdisciplinary approach in education.</t>
  </si>
  <si>
    <t>Diverse by Design : Literacy Education Within Multicultural Institutions</t>
  </si>
  <si>
    <t>Schroeder, Christopher</t>
  </si>
  <si>
    <t>LC2672</t>
  </si>
  <si>
    <t>Hispanic Americans--Education (Higher)--Case studies. ; English language--Study and teaching--Spanish speakers--Case studies. ; Literacy--Social aspects--United States--Case studies. ; Hispanic Americans--Ethnic identity--Case studies.</t>
  </si>
  <si>
    <t>Situating Portfolios</t>
  </si>
  <si>
    <t>Yancey, Kathleen</t>
  </si>
  <si>
    <t>LB1029</t>
  </si>
  <si>
    <t>371.2/7</t>
  </si>
  <si>
    <t>Grading and marking (Students) -- United States</t>
  </si>
  <si>
    <t>Through the Schoolhouse Door : Folklore, Community, Currriculum</t>
  </si>
  <si>
    <t>Bowman, Paddy;Hamer, Lynne</t>
  </si>
  <si>
    <t>LB1583</t>
  </si>
  <si>
    <t>Folklore and education--United States. ; Folklore--Study and teaching--United States. ; Community and school--United States.</t>
  </si>
  <si>
    <t>Presumed Incompetent : The Intersections of Race and Class for Women in Academia</t>
  </si>
  <si>
    <t>Gutiérrez y Muhs, Gabriella;Niemann, Yolanda Flores;González, Carmen G.;Harris, Angela P.</t>
  </si>
  <si>
    <t>Women college teachers. ; Women college teachers--Social conditions. ; Minority college teachers. ; Women in higher education. ; Sex discrimination in higher education. ; Feminism and higher education.</t>
  </si>
  <si>
    <t>Retention and Resistance : Writing Instruction and Students Who Leave</t>
  </si>
  <si>
    <t>Powell, Pegeen Reichert</t>
  </si>
  <si>
    <t>LC148</t>
  </si>
  <si>
    <t>College dropouts--United States--Prevention. ; College attendance--United States. ; College dropouts--United States--Handbooks, manuals, etc. ; Dropout behavior, Prediction of--United States--Handbooks, manuals, etc. ; College dropouts--United States--Research. ; LANGUAGE ARTS &amp; DISCIPLINES / Composition &amp; Creative Writing. bisacsh.</t>
  </si>
  <si>
    <t>Chasing Literacy : Reading and Writing in an Age of Acceleration</t>
  </si>
  <si>
    <t>Keller, Daniel</t>
  </si>
  <si>
    <t>Reading. ; Information technology. ; Literacy. ; LANGUAGE ARTS &amp; DISCIPLINES / Composition &amp; Creative Writing. bisacsh.</t>
  </si>
  <si>
    <t>Securing a Place for Reading in Composition : The Importance of Teaching for Transfer</t>
  </si>
  <si>
    <t>Carillo, Ellen C.</t>
  </si>
  <si>
    <t>LB1575</t>
  </si>
  <si>
    <t>Composition (Language arts). ; Reading. ; English language--Rhetoric--Study and teaching. ; LANGUAGE ARTS &amp; DISCIPLINES / Composition &amp; Creative Writing. bisacsh.</t>
  </si>
  <si>
    <t>Latino High School Graduation : Defying the Odds</t>
  </si>
  <si>
    <t>University of Texas Press</t>
  </si>
  <si>
    <t>Romo, Harriett D.;Falbo, Toni;Bonjean, Charles M.</t>
  </si>
  <si>
    <t>Hogg Foundation Monograph Series</t>
  </si>
  <si>
    <t>LC2683</t>
  </si>
  <si>
    <t>Mexican American students-Social conditions-Case studies. ; High school dropouts-United States-Case studies. ; High school graduates-United States-Case studies. ; Youth with social disabilities-Education (Secondary)-United States-Case studies.</t>
  </si>
  <si>
    <t>Reading Palestine : Printing and Literacy, 1900-1948</t>
  </si>
  <si>
    <t>Ayalon, Ami</t>
  </si>
  <si>
    <t>302.2/244/094694</t>
  </si>
  <si>
    <t>Reading-Palestine-History-20th century. ; Literacy-Palestine-History-20th century.</t>
  </si>
  <si>
    <t>Whose School Is It? : Women, Children, Memory, and Practice in the City</t>
  </si>
  <si>
    <t>Halperin, Rhoda H.</t>
  </si>
  <si>
    <t>Louann Atkins Temple Women and Culture Series</t>
  </si>
  <si>
    <t>LD7501</t>
  </si>
  <si>
    <t>371.0109771/78</t>
  </si>
  <si>
    <t>East End Community Heritage School (Cincinnati, Ohio) ; Urban schools-Ohio-Cincinnati-Case studies. ; Multicultural education-Ohio-Cincinnati-Case studies. ; Community and school-Ohio-Cincinnati-Case studies.</t>
  </si>
  <si>
    <t>Imagining Literacy : Rhizomes of Knowledge in American Culture and Literature</t>
  </si>
  <si>
    <t>Fernandez, Ramona</t>
  </si>
  <si>
    <t>Literacy-United States. ; Educational anthropology-United States. ; Culture. ; Multicultural education-United States.</t>
  </si>
  <si>
    <t>School Choice Tradeoffs : Liberty, Equity, and Diversity</t>
  </si>
  <si>
    <t>Godwin, R. Kenneth;Kemerer, Frank R.</t>
  </si>
  <si>
    <t>School choice-United States. ; Education and state-United States. ; Educational equalization-United States.</t>
  </si>
  <si>
    <t>Valley Interfaith and School Reform : Organizing for Power in South Texas</t>
  </si>
  <si>
    <t>Shirley, Dennis</t>
  </si>
  <si>
    <t>Joe R. and Teresa Lozano Long Series in Latin American and Latino Art and Culture Series</t>
  </si>
  <si>
    <t>LA371</t>
  </si>
  <si>
    <t>370/.9764/4</t>
  </si>
  <si>
    <t>Valley Interfaith (Organization) ; Education-Rio Grande Valley (Colo.-Mexico and Tex.) ; Educational change-Rio Grande Valley (Colo.-Mexico and Tex.) ; Community and school-Rio Grande Valley (Colo.-Mexico and Tex.) ; Rio Grande Valley (Colo.-Mexico and Tex.)-Social conditions.</t>
  </si>
  <si>
    <t>Quality Education for Latinos and Latinas : Print and Oral Skills for All Students, K-College</t>
  </si>
  <si>
    <t>Portales, Rita;Portales, Marco</t>
  </si>
  <si>
    <t>371.82968/073</t>
  </si>
  <si>
    <t>Isocrates and Civic Education</t>
  </si>
  <si>
    <t>Poulakos, Takis;Depew, David</t>
  </si>
  <si>
    <t>PA4218</t>
  </si>
  <si>
    <t>885/.01</t>
  </si>
  <si>
    <t>Isocrates-Political and social views. ; Speeches, addresses, etc., Greek-History and criticism. ; Education, Greek-Greece-Athens. ; Education, Ancient. ; Athens (Greece)-Intellectual life.</t>
  </si>
  <si>
    <t>Chicanas and Chicanos in School : Racial Profiling, Identity Battles, and Empowerment</t>
  </si>
  <si>
    <t>Pizarro, Marcos</t>
  </si>
  <si>
    <t>373.1829/6872/073</t>
  </si>
  <si>
    <t>Mexican American youth-Education-Social aspects-California-Los Angeles-Case studies. ; Mexican American youth-Education-Social aspects-Washington (State)-Case studies. ; Mexican Americans-Ethnic identity-California-Los Angeles-Case studies. ; Mexican Americans-Ethnic identity-Washington (State)-Case studies. ; Discrimination in education-California-Los Angeles-Case studies. ; Discrimination in education-Washington (State)-Case studies.</t>
  </si>
  <si>
    <t>Harry Huntt Ransom : Intellect in Motion</t>
  </si>
  <si>
    <t>Gribben, Alan</t>
  </si>
  <si>
    <t>Ransom, Harry Huntt,-1908-1976. ; University of Texas at Austin-Biography. ; Harry Ransom Humanities Research Center-History. ; Educators-United States-Biography.</t>
  </si>
  <si>
    <t>Creating Outdoor Classrooms : Schoolyard Habitats and Gardens for the Southwest</t>
  </si>
  <si>
    <t>Johnson, Lauri Macmillan;Duffek, Kim;Richards, James</t>
  </si>
  <si>
    <t>SB56</t>
  </si>
  <si>
    <t>712/.70979</t>
  </si>
  <si>
    <t>Fine Arts; Agriculture</t>
  </si>
  <si>
    <t>Preparing the Mothers of Tomorrow : Education and Islam in Mandate Palestine</t>
  </si>
  <si>
    <t>Greenberg, Ela</t>
  </si>
  <si>
    <t>LC2410</t>
  </si>
  <si>
    <t>Before Brown : Heman Marion Sweatt, Thurgood Marshall, and the Long Road to Justice</t>
  </si>
  <si>
    <t>Lavergne, Gary M.</t>
  </si>
  <si>
    <t>Jess and Betty Jo Hay Series</t>
  </si>
  <si>
    <t>344.764/0798</t>
  </si>
  <si>
    <t>Sweatt, Heman Marion, 1912-1982--Trials, litigation, etc. ; Painter, Theophilus S. (Theophilus Shickel), 1889-1969--Trials, litigation, etc. ; Marshall, Thurgood, 1908-1993. ; University of Texas at Austin--History--20th century. ; Segregation in higher education--Texas--History--20th century. ; African American college students--Texas--Biography. ; African Americans--Texas--Biography. ; African Americans--Legal status, laws, etc.--Texas--History--20th century. ; Texas--Race relations--History--20th century.</t>
  </si>
  <si>
    <t>Cuban Youth and Revolutionary Values : Educating the New Socialist Citizen</t>
  </si>
  <si>
    <t>Blum, Denise F.</t>
  </si>
  <si>
    <t>LA486</t>
  </si>
  <si>
    <t>Education-Cuba-History. ; Education-Cuba-Evaluation. ; Education-Curricula-Cuba.</t>
  </si>
  <si>
    <t>The American University of Beirut : Arab Nationalism and Liberal Education</t>
  </si>
  <si>
    <t>Anderson, Betty S.</t>
  </si>
  <si>
    <t>LG351</t>
  </si>
  <si>
    <t>378.5692/5</t>
  </si>
  <si>
    <t>American University of Beirut--History. ; Education, Higher--Arab countries. ; Education, Humanistic--Arab countries. ; Nationalism--Arab countries.</t>
  </si>
  <si>
    <t>The Texas Book Two : More Profiles, History, and Reminiscences of the University</t>
  </si>
  <si>
    <t>Dettmer, David</t>
  </si>
  <si>
    <t>Focus on American History Series</t>
  </si>
  <si>
    <t>LD5333</t>
  </si>
  <si>
    <t>378.764/31</t>
  </si>
  <si>
    <t>University of Texas--History. ; University of Texas at Austin--History. ; University of Texas--Biography. ; University of Texas at Austin--Biography.</t>
  </si>
  <si>
    <t>Anay's Will to Learn : A Woman's Education in the Shadow of the Maquiladoras</t>
  </si>
  <si>
    <t>Hampton, Elaine;Palomeque de Carillo, Anay</t>
  </si>
  <si>
    <t>LC1772</t>
  </si>
  <si>
    <t>Women-Education-Mexico. ; Women-Mexico-Social conditions. ; Offshore assembly industry-Mexico.</t>
  </si>
  <si>
    <t>The Magic Key : The Educational Journey of Mexican Americans from K-12 to College and Beyond</t>
  </si>
  <si>
    <t>Zambrana, Ruth Enid;Hurtado, Sylvia;Gándara, Patricia</t>
  </si>
  <si>
    <t>Mexican Americans-Education. ; Education-Social aspects-United States. ; Minorities-Education-United States. ; Discrimination in education.</t>
  </si>
  <si>
    <t>Fixing College Education : A New Curriculum for the Twenty-First Century</t>
  </si>
  <si>
    <t>University of Virginia Press</t>
  </si>
  <si>
    <t>Muscatine, Charles;Muscatine, Jeff;Muscatine, Jeff</t>
  </si>
  <si>
    <t>LB2361.5.M87 2009</t>
  </si>
  <si>
    <t>Universities and colleges--Curricula--United States. ; Educational change--United States.</t>
  </si>
  <si>
    <t>Emily Davies : Collected Letters, 1861-1875</t>
  </si>
  <si>
    <t>Murphy, Ann B.;McGann, Jerome J.;Raftery, Deirdre;Tucker, Herbert F.</t>
  </si>
  <si>
    <t>Victorian Literature and Culture Series</t>
  </si>
  <si>
    <t>LF797.G54</t>
  </si>
  <si>
    <t>Women - Education (Higher) - England - History - 19th century</t>
  </si>
  <si>
    <t>Elusive Equality : Desegregation and Resegregation in Norfolk's Public Schools</t>
  </si>
  <si>
    <t>Littlejohn, Jeffrey L.;Ford, Charles H.</t>
  </si>
  <si>
    <t>LC214.23.N75L58 2012</t>
  </si>
  <si>
    <t>379.2/6309755521</t>
  </si>
  <si>
    <t>School integration--Virginia--Norfolk--History. ; Segregation in education--Virginia--Norfolk--History. ; African Americans--Education--Virginia--Norfolk--History. ; Public schools--Virginia--Norfolk--History.</t>
  </si>
  <si>
    <t>Rot, Riot, and Rebellion : Mr. Jefferson's Struggle to Save the University That Changed America</t>
  </si>
  <si>
    <t>Bowman, Rex;Santos, Carlos;Lescher, Robert;Lescher, Robert</t>
  </si>
  <si>
    <t>LD5678 -- .B68 2013eb</t>
  </si>
  <si>
    <t>Jefferson, Thomas, -- 1743-1826 -- Influence. ; University of Virginia -- History. ; Universities and colleges -- United States -- History.</t>
  </si>
  <si>
    <t>Collegiate Republic : Cultivating an Ideal Society in Early America</t>
  </si>
  <si>
    <t>Sumner, Margaret</t>
  </si>
  <si>
    <t>Jeffersonian America Series</t>
  </si>
  <si>
    <t>LA227 -- .S86 2014eb</t>
  </si>
  <si>
    <t>Universities and colleges - United States - History - 18th century</t>
  </si>
  <si>
    <t>Schooling Jim Crow : The Fight for Atlanta's Booker T. Washington High School and the Roots of Black Protest Politics</t>
  </si>
  <si>
    <t>Driskell, Jay Winston, Jr.</t>
  </si>
  <si>
    <t>Carter G. Woodson Institute Series</t>
  </si>
  <si>
    <t>LC2803.A85 -- .D757 2014eb</t>
  </si>
  <si>
    <t>371.829/960758231</t>
  </si>
  <si>
    <t>Booker T. Washington High School (Atlanta, Ga.) -- History -- 20th century. ; National Association for the Advancement of Colored People -- History -- 20th century. ; African Americans -- Education -- Georgia -- Atlanta -- History -- 20th century. ; African American schools -- Georgia -- Atlanta -- History -- 20th century. ; Segregation in education -- Georgia -- Atlanta -- History -- 20th century. ; African Americans -- Segregation -- Georgia -- Atlanta -- History -- 20th century. ; African Americans -- Civil rights -- Georgia -- Atlanta -- History -- 20th century.</t>
  </si>
  <si>
    <t>China Watcher : Confessions of a Peking Tom</t>
  </si>
  <si>
    <t>University of Washington Press</t>
  </si>
  <si>
    <t>Seattle</t>
  </si>
  <si>
    <t>Baum, Richard</t>
  </si>
  <si>
    <t>Samuel and Althea Stroum Bks.</t>
  </si>
  <si>
    <t>SB</t>
  </si>
  <si>
    <t>951.05092 B</t>
  </si>
  <si>
    <t>Baum, Richard, -- 1940- ; Sinologists -- United States -- Biography. ; College teachers -- United States -- Biography. ; China -- History -- 1949- ; China -- Politics and government -- 1949-</t>
  </si>
  <si>
    <t>Political Science; Social Science; Education</t>
  </si>
  <si>
    <t>Winning the Math Wars : No Teacher Left Behind</t>
  </si>
  <si>
    <t>Abbott, Martin L.;Ferriso, Brian;Smith, Karen</t>
  </si>
  <si>
    <t>QA13.5.W2 -- A23 2010eb</t>
  </si>
  <si>
    <t>510.71/0797</t>
  </si>
  <si>
    <t>Mathematics -- Study and teaching -- Washington (State) ; Mathematics teachers -- Training of -- Washington (State) ; Curriculum planning -- Washington (State)</t>
  </si>
  <si>
    <t>Dr. Sam, Soldier, Educator, Advocate, Friend : An Autobiography</t>
  </si>
  <si>
    <t>Kelly, Samuel E.;Taylor, Quintard</t>
  </si>
  <si>
    <t>LD5752.8.K45 -- A3 2010eb</t>
  </si>
  <si>
    <t>378.797/77 B</t>
  </si>
  <si>
    <t>Kelly, Samuel E. -- (Samuel Eugene), -- 1926- ; University of Washington -- Professional staff -- Biography. ; African American college administrators -- Washington (State) -- Biography. ; College administrators -- Washington (State) -- Biography. ; African American soldiers -- Biography. ; Soldiers -- United States -- Biography.</t>
  </si>
  <si>
    <t>Toward a Global PhD? : Forces and Forms in Doctoral Education Worldwide</t>
  </si>
  <si>
    <t>Nerad, Maresi;Heggelund, Mimi</t>
  </si>
  <si>
    <t>LB2386 -- .T69 2008eb</t>
  </si>
  <si>
    <t>Educating the Chinese Individual : Life in a Rural Boarding School</t>
  </si>
  <si>
    <t>Hansen, Mette Halskov</t>
  </si>
  <si>
    <t>LC5148.C6 -- .H35 2015eb</t>
  </si>
  <si>
    <t>370.9173/40951</t>
  </si>
  <si>
    <t>Rural youth -- Education -- China -- History -- 21st century. ; Education, Rural -- China. ; Educational change -- China -- History -- 21st century. ; Education and state -- China -- History -- 21st century.</t>
  </si>
  <si>
    <t>Science and the University</t>
  </si>
  <si>
    <t>Stephan, Paula E.;Ehrenberg, Ronald G.</t>
  </si>
  <si>
    <t>Science and Technology in Society Series</t>
  </si>
  <si>
    <t>507/.073</t>
  </si>
  <si>
    <t>Science-Study and teaching (Higher)-United States. ; Research-United States-Finance. ; Graduate students in science-United States. ; Science students-United States. ; Universities and colleges-United States.</t>
  </si>
  <si>
    <t>Impure Cultures : University Biology and the World of Commerce</t>
  </si>
  <si>
    <t>Kleinman, Daniel Lee</t>
  </si>
  <si>
    <t>QH315</t>
  </si>
  <si>
    <t>570/.72</t>
  </si>
  <si>
    <t>Biology--Research--Economic aspects. ; Education, Higher--Economic aspects. ; Academic-industrial collaboration.</t>
  </si>
  <si>
    <t>Cosmopolitanism and Solidarity : Studies in Ethnoracial, Religious, and Professional Affiliation in the United States</t>
  </si>
  <si>
    <t>Studies in American Thought and Culture Series</t>
  </si>
  <si>
    <t>Multiculturalism-United States. ; Cosmopolitanism-United States. ; Solidarity-United States. ; Cultural relativism-United States. ; Education, Higher-Social aspects-United States. ; Church and education-United States. ; Christianity and culture-United States. ; United States-Race relations. ; United States-Ethnic relations. ; United States-Religion.</t>
  </si>
  <si>
    <t>Education and Democracy : The Meaning of Alexander Meiklejohn, 1872-1964</t>
  </si>
  <si>
    <t>Nelson, Adam R.</t>
  </si>
  <si>
    <t>370/.92 B</t>
  </si>
  <si>
    <t>Meiklejohn, Alexander,-1872-1964. ; Education, Humanistic-United States-History-20th century. ; Educators-United States-Biography.</t>
  </si>
  <si>
    <t>Secrets to Writing Great Papers</t>
  </si>
  <si>
    <t>Kesselman-Turkel, Judi;Peterson, Franklynn</t>
  </si>
  <si>
    <t>PE1408</t>
  </si>
  <si>
    <t>English language-Rhetoric. ; Report writing.</t>
  </si>
  <si>
    <t>Learning at the Back Door : Reflections on Non-Traditional Learning in the Lifespan</t>
  </si>
  <si>
    <t>Wedemeyer, Charles A.</t>
  </si>
  <si>
    <t>LC45</t>
  </si>
  <si>
    <t>Research Shortcuts</t>
  </si>
  <si>
    <t>Report writing. ; Research.</t>
  </si>
  <si>
    <t>Test-Taking Strategies</t>
  </si>
  <si>
    <t>LB3060</t>
  </si>
  <si>
    <t>Examinations-United States-Study guides. ; Test-taking skills.</t>
  </si>
  <si>
    <t>Study Smarts : How to Learn More in Less Time</t>
  </si>
  <si>
    <t>Study Smart Series</t>
  </si>
  <si>
    <t>Study skills. ; Study environment.</t>
  </si>
  <si>
    <t>Creating the College Man : American Mass Magazines and Middle-Class Manhood, 1890-1915</t>
  </si>
  <si>
    <t>Clark, Daniel A.</t>
  </si>
  <si>
    <t>378.1/9820810973</t>
  </si>
  <si>
    <t>Middle-class men--Press coverage--United States--History. ; Male college students--Press coverage--United States--History. ; Education, Higher--United States--Sociological aspects--History.</t>
  </si>
  <si>
    <t>Education and the Culture of Print in Modern America</t>
  </si>
  <si>
    <t>Nelson, Adam R.;Rudolph, John L.</t>
  </si>
  <si>
    <t>Print Culture History in Modern America Series</t>
  </si>
  <si>
    <t>P96</t>
  </si>
  <si>
    <t>Mass media and education--United States--History.</t>
  </si>
  <si>
    <t>Nox Philologiae : Aulus Gellius and the Fantasy of the Roman Library</t>
  </si>
  <si>
    <t>Gunderson, Erik</t>
  </si>
  <si>
    <t>Wisconsin Studies in Classics Series</t>
  </si>
  <si>
    <t>PA6391</t>
  </si>
  <si>
    <t>Gellius, Aulus. -- Noctes Atticae. ; Civilization, Greco-Roman -- Sources. ; Learning and scholarship -- Rome.</t>
  </si>
  <si>
    <t>Significant Others : Interpersonal and Professional Commitments in Anthropology</t>
  </si>
  <si>
    <t>Handler, Richard</t>
  </si>
  <si>
    <t>History of Anthropology Series</t>
  </si>
  <si>
    <t>GN346</t>
  </si>
  <si>
    <t>Ethnology-Fieldwork. ; Anthropologists' spouses. ; Anthropologists-Family relationships. ; Women anthropologists-Family relationships. ; Interpersonal relations. ; Teacher-student relationships. ; Ethnology-Authorship. ; Communication in ethnology.</t>
  </si>
  <si>
    <t>Three to Get Ready : The Education of a White Family in Inner City Schools</t>
  </si>
  <si>
    <t>Stalvey, Lois M.</t>
  </si>
  <si>
    <t>370.19/348/0973</t>
  </si>
  <si>
    <t>Education, Urban-United States.</t>
  </si>
  <si>
    <t>The University and the People : Envisioning American Higher Education in an Era of Populist Protest</t>
  </si>
  <si>
    <t>Gelber, Scott M.</t>
  </si>
  <si>
    <t>Public universities and colleges--United States--History--19th century. ; State universities and colleges--United States--History--19th century. ; Populism--United States--History--19th century.</t>
  </si>
  <si>
    <t>Find Your Story, Write Your Memoir</t>
  </si>
  <si>
    <t>Miller, Lynn C.;Lenard-Cook, Lisa</t>
  </si>
  <si>
    <t>CT25</t>
  </si>
  <si>
    <t>808.06/692</t>
  </si>
  <si>
    <t>Autobiography--Authorship.</t>
  </si>
  <si>
    <t>Note-Taking Made Easy</t>
  </si>
  <si>
    <t>378/.170281</t>
  </si>
  <si>
    <t>Note-taking-Handbooks, manuals, etc.</t>
  </si>
  <si>
    <t>Understanding and Teaching the Vietnam War</t>
  </si>
  <si>
    <t>Tully, John Day;Masur, Matthew;Austin, Brad</t>
  </si>
  <si>
    <t>The Harvey Goldberg Series for Understanding and Teaching History Series</t>
  </si>
  <si>
    <t>DS557</t>
  </si>
  <si>
    <t>959.704/3071</t>
  </si>
  <si>
    <t>Vietnam War, 1961-1975--Study and teaching--United States.</t>
  </si>
  <si>
    <t>Community Effects of Leadership Development Education : Citizen Empowerment for Civic Engagement</t>
  </si>
  <si>
    <t>Pigg, Kenneth;Gasteyer, Stephen;Martin, Kenneth;Apaliyah, Godwin;Keating, Kari</t>
  </si>
  <si>
    <t>Rural Studies</t>
  </si>
  <si>
    <t>PS3606</t>
  </si>
  <si>
    <t>Through a Glass Darkly : The Social Sciences Look at the Neoliberal University</t>
  </si>
  <si>
    <t>Australian National University Press</t>
  </si>
  <si>
    <t>ANU Press</t>
  </si>
  <si>
    <t>Thornton, Margaret</t>
  </si>
  <si>
    <t>LA2108 -- .T476 2014eb</t>
  </si>
  <si>
    <t>Education, Higher -- Australia -- Evaluation. ; Higher education and state -- Australia. ; Education, Higher -- Economic aspects -- Australia. ; Social sciences -- Study and teaching (Higher) -- Australia. ; Educational change -- Australia.</t>
  </si>
  <si>
    <t>Power and International Relations : Essays in Honour of Coral Bell</t>
  </si>
  <si>
    <t>Ball, Desmond;Lee, Sheryn</t>
  </si>
  <si>
    <t>LB1778 -- .P694 2014eb</t>
  </si>
  <si>
    <t>Bell, Coral. ; College teachers -- Australia -- Biography. ; Authors -- Australia -- Biography. ; International relations -- History -- 21st century.</t>
  </si>
  <si>
    <t>Partners for Possibility : How Business Leaders and Principals are Igniting Radical Change in South African Schools</t>
  </si>
  <si>
    <t>Knowledge Resources(KR)</t>
  </si>
  <si>
    <t>Knowres Publishing</t>
  </si>
  <si>
    <t>Randburg</t>
  </si>
  <si>
    <t>Collins, Mandy</t>
  </si>
  <si>
    <t>LB2970.S6 -- .C655 2015eb</t>
  </si>
  <si>
    <t>School management and organization -- South Africa. ; Educational change -- South Africa. ; Education -- Economic aspects.</t>
  </si>
  <si>
    <t>Planning and Resource Strategy for Higher Education : A Guide for Universities in Africa</t>
  </si>
  <si>
    <t>The Society for College and University P(SCUP)</t>
  </si>
  <si>
    <t>Fountain, Douglas;Fountain, JoEllyn Murillo</t>
  </si>
  <si>
    <t>LA1503 -- .F686 2013eb</t>
  </si>
  <si>
    <t>Education, Higher -- Africa.</t>
  </si>
  <si>
    <t>Developing Research Methods for Analyzing Learning Spaces That Can Inform Institutional Missions of Learning and Engagement : Report from the Recipients of the 2013-2014 Perry Chapman Prize</t>
  </si>
  <si>
    <t>Boys, Jos;Melhuish, Clare;Wilson, Angelina</t>
  </si>
  <si>
    <t>LB3223 -- .B697 2014eb</t>
  </si>
  <si>
    <t>Campus planning.</t>
  </si>
  <si>
    <t>Education; Engineering: Construction; Engineering</t>
  </si>
  <si>
    <t>Transforming in An Age of Disruptive Change</t>
  </si>
  <si>
    <t>Norris, Donald;Brodnick, Robert;Lefrere, Paul</t>
  </si>
  <si>
    <t>LB2341 -- .T736 2013eb</t>
  </si>
  <si>
    <t>Education, Higher -- Administration.</t>
  </si>
  <si>
    <t>Integrated Resource and Budget Planning at Colleges and Universities</t>
  </si>
  <si>
    <t>Rylee, Carol</t>
  </si>
  <si>
    <t>LB2805 -- .I584 2011eb</t>
  </si>
  <si>
    <t>Universities and colleges -- Planning. ; Universities and colleges -- Finance.</t>
  </si>
  <si>
    <t>Facing Challenges : Feminism in Christian Higher Education and Other Places</t>
  </si>
  <si>
    <t>Jule, Allyson;Pedersen,  Bettina Tate</t>
  </si>
  <si>
    <t>LC1567 -- .F335 2015eb</t>
  </si>
  <si>
    <t>Women in higher education -- Religious aspects. ; Christian universities and colleges.</t>
  </si>
  <si>
    <t>Evaluating and Improving Undergraduate Teaching in Science, Technology, Engineering, and Mathematics</t>
  </si>
  <si>
    <t>Hackerman, Norman;Fox, Marye Anne</t>
  </si>
  <si>
    <t>Q181.E93 2003</t>
  </si>
  <si>
    <t>Understanding Others, Educating Ourselves : Getting More from International Comparative Studies in Education</t>
  </si>
  <si>
    <t>Elliott, Emerson J.;Chabbott, Colette</t>
  </si>
  <si>
    <t>LB43.N38 2003</t>
  </si>
  <si>
    <t>Bio2010 : Transforming Undergraduate Education for Future Research Biologists</t>
  </si>
  <si>
    <t>QH319.A1.B56 2003eb</t>
  </si>
  <si>
    <t>On Evaluating Curricular Effectiveness : Judging the Quality of K-12 Mathematics Evaluations</t>
  </si>
  <si>
    <t>Stohl, Vicki;Confrey, Jere</t>
  </si>
  <si>
    <t>QA11.2.O5 2004</t>
  </si>
  <si>
    <t>Mathematics--Study and teaching--Evaluation.</t>
  </si>
  <si>
    <t>Keeping Score for All : The Effects of Inclusion and Accommodation Policies on Large-Scale Educational Assessments</t>
  </si>
  <si>
    <t>Bachman, Lyle F.;Koenig, Judith Anderson</t>
  </si>
  <si>
    <t>LB3060.83.N295 2004</t>
  </si>
  <si>
    <t>National Assessment of Educational Progress (Project). ; Educational tests and measurements--United States--Evaluation. ; Inclusive education--United States--Evaluation. ; Students with disabilities--Education--United States. ; Limited English-proficient students--United States.</t>
  </si>
  <si>
    <t>Evaluation of the Markey Scholars Program</t>
  </si>
  <si>
    <t>R854.U5E92 2006</t>
  </si>
  <si>
    <t>Lucille P. Markey Charitable Trust-Evaluation. ; Medical sciences-United States-Endowments-Evaluation. ; Medical sciences-Research-United States-Evaluation.</t>
  </si>
  <si>
    <t>Green Schools : Attributes for Health and Learning</t>
  </si>
  <si>
    <t>LB3209 .N32 2007</t>
  </si>
  <si>
    <t>School buildings-Design and construction-Environmental aspects. ; Sustainable buildings-Design and construction. ; Buildings-Environmental engineering.</t>
  </si>
  <si>
    <t>International Education and Foreign Languages : Keys to Securing America's Future</t>
  </si>
  <si>
    <t>Norwood, Janet L.;O'Connell, Mary Ellen</t>
  </si>
  <si>
    <t>P57.U7I58 2007</t>
  </si>
  <si>
    <t>418.0071/173</t>
  </si>
  <si>
    <t>Language and languages-Study and teaching (Higher)-United States. ; Area studies-United States.</t>
  </si>
  <si>
    <t>Evaluation of NSF's Program of Grants for Vertical Integration of Research and Education in the Mathematical Sciences (VIGRE)</t>
  </si>
  <si>
    <t>QA13.E93 2009</t>
  </si>
  <si>
    <t>National Science Foundation (U.S.)-Research grants. ; Mathematics-Research-Research grants-United States. ; Mathematics-Study and teaching-Research grants-United States. ; Universities and colleges-Vertical integration-Research grants-United States.</t>
  </si>
  <si>
    <t>Student Mobility : Exploring the Impacts of Frequent Moves on Achievement: Summary of a Workshop</t>
  </si>
  <si>
    <t>LB3064.2.S78 2010</t>
  </si>
  <si>
    <t>Students, Transfer of-United States-Psychological aspects. ; Student mobility-United States. ; Transfer students-United States.</t>
  </si>
  <si>
    <t>Best Practices for State Assessment Systems, Part I : Summary of a Workshop</t>
  </si>
  <si>
    <t>LB2822.75.B45 2010</t>
  </si>
  <si>
    <t>Managing University Intellectual Property in the Public Interest</t>
  </si>
  <si>
    <t>Mazza, Anne-Marie;Merrill, Stephen A.</t>
  </si>
  <si>
    <t>T174.3 .N38 2011</t>
  </si>
  <si>
    <t>Technology transfer-United States. ; Intellectual property-United States. ; Intellectual property infringement-United States. ; Universities and colleges-United States-Administration.</t>
  </si>
  <si>
    <t>Review of the National Defense Intelligence College's Master's Degree in Science and Technology Intelligence</t>
  </si>
  <si>
    <t>LB2331.62 .C66 2011</t>
  </si>
  <si>
    <t>National Defense Intelligence College (U.S.) ; Education, Higher-Evaluation.</t>
  </si>
  <si>
    <t>Research Universities and the Future of America : Ten Breakthrough Actions Vital to Our Nation's Prosperity and Security</t>
  </si>
  <si>
    <t>LB2324 .N37 2012</t>
  </si>
  <si>
    <t>Education and globalization. ; Education, Higher-Aims and objectives-United States. ; Education, Higher-United States-Finance. ; Universities and colleges-United States-Administration. ; Universities and colleges-United States-Evaluation.</t>
  </si>
  <si>
    <t>Community Colleges in the Evolving STEM Education Landscape : Summary of a Summit</t>
  </si>
  <si>
    <t>Labov, Jay B.;Olson, Steve</t>
  </si>
  <si>
    <t>Q183.3.A1 C66 2012</t>
  </si>
  <si>
    <t>Science-Study and teaching (Higher)-United States. ; Technology-Study and teaching (Higher)-United States. ; Engineering-Study and teaching (Higher)-United States. ; Mathematics-Study and teaching (Higher)-United States. ; Community colleges-United States.</t>
  </si>
  <si>
    <t>Teaching Reading to English Language Learners : A Reflective Guide</t>
  </si>
  <si>
    <t>Encyclopedia of Language and Education : Research Methods in Language and Education</t>
  </si>
  <si>
    <t>Hornberger, Nancy H.;Corson, P.</t>
  </si>
  <si>
    <t>Encyclopedia of Language and Education Series</t>
  </si>
  <si>
    <t>Language and languages.</t>
  </si>
  <si>
    <t>Intelligence Tests for Children</t>
  </si>
  <si>
    <t>Valentine, C.W.;Valentine, C.W.</t>
  </si>
  <si>
    <t>Collected Works of C. W. Valentine Series</t>
  </si>
  <si>
    <t>LB1131 -- .V354 1945eb</t>
  </si>
  <si>
    <t>Intelligence tests. ; Educational tests and measurements.</t>
  </si>
  <si>
    <t>Psychology and Its Bearing on Education</t>
  </si>
  <si>
    <t>Valentine, C.W.</t>
  </si>
  <si>
    <t>LB1051 -- .V28 1950eb</t>
  </si>
  <si>
    <t>The Philosophy of Schooling</t>
  </si>
  <si>
    <t>Barrow, Robin</t>
  </si>
  <si>
    <t>LB17 -- .B27 2015eb</t>
  </si>
  <si>
    <t>Education -- Philosophy</t>
  </si>
  <si>
    <t>Promoting a Successful Transition to Middle School</t>
  </si>
  <si>
    <t>Akos, Patrick;Lineberry, Christopher;Queen, J. Allen</t>
  </si>
  <si>
    <t>LB1623.5 -- .A367 2013eb</t>
  </si>
  <si>
    <t>Middle school education -- United States. ; Articulation (Education) -- United States. ; Student adjustment -- United States. ; Academic achievement -- United States.</t>
  </si>
  <si>
    <t>The State, the Family and Education (Routledge Revivals)</t>
  </si>
  <si>
    <t>David, Miriam</t>
  </si>
  <si>
    <t>LC225.33.G7 -- .D385 2015eb</t>
  </si>
  <si>
    <t>Home and school -- Great Britain. ; Education -- Economic aspects -- Great Britain. ; Students -- Legal status, laws, etc. -- Great Britain. ; Parent and child -- Great Britain. ; Teacher-student relationships -- Great Britain.</t>
  </si>
  <si>
    <t>Understanding Skills : Thinking, Feeling, and Caring</t>
  </si>
  <si>
    <t>LB14.7 -- .B377 2015eb</t>
  </si>
  <si>
    <t>Training in Developing Nations: a Handbook for Expatriates : A Handbook for Expatriates</t>
  </si>
  <si>
    <t>Daly, John L.</t>
  </si>
  <si>
    <t>LB1027.47 -- .T74 2015eb</t>
  </si>
  <si>
    <t>Training - Developing countries</t>
  </si>
  <si>
    <t>College Knowledge for the Jewish Student : 101 Tips</t>
  </si>
  <si>
    <t>Schoem, David</t>
  </si>
  <si>
    <t>LB3613</t>
  </si>
  <si>
    <t>378.1/9829924073</t>
  </si>
  <si>
    <t>Can We Wear Our Pearls and Still Be Feminists? : Memoirs of a Campus Struggle</t>
  </si>
  <si>
    <t>Mandle, Joan</t>
  </si>
  <si>
    <t>HQ1181.U5.M37 2000</t>
  </si>
  <si>
    <t>305.42/07</t>
  </si>
  <si>
    <t>Women's studies--New York (State)</t>
  </si>
  <si>
    <t>Dangerous Donations : Northern Philanthropy and Southern Black Education, 1902-1930</t>
  </si>
  <si>
    <t>Anderson, Eric;Moss, Alfred A.;Moss Jr, Alfred A.</t>
  </si>
  <si>
    <t>LC2707.A53 1999</t>
  </si>
  <si>
    <t>370/.8996/073</t>
  </si>
  <si>
    <t>African Americans--Education--Southern States--Finance--History.</t>
  </si>
  <si>
    <t>Prairie Power : Voices of 1960s Midwestern Student Protest</t>
  </si>
  <si>
    <t>Lieberman, Robbie</t>
  </si>
  <si>
    <t>LB3610</t>
  </si>
  <si>
    <t>378.1/98/10977</t>
  </si>
  <si>
    <t>Student movements-Middle West-History-20th century. ; Student protesters-Middle West-Anecdotes.</t>
  </si>
  <si>
    <t>Off the Rim : Basketball and Other Religions in a Carolina Childhood</t>
  </si>
  <si>
    <t>Hobson, Fred</t>
  </si>
  <si>
    <t>Sports and American Culture Series</t>
  </si>
  <si>
    <t>796.323/6309756565</t>
  </si>
  <si>
    <t>Hobson, Fred,-1943- ; University of North Carolina at Chapel Hill-Basketball. ; North Carolina Tar Heels (Basketball team) ; Yadkin County (N.C.)</t>
  </si>
  <si>
    <t>Nothing Gold Can Stay : A Memoir</t>
  </si>
  <si>
    <t>Sullivan, Walter</t>
  </si>
  <si>
    <t>PS3569.U3593.Z47 2006</t>
  </si>
  <si>
    <t>813/.54B</t>
  </si>
  <si>
    <t>English philology--Study and teaching--Tennessee--Nashville.</t>
  </si>
  <si>
    <t>Nathan B. Young and the Struggle over Black Higher Education</t>
  </si>
  <si>
    <t>Holland, Antonio F.</t>
  </si>
  <si>
    <t>LA2317.Y73.H65 2006</t>
  </si>
  <si>
    <t>378.1/22092B</t>
  </si>
  <si>
    <t>African American educators--Biography.</t>
  </si>
  <si>
    <t>Mizzou Today</t>
  </si>
  <si>
    <t>Hill, Rob;Wallace, Richard L.;Worley, Karen Flandermeyer</t>
  </si>
  <si>
    <t>LD3473.H55 2007</t>
  </si>
  <si>
    <t>378.778/29</t>
  </si>
  <si>
    <t>University of Missouri -- Pictorial works. ; University of Missouri -- History.</t>
  </si>
  <si>
    <t>Journalism of Humanity : A Candid History of the World's First Journalism School</t>
  </si>
  <si>
    <t>Weinberg, Steve</t>
  </si>
  <si>
    <t>PN4791.U55.W45 2008</t>
  </si>
  <si>
    <t>070.4071/177829</t>
  </si>
  <si>
    <t>University of Missouri--Columbia. -- School of Journalism -- History.</t>
  </si>
  <si>
    <t>Indomitable Mary Easton Sibley : Pioneer of Women's Education in Missouri</t>
  </si>
  <si>
    <t>Wolferman, Kristie C.</t>
  </si>
  <si>
    <t>Missouri Heritage Readers</t>
  </si>
  <si>
    <t>LA2317.S584.W65 2008</t>
  </si>
  <si>
    <t>370.92B</t>
  </si>
  <si>
    <t>Women educators--Missouri--Biography.</t>
  </si>
  <si>
    <t>Why Choose the Liberal Arts?</t>
  </si>
  <si>
    <t>University of Notre Dame Press</t>
  </si>
  <si>
    <t>Notre Dame, IN</t>
  </si>
  <si>
    <t>Roche, Mark William</t>
  </si>
  <si>
    <t>LC1011 .R63 2010</t>
  </si>
  <si>
    <t>Education, Humanistic.</t>
  </si>
  <si>
    <t>Creating Catholics : Catechism and Primary Education in Early Modern France</t>
  </si>
  <si>
    <t>Carter, Karen E.</t>
  </si>
  <si>
    <t>LC506.F7 C25 2011</t>
  </si>
  <si>
    <t>268/.8244</t>
  </si>
  <si>
    <t>Catholic Church-Education-France-History-17th century. ; Catholic Church-Education-France-History-18th century. ; Baltimore catechism-Study and teaching (Primary)-France. ; Education, Primary-France-History-17th century. ; Education, Primary-France-History-18th century. ; Counter-Reformation-France.</t>
  </si>
  <si>
    <t>Para a História da Universidade do Porto</t>
  </si>
  <si>
    <t>U. Porto editorial</t>
  </si>
  <si>
    <t>U.Porto editorial</t>
  </si>
  <si>
    <t>PORTUGAL</t>
  </si>
  <si>
    <t>dos Santos, Cândido</t>
  </si>
  <si>
    <t>LF4883.O65.S268 2007</t>
  </si>
  <si>
    <t>Universities and colleges--Portugal--History.</t>
  </si>
  <si>
    <t>Reconfigurar a  profissionalidade docente universitária – Um olhar sobre ações de atualizacão pedagógico-didática</t>
  </si>
  <si>
    <t>Ramos, Kátia</t>
  </si>
  <si>
    <t>LB2331.R35 2010</t>
  </si>
  <si>
    <t>College teaching.</t>
  </si>
  <si>
    <t>Factores, Representações e Práticas Institucionais de Promoção do Sucesso Escolar no Ensino Superior</t>
  </si>
  <si>
    <t>Veloso, Hernâni;Firmino da Costa, António;Teixeira Lopes, João</t>
  </si>
  <si>
    <t>LB1065.F33 2010</t>
  </si>
  <si>
    <t>Português, língua e ensino</t>
  </si>
  <si>
    <t>Figueiredo, Isabel Duarte e Olívia</t>
  </si>
  <si>
    <t>PC5045.I83 2011</t>
  </si>
  <si>
    <t>Portuguese language.</t>
  </si>
  <si>
    <t>Ensino Experimental das Ciências - Um guia para professores do Ensino Secundário - Biologia e Geologia</t>
  </si>
  <si>
    <t>Guerner Dias, António;Calejo, Benedito;Pereira, Susana</t>
  </si>
  <si>
    <t>Q181 -- .E575 2014eb</t>
  </si>
  <si>
    <t>Science -- Study and teaching (Secondary)</t>
  </si>
  <si>
    <t>Percursos da internacionalização na Universidade do Porto – uma visão centenária</t>
  </si>
  <si>
    <t>Teixeira, Pedro</t>
  </si>
  <si>
    <t>LB2806 -- .T459 2016eb</t>
  </si>
  <si>
    <t>Varsity Vocabulary : Words for Standardized Tests</t>
  </si>
  <si>
    <t>Vocalis Ltd</t>
  </si>
  <si>
    <t>Vocalis, Limited</t>
  </si>
  <si>
    <t>Waterbury</t>
  </si>
  <si>
    <t>McDermott, Erin I.</t>
  </si>
  <si>
    <t>PE1449.M34 2006</t>
  </si>
  <si>
    <t>428.1/076</t>
  </si>
  <si>
    <t>Vocabulary tests--Study guides.</t>
  </si>
  <si>
    <t>IPA Phonics : American English Pronunciation Guide</t>
  </si>
  <si>
    <t>Vocalis Ltd.</t>
  </si>
  <si>
    <t>PE1137.I67 2006</t>
  </si>
  <si>
    <t>English language--Pronunciation.</t>
  </si>
  <si>
    <t>Boatload of Idioms : Over a Thousand English Expressions</t>
  </si>
  <si>
    <t>Sera, Lucia;Sera, Lucia;Vocalis ESL</t>
  </si>
  <si>
    <t>PE1460.B63 2004</t>
  </si>
  <si>
    <t>English language--Idioms.</t>
  </si>
  <si>
    <t>Grammar Cracker : Unlocking English Grammar</t>
  </si>
  <si>
    <t>Lorio, Mary Gretchen;Beyer, Charles E.</t>
  </si>
  <si>
    <t>PE1128.3.G73 2001</t>
  </si>
  <si>
    <t>Computer games.</t>
  </si>
  <si>
    <t>ABC Pronunciary : American English Pronunciation Dictionary</t>
  </si>
  <si>
    <t>PE1137.I67 2001</t>
  </si>
  <si>
    <t>Teaching Engineering, Second Edition</t>
  </si>
  <si>
    <t>Wankat, Phillip C.;Oreovicz, Frank S.</t>
  </si>
  <si>
    <t>T73.W365 2015</t>
  </si>
  <si>
    <t>Engineering--Study and teaching (Higher)--United States.</t>
  </si>
  <si>
    <t>Engaging Young Engineers : Teaching Problem Solving Skills Through STEM</t>
  </si>
  <si>
    <t>Newburyport</t>
  </si>
  <si>
    <t>Stone-MacDonald, Angela K.;Wendell, Kristen B.;Douglass, Anne;Love, Mary Lu;Hyson, Marilou</t>
  </si>
  <si>
    <t>LB1139.5.S35S86 2015</t>
  </si>
  <si>
    <t>Science--Study and teaching (Early childhood)--United States. ; Technology--Study and teaching (Early childhood)--United States. ; Engineering--Study and teaching (Early childhood)--United States. ; Mathematics--Study and teaching (Early childhood)--United States. ; EDUCATION / Inclusive Education. ; EDUCATION / Preschool &amp; Kindergarten. ; EDUCATION / Teaching Methods &amp; Materials / Science &amp; Technology.</t>
  </si>
  <si>
    <t>Reading and Writing in Preschool : Teaching the Essentials</t>
  </si>
  <si>
    <t>Casbergue, Renée M.;Strickland, Dorothy S.</t>
  </si>
  <si>
    <t>Best Practices in Action Series</t>
  </si>
  <si>
    <t>LB1140.5.L3.C37 2016</t>
  </si>
  <si>
    <t>Collaborative Coaching for Disciplinary Literacy : Strategies to Support Teachers in Grades 6-12</t>
  </si>
  <si>
    <t>Elish-Piper, Laurie;L'Allier, Susan K.;Manderino, Michael;Di Domenico, Paula</t>
  </si>
  <si>
    <t>LB2844.1.R4E55 2016</t>
  </si>
  <si>
    <t>Language arts teachers - In-service training - United States</t>
  </si>
  <si>
    <t>Gender Pedagogy : Teaching, Learning and Tracing Gender in Higher Education</t>
  </si>
  <si>
    <t>Henderson, E.</t>
  </si>
  <si>
    <t>Palgrave Studies in Gender and Education Series</t>
  </si>
  <si>
    <t>HQ12-449</t>
  </si>
  <si>
    <t>Feminist theory</t>
  </si>
  <si>
    <t>The Truly Diverse Faculty : New Dialogues in American Higher Education</t>
  </si>
  <si>
    <t>Fryberg, S.;Martínez, E.</t>
  </si>
  <si>
    <t>Observing Adolescents with Attachment Difficulties in Educational Settings : A Tool for Identifying and Supporting Emotional and Social Difficulties in Young People Aged 11-16</t>
  </si>
  <si>
    <t>Golding, Kim S.;Turner, Mary;Worrall, Helen;Cadman, Ann;Roberts, Jennifer;Bombèr, Louise Michelle</t>
  </si>
  <si>
    <t>No Place but Here : A Teacher's Vocation in a Rural Community</t>
  </si>
  <si>
    <t>Keizer, Garret</t>
  </si>
  <si>
    <t>373.11/0092/4</t>
  </si>
  <si>
    <t>Leadership and Management: Case Studies in Training in Higher Education in Africa</t>
  </si>
  <si>
    <t>Mouton, Johann;Wildschut, Lauren</t>
  </si>
  <si>
    <t>LA1503 .L433 2015</t>
  </si>
  <si>
    <t>Universities and colleges-Africa-Aministration. ; Educational leadership-Africa-Case studies. ; College administrators-Training of-Africa-Case studies.</t>
  </si>
  <si>
    <t>Liberal Arts Education in a Changing Society : A New Perspective on Chinese Higher Education</t>
  </si>
  <si>
    <t>Jiang, You Guo</t>
  </si>
  <si>
    <t>Youth Activism in an Era of Education Inequality</t>
  </si>
  <si>
    <t>Kirshner, Ben</t>
  </si>
  <si>
    <t>LA229 -- .K49 2015eb</t>
  </si>
  <si>
    <t>373.1/810973</t>
  </si>
  <si>
    <t>Minority high school students - Political activity - United States</t>
  </si>
  <si>
    <t>The Phantom Tollbooth - Literature Kit Gr. 5-6 : A State Standards-Aligned Literature Kit</t>
  </si>
  <si>
    <t>Westcott, Rosella</t>
  </si>
  <si>
    <t>Grades 5-6</t>
  </si>
  <si>
    <t>PS3560.U8.J878 2016</t>
  </si>
  <si>
    <t>Children's literature-Study and teaching (Elementary)</t>
  </si>
  <si>
    <t>The War with Grandpa - Literature Kit Gr. 3-4 : A State Standards-Aligned Literature Kit</t>
  </si>
  <si>
    <t>Summers, Eleanor</t>
  </si>
  <si>
    <t>Grades 3-4</t>
  </si>
  <si>
    <t>PN1008.8.S658 2016</t>
  </si>
  <si>
    <t>Children's literature-Study and teaching</t>
  </si>
  <si>
    <t>Fahrenheit 451 - Literature Kit Gr. 9-12 : A State Standards-Aligned Literature KitÃÂ¢ÃÂÃÂ¢</t>
  </si>
  <si>
    <t>Ibbotson, Chad</t>
  </si>
  <si>
    <t>Grades 9-12</t>
  </si>
  <si>
    <t>PS3503.R167.B733 2016</t>
  </si>
  <si>
    <t>Science fiction, American-Study and teaching</t>
  </si>
  <si>
    <t>Gregor the Overlander - Literature Kit Gr. 5-6 : A State Standards-Aligned Literature KitÃ¢ÂÂ¢</t>
  </si>
  <si>
    <t>PN1008.8.C655 2016</t>
  </si>
  <si>
    <t>Médée D'Euripide : Analyse Complète et Résumé détaillé de L'oeuvre</t>
  </si>
  <si>
    <t>Euripides.</t>
  </si>
  <si>
    <t>Le Blé en Herbe de Colette : Analyse Complète et Résumé détaillé de L'oeuvre</t>
  </si>
  <si>
    <t>lePetitLitteraire;Pinaud, Elena</t>
  </si>
  <si>
    <t>Colette,-1873-1954.</t>
  </si>
  <si>
    <t>L' Homme Qui Voulait être Heureux de Laurent Gounelle : Analyse Complète et Résumé détaillé de L'oeuvre</t>
  </si>
  <si>
    <t>lePetitLitteraire;Bouhon, Marie</t>
  </si>
  <si>
    <t>Happiness-Fiction.</t>
  </si>
  <si>
    <t>L' Extraordinaire Voyage du Fakir Qui était Resté Coincé Dans une Armoire IKEA de Romain Puértolas (Analyse de L'oeuvre) : Analyse Complète et Résumé détaillé de L'oeuvre</t>
  </si>
  <si>
    <t>lePetitLitteraire;Thiange, Tommy;Carrein, Kelly</t>
  </si>
  <si>
    <t>L' Affaire Caïus d'Henry Winterfeld : Analyse Complète et Résumé détaillé de L'oeuvre</t>
  </si>
  <si>
    <t>Friendship-Juvenile fiction.</t>
  </si>
  <si>
    <t>Je Voudrais Que Quelqu'un M'attende Quelque Part d'Anna Gavalda : Analyse Complète et Résumé détaillé de L'oeuvre</t>
  </si>
  <si>
    <t>Romance fiction.</t>
  </si>
  <si>
    <t>Dora Bruder de Patrick Modiano (Analyse de L'oeuvre) : Analyse Complète et Résumé détaillé de L'oeuvre</t>
  </si>
  <si>
    <t>lePetitLitteraire;Fernández Romero, Yolanda;Pépin, Margot</t>
  </si>
  <si>
    <t>Modiano, Patrick,-1945-</t>
  </si>
  <si>
    <t>Des Vies en Mieux d'Anna Gavalda (Analyse de L'oeuvre) : Analyse Complète et Résumé détaillé de L'oeuvre</t>
  </si>
  <si>
    <t>lePetitLitteraire;Quinaux, Éléonore;Balthasar, Florence</t>
  </si>
  <si>
    <t>PZ7.M35672 .Q563 2015</t>
  </si>
  <si>
    <t>Friendship-Fiction.</t>
  </si>
  <si>
    <t>Ce Que le Jour Doit à la Nuit de Yasmina Khadra (Fiche de Lecture) : Analyse Complète et Résumé détaillé de L'oeuvre</t>
  </si>
  <si>
    <t>lePetitLitteraire;Auneau, Ludivine</t>
  </si>
  <si>
    <t>Restorative Theory in Practice : Insights into What Works and Why</t>
  </si>
  <si>
    <t>Hopkins, Belinda;Thorsborne, Margaret;Wallis, Pete &amp; Thalia;Wallis, Pete;Felton, Mo;Drewery, Wendy;Vander Vennan, Mark Vander;Denicolo, Pam;Cameron, Shona;Shearer, Ann</t>
  </si>
  <si>
    <t>HV8688.R497 2016</t>
  </si>
  <si>
    <t>364.6/8</t>
  </si>
  <si>
    <t>Restorative justice. ; Juvenile delinquency--Psychological aspects.</t>
  </si>
  <si>
    <t>An Intellectual History of School Leadership Practice and Research</t>
  </si>
  <si>
    <t>LB2805 -- .G838 2016eb</t>
  </si>
  <si>
    <t>Educational leadership -- Philosophy. ; School management and organization -- Philosophy. ; Educational leadership -- Research. ; School management and organization -- Research.</t>
  </si>
  <si>
    <t>Learning, Teaching and Assessment in Higher Education : Global Perspectives</t>
  </si>
  <si>
    <t>Red Globe</t>
  </si>
  <si>
    <t>Brown, Sally</t>
  </si>
  <si>
    <t>Teaching and Learning Series</t>
  </si>
  <si>
    <t>College students - Rating of - United States</t>
  </si>
  <si>
    <t>From Labouring to Learning : Working-Class Masculinities, Education and De-Industrialization</t>
  </si>
  <si>
    <t>Ward, Michael R. M.</t>
  </si>
  <si>
    <t>Quick Hits for Adjunct Faculty and Lecturers : Successful Strategies from Award-Winning Teachers</t>
  </si>
  <si>
    <t>Morgan, Robin K.;Olivares, Kimberly T.;Becker, Jon;Bichelmeyer, Barbara A.;Wolter, Robert</t>
  </si>
  <si>
    <t>College teachers, Part-time</t>
  </si>
  <si>
    <t>Emotions, Technology, Design, and Learning</t>
  </si>
  <si>
    <t>Tettegah, Sharon Y.;Gartmeier, Martin</t>
  </si>
  <si>
    <t>Human-computer interaction</t>
  </si>
  <si>
    <t>Teaching in Further Education : The Inside Story</t>
  </si>
  <si>
    <t>LC5215</t>
  </si>
  <si>
    <t>374.1/102</t>
  </si>
  <si>
    <t>Building School 2. 0 : How to Create the Schools We Need</t>
  </si>
  <si>
    <t>Lehmann, Chris;Chase, Zac</t>
  </si>
  <si>
    <t>Designing for Learning : Creating Campus Environments for Student Success</t>
  </si>
  <si>
    <t>Strange, C. Carney;Banning, James H.</t>
  </si>
  <si>
    <t>LB2324 .S77 2015</t>
  </si>
  <si>
    <t>378.1/9610973</t>
  </si>
  <si>
    <t>College environment--United States. ; Campus planning--United States. ; College facilities--United States--Planning.</t>
  </si>
  <si>
    <t>The New Advisor Guidebook : Mastering the Art of Academic Advising</t>
  </si>
  <si>
    <t>Folsom, Pat;Yoder, Franklin;Joslin, Jennifer E.</t>
  </si>
  <si>
    <t>Counseling in higher education</t>
  </si>
  <si>
    <t>Visual Design for Online Learning</t>
  </si>
  <si>
    <t>Davis, Torria</t>
  </si>
  <si>
    <t>LB1044.87.D384 2015</t>
  </si>
  <si>
    <t>Internet in education. ; Instructional systems--Design. ; Visual communication. ; EDUCATION / Distance Education &amp; Learning.</t>
  </si>
  <si>
    <t>Facilitative Collaborative Knowledge Co-Construction : New Directions for Teaching and Learning, Number 143</t>
  </si>
  <si>
    <t>van Schalkwyk, Gertina J.;D'Amato, Rik Carl</t>
  </si>
  <si>
    <t>LB1032 -- .F335 2015eb</t>
  </si>
  <si>
    <t>Group work in education. ; Teaching teams. ; College teaching. ; Constructivism (Education)</t>
  </si>
  <si>
    <t>Widening Higher Education Participation : A Global Perspective</t>
  </si>
  <si>
    <t>Shah, Mahsood;Bennett, Anna;Southgate, Erica</t>
  </si>
  <si>
    <t>LB2325.W534 2016</t>
  </si>
  <si>
    <t>Análisis de datos y Probabilidad: Coordenadas y Cuadrículas</t>
  </si>
  <si>
    <t>Cook, Tanya;Forest, Chris</t>
  </si>
  <si>
    <t>Cinco Capítulos de las Series de Matemáticas - Análisis de datos y Probabilidad 6-8</t>
  </si>
  <si>
    <t>QA556 .C667 2015</t>
  </si>
  <si>
    <t>Coordinates.</t>
  </si>
  <si>
    <t>Análisis de datos y Probabilidad: Diagramas de Dispersión, Barras de Línea y Gráficas de Línea</t>
  </si>
  <si>
    <t>QA166 .D534 2015</t>
  </si>
  <si>
    <t>Graph theory.</t>
  </si>
  <si>
    <t>Análisis de datos y Probabilidad: Diagrama lineal y Gráficos de líneas</t>
  </si>
  <si>
    <t>Cinco Capítulos de las Series de Matemáticas - Análisis de datos y Probabilidad 3-5</t>
  </si>
  <si>
    <t>QA402 .D534 2015</t>
  </si>
  <si>
    <t>Linear systems.</t>
  </si>
  <si>
    <t>Computer Science/IT; Mathematics</t>
  </si>
  <si>
    <t>Análisis de datos y Probabilidad: Diagramas de barras y Diagramas de círculo</t>
  </si>
  <si>
    <t>Análisis de datos y Probabilidad: Probabilidad Teórica</t>
  </si>
  <si>
    <t>QA273 .P763 2015</t>
  </si>
  <si>
    <t>Probabilities.</t>
  </si>
  <si>
    <t>Análisis de datos y Probabilidad: Pictogramas, Diagramas de Círculo y Diagrama de Barras</t>
  </si>
  <si>
    <t>T357 .P538 2015</t>
  </si>
  <si>
    <t>Charts, diagrams, etc.</t>
  </si>
  <si>
    <t>Computer Science/IT; Engineering; Engineering: General; General Works/Reference</t>
  </si>
  <si>
    <t>Análisis de datos y Probabilidad: Media, Mediana y Moda</t>
  </si>
  <si>
    <t>QC174.85.M43 .M435 2015</t>
  </si>
  <si>
    <t>Mean field theory.</t>
  </si>
  <si>
    <t>Medidas: Área Superficial y Volumen</t>
  </si>
  <si>
    <t>Forest, Chris</t>
  </si>
  <si>
    <t>Cinco Capítulos de las Series de Matemáticas - Medidas 6-8</t>
  </si>
  <si>
    <t>QA445 .Á743 2015</t>
  </si>
  <si>
    <t>Volume (Mathematics)</t>
  </si>
  <si>
    <t>Medidas: Perímetro y Área</t>
  </si>
  <si>
    <t>QA445 .P476 2015</t>
  </si>
  <si>
    <t>Medidas: Temperatura y Divisas</t>
  </si>
  <si>
    <t>QC271 .T467 2015</t>
  </si>
  <si>
    <t>Temperature.</t>
  </si>
  <si>
    <t>Medidas: Ángulos y Círculos</t>
  </si>
  <si>
    <t>QA482 .Á548 2015</t>
  </si>
  <si>
    <t>Angles (Geometry)</t>
  </si>
  <si>
    <t>Números y Operaciones: Porcentajes con fracciones</t>
  </si>
  <si>
    <t>Reed, Nat</t>
  </si>
  <si>
    <t>Cinco Capítulos de las Series de Matemáticas - Números y Operaciones 3-5</t>
  </si>
  <si>
    <t>HF5695 .P673 2015</t>
  </si>
  <si>
    <t>Percentage.</t>
  </si>
  <si>
    <t>Geometría: Área, Volumen y Área de superficie</t>
  </si>
  <si>
    <t>Rosenberg, Mary</t>
  </si>
  <si>
    <t>Cinco Capítulos de las Series de Matemáticas - Geometría 3-5</t>
  </si>
  <si>
    <t>GA23 .Á743 2015</t>
  </si>
  <si>
    <t>Area measurement.</t>
  </si>
  <si>
    <t>Mathematics; Geography/Travel</t>
  </si>
  <si>
    <t>Medidas: Conversiones de Medidas</t>
  </si>
  <si>
    <t>T50 .C668 2015</t>
  </si>
  <si>
    <t>Measurement.</t>
  </si>
  <si>
    <t>Geometría: Área de Superficie y Volumen de Formas de 3 Dimensiones</t>
  </si>
  <si>
    <t>Cinco Capítulos de las Series de Matemáticas - Geometría 6-8</t>
  </si>
  <si>
    <t>Geography/Travel; Mathematics</t>
  </si>
  <si>
    <t>Álgebra: Proporciones</t>
  </si>
  <si>
    <t>Cinco Capítulos de las Series de Matemáticas - Álgebra 6-8</t>
  </si>
  <si>
    <t>N76 .P767 2015</t>
  </si>
  <si>
    <t>Proportion.</t>
  </si>
  <si>
    <t>Geometría: Área de Formas de 2 Dimensiones</t>
  </si>
  <si>
    <t>TA347.D5 .Á743 2015</t>
  </si>
  <si>
    <t>Dimensional analysis.</t>
  </si>
  <si>
    <t>Science: Physics; Engineering: Civil; Engineering; Science</t>
  </si>
  <si>
    <t>Geometría: Líneas</t>
  </si>
  <si>
    <t>QA445 .L643 2015</t>
  </si>
  <si>
    <t>Álgebra: Ecuaciones Lineales</t>
  </si>
  <si>
    <t>QA211 .E283 2015</t>
  </si>
  <si>
    <t>Equations.</t>
  </si>
  <si>
    <t>Geometría: Círculos</t>
  </si>
  <si>
    <t>QA484 .C738 2015</t>
  </si>
  <si>
    <t>Circle.</t>
  </si>
  <si>
    <t>Geometría: Ángulos y Triángulos</t>
  </si>
  <si>
    <t>Números y Operaciones: Proporciones y Porcentajes</t>
  </si>
  <si>
    <t>Cinco Capítulos de las Series de Matemáticas - Números y Operaciones 6-8</t>
  </si>
  <si>
    <t>Números y Operaciones: Sistema Decimales y valor posicional</t>
  </si>
  <si>
    <t>QC96 .S578 2015</t>
  </si>
  <si>
    <t>Decimal system.</t>
  </si>
  <si>
    <t>Science: Physics; Science; Mathematics</t>
  </si>
  <si>
    <t>Álgebra: Gráficas de Funciones Lineales</t>
  </si>
  <si>
    <t>QA166 .G745 2015</t>
  </si>
  <si>
    <t>Números y Operaciones: Fracciones – Suma y resta</t>
  </si>
  <si>
    <t>QA107 .R443 2015</t>
  </si>
  <si>
    <t>Arithmetic.</t>
  </si>
  <si>
    <t>Análisis de datos y Probabilidad: Diagramas de tallos y hojas y Cuadrículas de coordenadas</t>
  </si>
  <si>
    <t>QA276.2 .C665 2015</t>
  </si>
  <si>
    <t>Mathematical statistics-Problems, exercises, etc.</t>
  </si>
  <si>
    <t>Álgebra: Funciones Lineales</t>
  </si>
  <si>
    <t>QA184 .R443 2015</t>
  </si>
  <si>
    <t>Algebras, Linear.</t>
  </si>
  <si>
    <t>Álgebra: Expresiones</t>
  </si>
  <si>
    <t>QA152 .R443 2015</t>
  </si>
  <si>
    <t>Algebra.</t>
  </si>
  <si>
    <t>Análisis de datos y Probabilidad: Probabilidad y Porcentajes</t>
  </si>
  <si>
    <t>Números y Operaciones: Valor Posicional y Conjuntos de Datos</t>
  </si>
  <si>
    <t>QA43 .R443 2015</t>
  </si>
  <si>
    <t>Números y Operaciones: Índices y Tasas de Multiplicación y División</t>
  </si>
  <si>
    <t>Mathematics-Problems, exercises, etc.</t>
  </si>
  <si>
    <t>Geometría: Formas de 2 dimensiones y 3 dimensiones</t>
  </si>
  <si>
    <t>QA445 .R674 2015</t>
  </si>
  <si>
    <t>Números y Operaciones: Fracciones y Decimales – Multiplicación y División</t>
  </si>
  <si>
    <t>Números y Operaciones: Números Racionales</t>
  </si>
  <si>
    <t>Medidas: Volumen y Área de superficie</t>
  </si>
  <si>
    <t>Cinco Capítulos de las Series de Matemáticas - Medidas 3-5</t>
  </si>
  <si>
    <t>QA445 .F674 2015</t>
  </si>
  <si>
    <t>Mentoring As Transformative Practice: Supporting Student and Faculty Diversity : New Directions for Higher Education, Number 171</t>
  </si>
  <si>
    <t>Turner, Caroline S.</t>
  </si>
  <si>
    <t>LC5225.M45 -- .M468 2015eb</t>
  </si>
  <si>
    <t>Mentoring in education. ; Minorities -- Education (Higher)</t>
  </si>
  <si>
    <t>New Directions for Student Services, 1997-2014: Glancing Back, Looking Forward : New Directions for Student Services, Number 151</t>
  </si>
  <si>
    <t>Whitt, Elizabeth J.;Schuh, John H.</t>
  </si>
  <si>
    <t>LB2342.92 -- .N49 2015eb</t>
  </si>
  <si>
    <t>Student affairs services -- United States. ; Educational counseling -- United States. ; Counseling in higher education -- United States.</t>
  </si>
  <si>
    <t>Reimaging Doctoral Education As Adult Education : New Directions for Adult and Continuing Education, Number 147</t>
  </si>
  <si>
    <t>Heaney, Tom;Ramdeholl, Dianne</t>
  </si>
  <si>
    <t>LB2371 -- .R456 2015eb</t>
  </si>
  <si>
    <t>Universities and colleges -- Graduate work. ; Doctor of philosophy degree. ; Adult education.</t>
  </si>
  <si>
    <t>Números y Operaciones: Multiplicación y División</t>
  </si>
  <si>
    <t>Números y Operaciones: Decimales – Suma y resta</t>
  </si>
  <si>
    <t>Álgebra: Expresiones – Multiplicación y División</t>
  </si>
  <si>
    <t>Cinco Capítulos de las Series de Matemáticas - Álgebra 3-5</t>
  </si>
  <si>
    <t>Álgebra: Ecuaciones – Resolver entradas variables</t>
  </si>
  <si>
    <t>Álgebra: Ecuaciones – Resolver una variable</t>
  </si>
  <si>
    <t>Álgebra: Gráficos – Coordenadas y Líneas de Números</t>
  </si>
  <si>
    <t>Álgebra: Patrones</t>
  </si>
  <si>
    <t>Geometría: Polígonos</t>
  </si>
  <si>
    <t>Geometría: Triángulos y Pirámides</t>
  </si>
  <si>
    <t>QA491 .R674 2015</t>
  </si>
  <si>
    <t>Pyramid (Geometry)</t>
  </si>
  <si>
    <t>Mathematics; Religion</t>
  </si>
  <si>
    <t>Geometría: Transformaciones y Simetría</t>
  </si>
  <si>
    <t>QA601 .R674 2015</t>
  </si>
  <si>
    <t>Transformations (Mathematics)</t>
  </si>
  <si>
    <t>Medidas: Longitudes y Pesos</t>
  </si>
  <si>
    <t>QC88 .F674 2015</t>
  </si>
  <si>
    <t>Weights and measures.</t>
  </si>
  <si>
    <t>Medidas: Temperatura &amp; Tiempo</t>
  </si>
  <si>
    <t>QC271 .F674 2015</t>
  </si>
  <si>
    <t>Temperature measurements.</t>
  </si>
  <si>
    <t>Medidas: Ángulos</t>
  </si>
  <si>
    <t>QA482 .F674 2015</t>
  </si>
  <si>
    <t>GA23 .F674 2015</t>
  </si>
  <si>
    <t>The Public Professor : How to Use Your Research to Change the World</t>
  </si>
  <si>
    <t>Badgett, M. V. Lee</t>
  </si>
  <si>
    <t>Communication in higher education - United States</t>
  </si>
  <si>
    <t>Creative Educational Leadership : A Practical Guide to Leadership As Creativity</t>
  </si>
  <si>
    <t>LB2805.T87 2012</t>
  </si>
  <si>
    <t>The University in Transition</t>
  </si>
  <si>
    <t>Perkins, James Alfred</t>
  </si>
  <si>
    <t>Princeton Legacy Library</t>
  </si>
  <si>
    <t>LA228 .P475 1966</t>
  </si>
  <si>
    <t>Rereading Appalachia : Literacy, Place, and Cultural Resistance</t>
  </si>
  <si>
    <t>Webb-Sunderhaus, Sara;Donehower, Kim</t>
  </si>
  <si>
    <t>Place Matters: New Directions in Appalachian Studies</t>
  </si>
  <si>
    <t>LC152.A66 -- .R47 2015eb</t>
  </si>
  <si>
    <t>302.2/2440974</t>
  </si>
  <si>
    <t>Literacy - Social aspects - Appalachian Region</t>
  </si>
  <si>
    <t>Writing for Professional Development</t>
  </si>
  <si>
    <t>Ortoleva, Giulia;Bétrancourt, Mireille;Billett, Stephen</t>
  </si>
  <si>
    <t>PN151 .W78 2016</t>
  </si>
  <si>
    <t>Authorship-Vocational guidance.</t>
  </si>
  <si>
    <t>Art, Education and Gender : The Shaping of Female Ambition</t>
  </si>
  <si>
    <t>Hopper, Gill</t>
  </si>
  <si>
    <t>Empire of Scholars : Universities, Networks and the British Academic World, 1850-1939</t>
  </si>
  <si>
    <t>Pietsch, Tamson</t>
  </si>
  <si>
    <t>Studies in Imperialism Series</t>
  </si>
  <si>
    <t>Les Gens Heureux Lisent et Boivent du Café d'Agnès Martin-Lugand (Fiche de Lecture) : Analyse Complète et Résumé détaillé de L'oeuvre</t>
  </si>
  <si>
    <t>lePetitLitteraire;Piret, Sophie</t>
  </si>
  <si>
    <t>French literature-History and criticism</t>
  </si>
  <si>
    <t>Le Trône de Fer de George R. R. Martin (Fiche de Lecture) : Analyse Complète et Résumé détaillé de L'oeuvre</t>
  </si>
  <si>
    <t>lePetitLitteraire;Mortier, Sybille</t>
  </si>
  <si>
    <t>Le Suicide Français d'Éric Zemmour (Fiche de Lecture) : Analyse Complète et Résumé détaillé de L'oeuvre</t>
  </si>
  <si>
    <t>lePetitLitteraire;Lambert, Jeremy</t>
  </si>
  <si>
    <t>La Vie Est Facile, Ne T'inquiète Pas d'Agnès Martin-Lugand (Fiche de Lecture) : Analyse Complète et Résumé détaillé de L'oeuvre</t>
  </si>
  <si>
    <t>La Religieuse de Denis Diderot (Fiche de Lecture) : Analyse Complète et Résumé détaillé de L'oeuvre</t>
  </si>
  <si>
    <t>lePetitLitteraire;Patrie, Émilie</t>
  </si>
  <si>
    <t>House of Cards de Michael Dobbs (Fiche de Lecture) : Analyse Complète et Résumé détaillé de L'oeuvre</t>
  </si>
  <si>
    <t>Charlotte de David Foenkinos (Fiche de Lecture) : Analyse Complète et Résumé détaillé de L'oeuvre</t>
  </si>
  <si>
    <t>lePetitLitteraire;Lissoir, Laurence</t>
  </si>
  <si>
    <t>North Korean Defectors in a New and Competitive Society : Issues and Challenges in Resettlement, Adjustment, and the Learning Process</t>
  </si>
  <si>
    <t>Lee, Ahlam</t>
  </si>
  <si>
    <t>HV640.5.K67L438 2015</t>
  </si>
  <si>
    <t>Political refugees - Government policy - Korea (South)</t>
  </si>
  <si>
    <t>Jesus and the Streets : The Loci of Causality for the Intra-Racial Gender Academic Achievement Gap in Black Urban America and the United Kingdom</t>
  </si>
  <si>
    <t>Mocombe, Paul C.;Tomlin, Carol;Showunmi, Victoria</t>
  </si>
  <si>
    <t>LC212.2</t>
  </si>
  <si>
    <t>371.8/29/0973</t>
  </si>
  <si>
    <t>Academic achievement-United States. ; Academic achievement-Great Britain. ; Educational equalization.</t>
  </si>
  <si>
    <t>Awareness in Action : Self-Awareness and Group Process</t>
  </si>
  <si>
    <t>Gary, Juneau Mahan;Philipson, Phylis J.</t>
  </si>
  <si>
    <t>MLCM 2019/42241 (B)</t>
  </si>
  <si>
    <t>Self-consciousness (Awareness).</t>
  </si>
  <si>
    <t>A Jungle Named Academia : Approaches to Self-Development and Growth</t>
  </si>
  <si>
    <t>Inoue-Smith, Yukiko;Klein, Susan S.;Spencer, Mary L.</t>
  </si>
  <si>
    <t>LB2332.3.I54 2016</t>
  </si>
  <si>
    <t>Women college teachers. ; College teachers. ; College teachers. (OCoLC)fst00868114. ; Women college teachers. (OCoLC)fst01177488.</t>
  </si>
  <si>
    <t>From the Army to College : Transitioning from the Service to Higher Education</t>
  </si>
  <si>
    <t>Ventrone, Jillian;Karczewski, Paul</t>
  </si>
  <si>
    <t>UB357.V342 2015</t>
  </si>
  <si>
    <t>378.1/9826970973</t>
  </si>
  <si>
    <t>Veterans - Education, Higher - United States</t>
  </si>
  <si>
    <t>Education; Military Science</t>
  </si>
  <si>
    <t>Voices for Diversity and Social Justice : A Literary Education Anthology</t>
  </si>
  <si>
    <t>Landsman, Julie;Salcedo, Rosanna M.;Gorski, Paul C.</t>
  </si>
  <si>
    <t>LC212.2 -- .V65 2015eb</t>
  </si>
  <si>
    <t>Minority students - United States - Social conditions</t>
  </si>
  <si>
    <t>Expressive Writing : Counseling and Healthcare</t>
  </si>
  <si>
    <t>Thompson, Kate;Adams, Kathleen;Baldwin, Christina</t>
  </si>
  <si>
    <t>It's Easy to W. R. I. T. E. Expressive Writing Series</t>
  </si>
  <si>
    <t>615.8/515</t>
  </si>
  <si>
    <t>Diaries - Therapeutic use</t>
  </si>
  <si>
    <t>Learning and Teaching Creative Cognition : The Interactive Book Report</t>
  </si>
  <si>
    <t>Schiering, Marjorie S.</t>
  </si>
  <si>
    <t>Creative ability - Study and teaching</t>
  </si>
  <si>
    <t>How Schools Succeed : Context, Culture, and Strategic Leadership</t>
  </si>
  <si>
    <t>Harris, Edward L.</t>
  </si>
  <si>
    <t>LB2805 -- .H329 2015eb</t>
  </si>
  <si>
    <t>Harnessing the Dynamics of Public Education : Preparing for a Return to Greatness</t>
  </si>
  <si>
    <t>Jones, Timothy B.;Barrett, David C.;Vornberg, James A.</t>
  </si>
  <si>
    <t>LA217.2.J656 2015</t>
  </si>
  <si>
    <t>Public schools - United States</t>
  </si>
  <si>
    <t>Effective Communication for District and School Administrators</t>
  </si>
  <si>
    <t>Communication in education - United States</t>
  </si>
  <si>
    <t>Becoming a Professor : A Guide to a Career in Higher Education</t>
  </si>
  <si>
    <t>Iding, Marie K.;Thomas, R. Murray</t>
  </si>
  <si>
    <t>LB1775.2 -- .I35 2015eb</t>
  </si>
  <si>
    <t>College teachers - Vocational guidance - United States</t>
  </si>
  <si>
    <t>Integrating Pedagogy and Technology : Improving Teaching and Learning in Higher Education</t>
  </si>
  <si>
    <t>Bernauer, James A.;Tomei, Lawrence A.</t>
  </si>
  <si>
    <t>LB2395.7 -- .B465 2015eb</t>
  </si>
  <si>
    <t>The Challenges of Mandating School Uniforms in the Public Schools : Free Speech, Research, and Policy</t>
  </si>
  <si>
    <t>DeMitchell, Todd A.;Fossey, Richard</t>
  </si>
  <si>
    <t>KF4770 -- .D47 2015eb</t>
  </si>
  <si>
    <t>344.73/0793</t>
  </si>
  <si>
    <t>Students - Clothing - United States</t>
  </si>
  <si>
    <t>The "How to" Grants Manual : Successful Grantseeking Techniques for Obtaining Public and Private Grants</t>
  </si>
  <si>
    <t>Bauer, David G.</t>
  </si>
  <si>
    <t>HG177 -- .B38 2016eb</t>
  </si>
  <si>
    <t>Grants-in-aid</t>
  </si>
  <si>
    <t>Leadership for Low-Performing Schools : A Step-By-Step Guide to the School Turnaround Process</t>
  </si>
  <si>
    <t>LB2822.82 -- .D85 2015eb</t>
  </si>
  <si>
    <t>Low-performing schools</t>
  </si>
  <si>
    <t>Gravissimum Educationis : Golden Opportunities in American Catholic Education 50 Years after Vatican II</t>
  </si>
  <si>
    <t>Cattaro, Gerald M.;Russo, Charles J.;Cooper, Bruce S.;John J. Convey, John J.;Sister John Mary Fleming, Sister John;Jordan Gadd, Jordan;Michael J. Garanzini, Michael J.;Regina M. Haney, Regina M.;Shane P. Martin, Shane P.;Dale McDonald, Dale</t>
  </si>
  <si>
    <t>LC501 -- .G66 2015eb</t>
  </si>
  <si>
    <t>371.071/273</t>
  </si>
  <si>
    <t>Catholic schools - United States</t>
  </si>
  <si>
    <t>Academic Language Literacy : Developing Instructional Leadership Skills for Principals and Teachers</t>
  </si>
  <si>
    <t>Ringler, Marjorie C.</t>
  </si>
  <si>
    <t>Academic language</t>
  </si>
  <si>
    <t>Beyond the Bedtime Story : Promoting Reading Development During the Middle School Years</t>
  </si>
  <si>
    <t>Young, Nicholas D.;Michael, Christine N.</t>
  </si>
  <si>
    <t>LB1525</t>
  </si>
  <si>
    <t>Reading (Middle school) ; Reading comprehension. ; Reading disability.</t>
  </si>
  <si>
    <t>Summer Versus School : The Possibilities of the Year-Round School</t>
  </si>
  <si>
    <t>Pedersen, James</t>
  </si>
  <si>
    <t>371.2/36</t>
  </si>
  <si>
    <t>Year-round schools - United States</t>
  </si>
  <si>
    <t>Using Teacher Inquiry for Knowing and Supporting Parents with Mathematics</t>
  </si>
  <si>
    <t>Mistretta, Regina M.</t>
  </si>
  <si>
    <t>Common Sense Questions about School Administration : The Answers Can Provide Essential Steps to Improvement</t>
  </si>
  <si>
    <t>LB2805 -- .G448 2015eb</t>
  </si>
  <si>
    <t>Naturalizing Digital Immigrants : The Power of Collegial Coaching for Technology Integration</t>
  </si>
  <si>
    <t>Alaniz, Katie;Wilson, Dawn</t>
  </si>
  <si>
    <t>Single-Sex Schools : A Place to Learn</t>
  </si>
  <si>
    <t>Riordan, Cornelius</t>
  </si>
  <si>
    <t>Single-sex schools - United States</t>
  </si>
  <si>
    <t>Re-Engaging Students for Success : Planning for the Education Teaching Performance Assessment</t>
  </si>
  <si>
    <t>Velsor, Kathleen G.</t>
  </si>
  <si>
    <t>Academic language - United States</t>
  </si>
  <si>
    <t>A Toolkit for Department Chairs</t>
  </si>
  <si>
    <t>Buller, Jeffrey L.;Cipriano, Robert E.</t>
  </si>
  <si>
    <t>LB2341 -- .B747 2015eb</t>
  </si>
  <si>
    <t>College department heads</t>
  </si>
  <si>
    <t>The Urgency of Now : Equity and Excellence</t>
  </si>
  <si>
    <t>Kolb, Marcus M.;Cargile, Samuel D.;Wood, Jason;Ebrahimi, Nassim;Priddy, Lynn E.;Dodge, Laurie</t>
  </si>
  <si>
    <t>LB2328 -- .U73 2015eb</t>
  </si>
  <si>
    <t>Educational attainment - United States</t>
  </si>
  <si>
    <t>Help! My College Students Can't Read : Teaching Vital Reading Strategies in the Content Areas</t>
  </si>
  <si>
    <t>Gamel, Amelia Leighton</t>
  </si>
  <si>
    <t>LB2395.3 -- .G36 2015eb</t>
  </si>
  <si>
    <t>428.4071/1</t>
  </si>
  <si>
    <t>Reading (Higher education)</t>
  </si>
  <si>
    <t>Every Reader a Close Reader : Expand and Deepen Close Reading in Your Classroom</t>
  </si>
  <si>
    <t>Cleaver, Samantha</t>
  </si>
  <si>
    <t>English language - Study and teaching (Middle school) - United States</t>
  </si>
  <si>
    <t>Challenges in Writing Your Dissertation : Coping with the Emotional, Interpersonal, and Spiritual Struggles</t>
  </si>
  <si>
    <t>Sterne, Noelle</t>
  </si>
  <si>
    <t>Dissertations, Academic</t>
  </si>
  <si>
    <t>The Game Plan : A Multi-Year Blueprint to Create a School Culture of Literacy and Data Analysis</t>
  </si>
  <si>
    <t>Kennett, Daron W.;Suzanne Rathke, Kim;van Brunt, Kristin</t>
  </si>
  <si>
    <t>LB1631 -- .K444 2016eb</t>
  </si>
  <si>
    <t>It's Game Time! : Games to Enhance Classroom Learning</t>
  </si>
  <si>
    <t>Rinaldi, Nicholas J.</t>
  </si>
  <si>
    <t>Campus Schools : New York City's Solution to Underperforming and Violent Schools</t>
  </si>
  <si>
    <t>Ortiz, Mónica</t>
  </si>
  <si>
    <t>LA339.N5O77 2015</t>
  </si>
  <si>
    <t>Educational innovations - New York (State) - New York</t>
  </si>
  <si>
    <t>Technology for Classroom and Online Learning : An Educator's Guide to Bits, Bytes, and Teaching</t>
  </si>
  <si>
    <t>Kwon, Samuel M.;Tomal, Daniel R.;Agajanian, Aram S.</t>
  </si>
  <si>
    <t>LB1028.3 -- .K86 2016eb</t>
  </si>
  <si>
    <t>The Board and Superintendent Handbook : Current Issues and Resources</t>
  </si>
  <si>
    <t>Van Deuren, Amy E.;Evert, Thomas F.;Lang, Bette A.;Raymond Golarz, Raymond;Daniel J. Olson, Daniel J.;Linda Nortier, Linda;Valerie Schmitz, Valerie;Denise Wellnitz, Denise</t>
  </si>
  <si>
    <t>LB2831 -- .B56 2015eb</t>
  </si>
  <si>
    <t>School board-superintendent relationships - United States</t>
  </si>
  <si>
    <t>Re-Awakening the Learner : Principles and Tools to Create School Systems to Achieve Personalized Mastery</t>
  </si>
  <si>
    <t>Stoll, Copper;Giddings, Gene</t>
  </si>
  <si>
    <t>Teachers Learn While Students Teach : Inspiring Hearts and Minds</t>
  </si>
  <si>
    <t>LB2157.U5 -- S65 2015eb</t>
  </si>
  <si>
    <t>Student teaching - United States</t>
  </si>
  <si>
    <t>The Seven Steps to Help Boys Love School : Teaching to Their Passion for Less Frustration</t>
  </si>
  <si>
    <t>Gilliam, Linda Marie</t>
  </si>
  <si>
    <t>LC1393 -- .G55 2015eb</t>
  </si>
  <si>
    <t>372.083/41</t>
  </si>
  <si>
    <t>Boys - Education (Elementary)</t>
  </si>
  <si>
    <t>Assessment, Bureaucracy, and Consolidation : The Issues Facing Schools Today</t>
  </si>
  <si>
    <t>Parkerson, Donald;Parkerson, Jo Ann</t>
  </si>
  <si>
    <t>LA217.2 -- .P374 2015eb</t>
  </si>
  <si>
    <t>Tell Me about the Presidents : Lessons for Today's Kids from America's Leaders</t>
  </si>
  <si>
    <t>Henry, Mike</t>
  </si>
  <si>
    <t>973.09/9 B</t>
  </si>
  <si>
    <t>Presidents - United States</t>
  </si>
  <si>
    <t>Teachers with the Magic : Great Teachers Change Students' Lives</t>
  </si>
  <si>
    <t>LB2835.25 -- .N67 2015eb</t>
  </si>
  <si>
    <t>Teacher turnover - United States - Prevention</t>
  </si>
  <si>
    <t>Mentoring with Meaning : How Educators Can Be More Professional and Effective</t>
  </si>
  <si>
    <t>McCray, Carlos R.;Cooper, Bruce S.</t>
  </si>
  <si>
    <t>LB1731.4</t>
  </si>
  <si>
    <t>The Write Mind for Every Classroom : How to Connect Brain Science and Writing Across the Disciplines</t>
  </si>
  <si>
    <t>Wirtz, Jason</t>
  </si>
  <si>
    <t>LB1576 -- .W578 2016eb</t>
  </si>
  <si>
    <t>Composition (Language arts) - Psychological aspects</t>
  </si>
  <si>
    <t>Plot Building : Classroom Ready Materials for Teaching Writing and Literary Analysis Skills in Grades 4 To 8</t>
  </si>
  <si>
    <t>Marks, Arlene F.;Walker, Bette J.</t>
  </si>
  <si>
    <t>Let Them Write: Building Literacy Skills Series</t>
  </si>
  <si>
    <t>LB1576 -- .M3778 2015eb</t>
  </si>
  <si>
    <t>Composition (Language arts) - Study and teaching (Elementary)</t>
  </si>
  <si>
    <t>Character Development : Classroom Ready Materials for Teaching Writing and Literary Analysis Skills in Grades 4 To 8</t>
  </si>
  <si>
    <t>LB1576 -- .M37778 2015eb</t>
  </si>
  <si>
    <t>Composition (Language arts) - Study and teaching (Middle school)</t>
  </si>
  <si>
    <t>Engaging Risk : A Guide for College Leaders</t>
  </si>
  <si>
    <t>Smith, Paula Vene</t>
  </si>
  <si>
    <t>Schools - Risk management</t>
  </si>
  <si>
    <t>Challenging Science Standards : A Skeptical Critique of the Quest for Unity</t>
  </si>
  <si>
    <t>Ault, Charles R., Jr.;Ault, Charles R.</t>
  </si>
  <si>
    <t>Q177 -- .A95 2015eb</t>
  </si>
  <si>
    <t>Classification of sciences</t>
  </si>
  <si>
    <t>What Works at Historically Black Colleges and Universities (HBCUs) : Nine Strategies for Increasing Retention and Graduation Rates</t>
  </si>
  <si>
    <t>Mfume, Tiffany Beth</t>
  </si>
  <si>
    <t>College dropouts - United States - Prevention</t>
  </si>
  <si>
    <t>Culture, Poverty, and Education : What's Happening in Today's Schools?</t>
  </si>
  <si>
    <t>Students with social disabilities - United States</t>
  </si>
  <si>
    <t>Knowing the Truth about Education</t>
  </si>
  <si>
    <t>Learning to Teach : Responsibilities of Student Teachers and Cooperating Teachers</t>
  </si>
  <si>
    <t>Schweinberg, Carley Meyer</t>
  </si>
  <si>
    <t>LB2157.A4S38 2015</t>
  </si>
  <si>
    <t>Cooperating teachers</t>
  </si>
  <si>
    <t>Why Teach? : Notes and Questions from a Life in Education</t>
  </si>
  <si>
    <t>LA2317.N44A3 2015</t>
  </si>
  <si>
    <t>Rethinking Common Core : The Missing Piece Sabotaging Its Success</t>
  </si>
  <si>
    <t>Jensen, John</t>
  </si>
  <si>
    <t>LB3060.83.J47 2015</t>
  </si>
  <si>
    <t>Common Core State Standards (Education). ; Education--Standards--United States. ; Educational change--United States. ; Effective teaching--United States.</t>
  </si>
  <si>
    <t>Experts As Effective Teachers : Understanding the Relevance of Cognition, Emotion, and Relation in Education</t>
  </si>
  <si>
    <t>Rieser, Fabian</t>
  </si>
  <si>
    <t>Teacher effectiveness. ; Specialists.</t>
  </si>
  <si>
    <t>Connecting the Dots in World History, a Teacher's Literacy-Based Curriculum : From Human Origins to Constantine</t>
  </si>
  <si>
    <t>Edwards, Chris</t>
  </si>
  <si>
    <t>Connect the Dots History of the World Series</t>
  </si>
  <si>
    <t>Volume 1</t>
  </si>
  <si>
    <t>D16.3 -- .E39 2015eb</t>
  </si>
  <si>
    <t>History - Study and teaching - United States</t>
  </si>
  <si>
    <t>Imagine, Inquire, and Create : A STEM-Inspired Approach to Cross-Curricular Teaching</t>
  </si>
  <si>
    <t>Adams, Dennis;Hamm, Mary</t>
  </si>
  <si>
    <t>Q181 -- .A288 2015eb</t>
  </si>
  <si>
    <t>Technology - Study and teaching - United States</t>
  </si>
  <si>
    <t>Powerless to Powerful : Leadership for School Change</t>
  </si>
  <si>
    <t>Salina, Charles;Girtz, Suzann;Eppinga, Joanie</t>
  </si>
  <si>
    <t>Powerless to Powerful Series</t>
  </si>
  <si>
    <t>Generalities of Distinction : Leadership, Learning, Limitations</t>
  </si>
  <si>
    <t>VanSciver, James H.</t>
  </si>
  <si>
    <t>LA217.2 -- .V365 2015eb</t>
  </si>
  <si>
    <t>Connecting the Dots in World History, a Teacher's Literacy Based Curriculum : From the Fall of the Western Roman Empire to Death of Genghis Khan</t>
  </si>
  <si>
    <t>Volume 2</t>
  </si>
  <si>
    <t>D16.3 -- .E393 2016eb</t>
  </si>
  <si>
    <t>Connecting the Dots in World History, a Teacher's Literacy Based Curriculum : From the Mongol Empire to the Reformation</t>
  </si>
  <si>
    <t>Volume 3</t>
  </si>
  <si>
    <t>A Year in the Life : The Real Life Experiences of Your First Year Working As a School Building Administrator in a Public School</t>
  </si>
  <si>
    <t>Pillar, Jedrek</t>
  </si>
  <si>
    <t>School administrators - United States</t>
  </si>
  <si>
    <t>Connecting the Dots in World History, a Teacher's Literacy Based Curriculum : From the Reformation to the Beginning of the Collapse of the Ottoman Empire</t>
  </si>
  <si>
    <t>Volume 4</t>
  </si>
  <si>
    <t>D16.3 -- .E39 2016eb</t>
  </si>
  <si>
    <t>Transforming Student Travel : A Resource Guide for Educators</t>
  </si>
  <si>
    <t>Brenner, Faye</t>
  </si>
  <si>
    <t>LC6681 -- .B74 2015eb</t>
  </si>
  <si>
    <t>Students - Travel</t>
  </si>
  <si>
    <t>Leading with Aesthetics : The Transformational Leadership of Charles M. Vest at MIT</t>
  </si>
  <si>
    <t>Daas, Mahesh</t>
  </si>
  <si>
    <t>658.4/09201</t>
  </si>
  <si>
    <t>Educational leadership - Massachusetts - Cambridge</t>
  </si>
  <si>
    <t>Big Box Schools : Race, Education, and the Danger of the Wal-Martization of Public Schools in America</t>
  </si>
  <si>
    <t>Martin, Lori Latrice</t>
  </si>
  <si>
    <t>Race and Education in the Twenty-First Century Series</t>
  </si>
  <si>
    <t>LC212.2.M38 2015</t>
  </si>
  <si>
    <t>Racism in education--United States. ; Public schools--Economic aspects--United States. ; Privatization in education--Social aspects--United States. ; African Americans--Social conditions.</t>
  </si>
  <si>
    <t>Renewed Accountability for Access and Excellence : Applying a Model for Democratic Professional Practice in Education</t>
  </si>
  <si>
    <t>Tenuto, Penny L.;Bauer, Scott C.;Bornhorst, Catherine A.;Brazer, S. David;Cate, Jean L.;Duffin, Diane L.;Florez, Viola E.;Friga, Marilyn A.;Gallavan, Nancy P.;Gardiner, Mary E.</t>
  </si>
  <si>
    <t>LB1775.R45 2015</t>
  </si>
  <si>
    <t>Teachers--Professional relationships. ; Teachers--Training of. ; Democracy and education.</t>
  </si>
  <si>
    <t>Latina/o College Student Leadership : Emerging Theory, Promising Practice</t>
  </si>
  <si>
    <t>Lozano, Adele;Barceló, Nancy "Rusty";Beatty, Cameron C.;Coronel, Eduardo;Escalante, Juan;Guardia, Juan R.;Kann, Veronica M.;Lopez, Corina Benavides;Muñoz, Susana;Orozco, Moises</t>
  </si>
  <si>
    <t>LC2670.6 -- .L385 2015eb</t>
  </si>
  <si>
    <t>Hispanic American college students</t>
  </si>
  <si>
    <t>The Politics of Authentic Engagement : Tools for Engaging Stakeholders in Ensuring Student Success</t>
  </si>
  <si>
    <t>New Directions in Teaching English : Reimagining Teaching, Teacher Education, and Research</t>
  </si>
  <si>
    <t>Eidman-Aadah, Antero;Scherff, Elisa A.</t>
  </si>
  <si>
    <t>LB1631 -- .N358 2015eb</t>
  </si>
  <si>
    <t>English teachers - Training of - United States</t>
  </si>
  <si>
    <t>Red Pedagogy : Native American Social and Political Thought</t>
  </si>
  <si>
    <t>Grande, Sandy</t>
  </si>
  <si>
    <t>E98.T77 -- G73 2015eb</t>
  </si>
  <si>
    <t>323.1197/073</t>
  </si>
  <si>
    <t>Self-determination, National - United States</t>
  </si>
  <si>
    <t>Faculty Development and Student Learning : Assessing the Connections</t>
  </si>
  <si>
    <t>Condon, William;Iverson, Ellen R.;Manduca, Cathryn A.;Rutz, Carol;Willett, Gudrun;Huber, Mary Taylor;Haswell, Richard;Huber, Mary Taylor;Haswell, Richard</t>
  </si>
  <si>
    <t>LB1738.C55 2016</t>
  </si>
  <si>
    <t>College teachers - In-service training</t>
  </si>
  <si>
    <t>Supporting Students with Emotional and Behavioral Problems : Prevention and Intervention Strategies</t>
  </si>
  <si>
    <t>Kern, Lee;George, Michael P.;Weist, Mark D.;Rodger, Susan;Lewis, Tim</t>
  </si>
  <si>
    <t>LC4165 -- .K47 2016eb</t>
  </si>
  <si>
    <t>EDUCATION / Classroom Management</t>
  </si>
  <si>
    <t>Critical Reading in Higher Education : Academic Goals and Social Engagement</t>
  </si>
  <si>
    <t>Manarin, Karen;Carey, Miriam;Rathburn, Melanie;Ryland, Glen;Hutchings, Pat;Hutchings, Pat</t>
  </si>
  <si>
    <t>LB2395.3.M26 2015</t>
  </si>
  <si>
    <t>Education for Upward Mobility</t>
  </si>
  <si>
    <t>Petrilli, Michael J.</t>
  </si>
  <si>
    <t>Social mobility - United States</t>
  </si>
  <si>
    <t>Teaching Students with Dyslexia, Dysgraphia, OWL LD, and Dyscalculia</t>
  </si>
  <si>
    <t>Berninger, Virginia W.;Wolf, Beverly J.;Alfonso, Vincent C.;Joshi, R. Malatesha;Silliman, Elaine R.</t>
  </si>
  <si>
    <t>LC4708 -- .B476 2016eb</t>
  </si>
  <si>
    <t>Agraphia</t>
  </si>
  <si>
    <t>The Making Friends Program : Supporting Acceptance in Your K-2 Classroom</t>
  </si>
  <si>
    <t>Favazza, Paddy C.;Ostrosky, Michaelene M.;Mouzourou, Chryso;Odom, Samuel L.;Dorsey, Emily A.;Meyer, Lori E.;Park, Hyejin;van Luling, Lisa M.;Yu, SeonYeong</t>
  </si>
  <si>
    <t>LC1201 -- .F27 2016eb</t>
  </si>
  <si>
    <t>Inclusive education - United States</t>
  </si>
  <si>
    <t>The Firm, Fair, Fascinating Facilitator : Inspire Your Students, Engage Your Class, Transform Your Teaching</t>
  </si>
  <si>
    <t>Ward, Robert</t>
  </si>
  <si>
    <t>LB1025.3 -- .W368 2016eb</t>
  </si>
  <si>
    <t>Having an Impact on Learning : The Public Relations Professional and the Principal</t>
  </si>
  <si>
    <t>Wachel, Kelly;Wachel, Matt</t>
  </si>
  <si>
    <t>School principals - Professional relationships</t>
  </si>
  <si>
    <t>Learning Vital Reading Strategies : A Workbook for Students</t>
  </si>
  <si>
    <t>Law Meets Literature : A Novel Approach for the English Classroom</t>
  </si>
  <si>
    <t>Oltman, Gretchen;Graff, Johnna L.;Maddux, Cynthia Wood</t>
  </si>
  <si>
    <t>KF272.O48 2015</t>
  </si>
  <si>
    <t>420.71/273</t>
  </si>
  <si>
    <t>Law--Study and teaching--United States. ; Law and literature--United States. ; English language--Study and teaching.</t>
  </si>
  <si>
    <t>Law; Language/Linguistics</t>
  </si>
  <si>
    <t>Handbook of Return to Work : From Research to Practice</t>
  </si>
  <si>
    <t>Schultz, Izabela Z.;Gatchel, Robert J.</t>
  </si>
  <si>
    <t>Handbooks in Health, Work, and Disability Series</t>
  </si>
  <si>
    <t>R726.7</t>
  </si>
  <si>
    <t>Psychology, clinical</t>
  </si>
  <si>
    <t>Medicine; Health</t>
  </si>
  <si>
    <t>Understanding Gifted Adolescents : Accepting the Exceptional</t>
  </si>
  <si>
    <t>Simpson, Joanna;Adams, Megan Glover</t>
  </si>
  <si>
    <t>LC3993.23.S56 2016</t>
  </si>
  <si>
    <t>Gifted children--Education (Secondary). ; Gifted teenagers.</t>
  </si>
  <si>
    <t>Connecting the Dots in World History, a Teacher's Literacy Based Curriculum : From the Napoleonic Era to the Collapse of the Soviet Union</t>
  </si>
  <si>
    <t>Volume 5</t>
  </si>
  <si>
    <t>Revolution in Higher Education : How a Small Band of Innovators Will Make College Accessible and Affordable</t>
  </si>
  <si>
    <t>DeMillo, Richard A.;Young, Andrew J., Jr.;Young, Andrew J.</t>
  </si>
  <si>
    <t>LA227.4.D47 2015</t>
  </si>
  <si>
    <t>The Anger Alphabet : Understanding Anger - an Emotional Development Programme for Young Children Aged 6-12</t>
  </si>
  <si>
    <t>LC268</t>
  </si>
  <si>
    <t>Anger in children. ; Anger in children--Study and teaching (Elementary) ; Self control--Study and teaching (Elementary)</t>
  </si>
  <si>
    <t>The Teacher Tune-Up : A Workbook and Discussion Guide for How to Become a Firm, Fair, Fascinating Facilitator</t>
  </si>
  <si>
    <t>LB1025.3.W3683 2015</t>
  </si>
  <si>
    <t>Muslim Institutions of Higher Education in Postcolonial Africa</t>
  </si>
  <si>
    <t>Lo, Mbaye;Haron, Muhammed</t>
  </si>
  <si>
    <t>The Effects of the September 11 Terrorist Attack on Pakistani-American Parental Involvement in U. S. Schools</t>
  </si>
  <si>
    <t>Reza, Fawzia</t>
  </si>
  <si>
    <t>LC3501.P34R49 2015</t>
  </si>
  <si>
    <t>371.829/914122073</t>
  </si>
  <si>
    <t>Muslims - Education - United States - Social aspects</t>
  </si>
  <si>
    <t>Troy Duster : Berkeley Sociologist, Teacher, and Civil Rights Activist</t>
  </si>
  <si>
    <t>Galliher, John F.</t>
  </si>
  <si>
    <t>HM479</t>
  </si>
  <si>
    <t>301.092 B</t>
  </si>
  <si>
    <t>African American college teachers - United States</t>
  </si>
  <si>
    <t>Exploring the C-SPAN Archives : Advancing the Research Agenda</t>
  </si>
  <si>
    <t>Browning, Robert X.</t>
  </si>
  <si>
    <t>The Year in C-SPAN Archives Research Series</t>
  </si>
  <si>
    <t>PN1992.92.C2E97 2015</t>
  </si>
  <si>
    <t>791.45/75</t>
  </si>
  <si>
    <t>C-SPAN (Television network)</t>
  </si>
  <si>
    <t>Preparing for a Student Teacher</t>
  </si>
  <si>
    <t>Henry, Marvin A.;Weber, Ann</t>
  </si>
  <si>
    <t>Student Teaching: the Cooperating Teacher Series</t>
  </si>
  <si>
    <t>LB2157.A3H448 2015</t>
  </si>
  <si>
    <t>Student teachers--Supervision of.</t>
  </si>
  <si>
    <t>Quiet Riot : The Culture of Teaching and Learning in Schools</t>
  </si>
  <si>
    <t>Hoffman, Diane</t>
  </si>
  <si>
    <t>LB1607.5.H637 2015</t>
  </si>
  <si>
    <t>29 Rules for Smart Parenting : How to Raise Children Without Being a Tyrant</t>
  </si>
  <si>
    <t>HQ755.8 -- .A726 2015eb</t>
  </si>
  <si>
    <t>Iterative Design of Teaching-Learning Sequences : Introducing the Science of Materials in European Schools</t>
  </si>
  <si>
    <t>Psillos, Dimitris;Kariotoglou, Petros</t>
  </si>
  <si>
    <t>Science_xStudy and teaching</t>
  </si>
  <si>
    <t>Perspectives on College Sexual Assault : Perpetrator, Victim, and Bystander</t>
  </si>
  <si>
    <t>Maiuro, Roland D.</t>
  </si>
  <si>
    <t>LB2345 -- .P477 2015eb</t>
  </si>
  <si>
    <t>Campus violence-United States</t>
  </si>
  <si>
    <t>Teacher Education for High Poverty Schools</t>
  </si>
  <si>
    <t>Lampert, Jo;Burnett, Bruce</t>
  </si>
  <si>
    <t>Education, Equity, Economy Series</t>
  </si>
  <si>
    <t>The Fate of Liberal Arts in Today's Schools and Colleges</t>
  </si>
  <si>
    <t>Hayes, William</t>
  </si>
  <si>
    <t>LC1011.H369 2015</t>
  </si>
  <si>
    <t>Humanities - Study and teaching - United States</t>
  </si>
  <si>
    <t>School Climate 2. 0 : Preventing Cyberbullying and Sexting One Classroom at a Time</t>
  </si>
  <si>
    <t>Hinduja, Sameer K.;Patchin, Justin W.</t>
  </si>
  <si>
    <t>LB3013.3.H568 2012</t>
  </si>
  <si>
    <t>Teaching Political Science to Undergraduates : Active Pedagogy for the Microchip Mind</t>
  </si>
  <si>
    <t>Paquette, Laure</t>
  </si>
  <si>
    <t>LB2342.75</t>
  </si>
  <si>
    <t>Political science--Study and teaching (Higher) ; Telecommunication in higher education.</t>
  </si>
  <si>
    <t>Question Everything : The Rise of AVID As America's Largest College Readiness Program</t>
  </si>
  <si>
    <t>Mathews, Jay</t>
  </si>
  <si>
    <t>LC4069.4.M37 2015</t>
  </si>
  <si>
    <t>Advancement Via Individual Determination (Program)</t>
  </si>
  <si>
    <t>GRE 1,001 Practice Questions for Dummies</t>
  </si>
  <si>
    <t>LB2367.4.O548 2015</t>
  </si>
  <si>
    <t>Graduate Record Examination--Study guides</t>
  </si>
  <si>
    <t>Overloaded and Underprepared : Strategies for Stronger Schools and Healthy, Successful Kids</t>
  </si>
  <si>
    <t>Pope, Denise;Brown, Maureen;Miles, Sarah</t>
  </si>
  <si>
    <t>LB2822.82.P674 2015</t>
  </si>
  <si>
    <t>School improvement programs--United States</t>
  </si>
  <si>
    <t>The Pursuit of the Chinese Dream in America : Chinese Undergraduate Students at American Universities</t>
  </si>
  <si>
    <t>Yang, Dennis T.</t>
  </si>
  <si>
    <t>LB2376.5.C6Y36 2015</t>
  </si>
  <si>
    <t>Foreign study - Social aspects - China</t>
  </si>
  <si>
    <t>Every Child, Every Day : Achieving Zero Dropouts Through Performance-Based Education</t>
  </si>
  <si>
    <t>Raible, Michael K.</t>
  </si>
  <si>
    <t>LC1031.R35 2015</t>
  </si>
  <si>
    <t>Competency-based education</t>
  </si>
  <si>
    <t>Teacher Education Yearbook XXIV : Establishing a Sense of Place for All Learners in 21st Century Classrooms and Schools</t>
  </si>
  <si>
    <t>Putney, LeAnn G.;Gallavan, Nancy P.</t>
  </si>
  <si>
    <t>Teachers--Training of</t>
  </si>
  <si>
    <t>Failure of Corporate School Reform</t>
  </si>
  <si>
    <t>Critical Interventions Series</t>
  </si>
  <si>
    <t>LB2806.36.S264 2012</t>
  </si>
  <si>
    <t>Privatization in education - United States</t>
  </si>
  <si>
    <t>Prisoners of the White House : The Isolation of America's Presidents and the Crisis of Leadership</t>
  </si>
  <si>
    <t>Walsh, Kenneth T.</t>
  </si>
  <si>
    <t>E176.1.W286 2013</t>
  </si>
  <si>
    <t>Presidents - United States - Social life and customs</t>
  </si>
  <si>
    <t>Beautiful Risk of Education</t>
  </si>
  <si>
    <t>Biesta, Gert J. J.</t>
  </si>
  <si>
    <t>Interventions: Education, Philosophy, and Culture</t>
  </si>
  <si>
    <t>How Children Learn : Getting Beyond the Deficit Myth</t>
  </si>
  <si>
    <t>Fayden, Terese</t>
  </si>
  <si>
    <t>LC1099.3.F39 2005</t>
  </si>
  <si>
    <t>Pueblo children - Education</t>
  </si>
  <si>
    <t>Educating for Humanity : Rethinking the Purposes of Education</t>
  </si>
  <si>
    <t>Seymour, Mike;Levin, Henry M.</t>
  </si>
  <si>
    <t>LC1011.E38 2004</t>
  </si>
  <si>
    <t>Media and Conflict : Escalating Evil</t>
  </si>
  <si>
    <t>Hamelink, Cees Jan</t>
  </si>
  <si>
    <t>Media and Power Series</t>
  </si>
  <si>
    <t>PN4784.F6</t>
  </si>
  <si>
    <t>Social conflict in mass media</t>
  </si>
  <si>
    <t>Social Science; Journalism</t>
  </si>
  <si>
    <t>Publics for Public Schools : Legitimacy, Democracy, and Leadership</t>
  </si>
  <si>
    <t>Abowitz, Kathleen Knight</t>
  </si>
  <si>
    <t>LA217.2.A26 2013</t>
  </si>
  <si>
    <t>Democracy and education - United States</t>
  </si>
  <si>
    <t>Women, Family, and Class : The Lillian Rubin Reader</t>
  </si>
  <si>
    <t>Kimmel, Michael S.;Traver, Amy Elizabeth;Traver, Amy Elizabeth;Traver, Amy Elizabeth</t>
  </si>
  <si>
    <t>Classics in Gender Studies</t>
  </si>
  <si>
    <t>HQ801.W665 2009</t>
  </si>
  <si>
    <t>Virtues of Openness : Education, Science, and Scholarship in the Digital Age</t>
  </si>
  <si>
    <t>Peters, Michael A.;Roberts, Peter</t>
  </si>
  <si>
    <t>LB1044.87.P48 2012</t>
  </si>
  <si>
    <t>Open access publishing</t>
  </si>
  <si>
    <t>Teaching Toward Democracy : Educators As Agents of Change</t>
  </si>
  <si>
    <t>Ayers, William;Kumashiro, Kevin;Meiners, Erica;Quinn, Therese;Stovall, David</t>
  </si>
  <si>
    <t>Learning from the Student's Perspective : A Sourcebook for Effective Teaching</t>
  </si>
  <si>
    <t>Cook-Sather, Alison;Clarke, Brandon;Condon, Daniel;Cushman, Kathleen;Demetriou, Helen;Easton, Lois</t>
  </si>
  <si>
    <t>LB1737.A3 -- .L437 2016eb</t>
  </si>
  <si>
    <t>High school teaching.</t>
  </si>
  <si>
    <t>Teaching for Dissent : Citizenship Education and Political Activism</t>
  </si>
  <si>
    <t>Stitzlein, Sarah Marie</t>
  </si>
  <si>
    <t>LC1091.S75 2012</t>
  </si>
  <si>
    <t>Students - United States - Political activity</t>
  </si>
  <si>
    <t>Challenges of Multicultural Education : Teaching and Taking Diversity Courses</t>
  </si>
  <si>
    <t>Peters-Davis, Norah;Shultz, Jeffrey</t>
  </si>
  <si>
    <t>LC1099.3.P58 2005</t>
  </si>
  <si>
    <t>Minorities - Education - United States</t>
  </si>
  <si>
    <t>Diverse Administrators in Peril : The New Indentured Class in Higher Education</t>
  </si>
  <si>
    <t>Chun, Edna;Evans, Alvin</t>
  </si>
  <si>
    <t>LB2341.C5455 2012</t>
  </si>
  <si>
    <t>378.1/11089</t>
  </si>
  <si>
    <t>Minority college administrators - United States</t>
  </si>
  <si>
    <t>Improving the Quality of Education for All : A Handbook of Staff Development Activities</t>
  </si>
  <si>
    <t>Hopkins, David</t>
  </si>
  <si>
    <t>LB2822.84</t>
  </si>
  <si>
    <t>Academe Degree Zero : Reconsidering the Politics of Higher Education</t>
  </si>
  <si>
    <t>Di Leo, Jeffrey R.</t>
  </si>
  <si>
    <t>Cultural Politics and the Promise of Democracy</t>
  </si>
  <si>
    <t>LC89.D52 2012</t>
  </si>
  <si>
    <t>Barriers to Inclusion : Special Education in the United States and Germany</t>
  </si>
  <si>
    <t>Powell, Justin J. W.</t>
  </si>
  <si>
    <t>LC3981.P69 2011</t>
  </si>
  <si>
    <t>Inclusive education - Germany - History</t>
  </si>
  <si>
    <t>Freedom at Work : Language, Professional, and Intellectual Development in Schools</t>
  </si>
  <si>
    <t>Torres-Guzman, Maria E.</t>
  </si>
  <si>
    <t>LB1731.T63 2009</t>
  </si>
  <si>
    <t>Teacher-principal relationships - United States</t>
  </si>
  <si>
    <t>Elder Care Catastrophe : Rituals of Abuse in Nursing Homes and What You Can Do about It</t>
  </si>
  <si>
    <t>Ulsperger, Jason;Knottnerus, J. David</t>
  </si>
  <si>
    <t>Sociological Imagination</t>
  </si>
  <si>
    <t>RA997.U44 2010</t>
  </si>
  <si>
    <t>Nursing home care.</t>
  </si>
  <si>
    <t>Privatizing Educational Choice : Consequences for Parents, Schools, and Public Policy</t>
  </si>
  <si>
    <t>Belfield, Clive R.;Levin, Henry M.</t>
  </si>
  <si>
    <t>LB2806.36.B42 2005</t>
  </si>
  <si>
    <t>Humanizing Pedagogy Through HIV and AIDS Prevention : Transforming Teacher Knowledge</t>
  </si>
  <si>
    <t>American Association of Colleges for Teacher Education</t>
  </si>
  <si>
    <t>Health education - Study and teaching</t>
  </si>
  <si>
    <t>Education, Globalization and the State in the Age of Terrorism</t>
  </si>
  <si>
    <t>LC196</t>
  </si>
  <si>
    <t>War and education</t>
  </si>
  <si>
    <t>Resiliency and Success : Migrant Children in the U. S.</t>
  </si>
  <si>
    <t>Garza, Encarnacion;Trueba, Enrique T.;Reyes, Pedro</t>
  </si>
  <si>
    <t>LC5151.G37 2004</t>
  </si>
  <si>
    <t>371.826/24</t>
  </si>
  <si>
    <t>Children of migrant laborers--Education--United States.</t>
  </si>
  <si>
    <t>The Wit and Wisdom of Shakespeare : 32 Sonnets Made Thoroughly Accessible</t>
  </si>
  <si>
    <t>Walters, Darrel;Schoenfeldt, Michael</t>
  </si>
  <si>
    <t>PR2848</t>
  </si>
  <si>
    <t>Shakespeare, William, 1564-1616.--Sonnets.</t>
  </si>
  <si>
    <t>From Project-Based Learning to Artistic Thinking : Lessons Learned from Creating an Unhappy Meal</t>
  </si>
  <si>
    <t>Werberger, Raleigh</t>
  </si>
  <si>
    <t>LB1027.43.W47 2015</t>
  </si>
  <si>
    <t>Project method in teaching</t>
  </si>
  <si>
    <t>The Good Paper : A Handbook for Writing Papers in Higher Education</t>
  </si>
  <si>
    <t>Lotte Rienecker;Peter Stray Jørgensen;Signe Skov</t>
  </si>
  <si>
    <t>LB2369 -- .R55 2015eb</t>
  </si>
  <si>
    <t>Dissertations, Academic--Handbooks, manuals, etc.</t>
  </si>
  <si>
    <t>Successful School Leadership : International Perspectives</t>
  </si>
  <si>
    <t>Pashiardis, Petros;Johansson, Olof</t>
  </si>
  <si>
    <t>Scholarship Reconsidered : Priorities of the Professoriate</t>
  </si>
  <si>
    <t>Boyer, Ernest L.;Moser, Drew;Ream, Todd C.;Braxton, John M.</t>
  </si>
  <si>
    <t>Education, Higher--United States.</t>
  </si>
  <si>
    <t>Parent and Family Engagement in Higher Education : AEHE Volume 41, Number 6</t>
  </si>
  <si>
    <t>Marquez Kiyama, Judy;Harper, Casandra E.;Ramos, Delma;Aguayo, David;Page, Laura A.;Riester, Kathy Adams</t>
  </si>
  <si>
    <t>LB2324</t>
  </si>
  <si>
    <t>Education, Higher--Parent participation.</t>
  </si>
  <si>
    <t>Transforming Adults Through Coaching: New Directions for Adult and Continuing Education, Number 148</t>
  </si>
  <si>
    <t>LC5251</t>
  </si>
  <si>
    <t>Personal coaching.</t>
  </si>
  <si>
    <t>Understanding Equity in Community College Practice : New Directions for Community Colleges, Number 172</t>
  </si>
  <si>
    <t>Castro, Erin L.</t>
  </si>
  <si>
    <t>College Completion for Latino/a Students: Institutional and System Approaches : New Directions for Higher Education, Number 172</t>
  </si>
  <si>
    <t>Freeman, Melissa L.;Martinez, Magdalena</t>
  </si>
  <si>
    <t>Hispanic Americans--Education (Higher)</t>
  </si>
  <si>
    <t>Autism and Learning Differences : An Active Learning Teaching Toolkit</t>
  </si>
  <si>
    <t>McManmon, Michael;Shore, Stephen M.</t>
  </si>
  <si>
    <t>LC4717.M36 2015</t>
  </si>
  <si>
    <t>The Big Book of EVEN MORE Therapeutic Activity Ideas for Children and Teens : Inspiring Arts-Based Activities and Character Education Curricula</t>
  </si>
  <si>
    <t>Joiner, Lindsey</t>
  </si>
  <si>
    <t>RJ505.A7J65 2015</t>
  </si>
  <si>
    <t>FORWARD to Professorship in STEM : Inclusive Faculty Development Strategies That Work</t>
  </si>
  <si>
    <t>Heller, Rachelle S.;Mavriplis, Catherine;Sabila, Paul S.</t>
  </si>
  <si>
    <t>College teachers--Training of.</t>
  </si>
  <si>
    <t>Le Royaume d'Emmanuel Carrère (Fiche de Lecture) : Analyse Complète et Résumé détaillé de L'oeuvre</t>
  </si>
  <si>
    <t>Faith.</t>
  </si>
  <si>
    <t>Boussole de Mathias Énard (Fiche de Lecture) : Analyse Complète et Résumé détaillé de L'oeuvre</t>
  </si>
  <si>
    <t>lePetitLitteraire;Binet, Amandine</t>
  </si>
  <si>
    <t>Compass.</t>
  </si>
  <si>
    <t>Alabama Song de Gilles Leroy (Fiche de Lecture) : Analyse Complète et Résumé détaillé de L'oeuvre</t>
  </si>
  <si>
    <t>A Toolkit for College Professors</t>
  </si>
  <si>
    <t>Cipriano, Robert E.;Buller, Jeffrey L.</t>
  </si>
  <si>
    <t>LB2331.B794 2015</t>
  </si>
  <si>
    <t>It's the Mission, Not the Mandates : Defining the Purpose of Public Education</t>
  </si>
  <si>
    <t>Fast, Amy</t>
  </si>
  <si>
    <t>Performance-Based Funding in Higher Education : The State of Truth in the Information Age</t>
  </si>
  <si>
    <t>Letizia, Angelo</t>
  </si>
  <si>
    <t>LA227.4.L47 2016</t>
  </si>
  <si>
    <t>Universities and colleges - United States - Finance</t>
  </si>
  <si>
    <t>100 Ideas for Assemblies: Primary School Edition</t>
  </si>
  <si>
    <t>LB3015.S434 2011</t>
  </si>
  <si>
    <t>Schools--Exercises and recreations.</t>
  </si>
  <si>
    <t>Stress in Young People : What's New and What to Do</t>
  </si>
  <si>
    <t>McNamara, Sarah</t>
  </si>
  <si>
    <t>BF723.S75.M363 2000</t>
  </si>
  <si>
    <t>155.5/1/8</t>
  </si>
  <si>
    <t>Stress in children</t>
  </si>
  <si>
    <t>101 Essential Lists for SENCOs</t>
  </si>
  <si>
    <t>Griffiths, Kate;Haines, Jo</t>
  </si>
  <si>
    <t>LC3965.G77 2006</t>
  </si>
  <si>
    <t>A Tribute to Caroline Benn : Education and Democracy</t>
  </si>
  <si>
    <t>Benn, Melissa;Chitty, Clyde</t>
  </si>
  <si>
    <t>LB14.7.T747 2004</t>
  </si>
  <si>
    <t>Stress Busting</t>
  </si>
  <si>
    <t>Papworth, Michael</t>
  </si>
  <si>
    <t>Stress management</t>
  </si>
  <si>
    <t>Move It</t>
  </si>
  <si>
    <t>Smith, Alistair;Caviglioli, Oliver</t>
  </si>
  <si>
    <t>GV452.S658 2003</t>
  </si>
  <si>
    <t>Movement education.</t>
  </si>
  <si>
    <t>Educational Leadership for a More Sustainable World</t>
  </si>
  <si>
    <t>LB2806.B5995 2016</t>
  </si>
  <si>
    <t>Six Steps to Inclusive Preschool Curriculum : A UDL-Based Framework for Children's School Success</t>
  </si>
  <si>
    <t>Horn, Eva M.;Palmer, Susan B.;Butera, Gretchen D.;Lieber, Joan A.;Classen, Audra I.;Clay, Jill;Drang, Debra;Friesen, Amber M.;Kang, Jean;Mihai, Alina</t>
  </si>
  <si>
    <t>LB1140.4 -- .H67 2016eb</t>
  </si>
  <si>
    <t>Education, Preschool--Curricula.</t>
  </si>
  <si>
    <t>How to Succeed in College and Beyond : The Art of Learning</t>
  </si>
  <si>
    <t>Schwarz, Daniel R.</t>
  </si>
  <si>
    <t>LB2343.3 -- .S393 2016eb</t>
  </si>
  <si>
    <t>College student orientation.</t>
  </si>
  <si>
    <t>Learning Assessment Techniques : A Handbook for College Faculty</t>
  </si>
  <si>
    <t>Barkley, Elizabeth F.</t>
  </si>
  <si>
    <t>College teaching--Evaluation.</t>
  </si>
  <si>
    <t>The Ways We Think : From the Straits of Reason to the Possibilities of Thought</t>
  </si>
  <si>
    <t>Williams, Emma</t>
  </si>
  <si>
    <t>Arts, Pedagogy and Cultural Resistance : New Materialisms</t>
  </si>
  <si>
    <t>Hickey-Moody, Anna;Page, Tara</t>
  </si>
  <si>
    <t>NX294.A78 2015</t>
  </si>
  <si>
    <t>Arts - Study and teaching - Social aspects</t>
  </si>
  <si>
    <t>The Hostile Environment : Students Who Bully in School</t>
  </si>
  <si>
    <t>Carter, Susan</t>
  </si>
  <si>
    <t>LB3013.3</t>
  </si>
  <si>
    <t>Constructivism Reconsidered in the Age of Social Media : New Directions for Teaching and Learning, Number 144</t>
  </si>
  <si>
    <t>Stabile, Chris;Ershler, Jeff</t>
  </si>
  <si>
    <t>Education, Higher--Effect of technological innovations on.</t>
  </si>
  <si>
    <t>How to Be a HIP College Campus : Maximizing Learning in Undergraduate Education</t>
  </si>
  <si>
    <t>Rogers, Satu;Galle, Jeffery W.</t>
  </si>
  <si>
    <t>LB2343.4 -- .R63 2015eb</t>
  </si>
  <si>
    <t>College student development programs.</t>
  </si>
  <si>
    <t>Momentum : The Responsibility Paradigm and Virtuous Cycles of Change in Colleges and Universities</t>
  </si>
  <si>
    <t>Seymour, Daniel</t>
  </si>
  <si>
    <t>Peer Assessment That Works : A Guide for Teachers</t>
  </si>
  <si>
    <t>McDonald, Betty</t>
  </si>
  <si>
    <t>The Power of Questioning : Opening up the World of Student Inquiry</t>
  </si>
  <si>
    <t>Sackstein, Starr</t>
  </si>
  <si>
    <t>LB1027.44</t>
  </si>
  <si>
    <t>Boxology : Thinking and Working Inside, Outside, and Beyond the Box and the Cubicle</t>
  </si>
  <si>
    <t>Buchen, Irving H.</t>
  </si>
  <si>
    <t>BF697</t>
  </si>
  <si>
    <t>Leadership.</t>
  </si>
  <si>
    <t>The Changing Landscape of School Leadership : Recalibrating the School Principalship</t>
  </si>
  <si>
    <t>LB2831.92.N639 2015</t>
  </si>
  <si>
    <t>Building Academic Literacy : Engaging All Learners in Every Classroom</t>
  </si>
  <si>
    <t>Angelis, Janet I.;Polsinelli, Karen;Rougle, Eija;Shogan, Johanna</t>
  </si>
  <si>
    <t>LB1576.A55 2016</t>
  </si>
  <si>
    <t>Gender and Sexual Diversity in U. S. Higher Education: Contexts and Opportunities for LGBTQ College Students : New Directions for Student Services, Number 152</t>
  </si>
  <si>
    <t>Stewart, Dafina Lazarus;Renn, Kristen A.;Brazelton, G. Blue</t>
  </si>
  <si>
    <t>Sexual minorities--Education (Higher)</t>
  </si>
  <si>
    <t>Partners in Advancing Student Learning: Degree Qualifications Profile and Tuning : New Directions for Institutional Research, Number 165</t>
  </si>
  <si>
    <t>Jankowski, Natasha A.;Marshall, David W.;Marshall, David W.</t>
  </si>
  <si>
    <t>LB2326.3</t>
  </si>
  <si>
    <t>Degrees, Academic--Standards--United States.</t>
  </si>
  <si>
    <t>Differentiated Instructional Strategies for Writing in the Content Areas</t>
  </si>
  <si>
    <t>LB1576 .C437 2009</t>
  </si>
  <si>
    <t>English language-Composition and exercises-Study and teaching. ; Language arts-Correlation with content subjects. ; Individualized instruction.</t>
  </si>
  <si>
    <t>Intellectual Virtues and Education : Essays in Applied Virtue Epistemology</t>
  </si>
  <si>
    <t>Baehr, Jason</t>
  </si>
  <si>
    <t>Routledge Studies in Contemporary Philosophy Series</t>
  </si>
  <si>
    <t>BD176.I59 2016</t>
  </si>
  <si>
    <t>Virtue epistemology.</t>
  </si>
  <si>
    <t>The Separation Solution? : Single-Sex Education and the New Politics of Gender Equality</t>
  </si>
  <si>
    <t>Williams, Juliet A.</t>
  </si>
  <si>
    <t>LB3067.4.W55 2016</t>
  </si>
  <si>
    <t>Single-sex classes (Education)-United States. ; Educational equalization-United States. ; Sex differences in education-United States. ; Sex discrimination in education-United States.</t>
  </si>
  <si>
    <t>Motivating and Inspiring Teachers : The Educational Leader's Guide for Building Staff Morale</t>
  </si>
  <si>
    <t>Whitaker, Todd;Whitaker, Beth;Lumpa, Dale</t>
  </si>
  <si>
    <t>Teacher morale</t>
  </si>
  <si>
    <t>Burning Dislike : Ethnic Violence in High Schools</t>
  </si>
  <si>
    <t>Sanchez-Jankowski, Martin</t>
  </si>
  <si>
    <t>LB3013.32.S263 2016</t>
  </si>
  <si>
    <t>School violence-United States. ; Ethnic conflict-United States. ; High schools-Social aspects-United States.</t>
  </si>
  <si>
    <t>Generation Z Goes to College</t>
  </si>
  <si>
    <t>Seemiller, Corey;Grace, Meghan</t>
  </si>
  <si>
    <t>LB3605.S3828 2016</t>
  </si>
  <si>
    <t>College students - Attitudes</t>
  </si>
  <si>
    <t>South Korea's Education Exodus : The Life and Times of Early Study Abroad</t>
  </si>
  <si>
    <t>Lo, Adrienne;Abelmann, Nancy;Kwon, Soo Ah;Okazaki, Sumie</t>
  </si>
  <si>
    <t>Center for Korea Studies Publications</t>
  </si>
  <si>
    <t>LB1696.6.K6 -- .S688 2015eb</t>
  </si>
  <si>
    <t>378.1/98269105195</t>
  </si>
  <si>
    <t>Korean students - Foreign countries</t>
  </si>
  <si>
    <t>Counselling in the New Frontier of Helping</t>
  </si>
  <si>
    <t>Universiti Sains Malaysia Press</t>
  </si>
  <si>
    <t>Penerbit USM</t>
  </si>
  <si>
    <t>Pulau Pinang</t>
  </si>
  <si>
    <t>MALAYSIA</t>
  </si>
  <si>
    <t>See, Ching Mey;Ng, Melissa Lee Yen Abdullah</t>
  </si>
  <si>
    <t>BF636.6.C68 2013eb</t>
  </si>
  <si>
    <t>Counseling.</t>
  </si>
  <si>
    <t>Decolonising the University: The Emerging Quest for Non-Eurocentric Paradigms</t>
  </si>
  <si>
    <t>Alvares, Claude;Shad Saleem, Faruqi</t>
  </si>
  <si>
    <t>LB2322.2 -- .I576 2012eb</t>
  </si>
  <si>
    <t>Education, Higher--Aims and objectives--Congresses.</t>
  </si>
  <si>
    <t>Issues on Skills and Competencies in Education</t>
  </si>
  <si>
    <t>Munir, Shuib;Zainal, Azlena;Aziz, Nurazila Abdul;Othman, Mohd Zainul Fithri</t>
  </si>
  <si>
    <t>LA1238 -- .I87 2011eb</t>
  </si>
  <si>
    <t>Education, Higher--Malaysia.</t>
  </si>
  <si>
    <t>Quality Assurance and University Rankings in the Asia Pacific: Country and Institutional Contexts</t>
  </si>
  <si>
    <t>Koo, Yew Lie;Sarjit, Kaur;Morshidi, Sirat</t>
  </si>
  <si>
    <t>LA1058.Q35 2011eb</t>
  </si>
  <si>
    <t>Education, Higher--Standards--Asia.</t>
  </si>
  <si>
    <t>Charting New Directions for Muslim Universities</t>
  </si>
  <si>
    <t>Hafiz, Zakariya;Fauziah, Md. Taib</t>
  </si>
  <si>
    <t>LC903.C437 2014eb</t>
  </si>
  <si>
    <t>Islamic universities and colleges--Malaysia--Congresses.</t>
  </si>
  <si>
    <t>Improving Self-Regulated Learning with Self-Management Tool: An Emprical Study</t>
  </si>
  <si>
    <t>Ng, Melissa Lee Yen Abdullah</t>
  </si>
  <si>
    <t>LB1060.N464 2014eb</t>
  </si>
  <si>
    <t>Learning--Research.</t>
  </si>
  <si>
    <t>The Discussion Book : 50 Great Ways to Get People Talking</t>
  </si>
  <si>
    <t>Brookfield, Stephen D.;Preskill, Stephen</t>
  </si>
  <si>
    <t>LC6519.B75 2016</t>
  </si>
  <si>
    <t>302.2/24</t>
  </si>
  <si>
    <t>Group facilitation--Handbooks, manuals, etc</t>
  </si>
  <si>
    <t>Sports, Fitness, and Motor Activities for Children with Disabilities : A Comprehensive Resource Guide for Parents and Educators</t>
  </si>
  <si>
    <t>Aiello, Rocco</t>
  </si>
  <si>
    <t>GV709.3.S68 2015</t>
  </si>
  <si>
    <t>Sports for children with disabilities</t>
  </si>
  <si>
    <t>Playing Smarter in a Digital World : A Guide to Choosing and Using Popular Video Games and Apps to Improve Executive Functioning in Children and Teens</t>
  </si>
  <si>
    <t>Kulman, Randy</t>
  </si>
  <si>
    <t>LB1139.35.C64</t>
  </si>
  <si>
    <t>Video games and children.</t>
  </si>
  <si>
    <t>Education; Home Economics</t>
  </si>
  <si>
    <t>The Australian Schoolkids' Guide to Debating and Public Speaking</t>
  </si>
  <si>
    <t>Sydney, NSW</t>
  </si>
  <si>
    <t>Duffy, Claire</t>
  </si>
  <si>
    <t>PN4121 .D84 2015</t>
  </si>
  <si>
    <t>Public speaking-Australia. ; Debates and debating-Australia. ; School children-Australia.</t>
  </si>
  <si>
    <t>The Handbook of Student Affairs Administration</t>
  </si>
  <si>
    <t>McClellan, George S.;Stringer, Jeremy</t>
  </si>
  <si>
    <t>378.1/940973</t>
  </si>
  <si>
    <t>Student affairs services--United States--Handbooks, manuals, etc</t>
  </si>
  <si>
    <t>Realizing General Education: Reconsidering Conceptions and Renewing Practice : AEHE Volume 42, Number 2</t>
  </si>
  <si>
    <t>Wells, Cynthia A.;Wells, Cynthia A.</t>
  </si>
  <si>
    <t>LB41</t>
  </si>
  <si>
    <t>General education--United States.</t>
  </si>
  <si>
    <t>In the Archives of Composition : Writing and Rhetoric in High Schools and Normal Schools</t>
  </si>
  <si>
    <t>Ostergaard, Lori;Wood, Henrietta Rix</t>
  </si>
  <si>
    <t>Composition (Language arts)-Study and teaching (Secondary)-United States-History. ; Compostion (Language arts)-Study and teaching (Higher)-United States-History. ; English teachers-Training of-United States-History. ; Teachers colleges-United States-History.</t>
  </si>
  <si>
    <t>Climate Change Across the Curriculum</t>
  </si>
  <si>
    <t>Fretz, Eric J.;Auge, Andrew;Bateman, Geoffrey;Boyte, Harry C.;Busch, K. C.;Getty, Stephen;Harry, Chelsea C.;Hatcher, Annamarie;Hesse, Douglas;Holthuis, Nicole</t>
  </si>
  <si>
    <t>QC903.C522 2015</t>
  </si>
  <si>
    <t>363.738/740711</t>
  </si>
  <si>
    <t>Climatic changes--Study and teaching (Higher)</t>
  </si>
  <si>
    <t>Science: Physics; Environmental Studies; Science</t>
  </si>
  <si>
    <t>Marching Students : Chicana and Chicano Activism in Education, 1968 to the Present</t>
  </si>
  <si>
    <t>University of Nevada Press</t>
  </si>
  <si>
    <t>Berta-Avila, Margarita;Tijerina-Revilla, Anita;Figueroa, Julie</t>
  </si>
  <si>
    <t>373.18/108968/72073</t>
  </si>
  <si>
    <t>Hispanic American students -- Social conditions.</t>
  </si>
  <si>
    <t>American Indian Educators in Reservation Schools</t>
  </si>
  <si>
    <t>Indian teachers--United States. ; Indian students--United States. ; Indian reservations--United States. ; Indians of North America--Education.</t>
  </si>
  <si>
    <t>Teacher Tenure : An Analysis of the Critical Elements</t>
  </si>
  <si>
    <t>Wong, Ovid K.;Lau, Chak</t>
  </si>
  <si>
    <t>LB2836.W66 2016</t>
  </si>
  <si>
    <t>Teachers--Tenure--United States. ; College teachers--United States.</t>
  </si>
  <si>
    <t>Questioning Assumptions and Challenging Perceptions : Becoming an Effective Teacher in Urban Environments</t>
  </si>
  <si>
    <t>Schaffer, Connie L.;White, Meg;Brown, Corine Meredith</t>
  </si>
  <si>
    <t>LC5131.S35 2016</t>
  </si>
  <si>
    <t>The Apple Shouldn't Fall Far from Common Core : Teaching Techniques to Include All Students</t>
  </si>
  <si>
    <t>Skarbek, Denise</t>
  </si>
  <si>
    <t>LC1201.A77 2015</t>
  </si>
  <si>
    <t>Nature and Needs of Individuals with Autism Spectrum Disorders and Other Severe Disabilities : A Resource for Preparation Programs and Caregivers</t>
  </si>
  <si>
    <t>Huckvale, Manina Urgolo;Van Riper, Irene</t>
  </si>
  <si>
    <t>LC4717.A985 2016</t>
  </si>
  <si>
    <t>Teachers of children with disabilities</t>
  </si>
  <si>
    <t>Reclaiming Opportunities for Effective Teaching : An Institutional Ethnographic Study of Community College Course Outlines</t>
  </si>
  <si>
    <t>Dunn, Mary Ellen</t>
  </si>
  <si>
    <t>378.1/543/09713</t>
  </si>
  <si>
    <t>EDUCATION - Higher</t>
  </si>
  <si>
    <t>Controls and Choices : The Educational Marketplace and the Failure of School Desegregation</t>
  </si>
  <si>
    <t>Bankston, Carl L., III;Caldas, Stephen J.;Bankston, Carl L.</t>
  </si>
  <si>
    <t>LC212.52 -- .B365 2015eb</t>
  </si>
  <si>
    <t>School districts - Management - United States</t>
  </si>
  <si>
    <t>Teach Me How to Work and Keep Me Kind : The Possibilities of Literature and Composition in an American High School</t>
  </si>
  <si>
    <t>Riener, Joseph F.</t>
  </si>
  <si>
    <t>PN70</t>
  </si>
  <si>
    <t>High school students - Books and reading - United States</t>
  </si>
  <si>
    <t>Puzzle Me the Right Answer to That One : The Further Possibilities of Literature and Composition in an American High School</t>
  </si>
  <si>
    <t>LB1631.R5365 2015</t>
  </si>
  <si>
    <t>Literature - Study and teaching (Secondary) - United States</t>
  </si>
  <si>
    <t>Minds Unleashed : How Principals Can Lead the Right-Brained Way</t>
  </si>
  <si>
    <t>Donlan, Ryan A.;Gruenert, Steve</t>
  </si>
  <si>
    <t>LB2831.9.D66 2016</t>
  </si>
  <si>
    <t>School principals. ; Educational leadership.</t>
  </si>
  <si>
    <t>The Superintendent and the CFO : Building an Effective Team</t>
  </si>
  <si>
    <t>Benzel, Brian L.;Hoover, Kenneth E.</t>
  </si>
  <si>
    <t>LB2806.3.B46 2015</t>
  </si>
  <si>
    <t>School business administrators - United States</t>
  </si>
  <si>
    <t>Developing Young Minds : From Conception to Kindergarten</t>
  </si>
  <si>
    <t>Shore, Rebecca A.</t>
  </si>
  <si>
    <t>LB1139.23.S58 2015</t>
  </si>
  <si>
    <t>Thought and thinking - Study and teaching (Early childhood)</t>
  </si>
  <si>
    <t>RTI Meets Writer&amp;prime;s Workshop : Tiered Strategies for All Levels of Writers and Every Phase of Writing</t>
  </si>
  <si>
    <t>Morris, Lisa L.</t>
  </si>
  <si>
    <t>LC4704.85</t>
  </si>
  <si>
    <t>Doctoral Education in South Africa</t>
  </si>
  <si>
    <t>Cloete, Nico;Mouton, Johann</t>
  </si>
  <si>
    <t>LA1538 .C564 2015</t>
  </si>
  <si>
    <t>Education, Higher-South Africa.</t>
  </si>
  <si>
    <t>The Wrong Direction for Today's Schools : The Impact of Common Core on American Education</t>
  </si>
  <si>
    <t>Zarra, Ernest J., III;Zarra, Ernest J.</t>
  </si>
  <si>
    <t>LB3060.83 -- .Z377 2015eb</t>
  </si>
  <si>
    <t>How to Get into a Military Service Academy : A Step-By-Step Guide to Getting Qualified, Nominated, and Appointed</t>
  </si>
  <si>
    <t>Dobson, Michael Singer</t>
  </si>
  <si>
    <t>U410.Q1D62 2015</t>
  </si>
  <si>
    <t>United States Air Force Academy - Admission</t>
  </si>
  <si>
    <t>Reclaiming Integration and the Language of Race in the "Post-Racial" Era</t>
  </si>
  <si>
    <t>Ivery, Curtis L.;Bassett, Joshua;Glaude, Eddie, Jr.;Krysan, Maria;Winant, Howard;Powell, John;Thomas, Andrew Grant;Orfield, Gary;Frankenberg, Erica;Farley, Reynolds</t>
  </si>
  <si>
    <t>United States--Race relations</t>
  </si>
  <si>
    <t>Engaging Musical Practices : A Sourcebook for Instrumental Music</t>
  </si>
  <si>
    <t>Burton, Suzanne L.;Snell, Alden H., II;Snell, Alden H.</t>
  </si>
  <si>
    <t>MT170.E54 2014</t>
  </si>
  <si>
    <t>Instrumental music--Instruction and study.</t>
  </si>
  <si>
    <t>Autism Spectrum Disorder and the Transition into Secondary School : A Handbook for Implementing Strategies in the Mainstream School Setting</t>
  </si>
  <si>
    <t>Murin, Marianna;Hellriegel, Josselyn;Mandy, Will</t>
  </si>
  <si>
    <t>LC4719.G7M87 2016</t>
  </si>
  <si>
    <t>Learning disabled children - Education (Secondary) - Great Britain</t>
  </si>
  <si>
    <t>Orland-Barak, Lily;Craig, Cheryl J.</t>
  </si>
  <si>
    <t>22, Part B</t>
  </si>
  <si>
    <t>International Pedagogical Practices of Teachers (Part 2)</t>
  </si>
  <si>
    <t>Rice, Mary Frances</t>
  </si>
  <si>
    <t>The Brain Controls Everything : Children's Ideas about the Body</t>
  </si>
  <si>
    <t>Óskarsdóttir, Gunnhildur</t>
  </si>
  <si>
    <t>QM30 .O853 2016</t>
  </si>
  <si>
    <t>Human body-Study and teaching (Primary)-Iceland. ; Human physiology-Study and teaching (Primary)-Iceland. ; Human anatomy-Study and teaching (Primary)-Iceland. ; Cognition in children.</t>
  </si>
  <si>
    <t>Philosophy As Disability and Exclusion</t>
  </si>
  <si>
    <t>Hayhoe, Simon</t>
  </si>
  <si>
    <t>HV1664.A75 .H394 2016</t>
  </si>
  <si>
    <t>362.4/101</t>
  </si>
  <si>
    <t>Blind-Education-Great Britain-History. ; Arts-Study and teaching-Great Britain-History.</t>
  </si>
  <si>
    <t>Enhancing Writing Skills</t>
  </si>
  <si>
    <t>Elufiede, Oluwakemi J.;Boden, Carrie J.;Murray, Tina</t>
  </si>
  <si>
    <t>PN189 .E543 2016</t>
  </si>
  <si>
    <t>Creative writing-Study and teaching-Congresses. ; Adult education-Congresses.</t>
  </si>
  <si>
    <t>Faktoren der (Nicht-) Teilnahme an Universitätsveranstaltungen: Ein Versuch der Typisierung anhand Chemnitzer PädagogikstudentInnen</t>
  </si>
  <si>
    <t>Beyer, Tony</t>
  </si>
  <si>
    <t>LB3609 -- .B494 2015eb</t>
  </si>
  <si>
    <t>College students--Psychology.</t>
  </si>
  <si>
    <t>PIE (Person-In-Environment System )in der klinischen Sozialarbeit: Auf dem Weg zur Qualifizierung der Sozialarbeit</t>
  </si>
  <si>
    <t>Ehlerding, Marc</t>
  </si>
  <si>
    <t>HV43.5 -- .E354 2015eb</t>
  </si>
  <si>
    <t>Person-in-environment system.</t>
  </si>
  <si>
    <t>Hyperaktive Kinder im Grundschulalter: Praktische Hilfen für den täglichen Schulunterricht</t>
  </si>
  <si>
    <t>Blisch, Silvana</t>
  </si>
  <si>
    <t>LC4711 -- .B557 2015eb</t>
  </si>
  <si>
    <t>Hyperactive children--Education (Early childhood)</t>
  </si>
  <si>
    <t>Australien im Englischunterricht der Sekundarstufe II: Doris Pilkingtons "Rabbit-Proof Fence" und Phillip Noyce' "Long Walk Home"</t>
  </si>
  <si>
    <t>Beyer, Charlotte</t>
  </si>
  <si>
    <t>LB1631 -- .B494 2015eb</t>
  </si>
  <si>
    <t>English language--Study and teaching (Secondary)--Australia.</t>
  </si>
  <si>
    <t>Belastungen im Lehrerberuf: Faktoren der Belastung und Strategien der Belastungsbewältigung</t>
  </si>
  <si>
    <t>Urbutt, Anne</t>
  </si>
  <si>
    <t>LB2840.2 -- .U738 2015eb</t>
  </si>
  <si>
    <t>Teachers--Job stress.</t>
  </si>
  <si>
    <t>Möglichkeiten der Optimierung von Leistungsbeurteilung in der Schule</t>
  </si>
  <si>
    <t>Brunotte, Oliver</t>
  </si>
  <si>
    <t>LB3051 -- .B786 2015eb</t>
  </si>
  <si>
    <t>Learning under Neoliberalism : Ethnographies of Governance in Higher Education</t>
  </si>
  <si>
    <t>Hyatt, Susan B.;Shear, Boone W.;Wright, Susan</t>
  </si>
  <si>
    <t>Higher Education in Critical Perspective: Practices and Policies Series</t>
  </si>
  <si>
    <t>LC171.L43 2015</t>
  </si>
  <si>
    <t>Higher education and state-Cross-cultural studies. ; Education, Higher-Administration-Cross-cultural studies. ; Universities and colleges-Administration-Cross-cultural studies. ; Educational anthropology. ; Ethnology. ; Neoliberalism.</t>
  </si>
  <si>
    <t>Using Informational Text to Teach a Raisin in the Sun</t>
  </si>
  <si>
    <t>Fisch, Audrey;Chenelle, Susan</t>
  </si>
  <si>
    <t>The Using Informational Text to Teach Literature Series</t>
  </si>
  <si>
    <t>PS3515.A515</t>
  </si>
  <si>
    <t>African Americans in literature--Juvenile literature.</t>
  </si>
  <si>
    <t>Coaching a Student Teacher</t>
  </si>
  <si>
    <t>LB2157.U5H46 2016</t>
  </si>
  <si>
    <t>Student teachers--Training of--United States. ; Student teachers--Supervision of--United States. ; Mentoring in education--United States.</t>
  </si>
  <si>
    <t>Responding to School Violence : Confronting the Columbine Effect</t>
  </si>
  <si>
    <t>Muschert, Glenn;Henry, Stuart;Bracy, Nicole L.</t>
  </si>
  <si>
    <t>Social Problems, Social Constructions Series</t>
  </si>
  <si>
    <t>LB3013.32.R477 2014</t>
  </si>
  <si>
    <t>Schools - United States - Safety measures</t>
  </si>
  <si>
    <t>Education in Non-EU Countries in Western and Southern Europe</t>
  </si>
  <si>
    <t>Brock, Colin;Sprague, Terra;Brock, Colin</t>
  </si>
  <si>
    <t>LA622</t>
  </si>
  <si>
    <t>Education--Europe--Case studies.</t>
  </si>
  <si>
    <t>Education of Syrian Refugee Children : Managing the Crisis in Turkey, Lebanon, and Jordan</t>
  </si>
  <si>
    <t>Culbertson, Shelly;Constant, Louay</t>
  </si>
  <si>
    <t>LC3665</t>
  </si>
  <si>
    <t>371.826/9140956</t>
  </si>
  <si>
    <t>Refugee children - Education - Jordan</t>
  </si>
  <si>
    <t>Preparing Educators for Online Learning : A Careful Look at the Components and How to Assess Their Value</t>
  </si>
  <si>
    <t>Hendricks, Stacy;Bailey, Scott</t>
  </si>
  <si>
    <t>LB1707.P728 2016</t>
  </si>
  <si>
    <t>Teachers - Training of - Computer-assisted instruction</t>
  </si>
  <si>
    <t>Common Sense about Common Core : Overcoming Education's Politics</t>
  </si>
  <si>
    <t>Dueck, Jim</t>
  </si>
  <si>
    <t>LB3060.83.D84 2016</t>
  </si>
  <si>
    <t>Teaching That Works : Effective Practice Combined with Theory and Research</t>
  </si>
  <si>
    <t>Chase, Ann</t>
  </si>
  <si>
    <t>LB1025.3.C417 2016</t>
  </si>
  <si>
    <t>Connecting Across Disciplines : Collaborating with Informational Text</t>
  </si>
  <si>
    <t>Chenelle, Susan;Fisch, Audrey</t>
  </si>
  <si>
    <t>LB1050.455.C524 2016</t>
  </si>
  <si>
    <t>372.47/6</t>
  </si>
  <si>
    <t>Reading comprehension - Study and teaching (Elementary)</t>
  </si>
  <si>
    <t>History of Japanese Policies in Education Aid to Developing Countries, 1950s-1990s : The Role of the Subgovernmental Processes</t>
  </si>
  <si>
    <t>Kamibeppu, Takao</t>
  </si>
  <si>
    <t>LA1312.7 -- .K35 2016eb</t>
  </si>
  <si>
    <t>Education - International cooperation - History - 20th century</t>
  </si>
  <si>
    <t>Through Students' Eyes : Writing and Photography for Success in School</t>
  </si>
  <si>
    <t>Zenkov, Kristien;Harmon, James</t>
  </si>
  <si>
    <t>English language--Study and teaching--United States</t>
  </si>
  <si>
    <t>Exaggerated Claims? : The ESRC, 50 Years On</t>
  </si>
  <si>
    <t>Walker, David</t>
  </si>
  <si>
    <t>SAGE Swifts Series</t>
  </si>
  <si>
    <t>H62.W234 2016</t>
  </si>
  <si>
    <t>Endowment of research--Great Britain.</t>
  </si>
  <si>
    <t>Woodcock-Johnson IV : Reports, Recommendations, and Strategies</t>
  </si>
  <si>
    <t>Mather, Nancy;Jaffe, Lynne E.</t>
  </si>
  <si>
    <t>LB1131.75.W66M389</t>
  </si>
  <si>
    <t>Responding to Loss and Bereavement in Schools : A Training Resource to Assess, Evaluate and Improve the School Response</t>
  </si>
  <si>
    <t>Bereavement in children</t>
  </si>
  <si>
    <t>Encyclopaedia of Supervision and Administration in Elementary Education : Administration and Role of Elementary Schools, Volume 2</t>
  </si>
  <si>
    <t>Jaipur</t>
  </si>
  <si>
    <t>Book Enclave</t>
  </si>
  <si>
    <t>Rao, K.R.</t>
  </si>
  <si>
    <t>LB2822.5 -- .R36 2007eb</t>
  </si>
  <si>
    <t>School supervision, Elementary.</t>
  </si>
  <si>
    <t>Student Discipline : A Prosocial Perspective</t>
  </si>
  <si>
    <t>Brown, Philip M.</t>
  </si>
  <si>
    <t>LB3012.S87 2016</t>
  </si>
  <si>
    <t>Service As Mandate : How American Land-Grant Universities Shaped the Modern World, 1920-2015</t>
  </si>
  <si>
    <t>Marcus, Alan I.;Bix, Amy Sue;Kay, Gwen;Grim, Valerie;Effland, Anne B.;Harmon, David L.;Downs, Donald Alexander;McComb, Erinn;Statz, Stephanie;Cravens, Hamilton</t>
  </si>
  <si>
    <t>378/.0530973</t>
  </si>
  <si>
    <t>United States.-Land Grant Act of 1862. ; State universities and colleges-United States-History-20th century. ; State universities and colleges-United States-History-21st century. ; Science-Study and teaching (Higher)-United States-History-20th century. ; Science-Study and teaching (Higher)-United States-History-21st century. ; Technology-Study and teaching (Higher)-United States-History-20th century. ; Technology-Study and teaching (Higher)-United States-History-21st century.</t>
  </si>
  <si>
    <t>Autism and ICT : A Guide for Teachers and Parents</t>
  </si>
  <si>
    <t>Hardy, Colin;Ogden, Jan;Newman, Julie;Cooper, Sally</t>
  </si>
  <si>
    <t>LC4719.G7 -- .A985 2015eb</t>
  </si>
  <si>
    <t>Computers and the handicapped</t>
  </si>
  <si>
    <t>Wil Lou Gray : The Making of a Southern Progressive from New South to New Deal</t>
  </si>
  <si>
    <t>Ogden, Mary Macdonald</t>
  </si>
  <si>
    <t>LA2317.G63 .O334 2016</t>
  </si>
  <si>
    <t>Gray, Wil Lou,-1883-1984. ; Women educators-South Carolina-Biography. ; Educators-South Carolina-Biography. ; Social reformers-South Carolina-Biography. ; Politicians-South Carolina-Biography. ; Literacy-South Carolina-History-20th century. ; Adult education-South Carolina-History-20th century. ; Progressivism (United States politics)-History-20th century. ; South Carolina-Biography. ; South Carolina-Social policy.</t>
  </si>
  <si>
    <t>We're Friends, Right? : Inside Kids' Culture</t>
  </si>
  <si>
    <t>Joseph Henry Press</t>
  </si>
  <si>
    <t>Corsaro, William A.</t>
  </si>
  <si>
    <t>Education; Social Science; Science: General</t>
  </si>
  <si>
    <t>Columbia College : 150 Years of Courage, Commitment, and Change</t>
  </si>
  <si>
    <t>Missouri</t>
  </si>
  <si>
    <t>Batterson, Paulina A.</t>
  </si>
  <si>
    <t>LD3489.5.C65B38 2001</t>
  </si>
  <si>
    <t>Columbia College (Mo.) - History</t>
  </si>
  <si>
    <t>Research : The Journey from Pondering to Publishing</t>
  </si>
  <si>
    <t>University of the West Indies Press</t>
  </si>
  <si>
    <t>JAMAICA</t>
  </si>
  <si>
    <t>Baban, Serwan M.J.;Baban, Serwan M. J.;Mohammed, Patricia;Baberstock, Peter;Sankat, Clement;Boyd, William;Laukner, Bruce;Lloyd, David</t>
  </si>
  <si>
    <t>LB2369 -- .R38 2009eb</t>
  </si>
  <si>
    <t>Universities and colleges - Graduate work</t>
  </si>
  <si>
    <t>Male Underachievement in High School Education : Jamaica, Barbados and St. Vincent and the Grenadines</t>
  </si>
  <si>
    <t>Parry, Odette</t>
  </si>
  <si>
    <t>LC1394 -- .P37 2000eb</t>
  </si>
  <si>
    <t>WetFeet Insider Guide to Getting Your Ideal Internship</t>
  </si>
  <si>
    <t>Universum</t>
  </si>
  <si>
    <t>WetFeet, Incorporated</t>
  </si>
  <si>
    <t>WetFeet</t>
  </si>
  <si>
    <t>LC1072.I58 -- .W448 2003eb</t>
  </si>
  <si>
    <t>Internship programs--United States.</t>
  </si>
  <si>
    <t>Working Toward Success : Board and Superintendent Interactions, Relationships, and Hiring Issues</t>
  </si>
  <si>
    <t>Van Deuren, Amy E.;Evert, Thomas F.;Lang, Bette A.</t>
  </si>
  <si>
    <t>LB2831.W58 2016</t>
  </si>
  <si>
    <t>School board-superintendent relationships</t>
  </si>
  <si>
    <t>Student Development in College : Theory, Research, and Practice</t>
  </si>
  <si>
    <t>Patton, Lori D.;Renn, Kristen A.;Guido, Florence M.;Quaye, Stephen John;Evans, Nancy J.;Forney, Deanna S.</t>
  </si>
  <si>
    <t>College student development programs--United States.</t>
  </si>
  <si>
    <t>Ability-grouping in Primary Schools : Case Studies and Critical Debates</t>
  </si>
  <si>
    <t>Marks, Rachel;Menter, Ian</t>
  </si>
  <si>
    <t>Memory, Invention, and Delivery : Transmitting and Transforming Knowledge and Culture in Liberal Arts Education for the Future. Selected Proceedings from the Fifteenth Annual Conference of the Association for Core Texts and Courses</t>
  </si>
  <si>
    <t>Dagger, Richard;Metress, Christopher;Lee, J. Scott</t>
  </si>
  <si>
    <t>LC1016.M466 2016</t>
  </si>
  <si>
    <t>Education, Humanistic--Congresses.</t>
  </si>
  <si>
    <t>A Good Investment? : Philanthropy and the Marketing of Race in an Urban Public School</t>
  </si>
  <si>
    <t>Brown, Amy</t>
  </si>
  <si>
    <t>LA339.N5 -- .B769 2015eb</t>
  </si>
  <si>
    <t>373.09173/2097471</t>
  </si>
  <si>
    <t>Education - Social aspects - New York (State) - New York</t>
  </si>
  <si>
    <t>Dictionary of Physics (English-Spanish / Spanish -English) Diccionario de Física (Español - Inglés / Inglés - Español)</t>
  </si>
  <si>
    <t>Editorial Castilla la Vieja</t>
  </si>
  <si>
    <t>Editorial Castilla La Vieja</t>
  </si>
  <si>
    <t>Hornak, Kenneth Allen</t>
  </si>
  <si>
    <t>QC5 -- .H676 2016eb</t>
  </si>
  <si>
    <t>Physics--Dictionaries.</t>
  </si>
  <si>
    <t>Student engagement in Europe : Society, higher education and student governance</t>
  </si>
  <si>
    <t>Klemenčič, Manja;Bergan, Sjur;Primožič, Rok;Primozic, Rok</t>
  </si>
  <si>
    <t>Council of Europe Higher Education Series</t>
  </si>
  <si>
    <t>LC89 -- .S78 2015eb</t>
  </si>
  <si>
    <t>Education, Higher--Political aspects--Europe.</t>
  </si>
  <si>
    <t>Repères - Manuel pour la pratique de l'éducation aux droits de l'homme avec les jeunes (édition 2012, entièrement mise à jour et enrichie)</t>
  </si>
  <si>
    <t>Brander, Patricia;De Witte, Laure;Ghanea, Nazila</t>
  </si>
  <si>
    <t>JC571 -- .R47 2015eb</t>
  </si>
  <si>
    <t>An Evaluation of the Public Schools of the District of Columbia : Reform in a Changing Landscape</t>
  </si>
  <si>
    <t>L134 .N385 2015</t>
  </si>
  <si>
    <t>Schools-Washington (D.C.) ; Educational change-Washington (D.C.)-Evaluation. ; Schools-Washington (D.C.)-Evaluation. ; Compensatory education-Washington (D.C.)-Evaluation.</t>
  </si>
  <si>
    <t>Leadership in Christian Higher Education</t>
  </si>
  <si>
    <t>Wright, Michael;Arthur, James</t>
  </si>
  <si>
    <t>LC383 -- .L43 2010eb</t>
  </si>
  <si>
    <t>Christian universities and colleges--United States--Administration.</t>
  </si>
  <si>
    <t>Lotteries for Education : Origins, Experiences, Lessons</t>
  </si>
  <si>
    <t>Boyle, Conall</t>
  </si>
  <si>
    <t>Sortition and Public Policy</t>
  </si>
  <si>
    <t>LB2825 -- .B69 2010eb</t>
  </si>
  <si>
    <t>Education--United States--States--Finance.</t>
  </si>
  <si>
    <t>Social Radicalism and Liberal Education</t>
  </si>
  <si>
    <t>Paterson, Lindsay</t>
  </si>
  <si>
    <t>St Andrews Studies in Philosophy and Public Affairs</t>
  </si>
  <si>
    <t>LC1011 -- .P38 2015eb</t>
  </si>
  <si>
    <t>Education, Humanistic--Social aspects--Great Britain.</t>
  </si>
  <si>
    <t>Transforming Higher Education in Afghanistan : Success Admidst Ongoing Struggles</t>
  </si>
  <si>
    <t>Hayward, Fred</t>
  </si>
  <si>
    <t>LB2322.2 -- .H399 2015eb</t>
  </si>
  <si>
    <t>&amp;#268;eská Psychopedie</t>
  </si>
  <si>
    <t>Černá, Marie;Siska, Jan;Strnadová, Iva</t>
  </si>
  <si>
    <t>LC4601 -- .C475 2015eb</t>
  </si>
  <si>
    <t>Children with mental disabilities--Education--Czech Republic.</t>
  </si>
  <si>
    <t>Fenomén Výchovy a Etika Učitelského Povolání</t>
  </si>
  <si>
    <t>Pelcová, Naděžda;Semrádová, Ilona;Semrádová, Ilona</t>
  </si>
  <si>
    <t>LB2806 -- .P453 2015eb</t>
  </si>
  <si>
    <t>Educational leadership--Moral and ethical aspects.</t>
  </si>
  <si>
    <t>How to Ask a Professor: Politeness in Czech Academic Culture</t>
  </si>
  <si>
    <t>Chejnová, Pavla</t>
  </si>
  <si>
    <t>LB1033 -- .C445 2015eb</t>
  </si>
  <si>
    <t>Teacher-student relationships--Czech Republic.</t>
  </si>
  <si>
    <t>Školní vzdělávání ve Finsku</t>
  </si>
  <si>
    <t>Charles University in Prague, Karolinum Press</t>
  </si>
  <si>
    <t>Průcha, Jan</t>
  </si>
  <si>
    <t>LA1011 -- .P783 2015eb</t>
  </si>
  <si>
    <t>Education--Finland.</t>
  </si>
  <si>
    <t>Afterschool : Images, Education and Research</t>
  </si>
  <si>
    <t>Vansieleghem, Nancy;Vlieghe, Joris;Verstraete, Pieter</t>
  </si>
  <si>
    <t>LB1043.5 -- .A384 2015eb</t>
  </si>
  <si>
    <t>Video tapes in education.</t>
  </si>
  <si>
    <t>Solitudes of the Workplace : Women in Universities</t>
  </si>
  <si>
    <t>Whittaker, Elvi</t>
  </si>
  <si>
    <t>LC1567 .S655 2015</t>
  </si>
  <si>
    <t>Women in higher education-Canada. ; Feminism and higher education-Canada. ; Sex discrimination in higher education-Canada.</t>
  </si>
  <si>
    <t>Applied Practice for Educators of Gifted and Able Learners</t>
  </si>
  <si>
    <t>Vidergor, Hava E.;Harris, Carole Ruth</t>
  </si>
  <si>
    <t>Gifted children--Education.</t>
  </si>
  <si>
    <t>Only in New Orleans : School Choice and Equity Post-Hurricane Katrina</t>
  </si>
  <si>
    <t>Mirón, Luis;Beabout, Brian R.;Boselovic, Joseph L.</t>
  </si>
  <si>
    <t>The Art and Science of Learning Design</t>
  </si>
  <si>
    <t>Maina, Marcelo;Craft, Brock;Mor, Yishay</t>
  </si>
  <si>
    <t>Teaching Writing While Standing on One Foot</t>
  </si>
  <si>
    <t>Danberg, Robert</t>
  </si>
  <si>
    <t>Composition (Language arts)</t>
  </si>
  <si>
    <t>Relevant Chemistry Education : From Theory to Practice</t>
  </si>
  <si>
    <t>Science: Chemistry; Education; Science</t>
  </si>
  <si>
    <t>Disability Studies : Educating for Inclusion</t>
  </si>
  <si>
    <t>Corcoran, Tim;White, Julie;Whitburn, Ben</t>
  </si>
  <si>
    <t>Innovations and Controversies: Interrogating Educational Change Series</t>
  </si>
  <si>
    <t>Dialogue and Boundary Learning</t>
  </si>
  <si>
    <t>Rule, Peter</t>
  </si>
  <si>
    <t>Leaders in Critical Pedagogy : Narratives for Understanding and Solidarity</t>
  </si>
  <si>
    <t>Porfilio, Brad;Ford, Derek R.</t>
  </si>
  <si>
    <t>Revisiting Multiculturalism in Canada : Theories, Policies and Debates</t>
  </si>
  <si>
    <t>Guo, Shibao;Wong, Lloyd</t>
  </si>
  <si>
    <t>Transnational Migration and Education Series</t>
  </si>
  <si>
    <t>A Year in the Life of a Third Space Urban Teacher Residency : Using Inquiry to Reinvent Teacher Education</t>
  </si>
  <si>
    <t>Taylor, Monica;Klein, Emily J.</t>
  </si>
  <si>
    <t>Building Democracy Through Education on Diversity</t>
  </si>
  <si>
    <t>Majhanovich, Suzanne;Malet, Régis</t>
  </si>
  <si>
    <t>Governing Educational Spaces : Knowledge, Teaching, and Learning in Transition</t>
  </si>
  <si>
    <t>Kotthoff, Hans-Georg;Klerides, Eleftherios</t>
  </si>
  <si>
    <t>Being a Teacher Researcher : A Primer on Doing Authentic Inquiry Research on Teaching and Learning</t>
  </si>
  <si>
    <t>Alexakos, Konstantinos</t>
  </si>
  <si>
    <t>School Leader's Guide to Standards-Based Grading</t>
  </si>
  <si>
    <t>Marzano Research Lab</t>
  </si>
  <si>
    <t>Heflebower, Tammy;Hoegh, Jan K.</t>
  </si>
  <si>
    <t>Grading and marking (Students)-Standards. ; Education-Standards.</t>
  </si>
  <si>
    <t>Designing Effective Classroom Management</t>
  </si>
  <si>
    <t>Harlacher, Jason E.</t>
  </si>
  <si>
    <t>Classroom management-Handbooks, manuals, etc.</t>
  </si>
  <si>
    <t>Proficiency Scales for the New Science Standards : A Framework for Science Instruction and Assessment</t>
  </si>
  <si>
    <t>Marzano, Robert J.;Yanoski, David C.;Paynter, Diane</t>
  </si>
  <si>
    <t>LB1585.3 -- .M37 2016eb</t>
  </si>
  <si>
    <t>Science--Study and teaching--Standards.</t>
  </si>
  <si>
    <t>College in the Crosshairs : An Administrative Perspective on Prevention of Gun Violence</t>
  </si>
  <si>
    <t>Hemphill, Brian O.;LaBanc, Brandi Hephner</t>
  </si>
  <si>
    <t>LB2866.L32 2015</t>
  </si>
  <si>
    <t>Campus violence--United States--Prevention.</t>
  </si>
  <si>
    <t>Lifelong Learning in Neoliberal Japan : Risk, Community, and Knowledge</t>
  </si>
  <si>
    <t>Ogawa, Akihiro</t>
  </si>
  <si>
    <t>LC5257.J3O345 2015</t>
  </si>
  <si>
    <t>Continuing education-Japan. ; Neoliberalism-Japan.</t>
  </si>
  <si>
    <t>Listening to Teach : Beyond Didactic Pedagogy</t>
  </si>
  <si>
    <t>Waks, Leonard J.</t>
  </si>
  <si>
    <t>Effective teaching. ; Communication in education. ; Teacher-student relationships. ; Listening. ; Classroom environment.</t>
  </si>
  <si>
    <t>Schoolhouse Activists : African American Educators and the Long Birmingham Civil Rights Movement</t>
  </si>
  <si>
    <t>Loder-Jackson, Tondra L.</t>
  </si>
  <si>
    <t>African American educators. ; African Americans-Education. ; Civil rights movements-Alabama-Birmingham.</t>
  </si>
  <si>
    <t>Higher Education Reconsidered : Executing Change to Drive Collective Impact</t>
  </si>
  <si>
    <t>Uniting Mississippi : Democracy and Leadership in the South</t>
  </si>
  <si>
    <t>Weber, Eric Thomas;Winter, William F.</t>
  </si>
  <si>
    <t>HC107.M73 .W434 2015</t>
  </si>
  <si>
    <t>Poor-Mississippi. ; Education-Mississippi. ; Political leadership-Mississippi. ; Democracy-Mississippi.</t>
  </si>
  <si>
    <t>Assessing Advances and Challenges in Technical Education in Brazil</t>
  </si>
  <si>
    <t>Almeida, Rita;Amaral, Nicole;Felicio, Fabiana de;Amaral, Nicole</t>
  </si>
  <si>
    <t>T91 -- .A46 2016eb</t>
  </si>
  <si>
    <t>Technical education--Brazil.</t>
  </si>
  <si>
    <t>Sub-Saharan African Science, Technology, Engineering, and Mathematics Research : A Decade of Development</t>
  </si>
  <si>
    <t>Blom, Andreas;Lan, George;Adil, Mariam;Adil, Mariam</t>
  </si>
  <si>
    <t>Q180.A357 -- B56 2016eb</t>
  </si>
  <si>
    <t>Research--Africa, Sub-Saharan.</t>
  </si>
  <si>
    <t>Teacher Performance in Bihar, India : Implications for Education</t>
  </si>
  <si>
    <t>Sinha, Shabnam;Banerji, Rukmini;Wadhwa, Wilima</t>
  </si>
  <si>
    <t>LB2838 -- .S57 2016eb</t>
  </si>
  <si>
    <t>Teachers - Training of - India - Bihar</t>
  </si>
  <si>
    <t>Why Women Will Save the Planet</t>
  </si>
  <si>
    <t>Zed Books</t>
  </si>
  <si>
    <t>Bloomsbury Publishing, Bloomsbury</t>
  </si>
  <si>
    <t>GE195.9.W46 2015</t>
  </si>
  <si>
    <t>Women environmentalists. ; Environmentalism. ; Environnementalisme. ; Environmentalism. (OCoLC)fst00913543. ; Women environmentalists. (OCoLC)fst01177643.</t>
  </si>
  <si>
    <t>Teacher Education Systems in Africa in the Digital Era</t>
  </si>
  <si>
    <t>Adegoke, Bade;Oni, Adesoji</t>
  </si>
  <si>
    <t>LB1028.3 .T433 2015</t>
  </si>
  <si>
    <t>Educational technology-Africa.</t>
  </si>
  <si>
    <t>Rhythm and Meaning in Shakespeare : A Guide for Readers and Actors</t>
  </si>
  <si>
    <t>Clayton, VIC</t>
  </si>
  <si>
    <t>Groves, Peter;Bell, John</t>
  </si>
  <si>
    <t>PR3072 -- .G77 2013eb</t>
  </si>
  <si>
    <t>Shakespeare, William - Literary style</t>
  </si>
  <si>
    <t>Questioning for Classroom Discussion : Purposeful Speaking, Engaged Listening, Deep Thinking</t>
  </si>
  <si>
    <t>Walsh, Jackie Acree;Sattes, Beth Dankert</t>
  </si>
  <si>
    <t>LB1027.44 .W36 2015</t>
  </si>
  <si>
    <t>Questioning. ; Discussion.</t>
  </si>
  <si>
    <t>How to Make Decisions with Different Kinds of Student Assessment Data</t>
  </si>
  <si>
    <t>LB3051 .B7288 2016</t>
  </si>
  <si>
    <t>The American Faculty : The Restructuring of Academic Work and Careers</t>
  </si>
  <si>
    <t>Schuster, Jack H.;Finkelstein, Martin J.</t>
  </si>
  <si>
    <t>LB2331.72 .S365 2006</t>
  </si>
  <si>
    <t>378.1/2/0973</t>
  </si>
  <si>
    <t>Universities and colleges-United States-Faculty. ; College teachers-Professional relationships-United States. ; College teachers-Workload-United States.</t>
  </si>
  <si>
    <t>MOOCs, High Technology, and Higher Learning</t>
  </si>
  <si>
    <t>Reforming Higher Education: Innovation and the Public Good Series</t>
  </si>
  <si>
    <t>Left Behind : Urban High Schools and the Failure of Market Reform</t>
  </si>
  <si>
    <t>St. John, Edward P.;Milazzo Bigelow, Victoria J.;Lijana, Kim Callahan</t>
  </si>
  <si>
    <t>LC5131 .L448 2015</t>
  </si>
  <si>
    <t>Urban high schools-United States-Evaluation. ; Charter schools-United States-Evaluation. ; Education, Secondary-Aims and objectives-United States. ; Educational change-United States. ; College preparation programs-United States.</t>
  </si>
  <si>
    <t>Palace of Ashes : China and the Decline of American Higher Education</t>
  </si>
  <si>
    <t>Ferrara, Mark S.</t>
  </si>
  <si>
    <t>LA227.4 .F477 2015</t>
  </si>
  <si>
    <t>Education, Higher-Aims and objectives-United States. ; Education, Higher-Aims and objectives-China. ; Universities and colleges-Standards-United States. ; Universities and colleges-Standards-China. ; Education and globalization.</t>
  </si>
  <si>
    <t>Changing the Face of Engineering : The African American Experience</t>
  </si>
  <si>
    <t>Slaughter, John Brooks;Tao, Yu;Pearson, Willie, Jr.</t>
  </si>
  <si>
    <t>TA157  .C436 2015</t>
  </si>
  <si>
    <t>African American engineers. ; Engineering-Study and teaching (Higher)-United States. ; African Americans-Education (Higher)</t>
  </si>
  <si>
    <t>Engineering: Civil; Engineering; Engineering: General</t>
  </si>
  <si>
    <t>Breakpoint : The Changing Marketplace for Higher Education</t>
  </si>
  <si>
    <t>McGee, Jon</t>
  </si>
  <si>
    <t>LB2341 .M344 2015</t>
  </si>
  <si>
    <t>Universities and colleges-United States-Administration. ; Universities and colleges-United States-Planning. ; Education, Higher-Aims and objectives-United States. ; Education-Demographic aspects-United States. ; Education, Higher-Economic aspects-United States.</t>
  </si>
  <si>
    <t>University Reform : The Founding of the American Association of University Professors</t>
  </si>
  <si>
    <t>Tiede, Hans-Joerg</t>
  </si>
  <si>
    <t>LB2335.865.U6 .T543 2015</t>
  </si>
  <si>
    <t>American Association of University Professors-History. ; College teachers' unions-United States-History. ; Collective bargaining-College teachers-United States-History.</t>
  </si>
  <si>
    <t>Campus Sexual Assault : College Women Respond</t>
  </si>
  <si>
    <t>Germain, Lauren J.</t>
  </si>
  <si>
    <t>LB2345.3.R37 G47 2016</t>
  </si>
  <si>
    <t>364.15/320973</t>
  </si>
  <si>
    <t>Rape in universities and colleges-United States. ; Women college students-Crimes against-United States. ; Rape victims-Rehabilitation-United States. ; Rape victims-United States-Psychology.</t>
  </si>
  <si>
    <t>Successful Strategies for Pursuing National Board Certification : Version 3. 0, Components 1 And 2</t>
  </si>
  <si>
    <t>Faulkner, Bobbie</t>
  </si>
  <si>
    <t>What Works! Series</t>
  </si>
  <si>
    <t>LB1771.F365 2015</t>
  </si>
  <si>
    <t>Teachers--Certification--Standards--United States--Study guides. ; Teaching--Standards--United States--Study guides.</t>
  </si>
  <si>
    <t>African American Students' Career and College Readiness : The Journey Unraveled</t>
  </si>
  <si>
    <t>Curry, Jennifer R.;Shillingford, M. Ann;Appling, Brandee;Auguste, Elizabeth;Belser, Christopher T.;Bergholtz, Tristen;Brown, Eric M.;Butler, S. Kent;Churblock, Ashley;Cross, Jennifer Riedl</t>
  </si>
  <si>
    <t>LC2717 -- .A375 2015eb</t>
  </si>
  <si>
    <t>African American students - United States</t>
  </si>
  <si>
    <t>Everyday Languaging : Collaborative Research on the Language Use of Children and Youth</t>
  </si>
  <si>
    <t>Madsen, Lian Malai;Karrebæk, Martha Sif;Møller, Janus Spindler</t>
  </si>
  <si>
    <t>LB1580.D4M33 2015</t>
  </si>
  <si>
    <t>Language and languages--Study and teaching (Elementary)--Foreign speakers--Denmark.</t>
  </si>
  <si>
    <t>Building Classroom Success : Eliminating Academic Fear and Failure</t>
  </si>
  <si>
    <t>Martin, Andrew</t>
  </si>
  <si>
    <t>LB1025.3.M33713 2010</t>
  </si>
  <si>
    <t>Cool Things to Do If a Bully's Bugging You : 50 Classroom Activities to Help Elementary Students</t>
  </si>
  <si>
    <t>DePino, Catherine</t>
  </si>
  <si>
    <t>LB3013.3.D4555 2016</t>
  </si>
  <si>
    <t>Bullying in schools--Prevention.</t>
  </si>
  <si>
    <t>Facilitating Learning with the Adult Brain in Mind : A Conceptual and Practical Guide</t>
  </si>
  <si>
    <t>Taylor, Kathleen;Marienau, Catherine</t>
  </si>
  <si>
    <t>When Critical Multiculturalism Meets Mathematics : A Mixed Methods Study of Professional Development and Teacher Identity</t>
  </si>
  <si>
    <t>Marshall, Patricia L.;DeCuir-Gunby, Jessica T.;McCulloch, Allison W.</t>
  </si>
  <si>
    <t>Bringing Montessori to America : S. S. Mcclure, Maria Montessori, and the Campaign to Publicize Montessori Education</t>
  </si>
  <si>
    <t>Gutek, Gerald L.;Gutek, Patricia A.</t>
  </si>
  <si>
    <t>371.39/2</t>
  </si>
  <si>
    <t>McClure, S. S.-(Samuel Sidney),-1857-1949. ; Montessori, Maria,-1870-1952. ; Montessori method of education-United States.</t>
  </si>
  <si>
    <t>From Risk to Resiliency : A Resource for Strengthening Education's Stepchild</t>
  </si>
  <si>
    <t>Warring, William H., Jr.;Warring, William H.</t>
  </si>
  <si>
    <t>LC5251.W37 2015</t>
  </si>
  <si>
    <t>374/.8</t>
  </si>
  <si>
    <t>Evening and continuation schools - United States</t>
  </si>
  <si>
    <t>Unrelenting Change, Innovation, and Risk : Forging the Next Generation of Community Colleges</t>
  </si>
  <si>
    <t>Phelan, Daniel J.</t>
  </si>
  <si>
    <t>LB2328.P48 2016</t>
  </si>
  <si>
    <t>Community colleges - United States</t>
  </si>
  <si>
    <t>Fostering Resilient Learners : Strategies for Creating a Trauma-Sensitive Classroom</t>
  </si>
  <si>
    <t>Souers, Kristin;Hall, Pete</t>
  </si>
  <si>
    <t>LC4601 .S68 2016</t>
  </si>
  <si>
    <t>Children with mental disabilities-Education. ; Psychic trauma in children. ; Post-traumatic stress disorder in children. ; Educational psychology.</t>
  </si>
  <si>
    <t>Leading with Focus : Elevating the Essentials for School and District Improvement</t>
  </si>
  <si>
    <t>LB2805 .L38155 2016</t>
  </si>
  <si>
    <t>School management and organization. ; School improvement programs. ; School districts-Administration.</t>
  </si>
  <si>
    <t>Reengineering the University : How to Be Mission Centered, Market Smart, and Margin Conscious</t>
  </si>
  <si>
    <t>Massy, William F.</t>
  </si>
  <si>
    <t>LB2341.93.U6 .M377 2016</t>
  </si>
  <si>
    <t>Universities and colleges-United States-Business management. ; Education, Higher-United States-Finance. ; Education, Higher-United States-Costs. ; Educational change-United States-Economic aspects.</t>
  </si>
  <si>
    <t>Teaching Across Cultures : Building Pedagogical Relationships in Diverse Contexts</t>
  </si>
  <si>
    <t>Ikpeze, Chinwe H.</t>
  </si>
  <si>
    <t>Multicultural education. ; Teaching.</t>
  </si>
  <si>
    <t>Proof, Policy, and Practice : Understanding the Role of Evidence in Improving Education</t>
  </si>
  <si>
    <t>Lingenfelter, Paul E.</t>
  </si>
  <si>
    <t>LB1028.25.U6 -- .L564 2016eb</t>
  </si>
  <si>
    <t>Ensuring the Success of Latino Males in Higher Education : A National Imperative</t>
  </si>
  <si>
    <t>Sáenz, Victor B.;Ponjuán, Luis;Figueroa, Julie L.</t>
  </si>
  <si>
    <t>LC2670.6 -- .E67 2016eb</t>
  </si>
  <si>
    <t>378.1/982968073</t>
  </si>
  <si>
    <t>Hispanic American men--Education (Higher)</t>
  </si>
  <si>
    <t>Advancing Black Male Student Success from Preschool Through Ph. D.</t>
  </si>
  <si>
    <t>Wood, J. Luke;Harper, Shaun R.</t>
  </si>
  <si>
    <t>African American young men--Education.</t>
  </si>
  <si>
    <t>Assessing Study Abroad : Theory, Tools, and Practice</t>
  </si>
  <si>
    <t>Savicki, Victor;Brewer, Elizabeth</t>
  </si>
  <si>
    <t>LB2376 -- .A874 2015eb</t>
  </si>
  <si>
    <t>Foreign study--Administration--Handbooks, manuals, etc.</t>
  </si>
  <si>
    <t>Leading Assessment for Student Success : Ten Tenets That Change Culture and Practice in Student Affairs</t>
  </si>
  <si>
    <t>Bingham, Rosie Phillips;Bureau, Daniel;Duncan, Amber Garrison</t>
  </si>
  <si>
    <t>LB2342.92 -- .L433 2015eb</t>
  </si>
  <si>
    <t>Student affairs services--United States--Evaluation</t>
  </si>
  <si>
    <t>Clickers in the Classroom : Using Classroom Response Systems to Increase Student Learning</t>
  </si>
  <si>
    <t>Goldstein, David S.;Wallis, Peter D.</t>
  </si>
  <si>
    <t>LB1028.3 -- .C553 2015eb</t>
  </si>
  <si>
    <t>Student response systems</t>
  </si>
  <si>
    <t>The Neuroscience of Learning and Development : Enhancing Creativity, Compassion, Critical Thinking, and Peace in Higher Education</t>
  </si>
  <si>
    <t>Bresciani Ludvik, Marilee J.</t>
  </si>
  <si>
    <t>LB1062$b.N487 2016</t>
  </si>
  <si>
    <t>Cognitive learning.</t>
  </si>
  <si>
    <t>Teaching Across Cultural Strengths : A Guide to Balancing Integrated and Individuated Cultural Frameworks in College Teaching</t>
  </si>
  <si>
    <t>Chávez, Alicia Fedelina;Longerbeam, Susan Diana</t>
  </si>
  <si>
    <t>LB2331 -- .C512 2016eb</t>
  </si>
  <si>
    <t>College teaching--Social aspects</t>
  </si>
  <si>
    <t>Coordinating Student Affairs Divisional Assessment : A Practical Guide</t>
  </si>
  <si>
    <t>Bentrim, Erin;Henning, Gavin W.;Yousey-Elsener, Kimberly;Henning, Gavin W.</t>
  </si>
  <si>
    <t>LB2342.92 -- .C68 2015eb</t>
  </si>
  <si>
    <t>Student affairs services--United States--Evaluation.</t>
  </si>
  <si>
    <t>Improving Professional Learning : Twelve Strategies to Enhance Performance</t>
  </si>
  <si>
    <t>Knox, Alan B.</t>
  </si>
  <si>
    <t>LC1059 -- .K569 2016eb</t>
  </si>
  <si>
    <t>Awaken the Learner : Finding the Source of Effective Education</t>
  </si>
  <si>
    <t>Scott, Darrell;Marzano, Robert J.</t>
  </si>
  <si>
    <t>Reshaping Universities for Survival in the 21st Century</t>
  </si>
  <si>
    <t>Chow, Christina;Leung, Clement</t>
  </si>
  <si>
    <t>LB2342 -- .C46 2016eb</t>
  </si>
  <si>
    <t>Universities and colleges--Finance.</t>
  </si>
  <si>
    <t>The Strange Child : Education and the Psychology of Patriotism in Recessionary Japan</t>
  </si>
  <si>
    <t>Arai, Andrea Gevurtz</t>
  </si>
  <si>
    <t>306.43/20952</t>
  </si>
  <si>
    <t>Japan--Social conditions--1989-</t>
  </si>
  <si>
    <t>Class Work : Vocational Schools and China's Urban Youth</t>
  </si>
  <si>
    <t>Woronov, Terry</t>
  </si>
  <si>
    <t>LC1047</t>
  </si>
  <si>
    <t>Vocational education--China.</t>
  </si>
  <si>
    <t>Using Museums As an Educational Resource : An Introductory Handbook for Students and Teachers</t>
  </si>
  <si>
    <t>Talboys, Graeme K.</t>
  </si>
  <si>
    <t>069/.15</t>
  </si>
  <si>
    <t>Museums and schools--Handbooks, manuals, etc. ; Museums--Educational aspects--Handbooks, manuals, etc.</t>
  </si>
  <si>
    <t>Museums; Education</t>
  </si>
  <si>
    <t>Philosophy in Education : Questioning and Dialogue in Schools</t>
  </si>
  <si>
    <t>Mohr Lone, Jana;Burroughs, Michael D.</t>
  </si>
  <si>
    <t>B105.C45M64 2015</t>
  </si>
  <si>
    <t>Philosophy - Study and teaching (Secondary)</t>
  </si>
  <si>
    <t>Rethinking Classroom Design : Create Student-Centered Learning Spaces for 6-12th Graders</t>
  </si>
  <si>
    <t>Finley, Todd;Wiggs, Blake</t>
  </si>
  <si>
    <t>LB3325.C5</t>
  </si>
  <si>
    <t>371.6/2</t>
  </si>
  <si>
    <t>Classrooms - Planning</t>
  </si>
  <si>
    <t>Critical Mathematics Education : Theory, Praxis and Reality</t>
  </si>
  <si>
    <t>Ernest, Paul;Sriraman, Bharath;Ernest, Nuala</t>
  </si>
  <si>
    <t>QA11.2.C77 2016</t>
  </si>
  <si>
    <t>Talking about Structural Inequalities in Everyday Life : New Politics of Race in Groups, Organizations and Social Systems</t>
  </si>
  <si>
    <t>Short, Ellen L.;Wilton, Leo</t>
  </si>
  <si>
    <t>Digital Curricula in School Mathematics</t>
  </si>
  <si>
    <t>Bates, Meg;Usiskin, Zalman</t>
  </si>
  <si>
    <t>QA76.9.C62D54 2016</t>
  </si>
  <si>
    <t>Mathematics; Computer Science/IT</t>
  </si>
  <si>
    <t>Whither Opportunity? : Rising Inequality, Schools, and Children's Life Chances</t>
  </si>
  <si>
    <t>Russell Sage Foundation</t>
  </si>
  <si>
    <t>Duncan, Greg J.;Murnane, Richard J.</t>
  </si>
  <si>
    <t>Poor children -- Education -- United States</t>
  </si>
  <si>
    <t>Coming of Political Age : American Schools and the Civic Development of Immigrant Youth</t>
  </si>
  <si>
    <t>Callahan, Rebecca M.;Muller, Chandra</t>
  </si>
  <si>
    <t>Children of immigrants--Education--United States</t>
  </si>
  <si>
    <t>Dialogue Across Difference : Practice, Theory, and Research on Intergroup Dialogue</t>
  </si>
  <si>
    <t>Gurin, Patricia;Nagda, Biren (Ratnesh) A.;Zuniga, Ximena</t>
  </si>
  <si>
    <t>Communication in education. ; Interpersonal communication. ; Intercultural communication.</t>
  </si>
  <si>
    <t>Edupreneur : Unleashing Teacher Led Innovation in Schools</t>
  </si>
  <si>
    <t>Milton, QLD</t>
  </si>
  <si>
    <t>Tait, Aaron;Faulkner, Dave</t>
  </si>
  <si>
    <t>LB1027 -- .T35 2016eb</t>
  </si>
  <si>
    <t>Educational innovations--United States.</t>
  </si>
  <si>
    <t>Reading Reconsidered : A Practical Guide to Rigorous Literacy Instruction</t>
  </si>
  <si>
    <t>Lemov, Doug;Driggs, Colleen;Woolway, Erica</t>
  </si>
  <si>
    <t>LB1050.L44 2016</t>
  </si>
  <si>
    <t>Learning That Lasts : Challenging, Engaging, and Empowering Students with Deeper Instruction</t>
  </si>
  <si>
    <t>Berger, Ron;Woodfin, Libby;Vilen, Anne;Mehta, Jal</t>
  </si>
  <si>
    <t>LB1025.3.B468 2016</t>
  </si>
  <si>
    <t>Degrees of Deception : America's for-Profit Higher Education Fraud</t>
  </si>
  <si>
    <t>Connell, Kevin W.</t>
  </si>
  <si>
    <t>LB2328.52.U6C66 2016</t>
  </si>
  <si>
    <t>For-profit universities and colleges - Corrupt practices - United States</t>
  </si>
  <si>
    <t>Chinese Students' Higher Achievement in Mathematics : Comparison of Mathematics Education of Australian and Chinese Primary Schools</t>
  </si>
  <si>
    <t>Zhao, Dacheng</t>
  </si>
  <si>
    <t>Mathematics Education - an Asian Perspective Series</t>
  </si>
  <si>
    <t>Unleash the Power of OneNote</t>
  </si>
  <si>
    <t>Jacobs, Kathy;Jacobs, Karen;Jelen, Bill</t>
  </si>
  <si>
    <t>On Office</t>
  </si>
  <si>
    <t>LB2395.25.J33 2005</t>
  </si>
  <si>
    <t>Note-taking--Computer programs.</t>
  </si>
  <si>
    <t>Feminist Pedagogy in Higher Education : Critical Theory and Practice</t>
  </si>
  <si>
    <t>Light, Tracy Penny;Nicholas, Jane;Bondy, Renée</t>
  </si>
  <si>
    <t>The Wiley Handbook of Learning Technology</t>
  </si>
  <si>
    <t>Rushby, Nick;Surry, Dan</t>
  </si>
  <si>
    <t>Wiley Handbooks in Education Series</t>
  </si>
  <si>
    <t>Educational technology--Handbooks, manuals, etc.</t>
  </si>
  <si>
    <t>Communication Strategies for Managing Conflict : A Guide for Academic Leaders</t>
  </si>
  <si>
    <t>Higgerson, Mary Lou</t>
  </si>
  <si>
    <t>LB2331.7.H54 2016</t>
  </si>
  <si>
    <t>Universities and colleges--Faculty.</t>
  </si>
  <si>
    <t>Personalizing 21st Century Education : A Framework for Student Success</t>
  </si>
  <si>
    <t>Domenech, Dan;Sherman, Morton;Brown, John L.</t>
  </si>
  <si>
    <t>LB2806.D63 2016</t>
  </si>
  <si>
    <t>Educational change--United States.</t>
  </si>
  <si>
    <t>The Impact of Reforms and Interventions on K-12 Education</t>
  </si>
  <si>
    <t>Momentum Press</t>
  </si>
  <si>
    <t>Burney, DeAnna M.</t>
  </si>
  <si>
    <t>The Question Is the Answer : Supporting Student-Generated Queries in Elementary Classrooms</t>
  </si>
  <si>
    <t>Critical thinking - Study and teaching (Elementary)</t>
  </si>
  <si>
    <t>Mentoring for School Quality : How Educators Can Be More Professional and Effective</t>
  </si>
  <si>
    <t>Cooper, Bruce S.;McCray, Carlos R.</t>
  </si>
  <si>
    <t>Mentors in education</t>
  </si>
  <si>
    <t>Ethics and Politics in School Leadership : Finding Common Ground</t>
  </si>
  <si>
    <t>Brierton, Jeffrey;Graham, Brenda;Tomal, Daniel R.;Wilhite, Robert K.</t>
  </si>
  <si>
    <t>LB1779.E7385 2016</t>
  </si>
  <si>
    <t>School administrators--Professional ethics. ; Educational leadership--Moral and ethical aspects. ; School management and organization--Moral and ethical aspects.</t>
  </si>
  <si>
    <t>Maximum Impact Education : Six Strategies to Raise Student Achievement</t>
  </si>
  <si>
    <t>Oakes, Jack E.</t>
  </si>
  <si>
    <t>LC221 -- .O35 2015eb</t>
  </si>
  <si>
    <t>School-to-work transition - United States</t>
  </si>
  <si>
    <t>Fixing Instruction : Resolving Major Issues with a Core Body of Knowledge for Critical Instruction</t>
  </si>
  <si>
    <t>Maiorana, Victor P.</t>
  </si>
  <si>
    <t>LB1590.3.M354 2015</t>
  </si>
  <si>
    <t>Critical thinking--Study and teaching--United States</t>
  </si>
  <si>
    <t>Women in Academia Crossing North-South Borders : Gender, Race, and Displacement</t>
  </si>
  <si>
    <t>Arashiro, Zuleika;Barahona, Malba;Demuro, Eugenia;Icaza, Rosalba;Motta, Sara C.;Reyes, Marisol;Simon, Jeanne</t>
  </si>
  <si>
    <t>Education, Higher - Social aspects - Developed countries</t>
  </si>
  <si>
    <t>Handbook of Global Education Policy</t>
  </si>
  <si>
    <t>Mundy, Karen;Green, Andy;Lingard, Bob;Verger, Antoni</t>
  </si>
  <si>
    <t>Handbooks of Global Policy Series</t>
  </si>
  <si>
    <t>LC71 -- .H363 2016eb</t>
  </si>
  <si>
    <t>Education--International cooperation.</t>
  </si>
  <si>
    <t>Understanding the Whole Student : Holistic Multicultural Education</t>
  </si>
  <si>
    <t>Mayes, Clifford;Cutri, Ramona Maile;Goslin, Neil;Montero, Fidel</t>
  </si>
  <si>
    <t>LC990.M4 2015</t>
  </si>
  <si>
    <t>Holistic education</t>
  </si>
  <si>
    <t>Social and Emotional Learning in Action : Experiential Activities to Positively Impact School Climate</t>
  </si>
  <si>
    <t>Flippo, Tara</t>
  </si>
  <si>
    <t>LB1027.23.F585 2016</t>
  </si>
  <si>
    <t>Experiential learning. ; Social learning. ; Affective education. ; Activity programs in education.</t>
  </si>
  <si>
    <t>Financing Community Colleges : Where We Are, Where We're Going</t>
  </si>
  <si>
    <t>Romano, Richard M.;Palmer, James C.</t>
  </si>
  <si>
    <t>LB2342.R66 2015</t>
  </si>
  <si>
    <t>Community colleges--United States--Finance</t>
  </si>
  <si>
    <t>Leadership and School Boards : Guarding the Trust in an Era of Community Engagement</t>
  </si>
  <si>
    <t>Reimer, Laura E.;Wiens, John F.</t>
  </si>
  <si>
    <t>379.1/531097</t>
  </si>
  <si>
    <t>Educational leadership - North America</t>
  </si>
  <si>
    <t>Wild Curiosity : How to Unleash Creativity and Encourage Lifelong Wondering</t>
  </si>
  <si>
    <t>Shonstrom, Erik</t>
  </si>
  <si>
    <t>BF723.C7</t>
  </si>
  <si>
    <t>Confucius in the Technology Realm : A Philosophical Approach to Your School's Ed Tech Goals</t>
  </si>
  <si>
    <t>Vidal, Darryl</t>
  </si>
  <si>
    <t>Educational technology - Philosophy</t>
  </si>
  <si>
    <t>Working in Class : Recognizing How Social Class Shapes Our Academic Work</t>
  </si>
  <si>
    <t>Hurst, Allison L.;Nenga, Sandi Kawecka</t>
  </si>
  <si>
    <t>LC191.94.W67 2016</t>
  </si>
  <si>
    <t>Education, Higher--Social aspects--United States. ; Low-income college students--United States. ; Educational mobility--United States. ; Social classes--United States.</t>
  </si>
  <si>
    <t>Exciting Classrooms : Practical Information to Ensure Student Success</t>
  </si>
  <si>
    <t>Thoms, Frank</t>
  </si>
  <si>
    <t>LB1025.3.T532 2015</t>
  </si>
  <si>
    <t>Reflective teaching.</t>
  </si>
  <si>
    <t>James Mill on Philosophy and Education</t>
  </si>
  <si>
    <t>Burston, W. H.</t>
  </si>
  <si>
    <t>Bloomsbury Academic Collections: Philosophy Series</t>
  </si>
  <si>
    <t>B1598.B877 1973</t>
  </si>
  <si>
    <t>Dancing at the Crossroads : A Guide for Practitioners in at-Risk Youth Programs</t>
  </si>
  <si>
    <t>Parkhurst Brothers, Incorporated, Publishers</t>
  </si>
  <si>
    <t>Czarnota, Lorna</t>
  </si>
  <si>
    <t>HV1421 -- .C937 2014eb</t>
  </si>
  <si>
    <t>Problem youth - Counseling of</t>
  </si>
  <si>
    <t>Dancing at the Crossroads : A Guide for Caregivers in at-Risk Youth Programs</t>
  </si>
  <si>
    <t>Social work with youth.</t>
  </si>
  <si>
    <t>Educating Angels : Teaching for the Pursuit of Happiness</t>
  </si>
  <si>
    <t>Armstrong, Tony</t>
  </si>
  <si>
    <t>Our National Conversation Series</t>
  </si>
  <si>
    <t>Education -- Aims and objectives.</t>
  </si>
  <si>
    <t>Story by Story : Creating a School Storytelling Troupe and Making the Common Core Exciting</t>
  </si>
  <si>
    <t>Chace, Karen</t>
  </si>
  <si>
    <t>Storytelling--Study and teaching. ; PERFORMING ARTS / Storytelling. bisacsh.</t>
  </si>
  <si>
    <t>Diploma Mills : How for-Profit Colleges Stiffed Students, Taxpayers, and the American Dream</t>
  </si>
  <si>
    <t>Angulo, A. J.</t>
  </si>
  <si>
    <t>LB2328.52.U6A64 2016</t>
  </si>
  <si>
    <t>TRIZ for Dummies</t>
  </si>
  <si>
    <t>Haines-Gadd, Lilly</t>
  </si>
  <si>
    <t>TRIZ theory</t>
  </si>
  <si>
    <t>Answering the Call : African American Women in Higher Education Leadership</t>
  </si>
  <si>
    <t>Bower, Beverly L.;Wolverton, Mimi</t>
  </si>
  <si>
    <t>LB2341 -- .B694 2009eb</t>
  </si>
  <si>
    <t>371.1/11082</t>
  </si>
  <si>
    <t>African American women college administrators.</t>
  </si>
  <si>
    <t>Becoming Socialized in Student Affairs Administration : A Guide for New Professionals and Their Supervisors</t>
  </si>
  <si>
    <t>Tull, Ashley;Hirt, Joan B.;Saunders, Sue</t>
  </si>
  <si>
    <t>LB2342.92 -- .B436 2009eb</t>
  </si>
  <si>
    <t>378.1/970715</t>
  </si>
  <si>
    <t>Student affairs administrators--In-service training--United States.</t>
  </si>
  <si>
    <t>Blueprint for Learning : Constructing College Courses to Facilitate, Assess, and Document Learning</t>
  </si>
  <si>
    <t>Richlin, Laurie</t>
  </si>
  <si>
    <t>LB2361 -- .R534 2006eb</t>
  </si>
  <si>
    <t>Education, Higher--Curricula.</t>
  </si>
  <si>
    <t>Designing Better Engineering Education Through Assessment : A Practical Resource for Faculty and Department Chairs on Using Assessment and ABET Criteria to Improve Student Learning</t>
  </si>
  <si>
    <t>Spurlin, Joni;Rajala, Sarah A.;Lavelle, Jerome P.</t>
  </si>
  <si>
    <t>T65.3 -- .D475 2008eb</t>
  </si>
  <si>
    <t>Engineering--Study and teaching (Continuing education)</t>
  </si>
  <si>
    <t>Alternative Pathways to the Baccalaureate : Do Community Colleges Offer a Viable Solution to the Nation's Knowledge Deficit?</t>
  </si>
  <si>
    <t>Remington, Nancy;Remington, Ronald</t>
  </si>
  <si>
    <t>LB2328.A365 2013</t>
  </si>
  <si>
    <t>Bachelor of arts degree - Canada</t>
  </si>
  <si>
    <t>Linked Courses for General Education and Integrative Learning : A Guide for Faculty and Administrators</t>
  </si>
  <si>
    <t>Soven, Margot;Lehr, Dolores;Naynaha, Siskanna;Olson, Wendy</t>
  </si>
  <si>
    <t>LB2361.5 -- .L565 2013eb</t>
  </si>
  <si>
    <t>Interdisciplinary approach in education--United States</t>
  </si>
  <si>
    <t>Building a Pathway to Student Learning : A How-To Guide to Course Design</t>
  </si>
  <si>
    <t>Jones, Steven G.;Noyd, Robert K.;Sagendorf, Kenneth S.</t>
  </si>
  <si>
    <t>LB2361.5 -- .J664 2014eb</t>
  </si>
  <si>
    <t>Education, Higher--Curricula--United States</t>
  </si>
  <si>
    <t>The Coach's Guide for Women Professors : Who Want a Successful Career and a Well-Balanced Life</t>
  </si>
  <si>
    <t>Seltzer, Rena</t>
  </si>
  <si>
    <t>LB2332.3 -- .S458 2015eb</t>
  </si>
  <si>
    <t>Women college teachers</t>
  </si>
  <si>
    <t>The Art of Changing the Brain : Enriching the Practice of Teaching by Exploring the Biology of Learning</t>
  </si>
  <si>
    <t>LB1057 -- .Z855 2002eb</t>
  </si>
  <si>
    <t>Teaching--Psychological aspects.</t>
  </si>
  <si>
    <t>The Impact of Culture on Organizational Decision-Making : Theory and Practice in Higher Education</t>
  </si>
  <si>
    <t>Universities and colleges--Administration--Decision making--Social aspects.</t>
  </si>
  <si>
    <t>The Latina/o Pathway to the Ph. D. : Abriendo Caminos</t>
  </si>
  <si>
    <t>Castellanos, Jeanett;Gloria, Alberta M.;Kamimura, Mark</t>
  </si>
  <si>
    <t>378.1/55/08968073</t>
  </si>
  <si>
    <t>Making the Implicit Explicit : Creating Performance Expectations for the Dissertation</t>
  </si>
  <si>
    <t>Bloomfield</t>
  </si>
  <si>
    <t>Lovitts, Barbara E.</t>
  </si>
  <si>
    <t>LB2369 -- .L685 2007eb</t>
  </si>
  <si>
    <t>It's All about Jesus! : Faith As an Oppositional Collegiate Subculture</t>
  </si>
  <si>
    <t>Magolda, Peter M.;Gross, Kelsey Ebben</t>
  </si>
  <si>
    <t>LC383 -- .M346 2009eb</t>
  </si>
  <si>
    <t>Church and college--United States.</t>
  </si>
  <si>
    <t>How to Get the Teaching Job You Want : The Complete Guide for College Graduates, Teachers Changing Schools, Returning Teachers and Career Changers</t>
  </si>
  <si>
    <t>Feirsen, Robert;Weitzman, Seth</t>
  </si>
  <si>
    <t>LB1780 -- .F457 2001eb</t>
  </si>
  <si>
    <t>371.1/0023/73</t>
  </si>
  <si>
    <t>Teachers--Employment--United States--Handbooks, manuals, etc.</t>
  </si>
  <si>
    <t>Learning with the Community : Concepts and Models for Service-Learning in Teacher Education</t>
  </si>
  <si>
    <t>Erickson, Joseph;Anderson, Jeffrey B.</t>
  </si>
  <si>
    <t>LC220.5 -- .L437 2005eb</t>
  </si>
  <si>
    <t>Service learning--United States.</t>
  </si>
  <si>
    <t>Strangers of the Academy : Asian Women Scholars in Higher Education</t>
  </si>
  <si>
    <t>Li, Guofang;Beckett, Gulbahar H.</t>
  </si>
  <si>
    <t>Asian American women college teachers--United States</t>
  </si>
  <si>
    <t>Assessing Student Competence in Accredited Disciplines : Pioneering Approaches to Assessment in Higher Education</t>
  </si>
  <si>
    <t>Palomba, Catherine A.;Banta, Trudy W.</t>
  </si>
  <si>
    <t>LC1072.S73 -- .A874 2001eb</t>
  </si>
  <si>
    <t>Professional education--Standards.</t>
  </si>
  <si>
    <t>Beyond the Tower : Concepts and Models for Service-Learning in Philosophy</t>
  </si>
  <si>
    <t>Lisman, C. David;Harvey, Irene E.</t>
  </si>
  <si>
    <t>B52 -- .B496 2006eb</t>
  </si>
  <si>
    <t>Philosophy--Study and teaching (Higher)--United States--Social aspects.</t>
  </si>
  <si>
    <t>Caring and Community : Concepts and Models for Service-Learning in Nursing</t>
  </si>
  <si>
    <t>Norbeck, Jane S.;Connolly, Charlene;Koerner, JoEllen</t>
  </si>
  <si>
    <t>RT73 -- .C375 2008eb</t>
  </si>
  <si>
    <t>Nursing--Study and teaching.</t>
  </si>
  <si>
    <t>Connecting Non Full-Time Faculty to Institutional Mission : A Guidebook for College/University Administrators and Faculty Developers</t>
  </si>
  <si>
    <t>Baron-Nixon, Leora</t>
  </si>
  <si>
    <t>LB2331.72 -- .B376 2007eb</t>
  </si>
  <si>
    <t>College teachers, Part-time--United States.</t>
  </si>
  <si>
    <t>Connecting Past and Present : Concepts and Models for Service-Learning in History</t>
  </si>
  <si>
    <t>Harkavy, Ira;Donovan, Bill M.</t>
  </si>
  <si>
    <t>D16.2 -- .C666 2005eb</t>
  </si>
  <si>
    <t>907/.1/1</t>
  </si>
  <si>
    <t>History--Study and teaching (Higher)</t>
  </si>
  <si>
    <t>Creating and Maintaining Safe College Campuses : A Sourcebook for Enhancing and Evaluating Safety Programs</t>
  </si>
  <si>
    <t>Terrell, Melvin Cleveland;Jackson, Jerlando F. L.</t>
  </si>
  <si>
    <t>Universities and colleges--Security measures--United States</t>
  </si>
  <si>
    <t>Developing Outcomes-Based Assessment for Learner-Centered Education : A Faculty Introduction</t>
  </si>
  <si>
    <t>Driscoll, Amy;Wood, Swarup</t>
  </si>
  <si>
    <t>LB3051 -- .D757 2007eb</t>
  </si>
  <si>
    <t>378.1/664</t>
  </si>
  <si>
    <t>Ebony Towers in Higher Education : The Evolution, Mission, and Presidency of Historically Black Colleges and Universities</t>
  </si>
  <si>
    <t>Ricard, Ronyelle Bertrand;Brown II, M. Christopher</t>
  </si>
  <si>
    <t>LC2781 -- .R533 2008eb</t>
  </si>
  <si>
    <t>African American universities and colleges.</t>
  </si>
  <si>
    <t>Establishing the Family-Friendly Campus : Models for Effective Practice</t>
  </si>
  <si>
    <t>Lester, Jaime;Sallee, Margaret</t>
  </si>
  <si>
    <t>LB2335.8 -- .E883 2009eb</t>
  </si>
  <si>
    <t>College teachers--United States--Leaves of absence.</t>
  </si>
  <si>
    <t>From Oppression to Grace : Women of Color and Their Dilemmas Within the Academy</t>
  </si>
  <si>
    <t>Berry, Theodorea Regina;Mizelle, Nathalie</t>
  </si>
  <si>
    <t>LC212.82 -- .S478 2006eb</t>
  </si>
  <si>
    <t>379.1/9822</t>
  </si>
  <si>
    <t>Sex discrimination in higher education--United States.</t>
  </si>
  <si>
    <t>Journey to the Ph. D. : How to Navigate the Process As African Americans</t>
  </si>
  <si>
    <t>Green, Anna L.;Scott, LeKita V.</t>
  </si>
  <si>
    <t>LC2781 -- .J687 2003eb</t>
  </si>
  <si>
    <t>African Americans--Education (Graduate)</t>
  </si>
  <si>
    <t>Learning by Doing : Concepts and Models for Service-Learning in Accounting</t>
  </si>
  <si>
    <t>Rama, D. V.</t>
  </si>
  <si>
    <t>HF5630 -- .L437 2007eb</t>
  </si>
  <si>
    <t>Accounting--Study and teaching (Higher)</t>
  </si>
  <si>
    <t>Letters from the Future : Linking Students and Teaching with the Diversity of Everyday Life</t>
  </si>
  <si>
    <t>Jarmon, Brenda;Brunson, Deborah A.;Lampl, Linda L.</t>
  </si>
  <si>
    <t>LC1099.3 -- .L488 2007eb</t>
  </si>
  <si>
    <t>Multicultural education--United States.</t>
  </si>
  <si>
    <t>Research, Advocacy, and Political Engagement : Multidisciplinary Perspectives Through Service Learning</t>
  </si>
  <si>
    <t>Tannenbaum, Sally</t>
  </si>
  <si>
    <t>LC221.2.C2 -- .R474 2008eb</t>
  </si>
  <si>
    <t>Service learning--California.</t>
  </si>
  <si>
    <t>Rethinking Teaching in Higher Education : From a Course Design Workshop to a Faculty Development Framework</t>
  </si>
  <si>
    <t>Saroyan, Alenoush;Amundsen, Cheryl</t>
  </si>
  <si>
    <t>College teachers--In-service training.</t>
  </si>
  <si>
    <t>Standing on the Outside Looking In : Underrepresented Students' Experiences in Advanced Degree Programs</t>
  </si>
  <si>
    <t>Howard-Hamilton, Mary F.;Morelon-Quainoo, Carla L.;Johnson, Susan D.;Winkle-Wagner, Rachelle;Santiague, Lilia;Winkle-Wagner, Rachelle;Santiague, Lilia;Pope, Raechele L.</t>
  </si>
  <si>
    <t>Stylus Higher Education Policy</t>
  </si>
  <si>
    <t>LC3727 -- .S736 2009eb</t>
  </si>
  <si>
    <t>Minorities--Education (Graduate)--United States.</t>
  </si>
  <si>
    <t>State Postsecondary Education Research : New Methods to Inform Policy and Practice</t>
  </si>
  <si>
    <t>Heller, Donald E.;Shaw, Kathleen M.</t>
  </si>
  <si>
    <t>Stylus Higher Education Policy Series</t>
  </si>
  <si>
    <t>LC173 -- .S738 2007eb</t>
  </si>
  <si>
    <t>Higher education and state--United States.</t>
  </si>
  <si>
    <t>Student Success Modeling : Elementary School to College</t>
  </si>
  <si>
    <t>Padilla, Raymond V.</t>
  </si>
  <si>
    <t>School improvement programs--United States--Case studies.</t>
  </si>
  <si>
    <t>Taking Ownership of Accreditation : Assessment Processes That Promote Institutional Improvement and Faculty Engagement</t>
  </si>
  <si>
    <t>Driscoll, Amy;Cordero De Noriega, Diane</t>
  </si>
  <si>
    <t>LB2810.3 -- .T355 2006eb</t>
  </si>
  <si>
    <t>Accreditation (Education)--United States.</t>
  </si>
  <si>
    <t>The Case for Affirmative Action on Campus : Concepts of Equity, Considerations for Practice</t>
  </si>
  <si>
    <t>Zamani-Gallaher, Eboni M.;O'Neil Green, Denise;Stovall, David O.;Brown II, M. Christopher</t>
  </si>
  <si>
    <t>Affirmative action programs in education--United States</t>
  </si>
  <si>
    <t>Education; Social Science; Law</t>
  </si>
  <si>
    <t>The Complete Academic Search Manual : A Systematic Approach to Successful and Inclusive Hiring</t>
  </si>
  <si>
    <t>Vicker, Lauren A.;Royer, Harriette J.</t>
  </si>
  <si>
    <t>LB2331.72 -- .V535 2006eb</t>
  </si>
  <si>
    <t>College teachers--Selection and appointment--United States--Handbooks, manuals, etc.</t>
  </si>
  <si>
    <t>The Power of Problem-Based Learning : A Practical How to for Teaching Undergraduate Courses in Any Discipline</t>
  </si>
  <si>
    <t>Duch, Barbara J.;Groh, Susan E.;Allen, Deborah E.</t>
  </si>
  <si>
    <t>LB1027.42 -- .P694 2001eb</t>
  </si>
  <si>
    <t>Problem-based learning.</t>
  </si>
  <si>
    <t>Thirteen Strategies to Measure College Teaching : A Consumer's Guide to Rating Scale Construction, Assessment, and Decision-Making for Faculty, Administrators, and Clinicians</t>
  </si>
  <si>
    <t>Berk, Ronald A.</t>
  </si>
  <si>
    <t>LB2333 -- .B475 2006eb</t>
  </si>
  <si>
    <t>College teachers--Rating of</t>
  </si>
  <si>
    <t>Using Simulations to Promote Learning in Higher Education : An Introduction</t>
  </si>
  <si>
    <t>Hertel, John Paul;Millis, Barbara</t>
  </si>
  <si>
    <t>Enhancing Learning Series</t>
  </si>
  <si>
    <t>LB1029.S53 -- .H478 2002eb</t>
  </si>
  <si>
    <t>Education--Simulation methods.</t>
  </si>
  <si>
    <t>EService-Learning : Creating Experiential Learning and Civic Engagement Through Online and Hybrid Courses</t>
  </si>
  <si>
    <t>Strait, Jean R.;Nordyke, Katherine</t>
  </si>
  <si>
    <t>LC220.5 -- .E847 2015eb</t>
  </si>
  <si>
    <t>Service learning--Technological innovations</t>
  </si>
  <si>
    <t>Taking College Teaching Seriously - Pedagogy Matters! : Fostering Student Success Through Faculty-Centered Practice Improvement</t>
  </si>
  <si>
    <t>Mellow, Gail O.;Woolis, Diana D.;Klages-Bombich, Marisa;Restler, Susan</t>
  </si>
  <si>
    <t>LB2331 -- .T355 2015eb</t>
  </si>
  <si>
    <t>Intersectionality in Educational Research</t>
  </si>
  <si>
    <t>Davis, Dannielle Joy;Olive, James L.;Brunn-Bevel, Rachelle J.</t>
  </si>
  <si>
    <t>LB1028 -- .I584 2015eb</t>
  </si>
  <si>
    <t>Education--Research</t>
  </si>
  <si>
    <t>Working Side by Side : Creating Alternative Breaks As Catalysts for Global Learning, Student Leadership, and Social Change</t>
  </si>
  <si>
    <t>Sumka, Shoshanna;Porter, Melody Christine;Piacitelli, Jill</t>
  </si>
  <si>
    <t>LC220.5 -- .S865 2015eb</t>
  </si>
  <si>
    <t>Service learning.</t>
  </si>
  <si>
    <t>Demystifying Outcomes Assessment for International Educators : A Practical Approach</t>
  </si>
  <si>
    <t>Deardorff, Darla K.</t>
  </si>
  <si>
    <t>LB2822.75.D43 2015</t>
  </si>
  <si>
    <t>Community Partner Guide to Campus Collaborations : Enhance Your Community by Becoming a Co-Educator with Colleges and Universities</t>
  </si>
  <si>
    <t>Cress, Christine M.;Stokamer, Stephanie T.;Kaufman, Joyce P.</t>
  </si>
  <si>
    <t>LC237 -- .C747 2015eb</t>
  </si>
  <si>
    <t>372.42/5</t>
  </si>
  <si>
    <t>Community and college.</t>
  </si>
  <si>
    <t>Hispanic-Serving Institutions in American Higher Education : Their Origin, and Present and Future Challenges</t>
  </si>
  <si>
    <t>Mendez, Jesse Perez;Bonner II, Fred A.;Méndez-Negrete, Josephine;Palmer, Robert T.</t>
  </si>
  <si>
    <t>LC2670.6 -- .H577 2015eb</t>
  </si>
  <si>
    <t>International Student Engagement : Strategies for Creating Inclusive, Connected, and Purposeful Campus Environments</t>
  </si>
  <si>
    <t>Glass, Chris R.;Wongtrirat, Rachawan;Buus, Stephanie</t>
  </si>
  <si>
    <t>LB2376.4 -- .G537 2015eb</t>
  </si>
  <si>
    <t>378.1/982691</t>
  </si>
  <si>
    <t>Students, Foreign--United States</t>
  </si>
  <si>
    <t>A Guide to Becoming a Scholarly Practitioner in Student Affairs</t>
  </si>
  <si>
    <t>Hatfield, Lisa J.;Wise, Vicki L.</t>
  </si>
  <si>
    <t>LB2342.9.H38 2015</t>
  </si>
  <si>
    <t>Student affairs administrators</t>
  </si>
  <si>
    <t>Online, Blended, and Distance Education in Schools : Building Successful Programs</t>
  </si>
  <si>
    <t>Clark, Tom;Barbour, Michael</t>
  </si>
  <si>
    <t>LB1028.5 -- .O555 2015eb</t>
  </si>
  <si>
    <t>Putting the Local in Global Education : Models for Transformative Learning Through Domestic off-Campus Programs</t>
  </si>
  <si>
    <t>Sobania, Neal W.</t>
  </si>
  <si>
    <t>LC6251 -- .P888 2015eb</t>
  </si>
  <si>
    <t>University extension--United States.</t>
  </si>
  <si>
    <t>Faculty Mentoring : A Practical Manual for Mentors, Mentees, Administrators, and Faculty Developers</t>
  </si>
  <si>
    <t>Phillips, Susan L.;Dennison, Susan T.</t>
  </si>
  <si>
    <t>LB1731.4 -- .P455 2015eb</t>
  </si>
  <si>
    <t>Teaching Undergraduate Science : A Guide to Overcoming Obstacles to Student Learning</t>
  </si>
  <si>
    <t>Hodges, Linda C.</t>
  </si>
  <si>
    <t>Q181 -- .H634 2015eb</t>
  </si>
  <si>
    <t>Science--Study and teaching (Higher)</t>
  </si>
  <si>
    <t>Disrupting the Culture of Silence : Confronting Gender Inequality and Making Change in Higher Education</t>
  </si>
  <si>
    <t>De Welde, Kristine;Stepnick, Andi</t>
  </si>
  <si>
    <t>LB2332.32 -- .D577 2015eb</t>
  </si>
  <si>
    <t>The Department Chair As Transformative Diversity Leader : Building Inclusive Learning Environments in Higher Education</t>
  </si>
  <si>
    <t>LB2341 -- .C486 2015eb</t>
  </si>
  <si>
    <t>Universities and colleges--United States--Administration--Departments</t>
  </si>
  <si>
    <t>Specifications Grading : Restoring Rigor, Motivating Students, and Saving Faculty Time</t>
  </si>
  <si>
    <t>Nilson, Linda B.</t>
  </si>
  <si>
    <t>LB2368 -- .N557 2015eb</t>
  </si>
  <si>
    <t>Education, Higher--Standards--United States.</t>
  </si>
  <si>
    <t>Breaking In : Women's Accounts of How Choices Shape STEM Careers</t>
  </si>
  <si>
    <t>Wolverton, Ann;Nagaoka, Lisa;Wolverton, Mimi</t>
  </si>
  <si>
    <t>Q130 -- .W658 2015eb</t>
  </si>
  <si>
    <t>509.2/52</t>
  </si>
  <si>
    <t>Women in science.</t>
  </si>
  <si>
    <t>Making Meaning : Embracing Spirituality, Faith, Religion, and Life Purpose in Student Affairs</t>
  </si>
  <si>
    <t>Small, Jenny L.</t>
  </si>
  <si>
    <t>LB2342.92 -- .M355 2015eb</t>
  </si>
  <si>
    <t>Student affairs services--Moral and ethical aspects--United States.</t>
  </si>
  <si>
    <t>Closing the Opportunity Gap : Identity-Conscious Strategies for Retention and Student Success</t>
  </si>
  <si>
    <t>Pendakur, Vijay</t>
  </si>
  <si>
    <t>LC148.15 -- .C55 2016eb</t>
  </si>
  <si>
    <t>378.1/6913</t>
  </si>
  <si>
    <t>College dropouts--Prevention</t>
  </si>
  <si>
    <t>Intersectionality in Action : A Guide for Faculty and Campus Leaders for Creating Inclusive Classrooms and Institutions</t>
  </si>
  <si>
    <t>Felten, Peter;Barnett, Brooke</t>
  </si>
  <si>
    <t>LC1201 -- .I56 2015eb</t>
  </si>
  <si>
    <t>Student Affairs Assessment : Theory to Practice</t>
  </si>
  <si>
    <t>Henning, Gavin W.;Roberts, Darby;Bresciani Ludvik, Marilee J.</t>
  </si>
  <si>
    <t>LB2342.92 -- .H46 2016eb</t>
  </si>
  <si>
    <t>Of Education, Fishbowls, and Rabbit Holes : Rethinking Teaching and Liberal Education for an Interconnected World</t>
  </si>
  <si>
    <t>LB2322.2 -- .F74 2016eb</t>
  </si>
  <si>
    <t>Lines Were Drawn : Remembering Court-Ordered Integration at a Mississippi High School</t>
  </si>
  <si>
    <t>Horn, Teena F.;Huffman, Alan;Jones, John Griffin;Barksdale, Claiborne</t>
  </si>
  <si>
    <t>379.2/630976251</t>
  </si>
  <si>
    <t>Method to the Madness : A Common Core Guide to Creating Critical Thinkers Through the Study of Literature</t>
  </si>
  <si>
    <t>James, B. H.;James, Elizabeth</t>
  </si>
  <si>
    <t>PN59.J36 2016</t>
  </si>
  <si>
    <t>English literature - Study and teaching (Secondary) - United States</t>
  </si>
  <si>
    <t>Promoting Student Happiness : Positive Psychology Interventions in Schools</t>
  </si>
  <si>
    <t>Suldo, Shannon M.</t>
  </si>
  <si>
    <t>LB3430 -- .S853 2016eb</t>
  </si>
  <si>
    <t>School mental health services</t>
  </si>
  <si>
    <t>Leading Futures : Global Perspectives on Educational Leadership</t>
  </si>
  <si>
    <t>Harris, Alma;Jones, Michelle S.</t>
  </si>
  <si>
    <t>LB2806 -- .L433 2016eb</t>
  </si>
  <si>
    <t>Invitational Education and Practice in Higher Education : An International Perspective</t>
  </si>
  <si>
    <t>Gregory, Sheila T.;Edwards, Jenny;Abell, Natalie M.;Allen, Tina;Boersma, Emily;Brown, Hilary;Cain, Melissa A.;Chicone, Rhonda;Chow, Chiu Woo;Chung, Yiu Bun</t>
  </si>
  <si>
    <t>LB2805 -- .I585 2016eb</t>
  </si>
  <si>
    <t>Gratitude : A Way of Teaching</t>
  </si>
  <si>
    <t>Griffith, Owen M.</t>
  </si>
  <si>
    <t>JF801</t>
  </si>
  <si>
    <t>Inspiration Is Key : Unconventional Strategies to Motivate and Support Students</t>
  </si>
  <si>
    <t>Sgambato, Victor</t>
  </si>
  <si>
    <t>LB1065.S49 2016</t>
  </si>
  <si>
    <t>Your Child's Social and Emotional Well-Being : A Complete Guide for Parents and Those Who Help Them</t>
  </si>
  <si>
    <t>Dacey, John S.;Fiore, Lisa B.;Brion-Meisels, Steven</t>
  </si>
  <si>
    <t>649/.7</t>
  </si>
  <si>
    <t>Social skills in children.</t>
  </si>
  <si>
    <t>Philosophy East / West : Exploring Intersections Between Educational and Contemplative Practices</t>
  </si>
  <si>
    <t>Ergas, Oren;Todd, Sharon</t>
  </si>
  <si>
    <t>Education--Philosophy</t>
  </si>
  <si>
    <t>Philosophy; Education; Psychology</t>
  </si>
  <si>
    <t>Great Myths of Education and Learning</t>
  </si>
  <si>
    <t>Holmes, Jeffrey D.</t>
  </si>
  <si>
    <t>Great Myths of Psychology Series</t>
  </si>
  <si>
    <t>Citizenship for the Learning Society : Europe, Subjectivity, and Educational Research</t>
  </si>
  <si>
    <t>Hodgson, Naomi</t>
  </si>
  <si>
    <t>370.11/5094</t>
  </si>
  <si>
    <t>Citizenship--Study and teaching--Europe</t>
  </si>
  <si>
    <t>Work Hard, Be Hard : Journeys Through "No Excuses" Teaching</t>
  </si>
  <si>
    <t>Horn, Jim</t>
  </si>
  <si>
    <t>Charter schools--United States--Case studies</t>
  </si>
  <si>
    <t>Fall down, Stand Up : Advice for Aspiring Principals</t>
  </si>
  <si>
    <t>LB2831.92.T45 2015</t>
  </si>
  <si>
    <t>School principals - Professional relationships - United States</t>
  </si>
  <si>
    <t>Spirituality Research Studies in Higher Education</t>
  </si>
  <si>
    <t>Hicks, Terence</t>
  </si>
  <si>
    <t>Spirituality--Study and teaching.</t>
  </si>
  <si>
    <t>Mindfulness : How School Leaders Can Reduce Stress and Thrive on the Job</t>
  </si>
  <si>
    <t>Wells, Caryn</t>
  </si>
  <si>
    <t>LB2806.W424 2016</t>
  </si>
  <si>
    <t>School administrators - Job stress</t>
  </si>
  <si>
    <t>Race and Pedagogy : Creating Collaborative Spaces for Teacher Transformations</t>
  </si>
  <si>
    <t>Adams, Susan R.;Buffington-Adams, Jamie</t>
  </si>
  <si>
    <t>LC212.A33 2016</t>
  </si>
  <si>
    <t>Culturally relevant pedagogy - United States</t>
  </si>
  <si>
    <t>Educação e(m) Democracia</t>
  </si>
  <si>
    <t>U.Porto Edições</t>
  </si>
  <si>
    <t>Neto, Luisa</t>
  </si>
  <si>
    <t>LC191.8.B6 -- .N486 2015eb</t>
  </si>
  <si>
    <t>Education, Higher--Social aspects--Brazil.</t>
  </si>
  <si>
    <t>Common Sense Questions about Tests : The Answers Can Reveal Essential Steps for Improvement</t>
  </si>
  <si>
    <t>LB3051.G515 2015</t>
  </si>
  <si>
    <t>From Power Struggles to Conflict Resolution : Transform Your School's Culture Today</t>
  </si>
  <si>
    <t>Case, Janice;Wiseman, Rosalind</t>
  </si>
  <si>
    <t>LB3011</t>
  </si>
  <si>
    <t>Innovative Strategies in Technical and Vocational Education and Training for Accelerated Human Resource Development in South Asia: Sri Lanka : Sri Lanka</t>
  </si>
  <si>
    <t>Asian Development Bank</t>
  </si>
  <si>
    <t>PHILIPPINES</t>
  </si>
  <si>
    <t>Innovative Strategies in Technical and Vocational Education and Training and Higher Education in South Asia Series</t>
  </si>
  <si>
    <t>LC1047.S72I56 2015</t>
  </si>
  <si>
    <t>Vocational education--Sri Lanka. ; Vocational education--Technological innovations--Sri Lanka. ; Human capital--Sri Lanka.</t>
  </si>
  <si>
    <t>Common Core : Using Global Children's Literature and Digital Technologies</t>
  </si>
  <si>
    <t>Saine, Paula</t>
  </si>
  <si>
    <t>LB1575.S26 2016</t>
  </si>
  <si>
    <t>Language arts (Elementary) - Computer-assisted instruction</t>
  </si>
  <si>
    <t>Beyond Dropping Out : Overcoming the Pitfalls of School Culture</t>
  </si>
  <si>
    <t>Dropouts</t>
  </si>
  <si>
    <t>Programming in the Primary Grades : Beyond the Hour of Code</t>
  </si>
  <si>
    <t>Patterson, Sam</t>
  </si>
  <si>
    <t>LB1028.5.P327 2016</t>
  </si>
  <si>
    <t>Computer programming - Study and teaching (Primary)</t>
  </si>
  <si>
    <t>The Singing Irish : A History of the Notre Dame Glee Club</t>
  </si>
  <si>
    <t>Anderson, Michael Alan</t>
  </si>
  <si>
    <t>782.4206/077289</t>
  </si>
  <si>
    <t>The Fog of Reform : Getting Back to a Place Called School</t>
  </si>
  <si>
    <t>Goens, George A.</t>
  </si>
  <si>
    <t>LB2822.82.G59 2016</t>
  </si>
  <si>
    <t>Public schools - United States - Evaluation</t>
  </si>
  <si>
    <t>Breakthrough Principals : A Step-By-Step Guide to Building Stronger Schools</t>
  </si>
  <si>
    <t>Desravines, Jean;Aquino, Jaime;Fenton, Benjamin</t>
  </si>
  <si>
    <t>LB2831.92.D47 2016</t>
  </si>
  <si>
    <t>School principals--United States. ; Educational leadership--United States. ; School management and organization--United States.</t>
  </si>
  <si>
    <t>Small Teaching : Everyday Lessons from the Science of Learning</t>
  </si>
  <si>
    <t>LB1063.L36 2016</t>
  </si>
  <si>
    <t>The Art of Coaching Teams : Building Resilient Communities That Transform Schools</t>
  </si>
  <si>
    <t>Teaching teams--United States</t>
  </si>
  <si>
    <t>Peace Jobs : A Student's Guide to Starting a Career Working for Peace</t>
  </si>
  <si>
    <t>Smith, David J.</t>
  </si>
  <si>
    <t>JZ5534 .S64 2016</t>
  </si>
  <si>
    <t>303.6/6023</t>
  </si>
  <si>
    <t>Peace-building. ; Peace-Study and teaching. ; Vocational guidance.</t>
  </si>
  <si>
    <t>News Media and the Neoliberal Privatization of Education</t>
  </si>
  <si>
    <t>Wubbena, Zane C.;Ford, Derek R.;Porfilio, Brad J.</t>
  </si>
  <si>
    <t>P96.E29 N48 2016</t>
  </si>
  <si>
    <t>Mass media and education. ; Communication and education. ; Privatization in education.</t>
  </si>
  <si>
    <t>Intercultural Competence in Instructed Language Learning : Bridging Theory and Practice</t>
  </si>
  <si>
    <t>Garrett-Rucks, Paula</t>
  </si>
  <si>
    <t>P53.255 .G37 2016</t>
  </si>
  <si>
    <t>Intercultural communication-Study and teaching. ; Language and languages-Study and teaching. ; Culture-Study and teaching. ; Language and culture. ; Multicultural education.</t>
  </si>
  <si>
    <t>The Principal Influence : A Framework for Developing Leadership Capacity in Principals</t>
  </si>
  <si>
    <t>Hall, Pete;Childs-Bowen, Deborah;Cunningham-Morris, Ann;Pajardo, Phyllis;Simeral, Alisa</t>
  </si>
  <si>
    <t>Tapping the Power of Personalized Learning : A Roadmap for School Leaders</t>
  </si>
  <si>
    <t>Rickabaugh, James</t>
  </si>
  <si>
    <t>Excellence Through Equity : Five Principles of Courageous Leadership to Guide Achievement for Every Student</t>
  </si>
  <si>
    <t>Blankstein, Alan M.;Noguera, Pedro;Kelly, Lorena</t>
  </si>
  <si>
    <t>Prävention von sexueller Gewalt an der Schule für geistig Behinderte: Eignung verschiedener Materialien für den Unterricht</t>
  </si>
  <si>
    <t>Nägele, Kathrin</t>
  </si>
  <si>
    <t>HV6570 -- .N344 2015eb</t>
  </si>
  <si>
    <t>Child sexual abuse.</t>
  </si>
  <si>
    <t>Aktive Pausen für die Klassen 5-7: Erste Schritte eines Gymnasiums auf dem Weg zu einer bewegten Schule</t>
  </si>
  <si>
    <t>Reuter, Stephanie</t>
  </si>
  <si>
    <t>GV709.2 -- .R488 2015eb</t>
  </si>
  <si>
    <t>Sports for children.</t>
  </si>
  <si>
    <t>Wirksamkeit der stationären Jugendhilfe: Ergebnisse einer Pilotstudie</t>
  </si>
  <si>
    <t>Eitle, Marcel</t>
  </si>
  <si>
    <t>HQ796 -- .E385 2016eb</t>
  </si>
  <si>
    <t>Youth development.</t>
  </si>
  <si>
    <t>Der Stellenwert der schulischen Berufsorientierung aus Sicht von Jugendlichen: Was kann Schule verändern, damit Jugendliche eine passende Berufswahl treffen?</t>
  </si>
  <si>
    <t>Hübert, Jonathan</t>
  </si>
  <si>
    <t>LC1037 -- .H347 2016eb</t>
  </si>
  <si>
    <t>Career education.</t>
  </si>
  <si>
    <t>What Would My Class Look Like If I Believed in Myself More?</t>
  </si>
  <si>
    <t>Orange, Carolyn</t>
  </si>
  <si>
    <t>LB2840.O73 2016</t>
  </si>
  <si>
    <t>Teachers - Psychology</t>
  </si>
  <si>
    <t>Learning from Latino Role Models : Inspire Students Through Biographies, Instructional Activities, and Creative Assignments</t>
  </si>
  <si>
    <t>E184.S75C357 2016</t>
  </si>
  <si>
    <t>Role models - Study and teaching</t>
  </si>
  <si>
    <t>John Dewey and the Decline of American Education</t>
  </si>
  <si>
    <t>ISI Books</t>
  </si>
  <si>
    <t>Edmondson, Henry, III</t>
  </si>
  <si>
    <t>LB875.D5.E366 2006</t>
  </si>
  <si>
    <t>Better Feedback for Better Teaching : A Practical Guide to Improving Classroom Observations</t>
  </si>
  <si>
    <t>Archer, Jeff;Cantrell, Steven;Holtzman, Steven L.;Joe, Jilliam N.;Tocci, Cynthia M.;Wood, Jess</t>
  </si>
  <si>
    <t>Teacher effectiveness--United States--Handbooks, manuals, etc</t>
  </si>
  <si>
    <t>Teaching and Training for Global Engineering : Perspectives on Culture and Professional Communication Practices</t>
  </si>
  <si>
    <t>Wiley-IEEE Press</t>
  </si>
  <si>
    <t>St. Amant, Kirk;Flammia, Madelyn</t>
  </si>
  <si>
    <t>IEEE PCS Professional Engineering Communication Series</t>
  </si>
  <si>
    <t>Engineering--Vocational guidance.</t>
  </si>
  <si>
    <t>Doing English in Asia : Global Literature and Culture</t>
  </si>
  <si>
    <t>Haseltine, Patricia;Ma, Sheng-mei;Chen, Yilin;Cheng, Elyssa Y.;Ku, Emerald C. L.;Matsumoto, Kazuhito;Montoneri, Bernard;Oritz, Will P.;Ralph, Iris;Wang, I-Chun</t>
  </si>
  <si>
    <t>PE1068.A7D65 2016</t>
  </si>
  <si>
    <t>Literature and globalization - Asia</t>
  </si>
  <si>
    <t>Action Research in the Classroom : Helping Teachers Assess and Improve Their Work</t>
  </si>
  <si>
    <t>Jacobs, Mary Ann;Cooper, Bruce S.</t>
  </si>
  <si>
    <t>LB1028.24.J33 2016</t>
  </si>
  <si>
    <t>The Shape and Shaping of the College and University in America : A Lively Experiment</t>
  </si>
  <si>
    <t>LA226.N53 2016</t>
  </si>
  <si>
    <t>Universities and colleges--United States--History. ; Education, Higher--United States--History. ; Education, Higher--Aims and objectives--United States--History.</t>
  </si>
  <si>
    <t>International Handbook of Financial Literacy</t>
  </si>
  <si>
    <t>Aprea, Carmela;Wuttke, Eveline;Breuer, Klaus;Koh, Noi Keng;Davies, Peter;Greimel-Fuhrmann, Bettina;Lopus, Jane S.</t>
  </si>
  <si>
    <t>Public finance</t>
  </si>
  <si>
    <t>From the Air Force to College : Transitioning from the Service to Higher Education</t>
  </si>
  <si>
    <t>Ventrone, Jillian;Hollis, Andrew</t>
  </si>
  <si>
    <t>UB357.V3415 2015</t>
  </si>
  <si>
    <t>Airmen - Education, Non-military - United States</t>
  </si>
  <si>
    <t>The Secrets of Timeless Teachers : Instruction That Works in Every Generation</t>
  </si>
  <si>
    <t>Adams, Jeremy S.</t>
  </si>
  <si>
    <t>LB1025.3.A375 2016</t>
  </si>
  <si>
    <t>The Education System Is Broken : Strategies to Rebuilding Hope, Lives, and Futures</t>
  </si>
  <si>
    <t>Tooley, Cathy S.</t>
  </si>
  <si>
    <t>LA217.2.T66 2016</t>
  </si>
  <si>
    <t>Transmitting the Ideal of Enlightenment : Chinese Universities since the Late Nineteenth Century</t>
  </si>
  <si>
    <t>Mak, Ricardo K. S.;S. Mak, Ricardo K.;Fan, Guangxin;Cheung, Chan-Fai;Kam, Michael Wing-Hin;Wah Man, Eva Kit;Pfister, Lauren F.;Kong Wong, Timothy Man;Yip, Ka-che</t>
  </si>
  <si>
    <t>Education, Higher - China - History - 19th century</t>
  </si>
  <si>
    <t>Rutgers Since 1945 : A History of the State University of New Jersey</t>
  </si>
  <si>
    <t>Clemens, Paul G. E.;Yanni, Carla</t>
  </si>
  <si>
    <t>LD4753</t>
  </si>
  <si>
    <t>378.9749/41</t>
  </si>
  <si>
    <t>Rutgers University-History. ; Rutgers University-Students-History.</t>
  </si>
  <si>
    <t>The Nation, Europe, and the World : Textbooks and Curricula in Transition</t>
  </si>
  <si>
    <t>Schissler, Hanna;Soysal, Yasemin Nuhoglu</t>
  </si>
  <si>
    <t>D16.2 .N29 2004</t>
  </si>
  <si>
    <t>907/.1</t>
  </si>
  <si>
    <t>History-Study and teaching. ; History-Textbooks. ; International education-Curricula. ; Place-based education-Curricula.</t>
  </si>
  <si>
    <t>Une Autre Idée du Bonheur de Marc Levy (Fiche de Lecture) : Analyse Complète et Résumé détaillé de L'oeuvre</t>
  </si>
  <si>
    <t>Short stories, French--History and criticism.</t>
  </si>
  <si>
    <t>L' Amour et les forêts d'Éric Reinhardt (Fiche de Lecture) : Analyse Complète et Résumé détaillé de L'oeuvre</t>
  </si>
  <si>
    <t>Authors, French--20th century.</t>
  </si>
  <si>
    <t>Magnus de Sylvie Germain (Fiche de Lecture) : Analyse Complète et Résumé détaillé de L'oeuvre</t>
  </si>
  <si>
    <t>Identity (Psychology)</t>
  </si>
  <si>
    <t>Une Vie à Coucher Dehors de Sylvain Tesson (Fiche de Lecture) : Analyse Complète et Résumé détaillé de L'oeuvre</t>
  </si>
  <si>
    <t>lePetitLitteraire;Quinaux, Éléonore</t>
  </si>
  <si>
    <t>Fate and fatalism in literature.</t>
  </si>
  <si>
    <t>Paris Est une Fête d'Ernest Hemingway (Fiche de Lecture) : Analyse Complète et Résumé détaillé de L'oeuvre</t>
  </si>
  <si>
    <t>lePetitLitteraire;Lhoste, Lucile</t>
  </si>
  <si>
    <t>Hemingway, Ernest, 1899-1961.--Moveable feast.</t>
  </si>
  <si>
    <t>Elle and Lui de Marc Levy (Analyse de L'oeuvre) : Analyse Complète et Résumé détaillé de L'oeuvre</t>
  </si>
  <si>
    <t>lePetitLitteraire;Dejonghe, Danny;Lohay, Noémie</t>
  </si>
  <si>
    <t>Man-woman relationships.</t>
  </si>
  <si>
    <t>Fiche de Lecture : Moi, Malala de Malala Yousafzai : Analyse Complète et Résumé détaillé de L'oeuvre</t>
  </si>
  <si>
    <t>Soumission de Michel Houellebecq (Fiche de Lecture) : Analyse Complète et Résumé détaillé de L'oeuvre</t>
  </si>
  <si>
    <t>lePetitLitteraire;De Smet, Chloé</t>
  </si>
  <si>
    <t>Veronika décide de Mourir de Paulo Coelho (Fiche de Lecture) : Analyse Complète et Résumé détaillé de L'oeuvre</t>
  </si>
  <si>
    <t>Coelho, Paulo--Criticism and interpretation.</t>
  </si>
  <si>
    <t>Apocalypse Bébé de Virginie Despentes (Fiche de Lecture) : Analyse Complète et Résumé détaillé de L'oeuvre</t>
  </si>
  <si>
    <t>lePetitLitteraire;Guillaume, Tom</t>
  </si>
  <si>
    <t>Despentes, Virginie, 1969---Apocalypse bebe.</t>
  </si>
  <si>
    <t>La Seconde Vie d'Abram Potz de Foulek Ringelheim (Fiche de Lecture) : Analyse Complète et Résumé détaillé de L'oeuvre</t>
  </si>
  <si>
    <t>Psychiatrists--Fiction.</t>
  </si>
  <si>
    <t>Comment Apprendre en S'amusant ?</t>
  </si>
  <si>
    <t>Haymann-Bloch, Carole;50minutes</t>
  </si>
  <si>
    <t>Famille Series</t>
  </si>
  <si>
    <t>Teaching. ; Education-Study and teaching.</t>
  </si>
  <si>
    <t>Va et Poste une Sentinelle d'Harper Lee (Fiche de Lecture) : Analyse Complète et Résumé détaillé de L'oeuvre</t>
  </si>
  <si>
    <t>Kill a mockingbird (Motion picture : 1962)</t>
  </si>
  <si>
    <t>Père Riche, Père Pauvre de Robert Kiyosaki (Book Review) : L'éducation Financière Selon un Millionnaire</t>
  </si>
  <si>
    <t>M'Barki, Myriam;50minutes</t>
  </si>
  <si>
    <t>Book Review Series</t>
  </si>
  <si>
    <t>Comment Tirer Parti D'Excel ? : Comprendre et Maîtriser le Tableur de Microsoft en 10 Fonctions</t>
  </si>
  <si>
    <t>Mommens-Valenduc, Priscillia;50minutes</t>
  </si>
  <si>
    <t>HF5548.4.M523 .M666 2015</t>
  </si>
  <si>
    <t>Microsoft Excel (Computer file) ; Electronic spreadsheets-Computer programs.</t>
  </si>
  <si>
    <t>Le Journal de Bridget Jones de Helen Fielding - la Trilogie (Fiche de Lecture) : Analyse Complète et Résumé détaillé de L'oeuvre</t>
  </si>
  <si>
    <t>lePetitLitteraire;Tellier, Oriane</t>
  </si>
  <si>
    <t>French fiction--Themes, motives.</t>
  </si>
  <si>
    <t>Student Activism and Curricular Change in Higher Education</t>
  </si>
  <si>
    <t>Arthur, Mikaila Mariel Lemonik</t>
  </si>
  <si>
    <t>LB2361.5 .A784 2016</t>
  </si>
  <si>
    <t>Universities and colleges-Curricula-United States-Case studies. ; Curriculum change-United States-Case studies. ; Student movements-United States-Case studies.</t>
  </si>
  <si>
    <t>Navigating the Common Core with English Language Learners : Practical Strategies to Develop Higher-Order Thinking Skills</t>
  </si>
  <si>
    <t>Ferlazzo, Larry;Sypnieski, Katie Hull</t>
  </si>
  <si>
    <t>English language--Study and teaching</t>
  </si>
  <si>
    <t>Validating Technological Innovation : The Introduction and Implementation of Onscreen Marking in Hong Kong</t>
  </si>
  <si>
    <t>Coniam, David;Falvey, Peter</t>
  </si>
  <si>
    <t>Educational tests and measuremen</t>
  </si>
  <si>
    <t>Engaging with Educational Change : Voices of Practitioner Inquiry</t>
  </si>
  <si>
    <t>Fleet, Alma;Gioia, Katey De;Patterson, Catherine</t>
  </si>
  <si>
    <t>Educational change--Australia.</t>
  </si>
  <si>
    <t>Mathematics Achievement of Immigrant Students</t>
  </si>
  <si>
    <t>Hastedt, Dirk</t>
  </si>
  <si>
    <t>Le Premier Jour du Reste de Ma Vie de Virginie Grimaldi (Fiche de Lecture) : Analyse Complète et Résumé détaillé de L'oeuvre</t>
  </si>
  <si>
    <t>French fiction--History and criticism.</t>
  </si>
  <si>
    <t>Dieu, les Affaires et Nous de Jean d'Ormesson (Fiche de Lecture) : Analyse Complète et Résumé détaillé de L'oeuvre</t>
  </si>
  <si>
    <t>lePetitLitteraire;Noël, Julien</t>
  </si>
  <si>
    <t>France--Politics and government--1958-</t>
  </si>
  <si>
    <t>Hegemonies Compared : State Formation and Chinese School Politics in Postwar Singapore and Hong Kong</t>
  </si>
  <si>
    <t>Wong, Ting-Hong</t>
  </si>
  <si>
    <t>LA1239.5.W67 2002</t>
  </si>
  <si>
    <t>Schools, Chinese--Singapore</t>
  </si>
  <si>
    <t>Bullying in the Arts : Vocation, Exploitation and Abuse of Power</t>
  </si>
  <si>
    <t>Quigg, Anne-Marie</t>
  </si>
  <si>
    <t>NX770.G7 Q54 2016</t>
  </si>
  <si>
    <t>700.68/3</t>
  </si>
  <si>
    <t>Arts-Great Britain-Management. ; Arts facilities-Great Britain-Employees. ; Bullying in the workplace-Great Britain. ; Cultural industries-Great Britain-Personnel management.</t>
  </si>
  <si>
    <t>Assessment for Learning : A Practical Approach for the Classroom</t>
  </si>
  <si>
    <t>Dial, Eileen</t>
  </si>
  <si>
    <t>LB3051.D532 2016</t>
  </si>
  <si>
    <t>Teaching - United States</t>
  </si>
  <si>
    <t>The Children Left Behind : America's Struggle to Improve Its Lowest Performing Schools</t>
  </si>
  <si>
    <t>LB2822.82.D84 2016</t>
  </si>
  <si>
    <t>Government aid to education - United States</t>
  </si>
  <si>
    <t>The Hidden Link Between Vision and Learning : Why Millions of Learning-Disabled Children Are Misdiagnosed</t>
  </si>
  <si>
    <t>Rosen, Wendy Beth</t>
  </si>
  <si>
    <t>HV1626.R68 2016</t>
  </si>
  <si>
    <t>371.91/1</t>
  </si>
  <si>
    <t>Vision disorders in children - Diagnosis</t>
  </si>
  <si>
    <t>Transforming Professional Practice : A Framework for Effective Leadership</t>
  </si>
  <si>
    <t>Strike, Kimberly T.;Sims, Paul A.;Mann, Susan L.;Wilhite, Robert K.</t>
  </si>
  <si>
    <t>LB2806.S75 2016</t>
  </si>
  <si>
    <t>Educational leadership - Evaluation</t>
  </si>
  <si>
    <t>The Laughing Guide to Well-Being : Using Humor and Science to Become Happier and Healthier</t>
  </si>
  <si>
    <t>Prilleltensky, Isaac</t>
  </si>
  <si>
    <t>HN29.P595 2016</t>
  </si>
  <si>
    <t>Well-being--Psychological aspects. ; Health--Psychological aspects. ; Laughter--Psychological aspects. ; Wit and humor--Psychological aspects.</t>
  </si>
  <si>
    <t>Your Brain on Ink : A Workbook on Neuroplasticity and the Journal Ladder</t>
  </si>
  <si>
    <t>Adams, Kathleen;Ross, Deborah</t>
  </si>
  <si>
    <t>The Art and Science of Leading : What Effective Administrators Understand</t>
  </si>
  <si>
    <t>Lorain, Peter;Sehorn, Gary;Scott, Mike</t>
  </si>
  <si>
    <t>LB2805.L56 2016</t>
  </si>
  <si>
    <t>Educational leadership--United States. ; School administrators--United States. ; School management and organization--United States.</t>
  </si>
  <si>
    <t>A Prison Called School : Creating Effective Schools for All Learners</t>
  </si>
  <si>
    <t>Metzger, Maure Ann</t>
  </si>
  <si>
    <t>LB2822.8.M47 2015</t>
  </si>
  <si>
    <t>Enhancing Teacher Performance : A Toolbox of Strategies to Facilitate Moving Behavior from Problematic to Good and from Good to Great</t>
  </si>
  <si>
    <t>Selig, W. George;Grooms, Linda D.;Arroyo, Alan A.;Kelly, Michael D.;Koonce, Glenn L.;Clark, Herman D., Jr.;Clark, Herman D.</t>
  </si>
  <si>
    <t>LB2805.S497 2016</t>
  </si>
  <si>
    <t>Educational leadership--United States. ; Teacher effectiveness--United States. ; School personnel management--United States.</t>
  </si>
  <si>
    <t>Teaching for Educational Equity : Case Studies for Professional Development and Principal Preparation</t>
  </si>
  <si>
    <t>Martin, Jennifer L.;Beese, Jane A.</t>
  </si>
  <si>
    <t>LC196 -- .B44 2016eb</t>
  </si>
  <si>
    <t>School principals - In-service training</t>
  </si>
  <si>
    <t>Preparation for Critical Instruction : How to Explain Subject Matter While Teaching All Learners to Think, Read, and Write Critically</t>
  </si>
  <si>
    <t>Critical thinking - Study and teaching - United States</t>
  </si>
  <si>
    <t>Partners in Literacy : A Writing Center Model for Civic Engagement</t>
  </si>
  <si>
    <t>Brizee, Allen;Wells, Jaclyn M.</t>
  </si>
  <si>
    <t>Interdisciplinary approach in education - United States - Computer-assisted instruction</t>
  </si>
  <si>
    <t>Closing the Education Achievement Gaps for African American Males</t>
  </si>
  <si>
    <t>Ransaw, Theodore S.;Majors, Richard</t>
  </si>
  <si>
    <t>International Race and Education Series</t>
  </si>
  <si>
    <t>African American boys--Education. ; African American young men--Education. ; Academic achievement--United States.</t>
  </si>
  <si>
    <t>Academic Writing : Process and Product</t>
  </si>
  <si>
    <t>Academic writing - Study and teaching (Higher)</t>
  </si>
  <si>
    <t>Brain Science for Principals : What School Leaders Need to Know</t>
  </si>
  <si>
    <t>Lyman, Linda L.</t>
  </si>
  <si>
    <t>School management and organization - Psychological aspects</t>
  </si>
  <si>
    <t>Universities and Global Human Development : Theoretical and Empirical Insights for Social Change</t>
  </si>
  <si>
    <t>LC67.6 -- .B66 2016eb</t>
  </si>
  <si>
    <t>Education, Higher--Economic aspects.</t>
  </si>
  <si>
    <t>Evaluating Student Learning Outcomes in Counselor Education</t>
  </si>
  <si>
    <t>Barrio Minton, Casey A.;Gibson, Donna M.;Wachter Morris, Carrie A.</t>
  </si>
  <si>
    <t>Student counselors--Training of--Evaluation</t>
  </si>
  <si>
    <t>Scholarship and Selection Tests : A Guide for Students and Parents</t>
  </si>
  <si>
    <t>Australian Council for Educational Research (ACER)</t>
  </si>
  <si>
    <t>ACER Press</t>
  </si>
  <si>
    <t>Leech, Rebecca</t>
  </si>
  <si>
    <t>LB2339.A8.L443 2012</t>
  </si>
  <si>
    <t>Scholarships--Australia.</t>
  </si>
  <si>
    <t>Learning to Choose, Choosing to Learn : The Key to Student Motivation and Achievement</t>
  </si>
  <si>
    <t>LB1065 .A534 2016</t>
  </si>
  <si>
    <t>Motivation in education. ; Academic achievement. ; Learning, Psychology of.</t>
  </si>
  <si>
    <t>On Developing Readers : Readings from Educational Leadership (el Essentials)</t>
  </si>
  <si>
    <t>El Essentials Series</t>
  </si>
  <si>
    <t>LB1050 .D484 2016</t>
  </si>
  <si>
    <t>Emerging Directions in Doctoral Education</t>
  </si>
  <si>
    <t>Blessinger, Patrick;Stockley, Denise</t>
  </si>
  <si>
    <t>Universities and colleges--Graduate work</t>
  </si>
  <si>
    <t>非華語學生的中文學與教 : 課程、教材、教法與評估</t>
  </si>
  <si>
    <t>香港大學出版社</t>
  </si>
  <si>
    <t>謝, 錫金;祁, 永華;岑, 紹基</t>
  </si>
  <si>
    <t>中國語文及文學教育系列</t>
  </si>
  <si>
    <t>香港少數族裔學生學習中文的研究 : 理念、挑戰與實踐</t>
  </si>
  <si>
    <t>叢, 鐵華;岑, 紹基;祁, 永華</t>
  </si>
  <si>
    <t>中國語文課程、教材及教法 : 面向有特殊學習需要的學童</t>
  </si>
  <si>
    <t>謝, 錫金;張, 張慧儀;羅, 嘉怡</t>
  </si>
  <si>
    <t>促進學習的評估</t>
  </si>
  <si>
    <t>羅, 耀珍</t>
  </si>
  <si>
    <t>香港教師教育叢書</t>
  </si>
  <si>
    <t>導向學習的評估 : 教育實務匯編</t>
  </si>
  <si>
    <t>梁, 佩雲;張, 淑賢</t>
  </si>
  <si>
    <t>有效課堂管理 : 營造積極學習氣氛</t>
  </si>
  <si>
    <t>許, 明得;李, 偉成</t>
  </si>
  <si>
    <t>課室的人生舞臺 : 以戲劇教文學</t>
  </si>
  <si>
    <t>何, 洵怡</t>
  </si>
  <si>
    <t>PL2259.H85 .H498 2011</t>
  </si>
  <si>
    <t>Literature; History</t>
  </si>
  <si>
    <t>學校輔導 : 趨勢與實務</t>
  </si>
  <si>
    <t>陸, 方鈺儀;李, 文玉清</t>
  </si>
  <si>
    <t>LB1027.5 .L854 2011</t>
  </si>
  <si>
    <t>香港中國語文課程新路向 : 學習與評估</t>
  </si>
  <si>
    <t>岑, 紹基;羅, 燕琴;林, 偉業</t>
  </si>
  <si>
    <t>PL1068.H6 2011</t>
  </si>
  <si>
    <t>華人課堂中的教與學 : 照顧個別學習需要</t>
  </si>
  <si>
    <t>符, 理迅;林, 碧霞</t>
  </si>
  <si>
    <t>課程改革與創新</t>
  </si>
  <si>
    <t>楊, 思賢;林, 德成;梁, 偉倫</t>
  </si>
  <si>
    <t>School Culture Development in China - Perceptions of Teachers and Principals</t>
  </si>
  <si>
    <t>LB2832.4.C55 .Y8 2014</t>
  </si>
  <si>
    <t>Teachers-China. ; School principals-China.</t>
  </si>
  <si>
    <t>School Culture Improvement</t>
  </si>
  <si>
    <t>Dongjiao, Zhang</t>
  </si>
  <si>
    <t>LB2925 .D664 2015</t>
  </si>
  <si>
    <t>School management and organization-Denmark-Sociological aspects-Case studies. ; School improvement programs-Denmark-Case studies.</t>
  </si>
  <si>
    <t>Under Desert Skies : How Tucson Mapped the Way to the Moon and Planets</t>
  </si>
  <si>
    <t>Sentinel Peak Books</t>
  </si>
  <si>
    <t>Sevigny, Melissa L.</t>
  </si>
  <si>
    <t>QB501</t>
  </si>
  <si>
    <t>Science; Science: Geology; Science: Astronomy</t>
  </si>
  <si>
    <t>Teaching ELLs Across Content Areas : Issues and Strategies</t>
  </si>
  <si>
    <t>Li, Nan</t>
  </si>
  <si>
    <t>PE1128.A2 .T433 2016</t>
  </si>
  <si>
    <t>English language-Study and teaching-Foreign speakers. ; Language arts-Correlation with content subjects. ; Interdisciplinary approach in education. ; Second language acquisition.</t>
  </si>
  <si>
    <t>Coming of Age : Women's Colleges in the Philippines During the Post-Marcos Era</t>
  </si>
  <si>
    <t>Purcell, Francesca</t>
  </si>
  <si>
    <t>LC2356.P87 2005</t>
  </si>
  <si>
    <t>Women - Education (Higher) - Social aspects - Philippines</t>
  </si>
  <si>
    <t>Conflicting Humanities</t>
  </si>
  <si>
    <t>Braidotti, Rosi;Gilroy, Paul</t>
  </si>
  <si>
    <t>Theory in the New Humanities Series</t>
  </si>
  <si>
    <t>AZ103 -- .C664 2016eb</t>
  </si>
  <si>
    <t>Key Questions in Education : Historical and Contemporary Perspectives</t>
  </si>
  <si>
    <t>Smith, John T.</t>
  </si>
  <si>
    <t>LB41 -- .S658 2016eb</t>
  </si>
  <si>
    <t>Making Policy in Turbulent Times : Challenges and Prospects for Higher Education</t>
  </si>
  <si>
    <t>Axelrod, Paul;Trilokekar, Roopa Desai;Shanahan, Theresa;Wellen, Richard</t>
  </si>
  <si>
    <t>Queen's Policy Studies Series</t>
  </si>
  <si>
    <t>LC165.M34 2013</t>
  </si>
  <si>
    <t>Higher education and state--Congresses.</t>
  </si>
  <si>
    <t>Museum Educator's Handbook</t>
  </si>
  <si>
    <t>AM7 .T35 2016</t>
  </si>
  <si>
    <t>Museums-Educational aspects-Handbooks, manuals, etc.</t>
  </si>
  <si>
    <t>Beyond Goals : Effective Strategies for Coaching and Mentoring</t>
  </si>
  <si>
    <t>David, Susan;Clutterbuck, David;David, Susan</t>
  </si>
  <si>
    <t>BF505.G6 .B496 2016</t>
  </si>
  <si>
    <t>Goal (Psychology) ; Mentoring. ; Personal coaching.</t>
  </si>
  <si>
    <t>Rethinking Higher Education : Participation, Research, and Differentiation</t>
  </si>
  <si>
    <t>Fallis, George</t>
  </si>
  <si>
    <t>LA418.O6F35 2013</t>
  </si>
  <si>
    <t>Education, Higher--Ontario. ; Universities and colleges--Ontario.</t>
  </si>
  <si>
    <t>Measuring the Value of a Postsecondary Education</t>
  </si>
  <si>
    <t>Norrie, Ken;Lennon, Mary Catharine</t>
  </si>
  <si>
    <t>LB2322.2 .M437 2013</t>
  </si>
  <si>
    <t>Education, Higher-Evaluation-Congresses. ; Education, Higher-Research-Congresses.</t>
  </si>
  <si>
    <t>The Undergraduate Experience : Focusing Institutions on What Matters Most</t>
  </si>
  <si>
    <t>Felten, Peter;Gardner, John N.;Schroeder, Charles C.;Lambert, Leo M.;Barefoot, Betsy O.;Hrabowski, Freeman A.</t>
  </si>
  <si>
    <t>LA229.F46 2016</t>
  </si>
  <si>
    <t>College students--United States.</t>
  </si>
  <si>
    <t>The Highly Effective Teacher : 7 Classroom-Tested Practices That Foster Student Success</t>
  </si>
  <si>
    <t>The Origins of Collective Decision Making</t>
  </si>
  <si>
    <t>Blunden, Andy</t>
  </si>
  <si>
    <t>HM746.B58 2016</t>
  </si>
  <si>
    <t>Group decision making--Case studies. ; Political sociology. ; Deliberative democracy. ; Social history.</t>
  </si>
  <si>
    <t>Decolonizing Education : Towards Reconstructing a Theory of Citizenship Education for Postcolonial Africa</t>
  </si>
  <si>
    <t>Springer Vieweg. in Springer Fachmedien Wiesbaden GmbH</t>
  </si>
  <si>
    <t>Barongo-Muweke, Norah</t>
  </si>
  <si>
    <t>Bürgerbewusstsein Series</t>
  </si>
  <si>
    <t>Camouflaging of corporate (un)sustainability</t>
  </si>
  <si>
    <t>Bradford, West Yorkshire</t>
  </si>
  <si>
    <t>Pilonato, Silvia;Ricceri, Federica;Michelon, Giovanna</t>
  </si>
  <si>
    <t>Sustainability Accounting, Management and Policy Journal</t>
  </si>
  <si>
    <t>HD2731.C36 2016</t>
  </si>
  <si>
    <t>Corporations.</t>
  </si>
  <si>
    <t>Reassessing the Social Studies Curriculum : Promoting Critical Civic Engagement in a Politically Polarized, Post-9/11 World</t>
  </si>
  <si>
    <t>Journell, Wayne</t>
  </si>
  <si>
    <t>Civics - Study and teaching</t>
  </si>
  <si>
    <t>Indigenous Language Revitalization in the Americas</t>
  </si>
  <si>
    <t>Coronel-Molina, Serafín M.;McCarty, Teresa L.</t>
  </si>
  <si>
    <t>P40.5.L3572 -- .I535 2016eb</t>
  </si>
  <si>
    <t>306.442/97</t>
  </si>
  <si>
    <t>America--Languages.</t>
  </si>
  <si>
    <t>Above the Shots : An Oral History of the Kent State Shootings</t>
  </si>
  <si>
    <t>Simpson, Craig S.</t>
  </si>
  <si>
    <t>LD4191.O72 -- .S567 2016eb</t>
  </si>
  <si>
    <t>Kent State University - History</t>
  </si>
  <si>
    <t>Handbook of Orthography and Literacy</t>
  </si>
  <si>
    <t>Joshi, R. Malatesha;Aaron, P. G.</t>
  </si>
  <si>
    <t>Language acquisition</t>
  </si>
  <si>
    <t>Resilient Spirits : Disadvantaged Students Making It at an Elite University</t>
  </si>
  <si>
    <t>Goodwin, Latty Lee</t>
  </si>
  <si>
    <t>LC3732.N5 -- .G66 2016eb</t>
  </si>
  <si>
    <t>Assessment in Student Affairs</t>
  </si>
  <si>
    <t>Schuh, John H.;Biddix, J. Patrick;Dean, Laura A.;Kinzie, Jillian</t>
  </si>
  <si>
    <t>Student affairs services--United States--Evaluation--Handbooks, manuals, etc</t>
  </si>
  <si>
    <t>Class and Campus Life : Managing and Experiencing Inequality at an Elite College</t>
  </si>
  <si>
    <t>Lee, Elizabeth M.</t>
  </si>
  <si>
    <t>Students with social disabilities - Education (Higher) - United States</t>
  </si>
  <si>
    <t>Understanding and Treating Self-Injurious Behavior in Autism : A Multi-Disciplinary Perspective</t>
  </si>
  <si>
    <t>Edelson, Stephen M.;Botsford Johnson, Jane;Bauman, Margaret L.;Hardy, Paul Millard;Miller, Lucy Jane;Durand, V. Mark;Groden, June;Coleman, Mary;Casanova, Manuel;Casanova, Emily L.</t>
  </si>
  <si>
    <t>Understanding and Treating in Autism Series</t>
  </si>
  <si>
    <t>Merrell's Strong Start--Pre-K : A Social and Emotional Learning Curriculum, Second Edition</t>
  </si>
  <si>
    <t>Whitcomb, Sara A.;Parisi Damico, Danielle M.;Walker, Hill;Carrizales-Engelmann, Dianna;Feuerborn, Laura L.;Gueldner, Barbara A.;Tran, Oanh K.</t>
  </si>
  <si>
    <t>LB1072 -- .W55 2016eb</t>
  </si>
  <si>
    <t>Improving Quality in American Higher Education : Learning Outcomes and Assessments for the 21st Century</t>
  </si>
  <si>
    <t>Arum, Richard;Roksa, Josipa;Cook, Amanda</t>
  </si>
  <si>
    <t>LA226 -- .A786 2016eb</t>
  </si>
  <si>
    <t>Education, Higher--United States--Evaluation.</t>
  </si>
  <si>
    <t>Reengagement : Bringing Students Back to America's Schools</t>
  </si>
  <si>
    <t>Moore, Andrew O.</t>
  </si>
  <si>
    <t>LC146.6.M66 2016</t>
  </si>
  <si>
    <t>High school dropouts--United States.</t>
  </si>
  <si>
    <t>Teaching with Purpose : An Inquiry into the Who, Why, and How We Teach</t>
  </si>
  <si>
    <t>Education - Aims and objectives</t>
  </si>
  <si>
    <t>The Legal World of the School Principal : What Leaders Need to Know about School Law</t>
  </si>
  <si>
    <t>School principals - Legal status, laws, etc - United States</t>
  </si>
  <si>
    <t>Going to College with Autism : Tips and Strategies from Successful Voices</t>
  </si>
  <si>
    <t>Rutherford, Emily;Butcher, Jennifer;Hepburn, Lori</t>
  </si>
  <si>
    <t>LC4717.R884 2016eb</t>
  </si>
  <si>
    <t>Autistic youth - Education (Higher)</t>
  </si>
  <si>
    <t>Can I Teach That? : Negotiating Taboo Language and Controversial Topics in the Language Arts Classroom</t>
  </si>
  <si>
    <t>Linder, Suzanne;Majerus, Elizabeth</t>
  </si>
  <si>
    <t>LB1631 -- .C365 2016eb</t>
  </si>
  <si>
    <t>Taboo, Linguistic</t>
  </si>
  <si>
    <t>Teaching Creative and Critical Thinking : An Interactive Workbook</t>
  </si>
  <si>
    <t>Creative thinking - Study and teaching</t>
  </si>
  <si>
    <t>Creating Academic Momentum : Realizing the Promise of Performance-Based Education</t>
  </si>
  <si>
    <t>LC1032.R35 2016</t>
  </si>
  <si>
    <t>Competency-based education--United States.</t>
  </si>
  <si>
    <t>The Forms of Things Unknown : Teaching Poetry Writing to Teens and Adults</t>
  </si>
  <si>
    <t>Savren, Shelley</t>
  </si>
  <si>
    <t>PN1101.S36 2016</t>
  </si>
  <si>
    <t>Poetry--Study and teaching (Secondary)</t>
  </si>
  <si>
    <t>Supporting Teacher Development : New Skills for Principals in Supervision and Evaluation</t>
  </si>
  <si>
    <t>The Newcomer Student : An Educator's Guide to Aid Transitions</t>
  </si>
  <si>
    <t>Kreuzer, Louise H.</t>
  </si>
  <si>
    <t>Refugees - Education - United States</t>
  </si>
  <si>
    <t>Angelman Syndrome: Communication, Educational, and Related Considerations</t>
  </si>
  <si>
    <t>Oak Park</t>
  </si>
  <si>
    <t>Calculator,  S.</t>
  </si>
  <si>
    <t>HV1570.A544 2015</t>
  </si>
  <si>
    <t>Developmentally disabled--Means of communication.</t>
  </si>
  <si>
    <t>Civil Enculturation : Nation-State, School and Ethnic Difference in the Netherlands, Britain, Germany, and France</t>
  </si>
  <si>
    <t>Schiffauer, Werner;Baumann, Gerd;Kastoryano, Riva;Vertovec, Steven</t>
  </si>
  <si>
    <t>LC191.8.E85 C58 2004</t>
  </si>
  <si>
    <t>306.43/094</t>
  </si>
  <si>
    <t>Education-Social aspects-Europe-Cross-cultural studies. ; Civil society-Europe-Cross-cultural studies. ; Nationalism and education-Europe-Cross-cultural studies-Congresses. ; Multicultural education-Europe-Cross-cultural studies.</t>
  </si>
  <si>
    <t>Public Policy, School Reform, and Special Education : A Practical Guide for Every Teacher</t>
  </si>
  <si>
    <t>LC3981.Y875 2006</t>
  </si>
  <si>
    <t>Home/Schooling : Creating Schools That Work for Kids, Parents and Teachers</t>
  </si>
  <si>
    <t>Greenwalt, Kyle</t>
  </si>
  <si>
    <t>Home schooling-United States. ; Education-Parent participation. ; Education, Compulsory.</t>
  </si>
  <si>
    <t>The Role of Community Colleges in Skills Development : Lessons from the Canadian Experience for Developing Asia</t>
  </si>
  <si>
    <t>LC237 -- .A853 2015eb</t>
  </si>
  <si>
    <t>Community and college--Canada.</t>
  </si>
  <si>
    <t>Integrated Information and Communication Technology Strategies for Competitive Higher Education in Asia and the Pacific</t>
  </si>
  <si>
    <t>Sarvi, Jouko;Pillay, Hitendra</t>
  </si>
  <si>
    <t>LA1058 -- .S278 2015eb</t>
  </si>
  <si>
    <t>Education, Higher--Asia--Data processing.</t>
  </si>
  <si>
    <t>Innovations in Knowledge and Learning for Competitive Higher Education in Asia and the Pacific</t>
  </si>
  <si>
    <t>LA1057 -- .S278 2015eb</t>
  </si>
  <si>
    <t>Education, Higher--Aims and objectives--Asia.</t>
  </si>
  <si>
    <t>Teaching University Students with Autism Spectrum Disorder : A Guide to Developing Academic Capacity and Proficiency</t>
  </si>
  <si>
    <t>Draisma, Kim;McMahon-Coleman, Kimberley</t>
  </si>
  <si>
    <t>Autism spectrum disorders - Patients - Education (Higher)</t>
  </si>
  <si>
    <t>Educational Justice : Teaching and Organizing Against the Corporate Juggernaut</t>
  </si>
  <si>
    <t>Monthly Review Press</t>
  </si>
  <si>
    <t>Ryan, Howard</t>
  </si>
  <si>
    <t>LC1085.2.R93 2016</t>
  </si>
  <si>
    <t>Understanding Special Education : An Examination of the Responsibilities Through Case Studies</t>
  </si>
  <si>
    <t>Gentry, Roberta;Hooper, Norah S.</t>
  </si>
  <si>
    <t>LC3981.G45 2016</t>
  </si>
  <si>
    <t>Special education--United States--Case studies</t>
  </si>
  <si>
    <t>Reflecting on Service-Learning in Higher Education : Contemporary Issues and Perspectives</t>
  </si>
  <si>
    <t>Hickey, M. Gail;Choi, Sheena;Clabough, Jeremiah;Eder, Donna;Greenbaum, Hannah;Haas, Mary E.;Jones, Sarah;Mann, Nancy;Mbuba, Jospeter M.;Nichols, Joe D.</t>
  </si>
  <si>
    <t>LC220.5 -- .R448 2016eb</t>
  </si>
  <si>
    <t>Citizenship - Study and teaching (Higher) - United States</t>
  </si>
  <si>
    <t>Baudrillard, Youth, and American Film : Fatal Theory and Education</t>
  </si>
  <si>
    <t>Kline, Kip</t>
  </si>
  <si>
    <t>Youth Culture and Pedagogy in the Twenty-First Century Series</t>
  </si>
  <si>
    <t>PN1995.9.Y6 -- K55 2016eb</t>
  </si>
  <si>
    <t>Teen films - United States - History - 20th century</t>
  </si>
  <si>
    <t>Welcome to Poetryland : Teaching Poetry Writing to Young Children</t>
  </si>
  <si>
    <t>Poetry - Study and teaching (Early childhood)</t>
  </si>
  <si>
    <t>Thinking with the Dancing Brain : Embodying Neuroscience</t>
  </si>
  <si>
    <t>Minton, Sandra C.;Faber, Rima</t>
  </si>
  <si>
    <t>NX180.N48.M56 2016</t>
  </si>
  <si>
    <t>Neurosciences and the arts.</t>
  </si>
  <si>
    <t>The Power of Project-Based Learning : Helping Students Develop Important Life Skills</t>
  </si>
  <si>
    <t>LB1027.43.W87 2016</t>
  </si>
  <si>
    <t>Project method in teaching. ; Life skills--Study and teaching.</t>
  </si>
  <si>
    <t>The Politically Intelligent Leader : Dealing with the Dilemmas of a High-Stakes Educational Environment</t>
  </si>
  <si>
    <t>Clark White, Patricia;Harvey, Thomas R.;Fox, Shari L.</t>
  </si>
  <si>
    <t>LB2801.A2 -- .W458 2016eb</t>
  </si>
  <si>
    <t>Educational leadership - Political aspects - United States</t>
  </si>
  <si>
    <t>Reparation and Reconciliation : The Rise and Fall of Integrated Higher Education</t>
  </si>
  <si>
    <t>Smith, Christi M.</t>
  </si>
  <si>
    <t>African Americans - Education (Higher) - United States - History - 19th century</t>
  </si>
  <si>
    <t>Downed by Friendly Fire : Black Girls, White Girls, and Suburban Schooling</t>
  </si>
  <si>
    <t>Fordham, Signithia</t>
  </si>
  <si>
    <t>LC2779.F673 2016</t>
  </si>
  <si>
    <t>African American girls--Education (Secondary)</t>
  </si>
  <si>
    <t>For the Children? : Protecting Innocence in a Carceral State</t>
  </si>
  <si>
    <t>HV9104.M456 2016</t>
  </si>
  <si>
    <t>365/.420973</t>
  </si>
  <si>
    <t>Children--Effect of imprisonment on--United States.</t>
  </si>
  <si>
    <t>First Strike : Educational Enclosures in Black Los Angeles</t>
  </si>
  <si>
    <t>Sojoyner, Damien M.</t>
  </si>
  <si>
    <t>LC2803.L6.S656 2016</t>
  </si>
  <si>
    <t>African Americans--Education--Social aspects--California--Los Angeles.</t>
  </si>
  <si>
    <t>The Power of Identity and Ideology in Language Learning : Designer Immigrants Learning English in Singapore</t>
  </si>
  <si>
    <t>De Costa, Peter I.</t>
  </si>
  <si>
    <t>Multilingual Education Series</t>
  </si>
  <si>
    <t>P51-59.4</t>
  </si>
  <si>
    <t>Creating a New Public University and Reviving Democracy : Action Research in Higher Education</t>
  </si>
  <si>
    <t>Levin, Morten;Greenwood, Davydd J.</t>
  </si>
  <si>
    <t>LB2328.6 .L48 2016</t>
  </si>
  <si>
    <t>Public universities and colleges. ; Education, Higher-Aims and objectives. ; Democracy and education. ; Action research in education.</t>
  </si>
  <si>
    <t>Sensitive Pasts : Questioning Heritage in Education</t>
  </si>
  <si>
    <t>Boxtel, Carla van;Grever, Maria;Klein, Stephan</t>
  </si>
  <si>
    <t>Making Sense of History Series</t>
  </si>
  <si>
    <t>CC135 .S452 2016</t>
  </si>
  <si>
    <t>Cultural property |x Study and teaching. ; History-Study and teaching. ; National characteristics-Study and teaching. ; Ethnicity-Study and teaching. ; Group identity-Study and teaching. ; Memory-Study and teaching-Methodology. ; Memory-Study and teaching-Moral and ethical aspects.</t>
  </si>
  <si>
    <t>History; Environmental Studies</t>
  </si>
  <si>
    <t>Teacher Communication : A Guide to Relational, Organizational, and Classroom Communication</t>
  </si>
  <si>
    <t>White, Ken W.</t>
  </si>
  <si>
    <t>Daily Marketplace Skills Gr. 6-12</t>
  </si>
  <si>
    <t>Joubert, Sarah</t>
  </si>
  <si>
    <t>Life Skills Series</t>
  </si>
  <si>
    <t>HG173.8 -- .J68 2016eb</t>
  </si>
  <si>
    <t>Finance--Juvenile literature.</t>
  </si>
  <si>
    <t>Daily Social &amp; Workplace Skills Gr. 6-12</t>
  </si>
  <si>
    <t>HQ783 -- .J68 2016eb</t>
  </si>
  <si>
    <t>Social skills--Juvenile literature.</t>
  </si>
  <si>
    <t>Daily Health &amp; Hygiene Skills Gr. 6-12</t>
  </si>
  <si>
    <t>RA777 -- .J68 2016eb</t>
  </si>
  <si>
    <t>Health--Juvenile literature.</t>
  </si>
  <si>
    <t>Hands-On STEAM - Physical Science Gr. 1-5</t>
  </si>
  <si>
    <t>Graybill, George</t>
  </si>
  <si>
    <t>Hands-On STEAM Science Series</t>
  </si>
  <si>
    <t>Q163 -- .G73 2016eb</t>
  </si>
  <si>
    <t>Physical sciences--Juvenile literature.</t>
  </si>
  <si>
    <t>Hands-On STEAM - Life Science Gr. 1-5</t>
  </si>
  <si>
    <t>QH309.2 -- .G73 2016eb</t>
  </si>
  <si>
    <t>Life sciences--Juvenile literature.</t>
  </si>
  <si>
    <t>Hands-On STEAM - Earth &amp; Space Science Gr. 1-5</t>
  </si>
  <si>
    <t>QE29 -- .G73 2016eb</t>
  </si>
  <si>
    <t>Earth sciences--Juvenile literature.</t>
  </si>
  <si>
    <t>Hands-On STEAM Science Big Book Gr. 1-5</t>
  </si>
  <si>
    <t>Science--Juvenile literature.</t>
  </si>
  <si>
    <t>Técnicas de Estudio Eficaces</t>
  </si>
  <si>
    <t>Jorge A. Mestas Ediciones Escolares La Escuela Nueva y Alinorma, S.L.</t>
  </si>
  <si>
    <t>Soria Alvadero, Esther</t>
  </si>
  <si>
    <t>Temas de Hoy Series</t>
  </si>
  <si>
    <t>LB2395 -- .S675 2016eb</t>
  </si>
  <si>
    <t>Study skills--Handbooks, manuals, etc.</t>
  </si>
  <si>
    <t>La Semaine de 4 Heures de Timothy Ferriss : Comment Libérer Ses Journées Pour Se Concentrer Sur L'essentiel</t>
  </si>
  <si>
    <t>Samygin-Cherkaoui, Anastasia;50minutes</t>
  </si>
  <si>
    <t>HD6955 .S269 2016</t>
  </si>
  <si>
    <t>Quality of work life. ; Ferriss, Timothy-Criticism and interpretation. ; Part-time self-employment.</t>
  </si>
  <si>
    <t>Pour Que Tu Ne Te Perdes Pas Dans le Quartier de Patrick Modiano (Fiche de Lecture) : Analyse Complète et Résumé détaillé de L'oeuvre</t>
  </si>
  <si>
    <t>lePetitLitteraire;Urbain, Sophie</t>
  </si>
  <si>
    <t>Neighborhoods.</t>
  </si>
  <si>
    <t>Gatsby le Magnifique de Francis Scott Fitzgerald (Fiche de Lecture) : Analyse Complète et Résumé détaillé de L'oeuvre</t>
  </si>
  <si>
    <t>American literature--20th century.</t>
  </si>
  <si>
    <t>Academic Diary : Or Why Higher Education Still Matters</t>
  </si>
  <si>
    <t>Goldsmiths, University London</t>
  </si>
  <si>
    <t>Back, Les</t>
  </si>
  <si>
    <t>More Mirrors in the Classroom : Using Urban Children's Literature to Increase Literacy</t>
  </si>
  <si>
    <t>Fleming, Jane;Catapano, Susan;Thompson, Candace M.;Carrillo, Sandy Ruvalcaba</t>
  </si>
  <si>
    <t>Kids Like Us Series</t>
  </si>
  <si>
    <t>Classroom libraries - United States</t>
  </si>
  <si>
    <t>Addressing the Needs of All Learners in the Era of Changing Standards : Helping Our Most Vulnerable Students Succeed Through Teaching Flexibility, Innovation, and Creativity</t>
  </si>
  <si>
    <t>LB3060.83 -- .A337 2016eb</t>
  </si>
  <si>
    <t>Performance Funding for Higher Education</t>
  </si>
  <si>
    <t>Dougherty, Kevin J.;Jones, Sosanya;Lahr, Hana</t>
  </si>
  <si>
    <t>The Girls and Boys of Belchertown : A Social History of the Belchertown State School for the Feeble-Minded</t>
  </si>
  <si>
    <t>Hornick, Robert</t>
  </si>
  <si>
    <t>LC4633.B45H67 2012</t>
  </si>
  <si>
    <t>Children with mental disabilities--Education--Massachusetts--History--20th century.</t>
  </si>
  <si>
    <t>The Cosmopolitan Lyceum : Lecture Culture and the Globe in Nineteenth-Century America</t>
  </si>
  <si>
    <t>Wright, Tom F.</t>
  </si>
  <si>
    <t>LC6551 -- .C67 2013eb</t>
  </si>
  <si>
    <t>United States--Intellectual life--19th century.</t>
  </si>
  <si>
    <t>On the Cusp : The Yale College Class of 1960 and a World on the Verge of Change</t>
  </si>
  <si>
    <t>Horowitz, Daniel</t>
  </si>
  <si>
    <t>LD6343 -- .H67 2015eb</t>
  </si>
  <si>
    <t>College students - Connecticut - New Haven</t>
  </si>
  <si>
    <t>What They Didn't Teach You in American History Class : The Second Encounter</t>
  </si>
  <si>
    <t>E179 -- .H467 2016eb</t>
  </si>
  <si>
    <t>United States - History</t>
  </si>
  <si>
    <t>Mindfulness and Critical Friendship : A New Perspective on Professional Development for Educators</t>
  </si>
  <si>
    <t>Ragoonaden, Karen;Bullock, Shawn Michael;Binfet, John-Tyler;Chróinín, Déirdre Ní;DeGraff, Tricia;DeWoody, Heather M.;Falkenberg, Thomas;Fletcher, Tim;Gilham, Christopher;Gísladóttir, Karen Rut</t>
  </si>
  <si>
    <t>LB1731 -- .M563 2016eb</t>
  </si>
  <si>
    <t>Running Against the Wind : A Handbook for Presidents and Chancellors</t>
  </si>
  <si>
    <t>Wartell, Michael</t>
  </si>
  <si>
    <t>LB2341 -- .W378 2016eb</t>
  </si>
  <si>
    <t>Cultural Violence in the Classroom : Peace, Conflict and Education in Israel</t>
  </si>
  <si>
    <t>Standish, Katerina</t>
  </si>
  <si>
    <t>Peace Studies: Edges and Innovations</t>
  </si>
  <si>
    <t>LC1099.5.I75 -- .S736 2015eb</t>
  </si>
  <si>
    <t>Multicultural education--Israel.</t>
  </si>
  <si>
    <t>Learning and Personality : The Experience of Introverted Reflective Learners in a World of Extroverts</t>
  </si>
  <si>
    <t>Lawrence, William K.</t>
  </si>
  <si>
    <t>LB1060 -- .L397 2015eb</t>
  </si>
  <si>
    <t>Improving Learning in Secondary Schools : Conditions for Successful Provision and Uptake of Classroom Assessment Feedback</t>
  </si>
  <si>
    <t>Tangie, Kenneth Ndifor</t>
  </si>
  <si>
    <t>LB3051 -- .T364 2015eb</t>
  </si>
  <si>
    <t>Grading and marking (Students)</t>
  </si>
  <si>
    <t>Engaging Imagination and Developing Creativity in Education (2nd Edition)</t>
  </si>
  <si>
    <t>Madej, Krystina;Judson,  Gillian;Egan,  Kieran</t>
  </si>
  <si>
    <t>LB1590.5 -- .E543 2015eb</t>
  </si>
  <si>
    <t>Creative ability--Study and teaching.</t>
  </si>
  <si>
    <t>Advanced Business Models in International Higher Education</t>
  </si>
  <si>
    <t>Lichy, Jessica</t>
  </si>
  <si>
    <t>LC67.6 -- .A383 2015eb</t>
  </si>
  <si>
    <t>Making Education Inclusive</t>
  </si>
  <si>
    <t>Walton, Elizabeth;Moonsamy,  Sharon</t>
  </si>
  <si>
    <t>LC1200 -- .M355 2015eb</t>
  </si>
  <si>
    <t>Innovations in Technology Enhanced Learning</t>
  </si>
  <si>
    <t>Ravindran, Anton;Bacon,  Liz</t>
  </si>
  <si>
    <t>LB2395.7 -- .I566 2015eb</t>
  </si>
  <si>
    <t>Education, Higher--Effect of technological innovations on--Congresses.</t>
  </si>
  <si>
    <t>Myths and Brands in Vocational Education</t>
  </si>
  <si>
    <t>Heikkinen, Anja;Lassnigg,  Lorenz</t>
  </si>
  <si>
    <t>LC1043 -- .M984 2015eb</t>
  </si>
  <si>
    <t>CLIL in Action : Voices from the Classroom</t>
  </si>
  <si>
    <t>Marsh, David;Cañado,  María Luisa Pérez;Padilla,  Juan Ráez</t>
  </si>
  <si>
    <t>LB1575.8 -- .C555 2015eb</t>
  </si>
  <si>
    <t>Lemesos : A History of Limassol in Cyprus from Antiquity to the Ottoman Conquest</t>
  </si>
  <si>
    <t>Konnari, Angel Nicolaou;Schabel,  Chris</t>
  </si>
  <si>
    <t>Cyprus Historical and Contemporary Studies</t>
  </si>
  <si>
    <t>DS54.5 -- .L464 2015eb</t>
  </si>
  <si>
    <t>Cyprus--History.</t>
  </si>
  <si>
    <t>Creative Learning and MOOCs : Harnessing the Technology for a 21st Century Education</t>
  </si>
  <si>
    <t>Sultan, Nabil;Al-Lail,  Haifa Jamal</t>
  </si>
  <si>
    <t>LB1044.87 -- .C743 2015eb</t>
  </si>
  <si>
    <t>Web-based instruction.</t>
  </si>
  <si>
    <t>Peace and Social Justice Education on Campus : Faculty and Student Perspectives</t>
  </si>
  <si>
    <t>Mannise, Kelly Concannon;Finley,  Laura L.</t>
  </si>
  <si>
    <t>LC192.2 -- .P433 2015eb</t>
  </si>
  <si>
    <t>Social justice--Study and teaching (Higher)</t>
  </si>
  <si>
    <t>Education and Teacher Education in the Modern World : Problems and Challenges</t>
  </si>
  <si>
    <t>Calogiannakis,  P.;Wolhuter,  C.C.</t>
  </si>
  <si>
    <t>LB1707 -- .E383 2015eb</t>
  </si>
  <si>
    <t>Light and Obscurity in Symbolism</t>
  </si>
  <si>
    <t>Neginsky, Rosina;Cibelli,  Deborah</t>
  </si>
  <si>
    <t>N8219.L5 -- .L544 2016eb</t>
  </si>
  <si>
    <t>Light in art.</t>
  </si>
  <si>
    <t>Learning Across Borders : Perspectives on International and Transnational Higher Education</t>
  </si>
  <si>
    <t>Seawright, Leslie;Hodges,  Amy</t>
  </si>
  <si>
    <t>LB2324 -- .L437 2016eb</t>
  </si>
  <si>
    <t>Education, Higher--International cooperation.</t>
  </si>
  <si>
    <t>Modernizing Educational Practice : Perspectives in Content and Language Integrated Learning (CLIL)</t>
  </si>
  <si>
    <t>Papaja, Katarzyna;Świątek,  Artur</t>
  </si>
  <si>
    <t>LB1062 -- .M634 2016eb</t>
  </si>
  <si>
    <t>The Chinese Continuum of Self-Cultivation : A Confucian-Deweyan Learning Model</t>
  </si>
  <si>
    <t>Hale, Christine A.</t>
  </si>
  <si>
    <t>LB875.D5 -- .H354 2016eb</t>
  </si>
  <si>
    <t>Writing Strategies and Strategy-Based Instruction in Singapore Primary Schools</t>
  </si>
  <si>
    <t>Bai, Barry</t>
  </si>
  <si>
    <t>LB1507 -- .B35 2016eb</t>
  </si>
  <si>
    <t>Education, Primary--Singapore.</t>
  </si>
  <si>
    <t>Education in St. Maarten from 1954 to 2000 : An Oral History Account</t>
  </si>
  <si>
    <t>George, Milton</t>
  </si>
  <si>
    <t>LB41 -- .G467 2016eb</t>
  </si>
  <si>
    <t>Education--Sint Maarten--History--20th century.</t>
  </si>
  <si>
    <t>A Community of Voices on Education and the African American Experience : A Record of Struggles and Triumphs</t>
  </si>
  <si>
    <t>Ervin, Hazel Arnett;Sheer,  Lois Jamison</t>
  </si>
  <si>
    <t>LC2741 -- .C666 2016eb</t>
  </si>
  <si>
    <t>African Americans--Education--History.</t>
  </si>
  <si>
    <t>A Different Kind of Black and White : Visual Thinking as Epistemic Development in Professional Education</t>
  </si>
  <si>
    <t>Bramwell-Davis, Prue</t>
  </si>
  <si>
    <t>LB1067.5 -- .B736 2015eb</t>
  </si>
  <si>
    <t>Visual learning.</t>
  </si>
  <si>
    <t>Language Acquisition : Problems and Perspectives</t>
  </si>
  <si>
    <t>Laiveniece, Diāna</t>
  </si>
  <si>
    <t>P51 -- .L364 2016eb</t>
  </si>
  <si>
    <t>Language and languages--Study and teaching--Baltic States.</t>
  </si>
  <si>
    <t>Education as Jazz : Interdisciplinary Sketches on a New Metaphor</t>
  </si>
  <si>
    <t>Santi, Marina;Zorzi,  Eleonora</t>
  </si>
  <si>
    <t>LB1025.3 -- .E383 2016eb</t>
  </si>
  <si>
    <t>Creative teaching--Congresses.</t>
  </si>
  <si>
    <t>Teaching Literacy across Content Areas : Effective Strategies that Reach All K–12 Students in the Era of the Common Core State Standards</t>
  </si>
  <si>
    <t>Ajayi, Lasisi;Collins-Parks, Tamara</t>
  </si>
  <si>
    <t>LB3060.83 -- .A339 2016eb</t>
  </si>
  <si>
    <t>Storyline : A Creative Approach to Learning and Teaching</t>
  </si>
  <si>
    <t>Mitchell, Peter J.;McNaughton,  Marie Jeanne</t>
  </si>
  <si>
    <t>LB1025.3 -- .S767 2016eb</t>
  </si>
  <si>
    <t>Teaching--Methodology.</t>
  </si>
  <si>
    <t>ArtBreak : A Creative Guide to Joyful and Productive Classrooms</t>
  </si>
  <si>
    <t>Ziff, Katherine</t>
  </si>
  <si>
    <t>N362 .Z544 2016</t>
  </si>
  <si>
    <t>372.5/044</t>
  </si>
  <si>
    <t>Art-Study and teaching (Elementary)-Activity programs. ; Education, Elementary-Activity programs.</t>
  </si>
  <si>
    <t>Keeping the Little Blighters Busy : Low-Cost, Ingenious and Fun Ideas That Adults Will Enjoy As Much As Kids!</t>
  </si>
  <si>
    <t>Potter, Claire</t>
  </si>
  <si>
    <t>LB3031 -- .P688 2012eb</t>
  </si>
  <si>
    <t>School children--Recreation</t>
  </si>
  <si>
    <t>Universities As Complex Enterprises : How Academia Works, Why It Works These Ways, and Where the University Enterprise Is Headed</t>
  </si>
  <si>
    <t>Rouse, William B.</t>
  </si>
  <si>
    <t>Stevens Institute Series on Complex Systems and Enterprises Series</t>
  </si>
  <si>
    <t>Universities and colleges--Administration. ; Universities and colleges--Business management. ; System theory--Mathematical models.</t>
  </si>
  <si>
    <t>Bring Your Own Device : Engaging Students and Transforming Instruction</t>
  </si>
  <si>
    <t>Rogers, Kipp D.</t>
  </si>
  <si>
    <t>LB1044.84 .R644 2016</t>
  </si>
  <si>
    <t>Mobile communication systems in education. ; Educational technology-Security measures.</t>
  </si>
  <si>
    <t>Yes We Can! : General and Special Educators Collaborating in a Professional Learning Community</t>
  </si>
  <si>
    <t>Friziellie, Heather;Schmidt, Julie A.</t>
  </si>
  <si>
    <t>LB1032.F79 2016</t>
  </si>
  <si>
    <t>Group work in education. ; Professional learning communities. ; Teachers-In-service training. ; Special education teachers-Professional relationships.</t>
  </si>
  <si>
    <t>Turning the Page on Complex Texts : Differentiated Scaffolds for Close Reading Instruction (Grade-Specific Classroom Scenarios for Common Core State Standards)</t>
  </si>
  <si>
    <t>LB1573.L294 2016</t>
  </si>
  <si>
    <t>Individualized reading instruction-Handbooks, manuals, etc.</t>
  </si>
  <si>
    <t>Professional Learning Communities at Work TM and Virtual Collaboration : On the Tipping Point of Transformation</t>
  </si>
  <si>
    <t>DuFour, Richard;Reason, Casey</t>
  </si>
  <si>
    <t>LB1731 .D774 2016</t>
  </si>
  <si>
    <t>How to Coach Leadership in a PLC</t>
  </si>
  <si>
    <t>Johnson, Marc</t>
  </si>
  <si>
    <t>LB1731.J558 2015</t>
  </si>
  <si>
    <t>Collaborative Common Assessments : Teamwork. Instruction. Results</t>
  </si>
  <si>
    <t>Erkens, Cassandra</t>
  </si>
  <si>
    <t>Teachers-Rating of.</t>
  </si>
  <si>
    <t>Proficiency-Based Assessment : Process, Not Product</t>
  </si>
  <si>
    <t>Gobble, Troy;Onuscheck, Mark</t>
  </si>
  <si>
    <t>LB3051.G54 2015</t>
  </si>
  <si>
    <t>Educational tests and measurements-United States. ; Academic achievement-Data processing.</t>
  </si>
  <si>
    <t>Create FutureReady Classrooms, Now!</t>
  </si>
  <si>
    <t>Ormiston, Meg;Ormiston, Meg</t>
  </si>
  <si>
    <t>LB1028.3 .O765 2016</t>
  </si>
  <si>
    <t>Evaluating and Assessing Tools in the Digital Swamp</t>
  </si>
  <si>
    <t>Fullan, Michael;Donnelly, Katelyn</t>
  </si>
  <si>
    <t>LB1044.87.F85 2015</t>
  </si>
  <si>
    <t>Education-Computer network resources. ; Teaching-Computer network resources. ; Educational technology.</t>
  </si>
  <si>
    <t>Balancing the Equation : A Guide to School Mathematics for Educators and Parents (Contexts for Effective Student Learning in the Common Core)</t>
  </si>
  <si>
    <t>Larson, Matthew R.;Kanold, Timothy D.</t>
  </si>
  <si>
    <t>Teaching in Focus Series</t>
  </si>
  <si>
    <t>QA135.6 .L38 2016</t>
  </si>
  <si>
    <t>Mathematics-Study and teaching-Parent participation-United States. ; Education-Parent participation-United States. ; Teacher-student relationships-United States. ; Parent-teacher relationships-United States.</t>
  </si>
  <si>
    <t>FAST Grading : A Guide to Implementing Best Practices (Common Mistakes Educators Make with Grading Policies)</t>
  </si>
  <si>
    <t>Reeves, Douglas</t>
  </si>
  <si>
    <t>LB3060.37.R44 2016</t>
  </si>
  <si>
    <t>Grading and marking (Students)-Handbooks, manuals, etc.</t>
  </si>
  <si>
    <t>From Leading to Succeeding : The Seven Elements of Effective Leadership in Education (a Change Readiness Assessment Tool for School Initiatives)</t>
  </si>
  <si>
    <t>LB2806.R367 2016</t>
  </si>
  <si>
    <t>Best Practices at Tier 1 [Secondary] : Daily Differentiation for Effective Instruction, Secondary</t>
  </si>
  <si>
    <t>Gregory, Gayle;Kaufeldt, Martha;Mattos, Mike</t>
  </si>
  <si>
    <t>LB1031 .G7325 2016</t>
  </si>
  <si>
    <t>Individualized instruction. ; Education, Secondary. ; Mixed ability grouping in education. ; Effective teaching.</t>
  </si>
  <si>
    <t>Real-World Learning Framework for Secondary Schools : Digital Tools and Practical Strategies for Successful Implementation</t>
  </si>
  <si>
    <t>Maxwell, Marge;Stobaugh, Rebecca</t>
  </si>
  <si>
    <t>LA222.M39 2015</t>
  </si>
  <si>
    <t>Thriving As a New Teacher : Tools and Strategies for Your First Year</t>
  </si>
  <si>
    <t>Engage in the Mathematical Practices : Strategies to Build Numeracy and Literacy with K-5 Learners</t>
  </si>
  <si>
    <t>Norris, Kit;Schuhl, Sarah</t>
  </si>
  <si>
    <t>QA141.15.N67 2016</t>
  </si>
  <si>
    <t>Numeracy.</t>
  </si>
  <si>
    <t>How to Develop PLCs for Singletons and Small Schools : (Creating Vertical, Virtual, and Interdisciplinary Teams to Eliminate Teacher Isolation)</t>
  </si>
  <si>
    <t>Hansen, Aaron</t>
  </si>
  <si>
    <t>Solutions for Professional Learning Communities Series</t>
  </si>
  <si>
    <t>Professional learning communities-United States. ; Small schools-United States.</t>
  </si>
  <si>
    <t>How to Cultivate Collaboration in a PLC</t>
  </si>
  <si>
    <t>Sparks, Susan K.;Many, Thomas W.</t>
  </si>
  <si>
    <t>Claim Your Domain--And Own Your Online Presence</t>
  </si>
  <si>
    <t>Watters, Audrey</t>
  </si>
  <si>
    <t>Educational technology. ; Internet in education. ; Internet-Security measures. ; Education-Data processing.</t>
  </si>
  <si>
    <t>A New Way : Introducing Higher Education to Professional Learning Communities at Work(tm)</t>
  </si>
  <si>
    <t>Eaker, Robert;Sells, Debra</t>
  </si>
  <si>
    <t>LB1738.E254 2016</t>
  </si>
  <si>
    <t>Professional learning communities-United States. ; College teachers-In-service training-United States. ; Educational leadership-United States. ; Universities and colleges-Administration-United States. ; Education, Higher-Aims and objectives-United States.</t>
  </si>
  <si>
    <t>Making Sense of Mathematics for Teaching Grades K-2 : (Communicate the Context Behind High-Cognitive-Demand Tasks for Purposeful, Productive Learning)</t>
  </si>
  <si>
    <t>Dixon, Juli K.;Nolan, Edward C.</t>
  </si>
  <si>
    <t>QA135.5.M355 2016</t>
  </si>
  <si>
    <t>Mathematics-Study and teaching (Elementary) ; Mathematics-Study and teaching (Primary)</t>
  </si>
  <si>
    <t>Making Sense of Mathematics for Teaching, Grades 3-5 : (Learn and Teach Concepts and Operations with Depth: How Mathematics Progresses Within and Across Grades)</t>
  </si>
  <si>
    <t>Making Sense of Mathematics for Teaching Grades 6-8 : (Unifying Topics for an Understanding of Functions, Statistics, and Probability)</t>
  </si>
  <si>
    <t>Nolan, Edward C.;Dxion, Juli K.</t>
  </si>
  <si>
    <t>Making Sense of Mathematics for Teaching High School : Understanding How to Use Functions</t>
  </si>
  <si>
    <t>Nolan, Edward C.;Dixon, Juli K.;Safi, Farshid;Haciomeroglu, Erhan Selcuk</t>
  </si>
  <si>
    <t>Mathematics-Study and teaching (Secondary) ; Functions-Study and teaching (Secondary)</t>
  </si>
  <si>
    <t>Concise Answers to Frequently Asked Questions about Professional Learning Communities at Work TM : (Strategies for Building a Positive Learning Environment: Stronger Relationships for Better Leadership)</t>
  </si>
  <si>
    <t>Professional learning communities. ; Teachers-In-service training.</t>
  </si>
  <si>
    <t>Collaborative Teams That Transform Schools : The Next Step in PLCs</t>
  </si>
  <si>
    <t>Marzano, Robert J.;Heflebower, Tammy</t>
  </si>
  <si>
    <t>Learning by Doing : A Handbook for Professional Learning Communities at Work, Third Edition (a Practical Guide to Action for PLC Teams and Leadership)</t>
  </si>
  <si>
    <t>Emergence and Innovation in Digital Learning : Foundations and Applications</t>
  </si>
  <si>
    <t>Veletsianos, George</t>
  </si>
  <si>
    <t>Distance education--Technological innovations.</t>
  </si>
  <si>
    <t>Losing America's Schools : The Fight to Reclaim Public Education</t>
  </si>
  <si>
    <t>Bailey, Nancy E.</t>
  </si>
  <si>
    <t>LA217.2.B325 2016</t>
  </si>
  <si>
    <t>Education and state--United States. ; Education--Aims and objectives--United States. ; Public schools--United States.</t>
  </si>
  <si>
    <t>The Academic Job Search Handbook</t>
  </si>
  <si>
    <t>Vick, Julia Miller;Furlong, Jennifer S.;Lurie, Rosanne</t>
  </si>
  <si>
    <t>LB2331.72.H45 2016eb</t>
  </si>
  <si>
    <t>650.14088/37812</t>
  </si>
  <si>
    <t>College teachers-Employment-United States-Handbooks, manuals, etc. ; College teachers-Selection and appointment-United States-Handbooks, manuals, etc.</t>
  </si>
  <si>
    <t>Developing Workplace Skills for Young Adults with Autism Spectrum Disorder : The BASICS College Curriculum</t>
  </si>
  <si>
    <t>Rigler, Michelle;Rutherford, Amy;Quinn, Emily</t>
  </si>
  <si>
    <t>The BASICS College Curriculum Series</t>
  </si>
  <si>
    <t>HV3005 -- .R545 2016eb</t>
  </si>
  <si>
    <t>371.92/6437</t>
  </si>
  <si>
    <t>People with mental disabilities - Vocational education</t>
  </si>
  <si>
    <t>Language and Learning in a Post-Colonial Context : A Critical Ethnographic Study in Schools in Haiti</t>
  </si>
  <si>
    <t>Jean-Pierre, Marky</t>
  </si>
  <si>
    <t>P381.H25.J43 2016</t>
  </si>
  <si>
    <t>Language planning--Haiti--History.</t>
  </si>
  <si>
    <t>Right to Education in India : Resources, Institutions and Public Policy</t>
  </si>
  <si>
    <t>Jha, Praveen;Rani, P. Geetha</t>
  </si>
  <si>
    <t>LC191.8.I4 .R544 2016</t>
  </si>
  <si>
    <t>Educational sociology-India. ; Education-India. ; Education-Economic aspects-India.</t>
  </si>
  <si>
    <t>The Fight for Local Control : Schools, Suburbs, and American Democracy</t>
  </si>
  <si>
    <t>Scribner, Campbell F.</t>
  </si>
  <si>
    <t>LC89 -- .S38 2016eb</t>
  </si>
  <si>
    <t>Education and state--United States--History--20th century.</t>
  </si>
  <si>
    <t>Intentional and Targeted Teaching : A Framework for Teacher Growth and Leadership</t>
  </si>
  <si>
    <t>Fisher, Douglas;Frey, Nancy;Arzonetti Hite, Stefani</t>
  </si>
  <si>
    <t>LB1025.3 .F575 2016</t>
  </si>
  <si>
    <t>Effective teaching. ; Classroom environment. ; Educational leadership.</t>
  </si>
  <si>
    <t>On Poverty and Learning : On Poverty and Learning: Readings from Educational Leadership (el Essentials)</t>
  </si>
  <si>
    <t>Vzdělávací oblast Člověk a zdraví v současné škole</t>
  </si>
  <si>
    <t>Fialová, Ludmila;Flemr, Libor;Marádová, Eva</t>
  </si>
  <si>
    <t>LB1588.D48 -- .V533 2015eb</t>
  </si>
  <si>
    <t>Health education (Elementary)--Czech Republic.</t>
  </si>
  <si>
    <t>Traditions of Eloquence : The Jesuits and Modern Rhetorical Studies</t>
  </si>
  <si>
    <t>Gannett, Cinthia;Brereton, John</t>
  </si>
  <si>
    <t>P53.27</t>
  </si>
  <si>
    <t>808.0088/27153</t>
  </si>
  <si>
    <t>Rhetoric--Study and teaching (Higher)</t>
  </si>
  <si>
    <t>Educational Reconstruction : African American Schools in the Urban South, 1865-1890</t>
  </si>
  <si>
    <t>Green, Hilary N.</t>
  </si>
  <si>
    <t>Reconstructing America Series</t>
  </si>
  <si>
    <t>African Americans--Education--Southern States--History--19th century.</t>
  </si>
  <si>
    <t>Liderazgo ignaciano</t>
  </si>
  <si>
    <t>Pachón, Adolfo Nicolás</t>
  </si>
  <si>
    <t>Colección Pensamiento Jesuítico</t>
  </si>
  <si>
    <t>BX4700.L7 -- .P334 2014eb</t>
  </si>
  <si>
    <t>Leadership--Moral and ethical aspects.</t>
  </si>
  <si>
    <t>El arca de Noé : La escuela salva del diluvio</t>
  </si>
  <si>
    <t>Santos Guerra, Miguel Ángel</t>
  </si>
  <si>
    <t>LB14.7 -- .S268 2014eb</t>
  </si>
  <si>
    <t>El estilo ignaciano como propulsor de una universidad de inspiración cristiana</t>
  </si>
  <si>
    <t>Vergara Aceves, Jesús</t>
  </si>
  <si>
    <t>BX2179.L8 -- .O769 2015eb</t>
  </si>
  <si>
    <t>Ignatius, of Loyola, Saint, 1491-1556.--Exercitia spiritualia.</t>
  </si>
  <si>
    <t>Multimodality in Higher Education</t>
  </si>
  <si>
    <t>Breuer, Esther;Archer, Arlene</t>
  </si>
  <si>
    <t>LB2369 .M845 2016</t>
  </si>
  <si>
    <t>Academic writing. ; Education, Higher-United States. ; Communication-Methodology.</t>
  </si>
  <si>
    <t>Engaging Worlds : Core Texts and Cultural Contexts. Selected Proceedings from the Sixteenth Annual Conference of the Association for Core Texts and Courses</t>
  </si>
  <si>
    <t>Lee, J. Scott;Anderson, Robert D.;Flynn, Molly Brigid</t>
  </si>
  <si>
    <t>Blending Leadership : Six Simple Beliefs for Leading Online and Off</t>
  </si>
  <si>
    <t>Valentine, Stephen J.;Richards, Reshan;Ovenell-Carter, Brad</t>
  </si>
  <si>
    <t>LB2806.V24 2016</t>
  </si>
  <si>
    <t>Educational leadership. ; Educational technology.</t>
  </si>
  <si>
    <t>Postmodern Career Counseling : A Handbook of Culture, Context, and Cases</t>
  </si>
  <si>
    <t>Busacca, Louis A.;Rehfuss, Mark C.</t>
  </si>
  <si>
    <t>HF5381 -- .P678 2017eb</t>
  </si>
  <si>
    <t>Vocational guidance</t>
  </si>
  <si>
    <t>The Practice of Teachers Professional Development : A Cultural-Historical Approach</t>
  </si>
  <si>
    <t>Grimmett, Helen</t>
  </si>
  <si>
    <t>Professional Learning Series</t>
  </si>
  <si>
    <t>LB1731 .G756 2014</t>
  </si>
  <si>
    <t>Teachers-In-service training. ; Teachers-Training of. ; Career development.</t>
  </si>
  <si>
    <t>The Nurturing of New Educational Researchers : Dialogues and Debates</t>
  </si>
  <si>
    <t>de Ibarrola, María;Anderson, Lorin W.</t>
  </si>
  <si>
    <t>Education -- Research. ; Education -- Study and teaching.</t>
  </si>
  <si>
    <t>Indigenist African Development and Related Issues : Towards a Transdisciplinary Perspective</t>
  </si>
  <si>
    <t>Asabere-Ameyaw, Akwasi;Anamuah-Mensah, Jophus;Dei, George J. Sefa;Raheem, Kolawole</t>
  </si>
  <si>
    <t>The Hazard Called Education by Joseph Agassi : Essays, Reviews, and Dialogues on Education from Forty-Five Years</t>
  </si>
  <si>
    <t>Swartz, Ronald;Richmond, Sheldon</t>
  </si>
  <si>
    <t>Navigating International Academia : Research Student Narratives</t>
  </si>
  <si>
    <t>Brown, Jill</t>
  </si>
  <si>
    <t>Foreign study. ; Foreign study -- Australia. ; Graduate students, Foreign -- Australia.</t>
  </si>
  <si>
    <t>Globalization and Its Impacts on the Quality of PhD Education : Forces and Forms in Doctoral Education Worldwide</t>
  </si>
  <si>
    <t>Nerad, Maresi;Evans, Barbara</t>
  </si>
  <si>
    <t>Doctor of philosophy degree. ; Universities and colleges-Graduate work-Evaluation. ; Education and globalization.</t>
  </si>
  <si>
    <t>Under the Bleachers : Teachers' Reflections of What They Didn't Learn in College</t>
  </si>
  <si>
    <t>First year teachers -- Training of.</t>
  </si>
  <si>
    <t>Passage Through the Threshold of Technological Change : Insights into Leading Qualities of a Teacher</t>
  </si>
  <si>
    <t>Majocha, Elizabeth</t>
  </si>
  <si>
    <t>Educational technology. ; Educational leadership.</t>
  </si>
  <si>
    <t>Community Engagement in Higher Education : Policy Reforms and Practice</t>
  </si>
  <si>
    <t>Jacob, W. James;Sutin, Stewart E.;Weidman, John C.;Yeager, John L.</t>
  </si>
  <si>
    <t>Community and college. ; Universities and colleges-Public relations.</t>
  </si>
  <si>
    <t>Beginning Teachers : Reviewing Disastrous Lessons</t>
  </si>
  <si>
    <t>Crowhurst, Michael</t>
  </si>
  <si>
    <t>First year teachers -- Training of. ; Lesson planning.</t>
  </si>
  <si>
    <t>Mentoring for Learning : Climbing the Mountain</t>
  </si>
  <si>
    <t>Tillema, Harm;van der Westhuizen, Gert J.;Smith, Kari</t>
  </si>
  <si>
    <t>Gender, Sex and Children's Play</t>
  </si>
  <si>
    <t>Kilvington, Jacky;Wood, Ali</t>
  </si>
  <si>
    <t>LB1137 -- .K558 2016eb</t>
  </si>
  <si>
    <t>Play.</t>
  </si>
  <si>
    <t>Global Citizenship Education and the Crises of Multiculturalism : Comparative Perspectives</t>
  </si>
  <si>
    <t>Tarozzi, Massimiliano;Torres, Carlos Alberto</t>
  </si>
  <si>
    <t>LC191.T347 2016</t>
  </si>
  <si>
    <t>The ALPS Resource Book : Accelerated Learning in Primary Schools</t>
  </si>
  <si>
    <t>Smith, Alistair;Call, Nicola;Baiton, Janice;Pierce, Pamela;Caviglioli, Oliver</t>
  </si>
  <si>
    <t>LB1029.A22$b.S658 2006</t>
  </si>
  <si>
    <t>Building a Better Teacher : Understanding Value-Added Models in the Law of Teacher Evaluation</t>
  </si>
  <si>
    <t>Paige, Mark A.</t>
  </si>
  <si>
    <t>LB2838.P335 2016</t>
  </si>
  <si>
    <t>Teachers--Rating of--United States--Mathematical models. ; Educational evaluation--United States.</t>
  </si>
  <si>
    <t>Teaching about Technology : An Introduction to the Philosophy of Technology for Non-Philosophers</t>
  </si>
  <si>
    <t>de Vries, Marc J.</t>
  </si>
  <si>
    <t>Contemporary Issues in Technology Education Series</t>
  </si>
  <si>
    <t>The Tone of Teaching : The Language of Pedagogy</t>
  </si>
  <si>
    <t>LB1033 -- .V36 2016eb</t>
  </si>
  <si>
    <t>Interventions in Learning Disabilities : A Handbook on Systematic Training Programs for Individuals with Learning Disabilities</t>
  </si>
  <si>
    <t>Schiff, Rachel;Joshi, R. Malatesha</t>
  </si>
  <si>
    <t>Literacy Studies</t>
  </si>
  <si>
    <t>LC149-161</t>
  </si>
  <si>
    <t>Language and languages</t>
  </si>
  <si>
    <t>Evaluating a Student Teacher</t>
  </si>
  <si>
    <t>LB2157.U5H47 2016</t>
  </si>
  <si>
    <t>Student teachers--Rating of--United States. ; Teachers--Training of--United States--Evaluation.</t>
  </si>
  <si>
    <t>Practical Leadership in Community Colleges : Navigating Today's Challenges</t>
  </si>
  <si>
    <t>Boggs, George R.;McPhail, Christine J.</t>
  </si>
  <si>
    <t>LB2341.B553 2016</t>
  </si>
  <si>
    <t>Community colleges--United States--Administration. ; Educational leadership--United States.</t>
  </si>
  <si>
    <t>Handbook of Early Childhood Special Education</t>
  </si>
  <si>
    <t>Reichow, Brian;Boyd, Brian A.;Barton, Erin E.;Odom, Samuel L.</t>
  </si>
  <si>
    <t>Behavioral Therapy</t>
  </si>
  <si>
    <t>Tiergestützte Pädagogik und Therapie: Betrachtung unter bindungstheoretischen Gesichtspunkten</t>
  </si>
  <si>
    <t>Schöll, Christiane</t>
  </si>
  <si>
    <t>RM931.A65.S355 2015</t>
  </si>
  <si>
    <t>Animals--Therapeutic use.</t>
  </si>
  <si>
    <t>Musizieren auf Rhythmusinstrumenten an der Geistigbehindertenschule</t>
  </si>
  <si>
    <t>Weuster, Björn</t>
  </si>
  <si>
    <t>LC4601.W487 2015</t>
  </si>
  <si>
    <t>Motivation und Zufriedenheit von Erzieherinnen und Erziehern: Wie attraktiv ist der Arbeitsplatz Kita?</t>
  </si>
  <si>
    <t>Dölker, Anja</t>
  </si>
  <si>
    <t>LB2840.D554 2015</t>
  </si>
  <si>
    <t>Teachers--Job satisfaction.</t>
  </si>
  <si>
    <t>''Geistige Behinderung'': Über den Umgang mit dem Begriff und den betroffenen Menschen</t>
  </si>
  <si>
    <t>Frach, Friederike</t>
  </si>
  <si>
    <t>HV3004.F733 2015</t>
  </si>
  <si>
    <t>Mental retardation--Social aspects.</t>
  </si>
  <si>
    <t>Reframing Decision Making in Education : Democratic Empowerment of Teachers and Parents</t>
  </si>
  <si>
    <t>Rettig, Perry R.</t>
  </si>
  <si>
    <t>School management and organization - Parent participation - United States</t>
  </si>
  <si>
    <t>The Misdirection of Education Policy : Raising Questions about School Reform</t>
  </si>
  <si>
    <t>DaFoe, Nancy</t>
  </si>
  <si>
    <t>LC65 -- .D346 2016eb</t>
  </si>
  <si>
    <t>Teaching at Its Best : A Research-Based Resource for College Instructors</t>
  </si>
  <si>
    <t>378.1/7</t>
  </si>
  <si>
    <t>Academic and Research Literacy Practices of Final Year Teacher Trainees in Luanda, Angola</t>
  </si>
  <si>
    <t>Sambeny, Celeste</t>
  </si>
  <si>
    <t>LB2369 -- .S263 2016eb</t>
  </si>
  <si>
    <t>Report writing--Study and teaching (Higher)</t>
  </si>
  <si>
    <t>Education in a Society uncertain of its Values : Contributions to Practical Pedagogy</t>
  </si>
  <si>
    <t>Brezinka, Wolfgang</t>
  </si>
  <si>
    <t>LB14.7 -- .B749 2016eb</t>
  </si>
  <si>
    <t>Libraries at the Heart of Dialogue of Cultures and Religions : History, Present, Future</t>
  </si>
  <si>
    <t>Courau, Thierry-Marie;Vandermarcq,  Fabien</t>
  </si>
  <si>
    <t>Z721 -- .L537 2016eb</t>
  </si>
  <si>
    <t>Libraries--History.</t>
  </si>
  <si>
    <t>The Psychology of School Climate</t>
  </si>
  <si>
    <t>McGiboney, Garry Wade</t>
  </si>
  <si>
    <t>LC210.5 -- .M345 2016eb</t>
  </si>
  <si>
    <t>School environment--United States.</t>
  </si>
  <si>
    <t>Through the Looking-Glass - Literature Kit Gr. 5-6</t>
  </si>
  <si>
    <t>Literature Kits Grades 5-6</t>
  </si>
  <si>
    <t>PR4611 .I236 2017</t>
  </si>
  <si>
    <t>Alice-(Fictitious character from Carroll)-Juvenile fiction.</t>
  </si>
  <si>
    <t>De la Performance à l'excellence de Jim Collins (analyse de Livre) : Comment Devenir une Entreprise Leader ?</t>
  </si>
  <si>
    <t>Rahier, Maxime;50minutes</t>
  </si>
  <si>
    <t>Moderato Cantabile de Marguerite Duras (Analyse de L'oeuvre) : Analyse Complète et Résumé détaillé de L'oeuvre</t>
  </si>
  <si>
    <t>lePetitLitteraire;Quinaux, Éléonore;Wauquez, Marie-Sophie</t>
  </si>
  <si>
    <t>Duras, Marguerite--Criticism and interpretation.</t>
  </si>
  <si>
    <t>Gravé Dans le Sable (fiche de Lecture) : Analyse Complète et Résumé détaillé de L'oeuvre</t>
  </si>
  <si>
    <t>Improving Higher Education in Malawi for Competitiveness in the Global Economy</t>
  </si>
  <si>
    <t>Mambo, Michael;Meky, Muna;Tanaka, Nobuyuki;Salmi, Jamil</t>
  </si>
  <si>
    <t>LA1553 -- .I477 2016eb</t>
  </si>
  <si>
    <t>Education, Higher--Malawi--Evaluation.</t>
  </si>
  <si>
    <t>Life Lens : Seeing Your Children in Color</t>
  </si>
  <si>
    <t>Salem Communications</t>
  </si>
  <si>
    <t>MCP Books</t>
  </si>
  <si>
    <t>Monahan Horner, Michele</t>
  </si>
  <si>
    <t>LB1027.4 -- .H676 2016eb</t>
  </si>
  <si>
    <t>Social skills--Study and teaching--United States.</t>
  </si>
  <si>
    <t>Raising the Stakes : Gambling with the Future of Universities</t>
  </si>
  <si>
    <t>LA2108 -- .C635 2016eb</t>
  </si>
  <si>
    <t>Universities and colleges--Australia--Finance.</t>
  </si>
  <si>
    <t>Becoming a Student-Ready College : A New Culture of Leadership for Student Success</t>
  </si>
  <si>
    <t>McNair, Tia Brown;Albertine, Susan;Cooper, Michelle Asha;McDonald, Nicole;, Jr., Thomas</t>
  </si>
  <si>
    <t>LB2341 -- .B436 2016eb</t>
  </si>
  <si>
    <t>Universities and colleges - United States - Administration</t>
  </si>
  <si>
    <t>Mathematics Education in a Context of Inequity, Poverty and Language Diversity : Giving Direction and Advancing the Field</t>
  </si>
  <si>
    <t>Phakeng, Mamokgethi;Lerman, Stephen</t>
  </si>
  <si>
    <t>Romances with Schools : A Life of Education</t>
  </si>
  <si>
    <t>Goodlad, John I.;Goodlad, Stephen J.</t>
  </si>
  <si>
    <t>LB14.7 -- .G663 2016eb</t>
  </si>
  <si>
    <t>Development and Learning of Young Children with Disabilities : A Vygotskian Perspective</t>
  </si>
  <si>
    <t>Bøttcher, Louise;Dammeyer, Jesper</t>
  </si>
  <si>
    <t>International Perspectives on Early Childhood Education and Development Series</t>
  </si>
  <si>
    <t>LB1139.2-.5</t>
  </si>
  <si>
    <t>Developmental psychology</t>
  </si>
  <si>
    <t>Get Better Faster : A 90-Day Plan for Coaching New Teachers</t>
  </si>
  <si>
    <t>Bambrick-Santoyo, Paul;Saphier, Jon</t>
  </si>
  <si>
    <t>First year teachers--Handbooks, manuals, etc</t>
  </si>
  <si>
    <t>Becoming a Model Minority : Schooling Experiences of Ethnic Koreans in China</t>
  </si>
  <si>
    <t>GAO, Fang</t>
  </si>
  <si>
    <t>LC3501.K6.G36 2010</t>
  </si>
  <si>
    <t>371.829/957051</t>
  </si>
  <si>
    <t>Koreans - China - Social conditions</t>
  </si>
  <si>
    <t>A Teacher's Guide to 14-19 Policy and Practice</t>
  </si>
  <si>
    <t>Senior, Lynn</t>
  </si>
  <si>
    <t>LC1047.G7S463 2016</t>
  </si>
  <si>
    <t>Vocational teachers - Great Britain</t>
  </si>
  <si>
    <t>PANDAS and PANS in School Settings : A Handbook for Educators</t>
  </si>
  <si>
    <t>Doran, Patricia Rice;Thienemann, Margo;Fewster, Darlene;Mazur, Amy;Tona, Janice;Hoppin, Kandace M.;Stein, Kathleen;Pohlman, Diana</t>
  </si>
  <si>
    <t>LC4601.P26 2017eb</t>
  </si>
  <si>
    <t>Streptococcal infections</t>
  </si>
  <si>
    <t>An American Teacher in Argentina : Mary Gorman's Nineteenth-Century Odyssey from New Mexico to the Pampas</t>
  </si>
  <si>
    <t>Peard, Julyan G.</t>
  </si>
  <si>
    <t>LA2317.G623 -- .P43 2016eb</t>
  </si>
  <si>
    <t>Americans - Argentina - History - 19th century</t>
  </si>
  <si>
    <t>The state of the art : Teaching drama in the 21st century</t>
  </si>
  <si>
    <t>Sydney University Press</t>
  </si>
  <si>
    <t>Anderson, Michael</t>
  </si>
  <si>
    <t>PN3171.S738 2015</t>
  </si>
  <si>
    <t>Drama in education--Australia--New South Wales.</t>
  </si>
  <si>
    <t>The Romance of Crossing Borders : Studying and Volunteering Abroad</t>
  </si>
  <si>
    <t>Doerr, Neriko Musha;Taïeb, Hannah Davis</t>
  </si>
  <si>
    <t>LB2375 .R66 2017</t>
  </si>
  <si>
    <t>Uke Can Do It 2! : Classroom Ukulele Method</t>
  </si>
  <si>
    <t>Tamberino, Philip</t>
  </si>
  <si>
    <t>MT645.8 -- .T363 2016eb</t>
  </si>
  <si>
    <t>Instruction and study</t>
  </si>
  <si>
    <t>On the Teaching of Literature : From Charismatic Secrecy to Joyful Revelation</t>
  </si>
  <si>
    <t>Olsen, Flemming</t>
  </si>
  <si>
    <t>Quality in the Undergraduate Experience : What Is It? How Is It Measured? Who Decides? Summary of a Workshop</t>
  </si>
  <si>
    <t>Rudin, Thomas;Dahlberg, Maria Lund;Matchett, Karin</t>
  </si>
  <si>
    <t>Learning Spaces﻿ : Youth, Literacy and New Media in Remote Indigenous Australia</t>
  </si>
  <si>
    <t>Kral, Inge;Schwab, Robert G.</t>
  </si>
  <si>
    <t>LC149.5 -- .K735 2012eb</t>
  </si>
  <si>
    <t>Computers and literacy.</t>
  </si>
  <si>
    <t>Point of Departure : Returning to Our More Authentic Worldview for Education and Survival</t>
  </si>
  <si>
    <t>Arrows, Four</t>
  </si>
  <si>
    <t>Teaching in a Globally-Connected World : Preparing Learners for the Future</t>
  </si>
  <si>
    <t>Sparapani, Ervin F.;Ross McClain, Pamela L.</t>
  </si>
  <si>
    <t>LB1028.3 -- .T433 2016eb</t>
  </si>
  <si>
    <t>Education--Effect of technological innovations on.</t>
  </si>
  <si>
    <t>Thinking Diagrams : Processing and Connecting Experiences, Facts, and Ideas</t>
  </si>
  <si>
    <t>Kolis, Mickey;Kolis, Benjamin H.</t>
  </si>
  <si>
    <t>Critical thinking - Study and teaching</t>
  </si>
  <si>
    <t>Informative Writing, Teacher Guide, Grades 9-12</t>
  </si>
  <si>
    <t>PCG Education</t>
  </si>
  <si>
    <t>LB2369 -- .P384 2016eb</t>
  </si>
  <si>
    <t>Report writing.</t>
  </si>
  <si>
    <t>Counseling African American Males : Effective Therapeutic Interventions and Approaches</t>
  </si>
  <si>
    <t>RC451.5.N4 .C683 2016</t>
  </si>
  <si>
    <t>362.2089/96073</t>
  </si>
  <si>
    <t>African American men-Counseling of. ; Mental health counseling. ; African American men-Mental health.</t>
  </si>
  <si>
    <t>National Identity : Theory and Research</t>
  </si>
  <si>
    <t>Verdugo, Richard R.;Milne, Andrew</t>
  </si>
  <si>
    <t>Cross National Research Series</t>
  </si>
  <si>
    <t xml:space="preserve">BF753 .N37 2016 </t>
  </si>
  <si>
    <t>155.8/9</t>
  </si>
  <si>
    <t>National characteristics-Philosophy. ; Ethnopsychology. ; National characteristics-Case studies. ; Ethnopsychology-Case studies.</t>
  </si>
  <si>
    <t>Virtual Teams in Higher Education : A Handbook for Students and Teachers</t>
  </si>
  <si>
    <t>Flammia, Madelyn;Cleary, Yvonne;Slattery, Darina M.</t>
  </si>
  <si>
    <t>HD66 .F585 2016</t>
  </si>
  <si>
    <t>658.4/0220711</t>
  </si>
  <si>
    <t>Virtual work teams-Study and teaching (Higher) ; Multiculturalism-Study and teaching (Higher)</t>
  </si>
  <si>
    <t>La Cache de Christophe Boltanski (Fiche de Lecture) : Analyse Complète et Résumé détaillé de L'oeuvre</t>
  </si>
  <si>
    <t>Lambert, Jeremy;lePetitLitteraire</t>
  </si>
  <si>
    <t>CT9970 .L363 2016</t>
  </si>
  <si>
    <t>Adventure and adventurers.</t>
  </si>
  <si>
    <t>Teaching Character and Virtue in Schools</t>
  </si>
  <si>
    <t>Arthur, James;Kristjánsson, Kristján;Harrison, Tom;Sanderse, Wouter;Wright, Daniel</t>
  </si>
  <si>
    <t>Citizenship, Character and Values Education Series</t>
  </si>
  <si>
    <t>LC314.G7 -- .T433 2017eb</t>
  </si>
  <si>
    <t>Moral education--Great Britain.</t>
  </si>
  <si>
    <t>Educating the Profession : 40 Years of the IFLA Section on Education and Training</t>
  </si>
  <si>
    <t>De Gruyter Saur</t>
  </si>
  <si>
    <t>Seadle, Michael;Chu, Clara M.;Stöckel, Ulrike;Crumpton, Breanne</t>
  </si>
  <si>
    <t>Z668.E37 2016</t>
  </si>
  <si>
    <t>International Federation of Library Associations and Institutions. Education and Training Section. ; International Federation of Library Associations and Institutions. Education and Training Section--History. ; Library education. ; Library education--History.</t>
  </si>
  <si>
    <t>Nature Preschools and Forest Kindergartens : The Handbook for Outdoor Learning</t>
  </si>
  <si>
    <t>Sobel, David;Bailie, Patti;Finch, Ken;Kenny, Erin;Stires, Ann</t>
  </si>
  <si>
    <t>LB1139.5.S35N38 2015</t>
  </si>
  <si>
    <t>What Universities Can Be : A New Model for Preparing Students for Active Concerned Citizenship and Ethical Leadership</t>
  </si>
  <si>
    <t>Education, Higher - Moral and ethical aspects - United States</t>
  </si>
  <si>
    <t>Achieve the College Dream : You Don't Need to Be Rich to Attend a Top School</t>
  </si>
  <si>
    <t>Chicuen, Maria Carla</t>
  </si>
  <si>
    <t>Universities and colleges--United States--Admission.</t>
  </si>
  <si>
    <t>A Blueprint for Preparing Teachers : Producing the Best Educators for Our Children</t>
  </si>
  <si>
    <t>Pagliaro, Marie Menna</t>
  </si>
  <si>
    <t>Teachers--Training of--United States</t>
  </si>
  <si>
    <t>Inclusion : The Dream and the Reality Inside Special Education</t>
  </si>
  <si>
    <t>D'Haem, Jeanne</t>
  </si>
  <si>
    <t>Children with disabilities - Education - United States</t>
  </si>
  <si>
    <t>Praxis Elementary Education for Dummies with Online Practice Tests</t>
  </si>
  <si>
    <t>Kirkland, Carla C.;Cleveland, Chan</t>
  </si>
  <si>
    <t>National teacher examinations--Study guides.</t>
  </si>
  <si>
    <t>Critical Thinking for Better Learning : New Insights from Cognitive Science</t>
  </si>
  <si>
    <t>Hamilton, Carole</t>
  </si>
  <si>
    <t>Shaping School Culture</t>
  </si>
  <si>
    <t>Deal, Terrence E.;Peterson, Kent D.</t>
  </si>
  <si>
    <t>LB2805.D34 2016</t>
  </si>
  <si>
    <t>Educational leadership. ; School environment. ; Educational change.</t>
  </si>
  <si>
    <t>Financing Higher Education and Economic Development in East Asia</t>
  </si>
  <si>
    <t>Armstrong, Shiro;Chapman, Bruce</t>
  </si>
  <si>
    <t>LC67.68.A78</t>
  </si>
  <si>
    <t>Education, Higher--Economic aspects--East Asia.</t>
  </si>
  <si>
    <t>The Teacher's Pocket Guide for Positive Behavior Support : Targeted Classroom Solutions</t>
  </si>
  <si>
    <t>Knoster, Timothy;Drogan, Robin</t>
  </si>
  <si>
    <t>LB1060.2</t>
  </si>
  <si>
    <t>Merrell's Strong Kids--Grades 6-8 : A Social and Emotional Learning Curriculum, Second Edition</t>
  </si>
  <si>
    <t>Carrizales-Engelmann, Dianna;Feuerborn, Laura L.;Gueldner, Barbara A.;Tran, Oanh K.;Walker, Hill;Tran, Oanh K.;Walker, Hill M.</t>
  </si>
  <si>
    <t>LB1072</t>
  </si>
  <si>
    <t>Affective education</t>
  </si>
  <si>
    <t>How to Reach and Teach Children and Teens with ADD/ADHD</t>
  </si>
  <si>
    <t>Rief, Sandra F.</t>
  </si>
  <si>
    <t>Attention-deficit-disordered children--Education--United States--Handbooks, manuals, etc.</t>
  </si>
  <si>
    <t>Present Successes and Future Challenges in Honors Education</t>
  </si>
  <si>
    <t>Grover, Robert;O'Flaherty, Katherine</t>
  </si>
  <si>
    <t>Honors Education in Transition Series</t>
  </si>
  <si>
    <t>LB2364.G55 2016eb</t>
  </si>
  <si>
    <t>Universities and colleges - Honors courses - United States</t>
  </si>
  <si>
    <t>Merrell's Strong Teens--Grades 9-12 : A Social and Emotional Learning Curriculum, Second Edition</t>
  </si>
  <si>
    <t>Your Classroom Guide to Special Education Law</t>
  </si>
  <si>
    <t>KF4209.3</t>
  </si>
  <si>
    <t>Special education teachers - United States - Handbooks, manuals, etc</t>
  </si>
  <si>
    <t>Common Sense Education : From Common Core to ESSA and Beyond</t>
  </si>
  <si>
    <t>Restore the Respect : How to Mediate School Conflicts and Keep Students Learning</t>
  </si>
  <si>
    <t>Gross, Ondine;Baker, Jed</t>
  </si>
  <si>
    <t>LB1033.G765 2016</t>
  </si>
  <si>
    <t>Teacher-student relationships. ; Mediation. ; Conflict management. ; Behavior modification. ; Student suspension--Prevention. ; EDUCATION / Decision-Making &amp; Problem Solving. ; EDUCATION / Classroom Management.</t>
  </si>
  <si>
    <t>Culturally Affirming Literacy Practices for Urban Elementary Students</t>
  </si>
  <si>
    <t>Scott, Lakia M.;Purdum-Cassidy, Barbara</t>
  </si>
  <si>
    <t>LB1576.C852 2016eb</t>
  </si>
  <si>
    <t>Service Learning in the Community : The Cultural Implications of Positive Change</t>
  </si>
  <si>
    <t>Duncan, Joyce;Brooks Taylor, Teresa</t>
  </si>
  <si>
    <t>LC220.5 .D863 2015</t>
  </si>
  <si>
    <t>Service learning-United States.</t>
  </si>
  <si>
    <t>The Academic, Social, and Psychological Impacts of Service Learning</t>
  </si>
  <si>
    <t>Service learning-Handbooks, manuals, etc.</t>
  </si>
  <si>
    <t>Level up Your Classroom: the Quest to Gamify Your Lessons and Engage Your Students : The Quest to Gamify Your Lessons and Engage Your Students</t>
  </si>
  <si>
    <t>Cassie, Jonathan</t>
  </si>
  <si>
    <t>LB1029.G3 .C38 2016</t>
  </si>
  <si>
    <t>Educational games. ; Motivation in education.</t>
  </si>
  <si>
    <t>A Teacher's Guide to Special Education : A Teacher's Guide to Special Education</t>
  </si>
  <si>
    <t>Bateman, David F.;Cline, Jenifer L.</t>
  </si>
  <si>
    <t>LC3981 .B37 2016</t>
  </si>
  <si>
    <t>Special education-Study and teaching-United States. ; Children with disabilities-Education-United States. ; Special education teachers-United States.</t>
  </si>
  <si>
    <t>The Power of the Adolescent Brain : Strategies for Teaching Middle and High School Students</t>
  </si>
  <si>
    <t>LB1051.A767 2016</t>
  </si>
  <si>
    <t>On Formative Assessment : Readings from Educational Leadership (el Essentials)</t>
  </si>
  <si>
    <t>On Being a Teacher : Readings from Educational Leadership (el Essentials)</t>
  </si>
  <si>
    <t>Now That's a Good Question! : How to Promote Cognitive Rigor Through Classroom Questioning</t>
  </si>
  <si>
    <t>Francis, Erik M.</t>
  </si>
  <si>
    <t>LB1027.44 .F736 2016</t>
  </si>
  <si>
    <t>Questioning. ; Critical thinking-Study and teaching. ; Learning, Psychology of. ; Cognitive learning.</t>
  </si>
  <si>
    <t>Practical Strategies for Applied Budgeting and Fiscal Administration : What Works for P-12 Administrators</t>
  </si>
  <si>
    <t>Weiler, Spencer C.;Serna, Gabriel R.</t>
  </si>
  <si>
    <t>LB2830.2</t>
  </si>
  <si>
    <t>Public schools - United States - Business management</t>
  </si>
  <si>
    <t>Teach Like a Champion Field Guide 2. 0 : A Practical Resource to Make the 62 Techniques Your Own</t>
  </si>
  <si>
    <t>Lemov, Doug;Hernandez, Joaquin;Kim, Jennifer</t>
  </si>
  <si>
    <t>Teaching at Work</t>
  </si>
  <si>
    <t>Li, Yeping;Hammer, Janet</t>
  </si>
  <si>
    <t>Advances in Teaching and Teacher Education Series</t>
  </si>
  <si>
    <t>Do Teachers Wish to Be Agents of Change? : Will Principals Support Them?</t>
  </si>
  <si>
    <t>Menlo, Allen;Collet, LeVerne</t>
  </si>
  <si>
    <t>Teaching with Interactive Technology</t>
  </si>
  <si>
    <t>Zahay, Debra;Agozzino, Alisa</t>
  </si>
  <si>
    <t>Journal of Research in Interactive Marketing</t>
  </si>
  <si>
    <t>Educating in the Digital World</t>
  </si>
  <si>
    <t>Anderson, Greg;Hardaker, Glenn</t>
  </si>
  <si>
    <t>LC149.5</t>
  </si>
  <si>
    <t>Application of Threshold Concepts in Business Education</t>
  </si>
  <si>
    <t>Bajada, Christopher;Trayler, Rowan;McCracken, Martin</t>
  </si>
  <si>
    <t>HF1106</t>
  </si>
  <si>
    <t>Business education.</t>
  </si>
  <si>
    <t>Apprenticeship : One concept, many facets</t>
  </si>
  <si>
    <t>McCracken, Martin;Smith, Erica</t>
  </si>
  <si>
    <t>HD4881</t>
  </si>
  <si>
    <t>Apprentices.</t>
  </si>
  <si>
    <t>The Quest for Excellence : Liberal Arts, Sciences, and Core Texts. Selected Proceedings from the Seventeenth Annual Conference of the Association for Core Texts and Courses</t>
  </si>
  <si>
    <t>Gish, Dustin;Constas, Chris;Lee, J. Scott</t>
  </si>
  <si>
    <t>LC1011.Q478 2016eb</t>
  </si>
  <si>
    <t>Education, Humanistic--Philosophy</t>
  </si>
  <si>
    <t>Internationalizing Higher Education : Critical Collaborations Across the Curriculum</t>
  </si>
  <si>
    <t>Williams, Rhiannon D.;Lee, Amy</t>
  </si>
  <si>
    <t>Education, Higher. ; International education.</t>
  </si>
  <si>
    <t>Mental Health Matters : A Practical Guide to Identifying and Understanding Mental Health Issues in Primary Schools</t>
  </si>
  <si>
    <t>Nagel, Paula</t>
  </si>
  <si>
    <t>LB1091.N344 2016eb</t>
  </si>
  <si>
    <t>Mental health education.</t>
  </si>
  <si>
    <t>Critical Literacy for Information Professionals</t>
  </si>
  <si>
    <t>Facet Publishing</t>
  </si>
  <si>
    <t>McNicol, Sarah</t>
  </si>
  <si>
    <t>Emerging Strategies for Supporting Student Learning : A Practical Guide for Librarians and Educators</t>
  </si>
  <si>
    <t>Allan, Barbara</t>
  </si>
  <si>
    <t>ZA3075</t>
  </si>
  <si>
    <t>Information literacy--Study and teaching (Higher)</t>
  </si>
  <si>
    <t>Learning Unleashed : Re-Imagining and Re-Purposing Our Schools</t>
  </si>
  <si>
    <t>Rogers, Evonne E.</t>
  </si>
  <si>
    <t>Active learning - United States</t>
  </si>
  <si>
    <t>The Leader Within : Understanding and Empowering Teacher Leaders</t>
  </si>
  <si>
    <t>Creasman, Brian K.;Coquyt, Michael</t>
  </si>
  <si>
    <t>LB2805.C743 2016eb</t>
  </si>
  <si>
    <t>Teacher effectiveness - United States</t>
  </si>
  <si>
    <t>Taking Stock of Programs to Develop Socioemotional Skills : A Systematic Review of Program Evidence</t>
  </si>
  <si>
    <t>SÃ¡nchez Puerta, Maria Laura;Valerio, Alexandria;Bernal, Marcela GutiÃ©rrez</t>
  </si>
  <si>
    <t>BF561</t>
  </si>
  <si>
    <t>Emotions and cognition.</t>
  </si>
  <si>
    <t>Understanding and Using Social Media on College Campuses : A Practical Guide for Higher Education Professionals</t>
  </si>
  <si>
    <t>Waite, Brandon C.;Wheeler, Darren A.</t>
  </si>
  <si>
    <t>LB2395.7.W358 2016eb</t>
  </si>
  <si>
    <t>Plain Language, Please : How to Write for Results</t>
  </si>
  <si>
    <t>Arrowood, Janet C.</t>
  </si>
  <si>
    <t>PE1408.A74 2016eb</t>
  </si>
  <si>
    <t>English language - Rhetoric</t>
  </si>
  <si>
    <t>Sociology in South Africa : Colonial, Apartheid and Democratic Forms</t>
  </si>
  <si>
    <t>Sooryamoorthy, R.</t>
  </si>
  <si>
    <t>Sociology Transformed Series</t>
  </si>
  <si>
    <t>Envisioning the Faculty for the Twenty-First Century : Moving to a Mission-Oriented and Learner-Centered Model</t>
  </si>
  <si>
    <t>Kezar, Adrianna;Maxey, Daniel;Holcombe, Elizabeth;Austin, Ann E.;Trice, Andrea G.;Mallon, William T.;Arnsparger, Arleen;Drivalas, Joanna;Brown, Malcolm;O'Meara, KerryAnn</t>
  </si>
  <si>
    <t>The American Campus Series</t>
  </si>
  <si>
    <t>378.1/22</t>
  </si>
  <si>
    <t>Rethinking Social Studies and History Education : Social Education Through Alternative Texts</t>
  </si>
  <si>
    <t>White, Cameron</t>
  </si>
  <si>
    <t>H62.5.U5 .W458 2016</t>
  </si>
  <si>
    <t>Social sciences-Study and teaching-United States. ; History-Study and teaching-United States. ; Popular culture-Study and teaching-United States. ; Student-centered learning-United States.</t>
  </si>
  <si>
    <t>The Changing Landscape of Youth Work : Theory and Practice for an Evolving Field</t>
  </si>
  <si>
    <t>Pozzoboni, Kristen M.;Kirshner, Ben</t>
  </si>
  <si>
    <t>HV1431 .C455 2016</t>
  </si>
  <si>
    <t>362.7/756208402373</t>
  </si>
  <si>
    <t>Social work with youth-United States. ; After-school programs-United States. ; Youth development-United States. ; Community and school-United States.</t>
  </si>
  <si>
    <t>Evaluating Second Language Courses</t>
  </si>
  <si>
    <t>Griffee, Dale;Gorsuch, Greta</t>
  </si>
  <si>
    <t>PB35 .G775 2016</t>
  </si>
  <si>
    <t>Languages, Modern-Study and teaching-Foreign speakers-Evaluation. ; Language and languages-Study and teaching-Evaluation. ; Education, Secondary-Curricula-Evaluation. ; Second language acquisition-Evaluation. ; Performance-Measurement. ; Curriculum evaluation. ; Educational evaluation.</t>
  </si>
  <si>
    <t>The Mathematics Education of Elementary Teachers : Issues and Strategies for Content Courses</t>
  </si>
  <si>
    <t>Hart, Lynn C.;Oesterle, Susan;Auslander, Susan Swars</t>
  </si>
  <si>
    <t>Each Day : A Veteran Educator's Guide to Raising Children</t>
  </si>
  <si>
    <t>Wilson, Z. Vance</t>
  </si>
  <si>
    <t>HQ768</t>
  </si>
  <si>
    <t>Child rearing.</t>
  </si>
  <si>
    <t>Assessing Writing : A Guide for Teachers, School Leaders, and Evaluators</t>
  </si>
  <si>
    <t>Birnie, Billie F.</t>
  </si>
  <si>
    <t>Wrinkles in Teaching: a Series of Guidebooks for Teachers Series</t>
  </si>
  <si>
    <t>LB1576.B576 2016eb</t>
  </si>
  <si>
    <t>English language--Composition and exercises--Evaluation</t>
  </si>
  <si>
    <t>Hardball Leadership : How to Achieve Student Academic Success in a Rural School District</t>
  </si>
  <si>
    <t>Forner, Mark</t>
  </si>
  <si>
    <t>LC5146.5.F676 2016eb</t>
  </si>
  <si>
    <t>Rural schools - United States - Administration</t>
  </si>
  <si>
    <t>做最优秀的人民教师 : 徐悲鸿“关门弟子”恽宗瀛从教启示录</t>
  </si>
  <si>
    <t>Peking University Press</t>
  </si>
  <si>
    <t>PEKING UNIVERSITY PRESS</t>
  </si>
  <si>
    <t>BeiJing</t>
  </si>
  <si>
    <t>SUMEI CHEN;LOU WANG;YULAN CAO</t>
  </si>
  <si>
    <t>教与学的和谐 : 高职院校师生关系构建艺术</t>
  </si>
  <si>
    <t>LANQIAO LI</t>
  </si>
  <si>
    <t>给即将上大学的孩子们的信</t>
  </si>
  <si>
    <t>Charles Franklin Thwing</t>
  </si>
  <si>
    <t>全球化时代的高等教育：市场的挑战</t>
  </si>
  <si>
    <t>KAI JIANG</t>
  </si>
  <si>
    <t>北大向左，清华向右</t>
  </si>
  <si>
    <t>YUER;HEJIN</t>
  </si>
  <si>
    <t>School Climate and Culture Vis-à-Vis Student Learning : Keys to Collaborative Problem Solving and Responsibility</t>
  </si>
  <si>
    <t>Bulach, Cletus R.;Lunenburg, Frederick C.;Potter, Les</t>
  </si>
  <si>
    <t>LA217.2.B853 2016eb</t>
  </si>
  <si>
    <t>30 Days to the Co-Taught Classroom : How to Create an Amazing, Nearly Miraculous &amp; Frankly Earth-Shattering Partnership in One Month or Less</t>
  </si>
  <si>
    <t>North Loop Books</t>
  </si>
  <si>
    <t>Causton, Julie;Kluth ,  Paula</t>
  </si>
  <si>
    <t>LB1025.3.K589 2016eb</t>
  </si>
  <si>
    <t>Atomization or Integration? Transborder Aspects of Multipedagogy</t>
  </si>
  <si>
    <t>Szerląg, Alicja;Pilarska,  Justyna;Urbanek,  Arkadiusz</t>
  </si>
  <si>
    <t>LB2361.A866 2016eb</t>
  </si>
  <si>
    <t>Universities and colleges--Curricula.</t>
  </si>
  <si>
    <t>Engaged Learners and Digital Citizens : Critical Outcomes for Teaching and Learning</t>
  </si>
  <si>
    <t>Garner, Brad</t>
  </si>
  <si>
    <t>LB1025.3.G376 2016eb</t>
  </si>
  <si>
    <t>Teaching--Technological innovations.</t>
  </si>
  <si>
    <t>Teacher Education in the 21st Century : A Focus on Convergence</t>
  </si>
  <si>
    <t>Kürsteiner, Brigitte;Bleichenbacher,  Lukas;Frehner,  Ruth</t>
  </si>
  <si>
    <t>LB1707.T433 2016eb</t>
  </si>
  <si>
    <t>The Dilemma of Children's Right to Education in the Era of the Fast Track Land Reform Programme in Zimbabwe Re-Visited</t>
  </si>
  <si>
    <t>Mapuva, Loveness</t>
  </si>
  <si>
    <t>LC213.M378 2016eb</t>
  </si>
  <si>
    <t>Right to education--Zimbabwe.</t>
  </si>
  <si>
    <t>Transforming Learning : International Perspectives</t>
  </si>
  <si>
    <t>Ogunkola, Babalola J.;Blackman, Stacey</t>
  </si>
  <si>
    <t>LB1060.T736 2016eb</t>
  </si>
  <si>
    <t>Learning.</t>
  </si>
  <si>
    <t>Handbook for Undergraduate Research Advisors</t>
  </si>
  <si>
    <t>Wilson, Faith A.;Thomas, Jeffrey L.</t>
  </si>
  <si>
    <t>LB2326.3.H358 2016eb</t>
  </si>
  <si>
    <t>Undergraduates - Research</t>
  </si>
  <si>
    <t>Discipline over Punishment : Successes and Struggles with Restorative Justice in Schools</t>
  </si>
  <si>
    <t>Gardner, Trevor W.</t>
  </si>
  <si>
    <t>LB3012.G37 2016eb</t>
  </si>
  <si>
    <t>Problem youth - Education</t>
  </si>
  <si>
    <t>The Pre-K Home Companion : Learning the Importance of Early Childhood Education and Choosing the Best Program for Your Family</t>
  </si>
  <si>
    <t>Kaufman, Sherelyn R.;Kaufman, Michael J.;Nelson, Elizabeth C.</t>
  </si>
  <si>
    <t>Early childhood education--Parent participation</t>
  </si>
  <si>
    <t>Writing Suburban Citizenship : Place-Conscious Education and the Conundrum of Suburbia</t>
  </si>
  <si>
    <t>Syracuse University Press</t>
  </si>
  <si>
    <t>Brooke, Robert E.;Martens, Susan;Bishop, Sharon;Lacey, Jeff;Streit Krug, Aubrey;Birky Collier, Mary;Boster, Daniel;English, Cathie;Olivas, Bernice</t>
  </si>
  <si>
    <t>Writing, Culture, and Community Practices Series</t>
  </si>
  <si>
    <t>LC239.W75 2015</t>
  </si>
  <si>
    <t>Suburban schools - United States</t>
  </si>
  <si>
    <t>Multicultural Perspectives in Science, Technology, Engineering and Mathematics (STEM) in Higher Education</t>
  </si>
  <si>
    <t>Hardaker, Glenn;Goings, Ramon;Mitchell Jr., Donald</t>
  </si>
  <si>
    <t>Higher Education, Fiscal Administration, and Budgeting : An Applied Approach</t>
  </si>
  <si>
    <t>Serna, Gabriel R.;Weiler, Spencer C.</t>
  </si>
  <si>
    <t>LB2342.S476 2016eb</t>
  </si>
  <si>
    <t>Universities and colleges - United States - Business management</t>
  </si>
  <si>
    <t>Feeding the Future : School Lunch Programs As Global Social Policy</t>
  </si>
  <si>
    <t>Rutledge, Jennifer Geist</t>
  </si>
  <si>
    <t>LB3475</t>
  </si>
  <si>
    <t>School children-Food. ; School children-Nutrition. ; School lunchrooms, cafeterias, etc.</t>
  </si>
  <si>
    <t>Innovative Strategies in Higher Education for Accelerated Human Resource Development in South Asia : Sri Lanka</t>
  </si>
  <si>
    <t>Innovative Strategies for Accelerated Human Resource Development Series</t>
  </si>
  <si>
    <t>LA1058.I566 2016eb</t>
  </si>
  <si>
    <t>Education, Higher--Asia.</t>
  </si>
  <si>
    <t>Change Management in TVET Colleges : Lessons Learnt from the Field of Practice</t>
  </si>
  <si>
    <t>Kraak, Andre;Paterson, Andrew</t>
  </si>
  <si>
    <t>Reshaping the Paradigms of Teaching and Learning : What Happens Today Is Education's Future</t>
  </si>
  <si>
    <t>Wimberley, Alan</t>
  </si>
  <si>
    <t>LA217.2.W555 2016eb</t>
  </si>
  <si>
    <t>How to Be an Outstanding Early Years Practitioner</t>
  </si>
  <si>
    <t>Burnham, Louise</t>
  </si>
  <si>
    <t>LB1140.3.B87 2016eb</t>
  </si>
  <si>
    <t>Preschool teaching--Great Britain.</t>
  </si>
  <si>
    <t>Making Teachers Better, Not Bitter : Balancing Evaluation, Supervision, and Reflection for Professional Growth</t>
  </si>
  <si>
    <t>Frontier, Tony;Mielke, Paul</t>
  </si>
  <si>
    <t>LB1731 .F76 2016</t>
  </si>
  <si>
    <t>Teachers-In-service training. ; Teachers-Rating of. ; Teachers-Job satisfaction.</t>
  </si>
  <si>
    <t>You're the Principal! Now What? : Strategies and Solutions for New School Leaders</t>
  </si>
  <si>
    <t>Schwanke, Jen</t>
  </si>
  <si>
    <t>Skill Building for ESL and Special Education : Student Textbook</t>
  </si>
  <si>
    <t>Clark, Kristine Setting</t>
  </si>
  <si>
    <t>Simply English Series</t>
  </si>
  <si>
    <t>English language--Textbooks for foreign speakers.</t>
  </si>
  <si>
    <t>Centering Women of Color in Academic Counterspaces : A Critical Race Analysis of Teaching, Learning, and Classroom Dynamics</t>
  </si>
  <si>
    <t>Vaccaro, Annemarie;Camba-Kelsay, Melissa J.</t>
  </si>
  <si>
    <t>LC2781.V33 2016</t>
  </si>
  <si>
    <t>African American women in higher education. ; Discrimination in higher education--United States. ; Black people--Race identity--United States.</t>
  </si>
  <si>
    <t>How College Affects Students : 21st Century Evidence That Higher Education Works</t>
  </si>
  <si>
    <t>Mayhew, Matthew J.;Rockenbach, Alyssa N.;Bowman, Nicholas A.;Seifert, Tricia A. D.;Wolniak, Gregory C.;Pascarella, Ernest T.;Terenzini, Patrick T.</t>
  </si>
  <si>
    <t>LB2322.2.M39 2016</t>
  </si>
  <si>
    <t>Education, Higher--History--21st century</t>
  </si>
  <si>
    <t>Digital Tools for Knowledge Construction in the Secondary Grades</t>
  </si>
  <si>
    <t>Blocher, Michael</t>
  </si>
  <si>
    <t>Education, Secondary - Computer-assisted instruction</t>
  </si>
  <si>
    <t>Ethics in the University</t>
  </si>
  <si>
    <t>Speight, James G.</t>
  </si>
  <si>
    <t>Universities and colleges-Moral and ethical aspects. ; College administrators-Professional ethics. ; College teachers-Professional ethics.</t>
  </si>
  <si>
    <t>The Online Teaching Survival Guide : Simple and Practical Pedagogical Tips</t>
  </si>
  <si>
    <t>Boettcher, Judith V.;Conrad, Rita-Marie</t>
  </si>
  <si>
    <t>LB1044.87 .B64 2016</t>
  </si>
  <si>
    <t>Web-based instruction. ; Computer-assisted instruction. ; Distance education. ; Education, Higher-Computer-assisted instruction.</t>
  </si>
  <si>
    <t>Embrace : God's Radical Shalom for a Divided World</t>
  </si>
  <si>
    <t>InterVarsity Press</t>
  </si>
  <si>
    <t>Westmont</t>
  </si>
  <si>
    <t>Barber, Leroy</t>
  </si>
  <si>
    <t>BV4639.B373 2016eb</t>
  </si>
  <si>
    <t>Love-Religious aspects-Christianity. ; Interpersonal relations-Religious aspects-Christianity.</t>
  </si>
  <si>
    <t>Cultural Differences in Educational Leadership : Lessons from Heaven's Messengers, Melting Pot or Not!</t>
  </si>
  <si>
    <t>Palestini, Robert</t>
  </si>
  <si>
    <t>Education - Religious aspects</t>
  </si>
  <si>
    <t>Communist Study : Education for the Commons</t>
  </si>
  <si>
    <t>Ford, Derek R.</t>
  </si>
  <si>
    <t>BD112.S21313 2013</t>
  </si>
  <si>
    <t>Communism and education</t>
  </si>
  <si>
    <t>The Teacher 50 : Critical Questions for Inspiring Classroom Excellence</t>
  </si>
  <si>
    <t>Beyond Foundations : Developing As a Master Academic Advisor</t>
  </si>
  <si>
    <t>Grites, Thomas J.;Miller, Marsha A.;Voler, Julie Givans</t>
  </si>
  <si>
    <t>LB2343 .B496 2016</t>
  </si>
  <si>
    <t>Counseling in higher education.</t>
  </si>
  <si>
    <t>Parents Matter : Supporting Your Child with Math in Grades K-8</t>
  </si>
  <si>
    <t>QA135.6.M56675 2016</t>
  </si>
  <si>
    <t>Mathematics - Study and teaching - Parent participation</t>
  </si>
  <si>
    <t>Under New Public Management : Institutional Ethnographies of Changing Front-Line Work</t>
  </si>
  <si>
    <t>Griffith, Alison I.;Smith, Dorothy E.</t>
  </si>
  <si>
    <t>Human services-Evaluation. ; Human services-Management. ; Ethnosociology.</t>
  </si>
  <si>
    <t>A Meeting of Minds : The Massey College Story</t>
  </si>
  <si>
    <t>Grant, Judith Skelton</t>
  </si>
  <si>
    <t>LE3.M39.G736 2015eb</t>
  </si>
  <si>
    <t>Constance Maynard's Passions : Religion, Sexuality, and an English Educational Pioneer, 1849-1935</t>
  </si>
  <si>
    <t>Phipps, Pauline A.</t>
  </si>
  <si>
    <t>Maynard, Constance L.-(Constance Louisa),-1849-1935. ; Lesbians-Great Britain-Biography. ; Women-Education (Higher)-Great Britain.</t>
  </si>
  <si>
    <t>New Designs for Learning : Highlights of the Reports of the Ontario Curriculum Institute, 1963-1966</t>
  </si>
  <si>
    <t>Burnham, Brian</t>
  </si>
  <si>
    <t>Heritage Series</t>
  </si>
  <si>
    <t>LB1026 .N49 1967</t>
  </si>
  <si>
    <t>Education-Aims and objectives. ; Public schools-Curricula-Ontario-Toronto.</t>
  </si>
  <si>
    <t>Imagination and the University</t>
  </si>
  <si>
    <t>Bronowski, Jacob;Commager, Henry Steele;Allport, Gordon;Buck, Paul</t>
  </si>
  <si>
    <t>LB1062 .I434 1964</t>
  </si>
  <si>
    <t>Imagination. ; Education, Higher.</t>
  </si>
  <si>
    <t>Halfway up Parnassus : A Personal Account of the University of Toronto, 1932-1971</t>
  </si>
  <si>
    <t>Bissell, Claude</t>
  </si>
  <si>
    <t>LE3.T52 B577 1974</t>
  </si>
  <si>
    <t>Bissell, Claude Thomas,-1916-2000. ; University of Toronto-History.</t>
  </si>
  <si>
    <t>University College : A Portrait, 1853-1953</t>
  </si>
  <si>
    <t>LE3.T52 U558 1953</t>
  </si>
  <si>
    <t>University College (Toronto, Ont.)</t>
  </si>
  <si>
    <t>Moral Education : Interdisciplinary Approaches</t>
  </si>
  <si>
    <t>Beck, Clive;Crittenden, Brian;Sullivan, Edmund</t>
  </si>
  <si>
    <t>LC273.M673 1971eb</t>
  </si>
  <si>
    <t>The Ethics Rupture : Exploring Alternatives to Formal Research-Ethics Review</t>
  </si>
  <si>
    <t>van den Hoonaard, Will C.;Hamilton, Ann</t>
  </si>
  <si>
    <t>174/.930072</t>
  </si>
  <si>
    <t>Social sciences-Research-Moral and ethical aspects. ; Qualitative research-Moral and ethical aspects.</t>
  </si>
  <si>
    <t>Adaptive Education : An Inquiry-Based Institution</t>
  </si>
  <si>
    <t>VanWynsberghe, Robert;Herman, Andrew Christopher</t>
  </si>
  <si>
    <t>Teacher Education in a Transnational World</t>
  </si>
  <si>
    <t>Bruno-Jofre, Rosa;Johnston, James Scott</t>
  </si>
  <si>
    <t>Breaking the Tongue : Language, Education, and Power in Soviet Ukraine, 1923-1934</t>
  </si>
  <si>
    <t>Pauly, Matthew D.</t>
  </si>
  <si>
    <t>P119.32.U38</t>
  </si>
  <si>
    <t>306.440947709/042</t>
  </si>
  <si>
    <t>Language policy-Ukraine-History-20th century. ; Ukrainian language-Political aspects-History-20th century. ; Education-Ukraine-History-20th century. ; Nationalism and socialism-Ukraine-History-20th century.</t>
  </si>
  <si>
    <t>Schoolteaching in Canada</t>
  </si>
  <si>
    <t>Lockhart, Alexander</t>
  </si>
  <si>
    <t>Elementary school teachers-Canada. ; High school teachers-Canada. ; Elementary school teaching-Canada. ; High school teaching-Canada.</t>
  </si>
  <si>
    <t>Between Caring and Counting : Teachers Take on Education Reform</t>
  </si>
  <si>
    <t>Kerr, Lindsay</t>
  </si>
  <si>
    <t>LA418.O6 K477 2006</t>
  </si>
  <si>
    <t>Medical Teaching in Ambulatory Care, Third Edition</t>
  </si>
  <si>
    <t>Rubenstein, Warren;Talbot, Yves</t>
  </si>
  <si>
    <t>R834.R834 2013</t>
  </si>
  <si>
    <t>Public Attitudes Towards Education in Ontario 1998 : The Twelfth OISE/UT Survey</t>
  </si>
  <si>
    <t>Livingstone, D. W.;Hart, D.;Davie, Lynn</t>
  </si>
  <si>
    <t>LA418.O6 L585 1999</t>
  </si>
  <si>
    <t>Notes to the University of Toronto : A History</t>
  </si>
  <si>
    <t>Friedland, Martin</t>
  </si>
  <si>
    <t>LE3.T52 F754 2002</t>
  </si>
  <si>
    <t>University of Toronto-History-Bibliography.</t>
  </si>
  <si>
    <t>Perspectives on Transitions in Schooling and Instructional Practice</t>
  </si>
  <si>
    <t>Elliott-Johns, Susan E.;Jarvis, Daniel H.</t>
  </si>
  <si>
    <t>LB14.7P4735 2013</t>
  </si>
  <si>
    <t>371.2/1</t>
  </si>
  <si>
    <t>Shaping Academia for the Public Good : Critical Reflections on the CHSRF/CIHR Chair Program</t>
  </si>
  <si>
    <t>Potvin, Louise;Armstrong, Pat</t>
  </si>
  <si>
    <t>RA440.87.C2 S53 2013</t>
  </si>
  <si>
    <t>Canadian Health Services Research Foundation. ; Canadian Institutes of Health Research. ; Public health-Research-Canada. ; Medicine-Research-Canada. ; Education, Higher-Research-Canada. ; Research-Canada-Finance. ; Federal aid to medical research-Canada.</t>
  </si>
  <si>
    <t>Academic Freedom in Canada : A History</t>
  </si>
  <si>
    <t>LC72.5.C2 H67 1999</t>
  </si>
  <si>
    <t>Academic freedom-Canada-History.</t>
  </si>
  <si>
    <t>Becoming Canadian : Memoirs of an Invisible Immigrant</t>
  </si>
  <si>
    <t>F1035.D8 H67 1997</t>
  </si>
  <si>
    <t>971.0043931/0092</t>
  </si>
  <si>
    <t>Horn, Michiel,-1939- ; Dutch-Canada-Biography. ; Immigrants-Canada-Biography.</t>
  </si>
  <si>
    <t>Conscience and History : A Memoir</t>
  </si>
  <si>
    <t>McNaught, Kenneth;Bliss, Michael;Granatstein, J. L.</t>
  </si>
  <si>
    <t>971/.07/202 B</t>
  </si>
  <si>
    <t>McNaught, Kenneth,-1918-1997. ; Historians-Canada-Biography. ; College teachers-Canada-Biography.</t>
  </si>
  <si>
    <t>Creating Knowledge, Strengthening Nations : The Changing Role of Higher Education</t>
  </si>
  <si>
    <t>Jones, Glen;McCarney, Patricia;Skolnik, Michael</t>
  </si>
  <si>
    <t>LB2322.2 .C743 2005</t>
  </si>
  <si>
    <t>Education, Higher-Aims and objectives. ; Education, Higher-Philosophy.</t>
  </si>
  <si>
    <t>Death and the Adolescent : A Resource Handbook for Bereavement Support Groups in Schools</t>
  </si>
  <si>
    <t>Baxter, Grant;Stuart, Wendy</t>
  </si>
  <si>
    <t>Drama Education in the Lives of Girls : Imagining Possibilities</t>
  </si>
  <si>
    <t>Gallagher, Kathleen</t>
  </si>
  <si>
    <t>N1701 .G355 2001</t>
  </si>
  <si>
    <t>Drama-Study and teaching (Secondary) ; Teenage girls-Education.</t>
  </si>
  <si>
    <t>Ecological Education in Everyday Life : Alpha 2000</t>
  </si>
  <si>
    <t>Hautecoeur, Jean-Paul</t>
  </si>
  <si>
    <t>GE70$b.E265 2002</t>
  </si>
  <si>
    <t>Educational Outcomes for the Canadian Workplace : New Frameworks for Policy and Research</t>
  </si>
  <si>
    <t>Gaskell, Jane;Rubenson, Kjell</t>
  </si>
  <si>
    <t>HC120.E47 E383 2004</t>
  </si>
  <si>
    <t>Labor supply-Effect of education on-Canada. ; Labor supply-Effect of education on-Canada-Statistics. ; Education-Economic aspects-Canada.</t>
  </si>
  <si>
    <t>Hidden Academics : Contract Faculty in Canadian Universities</t>
  </si>
  <si>
    <t>Rajagopal, Indhu</t>
  </si>
  <si>
    <t>College teachers, Part-time-Canada. ; Universities and colleges-Canada-Faculty. ; Part-time employment-Canada.</t>
  </si>
  <si>
    <t>Mergers in Higher Education : Lessons from Theory and Experience</t>
  </si>
  <si>
    <t>Eastman, Julia;Lang, Daniel W.</t>
  </si>
  <si>
    <t>Technical University of Nova Scotia. ; Dalhousie University. ; Ontario Institute for Studies in Education. ; University of Toronto. ; Universities and colleges-Mergers-Case studies. ; Universities and colleges-Mergers-Nova Scotia-Halifax. ; Universities and colleges-Mergers-Ontario-Toronto.</t>
  </si>
  <si>
    <t>Narratives in the Making : Teaching and Learning at Corktown Community High School</t>
  </si>
  <si>
    <t>Beattie, Mary</t>
  </si>
  <si>
    <t>LE5.T6 B438 2004</t>
  </si>
  <si>
    <t>Corktown Community High School. ; Education, Secondary-Ontario-Toronto. ; High schools-Ontario-Toronto-Case studies. ; Academic achievement-Ontario-Toronto. ; Education, Secondary-Aims and objectives-Ontario-Toronto.</t>
  </si>
  <si>
    <t>Professing English : A Life of Roy Daniells</t>
  </si>
  <si>
    <t>Djwa, Sandra</t>
  </si>
  <si>
    <t>PR55.D36.D593 2002</t>
  </si>
  <si>
    <t>428/.0092 B</t>
  </si>
  <si>
    <t>Daniells, Roy. ; University of British Columbia-Faculty-Biography. ; English teachers-Canada-Biography. ; Literary historians-Canada-Biography. ; English literature-Study and teaching (Higher)-British Columbia-Vancouver-History. ; Canadian literature-Study and teaching (Higher)-British Columbia-Vancouver-History. ; Canadian literature-History and criticism-Theory, etc. ; Vancouver (B.C.)-Biography.</t>
  </si>
  <si>
    <t>Reconstructing 'Dropout' : A Critical Ethnography of the Dynamics of Black Students' Disengagement from School</t>
  </si>
  <si>
    <t>Dei, George J. Sefa;Mazzuca, Josephine;McIsaac, Elizabeth</t>
  </si>
  <si>
    <t>LC145.8.C2 R436 1997</t>
  </si>
  <si>
    <t>371.2/913/089960713</t>
  </si>
  <si>
    <t>Setting the Agenda : Jean Royce and the Shaping of Queen's University</t>
  </si>
  <si>
    <t>Hamilton, Roberta</t>
  </si>
  <si>
    <t>Studies in Gender and History Series</t>
  </si>
  <si>
    <t>LE3.Q318 H365 2002</t>
  </si>
  <si>
    <t>378.713/72/092</t>
  </si>
  <si>
    <t>Royce, Jean,-1904-1982. ; Queen's University (Kingston, Ont.)-Biography. ; College registrars-Canada-Biography.</t>
  </si>
  <si>
    <t>Taking Public Universities Seriously</t>
  </si>
  <si>
    <t>Iacobucci, Frank;Tuohy, Carolyn</t>
  </si>
  <si>
    <t>LC165 .T355 2005</t>
  </si>
  <si>
    <t>Higher education and state-Congresses. ; Education, Higher-Finanace-Congresses.</t>
  </si>
  <si>
    <t>Teachers in Trouble : An Exploration of the Normative Character of Teaching</t>
  </si>
  <si>
    <t>Piddocke, Stuart;Magsino, Romulo;Manley-Casimir, Michael</t>
  </si>
  <si>
    <t>LB1779 .P533 1997</t>
  </si>
  <si>
    <t>Teachers-Professional ethics-Canada-Case studies. ; Teacher effectiveness-Canada-Case studies. ; Teachers and community-Canada-Case studies. ; Teaching-Social aspects-Canada-Case studies.</t>
  </si>
  <si>
    <t>Teaching in a Cold and Windy Place : Change in an Inuit School</t>
  </si>
  <si>
    <t>Tompkins, Joanne Elizabeth</t>
  </si>
  <si>
    <t>E99.E7 T667 1998</t>
  </si>
  <si>
    <t>371.829/9712407195</t>
  </si>
  <si>
    <t>Tompkins, Joanne,-1956- ; Inuit-Education-Nunavut-Baffin Island. ; Educational change-Nunavut-Baffin Island.</t>
  </si>
  <si>
    <t>Values Education and Technology : The Ideology of Dispossession</t>
  </si>
  <si>
    <t>Emberley, Peter C.</t>
  </si>
  <si>
    <t>LC268 .E434 1995</t>
  </si>
  <si>
    <t>Moral education. ; Values-Study and teaching. ; Technology-Moral and ethical aspects.</t>
  </si>
  <si>
    <t>Teaching Adolescents : Educational Psychology As a Science of Signs</t>
  </si>
  <si>
    <t>Smith, Howard</t>
  </si>
  <si>
    <t>Toronto Studies in Semiotics and Communication Series</t>
  </si>
  <si>
    <t>LB1033.5.S65 2007</t>
  </si>
  <si>
    <t>Communication in education. ; Semiotics-Psychological aspects. ; Teenagers-Education. ; Adolescence.</t>
  </si>
  <si>
    <t>Early Childhood Curricula and the de-Pathologizing of Childhood</t>
  </si>
  <si>
    <t>Heydon, Rachel;Iannacci, Luigi</t>
  </si>
  <si>
    <t>LC4801.5 .H49 2008</t>
  </si>
  <si>
    <t>Early childhood special education. ; Early childhood education-Curricula. ; Early childhood education-Moral and ethical aspects.</t>
  </si>
  <si>
    <t>Silent Moments in Education : An Autoethnography of Learning, Teaching, and Learning to Teach</t>
  </si>
  <si>
    <t>Granger, Colette</t>
  </si>
  <si>
    <t>LB1092 .G73 2011</t>
  </si>
  <si>
    <t>Research and Innovation Policy : Changing Federal Government - University Relations</t>
  </si>
  <si>
    <t>Doern, G. Bruce;Stoney, Christopher</t>
  </si>
  <si>
    <t>LC176 .R474 2009</t>
  </si>
  <si>
    <t>379.1/2140971</t>
  </si>
  <si>
    <t>One Hundred Rings and Counting : Forestry Education and Forestry in Toronto and Canada, 1907-2007</t>
  </si>
  <si>
    <t>Kuhlberg, Mark</t>
  </si>
  <si>
    <t>SD256.T7.K845 2009</t>
  </si>
  <si>
    <t>Schooling for Life : Community Education and Social Enterprise</t>
  </si>
  <si>
    <t>Education; Political Science; Economics</t>
  </si>
  <si>
    <t>The Spark of Learning : Energizing the College Classroom with the Science of Emotion</t>
  </si>
  <si>
    <t>Cavanagh, Sarah Rose</t>
  </si>
  <si>
    <t>Teaching and Learning in Higher Education Series</t>
  </si>
  <si>
    <t>A Companion to Interdisciplinary STEM Project-Based Learning : For Educators by Educators (Second Edition)</t>
  </si>
  <si>
    <t>Capraro, Mary Margaret;Whitfield, Jennifer G.;Etchells, Matthew J.;Capraro, Robert M.</t>
  </si>
  <si>
    <t>Giftedness and Talent in the 21st Century : Adapting to the Turbulence of Globalization</t>
  </si>
  <si>
    <t>Ambrose, Don;Sternberg, Robert J.</t>
  </si>
  <si>
    <t>Building Bridges : Rethinking Literacy Teacher Education in a Digital Era</t>
  </si>
  <si>
    <t>Kosnik, Clare;White, Simone;Beck, Clive;Marshall, Bethan;Goodwin, A. Lin;Murray, Jean</t>
  </si>
  <si>
    <t>Literacy--Study and teaching.</t>
  </si>
  <si>
    <t>The Best Available Evidence : Decision Making for Educational Improvement</t>
  </si>
  <si>
    <t>Newton, Paul;Burgess, David</t>
  </si>
  <si>
    <t>Educational planning--Decision making.</t>
  </si>
  <si>
    <t>Blending Instruction with Technology : A Blueprint for Teachers to Create Unique, Engaging, and Effective Learning Experiences</t>
  </si>
  <si>
    <t>Martin, Michael</t>
  </si>
  <si>
    <t>Children from the Other America : A Crisis of Possibility</t>
  </si>
  <si>
    <t>López-Stafford Levy, Michele</t>
  </si>
  <si>
    <t>The Doubters' Dilemma : Exploring Student Attrition and Retention in University Language and Culture Programs</t>
  </si>
  <si>
    <t>Martín, Mario Daniel;Jansen, Louise;Beckmann, Elizabeth A.</t>
  </si>
  <si>
    <t>LB2822.84.A8.M378 2016eb</t>
  </si>
  <si>
    <t>Educational evaluation--Australia.</t>
  </si>
  <si>
    <t>The Language of Art : Inquiry-Based Studio Practices in Early Childhood Settings</t>
  </si>
  <si>
    <t>Pelo, Ann</t>
  </si>
  <si>
    <t>LB1139.5.A78 .P456 2017</t>
  </si>
  <si>
    <t>Art-Study and teaching (Early childhood) ; Reggio Emilia approach (Early childhood education)</t>
  </si>
  <si>
    <t>Data Mining and Learning Analytics : Applications in Educational Research</t>
  </si>
  <si>
    <t>ElAtia, Samira;Ipperciel, Donald;Zaïane, Osmar R.</t>
  </si>
  <si>
    <t>Wiley Series on Methods and Applications in Data Mining Series</t>
  </si>
  <si>
    <t>Data mining. ; Education-Research-Statistical methods. ; Educational statistics-Data processing.</t>
  </si>
  <si>
    <t>Educational Technology and Pedagogic Encounters : Democratic Education in Potentiality</t>
  </si>
  <si>
    <t>Waghid, Yusef</t>
  </si>
  <si>
    <t>Parent Involvement : Collaboration Is the Key for Every Child's Success</t>
  </si>
  <si>
    <t>LC226.W34 2016</t>
  </si>
  <si>
    <t>I Love Learning; I Hate School : An Anthropology of College</t>
  </si>
  <si>
    <t>Blum, Susan D.</t>
  </si>
  <si>
    <t>College students - United States - Attitudes</t>
  </si>
  <si>
    <t>How to Reach the Hard to Teach : Excellent Instruction for Those Who Need It Most</t>
  </si>
  <si>
    <t>Echevarría, Jana;Frey, Nancy;Fisher, Douglas</t>
  </si>
  <si>
    <t>LC4091.E27 2016</t>
  </si>
  <si>
    <t>The Artisan Teaching Model for Instructional Leadership : Working Together to Transform Your School</t>
  </si>
  <si>
    <t>Baum, Kenneth;Krulwich, David</t>
  </si>
  <si>
    <t>Charting a Course to Standards-Based Grading : What to Stop, What to Start, and Why It Matters</t>
  </si>
  <si>
    <t>Transforming Understandings of Diversity in Higher Education : Demography, Democracy, and Discourse</t>
  </si>
  <si>
    <t>Pasque, Penny A.;Ortega, Noe;Ting, Marie P.;Burkhardt, John C.</t>
  </si>
  <si>
    <t>LC1099.3 .T725 2016</t>
  </si>
  <si>
    <t>Minorities--Education (Higher)--United States. ; College students--United States--Social conditions.</t>
  </si>
  <si>
    <t>Empowering Students with Hidden Disabilities : A Path to Pride and Success</t>
  </si>
  <si>
    <t>Izzo, Margo Vreeburg;Horne, LeDerick R.</t>
  </si>
  <si>
    <t>LC4818.38.I99 2016</t>
  </si>
  <si>
    <t>Students with disabilities - Psychology</t>
  </si>
  <si>
    <t>Transparent Teaching of Adolescents : Defining the Ideal Class for Students and Teachers</t>
  </si>
  <si>
    <t>Keller-Kyriakides, Mindy;Bruton, Stacey;Dearman, AnnMarie;Grant, Victoria;Mazur, Crystal Jovae;Powell, Daniel;Tate, Christina</t>
  </si>
  <si>
    <t>LB1737.U6.K46 2016</t>
  </si>
  <si>
    <t>High school teaching - United States</t>
  </si>
  <si>
    <t>Digital Tools for Knowledge Construction in the Elementary Grades</t>
  </si>
  <si>
    <t>LB1028.5.B577 2016</t>
  </si>
  <si>
    <t>Education, Elementary - Computer-assisted instruction</t>
  </si>
  <si>
    <t>100 Playground Games for Children</t>
  </si>
  <si>
    <t>Acorn Books</t>
  </si>
  <si>
    <t>Quick, P S</t>
  </si>
  <si>
    <t>GV1203.Q53 2014eb</t>
  </si>
  <si>
    <t>Games.</t>
  </si>
  <si>
    <t>Fine Arts; Sport &amp;amp; Recreation</t>
  </si>
  <si>
    <t>Terroristes. les 7 Piliers de la déraison de Marc Trévidic (Fiche de Lecture) : Analyse Complète et Résumé détaillé de L'oeuvre</t>
  </si>
  <si>
    <t>lePetitLitteraire;Fernández Romero, Yolanda</t>
  </si>
  <si>
    <t>Super Triste Histoire d'amour de Gary Shteyngart (Fiche de Lecture) : Analyse Complète et Résumé détaillé de L'oeuvre</t>
  </si>
  <si>
    <t>Surviving and Thriving As a Primary NQT</t>
  </si>
  <si>
    <t>Robinson, Catriona;Bingle, Branwen;Howard, Colin</t>
  </si>
  <si>
    <t>LB1707.R63 2016</t>
  </si>
  <si>
    <t>Elementary school teachers--Training of.</t>
  </si>
  <si>
    <t>Classroom Assessment : A Practical Guide for Educators</t>
  </si>
  <si>
    <t>Mertler, Craig</t>
  </si>
  <si>
    <t>LB3051.M478 2017</t>
  </si>
  <si>
    <t>Discipline-Specific Writing : Theory into Practice</t>
  </si>
  <si>
    <t>Flowerdew, John;Costley, Tracey</t>
  </si>
  <si>
    <t>P53.293.D573 2017</t>
  </si>
  <si>
    <t>Language arts (Higher)--Correlation with content subjects.</t>
  </si>
  <si>
    <t>Skill Building for ESL and Special Education : Teacher's Text</t>
  </si>
  <si>
    <t>PE1128.A2.C53 2016</t>
  </si>
  <si>
    <t>Skill Building for ESL and Special Education : Student Workbook</t>
  </si>
  <si>
    <t>PE1128.C53 2016</t>
  </si>
  <si>
    <t>Student Services : A Handbook for the Profession</t>
  </si>
  <si>
    <t>Schuh, John H.;Jones, Susan R.;Torres, Vasti</t>
  </si>
  <si>
    <t>Student affairs services--United States--Handbooks, manuals, etc.</t>
  </si>
  <si>
    <t>In Praise of Radiant Beings : A Retrospective Path Through Education, Buddhism and Ecology</t>
  </si>
  <si>
    <t>Jardine, David W.</t>
  </si>
  <si>
    <t>Current Perspectives on Confucianism, Taoism, Buddhism, and Education Series</t>
  </si>
  <si>
    <t>The Encyclopedia of Middle Grades Education (2nd Ed. )</t>
  </si>
  <si>
    <t>Mertens, Steven B.;Caskey, Micki M.;Flowers, Nancy</t>
  </si>
  <si>
    <t>Communication and Learning</t>
  </si>
  <si>
    <t>Witt, Paul</t>
  </si>
  <si>
    <t>Handbooks of Communication Science Series</t>
  </si>
  <si>
    <t>LB1060.C666 2016</t>
  </si>
  <si>
    <t>East-West Dialogue in Knowledge and Higher Education</t>
  </si>
  <si>
    <t>Hayhoe, Ruth;Pan, Julia</t>
  </si>
  <si>
    <t>LA1133.E278 2015</t>
  </si>
  <si>
    <t>Education, Higher--China--Congresses.</t>
  </si>
  <si>
    <t>Accounting for Mismatch in Low- and Middle-Income Countries : Measurement, Magnitudes, and Explanations</t>
  </si>
  <si>
    <t>Handel, Michael J.;Valerio, Alexandria;SÃ¡nchez Puerta, Maria Laura</t>
  </si>
  <si>
    <t>HF5381.6.H363 2016</t>
  </si>
  <si>
    <t>Vocational qualifications--Developing countries.</t>
  </si>
  <si>
    <t>Leadership Intelligence : Navigating to Your True North</t>
  </si>
  <si>
    <t>Maulding Green, Wanda S.;Leonard, Edward E.</t>
  </si>
  <si>
    <t>BF637.L4.M358 2016</t>
  </si>
  <si>
    <t>Student Affairs Leadership : Defining the Role Through an Ecological Framework</t>
  </si>
  <si>
    <t>Kuk, Linda;Banning, James H.</t>
  </si>
  <si>
    <t>LB2342.92.K853 2016</t>
  </si>
  <si>
    <t>Student affairs services--United States--Administration</t>
  </si>
  <si>
    <t>Connecting the Dots : Developing Student Learning Outcomes and Outcomes-Based Assessment</t>
  </si>
  <si>
    <t>Carriveau, Ronald S.</t>
  </si>
  <si>
    <t>LB3051.C366 2016</t>
  </si>
  <si>
    <t>Exemplary Leadership Practices : Learning from the Past to Enhance Future School Leadership</t>
  </si>
  <si>
    <t>Litchka, Peter R.</t>
  </si>
  <si>
    <t>LB2805.L529 2016</t>
  </si>
  <si>
    <t>School superintendents - United States</t>
  </si>
  <si>
    <t>Retaining Effective Teachers : A Guide for Hiring, Induction, and Support</t>
  </si>
  <si>
    <t>LB2835.25.C545 2016</t>
  </si>
  <si>
    <t>Teachers - Selection and appointment - United States</t>
  </si>
  <si>
    <t>Transforming Schools Through Systems Change</t>
  </si>
  <si>
    <t>LB2806.S25 2016</t>
  </si>
  <si>
    <t>Confronting Oppressive Assessments : How Parents, Educators, and Policymakers Are Rethinking Current Educational Reforms</t>
  </si>
  <si>
    <t>Polka, Walter S.;McKenna, John William</t>
  </si>
  <si>
    <t>LA217.2.C668 2016</t>
  </si>
  <si>
    <t>Educational accountability - Government policy - United States</t>
  </si>
  <si>
    <t>Continuity and Innovation in Honors College Curricula</t>
  </si>
  <si>
    <t>LB2364.C66 2016</t>
  </si>
  <si>
    <t>The SAGE Encyclopedia of Online Education</t>
  </si>
  <si>
    <t>Danver, Steven L.</t>
  </si>
  <si>
    <t>LB1044.87.D36 2016</t>
  </si>
  <si>
    <t>The Graphic Novel Classroom : POWerful Teaching and Learning with Images</t>
  </si>
  <si>
    <t>Bakis, Maureen M.</t>
  </si>
  <si>
    <t>From Digital Natives to Digital Wisdom : Hopeful Essays for 21st Century Learning</t>
  </si>
  <si>
    <t>Prensky, Marc R.</t>
  </si>
  <si>
    <t>LA217.2.P746 2012</t>
  </si>
  <si>
    <t>Successful School Staffing Strategies : Staff Development with a Focus on Student Learning</t>
  </si>
  <si>
    <t>Pregot, Michael</t>
  </si>
  <si>
    <t>LB2831.5.P744 2016</t>
  </si>
  <si>
    <t>School administrators - Selection and appointment</t>
  </si>
  <si>
    <t>A Far Light : A Reading of Beowulf</t>
  </si>
  <si>
    <t>DiNapoli, Robert</t>
  </si>
  <si>
    <t>LB1050.D563 2016</t>
  </si>
  <si>
    <t>Music, Education, and Multiculturalism : Foundations and Principles</t>
  </si>
  <si>
    <t>Volk, Terese M.</t>
  </si>
  <si>
    <t>MT4.V655 1998</t>
  </si>
  <si>
    <t>Music--Instruction and study--United States.</t>
  </si>
  <si>
    <t>Human Judgment and Social Policy : Irreducible Uncertainty, Inevitable Error, Unavoidable Injustice</t>
  </si>
  <si>
    <t>Hammond, Kenneth R.</t>
  </si>
  <si>
    <t>HM73.H314 1996</t>
  </si>
  <si>
    <t>Social policy--Decision making.</t>
  </si>
  <si>
    <t>Repainting the Little Red Schoolhouse : A History of Eastern German Education, 1945-1995</t>
  </si>
  <si>
    <t>Rodden, John</t>
  </si>
  <si>
    <t>LA772.R56 2002</t>
  </si>
  <si>
    <t>370/.943/1</t>
  </si>
  <si>
    <t>Education--Germany (East)--History.</t>
  </si>
  <si>
    <t>Children Without Language : From Dysphasia to Autism</t>
  </si>
  <si>
    <t>Danon-Boileau, Laurent;Grieve, James</t>
  </si>
  <si>
    <t>RJ496.L35D3613 2006</t>
  </si>
  <si>
    <t>618.92/855</t>
  </si>
  <si>
    <t>Language disorders in children.</t>
  </si>
  <si>
    <t>Beginning to Spell : A Study of First-Grade Children</t>
  </si>
  <si>
    <t>Treiman, Rebecca</t>
  </si>
  <si>
    <t>LB1526.T74 1993</t>
  </si>
  <si>
    <t>372.6/32</t>
  </si>
  <si>
    <t>English language--Orthography and spelling--Study and teaching (Primary)</t>
  </si>
  <si>
    <t>A New Imperative : Regions and Higher Education in Difficult Times</t>
  </si>
  <si>
    <t>Duke, Chris;Osborne, Michael;Wilson, Bruce</t>
  </si>
  <si>
    <t>Universities and Lifelong Learning Series</t>
  </si>
  <si>
    <t>LB2325.D854 2013</t>
  </si>
  <si>
    <t>The HM Learning and Study Skills Program : Student Text Level 3</t>
  </si>
  <si>
    <t>Brunner, Judy Tilton;Hudson, Matthew S.</t>
  </si>
  <si>
    <t>PA4037.S25 2016</t>
  </si>
  <si>
    <t>African Immigrants' Experiences in American Schools : Complicating the Race Discourse</t>
  </si>
  <si>
    <t>Mthethwa-Sommers, Shirley;Harushimana, Immaculee</t>
  </si>
  <si>
    <t>LC2771.M84 2016</t>
  </si>
  <si>
    <t>Africans - Education - United States</t>
  </si>
  <si>
    <t>Lifelong Learning, the Arts and Community Cultural Engagement in the Contemporary University : International Perspectives</t>
  </si>
  <si>
    <t>Clover, Darlene;Sanford, Kathy</t>
  </si>
  <si>
    <t>LC5215.L544 2013</t>
  </si>
  <si>
    <t>Julius Caesar</t>
  </si>
  <si>
    <t>Hartley, Andrew</t>
  </si>
  <si>
    <t>Shakespeare in Performance Series</t>
  </si>
  <si>
    <t>PR2808.H378 2014</t>
  </si>
  <si>
    <t>Creating Engagement Between Schools and Their Communities : Lessons from Educational Leaders</t>
  </si>
  <si>
    <t>Purinton, Ted;Azcoitia, Carlos;Blank, Martin;Borras, Francisco;Brown, Chris;Carlson, Karen Glinert;Dymond, Judith;Naftzger, Neil;Ray, Adeline;Ronan, Mary A.</t>
  </si>
  <si>
    <t>LB2820.C743 2016</t>
  </si>
  <si>
    <t>Community schools</t>
  </si>
  <si>
    <t>Literacy As Moral Obligation among African Americans in the Rural Southeast</t>
  </si>
  <si>
    <t>Lachuk, Amy Johnson</t>
  </si>
  <si>
    <t>LC2778.R4.L33 2016</t>
  </si>
  <si>
    <t>Literacy - Moral and ethical aspects - Southern States</t>
  </si>
  <si>
    <t>Essentials of KTEA-3 and WIAT-III Assessment</t>
  </si>
  <si>
    <t>Breaux, Kristina C.;Lichtenberger, Elizabeth O.</t>
  </si>
  <si>
    <t>Wechsler Individual Achievement Test</t>
  </si>
  <si>
    <t>Boundaries of the Educational Imagination</t>
  </si>
  <si>
    <t>Hugo, Wayne</t>
  </si>
  <si>
    <t>Auto-, duo- and collaborative- ethnographies</t>
  </si>
  <si>
    <t>Earl, Kerry;Rinehart , Robert;Vicars, Mark</t>
  </si>
  <si>
    <t>Qualitative Research Journal</t>
  </si>
  <si>
    <t>H62.A986 2016</t>
  </si>
  <si>
    <t>Supporting the development and professional growth of middle space educational leaders through mentoring</t>
  </si>
  <si>
    <t>Armstrong, Denise;Hobson, Andrew;Searby, Linda</t>
  </si>
  <si>
    <t>LB1731.4.S877 2016</t>
  </si>
  <si>
    <t>The Management of Transnational Higher Education</t>
  </si>
  <si>
    <t>Cheng, Yin Cheong;Greany, Toby;Roberts, Brian</t>
  </si>
  <si>
    <t>International Journal of Educational Management</t>
  </si>
  <si>
    <t>HD30.4.M363 2016</t>
  </si>
  <si>
    <t>Management--Study and teaching.</t>
  </si>
  <si>
    <t>From Pencils to Podcasts : Digital Tools for Transforming K-6 Literacy Practices- a Teacher's Guide for Embedding Technology into Curriculum</t>
  </si>
  <si>
    <t>Kelly, Katie Stover;Yearta, Lindsey</t>
  </si>
  <si>
    <t>LC149.5.S768 2017</t>
  </si>
  <si>
    <t>The Myth of the Muse : Supporting Virtues That Inspire Creativity (Examine the Role of Creativity in Your Classroom)</t>
  </si>
  <si>
    <t>Reeves, Douglas;Reeves, Brooks</t>
  </si>
  <si>
    <t>Global Perspectives : Professional Learning Communities in International Schools (Fully Institutionalize Behaviors Consistent with PLC Expectations)</t>
  </si>
  <si>
    <t>Stuart, Timothy S.</t>
  </si>
  <si>
    <t>Activating the Vision : The Four Keys of Mathematics Leadership (from Team Leaders to Teachers)</t>
  </si>
  <si>
    <t>Barnes, Bill;Toncheff, Mona</t>
  </si>
  <si>
    <t>Motivating and Inspiring Students : Strategies to Awaken the Learner - Helping Students Connect to Something Greater Than Themselves</t>
  </si>
  <si>
    <t>Marzano, Robert J.;Scott, Darrell</t>
  </si>
  <si>
    <t>Real Writing : Modernizing the Old School Essay</t>
  </si>
  <si>
    <t>Nobis, Mitchell;Laird, Daniel;Nobis, Carrie;Reed, Dawn;Schulze, Dirk</t>
  </si>
  <si>
    <t>PE1404.R435 2016</t>
  </si>
  <si>
    <t>English language - Rhetoric - Study and teaching</t>
  </si>
  <si>
    <t>Strategic Transformation of Higher Education : Challenges and Solutions in a Global Economy</t>
  </si>
  <si>
    <t>Sutin, Stewart E.;Jacob, W. James</t>
  </si>
  <si>
    <t>LC67.6.S87 2016</t>
  </si>
  <si>
    <t>Education, Higher - Economic aspects</t>
  </si>
  <si>
    <t>Reading Amplified : Digital Tools that Engage Students in Words, Books, and Ideas</t>
  </si>
  <si>
    <t>Spillane, Lee Ann</t>
  </si>
  <si>
    <t>LB1050.S655 2012</t>
  </si>
  <si>
    <t>Bridges, Pathways and Transitions : International Innovations in Widening Participation</t>
  </si>
  <si>
    <t>Shah, Mahsood;Whiteford, Gail</t>
  </si>
  <si>
    <t>LB2322.2.B753 2017</t>
  </si>
  <si>
    <t>Education, Higher--Cross-cultural studies.</t>
  </si>
  <si>
    <t>We Demand : The University and Student Protests</t>
  </si>
  <si>
    <t>American Studies Now: Critical Histories of the Present Series</t>
  </si>
  <si>
    <t>LA229.F474 2017</t>
  </si>
  <si>
    <t>Student movements--United States.</t>
  </si>
  <si>
    <t>The HM Learning and Study Skills Program : Teacher's Guide Level 3</t>
  </si>
  <si>
    <t>LB1049.B72 2016</t>
  </si>
  <si>
    <t>What to Expect and How to Respond : Distress and Success in Academia</t>
  </si>
  <si>
    <t>Wright, Earl, II;Calhoun, Thomas C.;Wright, Earl</t>
  </si>
  <si>
    <t>LB1025.W754 2016</t>
  </si>
  <si>
    <t>Education--Study and teaching.</t>
  </si>
  <si>
    <t>Vintage Knowledge for Principals : Keys to Enrich, Encourage, and Empower School Leaders and Empowering Today's Principals</t>
  </si>
  <si>
    <t>Culp, Barbara D.</t>
  </si>
  <si>
    <t>Words of Wisdom Series</t>
  </si>
  <si>
    <t>LB2831.92.C85 2016</t>
  </si>
  <si>
    <t>Higher Education As a Bridge to the Future : Proceedings of the 50th Anniversary Meeting of the International Association of University Presidents, with Reflections on the Future of Higher Education by Dr. J. Michael Adams</t>
  </si>
  <si>
    <t>Scorza, Jason A.;Adams, J. Michael;Breakwell, Dame Glynis;Carfagna, Angelo;Choue, Inwon;Damodaran, Ramu;Davis-Russell, Elizabeth;Dennis, Emmet;Diab, Hassan B.;Drucker, Sheldon</t>
  </si>
  <si>
    <t>LB2301.H544 2016</t>
  </si>
  <si>
    <t>Advancing Educational Outcomes in Science, Technology, Engineering, and Mathematics at Historically Black Colleges and Universities</t>
  </si>
  <si>
    <t>Flowers, Lamont A.;Flowers, Lawrence O.;Moore III, James L.;Pitre, Abul</t>
  </si>
  <si>
    <t>Q181.A383 2016</t>
  </si>
  <si>
    <t>Essential Competencies for English-Medium University Teaching</t>
  </si>
  <si>
    <t>Breeze, Ruth;Sancho Guinda, Carmen</t>
  </si>
  <si>
    <t>Educational Linguistics Series</t>
  </si>
  <si>
    <t>Shaping Our Future : How Should Higher Education Help Us Create the Society We Want?</t>
  </si>
  <si>
    <t>National Issues Forums Institute</t>
  </si>
  <si>
    <t>Johnson, Jean</t>
  </si>
  <si>
    <t>LC191.J646 2012</t>
  </si>
  <si>
    <t>Teaching Social Studies in an Era of Divisiveness : The Challenges of Discussing Social Issues in a Non-Partisan Way</t>
  </si>
  <si>
    <t>LB1584.T433 2016</t>
  </si>
  <si>
    <t>Social sciences - Study and teaching (Elementary)</t>
  </si>
  <si>
    <t>Safe Zones : Training Allies of LGBTQIA+ Young Adults</t>
  </si>
  <si>
    <t>Poynter, Kerry John</t>
  </si>
  <si>
    <t>HQ73.S244 2017</t>
  </si>
  <si>
    <t>Safety education - Study and teaching</t>
  </si>
  <si>
    <t>The Enlightened College Applicant : A New Approach to the Search and Admissions Process</t>
  </si>
  <si>
    <t>Belasco, Andrew;Bergman, Dave</t>
  </si>
  <si>
    <t>LB2350.5.B43 2016</t>
  </si>
  <si>
    <t>College choice--United States. ; Universities and colleges--United States--Admission.</t>
  </si>
  <si>
    <t>Teaching and Supporting Migrant Children in Our Schools : A Culturally Proficient Approach</t>
  </si>
  <si>
    <t>Quezada, Reyes L.;Rodriguez-Valls, Fernando;Lindsey, Randall B.</t>
  </si>
  <si>
    <t>LC5151.Q493 2016</t>
  </si>
  <si>
    <t>Children of agricultural laborers - Education - United States</t>
  </si>
  <si>
    <t>Learning from the Inside-Out : Child Development and School Choice</t>
  </si>
  <si>
    <t>Whitaker, Manya</t>
  </si>
  <si>
    <t>LB1031.W458 2016</t>
  </si>
  <si>
    <t>Education - Decision making</t>
  </si>
  <si>
    <t>Kids Can Think : Philosophical Challenges for the Classroom</t>
  </si>
  <si>
    <t>Gilmore, Ron</t>
  </si>
  <si>
    <t>B52.G556 2016</t>
  </si>
  <si>
    <t>Philosophy - Study and teaching</t>
  </si>
  <si>
    <t>Forest School in Practice : For All Ages</t>
  </si>
  <si>
    <t>Knight, Sara</t>
  </si>
  <si>
    <t>LB1047K55 2016</t>
  </si>
  <si>
    <t>Positive Behaviour Management in Early Years Settings : An Essential Guide</t>
  </si>
  <si>
    <t>Williams, Liz</t>
  </si>
  <si>
    <t>LB1060.2.W55 2017</t>
  </si>
  <si>
    <t>Behavior modification. ; Classroom management. ; Early childhood education.</t>
  </si>
  <si>
    <t>Black Theology and Pedagogy</t>
  </si>
  <si>
    <t>Erskine, N.</t>
  </si>
  <si>
    <t>Black Religion/Womanist Thought/Social Justice Series</t>
  </si>
  <si>
    <t>Identity in Education</t>
  </si>
  <si>
    <t>Sánchez-Casal, S.</t>
  </si>
  <si>
    <t>Minorities--Education (Higher)--United States</t>
  </si>
  <si>
    <t>The Transformation of Global Higher Education, 1945-2015</t>
  </si>
  <si>
    <t>Zeleza, Paul Tiyambe</t>
  </si>
  <si>
    <t>African Histories and Modernities Series</t>
  </si>
  <si>
    <t>Decolonizing Indigenous Education : An Amazigh/Berber Ethnographic Journey</t>
  </si>
  <si>
    <t>Taieb, S.</t>
  </si>
  <si>
    <t>What Gender Is Motherhood? : Changing Yorùbá Ideals of Power, Procreation, and Identity in the Age of Modernity</t>
  </si>
  <si>
    <t>Oyěwùmí, Oyèrónkẹ́</t>
  </si>
  <si>
    <t>Gender and Cultural Studies in Africa and the Diaspora Series</t>
  </si>
  <si>
    <t>GN643-661</t>
  </si>
  <si>
    <t>Ethnology-Africa</t>
  </si>
  <si>
    <t>Abbé Sicard's Deaf Education : Empowering the Mute, 1785-1820</t>
  </si>
  <si>
    <t>Kennedy, Emmet</t>
  </si>
  <si>
    <t>P140-143.3</t>
  </si>
  <si>
    <t>371.91/2092 B</t>
  </si>
  <si>
    <t>Politics, Disability, and Education Reform in the South : The Work of John Eldred Swearingen</t>
  </si>
  <si>
    <t>Janak, E.</t>
  </si>
  <si>
    <t>Black Colleges Across the Diaspora : Global Perspectives on Race and Stratification in Postsecondary Education</t>
  </si>
  <si>
    <t>Brown II, M. Christopher;Dancy II, T. Elon</t>
  </si>
  <si>
    <t>LA5-2396</t>
  </si>
  <si>
    <t>College students, Black</t>
  </si>
  <si>
    <t>The Crisis of Race in Higher Education : A Day of Discovery and Dialogue</t>
  </si>
  <si>
    <t>Tate IV, William F.;Staudt, Nancy;Macrander, Ashley</t>
  </si>
  <si>
    <t>LD13-7251</t>
  </si>
  <si>
    <t>The Dark Side of Leadership : Identifying and Overcoming Unethical Practice in Organizations</t>
  </si>
  <si>
    <t>Normore, Anthony H.;Brooks, Jeffrey S.</t>
  </si>
  <si>
    <t>Design of Technology-Enhanced Learning : Integrating Research and Practice</t>
  </si>
  <si>
    <t>Bower, Matt</t>
  </si>
  <si>
    <t>Developing Public Managers for a Changing World</t>
  </si>
  <si>
    <t>Majgaard, Klaus;Nielsen, Jens Carl Ry;Quinn, Bríd;Raine, John</t>
  </si>
  <si>
    <t>Critical Perspectives on International Public Sector Management Series</t>
  </si>
  <si>
    <t>Public administration--Information resources management</t>
  </si>
  <si>
    <t>Engaging Dissonance : Developing Mindful Global Citizenship in Higher Education</t>
  </si>
  <si>
    <t>Lee, Amy;Williams, Rhiannon D.</t>
  </si>
  <si>
    <t>International education.</t>
  </si>
  <si>
    <t>Ethics, Equity, and Inclusive Education</t>
  </si>
  <si>
    <t>Gajewski, Agnes;Forlin, Chris</t>
  </si>
  <si>
    <t>General and Special Education Inclusion in an Age of Change : Roles of Professionals Involved</t>
  </si>
  <si>
    <t>Bakken, Jeffrey P.;Obiakor, Festus E.</t>
  </si>
  <si>
    <t>Global Perspectives on Educational Testing : Examining Fairness, High-Stakes and Policy Reform</t>
  </si>
  <si>
    <t>The Impact of the OECD on Education Worldwide</t>
  </si>
  <si>
    <t>Wiseman, Alexander W.;Taylor, Calley Stevens</t>
  </si>
  <si>
    <t>Comparative education.</t>
  </si>
  <si>
    <t>The Capitalist University : The Transformations of Higher Education in the United States since 1945</t>
  </si>
  <si>
    <t>Heller, Henry</t>
  </si>
  <si>
    <t>LA226.H455 2016</t>
  </si>
  <si>
    <t>Education, Higher--United States--History.</t>
  </si>
  <si>
    <t>Theory and Method in Higher Education Research Series</t>
  </si>
  <si>
    <t>Uncertainty and Strategic Decision Making</t>
  </si>
  <si>
    <t>Sund, Kristian J.;Galavan, Robert J.;Huff, Anne Sigismund</t>
  </si>
  <si>
    <t>New Horizons in Managerial and Organizational Cognition Series</t>
  </si>
  <si>
    <t>HF5549-5549.5</t>
  </si>
  <si>
    <t>University Partnerships for International Development</t>
  </si>
  <si>
    <t>Cozza, Barbara;Blessinger, Patrick</t>
  </si>
  <si>
    <t>NextGeners : Pedagogical Considerations</t>
  </si>
  <si>
    <t>Pre-University Engineering Education</t>
  </si>
  <si>
    <t>de Vries, Marc J.;Gumaelius, Lena;Skogh, Inga-Britt</t>
  </si>
  <si>
    <t>Writing up Quantitative Research in the Social and Behavioral Sciences</t>
  </si>
  <si>
    <t>Fallon, Marianne</t>
  </si>
  <si>
    <t>Teaching Writing Series</t>
  </si>
  <si>
    <t>Non-Cognitive Skills and Factors in Educational Attainment</t>
  </si>
  <si>
    <t>Khine, Myint Swe;Areepattamannil, Shaljan</t>
  </si>
  <si>
    <t>The Creative Enterprise of Mathematics Teaching Research : Elements of Methodology and Practice - from Teachers to Teachers</t>
  </si>
  <si>
    <t>Czarnocha, Bronislaw;Baker, William;Dias, Olen;Prabhu, Vrunda</t>
  </si>
  <si>
    <t>The School Drama Book: Drama, Literature and Literacy in the Creative Classroom : Drama, Literature and Literacy in the Creative Classroom</t>
  </si>
  <si>
    <t>Currency Press</t>
  </si>
  <si>
    <t>Ewing, Robyn;Saunders, John</t>
  </si>
  <si>
    <t>Arts in education--Australia.</t>
  </si>
  <si>
    <t>Leadership for a Better World : Understanding the Social Change Model of Leadership Development</t>
  </si>
  <si>
    <t>Komives, Susan R.;Wagner, Wendy</t>
  </si>
  <si>
    <t>Praxis Core : 1,001 Practice Questions for Dummies</t>
  </si>
  <si>
    <t>Being at Home : Race, Institutional Culture and Transformation at South African Higher Education Institutions</t>
  </si>
  <si>
    <t>Blue Weaver</t>
  </si>
  <si>
    <t>University of Kwazulu-Natal Press</t>
  </si>
  <si>
    <t>Scottsville, Kwazulu-Natal</t>
  </si>
  <si>
    <t>Tabensky, Pedro;Matthews, Sally</t>
  </si>
  <si>
    <t>LA1538.B45 2015</t>
  </si>
  <si>
    <t>Multicultural education--South Africa.</t>
  </si>
  <si>
    <t>International Research on Education for Sustainable Development in Early Childhood</t>
  </si>
  <si>
    <t>Siraj-Blatchford, John;Mogharreban, Cathy;Park, Eunhye</t>
  </si>
  <si>
    <t>Consolidating Colleges and Merging Universities : New Strategies for Higher Education Leaders</t>
  </si>
  <si>
    <t>A Girl's Education : Schooling and the Formation of Gender, Identities and Future Visions</t>
  </si>
  <si>
    <t>Gill, Judith;Esson, Katharine;Yuen, Rosalina</t>
  </si>
  <si>
    <t>Science Teachers' Learning : Enhancing Opportunities, Creating Supportive Contexts</t>
  </si>
  <si>
    <t>Nielsen, Natalie;Schweingruber, Heidi;Wilson, Suzanne</t>
  </si>
  <si>
    <t>LB1585.S354 2015</t>
  </si>
  <si>
    <t>Between the Lines : Actively Engaging Readers in the English Classroom</t>
  </si>
  <si>
    <t>Anthony, Michael;Kaywell, Joan F.</t>
  </si>
  <si>
    <t>LB1631.A55 2016</t>
  </si>
  <si>
    <t>English language--Study and teaching (Middle school)--United States. ; English language--Study and teaching (Secondary)--United States. ; English language--Composition and exercises--Study and teaching (Middle school)--United States. ; English language--Composition and exercises--Study and teaching (Secondary)--United States.</t>
  </si>
  <si>
    <t>Breaking Point : The College Affordability Crisis and Our Next Financial Bubble</t>
  </si>
  <si>
    <t>LB2342.C6647 2016</t>
  </si>
  <si>
    <t>United States - Economic conditions - 21st century</t>
  </si>
  <si>
    <t>Expanding Elementary Teacher Education Through Service-Learning : A Handbook on Extending Literacy Field Experience for 21st Century Urban Teacher Preparation</t>
  </si>
  <si>
    <t>Sulentic Dowell, Margaret-Mary;Meidl, Tynisha D.</t>
  </si>
  <si>
    <t>LB1715.D65 2017</t>
  </si>
  <si>
    <t>Education, Urban - Fieldwork - United States</t>
  </si>
  <si>
    <t>Embracing a Culture of Joy : How Educators Can Bring Joy to Their Classrooms Each Day</t>
  </si>
  <si>
    <t>Shareski, Dean</t>
  </si>
  <si>
    <t>Solutions for Creating the Learning Spaces Students Deserve Series</t>
  </si>
  <si>
    <t>Humanizing the Education Machine : How to Create Schools That Turn Disengaged Kids into Inspired Learners</t>
  </si>
  <si>
    <t>Miller, Rex;Latham, Bill;Cahill, Brian</t>
  </si>
  <si>
    <t>Educational change. ; Classroom environment. ; Students--Attitudes.</t>
  </si>
  <si>
    <t>Developing a Center for Teaching Excellence : A Higher Education Case Study Using the Integrated Readiness Matrix</t>
  </si>
  <si>
    <t>Tomei, Lawrence A.;Bernauer, James A.;Moretti, Anthony</t>
  </si>
  <si>
    <t>LB2395.7T66 2016</t>
  </si>
  <si>
    <t>Education, Higher--Effect of technological innovations on</t>
  </si>
  <si>
    <t>Finding Quality Early Childcare : A Step-By-Step Guide for Parents about What Matters Most</t>
  </si>
  <si>
    <t>Vanover, Sarah</t>
  </si>
  <si>
    <t>HQ778.5V36 2016</t>
  </si>
  <si>
    <t>Game On : Using Digital Games to Transform Teaching, Learning, and Assessment</t>
  </si>
  <si>
    <t>LB1028.5.S33 2017</t>
  </si>
  <si>
    <t>A Mind for Mathematics : Meaningful Teaching and Learning in Elementary Classrooms--Useful Classroom Tactics and Examples for K-6 Math</t>
  </si>
  <si>
    <t>Smith, Nanci N.</t>
  </si>
  <si>
    <t>QA11.S658 2017</t>
  </si>
  <si>
    <t>Latino College Presidents : In Their Own Words</t>
  </si>
  <si>
    <t>Leon, David J.;Martinez, Ruben</t>
  </si>
  <si>
    <t>Education, Higher-United States</t>
  </si>
  <si>
    <t>Keys to Educational Success : Teaching Students with Visual Impairments and Multiple Disabilities</t>
  </si>
  <si>
    <t>American Printing House for the Blind</t>
  </si>
  <si>
    <t>American Foundation for the Blind Press</t>
  </si>
  <si>
    <t>Sacks, Sharon;Zatta, Mary C.</t>
  </si>
  <si>
    <t>HV1631.K49 2016</t>
  </si>
  <si>
    <t>Children with visual disabilities--Education.</t>
  </si>
  <si>
    <t>Geography As Inquiry : Teaching about and Exploring the Earth As Our Home</t>
  </si>
  <si>
    <t>Newman, Mark;Zevin, Jack</t>
  </si>
  <si>
    <t>G73.N496 2016</t>
  </si>
  <si>
    <t>Geography - Study and teaching</t>
  </si>
  <si>
    <t>No One Left Standing : Will the Rewrite of NCLB Be Enough?</t>
  </si>
  <si>
    <t>LB3051.W344 2017</t>
  </si>
  <si>
    <t>Extreme Curriculum Makeover : A Hands-On Guide for a Learner-Centered Pedagogy</t>
  </si>
  <si>
    <t>Rshaid, Gabriel F.</t>
  </si>
  <si>
    <t>LB2361.5.R743 2017</t>
  </si>
  <si>
    <t>Check It Off! : Pave Your Way Through College to Career</t>
  </si>
  <si>
    <t>Teller, Vera</t>
  </si>
  <si>
    <t>LB2343.3.T455 2016</t>
  </si>
  <si>
    <t>College students - Vocational guidance</t>
  </si>
  <si>
    <t>Leader's Guide to Excellence in Every Classroom : : Creating Support Systems for Teacher Success - Explore What It Means to Be a Self-Actualized Education Leader and How to Inspire Leadership in Others</t>
  </si>
  <si>
    <t>Wink, John R.</t>
  </si>
  <si>
    <t>The Fundamentals of (Re)designing Writing Units : Useful Professional and Student Resources for Classroom Lesson Design and Writing Units</t>
  </si>
  <si>
    <t>P301.5.A27.G537 2017</t>
  </si>
  <si>
    <t>Gender, Management and Leadership in Initial Teacher Education : Managing to Survive in the Education Marketplace?</t>
  </si>
  <si>
    <t>Thompson, Barbara</t>
  </si>
  <si>
    <t>A Teacher's Inside Advice to Parents : How Children Thrive with Leadership, Love, Laughter, and Learning</t>
  </si>
  <si>
    <t>LC226.W37 2016</t>
  </si>
  <si>
    <t>Compassionate Critical Thinking : How Mindfulness, Creativity, Empathy, and Socratic Questioning Can Transform Teaching</t>
  </si>
  <si>
    <t>Rabois, Ira</t>
  </si>
  <si>
    <t>LB1590.3.R336 2016</t>
  </si>
  <si>
    <t>Empathy - Study and teaching</t>
  </si>
  <si>
    <t>Guiding Curriculum Development : The Need to Return to Local Control</t>
  </si>
  <si>
    <t>LB2806.15.N67 2016</t>
  </si>
  <si>
    <t>School boards - United States - Decision making</t>
  </si>
  <si>
    <t>Developing Critical Thinking : From Theory to Classroom Practice</t>
  </si>
  <si>
    <t>Naiditch, Fernando</t>
  </si>
  <si>
    <t>LB1590.3.D46 2017</t>
  </si>
  <si>
    <t>Critical thinking--Study and teaching.</t>
  </si>
  <si>
    <t>Going for the Gold : How to Become a World-Class Academic Fundraiser</t>
  </si>
  <si>
    <t>Buller, Jeffrey L.;Reeves, Dianne M.</t>
  </si>
  <si>
    <t>LB2335.95.B85 2017</t>
  </si>
  <si>
    <t>Educational fund raising.</t>
  </si>
  <si>
    <t>Race, Gender, and Curriculum Theorizing : Working in Womanish Ways</t>
  </si>
  <si>
    <t>Baszile, Denise Taliaferro;Edwards, Kirsten T.;Guillory, Nichole A.;Agosto, Vonzell;Berry, Theodorea Regina;Huckaby, M. Francyne;Salaam, Tayari Kwa;Matias, Cheryl E.;Morton, Berlisha R.;Ross, Sabrina</t>
  </si>
  <si>
    <t>LC2781.R34 2016</t>
  </si>
  <si>
    <t>African American women scholars</t>
  </si>
  <si>
    <t>Storing, Archiving, Organizing : The Changing Dynamics of Scholarly Information Management in Post-Reformation Zurich</t>
  </si>
  <si>
    <t>Goeing, Anja-Silvia</t>
  </si>
  <si>
    <t>Library of the Written Word Series</t>
  </si>
  <si>
    <t>LA939.Z8G64 2017</t>
  </si>
  <si>
    <t>Zwingli, Ulrich, 1484-1531. ; Grossmünster (Zurich, Switzerland)--Archives. ; Education, Higher--Switzerland--Zurich--History--16th century. ; Universities and colleges--Information resources management--Switzerland--Zurich--History--16th century.</t>
  </si>
  <si>
    <t>Applied Theatre: Performing Health and Wellbeing</t>
  </si>
  <si>
    <t>Methuen Drama</t>
  </si>
  <si>
    <t>Baxter, Veronica;Low, Katharine E.;Balfour, Michael;Preston, Sheila</t>
  </si>
  <si>
    <t>Applied Theatre Series</t>
  </si>
  <si>
    <t>RA440.B398 2017</t>
  </si>
  <si>
    <t>Drama in health education</t>
  </si>
  <si>
    <t>Helping at-Risk Students : A Group Counseling Approach for Grades 6-9</t>
  </si>
  <si>
    <t>Waterman, Jill;Walker, Elizabeth</t>
  </si>
  <si>
    <t>LB1027.5.W384 2009</t>
  </si>
  <si>
    <t>Counseling in middle school education</t>
  </si>
  <si>
    <t>Integrating Literacy and Math : Strategies for K-6 Teachers</t>
  </si>
  <si>
    <t>Fogelberg, Ellen;Skalinder, Carole;Satz, Patti;Hiller, Barbara;Bernstein, Lisa;Vitantonio, Sandra</t>
  </si>
  <si>
    <t>QA135.6.I584 2008</t>
  </si>
  <si>
    <t>Measuring Change in Counseling and Psychotherapy</t>
  </si>
  <si>
    <t>Meier, Scott T.</t>
  </si>
  <si>
    <t>RC469.M454 2008</t>
  </si>
  <si>
    <t>616.89/075</t>
  </si>
  <si>
    <t>Psychological Tests</t>
  </si>
  <si>
    <t>Simplifying Common Assessment : A Guide for Professional Learning Communities at Work(tm) [how Teadchers Can Develop Effective and Efficient Assessments</t>
  </si>
  <si>
    <t>Bailey, Kim;Jakacic, Chris</t>
  </si>
  <si>
    <t>LB1731.B355 2017</t>
  </si>
  <si>
    <t>Creating a Culture of Feedback : (Empower Students to Own Their Learning)</t>
  </si>
  <si>
    <t>Ferriter, William M.;Cancellieri, Paul J.</t>
  </si>
  <si>
    <t>Overcoming Educational Racism in the Community College : Creating Pathways to Success for Minority and Impoverished Student Populations</t>
  </si>
  <si>
    <t>Long, Angela</t>
  </si>
  <si>
    <t>LC4065.O94 2016</t>
  </si>
  <si>
    <t>Poor - Education (Higher)</t>
  </si>
  <si>
    <t>Improving Reading Comprehension Through Metacognitive Reading Strategies Instruction</t>
  </si>
  <si>
    <t>Mokhtari, Kouider</t>
  </si>
  <si>
    <t>LB1050.45.I477 2017</t>
  </si>
  <si>
    <t>Reading comprehension</t>
  </si>
  <si>
    <t>Faculty Development in the Age of Evidence : Current Practices, Future Imperatives</t>
  </si>
  <si>
    <t>Beach, Andrea L.;Sorcinelli, Mary Deane;Austin, Ann E.;Rivard, Jaclyn K.</t>
  </si>
  <si>
    <t>LB2331.7.B43 2016</t>
  </si>
  <si>
    <t>Multiculturalism on Campus : Theory, Models, and Practices for Understanding Diversity and Creating Inclusion</t>
  </si>
  <si>
    <t>Cuyjet, Michael J.;Cooper, Diane L.;Howard-Hamilton, Mary F.;Linder, Chris</t>
  </si>
  <si>
    <t>LC1099.3.M87 2016</t>
  </si>
  <si>
    <t>378/.017</t>
  </si>
  <si>
    <t>Educational Technology and Polycontextual Bridging</t>
  </si>
  <si>
    <t>Elstad, Eyvind</t>
  </si>
  <si>
    <t>Digital Expectations and Experiences in Education</t>
  </si>
  <si>
    <t>The Global and the Local : Diverse Perspectives in Comparative Education</t>
  </si>
  <si>
    <t>Astiz, M. Fernanda;Akiba, Motoko</t>
  </si>
  <si>
    <t>Spotlight on China : Chinese Education in the Globalized World</t>
  </si>
  <si>
    <t>Guo, Shibao;Guo, Yan</t>
  </si>
  <si>
    <t>Spotlight on China Series</t>
  </si>
  <si>
    <t>Global Challenges, National Initiatives, and Institutional Responses : The Transformation of Higher Education</t>
  </si>
  <si>
    <t>Sarrico, Cláudia;Teixeira, Pedro N.;Magalhães, António;Veiga, Amélia;João Rosa, Maria;Carvalho, Teresa</t>
  </si>
  <si>
    <t>Teaching for the Lifespan : Successfully Transitioning Students with Learning Differences to Adulthood</t>
  </si>
  <si>
    <t>Reiff, Henry B.;Ofiesh, Nicole S.</t>
  </si>
  <si>
    <t>LC4031R454 2016</t>
  </si>
  <si>
    <t>Working with Kids Who Bully : New Perspectives on Prevention and Intervention</t>
  </si>
  <si>
    <t>LB3013.3R634 2017</t>
  </si>
  <si>
    <t>Redefining Smart : Awakening Students' Power to Reimagine Their World</t>
  </si>
  <si>
    <t>Markham, Thom</t>
  </si>
  <si>
    <t>LB1590.3M375 2016</t>
  </si>
  <si>
    <t>Designing Schools for Meaningful Professional Learning : A Guidebook for Educators</t>
  </si>
  <si>
    <t>Bradley, Janice T.</t>
  </si>
  <si>
    <t>LB1731.B733 2015</t>
  </si>
  <si>
    <t>Growing Language Through Science, K-5 : Strategies That Work</t>
  </si>
  <si>
    <t>Reinhartz, Judy G.</t>
  </si>
  <si>
    <t>LB1585R456 2015</t>
  </si>
  <si>
    <t>The Take-Action Guide to World Class Learners Book 3 : How to Create a Campus Without Borders</t>
  </si>
  <si>
    <t>Zhao, Yong;Tavangar, Homa S.;McCarren, Emily E.;Rshaid, Gabriel F.;Tucker, Kay F.</t>
  </si>
  <si>
    <t>LC1090Z436 2016</t>
  </si>
  <si>
    <t>Writing the Playbook : A Practitioner's Guide to Creating a Boy-Friendly School</t>
  </si>
  <si>
    <t>King, Kelley E.</t>
  </si>
  <si>
    <t>LC1390.K564 2013</t>
  </si>
  <si>
    <t>Blogging for Educators : Writing for Professional Learning</t>
  </si>
  <si>
    <t>Corwin Connected Educators Series</t>
  </si>
  <si>
    <t>LB1044.87.S737 2015</t>
  </si>
  <si>
    <t>The Everything Guide to Informational Texts, K-2 : Best Texts, Best Practices</t>
  </si>
  <si>
    <t>Barclay, Kathy H.;Stewart, Laura D.;Lee, Deborah M.</t>
  </si>
  <si>
    <t>Corwin Literacy Series</t>
  </si>
  <si>
    <t>LB1576.B373 2014</t>
  </si>
  <si>
    <t>When Treating All the Kids the SAME Is the REAL Problem : Educational Leadership and the 21st Century Dilemma of Difference</t>
  </si>
  <si>
    <t>Johnson, Kendra V.;Williams, Lisa N. Jefferson</t>
  </si>
  <si>
    <t>The Take-Action Guide to World Class Learners Book 2 : How to Make Product-Oriented Learning Happen</t>
  </si>
  <si>
    <t>LB1027.43Z436 2016</t>
  </si>
  <si>
    <t>Creating Life-Long Learners : Using Project-Based Management to Teach 21st Century Skills</t>
  </si>
  <si>
    <t>Stanley, Todd M.</t>
  </si>
  <si>
    <t>LB1027.43S736 2015</t>
  </si>
  <si>
    <t>Teacher As Activator of Learning</t>
  </si>
  <si>
    <t>LB1025.3G744 2016</t>
  </si>
  <si>
    <t>What Really Works in Secondary Education</t>
  </si>
  <si>
    <t>Murawski, Wendy;Scott, Kathy Lynn</t>
  </si>
  <si>
    <t>What&amp;prime;s in Your Space? : 5 Steps for Better School and Classroom Design</t>
  </si>
  <si>
    <t>Carter, Dwight L.;Sebach, Gary L.;White, Mark E.</t>
  </si>
  <si>
    <t>LB3325.C5C378 2016</t>
  </si>
  <si>
    <t>What Is It about Me You Can&amp;prime;t Teach? : Culturally Responsive Instruction in Deeper Learning Classrooms</t>
  </si>
  <si>
    <t>Rodriguez, Eleanor Renee;Bellanca, James A.;Esparza, Deborah Rosalia</t>
  </si>
  <si>
    <t>LC5131R637 2017</t>
  </si>
  <si>
    <t>Understanding Schooling Through the Eyes of Students</t>
  </si>
  <si>
    <t>LB1033M877 2016</t>
  </si>
  <si>
    <t>101 Solutions for School Counselors and Leaders in Challenging Times</t>
  </si>
  <si>
    <t>Chen-Hayes, Stuart F.;Ockerman, Melissa S.;Mason, Erin Chase McCarty</t>
  </si>
  <si>
    <t>LB1027.5.C446 2014</t>
  </si>
  <si>
    <t>Big Wins, Small Steps : How to Lead for and with Creativity</t>
  </si>
  <si>
    <t>Beghetto, Ronald A.</t>
  </si>
  <si>
    <t>LB1590.5B444 2016</t>
  </si>
  <si>
    <t>The Clarity Series: Creating Passionate Learners : Engaging Today&amp;prime;s Students for Tomorrow&amp;prime;s World</t>
  </si>
  <si>
    <t>Brown, Kim M.;Frontier, Tony;Viegut, Donald J.</t>
  </si>
  <si>
    <t>LB1025.3B769 2016</t>
  </si>
  <si>
    <t>Reach the Highest Standard in Professional Learning : Resources</t>
  </si>
  <si>
    <t>Miles, Karen Hawley;Sommers, Anna;Roy, Patricia A.;von Frank, Valerie</t>
  </si>
  <si>
    <t>LB1731M554 2016</t>
  </si>
  <si>
    <t>Reframing Bullying Prevention to Build Stronger School Communities</t>
  </si>
  <si>
    <t>LB3013.3.D555 2015</t>
  </si>
  <si>
    <t>Bourdieu for Educators : Policy and Practice</t>
  </si>
  <si>
    <t>English, Fenwick W.;Bolton, Cheryl L.</t>
  </si>
  <si>
    <t>LC189E545 2016</t>
  </si>
  <si>
    <t>Students with Mild Exceptionalities : Characteristics and Applications</t>
  </si>
  <si>
    <t>Zentall, Sydney S.</t>
  </si>
  <si>
    <t>LC4705Z468 2014</t>
  </si>
  <si>
    <t>Foundations of Early Childhood : Principles and Practice</t>
  </si>
  <si>
    <t>Mukherji, Penny;Dryden, Louise</t>
  </si>
  <si>
    <t>LB1139.23F686 2014</t>
  </si>
  <si>
    <t>Portfolio to Go : 1000+ Reflective Writing Prompts and Provocations for Clinical Learners</t>
  </si>
  <si>
    <t>Peterkin, Allan D.</t>
  </si>
  <si>
    <t>R834P484 2016</t>
  </si>
  <si>
    <t>808.06/661</t>
  </si>
  <si>
    <t>Literature; Medicine</t>
  </si>
  <si>
    <t>Teaching and Learning for Wholeness : The Role of Archetypes in Educational Processes</t>
  </si>
  <si>
    <t>Mayes, Clifford</t>
  </si>
  <si>
    <t>LC990M394 2017</t>
  </si>
  <si>
    <t>Frustration of Shame : In Defense of America's Teachers</t>
  </si>
  <si>
    <t>Gevirtzman, Bruce J.</t>
  </si>
  <si>
    <t>LB2838G485</t>
  </si>
  <si>
    <t>Parents and Teachers Working Together : Addressing School's Most Vital Stakeholders</t>
  </si>
  <si>
    <t>Novick, Brett</t>
  </si>
  <si>
    <t>LC226N685 2017</t>
  </si>
  <si>
    <t>Dumbing Us down - 25th Anniversary Edition : The Hidden Curriculum of Compulsory Schooling</t>
  </si>
  <si>
    <t>New Society Publishers, Limited</t>
  </si>
  <si>
    <t>Gatto, John Taylor;Slayback, Zachary</t>
  </si>
  <si>
    <t>LA217.2 .G388 2017</t>
  </si>
  <si>
    <t>Educational sociology-United States. ; Education-Aims and objectives-United States.</t>
  </si>
  <si>
    <t>Sign Language, Sustainable Development, and Equal Opportunities : Envisioning the Future for Deaf Students</t>
  </si>
  <si>
    <t>De Clerck, Goedele A. M.;Paul, Peter V.</t>
  </si>
  <si>
    <t>Deaf Education Series</t>
  </si>
  <si>
    <t>HV2430</t>
  </si>
  <si>
    <t>Students, Teachers, and Leaders Addressing Bullying in Schools</t>
  </si>
  <si>
    <t>Boske, Christa;Osanloo, Azadeh</t>
  </si>
  <si>
    <t>Bullying in schools.</t>
  </si>
  <si>
    <t>The Translational Design of Schools : An Evidence-Based Approach to Aligning Pedagogy and Learning Environments</t>
  </si>
  <si>
    <t>Fisher, Kenn</t>
  </si>
  <si>
    <t>Quality in Higher Education : Developing a Virtue of Professional Practice</t>
  </si>
  <si>
    <t>Cheng, Ming</t>
  </si>
  <si>
    <t>Education, Higher--Evaluation.</t>
  </si>
  <si>
    <t>Marginalisation and Aggression from Bullying to Genocide : Critical Educational and Psychological Perspectives</t>
  </si>
  <si>
    <t>Minton, Stephen James</t>
  </si>
  <si>
    <t>The Shaping of Thought : A Teacher's Guide to Metacognitive Mapping and Critical Thinking in Response to Literature</t>
  </si>
  <si>
    <t>Lyman, Frank T., Jr.;Lopez, Charlene;Mindus, Arlene;Lyman, Frank T.</t>
  </si>
  <si>
    <t>LB1050.45L963 2017</t>
  </si>
  <si>
    <t>Metacognition in children</t>
  </si>
  <si>
    <t>Design Education : Creating Thinkers to Improve the World</t>
  </si>
  <si>
    <t>National Art Education Association</t>
  </si>
  <si>
    <t>Vande Zande, Robin</t>
  </si>
  <si>
    <t>NK1170V363 2017</t>
  </si>
  <si>
    <t>Design - Study and teaching</t>
  </si>
  <si>
    <t>Maker-Centered Learning : Empowering Young People to Shape Their Worlds</t>
  </si>
  <si>
    <t>Clapp, Edward P.;Ross, Jessica;Ryan, Jennifer O.;Tishman, Shari</t>
  </si>
  <si>
    <t>LB1029.M35M354 2017</t>
  </si>
  <si>
    <t>Maker movement in education</t>
  </si>
  <si>
    <t>Diversifying the Teaching Force in Transnational Contexts : Critical Perspectives</t>
  </si>
  <si>
    <t>Schmidt, Clea;Schneider, Jens</t>
  </si>
  <si>
    <t>The Collegiate Way : University Education in a Collegiate Context</t>
  </si>
  <si>
    <t>Evans, H. M.;Burt, T. P.</t>
  </si>
  <si>
    <t>Contexts of Education Series</t>
  </si>
  <si>
    <t>Teachers Creating Context-Based Learning Environments in Science</t>
  </si>
  <si>
    <t>Taconis, Ruurd;den Brok, Perry;Pilot, Albert</t>
  </si>
  <si>
    <t>Global Learning in the 21st Century</t>
  </si>
  <si>
    <t>Barkatsas, Tasos;Bertram, Adam</t>
  </si>
  <si>
    <t>Global Education in the 21st Century Series</t>
  </si>
  <si>
    <t>Real World Professional Learning Communities : Their Use and Effects</t>
  </si>
  <si>
    <t>Arredondo Rucinski, Daisy</t>
  </si>
  <si>
    <t>LB1731R78 2016</t>
  </si>
  <si>
    <t>The Palgrave Handbook of Sexuality Education</t>
  </si>
  <si>
    <t>Allen, Louisa;Rasmussen, Mary Lou</t>
  </si>
  <si>
    <t>200+ Proven Strategies for Teaching Reading, Grades K-8 : Support the Needs of Struggling Readers</t>
  </si>
  <si>
    <t>Perez, Kathy</t>
  </si>
  <si>
    <t>Deep Discourse : A Framework for Cultivating Student-Led Discussions--Use Conversation to Raise Student Learning, Motivation, and Engagement in K-12 Classrooms</t>
  </si>
  <si>
    <t>Novak, Sandi;Slattery, Cara</t>
  </si>
  <si>
    <t>How to Go to College on a Shoe String : The Insider’s Guide to Grants, Scholarships, Cheap Books, Fellowships and Other Financial Aid Secrets</t>
  </si>
  <si>
    <t>Vearsa (ePub Direct)</t>
  </si>
  <si>
    <t>Atlantic Publishing Group</t>
  </si>
  <si>
    <t>Ocala</t>
  </si>
  <si>
    <t>Atlantic Publishing Group Inc.</t>
  </si>
  <si>
    <t>O'Phelan, Ann Marie;Lipphardt, Debra</t>
  </si>
  <si>
    <t>LB2337.4.L577 2016</t>
  </si>
  <si>
    <t>Student aid--United States--Handbooks, manuals, etc.</t>
  </si>
  <si>
    <t>Engaged Research and Practice : Higher Education and the Pursuit of the Public Good</t>
  </si>
  <si>
    <t>Overton, Betty;Pasque, Penny A.;Burkhardt, John C.</t>
  </si>
  <si>
    <t>LB2326.3.E543 2017</t>
  </si>
  <si>
    <t>Action research in education--United States</t>
  </si>
  <si>
    <t>Teaching the Next Generation of Teachers : Preparing for the Practice of Learning Communities in Secondary School</t>
  </si>
  <si>
    <t>Waters, Rich</t>
  </si>
  <si>
    <t>LB1737.U6.W384 2016</t>
  </si>
  <si>
    <t>High school teaching--United States.</t>
  </si>
  <si>
    <t>Energizing Your Organization : The Ultimate School Work Environment</t>
  </si>
  <si>
    <t>HD7261.W468 2017</t>
  </si>
  <si>
    <t>Organizational sociology - United States</t>
  </si>
  <si>
    <t>De LAtlantique a l'ocean Virtue: Experiences Maliennes (itinéraires des Enseignants à Travers les TIC) : Expériences Maliennes (itinéraires des Enseignants à Travers les TIC)</t>
  </si>
  <si>
    <t>Tour�, Kathryn;Cissé, Dougoumalé</t>
  </si>
  <si>
    <t>The Blended Course Design Workbook : A Practical Guide</t>
  </si>
  <si>
    <t>Linder, Kathryn E.</t>
  </si>
  <si>
    <t>LB1028.5.L56 2016</t>
  </si>
  <si>
    <t>Blended learning.com.</t>
  </si>
  <si>
    <t>Research on Student Civic Outcomes in Service Learning : Conceptual Frameworks and Methods</t>
  </si>
  <si>
    <t>Hatcher, Julie A.;Bringle, Robert G.;Hahn, Thomas W.</t>
  </si>
  <si>
    <t>IUPUI Series on Service Learning Research Series</t>
  </si>
  <si>
    <t>LC220.5.R474 2017</t>
  </si>
  <si>
    <t>Understanding the Power and Politics of Public Education : Implementing Policies to Achieve Equal Opportunity for All</t>
  </si>
  <si>
    <t>Mulvey, Janet;Cooper, Bruce S.</t>
  </si>
  <si>
    <t>LA217.2.M84 2016</t>
  </si>
  <si>
    <t>Public schools--United States. ; Educational equalization--United States.</t>
  </si>
  <si>
    <t>Transformational Learning Experiences : A Conversation with Counselors about Their Personal and Professional Developmental Journeys</t>
  </si>
  <si>
    <t>Shuler, Michelle Kelley;Keller-Dupree, Elizabeth;Cook, Katrina</t>
  </si>
  <si>
    <t>BF637.C6.T736 2017</t>
  </si>
  <si>
    <t>Counseling</t>
  </si>
  <si>
    <t>The Empower Program, K-2 : Concrete Strategies for Positive Behavioral Support</t>
  </si>
  <si>
    <t>Baker, Rachel</t>
  </si>
  <si>
    <t>LB1072.B354 2017</t>
  </si>
  <si>
    <t>How Political Correctness Weakens Schools : Stop Losing and Start Winning Educational Excellence</t>
  </si>
  <si>
    <t>Defying Standardization : Creating Curriculum for an Uncertain Future</t>
  </si>
  <si>
    <t>Tienken, Christopher H.</t>
  </si>
  <si>
    <t>LB3060.83.T546 2017</t>
  </si>
  <si>
    <t>Der Bildungsroman im Zeitalter der Pop-Literatur. Christian Kracht und Wolfgang Herrndorf</t>
  </si>
  <si>
    <t>Weber, Stefanie</t>
  </si>
  <si>
    <t>LA722.W434 2016</t>
  </si>
  <si>
    <t>Education--Germany.</t>
  </si>
  <si>
    <t>Intellectual Creativity in First-Year Composition Classes : Building a Case for the Multigenre Research Project</t>
  </si>
  <si>
    <t>Burns, Heidi Wall;MacBride, Michael</t>
  </si>
  <si>
    <t>LB41.B876 2016</t>
  </si>
  <si>
    <t>English language - Rhetoric - Study and teaching (Higher)</t>
  </si>
  <si>
    <t>Success Favors Well-Prepared Teachers : Developing Routines and Relationships to Improve School Culture</t>
  </si>
  <si>
    <t>Parker, Todd Scott;Dowd Barnes, Candice;Kohler-Evans, Patricia</t>
  </si>
  <si>
    <t>LB1033.P34 2016</t>
  </si>
  <si>
    <t>Teacher-student relationships - United States</t>
  </si>
  <si>
    <t>Ensuring High-Quality Curriculum : How to Design, Revise, or Adopt Curriculum Aligned to Student Success</t>
  </si>
  <si>
    <t>Lalor, Angela Di Michele</t>
  </si>
  <si>
    <t>Redefining U. S. Education : A Systematic Approach to Teaching</t>
  </si>
  <si>
    <t>Roth, William F.;Roth, Ian M.</t>
  </si>
  <si>
    <t>LA205.R66 2016</t>
  </si>
  <si>
    <t>Education--United States--History</t>
  </si>
  <si>
    <t>Professional Development of Mathematics Teachers : An Asian Perspective</t>
  </si>
  <si>
    <t>Kaur, Berinderjeet;Kwon, Oh Nam;Leong, Yew Hoong</t>
  </si>
  <si>
    <t>Thinking Through Writing : Guidelines for Planning Learner-Centered Instruction</t>
  </si>
  <si>
    <t>Beals, K. A.</t>
  </si>
  <si>
    <t>PE1408.B467 2017</t>
  </si>
  <si>
    <t>English language - Composition and exercises</t>
  </si>
  <si>
    <t>Language/Linguistics; Law</t>
  </si>
  <si>
    <t>Assessing Student Threats : Implementing the Salem-Keizer System</t>
  </si>
  <si>
    <t>Dreal, John Van</t>
  </si>
  <si>
    <t>LB3013.3.V36 2017</t>
  </si>
  <si>
    <t>Race, Population Studies, and America's Public Schools : A Critical Demography Perspective</t>
  </si>
  <si>
    <t>Horton, Hayward Derrick;Martin, Lori Latrice;Fasching-Varner, Kenneth J.;Crowe, Alice T.;Davis, Trish;Dean, Latrisha Y.;James, Kimberly R.;Lathan, Derrick;Maryland, Ashley;Parker, Veta E.</t>
  </si>
  <si>
    <t>LC69.R33 2017</t>
  </si>
  <si>
    <t>Education - Demographic aspects - United States</t>
  </si>
  <si>
    <t>Why Students Resist Learning : A Practical Model for Understanding and Helping Students</t>
  </si>
  <si>
    <t>Tolman, Anton O.;Kremling, Janine</t>
  </si>
  <si>
    <t>LB2343.4.W555 2017</t>
  </si>
  <si>
    <t>Colluding, Colliding, and Contending with Norms of Whiteness</t>
  </si>
  <si>
    <t>Chandler, Jennifer L. S.</t>
  </si>
  <si>
    <t>Leadership : Learning, Teaching, and Practice</t>
  </si>
  <si>
    <t>Cyprès, Autumn</t>
  </si>
  <si>
    <t>Leadership, Schools, and Change Series</t>
  </si>
  <si>
    <t>A Reader of Narrative and Critical Lenses on Intercultural Teaching and Learning</t>
  </si>
  <si>
    <t>Schlein, Candace;Garii, Barbara</t>
  </si>
  <si>
    <t>Research for Social Justice: Personal~Passionate~Participatory Inquiry Series</t>
  </si>
  <si>
    <t>LB1707.R425 2017</t>
  </si>
  <si>
    <t>Critical Thinking Now : Practical Teaching Methods for Classrooms Around the World</t>
  </si>
  <si>
    <t>Burkhalter, Nancy</t>
  </si>
  <si>
    <t>LB1590.3.B875 2016</t>
  </si>
  <si>
    <t>Faculty of Color Navigating Higher Education</t>
  </si>
  <si>
    <t>Harris Brown, Karen;McHatton, Patricia Alvarez;Scott, Michelle Frazier Trotman</t>
  </si>
  <si>
    <t>LB2325.F338 2017</t>
  </si>
  <si>
    <t>Serious Fun : The Power of Improvisation for Learning and Life</t>
  </si>
  <si>
    <t>Yamamoto, Ruth</t>
  </si>
  <si>
    <t>PN2071.I5.Y363 2017</t>
  </si>
  <si>
    <t>Improvisation (Acting)</t>
  </si>
  <si>
    <t>It Won't Be Easy : An Exceedingly Honest (and Slightly Unprofessional) Love Letter to Teaching</t>
  </si>
  <si>
    <t>Minnesota</t>
  </si>
  <si>
    <t>Rademacher, Tom;Eggers, Dave</t>
  </si>
  <si>
    <t>LA2317.R25.R334 2017</t>
  </si>
  <si>
    <t>First year teachers - Minnesota</t>
  </si>
  <si>
    <t>Improving hospital management capacity in Rwanda, an example of higher education in a low income country</t>
  </si>
  <si>
    <t>Wong, Rex;Bradley, Elizabeth;Mantopoulos, Jeannie</t>
  </si>
  <si>
    <t>RA991.R95.I47 2016</t>
  </si>
  <si>
    <t>Hospitals--Rwanda--Administration.</t>
  </si>
  <si>
    <t>Nurturing Your Child's Math and Literacy in Pre-K-Fifth Grade : The Family Connection</t>
  </si>
  <si>
    <t>Mueller, Mary;Hindin, Alisa</t>
  </si>
  <si>
    <t>QA135.6.M84 2016</t>
  </si>
  <si>
    <t>Mathematics - Study and teaching (Early childhood)</t>
  </si>
  <si>
    <t>Asian/Americans, Education, and Crime : The Model Minority As Victim and Perpetrator</t>
  </si>
  <si>
    <t>Ball, Daisy;Hartlep, Nicholas Daniel;Cho, Andrew;Gee, Harvey;Holody, Kyle J.;Li, Ke;Lu, Alexander;Mendez, Godofredo;Nguyen, Krystie T.;Park, Sung-Yeon</t>
  </si>
  <si>
    <t>HV6250.4.E75.A853 2017</t>
  </si>
  <si>
    <t>Model minority stereotype - United States</t>
  </si>
  <si>
    <t>The Formative Five : Fostering Grit, Empathy, and Other Success Skills Every Student Needs</t>
  </si>
  <si>
    <t>Standards-Based Leadership : A Case Study Book for the Superintendency</t>
  </si>
  <si>
    <t>Harris, Sandra;Ballenger, Julia;Mixon, Jason</t>
  </si>
  <si>
    <t>LB2831.72.L69 2016</t>
  </si>
  <si>
    <t>Applications of Management Science</t>
  </si>
  <si>
    <t>Lawrence, Kenneth D.;Kleinman, Gary</t>
  </si>
  <si>
    <t>Applications of Management Science Series</t>
  </si>
  <si>
    <t>HB1-3840</t>
  </si>
  <si>
    <t>Student Affairs for Academic Administrators</t>
  </si>
  <si>
    <t>Hogan, T. Lynn</t>
  </si>
  <si>
    <t>LB2342.9.S77 2017</t>
  </si>
  <si>
    <t>Student affairs services.</t>
  </si>
  <si>
    <t>CSET English Subtests I-IV Book + Online</t>
  </si>
  <si>
    <t>Research &amp; Education Association</t>
  </si>
  <si>
    <t>Editors of REA, Editors of;Allen, John</t>
  </si>
  <si>
    <t>CSET Teacher Certification Test Prep Series</t>
  </si>
  <si>
    <t>LB1772.C2.A454 2016</t>
  </si>
  <si>
    <t>English teachers--Certification--California--Study guides.</t>
  </si>
  <si>
    <t>NYSTCE Students with Disabilities (060) Book + Online</t>
  </si>
  <si>
    <t>Springer, Ken;Baillargeon, Ann Monroe;Chamblin, Michelle;Chamblin, Michelle</t>
  </si>
  <si>
    <t>NYSTCE Teacher Certification Test Prep</t>
  </si>
  <si>
    <t>LB1763.N7.S675 2016</t>
  </si>
  <si>
    <t>Teachers--Certification--New York (State)--Examinations, questions, etc.</t>
  </si>
  <si>
    <t>The Akron Story Circle Project : Rethinking Race in Classroom and Community</t>
  </si>
  <si>
    <t>University of Akron Press</t>
  </si>
  <si>
    <t>University Of Akron Press</t>
  </si>
  <si>
    <t>Behrman, Carolyn;Lyons, Bill;Hill, Patricia;Slowiak, James</t>
  </si>
  <si>
    <t>E184.A1.A376 2017</t>
  </si>
  <si>
    <t>Storytelling - Ohio - Akron</t>
  </si>
  <si>
    <t>Being an Early Career Feminist Academic : Global Perspectives, Experiences and Challenges</t>
  </si>
  <si>
    <t>Thwaites, Rachel;Pressland, Amy</t>
  </si>
  <si>
    <t>50 Fantastic Ideas for Exploring Food</t>
  </si>
  <si>
    <t>Horvath, Judit;Bryce-Clegg, Alistair</t>
  </si>
  <si>
    <t>50 Fantastic Ideas Series</t>
  </si>
  <si>
    <t>TX714.H678 2017</t>
  </si>
  <si>
    <t>Cookbooks.</t>
  </si>
  <si>
    <t>The Wiley Handbook of Cognition and Assessment : Frameworks, Methodologies, and Applications</t>
  </si>
  <si>
    <t>Rupp, Andre A.;Leighton, Jacqueline P.</t>
  </si>
  <si>
    <t>Cognitive learning--Handbooks, manuals, etc. ; Educational evaluation--Handbooks, manuals, etc.</t>
  </si>
  <si>
    <t>Digital Media in Today's Classrooms : The Potential for Meaningful Teaching, Learning, and Assessment</t>
  </si>
  <si>
    <t>Wilson, Dawn;Alaniz, Katie;Sikora, Joshua</t>
  </si>
  <si>
    <t>LB1028.3.W557 2017</t>
  </si>
  <si>
    <t>Digital media</t>
  </si>
  <si>
    <t>The Quest for Meaningful Special Education</t>
  </si>
  <si>
    <t>Ballin, Amy</t>
  </si>
  <si>
    <t>LC4708.5.B355 2017</t>
  </si>
  <si>
    <t>Dyslexic children - Education - United States</t>
  </si>
  <si>
    <t>Educational Policies in Pakistan, Afghanistan, and Tajikistan : Contested Terrain in the Twenty-First Century</t>
  </si>
  <si>
    <t>Ashraf, Dilshad;Tajik, Mir Afzal;Niyozov, Sarfaroz;Aksakolov, Sultonbek;Akseer, Spogmai;Baig, Sharifullah;DeYoung, Alan J.;Dossa, Shama;Elnazarov, Hakim;Faucher, Carole</t>
  </si>
  <si>
    <t>LA1387.2.E48 2017</t>
  </si>
  <si>
    <t>Education - Pakistan - History - 21st century</t>
  </si>
  <si>
    <t>Foundations of Adult and Continuing Education</t>
  </si>
  <si>
    <t>Ross-Gordon, Jovita M.;Rose, Amy D.;Kasworm, Carol E.</t>
  </si>
  <si>
    <t>LC5251.R677 2017</t>
  </si>
  <si>
    <t>Adult education--United States</t>
  </si>
  <si>
    <t>Moving On : Supporting Parents of Children with Special Educational Needs</t>
  </si>
  <si>
    <t>Orphan, Allison</t>
  </si>
  <si>
    <t>LC3969</t>
  </si>
  <si>
    <t>Teaching, Making a Difference : The Art of Helping Others Help Themselves</t>
  </si>
  <si>
    <t>Teachers - Retirement - United States</t>
  </si>
  <si>
    <t>Enacting Adolescent Literacies Across Communities : Latino/a Scribes and Their Rites</t>
  </si>
  <si>
    <t>Rodríguez, R. Joseph;Burke, Kevin J.</t>
  </si>
  <si>
    <t>LC151.R637 2017</t>
  </si>
  <si>
    <t>Literacy--Social aspects--United States</t>
  </si>
  <si>
    <t>Modern Jewish Scholarship in Hungary : The ,Science of Judaism' Between East and West</t>
  </si>
  <si>
    <t>Turán, Tamás;Wilke, Carsten;Turán, Tamás</t>
  </si>
  <si>
    <t>Europäisch-Jüdische Studien - Beiträge Series</t>
  </si>
  <si>
    <t>LA47.M634 2016</t>
  </si>
  <si>
    <t>Jews--Education.</t>
  </si>
  <si>
    <t>Geisteswissenschaftliche Pädagogik : Ein Lehrbuch</t>
  </si>
  <si>
    <t>Matthes, Eva</t>
  </si>
  <si>
    <t>AZ182 .M388 2013</t>
  </si>
  <si>
    <t>Humanities-Study and teaching.</t>
  </si>
  <si>
    <t>The Lived Experience of African American Women Mentors : What It Means to Guide As Community Pedagogues</t>
  </si>
  <si>
    <t>Gamble-Lomax, Wyletta</t>
  </si>
  <si>
    <t>LC2731.G363 2016</t>
  </si>
  <si>
    <t>African American women educators</t>
  </si>
  <si>
    <t>Leave Your Attitude at the Door : Dispositions and Field Experiences in Education</t>
  </si>
  <si>
    <t>Thompson, Amy;Voegele, Crystal;Hogan, Chris</t>
  </si>
  <si>
    <t>LB1775.T466 2017</t>
  </si>
  <si>
    <t>Teaching - Fieldwork</t>
  </si>
  <si>
    <t>Making Learning Flow : Instruction and Assessment Strategies That Empower Students to Love Learning and Reach New Levels of Achievement</t>
  </si>
  <si>
    <t>Spencer, John</t>
  </si>
  <si>
    <t>The Transformation of Chinese Traditional Education : Selected Papers by Tao Xingzhi on Education</t>
  </si>
  <si>
    <t>TAO, Xingzhi</t>
  </si>
  <si>
    <t>Effective Planning for Groups</t>
  </si>
  <si>
    <t>DeLucia-Waack, Janice L.;Nitza, Amy G.</t>
  </si>
  <si>
    <t>Group Work Practice Kit Series</t>
  </si>
  <si>
    <t>LB1027.5.D393 2014</t>
  </si>
  <si>
    <t>School psychology - Planning</t>
  </si>
  <si>
    <t>Reimagining Literacy Through Global Collaboration : Create Globally Literate K-12 Classrooms with This Solutions Series Book</t>
  </si>
  <si>
    <t>Ripp, Pernille</t>
  </si>
  <si>
    <t>Structural Challenges and the Future of Honors Education</t>
  </si>
  <si>
    <t>LA227.4.S778 2017</t>
  </si>
  <si>
    <t>Leading for Literacy : A Reading Apprenticeship Approach</t>
  </si>
  <si>
    <t>Literacy programs.</t>
  </si>
  <si>
    <t>We Only Talk Feminist Here : Feminist Academics, Voice and Agency in the Neoliberal University</t>
  </si>
  <si>
    <t>Lipton, Briony;Mackinlay, Elizabeth</t>
  </si>
  <si>
    <t>Hope, Utopia and Creativity in Higher Education : Pedagogical Tactics for Alternative Futures</t>
  </si>
  <si>
    <t>Hammond, Craig A.</t>
  </si>
  <si>
    <t>LB2322.2.H355 2017</t>
  </si>
  <si>
    <t>Accelerating Change in Schools : Leading Rapid, Successful, and Complex Change Initiatives</t>
  </si>
  <si>
    <t>Dudar, Linda;Scott, Shelleyann;Scott, Donald E.</t>
  </si>
  <si>
    <t>Working with Families for Inclusive Education : Navigating Identity, Opportunity and Belonging</t>
  </si>
  <si>
    <t>Sobsey, Dick;Scorgie, Kate;Forlin, Chris</t>
  </si>
  <si>
    <t>Promises Fulfilled : A Leader's Guide for Supporting English Learners</t>
  </si>
  <si>
    <t>Calderon, Margarita Espino;Slakk, Shawn</t>
  </si>
  <si>
    <t>LB2806.C353 2016</t>
  </si>
  <si>
    <t>Deaf Epistemologies, Identity, and Learning : A Comparative Perspective</t>
  </si>
  <si>
    <t>De Clerck, Goedele A. M.</t>
  </si>
  <si>
    <t>Winning the Math Homework Challenge : Insights for Parents to See Math Differently</t>
  </si>
  <si>
    <t>Draper, Catheryne</t>
  </si>
  <si>
    <t>QA135.6.D73 2017</t>
  </si>
  <si>
    <t>Leading an Inclusive School : Access and Success for ALL Students</t>
  </si>
  <si>
    <t>Planning Your Postgraduate Research</t>
  </si>
  <si>
    <t>Walshaw, Margaret</t>
  </si>
  <si>
    <t>Bloomsbury Research Skills Series</t>
  </si>
  <si>
    <t>LB1028-1028.25</t>
  </si>
  <si>
    <t>Fostering Self-Efficacy in Higher Education Students</t>
  </si>
  <si>
    <t>Ritchie, Laura</t>
  </si>
  <si>
    <t>College teaching--Methodology</t>
  </si>
  <si>
    <t>Masters Level Teaching, Learning and Assessment : Issues in Design and Delivery</t>
  </si>
  <si>
    <t>Kneale, Pauline</t>
  </si>
  <si>
    <t>Education--Study and teaching (Graduate)</t>
  </si>
  <si>
    <t>Coaching and Mentoring in Higher Education : A Step-By-Step Guide to Exemplary Practice</t>
  </si>
  <si>
    <t>Andreanoff, Jill</t>
  </si>
  <si>
    <t>The Chocolate Touch - Literature Kit Gr. 3-4</t>
  </si>
  <si>
    <t>Kerfoot, Mary</t>
  </si>
  <si>
    <t>Literature Kits Grades 3-4</t>
  </si>
  <si>
    <t>LB1573 .K474 2017</t>
  </si>
  <si>
    <t>Reading (Elementary) ; Children's literature-Study and teaching. ; Children-Books and reading.</t>
  </si>
  <si>
    <t>Wonder - Literature Kit Gr. 5-6</t>
  </si>
  <si>
    <t>Cockburn, Marita</t>
  </si>
  <si>
    <t>PZ7.P17526 .C635 2017</t>
  </si>
  <si>
    <t>Abnormalities, Human-Juvenile fiction. ; Self-acceptance-Juvenile fiction. ; Middle schools-Juvenile fiction.</t>
  </si>
  <si>
    <t>Freak the Mighty - Literature Kit Gr. 5-6</t>
  </si>
  <si>
    <t>Renaud, Lisa</t>
  </si>
  <si>
    <t>LB1573 .R463 2017</t>
  </si>
  <si>
    <t>Reading (Elementary) ; Children's literature-Study and teaching. ; Books and reading-Study and teaching.</t>
  </si>
  <si>
    <t>Of Mice and Men - Literature Kit Gr. 9-12</t>
  </si>
  <si>
    <t>Literature Kits Grades 9-12</t>
  </si>
  <si>
    <t>PS3537.T3234 .I236 2017</t>
  </si>
  <si>
    <t>Steinbeck, John,-1902-1968.-Of mice and men. ; Friendship in literature.</t>
  </si>
  <si>
    <t>Divergent - Literature Kit Gr. 9-12</t>
  </si>
  <si>
    <t>Allison, Lynda</t>
  </si>
  <si>
    <t>PZ7.K8352 .A455 2017</t>
  </si>
  <si>
    <t>Identity (Psychology)-Juvenile fiction. ; Families-Juvenile fiction. ; Courage-Juvenile fiction.</t>
  </si>
  <si>
    <t>Happy Class : The Practical Guide to Classroom Management</t>
  </si>
  <si>
    <t>Sage, Jenna</t>
  </si>
  <si>
    <t>LB3013.S244 2017</t>
  </si>
  <si>
    <t>The Pearl - Literature Kit Gr. 7-8</t>
  </si>
  <si>
    <t>Literature Kits Grades 7-8</t>
  </si>
  <si>
    <t>PS3537.T3234 .A455 2017</t>
  </si>
  <si>
    <t>Steinbeck, John,-1902-1968.-Pearl-Criticism and interpretation. ; Pearl divers-Fiction.</t>
  </si>
  <si>
    <t>Summary and Analysis of the Miracle of Mindfulness: an Introduction to the Practice of Meditation : Based on the Book by Thich Nhat Hanh</t>
  </si>
  <si>
    <t>Worth Books</t>
  </si>
  <si>
    <t>Smart Summaries Series</t>
  </si>
  <si>
    <t>BQ5612.S866 2016</t>
  </si>
  <si>
    <t>Meditation--Buddhism.</t>
  </si>
  <si>
    <t>Women Workers' Education, Life Narratives and Politics : Geographies, Histories, Pedagogies</t>
  </si>
  <si>
    <t>Tamboukou, Maria</t>
  </si>
  <si>
    <t>(Re)designing Argumentation Writing Units for Grades 5-12 : .</t>
  </si>
  <si>
    <t>Wisdom, Knowledge, and the Postcolonial University in Thailand</t>
  </si>
  <si>
    <t>Ma Rhea, Zane</t>
  </si>
  <si>
    <t>The Way of the Teacher : A Path for Personal Growth and Professional Fulfillment</t>
  </si>
  <si>
    <t>Finney, Sandra;Thurgood Sagal, Jane</t>
  </si>
  <si>
    <t>LB1025.3.F566 2017</t>
  </si>
  <si>
    <t>Educating Good Citizens in a Globalising World for the Twenty-First Century</t>
  </si>
  <si>
    <t>Print, Murray;Tan, Chuanbao</t>
  </si>
  <si>
    <t>LC1091 .E383 2015</t>
  </si>
  <si>
    <t>Citizenship-Study and teaching. ; Moral education.</t>
  </si>
  <si>
    <t>Why Multimodal Literacy Matters : (Re)conceptualizing Literacy and Wellbeing Through Singing-Infused Multimodal, Intergenerational Curricula</t>
  </si>
  <si>
    <t>Heydon, Rachel;O'Neill, Susan</t>
  </si>
  <si>
    <t>Learning strategies.</t>
  </si>
  <si>
    <t>Science and Technology Education and Communication : Seeking Synergy</t>
  </si>
  <si>
    <t>van der Sanden, Maarten C. A.;de Vries, Marc J.</t>
  </si>
  <si>
    <t>Communication in education. ; Science-Study and teaching. ; Technology-Study and teaching.</t>
  </si>
  <si>
    <t>Matching Visibility and Performance : A Standing Challenge for World-Class Universities</t>
  </si>
  <si>
    <t>Liu, Nian Cai;Cheng, Ying;Wang, Qi</t>
  </si>
  <si>
    <t>Miracle of Education : The Principles and Practices of Teaching and Learning in Finnish Schools (Second Revised Edition)</t>
  </si>
  <si>
    <t>LA1011.M573 2016</t>
  </si>
  <si>
    <t>Living with Vulnerabilities and Opportunities in a Migration Context : Floating Children and Left-Behind Children in China</t>
  </si>
  <si>
    <t>Mu, Guanglun Michael</t>
  </si>
  <si>
    <t>The Vulnerability of Teaching and Learning in a Selfie Society</t>
  </si>
  <si>
    <t>Loveless, Douglas;Beverly, Cheryl L.;Bodle, Aaron;Dredger, Katie S.;Foucar-Szocki, Diane;Harris, Teresa;Kang, Shin Ji;Jane B., Thall;Wishon, Phillip</t>
  </si>
  <si>
    <t>Affective education.</t>
  </si>
  <si>
    <t>Women of Color in STEM : Navigating the Workforce</t>
  </si>
  <si>
    <t>Ballenger, Julia;Polnick, Barbara;Irby, Beverly</t>
  </si>
  <si>
    <t>HQ1206  .W664 2017</t>
  </si>
  <si>
    <t>Women. ; Women-Congresses-History-20th century.</t>
  </si>
  <si>
    <t>Gumbo for the Soul : Liberating Memoirs and Stories to Inspire Females of Color</t>
  </si>
  <si>
    <t>Ford, Donna Y.;Davis, Joy Lawson;Trotman Scott, Michelle</t>
  </si>
  <si>
    <t>Contemporary Perspectives on Multicultural Gifted Education Series</t>
  </si>
  <si>
    <t>PR6101.L47 .G863 2017</t>
  </si>
  <si>
    <t>Memories-Fiction.</t>
  </si>
  <si>
    <t>Internationalizing Teaching and Teacher Education for Equity : Engaging Alternative Knowledges Across Ideological Borders</t>
  </si>
  <si>
    <t>Rahatzad, Jubin;Dockrill, Hannah;Sharma, Suniti</t>
  </si>
  <si>
    <t>LB1707 .I584 2016</t>
  </si>
  <si>
    <t>Teachers-Training of. ; Multicultural education.</t>
  </si>
  <si>
    <t>Liberating Minds : The Case for College in Prison</t>
  </si>
  <si>
    <t>Lagemann, Ellen Condliffe</t>
  </si>
  <si>
    <t>HV8883.3.U5.L34 2016</t>
  </si>
  <si>
    <t>Prisoners - Education (Higher) - United States</t>
  </si>
  <si>
    <t>Seven Keys to a Positive Learning Environment in Your Classroom</t>
  </si>
  <si>
    <t>Hierck, Tom</t>
  </si>
  <si>
    <t>HQ773.H547 2017</t>
  </si>
  <si>
    <t>FTCE Elementary Education K-6 Book + Online</t>
  </si>
  <si>
    <t>Green, Betty Neilsen;Atkinson, Rhonda;Tattner, Nancy Ann</t>
  </si>
  <si>
    <t>FTCE Teacher Certification Test Prep Series</t>
  </si>
  <si>
    <t>LB1763.F6.A855 2017</t>
  </si>
  <si>
    <t>Teachers--Certification--Florida.</t>
  </si>
  <si>
    <t>Surfing the Past : Digital Learners in the History Class</t>
  </si>
  <si>
    <t>Sidestone Press</t>
  </si>
  <si>
    <t>Sidestone Press Dissertations</t>
  </si>
  <si>
    <t>Nyirubugara, Olivier</t>
  </si>
  <si>
    <t>LB1044.87.N957 2012</t>
  </si>
  <si>
    <t>Internet in education.</t>
  </si>
  <si>
    <t>Unexpected Influence : Women Who Helped Shape the Early Community College Movement</t>
  </si>
  <si>
    <t>McCartan, Anne-Marie</t>
  </si>
  <si>
    <t>LB1025.M333 2017</t>
  </si>
  <si>
    <t>Community colleges - United States - History</t>
  </si>
  <si>
    <t>Challenges in Global Learning : Dealing with Education Issues from an International Perspective</t>
  </si>
  <si>
    <t>Lian, Ania;Kell,  Peter;Black,  Paul</t>
  </si>
  <si>
    <t>LC1090.C435 2017</t>
  </si>
  <si>
    <t>Ecstatic Consumption : The Spectacle of Global Dystopia in Contemporary American Literature</t>
  </si>
  <si>
    <t>Radia, Pavlina</t>
  </si>
  <si>
    <t>PN56.D94.R335 2016</t>
  </si>
  <si>
    <t>Dystopias in literature.</t>
  </si>
  <si>
    <t>Quality Enhancement in Madrasa Education : An Exploratory Study</t>
  </si>
  <si>
    <t>Basheer, K. Mohammed</t>
  </si>
  <si>
    <t>LC910.I4.B374 2016</t>
  </si>
  <si>
    <t>Madrasahs--India.</t>
  </si>
  <si>
    <t>The Crisis in the Humanities : Transdisciplinary Solutions</t>
  </si>
  <si>
    <t>Cvejić, Žarko;Filipović,  Andrija;Petrov,  Ana</t>
  </si>
  <si>
    <t>LC1011.C757 2016</t>
  </si>
  <si>
    <t>Education, Humanistic--United States.</t>
  </si>
  <si>
    <t>Language in Focus : Exploring the challenges and opportunities in Linguistics and English Language Teaching (ELT)</t>
  </si>
  <si>
    <t>Papaja, Katarzyna;Can,  Cem</t>
  </si>
  <si>
    <t>LB1576.L364 2016</t>
  </si>
  <si>
    <t>Sexual Misconduct in the Schoolhouse : Prevention Strategies for Principals, Teachers, Coaches, and Students</t>
  </si>
  <si>
    <t>Coaches (Athletics) - Professional ethics</t>
  </si>
  <si>
    <t>Building Powerful Learning Environments : From Schools to Communities</t>
  </si>
  <si>
    <t>Bokas, Arina</t>
  </si>
  <si>
    <t>LC225.B653 2017</t>
  </si>
  <si>
    <t>Early Childhood Development in Tonga : Baseline Results from the Tongan Early Human Capability Index</t>
  </si>
  <si>
    <t>Brinkman, Sally;Thanh Vu, Binh</t>
  </si>
  <si>
    <t>HQ767.9.B756 2017</t>
  </si>
  <si>
    <t>Essential Assessment : Six Tenets for Bringing Hope, Efficacy, and Achievement to the Classroom--Deepen Teachers' Understanding of Assessment to Meet Standards and Generate a Culture of Learning</t>
  </si>
  <si>
    <t>Erkens, Cassandra;Schimmer, Tom;Dimich, Nicole</t>
  </si>
  <si>
    <t>Educational tests and measurements. ; Academic achievement. ; Motivation in education. ; Effective teaching.</t>
  </si>
  <si>
    <t>Tuck Everlasting - Literature Kit Gr. 5-6</t>
  </si>
  <si>
    <t>PZ7.W583764 .R463 2017</t>
  </si>
  <si>
    <t>Immortalism-Juvenile fiction. ; Kidnapping-Juvenile fiction.</t>
  </si>
  <si>
    <t>Bloomsbury Curriculum Basics: Teaching Primary Geography</t>
  </si>
  <si>
    <t>Scoffham, Stephen;Owens, Paula</t>
  </si>
  <si>
    <t>Bloomsbury Curriculum Basics Series</t>
  </si>
  <si>
    <t>G73.S36 2017</t>
  </si>
  <si>
    <t>Geography--Study and teaching (Elementary)</t>
  </si>
  <si>
    <t>Your UDL Lesson Planner : The Step-By-Step Guide for Teaching All Learners</t>
  </si>
  <si>
    <t>Ralabate, Patricia Kelly</t>
  </si>
  <si>
    <t>LB1027.4.R35 2016</t>
  </si>
  <si>
    <t>Lesson planning. ; Inclusive education. ; EDUCATION / General. ; EDUCATION / Teaching Methods &amp; Materials / General. ; EDUCATION / Aims &amp; Objectives. ; EDUCATION / Professional Development.</t>
  </si>
  <si>
    <t>Základy teorie krizového managementu</t>
  </si>
  <si>
    <t>Antušák, Emil;Vilášek, Josef</t>
  </si>
  <si>
    <t>HD49.A58 2016</t>
  </si>
  <si>
    <t>Crisis management.</t>
  </si>
  <si>
    <t>Šance na dosažení vysokoškolského vzdělání v populaci osob se zdravotním postižením</t>
  </si>
  <si>
    <t>Šámalová, Kateřina</t>
  </si>
  <si>
    <t>HV1568.S26 2016</t>
  </si>
  <si>
    <t>People with disabilties.</t>
  </si>
  <si>
    <t>FTCE General Knowledge Book + Online</t>
  </si>
  <si>
    <t>Barry, Leasha;Meiselman, Laura;Mendoza, Alicia;Editors of REA, Editors of;Mander, Erin;Powell, Tammy;Rose, Chris A.</t>
  </si>
  <si>
    <t>LB1766.F6.M34 2015</t>
  </si>
  <si>
    <t>Florida Teacher Certification Examinations</t>
  </si>
  <si>
    <t>University Partnerships for Pre-Service and Teacher Development</t>
  </si>
  <si>
    <t>College-school cooperation</t>
  </si>
  <si>
    <t>Political Economy of Adult Learning Systems : Comparative Study of Strategies, Policies and Constraints</t>
  </si>
  <si>
    <t>Desjardins, Richard</t>
  </si>
  <si>
    <t>LC5225.A36.D475 2017</t>
  </si>
  <si>
    <t>Adult education and state--Cross-cultural studies.</t>
  </si>
  <si>
    <t>The LearningWheel : A Model of Digital Pedagogy</t>
  </si>
  <si>
    <t>St Albans</t>
  </si>
  <si>
    <t>Kellsey, Deborah;Taylor-Beswick, Amanda</t>
  </si>
  <si>
    <t>LB1028.5.K455 2017</t>
  </si>
  <si>
    <t>Surviving School Stress : Strategies for Well-Being in Today's Complex World</t>
  </si>
  <si>
    <t>Lebrun, Marcel;Mann, Eric</t>
  </si>
  <si>
    <t>LB3430.L45 2016</t>
  </si>
  <si>
    <t>Successful Strategies for Pursuing National Board Certification : Version 3. 0, Components 3 And 4</t>
  </si>
  <si>
    <t>LB1771.F365 2017</t>
  </si>
  <si>
    <t>Teaching - Standards - United States</t>
  </si>
  <si>
    <t>Ready for Learning and Ready for Life : Bridging the Disconnects Between Research and Practice</t>
  </si>
  <si>
    <t>LB1132.G869 2017</t>
  </si>
  <si>
    <t>Readiness for school--United States.</t>
  </si>
  <si>
    <t>Trusted Knowledge for Parents : Tips to Prepare, Position, and Empower Today's Parents</t>
  </si>
  <si>
    <t>LB1048.5.C857 2017</t>
  </si>
  <si>
    <t>Reclaiming Our Children, Reclaiming Our Schools : Reversing Privatization and Recovering Democracy in America's Public Schools</t>
  </si>
  <si>
    <t>LA217.2.S575 2017</t>
  </si>
  <si>
    <t>Self-Fulfilment with Dyslexia : A Blueprint for Success</t>
  </si>
  <si>
    <t>Malpas, Margaret</t>
  </si>
  <si>
    <t>RC394.W6.M35 2017eb</t>
  </si>
  <si>
    <t>Dyslexia in the Early Years : A Handbook for Practice</t>
  </si>
  <si>
    <t>LC4708.R4525 2017</t>
  </si>
  <si>
    <t>Leading Unstoppable Learning : Boost Leadership Efficacy and Create a School Climate in Which Teachers Manage Positive Classroom Environments</t>
  </si>
  <si>
    <t>Stinson, Rebecca L.</t>
  </si>
  <si>
    <t>LB1590.3.S756 2017</t>
  </si>
  <si>
    <t>Critical thinking-Study and teaching. ; Reasoning-Study and teaching. ; Learning strategies.</t>
  </si>
  <si>
    <t>Indigenous Education Policy, Equity, and Intercultural Understanding in Latin America</t>
  </si>
  <si>
    <t>Cortina, Regina</t>
  </si>
  <si>
    <t>Teaching Naked Techniques : A Practical Guide to Designing Better Classes</t>
  </si>
  <si>
    <t>Bowen, José Antonio;Watson, C. Edward</t>
  </si>
  <si>
    <t>LB2806.15.B694 2017</t>
  </si>
  <si>
    <t>Curriculum planning.</t>
  </si>
  <si>
    <t>Best Practices for Faculty Search Committees : How to Review Applications and Interview Candidates</t>
  </si>
  <si>
    <t>LB2332.7.B85 2017</t>
  </si>
  <si>
    <t>Universities and colleges--Faculty--Employment. ; Employment interviewing. ; Employee selection.</t>
  </si>
  <si>
    <t>Lessons from the Bad Kids : The Realities of Challenge and Inspiration</t>
  </si>
  <si>
    <t>Viland, Vonda;Turner, Deborah</t>
  </si>
  <si>
    <t>LC4801.V55 2017</t>
  </si>
  <si>
    <t>Geostatistika a prostorová interpolace</t>
  </si>
  <si>
    <t>Ježek, Josef</t>
  </si>
  <si>
    <t>QE33.2.S82.J44 2015</t>
  </si>
  <si>
    <t>Geology--Statistical methods.</t>
  </si>
  <si>
    <t>现代职业教育新论</t>
  </si>
  <si>
    <t>Lu,Zhipeng</t>
  </si>
  <si>
    <t>学校教育概论</t>
  </si>
  <si>
    <t>Li,Qingyan</t>
  </si>
  <si>
    <t>教育学基础</t>
  </si>
  <si>
    <t>Pang,Shouxing</t>
  </si>
  <si>
    <t>学前教育理论与实践教程</t>
  </si>
  <si>
    <t>Wang,Wei;Wang,Weiya;Sun,Yan</t>
  </si>
  <si>
    <t>青果集：北京大学青年教师优秀教案集</t>
  </si>
  <si>
    <t>Liu,Shanshan</t>
  </si>
  <si>
    <t>教师专业发展导论</t>
  </si>
  <si>
    <t>Yu,Shenggang</t>
  </si>
  <si>
    <t>大学生职业生涯规划咨询案例教程(第二版)</t>
  </si>
  <si>
    <t>Fang,Wei</t>
  </si>
  <si>
    <t>中学语文名篇新讲</t>
  </si>
  <si>
    <t>Yang,Pu;Yang,Yang</t>
  </si>
  <si>
    <t>中学班级管理</t>
  </si>
  <si>
    <t>Zhang,Baoshu</t>
  </si>
  <si>
    <t>学前教育政策与法规</t>
  </si>
  <si>
    <t>Wei,Zhen;Hua,Lingyan</t>
  </si>
  <si>
    <t>学前融合教育</t>
  </si>
  <si>
    <t>Lei,Jianghua;Liu,Huili</t>
  </si>
  <si>
    <t>Oscar et la Dame Rose d'Éric-Emmanuel Schmitt (Analyse de L'oeuvre) : Analyse Complète et Résumé détaillé de L'oeuvre</t>
  </si>
  <si>
    <t>lePetitLitteraire;de Caevel, Laure;Lhoste, Lucile</t>
  </si>
  <si>
    <t>Schmitt, Éric-Emmanuel.-Oscar et la dame rose-Criticism, Textual.</t>
  </si>
  <si>
    <t>Le Mariage de Figaro de Beaumarchais (Analyse de L'oeuvre) : Analyse Complète et Résumé détaillé de L'oeuvre</t>
  </si>
  <si>
    <t>lePetitLitteraire;Consiglio, Isabelle;Lhoste, Lucile</t>
  </si>
  <si>
    <t>Beaumarchais, Pierre Augustin Caron de,-1732-1799.-Mariage de Figaro-Criticism, Textual.</t>
  </si>
  <si>
    <t>Le Misanthrope de Molière (Analyse de L'oeuvre) : Analyse Complète et Résumé détaillé de L'oeuvre</t>
  </si>
  <si>
    <t>lePetitLitteraire;Schneider, Marie-Charlotte;Lhoste, Lucile</t>
  </si>
  <si>
    <t>Molière,-1622-1673.-Misanthrope-Criticism, Textual.</t>
  </si>
  <si>
    <t>Pierre et Jean de Guy de Maupassant (Analyse de L'oeuvre) : Analyse Complète et Résumé détaillé de L'oeuvre</t>
  </si>
  <si>
    <t>lePetitLitteraire;Leloup, Delphine;Randal, Alexandre</t>
  </si>
  <si>
    <t>Maupassant, Guy de,-1850-1893.-Pierre et Jean-Criticism, Textual.</t>
  </si>
  <si>
    <t>L'Écume des Jours de Boris Vian (Analyse de L'oeuvre) : Analyse Complète et Résumé détaillé de L'oeuvre</t>
  </si>
  <si>
    <t>lePetitLitteraire;Bourguignon, Catherine;Van Roeyen, Tina</t>
  </si>
  <si>
    <t>Vian, Boris,-1920-1959.-Eume des jours-Criticism, Textual.</t>
  </si>
  <si>
    <t>OEdipe Roi de Sophocle (Analyse de L'oeuvre) : Analyse Complète et Résumé détaillé de L'oeuvre</t>
  </si>
  <si>
    <t>lePetitLitteraire;Cornillon, Claire;Vanderborght, Harmony</t>
  </si>
  <si>
    <t>Sophocles.-Oedipus Rex-Criticism, Textual.</t>
  </si>
  <si>
    <t>La Vague de Todd Strasser (Analyse de L'oeuvre) : Analyse Complète et Résumé détaillé de L'oeuvre</t>
  </si>
  <si>
    <t>lePetitLitteraire;Roland, Nathalie;Balthasar, Florence</t>
  </si>
  <si>
    <t>Rhue, Morton.-Wave. ; French fiction.</t>
  </si>
  <si>
    <t>Le Jeu de l'amour et du Hasard de Marivaux (Analyse de L'oeuvre) : Analyse Complète et Résumé détaillé de L'oeuvre</t>
  </si>
  <si>
    <t>lePetitLitteraire;Cornillon, Claire;Balthasar, Florence</t>
  </si>
  <si>
    <t>French fiction.</t>
  </si>
  <si>
    <t>Le Parfum de Patrick Süskind (Analyse de L'oeuvre) : Analyse Complète et Résumé détaillé de L'oeuvre</t>
  </si>
  <si>
    <t>lePetitLitteraire;Jooris, Vincent;Balthasar, Florence</t>
  </si>
  <si>
    <t>Teaching History with Science Fiction Films</t>
  </si>
  <si>
    <t>Van Riper, A. Bowdoin</t>
  </si>
  <si>
    <t>Teaching History With... Series</t>
  </si>
  <si>
    <t>D16.255.A8.V367 2017</t>
  </si>
  <si>
    <t>History--Study and teaching (Secondary)--Audio-visual aids</t>
  </si>
  <si>
    <t>The Wiley Handbook of Diversity in Special Education</t>
  </si>
  <si>
    <t>Hughes, Marie Tejero;Talbott, Elizabeth</t>
  </si>
  <si>
    <t>LC4019.H355 2017</t>
  </si>
  <si>
    <t>Special education--Study and teaching.</t>
  </si>
  <si>
    <t>Children of the Welfare State : Civilising Practices in Schools, Childcare and Families</t>
  </si>
  <si>
    <t>Gilliam, Laura;Gullov, Eva</t>
  </si>
  <si>
    <t>Anthropology, Culture and Society</t>
  </si>
  <si>
    <t>LC93.D4 .G555 2017</t>
  </si>
  <si>
    <t>Children--Social conditions.</t>
  </si>
  <si>
    <t>Pump It Up : Literacy Activities for the Classroom</t>
  </si>
  <si>
    <t>Kilgour Dowdy, Joanne;Gao, Yang</t>
  </si>
  <si>
    <t>Science Education : An International Course Companion</t>
  </si>
  <si>
    <t>Taber, Keith S.;Akpan, Ben Ben</t>
  </si>
  <si>
    <t>Raging Against the Mass-Schooling Machine : An Autoethnography of a Beginning Teacher</t>
  </si>
  <si>
    <t>Transgressions: Cultural Studies and Education Series</t>
  </si>
  <si>
    <t>Engaging Difference : Teaching Humanities and Social Science in Multicultural Environments</t>
  </si>
  <si>
    <t>Budryte, Dovile;Boykin, Scott</t>
  </si>
  <si>
    <t>LC1099.E543 2017</t>
  </si>
  <si>
    <t>Humanities - Study and teaching</t>
  </si>
  <si>
    <t>A Latin American Guide to the International Court of Justice Case Law</t>
  </si>
  <si>
    <t>Paula Wojcikiewicz Almeida;Júlia Rodrigues Costa de Serpa Brandão;Ananda Menegotto Weingärtner</t>
  </si>
  <si>
    <t>K574.A464 2016</t>
  </si>
  <si>
    <t>Judge-made law.</t>
  </si>
  <si>
    <t>Intercultural Education and Competences : Challenges and Answers for the Global World</t>
  </si>
  <si>
    <t>Portera, Agostino;Grant,  Carl</t>
  </si>
  <si>
    <t>LC1099.I584 2017</t>
  </si>
  <si>
    <t>Higher Education in Africa : Challenges for Development, Mobility and Cooperation</t>
  </si>
  <si>
    <t>Goujon, Anne;Haller,  Max;Kmet,  Bernadette Müller</t>
  </si>
  <si>
    <t>LB2325.H544 2017</t>
  </si>
  <si>
    <t>Putting Theory into Practice in the Contemporary Classroom : Theory Lessons</t>
  </si>
  <si>
    <t>McLaughlin, Becky</t>
  </si>
  <si>
    <t>LB2331.P888 2017</t>
  </si>
  <si>
    <t>College teaching--Philosophy.</t>
  </si>
  <si>
    <t>Teaching History with Musicals</t>
  </si>
  <si>
    <t>Edney, Kathryn</t>
  </si>
  <si>
    <t>E175.8.E36 2017</t>
  </si>
  <si>
    <t>Musicals. ; United States--History--Study and teaching.</t>
  </si>
  <si>
    <t>Teaching History with Newsreels and Public Service Shorts</t>
  </si>
  <si>
    <t>Gulyas, Aaron</t>
  </si>
  <si>
    <t>LB1025.3.G859 2017</t>
  </si>
  <si>
    <t>Prevent-Teach-Reinforce for Families : A Model of Individualized Positive Behavior Support for Home and Community</t>
  </si>
  <si>
    <t>Dunlap, Glen;Fox, Lise;Lee, Janice K.;Strain, Phillip S.;Vatland, Christopher;Joseph, Jaclyn D.;Turnbull, Ann</t>
  </si>
  <si>
    <t>HQ773.P748 2017</t>
  </si>
  <si>
    <t>Problem children--Counseling of.</t>
  </si>
  <si>
    <t>Designing Effective Assessments : Accurately Measure Students' Mastery of 21st Century Skills (Learn How Teachers Can Better Incorporate Grading into the Teaching and Learning Process)</t>
  </si>
  <si>
    <t>Strong, James H.;Grant, Leslie W.;Xu, Xianxuan</t>
  </si>
  <si>
    <t>LB3051.S776 2017</t>
  </si>
  <si>
    <t>Educational tests and measurements. ; Students-Evaluation.</t>
  </si>
  <si>
    <t>Listening to Young Children, Expanded Third Edition : A Guide to Understanding and Using the Mosaic Approach</t>
  </si>
  <si>
    <t>Clark, Alison;Moss, Peter</t>
  </si>
  <si>
    <t>HQ774.5.C537 2017</t>
  </si>
  <si>
    <t>Preschool children.</t>
  </si>
  <si>
    <t>Motivating Unwilling Learners in Further Education : The Key to Improving Behaviour</t>
  </si>
  <si>
    <t>LC1045.W355 2017</t>
  </si>
  <si>
    <t>Vocational education--United States.</t>
  </si>
  <si>
    <t>Successful Teaching : What Every Novice Teacher Needs to Know</t>
  </si>
  <si>
    <t>Schwarzer, David;Grinberg, Jamie</t>
  </si>
  <si>
    <t>LB2844.1.N4.S833 2017</t>
  </si>
  <si>
    <t>First year teachers</t>
  </si>
  <si>
    <t>Beyond Reform : Systemic Shifts Toward Personalized Learning</t>
  </si>
  <si>
    <t>Lindsay Unified School District</t>
  </si>
  <si>
    <t>LB1060 .S36 2017</t>
  </si>
  <si>
    <t>Education. ; Learning.</t>
  </si>
  <si>
    <t>High-Impact EPortfolio Practice : A Catalyst for Student, Faculty, and Institutional Learning</t>
  </si>
  <si>
    <t>Eynon, Bret;Gambino, Laura M.</t>
  </si>
  <si>
    <t>LB1029.P67E97 2017</t>
  </si>
  <si>
    <t>Electronic portfolios in education</t>
  </si>
  <si>
    <t>La supervision pédagogique. Guide pratique à l'intention des directions des établissements scolaires</t>
  </si>
  <si>
    <t>Les Presses de l'Université Laval</t>
  </si>
  <si>
    <t>Presses de l'Université Laval</t>
  </si>
  <si>
    <t>Bouchamma, Yamina</t>
  </si>
  <si>
    <t>LB1025.2.B683 2016</t>
  </si>
  <si>
    <t>Teaching--Evaluation.</t>
  </si>
  <si>
    <t>Blended Practices for Teaching Young Children in Inclusive Settings</t>
  </si>
  <si>
    <t>Grisham, Jennifer;Hemmeter, Mary Louise;Winton, Pamela J.;Hyson, Marilou;Pretti-Frontczak, Kristie;Hall, Anna H.;Hawkins-Lear, Sarah;Rutland, Julie;McLaren, Elizabeth;McLeod, Ragan H.</t>
  </si>
  <si>
    <t>LB1139.23.G75 2017</t>
  </si>
  <si>
    <t>101 Strategies to Make Academic Vocabulary Stick</t>
  </si>
  <si>
    <t>LB1574.5.S723 2016</t>
  </si>
  <si>
    <t>Vocabulary--Study and teaching--United States.</t>
  </si>
  <si>
    <t>Sticky Situations : Case Studies for Early Childhood Program Management</t>
  </si>
  <si>
    <t>LB2822.6.V36 2017</t>
  </si>
  <si>
    <t>Early childhood education - United States - Administration</t>
  </si>
  <si>
    <t>Embrace Makerspace : A Pocket Guide for Elementary School Administrators</t>
  </si>
  <si>
    <t>Bonagura, Randee</t>
  </si>
  <si>
    <t>LB1029.M35.B66 2017</t>
  </si>
  <si>
    <t>Evaluative Research Methods : Managing the Complexities of Judgment in the Field</t>
  </si>
  <si>
    <t>Kushner, Saville</t>
  </si>
  <si>
    <t>Evaluation and Society Series</t>
  </si>
  <si>
    <t>Q180.55.M4 K875 2017</t>
  </si>
  <si>
    <t>Research-Methodology. ; Research-Evaluation. ; Research-Moral and ethical aspects.</t>
  </si>
  <si>
    <t>Reclaiming Communist Philosophy : Marx, Lenin, Mao, and the Dialectics of Nature</t>
  </si>
  <si>
    <t>Au, Wilson W. S.</t>
  </si>
  <si>
    <t>Marxist, Socialist, and Communist Studies in Education Series</t>
  </si>
  <si>
    <t>HX541 .A9 2017</t>
  </si>
  <si>
    <t>Marx, Karl,-1818-1883. ; Lenin, Vladimir Ilich,-1870-1924. ; Mao, Zedong,-1893-1976. ; Communism. ; Communism and science.</t>
  </si>
  <si>
    <t>Economics; Social Science</t>
  </si>
  <si>
    <t>Higher and Degree Apprenticeships : creating the future workforce</t>
  </si>
  <si>
    <t>Helyer, Ruth</t>
  </si>
  <si>
    <t>LC1041.H544 2016</t>
  </si>
  <si>
    <t>Vocational education--Periodicals.</t>
  </si>
  <si>
    <t>Essential Knowledge for Teachers : Truths to Energize, Excite, and Engage Today's Teachers</t>
  </si>
  <si>
    <t>LB1025.3.C857 2017</t>
  </si>
  <si>
    <t>Teachers - Conduct of life</t>
  </si>
  <si>
    <t>The Case for the Humanities : Pedagogy, Polity, Interdisciplinarity</t>
  </si>
  <si>
    <t>Touya de Marenne, Eric</t>
  </si>
  <si>
    <t>AZ103.T689 2016</t>
  </si>
  <si>
    <t>Humanities--Philosophy.</t>
  </si>
  <si>
    <t>Teacher Education Across Minority-Serving Institutions : Programs, Policies, and Social Justice</t>
  </si>
  <si>
    <t>Petchauer, Emery;Mawhinney, Lynnette;Chaplin, Mae S.;Daoud, Annette M.;Lansing, Danielle;Franklin Torrez, Cheryl A.;Brinkerhoff, Jonathan;Welch, Irene;Browning, Sandra;Kolman, Joni S.</t>
  </si>
  <si>
    <t>LB1715</t>
  </si>
  <si>
    <t>Eating to Learn, Learning to Eat : The Origins of School Lunch in the United States</t>
  </si>
  <si>
    <t>Ruis, Andrew R.</t>
  </si>
  <si>
    <t>Critical Issues in Health and Medicine Series</t>
  </si>
  <si>
    <t>LB3479</t>
  </si>
  <si>
    <t>National school lunch program-History.</t>
  </si>
  <si>
    <t>Vicious Circles in Education Reform : Assimilation, Americanization, and Fulfilling the Middle Class Ethic</t>
  </si>
  <si>
    <t>LA217.2.S596 2016</t>
  </si>
  <si>
    <t>Becoming a Critically Reflective Teacher</t>
  </si>
  <si>
    <t>LB2331.B677 2017</t>
  </si>
  <si>
    <t>Blended Vocabulary for K--12 Classrooms : Harnessing the Power of Digital Tools and Direct Instruction</t>
  </si>
  <si>
    <t>Tyson, Kimberly A.</t>
  </si>
  <si>
    <t>LB1574.5 .T97 2017</t>
  </si>
  <si>
    <t>Vocabulary-Study and teaching.</t>
  </si>
  <si>
    <t>Civic Engagement Across the Curriculum</t>
  </si>
  <si>
    <t>Stylus Publishing</t>
  </si>
  <si>
    <t>Campus Compact</t>
  </si>
  <si>
    <t>Battistoni, Richard M.</t>
  </si>
  <si>
    <t>LB1731.W4 2019</t>
  </si>
  <si>
    <t>Understanding Writing Transfer : Implications for Transformative Student Learning in Higher Education</t>
  </si>
  <si>
    <t>Bass, Randall;Moore, Jessie L.</t>
  </si>
  <si>
    <t>English language--Rhetoric--Study and teaching (Higher)</t>
  </si>
  <si>
    <t>Stories from the Front of the Room : How Higher Education Faculty of Color Overcome Challenges and Thrive in the Academy</t>
  </si>
  <si>
    <t>Harris, Michelle;Sellers, Sherrill L.;Clerge, Orly;Gooding, Frederick W., Jr.;Gooding, Frederick W.</t>
  </si>
  <si>
    <t>LC1099.3.S767 2017</t>
  </si>
  <si>
    <t>Minority college teachers - United States - Attitudes</t>
  </si>
  <si>
    <t>Educational Leadership and Louis Farrakhan</t>
  </si>
  <si>
    <t>Pitre, Abul</t>
  </si>
  <si>
    <t>LC2731.P579 2017</t>
  </si>
  <si>
    <t>Farrakhan, Louis. ; African Americans--Education--Philosophy. ; Black Muslims--Education--Philosophy. ; Educational leadership--Philosophy.</t>
  </si>
  <si>
    <t>Philosophy and History of Education : Diverse Perspectives on Their Value and Relationship</t>
  </si>
  <si>
    <t>Errante, Antoinette;Blount, Jackie;Kimball, Bruce A.</t>
  </si>
  <si>
    <t>LB14.7.P455 2017</t>
  </si>
  <si>
    <t>Education - Philosophy - History</t>
  </si>
  <si>
    <t>The Social Change Model : Facilitating Leadership Development</t>
  </si>
  <si>
    <t>Skendall, Kristan C.;Ostick, Daniel T.;Komives, Susan R.;Wagner, Wendy</t>
  </si>
  <si>
    <t>Educational leadership--Handbooks, manuals, etc</t>
  </si>
  <si>
    <t>Abendländische Erziehungsweisheit : Eine Hilfe Für Die Not der Gegenwart</t>
  </si>
  <si>
    <t>Eberhard, Otto</t>
  </si>
  <si>
    <t>LB17.E23 1958</t>
  </si>
  <si>
    <t>Education--Philosophy--History.</t>
  </si>
  <si>
    <t>Using Action Inquiry in Engaged Research : An Organizing Guide</t>
  </si>
  <si>
    <t>St. John, Edward P.;Lijana, Kim Callahan;Musoba, Glenda D.</t>
  </si>
  <si>
    <t>LB2326.3.U86 2017</t>
  </si>
  <si>
    <t>Gender Justice, Education and Equality : Creating Capabilities for Girls' and Women's Development</t>
  </si>
  <si>
    <t>Cin, Firdevs Melis</t>
  </si>
  <si>
    <t>Social justice</t>
  </si>
  <si>
    <t>Students at the Center : Personalized Learning with Habits of Mind</t>
  </si>
  <si>
    <t>Kallick, Bena;Zmuda, Allison</t>
  </si>
  <si>
    <t>LB1031 .K345 2017</t>
  </si>
  <si>
    <t>Individualized instruction. ; Thought and thinking-Study and teaching.</t>
  </si>
  <si>
    <t>World-Class Fundraising Isn't a Solo Sport : The Team Approach to Academic Fundraising</t>
  </si>
  <si>
    <t>LB2335.95.B88 2017</t>
  </si>
  <si>
    <t>New Art and Science of Teaching : More Than Fifty New Instructional Strategies for Academic Success</t>
  </si>
  <si>
    <t>The New Art and Science of Teaching Series</t>
  </si>
  <si>
    <t>Effective teaching-United States. ; Classroom management-United States. ; Teaching-Aids and devices. ; Learning, Psychology of.</t>
  </si>
  <si>
    <t>Cultivating Mindfulness in the Classroom : Effective, Low-Cost Way for Educators to Help Students Manage Stress</t>
  </si>
  <si>
    <t>Iberlin, Jeanie M.</t>
  </si>
  <si>
    <t>BF637.M56 I24 2017</t>
  </si>
  <si>
    <t>158.7/2 371.1</t>
  </si>
  <si>
    <t>Mindfulness (Psychology) ; Teaching.</t>
  </si>
  <si>
    <t>Moins c'est souvent mieux : Guide des principes d'enseignement multimédia élaborés à partir de recherches en psychologie cognitive</t>
  </si>
  <si>
    <t>Gauthier, Clermont</t>
  </si>
  <si>
    <t>LB1028.5.G3688 2009</t>
  </si>
  <si>
    <t>Évaluation des apprentissages et technologies de l'information et de la communication : Enjeux, applications et modèles de mesure</t>
  </si>
  <si>
    <t>Blais, Jean-Guy;Jean-Guy, Blais</t>
  </si>
  <si>
    <t>Hors-Collection</t>
  </si>
  <si>
    <t>LB2822.75.E935 2009</t>
  </si>
  <si>
    <t>Educational evaluation--Social aspects.</t>
  </si>
  <si>
    <t>Le français d'un continent à l'autre : Mélanges offerts à Yves Charles Morin</t>
  </si>
  <si>
    <t>Baronian, Luc;France, Martineau</t>
  </si>
  <si>
    <t>Voies du Français Les</t>
  </si>
  <si>
    <t>PC2111.F736 2008</t>
  </si>
  <si>
    <t>French language--Grammar.</t>
  </si>
  <si>
    <t>Paul Ricoeur et la question éducative</t>
  </si>
  <si>
    <t>Simard, Denis;Simard</t>
  </si>
  <si>
    <t>Education et Culture</t>
  </si>
  <si>
    <t>B2430.R554.P385 2011</t>
  </si>
  <si>
    <t>Spiritualités et biomédecine : enjeux d’une intégration</t>
  </si>
  <si>
    <t>Jobin, Guy;Michel, Nyabenda</t>
  </si>
  <si>
    <t>BL65.M4.S657 2013</t>
  </si>
  <si>
    <t>Spiritual care (Medical care)</t>
  </si>
  <si>
    <t>Éduquer après Carl Gustav Jung : suivi de Métaphores et autres vérités</t>
  </si>
  <si>
    <t>Gagnon, Richard</t>
  </si>
  <si>
    <t>BF173.J85.G346 2013</t>
  </si>
  <si>
    <t>Enseigner et penser l’éducation à la consommation</t>
  </si>
  <si>
    <t>Rodriguez, Adolfo Agundez;France, Jutras</t>
  </si>
  <si>
    <t>Vie Dans la Classe La</t>
  </si>
  <si>
    <t>HF5415.32.E574 2013</t>
  </si>
  <si>
    <t>Consumer behavior.</t>
  </si>
  <si>
    <t>Quand les récits de pratique enseignante parlent d’apprentissage</t>
  </si>
  <si>
    <t>Pasquini, Raphaël</t>
  </si>
  <si>
    <t>LB1707.P377 2013</t>
  </si>
  <si>
    <t>L’obligation de résultats en éducation</t>
  </si>
  <si>
    <t>Lessard, Claude;Meirieu</t>
  </si>
  <si>
    <t>LB2806.22.O255 2004</t>
  </si>
  <si>
    <t>Educational accountability.</t>
  </si>
  <si>
    <t>La Biblia de las Matemáticas Rápidas</t>
  </si>
  <si>
    <t>Danilo Lapegna</t>
  </si>
  <si>
    <t>Lapegna, Danilo;Takumi, Yamada;Antonio Monroy Correa, Manuel</t>
  </si>
  <si>
    <t>QA43.L374 2016</t>
  </si>
  <si>
    <t>Mathematics--Problems, exercises, etc.</t>
  </si>
  <si>
    <t>1.500 Wörter pro Stunde – Das Schnellschreibsystem für Ihren Erfolg als Autor</t>
  </si>
  <si>
    <t>Martin Publications</t>
  </si>
  <si>
    <t>Martin, N.P.;Hutter, Miriam</t>
  </si>
  <si>
    <t>PN145.M378 2017</t>
  </si>
  <si>
    <t>Writing--Technique.</t>
  </si>
  <si>
    <t>Social Justice for the Oppressed : Critical Educators and Intellectuals Speak Out</t>
  </si>
  <si>
    <t>Orelus, Pierre Wilbert</t>
  </si>
  <si>
    <t>HM671.O745 2017</t>
  </si>
  <si>
    <t>Discrimination</t>
  </si>
  <si>
    <t>The Wiley Handbook of Early Childhood Development Programs, Practices, and Policies</t>
  </si>
  <si>
    <t>Votruba-Drzal, Elizabeth;Dearing, Eric</t>
  </si>
  <si>
    <t>Wiley Blackwell Handbooks of Developmental Psychology Series</t>
  </si>
  <si>
    <t>LB1139.23.H36 2017</t>
  </si>
  <si>
    <t>Critical Mentoring : A Practical Guide</t>
  </si>
  <si>
    <t>Weiston-Serdan, Torie</t>
  </si>
  <si>
    <t>LB1731.4.W457 2017</t>
  </si>
  <si>
    <t>Mentoring in education--United States--Handbooks, manuals, etc</t>
  </si>
  <si>
    <t>Enhancing a High-Performing School Culture and Climate : New Insights for Improving Schools</t>
  </si>
  <si>
    <t>LB2822.8.B853 2016</t>
  </si>
  <si>
    <t>Intersections of Identity and Sexual Violence on Campus : Centering Minoritized Students' Experiences</t>
  </si>
  <si>
    <t>Harris, Jessica C.;Linder, Chris</t>
  </si>
  <si>
    <t>Rape in universities and colleges--United States.</t>
  </si>
  <si>
    <t>The Wiley Handbook of Home Education</t>
  </si>
  <si>
    <t>Gaither, Milton</t>
  </si>
  <si>
    <t>Home schooling--Handbooks, manuals, etc</t>
  </si>
  <si>
    <t>From Exclusion to Excellence : Building Restorative Relationships to Create Inclusive Schools</t>
  </si>
  <si>
    <t>Razer, Michal;Friedman, Victor J.</t>
  </si>
  <si>
    <t>IBE on Curriculum, Learning, and Assessment Series</t>
  </si>
  <si>
    <t>On Mutant Pedagogies : Seeking Justice and Drawing Change in Teacher Education</t>
  </si>
  <si>
    <t>Jones, Stephanie;Woglom, James F.</t>
  </si>
  <si>
    <t>Doing Arts Thinking: Arts Practice, Research and Education Series</t>
  </si>
  <si>
    <t>LB1715 .J664 2016</t>
  </si>
  <si>
    <t>Teachers-Training of-United States. ; Educational change-United States.</t>
  </si>
  <si>
    <t>Special Educational Needs and Inclusive Practices : An International Perspective</t>
  </si>
  <si>
    <t>Dovigo, Fabio</t>
  </si>
  <si>
    <t>Inclusive education. ; Educational equalization.</t>
  </si>
  <si>
    <t>Inclusive Education : Making Sense of Everyday Practice</t>
  </si>
  <si>
    <t>Plows, Vicky;Whitburn, Ben</t>
  </si>
  <si>
    <t>Inclusive education. ; Mainstreaming in education.</t>
  </si>
  <si>
    <t>Emphasizing Social Justice and Equity in Leadership for Early Childhood : Taking a Postmodern Turn to Make Complexity Visible</t>
  </si>
  <si>
    <t>Nicholson, Julie</t>
  </si>
  <si>
    <t>LB1775.6.N54 2017</t>
  </si>
  <si>
    <t>Early childhood educators--Professional relationships. ; Educational leadership.</t>
  </si>
  <si>
    <t>Culturally Sustaining and Revitalizing Pedagogies : Language, Culture, and Power</t>
  </si>
  <si>
    <t>Coulter, Cathy;Jimenez-Silva, Margarita</t>
  </si>
  <si>
    <t>Culturally relevant pedagogy</t>
  </si>
  <si>
    <t>Academics in Action! : A Model for Community-Engaged Research, Teaching, and Service</t>
  </si>
  <si>
    <t>Barnes, Sandra L.;Brinkley-Rubinstein, Lauren;Doykos, Bernadette;Martin, Nina C.;McGuire, Allison</t>
  </si>
  <si>
    <t>LB1028.24.A233 2016</t>
  </si>
  <si>
    <t>Softening the Edges : Assessment Practices That Honor K-12 Teachers and Learners (Using Responsible Assessment Methods in Ways That Support Student Engagement)</t>
  </si>
  <si>
    <t>White, Katie</t>
  </si>
  <si>
    <t>LB3051.W48845 2017</t>
  </si>
  <si>
    <t>Educational tests and measurements-United States. ; Educational evaluation-United States. ; Individualized instruction-United States. ; Competency-based education-United States.</t>
  </si>
  <si>
    <t>Creating the Anywhere, Anytime Classroom : A Blueprint for Learning Online in Grades K--12</t>
  </si>
  <si>
    <t>Reason, Casey;Reason, Lisa;Guiler, Crystal</t>
  </si>
  <si>
    <t>LB1028.5 .R437 2017</t>
  </si>
  <si>
    <t>Computer-assisted instruction-Curricula-Planning.</t>
  </si>
  <si>
    <t>Raising the Rigor : Effective Questioning Strategies and Techniques for the Classroom (Teach Students to Write and Ask Their Own Meaningful Questions)</t>
  </si>
  <si>
    <t>Depka, Eileen</t>
  </si>
  <si>
    <t>LB1027.23.D475 2017</t>
  </si>
  <si>
    <t>Inquiry-based learning. ; Interaction analysis in education. ; Discussion. ; Classroom management. ; Effective teaching.</t>
  </si>
  <si>
    <t>Beyond the Grade : Refining Practices That Boost Student Achievement</t>
  </si>
  <si>
    <t>Canady, Robert Lynn;Canady, Carol E.;Meek, Anne</t>
  </si>
  <si>
    <t>Academic achievement. ; Achievement motivation. ; School improvement programs.</t>
  </si>
  <si>
    <t>Understanding Adolescent Immigrants : Moving Toward an Extraordinary Discourse for Extraordinary Youth</t>
  </si>
  <si>
    <t>Stewart, Mary Amanda</t>
  </si>
  <si>
    <t>JV6201.S749 2017</t>
  </si>
  <si>
    <t>Immigrants.</t>
  </si>
  <si>
    <t>Leading the Campaign : The President and Fundraising in Higher Education</t>
  </si>
  <si>
    <t>Worth, Michael J.</t>
  </si>
  <si>
    <t>LB2336.W678 2017</t>
  </si>
  <si>
    <t>State universities and colleges - United States - Finance</t>
  </si>
  <si>
    <t>The Mexican American Community College Experience : Fostering Resilience, Achieving Success</t>
  </si>
  <si>
    <t>Campa, Blanca</t>
  </si>
  <si>
    <t>LC2683.6.C367 2017</t>
  </si>
  <si>
    <t>Mexican Americans - Education, Higher</t>
  </si>
  <si>
    <t>Reviewing the Performance and Impact of Social Media Tools in Higher Education</t>
  </si>
  <si>
    <t>Blessinger, Patrick;Baxter, Gavin;Hainey, Thomas</t>
  </si>
  <si>
    <t>LB1028.3.R485 2017</t>
  </si>
  <si>
    <t>Use of Private Educational Resources for Increase of Effectiveness of University Education</t>
  </si>
  <si>
    <t>Popkova, Elena;Roberts, Brian</t>
  </si>
  <si>
    <t>LB1028.8.U84 2017</t>
  </si>
  <si>
    <t>Resource programs (Education)</t>
  </si>
  <si>
    <t>KIJK OP KIEZEN. EEN STAPPENPLAN VOOR STUDIE- EN BEROEPSKEUZE - HERZIENE EDITIE : Tweede herziene uitgave</t>
  </si>
  <si>
    <t>Backx, Sara;Baets, Rein</t>
  </si>
  <si>
    <t>Dienst studieadvies studentenbegeleiding</t>
  </si>
  <si>
    <t>LB1607.B335 2011</t>
  </si>
  <si>
    <t>Education, Secondary.</t>
  </si>
  <si>
    <t>FOCUS OP FAALANGST (TWEEDE HERZIENE EDITIE) : Faalangst begrijpen en aanpakken</t>
  </si>
  <si>
    <t>Vloeberghs, Isabelle</t>
  </si>
  <si>
    <t>LB3060.6.V564 2015</t>
  </si>
  <si>
    <t>Test anxiety.</t>
  </si>
  <si>
    <t>VERDER STUDEREN MET AUTISME : Praktische handvatten voor studenten, docenten en begeleiders in het hoger onderwijs</t>
  </si>
  <si>
    <t>De Pau, Ruth;Vloebreghs, Isabelle</t>
  </si>
  <si>
    <t>LB2341.V564 2014</t>
  </si>
  <si>
    <t>Education, Higher--Administration--Cross-cultural studies.</t>
  </si>
  <si>
    <t>MEER LEF IN HET ONDERWIJS : Levensbeschouwing, Ethiek en Filosofie voor iedereen</t>
  </si>
  <si>
    <t>Loobuyck, Patrick</t>
  </si>
  <si>
    <t>LB14.7.V473 2014</t>
  </si>
  <si>
    <t>Responding to Poverty and Disadvantage in Schools : A Reader for Teachers</t>
  </si>
  <si>
    <t>Bibby, Tamara;Lupton, Ruth;Raffo, Carlo</t>
  </si>
  <si>
    <t>Learning to Be Tibetan : The Construction of Ethnic Identity at Minzu University of China</t>
  </si>
  <si>
    <t>Yang, Miaoyan</t>
  </si>
  <si>
    <t>DS786 .Y364 2017</t>
  </si>
  <si>
    <t>305.895/41051</t>
  </si>
  <si>
    <t>Tibet Autonomous Region (China)-History.</t>
  </si>
  <si>
    <t>The Crucible - Literature Kit Gr. 9-12</t>
  </si>
  <si>
    <t>PS3525.I5156 .I236 2017</t>
  </si>
  <si>
    <t>Miller, Arthur,-1915-2005.-Crucible. ; American drama-Problems, exercises, etc.</t>
  </si>
  <si>
    <t>Teachers' Know-How : A Philosophical Investigation</t>
  </si>
  <si>
    <t>Teaching--Philosophy</t>
  </si>
  <si>
    <t>Studying for Your Early Years Degree : Skills and Knowledge for Becoming an Effective Early Years Practitioner</t>
  </si>
  <si>
    <t>Musgrave, Jackie;Savin-Baden, Maggi;Stobbs, Nicola</t>
  </si>
  <si>
    <t>Early Years Series</t>
  </si>
  <si>
    <t>LB1025.3.S783 2017</t>
  </si>
  <si>
    <t>Perspectives on Diversity, Equity, and Social Justice in Educational Leadership</t>
  </si>
  <si>
    <t>Esmail, Ashraf;Pitre, Abul;Aragon, Antonette</t>
  </si>
  <si>
    <t>The National Association for Multicultural Education (NAME) Series</t>
  </si>
  <si>
    <t>LB2806.P477 2017</t>
  </si>
  <si>
    <t>Educational leadership - Social aspects - United States</t>
  </si>
  <si>
    <t>Brain Verse</t>
  </si>
  <si>
    <t>Lorenz Educational Press</t>
  </si>
  <si>
    <t>Karges-Bone, Dr. Linda</t>
  </si>
  <si>
    <t>LB1555 .K374 2012</t>
  </si>
  <si>
    <t>Elementary school teaching. ; Creative activities and seat work.</t>
  </si>
  <si>
    <t>Bibliotherapy</t>
  </si>
  <si>
    <t>RC489.B48 .K374 2015</t>
  </si>
  <si>
    <t>Bibliotherapy.</t>
  </si>
  <si>
    <t>Classroom Music Games and Activities</t>
  </si>
  <si>
    <t>Eisenhauer, Julie</t>
  </si>
  <si>
    <t>MT1 .C537 2014</t>
  </si>
  <si>
    <t>School music-Instruction and study. ; Games with music. ; Creative activities and seat work.</t>
  </si>
  <si>
    <t>Brain Tips</t>
  </si>
  <si>
    <t>LB1027 .K374 2014</t>
  </si>
  <si>
    <t>Teaching-Psychological aspects. ; Learning, Psychology of.</t>
  </si>
  <si>
    <t>Rich Brain, Poor Brain</t>
  </si>
  <si>
    <t>LC213.2 .K374 2016</t>
  </si>
  <si>
    <t>Music Activities for the Whole Class</t>
  </si>
  <si>
    <t>MT1 .M875 2015</t>
  </si>
  <si>
    <t>Music-Instruction and study. ; School music-Instruction and study.</t>
  </si>
  <si>
    <t>Musical Vocabulary and Instrument Activities</t>
  </si>
  <si>
    <t>ML460 .M875 2015</t>
  </si>
  <si>
    <t>Musical instruments-Construction.</t>
  </si>
  <si>
    <t>Music Symbol Worksheets</t>
  </si>
  <si>
    <t>Music-Instruction and study.</t>
  </si>
  <si>
    <t>Context Clues (CCSS L.2.4a)</t>
  </si>
  <si>
    <t>Educational, Lorenz</t>
  </si>
  <si>
    <t>Common Core State Standards</t>
  </si>
  <si>
    <t>LB1573 .C668 2014</t>
  </si>
  <si>
    <t>Reading (Elementary)-Juvenile literature. ; Reading comprehension-Juvenile literature.</t>
  </si>
  <si>
    <t>Choose Words and Phrases (CCSS L.4.3a)</t>
  </si>
  <si>
    <t>PE1449 .C466 2014</t>
  </si>
  <si>
    <t>Vocabulary-Juvenile literature. ; English language-Terms and phrases-Juvenile literature.</t>
  </si>
  <si>
    <t>Conjunctions, Prepositions and Interjections (CCSS L.5.1a)</t>
  </si>
  <si>
    <t>PE1345 .C665 2014</t>
  </si>
  <si>
    <t>English language-Conjunctions-Juvenile literature. ; English language-Prepositions-Juvenile literature. ; English language-Interjections-Juvenile literature.</t>
  </si>
  <si>
    <t>Verb Tense (CCSS L.5.1c)</t>
  </si>
  <si>
    <t>PE1271 .V473 2014</t>
  </si>
  <si>
    <t>English language-Verb-Juvenile literature. ; English language-Grammar-Juvenile literature.</t>
  </si>
  <si>
    <t>Expand, Combine, and Reduce Sentences (CCSS L.5.3a)</t>
  </si>
  <si>
    <t>PE1441 .E973 2014</t>
  </si>
  <si>
    <t>English language-Sentences-Juvenile literature. ; English language-Composition and exercises-Juvenile literature.</t>
  </si>
  <si>
    <t>Pronoun Shifts (CCSS L.6.1c)</t>
  </si>
  <si>
    <t>PE1261 .P766 2014</t>
  </si>
  <si>
    <t>English language-Pronoun-Juvenile literature.</t>
  </si>
  <si>
    <t>Phrases and Clauses (CCSS L.7.1c)</t>
  </si>
  <si>
    <t>PE1689 .P473 2014</t>
  </si>
  <si>
    <t>English language-Terms and phrases-Juvenile literature. ; English language-Clauses-Juvenile literature.</t>
  </si>
  <si>
    <t>Decode Multisyllable Words (CCSS RF.3.3c)</t>
  </si>
  <si>
    <t>PE1157 .D436 2014</t>
  </si>
  <si>
    <t>English language-Vowels-Juvenile literature. ; English language-Pronunciation-Juvenile literature.</t>
  </si>
  <si>
    <t>Key Details (CCSS RI.2.1)</t>
  </si>
  <si>
    <t>LB1576 .K49 2014</t>
  </si>
  <si>
    <t>Language arts (Elementary) ; Education, Elementary-Curricula-Standards.</t>
  </si>
  <si>
    <t>Connection Between a Series (CCSS RI.2.3)</t>
  </si>
  <si>
    <t>LB1576 .C666 2014</t>
  </si>
  <si>
    <t>Word Meaning (CCSS RI.2.4)</t>
  </si>
  <si>
    <t>LB1576 .W673 2014</t>
  </si>
  <si>
    <t>Illustrations vs Text (CCSS RI.3.7)</t>
  </si>
  <si>
    <t>LB1576 .I458 2014</t>
  </si>
  <si>
    <t>Sentence and Paragraph Connections (CCSS RI.3.8)</t>
  </si>
  <si>
    <t>LB1576 .S468 2014</t>
  </si>
  <si>
    <t>Main Idea (CCSS RI.4.2)</t>
  </si>
  <si>
    <t>LB1576 .M356 2014</t>
  </si>
  <si>
    <t>Word Meaning (CCSS RI.4.4)</t>
  </si>
  <si>
    <t>Quote from Text (CCSS RI.5.1)</t>
  </si>
  <si>
    <t>LB1576 .Q684 2014</t>
  </si>
  <si>
    <t>Main Ideas (CCSS RI.5.2)</t>
  </si>
  <si>
    <t>Explain Relationships (CCSS RI.5.3)</t>
  </si>
  <si>
    <t>LB1576 .E975 2014</t>
  </si>
  <si>
    <t>Textual Evidence (CCSS RI.6.1)</t>
  </si>
  <si>
    <t>LB1631 .T498 2014</t>
  </si>
  <si>
    <t>Language arts (Middle school)-Curricula-United States.</t>
  </si>
  <si>
    <t>Central Idea (CCSS RI.6.2)</t>
  </si>
  <si>
    <t>LB1576 .C468 2014</t>
  </si>
  <si>
    <t>Key Details (CCSS RI.6.3)</t>
  </si>
  <si>
    <t>LB1631 .K49 2014</t>
  </si>
  <si>
    <t>Word Meaning (CCSS RI.6.4)</t>
  </si>
  <si>
    <t>Evaluate Claims (CCSS RI.6.8)</t>
  </si>
  <si>
    <t>LB1576 .E935 2014</t>
  </si>
  <si>
    <t>Interactions in Text (CCSS RI.7.3)</t>
  </si>
  <si>
    <t>LB1631 .I584 2014</t>
  </si>
  <si>
    <t>Textual Evidence (CCSS RI.8.1)</t>
  </si>
  <si>
    <t>Central Ideas (CCSS RI.8.2)</t>
  </si>
  <si>
    <t>Connections in Text (CCSS RI.8.3)</t>
  </si>
  <si>
    <t>LB1631 .C666 2014</t>
  </si>
  <si>
    <t>Character Response (CCSS RL.2.3)</t>
  </si>
  <si>
    <t>LB1576 .C437 2014</t>
  </si>
  <si>
    <t>Use Illustrations and Words (CCSS RL.2.7)</t>
  </si>
  <si>
    <t>LB1576 .U84 2014</t>
  </si>
  <si>
    <t>Fables, Folktales and Myths (CCSS RL.3.2)</t>
  </si>
  <si>
    <t>LB1583.8 .F335 2014</t>
  </si>
  <si>
    <t>Folklore and education-United States. ; Folk literature-United States.</t>
  </si>
  <si>
    <t>Determine Theme (CCSS RL.4.2)</t>
  </si>
  <si>
    <t>LB1576 .D484 2014</t>
  </si>
  <si>
    <t>Word Meaning (CCSS RL.4.4)</t>
  </si>
  <si>
    <t>Quote from Text (CCSS RL.5.1)</t>
  </si>
  <si>
    <t>Determine Theme (CCSS RL.5.2)</t>
  </si>
  <si>
    <t>Compare and Contrast (CCSS RL.5.3)</t>
  </si>
  <si>
    <t>LB1576 .C667 2014</t>
  </si>
  <si>
    <t>Word Meaning (CCSS RL.5.4)</t>
  </si>
  <si>
    <t>Point of View (CCSS RL.5.6)</t>
  </si>
  <si>
    <t>LB1576 .P656 2014</t>
  </si>
  <si>
    <t>Determine Theme (CCSS RL.7.2)</t>
  </si>
  <si>
    <t>Point of View (CCSS RL.8.6)</t>
  </si>
  <si>
    <t>Multiplying by Powers of 10 (CCSS 5.NBT.A.2)</t>
  </si>
  <si>
    <t>LB1576 .M858 2014</t>
  </si>
  <si>
    <t>Area of Triangles, Quadrilaterals, and Polygons (CCSS 6.G.A.1)</t>
  </si>
  <si>
    <t>QA482 .A743 2014</t>
  </si>
  <si>
    <t>Triangle-Juvenile literature. ; Shapes-Juvenile literature.</t>
  </si>
  <si>
    <t>Solving for Unknown Angles (CCSS 7.G.B.5)</t>
  </si>
  <si>
    <t>QA43 .S658 2014</t>
  </si>
  <si>
    <t>Mathematics-Problems, exercises, etc.-Juvenile literature.</t>
  </si>
  <si>
    <t>Multiply and Divide Rational Numbers 1 (CCSS 7.NS.A.2c)</t>
  </si>
  <si>
    <t>QA135.5 .M858 2014</t>
  </si>
  <si>
    <t>Numbers, Rational-Study and teaching (Elementary) ; Mathematics-Study and teaching (Elementary)</t>
  </si>
  <si>
    <t>Converting Rational Numbers to Decimals (CCSS 7.NS.A.2d)</t>
  </si>
  <si>
    <t>QA13 .C668 2014</t>
  </si>
  <si>
    <t>Mathematics-Study and teaching (Middle school)-United States. ; Decimal fractions-Problems, exercises, etc. ; Mathematics-Problems, exercises, etc.</t>
  </si>
  <si>
    <t>Shades of Meaning (CCSS L.3.5c)</t>
  </si>
  <si>
    <t>PE1449 .S533 2014</t>
  </si>
  <si>
    <t>Vocabulary-Juvenile literature. ; English language-Usage-Juvenile literature.</t>
  </si>
  <si>
    <t>Antonyms and Synonyms (CCSS L.4.5c)</t>
  </si>
  <si>
    <t>PE1591 .A586 2014</t>
  </si>
  <si>
    <t>English language-Synonyms and antonyms-Juvenile literature.</t>
  </si>
  <si>
    <t>Phrases and Clauses (CCSS L.7.1a)</t>
  </si>
  <si>
    <t>English language-Terms and phrases-Juvenile literature. ; English language-Clauses-Juvenile literature. ; English language-Grammar-Juvenile literature.</t>
  </si>
  <si>
    <t>Word Meaning (CCSS RI.1.4)</t>
  </si>
  <si>
    <t>LB1576 .W673 2001</t>
  </si>
  <si>
    <t>Language arts (Elementary) ; Language arts-Problems, exercises, etc. ; Education, Elementary-Curricula-Standards-United States-States.</t>
  </si>
  <si>
    <t>Illustrations vs Text (CCSS RI.1.6)</t>
  </si>
  <si>
    <t>LB1576 .I458 2002</t>
  </si>
  <si>
    <t>Textual Evidence (CCSS RI.7.1)</t>
  </si>
  <si>
    <t>Language arts (Middle school)-Curricula-United States-States. ; Language arts (Middle school)-Standards-United States-States. ; Language arts-Problems, exercises, etc.</t>
  </si>
  <si>
    <t>Central Ideas (CCSS RI.7.2)</t>
  </si>
  <si>
    <t>Language arts (Elementary)-Curricula. ; Reading (Early childhood)-Standards.</t>
  </si>
  <si>
    <t>Sensory Words (CCSS RL.1.4)</t>
  </si>
  <si>
    <t>LB1576 .S467 2014</t>
  </si>
  <si>
    <t>Language arts (Elementary) ; Language arts-Problems, exercises, etc. ; Education, Elementary-Curricula-Standards-United States.</t>
  </si>
  <si>
    <t>The University of Illinois : Engine of Innovation</t>
  </si>
  <si>
    <t>Hoxie, Frederick E.;Barrett, James R.;Batzli, George O.;Benjamin, Claire;Brawn, Jeffrey D.;Canales, Jimena;Dick, Stephanie A.;Fu, Poshek;Garcia, Marcelo H.;Hoddeson, Lillian</t>
  </si>
  <si>
    <t>LD2378</t>
  </si>
  <si>
    <t>Empowered Educators in Australia : How High-Performing Systems Shape Teaching Quality</t>
  </si>
  <si>
    <t>Burns, Dion;McIntyre, Ann</t>
  </si>
  <si>
    <t>Teachers--Training of--Case studies.</t>
  </si>
  <si>
    <t>Empowered Educators in China : How High-Performing Systems Shape Teaching Quality</t>
  </si>
  <si>
    <t>Sato, Mistilina</t>
  </si>
  <si>
    <t>Real-Time Student Assessment : Meeting the Imperative for Improved Time to Degree, Closing the Opportunity Gap, and Assuring Student Competencies for 21st-Century Needs</t>
  </si>
  <si>
    <t>LB2331.63.M25 2017</t>
  </si>
  <si>
    <t>Universities and colleges - United States - Evaluation</t>
  </si>
  <si>
    <t>La Cousine Bette d'Honoré de Balzac (Analyse de L'oeuvre) : Analyse Complète et Résumé détaillé de L'oeuvre</t>
  </si>
  <si>
    <t>lePetitLitteraire;Perrel, Cécile;Coullet, Pauline</t>
  </si>
  <si>
    <t>Manners and customs-Fiction. ; France-Social life and customs-19th century-Fiction.</t>
  </si>
  <si>
    <t>Un Barrage Contre le Pacifique de Marguerite Duras (Analyse de L'oeuvre) : Analyse Complète et Résumé détaillé de L'oeuvre</t>
  </si>
  <si>
    <t>lePetitLitteraire;Nelissen, Catherine;Hamou, Nasim</t>
  </si>
  <si>
    <t>Authors, French-20th century-Biography.</t>
  </si>
  <si>
    <t>L' Amant de Marguerite Duras (Analyse de L'oeuvre) : Analyse Complète et Résumé détaillé de L'oeuvre</t>
  </si>
  <si>
    <t>lePetitLitteraire;Defossa, Isabelle;Boulanger, Apolline</t>
  </si>
  <si>
    <t>Man-woman relationships-Fiction. ; Teenage girls-Fiction.</t>
  </si>
  <si>
    <t>Les Fourberies de Scapin de Molière (Analyse de L'oeuvre) : Analyse Complète et Résumé détaillé de L'oeuvre</t>
  </si>
  <si>
    <t>lePetitLitteraire;Ruch, Ophélie;Sonneville, Margot</t>
  </si>
  <si>
    <t>Deception-Drama. ; French drama-History and criticism.</t>
  </si>
  <si>
    <t>Harry Potter et la Chambre des Secrets de J. K. Rowling (Analyse de L'oeuvre) : Analyse Complète et Résumé détaillé de L'oeuvre</t>
  </si>
  <si>
    <t>lePetitLitteraire;Panneel, Youri;Stas de Richelle, Manon</t>
  </si>
  <si>
    <t>Wizards-Fiction. ; Magic-Fiction.</t>
  </si>
  <si>
    <t>Harry Potter et le Prisonnier d'Azkaban de J. K. Rowling (Analyse de L'oeuvre) : Analyse Complète et Résumé détaillé de L'oeuvre</t>
  </si>
  <si>
    <t>lePetitLitteraire;Panneel, Youri;Ramain, Célia</t>
  </si>
  <si>
    <t>Magic-Fiction. ; Boarding schools-Fiction.</t>
  </si>
  <si>
    <t>Harry Potter à l'école des Sorciers de J. K. Rowling (Analyse de L'oeuvre) : Analyse Complète et Résumé détaillé de L'oeuvre</t>
  </si>
  <si>
    <t>lePetitLitteraire;Panneel, Youri;Lhoste, Lucile</t>
  </si>
  <si>
    <t>Wizards-Fiction. ; Schools-Fiction.</t>
  </si>
  <si>
    <t>Le Liseur de Bernhard Schlink (Analyse de L'oeuvre) : Analyse Complète et Résumé détaillé de L'oeuvre</t>
  </si>
  <si>
    <t>lePetitLitteraire;Kuta, Mélanie;Quintard, Marie-Pierre</t>
  </si>
  <si>
    <t>World War, 1939-1945-Atrocities-Fiction. ; War crime trials-Fiction.</t>
  </si>
  <si>
    <t>Gargantua de François Rabelais (Analyse de L'oeuvre) : Analyse Complète et Résumé détaillé de L'oeuvre</t>
  </si>
  <si>
    <t>lePetitLitteraire;Jooris, Vincent;Sigala, Marc</t>
  </si>
  <si>
    <t>French literature-20th century.</t>
  </si>
  <si>
    <t>Effroyables Jardins de Michel Quint (Analyse de L'oeuvre) : Analyse Complète et Résumé détaillé de L'oeuvre</t>
  </si>
  <si>
    <t>lePetitLitteraire;Roland, Nathalie;Dimitrov, Margot</t>
  </si>
  <si>
    <t>L’intégration des TIC en contexte éducatif : Modèles, réalités et enjeux</t>
  </si>
  <si>
    <t>Presses de l'Université du Québec (Quebec)</t>
  </si>
  <si>
    <t>Presses de l'Université du Québec</t>
  </si>
  <si>
    <t>Fiévez, Aurélien</t>
  </si>
  <si>
    <t>LB1028.3.F58 2017eb</t>
  </si>
  <si>
    <t>Disability in Higher Education : A Social Justice Approach</t>
  </si>
  <si>
    <t>Evans, Nancy J.;Broido, Ellen M.;Brown, Kirsten R.;Wilke, Autumn K.</t>
  </si>
  <si>
    <t>People with disabilities--Education (Higher)--United States</t>
  </si>
  <si>
    <t>Technology and Innovation in Adult Learning</t>
  </si>
  <si>
    <t>King, Kathleen P.</t>
  </si>
  <si>
    <t>Adult learning. ; Educational technology. ; Educational innovations.</t>
  </si>
  <si>
    <t>Inside and Out : Universities and Education for Sustainable Development</t>
  </si>
  <si>
    <t>Forrant, Robert;Silka, Linda</t>
  </si>
  <si>
    <t>Work, Health and Environment Series</t>
  </si>
  <si>
    <t>LC237.I57 2006</t>
  </si>
  <si>
    <t>Sustainable development - Study and teaching</t>
  </si>
  <si>
    <t>Women and the Shaping of the Nation's Young : Education and Public Doctrine in Britain 1750-1850</t>
  </si>
  <si>
    <t>Hilton, Mary;Nelson, Professor Claudia</t>
  </si>
  <si>
    <t>LC314.G7 .H558 2016</t>
  </si>
  <si>
    <t>Moral education-Great Britain-History-18th century. ; Moral education-Great Britain-History-19th century. ; Women in education-Great Britain-History-18th century. ; Women in education-Great Britain-History-19th century.</t>
  </si>
  <si>
    <t>Education for Democratic Citizenship : Issues of Theory and Practice</t>
  </si>
  <si>
    <t>Crick, Bernard;Lockyer, Andrew;Annette, John</t>
  </si>
  <si>
    <t>Civics, British - Study and teaching</t>
  </si>
  <si>
    <t>Understanding Schematic Learning at Two</t>
  </si>
  <si>
    <t>Brierley, Julie;Nutbrown, Cathy</t>
  </si>
  <si>
    <t>Early childhood education - Psychological aspects</t>
  </si>
  <si>
    <t>Empowered Educators : How High-Performing Systems Shape Teaching Quality Around the World</t>
  </si>
  <si>
    <t>Darling-Hammond, Linda;Burns, Dion;Campbell, Carol;Goodwin, A. Lin;Hammerness, Karen;Low, Ee Ling;McIntyre, Ann;Sato, Mistilina;Zeichner, Ken</t>
  </si>
  <si>
    <t>LC71.D37 2017</t>
  </si>
  <si>
    <t>Teachers--Training of--Case studies. ; Education and state--Case studies.</t>
  </si>
  <si>
    <t>Culturally Responsive Pedagogy : Working Towards Decolonization, Indigeneity and Interculturalism</t>
  </si>
  <si>
    <t>Pirbhai-Illich, Fatima;Pete, Shauneen;Martin, Fran</t>
  </si>
  <si>
    <t>Empowered Educators in Finland : How High-Performing Systems Shape Teaching Quality</t>
  </si>
  <si>
    <t>Hammerness, Karen;Ahtiainen, Raisa;Sahlberg, Pasi.</t>
  </si>
  <si>
    <t>Critical Thinking : Tools for Evaluating Research</t>
  </si>
  <si>
    <t>Nardi, Peter M.</t>
  </si>
  <si>
    <t>B809.2.N37 2017</t>
  </si>
  <si>
    <t>English as a Foreign Language for Deaf and Hard-of-Hearing Persons : Challenges and Strategies</t>
  </si>
  <si>
    <t>Domagała-Zyśk, Ewa;Kontra,  Edit H.</t>
  </si>
  <si>
    <t>HV2469.E5.E545 2016</t>
  </si>
  <si>
    <t>Hearing impaired--Hearing impaired--Europe--Congresses.</t>
  </si>
  <si>
    <t>Inquiring into the Common Core</t>
  </si>
  <si>
    <t>Fichtman Dana, Nancy;Burns, Jamey B.;Wolkenhauer, Rachel M.</t>
  </si>
  <si>
    <t>LB3060.83 .D363 2013</t>
  </si>
  <si>
    <t>Common Core State Standards (Education) ; Education-Standards-United States-Case studies. ; Teaching-Aids and devices. ; Inquiry-based learning.</t>
  </si>
  <si>
    <t>Pathways to Proficiency : Implementing Evidence-Based Grading</t>
  </si>
  <si>
    <t>Gobble, Troy;Onuscheck, Mark;Reibel, Anthony R.;Twadell, Eric</t>
  </si>
  <si>
    <t>LB3060.37.P384 2017</t>
  </si>
  <si>
    <t>Grading and marking (Students) ; Educational tests and measurements-Methodology.</t>
  </si>
  <si>
    <t>Heart! : Fully Forming Your Professional Life As a Teacher and Leader</t>
  </si>
  <si>
    <t>Mindfulness and Education : Research and Practice</t>
  </si>
  <si>
    <t>Ditrich, Tamara;Wiles,  Royce;Lovegrove,  Bill</t>
  </si>
  <si>
    <t>LB1051.M563 2017</t>
  </si>
  <si>
    <t>Foundations of Education : History and Theory of Teaching Children and Youths with Visual Impairments</t>
  </si>
  <si>
    <t>Holbrook, M. Cay;McCarthy, Tessa S.;Kamei-Hannan, Cheryl</t>
  </si>
  <si>
    <t>HV1626.F65 2017</t>
  </si>
  <si>
    <t>People with visual disabilities--Education.</t>
  </si>
  <si>
    <t>Foundations of Education : Instructional Strategies for Teaching Children and Youths with Visual Impairments</t>
  </si>
  <si>
    <t>Holbrook, M. Cay;Kamei-Hannan, Cheryl;McCarthy, Tessa</t>
  </si>
  <si>
    <t>Empowered Educators in Singapore : How High-Performing Systems Shape Teaching Quality</t>
  </si>
  <si>
    <t>Goodwin, A. Lin;Low, Ee-Ling;Darling-Hammond, Linda</t>
  </si>
  <si>
    <t>Education--Singapore.</t>
  </si>
  <si>
    <t>Existentialism and Education : An Introduction to Otto Friedrich Bollnow</t>
  </si>
  <si>
    <t>Friesen, Norm;Koerrenz, Ralf</t>
  </si>
  <si>
    <t>The Community Engagement Professional in Higher Education : A Competency Model for an Emerging Field</t>
  </si>
  <si>
    <t>Dostilio, Lina D.</t>
  </si>
  <si>
    <t>LC238.C666 2017</t>
  </si>
  <si>
    <t>Universities and colleges - Public relations - United States</t>
  </si>
  <si>
    <t>Empowered Educators in Canada : How High-Performing Systems Shape Teaching Quality</t>
  </si>
  <si>
    <t>Campbell, Carol;Zeichner, Ken;Lieberman, Ann;Osmond-Johnson, Pamela</t>
  </si>
  <si>
    <t>Education--Canada</t>
  </si>
  <si>
    <t>Usage-Based Approaches to Language Acquisition and Language Teaching</t>
  </si>
  <si>
    <t>Evers-Vermeul, Jacqueline;Tribushinina, Elena</t>
  </si>
  <si>
    <t>LB1139.L3.U834 2017</t>
  </si>
  <si>
    <t>Language acquisition.</t>
  </si>
  <si>
    <t>Bold Moves for Schools : How We Create Remarkable Learning Environments</t>
  </si>
  <si>
    <t>Jacobs, Heidi Hayes;Alcock, Marie Hubley</t>
  </si>
  <si>
    <t>LB2822.8 .J336 2017</t>
  </si>
  <si>
    <t>School improvement programs. ; Motivation in education. ; Classroom environment. ; Learning environments.</t>
  </si>
  <si>
    <t>Implementation of Large-Scale Education Assessments</t>
  </si>
  <si>
    <t>Lietz, Petra;Cresswell, John C.;Rust, Keith F.;Adams, Raymond J.</t>
  </si>
  <si>
    <t>Wiley Series in Survey Methodology Series</t>
  </si>
  <si>
    <t>La Princesse de Clèves de Madame de Lafayette (Analyse de L'oeuvre) : Analyse Complète et Résumé détaillé de L'oeuvre</t>
  </si>
  <si>
    <t>Mémoires d'Hadrien de Marguerite Yourcenar (Analyse de L'oeuvre) : Analyse Complète et Résumé détaillé de L'oeuvre</t>
  </si>
  <si>
    <t>lePetitLitteraire;Noiret, David;Couture, Maud</t>
  </si>
  <si>
    <t>Rien Ne S'oppose à la Nuit de Delphine de Vigan (Analyse de L'oeuvre) : Analyse Complète et Résumé détaillé de L'oeuvre</t>
  </si>
  <si>
    <t>lePetitLitteraire;Pinaud, Elena;Couture, Maud</t>
  </si>
  <si>
    <t>Drawing for Science Education : An International Perspective</t>
  </si>
  <si>
    <t>Katz, Phyllis</t>
  </si>
  <si>
    <t>Science--Study and teaching--Activity programs.</t>
  </si>
  <si>
    <t>Education, Disability and Inclusion : A Family Struggle Against an Excluding School</t>
  </si>
  <si>
    <t>Calderón-Almendros, Ignacio;Habegger-Lardoeyt, Sabina</t>
  </si>
  <si>
    <t>Children with disabilities--Education--Spain.</t>
  </si>
  <si>
    <t>Reforming Teaching and Teacher Education : Bright Prospects for Active Schools</t>
  </si>
  <si>
    <t>What's Missing : Best Practices for Teaching Students with Disabilities</t>
  </si>
  <si>
    <t>Lindstrom, Carolyn;Drolet, Bonita M.</t>
  </si>
  <si>
    <t>LC4015.L56 2017</t>
  </si>
  <si>
    <t>Children with disabilities--Education.</t>
  </si>
  <si>
    <t>Beyond Tolerance : Real World Literacy Teaching and Learning for PreK-6</t>
  </si>
  <si>
    <t>Paul, Dierdre G.</t>
  </si>
  <si>
    <t>LB1573.P385 2017</t>
  </si>
  <si>
    <t>Reading (Preschool)</t>
  </si>
  <si>
    <t>Learning for Sustainability in a Digital World</t>
  </si>
  <si>
    <t>Speight, Sarah;Abeles, Tom</t>
  </si>
  <si>
    <t>HC79.E5.L437 2017</t>
  </si>
  <si>
    <t>Sustainable development.</t>
  </si>
  <si>
    <t>Working to improve: seven approaches to quality improvement in education</t>
  </si>
  <si>
    <t>Dalrymple, John;Chatterji, Madhabi;Bryk, Anthony</t>
  </si>
  <si>
    <t>LB41.W675 2017</t>
  </si>
  <si>
    <t>The Listening Leader : Creating the Conditions for Equitable School Transformation</t>
  </si>
  <si>
    <t>Safir, Shane;Fullan, Michael</t>
  </si>
  <si>
    <t>Real-World Learning Framework for Elementary Schools : Digital Tools and Practical Strategies for Successful Implementation</t>
  </si>
  <si>
    <t>Maxwell, Marge;Stobaugh, Rebecca;Tassell, Janet Lynne</t>
  </si>
  <si>
    <t>LA219.M399 2017</t>
  </si>
  <si>
    <t>The Wiley Handbook of School Choice</t>
  </si>
  <si>
    <t>Fox, Robert A.;Buchanan, Nina K.</t>
  </si>
  <si>
    <t>School choice.</t>
  </si>
  <si>
    <t>Attention, Balance and Coordination : The A. B. C. of Learning Success</t>
  </si>
  <si>
    <t>Blythe, Sally Goddard;Beuret, Lawrence J.;Blythe, Peter;Scaramella-Nowinski, Valerie</t>
  </si>
  <si>
    <t>612.6/5</t>
  </si>
  <si>
    <t>Reflexes</t>
  </si>
  <si>
    <t>The Wiley International Handbook of Educational Leadership</t>
  </si>
  <si>
    <t>Waite, Duncan;Bogotch, Ira</t>
  </si>
  <si>
    <t>Theatre, Teens, Sex Ed : Are We There Yet? (The Play)</t>
  </si>
  <si>
    <t>The University of Alberta Press</t>
  </si>
  <si>
    <t>Selman, Jan;Heather, Jane</t>
  </si>
  <si>
    <t>HQ35.S415 2015</t>
  </si>
  <si>
    <t>Sex instruction for teenagers.</t>
  </si>
  <si>
    <t>Digital Writing for English Language Learners</t>
  </si>
  <si>
    <t>Alrubail, Rusul</t>
  </si>
  <si>
    <t>LB1576.7.A478 2017</t>
  </si>
  <si>
    <t>English language - Composition and exercises. Computer-assisted instruction</t>
  </si>
  <si>
    <t>Cultural Mapping and the Digital Sphere : Place and Space</t>
  </si>
  <si>
    <t>University of Alberta Press</t>
  </si>
  <si>
    <t>Panofsky, Ruth;Kellett, Kathleen;Brown, Susan;Romaniuk, Mary-Jo;Antoniuk, Jeffery;Crompton, Constance;David, Ravit H.;DeSouza-Coelho, Shawn;Demers, Patricia;Devereux, Cecily</t>
  </si>
  <si>
    <t>AZ105.C84 2015</t>
  </si>
  <si>
    <t>Humanities-Canada-Data processing. ; Humanities-Research-Canada-Data processing. ; Canadian literature-History and criticism. ; Canada-Civilization.</t>
  </si>
  <si>
    <t>Fabriquer le Savoir Enseigné : Guide Pédagogique</t>
  </si>
  <si>
    <t>De Boeck Universite</t>
  </si>
  <si>
    <t>Philippe, Jonathan</t>
  </si>
  <si>
    <t>Le Point Sur... Pédagogie Series</t>
  </si>
  <si>
    <t>LB1027.4 .P455 2010</t>
  </si>
  <si>
    <t>Pédagogie Différenciée : Guide Pédagogique</t>
  </si>
  <si>
    <t>Kahn, Sabine</t>
  </si>
  <si>
    <t>LB1025.3 .K346 2010</t>
  </si>
  <si>
    <t>Savoir Enseigner Dans le Secondaire : Didactique Générale</t>
  </si>
  <si>
    <t>Carette, Vincent;Rey, Bernard</t>
  </si>
  <si>
    <t>LB1607 .C374 2010</t>
  </si>
  <si>
    <t>Faire la Classe à l'école Maternelle : Réflexions Sur la Construction des inégalités Scolaires</t>
  </si>
  <si>
    <t>Caffieaux, Christine</t>
  </si>
  <si>
    <t>LB1140.2 .C344 2011</t>
  </si>
  <si>
    <t>Education, Preschool.</t>
  </si>
  <si>
    <t>La Régulation des Apprentissages en Classe : Guide Pédagogique</t>
  </si>
  <si>
    <t>Mottier Lopez, Lucie</t>
  </si>
  <si>
    <t>LB1065 .M688 2012</t>
  </si>
  <si>
    <t>Enseigner les Sciences : Problèmes, débats et Savoirs Scientifiques en Classe</t>
  </si>
  <si>
    <t>Orange, Christian</t>
  </si>
  <si>
    <t>Q181 .O736 2012</t>
  </si>
  <si>
    <t>Inclusion Scolaire : Dispositifs et Pratiques Pédagogiques</t>
  </si>
  <si>
    <t>Tremblay, Philippe</t>
  </si>
  <si>
    <t>LC1200 .T746 2012</t>
  </si>
  <si>
    <t>Ecole et Adolescence : Une Approche Sociolgique</t>
  </si>
  <si>
    <t>Barrère, Anne</t>
  </si>
  <si>
    <t>LB1607 .B377 2013</t>
  </si>
  <si>
    <t>Teenagers-Education.</t>
  </si>
  <si>
    <t>Le Travail de L'enseignant : Une Approche Par la Didactique Professionnelle</t>
  </si>
  <si>
    <t>Vinatier, Isabelle</t>
  </si>
  <si>
    <t>LB1731 .K346 2013</t>
  </si>
  <si>
    <t>Teachers-In-service training.</t>
  </si>
  <si>
    <t>Le Rapport à l'école des élèves de Milieux Populaires : Guide Pédagogique</t>
  </si>
  <si>
    <t>Bernardin, Jacques</t>
  </si>
  <si>
    <t>LB1088 .B476 2013</t>
  </si>
  <si>
    <t>La Notion de Compétence en éducation et Formation : Enjeux et Problèmes</t>
  </si>
  <si>
    <t>Rey, Bernard</t>
  </si>
  <si>
    <t>LC1031 .R49 2014</t>
  </si>
  <si>
    <t>Ethnographies de L'école : Une Pluralité d'acteurs en Interaction</t>
  </si>
  <si>
    <t>Guigue, Michèle</t>
  </si>
  <si>
    <t>LB45 .G854 2014</t>
  </si>
  <si>
    <t>Évaluations Formative et Certificative des Apprentissages : Enjeux Pour L'enseignement</t>
  </si>
  <si>
    <t>LB2822.75 .M688 2015</t>
  </si>
  <si>
    <t>Quelle éthique Pour les Enseignants ? : Guide Pédagogique</t>
  </si>
  <si>
    <t>Prairat, Eirick</t>
  </si>
  <si>
    <t>LC268 .P735 2015</t>
  </si>
  <si>
    <t>Les Premiers Apprentissages Scolaires à la Loupe : Des Liens Entre énumération, Oralité et Littératie</t>
  </si>
  <si>
    <t>Margolinas, Claire;Laparra, Marceline</t>
  </si>
  <si>
    <t>LB1513 .L373 2016</t>
  </si>
  <si>
    <t>Le Sens du Problème : Problématiser à L'école ?</t>
  </si>
  <si>
    <t>Fabre, Michel</t>
  </si>
  <si>
    <t>LB14.7 .F337 2016</t>
  </si>
  <si>
    <t>Jeu et Compétences Scolaires : Comment Enseigner les Compétences à L'école ?</t>
  </si>
  <si>
    <t>Van Lynt, Sylvie</t>
  </si>
  <si>
    <t>LC1031 .V36 2016</t>
  </si>
  <si>
    <t>Réveille-Moi les Sciences : Apprendre les Sciences de 2 Ans 1/2 à 14 Ans</t>
  </si>
  <si>
    <t>Evrard, Thierry;Amory, Brigitte</t>
  </si>
  <si>
    <t>Outils Pour Enseigner Series</t>
  </si>
  <si>
    <t>Q181 .E973 2017</t>
  </si>
  <si>
    <t>Prévention du Harcèlement et des Violences Scolaires : Prévenir, Agir, Réagir</t>
  </si>
  <si>
    <t>Humbeeck, Bruno;Lahaye, Willy;Berger, Maxime</t>
  </si>
  <si>
    <t>LC212.82 .H863 2016</t>
  </si>
  <si>
    <t>Accompagner les Enseignants du Maternel Dans Leurs Missions : Guide Pédagogique</t>
  </si>
  <si>
    <t>Meurice, Bernadette</t>
  </si>
  <si>
    <t>LB1776 .M487 2017</t>
  </si>
  <si>
    <t>Les Cercles de Lecture : Interagir Pour développer Ensemble des Compétences de Lecteur</t>
  </si>
  <si>
    <t>Terwagne, Serge;Vanhulle, Sabine;Lafontaine, Annette</t>
  </si>
  <si>
    <t>LB1050.45 .L346 2017</t>
  </si>
  <si>
    <t>Reading comprehension.</t>
  </si>
  <si>
    <t>Comprendre, Apprendre, Mémoriser : Les Neurosciences Au Service de la Pédagogie</t>
  </si>
  <si>
    <t>Stordeur, Joseph</t>
  </si>
  <si>
    <t>RC341 .S767 2017</t>
  </si>
  <si>
    <t>Neurosciences. ; Education. ; Education-Study and teaching. ; Teaching.</t>
  </si>
  <si>
    <t>Medicine; Science: Anatomy/Physiology; Science</t>
  </si>
  <si>
    <t>Laisse-Moi Jouer... J'apprends ! : Guide Pédagogique</t>
  </si>
  <si>
    <t>Druart, Delphine;Wauters, Augusta;Pourtois, Jean Pierre</t>
  </si>
  <si>
    <t>LB1029.G3 .D783 2017</t>
  </si>
  <si>
    <t>Educational games.</t>
  </si>
  <si>
    <t>La Science Dialoguée : Une Autre Approche de l'enseignement des Sciences</t>
  </si>
  <si>
    <t>Sprod, Tim;Decostre, Nicole;Busquin, Philippe</t>
  </si>
  <si>
    <t>Action! Series</t>
  </si>
  <si>
    <t>Q181 .S676 2017</t>
  </si>
  <si>
    <t>Science-Study and teaching. ; Inquiry (Theory of knowledge)</t>
  </si>
  <si>
    <t>Enseigner les Langues étrangères : Quels Sont Nos Objectifs et Nos Priorités ?</t>
  </si>
  <si>
    <t>Etienne, Dany</t>
  </si>
  <si>
    <t>P51 .E854 2017</t>
  </si>
  <si>
    <t>Language and languages-Study and teaching (Secondary)</t>
  </si>
  <si>
    <t>Didactique de la Géographie : Organiser les Apprentissages</t>
  </si>
  <si>
    <t>Mérenne-Schoumaker, Bernadette</t>
  </si>
  <si>
    <t>G73 .M474 2012</t>
  </si>
  <si>
    <t>Geography-Study and teaching (Secondary)</t>
  </si>
  <si>
    <t>Sustainable Knowledge : A Theory of Interdisciplinarity</t>
  </si>
  <si>
    <t>Frodeman, R.</t>
  </si>
  <si>
    <t>HM511-538</t>
  </si>
  <si>
    <t>Genetic epistemology</t>
  </si>
  <si>
    <t>Engaging Higher Education : Purpose, Platforms, and Programs for Community Engagement</t>
  </si>
  <si>
    <t>Welch, Marshall</t>
  </si>
  <si>
    <t>LB2325.W453 2016</t>
  </si>
  <si>
    <t>Service learning - United States</t>
  </si>
  <si>
    <t>Teaching to Diversity : The Three-Block Model of Universal Design for Learning</t>
  </si>
  <si>
    <t>Portage &amp; Main Press</t>
  </si>
  <si>
    <t>Katz, Jennifer;Brownlie, Faye</t>
  </si>
  <si>
    <t>Teaching to Diversity Series</t>
  </si>
  <si>
    <t>LC1200.K389 2012</t>
  </si>
  <si>
    <t>Teacher's Guide for the Seven Teachings Stories</t>
  </si>
  <si>
    <t>Adamov Ferguson, Katya</t>
  </si>
  <si>
    <t>LA414 .F474 2015</t>
  </si>
  <si>
    <t>Education, Elementary-Canada.</t>
  </si>
  <si>
    <t>Rethinking Letter Grades : A Five-Step Approach for Aligning Letter Grades to Learning Standards</t>
  </si>
  <si>
    <t>Cameron, Caren;Gregory, Kathleen</t>
  </si>
  <si>
    <t>LB3051.C364 2014</t>
  </si>
  <si>
    <t>Students--Rating of.</t>
  </si>
  <si>
    <t>One Without the Other : Stories of Unity Through Diversity and Inclusion</t>
  </si>
  <si>
    <t>Moore, Shelley;Schnellert, Leyton</t>
  </si>
  <si>
    <t>Reimagining Inclusion: the ONE Series</t>
  </si>
  <si>
    <t>LC1200.M667 2016</t>
  </si>
  <si>
    <t>Achieving Indigenous Student Success : A Guide for Secondary Classrooms</t>
  </si>
  <si>
    <t>Toulouse, Pamela Rose</t>
  </si>
  <si>
    <t>LC3715.T685 2016</t>
  </si>
  <si>
    <t>Indigenous peoples--Education.</t>
  </si>
  <si>
    <t>Understanding and Promoting Transformative Learning : A Guide to Theory and Practice</t>
  </si>
  <si>
    <t>Cranton, Patricia</t>
  </si>
  <si>
    <t>LC5225.L42C72 2016</t>
  </si>
  <si>
    <t>Measuring Noncognitive Variables : Improving Admissions, Success and Retention for Underrepresented Students</t>
  </si>
  <si>
    <t>Sedlacek, William</t>
  </si>
  <si>
    <t>LB2351.5</t>
  </si>
  <si>
    <t>College student retention - United States</t>
  </si>
  <si>
    <t>BrandED : Tell Your Story, Build Relationships, and Empower Learning</t>
  </si>
  <si>
    <t>Sheninger, Eric;Rubin, Trish</t>
  </si>
  <si>
    <t>Educational leadership--Marketing</t>
  </si>
  <si>
    <t>Initial English Language Teacher Education : International Perspectives on Research, Curriculum and Practice</t>
  </si>
  <si>
    <t>Banegas, Darío Luis</t>
  </si>
  <si>
    <t>PE1066.I558 2017</t>
  </si>
  <si>
    <t>English teachers--Training of--Cross-cultural studies.</t>
  </si>
  <si>
    <t>Admission Matters : What Students and Parents Need to Know about Getting into College</t>
  </si>
  <si>
    <t>Springer, Sally P.;Reider, Jon;Morgan, Joyce Vining</t>
  </si>
  <si>
    <t>378.1/617</t>
  </si>
  <si>
    <t>Universities and colleges--United States--Admission. ; College choice--United States.</t>
  </si>
  <si>
    <t>Giving a Voice to the Voiceless : A Qualitative Study of Reducing Marginalization of Lesbian, Gay, Bisexual and Same-Sex Attracted Students at Christian Colleges and Universities</t>
  </si>
  <si>
    <t>Wipf and Stock Publishers</t>
  </si>
  <si>
    <t>Yuan, Christopher</t>
  </si>
  <si>
    <t>LC192.6.Y836 2016</t>
  </si>
  <si>
    <t>Homosexuality and education.</t>
  </si>
  <si>
    <t>Out of the Dark : A Direction for Change in Education</t>
  </si>
  <si>
    <t>Samford, Wendy Leigh;Pinar, William</t>
  </si>
  <si>
    <t>LA217.2.S264 2016</t>
  </si>
  <si>
    <t>Sustaining Interdisciplinary Collaboration : A Guide for the Academy</t>
  </si>
  <si>
    <t>Bendix, Regina;Bizer, Kilian;Noyes, Dorothy</t>
  </si>
  <si>
    <t>Interdisciplinary research.</t>
  </si>
  <si>
    <t>The Reading Mind : A Cognitive Approach to Understanding How the Mind Reads</t>
  </si>
  <si>
    <t>LB1050.2.W55 2017</t>
  </si>
  <si>
    <t>Advances in Research Using the C-SPAN Archives</t>
  </si>
  <si>
    <t>PN1992.92.C2.A383 2017</t>
  </si>
  <si>
    <t>A Designer's Log : Case Studies in Instructional Design</t>
  </si>
  <si>
    <t>Power, Michael</t>
  </si>
  <si>
    <t>LB2361 .P6813 2009</t>
  </si>
  <si>
    <t>Universities and colleges--Curricula--Planning.</t>
  </si>
  <si>
    <t>Teaching in Blended Learning Environments : Creating and Sustaining Communities of Inquiry</t>
  </si>
  <si>
    <t>Vaughan, Norman D.;Cleveland-Innes, Martha;Garrison, D. Randy</t>
  </si>
  <si>
    <t>LB1044.87 .V384 2013</t>
  </si>
  <si>
    <t>Education, Higher--Computer-assisted instruction.</t>
  </si>
  <si>
    <t>Universities and the Sustainable Development Future : Evaluating Higher-Education Contributions to the 2030 Agenda</t>
  </si>
  <si>
    <t>Koehn, Peter H.;Uitto, Juha I.</t>
  </si>
  <si>
    <t>HC79.E5.K644 2017</t>
  </si>
  <si>
    <t>Sustainable development--Study and teaching (Higher)</t>
  </si>
  <si>
    <t>Black Female Teachers : Diversifying the United States' Teacher Workforce</t>
  </si>
  <si>
    <t>Farinde-Wu, Abiola;Allen-Handy, Ayana;Lewis, Chance W.</t>
  </si>
  <si>
    <t>Women teachers</t>
  </si>
  <si>
    <t>Teaching in the Fast Lane : How to Create Active Learning Experiences</t>
  </si>
  <si>
    <t>LB1027.23.R655 2017</t>
  </si>
  <si>
    <t>Teaching Health Professionals Online : Frameworks and Strategies</t>
  </si>
  <si>
    <t>Melrose, Sherri;Park, Caroline;Perry, Beth</t>
  </si>
  <si>
    <t>R735</t>
  </si>
  <si>
    <t>Medicine-Study and teaching. ; Medical education-Computer-assisted instruction. ; Medicine-Computer-assisted instruction.</t>
  </si>
  <si>
    <t>Flexible Pedagogy, Flexible Practice : Notes from the Trenches of Distance Education</t>
  </si>
  <si>
    <t>Burge, Elizabeth;Campbell Gibson, Chère;Gibson, Terry</t>
  </si>
  <si>
    <t>LC5800 .B889 2011</t>
  </si>
  <si>
    <t>Online Distance Education : Towards a Research Agenda</t>
  </si>
  <si>
    <t>Zawacki-Richter, Olaf;Anderson, Terry</t>
  </si>
  <si>
    <t>LC5803.C65O53 2014</t>
  </si>
  <si>
    <t>371.35/8072</t>
  </si>
  <si>
    <t>Distance education - Computer-assisted instruction - Research</t>
  </si>
  <si>
    <t>Learning in Virtual Worlds : Research and Applications</t>
  </si>
  <si>
    <t>Gregory, Sue;Lee, Mark J. W.;Dalgarno, Barney;Tynan, Belinda</t>
  </si>
  <si>
    <t>LB1044.87.L4375 2016</t>
  </si>
  <si>
    <t>371.33/468</t>
  </si>
  <si>
    <t>Virtual reality in education. ; Shared virtual environments. ; Second Life (Game). ; Human-computer interaction.</t>
  </si>
  <si>
    <t>Handbook for Unstoppable Learning : (Make the Complexities of Unit and Lesson Design Manageable)</t>
  </si>
  <si>
    <t>Sammons, Laurie Robinson;Smith, Nanci N.</t>
  </si>
  <si>
    <t>Effective teaching. ; Teacher effectiveness. ; Learning. ; Teachers-Professional relationships.</t>
  </si>
  <si>
    <t>Le Conseiller Pédagogique Réflexif : Un Journal de Bord</t>
  </si>
  <si>
    <t>LB2361 .P6813 2008</t>
  </si>
  <si>
    <t>Universities and colleges-Curricula-Planning. ; Instructional systems-Design.</t>
  </si>
  <si>
    <t>Klassik und Didaktik 1871-1914 : Zur Konstituierung Eines Literarischen Kanons Im Kontext des Deutschen Unterrichts</t>
  </si>
  <si>
    <t>Mackasare, Manuel</t>
  </si>
  <si>
    <t>Deutsche Literatur. Studien und Quellen Series</t>
  </si>
  <si>
    <t>LA721.7.M27 2017</t>
  </si>
  <si>
    <t>Education--Germany--History. ; Canon (Literature). ; German literature--Study and teaching--Germany. ; LITERARY CRITICISM / Semiotics &amp; Theory.</t>
  </si>
  <si>
    <t>Qualitative Studies of Principal Instructional Leadership in East Asia</t>
  </si>
  <si>
    <t>Bryant, Darren;Hallinger, Phillip</t>
  </si>
  <si>
    <t>HD57.7 .Q35 2017</t>
  </si>
  <si>
    <t>Global Activism in an American School : From Empathy to Action</t>
  </si>
  <si>
    <t>Swerdlow, Linda Kantor</t>
  </si>
  <si>
    <t>LB3610.S96 2016</t>
  </si>
  <si>
    <t>371.8/10973</t>
  </si>
  <si>
    <t>Broad Meadows Middle School (Quincy, Mass.)--Political activity. ; Students--United States--Political activity. ; Humanitarian assistance--United States--Case studies. ; School buildings--Developing countries--Design and construction. ; Child workers--Abuse of--Developing countries.</t>
  </si>
  <si>
    <t>Inclusive Education in African Contexts : A Critical Reader</t>
  </si>
  <si>
    <t>Phasha, Nareadi;Mahlo, Dikeledi;Dei, George J. Sefa</t>
  </si>
  <si>
    <t>LA1501 .I535 2017</t>
  </si>
  <si>
    <t>Education-Africa.</t>
  </si>
  <si>
    <t>Quality Learning : Teachers Changing Their Practice</t>
  </si>
  <si>
    <t>Smith, Kathy;Loughran, J. John</t>
  </si>
  <si>
    <t>LB1025.3 .Q355 2017</t>
  </si>
  <si>
    <t>Reflective teaching. ; Educational change.</t>
  </si>
  <si>
    <t>Experiments in Agency : A Global Partnership to Transform Teacher Research</t>
  </si>
  <si>
    <t>Baily, Supriya;Shahrokhi, Farnoosh;Carsillo, Tami</t>
  </si>
  <si>
    <t>New Research - New Voices Series</t>
  </si>
  <si>
    <t>Academic writing. ; Action research in education. ; Teaching.</t>
  </si>
  <si>
    <t>Learning to Educate : Proposals for the Reconstruction of Education in Developing Countries</t>
  </si>
  <si>
    <t>Schiefelbein, Ernesto;McGinn, Noel F.</t>
  </si>
  <si>
    <t>LB41  .S354 2017</t>
  </si>
  <si>
    <t>Education. ; Education-Developing countries.</t>
  </si>
  <si>
    <t>From Martyrs to Murderers : Images of Teachers and Teaching in Hollywood Films</t>
  </si>
  <si>
    <t>Dahlgren, Robert L.</t>
  </si>
  <si>
    <t>Sustainable Transformation in African Higher Education : Research, Governance, Gender, Funding, Teaching and Learning in the African University</t>
  </si>
  <si>
    <t>Maringe, Felix;Ojo, Emmanuel</t>
  </si>
  <si>
    <t>Instructional Design for Learning : Theoretical Foundations</t>
  </si>
  <si>
    <t>Seel, Norbert M.;Lehmann, Thomas;Blumschein, Patrick;Podolskiy, Oleg A.</t>
  </si>
  <si>
    <t>Out-Of-Field Teaching Practices : What Educational Leaders Need to Know</t>
  </si>
  <si>
    <t>du Plessis, Anna Elizabeth</t>
  </si>
  <si>
    <t>Teaching--Programmed instruction.</t>
  </si>
  <si>
    <t>Regionalization of African Higher Education : Progress and Prospects</t>
  </si>
  <si>
    <t>Knight, Jane;Woldegiorgis, Emnet Tadesse</t>
  </si>
  <si>
    <t>African Higher Education: Developments and Perspectives Series</t>
  </si>
  <si>
    <t>LB41 .R445 2017</t>
  </si>
  <si>
    <t>Re-Thinking Postcolonial Education in Sub-Saharan Africa in the 21st Century : Post-Millennium Development Goals</t>
  </si>
  <si>
    <t>Shizha, Edward;Makuvaza, Ngoni</t>
  </si>
  <si>
    <t>Innovative Pedagogy : A Recognition of Emotions and Creativity in Education</t>
  </si>
  <si>
    <t>Chemi, Tatiana;Grams Davy, Sarah;Lund, Birthe</t>
  </si>
  <si>
    <t>Creative Education Bookseries Series</t>
  </si>
  <si>
    <t>LB41 .I566 2017</t>
  </si>
  <si>
    <t>Pedagogic Frailty and Resilience in the University</t>
  </si>
  <si>
    <t>Kinchin, Ian M.;Winstone, Naomi E.</t>
  </si>
  <si>
    <t>Developing and Supporting Critically Reflective Teachers : Diverse Perspectives in the Twenty-First Century</t>
  </si>
  <si>
    <t>Hernandez, Frank;Endo, Rachel</t>
  </si>
  <si>
    <t>Teachers.</t>
  </si>
  <si>
    <t>Community-Based Healthcare : The Search for Mindful Dialogues</t>
  </si>
  <si>
    <t>Tasker, Diane;Higgs, Joy;Loftus, Stephen</t>
  </si>
  <si>
    <t>RA418 .C666 2017</t>
  </si>
  <si>
    <t>Healthcare Disparities.</t>
  </si>
  <si>
    <t>Self-Narrative and Pedagogy : Stories of Experience Within Teaching and Learning</t>
  </si>
  <si>
    <t>Hayler, Mike;Moriarty, Jess</t>
  </si>
  <si>
    <t>LB1025.3 .S454 2017</t>
  </si>
  <si>
    <t>Teaching. ; Learning. ; Education.</t>
  </si>
  <si>
    <t>Beyond Bystanders : Educational Leadership for a Humane Culture in a Globalizing Reality</t>
  </si>
  <si>
    <t>Aloni, Nimrod;Weintrob, Lori</t>
  </si>
  <si>
    <t>LB41 .B496 2017</t>
  </si>
  <si>
    <t>Education. ; Globalization.</t>
  </si>
  <si>
    <t>School Counseling and Social Work Homework Planner (W/ Download)</t>
  </si>
  <si>
    <t>Knapp, Sarah Edison;Berghuis, David J.</t>
  </si>
  <si>
    <t>Scaffolded Language Emergence in the Classroom : From Theory to Practice</t>
  </si>
  <si>
    <t>Kiraly, Donald;Signer, Sarah</t>
  </si>
  <si>
    <t>LB1576.K573 2017eb</t>
  </si>
  <si>
    <t>Guía para Principiantes en Ecolocalización</t>
  </si>
  <si>
    <t>Timothy Johnson</t>
  </si>
  <si>
    <t>Johnson, Timothy;Cifuentes Dowling, Gloria</t>
  </si>
  <si>
    <t>QL765 .J646 2017</t>
  </si>
  <si>
    <t>Echolocation (Physiology)</t>
  </si>
  <si>
    <t>A Teacher's Guide to Successful Classroom Management and Differentiated Instruction</t>
  </si>
  <si>
    <t>Mixed ability grouping in education</t>
  </si>
  <si>
    <t>Flipped Learning : A Guide for Higher Education Faculty</t>
  </si>
  <si>
    <t>Talbert, Robert</t>
  </si>
  <si>
    <t>LB1029.F55.T35 2017eb</t>
  </si>
  <si>
    <t>Flipped classrooms</t>
  </si>
  <si>
    <t>Teacher and Pupil : Some Socio-Psychological Aspects</t>
  </si>
  <si>
    <t>Gammage, Philip</t>
  </si>
  <si>
    <t>Routledge Library Editions: Sociology of Education Series</t>
  </si>
  <si>
    <t>LB1084</t>
  </si>
  <si>
    <t>Interaction analysis in education</t>
  </si>
  <si>
    <t>Guiding Readers : Making the Most of the 18-Minute Guided Reading Lesson</t>
  </si>
  <si>
    <t>Pembroke Publishers</t>
  </si>
  <si>
    <t>Pembroke Publishers, Limited</t>
  </si>
  <si>
    <t>Rog, Lori Jamison</t>
  </si>
  <si>
    <t>Ban the Book Report : Promoting Frequent and Enthusiastic Learning</t>
  </si>
  <si>
    <t>Foster, Graham</t>
  </si>
  <si>
    <t>Back to Learning : How Reasearch-Based Classroom Instruction Can Make the Impossible Possible</t>
  </si>
  <si>
    <t>Parsons, Les</t>
  </si>
  <si>
    <t>Balanced Literacy Essentials : Weaving Theory into Practice for Successful Instruction in Reading, Writing, and Talk</t>
  </si>
  <si>
    <t>Parr, Michelann;Campbell, Terry</t>
  </si>
  <si>
    <t>The Bully-Go-Round : Literacy and Arts Strategies for Promoting Bully Awareness in the Classroom</t>
  </si>
  <si>
    <t>Swartz, Larry</t>
  </si>
  <si>
    <t>The Digital Principal : How to Encourage a Technology-Rich Learning Environment That Meets the Needs of Teachers and Students</t>
  </si>
  <si>
    <t>Hughes, Janette;Burke, Anne</t>
  </si>
  <si>
    <t>LB2806.H758 2013</t>
  </si>
  <si>
    <t>Exploding the Reading : Building a World of Responses from One Small Story; 50 Interactive Strategies for Increasing Comprehension</t>
  </si>
  <si>
    <t>Booth, David</t>
  </si>
  <si>
    <t>P. L. A. N. for Better Learning : 4 Simple Steps for Designing Lessons That Boost Thinking and Maximize Learning</t>
  </si>
  <si>
    <t>Bird, Kevin;Savage, Kirk</t>
  </si>
  <si>
    <t>Keep Growing : How to Encourage Students to Persevere, Overcome Setbacks, and Develop a Growth Mindset</t>
  </si>
  <si>
    <t>Mandel, Joey</t>
  </si>
  <si>
    <t>A Handbook for Personalized Competency-Based Education : Ensure All Students Master Content by Designing and Implementing a PCBE System</t>
  </si>
  <si>
    <t>Marzano, Robert J.;Norford, Jennifer S.;Finn, Michelle;Finn III, Douglas</t>
  </si>
  <si>
    <t>Helping Children with ADHD : A CBT Guide for Practitioners, Parents and Teachers</t>
  </si>
  <si>
    <t>Young, Susan;Smith, Jade</t>
  </si>
  <si>
    <t>RJ506.H9</t>
  </si>
  <si>
    <t>Attention-deficit hyperactivity disorder - Treatment</t>
  </si>
  <si>
    <t>Building Comprehension - Grade 4</t>
  </si>
  <si>
    <t>Milliken Publishing Company</t>
  </si>
  <si>
    <t>Dolan, Ellen M</t>
  </si>
  <si>
    <t>LB1050.45 .D653 2014</t>
  </si>
  <si>
    <t>Reading comprehension. ; Reading (Primary) ; Reading (Elementary) ; Reading (Middle school) ; Reading (Secondary)</t>
  </si>
  <si>
    <t>Building Comprehension - Grade 5</t>
  </si>
  <si>
    <t>Building Comprehension - Grade 6</t>
  </si>
  <si>
    <t>Building Comprehension - Grade 7</t>
  </si>
  <si>
    <t>Building Comprehension - Grade 8</t>
  </si>
  <si>
    <t>Building Comprehension - Grade 9</t>
  </si>
  <si>
    <t>Discover! Solar System</t>
  </si>
  <si>
    <t>O'Toole, Norma</t>
  </si>
  <si>
    <t>QB501.3 .O866 2014</t>
  </si>
  <si>
    <t>Solar system-Juvenile literature. ; Planets-Juvenile literature.</t>
  </si>
  <si>
    <t>An Illini Place : Building the University of Illinois Campus</t>
  </si>
  <si>
    <t>Tate, Lex;Franch, John</t>
  </si>
  <si>
    <t>Folklore Studies in Multicultural World Series</t>
  </si>
  <si>
    <t>LD2381</t>
  </si>
  <si>
    <t>University of Illinois at Urbana-Champaign--Buildings--History. ; Landscape architecture--Illinois--Urbana--History. ; Landscape architecture--Illinois--Champaign--History. ; EDUCATION / Higher. ; HISTORY / United States / State &amp; Local / Midwest (IA, IL, IN, KS, MI, MN, MO, ND, NE, OH, SD, WI). ; ARCHITECTURE / Buildings / Public, Commercial &amp; Industrial. ; Urbana (Ill.)--Buildings, structures, etc.--History. ; Champaign (Ill.)--Buildings, structures, etc.--History.</t>
  </si>
  <si>
    <t>Selling Hope and College : Merit, Markets, and Recruitment in an Unranked School</t>
  </si>
  <si>
    <t>Posecznick, Alex</t>
  </si>
  <si>
    <t>LB2351.2.P674 2017</t>
  </si>
  <si>
    <t>Best Practices for Teaching with Emerging Technologies</t>
  </si>
  <si>
    <t>Pacansky-Brock, Michelle</t>
  </si>
  <si>
    <t>Best Practices in Online Teaching and Learning Series</t>
  </si>
  <si>
    <t>LB1028.3.P333 2017</t>
  </si>
  <si>
    <t>Le goût d'apprendre. Une valeur à partager</t>
  </si>
  <si>
    <t>Baby, Antoine</t>
  </si>
  <si>
    <t>LB14.7.B339 2017</t>
  </si>
  <si>
    <t>Building Synergy for High-Impact Educational Initiatives : First-Year Seminars and Learning Communities</t>
  </si>
  <si>
    <t>National Resource Center for The First Year Experience &amp; Students in Transition</t>
  </si>
  <si>
    <t>Schmidt, Lauren Chism;Graziano, Janine</t>
  </si>
  <si>
    <t>LB2331.B855 2016</t>
  </si>
  <si>
    <t>College teaching--Methodology.</t>
  </si>
  <si>
    <t>Formation à distance en enseignement supérieur : L'enjeu de la formation à l'enseignement</t>
  </si>
  <si>
    <t>Lafleur, France;Samson, Ghislain</t>
  </si>
  <si>
    <t>LC5800.F676 2017eb</t>
  </si>
  <si>
    <t>Disobedient Teaching : Surviving and Creating Change in Education</t>
  </si>
  <si>
    <t>Otago University Press</t>
  </si>
  <si>
    <t>Dunedin</t>
  </si>
  <si>
    <t>Ings, Welby</t>
  </si>
  <si>
    <t>BF408.I547 2017</t>
  </si>
  <si>
    <t>Creative thinking.</t>
  </si>
  <si>
    <t>Lessons Learned from World Bank Education Management Information System Operations : Portfolio Review, 1998-2014</t>
  </si>
  <si>
    <t>Abdul-Hamid, Husein;Saraogi, Namrata;Mintz, Sarah</t>
  </si>
  <si>
    <t>LC98</t>
  </si>
  <si>
    <t>World Bank.</t>
  </si>
  <si>
    <t>From Compliance to Learning : A System for Harnessing the Power of Data in the State of Maryland</t>
  </si>
  <si>
    <t>Abdul-Hamid, Husein;Mintz, Sarah;Saraogi, Namrata</t>
  </si>
  <si>
    <t>Place, Belonging and School Leadership : Researching to Make the Difference</t>
  </si>
  <si>
    <t>Christian Higher Education : A Global Reconnaissance</t>
  </si>
  <si>
    <t>Wm. B. Eerdmans Publishing Co.</t>
  </si>
  <si>
    <t>Grand Rapids</t>
  </si>
  <si>
    <t>Eerdmans</t>
  </si>
  <si>
    <t>Carpenter, Joel;Glanzer, Perry L.;Lantinga, Nicholas S.</t>
  </si>
  <si>
    <t>LC383.C495 2014</t>
  </si>
  <si>
    <t>Christian universities and colleges.</t>
  </si>
  <si>
    <t>Accountability-Based Reforms : The Impact on Deaf and Hard of Hearing Students</t>
  </si>
  <si>
    <t>Cawthon, Stephanie W.</t>
  </si>
  <si>
    <t>HV2537</t>
  </si>
  <si>
    <t>Deaf--Education--United States.</t>
  </si>
  <si>
    <t>International Practices in Special Education : Debates and Challenges</t>
  </si>
  <si>
    <t>Winzer, Margret A.;Mazurek, Kas</t>
  </si>
  <si>
    <t>Special education--Cross-cultural studies. ; Education and state--Cross-cultural studies.</t>
  </si>
  <si>
    <t>Disrupting Higher Education Curriculum : Undoing Cognitive Damage</t>
  </si>
  <si>
    <t>Samuel, Michael Anthony;Dhunpath, Rubby;Amin, Nyna</t>
  </si>
  <si>
    <t>Education, Higher-Curricula. ; Education, Higher-Study and teaching.</t>
  </si>
  <si>
    <t>Creativity in the Classroom : An Innovative Approach to Integrate Arts Education</t>
  </si>
  <si>
    <t>Gulish, Sarah;Elfstrom, Stefanie</t>
  </si>
  <si>
    <t>Deterritorializing/Reterritorializing : Critical Geography of Educational Reform</t>
  </si>
  <si>
    <t>Ares, Nancy;Buendía, Edward;Helfenbein, Robert</t>
  </si>
  <si>
    <t>Breakthroughs in the Sociology of Education Series</t>
  </si>
  <si>
    <t>Achievement for All in International Classrooms : Improving Outcomes for Children and Young People with Special Educational Needs and Disabilities</t>
  </si>
  <si>
    <t>Blandford, Sonia</t>
  </si>
  <si>
    <t>LC3965.B566 2017</t>
  </si>
  <si>
    <t>Special education--Cross-cultural studies.</t>
  </si>
  <si>
    <t>From Mines and Wells to Well-Built Minds : Turning Sub-Saharan Africa's Natural Resource Wealth into Human Capital</t>
  </si>
  <si>
    <t>de la Brière, Bénédicte;Filmer, Deon;Ringold, Dena;Rohner, Dominic;Denisova, Anastasiya</t>
  </si>
  <si>
    <t>HC800.F766 2017</t>
  </si>
  <si>
    <t>Economic development--Africa, Sub-Saharan.</t>
  </si>
  <si>
    <t>At a Crossroads : Higher Education in Latin America and the Caribbean</t>
  </si>
  <si>
    <t>Marta Ferreyra, María;Avitabile, Ciro;Botero à?lvarez, Javier;Haimovich Paz, Francisco</t>
  </si>
  <si>
    <t>LA543.A833 2017</t>
  </si>
  <si>
    <t>Education, Higher--Latin America.</t>
  </si>
  <si>
    <t>Adapting Unstoppable Learning : How to Differentiate Instruction to Improve Student Success at All Learning Levels</t>
  </si>
  <si>
    <t>Zapata, Yazmin Pineda;Brooks, Rebecca</t>
  </si>
  <si>
    <t>Unplugging the Classroom : Teaching with Technologies to Promote Students' Lifelong Learning</t>
  </si>
  <si>
    <t>Wilder, Hilary Anne;Pixy Ferris, Sharmila</t>
  </si>
  <si>
    <t>LB1028.3.U575 2017</t>
  </si>
  <si>
    <t>The Textbook and the Lecture : Education in the Age of New Media</t>
  </si>
  <si>
    <t>Friesen, Norm</t>
  </si>
  <si>
    <t>LB1028.3 .F754 2017</t>
  </si>
  <si>
    <t>Education-Effect of technological innovations on. ; Educational technology-Philosophy. ; Textbooks. ; Lecture method in teaching.</t>
  </si>
  <si>
    <t>Game On! : Gamification, Gameful Design, and the Rise of the Gamer Educator</t>
  </si>
  <si>
    <t>Bell, Kevin</t>
  </si>
  <si>
    <t>LB2395.7 .B45 2018</t>
  </si>
  <si>
    <t>Education, Higher-Effect of technological innovations on. ; Education, Higher-Computer-assisted instruction. ; Internet in higher education. ; Gamification. ; Video games. ; Educational games.</t>
  </si>
  <si>
    <t>Uncompromising Activist : Richard Greener, First Black Graduate of Harvard College</t>
  </si>
  <si>
    <t>Chaddock, Katherine Reynolds</t>
  </si>
  <si>
    <t>The Johns Hopkins University Studies in Historical and Political Science Series</t>
  </si>
  <si>
    <t>E185.97.G796 .R496 2017</t>
  </si>
  <si>
    <t>Greener, Richard Theodore,-1844-1922. ; Harvard College (1780- )-Students-Biography. ; University of South Carolina-Faculty-Biography. ; Howard University.-School of Law-Faculty-Biography. ; African Americans-Biography. ; African American political activists-Biography. ; African American diplomats-Biography. ; African American scholars-Biography. ; United States-Race relationsx-Case studies.</t>
  </si>
  <si>
    <t>Successfully Implementing Problem-Based Learning in Classrooms : Research in K-12 and Teacher Education</t>
  </si>
  <si>
    <t>Brush, Thomas;Saye, John W.</t>
  </si>
  <si>
    <t>LB1027.42.S84 2017</t>
  </si>
  <si>
    <t>Problem-based learning - United States</t>
  </si>
  <si>
    <t>Reframing Blackness and Black Solidarities Through Anti-Colonial and Decolonial Prisms</t>
  </si>
  <si>
    <t>Dei, George J. Sefa</t>
  </si>
  <si>
    <t>Critical Studies of Education Series</t>
  </si>
  <si>
    <t>Children's Experiences of Classrooms : Talking about Being Pupils in the Classroom</t>
  </si>
  <si>
    <t>Hargreaves, Eleanore</t>
  </si>
  <si>
    <t>LB3605.H374 2017</t>
  </si>
  <si>
    <t>Students--Attitudes.</t>
  </si>
  <si>
    <t>Crayons and IPads : Learning and Teaching of Young Children in the Digital World</t>
  </si>
  <si>
    <t>Harwood, Debra;Harwood, Debra</t>
  </si>
  <si>
    <t>Resonances of el Chavo Del Ocho in Latin American Childhood, Schooling, and Societies</t>
  </si>
  <si>
    <t>Friedrich, Daniel;Colmenares, Erica</t>
  </si>
  <si>
    <t>New Directions in Comparative and International Education Series</t>
  </si>
  <si>
    <t>PN1992.77.C4727R47</t>
  </si>
  <si>
    <t>Television and children - Latin America</t>
  </si>
  <si>
    <t>Educating Girls : Practice and Research</t>
  </si>
  <si>
    <t>Leder, Gilah C.;Sampson, Shirley N.</t>
  </si>
  <si>
    <t>Routledge Library Editions: Education and Gender Series</t>
  </si>
  <si>
    <t>LC2482</t>
  </si>
  <si>
    <t>Girls</t>
  </si>
  <si>
    <t>Individual Differences in Imaging : Their Measurement, Origins, and Consequences</t>
  </si>
  <si>
    <t>Richardson, Alan;Hegewisch, Ariane</t>
  </si>
  <si>
    <t>Imagery and Human Development Series</t>
  </si>
  <si>
    <t>HF5549.P655 2017</t>
  </si>
  <si>
    <t>Uplatnění absolventů oboru překladatelství a tlumočnictví v praxi</t>
  </si>
  <si>
    <t>Charles University in Prague, Faculty of Arts</t>
  </si>
  <si>
    <t>Filozofická fakulta Univerzity Karlovy</t>
  </si>
  <si>
    <t>Novotná, Eva</t>
  </si>
  <si>
    <t>Varia</t>
  </si>
  <si>
    <t>HD5701.5.N686 2013</t>
  </si>
  <si>
    <t>Employment (Economic theory)--Czech Republic.</t>
  </si>
  <si>
    <t>Andragogika a vzdělávání dospělých. Vybrané kapitoly</t>
  </si>
  <si>
    <t>Dvořáková, Miroslava;Šerák, Michal</t>
  </si>
  <si>
    <t>LC5215.D867 2016</t>
  </si>
  <si>
    <t>Analysis and Comparison of Forms and Methods for the Education of Older Adults in the V4 Countries</t>
  </si>
  <si>
    <t>Kocianová, Renata;Kopecký, Martin</t>
  </si>
  <si>
    <t>LC5256.A2.K635 2013</t>
  </si>
  <si>
    <t>Older people--Education--Europe, Central.</t>
  </si>
  <si>
    <t>Interest in Mathematics and Science Learning</t>
  </si>
  <si>
    <t>Renninger, Ann;Nieswandt, Martina;Hidi, Suzanne</t>
  </si>
  <si>
    <t>Science--Study and teaching. ; Mathematics--Study and teaching. ; Motivation in education.</t>
  </si>
  <si>
    <t>Education; Mathematics; Science: General</t>
  </si>
  <si>
    <t>Socializing Intelligence Through Academic Talk and Dialogue</t>
  </si>
  <si>
    <t>Asterhan, Christa;Resnick, Lauren;Clarke, Sherice</t>
  </si>
  <si>
    <t>Interaction analysis in education. ; Communication in education. ; Student-teacher relationship. ; Dialogue. ; Discussion. ; Active learning.</t>
  </si>
  <si>
    <t>LGBTQ Issues in Education : Advancing a Research Agenda</t>
  </si>
  <si>
    <t>Wimberly, George</t>
  </si>
  <si>
    <t>Homophobia in schools--United States.</t>
  </si>
  <si>
    <t>Handbook of Research on Teaching</t>
  </si>
  <si>
    <t>Bell, Courtney;Gitomer, Drew</t>
  </si>
  <si>
    <t>Education - Research - United States</t>
  </si>
  <si>
    <t>Thinking and Acting Systemically : Improving School Districts under Pressure</t>
  </si>
  <si>
    <t>Daly, Alan;Finnigan, Kara</t>
  </si>
  <si>
    <t>The Ultimate Guide to College Transfer : From Surviving to Thriving</t>
  </si>
  <si>
    <t>Tyler, Lucia D.;Henninger, Susan E.</t>
  </si>
  <si>
    <t>LB2360</t>
  </si>
  <si>
    <t>Students, Transfer of</t>
  </si>
  <si>
    <t>Diversity Awareness for K-6 Teachers : An Approach to Learning and Understanding Our World</t>
  </si>
  <si>
    <t>McLeod, Rona Leach</t>
  </si>
  <si>
    <t>LC1099.M35 2017</t>
  </si>
  <si>
    <t>Culturally relevant pedagogy.</t>
  </si>
  <si>
    <t>Supporting Muslim Students : A Guide to Understanding the Diverse Issues of Today's Classrooms</t>
  </si>
  <si>
    <t>Mahalingappa, Laura;Rodriguez, Terri L.;Polat, Nihat</t>
  </si>
  <si>
    <t>LC1099.3.M238 2017</t>
  </si>
  <si>
    <t>Multicultural education--Social aspects--United States.</t>
  </si>
  <si>
    <t>Developing Motor and Social Skills : Activities for Children with Autism Spectrum Disorder</t>
  </si>
  <si>
    <t>Denning, Christopher</t>
  </si>
  <si>
    <t>GV445.D46 2017</t>
  </si>
  <si>
    <t>Physical education for children with disabilities</t>
  </si>
  <si>
    <t>Teaching the Whole Student : Engaged Learning with Heart, Mind, and Spirit</t>
  </si>
  <si>
    <t>Schoem, David;Modey, Christine;St. John, Edward P.</t>
  </si>
  <si>
    <t>LC995.T433 2017</t>
  </si>
  <si>
    <t>Engagement (Philosophy)</t>
  </si>
  <si>
    <t>For the Common Good : A New History of Higher Education in America</t>
  </si>
  <si>
    <t>Dorn, Charles</t>
  </si>
  <si>
    <t>LA226.D67 2017</t>
  </si>
  <si>
    <t>Vzd&amp;#283;lání a Dnesek</t>
  </si>
  <si>
    <t>Strouhal, Martin;Stech, Stanislav</t>
  </si>
  <si>
    <t>LB41.V934 2016</t>
  </si>
  <si>
    <t>Getting the Teachers We Need : International Perspectives on Teacher Education</t>
  </si>
  <si>
    <t>Feiman-Nemser, Sharon;Ben-Peretz, Miriam</t>
  </si>
  <si>
    <t>Relationships Make the Difference : Connect with Your Students and Help Them Build Social, Emotional, and Academic Skills</t>
  </si>
  <si>
    <t>Trottier, Pat</t>
  </si>
  <si>
    <t>LB1033 .T763 2016</t>
  </si>
  <si>
    <t>Teacher-student relationships. ; Parent-teacher relationships.</t>
  </si>
  <si>
    <t>Student Diversity : Teaching Strategies to Meet the Learning Needs of All Students in K-10 Classrooms</t>
  </si>
  <si>
    <t>Brownlie, Faye;Feniak, Catherine;Schnellert, Leyton</t>
  </si>
  <si>
    <t>LC1200 .B76 2016</t>
  </si>
  <si>
    <t>371.9/0460971</t>
  </si>
  <si>
    <t>Curriculum and Students in Classrooms : Everyday Urban Education in an Era of Standardization</t>
  </si>
  <si>
    <t>Gershon, Walter S.</t>
  </si>
  <si>
    <t>LC5131.G477 2017</t>
  </si>
  <si>
    <t>Computational Thinking : A beginner's guide to problem-solving and programming</t>
  </si>
  <si>
    <t>BCS Learning &amp; Development Limited</t>
  </si>
  <si>
    <t>Swindon</t>
  </si>
  <si>
    <t>Beecher, Karl</t>
  </si>
  <si>
    <t>Q325.7</t>
  </si>
  <si>
    <t>Computational learning theory</t>
  </si>
  <si>
    <t>Instructional Coaching in Action : An Integrated Approach That Transforms Thinking, Practice, and Schools</t>
  </si>
  <si>
    <t>Eisenberg, Ellen B.;Eisenberg, Bruce P.;Medrich, Elliott A.;Charner, Ivan</t>
  </si>
  <si>
    <t>LB1731 .E38 2017</t>
  </si>
  <si>
    <t>Teachers-In-service training. ; Mentoring in education. ; School improvement programs.</t>
  </si>
  <si>
    <t>The Coach Approach to School Leadership : Leading Teachers to Higher Levels of Effectiveness</t>
  </si>
  <si>
    <t>Johnson, Jessica;Leibowitz, Shira;Perret, Kathy</t>
  </si>
  <si>
    <t>Global Education Guidebook : Humanizing K-12 Classrooms Worldwide Through Equitable Partnerships</t>
  </si>
  <si>
    <t>Klein, Jennifer D.</t>
  </si>
  <si>
    <t>Education and globalization. ; Education-International cooperation. ; Community and school-Cross-cultural studies.</t>
  </si>
  <si>
    <t>Death of the Public University? : Uncertain Futures for Higher Education in the Knowledge Economy</t>
  </si>
  <si>
    <t>Wright, Susan;Shore, Cris</t>
  </si>
  <si>
    <t>LB2322.2 .D43 2017</t>
  </si>
  <si>
    <t>Education, Higher-Aims and objectives. ; Public universities and colleges-Administration. ; Education and globalization. ; Knowledge economy. ; Higher education and state.</t>
  </si>
  <si>
    <t>Effective Transition into Year One : Creating an Effective Learning Environment in Year One</t>
  </si>
  <si>
    <t>Bryce-Clegg, Alistair</t>
  </si>
  <si>
    <t>LB1132.B793 2017</t>
  </si>
  <si>
    <t>Readiness for school.</t>
  </si>
  <si>
    <t>Praxis II Middle School Mathematics (0069) 2nd Ed.</t>
  </si>
  <si>
    <t>Meiselman, Laura;Friedman , Mel;Meiselman, Laura</t>
  </si>
  <si>
    <t>PRAXIS Teacher Certification Test Prep</t>
  </si>
  <si>
    <t>QA43.F754 2012</t>
  </si>
  <si>
    <t>ILTS Test of Academic Proficiency (TAP) Book + Online</t>
  </si>
  <si>
    <t>O'Connell, Julie;Davis, Al;Cantu, Dean;Nugent, Patricia;Pardieck, Sherrie</t>
  </si>
  <si>
    <t>ILTS Teacher Certification Test Prep Series</t>
  </si>
  <si>
    <t>LB1772.I3.C368 2014</t>
  </si>
  <si>
    <t>Elementary school teachers--Certification--Illinois--Examinations--Study guides.</t>
  </si>
  <si>
    <t>Inclusive Directions : The Role of the Chief Diversity Officer in Community College Leadership</t>
  </si>
  <si>
    <t>Pickett, Clyde Wilson;Smith, Michele;Felton, James, III;Felton, James</t>
  </si>
  <si>
    <t>LB2328.15.U6.W55 2017</t>
  </si>
  <si>
    <t>Community colleges - Employees - United States</t>
  </si>
  <si>
    <t>Translanguaging : The Key to Comprehension for Spanish-Speaking Students and Their Peers</t>
  </si>
  <si>
    <t>Lubliner, Shira;Grisham, Dana L.</t>
  </si>
  <si>
    <t>PE1111</t>
  </si>
  <si>
    <t>English language--Grammar.</t>
  </si>
  <si>
    <t>The Drive to Learn : What the East Asian Experience Tells Us about Raising Students Who Excel</t>
  </si>
  <si>
    <t>Grove, Cornelius N.</t>
  </si>
  <si>
    <t>LC3998.A1</t>
  </si>
  <si>
    <t>Gifted children--Asia</t>
  </si>
  <si>
    <t>Urban Environmental Education Review</t>
  </si>
  <si>
    <t>Russ, Alex, 3rd;Krasny, Marianne E.;Russ, Alex</t>
  </si>
  <si>
    <t>Cornell Series in Environmental Education Series</t>
  </si>
  <si>
    <t>HT241.U733 2017</t>
  </si>
  <si>
    <t>Urban ecology (Sociology)--Study and teaching.</t>
  </si>
  <si>
    <t>What Teachers Need to Know : Topics in Diversity and Inclusion</t>
  </si>
  <si>
    <t>Etherington, Matthew Bruce;Boyce, E. J.</t>
  </si>
  <si>
    <t>LB1027.W438 2017</t>
  </si>
  <si>
    <t>Math Common Core Kindergarten</t>
  </si>
  <si>
    <t>BarCharts Publishing,  Inc.</t>
  </si>
  <si>
    <t>Boca Raton</t>
  </si>
  <si>
    <t>BarCharts, Inc.</t>
  </si>
  <si>
    <t>QA135.5 .J336 2015</t>
  </si>
  <si>
    <t>Mathematics-Study and teaching (Primary)</t>
  </si>
  <si>
    <t>English Common Core Kindergarten</t>
  </si>
  <si>
    <t>LB1528 .J336 2015</t>
  </si>
  <si>
    <t>English language-Study and teaching (Primary)</t>
  </si>
  <si>
    <t>Math 3 Common Core 11th Grade : Integrated</t>
  </si>
  <si>
    <t>QA11 .E976 2014</t>
  </si>
  <si>
    <t>Math 2 Common Core 10th Grade : Integrated</t>
  </si>
  <si>
    <t>Math 1 - Common Core 9th Grade : Integrated</t>
  </si>
  <si>
    <t>Math Common Core Algebra 2-11Th Grade</t>
  </si>
  <si>
    <t>QA159 .E976 2014</t>
  </si>
  <si>
    <t>Algebra-Study and teaching (Secondary)</t>
  </si>
  <si>
    <t>Math Common Core Geometry-10Th Grade</t>
  </si>
  <si>
    <t>QA461 .E976 2014</t>
  </si>
  <si>
    <t>Geometry-Study and teaching (Secondary)</t>
  </si>
  <si>
    <t>Math Common Core Algebra 1-9Th Grade</t>
  </si>
  <si>
    <t>Ccss: Math and Language Arts - 5Thgrade</t>
  </si>
  <si>
    <t>QA135.5 .C666 2014</t>
  </si>
  <si>
    <t>Ccss: Math and Language Arts - 4Thgrade</t>
  </si>
  <si>
    <t>Ccss: Math and Language Arts - 2Ndgrade</t>
  </si>
  <si>
    <t>Ccss: Math and Language Arts - 3Rdgrade</t>
  </si>
  <si>
    <t>Ccss: Language Arts 9Th and 10Th Grade</t>
  </si>
  <si>
    <t>Language arts (Secondary)</t>
  </si>
  <si>
    <t>Ccss: Math and Language Arts - 1Stgrade</t>
  </si>
  <si>
    <t>Ccss: Math and Language Arts - Kindergarten</t>
  </si>
  <si>
    <t>Ccss: Language Arts 8Th Grade</t>
  </si>
  <si>
    <t>LB1528 .C666 2014</t>
  </si>
  <si>
    <t>Language arts (Primary)</t>
  </si>
  <si>
    <t>Ccss: Language Arts 7Th Grade</t>
  </si>
  <si>
    <t>Ccss: Language Arts 6Th Grade</t>
  </si>
  <si>
    <t>English Common Core 12th Grade</t>
  </si>
  <si>
    <t>LB1631 .R554 2014</t>
  </si>
  <si>
    <t>English language-Study and teaching (Secondary)</t>
  </si>
  <si>
    <t>English Common Core 10th Grade</t>
  </si>
  <si>
    <t>English Common Core 11th Grade</t>
  </si>
  <si>
    <t>English Common Core 9Th Grade</t>
  </si>
  <si>
    <t>AP English</t>
  </si>
  <si>
    <t>LB1576 .M335 2013</t>
  </si>
  <si>
    <t>English language-Study and teaching.</t>
  </si>
  <si>
    <t>Studying Tips, Tricks and Hacks : QuickStudy Laminated Reference Guide to Grade Boosting Techniques</t>
  </si>
  <si>
    <t>LB1049 .L563 2017</t>
  </si>
  <si>
    <t>GRE - Quantitative Reasoning : QuickStudy Reference Guide</t>
  </si>
  <si>
    <t>QA43 .D385 2017</t>
  </si>
  <si>
    <t>Mathematics-Examinations-Study guides.</t>
  </si>
  <si>
    <t>GRE - Verbal Reasoning</t>
  </si>
  <si>
    <t>LB2367.4 .D385 2017</t>
  </si>
  <si>
    <t>Graduate Record Examination-Study guides.</t>
  </si>
  <si>
    <t>English Common Core 4th Grade</t>
  </si>
  <si>
    <t>LB1576 .E545 2013</t>
  </si>
  <si>
    <t>English language-Study and teaching (Elementary)</t>
  </si>
  <si>
    <t>English Common Core 2nd Grade</t>
  </si>
  <si>
    <t>LB1528 .E545 2013</t>
  </si>
  <si>
    <t>English Common Core 1st Grade</t>
  </si>
  <si>
    <t>English Common Core 8th Grade</t>
  </si>
  <si>
    <t>LB1576 .R975 2013</t>
  </si>
  <si>
    <t>English language-Study and teaching. ; English language-Study and teaching (Middle school)</t>
  </si>
  <si>
    <t>English Common Core 5th Grade</t>
  </si>
  <si>
    <t>LB1576 .B695 2013</t>
  </si>
  <si>
    <t>English Common Core 7th Grade</t>
  </si>
  <si>
    <t>English Common Core 6th Grade</t>
  </si>
  <si>
    <t>Developing Effective Learners : RTI Strategies for Student Success</t>
  </si>
  <si>
    <t>Power of Unstoppable Momentum : Key Drivers to Revolutionize Your District</t>
  </si>
  <si>
    <t>Fullan, Michael;Edwards, Mark A.</t>
  </si>
  <si>
    <t>What Makes a World-Class School and How We Can Get There</t>
  </si>
  <si>
    <t>Stronge, James H.;Xianxuan, Xu</t>
  </si>
  <si>
    <t>LB2822.82 .S776 2017</t>
  </si>
  <si>
    <t>School improvement programs-United States. ; School improvement programs-Cross-cultural studies. ; Comparative education.</t>
  </si>
  <si>
    <t>Learning Transformed : 8 Keys to Designing Tomorrow's Schools, Today</t>
  </si>
  <si>
    <t>Sheninger, Eric C.;Murray, Thomas C.</t>
  </si>
  <si>
    <t>LB2822.8 .S546 2017</t>
  </si>
  <si>
    <t>Measuring What We Do in Schools : How to Know If What We Are Doing Is Making a Difference</t>
  </si>
  <si>
    <t>Bernhardt, Victoria L.</t>
  </si>
  <si>
    <t>LB2822.75.B476 2017</t>
  </si>
  <si>
    <t>School improvement programs--Evaluation.</t>
  </si>
  <si>
    <t>The Completion Agenda in Community Colleges : What It Is, Why It Matters, and Where It's Going</t>
  </si>
  <si>
    <t>Baldwin, Chris</t>
  </si>
  <si>
    <t>LB2341.B353 2017</t>
  </si>
  <si>
    <t>Community college graduates - United States</t>
  </si>
  <si>
    <t>International Practices to Promote Budget Literacy : Key Findings and Lessons Learned</t>
  </si>
  <si>
    <t>Masud, Harika;Pfeil, Helene;Agarwal, Sanjay;Gonzalez Briseno, Alfredo</t>
  </si>
  <si>
    <t>LB2825.I584 2017</t>
  </si>
  <si>
    <t>Federal aid to education.</t>
  </si>
  <si>
    <t>Supporting Early Literacy Development : Exploring Best Practice with 2-3 Year Olds</t>
  </si>
  <si>
    <t>Gould, Terry</t>
  </si>
  <si>
    <t>LC149.G685 2017</t>
  </si>
  <si>
    <t>Coping with Gender Inequities : Critical Conversations of Women Faculty</t>
  </si>
  <si>
    <t>Thompson, Sherwood;Parry, Pam</t>
  </si>
  <si>
    <t>LC212.86.C675 2017</t>
  </si>
  <si>
    <t>Sex discrimination in higher education.</t>
  </si>
  <si>
    <t>Teacher Education in India : Issues and Concerns</t>
  </si>
  <si>
    <t>Mishra, Lokanath</t>
  </si>
  <si>
    <t>LB1727.I5.T433 2017</t>
  </si>
  <si>
    <t>Teachers--Training of--India.</t>
  </si>
  <si>
    <t>Filozofická fakulta Masarykovy univerzity. Pohledy na dějiny a současnost</t>
  </si>
  <si>
    <t>Masaryk University Press</t>
  </si>
  <si>
    <t>Masarykova univerzita</t>
  </si>
  <si>
    <t>Lukáš Fasora;Jiří Hanuš</t>
  </si>
  <si>
    <t>LF1541.F376 2010</t>
  </si>
  <si>
    <t>Humanities--Study and teaching (Higher)--Czech Republic--History.</t>
  </si>
  <si>
    <t>Když se školy učí</t>
  </si>
  <si>
    <t>Milan Pol;Lenka Hloušková;Bohumíra Lazarová</t>
  </si>
  <si>
    <t>LB1570.K399 2013</t>
  </si>
  <si>
    <t>Education, Elementary--Curricula.</t>
  </si>
  <si>
    <t>Humor ve škole</t>
  </si>
  <si>
    <t>Klára Šeďová</t>
  </si>
  <si>
    <t>LB1033.S436 2013</t>
  </si>
  <si>
    <t>Socializace do školního jazyka</t>
  </si>
  <si>
    <t>Zuzana Šalamounová</t>
  </si>
  <si>
    <t>LB1139.L3.S253 2015</t>
  </si>
  <si>
    <t>School children--Language.</t>
  </si>
  <si>
    <t>- Education éthique - / - Ethische Bildung - /- Ethical Education -</t>
  </si>
  <si>
    <t>Münnix, Gabriele;Rolf, Bernd</t>
  </si>
  <si>
    <t>Europa Forum PHILOSOPHIE</t>
  </si>
  <si>
    <t>LB41.E383 2017</t>
  </si>
  <si>
    <t>Education--Moral and ethical aspects.</t>
  </si>
  <si>
    <t>Mastering Formative Assessment Moves : 7 High-Leverage Practices to Advance Student Learning</t>
  </si>
  <si>
    <t>Duckor, Brent;Holmberg, Carrie</t>
  </si>
  <si>
    <t>LB3051.D835 2017</t>
  </si>
  <si>
    <t>Social Presence in Online Learning : Multiple Perspectives on Practice and Research</t>
  </si>
  <si>
    <t>Whiteside, Aimee L.;Garrett Dikkers, Amy;Swan, Karen</t>
  </si>
  <si>
    <t>LB1044.87.S6178 2017</t>
  </si>
  <si>
    <t>Web-based instruction - Social aspects</t>
  </si>
  <si>
    <t>Sri Lanka Education Sector Assessment : Achievements, Challenges, and Policy Options</t>
  </si>
  <si>
    <t>Dundar, Halil;Millot, Benoit;Riboud, Michelle;Shojo, Mari;Goyal, Sangeeta;Raju, Dhushyanth</t>
  </si>
  <si>
    <t>LA1146.S65 2017</t>
  </si>
  <si>
    <t>Education--Sri Lanka.</t>
  </si>
  <si>
    <t>Vocabulary in a SNAP : 100+ Lessons for Elementary Instruction</t>
  </si>
  <si>
    <t>Peery, Angela B.</t>
  </si>
  <si>
    <t>LB1574.5.P447 2017</t>
  </si>
  <si>
    <t>Digilect : The Impact of Infocommunication Technology on Language</t>
  </si>
  <si>
    <t>Veszelszki, Ágnes</t>
  </si>
  <si>
    <t>Knowledge and Information Series</t>
  </si>
  <si>
    <t>LB1576.7.V479 2017</t>
  </si>
  <si>
    <t>English language--Study and teaching--Computer-assisted instruction.</t>
  </si>
  <si>
    <t>Schulische Materialität : Empirische Studien Zur Bildungswirtschaft</t>
  </si>
  <si>
    <t>Lange, Jochen</t>
  </si>
  <si>
    <t>Qualitative Soziologie Series</t>
  </si>
  <si>
    <t>GN316.L364 2017</t>
  </si>
  <si>
    <t>Ethnology.</t>
  </si>
  <si>
    <t>Mass Intellectuality and Democratic Leadership in Higher Education</t>
  </si>
  <si>
    <t>Winn, Joss;Hall, Richard;Erskine, Camilla;Nixon, Jon;Fitzgerald, Tanya</t>
  </si>
  <si>
    <t>Perspectives on Leadership in Higher Education Series</t>
  </si>
  <si>
    <t>LA637.M3543 2017</t>
  </si>
  <si>
    <t>Education, Higher--Aims and objectives--Great Britain.</t>
  </si>
  <si>
    <t>FTCE Social Science 6-12 (037) Book + Online</t>
  </si>
  <si>
    <t>Atkinson, Rhonda;Metcalf, Cynthia</t>
  </si>
  <si>
    <t>LB1772.F5.M483 2017</t>
  </si>
  <si>
    <t>Teachers--Certification--Florida--Study guides.</t>
  </si>
  <si>
    <t>Discover Your Learning Intelligence</t>
  </si>
  <si>
    <t>Hoffman, Eva;Hoffman, Martin</t>
  </si>
  <si>
    <t>HD30.29.H644 2017</t>
  </si>
  <si>
    <t>Problem solving.</t>
  </si>
  <si>
    <t>Going Places Transition Scheme : Supporting Children with Additional Needs into Secondary School</t>
  </si>
  <si>
    <t>Gelenter, Carolyn;Prescott, Nadine</t>
  </si>
  <si>
    <t>LC4704.74.G454 2017</t>
  </si>
  <si>
    <t>Learning disabled teenagers--Education (Secondary)</t>
  </si>
  <si>
    <t>The Little Black Book of Decision Making : Making Complex Decisions with Confidence in a Fast-Moving World</t>
  </si>
  <si>
    <t>Capstone</t>
  </si>
  <si>
    <t>Nicholas, Michael</t>
  </si>
  <si>
    <t>HD30.23.N534 2017</t>
  </si>
  <si>
    <t>Mapping Leadership : The Tasks That Matter for Improving Teaching and Learning in Schools</t>
  </si>
  <si>
    <t>Halverson, Richard;Kelley, Carolyn</t>
  </si>
  <si>
    <t>LB2806.H358 2017</t>
  </si>
  <si>
    <t>The Century of Science : The Global Triumph of the Research University</t>
  </si>
  <si>
    <t>Powell, Justin J. W.;Baker, David P.;Fernandez, Frank</t>
  </si>
  <si>
    <t>Education, Higher--Research. ; Education, Higher--Research. (OCoLC)fst00903093.</t>
  </si>
  <si>
    <t>Work-Integrated Learning in the 21st Century : Global Perspectives on the Future</t>
  </si>
  <si>
    <t>Bowen, Tracey;Drysdale, Maureen</t>
  </si>
  <si>
    <t>Education is a Whole-Person Process – Von ganzheitlicher Lehre, Dolmetschforschung und anderen Dingen</t>
  </si>
  <si>
    <t>Behr, Martina;Seubert, Sabine</t>
  </si>
  <si>
    <t>Transkulturalität – Translation – Transfer</t>
  </si>
  <si>
    <t>LA628.E383 2017</t>
  </si>
  <si>
    <t>Bologna process (European higher education)</t>
  </si>
  <si>
    <t>Play for Children with Special Needs : Supporting Children with Learning Differences, 3-9</t>
  </si>
  <si>
    <t>LC4704.M27 2009</t>
  </si>
  <si>
    <t>Special education - Activity programs - Great Britain</t>
  </si>
  <si>
    <t>Pathways to Prosperity in Rural Malawi</t>
  </si>
  <si>
    <t>Dabalen, Andrew;de la Fuente, Alejandro;Goyal, Aparajita;Karamba, Wendy;Karamba, Wendy;Tanaka, Tomomi;Tanaka, Tomomi</t>
  </si>
  <si>
    <t>Directions in Development;Directions in Development - Poverty</t>
  </si>
  <si>
    <t>HN49.C6.P384 2017</t>
  </si>
  <si>
    <t>Rural development--Malawi.</t>
  </si>
  <si>
    <t>Applied Practice : Evidence and Impact in Theatre, Music and Art</t>
  </si>
  <si>
    <t>Rowe, Nick;Reason, Matthew;Preston, Sheila;Balfour, Michael</t>
  </si>
  <si>
    <t>H62.A3.R4376 2017</t>
  </si>
  <si>
    <t>Qualitative research--Congresses.</t>
  </si>
  <si>
    <t>Social Science; Fine Arts</t>
  </si>
  <si>
    <t>DATA USE FOR EQUITY : IMPLICATIONS FOR TEACHING, LEADERSHIP AND POLICY</t>
  </si>
  <si>
    <t>Hallinger, Phillip;Bryant, Darren;Datnow, Amanda</t>
  </si>
  <si>
    <t>Leadership in Health Services</t>
  </si>
  <si>
    <t>HD30.23.D383 2017</t>
  </si>
  <si>
    <t>Decision making--Data processing--Congresses.</t>
  </si>
  <si>
    <t>How to Be Heard : Ten Lessons Teachers Need to Advocate for Their Students and Profession</t>
  </si>
  <si>
    <t>Coggins, Celine</t>
  </si>
  <si>
    <t>Teacher participation in administration.</t>
  </si>
  <si>
    <t>Skolní Vzdělávání V Ruské Federaci</t>
  </si>
  <si>
    <t>Ježková, Věra;Walterová, Eliska;Walterová, Eliska</t>
  </si>
  <si>
    <t>LB2822.75.S565 2013</t>
  </si>
  <si>
    <t>Educational evaluation--Russia (Federation)</t>
  </si>
  <si>
    <t>Writing Effective Course Assignments : A Guide to Non-Degree and Undergraduate Students</t>
  </si>
  <si>
    <t>Mligo, Elia Shabani</t>
  </si>
  <si>
    <t>LB2369.M554 2017</t>
  </si>
  <si>
    <t>Report writing--Handbooks, manuals, etc.</t>
  </si>
  <si>
    <t>Poverty Reduction, Education, and the Global Diffusion of Conditional Cash Transfers</t>
  </si>
  <si>
    <t>Morais de Sá e Silva, Michelle</t>
  </si>
  <si>
    <t>The Open University : A History</t>
  </si>
  <si>
    <t>Weinbren, Daniel</t>
  </si>
  <si>
    <t>LC6581.G73.W456 2015</t>
  </si>
  <si>
    <t>Open University-History.</t>
  </si>
  <si>
    <t>Transforming School Culture : How to Overcome Staff Division (Leading the Four Types of Teachers and Creating a Positive School Culture)</t>
  </si>
  <si>
    <t>Muhammad, Anthony</t>
  </si>
  <si>
    <t>EMPOWER Your Students : Tools to Inspire a Meaningful School Experience, Grades 6-12</t>
  </si>
  <si>
    <t>Porosoff, Lauren;Weinstein, Jonathan</t>
  </si>
  <si>
    <t>Educating Immigrants</t>
  </si>
  <si>
    <t>Bhatnagar, Joti</t>
  </si>
  <si>
    <t>Routledge Library Editions: Education and Multiculturalism Series</t>
  </si>
  <si>
    <t>LC1099.E383 2017</t>
  </si>
  <si>
    <t>Teaching in Multiracial Schools : A Guidebook</t>
  </si>
  <si>
    <t>Hill, David</t>
  </si>
  <si>
    <t>LC3736.G6.H555 2017</t>
  </si>
  <si>
    <t>Minorities--Education--Great Britain.</t>
  </si>
  <si>
    <t>How to Use Grading to Improve Learning</t>
  </si>
  <si>
    <t>LB3060.37.B76 2017</t>
  </si>
  <si>
    <t>Building Equity : Policies and Practices to Empower All Learners</t>
  </si>
  <si>
    <t>Smith, Dominique;Frey, Nancy;Pumpian, Ian;Fisher, Douglas</t>
  </si>
  <si>
    <t>LC213.2 .B855 2017</t>
  </si>
  <si>
    <t>Educational equalization-United States. ; Inclusive education-United States. ; Education and state-United States.</t>
  </si>
  <si>
    <t>Higher Education in Austerity Europe</t>
  </si>
  <si>
    <t>LC67.68.E85H55 2017</t>
  </si>
  <si>
    <t>Education, Higher--Economic aspects--Europe. ; Higher education and state--Europe. ; Europe--Economic conditions--21st century.</t>
  </si>
  <si>
    <t>Precarious Enterprise on the Margins : Work, Poverty, and Homelessness in the City</t>
  </si>
  <si>
    <t>Gerrard, Jessica</t>
  </si>
  <si>
    <t>305.5/692086941</t>
  </si>
  <si>
    <t>Unemployment--Developed countries.</t>
  </si>
  <si>
    <t>Making Classroom Assessments Reliable and Valid : How to Assess Student Learning</t>
  </si>
  <si>
    <t>LB3051.M379 2018</t>
  </si>
  <si>
    <t>Educational tests and measurements-United States. ; Grading and marking (Students)-United States.</t>
  </si>
  <si>
    <t>Achieving Evidence-Informed Policy and Practice in Education : EvidencED</t>
  </si>
  <si>
    <t>Brown, Chris</t>
  </si>
  <si>
    <t>Foucault and School Leadership Research : Bridging Theory and Method</t>
  </si>
  <si>
    <t>Mifsud, Denise</t>
  </si>
  <si>
    <t>Social Theory and Methodology in Education Research Series</t>
  </si>
  <si>
    <t>LB2806.M437 2017</t>
  </si>
  <si>
    <t>Educational leadership--Philosophy. ; Educational leadership--Research--Methodology.</t>
  </si>
  <si>
    <t>Inclusion, Diversity, and Intercultural Dialogue in Young People's Philosophical Inquiry</t>
  </si>
  <si>
    <t>Lin, Ching-Ching;Sequeira, Lavina</t>
  </si>
  <si>
    <t>The Ideal of the University</t>
  </si>
  <si>
    <t>Wolff, Robert;Wolff, Robert Paul</t>
  </si>
  <si>
    <t>Foundations of Higher Education</t>
  </si>
  <si>
    <t>LA227.4.W654 2017</t>
  </si>
  <si>
    <t>Jump-Start Your Online Classroom : Mastering Five Challenges in Five Days</t>
  </si>
  <si>
    <t>Stein, David S.;Wanstreet, Constance E.</t>
  </si>
  <si>
    <t>LB1044.87.S83 2017</t>
  </si>
  <si>
    <t>Vom Lehren Zum Lernen : Digitale Angebote in Universitären Lehrveranstaltungen</t>
  </si>
  <si>
    <t>Pfeiffer-Bohnen, Friederike</t>
  </si>
  <si>
    <t>LB2395.7.P54 2018</t>
  </si>
  <si>
    <t>Education, Higher--Computer-assisted instruction. ; Educational technology.</t>
  </si>
  <si>
    <t>White Teachers, Black Students : In the Spirit of Yes to African American Student Achievement</t>
  </si>
  <si>
    <t>Hines, Mack T., III;Hines, Mack T.</t>
  </si>
  <si>
    <t>LC2717.H564 2017</t>
  </si>
  <si>
    <t>African American youth--Education</t>
  </si>
  <si>
    <t>Negotiating Learning and Identity in Higher Education : Access, Persistence and Retention</t>
  </si>
  <si>
    <t>Bangeni, Bongi;Kapp, Rochelle</t>
  </si>
  <si>
    <t>Understanding Student Experiences of Higher Education Series</t>
  </si>
  <si>
    <t>LC148.N446 2017</t>
  </si>
  <si>
    <t>College attendance.</t>
  </si>
  <si>
    <t>The Writing Revolution : A Guide to Advancing Thinking Through Writing in All Subjects and Grades</t>
  </si>
  <si>
    <t>Hochman, Judith C.;Wexler, Natalie;Lemov, Doug</t>
  </si>
  <si>
    <t>Academic writing.</t>
  </si>
  <si>
    <t>The Blended Workbook : Learning to Design the Schools of Our Future</t>
  </si>
  <si>
    <t>Horn, Michael B.;Staker, Heather</t>
  </si>
  <si>
    <t>Blended learning.</t>
  </si>
  <si>
    <t>A Concise Guide to Education Studies</t>
  </si>
  <si>
    <t>Hindmarch, Duncan;Hall, Fiona;Machin, Lynn;Murray, Sandra</t>
  </si>
  <si>
    <t>LB1025.3.H55 2017</t>
  </si>
  <si>
    <t>Education--Study and teaching. ; Teaching. ; Learning.</t>
  </si>
  <si>
    <t>The Power of Talk : How Words Change Our Lives</t>
  </si>
  <si>
    <t>Briscoe, Felecia M.;Arriaza, Gilberto;Henze, Rosemary C.</t>
  </si>
  <si>
    <t>P302.84.B74 2009eb</t>
  </si>
  <si>
    <t>LB1027.23 .H566 2017</t>
  </si>
  <si>
    <t>Active learning. ; Creative teaching.</t>
  </si>
  <si>
    <t>Les Misérables de Victor Hugo (Analyse de L'oeuvre) : Analyse Complète et Résumé détaillé de L'oeuvre</t>
  </si>
  <si>
    <t>lePetitLitteraire;Seret, Hadrien;Vanderborght, Harmony</t>
  </si>
  <si>
    <t>Ex-convicts-Fiction. ; Orphans-Fiction.</t>
  </si>
  <si>
    <t>L' Ombre du Vent de Carlos Ruiz Zafón (Analyse de L'oeuvre) : Analyse Complète et Résumé détaillé de L'oeuvre</t>
  </si>
  <si>
    <t>lePetitLitteraire;Crochet, Anne;Lohay, Noémie</t>
  </si>
  <si>
    <t>Antiquarian booksellers-Fiction. ; Rare books-Fiction.</t>
  </si>
  <si>
    <t>The Classroom As Privileged Space : Psychoanalytic Paradigms for Social Justice in Pedagogy</t>
  </si>
  <si>
    <t>Chimbganda, Tapo</t>
  </si>
  <si>
    <t>LC196.C456 2017</t>
  </si>
  <si>
    <t>Stepping Up Skills in Urban Ghana : Snapshot of the STEP Skills Measurement Survey</t>
  </si>
  <si>
    <t>Darvas, Peter;Favara, Marta;Arnold, Tamara</t>
  </si>
  <si>
    <t>HN832.A8.D378 2017</t>
  </si>
  <si>
    <t>Ghana--Social conditions.</t>
  </si>
  <si>
    <t>Even on Your Worst Day, You Can Be a Student's Best Hope</t>
  </si>
  <si>
    <t>Scott, Manny</t>
  </si>
  <si>
    <t>LB1065 .S368 2017</t>
  </si>
  <si>
    <t>Motivation in education. ; Teacher-student relationships.</t>
  </si>
  <si>
    <t>Comparing Ethnographies : Local Studies of Education Across the Americas</t>
  </si>
  <si>
    <t>Rockwell, Elsie.;Anderson-Levitt, Kathyrn</t>
  </si>
  <si>
    <t>Educational anthropology--America--Cross-cultural studies.</t>
  </si>
  <si>
    <t>Dancing at the Crossroads : Stories and Activities for at-Risk Youth Programming</t>
  </si>
  <si>
    <t>HV1421.C937 2014</t>
  </si>
  <si>
    <t>Isms in Language Education : Oppression, Intersectionality and Emancipation</t>
  </si>
  <si>
    <t>Rivers, Damian J.;Zotzmann, Karin</t>
  </si>
  <si>
    <t>Language and Social Life [LSL] Series</t>
  </si>
  <si>
    <t>P118.2 .I867 2017</t>
  </si>
  <si>
    <t>Second language acquisition-Social aspects. ; Language and languages-Study and teaching-Foreign speakers. ; Language and culture.</t>
  </si>
  <si>
    <t>Aktuelle Pflegethemen Lehren : Wissenschaftliche Praxis in der Pflegeausbildung</t>
  </si>
  <si>
    <t>Linseisen, Elisabeth;Uzarewicz, Charlotte</t>
  </si>
  <si>
    <t>Bildung - Soziale Arbeit - Gesundheit Series</t>
  </si>
  <si>
    <t>RT71.A388 2013</t>
  </si>
  <si>
    <t>Citizenship Education and Global Migration : Implications for Theory, Research, and Teaching</t>
  </si>
  <si>
    <t>Citizenship--Study and teaching--Cross-cultural studies.</t>
  </si>
  <si>
    <t>Managerial Decision Modeling : Business Analytics with Spreadsheets, Fourth Edition</t>
  </si>
  <si>
    <t>Balakrishnan, Nagraj (Raju);Render, Barry;Stair, Ralph;Munson, Charles</t>
  </si>
  <si>
    <t>HD30.25.M363 2017</t>
  </si>
  <si>
    <t>Management--Mathematical models.</t>
  </si>
  <si>
    <t>Attachment and Emotional Development in the Classroom : Theory and Practice</t>
  </si>
  <si>
    <t>Carpenter, Barry;Colley, David;Cooper, Paul;Geddes, Heather;Nash, Poppy;Cahill, Janice;Satchwell-Hirst, Maisie;de Thierry, Betsy;Wilson, Peter;Rose, Janet</t>
  </si>
  <si>
    <t>LB1073.E458 2017</t>
  </si>
  <si>
    <t>Creating Inclusion and Well-Being for Marginalized Students : Whole-School Approaches to Supporting Children's Grief, Loss, and Trauma</t>
  </si>
  <si>
    <t>Goldman, Linda;Schwartz, Kyle;Craig, Susan;Payne, Ruby;Moreno, Marie;Kater, Kathy;Molina, Amalia;Trutt, Sandra;Martinez, Juan;Byard, Eliza</t>
  </si>
  <si>
    <t>LB4065.C74 2017</t>
  </si>
  <si>
    <t>Dream Factories : Why Universities Won't Solve the Youth Jobs Crisis</t>
  </si>
  <si>
    <t>Dundurn Group</t>
  </si>
  <si>
    <t>Dundurn Press</t>
  </si>
  <si>
    <t>TAP Books</t>
  </si>
  <si>
    <t>Coates, Ken S.;Morrison, Bill</t>
  </si>
  <si>
    <t>HD6277.C62 2016</t>
  </si>
  <si>
    <t>College graduates-Employment. ; Youth-Employment. ; Education, Higher-Social aspects. ; Universities and colleges.</t>
  </si>
  <si>
    <t>Logistics Competencies, Skills, and Training : A Global Overview</t>
  </si>
  <si>
    <t>McKinnon, Alan;Flöthmann, Christoph;Hoberg, Kai;Busch, Christina</t>
  </si>
  <si>
    <t>U168.L645 2017</t>
  </si>
  <si>
    <t>Logistics.</t>
  </si>
  <si>
    <t>Fighting for Change in Your School : How to Avoid Fads and Focus on Substance</t>
  </si>
  <si>
    <t>Alvy, Harvey</t>
  </si>
  <si>
    <t>LB2822.8 .A62 2017</t>
  </si>
  <si>
    <t>Keeping It Real and Relevant : Building Authentic Relationships in Your Diverse Classroom</t>
  </si>
  <si>
    <t>Lopez, Ignacio</t>
  </si>
  <si>
    <t>LB1033 .L66 2017</t>
  </si>
  <si>
    <t>Culturally relevant pedagogy. ; Teacher-student relationships.</t>
  </si>
  <si>
    <t>Messaging Matters : How School Leaders Can Inspire Teachers, Motivate Students, and Reach Communities</t>
  </si>
  <si>
    <t>Parker, William D.</t>
  </si>
  <si>
    <t>LB2806.P375 2018</t>
  </si>
  <si>
    <t>Educational leadership. ; Communication in education. ; School management and organization.</t>
  </si>
  <si>
    <t>Bandwidth Recovery : Helping Students Reclaim Cognitive Resources Lost to Poverty, Racism, and Social Marginalization</t>
  </si>
  <si>
    <t>Verschelden, Cia</t>
  </si>
  <si>
    <t>Children with social disabilities--Education--United States</t>
  </si>
  <si>
    <t>Teaching Interculturally : A Framework for Integrating Disciplinary Knowledge and Intercultural Development</t>
  </si>
  <si>
    <t>Lee, Amy</t>
  </si>
  <si>
    <t>LC1099.3.T433 2017</t>
  </si>
  <si>
    <t>Different Schools for a Different World : (School Improvement for 21st Century Skills, Global Citizenship, and Deeper Learning) (Solutions for Creating the Learning Spaces Students Deserve)</t>
  </si>
  <si>
    <t>McLeod, Scott;Shareski, Dean</t>
  </si>
  <si>
    <t>Comparative education. ; Educational accountability-United States. ; Education-Aims and objectives-United States. ; Educational change-United States.</t>
  </si>
  <si>
    <t>Enhancing Adult Motivation to Learn : A Comprehensive Guide for Teaching All Adults</t>
  </si>
  <si>
    <t>Wlodkowski, Raymond J.;Ginsberg, Margery B.</t>
  </si>
  <si>
    <t>374.001/9</t>
  </si>
  <si>
    <t>Motivation in adult education.</t>
  </si>
  <si>
    <t>How Do I Get Them to Write? : Explore the Reading-Writing Connection Using Freewriting and Mentor Texts to Motivate and Empower Students</t>
  </si>
  <si>
    <t>Filewych, Karen</t>
  </si>
  <si>
    <t>LB1576 .F554 2017</t>
  </si>
  <si>
    <t>English language-Writing-Study and teaching (Elementary) ; Language arts (Elementary)</t>
  </si>
  <si>
    <t>Literacy Out Loud : Creating Vibrant Classrooms Where Talk Is the Springboard for All Learning</t>
  </si>
  <si>
    <t>Campbell, Terry Anne;McMartin, Michelle E.</t>
  </si>
  <si>
    <t>LB1572 .C367 2017</t>
  </si>
  <si>
    <t>Oral communication-Study and teaching (Elementary) ; Language arts (Elementary) ; Reading (Elementary)</t>
  </si>
  <si>
    <t>Teaching, Affirming, and Recognizing Trans and Gender Creative Youth : A Queer Literacy Framework</t>
  </si>
  <si>
    <t>Miller, sj</t>
  </si>
  <si>
    <t>Queer Studies and Education Series</t>
  </si>
  <si>
    <t>Preserving Order amid Chaos : The Survival of Schools in Uganda, 1971-1986</t>
  </si>
  <si>
    <t>Paige, John Rhodes</t>
  </si>
  <si>
    <t>LA1567 .P25 2000</t>
  </si>
  <si>
    <t>Nurturing Personal, Social and Emotional Development in Early Childhood : A Practical Guide to Understanding Brain Development and Young Children's Behaviour</t>
  </si>
  <si>
    <t>Garvey, Debbie;Zeedyk, Suzanne</t>
  </si>
  <si>
    <t>HQ772.G37 2018</t>
  </si>
  <si>
    <t>Practical Behaviour Management for Primary School Teachers</t>
  </si>
  <si>
    <t>Lawrence, Tracey</t>
  </si>
  <si>
    <t>LB1507.L397 2017</t>
  </si>
  <si>
    <t>Education, Primary--Study and teaching--Handbooks, manuals, etc.</t>
  </si>
  <si>
    <t>How to Be an Outstanding Primary School Teacher 2nd Edition</t>
  </si>
  <si>
    <t>LB1025.3.D866 2017</t>
  </si>
  <si>
    <t>College Essay Essentials : A Step-By-Step Guide to Writing a Successful College Admissions Essay</t>
  </si>
  <si>
    <t>Sawyer, Ethan</t>
  </si>
  <si>
    <t>College applications-United States. ; Exposition (Rhetoric) ; Universities and colleges-United States-Admission. ; Essay-Authorship.</t>
  </si>
  <si>
    <t>Assessing Unstoppable Learning : (a Guide to Systems-Thinking Assessment in a Collaborative Culture)</t>
  </si>
  <si>
    <t>Hierck, Tom;Freese, Angela</t>
  </si>
  <si>
    <t>Educational evaluation. ; Educational tests and measurements. ; Curriculum planning.</t>
  </si>
  <si>
    <t>Responding to the Every Student Succeeds Act with the PLC at Work (tm) Process : (Integrating ESSA and Professional Learning Communities)</t>
  </si>
  <si>
    <t>DuFour, Richard;Reeves, Douglas;DuFour, Rebecca</t>
  </si>
  <si>
    <t>LB2806.22 .D846 2018</t>
  </si>
  <si>
    <t>Educational accountability-United States. ; Academic achievement-United States.</t>
  </si>
  <si>
    <t>Undocumented and in College : Students and Institutions in a Climate of National Hostility</t>
  </si>
  <si>
    <t>Jones, Terry-Ann;Nichols, Laura</t>
  </si>
  <si>
    <t>Jesuit universities and colleges - United States</t>
  </si>
  <si>
    <t>Working Class Girls, Education and Post-Industrial Britain : Aspirations and Reality in an Ex-Coalmining Community</t>
  </si>
  <si>
    <t>Richards, Gill</t>
  </si>
  <si>
    <t>Working glass women--Great Britain</t>
  </si>
  <si>
    <t>Creating a Culture of Reflective Practice : Building Capacity for Schoolwide Success</t>
  </si>
  <si>
    <t>Early Years Assessment: Personal, Social and Emotional Development : Personal, Social and Emotional Development</t>
  </si>
  <si>
    <t>Fitzhenry, Trudi;Murphy, Karen</t>
  </si>
  <si>
    <t>HQ767.9.F589 2017</t>
  </si>
  <si>
    <t>Early Years Assessment: Physical Development : Moving and Handling</t>
  </si>
  <si>
    <t>GV443.F589 2017</t>
  </si>
  <si>
    <t>Early Years Assessment: Communication and Language</t>
  </si>
  <si>
    <t>LB1139.23.F589 2017</t>
  </si>
  <si>
    <t>Building Great School Board -- Superintendent Teams : A Systematic Approach to Balancing Roles and Responsibilities</t>
  </si>
  <si>
    <t>Balch, Bradley V.;Adamson, Michael T.</t>
  </si>
  <si>
    <t>School board-superintendent relationships.</t>
  </si>
  <si>
    <t>The Sentient Enterprise : The Evolution of Business Decision Making</t>
  </si>
  <si>
    <t>Ratzesberger, Oliver;Sawhney, Mohanbir;Davenport, Thomas H.</t>
  </si>
  <si>
    <t>HF5386.R389 2017</t>
  </si>
  <si>
    <t>Success in business</t>
  </si>
  <si>
    <t>At the Intersection of Selves and Subject : Exploring the Curricular Landscape of Identity</t>
  </si>
  <si>
    <t>Lyle, Ellyn</t>
  </si>
  <si>
    <t>Structural Learning (Volume 2) : Issues and Approaches</t>
  </si>
  <si>
    <t>Scandura, Joseph M.</t>
  </si>
  <si>
    <t>Routledge Library Editions: Psychology of Education Series</t>
  </si>
  <si>
    <t>LB1060.S778 2018</t>
  </si>
  <si>
    <t>Intervention with Children</t>
  </si>
  <si>
    <t>Gupta, Rajinder M.;Coxhead, Peter</t>
  </si>
  <si>
    <t>BF721.I584 2018</t>
  </si>
  <si>
    <t>Structural Learning (Volume 1) : Theory and Research</t>
  </si>
  <si>
    <t>LB1060.S336 2018</t>
  </si>
  <si>
    <t>Understanding Children : An Introduction to Psychology for African Teachers</t>
  </si>
  <si>
    <t>Lawes, J. S.;Eddy, C. T.</t>
  </si>
  <si>
    <t>LB1115.L394 2018</t>
  </si>
  <si>
    <t>Psychology for the Classroom</t>
  </si>
  <si>
    <t>Turner, Johanna</t>
  </si>
  <si>
    <t>LB1060.T876 2018</t>
  </si>
  <si>
    <t>ISTE Standards for Educators : A Guide for Teachers and Other Professionals</t>
  </si>
  <si>
    <t>International Society for Technology in Education</t>
  </si>
  <si>
    <t>Crompton, Helen</t>
  </si>
  <si>
    <t>LB1028.3 .I884 2017</t>
  </si>
  <si>
    <t>Educational technology-Standards.</t>
  </si>
  <si>
    <t>Philosophical Reflections on Neuroscience and Education</t>
  </si>
  <si>
    <t>Kitchen, William H.</t>
  </si>
  <si>
    <t>Bloomsbury Philosophy of Education Series</t>
  </si>
  <si>
    <t>LB1062.K53 2017</t>
  </si>
  <si>
    <t>Cognitive learning. ; Cognitive neuroscience. ; Education--Philosophy.</t>
  </si>
  <si>
    <t>Learning Communities in Educational Partnerships : Action Research As Transformation</t>
  </si>
  <si>
    <t>Glenn, Máirín;Roche, Mary;McDonagh, Caitriona;Sullivan, Bernie</t>
  </si>
  <si>
    <t>LB1731.L437 2017</t>
  </si>
  <si>
    <t>Taking Action : A Handbook for RTI at Work(tm) (How to Implement Response to Intervention in Your School)</t>
  </si>
  <si>
    <t>Buffum, Austin;Mattos, Mike;Malone, Janet</t>
  </si>
  <si>
    <t>Response to intervention (Learning disabled children)-United States. ; Learning disabled children-Education-United States. ; Individualized instruction-United States.</t>
  </si>
  <si>
    <t>Comprehensive Mentoring Programs for New Teachers : Models of Induction and Support</t>
  </si>
  <si>
    <t>Building Trust for Better Schools : Research-Based Practices</t>
  </si>
  <si>
    <t>Kochanek, Julie Reed</t>
  </si>
  <si>
    <t>LB2822.82$b.K63 2005</t>
  </si>
  <si>
    <t>Disaffection from School? : The Early Years</t>
  </si>
  <si>
    <t>Barrett, Gill</t>
  </si>
  <si>
    <t>LB3081.D577 2018</t>
  </si>
  <si>
    <t>School attendance--Great Britain</t>
  </si>
  <si>
    <t>Antiracism Education in and Out of Schools</t>
  </si>
  <si>
    <t>Alemanji, Aminkeng A.</t>
  </si>
  <si>
    <t>Punk Pedagogies : Music, Culture and Learning</t>
  </si>
  <si>
    <t>Smith, Gareth Dylan;Dines, Mike;Parkinson, Tom</t>
  </si>
  <si>
    <t>LB14.7.P865 2018</t>
  </si>
  <si>
    <t>Gender Fairness in Today's School : A Breach of Trust for Male Students</t>
  </si>
  <si>
    <t>LC212.9.D843 2017</t>
  </si>
  <si>
    <t>An Educator's Guide to Schoolwide Positive Behavioral Inteventions and Supports : Integrating All Three Tiers (SWPBIS Strategies)</t>
  </si>
  <si>
    <t>Harlacher, Jason E.;Rodriquez, Billie Jo</t>
  </si>
  <si>
    <t>BF637.B4 .H375 2018</t>
  </si>
  <si>
    <t>Now We're Talking : 21 Days to High-Performance Instructional Leadership (Making Time for Classroom Observation and Teacher Evaluation)</t>
  </si>
  <si>
    <t>Baeder, Justin</t>
  </si>
  <si>
    <t>LB1731.6.B343 2018</t>
  </si>
  <si>
    <t>Observation (Educational method) ; Educational leadership. ; Teacher-administrator relationships. ; School improvement programs.</t>
  </si>
  <si>
    <t>Quest for Learning : How to Maximize Student Engagement (Strategies to Engage Students in the Classroom Using Guided Inquiry Design)</t>
  </si>
  <si>
    <t>Alcock, Marie</t>
  </si>
  <si>
    <t>LB1027.23.A436 2018</t>
  </si>
  <si>
    <t>Inquiry-based learning. ; Individualized instruction. ; Effective teaching. ; Engagement (Philosophy)</t>
  </si>
  <si>
    <t>NOW Classrooms, Grades 3-5 : Lessons for Enhancing Teaching and Learning Through Technology (Supporting ISTE Standards for Students and Digital Citizenship)</t>
  </si>
  <si>
    <t>Ormiston, Meg;DeCarlo, Sheri;Raymond, Sonya;Kowalski, Grace;Gonzalez, Justin</t>
  </si>
  <si>
    <t>LB1028.5.N69 2018</t>
  </si>
  <si>
    <t>Education, Elementary-Computer-assisted instruction. ; Educational technology-Study and teaching (Elementary) ; School improvement programs.</t>
  </si>
  <si>
    <t>The Dyslexia Assessment : A Practical Guide for Teachers</t>
  </si>
  <si>
    <t>Reid, Gavin;Guise, Jennie</t>
  </si>
  <si>
    <t>LC4708.R453 2017</t>
  </si>
  <si>
    <t>Dyslexic children--Education.</t>
  </si>
  <si>
    <t>International Critical Pedagogy Reader</t>
  </si>
  <si>
    <t>Darder, Antonia;Mayo, Peter;Paraskeva, João</t>
  </si>
  <si>
    <t>LC196.I66 2016</t>
  </si>
  <si>
    <t>Mploy - a Job Readiness Workbook : Career Skills Development for Young Adults on the Autism Spectrum and with Learning Difficulties</t>
  </si>
  <si>
    <t>McManmon, Michael P.;Gray, Carol;Ramsay, Michele;Kolarik, Jennifer</t>
  </si>
  <si>
    <t>Introducing Shakespeare's Tragedies : A Guide for Teachers</t>
  </si>
  <si>
    <t>Cahn, Victor</t>
  </si>
  <si>
    <t>PR2987.C346 2017</t>
  </si>
  <si>
    <t>Shakespeare, William,--1564-1616--Study and teaching.</t>
  </si>
  <si>
    <t>Introducing Shakespeare's Comedies, Histories, and Romances : A Guide for Teachers</t>
  </si>
  <si>
    <t>Boycott! : The Academy and Justice for Palestine</t>
  </si>
  <si>
    <t>Maira, Sunaina</t>
  </si>
  <si>
    <t>LC72.2.M357 2018</t>
  </si>
  <si>
    <t>Academic freedom--United States.</t>
  </si>
  <si>
    <t>Education in a Multicultural Cyprus</t>
  </si>
  <si>
    <t>Psaltis, Iacovos;Anastasiou,  Nicos;Faustmann,  Hubert</t>
  </si>
  <si>
    <t>LA1481.E383 2017</t>
  </si>
  <si>
    <t>Education--Cyprus.</t>
  </si>
  <si>
    <t>Theories of Affect and Concepts in Generic Skills Education : Adventurous Encounters</t>
  </si>
  <si>
    <t>Just, Edyta;Grahn,  Wera</t>
  </si>
  <si>
    <t>LB2322.2.T446 2017</t>
  </si>
  <si>
    <t>Education, Higher--Aims and objectives.</t>
  </si>
  <si>
    <t>Learning and Teaching in the Junior School (1941)</t>
  </si>
  <si>
    <t>Catty, Nancy</t>
  </si>
  <si>
    <t>LB1555.C388 2018</t>
  </si>
  <si>
    <t>Breaking with Tradition : The Shift to Competency-Based Learning in PLCs at Work(tm) (Why You Should Switch to Student-Centered Learning for All)</t>
  </si>
  <si>
    <t>Stack, Brian M.;Vander Els, Jonathan G.</t>
  </si>
  <si>
    <t>Shifting the Dialog, Shifting the Culture : Pathways to Successful Postsecondary Outcomes for Deaf Individuals</t>
  </si>
  <si>
    <t>Cawthon, Stephanie W.;Garberoglio, Carrie Lou</t>
  </si>
  <si>
    <t>HV2545</t>
  </si>
  <si>
    <t>Music Activities for Small Groups : A Collection of Music Games and Activities</t>
  </si>
  <si>
    <t>MT1 .M875 2014</t>
  </si>
  <si>
    <t>More Music Activities for Small Groups : A Collection of Music Games and Activities</t>
  </si>
  <si>
    <t>MT1 .M674 2014</t>
  </si>
  <si>
    <t>Composers and Musicians : Reproducible Worksheets for the Music Classroom</t>
  </si>
  <si>
    <t>MT1 .C667 2014</t>
  </si>
  <si>
    <t>School music-Instruction and study.</t>
  </si>
  <si>
    <t>More Music Activities for the Whole Class : A Collection of Music Games and Activities</t>
  </si>
  <si>
    <t>Beyond Co-Teaching Basics : A Data-Driven, No-Fail Model for Continuous Improvement</t>
  </si>
  <si>
    <t>Murawski, Wendy W.;Lochner, Wendy W.</t>
  </si>
  <si>
    <t>LB1029.T4.M85 2017</t>
  </si>
  <si>
    <t>Teaching teams.</t>
  </si>
  <si>
    <t>The Best Class You Never Taught : How Spider Web Discussion Can Turn Students into Learning Leaders</t>
  </si>
  <si>
    <t>Wiggins, Alexis</t>
  </si>
  <si>
    <t>LB1032.W53 2017</t>
  </si>
  <si>
    <t>Teaching to Strengths : Supporting Students Living with Trauma, Violence, and Chronic Stress</t>
  </si>
  <si>
    <t>Zacarian, Debbie;Alvarez-Ortiz, Lourdes;Haynes, Judie</t>
  </si>
  <si>
    <t>LC4165 .Z33 2017</t>
  </si>
  <si>
    <t>Mentally ill children-Education. ; Stress in children-Study and teaching.</t>
  </si>
  <si>
    <t>O&amp;M for Independent Living : Strategies for Teaching Orientation and Mobility to Older Adults</t>
  </si>
  <si>
    <t>Griffin-Shirley, Nora;Bozeman, Laura;Good, Gretchen A.</t>
  </si>
  <si>
    <t>HV1758.O16 2016</t>
  </si>
  <si>
    <t>362.4/18</t>
  </si>
  <si>
    <t>Blind--Orientation and mobility--Study and teaching.</t>
  </si>
  <si>
    <t>Early Childhood Literacy Teachers in High Poverty Schools : A Study of Courage and Caring</t>
  </si>
  <si>
    <t>Landa, Melissa</t>
  </si>
  <si>
    <t>LB1139.5.L35L33 2018</t>
  </si>
  <si>
    <t>Language arts (Early childhood)--United States. ; Poor children--Education (Early childhood)--United States. ; Children of minorities--Education (Early childhood)--United States. ; Teachers, White--United States.</t>
  </si>
  <si>
    <t>Annual Review of Comparative and International Education 2017</t>
  </si>
  <si>
    <t>Mentoring as professional learning for mentors and mentees in K-12 schools'</t>
  </si>
  <si>
    <t>Hobson, Andrew;Shanks, Rachel;Searby, Linda</t>
  </si>
  <si>
    <t>LC5225.M45.M468 2017</t>
  </si>
  <si>
    <t>Student needs 2025 and beyond</t>
  </si>
  <si>
    <t>LC71.2.S783 2017</t>
  </si>
  <si>
    <t>Educational planning.</t>
  </si>
  <si>
    <t>The future of post-secondary education in an information rich world</t>
  </si>
  <si>
    <t>Abeles, Tom;King, Elizabeth</t>
  </si>
  <si>
    <t>LB1607.F888 2017</t>
  </si>
  <si>
    <t>Mass schooling and public health</t>
  </si>
  <si>
    <t>Whitehead, Kay;Campbell, Craig;Proctor, Helen</t>
  </si>
  <si>
    <t>LC191.M377 2017</t>
  </si>
  <si>
    <t>The Eight Parts of Speech : Student Text and Workbook</t>
  </si>
  <si>
    <t>P270.C537 2017</t>
  </si>
  <si>
    <t>Parts of speech</t>
  </si>
  <si>
    <t>The Eight Parts of Speech : Teacher's Text</t>
  </si>
  <si>
    <t>A Guide for Educational Policy Governance : Effective Leadership for Policy Development</t>
  </si>
  <si>
    <t>LC89.N63 2017</t>
  </si>
  <si>
    <t>Education and state--United States. ; Educational planning--United States. ; Educational leadership--United States.</t>
  </si>
  <si>
    <t>Handbook of Comparative Education Law : British Commonwealth Nations</t>
  </si>
  <si>
    <t>K3740.H363 2018</t>
  </si>
  <si>
    <t>Educational law and legislation--Commonwealth countries.</t>
  </si>
  <si>
    <t>Handbook of Comparative Education Law : Selected Asian Nations</t>
  </si>
  <si>
    <t>KNC720.H363 2018</t>
  </si>
  <si>
    <t>Educational law and legislation--Asia</t>
  </si>
  <si>
    <t>Data for Learning : Building a Smart Education Data System</t>
  </si>
  <si>
    <t>Abdul-Hamid, Husein</t>
  </si>
  <si>
    <t>Directions in Development;Directions in Development - Human Development Series</t>
  </si>
  <si>
    <t>LB2846.A238 2017</t>
  </si>
  <si>
    <t>Educational statistics--Data processing.</t>
  </si>
  <si>
    <t>Meaningful and Manageable Program Assessment : A How-To Guide for Higher Education Faculty</t>
  </si>
  <si>
    <t>Massa, Laura J.;Kasimatis, Margaret</t>
  </si>
  <si>
    <t>LB2331.63.M436 2017</t>
  </si>
  <si>
    <t>Universities and colleges--Evaluation--United States--Handbooks, manuals, etc.</t>
  </si>
  <si>
    <t>NOW Classrooms, Grades K-2 : Lessons for Enhancing Teaching and Learning Through Technology (Supporting ISTE Standards for Students and Digital Citizenship)</t>
  </si>
  <si>
    <t>Ormiston, Meg;Hatlen, Beth;Hopkins, Kristy;McGinnis, Kristin;Blake, Lissa;Ring, Nicole</t>
  </si>
  <si>
    <t>LB1028.5.O765 2018</t>
  </si>
  <si>
    <t>Education, Primary-Computer-assisted instruction. ; Educational technology-Study and teaching (Primary) ; School improvement programs.</t>
  </si>
  <si>
    <t>Embedded Formative Assessment : (Strategies for Classroom Assessment That Drives Student Engagement and Learning)</t>
  </si>
  <si>
    <t>Wiliam, Dylan</t>
  </si>
  <si>
    <t>Effective teaching. ; Educational tests and measurements. ; Academic achievement.</t>
  </si>
  <si>
    <t>NOW Classrooms Leader's Guide : Enhancing Teaching and Learning Through Technology (a School Improvement Plan for the 21st Century)</t>
  </si>
  <si>
    <t>Ormiston, Meg;Fisher, Cathy;Reilly, Jamie;Orzel, Courtney;Garrett, Jordan;Bruebach, Robin;Griesbach, Steven M.;Fischer, Becky</t>
  </si>
  <si>
    <t>LB2806.O765 2018</t>
  </si>
  <si>
    <t>Educational change. ; Education-Aims and objectives. ; Educational technology. ; Education-Effect of technological innovations on. ; Effective teaching.</t>
  </si>
  <si>
    <t>Tasks Before Apps : Designing Rigorous Learning in a Tech-Rich Classroom</t>
  </si>
  <si>
    <t>Burns, Monica</t>
  </si>
  <si>
    <t>LB1028.5 .B876 2018</t>
  </si>
  <si>
    <t>Computer-assisted instruction. ; Educational technology. ; Internet in education. ; Lesson planning.</t>
  </si>
  <si>
    <t>Everyday Problem-Based Learning : Quick Projects to Build Problem-Solving Fluency</t>
  </si>
  <si>
    <t>Pete, Brian;Fogarty, Robin</t>
  </si>
  <si>
    <t>LB1027.42.P484 2018</t>
  </si>
  <si>
    <t>Differentiation in the Elementary Grades : Strategies to Engage and Equip All Learners</t>
  </si>
  <si>
    <t>Doubet, Kristina J.;Hockett, Jessica A.</t>
  </si>
  <si>
    <t>LB1031 .D683 2018</t>
  </si>
  <si>
    <t>Individualized instruction. ; Mixed ability grouping in education. ; Education, Elementary.</t>
  </si>
  <si>
    <t>Imperial Control in Cyprus : Education and Political Manipulation in the British Empire</t>
  </si>
  <si>
    <t>Heraclidou, Antigone</t>
  </si>
  <si>
    <t>LA1481.H473 2017</t>
  </si>
  <si>
    <t>Education--Cyprus--History.</t>
  </si>
  <si>
    <t>Leading Colleges and Universities : Lessons from Higher Education Leaders</t>
  </si>
  <si>
    <t>Trachtenberg, Stephen Joel;Kauvar, Gerald B.;Gee, E. Gordon</t>
  </si>
  <si>
    <t>LB2341 .L2687 2018</t>
  </si>
  <si>
    <t>College presidents-United States. ; Universities and colleges-United States-Administration.</t>
  </si>
  <si>
    <t>Diversifying Digital Learning : Online Literacy and Educational Opportunity</t>
  </si>
  <si>
    <t>Tierney, William G.;Corwin, Zoë B.;Ochsner, Amanda</t>
  </si>
  <si>
    <t>LB1028.3 .D583 2018</t>
  </si>
  <si>
    <t>Educational technology-Social aspects-United States. ; Internet in education-Social aspects-United States. ; Youth with social disabilities-Education-United States.</t>
  </si>
  <si>
    <t>How to Run a College : A Practical Guide for Trustees, Faculty, Administrators, and Policymakers</t>
  </si>
  <si>
    <t>Mitchell, Brian C.;King, W. Joseph</t>
  </si>
  <si>
    <t>How University Boards Work : A Guide for Trustees, Officers, and Leaders in Higher Education</t>
  </si>
  <si>
    <t>Scott, Robert A.</t>
  </si>
  <si>
    <t>378.1/011</t>
  </si>
  <si>
    <t>Common Core : National Education Standards and the Threat to Democracy</t>
  </si>
  <si>
    <t>Tampio, Nicholas</t>
  </si>
  <si>
    <t>LB3060.83 .T36 2018</t>
  </si>
  <si>
    <t>Education-Standards-United States. ; Education and state-United States. ; Educational accountability-United States.</t>
  </si>
  <si>
    <t>Making Sense of Neuroscience in the Early Years</t>
  </si>
  <si>
    <t>RC331 .F43 2017</t>
  </si>
  <si>
    <t>Neurology</t>
  </si>
  <si>
    <t>Shaping Your Career : A Guide for Early Career Faculty</t>
  </si>
  <si>
    <t>Haviland, Don;Ortiz, Anna M.;Henriques, Laura</t>
  </si>
  <si>
    <t>LB1778.2.H385 2017</t>
  </si>
  <si>
    <t>378.1/25023</t>
  </si>
  <si>
    <t>College teachers--Vocational guidance--United States.</t>
  </si>
  <si>
    <t>Instructional Agility : Responding to Assessment with Real-Time Decisions (Learn to Quickly Improve School Culture and Student Learning)</t>
  </si>
  <si>
    <t>LB1027.E754 2018</t>
  </si>
  <si>
    <t>Teaching-Decision making. ; Educational tests and measurements. ; Individualized instruction. ; Effective teaching. ; Classroom management.</t>
  </si>
  <si>
    <t>NOW Classrooms, Grades 6-8 : Lessons for Enhancing Teaching and Learning Through Technology (Supporting ISTE Standards for Students and Digital Citizenship)</t>
  </si>
  <si>
    <t>Ormiston, Meg;Slanker, Lauren;Lehotsky, Jennifer;Flaherty, Megan K.;Conboy, Janice;Cavanaugh, Whitney</t>
  </si>
  <si>
    <t>LC191.N69 2018</t>
  </si>
  <si>
    <t>Education-Social aspects.</t>
  </si>
  <si>
    <t>The Working-Class Student in Higher Education : Addressing a Class-Based Understanding</t>
  </si>
  <si>
    <t>Lathe, Terina Roberson</t>
  </si>
  <si>
    <t>Social Class in Education Series</t>
  </si>
  <si>
    <t>LC5051.L384 2018</t>
  </si>
  <si>
    <t>Working class--Education (Higher)--United States</t>
  </si>
  <si>
    <t>Who Do You Think You Are? : Three Crucial Conversations for Coaching Teens to College and Career Success</t>
  </si>
  <si>
    <t>Smith, Stephen M.;Fanning, Shaun</t>
  </si>
  <si>
    <t>Educational counseling--United States. ; Counseling in higher education--United States. ; Vocational guidance--United States.</t>
  </si>
  <si>
    <t>Take Me to Your Readers : How to Use the Best Children's Books to Lead Students to Read, Read, Read</t>
  </si>
  <si>
    <t>LB1573.S93 2017</t>
  </si>
  <si>
    <t>Moving Math : How to Use Thinking Skills to Help Students Make Sense of Mathematical Concepts and Support Numeracy Development</t>
  </si>
  <si>
    <t>Fiore, Mary;Lebar, Maria Luisa</t>
  </si>
  <si>
    <t>Cultivating Readers : Everything You Need to Take Reading Instruction Beyond the Skills to Addressing the Will</t>
  </si>
  <si>
    <t>Elliott, Anne;Lynch, Mary</t>
  </si>
  <si>
    <t>Physical Activity and Learning after School : The PAL Program</t>
  </si>
  <si>
    <t>Schwanenflugel, Paula J.;Tomporowski, Phillip D.</t>
  </si>
  <si>
    <t>LC34.P497 2018</t>
  </si>
  <si>
    <t>After-school programs.</t>
  </si>
  <si>
    <t>Ways of Being in Teaching : Conversations and Reflections</t>
  </si>
  <si>
    <t>Wiebe, Sean</t>
  </si>
  <si>
    <t>Wise Heads, Wise Hearts : Conversations with Asia-Pacific School Leaders</t>
  </si>
  <si>
    <t>Ryan, Pam</t>
  </si>
  <si>
    <t>Educational leadership-Asia. ; Educational leadership-Pacific Area. ; Education-Aims and objectives-Asia. ; Education-Aims and objectives-Pacific Area. ; Asia-Pacific.</t>
  </si>
  <si>
    <t>Emotions and Education : Promoting Positive Mental Health in Students with Learning Disabilities</t>
  </si>
  <si>
    <t>Vernon Press</t>
  </si>
  <si>
    <t>Vernon Art and Science Inc.</t>
  </si>
  <si>
    <t>Citro, Teresa A.;Young,  Nicholas D.;Michael,Christine N.</t>
  </si>
  <si>
    <t>LB1555.Y686 2017</t>
  </si>
  <si>
    <t>Jeder Kann Musik : Musik Ist Mehr Als Ich Höre</t>
  </si>
  <si>
    <t>Kemser, Johannes</t>
  </si>
  <si>
    <t>ML60.K467 2015</t>
  </si>
  <si>
    <t>Music.</t>
  </si>
  <si>
    <t>The Orthopedic Educator : A Pocket Guide</t>
  </si>
  <si>
    <t>Dougherty, Paul J.;Joyce, Barbara L.</t>
  </si>
  <si>
    <t>RD701-811</t>
  </si>
  <si>
    <t>Orthopedic surgery-Congresses</t>
  </si>
  <si>
    <t>The Successful Dyslexic : Identify the Keys to Unlock Your Potential</t>
  </si>
  <si>
    <t>Alexander-Passe, Neil</t>
  </si>
  <si>
    <t>Dyslexia. ; Dyslexics-Interviews.</t>
  </si>
  <si>
    <t>Global Exchanges : Scholarships and Transnational Circulations in the Modern World</t>
  </si>
  <si>
    <t>Tournès, Ludovic;Scott-Smith, Giles</t>
  </si>
  <si>
    <t>LB2375 .E84 2018</t>
  </si>
  <si>
    <t>Educational exchanges-History-19th century. ; Educational exchanges-History-20th century. ; Scholarships-History-19th century. ; Scholarships-History-20th century. ; International education-History-19th century. ; International education-History-20th century. ; Higher education and state-History-19th century. ; Higher education and state-History-20th century.</t>
  </si>
  <si>
    <t>Education in South Asia and the Indian Ocean Islands</t>
  </si>
  <si>
    <t>Letchamanan, Hema;Dhar, Debotri;Brock, Colin</t>
  </si>
  <si>
    <t>LA1144.5.E383 2018</t>
  </si>
  <si>
    <t>Education--South Asia--Case studies.</t>
  </si>
  <si>
    <t>Super Spellers : Seven Steps to Transforming Your Spelling Instruction</t>
  </si>
  <si>
    <t>Weakland, Mark</t>
  </si>
  <si>
    <t>English language-Orthography and spelling-Study and teaching. ; English language-Composition and exercises-Study and teaching. ; Reading.</t>
  </si>
  <si>
    <t>Turkey's Kurdish Question from an Educational Perspective</t>
  </si>
  <si>
    <t>Ince, Adem</t>
  </si>
  <si>
    <t>DR435.K87 .I534 2018</t>
  </si>
  <si>
    <t>956.1/00491597</t>
  </si>
  <si>
    <t>Kurds-Turkey</t>
  </si>
  <si>
    <t>The Ecology of Language in Multilingual India : Voices of Women and Educators in the Himalayan Foothills</t>
  </si>
  <si>
    <t>Groff, Cynthia</t>
  </si>
  <si>
    <t>P1-1091</t>
  </si>
  <si>
    <t>Language and education-India</t>
  </si>
  <si>
    <t>Was passiert? : Stellungnahmen zur Lage der Universität</t>
  </si>
  <si>
    <t>Diaphanes</t>
  </si>
  <si>
    <t>Universitäten, Unbedingte</t>
  </si>
  <si>
    <t>Unbedingte Universitäten</t>
  </si>
  <si>
    <t>LA628 .W377 2018</t>
  </si>
  <si>
    <t>Higher education reform. ; Economics.</t>
  </si>
  <si>
    <t>Bologna-Bestiarium</t>
  </si>
  <si>
    <t>LA628 .B656 2013</t>
  </si>
  <si>
    <t>Bologna process (European higher education)-Handbooks, manuals, etc. ; Education, Higher-Handbooks, manuals, etc. ; Higher education and state-Handbooks, manuals, etc. ; Educational change-Handbooks, manuals, etc. ; Student movements-Handbooks, manuals, etc. ; Universities and colleges-Handbooks, manuals, etc.</t>
  </si>
  <si>
    <t>Active Learning Strategies in Higher Education : Teaching for Leadership, Innovation, and Creativity</t>
  </si>
  <si>
    <t>Misseyanni, Anastasia;Lytras, Miltiadis D.;Papadopoulou, Paraskevi;Marouli, Christina</t>
  </si>
  <si>
    <t>Active learning. ; College teaching. ; Effective teaching.</t>
  </si>
  <si>
    <t>Deliberation in the Classroom : Fostering Critical Thinking, Community, and Citizenship in Schools</t>
  </si>
  <si>
    <t>Kettering Foundation</t>
  </si>
  <si>
    <t>Molnar-Main, Dr. Stacie</t>
  </si>
  <si>
    <t>LC1091 .M656 2017</t>
  </si>
  <si>
    <t>Citizenship-Study and teaching-United States. ; Teaching-Social aspects-United States. ; Democracy and education-United States.</t>
  </si>
  <si>
    <t>Reimagining Library Spaces : Transform Your Space on Any Budget</t>
  </si>
  <si>
    <t>Rendina, Diana</t>
  </si>
  <si>
    <t>LB3221 .R463 2017</t>
  </si>
  <si>
    <t>School facilities-Planning.</t>
  </si>
  <si>
    <t>Enhancing Assessment in Higher Education : Putting Psychometrics to Work</t>
  </si>
  <si>
    <t>Cumming, Tammie;Miller, M. David</t>
  </si>
  <si>
    <t>Psychometrics</t>
  </si>
  <si>
    <t>Handbook for Embedded Formative Assessment : (a Practical Guide to Formative Assessment in the Classroom)</t>
  </si>
  <si>
    <t>Educational evaluation. ; Educational tests and measurements. ; Effective teaching. ; Student-centered learning. ; Classroom management.</t>
  </si>
  <si>
    <t>Race at Predominantly White Independent Schools : The Space Between Diversity and Equity</t>
  </si>
  <si>
    <t>French, Bonnie E.</t>
  </si>
  <si>
    <t>LC212.52.F74 2018</t>
  </si>
  <si>
    <t>Racism in education--United States.</t>
  </si>
  <si>
    <t>Fast and Curious : A History of Shortcuts in American Education</t>
  </si>
  <si>
    <t>LB1027.3.H367 2018</t>
  </si>
  <si>
    <t>Education--Experimental methods--United States--History.</t>
  </si>
  <si>
    <t>Erasing Invisibility, Inequity and Social Injustice of Africans in the Diaspora and the Continent</t>
  </si>
  <si>
    <t>Ojiambo, Peter Otiato;Ukpokodu, Omiunota N.</t>
  </si>
  <si>
    <t>LC3705.E737 2017</t>
  </si>
  <si>
    <t>Immigrants--Education--Congresses.</t>
  </si>
  <si>
    <t>Institutions and Social Mobilization : The Chinese Education Movement in Malaysia, 1951-2011</t>
  </si>
  <si>
    <t>SG</t>
  </si>
  <si>
    <t>Hassanal Bolkiah</t>
  </si>
  <si>
    <t>LC3089.M3 .A54 2014</t>
  </si>
  <si>
    <t>370.8209595 23</t>
  </si>
  <si>
    <t>Malaixiya Hua xiao dong shi lian he hui zong hui. ; Malaixiya Hua xiao jiao shi hui zong hui. ; Chinese language-Government policy-Malaysia. ; Schools, Chinese-Government policy-Malaysia. ; Chinese-Education-Government policy-Malaysia.</t>
  </si>
  <si>
    <t>World Development Report 2018 : Learning to Realize Education's Promise</t>
  </si>
  <si>
    <t>World Bank Group, World Bank</t>
  </si>
  <si>
    <t>HD75.7 .L437 2018</t>
  </si>
  <si>
    <t>Economic development-Effect of education on. ; Education-Aims and objectives.</t>
  </si>
  <si>
    <t>Sharing Higher Education's Promise Beyond the Few in Sub-Saharan Africa</t>
  </si>
  <si>
    <t>Darvas, Peter;Gao, Shang;Shen, Yijun;Bawany, Bilal;Bawany, Bilal</t>
  </si>
  <si>
    <t>LA1503.S537 2017</t>
  </si>
  <si>
    <t>Education, Higher--Africa.</t>
  </si>
  <si>
    <t>Quality in Undergraduate Education : How Powerful Knowledge Disrupts Inequality</t>
  </si>
  <si>
    <t>McLean, Monica;Abbas, Andrea;Ashwin, Paul</t>
  </si>
  <si>
    <t>Advances in Stylistics Series</t>
  </si>
  <si>
    <t>LC213.3.G7 M354 2017</t>
  </si>
  <si>
    <t>Educational equalization-Great Britain</t>
  </si>
  <si>
    <t>Teaching Secondary Science Through Play</t>
  </si>
  <si>
    <t>Rosen Publishing</t>
  </si>
  <si>
    <t>Rosen Publishing Group</t>
  </si>
  <si>
    <t>Rosen Classroom</t>
  </si>
  <si>
    <t>Harris, Christopher;Harris, Patricia</t>
  </si>
  <si>
    <t>Teaching Through Games Series</t>
  </si>
  <si>
    <t>Teaching Programming Concepts Through Play</t>
  </si>
  <si>
    <t>Teaching Financial Literacy Through Play</t>
  </si>
  <si>
    <t>Breaking Records in Sports : Understand Place Value</t>
  </si>
  <si>
    <t>James, Brayden</t>
  </si>
  <si>
    <t>InfoMax Math Readers Series</t>
  </si>
  <si>
    <t>Food from the Farm Stand : Understand Place Value</t>
  </si>
  <si>
    <t>Crisp, Dunnegan</t>
  </si>
  <si>
    <t>Abbreviations</t>
  </si>
  <si>
    <t>PowerKids Press</t>
  </si>
  <si>
    <t>Murray, Kara</t>
  </si>
  <si>
    <t>Core Language Skills Series</t>
  </si>
  <si>
    <t>421/.1</t>
  </si>
  <si>
    <t>Analyze It : Looking at Texts Critically</t>
  </si>
  <si>
    <t>Gosman, Gillian</t>
  </si>
  <si>
    <t>Core Skills Series</t>
  </si>
  <si>
    <t>Academic Promotion for Clinicians : A Practical Guide to Academic Promotion and Tenure in Medical Schools</t>
  </si>
  <si>
    <t>Walling, Anne</t>
  </si>
  <si>
    <t>RC1-1245</t>
  </si>
  <si>
    <t>Medicine-Vocational guidance.</t>
  </si>
  <si>
    <t>Education, War and Peace: The Surprising Success of Private Schools in War-Torn Countries : The Surprising Success of Private Schools in War-Torn Countries</t>
  </si>
  <si>
    <t>London Publishing Partnership</t>
  </si>
  <si>
    <t>Tooley, James;Longfield, David</t>
  </si>
  <si>
    <t>LC47 .T665 2017</t>
  </si>
  <si>
    <t>371.02 23</t>
  </si>
  <si>
    <t>Private schools-Developing countries. ; War and society-Developing countries.</t>
  </si>
  <si>
    <t>Research Trends in Instructional Technology</t>
  </si>
  <si>
    <t>Hardaker, Glenn;Watulak, Sarah</t>
  </si>
  <si>
    <t>LB1028.38.R474 2017</t>
  </si>
  <si>
    <t>Instructional systems--Design.</t>
  </si>
  <si>
    <t>Broadening professional communities through collaborative partnerships</t>
  </si>
  <si>
    <t>Malone, Helen;Hargreaves, Andy</t>
  </si>
  <si>
    <t>LC65.B763 2017</t>
  </si>
  <si>
    <t>Teacher Leadership in Professional Development Schools</t>
  </si>
  <si>
    <t>Hunzicker, Jana</t>
  </si>
  <si>
    <t>LB2331.7-2335.8</t>
  </si>
  <si>
    <t>Clinical Reasoning und Empathie in der Physiotherapieausbildung. Darstellung und Evaluation eines Unterrichtskonzeptes zur Förderung der emotionalen Kompetenz in der frühen Ausbildungsphase der Physiotherapie</t>
  </si>
  <si>
    <t>Wilhelmi-Hempelmann, Barbara</t>
  </si>
  <si>
    <t>BF311 .W554 2017</t>
  </si>
  <si>
    <t>Emotions and cognition. ; Physical therapy-Vocational guidance.</t>
  </si>
  <si>
    <t>Open Education. Kostenlose Angebote für die Arbeitnehmerfortbildung im Internet</t>
  </si>
  <si>
    <t>Volk, Markus</t>
  </si>
  <si>
    <t>LC5256.G3 .V655 2017</t>
  </si>
  <si>
    <t>Adult education-Germany.</t>
  </si>
  <si>
    <t>Kritische politische Bildung. Herausforderungen in der Auseinandersetzung mit Pegida und Neo-Rassismus</t>
  </si>
  <si>
    <t>Heitz, Thomas</t>
  </si>
  <si>
    <t>LC71 .H458 2017</t>
  </si>
  <si>
    <t>Education-Political aspects.</t>
  </si>
  <si>
    <t>L(i)ebenswelten alternder Menschen. Biografieforschung anhand des Phänomens Liebe im Kontext informeller Lernprozesse</t>
  </si>
  <si>
    <t>disserta Verlag</t>
  </si>
  <si>
    <t>Maier, Marianne;Ogris, Nina</t>
  </si>
  <si>
    <t>LC45.3 .M354 2017</t>
  </si>
  <si>
    <t>Non-formal education. ; Continuing education.</t>
  </si>
  <si>
    <t>Thinking Critically: What Does It Mean? : The Tradition of Philosophical Criticism and Its Forms in the European History of Ideas</t>
  </si>
  <si>
    <t>Kubok, Dariusz</t>
  </si>
  <si>
    <t>B105.T54 .T456 2018</t>
  </si>
  <si>
    <t>Critical thinking. ; Criticism. ; Philosophy, European.</t>
  </si>
  <si>
    <t>Promoting Emotional Wellbeing in Early Years Staff : A Practical Guide for Looking after Yourself and Your Colleagues</t>
  </si>
  <si>
    <t>Mainstone-Cotton, Sonia</t>
  </si>
  <si>
    <t>BF576 .M356 2018</t>
  </si>
  <si>
    <t>LB1025.3 .A767 2018</t>
  </si>
  <si>
    <t>As You Like It</t>
  </si>
  <si>
    <t>Shaughnessy, Robert</t>
  </si>
  <si>
    <t>PR2803 .S538 2018</t>
  </si>
  <si>
    <t>822.3/3</t>
  </si>
  <si>
    <t>Shakespeare, William,-1564-1616.-As you like it. ; Shakespeare, William,-1564-1616-Film adaptations. ; Shakespeare, William,-1564-1616-Stage history.</t>
  </si>
  <si>
    <t>One Size Does Not Fit All : Acknowledging and Addressing What's Wrong with American Public Education</t>
  </si>
  <si>
    <t>Wichman, Indrek S.</t>
  </si>
  <si>
    <t>LA209.2 .O54 2018</t>
  </si>
  <si>
    <t>Public schools-United States</t>
  </si>
  <si>
    <t>Getting the Right Teachers into the Right Schools : Managing India's Teacher Workforce</t>
  </si>
  <si>
    <t>Ramachandran, Vimala;Béteille, Tara;Linden, Toby;Dey, Sangeeta;Goel Chatterjee, Prerna</t>
  </si>
  <si>
    <t>LB2832.4.I4 .G488 2018</t>
  </si>
  <si>
    <t>Teacher effectiveness-India.</t>
  </si>
  <si>
    <t>Tělesná výchova na 1. stupni základní školy</t>
  </si>
  <si>
    <t>Dvořáková, Hana;Engelthalerová, Zdeňka a kol.</t>
  </si>
  <si>
    <t>GV363 .D867 2017</t>
  </si>
  <si>
    <t>Physical education and training-Study and teaching (Elementary)</t>
  </si>
  <si>
    <t>Developing the Expertise of Primary and Elementary Classroom Teachers : Professional Learning for a Changing World</t>
  </si>
  <si>
    <t>Eaude, Tony</t>
  </si>
  <si>
    <t>LB1731 .E283 2018</t>
  </si>
  <si>
    <t>Primary school teachers-In-service training. ; Elementary school teachers-In-service training.</t>
  </si>
  <si>
    <t>Literacy and Democracy in South African Primary Schools</t>
  </si>
  <si>
    <t>Abraham, Getahun Yacob;Barksdale, Mary Alice</t>
  </si>
  <si>
    <t>LC158.S6A22 2018</t>
  </si>
  <si>
    <t>Literacy--South Africa. ; Democracy and education--South Africa. ; Education, Primary--South Africa.</t>
  </si>
  <si>
    <t>Dyslexia, Literacy and Inclusion : Child-Centred Perspectives</t>
  </si>
  <si>
    <t>MacBlain, Sean;Long, Louise;Dunn, Jill</t>
  </si>
  <si>
    <t>LC4708 .M333 2015</t>
  </si>
  <si>
    <t>Dyslexic children-Education. ; Inclusive education.</t>
  </si>
  <si>
    <t>Accompagner un Enfant Surdoué : Mieux le Comprendre Pour Permettre Son épanouissement</t>
  </si>
  <si>
    <t>Dorchy, Aurélie;Delli Gatti, Antonella;50Minutes</t>
  </si>
  <si>
    <t>Gifted children.</t>
  </si>
  <si>
    <t>Central Park de Guillaume Musso (Analyse de L'oeuvre) : Analyse Complète et Résumé détaillé de L'oeuvre</t>
  </si>
  <si>
    <t>lePetitLitteraire;Mortier, Sybille;Lohay, Noémie</t>
  </si>
  <si>
    <t>Esperanza Rising - Literature Kit Gr. 5-6</t>
  </si>
  <si>
    <t>PN59 .I236 2018</t>
  </si>
  <si>
    <t>Literature-Study and teaching. ; Books and reading-Study and teaching.</t>
  </si>
  <si>
    <t>21st Century Skills - Learning Problem Solving Gr. 3-8+</t>
  </si>
  <si>
    <t>Joubert, Sarah;Laporte, Paul;McFarland, Amanda;Oosten, Michael;Vrooman, Harriet</t>
  </si>
  <si>
    <t>21st Century Skills Series</t>
  </si>
  <si>
    <t>QA63 .J683 2017</t>
  </si>
  <si>
    <t>Problem solving-Study and teaching (Elementary) ; Problem-based learning.</t>
  </si>
  <si>
    <t>21st Century Skills - Learning Communication &amp; Teamwork Gr. 3-8+</t>
  </si>
  <si>
    <t>Gambhir, Rosalyn;Joubert, Sarah;Laporte, Paul;McFarland, Amanda;Oosten, Michael;Vrooman, Harriet</t>
  </si>
  <si>
    <t>HQ783 .G363 2017</t>
  </si>
  <si>
    <t>Social skills in children-Study and teaching. ; Communication-Study and teaching (Elementary) ; Group work in education.</t>
  </si>
  <si>
    <t>21st Century Skills - Learning Skills for Global Competency Gr. 3-8+</t>
  </si>
  <si>
    <t>Joubert, Sarah;Laporte, Paul;McFarland, Amanda;Oosten, Michael</t>
  </si>
  <si>
    <t>LB1590.3 .J683 2017</t>
  </si>
  <si>
    <t>Critical thinking-Study and teaching (Elementary) ; Creative thinking-Study and teaching (Elementary) ; High interest-low vocabulary books.</t>
  </si>
  <si>
    <t>21st Century Skills - Learning to Learn Big Book Gr. 3-8+</t>
  </si>
  <si>
    <t>PE1119 .G363 2016</t>
  </si>
  <si>
    <t>Readers (Elementary)</t>
  </si>
  <si>
    <t>The BFG - Literature Kit Gr. 3-4</t>
  </si>
  <si>
    <t>LB1573 .I236 2018</t>
  </si>
  <si>
    <t>The One in the Middle Is the Green Kangaroo - Literature Kit Gr. 1-2</t>
  </si>
  <si>
    <t>Literature Kits Grades 1-2</t>
  </si>
  <si>
    <t>PN1008.8 .R463 2018</t>
  </si>
  <si>
    <t>Children's literature-Study and teaching. ; Children-Books and reading. ; Children's literature.</t>
  </si>
  <si>
    <t>My Side of the Mountain - Literature Kit Gr. 5-6</t>
  </si>
  <si>
    <t>LB1575 .I236 2018</t>
  </si>
  <si>
    <t>Children's literature-Study and teaching (Elementary) ; Reading (Elementary) ; Language arts.</t>
  </si>
  <si>
    <t>Chocolate Fever - Literature Kit Gr. 3-4</t>
  </si>
  <si>
    <t>Ridout, Stephanie</t>
  </si>
  <si>
    <t>LB1573 .R536 2018</t>
  </si>
  <si>
    <t>Fríndel - Kit de Literatura Gr. 3-4</t>
  </si>
  <si>
    <t>Marck, Staci</t>
  </si>
  <si>
    <t>Kit de Literatura Grados 3-4</t>
  </si>
  <si>
    <t>PN59 .M373 2017</t>
  </si>
  <si>
    <t>Literature-Study and teaching.</t>
  </si>
  <si>
    <t>The Best-Kept Teaching Secret : How Written Conversations Engage Kids, Activate Learning, Grow Fluent Writers ... K-12</t>
  </si>
  <si>
    <t>Daniels, Smokey;Daniels, Elaine</t>
  </si>
  <si>
    <t>Teaching the Male Brain : How Boys Think, Feel, and Learn in School</t>
  </si>
  <si>
    <t>James, Abigail Norfleet</t>
  </si>
  <si>
    <t>LC1390.J36 2015</t>
  </si>
  <si>
    <t>Using Quality Feedback to Guide Professional Learning : A Framework for Instructional Leaders</t>
  </si>
  <si>
    <t>Clark, Shawn B.;Duggins, Abbey S.</t>
  </si>
  <si>
    <t>Shared Leadership : The Essential Ingredient for Effective PLCs</t>
  </si>
  <si>
    <t>Wilhelm, Terry</t>
  </si>
  <si>
    <t>LB1731.W428 2017</t>
  </si>
  <si>
    <t>Evaluating ALL Teachers of English Learners and Students with Disabilities : Supporting Great Teaching</t>
  </si>
  <si>
    <t>Fenner, Diane Staehr;Kozik, Peter L.;Cooper, Ayanna C.</t>
  </si>
  <si>
    <t>Designing and Using Performance Tasks : Enhancing Student Learning and Assessment</t>
  </si>
  <si>
    <t>Shiel, Tracey K. (Kathleen)</t>
  </si>
  <si>
    <t>LC1032.S55 2016</t>
  </si>
  <si>
    <t>How Schools and Districts Meet Rigorous Standards Through Authentic Intellectual Work : Lessons from the Field</t>
  </si>
  <si>
    <t>King, M. Bruce</t>
  </si>
  <si>
    <t>LB1775.2.H688 2016</t>
  </si>
  <si>
    <t>But What Do I DO? : Strategies from a to W for Multi-Tier Systems of Support</t>
  </si>
  <si>
    <t>LB1029.R4 .C655 2017</t>
  </si>
  <si>
    <t>Remedial teaching. ; Response to intervention (Learning disabled children) ; Culturally relevant pedagogy.</t>
  </si>
  <si>
    <t>Deeper Learning with QR Codes and Augmented Reality : A Scannable Solution for Your Classroom</t>
  </si>
  <si>
    <t>Corwin Teaching Essentials Series</t>
  </si>
  <si>
    <t>LB1031 .B876 2016</t>
  </si>
  <si>
    <t>Individualized instruction. ; QR codes. ; Augmented reality.</t>
  </si>
  <si>
    <t>What Really Works in Elementary Education</t>
  </si>
  <si>
    <t>LA219. .W438 2015</t>
  </si>
  <si>
    <t>Education, Elementary-United States. ; Education, Elementary-Curricula-United States. ; Effective teaching-United States.</t>
  </si>
  <si>
    <t>The Other Side of the Report Card : Assessing Students&amp;prime; Social, Emotional, and Character Development</t>
  </si>
  <si>
    <t>Elias, Maurice J.;Ferrito, Joseph J.;Moceri, Dominic C.</t>
  </si>
  <si>
    <t>LB3051 .E453 2016</t>
  </si>
  <si>
    <t>Educational tests and measurements. ; Personality development-Evaluation.</t>
  </si>
  <si>
    <t>Teaching the IStudent : A Quick Guide to Using Mobile Devices and Social Media in the K-12 Classroom</t>
  </si>
  <si>
    <t>Barnes, Mark D.</t>
  </si>
  <si>
    <t>Computer-assisted instruction. ; Mobile computing. ; Social media. ; Information technology-Study and teaching.</t>
  </si>
  <si>
    <t>Reach the Highest Standard in Professional Learning: Outcomes : Outcomes</t>
  </si>
  <si>
    <t>Lindsey, Delores B.;Lindsey, Randall B.;Hord, Shirley M.;von Frank, Valerie</t>
  </si>
  <si>
    <t>LB1731 .R433 2016</t>
  </si>
  <si>
    <t>Teachers-In-service training-United States. ; Teachers-Professional relationships-United States. ; Professional learning communities-United States.</t>
  </si>
  <si>
    <t>Leading Connected Classrooms : Engaging the Hearts and Souls of Learners</t>
  </si>
  <si>
    <t>Dillon, Robert W.</t>
  </si>
  <si>
    <t>LB1027.23.D53 2015</t>
  </si>
  <si>
    <t>Student-centered learning. ; Motivation in education.</t>
  </si>
  <si>
    <t>Flipping Leadership Doesn't Mean Reinventing the Wheel</t>
  </si>
  <si>
    <t>The PLC Book</t>
  </si>
  <si>
    <t>Fichtman Dana, Nancy;Yendol-Hoppey, Diane</t>
  </si>
  <si>
    <t>LB1731 .D363 2016</t>
  </si>
  <si>
    <t>The Rock &amp;prime;n&amp;prime; Roll Classroom : Using Music to Manage Mood, Energy, and Learning</t>
  </si>
  <si>
    <t>Allen, Rich;Wood, W. W.</t>
  </si>
  <si>
    <t>MT1 .A454 2013</t>
  </si>
  <si>
    <t>Music in education. ; Music-Psychological aspects.</t>
  </si>
  <si>
    <t>Teaching Outside the Lines : Developing Creativity in Every Learner</t>
  </si>
  <si>
    <t>Johnson, Douglas A.</t>
  </si>
  <si>
    <t>LB1590.5 .J646 2015</t>
  </si>
  <si>
    <t>Creative ability-Study and teaching. ; Creative thinking-Study and teaching. ; Creative teaching. ; Creative ability in children.</t>
  </si>
  <si>
    <t>Planning and Organizing Standards-Based Differentiated Instruction</t>
  </si>
  <si>
    <t>LB1031.C465 2014</t>
  </si>
  <si>
    <t>Real and Relevant : A Guide for Service and Project-Based Learning</t>
  </si>
  <si>
    <t>Farber, Katy</t>
  </si>
  <si>
    <t>LC220.5.F37 2014</t>
  </si>
  <si>
    <t>Service learning. ; Project method in teaching. ; Project method in teaching. (OCoLC)fst01078807. ; Service learning. (OCoLC)fst01431330.</t>
  </si>
  <si>
    <t>Community Educators : A Resource for Educating and Developing Our Youth</t>
  </si>
  <si>
    <t>Harbour, Patricia Moore</t>
  </si>
  <si>
    <t>LC215 .H373 2012</t>
  </si>
  <si>
    <t>Community and school. ; Experiential learning. ; Youth development. ; Community education.</t>
  </si>
  <si>
    <t>College Aspirations and Access in Working-Class Rural Communities : The Mixed Signals, Challenges, and New Language First-Generation Students Encounter</t>
  </si>
  <si>
    <t>Ardoin, Sonja</t>
  </si>
  <si>
    <t>LC5051 .A736 2018</t>
  </si>
  <si>
    <t>Working class-Education (Higher)-United States. ; First-generation college students-United States. ; Student aspirations-United States. ; Academic language-Study and teaching-United States.</t>
  </si>
  <si>
    <t>Viewpoints on Interventions for Learners with Disabilities</t>
  </si>
  <si>
    <t>Obiakor, Festus E.;Bakken, Jeffrey P.</t>
  </si>
  <si>
    <t>NOW Classrooms, Grades 9-12 : Lessons for Enhancing Teaching and Learning Through Technology (Supporting ISTE Standards for Students and Digital Citizenship)</t>
  </si>
  <si>
    <t>Ormiston, Meg;Parker, Scott D.;Lubber, Tom;Fitzharris, Gretchen;Lawrence, Ellen K.;Aquino, Katie N.</t>
  </si>
  <si>
    <t>NOW Classrooms Series</t>
  </si>
  <si>
    <t>LB1028.5 .N69 2018</t>
  </si>
  <si>
    <t>Education, Secondary-Computer-assisted instruction. ; Educational technology-Study and teaching (Secondary) ; School improvement programs.</t>
  </si>
  <si>
    <t>Digital Citizenship in Action : Empowering Students to Engage in Online Communities</t>
  </si>
  <si>
    <t>Mattson, Kristen</t>
  </si>
  <si>
    <t>HM742 .M388 2017</t>
  </si>
  <si>
    <t>Online social networks. ; Citizenship.</t>
  </si>
  <si>
    <t>Theatricalising Narrative Research on Women Casual Academics</t>
  </si>
  <si>
    <t>Crimmins, Gail</t>
  </si>
  <si>
    <t>Theater and society</t>
  </si>
  <si>
    <t>Academic Skills for Interdisciplinary Studies</t>
  </si>
  <si>
    <t>Post, Ger;Visser, Vincent;Buis, Joris;Collingwood, Vivien</t>
  </si>
  <si>
    <t>Perspectives on Interdisciplinarity Series</t>
  </si>
  <si>
    <t>D</t>
  </si>
  <si>
    <t>Interdisciplinary approach in education.</t>
  </si>
  <si>
    <t>Voices of Resistance : Interdisciplinary Approaches to Chican@ Children's Literature</t>
  </si>
  <si>
    <t>Alamillo, Laura;Mercado-Lopez, Larissa M.;Herrera, Cristina</t>
  </si>
  <si>
    <t>PS153.M4 .V653 2018</t>
  </si>
  <si>
    <t>810.9/86872</t>
  </si>
  <si>
    <t>American literature-Mexican American authors-History and criticism</t>
  </si>
  <si>
    <t>The Data Collection Toolkit : Everything You Need to Organize, Manage, and Monitor Classroom Data</t>
  </si>
  <si>
    <t>Golden, Cindy</t>
  </si>
  <si>
    <t>LC3981.G574 2018</t>
  </si>
  <si>
    <t>Special education--United States. ; Special education--United States--Administration. ; Students with disabilities--Education--United States. ; Educational evaluation--Data processing. ; Classroom management. ; EDUCATION / Decision-Making &amp; Problem Solving. ; EDUCATION / Evaluation. ; EDUCATION / Aims &amp; Objectives.</t>
  </si>
  <si>
    <t>Oratio De Cultura Ingeniorum Rede Über Geistige Bildung</t>
  </si>
  <si>
    <t>Stalla, Bernhard Josef;Stalla, Bernhard Josef</t>
  </si>
  <si>
    <t>BV1471 .C664 2017</t>
  </si>
  <si>
    <t>Building the Ivory Tower : Universities and Metropolitan Development in the Twentieth Century</t>
  </si>
  <si>
    <t>Winling, LaDale C.</t>
  </si>
  <si>
    <t>LC238 .W565 2018</t>
  </si>
  <si>
    <t>(Re)designing Narrative Writing Units for Grades 5-12 : (Create a Plan for Teaching Narrative Writing Skills That Increases Student Learning and Literacy)</t>
  </si>
  <si>
    <t>Tuchman Glass, Kathy</t>
  </si>
  <si>
    <t>Narration (Rhetoric)-Study and teaching (Middle school) ; Narration (Rhetoric)-Study and teaching (Secondary)</t>
  </si>
  <si>
    <t>Passport to Change : Designing Academically Sound, Culturally Relevant, Short-Term, Faculty-Led Study Abroad Programs</t>
  </si>
  <si>
    <t>Pasquarelli, Susan Lee;Cole, Robert A.;Tyson, Michael J.</t>
  </si>
  <si>
    <t>LB2376 .P377 2018</t>
  </si>
  <si>
    <t>Foreign study-Administration-Handbooks, manuals, etc. ; International education-Handbooks, manuals, etc.</t>
  </si>
  <si>
    <t>Democrats, Authoritarians and the Bologna Process : Universities in Germany, Russia, England and Wales</t>
  </si>
  <si>
    <t>Marquand, Judith</t>
  </si>
  <si>
    <t>355.0071/14</t>
  </si>
  <si>
    <t>Education, Higher-Europe. ; Bologna process (European higher education)</t>
  </si>
  <si>
    <t>Knowledge strategies : a new connection between strategic thinking and knowledge management capabilities</t>
  </si>
  <si>
    <t>Lee, Rongbin;Moffett, Sandra;Garcia-Perez, Alexeis</t>
  </si>
  <si>
    <t>VINE Journal of Information and Knowledge Management Systems</t>
  </si>
  <si>
    <t>HD58.82 .K569 2017</t>
  </si>
  <si>
    <t>Organizational learning. ; Organizational learning-Congresses. ; Knowledge management. ; Knowledge, Theory of-Congresses.</t>
  </si>
  <si>
    <t>Local Projects in a-Level Geography</t>
  </si>
  <si>
    <t>Pilbeam, Alan</t>
  </si>
  <si>
    <t>G70 .P553 2018</t>
  </si>
  <si>
    <t>Geography-Methodology.</t>
  </si>
  <si>
    <t>20 Secrets to Success for NCAA Student-Athletes Who Won't Go Pro</t>
  </si>
  <si>
    <t>Burton, Rick;Hirshman, Jake;O'Reilly, Norm;Dolich, Andy;Lawrence, Heather;Luck, Oliver;O'Conner, Pat</t>
  </si>
  <si>
    <t>Ohio University Sport Management Series</t>
  </si>
  <si>
    <t>College athletes-Education-United States. ; College athletes-United States-Life skills guides.</t>
  </si>
  <si>
    <t>Rozumově nadaní studenti s poruchou učení : Cesty od školních výkonových paradoxů k úspěchu</t>
  </si>
  <si>
    <t>Masaryk university</t>
  </si>
  <si>
    <t>Šárka Portešová;Ivana Poledňová</t>
  </si>
  <si>
    <t>LC3993.23 .R698 2014</t>
  </si>
  <si>
    <t>Gifted children-Education (Secondary) ; Learning disabled children-Education (Secondary)</t>
  </si>
  <si>
    <t>Jak se učitelé učí : Cestou profesního rozvoje k dialogickému vyučování</t>
  </si>
  <si>
    <t>Klára Šeďová;Roman Švaříček;Martin Sedláček</t>
  </si>
  <si>
    <t>LB1025.3 .J35 2017</t>
  </si>
  <si>
    <t>Teaching. ; Teachers-Training of. ; Effective teaching. ; Communication in education.</t>
  </si>
  <si>
    <t>The Math Handbook for Students with Math Difficulties, Dyscalculia, Dyslexia or ADHD : (Grades 1-7)</t>
  </si>
  <si>
    <t>Universal Publishers</t>
  </si>
  <si>
    <t>Faber, Helmy</t>
  </si>
  <si>
    <t>RJ496.A25 .F334 2017</t>
  </si>
  <si>
    <t>Acalculia in children. ; Dyslexia-Education-Mathematics. ; Attention-deficit-disordered children-Education-Mathematics.</t>
  </si>
  <si>
    <t>Talks on Education, Art, and Philosophy</t>
  </si>
  <si>
    <t>Aysel, Ilker;Caglar, Kaya;Yorulmaz, Ilker</t>
  </si>
  <si>
    <t>LA11 .T355 2018</t>
  </si>
  <si>
    <t>Education-History.</t>
  </si>
  <si>
    <t>La Gouvernance Universitaire : Une Expérience Africaine</t>
  </si>
  <si>
    <t>Sall, Salam</t>
  </si>
  <si>
    <t>Education, Higher-Africa-Administration. ; Universities and colleges-Africa-Administration.</t>
  </si>
  <si>
    <t>The Knowledge Seeker : Embracing Indigenous Spirituality</t>
  </si>
  <si>
    <t>Stonechild, Blair;Starblanket, Noel</t>
  </si>
  <si>
    <t>299.7/8323</t>
  </si>
  <si>
    <t>Cree Indians-Religion. ; Cree Indians-Education. ; Ojibwa Indians-Religion. ; Ojibwa Indians-Education.</t>
  </si>
  <si>
    <t>Understanding Experiences of First Generation University Students : Culturally Responsive and Sustaining Methodologies</t>
  </si>
  <si>
    <t>Bell, Amani;Santamaría, Lorri J.</t>
  </si>
  <si>
    <t>LB2324 .U534 2018</t>
  </si>
  <si>
    <t>College student orientation. ; First-generation college students.</t>
  </si>
  <si>
    <t>Školní vzdělávání ve Francii</t>
  </si>
  <si>
    <t>Šťastný, Vít;Svobodová, Zuzana;Rochex, Jean-Yves</t>
  </si>
  <si>
    <t>LA692 .S737 2017</t>
  </si>
  <si>
    <t>Education-France. ; Education and state-France.</t>
  </si>
  <si>
    <t>Enticing Hard-To-Reach Writers</t>
  </si>
  <si>
    <t>Ayres, Ruth</t>
  </si>
  <si>
    <t>English language-Composition and exercises-Study and teaching-Psychological aspects. ; Composition (Language arts)-Study and teaching-Psychological aspects. ; Creative writing-Therapeutic use. ; Education-Biographical methods. ; Narrative therapy. ; Children with social disabilities-Education.</t>
  </si>
  <si>
    <t>Facilitating Teacher Teams and Authentic PLCs: the Human Side of Leading People, Protocols, and Practices : The Human Side of Leading People, Protocols, and Practices</t>
  </si>
  <si>
    <t>LB1731 .V463 2018</t>
  </si>
  <si>
    <t>Professional learning communities. ; Teaching teams. ; Educational leadership.</t>
  </si>
  <si>
    <t>Design Education : Learning, Teaching and Researching Through Design</t>
  </si>
  <si>
    <t>Lyon, Philippa</t>
  </si>
  <si>
    <t>NK1170 .L966 2016</t>
  </si>
  <si>
    <t>Design-Study and teaching (Higher)</t>
  </si>
  <si>
    <t>Narrowing the Attainment Gap: a Handbook for Schools</t>
  </si>
  <si>
    <t>Sobel, Daniel</t>
  </si>
  <si>
    <t>LC213.2 .S634 2017</t>
  </si>
  <si>
    <t>Educational attainment. ; Educational equalization.</t>
  </si>
  <si>
    <t>Budgets and Financial Management in Higher Education</t>
  </si>
  <si>
    <t>Barr, Margaret J.;McClellan, George S.</t>
  </si>
  <si>
    <t>LB2342 .B377 2018</t>
  </si>
  <si>
    <t>Universities and colleges-United States-Business management</t>
  </si>
  <si>
    <t>Overcoming Student Learning Bottlenecks : Decode the Critical Thinking of Your Discipline</t>
  </si>
  <si>
    <t>Middendorf, Joan;Shopkow, Leah</t>
  </si>
  <si>
    <t>LB2395.35 .M533 2018</t>
  </si>
  <si>
    <t>Critical thinking-Study and teaching</t>
  </si>
  <si>
    <t>Leading Academic Change : Vision, Strategy, Transformation</t>
  </si>
  <si>
    <t>Maimon, Elaine P.</t>
  </si>
  <si>
    <t>LA227.4 .M356 2018</t>
  </si>
  <si>
    <t>Education, Higher-Aims and objectives-United States. ; Educational change-United States.</t>
  </si>
  <si>
    <t>Hitting Pause : 65 Lecture Breaks to Refresh and Reinforce Learning</t>
  </si>
  <si>
    <t>Rice, Gail Taylor</t>
  </si>
  <si>
    <t>LB2393 .R53 2018</t>
  </si>
  <si>
    <t>Youth Media Matters : Participatory Cultures and Literacies in Education</t>
  </si>
  <si>
    <t>Jocson, Korina M.</t>
  </si>
  <si>
    <t>LB1044.87 .J637 2018</t>
  </si>
  <si>
    <t>Internet in education-Social aspects. ; Internet and youth. ; Social media. ; Media literacy. ; Education-Effect of technological innovations on.</t>
  </si>
  <si>
    <t>Teaching politics</t>
  </si>
  <si>
    <t>Godley, Amanda;Thein, Amanda Haertling</t>
  </si>
  <si>
    <t>English Teaching: Practice &amp; Critique</t>
  </si>
  <si>
    <t>LB1775 .T433 2017</t>
  </si>
  <si>
    <t>Teachers-Professional relationships.</t>
  </si>
  <si>
    <t>Living Democracy : Communities as Classrooms, Students as Citizens</t>
  </si>
  <si>
    <t>Fairley, Nan;Wilson, Mark;LaBreck, Mindy</t>
  </si>
  <si>
    <t>LC89 .F357 2017</t>
  </si>
  <si>
    <t>Democracy and education-United States. ; Citizenship-Study and teaching-United States. ; Civics-Study and teaching-United States.</t>
  </si>
  <si>
    <t>Product Training for the Technical Expert : The Art of Developing and Delivering Hands-On Learning</t>
  </si>
  <si>
    <t>Bixby, Daniel W.</t>
  </si>
  <si>
    <t>IEEE Press Series</t>
  </si>
  <si>
    <t>TT165 .B593 2018</t>
  </si>
  <si>
    <t>Product demonstrations</t>
  </si>
  <si>
    <t>Business/Management; Fine Arts</t>
  </si>
  <si>
    <t>Assessing Student Learning : A Common Sense Guide</t>
  </si>
  <si>
    <t>Suskie, Linda</t>
  </si>
  <si>
    <t>College students-Rating of</t>
  </si>
  <si>
    <t>Diagnostik als Beziehungsgestaltung : Beziehungen eingehen, reflektieren und gestalten – Diagnostik in Dialog und Kooperation</t>
  </si>
  <si>
    <t>Römer, Susanne</t>
  </si>
  <si>
    <t>LB1025.3 .D534 2018</t>
  </si>
  <si>
    <t>Teaching-Practice.</t>
  </si>
  <si>
    <t>Bachelor and Master of Disaster – Abschied von einem Universitätsstudium als Ort humaner Bildung</t>
  </si>
  <si>
    <t>Mikelskis, Helmut F.</t>
  </si>
  <si>
    <t>ZeitZeugnis</t>
  </si>
  <si>
    <t>LC178.G3 .M554 2018</t>
  </si>
  <si>
    <t>Bologna process (European higher education)-Germany.</t>
  </si>
  <si>
    <t>Modellierung Experimenteller Kompetenzen Sowie Ihre Diagnostik und Förderung Im Biologieunterricht</t>
  </si>
  <si>
    <t>Logos Verlag Berlin</t>
  </si>
  <si>
    <t>Schmidt, Doris</t>
  </si>
  <si>
    <t>BIOLOGIE Lernen und Lehren Series</t>
  </si>
  <si>
    <t>QH308.2 .S365 2016</t>
  </si>
  <si>
    <t>Biology.</t>
  </si>
  <si>
    <t>Improving the Software Testing Skills of Novices During Onboarding Through Social Transparency</t>
  </si>
  <si>
    <t>Pham, Raphael</t>
  </si>
  <si>
    <t>QC185 .P436 2016</t>
  </si>
  <si>
    <t>Diffusion.</t>
  </si>
  <si>
    <t>Die Kompetenz Von Physiklehrkräften, Schwierigkeiten Von Schülerinnen und Schülern Beim Eigenständigen Experimentieren Zu Diagnostizieren</t>
  </si>
  <si>
    <t>Draude, Martin</t>
  </si>
  <si>
    <t>Studien Zum Physik- und Chemielernen Series</t>
  </si>
  <si>
    <t>LC4704 .D738 2016</t>
  </si>
  <si>
    <t>Schülerschwierigkeiten Beim Eigenständigen Experimentieren : Eine Qualitative Studie Am Beispiel Einer Experimentieraufgabe Zum Hooke'schen Gesetz</t>
  </si>
  <si>
    <t>Kechel, Jan-Henrik</t>
  </si>
  <si>
    <t>LC4704 .K434 2016</t>
  </si>
  <si>
    <t>Entwicklung der Kompetenzerwartung Durch lösen Physikalischer Aufgaben Einer Multimedialen Lernumgebung</t>
  </si>
  <si>
    <t>Schröter, Evelin</t>
  </si>
  <si>
    <t>QA76.76.I59 .S376 2015</t>
  </si>
  <si>
    <t>Interactive multimedia. ; Computer-assisted instruction. ; Media programs (Education) ; Instructional systems-Design.</t>
  </si>
  <si>
    <t>Mindeststandards Im Fach Chemie Am Ende der Pflichtschulzeit</t>
  </si>
  <si>
    <t>Körbs, Caroline</t>
  </si>
  <si>
    <t>QD33 .K73 2015</t>
  </si>
  <si>
    <t>Chemistry.</t>
  </si>
  <si>
    <t>Prototypen Evidenzbasierten Physikunterrichts : Zwei Empirische Studien Zum Einsatz Von Feedback und Blackboxes in der Sekundarstufe</t>
  </si>
  <si>
    <t>Rode, Henning</t>
  </si>
  <si>
    <t>TS171.8 .R634 2016</t>
  </si>
  <si>
    <t>Prototypes, Engineering.</t>
  </si>
  <si>
    <t>Engineering; Engineering: General; Business/Management</t>
  </si>
  <si>
    <t>Transitionen Exemplarisch : Schulanfang, Klassenstufensprung, Schulartwechsel Am Einzelfall</t>
  </si>
  <si>
    <t>Brommer, Jule;Trautmann, Thomas</t>
  </si>
  <si>
    <t>Individuum - Entwicklung - Institution Series</t>
  </si>
  <si>
    <t>LB2350 .T736 2016</t>
  </si>
  <si>
    <t>Articulation (Education)</t>
  </si>
  <si>
    <t>Practicing Dance : A Somatic Orientation</t>
  </si>
  <si>
    <t>Coogan, Jenny</t>
  </si>
  <si>
    <t>GV1589 .P733 2016</t>
  </si>
  <si>
    <t>Dance-Study and teaching. ; Dance. ; Tanzunterricht.-gnd ; Korper.-gnd</t>
  </si>
  <si>
    <t>Remixing the Curriculum : The Teacher's Guide to Technology in the Classroom</t>
  </si>
  <si>
    <t>Keefe, Elizabeth Stringer;Steiner, Adam</t>
  </si>
  <si>
    <t>LB1028.3 .K444 2018</t>
  </si>
  <si>
    <t>Das Berufliche Selbstbild Von Studierenden des Lehramtes</t>
  </si>
  <si>
    <t>Boltz, Sandra</t>
  </si>
  <si>
    <t>LB1555 .B658 2011</t>
  </si>
  <si>
    <t>Teaching-Professional relationships-Germany. ; Teaching.</t>
  </si>
  <si>
    <t>Zum Ingenieur Geboren? : Einflüsse Auf Die Berufswahl Von Ingenieurinnen und Naturwissenschaftlerinnen</t>
  </si>
  <si>
    <t>Jungkunz, Bettina</t>
  </si>
  <si>
    <t>TA157 .J864 2012</t>
  </si>
  <si>
    <t>Women engineers.</t>
  </si>
  <si>
    <t>Engineering: Civil; Engineering; Social Science</t>
  </si>
  <si>
    <t>Diagnostische Pädagogik Als Grundlage Für Die (innere) Differenzierung Zwischen Lernbehinderung und Hochbegabung</t>
  </si>
  <si>
    <t>Wolfer, Markus</t>
  </si>
  <si>
    <t>LC4818 .W654 2010</t>
  </si>
  <si>
    <t>Learning disabled.</t>
  </si>
  <si>
    <t>Migration und Interkulturelle Erziehung und Bildung in Griechenland</t>
  </si>
  <si>
    <t>Katsimardos, Vassilios</t>
  </si>
  <si>
    <t>LC1099 .K387 2010</t>
  </si>
  <si>
    <t>Multicultural education-Greece. ; Children of immigrants-Education-Greece. ; Children of immigrants-Greece-Social conditions.</t>
  </si>
  <si>
    <t>Analyse Von Blickbewegungen Von Schülern Beim Lesen Von Physikbezogenen Texten Mit Bildern : Eye Tracking Als Methodenwerkzeug in der Physikdidaktischen Forschung</t>
  </si>
  <si>
    <t>Hofmann, Birgit</t>
  </si>
  <si>
    <t>QC33 .H646 2011</t>
  </si>
  <si>
    <t>Physics-Experiments.</t>
  </si>
  <si>
    <t>Hypertext-Lesekompetenz Von Viertklässlern</t>
  </si>
  <si>
    <t>Kraska, Lena Maria</t>
  </si>
  <si>
    <t>LB1050.2 .K737 2010</t>
  </si>
  <si>
    <t>Reading-Social aspects.</t>
  </si>
  <si>
    <t>Physik Physiologisch Passend Praktiziert : Eine Studie Zur Lernwirksamkeit Von Traditionellen und Adressatenspezifischen Physikpraktika Für Die Physiologie</t>
  </si>
  <si>
    <t>Plomer, Michael</t>
  </si>
  <si>
    <t>QP34 .P566 2011</t>
  </si>
  <si>
    <t>Physiology.</t>
  </si>
  <si>
    <t>Experimentierspezifische Qualitätsmerkmale Im Chemieunterricht : Eine Videostudie</t>
  </si>
  <si>
    <t>Schulz, Alexandra</t>
  </si>
  <si>
    <t>TS156.6 .S385 2010</t>
  </si>
  <si>
    <t>Quality assurance.</t>
  </si>
  <si>
    <t>Reading with Writing in Mind : A Guide for Middle and High School Educators</t>
  </si>
  <si>
    <t>Charron, Nancy;Fenton, Marilyn;Harris, Margaret</t>
  </si>
  <si>
    <t>LB1631 .C437 2018</t>
  </si>
  <si>
    <t>La Chartreuse de Parme de Stendhal (Analyse de L'oeuvre) : Analyse Complète et Résumé détaillé de L'oeuvre</t>
  </si>
  <si>
    <t>lePetitLitteraire;Perrel, Cécile;Lhoste, Lucile</t>
  </si>
  <si>
    <t>Einfluss Ausgewählter Instruktionaler Maßnahmen Auf Struktur und Niveau Zellbiologischen Wissens</t>
  </si>
  <si>
    <t>Großschedl, Jörg</t>
  </si>
  <si>
    <t>QH583.15 .G767 2010</t>
  </si>
  <si>
    <t>Cytology.</t>
  </si>
  <si>
    <t>Zum Verständnis des löslichkeitskonzeptes Im Chemieunterricht -- der Effekt Von Methoden Progressiver und Kollaborativer Reflexion --</t>
  </si>
  <si>
    <t>Grüß-Niehaus, Thomas</t>
  </si>
  <si>
    <t>QA76.76.E95 .G77 2010</t>
  </si>
  <si>
    <t>Knowledge acquisition.</t>
  </si>
  <si>
    <t>Quantenoptische Experimente Als Grundlage Eines Curriculums Zur Quantenphysik des Photons</t>
  </si>
  <si>
    <t>Bronner, Patrick</t>
  </si>
  <si>
    <t>QC446.2 .B766 2010</t>
  </si>
  <si>
    <t>Quantum optics.</t>
  </si>
  <si>
    <t>Kontexteinflüsse Beim Lernen Mit Lösungsbeispielen</t>
  </si>
  <si>
    <t>Kölbach, Eva</t>
  </si>
  <si>
    <t>LB1060 .K653 2011</t>
  </si>
  <si>
    <t>Learning-Congresses.</t>
  </si>
  <si>
    <t>Newton'sche Mechanik Im Anfangsunterricht : Die Wirksamkeit Einer Einführung über Die Zweidimensionale Dynamik Auf das Lehren und Lernen</t>
  </si>
  <si>
    <t>Tobias, Verena</t>
  </si>
  <si>
    <t>QA805 .T635 2010</t>
  </si>
  <si>
    <t>Mechanics.</t>
  </si>
  <si>
    <t>Mathematics; Science; Science: Physics</t>
  </si>
  <si>
    <t>Das Fachdidaktische Wissen Von Biologielehrkräften: Konzeptionalisierung, Diagnostik, Struktur und Entwicklung Im Rahmen der Biologielehrerbildung : Konzeptionalisierung, Diagnostik, Struktur und Entwicklung Im Rahmen der Biologielehrerbildung</t>
  </si>
  <si>
    <t>Schmelzing, Stephan</t>
  </si>
  <si>
    <t>QH308.2 .S364 2010</t>
  </si>
  <si>
    <t>Biology-Textbooks.</t>
  </si>
  <si>
    <t>Prozessorientierte Leistungsmessung des Naturwissenschaftlich-Experimentellen Arbeitens : Eine Vergleichende Studie Zu Diagnoseinstrumenten Zu Beginn der Sekundarstufe I</t>
  </si>
  <si>
    <t>Emden, Markus</t>
  </si>
  <si>
    <t>LB1585 .E434 2011</t>
  </si>
  <si>
    <t>Messung Von Experimentierfähigkeiten : Validierungsstudien Zur Qualität Eines Computerbasierten Testverfahrens</t>
  </si>
  <si>
    <t>Dickmann, Martin</t>
  </si>
  <si>
    <t>BF431 .D535 2016</t>
  </si>
  <si>
    <t>Ability-Testing.</t>
  </si>
  <si>
    <t>University Excellence and Efficiency</t>
  </si>
  <si>
    <t>Klumpp, Matthias</t>
  </si>
  <si>
    <t>Dienstleistungsmanagement in Theorie und Praxis Series</t>
  </si>
  <si>
    <t>LB2331.62 .K593 2012</t>
  </si>
  <si>
    <t>Education, Higher-Evaluation. ; Universities and colleges-Evaluation. ; Quality assurance. ; Education, Higher-Economic aspects.</t>
  </si>
  <si>
    <t>Entwicklung und Prüfung Eines Modells Zur Beschreibung der Bewertungskompetenz Im Chemieunterricht</t>
  </si>
  <si>
    <t>Hostenbach, Julia</t>
  </si>
  <si>
    <t>AZ191 .H678 2011</t>
  </si>
  <si>
    <t>Evaluation. ; Evaluation and assessment.</t>
  </si>
  <si>
    <t>Schulische und Außerschulische Musikerziehung in Nordrhein-Westfalen : Ein Quantitativer und Qualitativer Vergleich</t>
  </si>
  <si>
    <t>Starzinger, Hans Dieter</t>
  </si>
  <si>
    <t>MT1 .S737 2012</t>
  </si>
  <si>
    <t>Die Unterstützung der Sozialen Kompetenzentwicklung Von Schülerinnen und Schülern Mit Geistiger Behinderung Im Kontext Erlebnispädagogischer Lernarrangements</t>
  </si>
  <si>
    <t>Kinne, Tanja</t>
  </si>
  <si>
    <t>HM691 .K566 2011</t>
  </si>
  <si>
    <t>Social skills.</t>
  </si>
  <si>
    <t>Lernen Ist Intensives Leben : Umrisse Einer Bildung, Die Von Den Menschen Ausgeht und Für ein Dasein Befähigt, das Zukunft Hat</t>
  </si>
  <si>
    <t>Aurer, Hans Raimund</t>
  </si>
  <si>
    <t>BF311 .A974 2011</t>
  </si>
  <si>
    <t>Metacognition. ; Teaching-Psychology.</t>
  </si>
  <si>
    <t>Analyse der Fachinhaltlichen Qualität Von Schüleräußerungen und Deren Einfluss Auf Den Lernerfolg : Eine Videostudie Zu Kooperativer Kleingruppenarbeit</t>
  </si>
  <si>
    <t>Knobloch, Rebecca</t>
  </si>
  <si>
    <t>LB1067 .K563 2011</t>
  </si>
  <si>
    <t>Concept learning.</t>
  </si>
  <si>
    <t>Förderung Von Verstehensprozessen Unter Einsatz Von Modellen</t>
  </si>
  <si>
    <t>Böhm, Ulrike</t>
  </si>
  <si>
    <t>LB1585 .S354 2011</t>
  </si>
  <si>
    <t>Ausbildungswege und Komponenten Professioneller Handlungskompetenz : Vergleich Von Quereinsteigern Mit Lehramtsabsolventen Für Gymnasien Im Fach Physik</t>
  </si>
  <si>
    <t>Lamprecht, Jan</t>
  </si>
  <si>
    <t>LB1707 .L367 2011</t>
  </si>
  <si>
    <t>Teachers-Training of.</t>
  </si>
  <si>
    <t>Entwicklung Physikalischer Konzepte in Aufgabenbasierten Lernumgebungen</t>
  </si>
  <si>
    <t>Rogge, Christian</t>
  </si>
  <si>
    <t>QC23 .R644 2010</t>
  </si>
  <si>
    <t>Physics.</t>
  </si>
  <si>
    <t>Auswirkungen Instruktionaler Hilfen Bei der Einführung Des (Ferro-)Magnetismus : Eine Vergleichsstudie in der Primar- und Sekundarstufe</t>
  </si>
  <si>
    <t>Rachel, Alexander</t>
  </si>
  <si>
    <t>QC753.2 .R334 2013</t>
  </si>
  <si>
    <t>Magnetism-Textbooks. ; Magnetism-Study and teaching.</t>
  </si>
  <si>
    <t>Entwicklung und Evaluation Eines Testinstruments Zur Erfassung des Fachspezifischen Professionswissens Von Chemielehrkräften</t>
  </si>
  <si>
    <t>Dollny, Sabrina</t>
  </si>
  <si>
    <t>QD33 .D655 2011</t>
  </si>
  <si>
    <t>Chemistry. ; Chemistry teachers.</t>
  </si>
  <si>
    <t>Internetbasiertes Lernen Durch Textproduktion Im Fach Physik</t>
  </si>
  <si>
    <t>Ploog, Maria</t>
  </si>
  <si>
    <t>TK5105.875.I57 .P566 2011</t>
  </si>
  <si>
    <t>Internet. ; Internet-Congresses.</t>
  </si>
  <si>
    <t>P and P-Rollenspiel : Der Kollektive Zugang Zu Utopischen Weltentwürfen und Individuellen Phantasiekonstrukten</t>
  </si>
  <si>
    <t>Pappe, Gero</t>
  </si>
  <si>
    <t>BF717 .P377 2011</t>
  </si>
  <si>
    <t>Role playing in children.</t>
  </si>
  <si>
    <t>Das Trügerische Am Berufsbild Des Übersetzers</t>
  </si>
  <si>
    <t>Ahmann, Heiko</t>
  </si>
  <si>
    <t>P306 .A363 2012</t>
  </si>
  <si>
    <t>Translating and interpreting-History. ; Translating and interpreting-Study and teaching-Case studies.</t>
  </si>
  <si>
    <t>Naturwissenschaftliches Experimentieren Im Elementarbereich : Evaluation Verschiedener Lernsituationen</t>
  </si>
  <si>
    <t>Windt, Anna</t>
  </si>
  <si>
    <t>LB1585 .W563 2011</t>
  </si>
  <si>
    <t>Science-Study and teaching. ; Science-Study and teaching-Evaluation.</t>
  </si>
  <si>
    <t>Einfluss des Lerninhalts Nanogrößeneffekte Auf Teilchen- und Teilchenmodellvorstellungenvon Schülerinnen und Schülern</t>
  </si>
  <si>
    <t>Ritter, Sebastian</t>
  </si>
  <si>
    <t>T174.7 .R588 2013</t>
  </si>
  <si>
    <t>Nanotechnology.</t>
  </si>
  <si>
    <t>Vocabulary in a SNAP : 100+ Lessons for Secondary Instruction (Teaching Vocabulary to Middle and High School Students with Quick and Easy Vocabulary Exercises)</t>
  </si>
  <si>
    <t>LB1631 .P447 2018</t>
  </si>
  <si>
    <t>Vocabulary-Study and teaching (Secondary)</t>
  </si>
  <si>
    <t>Teach Yourself How to Learn : Strategies You Can Use to Ace Any Course at Any Level</t>
  </si>
  <si>
    <t>McGuire, Saundra Yancy</t>
  </si>
  <si>
    <t>LB1060.M385 2018</t>
  </si>
  <si>
    <t>Entwicklung Physikalischer Kompetenz in der Sekundarstufe I : Validierung Eines Kompetenzentwicklungsmodells Für das Energiekonzept Im Bereich Fachwissen</t>
  </si>
  <si>
    <t>Viering, Tobias</t>
  </si>
  <si>
    <t>LB1607 .V547 2012</t>
  </si>
  <si>
    <t>Objektive und Subjektive Elemente der Fremd- und Selbstwahrnehmung : Entwicklung Interkultureller Lernangebote und Deren Evaluation Mittels Impliziter und Expliziter Maße</t>
  </si>
  <si>
    <t>Schrangl, Gerhard</t>
  </si>
  <si>
    <t>BF323.S63 .S373 2012</t>
  </si>
  <si>
    <t>Social perception.</t>
  </si>
  <si>
    <t>Zum Einfluss Von Studieneingangsvoraussetzungen Auf Den Studienerfolg Erstsemesterstudierender Im Fach Chemie</t>
  </si>
  <si>
    <t>Freyer, Katja</t>
  </si>
  <si>
    <t>QD40 .F749 2013</t>
  </si>
  <si>
    <t>Chemistry-Study and teaching.</t>
  </si>
  <si>
    <t>Mathematisches Denken Im Physikunterricht : Theorieentwicklung und Problemanalyse</t>
  </si>
  <si>
    <t>Uhden, Olaf</t>
  </si>
  <si>
    <t>QA11 .U334 2012</t>
  </si>
  <si>
    <t>Mathematics-Study and teaching.</t>
  </si>
  <si>
    <t>Physiklernen Mit Sensoren : Auswirkungen Authentischer Anwendungskontexte und Dual Codierter Übungsaufgaben Auf das Lernen Im Physikunterricht</t>
  </si>
  <si>
    <t>Watzka, Bianca</t>
  </si>
  <si>
    <t>QC23 .W389 2013</t>
  </si>
  <si>
    <t>Spielend Lernen. Didaktisches Design Digitaler Lernspiele Zwischen Spielmotivation und Cognitive Load</t>
  </si>
  <si>
    <t>Hawlitschek, Anja</t>
  </si>
  <si>
    <t>Wissensprozesse und Digitale Medien Series</t>
  </si>
  <si>
    <t>GV1469.27 .H395 2013</t>
  </si>
  <si>
    <t>Inzidentelles Lernen : Wie Wir Beiläufig Wissen Erwerben</t>
  </si>
  <si>
    <t>Röhr-Sendlmeier, Una M.</t>
  </si>
  <si>
    <t>Lebenslang Lernen Series</t>
  </si>
  <si>
    <t>LC45.3 .I595 2012</t>
  </si>
  <si>
    <t>Non-formal education.</t>
  </si>
  <si>
    <t>Lernen Mit ExploMultimedial in Kolumbianischen Schulen : Analyse Von Kurzzeitigen Lernprozessen und der Motivation Beim länderübergreifenden Einsatz Einer Deutschen Computergestützten Multimedialen Lernumgebung Für Den Naturwissenschaftlichen Unterricht</t>
  </si>
  <si>
    <t>Rueda, Antonio</t>
  </si>
  <si>
    <t>LB1028.5 .R843 2012</t>
  </si>
  <si>
    <t>Experimente Alternativ Dokumentieren : Eine Qualitative Studie Zur Förderung der Diagnose- und Differenzierungskompetenz in der Chemielehrerbildung</t>
  </si>
  <si>
    <t>Groß, Katharina</t>
  </si>
  <si>
    <t>LB1707 .G767 2013</t>
  </si>
  <si>
    <t>Zum Einfluss der Fachsprache Auf Die Leistung Im Fach Chemie. eine Förderstudie Zur Fachsprache Im Chemieunterricht</t>
  </si>
  <si>
    <t>Özcan, Nermin</t>
  </si>
  <si>
    <t>QD33 .Ö933 2013</t>
  </si>
  <si>
    <t>Diagnostik Experimenteller Kompetenz : Validierung Technologiegestützter Testverfahren Im Rahmen Eines Kompetenzstrukturmodells</t>
  </si>
  <si>
    <t>Schreiber, Nico</t>
  </si>
  <si>
    <t>QA76.9.C65 .S374 2012</t>
  </si>
  <si>
    <t>Computer simulation.</t>
  </si>
  <si>
    <t>Problemorientierung und Vernetzung in Kontextbasierten Lernaufgaben</t>
  </si>
  <si>
    <t>Harbach, Andrea</t>
  </si>
  <si>
    <t>LB1060 .H373 2013</t>
  </si>
  <si>
    <t>Learning ability-Handbooks, manuals, etc.</t>
  </si>
  <si>
    <t>Epistemische Überzeugungen Von Schülerinnen und Schülern - Entwicklung Eines Erfassungsinstrumentes Für Die Jahrgangsstufen 3 Bis 6</t>
  </si>
  <si>
    <t>Anschütz, Andrea</t>
  </si>
  <si>
    <t>BD222 .A573 2012</t>
  </si>
  <si>
    <t>Subjectivity.</t>
  </si>
  <si>
    <t>Didaktik des Religiösen Im Ethikunterricht : Religionsphilosophische Grundlegung und Fachdidaktische Perspektiven</t>
  </si>
  <si>
    <t>Reuter, Michael</t>
  </si>
  <si>
    <t>Religionspädagogik Im Kontext Series</t>
  </si>
  <si>
    <t>BJ1188 .R488 2014</t>
  </si>
  <si>
    <t>Religious ethics.</t>
  </si>
  <si>
    <t>Philosophy; Religion</t>
  </si>
  <si>
    <t>Bewertungskompetenz Im Rahmen Naturwissenschaftlicher Problemlöseprozesse : Modellierung und Diagnose der Kompetenzen Bewertung und Analytisches Problemlösen Für das Fach Chemie</t>
  </si>
  <si>
    <t>Heitmann, Patricia</t>
  </si>
  <si>
    <t>QD40 .H458 2012</t>
  </si>
  <si>
    <t>Entwicklung und Validierung Eines Testinstrumentes Zur Erfassung der Kommunikationskompetenz Im Fach Chemie</t>
  </si>
  <si>
    <t>Kobow, Iwen</t>
  </si>
  <si>
    <t>QD8 .K636 2015</t>
  </si>
  <si>
    <t>Communication in chemistry. ; Chemistry-Public relations.</t>
  </si>
  <si>
    <t>Multiple Repräsentationen, Verständnis Physikalischer Experimente und Kognitive Aktivierung : Ein Beitrag Zur Entwicklung der Aufgabenkultur</t>
  </si>
  <si>
    <t>Scheid, Jochen</t>
  </si>
  <si>
    <t>LB1062 .S345 2013</t>
  </si>
  <si>
    <t>Konzeptwandelprozesse Im Anfangsunterricht Chemie : Eine Quasiexperimentelle Längsschnittstudie</t>
  </si>
  <si>
    <t>Hank, Barbara</t>
  </si>
  <si>
    <t>BF76.6.L65 .H365 2013</t>
  </si>
  <si>
    <t>Longitudinal method.</t>
  </si>
  <si>
    <t>General Works/Reference; Psychology</t>
  </si>
  <si>
    <t>Abituraufgaben Im Fach Biologie : Schwierigkeitsbestimmende Merkmale Schriftlicher Prüfungsaufgaben</t>
  </si>
  <si>
    <t>Florian, Christine</t>
  </si>
  <si>
    <t>QH310 .F567 2012</t>
  </si>
  <si>
    <t>Biology-Handbooks, manuals, etc.</t>
  </si>
  <si>
    <t>Die Wahrnehmung Von Schülerlaboren und Schülerforschungszentren</t>
  </si>
  <si>
    <t>Plasa, Tim</t>
  </si>
  <si>
    <t>Q183 .P537 2013</t>
  </si>
  <si>
    <t>Laboratories.</t>
  </si>
  <si>
    <t>Kontextmerkmale und Ihr Einfluss Auf das Schülerinteresse Im Fach Chemie</t>
  </si>
  <si>
    <t>Vorst, Helena van</t>
  </si>
  <si>
    <t>QD40 .V67 2013</t>
  </si>
  <si>
    <t>Computerbasierte Testung der Rechtschreibleistung in Klasse Fünf - eine Empirische Studie Zu Mode-Effekten Im Kontext des Nationalen Bildungspanels</t>
  </si>
  <si>
    <t>Frahm, Sarah</t>
  </si>
  <si>
    <t>LB1028.5 .F734 2012</t>
  </si>
  <si>
    <t>Einblicke in Kollaborative Lernprozesse : Eine Fallstudie Zur Reflektierenden Zusammenarbeit Unterstützt Durch Die Methoden Concept Mapping und Lernbegleitbogen</t>
  </si>
  <si>
    <t>Hundertmark, Sarah</t>
  </si>
  <si>
    <t>LB1134 .H863 2012</t>
  </si>
  <si>
    <t>Learning ability.</t>
  </si>
  <si>
    <t>Lehrerfortbildung Zu Basismodellen und Zusammenhänge Zum Fachwissen</t>
  </si>
  <si>
    <t>Zander, Simon</t>
  </si>
  <si>
    <t>LB1707 .Z363 2016</t>
  </si>
  <si>
    <t>Modellierung und Messung Experimenteller Kompetenz : Analyse Eines Large-Scale Experimentiertests</t>
  </si>
  <si>
    <t>Gut-Glanzmann, Christoph</t>
  </si>
  <si>
    <t>Q181 .G88 2012</t>
  </si>
  <si>
    <t>Untersuchung des Einflusses Unterschiedlicher Physikalischer Konzepte Auf Den Wissenserwerb in der Thermodynamik der Sekundarstufe I</t>
  </si>
  <si>
    <t>Crossley, Antony</t>
  </si>
  <si>
    <t>TJ265 .C767 2012</t>
  </si>
  <si>
    <t>Thermodynamics.</t>
  </si>
  <si>
    <t>Engineering: Mechanical; Engineering; Science: Physics; Science</t>
  </si>
  <si>
    <t>Aus Fehlern Wird Man Klug : Eine Genetisch-Didaktische Rekonstruktion des Messfehlers</t>
  </si>
  <si>
    <t>Heinicke, Susanne</t>
  </si>
  <si>
    <t>T50 .H456 2012</t>
  </si>
  <si>
    <t>Measurement-Data processing.</t>
  </si>
  <si>
    <t>Social Science; Engineering: General; Engineering; Economics</t>
  </si>
  <si>
    <t>Standards-Based Learning in Action : Moving from Theory to Practice (a Guide to Implementing Standards-Based Grading, Instruction, and Learning)</t>
  </si>
  <si>
    <t>Schimmer, Tom;Hillman, Garnet;Stalets, Mandy</t>
  </si>
  <si>
    <t>Education-Standards.</t>
  </si>
  <si>
    <t>Amplify Your Impact : Coaching Collaborative Teams in PLCs (Instructional Leadership Development and Coaching Methods for Collaborative Learning)</t>
  </si>
  <si>
    <t>Many, Thomas W.;Maffoni, Michael J.;Sparks, Susan K.;Thomas, Tesha Ferriby</t>
  </si>
  <si>
    <t>Educating Doctors : Crisis in Medical Education, Research and Practice</t>
  </si>
  <si>
    <t>Wolf, Stewart</t>
  </si>
  <si>
    <t>RA418.3.U6 .W654 2017</t>
  </si>
  <si>
    <t>362.1/0973</t>
  </si>
  <si>
    <t>Holistic medicine</t>
  </si>
  <si>
    <t>A Guide to How Your Child Learns : Understanding the Brain from Infancy to Young Adulthood</t>
  </si>
  <si>
    <t>Sortino, David P.</t>
  </si>
  <si>
    <t>Brain Smart Series</t>
  </si>
  <si>
    <t>LB1057 .S64 2017</t>
  </si>
  <si>
    <t>Teaching the Literature Survey Course : New Strategies for College Faculty</t>
  </si>
  <si>
    <t>Lang, James M.;Dujardin, Gwynn;Staunton, John A.</t>
  </si>
  <si>
    <t>PN59</t>
  </si>
  <si>
    <t>Learning and Diversity in the Cities of the Future</t>
  </si>
  <si>
    <t>Buchem, Ilona</t>
  </si>
  <si>
    <t>LB1027.23 .B83 2014</t>
  </si>
  <si>
    <t>Experiential learning.</t>
  </si>
  <si>
    <t>Schule Im Kontext Sprachlicher und Soziokultureller Pluralität : Perspektiven Von Schülerinnen</t>
  </si>
  <si>
    <t>Gerber, Eva</t>
  </si>
  <si>
    <t>Berliner Arbeiten Zur Erziehungs- und Kulturwissenschaft Series</t>
  </si>
  <si>
    <t>LC1099 .G473 2014</t>
  </si>
  <si>
    <t>Entwicklung und Evaluation Von Experimentunterstützten lösungsbeispielen Zur Förderung Naturwissenschaftlich-Experimenteller Arbeitsweisen</t>
  </si>
  <si>
    <t>Koenen, Jenna</t>
  </si>
  <si>
    <t>Q182.3 .K646 2014</t>
  </si>
  <si>
    <t>Science-Experiments-Methodology.</t>
  </si>
  <si>
    <t>Mehrebenenregressionsanalysen Zum Physiklernen Im Sachunterricht der Primarstufe : Ergebnisse Einer Evaluationsstudie</t>
  </si>
  <si>
    <t>Altenburger, Pia</t>
  </si>
  <si>
    <t>QC30 .A484 2014</t>
  </si>
  <si>
    <t>Physics-Study and teaching (Primary)</t>
  </si>
  <si>
    <t>Der Einfluss der Didaktischen Lernumgebung Auf das Erreichen Geforderter Bildungsziele Am Beispiel der W- und P-Seminare Im Fach Physik</t>
  </si>
  <si>
    <t>Stolzenberger, Christoph</t>
  </si>
  <si>
    <t>QC30 .S765 2014</t>
  </si>
  <si>
    <t>Physics-Study and teaching.</t>
  </si>
  <si>
    <t>Entwicklung und Validierung Eines Testinstruments Zur Erfassung Von Kompetenzentwicklung Im Fach Chemie in der Sekundarstufe I</t>
  </si>
  <si>
    <t>Ferber, Nora</t>
  </si>
  <si>
    <t>QD40 .F473 2014</t>
  </si>
  <si>
    <t>Chemistry-Study and teaching (Secondary)</t>
  </si>
  <si>
    <t>Validierung Eines Instruments Zur Erfassung der Professionellen Handlungskompetenz Von (angehenden) Physiklehrkräften : Zusammenhangsanalysen Zwischen Lehrerkompetenz und Lehrerperformanz</t>
  </si>
  <si>
    <t>Vogelsang, Christoph</t>
  </si>
  <si>
    <t>LB1707 .V644 2014</t>
  </si>
  <si>
    <t>Selbstregulationsprozesse und Hausaufgabenmotivation Im Chemieunterricht</t>
  </si>
  <si>
    <t>Stief, Katja</t>
  </si>
  <si>
    <t>QD40 .S754 2014</t>
  </si>
  <si>
    <t>Gestaltung Kognitiver Unterstützungsangebote in Multimedialen Lernumgebungen : Entwicklung Einer Gebrauchstauglichen Benutzerschnittstelle und Empirische Evaluation der Nutzung</t>
  </si>
  <si>
    <t>Ruf, Tatjana</t>
  </si>
  <si>
    <t>LB1062 .R84 2013</t>
  </si>
  <si>
    <t>Cognitive learning. ; Cognitive learning-Psychological aspects.</t>
  </si>
  <si>
    <t>Interaktive Tafeln Im Physikunterricht : Entwicklung und Evaluation Einer Lehrerfortbildung</t>
  </si>
  <si>
    <t>Obst, David</t>
  </si>
  <si>
    <t>LB1044.88 .O278 2013</t>
  </si>
  <si>
    <t>Interactive whiteboards.</t>
  </si>
  <si>
    <t>Lernen Mit Biologischen Beispielaufgaben : Individuell und in Dyaden</t>
  </si>
  <si>
    <t>Burmeister, Christina</t>
  </si>
  <si>
    <t>QH315 .B876 2014</t>
  </si>
  <si>
    <t>Biology-Study and teaching.</t>
  </si>
  <si>
    <t>Modellierung und Analyse des Professionswissens Von Physiklehrkräften</t>
  </si>
  <si>
    <t>Kirschner, Sophie</t>
  </si>
  <si>
    <t>BF378.E94 .K577 2013</t>
  </si>
  <si>
    <t>Expertise. ; Physics teachers.</t>
  </si>
  <si>
    <t>Auswirkungen Auf Den Fachwissenszuwachs und Auf Affektive Schülermerkmale Durch Schüler- und Demonstrationsexperimente Im Physikunterricht</t>
  </si>
  <si>
    <t>Winkelmann, Jan</t>
  </si>
  <si>
    <t>QC30 .W565 2015</t>
  </si>
  <si>
    <t>Physics-Study and teaching. ; Science-Study and teaching.</t>
  </si>
  <si>
    <t>Das Betriebspraktikum in der Lehrerbildung : Eine Untersuchung Zur Förderung der Wissenschafts- und Technikbildung Im Allgemeinbildenden Unterricht</t>
  </si>
  <si>
    <t>Lein, Sandra</t>
  </si>
  <si>
    <t>LB1707 .L456 2014</t>
  </si>
  <si>
    <t>Selbstreguliertes Lernen in der Studieneingangsphase Im Fach Chemie</t>
  </si>
  <si>
    <t>Brebeck, Ingo</t>
  </si>
  <si>
    <t>HD58.8 .B743 2014</t>
  </si>
  <si>
    <t>Self-managed learning.</t>
  </si>
  <si>
    <t>Chancen Für Bildungskarrieren: Flüchtlingskinder in Deutschland : Kritische Analyse Am Fallbeispiel Berlin</t>
  </si>
  <si>
    <t>John, Daphne</t>
  </si>
  <si>
    <t>LC3715 .J646 2014</t>
  </si>
  <si>
    <t>Immigrant children-Education-Germany-Berlin. ; Immigrants-Cultural assimilation-Germany-Berlin.</t>
  </si>
  <si>
    <t>Experimentieren Im Physikunterricht der Gymnasialen Oberstufe -- eine Rekonstruktion übergeordneter Einbettungsstrategien --</t>
  </si>
  <si>
    <t>Barth, Johannes Maximilian</t>
  </si>
  <si>
    <t>QC30 .B378 2014</t>
  </si>
  <si>
    <t>Das Aufkommen Alternativer Bestattungsformen Als Ausdruck Transkultureller Lebenswelten</t>
  </si>
  <si>
    <t>Straub, Isa</t>
  </si>
  <si>
    <t>GT3150 .S773 2014</t>
  </si>
  <si>
    <t>Burial-History.</t>
  </si>
  <si>
    <t>Ergotherapeutische Kompetenzen Entwickeln : Deskription Eines Ergotherapeutischen Kompetenzprofils Zur Grundlegung Einer Fachdidaktik Ergotherapie</t>
  </si>
  <si>
    <t>Heyden, Renate von der</t>
  </si>
  <si>
    <t>RM735.4 .H493 2014</t>
  </si>
  <si>
    <t>Occupational therapy-Practice.</t>
  </si>
  <si>
    <t>Fachliches Wissen Physik in der Hochschulausbildung : Konzeptualisierung, Messung, Niveaubildung</t>
  </si>
  <si>
    <t>Woitkowski, David</t>
  </si>
  <si>
    <t>QC30 .W658 2015</t>
  </si>
  <si>
    <t>Physics-Study and teaching (Higher)</t>
  </si>
  <si>
    <t>Professionswissen Von Sachunterrichtslehrkräften : Zusammenhangsanalyse Zur Wirkung Von Ausbildungshintergrund und Unterrichtserfahrung Auf das Fachspezifische Professionswissen Im Unterrichtsinhalt Verbrennung</t>
  </si>
  <si>
    <t>Schmidt, Maike</t>
  </si>
  <si>
    <t>LB1707 .S365 2015</t>
  </si>
  <si>
    <t>Teachers-Training of. ; Teachers-In-service training. ; Professional education.</t>
  </si>
  <si>
    <t>Education Write Now</t>
  </si>
  <si>
    <t>Mazza, Joe;Zoul, Jeff</t>
  </si>
  <si>
    <t>LA217.2 .E383 2018</t>
  </si>
  <si>
    <t>Educational change-United States. ; Educational leadership-United States. ; School environment-United States. ; School improvement programs-United States.</t>
  </si>
  <si>
    <t>How Social Science Can Help Us Make Better Choices : Optimal Rationality in Action</t>
  </si>
  <si>
    <t>Emerald Points Series</t>
  </si>
  <si>
    <t>HM831-901</t>
  </si>
  <si>
    <t>Rationality; Rational Choice; Optimal Rationality; Social Science; Research Impact; Sustainability; Financial Crisis; Scenes; Education. ; .</t>
  </si>
  <si>
    <t>The Ultimate Guide to Differentiation : Achieving Excellence for All</t>
  </si>
  <si>
    <t>LB1031 .C695 2018</t>
  </si>
  <si>
    <t>Individualized instruction-Great Britain. ; Classroom management-Great Britain. ; Primary school teachers-Great Britain.</t>
  </si>
  <si>
    <t>School Readiness and the Characteristics of Effective Learning : The Essential Guide for Early Years Practitioners</t>
  </si>
  <si>
    <t>Grimmer, Tamsin</t>
  </si>
  <si>
    <t>LB41 .G756 2018</t>
  </si>
  <si>
    <t>Doing Poorly on Purpose : Strategies to Reverse Underachievement and Respect Student Dignity</t>
  </si>
  <si>
    <t>Delisle, James R.</t>
  </si>
  <si>
    <t>LC4661 .D45 2018</t>
  </si>
  <si>
    <t>371.2/85</t>
  </si>
  <si>
    <t>Underachievers-Education. ; Academic achievement. ; Motivation in education.</t>
  </si>
  <si>
    <t>Disrupting Poverty : Five Powerful Classroom Practices</t>
  </si>
  <si>
    <t>Budge, Kathleen;Parrett, William H.</t>
  </si>
  <si>
    <t>LC4091 .B834 2018</t>
  </si>
  <si>
    <t>Children with social disabilities-Education-United States. ; Poor children-Education-United States.</t>
  </si>
  <si>
    <t>Leading Change Together : Developing Educator Capacity Within Schools and Systems</t>
  </si>
  <si>
    <t>Drago-Severson, Eleanor;Blum-DeStefano, Jessica</t>
  </si>
  <si>
    <t>LB2805 .D695 2018</t>
  </si>
  <si>
    <t>Educational leadership. ; School improvement programs. ; Educational change. ; Adulthood-Education.</t>
  </si>
  <si>
    <t>It's Time to Complete Community College : Student Outcome Studies Show What It Takes to Succeed</t>
  </si>
  <si>
    <t>deBoef, S.</t>
  </si>
  <si>
    <t>LB2328 .D436 2018</t>
  </si>
  <si>
    <t>Academic achievement-United States</t>
  </si>
  <si>
    <t>Technology and Engagement : Making Technology Work for First Generation College Students</t>
  </si>
  <si>
    <t>Rowan-Kenyon, Heather T.;Martínez Alemán, Ana M.;Savitz-Romer, Mandy</t>
  </si>
  <si>
    <t>LC4069</t>
  </si>
  <si>
    <t>Professors As Academic Leaders : Expectations, Enacted Professionalism and Evolving Roles</t>
  </si>
  <si>
    <t>Evans, Linda</t>
  </si>
  <si>
    <t>LB1778 .E936 2018</t>
  </si>
  <si>
    <t>Becoming Grace : Seventy-Five Years on the Landscape of Christian Higher Education in America</t>
  </si>
  <si>
    <t>BMH Books</t>
  </si>
  <si>
    <t>Winona Lake</t>
  </si>
  <si>
    <t>Burkholder, Jared S.;Norris, M.M.</t>
  </si>
  <si>
    <t>LD2011.G322 .B436 2015</t>
  </si>
  <si>
    <t>Grace Theological Seminary-History. ; Grace College (Winona Lake, Ind.)-History. ; Theological seminaries-Indiana-Winona Lake-History. ; Christian universities and colleges-Indiana-Winona Lake-History.</t>
  </si>
  <si>
    <t>The Theory and Practice of Multicultural Education : A Focus on the K-12 Educational Setting</t>
  </si>
  <si>
    <t>DomNwachukwu, Chinaka S.</t>
  </si>
  <si>
    <t>LC1099.3 .D666 2018</t>
  </si>
  <si>
    <t>Minorities-Education-Social aspects</t>
  </si>
  <si>
    <t>Paving the Way Towards Authentic Chemistry Teaching : A Contribution to Teachers' Professional Development</t>
  </si>
  <si>
    <t>Schumacher, Andrea</t>
  </si>
  <si>
    <t>QD40 .S386 2015</t>
  </si>
  <si>
    <t>Bedeutung Feinmotorischer Fertigkeiten Für Den Leseerwerb Im Vorschul- und Frühen Grundschulalter</t>
  </si>
  <si>
    <t>Pufke, Eva</t>
  </si>
  <si>
    <t>LB1140.35.C74 .P845 2016</t>
  </si>
  <si>
    <t>Education, Preschool-Activity programs.</t>
  </si>
  <si>
    <t>Evaluation Individueller Förderung Im Chemieunterricht : Adaptivität Von Lerninhalten an das Vorwissen Von Lernenden Am Beispiel des Basiskonzeptes Chemische Reaktion</t>
  </si>
  <si>
    <t>Anus, Sandra</t>
  </si>
  <si>
    <t>QD40 .A587 2015</t>
  </si>
  <si>
    <t>Zum Einfluss des Merkmals Humor Auf Die Gesundheitsförderung Im Chemieunterricht der Sekundarstufe I : Eine Interventionsstudie Zum Thema Sonnenschutz</t>
  </si>
  <si>
    <t>Petersen, Jennifer</t>
  </si>
  <si>
    <t>RS431.S94 .P484 2016</t>
  </si>
  <si>
    <t>Sunscreens (Cosmetics) ; Skin-Protection.</t>
  </si>
  <si>
    <t>Experimentierkompetenz Erfassen : Analyse Von Prozessen und Mustern Am Beispiel Von Lehramtsstudierenden der Chemie</t>
  </si>
  <si>
    <t>Arndt, Kerstin</t>
  </si>
  <si>
    <t>QD40 .A763 2016</t>
  </si>
  <si>
    <t>Chemiespezifischer Humor : Theoriebildung, Materialentwicklung, Evaluation</t>
  </si>
  <si>
    <t>Dickhäuser, Andreas</t>
  </si>
  <si>
    <t>QD40 .D535 2015</t>
  </si>
  <si>
    <t>Chemistry-Study and teaching. ; Chemistry-Humor.</t>
  </si>
  <si>
    <t>Gütekriterien Diktionärsbasierter Textanalysen Zur Erfassung Domänenspezifischer Kommunikationsinhalte</t>
  </si>
  <si>
    <t>Heilemann, Michael</t>
  </si>
  <si>
    <t>P302.3 .H455 2016</t>
  </si>
  <si>
    <t>Discourse analysis-Data processing.</t>
  </si>
  <si>
    <t>Kompetenzstruktur Naturwissenschaftlicher Erkenntnisgewinnung Im Fach Chemie</t>
  </si>
  <si>
    <t>Gehlen, Carina</t>
  </si>
  <si>
    <t>QD40 .G445 2016</t>
  </si>
  <si>
    <t>Fremdes und Anderes in der Bildungstheorie Wilhelm Von Humboldts</t>
  </si>
  <si>
    <t>Schlesinger, Christina</t>
  </si>
  <si>
    <t>Beiträge Zu Bildungstheorie und Bildungsforschung Series</t>
  </si>
  <si>
    <t>LB14.7 .S354 2015</t>
  </si>
  <si>
    <t>Education-Philosophy. ; Humboldt, Wilhelm von,-1767-1835. ; Learning, Psychology of.</t>
  </si>
  <si>
    <t>Vom Sichtbar Werden - Sichtbar Sein : Divergentes Denken Als Element ästhetischer Erfahrung und Deren Verarbeitung Im Begabungsfördernden Unterricht -- Nachgezeichnet an Einer Weiblichen Viertklässlerin</t>
  </si>
  <si>
    <t>Trautmann, Thomas;Brümmer, Mareike;Maschke, Lara</t>
  </si>
  <si>
    <t>BF441 .B76 2016</t>
  </si>
  <si>
    <t>Divergent thinking.</t>
  </si>
  <si>
    <t>Entwicklung und Evaluation Einer Chemielehrerfortbildung Zum Kompetenzbereich Erkenntnisgewinnung</t>
  </si>
  <si>
    <t>Schmitt, Anna Katharina</t>
  </si>
  <si>
    <t>QD40 .S36 2016</t>
  </si>
  <si>
    <t>Chemistry-Study and teaching. ; Teachers-Training of.</t>
  </si>
  <si>
    <t>Strategien und Kompetenzen Von Lernenden Beim Erschließen Von Biologischen Informationen Aus Unterschiedlichen Repräsentationen</t>
  </si>
  <si>
    <t>Ziepprecht, Kathrin</t>
  </si>
  <si>
    <t>QH315 .Z547 2016</t>
  </si>
  <si>
    <t>Kurswahlmotive Im Fach Chemie : Eine Studie Zum Wahlverhalten und Erfolg Von Schülerinnen und Schülern in der Gymnasialen Oberstufe</t>
  </si>
  <si>
    <t>Hülsmann, Carolin</t>
  </si>
  <si>
    <t>QD40 .H57 2015</t>
  </si>
  <si>
    <t>Chemistry-Research.</t>
  </si>
  <si>
    <t>Die Wirksamkeit Von Lernunterstützungen Beim Forschenden Lernen : Eine Interventionsstudie Zur Förderung des Wissenschaftlichen Denkens in der Gymnasialen Oberstufe</t>
  </si>
  <si>
    <t>Arnold, Julia</t>
  </si>
  <si>
    <t>Q180.A1 .A766 2015</t>
  </si>
  <si>
    <t>Research.</t>
  </si>
  <si>
    <t>Entwicklung Von Rechtschreibkompetenz : Differentielle Analysen Mit NEPS-Daten der Haupterhebungen in Den Klassenstufen Fünf und Sieben Sowie der Entwicklungsstudien in Den Klassenstufen Sechs und Sieben</t>
  </si>
  <si>
    <t>Prosch, Anna</t>
  </si>
  <si>
    <t>LB1574 .P767 2016</t>
  </si>
  <si>
    <t>Spelling ability.</t>
  </si>
  <si>
    <t>Wie Lassen Sich Kompetenzen des Experimentellen Denkens und Arbeitens Fördern? : Eine Empirische Untersuchung der Wirkung Eines Expliziten und Eines Impliziten Instruktionsansatzes</t>
  </si>
  <si>
    <t>Vorholzer, Andreas</t>
  </si>
  <si>
    <t>QC30 .V674 2016</t>
  </si>
  <si>
    <t>Physikalische Kommunikationskompetenz : Modellierung und Diagnostik</t>
  </si>
  <si>
    <t>Kulgemeyer, Christoph</t>
  </si>
  <si>
    <t>P37.5.C64 .K854 2010</t>
  </si>
  <si>
    <t>Communicative competence.</t>
  </si>
  <si>
    <t>Selbstreguliertes Lernen in der Grundschule : Die Bedeutung der Einstellungen Von Lehrkräften und Eltern</t>
  </si>
  <si>
    <t>Steinbach, Julia</t>
  </si>
  <si>
    <t>LB1048.5 .S745 2016</t>
  </si>
  <si>
    <t>Education, Primary-Parent participation.</t>
  </si>
  <si>
    <t>Mimetische Prozesse und Performativität Im Tanzunterricht : Eine Interview- und Videoanalyse Zum Umgang Mit Fehlern Bei der Wissensvermittlung Und -Aneignung</t>
  </si>
  <si>
    <t>Senkbeil, Thomas</t>
  </si>
  <si>
    <t>GV1589 .S465 2015</t>
  </si>
  <si>
    <t>Dance-Study and teaching-Research. ; Imitation. ; Video tapes in education.</t>
  </si>
  <si>
    <t>Untersuchung Von Unterrichtsbedingungen Zu Erwerb und Entwicklung der Schriftkompetenz : Ergebnisse Einer Interventionsstudie Mit Kontrollklassen an Einer Hamburger Grundschule Von Klasse 1 Bis 3</t>
  </si>
  <si>
    <t>Hein, Christina</t>
  </si>
  <si>
    <t>P211 .H456 2015</t>
  </si>
  <si>
    <t>Written communication-Study and teaching. ; Literacy.</t>
  </si>
  <si>
    <t>Modellanwendung in Problemlöseaufgaben -- Wie Wirkt Kontext?</t>
  </si>
  <si>
    <t>Löffler, Patrick</t>
  </si>
  <si>
    <t>HD30.29 .L44 2016</t>
  </si>
  <si>
    <t>Untersuchung des Kompetenzaufbaus Von Physiklehrkräften Während Einer Fortbildungsmaßnahme</t>
  </si>
  <si>
    <t>Hofmann, Jan</t>
  </si>
  <si>
    <t>GV363 .H646 2015</t>
  </si>
  <si>
    <t>Physical education teachers-Training of.</t>
  </si>
  <si>
    <t>Entwicklung und Prüfung Eines Instrumentes Zur Diagnose der Experimentierkompetenz Von Schülerinnen und Schülern</t>
  </si>
  <si>
    <t>Meier, Monique</t>
  </si>
  <si>
    <t>LB1026 .M454 2016</t>
  </si>
  <si>
    <t>Education-Experimental methods.</t>
  </si>
  <si>
    <t>Die Grenzen der Naturwissenschaft Als Thema des Physikunterrichts</t>
  </si>
  <si>
    <t>Korte, Stefan</t>
  </si>
  <si>
    <t>QC30 .K678 2015</t>
  </si>
  <si>
    <t>Gesundheitspädagogische Ansätze Beim Prader-Willi-Syndrom : Erhebungen Zu Gesundheitspädagogischen und Verhaltensmodifikatorischen Interventionen Zur Gewichtsreduktion und Zur Lebenszufriedenheit -- eine Empirische Studie</t>
  </si>
  <si>
    <t>Schillinger, Winfried</t>
  </si>
  <si>
    <t>LB3405 .S355 2014</t>
  </si>
  <si>
    <t>Health education.</t>
  </si>
  <si>
    <t>Health; Education</t>
  </si>
  <si>
    <t>Negiertes Bewältigen : Eine Grounded-Theory-Studie Zur Diagnose Von Bewertungskompetenz Durch Biologielehrkräfte</t>
  </si>
  <si>
    <t>Steffen, Benjamin</t>
  </si>
  <si>
    <t>QH315 .S744 2015</t>
  </si>
  <si>
    <t>Biology-Study and teaching (Secondary)</t>
  </si>
  <si>
    <t>Untersuchung Zur Verknüpfung Submikroskopischer und Makroskopischer Konzepte Im Fach Chemie</t>
  </si>
  <si>
    <t>Nakoinz, Simone</t>
  </si>
  <si>
    <t>BF311 .N356 2015</t>
  </si>
  <si>
    <t>Cognitive consistency.</t>
  </si>
  <si>
    <t>Medium Resolution-NMR Zur Chemisch Sensitiven Detektion in der Polymeren GPC-Analytik</t>
  </si>
  <si>
    <t>Cudaj, Markus</t>
  </si>
  <si>
    <t>QC757.9 .C833 2012</t>
  </si>
  <si>
    <t>Permanent magnets.</t>
  </si>
  <si>
    <t>Begabungsförderung Am Gymnasium : Enrichment Am Beispiel Lernentwicklungsblatt</t>
  </si>
  <si>
    <t>Trautmann, Thomas</t>
  </si>
  <si>
    <t>HQ773.5 .B443 2015</t>
  </si>
  <si>
    <t>Körperbilder in Schulsportkonzepten : Eine Körpersoziologische Untersuchung</t>
  </si>
  <si>
    <t>Ruin, Sebastian</t>
  </si>
  <si>
    <t>Schulsportforschung Series</t>
  </si>
  <si>
    <t>BF697.5.B63 .R856 2015</t>
  </si>
  <si>
    <t>Body image.</t>
  </si>
  <si>
    <t>Strukturierung Von Lehr-Lern-Sequenzen</t>
  </si>
  <si>
    <t>Maurer, Christian</t>
  </si>
  <si>
    <t>LB1025.3 .M387 2016</t>
  </si>
  <si>
    <t>Inklusion Als Herausforderung, Aufgabe und Chance Für Den Schulsport</t>
  </si>
  <si>
    <t>Ruin, Sebastian;Meier, Stefan</t>
  </si>
  <si>
    <t>LC1200 .I555 2018</t>
  </si>
  <si>
    <t>Modellierung Von Schülerkompetenzen Im Basiskonzept Chemische Reaktion : Entwicklung und Analyse Von Testaufgaben</t>
  </si>
  <si>
    <t>Ropohl, Mathias</t>
  </si>
  <si>
    <t>LB3060.82 .R676 2010</t>
  </si>
  <si>
    <t>Biologie Verstehen: Energie in Anthropogenen Ökosystemen : Energie in Anthropogenen Ökosystemen</t>
  </si>
  <si>
    <t>Trauschke, Mathias</t>
  </si>
  <si>
    <t>QH541 .T738 2016</t>
  </si>
  <si>
    <t>Food chains (Ecology)</t>
  </si>
  <si>
    <t>West-Berliner Lehrerinnen Zwischen Kontinuität und Neuanfang : Weibliche Berufstätigkeit an Wissenschaftlichen Oberschulen in Den 1950er Jahren</t>
  </si>
  <si>
    <t>Dittgen, Dania Anikke</t>
  </si>
  <si>
    <t>LB1775 .D588 2016</t>
  </si>
  <si>
    <t>Teachers-Germany (West)</t>
  </si>
  <si>
    <t>Cross-Age Peer Tutoring in Physik : Evaluation Einer Unterrichtsmethode</t>
  </si>
  <si>
    <t>Korner, Marianne</t>
  </si>
  <si>
    <t>LB1031.5 .K676 2015</t>
  </si>
  <si>
    <t>Peer teaching.</t>
  </si>
  <si>
    <t>Lernprozessorientierte Sequenzierung des Physikunterrichts Im Zusammenhang Mit Fachwissenserwerb : Eine Videostudie in Finnland, Deutschland und der Schweiz</t>
  </si>
  <si>
    <t>Geller, Cornelia</t>
  </si>
  <si>
    <t>QC30 .G455 2015</t>
  </si>
  <si>
    <t>Effektivität des Einsatzes Von Selbsteinschätzungsbögen Im Chemieunterricht der Sekundarstufe I -- Individuelle Förderung Durch Selbstreguliertes Lernen</t>
  </si>
  <si>
    <t>Kallweit, Inga</t>
  </si>
  <si>
    <t>QD40 .K355 2015</t>
  </si>
  <si>
    <t>Educational Transitions in Post-Revolutionary Spaces : Islam, Security, and Social Movements in Tunisia</t>
  </si>
  <si>
    <t>jules, tavis d.;Barton, Teresa</t>
  </si>
  <si>
    <t>BP64.T7 J854 2020</t>
  </si>
  <si>
    <t>Islam and state-Tunisia.</t>
  </si>
  <si>
    <t>Religion; Political Science</t>
  </si>
  <si>
    <t>Cross-Nationally Comparative, Evidence-based Educational Policymaking and Reform</t>
  </si>
  <si>
    <t>Wiseman, Alexander W.;Davidson, Petrina M.</t>
  </si>
  <si>
    <t>Educational evaluation. ; Educational change.</t>
  </si>
  <si>
    <t>Language, Power, and Resistance : Mainstreaming Deaf Education</t>
  </si>
  <si>
    <t>Mathews, Elizabeth S.</t>
  </si>
  <si>
    <t>371.91/26</t>
  </si>
  <si>
    <t>Deaf-Education. ; Mainstreaming in education-Ireland. ; Deaf-Education-Ireland. ; Mainstreaming in education.</t>
  </si>
  <si>
    <t>Practical Strategies for Supporting Emotional Regulation in Students with Autism : Enhancing Engagement and Learning in the Classroom</t>
  </si>
  <si>
    <t>Blome, Leslie;Zelle, Maureen</t>
  </si>
  <si>
    <t>The BSCS 5E Instructional Model : Creating Teachable Moments</t>
  </si>
  <si>
    <t>Bybee, Rodger</t>
  </si>
  <si>
    <t>Q181 .B97 2015</t>
  </si>
  <si>
    <t>Science-Study and teaching (Elementary) ; Science-Study and teaching (Secondary)</t>
  </si>
  <si>
    <t>Assessment for Social Justice : Perspectives and Practices Within Higher Education</t>
  </si>
  <si>
    <t>McArthur, Jan</t>
  </si>
  <si>
    <t>LC191 .M337 2020</t>
  </si>
  <si>
    <t>Interactive Lecturing : A Handbook for College Faculty</t>
  </si>
  <si>
    <t>College teaching-Aids and devices. ; Lectures and lecturing-Handbooks, manuals, etc.</t>
  </si>
  <si>
    <t>Promoting Inclusion in Education Abroad : A Handbook of Research and Practice</t>
  </si>
  <si>
    <t>Gozik, Nick J.;Barclay Hamir, Heather</t>
  </si>
  <si>
    <t>Foreign study--Handbooks, manuals, etc. ;</t>
  </si>
  <si>
    <t>Wrestling with Writing : Instructional Strategies for Struggling Students</t>
  </si>
  <si>
    <t>Young, Nicholas D.;Noonan, Bryan Thors;Bonanno-Sotiropoulos, Kristen</t>
  </si>
  <si>
    <t>LC4704.5 .Y686 2018</t>
  </si>
  <si>
    <t>Learning disabled children-Education.</t>
  </si>
  <si>
    <t>Teaching History with Message Movies</t>
  </si>
  <si>
    <t>Frost, Jennifer;Carr, Steven Alan</t>
  </si>
  <si>
    <t>D16.255.A8 F767 2018</t>
  </si>
  <si>
    <t>History-Study and teaching (Secondary)-Audio-visual aids. ; Social problem films-United States. ; Motion pictures in education.</t>
  </si>
  <si>
    <t>School Health Education and Promotion : Current Approaches and Critical Perspectives</t>
  </si>
  <si>
    <t>Leahy, Deana;Weare, Katherine;Simovska, Venka</t>
  </si>
  <si>
    <t>LB1587.A3 .S366 2018</t>
  </si>
  <si>
    <t>Learning Architectures in Higher Education : Beyond Communities of Practice</t>
  </si>
  <si>
    <t>LB1066 .T866 2020</t>
  </si>
  <si>
    <t>Mathematics Assessment and Intervention in a PLC at Work(tm) : (Research-Based Math Assessment and RTI Model (MTSS) Interventions)</t>
  </si>
  <si>
    <t>Kanold, Timothy D.;Schuhl, Sarah;Larson, Matthew R.;Barnes, Bill;Kanold-McIntyre, Jessica;Toncheff, Mona</t>
  </si>
  <si>
    <t>Every Student Can Learn Mathematics Series</t>
  </si>
  <si>
    <t>QA11.2 .M384 2018</t>
  </si>
  <si>
    <t>Mathematics-Study and teaching. ; Mathematics teachers-Training of.</t>
  </si>
  <si>
    <t>Differentiation and the Brain : How Neuroscience Supports the Learner-Friendly Classroom (Use Brain-Based Learning and Neuroeducation to Differentiate Instruction)</t>
  </si>
  <si>
    <t>Sousa, David A.;Tomlinson, Carol Ann</t>
  </si>
  <si>
    <t>Individualized instruction-Psychological aspects. ; Learning, Psychology of. ; Brain. ; Neurosciences.</t>
  </si>
  <si>
    <t>Organisational Control in University Management : A Multiparadigm Approach</t>
  </si>
  <si>
    <t>Kindsiko, Eneli</t>
  </si>
  <si>
    <t>Universities and colleges-Administration. ; Tartu Ülikool.</t>
  </si>
  <si>
    <t>Emerging Technologies in Distance Education</t>
  </si>
  <si>
    <t>Issues in Distance Education Ser.</t>
  </si>
  <si>
    <t>LC5800 .E44 2010</t>
  </si>
  <si>
    <t>Distance education-Technological innovations. ; Educational technology.</t>
  </si>
  <si>
    <t>Asphalt to Ecosystems : Design Ideas for Schoolyard Transformation</t>
  </si>
  <si>
    <t>New Village Press</t>
  </si>
  <si>
    <t>Danks, Sharon Gamson</t>
  </si>
  <si>
    <t>LB3251 .D365 2010</t>
  </si>
  <si>
    <t>School grounds-Environmental aspects-Case studies. ; Outdoor learning laboratories-Case studies.</t>
  </si>
  <si>
    <t>Making the Grade : Promoting Positive Outcomes for Students with Learning Disabilities</t>
  </si>
  <si>
    <t>Young, Nicholas D.;Bonanno-Sotiropoulos, Kristen;Smolinski, Jennifer A.</t>
  </si>
  <si>
    <t>LC4705 .Y686 2018</t>
  </si>
  <si>
    <t>Learning disabled children-Education-United States</t>
  </si>
  <si>
    <t>The Balanced Child : Teaching Children and Students the Gifts of Social Skills</t>
  </si>
  <si>
    <t>HQ783 .N685 2018</t>
  </si>
  <si>
    <t>Social skills in children-Study and teaching</t>
  </si>
  <si>
    <t>Adoption and Impact of OER in the Global South</t>
  </si>
  <si>
    <t>Hodgkinson-Williams, Cheryl;Arinto, Brazil</t>
  </si>
  <si>
    <t>Z286.O63 .A367 2017</t>
  </si>
  <si>
    <t>Open access publishing. ; Open access publishing-Developing countries. ; Electronic information resources-Developing countries.</t>
  </si>
  <si>
    <t>Beginning Teacher's Field Guide : Embarking on Your First Years (Self-Care and Teaching Tips for New Teachers)</t>
  </si>
  <si>
    <t>Boogren, Tina H.</t>
  </si>
  <si>
    <t>Now What, Grad? : Your Path to Success after College</t>
  </si>
  <si>
    <t>Palmer, Chris</t>
  </si>
  <si>
    <t>Job hunting-United States</t>
  </si>
  <si>
    <t>Adolescents Rewrite Their Worlds : Using Literature to Illustrate Writing Forms</t>
  </si>
  <si>
    <t>Yenika-Agbaw, Vivian;Sychterz, Teresa;Cole-Malott, Donna-Marie;Griffith, Jason;Moser, Jason;Napoli, Mary</t>
  </si>
  <si>
    <t>LB1631 .A365 2015</t>
  </si>
  <si>
    <t>English language-Composition and exercises-Study and teaching (Middle school)</t>
  </si>
  <si>
    <t>Setting and Description : Classroom Ready Materials for Teaching Writing and Literary Analysis Skills in Grades 4 To 8</t>
  </si>
  <si>
    <t>LB1576 .M375 2016</t>
  </si>
  <si>
    <t>The Elusive Sentence : Recovering the Rudiments of Writing</t>
  </si>
  <si>
    <t>Hatfield, Rita Eulalie;Young, Leta Marie</t>
  </si>
  <si>
    <t>LB1576 .H384 2015</t>
  </si>
  <si>
    <t>Basic writing (Remedial education)</t>
  </si>
  <si>
    <t>Leadership in Higher Education from a Transrelational Perspective</t>
  </si>
  <si>
    <t>Branson, Christopher M.;Marra, Maureen;Franken, Margaret;Penney, Dawn</t>
  </si>
  <si>
    <t>LB2341 .B736 2020</t>
  </si>
  <si>
    <t>Universities and colleges-Administration.</t>
  </si>
  <si>
    <t>Teaching Mathematics Meaningfully, 2e : Solutions for Reaching Struggling Learners, Second Edition</t>
  </si>
  <si>
    <t>Allsopp, David;Lovin, LouAnn H.;van Ingen, Sarah</t>
  </si>
  <si>
    <t>QA13 .A44 2018</t>
  </si>
  <si>
    <t>Mathematics-Study and teaching (Elementary) ; Mathematics-Study and teaching (Middle school)</t>
  </si>
  <si>
    <t>Paving the Pathway for Educational Success : Effective Classroom Strategies for Students with Learning Disabilities</t>
  </si>
  <si>
    <t>Young, Nicholas D.;Bonanno-Sotiropoulos, Kristen;Citro, Teresa</t>
  </si>
  <si>
    <t>Classroom environment-United States</t>
  </si>
  <si>
    <t>Wasted : Why Education Isn't Educating</t>
  </si>
  <si>
    <t>Furedi, Frank</t>
  </si>
  <si>
    <t>LC215.F77 2009</t>
  </si>
  <si>
    <t>Education-Aims and objectives. ; Education-Aims and objectives-Great Britain. ; Education and state-Great Britain.</t>
  </si>
  <si>
    <t>Lost Generation? : New Strategies for Youth and Education</t>
  </si>
  <si>
    <t>Allen, Martin;Ainley, Patrick</t>
  </si>
  <si>
    <t>LC67.G7A45 2010</t>
  </si>
  <si>
    <t>338.4/7370941</t>
  </si>
  <si>
    <t>Education-Economic aspects-Great Britain. ; Youth-Employment-Great Britain. ; Labor supply-Effect of education on-Great Britain.</t>
  </si>
  <si>
    <t>Where Have All the Intellectuals Gone? : Confronting 21st Century Philistinism</t>
  </si>
  <si>
    <t>HM728 .F874 2006</t>
  </si>
  <si>
    <t>Intellectuals. ; Learning and scholarship-Great Britain. ; Popular culture-Great Britain.</t>
  </si>
  <si>
    <t>British Universities Past and Present</t>
  </si>
  <si>
    <t>Anderson, Robert</t>
  </si>
  <si>
    <t>LA636 .A534 2006</t>
  </si>
  <si>
    <t>Universities and colleges-Great Britain-History</t>
  </si>
  <si>
    <t>The Great City Academy Fraud</t>
  </si>
  <si>
    <t>Beckett, Francis</t>
  </si>
  <si>
    <t>LB2806.36 .B435 2007</t>
  </si>
  <si>
    <t>Privatization in education-Great Britain. ; Corporate sponsorship-Great Britain. ; Education and state-Great Britain. ; Academies (British public schools)</t>
  </si>
  <si>
    <t>Prep School Children : A Class Apart over Two Centuries</t>
  </si>
  <si>
    <t>Brendon, Vyvyen</t>
  </si>
  <si>
    <t>LC58.6.G7B74 2009</t>
  </si>
  <si>
    <t>Preparatory schools-Great Britain. ; Preparatory school students-Great Britain-Social conditions. ; Preparatory school students-Psychology.</t>
  </si>
  <si>
    <t>Child Protection in the Early Years : A Practical Guide</t>
  </si>
  <si>
    <t>Lumsden, Eunice;Doyle, Celia</t>
  </si>
  <si>
    <t>Mathematics Homework and Grading in a PLC at Work(tm) : (Math Homework and Grading Practices That Drive Student Engagement and Achievement)</t>
  </si>
  <si>
    <t>Kanold, Timothy D.;Barnes, Bill;Larson, Matthew R.;Kanold-McIntyre, Jessica;Schuhl, Sarah;Toncheff, Mona</t>
  </si>
  <si>
    <t>Mathematics-Study and teaching. ; Mathematics teachers-Training of. ; Homework.</t>
  </si>
  <si>
    <t>Sklaverei und Zwangsarbeit Als Themen Eines Global Orientierten Geschichtsunterrichts : Ein Zentraler Beitrag Zur Bildung Eines Globalen Geschichtsbewusstseins</t>
  </si>
  <si>
    <t>Grieshaber, Christian</t>
  </si>
  <si>
    <t>Geschichtsdidaktische Studien Series</t>
  </si>
  <si>
    <t>HT871 .S553 2016</t>
  </si>
  <si>
    <t>Slavery. ; Forced labor.</t>
  </si>
  <si>
    <t>Implementing Inquiry-Based Learning in a Diverse Classroom : Investigating Strategies of Scaffolding and Students' Views of Scientific Inquiry</t>
  </si>
  <si>
    <t>Puddu, Sandra</t>
  </si>
  <si>
    <t>TH5281 .P833 2017</t>
  </si>
  <si>
    <t>Scaffolding.</t>
  </si>
  <si>
    <t>Health; Medicine; Engineering; Engineering: Construction</t>
  </si>
  <si>
    <t>Living the Legacy of African American Education : A Model for University and School Engagement</t>
  </si>
  <si>
    <t>Croft, Sheryl J.;Pogue, Tiffany D.;Siddle Walker, Vanessa</t>
  </si>
  <si>
    <t>LC2717.L58 2018</t>
  </si>
  <si>
    <t>African Americans--Education. ; African Americans--Education (Higher). ; African Americans--Education--Social aspects. ; Community and college--United States.</t>
  </si>
  <si>
    <t>Freedom to Learn : Creating a Classroom Where Every Child Thrives</t>
  </si>
  <si>
    <t>Willans, Art;Williams, Cari</t>
  </si>
  <si>
    <t>LC4801 .W555 2018</t>
  </si>
  <si>
    <t>Problem children-Education. ; Effective teaching.</t>
  </si>
  <si>
    <t>Encyclopedia of Special Education, Volume 1 : A Reference for the Education of Children, Adolescents, and Adults Disabilities and Other Exceptional Individuals</t>
  </si>
  <si>
    <t>Reynolds, Cecil R.;Vannest, Kimberly J.;Fletcher-Janzen, Elaine</t>
  </si>
  <si>
    <t>Children with disabilities-Education-United States-Encyclopedias</t>
  </si>
  <si>
    <t>Close Reading in the Secondary Classroom : (Improve Literacy, Reading Comprehension, and Critical-Thinking Skills)</t>
  </si>
  <si>
    <t>Flygare, Jeff</t>
  </si>
  <si>
    <t>LB1050 .F594 2018</t>
  </si>
  <si>
    <t>Reading-Ability testing.</t>
  </si>
  <si>
    <t>Encyclopedia of Special Education, Volume 4 : A Reference for the Education of Children, Adolescents, and Adults Disabilities and Other Exceptional Individuals</t>
  </si>
  <si>
    <t>The Special Educator's Comprehensive Guide to 301 Diagnostic Tests</t>
  </si>
  <si>
    <t>Pierangelo, Roger;Giuliani, George</t>
  </si>
  <si>
    <t>LC4019 .P547 2006</t>
  </si>
  <si>
    <t>Children with disabilities-Psychological testing. ; Children with disabilities-Education-Ability testing. ; Examinations-Interpretation. ; Educational tests and measurements.</t>
  </si>
  <si>
    <t>Encyclopedia of Special Education, Volume 2 : A Reference for the Education of Children, Adolescents, and Adults Disabilities and Other Exceptional Individuals</t>
  </si>
  <si>
    <t>Encyclopedia of Special Education, Volume 3 : A Reference for the Education of Children, Adolescents, and Adults Disabilities and Other Exceptional Individuals</t>
  </si>
  <si>
    <t>The Naked Roommate : And 107 Other Issues You Might Run into in College</t>
  </si>
  <si>
    <t>Cohen, Harlan</t>
  </si>
  <si>
    <t>LB2343.3 .C644 2017</t>
  </si>
  <si>
    <t>U Chic : The College Girl's Guide to Everything: Dealing with Dorms, Classes, Sororities, Social Media, Dating, Staying Safe, and Making the Most Out of the Best Four Years of Your Life</t>
  </si>
  <si>
    <t>Garton, Christie</t>
  </si>
  <si>
    <t>Education; General Works/Reference; Psychology</t>
  </si>
  <si>
    <t>Gender před tabulí : Etnografický výzkum genderové reprodukce v každodennosti školní třídy</t>
  </si>
  <si>
    <t>Lucie Jarkovská</t>
  </si>
  <si>
    <t>LC212.9 .J375 2013</t>
  </si>
  <si>
    <t>Gender identity in education-Czech Republic. ; Sex role in children-Czech Republic. ; Sex instruction-Czech Republic.</t>
  </si>
  <si>
    <t>Sanshodhan Paddhati : Nivoditaakarita Kramvaar Margdarshak</t>
  </si>
  <si>
    <t>Kumar, Ranjit</t>
  </si>
  <si>
    <t>H62 .K863 2017</t>
  </si>
  <si>
    <t>Social sciences-Research-Methodology.</t>
  </si>
  <si>
    <t>Marathi</t>
  </si>
  <si>
    <t>Die Eleganz des Igels Von Muriel Barbery (Lektürehilfe) : Detaillierte Zusammenfassung, Personenanalyse und Interpretation</t>
  </si>
  <si>
    <t>DerQuerleser.de</t>
  </si>
  <si>
    <t>Defossa, Isabelle;Vanderborght, Harmony;Hannken-Illjes, Helle</t>
  </si>
  <si>
    <t>Lektürehilfe Series</t>
  </si>
  <si>
    <t>Life.</t>
  </si>
  <si>
    <t>Education; General Works/Reference; Literature</t>
  </si>
  <si>
    <t>Sakrileg - the Da Vinci Code Von Dan Brown (Lektürehilfe) : Detaillierte Zusammenfassung, Personenanalyse und Interpretation</t>
  </si>
  <si>
    <t>Roland, Nathalie;derQuerleser;Traub, Miriam</t>
  </si>
  <si>
    <t>Mystery.</t>
  </si>
  <si>
    <t>Verblendung Von Stieg Larsson (Lektürehilfe) : Detaillierte Zusammenfassung, Personenanalyse und Interpretation</t>
  </si>
  <si>
    <t>de Thier, Daphné;derQuerleser;Traub, Miriam</t>
  </si>
  <si>
    <t>Die Tribute Von Panem Von Suzanne Collins (Lektürehilfe) : Detaillierte Zusammenfassung, Personenanalyse und Interpretation</t>
  </si>
  <si>
    <t>Troniseck, Daphné;derQuerleser;Hannken-Illjes, Helle</t>
  </si>
  <si>
    <t>Games and Learning.</t>
  </si>
  <si>
    <t>After Passion Von Anna Todd (Lektürehilfe) : Detaillierte Zusammenfassung, Personenanalyse und Interpretation</t>
  </si>
  <si>
    <t>Pinaud, Elena;derQuerleser;Hannken-Illjes, Helle</t>
  </si>
  <si>
    <t>Study and teaching.</t>
  </si>
  <si>
    <t>Tagebuch Von Anne Frank (Lektürehilfe) : Detaillierte Zusammenfassung, Personenanalyse und Interpretation</t>
  </si>
  <si>
    <t>Meurée, Florence;Mathot, Claire;Traub, Miriam</t>
  </si>
  <si>
    <t>Secrets.</t>
  </si>
  <si>
    <t>Planta Cara Al Acoso Escolar : Las Claves para Reconocer Las Señales de Bullying</t>
  </si>
  <si>
    <t>Léon, Marie;Soler Pinson, Laura</t>
  </si>
  <si>
    <t>Salud y Bienestar Series</t>
  </si>
  <si>
    <t>Student Engagement in the Digital University : Sociomaterial Assemblages</t>
  </si>
  <si>
    <t>Gourlay, Lesley;Oliver, Martin</t>
  </si>
  <si>
    <t>LB1044.87 .S783 2018</t>
  </si>
  <si>
    <t>Web-based instruction-Evaluation. ; Education, Higher-Effect of technological innovations on. ; Education, Higher-Computer network resources.</t>
  </si>
  <si>
    <t>Evolutions of the Complex Relationship Between Education and Territories</t>
  </si>
  <si>
    <t>Barthes, Angela;Champollion, Pierre;Alpe, Yves</t>
  </si>
  <si>
    <t>Durastha Shiksha Aur e-Learning Mein Gunvatta</t>
  </si>
  <si>
    <t>Jung, Insung;Wong, Tat Meng;Belawati, Tian</t>
  </si>
  <si>
    <t>LC5803.C65 J864 2017</t>
  </si>
  <si>
    <t>Distance education-Asia-Computer-assisted instruction. ; Distance education-Standards.</t>
  </si>
  <si>
    <t>Hindi</t>
  </si>
  <si>
    <t>Leaders Who Lead Successfully : Guidelines for Organizing to Achieve Innovation</t>
  </si>
  <si>
    <t>Lamberg, Teruni</t>
  </si>
  <si>
    <t>HD57.7 .L363 2018</t>
  </si>
  <si>
    <t>Higher Education in Texas : Its Beginnings to 1970</t>
  </si>
  <si>
    <t>Denton, TX</t>
  </si>
  <si>
    <t>Matthews, Charles R.</t>
  </si>
  <si>
    <t>LA370.5 .M388 2018</t>
  </si>
  <si>
    <t>Education, Higher-Texas-History. ; Universities and colleges-Texas-History.</t>
  </si>
  <si>
    <t>Budování národních organizací YMCA v Ceskoslovensku a Polsku : Rozvoj telesné Kultury V Letech 1918-1939</t>
  </si>
  <si>
    <t>Tlust�, Tomás</t>
  </si>
  <si>
    <t>RA427.8 .T587 2017</t>
  </si>
  <si>
    <t>Young Men's Christian associations. ; Young Men's Christian associations-Czechoslovakia. ; Young Men's Christian associations-Poland.</t>
  </si>
  <si>
    <t>Social Science; Religion; Health</t>
  </si>
  <si>
    <t>U&amp;#269;it Se Být U&amp;#269;itelem</t>
  </si>
  <si>
    <t>Strouhal, Martin (ed. )</t>
  </si>
  <si>
    <t>LB1707 .U258 2016</t>
  </si>
  <si>
    <t>Teachers-Training of. ; Education-Study and teaching (Higher)</t>
  </si>
  <si>
    <t>Mathematics Coaching and Collaboration in a PLC at Work(tm) : (Leading Collaborative Learning and Teaching Teams in Math Education)</t>
  </si>
  <si>
    <t>Kanold, Timothy D.;Toncheff, Mona;Larson, Matthew R.;Barnes, Bill;Kanold-McIntyre, Jessica;Schuhl, Sarah</t>
  </si>
  <si>
    <t>First year teachers-Handbooks, manuals, etc. ; Teacher orientation-Handbooks, manuals, etc.</t>
  </si>
  <si>
    <t>Practical Strategies for Supporting Young Learners with Autism Spectrum Disorder</t>
  </si>
  <si>
    <t>Gryphon House, Incorporated</t>
  </si>
  <si>
    <t>Shelton, Tricia;Jalongo, Mary Renck</t>
  </si>
  <si>
    <t>LC4718 .S545 2016</t>
  </si>
  <si>
    <t>Autistic children-Education-United States.</t>
  </si>
  <si>
    <t>Wild about Literacy : Fun Activities for Preschool</t>
  </si>
  <si>
    <t>Between the Lions Staff</t>
  </si>
  <si>
    <t>Between the Lions Series</t>
  </si>
  <si>
    <t>LB1140.5.L3 .W553 2010</t>
  </si>
  <si>
    <t>Language arts (Preschool)-Activity programs.</t>
  </si>
  <si>
    <t>Poison in the Ivy : Race Relations and the Reproduction of Inequality on Elite College Campuses</t>
  </si>
  <si>
    <t>Byrd, W. Carson</t>
  </si>
  <si>
    <t>STEM Play : Integrating Inquiry into Learning Centers</t>
  </si>
  <si>
    <t>Englehart, Deirdre;Mitchell, Debby;Albers-Biddle, Junie;Jennings-Towle, Kelly;Forestieri, Marnie</t>
  </si>
  <si>
    <t>LB1140.5.S35 .S746 2016</t>
  </si>
  <si>
    <t>Science-Study and teaching (Preschool)-Activity programs. ; Education, Preschool-Activity programs. ; Play.</t>
  </si>
  <si>
    <t>Getting to Where We Meant to Be : Working Toward the Educational World We Imagine/d</t>
  </si>
  <si>
    <t>Myers Education Press</t>
  </si>
  <si>
    <t>Hinchey, Patricia H.;Konkol, Pamela J.</t>
  </si>
  <si>
    <t>HD57.7 .H563 2018</t>
  </si>
  <si>
    <t>The Elective Carnegie Community Engagement Classification : Constructing a Successful Application for First-Time and Re-Classification Applicants</t>
  </si>
  <si>
    <t>Saltmarsh, John;Johnson, Mathew B.</t>
  </si>
  <si>
    <t>Die Elenden Von Victor Hugo (Lektürehilfe) : Detaillierte Zusammenfassung, Personenanalyse und Interpretation</t>
  </si>
  <si>
    <t>Seret, Hadrien;Vanderborght, Harmony;Traub, Miriam</t>
  </si>
  <si>
    <t>Sadness.</t>
  </si>
  <si>
    <t>Der Graf Von Monte Christo Von Alexandre Dumas (Lektürehilfe) : Detaillierte Zusammenfassung, Personenanalyse und Interpretation</t>
  </si>
  <si>
    <t>Beaugendre, Flore;Coullet, Pauline;Traub, Miriam</t>
  </si>
  <si>
    <t>Empört Euch! Von Stéphane Hessel (Lektürehilfe) : Detaillierte Zusammenfassung, Personenanalyse und Interpretation</t>
  </si>
  <si>
    <t>Cerf, Natacha;Hamou, Nasim;Traub, Miriam</t>
  </si>
  <si>
    <t>Wer Die Nachtigall Stört Von Nelle Harper Lee (Lektürehilfe) : Detaillierte Zusammenfassung, Personenanalyse und Interpretation</t>
  </si>
  <si>
    <t>Decelle, Aude;Randal, Alexandre;Traub, Miriam</t>
  </si>
  <si>
    <t>Merekayasa Kearifan Tempatan: Alam dan Manusia</t>
  </si>
  <si>
    <t>Gelugor</t>
  </si>
  <si>
    <t>Manshhor, Mansor;Mohd Kipli, Abdul Rahman</t>
  </si>
  <si>
    <t>GE70 .M474 2015</t>
  </si>
  <si>
    <t>Environmental education.</t>
  </si>
  <si>
    <t>Malay</t>
  </si>
  <si>
    <t>Excellence and Sustainability : USM and the APEX journey. Volume 1: The Road Ahead</t>
  </si>
  <si>
    <t>Ooi, Keat Gin</t>
  </si>
  <si>
    <t>LG173.P5 .E934 2015</t>
  </si>
  <si>
    <t>Education, Higher-Malaysia. ; Education, Higher-Pulau Pinang. ; Education and state-Pulau Pinang.</t>
  </si>
  <si>
    <t>ICT and ELT: Research and Practices in South East Asia</t>
  </si>
  <si>
    <t>Muhammad Kamarul, Kabilan;Wei, Keong Too;Handoyo Puji, Widodo</t>
  </si>
  <si>
    <t>PE1068.S595 .I28 2015</t>
  </si>
  <si>
    <t>English language-Study and teaching-Southeast Asia. ; English language-Southeast Asia-Computer-assisted instruction. ; Education-Information technology-Southeast Asia.</t>
  </si>
  <si>
    <t>Kaedah dan Strategi Pengajaran Kanak-kanak Berkeperluan Khas</t>
  </si>
  <si>
    <t>Mohd Zuri, Ghani;Aznan, Che Ahmad</t>
  </si>
  <si>
    <t>LC4015 .M643 2011</t>
  </si>
  <si>
    <t>Children with disabilities-Education. ; Curriculum planning.</t>
  </si>
  <si>
    <t>Pengantar Pendidikan Khas</t>
  </si>
  <si>
    <t>LC3987.M4 .M643 2011</t>
  </si>
  <si>
    <t>Special education-Malaysia. ; Children with disabilities-Education. ; Children with disabilities-Education-Asia.</t>
  </si>
  <si>
    <t>Rahsia Dan Keunikan Personaliti Kanak-Kanak Autistik Di Malaysia</t>
  </si>
  <si>
    <t>Norfishah, Mat Rabi</t>
  </si>
  <si>
    <t>RJ506.A9 .N674 2015</t>
  </si>
  <si>
    <t>Autism in children.</t>
  </si>
  <si>
    <t>Internationalisation of Higher Education Insights from Malaysian Higher Education Institutions</t>
  </si>
  <si>
    <t>Yang, Farina;Koo, Yiew Lie;Yazrina, Yahya</t>
  </si>
  <si>
    <t>LA1238 .Y364 2015</t>
  </si>
  <si>
    <t>Education, Higher-Malaysia. ; Education, Higher-International cooperation. ; International education-Malaysia.</t>
  </si>
  <si>
    <t>Governance Reforms in Public Universities of Malaysia</t>
  </si>
  <si>
    <t>Fauziah, Md. Taib;Ng, Melissa Lee Yen Abdullah</t>
  </si>
  <si>
    <t>LB2328.62.M4 .G684 2016</t>
  </si>
  <si>
    <t>Public universities and colleges-Malaysia. ; Education, Higher-Malaysia-Administration.</t>
  </si>
  <si>
    <t>Towards Sustainable and Inclusive Higher Education Challenges and Strategies</t>
  </si>
  <si>
    <t>Ng, Melissa Lee Yen Abdullah;Ahmad Nurulazam, Md. Zain</t>
  </si>
  <si>
    <t>LA1238 .T69 2016</t>
  </si>
  <si>
    <t>Education, Higher-Malaysia. ; Education, Higher-Administration. ; Inclusive education-Malaysia.</t>
  </si>
  <si>
    <t>Memacu Kecemerlangan Pengajian Tinggi Negara</t>
  </si>
  <si>
    <t>Omar, Osman</t>
  </si>
  <si>
    <t>LC71 .O437 2016</t>
  </si>
  <si>
    <t>Leadership Training in University-Comunity Engagement</t>
  </si>
  <si>
    <t>See, Ching Mey</t>
  </si>
  <si>
    <t>LA1238 .L433 2016</t>
  </si>
  <si>
    <t>Education-Higher-Malaysia. ; University cooperation-Malaysia. ; Community and college-Malaysia. ; Educational leadership.</t>
  </si>
  <si>
    <t>Program Pengurusan Tingkah Laku Kanak-Kanak Berkeperluan Khas</t>
  </si>
  <si>
    <t>Lee, Lay Wah;Bonadei, Silvianne;Yong, Lynne</t>
  </si>
  <si>
    <t>RC473.B43 .P764 2016</t>
  </si>
  <si>
    <t>Behavioral assessment.</t>
  </si>
  <si>
    <t>Developments in Higher Education: National Strategies and Global Perspectives</t>
  </si>
  <si>
    <t>Munir, Shuib;Aida Suraya, Md. Yunus;Shukran, Abd. Rahman</t>
  </si>
  <si>
    <t>LA1238 .D484 2016</t>
  </si>
  <si>
    <t>Education, Higher-Malaysia-Congresses. ; Education, Higher-Aims and objectives-Malaysia-Congresses. ; Higher education and state-Malaysia-Congresses.</t>
  </si>
  <si>
    <t>Pancadimensi Pengajaran dan Pembelajaran Bahasa: Trend dan Amalan</t>
  </si>
  <si>
    <t>Ambigapathy, Pandian;Murshidi, Harun@Zakaria;Tan, Hock The</t>
  </si>
  <si>
    <t>PL5105 .P363 2010</t>
  </si>
  <si>
    <t>Malay language-Study and teaching-Congresses. ; Language and education-Malaysia-Congresses. ; Language and languages-Study and teaching-Malaysia-Congresses.</t>
  </si>
  <si>
    <t>The Role of the University with a Focus on University-Community Engagement</t>
  </si>
  <si>
    <t>Munir, Shuib;Koo, Yew Lie</t>
  </si>
  <si>
    <t>LB2331.43 .R654 2017</t>
  </si>
  <si>
    <t>Universities and colleges-Public services.</t>
  </si>
  <si>
    <t>Integrating Information and Communication Technology Into Language Teaching and Learning</t>
  </si>
  <si>
    <t>Tengku Sepora, Tengku Mahadi;Chow, Thomas Voon Foo;Chuah, Julie Suan Choo</t>
  </si>
  <si>
    <t>P53.28 .I584 2017</t>
  </si>
  <si>
    <t>Language and languages-Computer-assisted instruction. ; Education-Computer network resources.</t>
  </si>
  <si>
    <t>English Language Education in Southeast Asia: Problems and Possibilities</t>
  </si>
  <si>
    <t>Ruanni, Tupas;Shantini, Pillai;Ramesh, Nair</t>
  </si>
  <si>
    <t>PE1068.A7 .E545 2017</t>
  </si>
  <si>
    <t>English language-Study and teaching-Southeast Asia.</t>
  </si>
  <si>
    <t>Language Teaching, Pedagogy and Curriculum Design</t>
  </si>
  <si>
    <t>Tengku Sepora, Tengku Mahadi;Chow, Thomas Voon Foo</t>
  </si>
  <si>
    <t>P51 .L364 2017</t>
  </si>
  <si>
    <t>Language and languages-Study and teaching.</t>
  </si>
  <si>
    <t>Cabaran Penyelidikan dan Pendidikan dalam Era Digital</t>
  </si>
  <si>
    <t>Faridah, Abdul Rashid</t>
  </si>
  <si>
    <t>LB2326.3$b.R374 2016</t>
  </si>
  <si>
    <t>Imej Matematik, Kualiti Guru dan Lesson Study</t>
  </si>
  <si>
    <t>Lim, Chap Sam</t>
  </si>
  <si>
    <t>QA11 .L56 2016</t>
  </si>
  <si>
    <t>Ujian, Cabaran dan Keterujaan dalam Pendidikan Guru di Malaysia</t>
  </si>
  <si>
    <t>Abdul Rashid, Mohamed</t>
  </si>
  <si>
    <t>LB1775 .A238 2016</t>
  </si>
  <si>
    <t>Contemporary Perspectives in English Language Studies: Linguistics and Literature</t>
  </si>
  <si>
    <t>Sarjit, Kaur;Shakila, Abdul Manan</t>
  </si>
  <si>
    <t>LB1576 .C637 2013</t>
  </si>
  <si>
    <t>Engineering@USM Celebrating 25 Years of Excellence towards Transforming Higher Education for a Sustainable Tomorrow</t>
  </si>
  <si>
    <t>Abd. Aziz, Tajuddin;Goh, Eric;Mokhtar Alfakari, Anurbek</t>
  </si>
  <si>
    <t>LB2321 .E545 2013</t>
  </si>
  <si>
    <t>Universities and colleges-Pulau Pinang. ; Education, Higher-Pulau Pinang.</t>
  </si>
  <si>
    <t>USM and The APEX Journey: Governance, Performance, Human Resources and Service Quality</t>
  </si>
  <si>
    <t>Ishak, Ismail;Hasnah, Haron;Malliga, Marimuthu</t>
  </si>
  <si>
    <t>LG173.P5 .U86 2014</t>
  </si>
  <si>
    <t>APEX (Programme) ; Universiti Sains Malaysia.</t>
  </si>
  <si>
    <t>Pendidikan Cina di Malaysia: Sejarah, Politik dan Gerakan Perjuangan</t>
  </si>
  <si>
    <t>Tan, Yao Sua</t>
  </si>
  <si>
    <t>LC3089.M4 .T358 2014</t>
  </si>
  <si>
    <t>Chinese-Education-Malaysia-History. ; Education-Political aspects-Malaysia-History.</t>
  </si>
  <si>
    <t>Investigating College Student Misconduct</t>
  </si>
  <si>
    <t>Griffin, Oren R.;Lake, Peter F.</t>
  </si>
  <si>
    <t>Fast and Effective Assessment : How to Reduce Your Workload and Improve Student Learning</t>
  </si>
  <si>
    <t>Pearsall, Glen</t>
  </si>
  <si>
    <t>From Goals to Growth : Intervention and Support in Every Classroom</t>
  </si>
  <si>
    <t>Jung, Lee Ann</t>
  </si>
  <si>
    <t>Teaching Students to Communicate Mathematically</t>
  </si>
  <si>
    <t>Sammons, Laney</t>
  </si>
  <si>
    <t>Attack of the Teenage Brain : Understanding and Supporting the Weird and Wonderful Adolescent Learner</t>
  </si>
  <si>
    <t>Medina, John</t>
  </si>
  <si>
    <t>Powerful Understanding : Helping Students Explore, Question, and Transform Their Thinking about Themselves and the World Around Them</t>
  </si>
  <si>
    <t>Gear, Adrienne</t>
  </si>
  <si>
    <t>303.3/24</t>
  </si>
  <si>
    <t>Social skills-Study and teaching (Elementary)</t>
  </si>
  <si>
    <t>Marvelous Minilessons for Teaching Intermediate Writing Grades 3-8</t>
  </si>
  <si>
    <t>Reaching and Teaching Them All : Making Quick and Lasting Connections with Every Student in Your Classroom</t>
  </si>
  <si>
    <t>Yuill, Amanda</t>
  </si>
  <si>
    <t>Stronger Together : Answering the Questions of Collaborative Leadership (Creating a Culture of Collaboration and Transparent Communication)</t>
  </si>
  <si>
    <t>Martin, Terri L.;Rains, Cameron L.</t>
  </si>
  <si>
    <t>LB2806 .M368 2018</t>
  </si>
  <si>
    <t>Manuel de Civilité Pour les Petites Filles à l'usage des Maisons D'éducation : Une Parodie érotique</t>
  </si>
  <si>
    <t>Grands Classiques</t>
  </si>
  <si>
    <t>Louÿs, Pierre</t>
  </si>
  <si>
    <t>Sex.</t>
  </si>
  <si>
    <t>Talking about Sex : Sexuality Education for Learners with Disabilities</t>
  </si>
  <si>
    <t>Harkins Monaco, Elizabeth A.;Gibbon, Thomas C.;Bateman, David F.</t>
  </si>
  <si>
    <t>HQ54 .M656 2018</t>
  </si>
  <si>
    <t>People with disabilities-Sexual behavior</t>
  </si>
  <si>
    <t>Positive Behaviour Management in Primary Schools : An Essential Guide</t>
  </si>
  <si>
    <t>LB3013 .W555 2018</t>
  </si>
  <si>
    <t>Classroom management. ; School discipline.</t>
  </si>
  <si>
    <t>Décrocher son diplôme (et l’emploi de ses rêves!) : Comment maîtriser les compétences essentielles menant au succès à l’école, au travail et dans la vie</t>
  </si>
  <si>
    <t>University of Ottawa Press</t>
  </si>
  <si>
    <t>Laramée, Émilie;Klassen, Thomas R.;Dwyer, John A.</t>
  </si>
  <si>
    <t>HF5549.5.J63 .L373 2018</t>
  </si>
  <si>
    <t>Job satisfaction.</t>
  </si>
  <si>
    <t>Digital Humanities : History and Development</t>
  </si>
  <si>
    <t>Le Deuff, Olivier</t>
  </si>
  <si>
    <t>Digital humanities.</t>
  </si>
  <si>
    <t>Intermediate Biblical Hebrew Grammar : A Student's Guide to Phonology and Morphology</t>
  </si>
  <si>
    <t>Society of Biblical Literature</t>
  </si>
  <si>
    <t>SBL Press</t>
  </si>
  <si>
    <t>Reymond, Eric D.</t>
  </si>
  <si>
    <t>Resources for Biblical Study Series</t>
  </si>
  <si>
    <t>PJ4576</t>
  </si>
  <si>
    <t>492.45/9</t>
  </si>
  <si>
    <t>Hebrew language-Phonology. ; Hebrew language-Morphology.</t>
  </si>
  <si>
    <t>Creating Engaging Discussions : Strategies for Avoiding Crickets in Any Size Classroom and Online</t>
  </si>
  <si>
    <t>Herman, Jennifer H.;Nilson, Linda B.</t>
  </si>
  <si>
    <t>Discussion-Study and teaching</t>
  </si>
  <si>
    <t>Wilkins, Stephen</t>
  </si>
  <si>
    <t>International Journal of Educational Management Series</t>
  </si>
  <si>
    <t>LC1090 .M363 2018</t>
  </si>
  <si>
    <t>Live Well, Teach Well: a Practical Approach to Wellbeing That Works</t>
  </si>
  <si>
    <t>Mann, Abigail</t>
  </si>
  <si>
    <t>LB2840.2$b.M366 2018</t>
  </si>
  <si>
    <t>Teachers-Job stress.</t>
  </si>
  <si>
    <t>The Wiley Handbook Of Educational Policy</t>
  </si>
  <si>
    <t>Papa, Rosemary;Armfield, Shadow W. J.</t>
  </si>
  <si>
    <t>School supervision-Handbooks, manuals, etc</t>
  </si>
  <si>
    <t>The Wiley Handbook on Violence in Education : Forms, Factors, and Preventions</t>
  </si>
  <si>
    <t>Schools-Security measures-United States-Handbooks, manuals, etc</t>
  </si>
  <si>
    <t>Personalized Learning in a PLC at Work TM : Student Agency Through the Four Critical Questions (Develop Innovative PLC- and RTI-Based Personalized Learning Programs)</t>
  </si>
  <si>
    <t>Stuart, Timothy S.;Heckmann, Sascha;Mattos, Mike;Buffum, Austin</t>
  </si>
  <si>
    <t>LB1731 .S747 2018</t>
  </si>
  <si>
    <t>Academic Advising and the First College Year</t>
  </si>
  <si>
    <t>Fox, Jenny R.;Martin, Holly E.</t>
  </si>
  <si>
    <t>LB2343 .A298 2017</t>
  </si>
  <si>
    <t>378.1/9</t>
  </si>
  <si>
    <t>Counseling in higher education-United States. ; College student development programs-United States. ; College freshmen-United States.</t>
  </si>
  <si>
    <t>What's Next for Student Veterans? : Moving from Transition to Academic Success</t>
  </si>
  <si>
    <t>DiRamio, David</t>
  </si>
  <si>
    <t>UB357 .W52 2017</t>
  </si>
  <si>
    <t>Veterans-Education (Higher)-United States. ; Veterans-Education-United States. ; College-student veterans-United States.</t>
  </si>
  <si>
    <t>Paths to Learning : Teaching for Engagement in College</t>
  </si>
  <si>
    <t>Tobolowsky, Barbara F.</t>
  </si>
  <si>
    <t>LB2331 .P363 2014</t>
  </si>
  <si>
    <t>College teaching. ; Reflective learning.</t>
  </si>
  <si>
    <t>Thriving in Transitions [OP] : A Research-Based Approach to College Student Success</t>
  </si>
  <si>
    <t>Schreiner, Laurie A.;Louis, Michelle C.;Nelson, Denise D.</t>
  </si>
  <si>
    <t>LB2343.32 .T47 2012</t>
  </si>
  <si>
    <t>College freshmen-United States. ; Transfer students-United States. ; Student adjustment-United States.</t>
  </si>
  <si>
    <t>Higher Education Funding and Access in International Perspective</t>
  </si>
  <si>
    <t>Riddell, Sheila;Minty, Sarah;Wheedon, Elisabet;Whittaker, Susan</t>
  </si>
  <si>
    <t>Great Debates in Higher Education Series</t>
  </si>
  <si>
    <t>Universities and colleges-Finance</t>
  </si>
  <si>
    <t>The Neurodiverse Classroom : A Teacher's Guide to Individual Learning Needs and How to Meet Them</t>
  </si>
  <si>
    <t>Honeybourne, Victoria</t>
  </si>
  <si>
    <t>School Was Our Life : Remembering Progressive Education</t>
  </si>
  <si>
    <t>Martin, Jane Roland;Jorgensen, Estelle R.</t>
  </si>
  <si>
    <t>Progressive education-New York (State)-New York-History-20th century</t>
  </si>
  <si>
    <t>Socially Just Pedagogies : Posthumanist, Feminist and Materialist Perspectives in Higher Education</t>
  </si>
  <si>
    <t>Braidotti, Rosi;Bozalek, Vivienne;Shefer, Tamara;Zembylas, Michalinos</t>
  </si>
  <si>
    <t>LC191.9 .S635 2018</t>
  </si>
  <si>
    <t>Education, Higher-Social aspects. ; Education-Study and teaching-Social aspects. ; Universities and colleges-Sociological aspects.</t>
  </si>
  <si>
    <t>Democracy and Education by John Dewey : With a Critical Introduction by Patricia H. Hinchey</t>
  </si>
  <si>
    <t>Dewey, John;Hinchey, Patricia H.</t>
  </si>
  <si>
    <t>Education Series</t>
  </si>
  <si>
    <t>LB14.7 .D494 2018</t>
  </si>
  <si>
    <t>Education-Philosophy. ; Education-Social aspects.</t>
  </si>
  <si>
    <t>The Souls of Black Folk by W. E. B. du Bois : With a Critical Introduction by Patricia H. Hinchey</t>
  </si>
  <si>
    <t>Hinchey, Patricia H.</t>
  </si>
  <si>
    <t>973/.0496073</t>
  </si>
  <si>
    <t>African Americans.</t>
  </si>
  <si>
    <t>Academics' International Teaching Journeys : Personal Narratives of Transitions in Higher Education</t>
  </si>
  <si>
    <t>Hosein, Anesa;Rao, Namrata;Shu-Hua Yeh, Chloe;Kinchin, Ian M.</t>
  </si>
  <si>
    <t>LA2301 .A233 2018</t>
  </si>
  <si>
    <t>College teachers-Biography.</t>
  </si>
  <si>
    <t>Behavior:the Forgotten Curriculum : An RTI Approach for Nurturing Essential Life Skills (Transform Your Differentiated Instruction, Assessment, and Behavior-Management Strategies)</t>
  </si>
  <si>
    <t>Weber, Chris</t>
  </si>
  <si>
    <t>LC4802 .W434 2018</t>
  </si>
  <si>
    <t>Problem children-Education-United States. ; Behavior disorders in children-United States. ; Response to intervention (Learning disabled children)-United States. ; Academic achievement-Psychological aspects. ; Behavioral assessment of children. ; Metacognition in children. ; Behavior modification.</t>
  </si>
  <si>
    <t>Le Premier Homme d'Albert Camus (Analyse de L'oeuvre) : Analyse Complète et Résumé détaillé de L'oeuvre</t>
  </si>
  <si>
    <t>lePetitLitteraire;Le Floc'h, Mathilde;Murat, Eloïse</t>
  </si>
  <si>
    <t>D'après une Histoire Vraie de Delphine de Vigan (Analyse de L'oeuvre) : Analyse Complète et Résumé détaillé de L'oeuvre</t>
  </si>
  <si>
    <t>lePetitLitteraire;De Smet, Chloé;Lhoste, Lucile</t>
  </si>
  <si>
    <t>Frontiers in Education : Computer Science and Computer Engineering</t>
  </si>
  <si>
    <t>C. S. R. E. A.</t>
  </si>
  <si>
    <t>Arabnia, Hamid R.;Deligiannidis, Leonidas;Tinetti, Fernando G.</t>
  </si>
  <si>
    <t>The 2017 WorldComp International Conference Proceedings Series</t>
  </si>
  <si>
    <t>QA76.27 .F437 2017</t>
  </si>
  <si>
    <t>Computer science-Study and teaching-Congresses.</t>
  </si>
  <si>
    <t>Successful Dissertations : The Complete Guide for Education, Childhood and Early Childhood Studies Students</t>
  </si>
  <si>
    <t>Carter, Caron</t>
  </si>
  <si>
    <t>LB2369 .S833 2018</t>
  </si>
  <si>
    <t>Early childhood education-Research-Methodology</t>
  </si>
  <si>
    <t>The Great University Gamble : Money, Markets and the Future of Higher Education</t>
  </si>
  <si>
    <t>McGettigan, Andrew</t>
  </si>
  <si>
    <t>LA637 .M355 2013</t>
  </si>
  <si>
    <t>Education, Higher-Great Britain. ; Universities and colleges-Great Britain. ; Education.-ukslc ; Hochschulbildung.-gnd ; Universität.-gnd ; Grossbritannien.-gnd</t>
  </si>
  <si>
    <t>Making Workers : Radical Geographies of Education</t>
  </si>
  <si>
    <t>Mitchell, Katharyne</t>
  </si>
  <si>
    <t>Radical Geography</t>
  </si>
  <si>
    <t>LC191 .M583 2018</t>
  </si>
  <si>
    <t>Educational sociology. ; Educational psychology. ; Capitalism and education.</t>
  </si>
  <si>
    <t>Shut Down the Business School : What's Wrong with Management Education</t>
  </si>
  <si>
    <t>Parker, Martin</t>
  </si>
  <si>
    <t>HD30.4 .P375 2018</t>
  </si>
  <si>
    <t>Management-Study and teaching. ; Business schools.</t>
  </si>
  <si>
    <t>Changing Landscapes of Asian Higher Education</t>
  </si>
  <si>
    <t>Mok, Ka;Chan, Sheng-Ju</t>
  </si>
  <si>
    <t>LA1058 .C436 2018</t>
  </si>
  <si>
    <t>Education, Higher-Asia.</t>
  </si>
  <si>
    <t>Making Sense of the College Curriculum : Faculty Stories of Change, Conflict, and Accommodation</t>
  </si>
  <si>
    <t>Zemsky, Robert;Wegner, Gregory R.;Duffield, Ann J.</t>
  </si>
  <si>
    <t>Education, Higher-Curricula-United States. ; Education, Higher-Aims and objectives-United States. ; College teaching-United States.</t>
  </si>
  <si>
    <t>Leadership for Sustainability in Higher Education</t>
  </si>
  <si>
    <t>Haddock-Fraser, Janet;Rands, Peter;Scoffham, Stephen</t>
  </si>
  <si>
    <t>LB2806 .H333 2018</t>
  </si>
  <si>
    <t>Educational leadership. ; Education, Higher.</t>
  </si>
  <si>
    <t>Sustainable School Leadership : Portraits of Individuality</t>
  </si>
  <si>
    <t>Bottery, Mike;Ping-Man, Wong;Ngai, George</t>
  </si>
  <si>
    <t>LB2806 .B688 2018</t>
  </si>
  <si>
    <t>Educational leadership. ; School management and organization. ; Sustainability.</t>
  </si>
  <si>
    <t>Leading a High Reliability School : (Use Data-Driven Instruction and Collaborative Teaching Strategies to Boost Academic Achievement)</t>
  </si>
  <si>
    <t>Marzano, Robert J.;Warrick, Philip B.;Rains, Cameron L.;DuFour, Richard</t>
  </si>
  <si>
    <t>LB2822.8 .M388 2018</t>
  </si>
  <si>
    <t>School improvement programs. ; Teacher effectiveness. ; Professional learning communities.</t>
  </si>
  <si>
    <t>How to Stay Christian in College</t>
  </si>
  <si>
    <t>Tyndale House Publishers</t>
  </si>
  <si>
    <t>NavPress Publishing Group</t>
  </si>
  <si>
    <t>Colorado Springs, CO</t>
  </si>
  <si>
    <t>Budziszewski, J.</t>
  </si>
  <si>
    <t>BV4531.2 .B839 2014</t>
  </si>
  <si>
    <t>Thera-Build® with LEGO® : A Playful Therapeutic Approach for Promoting Emotional Well-Being in Children</t>
  </si>
  <si>
    <t>Thomsen, Alyson</t>
  </si>
  <si>
    <t>RJ505.P6 .T46 2018</t>
  </si>
  <si>
    <t>Growing the Vocabulary of English Language Learners : A Starter Kit for Classroom Teachers</t>
  </si>
  <si>
    <t>Parenti, Melissa;DiMarco, Danielle;Guestello, E. Francine</t>
  </si>
  <si>
    <t>PE1449 .P374 2018</t>
  </si>
  <si>
    <t>Vocabulary-Study and teaching</t>
  </si>
  <si>
    <t>Predpoklady Primární Plavecké Gramotnosti V Raném Veku</t>
  </si>
  <si>
    <t>Nováková, Tereza;Cechovská, Irena;Pathyová, Michaela</t>
  </si>
  <si>
    <t>GV837.2 .N683 2015</t>
  </si>
  <si>
    <t>Swimming for children.</t>
  </si>
  <si>
    <t>The Work of Literature in an Age of Post-Truth</t>
  </si>
  <si>
    <t>Schaberg, Christopher</t>
  </si>
  <si>
    <t>PN710 .S333 2018</t>
  </si>
  <si>
    <t>Literature, Modern-History and criticism.</t>
  </si>
  <si>
    <t>Class Wars : Money, Schools and Power in Modern Australia</t>
  </si>
  <si>
    <t>Taylor, Tony</t>
  </si>
  <si>
    <t>Monash Studies in Australian Society Series</t>
  </si>
  <si>
    <t>LC96 .T395 2018</t>
  </si>
  <si>
    <t>Education and state-Australia. ; Education-Economic aspects-Australia. ; Education-Political aspects. ; Education-Australia-Finance. ; Education-Aims and objectives-Australia. ; School management and organization-Australia.</t>
  </si>
  <si>
    <t>Selling Students Short : Why You Won't Get the University Education You Deserve</t>
  </si>
  <si>
    <t>Allen &amp; Unwin</t>
  </si>
  <si>
    <t>Hil, Richard</t>
  </si>
  <si>
    <t>LB2341.8.A8 .H55 2015</t>
  </si>
  <si>
    <t>Education, Higher-Aims and objectives-Austrlaia. ; Universities and colleges-Australia.</t>
  </si>
  <si>
    <t>An Online Doctorate for Researching Professionals : Program Design, Implementation, and Evaluation</t>
  </si>
  <si>
    <t>Kumar, Swapna;Dawson, Kara</t>
  </si>
  <si>
    <t>LC5800.K85 2018</t>
  </si>
  <si>
    <t>Distance education--Curricula. ; Distance education--Evaluation. ; Research--Study and teaching (Graduate).</t>
  </si>
  <si>
    <t>Competing on Culture : Driving Change in Community Colleges</t>
  </si>
  <si>
    <t>VanWagoner, Randall;Sydow, Debbie L.;Alfred, Richard L.</t>
  </si>
  <si>
    <t>Community colleges-United States-Administration. ; Mohawk Valley Community College.</t>
  </si>
  <si>
    <t>Early Social-Emotional Development: Your Guide to Promoting Children's Positive Behavior</t>
  </si>
  <si>
    <t>Edwards, Nicole Megan;Denham, Susanne</t>
  </si>
  <si>
    <t>LB1139.23 .E393 2018</t>
  </si>
  <si>
    <t>Early childhood education-Psychological aspects. ; Child development. ; Developmental psychology. ; Social interaction in children. ; Emotions in children. ; EDUCATION / Preschool &amp; Kindergarten.-bisacsh ; FAMILY &amp; RELATIONSHIPS / Life Stages / Infants &amp; Toddlers.-bisacsh</t>
  </si>
  <si>
    <t>Inclusion in Action : Practical Strategies to Modify Your Curriculum</t>
  </si>
  <si>
    <t>Eredics, Nicole</t>
  </si>
  <si>
    <t>LC1201 .E74 2018</t>
  </si>
  <si>
    <t>Curriculum change-United States. ; Inclusive education-Curricula-United States.</t>
  </si>
  <si>
    <t>Designing a Motivational Syllabus : Creating a Learning Path for Student Engagement</t>
  </si>
  <si>
    <t>Harrington, Christine;Thomas, Melissa</t>
  </si>
  <si>
    <t>The Excellent Teacher Series</t>
  </si>
  <si>
    <t>LB2361.5 .H377 2018</t>
  </si>
  <si>
    <t>Motivation in education-United States</t>
  </si>
  <si>
    <t>Creating Wicked Students : Designing Courses for a Complex World</t>
  </si>
  <si>
    <t>Hanstedt, Paul</t>
  </si>
  <si>
    <t>LB2395.35 .H367 2018</t>
  </si>
  <si>
    <t>Critical thinking-Study and teaching (Higher) ; Problem solving-Study and teaching (Higher) ; Education, Higher-Curricula.</t>
  </si>
  <si>
    <t>Multicultural Curriculum Transformation in Science, Technology, Engineering, and Mathematics</t>
  </si>
  <si>
    <t>Clark, Christine;VandeHei-Carter, Amanda;Fasching-Varner, Kenneth J.;Haddad, Zaid M.;Candel, Sandra;Bell, Lauren;Hernández-Johnson, Mónica;Bezard, Cindy;Arnold, Tracy;La Cruz, Yolanda De</t>
  </si>
  <si>
    <t>Foundations of Multicultural Education Series</t>
  </si>
  <si>
    <t>LC1099 .M858 2018</t>
  </si>
  <si>
    <t>The Experience of Neoliberal Education</t>
  </si>
  <si>
    <t>Urciuoli, Bonnie</t>
  </si>
  <si>
    <t>LC191.9 .E87 2018</t>
  </si>
  <si>
    <t>Educational anthropology. ; Neoliberalism. ; Education, Higher-Economic aspects.</t>
  </si>
  <si>
    <t>Contemplating Dis/Ability in Schools and Society : A Life in Education</t>
  </si>
  <si>
    <t>Connor, David J.</t>
  </si>
  <si>
    <t>Critical Issues in Disabilities and Education Series</t>
  </si>
  <si>
    <t>HV1568 .C66 2018</t>
  </si>
  <si>
    <t>Disabilities</t>
  </si>
  <si>
    <t>Ensouling Our Schools : A Universally Designed Framework for Mental Health, Well-Being, and Reconciliation</t>
  </si>
  <si>
    <t>Katz, Jennifer;Lamoureux, Kevin</t>
  </si>
  <si>
    <t>LC1203.C2 .K38 2018</t>
  </si>
  <si>
    <t>Inclusive education-Canada. ; Educational sociology-Canada.</t>
  </si>
  <si>
    <t>Raggiungere Il Successo A Scuola</t>
  </si>
  <si>
    <t>KC Global Enterprises Pty Ltd</t>
  </si>
  <si>
    <t>Campbell, Karen;Kahler, Katrina;Staffieri, Valentina</t>
  </si>
  <si>
    <t>BF637.S8 .C367 2017</t>
  </si>
  <si>
    <t>Success.</t>
  </si>
  <si>
    <t>Der Ganze Mensch : Eine Einführung in Die Humanontogenetik Oder Die Biopsychosoziale Einheit Mensch Von der Konzeption Bis Zum Tode</t>
  </si>
  <si>
    <t>Wessel, Karl-Friedrich</t>
  </si>
  <si>
    <t>QR372.O6 .W477 2015</t>
  </si>
  <si>
    <t>Oncogenic viruses. ; Cancer-Genetic aspects. ; Human genetics.</t>
  </si>
  <si>
    <t>Science: Biology/Natural History; Medicine; Science</t>
  </si>
  <si>
    <t>Making Everyday Choices : Helping Students in Grades 2-5 Practice the Art of Thinking</t>
  </si>
  <si>
    <t>Josephson, Lin</t>
  </si>
  <si>
    <t>LB1590.3 .J674 2018</t>
  </si>
  <si>
    <t>Thought and thinking-Study and teaching (Elementary)</t>
  </si>
  <si>
    <t>Place-Based Community Engagement in Higher Education : A Strategy to Transform Universities and Communities</t>
  </si>
  <si>
    <t>Yamamura, Erica K.;Koth, Kent</t>
  </si>
  <si>
    <t>LA227.4 .L585 2018</t>
  </si>
  <si>
    <t>Education, Higher-Aims and objectives-United States</t>
  </si>
  <si>
    <t>Living-Learning Communities That Work : A Research-Based Model for Design, Delivery, and Assessment</t>
  </si>
  <si>
    <t>Inkelas, Karen Kurotsuchi;Jessup-Anger, Jody E.;Benjamin, Mimi;Wawrzynski, Matthew R.</t>
  </si>
  <si>
    <t>LA227.4 .I554 2018</t>
  </si>
  <si>
    <t>Countdown to Non-Fiction Writing : Step by Step Approach to Writing Techniques for 7-12 Years</t>
  </si>
  <si>
    <t>Bowkett, Steve.</t>
  </si>
  <si>
    <t>Countdown Series</t>
  </si>
  <si>
    <t>LB1576 .B695 2010</t>
  </si>
  <si>
    <t>(Mis)Reading Different Cultures : Interpreting International Children's Literature from Asia</t>
  </si>
  <si>
    <t>Amos, Yukari Takimoto;Amos, Daniel Miles</t>
  </si>
  <si>
    <t>PJ341 .M577 2018</t>
  </si>
  <si>
    <t>Children's literature, Oriental-History and criticism</t>
  </si>
  <si>
    <t>Children's Literature from Asia in Today's Classrooms : Towards Culturally Authentic Interpretations</t>
  </si>
  <si>
    <t>PN1009.A1 C455 2018</t>
  </si>
  <si>
    <t>Children's literature-History and criticism-Theory, etc</t>
  </si>
  <si>
    <t>Bonfire of the Humanities : Rescuing the Classics in an Impoverished Age</t>
  </si>
  <si>
    <t>Thornton, Bruce S.;Hanson, Victor Davis;Heath, John</t>
  </si>
  <si>
    <t>LC1011 .H367 2001</t>
  </si>
  <si>
    <t>370.11/2/0973</t>
  </si>
  <si>
    <t>Classical education-United States</t>
  </si>
  <si>
    <t>Why Kids Love (and Hate) School : Reflections on Difference</t>
  </si>
  <si>
    <t>Jones, Steven P.;Sheffield, Eric C.;Johnson, Laura Ruth</t>
  </si>
  <si>
    <t>Academy for Educational Studies Book Series</t>
  </si>
  <si>
    <t>LC4091 .W49 2018</t>
  </si>
  <si>
    <t>Children with social disabilities-Education-United States. ; Children with social disabilities-United States-Attitudes. ; Children of minorities-Education-United States.</t>
  </si>
  <si>
    <t>By the Light of the Silvery Moon : Teacher Moonlighting and the Dark Side of Teachers' Work</t>
  </si>
  <si>
    <t>Blair, Eleanor J.</t>
  </si>
  <si>
    <t>Indigeneity and Decolonial Resistance : Alternatives to Colonial Thinking and Practice</t>
  </si>
  <si>
    <t>Dei, George J. Sefa;Jaimungal, Cristina</t>
  </si>
  <si>
    <t>GN380 .I535 2018</t>
  </si>
  <si>
    <t>Indigenous peoples-Study and teaching. ; Decolonization-Study and teaching.</t>
  </si>
  <si>
    <t>Managing the Quality of Data Collection in Large-Scale Assessments</t>
  </si>
  <si>
    <t>Chatterji, Madhabi;Dalrymple, John;Kirsch, Irwin</t>
  </si>
  <si>
    <t>Quality Assurance in Education Series</t>
  </si>
  <si>
    <t>LB2806.22 .M363 2018</t>
  </si>
  <si>
    <t>Educational accountability-Great Britain. ; Education-Evaluation-Great Britain.</t>
  </si>
  <si>
    <t>The Future of Post-Secondary Education in an Information Rich World</t>
  </si>
  <si>
    <t>King, Elizabeth</t>
  </si>
  <si>
    <t>On the Horizon Series</t>
  </si>
  <si>
    <t>Online Teaching : Tools and Techniques to Achieve Success with Learners</t>
  </si>
  <si>
    <t>Casey, Mike;Shaw, Erin;Whittingham, Jeff;Gallavan, Nancy P.</t>
  </si>
  <si>
    <t>Web-based instruction-Study and teaching. ; Educational technology-Study and teaching. ; Education, Higher-Computer-assisted instruction.</t>
  </si>
  <si>
    <t>Teaching with Compassion : An Educator's Oath to Teach from the Heart</t>
  </si>
  <si>
    <t>Kaufman, Peter;Schipper, Janine</t>
  </si>
  <si>
    <t>LB1027.22.K38 2018</t>
  </si>
  <si>
    <t>Reflective teaching. ; Buddhism and education. ; Teacher-student relationships.</t>
  </si>
  <si>
    <t>Multilevel Analysis of the PISA Data : Insights for Policy and Practice</t>
  </si>
  <si>
    <t>Chinese University Press</t>
  </si>
  <si>
    <t>The Chinese University Press</t>
  </si>
  <si>
    <t>Ho, Esther Sui Chu</t>
  </si>
  <si>
    <t>LB3051 .M858 2013</t>
  </si>
  <si>
    <t>Programme for International Student Assessment. ; Educational tests and measurements-China-Hong Kong.</t>
  </si>
  <si>
    <t>English Language Teaching During Japan's Post-War Occupation : Politics and Pedagogy</t>
  </si>
  <si>
    <t>Ohara, Mayumi;Buchanan, John</t>
  </si>
  <si>
    <t>Routledge Studies in the Modern History of Asia Series</t>
  </si>
  <si>
    <t>PE1068.J3 .O337 2018</t>
  </si>
  <si>
    <t>English language-Study and teaching-Japan-History-20th century</t>
  </si>
  <si>
    <t>To Raise up the Man Farthest Down : Tuskegee University's Advancements in Human Health, 1881-1987</t>
  </si>
  <si>
    <t>Chandler, Dana R.;Powell, Edith;Miller, Linda Kenney</t>
  </si>
  <si>
    <t>R746</t>
  </si>
  <si>
    <t>New Art and Science of Teaching Writing : (Research-Based Instructional Strategies for Teaching and Assessing Writing Skills)</t>
  </si>
  <si>
    <t>Glass, Kathy Tuchman;Marzano, Robert J.</t>
  </si>
  <si>
    <t>LB1631 .G5565 2018</t>
  </si>
  <si>
    <t>English language-Composition and exercises-Study and teaching.</t>
  </si>
  <si>
    <t>Discipline with Dignity : How to Build Responsibility, Relationships, and Respect in Your Classroom</t>
  </si>
  <si>
    <t>LB3012.2 .C879 2018</t>
  </si>
  <si>
    <t>School discipline-United States. ; Problem children-Education-United States.</t>
  </si>
  <si>
    <t>Design Thinking for School Leaders : Five Roles and Mindsets That Ignite Positive Change</t>
  </si>
  <si>
    <t>Gallagher, Alyssa;Thordarson, Kami</t>
  </si>
  <si>
    <t>LB2805 .G355 2018</t>
  </si>
  <si>
    <t>Educational leadership-United States. ; Educational change-United States. ; School management and organization-United States.</t>
  </si>
  <si>
    <t>Unstuck : How Curiosity, Peer Coaching, and Teaming Can Change Your School</t>
  </si>
  <si>
    <t>Goodwin, Bryan;Gibson, Tonia;Lewis, Dale;Rouleau, Kris</t>
  </si>
  <si>
    <t>LA217.2 .U578 2018</t>
  </si>
  <si>
    <t>Educational change-United States. ; Educational leadership-United States. ; Teaching teams-United States. ; Teachers-Professional relationships-United States.</t>
  </si>
  <si>
    <t>Reading, Writing, and Rigor : Helping Students Achieve Greater Depth of Knowledge in Literacy</t>
  </si>
  <si>
    <t>Boyles, Nancy</t>
  </si>
  <si>
    <t>LB1576 .B695 2018</t>
  </si>
  <si>
    <t>Language arts-United States. ; Language arts-Standards-United States. ; Reading-Ability testing. ; Literacy-United States.</t>
  </si>
  <si>
    <t>Research Studies on Educating for Diversity and Social Justice</t>
  </si>
  <si>
    <t>Esmail, Ashraf;Pitre, Abul;Lund, Darren E.;Baptiste, H. Prentice;Duhon-Owens, Gwendolyn</t>
  </si>
  <si>
    <t>LC1099 .R474 2018</t>
  </si>
  <si>
    <t>When They Already Know It : How to Extend and Personalize Student Learning in a PLC at Work® (Support and Engage Proficient Learners in a Professional Learning Community) (Personalized Learning)</t>
  </si>
  <si>
    <t>Welchel, Mark;McCann, Blane;Williams, Tami</t>
  </si>
  <si>
    <t>LB1731 .W453 2018</t>
  </si>
  <si>
    <t>Professional learning communities-United States. ; Effective teaching-United States. ; Teaching teams-United States. ; Individualized instruction-United States.</t>
  </si>
  <si>
    <t>From Empire's Servant to Global Citizen : A history of Massey University</t>
  </si>
  <si>
    <t>Massey University Press</t>
  </si>
  <si>
    <t>Belgrave, Michael</t>
  </si>
  <si>
    <t>LG741.H3 .B454 2016</t>
  </si>
  <si>
    <t>Massey University-History. ; Universities and colleges-New Zealand-Directories. ; Universities and colleges-New Zealand-History.</t>
  </si>
  <si>
    <t>Academic Writing and Referencing for Your Education Degree</t>
  </si>
  <si>
    <t>ST ALBANS</t>
  </si>
  <si>
    <t>Bottomley, Jane;Pryjmachuk, Steven;Waugh, David</t>
  </si>
  <si>
    <t>Critical Study Skills Series</t>
  </si>
  <si>
    <t>LB2369 .B688 2018</t>
  </si>
  <si>
    <t>Education-Authorship. ; Academic writing.</t>
  </si>
  <si>
    <t>Timeless Learning : How Imagination, Observation, and Zero-Based Thinking Change Schools</t>
  </si>
  <si>
    <t>Socol, Ira;Moran, Pam;Ratliff, Chad</t>
  </si>
  <si>
    <t>Making Sense of Mathematics for Teaching the Small Group : (Small-Group Instruction Strategies to Differentiate Math Lessons in Elementary Classrooms)</t>
  </si>
  <si>
    <t>Dixon, Juli K.;Brooks, Lisa A.;Carli, Melissa R.</t>
  </si>
  <si>
    <t>QA11 .D596 2019</t>
  </si>
  <si>
    <t>Learning Without Classrooms : Visionary Designs for Secondary Schools (6 Elements of School Management That Impact Student Learning)</t>
  </si>
  <si>
    <t>Kelly, Frank;McCain, Ted</t>
  </si>
  <si>
    <t>Unstoppable Learning Series</t>
  </si>
  <si>
    <t>LB1028.3 .K455 2019</t>
  </si>
  <si>
    <t>Education-Effect of technological innovations on. ; Educational change.</t>
  </si>
  <si>
    <t>The New Treason of the Intellectuals : Can the University Survive?</t>
  </si>
  <si>
    <t>Docherty, Thomas</t>
  </si>
  <si>
    <t>LB2322.2 .D634 2018</t>
  </si>
  <si>
    <t>Education, Higher-Aims and objectives.</t>
  </si>
  <si>
    <t>The Analytics Revolution in Higher Education : Big Data, Organizational Learning, and Student Success</t>
  </si>
  <si>
    <t>Gagliardi, Jonathan S.;Parnell, Amelia;Carpenter-Hubin, Julia</t>
  </si>
  <si>
    <t>LB2395.7 .A535 2018</t>
  </si>
  <si>
    <t>Education, Higher-Research-United States-Data processing</t>
  </si>
  <si>
    <t>Taking God to School : The End of Australia's Egalitarian Education?</t>
  </si>
  <si>
    <t>Maddox, Marion</t>
  </si>
  <si>
    <t>LC119 .M33 2014</t>
  </si>
  <si>
    <t>Religion in the public schools-Australia. ; Education and state-Australia.</t>
  </si>
  <si>
    <t>A Principal Manager's Guide to Leverage Leadership 2. 0 : How to Build Exceptional Schools Across Your District</t>
  </si>
  <si>
    <t>Bambrick-Santoyo, Paul</t>
  </si>
  <si>
    <t>LB2806 .B363 2018</t>
  </si>
  <si>
    <t>School principals-Professional relationships</t>
  </si>
  <si>
    <t>Parents, Enseignants... Eduquer Ensemble : En Restant Chacun à Sa Place</t>
  </si>
  <si>
    <t>LB1048.5 .H863 2018</t>
  </si>
  <si>
    <t>Education-Parent participation.</t>
  </si>
  <si>
    <t>TExES Bilingual Education Supplemental (164) Book + Online</t>
  </si>
  <si>
    <t>Rosado, Luis A.</t>
  </si>
  <si>
    <t>TExES Teacher Certification Test Prep</t>
  </si>
  <si>
    <t>LC3715 .R673 2019</t>
  </si>
  <si>
    <t>Education, Bilingual-Certification-Texas-Study guides.</t>
  </si>
  <si>
    <t>Assessment Strategies for Online Learning : Engagement and Authenticity</t>
  </si>
  <si>
    <t>Conrad, Dianne;Openo, Jason</t>
  </si>
  <si>
    <t>LB3051 .C667 2018</t>
  </si>
  <si>
    <t>Educational tests and measurements. ; Distance education students.</t>
  </si>
  <si>
    <t>Women Leading Education Across the Continents : Finding and Harnessing the Joy in Leadership</t>
  </si>
  <si>
    <t>McNae, Rachel;Reilly, Elizabeth C.;Strachan, Jane</t>
  </si>
  <si>
    <t>LB2831.8 .I584 2018</t>
  </si>
  <si>
    <t>Educational leadership-Cross-cultural studies-Congresses</t>
  </si>
  <si>
    <t>A Field Guide for Activating the Learner : Using the Learner's Brain Model</t>
  </si>
  <si>
    <t>Barbiere, Mario C.</t>
  </si>
  <si>
    <t>LB1060 .B373 2018</t>
  </si>
  <si>
    <t>The Wiley Handbook of Teaching and Learning</t>
  </si>
  <si>
    <t>Hall, Gene E.;Quinn, Linda F.;Gollnick, Donna M.</t>
  </si>
  <si>
    <t>Teaching-Handbooks, manuals, etc.</t>
  </si>
  <si>
    <t>Mapping the Field of Adult and Continuing Education : An International Compendium: Volume 4: Inquiry and Influences</t>
  </si>
  <si>
    <t>Knox, Alan B.;Conceição, Simone C. O.;Martin, Larry G.</t>
  </si>
  <si>
    <t>LC5215 .M377 2017</t>
  </si>
  <si>
    <t>Adult education-Cross-cultural studies.</t>
  </si>
  <si>
    <t>Mapping the Field of Adult and Continuing Education : An International Compendium: Volume 3: Leadership and Administration</t>
  </si>
  <si>
    <t>PR9369.3.S226S47</t>
  </si>
  <si>
    <t>Adult education-Cross-cultural studies. ; Continuing education-Cross-cultural studies.</t>
  </si>
  <si>
    <t>Mapping the Field of Adult and Continuing Education : An International Compendium: Volume 2: Teaching and Learning</t>
  </si>
  <si>
    <t>Continuing education-Cross-cultural studies.</t>
  </si>
  <si>
    <t>Mapping the Field of Adult and Continuing Education : An International Compendium: Volume 1: Adult Learners</t>
  </si>
  <si>
    <t>Envisioning Public Scholarship for Our Time : Models for Higher Education Researchers</t>
  </si>
  <si>
    <t>Kezar, Adrianna J.;Drivalas, Yianna;Kitchen, Joseph A.</t>
  </si>
  <si>
    <t>LB2326.3 .E585 2018</t>
  </si>
  <si>
    <t>Cortical Visual Impairment : An Approach to Assessment and Intervention, 2nd Edition</t>
  </si>
  <si>
    <t>Roman-Lantzy, Christine</t>
  </si>
  <si>
    <t>HV1626 .R663 2018</t>
  </si>
  <si>
    <t>Children with visual disabilities-Education. ; Children with visual disabilities-Rehabilitation. ; Children with visual disabilities-Services for-United States.</t>
  </si>
  <si>
    <t>The Story of the Israeli Education System : Between Centralism and Distribution, Clarity and Ambiguity, Replication and Ingenuity</t>
  </si>
  <si>
    <t>Hebrew University Magness Press</t>
  </si>
  <si>
    <t>The Hebrew University Magnes Press</t>
  </si>
  <si>
    <t>Jerusalem</t>
  </si>
  <si>
    <t>ISRAEL</t>
  </si>
  <si>
    <t>Nirit Raichel</t>
  </si>
  <si>
    <t>Hebrew</t>
  </si>
  <si>
    <t>IOS in the Classroom : A Guide for Teaching Students with Visual Impairments, IOS 9 Edition</t>
  </si>
  <si>
    <t>Lewis Jr., Larry L.</t>
  </si>
  <si>
    <t>HV1626 .L484 2016</t>
  </si>
  <si>
    <t>371.91/145</t>
  </si>
  <si>
    <t>iOS (Electronic resource) ; iPhone (Smartphone) ; People with visual disabilities-Education. ; Computers and people with disabilities.</t>
  </si>
  <si>
    <t>Essential Elements in Early Intervention : Visual Impairment and Multiple Disabilities</t>
  </si>
  <si>
    <t>Chen, Deborah</t>
  </si>
  <si>
    <t>HV1596.2 .E77 2014</t>
  </si>
  <si>
    <t>362.4/18083</t>
  </si>
  <si>
    <t>Children with visual disabilities. ; Children with disabilities. ; Children with disabilities-Development. ; Infants-Development.</t>
  </si>
  <si>
    <t>College Bound : A Guide for Students with Visual Impairments</t>
  </si>
  <si>
    <t>Trief, Ellen;Feeney, Raquel</t>
  </si>
  <si>
    <t>LB2343.32 .T754 2017</t>
  </si>
  <si>
    <t>College student orientation-United States. ; People with visual disabilities-Education (Higher)-United States.</t>
  </si>
  <si>
    <t>Innovative Strategies for Accelerated Human Resources Development in South Asia : Student Assessment and Examination: Special Focus on Bangladesh, Nepal, and Sri Lanka</t>
  </si>
  <si>
    <t>LB3051 .I566 2017</t>
  </si>
  <si>
    <t>Educational tests and measurements-South Asia. ; Competency-based education-South Asia. ; Academic achievement-South Asia.</t>
  </si>
  <si>
    <t>Innovative Strategies for Accelerated Human Resources Development in South Asia : Information and Communication Technology for Education: Special Focus on Bangladesh, Nepal, and Sri Lanka</t>
  </si>
  <si>
    <t>LA1144.5 .I566 2017</t>
  </si>
  <si>
    <t>Education-South Asia-Data processing. ; Information technology-Study and teaching-South Asia.</t>
  </si>
  <si>
    <t>New Art and Science of Teaching Reading : (How to Teach Reading Comprehension Using a Literacy Development Model)</t>
  </si>
  <si>
    <t>Simms, Julia A.;Marzano, Robert J.</t>
  </si>
  <si>
    <t>LB1050.6$b.S56 2019</t>
  </si>
  <si>
    <t>Reading-Research. ; Reading comprehension.</t>
  </si>
  <si>
    <t>Using Focus Groups to Listen, Learn, and Lead in Higher Education</t>
  </si>
  <si>
    <t>Danner, Mona J. E.;Pickering, J. Worth;Paredes, Tisha M.</t>
  </si>
  <si>
    <t>LB2326.3 .D366 2018</t>
  </si>
  <si>
    <t>Digitální informační kurátorství jako univerzální edukační přístup</t>
  </si>
  <si>
    <t>Michal Černý</t>
  </si>
  <si>
    <t>N6490 .C476 2017</t>
  </si>
  <si>
    <t>Curatorship.</t>
  </si>
  <si>
    <t>Changing Seasons : A Language Arts Curriculum for Healthy Aging</t>
  </si>
  <si>
    <t>Calhoun, Denise L.</t>
  </si>
  <si>
    <t>HV1451 .C28 2018</t>
  </si>
  <si>
    <t>Older people-Care. ; Older people-Communication.</t>
  </si>
  <si>
    <t>10 Success Factors for Literacy Intervention : Getting Results with MTSS in Elementary Schools</t>
  </si>
  <si>
    <t>LB1050.5 .H355 2018</t>
  </si>
  <si>
    <t>Reading-Remedial teaching. ; Reading (Elementary) ; Response to intervention (Learning disabled children)</t>
  </si>
  <si>
    <t>Using Understanding by Design in the Culturally and Linguistically Diverse Classroom</t>
  </si>
  <si>
    <t>Heineke, Amy J.;McTighe, Jay</t>
  </si>
  <si>
    <t>LB2806.15 .H456 2018</t>
  </si>
  <si>
    <t>Curriculum planning-United States. ; Curriculum-based assessment-United States. ; Multicultural education-United States. ; Minorities-Education-United States. ; Linguistic minorities-Education-United States.</t>
  </si>
  <si>
    <t>Partners in O&amp;M : Supporting Orientation and Mobility for Students Who Are Visually Impaired</t>
  </si>
  <si>
    <t>Pogrund, Rona L.;Griffin-Shirley, Nora</t>
  </si>
  <si>
    <t>HV1631 .P378 2018</t>
  </si>
  <si>
    <t>Children with visual disabilities-Education. ; Children with visual disabilities-Orientation and mobility.</t>
  </si>
  <si>
    <t>Community-Based Global Learning : The Theory and Practice of Ethical Engagement at Home and Abroad</t>
  </si>
  <si>
    <t>Hartman, Eric;Kiely, Richard C.;Friedrichs, Jessica;Boettcher, Christopher</t>
  </si>
  <si>
    <t>LC1036 .H378 2018</t>
  </si>
  <si>
    <t>Community education.</t>
  </si>
  <si>
    <t>The Art of Integrative Counseling</t>
  </si>
  <si>
    <t>Corey, Gerald</t>
  </si>
  <si>
    <t>Access to Success and Social Mobility Through Higher Education : A Curate's Egg?</t>
  </si>
  <si>
    <t>Billingham, Stuart</t>
  </si>
  <si>
    <t>A Field Guide for Setting the Stage : Delivering the Plan Using the Learner's Brain Model</t>
  </si>
  <si>
    <t>Queer Adolescent Literature As a Complement to the English Language Arts Curriculum</t>
  </si>
  <si>
    <t>Greathouse, Paula;Eisenbach, Brooke;Kaywell, Joan F.</t>
  </si>
  <si>
    <t>PN56.H57 .Q447 2018</t>
  </si>
  <si>
    <t>Gays in literature</t>
  </si>
  <si>
    <t>The Achievement Gap : A Poverty Crisis, Not an Education Crisis</t>
  </si>
  <si>
    <t>HC110.P6 .W344 2018</t>
  </si>
  <si>
    <t>Poverty-United States. ; Poor children-United States-Social conditions. ; Children with social disabilities-United States-Social conditions.</t>
  </si>
  <si>
    <t>Clearing the Path for First-Generation College Students : Qualitative and Intersectional Studies of Educational Mobility</t>
  </si>
  <si>
    <t>Rondini, Ashley C.;Richards, Bedelia Nicola;Simon, Nicolas P.;Stuber, Jenny;Beard, Trista;Godsoe, Kim;Harper, Casandra E.;Hurst, Allison L.;Irwin, Véronique;Jack, Anthony Abraham</t>
  </si>
  <si>
    <t>LC4069.6.C65 2018</t>
  </si>
  <si>
    <t>First-generation college students--United States. ; People with social disabilities--Education (Higher)--United States.</t>
  </si>
  <si>
    <t>Does My Child Have a Developmental Delay? : A Step-By-Step Guide for Parents on Early Intervention</t>
  </si>
  <si>
    <t>LC4704 .V366 2019</t>
  </si>
  <si>
    <t>Early childhood education-Parent participation</t>
  </si>
  <si>
    <t>Kenyan Public Universities in the Age of Internationalization : Challenges and Prospects</t>
  </si>
  <si>
    <t>Otieno, Iddah Aoko</t>
  </si>
  <si>
    <t>LA1563 .O854 2018</t>
  </si>
  <si>
    <t>Public universities and colleges-Kenya-Case studies</t>
  </si>
  <si>
    <t>Uncovering Indigenous Models of Leadership : An Ethnographic Case Study of Samoa's Talavou Clan</t>
  </si>
  <si>
    <t>Peterson, Robert Jon</t>
  </si>
  <si>
    <t>HD57.7 .P484 2018</t>
  </si>
  <si>
    <t>Leadership-Samoa</t>
  </si>
  <si>
    <t>Leading the Evolution : How to Make Personalized Competency-Based Education a Reality (an Educational Leadership Guide to Competency-Based Education for Student Engagement)</t>
  </si>
  <si>
    <t>Ruyle, Mike;O'Neill, Tamera Weir;Iberlin, Jeanie M.;Evans, Michael D.;Midles, Rebecca</t>
  </si>
  <si>
    <t>LC1032.R89 2019</t>
  </si>
  <si>
    <t>Competency-based education--United States. ; Individualized instruction--United States. ; Competency-based education. (OCoLC)fst00871437. ; Individualized instruction. (OCoLC)fst00970355. ; Competentiegericht onderwijs. ; Onderwijsvernieuwing. ; United States. (OCoLC)fst01204155.</t>
  </si>
  <si>
    <t>Potlatch As Pedagogy : Learning Through Ceremony</t>
  </si>
  <si>
    <t>Davidson, Sara Florence;Davidson, Robert;Archibald, Jo-Ann</t>
  </si>
  <si>
    <t>E78.N78 .D385 2018</t>
  </si>
  <si>
    <t>971.1004/9728</t>
  </si>
  <si>
    <t>Potlatch-British Columbia. ; Haida Indians-Education-British Columbia. ; Haida Indians-British Columbia-Rites and ceremonies.</t>
  </si>
  <si>
    <t>Catch a Fire : Fuelling Inquiry and Passion Through Project-Based Learning</t>
  </si>
  <si>
    <t>Henderson, Matt;O'Leary, Brian;Armstrong, Theresa;Brown, Eva;Burton, Will;Dueck, Jonathan;Ferguson-Baird, Bonnie;Fulford, Keith;Lake, Tom;Law, Dave</t>
  </si>
  <si>
    <t>LB1027.43 .C383 2019</t>
  </si>
  <si>
    <t>Project method in teaching.</t>
  </si>
  <si>
    <t>From Cradle to Classroom : A Guide to Special Education for Young Children</t>
  </si>
  <si>
    <t>Young, Nicholas D.;Jean, Elizabeth;Mead, Anne E.</t>
  </si>
  <si>
    <t>LC3981 .Y686 2018</t>
  </si>
  <si>
    <t>Early childhood education-United States</t>
  </si>
  <si>
    <t>Higher Education in Federal Countries : A Comparative Study</t>
  </si>
  <si>
    <t>Carnoy, Martin;Froumin, Isak Davidovich;Leshukov, Oleg;Marginson, Simon</t>
  </si>
  <si>
    <t>SAGE Studies in Higher Education Series</t>
  </si>
  <si>
    <t>LC171 .H544 2018</t>
  </si>
  <si>
    <t>Higher education and state-Case studies. ; Federal government-Case studies. ; Central-local government relations-Case studies.</t>
  </si>
  <si>
    <t>Keeping Students Safe Every Day: How to Prepare for and Respond to School Violence, Natural Disasters, and Other Hazards : How to Prepare for and Respond to School Violence, Natural Disasters, and Other Hazards</t>
  </si>
  <si>
    <t>Klinger, Amy;Klinger, Amanda</t>
  </si>
  <si>
    <t>Assessment Literacy for Educators in a Hurry</t>
  </si>
  <si>
    <t>The Wiley International Handbook of Service-Learning for Social Justice</t>
  </si>
  <si>
    <t>Lund, Darren E.</t>
  </si>
  <si>
    <t>LC220.5.W554 2018</t>
  </si>
  <si>
    <t>Service learning. ; Social justice--Study and teaching.</t>
  </si>
  <si>
    <t>Goal-Directed Decision Making : Computations and Neural Circuits</t>
  </si>
  <si>
    <t>Morris, Richard W.;Bornstein, Aaron;Shenhav, Amitai</t>
  </si>
  <si>
    <t>The Next Step Forward in Reading Intervention : The Rise Framework</t>
  </si>
  <si>
    <t>Scholastic Education</t>
  </si>
  <si>
    <t>Scholastic</t>
  </si>
  <si>
    <t>Scholastic Professional</t>
  </si>
  <si>
    <t>Richardson, Jan;Lewis, Ellen</t>
  </si>
  <si>
    <t>LC149 .R534 2018</t>
  </si>
  <si>
    <t>Literacy. ; Reading disability. ; Reading-Remedial teaching.</t>
  </si>
  <si>
    <t>Handbook of Comparative Education Law : Selected European Nations</t>
  </si>
  <si>
    <t>KJC6266 .H363 2018</t>
  </si>
  <si>
    <t>Educational law and legislation-Europe.</t>
  </si>
  <si>
    <t>New Art and Science of Classroom Assessment : (Authentic Assessment Methods and Tools for the Classroom)</t>
  </si>
  <si>
    <t>Marzano, Robert J.;Norford, Jennifer S.;Ruyle, Mike</t>
  </si>
  <si>
    <t>LB3051 .M37 2019</t>
  </si>
  <si>
    <t>Learning Technology : A Handbook for FE Teachers and Assessors</t>
  </si>
  <si>
    <t>Scott, Daniel</t>
  </si>
  <si>
    <t>LB1028.3 .S368 2018</t>
  </si>
  <si>
    <t>JNT. ; Teaching skills &amp; techniques. ; JNT. ; Competenze e tecniche di insegnamento. ; JNT. ; Didaktische Kompetenz und Lehrmethoden. ; JNT. ; Destrezas y técnicas de enseñanza. ; .</t>
  </si>
  <si>
    <t>The Wiley Handbook of Global Educational Reform</t>
  </si>
  <si>
    <t>Saltman, Kenneth J.;Means, Alexander J.</t>
  </si>
  <si>
    <t>Educational change-Cross-cultural studies.</t>
  </si>
  <si>
    <t>A History of Wayne State University in Photographs, Second Edition</t>
  </si>
  <si>
    <t>Aschenbrenner, Evelyn;Wilson, M. Roy</t>
  </si>
  <si>
    <t>LD5889.W42 .A834 2018</t>
  </si>
  <si>
    <t>Wayne State University-History.</t>
  </si>
  <si>
    <t>Enabling Environments : A Search for Integrating Science, Arts and Practice. a Tribute to the Legacy of Prof. Eric Broekaert (1951-2016)</t>
  </si>
  <si>
    <t>Winship, Gary;Vanderplasschen, Wouter;Damme, Lore van</t>
  </si>
  <si>
    <t>Therapeutic Communities: the International Journal of Therapeutic Communities Series</t>
  </si>
  <si>
    <t>RC489.T67 .E533 2017</t>
  </si>
  <si>
    <t>Therapeutic communities-Standards-United States.</t>
  </si>
  <si>
    <t>Technology Management in Business Education</t>
  </si>
  <si>
    <t>Bordia, Sarbari;Crossman, Joanna;Sharma, Sujeet</t>
  </si>
  <si>
    <t>Journal of International Education in Business Series</t>
  </si>
  <si>
    <t>HF1131 .T434 2018</t>
  </si>
  <si>
    <t>Business education-United States.</t>
  </si>
  <si>
    <t>Stakeholder Engagement in Internationalisation of Business Schools. a Research Vision to Be Materialised</t>
  </si>
  <si>
    <t>Riad, S. M.</t>
  </si>
  <si>
    <t>HC110.E5 .S735 2018</t>
  </si>
  <si>
    <t>Environmental policy-United States.</t>
  </si>
  <si>
    <t>Environmental Studies; Business/Management</t>
  </si>
  <si>
    <t>Harnessing Technology for Deeper Learning : (a Quick Guide to Educational Technology Integration and Digital Learning Spaces)</t>
  </si>
  <si>
    <t>McLeod, Scott;Graber, Julie</t>
  </si>
  <si>
    <t>Educational technology. ; Education-Effect of technological innovations on. ; Education-Aims and objectives.</t>
  </si>
  <si>
    <t>Owning It : Proven Strategies to Ace and Embrace Teaching (Effective Teaching Strategies to Improve Classroom Management and Increase Teacher Empowerment)</t>
  </si>
  <si>
    <t>Kajitani, Alex</t>
  </si>
  <si>
    <t>LB1025.3 .K355 2018</t>
  </si>
  <si>
    <t>Effective teaching-Methodology. ; Academic achievement.</t>
  </si>
  <si>
    <t>Well-Grounded : The Neurobiology of Rational Decisions</t>
  </si>
  <si>
    <t>Lambert, Kelly</t>
  </si>
  <si>
    <t>QP395 .L363 2018</t>
  </si>
  <si>
    <t>612.8/233</t>
  </si>
  <si>
    <t>Decision making-Physiological aspects.</t>
  </si>
  <si>
    <t>Making Global Learning Universal : Promoting Inclusion and Success for All Students</t>
  </si>
  <si>
    <t>Landorf, Hilary;Doscher, Stephanie;Hardrick, Jaffus</t>
  </si>
  <si>
    <t>LB1029.G55 .L363 2018</t>
  </si>
  <si>
    <t>Global method of teaching. ; Multicultural education. ; Multiculturalism-Study and teaching.</t>
  </si>
  <si>
    <t>Assessing Service-Learning and Civic Engagement : Principles and Techniques</t>
  </si>
  <si>
    <t>Gelmon, Sherril B.;Holland, Barbara A.;Spring, Amy;Driscoll, Amy;Kerrigan, Seanna M.</t>
  </si>
  <si>
    <t>LC220.5 .G456 2018</t>
  </si>
  <si>
    <t>361.3/70973</t>
  </si>
  <si>
    <t>Service learning-United States. ; Community and college-United States. ; Political participation-United States.</t>
  </si>
  <si>
    <t>The Craft of University Teaching</t>
  </si>
  <si>
    <t>Lindsay, Peter</t>
  </si>
  <si>
    <t>LB2331 .L563 2018</t>
  </si>
  <si>
    <t>Voices from Around the IEP Table : Perspectives on Culturally and Linguistically Diverse Families</t>
  </si>
  <si>
    <t>Lukacs, Karrin;Steeley, Sherry L.</t>
  </si>
  <si>
    <t>LC4019.L36 2018</t>
  </si>
  <si>
    <t>Individualized education programs. ; Children with disabilities--Education. ; Intercultural communication in education.</t>
  </si>
  <si>
    <t>What If? : Building Students' Problem-Solving Skills Through Complex Challenges</t>
  </si>
  <si>
    <t>LB1590.3 .B444 2018</t>
  </si>
  <si>
    <t>Critical thinking-Study and teaching. ; Problem solving-Study and teaching.</t>
  </si>
  <si>
    <t>Manage Your Time or Time Will Manage You: Strategies That Work from an Educator Who's Been There : Strategies That Work from an Educator Who's Been There</t>
  </si>
  <si>
    <t>Caposey, P. J.</t>
  </si>
  <si>
    <t>LB2831.658 .C376 2018</t>
  </si>
  <si>
    <t>658.4/093</t>
  </si>
  <si>
    <t>School administrators-Time management. ; Educators-Time management.</t>
  </si>
  <si>
    <t>LB1025.3 .J335 2018</t>
  </si>
  <si>
    <t>Teaching While White : Addressing the Intersections of Race and Immigration in the Classroom</t>
  </si>
  <si>
    <t>Roy, Laura A.;Gingrich, Drew</t>
  </si>
  <si>
    <t>LC1099.3.R69 2018</t>
  </si>
  <si>
    <t>Multicultural education--United States. ; Minorities--Education--United States. ; Teachers, White--United States.</t>
  </si>
  <si>
    <t>Teacher Education Policy and Practice in Europe : Challenges and Opportunities for the Future</t>
  </si>
  <si>
    <t>Simões, Ana Raquel;Lourenço, Mónica;Costa, Nilza</t>
  </si>
  <si>
    <t>Routledge Research in Teacher Education Series</t>
  </si>
  <si>
    <t>LB1723 .T433 2018</t>
  </si>
  <si>
    <t>Education and state-Europe</t>
  </si>
  <si>
    <t>Counselor Education in the 21st Century : Issues and Experiences</t>
  </si>
  <si>
    <t>Atieno Okech, Jane E.;Rubel, Deborah J.</t>
  </si>
  <si>
    <t>Counseling-Study and teaching</t>
  </si>
  <si>
    <t>The Wiley Handbook of Educational Supervision</t>
  </si>
  <si>
    <t>Zepeda, Sally J.;Ponticell, Judith A.</t>
  </si>
  <si>
    <t>Educational leadership-United States-Handbooks, manuals, etc</t>
  </si>
  <si>
    <t>Handbook for the New Art and Science of Teaching : (Your Guide to the Marzano Framework for Competency-Based Education and Teaching Methods)</t>
  </si>
  <si>
    <t>LB1025.3 .M379 2019</t>
  </si>
  <si>
    <t>The Wiley International Handbook of Educational Foundations</t>
  </si>
  <si>
    <t>Canestrari, Alan S.;Marlowe, Bruce A.</t>
  </si>
  <si>
    <t>EDUCATION / Higher.-bisacsh</t>
  </si>
  <si>
    <t>Education and Expertise</t>
  </si>
  <si>
    <t>Addis, Mark;Winch, Christopher</t>
  </si>
  <si>
    <t>Education-Aims and objectives. ; Interdisciplinary approach in education. ; Teacher effectiveness. ; Expertise.</t>
  </si>
  <si>
    <t>International Aspects of Organizational Ethics in Educational Systems</t>
  </si>
  <si>
    <t>Shapira-Lishchinsky, Orly</t>
  </si>
  <si>
    <t>Studies in Educational Administration Series</t>
  </si>
  <si>
    <t>Education-Moral and ethical aspects</t>
  </si>
  <si>
    <t>Inclusive Education in South Africa and the Developing World : The Search for an Inclusive Pedagogy</t>
  </si>
  <si>
    <t>Manicka Naicker, Sigamoney</t>
  </si>
  <si>
    <t>Inclusive education--South Africa. ; Inclusive education--Developing countries. ; Inclusive education--Government policy--South Africa. ; Inclusive education--Government policy--Developing countries. ; Inclusive education. (OCoLC)fst00968624. ; Inclusive education--Government policy. (OCoLC)fst00968627. ; Developing countries. (OCoLC)fst01242969. ; South Africa. (OCoLC)fst01204616.</t>
  </si>
  <si>
    <t>Teacher's Guide to Standards-Based Learning : (an Instruction Manual for Adopting Standards-Based Grading, Curriculum, and Feedback)</t>
  </si>
  <si>
    <t>Heflebower, Tammy;Hoegh, Jan K.;Warrick, Philip B.;Flygare, Jeff</t>
  </si>
  <si>
    <t>LB3060.82 .H445 2019</t>
  </si>
  <si>
    <t>Leading with Intention : Leading with Intention: Eight Areas for Reflection and Planning in Your PLC at Work® (40+ Educational Leadership Practices You Can Use in Your School Today)</t>
  </si>
  <si>
    <t>Spiller, Jeanne;Power, Karen</t>
  </si>
  <si>
    <t>LB2831.9 .S655 2019</t>
  </si>
  <si>
    <t>A Guide to Teaching in the Active Learning Classroom : History, Research, and Practice</t>
  </si>
  <si>
    <t>Baepler, Paul;Walker, J. D.;Brooks, D. Christopher;Saichaie, Kem;Petersen, Christina I.;Petersen, Christina I.</t>
  </si>
  <si>
    <t>LB1027.23 .B347 2016</t>
  </si>
  <si>
    <t>Active learning. ; Classroom environment. ; Classroom management.</t>
  </si>
  <si>
    <t>Education Governance and Social Theory : Interdisciplinary Approaches to Research</t>
  </si>
  <si>
    <t>Wilkins, Andrew;Olmedo, Antonio</t>
  </si>
  <si>
    <t>L107 .E383 2018</t>
  </si>
  <si>
    <t>Education-Congresses.</t>
  </si>
  <si>
    <t>Education and state-Australia. ; Education-Australia-Finance. ; Education-Political aspects. ; Education-Aims and objectives-Australia. ; Education-Economic aspects-Australia. ; School management and organization-Australia.</t>
  </si>
  <si>
    <t>Combating Hatred : Transformational Educators Striving for Social Justice</t>
  </si>
  <si>
    <t>Furin, Terrance L.</t>
  </si>
  <si>
    <t>LB3013.3 .F875 2019</t>
  </si>
  <si>
    <t>Educational leadership-United States</t>
  </si>
  <si>
    <t>The Process of Learning : Some Psychological Aspects of Learning and Discipline in School</t>
  </si>
  <si>
    <t>Bloor, Constance</t>
  </si>
  <si>
    <t>LB1051 .B566 2018</t>
  </si>
  <si>
    <t>Exploring Campus Diversity : Case Studies and Exercises</t>
  </si>
  <si>
    <t>LC1099.3 .E975 2018</t>
  </si>
  <si>
    <t>Minorities in higher education-United States</t>
  </si>
  <si>
    <t>The Literacy Leadership Guide for Elementary Principals : Reclaiming Teacher Autonomy and Joy</t>
  </si>
  <si>
    <t>Meidl, Tynisha D.;Lau, Jason;Sulentic Dowell, Margaret-Mary</t>
  </si>
  <si>
    <t>LB2831.92 .M453 2019</t>
  </si>
  <si>
    <t>Elementary school principals-United States</t>
  </si>
  <si>
    <t>International Perspectives of Black Male Teachers, Teacher Leaders and School Leaders</t>
  </si>
  <si>
    <t>Lewis, Chance;Toldson, Ivory;Davis, Julius</t>
  </si>
  <si>
    <t>Journal for Multicultural Education Series</t>
  </si>
  <si>
    <t>LB2831.6 .I584 2018</t>
  </si>
  <si>
    <t>Work-Based and Vocational Education As Catalysts for Sustainable Development</t>
  </si>
  <si>
    <t>Hindley, Ann;Wall, Tony</t>
  </si>
  <si>
    <t>Higher Education, Skills and Work-Based Learning Series</t>
  </si>
  <si>
    <t>LC1042 .W675 2018</t>
  </si>
  <si>
    <t>Vocational education-Congresses.</t>
  </si>
  <si>
    <t>From Persia to Tehr Angeles : A Contemporary Guide to Understanding and Appreciating Ancient Persian Culture</t>
  </si>
  <si>
    <t>Morgan James Publishing</t>
  </si>
  <si>
    <t>Sharareh, Kamran;KShar</t>
  </si>
  <si>
    <t>DS266 .S537 2014</t>
  </si>
  <si>
    <t>Iran-Social life and customs.</t>
  </si>
  <si>
    <t>Managing Unstoppable Learning : (Classroom Behavior Management Strategies to Support Social and Emotional Learning)</t>
  </si>
  <si>
    <t>LB1731 .H513 2019</t>
  </si>
  <si>
    <t>Professional learning communities. ; Curriculum planning. ; Educational planning. ; Teachers-Professional relationships. ; Teacher-principal relationships.</t>
  </si>
  <si>
    <t>National Identity and Education in Early Twentieth Century Australia</t>
  </si>
  <si>
    <t>Keane, Jan</t>
  </si>
  <si>
    <t>LA410-2284</t>
  </si>
  <si>
    <t>National characteristics, Australian</t>
  </si>
  <si>
    <t>LGBTQAI Books for Children and Teens : Providing a Window for All</t>
  </si>
  <si>
    <t>Dorr, Christina;Deskins, Liz</t>
  </si>
  <si>
    <t>Z7164.H74 .D677 2018</t>
  </si>
  <si>
    <t>Sexual minorities-Juvenile literature-Bibliography. ; Sexual minority youth-Books and reading-United States. ; Teenagers-Books and reading-United States. ; Libraries-Special collections-Sexual minorities. ; Young adult literature-Study and teaching. ; Sexual minorities in literature-Bibliography. ; Sexual minorities-Bibliography. ; Children's literature-Study and teaching. ; Children-Books and reading-United States.</t>
  </si>
  <si>
    <t>Exploring Consensual Leadership in Higher Education : Co-Operation, Collaboration and Partnership</t>
  </si>
  <si>
    <t>Gornall, Lynne;Thomas, Brychan;Sweetman, Lucy</t>
  </si>
  <si>
    <t>LB2806 .E975 2018</t>
  </si>
  <si>
    <t>Educational leadership-Germany.</t>
  </si>
  <si>
    <t>Cherishing and the Good Life of Learning : Ethics, Education, Upbringing</t>
  </si>
  <si>
    <t>Cigman, Ruth</t>
  </si>
  <si>
    <t>LB14.7 .C546 2018</t>
  </si>
  <si>
    <t>Education-Philosophy.</t>
  </si>
  <si>
    <t>The Big Book of Dyslexia Activities for Kids and Teens : 100+ Creative, Fun, Multi-Sensory and Inclusive Ideas for Successful Learning</t>
  </si>
  <si>
    <t>Reid, Gavin;Guise, Nick;Guise, Jennie</t>
  </si>
  <si>
    <t>The Complete Guide to Teaching Exercise to Special Populations</t>
  </si>
  <si>
    <t>Coulson, Morc</t>
  </si>
  <si>
    <t>GV341 .C685 2011</t>
  </si>
  <si>
    <t>Physical education and training. ; People with disabilities-Education. ; Physical fitness for people with disabilities-Study and teaching.</t>
  </si>
  <si>
    <t>Prevent-Teach-Reinforce : The School-Based Model of Individualized Positive Behavior Support</t>
  </si>
  <si>
    <t>Dunlap, Glen;Iovannone, Rose;Kincaid, Donald;Wilson, Kelly;Christiansen, Kathy;Strain, Phillip S.;Knoster, Timothy</t>
  </si>
  <si>
    <t>LB1139.S6P74 2018</t>
  </si>
  <si>
    <t>Social skills--Study and teaching (Early childhood). ; Behavior disorders in children--Prevention. ; Early childhood education. ; Child development.</t>
  </si>
  <si>
    <t>Professional Dialogues in the Early Years : Rediscovering Early Years Pedagogy and Principles</t>
  </si>
  <si>
    <t>Wild, Mary;Alexander, Elise;Briggs, Mary;Gilson, Catharine;Lake, Gillian;Mitchell, Helena;Swarbrick, Nick</t>
  </si>
  <si>
    <t>LB1775.6 .W553 2018</t>
  </si>
  <si>
    <t>JNF. ; Educational strategies &amp; policy. ; JNF. ; Didattica: strategie e politiche educative. ; JNF. ; Bildungsstrategien und -politik. ; JNF. ; Estrategias y políticas educativas. ; .</t>
  </si>
  <si>
    <t>Competence and Program-Based Approach in Training : Tools for Developing Responsible Activities</t>
  </si>
  <si>
    <t>Loisy, Catherine;Coulet, Jean-Claude</t>
  </si>
  <si>
    <t>Education, Humanistic-Curricula.</t>
  </si>
  <si>
    <t>Research in the Sociology of Education</t>
  </si>
  <si>
    <t>Park, Hyunjoon;Kao, Grace</t>
  </si>
  <si>
    <t>HM826</t>
  </si>
  <si>
    <t>Educational sociology-Research</t>
  </si>
  <si>
    <t>Managing Risk in High-Stakes Faculty Employment Decisions</t>
  </si>
  <si>
    <t>Flood, Julee T.;Leap, Terry L.</t>
  </si>
  <si>
    <t>KF4240 .F566 2018</t>
  </si>
  <si>
    <t>College teachers-Legal status, laws, etc.-United States. ; College teachers-Selection and appointment-United States. ; Universities and colleges-Law and legislation-United States.</t>
  </si>
  <si>
    <t>Politics and Pedagogy in the Post-Truth Era : Insurgent Philosophy and Praxis</t>
  </si>
  <si>
    <t>LB1025.3 .F673 2019</t>
  </si>
  <si>
    <t>Teaching-Philosophy. ; Teaching-Political aspects. ; Teaching-Social aspects.</t>
  </si>
  <si>
    <t>Every Student, Every Day : A No-Nonsense Nurturer® Approach to Reaching All Learners (No-Nonsense Behavior Management Strategies for the Classroom)</t>
  </si>
  <si>
    <t>Borrero, Kristyn Klei</t>
  </si>
  <si>
    <t>LB3013 .B677 2019</t>
  </si>
  <si>
    <t>Eurocentrisch Denken Voorbij : Interculturele Perspectieven in Geschiedenisonderwijs</t>
  </si>
  <si>
    <t>Couttenier, Maarten;Standaert, Nicolas;Van Nieuwenhuyse, Karel</t>
  </si>
  <si>
    <t>Historisch Denken Series</t>
  </si>
  <si>
    <t>-</t>
  </si>
  <si>
    <t>Area studies-History. ; Area studies-History-19th century. ; Area studies-History-20th century.</t>
  </si>
  <si>
    <t>SoTL in Action : Illuminating Critical Moments of Practice</t>
  </si>
  <si>
    <t>Chick, Nancy L.</t>
  </si>
  <si>
    <t>Catalyst in Action : Case Studies of High-Impact EPortfolio Practice</t>
  </si>
  <si>
    <t>LB1029.P67 .C383 2018</t>
  </si>
  <si>
    <t>Academic achievement-Evaluation</t>
  </si>
  <si>
    <t>Effective Personal Tutoring in Higher Education</t>
  </si>
  <si>
    <t>Lochtie, Dave;McIntosh, Emily;Stork, Andrew;Walker, Ben W.</t>
  </si>
  <si>
    <t>LC41 .L634 2018</t>
  </si>
  <si>
    <t>Tutors and tutoring. ; Education, Higher. ; Student counselors.</t>
  </si>
  <si>
    <t>Teaching Strategies That Create Assessment-Literate Learners</t>
  </si>
  <si>
    <t>Stewart McCafferty, Anita;Beaudry, Jeffrey S.</t>
  </si>
  <si>
    <t>LB3050.5 .S749 2018</t>
  </si>
  <si>
    <t>Connecting the Dots Between Education, Interests, and Careers, Grades 7-10 : A Guide for School Practitioners</t>
  </si>
  <si>
    <t>Klerk, Sarah M.</t>
  </si>
  <si>
    <t>LC1037 .K547 2013</t>
  </si>
  <si>
    <t>Career education. ; Vocational guidance.</t>
  </si>
  <si>
    <t>Innovating Education in the Era of Technology</t>
  </si>
  <si>
    <t>Li, Kam Cheong</t>
  </si>
  <si>
    <t>Interactive Technology and Smart Education Series</t>
  </si>
  <si>
    <t>LB1028.3 .I566 2018</t>
  </si>
  <si>
    <t>Education-Effect of technological innovations on. ; Educational technology. ; Educational change. ; Technological innovations-Social aspects.</t>
  </si>
  <si>
    <t>Quantitative and Statistical Data in Education : From Data Collection to Data Processing</t>
  </si>
  <si>
    <t>Larini, Michel;Barthes, Angela</t>
  </si>
  <si>
    <t>Educational indicators-Data processing</t>
  </si>
  <si>
    <t>Human Resource Management : Optimizing Organizational Performance</t>
  </si>
  <si>
    <t>Tomal, Daniel R.;Schilling, Craig A.</t>
  </si>
  <si>
    <t>LB2831.58 .T663 2018</t>
  </si>
  <si>
    <t>School management and organization-United States</t>
  </si>
  <si>
    <t>Launching and Consolidating Unstoppable Learning : (Student Engagement Strategies to Support Growth Mindsets and Increase Learner Autonomy)</t>
  </si>
  <si>
    <t>McNeece, Alexander;Fisher, Douglas;Frey, Nancy</t>
  </si>
  <si>
    <t>LB1065 .M364 2019</t>
  </si>
  <si>
    <t>Motivation in education-United States. ; Academic achievement-United States.</t>
  </si>
  <si>
    <t>International Large-Scale Assessments in Education : Insider Research Perspectives</t>
  </si>
  <si>
    <t>Maddox, Bryan</t>
  </si>
  <si>
    <t>LB2822.75 .M333 2020</t>
  </si>
  <si>
    <t>Educational evaluation-Cross-cultural studies.</t>
  </si>
  <si>
    <t>SDG4 - Quality Education : Inclusivity, Equity and Lifelong Learning for All</t>
  </si>
  <si>
    <t>Ferguson, Therese;Ilisko, Dzintra;Roofe, Carmel;Hill, Susan</t>
  </si>
  <si>
    <t>Concise Guides to the United Nations Sustainable Development Goals Series</t>
  </si>
  <si>
    <t>GE170-190</t>
  </si>
  <si>
    <t>Environmental Studies; Education</t>
  </si>
  <si>
    <t>Leading While Muslim : The Experiences of American Muslim Principals After 9/11</t>
  </si>
  <si>
    <t>Almontaser, Debbie</t>
  </si>
  <si>
    <t>LB2806 .A466 2019</t>
  </si>
  <si>
    <t>September 11 Terrorist Attacks, 2001-Influence</t>
  </si>
  <si>
    <t>Pedagogika Sportu</t>
  </si>
  <si>
    <t>Jansa, Petr A. kol.</t>
  </si>
  <si>
    <t>GV288.C9 .J367 2018</t>
  </si>
  <si>
    <t>Physical education and training-Czechoslovakia. ; Sports-Czechoslovakia.</t>
  </si>
  <si>
    <t>Activists Under 30 : Global Youth, Social Justice, and Good Work</t>
  </si>
  <si>
    <t>Steinberg, Shirley R.</t>
  </si>
  <si>
    <t>Youth, Media, and Culture Series</t>
  </si>
  <si>
    <t>The Drama of Reality Television : Lives of Youth in Liquid Modern Times</t>
  </si>
  <si>
    <t>T. Ligocki, Danielle</t>
  </si>
  <si>
    <t>791.45/6</t>
  </si>
  <si>
    <t>Television and youth-United States.</t>
  </si>
  <si>
    <t>Towards Inclusion of All Learners Through Science Teacher Education</t>
  </si>
  <si>
    <t>Koomen, Michele;Kahn, Sami;Atchison, Christopher L.;Wild, Tiffany A.</t>
  </si>
  <si>
    <t>Q183.3.A1 .T693 2018</t>
  </si>
  <si>
    <t>Science teachers-Training of-United States.</t>
  </si>
  <si>
    <t>Learning from Academic Conferences</t>
  </si>
  <si>
    <t>Popovic, Celia</t>
  </si>
  <si>
    <t>AS6 .L437 2018</t>
  </si>
  <si>
    <t>Congresses and conventions-Attendance-Handbooks, manuals, etc. ; Congresses and conventions-Management-Handbooks, manuals, etc. ; Education, Higher-Social aspects.</t>
  </si>
  <si>
    <t>Transnational Perspectives on Innovation in Teaching and Learning Technologies</t>
  </si>
  <si>
    <t>Jean-Francois, Emmanuel</t>
  </si>
  <si>
    <t>Education-Effect of technological innovations on. ; Educational innovations.</t>
  </si>
  <si>
    <t>The Teacher's Role in the Changing Globalizing World : Resources and Challenges Related to the Professional Work of Teaching</t>
  </si>
  <si>
    <t>Niemi, Hannele;Toom, Auli;Kallioniemi, Arto;Lavonen, Jari</t>
  </si>
  <si>
    <t>LB1025.3 .T433 2018</t>
  </si>
  <si>
    <t>Teaching-Cross-cultural studies. ; Education and globalization.</t>
  </si>
  <si>
    <t>Reflexivity and Critical Pedagogy</t>
  </si>
  <si>
    <t>Ryan, Anne;Walsh, Tony</t>
  </si>
  <si>
    <t>LB1027.23 .R936 2018</t>
  </si>
  <si>
    <t>Reflective learning. ; Critical pedagogy-Handbooks, manuals, etc.</t>
  </si>
  <si>
    <t>Pedagogies for Building Cultures of Peace : Challenging Constructions of an Enemy</t>
  </si>
  <si>
    <t>Baillie Abidi, Catherine</t>
  </si>
  <si>
    <t>JZ5534 .B355 2018</t>
  </si>
  <si>
    <t>Peace-Study and teaching. ; Peace-building-Study and teaching.</t>
  </si>
  <si>
    <t>Places of Privilege : Interdisciplinary Perspectives on Identities, Change and Resistance</t>
  </si>
  <si>
    <t>Oke, Nicole;Sonn, Christopher;Baker, Alison</t>
  </si>
  <si>
    <t>HM753 .O34 2018</t>
  </si>
  <si>
    <t>Group identity-Social aspects. ; Power (Social sciences)</t>
  </si>
  <si>
    <t>Global Citizenship, Common Wealth and Uncommon Citizenships</t>
  </si>
  <si>
    <t>Shultz, Lynette;Pillay, Thashika</t>
  </si>
  <si>
    <t>JZ1320.4 .S585 2018</t>
  </si>
  <si>
    <t>World citizenship. ; International education-Cross-cultural studies.</t>
  </si>
  <si>
    <t>Leading Learning: Women Making a Difference</t>
  </si>
  <si>
    <t>Stephenson, Lauren;Harold, Barbara;Badri, Rashida</t>
  </si>
  <si>
    <t>Educational leadership. ; Women in education-United Arab Emirates.</t>
  </si>
  <si>
    <t>Knowledge and Decolonial Politics : A Critical Reader</t>
  </si>
  <si>
    <t>Dei, George J. Sefa;Jajj, Mandeep</t>
  </si>
  <si>
    <t>LC1099.515.K66 2018</t>
  </si>
  <si>
    <t>Culturally relevant pedagogy. ; Multicultural education. ; Decolonization.</t>
  </si>
  <si>
    <t>Professionals' Ethos and Education for Responsibility</t>
  </si>
  <si>
    <t>Weinberger, Alfred;Biedermann, Horst;Patry, Jean-Luc;Weyringer, Sieglinde</t>
  </si>
  <si>
    <t>LB1779 .P764 2018</t>
  </si>
  <si>
    <t>Teachers-Professional ethics. ; Teaching-Moral and ethical aspects.</t>
  </si>
  <si>
    <t>Multidimensional Curriculum Enhancing Future Thinking Literacy : Teaching Learners to Take Control of Their Future</t>
  </si>
  <si>
    <t>Vidergor, Hava E.</t>
  </si>
  <si>
    <t>Thought and thinking-Study and teaching. ; Interdisciplinary approach in education.</t>
  </si>
  <si>
    <t>Text Sets : Multimodal Learning for Multicultural Students</t>
  </si>
  <si>
    <t>Dowdy, Joanne Kilgour;Fleischaker, Rachael</t>
  </si>
  <si>
    <t>LC1099.T428 2018</t>
  </si>
  <si>
    <t>Multicultural education--Sources. ; Interdisciplinary approach in education--Sources.</t>
  </si>
  <si>
    <t>Knowledge, Curriculum, and Preparation for Work</t>
  </si>
  <si>
    <t>Allais, Stephanie;Shalem, Yael</t>
  </si>
  <si>
    <t>LA1536 .A453 2018</t>
  </si>
  <si>
    <t>Education-Aims and objectives-South Africa. ; Labor supply-Effect of education on.</t>
  </si>
  <si>
    <t>Research Concepts for the Practitioner of Educational Leadership</t>
  </si>
  <si>
    <t>Baldwin, Lee</t>
  </si>
  <si>
    <t>Educational leadership-Research. ; School management and organization-Research.</t>
  </si>
  <si>
    <t>Accelerated Universities : Ideas and Money Combine to Build Academic Excellence</t>
  </si>
  <si>
    <t>Altbach, Philip G.;Reisberg, Liz;Salmi, Jamil;Froumin, Isak</t>
  </si>
  <si>
    <t>LC67.6 .A234 2018</t>
  </si>
  <si>
    <t>Universities and colleges-Economic aspects.</t>
  </si>
  <si>
    <t>Navigating Uncertainty : Sensemaking for Educational Leaders</t>
  </si>
  <si>
    <t>Hasinoff, Shelley;Mandzuk, David</t>
  </si>
  <si>
    <t>Creativities in Arts Education, Research and Practice : International Perspectives for the Future of Learning and Teaching</t>
  </si>
  <si>
    <t>de Bruin, Leon R.;Burnard, Pamela;Davis, Susan</t>
  </si>
  <si>
    <t>Arts-Study and teaching. ; Arts-Study and teaching-Research. ; Creative thinking.</t>
  </si>
  <si>
    <t>Eventful Learning : Learner Emotions</t>
  </si>
  <si>
    <t>M. Ritchie, Stephen;Tobin, Kenneth</t>
  </si>
  <si>
    <t>Affective education-Curricula. ; Emotions and cognition.</t>
  </si>
  <si>
    <t>The Rise of China-U. S. International Cooperation in Higher Education : Views from the Field</t>
  </si>
  <si>
    <t>Johnstone, Christopher J.;Ji, Li Li</t>
  </si>
  <si>
    <t>LB2283 .J646 2018</t>
  </si>
  <si>
    <t>Educational exchanges-United States. ; Educational exchanges-China.</t>
  </si>
  <si>
    <t>Internationalizing Education : Local to Global Connections for the 21st Century</t>
  </si>
  <si>
    <t>International education-Case studies.</t>
  </si>
  <si>
    <t>Pathways to Belonging : Contemporary Research in School Belonging</t>
  </si>
  <si>
    <t>Allen, Kelly-Ann;Boyle, Christopher</t>
  </si>
  <si>
    <t>LC210.P38 2018</t>
  </si>
  <si>
    <t>Belonging (Social psychology). ; School environment. ; Educational psychology.</t>
  </si>
  <si>
    <t>The It Factor: What Makes a Teacher Great?</t>
  </si>
  <si>
    <t>J. Thornton, Holly</t>
  </si>
  <si>
    <t>Critical Media Literacy and Fake News in Post-Truth America</t>
  </si>
  <si>
    <t>Z. Goering, Christian;L. Thomas, Paul</t>
  </si>
  <si>
    <t>Critical Media Literacies Series</t>
  </si>
  <si>
    <t>P96.M42 C758 2018</t>
  </si>
  <si>
    <t>Media literacy-United States.</t>
  </si>
  <si>
    <t>Poetry Across the Curriculum : New Methods of Writing Intensive Pedagogy for U. S. Community College and Undergraduate Education</t>
  </si>
  <si>
    <t>Jacob, Frank;Kincaid, Shannon;E. Traver, Amy</t>
  </si>
  <si>
    <t>English language-Rhetoric-Study and teaching (Higher)-United States.</t>
  </si>
  <si>
    <t>Horror Literature and Dark Fantasy : Challenging Genres</t>
  </si>
  <si>
    <t>Fabrizi, Mark A.</t>
  </si>
  <si>
    <t>Fantasy fiction-History and criticism.</t>
  </si>
  <si>
    <t>Reel Big Bullies : Teaching to the Problem</t>
  </si>
  <si>
    <t>Johnson, Brian C.;Vines, James E.</t>
  </si>
  <si>
    <t>Bullying in schools-Prevention.</t>
  </si>
  <si>
    <t>School Space and Its Occupation : Conceptualising and Evaluating Innovative Learning Environments</t>
  </si>
  <si>
    <t>Alterator, Scott;Deed, Craig</t>
  </si>
  <si>
    <t>School buildings-Design and construction. ; School facilities-Design and construction. ; Classroom environment.</t>
  </si>
  <si>
    <t>Dilemmas and Decisions : A Critical Addition to the Curriculum</t>
  </si>
  <si>
    <t>Miller, Patrick F.</t>
  </si>
  <si>
    <t>Education-Moral and ethical aspects.</t>
  </si>
  <si>
    <t>Equity in and Through Education : Changing Contexts, Consequences and Contestations</t>
  </si>
  <si>
    <t>Carney, Stephen;Schweisfurth, Michele</t>
  </si>
  <si>
    <t>Educational equalization-Cross-cultural studies.</t>
  </si>
  <si>
    <t>Underserved Populations at Historically Black Colleges and Universities : The Pathway to Diversity, Equity, and Inclusion</t>
  </si>
  <si>
    <t>Davis, Cheron H.;Hilton, Adriel;Outten, Donavan L.</t>
  </si>
  <si>
    <t>LC</t>
  </si>
  <si>
    <t>Educational equalization-United States</t>
  </si>
  <si>
    <t>Radicalisation and Counter-Radicalisation in Higher Education</t>
  </si>
  <si>
    <t>McGlynn, Catherine;McDaid, Shaun</t>
  </si>
  <si>
    <t>LC165-182</t>
  </si>
  <si>
    <t>Radicalization-Great Britain</t>
  </si>
  <si>
    <t>Sharing Breath : Embodied Learning and Decolonization</t>
  </si>
  <si>
    <t>Batacharya, Sheila;Wong, Yuk-Lin Renita</t>
  </si>
  <si>
    <t>LC196 .S537 2018</t>
  </si>
  <si>
    <t>Teaching Race : How to Help Students Unmask and Challenge Racism</t>
  </si>
  <si>
    <t>EDUCATION / Teaching Methods &amp; Materials / General.-bisacsh</t>
  </si>
  <si>
    <t>L' enfant et le Vivant : Vers une éducation à une Nouvelle écologie</t>
  </si>
  <si>
    <t>Pierre Mardaga Editeur</t>
  </si>
  <si>
    <t>Labrell, Florence</t>
  </si>
  <si>
    <t>QH315 .L337 2018</t>
  </si>
  <si>
    <t>Equality Issues for the New Millennium</t>
  </si>
  <si>
    <t>Shah, Sneh</t>
  </si>
  <si>
    <t>LC213.3.G7 .E683 2018</t>
  </si>
  <si>
    <t>Educational equalization-Great Britain.</t>
  </si>
  <si>
    <t>Managing Your Professional Identity Online : A Guide for Faculty, Staff, and Administrators</t>
  </si>
  <si>
    <t>LB1778 .L563 2018</t>
  </si>
  <si>
    <t>College teachers-Vocational guidance. ; College administrators-Vocational guidance. ; Online identities. ; Self-presentation. ; Personal information management. ; Internet in higher education.</t>
  </si>
  <si>
    <t>The Two Cultures of English : Literature, Composition, and the Moment of Rhetoric</t>
  </si>
  <si>
    <t>Maxwell, Jason</t>
  </si>
  <si>
    <t>PE51 .M399 2019</t>
  </si>
  <si>
    <t>English language-Rhetoric-Study and teaching (Higher)-United States. ; English language-Rhetoric-Study and teaching (Higher)-Canada.</t>
  </si>
  <si>
    <t>The Disruptive Power of Online Education : Challenges, Opportunities, Responses</t>
  </si>
  <si>
    <t>Altmann, Andreas;Ebersberger, Bernd;Mössenlechner, Claudia;Wieser, Desiree</t>
  </si>
  <si>
    <t>Education-Data processing</t>
  </si>
  <si>
    <t>Emerging Research and Issues in Behavioral Disabilities</t>
  </si>
  <si>
    <t>LC4001-4806.5</t>
  </si>
  <si>
    <t>Problem children-Education</t>
  </si>
  <si>
    <t>The Comparative Guide American to Elementary and Secondary Schools 2019</t>
  </si>
  <si>
    <t>Grey House Publishing</t>
  </si>
  <si>
    <t>Amenia</t>
  </si>
  <si>
    <t>Garoogian, David;Garoogian, David</t>
  </si>
  <si>
    <t>LB2817.3 .C667 2018</t>
  </si>
  <si>
    <t>School districts-United States-States-Statistics. ; School districts-United States-States-Directories.</t>
  </si>
  <si>
    <t>Teaching with the Instructional Cha-Chas : Four Steps to Make Learning Stick (Neuroscience, Formative Assessment, and Differentiated Instruction Strategies for Student Success)</t>
  </si>
  <si>
    <t>Nickersen, LeAnn;Dickson, Melissa</t>
  </si>
  <si>
    <t>Teaching. ; Lesson planning. ; Learning, Psychology of. ; Educational tests and measurements. ; Academic achievement.</t>
  </si>
  <si>
    <t>Authentic Intellectual Work : Improving Teaching for Rigorous Learning</t>
  </si>
  <si>
    <t>Newmann, Fred M.;Carmichael Tanaka, Dana L.;King, M. Bruce</t>
  </si>
  <si>
    <t>In It Together : How Student, Family, and Community Partnerships Advance Engagement and Achievement in Diverse Classrooms</t>
  </si>
  <si>
    <t>Zacarian, Debbie;Silverstone, Michael A.</t>
  </si>
  <si>
    <t>Community and school. ; Classroom environment. ; Community and school.-fast-(OCoLC)fst00870669 ; Classroom environment.-fast-(OCoLC)fst00863720</t>
  </si>
  <si>
    <t>Exploring Pedagogic Frailty and Resilience : Case Studies of Academic Narrative</t>
  </si>
  <si>
    <t>LB2331 .E975 2018</t>
  </si>
  <si>
    <t>College teaching-Case studies. ; Reflective teaching-Case studies.</t>
  </si>
  <si>
    <t>Critical Mathematics Education : Can Democratic Mathematics Education Survive under Neoliberal Regime?</t>
  </si>
  <si>
    <t>Avci, Bülent</t>
  </si>
  <si>
    <t>QA11 .A935 2019</t>
  </si>
  <si>
    <t>Navigating the Aspirational City : Urban Educational Culture and the Revolutionary Path to Socialism with Chinese Characteristics</t>
  </si>
  <si>
    <t>G. Yochim, Lorin</t>
  </si>
  <si>
    <t>Education, Urban-China. ; Education, Urban-Social aspects-China. ; Education, Urban-China-Shijiazhuang (Hebei Sheng, China) ; Education-Parent participation-China. ; Child rearing-China.</t>
  </si>
  <si>
    <t>Teaching the Canon in 21st Century Classrooms : Challenging Genres</t>
  </si>
  <si>
    <t>Macaluso, Michael;Macaluso, Kati</t>
  </si>
  <si>
    <t>Canon (Literature)-Study and teaching-21st century.</t>
  </si>
  <si>
    <t>The Semiotics of Animal Representations</t>
  </si>
  <si>
    <t>Tüür, Kadri;Tønnessen, Morten</t>
  </si>
  <si>
    <t>Nature, Culture and Literature Series</t>
  </si>
  <si>
    <t>QL85 .S46 2014</t>
  </si>
  <si>
    <t>Human-animal relationships.</t>
  </si>
  <si>
    <t>Another Way : Decentralization, Democratization and the Global Politics of Community-Based Schooling</t>
  </si>
  <si>
    <t>Clothey, Rebecca;Heidemann, Kai</t>
  </si>
  <si>
    <t>LB2820 .A56 2019</t>
  </si>
  <si>
    <t>Community schools-Case studies. ; Community and school-Case studies. ; Schools-Decentralization-Case studies. ; Educational equalization-Case studies. ; Education and state-Case studies.</t>
  </si>
  <si>
    <t>Land-Grant Colleges and Popular Revolt : The Origins of the Morrill Act and the Reform of Higher Education</t>
  </si>
  <si>
    <t>Sorber, Nathan M.</t>
  </si>
  <si>
    <t>LB2329.5 .S673 2018</t>
  </si>
  <si>
    <t>United States.-Land Grant Act of 1862. ; State universities and colleges-Northeastern States-History-19th century. ; Educational change-Northeastern States-History-19th century. ; Education, Higher-Northeastern States-History-19th century.</t>
  </si>
  <si>
    <t>Understanding and Improving Urban Secondary Schools : New Perspectives</t>
  </si>
  <si>
    <t>Louis, Karen Seashore;Khalifa, Muhammad;Richardson, Jayson</t>
  </si>
  <si>
    <t>Journal of Educational Administration Series</t>
  </si>
  <si>
    <t>LC5115 .U53 2018</t>
  </si>
  <si>
    <t>Urban schools. ; Education, Secondary.</t>
  </si>
  <si>
    <t>The Project Approach for All Learners : A Hands-On Guide for Inclusive Early Childhood Classrooms</t>
  </si>
  <si>
    <t>Beneke, Sallee;Ostrosky, Michaelene M.;Katz, Lilian G.;Fowler, Susan A.</t>
  </si>
  <si>
    <t>LB1027.43$b.B464 2019</t>
  </si>
  <si>
    <t>Project method in teaching. ; Early childhood education--Curricula. ; Inclusive education.</t>
  </si>
  <si>
    <t>The Quest for Equity in Chile's Higher Education : Decades of Continued Efforts</t>
  </si>
  <si>
    <t>Santelices, María Verónica;Horn, Catherine;Catalán, Ximena;Alarcon, Macarena;Kruger, Diana;Venegas, Alejandra;Williamson, Carlos;Zarhi, Magdalena</t>
  </si>
  <si>
    <t>LC213.3.C5 .S268 2019</t>
  </si>
  <si>
    <t>Educational equalization-Chile. ; Education, Higher-Chile. ; Education and state-Chile.</t>
  </si>
  <si>
    <t>The Future of Innovation and Technology in Education : Policies and Practices for Teaching and Learning Excellence</t>
  </si>
  <si>
    <t>Visvizi, Anna;Lytras, Miltiadis D.;Daniela, Linda</t>
  </si>
  <si>
    <t>Emerald Studies in Higher Education, Innovation and Technology Series</t>
  </si>
  <si>
    <t>Educational innovations. ; Educational technology.</t>
  </si>
  <si>
    <t>Why Kids Love (and Hate) School : Reflections on Practice</t>
  </si>
  <si>
    <t>Jones, Steven P.;Sheffield, Eric C.</t>
  </si>
  <si>
    <t>The Academy for Educational Studies Book Series Focuses Serious Attention on the Often-Missed Nexus of Educational Theory and Educational Practice. the Volumes in This Series, Both Monographs and Edited Collections, Consider Theoretical, Philosophical, Hi</t>
  </si>
  <si>
    <t>LB1060 .W49 2019</t>
  </si>
  <si>
    <t>Learning, Psychology of. ; Students-Attitudes.</t>
  </si>
  <si>
    <t>Quality and Leadership in the Early Years : Research, Theory and Practice</t>
  </si>
  <si>
    <t>Campbell-Barr, Verity;Leeson, Caroline</t>
  </si>
  <si>
    <t>LB1139.23 .C35 2016</t>
  </si>
  <si>
    <t>Teaching Computing Unplugged in Primary Schools : Exploring Primary Computing Through Practical Activities Away from the Computer</t>
  </si>
  <si>
    <t>Caldwell, Helen;Smith, Neil</t>
  </si>
  <si>
    <t>LB1028.43 .C353 2017</t>
  </si>
  <si>
    <t>Education-Data processing. ; Computer-assisted instruction.</t>
  </si>
  <si>
    <t>Inclusive Practice in the Primary School : A Guide for Teachers</t>
  </si>
  <si>
    <t>Trussler, Sarah;Robinson, Debs</t>
  </si>
  <si>
    <t>LC1200 .T787 2015</t>
  </si>
  <si>
    <t>Inclusive education. ; Special education.</t>
  </si>
  <si>
    <t>The Quick Fix Guide to Academic Writing : How to Avoid Big Mistakes and Small Errors</t>
  </si>
  <si>
    <t>Shon, Phillip C.</t>
  </si>
  <si>
    <t>LB2369 .S566 2018</t>
  </si>
  <si>
    <t>Curriculum Development : A Guide for Educators</t>
  </si>
  <si>
    <t>Boyle, Bill;Charles, Marie</t>
  </si>
  <si>
    <t>LB1570</t>
  </si>
  <si>
    <t>Fearless Conversations School Leaders Have to Have : Step Out of Your Comfort Zone and Really Help Kids</t>
  </si>
  <si>
    <t>Jones, Irving C., Sr.;Blake, Vera J.</t>
  </si>
  <si>
    <t>LB2805 .J655 2018</t>
  </si>
  <si>
    <t>Educational leadership-United States. ; School administrators-Professional relationships-United States. ; Communication in education-United States. ; School management and organization-United States.</t>
  </si>
  <si>
    <t>Google Tools Meets Middle School</t>
  </si>
  <si>
    <t>Graham, Michael J.;Borgen, Jason M.</t>
  </si>
  <si>
    <t>LB1623 .G734 2018</t>
  </si>
  <si>
    <t>Google Apps. ; Middle school teaching-Computer-assisted instruction. ; Chromebook (Computer) ; Educational technology-Study and teaching (Middle school)</t>
  </si>
  <si>
    <t>Leading School Teams : Building Trust to Promote Student Learning</t>
  </si>
  <si>
    <t>Horton, David M.</t>
  </si>
  <si>
    <t>LB1029.T4 .H678 2017</t>
  </si>
  <si>
    <t>Teaching teams. ; Teacher-administrator relationships. ; Educational leadership.</t>
  </si>
  <si>
    <t>Academic Language Mastery: Vocabulary in Context</t>
  </si>
  <si>
    <t>Calderon, Margarita Espino;Soto, Ivannia</t>
  </si>
  <si>
    <t>P120.A24S675 2017</t>
  </si>
  <si>
    <t>A Local Assessment Toolkit to Promote Deeper Learning : Transforming Research into Practice</t>
  </si>
  <si>
    <t>Hess, Karin J.</t>
  </si>
  <si>
    <t>Educational tests and measurements-Methodology. ; Cognitive learning. ; Effective teaching.</t>
  </si>
  <si>
    <t>Leading Together : Teachers and Administrators Improving Student Outcomes</t>
  </si>
  <si>
    <t>Eckert, Jonathan</t>
  </si>
  <si>
    <t>LB2805 .E254 2018</t>
  </si>
  <si>
    <t>Educational leadership-United States. ; Teacher-administrator relationships-United States. ; School management and organization-United States. ; School improvement programs-United States. ; Academic achievement-United States.</t>
  </si>
  <si>
    <t>Powerful Task Design : Rigorous and Engaging Tasks to Level up Instruction</t>
  </si>
  <si>
    <t>Antonetti, John V.;Stice, Terri Ann</t>
  </si>
  <si>
    <t>LB1028.38 .A586 2018</t>
  </si>
  <si>
    <t>Instructional systems-Design. ; Educational technology.</t>
  </si>
  <si>
    <t>We Must Say No to the Status Quo : Educators As Allies in the Battle for Social Justice</t>
  </si>
  <si>
    <t>McDermott, Veronica</t>
  </si>
  <si>
    <t>LC192.2 .M334 2017</t>
  </si>
  <si>
    <t>Social justice-Study and teaching. ; Teaching-Social aspects.</t>
  </si>
  <si>
    <t>Reach the Highest Standard in Professional Learning : Leadership</t>
  </si>
  <si>
    <t>Louis, Karen Seashore;Hord, Shirley M.;von Frank, Valerie</t>
  </si>
  <si>
    <t>LB2805 .L685 2017</t>
  </si>
  <si>
    <t>Educational leadership-United States. ; Professional learning communities-United States. ; Teachers-In-service training-United States.</t>
  </si>
  <si>
    <t>Schools That Deliver</t>
  </si>
  <si>
    <t>Edwards, John;Martin, William C.</t>
  </si>
  <si>
    <t>LB2805 .E393 2016</t>
  </si>
  <si>
    <t>Educational leadership. ; Education-Philosophy. ; School management and organization.</t>
  </si>
  <si>
    <t>The Blended Learning Blueprint for Elementary Teachers</t>
  </si>
  <si>
    <t>Linton, Jayme</t>
  </si>
  <si>
    <t>Just Ask Us : Kids Speak Out on Student Engagement</t>
  </si>
  <si>
    <t>Wolpert-Gawron, Heather</t>
  </si>
  <si>
    <t>Academic Language Mastery: Culture in Context</t>
  </si>
  <si>
    <t>LeMoine, Noma R.;Soto, Ivannia</t>
  </si>
  <si>
    <t>P120.A24L46 2017</t>
  </si>
  <si>
    <t>Academic Language Mastery: Grammar and Syntax in Context</t>
  </si>
  <si>
    <t>Freeman, David E.;Freeman, Yvonne S.;Soto, Ivannia</t>
  </si>
  <si>
    <t>P120.A24S674 2017</t>
  </si>
  <si>
    <t>From Snorkelers to Scuba Divers in the Elementary Science Classroom : Strategies and Lessons That Move Students Toward Deeper Learning</t>
  </si>
  <si>
    <t>Bullying Today : Bullet Points and Best Practices</t>
  </si>
  <si>
    <t>Patchin, Justin W.;Hinduja, Sameer K.</t>
  </si>
  <si>
    <t>LB3013.3.P375 2016</t>
  </si>
  <si>
    <t>The Collaborative Analysis of Student Learning : Professional Learning That Promotes Success for All</t>
  </si>
  <si>
    <t>Colton, Amy B.;Langer, Georgea M.;Goff, Loretta</t>
  </si>
  <si>
    <t>LB3051 .C658 2016</t>
  </si>
  <si>
    <t>371.2/64</t>
  </si>
  <si>
    <t>An RTI Guide to Improving the Performance of African American Students</t>
  </si>
  <si>
    <t>Williams, Dwayne D.</t>
  </si>
  <si>
    <t>The Take-Action Guide to World Class Learners Book 1 : How to Make Personalization and Student Autonomy Happen</t>
  </si>
  <si>
    <t>LB1031 .Z436 2016</t>
  </si>
  <si>
    <t>Student participation in curriculum planning</t>
  </si>
  <si>
    <t>Creatively Teach the Common Core Literacy Standards with Technology : Grades 6-12</t>
  </si>
  <si>
    <t>Tucker, Catlin R.</t>
  </si>
  <si>
    <t>LB1631.3.T83 2015</t>
  </si>
  <si>
    <t>428.0071/20285</t>
  </si>
  <si>
    <t>The Missing Voices in Edtech : Bringing Diversity into Edtech</t>
  </si>
  <si>
    <t>Davis, Rafranz</t>
  </si>
  <si>
    <t>LB1028.3 .D385 2015</t>
  </si>
  <si>
    <t>RESULTS Coaching Next Steps : Leading for Growth and Change</t>
  </si>
  <si>
    <t>Kee, Kathryn M.;Anderson, Karen A.;Dearing, Vicky S.;Shuster, Frances A.</t>
  </si>
  <si>
    <t>Content Curation : How to Avoid Information Overload</t>
  </si>
  <si>
    <t>Anderson, Steven W.</t>
  </si>
  <si>
    <t>LB1044.87 .A534 2015</t>
  </si>
  <si>
    <t>Education-Computer network resources-Evaluation. ; Teaching-Computer network resources-Evaluation. ; Internet in education. ; Education-Effect of technological innovations on.</t>
  </si>
  <si>
    <t>Leading Professional Learning : Tools to Connect and Empower Teachers</t>
  </si>
  <si>
    <t>Murray, Thomas C.;Zoul, Jeffrey J.</t>
  </si>
  <si>
    <t>LB1731 .M877 2015</t>
  </si>
  <si>
    <t>Teachers-In-service training-United States. ; Educational leadership-United States.</t>
  </si>
  <si>
    <t>Assessment 3. 0 : Throw Out Your Grade Book and Inspire Learning</t>
  </si>
  <si>
    <t>LB3051 .B376 2015</t>
  </si>
  <si>
    <t>Confident Voices : Digital Tools for Language Acquisition</t>
  </si>
  <si>
    <t>Spencer, John T.</t>
  </si>
  <si>
    <t>PE1128.A2 .S646 2016</t>
  </si>
  <si>
    <t>English language-Study and teaching-Foreign speakers. ; English language-Study and teaching-Technological innovations. ; English language-Grammar-Study and teaching. ; Educational technology.</t>
  </si>
  <si>
    <t>Breaking Out of Isolation : Becoming a Connected School Leader</t>
  </si>
  <si>
    <t>Cook, Spike C.;Johnson, Jessica J.;Stager, Theresa C.</t>
  </si>
  <si>
    <t>LB2805 .C665 2016</t>
  </si>
  <si>
    <t>School management and organization. ; School administrators-Job stress-Prevention. ; Professional learning communities.</t>
  </si>
  <si>
    <t>Effective Grading Practices for Secondary Teachers : Practical Strategies to Prevent Failure, Recover Credits, and Increase Standards-Based/Referenced Grading</t>
  </si>
  <si>
    <t>Nagel, Dave</t>
  </si>
  <si>
    <t>LB3051 .N344 2015</t>
  </si>
  <si>
    <t>373.1/272</t>
  </si>
  <si>
    <t>Grading and marking (Students) ; High school teaching.</t>
  </si>
  <si>
    <t>What I Learned and What I Learnt : Teaching English While Honoring Language and Culture at a Predominantly Black Institution</t>
  </si>
  <si>
    <t>Williams, Concetta A.;Magras, Lydia Brown</t>
  </si>
  <si>
    <t>LC2781.W54 2019</t>
  </si>
  <si>
    <t>African Americans--Education (Higher). ; African American college students--Language. ; Black English. ; English language--Rhetoric--Study and teaching (Higher). ; Language and education--Social aspects--United States.</t>
  </si>
  <si>
    <t>Disability and World Language Learning : Inclusive Teaching for Diverse Learners</t>
  </si>
  <si>
    <t>Scott, Sally;Edwards, Wade</t>
  </si>
  <si>
    <t>PB35 .S368 2019</t>
  </si>
  <si>
    <t>People with disabilities-Education (Higher)</t>
  </si>
  <si>
    <t>Smart Kids, Struggling Readers : The Overlooked Factors and Novel Solutions</t>
  </si>
  <si>
    <t>Simonetti, Nickie</t>
  </si>
  <si>
    <t>LB1050.5.S463 2018</t>
  </si>
  <si>
    <t>Reading--Remedial teaching. ; Dyslexic children--Education. ; Dyslexia.</t>
  </si>
  <si>
    <t>The Narrative of Mathematics Teachers : Elementary School Mathematics Teachers' Features of Education, Knowledge, Teaching and Personality</t>
  </si>
  <si>
    <t>Patkin, Dorit;Gazit, Avikam</t>
  </si>
  <si>
    <t>Mathematics-Study and teaching (Elementary) ; Mathematics teachers. ; Elementary school teachers.</t>
  </si>
  <si>
    <t>They're Called the Throwaways : Children in Special Education Using Artmaking for Social Change</t>
  </si>
  <si>
    <t>Boske, Christa</t>
  </si>
  <si>
    <t>Special education-United States-Art. ; Children with disabilities-Education-United States. ; Children with social disabilities-Education-United States. ; Art and society-United States. ; Art-Study and teaching-United States. ; Art therapy for youth. ; Social justice.</t>
  </si>
  <si>
    <t>Culture, Community, and Educational Success : Reimagining the Invisible Knapsack</t>
  </si>
  <si>
    <t>Glover, Crystal Polite;Jenkins, Toby S.;Troutman, Stephanie;Belk, Adolphus, Jr.;Bryan, Nathaniel;Davis, Jemilia S.;Duff, Myron C.;Endsley, Crystal;Faulkner, Paula;Frederick, Nathaniel, II</t>
  </si>
  <si>
    <t>LC2781 .C858 2019</t>
  </si>
  <si>
    <t>African Americans-Education (Graduate) ; Doctor of philosophy degree. ; Academic achievement.</t>
  </si>
  <si>
    <t>Intersectional Care for Black Boys in an Alternative School : They Really Care about Us</t>
  </si>
  <si>
    <t>Ransom, Julia C.</t>
  </si>
  <si>
    <t>LC2771 .R367 2019</t>
  </si>
  <si>
    <t>African American boys-Education-Social aspects. ; Alternative schools-United States. ; Intersectionality (Sociology)-United States. ; Racism in education-United States. ; African Americans-Race identity.</t>
  </si>
  <si>
    <t>Beyond the Classroom Walls : Teaching in Challenging Social Contexts</t>
  </si>
  <si>
    <t>Cranston, Jerome</t>
  </si>
  <si>
    <t>LC191 .C736 2019</t>
  </si>
  <si>
    <t>Teaching-Social aspects. ; Intercultural communication in education. ; Education and globalization.</t>
  </si>
  <si>
    <t>Make It Happen : Coaching with the Four Critical Questions of PLCs at Work® (Professional Learning Community Strategies for Instructional Coaches)</t>
  </si>
  <si>
    <t>LB1731$b.B355 2019</t>
  </si>
  <si>
    <t>Teachers-In-service training. ; Professional learning communities. ; Mentoring in education.</t>
  </si>
  <si>
    <t>L' orientation Scolaire et Professionnelle : Pratiques D'évaluation</t>
  </si>
  <si>
    <t>Chartier, Philippe;Vrignaud, Pierre;Terriot, Katia</t>
  </si>
  <si>
    <t>Brainwork : The Neuroscience Behind How We Lead Others (Understanding and Applying Neuroleadership, the Neuroscience of Leadership)</t>
  </si>
  <si>
    <t>HD57.7$b.S687 2012</t>
  </si>
  <si>
    <t>Leadership. ; Neurosciences. ; Executive ability.</t>
  </si>
  <si>
    <t>Outcomes-Based Program Review : Closing Achievement Gaps in- and Outside the Classroom with Alignment to Predictive Analytics and Performance Metrics</t>
  </si>
  <si>
    <t>LB3051$b.B747 2019</t>
  </si>
  <si>
    <t>College teaching--United States</t>
  </si>
  <si>
    <t>Making Research Public in Troubled Times : Pedagogy, Activism, and Critical Obligations</t>
  </si>
  <si>
    <t>Huckaby, M. Francyne;Huckaby, M. Francyne</t>
  </si>
  <si>
    <t>The Qualitative Inquiry: Critical Ethics, Justice and Activismseries Is a Collection Designed to Provide a Cross-Disciplinary Overview of the Use of Qualitative Research As an Avenue for Justice and Critical Transformative Activism/action Socially, Enviro</t>
  </si>
  <si>
    <t>GE70 .M355 2019</t>
  </si>
  <si>
    <t>A Concise Guide to Teaching with Desirable Difficulties</t>
  </si>
  <si>
    <t>LB1060 .P449 2018</t>
  </si>
  <si>
    <t>Moral Principles in Education and My Pedagogic Creed by John Dewey : With a Critical Introduction by Patricia H. Hinchey</t>
  </si>
  <si>
    <t xml:space="preserve">LB14.7 .D494 </t>
  </si>
  <si>
    <t>Pioneering Education for Girls Across the Globe : Advocates and Entrepreneurs, 1742-1910</t>
  </si>
  <si>
    <t>Sperandio, Jill</t>
  </si>
  <si>
    <t>LC1707.S74 2019</t>
  </si>
  <si>
    <t>Girls--Education--History. ; Girls--Education--Social aspects. ; Girls' schools--History.</t>
  </si>
  <si>
    <t>Turbulence, Empowerment and Marginalisation in International Education Governance Systems</t>
  </si>
  <si>
    <t>Taysum, Alison;Arar, Khalid</t>
  </si>
  <si>
    <t>Education--Administration. ; Education--Social aspects. ; International education. ; School management and organization. ; Education--Administration. (OCoLC)fst00902506. ; Education--Social aspects. (OCoLC)fst00902773. ; International education. (OCoLC)fst00976924. ; School management and organization. (OCoLC)fst01107575.</t>
  </si>
  <si>
    <t>Supporting Transgender and Non-Binary Students and Staff in Further and Higher Education : Practical Advice for Colleges and Universities</t>
  </si>
  <si>
    <t>Lawrence, Matson;Mckendry, Stephanie</t>
  </si>
  <si>
    <t>World-Class Universities : Towards a Global Common Good and Seeking National and Institutional Contributions</t>
  </si>
  <si>
    <t>Wu, Yan;Wang, Qi;Liu, Nian Cai</t>
  </si>
  <si>
    <t>LB2331.62 .W675 2019</t>
  </si>
  <si>
    <t>Universities and colleges-Ratings and rankings. ; Education, Higher-Evaluation.</t>
  </si>
  <si>
    <t>Academic Growth in Higher Education : Questions and Answers</t>
  </si>
  <si>
    <t>Pedrosa-de-Jesus, Helena;Watts, Mike</t>
  </si>
  <si>
    <t>LA628 .P437 2019</t>
  </si>
  <si>
    <t>Education, Higher-Aims and objectives-Europe. ; Learning and scholarship-Europe. ; Student-centered learning-Europe. ; Inquiry-based learning-Europe. ; Academic achievement-Europe.</t>
  </si>
  <si>
    <t>La Chimie Dans la Vie Quotidienne</t>
  </si>
  <si>
    <t>EDP Sciences</t>
  </si>
  <si>
    <t>Les Ulis</t>
  </si>
  <si>
    <t>Agouridas, Constantin;Bernier, Jean-Claude;Olivier, Danièle;Rigny, Paul</t>
  </si>
  <si>
    <t>Chimie et ... Junior Series</t>
  </si>
  <si>
    <t>QD37 .A368 2018</t>
  </si>
  <si>
    <t>Chemistry-Popular works.</t>
  </si>
  <si>
    <t>Telepresence in Training</t>
  </si>
  <si>
    <t>Rinaudo, Jean-Luc</t>
  </si>
  <si>
    <t>LC5800 .T454 2018</t>
  </si>
  <si>
    <t>378.1/735</t>
  </si>
  <si>
    <t>Master Your Mind : Counterintuitive Strategies to Refocus and Re-Energize Your Runaway Brain</t>
  </si>
  <si>
    <t>Seip, Roger;Zbierski, Robb</t>
  </si>
  <si>
    <t>HD30.23 .S457 2019</t>
  </si>
  <si>
    <t>Problem solving</t>
  </si>
  <si>
    <t>Participation by hard-of-hearing students in integration classrooms: Facets of interactional competence</t>
  </si>
  <si>
    <t>Girard-Groeber, Simone</t>
  </si>
  <si>
    <t>Kommunikation – Partizipation – Inklusion</t>
  </si>
  <si>
    <t>HV2430 .G57 2018</t>
  </si>
  <si>
    <t>Hearing impaired students.</t>
  </si>
  <si>
    <t>La Disparition de Stephanie Mailer de Joël Dicker (Analyse de L'oeuvre) : Analyse Complète et Résumé détaillé de L'oeuvre</t>
  </si>
  <si>
    <t>lePetitLitteraire;Fleurot, Morgane</t>
  </si>
  <si>
    <t>HHhH de Laurent Binet (Analyse de L'oeuvre) : Analyse Complète et Résumé détaillé de L'oeuvre</t>
  </si>
  <si>
    <t>lePetitLitteraire;Diakité, Adeline</t>
  </si>
  <si>
    <t>99 Francs de Frédéric Beigbeder (Analyse de L'oeuvre) : Analyse Complète et Résumé détaillé de L'oeuvre</t>
  </si>
  <si>
    <t>lePetitLitteraire;Carrein, Kelly</t>
  </si>
  <si>
    <t>French fiction-20th century.</t>
  </si>
  <si>
    <t>The Negotiated Self : Employing Reflexive Inquiry to Explore Teacher Identity</t>
  </si>
  <si>
    <t>Teachers-Training of-Cross-cultural studies. ; Teachers-In-service training-Cross-cultural studies. ; Identity (Psychology) ; Teaching-Social aspects. ; Teaching-Evaluation. ; Reflective teaching.</t>
  </si>
  <si>
    <t>Through the Fire - from Intake to Credential : Teacher Candidates Share Their Experiences Through Narrative</t>
  </si>
  <si>
    <t>Hayes, Cleveland;J. Fasching-Varner, Kenneth;Eisworth, Hillary B.;White-Smith, Kimberly</t>
  </si>
  <si>
    <t>Stability and Change in Science Education -- Meeting Basic Learning Needs : Homeostasis and Novelty in Teaching and Learning</t>
  </si>
  <si>
    <t>Katz, Phyllis;Avraamidou, Lucy</t>
  </si>
  <si>
    <t>Science-Study and teaching. ; Educational change.</t>
  </si>
  <si>
    <t>STEM Education: an Emerging Field of Inquiry</t>
  </si>
  <si>
    <t>Barkatsas, Tasos;Carr, Nicky;Cooper, Grant</t>
  </si>
  <si>
    <t>Science-Study and teaching-Research. ; Science-Study and teaching-Government policy. ; Science-Study and teaching-Economc aspects.</t>
  </si>
  <si>
    <t>Drama Research Methods: Provocations of Practice</t>
  </si>
  <si>
    <t>Duffy, Peter;Hatton, Christine;Sallis, Richard</t>
  </si>
  <si>
    <t>PN2075 .D736 2019</t>
  </si>
  <si>
    <t>Theater-Research.</t>
  </si>
  <si>
    <t>Thirty Years of Learning Environments : Looking Back and Looking Forward</t>
  </si>
  <si>
    <t>Zandvliet, David B.;Fraser, Barry</t>
  </si>
  <si>
    <t>Classroom environment.</t>
  </si>
  <si>
    <t>Without a Margin for Error : Urban Immigrant English Language Learners in STEM</t>
  </si>
  <si>
    <t>B. Heyman, Jeremy</t>
  </si>
  <si>
    <t>Science-Study and teaching. ; Technology-Study and teaching. ; Engineering-Study and teaching.</t>
  </si>
  <si>
    <t>Fostering a Relational Pedagogy : Self-Study As Transformative Praxis</t>
  </si>
  <si>
    <t>LB1025.3 .F678 2019</t>
  </si>
  <si>
    <t>Teaching-Evaluation. ; Reflective teaching.</t>
  </si>
  <si>
    <t>Dialogical Argumentation and Reasoning in Elementary Science Classrooms</t>
  </si>
  <si>
    <t>Kim, Mijung;Roth, Wolff-Michael</t>
  </si>
  <si>
    <t>Science-Study and teaching (Elementary) ; Science-Study and teaching (Elementary)-Methodology.</t>
  </si>
  <si>
    <t>Issues in Coursebook Evaluation</t>
  </si>
  <si>
    <t>Azarnoosh, Maryam;Zeraatpishe, Mitra;Faravani, Akram;Reza Kargozari, Hamid</t>
  </si>
  <si>
    <t>Critical New Literacies: the Praxis of English Language Teaching and Learning Series</t>
  </si>
  <si>
    <t>English language-Textbooks for foreign speakers-Evaluation. ; English language-Study and teaching-Foreign speakers.</t>
  </si>
  <si>
    <t>Belonging: Rethinking Inclusive Practices to Support Well-Being and Identity</t>
  </si>
  <si>
    <t>Guerin, Annie;McMenamin, Trish</t>
  </si>
  <si>
    <t>School belonging-New Zealand. ; Inclusive education-New Zealand.</t>
  </si>
  <si>
    <t>Challenging Inclusive Education Policy and Practice in Africa</t>
  </si>
  <si>
    <t>Pather, Sulochini;Slee, Roger</t>
  </si>
  <si>
    <t>Inclusive education-Africa. ; Inclusive education-Government policy-Africa. ; Education and state-Africa.</t>
  </si>
  <si>
    <t>Critical Issues and Bold Visions for Science Education : The Road Ahead</t>
  </si>
  <si>
    <t>A. Bryan, Lynn;Tobin, Kenneth</t>
  </si>
  <si>
    <t>Science-Study and teaching. ; Education-Research.</t>
  </si>
  <si>
    <t>Growing Tomorrow's Citizens in Today's Classrooms : Assessing Seven Critical Competencies (Teaching Strategies for Soft Skills and 21st-Century-Skills Assessment Methods)</t>
  </si>
  <si>
    <t>LB14.7 .E754 2019</t>
  </si>
  <si>
    <t>Education-Aims and objectives. ; Educational change. ; Education-Environmental aspects. ; Education-Evaluation. ; Education and globalization. ; Education-Effect of technological innovations on.</t>
  </si>
  <si>
    <t>African Diaspora Literacy : The Heart of Transformation in K-12 Schools and Teacher Education</t>
  </si>
  <si>
    <t>Johnson, Lamar L.;Boutte, Gloria;Greene, Gwenda;Smith, Dywanna;Collins, Saudah;Chia, Ntain Patience;Dawson, Julia;Gibson, Antoinette;Hightower, Damara;Lando, Rodrick</t>
  </si>
  <si>
    <t>DT16.5 .A375 2019</t>
  </si>
  <si>
    <t>Africa-Social life and customs-Study and teaching</t>
  </si>
  <si>
    <t>Formalise, Prioritise and Mobilise : How School Leaders Secure the Benefits of Professional Learning Networks</t>
  </si>
  <si>
    <t>Brown, Chris;Flood, Jane</t>
  </si>
  <si>
    <t>Emerald Professional Learning Networks Series</t>
  </si>
  <si>
    <t>Special Education for Young Learners with Disabilities</t>
  </si>
  <si>
    <t>Youth with disabilities-Education-United States</t>
  </si>
  <si>
    <t>Powerful Partnerships : A Teacher's Guide to Engaging Families for Student Success</t>
  </si>
  <si>
    <t>Scholastic, Incorporated</t>
  </si>
  <si>
    <t>Mapp, Karen;Carver, Ilene;Lander, Jessica</t>
  </si>
  <si>
    <t>LC226.6 .M377 2017</t>
  </si>
  <si>
    <t>Parent-teacher relationships-United States. ; Education-Parent participation-United States.</t>
  </si>
  <si>
    <t>The Reading Zone : How to Help Kids Become Passionate, Skilled, Habitual, Critical Readers</t>
  </si>
  <si>
    <t>Atwell, Nancie;Atwell Merkel, Anne</t>
  </si>
  <si>
    <t>LB1573 .A894 2016</t>
  </si>
  <si>
    <t>Reading (Elementary) ; Reading (Middle school) ; Reading promotion.</t>
  </si>
  <si>
    <t>From Striving to Thriving : How to Grow Confident, Capable Readers</t>
  </si>
  <si>
    <t>Harvey, Stephanie;Ward, Annie</t>
  </si>
  <si>
    <t>LB1573 .H378 2017</t>
  </si>
  <si>
    <t>Reading (Elementary) ; Literature-Study and teaching (Elementary)</t>
  </si>
  <si>
    <t>The Megabook of Fluency : Strategies and Texts to Engage All Readers</t>
  </si>
  <si>
    <t>Rasinski, Rimothy V.;Cheesman Smith, Melissa</t>
  </si>
  <si>
    <t>LB1573 .R375 2018</t>
  </si>
  <si>
    <t>Reading (Elementary) ; Fluency (Language learning) ; Language arts (Elementary)</t>
  </si>
  <si>
    <t>The Writing Teacher's Companion : Embracing Choice, Voice, Purpose and Play</t>
  </si>
  <si>
    <t>Fletcher, Ralph</t>
  </si>
  <si>
    <t>LB1576 .F548 2017</t>
  </si>
  <si>
    <t>English language-Composition and exercises-Study and teaching (Elementary) ; Creative writing (Elementary education)</t>
  </si>
  <si>
    <t>Equity in Instructional Technologies</t>
  </si>
  <si>
    <t>Watulak, Sarah Lohnes;Woodard, Rebecca;Phillips, Nathan</t>
  </si>
  <si>
    <t>The International Journal of Information and Learning Technology Series</t>
  </si>
  <si>
    <t>LB1028.3 .E685 2018</t>
  </si>
  <si>
    <t>Educational technology-Congresses.</t>
  </si>
  <si>
    <t>Ethics and the Early Childhood Educator : Using the NAEYC Code</t>
  </si>
  <si>
    <t>Feeney, Stephanie;Freeman, Nancy K.</t>
  </si>
  <si>
    <t>HV854 .F446 2018</t>
  </si>
  <si>
    <t>Day care centers-United States.</t>
  </si>
  <si>
    <t>Listening Is Learning : Conversations Between 20th and 21st Century Teachers</t>
  </si>
  <si>
    <t>LB1025.3 .T466 2019</t>
  </si>
  <si>
    <t>Community Service-Learning for Spanish Heritage Learners : Making Connections and Building Identities</t>
  </si>
  <si>
    <t>Pereira, Kelly Lowther</t>
  </si>
  <si>
    <t>Issues in Hispanic and Lusophone Linguistics Series</t>
  </si>
  <si>
    <t>LC220.5 .P474 2018</t>
  </si>
  <si>
    <t>Service learning-United States. ; Heritage language speakers-United States. ; Community and college-United States.</t>
  </si>
  <si>
    <t>Unlocked : Assessment As the Key to Everyday Creativity in the Classroom (Teaching and Measuring Creativity and Creative Skills)</t>
  </si>
  <si>
    <t>LB3051 .W458 2019</t>
  </si>
  <si>
    <t>Learning-Evaluation. ; Students-Rating of. ; Creative ability-Study and teaching. ; Motivation in education.</t>
  </si>
  <si>
    <t>Tréma U Hudebníků a Její Prevence Ve Vzdělávacím Systému</t>
  </si>
  <si>
    <t>Stevanović, Ena</t>
  </si>
  <si>
    <t>ML3820 .S748 2018</t>
  </si>
  <si>
    <t>Music-Physiological aspects. ; Musicians-Health and hygiene.</t>
  </si>
  <si>
    <t>Centred on Learning : Academic Case Studies on Learning Centre Development</t>
  </si>
  <si>
    <t>Oyston, Edward</t>
  </si>
  <si>
    <t>LB3044.74.G7 .C468 2018</t>
  </si>
  <si>
    <t>027.7/0941</t>
  </si>
  <si>
    <t>Instructional materials centers-Great Britain. ; Academic libraries-Great Britain.</t>
  </si>
  <si>
    <t>Access for All : Expanding Opportunity and Programs to Support Successful Student Outcomes at University of Nevada, Reno</t>
  </si>
  <si>
    <t>Choroszy, Melisa N.;Meek, Theodor M.</t>
  </si>
  <si>
    <t>378.1/98269420979355</t>
  </si>
  <si>
    <t>Low-income college students-Services for-Nevada-Reno-Case studies</t>
  </si>
  <si>
    <t>Vernon Subutex, Tome 1 de Virginie Despentes (Analyse de L'oeuvre) : Analyse Complète et Résumé détaillé de L'oeuvre</t>
  </si>
  <si>
    <t>lePetitLitteraire;Dyer, Michel</t>
  </si>
  <si>
    <t>Despentes, Virginie,-1969-</t>
  </si>
  <si>
    <t>Business and Corporation Engagement with Higher Education : Models, Theories and Best Practices</t>
  </si>
  <si>
    <t>Clevenger, Morgan R.;MacGregor, Cynthia J.</t>
  </si>
  <si>
    <t>LB2341-2341.95</t>
  </si>
  <si>
    <t>Academic-industrial collaboration-United States</t>
  </si>
  <si>
    <t>Language, Teaching and Pedagogy for Refugee Education</t>
  </si>
  <si>
    <t>Sengupta, Enakshi;Blessinger, Patrick</t>
  </si>
  <si>
    <t>HT51-1595</t>
  </si>
  <si>
    <t>378.1/9826914</t>
  </si>
  <si>
    <t>Refugees-Education (Higher) ; Language and languages-Study and teaching.</t>
  </si>
  <si>
    <t>The Wiley Handbook of Family, School, and Community Relationships in Education</t>
  </si>
  <si>
    <t>Sheldon, Steven B.;Turner-Vorbeck, Tammy A.</t>
  </si>
  <si>
    <t>Changing Regimes and Educational Development in Cameroon</t>
  </si>
  <si>
    <t>Spears Books</t>
  </si>
  <si>
    <t>Gwanfogbe, B.</t>
  </si>
  <si>
    <t>LA1851 .G836 2018</t>
  </si>
  <si>
    <t>Education-Cameroon-History.</t>
  </si>
  <si>
    <t>Teaching Islamic Studies in the Age of ISIS, Islamophobia, and the Internet</t>
  </si>
  <si>
    <t>Dorroll, Courtney M.;Hall, Kimberly;Baumi, Doaa;Ceballos, Manuela;Martin, Richard C.;Geer, Benjamin;Khalfaoui, Mouez;Teipen, Alfons H.;Hutchins, William Maynard;Moustafa, Laila Hussein</t>
  </si>
  <si>
    <t>Encounters: Explorations in Folklore and Ethnomusicology Series</t>
  </si>
  <si>
    <t>BP42 .T433 2019</t>
  </si>
  <si>
    <t>Islam-Study and teaching. ; Islamic civilization-Study and teaching. ; Islamophobia.</t>
  </si>
  <si>
    <t>Teaching As the Art of Staging : A Scenario-Based College Pedagogy in Action</t>
  </si>
  <si>
    <t>Weston, Anthony</t>
  </si>
  <si>
    <t>Wellness Counseling : A Holistic Approach to Prevention and Intervention</t>
  </si>
  <si>
    <t>Ohrt, Jonathan H.;Clarke, Philip B.;Conley, Abigail H.</t>
  </si>
  <si>
    <t>R727.4 .O378 2019</t>
  </si>
  <si>
    <t>Alternative medicine</t>
  </si>
  <si>
    <t>La Ballade de Lila K de Blandine le Callet (Analyse de L'oeuvre) : Analyse Complète et Résumé détaillé de L'oeuvre</t>
  </si>
  <si>
    <t>Sang Famille de Michel Bussi (Analyse de L'oeuvre) : Analyse Complète et Résumé détaillé de L'oeuvre</t>
  </si>
  <si>
    <t>lePetitLitteraire;Bontout-Roche, Aurélie</t>
  </si>
  <si>
    <t>Bussi, Michel,-1965- ; French fiction.</t>
  </si>
  <si>
    <t>Wellbeing in the Primary Classroom : A Practical Guide to Teaching Happiness and Positive Mental Health</t>
  </si>
  <si>
    <t>Bethune, Adrian;Seldon, Anthony</t>
  </si>
  <si>
    <t>LB1587.A3 .B484 2018</t>
  </si>
  <si>
    <t>Health education (Elementary) ; Education, Elementary-Activity programs. ; Classroom environment.</t>
  </si>
  <si>
    <t>Principles and Practices of Working with Pupils with Special Educational Needs and Disability : A Student Guide</t>
  </si>
  <si>
    <t>Cotterill, Trevor</t>
  </si>
  <si>
    <t>LC4601 .C688 2019</t>
  </si>
  <si>
    <t>Decolonizing Foreign Language Education : The Misteaching of English and Other Colonial Languages</t>
  </si>
  <si>
    <t>Macedo, Donaldo</t>
  </si>
  <si>
    <t>PE1073 .D436 2019</t>
  </si>
  <si>
    <t>Imperialism and philology. ; Second language acquisition-Social aspects. ; English language-Study and teaching-Foreign speakers. ; English language-Globalization.</t>
  </si>
  <si>
    <t>Making Sense of Number, K-10 : Getting to Know Your Students So You Can Support the Development of Their Mathematical Understanding</t>
  </si>
  <si>
    <t>Fiore, Mary;Tackaberry, Ryan</t>
  </si>
  <si>
    <t>QA11 .F567 2018</t>
  </si>
  <si>
    <t>Mathematics-Study and teaching. ; Teacher-student relationships.</t>
  </si>
  <si>
    <t>Inspiring Meaningful Learning : 6 Steps to Creating Lessons That Engage Students in Deep Learning</t>
  </si>
  <si>
    <t>Dzaldov, Brenda Stein</t>
  </si>
  <si>
    <t>Lesson planning. ; Learning.</t>
  </si>
  <si>
    <t>Asking Better Questions : Teaching and Learning for a Changing World</t>
  </si>
  <si>
    <t>Saxton, Juliana;Miller, Carole;Laidlaw, Linda;O'Mara, Joanne</t>
  </si>
  <si>
    <t>LB1027.44 .S298 2018</t>
  </si>
  <si>
    <t>Questioning. ; Teaching. ; Learning.</t>
  </si>
  <si>
    <t>Children Draw : A Guide to Why, When and How Children Make Art</t>
  </si>
  <si>
    <t>Reaktion Books</t>
  </si>
  <si>
    <t>Reaktion Books, Limited</t>
  </si>
  <si>
    <t>Goodman, Marilyn JS</t>
  </si>
  <si>
    <t>N352</t>
  </si>
  <si>
    <t>Fine Arts; Psychology</t>
  </si>
  <si>
    <t>Applying Indigenous Research Methods : Storying with Peoples and Communities</t>
  </si>
  <si>
    <t>Windchief, Sweeney;San Pedro, Timothy</t>
  </si>
  <si>
    <t>Indigenous and Decolonizing Studies in Education Series</t>
  </si>
  <si>
    <t>E76.7 .A675 2019</t>
  </si>
  <si>
    <t>Indians of North America-Education-Research</t>
  </si>
  <si>
    <t>Essentials of School Neuropsychological Assessment</t>
  </si>
  <si>
    <t>Miller, Daniel C.;Maricle, Denise E.;Kaufman, Alan S.;Kaufman, Nadeen L.</t>
  </si>
  <si>
    <t>School children-Mental health services</t>
  </si>
  <si>
    <t>Bloomsbury CPD Library: Senior Leadership</t>
  </si>
  <si>
    <t>Tait, Jon;CPD Library, Bloomsbury;Findlater, Sarah</t>
  </si>
  <si>
    <t>Bloomsbury CPD Library</t>
  </si>
  <si>
    <t>LB2806 .T358 2018</t>
  </si>
  <si>
    <t>Educational leadership. ; Teachers-Professional relationships. ; Effective teaching.</t>
  </si>
  <si>
    <t>Digital Governance of Education : Technology, Standards and Europeanization of Education</t>
  </si>
  <si>
    <t>Landri, Paolo</t>
  </si>
  <si>
    <t>LB1028.3 .L363 2018</t>
  </si>
  <si>
    <t>Educational technology. ; Education-Standards.</t>
  </si>
  <si>
    <t>Informační systémy ve vzdělávání : Od matrik k sémantickým technologiím a dialogovým systémům pro učení</t>
  </si>
  <si>
    <t>LB1028.3 .C476 2016</t>
  </si>
  <si>
    <t>A Humanizing Dual Language Immersion Education</t>
  </si>
  <si>
    <t>Immersion method (Language teaching) ; Education, Bilingual. ; Second language acquisition-Study and teaching. ; Language and languages-Study and teaching.</t>
  </si>
  <si>
    <t>Challenges and Opportunities in Education for Refugees in Europe : From Research to Good Practices</t>
  </si>
  <si>
    <t>Refugees-Education-Europe. ; Education, Bilingual-Europe.</t>
  </si>
  <si>
    <t>Organization and Newness : Discourses and Ecologies of Innovation in the Creative University</t>
  </si>
  <si>
    <t>Peters, Michael A.;Weber, Susanne Maria</t>
  </si>
  <si>
    <t>HD58.82 .O743 2019</t>
  </si>
  <si>
    <t>Organizational learning. ; Organizational change.</t>
  </si>
  <si>
    <t>Political Science; Business/Management</t>
  </si>
  <si>
    <t>Who's in? Who's Out? : What to Do about Inclusive Education</t>
  </si>
  <si>
    <t>Best, Marnie;Corcoran, Tim;Slee, Roger</t>
  </si>
  <si>
    <t>Inclusive education-Case studies. ; Inclusive education.</t>
  </si>
  <si>
    <t>Resisting English Hegemony : A Study of Five English As a Foreign Language (EFL) High School Teachers</t>
  </si>
  <si>
    <t>Barbara Krawczyk, Ewa</t>
  </si>
  <si>
    <t>PE1068.P6 .K739 2019</t>
  </si>
  <si>
    <t>English language-Study and teaching (Secondary)-Poland. ; English language-Study and teaching (Secondary)-Polish speakers-Case studies.</t>
  </si>
  <si>
    <t>Gender Warriors : Reading Contemporary Urban Fantasy</t>
  </si>
  <si>
    <t>Anyiwo, U. Melissa;Hobson, Amanda</t>
  </si>
  <si>
    <t>Teaching Gender Series</t>
  </si>
  <si>
    <t>PS374.F27 .Gender 2019</t>
  </si>
  <si>
    <t>Gender identity in mass media. ; Gender identity in literature. ; Objectification (Social psychology) in mass media. ; Objectification (Social psychology) in literature. ; Fantasy in mass media. ; Fantasy fiction, American-History and criticism.</t>
  </si>
  <si>
    <t>Knowledge Mobilization in TESOL : Connecting Research and Practice</t>
  </si>
  <si>
    <t>Anwaruddin, Sardar M.</t>
  </si>
  <si>
    <t>English language-Study and teaching-Foreign speakers-Research.</t>
  </si>
  <si>
    <t>Teaching Fairy Tales</t>
  </si>
  <si>
    <t>Canepa, Nancy L.;Zipes, Jack;Haase, Donald;Seifert, Lewis C.;Duggan, Anne E.;Stedman, Allison;Schacker, Jennifer;Nikolajeva, Maria;Schmiesing, Ann;Bacchilega, Cristina</t>
  </si>
  <si>
    <t>Series in Fairy-Tale Studies</t>
  </si>
  <si>
    <t>PZ8 .T433 2019</t>
  </si>
  <si>
    <t>Fairy tales.</t>
  </si>
  <si>
    <t>Strategies for Fostering Inclusive Classrooms in Higher Education : International Perspectives on Equity and Inclusion</t>
  </si>
  <si>
    <t>Hoffman, Jaimie;Blessinger, Patrick;Makhanya, Mandla</t>
  </si>
  <si>
    <t>LC212-212.863</t>
  </si>
  <si>
    <t>Achieving Academic Promotion</t>
  </si>
  <si>
    <t>Mahat, Marian;Tatebe, Jennifer</t>
  </si>
  <si>
    <t>Surviving and Thriving in Academia Series</t>
  </si>
  <si>
    <t>College teachers. ; College teachers-Vocational guidance.</t>
  </si>
  <si>
    <t>How Boards Lead Small Colleges</t>
  </si>
  <si>
    <t>Brown, Alice Lee Williams;Hayford, Elizabeth Richmond</t>
  </si>
  <si>
    <t>LB2342.5 .B769 2019</t>
  </si>
  <si>
    <t>College trustees-United States. ; College administrators-United States. ; Small colleges-United States-Administration.</t>
  </si>
  <si>
    <t>The Changed Paradigm of Business Progress</t>
  </si>
  <si>
    <t>Marques, Joan</t>
  </si>
  <si>
    <t>HF5387 .C436 2018</t>
  </si>
  <si>
    <t>Business ethics-United States.</t>
  </si>
  <si>
    <t>Powerful Narratives and Compelling Explanations</t>
  </si>
  <si>
    <t>Kass, Dorothy;Campbell, Craig</t>
  </si>
  <si>
    <t>History of Education Review Series</t>
  </si>
  <si>
    <t>PS129 .P694 2018</t>
  </si>
  <si>
    <t>Authors, American-Biography.</t>
  </si>
  <si>
    <t>Middle Eastern Post-Conflict Futures in Education : Iraq, Syria and Yemen</t>
  </si>
  <si>
    <t>Millican, Juliet;Webb, Carol;Park, Jae</t>
  </si>
  <si>
    <t>International Journal of Comparative Education and Development Series</t>
  </si>
  <si>
    <t>LA209.2 .M533 2018</t>
  </si>
  <si>
    <t>Education-United States.</t>
  </si>
  <si>
    <t>The Wiley Handbook of Vocational Education and Training</t>
  </si>
  <si>
    <t>Guile, David;Unwin, Lorna</t>
  </si>
  <si>
    <t>Trénink Mláde&amp;#382;e V B&amp;#283;zích Na St&amp;#345;ední a Dlouhé Trat&amp;#283;</t>
  </si>
  <si>
    <t>Bahenský, Petr;Bunc, Václav</t>
  </si>
  <si>
    <t>GV1065 .B344 2018</t>
  </si>
  <si>
    <t>Long-distance running-Training.</t>
  </si>
  <si>
    <t>Building Great School Counselor-Administrator Teams : A Systematic Approach to Supporting Students, Staff, and the Community (Balancing Guidance Counselor and Administrator Responsibilities)</t>
  </si>
  <si>
    <t>Balch, Tonya C.;Balch, Bradley V.</t>
  </si>
  <si>
    <t>LB2806.3 .B353 2019</t>
  </si>
  <si>
    <t>The Wiley Handbook of Early Childhood Care and Education</t>
  </si>
  <si>
    <t>Brown, Christopher P.;Benson McMullen, Mary;File, Nancy</t>
  </si>
  <si>
    <t>Building the Field of Higher Education Engagement : Foundational Ideas and Future Directions</t>
  </si>
  <si>
    <t>Sandmann, Lorilee R.;Jones, Diann O.;Bass, Randall</t>
  </si>
  <si>
    <t>LC238 .B855 2019</t>
  </si>
  <si>
    <t>Education, Higher-Aims and objectives-United States. ; Service learning-United States. ; Learning and scholarship-Social aspects-United States. ; Community development-United States. ; Community and college-United States.</t>
  </si>
  <si>
    <t>Project-Based Learning in the First Year : Beyond All Expectations</t>
  </si>
  <si>
    <t>Wobbe, Kristin K.;Stoddard, Elisabeth A.</t>
  </si>
  <si>
    <t>LB2331 .P765 2019</t>
  </si>
  <si>
    <t>College teaching-Methodology.</t>
  </si>
  <si>
    <t>Introduction to the Finnish Educational System</t>
  </si>
  <si>
    <t>Paksuniemi, Merja;Keskitalo, Pigga</t>
  </si>
  <si>
    <t>LA1011 .I587 2019</t>
  </si>
  <si>
    <t>The Reflexivity of Pain and Privilege : Auto-Ethnographic Collections of Mixed Identity</t>
  </si>
  <si>
    <t>Hurd, Ellis</t>
  </si>
  <si>
    <t>K3496 .R445 2019</t>
  </si>
  <si>
    <t>Racially mixed people.</t>
  </si>
  <si>
    <t>Adults, Mathematics and Work : From Research into Practice</t>
  </si>
  <si>
    <t>Keogh, John J.;Maguire, Theresa;O'Donoghue, John</t>
  </si>
  <si>
    <t>QA10.7 .K464 2018</t>
  </si>
  <si>
    <t>Mathematics-Social aspects. ; Mathematics-Psychological aspects.</t>
  </si>
  <si>
    <t>All Souls College, Oxford in the Early Eighteenth Century : Piety, Political Imposition, and Legacy of the Glorious Revolution</t>
  </si>
  <si>
    <t>Wigelsworth, Jeffrey</t>
  </si>
  <si>
    <t>LF535 .W544 2018</t>
  </si>
  <si>
    <t>Gardiner, Bernard,-1668-1726. ; All Souls College (University of Oxford)-History-18th century.</t>
  </si>
  <si>
    <t>In the President's Home : Memories of the Akron Auburns</t>
  </si>
  <si>
    <t>The University Of Akron Press</t>
  </si>
  <si>
    <t>Auburn, Mark</t>
  </si>
  <si>
    <t>Series on Ohio History and Culture</t>
  </si>
  <si>
    <t>LD51.A617 .A938 2019</t>
  </si>
  <si>
    <t>Auburn, Norman P.-(Norman Paul),-1905-2003.</t>
  </si>
  <si>
    <t>The Wiley Handbook of Problem-Based Learning</t>
  </si>
  <si>
    <t>Moallem, Mahnaz;Hung, Woei;Dabbagh, Nada</t>
  </si>
  <si>
    <t>Problem-based learning</t>
  </si>
  <si>
    <t>How to Be a Dean</t>
  </si>
  <si>
    <t>Justice, George</t>
  </si>
  <si>
    <t>Handbook for Poor Students, Rich Teaching : (a Guide to Overcoming Adversity and Poverty in Schools)</t>
  </si>
  <si>
    <t>LC4091 .J467 2019</t>
  </si>
  <si>
    <t>Poor Students, Rich Teaching : Seven High-Impact Mindsets for Students from Poverty (Using Mindsets in the Classroom to Overcome Student Poverty and Adversity)</t>
  </si>
  <si>
    <t>Over Here : How the G. I. Bill Transformed the American Dream</t>
  </si>
  <si>
    <t>Diversion Publishing Corp.</t>
  </si>
  <si>
    <t>Humes, Edward</t>
  </si>
  <si>
    <t>UA917.U5 .H864 2014</t>
  </si>
  <si>
    <t>362.86/820973</t>
  </si>
  <si>
    <t>United States-Armed Forces-Demobilization-History-20th century</t>
  </si>
  <si>
    <t>Military Science; Social Science</t>
  </si>
  <si>
    <t>HigherEducation and the Common Good</t>
  </si>
  <si>
    <t>Melbourne University Publishing</t>
  </si>
  <si>
    <t>MUP Academic Digital</t>
  </si>
  <si>
    <t>Marginson, Simon</t>
  </si>
  <si>
    <t>LB2324 .M374 2016</t>
  </si>
  <si>
    <t>Education, Higher-Australia. ; Universities and colleges-Graduate work. ; Common good.</t>
  </si>
  <si>
    <t>Educating Australia : Challenges for the Decade Ahead</t>
  </si>
  <si>
    <t>Bentley, Tom;Savage, Glenn Clifton</t>
  </si>
  <si>
    <t>Educational planning-Australia. ; Education-Aims and objectives-Australia. ; Education-Forecasting. ; Education.</t>
  </si>
  <si>
    <t>Exiles, Entrepreneurs, and Educators : African Americans in Ghana</t>
  </si>
  <si>
    <t>Taylor, Steven J. L.</t>
  </si>
  <si>
    <t>SUNY Series in African American Studies</t>
  </si>
  <si>
    <t>DT510.43.A37T39 2019</t>
  </si>
  <si>
    <t>African Americans--Ghana--History. ; African Americans--Relations with Africans. ; African Americans--Political activity--Ghana. ; African American businesspeople--Ghana.</t>
  </si>
  <si>
    <t>Transforming Comparative Education : Fifty Years of Theory Building at Stanford</t>
  </si>
  <si>
    <t>Carnoy, Martin</t>
  </si>
  <si>
    <t>LB43 .C376 2019</t>
  </si>
  <si>
    <t>Comparative education. ; International education.</t>
  </si>
  <si>
    <t>The Wiley Handbook of Action Research in Education</t>
  </si>
  <si>
    <t>Art, Culture, and Pedagogy : Revisiting the Work of F. Graeme Chalmers</t>
  </si>
  <si>
    <t>Garnet, Dustin;Sinner, Anita</t>
  </si>
  <si>
    <t>N350 .A78 2019</t>
  </si>
  <si>
    <t>Art in education. ; Art in education-Social aspects. ; Art-Study and teaching. ; Art-Study and teaching-Social aspects. ; Cultural pluralism. ; Social justice.</t>
  </si>
  <si>
    <t>Researching and Using Progressions (Trajectories) in Mathematics Education</t>
  </si>
  <si>
    <t>Siemon, Dianne;Barkatsas, Tasos;Seah, Rebecca</t>
  </si>
  <si>
    <t>A New Kid on the Block : The University of South Australia in the Unified National System</t>
  </si>
  <si>
    <t>Mackinnon, Alison</t>
  </si>
  <si>
    <t>LB2321 .M335 2016</t>
  </si>
  <si>
    <t>Preserving the Past : The University of Sydney and the Unified National System of Higher Education, 1987-96</t>
  </si>
  <si>
    <t>Horne, Julia;Garton, Stephen</t>
  </si>
  <si>
    <t>University of Sydney-History. ; Higher education and state-Australia-History-20th century.</t>
  </si>
  <si>
    <t>De la Guerre des Boutons à Harry Potter : Un Siècle d'évolution de l'espace-Temps des Adolescents</t>
  </si>
  <si>
    <t>Gauthier, Jean-Marie;Moukalou, Roger</t>
  </si>
  <si>
    <t>Potter, Harry-(Fictitious character) ; Rowling, J. K.-Criticism and interpretation. ; Children's literature-Psychological aspects.</t>
  </si>
  <si>
    <t>Alternative Universities : Speculative Design for Innovation in Higher Education</t>
  </si>
  <si>
    <t>Staley, David J.</t>
  </si>
  <si>
    <t>LC46.3 .S735 2019</t>
  </si>
  <si>
    <t>Essays on Teaching Education and the Inner Drama of Teaching : Where Troubles Meet Issues</t>
  </si>
  <si>
    <t>Bullough, Robert V., Jr.</t>
  </si>
  <si>
    <t>Teachers-Training of</t>
  </si>
  <si>
    <t>Enseigner en STI : Pour Que les élèves Apprennent</t>
  </si>
  <si>
    <t>Editions Cepadues</t>
  </si>
  <si>
    <t>Cepadues Editions</t>
  </si>
  <si>
    <t>TOULOUSE</t>
  </si>
  <si>
    <t>Musial, Manuel;Rubaud, Marc</t>
  </si>
  <si>
    <t>Q181 .M875 2010</t>
  </si>
  <si>
    <t>Guide de l'ingenierie des Exigences Afis</t>
  </si>
  <si>
    <t>Fanmuy, Gauthier</t>
  </si>
  <si>
    <t>TA168 .F366 2012</t>
  </si>
  <si>
    <t>Systems engineering-Management.</t>
  </si>
  <si>
    <t>Comment Financer l'innovation Dans les Pme-Pmi</t>
  </si>
  <si>
    <t>Cottet, Francis</t>
  </si>
  <si>
    <t>HG186.F8 .C688 2013</t>
  </si>
  <si>
    <t>Finance-France.</t>
  </si>
  <si>
    <t>Gestion des Risques Naturels, Technologiques et Sanitaires</t>
  </si>
  <si>
    <t>Collectif</t>
  </si>
  <si>
    <t>HD61 .G478 2014</t>
  </si>
  <si>
    <t>Risk management-Congresses.</t>
  </si>
  <si>
    <t>L' adaptation Dans Tous Ses Etats</t>
  </si>
  <si>
    <t>Lopisteguy, Philippe;Rieu, Dominique;Roose, Philippe</t>
  </si>
  <si>
    <t>QA76.9.S88 .L675 2012</t>
  </si>
  <si>
    <t>System design.</t>
  </si>
  <si>
    <t>Engage the Brain : How to Design for Learning That Taps into the Power of Emotion</t>
  </si>
  <si>
    <t>Posey, Allison</t>
  </si>
  <si>
    <t>LB1060 .P674 2019</t>
  </si>
  <si>
    <t>Learning, Psychology of. ; Cognitive styles in children. ; Emotions and cognition. ; Affective education.</t>
  </si>
  <si>
    <t>Leading High-Performance School Systems : Lessons from the World's Best</t>
  </si>
  <si>
    <t>Tucker, Marc</t>
  </si>
  <si>
    <t>Leading in Sync : Teacher Leaders and Principals Working Together for Student Learning</t>
  </si>
  <si>
    <t>Berg, Jill Harrison</t>
  </si>
  <si>
    <t>LB2832.2 .B474 2018</t>
  </si>
  <si>
    <t>Teacher-principal relationships-United States. ; Teachers-Professional relationships-United States. ; Educational leadership-United States.</t>
  </si>
  <si>
    <t>Is My School a Better School BECAUSE I Lead It?</t>
  </si>
  <si>
    <t>What We Know about Grading : What Works, What Doesn't, and What's Next</t>
  </si>
  <si>
    <t>Guskey, Thomas R.;Brookhart, Susan M.</t>
  </si>
  <si>
    <t>LB3063 .W438 2019</t>
  </si>
  <si>
    <t>Teacher's Guide to Tackling Attendance Challenges</t>
  </si>
  <si>
    <t>Sprick, Jessica;Berg, Tricia</t>
  </si>
  <si>
    <t>School Leader's Guide to Tackling Attendance Challenges</t>
  </si>
  <si>
    <t>Sprick, Jessica;Sprick, Randy</t>
  </si>
  <si>
    <t>With the Whole Child in Mind : Insights from the Comer School Development Program</t>
  </si>
  <si>
    <t>Darling-Hammond, Linda;Cook-Harvey, Channa M.;Flook, Lisa;Gardner, Madelyn;Melnick, Hanna</t>
  </si>
  <si>
    <t>What We Say and How We Say It Matter : Teacher Talk That Improves Student Learning and Behavior</t>
  </si>
  <si>
    <t>LB1033.5 .A534 2019</t>
  </si>
  <si>
    <t>Communication in education. ; Teachers-Language. ; Teacher-student relationships. ; Motivation in education. ; Effective teaching.</t>
  </si>
  <si>
    <t>Summarization in Any Subject : 60 Innovative, Tech-Infused Strategies for Deeper Student Learning</t>
  </si>
  <si>
    <t>Wormeli, Rick;Stafford, Dedra</t>
  </si>
  <si>
    <t>LB1033.5 .W676 2019</t>
  </si>
  <si>
    <t>Communication in education. ; Abstracting. ; Cognitive learning.</t>
  </si>
  <si>
    <t>Math Fact Fluency : 60+ Games and Assessment Tools to Support Learning and Retention</t>
  </si>
  <si>
    <t>Bay-Williams, Jennifer;Kling, Gina</t>
  </si>
  <si>
    <t>Project Based Teaching : How to Create Rigorous and Engaging Learning Experiences</t>
  </si>
  <si>
    <t>Boss, Suzie;Larmer, John</t>
  </si>
  <si>
    <t>Relationship, Responsibility, and Regulation : Trauma-Invested Practices for Fostering Resilient Learners</t>
  </si>
  <si>
    <t>Souers, Kristin Van Marter;Hall, Pete</t>
  </si>
  <si>
    <t>LC4601 .S684 2019</t>
  </si>
  <si>
    <t>Children with mental disabilities-Education. ; Psychic trauma in children. ; Post-traumatic stress disorder in children. ; Teacher-student relationships. ; Behavior modification.</t>
  </si>
  <si>
    <t>All Learning Is Social and Emotional : Helping Students Develop Essential Skills for the Classroom and Beyond</t>
  </si>
  <si>
    <t>Frey, Nancy;Fisher, Douglas;Smith, Dominique</t>
  </si>
  <si>
    <t>Dream Team : A Practical Playbook to Help Innovative Educators Change Schools</t>
  </si>
  <si>
    <t>LB2822.8 .T358 2019</t>
  </si>
  <si>
    <t>School improvement programs. ; Educational innovations. ; Educational leadership. ; Educational change. ; School support teams.</t>
  </si>
  <si>
    <t>Learning Together : Children and Adults in a School Community</t>
  </si>
  <si>
    <t>Rogoff, Barbara;Turkanis, Carolyn Goodman;Bartlett, Leslee</t>
  </si>
  <si>
    <t>LB1027.23.C63 2001</t>
  </si>
  <si>
    <t>Making Sense of Mathematics for Teaching to Inform Instructional Quality : (Applying the TQE Process in Teachers' Math Strategies)</t>
  </si>
  <si>
    <t>Boston, Melissa D.;Candela, Amber G.;Dixon, Juli K.</t>
  </si>
  <si>
    <t>QA11.2 .B678 2019</t>
  </si>
  <si>
    <t>Systems Product Line Engineering Handbook</t>
  </si>
  <si>
    <t>Le Put, Alain;AFIS, Collectif</t>
  </si>
  <si>
    <t>QA76.758 .L478 2016</t>
  </si>
  <si>
    <t>Software engineering-Handbooks, manuals, etc. ; Software product line engineering-Handbooks, manuals, etc.</t>
  </si>
  <si>
    <t>Guide Bonnes Pratiques en Expression du Besoin</t>
  </si>
  <si>
    <t>Collectif, Afis</t>
  </si>
  <si>
    <t>TA168 .F366 2014</t>
  </si>
  <si>
    <t>Systems engineering.</t>
  </si>
  <si>
    <t>Engineering: Civil; Engineering: General; Engineering</t>
  </si>
  <si>
    <t>Making Sense of Mathematics for Teaching Girls in Grades K - 5 : (Addressing Gender Bias and Stereotypes in Elementary Education)</t>
  </si>
  <si>
    <t>Adams, Thomasenia Lott;Wenzel, Taylar B.;Childs, Kristopher J.;Neff, Samantha R.</t>
  </si>
  <si>
    <t>Inside PLCs at Work® : Your Guided Tour Through One District's Successes, Challenges, and Celebrations (How Effective Professional Learning Communities Work)</t>
  </si>
  <si>
    <t>Dougherty, Craig;Reason, Casey</t>
  </si>
  <si>
    <t>LB1731 .R437 2019</t>
  </si>
  <si>
    <t>Teaching Writing to Children in Indigenous Languages : Instructional Practices from Global Contexts</t>
  </si>
  <si>
    <t>Sherris, Ari;Peyton, Joy Kreeft</t>
  </si>
  <si>
    <t>GN380 .T433 2019</t>
  </si>
  <si>
    <t>Penmanship</t>
  </si>
  <si>
    <t>Nurturing Habits of Mind in Early Childhood : Success Stories from Classrooms Around the World</t>
  </si>
  <si>
    <t>Transformative Teacher Research : Theory and Practice for the C21st</t>
  </si>
  <si>
    <t>Burnard, Pamela;Apelgren, Britt-Marie;Cabaroglu, Nese</t>
  </si>
  <si>
    <t>The Gold and the Dross : Althusser for Educators</t>
  </si>
  <si>
    <t>Backer, David I.</t>
  </si>
  <si>
    <t>Brill Guides to Scholarship in Education Series</t>
  </si>
  <si>
    <t>International Schooling and Education in the 'New Era' : Emerging Issues</t>
  </si>
  <si>
    <t>Bunnell, Tristan</t>
  </si>
  <si>
    <t>Action Learning and Action Research : Genres and Approaches</t>
  </si>
  <si>
    <t>Zuber-Skerritt, Ortrun;Wood, Lesley</t>
  </si>
  <si>
    <t>LC1049-1049.8</t>
  </si>
  <si>
    <t>Listening to Young Children in Early Years Settings : A Practical Guide</t>
  </si>
  <si>
    <t>LB1139.23 .M356 2019</t>
  </si>
  <si>
    <t>Early childhood education. ; Teacher-student relationships. ; Listening. ; Communication in education. ; Child development.</t>
  </si>
  <si>
    <t>Supporting Vulnerable Children in the Early Years : Practical Guidance and Strategies for Working with Children at Risk</t>
  </si>
  <si>
    <t>Beckley, Pat;Atkin, Professor Chris;Olusoga, Yinka;Luby, Antony;Bremner, Nishi;Lindley-Baker, Julia;Farrar, Elizabeth;Shelbourne, Rosey;Taylor, Gina;Howe, Sarah</t>
  </si>
  <si>
    <t>Making and Tinkering With STEM : Solving Design Challenges With Young Children</t>
  </si>
  <si>
    <t>Washington, DC</t>
  </si>
  <si>
    <t>Heroman, Cate</t>
  </si>
  <si>
    <t>LB1139.23 .H476 2017</t>
  </si>
  <si>
    <t>Professorial Pathways : Academic Careers in a Global Perspective</t>
  </si>
  <si>
    <t>Finkelstein, Martin J.;Jones, Glen A.</t>
  </si>
  <si>
    <t>Building Trauma-Sensitive Schools : Your Guide to Creating Safe, Supportive Learning Environments for All Students</t>
  </si>
  <si>
    <t>Alexander, Jen;Hinrichs, Carol</t>
  </si>
  <si>
    <t>LC4601 .A449 2019</t>
  </si>
  <si>
    <t>Children with mental disabilities-Education. ; Psychic trauma in children. ; School environment.</t>
  </si>
  <si>
    <t>Practical Wisdom : Thinking Differently about College and University Governance</t>
  </si>
  <si>
    <t>Eckel, Peter D.;Trower, Cathy A.</t>
  </si>
  <si>
    <t>LB2341.E265 2018</t>
  </si>
  <si>
    <t>College trustees-United States</t>
  </si>
  <si>
    <t>Emotional Literacy : Supporting Emotional Health and Wellbeing in School</t>
  </si>
  <si>
    <t>Waterhouse, Alison</t>
  </si>
  <si>
    <t>Mental Health and Wellbeing Teacher Toolkit Series</t>
  </si>
  <si>
    <t>LB1072 .W384 2019</t>
  </si>
  <si>
    <t>Affective education. ; Teacher-counselor relationships. ; Students-Mental health.</t>
  </si>
  <si>
    <t>Motivation in Education at a Time of Global Change : Theory, Research, and Implications for Practice</t>
  </si>
  <si>
    <t>Gonida, Eleftheria N.;Serra Lemos, Marina</t>
  </si>
  <si>
    <t>Motivation in education-Research</t>
  </si>
  <si>
    <t>College students-United States-Conduct of life</t>
  </si>
  <si>
    <t>The Burnout Cure : Learning to Love Teaching Again</t>
  </si>
  <si>
    <t>Mielke, Chase</t>
  </si>
  <si>
    <t>Cortical Visual Impairment : Advanced Principles</t>
  </si>
  <si>
    <t>Louisville, KY</t>
  </si>
  <si>
    <t>HV1626 .C678 2019</t>
  </si>
  <si>
    <t>362.4/1</t>
  </si>
  <si>
    <t>Children with visual disabilities-Education. ; Children with visual disabilities-Rehabilitation. ; People with visual disabilities-Education. ; People with visual disabilities-Rehabilitation.</t>
  </si>
  <si>
    <t>A Contest Without Winners : How Students Experience Competitive School Choice</t>
  </si>
  <si>
    <t>Phillippo, Kate</t>
  </si>
  <si>
    <t>LB1027.9 .P455 2019</t>
  </si>
  <si>
    <t>School choice-Social aspects-Illinois-Chicago. ; School choice-Economic aspects-Illinois-Chicago. ; Educational equalization-Illinois-Chicago.</t>
  </si>
  <si>
    <t>The Human Side of Management</t>
  </si>
  <si>
    <t>Singh, Sanjay</t>
  </si>
  <si>
    <t>HF5549 .H863 2019</t>
  </si>
  <si>
    <t>Step in, Step Up : Empowering Women for the School Leadership Journey (a 12-Week Educational Leadership Development Guide for Women)</t>
  </si>
  <si>
    <t>Kise, Jane A. G.;Watterston, Barbara K.</t>
  </si>
  <si>
    <t>LB2831.8 .K574 2019</t>
  </si>
  <si>
    <t>Letting Data Lead : How to Design, Analyze, and Respond to Classroom Assessment (Gain Actionable Insights Through Effective Assessment Methods and Data Interpretation)</t>
  </si>
  <si>
    <t>LB3051 .D475 2019</t>
  </si>
  <si>
    <t>Educational tests and measurements. ; Educational evaluation. ; Education-Data processing. ; Academic achievement.</t>
  </si>
  <si>
    <t>Swimming in the Deep End : Four Foundational Skills for Leading Successful School Initiatives (Managing Change Through Strategic Planning and Effective Leadership)</t>
  </si>
  <si>
    <t>Abrams, Jennifer</t>
  </si>
  <si>
    <t>LB2805 .A273 2019</t>
  </si>
  <si>
    <t>Time for Change : Four Essential Skills for Transformational School and District Leaders (Educational Leadership Development for Change Management)</t>
  </si>
  <si>
    <t>Muhammad, Anthony;Cruz, Luis F.</t>
  </si>
  <si>
    <t>Intersectionality of Race, Ethnicity, Class, and Gender in Teaching and Teacher Education : Movement Toward Equity in Education</t>
  </si>
  <si>
    <t>Carter, Norvella P.;Vavrus, Michael</t>
  </si>
  <si>
    <t>LC1099.515.C85 .I584 2018</t>
  </si>
  <si>
    <t>Culturally relevant pedagogy. ; Intersectionality (Sociology) ; Educational equalization. ; Teachers-Training of-Social aspects.</t>
  </si>
  <si>
    <t>Looking Back and Living Forward : Indigenous Research Rising Up</t>
  </si>
  <si>
    <t>Markides, Jennifer;Forsythe, Laura</t>
  </si>
  <si>
    <t>Ethnology. ; Indigenous peoples-Research.</t>
  </si>
  <si>
    <t>Issues in Syllabus Design</t>
  </si>
  <si>
    <t>Faravani, Akram</t>
  </si>
  <si>
    <t>LB2806.15 .I878 2018</t>
  </si>
  <si>
    <t>Language and languages-Study and teaching. ; Curriculum planning. ; Language and languages-Outlines, syllabi, etc.</t>
  </si>
  <si>
    <t>Felipe y las tres tortugitas</t>
  </si>
  <si>
    <t>BookBaby</t>
  </si>
  <si>
    <t>IRELAND</t>
  </si>
  <si>
    <t>victor barahona</t>
  </si>
  <si>
    <t>Barahona, Victor</t>
  </si>
  <si>
    <t>QL666.C5 .B373 2016</t>
  </si>
  <si>
    <t>Turtles.</t>
  </si>
  <si>
    <t>Religion in the University</t>
  </si>
  <si>
    <t>Wolterstorff, Nicholas</t>
  </si>
  <si>
    <t>LC383 .W658 2019</t>
  </si>
  <si>
    <t>Universities and colleges-United States-Religion. ; Freedom of religion-United States. ; College students-Religious life.</t>
  </si>
  <si>
    <t>Living a Motivated Life : A Memoir and Activities</t>
  </si>
  <si>
    <t>Wlodkowski, Raymond J.</t>
  </si>
  <si>
    <t>LA2311 .W563 2019</t>
  </si>
  <si>
    <t>Teachers-United States-Biography. ; Motivation in adult education. ; Adult learning.</t>
  </si>
  <si>
    <t>Preparing Students for Life and Work : Policies and Reforms Affecting Higher Education's Principal Mission</t>
  </si>
  <si>
    <t>Archer, Walter;Schuetze, Hans G.</t>
  </si>
  <si>
    <t>LB2322.2 .P747 2019</t>
  </si>
  <si>
    <t>Education, Higher-Aims and objectives. ; Education, Higher-Cross-cultural studies. ; College students-Political activty. ; Student participation in administration. ; Comparative education.</t>
  </si>
  <si>
    <t>Challenging Future Practice Possibilities</t>
  </si>
  <si>
    <t>Higgs, Joy;Cork, Steven;Horsfall, Debbie</t>
  </si>
  <si>
    <t>Practice Futures Series</t>
  </si>
  <si>
    <t>HD5701.55 .C435 2019</t>
  </si>
  <si>
    <t>Employment forecasting. ; Labor market.</t>
  </si>
  <si>
    <t>Fifty Strategies to Boost Cognitive Engagement : Creating a Thinking Culture in the Classroom (50 Teaching Strategies to Support Cognitive Development)</t>
  </si>
  <si>
    <t>Stobaugh, Rebecca</t>
  </si>
  <si>
    <t>LB1590.3 .S763 2019</t>
  </si>
  <si>
    <t>Critical thinking-Study and teaching. ; Problem solving-Study and teaching. ; Cognitive learning.</t>
  </si>
  <si>
    <t>Toward a Critical-Inclusive Assessment Practice for Library Instruction</t>
  </si>
  <si>
    <t>Litwin Books, LLC</t>
  </si>
  <si>
    <t>Sacramento, CA</t>
  </si>
  <si>
    <t>McCartin, Lyda Fontes;Dineen, Rachel</t>
  </si>
  <si>
    <t>Z711.25.C65 .M333 2018</t>
  </si>
  <si>
    <t>Library orientation for college students--Evaluation.</t>
  </si>
  <si>
    <t>Mindful Practice for Social Justice : A Guide for Educators and Professional Learning Communities</t>
  </si>
  <si>
    <t>Ríos, Raquel</t>
  </si>
  <si>
    <t>LB1072 .R567 2019</t>
  </si>
  <si>
    <t>Affective education. ; Mindfulness (Psychology) ; Social justice. ; Professional learning communities.</t>
  </si>
  <si>
    <t>Future-Proof Your School : Steering Culture, Driving School Improvement, Developing Excellence</t>
  </si>
  <si>
    <t>Hughes, David</t>
  </si>
  <si>
    <t>Practical Teaching Series</t>
  </si>
  <si>
    <t>LB2806 .H844 2019</t>
  </si>
  <si>
    <t>JNA. ; Philosophy &amp; theory of education. ; JNA. ; Filosofia e teoria dell'educazione. ; JNA. ; Pädagogik: Theorie und Philosopie. ; JNA. ; Filosofía y teoría de la educación. ; .</t>
  </si>
  <si>
    <t>Welcome to Writing Workshop : Engaging Today's Students with a Model That Works</t>
  </si>
  <si>
    <t>Dorfman, Lynne;Shubitz, Stacey</t>
  </si>
  <si>
    <t>Supporting Student Mental Health in Higher Education</t>
  </si>
  <si>
    <t>Stones, Samuel;Glazzard, Jonathan</t>
  </si>
  <si>
    <t>RC451.4.S7 .S766 2019</t>
  </si>
  <si>
    <t>College students-Mental health.</t>
  </si>
  <si>
    <t>Psychology; Medicine; Education</t>
  </si>
  <si>
    <t>Inventive Minds : Marvin Minsky on Education</t>
  </si>
  <si>
    <t>Minsky, Marvin;Solomon, Cynthia;Xiao, Xiao;Travers, Mike;Kay, Alan;Abelson, Harold;Stager, Gary;Silverman, Brian;Bender, Walter;Winston, Patrick Henry</t>
  </si>
  <si>
    <t>Credibility, Honesty,  Ethics &amp; Politeness  in Academic and  Journalistic Writing</t>
  </si>
  <si>
    <t>Cuvillier Verlag</t>
  </si>
  <si>
    <t>Schmied, Josef;Dheskali, Jessica</t>
  </si>
  <si>
    <t>REAL Studies / Research in English and Applied Linguistics</t>
  </si>
  <si>
    <t>LC1099.3 .C743 2019</t>
  </si>
  <si>
    <t>Multicultural education-United States.</t>
  </si>
  <si>
    <t>The Law of Higher Education, a Comprehensive Guide to Legal Implications of Administrative Decision Making</t>
  </si>
  <si>
    <t>Kaplin, William A.;Lee, Barbara A.;Hutchens, Neal H.;Rooksby, Jacob H.</t>
  </si>
  <si>
    <t>Universities and colleges-Law and legislation-United States</t>
  </si>
  <si>
    <t>Self-Discovery : Supporting Emotional Health and Wellbeing in School</t>
  </si>
  <si>
    <t>School children-Mental health</t>
  </si>
  <si>
    <t>What Makes a Star Teacher : 7 Dispositions That Support Student Learning</t>
  </si>
  <si>
    <t>Hill-Jackson, Valerie;Hartlep, Nicholas D.;Stafford, Delia</t>
  </si>
  <si>
    <t>LB1025.3 .H555 2019</t>
  </si>
  <si>
    <t>Effective teaching-United States. ; Motivation in education-United States. ; Education-Aims and objectives-United States. ; Haberman, Martin.</t>
  </si>
  <si>
    <t>New Art and Science of Teaching Mathematics : (Establish Effective Teaching Strategies in Mathematics Instruction)</t>
  </si>
  <si>
    <t>Lang-Raad, Nathan D.;Marzano, Robert J.</t>
  </si>
  <si>
    <t>QA11.2 .L364 2019</t>
  </si>
  <si>
    <t>Mathematics-Study and teaching. ; Mathematics teachers-Training of. ; Effective teaching. ; Teaching-Aids and devices. ; Learning, Psychology of.</t>
  </si>
  <si>
    <t>EPortfolio As Curriculum : Models and Practices for Developing Students' EPortfolio Literacy</t>
  </si>
  <si>
    <t>Yancey, Kathleen Blake</t>
  </si>
  <si>
    <t>LB1029.P67 .E667 2019</t>
  </si>
  <si>
    <t>The Law of Higher Education</t>
  </si>
  <si>
    <t>Assessment for Dyslexia and Learning Differences : A Concise Guide for Teachers and Parents</t>
  </si>
  <si>
    <t>LB1050.5 .R453 2019</t>
  </si>
  <si>
    <t>Learning to Collaborate, Collaborating to Learn : Engaging Students in the Classroom and Online</t>
  </si>
  <si>
    <t>Salmons, Janet</t>
  </si>
  <si>
    <t>LB1032 .S256 2019</t>
  </si>
  <si>
    <t>Group work in education. ; Student participation in curriculum planning. ; Blended learning. ; Flipped classrooms. ; Computer-assisted instruction.</t>
  </si>
  <si>
    <t>Adventures in Teacher Leadership : Pathways, Strategies, and Inspiration for Every Teacher</t>
  </si>
  <si>
    <t>Mieliwocki, Rebecca;Fatheree, Joseph;Bassett, Katherine</t>
  </si>
  <si>
    <t>LB1775 .M545 2019</t>
  </si>
  <si>
    <t>Teachers-Professional relationships. ; Educational leadership.</t>
  </si>
  <si>
    <t>Building Bridges : Engaging Students at Risk Through the Power of Relationships (Building Trust and Positive Student-Teacher Relationships)</t>
  </si>
  <si>
    <t>Parker, Don</t>
  </si>
  <si>
    <t>LC4091 .P375 2019</t>
  </si>
  <si>
    <t>Students with social disabilities-United States. ; Students with disabilities-United States. ; Affective education-United States. ; Social skills in children-Study and teaching. ; Teacher-student relationships-United States. ; Classroom management-United States.</t>
  </si>
  <si>
    <t>Research Methodologies of School Psychology : Critical Skills</t>
  </si>
  <si>
    <t>Kettler, Ryan J.</t>
  </si>
  <si>
    <t>Foundations of School Psychology Research and Practice Series</t>
  </si>
  <si>
    <t>LB1027.55 .K488 2019</t>
  </si>
  <si>
    <t>School psychology-Research-Methodology.</t>
  </si>
  <si>
    <t>Gender, Change and Identity : Mature Women Students in Universities</t>
  </si>
  <si>
    <t>Merrill, Barbara</t>
  </si>
  <si>
    <t>LC2046 .M477 2018</t>
  </si>
  <si>
    <t>Women-Education (Higher)-Great Britain.</t>
  </si>
  <si>
    <t>Upgrade Your Teaching : Understanding by Design Meets Neuroscience</t>
  </si>
  <si>
    <t>McTighe, Jay;Willis, Judy</t>
  </si>
  <si>
    <t>LB1060 .M385 2019</t>
  </si>
  <si>
    <t>Learning, Psychology of. ; Neurosciences.</t>
  </si>
  <si>
    <t>199 Mistakes New College Instructors Make and How to Prevent Them Insiders Secrets to Avoid Classroom Blunders</t>
  </si>
  <si>
    <t>Ocala, FL</t>
  </si>
  <si>
    <t>Atlantic Publishing Group, Inc.</t>
  </si>
  <si>
    <t>Sarmiento, Kimberly;Sarmiento, Kimberly</t>
  </si>
  <si>
    <t>LB2331 .S276 2016</t>
  </si>
  <si>
    <t>College teachers-Handbooks, manuals, etc. ; College teaching-Handbooks, manuals, etc.</t>
  </si>
  <si>
    <t>Nature Rx : Improving College-Student Mental Health</t>
  </si>
  <si>
    <t>Rakow, Donald A.;Eells, Gregory T.</t>
  </si>
  <si>
    <t>RC451.4.S7 .R356 2019</t>
  </si>
  <si>
    <t>College students-Mental health-United States. ; Nature-Psychological aspects.</t>
  </si>
  <si>
    <t>Connecting Through Talk : Nurturing Children's Development with Language</t>
  </si>
  <si>
    <t>Dickinson, David K.;Morse, Ann B.;Snow, Catherine E.</t>
  </si>
  <si>
    <t>LB1139.5.L35 .D535 2019</t>
  </si>
  <si>
    <t>Language arts (Early childhood) ; Children-Language. ; Early childhood development.</t>
  </si>
  <si>
    <t>The Mental Health and Wellbeing Handbook for Schools : Transforming Mental Health Support on a Budget</t>
  </si>
  <si>
    <t>Erasmus, Clare;Edwards, Chris</t>
  </si>
  <si>
    <t>Education; Medicine; Psychology</t>
  </si>
  <si>
    <t>Getting the Most Out of Your Doctorate : The Importance of Supervision, Networking and Becoming a Global Academic</t>
  </si>
  <si>
    <t>Dollinger, Mollie</t>
  </si>
  <si>
    <t>Doctoral students-Vocational guidance.</t>
  </si>
  <si>
    <t>Degrees for a New Generation : Making the Melbourne Model</t>
  </si>
  <si>
    <t>MUP e-store</t>
  </si>
  <si>
    <t>MUP Custom Digital</t>
  </si>
  <si>
    <t>Emison, Mary</t>
  </si>
  <si>
    <t>LB2806.15 .E457 2013</t>
  </si>
  <si>
    <t>Curriculum planning-Australia.</t>
  </si>
  <si>
    <t>No End of a Lesson : Australia's Unified National System of Higher Education</t>
  </si>
  <si>
    <t>Melbourne University Press Digital</t>
  </si>
  <si>
    <t>Macintyre, Stuart;Brett, André;Croucher, Gwilym</t>
  </si>
  <si>
    <t>LA2108 .M335 2017</t>
  </si>
  <si>
    <t>Higher education and state-Australia. ; Universities and colleges-Australia-History. ; Education, Higher-Australia-History.</t>
  </si>
  <si>
    <t>Remote Education in the Modern World : A Unique Possibility of Formality</t>
  </si>
  <si>
    <t>Popkova, Elena</t>
  </si>
  <si>
    <t>LC5800 .R466 2019</t>
  </si>
  <si>
    <t>Journeys in and Through Sound</t>
  </si>
  <si>
    <t>Anderson-Kunert, Todd;Baker, Alison</t>
  </si>
  <si>
    <t>Qualitative Research Journal Series</t>
  </si>
  <si>
    <t>LB1028 .J687 2019</t>
  </si>
  <si>
    <t>Education-Research.</t>
  </si>
  <si>
    <t>Transparent Design in Higher Education Teaching and Leadership : A Guide to Implementing the Transparency Framework Institution-Wide to Improve Learning and Retention</t>
  </si>
  <si>
    <t>Winkelmes, Mary-Ann;Boye, Allison;Tapp, Suzanne</t>
  </si>
  <si>
    <t>LA227.4 .T736 2019</t>
  </si>
  <si>
    <t>Philanthropy, Hidden Strategy, and Collective Resistance : A Primer for Concerned Educators</t>
  </si>
  <si>
    <t>deMarrais, Kathleen;Brewer, T. Jameson;Atkinson, Jamie C.;Dayton, John;Herron, Brigette A.;Lewis, Jamie B.</t>
  </si>
  <si>
    <t>HV97.A3 .D463 2019</t>
  </si>
  <si>
    <t>Endowments-United States.</t>
  </si>
  <si>
    <t>Proficiency-Based Instruction : Rethinking Lesson Design and Delivery (Your Implementation Strategy for Proficiency-Based Instruction)</t>
  </si>
  <si>
    <t>Twadell, Eric;Onuscheck, Mark;Reibel, Anthony R.;Gobble, Troy</t>
  </si>
  <si>
    <t>LC1031 .T833 2019</t>
  </si>
  <si>
    <t>Competency-based education.</t>
  </si>
  <si>
    <t>Proficiency-Based Grading in the Content Areas : Insights and Key Questions for Secondary Schools (Adapting Evidence-Based Grading for Content Area Teachers)</t>
  </si>
  <si>
    <t>Custable, Wendy;Fisk, Justin;Grice, Jonathan;Jain, Darsham;Lillydahl, Doug;Ramos, Eric;Reibel, Anthony R.;Smith, Bradley;Twadell, Eric;Wood, Steven M.</t>
  </si>
  <si>
    <t>LB3060.37 .C878 2019</t>
  </si>
  <si>
    <t>Grading and marking (Students)-United States. ; Educational tests and measurements-Methodology. ; Education, Secondary-United States.</t>
  </si>
  <si>
    <t>No BS (Bad Stats) : Black People Need People Who Believe in Black People Enough Not to Believe Every Bad Thing They Hear about Black People</t>
  </si>
  <si>
    <t>Toldson, Ivory A.</t>
  </si>
  <si>
    <t>Personal/Public Scholarship Series</t>
  </si>
  <si>
    <t>LC2717 .T653 2019</t>
  </si>
  <si>
    <t>African Americans-Education-Statistics. ; Discrimination in education-United States.</t>
  </si>
  <si>
    <t>Higher Education System Reform : An International Comparison after Twenty Years of Bologna</t>
  </si>
  <si>
    <t>Broucker, Bruno;De Wit, Kurt;Verhoeven, Jef C.;Leisytė, Liudvika</t>
  </si>
  <si>
    <t>Education, Higher-Aims and objectives-Europe. ; Higher education and state-Europe.</t>
  </si>
  <si>
    <t>MOOC Courses and the Future of Higher Education : A New Pedagogical Framework</t>
  </si>
  <si>
    <t>Galán, José Gómez;Padilla, Antonio H. Martín;Bravo, César Bernal;Meneses, Eloy López</t>
  </si>
  <si>
    <t>River Publishers Series in Innovation and Change in Education - Cross-Cultural Perspective: Nowadays, Educational Institutions Are Being Challenged When Professional Competences and Expertise Become Progressively More Complex. This Is Mainly Because Probl</t>
  </si>
  <si>
    <t>LB1044.87 .G664 2019</t>
  </si>
  <si>
    <t>Internet in education. ; Distance education. ; Open learning.</t>
  </si>
  <si>
    <t>Learner Support in Online Learning Environments</t>
  </si>
  <si>
    <t>Pelissier, Chrysta</t>
  </si>
  <si>
    <t>The Instrumental University : Education in Service of the National Agenda after World War II</t>
  </si>
  <si>
    <t>Schrum, Ethan</t>
  </si>
  <si>
    <t>Histories of American Education Series</t>
  </si>
  <si>
    <t>LA227.2 .S378 2019</t>
  </si>
  <si>
    <t>Education, Higher-Aims and objectives-United States-History-20th century. ; Universities and colleges-United States-History-20th century. ; Educational change-United States-History-20th century.</t>
  </si>
  <si>
    <t>Formation et Apprentissage en Ligne</t>
  </si>
  <si>
    <t>Quebec</t>
  </si>
  <si>
    <t>Formation à Distance Distance Learning Series</t>
  </si>
  <si>
    <t>LC5800 .F676 2019</t>
  </si>
  <si>
    <t>Distance education. ; Instructional systems-Design. ; Educational technology.</t>
  </si>
  <si>
    <t>Perspectives on Access to Higher Education : Practice and Research</t>
  </si>
  <si>
    <t>Broadhead, Sam;Davies, Rosemarie;Hudson, Anthony</t>
  </si>
  <si>
    <t>LB2326.4-2330</t>
  </si>
  <si>
    <t>Aapla PHD Prabandh Kasa Prakashit Karava</t>
  </si>
  <si>
    <t>Caro, Sarah</t>
  </si>
  <si>
    <t>R852$b.C376 2017</t>
  </si>
  <si>
    <t>Publishing.</t>
  </si>
  <si>
    <t>Engineering: Manufacturing; Medicine; Engineering</t>
  </si>
  <si>
    <t>Paryavaran Shikshan : Bharat Mein Rujhaan Evam Prayog</t>
  </si>
  <si>
    <t>Shimray, Chong</t>
  </si>
  <si>
    <t>GE70 .S556 2018</t>
  </si>
  <si>
    <t>Aarambhik Varsho Ki Shiksha Mein Vividhta, Vishesh Avashyaktayen Tatha Samveshan</t>
  </si>
  <si>
    <t>Dimitriadi, Sophia</t>
  </si>
  <si>
    <t>LC1200 .D565 2017</t>
  </si>
  <si>
    <t>Profiles of Best Practices in Teaching Information Literacy Online</t>
  </si>
  <si>
    <t>Primary Research Group</t>
  </si>
  <si>
    <t>Mathews, Emilee</t>
  </si>
  <si>
    <t>ZA3075 .M384 2019</t>
  </si>
  <si>
    <t>Information literacy-Study and teaching (Higher) ; Research-Methodology-Study and teaching (Higher)</t>
  </si>
  <si>
    <t>Skills for Effective Learning in School : Supporting Emotional Health and Wellbeing</t>
  </si>
  <si>
    <t>Decolonizing the History Curriculum in Malaysia and Singapore</t>
  </si>
  <si>
    <t>Blackburn, Kevin;Wu, ZongLun</t>
  </si>
  <si>
    <t>Routledge Studies in Educational History and Development in Asia Series</t>
  </si>
  <si>
    <t>The Aspiring Principal 50 : Critical Questions for New and Future School Leaders</t>
  </si>
  <si>
    <t>LB2831.92 .K33 2019</t>
  </si>
  <si>
    <t>School principals-United States-Handbooks, manuals, etc. ; Educational leadership-United States-Handbooks, manuals, etc.</t>
  </si>
  <si>
    <t>Restoring the Promise : Higher Education in America</t>
  </si>
  <si>
    <t>Independent Institute</t>
  </si>
  <si>
    <t>Vedder, Richard K.</t>
  </si>
  <si>
    <t>LA227.4 .V433 2019</t>
  </si>
  <si>
    <t>Education, Higher-Aims and objectives-United States. ; Education, Higher-United States-Finance. ; Public universities and colleges-United States-Finance. ; Higher education and state-United States.</t>
  </si>
  <si>
    <t>Education Abroad and the Undergraduate Experience : Critical Perspectives and Approaches to Integration with Student Learning and Development</t>
  </si>
  <si>
    <t>Brewer, Elizabeth;Ogden, Anthony C.</t>
  </si>
  <si>
    <t>LB2376 .E383 2019</t>
  </si>
  <si>
    <t>Foreign study-United States</t>
  </si>
  <si>
    <t>Learning Differentiated Curriculum Design in Higher Education</t>
  </si>
  <si>
    <t>Moye, John N.</t>
  </si>
  <si>
    <t>Curriculum planning. ; Individualized instruction.</t>
  </si>
  <si>
    <t>Personalized Professional Learning : A Job-Embedded Pathway for Elevating Teacher Voice</t>
  </si>
  <si>
    <t>Rodman, Allison</t>
  </si>
  <si>
    <t>LB1731.R58 2019</t>
  </si>
  <si>
    <t>Teachers-In-service training-United States. ; Teachers-Education (Continuing education)-United States. ; Individualized instruction.</t>
  </si>
  <si>
    <t>Powerful Teaching : Unleash the Science of Learning</t>
  </si>
  <si>
    <t>Agarwal, Pooja K.;Bain, Patrice M.</t>
  </si>
  <si>
    <t>Picture Inclusion! : Snapshots of Successful Diverse Classrooms</t>
  </si>
  <si>
    <t>Rapp, Whitney H.;Arndt, Katrina L.;Hildenbrand, Susan M.;Doyle, Mary Beth</t>
  </si>
  <si>
    <t>LC1201 .R36 2019</t>
  </si>
  <si>
    <t>Inclusive education--United States. ; Learning disabled children--Education (Elementary)--United States. ; Children with social disabilities--Education (Elementary)--United States.</t>
  </si>
  <si>
    <t>Advancing Formative Assessment in Every Classroom : A Guide for Instructional Leaders</t>
  </si>
  <si>
    <t>LB1731$b.M677 2019</t>
  </si>
  <si>
    <t>Teachers--In-service training. ; Educational evaluation--United States. ; Group work in education--United States.</t>
  </si>
  <si>
    <t>Research Methods for Successful PhD</t>
  </si>
  <si>
    <t>Kumar, Dinesh</t>
  </si>
  <si>
    <t>LB2386 .K85 2017</t>
  </si>
  <si>
    <t>Raising Readers : How to nurture a child's love of books</t>
  </si>
  <si>
    <t>Daley, Megan</t>
  </si>
  <si>
    <t>LB1050.2 .D354 2019</t>
  </si>
  <si>
    <t>Reading-Parent participation.</t>
  </si>
  <si>
    <t>The Business of Innovating Online : Practical Tips and Advice from Industry Leaders</t>
  </si>
  <si>
    <t>LC5800 .B875 2019</t>
  </si>
  <si>
    <t>Promoting Social Inclusion : Co-Creating Environments That Foster Equity and Belonging</t>
  </si>
  <si>
    <t>Scorgie, Kate;Forlin, Chris</t>
  </si>
  <si>
    <t>Social integration.</t>
  </si>
  <si>
    <t>Success with Multicultural Newcomers and English Learners : Proven Practices for School Leadership Teams</t>
  </si>
  <si>
    <t>Calderón, Margarita Espino;Slakk, Shawn</t>
  </si>
  <si>
    <t>LC3731 .C353 2019</t>
  </si>
  <si>
    <t>Immigrants-Education-United States. ; Multicultural education-United States.</t>
  </si>
  <si>
    <t>Handbook for Collaborative Common Assessments : Tools for Design, Delivery, and Data Analysis (Practical Measures for Improving Your Collaborative Common Assessment Process)</t>
  </si>
  <si>
    <t>LB2838 .E754 2019</t>
  </si>
  <si>
    <t>Teachers-Rating of. ; Professional learning communities. ; Teacher effectiveness. ; Group work in education.</t>
  </si>
  <si>
    <t>Student Activism in the Academy : Its Struggles and Promise</t>
  </si>
  <si>
    <t>Sasso, Pietro A.;DeVitis, Joseph L.</t>
  </si>
  <si>
    <t>LA229 .S783 2019</t>
  </si>
  <si>
    <t>College students-Political activity-United States.</t>
  </si>
  <si>
    <t>Decolonizing Place in Early Childhood Education</t>
  </si>
  <si>
    <t>Nxumalo, Fikile</t>
  </si>
  <si>
    <t>LB1139.5.S35 .N886 2019</t>
  </si>
  <si>
    <t>Nature-Study and teaching (Early childhood) ; Early childhood education-Social aspects. ; Decolonization-Study and teaching (Early childhood) ; Culturally relevant pedagogy.</t>
  </si>
  <si>
    <t>Small Teaching Online : Applying Learning Science in Online Classes</t>
  </si>
  <si>
    <t>Darby, Flower;Lang, James M.</t>
  </si>
  <si>
    <t>Discourse : A Concept for Information and Communication Sciences</t>
  </si>
  <si>
    <t>Metzger, Jean-Paul</t>
  </si>
  <si>
    <t>Discourse analysis.</t>
  </si>
  <si>
    <t>Best Practices at Tier 2 : Supplemental Interventions for Additional Student Support, Secondary (RTI Tier 2 Intervention Strategies for Secondary Schools)</t>
  </si>
  <si>
    <t>Sonju, Bob;Kramer, Sharon V.;Mattos, Mike;Buffum, Austin</t>
  </si>
  <si>
    <t>LB1029.R4 .S665 2019</t>
  </si>
  <si>
    <t>Remedial teaching-United States. ; Individualized instruction-United States. ; Response to intervention (Learning disabled children)-United States. ; Learning disabled children-Education (Secondary)-United States.</t>
  </si>
  <si>
    <t>Lehrwerke für den Unterricht der romanischen Schulsprachen : Begutachtung ausgewählter Untersuchungsfelder</t>
  </si>
  <si>
    <t>Michler, Christine;Frings, Michael;Klump, Andre;Thiele, Sylvia</t>
  </si>
  <si>
    <t>Romanische Sprachen und ihre Didaktik</t>
  </si>
  <si>
    <t>PC43 .M534 2018</t>
  </si>
  <si>
    <t>Romance languages.</t>
  </si>
  <si>
    <t>The Complete Guide to Children's Drawings: Accessing Children‘s Emotional World through their Artwork</t>
  </si>
  <si>
    <t>Wimmer, Michal</t>
  </si>
  <si>
    <t>BF723.D7 .W566 2019</t>
  </si>
  <si>
    <t>Children's drawings-Psychological aspects.</t>
  </si>
  <si>
    <t>The Foreigner's Guide to German Universities : Origin, Meaning, and Use of Terms and Expressions in Everyday University Life</t>
  </si>
  <si>
    <t>Behmel, Albrecht;Neudorfer, Kelly</t>
  </si>
  <si>
    <t>LA728 .B446 2016</t>
  </si>
  <si>
    <t>Universities and colleges-Germany.</t>
  </si>
  <si>
    <t>Time for Educational Poetics : Why Does the Future Need Educational Poetics?</t>
  </si>
  <si>
    <t>Martínez Ruiz, Xicoténcatl</t>
  </si>
  <si>
    <t>Education-Philosophy. ; Reflective teaching. ; Mindfulness (Psychology)</t>
  </si>
  <si>
    <t>Literacy in Action : Challenges in the Adult Education System in India</t>
  </si>
  <si>
    <t>Rao, C. Krishna Mohan</t>
  </si>
  <si>
    <t>LC5257.I4 .R36 2019</t>
  </si>
  <si>
    <t>Adult education-India. ; Literacy programs-India. ; Education-Social aspects-India.</t>
  </si>
  <si>
    <t>Implementing Project-Based Learning</t>
  </si>
  <si>
    <t>Boss, Suzie</t>
  </si>
  <si>
    <t>School Choice around the World : … And the Lessons We Can Learn</t>
  </si>
  <si>
    <t>Dixon, Pauline;Humble, Steve;Counihan, Christopher J.;Cowen, Nick;DeAngelis, Corey A.;Lauri, Triin;Põder, Kaire;Shakeel, M. Danish;Wolf, Patrick J.;Young, Toby</t>
  </si>
  <si>
    <t>LB1027.9 .S366 2019</t>
  </si>
  <si>
    <t>Flip This School : How to Lead the Turnaround Process (Leading School Turnaround for Continuous Improvement)</t>
  </si>
  <si>
    <t>LB2822.82 .E454 2019</t>
  </si>
  <si>
    <t>School improvement programs-United States. ; Educational change-United States. ; School management and organization-United States.</t>
  </si>
  <si>
    <t>Reclaiming Youth at Risk : Futures of Promise (Reach Alienated Youth and Break the Conflict Cycle Using the Circle of Courage)</t>
  </si>
  <si>
    <t>Brendtro, Larry K.;Brokenleg, Martin;Van Bockern, Steve</t>
  </si>
  <si>
    <t>LB3605 .B746 2019</t>
  </si>
  <si>
    <t>Students-Attitudes. ; Youth-Psychology.</t>
  </si>
  <si>
    <t>Freewriting with Purpose : Simple Classroom Techniques to Help Students Make Connections, Think Critically, and Construct Meaning</t>
  </si>
  <si>
    <t>LB1576 .F554 2019</t>
  </si>
  <si>
    <t>English language-Writing-Study and teaching (Elementary) ; English language-Composition and exercises-Study and teaching (Elementary) ; Creative writing (Elementary education)</t>
  </si>
  <si>
    <t>Fostering Mindfulness : Building Skills That Students Need to Manage Their Attention, Emotions, and Behavior in Classrooms and Beyond</t>
  </si>
  <si>
    <t>Murphy, Shelley</t>
  </si>
  <si>
    <t>BF576 .M877 2019</t>
  </si>
  <si>
    <t>Emotional intelligence-Study and teaching (Elementary) ; Mindfulness (Psychology)-Study and teaching (Elementary)</t>
  </si>
  <si>
    <t>Word by Word : 101 Ways to Inspire and Engage Students by Building Vocabulary, Improving Spelling, and Enriching Reading, Writing, and Learning</t>
  </si>
  <si>
    <t>LB1574.5 .S937 2019</t>
  </si>
  <si>
    <t>Vocabulary-Study and teaching (Elementary)</t>
  </si>
  <si>
    <t>Cultural Journeys in Higher Education : Student Voices and Narratives</t>
  </si>
  <si>
    <t>Bamford, Jan;Pollard, Lucie</t>
  </si>
  <si>
    <t>LC68-70</t>
  </si>
  <si>
    <t>Minorities-Education (Higher)</t>
  </si>
  <si>
    <t>Teacher Education for Sustainable Development and Global Citizenship : Critical Perspectives on Values, Curriculum and Assessment</t>
  </si>
  <si>
    <t>Bamber, Philip</t>
  </si>
  <si>
    <t>Critical Global Citizenship Education Series</t>
  </si>
  <si>
    <t>HC79.E5 .T433 2020</t>
  </si>
  <si>
    <t>Sustainable development-Study and teaching.</t>
  </si>
  <si>
    <t>Critical Thinking Skills for Your Education Degree</t>
  </si>
  <si>
    <t>Bottomley, Jane;Maude, Kulwinder;Pryjmachuk, Steven;Waugh, David</t>
  </si>
  <si>
    <t>LA637 .B688 2019</t>
  </si>
  <si>
    <t>Education-Study and teaching (Higher)-Great Britain.</t>
  </si>
  <si>
    <t>Digital Innovations in Teaching and Learning</t>
  </si>
  <si>
    <t>Anderson, Gregory</t>
  </si>
  <si>
    <t>T58.5 .I584 2019</t>
  </si>
  <si>
    <t>Information technology.</t>
  </si>
  <si>
    <t>Computer Science/IT; Engineering; Engineering: General</t>
  </si>
  <si>
    <t>International Perspectives on Teaching Excellence in Higher Education</t>
  </si>
  <si>
    <t>Wood, Margaret;Su, Feng</t>
  </si>
  <si>
    <t>LB2325 .C667 2019</t>
  </si>
  <si>
    <t>Integrating Service-Learning and Consulting in Distance Education</t>
  </si>
  <si>
    <t>Germain, Marie-Line</t>
  </si>
  <si>
    <t>LC45-45.8</t>
  </si>
  <si>
    <t>Leading Modern Learning : A Blueprint for Vision-Driven Schools (a Framework of Education Reform for Empowering Modern Learners)</t>
  </si>
  <si>
    <t>McTighe, Jay;Curtis, Greg</t>
  </si>
  <si>
    <t>LB2822.82 .M385 2019</t>
  </si>
  <si>
    <t>Committing to the Culture : How Leaders Can Create and Sustain Positive Schools</t>
  </si>
  <si>
    <t>Gruenert, Steve;Whitaker, Todd</t>
  </si>
  <si>
    <t>LB2806 .G784 2019</t>
  </si>
  <si>
    <t>Education, Immigration and Migration : Policy, Leadership and Praxis for a Changing World</t>
  </si>
  <si>
    <t>Arar, Khalid;Brooks, Jeffrey S.;Bogotch, Ira</t>
  </si>
  <si>
    <t>Immigrant children-Education. ; Refugee children-Education.</t>
  </si>
  <si>
    <t>Coaching Your Classroom : How to Deliver Actionable Feedback to Students (Coaching Students in the Classroom Through Effective Feedback)</t>
  </si>
  <si>
    <t>Hillman, Garnet;Stalets, Mandy</t>
  </si>
  <si>
    <t>LB1034 .H555 2019</t>
  </si>
  <si>
    <t>Interaction analysis in education. ; Communication in education. ; Feedback (Psychology) ; Classroom management. ; Student-centered learning.</t>
  </si>
  <si>
    <t>Vivre en Dialogue &amp;agrave; l'&amp;egrave;re du Texto</t>
  </si>
  <si>
    <t>Marchand, Marie-Eve (aut. )</t>
  </si>
  <si>
    <t>Communication in small groups. ; Discussion. ; Focus groups.</t>
  </si>
  <si>
    <t>Plaidoyer Pour la Culture Générale Au Cégep</t>
  </si>
  <si>
    <t>Péloquin, Florian (aut. )</t>
  </si>
  <si>
    <t>General education-Québec (Province)-Evaluation.</t>
  </si>
  <si>
    <t>It's Not Education That Scares Me, It's the Educators... : Is There Still Hope for Democracy in Education, and Education for Democracy?</t>
  </si>
  <si>
    <t>Carr, Paul R.;Thésée, Gina</t>
  </si>
  <si>
    <t>LC71 .C377 2019</t>
  </si>
  <si>
    <t>Democracy and education.</t>
  </si>
  <si>
    <t>The Productive Graduate Student Writer : How to Manage Your Time, Process, and Energy to Write Your Research Proposal, Thesis, and Dissertation and Get Published</t>
  </si>
  <si>
    <t>Allen, Jan E.</t>
  </si>
  <si>
    <t>P301.5.A27 .A454 2019</t>
  </si>
  <si>
    <t>Academic writing-Study and teaching (Higher)</t>
  </si>
  <si>
    <t>Enriching the Learning : Meaningful Extensions for Proficient Students in a PLCEnriching the Learning: Meaningful Extensions for Proficient Students in a PLC at Work®(Create Extended Learning Opportunities for Student Engagement and Enrichment)</t>
  </si>
  <si>
    <t>Roberts, Michael</t>
  </si>
  <si>
    <t>LB1731 .R634 2019</t>
  </si>
  <si>
    <t>100-Day Leaders : Turning Short-Term Wins into Long-Term Success in Schools (a 100-Day Action Plan for Meaningful School Improvement)</t>
  </si>
  <si>
    <t>Reeves, Douglas;Eaker, Robert</t>
  </si>
  <si>
    <t>Over at College : A Texas A&amp;M Campus Kid in the 1930s</t>
  </si>
  <si>
    <t>Walker, James Knox;Spies, Debbie</t>
  </si>
  <si>
    <t>LD5309 .W355 2016</t>
  </si>
  <si>
    <t>Walker, James Knox,-Jr.,-1927--Childhood and youth. ; Agricultural and Mechanical College of Texas-Alumni and alumnae-Biography. ; Agricultural and Mechanical College of Texas-History-20th century. ; Agricultural and Mechanical College of Texas-Faculty housing-History-20th century. ; College teachers-Texas-College Station-Biography. ; Children of teachers-Texas-College Station-Biography. ; Entomologists-Texas-College Station-Biography. ; College Station (Tex.)-Social life and customs-20th century.</t>
  </si>
  <si>
    <t>Positive Relationships in School : Supporting Emotional Health and Wellbeing</t>
  </si>
  <si>
    <t>LB1072 .W384 2020</t>
  </si>
  <si>
    <t>The Wiley Handbook of Paulo Freire</t>
  </si>
  <si>
    <t>Education-Brazil-Philosophy</t>
  </si>
  <si>
    <t>Addicted to Distraction : Psychological Consequences of the Modern Mass Media</t>
  </si>
  <si>
    <t>Legend Times Group</t>
  </si>
  <si>
    <t>University of Buckingham Press, The</t>
  </si>
  <si>
    <t>Charlton, Bruce</t>
  </si>
  <si>
    <t>P96.P75 .C437 2014</t>
  </si>
  <si>
    <t>Mass media-Psychological aspects.</t>
  </si>
  <si>
    <t>Rethinking Diversity Frameworks in Higher Education</t>
  </si>
  <si>
    <t>Chun, Edna B.;Feagin, Joe R.</t>
  </si>
  <si>
    <t>LC212.4 .C486 2020</t>
  </si>
  <si>
    <t>Discrimination in higher education. ; Educational equalization. ; Educational leadership.</t>
  </si>
  <si>
    <t>Academic Skills for Interdisciplinary Studies : Revised Edition</t>
  </si>
  <si>
    <t>van der Gaast, Koen;Koenders, Laura;Post, Ger</t>
  </si>
  <si>
    <t>LB2395 .G33 2019</t>
  </si>
  <si>
    <t>Study skills. ; Interdisciplinary approach in education.</t>
  </si>
  <si>
    <t>Mindfulness in the Classroom : Strategies for Promoting Concentration, Compassion, and Calm</t>
  </si>
  <si>
    <t>LB1072 .A767 2019</t>
  </si>
  <si>
    <t>Affective education. ; Reflective teaching. ; Mindfulness (Psychology)</t>
  </si>
  <si>
    <t>Rise to the Challenge : Designing Rigorous Learning That Maximizes Student Success</t>
  </si>
  <si>
    <t>LB1062.6 .M377 2019</t>
  </si>
  <si>
    <t>Academic achievement.</t>
  </si>
  <si>
    <t>The Imaginationless Generation : Lessons from Ancient Culture on Regulating New Media</t>
  </si>
  <si>
    <t>Goltz, Nachshon;Dowdeswell, Tracey</t>
  </si>
  <si>
    <t>K4345 .G658 2019</t>
  </si>
  <si>
    <t>Internet-Law and legislation. ; Internet and children.</t>
  </si>
  <si>
    <t>The Intercollegiate Socialist Society, 1905-1921 : Origins of the Modern American Student Movement</t>
  </si>
  <si>
    <t>Horn, Max</t>
  </si>
  <si>
    <t>LA229 .H676 2019</t>
  </si>
  <si>
    <t>Student movements-United States. ; Right and left (Political science) ; League for Industrial Democracy-History. ; College students-Political activity-United States-History-20th century.</t>
  </si>
  <si>
    <t>Strategies for Facilitating Inclusive Campuses in Higher Education : International Perspectives on Equity and Inclusion</t>
  </si>
  <si>
    <t>A Machine Learning, Artificial Intelligence Approach to Institutional Effectiveness in Higher Education</t>
  </si>
  <si>
    <t>LB2799-2799.3</t>
  </si>
  <si>
    <t>Education, Higher-Management.</t>
  </si>
  <si>
    <t>The Early Years Movement Handbook : A Principles-Based Approach to Supporting Young Children's Physical Development, Health and Wellbeing</t>
  </si>
  <si>
    <t>Manners, Lala</t>
  </si>
  <si>
    <t>Holistic Leadership, Thriving Schools : Twelve Lenses to Balance Priorities and Serve the Whole Student (Reflective School Leadership for Whole-Child Learning Environments)</t>
  </si>
  <si>
    <t>Kise, Jane A. G.</t>
  </si>
  <si>
    <t>LB2805 .K574 2019</t>
  </si>
  <si>
    <t>Educational leadership-United States. ; Student-centered learning-United States. ; Child development.</t>
  </si>
  <si>
    <t>Schooling Multicultural Teachers : A Guide for Program Assessment and Professional Development</t>
  </si>
  <si>
    <t>C. Whitaker, Manya;M. Valtierra, Kristina</t>
  </si>
  <si>
    <t>Multicultural education-Evaluation. ; Teachers-Training of. ; Teachers-Attitudes.</t>
  </si>
  <si>
    <t>Specifics of Decision Making in Modern Business Systems : Regularities and Tendencies</t>
  </si>
  <si>
    <t>G. Popkova, Elena;Chesnokova, Alina V.;Morozova, Irina A.</t>
  </si>
  <si>
    <t>HF5001-6182</t>
  </si>
  <si>
    <t>Two-For-One Teaching : Connecting Instruction to Student Values (Integrate Social-Emotional Learning into Academic Instruction)</t>
  </si>
  <si>
    <t>ENSEIGNEMENT et HANDICAP Ebook Pdf</t>
  </si>
  <si>
    <t>Presses Universitaires de Grenoble</t>
  </si>
  <si>
    <t>Presses Universitaires de Grenoble, PUG</t>
  </si>
  <si>
    <t>FONTAINE</t>
  </si>
  <si>
    <t>Demazure, Gwladys;Huys, Viviane</t>
  </si>
  <si>
    <t>LC4015 .D463 2018</t>
  </si>
  <si>
    <t>Children with disabilities-Education.</t>
  </si>
  <si>
    <t>Education Inclusive: Privilege Ou Droit ? Ebook Pdf</t>
  </si>
  <si>
    <t>SERGE, Ebersold</t>
  </si>
  <si>
    <t>LC4019 .E247 2017</t>
  </si>
  <si>
    <t>People with disabilities-Education.</t>
  </si>
  <si>
    <t>Market Affect and the Rhetoric of Political Economic Debates</t>
  </si>
  <si>
    <t>PN4784.C7.C455 2019</t>
  </si>
  <si>
    <t>Thesis and Dissertation Writing in a Second Language : A Handbook for Students and Their Supervisors</t>
  </si>
  <si>
    <t>Paltridge, Brian;Starfield, Sue</t>
  </si>
  <si>
    <t>LB2369 .P358 2020</t>
  </si>
  <si>
    <t>Dissertations, Academic-Authorship. ; Academic writing-Handbooks, manuals, etc. ; English language-Study and teaching-Foreign speakers.</t>
  </si>
  <si>
    <t>Research Methods in Outdoor Studies</t>
  </si>
  <si>
    <t>Humberstone, Barbara;Prince, Heather</t>
  </si>
  <si>
    <t>Routledge Advances in Outdoor Studies</t>
  </si>
  <si>
    <t>GV191.6 .R474 2020</t>
  </si>
  <si>
    <t>Outdoor recreation-Study and teaching</t>
  </si>
  <si>
    <t>The Meaning of Otherness in Education : Stakes, Forms, Process, Thoughts and Transfers</t>
  </si>
  <si>
    <t>Briançon, Muriel</t>
  </si>
  <si>
    <t>Education for Responsibility</t>
  </si>
  <si>
    <t>Hagège, Hélène</t>
  </si>
  <si>
    <t>Education-Aims and objectives</t>
  </si>
  <si>
    <t>Digital Storytelling in Indigenous Education : A Decolonizing Journey for a Métis Community</t>
  </si>
  <si>
    <t>Poitras Pratt, Yvonne</t>
  </si>
  <si>
    <t>LC1099.5.C2 .P738 2020</t>
  </si>
  <si>
    <t>Multicultural education-Canada</t>
  </si>
  <si>
    <t>Capital, capabilities and culture: a human development approach to student and school transformation</t>
  </si>
  <si>
    <t>Wilmington, DE</t>
  </si>
  <si>
    <t>Hannon, Cliona</t>
  </si>
  <si>
    <t>Series in Education</t>
  </si>
  <si>
    <t>LC5015 .H366 2020</t>
  </si>
  <si>
    <t>Working class-Education (Higher)</t>
  </si>
  <si>
    <t>Thank You, Teacher : Grateful Students Tell the Stories of the Teachers Who Changed Their Lives</t>
  </si>
  <si>
    <t>New World Library</t>
  </si>
  <si>
    <t>Novato</t>
  </si>
  <si>
    <t>Holbert, Holly;Holbert, Bruce</t>
  </si>
  <si>
    <t>LA2301 .T436 2016</t>
  </si>
  <si>
    <t>Teachers-Biography. ; Students-Biography. ; Educators-Biography. ; Authors-Biography. ; Celebrities-Biography.</t>
  </si>
  <si>
    <t>Becoming a Globally Competent Teacher</t>
  </si>
  <si>
    <t>Tichnor-Wagner, Ariel;Parkhouse, Hillary;Glazier, Jocelyn;Cain, J. Montana</t>
  </si>
  <si>
    <t>LB1707 .T534 2019</t>
  </si>
  <si>
    <t>Teachers-Training of. ; Education and globalization. ; Multicultural education.</t>
  </si>
  <si>
    <t>Generally Speaking : The Impact of General Education on Student Learning in the 21st Century</t>
  </si>
  <si>
    <t>Smith, Madeline J.;Tarantino, Kristen L.</t>
  </si>
  <si>
    <t>LC985 .G464 2019</t>
  </si>
  <si>
    <t>378/.010973</t>
  </si>
  <si>
    <t>General education-United States.</t>
  </si>
  <si>
    <t>Under Pressure : Higher Education Institutions Coping with Multiple Challenges</t>
  </si>
  <si>
    <t>Teixeira, Pedro N.;Veiga, Amélia;João Machado Pires da Rosa, Maria;Magalhães, António</t>
  </si>
  <si>
    <t>LB2341 .U534 2019</t>
  </si>
  <si>
    <t>Universities and colleges-Administration. ; Universities and colleges-Planning.</t>
  </si>
  <si>
    <t>PISA and Global Education Policy : Understanding Finland's Success and Influence</t>
  </si>
  <si>
    <t>Chung, Jennifer</t>
  </si>
  <si>
    <t>LA1011 .C486 2019</t>
  </si>
  <si>
    <t>Education-Finland-History. ; Educational tests and measurements-Social aspects-Finland.</t>
  </si>
  <si>
    <t>Keywords in Radical Philosophy and Education : Common Concepts for Contemporary Movements</t>
  </si>
  <si>
    <t>Critical Understanding in Education Series</t>
  </si>
  <si>
    <t>Education, Higher-Philosophy. ; Education, Higher-Political aspects. ; Radicalism. ; Universities and colleges-Terminology. ; Social movements-Terminology.</t>
  </si>
  <si>
    <t>Mentoring Students of Color : Naming the Politics of Race, Social Class, Gender, and Power</t>
  </si>
  <si>
    <t>Carrillo, Juan F.;Parker Moore, Danielle;Condor, Timothy</t>
  </si>
  <si>
    <t>Recruiting, Preparing, and Retaining STEM Teachers for a Global Generation</t>
  </si>
  <si>
    <t>Leonard, Jacqueline;C. Burrows, Andrea;Kitchen, Richard</t>
  </si>
  <si>
    <t>Decolonization and Anti-Colonial Praxis : Shared Lineages</t>
  </si>
  <si>
    <t>Zainub, Anila</t>
  </si>
  <si>
    <t>Turn to Film : Film in the Business School</t>
  </si>
  <si>
    <t>Letiche, Hugo;Moriceau, Jean-Luc</t>
  </si>
  <si>
    <t>HF1106 .T876 2019</t>
  </si>
  <si>
    <t>Business education. ; Business schools. ; Motion pictures in education.</t>
  </si>
  <si>
    <t>Career Development As a Partner in Nation Building Australia : Origins, History and Foundations for the Future</t>
  </si>
  <si>
    <t>Educational Policies and Practices of English-Speaking Refugee Resettlement Countries</t>
  </si>
  <si>
    <t>McBrien, Jody L.</t>
  </si>
  <si>
    <t>LC3715 .E383 2019</t>
  </si>
  <si>
    <t>Refugees-Education. ; Immigrants-Education. ; Education and state.</t>
  </si>
  <si>
    <t>Practice Wisdom : Values and Interpretations</t>
  </si>
  <si>
    <t>Higgs, Joy</t>
  </si>
  <si>
    <t>BJ1725 .P733 2019</t>
  </si>
  <si>
    <t>Guy Debord, the Situationist International, and the Revolutionary Spirit</t>
  </si>
  <si>
    <t>Internationale situationniste-History. ; Nationalism-History.</t>
  </si>
  <si>
    <t>Perspectives on Wellbeing : A Reader</t>
  </si>
  <si>
    <t>Vella, Sue;Falzon, Ruth;Azzopardi, Andrew</t>
  </si>
  <si>
    <t>BJ1589 .P477 2019</t>
  </si>
  <si>
    <t>Conduct of life. ; Well-being. ; Emotions.</t>
  </si>
  <si>
    <t>The High Stakes of Testing : Exploring Student Experience with Standardized Assessment Through Governmentality</t>
  </si>
  <si>
    <t>L. Kelly, Amy</t>
  </si>
  <si>
    <t>LB3051 .K455 2019</t>
  </si>
  <si>
    <t>Educational tests and measurements-Evaluation. ; Student evaluation of curriculum. ; Education and state. ; Critical pedagogy.</t>
  </si>
  <si>
    <t>Emerging Trends in Learning Analytics : Leveraging the Power of Education Data</t>
  </si>
  <si>
    <t>Khine, Myint Swe</t>
  </si>
  <si>
    <t>Education-Research-Statistical methods. ; Education-Data processing. ; Learning-Evaluation. ; Educational evaluation.</t>
  </si>
  <si>
    <t>Teachers' Professional Development in Global Contexts : Insights from Teacher Education</t>
  </si>
  <si>
    <t>Mena, Juanjo;García-Valcárcel, Ana;García-Peñalvo, Francisco J.</t>
  </si>
  <si>
    <t>Teachers-Training of. ; Teachers-In-service training. ; Education and globalization. ; Educational change.</t>
  </si>
  <si>
    <t>Research and Development in School : Grounded in Cultural Historical Activity Theory</t>
  </si>
  <si>
    <t>Postholm, May Britt</t>
  </si>
  <si>
    <t>LB1028.24 .P678 2019</t>
  </si>
  <si>
    <t>Action research in education. ; Constructivism (Education) ; Educational change-Research. ; Education-Research-Methodology. ; Qualitative research-Methodology.</t>
  </si>
  <si>
    <t>Teachers, Teaching, and Media : Original Essays about Educators in Popular Culture</t>
  </si>
  <si>
    <t>Dalton, Mary M.;Linder, Laura R.</t>
  </si>
  <si>
    <t>Education in popular culture. ; Education in mass media. ; Teachers in motion pictures. ; Teachers on television.</t>
  </si>
  <si>
    <t>Culture and Environment : Weaving New Connections</t>
  </si>
  <si>
    <t>Zandvliet, David B.</t>
  </si>
  <si>
    <t>Researching Environmental Learning Series</t>
  </si>
  <si>
    <t>Environmental education. ; Environmental education-Curricula. ; Environmental education-Case studies. ; Human ecology-Study and teaching. ; Sustainable development-Study and teaching.</t>
  </si>
  <si>
    <t>Understanding Israel/Palestine : Race, Nation, and Human Rights in the Conflict (Second Edition)</t>
  </si>
  <si>
    <t>Spangler, Eve</t>
  </si>
  <si>
    <t>Teaching Race and Ethnicity Series</t>
  </si>
  <si>
    <t>DS119.7 .S636 2019</t>
  </si>
  <si>
    <t>Arab-Israeli conflict. ; Jewish-Arab relations. ; Palestine-History.</t>
  </si>
  <si>
    <t>Intercultural Mirrors : Dynamic Reconstruction of Identity</t>
  </si>
  <si>
    <t>Patron, Marie-Claire;Kraven, Julia</t>
  </si>
  <si>
    <t>Group identity. ; Intercultural communication.</t>
  </si>
  <si>
    <t>Improving Early Literacy Outcomes : Curriculum, Teaching, and Assessment</t>
  </si>
  <si>
    <t>Spaull, Nic;Comings, John</t>
  </si>
  <si>
    <t>New Art and Science of Teaching Art and Music : (Effective Teaching Strategies Designed for Music and Art Education)</t>
  </si>
  <si>
    <t>Onuscheck, Mark;Marzano, Robert J.;Grice, Jonathan</t>
  </si>
  <si>
    <t>N85 .O587 2020</t>
  </si>
  <si>
    <t>Building Your Building : How to Hire and Keep Great Teachers (Your Guide to Recruiting and Retaining Teachers)</t>
  </si>
  <si>
    <t>Kullar, Jasmine K.;Cunningham, Scott A.</t>
  </si>
  <si>
    <t>LB2835.25 .K855 2020</t>
  </si>
  <si>
    <t>Becoming the Educator They Need : Strategies, Mindsets, and Beliefs for Supporting Male Black and Latino Students</t>
  </si>
  <si>
    <t>Jackson, Robert</t>
  </si>
  <si>
    <t>LC2731 .J335 2019</t>
  </si>
  <si>
    <t>African American boys-Education. ; Hispanic American teenage boys-Education. ; Teacher effectiveness. ; Multicultural education. ; Mentoring in education. ; Teacher-student relationships.</t>
  </si>
  <si>
    <t>Skolní Vzdělávání Ve Svédsku</t>
  </si>
  <si>
    <t>Ježková, Věra;Dvořák, Dominik;Dvořák, Dominik</t>
  </si>
  <si>
    <t>LA902 .J495 2019</t>
  </si>
  <si>
    <t>Education-Sweden.</t>
  </si>
  <si>
    <t>The Educational Leader's Guide to Improvement Science : Data, Design and Cases for Reflection</t>
  </si>
  <si>
    <t>Crow, Robert;Hinnant-Crawford, Brandi Nicole;Spaulding, Dean T.</t>
  </si>
  <si>
    <t>Improvement Science in Education and Beyond Series</t>
  </si>
  <si>
    <t>LB2806.24 .E383 2019</t>
  </si>
  <si>
    <t>Educational productivity-United States. ; Educational leadership. ; Educational productivity.</t>
  </si>
  <si>
    <t>International Trends in Educational Assessment : Emerging Issues and Practices</t>
  </si>
  <si>
    <t>Educational tests and measurements-Cross-cultural studies.</t>
  </si>
  <si>
    <t>Identity and Internationalization in Catholic Universities : Exploring Institutional Pathways in Context</t>
  </si>
  <si>
    <t>de Wit, Hans;Bernasconi, Andrés;Car, Visnja;Hunter, Fiona;James, Michael;Véliz, Daniela</t>
  </si>
  <si>
    <t>LC487 .I346 2018</t>
  </si>
  <si>
    <t>Catholic universities and colleges-Case studies.</t>
  </si>
  <si>
    <t>Issues in Applying SLA Theories Toward Reflective and Effective Teaching</t>
  </si>
  <si>
    <t>Zeraatpishe, Mitra;Faravani, Akram;Reza Kargozari, Hamid;Azarnoosh, Maryam</t>
  </si>
  <si>
    <t>P118.2 .I878 2018</t>
  </si>
  <si>
    <t>Educating for the Twenty-First Century: Seven Global Challenges</t>
  </si>
  <si>
    <t>Hughes, Conrad</t>
  </si>
  <si>
    <t>LC191 .H844 2018</t>
  </si>
  <si>
    <t>Inclusive Education for Autistic Children : Helping Children and Young People to Learn and Flourish in the Classroom</t>
  </si>
  <si>
    <t>Wood, Rebecca;Lawson, Wenn;Hallett, Sonny</t>
  </si>
  <si>
    <t>LC4719.G78</t>
  </si>
  <si>
    <t>Autistic children--Education. ; Inclusive education--Great Britain.</t>
  </si>
  <si>
    <t>Obstinate Education : Reconnecting School and Society</t>
  </si>
  <si>
    <t>Biesta, Gert</t>
  </si>
  <si>
    <t>Educational sociology. ; Education-Philosophy. ; Democracy and education.</t>
  </si>
  <si>
    <t>Developing Teachers' Assessment Literacy : A Tapestry of Ideas and Inquiries</t>
  </si>
  <si>
    <t>Koh, Kim;DePass, Cecille;Steel, Sean</t>
  </si>
  <si>
    <t>Mid-Career Faculty : Trends, Barriers, and Possibilities</t>
  </si>
  <si>
    <t>Welch, Anita G.;Bolin, Jocelyn;Reardon, Daniel</t>
  </si>
  <si>
    <t>College teachers-Tenure-United States. ; Mid-career-United States. ; Universities and colleges-United States-Faculty. ; Occupational mobility-United States.</t>
  </si>
  <si>
    <t>The Handbook of Dewey's Educational Theory and Practice</t>
  </si>
  <si>
    <t>Lowery, Charles L.;Jenlink, Patrick M.</t>
  </si>
  <si>
    <t>LB875.D5 .H363 2019</t>
  </si>
  <si>
    <t>Dewey, John,-1859-1952. ; Dewey, John,-1859-1952.-Democracy and education. ; Democracy and education. ; Education-Philosophy.</t>
  </si>
  <si>
    <t>Critical Collaborative Communities : Academic Writing Partnerships, Groups, and Retreats</t>
  </si>
  <si>
    <t>Simmons, Nicola;Singh, Ann</t>
  </si>
  <si>
    <t>The Teacher's Guide to Resolving School Bullying : Evidence-Based Strategies and Pupil-Led Interventions</t>
  </si>
  <si>
    <t>Nassem, Elizabeth</t>
  </si>
  <si>
    <t>Supporting Gender Diversity in Early Childhood Classrooms : A Practical Guide</t>
  </si>
  <si>
    <t>Nicholson, Julie;Hennock, Julia;Julian, Jonathan;Maurer, Cyndi;Flynn, Nathanael;Pastel, Encian;Steele, Katie;Unger, Tess</t>
  </si>
  <si>
    <t>Comparative and International Education : Survey of an Infinite Field</t>
  </si>
  <si>
    <t>Wolhuter, C. C.;Wiseman, Alexander W.</t>
  </si>
  <si>
    <t>Climbing the Literacy Ladder : Small-Group Instruction to Support All Readers and Writers, PreK-5</t>
  </si>
  <si>
    <t>Tyner, Beverly</t>
  </si>
  <si>
    <t>LB1140.5.L3 .T964 2019</t>
  </si>
  <si>
    <t>Language arts (Preschool) ; Language arts (Elementary) ; Group work in education.</t>
  </si>
  <si>
    <t>Auswirkungen Sprachlicher Sensibilisierungsmaßnahmen Auf Koreanische Deutschlerner : Zur Nutzung Von Sprachlernerfahrungen und Sprachlichem Wissen Aus der Ersten Fremdsprache Englisch Bei der Textproduktion Im Deutschen Als Tertiärsprache</t>
  </si>
  <si>
    <t>Rohs, Kai</t>
  </si>
  <si>
    <t>P120.L34 .R647 2014</t>
  </si>
  <si>
    <t>Language awareness. ; Multilingualism. ; Language and languages-Study and teaching.</t>
  </si>
  <si>
    <t>Außer - Gewöhnlich? Wege Im Umgang Mit Dem Besonderen</t>
  </si>
  <si>
    <t>Fuchs, Michael</t>
  </si>
  <si>
    <t>Kinder- und Jugendstimme Series</t>
  </si>
  <si>
    <t>MT88 .A977 2014</t>
  </si>
  <si>
    <t>Children's choirs. ; Choirs (Music)</t>
  </si>
  <si>
    <t>Ready for Anything : Four Touchstones for Future-Focused Learning (Innovative Teaching Strategies to Prepare Students for the Future)</t>
  </si>
  <si>
    <t>LB1025.3 .L684 2019</t>
  </si>
  <si>
    <t>Education-Aims and objectives. ; Effective teaching. ; School-to-work transition. ; Educational innovations. ; Culturally relevant pedagogy. ; Individualized instruction.</t>
  </si>
  <si>
    <t>Teaching in the Now : John Dewey on the Educational Present</t>
  </si>
  <si>
    <t>Frank, Jeff</t>
  </si>
  <si>
    <t>LB875.D5 .F736 2019</t>
  </si>
  <si>
    <t>Dewey, John,-1859-1952. ; Education-Philosophy. ; Democracy and education.</t>
  </si>
  <si>
    <t>Navigating the Principalship : Key Insights for New and Aspiring School Leaders</t>
  </si>
  <si>
    <t>Spillane, James P.;Lowenhaupt, Rebecca</t>
  </si>
  <si>
    <t>LB2831.92 .S655 2019</t>
  </si>
  <si>
    <t>School principals-United States.</t>
  </si>
  <si>
    <t>Coherent School Leadership : Forging Clarity from Complexity</t>
  </si>
  <si>
    <t>Fullan, Michael;Kirtman, Lyle</t>
  </si>
  <si>
    <t>LB2805 .F855 2019</t>
  </si>
  <si>
    <t>Educational leadership -- United States. ; School management and organization -- United States.</t>
  </si>
  <si>
    <t>Ethical Decision-Making : Cases in Organization and Leadership</t>
  </si>
  <si>
    <t>Mitchell, Patricia A.</t>
  </si>
  <si>
    <t>BJ1419 .E845 2019</t>
  </si>
  <si>
    <t>Decision making-Moral and ethical aspects. ; Leadership-Moral and ethical aspects. ; Educational leadership-Moral and ethical aspects.</t>
  </si>
  <si>
    <t>The Relevant Classroom : Six Steps to Foster Real-World Learning</t>
  </si>
  <si>
    <t>Hardie, Eric</t>
  </si>
  <si>
    <t>LB1025.3 .H373 2019</t>
  </si>
  <si>
    <t>Teaching-Methodology.</t>
  </si>
  <si>
    <t>Degendering Leadership in Higher Education</t>
  </si>
  <si>
    <t>Katuna, Barret</t>
  </si>
  <si>
    <t>Sex role-Leadership</t>
  </si>
  <si>
    <t>Mental Health and Academic Learning in Schools : Approaches for Facilitating the Wellbeing of Children and Young People</t>
  </si>
  <si>
    <t>Reupert, Andrea</t>
  </si>
  <si>
    <t>The Mental Health and Well-Being of Children and Adolescents Series</t>
  </si>
  <si>
    <t>LB3430 .R487 2020</t>
  </si>
  <si>
    <t>Two Koreas in the Spotlight : From Candlelight Protests to Summits</t>
  </si>
  <si>
    <t>Shin, Jae</t>
  </si>
  <si>
    <t>HM881 .T86 2019</t>
  </si>
  <si>
    <t>Protest movements-Korea (South)</t>
  </si>
  <si>
    <t>Data-Based Decision Making in Developing Countries</t>
  </si>
  <si>
    <t>Schildkamp, Kim;Poortman, Cindy</t>
  </si>
  <si>
    <t>Journal of Professional Capital and Community Series</t>
  </si>
  <si>
    <t>HD30.23 .D383 2019</t>
  </si>
  <si>
    <t>Decision making-Data processing.</t>
  </si>
  <si>
    <t>Preparing Graduates for Work Readiness</t>
  </si>
  <si>
    <t>Turner, Jason;Winterton, Jonathan</t>
  </si>
  <si>
    <t>Education + Training Series</t>
  </si>
  <si>
    <t>HD6277 .P747 2019</t>
  </si>
  <si>
    <t>College graduates-Employment.</t>
  </si>
  <si>
    <t>Learning Analytics</t>
  </si>
  <si>
    <t>Uhomoibhi, James;Azevedo, Ana;Ossiannilsson, Ebba</t>
  </si>
  <si>
    <t>LB1028.43 .L437 2019</t>
  </si>
  <si>
    <t>Education-Research-Data processing.</t>
  </si>
  <si>
    <t>Learning in the Making : How to Plan, Execute, and Assess Powerful Makerspace Lessons</t>
  </si>
  <si>
    <t>Gerstein, Jackie</t>
  </si>
  <si>
    <t>C. R. A. F. T. Conversations for Teacher Growth : How to Build Bridges and Cultivate Expertise</t>
  </si>
  <si>
    <t>Zepeda, Sally J.;Goff, Lakesha Robinson;Steele, Stefanie W.</t>
  </si>
  <si>
    <t>LB2831.82 .Z474 2019</t>
  </si>
  <si>
    <t>School administrators-Professional relationships-United States.</t>
  </si>
  <si>
    <t>Flipped Learning for Elementary Instruction</t>
  </si>
  <si>
    <t>Bergmann, Jonathan;Sams, Aaron</t>
  </si>
  <si>
    <t>LB1555 .B474 2015</t>
  </si>
  <si>
    <t>Personalized Reading : Digital Strategies and Tools to Support All Learners</t>
  </si>
  <si>
    <t>Haiken, Michele;Furman, Robert l.</t>
  </si>
  <si>
    <t>LB1050.38 .H355 2018</t>
  </si>
  <si>
    <t>Individualized reading instruction. ; Reading-Computer-assisted instruction. ; Computers and literacy.</t>
  </si>
  <si>
    <t>Leading from the Library : Help Your School Community Thrive in the Digital Age</t>
  </si>
  <si>
    <t>McClintock Miller Shannon;Bass William</t>
  </si>
  <si>
    <t>Digital Age Librarian's Series</t>
  </si>
  <si>
    <t>Z675.S3 .M555 2019</t>
  </si>
  <si>
    <t>School libraries-United States. ; Libraries and schools-United States. ; School libraries-Information technology-United States. ; School librarian participation in curriculum planning-United States. ; School librarians-Effect of technological innovations on-United States. ; Education-Effect of technological innovations on-United States.</t>
  </si>
  <si>
    <t>Power Up Your Classroom : Reimagine Learning Through Gameplay</t>
  </si>
  <si>
    <t>Blass, Lindsey;Tolnai, Cate</t>
  </si>
  <si>
    <t>LB1029.G3 .B537 2019</t>
  </si>
  <si>
    <t>Learning Transported : Augmented, Virtual and Mixed Reality for All Classrooms</t>
  </si>
  <si>
    <t>Donally, Jaime</t>
  </si>
  <si>
    <t>LB1028.3 .D663 2018</t>
  </si>
  <si>
    <t>Educational technology. ; Virtual reality in education. ; Education-Effect of technological innovations on.</t>
  </si>
  <si>
    <t>Dive into UDL : Immersive Practices to Develop Expert Learners</t>
  </si>
  <si>
    <t>Grant, Kendra;Perez, Luis</t>
  </si>
  <si>
    <t>LB1201 .G736 2018</t>
  </si>
  <si>
    <t>Inclusive education. ; Individualized instruction. ; Cognitive styles. ; Instructional systems-Design. ; Educational technology.</t>
  </si>
  <si>
    <t>Learning Supercharged : Digital Age Strategies and Insights from the EdTech Frontier</t>
  </si>
  <si>
    <t>Schrum, Lynne;Sumerfield, Sandi</t>
  </si>
  <si>
    <t>LB1028.3 .S378 2018</t>
  </si>
  <si>
    <t>Flipped Learning : Gateway to Student Engagement</t>
  </si>
  <si>
    <t>LB1027.23 .B474 2014</t>
  </si>
  <si>
    <t>Student-centered learning. ; Active learning.</t>
  </si>
  <si>
    <t>Closing the Gap : Digital Equity Strategies for Teacher Prep Programs</t>
  </si>
  <si>
    <t>Howard, Nicol R.;Schaffer, Regina;Thomas, Sarah</t>
  </si>
  <si>
    <t>Closing the Gap</t>
  </si>
  <si>
    <t>LB1028.3 .H693 2018</t>
  </si>
  <si>
    <t>Educational technology-Study and teaching. ; Technological literacy-Study and teaching. ; Teachers-Training of-Technological innovations. ; Education-Effect of technological innovations on.</t>
  </si>
  <si>
    <t>Nurturing Young Innovators : Cultivating Creativity in the Classroom, Home and Community</t>
  </si>
  <si>
    <t>McLaughlin, Laura;Budhai, Stephanie Smith</t>
  </si>
  <si>
    <t>LB1590.5 .T333 2017</t>
  </si>
  <si>
    <t>Creative thinking-Study and teaching (Elementary) ; Information technology-Study and teaching (Elementary) ; Activity programs in education.</t>
  </si>
  <si>
    <t>Flipped Learning for Science Instruction</t>
  </si>
  <si>
    <t>Q181 .B474 2015</t>
  </si>
  <si>
    <t>Mobile Learning Mindset : The District Leader's Guide to Implementation</t>
  </si>
  <si>
    <t>Hooker, Carl</t>
  </si>
  <si>
    <t>LB1044.84 .H665 2016</t>
  </si>
  <si>
    <t>Mobile communication systems in education. ; School districts-Administration.</t>
  </si>
  <si>
    <t>Engaging Young Readers : Practical Tools and Strategies to Reach All Learners</t>
  </si>
  <si>
    <t>Furman, L. Robert</t>
  </si>
  <si>
    <t>LB1573 .F876 2019</t>
  </si>
  <si>
    <t>Reading (Elementary) ; Reading-Technological innovations. ; Teaching-Aids and devices.</t>
  </si>
  <si>
    <t>Closing the Gap : Digital Equity Strategies for the K-12 Classroom</t>
  </si>
  <si>
    <t>Schaffer, Regina;Howard, Nicol R.;Thomas, Sarah</t>
  </si>
  <si>
    <t>LB1028.3 .T55 2018</t>
  </si>
  <si>
    <t>Educational technology. ; Educational equalization. ; Digital divide. ; Education-Effect of technological innovations on. ; Internet in education.</t>
  </si>
  <si>
    <t>Grounded Designs for Online and Hybrid Learning: Design Fundamentals</t>
  </si>
  <si>
    <t>Hirumi, Atsusi</t>
  </si>
  <si>
    <t>LB1028.3 .G768 2014</t>
  </si>
  <si>
    <t>Computer-assisted instruction. ; Blended learning. ; Distance education.</t>
  </si>
  <si>
    <t>Flipped Learning for English Instruction</t>
  </si>
  <si>
    <t>LB1576 .B474 2015</t>
  </si>
  <si>
    <t>Mobile Learning Mindset : The Coach's Guide to Implementation</t>
  </si>
  <si>
    <t>Mobile communication systems in education.</t>
  </si>
  <si>
    <t>Bring Your Own Learning : Transform Instruction with Any Device</t>
  </si>
  <si>
    <t>Schad, Lenny</t>
  </si>
  <si>
    <t>LB1044.84 .S333 2014</t>
  </si>
  <si>
    <t>Education Reimagined : Leading Systemwide Change with the ISTE Standards</t>
  </si>
  <si>
    <t>LB1028.3 .E383 2018</t>
  </si>
  <si>
    <t>Educational technology. ; Educational change.</t>
  </si>
  <si>
    <t>Connected Librarians : Tap Social Media to Enhance Professional Development and Student Learning</t>
  </si>
  <si>
    <t>Robertson, Nikki D.</t>
  </si>
  <si>
    <t>The Digital Age Librarian's Series</t>
  </si>
  <si>
    <t>Z675.S3 .R634 2017</t>
  </si>
  <si>
    <t>School libraries-Information technology. ; School librarians-Effect of technological innovations on. ; Online social networks-Library applications. ; Social media.</t>
  </si>
  <si>
    <t>ISTE Standards for Students : A Practical Guide for Learning with Technology</t>
  </si>
  <si>
    <t>Brooks-Young, Susan</t>
  </si>
  <si>
    <t>LB1028.3 .I584 2017</t>
  </si>
  <si>
    <t>Mobile Learning Mindset : The Teacher's Guide to Implementation</t>
  </si>
  <si>
    <t>Stretch Yourself : A Personalized Journey to Deepen Your Teaching Practice</t>
  </si>
  <si>
    <t>Passeport Fanny;McLemore</t>
  </si>
  <si>
    <t>LB2844.1.N4 .M354 2018</t>
  </si>
  <si>
    <t>First year teachers. ; Teaching-Psychological aspects. ; Classroom management. ; Yoga.</t>
  </si>
  <si>
    <t>Fact Vs. Fiction : Teaching Critical Thinking Skills in the Age of Fake News</t>
  </si>
  <si>
    <t>LaGarde, Jennifer;Hudgins, Darren</t>
  </si>
  <si>
    <t>LB1590.3 .L343 2018</t>
  </si>
  <si>
    <t>Critical thinking-Study and teaching. ; Information literacy-Study and teaching. ; Mass media-Study and teaching. ; Fake news-Study and teaching.</t>
  </si>
  <si>
    <t>Integrating Technology in the Classroom : Tools to Meet the Needs of Every Student</t>
  </si>
  <si>
    <t>Hamilton, Boni</t>
  </si>
  <si>
    <t>LB1028.5 .H365 2018</t>
  </si>
  <si>
    <t>Education-United States-Computer-assisted instruction. ; Educational technology-United States.</t>
  </si>
  <si>
    <t>Teaching Literacy in the Digital Age : Inspiration for All Levels and Literacies</t>
  </si>
  <si>
    <t>Gura, Mark</t>
  </si>
  <si>
    <t>LB1576.7 .T433 2014</t>
  </si>
  <si>
    <t>372.6/0440785</t>
  </si>
  <si>
    <t>Language arts-Computer-assisted instruction. ; Language arts-Computer network resources. ; Computers and literacy-Audio-visual aids. ; Computers and literacy. ; Educational technology.</t>
  </si>
  <si>
    <t>Teaching AI : Exploring New Frontiers for Learning</t>
  </si>
  <si>
    <t>Zimmerman, Michelle</t>
  </si>
  <si>
    <t>LB1028.43 .Z566 2018</t>
  </si>
  <si>
    <t>Artificial intelligence-Educational applications. ; Artificial intelligence-Study and teaching. ; Human-computer interaction-Study and teaching.</t>
  </si>
  <si>
    <t>Infusing Technology in the 6-12 Classroom : A Guide to Meeting Today’s Academic Standards</t>
  </si>
  <si>
    <t>Morrison, Valerie;Novak, Stephanie;Vanderwerff, Tim</t>
  </si>
  <si>
    <t>Infusing Technology in the 6-12 Classroom</t>
  </si>
  <si>
    <t>LB1028.5 .M677 2019</t>
  </si>
  <si>
    <t>Middle school education-Computer-assisted instruction. ; Education, Secondary-Computer-assisted instruction. ; Educational technology-Study and teaching (Middle school) ; Educational technology-Study and teaching (Secondary) ; Blended learning.</t>
  </si>
  <si>
    <t>Mobile Learning Mindset : The Principal's Guide to Implementation</t>
  </si>
  <si>
    <t>Mobile communication systems in education. ; School management and organization.</t>
  </si>
  <si>
    <t>180 Days of Reading for Third Grade : Practice, Assess, Diagnose</t>
  </si>
  <si>
    <t>Teacher Created Materials</t>
  </si>
  <si>
    <t>Shell Educational Publishing</t>
  </si>
  <si>
    <t>Huntington Beach, CA</t>
  </si>
  <si>
    <t>Dugan, Christine</t>
  </si>
  <si>
    <t>180 Days of Practice Series</t>
  </si>
  <si>
    <t>LB1592 .D843 2013</t>
  </si>
  <si>
    <t>Education, Elementary-Activity programs.</t>
  </si>
  <si>
    <t>180 Days of Reading for Fifth Grade : Practice, Assess, Diagnose</t>
  </si>
  <si>
    <t>Kinberg, Margot</t>
  </si>
  <si>
    <t>LB1044.88 .K563 2013</t>
  </si>
  <si>
    <t>Teaching-Aids and devices.</t>
  </si>
  <si>
    <t>180 Days of Reading for Sixth Grade : Practice, Assess, Diagnose</t>
  </si>
  <si>
    <t>LB1592 .K563 2013</t>
  </si>
  <si>
    <t>180 Days of Reading for Kindergarten : Practice, Assess, Diagnose</t>
  </si>
  <si>
    <t>Barchers, Suzanne I.</t>
  </si>
  <si>
    <t>LB1592 .B373 2013</t>
  </si>
  <si>
    <t>180 Days of Language for First Grade : Practice, Assess, Diagnose</t>
  </si>
  <si>
    <t>LB1592 .D843 2015</t>
  </si>
  <si>
    <t>180 Days of Language for Fifth Grade : Practice, Assess, Diagnose</t>
  </si>
  <si>
    <t>LB1592 .B373 2015</t>
  </si>
  <si>
    <t>180 Days of Language for Sixth Grade : Practice, Assess, Diagnose</t>
  </si>
  <si>
    <t>180 Days of Language for Kindergarten : Practice, Assess, Diagnose</t>
  </si>
  <si>
    <t>PE1111 .D843 2015</t>
  </si>
  <si>
    <t>English language-Grammar.</t>
  </si>
  <si>
    <t>Brain-Powered Lessons to Engage All Learners</t>
  </si>
  <si>
    <t>Roth, LaVonna</t>
  </si>
  <si>
    <t>Brain-Powered Lessons to Engage All Learners Series</t>
  </si>
  <si>
    <t>LB1571 .R684 2014</t>
  </si>
  <si>
    <t>First grade (Education)</t>
  </si>
  <si>
    <t>Second grade (Education)</t>
  </si>
  <si>
    <t>Third grade (Education)</t>
  </si>
  <si>
    <t>Fourth grade (Education)</t>
  </si>
  <si>
    <t>Sixth grade (Education)</t>
  </si>
  <si>
    <t>Differentiating the Curriculum for Gifted Learners</t>
  </si>
  <si>
    <t>Huntington Beach</t>
  </si>
  <si>
    <t>Conklin, Wendy</t>
  </si>
  <si>
    <t>Effective Teaching in Today's Classroom Series</t>
  </si>
  <si>
    <t>LC3993.9 .C665 2015</t>
  </si>
  <si>
    <t>Gifted children-Education-United States.</t>
  </si>
  <si>
    <t>Guided Math Conferences</t>
  </si>
  <si>
    <t>Guided Math Series</t>
  </si>
  <si>
    <t>QA11 .S266 2014</t>
  </si>
  <si>
    <t>Helping English Language Learners Succeed</t>
  </si>
  <si>
    <t>Zuniga-Dunlap, Carmen</t>
  </si>
  <si>
    <t>LB1576 .Z865 2015</t>
  </si>
  <si>
    <t>Integrating Technology into the Curriculum</t>
  </si>
  <si>
    <t>Kopp, Kathleen;McQueen, Mike</t>
  </si>
  <si>
    <t>LB1028.3 .K677 2015</t>
  </si>
  <si>
    <t>LB1025 .R684 2014</t>
  </si>
  <si>
    <t>Education-Study and teaching.</t>
  </si>
  <si>
    <t>Fostering Writing in Today's Classroom</t>
  </si>
  <si>
    <t>Gentry, Richard;Wallace-Nesler, Vickie;McNeel, Jan</t>
  </si>
  <si>
    <t>LB1631 .G468 2014</t>
  </si>
  <si>
    <t>Creative writing (Primary education) ; Written communication-Study and teaching (Primary)</t>
  </si>
  <si>
    <t>Classroom Management for Successful Instruction</t>
  </si>
  <si>
    <t>Thomas Roth, J.</t>
  </si>
  <si>
    <t>LB3013 .R684 2015</t>
  </si>
  <si>
    <t>The How-to Guide for Integrating the Common Core in Mathematics for Grades 6-8</t>
  </si>
  <si>
    <t>Teacher Created Materials;Gartland, Karen</t>
  </si>
  <si>
    <t>Integrating the Common Core Series</t>
  </si>
  <si>
    <t>QA135.5 .G378 2014</t>
  </si>
  <si>
    <t>The How-to Guide for Integrating the Common Core in Mathematics for Grades K-5</t>
  </si>
  <si>
    <t>Teacher Created Materials;Dacey, Linda</t>
  </si>
  <si>
    <t>QA135.5 .D334 2014</t>
  </si>
  <si>
    <t>Teaching Mathematics Today</t>
  </si>
  <si>
    <t>Lehmann, Erin</t>
  </si>
  <si>
    <t>QA11 .L446 2015</t>
  </si>
  <si>
    <t>Teaching Science Today</t>
  </si>
  <si>
    <t>Kopp, Kathleen</t>
  </si>
  <si>
    <t>Q183.3.A1 .K677 2015</t>
  </si>
  <si>
    <t>Science-Study and teaching-United States.</t>
  </si>
  <si>
    <t>Teaching Social Studies Today</t>
  </si>
  <si>
    <t>LB1584 .K677 2017</t>
  </si>
  <si>
    <t>Social sciences-Study and teaching-United States.</t>
  </si>
  <si>
    <t>Common Sense Assessment in the Classroom</t>
  </si>
  <si>
    <t>Rice, Lynda</t>
  </si>
  <si>
    <t>Professional Resources Series</t>
  </si>
  <si>
    <t>LB1044.88 .R534 2013</t>
  </si>
  <si>
    <t>Reading and Responding : A Guide to Literature in the Classroom</t>
  </si>
  <si>
    <t>Teacher Created Materials;Ryan, Denise</t>
  </si>
  <si>
    <t>P40.5.L58 .R936 2014</t>
  </si>
  <si>
    <t>Literacy-Study and teaching (Primary)</t>
  </si>
  <si>
    <t>Math Games : Skill-Based Practice for Fourth Grade</t>
  </si>
  <si>
    <t>Hull, Ted H.;Harbin Miles, Ruth;Balka, Don S.</t>
  </si>
  <si>
    <t>Math Games: Skill-Based Practice Series</t>
  </si>
  <si>
    <t>QA135.5 .H855 2014</t>
  </si>
  <si>
    <t>Math Games : Skill-Based Practice for Third Grade</t>
  </si>
  <si>
    <t>Math Games : Skill-Based Practice for Sixth Grade</t>
  </si>
  <si>
    <t>QA11 .H855 2014</t>
  </si>
  <si>
    <t>Math Games : Skill-Based Practice for Fifth Grade</t>
  </si>
  <si>
    <t>Using Technology to Improve Reading and Learning</t>
  </si>
  <si>
    <t>Teacher Created Materials;Dwyer, Bernadette;Castek, Jill;Harrison, Colin</t>
  </si>
  <si>
    <t>LB1028.3 .H377 2014</t>
  </si>
  <si>
    <t>Educational technology. ; Reading.</t>
  </si>
  <si>
    <t>The How-To Guide for Integrating the Common Core in Language Arts</t>
  </si>
  <si>
    <t>Teacher Created Materials;Conklin, Wendy;Murphy, Debby</t>
  </si>
  <si>
    <t>LB1576 .M877 2014</t>
  </si>
  <si>
    <t>Understanding Elections Levels K-2</t>
  </si>
  <si>
    <t>Maloof, Torrey</t>
  </si>
  <si>
    <t>Classroom Resource Series</t>
  </si>
  <si>
    <t>JK1976 .M356 2015</t>
  </si>
  <si>
    <t>Elections-United States.</t>
  </si>
  <si>
    <t>Understanding Elections Levels 3-5</t>
  </si>
  <si>
    <t>JF1001 .M356 2015</t>
  </si>
  <si>
    <t>Elections.</t>
  </si>
  <si>
    <t>Leveled Text-Dependent Question Stems: Mathematics Problem Solving : Mathematics Problem Solving</t>
  </si>
  <si>
    <t>Sill, Lisa M.;Smith, Jodene</t>
  </si>
  <si>
    <t>Leveled Text-Dependent Question Stems Series</t>
  </si>
  <si>
    <t>QA11 .S555 2017</t>
  </si>
  <si>
    <t>Leveled Text-Dependent Question Stems: Social Studies : Social Studies</t>
  </si>
  <si>
    <t>Henry, Niomi;Smith, Jodene</t>
  </si>
  <si>
    <t>H62 .H467 2017</t>
  </si>
  <si>
    <t>Social sciences-Study and teaching.</t>
  </si>
  <si>
    <t>Active Learning Across the Content Areas</t>
  </si>
  <si>
    <t>Teacher Created Materials;Stix, Andi;Conklin, Wendy</t>
  </si>
  <si>
    <t>LB1027.23 .C665 2014</t>
  </si>
  <si>
    <t>TDQs : Strategies for Building Text-Dependent Questions</t>
  </si>
  <si>
    <t>Hathaway, Jessica</t>
  </si>
  <si>
    <t>LB1576 .H384 2014</t>
  </si>
  <si>
    <t>Foundational Skills: Phonics for Kindergarten</t>
  </si>
  <si>
    <t>Shell Education, Shell</t>
  </si>
  <si>
    <t>Foundational Skills: Phonics Series</t>
  </si>
  <si>
    <t>LB1525.3 .P466 2014</t>
  </si>
  <si>
    <t>Phonetics-Study and teaching (Primary)</t>
  </si>
  <si>
    <t>Foundational Skills: Phonics for First Grade</t>
  </si>
  <si>
    <t>LB1573.3 .P466 2014</t>
  </si>
  <si>
    <t>Reading-Phonetic method-Study and teaching.</t>
  </si>
  <si>
    <t>TIME for Kids: Practicing for Today's Tests : Language Arts Level 2</t>
  </si>
  <si>
    <t>Callaghan, Melissa</t>
  </si>
  <si>
    <t>Practicing for Today's Tests Series</t>
  </si>
  <si>
    <t>PE1114 .C355 2015</t>
  </si>
  <si>
    <t>English language-Examinations-Study guides.</t>
  </si>
  <si>
    <t>Guided Math Workstations Grades 6-8</t>
  </si>
  <si>
    <t>Sammons, Laney;Boucher, Donna</t>
  </si>
  <si>
    <t>QA135.5 .B683 2018</t>
  </si>
  <si>
    <t>Effective Math Instruction : Shifting to Meet Today's Standards</t>
  </si>
  <si>
    <t>Dupree, Jared</t>
  </si>
  <si>
    <t>QA11 .D877 2016</t>
  </si>
  <si>
    <t>Implementing Guided Math : Tools for Educational Leaders</t>
  </si>
  <si>
    <t>QA11 .S266 2016</t>
  </si>
  <si>
    <t>Analyzing and Writing with Primary Sources</t>
  </si>
  <si>
    <t>LB1047.3 .C665 2015</t>
  </si>
  <si>
    <t>Rhymes for the Times : Literacy Strategies Through Social Studies</t>
  </si>
  <si>
    <t>Rasinski, Timothy;Harrison, David L.</t>
  </si>
  <si>
    <t>LB1573.7 .R375 2016</t>
  </si>
  <si>
    <t>Reading comprehension-Study and teaching (Elementary)</t>
  </si>
  <si>
    <t>TIME for Kids: Practicing for Today's Tests : Language Arts Level 4</t>
  </si>
  <si>
    <t>Aracich, Charles</t>
  </si>
  <si>
    <t>LB1631.5 .A733 2015</t>
  </si>
  <si>
    <t>English language-Composition and exercises-Examinations-Study guides.</t>
  </si>
  <si>
    <t>TIME for Kids: Practicing for Today's Tests : Language Arts Level 6</t>
  </si>
  <si>
    <t>Barchers, Suzanne I.;Barchers, Suzanne I.</t>
  </si>
  <si>
    <t>LB1631.5 .B373 2015</t>
  </si>
  <si>
    <t>Summer Blast : Getting Ready for First Grade</t>
  </si>
  <si>
    <t>Smith, Jodene</t>
  </si>
  <si>
    <t>Summer Blast Series</t>
  </si>
  <si>
    <t>Summer Blast : Getting Ready for Second Grade</t>
  </si>
  <si>
    <t>Summer Blast : Getting Ready for Fourth Grade</t>
  </si>
  <si>
    <t>Summer Blast : Getting Ready for Fifth Grade</t>
  </si>
  <si>
    <t>LB1537 .C665 2016</t>
  </si>
  <si>
    <t>Education, Primary-Activity programs.</t>
  </si>
  <si>
    <t>Leveled Texts for Classic Fiction : Adventure</t>
  </si>
  <si>
    <t>Housel, Debra J.</t>
  </si>
  <si>
    <t>Leveled Texts</t>
  </si>
  <si>
    <t>LB1050.45 .H687 2013</t>
  </si>
  <si>
    <t>Reading comprehension-Study and teaching.</t>
  </si>
  <si>
    <t>Leveled Texts for Classic Fiction : Fantasy and Science Fiction</t>
  </si>
  <si>
    <t>Paris, Stephanie</t>
  </si>
  <si>
    <t>PN56.F34 .P375 2013</t>
  </si>
  <si>
    <t>Fantasy literature-Study and teaching.</t>
  </si>
  <si>
    <t>Leveled Texts for Classic Fiction : Historical Fiction</t>
  </si>
  <si>
    <t>Historical fiction.</t>
  </si>
  <si>
    <t>Education; Fiction; Language/Linguistics</t>
  </si>
  <si>
    <t>180 Days of Spelling and Word Study for Fourth Grade : Practice, Assess, Diagnose</t>
  </si>
  <si>
    <t>Pesez Rhoades, Shireen</t>
  </si>
  <si>
    <t>TIME for Kids: Practicing for Today's Tests : Mathematics Level 2</t>
  </si>
  <si>
    <t>QA11 .C355 2016</t>
  </si>
  <si>
    <t>TIME for Kids: Practicing for Today's Tests : Mathematics Level 3</t>
  </si>
  <si>
    <t>Kemp, Kristin</t>
  </si>
  <si>
    <t>QA135.5 .K467 2016</t>
  </si>
  <si>
    <t>TIME for Kids: Practicing for Today's Tests : Mathematics Level 4</t>
  </si>
  <si>
    <t>QA11 .A733 2016</t>
  </si>
  <si>
    <t>TIME for Kids: Practicing for Today's Tests : Mathematics Level 5</t>
  </si>
  <si>
    <t>Smith, Robert</t>
  </si>
  <si>
    <t>QA11 .S658 2016</t>
  </si>
  <si>
    <t>TIME for Kids: Practicing for Today's Tests : Mathematics Level 6</t>
  </si>
  <si>
    <t>Wilcox, Ashley</t>
  </si>
  <si>
    <t>QA43 .W553 2016</t>
  </si>
  <si>
    <t>The History of Telephones : Fractions</t>
  </si>
  <si>
    <t>Teacher Created Materials, Incorporated</t>
  </si>
  <si>
    <t>Stark, Kristy</t>
  </si>
  <si>
    <t>Mathematics in the Real World Series</t>
  </si>
  <si>
    <t>TK6165$b.S73 2018</t>
  </si>
  <si>
    <t>Engineering; Engineering: Electrical</t>
  </si>
  <si>
    <t>Close Reading with Paired Texts Level K : Engaging Lessons to Improve Comprehension</t>
  </si>
  <si>
    <t>Oczkus, Lori;Rasinski, Timothy</t>
  </si>
  <si>
    <t>Close Reading with Paired Texts</t>
  </si>
  <si>
    <t>LB1573 .O295 2015</t>
  </si>
  <si>
    <t>Close Reading with Paired Texts Level 1 : Engaging Lessons to Improve Comprehension</t>
  </si>
  <si>
    <t>Close Reading with Paired Texts Level 2 : Engaging Lessons to Improve Comprehension</t>
  </si>
  <si>
    <t>Close Reading with Paired Texts Level 3 : Engaging Lessons to Improve Comprehension</t>
  </si>
  <si>
    <t>Close Reading with Paired Texts Level 5 : Engaging Lessons to Improve Comprehension</t>
  </si>
  <si>
    <t>180 Days of Social Studies for Kindergarten : Practice, Assess, Diagnose</t>
  </si>
  <si>
    <t>Flynn, Kathy</t>
  </si>
  <si>
    <t>LB1584 .F596 2018</t>
  </si>
  <si>
    <t>Social sciences-Study and teaching (Elementary)</t>
  </si>
  <si>
    <t>180 Days of Social Studies for First Grade : Practice, Assess, Diagnose</t>
  </si>
  <si>
    <t>180 Days of Social Studies for Second Grade : Practice, Assess, Diagnose</t>
  </si>
  <si>
    <t>McNamara, Terri</t>
  </si>
  <si>
    <t>LB1584 .M363 2018</t>
  </si>
  <si>
    <t>180 Days of Social Studies for Fifth Grade : Practice, Assess, Diagnose</t>
  </si>
  <si>
    <t>Cotton, Catherine;Elliott, Patricia;Joye, Melanie</t>
  </si>
  <si>
    <t>LB1584 .C688 2018</t>
  </si>
  <si>
    <t>180 Days of Science for Kindergarten : Practice, Assess, Diagnose</t>
  </si>
  <si>
    <t>Homayoun, Lauren</t>
  </si>
  <si>
    <t>Q182 .H663 2018</t>
  </si>
  <si>
    <t>Science-Problems, exercises, etc.</t>
  </si>
  <si>
    <t>180 Days of Science for Second Grade : Practice, Assess, Diagnose</t>
  </si>
  <si>
    <t>Gorrell, Debbie</t>
  </si>
  <si>
    <t>Q182 .G677 2018</t>
  </si>
  <si>
    <t>180 Days of Science for Third Grade : Practice, Assess, Diagnose</t>
  </si>
  <si>
    <t>Iwinski, Melissa</t>
  </si>
  <si>
    <t>Q182 .I956 2018</t>
  </si>
  <si>
    <t>Guided Math : A Framework for Mathematics Instruction</t>
  </si>
  <si>
    <t>QA135.5 .S266 2019</t>
  </si>
  <si>
    <t>180 Days of Science for Sixth Grade : Practice, Assess, Diagnose</t>
  </si>
  <si>
    <t>Bayne, Bebra;Homayoun, Lauren</t>
  </si>
  <si>
    <t>Q182 .B396 2018</t>
  </si>
  <si>
    <t>180 Days of Language for Third Grade : Practice, Assess, Diagnose</t>
  </si>
  <si>
    <t>Creating Strategic Readers : Techniques for Supporting Rigorous Literacy Instruction</t>
  </si>
  <si>
    <t>Ellery, Valerie</t>
  </si>
  <si>
    <t>LB1632 .E454 2014</t>
  </si>
  <si>
    <t>Reading, Writing, and Rhythm : Engaging Content-Area Literacy Strategies</t>
  </si>
  <si>
    <t>Fink, Rosalie</t>
  </si>
  <si>
    <t>LB1576 .F565 2015</t>
  </si>
  <si>
    <t>Math Games : Skill-Based Practice for First Grade</t>
  </si>
  <si>
    <t>Math Games : Skill-Based Practice for Kindergarten</t>
  </si>
  <si>
    <t>TIME for Kids: Practicing for Today's Tests : Language Arts Level 3</t>
  </si>
  <si>
    <t>Prior, Jennifer</t>
  </si>
  <si>
    <t>LB1631.5 .P756 2015</t>
  </si>
  <si>
    <t>TIME for Kids: Practicing for Today's Tests : Language Arts Level 5</t>
  </si>
  <si>
    <t>Case, Jessica</t>
  </si>
  <si>
    <t>LB1631.5 .C374 2015</t>
  </si>
  <si>
    <t>Summer Blast : Getting Ready for Third Grade</t>
  </si>
  <si>
    <t>Summer Blast : Getting Ready for Kindergarten</t>
  </si>
  <si>
    <t>LB1169 .S658 2016</t>
  </si>
  <si>
    <t>Kindergarten.</t>
  </si>
  <si>
    <t>Leveled Texts for Classic Fiction : Mystery</t>
  </si>
  <si>
    <t>LB1050.45 .M978 2013</t>
  </si>
  <si>
    <t>180 Days of Social Studies for Fourth Grade : Practice, Assess, Diagnose</t>
  </si>
  <si>
    <t>Tomlinson, Marla;Wassmer, Gita;Williamson, Margaret</t>
  </si>
  <si>
    <t>LB1584 .T665 2018</t>
  </si>
  <si>
    <t>180 Days of Science for First Grade : Practice, Assess, Diagnose</t>
  </si>
  <si>
    <t>180 Days of Science for Fourth Grade : Practice, Assess, Diagnose</t>
  </si>
  <si>
    <t>Interactive Notetaking for Content-Area Literacy, Levels K-2</t>
  </si>
  <si>
    <t>Goodman, Judith</t>
  </si>
  <si>
    <t>LB2395.25 .G663 2018</t>
  </si>
  <si>
    <t>Note-taking.</t>
  </si>
  <si>
    <t>180 Days of Geography for First Grade : Practice, Assess, Diagnose</t>
  </si>
  <si>
    <t>Anderson, Rane</t>
  </si>
  <si>
    <t>LB1592 .A534 2018</t>
  </si>
  <si>
    <t>180 Days of Reading for Fourth Grade : Practice, Assess, Diagnose</t>
  </si>
  <si>
    <t>LB1573 .K563 2013</t>
  </si>
  <si>
    <t>Leveled Texts for Classic Fiction : Shakespeare</t>
  </si>
  <si>
    <t>Hollingsworth, Tamara</t>
  </si>
  <si>
    <t>LB1050.45 .H655 2013</t>
  </si>
  <si>
    <t>180 Days of Language for Second Grade : Practice, Assess, Diagnose</t>
  </si>
  <si>
    <t>180 Days of Language for Fourth Grade : Practice, Assess, Diagnose</t>
  </si>
  <si>
    <t>LB1025.3 .R684 2014</t>
  </si>
  <si>
    <t>Think It, Show It Mathematics : Strategies for Explaining Thinking</t>
  </si>
  <si>
    <t>Denman, Gregory A.</t>
  </si>
  <si>
    <t>Think It Show It Series</t>
  </si>
  <si>
    <t>QA135.5 .D466 2013</t>
  </si>
  <si>
    <t>Math Games : Skill-Based Practice for Second Grade</t>
  </si>
  <si>
    <t>Orchestrating School Change : Transforming Your Leadership</t>
  </si>
  <si>
    <t>Murphy, Michael</t>
  </si>
  <si>
    <t>LB2806 .M877 2014</t>
  </si>
  <si>
    <t>Successful Centers : Standards-Based Learning Centers That Work</t>
  </si>
  <si>
    <t>Fiore, Lisa B.</t>
  </si>
  <si>
    <t>LB3044.8 .F567 2014</t>
  </si>
  <si>
    <t>Classroom learning centers.</t>
  </si>
  <si>
    <t>Just the Facts : Close Reading and Comprehension of Informational Text</t>
  </si>
  <si>
    <t>Oczkus, Lori</t>
  </si>
  <si>
    <t>LB1573.7 .O295 2014</t>
  </si>
  <si>
    <t>Close Reading with Paired Texts Level 4 : Engaging Lessons to Improve Comprehension</t>
  </si>
  <si>
    <t>Leveled Texts for Classic Fiction : Humor</t>
  </si>
  <si>
    <t>LB1050.45 .P375 2013</t>
  </si>
  <si>
    <t>180 Days of Science for Fifth Grade : Practice, Assess, Diagnose</t>
  </si>
  <si>
    <t>180 Days of Social Studies for Third Grade : Practice, Assess, Diagnose</t>
  </si>
  <si>
    <t>180 Days of Social Studies for Sixth Grade : Practice, Assess, Diagnose</t>
  </si>
  <si>
    <t>Flynn, Kathy;McNamara, Terri;Tomlinson, Marla</t>
  </si>
  <si>
    <t>180 Days of Geography for Fifth Grade : Practice, Assess, Diagnose</t>
  </si>
  <si>
    <t>LB1592 .K467 2018</t>
  </si>
  <si>
    <t>180 Days of Geography for Kindergarten : Practice, Assess, Diagnose</t>
  </si>
  <si>
    <t>LB1592 .H384 2018</t>
  </si>
  <si>
    <t>180 Days of Geography for Sixth Grade : Practice, Assess, Diagnose</t>
  </si>
  <si>
    <t>Edgerton, Jennifer</t>
  </si>
  <si>
    <t>LB1592 .E344 2018</t>
  </si>
  <si>
    <t>Making Change : Creating a 21st Century Teaching and Learning Environment</t>
  </si>
  <si>
    <t>Green, Timothy;Donovan, Loretta</t>
  </si>
  <si>
    <t>CB161 .D666 2014</t>
  </si>
  <si>
    <t>Twenty-first century.</t>
  </si>
  <si>
    <t>180 Days of Reading for First Grade : Practice, Assess, Diagnose</t>
  </si>
  <si>
    <t>LB1573 .B373 2013</t>
  </si>
  <si>
    <t>Foundational Skills: Phonics for Pre-Kindergarten</t>
  </si>
  <si>
    <t>LB1573.3 .S658 2014</t>
  </si>
  <si>
    <t>Reading-Phonetic method.</t>
  </si>
  <si>
    <t>Foundational Skills: Phonics for Second Grade</t>
  </si>
  <si>
    <t>Leveled Texts for Classic Fiction : Mythology</t>
  </si>
  <si>
    <t>180 Days of Geography for Second Grade : Practice, Assess, Diagnose</t>
  </si>
  <si>
    <t>LB1592 .C355 2018</t>
  </si>
  <si>
    <t>180 Days of Geography for Third Grade : Practice, Assess, Diagnose</t>
  </si>
  <si>
    <t>Lacey, Saskia</t>
  </si>
  <si>
    <t>LB1592 .L334 2018</t>
  </si>
  <si>
    <t>180 Days of Geography for Fourth Grade : Practice, Assess, Diagnose</t>
  </si>
  <si>
    <t>Aracich, Chuck</t>
  </si>
  <si>
    <t>LB1592 .A733 2018</t>
  </si>
  <si>
    <t>Guided Math Workstations Grades K-2</t>
  </si>
  <si>
    <t>Boucher, Donna;Sammons, Laney</t>
  </si>
  <si>
    <t>QA135.6 .B683 2018</t>
  </si>
  <si>
    <t>Guided Math Workstations Grades 3-5</t>
  </si>
  <si>
    <t>Interactive Notetaking for Content-Area Literacy, Levels 3-5</t>
  </si>
  <si>
    <t>LB1050.45 .G663 2018</t>
  </si>
  <si>
    <t>Interactive Notetaking for Content-Area Literacy, Secondary</t>
  </si>
  <si>
    <t>Go Figure! Exploring Figurative Language, Levels 5-8</t>
  </si>
  <si>
    <t>Rasinski, Timothy;Zutell, Jerry;Cheesman Smith, Melissa</t>
  </si>
  <si>
    <t>PE1460 .R375 2017</t>
  </si>
  <si>
    <t>English language-Idioms-Study and teaching (Elementary)</t>
  </si>
  <si>
    <t>Go Figure! Exploring Figurative Language, Levels 2-4</t>
  </si>
  <si>
    <t>Prove It! Using Textual Evidence, Levels 3-5</t>
  </si>
  <si>
    <t>Cheesman Smith, Melissa;Schilling, Terri</t>
  </si>
  <si>
    <t>LB1050.45 .S658 2018</t>
  </si>
  <si>
    <t>Prove It! Using Textual Evidence, Levels 6-8</t>
  </si>
  <si>
    <t>180 Days of Spelling and Word Study for First Grade : Practice, Assess, Diagnose</t>
  </si>
  <si>
    <t>LB1592 .R463 2019</t>
  </si>
  <si>
    <t>180 Days of Spelling and Word Study for Kindergarten : Practice, Assess, Diagnose</t>
  </si>
  <si>
    <t>180 Days of Spelling and Word Study for Second Grade : Practice, Assess, Diagnose</t>
  </si>
  <si>
    <t>180 Days of Spelling and Word Study for Third Grade : Practice, Assess, Diagnose</t>
  </si>
  <si>
    <t>180 Days of Spelling and Word Study for Fifth Grade : Practice, Assess, Diagnose</t>
  </si>
  <si>
    <t>180 Days of Spelling and Word Study for Sixth Grade : Practice, Assess, Diagnose</t>
  </si>
  <si>
    <t>Back in School : How Student Parents Are Transforming College and Family</t>
  </si>
  <si>
    <t>Pearson, A. Fiona</t>
  </si>
  <si>
    <t>Designing the Future : How Engineering Builds Creative Critical Thinkers in the Classroom (Boost Critical and Creative Thinking Using the Engineering Design Process)</t>
  </si>
  <si>
    <t>Kaiser, Ann</t>
  </si>
  <si>
    <t>TA147 .K357 2020</t>
  </si>
  <si>
    <t>Engineering; Engineering: Civil</t>
  </si>
  <si>
    <t>Moving Beyond Busy : Focusing School Change on Why, What, and How (Student-Centered Strategic Planning for School Improvement)</t>
  </si>
  <si>
    <t>Curtis, Greg</t>
  </si>
  <si>
    <t>LB2822.82 .C878 2020</t>
  </si>
  <si>
    <t>School improvement programs-United States. ; Educational change-United States. ; Education-Aims and objectives-United States.</t>
  </si>
  <si>
    <t>Rethinking College Student Development Theory Using Critical Frameworks</t>
  </si>
  <si>
    <t>Abes, Elisa S.;Jones, Susan R.;Stewart, D. L.</t>
  </si>
  <si>
    <t>College students-Psychology</t>
  </si>
  <si>
    <t>The Language of Mathematics Education : An Expanded Glossary of Key Terms and Concepts in Mathematics Teaching and Learning</t>
  </si>
  <si>
    <t>Dingman, Shannon W.;Kent, Laura B.;McComas, Kim K.;Orona, Cynthia C.</t>
  </si>
  <si>
    <t>The Language of Education Series</t>
  </si>
  <si>
    <t>Mathematics-Study and teaching-Terminology.</t>
  </si>
  <si>
    <t>Education for Employability (Volume 2) : Learning for Future Possibilities</t>
  </si>
  <si>
    <t>Higgs, Joy;Letts, Will;Crisp, Geoffrey</t>
  </si>
  <si>
    <t>Aesthetics, Theory and Interpretation of the Literary Work</t>
  </si>
  <si>
    <t>Euron, Paolo</t>
  </si>
  <si>
    <t>Aesthetics. ; Art-Philosophy. ; Aesthetics in literature.</t>
  </si>
  <si>
    <t>Critical Storytelling in Urban Education</t>
  </si>
  <si>
    <t>Hartlep, Nicholas D.;Hensley, Brandon O.</t>
  </si>
  <si>
    <t>Critical Storytelling Series</t>
  </si>
  <si>
    <t>LC3732.M6 .C758 2019</t>
  </si>
  <si>
    <t>Minority college students-Minnesota-Biography. ; Minority college students-Michigan-Biography.</t>
  </si>
  <si>
    <t>STEM Education 2. 0 : Myths and Truths - What Has K-12 STEM Education Research Taught Us?</t>
  </si>
  <si>
    <t>Sahin, Alpaslan;Mohr-Schroeder, Margaret J.</t>
  </si>
  <si>
    <t>Science-Study and teaching. ; Technology-Study and teaching. ; Engineering-Study and teaching. ; Mathematics-Study and teaching.</t>
  </si>
  <si>
    <t>The Translational Design of Universities : An Evidence-Based Approach</t>
  </si>
  <si>
    <t>Campus planning. ; College facilities-Planning. ; Internet in higher education.</t>
  </si>
  <si>
    <t>Rich Pickings : Creative Professional Development Activities for University Lecturers</t>
  </si>
  <si>
    <t>Loads, Daphne</t>
  </si>
  <si>
    <t>Integrated English Language Development: Supporting English Learners Across the Curriculum (epub)</t>
  </si>
  <si>
    <t>Mora-Flores, Eugenia</t>
  </si>
  <si>
    <t>PE1128.A2 .M673 2019</t>
  </si>
  <si>
    <t>English language-Study and teaching-Foreign speakers.</t>
  </si>
  <si>
    <t>Higher Education and Sustainability : Opportunities and Challenges for Achieving Sustainable Development Goals</t>
  </si>
  <si>
    <t>CRC Press</t>
  </si>
  <si>
    <t>Azeiteiro, Ulisses Manuel de Miranda;Davim, J. Paulo</t>
  </si>
  <si>
    <t>Higher Education and Sustainability Series</t>
  </si>
  <si>
    <t>LB2324 .A945 2020</t>
  </si>
  <si>
    <t>Education, Higher-Environmental aspects-Cross cultural studies. ; Environmental education-Cross cultural studies. ; Sustainable development-Cross cultural studies.</t>
  </si>
  <si>
    <t>Nothing Succeeds Like Failure : The Sad History of American Business Schools</t>
  </si>
  <si>
    <t>Conn, Steven</t>
  </si>
  <si>
    <t>HF1131 .C666 2019</t>
  </si>
  <si>
    <t>Business education-United States-History. ; Business schools-United States-History. ; Master of business administration degree-United States-History.</t>
  </si>
  <si>
    <t>The Empowered University : Shared Leadership, Culture Change, and Academic Success</t>
  </si>
  <si>
    <t>Hrabowski, Freeman A., III;Rous, Philip J.;Henderson, Peter H.</t>
  </si>
  <si>
    <t>378.752/71</t>
  </si>
  <si>
    <t>Help Your Team : Overcoming Common Collaborative Challenges in a PLC (Supporting Teacher Team Building and Collaboration in a Professional Learning Community)</t>
  </si>
  <si>
    <t>Bayewitz, Michael D.;Cunningham, Scott A.;Ianora, Joseph A.;Jones, Brandon;Nelson, Maria;Remmert, Will;Sonju, Bob;Spiller, Jeanne</t>
  </si>
  <si>
    <t>LB1029.T4 .B394 2020</t>
  </si>
  <si>
    <t>Teaching teams. ; Team learning approach in education. ; Teachers-Professional relationships.</t>
  </si>
  <si>
    <t>How to Teach Thinking Skills : Seven Key Student Proficiencies for College and Career Readiness (Teaching Thinking Skills for Student Success in a 21st Century World)</t>
  </si>
  <si>
    <t>Bellanca, James A.;Fogarty, Robin J.;Pete, Brian M.</t>
  </si>
  <si>
    <t>LB1590.3 .B455 2020</t>
  </si>
  <si>
    <t>Growing Weeders into Leaders : Leadership Lessons from the Ground Level</t>
  </si>
  <si>
    <t>McManus, Jeff;Khayat, Robert C.</t>
  </si>
  <si>
    <t>Landscaping industry-Management</t>
  </si>
  <si>
    <t>Mediation and Thinking Development in Schools : Theories and Practices for Educators</t>
  </si>
  <si>
    <t>Flavian, Heidi</t>
  </si>
  <si>
    <t>Teaching. ; Teaching-Social aspects.</t>
  </si>
  <si>
    <t>Annual Review of Comparative and International Education 2018</t>
  </si>
  <si>
    <t>Comparative education-Periodicals.</t>
  </si>
  <si>
    <t>Communication Skills for Your Education Degree</t>
  </si>
  <si>
    <t>LB1033.5 .B688 2019</t>
  </si>
  <si>
    <t>Beyond Education : Radical Studying for Another World</t>
  </si>
  <si>
    <t>Meyerhoff, Eli</t>
  </si>
  <si>
    <t>LA227.4 .M494 2019</t>
  </si>
  <si>
    <t>Education, Higher-Aims and objectives-United States. ; Education, Higher-Economic aspects-United States. ; Capitalism and education-United States. ; Alternative education-United States.</t>
  </si>
  <si>
    <t>A Handbook for Developing and Using Proficiency Scales in the Classroom : (a Clear, Practical Handbook for Creating and Utilizing High-Quality Proficiency Scales)</t>
  </si>
  <si>
    <t>Hoegh, Jan K.;Heflebower, Tammy;Warrick, Philip B.</t>
  </si>
  <si>
    <t>LC3715 .H644 2020</t>
  </si>
  <si>
    <t>Crisis Leadership in Higher Education : Theory and Practice</t>
  </si>
  <si>
    <t>Gigliotti, Ralph A.</t>
  </si>
  <si>
    <t>Postgraduate Handbook : A Comprehensive Guide for PhD and Master's Students and Their Supervisors</t>
  </si>
  <si>
    <t>Caister Academic Press</t>
  </si>
  <si>
    <t>Nyika, Aceme</t>
  </si>
  <si>
    <t>LB2371 .N955 2018</t>
  </si>
  <si>
    <t>Graduate students-Handbooks, manuals, etc.</t>
  </si>
  <si>
    <t>Cégep Garneau : 50 Ans de Vie P&amp;eacute;dagogique et de Passion Pour L'excellence</t>
  </si>
  <si>
    <t>Mbodo, Olivier M.</t>
  </si>
  <si>
    <t>LC1047.C2 .C44 2019</t>
  </si>
  <si>
    <t>Vocational education-Québec (Province)</t>
  </si>
  <si>
    <t>Your Students, My Students, Our Students : Rethinking Equitable and Inclusive Classrooms</t>
  </si>
  <si>
    <t>Jung, Lee Ann;Frey, Nancy;Fisher, Douglas;Kroener, Julie</t>
  </si>
  <si>
    <t>LC1200 .J864 2019</t>
  </si>
  <si>
    <t>The ECoaching Continuum for Educators : Using Technology to Enrich Professional Development and Improve Student Outcomes</t>
  </si>
  <si>
    <t>Rock, Marcia</t>
  </si>
  <si>
    <t>LB1707 .R635 2019</t>
  </si>
  <si>
    <t>Selected Essays on China's Education: Research and Review, Volume 3 : Knowledge and Tradition</t>
  </si>
  <si>
    <t>Ding, Gang</t>
  </si>
  <si>
    <t>Lessons Learned from Novice Teachers : An International Perspective</t>
  </si>
  <si>
    <t>Smith, Kari;Ulvik, Marit;Helleve, Ingrid</t>
  </si>
  <si>
    <t>LB1775 .S658 2019</t>
  </si>
  <si>
    <t>Spark Change : Making Your Mark in a Digital World</t>
  </si>
  <si>
    <t>Van Ledtje, Olivia;Merrill, Cynthia</t>
  </si>
  <si>
    <t>LB1028.3 .F573 2019</t>
  </si>
  <si>
    <t>The Leaders of Their Own Learning Companion : New Tools and Tips for Tackling the Common Challenges of Student-Engaged Assessment</t>
  </si>
  <si>
    <t>Berger, Ron;Vilen, Anne;Woodfin, Libby</t>
  </si>
  <si>
    <t>Students-Self-rating of-United States</t>
  </si>
  <si>
    <t>Skolní Vzdělávání Ve Velké Británii</t>
  </si>
  <si>
    <t>Ježková, Věra</t>
  </si>
  <si>
    <t>LA632 .J495 2013</t>
  </si>
  <si>
    <t>Education-Great Britain. ; Education and state-Great Britain. ; Education Systems-Great Britain.</t>
  </si>
  <si>
    <t>Issues in Teaching and Learning of Education for Sustainability : Theory into Practice</t>
  </si>
  <si>
    <t>Chang, Chew-Hung;Kidman, Gillian;Wi, Andy</t>
  </si>
  <si>
    <t>HC79.E5 .I87 2020</t>
  </si>
  <si>
    <t>Sustainability-Study and teaching. ; Education and globalization.</t>
  </si>
  <si>
    <t>Doing What Works : Ten Common-Sense Leadership Practices to Improve Student Learning</t>
  </si>
  <si>
    <t>Resources for Teaching Middle School Science</t>
  </si>
  <si>
    <t>Smithsonian Institution;National Academy of Engineering;National Science Resources Center of the National Academy of Sciences;Institute of Medicine</t>
  </si>
  <si>
    <t>Keeping Score</t>
  </si>
  <si>
    <t>Shannon, Ann</t>
  </si>
  <si>
    <t>QA13 .S53 1999</t>
  </si>
  <si>
    <t>Learning about Assessment, Learning Through Assessment</t>
  </si>
  <si>
    <t>Bryant, Deborah;Driscoll, Mark</t>
  </si>
  <si>
    <t>QA13 .D75 1998</t>
  </si>
  <si>
    <t>If Einstein Ran the Schools : Revitalizing U. S. Education</t>
  </si>
  <si>
    <t>School improvement programs-United States</t>
  </si>
  <si>
    <t>A General View of the Progress of Ethical Philosophy</t>
  </si>
  <si>
    <t>Gorgias Press, LLC</t>
  </si>
  <si>
    <t>Anonymous, Anonymous</t>
  </si>
  <si>
    <t>Analecta Gorgiana Series</t>
  </si>
  <si>
    <t>BJ71 .G464 2010</t>
  </si>
  <si>
    <t>Ethics-History.</t>
  </si>
  <si>
    <t>Teacher Preparation in South Africa : History, Policy and Future Directions</t>
  </si>
  <si>
    <t>Chisholm, Linda</t>
  </si>
  <si>
    <t>Emerald Studies in Teacher Preparation in National and Global Contexts Series</t>
  </si>
  <si>
    <t>LG405-411</t>
  </si>
  <si>
    <t>Teachers-Training of-South Africa</t>
  </si>
  <si>
    <t>Demonstrating Student Mastery with Digital Badges and Portfolios</t>
  </si>
  <si>
    <t>Niguidula, David</t>
  </si>
  <si>
    <t>Making Sense of Race in Education : Practices for Change in Difficult Times</t>
  </si>
  <si>
    <t>Heybach, Jessica A.;Fraser-Burgess, Sheron</t>
  </si>
  <si>
    <t>LC191 .M355 2020</t>
  </si>
  <si>
    <t>User Involvement in Virtual and Augmented Technologies and Games for Rehabilitation and Learning</t>
  </si>
  <si>
    <t>Newbutt, Nigel</t>
  </si>
  <si>
    <t>Journal of Enabling Technologies Series</t>
  </si>
  <si>
    <t>BD331 .U847 2019</t>
  </si>
  <si>
    <t>Virtual reality.</t>
  </si>
  <si>
    <t>Philosophy; Computer Science/IT</t>
  </si>
  <si>
    <t>Educating Librarians in the Contemporary University : An Essay on ISchools and Emancipatory Resilience in Library and Information Science</t>
  </si>
  <si>
    <t>Hansson, Joacim</t>
  </si>
  <si>
    <t>Z668 .H36 2019</t>
  </si>
  <si>
    <t>Information science-Social aspects. ; Library education-Social aspects. ; Library science-Social aspects. ; Information science-Social aspects-Europe. ; Information science-Study and teaching (Higher)-Social aspects. ; Library science-Social aspects-Europe. ; Library education-Social aspects-Europe. ; Information science-Study and teaching (Higher)-Social aspects-Europe.</t>
  </si>
  <si>
    <t>Managing Online Learning : The Life-Cycle of Successful Programs</t>
  </si>
  <si>
    <t>Vivolo, John</t>
  </si>
  <si>
    <t>LC5800 .M363 2020</t>
  </si>
  <si>
    <t>Finding Fulfillment : A Path to Reclaiming Hope and Empowerment for Educators (Apply Self-Determination Theory for Empowerment in Education)</t>
  </si>
  <si>
    <t>Noble, Robin</t>
  </si>
  <si>
    <t>LB2833.2 .N635 2020</t>
  </si>
  <si>
    <t>Residential Schools and Indigenous Peoples : From Genocide Via Education to the Possibilities for Processes of Truth, Restitution, Reconciliation, and Reclamation</t>
  </si>
  <si>
    <t>Minton, Stephen</t>
  </si>
  <si>
    <t>E97 .R475 2020</t>
  </si>
  <si>
    <t>Indians of North America-Education</t>
  </si>
  <si>
    <t>Landscapes, Edges, and Identity-Making : Narrative Examinations of Teacher Knowledge</t>
  </si>
  <si>
    <t>Ross, Vicki;Chan, Elaine</t>
  </si>
  <si>
    <t>Teaching-Methods</t>
  </si>
  <si>
    <t>Supporting Positive Behaviour in Intellectual Disabilities and Autism : Practical Strategies for Addressing Challenging Behaviour</t>
  </si>
  <si>
    <t>Osgood, Tony</t>
  </si>
  <si>
    <t>RC570 .O846 2020</t>
  </si>
  <si>
    <t>How Schools Thrive : Building a Coaching Culture for Collaborative Teams in PLCs at Work® (Effective Coaching Strategies for PLCs at Work®)</t>
  </si>
  <si>
    <t>LB1731 .M369 2020</t>
  </si>
  <si>
    <t>Practical Wisdom for Conducting Research on Service Learning : Pursuing Quality and Purpose</t>
  </si>
  <si>
    <t>LC220.5 .P699 2020</t>
  </si>
  <si>
    <t>Community and college-Research</t>
  </si>
  <si>
    <t>Personality Psychology : The Basics</t>
  </si>
  <si>
    <t>Gaines Jr., Stanley</t>
  </si>
  <si>
    <t>The Basics Series</t>
  </si>
  <si>
    <t>BF698 .G356 2020</t>
  </si>
  <si>
    <t>Personality-Textbooks.</t>
  </si>
  <si>
    <t>Infusing Technology in the K-5 Classroom : A Guide to Meeting Today’s Academic Standards</t>
  </si>
  <si>
    <t>Infusing Technology in the K-5 Classroom</t>
  </si>
  <si>
    <t>LB1028.5 .M6375 2019</t>
  </si>
  <si>
    <t>Computer-assisted instruction. ; Blended learning. ; Education, Elementary-Curricula. ; Kindergarten-Curricula. ; Educational technology.</t>
  </si>
  <si>
    <t>Trends in Assessment : Ideas, Opportunities, and Issues for Higher Education</t>
  </si>
  <si>
    <t>Hundley, Stephen P.;Kahn, Susan</t>
  </si>
  <si>
    <t>LA227.4 .T744 2019</t>
  </si>
  <si>
    <t>Essential Guides for Early Career Teachers: Assessment</t>
  </si>
  <si>
    <t>Hollis, Emma;Finch, Alys</t>
  </si>
  <si>
    <t>Essential Guides for Early Career Teachers</t>
  </si>
  <si>
    <t>LB2838 .F563 2019</t>
  </si>
  <si>
    <t>Intersections of Financial Literacy, Citizenship, and Spirituality : Examining a Forbidden Frontier of Social Education</t>
  </si>
  <si>
    <t>Lucey, Thomas A.</t>
  </si>
  <si>
    <t>303.3/2</t>
  </si>
  <si>
    <t>Social sciences-Study and teaching</t>
  </si>
  <si>
    <t>Making Learning-Centered Teaching Work : Practical Strategies for Implementation</t>
  </si>
  <si>
    <t>LB2331 .B553 2019</t>
  </si>
  <si>
    <t>College teaching. ; Student-centered learning. ; EDUCATION / Professional Development.-bisacsh ; EDUCATION / Higher.-bisacsh ; EDUCATION / Counseling / Career Development.-bisacsh</t>
  </si>
  <si>
    <t>The Multiple Identities of the Reception Teacher : Pedagogy and Purpose</t>
  </si>
  <si>
    <t>Cox, Anna;Sykes, Gillian</t>
  </si>
  <si>
    <t>LB1140.2 .M858 2016</t>
  </si>
  <si>
    <t>Targeted Teaching : Strategies for Secondary Teaching</t>
  </si>
  <si>
    <t>Baker, Tremaine;Evers, Gareth;Brock, Richard</t>
  </si>
  <si>
    <t>LB1737.A3 .B354 2017</t>
  </si>
  <si>
    <t>Just Teach! in FE : A People-Centered Approach</t>
  </si>
  <si>
    <t>Crawley, Jim</t>
  </si>
  <si>
    <t>LC1039.8.G7 .C733 2018</t>
  </si>
  <si>
    <t>Continuing education-Great Britain. ; Teaching-Great Britain.</t>
  </si>
  <si>
    <t>Nqt : The Beginning Teachers Guide to Outstanding Practice</t>
  </si>
  <si>
    <t>Jolliffe, Wendy;Waugh, David</t>
  </si>
  <si>
    <t>LB2838 .J655 2017</t>
  </si>
  <si>
    <t>Effective teaching-Great Britain.</t>
  </si>
  <si>
    <t>The Early Childhood Coaching Handbook</t>
  </si>
  <si>
    <t>Rush, Dathan D.;Shelden, M'Lisa L.</t>
  </si>
  <si>
    <t>LB1775.6 .R874 2020</t>
  </si>
  <si>
    <t>Early childhood teachers-Handbooks, manuals, etc.</t>
  </si>
  <si>
    <t>NoNonsense Rethinking Education : Whose knowledge is it anyway?</t>
  </si>
  <si>
    <t>New Internationalist</t>
  </si>
  <si>
    <t>Unwin, Adam;Yandell, John</t>
  </si>
  <si>
    <t>No-Nonsense Guides</t>
  </si>
  <si>
    <t>LB14.7 .U595 2016</t>
  </si>
  <si>
    <t>Dispelling Misconceptions about English Language Learners : Research-Based Ways to Improve Instruction</t>
  </si>
  <si>
    <t>Gottschalk, Barbara</t>
  </si>
  <si>
    <t>The Cultural Proficiency Manifesto : Finding Clarity Amidst the Noise</t>
  </si>
  <si>
    <t>LC1099.3 .L556 2017</t>
  </si>
  <si>
    <t>Cultural pluralism-United States. ; Multicultural education-United States. ; Multiculturalism-United States. ; Minorities-Education-United States.</t>
  </si>
  <si>
    <t>Teacher Voice : Amplifying Success</t>
  </si>
  <si>
    <t>Quaglia, Russell J.;Lande, Lisa L.</t>
  </si>
  <si>
    <t>LB1033.5 .Q345 2017</t>
  </si>
  <si>
    <t>Communication in education. ; Teaching.</t>
  </si>
  <si>
    <t>Teaching Evidence-Based Writing: Fiction : Texts and Lessons for Spot-On Writing about Reading</t>
  </si>
  <si>
    <t>Blauman, Leslie A.</t>
  </si>
  <si>
    <t>LB1576 .B538 2017</t>
  </si>
  <si>
    <t>Language arts (Elementary)-United States. ; English language-Composition and exercises-Study and teaching (Elementary)-United States. ; Composition (Language arts)-Study and teaching (Elementary)-United States. ; Reading comprehension-Study and teaching (Elementary)-United States. ; Critical thinking-Study and teaching (Elementary)-United States.</t>
  </si>
  <si>
    <t>Bright Ribbons: Weaving Culturally Responsive Teaching into the Elementary Classroom</t>
  </si>
  <si>
    <t>Howard, Lotus Linton</t>
  </si>
  <si>
    <t>LC1099 .H693 2017</t>
  </si>
  <si>
    <t>Multiculturalism-Study and teaching (Elementary) ; Multicultural education. ; Culturally relevant pedagogy.</t>
  </si>
  <si>
    <t>The Word Study That Sticks Companion : Classroom-Ready Tools for Teachers and Students, Grades K-6</t>
  </si>
  <si>
    <t>Koutrakos, Pamela A.</t>
  </si>
  <si>
    <t>LB1573.3 .K688 2020</t>
  </si>
  <si>
    <t>Reading-Phonetic method-Study and teaching (Elementary) ; English language-Orthography and spelling-Study and teaching (Elementary) ; Language arts (Elementary) ; Student-centered learning.</t>
  </si>
  <si>
    <t>Using Technology to Engage Students with Learning Disabilities</t>
  </si>
  <si>
    <t>Krakower, William A.;Plante, Sharon LePage</t>
  </si>
  <si>
    <t>LC4024 .K735 2016</t>
  </si>
  <si>
    <t>371.9/0433</t>
  </si>
  <si>
    <t>Special education-Technological innovations. ; Children with disabilities-Education. ; Educational technology.</t>
  </si>
  <si>
    <t>Teaching Better : Igniting and Sustaining Instructional Improvement</t>
  </si>
  <si>
    <t>Ermeling, Bradley A.;Graff-Ermeling, Genevieve J.</t>
  </si>
  <si>
    <t>LB1025.3 .E764 2016</t>
  </si>
  <si>
    <t>Effective teaching. ; Reflective teaching.</t>
  </si>
  <si>
    <t>Releasing Leadership Brilliance : Breaking Sound Barriers in Education</t>
  </si>
  <si>
    <t>Bailey, Simon T.;Reilly, Marceta F.</t>
  </si>
  <si>
    <t>LB2805 .B167 2017</t>
  </si>
  <si>
    <t>Mindful by Design : A Practical Guide for Cultivating Aware, Advancing, and Authentic Learning Experiences</t>
  </si>
  <si>
    <t>Krause, Caitlin E.</t>
  </si>
  <si>
    <t>LB1072 .K738 2019</t>
  </si>
  <si>
    <t>Passionate Leadership : Creating a Culture of Success in Every School</t>
  </si>
  <si>
    <t>Thomas-EL, Salome;Jones, Joseph M., Sr.;Vari, T. J.</t>
  </si>
  <si>
    <t>LB2805 .T495 2020</t>
  </si>
  <si>
    <t>Educational leadership-United States. ; School management and organization-United States. ; School environment-United States.</t>
  </si>
  <si>
    <t>Cultivating Communication in the Classroom : Future-Ready Skills for Secondary Students</t>
  </si>
  <si>
    <t>Johnson, Lisa Ann</t>
  </si>
  <si>
    <t>P96.M4 .J646 2017</t>
  </si>
  <si>
    <t>Media literacy-Study and teaching. ; Educational technology. ; Educational technology.-fast-(OCoLC)fst00903623 ; Media literacy-Study and teaching.-fast-(OCoLC)fst01013579</t>
  </si>
  <si>
    <t>Professional Learning Redefined : An Evidence-Based Guide</t>
  </si>
  <si>
    <t>Sawyer, Isabel;Stukey, Marisa Ramirez</t>
  </si>
  <si>
    <t>LB1731 .S299 2019</t>
  </si>
  <si>
    <t>Reaching the Heart of Leadership : Lessons Learned, Insights Gained, Actions Taken</t>
  </si>
  <si>
    <t>Glaze, Avis E.</t>
  </si>
  <si>
    <t>Corwin Impact Leadership Series</t>
  </si>
  <si>
    <t>LB2806 .G539 2017</t>
  </si>
  <si>
    <t>Educational leadership. ; Educational leadership-Moral and ethical aspects. ; Motivation in education.</t>
  </si>
  <si>
    <t>Teaching the Last Backpack Generation : A Mobile Technology Handbook for Secondary Educators</t>
  </si>
  <si>
    <t>Walker, Zachary;Rosenblatt, Kara;McMahon, Don</t>
  </si>
  <si>
    <t>LB1044.87 .W35 2016</t>
  </si>
  <si>
    <t>Educational technology. ; Mobile communication systems in education. ; Education, Secondary-Computer network resources. ; Education, Secondary-Curricula.</t>
  </si>
  <si>
    <t>Using Narrative Inquiry As a Research Method : An Introduction to Critical Event Narrative Analysis in Research, Teaching and Professional Practice</t>
  </si>
  <si>
    <t>Mertova, Patricie;Webster, Leonard</t>
  </si>
  <si>
    <t>H61.295 .M478 2020</t>
  </si>
  <si>
    <t>Ready to Learn : The FRAME Model for Optimizing Student Success (a Results-Oriented Approach for Motivating Students to Learn and Achieve Academic Success)</t>
  </si>
  <si>
    <t>Grafwallner, Peg</t>
  </si>
  <si>
    <t>LB1025.3 .G734 2020</t>
  </si>
  <si>
    <t>Effective teaching. ; Lesson planning. ; Classroom management.</t>
  </si>
  <si>
    <t>Inside Academia : Professors, Politics, and Policies</t>
  </si>
  <si>
    <t>LC2341</t>
  </si>
  <si>
    <t>Universities and colleges--United States--Administration. ; Education, Higher--Aims and objectives--United States. ; Education, Higher--Curricula--United States. ; College teachers--Tenure--United States. ; College teaching--United States.</t>
  </si>
  <si>
    <t>Divergent Paths to College : Race, Class, and Inequality in High Schools</t>
  </si>
  <si>
    <t>Holland, Megan M.</t>
  </si>
  <si>
    <t>Critical Issues in American Education Series</t>
  </si>
  <si>
    <t>Unequal Higher Education : Wealth, Status, and Student Opportunity</t>
  </si>
  <si>
    <t>Taylor, Barrett J.;Cantwell, Brendan</t>
  </si>
  <si>
    <t>Diversifying STEM : Multidisciplinary Perspectives on Race and Gender</t>
  </si>
  <si>
    <t>McGee, Ebony O.;Robinson, William H.;Baber, Lorenzo DuBois;Chapman, Robbin;Cox, Monica F.;Madden, Krystal;Pereira, Priscila;Rezvi, Sara;Trinder, Victoria F.;Martin, Danny Bernard</t>
  </si>
  <si>
    <t>Schooling, Democracy, and the Quest for Wisdom : Partnerships and the Moral Dimensions of Teaching</t>
  </si>
  <si>
    <t>Bullough, Robert V.;Rosenberg, John R.</t>
  </si>
  <si>
    <t>Digital Protest and Activism in Public Education : Reactions to Neoliberal Restructuring in Israel</t>
  </si>
  <si>
    <t>Berkovich, Izhak;Avigur-Eshel, Amit</t>
  </si>
  <si>
    <t>LG341-345</t>
  </si>
  <si>
    <t>Protest movements-Israel</t>
  </si>
  <si>
    <t>Educating Media Literacy : The Need for Critical Media Literacy in Teacher Education</t>
  </si>
  <si>
    <t>Butler, Allison T.</t>
  </si>
  <si>
    <t>LB1043 .B885 2020</t>
  </si>
  <si>
    <t>Media literacy-Study and teaching (Elementary)-United States.</t>
  </si>
  <si>
    <t>Teacher's Guide to Excellence in Every Classroom : Creating Support Systems for Student Success (Creating Support Systems to Increase Academic Achievement and Maximize Student Success)</t>
  </si>
  <si>
    <t>LB1025.3 .W565 2020</t>
  </si>
  <si>
    <t>Teacher effectiveness.</t>
  </si>
  <si>
    <t>Education and Skills Development under the CAREC Program : A Scoping Study</t>
  </si>
  <si>
    <t>LB41 .A853 2019</t>
  </si>
  <si>
    <t>The Comstocks of Cornell--The Definitive Autobiography</t>
  </si>
  <si>
    <t>Comstock, Anna Botsford;St. Clair, Karen Penders</t>
  </si>
  <si>
    <t>QL31.C65$bC66 2020</t>
  </si>
  <si>
    <t>Comstock, John Henry,-1849-1931.</t>
  </si>
  <si>
    <t>Creating the Suburban School Advantage : Race, Localism, and Inequality in an American Metropolis</t>
  </si>
  <si>
    <t>LA318.K2$bR87 2020</t>
  </si>
  <si>
    <t>Suburban schools-Missouri-Kansas City Metropolitan Area-History.</t>
  </si>
  <si>
    <t>Vouchers Within Reason : A Child-Centered Approach to Education Reform</t>
  </si>
  <si>
    <t>Dwyer, James G.</t>
  </si>
  <si>
    <t>KF4137 .D894 2002</t>
  </si>
  <si>
    <t>Educational vouchers-Law and legislation-United States. ; Educational vouchers-United States. ; School choice-United States.</t>
  </si>
  <si>
    <t>From Children's Interests to Children's Thinking : Using a Cycle of Inquiry to Plan Curriculum</t>
  </si>
  <si>
    <t>Broderick, Jane Tingle;Hong, Seong Bock</t>
  </si>
  <si>
    <t>PS509.E36$b.B763 2020</t>
  </si>
  <si>
    <t>Education-Learning Styles.</t>
  </si>
  <si>
    <t>Creativity and the Arts in Early Childhood : Supporting Young Children's Development and Wellbeing</t>
  </si>
  <si>
    <t>Churchill Dower, Ruth Churchill</t>
  </si>
  <si>
    <t>Families and Educators Together : Building Great Relationships that Support Young Children</t>
  </si>
  <si>
    <t>Koralek, Derry;Nemeth, Karen;Ramsey, Kelly</t>
  </si>
  <si>
    <t>LB1139.35.P37 .K673 2019</t>
  </si>
  <si>
    <t>Early childhood education-Parent participation-United States.</t>
  </si>
  <si>
    <t>From Survive to Thrive : A Director's Guide for Leading an Early Childhood Program</t>
  </si>
  <si>
    <t>LeeKeenan, Debbie;Ponte, Iris Chin</t>
  </si>
  <si>
    <t>Serious Fun : How Guided Play Extends Children's Learning</t>
  </si>
  <si>
    <t>Masterson, Marie L.;Bohart, Holly</t>
  </si>
  <si>
    <t>Powerful Playful Learning</t>
  </si>
  <si>
    <t>LB1137 .S475 2019</t>
  </si>
  <si>
    <t>Coaching with Powerful Interactions : A Guide for Partnering with Early Childhood Teachers</t>
  </si>
  <si>
    <t>Jablon, Judy;Dombro, Amy Laura;Johnsen, Shaun</t>
  </si>
  <si>
    <t>LB2799.2 .C633 2016</t>
  </si>
  <si>
    <t>Interaction analysis in education-Handbooks, manuals, etc. ; Child development-Handbooks, manuals, etc. ; Teacher-student relationships-Handbooks, manuals, etc.</t>
  </si>
  <si>
    <t>Příběh zapomenuté univerzity. Universita 17. listopadu (1961–1974) a její místo v československém vzdělávacím systému a společnosti</t>
  </si>
  <si>
    <t>Univerzita Karlova, Filozofická fakulta</t>
  </si>
  <si>
    <t>Marta Edith Holečková</t>
  </si>
  <si>
    <t>LB2321 .H654 2019</t>
  </si>
  <si>
    <t>Universities and colleges. ; Educational sociology.</t>
  </si>
  <si>
    <t>Kontexty vzdělávání v postmoderní situaci</t>
  </si>
  <si>
    <t>Kontexty vzdělávání v postmoderní situaci</t>
  </si>
  <si>
    <t>Jitka Lorenzová</t>
  </si>
  <si>
    <t>BD418.3 .L674 2016</t>
  </si>
  <si>
    <t>Philosophy of mind. ; Postmodern society.</t>
  </si>
  <si>
    <t>Vzdělávání dospělých mezi politikou, ekonomikou a vědou. Politika vzdělávání a učení se dospělých v éře globálního kapitalismu</t>
  </si>
  <si>
    <t>Vzdělávání dospělých mezi politikou, ekonomikou a vědou. Politika vzdělávání a učení se dospělých v éře globálního kapitalismu</t>
  </si>
  <si>
    <t>Martin Kopecký</t>
  </si>
  <si>
    <t>LC191 .K674 2013</t>
  </si>
  <si>
    <t>Expectations and Aspirations : A New Framework for Education in the Middle East and North Africa</t>
  </si>
  <si>
    <t>El-Kogali, Safaa El Tayeb;Krafft, Caroline</t>
  </si>
  <si>
    <t>LC213.22.M53 .E974 2020</t>
  </si>
  <si>
    <t>Educational equalization-Middle West. ; Educational equalization-Africa, North.</t>
  </si>
  <si>
    <t>This Is Play : Environments and Interactions That Engage Infants and Toddlers</t>
  </si>
  <si>
    <t>Luckenbill, Julia;Subramaniam, Aarti;Thompson, Janet</t>
  </si>
  <si>
    <t>LB1137$b.L835 2019</t>
  </si>
  <si>
    <t>Play. ; Education, Preschool. ; Early childhood education.</t>
  </si>
  <si>
    <t>De l'Éducation Libérale : Essai Sur la Transmission de la Culture Générale</t>
  </si>
  <si>
    <t>Richard, Louis-André</t>
  </si>
  <si>
    <t>LC1011 .D4 2019</t>
  </si>
  <si>
    <t>Didaktika Plavání : Vybrané Kapitoly</t>
  </si>
  <si>
    <t>Čechovská, Irena;Miler, Tomás;Miler, Tomás</t>
  </si>
  <si>
    <t>GV837.7 .D533 2019</t>
  </si>
  <si>
    <t>Swimming-Training.</t>
  </si>
  <si>
    <t>School Improvement Networks and Collaborative Inquiry : Fostering Systemic Change in Challenging Contexts</t>
  </si>
  <si>
    <t>Yancovic, Mauricio Pino;Torres, Alvaro González;Figueroa, Luis Ahumada;Chapman, Christopher</t>
  </si>
  <si>
    <t>LE36-38</t>
  </si>
  <si>
    <t>Teaching the World : Foundations for Online Theological Education</t>
  </si>
  <si>
    <t>B&amp;H Publishing Group</t>
  </si>
  <si>
    <t>B&amp;H Academic</t>
  </si>
  <si>
    <t>Etzel, Gabriel;Jones, Timothy Paul;Jackson, Chris;Cartwright, John</t>
  </si>
  <si>
    <t>BV4020 .J664 2017</t>
  </si>
  <si>
    <t>Theology-Study and teaching. ; Distance education.</t>
  </si>
  <si>
    <t>Loving What They Learn : Research-Based Strategies to Increase Student Engagement (Research-Based Strategies for Increasing Student Engagement and Building Self-efficacy)</t>
  </si>
  <si>
    <t>Neece, Alexander</t>
  </si>
  <si>
    <t>Motivation in education. ; Academic achievement. ; Teacher-student relationships.</t>
  </si>
  <si>
    <t>Reading and Writing Strategies for the Secondary Science Classroom in a PLC at Work® : (Literacy-Based Strategies, Tools, and Techniques for Grades 6-12 Science Teachers)</t>
  </si>
  <si>
    <t>Argentar, Daniel L.;Gillies, Katherine A. N.;Rubenstein, Maureen M.;Wise, Brian R.</t>
  </si>
  <si>
    <t>Q183.3.A1 .A744 2020</t>
  </si>
  <si>
    <t>Science-Study and teaching (Middle school)-United States. ; Science-Study and teaching (Secondary)-United States. ; Reading (Middle school)-United States. ; Reading (Secondary)-United States. ; Composition (Language arts)-Study and teaching (Middle school)-United States. ; Composition (Language arts)-Study and teaching (Secondary)-United States. ; Interdisciplinary approach in education-United States.</t>
  </si>
  <si>
    <t>Globalization and the Neoliberal Schoolhouse : Education in a World of Trouble</t>
  </si>
  <si>
    <t>Lyons, John L.</t>
  </si>
  <si>
    <t>LC191 .L966 2020</t>
  </si>
  <si>
    <t>Augmented Reality in Educational Settings</t>
  </si>
  <si>
    <t>Prodromou, Theodosia</t>
  </si>
  <si>
    <t>Virtual reality in education. ; Computer-assisted instruction.</t>
  </si>
  <si>
    <t>A Companion to Twelfth-Century Schools</t>
  </si>
  <si>
    <t>Giraud, Cédric</t>
  </si>
  <si>
    <t>Brill's Companions to the Christian Tradition Series</t>
  </si>
  <si>
    <t>Designing Effective Teaching and Significant Learning</t>
  </si>
  <si>
    <t>Fashant, Zala;Ross, Stewart;Russell, Linda;LaPlant, Karen;Jacobson, Jake;Hutchinson, Sheri;LaPlant, Karen</t>
  </si>
  <si>
    <t>LB1028.38 .F37 2020</t>
  </si>
  <si>
    <t>Instructional systems-Design.</t>
  </si>
  <si>
    <t>ITIL® 4 Foundation Revision Guide</t>
  </si>
  <si>
    <t>The Stationery Office Ltd</t>
  </si>
  <si>
    <t>TSO</t>
  </si>
  <si>
    <t>LIMITED, AXELOS</t>
  </si>
  <si>
    <t>T58.64</t>
  </si>
  <si>
    <t>ITIL (Information technology management standard)--Examinations--Study guides.</t>
  </si>
  <si>
    <t>Engineering; Business/Management; Computer Science/IT; Engineering: General</t>
  </si>
  <si>
    <t>Impact, Engagement and Doctoral Education</t>
  </si>
  <si>
    <t>Picard, Michelle;McCulloch, Alistair</t>
  </si>
  <si>
    <t>Studies in Graduate and Postdoctoral Education Series</t>
  </si>
  <si>
    <t>PS509.E36 I473 2019</t>
  </si>
  <si>
    <t>The Role of Districts and Other Agencies in Supporting School Leaders' Instructional Leadership</t>
  </si>
  <si>
    <t>Louis, Karen Seashore;Thessin, Rebecca</t>
  </si>
  <si>
    <t>HD57.7 .R654 2019</t>
  </si>
  <si>
    <t>Teacher Agency</t>
  </si>
  <si>
    <t>Godley, Amanda;Thein, Amanda Haertling;Chisholm, James S.</t>
  </si>
  <si>
    <t>English Teaching: Practice and Critique Series</t>
  </si>
  <si>
    <t>P119.3 .T433 2019</t>
  </si>
  <si>
    <t>Language policy.</t>
  </si>
  <si>
    <t>Black Immigrants in North America : Essays on Race, Immigration, Identity, Language, Hip-Hop, Pedagogy, and the Politics of Becoming Black</t>
  </si>
  <si>
    <t>Ibrahim, Awad</t>
  </si>
  <si>
    <t>JV6351 .I273 2019</t>
  </si>
  <si>
    <t>North America-Emigration and immigration-History. ; Immigrants-North America-Social conditions. ; Immigrants-North America.</t>
  </si>
  <si>
    <t>California Foundations of Education : Educational Development Within a Diverse Social History</t>
  </si>
  <si>
    <t>L124 .N645 2020</t>
  </si>
  <si>
    <t>Education-California.</t>
  </si>
  <si>
    <t>Awesome Math : Teaching Mathematics with Problem Based Learning</t>
  </si>
  <si>
    <t>Andreescu, Titu;Cordeiro, Kathy;Andreescu, Alina</t>
  </si>
  <si>
    <t>The Educational Intelligent Economy : Big Data, Artificial Intelligence, Machine Learning and the Internet of Things in Education</t>
  </si>
  <si>
    <t>Jules, Tavis D.;Salajan, Florin D.</t>
  </si>
  <si>
    <t>Artificial intelligence-Educational applications</t>
  </si>
  <si>
    <t>Special Education Transition Services for Students with Disabilities</t>
  </si>
  <si>
    <t>Students with disabilities-Services for.</t>
  </si>
  <si>
    <t>Grand Conversations, Thoughtful Responses : A Unique Approach to Literature Circles</t>
  </si>
  <si>
    <t>Brownlie, Faye;Schnellert, Leyton</t>
  </si>
  <si>
    <t>PN59 .B769 2019</t>
  </si>
  <si>
    <t>Designed to Learn : Using Design Thinking to Bring Purpose and Passion to the Classroom</t>
  </si>
  <si>
    <t>Portnoy, Lindsay</t>
  </si>
  <si>
    <t>LB3013 .P678 2020</t>
  </si>
  <si>
    <t>Understanding Giftedness : A Guide for Parents and Educators</t>
  </si>
  <si>
    <t>Zanetti, Maria Assunta;Gualdi, Gianluca;Cascianelli, Michael</t>
  </si>
  <si>
    <t>Understanding Atypical Development Series</t>
  </si>
  <si>
    <t>LC3993 .U534 2020</t>
  </si>
  <si>
    <t>Gifted children-Psychology</t>
  </si>
  <si>
    <t>Challenging Perceptions in Primary Education : Exploring Issues in Practice</t>
  </si>
  <si>
    <t>Sangster, Margaret</t>
  </si>
  <si>
    <t>LB1555 .C43 2015</t>
  </si>
  <si>
    <t>Education, Primary. ; Primary school teaching. ; Teachers-Training of.</t>
  </si>
  <si>
    <t>New Perspectives on Young Children's Moral Education : Developing Character Through a Virtue Ethics Approach</t>
  </si>
  <si>
    <t>LB1139.35.M67 .E28 2016</t>
  </si>
  <si>
    <t>Moral education (Early childhood) ; Moral education (Elementary) ; Ethics-Study and teaching (Early childhood) ; Ethics-Study and teaching (Elementary)</t>
  </si>
  <si>
    <t>Theatre in Education in Britain : Origins, Development and Influence</t>
  </si>
  <si>
    <t>Wooster, Roger;Taylor, Philip</t>
  </si>
  <si>
    <t>PN3171 .W66 2016</t>
  </si>
  <si>
    <t>792.071/041</t>
  </si>
  <si>
    <t>Drama in education-Great Britain.</t>
  </si>
  <si>
    <t>MasterClass in Geography Education : Transforming Teaching and Learning</t>
  </si>
  <si>
    <t>Butt, Graham;Brindley, Sue</t>
  </si>
  <si>
    <t>MasterClass Series</t>
  </si>
  <si>
    <t>G73 .M37 2015</t>
  </si>
  <si>
    <t>Geography-Study and teaching.</t>
  </si>
  <si>
    <t>The Three Cs of Higher Education : Competition, Collaboration and Complementarity</t>
  </si>
  <si>
    <t>Pritchard, Rosalind M. O.;O'Hara, Mark;Milsom, Clare</t>
  </si>
  <si>
    <t>LB2325 .T474 2019</t>
  </si>
  <si>
    <t>Lead from the Start : How to Succeed As the New Principal of Your School (a School Leadership Guide for New Principals and Experienced Educators)</t>
  </si>
  <si>
    <t>Reddicks, Tommy;Seymour, Tina Merriweather</t>
  </si>
  <si>
    <t>LB2831.92 .R433 2020</t>
  </si>
  <si>
    <t>Education Policy As a Roadmap for Achieving the Sustainable Development Goals : Effecting a Paradigm Shift for Peace and Prosperity Through New Partnerships</t>
  </si>
  <si>
    <t>Education and state-England-History.</t>
  </si>
  <si>
    <t>An Academy at the Court of the Tsars : Greek Scholars and Jesuit Education in Early Modern Russia</t>
  </si>
  <si>
    <t>Chrissidis, Nikolaos A.</t>
  </si>
  <si>
    <t>NIU Series in Slavic, East European, and Eurasian Studies</t>
  </si>
  <si>
    <t>LA839.5.M68 .C475 2016</t>
  </si>
  <si>
    <t>378.47/3109032</t>
  </si>
  <si>
    <t>Leichoudēs, Iōannikios,-1633-1717. ; Leichoudēs, Sōphronios,-1652-1730. ; Moskovskai︠a︡ slavi︠a︡no-greko-latinskai︠a︡ akademii︠a︡-History. ; Jesuits-Education-Russia-History-17th century. ; Education, Higher-Russia (Federation)-Moscow-History-17th century. ; Greeks-Russia (Federation)-Moscow-History-17th century.</t>
  </si>
  <si>
    <t>Re-Imagining Education</t>
  </si>
  <si>
    <t>Ian Randle Publishers</t>
  </si>
  <si>
    <t>Jennings, Zellynne;Edwards-Kerr, Deon</t>
  </si>
  <si>
    <t>LA476</t>
  </si>
  <si>
    <t>Educational change--Caribbean, English-speaking. ; Education--Study and teaching--Caribbean, English-speaking. ; Education and state--Caribbean, English-speaking.</t>
  </si>
  <si>
    <t>Becoming a Dragon : Forty Chinese Proverbs for Lifelong Learning and Classroom Study</t>
  </si>
  <si>
    <t>Berkshire Publishing Group, LLC</t>
  </si>
  <si>
    <t>Berkshire Publishing Group</t>
  </si>
  <si>
    <t>Great Barrington, MA</t>
  </si>
  <si>
    <t>Berkshire Education</t>
  </si>
  <si>
    <t>Marjolijn Kaiser;Haiwang Yuan</t>
  </si>
  <si>
    <t>PE1130.C4 Y793 2019</t>
  </si>
  <si>
    <t>English language--Study and teaching--Chinese speakers. ; Proverbs, Chinese--Translations into English. ; Chinese literature--Translations into English.</t>
  </si>
  <si>
    <t>Books Are Not Life But Then What Is?</t>
  </si>
  <si>
    <t>Marvin Mudrick</t>
  </si>
  <si>
    <t>PN710 .M757 2018</t>
  </si>
  <si>
    <t>Literature, Modern--History and criticism.</t>
  </si>
  <si>
    <t>Public Examinations Examined</t>
  </si>
  <si>
    <t>Kellaghan, Thomas;Greaney, Vincent</t>
  </si>
  <si>
    <t>LB3051 .K455 2020</t>
  </si>
  <si>
    <t>Examinations.</t>
  </si>
  <si>
    <t>Coaching Teachers in Bilingual and Dual-Language Classrooms : A Responsive Cycle for Observation and Feedback (Dual-Language Instructional Coaching for Bilingual Teachers and Classrooms)</t>
  </si>
  <si>
    <t>Guilamo, Alexandra</t>
  </si>
  <si>
    <t>LB1715 .G855 2020</t>
  </si>
  <si>
    <t>Teachers-Training of-United States.</t>
  </si>
  <si>
    <t>Vision and Action : Reinventing Schools Through Personalized Competency-Based Education (a Comprehensive Guide for Implementing Personalized Competency-Based Education)</t>
  </si>
  <si>
    <t>Reigeluth, Charles M.;Karnopp, Jennifer R.</t>
  </si>
  <si>
    <t>LC1032 .R454 2020</t>
  </si>
  <si>
    <t>Competency-based education-United States.</t>
  </si>
  <si>
    <t>Achieving Equity and Excellence : Immediate Results from the Lessons of High-Poverty, High-Success Schools (a Strategy Guide to Equitable Classroom Practices and Results for High-Poverty Schools)</t>
  </si>
  <si>
    <t>LB1062.6 .R448 2020</t>
  </si>
  <si>
    <t>Academic achievement. ; Educational accountability. ; Educational equalization.</t>
  </si>
  <si>
    <t>Connecting Through Leadership : The Promise of Precise and Effective Communication in Schools (an Educator's Guide to Improving Verbal and Written Communication Skills)</t>
  </si>
  <si>
    <t>Kullar, Jasmine K.</t>
  </si>
  <si>
    <t>LB1033.5 .K855 2020</t>
  </si>
  <si>
    <t>Team Leadership in Community Colleges</t>
  </si>
  <si>
    <t>Boggs, George R.;McPhail, Christine Johnson</t>
  </si>
  <si>
    <t>LB2328$b.T436 2020</t>
  </si>
  <si>
    <t>Community colleges-Administration</t>
  </si>
  <si>
    <t>Study Skills for Foundation Degrees</t>
  </si>
  <si>
    <t>Bedford, Dorothy;Wilson, Elizabeth</t>
  </si>
  <si>
    <t>LB2395$b.B434 2020</t>
  </si>
  <si>
    <t>Study skills-Great Britain</t>
  </si>
  <si>
    <t>The Handbook of Informal Language Learning</t>
  </si>
  <si>
    <t>Dressman, Mark;Sadler, Randall William</t>
  </si>
  <si>
    <t>Blackwell Handbooks in Linguistics Series</t>
  </si>
  <si>
    <t>Second language acquisition. ; Informal language learning. ; Non-formal education.</t>
  </si>
  <si>
    <t>A Little Book for New Bible Scholars</t>
  </si>
  <si>
    <t>Richards, E. Randolph;Dodson, Joseph R.</t>
  </si>
  <si>
    <t>Little Bks.</t>
  </si>
  <si>
    <t>Bible-Study and teaching.</t>
  </si>
  <si>
    <t>LB2806 .F855 2020</t>
  </si>
  <si>
    <t>Methods and Interdisciplinarity</t>
  </si>
  <si>
    <t>Waldeck, Roger</t>
  </si>
  <si>
    <t>Pathways to Well-Being : Helping Educators (and Others) Find Balance in a Connected World</t>
  </si>
  <si>
    <t>Brooks-Young, Susan;Armstrong, Sara</t>
  </si>
  <si>
    <t>LB1028.3 .B76 2019</t>
  </si>
  <si>
    <t>Educational technology-Psychological aspects.</t>
  </si>
  <si>
    <t>An Athletic Director's Story and the Future of College Sports in America</t>
  </si>
  <si>
    <t>Mulcahy, Robert E.;Stewart, Robert;Samerjan, John</t>
  </si>
  <si>
    <t>GV697</t>
  </si>
  <si>
    <t>Education As a Platform for Industry 4. 0 : Management and Legal Regulation</t>
  </si>
  <si>
    <t>HD31 .E383 2019</t>
  </si>
  <si>
    <t>Management.</t>
  </si>
  <si>
    <t>Creative Approaches to Researching Further, Higher and Adult Education</t>
  </si>
  <si>
    <t>Atkins, Liz</t>
  </si>
  <si>
    <t>International Journal of Housing Markets and Analysis Series</t>
  </si>
  <si>
    <t>LC5215 .C743 2019</t>
  </si>
  <si>
    <t>Share Engage Educate : SEEding Change for a Better World</t>
  </si>
  <si>
    <t>Chandra, Vinesh</t>
  </si>
  <si>
    <t>Educational technology-Developing countries. ; Educational equalization-Developing countries. ; Critical pedagogy-Developing countries.</t>
  </si>
  <si>
    <t>Harnessing the Transformative Power of Education</t>
  </si>
  <si>
    <t>Shelley, Becky;te Riele, Kitty;Brown, Natalie;Crellin, Tess</t>
  </si>
  <si>
    <t>Educational innovations.</t>
  </si>
  <si>
    <t>Empowering Students As Self-Directed Learners of Qualitative Research Methods : Transformational Practices for Instructors and Students</t>
  </si>
  <si>
    <t>Richards, Janet C.;Roth, Wolff-Michael</t>
  </si>
  <si>
    <t>Practice of Research Method Series</t>
  </si>
  <si>
    <t>Qualitative research-Methodology-Study and teaching (Graduate)</t>
  </si>
  <si>
    <t>Mathematics for Human Flourishing</t>
  </si>
  <si>
    <t>Su, Francis;Jackson, Christopher</t>
  </si>
  <si>
    <t>Mathematics-Philosophy.</t>
  </si>
  <si>
    <t>Foundations, Research, and Assessment of Fraternities and Sororities : Retrospective and Future Considerations</t>
  </si>
  <si>
    <t>Sasso, Pietro;Biddix, J. Patrick;Miranda, Mónica Lee</t>
  </si>
  <si>
    <t>LJ34$b.F686 2020</t>
  </si>
  <si>
    <t>Greek letter societies.</t>
  </si>
  <si>
    <t>Grieving As a Teacher's Curriculum : Relevant Prose and Postscripts</t>
  </si>
  <si>
    <t>Teachers-Psychology.</t>
  </si>
  <si>
    <t>Interrogating and Innovating Comparative and International Education Research</t>
  </si>
  <si>
    <t>Manion, Caroline;Anderson, Emily;Baily, Supriya;Call-Cummings, Meagan;Iyengar, Radhika;Shah, Payal P.;Witenstein, Matthew A.</t>
  </si>
  <si>
    <t>Comparative education-Research.</t>
  </si>
  <si>
    <t>Taking Social-Emotional Learning Schoolwide : The Formative Five Success Skills for Students and Staff</t>
  </si>
  <si>
    <t>LB1072$b.H647 2020</t>
  </si>
  <si>
    <t>Motion Leadership : The Skinny on Becoming Change Savvy</t>
  </si>
  <si>
    <t>LB2806$b.F855 2010</t>
  </si>
  <si>
    <t>Student Voice : The Instrument of Change</t>
  </si>
  <si>
    <t>Quaglia, Russell J.;Corso, Michael J.</t>
  </si>
  <si>
    <t>LB1117$b.Q345 2014</t>
  </si>
  <si>
    <t>Hodnocení Ve Skolní T&amp;#283;lesné Výchov&amp;#283; a Postoje &amp;#382;ák&amp;#367; K Pohybové Aktivit&amp;#283;</t>
  </si>
  <si>
    <t>Cihlář, David;Fialová, Ludmila</t>
  </si>
  <si>
    <t>LB1587.A3$b.C545 2019</t>
  </si>
  <si>
    <t>Health education (Elementary)</t>
  </si>
  <si>
    <t>Educational Dystopias : Interrogating Education Reforms from Comparative Perspectives</t>
  </si>
  <si>
    <t>Reyes, Vicente Chua;Lingard, Robert</t>
  </si>
  <si>
    <t>LC71$b.E383 2019</t>
  </si>
  <si>
    <t>Education and state. ; Educational law and legislation.</t>
  </si>
  <si>
    <t>Team up, Speak up, Fire Up! : Educators, Students, and the Community Working Together to Support English Learners</t>
  </si>
  <si>
    <t>Cohan, Audrey;Honigsfeld, Andrea;Dove, Maria G.</t>
  </si>
  <si>
    <t>PE1128.A2 .C643 2020</t>
  </si>
  <si>
    <t>Bridges Not Blockades : Transcending University Politics</t>
  </si>
  <si>
    <t>Maddox, Gayle;Diede, Martha Kalnin</t>
  </si>
  <si>
    <t>Teacher Leadership As a Term Is Used Broadly to Describe the Many Roles and Responsibilities of Good Teachers Working in 21st Century Schools. Teacher Leaders, Acting in Both Formal and Informal Roles, Are Instrumental in Doing at Least Three Things: Faci</t>
  </si>
  <si>
    <t>Education, Higher-United States.</t>
  </si>
  <si>
    <t>Supporting Fraternities and Sororities in the Contemporary Era : Advancements in Practice</t>
  </si>
  <si>
    <t>LJ141$b.S877 2020</t>
  </si>
  <si>
    <t>Bringing Forth a World : Engaged Pedagogy in the Japanese University</t>
  </si>
  <si>
    <t>Bradley, Joff P. N.;Kennedy, David</t>
  </si>
  <si>
    <t>P118.2 .B756 2020</t>
  </si>
  <si>
    <t>Second language acquisition-Study and teaching (Higher)-Japan.</t>
  </si>
  <si>
    <t>The Global Phenomenon of Family-Owned or Managed Universities</t>
  </si>
  <si>
    <t>Altbach, Philip G.;Choi, Edward;Allen, Mathew R.;de Wit, Hans</t>
  </si>
  <si>
    <t>LB2328.5 .G563 2020</t>
  </si>
  <si>
    <t>Private universities and colleges-Cross-cultural studies.</t>
  </si>
  <si>
    <t>Threshold Concepts on the Edge</t>
  </si>
  <si>
    <t>Timmermans, Julie A.;Land, Ray</t>
  </si>
  <si>
    <t>LB1062 .T474 2020</t>
  </si>
  <si>
    <t>Concept learning. ; Knowledge, Theory of. ; Interdisciplinary approach to knowledge. ; Learning, Psychology of.</t>
  </si>
  <si>
    <t>Merriam, Sharan B.;Baumgartner, Lisa M.</t>
  </si>
  <si>
    <t>Connect to Lead : Power Up Your Learning Network to Move Your School Forward</t>
  </si>
  <si>
    <t>Maslyk, Jacie</t>
  </si>
  <si>
    <t>LB1027 .M3375 2019</t>
  </si>
  <si>
    <t>Educational technology. ; Educational innovations. ; Effective teaching.</t>
  </si>
  <si>
    <t>Studies in Jewish Education : The Oral and the Textual in Jewish Tradition and Jewish Education</t>
  </si>
  <si>
    <t>Jonathan Cohen;Matt Goldish;Barry Holtz</t>
  </si>
  <si>
    <t>LA102 .O735 2019</t>
  </si>
  <si>
    <t>Jews-Education-History.</t>
  </si>
  <si>
    <t>Summing Up : Teaching and Learning in Effective Schools and PLCs at Work® (an Autobiographical Guide to School Improvement and Implementing the PLC at Work Process)</t>
  </si>
  <si>
    <t>Eaker, Robert</t>
  </si>
  <si>
    <t>LB1731 .E254 2020</t>
  </si>
  <si>
    <t>Eaker, Robert E. ; Professional learning communities-United States. ; School improvement programs-United States. ; Effective teaching-United States. ; Educators-United States-Biography.</t>
  </si>
  <si>
    <t>Thrive Online : A New Approach to Building Expertise and Confidence As an Online Educator</t>
  </si>
  <si>
    <t>Riggs, Shannon</t>
  </si>
  <si>
    <t>LB1044.87 .R544 2019</t>
  </si>
  <si>
    <t>Becoming a Globally Competent School Leader</t>
  </si>
  <si>
    <t>Tichnor-Wagner, Ariel</t>
  </si>
  <si>
    <t>LB1738.5 .T534 2020</t>
  </si>
  <si>
    <t>School administrators-Training of. ; Educational leadership. ; Education and globalization. ; International education.</t>
  </si>
  <si>
    <t>Culture, Class, and Race : Constructive Conversations That Unite and Energize Your School and Community</t>
  </si>
  <si>
    <t>CampbellJones, Brenda;Keeny, Shannon;CampbellJones, Franklin</t>
  </si>
  <si>
    <t>LC1099.3 .C367 2020</t>
  </si>
  <si>
    <t>Multicultural education-United States. ; Intercultural communication-United States. ; School environment-United States. ; Educational equalization-United States.</t>
  </si>
  <si>
    <t>Teaching for Deeper Learning : Tools to Engage Students in Meaning Making</t>
  </si>
  <si>
    <t>McTighe, Jay;Silver, Harvey F.</t>
  </si>
  <si>
    <t>LB1062 .M385 2020</t>
  </si>
  <si>
    <t>Concept learning. ; Critical thinking-Study and teaching. ; Motivation in education.</t>
  </si>
  <si>
    <t>Reading and Writing Strategies for the Secondary English Classroom in a PLC at Work® : (a Guide to Closing Literacy Achievement Gaps and Improving Student ELA Standards Skill Development)</t>
  </si>
  <si>
    <t>Argentar, Daniel M.;Gillies, Katherine A. N.;Rubenstein, Maureen M.;Wise, Brian R.</t>
  </si>
  <si>
    <t>LB1631 .A744 2020</t>
  </si>
  <si>
    <t>Language arts (Middle school)</t>
  </si>
  <si>
    <t>Teaching Tough Topics : How Do I Use Children's Literature to Build a Deeper Understanding of Social Justice, Equity and Diversity?</t>
  </si>
  <si>
    <t>LC192.2 .S937 2020</t>
  </si>
  <si>
    <t>Social justice-Study and teaching.</t>
  </si>
  <si>
    <t>Routledge Handbook of Adapted Physical Education</t>
  </si>
  <si>
    <t>Haegele, Justin;Hodge, Samuel;Shapiro, Deborah</t>
  </si>
  <si>
    <t>Routledge International Handbooks Series</t>
  </si>
  <si>
    <t>GV445 .R688 2020</t>
  </si>
  <si>
    <t>Physical education for children with disabilities-Study and teaching.</t>
  </si>
  <si>
    <t>Positive Mental Health for School Leaders</t>
  </si>
  <si>
    <t>Positive Mental Health</t>
  </si>
  <si>
    <t>LB2806 .G539 2020</t>
  </si>
  <si>
    <t>Educational leadership-Psychological aspects.</t>
  </si>
  <si>
    <t>Staying Mentally Healthy During Your Teaching Career</t>
  </si>
  <si>
    <t>Positive Mental Health Series</t>
  </si>
  <si>
    <t>LB2840.2 .S766 2020</t>
  </si>
  <si>
    <t>Computational Thinking Meets Student Learning : Extending the ISTE Standards</t>
  </si>
  <si>
    <t>Prottsman, Kiki</t>
  </si>
  <si>
    <t>QA76.27$b.P768 2018</t>
  </si>
  <si>
    <t>Computer science-Study and teaching.</t>
  </si>
  <si>
    <t>Opting Out : The Story of the Parents' Grassroots Movement to Achieve Whole-Child Public Schools</t>
  </si>
  <si>
    <t>Hursh, David;Deutermann, Jeanette;Rudley, Lisa;Chen, Zhe;McGinnis, Sarah</t>
  </si>
  <si>
    <t>LC89 .H877 2020</t>
  </si>
  <si>
    <t>371.260973 379.73</t>
  </si>
  <si>
    <t>Education and state-United States.</t>
  </si>
  <si>
    <t>Open(ing) Education : Theory and Practice</t>
  </si>
  <si>
    <t>Conrad, Dianne;Prinsloo, Paul</t>
  </si>
  <si>
    <t>Open learning.</t>
  </si>
  <si>
    <t>Clinical Partnerships in Urban Elementary School Settings : An Honest Celebration of the Messy Realities in the Preparation of Teachers</t>
  </si>
  <si>
    <t>Overstreet, Mikkaka;Norton-Meier, Lori</t>
  </si>
  <si>
    <t>Integrating 3D Printing into Teaching and Learning : Practitioners' Perspectives</t>
  </si>
  <si>
    <t>Ali, Nagla;Khine, Myint Swe</t>
  </si>
  <si>
    <t>Maker movement in education.</t>
  </si>
  <si>
    <t>Why Science and Art Creativities Matter : (Re-)Configuring STEAM for Future-Making Education</t>
  </si>
  <si>
    <t>Burnard, Pamela;Colucci-Gray, Laura</t>
  </si>
  <si>
    <t>Learning in a New Language : A Schoolwide Approach to Support K-8 Emergent Bilinguals</t>
  </si>
  <si>
    <t>Helman, Lori</t>
  </si>
  <si>
    <t>LC3731 .H45 2020</t>
  </si>
  <si>
    <t>Linguistic minorities-Education (Elementary)-United States. ; Linguistic minorities-Education (Middle school)-United States. ; Limited English-proficient students-United States. ; Language arts-Correlation with content subjects-United States. ; Second language acquisition-United States.</t>
  </si>
  <si>
    <t>The Productive Online and Offline Professor : A Practical Guide</t>
  </si>
  <si>
    <t>Stachowiak, Bonni</t>
  </si>
  <si>
    <t>Education, Higher-Web-based instruction. ; Distance education-Computer-assisted instruction. ; Educational technology. ; Communication in higher education. ; College teachers-Time management.</t>
  </si>
  <si>
    <t>Handbook of Strategies and Strategic Processing</t>
  </si>
  <si>
    <t>Dinsmore, Daniel L.;Fryer, Luke K.;Parkinson, Meghan M.</t>
  </si>
  <si>
    <t>LB1066 .H363 2020</t>
  </si>
  <si>
    <t>ITIL®4: Create, Deliver and Support</t>
  </si>
  <si>
    <t>Limited, AXELOS</t>
  </si>
  <si>
    <t>ITIL (Information technology management standard)--Examinations--Study guides. ; Information technology--Management--Examinations--Study guides. ; Information technology projects--Management--Examinations--Study guides.</t>
  </si>
  <si>
    <t>Business/Management; Engineering; Computer Science/IT; Engineering: General</t>
  </si>
  <si>
    <t>Understanding Gender and Early Childhood : An Introduction to the Key Debates</t>
  </si>
  <si>
    <t>Josephidou, Jo;Bolshaw, Polly</t>
  </si>
  <si>
    <t>LC212.9 .J674 2020</t>
  </si>
  <si>
    <t>Sex differences in education. ; Gender identity in education. ; Early childhood education-Social aspects.</t>
  </si>
  <si>
    <t>Neue Reaktionsmöglichkeiten Von Dithianylium-Salzen</t>
  </si>
  <si>
    <t>Stanek, Bettina</t>
  </si>
  <si>
    <t>Beiträge Zur Organischen Synthese Series</t>
  </si>
  <si>
    <t>RS419$b.S736 2015</t>
  </si>
  <si>
    <t>Combinatorial chemistry.</t>
  </si>
  <si>
    <t>Changing Academia Forever : Black Student Leaders Analyze the Movement They Led</t>
  </si>
  <si>
    <t>Epstein, Kitty Kelly;Stringer, Bernard</t>
  </si>
  <si>
    <t>LC2781 .E678 2020</t>
  </si>
  <si>
    <t>African American college students.</t>
  </si>
  <si>
    <t>ITIL®4: Direct, Plan and Improve</t>
  </si>
  <si>
    <t>T58.64 .A945 2020</t>
  </si>
  <si>
    <t>Information technology-Management-Examinations-Study guides. ; Information technology projects-Management-Examinations-Study guides.</t>
  </si>
  <si>
    <t>Today's Medieval University</t>
  </si>
  <si>
    <t>Arc Humanities Press</t>
  </si>
  <si>
    <t>Toswell, M. J.</t>
  </si>
  <si>
    <t>Past Imperfect Series</t>
  </si>
  <si>
    <t>Education, Higher--Philosophy. ; Medievalism.</t>
  </si>
  <si>
    <t>Learning Science : The Value of Crafting Engagement in Science Environments</t>
  </si>
  <si>
    <t>Schneider, Barbara;Krajcik, Joseph;Lavonen, Jari;Salmela-Aro, Katariina;Geller, Margaret J.</t>
  </si>
  <si>
    <t>Q181$b.S364 2020</t>
  </si>
  <si>
    <t>Science-Study and teaching (Secondary)-United States.</t>
  </si>
  <si>
    <t>Building Basic Vocabulary</t>
  </si>
  <si>
    <t>LB1576$b.M379 2018</t>
  </si>
  <si>
    <t>Professional Learning Communities at Work®and High-Reliability Schools : Cultures of Continuous Learning (Ensure a Viable and Guaranteed Curriculum)</t>
  </si>
  <si>
    <t>Eaker, Robert;Marzano, Robert J.</t>
  </si>
  <si>
    <t>LB1775 .P764 2020</t>
  </si>
  <si>
    <t>De l'&amp;eacute;ducation Lib&amp;eacute;rale : Essai Sur la Transmission de la Culture Générale</t>
  </si>
  <si>
    <t>LB2322.2$b.D4 2020</t>
  </si>
  <si>
    <t>Nurture, Care, Respect, and Trust : Transformative Pedagogy Inspired by Janusz Korczak</t>
  </si>
  <si>
    <t>Tsyrlina-Spady, Tatyana;Renn, Peter</t>
  </si>
  <si>
    <t>The Early Years and Youth Studiesseries Is a Set of Volumes Designed to Focus on the Multiple Life Experiences, Forms of Representation, Relations, Changes, and Issues Facing Those Who Are Identifies (usually by Those Who Are Older in Years) As Child or Y</t>
  </si>
  <si>
    <t>HQ789$b.N878 2020</t>
  </si>
  <si>
    <t>Children's rights.</t>
  </si>
  <si>
    <t>Acts of Resistance : Subversive Teaching in the English Language Arts Classroom</t>
  </si>
  <si>
    <t>Dyches, Jeanne;Sams, Brandon;Boyd, Ashley S.</t>
  </si>
  <si>
    <t>LB1576$b.A287 2020</t>
  </si>
  <si>
    <t>Collective Capacity Building : Shaping Education and Communication in Knowledge Society</t>
  </si>
  <si>
    <t>Sava, Simona;Borca, Claudia;Clitan, Gheorghe</t>
  </si>
  <si>
    <t>LB2326.3 .C655 2020</t>
  </si>
  <si>
    <t>Playing with Teaching : Considerations for Implementing Gaming Literacies in the Classroom</t>
  </si>
  <si>
    <t>Garcia, Antero;S Dail, Jennifer;Witte, Shelbie</t>
  </si>
  <si>
    <t>Gaming Ecologies and Pedagogies Series</t>
  </si>
  <si>
    <t>Language arts. ; Educational games. ; Video games in education.</t>
  </si>
  <si>
    <t>Powerful Writing Structures : Brain Pocket Strategies for Supporting a Year-Long Writing Program</t>
  </si>
  <si>
    <t>Mindful School Communities : The Five Cs of Nurturing Heart Centered Learning(tm) (a Heart-Centered Approach to Meeting Students' Social-emotional Needs and Fostering Academic Success)</t>
  </si>
  <si>
    <t>Mason, Christine;Rivers Murphy, Michele M.;Jackson, Yvette</t>
  </si>
  <si>
    <t>LB1072 .M369 2020</t>
  </si>
  <si>
    <t>Mindfulness (Psychology) ; Behavior modification. ; School environment. ; Affective education.</t>
  </si>
  <si>
    <t>Ambitious Instruction : Teaching with Rigor in the Secondary Classroom (a Resource Guide for Increasing Rigor in the Classroom and Complex Problem-Solving)</t>
  </si>
  <si>
    <t>Cawn, Brad</t>
  </si>
  <si>
    <t>LB1737$b.C396 2020</t>
  </si>
  <si>
    <t>High school teaching. ; Active learning. ; Classroom environment. ; School improvement programs.</t>
  </si>
  <si>
    <t>Teaching Basic, Advanced, and Academic Vocabulary</t>
  </si>
  <si>
    <t>Forces of Influence : How Educators Can Leverage Relationships to Improve Practice</t>
  </si>
  <si>
    <t>Ende, Fred;Everette, Meghan</t>
  </si>
  <si>
    <t>LB1775.2 .E534 2020</t>
  </si>
  <si>
    <t>Teachers-Professional relationships-United States. ; Educators-Professional relationships-United States. ; Educational change-United States.</t>
  </si>
  <si>
    <t>Writing Successful Undergraduate Dissertations in Social Sciences : A Student's Handbook</t>
  </si>
  <si>
    <t>Jegede, Francis;Hargreaves, Charlotte;Smith, Karen;Hodgson, Philip;Todd, Malcolm;Waldman, Julia</t>
  </si>
  <si>
    <t>NON000000</t>
  </si>
  <si>
    <t>Teaching Toward a Decolonizing Pedagogy : Critical Reflections Inside and Outside the Classroom</t>
  </si>
  <si>
    <t>Trinder, Victoria F.</t>
  </si>
  <si>
    <t>LC5131 $b.T75 2020</t>
  </si>
  <si>
    <t>Cultural Competence Now : 56 Exercises to Help Educators Understand and Challenge Bias, Racism, and Privilege</t>
  </si>
  <si>
    <t>Mayfield, Vernita</t>
  </si>
  <si>
    <t>LC1099.3 .M39 2020</t>
  </si>
  <si>
    <t>The Wiley International Handbook of Mentoring</t>
  </si>
  <si>
    <t>Irby, Beverly J.;Boswell, Jennifer N.;Searby, Linda J.;Kochan, Frances;Garza, Ruben;Abdelrahman, Nahed</t>
  </si>
  <si>
    <t>The University and Social Justice : Struggles Across the Globe</t>
  </si>
  <si>
    <t>Choudry, Aziz;Vally, Salim</t>
  </si>
  <si>
    <t>LC191.9$b.U558 2020</t>
  </si>
  <si>
    <t>Education, Higher-Social aspects.</t>
  </si>
  <si>
    <t>České menšinové školství v Československé republice : Ke každodennosti obecných škol v politickém okresu Ústí nad Labem</t>
  </si>
  <si>
    <t>Michal Šimáně</t>
  </si>
  <si>
    <t>Spisy Filozofické fakulty Masarykovy univerzity</t>
  </si>
  <si>
    <t>LA688.C95$b.S563 2019</t>
  </si>
  <si>
    <t>Education-Czechoslovakia.</t>
  </si>
  <si>
    <t>ITIL®4: Drive Stakeholder Value</t>
  </si>
  <si>
    <t>ITIL (Information technology management standard)--Examinations--Study guides. ; Information technology--Management--Examinations--Study guides.</t>
  </si>
  <si>
    <t>Engineering; Engineering: General; Business/Management; Computer Science/IT</t>
  </si>
  <si>
    <t>ITIL®4: High Velocity IT</t>
  </si>
  <si>
    <t>Engineering: General; Business/Management; Computer Science/IT; Engineering</t>
  </si>
  <si>
    <t>Research-Based Strategies to Ignite Student Learning : Insights from Neuroscience and the Classroom</t>
  </si>
  <si>
    <t>Willis, Judy;Willis, Malana</t>
  </si>
  <si>
    <t>LB1060$b.W555 2020</t>
  </si>
  <si>
    <t>Get Set, Go! : Creating Successful Grading and Reporting Systems (an Action Plan for Leading Lasting Grading Reform in Changing Classrooms)</t>
  </si>
  <si>
    <t>LB3051 .G875 2020</t>
  </si>
  <si>
    <t>Grading and marking (Students)-United States. ; School reports-United States.</t>
  </si>
  <si>
    <t>Threshold Concepts in Problem-Based Learning</t>
  </si>
  <si>
    <t>Savin-Baden, Maggi;Tombs, Gemma</t>
  </si>
  <si>
    <t>Research As Transformative Learning for Sustainable Futures : Glocal Voices and Visions</t>
  </si>
  <si>
    <t>Taylor, Peter Charles;Luitel, Bal Chandra</t>
  </si>
  <si>
    <t>Transformative learning.</t>
  </si>
  <si>
    <t>Motivating and Rewarding University Teachers to Improve Student Learning : A Guide for Faculty and Administrators</t>
  </si>
  <si>
    <t>City University of Hong Kong Press</t>
  </si>
  <si>
    <t>Woods, Ronald R.</t>
  </si>
  <si>
    <t>LB2331$b.W663 2011</t>
  </si>
  <si>
    <t>A Practical Guide to a Task-based Curriculum: Planning, Grammar Teaching and Assessment</t>
  </si>
  <si>
    <t>Lee, Icy;Ma, Anne</t>
  </si>
  <si>
    <t>PE1130.C4$b.P733 2008</t>
  </si>
  <si>
    <t>English language-Study and teaching (Secondary)-China-Hong Kong.</t>
  </si>
  <si>
    <t>Bilingual Development and Literacy Learning-East Asian and International Perspectives</t>
  </si>
  <si>
    <t>Francis, Norbert</t>
  </si>
  <si>
    <t>P115.2$b.F736 2013</t>
  </si>
  <si>
    <t>Bilingualism in children.</t>
  </si>
  <si>
    <t>The Law of Higher Education, Student Version</t>
  </si>
  <si>
    <t>Mistakes We Have Made : Implications for Social Justice Educators</t>
  </si>
  <si>
    <t>Evans-Santiago, Bre</t>
  </si>
  <si>
    <t>LC192.2$b.M578 2020</t>
  </si>
  <si>
    <t>Social justice and education.</t>
  </si>
  <si>
    <t>The Brain and Learning : Supporting Emotional Health and Wellbeing in School</t>
  </si>
  <si>
    <t>LB1060$b.W384 2020</t>
  </si>
  <si>
    <t>STEAM Power : Infusing Art Into Your STEM Curriculum</t>
  </si>
  <si>
    <t>Needles, Tim</t>
  </si>
  <si>
    <t>LB1585$b.N315 2020</t>
  </si>
  <si>
    <t>Challenge to China : How Taiwan Abolished Its Version of Re-Education Through Labor</t>
  </si>
  <si>
    <t>Jerome A. Cohen;Lewis, Margaret K.</t>
  </si>
  <si>
    <t>KNP430.5$b.C644 2013</t>
  </si>
  <si>
    <t>Disorderly conduct-Taiwan.</t>
  </si>
  <si>
    <t>Participatory Educational Research</t>
  </si>
  <si>
    <t>Rovio-Johansson, Airi</t>
  </si>
  <si>
    <t>LB1025$b.P378 2020</t>
  </si>
  <si>
    <t>Supporting Higher Education Students Through Analytics Systems</t>
  </si>
  <si>
    <t>LC191.9$b.S877 2020</t>
  </si>
  <si>
    <t>Making Grades Matter : Standards-Based Grading in a Secondary PLC at Work®(a Practical Guide for PLCs and Standards-Based Grading at the Secondary Education Level)</t>
  </si>
  <si>
    <t>Townsley, Matt;Wear, Nathan L.</t>
  </si>
  <si>
    <t>LB1607 .T696 2020</t>
  </si>
  <si>
    <t>Whole : What Teachers Need to Help Students Thrive</t>
  </si>
  <si>
    <t>Miller, Rex;Latham, Bill;Baird, Kevin;Kinder, Michelle</t>
  </si>
  <si>
    <t>Navigating the Problems and Solutions of Work-Life Balance Crisis for Nurses</t>
  </si>
  <si>
    <t>Austin Macauley Publishers</t>
  </si>
  <si>
    <t>Okechukwu, Goodie</t>
  </si>
  <si>
    <t>RT86.7$b.O343 2020</t>
  </si>
  <si>
    <t>Nurses-Workload.</t>
  </si>
  <si>
    <t>Health; Nursing; Social Science</t>
  </si>
  <si>
    <t>In Verscheidenheid Verenigd : Lessen Voor de Eenentwintigste Eeuw</t>
  </si>
  <si>
    <t>d'Hoine, Pieter;Pattyn, Bart</t>
  </si>
  <si>
    <t>Lessen Voor de Eenentwintigste Eeuw Series</t>
  </si>
  <si>
    <t>HN373$b.I5 2016</t>
  </si>
  <si>
    <t>Europe-Social conditions.</t>
  </si>
  <si>
    <t>Opinie, Feit en Oordeel : Lessen Voor de Eenentwintigste Eeuw</t>
  </si>
  <si>
    <t>Pattyn, Bart;d'Hoine, Pieter;Benhaddou, Khalid;Govers, Gerard;Kerremans, Bart;Enzlin, Paul;Meurs, Patrick;D'Hooghe, David;Adriaens, Pieter;Fresco, Louise</t>
  </si>
  <si>
    <t>BJ1421$b.O656 2018</t>
  </si>
  <si>
    <t>Truthfulness and falsehood.</t>
  </si>
  <si>
    <t>Community Work and Adult Education in Staveley, North-East Derbyshire, 1969-1972 : Retrospective Consideration, Selective Re-Presentation, and Reflective Critique</t>
  </si>
  <si>
    <t>Kirkwood, Colin</t>
  </si>
  <si>
    <t>Toward Community-Based Learning : Experiences from the U. S. A. , India, and China</t>
  </si>
  <si>
    <t>Urban Education, Cultures and Communities Series</t>
  </si>
  <si>
    <t>Handbook of Educational Psychology and Students with Special Needs</t>
  </si>
  <si>
    <t>Martin, Andrew J.;Sperling, Rayne A.;Newton, Kristie J.</t>
  </si>
  <si>
    <t>LB1051$b.H23546 2020</t>
  </si>
  <si>
    <t>Social-Emotional Leadership: A Guide for Youth Development</t>
  </si>
  <si>
    <t>Leis, Micela;Reinecke, Susan</t>
  </si>
  <si>
    <t>HD57.7$b.L457 2020</t>
  </si>
  <si>
    <t>ESL/EFL Cases: Contexts for Teacher Professional Discussions</t>
  </si>
  <si>
    <t>Ho, Belinda;Tinker Sachs, Gertrude</t>
  </si>
  <si>
    <t>LB1777.5$b.S234 2007</t>
  </si>
  <si>
    <t>Teachers-Supervision of.</t>
  </si>
  <si>
    <t>The Power of Place : Authentic Learning Through Place-Based Education</t>
  </si>
  <si>
    <t>Vander Ark, Tom;Liebtag, Emily;McClennen, Nate</t>
  </si>
  <si>
    <t>LC239 .V363 2020</t>
  </si>
  <si>
    <t>Place-based education.</t>
  </si>
  <si>
    <t>Mathematics Unit Planning in a PLC at Work®, Grades 3--5 : (a Guide to Collaborative Teaching and Mathematics Lesson Planning to Increase Student Understanding and Expected Learning Outcomes. )</t>
  </si>
  <si>
    <t>Schuhl, Sarah;Kanold, Timothy D.;Deinhart, Jennifer;Larson, Matthew R.;Toncheff, Mona</t>
  </si>
  <si>
    <t>QA135.6 .S384 2020</t>
  </si>
  <si>
    <t>Mathematics-Study and teaching (Elementary)-United States.</t>
  </si>
  <si>
    <t>Handbook of Learning from Multiple Representations and Perspectives</t>
  </si>
  <si>
    <t>Van Meter, Peggy;List, Alexandra;Lombardi, Doug;Kendeou, Panayiota</t>
  </si>
  <si>
    <t>LB1062$b.H363 2020</t>
  </si>
  <si>
    <t>I'm Listening : How Teacher-Student Relationships Improve Reading, Writing, Speaking, and Listening (Drive Student Engagement and Empower Learners Through Teacher-Student Relationships)</t>
  </si>
  <si>
    <t>Bandolpho, Beth</t>
  </si>
  <si>
    <t>LB1033 .P363 2020</t>
  </si>
  <si>
    <t>Teacher-student relationships. ; Language arts. ; Classroom environment-Psychological aspects. ; Interpersonal communication.</t>
  </si>
  <si>
    <t>Riding the Wave : Teacher Strategies for Navigating Change and Strengthening Key Relationships (Navigate Changes in Education and Achieve Professional Fulfillment by Building Strong Relationships)</t>
  </si>
  <si>
    <t>LB1025.3 .A336 2020</t>
  </si>
  <si>
    <t>Teacher-student relationships. ; Teachers-Professional relationships-United States. ; Teacher effectiveness. ; Effective teaching.</t>
  </si>
  <si>
    <t>Mind the Gap : Global Learning at Home and Abroad</t>
  </si>
  <si>
    <t>Namaste, Nina;Sturgill, Amanda</t>
  </si>
  <si>
    <t>Series on Engaged Learning and Teaching Series</t>
  </si>
  <si>
    <t>Promoting Belonging, Growth Mindset, and Resilience to Foster Student Success</t>
  </si>
  <si>
    <t>Baldwin, Amy;Bunting, Bryce;Daugherty, Doug;Lewis, Latoya;Steenbergh, Tim</t>
  </si>
  <si>
    <t>LB1060$b.B353 2020</t>
  </si>
  <si>
    <t>Student Conduct Practice : The Complete Guide for Student Affairs Professionals</t>
  </si>
  <si>
    <t>Waryold, Diane M.;Lancaster, James M.;Kibler, William L.</t>
  </si>
  <si>
    <t>LB2344 .S783 2020</t>
  </si>
  <si>
    <t>College discipline-United States. ; College students-United States-Discipline.</t>
  </si>
  <si>
    <t>Tackling Disadvantage and Underachievement in Schools : A Practical Guide for Teachers</t>
  </si>
  <si>
    <t>LC4704$b.M668 2020</t>
  </si>
  <si>
    <t>Teaching to Empower : Taking Action to Foster Student Agency, Self-Confidence, and Collaboration</t>
  </si>
  <si>
    <t>Zacarian, Debbie;Silverstone, Michael</t>
  </si>
  <si>
    <t>LB1065$b.Z333 2020</t>
  </si>
  <si>
    <t>A Brief History of Credit in UK Higher Education : Laying Siege to the Ivory Tower</t>
  </si>
  <si>
    <t>Turnbull, Wayne</t>
  </si>
  <si>
    <t>H1-99</t>
  </si>
  <si>
    <t>College credits</t>
  </si>
  <si>
    <t>Middlesex Von Jeffrey Eugenides (Lektürehilfe) : Detaillierte Zusammenfassung, Personenanalyse und Interpretation</t>
  </si>
  <si>
    <t>der Querleser, der</t>
  </si>
  <si>
    <t>Intersexuality-Fiction.</t>
  </si>
  <si>
    <t>Unendlicher Spaß Von David Foster Wallace (Lektürehilfe) : Detaillierte Zusammenfassung, Personenanalyse und Interpretation</t>
  </si>
  <si>
    <t>Science fiction.</t>
  </si>
  <si>
    <t>Whatever Happened to the Classroom Turtle? : How Animals Spark Student Engagement and a Love of Learning (Foster Hands-On Learning and Student Engagement with Class Pets and Science-based Activities)</t>
  </si>
  <si>
    <t>Barr, Brady</t>
  </si>
  <si>
    <t>Animals in education. ; Children and animals. ; Nature study.</t>
  </si>
  <si>
    <t>Die Gelben Augen der Krokodile Von Katherine Pancol (Lektürehilfe) : Detaillierte Zusammenfassung, Personenanalyse und Interpretation</t>
  </si>
  <si>
    <t>German literature.</t>
  </si>
  <si>
    <t>Der Letzte Tag Eines Verurteilten Von Victor Hugo (Lektürehilfe) : Detaillierte Zusammenfassung, Personenanalyse und Interpretation</t>
  </si>
  <si>
    <t>Hugo, Victor,-1802-1885.</t>
  </si>
  <si>
    <t>Ich Zähmte Die Wölfin Von Marguerite Yourcenar (Lektürehilfe) : Detaillierte Zusammenfassung, Personenanalyse und Interpretation</t>
  </si>
  <si>
    <t>der Querleser, der;Noiret, David</t>
  </si>
  <si>
    <t>Yourcenar, Marguerite.</t>
  </si>
  <si>
    <t>The Principal Reboot : 8 Ways to Revitalize Your School Leadership</t>
  </si>
  <si>
    <t>LB2831.9 .S393 2020</t>
  </si>
  <si>
    <t>School principals.</t>
  </si>
  <si>
    <t>The Networked School Leader : How to Improve Teaching and Student Outcomes Using Learning Networks</t>
  </si>
  <si>
    <t>The Fully Functioning University</t>
  </si>
  <si>
    <t>Bourner, Tom;Rospigliosi, Asher;Heath, Linda</t>
  </si>
  <si>
    <t>Integrating Sustainable Development into the Curriculum</t>
  </si>
  <si>
    <t>Sengupta, Enakshi;Blessinger, Patrick;Yamin, Taisir Subhi</t>
  </si>
  <si>
    <t>Education, Higher-Environmental aspects.</t>
  </si>
  <si>
    <t>Best Practices at Tier 3 [Elementary] : Intensive Interventions for Remediation, Elementary (an RTI Model Guide for Implementing Tier 3 Interventions in Primary School Classrooms)</t>
  </si>
  <si>
    <t>Rogers, Paula;Smith, W. Richard;Buffum, Austin;Mattos, Mike</t>
  </si>
  <si>
    <t>Education, Elementary-United States. ; Effective teaching-United States. ; Remedial teaching-United States.</t>
  </si>
  <si>
    <t>The Small College Imperative : Models for Sustainable Futures</t>
  </si>
  <si>
    <t>Marcy, Mary B.</t>
  </si>
  <si>
    <t>LA227.4 .M373 2020</t>
  </si>
  <si>
    <t>Professional Learning Communities and Teacher Enquiry</t>
  </si>
  <si>
    <t>Poultney, Val;Fox, Alison</t>
  </si>
  <si>
    <t>Evidence-Based Teaching for Enquiring Teachers Series</t>
  </si>
  <si>
    <t>LB1025.3 .F69 2020</t>
  </si>
  <si>
    <t>Teacher effectiveness. ; Effective teaching. ; Professional learning communities.</t>
  </si>
  <si>
    <t>Ready to Learn. Ready to Thrive : Before School, in School, and Beyond School in South Asia</t>
  </si>
  <si>
    <t>Beteille, Tara;Tognatta, Namrata;Riboud, Michelle;Nomura, Shinsaku;Ghorpade, Yashodhan</t>
  </si>
  <si>
    <t>South Asia Development Forum Series</t>
  </si>
  <si>
    <t>LA1144.5$b.B484 2020</t>
  </si>
  <si>
    <t>Education-South Asia.</t>
  </si>
  <si>
    <t>Leading Educational Systems and Schools in Times of Disruption and Exponential Change : A Call for Courage, Commitment and Collaboration</t>
  </si>
  <si>
    <t>Duignan, Patrick</t>
  </si>
  <si>
    <t>This Is Just to Say : A Collection of Creative Student-Responses</t>
  </si>
  <si>
    <t>Editions L'Harmattan</t>
  </si>
  <si>
    <t>Harmattan Hungary</t>
  </si>
  <si>
    <t>Sepsi, Eniko</t>
  </si>
  <si>
    <t>Collection Karoli Series</t>
  </si>
  <si>
    <t>PS508.C6 .T457 2016</t>
  </si>
  <si>
    <t>College students' writings.</t>
  </si>
  <si>
    <t>L'écrit, la Lecture et L'écriture : Théories et Didactiques</t>
  </si>
  <si>
    <t>Chiss, Jean-Louis</t>
  </si>
  <si>
    <t>Enfance et Langages Series</t>
  </si>
  <si>
    <t>PC2065 .C457 2012</t>
  </si>
  <si>
    <t>French language-Study and teaching.</t>
  </si>
  <si>
    <t>Littérature et éducation Comparée</t>
  </si>
  <si>
    <t>Groux, Dominique;Porcher, Louis</t>
  </si>
  <si>
    <t>Routledge Handbook of Middle East Politics</t>
  </si>
  <si>
    <t>Sadiki, Larbi</t>
  </si>
  <si>
    <t>DS61.8$b.R688 2020</t>
  </si>
  <si>
    <t>Middle East-Politics and government-1979--Study and teaching</t>
  </si>
  <si>
    <t>Fulfilling the Promise : Virginia Commonwealth University and the City of Richmond, 1968-2009</t>
  </si>
  <si>
    <t>Kneebone, John T.;Trani, Eugene P.</t>
  </si>
  <si>
    <t>LD5651.V85 .K544 2020</t>
  </si>
  <si>
    <t>Virginia Commonwealth University-History.</t>
  </si>
  <si>
    <t>Paying for College for Dummies</t>
  </si>
  <si>
    <t>Tyson, Eric</t>
  </si>
  <si>
    <t>Student aid-United States</t>
  </si>
  <si>
    <t>On Collaboration : Personal, Educational and Societal Arenas</t>
  </si>
  <si>
    <t>Andriessen, Jerry;Baker, Michael</t>
  </si>
  <si>
    <t>LB1029.T4 .A537 2020</t>
  </si>
  <si>
    <t>Joseph Beuys and the Artistic Education : Theory and Practice of an Artistic Art Education</t>
  </si>
  <si>
    <t>Buschkühle, Carl-Peter</t>
  </si>
  <si>
    <t>Artists-Germany-Biography.</t>
  </si>
  <si>
    <t>Design Thinking in Play : An Action Guide for Educators</t>
  </si>
  <si>
    <t>LB2806 .G355 2020</t>
  </si>
  <si>
    <t>Educational leadership. ; Problem solving. ; Educational change. ; School management and organization. ; Creative thinking.</t>
  </si>
  <si>
    <t>Radical Hope : A Teaching Manifesto</t>
  </si>
  <si>
    <t>Gannon, Kevin M.</t>
  </si>
  <si>
    <t>Critical pedagogy. ; Reflective teaching. ; Education, Higher-Philosophy. ; College teaching-Psychological aspects.</t>
  </si>
  <si>
    <t>In the Zone : Helping Children Rise to the Challenge of Learning</t>
  </si>
  <si>
    <t>Lansdown, Mike</t>
  </si>
  <si>
    <t>LB1060$b.L367 2020</t>
  </si>
  <si>
    <t>Schulische Mehrsprachigkeit in traditionell polyglotten Gesellschaften</t>
  </si>
  <si>
    <t>Johannes, Kramer;Willems, Aline;Thiele, Sylvia;Frings, Michael;Klump, Andre;Thiele, Sylvia;Kramer, Johannes;Fritzenkötter, Stefanie;Willems, Aline;Thiele, Sylvia</t>
  </si>
  <si>
    <t>P115 .J643 2019</t>
  </si>
  <si>
    <t>Multilingualism.</t>
  </si>
  <si>
    <t>Digital Personalization in Early Childhood : Impact on Childhood</t>
  </si>
  <si>
    <t>Kucirkova, Natalia</t>
  </si>
  <si>
    <t>LB1139.35.C64$b.K835 2017</t>
  </si>
  <si>
    <t>Early childhood education-Computer-assisted instruction.</t>
  </si>
  <si>
    <t>Meritocracy and the University : Selective Admission in England and the United States</t>
  </si>
  <si>
    <t>Mountford Zimdars, Anna</t>
  </si>
  <si>
    <t>LB2351.4.G7M68 2016</t>
  </si>
  <si>
    <t>Universities and colleges-Great Britain-Admission.</t>
  </si>
  <si>
    <t>Homo Educandus. Filosofické Základy Teorie Výchovy</t>
  </si>
  <si>
    <t>Palous, Radim;Svobodová, Zuzana</t>
  </si>
  <si>
    <t>Early Childhood Studies: Enhancing Employability and Professional Practice</t>
  </si>
  <si>
    <t>Ingleby, Ewan;Oliver, Geraldine;Winstone, Rita</t>
  </si>
  <si>
    <t>LB1732.3$b.I545 2015</t>
  </si>
  <si>
    <t>Early childhood teachers-Training of.</t>
  </si>
  <si>
    <t>99 Tips for Creating Simple and Sustainable Educational Videos : A Guide for Online Teachers and Flipped Classes</t>
  </si>
  <si>
    <t>Costa, Karen</t>
  </si>
  <si>
    <t>LB1044.75 .C678 2020</t>
  </si>
  <si>
    <t>Video tapes in education-Handbooks, manuals, etc.</t>
  </si>
  <si>
    <t>The Social Studies Teacher's Toolbox : Hundreds of Practical Ideas to Support Your Students</t>
  </si>
  <si>
    <t>Johnson, Elisabeth;Ramos, Evelyn;Ferlazzo, Larry;Hull Sypnieski, Katie</t>
  </si>
  <si>
    <t>The Teacher's Toolbox Series</t>
  </si>
  <si>
    <t>LB1584$b.S635 2020</t>
  </si>
  <si>
    <t>Social sciences-Study and teaching (Elementary)-United States</t>
  </si>
  <si>
    <t>The Science Teacher's Toolbox : Hundreds of Practical Ideas to Support Your Students</t>
  </si>
  <si>
    <t>Dale, Tara C.;White, Mandi S.;Ferlazzo, Larry;Hull Sypnieski, Katie</t>
  </si>
  <si>
    <t>Science-Study and teaching (Elementary)-United States</t>
  </si>
  <si>
    <t>Student Engagement Techniques : A Handbook for College Faculty</t>
  </si>
  <si>
    <t>The Math Teacher's Toolbox : Hundreds of Practical Ideas to Support Your Students</t>
  </si>
  <si>
    <t>Wong, Bobson;Bukalov, Larisa;Ferlazzo, Larry;Hull Sypnieski, Katie</t>
  </si>
  <si>
    <t>QA11.2 .W664 2020</t>
  </si>
  <si>
    <t>Mathematics-Study and teaching (Middle school)-Handbooks, manuals, etc</t>
  </si>
  <si>
    <t>25 Myths about Bullying and Cyberbullying</t>
  </si>
  <si>
    <t>Englander, Elizabeth K.</t>
  </si>
  <si>
    <t>Cyberbullying.</t>
  </si>
  <si>
    <t>Beste Freundinnen : Eine Freundschaft, die Hitler überdauerte</t>
  </si>
  <si>
    <t>Adler, Esther;Traupe, Dorothea</t>
  </si>
  <si>
    <t>BJ1533.F8 B478 2019</t>
  </si>
  <si>
    <t>Friendship.</t>
  </si>
  <si>
    <t>Teaching Students to Become Self-Determined Learners</t>
  </si>
  <si>
    <t>Wehmeyer, Michael;Zhao, Yong</t>
  </si>
  <si>
    <t>LB1065 .W446 2020</t>
  </si>
  <si>
    <t>The Pedagogy of Consciousness : Pathways to Education Reform for Urban Youth Culture</t>
  </si>
  <si>
    <t>Jack, Nadira</t>
  </si>
  <si>
    <t>Turning High-Poverty Schools into High-Performing Schools</t>
  </si>
  <si>
    <t>Parrett, William H.;Budge, Kathleen M.</t>
  </si>
  <si>
    <t>LC4091 .P377 2020</t>
  </si>
  <si>
    <t>Poor children-Education-United States. ; School improvement programs-United States. ; Children with social disabilities-Education-United States. ; Academic achievement-United States.</t>
  </si>
  <si>
    <t>New Directions in Theorizing Qualitative Research : Theory As Resistance</t>
  </si>
  <si>
    <t>Denzin, Norman K.;Salvo, James</t>
  </si>
  <si>
    <t>New Directions for Theorizing in Qualitative Inquiry Consists of Thematic Edited Volumes That Help Us Understand How to Put Qualitative Inquiry into Practice. the Chapters in Each Volume, from Established and Emerging Scholars, Represent New Directions fo</t>
  </si>
  <si>
    <t>H62$b.N49 2020</t>
  </si>
  <si>
    <t>Big Book of Tools for Collaborative Teams in a PLC at Work® : (an Explicitly Structured Guide for Team Learning and Implementing Collaborative PLC Strategies)</t>
  </si>
  <si>
    <t>Ferriter, William M.</t>
  </si>
  <si>
    <t>LB1029.T4$b.F47 2020</t>
  </si>
  <si>
    <t>Teaching teams. ; Teachers-In-service training. ; School improvement programs.</t>
  </si>
  <si>
    <t>Building the Resilient School : Overcoming the Effects of Poverty with a Culture of Hope (a Guide to Building Resilient Schools and Overcoming the Effects of Poverty)</t>
  </si>
  <si>
    <t>LC4091$b.B377 2020</t>
  </si>
  <si>
    <t>Poor children-Education-United States. ; Poor children-United States-Psychology. ; School improvement programs-United States.</t>
  </si>
  <si>
    <t>Collaboration for Career and Technical Education : Teamwork Beyond the Core Content Areas in a PLC at Work® (a Guide for Collaborative Teaching in Career and Technical Education)</t>
  </si>
  <si>
    <t>Custable, Wendy;Farmer, Paul C.</t>
  </si>
  <si>
    <t>LC1037.5  .C878 2020</t>
  </si>
  <si>
    <t>Career education teachers-In-service training-United States. ; Technical education teachers-Training of.</t>
  </si>
  <si>
    <t>Addressing Student Sexual Violence in Higher Education : A Good Practice Guide</t>
  </si>
  <si>
    <t>J Humphreys, Clarissa;J Towl, Graham</t>
  </si>
  <si>
    <t>Sex crimes-Prevention</t>
  </si>
  <si>
    <t>Windows on Worlds : International Collections at Indiana University</t>
  </si>
  <si>
    <t>O'Meara, Patrick;Peck, Leah K.</t>
  </si>
  <si>
    <t>Well House Bks.</t>
  </si>
  <si>
    <t>AM13.B55$b.O643 2020</t>
  </si>
  <si>
    <t>Indiana University-Art collections.</t>
  </si>
  <si>
    <t>Malaysia's Student Loan Company : Tackling the PTPTN Time Bomb</t>
  </si>
  <si>
    <t>Wan Jan, Wan Saiful</t>
  </si>
  <si>
    <t>LB2340 .W36 2020</t>
  </si>
  <si>
    <t>Student loans.</t>
  </si>
  <si>
    <t>Contextual Intelligence in School Leadership : Responding to the Dynamics of Change</t>
  </si>
  <si>
    <t>Marishane, Ramodikoe Nylon</t>
  </si>
  <si>
    <t>Educational Leadership and Leaders in Contexts Series</t>
  </si>
  <si>
    <t>The Intellectual: a Phenomenom in Multidimensional Perspectives</t>
  </si>
  <si>
    <t>Basov, Nikita;Simet, Georg;van Andel, Joroen;Mahlomaholo, Sechaba;Netshandama, Vhonani</t>
  </si>
  <si>
    <t>Cybersecurity Fundamentals : A Real-World Perspective</t>
  </si>
  <si>
    <t>Thakur, Kutub;Pathan, Al-Sakib Khan</t>
  </si>
  <si>
    <t>TK5105.59$b.T497 2020</t>
  </si>
  <si>
    <t>Computer networks-Security measures.</t>
  </si>
  <si>
    <t>Janice VanCleave's Big Book of Science Experiments</t>
  </si>
  <si>
    <t>VanCleave, Janice</t>
  </si>
  <si>
    <t>Science-Experiments-Juvenile literature.</t>
  </si>
  <si>
    <t>The Perfect Blend : A Practical Guide to Designing Student-Centered Learning Experiences</t>
  </si>
  <si>
    <t>Eaton, Michele</t>
  </si>
  <si>
    <t>LB1028.5$b.E286 2020</t>
  </si>
  <si>
    <t>A Short History of Writing Instruction : From Ancient Greece to the Modern United States</t>
  </si>
  <si>
    <t>Murphy, James J.;Thaiss, Chris</t>
  </si>
  <si>
    <t>PN181$b.S567 2020</t>
  </si>
  <si>
    <t>Authorship-Study and teaching-History.</t>
  </si>
  <si>
    <t>Moving : A Memoir of Education and Social Mobility</t>
  </si>
  <si>
    <t>Hargreaves, Andy.</t>
  </si>
  <si>
    <t>The Assistant Principal 50 : Critical Questions for Meaningful Leadership and Professional Growth</t>
  </si>
  <si>
    <t>Complex Dynamic Systems Theory and L2 Writing Development</t>
  </si>
  <si>
    <t>Fogal, Gary G.;Verspoor, Marjolijn H.</t>
  </si>
  <si>
    <t>P118.2$b.C667 2020</t>
  </si>
  <si>
    <t>Second language acquisition.</t>
  </si>
  <si>
    <t>School Leadership for Refugees' Education : Social Justice Leadership for Immigrant, Migrants and Refugees</t>
  </si>
  <si>
    <t>Arar, Khalid</t>
  </si>
  <si>
    <t>LC3715$b.A73 2020</t>
  </si>
  <si>
    <t>Refugees-Education.</t>
  </si>
  <si>
    <t>Le Programme Éthique et Culture Religieuse : Impasses et Avenir20</t>
  </si>
  <si>
    <t>Hirsch, Sivane;Jeffrey, Denis</t>
  </si>
  <si>
    <t>LC312 .P764 2020</t>
  </si>
  <si>
    <t>Moral education-Québec (Province)</t>
  </si>
  <si>
    <t>New Directions in Theorizing Qualitative Research : Performance As Resistance</t>
  </si>
  <si>
    <t>Risk : Signposting Better Choices to More Adventurous Teaching</t>
  </si>
  <si>
    <t>Gumbrell, David</t>
  </si>
  <si>
    <t>LB2840$b.G863 2020</t>
  </si>
  <si>
    <t>Conversations to Change Teaching</t>
  </si>
  <si>
    <t>Jarvis, Joy;Clark, Karen;Smith, Karen</t>
  </si>
  <si>
    <t>Critical Practice in Higher Education Series</t>
  </si>
  <si>
    <t>LB2331$b.J378 2020</t>
  </si>
  <si>
    <t>Engaging in Transnational Education</t>
  </si>
  <si>
    <t>Smith, Karen;Jarvis, Joy</t>
  </si>
  <si>
    <t>LC1095$b.S658 2020</t>
  </si>
  <si>
    <t>Transnational education.</t>
  </si>
  <si>
    <t>Co-Creating Learning and Teaching : Towards Relational Pedagogy in Higher Education</t>
  </si>
  <si>
    <t>Bovill, Catherine;Jarvis, Joy;Smith, Karen</t>
  </si>
  <si>
    <t>LB2361$b.B685 2020</t>
  </si>
  <si>
    <t>Education, Higher-Curricula.</t>
  </si>
  <si>
    <t>Professional Learning Networks : Facilitating Transformation in Diverse Contexts with Equity-Seeking Communities</t>
  </si>
  <si>
    <t>Schnellert, Leyton</t>
  </si>
  <si>
    <t>LB1775-1785</t>
  </si>
  <si>
    <t>Developing Self and Self-Concepts in Early Childhood Education and Beyond</t>
  </si>
  <si>
    <t>Raban, Bridie</t>
  </si>
  <si>
    <t>LB1139.2-1139.5</t>
  </si>
  <si>
    <t>Self in children.</t>
  </si>
  <si>
    <t>Teaching and Learning Strategies for Sustainable Development</t>
  </si>
  <si>
    <t>Mentoring Each Other : Teachers Listening, Learning, and Sharing to Create More Successful Classrooms</t>
  </si>
  <si>
    <t>Parker, Lana;Vetter, Diane</t>
  </si>
  <si>
    <t>Transforming Universities with Digital Distance Education : The Future of Formal Learning</t>
  </si>
  <si>
    <t>Nichols, Mark</t>
  </si>
  <si>
    <t>LC5803.C65$b.N534 2020</t>
  </si>
  <si>
    <t>Distance education-Computer-assisted instruction.</t>
  </si>
  <si>
    <t>Developing Growth Mindsets : Principles and Practices for Maximizing Students' Potential</t>
  </si>
  <si>
    <t>Wilson, Donna;Conyers, Marcus</t>
  </si>
  <si>
    <t>The Power of Voice in Schools : Listening, Learning, and Leading Together</t>
  </si>
  <si>
    <t>Quaglia, Russ;Fox, Kristine;Lande, Lisa;Young, Deborah</t>
  </si>
  <si>
    <t>Teachers As Architects of Learning : Twelve Constructs to Design and Configure Successful Learning Experiences, Second Edition (an Instructional Design Guide for Student-Centered Teaching Practices in 21st Century Classrooms)</t>
  </si>
  <si>
    <t>Grift, Gavin</t>
  </si>
  <si>
    <t>Personalized Principal Leadership Practices : Eight Strategies for Leading Equitable, High Achieving Schools</t>
  </si>
  <si>
    <t>V. McLaughlin, Dionne</t>
  </si>
  <si>
    <t>Individualized instruction.</t>
  </si>
  <si>
    <t>Personalised Learning for the Learning Person</t>
  </si>
  <si>
    <t>Ward, Rupert</t>
  </si>
  <si>
    <t>Creativity and the Child</t>
  </si>
  <si>
    <t>Turgeon, Wendy C.</t>
  </si>
  <si>
    <t>International Perspectives on Knowledge Integration : Theory, Research, and Good Practice in Pre-Service Teacher and Higher Education</t>
  </si>
  <si>
    <t>Lehmann, Thomas</t>
  </si>
  <si>
    <t>Negotiating Childhoods</t>
  </si>
  <si>
    <t>Hopkins, Lucy;Macleod, Mark;Turgeon, Wendy</t>
  </si>
  <si>
    <t>Social Science; Philosophy; Education</t>
  </si>
  <si>
    <t>Via Chicago</t>
  </si>
  <si>
    <t>Sumerau, J. E.</t>
  </si>
  <si>
    <t>Critical Storytelling in 2020: Issues, Elections and Beyond</t>
  </si>
  <si>
    <t>Hensley, Brandon O.;Hartlep, Nicholas D.;Novak, Julie</t>
  </si>
  <si>
    <t>Chart a New Course : A Guide to Teaching Essential Skills for Tomorrow’s World</t>
  </si>
  <si>
    <t>Dene Poth, Rachelle</t>
  </si>
  <si>
    <t>LB1028.3$b.P684 2020</t>
  </si>
  <si>
    <t>Education-Effect of technological innovations on.</t>
  </si>
  <si>
    <t>Transform Learning Through Technology : A Guide to the ISTE Standards for Coaches</t>
  </si>
  <si>
    <t>LB1028.3$b.C766 2020</t>
  </si>
  <si>
    <t>The Activist Academic : Engaged Scholarship for Resistance, Hope and Social Change</t>
  </si>
  <si>
    <t>Cann, Colette;DeMeulenaere, Eric</t>
  </si>
  <si>
    <t>LC191$b.C366 2020</t>
  </si>
  <si>
    <t>Remixed and Reimagined : Innovations in Religion, Spirituality, and (Inter)Faith in Higher Education</t>
  </si>
  <si>
    <t>Snipes, J. T.;Manson, Sable</t>
  </si>
  <si>
    <t>BV1471 .R465 2020</t>
  </si>
  <si>
    <t>The Creative PhD : Challenges, Opportunities, Reflection</t>
  </si>
  <si>
    <t>Brabazon, Tara;Lyndall-Knight, Tiffany;Hills, Natalie</t>
  </si>
  <si>
    <t>Whackademia : An Insider's Account of the Troubled University</t>
  </si>
  <si>
    <t>Hill, Richard</t>
  </si>
  <si>
    <t>LB2324$b.H555 2012</t>
  </si>
  <si>
    <t>College environment.</t>
  </si>
  <si>
    <t>Jazyky V Komunikaci Neslysících : Český Znakový Jazyk A čestina</t>
  </si>
  <si>
    <t>Macurová, Alena;Zbořilová, Radka</t>
  </si>
  <si>
    <t>Exilové Periodikum Nový život (1949-2001)</t>
  </si>
  <si>
    <t>Benáková, Marie</t>
  </si>
  <si>
    <t>Into the Sea</t>
  </si>
  <si>
    <t>Watson, Ash</t>
  </si>
  <si>
    <t>Q64 .W387 2020</t>
  </si>
  <si>
    <t>Sea anemones.</t>
  </si>
  <si>
    <t>Trauma Informed Teaching Through Play Art Narrative (PAN)</t>
  </si>
  <si>
    <t>Wallace, Karen O.;Lewis, Patrick J.</t>
  </si>
  <si>
    <t>LC4165 .W355 2020</t>
  </si>
  <si>
    <t>Mentally ill children-Education. ; Post-traumatic stress disorder in children-Treatment. ; Art therapy.</t>
  </si>
  <si>
    <t>Learning That Sticks : A Brain-Based Model for K-12 Instructional Design and Delivery</t>
  </si>
  <si>
    <t>Goodwin, Bryan;Gibson, Tonia;Rouleau, Kristin</t>
  </si>
  <si>
    <t>LB1060 .G663 2020</t>
  </si>
  <si>
    <t>Learning, Psychology of. ; Cognitive learning. ; Teaching-Psychological aspects. ; Instructional systems-Design.</t>
  </si>
  <si>
    <t>Relationships Education for Primary Schools (2020) : A Practical Toolkit for Teachers</t>
  </si>
  <si>
    <t>Glazzard, Jonathan;Stones, Samuel</t>
  </si>
  <si>
    <t>Practical Teaching</t>
  </si>
  <si>
    <t>HQ10$b.G539 2020</t>
  </si>
  <si>
    <t>Families-Study and teaching.</t>
  </si>
  <si>
    <t>University Partnerships for Sustainable Development</t>
  </si>
  <si>
    <t>Universities and colleges-Social aspects.</t>
  </si>
  <si>
    <t>Annual Review of Comparative and International Education 2019</t>
  </si>
  <si>
    <t>Corruption in Higher Education : Global Challenges and Responses</t>
  </si>
  <si>
    <t>Denisova-Schmidt, Elena</t>
  </si>
  <si>
    <t>LB3609 .C677 2020</t>
  </si>
  <si>
    <t>Cheating (Education)-Cross-cultural studies. ; Education, Higher-Corrupt practices-Cross-cultural studies.</t>
  </si>
  <si>
    <t>The Schenley Experiment : A Social History of Pittsburgh's First Public High School</t>
  </si>
  <si>
    <t>Penn State University Press</t>
  </si>
  <si>
    <t>University Park, PA</t>
  </si>
  <si>
    <t>Oresick, Jake</t>
  </si>
  <si>
    <t>Keystone Bks.</t>
  </si>
  <si>
    <t>Schenley High School (Pittsburgh, Pa.)-History.</t>
  </si>
  <si>
    <t>Civil Society and Social Responsibility in Higher Education : International Perspectives on Curriculum and Teaching Development</t>
  </si>
  <si>
    <t>Sengupta, Enakshi;Blessinger, Patrick;Mahoney, Craig</t>
  </si>
  <si>
    <t>Civil society</t>
  </si>
  <si>
    <t>Developing Teacher Leaders in Special Education : An Administrator's Guide to Building Inclusive Schools</t>
  </si>
  <si>
    <t>Maggin, Daniel M.;Tejero Hughes, Marie</t>
  </si>
  <si>
    <t>LC3981 .D484 2021</t>
  </si>
  <si>
    <t>Special education-United States-Administration. ; Special education teachers-In-service training-United States. ; Special education teachers-Professional relationships-United States. ; Teacher-administrator relationships-United States. ; Inclusive education-United States. ; Educational leadership-United States.</t>
  </si>
  <si>
    <t>EcoJustice Education : Toward Diverse, Democratic, and Sustainable Communities</t>
  </si>
  <si>
    <t>Martusewicz, Rebecca A.;Edmundson, Jeff;Lupinacci, John</t>
  </si>
  <si>
    <t>HM861 .M378 2021</t>
  </si>
  <si>
    <t>Social ecology-Study and teaching. ; Environmental education. ; Environmental ethics. ; Sustainability. ; Education-Social aspects.</t>
  </si>
  <si>
    <t>Bildungsferne : Essays und Gespräche zur Kritik der Pädagogik</t>
  </si>
  <si>
    <t>Zürich</t>
  </si>
  <si>
    <t>Reichenbach, Roland;Bossart, Rolf</t>
  </si>
  <si>
    <t>LB14.7 .R453 2020</t>
  </si>
  <si>
    <t>PLC at Work® and Your Small School : Building, Deepening, and Sustaining a Culture of Collaboration for Singletons (an Action Guide for Building an Effective PLC System in a Small School)</t>
  </si>
  <si>
    <t>Daniels, Breez Longwell</t>
  </si>
  <si>
    <t>LB1731 .D365 2020</t>
  </si>
  <si>
    <t>Professional learning communities. ; Small schools.</t>
  </si>
  <si>
    <t>Small Changes, Big Impact : Ten Strategies to Promote Student Efficacy and Lifelong Learning (a Pocket Guide to School Reform Through Research-Based Instructional Strategies)</t>
  </si>
  <si>
    <t>Reibel, Anthony R.;Thede, Matt</t>
  </si>
  <si>
    <t>LB2822.82 .R453 2020</t>
  </si>
  <si>
    <t>Curriculum change-United States. ; Academic achievement-United States. ; Effective teaching-United States. ; Active learning-United States. ; Educational evaluation-United States. ; School improvement programs-United States. ; Student-centered learning-United States.</t>
  </si>
  <si>
    <t>Access to Higher Education : Understanding Global Inequalities</t>
  </si>
  <si>
    <t>Atherton, Graeme</t>
  </si>
  <si>
    <t>Education, Higher, Social aspects</t>
  </si>
  <si>
    <t>Getting Published : Academic Publishing Success</t>
  </si>
  <si>
    <t>Wisker, Gina</t>
  </si>
  <si>
    <t>The PhD Writing Handbook</t>
  </si>
  <si>
    <t>Thomas, Desmond</t>
  </si>
  <si>
    <t>Co-Teaching That Works : Structures and Strategies for Maximizing Student Learning</t>
  </si>
  <si>
    <t>Beninghof, Anne M.</t>
  </si>
  <si>
    <t>Teaching teams</t>
  </si>
  <si>
    <t>Sport, Physical Education, and Social Justice : Religious, Sociological, Psychological, and Capability Perspectives</t>
  </si>
  <si>
    <t>Watson, Nick J.;Jarvie, Grant;Parker, Andrew</t>
  </si>
  <si>
    <t>GV706.5$b.S667 2021</t>
  </si>
  <si>
    <t>Sports-Social aspects.</t>
  </si>
  <si>
    <t>Introduction to Sustainable Development Leadership and Strategies in Higher Education</t>
  </si>
  <si>
    <t>Interactional Research into Problem-Based Learning</t>
  </si>
  <si>
    <t>Bridges, Susan M.;Imafuku, Rintaro;Green, Judith</t>
  </si>
  <si>
    <t>LB1027.42$b.I584 2020</t>
  </si>
  <si>
    <t>Problem-based learning-Research.</t>
  </si>
  <si>
    <t>Education Beyond Crisis : Challenges and Directions in a Multicultural World</t>
  </si>
  <si>
    <t>Andron, Daniela Roxana;Gruber, Gabriela</t>
  </si>
  <si>
    <t>ISATT Conference Series</t>
  </si>
  <si>
    <t>Multicultural education-Cross-cultural studies.</t>
  </si>
  <si>
    <t>Professional Development in Applied Linguistics : A Guide to Success for Graduate Students and Early Career Faculty</t>
  </si>
  <si>
    <t>Plonsky, Luke</t>
  </si>
  <si>
    <t>P129$b.P764 2020</t>
  </si>
  <si>
    <t>Applied linguistics-Study and teaching.</t>
  </si>
  <si>
    <t>Ethics in Rural Psychology : Case Studies and Guidance for Practice</t>
  </si>
  <si>
    <t>Boilen, Sara</t>
  </si>
  <si>
    <t>RA771$b.B655 2021</t>
  </si>
  <si>
    <t>Rural health services-Administration</t>
  </si>
  <si>
    <t>Assessment, Evaluation, and Accountability in Adult Education</t>
  </si>
  <si>
    <t>Hill, Lilian H.</t>
  </si>
  <si>
    <t>LC5215$b.A874 2020</t>
  </si>
  <si>
    <t>Teaching for Transfer : A Guide for Designing Learning with Real-World Application (a Guide to Instructional Strategies That Build Transferable Skills in K-12 Students)</t>
  </si>
  <si>
    <t>McDowell, Michael</t>
  </si>
  <si>
    <t>LB1059 .M336 2020</t>
  </si>
  <si>
    <t>Teaching the NAEYC Code of Ethical Conduct : A Resource Guide</t>
  </si>
  <si>
    <t>Feeney, Stephanie;Freeman, Nancy K.;Moravcik, Eva</t>
  </si>
  <si>
    <t>LB1775.6$b.F446 2020</t>
  </si>
  <si>
    <t>Early childhood teachers-Professional ethics-United States.</t>
  </si>
  <si>
    <t>John Dewey's Imaginative Vision of Teaching : Combining Theory and Practice</t>
  </si>
  <si>
    <t>Boyles, Deron</t>
  </si>
  <si>
    <t>LB14.7$b.B695 2020</t>
  </si>
  <si>
    <t>Managing ADHD in School : The Best Evidence-Based Methods for Teachers</t>
  </si>
  <si>
    <t>PESI, Inc.</t>
  </si>
  <si>
    <t>PESI</t>
  </si>
  <si>
    <t>Eau Claire, WI</t>
  </si>
  <si>
    <t>PESI Publishing &amp; Media</t>
  </si>
  <si>
    <t>Barkley, Russell</t>
  </si>
  <si>
    <t>LC4713.4 .B375 2016</t>
  </si>
  <si>
    <t>Attention-deficit-disordered children-Education-United States-Handbooks, manuals, etc.</t>
  </si>
  <si>
    <t>University-Community Partnerships for Promoting Social Responsibility in Higher Education</t>
  </si>
  <si>
    <t>Universities and colleges-Public services-Case studies. ; Community and college-Case studies.</t>
  </si>
  <si>
    <t>Using Web and Paper Questionnaires for Data-Based Decision Making : From Design to Interpretation of the Results</t>
  </si>
  <si>
    <t>Thomas, Susan J.</t>
  </si>
  <si>
    <t>HM538 .T466 2004</t>
  </si>
  <si>
    <t>300/.72/3</t>
  </si>
  <si>
    <t>Social surveys-Methodology. ; Internet questionnaires. ; Questionnaires. ; Decision making.</t>
  </si>
  <si>
    <t>Simply Stations: Independent Reading, Grades K-4</t>
  </si>
  <si>
    <t>Diller, Debbie</t>
  </si>
  <si>
    <t>LB1573 .D555 2020</t>
  </si>
  <si>
    <t>Critical Technology Issues for School Leaders</t>
  </si>
  <si>
    <t>LB1028.3 .B766 2006</t>
  </si>
  <si>
    <t>Educational technology. ; School administrators.</t>
  </si>
  <si>
    <t>Grading, Reporting, Graduating... and the Law</t>
  </si>
  <si>
    <t>Freedman, Miriam Kurtzig</t>
  </si>
  <si>
    <t>K3740 .F74 2020</t>
  </si>
  <si>
    <t>Educational law and legislation. ; Grading and marking (Students)-Law and legislation.</t>
  </si>
  <si>
    <t>Simply Stations: Listening and Speaking, Grades K-4</t>
  </si>
  <si>
    <t>LB1528 .D555 2020</t>
  </si>
  <si>
    <t>Language arts (Primary) ; Classroom learning centers. ; Group work in education.</t>
  </si>
  <si>
    <t>Cyber Kids, Cyber Bullying, Cyber Balance</t>
  </si>
  <si>
    <t>Trolley, Barbara C.;Hanel, Constance</t>
  </si>
  <si>
    <t>LB3013.3 .T765 2010</t>
  </si>
  <si>
    <t>Cyberbullying. ; Bullying in schools. ; Computer crimes. ; Internet and children.</t>
  </si>
  <si>
    <t>You Don't Need Superpowers to Be a Kid's Hero : Leading a Hero-Building School Culture</t>
  </si>
  <si>
    <t>Ziegler, Bill;Ramage, Dave</t>
  </si>
  <si>
    <t>The Kickstart Guide to Making GREAT Makerspaces</t>
  </si>
  <si>
    <t>Fleming, Laura</t>
  </si>
  <si>
    <t>Maker movement in education. ; Makerspaces.</t>
  </si>
  <si>
    <t>Social Media Wellness : Helping Tweens and Teens Thrive in an Unbalanced Digital World</t>
  </si>
  <si>
    <t>Homayoun, Ana</t>
  </si>
  <si>
    <t>HQ79.2.I5 .H663 2018</t>
  </si>
  <si>
    <t>Internet and teenagers-Psychological aspects. ; Social media-Psychological aspects.</t>
  </si>
  <si>
    <t>Read, Talk, Write : 35 Lessons That Teach Students to Analyze Fiction and Nonfiction</t>
  </si>
  <si>
    <t>Robb, Laura J.</t>
  </si>
  <si>
    <t>LB1573.7 .R633 2017</t>
  </si>
  <si>
    <t>Reading comprehension-Study and teaching (Elementary) ; Discussion-Study and teaching (Elementary) ; English language-Composition and exercises-Study and teaching (Elementary) ; Language arts (Elementary)</t>
  </si>
  <si>
    <t>Word Study That Sticks : Best Practices, K-6</t>
  </si>
  <si>
    <t>LB1573.3 .K68 2019</t>
  </si>
  <si>
    <t>Challenging Mindset : Why a Growth Mindset Makes a Difference in Learning - and What to Do When It Doesn't</t>
  </si>
  <si>
    <t>Nottingham, James A.;Larsson, Bosse</t>
  </si>
  <si>
    <t>LB1065 .N578 2019</t>
  </si>
  <si>
    <t>The Skills That Matter : Teaching Interpersonal and Intrapersonal Competencies in Any Classroom</t>
  </si>
  <si>
    <t>Noonan, Patricia M.;Erickson, Amy S. Gaumer</t>
  </si>
  <si>
    <t>Building a Curious School : Restore the Joy That Brought You to School</t>
  </si>
  <si>
    <t>LB1027.23 .G66 2020</t>
  </si>
  <si>
    <t>Text Structures from Poetry, Grades 4-12 : Lessons to Help Students Read, Analyze, and Create Poems They Will Remember</t>
  </si>
  <si>
    <t>Bernabei, Gretchen;Van Prooyen, Laura</t>
  </si>
  <si>
    <t>PN1101 .B476 2020</t>
  </si>
  <si>
    <t>School Climate : Leading with Collective Efficacy</t>
  </si>
  <si>
    <t>LC210 .D495 2018</t>
  </si>
  <si>
    <t>Intentional Interruption : Breaking down Learning Barriers to Transform Professional Practice</t>
  </si>
  <si>
    <t>Katz, Steven;Dack, Lisa Ain</t>
  </si>
  <si>
    <t>LB1731 .K389 2013</t>
  </si>
  <si>
    <t>The Taking Action Guide to Building Coherence in Schools, Districts, and Systems</t>
  </si>
  <si>
    <t>LA217.2 .F855 2016</t>
  </si>
  <si>
    <t>The Learning Challenge : How to Guide Your Students Through the Learning Pit to Achieve Deeper Understanding</t>
  </si>
  <si>
    <t>Nottingham, James A.</t>
  </si>
  <si>
    <t>LB1027.44 .N688 2017</t>
  </si>
  <si>
    <t>Challenging Learning Through Questioning : Facilitating the Process of Effective Learning</t>
  </si>
  <si>
    <t>Renton, Martin</t>
  </si>
  <si>
    <t>LB1027.44 .R468 2020</t>
  </si>
  <si>
    <t>Video in Teacher Learning : Through Their Own Eyes</t>
  </si>
  <si>
    <t>Baecher, Laura</t>
  </si>
  <si>
    <t>Answers to Essential Questions about Standards, Assessments, Grading, and Reporting</t>
  </si>
  <si>
    <t>Guskey, Thomas R.;Jung, Lee Ann</t>
  </si>
  <si>
    <t>LB3060.83 .G875 2013</t>
  </si>
  <si>
    <t>Education-Standards-United States. ; Grading and marking (Students)-United States.</t>
  </si>
  <si>
    <t>Text Complexity : Stretching Readers with Texts and Tasks</t>
  </si>
  <si>
    <t>Fisher, Douglas;Frey, Nancy;Lapp, Diane K.</t>
  </si>
  <si>
    <t>LB1573.7 .F574 2016</t>
  </si>
  <si>
    <t>The Co-Teacher&amp;prime;s Playbook : What It Takes to Make Co-Teaching Work for Everyone</t>
  </si>
  <si>
    <t>Peery, Angela</t>
  </si>
  <si>
    <t>Teaching teams-United States. ; Team learning approach in education-United States. ; Special education-Study and teaching-United States.</t>
  </si>
  <si>
    <t>The PBIS Tier Two Handbook : A Practical Approach to Implementing Targeted Interventions</t>
  </si>
  <si>
    <t>Hannigan, Jessica Djabrayan;Hannigan, John E.</t>
  </si>
  <si>
    <t>LB1060.2 .D533 2018</t>
  </si>
  <si>
    <t>Students-United States-Psychology. ; School children-United States-Discipline. ; School psychology-United States. ; School management and organization-United States. ; Behavior modification-United States.</t>
  </si>
  <si>
    <t>Blogs, Wikis, Podcasts, and Other Powerful Web Tools for Classrooms</t>
  </si>
  <si>
    <t>Richardson, Willard H.</t>
  </si>
  <si>
    <t>LB1044.87 .R534 2010</t>
  </si>
  <si>
    <t>Educational Web sites. ; Internet in education. ; Teaching-Aids and devices.</t>
  </si>
  <si>
    <t>Leading Collaborative Learning : Empowering Excellence</t>
  </si>
  <si>
    <t>Sharratt, Lyn D.;Planche, Beate M.</t>
  </si>
  <si>
    <t>LB1032 .S537 2016</t>
  </si>
  <si>
    <t>Team learning approach in education. ; Learning, Psychology of. ; Group work in education.</t>
  </si>
  <si>
    <t>The Reflection Guide to Better Conversations : Coaching Ourselves and Each Other to Be More Credible, Caring, and Connected</t>
  </si>
  <si>
    <t>Knight, Jim;Ryschon Knight, Jennifer;Carlson, Clinton</t>
  </si>
  <si>
    <t>20160101 Series</t>
  </si>
  <si>
    <t>05 College/higher education</t>
  </si>
  <si>
    <t>LB1033.5 .K55 2015</t>
  </si>
  <si>
    <t>Communication in education. ; Conversation-Problems, exercises, etc.</t>
  </si>
  <si>
    <t>The Wonder Wall : Leading Creative Schools and Organizations in an Age of Complexity</t>
  </si>
  <si>
    <t>Gamwell, Peter;Daly, Jane</t>
  </si>
  <si>
    <t>LB2806 .G369 2018</t>
  </si>
  <si>
    <t>Creative thinking. ; Educational leadership. ; Organizational change.</t>
  </si>
  <si>
    <t>Evoking Greatness : Coaching to Bring Out the Best in Educational Leaders</t>
  </si>
  <si>
    <t>Tschannen-Moran, Megan;Tschannen-Moran, Robert K.</t>
  </si>
  <si>
    <t>LB2806 .T734 2018</t>
  </si>
  <si>
    <t>Educational leadership. ; School management and organization. ; School administrators-In-service training.</t>
  </si>
  <si>
    <t>System Recall : Leading for Equity and Excellence in Education</t>
  </si>
  <si>
    <t>LC213 .H377 2020</t>
  </si>
  <si>
    <t>Creating Thinking Classrooms : Leading Educational Change for This Century</t>
  </si>
  <si>
    <t>Gini-Newman, Garfield;Case, Roland</t>
  </si>
  <si>
    <t>LB1062 .G565 2018</t>
  </si>
  <si>
    <t>Thought and thinking-Study and teaching. ; Creative thinking-Study and teaching. ; Educational change.</t>
  </si>
  <si>
    <t>Learning Challenge Lessons, Elementary : 20 Lessons to Guide Young Learners Through the Learning Pit</t>
  </si>
  <si>
    <t>Nottingham, Jill;Nottingham, James A.;Bollom, Mark;Nugent, JoAnne;Pringle, Lorna</t>
  </si>
  <si>
    <t>LB1592 .N688 2018</t>
  </si>
  <si>
    <t>Education, Elementary-Activity programs. ; Motivation in education.</t>
  </si>
  <si>
    <t>Thrive : How Schools Will Win the Education Revolution</t>
  </si>
  <si>
    <t>LA217.2 .L534 2020</t>
  </si>
  <si>
    <t>School improvement programs-United States. ; Educational leadership-United States. ; Educational change-United States.</t>
  </si>
  <si>
    <t>The School in the Cloud : The Emerging Future of Learning</t>
  </si>
  <si>
    <t>Mitra, Sugata</t>
  </si>
  <si>
    <t>LB1027.23 .M587 2020</t>
  </si>
  <si>
    <t>Student-centered learning. ; Internet in education. ; Educational technology. ; Computers and children.</t>
  </si>
  <si>
    <t>Collaborative Professionalism : When Teaching Together Means Learning for All</t>
  </si>
  <si>
    <t>Hargreaves, Andy.;O′Connor, Michael T.</t>
  </si>
  <si>
    <t>LB1731 .H374 2018</t>
  </si>
  <si>
    <t>Teachers-Professional relationships-Cross-cultural studies. ; Teachers-In-service training-Cross-cultural studies. ; Professional learning communities-Cross-cultural studies.</t>
  </si>
  <si>
    <t>Diving Deep into Nonfiction, Grades 6-12 : Transferable Tools for Reading ANY Nonfiction Text</t>
  </si>
  <si>
    <t>Wilhelm, Jeffrey D.;Smith, Michael W.</t>
  </si>
  <si>
    <t>LB1632 .W554 2017</t>
  </si>
  <si>
    <t>Reading (Secondary) ; Content area reading-Study and teaching (Secondary) ; Reading comprehension-Study and teaching (Secondary)</t>
  </si>
  <si>
    <t>50+ Tech Tools for School Counselors : How to Be More Engaging, Efficient, and Effective</t>
  </si>
  <si>
    <t>Cleveland, Angela;Sharp, Stephen</t>
  </si>
  <si>
    <t>LB1027.6 .C548 2019</t>
  </si>
  <si>
    <t>Educational counseling-Technological innovations. ; Internet in education. ; Educational technology.</t>
  </si>
  <si>
    <t>Blended Learning in Grades 4-12 : Leveraging the Power of Technology to Create Student-Centered Classrooms</t>
  </si>
  <si>
    <t>LB1027.23 .T835 2012</t>
  </si>
  <si>
    <t>Student-centered learning. ; Blended learning.</t>
  </si>
  <si>
    <t>Nine Professional Conversations to Change Our Schools : A Dashboard of Options</t>
  </si>
  <si>
    <t>Sommers, William A.;Zimmerman, Diane P.</t>
  </si>
  <si>
    <t>LB1775.2 .S666 2018</t>
  </si>
  <si>
    <t>Communication in education-United States. ; Educational change-United States. ; Teachers-Professional relationships-United States.</t>
  </si>
  <si>
    <t>Vocabulary Is Comprehension : Getting to the Root of Text Complexity</t>
  </si>
  <si>
    <t>LB1574.5 .R633 2014</t>
  </si>
  <si>
    <t>Thinking Through Project-Based Learning : Guiding Deeper Inquiry</t>
  </si>
  <si>
    <t>Krauss, Jane;Boss, Suzie</t>
  </si>
  <si>
    <t>LB1027.43 .K738 2013</t>
  </si>
  <si>
    <t>Project method in teaching. ; Inquiry-based learning.</t>
  </si>
  <si>
    <t>Grading for Impact : Raising Student Achievement Through a Target-Based Assessment and Learning System</t>
  </si>
  <si>
    <t>Hierck, Tom;Larson, Garth L.</t>
  </si>
  <si>
    <t>LB3051 .H457 2018</t>
  </si>
  <si>
    <t>Academic achievement-United States. ; Educational tests and measurements-United States.</t>
  </si>
  <si>
    <t>Shouting Won&amp;prime;t Grow Dendrites : 20 Techniques to Detour Around the Danger Zones</t>
  </si>
  <si>
    <t>Tate, Marcia L.</t>
  </si>
  <si>
    <t>LB3013 .T384 2014</t>
  </si>
  <si>
    <t>Teaching-United States-Problems, exercises, etc. ; Classroom management-United States-Problems, exercises, etc.</t>
  </si>
  <si>
    <t>Challenging Learning Through Dialogue : Strategies to Engage Your Students and Develop Their Language of Learning</t>
  </si>
  <si>
    <t>Nottingham, James A.;Nottingham, Jill;Renton, Martin</t>
  </si>
  <si>
    <t>Communication in education. ; Questioning. ; Teacher-student relationships.</t>
  </si>
  <si>
    <t>STEM-Infusing the Elementary Classroom</t>
  </si>
  <si>
    <t>Reagan, Miranda Talley</t>
  </si>
  <si>
    <t>LB1592 .R434 2016</t>
  </si>
  <si>
    <t>Science-Study and teaching (Elementary) ; Mathematics-Study and teaching (Elementary) ; Education, Elementary-Activity programs. ; Interdisciplinary approach in education.</t>
  </si>
  <si>
    <t>Project-Based Learning : Differentiating Instruction for the 21st Century</t>
  </si>
  <si>
    <t>LB1139.35.P8 .B463 2012</t>
  </si>
  <si>
    <t>Individualized instruction. ; Project method in teaching.</t>
  </si>
  <si>
    <t>Opening Doors : An Implementation Template for Cultural Proficiency</t>
  </si>
  <si>
    <t>Arriaga, Trudy Tuttle;Lindsey, Randall B.</t>
  </si>
  <si>
    <t>379.2/60979492</t>
  </si>
  <si>
    <t>Poor-Education-California-Ventura. ; Minorities-Education-California-Ventura. ; School improvement programs-California-Ventura. ; Multicultural education-California-Ventura. ; Educational equalization-California-Ventura.</t>
  </si>
  <si>
    <t>FinnishED Leadership : Four Big, Inexpensive Ideas to Transform Education</t>
  </si>
  <si>
    <t>Sahlberg, Pasi.</t>
  </si>
  <si>
    <t>LA1013.7 .S245 2018</t>
  </si>
  <si>
    <t>Education-Finland-Data processing. ; Education-Aims and objectives-Finland. ; School recess breaks-Finland. ; Educational equalization-Finland. ; Educational change-Finland.</t>
  </si>
  <si>
    <t>The Big Book of Literacy Tasks, Grades K-8 : 75 Balanced Literacy Activities Students Do (Not You!)</t>
  </si>
  <si>
    <t>Akhavan, Nancy</t>
  </si>
  <si>
    <t>LB1576 .A343 2018</t>
  </si>
  <si>
    <t>Literacy-Study and teaching (Middle school) ; Literacy-Study and teaching (Elementary) ; Language arts (Middle school) ; Language arts (Elementary)</t>
  </si>
  <si>
    <t>Shifting : How School Leaders Can Create a Culture of Change</t>
  </si>
  <si>
    <t>Richert, Kirsten;Ikler, Jeffrey;Zacchei, Margaret</t>
  </si>
  <si>
    <t>LB2806 .I354 2020</t>
  </si>
  <si>
    <t>Coach It Further : Using the Art of Coaching to Improve School Leadership</t>
  </si>
  <si>
    <t>LB2805 .D495 2019</t>
  </si>
  <si>
    <t>School management and organization. ; School environment. ; Mentoring in education. ; Educational leadership. ; Communication in education.</t>
  </si>
  <si>
    <t>The Lead Learner : Improving Clarity, Coherence, and Capacity for All</t>
  </si>
  <si>
    <t>LB2805 .M336 2018</t>
  </si>
  <si>
    <t>Educational leadership-Philosophy.</t>
  </si>
  <si>
    <t>Learning Challenge Lessons, Secondary English Language Arts : 20 Lessons to Guide Students Through the Learning Pit</t>
  </si>
  <si>
    <t>LB1631 .N688 2019</t>
  </si>
  <si>
    <t>Curriculum planning. ; Language arts (Secondary)-Activity programs. ; Reading comprehension-Study and teaching (Secondary)-Activity programs.</t>
  </si>
  <si>
    <t>Text Structures from Fairy Tales : Truisms That Help Students Write about Abstract Concepts ... and Live Happily Ever after, Grades 4-12</t>
  </si>
  <si>
    <t>Bernabei, Gretchen;Reimer, Judith A.</t>
  </si>
  <si>
    <t>LB1576 .B476 2019</t>
  </si>
  <si>
    <t>English language-Composition and exercises-Study and teaching (Secondary)-Activity programs. ; English language-Composition and exercises-Study and teaching (Elementary)-Activity programs. ; Nursery rhymes-Study and teaching (Secondary)-Activity programs. ; Nursery rhymes-Study and teaching (Elementary)-Activity programs. ; Composition (Language arts)-Study and teaching (Secondary)-Activity programs. ; Composition (Language arts)-Study and teaching (Elementary)-Activity programs.</t>
  </si>
  <si>
    <t>The K-3 Guide to Academic Conversations : Practices, Scaffolds, and Activities</t>
  </si>
  <si>
    <t>Zwiers, Jeff;Hamerla, Sara R.</t>
  </si>
  <si>
    <t>LB1033.5 .Z854 2018</t>
  </si>
  <si>
    <t>Communication in education. ; Elementary school teaching. ; Interaction analysis in education. ; Teacher-student relationships.</t>
  </si>
  <si>
    <t>The Leader&amp;prime;s Guide to Coaching in Schools : Creating Conditions for Effective Learning</t>
  </si>
  <si>
    <t>Campbell, John;van Nieuwerburgh, Christian</t>
  </si>
  <si>
    <t>LB2806 .C367 2018</t>
  </si>
  <si>
    <t>School management and organization. ; School administrators. ; Mentoring in education. ; Educational leadership.</t>
  </si>
  <si>
    <t>Think Like Socrates : Using Questions to Invite Wonder and Empathy into the Classroom, Grades 4-12</t>
  </si>
  <si>
    <t>Peeples, Shanna</t>
  </si>
  <si>
    <t>LB1027.44 .P447 2018</t>
  </si>
  <si>
    <t>Children with social disabilities-Education. ; Questioning. ; Inquiry-based learning. ; Classroom environment.</t>
  </si>
  <si>
    <t>Project-Based Learning Across the Disciplines : Plan, Manage, and Assess Through +1 Pedagogy</t>
  </si>
  <si>
    <t>Warren, Acacia M.</t>
  </si>
  <si>
    <t>LB1027.43 .W377 2016</t>
  </si>
  <si>
    <t>Interdisciplinary approach in education. ; Project method in teaching.</t>
  </si>
  <si>
    <t>RTI Strategies for Secondary Teachers</t>
  </si>
  <si>
    <t>Fitzell, Susan A. Gingras</t>
  </si>
  <si>
    <t>LB1050.5 .F589 2011</t>
  </si>
  <si>
    <t>The Astonishing Power of Storytelling : Leading, Teaching, and Transforming in a New Way</t>
  </si>
  <si>
    <t>Garmston, Robert John</t>
  </si>
  <si>
    <t>LB1033.5 .G376 2018</t>
  </si>
  <si>
    <t>Communication in education. ; Persuasion (Rhetoric) ; Public speaking. ; Educational leadership.</t>
  </si>
  <si>
    <t>Common Core for the Not-So-Common Learner, Grades K-5 : English Language Arts Strategies</t>
  </si>
  <si>
    <t>Dove, Maria G.;Honigsfeld, Andrea</t>
  </si>
  <si>
    <t>LB1576 .D684 2013</t>
  </si>
  <si>
    <t>Writers Read Better: Nonfiction : 50+ Paired Lessons That Turn Writing Craft Work into Powerful Genre Reading</t>
  </si>
  <si>
    <t>Cruz, M. Colleen</t>
  </si>
  <si>
    <t>LB1631 .C78 2019</t>
  </si>
  <si>
    <t>Language arts (Secondary) ; English language-Composition and exercises-Study and teaching (Secondary) ; Reading (Secondary)</t>
  </si>
  <si>
    <t>The Power of Assessment for Learning : Twenty Years of Research and Practice in UK and US Classrooms</t>
  </si>
  <si>
    <t>Heritage, Margaret;Harrison, Christine Ann</t>
  </si>
  <si>
    <t>LB3051 .H475 2020</t>
  </si>
  <si>
    <t>Effective teaching-United States. ; Effective teaching-Great Britain. ; Educational tests and measurements-United States. ; Educational tests and measurements-Great Britain. ; Educational evaluation-United States. ; Educational evaluation-Great Britain.</t>
  </si>
  <si>
    <t>What Are You Grouping for?, Grades 3-8 : How to Guide Small Groups Based on Readers - Not the Book</t>
  </si>
  <si>
    <t>Wright, Julie T.;Hoonan, Barry Thomas</t>
  </si>
  <si>
    <t>LC6631 .W754 2019</t>
  </si>
  <si>
    <t>Group reading. ; Reading (Elementary) ; Reading (Middle school)</t>
  </si>
  <si>
    <t>Inquire Within : Implementing Inquiry- and Argument-Based Science Standards in Grades 3-8</t>
  </si>
  <si>
    <t>LB1585.3 .L549 2014</t>
  </si>
  <si>
    <t>Science-Study and teaching-Standards-United States. ; Inquiry (Theory of knowledge)</t>
  </si>
  <si>
    <t>95 Strategies for Remodeling Instruction : Ideas for Incorporating CCSS</t>
  </si>
  <si>
    <t>Pinto, Laura E.;Spares, Stephanie;Driscoll, Laura M.</t>
  </si>
  <si>
    <t>LB1570 .P568 2012</t>
  </si>
  <si>
    <t>Effective teaching-United States. ; Education-Curricula-Standards-United States-States.</t>
  </si>
  <si>
    <t>The Transformative Power of Collaborative Inquiry : Realizing Change in Schools and Classrooms</t>
  </si>
  <si>
    <t>Donohoo, Jenni Anne Marie;Velasco, Moses</t>
  </si>
  <si>
    <t>Teachers-Professional relationships-United States. ; School improvement programs-United States. ; Professional learning communities-United States. ; Educational leadership-United States. ; Educational change-United States.</t>
  </si>
  <si>
    <t>The Devil Is in the Details : System Solutions for Equity, Excellence, and Student Well-Being</t>
  </si>
  <si>
    <t>Fullan, Michael;Gallagher, Mary Jean</t>
  </si>
  <si>
    <t>Collaborative Inquiry for Educators : A Facilitator&amp;prime;s Guide to School Improvement</t>
  </si>
  <si>
    <t>Donohoo, Jenni Anne Marie</t>
  </si>
  <si>
    <t>LB1731 .D666 2014</t>
  </si>
  <si>
    <t>Team learning approach in education-United States. ; School improvement programs-United States. ; Group work in education-United States. ; Educational evaluation-United States. ; Reflective teaching. ; Professional learning communities.</t>
  </si>
  <si>
    <t>Refugees and Higher Education : Trans-National Perspectives on Access, Equity, and Internationalization</t>
  </si>
  <si>
    <t>Unangst, Lisa;Ergin, Hakan;Khajarian, Araz;DeLaquil, Tessa;de Wit, Hans</t>
  </si>
  <si>
    <t>LC3727 .R44 2020</t>
  </si>
  <si>
    <t>Refugees-Education (Higher) ; Refugees-Education (Higher)-Cross-cultural studies.</t>
  </si>
  <si>
    <t>Simply Stations: Partner Reading, Grades K-4</t>
  </si>
  <si>
    <t>LB1573 .D555 2021</t>
  </si>
  <si>
    <t>Education, Primary-Activity programs. ; Children-Books and reading. ; Reading (Elementary) ; Group work in education. ; Classroom learning centers.</t>
  </si>
  <si>
    <t>Hands-On Science and Technology for Ontario, Grade 1 : An Inquiry Approach</t>
  </si>
  <si>
    <t>Lawson, Jennifer E.</t>
  </si>
  <si>
    <t>Hands-On Science and Technology for Ontario Series</t>
  </si>
  <si>
    <t>LB1532 .H363 2017</t>
  </si>
  <si>
    <t>Science-Study and teaching (Primary)-Activity programs. ; Technology-Study and teaching (Primary)-Activity programs.</t>
  </si>
  <si>
    <t>From Behaving to Belonging : The Inclusive Art of Supporting Students Who Challenge Us</t>
  </si>
  <si>
    <t>Causton, Julie;MacLeod, Kate</t>
  </si>
  <si>
    <t>LC1200 .C387 2020</t>
  </si>
  <si>
    <t>Addressing Challenging Behavior in Young Children: the Leader's Role</t>
  </si>
  <si>
    <t>Kaiser, Barbara;Rasminsky, Judy Sklar</t>
  </si>
  <si>
    <t>LB2806 .K357 2021</t>
  </si>
  <si>
    <t>Teacher-principal relationships. ; Educational leadership. ; Teacher-administrator relationships.</t>
  </si>
  <si>
    <t>Storybook Manual : An Introduction to Working with Storybooks Therapeutically and Creatively</t>
  </si>
  <si>
    <t>Jones, Pia;Pimenta, Sarah</t>
  </si>
  <si>
    <t>Therapeutic Fairy Tales Series</t>
  </si>
  <si>
    <t>RC489.S74$b.J664 2021</t>
  </si>
  <si>
    <t>Narrative therapy.</t>
  </si>
  <si>
    <t>Taking Flight : Making Your Center for Teaching and Learning Soar</t>
  </si>
  <si>
    <t>Cruz, Laura;Parker, Michele A.;Smentkowski, Brian;Smitherman, Marina</t>
  </si>
  <si>
    <t>LB1745$b.C789 2020</t>
  </si>
  <si>
    <t>Teacher centers</t>
  </si>
  <si>
    <t>African Americans in Higher Education : A Critical Study of Social and Philosophical Foundations of Africana Culture</t>
  </si>
  <si>
    <t>Conyers, James L., Jr.;Edwards, Crystal L.;Thompson, Kevin B.</t>
  </si>
  <si>
    <t>Critical Race Issues in Education Series</t>
  </si>
  <si>
    <t>LC2781$b.A375 2020</t>
  </si>
  <si>
    <t>African Americans-Education (Higher)-Social aspects.</t>
  </si>
  <si>
    <t>Approaches to Learning, Testing and Researching L2 Vocabulary</t>
  </si>
  <si>
    <t>Webb, Stuart</t>
  </si>
  <si>
    <t>Benjamins Current Topics Series</t>
  </si>
  <si>
    <t>Leadership for Learning : How to Bring Out the Best in Every Teacher</t>
  </si>
  <si>
    <t>Glickman, Carl;Burns, Rebecca West</t>
  </si>
  <si>
    <t>LB2806.4$b.G553 2020</t>
  </si>
  <si>
    <t>School supervision-United States.</t>
  </si>
  <si>
    <t>Thresholds in Architectural Education</t>
  </si>
  <si>
    <t>Caglar, Nur;Curulli, Irene G.;Ruhi Sipahioglu, Isil;Mavromatidis, Lazaros</t>
  </si>
  <si>
    <t>Architecture-Study and teaching.</t>
  </si>
  <si>
    <t>Inclusive Teaching in a Nutshell : A Visual Guide for Busy Teachers</t>
  </si>
  <si>
    <t>Cosgrove, Rachel</t>
  </si>
  <si>
    <t>LC1203.G7 .C674 2021</t>
  </si>
  <si>
    <t>Inclusive education-Great Britain.</t>
  </si>
  <si>
    <t>Leadership Strategies for Promoting Social Responsibility in Higher Education</t>
  </si>
  <si>
    <t>Education, Higher-Moral and ethical aspects</t>
  </si>
  <si>
    <t>Responding to Resistance : Thirty Strategies to Manage Conflict in Your School (an Educational Leadership Guide to Conflict Management in the School Community)</t>
  </si>
  <si>
    <t>Sommers, William A.</t>
  </si>
  <si>
    <t>Mathematics Unit Planning in a PLC at Work®, Grades 6 - 8 : (a Professional Learning Community Guide to Increasing Student Mathematics Achievement in Intermediate School)</t>
  </si>
  <si>
    <t>Schuhl, Sarah;Kanold, Timothy D.;Kanold-McIntyre, Jessica;Chuang, Suyi;Larson, Matthew R.;Smith, Mignon</t>
  </si>
  <si>
    <t>QA13 .S384 2020</t>
  </si>
  <si>
    <t>Innovation of Higher Education: Change-Makers at Incheon National University 1</t>
  </si>
  <si>
    <t>Seoul Selection</t>
  </si>
  <si>
    <t>Irvine, CA</t>
  </si>
  <si>
    <t>Cho Dong-sung et al.</t>
  </si>
  <si>
    <t>LB2395.7 .D664 2020</t>
  </si>
  <si>
    <t>Queer Theories: an Introduction : From Mario Mieli to the Antisocial Turn</t>
  </si>
  <si>
    <t>Bernini, Lorenzo</t>
  </si>
  <si>
    <t>Gender Insights Series</t>
  </si>
  <si>
    <t>HQ73 .B476 2021</t>
  </si>
  <si>
    <t>Sexual minorities. ; Queer theory. ; Gender identity.</t>
  </si>
  <si>
    <t>Student-Centered Classroom : Transforming Your Teaching and Grading Practices (a Guide for Student-Centered Learning Through Interactive Teaching Practices And</t>
  </si>
  <si>
    <t>Miller, Jeanetta Jones</t>
  </si>
  <si>
    <t>LB1027.23 .M555 2020</t>
  </si>
  <si>
    <t>Stewardship As Teacher Leadership : Portraits from the Profession</t>
  </si>
  <si>
    <t>Rogers, Carrie;Sato, Mistilina</t>
  </si>
  <si>
    <t>LB1025.3 .R644 2020</t>
  </si>
  <si>
    <t>Teacher effectiveness. ; Teaching-Moral and ethical aspects. ; Educational leadership.</t>
  </si>
  <si>
    <t>Challenging the Teaching Excellence Framework : Diversity Deficits in Higher Education Evaluations</t>
  </si>
  <si>
    <t>French, Amanda;Thomas, Kate Carruthers</t>
  </si>
  <si>
    <t>College teaching-Great Britain</t>
  </si>
  <si>
    <t>Reflections on Technology for Educational Practitioners : Philosophers of Technology Inspiring Technology Education</t>
  </si>
  <si>
    <t>Dakers, John R.;Hallström, Jonas;de Vries, Marc J.</t>
  </si>
  <si>
    <t>T14 .D354 2019</t>
  </si>
  <si>
    <t>Technical education. ; Technology-Philosophy.</t>
  </si>
  <si>
    <t>An Introduction to Distance Education : Understanding Teaching and Learning in a New Era</t>
  </si>
  <si>
    <t>Cleveland-Innes, Martha F.;Garrison, D. Randy</t>
  </si>
  <si>
    <t>LC5800 .I587 2021</t>
  </si>
  <si>
    <t>Youths' Cogenerative Dialogues with Scientists : Advance Student-Scientist Partnerships Beyond the Status Quo</t>
  </si>
  <si>
    <t>Hsu, Pei-Ling</t>
  </si>
  <si>
    <t>How We Got Here: the Role of Critical Mentoring and Social Justice Praxis : Essays in Honor of George W. Noblit</t>
  </si>
  <si>
    <t>Sánchez, Marta;Sankofa Waters, M. Billye</t>
  </si>
  <si>
    <t>The Personal Is Political : Body Politics in a Trump World</t>
  </si>
  <si>
    <t>Salkin Davis, Christine;L. Crane, Jonathan</t>
  </si>
  <si>
    <t>JK1764 .P477 2020</t>
  </si>
  <si>
    <t>Identity politics-United States.</t>
  </si>
  <si>
    <t>Responsibility of Higher Education Systems : What? How? Why?</t>
  </si>
  <si>
    <t>Broucker, Bruno;Borden, Victor M. H.;Kallenberg, Ton;Milsom, Clare</t>
  </si>
  <si>
    <t>Higher Education: Linking Research, Policy and Practice Series</t>
  </si>
  <si>
    <t>LB2322.2 .R477 2020</t>
  </si>
  <si>
    <t>Studying Gaming Literacies : Theories to Inform Classroom Practice</t>
  </si>
  <si>
    <t>Garcia, Antero;Dail, Jennifer S.;Witte, Shelbie</t>
  </si>
  <si>
    <t>Educational games. ; Video games in education.</t>
  </si>
  <si>
    <t>Universities As Political Institutions : Higher Education Institutions in the Middle of Academic, Economic and Social Pressures</t>
  </si>
  <si>
    <t>Weimer, Leasa;Nokkala, Terhi</t>
  </si>
  <si>
    <t>LC165 .N655 2020</t>
  </si>
  <si>
    <t>Education, Higher-Political aspects-Congresses.</t>
  </si>
  <si>
    <t>Child-Parent Research Reimagined</t>
  </si>
  <si>
    <t>Schamroth Abrams, Sandra;Schaefer, Mary Beth;Ness, Daniel</t>
  </si>
  <si>
    <t>(Produktform)Electronic book text.</t>
  </si>
  <si>
    <t>The Projected and Prophetic: Humanity in Cyberculture, Cyberspace, and Science Fiction</t>
  </si>
  <si>
    <t>Copeland, Jordan J.</t>
  </si>
  <si>
    <t>TK5105.886 .P765 2020</t>
  </si>
  <si>
    <t>Cyberspace. ; Science fiction.</t>
  </si>
  <si>
    <t>Computer Science/IT; Social Science</t>
  </si>
  <si>
    <t>Teaching Fairly in an Unfair World</t>
  </si>
  <si>
    <t>Lundy, Kathleen Gould</t>
  </si>
  <si>
    <t>LC1200 .L863 2020</t>
  </si>
  <si>
    <t>Active learning. ; Mixed ability grouping in education. ; Inclusive education.</t>
  </si>
  <si>
    <t>International Perspectives on Improving Student Engagement : Advances in Library Practices in Higher Education</t>
  </si>
  <si>
    <t>Sengupta, Enakshi;Blessinger, Patrick;Cox, Milton D.</t>
  </si>
  <si>
    <t>Academic libraries</t>
  </si>
  <si>
    <t>Integrating Community Service into the Curriculum : International Perspectives on Humanizing Higher Education</t>
  </si>
  <si>
    <t>Sengupta, Enakshi;Blessinger, Patrick;Makhanya, Mandla</t>
  </si>
  <si>
    <t>Hands-On Science and Technology for Ontario, Grade 2 : An Inquiry Approach</t>
  </si>
  <si>
    <t>LB1532$b.L397 2020</t>
  </si>
  <si>
    <t>Science-Study and teaching (Primary)-Activity programs.</t>
  </si>
  <si>
    <t>Post-Imperial Perspectives on Indigenous Education : Lessons from Japan and Australia</t>
  </si>
  <si>
    <t>Anderson, Peter;Maeda, Koji;Diamond, Zane M.;Sato, Chizu</t>
  </si>
  <si>
    <t>LC3501.A56$b.P678 2021</t>
  </si>
  <si>
    <t>Ainu-Education.</t>
  </si>
  <si>
    <t>Islamophobia in Higher Education : Combating Discrimination and Creating Understanding</t>
  </si>
  <si>
    <t>Ahmadi, Shafiqa;Cole, Darnell</t>
  </si>
  <si>
    <t>LC212.42$b.A363 2020</t>
  </si>
  <si>
    <t>Discrimination in higher education-United States.</t>
  </si>
  <si>
    <t>But Does This Work with English Learners? : A Guide for English Language Arts Teachers, Grades 6-12</t>
  </si>
  <si>
    <t>Stewart, Mary Amanda;Genova, Holly Ann</t>
  </si>
  <si>
    <t>PE1128.A2 .S749 2021</t>
  </si>
  <si>
    <t>English language-Study and teaching-Foreign speakers. ; English language-Study and teaching (Middle school) ; English language-Study and teaching (Secondary)</t>
  </si>
  <si>
    <t>Improving Classroom Engagement and International Development Programs : International Perspectives on Humanizing Higher Education</t>
  </si>
  <si>
    <t>Blessinger, Patrick;Sengupta, Enakshi;Makhanya, Mandla</t>
  </si>
  <si>
    <t>Cultural Competence in Higher Education</t>
  </si>
  <si>
    <t>Puckett, Tiffany;Lind, Nancy S.</t>
  </si>
  <si>
    <t>Cultural competence.</t>
  </si>
  <si>
    <t>Stand Tall Leadership : Stand Tall to Think Differently and Lead Successfully</t>
  </si>
  <si>
    <t>Bollar, Steven A.</t>
  </si>
  <si>
    <t>الكتاب الذي تتمنّى لو قرأه أبواك : وسيكون أطفالك سعداء لأنك قرأته</t>
  </si>
  <si>
    <t>Dar al Saqi</t>
  </si>
  <si>
    <t>Beirut</t>
  </si>
  <si>
    <t>LEBANON</t>
  </si>
  <si>
    <t>دار الساقي</t>
  </si>
  <si>
    <t>فيليبا بيري;رائد الحكيم</t>
  </si>
  <si>
    <t>Decolonizing Language Learning, Decolonizing Research : A Critical Ethnography Study in a Mexican University</t>
  </si>
  <si>
    <t>Despagne, Colette</t>
  </si>
  <si>
    <t>P51$b.D477 2021</t>
  </si>
  <si>
    <t>Language and languages-Study and teaching (Higher)</t>
  </si>
  <si>
    <t>Basic Physics : A Self-Teaching Guide</t>
  </si>
  <si>
    <t>Kuhn, Karl F.;Noschese, Frank</t>
  </si>
  <si>
    <t>QC21.3 .K846 2020</t>
  </si>
  <si>
    <t>Physics-Textbooks.</t>
  </si>
  <si>
    <t>Chemistry : Concepts and Problems, a Self-Teaching Guide</t>
  </si>
  <si>
    <t>Post, Richard;Snyder, Chad;Houk, Clifford C.</t>
  </si>
  <si>
    <t>Wiley Self-Teaching Guides</t>
  </si>
  <si>
    <t>QD31.2 .P678 2020</t>
  </si>
  <si>
    <t>Chemistry-Programmed instruction</t>
  </si>
  <si>
    <t>Teacher Development for Immersion and Content-Based Instruction</t>
  </si>
  <si>
    <t>Cammarata, Laurent;Ó Ceallaigh, T. J.</t>
  </si>
  <si>
    <t>Campus with Purpose : Building a Mission-Driven Campus</t>
  </si>
  <si>
    <t>Lehmkuhle, Stephen</t>
  </si>
  <si>
    <t>LD3369</t>
  </si>
  <si>
    <t>University of Minnesota, Rochester-Planning. ; Education, Higher-Aims and objectives-United States. ; Campus planning-Minnesota-Rochester.</t>
  </si>
  <si>
    <t>Mathematics Unit Planning in a PLC at Work®, Grades PreK-2</t>
  </si>
  <si>
    <t>Schuhl, Sarah;Kanold, Timothy D.;Deinhart, Jennifer;Lang-Raad, Nathan D.;Larson, Matthew R.;Smith, Nanci N.</t>
  </si>
  <si>
    <t>QA135.6 .S384 2021</t>
  </si>
  <si>
    <t>Hands-On Science and Technology for Ontario, Grade 3 : An Inquiry Approach</t>
  </si>
  <si>
    <t>Hands-On Science and Technology for Ontario, Grade 6 : An Inquiry Approach</t>
  </si>
  <si>
    <t>LB1585 .H363 2018</t>
  </si>
  <si>
    <t>Science-Study and teaching (Elementary)-Activity programs.</t>
  </si>
  <si>
    <t>Mindfulness in the Classroom : An Evidence-Based Program to Reduce Disruptive Behavior and Increase Academic Engagement</t>
  </si>
  <si>
    <t>New Harbinger Publications</t>
  </si>
  <si>
    <t>Context Press</t>
  </si>
  <si>
    <t>Felver, Joshua C.;Singh, Nirbhay N.;Horner, Robert</t>
  </si>
  <si>
    <t>LB1072 .F458 2020</t>
  </si>
  <si>
    <t>Classroom management. ; Mindfulness (Psychology) ; Affective education.</t>
  </si>
  <si>
    <t>Writing in Education : The Art of Writing for Educators</t>
  </si>
  <si>
    <t>Chase, Elizabeth;P. Morabito, Nancy;Schamroth Abrams, Sandra</t>
  </si>
  <si>
    <t>Critical Storytelling from Behind Invisible Bars : Undergraduates and Inmates Write Their Way Out</t>
  </si>
  <si>
    <t>Braniger, Carmella J.;V. Miller, Alex;A. Coffey, Kathryn;M. Icenesse, Rebekah</t>
  </si>
  <si>
    <t>Critical Reflection on Research in Teaching and Learning</t>
  </si>
  <si>
    <t>E. Fenton, Nancy;Ross, Whitney</t>
  </si>
  <si>
    <t>Education, Higher-Aims and objectives. ; Learning and scholarship.</t>
  </si>
  <si>
    <t>What If I'm Wrong? and Other Key Questions for Decisive School Leadership</t>
  </si>
  <si>
    <t>Rodberg, Simon</t>
  </si>
  <si>
    <t>LB2831.92$b.R633 2020</t>
  </si>
  <si>
    <t>Hands-On Science and Technology for Ontario, Grade 4 : An Inquiry Approach</t>
  </si>
  <si>
    <t>Hands-On Science and Technology for Ontario, Grade 5 : An Inquiry Approach</t>
  </si>
  <si>
    <t>Graad R in Perspektief : 'n Akademiese en Praktykgerigte Handleiding Vir Onderrig in Graad R</t>
  </si>
  <si>
    <t>African Sun Media</t>
  </si>
  <si>
    <t>Stellenbosch</t>
  </si>
  <si>
    <t>Pepler, Anel</t>
  </si>
  <si>
    <t>Afrikaans</t>
  </si>
  <si>
    <t>Engaging Schooling Subjectivities Across Post-Apartheid Urban Spaces</t>
  </si>
  <si>
    <t>Fataar, Aslam</t>
  </si>
  <si>
    <t>LC191.8.S6$b.F383 2015</t>
  </si>
  <si>
    <t>Urban schools-South Africa-Western Cape.</t>
  </si>
  <si>
    <t>Scholarly Engagement and Decolonisation</t>
  </si>
  <si>
    <t>Crul, Maurice;Dick, Liezl;Ghorashi, Halleh</t>
  </si>
  <si>
    <t>LB2322.2$b.S365 2020</t>
  </si>
  <si>
    <t>Accessing Post-School Studies : A Student's GPS to Successful Learning</t>
  </si>
  <si>
    <t>McGhie, Venica</t>
  </si>
  <si>
    <t>LA1538$b.M344 2017</t>
  </si>
  <si>
    <t>Learning to Teach in Post-Apartheid South Africa : Student Teachers' Encounters with Initial Teacher Education</t>
  </si>
  <si>
    <t>Sayed, Yusuf</t>
  </si>
  <si>
    <t>LB1727.S6$b.L437 2018</t>
  </si>
  <si>
    <t>Teachers-Training of-South Africa.</t>
  </si>
  <si>
    <t>Action Research in South African Education : A Critical Praxis</t>
  </si>
  <si>
    <t>Makoelle, T. M.</t>
  </si>
  <si>
    <t>LB1028.24$b.A285 2019</t>
  </si>
  <si>
    <t>Action research in education-South Africa.</t>
  </si>
  <si>
    <t>Caught in the Act : Reflections on Continuing Professional Development of Mathematics Teachers in a Collabrative Partnership</t>
  </si>
  <si>
    <t>Julie, Cyril;Holtman, Lorna;Smith, Charles R.</t>
  </si>
  <si>
    <t>QA11$b.C384 2019</t>
  </si>
  <si>
    <t>Mathematics teachers-Education.</t>
  </si>
  <si>
    <t>Re-Imagining Curriculum : Spaces for Disruption</t>
  </si>
  <si>
    <t>Quinn, Lynn</t>
  </si>
  <si>
    <t>LA1538$b.Q566 2019</t>
  </si>
  <si>
    <t>Leading the ELearning Transformation of Higher Education : Leadership Strategies for the Next Generation</t>
  </si>
  <si>
    <t>Miller, Gary E.;Ives, Kathleen S.;Moore, Michael Grahame</t>
  </si>
  <si>
    <t>LB2395.7 .M555 2020</t>
  </si>
  <si>
    <t>Information technology. ; Leadership. ; Education, Higher.</t>
  </si>
  <si>
    <t>Lawrence, Kenneth D.;Pai, Dinesh R.</t>
  </si>
  <si>
    <t>Management science. ; Decision making-Mathematical models. ; Operations research.</t>
  </si>
  <si>
    <t>Completing Your EdD : The Essential Guide to the Doctor of Education</t>
  </si>
  <si>
    <t>Reilly, Iona Burnell;Roffey-Barentsen, Jodi</t>
  </si>
  <si>
    <t>Education-Study and teaching (Graduate)-Handbooks, manuals, etc</t>
  </si>
  <si>
    <t>The Learning Leader : How to Focus School Improvement for Better Results</t>
  </si>
  <si>
    <t>LB2806.22$b.R448 2020</t>
  </si>
  <si>
    <t>Educational accountability-United States.</t>
  </si>
  <si>
    <t>Literacy Reframed : How a Focus on Decoding, Vocabulary, and Background Knowledge Improves Reading Comprehension (a Guide to Teaching Literacy and Boosting Reading Comprehension)</t>
  </si>
  <si>
    <t>Fogarty, Robin J.;Kerns, Gene M.;Pete, Brian M.</t>
  </si>
  <si>
    <t>Cultivating Writers : Elevate Your Writing Instruction Beyond the Skills to Ignite the Will</t>
  </si>
  <si>
    <t>Migration und Hochschule : Herausforderungen für Politik und Bildung</t>
  </si>
  <si>
    <t>Helmolt, Katharina V;Süssmuth, Rita;Helmolt, Katharina V;Münch, Ursula;Düll, Nicola;Peral, Maria Begona Prieto;Rappenglück, Stefan;Hermann, Julia;Schmidt, Eva;Jacob, Anna Katharina</t>
  </si>
  <si>
    <t>Kultur - Kommunikation - Kooperation</t>
  </si>
  <si>
    <t>LC3705 .M547 2014</t>
  </si>
  <si>
    <t>Immigrants-Education-Congresses.</t>
  </si>
  <si>
    <t>Interkulturelle Medienbildung im Dokumentarfilm für Kinder : Eine Analyse filmischer Inszenierungsstrategien fremder Lebenswelten</t>
  </si>
  <si>
    <t>Chaux, André de la;Marotzki, Winfried;Fromme, Johannes</t>
  </si>
  <si>
    <t>Magdeburger Schriftenreihe zur Medienbildung</t>
  </si>
  <si>
    <t>PN1995.9.C45 C438 2014</t>
  </si>
  <si>
    <t>Children's films.</t>
  </si>
  <si>
    <t>Bildung, Bewertung, Beziehung, Bewusstsein : Bildung im Spannungsfeld von Ökonomie und pädagogischer Beziehung</t>
  </si>
  <si>
    <t>Muth, Cornelia;Röben, Silvia</t>
  </si>
  <si>
    <t>Dialogisches Lernen</t>
  </si>
  <si>
    <t>LC65 .R634 2020</t>
  </si>
  <si>
    <t>Education-Economic aspects.</t>
  </si>
  <si>
    <t>Forscher*innen im Dialog: Selbstkonsistenter Entwurf einer dialogphänomenologischen Method(ologi)e</t>
  </si>
  <si>
    <t>Pankoke, Nicole;Muth, Cornelia</t>
  </si>
  <si>
    <t>P95.455 .P365 2020</t>
  </si>
  <si>
    <t>Dialogue analysis.</t>
  </si>
  <si>
    <t>The Amateur Hour : A History of College Teaching in America</t>
  </si>
  <si>
    <t>Japanese Studies in Britain : A Survey and History</t>
  </si>
  <si>
    <t>Cortazzi, Hugh;Kornicki, Peter</t>
  </si>
  <si>
    <t>DS806</t>
  </si>
  <si>
    <t>Premed Prep : Advice from a Medical School Admissions Dean</t>
  </si>
  <si>
    <t>Nakae, Sunny</t>
  </si>
  <si>
    <t>R838</t>
  </si>
  <si>
    <t>Navigating Media Literacy : A Pedagogical Tour of Disneyland</t>
  </si>
  <si>
    <t>Greenwood, Vanessa E.</t>
  </si>
  <si>
    <t>P96.M4 .G744 2020</t>
  </si>
  <si>
    <t>Media literacy.</t>
  </si>
  <si>
    <t>Conservative Philanthropies and Organizations Shaping U. S. Educational Policy and Practice</t>
  </si>
  <si>
    <t>deMarrais, Kathleen;Herron, Brigette A.;Copple, Janie</t>
  </si>
  <si>
    <t>LC243.A1 .C667 2020</t>
  </si>
  <si>
    <t>Endowments-Moral and ethical aspects-United States. ; Charity organization-United States. ; Philanthropists-United States.</t>
  </si>
  <si>
    <t>A Concise Guide to Lecturing in Higher Education and the Academic Professional Apprenticeship</t>
  </si>
  <si>
    <t>Hindmarch, Duncan;Machin, Lynn;Murray, Sandra;Richardson, Tina;Walmsley-Smith, Helen</t>
  </si>
  <si>
    <t>LB2393 .H563 2020</t>
  </si>
  <si>
    <t>Lecture method in teaching.</t>
  </si>
  <si>
    <t>Social-Emotional Learning and the Brain : Strategies to Help Your Students Thrive</t>
  </si>
  <si>
    <t>Support in Education</t>
  </si>
  <si>
    <t>Designing Effective Library Learning Spaces in Higher Education</t>
  </si>
  <si>
    <t>Academic libraries-Design and construction. ; Libraries-Space utilization.</t>
  </si>
  <si>
    <t>Developing and Supporting Multiculturalism and Leadership Development : International Perspectives on Humanizing Higher Education</t>
  </si>
  <si>
    <t>The Canine-Campus Connection : Roles for Dogs in the Lives of College Students</t>
  </si>
  <si>
    <t>Jalongo, Mary Renck</t>
  </si>
  <si>
    <t>New Directions in the Human-Animal Bond Series</t>
  </si>
  <si>
    <t>QL85 .C365 2021</t>
  </si>
  <si>
    <t>Human-animal relationships. ; College students-Mental health. ; College students-Psychology.</t>
  </si>
  <si>
    <t>Education; Science; Science: Zoology</t>
  </si>
  <si>
    <t>The Synergistic Classroom : Interdisciplinary Teaching in the Small College Setting</t>
  </si>
  <si>
    <t>Campion, Corey;Angello, Aaron;Reich, Paul D.;Marchesi, Patricia;Hamilton, Patrick L.;Austin, Allan W.;Dehne, Christine;Munson, Jonathan;Boulton, April M.;Smith, Erika Cornelius</t>
  </si>
  <si>
    <t>Quick Hits for Teaching with Digital Humanities : Successful Strategies from Award-Winning Teachers</t>
  </si>
  <si>
    <t>Young, Christopher J.;Morrone, Michael C.;Wilson, Thomas C.;Wilson, Emma Annette;Ayers, Edward L.</t>
  </si>
  <si>
    <t>AZ195 .M677 2020</t>
  </si>
  <si>
    <t>Digital humanities-Study and teaching.</t>
  </si>
  <si>
    <t>Digital Leadership in Higher Education : Purposeful Social Media in a Connected World</t>
  </si>
  <si>
    <t>Ahlquist, Josie</t>
  </si>
  <si>
    <t>LB2395.7 .A357 2020</t>
  </si>
  <si>
    <t>Educational technology-Management. ; Social media in education. ; Internet in higher education.</t>
  </si>
  <si>
    <t>Art - Ethics - Education</t>
  </si>
  <si>
    <t>Buschkühle, Carl-Peter;Atkinson, Dennis;Vella, Raphael</t>
  </si>
  <si>
    <t>NX280 .A78 2020</t>
  </si>
  <si>
    <t>Arts-Study and teaching. ; Education-Moral and ethical aspects.</t>
  </si>
  <si>
    <t>Advances in Accounting Education</t>
  </si>
  <si>
    <t>Calderon, Thomas G.</t>
  </si>
  <si>
    <t>Advances in Accounting Education: Teaching and Curriculum Innovations Series</t>
  </si>
  <si>
    <t>HF5601-5689</t>
  </si>
  <si>
    <t>Accounting-Study and teaching (Higher)</t>
  </si>
  <si>
    <t>Leading for Tomorrow : A Primer for Succeeding in Higher Education Leadership</t>
  </si>
  <si>
    <t>Eddy, Pamela L.;Kirby, Elizabeth;Kezar, Adrianna</t>
  </si>
  <si>
    <t>Universities and colleges-United States-Administration.</t>
  </si>
  <si>
    <t>The Art Teacher's Survival Guide for Elementary and Middle Schools</t>
  </si>
  <si>
    <t>Hume, Helen D.;Palmer, Marilyn</t>
  </si>
  <si>
    <t>Art-Study and teaching (Elementary) ; Art-Study and teaching (Middle school) ; Art-Study and teaching-Activity programs.</t>
  </si>
  <si>
    <t>Akademisch Kommunizieren : Bausteine sozialwissenschaftlichen Forschens</t>
  </si>
  <si>
    <t>Anderseck, Klaus</t>
  </si>
  <si>
    <t>P91.3 .A534 2020</t>
  </si>
  <si>
    <t>Communication-Study and teaching (Higher)</t>
  </si>
  <si>
    <t>Engaging Learners Through Zoom : Strategies for Virtual Teaching Across Disciplines</t>
  </si>
  <si>
    <t>Brennan, Jonathan</t>
  </si>
  <si>
    <t>Global Trends in Higher Education Quality Assurance : Challenges and Opportunities in Internal and External Quality Assurance</t>
  </si>
  <si>
    <t>Karakhanyan, Susanna;Stensaker, Bjø</t>
  </si>
  <si>
    <t>LC191 .G563 2020</t>
  </si>
  <si>
    <t>Education and globalization. ; Education, Higher-Evaluation-Cross-cultural studies.</t>
  </si>
  <si>
    <t>White Bread : Anniversary Edition</t>
  </si>
  <si>
    <t>PZ7.A6744 .S544 2021</t>
  </si>
  <si>
    <t>Teachers-Fiction. ; Students-Fiction. ; Race relations-Fiction.</t>
  </si>
  <si>
    <t>Social and Emotional Learning in the Mediterranean : Cross Cultural Perspectives and Approaches</t>
  </si>
  <si>
    <t>Cefai, Carmel;Regester, Dominic;Akoury Dirani, Leyla</t>
  </si>
  <si>
    <t>Comparative Education and the Mediterranean Region Series</t>
  </si>
  <si>
    <t>LB1072 .S635 2020</t>
  </si>
  <si>
    <t>Affective education-Mediterranean Region-Cross-cultural studies. ; Social learning-Study and teaching-Mediterranean Region-Cross-cultural studies.</t>
  </si>
  <si>
    <t>Re-Examining Success : Raising Pupils' Examination Performance at Secondary School: Systems, Techniques, Processes and Partners</t>
  </si>
  <si>
    <t>LB3060.26 .H844 2020</t>
  </si>
  <si>
    <t>Examinations. ; Educational tests and measurements.</t>
  </si>
  <si>
    <t>Solving Academic and Behavior Problems : A Strengths-Based Guide for Teachers and Teams</t>
  </si>
  <si>
    <t>Searle, Margaret;Swartz, Marilyn</t>
  </si>
  <si>
    <t>LC4704 .S437 2020</t>
  </si>
  <si>
    <t>Learning disabled children-Education-Case studies.</t>
  </si>
  <si>
    <t>From My Perspective... a Guide to Career/Employment Centre Management</t>
  </si>
  <si>
    <t>Canadian Education and Research Institute for Counselling</t>
  </si>
  <si>
    <t>CERIC</t>
  </si>
  <si>
    <t>Van Norman, Marilyn</t>
  </si>
  <si>
    <t>LB2343.5</t>
  </si>
  <si>
    <t>College placement services--Canada--Administration. ; Counseling in higher education--Canada--Administration. ; Bureaux de placement des étudiants--Canada--Administration.</t>
  </si>
  <si>
    <t>Military to Civilian Employment : A Career Practitioner's Guide</t>
  </si>
  <si>
    <t>Rodney, Yvonne</t>
  </si>
  <si>
    <t>HF5384 .R636 2016</t>
  </si>
  <si>
    <t>Career changes-Handbooks, manuals, etc. ; Retired military personnel-Employment. ; Veterans-Employment.</t>
  </si>
  <si>
    <t>Career Development Practice in Canada : Perspectives, Principles, and Professionalism</t>
  </si>
  <si>
    <t>Shepard, Blythe C.;Mani, Priya S.</t>
  </si>
  <si>
    <t>HF5382.5.C2 .C374 2014</t>
  </si>
  <si>
    <t>Career development-Canada. ; Vocational guidance-Canada.</t>
  </si>
  <si>
    <t>Making It Work! How to Effectively Navigate Maternity Leave Career Transitions: an Employee's Guide</t>
  </si>
  <si>
    <t>Davidoff, Avra;Hambley, Laura;Dyrda, April</t>
  </si>
  <si>
    <t>HD4904.25 .D385 2016</t>
  </si>
  <si>
    <t>Work and family. ; Parental leave.</t>
  </si>
  <si>
    <t>Making It Work! How to Effectively Manage Maternity Leave Career Transitions: an Employer's Guide</t>
  </si>
  <si>
    <t>Davidoff, Avra;Hambley, Laura</t>
  </si>
  <si>
    <t>Work and family. ; Parental leave. ; Personnel management.</t>
  </si>
  <si>
    <t>Career Theories and Models at Work : Ideas for Practice</t>
  </si>
  <si>
    <t>Arthur, Nancy;Neault, Roberta;McMahon, Mary</t>
  </si>
  <si>
    <t>HF5381 .C374 2019</t>
  </si>
  <si>
    <t>Career development-Study and teaching. ; Vocational guidance-Study and teaching. ; Counseling.</t>
  </si>
  <si>
    <t>From My Perspective... a Guide to University and College Career Centre Management</t>
  </si>
  <si>
    <t>LB2343.5 .N676 2016</t>
  </si>
  <si>
    <t>Counseling in higher education-Administration-Canada. ; College placement services-Administration-Canada.</t>
  </si>
  <si>
    <t>ITIL® 4: Digital and IT Strategy</t>
  </si>
  <si>
    <t>Electronic data processing personnel--Certification--Study guides. ; Electronic data processing personnel--Certification.</t>
  </si>
  <si>
    <t>Faces and Places of IUPUI : Fifty Years in Indianapolis</t>
  </si>
  <si>
    <t>Hunter, Cassidy;Wood, Becky;Paydar, Nasser H.;Morris, James T.;Pretorius, Olivia</t>
  </si>
  <si>
    <t>LB2321 .W663 2020</t>
  </si>
  <si>
    <t>Universities and colleges. ; IUPUI (Campus)-History.</t>
  </si>
  <si>
    <t>Ungrading : Why Rating Students Undermines Learning (and What to Do Instead)</t>
  </si>
  <si>
    <t>Blum, Susan D.;Kohn, Alfie</t>
  </si>
  <si>
    <t>Living History in the Classroom : Performance and Pedagogy</t>
  </si>
  <si>
    <t>Heuvel, Lisa L.</t>
  </si>
  <si>
    <t>Storytelling in education. ; History-Study and teaching (Elementary) ; History-Study and teaching (Secondary) ; Creative teaching.</t>
  </si>
  <si>
    <t>Understanding University Committees : How to Manage and Participate Constructively in Institutional Governance</t>
  </si>
  <si>
    <t>Farris, David A.</t>
  </si>
  <si>
    <t>LB2341 .F377 2020</t>
  </si>
  <si>
    <t>Pedagogies of With-Ness : Students, Teachers, Voice and Agency</t>
  </si>
  <si>
    <t>Hogg, Linda;Stockbridge, Kevin;Achieng-Evensen, Charlotte;SooHoo, Suzanne;Kumashiro, Kevin</t>
  </si>
  <si>
    <t>LC196 .P433 2020</t>
  </si>
  <si>
    <t>Critical pedagogy. ; Teacher-student relationships. ; Student movements.</t>
  </si>
  <si>
    <t>Relationship-Rich Education : How Human Connections Drive Success in College</t>
  </si>
  <si>
    <t>Felten, Peter;Lambert, Leo M.</t>
  </si>
  <si>
    <t>LB2343.4 .F458 2020</t>
  </si>
  <si>
    <t>College teaching-United States. ; Interaction analysis in education. ; Education, Higher-Aims and objectives-United States.</t>
  </si>
  <si>
    <t>University Student Handbook - from China to the UK : An Essential Guide for Students from China Going to UK Universities</t>
  </si>
  <si>
    <t>eBook Partnership</t>
  </si>
  <si>
    <t>Brown Dog Books</t>
  </si>
  <si>
    <t>Tan, Suzanna</t>
  </si>
  <si>
    <t>LC3085.G7 .T36 2020</t>
  </si>
  <si>
    <t>Chinese students-Great Britain.</t>
  </si>
  <si>
    <t>Facilitating the Integration of Learning : Five Research-Based Practices to Help College Students Connect Learning Across Disciplines and Lived Experience</t>
  </si>
  <si>
    <t>Barber, James P.</t>
  </si>
  <si>
    <t>LB2343.4 .B373 2020</t>
  </si>
  <si>
    <t>The Essentials : Providing High-Quality Family Child Care</t>
  </si>
  <si>
    <t>Masterson, Marie L.;Ginet, Lisa M.</t>
  </si>
  <si>
    <t>The Essentials Series</t>
  </si>
  <si>
    <t>HQ778.63 .M378 2018</t>
  </si>
  <si>
    <t>Family day care-United States-Handbooks, manuals, etc.</t>
  </si>
  <si>
    <t>Critical Thinking and Reasoning : Theory, Development, Instruction, and Assessment</t>
  </si>
  <si>
    <t>Fasko, Jr., Daniel;Fair, Frank</t>
  </si>
  <si>
    <t>LB1590.3 .F375 2021</t>
  </si>
  <si>
    <t>Reasoning-Study and teaching. ; Critical thinking-Study and teaching.</t>
  </si>
  <si>
    <t>Art As an Agent for Social Change</t>
  </si>
  <si>
    <t>Mreiwed, Hala;Carter, Mindy R.;Mitchell, Claudia</t>
  </si>
  <si>
    <t>NX180.S6 .A78 2021</t>
  </si>
  <si>
    <t>Arts and society. ; Art and social action. ; Arts in education-Social aspects.</t>
  </si>
  <si>
    <t>Transcendent Teacher Learner Relationships : The Way of the Shamanic Teacher (Second Edition)</t>
  </si>
  <si>
    <t>O'Hara, Hunter</t>
  </si>
  <si>
    <t>LB1033 .O437 2021</t>
  </si>
  <si>
    <t>Inquiry-Based Learning : A Guidebook to Writing a Science Opera</t>
  </si>
  <si>
    <t>Smegen, Irma;Ben-Horin, Oded</t>
  </si>
  <si>
    <t>Arts, Creativities, and Learning Environments in Global Perspectives Series</t>
  </si>
  <si>
    <t>LB1027.23 .S644 2021</t>
  </si>
  <si>
    <t>The Doctoral Journey : International Educationalist Perspectives</t>
  </si>
  <si>
    <t>Bradford, Brent</t>
  </si>
  <si>
    <t>Wraparound Guide : How to Gather Student Voice, Build Community (a Wraparound Service Delivery Handbook for Helping Students Overcome Barriers to Wellness and Learning)Partnerships, and Cultivate Hope</t>
  </si>
  <si>
    <t>Colburn, Leigh;Beggs, Linda</t>
  </si>
  <si>
    <t>LB3430.5 .C653 2021</t>
  </si>
  <si>
    <t>Student assistance programs-United States. ; School children-Services for.</t>
  </si>
  <si>
    <t>Doing Social Justice Education : A Practitioner's Guide for Workshops and Structured Conversations</t>
  </si>
  <si>
    <t>Tharp, D. Scott</t>
  </si>
  <si>
    <t>LC192.2 .T437 2020</t>
  </si>
  <si>
    <t>Customer Relationship Marketing : To inspire good customer service behaviour, we must be able to measure customer experiences meaningfully.</t>
  </si>
  <si>
    <t>Scribl</t>
  </si>
  <si>
    <t>Hanover, NH</t>
  </si>
  <si>
    <t>"Hawkins", "John";Hawkins, John</t>
  </si>
  <si>
    <t>HF5415.55 .H395 2019</t>
  </si>
  <si>
    <t>Relationship marketing. ; Customer relations-Management.</t>
  </si>
  <si>
    <t>Creating Video Products for Clickbank : ClickBank Vendor Success strategy to Create &amp; Sell Your Product</t>
  </si>
  <si>
    <t>PN1992.94 .H395 2019</t>
  </si>
  <si>
    <t>Video recordings-Production and direction-Handbooks, manuals, etc. ; Television in publicity-Handbooks, manuals, etc.</t>
  </si>
  <si>
    <t>Developing Teaching and Learning in Africa : Decolonising Perspectives</t>
  </si>
  <si>
    <t>Msila, Vuyisile</t>
  </si>
  <si>
    <t>LC95.A2$b.M755 2020</t>
  </si>
  <si>
    <t>Education and state-Africa.</t>
  </si>
  <si>
    <t>Gender Optics</t>
  </si>
  <si>
    <t>Lowell, Shalen</t>
  </si>
  <si>
    <t>PS3612.O8877 .L694 2021</t>
  </si>
  <si>
    <t>Gender-nonconforming people-Fiction.</t>
  </si>
  <si>
    <t>The Joy Principle: a Novel : Arts-Based Literacies in Education</t>
  </si>
  <si>
    <t>Pelosi, Ligia</t>
  </si>
  <si>
    <t>Teachers-Fiction.</t>
  </si>
  <si>
    <t>Online Learning for Dummies</t>
  </si>
  <si>
    <t>Manning, Susan;Johnson, Kevin E.</t>
  </si>
  <si>
    <t>Education-Computer network resources. ; Education-Effect of technological innovations on. ; Educational technology.</t>
  </si>
  <si>
    <t>Building Gender Equity in the Academy : Institutional Strategies for Change</t>
  </si>
  <si>
    <t>Laursen, Sandra;Austin, Ann E.</t>
  </si>
  <si>
    <t>LC1568 .L387 2020</t>
  </si>
  <si>
    <t>Women in higher education-United States.</t>
  </si>
  <si>
    <t>Designing Evidence-Based Public Health and Prevention Programs : Expert Program Developers Explain the Science and Art</t>
  </si>
  <si>
    <t>Feinberg, Mark E.</t>
  </si>
  <si>
    <t>RA427.8$b.D475 2021</t>
  </si>
  <si>
    <t>Health promotion.</t>
  </si>
  <si>
    <t>Amplified Voices, Intersecting Identities: Volume 2 : First-Gen Phds Navigating Institutional Power in Early Academic Careers</t>
  </si>
  <si>
    <t>Van Galen, Jane A.;Sablan, Jaye</t>
  </si>
  <si>
    <t>Inclusive Education Is a Right, Right?</t>
  </si>
  <si>
    <t>Krehl Edward Thomas, Matthew;Heng, Leechin;Walker, Peter</t>
  </si>
  <si>
    <t>Amplified Voices, Intersecting Identities: Volume 1 : First-Gen Phds Navigating Institutional Power</t>
  </si>
  <si>
    <t>LEARNING &amp; DEVELOPMENT in ORGANISATIONS : STRATEGY, EVIDENCE AND PRACTICE</t>
  </si>
  <si>
    <t>Oak Tree Press</t>
  </si>
  <si>
    <t>Garavan, Thomas;Hogan, Carole;Cahir-O'Donnell, Amanda</t>
  </si>
  <si>
    <t>HD58.82 .G373 2020</t>
  </si>
  <si>
    <t>Organizational learning. ; Apprentissage organisationnel.</t>
  </si>
  <si>
    <t>International Perspectives on the Role of Technology in Humanizing Higher Education</t>
  </si>
  <si>
    <t>Education, Higher-Effect of technological innovations on.</t>
  </si>
  <si>
    <t>Day to Day the Relationship Way : Creating Responsive Programs for Infants and Toddlers</t>
  </si>
  <si>
    <t>Wittmer, Donna S.;Honig, Alice Sterling</t>
  </si>
  <si>
    <t>LB1139.23 .W588 2020</t>
  </si>
  <si>
    <t>Big Data on Campus : Data Analytics and Decision Making in Higher Education</t>
  </si>
  <si>
    <t>Webber, Karen L.;Zheng, Henry Y.</t>
  </si>
  <si>
    <t>LB2341 .W433 2020</t>
  </si>
  <si>
    <t>Universities and colleges-Administration-Data processing.</t>
  </si>
  <si>
    <t>Making Sense, Making Science</t>
  </si>
  <si>
    <t>Guillaume, Astrid;Kurts-Wöste, Lia</t>
  </si>
  <si>
    <t>Science-Philosophy</t>
  </si>
  <si>
    <t>Educational Studies in the Light of the Feminine : Empowerment and Transformation</t>
  </si>
  <si>
    <t>Bouissou- Benavail, Christine</t>
  </si>
  <si>
    <t>Education-Research. ; Teachers-Training of.</t>
  </si>
  <si>
    <t>Improving Research-Based Knowledge of College Promise Programs</t>
  </si>
  <si>
    <t>Perna, Laura W.;Smith, Edward J.</t>
  </si>
  <si>
    <t>College promise programs-United States-Evaluation.</t>
  </si>
  <si>
    <t>Audiovisual Translation in Applied Linguistics : Educational Perspectives</t>
  </si>
  <si>
    <t>Incalcaterra McLoughlin, Laura;Lertola, Jennifer;Talaván, Noa</t>
  </si>
  <si>
    <t>PB35</t>
  </si>
  <si>
    <t>Languages, Modern-Study and teaching-Audio-visual aids. ; Applied linguistics.</t>
  </si>
  <si>
    <t>Learning Outcomes, Academic Credit and Student Mobility</t>
  </si>
  <si>
    <t>Queen's University, School of Policy Studies</t>
  </si>
  <si>
    <t>Arnold, Christine;Wilson, Mary;Bridge, Jean;Lennon, Mary Catherine</t>
  </si>
  <si>
    <t>LC1031 .A766 2020</t>
  </si>
  <si>
    <t>Competency-based education. ; School credits. ; Students, Transfer of.</t>
  </si>
  <si>
    <t>Recognising Students Who Care for Children While Studying</t>
  </si>
  <si>
    <t>Dent, Samuel</t>
  </si>
  <si>
    <t>Higher &amp; further education, tertiary education</t>
  </si>
  <si>
    <t>Community Connections and Your PLC at Work® : A Guide to Engaging Families (a Guide to School Community Involvement in a PLC)</t>
  </si>
  <si>
    <t>Provencio, Nathaniel</t>
  </si>
  <si>
    <t>LB1731 .P768 2021</t>
  </si>
  <si>
    <t>Professional learning communities-United States.</t>
  </si>
  <si>
    <t>Essential Guides for Early Career Teachers: Workload : Taking Ownership of your Teaching</t>
  </si>
  <si>
    <t>Greer, Julie;Hollis, Emma</t>
  </si>
  <si>
    <t>LB2844.1.W6 .G744 2020</t>
  </si>
  <si>
    <t>Teachers-Workload. ; Time management.</t>
  </si>
  <si>
    <t>Mindfulness-Based Interventions with Children and Adolescents : Research and Practice</t>
  </si>
  <si>
    <t>Singh, Nirbhay N.;Joy, Subhashni D. Singh</t>
  </si>
  <si>
    <t>HQ796$b.M563 2020</t>
  </si>
  <si>
    <t>Adolescence.</t>
  </si>
  <si>
    <t>Imagining Dewey : Artful Works and Dialogue about Art As Experience</t>
  </si>
  <si>
    <t>L. Maarhuis, Patricia;Rud, A. G.</t>
  </si>
  <si>
    <t>Dewey, John,-1859-1952.-Art as experience. ; Art-Philosophy.</t>
  </si>
  <si>
    <t>Critical Storytelling : Multilingual Immigrants in the United States</t>
  </si>
  <si>
    <t>Pentón Herrera, Luis Javier;Tính Trịnh, Ethan</t>
  </si>
  <si>
    <t>JV6475 .C758 2021</t>
  </si>
  <si>
    <t>United States-Emigration and immigration-Social aspects.</t>
  </si>
  <si>
    <t>Engaging Learners with Semiotics : Lessons Learned from Reading the Signs</t>
  </si>
  <si>
    <t>Gannon-Cook, Ruth;Ley, Kathryn</t>
  </si>
  <si>
    <t>P99 .G366 2021</t>
  </si>
  <si>
    <t>Semiotics-Study and teaching.</t>
  </si>
  <si>
    <t>Teaching and Learning Practices for Academic Freedom</t>
  </si>
  <si>
    <t>Academic freedom.</t>
  </si>
  <si>
    <t>Essential Guides for Early Career Teachers: Understanding and Developing Positive Behaviour in Schools</t>
  </si>
  <si>
    <t>Garton, Patrick;Hollis, Emma</t>
  </si>
  <si>
    <t>LB1060.2 .G378 2020</t>
  </si>
  <si>
    <t>Problem children-Behavior modification. ; Classroom management. ; Behavior modification.</t>
  </si>
  <si>
    <t>Auf dem Weg zu kompetenten Schülerinnen und Schülern : Theorie und Praxis eines kompetenzorientierten Fremdsprachenunterrichts im Dialog</t>
  </si>
  <si>
    <t>Franke, Manuela;Schöpp, Frank;Frings, Michael;Klump, Andre;Kruse, Silvie;Hardy, Stéphane;Michler, Christine;Greger, Dorothea;Thiele, Sylvia;Gerlach, Julia</t>
  </si>
  <si>
    <t>P51 .A94 2013</t>
  </si>
  <si>
    <t>An Executive Guide to PRINCE2 Agile®</t>
  </si>
  <si>
    <t>Jean Baudrillard and Radical Education Theory : Turning Right to Go Left</t>
  </si>
  <si>
    <t>Kline, Kip;Holland, Kristopher</t>
  </si>
  <si>
    <t>Baudrillard, Jean,-1929-2007-Influence. ; Education-Philosophy. ; Postmodernism and education.</t>
  </si>
  <si>
    <t>Intra-Public Intellectualism : Critical Qualitative Inquiry in the Academy</t>
  </si>
  <si>
    <t>Wells, Timothy C.;Carlson, David Lee;Koro, Mirka</t>
  </si>
  <si>
    <t>Social sciences-Research. ; Education-Research. ; Intellectuals-Research.</t>
  </si>
  <si>
    <t>Student Learning Communities : A Springboard for Academic and Social-Emotional Development</t>
  </si>
  <si>
    <t>Fisher, Douglas;Frey, Nancy;Almarode, John</t>
  </si>
  <si>
    <t>LB1032$b.F574 2021</t>
  </si>
  <si>
    <t>Student learning communities.</t>
  </si>
  <si>
    <t>Lean Six Sigma in Higher Education : A Practical Guide for Continuous Improvement Professionals in Higher Education</t>
  </si>
  <si>
    <t>Antony, Jiju</t>
  </si>
  <si>
    <t>378.1/07</t>
  </si>
  <si>
    <t>Organizational effectiveness</t>
  </si>
  <si>
    <t>Why Do I Have to Read This? : Literacy Strategies to Engage Our Most Reluctant Students</t>
  </si>
  <si>
    <t>Tovani, Cris</t>
  </si>
  <si>
    <t>The Learner-Centered Instructional Designer : Purposes, Processes, and Practicalities of Creating Online Courses in Higher Education</t>
  </si>
  <si>
    <t>Quinn, Jerod</t>
  </si>
  <si>
    <t>LB1028.38 .Q566 2021</t>
  </si>
  <si>
    <t>Transforming Teaching : Creating Lesson Plans for Child-Centered Learning</t>
  </si>
  <si>
    <t>Masterson, Marie</t>
  </si>
  <si>
    <t>P53.46 .M378 2021</t>
  </si>
  <si>
    <t>Education, Preschool. ; Education-Experimental methods. ; Lesson planning.</t>
  </si>
  <si>
    <t>Adventures in Authentic Learning : 21 Step-by-Step Projects From an Edtech Coach</t>
  </si>
  <si>
    <t>Harrington, Kristin</t>
  </si>
  <si>
    <t>LB1028.3 .H377 2020</t>
  </si>
  <si>
    <t>Educational technology-Computer-assisted instruction. ; Teaching teams-Handbooks, manuals, etc. ; Experiential learning-Problems, exercises, etc.</t>
  </si>
  <si>
    <t>PhD by Published Work : A Practical Guide for Success</t>
  </si>
  <si>
    <t>Smith, Susan</t>
  </si>
  <si>
    <t>Doctor of philosophy degree-Handbooks, manuals, etc. ; Doctoral students-Handbooks, manuals, etc. ; Graduate students-Handbooks, manuals, etc. ; Universities and colleges-Graduate work-Handbooks, manuals, etc.</t>
  </si>
  <si>
    <t>Scheduling for Personalized Competency-Based Education : (a Guide to Class Scheduling Based on Personalized Learning and Promoting Student Proficiency)</t>
  </si>
  <si>
    <t>Finn, Michelle;Finn III, Douglas</t>
  </si>
  <si>
    <t>LC1031 .F566 2021</t>
  </si>
  <si>
    <t>Individualized instruction. ; Competency-based education.</t>
  </si>
  <si>
    <t>Didaktika Literatury: Výzvy Oboru</t>
  </si>
  <si>
    <t>Hník, Ondřej</t>
  </si>
  <si>
    <t>Seeing the City : Interdisciplinary Perspectives on the Study of the Urban</t>
  </si>
  <si>
    <t>Verloo, Nanke;Bertolini, Instituut voor Interdisciplinaire Studies;Bertolini, Luca</t>
  </si>
  <si>
    <t>HT110 .B478 2020</t>
  </si>
  <si>
    <t>Cities and towns-Research-Methodology.</t>
  </si>
  <si>
    <t>Reasons to Reason in Primary Maths and Science</t>
  </si>
  <si>
    <t>Borthwick, Alison;Cross, Alan</t>
  </si>
  <si>
    <t>QA135.6 .B678 2018</t>
  </si>
  <si>
    <t>Mathematics-Study and teaching (Primary)-Activity programs. ; Problem solving-Study and teaching (Primary)-Activity programs. ; Reasoning-Study and teaching (Primary)-Activity programs. ; Science-Study and teaching (Primary)-Activity programs. ; Reasoning in children.</t>
  </si>
  <si>
    <t>Inspiring Writing in Primary Schools</t>
  </si>
  <si>
    <t>Chamberlain, Liz</t>
  </si>
  <si>
    <t>LB1576 .C436 2019</t>
  </si>
  <si>
    <t>372.6/23/0440942</t>
  </si>
  <si>
    <t>English language-Composition and exercises-Study and teaching (Elementary)-Great Britain.</t>
  </si>
  <si>
    <t>Creativity in the Primary Classroom</t>
  </si>
  <si>
    <t>Desailly, Juliet</t>
  </si>
  <si>
    <t>LB1025.3 .D473 2015</t>
  </si>
  <si>
    <t>Creative teaching.</t>
  </si>
  <si>
    <t>Your Guide to Successful Postgraduate Study</t>
  </si>
  <si>
    <t>Elliott, Geoffrey C.;Kadi-Hanifi, Karima;Solvason, Carla</t>
  </si>
  <si>
    <t>LB2371 .E456 2018</t>
  </si>
  <si>
    <t>Graduate students-Life skills guides. ; Graduate students.</t>
  </si>
  <si>
    <t>Teaching Computing</t>
  </si>
  <si>
    <t>Simmons, Carl;Hawkins, Claire</t>
  </si>
  <si>
    <t>T58.5 .S548 2015</t>
  </si>
  <si>
    <t>Information technology-Study and teaching (Secondary)</t>
  </si>
  <si>
    <t>Engineering; Computer Science/IT; Engineering: General</t>
  </si>
  <si>
    <t>Effective Medium-Term Planning for Teachers</t>
  </si>
  <si>
    <t>Jerome, Lee;Bhargava, Marcus</t>
  </si>
  <si>
    <t>LB1027.4 .J476 2015</t>
  </si>
  <si>
    <t>Reading at Greater Depth in Key Stage 2</t>
  </si>
  <si>
    <t>Horton, Suzanne;Beattie, Louise;Lannie, Sharon</t>
  </si>
  <si>
    <t>Exploring the Primary Curriculum Series</t>
  </si>
  <si>
    <t>LB1573.7 .H678 2019</t>
  </si>
  <si>
    <t>How Big Is a Big Number? : Learning to Teach Mathematics in the Primary School</t>
  </si>
  <si>
    <t>Killen, Paul;Hindhaugh, Sarah</t>
  </si>
  <si>
    <t>QA135.6 .K555 2018</t>
  </si>
  <si>
    <t>Mathematics teachers-Training of-Great Britain. ; Mathematics-Study and teaching (Primary)</t>
  </si>
  <si>
    <t>Childhood Today</t>
  </si>
  <si>
    <t>Owen, Alex</t>
  </si>
  <si>
    <t>HQ767.9 .O946 2017</t>
  </si>
  <si>
    <t>Early childhood education. ; Child development.</t>
  </si>
  <si>
    <t>Getting into Teacher Training : Passing Your Skills Tests and Succeeding in Your Application</t>
  </si>
  <si>
    <t>Bond, Bruce;Johnson, Jim;Patmore, Mark;Weiss, Nina;Barker, Geoff</t>
  </si>
  <si>
    <t>LB2353.8.G7 B663 2018</t>
  </si>
  <si>
    <t>Teachers-Training of-Great Britain. ; Student teachers-Great Britain-Examinations-Study guides. ; Universities and colleges-England-Entrance examinations-Study guides.</t>
  </si>
  <si>
    <t>Lessons in Teaching Computing in Primary Schools</t>
  </si>
  <si>
    <t>Bird, James;Caldwell, Helen;Mayne, Peter</t>
  </si>
  <si>
    <t>Lessons in Teaching Series</t>
  </si>
  <si>
    <t>QA76.27 .B573 2017</t>
  </si>
  <si>
    <t>Computer science-Study and teaching (Primary) ; Computer science-Study and teaching (Elementary)</t>
  </si>
  <si>
    <t>Special Needs in the Early Years : Partnership and Participation</t>
  </si>
  <si>
    <t>Crutchley, Rebecca</t>
  </si>
  <si>
    <t>LC3986.G7 .S684 2018</t>
  </si>
  <si>
    <t>Special education-Great Britain. ; Children with disabilities-Education (Early childhood)-Great Britain.</t>
  </si>
  <si>
    <t>Training to Teach in Primary Schools : A Practical Guide to School-Based Training and Placements</t>
  </si>
  <si>
    <t>Medwell, Jane A.</t>
  </si>
  <si>
    <t>LB1555 .M439 2015</t>
  </si>
  <si>
    <t>Elementary school teaching-Great Britain. ; Elementary school teachers-Training of-Great Britain.</t>
  </si>
  <si>
    <t>Using Social Media in the Classroom : A Best Practice Guide</t>
  </si>
  <si>
    <t>Poore, Megan</t>
  </si>
  <si>
    <t>LB1044.87 .P667 2016</t>
  </si>
  <si>
    <t>Education-Computer network resources. ; Online social networks. ; Internet in education.</t>
  </si>
  <si>
    <t>Understanding and Teaching Primary Geography</t>
  </si>
  <si>
    <t>Catling, Simon J.;Willy, Tessa</t>
  </si>
  <si>
    <t>G76.5.G7 .U534 2018</t>
  </si>
  <si>
    <t>Geography-Study and teaching (Elementary)-Great Britain.</t>
  </si>
  <si>
    <t>Achieving QTLS Status : A Guide to Demonstrating the Professional Standards</t>
  </si>
  <si>
    <t>Mansell, Sharron;Gravells, Ann</t>
  </si>
  <si>
    <t>LB1731 .M367 2018</t>
  </si>
  <si>
    <t>Introducing Research in Early Childhood</t>
  </si>
  <si>
    <t>Bolshaw, Polly;Josephidou, Jo</t>
  </si>
  <si>
    <t>LB1139.23 .B657 2018</t>
  </si>
  <si>
    <t>Child development-Research. ; Children-Research. ; Early childhood education-Research.</t>
  </si>
  <si>
    <t>Teaching Early Reading and Phonics : Creative Approaches to Early Literacy</t>
  </si>
  <si>
    <t>LB1573.3 .G664 2017</t>
  </si>
  <si>
    <t>Reading-Phonetic method-Great Britain. ; Reading (Early childhood)-Great Britain.</t>
  </si>
  <si>
    <t>Teaching Languages in the Primary School</t>
  </si>
  <si>
    <t>Hood, Philip;Tobutt, Kristina</t>
  </si>
  <si>
    <t>LB1575.8 .H567 2015</t>
  </si>
  <si>
    <t>English language-Study and teaching (Elementary)-Foreign speakers. ; Language and languages-Study and teaching (Elementary)</t>
  </si>
  <si>
    <t>Engaging, Motivating and Empowering Learners in Schools</t>
  </si>
  <si>
    <t>Hewitt, Des;Wright, Brittany</t>
  </si>
  <si>
    <t>LB1051 .H495 2018</t>
  </si>
  <si>
    <t>Educational psychology. ; Motivation in education.</t>
  </si>
  <si>
    <t>A Flying Start Improving Initial Teacher Preparation Systems</t>
  </si>
  <si>
    <t>OECD</t>
  </si>
  <si>
    <t>OECD Publishing</t>
  </si>
  <si>
    <t>LB1707 .F595 2019</t>
  </si>
  <si>
    <t>University-Industry Collaboration New Evidence and Policy Options</t>
  </si>
  <si>
    <t>LC1085 .O743 2019</t>
  </si>
  <si>
    <t>Academic-industrial collaboration.</t>
  </si>
  <si>
    <t>Educational Research and Innovation Educating 21st Century Children Emotional Well-being in the Digital Age</t>
  </si>
  <si>
    <t>HN25 .E383 2019</t>
  </si>
  <si>
    <t>Well-being. ; Child development.</t>
  </si>
  <si>
    <t>Reviews of National Policies for Education The Future of Mexican Higher Education Promoting Quality and Equity</t>
  </si>
  <si>
    <t>LA428 .O743 2018</t>
  </si>
  <si>
    <t>Education, Higher-Mexico.</t>
  </si>
  <si>
    <t>Reviews of National Policies for Education Rethinking Quality Assurance for Higher Education in Brazil</t>
  </si>
  <si>
    <t>LA556 .O743 2018</t>
  </si>
  <si>
    <t>Education-Brazil.</t>
  </si>
  <si>
    <t>Implementing Education Policies Strong Foundations for Quality and Equity in Mexican Schools</t>
  </si>
  <si>
    <t>LA422 .S776 2019</t>
  </si>
  <si>
    <t>Educational change-Mexico. ; School management and organization-Mexico. ; Curriculum planning-Mexico.</t>
  </si>
  <si>
    <t>Helping Our Youngest to Learn and Grow</t>
  </si>
  <si>
    <t>Organization for Economic Cooperation &amp; Development</t>
  </si>
  <si>
    <t>Schleicher Andreas, Andreas</t>
  </si>
  <si>
    <t>LB1139.23 .S354 2019</t>
  </si>
  <si>
    <t>OECD Reviews of Migrant Education Immigrant Students at School Easing the Journey towards Integration</t>
  </si>
  <si>
    <t>LC3715 .I465 2015</t>
  </si>
  <si>
    <t>Immigrant youth-Education. ; Transnationalism. ; Immigrant students.</t>
  </si>
  <si>
    <t>Spaces to Be Me : Quality Environments in Early Years Services</t>
  </si>
  <si>
    <t>Barnardos</t>
  </si>
  <si>
    <t>Barnardo's,Ireland</t>
  </si>
  <si>
    <t>LB3013 .G734 2014</t>
  </si>
  <si>
    <t>Early childhood education. ; Classroom environment.</t>
  </si>
  <si>
    <t>Early Speech and Language Matters : Enriching the Communication Environment and Language Development in Early Childhood</t>
  </si>
  <si>
    <t>French, Geraldine</t>
  </si>
  <si>
    <t>P40.8 .F746 2013</t>
  </si>
  <si>
    <t>After School : Providing an Inspirational after School Programme of Activities for 4-12 Year Olds</t>
  </si>
  <si>
    <t>Border, Barnardos and</t>
  </si>
  <si>
    <t>LC34 .B673 2013</t>
  </si>
  <si>
    <t>After-school programs-Ireland.</t>
  </si>
  <si>
    <t>Realising Potential: Equality, Diversity and Inclusive Practice in Early Years</t>
  </si>
  <si>
    <t>Graham, Imelda</t>
  </si>
  <si>
    <t>LB1139.23 .G734 2017</t>
  </si>
  <si>
    <t>Legislation Handbook for Early Childhood Settings</t>
  </si>
  <si>
    <t>McDermott, Maureen;Lawton, Sinéad</t>
  </si>
  <si>
    <t>LB1139.23 .B376 2019</t>
  </si>
  <si>
    <t>Social Media and Technology Use by Early Childhood Educators</t>
  </si>
  <si>
    <t>Nolan, Deborah</t>
  </si>
  <si>
    <t>LB1139.23 .N653 2019</t>
  </si>
  <si>
    <t>Reflective Practice for Early Childhood Professionals</t>
  </si>
  <si>
    <t>Schonfeld, Heino</t>
  </si>
  <si>
    <t>HV757.A6 .S366 2015</t>
  </si>
  <si>
    <t>Children-Services for-Ireland.</t>
  </si>
  <si>
    <t>Quality Adult-Child Interactions in Early Years Services</t>
  </si>
  <si>
    <t>Duffy, Imelda</t>
  </si>
  <si>
    <t>HV757.A6 .D844 2014</t>
  </si>
  <si>
    <t>Child welfare-Ireland.</t>
  </si>
  <si>
    <t>Support and Supervision in Early Learning and Care</t>
  </si>
  <si>
    <t>McDermott, Michele</t>
  </si>
  <si>
    <t>LB1139.23 .M334 2020</t>
  </si>
  <si>
    <t>The Time of Their Lives : Nurturing Babies' Learning and Development in Early Childhood Settings</t>
  </si>
  <si>
    <t>LB1139.23 .F746 2013</t>
  </si>
  <si>
    <t>Supporting Young Children's Behaviour Skills</t>
  </si>
  <si>
    <t>HQ767.9 .S877 2016</t>
  </si>
  <si>
    <t>Child development. ; Behavior modification. ; Behavioral assessment of children.</t>
  </si>
  <si>
    <t>Protecting Children : A Child Protection Guide for Early Years and School Age Childcare Services</t>
  </si>
  <si>
    <t>HV757.A6 .B376 2018</t>
  </si>
  <si>
    <t>Handbook of University and Professional Careers in School Psychology</t>
  </si>
  <si>
    <t>Floyd, Randy G.;Eckert, Tanya L.</t>
  </si>
  <si>
    <t>LB1027.55 .E254 2021</t>
  </si>
  <si>
    <t>School psychology-Vocational guidance</t>
  </si>
  <si>
    <t>The Professional Doctorate : A Practical Guide</t>
  </si>
  <si>
    <t>Fulton, John;Kuit, Judith;Sanders, Gail</t>
  </si>
  <si>
    <t>Key Scholarship in Media Literacy: David Buckingham</t>
  </si>
  <si>
    <t>Buckingham, David,-1954- ; Mass media in education. ; Media literacy.</t>
  </si>
  <si>
    <t>Religion and Education : The Forgotten Dimensions of Religious Education?</t>
  </si>
  <si>
    <t>Biesta, Gert;Hannam, Patricia</t>
  </si>
  <si>
    <t>How to Market a University : Building Value in a Competitive Environment</t>
  </si>
  <si>
    <t>Flannery, Teresa</t>
  </si>
  <si>
    <t>Decolonisation of Higher Education in Africa : Perspectives from Hybrid Knowledge Production</t>
  </si>
  <si>
    <t>Woldegiorgis, Emnet Tadesse;Turner, Irina;Brahima, Abraham</t>
  </si>
  <si>
    <t>Routledge Contemporary Africa Series</t>
  </si>
  <si>
    <t>LC191.98.A35 .D436 2021</t>
  </si>
  <si>
    <t>Education, Higher-Social aspects-Africa.</t>
  </si>
  <si>
    <t>Integrating Physical Education and Geography : A Case Study of the Czech Republic, Slovenia and Denmark</t>
  </si>
  <si>
    <t>Petr Vlček;Tatjana Resnik Planinc;Hana Svobodová</t>
  </si>
  <si>
    <t>GV243 .V545 2016</t>
  </si>
  <si>
    <t>Interdisciplinary approach in education. ; Physical education and training.</t>
  </si>
  <si>
    <t>Pollock, Jane E.;Tolone, Laura J.</t>
  </si>
  <si>
    <t>LB1025.3 .P655 2021</t>
  </si>
  <si>
    <t>Climbing a Broken Ladder : Contributors of College Success for Youth in Foster Care</t>
  </si>
  <si>
    <t>Okpych, Nathanael J.</t>
  </si>
  <si>
    <t>362.73/30973</t>
  </si>
  <si>
    <t>Foster children-Education (Higher)-United States-Case studies. ; Foster children-United States-Social conditions. ; College attendance-United States-Case studies.</t>
  </si>
  <si>
    <t>Leadership for Remote Learning : Strategies for Success</t>
  </si>
  <si>
    <t>Williamson, Ronald;Blackburn, Barbara R.</t>
  </si>
  <si>
    <t>Educational Studies in Europe : Amsterdam and Berlin Compared</t>
  </si>
  <si>
    <t>Heyting, Frieda;Koppen, Jan;Lenzen, Dieter;Thiel, Felicitas</t>
  </si>
  <si>
    <t>International Educational Studies</t>
  </si>
  <si>
    <t>LA775.B5 .E383 1997</t>
  </si>
  <si>
    <t>Education-Germany-Berlin-Cross-cultural studies-Congresses. ; Education-Netherlands-Amsterdam-Cross-cultural studies-Congresses. ; Education-Social aspects-Germany-Berlin-Cross-cultural studies-Congresses.</t>
  </si>
  <si>
    <t>Early Modern Universities : Networks of Higher Learning</t>
  </si>
  <si>
    <t>Goeing, Anja-Silvia;Parry, Glyn;Feingold, Mordechai</t>
  </si>
  <si>
    <t>The Practice of Qualitative Research in Migration Studies : Ethical Issues As a Methodological Challenge</t>
  </si>
  <si>
    <t>Zapata-Barrero, Ricard;Yalaz, Evren;Vicars, Mark</t>
  </si>
  <si>
    <t>JV6013.5 .P733 2020</t>
  </si>
  <si>
    <t>Emigration and immigration-Research-Methodology. ; Qualitative research.</t>
  </si>
  <si>
    <t>Youth Studies and Youth Epistemologies in English Teaching and Teacher Education</t>
  </si>
  <si>
    <t>Watson, Vaughn;Petrone, Robert</t>
  </si>
  <si>
    <t>LB1576 .Y688 2020</t>
  </si>
  <si>
    <t>English language-Study and teaching. ; Youth in development.</t>
  </si>
  <si>
    <t>Evidence-Based and Pragmatic Online Teaching and Learning Approaches : A Response to Emergency Transitions to Remote Online Education in K-12, Higher Education, and Librarianship Part 1</t>
  </si>
  <si>
    <t>Reynolds, Rebecca;Chu, Sam</t>
  </si>
  <si>
    <t>Information and Learning Sciences Series</t>
  </si>
  <si>
    <t>LB1044.87 .E95 2020</t>
  </si>
  <si>
    <t>School Administrators' Well-Being and Mindfulness</t>
  </si>
  <si>
    <t>Pollock, Katina;Wang, Fei;Mahfouz, Julia</t>
  </si>
  <si>
    <t>HN25 .S366 2020</t>
  </si>
  <si>
    <t>Mindfulness (Psychology) ; School principals-Job stress. ; Well-being.</t>
  </si>
  <si>
    <t>Evidence-Based and Pragmatic Online Teaching and Learning Approaches : A Response to Emergency Transitions to Remote Online Education in K-12, Higher Education, and Librarianship Part 2</t>
  </si>
  <si>
    <t>Technological Mediation in Innovative Education</t>
  </si>
  <si>
    <t>Wong, Billy;Kwan, Reggie;Li, Kam Cheong</t>
  </si>
  <si>
    <t>LB1028.5 .T43 2020</t>
  </si>
  <si>
    <t>Outdoor Education in Historical Perspective</t>
  </si>
  <si>
    <t>Freeman, Mark;Seaman, Jayson</t>
  </si>
  <si>
    <t>LB1047 .O98 2020</t>
  </si>
  <si>
    <t>Framing Issues of Leadership for Special Education</t>
  </si>
  <si>
    <t>Boscardin, Mary Lynn;Shepherd, Katharine</t>
  </si>
  <si>
    <t>LB2805 .F73 2020</t>
  </si>
  <si>
    <t>School management and organization. ; Special education.</t>
  </si>
  <si>
    <t>A History and Sociology of the Willowbrook State School</t>
  </si>
  <si>
    <t>American Association on Intellectual &amp; Developmental Disabilities</t>
  </si>
  <si>
    <t>AAIDD</t>
  </si>
  <si>
    <t>Goode, David;Hill, Darryl;Reiss, Jean</t>
  </si>
  <si>
    <t>HV3006.N7 .G663 2013</t>
  </si>
  <si>
    <t>371.9209747/26</t>
  </si>
  <si>
    <t>Willowbrook State School-History. ; Developmentally disabled-Institutional care-New York (State)-History. ; People with mental disabilities-Institutional care-New York (State)-History.</t>
  </si>
  <si>
    <t>Cross-Cultural Quality of Life : Enhancing the Lives of People with Intellectual Disability</t>
  </si>
  <si>
    <t>Schalock, Robert L.;Keith, Kenneth D.</t>
  </si>
  <si>
    <t>HV3004 .S335 2016</t>
  </si>
  <si>
    <t>People with mental disabilities-Social aspects. ; People with mental disabilities-Cross-cultural studies.</t>
  </si>
  <si>
    <t>Way Leads on to Way : Paths to Employment for People with Intellectual Disability</t>
  </si>
  <si>
    <t>Kiernan, William E.;Bradley, Valerie J.;Bershadsky, Julie</t>
  </si>
  <si>
    <t>HV3005 .A447 2015</t>
  </si>
  <si>
    <t>People with mental disabilities-Employment-United States. ; People with mental disabilities-Employment. ; United States.</t>
  </si>
  <si>
    <t>Clinical Judgement</t>
  </si>
  <si>
    <t>Schalock, Robert L.;Luckasson, Ruth</t>
  </si>
  <si>
    <t>R723 .S335 2014</t>
  </si>
  <si>
    <t>Medical logic. ; Intellectual disability-Diagnosis. ; Clinical medicine-Decision making.</t>
  </si>
  <si>
    <t>Critical Issues in Intellectual and Developmental Disabilities : Contemporary Research, Practice, and Policy</t>
  </si>
  <si>
    <t>Agosta, John;Agran, Martin;Ailey, Sarah</t>
  </si>
  <si>
    <t>HV3004 .A367 2016</t>
  </si>
  <si>
    <t>Intellectual disability. ; Quality of life. ; Social participation. ; People with mental disabilities-Cross-cultural studies.</t>
  </si>
  <si>
    <t>Standing Together and Finding a Voice Apart : Advocating for Intellectual Disability Rights</t>
  </si>
  <si>
    <t>Rich, Amanda J.</t>
  </si>
  <si>
    <t>HV3004 .R534 2015</t>
  </si>
  <si>
    <t>Intellectual disability. ; People with mental disabilities. ; Developmental disabilities.</t>
  </si>
  <si>
    <t>Advancing Online Teaching : Creating Equity-Based Digital Learning Environments</t>
  </si>
  <si>
    <t>Kelly, Kevin;Zakrajsek, Todd D.</t>
  </si>
  <si>
    <t>LB1044.87 .K455 2021</t>
  </si>
  <si>
    <t>Instructional systems-Design</t>
  </si>
  <si>
    <t>The New PhD : How to Build a Better Graduate Education</t>
  </si>
  <si>
    <t>Cassuto, Leonard;Weisbuch, Robert</t>
  </si>
  <si>
    <t>LB2386 .C377 2021</t>
  </si>
  <si>
    <t>Building Higher Education Cooperation with the EU : Challenges and Opportunities from Four Continents</t>
  </si>
  <si>
    <t>Balbachevsky, Elizabeth;Cai, Yuzhuo;Eggins, Heather;Shenderova, Svetlana</t>
  </si>
  <si>
    <t>LB2331.5 .B855 2021</t>
  </si>
  <si>
    <t>University cooperation-European Union countries.</t>
  </si>
  <si>
    <t>Critical Theorizations of Education</t>
  </si>
  <si>
    <t>Abdi, Ali A.</t>
  </si>
  <si>
    <t>International Handbook of Mathematics Teacher Education: Volume 4 : The Mathematics Teacher Educator As a Developing Professional (Second Edition)</t>
  </si>
  <si>
    <t>Beswick, Kim;Chapman, Olive</t>
  </si>
  <si>
    <t>Mathematics teachers-Training of. ; Teacher educators-Training of. ; Teacher educators-Vocational guidance. ; Mathematics-Study and teaching.</t>
  </si>
  <si>
    <t>Designing the Online Learning Experience : Evidence-Based Principles and Strategies</t>
  </si>
  <si>
    <t>Conceição, Simone C. O.;Howles, Les</t>
  </si>
  <si>
    <t>LB2331 .C663 2021</t>
  </si>
  <si>
    <t>College teaching-Aids and devices</t>
  </si>
  <si>
    <t>Education Without Debt : Giving Back and Paying It Forward</t>
  </si>
  <si>
    <t>MacDonald, Scott D.</t>
  </si>
  <si>
    <t>LB2342   .M333 2020</t>
  </si>
  <si>
    <t>College costs-United States. ; Student loans-United States. ; Education, Higher-United States-Finance.</t>
  </si>
  <si>
    <t>Personalized Deeper Learning : Blueprints for Teaching Complex Cognitive, Social-Emotional, and Digital Skills (a How-To Guide for Deep Learning and Student Engagement with Any Curriculum)</t>
  </si>
  <si>
    <t>Leading Standards-Based Learning : An Implementation Guide for Schools and Districts (a Comprehensive, Five-Step Marzano Resources Curriculum Implementation</t>
  </si>
  <si>
    <t>Heflebower, Tammy;Hoegh, Jan K.;Warrick, Philip B.</t>
  </si>
  <si>
    <t>LB3060.82 .H445 2021</t>
  </si>
  <si>
    <t>Actively Caring for People in Schools : How to Cultivate a Culture of Compassion</t>
  </si>
  <si>
    <t>Geller, E. Scott;Kipper, Bobby</t>
  </si>
  <si>
    <t>BJ1475 .G455 2017</t>
  </si>
  <si>
    <t>Caring-Social aspects.</t>
  </si>
  <si>
    <t>The Premed Playbook Guide to the Medical School Interview : Be Prepared, Perform Well, Get Accepted</t>
  </si>
  <si>
    <t>Gray, Ryan</t>
  </si>
  <si>
    <t>R838.4 .G739 2017</t>
  </si>
  <si>
    <t>Medical colleges-United States-Admission</t>
  </si>
  <si>
    <t>The Motivation to Actively Care : How You Can Make It Happen</t>
  </si>
  <si>
    <t>Geller, E. Scott;Veazie, Bob</t>
  </si>
  <si>
    <t>Caring.</t>
  </si>
  <si>
    <t>The Premed Playbook : Guide to the Medical School Personal Statement</t>
  </si>
  <si>
    <t>Medicine; Language/Linguistics</t>
  </si>
  <si>
    <t>The American Epidemic : Solutions for over-Medicating Our Youth</t>
  </si>
  <si>
    <t>Granett, Frank J.</t>
  </si>
  <si>
    <t>RJ506.B44 .G736 2014</t>
  </si>
  <si>
    <t>Behavior disorders in children-Diagnosis. ; Behavior disorders in children-Treatment. ; Child psychopathology-Treatment.</t>
  </si>
  <si>
    <t>Advancing a Jobs-Driven Economy : Higher Education and Business Partnerships Lead the Way</t>
  </si>
  <si>
    <t>LC1085 .S746 2015</t>
  </si>
  <si>
    <t>College Belonging : How First-Year and First-Generation Students Navigate Campus Life</t>
  </si>
  <si>
    <t>LB2343</t>
  </si>
  <si>
    <t>College freshmen-United States. ; First-generation college students-United States. ; Belonging (Social psychology) ; College environment-United States. ; College student orientation-United States. ; Teacher-student relationships-United States.</t>
  </si>
  <si>
    <t>Navigating Moments of Hesitation : Portraits of Evangelical English Language Arts Teachers</t>
  </si>
  <si>
    <t>Hadley, Heidi Lyn</t>
  </si>
  <si>
    <t xml:space="preserve">Recent Work, However, in Resacralization and Postsecularism Suggests a Different Route. This Series Seeks to Engage Questions That Have Largely Been Ignored in the Field of Educational Research. As Such It Takes the Stance That Public Education Is Always </t>
  </si>
  <si>
    <t>LB2844.1.R4 .H335 2021</t>
  </si>
  <si>
    <t>Language arts teachers-Training of.</t>
  </si>
  <si>
    <t>Leading PLCs at Work® Districtwide Plan Book : (a School District Leadership Plan Book for Continuous Improvement in a PLC)</t>
  </si>
  <si>
    <t>Eaker, Robert;Keating, Janel;Rhoades, Meagan</t>
  </si>
  <si>
    <t>LC71.2 .E254 2021</t>
  </si>
  <si>
    <t>Building Great Mental Health Professional-Teacher Teams : A Systematic Approach to Social-Emotional Learning for Students and Educators (a Team-Building Resource for Improving Student Well-being Through Social-emotional Learning (SEL))</t>
  </si>
  <si>
    <t>Stalbaum, Erin</t>
  </si>
  <si>
    <t>LB3430 .B353 2021</t>
  </si>
  <si>
    <t>Students-Mental health services.</t>
  </si>
  <si>
    <t>Education; Social Science; Health</t>
  </si>
  <si>
    <t>Essentials of Psychological Tele-Assessment</t>
  </si>
  <si>
    <t>Wright, A. Jordan;Raiford, Susan Engi</t>
  </si>
  <si>
    <t>150.28/7</t>
  </si>
  <si>
    <t>Psychological tests</t>
  </si>
  <si>
    <t>International Perspectives on Emerging Trends and Integrating Research-Based Learning Across the Curriculum</t>
  </si>
  <si>
    <t>Education, Higher-Research. ; Universities and colleges-Graduate work.</t>
  </si>
  <si>
    <t>Giving Students a Say : Smarter Assessment Practices to Empower and Engage</t>
  </si>
  <si>
    <t>LB3051 .D843 2021</t>
  </si>
  <si>
    <t>Educational tests and measurements-United States.</t>
  </si>
  <si>
    <t>The Distance Learning Playbook for College and University Instruction : Teaching for Engagement and Impact in Any Setting</t>
  </si>
  <si>
    <t>Fisher, Douglas;Frey, Nancy;Almarode, John T.;Hattie, John</t>
  </si>
  <si>
    <t>LB2395.7 .F574 2021</t>
  </si>
  <si>
    <t>Leading PLCs at Work® Districtwide</t>
  </si>
  <si>
    <t>Eaker, Robert;Hagadone, Mike;Keating, Janel;Rhoades, Meagan</t>
  </si>
  <si>
    <t>LB1731 .L433 2021</t>
  </si>
  <si>
    <t>Professional learning communities-United States. ; Team learning approach in education-Handbooks, manuals, etc.</t>
  </si>
  <si>
    <t>The Future of the Self : Understanding Personalization in Childhood and Beyond</t>
  </si>
  <si>
    <t>Technology and children</t>
  </si>
  <si>
    <t>Serving Higher Purposes : University Mergers in Post-Apartheid South Africa</t>
  </si>
  <si>
    <t>Rensburg, Ihron</t>
  </si>
  <si>
    <t>On Higher Education Transformation Series</t>
  </si>
  <si>
    <t>LB2341.8.S6 .R467 2020</t>
  </si>
  <si>
    <t>Universities and colleges-Mergers.</t>
  </si>
  <si>
    <t>The Language Issue in the Teaching of Mathematics in South Africa : Intermediate Phase Research from One Province</t>
  </si>
  <si>
    <t>Tshuma, Lindiwe</t>
  </si>
  <si>
    <t>P57.S57 .T748 2020</t>
  </si>
  <si>
    <t>Mathematics-Study and teaching (Elementary)-South Africa. ; Second language acquisition. ; Mathematics-Study and teaching.</t>
  </si>
  <si>
    <t>Ta'arruf As a Philosophy of Muslim Education : Extending Abu Bakr Effendi's Pragmatism</t>
  </si>
  <si>
    <t>B759.E34 .W344 2020</t>
  </si>
  <si>
    <t>Abu Bakr Effendi,--1880-Influence. ; Islamic education-Philosophy. ; Islamic philosophy-Influence.</t>
  </si>
  <si>
    <t>Teacher Education for Transformative Education : Critical Perspectives on Design, Content Andpedagogy</t>
  </si>
  <si>
    <t>America, Carina;Edwards, Nazeem;Robinson, Maureen</t>
  </si>
  <si>
    <t>LB1727.N35 .A447 2020</t>
  </si>
  <si>
    <t>Teachers-Training of. ; Teachers-Training of-South Africa.</t>
  </si>
  <si>
    <t>Tackling Anxiety in Primary Mathematics Teachers</t>
  </si>
  <si>
    <t>Wicks, Karen;Menter, Ian</t>
  </si>
  <si>
    <t>QA135.5 .W535 2021</t>
  </si>
  <si>
    <t>Keeping Us Engaged : Student Perspectives (and Research-Based Strategies) on What Works and Why</t>
  </si>
  <si>
    <t>Harrington, Christine;50 College Students, F. O.</t>
  </si>
  <si>
    <t>LB2331 .H377 2021</t>
  </si>
  <si>
    <t>Combatting Marginalisation by Co-Creating Education : Methods, Theories and Practices from the Perspectives of Young People</t>
  </si>
  <si>
    <t>Gravesen, David Thore;Stuart, Kaz;Bunting, Mette;Mikkelsen, Sidse Hølvig;Frostholm, Peter Hornbæk</t>
  </si>
  <si>
    <t>Chapters on Interdisciplinary Research and Research Skills</t>
  </si>
  <si>
    <t>van der Gaast, Koen;Keestra, Machiel;Koenders, Laura;Menken, Steph;Post, Ger</t>
  </si>
  <si>
    <t>Q180.55.M4 .C437 2020</t>
  </si>
  <si>
    <t>Research-Methodology.</t>
  </si>
  <si>
    <t>Deep Change Leadership : A Model for Renewing and Strengthening Schools and Districts (a Resource for Effective School Leadership and Change Efforts)</t>
  </si>
  <si>
    <t>LB2805 .R448 2021</t>
  </si>
  <si>
    <t>Educational leadership-United States.</t>
  </si>
  <si>
    <t>From Hope to Action Through Knowledge : The Renaissance of the University of the Western Cape, 2001-2014</t>
  </si>
  <si>
    <t>UWC Press</t>
  </si>
  <si>
    <t>Bharuthram, Ramesh;Pokpas, Larry</t>
  </si>
  <si>
    <t>LA1538 .F766 2020</t>
  </si>
  <si>
    <t>All Change! : Best Practice for Educational Transitions</t>
  </si>
  <si>
    <t>Packer, Rhiannon</t>
  </si>
  <si>
    <t>LC210 .P335 2021</t>
  </si>
  <si>
    <t>School environment. ; Students-Psychology. ; Educational change.</t>
  </si>
  <si>
    <t>An Ambitious Primary School Curriculum</t>
  </si>
  <si>
    <t>LB3325.P7 .G539 2021</t>
  </si>
  <si>
    <t>Primary School.</t>
  </si>
  <si>
    <t>Teaching and Learning in International Schools : Lessons from Primary Practice</t>
  </si>
  <si>
    <t>Roiha, Anssi;Wiseman, Eryn</t>
  </si>
  <si>
    <t>LC1090 .T433 2021</t>
  </si>
  <si>
    <t>International schools. ; Teaching.</t>
  </si>
  <si>
    <t>Outstanding Early Childhood Practice in ICT</t>
  </si>
  <si>
    <t>Sung, Hui-Yun;Siraj-Blatchford, John;Kucirkova, Natalia</t>
  </si>
  <si>
    <t>LB1139.35.C64 S86 2016</t>
  </si>
  <si>
    <t>Emotional Literacy in the Early Years : Helping Children Balance Body and Mind</t>
  </si>
  <si>
    <t>Allingham, Sue</t>
  </si>
  <si>
    <t>Little Steps Series</t>
  </si>
  <si>
    <t>LB1139.35.A37 .A455 2020</t>
  </si>
  <si>
    <t>Small World Play</t>
  </si>
  <si>
    <t>Chalmers, Debbie</t>
  </si>
  <si>
    <t>Play in the EYFS Series</t>
  </si>
  <si>
    <t>LB1139.35.P55 .C435 2018</t>
  </si>
  <si>
    <t>Play. ; Early childhood education-Activity programs.</t>
  </si>
  <si>
    <t>The Thames and I : A Memoir by Prince Naruhito of Two Years at Oxford</t>
  </si>
  <si>
    <t>Naruhito;Cortazzi, Hugh</t>
  </si>
  <si>
    <t>Princes.</t>
  </si>
  <si>
    <t>If You Can't Reach Them You Can't Teach Them : Building Effective Learning Relationships</t>
  </si>
  <si>
    <t>Hewitson, Kevin</t>
  </si>
  <si>
    <t>LB1025.3 .H49 2021</t>
  </si>
  <si>
    <t>Effective teaching. ; Teacher-student relationships.</t>
  </si>
  <si>
    <t>Developing Teachers As Leaders : A Reflective Writing Approach</t>
  </si>
  <si>
    <t>Quirke, Phil;Kreeft Peyton, Joy;Burton, Jill;L. Reichmann, Carla;Trites, Latricia</t>
  </si>
  <si>
    <t>An Illustrated Guide to Managing Institutions of Higher Education : For New Leaders and New Institutions</t>
  </si>
  <si>
    <t>Hunter, Fiona;Sparnon, Neil;Bevan Hunter, Ursula</t>
  </si>
  <si>
    <t>LB2341 .I458 2021</t>
  </si>
  <si>
    <t>Education, Higher-Administration.</t>
  </si>
  <si>
    <t>Deanship in the Global South : Bridging Troubled Waters</t>
  </si>
  <si>
    <t>J.J. Seale, Oliver</t>
  </si>
  <si>
    <t>HD57.7 .S435 2021</t>
  </si>
  <si>
    <t>Inhuman Educations : Jean-François Lyotard, Pedagogy, Thought</t>
  </si>
  <si>
    <t>Lyotard, Jean-François,-1924-1998. ; Education-Philosophy. ; Postmodernism and education.</t>
  </si>
  <si>
    <t>Education for Democracy 2. 0 : Changing Frames of Media Literacy</t>
  </si>
  <si>
    <t>Hoechsmann, Michael;Thésée, Gina;Carr, Paul R.</t>
  </si>
  <si>
    <t>P96.M4 .E383 2021</t>
  </si>
  <si>
    <t>Media literacy. ; Mass media in education. ; Social media in education.</t>
  </si>
  <si>
    <t>Gen Ed</t>
  </si>
  <si>
    <t>G. Mulcahy, D.</t>
  </si>
  <si>
    <t>PS3613.U425 .M853 2021</t>
  </si>
  <si>
    <t>Education, Higher-Fiction. ; Educational change-Fiction. ; College stories.</t>
  </si>
  <si>
    <t>Homeschooling : A Guidebook of Practices, Claims, Issues, and Implications</t>
  </si>
  <si>
    <t>Jameson Brewer, T.</t>
  </si>
  <si>
    <t>Home schooling-United States-History. ; Home schooling-United States-Religious aspects. ; Education and state-United States.</t>
  </si>
  <si>
    <t>We Are Crew: : A Teamwork Approach to School Culture</t>
  </si>
  <si>
    <t>EL Education Inc. - EL Ed Publications</t>
  </si>
  <si>
    <t>LC210 .B474 2020</t>
  </si>
  <si>
    <t>School environment. ; Social networks.</t>
  </si>
  <si>
    <t>Research and Methodology in Times of Crisis and Emergency</t>
  </si>
  <si>
    <t>Ling, Lorraine;Ling, Peter;Vicars, Mark</t>
  </si>
  <si>
    <t>HD49 .R474 2020</t>
  </si>
  <si>
    <t>Embodiment and Literacies : Teaching, Learning, and Becoming in a Post- World</t>
  </si>
  <si>
    <t>Godley, Amanda;Thein, Amanda Haertling;Kontovourki, Stavroula</t>
  </si>
  <si>
    <t>LB1025.3 .E436 2020</t>
  </si>
  <si>
    <t>The Effective Teacher : Theory and Research on Instructors' Motivation in Higher Education</t>
  </si>
  <si>
    <t>Vanka, Sita;Rao, Madasu Bhaskara;Blessinger, Patrick</t>
  </si>
  <si>
    <t>Journal of Applied Research in Higher Education Series</t>
  </si>
  <si>
    <t>LB1025.3 .E344 2020</t>
  </si>
  <si>
    <t>Higher and Degree Apprenticeships : Equality and Diversity Matter</t>
  </si>
  <si>
    <t>Queiros, Gilmar;Wall, Tony</t>
  </si>
  <si>
    <t>LC1041 .H544 2020</t>
  </si>
  <si>
    <t>Vocational education-Periodicals.</t>
  </si>
  <si>
    <t>Transforming the Perception of Apprenticeships in England : Professional Careers in the Public Sector</t>
  </si>
  <si>
    <t>Wall, Tony;Bravenboer, Darryll;Crawford-Lee, Mandy</t>
  </si>
  <si>
    <t>LC1043 .T736 2020</t>
  </si>
  <si>
    <t>Culturally-Situated and Social Justice Research and Approaches in the Learning and Information Sciences</t>
  </si>
  <si>
    <t>Reynolds, Rebecca;Chu, Sam;Gabriela, Richard</t>
  </si>
  <si>
    <t>Q180.A1 .R496 2020</t>
  </si>
  <si>
    <t>Science; Medicine</t>
  </si>
  <si>
    <t>Do not Disturb! I'm Drawing : A Journey of Self-Development Through Lines and Doodles. Understanding Children’s Drawings</t>
  </si>
  <si>
    <t>Feinberg, Michal Bogin;Bogin, Rony</t>
  </si>
  <si>
    <t>BF723.D7 .F456 2021</t>
  </si>
  <si>
    <t>Taking Action : Implementing Effective Mathematics Teaching Practices in Grades 6-8</t>
  </si>
  <si>
    <t>Reston, VA</t>
  </si>
  <si>
    <t>Smith, Margaret;Steele, Michael;Raith, Mary Lynn</t>
  </si>
  <si>
    <t>Taking Action Series</t>
  </si>
  <si>
    <t>QA10.5 .S744 2017</t>
  </si>
  <si>
    <t>Mathematics teachers-Training of. ; Mathematics-Study and teaching (Middle school)</t>
  </si>
  <si>
    <t>The Wiley Handbook of Gender Equity in Higher Education</t>
  </si>
  <si>
    <t>Niemi, Nancy S.;Weaver-Hightower, Marcus B.</t>
  </si>
  <si>
    <t>Education, Higher-Social aspects-United States-Handbooks, manuals, etc</t>
  </si>
  <si>
    <t>Towards the Implementation of Formal Formative Assessment in Inquiry-Based Science Education in Switzerland</t>
  </si>
  <si>
    <t>Grob, Regula</t>
  </si>
  <si>
    <t>Q181 .G763 2017</t>
  </si>
  <si>
    <t>Video-Interventions : Bridges Between Theory and Practice in Pre-Service Teachers' Development</t>
  </si>
  <si>
    <t>Vondrová, Naďa</t>
  </si>
  <si>
    <t>LB41 .V663 2020</t>
  </si>
  <si>
    <t>Stop Leading, Start Building! : Turn Your School into a Success Story with the People and Resources You Already Have</t>
  </si>
  <si>
    <t>Sports Global Influence: a Survey of Society and Culture in the Context of Sport</t>
  </si>
  <si>
    <t>Arthur-Banning, Skye G.;Waliaula, Solomon</t>
  </si>
  <si>
    <t>HM623 .S667 2015</t>
  </si>
  <si>
    <t>Culture-Study and teaching.</t>
  </si>
  <si>
    <t>Educational Tales of the Unexpected: Children and Creativity</t>
  </si>
  <si>
    <t>O'Connor, Doireann</t>
  </si>
  <si>
    <t>You Can't Make This Up! : Stories from the Field - Resolving Educational Leadership Dilemmas</t>
  </si>
  <si>
    <t>Rae Markert, Linda</t>
  </si>
  <si>
    <t>Education Beyond Europe : Models and Traditions Before Modernities</t>
  </si>
  <si>
    <t>Casalini, Cristiano;Choi, Edward;Woldegiyorgis, Ayenachew A.</t>
  </si>
  <si>
    <t>History of Early Modern Educational Thought Series</t>
  </si>
  <si>
    <t>Creating a Visual World: from Concepts to Classrooms</t>
  </si>
  <si>
    <t>Aplicaciones de Intervención en Actividad Física Adaptada</t>
  </si>
  <si>
    <t>Dykinson, S.L.</t>
  </si>
  <si>
    <t>SPAIN</t>
  </si>
  <si>
    <t>Romero, Alba Roldan;Diaz, Alberto Castillo;Leon, Ana Manzano;Aguilar-Parra, José Manuel;Díaz, Adolfo J. Cangas;Antonio, José Gallego</t>
  </si>
  <si>
    <t>GV</t>
  </si>
  <si>
    <t>Physical education for people with disabilities.</t>
  </si>
  <si>
    <t>Coordinación Docente y TFG Análisis y Propuestas en el Escenario Universitario 2019</t>
  </si>
  <si>
    <t>Olivencia, Juan José Leiva;Terrón, Antonio Matas</t>
  </si>
  <si>
    <t>LF</t>
  </si>
  <si>
    <t>College teaching-Spain. ; Education-Study and teaching (Higher)-Spain.</t>
  </si>
  <si>
    <t>Las Transformaciones de la Educación : De la Tradición a la Modernidad Hasta la Incertidumbre Actual</t>
  </si>
  <si>
    <t>Duque, Eduardo;Durán Vázquez, José F.</t>
  </si>
  <si>
    <t>¿Avanzamos Hacia Universidades Más Inclusivas? : De La Retórica a los Hechos</t>
  </si>
  <si>
    <t>Vázquez, Carmen Márquez</t>
  </si>
  <si>
    <t>Inclusive education-Spain.</t>
  </si>
  <si>
    <t>Desarrollo Humano VI : Retos Educativos Del Profesorado en el Siglo XXI</t>
  </si>
  <si>
    <t>Legaz, Ana Josefa Carmona;Castro, Sonia María Martínez</t>
  </si>
  <si>
    <t>Avances en Recursos TIC e Innovación Educativa</t>
  </si>
  <si>
    <t>Cáceres Reche, María Pilar;Hinojo Lucena, Francisco Javier;Aznar Díaz, Inmaculada</t>
  </si>
  <si>
    <t>LB1027 .A936 2019</t>
  </si>
  <si>
    <t>Educational innovations. ; Information technology in education.</t>
  </si>
  <si>
    <t>Estudios Sobre Educación Política. de la Antigüedad a la Modernidad, con un Epílogo Sobre la Contemporaneidad</t>
  </si>
  <si>
    <t>Sala Villaverde, Alicia;Vergara Ciordia, Javier</t>
  </si>
  <si>
    <t>JA</t>
  </si>
  <si>
    <t>Political science-Study and teaching.</t>
  </si>
  <si>
    <t>Emprendimiento e Innovación: Oportunidades para Todos</t>
  </si>
  <si>
    <t>Sánchez-García, José C.</t>
  </si>
  <si>
    <t>HB615 .E477 2021</t>
  </si>
  <si>
    <t>Entrepreneurship.</t>
  </si>
  <si>
    <t>Personas con Necesidad de Oportunidades : Una Perspectiva Práctica</t>
  </si>
  <si>
    <t>Cabrera, María Elena Nieto;Morales, Concepcion Nieto</t>
  </si>
  <si>
    <t>HV</t>
  </si>
  <si>
    <t>Capacity and disability-Spain. ; Capacity and disability.</t>
  </si>
  <si>
    <t>Tecnologías para la Formación de Profesionales en Educación</t>
  </si>
  <si>
    <t>Vidal, Israel Caraballo;Rey, Francisco José Ruiz;Robles, Daniel Cebrián;García, Antonio Alías</t>
  </si>
  <si>
    <t>Teachers-Training of. ; Educational technology.</t>
  </si>
  <si>
    <t>Habilidades para la Vida. Familia y Escuela</t>
  </si>
  <si>
    <t>Bofarull, Ignasi de;Camps Bansell, Jaume</t>
  </si>
  <si>
    <t>Parent-teacher relationships.</t>
  </si>
  <si>
    <t>Recursos Digitales para la Diversidad Funcional</t>
  </si>
  <si>
    <t>Fernández Batanero, José María;Cejudo Cortés, Aránzazu;Corchuelo Fernández, Celia</t>
  </si>
  <si>
    <t>T58.5 .B383 2019</t>
  </si>
  <si>
    <t>Information technology. ; Digital communications.</t>
  </si>
  <si>
    <t>La Enseñanza de Las Ciencias Sociales y la Ciudadanía : Estudio Comparado Hispano-Japonés</t>
  </si>
  <si>
    <t>Delgado-Algarra, Emilio José;Bernal-Bravo, César;Vázquez Cano, Esteban</t>
  </si>
  <si>
    <t>Social sciences-Study and teaching-Spain. ; Social sciences-Study and teaching-Japan. ; Citizenship-Study and teaching-Spain.</t>
  </si>
  <si>
    <t>Construcciones culturales y políticas de género</t>
  </si>
  <si>
    <t>López-Agulló Pérez-Caballero, José Manuel;Hernández Martínez, Eva;Marín Conejo, Sergio</t>
  </si>
  <si>
    <t>H</t>
  </si>
  <si>
    <t>Sex role. ; Gender identity. ; Women in mass media.</t>
  </si>
  <si>
    <t>Acompañar la Inclusión Escolar</t>
  </si>
  <si>
    <t>Moliner García, Odet</t>
  </si>
  <si>
    <t>LC1200 .A266 2020</t>
  </si>
  <si>
    <t>Las Metodologías Didácticas Innovadoras Como Estrategia para Afrontar Los Desafíos Educativos Del Siglo XXI</t>
  </si>
  <si>
    <t>Campoy, Juan Miguel Fernández;Lopez, Nieves Gomez</t>
  </si>
  <si>
    <t>Education. ; Teaching-Methodology. ; Education and globalization.</t>
  </si>
  <si>
    <t>Educación Inclusiva: Abriendo Puertas Al Futuro</t>
  </si>
  <si>
    <t>Ortiz Jiménez, Luis;Carrión Martínez, José J.</t>
  </si>
  <si>
    <t>LC1200 .E38 2020</t>
  </si>
  <si>
    <t>La República de Sabios : Profesores, Cátedras y Universidad en la Salamanca Del Siglo de Oro</t>
  </si>
  <si>
    <t>Rubio Muñoz, Francisco Javier</t>
  </si>
  <si>
    <t>College teachers-Spain-Salamanca-History-16th century.</t>
  </si>
  <si>
    <t>Conceptos, Autores, Instituciones. Revisión Crítica de la Investigación Reciente Sobre la Escuela de Salamanca (2008-19) y Bibliografía Multidisciplinar .</t>
  </si>
  <si>
    <t>Ramírez Santos, Celia Alejandra.;Egío, José Luis.</t>
  </si>
  <si>
    <t>B</t>
  </si>
  <si>
    <t>Philosophy.</t>
  </si>
  <si>
    <t>Estudios Sobre la Universidad de Tortosa (1600-1717)</t>
  </si>
  <si>
    <t>Serra, Pedro Ramis;Barceló, Rafael Ramis</t>
  </si>
  <si>
    <t>Universities and colleges-Spain-History.</t>
  </si>
  <si>
    <t>Investigaciones y Avances en el Estudio Social y Psicoeducativo de Las Familias Diversas</t>
  </si>
  <si>
    <t>Justicia-Arráez, Ana;Álvarez-Bernardo, Gloria;Alba, Guadalupe;Benavides-Nieto, Alicia</t>
  </si>
  <si>
    <t>HQ</t>
  </si>
  <si>
    <t>Parenting.</t>
  </si>
  <si>
    <t>Investigación y Experiencias de Innovación Pedagógica Inclusiva en una Sociedad Intercultural y en Red</t>
  </si>
  <si>
    <t>Leiva Olivencia, Juan José;Matas Terrón, Antonio</t>
  </si>
  <si>
    <t>LC1200 .I58 2020</t>
  </si>
  <si>
    <t>Emprendimiento Universitario en la Universidad Rey Juan Carlos en Madrid</t>
  </si>
  <si>
    <t>Fuente Cabrero, Concepción de la;Laguna Sánchez, Pilar</t>
  </si>
  <si>
    <t>Universities and colleges-Spain.</t>
  </si>
  <si>
    <t>Retos Socioeducativos Del Siglo XXI</t>
  </si>
  <si>
    <t>Moreno-Fernández, Olga;Corchuelo-Fernández, Celia;Moreno-Crespo, Pilar</t>
  </si>
  <si>
    <t>Perspectivas Actuales de la Condición Humana y la Acción Educativa</t>
  </si>
  <si>
    <t>Fuentes, Juan Luis;Guerrero, Antonio Bernal;Naval, Concepción</t>
  </si>
  <si>
    <t>Educación Social. Profesionalización y Deontología</t>
  </si>
  <si>
    <t>Rabadán Rubio, José A.;Paredes Galiana, Laura;Hernández Pérez, Encarnación</t>
  </si>
  <si>
    <t>LC191 .R333 2020</t>
  </si>
  <si>
    <t>Educational sociology. ; Educational sociology-Research.</t>
  </si>
  <si>
    <t>La Violencia en la Familia</t>
  </si>
  <si>
    <t>Martín Ramírez, Jesús;Martínez-Otero Pérez, Valentín</t>
  </si>
  <si>
    <t>HV6626 .M378 2020</t>
  </si>
  <si>
    <t>Abusive men-Counseling of. ; Victims of family violence.</t>
  </si>
  <si>
    <t>Actos y Grados de la Universidad de Alcalá (1523-1544)</t>
  </si>
  <si>
    <t>Education, Higher-Spain-History. ; Universities and colleges-Spain-History.</t>
  </si>
  <si>
    <t>Las Adicciones de Ayer y Hoy : Hacia un Enfoque Humanista en el Tratamiento de Las Adicciones</t>
  </si>
  <si>
    <t>Chivato Pérez, Tomás;Piñas Mesa, Antonio</t>
  </si>
  <si>
    <t>Substance abuse-Treatment.</t>
  </si>
  <si>
    <t>Una Acción Educativa Pensada : Reflexiones Desde la Filosofía de la Educación</t>
  </si>
  <si>
    <t>Fuentes, José Luis;Gutiérrez, Antonio Ramón Cárdenas;Jover, Gonzalo;Guerrero, Antonio Bernal;Durán, Concepción Naval</t>
  </si>
  <si>
    <t>Educación Alternativa y la Formación de Sus Docentes : Una Propuesta Curricular para los Programas de Preparación de Docentes: el Caso de Puerto Rico</t>
  </si>
  <si>
    <t>Barrientos Soto, Andrea.</t>
  </si>
  <si>
    <t>Education-Research. ; Education-Curricula.</t>
  </si>
  <si>
    <t>Mediación y Orientación Familiar. Tomo II</t>
  </si>
  <si>
    <t>Hidalgo Mena, Francisco;Bouché Peris, J. Henri;Bouché Peris, Henri;Hidalgo Mena, Francisco L.</t>
  </si>
  <si>
    <t>Families. ; Family mediation. ; Family counselors.</t>
  </si>
  <si>
    <t>Doing Educational Research : A Handbook (Second Edition)</t>
  </si>
  <si>
    <t>Tobin, Kenneth;Steinberg, Shirley R.</t>
  </si>
  <si>
    <t>LB1028 .D656 2015</t>
  </si>
  <si>
    <t>Understanding Educational Complexity : Integrating Practices and Perspectives for 21st Century Leadership</t>
  </si>
  <si>
    <t>Kershner, Brad</t>
  </si>
  <si>
    <t>Design-Based Concept Learning in Science and Technology Education</t>
  </si>
  <si>
    <t>Henze, Ineke;de Vries, Marc J.</t>
  </si>
  <si>
    <t>Exploring Textbooks and Cultural Change in Nordic Education 1536-2020</t>
  </si>
  <si>
    <t>Roos, Merethe;Berge, Kjell Lars;Edgren, Henrik;Hiidenmaa, Pirjo;Matthiesen, Christina</t>
  </si>
  <si>
    <t>Theorising Transformative Learning : The Power of Autoethnographic Narratives in Education</t>
  </si>
  <si>
    <t>Pandey, Kashi Raj</t>
  </si>
  <si>
    <t>Neuroscience and Teaching Very Difficult Kids</t>
  </si>
  <si>
    <t>Frew, John R.</t>
  </si>
  <si>
    <t>LC4801 .F74 2021</t>
  </si>
  <si>
    <t>Problem children-Education.</t>
  </si>
  <si>
    <t>Accessibility or Reinventing Education</t>
  </si>
  <si>
    <t>Ebersold, Serge</t>
  </si>
  <si>
    <t>Children with disabilities-Education. ; Educational equalization.</t>
  </si>
  <si>
    <t>Heterogenität : Zur Konjunktur Eines Pädagogischen Konzepts</t>
  </si>
  <si>
    <t>Verlag Ferdinand Schöningh</t>
  </si>
  <si>
    <t>Ricken, Norbert;Koller, Hans-Christoph;Casale, Rita</t>
  </si>
  <si>
    <t>Schriftenreihe der Kommission Bildungs- und Erziehungsphilosophie in der Deutschen Gesellschaft Für Erziehungswissenschaft Series</t>
  </si>
  <si>
    <t>Bildungsqualitäten : Diskurse - Auswirkungen - Perspektiven</t>
  </si>
  <si>
    <t>Obermaier, Michael;Müller-Neuendorf, Manfred</t>
  </si>
  <si>
    <t>LA722 .O247 2015</t>
  </si>
  <si>
    <t>Zeitgemäße Klassiker der Pädagogik : Leben - Werk - Wirken</t>
  </si>
  <si>
    <t>Zierer, Klaus;Saalfrank, Wolf-Thorsten</t>
  </si>
  <si>
    <t>Hegemonie und Autorisierende Verführung</t>
  </si>
  <si>
    <t>Schäfer, Alfred</t>
  </si>
  <si>
    <t>Theorieforum Pädagogik Series</t>
  </si>
  <si>
    <t>Aplicando la Clase Invertida en Empresa, Economía y Turismo</t>
  </si>
  <si>
    <t>Rosa García, Alfonso</t>
  </si>
  <si>
    <t>HD20 .A655 2018</t>
  </si>
  <si>
    <t>Industrial management-Study and teaching.</t>
  </si>
  <si>
    <t>Métodos Didácticos Activos en el Sistema Universitario Actual</t>
  </si>
  <si>
    <t>Hernández, David Jiménez</t>
  </si>
  <si>
    <t>La Educación : Sistema y Comportamientos Sociales Reflexiones a Pie de Obra</t>
  </si>
  <si>
    <t>Vilches Vivancos, Fernando</t>
  </si>
  <si>
    <t>Education-Spain.</t>
  </si>
  <si>
    <t>Artefactos y Acción Educativa</t>
  </si>
  <si>
    <t>Mora, Víctor Guijarro</t>
  </si>
  <si>
    <t>Science-Study and teaching (Secondary) ; Technical education.</t>
  </si>
  <si>
    <t>El Quehacer Creativo : Un Desafío para Nuestra Cotidianidad</t>
  </si>
  <si>
    <t>Rico, Sofía Herrero;Albert, Sonia París</t>
  </si>
  <si>
    <t>Creative ability.</t>
  </si>
  <si>
    <t>Zukunft des Lernens : Neurobiologie und Neue Medien</t>
  </si>
  <si>
    <t>Roth, Gerhard</t>
  </si>
  <si>
    <t>Reform(ing) Education : The Jena-Plan As a Concept for a Child-Centred School</t>
  </si>
  <si>
    <t>Koerrenz, Ralf</t>
  </si>
  <si>
    <t>Culture and Education Series</t>
  </si>
  <si>
    <t>Medien, Technik und Bildung</t>
  </si>
  <si>
    <t>Reichenbach, Roland;Wimmer, Michael;Pongratz, Ludwig A.</t>
  </si>
  <si>
    <t>Beruf: Hochschullehrer : Ansprüche, Erfahrungen, Perspektiven</t>
  </si>
  <si>
    <t>Kunze, Axel Bernd;Krämer, Hildegard;Kuypers, Harald</t>
  </si>
  <si>
    <t>Metacognitive Student : How to Teach Academic, Social, and Emotional Intelligence in Every Content Area (Your Guide to Metacognitive Instruction and Social-Emotional Learning)</t>
  </si>
  <si>
    <t>Cohen, Richard K.;Opatosky, Deanne Kildare;Savage, James;Stevens, Susan Olsen;Darrah, Edward P.;Elias, Maurice J. Maurice J.</t>
  </si>
  <si>
    <t>Handbuch der Erziehungswissenschaft : Band I: Grundlagen - Allgemeine Erziehungswissenschaft</t>
  </si>
  <si>
    <t>Koch, Lutz;Ladenthin, Volker;Mertens, Gerhard;Böhm, Winfried;Frost, Ursula</t>
  </si>
  <si>
    <t>Handbuch der Erziehungswissenschaft Series</t>
  </si>
  <si>
    <t>LB14.7 .K634 2008</t>
  </si>
  <si>
    <t>Einsamkeit und Freiheit : Zum Bildungsauftrag der Universität Im 21. Jahrhundert</t>
  </si>
  <si>
    <t>Wilhelm Fink Verlag</t>
  </si>
  <si>
    <t>Jamme, Christoph;von Schröder, Asta;Schröder, Asta von</t>
  </si>
  <si>
    <t>Bildung Für Alle, Diversität und Inklusion : Internationale Perspektiven</t>
  </si>
  <si>
    <t>Allemann-Ghionda, Cristina</t>
  </si>
  <si>
    <t>LC1099 .A454 2013</t>
  </si>
  <si>
    <t>Die Zeigestruktur der Erziehung : Grundriss der Operativen Pädagogik</t>
  </si>
  <si>
    <t>Prange, Klaus</t>
  </si>
  <si>
    <t>Projekt Frühkindliche Erziehung : Ein Lehr- und Lernbuch</t>
  </si>
  <si>
    <t>Obermaier, Michael;Huber, Cornelia Rosemarie;Hoffmann, Cornelia</t>
  </si>
  <si>
    <t>Spielend Lerne Ich! : Wie Sie Ihr Kind Spielerisch Fördern</t>
  </si>
  <si>
    <t>Grubbauer, Michaela</t>
  </si>
  <si>
    <t>HELP - Hilfe Für Eltern, Lehrer, Pädagogen Series</t>
  </si>
  <si>
    <t>LB1707 .G783 2012</t>
  </si>
  <si>
    <t>Teacher educators.</t>
  </si>
  <si>
    <t>Secularization, Cultural Heritage and the Spirituality of the Secular State : Between Sacredness and Secularization</t>
  </si>
  <si>
    <t>Westphal, Euler Renato</t>
  </si>
  <si>
    <t>Familie, Staat, Medien - Wer Erzieht Unsere Kinder?</t>
  </si>
  <si>
    <t>MuseumsForum, Heinz Nixdorf</t>
  </si>
  <si>
    <t>Paderborner Podium Series</t>
  </si>
  <si>
    <t>Demokratie Setzt Aus : Gegen Die Sanfte Liquidation Einer Politischen Lebensform</t>
  </si>
  <si>
    <t>Bünger, Carsten;Frost, Ursula;Brumlik, Micha;Rieger-Ladich, Markus;Burchardt, Matthias;Fehlmann, Ralph;Graupe, Silja;Hackl, Bernd;Knobloch, Clemens;Krautz, Jochen</t>
  </si>
  <si>
    <t>West-Eastern Mirror : Virtue and Morality in the Chinese-German Dialogue</t>
  </si>
  <si>
    <t>Koerrenz, Ralf;Schmidt, Andreas;Vieweg, Klaus;Watts, Elizabeth</t>
  </si>
  <si>
    <t>Selbstbewusst Ins Leben : Kinder und Jugendliche Stärken, Fördern, Motivieren</t>
  </si>
  <si>
    <t>Buchwald, Petra</t>
  </si>
  <si>
    <t>BF575.S39 B834 2012</t>
  </si>
  <si>
    <t>Self-confidence in children.</t>
  </si>
  <si>
    <t>Nachlese : Biographisches - Erwachsenenbildung und Volkshochschule - Pädagogische Positionen und Impulse - Würdigungen - Nachkriegszeit - Philosophische Reflexionen und Kulturphilosophie</t>
  </si>
  <si>
    <t>Flitner, Wilhelm</t>
  </si>
  <si>
    <t>Wilhelm Flitner, Gesammelte Schriften Series</t>
  </si>
  <si>
    <t>Pädagogische Reform Im Horizont der Globalisierung</t>
  </si>
  <si>
    <t>Koerrenz, Ralf;Blichmann, Annika</t>
  </si>
  <si>
    <t>Kultur und Bildung Series</t>
  </si>
  <si>
    <t>Globale Bildung Auf Reisen : Das Bildungsjahr an der Hermann-Lietz-Schule Schloss Bieberstein</t>
  </si>
  <si>
    <t>Ending Sexual Violence in College : A Community-Focused Approach</t>
  </si>
  <si>
    <t>Gavin, Joanne H.;Quick, James Campbell;Gavin, David J.</t>
  </si>
  <si>
    <t>Transforming Digital Learning and Assessment : A Guide to Available and Emerging Practices and Building Institutional Consensus</t>
  </si>
  <si>
    <t>Maki, Peggy L.;Shea, Peter</t>
  </si>
  <si>
    <t>Pursuing Quality, Access, and Affordability : A Field Guide to Improving Higher Education</t>
  </si>
  <si>
    <t>Ehrmann, Stephen C.</t>
  </si>
  <si>
    <t>Infusing Critical Thinking into Your Course : A Concrete, Practical Approach</t>
  </si>
  <si>
    <t>LB2395.35 .N55 2021</t>
  </si>
  <si>
    <t>Critical thinking--Study and teaching (Higher) ; College teaching.</t>
  </si>
  <si>
    <t>The Transfer Experience : A Handbook for Creating a More Equitable and Successful Postsecondary System</t>
  </si>
  <si>
    <t>Gardner, John N.;Rosenberg, Michael J.;Koch, Andrew K.</t>
  </si>
  <si>
    <t>LB2360 .T734 2021</t>
  </si>
  <si>
    <t>Students, Transfer of--United States. ; Transfer students--Services for. ; Transfer students--United States.</t>
  </si>
  <si>
    <t>Student-Centered Pedagogy and Course Transformation at Scale : Facilitating Faculty Agency to IMPACT Institutional Change</t>
  </si>
  <si>
    <t>Levesque-Bristol, Chantal</t>
  </si>
  <si>
    <t>LB2331 .L474 2021</t>
  </si>
  <si>
    <t>IMPACT (Program : Purdue University) ; College teaching--United States. ; Student-centered learning--United States.</t>
  </si>
  <si>
    <t>Actas Del VIII Congreso Internacional de Filosofía de la Educación</t>
  </si>
  <si>
    <t>Fuentes, Juan Luis;Ibáñez-Martín, José Antonio</t>
  </si>
  <si>
    <t>Education-Philosophy. ; Educational anthropology. ; Education.</t>
  </si>
  <si>
    <t>Desarrollo Humano IV</t>
  </si>
  <si>
    <t>Pezzoli, Silvia;Vega, Mónica Rubio;Marín, Francisco José Sánchez</t>
  </si>
  <si>
    <t>Human Development.</t>
  </si>
  <si>
    <t>Educación y Capacidades: Hacia un Nuevo Enfoque Del Desarrollo Humano</t>
  </si>
  <si>
    <t>Ibáñez Martín, José Antonio;Fuentes, Juan Luis</t>
  </si>
  <si>
    <t>LB14.7 .E383 2017</t>
  </si>
  <si>
    <t>Abriendo Caminos de Interculturalidad e Inclusión en la Escuela</t>
  </si>
  <si>
    <t>Olivencia, Juan José Leiva</t>
  </si>
  <si>
    <t>La Escuela de Ayer, Hoy y Mañana : Claves y Desafíos</t>
  </si>
  <si>
    <t>Suárez, Gonzalo Francisco Fernández;Tilve, Mª Dolores Fernández</t>
  </si>
  <si>
    <t>Education-Spain-Galicia (Region)</t>
  </si>
  <si>
    <t>La Escuela Azul de Falange Española de Las J. O. N. S. . un Proyecto Fascista Desmantelado Por Implosión</t>
  </si>
  <si>
    <t>López Bausela, José Ramón</t>
  </si>
  <si>
    <t>Education-Political aspects-History-Spain-20th century. ; Education, Elementary-History-Spain-20th century.</t>
  </si>
  <si>
    <t>La Innovación Educativa Como Agente de Transformación Digital en la Educación Superior. Acciones para el Cambio</t>
  </si>
  <si>
    <t>Gértrudix, Manuel;Esteban, Natalia;Gálvez, Mª Carmen;Rivas, Begoña</t>
  </si>
  <si>
    <t>Anuario de Derecho a la Educación (2014)</t>
  </si>
  <si>
    <t>Galván, Clara Souto;Sabau, José Ramón Polo</t>
  </si>
  <si>
    <t>K</t>
  </si>
  <si>
    <t>Right to education-Spain. ; Educational law and legislation-Spain.</t>
  </si>
  <si>
    <t>Critical Transformative Educational Leadership and Policy Studies - a Reader : Discussions and Solutions from the Leading Voices in Education</t>
  </si>
  <si>
    <t>Paraskeva, João M.</t>
  </si>
  <si>
    <t>Assessing with Respect : Everyday Practices That Meet Students' Social and Emotional Needs</t>
  </si>
  <si>
    <t>LC192.4 .S235 2021</t>
  </si>
  <si>
    <t>Social learning-Study and teaching.</t>
  </si>
  <si>
    <t>The Illimitable Freedom of the Human Mind : Thomas Jefferson's Idea of a University</t>
  </si>
  <si>
    <t>O'Shaughnessy, Andrew J.;Morhaim, Howard;Ayers, Edward L.;Ayers, Edward L.</t>
  </si>
  <si>
    <t>E332 .O743 2021</t>
  </si>
  <si>
    <t>Jefferson, Thomas,-1743-1826.</t>
  </si>
  <si>
    <t>Spin : Time and Task Management in Teaching</t>
  </si>
  <si>
    <t>LB1027 .G863 2021</t>
  </si>
  <si>
    <t>Teachers-Psychology. ; Teaching-Psychological aspects. ; Time management.</t>
  </si>
  <si>
    <t>The PD Curator : How to Design Peer-To-Peer Professional Learning That Elevates Teachers and Teaching</t>
  </si>
  <si>
    <t>Porosoff, Lauren</t>
  </si>
  <si>
    <t>LB1731 .P64 2021</t>
  </si>
  <si>
    <t>Teachers--In-service training. ; Teachers--Professional relationships. ; Mentoring in education.</t>
  </si>
  <si>
    <t>Meeting Goals : Protocols for Leading Effective, Purpose-Driven Discussions in Schools</t>
  </si>
  <si>
    <t>Van Soelen, Thomas M.</t>
  </si>
  <si>
    <t>The Theory of Objectification : A Vygotskian Perspective on Knowing and Becoming in Mathematics Teaching and Learning</t>
  </si>
  <si>
    <t>Radford, Luis</t>
  </si>
  <si>
    <t>Semiotic Perspectives on the Teaching and Learning of Mathematics Series</t>
  </si>
  <si>
    <t>Empowering Students and Maximising Inclusiveness and Equality Through ICT</t>
  </si>
  <si>
    <t>Maguvhe, Mbulaheni;Mphahlele, Ramashego Shila;Moonsamy, Sharon</t>
  </si>
  <si>
    <t>Skim, Dive, Surface : Teaching Digital Reading</t>
  </si>
  <si>
    <t>Cohn, Jenae</t>
  </si>
  <si>
    <t>How to Look at Student Work to Uncover Student Thinking</t>
  </si>
  <si>
    <t>Brookhart, Susan M.;Oakley, Alice</t>
  </si>
  <si>
    <t>Improve Every Lesson Plan with SEL</t>
  </si>
  <si>
    <t>Benson, Jeffrey</t>
  </si>
  <si>
    <t>Marine Maxims : Turning Leadership Principles into Practice</t>
  </si>
  <si>
    <t>Naval Institute Press</t>
  </si>
  <si>
    <t>Gordon, Thomas J</t>
  </si>
  <si>
    <t>Scarlet &amp; Gold Professional Library</t>
  </si>
  <si>
    <t>VB203 .G673 2021</t>
  </si>
  <si>
    <t>Gordon, Thomas J.,-1969-</t>
  </si>
  <si>
    <t>Le Livre de Ma Mère d'Albert Cohen (Analyse de L'oeuvre) : Analyse Complète et Résumé détaillé de L'oeuvre</t>
  </si>
  <si>
    <t>lePetitLitteraire;Prévost, Camille;Le Bras, Delphine</t>
  </si>
  <si>
    <t>Cohen, Albert,-1895-1981. ; Mothers of authors.</t>
  </si>
  <si>
    <t>Docteur Jekyll et Mister Hyde de Robert Louis Stevenson (Analyse de L'oeuvre) : Analyse Complète et Résumé détaillé de L'oeuvre</t>
  </si>
  <si>
    <t>lePetitLitteraire;Pinaud, Elena;Quintard, Marie-Pierre</t>
  </si>
  <si>
    <t>Stevenson, Robert Louis,-1850-1894.-Strange case of Dr. Jekyll and Mr. Hyde. ; Education.</t>
  </si>
  <si>
    <t>La Planète des Singes de Pierre Boulle (Fiche de Lecture) : Analyse Complète et Résumé détaillé de L'oeuvre</t>
  </si>
  <si>
    <t>lePetitLitteraire;Baudot, Antoine</t>
  </si>
  <si>
    <t>Planet of the Apes-Study guides.</t>
  </si>
  <si>
    <t>W Ou le Souvenir d'enfance de Georges Perec (Analyse de L'oeuvre) : Analyse Complète et Résumé détaillé de L'oeuvre</t>
  </si>
  <si>
    <t>lePetitLitteraire;Noiret, David;Boulanger, Apolline</t>
  </si>
  <si>
    <t>Autobiography. ; Biography.</t>
  </si>
  <si>
    <t>La Mort Est Mon Métier de Robert Merle (Analyse de L'oeuvre) : Analyse Complète et Résumé détaillé de L'oeuvre</t>
  </si>
  <si>
    <t>lePetitLitteraire;Crochet, Anne;Rasson, Alice</t>
  </si>
  <si>
    <t>Merle, Robert,-1908-2004.-Death is my job. ; Death.</t>
  </si>
  <si>
    <t>Alcools D'Apollinaire : Analyse Complète et Résumé détaillé de L'oeuvre</t>
  </si>
  <si>
    <t>Apollinaire, Guillaume,-1880-1918.-Alcohols. ; Poetry-Continental European.</t>
  </si>
  <si>
    <t>1984 de George Orwell (Fiche de Lecture) : Analyse Complète et Résumé détaillé de L'oeuvre</t>
  </si>
  <si>
    <t>Orwell, George,-1903-1950.-Nineteen eighty-four. ; French literature.</t>
  </si>
  <si>
    <t>Daffron, Sandra Ratcliff;Caffarella, Rosemary S.;Cervero, Ronald M.</t>
  </si>
  <si>
    <t>Adult education-United States-Planning. ; Adult education-United States-Administration.</t>
  </si>
  <si>
    <t>Aptitude-Treatment Interaction in Second Language Learning</t>
  </si>
  <si>
    <t>DeKeyser, Robert M.</t>
  </si>
  <si>
    <t>Second language acquisition. ; Language and languages--Ability testing. ; Language and languages--Study and teaching.</t>
  </si>
  <si>
    <t>Understanding Feedback : A Critical Exploration for Teacher Educators</t>
  </si>
  <si>
    <t>Elbra-Ramsay, Caroline;Menter, Ian</t>
  </si>
  <si>
    <t>LB1707 .R367 2021</t>
  </si>
  <si>
    <t>Teachers-Training of. ; Feedback (Psychology)</t>
  </si>
  <si>
    <t>Minding Bodies : How Physical Space, Sensation, and Movement Affect Learning</t>
  </si>
  <si>
    <t>Hrach, Susan</t>
  </si>
  <si>
    <t>LB1067</t>
  </si>
  <si>
    <t>Teaching, Learning and Scaffolding in CLIL Science Classrooms</t>
  </si>
  <si>
    <t>Lo, Yuen Yi;Lin, Angel M. Y.</t>
  </si>
  <si>
    <t>Science--Study and teaching. ; Language and education.</t>
  </si>
  <si>
    <t>Learner-Centred Education for Adult Migrants in Europe : A Critical Comparative Analysis</t>
  </si>
  <si>
    <t>Gravani, Maria N.;Slade, Bonnie</t>
  </si>
  <si>
    <t>Systematic Reviews of Research in Basic Education in South Africa</t>
  </si>
  <si>
    <t>Maringe, Felix</t>
  </si>
  <si>
    <t>LC1035.8.S6 .S978 2021</t>
  </si>
  <si>
    <t>Basic education-South Africa.</t>
  </si>
  <si>
    <t>Empowering Novice Academics for Student Success : Wearing Different Hats</t>
  </si>
  <si>
    <t>Hugo, Johann</t>
  </si>
  <si>
    <t>LB1738 .H846 2021</t>
  </si>
  <si>
    <t>College teachers-Training of. ; College teaching.</t>
  </si>
  <si>
    <t>Contextualised Critical Reflections on Academic Development Practices : Towards Professional Learning</t>
  </si>
  <si>
    <t>Pitso, Teboho</t>
  </si>
  <si>
    <t>LB2331 .C668 2021</t>
  </si>
  <si>
    <t>College teaching. ; Education, Higher.</t>
  </si>
  <si>
    <t>Empowering Novice Academics for Student Success Workbook : Wearing Different Hats</t>
  </si>
  <si>
    <t>College teachers-Training of.</t>
  </si>
  <si>
    <t>The Teacher Educator's Handbook : A Narrative Approach to Professional Learning</t>
  </si>
  <si>
    <t>White, Elizabeth</t>
  </si>
  <si>
    <t>LB1707 .W458 2021</t>
  </si>
  <si>
    <t>Teachers-Training of-Handbooks, manuals, etc.</t>
  </si>
  <si>
    <t>The Role of External Examining in Higher Education : Challenges and Best Practices</t>
  </si>
  <si>
    <t>Sengupta, Enakshi;Blessinger, Patrick;Ssemwanga, Andrew;Cozza, Barbara</t>
  </si>
  <si>
    <t>Online Teaching at Its Best : Merging Instructional Design with Teaching and Learning Research</t>
  </si>
  <si>
    <t>Nilson, Linda B.;Goodson, Ludwika A.</t>
  </si>
  <si>
    <t>LB1044.87 .N557 2021</t>
  </si>
  <si>
    <t>La Chute d'Albert Camus (Analyse de L'oeuvre) : Analyse Complète et Résumé détaillé de L'oeuvre</t>
  </si>
  <si>
    <t>lePetitLitteraire;d'Otreppe, Jean-Bosco;Biehler, Johanna</t>
  </si>
  <si>
    <t>Cabot-Caboche de Daniel Pennac (Analyse de L'oeuvre) : Analyse Complète et Résumé détaillé de L'oeuvre</t>
  </si>
  <si>
    <t>lePetitLitteraire;Coutant-Defer, Dominique;Pépin, Margot</t>
  </si>
  <si>
    <t>Pennac, Daniel.-Cabot-Caboche. ; French literature.</t>
  </si>
  <si>
    <t>Ravage de René Barjavel (Analyse de L'oeuvre) : Analyse Complète et Résumé détaillé de L'oeuvre</t>
  </si>
  <si>
    <t>lePetitLitteraire;Cornillon, Claire;Bourras, Bachir</t>
  </si>
  <si>
    <t>Revenge.</t>
  </si>
  <si>
    <t>Bruges-La-Morte de Georges Rodenbach (Analyse de L'oeuvre) : Analyse Complète et Résumé détaillé de L'oeuvre</t>
  </si>
  <si>
    <t>lePetitLitteraire;Dewez, Nausicaa;Clamar, Gilles</t>
  </si>
  <si>
    <t>Rodenbach, Georges,-1855-1898.-Bruges-la-Morte. ; French literature.</t>
  </si>
  <si>
    <t>Portnoy et Son Complexe de Philip Roth (Analyse de L'oeuvre) : Analyse Complète et Résumé détaillé de L'oeuvre</t>
  </si>
  <si>
    <t>lePetitLitteraire;Torres Behar, Natalia;Guivaudon, Guillaume</t>
  </si>
  <si>
    <t>Roth, Philip.-Portnoy's complaint. ; French literature.</t>
  </si>
  <si>
    <t>Le Monde d'hier de Stefan Zweig (Analyse de L'oeuvre) : Analyse Complète et Résumé détaillé de L'oeuvre</t>
  </si>
  <si>
    <t>lePetitLitteraire;Torres Behar, Natalia;Vannerom, Sarah</t>
  </si>
  <si>
    <t>Zweig, Stefan,-1881-1942.-Welt von Gestern. ; French literature.</t>
  </si>
  <si>
    <t>U. S. Power in International Higher Education</t>
  </si>
  <si>
    <t>Lee, Jenny J.;Desai Trilokekar, Roopa;Hazelkorn, Ellen;Blanco, Gerardo L.;Haupt, John P.;Cantwell, Brendan;George Mwangi, Chrystal A.;Jung-Hau Chen, Sean;Chinkondenji, Pempho;LaFleur, Dale</t>
  </si>
  <si>
    <t>Education, Higher-Computer-assisted instruction</t>
  </si>
  <si>
    <t>Qualities of Effective Principals</t>
  </si>
  <si>
    <t>Stronge, James H.;Xu, Xianxuan</t>
  </si>
  <si>
    <t>Dark Academia : How Universities Die</t>
  </si>
  <si>
    <t>LB2331.7 .F546 2021</t>
  </si>
  <si>
    <t>Universities and colleges-Faculty. ; Universities and colleges-Faculty-Attitudes.</t>
  </si>
  <si>
    <t>What Inclusive Instructors Do : Principles and Practices for Excellence in College Teaching</t>
  </si>
  <si>
    <t>Addy, Tracie Marcella;Dube, Derek;Mitchell, Khadijah A.;SoRelle, Mallory</t>
  </si>
  <si>
    <t>LB2331 .A34 2021</t>
  </si>
  <si>
    <t>Exploring Art for Perspective Transformation</t>
  </si>
  <si>
    <t>Kokkos, Alexis</t>
  </si>
  <si>
    <t>Special Admission : How College Sports Recruitment Favors White Suburban Athletes</t>
  </si>
  <si>
    <t>Hextrum, Kirsten</t>
  </si>
  <si>
    <t>GV350</t>
  </si>
  <si>
    <t>796.04/3092</t>
  </si>
  <si>
    <t>Mediating Learning in Higher Education in Africa : From Critical Thinking to Social Justice Pedagogies</t>
  </si>
  <si>
    <t>Ndofirepi, Amasa P.;Gwaravanda, Ephraim T.</t>
  </si>
  <si>
    <t>Professional Power and Skill Use in the 'Knowledge Economy' : A Class Analysis</t>
  </si>
  <si>
    <t>Livingstone, D. W.;Adams, Tracey L.;Sawchuk, Peter</t>
  </si>
  <si>
    <t>Good Teachers for Tomorrow's Schools : Purpose, Values, and Talents in Education</t>
  </si>
  <si>
    <t>Kuusisto, Elina;Ubani, Martin;Nokelainen, Petri;Toom, Auli</t>
  </si>
  <si>
    <t>Teaching and Learning in the 21st Century : Embracing the Fourth Industrial Revolution</t>
  </si>
  <si>
    <t>Naidoo, Jayaluxmi</t>
  </si>
  <si>
    <t>World-Class Universities : Global Trends and Institutional Models</t>
  </si>
  <si>
    <t>Liu, Nian Cai;Wu, Yan;Wang, Qi</t>
  </si>
  <si>
    <t>Curriculum Theory, Curriculum Theorising, and the Theoriser : The African Theorising Perspective</t>
  </si>
  <si>
    <t>Fomunyam, Kehdinga George;Bheki Khoza, Simon</t>
  </si>
  <si>
    <t>Creativity of an Aha! Moment and Mathematics Education</t>
  </si>
  <si>
    <t>Czarnocha, Bronislaw;Baker, William</t>
  </si>
  <si>
    <t>Higher Education in the Next Decade : Global Challenges, Future Prospects</t>
  </si>
  <si>
    <t>Eggins, Heather;Smolentseva, Anna;de Wit, Hans</t>
  </si>
  <si>
    <t>5 Practices for Orchestrating Productive Task-Based Discussions in Science</t>
  </si>
  <si>
    <t>Cartier, Jennifer L.;Smith, Margaret Schwan;Stein, Mary Kay;Ross, Danielle K.</t>
  </si>
  <si>
    <t>LB1532 .C378 2013</t>
  </si>
  <si>
    <t>Science-Study and teaching (Primary) ; Science-Study and teaching (Secondary) ; Task analysis in education.</t>
  </si>
  <si>
    <t>Ultimate Drama Activities for the Classroom</t>
  </si>
  <si>
    <t>Salamander Street Ltd.</t>
  </si>
  <si>
    <t>Glasgow</t>
  </si>
  <si>
    <t>Watkinson, Joanne</t>
  </si>
  <si>
    <t>PN1701 .W385 2021</t>
  </si>
  <si>
    <t>Monologues. ; Drama-Study and teaching (Secondary)-Activity programs-Great Britain. ; Great Britain.</t>
  </si>
  <si>
    <t>Buried Together : A Story of Quarantine and a Question of Conscience</t>
  </si>
  <si>
    <t>Clair, R. P.</t>
  </si>
  <si>
    <t>The Responsive University and the Crisis in South Africa</t>
  </si>
  <si>
    <t>Brink, Chris</t>
  </si>
  <si>
    <t>The Myth of the Amateur : A History of College Athletic Scholarships</t>
  </si>
  <si>
    <t>Terry and Jan Todd Series on Physical Culture and Sports Series</t>
  </si>
  <si>
    <t>GV733</t>
  </si>
  <si>
    <t>Primer on Large-Scale Assessments of Educational Achievement</t>
  </si>
  <si>
    <t>Clarke, Marguerite;Luna-Bazaldua, Diego</t>
  </si>
  <si>
    <t>National Assessments of Educational Achievement Series</t>
  </si>
  <si>
    <t>Achievement tests. ; Education and state. ; Educational tests and measurements.</t>
  </si>
  <si>
    <t>Exemplars of Assessment in Higher Education : Diverse Approaches to Addressing Accreditation Standards</t>
  </si>
  <si>
    <t>Souza, Jane Marie;Rose, Tara A.</t>
  </si>
  <si>
    <t>LB2366 .E94 2021</t>
  </si>
  <si>
    <t>Universities and colleges--United States--Examinations. ; Universities and colleges--Australia--Examinations. ; Educational tests and measurements--United States.</t>
  </si>
  <si>
    <t>Preparing for College and University Teaching : Competencies for Graduate and Professional Students</t>
  </si>
  <si>
    <t>Gilmore, Joanna;Hatcher, Molly</t>
  </si>
  <si>
    <t>LB1738 .P735 2021</t>
  </si>
  <si>
    <t>College teachers--Training of--United States. ; College teaching--United States. ; College teaching--Evaluation.</t>
  </si>
  <si>
    <t>The Reimagined PhD : Navigating 21st Century Humanities Education</t>
  </si>
  <si>
    <t>Horinko, Leanne M.;Reed, Jordan M.;Van Wyck, James M.;Cassuto, Leonard;Townsend, Robert;Weisbuch, Robert;McGandy, Michael J.;Rohrbach, Augusta;Vukov, Joseph M.;Dalgleish, Melissa</t>
  </si>
  <si>
    <t>LB2386</t>
  </si>
  <si>
    <t>Curriculum Overload</t>
  </si>
  <si>
    <t>Knowledge Beyond Colour Lines : Towards Repurposing Knowledge Generation in South African Higher Education</t>
  </si>
  <si>
    <t>Ralarala, Monwabisi K.;Lorraine Hassan, Salochana;Naidoo, Rajani</t>
  </si>
  <si>
    <t>Studies in Forensic Linguistics Series</t>
  </si>
  <si>
    <t>Exploring the Archives : A Beginner's Guide for Qualitative Researchers</t>
  </si>
  <si>
    <t>Roulston, Kathryn;deMarrais, Kathleen</t>
  </si>
  <si>
    <t>Qualitative Inquiry Series</t>
  </si>
  <si>
    <t>The Best Weapon for Peace : Maria Montessori, Education, and Children's Rights</t>
  </si>
  <si>
    <t>Moretti, Erica</t>
  </si>
  <si>
    <t>George L. Mosse Series in the History of European Culture, Sexuality, and Ideas Series</t>
  </si>
  <si>
    <t>LB775</t>
  </si>
  <si>
    <t>Improving Student Learning at Scale : A How-To Guide for Higher Education</t>
  </si>
  <si>
    <t>Fulcher, Keston H.;Prendergast, Caroline</t>
  </si>
  <si>
    <t>LA227.4 .F898 2021</t>
  </si>
  <si>
    <t>Education, Higher--United States--Evaluation</t>
  </si>
  <si>
    <t>The Science of Higher Education : State Higher Education Policy and the Laws of Scale</t>
  </si>
  <si>
    <t>LC173 .M294 2021</t>
  </si>
  <si>
    <t>Higher education and state--United States--States. ; Education, Higher--United States--States--Finance. ; Universities and colleges--United States--Finance.</t>
  </si>
  <si>
    <t>The Hybrid Teacher : Using Technology to Teach in Person and Online</t>
  </si>
  <si>
    <t>Pass, Emma</t>
  </si>
  <si>
    <t>LB1044.87 .P377 2021</t>
  </si>
  <si>
    <t>Scarecrow</t>
  </si>
  <si>
    <t>Mapping the Way from Teacher Preparation to EdTPA® Completion : A Guide for Secondary Education Candidates</t>
  </si>
  <si>
    <t>Fitzgerald, Jason C.;Schpakow, Michelle L.</t>
  </si>
  <si>
    <t>LB1728</t>
  </si>
  <si>
    <t>Comunicar Identidad(es).</t>
  </si>
  <si>
    <t>Arrieta Alberdi, Leyre;Perez Gaztelu, Elixabete</t>
  </si>
  <si>
    <t>BF697 .C668 2020</t>
  </si>
  <si>
    <t>Content and Language Integrated Learning (CLIL): A Methodology of Bilingual Teaching</t>
  </si>
  <si>
    <t>Klewitz, Bernd</t>
  </si>
  <si>
    <t>Nota bene – Bilingualism and Intercultural Dialog</t>
  </si>
  <si>
    <t>P53.28 .K549 2021</t>
  </si>
  <si>
    <t>Language and languages-Computer-assisted instruction.</t>
  </si>
  <si>
    <t>Media Literacy for Young Children : Teaching Beyond the Screen Time Debates</t>
  </si>
  <si>
    <t>Rogow, Faith</t>
  </si>
  <si>
    <t>P91.3 .R646 2022</t>
  </si>
  <si>
    <t>Mass media and children. ; Technology and children.</t>
  </si>
  <si>
    <t>Compassionate Coaching : How to Help Educators Navigate Barriers to Professional Growth</t>
  </si>
  <si>
    <t>Perret, Kathy;McKee, Kenny</t>
  </si>
  <si>
    <t>Advancing Assessment for Student Success : Supporting Learning by Creating Connections Across Assessment, Teaching, Curriculum, and Cocurriculum in Collaboration with Our Colleagues and Our Students</t>
  </si>
  <si>
    <t>Driscoll, Amy;Wood, Swarup;Shapiro, Dan;Graff, Nelson</t>
  </si>
  <si>
    <t>LB2822.75 .D75 2021</t>
  </si>
  <si>
    <t>Educational evaluation. ; Educational tests and measurements. ; Teachers--Professional relationships.</t>
  </si>
  <si>
    <t>Le Système éducatif Français à l'ère des Perversions Idéologiques</t>
  </si>
  <si>
    <t>Gobert, édéric</t>
  </si>
  <si>
    <t>Questions Contemporaines Series</t>
  </si>
  <si>
    <t>Les Contenus Scolaires, Sources D'inégalités ? : Une Nouvelle Piste Pour les Sciences de L'éducation</t>
  </si>
  <si>
    <t>Baumann, Alexandre</t>
  </si>
  <si>
    <t>Educational equalization-France.</t>
  </si>
  <si>
    <t>Pour un Système éducatif Réaliste et Sans élitisme</t>
  </si>
  <si>
    <t>Perret, Jacques-Adrien;Mayol, Samuel</t>
  </si>
  <si>
    <t>Eveilleurs D'espoirs : Makarenko, Garric, Freinet... - l'entre Deux Guerrres, Période décisive Pour la Place de la Jeunesse Dans la Société</t>
  </si>
  <si>
    <t>Goldstein, Reine</t>
  </si>
  <si>
    <t>Éducations et Sociétés Series</t>
  </si>
  <si>
    <t>Vivre et Enseigner en Milieu Minoritaire : Théories et Interventions en Ontario Français</t>
  </si>
  <si>
    <t>Duquette, Georges</t>
  </si>
  <si>
    <t>Critical Digital Literacies: Boundary-Crossing Practices</t>
  </si>
  <si>
    <t>Ávila, JuliAnna</t>
  </si>
  <si>
    <t>Teaching in and Beyond Pandemic Times</t>
  </si>
  <si>
    <t>Jansen, Jonathan D.;Farmer-Phillips, Theola</t>
  </si>
  <si>
    <t>The Global Scholar : Implications for Postgraduate Studies and Supervision</t>
  </si>
  <si>
    <t>Rule, Peter;Bitzer, Eli;Frick, Liezl</t>
  </si>
  <si>
    <t>Powerful Interactions : How to Connect with Children to Extend Their Learning, Second Edition</t>
  </si>
  <si>
    <t>Dombro, Amy Laura;Jablon, Judy;Stetson, Charlotte</t>
  </si>
  <si>
    <t>LB1033 .D663 2020</t>
  </si>
  <si>
    <t>Child development-Handbooks, manuals, etc. ; Interaction analysis in education-Handbooks, manuals, etc. ; Teacher-student relationships-Handbooks, manuals, etc.</t>
  </si>
  <si>
    <t>We Belong : 50 Strategies to Create Community and Revolutionize Classroom Management</t>
  </si>
  <si>
    <t>Barron, Laurie;Kinney, Patti</t>
  </si>
  <si>
    <t>Mentoring in Times of Crises, Pandemics, and Social Distancing</t>
  </si>
  <si>
    <t>Mullen, Carol;Hobson, Andrew;Searby, Linda</t>
  </si>
  <si>
    <t>International Journal of Mentoring and Coaching in Education Series</t>
  </si>
  <si>
    <t>LB1731.4 .M468 2021</t>
  </si>
  <si>
    <t>History of Education in China and Beyond</t>
  </si>
  <si>
    <t>Proctor, Helen;McLeod, Julie;Pietsch, Tamson</t>
  </si>
  <si>
    <t>LA1131 .H578 2021</t>
  </si>
  <si>
    <t>Education-China.</t>
  </si>
  <si>
    <t>Professionalism in the Pandemic</t>
  </si>
  <si>
    <t>Scanlan, Martin</t>
  </si>
  <si>
    <t>RA644.C67 P764 2020</t>
  </si>
  <si>
    <t>COVID-19 (Disease)-Social aspects.</t>
  </si>
  <si>
    <t>Internationalization of Higher Education in the Era of SDGs : Asia-Pacific Perspective</t>
  </si>
  <si>
    <t>Park, Jae;Kitamura, Yuto;Ashida, Akemi</t>
  </si>
  <si>
    <t>LB2325 .I584 2021</t>
  </si>
  <si>
    <t>The Greatest Lecture I Was Never Taught : Leadership Lessons and Mentoring Moments from the Lives of Everyday Educators</t>
  </si>
  <si>
    <t>Curry, John H.;Jackson, Sean R.</t>
  </si>
  <si>
    <t>Leadership and Best Practices in Educational Technology Management Series</t>
  </si>
  <si>
    <t>Educating the Catholic People : Religious Orders and Their Schools in Early Modern Italy (1500-1800)</t>
  </si>
  <si>
    <t>Salomoni, David</t>
  </si>
  <si>
    <t>Letters from Khartoum. D. R. Ewen : Teaching English Literature, Sudan, 1951-1965</t>
  </si>
  <si>
    <t>McDougall, Russell</t>
  </si>
  <si>
    <t>Postcolonial Lives Series</t>
  </si>
  <si>
    <t>Revolution of the Right to Education</t>
  </si>
  <si>
    <t>Reis Monteiro, A.</t>
  </si>
  <si>
    <t>Postdigital Positionality : Developing Powerful Inclusive Narratives for Learning, Teaching, Research and Policy in Higher Education</t>
  </si>
  <si>
    <t>Hayes, Sarah</t>
  </si>
  <si>
    <t>Kentucky Passion : Wildcat Wisdom and Inspiration</t>
  </si>
  <si>
    <t>Red Lightning Books</t>
  </si>
  <si>
    <t>Duduit, Del;Huang, John</t>
  </si>
  <si>
    <t>GV885.7 .D838 2021</t>
  </si>
  <si>
    <t>Basketball teams-United States. ; College sports.</t>
  </si>
  <si>
    <t>Better Learning Through Structured Teaching : A Framework for the Gradual Release of Responsibility</t>
  </si>
  <si>
    <t>Active learning. ; Teaching. ; Constructivism (Education)</t>
  </si>
  <si>
    <t>The Enigmatic Electron : Electron Behaviour and How It Influences Our Lives</t>
  </si>
  <si>
    <t>Jones, Ann</t>
  </si>
  <si>
    <t>TK7820 .J664 2021</t>
  </si>
  <si>
    <t>Electrons. ; Electronics.</t>
  </si>
  <si>
    <t>Engineering; Science: Physics; Engineering: Electrical; Science</t>
  </si>
  <si>
    <t>20 Secrets to Success for NCAA Student-Athletes</t>
  </si>
  <si>
    <t>Burton, Rick;Hirshman, Jake;O'Reilly, Norm;Dolich, Andy;Lawrence, Heather;Wilcox, Stan;Parker, Christopher J.</t>
  </si>
  <si>
    <t>A Time of Covidiocy: Media, Politics, and Social Upheaval</t>
  </si>
  <si>
    <t>Rubin, Daniel Ian;Agostinone Wilson, Faith</t>
  </si>
  <si>
    <t>The Essential 25 : Teaching the Vocabulary That Makes or Breaks Student Understanding</t>
  </si>
  <si>
    <t>Making Curriculum Matter : How to Build SEL, Equity, and Other Priorities into Daily Instruction</t>
  </si>
  <si>
    <t>Research Ethics in Africa : A Resource for Research Ethics Committees</t>
  </si>
  <si>
    <t>Kruger, Mariana;Ndebele, Paul;Horn, Lyn</t>
  </si>
  <si>
    <t>Career Development and Systems Theory : Connecting Theory and Practice (4th Edition)</t>
  </si>
  <si>
    <t>Patton, Wendy;McMahon, Mary</t>
  </si>
  <si>
    <t>HF5381 .P38 2021</t>
  </si>
  <si>
    <t>Transformative Curricula, Pedagogies and Epistemologies : Teaching and Learning in Diverse Higher Education Contexts</t>
  </si>
  <si>
    <t>Cross, Michael;Long, Caroline;Ndlovu, Sibonokuhle;Nyoni, Phefumula</t>
  </si>
  <si>
    <t>LC1100 .T73 2005</t>
  </si>
  <si>
    <t>Assessment, Accreditation and Ranking Methods for Higher Education Institutes in India: Current Findings and Future Challenges</t>
  </si>
  <si>
    <t>Rao, Sankara Narayana;Saranya, P. L.</t>
  </si>
  <si>
    <t>You Are a Data Person : Strategies for Using Analytics on Campus</t>
  </si>
  <si>
    <t>Parnell, Amelia</t>
  </si>
  <si>
    <t>LB2395.7 .P37 2021</t>
  </si>
  <si>
    <t>Education, Higher--Data processing. ; Universities and colleges--United States--Administration--Data processing. ; Data mining.</t>
  </si>
  <si>
    <t>Who's in My Classroom? : Building Developmentally and Culturally Responsive School Communities</t>
  </si>
  <si>
    <t>LeBlanc, Gess;Fredrick, Tim</t>
  </si>
  <si>
    <t>Enabling Critical Pedagogy in Higher Education</t>
  </si>
  <si>
    <t>Seal, Mike;Smith, Alan;Jarvis, Joy;Smith, Karen</t>
  </si>
  <si>
    <t>LC196 .S435 2021</t>
  </si>
  <si>
    <t>Critical pedagogy. ; Education, Higher.</t>
  </si>
  <si>
    <t>The Maker Playbook : A Guide to Creating Inclusive Learning Experiences</t>
  </si>
  <si>
    <t>Haebig, Caroline</t>
  </si>
  <si>
    <t>LB1029.M35 H343 2021</t>
  </si>
  <si>
    <t>Maker movement in education. ; Inclusive education.</t>
  </si>
  <si>
    <t>The Minimalist Teacher</t>
  </si>
  <si>
    <t>Musiowsky-Borneman, Tamera;Arnold, C. Y.</t>
  </si>
  <si>
    <t>A Guide for Leaders in Higher Education : Concepts, Competencies, and Tools</t>
  </si>
  <si>
    <t>Ruben, Brent D.;De Lisi, Richard;Gigliotti, Ralph A.</t>
  </si>
  <si>
    <t>What's Your Leadership Story? : A School Leader's Guide to Aligning How You Lead with Who You Are</t>
  </si>
  <si>
    <t>Oltman, Gretchen;Bautista, Vicki</t>
  </si>
  <si>
    <t>A Research Agenda for Graduate Education</t>
  </si>
  <si>
    <t>Mitchell, Brian S.</t>
  </si>
  <si>
    <t>LB2326.3 .M583 2021</t>
  </si>
  <si>
    <t>Authentic Literacy Instruction : Empowering Secondary Students to Become Lifelong Readers, Writers, and Communicators</t>
  </si>
  <si>
    <t>Eastman, Billy;Rasmussen, Amy</t>
  </si>
  <si>
    <t>Tackling the Motivation Crisis : How to Activate Student Learning Without Behavior Charts, Pizza Parties, or Other Hard-To-Quit Incentive Systems</t>
  </si>
  <si>
    <t>Integrating Digital Literacy in the Disciplines</t>
  </si>
  <si>
    <t>Hays, Lauren;Kammer, Jenna</t>
  </si>
  <si>
    <t>Using Digital Video in Initial Teacher Education</t>
  </si>
  <si>
    <t>McCullagh, John;Menter, Ian</t>
  </si>
  <si>
    <t>LB1707 .M338 2021</t>
  </si>
  <si>
    <t>Teachers-Training of-Technological innovations. ; Television in education.</t>
  </si>
  <si>
    <t>Physics Education for Students: an Interdisciplinary Approach</t>
  </si>
  <si>
    <t>Caccamo, Maria Teresa;Magazù, Salvatore</t>
  </si>
  <si>
    <t>QC30</t>
  </si>
  <si>
    <t>Physics--Study and teaching.</t>
  </si>
  <si>
    <t>Principal Labs : Strengthening Instructional Leadership Through Shared Learning</t>
  </si>
  <si>
    <t>Kortlandt, Megan;Stone, Carly;Keesling, Samantha</t>
  </si>
  <si>
    <t>Why Are We Still Doing That? : Positive Alternatives to Problematic Teaching Practices</t>
  </si>
  <si>
    <t>Parenting Gifted Children 101 : An Introduction to Gifted Kids and Their Needs</t>
  </si>
  <si>
    <t>Inman, Tracy Ford;Kirchner, Jana</t>
  </si>
  <si>
    <t>HQ773.5 .I563 2021</t>
  </si>
  <si>
    <t>Powe​​rful Guiding Coalitions : How to Build and Sustain the Leadership Team in Your PLC at Work®</t>
  </si>
  <si>
    <t>Hall, Bill</t>
  </si>
  <si>
    <t>Serving Gifted Students in Rural Settings</t>
  </si>
  <si>
    <t>Stambaugh, Tamra;Wood, Susannah M.</t>
  </si>
  <si>
    <t>LC3993.9 .S736 2021</t>
  </si>
  <si>
    <t>Gifted children-Education-United States</t>
  </si>
  <si>
    <t>Specialized Schools for High-Ability Learners : Designing and Implementing Programs in Specialized School Settings</t>
  </si>
  <si>
    <t>MacFarlane, Bronwyn</t>
  </si>
  <si>
    <t>LC3993 .S643 2021</t>
  </si>
  <si>
    <t>Special education schools</t>
  </si>
  <si>
    <t>STEM Education for High-Ability Learners : Designing and Implementing Programming</t>
  </si>
  <si>
    <t>Q183.3.A1 S746 2021</t>
  </si>
  <si>
    <t>Science-Study and teaching-United States. ; Technology-Study and teaching-United States. ; Engineering-Study and teaching-United States.</t>
  </si>
  <si>
    <t>What's Public about Public Higher Ed? : Halting Higher Education's Decline in the Court of Public Opinion</t>
  </si>
  <si>
    <t>Gavazzi, Stephen M.;Gee, E. Gordon</t>
  </si>
  <si>
    <t>Teaching Gradually : Practical Pedagogy for Graduate Students, by Graduate Students</t>
  </si>
  <si>
    <t>Armstrong, Kacie L.;Genova, Lauren A.;Greenlee, John Wyatt;Samuel, Derina S.</t>
  </si>
  <si>
    <t>Graduate teaching assistants--Training of--United States. ; College teaching--United States.</t>
  </si>
  <si>
    <t>Design Thinking in Student Affairs : A Primer</t>
  </si>
  <si>
    <t>Allworth, Julia;D'Souza, Lesley;Henning, Gavin W.</t>
  </si>
  <si>
    <t>Student affairs services. ; Problem solving. ; Creative thinking.</t>
  </si>
  <si>
    <t>The PhD Parenthood Trap : Caught Between Work and Family in Academia</t>
  </si>
  <si>
    <t>Crawford, Kerry F.;Windsor, Leah C.;Murdie, Amanda;Pirtle, Whitney;Rower, Nancy;Olsen-Telles, Erin;McLaughlin Mitchell, Sara;Hancock, Kathleen J.;Anonymous;Burns, Courtney</t>
  </si>
  <si>
    <t>Challenges in Institution Building : Turnaround Story of TAPMI</t>
  </si>
  <si>
    <t>Nagabrahmam, D.</t>
  </si>
  <si>
    <t>HF1111 .N343 2021</t>
  </si>
  <si>
    <t>Business schools.</t>
  </si>
  <si>
    <t>The Marion Thompson Wright Reader : Edited and with a Biographical Introduction by Graham Russell Gao Hodges</t>
  </si>
  <si>
    <t>Hodges, Graham Russell Gao</t>
  </si>
  <si>
    <t>LC2741</t>
  </si>
  <si>
    <t>Free Spirit : A Biography of Mason Welch Gross</t>
  </si>
  <si>
    <t>Gross, Thomas W.</t>
  </si>
  <si>
    <t>The Cold War in Universities : U. S. and Soviet Cultural Diplomacy, 1945-1990</t>
  </si>
  <si>
    <t>New Perspectives on the Cold War Series</t>
  </si>
  <si>
    <t>University on the Border : Crisis of Authority and Precarity</t>
  </si>
  <si>
    <t>Lange, Lis;Reddy, Vasu;Kumalo, Siseko H.</t>
  </si>
  <si>
    <t>LA1538 .U558 2021</t>
  </si>
  <si>
    <t>Education, Higher-South Africa. ; Decolonization-South Africa.</t>
  </si>
  <si>
    <t>The Changing Face of Colonial Education in Africa : Education, Science and Development</t>
  </si>
  <si>
    <t>Kallaway, Peter</t>
  </si>
  <si>
    <t>LC95.A2 K355 2021</t>
  </si>
  <si>
    <t>Education and state-Africa-History-20th century. ; Education-Africa-History-20th century.</t>
  </si>
  <si>
    <t>Establishing a Lasting Legacy : Six Steps to Maximize Your Leadership Impact and Improve Teacher Retention</t>
  </si>
  <si>
    <t>Evers-Gerdes, Becky;Siegle, Ryan</t>
  </si>
  <si>
    <t>Building a Trauma-Informed, Compassionate Classroom : Strategies and Activities to Reduce Challenging Behavior, Improve Learning Outcomes, and Increase Student Engagement</t>
  </si>
  <si>
    <t>Bashant, Jennifer</t>
  </si>
  <si>
    <t>LB3013 .B374 2020</t>
  </si>
  <si>
    <t>The Costs of Completion : Student Success in Community College</t>
  </si>
  <si>
    <t>Isserles, Robin G.</t>
  </si>
  <si>
    <t>Student Self-Assessment : Data Notebooks, Portfolios, and Other Tools to Advance Learning</t>
  </si>
  <si>
    <t>Connecting in the Online Classroom : Building Rapport Between Teachers and Students</t>
  </si>
  <si>
    <t>Glazier, Rebecca A.</t>
  </si>
  <si>
    <t>Undergraduate Research at Community Colleges : Equity, Discovery, and Innovation</t>
  </si>
  <si>
    <t>Hensel, Nancy H.</t>
  </si>
  <si>
    <t>A Guide to Administering Distance Learning</t>
  </si>
  <si>
    <t>Cifuentes, Lauren</t>
  </si>
  <si>
    <t>Leadership Matters : Confronting the Hard Choices Facing Higher Education</t>
  </si>
  <si>
    <t>King, W. Joseph;Mitchell, Brian C.</t>
  </si>
  <si>
    <t>LA227.4 .K564 2022</t>
  </si>
  <si>
    <t>Education, Higher-Aims and objectives-United States. ; Universities and colleges-Administration. ; Universities and colleges-United States-Administration.</t>
  </si>
  <si>
    <t>Awesome Sauce : Create Videos to Inspire Students, Engage Parents and Save You Time</t>
  </si>
  <si>
    <t>Stock, Josh</t>
  </si>
  <si>
    <t>LB1044.75 .S763 2020</t>
  </si>
  <si>
    <t>Video tapes in education. ; Teaching-Methodology. ; Effective teaching.</t>
  </si>
  <si>
    <t>Challenges and Opportunities of e-Learning and Blended Learning During (COVID-19) Part 1</t>
  </si>
  <si>
    <t>Isaias, Pedro;Issa, Tomayess;Issa, Theodora</t>
  </si>
  <si>
    <t>LC5800 .C435 2021</t>
  </si>
  <si>
    <t>Distance education. ; Internet in education. ; Blended learning.</t>
  </si>
  <si>
    <t>Technology As a Lever of Innovation in School Leadership</t>
  </si>
  <si>
    <t>Schechter, Chen;Richardson, Jayson</t>
  </si>
  <si>
    <t>LB2806 .T434 2021</t>
  </si>
  <si>
    <t>Theorising Multimodality Through Children and Youths' Perceptions and Experiences</t>
  </si>
  <si>
    <t>Pandya, Jessica;Low, David;Kervin, Lisa</t>
  </si>
  <si>
    <t>P299.M6 T446 2021</t>
  </si>
  <si>
    <t>Modality (Linguistics)</t>
  </si>
  <si>
    <t>Evaluating Instructional Coaching : People, Programs, and Partnership</t>
  </si>
  <si>
    <t>Thomas, Sharon;Knight, Jim;Harris, Michelle;Hoffman, Ann</t>
  </si>
  <si>
    <t>Mentoring in education. ; Teachers--In-service training.</t>
  </si>
  <si>
    <t>The Instructional Leader's Guide to Implementing K-8 Science Practices</t>
  </si>
  <si>
    <t>Lowenhaupt, Rebecca;McNeill, Katherine L.;Katsh-Singer, Rebecca;Lowell, Benjamin R.;Cherbow, Kevin</t>
  </si>
  <si>
    <t>Childhoods in More Just Worlds : An International Handbook</t>
  </si>
  <si>
    <t>Kinard, Timothy;Cannella, Gaile S.</t>
  </si>
  <si>
    <t>Children. ; Equality.</t>
  </si>
  <si>
    <t>Ideas That Changed Literacy Practices : First Person Accounts from Leading Voices</t>
  </si>
  <si>
    <t>Sumara, Dennis;Alvermann, Donna E.</t>
  </si>
  <si>
    <t>B105.I28</t>
  </si>
  <si>
    <t>Authorship. ; Idea (Philosophy) ; Literacy--Study and teaching.</t>
  </si>
  <si>
    <t>Education, the Anthropocene, and Deleuze/Guattari</t>
  </si>
  <si>
    <t>Cole, David R.</t>
  </si>
  <si>
    <t>Reading Across the Disciplines</t>
  </si>
  <si>
    <t>Manarin, Karen;Tang Boyland, Joyce;Caballero, M. Soledad;Davila, Yvonne;Easterling, Heather C.;Eliason, John;Graff, Nelson;Green, Rosemary;Griffiths, Neela;Henry, Rachel</t>
  </si>
  <si>
    <t>Scholarship of Teaching and Learning Ser.</t>
  </si>
  <si>
    <t>LB2361 .R433 2022</t>
  </si>
  <si>
    <t>Interdisciplinary approach in education. ; Reading (Higher education)</t>
  </si>
  <si>
    <t>Arousing Sense : Recipes for Workshopping Sensory Experience</t>
  </si>
  <si>
    <t>Hahn, Tomie</t>
  </si>
  <si>
    <t>BF233</t>
  </si>
  <si>
    <t>Workshops.</t>
  </si>
  <si>
    <t>Middle Egyptian</t>
  </si>
  <si>
    <t>Eisenbrauns</t>
  </si>
  <si>
    <t>Beylage, Peter</t>
  </si>
  <si>
    <t>Languages of the Ancient near East Series</t>
  </si>
  <si>
    <t>493/.15</t>
  </si>
  <si>
    <t>Egyptian language-Grammar.</t>
  </si>
  <si>
    <t>Long-Term Research and Development in Science Education : What Have We Learned?</t>
  </si>
  <si>
    <t>Hofstein, Avi;Arcavi, Abraham;Eylon, Bat-Sheva;Yarden, Anat</t>
  </si>
  <si>
    <t>ITIL 4: Acquiring and Managing Cloud Services</t>
  </si>
  <si>
    <t>Recruiting and Educating the Best Teachers: Policy, Professionalism and Pedagogy</t>
  </si>
  <si>
    <t>Madalinska-Michalak, Joanna;A. Flores, Maria;Low, Ee Ling;Van Nuland, Shirley</t>
  </si>
  <si>
    <t>Key Issues in Teacher Education: Policy, Research and Practice Series</t>
  </si>
  <si>
    <t>Pan-Africanism and Education : A Study of Race, Philanthropy and Education in the United States of America and East Africa</t>
  </si>
  <si>
    <t>Diasporic Africa Press</t>
  </si>
  <si>
    <t>King, Kenneth J.</t>
  </si>
  <si>
    <t>LC2741 .K564 2017</t>
  </si>
  <si>
    <t>African Americans-Education-History. ; African Americans-Education.</t>
  </si>
  <si>
    <t>Free Speech and Koch Money : Manufacturing a Campus Culture War</t>
  </si>
  <si>
    <t>Wilson, Ralph;Kamola, Isaac</t>
  </si>
  <si>
    <t>KF4772 .W557 2021</t>
  </si>
  <si>
    <t>Freedom of speech-United States. ; Freedom of speech.</t>
  </si>
  <si>
    <t>Dangerous Ideas on Campus : Sex, Conspiracy, and Academic Freedom in the Age of JFK</t>
  </si>
  <si>
    <t>Ehrlich, Matthew C.</t>
  </si>
  <si>
    <t>LC72</t>
  </si>
  <si>
    <t>Academic freedom. ; College students-Sexual behavior. ; Freedom of speech.</t>
  </si>
  <si>
    <t>Language Matters in Higher Education Contexts : Policy and Practice</t>
  </si>
  <si>
    <t>Apelgren, Britt-Marie;Eriksson, Ann-Marie;Strömberg Jämsvi, Susanne</t>
  </si>
  <si>
    <t>Leader's Guide to Reading and Writing in a PLC at Work®, Secondary : (Establish Effective Reading and Writing Strategies for Students at the High School Level)</t>
  </si>
  <si>
    <t>Argentar, Daniel M.;Gillies, Katherine A. N.;Rubenstein, Maureen M.;Wise, Brian R.;Garlick, Michelle;Onuscheck, Mark;Spiller, Jeanne</t>
  </si>
  <si>
    <t>Co-creating value in organisations with ITIL 4</t>
  </si>
  <si>
    <t>Limited, TSO</t>
  </si>
  <si>
    <t>Science Teachers' Knowledge Development</t>
  </si>
  <si>
    <t>van Driel, Jan H.</t>
  </si>
  <si>
    <t>Cultural and Historical Perspectives on Science Education Series</t>
  </si>
  <si>
    <t>Writing Ethnography (Second Edition)</t>
  </si>
  <si>
    <t>Gullion, Jessica Smartt</t>
  </si>
  <si>
    <t>Shared Leadership in Higher Education : A Framework and Models for Responding to a Changing World</t>
  </si>
  <si>
    <t>Holcombe, Elizabeth M.;Kezar, Adrianna J.;Elrod, Susan L.;Ramaley, Judith A.</t>
  </si>
  <si>
    <t>Demystifying Discussion : How to Teach and Assess Academic Conversation Skills, K-5</t>
  </si>
  <si>
    <t>Orr, Jennifer</t>
  </si>
  <si>
    <t>The Handbook of International Higher Education</t>
  </si>
  <si>
    <t>Deardorff, Darla K.;de Wit, Hans;Leask, Betty;Charles, Harvey</t>
  </si>
  <si>
    <t>Teaching Higher Education to Lead : Strategies for the Digital Age</t>
  </si>
  <si>
    <t>Choon-Yin, Sam</t>
  </si>
  <si>
    <t>LB2395.7</t>
  </si>
  <si>
    <t>Education, Higher--Computer-assisted instruction. ; Education, Higher--Effect of technological innovations on. ; Educational technology.</t>
  </si>
  <si>
    <t>Powerful Poetry : Read, Write, Rejoice, Recite Poetry All Year Long</t>
  </si>
  <si>
    <t>PN1101</t>
  </si>
  <si>
    <t>Poetry--Study and teaching.</t>
  </si>
  <si>
    <t>Sometimes Reading Is Hard : Using Decoding, Vocabulary, and Comprehension Strategies to Inspire Fluent, Passionate, Lifelong Readers</t>
  </si>
  <si>
    <t>Bright, Robin</t>
  </si>
  <si>
    <t>Well-Being in Schools : Three Forces That Will Uplift Your Students in a Volatile World</t>
  </si>
  <si>
    <t>From Twitter to Capitol Hill : Far-Right Authoritarian Populist Discourses, Social Media and Critical Pedagogy</t>
  </si>
  <si>
    <t>Gounari, Panayota</t>
  </si>
  <si>
    <t>The Future of American Higher Education : How Today's Public Intellectuals Frame the Debate</t>
  </si>
  <si>
    <t>DeVitis, Joseph L.</t>
  </si>
  <si>
    <t>Critical Praxis in Student Affairs : Social Justice in Action</t>
  </si>
  <si>
    <t>Marine, Susan B.;Gilbert, Chelsea</t>
  </si>
  <si>
    <t>Freirean Echoes : Scholars and Practitioners Dialogue on Critical Ideas in Education</t>
  </si>
  <si>
    <t>Achieng-Evensen, Charlotte;Stockbridge, Kevin;SooHoo, Suzanne</t>
  </si>
  <si>
    <t>Education--Philosophy. ; Freire, Paulo, 1921-1997.</t>
  </si>
  <si>
    <t>Neighborhood Democracy : Building Anchor Partnerships Between Colleges and Their Communities</t>
  </si>
  <si>
    <t>Guarasci, Richard</t>
  </si>
  <si>
    <t>Motivational Immediacy : Fostering Engagement in Adult Learners</t>
  </si>
  <si>
    <t>Taylor, Jonathan E.</t>
  </si>
  <si>
    <t>Getting into Veterinary School</t>
  </si>
  <si>
    <t>Trotman Publishing</t>
  </si>
  <si>
    <t>Trotman Education</t>
  </si>
  <si>
    <t>Lucas, Emily</t>
  </si>
  <si>
    <t>What Employers Want : The Employability Skills Handbook</t>
  </si>
  <si>
    <t>Holmes, Karen</t>
  </si>
  <si>
    <t>HF5382.7 .H656 2017</t>
  </si>
  <si>
    <t>Job hunting. ; Vocational guidance.</t>
  </si>
  <si>
    <t>Studying Abroad</t>
  </si>
  <si>
    <t>STEM Careers : A Student's Guide to Opportunities in Science, Technology, Engineering and Maths</t>
  </si>
  <si>
    <t>Greer, Paul</t>
  </si>
  <si>
    <t>Q147 .G744 2017</t>
  </si>
  <si>
    <t>Science-Vocational guidance. ; Technology-Vocational guidance. ; Engineering-Vocational guidance.</t>
  </si>
  <si>
    <t>Learning with Others : Collaboration As a Pathway to College Student Success</t>
  </si>
  <si>
    <t>Conrad, Clifton;Lundberg, Todd</t>
  </si>
  <si>
    <t>LA227.4 .C667 2022</t>
  </si>
  <si>
    <t>Education, Higher-Aims and objectives-United States.</t>
  </si>
  <si>
    <t>The Emergence of the American University Abroad</t>
  </si>
  <si>
    <t>Long, Kyle A.</t>
  </si>
  <si>
    <t>LA398 .L664 2020</t>
  </si>
  <si>
    <t>Schools, American.</t>
  </si>
  <si>
    <t>Intelligent Internationalization : The Shape of Things to Come</t>
  </si>
  <si>
    <t>Godwin, Kara A.;de Wit, Hans</t>
  </si>
  <si>
    <t>Education, Higher-International cooperation.</t>
  </si>
  <si>
    <t>Chiselled Horizons: a Multi-Cultural Approach to Visual Literacy</t>
  </si>
  <si>
    <t>Brown, Taina;Mieses Castellanos, Alejandro</t>
  </si>
  <si>
    <t>My Body Was Left on the Street : Music Education and Displacement</t>
  </si>
  <si>
    <t>T. Vũ, Kính;de Quadros, André</t>
  </si>
  <si>
    <t>ML3795 .M9 2020</t>
  </si>
  <si>
    <t>Music-Social aspects.</t>
  </si>
  <si>
    <t>Echoes from a Child's Soul : Awakening the Moral Imagination of Children</t>
  </si>
  <si>
    <t>A. Clark, Barbara</t>
  </si>
  <si>
    <t>Problem children-Education. ; Poetry-Therapeutic use. ; Poetry-Study and teaching.</t>
  </si>
  <si>
    <t>Creativity in Educational Research and Practice</t>
  </si>
  <si>
    <t>BF408 .C743 2014</t>
  </si>
  <si>
    <t>Creative ability. ; Creation (Literary, artistic, etc.)</t>
  </si>
  <si>
    <t>Artistic Mentoring As a Decolonizing Methodology : An Evolving Collaborative Painting Ethnography with Maya Artists Pedro Rafael González Chavajay and Paula Nicho Cúmez</t>
  </si>
  <si>
    <t>Staikidis, Kryssi</t>
  </si>
  <si>
    <t>ND1120 .S735 2020</t>
  </si>
  <si>
    <t>Painting-Study and teaching-Social aspects.</t>
  </si>
  <si>
    <t>Fusion of East and West : Children, Education and a New China, 1902-1915</t>
  </si>
  <si>
    <t>Bai, Limin</t>
  </si>
  <si>
    <t>East and West Series</t>
  </si>
  <si>
    <t>LA1131 .B35 2019</t>
  </si>
  <si>
    <t>Wang, Hengtong,-1868-1928. ; Church and education-China-History-20th century. ; Christian education-China-History-20th century. ; Textbooks-China-History-20th century. ; China-Education-History-To 1912.</t>
  </si>
  <si>
    <t>The Flexibly Grouped Classroom : How to Organize Learning for Equity and Growth</t>
  </si>
  <si>
    <t>Doubet, Kristina J.</t>
  </si>
  <si>
    <t>Uprooting Instructional Inequity : The Power of Inquiry-Based Professional Learning</t>
  </si>
  <si>
    <t>Quality Assurance in an Era of Sudden on-Line Education</t>
  </si>
  <si>
    <t>Dalrymple, John;Chatterji, Madhabi</t>
  </si>
  <si>
    <t>LC5803.C65 .Q355 2021</t>
  </si>
  <si>
    <t>Distance education-Computer-assisted instruction. ; Computer-assisted instruction.</t>
  </si>
  <si>
    <t>The Principal As Chief Empathy Officer : Creating a Culture Where Everyone Grows</t>
  </si>
  <si>
    <t>Teaching As If Learning Matters : Pedagogies of Becoming by Next-Generation Faculty</t>
  </si>
  <si>
    <t>Robinson, Jennifer Meta;O'Loughlin, Valerie Dean;Kearns, Katherine;Plummer, Laura;Cassidy, Keely;Rossing, Jonathan P.;Carpenter, Laura J.;Petzold, Jacquelyn;Klein, Barbie;Koke, Andrew M.</t>
  </si>
  <si>
    <t>LB1738 .T433 2022</t>
  </si>
  <si>
    <t>College teachers-Training of. ; Universities and colleges-Faculty.</t>
  </si>
  <si>
    <t>Credentials : Understand the Problems. Identify the Opportunities. Create the Solutions</t>
  </si>
  <si>
    <t>Van Noy, Michelle;Gaston, Paul L.</t>
  </si>
  <si>
    <t>Midcourse Correction for the College Classroom : Putting Small Group Instructional Diagnosis to Work</t>
  </si>
  <si>
    <t>Hurney, Carol A.;Rener, Christine M.;Troisi, Jordan D.</t>
  </si>
  <si>
    <t>Teaching Students to Decode the World : Media Literacy and Critical Thinking Across the Curriculum</t>
  </si>
  <si>
    <t>Sperry, Chris;Scheibe, Cyndy</t>
  </si>
  <si>
    <t>The Classroom Behavior Manual : How to Build Relationships with Students, Share Control, and Teach Positive Behaviors</t>
  </si>
  <si>
    <t>Ervin, Scott</t>
  </si>
  <si>
    <t>How College Students Succeed : Making Meaning Across Disciplinary Perspectives</t>
  </si>
  <si>
    <t>Bowman, Nicholas A.</t>
  </si>
  <si>
    <t>Studious Drift : Movements and Protocols for a Postdigital Education</t>
  </si>
  <si>
    <t>Hyland, Peter;Lewis, Tyson E.</t>
  </si>
  <si>
    <t>Forerunners: Ideas First Series</t>
  </si>
  <si>
    <t>LB1028.5 .H953 2022</t>
  </si>
  <si>
    <t>Getting into Law</t>
  </si>
  <si>
    <t>Getting into Psychology Courses</t>
  </si>
  <si>
    <t>Foskolos, Konstantinos</t>
  </si>
  <si>
    <t>Getting into Art and Design Courses</t>
  </si>
  <si>
    <t>Foster, James;Ioannou, Gregoris</t>
  </si>
  <si>
    <t>A Million Pictures : Magic Lantern Slides in the History of Learning</t>
  </si>
  <si>
    <t>JOHN LIBBEY PUBLISHING</t>
  </si>
  <si>
    <t>Dellmann, Sarah;Kessler, Frank</t>
  </si>
  <si>
    <t>TR816 .M555 2020</t>
  </si>
  <si>
    <t>Photography in education. ; Slides (Photography)</t>
  </si>
  <si>
    <t>Academic Leadership and Governance of Higher Education : A Guide for Trustees, Leaders, and Aspiring Leaders of Two- and Four-Year Institutions</t>
  </si>
  <si>
    <t>Harris, James T.;Lane, Jason E.;Sun, Jeffrey C.;Baker, Gail F.</t>
  </si>
  <si>
    <t>Algorithms of Education : How Datafication and Artificial Intelligence Shape Policy</t>
  </si>
  <si>
    <t>Gulson, Kalervo N.;Sellar, Sam;Webb, P. Taylor</t>
  </si>
  <si>
    <t>LB1028.43 .G857 2022</t>
  </si>
  <si>
    <t>Artificial intelligence-Educational applications. ; Education-Data processing. ; Education-Mathematical models.</t>
  </si>
  <si>
    <t>The SAGE Handbook for Research in Education : Pursuing Ideas As the Keystone of Exemplary Inquiry</t>
  </si>
  <si>
    <t>Conrad, Clifton F.;Serlin, Ronald C.</t>
  </si>
  <si>
    <t>Education-Research-Handbooks, manuals, etc.</t>
  </si>
  <si>
    <t>Children and Trauma : Critical Perspectives for Meeting the Needs of Diverse Educational Communities</t>
  </si>
  <si>
    <t>Kramer, Brianne;McKenzie, Jennifer</t>
  </si>
  <si>
    <t>Inspired by the Contributions of Vygotsky,Freire, and a Host of Post-Modern, Feminist, and Critical Educators, Educational Psychology: Meaning Making for Teachers and Learnersis a Collection of Writing Dedicated to Individual Learners and Seeking to Creat</t>
  </si>
  <si>
    <t>Culturally relevant pedagogy. ; Educational psychology. ; Post-traumatic stress disorder in children.</t>
  </si>
  <si>
    <t>Managing Student Behavior : How to Identify, Understand, and Defuse Challenging Classroom Situations</t>
  </si>
  <si>
    <t>Costello, Marsha</t>
  </si>
  <si>
    <t>Reframing Assessment to Center Equity : Theories, Models, and Practices</t>
  </si>
  <si>
    <t>Henning, Gavin W.;Baker, Gianina R.;Jankowski, Natasha A.;Lundquist, Anne E.;Montenegro, Erick</t>
  </si>
  <si>
    <t>Critically Exploring Co-Production</t>
  </si>
  <si>
    <t>Vicars, Mark;Pahl, Kate;Duggan, James</t>
  </si>
  <si>
    <t>LB41 .V533 2022</t>
  </si>
  <si>
    <t>Pracademia : Exploring the Possibilities, Power and Politics of Boundary-Spanners Straddling the Worlds of Practice and Scholarship</t>
  </si>
  <si>
    <t>Scanlan, Martin;Netolicky, Deborah;Hollweck, Trita</t>
  </si>
  <si>
    <t>LB41 .S336 2022</t>
  </si>
  <si>
    <t>Educational Innovations in the Smart Digital Era</t>
  </si>
  <si>
    <t>Kwan, Reggie;Wong, Billy;LI, Kam</t>
  </si>
  <si>
    <t>LB41 .K836 2022</t>
  </si>
  <si>
    <t>Educational Legacies of the Pandemic</t>
  </si>
  <si>
    <t>Narayanan, Madhu;Deckman, Sherry</t>
  </si>
  <si>
    <t>LA135 .N373 2022</t>
  </si>
  <si>
    <t>370.9/05</t>
  </si>
  <si>
    <t>Education-History-21st century. ; COVID-19 Pandemic, 2020--Social aspects.</t>
  </si>
  <si>
    <t>The International Successful School Principalship Project : Reflections and Possibilities</t>
  </si>
  <si>
    <t>Gurr, David;Moyi, Peter;Richardson, Jayson</t>
  </si>
  <si>
    <t>LB2831.9 .G877 2022</t>
  </si>
  <si>
    <t>School principals. ; Educational leadership. ; School management and organization.</t>
  </si>
  <si>
    <t>Teaching and Learning about Misinformation and Disinformation : Evidence-Based Practices and Approaches</t>
  </si>
  <si>
    <t>P96.M4 R496 2022</t>
  </si>
  <si>
    <t>Media literacy. ; Information literacy-Social aspects.</t>
  </si>
  <si>
    <t>Disciplinary Literacy in English Teaching and Teacher Education</t>
  </si>
  <si>
    <t>Petrone, Robert;Watson, Vaughn;Rainey, Emily</t>
  </si>
  <si>
    <t>LB1576 .P487 2022</t>
  </si>
  <si>
    <t>English language-Study and teaching. ; English language-Study and teaching-Ability testing.</t>
  </si>
  <si>
    <t>Self-worth in children and young people : Critical and practical considerations</t>
  </si>
  <si>
    <t>Burr, Rachel</t>
  </si>
  <si>
    <t>BF724.3.S36 B877 2022</t>
  </si>
  <si>
    <t>Self-esteem in adolescence. ; Self-esteem in children. ; Social work with children.</t>
  </si>
  <si>
    <t>Bias-Aware Teaching, Learning and Assessment</t>
  </si>
  <si>
    <t>Hurford, Donna;Read, Andrew;Jarvis, Joy;Smith, Karen</t>
  </si>
  <si>
    <t>LB2331 .H874 2022</t>
  </si>
  <si>
    <t>Learning to Be a Primary Teacher : Core Knowledge and Understanding</t>
  </si>
  <si>
    <t>Glazzard, Jonathan;Green, Michael</t>
  </si>
  <si>
    <t>LB1556.7.G7 G539 2022</t>
  </si>
  <si>
    <t>Primary Subject Knowledge and the Core Curriculum</t>
  </si>
  <si>
    <t>Critical Reflections On Series</t>
  </si>
  <si>
    <t>LB1570 .P756 2018</t>
  </si>
  <si>
    <t>JNMT. ; Teacher training. ; JNU. ; Teaching of a specific subject. ; JNF. ; Educational strategies &amp; policy. ; .</t>
  </si>
  <si>
    <t>The Social Work Degree Apprenticeship</t>
  </si>
  <si>
    <t>Stone, Clare;Shannon, Mary</t>
  </si>
  <si>
    <t>HV11 .S635 2022</t>
  </si>
  <si>
    <t>Social work education. ; Social work education-Great Britain.</t>
  </si>
  <si>
    <t>Getting into Secondary Teaching</t>
  </si>
  <si>
    <t>Hobson, Andrew J.;Davies, Andy;Norman, Melanie</t>
  </si>
  <si>
    <t>LB1737.G7 G48 2016</t>
  </si>
  <si>
    <t>High school teachers-Vocational guidance-Great Britain. ; High school teachers-Training of-Great Britain.</t>
  </si>
  <si>
    <t>A Student's Guide to Placements in Health and Social Care Settings : From Theory to Practice</t>
  </si>
  <si>
    <t>Williams, Simon;Conroy, Diana</t>
  </si>
  <si>
    <t>RA440 .S783 2023</t>
  </si>
  <si>
    <t>Social work education-Great Britain. ; Health education. ; Social work education.</t>
  </si>
  <si>
    <t>Themes and Issues in Primary Education</t>
  </si>
  <si>
    <t>Hymer, Barry;Lockney, Karen;Ewens, Tony;Glazzard, Jonathan;Howard, Colin</t>
  </si>
  <si>
    <t>LA633 .T446 2018</t>
  </si>
  <si>
    <t>JNT. ; Teaching skills &amp; techniques. ; JNF. ; Educational strategies &amp; policy. ; .</t>
  </si>
  <si>
    <t>The Higher Education Personal Tutor’s and Advisor’s Companion : Translating Theory into Practice to Improve Student Success</t>
  </si>
  <si>
    <t>Lochtie, Dave;Stork, Andrew;Walker, Ben W</t>
  </si>
  <si>
    <t>LB2343 .H544 2022</t>
  </si>
  <si>
    <t>Counseling in higher education. ; Mentoring in education. ; Faculty advisors.</t>
  </si>
  <si>
    <t>Questioning for Formative Feedback : Meaningful Dialogue to Improve Learning</t>
  </si>
  <si>
    <t>Walsh, Jackie Acree</t>
  </si>
  <si>
    <t>Mathematizing Student Thinking : Connecting Problem Solving to Everyday Life and Building Capable and Confident Math Learners</t>
  </si>
  <si>
    <t>Costello, David</t>
  </si>
  <si>
    <t>You've Got This : A Student's Guide to Well-Being at University and Beyond</t>
  </si>
  <si>
    <t>Alexander, Rachael;Alexander, Rachael</t>
  </si>
  <si>
    <t>RC451.4.S7 A449 2022</t>
  </si>
  <si>
    <t>College students-Life skills guides. ; College students-Mental health. ; College students-Psychology. ; Well-being.</t>
  </si>
  <si>
    <t>Students Taking Action Together : 5 Teaching Techniques to Cultivate SEL, Civic Engagement, and a Healthy Democracy</t>
  </si>
  <si>
    <t>Fullmer, Lauren M.;Bond, Laura F.;Molyneaux, Crystal N.;Nayman, Samuel J.;Elias, Maurice J.</t>
  </si>
  <si>
    <t>370.15/340973</t>
  </si>
  <si>
    <t>Affective education--United States. ; Democracy and education--United States. ; Teachers--Training of--United States.</t>
  </si>
  <si>
    <t>Foundations of Agricultural Education, Fourth Edition</t>
  </si>
  <si>
    <t>Talbert, B. Allen;Croom, Barry;LaRose, Sarah E.;Vaughn, Rosco;Lee, Jasper</t>
  </si>
  <si>
    <t>S531 .T353 2022</t>
  </si>
  <si>
    <t>Agricultural education.</t>
  </si>
  <si>
    <t>Digital Divas : Putting the Wow into Computing for Girls</t>
  </si>
  <si>
    <t>Craig, Annemieke;Fisher, Julie;Forgasz, Helen</t>
  </si>
  <si>
    <t>Learning Discourses and the Discourses of Learning</t>
  </si>
  <si>
    <t>Monash University ePress</t>
  </si>
  <si>
    <t>Marriott, Helen;Moore, Tim;Spence-Brown, Robyn</t>
  </si>
  <si>
    <t>LB2331.L43 2007</t>
  </si>
  <si>
    <t>A Handbook for Supporting Today's Graduate Students</t>
  </si>
  <si>
    <t>Nguyen, David J.;Yao, Christina W.</t>
  </si>
  <si>
    <t>Fundamentals of Educational Technology</t>
  </si>
  <si>
    <t>Shareef, Shareef M.;Nithyanantham, Vinnaras</t>
  </si>
  <si>
    <t>LB1028.3 .S537 2022</t>
  </si>
  <si>
    <t>Liven Up Your Library : Design Engaging and Inclusive Programs for Tweens and Teens</t>
  </si>
  <si>
    <t>Torres, Julia;Tagoe, Valerie;Tagoe, Valerie</t>
  </si>
  <si>
    <t>Z718.7 .T346 2022</t>
  </si>
  <si>
    <t>Libraries and teenagers-United States. ; School libraries-Activity programs.</t>
  </si>
  <si>
    <t>Achievement Teams : How a Better Approach to PLCs Can Improve Student Outcomes and Teacher Efficacy</t>
  </si>
  <si>
    <t>Ventura, Steve;Ventura, Michelle</t>
  </si>
  <si>
    <t>Cultures of Inclusive Education and Democratic Citizenship: Comparative Perspectives</t>
  </si>
  <si>
    <t>Kohout-Diaz, Magdalena;Strouhal, Martin</t>
  </si>
  <si>
    <t>Re/humanizing Education</t>
  </si>
  <si>
    <t>Medieval History in the Modern Classroom : Using Project-Based Learning to Engage Today's Learners</t>
  </si>
  <si>
    <t>Sobehrad, Lane J.;Sobehrad, Susan J.</t>
  </si>
  <si>
    <t>Teaching the Middle Ages Series</t>
  </si>
  <si>
    <t>Project method in teaching. ; Middle Ages-Study and teaching (Higher)</t>
  </si>
  <si>
    <t>Creative Journaling for Teachers : A Visual Approach to Declutter Thoughts, Manage Time and Boost Productivity</t>
  </si>
  <si>
    <t>Carter, Nichole</t>
  </si>
  <si>
    <t>LB1025.3 .C378 2022</t>
  </si>
  <si>
    <t>The Teacher's Principal : How School Leaders Can Support and Motivate Their Teachers</t>
  </si>
  <si>
    <t>Motivation in education--United States. ; School principals--United States. ; Educational leadership--United States.</t>
  </si>
  <si>
    <t>Office Hours : What Every University Student Needs to Know</t>
  </si>
  <si>
    <t>Lockwood, Robyn Brinks</t>
  </si>
  <si>
    <t>LB2343.32 .L635 2020</t>
  </si>
  <si>
    <t>Teacher-student relationships. ; College student orientation. ; Interpersonal communication.</t>
  </si>
  <si>
    <t>Beyond Convention : Genre Innovation in Academic Writing</t>
  </si>
  <si>
    <t>Tardy, Christine;Ferris, Dana R.</t>
  </si>
  <si>
    <t>P301</t>
  </si>
  <si>
    <t>Academic writing-Study and teaching. ; Interdisciplinary approach in education.</t>
  </si>
  <si>
    <t>Developing Information Literacy Skills : A Guide to Finding, Evaluating, and Citing Sources</t>
  </si>
  <si>
    <t>Carlock, Janine</t>
  </si>
  <si>
    <t>ZA3075 .C375 2020</t>
  </si>
  <si>
    <t>Information behavior. ; Information literacy-Study and teaching (Higher) ; Library research.</t>
  </si>
  <si>
    <t>Leading Academic Discussions : What Every University Student Needs to Know</t>
  </si>
  <si>
    <t>BF637.D5 L635 2021</t>
  </si>
  <si>
    <t>Discussion.</t>
  </si>
  <si>
    <t>Psychology; Literature</t>
  </si>
  <si>
    <t>Environmental Management Handbook, Second Edition - Six Volume Set : Strategies for Every Early Years Setting</t>
  </si>
  <si>
    <t>Fath, Brian D.;Jorgensen, Sven Erik</t>
  </si>
  <si>
    <t>Little Minds Matter Series</t>
  </si>
  <si>
    <t>HV713 .B835 2020</t>
  </si>
  <si>
    <t>371.7/80941</t>
  </si>
  <si>
    <t>Child welfare. ; Social work with children.</t>
  </si>
  <si>
    <t>Literacy Learning for Infants, Toddlers, and Preschoolers : Key Practices for Educators</t>
  </si>
  <si>
    <t>Wright, Tanya S. Ph.D.;Cabell, Sonia Q., Ph.D.;Duke, Nell K. Ed.D.;Barrett Winston</t>
  </si>
  <si>
    <t>LB1139.23 .W754 2022</t>
  </si>
  <si>
    <t>Early childhood education. ; Literacy.</t>
  </si>
  <si>
    <t>Materiality and Writing Studies : Aligning Labor, Scholarship, and Teaching</t>
  </si>
  <si>
    <t>National Council of Teachers of English (NCTE)</t>
  </si>
  <si>
    <t>Hassel, Holly;Phillips, Cassandra</t>
  </si>
  <si>
    <t>Studies in Writing &amp; Rhetoric</t>
  </si>
  <si>
    <t>KF4225 .H377 2022</t>
  </si>
  <si>
    <t>Theater, Drama, and Reading : Transforming the Rehearsal Process into a Reading Process</t>
  </si>
  <si>
    <t>Garey, Judith Freeman;Blau, Sheridan</t>
  </si>
  <si>
    <t>LC1396.4 .G374 2022</t>
  </si>
  <si>
    <t>Using Film to Unlock Textual Literacy</t>
  </si>
  <si>
    <t>Crisp, Robert Bryant</t>
  </si>
  <si>
    <t>HV2469.E5 C757 2022</t>
  </si>
  <si>
    <t>English language-Study and teaching-Foreign speakers. ; Motion pictures-Study and teaching.</t>
  </si>
  <si>
    <t>Rhetorics of Overcoming : Rewriting Narratives of Disability and Accessibility in Writing Studies</t>
  </si>
  <si>
    <t>Hitt, Allison Harper</t>
  </si>
  <si>
    <t>LC1200 .H588 2022</t>
  </si>
  <si>
    <t>What Works in Writing Instruction : Research and Practice, 2nd ed.</t>
  </si>
  <si>
    <t>Dean, Deborah</t>
  </si>
  <si>
    <t>PS509.E36 D436 2022</t>
  </si>
  <si>
    <t>Teach Living Poets</t>
  </si>
  <si>
    <t>Illich, Lindsay;Smith, Melissa Alter</t>
  </si>
  <si>
    <t>PS509.E36 I455 2022</t>
  </si>
  <si>
    <t>Beyond Progress in the Prison Classroom : Options and Opportunities</t>
  </si>
  <si>
    <t>Plemons, Anna;Arola, Kristin L.</t>
  </si>
  <si>
    <t>Studies in Writing and Rhetoric</t>
  </si>
  <si>
    <t>PS509.E36 P546 2022</t>
  </si>
  <si>
    <t>Foundations of Special Education : An Introduction</t>
  </si>
  <si>
    <t>New York Academy of Sciences Series</t>
  </si>
  <si>
    <t>LC3965 .F37 2009</t>
  </si>
  <si>
    <t>Mainstreaming in education. ; Special education.</t>
  </si>
  <si>
    <t>Blackwell Handbook of Judgment and Decision Making</t>
  </si>
  <si>
    <t>Koehler, Derek J.</t>
  </si>
  <si>
    <t>BF448 .B57 2004</t>
  </si>
  <si>
    <t>Decision making. ; Judgment.</t>
  </si>
  <si>
    <t>Strategies for Building Multicultural Competence in Mental Health and Educational Settings</t>
  </si>
  <si>
    <t>Constantine, Madonna G.</t>
  </si>
  <si>
    <t>RC455.4.E8 S77 2005</t>
  </si>
  <si>
    <t>616.89/00973</t>
  </si>
  <si>
    <t>Cross-cultural counseling-United States. ; Educational counseling-United States. ; Multiculturalism-United States. ; Psychiatry, Transcultural-United States.</t>
  </si>
  <si>
    <t>Child Art Therapy</t>
  </si>
  <si>
    <t>Rubin, Judith Aron</t>
  </si>
  <si>
    <t>RJ505.A7 R8 2005</t>
  </si>
  <si>
    <t>618.92/891656</t>
  </si>
  <si>
    <t>Art therapy for children. ; Art-Study and teaching (Primary) ; Child psychotherapy. ; Family psychotherapy.</t>
  </si>
  <si>
    <t>Becoming a Construction Manager</t>
  </si>
  <si>
    <t>McKeon, John J.;D'Agostino, Bruce</t>
  </si>
  <si>
    <t>Construction industry-Management-Vocational guidance. ; Construction industry-Management.</t>
  </si>
  <si>
    <t>Engineering: Construction</t>
  </si>
  <si>
    <t>The Profession of Social Work : Guided by History, Led by Evidence</t>
  </si>
  <si>
    <t>Dulmus, Catherine N.</t>
  </si>
  <si>
    <t>HV40.35 .D85 2012</t>
  </si>
  <si>
    <t>Social service-Vocational guidance. ; Social work education. ; Social workers.</t>
  </si>
  <si>
    <t>Educational Neuroscience</t>
  </si>
  <si>
    <t>Mareschal, Denis</t>
  </si>
  <si>
    <t>LB1051 .E38 2014</t>
  </si>
  <si>
    <t>Cognitive neuroscience-Handbooks, manuals, etc. ; Educational psychology-Handbooks, manuals, etc. ; Learning-Physiological aspects-Handbooks, manuals, etc. ; Neurosciences-Handbooks, manuals, etc.</t>
  </si>
  <si>
    <t>Qualitative Inquiry in Evaluation : From Theory to Practice</t>
  </si>
  <si>
    <t>Goodyear, Leslie</t>
  </si>
  <si>
    <t>LB2822.75 .G663 2014</t>
  </si>
  <si>
    <t>Finish Your Dissertation, Don't Let It Finish You!</t>
  </si>
  <si>
    <t>Broder Sumerson, Joanne</t>
  </si>
  <si>
    <t>LB2369 .S86 2014</t>
  </si>
  <si>
    <t>Academic writing. ; Dissertations, Academic.</t>
  </si>
  <si>
    <t>Program Evaluation in Practice : Core Concepts and Examples for Discussion and Analysis</t>
  </si>
  <si>
    <t>Spaulding, Dean T.</t>
  </si>
  <si>
    <t>LB2822.75 .S63 2014</t>
  </si>
  <si>
    <t>Educational evaluation. ; School improvement programs-Evaluation.</t>
  </si>
  <si>
    <t>Sound Linkage : An Integrated Programme for Overcoming Reading Difficulties</t>
  </si>
  <si>
    <t>Hatcher, Peter J.</t>
  </si>
  <si>
    <t>LB1592 .H383 2014</t>
  </si>
  <si>
    <t>Education, Elementary-Activity programs. ; Language arts-Phonetics. ; Learning disabled children-Education (Elementary) ; Phonetics-Study and teaching (Elementary)-Aids and devices. ; Reading-Phonetic method-Aids and devices. ; Reading-Remedial teaching-Aids and devices.</t>
  </si>
  <si>
    <t>Scholastic Journalism</t>
  </si>
  <si>
    <t>Tate, C. Dow</t>
  </si>
  <si>
    <t>LB3621 .T38 2014</t>
  </si>
  <si>
    <t>Journalism, School. ; Journalism.</t>
  </si>
  <si>
    <t>Practitioner Teacher Inquiry and Research</t>
  </si>
  <si>
    <t>Babione, Carolyn A.</t>
  </si>
  <si>
    <t>LB1707 .B334 2015</t>
  </si>
  <si>
    <t>Education research. ; Inquiry-based learning. ; Research-Methodology-Study and teaching. ; Teachers-Training of.</t>
  </si>
  <si>
    <t>Understanding Educational Statistics Using Microsoft Excel and SPSS</t>
  </si>
  <si>
    <t>Abbott, Martin Lee</t>
  </si>
  <si>
    <t>LB2846 .A25 2011</t>
  </si>
  <si>
    <t>Microsoft Excel (Computer file) ; SPSS (Computer file) ; Education-Research-Statistical methods. ; Educational statistics-Data processing.</t>
  </si>
  <si>
    <t>Medical Education at a Glance</t>
  </si>
  <si>
    <t>McKimm, Judy</t>
  </si>
  <si>
    <t>R735 .M435 2017</t>
  </si>
  <si>
    <t>Medical education.</t>
  </si>
  <si>
    <t>Education and Learning : An Evidence-Based Approach</t>
  </si>
  <si>
    <t>Mellanby, Jane</t>
  </si>
  <si>
    <t>LB1060 .M45 2014</t>
  </si>
  <si>
    <t>Learning, Psychology of. ; Learning.</t>
  </si>
  <si>
    <t>Understanding Language and Literacy Development : Diverse Learners in the Classroom</t>
  </si>
  <si>
    <t>Wang, Xiao-Lei</t>
  </si>
  <si>
    <t>LC3731 .W355 2014</t>
  </si>
  <si>
    <t>Children of minorities-Education-United States. ; Children with social disabilities-Education-United States. ; Children-Language. ; Language acquisition. ; Language and education. ; Language awareness in children. ; Linguistic minorities-Education-United States. ; Multilingualism in children. ; Teachers-Training of.</t>
  </si>
  <si>
    <t>Learning and the E-Generation</t>
  </si>
  <si>
    <t>Underwood, Jean D. M.</t>
  </si>
  <si>
    <t>LB1028.43 .U53 2015</t>
  </si>
  <si>
    <t>Computer-assisted instruction-Great Britain. ; Education-Great Britain-Data processing. ; Educational technology-Great Britain. ; Generation Y-Great Britain.</t>
  </si>
  <si>
    <t>Student Research and Report Writing : From Topic Selection to the Complete Paper</t>
  </si>
  <si>
    <t>Wang, Gabe T.</t>
  </si>
  <si>
    <t>LB2369 .W364 2016</t>
  </si>
  <si>
    <t>Report writing-Handbooks, manuals, etc. ; Research-Methodology-Handbooks, manuals, etc.</t>
  </si>
  <si>
    <t>Critical Educational Psychology</t>
  </si>
  <si>
    <t>Williams, Antony J.</t>
  </si>
  <si>
    <t>LB1051 .C758 2017</t>
  </si>
  <si>
    <t>Educational psychology-Research.</t>
  </si>
  <si>
    <t>Dyslexia : A Practitioner's Handbook</t>
  </si>
  <si>
    <t>LC4708 .R453 2016</t>
  </si>
  <si>
    <t>Curriculum planning-Handbooks, manuals, etc. ; Dyslexic children-Ability testing-Handbooks, manuals, etc. ; Dyslexic children-Education-Handbooks, manuals, etc.</t>
  </si>
  <si>
    <t>Applying Theory to Educational Research : An Introductory Approach with Case Studies</t>
  </si>
  <si>
    <t>Adams, Jeff</t>
  </si>
  <si>
    <t>LB1028 .A56 2012</t>
  </si>
  <si>
    <t>Education-Research-Methodology-Case studies.</t>
  </si>
  <si>
    <t>Teaching Critical Thinking in Psychology : A Handbook of Best Practices</t>
  </si>
  <si>
    <t>Dunn, Dana S.</t>
  </si>
  <si>
    <t>BF441 .T35 2008</t>
  </si>
  <si>
    <t>Critical thinking-Study and teaching. ; Psychology-Study and teaching. ; Thought and thinking-Study and teaching.</t>
  </si>
  <si>
    <t>Collaborative Learning as Democratic Practice : A History</t>
  </si>
  <si>
    <t>Holt, Mara</t>
  </si>
  <si>
    <t>LB1032 .H658 2018</t>
  </si>
  <si>
    <t>Democracy and education. ; Progressive education.</t>
  </si>
  <si>
    <t>Navigating Dual Immersion</t>
  </si>
  <si>
    <t>CALEC</t>
  </si>
  <si>
    <t>Sun Valérie</t>
  </si>
  <si>
    <t>P53.44 .S86 2022</t>
  </si>
  <si>
    <t>Immersion method (Language teaching) ; Second language acquisition-Study and teaching. ; Language and languages-Study and teaching.</t>
  </si>
  <si>
    <t>Reimagining Literacies in the Digital Age: Multimodal Strategies to Teach with Technology</t>
  </si>
  <si>
    <t>Schmidt, Pauline S.;Kruger-Ross, Matthew J.</t>
  </si>
  <si>
    <t>Principles in Practice</t>
  </si>
  <si>
    <t>LC149.5 .S36 2023</t>
  </si>
  <si>
    <t>Computers and literacy. ; Literacy-Study and teaching.</t>
  </si>
  <si>
    <t>Teaching Macbeth : A Differentiated Approach</t>
  </si>
  <si>
    <t>Hawks, Lyn Fairchild</t>
  </si>
  <si>
    <t>PR2823 .H395 2022</t>
  </si>
  <si>
    <t>Shakespeare, William,-1564-1616.-Macbeth-Study and teaching.</t>
  </si>
  <si>
    <t>Black Perspectives in Writing Program Administration : From the Margins to the Center</t>
  </si>
  <si>
    <t>Perryman-Clark, Staci M.;Craig, Collin Lamont</t>
  </si>
  <si>
    <t>LC1099.3 .P477 2019</t>
  </si>
  <si>
    <t>Innovative Teaching and Learning in Higher Education</t>
  </si>
  <si>
    <t>Libri Publishing Ltd</t>
  </si>
  <si>
    <t>Branch, John;Hayes, Sarah</t>
  </si>
  <si>
    <t>Learning in Higher Education</t>
  </si>
  <si>
    <t>LB2331 .I566 2017</t>
  </si>
  <si>
    <t>College teaching. ; Educational innovations. ; Learning, Psychology of.</t>
  </si>
  <si>
    <t>Learning-Centred Curriculum Design in Higher Education</t>
  </si>
  <si>
    <t>Branch, John;H�rsted, Anne</t>
  </si>
  <si>
    <t>LB2806.15 .L437 2017</t>
  </si>
  <si>
    <t>Curriculum planning. ; Curriculum evaluation. ; Teacher participation in curriculum planning. ; Educational psychology.</t>
  </si>
  <si>
    <t>Teaching and Learning Entrepreneurship in Higher Education</t>
  </si>
  <si>
    <t>Branch, John;Horsted, Anne</t>
  </si>
  <si>
    <t>HB615 .B736 2017</t>
  </si>
  <si>
    <t>Entrepreneurship-Study and teaching (Higher)-Great Britain. ; College students-Employment-Great Britain. ; Graduate students-Employment-Great Britain.</t>
  </si>
  <si>
    <t>Innovative Teaching and Learning Practices in Higher Education</t>
  </si>
  <si>
    <t>Enomoto, Kayoko;Warner, Richard</t>
  </si>
  <si>
    <t>LB2331 .E566 2018</t>
  </si>
  <si>
    <t>College teaching. ; Educational innovations. ; Educational technology.</t>
  </si>
  <si>
    <t>Quality Enhancement of University Teaching and Learning</t>
  </si>
  <si>
    <t>Nygaard, Claus;Courtney, Nigel</t>
  </si>
  <si>
    <t>LB2331 .N493 2013</t>
  </si>
  <si>
    <t>Academic achievement. ; College teaching. ; Quality assurance.</t>
  </si>
  <si>
    <t>Technology-Enhanced Learning in Higher Education</t>
  </si>
  <si>
    <t>Nygaard, Claus</t>
  </si>
  <si>
    <t>LB1028.3 .B736 2015</t>
  </si>
  <si>
    <t>Education, Higher-Effect of technological innovations on. ; Educational technology. ; Information technology. ; Distance education. ; Computer-assisted instruction.</t>
  </si>
  <si>
    <t>The Lives of Campus Custodians : Insights into Corporatization and Civic Disengagement in the Academy</t>
  </si>
  <si>
    <t>Magolda, Peter M.</t>
  </si>
  <si>
    <t>LB3235 .M346 2016</t>
  </si>
  <si>
    <t>School custodians-United States-Social conditions. ; College facilities-United States-Maintenance and repair-Social aspects. ; College personnel management-Moral and ethical aspects-United States. ; Work environment-United States.</t>
  </si>
  <si>
    <t>Race, Equity, and the Learning Environment : The Global Relevance of Critical and Inclusive Pedagogies in Higher Education</t>
  </si>
  <si>
    <t>Tuitt, Frank;Haynes, Chayla;Stewart, Saran</t>
  </si>
  <si>
    <t>LC196 .R334 2023</t>
  </si>
  <si>
    <t>Critical pedagogy. ; Multicultural education. ; Education, Higher-Social aspects. ; Minorities-Education (Higher) ; Educational equalization.</t>
  </si>
  <si>
    <t>Integrating Worlds : How off-Campus Study Can Transform Undergraduate Education</t>
  </si>
  <si>
    <t>Carpenter, Scott D.;Kaufman, Helena;Torp, Malene</t>
  </si>
  <si>
    <t>Foreign study. ; American students-Foreign countries. ; International education-United States. ; University extension-United States. ; Education, Higher-Aims and objectives-United States. ; Education, Higher-Curricula-United States.</t>
  </si>
  <si>
    <t>The Power of Integrated Learning : Higher Education for Success in Life, Work, and Society</t>
  </si>
  <si>
    <t>Sullivan, William M.</t>
  </si>
  <si>
    <t>LB2331.5 .S855 2023</t>
  </si>
  <si>
    <t>New American Colleges and Universities Consortium. ; University cooperation-United States. ; Consortia. ; Education, Higher.</t>
  </si>
  <si>
    <t>Are You Smart Enough? : How Colleges' Obsession with Smartness Shortchanges Students</t>
  </si>
  <si>
    <t>Astin, Alexander W.</t>
  </si>
  <si>
    <t>College students-Rating of. ; Educational equalization-United States. ; Educational tests and measurements-United States. ; Education, Higher.</t>
  </si>
  <si>
    <t>Teaching Science Online : Practical Guidance for Effective Instruction and Lab Work</t>
  </si>
  <si>
    <t>Kennepohl, Dietmar</t>
  </si>
  <si>
    <t>Q181 .T433 2023</t>
  </si>
  <si>
    <t>507.8/2</t>
  </si>
  <si>
    <t>Science Study and teaching (Higher) ; Web-based instruction. ; Education, Higher.</t>
  </si>
  <si>
    <t>Code-It Workbook 3: Algorithm to Code Using Scratch</t>
  </si>
  <si>
    <t>Bagge, Phil</t>
  </si>
  <si>
    <t>Code-It Workbook 4: Problem Solving Using Scratch</t>
  </si>
  <si>
    <t>Code-It Workbook 2: Choices in Programming Using Scratch</t>
  </si>
  <si>
    <t>Code-It Workbook 1: First Steps in Programming Using Scratch</t>
  </si>
  <si>
    <t>The Fast Track to New Skills : Short-Cycle Higher Education Programs in Latin America and the Caribbean</t>
  </si>
  <si>
    <t>Ferreyra, María Marta;Dinarte Díaz, Lelys;Urzúa, Sergio;Bassi, Marina</t>
  </si>
  <si>
    <t>LA543</t>
  </si>
  <si>
    <t>Latin America. ; Education, Higher.</t>
  </si>
  <si>
    <t>Remembering and Forgetting in the Age of Technology : Teaching, Learning, and the Science of Memory in a Wired World</t>
  </si>
  <si>
    <t>Miller, Michelle D.</t>
  </si>
  <si>
    <t>Education-Effect of technological innovations on. ; Learning, Psychology of. ; Information technology-Psychological aspects.</t>
  </si>
  <si>
    <t>Shifting to Digital : A Guide to Engaging, Teaching, and Assessing Remote Learners (Create Synchronous Instruction for Student Engagement and Enrichment)</t>
  </si>
  <si>
    <t>Bellanca, James A.;Lavert, Gwendolyn Battle;Bellanca, Kate</t>
  </si>
  <si>
    <t>Tactical Teacher : Proven Strategies to Positively Influence Student Learning and Classroom Behavior (Enhance Student Behavior with Research Based Instructional Strategies to Increase Learning Productivity)</t>
  </si>
  <si>
    <t>Ripley, Dale</t>
  </si>
  <si>
    <t>Leadership at Every Level : Five Qualities of Effective Classroom, School, and District Leaders (Your Guide to Effective Leadership Skills Building Authentic Relationships in the Classroom)</t>
  </si>
  <si>
    <t>McLaughlin, Janelle Clevenger</t>
  </si>
  <si>
    <t>Introduction to the Philosophy of Educational Research</t>
  </si>
  <si>
    <t>Ponce, Omar A.;Galan, Jose Gomez;Pagán-Maldonado, Nellie; Encarnación</t>
  </si>
  <si>
    <t>River Publishers Series in Innovation and Change in Education - Cross-Cultural Perspective Ser.</t>
  </si>
  <si>
    <t>The Quality of Health and Education Systems Across Africa : Evidence from a Decade of Service Delivery Indicators Surveys</t>
  </si>
  <si>
    <t>Andrews, Kathryn;Gatti, Roberta;Avitabile, Ciro;Conner, Ruben;Yi Chang, Andres</t>
  </si>
  <si>
    <t>RA395.A35</t>
  </si>
  <si>
    <t>Education--Evaluation. ; Educational indicators. ; Medical care--Evaluation.</t>
  </si>
  <si>
    <t>Literacy Strategies for English Learners in Core Content Secondary Classrooms</t>
  </si>
  <si>
    <t>Calderon, Maria Espino;Trejo, Maria N.</t>
  </si>
  <si>
    <t>English language--Study and teaching (Secondary)--Foreign students. ; Literacy--Study and teaching (Secondary) ; Interdisciplinary approach in education.</t>
  </si>
  <si>
    <t>Supporting Underserved Students : How to Make PBIS Culturally and Linguistically Responsive (PBIS-Compatible Resources for Culturally and Linguistically Responsive Teaching)</t>
  </si>
  <si>
    <t>Hollie, Sharroky;Russell, Daniel, Jr.</t>
  </si>
  <si>
    <t>Good Work If You Can Get It : How to Succeed in Academia</t>
  </si>
  <si>
    <t>Brennan, Jason</t>
  </si>
  <si>
    <t>LB2335.3 .B746 2020</t>
  </si>
  <si>
    <t>College teachers-Supply and demand-United States. ; College teachers-Vocational guidance-United States. ; College teaching-United States.</t>
  </si>
  <si>
    <t>Parentships in a PLC at Work® : Forming and Sustaining School-Home Relationships with Families (an Action Plan for Meaningful School Improvement)</t>
  </si>
  <si>
    <t>Palmer, Kyle</t>
  </si>
  <si>
    <t>Raise Her Up : Stories and Lessons from Women in International Educational Leadership (a Collection of Inspiring Real Life Stories to Empower Women in International School Leadership Positions)</t>
  </si>
  <si>
    <t>Lane, Debra E.;Cullen, Kimberly</t>
  </si>
  <si>
    <t>How to Chair a Department</t>
  </si>
  <si>
    <t>Dettmar, Kevin</t>
  </si>
  <si>
    <t>LB2341 .D488 2022</t>
  </si>
  <si>
    <t>College department heads-United States-Handbooks, manuals, etc. ; Universities and colleges-United States-Departments-Handbooks, manuals, etc.</t>
  </si>
  <si>
    <t>It's Not Free Speech : Race, Democracy, and the Future of Academic Freedom</t>
  </si>
  <si>
    <t>Bérubé, Michael;Ruth, Jennifer</t>
  </si>
  <si>
    <t>LC72 .B783 2022</t>
  </si>
  <si>
    <t>Academic freedom. ; Teaching, Freedom of. ; Freedom of speech.</t>
  </si>
  <si>
    <t>When Schools Work : Pluralist Politics and Institutional Reform in Los Angeles</t>
  </si>
  <si>
    <t>LA245.L6 F855 2022</t>
  </si>
  <si>
    <t>370.9794/94</t>
  </si>
  <si>
    <t>Academic achievement-California-Los Angeles. ; Education and state-California-Los Angeles. ; Public schools-California-Los Angeles. ; Educational change-California-Los Angeles.</t>
  </si>
  <si>
    <t>Researching Tourism, Leisure and Hospitality for Dissertations and Theses</t>
  </si>
  <si>
    <t>Goodfellow Publishers</t>
  </si>
  <si>
    <t>Goodfellow Publishers, Limited</t>
  </si>
  <si>
    <t>Mason, Peter</t>
  </si>
  <si>
    <t>G155.7</t>
  </si>
  <si>
    <t>Tourism/Hospitality; Economics</t>
  </si>
  <si>
    <t>Unpacking the Competency-Based Classroom : Equitable, Individualized Learning in a PLC at Work®(Your How-To Guide on Implementing CBE Successfully. )</t>
  </si>
  <si>
    <t>Vander Els, Jonathan G.;Stack, Brian M.</t>
  </si>
  <si>
    <t>Academic Development and Its Practitioners : A View from the Inside</t>
  </si>
  <si>
    <t>Young, Gert</t>
  </si>
  <si>
    <t>LA1538 .A23 2022</t>
  </si>
  <si>
    <t>Education, Higher-South Africa.. ; Education, Higher. ; Educational change..</t>
  </si>
  <si>
    <t>Invisible Features : Hidden Aspects of Teacher Identity in an Urban Charter School</t>
  </si>
  <si>
    <t>Ethics International Press Ltd.</t>
  </si>
  <si>
    <t>Ethics International Press Limited</t>
  </si>
  <si>
    <t>Carey, Martha</t>
  </si>
  <si>
    <t>Becoming a Human Engineer : A Philosophical Inquiry into Engineering Education As Means or Ends</t>
  </si>
  <si>
    <t>Cheville, Alan</t>
  </si>
  <si>
    <t>TA157</t>
  </si>
  <si>
    <t>Technology--Philosophy.</t>
  </si>
  <si>
    <t>Engineering: Civil; Philosophy; Engineering</t>
  </si>
  <si>
    <t>Becoming Active Citizens : Practices to Engage Students in Civic Education Across the Curriculum (an Innovative Resource Geared to Transform Civic Education in the Classroom)</t>
  </si>
  <si>
    <t>Driscoll, Tom;McClusker, Shawn W.</t>
  </si>
  <si>
    <t>Singletons in a PLC at Work® : Navigating on-Ramps to Meaningful Collaboration</t>
  </si>
  <si>
    <t>Leane, Brig;Yost, Jon</t>
  </si>
  <si>
    <t>Professional learning communities. ; Teachers In-service training.</t>
  </si>
  <si>
    <t>Language of Possibility : How Teachers' Words Shape School Culture and Student Achievement (Increase Empathic Communication in Your Classroom)</t>
  </si>
  <si>
    <t>LB1033.5</t>
  </si>
  <si>
    <t>Communication in education. ; Teachers--Language. ; Motivation in education.</t>
  </si>
  <si>
    <t>Jackpot! : Nurturing Student Investment Through Assessment (an Actionable Plan for Increasing Student Engagement)</t>
  </si>
  <si>
    <t>Dimich, Nicole;Erkens, Cassandra;Schimmer, Tom</t>
  </si>
  <si>
    <t>Motivation in education. ; Educational tests and measurements. ; Effective teaching.</t>
  </si>
  <si>
    <t>Tomorrow's High School : Creating Student Pathways for Both College and Career</t>
  </si>
  <si>
    <t>Bottoms, Gene</t>
  </si>
  <si>
    <t>LB1607 .B688 2022</t>
  </si>
  <si>
    <t>High school teaching. ; College preparation programs. ; School-to-work transition. ; Education, Secondary-Aims and objectives.</t>
  </si>
  <si>
    <t>The New Science of Learning : How to Learn in Harmony with Your Brain</t>
  </si>
  <si>
    <t>Stylus Publishing, LLC</t>
  </si>
  <si>
    <t>Zakrajsek, Todd D.;Gardner, John N.</t>
  </si>
  <si>
    <t>Learning ability. ; Learning, Psychology of. ; Brain.</t>
  </si>
  <si>
    <t>Devoted Academics : Ethical Responsibilities and Service in University Leadership</t>
  </si>
  <si>
    <t>Maybe Teaching Is a Bad Idea : Why Faculty Should Focus on Learning</t>
  </si>
  <si>
    <t>Spence, Larry D.;Weimer, Maryellen</t>
  </si>
  <si>
    <t>Cognitive learning. ; Effective teaching. ; College teaching.</t>
  </si>
  <si>
    <t>Equity in Data : A Framework for What Counts in Schools</t>
  </si>
  <si>
    <t>Knips, Andrew;Lopez, Sonya;Savoy, Michael;LaParo, Kendall</t>
  </si>
  <si>
    <t>LB2846 .K557 2023</t>
  </si>
  <si>
    <t>Education-Research-Methodology. ; Educational equalization. ; Educational statistics-Data processing.</t>
  </si>
  <si>
    <t>The Mastery Learning Handbook : A Competency-Based Approach to Student Achievement</t>
  </si>
  <si>
    <t>Bergmann, Jonathan</t>
  </si>
  <si>
    <t>LC1032 .B474 2023</t>
  </si>
  <si>
    <t>Competency-based education-United States. ; Academic achievement-United States.</t>
  </si>
  <si>
    <t>Engaging Employers in Vocational Education and Training in Brazil</t>
  </si>
  <si>
    <t>Strengthening Early Childhood Education and Care in Luxembourg</t>
  </si>
  <si>
    <t>Why Study the Middle Ages?</t>
  </si>
  <si>
    <t>Tracy, Kisha G.</t>
  </si>
  <si>
    <t>LB41 .T733 2022</t>
  </si>
  <si>
    <t>Shaping the Bar : The Future of Attorney Licensing</t>
  </si>
  <si>
    <t>Howarth, Joan</t>
  </si>
  <si>
    <t>Admission to the bar-United States. ; Bar examinations-United States. ; Law-Study and teaching-United States.</t>
  </si>
  <si>
    <t>The Student-Discussant Role in Doctoral Education : A Guidebook for Teaching and Learning</t>
  </si>
  <si>
    <t>Fongwa, Ngetiko</t>
  </si>
  <si>
    <t>The Exposition of Artistic Research : Publishing Art in Academia</t>
  </si>
  <si>
    <t>Borgdorff, Henk;Schwab, Michael</t>
  </si>
  <si>
    <t>NX280</t>
  </si>
  <si>
    <t>Art-Study and teaching. ; Art-Research.</t>
  </si>
  <si>
    <t>The University of Groningen in the World : A Concise History</t>
  </si>
  <si>
    <t>van Berkel, Klaas;Termeer, Guus</t>
  </si>
  <si>
    <t>Universities and colleges-Netherlands. ; Netherlands.</t>
  </si>
  <si>
    <t>Decolonizing American Spanish : Eurocentrism and the Limits of Foreignness in the Imperial Ecosystem</t>
  </si>
  <si>
    <t>Herlihy-Mera, Jeffrey</t>
  </si>
  <si>
    <t>Pitt Illuminations Series</t>
  </si>
  <si>
    <t>PC4826 .H475 2022</t>
  </si>
  <si>
    <t>Education, Higher-Political aspects-United States. ; Education, Higher-Social aspects-United States. ; Eurocentrism-United States. ; Hispanic Americans-Education. ; Spanish language-Political aspects-United States. ; Spanish language-Social aspects-United States. ; Spanish language-United States.</t>
  </si>
  <si>
    <t>Taxmann's Corporate Laws : Updated, Concise and Clear Study Material Provided in a Compact Manner with Case Laws, Illustrations, Figures, Tables, etc. , for B. Com. (Hons. ) under CBCS</t>
  </si>
  <si>
    <t>Taxmann Allied Service Private Ltd.</t>
  </si>
  <si>
    <t>Taxmann Allied Services Pvt, Limited</t>
  </si>
  <si>
    <t>Jagota, Rajni</t>
  </si>
  <si>
    <t>Taxmann's Interdisciplinary Aspects of Law and Technology : Cutting-Edge Analysis in the Form of Scholarly Research Papers for the Most Engaging Matters of Law and Technology</t>
  </si>
  <si>
    <t>Ahmad, Tabrez;Azimkhan;Kaushal;, Ajit</t>
  </si>
  <si>
    <t>Teaching the Bible with Undergraduates</t>
  </si>
  <si>
    <t>McWhirter, Jocelyn;Raquel, Sylvie T.</t>
  </si>
  <si>
    <t>BS601</t>
  </si>
  <si>
    <t>A Skills Beyond School Review of Switzerland</t>
  </si>
  <si>
    <t>Fazekas Mihály, Mihály;Field Simon, Simon</t>
  </si>
  <si>
    <t>LC1047.S9</t>
  </si>
  <si>
    <t>Occupational training. ; Vocational education.</t>
  </si>
  <si>
    <t>Vocational Education and Training in Sweden</t>
  </si>
  <si>
    <t>Kuczera Małgorzata, Małgorzata;Jeon Shinyoung, Shinyoung</t>
  </si>
  <si>
    <t>LC1047.S8</t>
  </si>
  <si>
    <t>An Introduction to Electronic Warfare: from the First Jamming to Machine Learning Techniques</t>
  </si>
  <si>
    <t>Cheng, Chi-Hao</t>
  </si>
  <si>
    <t>UG485 .C446 2021</t>
  </si>
  <si>
    <t>Electronics in military engineering. ; Radar-Military applications.</t>
  </si>
  <si>
    <t>Engineering: General; Military Science; Engineering</t>
  </si>
  <si>
    <t>Transforming Social Work Field Education : New Insights from Practice Research and Scholarship</t>
  </si>
  <si>
    <t>University of Calgary Press</t>
  </si>
  <si>
    <t>Drolet, Julie L.;Charles, Grant;McConnell, Sheri M.;Bogo, Marion</t>
  </si>
  <si>
    <t>Fieldwork (Educational method) ; Social service-Fieldwork. ; Social service-Research.</t>
  </si>
  <si>
    <t>Designing Authentic Performance Tasks and Projects : Tools for Meaningful Learning and Assessment</t>
  </si>
  <si>
    <t>McTighe, Jay;Doubet, Kristina J.;Carbaugh, Eric M.</t>
  </si>
  <si>
    <t>LB1027.43 .M385 2020</t>
  </si>
  <si>
    <t>Project method in teaching. ; Competency-based education. ; Educational tests and measurements.</t>
  </si>
  <si>
    <t>Understanding How We Learn : Applying Key Educational Psychology Concepts in the Classroom</t>
  </si>
  <si>
    <t>Zakrajsek, Todd D.</t>
  </si>
  <si>
    <t>Captive Audience : How Corporations Invaded Our Schools</t>
  </si>
  <si>
    <t>Between the Lines</t>
  </si>
  <si>
    <t>LB2331 .G536 2019</t>
  </si>
  <si>
    <t>Business and education-Canada. ; Advertising and children. ; Advertising in educational media. ; Corporate sponsorship-Canada.</t>
  </si>
  <si>
    <t>The Cat in the Box</t>
  </si>
  <si>
    <t>Ferrie, Chris</t>
  </si>
  <si>
    <t>QC174.125 .F477 2019</t>
  </si>
  <si>
    <t>Quantum theory-Juvenile literature.</t>
  </si>
  <si>
    <t>PLCs at Work® and the IB Primary Years Programme : Optimizing Personalized, Transdisciplinary Learning for All Students(Your Guide to a Highly Effective and Learning-Progressive Environment)</t>
  </si>
  <si>
    <t>Stuart, Timothy S., Sr.;Callaway, David (Cal);Stuart, Timothy S.</t>
  </si>
  <si>
    <t>LB1731 .P537 2023</t>
  </si>
  <si>
    <t>International Baccalaureate Primary Years Programme. ; Professional learning communities. ; Interdisciplinary approach in education. ; Academic achievement.</t>
  </si>
  <si>
    <t>Beyond Self-Care : Leading a Systemic Approach to Well-Being for Educators (a Practical Guide for K-12 Leaders to Create Systemic Change That Fosters Staff Wellness)</t>
  </si>
  <si>
    <t>Markin, Gail</t>
  </si>
  <si>
    <t>LB3415 .M375 2023</t>
  </si>
  <si>
    <t>Teachers-Health and hygiene. ; Teaching-Psychological aspects. ; Self-care, Health. ; Stress management. ; Well-being. ; Educational leadership-Social aspects.</t>
  </si>
  <si>
    <t>Children's Images of Identity : Drawing the Self and the Other</t>
  </si>
  <si>
    <t>Brown, Jill;Johnson, Nicola F.</t>
  </si>
  <si>
    <t>Identity (Psychology) in children. ; Indigenous peoples-Ethnic identity.</t>
  </si>
  <si>
    <t>Understanding and Using the Naglieri General Ability Tests: a Call for Equity in Gifted Education Ebook : A Call for Equity in Gifted Education</t>
  </si>
  <si>
    <t>Free Spirit Publishing Inc.</t>
  </si>
  <si>
    <t>Brulles, Dina;Lansdowne, Kim;Naglieri, Jack</t>
  </si>
  <si>
    <t>371.2601/3</t>
  </si>
  <si>
    <t>Gifted children--Education. ; Educational tests and measurements. ; Educational equalization.</t>
  </si>
  <si>
    <t>Mindful Classrooms : Daily 5-Minute Practices To Support Social-Emotional Learning (Prek to Grade 5)</t>
  </si>
  <si>
    <t>Butler, James</t>
  </si>
  <si>
    <t>Mindfulness (Psychology) ; Affective education. ; Emotions and cognition.</t>
  </si>
  <si>
    <t>The Power Of Self-Advocacy For Gifted Learners : Teaching The Four Essential Steps To Success (Grades 5-12)</t>
  </si>
  <si>
    <t>Douglas, Deb</t>
  </si>
  <si>
    <t>Gifted children--Education--United States. ; Self-culture.</t>
  </si>
  <si>
    <t>Big Conversations with Little Children: Addressing Questions, Worries, and Fears Ebook</t>
  </si>
  <si>
    <t>Starnes, Lauren</t>
  </si>
  <si>
    <t>Child psychology. ; Social work with children. ; Conversation.</t>
  </si>
  <si>
    <t>The PBIS Team Handbook : Setting Expectations And Building Positive Behavior</t>
  </si>
  <si>
    <t>Ryan, Char;Baker, Beth</t>
  </si>
  <si>
    <t>School psychology--United States. ; Behavior modification--United States. ; School children.</t>
  </si>
  <si>
    <t>Dispositions in Teacher Education : A Global Perspective</t>
  </si>
  <si>
    <t>Welch, Anita G.;Areepattamannil, Shaljan</t>
  </si>
  <si>
    <t>Cheers! : Around the World in 80 Toasts</t>
  </si>
  <si>
    <t>Cook, Brandon</t>
  </si>
  <si>
    <t>Toasts. ; Drinking customs. ; Language and languages.</t>
  </si>
  <si>
    <t>Geography/Travel; Language/Linguistics</t>
  </si>
  <si>
    <t>LB2395.3 .R433 2022</t>
  </si>
  <si>
    <t>Values and Music Education</t>
  </si>
  <si>
    <t>MT1 .J674 2021</t>
  </si>
  <si>
    <t>Music-Instruction and study-Moral and ethical aspects. ; Social values-Study and teaching.</t>
  </si>
  <si>
    <t>Preparing Vocational Teachers and Trainers</t>
  </si>
  <si>
    <t>B1736.J3 O333 2022</t>
  </si>
  <si>
    <t>Vocational teachers-Training of. ; Agricultural colleges.</t>
  </si>
  <si>
    <t>Digital Technology in Capacity Development : Enabling Learning and Supporting Change</t>
  </si>
  <si>
    <t>Wild, Joanna;Nzegwu, Femi</t>
  </si>
  <si>
    <t>LB1028.3 .D545 2022</t>
  </si>
  <si>
    <t>Rethinking Teacher Education : Improvement, Innovation and Change</t>
  </si>
  <si>
    <t>Mkuki na Nyota Publishers</t>
  </si>
  <si>
    <t>TANZANIA</t>
  </si>
  <si>
    <t>Lugalla, Joe;Andema, Samuel</t>
  </si>
  <si>
    <t>LB1715 .R484 2022</t>
  </si>
  <si>
    <t>Teachers-Training of. ; Education-Aims and objectives.</t>
  </si>
  <si>
    <t>Caribbean Quality Culture : Persistent Commitment to Improving Higher Education</t>
  </si>
  <si>
    <t>Gift, Sandra Ingrid</t>
  </si>
  <si>
    <t>LA478 .C375 2021</t>
  </si>
  <si>
    <t>378.1/0709729</t>
  </si>
  <si>
    <t>Education, Higher-Caribbean, English-speaking. ; Educational change-Caribbean, English-speaking.</t>
  </si>
  <si>
    <t>Males and Tertiary Education in Jamaica</t>
  </si>
  <si>
    <t>Gayle, Herbert;Bryan, Peisha</t>
  </si>
  <si>
    <t>LC191.8.G7 G395 2019</t>
  </si>
  <si>
    <t>Educational attainment-Sex differences-Jamaica. ; Men-Education (Higher)-Jamaica.</t>
  </si>
  <si>
    <t>Effecting Change for Culturally and Linguistically Diverse Learners</t>
  </si>
  <si>
    <t>Berry, Almitra L.</t>
  </si>
  <si>
    <t>LC4704 .B477 2022</t>
  </si>
  <si>
    <t>Learning disabled children-Education. ; Remedial teaching. ; Slow learning children-Education.</t>
  </si>
  <si>
    <t>Content Owner</t>
  </si>
  <si>
    <t>Individual Title</t>
  </si>
  <si>
    <t>ABC Australian Broadcasting Corporation</t>
  </si>
  <si>
    <t>Future Classroom</t>
  </si>
  <si>
    <t>Lashi Bandara</t>
  </si>
  <si>
    <t>Aha! Process, Inc.</t>
  </si>
  <si>
    <t>Module 1 : Overview and Statistics : Key Points</t>
  </si>
  <si>
    <t>Module 2 : Resources</t>
  </si>
  <si>
    <t>Module 3 : Language, Story Structure, and Cognition</t>
  </si>
  <si>
    <t>Module 4 : Family Structure</t>
  </si>
  <si>
    <t>Module 5 : Hidden Rules</t>
  </si>
  <si>
    <t>Module 6 : Discipline Interventions</t>
  </si>
  <si>
    <t>Module 7 : Building Relationships</t>
  </si>
  <si>
    <t>Boys in Crisis : Why It Matters and What You Can Do About It : A Practical Guide for Parents, Educators, and Decision Makers</t>
  </si>
  <si>
    <t>College Readiness in K-12 : A Resource for School Counselors Who Support At-Risk and First-Generation Prospects</t>
  </si>
  <si>
    <t>First in the Family : Help Your College Student Succeed and Prosper the First Year and Every Year</t>
  </si>
  <si>
    <t>Strategy 1 : Assess Resources to Determine Interventions</t>
  </si>
  <si>
    <t>Strategy 2 : Building Relationships of Mutual Respect With Students</t>
  </si>
  <si>
    <t>Strategy 3 : Teach Formal Register and Story Structure</t>
  </si>
  <si>
    <t>Strategy 4 : Negotiating the Abstract Representational World</t>
  </si>
  <si>
    <t>Strategy 5 : Teach Appropriate Behaviors and Procedures</t>
  </si>
  <si>
    <t>Strategy 6 : A Six-Step Process to Track Student Learning</t>
  </si>
  <si>
    <t>Strategy 7 : Build Relationships of Mutual Respect With Parents</t>
  </si>
  <si>
    <t>Strategy 8 : Develop Community Collaboration Models</t>
  </si>
  <si>
    <t>Forced Choice</t>
  </si>
  <si>
    <t>Give One, Get One</t>
  </si>
  <si>
    <t>Laying the Groundwork</t>
  </si>
  <si>
    <t>Physical Barometer</t>
  </si>
  <si>
    <t>Scavenger Hunt</t>
  </si>
  <si>
    <t>Implementing Interventions and Building Resources</t>
  </si>
  <si>
    <t>Teaching the Concept of Equivalence, Not Just the Rule</t>
  </si>
  <si>
    <t>The Importance of the Unit</t>
  </si>
  <si>
    <t>The Meanings and Representations of Fractions</t>
  </si>
  <si>
    <t>Visual and Tactile Representations of Fractions</t>
  </si>
  <si>
    <t>BBC Studios Americas, Inc.</t>
  </si>
  <si>
    <t>A Class Apart</t>
  </si>
  <si>
    <t>Classroom Warriors</t>
  </si>
  <si>
    <t>Excluded</t>
  </si>
  <si>
    <t>Testing Times</t>
  </si>
  <si>
    <t>Goodbye Year 6</t>
  </si>
  <si>
    <t>In at the Deep End</t>
  </si>
  <si>
    <t>Learning to Love</t>
  </si>
  <si>
    <t>The Trouble With Boys</t>
  </si>
  <si>
    <t>Episode 1</t>
  </si>
  <si>
    <t>Episode 2</t>
  </si>
  <si>
    <t>Episode 3</t>
  </si>
  <si>
    <t>Episode 4</t>
  </si>
  <si>
    <t>Episode 5</t>
  </si>
  <si>
    <t>Episode 6</t>
  </si>
  <si>
    <t>Belief</t>
  </si>
  <si>
    <t>Fear And Danger</t>
  </si>
  <si>
    <t>Growing Up</t>
  </si>
  <si>
    <t>Love and Hate</t>
  </si>
  <si>
    <t>Right and Wrong</t>
  </si>
  <si>
    <t>The Adult World</t>
  </si>
  <si>
    <t>Buros Center for Testing University of Nebraska (Lincoln)</t>
  </si>
  <si>
    <t>Advances and Challenges in Assessing Social, Emotional, and Self-Management Skills</t>
  </si>
  <si>
    <t>Assessment…With a Touch of Class</t>
  </si>
  <si>
    <t>Assessments Changing Students and Vice Versa : Lessons From K-12 Testing of Students With Disabilities</t>
  </si>
  <si>
    <t>College-Level Placement Testing and the Common Core</t>
  </si>
  <si>
    <t>Distinguished Professionals in Testing - An Interview With Dr. Barbara Plake</t>
  </si>
  <si>
    <t>Fairness in Testing : The Standards for Educational and Psychological Testing</t>
  </si>
  <si>
    <t>Issues With Accessibility of Computer Based Tests for Students With Disabilities</t>
  </si>
  <si>
    <t>Research on the Alignment Between Secondary and Postsecondary Standards and Expectations</t>
  </si>
  <si>
    <t>Strategies for Evaluating Educational Assessments</t>
  </si>
  <si>
    <t>The Impact of the Testing Standards</t>
  </si>
  <si>
    <t>Applying the Standards for Educational and Psychological Testing in Education Policy and Accountability Settings</t>
  </si>
  <si>
    <t>Overview of the Joint Standards for Educational and Psychological Testing</t>
  </si>
  <si>
    <t>The 2014 Standards for Educational and Psychological Testing : Implications for School Psychology</t>
  </si>
  <si>
    <t>California Newsreel</t>
  </si>
  <si>
    <t>The Raising of America</t>
  </si>
  <si>
    <t>Are We Crazy About Our Kids? : The Cost/Benefit Equation</t>
  </si>
  <si>
    <t>DNA Is Not Destiny : How the Outside Gets Under the Skin</t>
  </si>
  <si>
    <t>Once Upon A Time : When Childcare for All Wasn't Just a Fairy Tale</t>
  </si>
  <si>
    <t>Wounded Places : Confronting Childhood PTSD in America's Shell-Shocked Cities</t>
  </si>
  <si>
    <t>ChildSense</t>
  </si>
  <si>
    <t>Managing Conflict : Escalating or De-escalating</t>
  </si>
  <si>
    <t>Setting Limits &amp; Boundaries : How to Say NO to Your Kids</t>
  </si>
  <si>
    <t>Building Community in a Challenging Classroom</t>
  </si>
  <si>
    <t>Managing Conflict With Students</t>
  </si>
  <si>
    <t>Offering Choices</t>
  </si>
  <si>
    <t>Responding to Student Behavior, Elementary</t>
  </si>
  <si>
    <t>Responding to Student Behavior, Secondary</t>
  </si>
  <si>
    <t>Working With Challenging Parents</t>
  </si>
  <si>
    <t>Chip Taylor Communications, LLC</t>
  </si>
  <si>
    <t>A Gift from Joyce</t>
  </si>
  <si>
    <t>A Labor of Love</t>
  </si>
  <si>
    <t>Autism : Far Away Eyes</t>
  </si>
  <si>
    <t>Curveball</t>
  </si>
  <si>
    <t>Digital Divide : The Hole in the Wall</t>
  </si>
  <si>
    <t>Early Childhood : Years of Promise</t>
  </si>
  <si>
    <t>Left-Handed Children : A Guide for Teachers and Parents</t>
  </si>
  <si>
    <t>Moving On (Four Stories of Blindness)</t>
  </si>
  <si>
    <t>My Son Jack : Diagnosis - Autism</t>
  </si>
  <si>
    <t>Nobody Told Me the Road Would Be Easy</t>
  </si>
  <si>
    <t>Physically Challenged Children in Physical Education</t>
  </si>
  <si>
    <t>Questions and Admissions Reflections</t>
  </si>
  <si>
    <t>Stuttering in Children : Speaking of Courage</t>
  </si>
  <si>
    <t>Teaching Children to Write Poetry</t>
  </si>
  <si>
    <t>The Importance of Being a School Board Member</t>
  </si>
  <si>
    <t>The Seeker (Seeking Hope for the Physically Challenged)</t>
  </si>
  <si>
    <t>Tree (A Paraplegic's Heroic Story)</t>
  </si>
  <si>
    <t>Copyright 101 : An Introduction to Copyright</t>
  </si>
  <si>
    <t>Copyright and Fair Use</t>
  </si>
  <si>
    <t>Copyright and the Library, Media Center and AV Department</t>
  </si>
  <si>
    <t>Copyright for Students and Parents</t>
  </si>
  <si>
    <t>Copyright Works in the Classroom : Copyright FAQs</t>
  </si>
  <si>
    <t>Copyright, Research and Publication : Copyright FAQs</t>
  </si>
  <si>
    <t>DMCA - The Digital Millennium Copyright Act in Detail</t>
  </si>
  <si>
    <t>DMCA and Digital Distance Education</t>
  </si>
  <si>
    <t>DMCA and Online Service Provider Limitation on Liability</t>
  </si>
  <si>
    <t>Managing Education Uses of Copyright Works : Copyright FAQs</t>
  </si>
  <si>
    <t>All-Day Kindergarten</t>
  </si>
  <si>
    <t>Choosing Quality Childcare</t>
  </si>
  <si>
    <t>Common Concerns of Parents of Young Children</t>
  </si>
  <si>
    <t>Developing a Positive Self-Esteem</t>
  </si>
  <si>
    <t>Developmentally Appropriate Practices</t>
  </si>
  <si>
    <t>Discipline : Making It Work</t>
  </si>
  <si>
    <t>Having Fun With Science and Math</t>
  </si>
  <si>
    <t>Healthy Babies</t>
  </si>
  <si>
    <t>Helping Children Cope With Divorce</t>
  </si>
  <si>
    <t>Nurturing Creativity in Children</t>
  </si>
  <si>
    <t>Parents : The Child's First Teachers</t>
  </si>
  <si>
    <t>Parents Involved in Their Children's Education</t>
  </si>
  <si>
    <t>Preparing Your Child for Kindergarten</t>
  </si>
  <si>
    <t>Preparing Your Child for School 1 : An Intro</t>
  </si>
  <si>
    <t>Preparing Your Child for School 2 : Ready by 5</t>
  </si>
  <si>
    <t>Promoting Literacy Growth in Children</t>
  </si>
  <si>
    <t>Questions Frequently Asked by Parents</t>
  </si>
  <si>
    <t>Reading in the Kindergarten</t>
  </si>
  <si>
    <t>Selecting Appropriate Toys</t>
  </si>
  <si>
    <t>Selecting Literature for Young Children</t>
  </si>
  <si>
    <t>Single Parenting</t>
  </si>
  <si>
    <t>Summer Activities for Children</t>
  </si>
  <si>
    <t>The Family's Role in Values Education</t>
  </si>
  <si>
    <t>The Toddler Years</t>
  </si>
  <si>
    <t>The Two Sides of Television</t>
  </si>
  <si>
    <t>The Value of Play</t>
  </si>
  <si>
    <t>Trips for Young Children</t>
  </si>
  <si>
    <t>Clifford Highnam</t>
  </si>
  <si>
    <t>School Language : Later Elementary Grades</t>
  </si>
  <si>
    <t>School Language : The Early Grades</t>
  </si>
  <si>
    <t>Practical Applications of New Brain Research : 7 Amazing Discoveries</t>
  </si>
  <si>
    <t>School House Bullies : Preventive Strategies for Professional Educators</t>
  </si>
  <si>
    <t>The Parallel Curriculum</t>
  </si>
  <si>
    <t>Video Clip 1.1. How Many Toothpicks? Small Group 1</t>
  </si>
  <si>
    <t>Video Clip 1.2. How Many Toothpicks? Small Group 2</t>
  </si>
  <si>
    <t>Video Clip 1.3. How Many Toothpicks? Specialist Commentary (Background for Facilitators)</t>
  </si>
  <si>
    <t>Video Clip 2.1. The Border Problem : Introduction</t>
  </si>
  <si>
    <t>Video Clip 2.2. The Border Problem : Day 2</t>
  </si>
  <si>
    <t>Video Clip 4.1. Team Leadership for Mathematics in Middle and High Schools, Student Voices</t>
  </si>
  <si>
    <t>Video Clip 5.1. Secondary Lenses on Learning : Team Leadership for Mathematics in Middle and High Schools, The Basic Student Budget</t>
  </si>
  <si>
    <t>Derek Bok Center for Teaching and Learning</t>
  </si>
  <si>
    <t>From Questions to Concepts : Interactive Teaching In Physics</t>
  </si>
  <si>
    <t>How to Speak : Lecture Tips From Patrick Winston</t>
  </si>
  <si>
    <t>Race in the Classroom : The Multiplicity of Experience</t>
  </si>
  <si>
    <t>Teaching in America : A Guide for International Faculty</t>
  </si>
  <si>
    <t>Teaching Political Science With Stanley Hoffmann</t>
  </si>
  <si>
    <t>Technically Speaking : Making Complex Matters Simple</t>
  </si>
  <si>
    <t>The Act of Teaching, Part I : Theater Techniques for Classrooms and Presentations</t>
  </si>
  <si>
    <t>The Act of Teaching, Part II : Physical and Vocal Exercises</t>
  </si>
  <si>
    <t>The Art of Discussion Leading : A Class With Chris Christensen</t>
  </si>
  <si>
    <t>The Art of the Lecture : Justice, a Harvard University Course in Moral Reasoning</t>
  </si>
  <si>
    <t>Thinking Together : Collaborative Learning in Science</t>
  </si>
  <si>
    <t>What Students Want : Teaching From a Student's Perspective</t>
  </si>
  <si>
    <t>Women in the Classroom : Cases for Discussion</t>
  </si>
  <si>
    <t>Educators for Social Responsibility</t>
  </si>
  <si>
    <t>Activators : Classroom Strategies for Engaging Middle and High School Students</t>
  </si>
  <si>
    <t>Hughson California Unified School District : Resolving Conflict Creatively Program : Professional Development Videos</t>
  </si>
  <si>
    <t>Getting Classroom Management RIGHT : Guided Discipline and Personalized Support in Secondary Schools, in the Partners in Learning Series</t>
  </si>
  <si>
    <t>Making Learning REAL : Reaching and Engaging All Learners in Secondary Classrooms, in the Partners in Learning Series</t>
  </si>
  <si>
    <t>Encyclopedia Britannica</t>
  </si>
  <si>
    <t>Eb Editor Ann Gadzikowski Discusses How Covid-19 Will Affect the Future of Education</t>
  </si>
  <si>
    <t>Introduction to Sel (Social Emotional Learning)</t>
  </si>
  <si>
    <t>Learn About the Most Basic Definitions in Geometry : Lines and Angles</t>
  </si>
  <si>
    <t>Learn More About Project-Based Learning at Home for Children</t>
  </si>
  <si>
    <t>Overview of How Children Interact With and Are Influenced by Technology</t>
  </si>
  <si>
    <t>Understand How Children Learn and Think as They Grow From Babies to Teens</t>
  </si>
  <si>
    <t>Film Platform</t>
  </si>
  <si>
    <t>Die Before Blossom</t>
  </si>
  <si>
    <t>Placebo</t>
  </si>
  <si>
    <t>Reach for the SKY</t>
  </si>
  <si>
    <t>Teacher Irena</t>
  </si>
  <si>
    <t>World Class Kids</t>
  </si>
  <si>
    <t>Conductivity</t>
  </si>
  <si>
    <t>The School in the Cloud</t>
  </si>
  <si>
    <t>American Promise</t>
  </si>
  <si>
    <t>Chasing Childhood</t>
  </si>
  <si>
    <t>Girl Rising</t>
  </si>
  <si>
    <t>Girl Rising 5th Anniversary Edition</t>
  </si>
  <si>
    <t>Most Likely to Succeed</t>
  </si>
  <si>
    <t>Most Valuable Players</t>
  </si>
  <si>
    <t>Paper Tigers</t>
  </si>
  <si>
    <t>Pressure Cooker</t>
  </si>
  <si>
    <t>Race to Nowhere</t>
  </si>
  <si>
    <t>The Big Picture : Rethinking Dyslexia</t>
  </si>
  <si>
    <t>Filmakers Library, Inc.</t>
  </si>
  <si>
    <t>A Sound Education : The Young Violinists of South Central</t>
  </si>
  <si>
    <t>Best Kept Secret</t>
  </si>
  <si>
    <t>Music and Early Childhood</t>
  </si>
  <si>
    <t>Trouble With Reading</t>
  </si>
  <si>
    <t>Fredric H. Jones &amp; Associates, Inc.</t>
  </si>
  <si>
    <t>Calm is Strength</t>
  </si>
  <si>
    <t>Coaching, Skill Building and Practice - Breathing Practice</t>
  </si>
  <si>
    <t>Coaching, Skill Building and Practice - Goof Off</t>
  </si>
  <si>
    <t>Coaching, Skill Building and Practice - Mess Up : Praise Prompt and Leave</t>
  </si>
  <si>
    <t>Coaching, Skill Building and Practice - Mess Up : Visual Instructional Plans</t>
  </si>
  <si>
    <t>Coaching, Skill Building and Practice - Moving In and Moving Out</t>
  </si>
  <si>
    <t>Coaching, Skill Building and Practice - Partner Teaching Tips</t>
  </si>
  <si>
    <t>Coaching, Skill Building and Practice - Smile Practice</t>
  </si>
  <si>
    <t>Coaching, Skill Building and Practice - The Group Problem Solving Process</t>
  </si>
  <si>
    <t>Coaching, Skill Building and Practice - The Turn</t>
  </si>
  <si>
    <t>Coaching, Skill Building and Practice, Introduction to Skills and Practice</t>
  </si>
  <si>
    <t>Dealing with Typical Classroom Crises</t>
  </si>
  <si>
    <t>Eliminating Backtalk</t>
  </si>
  <si>
    <t>Omission Training and Preferred Activity Time</t>
  </si>
  <si>
    <t>Praise, Prompt, and Leave</t>
  </si>
  <si>
    <t>Responsibility Training</t>
  </si>
  <si>
    <t>Rules, Routines, and Standards</t>
  </si>
  <si>
    <t>Say, See, Do Teaching</t>
  </si>
  <si>
    <t>The Body Language of Meaning Business</t>
  </si>
  <si>
    <t>Understanding Brat Behavior</t>
  </si>
  <si>
    <t>Visual Instructional Plans</t>
  </si>
  <si>
    <t>Working the Crowd and Room Arrangement</t>
  </si>
  <si>
    <t>Governors State University</t>
  </si>
  <si>
    <t>Books for Primary Readers</t>
  </si>
  <si>
    <t>Changing Views of Children’s Literature</t>
  </si>
  <si>
    <t>Selecting Books for Children</t>
  </si>
  <si>
    <t>Using Literary Elements With Children</t>
  </si>
  <si>
    <t>Writing to Read, Reading to Write</t>
  </si>
  <si>
    <t>Books for the Very Young</t>
  </si>
  <si>
    <t>Children’s Literature Today</t>
  </si>
  <si>
    <t>Experiencing Literature Through Storytelling</t>
  </si>
  <si>
    <t>Fables, Myths and Legends</t>
  </si>
  <si>
    <t>Censorship of Young Adult Literature</t>
  </si>
  <si>
    <t>Dealing With New Realism : Peers, Pressures, Gangs, and Violence</t>
  </si>
  <si>
    <t>Drama : Bringing Literature to Life</t>
  </si>
  <si>
    <t>Guidance Associates</t>
  </si>
  <si>
    <t>Aids to Memory : Note-Taking Skills</t>
  </si>
  <si>
    <t>Coping With Peer Pressure : Getting Along Without Going Along</t>
  </si>
  <si>
    <t>Critical Thinking : How to Evaluate Information and Draw Conclusions</t>
  </si>
  <si>
    <t>Dare to Be Different : Resisting Drug Related Peer Pressure</t>
  </si>
  <si>
    <t>Dropping Out : Road to Nowhere</t>
  </si>
  <si>
    <t>Hard Facts About Drugs : Alcohol, Marijuana, Cocaine, and Crack</t>
  </si>
  <si>
    <t>How to Get the Most From What You Read : Making Judgments and Drawing Conclusions</t>
  </si>
  <si>
    <t>How to Get the Most From What You Read : Using Clue Words to Unlock Meaning</t>
  </si>
  <si>
    <t>Research Paper Made Easy : From Assignment to Completion</t>
  </si>
  <si>
    <t>Study Skills</t>
  </si>
  <si>
    <t>How to Listen Effectively</t>
  </si>
  <si>
    <t>How to Read a Textbook</t>
  </si>
  <si>
    <t>How to Take Essay Tests</t>
  </si>
  <si>
    <t>How to Take Notes</t>
  </si>
  <si>
    <t>HighScope</t>
  </si>
  <si>
    <t>From Message to Meaning : Using a Daily Message Board in the Preschool Classroom</t>
  </si>
  <si>
    <t>HighScope for Children With Special Needs</t>
  </si>
  <si>
    <t>Large-Group Times for Active Learners</t>
  </si>
  <si>
    <t>Moving Past Praise : Supporting Children With Encouragement</t>
  </si>
  <si>
    <t>Plan-Do-Review in Action</t>
  </si>
  <si>
    <t>Scoring the Early Literary Skills Assessment : Establishing Reliability</t>
  </si>
  <si>
    <t>Small-Group Times for Active Learners</t>
  </si>
  <si>
    <t>The Daily Routine</t>
  </si>
  <si>
    <t>InService Works, Inc.</t>
  </si>
  <si>
    <t>A Teacher's Culture : Examining Your Cultural Past</t>
  </si>
  <si>
    <t>Facilitating Cultural Discussion in the Classroom</t>
  </si>
  <si>
    <t>Faculty Meeting on Cultural Issues</t>
  </si>
  <si>
    <t>Imagine Yourself...Creative Visualization, Teaching Strategies &amp; Culturally Sensitive Teacher</t>
  </si>
  <si>
    <t>Learn From the Past - Plan for the Future, Multi-Cultural Value Preferences and Dominant U.S. Culture</t>
  </si>
  <si>
    <t>Establishing Rules and Consequences : Step-by-Step Through Week One</t>
  </si>
  <si>
    <t>Making the Grade : Step-by-Step through the Assessment Maze</t>
  </si>
  <si>
    <t>Organizing for Success : Step-by-Step Through Day 1 and Day 2</t>
  </si>
  <si>
    <t>Please, No Surprises! Step-by-Step to Effective Parent/Teacher Communication</t>
  </si>
  <si>
    <t>Knowledgemotion Ltd.</t>
  </si>
  <si>
    <t>Focus &amp; Concentration</t>
  </si>
  <si>
    <t>Memory</t>
  </si>
  <si>
    <t>Papers &amp; Essays</t>
  </si>
  <si>
    <t>Procrastination</t>
  </si>
  <si>
    <t>Studying for Exams</t>
  </si>
  <si>
    <t>Test Anxiety</t>
  </si>
  <si>
    <t>Latest Thinking</t>
  </si>
  <si>
    <t>Can Physical Education Lessons Promote the Intercultural Competence of School Children?</t>
  </si>
  <si>
    <t>How Can Classroom Rank Affect Students in Later Life?</t>
  </si>
  <si>
    <t>How Do Parents’ Social Networks Affect Their Children’s Educational Attainment?</t>
  </si>
  <si>
    <t>How is Student Learning Affected by Different Types of Testing?</t>
  </si>
  <si>
    <t>Is Language Development in the Child’s Brain Visible on a Molecular Level?</t>
  </si>
  <si>
    <t>Why Do People Visit Art Exhibitions?</t>
  </si>
  <si>
    <t>Learning Seed</t>
  </si>
  <si>
    <t>Authentic Assessment</t>
  </si>
  <si>
    <t>Setting the Stage</t>
  </si>
  <si>
    <t>Training and Support Is the Key</t>
  </si>
  <si>
    <t>A Child's Mind : How Kids Learn Right &amp; Wrong</t>
  </si>
  <si>
    <t>Attachment Relationships : Nurturing Healthy Bonds</t>
  </si>
  <si>
    <t>Authentic Assessment : Observation II : Making the Connection</t>
  </si>
  <si>
    <t>Believe Me</t>
  </si>
  <si>
    <t>Beyond Belief</t>
  </si>
  <si>
    <t>Child Development : Jobs in Child Development : Career Compass</t>
  </si>
  <si>
    <t>Children Learning Language : How Adults Can Help</t>
  </si>
  <si>
    <t>Child's Play</t>
  </si>
  <si>
    <t>Development And Discovery</t>
  </si>
  <si>
    <t>Disciplining Kids : Without Screaming and Scolding</t>
  </si>
  <si>
    <t>Five- and Six-Year-Olds</t>
  </si>
  <si>
    <t>Growing Up in Video World</t>
  </si>
  <si>
    <t>Guiding Behavior in Young Children : Expert Approaches for Caregivers and Parents</t>
  </si>
  <si>
    <t>How Boys and Girls Differ</t>
  </si>
  <si>
    <t>Inclusion, I.E.P. &amp; Special Needs Laws : What Teachers Should Know</t>
  </si>
  <si>
    <t>Infant and Toddler Care : Keys to Quality Infant Toddler Care</t>
  </si>
  <si>
    <t>Infant Toddler Curriculum : Promoting Language and Literacy</t>
  </si>
  <si>
    <t>Infants : Cognitive Development</t>
  </si>
  <si>
    <t>Infants : Physical Development</t>
  </si>
  <si>
    <t>Infants : Social and Emotional Development</t>
  </si>
  <si>
    <t>Learning Before School : How Parents Can Help</t>
  </si>
  <si>
    <t>Moral Development I : Concept and Theory</t>
  </si>
  <si>
    <t>Moral Development II : Learning to Be Moral</t>
  </si>
  <si>
    <t>Nourishing Healthy Preschoolers : A Guide to My Plate Nutrition</t>
  </si>
  <si>
    <t>Preschooler Observation PLUS : Cognitive Development</t>
  </si>
  <si>
    <t>Preschooler Observation PLUS : Language &amp; Literacy Development</t>
  </si>
  <si>
    <t>Preschooler Observation PLUS : Physical &amp; Motor Development</t>
  </si>
  <si>
    <t>Preschooler Observation PLUS : Social &amp; Emotional Development</t>
  </si>
  <si>
    <t>Preschoolers Series : Social &amp; Emotional Development</t>
  </si>
  <si>
    <t>Quality Infant Toddler Care : Investing in Caring Relationships</t>
  </si>
  <si>
    <t>Responding to Diversity (and Respecting Differences)</t>
  </si>
  <si>
    <t>Rules, Rituals, Routines</t>
  </si>
  <si>
    <t>Rules, Rituals, Routines : Extended Edition</t>
  </si>
  <si>
    <t>Safety First Babysitting</t>
  </si>
  <si>
    <t>Shaking, Hitting, Spanking - Spanish Version</t>
  </si>
  <si>
    <t>Shaking, Hitting, Spanking : What to Do Instead</t>
  </si>
  <si>
    <t>Shaping Youngest Minds</t>
  </si>
  <si>
    <t>The Developing Child : Language Development</t>
  </si>
  <si>
    <t>The Spanking Controversy</t>
  </si>
  <si>
    <t>Them &amp; Us</t>
  </si>
  <si>
    <t>Toddlers (Overview)</t>
  </si>
  <si>
    <t>Welcome to Holland : Resiliency in Families Raising Children With Special Needs</t>
  </si>
  <si>
    <t>Why Can't Michael Pay Attention? Understanding ADHD</t>
  </si>
  <si>
    <t>Yelling, Threatening &amp; Putting Down : What to Do Instead</t>
  </si>
  <si>
    <t>Your Toddler : A Parent's Guide</t>
  </si>
  <si>
    <t>Professional Development</t>
  </si>
  <si>
    <t>Communication and Professional Growth</t>
  </si>
  <si>
    <t>Instruction for All Students</t>
  </si>
  <si>
    <t>Managing the Learning Environment</t>
  </si>
  <si>
    <t>Learning Zone Express</t>
  </si>
  <si>
    <t>Child Development Basics and the Importance of Play</t>
  </si>
  <si>
    <t>Child Development Careers</t>
  </si>
  <si>
    <t>Child Development Theorists</t>
  </si>
  <si>
    <t>Cooking with Children : A Learning Activity</t>
  </si>
  <si>
    <t>Early Childhood Professions</t>
  </si>
  <si>
    <t>Encouraging Moral Development in Children</t>
  </si>
  <si>
    <t>From Sports to Career : The Play Goes On</t>
  </si>
  <si>
    <t>Goal Setting : Discovering Your Gifts</t>
  </si>
  <si>
    <t>The History of Parenting Practices : Child Development Theories</t>
  </si>
  <si>
    <t>The Montessori Method</t>
  </si>
  <si>
    <t>Volume 1 : Basic Care</t>
  </si>
  <si>
    <t>Lola Bautista</t>
  </si>
  <si>
    <t>Chuuk FSM into Hawai’i : Nanette Fritz</t>
  </si>
  <si>
    <t>Marshall Islands to Hawai’i : Chimako Anitok</t>
  </si>
  <si>
    <t>MacNeil/Lehrer Productions</t>
  </si>
  <si>
    <t>Aging Maine Repays College Debts to Attract Younger Workers</t>
  </si>
  <si>
    <t>Appreciating the ‘Powerful Good’ of the Public Library</t>
  </si>
  <si>
    <t>At This College, Academic Excellence Requires Passion for the Social Good</t>
  </si>
  <si>
    <t>Can 'Cultural Proficiency' Among Teachers Help Close Student Achievement Gap?</t>
  </si>
  <si>
    <t>Counting the Benefits of Teaching Math to 3 Year Olds</t>
  </si>
  <si>
    <t>Getting Books From the U.S. Feeds These Students' Love of Reading</t>
  </si>
  <si>
    <t>How a Classroom on Wheels Is Expanding Access to Early Education</t>
  </si>
  <si>
    <t>How Do You Make the Benefits of Pre-K Education Last?</t>
  </si>
  <si>
    <t>How Faculty Mentors Can Help First-Generation Students Succeed</t>
  </si>
  <si>
    <t>How Schools Are Forced to Close as Rural Populations Dwindle</t>
  </si>
  <si>
    <t>How These Oregon Teachers Are Fighting Back Against White Nationalism</t>
  </si>
  <si>
    <t>How This Thai Educational Movement Empowers Rural Students</t>
  </si>
  <si>
    <t>How Wyoming Manages to Keep Its Rural Schools Open</t>
  </si>
  <si>
    <t>Learning Computer Coding Opens Up 'Endless World' for These Kids</t>
  </si>
  <si>
    <t>Many College Students Struggle to Pass Remedial Math. Do They Need to?</t>
  </si>
  <si>
    <t>Math Wiz Adds Web Tools to Take Education to New Limits February 22, 2010</t>
  </si>
  <si>
    <t>Rethinking College : Filling in This Perception Gap Can Help Low-Income Students Succeed</t>
  </si>
  <si>
    <t>Should High Schools Worry About What Students Do After Graduation? This City Says Yes</t>
  </si>
  <si>
    <t>The Next Generation of African-American Doctors Finds Success and Support at This University</t>
  </si>
  <si>
    <t>How Minnesota's Lack of Teachers of Color Hurts Students, and What Reform Could Look Like</t>
  </si>
  <si>
    <t>Managing School Stress by Bringing Yoga Into the Classroom</t>
  </si>
  <si>
    <t>Magna Systems</t>
  </si>
  <si>
    <t>Human Relationships : The Key to Social and Emotional Development</t>
  </si>
  <si>
    <t>Program Activities : Fostering the Development of the School-Age Child</t>
  </si>
  <si>
    <t>Program Planning : Finding the Balance</t>
  </si>
  <si>
    <t>Phonemes and Phonics</t>
  </si>
  <si>
    <t>Phonemic Awareness and Introduction to Print</t>
  </si>
  <si>
    <t>Sound Awareness</t>
  </si>
  <si>
    <t>Sound Manipulation</t>
  </si>
  <si>
    <t>Activities in a Print Rich Environment</t>
  </si>
  <si>
    <t>Origins and Skills</t>
  </si>
  <si>
    <t>Teacher Strategies and Assessment</t>
  </si>
  <si>
    <t>The Role of Parents and Teachers</t>
  </si>
  <si>
    <t>Construction</t>
  </si>
  <si>
    <t>Science : Anytime, Anywhere : Water and Sand</t>
  </si>
  <si>
    <t>Setting the Stage for School-Age Care : A History of After School Programs</t>
  </si>
  <si>
    <t>Animals</t>
  </si>
  <si>
    <t>Motion and Machines</t>
  </si>
  <si>
    <t>Plants</t>
  </si>
  <si>
    <t>The Human Body</t>
  </si>
  <si>
    <t>Weather, Light, and Shadows</t>
  </si>
  <si>
    <t>Drawing and Finger Painting</t>
  </si>
  <si>
    <t>Modeling</t>
  </si>
  <si>
    <t>Painting</t>
  </si>
  <si>
    <t>Makematic</t>
  </si>
  <si>
    <t>1.1 What Do We Mean by Collaboration Skills?</t>
  </si>
  <si>
    <t>1.10 : What Do We Mean by Communication Skills?</t>
  </si>
  <si>
    <t>1.11 : How to Teach Communication Skills</t>
  </si>
  <si>
    <t>1.12 : Educator Podcast : Communication</t>
  </si>
  <si>
    <t>1.2 How to Teach Collaboration</t>
  </si>
  <si>
    <t>1.3 : Educator Podcast : Collaboration</t>
  </si>
  <si>
    <t>1.4 : What Do We Mean by Critical Thinking Skills?</t>
  </si>
  <si>
    <t>1.5 : How to Teach Critical Thinking Skills</t>
  </si>
  <si>
    <t>1.6 : Teacher Podcast : Critical Thinking</t>
  </si>
  <si>
    <t>1.7 : What Is Creativity?</t>
  </si>
  <si>
    <t>1.8 : How to Teach Creativity</t>
  </si>
  <si>
    <t>1.9 Teacher Podcast : Creativity</t>
  </si>
  <si>
    <t>2.1 Creativity in the Workplace</t>
  </si>
  <si>
    <t>2.2 Collaboration in the Workplace</t>
  </si>
  <si>
    <t>2.3 Communication in the Workplace</t>
  </si>
  <si>
    <t>2.4 Critical Thinking in the Workplace</t>
  </si>
  <si>
    <t>4.2 : Microexpressions</t>
  </si>
  <si>
    <t>Analysing Arguments Can Make You a Better Critical Thinker</t>
  </si>
  <si>
    <t>Are You a Good Listener</t>
  </si>
  <si>
    <t>Be More Creative With Lateral Thinking</t>
  </si>
  <si>
    <t>Brainstorming on Your Own</t>
  </si>
  <si>
    <t>Crafting Clear Messages to Make You a Better Communicator</t>
  </si>
  <si>
    <t>Critical Thinking : Understanding Multiple Perspectives</t>
  </si>
  <si>
    <t>Funnelling Questions Technique</t>
  </si>
  <si>
    <t>How Can Being Able to Think Divergently Make You a Better Creative Thinker?</t>
  </si>
  <si>
    <t>How Can Being Open Minded Make Your a Better Critical Thinker?</t>
  </si>
  <si>
    <t>How Can Giving and Receiving Feedback Make You a Better Collaborator?</t>
  </si>
  <si>
    <t>How Can Having Good Listening Skills Make You A Better Communicator?</t>
  </si>
  <si>
    <t>How Can Having Good Social Skills Help you Collaborate</t>
  </si>
  <si>
    <t>How Can Understanding Body Language Make You a Better Collaborator?</t>
  </si>
  <si>
    <t>How Can Understanding Email Etiquette Make You a Better Communicator?</t>
  </si>
  <si>
    <t>How Ideation Helps You Think Creatively</t>
  </si>
  <si>
    <t>Intro &amp; Overview</t>
  </si>
  <si>
    <t>Recognising Patterns</t>
  </si>
  <si>
    <t>The Elevator Problem</t>
  </si>
  <si>
    <t>Improving Concentration</t>
  </si>
  <si>
    <t>Questioning Basic Assumptions</t>
  </si>
  <si>
    <t>Rebus Puzzles</t>
  </si>
  <si>
    <t>Relaxation for Public Speaking</t>
  </si>
  <si>
    <t>The Alternative Uses Test</t>
  </si>
  <si>
    <t>The Subject Line Pitch</t>
  </si>
  <si>
    <t>Gaming</t>
  </si>
  <si>
    <t>Google Docs</t>
  </si>
  <si>
    <t>iMovie</t>
  </si>
  <si>
    <t>Kahoot</t>
  </si>
  <si>
    <t>Lee Panglea : Head of Scotland &amp; Northern Ireland : CIPD</t>
  </si>
  <si>
    <t>Podcast</t>
  </si>
  <si>
    <t>VR</t>
  </si>
  <si>
    <t>Youtube</t>
  </si>
  <si>
    <t>Accessing Google Drive</t>
  </si>
  <si>
    <t>Create Your First Google Doc</t>
  </si>
  <si>
    <t>Creating Your First Shared Folder</t>
  </si>
  <si>
    <t>Explore Tool</t>
  </si>
  <si>
    <t>Formatting a Google Doc</t>
  </si>
  <si>
    <t>Managing Shared Docs</t>
  </si>
  <si>
    <t>Organising Google Drive</t>
  </si>
  <si>
    <t>Searching a Google Doc</t>
  </si>
  <si>
    <t>Sharing Options for Google Docs</t>
  </si>
  <si>
    <t>Voice Typing</t>
  </si>
  <si>
    <t>Why Google Drive</t>
  </si>
  <si>
    <t>Q&amp;A'S 1. How Does G-Suite Differ</t>
  </si>
  <si>
    <t>Q&amp;A's 10. How Is G-Suite Going to Save Me Time?</t>
  </si>
  <si>
    <t>Q&amp;A'S 2. How Might I Use GSuite for Education?</t>
  </si>
  <si>
    <t>Q&amp;A'S 3. What Are Your Top Tips for Migrating?</t>
  </si>
  <si>
    <t>Q&amp;A's 4. Data Isn't Stored at School. Isn't That a Problem?</t>
  </si>
  <si>
    <t>Q&amp;A's 5. I Love the Idea of Gsuite But How Do I Make the Case to My Principal?</t>
  </si>
  <si>
    <t>Q&amp;A's 6. What Are Schools Doing When?</t>
  </si>
  <si>
    <t>Q&amp;A's 7. How Can I Help My Students Collaborate?</t>
  </si>
  <si>
    <t>Q&amp;A's 8. How Can I Use Gsuite to Give Students?</t>
  </si>
  <si>
    <t>Q&amp;A's 9. How Can I Use G-Suite to Support?</t>
  </si>
  <si>
    <t>Add Ons</t>
  </si>
  <si>
    <t>Checking Your Form Ready</t>
  </si>
  <si>
    <t>Collecting Responses in a Spreadsheet</t>
  </si>
  <si>
    <t>Creating Your First Form</t>
  </si>
  <si>
    <t>Make Your Form Self-Marking Quiz</t>
  </si>
  <si>
    <t>Managing Responses</t>
  </si>
  <si>
    <t>Sending Your Google Form</t>
  </si>
  <si>
    <t>Using Sections</t>
  </si>
  <si>
    <t>Why Google Forms</t>
  </si>
  <si>
    <t>Response Validation</t>
  </si>
  <si>
    <t>Add Ons in Google Sheets</t>
  </si>
  <si>
    <t>Creating Your First Google Sheet</t>
  </si>
  <si>
    <t>Exploring Charts With Google Sheets</t>
  </si>
  <si>
    <t>Exploring Your Data</t>
  </si>
  <si>
    <t>Linking Sheets</t>
  </si>
  <si>
    <t>Live Data in Docs and Sheets</t>
  </si>
  <si>
    <t>Share a Sheet</t>
  </si>
  <si>
    <t>Sorting, Filtering and Formatting</t>
  </si>
  <si>
    <t>Upload an Excel Spreadsheet to Google Drive</t>
  </si>
  <si>
    <t>Why Google Sheets</t>
  </si>
  <si>
    <t>Adding and Arranging Pages in Google Sites</t>
  </si>
  <si>
    <t>Adding Collaborators to Your Space</t>
  </si>
  <si>
    <t>Adding Docs and Slides From Google Drive</t>
  </si>
  <si>
    <t>Adding External Content</t>
  </si>
  <si>
    <t>Creating Your First Google Site</t>
  </si>
  <si>
    <t>Google Embeds in Google Site</t>
  </si>
  <si>
    <t>Maintaining a Google Site</t>
  </si>
  <si>
    <t>Publishing a Google Site</t>
  </si>
  <si>
    <t>Themes</t>
  </si>
  <si>
    <t>Why Google Sites</t>
  </si>
  <si>
    <t>Deciding to Decide : Sharing Your Views With Students</t>
  </si>
  <si>
    <t>Take It From Us : Advice From Teachers</t>
  </si>
  <si>
    <t>Talk the Talk : Communicating With Stakeholders</t>
  </si>
  <si>
    <t>Teaching Controversial Issues : Why Do It?</t>
  </si>
  <si>
    <t>The Teacher’s Playbook : Effective Strategies</t>
  </si>
  <si>
    <t>Humans VS Automation</t>
  </si>
  <si>
    <t>Self Awareness</t>
  </si>
  <si>
    <t>3D in the Real World</t>
  </si>
  <si>
    <t>Build Your Own Greenhouse</t>
  </si>
  <si>
    <t>Build Your Own Sandtimer</t>
  </si>
  <si>
    <t>Build Your Own Workshop Stool</t>
  </si>
  <si>
    <t>Classroom Setup and Management</t>
  </si>
  <si>
    <t>Cross Curricular</t>
  </si>
  <si>
    <t>Hardware Software</t>
  </si>
  <si>
    <t>Make Your Own Cookie Cutter</t>
  </si>
  <si>
    <t>Overview Basics</t>
  </si>
  <si>
    <t>The Process</t>
  </si>
  <si>
    <t>Why 3D?</t>
  </si>
  <si>
    <t>Quick Start Guide</t>
  </si>
  <si>
    <t>How To Search for Jobs</t>
  </si>
  <si>
    <t>Recruitment Process : Importance of Perseverance</t>
  </si>
  <si>
    <t>How to Identify Your Best Assets</t>
  </si>
  <si>
    <t>How To Layout Your CV</t>
  </si>
  <si>
    <t>How To Spring Clean Your Social Media</t>
  </si>
  <si>
    <t>John Harkin</t>
  </si>
  <si>
    <t>NWRC : Adam Meehan</t>
  </si>
  <si>
    <t>NWRC : Ben Collins : IT</t>
  </si>
  <si>
    <t>NWRC : Bryan Smyth : Engineering</t>
  </si>
  <si>
    <t>NWRC : Matthew Rutherford</t>
  </si>
  <si>
    <t>NWRC : Tammie Leigh : Hair : Beauty</t>
  </si>
  <si>
    <t>Student Interview With Games Designer</t>
  </si>
  <si>
    <t>Students Interview With Aeronautical Engineer</t>
  </si>
  <si>
    <t>Big World</t>
  </si>
  <si>
    <t>Culture Combo</t>
  </si>
  <si>
    <t>Culture Over Time</t>
  </si>
  <si>
    <t>How Are Families Around the World the Same and Different?</t>
  </si>
  <si>
    <t>How Are Policies and Regulations Impacting the Environment?</t>
  </si>
  <si>
    <t>How Can a Country Truly Represent All of Its People?</t>
  </si>
  <si>
    <t>How Can We Use Earth's Resources Without Harming the Environment?</t>
  </si>
  <si>
    <t>How Do Countries Use Energy Resources Difference Than Others?</t>
  </si>
  <si>
    <t>How Do Natural Disasters Change a Community?</t>
  </si>
  <si>
    <t>How Do People Heal, Reconcile, and Rebuild After Armed Conflict?</t>
  </si>
  <si>
    <t>How Do People Stay Healthy All Over the World?</t>
  </si>
  <si>
    <t>How Do We Appreciate a Culture That's Not Our Own?</t>
  </si>
  <si>
    <t>How Does Land Shape Our Lives?</t>
  </si>
  <si>
    <t>How Does the Environment Affect Our Health?</t>
  </si>
  <si>
    <t>How Has Globalization Impacted Our Communities?</t>
  </si>
  <si>
    <t>How Have We Shaped Our Land?</t>
  </si>
  <si>
    <t>How Should Human Rights Be Universal?</t>
  </si>
  <si>
    <t>Nations in Need</t>
  </si>
  <si>
    <t>News Literacy : How Has Bias Impacted How We See World Events?</t>
  </si>
  <si>
    <t>Power</t>
  </si>
  <si>
    <t>Rights and Responsibilities</t>
  </si>
  <si>
    <t>Shaped by Culture</t>
  </si>
  <si>
    <t>Tech to Connect</t>
  </si>
  <si>
    <t>Trade</t>
  </si>
  <si>
    <t>What Do Global Citizens Need?</t>
  </si>
  <si>
    <t>What Is Culture?</t>
  </si>
  <si>
    <t>What Makes a Good Global Leader?</t>
  </si>
  <si>
    <t>What's Life Like for Children All Over the World?</t>
  </si>
  <si>
    <t>What's the Difference Between Charity and Social Entrepreneurship?</t>
  </si>
  <si>
    <t>What's the Difference Between Equity and Equality?</t>
  </si>
  <si>
    <t>Why Are Some Countries Richer Than Others?</t>
  </si>
  <si>
    <t>Why Do Countries Have Constitutions?</t>
  </si>
  <si>
    <t>Why Do Some Have More Access to Tech Than Others?</t>
  </si>
  <si>
    <t>Why Does It Matter Where I Spend My Money?</t>
  </si>
  <si>
    <t>Why Is Peace Difficult?</t>
  </si>
  <si>
    <t>Why People Move From Place to Place</t>
  </si>
  <si>
    <t>Why Should I Care About the Economy?</t>
  </si>
  <si>
    <t>Aspiration and Ambition</t>
  </si>
  <si>
    <t>Benefits of Lifelong Learning</t>
  </si>
  <si>
    <t>Developing Emotional Intelligence</t>
  </si>
  <si>
    <t>Grit</t>
  </si>
  <si>
    <t>Growth Mindset</t>
  </si>
  <si>
    <t>My Future Self</t>
  </si>
  <si>
    <t>Self Management</t>
  </si>
  <si>
    <t>Social Awareness</t>
  </si>
  <si>
    <t>Social Skills</t>
  </si>
  <si>
    <t>New American Horizons Foundation</t>
  </si>
  <si>
    <t>Assessing Learning in the Adult ESL Classroom</t>
  </si>
  <si>
    <t>Building Literacy With Adult Emergent Readers</t>
  </si>
  <si>
    <t>Cultivating Writing Skills at the Intermediate Level</t>
  </si>
  <si>
    <t>Developing Listening Skills With High-intermediate Learners</t>
  </si>
  <si>
    <t>Developing Reading Skills for Intermediate/Advanced Learners</t>
  </si>
  <si>
    <t>Effective Grouping Strategies in the Adult ESL Classroom</t>
  </si>
  <si>
    <t>Growing Vocabulary With Beginning Learners</t>
  </si>
  <si>
    <t>Lesson Planning for Life Skills</t>
  </si>
  <si>
    <t>Tasks to Promote Critical Thinking and Learning Skills</t>
  </si>
  <si>
    <t>Tasks to Promote Oral Skills : From Accuracy to Fluency</t>
  </si>
  <si>
    <t>Teaching Grammar in Real-life Contexts</t>
  </si>
  <si>
    <t>New York Times Company, The</t>
  </si>
  <si>
    <t>Floating Schools in Bangladesh</t>
  </si>
  <si>
    <t>Which Classroom Setting Suits You?</t>
  </si>
  <si>
    <t>On Impact Productions</t>
  </si>
  <si>
    <t>A Sightline to What You Want</t>
  </si>
  <si>
    <t>A True Example of Positive Focus</t>
  </si>
  <si>
    <t>Being Aware of Our Changing World</t>
  </si>
  <si>
    <t>Change Is Hard</t>
  </si>
  <si>
    <t>Creating a Great Day</t>
  </si>
  <si>
    <t>Creating a Mindset for Change With Seeing Red Cars</t>
  </si>
  <si>
    <t>Creating a Positive Focus</t>
  </si>
  <si>
    <t>Creating Clarity</t>
  </si>
  <si>
    <t>Don't Want... Don't Want... Don't Want...</t>
  </si>
  <si>
    <t>How Leaders Can Influence Others</t>
  </si>
  <si>
    <t>How to Manage Your Moments</t>
  </si>
  <si>
    <t>It Started in Your Youth (3rd Grade Story)</t>
  </si>
  <si>
    <t>It's Never too Late to Change</t>
  </si>
  <si>
    <t>Keeping on Track</t>
  </si>
  <si>
    <t>People Can Tell What You Are Thinking</t>
  </si>
  <si>
    <t>Take Charge</t>
  </si>
  <si>
    <t>The 70%</t>
  </si>
  <si>
    <t>Understanding the Dynamics of a Team</t>
  </si>
  <si>
    <t>Why Is It so Hard to Change</t>
  </si>
  <si>
    <t>Working With Your Strengths</t>
  </si>
  <si>
    <t>You Have to Be Bad Before You Get Good</t>
  </si>
  <si>
    <t>PBS Distribution Public Media Distribution, LLC</t>
  </si>
  <si>
    <t>Dropout Nation</t>
  </si>
  <si>
    <t>Football High</t>
  </si>
  <si>
    <t>Public Broadcasting Service</t>
  </si>
  <si>
    <t>Pass or Fail in Cambodia Town</t>
  </si>
  <si>
    <t>Richard Lavoie : Beyond F.A.T. City</t>
  </si>
  <si>
    <t>Richard Lavoie : How Difficult Can This Be? F.A.T. City - A Learning Disabilities Workshop</t>
  </si>
  <si>
    <t>Richard Lavoie : It's So Much Work to Be Your Friend : Helping the Learning Disabled Child Find Social Success</t>
  </si>
  <si>
    <t>Richard Lavoie : The Motivation Breakthrough</t>
  </si>
  <si>
    <t>School of the Future</t>
  </si>
  <si>
    <t>Teach Me Different! With Sally L. Smith</t>
  </si>
  <si>
    <t>Tell Them We Are Rising</t>
  </si>
  <si>
    <t>PESI,Inc. dba PESI Publishing and Media</t>
  </si>
  <si>
    <t>10 Brain-Based Strategies : Help Children in the Classroom Improve Emotional, Academic &amp; Social Skills for Back to School</t>
  </si>
  <si>
    <t>10 Brain-Based Strategies : Help Children Overcome Anxiety and Promote Resilience</t>
  </si>
  <si>
    <t>10 Brain-Based Strategies to Help Children Handle Their Emotions</t>
  </si>
  <si>
    <t>10 Classroom Activities to Enhance Executive Function and Improve Task Completion</t>
  </si>
  <si>
    <t>50 Mindfulness Techniques for Children &amp; Teens</t>
  </si>
  <si>
    <t>Autism/Asperger's Conference With Dr. Temple Grandin</t>
  </si>
  <si>
    <t>Behavior Management Skills for Classroom Success</t>
  </si>
  <si>
    <t>Executive Function, ADHD and Stress in the Classroom</t>
  </si>
  <si>
    <t>Part 1 : How to Work With Children : A Sensory Approach</t>
  </si>
  <si>
    <t>Play &amp; Language : The Roots of Literacy</t>
  </si>
  <si>
    <t>Play, Play Therapy, and Games : Engage Children in Therapy</t>
  </si>
  <si>
    <t>Self-Regulation in Children : Keeping the Body, Mind and Emotions on Task in Children With Autism, ADHD or Sensory Disorders</t>
  </si>
  <si>
    <t>The Power of Play : Proven Strategies for Trauma and Attachment in Children &amp; Adolescents</t>
  </si>
  <si>
    <t>Promedion</t>
  </si>
  <si>
    <t>Educational Psychology in the Classroom</t>
  </si>
  <si>
    <t>History of American Academic Education</t>
  </si>
  <si>
    <t>The History of Educational Psychology</t>
  </si>
  <si>
    <t>Quality Educational Program, Inc.</t>
  </si>
  <si>
    <t>Differentiation and Literacy : Teaching Reading and Writing</t>
  </si>
  <si>
    <t>Teaching Students Responsible Behavior : Social-Emotional Learning</t>
  </si>
  <si>
    <t>The Classroom of Choice : Managing the Learning Environment</t>
  </si>
  <si>
    <t>Shanti Generation, LLC</t>
  </si>
  <si>
    <t>Building A Friendship</t>
  </si>
  <si>
    <t>Establish Trust</t>
  </si>
  <si>
    <t>I've Got Your Back</t>
  </si>
  <si>
    <t>Lean on Me</t>
  </si>
  <si>
    <t>Rejuvenate Together</t>
  </si>
  <si>
    <t>Rise and Fly</t>
  </si>
  <si>
    <t>Shanti Generation Partner Yoga Introduction</t>
  </si>
  <si>
    <t>Strengthen the Core of Friendship</t>
  </si>
  <si>
    <t>Take a Stand</t>
  </si>
  <si>
    <t>Teen Interview - Bullying</t>
  </si>
  <si>
    <t>Teen Interview - Community</t>
  </si>
  <si>
    <t>Teen Interview - Compassion</t>
  </si>
  <si>
    <t>Teen Interview - Empowerment</t>
  </si>
  <si>
    <t>Teen Interview - Partnership</t>
  </si>
  <si>
    <t>Teen Interview - Stress</t>
  </si>
  <si>
    <t>Wave of Gratitude</t>
  </si>
  <si>
    <t>We Are Diverse and Connected</t>
  </si>
  <si>
    <t>Breathing Room :  Five Stress-Relieving Breath Technqiues</t>
  </si>
  <si>
    <t>Important Cautions</t>
  </si>
  <si>
    <t>Meet the Peacemakers : Dante</t>
  </si>
  <si>
    <t>Meet the Peacemakers : Gyasi</t>
  </si>
  <si>
    <t>Meet the Peacemakers : Janely</t>
  </si>
  <si>
    <t>Meet the Peacemakers : Kimberly</t>
  </si>
  <si>
    <t>Meet the Peacemakers : Kyoko</t>
  </si>
  <si>
    <t>Meet the Peacemakers : Starlight</t>
  </si>
  <si>
    <t>Path Five : Opening Up to Possibilities</t>
  </si>
  <si>
    <t>Path Four :  Finding Balance</t>
  </si>
  <si>
    <t>Path One : Creating Happiness</t>
  </si>
  <si>
    <t>Path Three :  Choosing Peace</t>
  </si>
  <si>
    <t>Path Two :  Energy Amplified</t>
  </si>
  <si>
    <t>Program Introduction</t>
  </si>
  <si>
    <t>Self Connection Room : Two Mindful Practice Meditations</t>
  </si>
  <si>
    <t>Siren Films Ltd.</t>
  </si>
  <si>
    <t>Section 1 : At Home</t>
  </si>
  <si>
    <t>Section 2 : At Nursery</t>
  </si>
  <si>
    <t>Smithsonian Institution (Folkways)</t>
  </si>
  <si>
    <t>Curriculum Connections : Using Music to Help Children Learn</t>
  </si>
  <si>
    <t>Helping Children Cope With Frightening Events : What You Can Do</t>
  </si>
  <si>
    <t>Highly Successful Strategies to Guide Young Children's Behavior</t>
  </si>
  <si>
    <t>Integrating Music &amp; Movement With Literacy</t>
  </si>
  <si>
    <t>Parents as Teaching Partners : Helping Parents Teach Through Play</t>
  </si>
  <si>
    <t>Springboard to Literacy : Integrating Picture Books With Art and Cooking</t>
  </si>
  <si>
    <t>Successful Language Development Strategies in the Early Childhood Classroom : For English Language Learners and Native Speakers</t>
  </si>
  <si>
    <t>Parental Involvement</t>
  </si>
  <si>
    <t>Connecting Parents to Schools</t>
  </si>
  <si>
    <t>Play to Learn</t>
  </si>
  <si>
    <t>Steps to Reading</t>
  </si>
  <si>
    <t>Southern Illinois University Center for Autism Spectrum Disorders</t>
  </si>
  <si>
    <t>Discrete Trial Training</t>
  </si>
  <si>
    <t>Functional Analysis : A Guide for Understanding Challenging Behavior</t>
  </si>
  <si>
    <t>Identifying Preferences and Creating Motivation to Learn for Children With Autism Spectrum Disorders</t>
  </si>
  <si>
    <t>Increasing Dental Compliance for Children With Autism : A Desensitization Package</t>
  </si>
  <si>
    <t>Increasing Medical Compliance for Children With Autism : A Desensitization Package</t>
  </si>
  <si>
    <t>Academic Literacy : Preparing All Students for Success in College and Beyond</t>
  </si>
  <si>
    <t>Article of the Week</t>
  </si>
  <si>
    <t>Bridges to Independence : Guided Reading with Nonfiction</t>
  </si>
  <si>
    <t>Bringing Reading to Life : Instruction &amp; Conversation, Grades 3-6. Program 1 : The Reading Community</t>
  </si>
  <si>
    <t>Bringing Reading to Life : Instruction &amp; Conversation, Grades 3-6. Program 2 : The Teacher's Role</t>
  </si>
  <si>
    <t>Bringing Reading to Life : Instruction &amp; Conversation, Grades 3-6. Program 3 : Taking the Conversation Deeper - Read-Alouds</t>
  </si>
  <si>
    <t>Building Adolescent Readers : The Six Building Blocks</t>
  </si>
  <si>
    <t>Collaborative Conferences</t>
  </si>
  <si>
    <t>Comprehending Content : Reading Across the Curriculum (Grades 6-12)</t>
  </si>
  <si>
    <t>Conferring With Boys</t>
  </si>
  <si>
    <t>Developing Independent Learners : A Reading / Writing Workshop Approach Exploring Literature in Third Grade</t>
  </si>
  <si>
    <t>Dude, Listen to This! : Engaging Boy Writers</t>
  </si>
  <si>
    <t>Editing Invitations</t>
  </si>
  <si>
    <t>Fact Finders!</t>
  </si>
  <si>
    <t>Fluency Rubric</t>
  </si>
  <si>
    <t>Focus on Spelling</t>
  </si>
  <si>
    <t>Go Figure! Number Sense Routines That Build Mathematical Understanding</t>
  </si>
  <si>
    <t>Good-Fit Books</t>
  </si>
  <si>
    <t>Happy Reading! : Creating a Predictable Structure for Joyful Teaching and Learning</t>
  </si>
  <si>
    <t>How Can I Support You? Strategies for Effective Writing Conferences</t>
  </si>
  <si>
    <t>How Did You Solve That?</t>
  </si>
  <si>
    <t>Improving Adolescent Writers</t>
  </si>
  <si>
    <t>In and Out of School : Family-School Partnerships in Math and Science</t>
  </si>
  <si>
    <t>In the Beginning : Young Writer's Develop Independence</t>
  </si>
  <si>
    <t>Inside Reading and Writing Workshops</t>
  </si>
  <si>
    <t>Launching Literacy Stations</t>
  </si>
  <si>
    <t>Leadership : It Doesn't Happen Just Because You Say So</t>
  </si>
  <si>
    <t>Literacy Attendance</t>
  </si>
  <si>
    <t>Literature Groups All Year Long</t>
  </si>
  <si>
    <t>Looking Into Literature Circles</t>
  </si>
  <si>
    <t>Making the Most of News Magazines</t>
  </si>
  <si>
    <t>Math Tools in Action : Anchor Charts</t>
  </si>
  <si>
    <t>Math Tools in Action : Journals</t>
  </si>
  <si>
    <t>Math Tools in Action : Manipulatives</t>
  </si>
  <si>
    <t>Mentoring : Guiding, Coaching and Sustaining Beginning Teachers</t>
  </si>
  <si>
    <t>Moving Into Math Stations</t>
  </si>
  <si>
    <t>Organizing for Literacy</t>
  </si>
  <si>
    <t>Read, Write, and Talk : A Practice to Enhance Comprehension</t>
  </si>
  <si>
    <t>Reading the World : Content Comprehension with Linguistically Diverse Learners</t>
  </si>
  <si>
    <t>Results That Last</t>
  </si>
  <si>
    <t>Small Group Intervention</t>
  </si>
  <si>
    <t>Spotlight on Small Groups</t>
  </si>
  <si>
    <t>Stepping Up With Literacy Stations</t>
  </si>
  <si>
    <t>Strategic Thinking : Reading and Responding</t>
  </si>
  <si>
    <t>Strategy Instruction in Action</t>
  </si>
  <si>
    <t>Talk to Me : Conferring to Engage, Differentiate, and Assess 6-12</t>
  </si>
  <si>
    <t>Talking About Writing</t>
  </si>
  <si>
    <t>Teacher Study Groups</t>
  </si>
  <si>
    <t>Teaching Apostrophes</t>
  </si>
  <si>
    <t>The Craft of Grammar : Integrated Instruction in Writer's Workshop</t>
  </si>
  <si>
    <t>The Daily 5 Alive</t>
  </si>
  <si>
    <t>The Joy of Conferring</t>
  </si>
  <si>
    <t>The Joy of Conferring : One-On-One With Young Readers. Program 1 : Listen and Guide - The Dynamics of Conferring</t>
  </si>
  <si>
    <t>The Joy of Conferring : One-On-One With Young Readers. Program 2 : Three Minutes Or Less - Book Selection, Quick Conferences</t>
  </si>
  <si>
    <t>Think Nonfiction!</t>
  </si>
  <si>
    <t>Think Small! Engaging Our Youngest Readers in Small Groups</t>
  </si>
  <si>
    <t>Thoughtful Reading : Teaching Comprehension to Adolescents</t>
  </si>
  <si>
    <t>Time For Nonfiction</t>
  </si>
  <si>
    <t>Twenty Questions Homework</t>
  </si>
  <si>
    <t>What Are You Thinking</t>
  </si>
  <si>
    <t>What is Visual Literacy?</t>
  </si>
  <si>
    <t>When Students Write</t>
  </si>
  <si>
    <t>Writing With Mentors : Teaching Informational Writing With Mentor Texts, Program 1</t>
  </si>
  <si>
    <t>Writing With Mentors : Teaching Narrative Writing With Mentor Texts, Program 2</t>
  </si>
  <si>
    <t>SW Pictures Ltd</t>
  </si>
  <si>
    <t>First Steps</t>
  </si>
  <si>
    <t>Catch Them Young</t>
  </si>
  <si>
    <t>Creating Confidence</t>
  </si>
  <si>
    <t>Stepping Stones to School</t>
  </si>
  <si>
    <t>Teachers Network</t>
  </si>
  <si>
    <t>How to Analyze School, Class, and Student Data Using Excel Pivot Tables</t>
  </si>
  <si>
    <t>How to Easily Set-Up Email, Online Documents, and School Calendars</t>
  </si>
  <si>
    <t>New Media in the Classroom : Podcasting</t>
  </si>
  <si>
    <t>Project-Based Learning for English Language Learners</t>
  </si>
  <si>
    <t>Aligning Curriculum, Standards and Assessment : Teaching U.S. History Using Supreme Court Cases</t>
  </si>
  <si>
    <t>Aligning Standards, Curriculum, and Assessment</t>
  </si>
  <si>
    <t>Balanced Literacy : 2 Hours 10 Minutes in a 2nd Grade Classroom</t>
  </si>
  <si>
    <t>Balanced Literacy : A Literacy Program in a K-1 Classroom</t>
  </si>
  <si>
    <t>Balanced Literacy : A Morning in a Kindergarten Classroom</t>
  </si>
  <si>
    <t>Cinderella : A New Teacher’s Tale</t>
  </si>
  <si>
    <t>Classroom Management (Elementary) : A Morning With Linda Kasarjian and Her First Grade Class</t>
  </si>
  <si>
    <t>Classroom Management (Secondary)</t>
  </si>
  <si>
    <t>Classroom Management Through Cooperative Groups</t>
  </si>
  <si>
    <t>Collaborative Planning for Block Scheduling</t>
  </si>
  <si>
    <t>Collaborative Team Planning</t>
  </si>
  <si>
    <t>Energy Transfer : A Collaborative New Media Science Project</t>
  </si>
  <si>
    <t>Families as Partners : Kindergarten &amp; Grade 4</t>
  </si>
  <si>
    <t>Getting Kids to Read : View From a Class of English Language Learners</t>
  </si>
  <si>
    <t>How Are You Smart? : A Teaching Method for At-Risk Students</t>
  </si>
  <si>
    <t>How Teachers and Administrators Can Collect, Sort, and Distribute Online Data Using Collaborative Google Forms</t>
  </si>
  <si>
    <t>How Teachers Can Promote Effective Classroom Management and Student Accountability Using Online Grade Books</t>
  </si>
  <si>
    <t>How Teachers Can Use Blogs and RSS to Collaborate and Share Best Practices With Colleagues</t>
  </si>
  <si>
    <t>How to Annotate and Share Research Using Online Social Bookmarking</t>
  </si>
  <si>
    <t>How to Bring Student PowerPoint Presentations Alive by Incorporating Embedded Video</t>
  </si>
  <si>
    <t>How to Create Animations in Order to Better Support and Demonstrate Students’ Understanding of Chemistry and Physical Science</t>
  </si>
  <si>
    <t>How to Maximize Conferencing and Collaboration in English Classrooms Using Google Docs</t>
  </si>
  <si>
    <t>How to Promote Literacy Using Interactive Multimedia With Students in the Elementary Grades</t>
  </si>
  <si>
    <t>How to Promote Literacy With "Read-Alongs" Using SMART Board and SMART Notebook</t>
  </si>
  <si>
    <t>How to Support Students in Demonstrating Historical and Literary Knowledge Using Google Docs</t>
  </si>
  <si>
    <t>How to Use Social Networking Sites to Engage Students and Extend Classroom Activities</t>
  </si>
  <si>
    <t>Inclusion : Collaborative Team Teaching in 3rd Grade</t>
  </si>
  <si>
    <t>Inclusion : Collaborative Team Teaching in Secondary School</t>
  </si>
  <si>
    <t>Integrating Technology in an Elementary School Classroom</t>
  </si>
  <si>
    <t>Monsters and Myths : A Humanities Unit for Middle Schoolers</t>
  </si>
  <si>
    <t>Opening Doors to Technology Literacy : Bringing the Web to Your Classroom</t>
  </si>
  <si>
    <t>Real Math : P.S.6., New York</t>
  </si>
  <si>
    <t>Strategic Lesson Planning</t>
  </si>
  <si>
    <t>Successful Teaching Practices in Action : New Media in the Classroom : Blogging</t>
  </si>
  <si>
    <t>Teachers on Teaching</t>
  </si>
  <si>
    <t>Teaching English Language Learners Using Shakespeare</t>
  </si>
  <si>
    <t>Teaching Methods : Differentiated Instruction</t>
  </si>
  <si>
    <t>The Bleeding Edge</t>
  </si>
  <si>
    <t>What Is Policy?</t>
  </si>
  <si>
    <t>The Cinema Guild</t>
  </si>
  <si>
    <t>Closing the Open Door : The Fight for a College Education</t>
  </si>
  <si>
    <t>Facing the Façade</t>
  </si>
  <si>
    <t>I Dream, Too</t>
  </si>
  <si>
    <t>The Children of Summerhill</t>
  </si>
  <si>
    <t>TMW Media</t>
  </si>
  <si>
    <t>Bullies and Harassment</t>
  </si>
  <si>
    <t>Cyber Bullying</t>
  </si>
  <si>
    <t>Dangers of Social Media</t>
  </si>
  <si>
    <t>Guns at School</t>
  </si>
  <si>
    <t>Teen Depression</t>
  </si>
  <si>
    <t>Turner Broadcasting System Europe Ltd. (CNN's Representative)</t>
  </si>
  <si>
    <t>Scheme and Scandal : Inside the College Admissions Crisis</t>
  </si>
  <si>
    <t>We Will Rise : Michelle Obama's Mission to Educate Girls Around the World</t>
  </si>
  <si>
    <t>Be The Generation to Take Action for Education</t>
  </si>
  <si>
    <t>Little Inventors</t>
  </si>
  <si>
    <t>Science for Every Student</t>
  </si>
  <si>
    <t>TVF International</t>
  </si>
  <si>
    <t>Decoding Dyslexia</t>
  </si>
  <si>
    <t>Stranger in the Family</t>
  </si>
  <si>
    <t>The Truth About Cheating</t>
  </si>
  <si>
    <t>UJOYSOUND Tech Co., Ltd.</t>
  </si>
  <si>
    <t>Children at a Village School</t>
  </si>
  <si>
    <t>Jia Yi</t>
  </si>
  <si>
    <t>The Ninth Grade</t>
  </si>
  <si>
    <t>United Kingdom Department of Education Secretary of State for Education</t>
  </si>
  <si>
    <t>1-2-1 Tuition in a National Challenge School</t>
  </si>
  <si>
    <t>Making the Most of 1-2-1 Tuition</t>
  </si>
  <si>
    <t>Falling Off a Cliff</t>
  </si>
  <si>
    <t>Look What You've Started</t>
  </si>
  <si>
    <t>Being Heard</t>
  </si>
  <si>
    <t>Bite-Size DVD</t>
  </si>
  <si>
    <t>Chemical Puppets</t>
  </si>
  <si>
    <t>Dancing Across the Curriculum</t>
  </si>
  <si>
    <t>Foundation Reading</t>
  </si>
  <si>
    <t>Further Education : Work Experience</t>
  </si>
  <si>
    <t>Granny Smith</t>
  </si>
  <si>
    <t>Hooked on Learning</t>
  </si>
  <si>
    <t>In Uganda</t>
  </si>
  <si>
    <t>Laptops for Learning</t>
  </si>
  <si>
    <t>Making a Drama</t>
  </si>
  <si>
    <t>Primary Art</t>
  </si>
  <si>
    <t>Primary Creativity</t>
  </si>
  <si>
    <t>Primary History</t>
  </si>
  <si>
    <t>Primary Literacy</t>
  </si>
  <si>
    <t>Primary Literacy and Art</t>
  </si>
  <si>
    <t>Primary Literacy and Drama</t>
  </si>
  <si>
    <t>Primary PSHE</t>
  </si>
  <si>
    <t>Primary PSHE and Art</t>
  </si>
  <si>
    <t>Primary Pupil Voice</t>
  </si>
  <si>
    <t>Rumble in the Jungle</t>
  </si>
  <si>
    <t>Secondary Art and Science</t>
  </si>
  <si>
    <t>Secondary English and Media</t>
  </si>
  <si>
    <t>Secondary PE and PSHE</t>
  </si>
  <si>
    <t>Secondary Personalised Learning : Student Voice</t>
  </si>
  <si>
    <t>Secondary PSHE</t>
  </si>
  <si>
    <t>Secondary PSHE and Citizenship</t>
  </si>
  <si>
    <t>Secondary Science</t>
  </si>
  <si>
    <t>Special Schools : Communication Skills</t>
  </si>
  <si>
    <t>Special Schools : Science</t>
  </si>
  <si>
    <t>Stamp It Out</t>
  </si>
  <si>
    <t>The Land of Counterpane</t>
  </si>
  <si>
    <t>The Play Project</t>
  </si>
  <si>
    <t>A Box for India</t>
  </si>
  <si>
    <t>A Box for the UK</t>
  </si>
  <si>
    <t>A Guest from India</t>
  </si>
  <si>
    <t>Carbon Footprints in India</t>
  </si>
  <si>
    <t>Green School in India</t>
  </si>
  <si>
    <t>Indian Influences : Yoga</t>
  </si>
  <si>
    <t>Indian Journey</t>
  </si>
  <si>
    <t>Puppet Play in India</t>
  </si>
  <si>
    <t>ICT Delivery</t>
  </si>
  <si>
    <t>Multicultural Provision</t>
  </si>
  <si>
    <t>P.A. System Delivery</t>
  </si>
  <si>
    <t>Peer-Led Provision</t>
  </si>
  <si>
    <t>Pupil Worship Committee</t>
  </si>
  <si>
    <t>Sabbath</t>
  </si>
  <si>
    <t>Financial Problems</t>
  </si>
  <si>
    <t>Financial Problems : Debt</t>
  </si>
  <si>
    <t>Workload Problems</t>
  </si>
  <si>
    <t>Workload Problems : Mental Health</t>
  </si>
  <si>
    <t>Focus on Science</t>
  </si>
  <si>
    <t>What's It All About?</t>
  </si>
  <si>
    <t>Whole Year Events</t>
  </si>
  <si>
    <t>Creating a Contemporary Space</t>
  </si>
  <si>
    <t>Creating a Learning Den</t>
  </si>
  <si>
    <t>Creating a Space to Let Off Steam</t>
  </si>
  <si>
    <t>Creating a Special Classroom</t>
  </si>
  <si>
    <t>Creating an ICT Room</t>
  </si>
  <si>
    <t>Redesigning the Classroom</t>
  </si>
  <si>
    <t>Transforming the Classroom</t>
  </si>
  <si>
    <t>Transforming the Entrance Hall</t>
  </si>
  <si>
    <t>Transforming the Library</t>
  </si>
  <si>
    <t>Transforming the Maths Room</t>
  </si>
  <si>
    <t>Transforming the Music Room</t>
  </si>
  <si>
    <t>Transforming the Outdoors Entrance</t>
  </si>
  <si>
    <t>Group Work and Feedback</t>
  </si>
  <si>
    <t>Independent Learning : KS1 Maths</t>
  </si>
  <si>
    <t>Precision or Process : KS3 Science</t>
  </si>
  <si>
    <t>Teaching Exam Techniques : KS4 English</t>
  </si>
  <si>
    <t>Building Progress</t>
  </si>
  <si>
    <t>Finding the Gaps</t>
  </si>
  <si>
    <t>Making Assessments</t>
  </si>
  <si>
    <t>Presenting the Evidence</t>
  </si>
  <si>
    <t>Al-Hijrah School</t>
  </si>
  <si>
    <t>Chandos School</t>
  </si>
  <si>
    <t>Leasowes Community College</t>
  </si>
  <si>
    <t>St Alban's School</t>
  </si>
  <si>
    <t>St Nicholas C of E School</t>
  </si>
  <si>
    <t>Woodway Park School</t>
  </si>
  <si>
    <t>Steering the Right Course (Primary)</t>
  </si>
  <si>
    <t>Steering the Right Course (Secondary)</t>
  </si>
  <si>
    <t>Primary and Secondary : 1-2-1 Tuition</t>
  </si>
  <si>
    <t>Secondary Maths and English : APP in Action</t>
  </si>
  <si>
    <t>Andy and Physics</t>
  </si>
  <si>
    <t>Anita and Biology</t>
  </si>
  <si>
    <t>Excellence at Work</t>
  </si>
  <si>
    <t>Three of the Best</t>
  </si>
  <si>
    <t>Lazy Boys?</t>
  </si>
  <si>
    <t>Underachievement : Who's Responsible?</t>
  </si>
  <si>
    <t>Libby's Little Tigers</t>
  </si>
  <si>
    <t>Libby's Little Tigers : In Brief</t>
  </si>
  <si>
    <t>Libby's Little Tigers Revisited</t>
  </si>
  <si>
    <t>Positive Design</t>
  </si>
  <si>
    <t>Positive Design : In Brief</t>
  </si>
  <si>
    <t>Sharing Expectations</t>
  </si>
  <si>
    <t>Sharing Expectations : In Brief</t>
  </si>
  <si>
    <t>Tough Love</t>
  </si>
  <si>
    <t>Tough Love : In Brief</t>
  </si>
  <si>
    <t>Tough Love : The Return</t>
  </si>
  <si>
    <t>Challenging Personalities</t>
  </si>
  <si>
    <t>It's Not Fair</t>
  </si>
  <si>
    <t>Managing Energy Levels</t>
  </si>
  <si>
    <t>Picking Up the Pace</t>
  </si>
  <si>
    <t>Tackling Tiredness</t>
  </si>
  <si>
    <t>It's All in the Lesson Planning</t>
  </si>
  <si>
    <t>Managing Sound Levels</t>
  </si>
  <si>
    <t>Taking Risks With the Teacher</t>
  </si>
  <si>
    <t>Teaming Up With the Teacher</t>
  </si>
  <si>
    <t>Catching Up With South Farnham</t>
  </si>
  <si>
    <t>Catching Up With Westlands</t>
  </si>
  <si>
    <t>New Freedoms</t>
  </si>
  <si>
    <t>South Farnham : The Next Chapter</t>
  </si>
  <si>
    <t>South Farnham's First Steps</t>
  </si>
  <si>
    <t>Westlands</t>
  </si>
  <si>
    <t>Westlands : The Next Chapter</t>
  </si>
  <si>
    <t>Working With Partner Schools</t>
  </si>
  <si>
    <t>Assessment : Assessing Learning at the End of the Lesson</t>
  </si>
  <si>
    <t>Assessment : Help From Your Teaching Assistant</t>
  </si>
  <si>
    <t>Assessment : Peer to Peer</t>
  </si>
  <si>
    <t>Differentiation : Adult Support</t>
  </si>
  <si>
    <t>Differentiation : Differentiating Tasks</t>
  </si>
  <si>
    <t>Differentiation : Differentiating the Starter</t>
  </si>
  <si>
    <t>Halima Hussain : Science Lesson</t>
  </si>
  <si>
    <t>Learning Objectives : Sharing Your Learning Objectives</t>
  </si>
  <si>
    <t>Learning Objectives : Using Questions</t>
  </si>
  <si>
    <t>Planning : Involving Your Pupils</t>
  </si>
  <si>
    <t>Planning : Planning Resources</t>
  </si>
  <si>
    <t>Resources : Integrated ICT</t>
  </si>
  <si>
    <t>Salma Ali Literacy Lesson</t>
  </si>
  <si>
    <t>Subject Knowledge : Questioning</t>
  </si>
  <si>
    <t>Subject Knowledge : When Children Know More Than You Thought</t>
  </si>
  <si>
    <t>Teaching Strategies : Enquiry</t>
  </si>
  <si>
    <t>Teaching Strategies : Instructions</t>
  </si>
  <si>
    <t>Teaching Strategies : Think-Pair-Share</t>
  </si>
  <si>
    <t>Teaching Strategies : Whole Class Teaching</t>
  </si>
  <si>
    <t>Comment Only Marking</t>
  </si>
  <si>
    <t>Differentiation : Engaging All Learners</t>
  </si>
  <si>
    <t>Esther Arnott History Lesson</t>
  </si>
  <si>
    <t>Hana Abassi Science Lesson</t>
  </si>
  <si>
    <t>Learning Objectives : Self-Assessment</t>
  </si>
  <si>
    <t>Learning Objectives : Sharing Learning Objectives</t>
  </si>
  <si>
    <t>Learning Objectives : Smarter Learning Objectives</t>
  </si>
  <si>
    <t>Planning : Linking to Sudents' Interests</t>
  </si>
  <si>
    <t>Questioning : Differentiated Questions</t>
  </si>
  <si>
    <t>Resources : Deep Learning With Mini Whiteboards</t>
  </si>
  <si>
    <t>Resources : ICT to Focus Learning</t>
  </si>
  <si>
    <t>Resources : Relevance and Quality</t>
  </si>
  <si>
    <t>Resources : Using Simple Resources Effectively</t>
  </si>
  <si>
    <t>Subject Knowledge : Student Relevance</t>
  </si>
  <si>
    <t>Teaching Strategies : Intrigue and Mystery</t>
  </si>
  <si>
    <t>Teaching Strategies : Making Learning Fun</t>
  </si>
  <si>
    <t>Teaching Strategies : Starting the Lesson</t>
  </si>
  <si>
    <t>Bright Extroverts</t>
  </si>
  <si>
    <t>Fidgeting</t>
  </si>
  <si>
    <t>The Quiet Ones</t>
  </si>
  <si>
    <t>Classroom Routines</t>
  </si>
  <si>
    <t>Group Work</t>
  </si>
  <si>
    <t>Out of the Classroom</t>
  </si>
  <si>
    <t>Charlie Trailer</t>
  </si>
  <si>
    <t>Chosen Behaviour : CHARLIE</t>
  </si>
  <si>
    <t>Chosen Behaviour : DYLAN</t>
  </si>
  <si>
    <t>Chosen Behaviour : LATESHA</t>
  </si>
  <si>
    <t>Classroom Main Scene Scene 1</t>
  </si>
  <si>
    <t>CUs : Focus on Charlie : No Audio</t>
  </si>
  <si>
    <t>CUs : Focus on Dylan - No Audio</t>
  </si>
  <si>
    <t>CUs : Focus on Latesha : No Audio</t>
  </si>
  <si>
    <t>Dixes Fixes : Scene 1</t>
  </si>
  <si>
    <t>Dixes Fixes : Scene 2</t>
  </si>
  <si>
    <t>Dixes Fixes : Scene 3</t>
  </si>
  <si>
    <t>Dixes Fixes : Scene 4</t>
  </si>
  <si>
    <t>Dixes Fixes : Scene 5</t>
  </si>
  <si>
    <t>Dylan Trailer</t>
  </si>
  <si>
    <t>Expert Opinion : Scene 10</t>
  </si>
  <si>
    <t>Expert Opinion : Scene 2</t>
  </si>
  <si>
    <t>Expert Opinion : Scene 3</t>
  </si>
  <si>
    <t>Expert Opinion : Scene 4</t>
  </si>
  <si>
    <t>Expert Opinion : Scene 5</t>
  </si>
  <si>
    <t>Expert Opinion : Scene 6</t>
  </si>
  <si>
    <t>Expert Opinion : Scene 7</t>
  </si>
  <si>
    <t>Expert Opinion : Scene 8</t>
  </si>
  <si>
    <t>Expert Opinion : Scene 9</t>
  </si>
  <si>
    <t>Latesha Trailer</t>
  </si>
  <si>
    <t>Reprimand 1</t>
  </si>
  <si>
    <t>Reprimand 2</t>
  </si>
  <si>
    <t>Strategy Options : CHARLIE 1</t>
  </si>
  <si>
    <t>Strategy Options : CHARLIE 2</t>
  </si>
  <si>
    <t>Strategy Options : CHARLIE 3</t>
  </si>
  <si>
    <t>Strategy Options : DYLAN 1</t>
  </si>
  <si>
    <t>Strategy Options : DYLAN 2</t>
  </si>
  <si>
    <t>Strategy Options : DYLAN 3</t>
  </si>
  <si>
    <t>Strategy Options : LATESHA 1</t>
  </si>
  <si>
    <t>Strategy Options : LATESHA 2</t>
  </si>
  <si>
    <t>Strategy Options : LATESHA 3</t>
  </si>
  <si>
    <t>The Strategy : Scene 10</t>
  </si>
  <si>
    <t>The Strategy : Scene 2</t>
  </si>
  <si>
    <t>The Strategy : Scene 3</t>
  </si>
  <si>
    <t>The Strategy : Scene 4</t>
  </si>
  <si>
    <t>The Strategy : Scene 5</t>
  </si>
  <si>
    <t>The Strategy : Scene 6</t>
  </si>
  <si>
    <t>The Strategy : Scene 7</t>
  </si>
  <si>
    <t>The Strategy : Scene 8</t>
  </si>
  <si>
    <t>The Strategy : Scene 9</t>
  </si>
  <si>
    <t>Brian Sewell</t>
  </si>
  <si>
    <t>Chris Woodhead</t>
  </si>
  <si>
    <t>James Cracknell</t>
  </si>
  <si>
    <t>The Bell : Episode 5</t>
  </si>
  <si>
    <t>Tony Hawks</t>
  </si>
  <si>
    <t>Yolande Beckles</t>
  </si>
  <si>
    <t>BETT 2010 Review : Episode 1</t>
  </si>
  <si>
    <t>BETT 2010 Review : Episode 2</t>
  </si>
  <si>
    <t>Animation</t>
  </si>
  <si>
    <t>Animation in a Primary Afterschool Club</t>
  </si>
  <si>
    <t>Computer Games in the Classroom</t>
  </si>
  <si>
    <t>Data Handling in the Classroom</t>
  </si>
  <si>
    <t>How to Add Audio to an Animation</t>
  </si>
  <si>
    <t>How to Capture an Image Using a Visualiser</t>
  </si>
  <si>
    <t>How to Create a Smooth Stop-Frame Animation</t>
  </si>
  <si>
    <t>How to Find Podcasts</t>
  </si>
  <si>
    <t>How to Record Video Using a Visualiser</t>
  </si>
  <si>
    <t>How to Turn an Audio File Into a Podcast</t>
  </si>
  <si>
    <t>Improving Your Presentations</t>
  </si>
  <si>
    <t>Online Communities in the Classroom</t>
  </si>
  <si>
    <t>Podcasting</t>
  </si>
  <si>
    <t>Podcasting Used for KS2 Cross-Curriculum</t>
  </si>
  <si>
    <t>Video in the Classroom</t>
  </si>
  <si>
    <t>Visualisers</t>
  </si>
  <si>
    <t>Visualisers Used for KS3 English</t>
  </si>
  <si>
    <t>Visualisers Used for Secondary Maths and SEN</t>
  </si>
  <si>
    <t>Voting Technology</t>
  </si>
  <si>
    <t>Voting Technology Used for KS2 Numeracy</t>
  </si>
  <si>
    <t>Voting Technology Used for Secondary English</t>
  </si>
  <si>
    <t>Data Handling : A Secondary and a Primary Example</t>
  </si>
  <si>
    <t>Games -Two KS3 Examples</t>
  </si>
  <si>
    <t>On-Line Communities : Two KS3 Examples</t>
  </si>
  <si>
    <t>Presentation : A KS3 and a KS2 Example</t>
  </si>
  <si>
    <t>Video : A Primary and a Secondary Example</t>
  </si>
  <si>
    <t>How to Change Text and Objects in Presentations</t>
  </si>
  <si>
    <t>How to Create a Web-Based Vote</t>
  </si>
  <si>
    <t>How to Create a Wiki</t>
  </si>
  <si>
    <t>How to Insert a Video Clip Into a Presentation</t>
  </si>
  <si>
    <t>How to Operate a Video Camera</t>
  </si>
  <si>
    <t>How to Record a Sound File and Share It Online</t>
  </si>
  <si>
    <t>How to Share Videos Online</t>
  </si>
  <si>
    <t>How to Understand Computer Game Ratings</t>
  </si>
  <si>
    <t>How to Use a Data Logger</t>
  </si>
  <si>
    <t>How to Use a Spreadsheet</t>
  </si>
  <si>
    <t>How to Use Games Consoles</t>
  </si>
  <si>
    <t>Big Match</t>
  </si>
  <si>
    <t>Big Test</t>
  </si>
  <si>
    <t>Big Top</t>
  </si>
  <si>
    <t>The Big Cook</t>
  </si>
  <si>
    <t>The Big Dance</t>
  </si>
  <si>
    <t>The Big Dig</t>
  </si>
  <si>
    <t>The Big Rescue</t>
  </si>
  <si>
    <t>Britishness</t>
  </si>
  <si>
    <t>Inclusion</t>
  </si>
  <si>
    <t>Is the Curriculum Fit for the 21st Century?</t>
  </si>
  <si>
    <t>Parents</t>
  </si>
  <si>
    <t>Playing It too Safe?</t>
  </si>
  <si>
    <t>Tomlinson : The Dilemma</t>
  </si>
  <si>
    <t>Where Next for Primary Assessment?</t>
  </si>
  <si>
    <t>Where to Spend? Where to Cut?</t>
  </si>
  <si>
    <t>Going for Headship</t>
  </si>
  <si>
    <t>Trial by Headship</t>
  </si>
  <si>
    <t>Body Language for Engaging and Motivating</t>
  </si>
  <si>
    <t>Body Language for Reinforcing Learning</t>
  </si>
  <si>
    <t>Body Language Techniques</t>
  </si>
  <si>
    <t>Body Language When Ending the Lesson</t>
  </si>
  <si>
    <t>Body Language When Establishing Relationships</t>
  </si>
  <si>
    <t>Body Language When Starting the Lesson</t>
  </si>
  <si>
    <t>Circle of Friends</t>
  </si>
  <si>
    <t>Exploring Thinking Processes</t>
  </si>
  <si>
    <t>Extending Speaking and Listening</t>
  </si>
  <si>
    <t>Key Skills Intervention</t>
  </si>
  <si>
    <t>Learner Profile Passport</t>
  </si>
  <si>
    <t>Learning Outdoors</t>
  </si>
  <si>
    <t>Making Videos for Assessment</t>
  </si>
  <si>
    <t>Peer to Peer Assessment</t>
  </si>
  <si>
    <t>Raise Your Expectations</t>
  </si>
  <si>
    <t>Rewarding Teamwork</t>
  </si>
  <si>
    <t>Snappy Games and Activities</t>
  </si>
  <si>
    <t>Brain Basics</t>
  </si>
  <si>
    <t>Creativity</t>
  </si>
  <si>
    <t>Dyscalculia</t>
  </si>
  <si>
    <t>Enriched Environments</t>
  </si>
  <si>
    <t>The Developing Brain</t>
  </si>
  <si>
    <t>The Dynamic Brain</t>
  </si>
  <si>
    <t>The Learning Brain</t>
  </si>
  <si>
    <t>Unconscious Learning</t>
  </si>
  <si>
    <t>In Devon</t>
  </si>
  <si>
    <t>In Glasgow</t>
  </si>
  <si>
    <t>In Islington</t>
  </si>
  <si>
    <t>In Luton</t>
  </si>
  <si>
    <t>In Portsmouth</t>
  </si>
  <si>
    <t>Am I British?</t>
  </si>
  <si>
    <t>Building Bridges</t>
  </si>
  <si>
    <t>Divided Camps</t>
  </si>
  <si>
    <t>The Whole Story</t>
  </si>
  <si>
    <t>Bullied</t>
  </si>
  <si>
    <t>Appearance</t>
  </si>
  <si>
    <t>Cyber-Bullying</t>
  </si>
  <si>
    <t>Difference</t>
  </si>
  <si>
    <t>Disability</t>
  </si>
  <si>
    <t>Homophobia</t>
  </si>
  <si>
    <t>Name-Calling</t>
  </si>
  <si>
    <t>Verbal and Physical</t>
  </si>
  <si>
    <t>Violence</t>
  </si>
  <si>
    <t>Developing Self-Understanding</t>
  </si>
  <si>
    <t>Exploring the Workscape</t>
  </si>
  <si>
    <t>Appointing a Deputy Head</t>
  </si>
  <si>
    <t>Conflict Resolution</t>
  </si>
  <si>
    <t>Exit Interviews</t>
  </si>
  <si>
    <t>Hiring a Business Manager</t>
  </si>
  <si>
    <t>Interviewing an NQT</t>
  </si>
  <si>
    <t>Reintegration</t>
  </si>
  <si>
    <t>Alternative Career Routes</t>
  </si>
  <si>
    <t>Black and Minority Ethnic Teachers</t>
  </si>
  <si>
    <t>Career Refreshment</t>
  </si>
  <si>
    <t>Career Rejuvenation</t>
  </si>
  <si>
    <t>Control Your Professional Development</t>
  </si>
  <si>
    <t>Disability Equality Duty</t>
  </si>
  <si>
    <t>Employment for NQTs</t>
  </si>
  <si>
    <t>Every Child Matters</t>
  </si>
  <si>
    <t>Gifted and Talented</t>
  </si>
  <si>
    <t>Headteachers</t>
  </si>
  <si>
    <t>Male Teachers at Primary</t>
  </si>
  <si>
    <t>Management or Classroom?</t>
  </si>
  <si>
    <t>Mentoring and CPD</t>
  </si>
  <si>
    <t>New 14-19 Curriculum</t>
  </si>
  <si>
    <t>New Pay Scale</t>
  </si>
  <si>
    <t>Pension Schemes</t>
  </si>
  <si>
    <t>Pensions</t>
  </si>
  <si>
    <t>Performance Management</t>
  </si>
  <si>
    <t>Returners</t>
  </si>
  <si>
    <t>Trust and Foundation Schools</t>
  </si>
  <si>
    <t>Workforce Remodelling</t>
  </si>
  <si>
    <t>DNA</t>
  </si>
  <si>
    <t>Evolution</t>
  </si>
  <si>
    <t>Crunch Time</t>
  </si>
  <si>
    <t>Exams</t>
  </si>
  <si>
    <t>Good News</t>
  </si>
  <si>
    <t>Here We Go Again</t>
  </si>
  <si>
    <t>Moving the Goalposts</t>
  </si>
  <si>
    <t>Pressure</t>
  </si>
  <si>
    <t>Targets</t>
  </si>
  <si>
    <t>Taster Days</t>
  </si>
  <si>
    <t>Finland Comes to England : Primary</t>
  </si>
  <si>
    <t>Finland Comes to England : Secondary</t>
  </si>
  <si>
    <t>UK Comes to Uganda</t>
  </si>
  <si>
    <t>After 11</t>
  </si>
  <si>
    <t>Up to 11</t>
  </si>
  <si>
    <t>Child Poverty : Challenge and Aspiration</t>
  </si>
  <si>
    <t>Child Poverty : Challenge and Aspiration : Outreach</t>
  </si>
  <si>
    <t>Child Poverty : Challenge and Aspiration : Pathways to Prospects</t>
  </si>
  <si>
    <t>Child Poverty : Challenge and Aspiration : Self Belief</t>
  </si>
  <si>
    <t>Enjoy and Achieve for All</t>
  </si>
  <si>
    <t>Enjoy and Achieve for All : Inclusion</t>
  </si>
  <si>
    <t>Enjoy and Achieve for All : Learning Journey</t>
  </si>
  <si>
    <t>Enjoy and Achieve for All : Parental Wellbeing</t>
  </si>
  <si>
    <t>Involving Parents : Making a Difference</t>
  </si>
  <si>
    <t>Involving Parents : Making a Difference : Engaging Parents</t>
  </si>
  <si>
    <t>Involving Parents : Making a Difference : Parent Forum</t>
  </si>
  <si>
    <t>Involving Parents : Making a Difference : Parental Involvement Worker</t>
  </si>
  <si>
    <t>Integrating Health and Education</t>
  </si>
  <si>
    <t>Models of Leadership</t>
  </si>
  <si>
    <t>Combating Bullying</t>
  </si>
  <si>
    <t>Helping Children Stay Healthy and Fit</t>
  </si>
  <si>
    <t>Helping Children Stay Mentally Strong</t>
  </si>
  <si>
    <t>Safeguarding Vulnerable Children</t>
  </si>
  <si>
    <t>Fighting Your Corner</t>
  </si>
  <si>
    <t>Giving it Back to the Children</t>
  </si>
  <si>
    <t>Group Dynamics</t>
  </si>
  <si>
    <t>Hands On</t>
  </si>
  <si>
    <t>Independent Learning in English</t>
  </si>
  <si>
    <t>Modes, Medians &amp; Means</t>
  </si>
  <si>
    <t>Questions and Answers</t>
  </si>
  <si>
    <t>Substitute into Formulae</t>
  </si>
  <si>
    <t>Teaching Poetry at GCSE</t>
  </si>
  <si>
    <t>Teaching Pythagoras</t>
  </si>
  <si>
    <t>The Language of Life</t>
  </si>
  <si>
    <t>The Queen of French Grammar</t>
  </si>
  <si>
    <t>English and Drama</t>
  </si>
  <si>
    <t>Foundation</t>
  </si>
  <si>
    <t>Years Five and Six</t>
  </si>
  <si>
    <t>The Causes</t>
  </si>
  <si>
    <t>The Impacts</t>
  </si>
  <si>
    <t>Primary</t>
  </si>
  <si>
    <t>Secondary</t>
  </si>
  <si>
    <t>Communication and Welfare</t>
  </si>
  <si>
    <t>Personal Development and Sharing Information</t>
  </si>
  <si>
    <t>Transitions and Multi-Agency Working</t>
  </si>
  <si>
    <t>Choir SOS</t>
  </si>
  <si>
    <t>Garden SOS</t>
  </si>
  <si>
    <t>Local History</t>
  </si>
  <si>
    <t>Community Cohesion</t>
  </si>
  <si>
    <t>Cross-Generation Art in Bristol</t>
  </si>
  <si>
    <t>Good Practice in Two Schools</t>
  </si>
  <si>
    <t>Primary-School Linking in Bradford</t>
  </si>
  <si>
    <t>City Challenges</t>
  </si>
  <si>
    <t>Rural Challenges</t>
  </si>
  <si>
    <t>Getting the Priorities Right</t>
  </si>
  <si>
    <t>One School's Experience</t>
  </si>
  <si>
    <t>With a Cluster</t>
  </si>
  <si>
    <t>Within the School</t>
  </si>
  <si>
    <t>Personalising CPD</t>
  </si>
  <si>
    <t>Sharing Skills</t>
  </si>
  <si>
    <t>Evidence of Impact</t>
  </si>
  <si>
    <t>How Do They Do It In Scotland?</t>
  </si>
  <si>
    <t>How to be an AST</t>
  </si>
  <si>
    <t>Mentoring and Coaching</t>
  </si>
  <si>
    <t>Primary Peer Observation</t>
  </si>
  <si>
    <t>Working Together</t>
  </si>
  <si>
    <t>Cranmer Primary School</t>
  </si>
  <si>
    <t>Heywood Community High School</t>
  </si>
  <si>
    <t>Collaborative Professional Development</t>
  </si>
  <si>
    <t>Leading School-Based CPD</t>
  </si>
  <si>
    <t>Coaching and Mentoring</t>
  </si>
  <si>
    <t>Enquiry Based Learning</t>
  </si>
  <si>
    <t>Prospect Vale Primary School</t>
  </si>
  <si>
    <t>Worth Primary School</t>
  </si>
  <si>
    <t>Clip 1 From C1628001</t>
  </si>
  <si>
    <t>Clip 2 From C 1628 001 M20_S20_020</t>
  </si>
  <si>
    <t>Clip From C 1628 002 M20_S15_025</t>
  </si>
  <si>
    <t>Clip From C 1628 003 M20_S10_015</t>
  </si>
  <si>
    <t>Clip From C2260001</t>
  </si>
  <si>
    <t>Clip 1 From C 2964 001 M05_T15_015</t>
  </si>
  <si>
    <t>Clip 2 From C 2964 001 M05_T20_025 B</t>
  </si>
  <si>
    <t>Clip 3 From C 2964 001 M05_T20_025 C</t>
  </si>
  <si>
    <t>Clip From C 3559 001 M05_T10_025</t>
  </si>
  <si>
    <t>Clip From C 3559 004 M05_T20_025 A</t>
  </si>
  <si>
    <t>Clip 1 From C2568002</t>
  </si>
  <si>
    <t>Clip 2 From C1134001</t>
  </si>
  <si>
    <t>Clip 2 From C2568002</t>
  </si>
  <si>
    <t>Clip 3 From C2568002</t>
  </si>
  <si>
    <t>Clip 4 From C2568001</t>
  </si>
  <si>
    <t>Learner Task</t>
  </si>
  <si>
    <t>Sting</t>
  </si>
  <si>
    <t>Audio Clip 1</t>
  </si>
  <si>
    <t>Audio Clip 10</t>
  </si>
  <si>
    <t>Audio Clip 2</t>
  </si>
  <si>
    <t>Audio Clip 3</t>
  </si>
  <si>
    <t>Audio Clip 4</t>
  </si>
  <si>
    <t>Audio Clip 5</t>
  </si>
  <si>
    <t>Audio Clip 6</t>
  </si>
  <si>
    <t>Audio Clip 7</t>
  </si>
  <si>
    <t>Audio Clip 8</t>
  </si>
  <si>
    <t>Audio Clip 9</t>
  </si>
  <si>
    <t>Clip 1 From C3046001</t>
  </si>
  <si>
    <t>Clip 2 From C3046001</t>
  </si>
  <si>
    <t>Clip 3 From C3046001</t>
  </si>
  <si>
    <t>Clip 4 From C3046001</t>
  </si>
  <si>
    <t>COMM : Extracts From Writing Criteria 1</t>
  </si>
  <si>
    <t>COMM : Extracts From Writing Criteria 2</t>
  </si>
  <si>
    <t>COMM : Extracts From Writing Criteria 3</t>
  </si>
  <si>
    <t>COMM : Extracts From Writing Criteria 4 (M10_T10_020_D)</t>
  </si>
  <si>
    <t>Pupil Presentation for Learners to Assess</t>
  </si>
  <si>
    <t>Teacher Reading Information From the Secondary Writing Criteria</t>
  </si>
  <si>
    <t>Video Feedback</t>
  </si>
  <si>
    <t>Vox Pops 1</t>
  </si>
  <si>
    <t>Vox Pops 2</t>
  </si>
  <si>
    <t>Vox Pops 3</t>
  </si>
  <si>
    <t>Module A1 : Activity 3 Volume 1 From C 0445 002</t>
  </si>
  <si>
    <t>Module A1 : Activity 4A Volume 1 From C 0445 001</t>
  </si>
  <si>
    <t>Module A1 : Activity 5 Volume 2 From C 1734 001</t>
  </si>
  <si>
    <t>Module A1 : Activity 5A Volume 2 From C 3531 001</t>
  </si>
  <si>
    <t>Module A1 : Activity 5A Volume 5 From C 1734 001</t>
  </si>
  <si>
    <t>Module A1 Activity 1 V1 : New Material</t>
  </si>
  <si>
    <t>Module A3 : Activity 1 Volume 1 From C 0445 002</t>
  </si>
  <si>
    <t>Module B1 : Activity 1 V1 : New Material</t>
  </si>
  <si>
    <t>Module B1 : Activity 2 V1 : New Material</t>
  </si>
  <si>
    <t>Module B2 : Activity 3 V2 : New Material</t>
  </si>
  <si>
    <t>Module B2 : Activity 4 V1 : New Material</t>
  </si>
  <si>
    <t>Module B3 : Activitiy 2 Volume 1</t>
  </si>
  <si>
    <t>Module B3 : Activitiy 2 Volume 2</t>
  </si>
  <si>
    <t>Module B3 : Activity 4 Volume 1 From C 1299 014</t>
  </si>
  <si>
    <t>Module C1 : Activity 4 Volume 1</t>
  </si>
  <si>
    <t>Module C1 : Activity 4 Volume 2</t>
  </si>
  <si>
    <t>Module C2 : Activity 1 Volume 1</t>
  </si>
  <si>
    <t>Module C2 : Activity 2 Volume 1</t>
  </si>
  <si>
    <t>Module C2 : Activity 3 Volume 1</t>
  </si>
  <si>
    <t>Module C2 : Activity 4 Volume 1</t>
  </si>
  <si>
    <t>Module C2 : Activity 4 Volume 2</t>
  </si>
  <si>
    <t>Module D1 : Activity 1 Volume 1</t>
  </si>
  <si>
    <t>Module D1 : Activity 1 Volume 2</t>
  </si>
  <si>
    <t>Module D1 : Activity 1 Volume 3</t>
  </si>
  <si>
    <t>Module D1 : Activity 2 Volume 1</t>
  </si>
  <si>
    <t>Module D1 : Activity 2 Volume 2</t>
  </si>
  <si>
    <t>Module D1 : Activity 2 Volume 3</t>
  </si>
  <si>
    <t>Module D1 : Activity 3 Volume 1</t>
  </si>
  <si>
    <t>Module D1 : Activity 4 Volume 1</t>
  </si>
  <si>
    <t>Module D2 : Activity 1 Volume 1</t>
  </si>
  <si>
    <t>Module D2 : Activity 3 Volume 1</t>
  </si>
  <si>
    <t>Module D3 : Activity 2 Volume 1</t>
  </si>
  <si>
    <t>Module D3 : Activity 2 Volume 2</t>
  </si>
  <si>
    <t>Module D3 : Activity 3 Volume 1</t>
  </si>
  <si>
    <t>Module D3 : Activity 4 Volume 1</t>
  </si>
  <si>
    <t>Planning : Engaging All Learners</t>
  </si>
  <si>
    <t>Subject Knowledge : Risk Taking</t>
  </si>
  <si>
    <t>Clip 1 From C 2286 001 A m25_t10_010</t>
  </si>
  <si>
    <t>Clip 1 From C2748002A</t>
  </si>
  <si>
    <t>Clip 2 From C 2286 001 A  m25_t10_020</t>
  </si>
  <si>
    <t>Clip 2 From C2748002A</t>
  </si>
  <si>
    <t>Clip From C 1546 006 A m25_sting_1</t>
  </si>
  <si>
    <t>Clip From C/0978/001/A</t>
  </si>
  <si>
    <t>Clip From C/2022/004/A</t>
  </si>
  <si>
    <t>Clip From C/3816/002/C</t>
  </si>
  <si>
    <t>Clip From C2535004A</t>
  </si>
  <si>
    <t>Clip From C3164001B</t>
  </si>
  <si>
    <t>Clip From J/3866/002/A (extra_3)</t>
  </si>
  <si>
    <t>Clip From W/4134/002/A</t>
  </si>
  <si>
    <t>Clip From W4134004A</t>
  </si>
  <si>
    <t>Audio Clip m40_sting_2</t>
  </si>
  <si>
    <t>Interview With Teresa Williams, Consultant</t>
  </si>
  <si>
    <t>Roleplay 1</t>
  </si>
  <si>
    <t>Roleplay 2</t>
  </si>
  <si>
    <t>Vox Pops From Consultant and Middle Leaders</t>
  </si>
  <si>
    <t>Vox Pops From Senior and Middle Leaders</t>
  </si>
  <si>
    <t>Audio Clip</t>
  </si>
  <si>
    <t>Clip 1 From C2541001A</t>
  </si>
  <si>
    <t>Clip 2 From C2541001A</t>
  </si>
  <si>
    <t>Clip From C0940002A</t>
  </si>
  <si>
    <t>Hot Tips From Consultant and Middle Leaders</t>
  </si>
  <si>
    <t>Vox Pops From Middle Leaders</t>
  </si>
  <si>
    <t>Vox Pops From Senior Leaders and Consultants</t>
  </si>
  <si>
    <t>Clip 1 From C1737004</t>
  </si>
  <si>
    <t>Clip 2 From C1737004</t>
  </si>
  <si>
    <t>Clip 3 From C1737004</t>
  </si>
  <si>
    <t>Clip From C1615001</t>
  </si>
  <si>
    <t>Clip From C2020002</t>
  </si>
  <si>
    <t>Clip From C3387001</t>
  </si>
  <si>
    <t>Sting : Clip From C/3171/002</t>
  </si>
  <si>
    <t>Benefits of a Positive Relationship</t>
  </si>
  <si>
    <t>Clip 1 From 032040010S</t>
  </si>
  <si>
    <t>Clip 2 From 032040010S</t>
  </si>
  <si>
    <t>Clip 3 From 032040010S</t>
  </si>
  <si>
    <t>Clip From C0526002</t>
  </si>
  <si>
    <t>Clip From C3372001</t>
  </si>
  <si>
    <t>CPD Package - NQTs - School Relationships : Episode 1</t>
  </si>
  <si>
    <t>Vox Pops</t>
  </si>
  <si>
    <t>Clip 1 From C3976004</t>
  </si>
  <si>
    <t>Clip 2 From C3976004</t>
  </si>
  <si>
    <t>Clip From 022050023A</t>
  </si>
  <si>
    <t>Clip From C/3171/006</t>
  </si>
  <si>
    <t>Expert Top Tips on Work-Life Balance</t>
  </si>
  <si>
    <t>Teacher Vox Pops</t>
  </si>
  <si>
    <t>Teachers Discuss Common Errors and Misuse of PPA Time</t>
  </si>
  <si>
    <t>Teachers Top Tips for Making the Most of PPA Time 1</t>
  </si>
  <si>
    <t>Teachers Top Tips for Making the Most of PPA Time 2</t>
  </si>
  <si>
    <t>Teachers Top Tips for Making the Most of PPA Time 3</t>
  </si>
  <si>
    <t>Clip 1 From C 1670 001 M45_S10_010</t>
  </si>
  <si>
    <t>Clip 2 From C 1670 001 M45_S10_015</t>
  </si>
  <si>
    <t>Clip From 012050065X</t>
  </si>
  <si>
    <t>Clip From C 2416 001 M45_S15_015</t>
  </si>
  <si>
    <t>Clip From C/3976/003 (M45_S15_025)</t>
  </si>
  <si>
    <t>Clip From C1291003</t>
  </si>
  <si>
    <t>NQTs</t>
  </si>
  <si>
    <t>Support Staff</t>
  </si>
  <si>
    <t>The MA</t>
  </si>
  <si>
    <t>A Known Aggressive Student</t>
  </si>
  <si>
    <t>Angry Outburst</t>
  </si>
  <si>
    <t>Fight in the Corridor</t>
  </si>
  <si>
    <t>Fight With Implements</t>
  </si>
  <si>
    <t>Homophobic Abuse</t>
  </si>
  <si>
    <t>Pushing and Shoving</t>
  </si>
  <si>
    <t>Racial Abuse</t>
  </si>
  <si>
    <t>Dry Ice : Exploding Bottles</t>
  </si>
  <si>
    <t>Dry Ice : Sublimation</t>
  </si>
  <si>
    <t>Dry Ice : The Magnesium Sandwich</t>
  </si>
  <si>
    <t>Glowsticks</t>
  </si>
  <si>
    <t>Hydrogen : Exploding Eggs</t>
  </si>
  <si>
    <t>Hydrogen : Rockets</t>
  </si>
  <si>
    <t>Lycopodium Powder</t>
  </si>
  <si>
    <t>Sodium Ethanoate Stalagmite</t>
  </si>
  <si>
    <t>The Minty Cola Fountain</t>
  </si>
  <si>
    <t>The Pulsing Reaction</t>
  </si>
  <si>
    <t>An Overview</t>
  </si>
  <si>
    <t>Dealing With Bullying</t>
  </si>
  <si>
    <t>Inclusion in PE</t>
  </si>
  <si>
    <t>Mobility</t>
  </si>
  <si>
    <t>Non-Physical Disability</t>
  </si>
  <si>
    <t>Beats and Rhythm</t>
  </si>
  <si>
    <t>Magnetism</t>
  </si>
  <si>
    <t>A Multi-Sensory Approach to Sequencing</t>
  </si>
  <si>
    <t>Alternative Methods of Recording</t>
  </si>
  <si>
    <t>Classroom Layout and Resources</t>
  </si>
  <si>
    <t>Raising Self-Esteem</t>
  </si>
  <si>
    <t>Early Reading</t>
  </si>
  <si>
    <t>Teacher Video : Adam's Reading Journey</t>
  </si>
  <si>
    <t>Teacher Video : Riain's Reading Journey</t>
  </si>
  <si>
    <t>Daily Routines</t>
  </si>
  <si>
    <t>How Do They Do It in Germany?</t>
  </si>
  <si>
    <t>How Do They Do It In Sweden?</t>
  </si>
  <si>
    <t>Language Intervention in Nursery</t>
  </si>
  <si>
    <t>Language Intervention in Reception</t>
  </si>
  <si>
    <t>Role Play : Managing and Changing</t>
  </si>
  <si>
    <t>Role Play : Setting Up and Planning</t>
  </si>
  <si>
    <t>The Case for Early Years Language Intervention</t>
  </si>
  <si>
    <t>The Outdoor Environment</t>
  </si>
  <si>
    <t>Using Puppets</t>
  </si>
  <si>
    <t>A Healthy Start</t>
  </si>
  <si>
    <t>ICT</t>
  </si>
  <si>
    <t>Listening Skills for Staff</t>
  </si>
  <si>
    <t>Personal, Social and Emotional Development</t>
  </si>
  <si>
    <t>The Learning Environment</t>
  </si>
  <si>
    <t>Childminder 1</t>
  </si>
  <si>
    <t>Childminder 2</t>
  </si>
  <si>
    <t>Listening and Questioning</t>
  </si>
  <si>
    <t>Listening and Questioning : Discussion</t>
  </si>
  <si>
    <t>Nursery 1</t>
  </si>
  <si>
    <t>Nursery 2</t>
  </si>
  <si>
    <t>Play to Learn : Discussion</t>
  </si>
  <si>
    <t>Reception 1</t>
  </si>
  <si>
    <t>Reception 2</t>
  </si>
  <si>
    <t>A Challenging Career Change</t>
  </si>
  <si>
    <t>All Together Now</t>
  </si>
  <si>
    <t>Calm Exterior, Stressed Interior</t>
  </si>
  <si>
    <t>Finding Time to Walk the Dog</t>
  </si>
  <si>
    <t>How Good Was That?</t>
  </si>
  <si>
    <t>I Don't Want to Work Through Breaks</t>
  </si>
  <si>
    <t>I Want to be a Better Leader</t>
  </si>
  <si>
    <t>I'm a Full-Time Part-Timer</t>
  </si>
  <si>
    <t>I'm an Over-Busy Business Manager</t>
  </si>
  <si>
    <t>I'm Tired of 12-Hour Days</t>
  </si>
  <si>
    <t>It's About Time</t>
  </si>
  <si>
    <t>I've Been a Head for Five Years- What's Next?</t>
  </si>
  <si>
    <t>Mind, Body and Soul</t>
  </si>
  <si>
    <t>My Planning Rules My Life</t>
  </si>
  <si>
    <t>My Singing and Dancing Time Gets Squeezed Out</t>
  </si>
  <si>
    <t>New Job, New Baby, New Pressure</t>
  </si>
  <si>
    <t>No Time to Play My Viola</t>
  </si>
  <si>
    <t>No Time to Spend With My Partner</t>
  </si>
  <si>
    <t>Parent Partners</t>
  </si>
  <si>
    <t>School to School</t>
  </si>
  <si>
    <t>Start the Year Here</t>
  </si>
  <si>
    <t>The Three Cs</t>
  </si>
  <si>
    <t>This Time It's Personal</t>
  </si>
  <si>
    <t>We Have the Technology</t>
  </si>
  <si>
    <t>You Take Care</t>
  </si>
  <si>
    <t>Cooks</t>
  </si>
  <si>
    <t>Parents and Carers</t>
  </si>
  <si>
    <t>Young People</t>
  </si>
  <si>
    <t>Primary : A Whole School Story</t>
  </si>
  <si>
    <t>Secondary : Aaron's Story</t>
  </si>
  <si>
    <t>Land of Opportunity?</t>
  </si>
  <si>
    <t>Profiting From School</t>
  </si>
  <si>
    <t>Who's in Charge?</t>
  </si>
  <si>
    <t>Effective Inclusion : Additional Training for TAs</t>
  </si>
  <si>
    <t>Effective Inclusion : Bringing Special School Experience Into the Mainstream Classroom</t>
  </si>
  <si>
    <t>Effective Inclusion : Teachers With Learning Difficulties or Disabilities</t>
  </si>
  <si>
    <t>Conservative</t>
  </si>
  <si>
    <t>Labour</t>
  </si>
  <si>
    <t>Liberal Democrats</t>
  </si>
  <si>
    <t>The Hardest to Reach</t>
  </si>
  <si>
    <t>The Three Way Relationship</t>
  </si>
  <si>
    <t>Engineering Elegance : Awards</t>
  </si>
  <si>
    <t>Engineering Elegance : Design</t>
  </si>
  <si>
    <t>Engineering Elegance : Manufacturing</t>
  </si>
  <si>
    <t>Biomechanics</t>
  </si>
  <si>
    <t>Product Design and Testing</t>
  </si>
  <si>
    <t>Smart Floors</t>
  </si>
  <si>
    <t>English as an Additional Language</t>
  </si>
  <si>
    <t>Lost in Translation Part 1</t>
  </si>
  <si>
    <t>Lost in Translation Part 2</t>
  </si>
  <si>
    <t>Business Champion</t>
  </si>
  <si>
    <t>Teaching Key Skills</t>
  </si>
  <si>
    <t>Baroness Warnock</t>
  </si>
  <si>
    <t>Camila Batmanghelidjh</t>
  </si>
  <si>
    <t>Christine Gilbert</t>
  </si>
  <si>
    <t>David Blunkett</t>
  </si>
  <si>
    <t>David Willetts</t>
  </si>
  <si>
    <t>Dylan Wiliam</t>
  </si>
  <si>
    <t>Germaine Greer</t>
  </si>
  <si>
    <t>Jude Kelly</t>
  </si>
  <si>
    <t>Mick Waters</t>
  </si>
  <si>
    <t>Ralph Taberrer</t>
  </si>
  <si>
    <t>Sir Peter Lampl</t>
  </si>
  <si>
    <t>Sue Campbell</t>
  </si>
  <si>
    <t>Tim Brighouse</t>
  </si>
  <si>
    <t>Tim Smit</t>
  </si>
  <si>
    <t>Trevor Phillips</t>
  </si>
  <si>
    <t>William Atkinson</t>
  </si>
  <si>
    <t>Dame Anna Hassan</t>
  </si>
  <si>
    <t>Helena Kennedy</t>
  </si>
  <si>
    <t>Joan McVittie</t>
  </si>
  <si>
    <t>Mary Marsh</t>
  </si>
  <si>
    <t>Emotional Literacy at Marlowe Academy</t>
  </si>
  <si>
    <t>Jade's Story</t>
  </si>
  <si>
    <t>Lucy's Team</t>
  </si>
  <si>
    <t>Muhammad's Story</t>
  </si>
  <si>
    <t>Newdale Campus</t>
  </si>
  <si>
    <t>Tom's Team</t>
  </si>
  <si>
    <t>Two Stories</t>
  </si>
  <si>
    <t>Extended Schools</t>
  </si>
  <si>
    <t>A Tale of Two Film Clubs</t>
  </si>
  <si>
    <t>Jesse Boot Primary School</t>
  </si>
  <si>
    <t>Penryn College</t>
  </si>
  <si>
    <t>Science and Engineering Clubs : Amersham</t>
  </si>
  <si>
    <t>Science and Engineering Clubs : Newquay</t>
  </si>
  <si>
    <t>Cultural Perspectives (Amita Gupta)</t>
  </si>
  <si>
    <t>Learning From Europe (Gunhilla Dahlberg)</t>
  </si>
  <si>
    <t>Understanding Parents' Attitudes</t>
  </si>
  <si>
    <t>Wellbeing (Tessa Livingstone)</t>
  </si>
  <si>
    <t>A Unique Child</t>
  </si>
  <si>
    <t>Communication : Early Language</t>
  </si>
  <si>
    <t>Developing Communication for Language and Thinking</t>
  </si>
  <si>
    <t>Developing Transitions</t>
  </si>
  <si>
    <t>Enabling Environments</t>
  </si>
  <si>
    <t>Learning and Development</t>
  </si>
  <si>
    <t>Monitoring Early Progress</t>
  </si>
  <si>
    <t>Monitoring Progress : Moving On</t>
  </si>
  <si>
    <t>Positive Relationships</t>
  </si>
  <si>
    <t>Transitions : Building on Learning</t>
  </si>
  <si>
    <t>Construction 1 : The Gas Fitter</t>
  </si>
  <si>
    <t>Construction 2 : Safety on Site</t>
  </si>
  <si>
    <t>Engineering 1 : Lifeboats</t>
  </si>
  <si>
    <t>Engineering 2 : MOT and Service</t>
  </si>
  <si>
    <t>Health and Beauty 1 : Inside the Salon</t>
  </si>
  <si>
    <t>Health and Beauty 2 : Inside the Gym</t>
  </si>
  <si>
    <t>Social Care 1 : A Day in the Home</t>
  </si>
  <si>
    <t>Social Care 2 : A Day Out</t>
  </si>
  <si>
    <t>A Question of Sport</t>
  </si>
  <si>
    <t>A Twist in the Nail</t>
  </si>
  <si>
    <t>A Wake Up Call</t>
  </si>
  <si>
    <t>Natural Born Readers</t>
  </si>
  <si>
    <t>Presentation Skills</t>
  </si>
  <si>
    <t>Ready Steady Teach</t>
  </si>
  <si>
    <t>Teachy Feely</t>
  </si>
  <si>
    <t>The History Man</t>
  </si>
  <si>
    <t>Sharing Practice</t>
  </si>
  <si>
    <t>Sharing Projects</t>
  </si>
  <si>
    <t>Sharing Resources</t>
  </si>
  <si>
    <t>Sharing Techniques</t>
  </si>
  <si>
    <t>Primary ICT : Natural Connections</t>
  </si>
  <si>
    <t>Primary Literacy : The Little Book Project</t>
  </si>
  <si>
    <t>Secondary Maths : The Human Factor</t>
  </si>
  <si>
    <t>Secondary Science : The Fishing Line</t>
  </si>
  <si>
    <t>Active Learners</t>
  </si>
  <si>
    <t>Bradley, Year 8</t>
  </si>
  <si>
    <t>Engaging the Learner</t>
  </si>
  <si>
    <t>Jack, Year 8</t>
  </si>
  <si>
    <t>Learner Expectations</t>
  </si>
  <si>
    <t>Listening to the Learner</t>
  </si>
  <si>
    <t>Louise, Year 8</t>
  </si>
  <si>
    <t>Robert, Year 8</t>
  </si>
  <si>
    <t>55 Minutes</t>
  </si>
  <si>
    <t>Lunch in the Library</t>
  </si>
  <si>
    <t>Learning to Cook at Parliament Hill</t>
  </si>
  <si>
    <t>Learning to Cook at Shenfield High</t>
  </si>
  <si>
    <t>The First Age... 0-5</t>
  </si>
  <si>
    <t>The Fourth Age... 15-19</t>
  </si>
  <si>
    <t>The Second Age... 5-10</t>
  </si>
  <si>
    <t>The Third Age... 10-14</t>
  </si>
  <si>
    <t>Andy Roberts</t>
  </si>
  <si>
    <t>Annie Ashraf</t>
  </si>
  <si>
    <t>Chloe Mercado</t>
  </si>
  <si>
    <t>David Pollicutt</t>
  </si>
  <si>
    <t>Esther Arnott</t>
  </si>
  <si>
    <t>Gurpreet Grewal</t>
  </si>
  <si>
    <t>Halima Hussain</t>
  </si>
  <si>
    <t>Halima Hussain Revisited</t>
  </si>
  <si>
    <t>James Evelyn</t>
  </si>
  <si>
    <t>James Evelyn Revisited</t>
  </si>
  <si>
    <t>Kath Morgan</t>
  </si>
  <si>
    <t>Louise Radford</t>
  </si>
  <si>
    <t>Rebecca Wills</t>
  </si>
  <si>
    <t>Rebecca Wills Revisited</t>
  </si>
  <si>
    <t>Salma Ali</t>
  </si>
  <si>
    <t>Simon Brilliant</t>
  </si>
  <si>
    <t>Simon Brilliant Revisited</t>
  </si>
  <si>
    <t>Steve Kubairsingh</t>
  </si>
  <si>
    <t>Vicky Edwards</t>
  </si>
  <si>
    <t>Esther Arnott : Lesson 1 Uncut</t>
  </si>
  <si>
    <t>Esther Arnott : Lesson 2 Uncut</t>
  </si>
  <si>
    <t>Hana Abassi</t>
  </si>
  <si>
    <t>James Evelyn : Lesson 1 Uncut</t>
  </si>
  <si>
    <t>James Evelyn : Lesson 2 Uncut</t>
  </si>
  <si>
    <t>Lisa Essop</t>
  </si>
  <si>
    <t>Hana Abassi : Lesson 1</t>
  </si>
  <si>
    <t>Hana Abbasi : Lesson 2</t>
  </si>
  <si>
    <t>Rachel Atkins : Lesson 1</t>
  </si>
  <si>
    <t>Rachel Atkins : Lesson 2</t>
  </si>
  <si>
    <t>Building the Workforce</t>
  </si>
  <si>
    <t>Creating a School</t>
  </si>
  <si>
    <t>Designed for Learning</t>
  </si>
  <si>
    <t>End of an Era</t>
  </si>
  <si>
    <t>Including the Special School</t>
  </si>
  <si>
    <t>Leading the Way</t>
  </si>
  <si>
    <t>One Year on</t>
  </si>
  <si>
    <t>PFI : Friend or Foe?</t>
  </si>
  <si>
    <t>Safe and Secure</t>
  </si>
  <si>
    <t>The Curriculum Challenge</t>
  </si>
  <si>
    <t>The HLC Opens</t>
  </si>
  <si>
    <t>Coursework</t>
  </si>
  <si>
    <t>Exam Preparation</t>
  </si>
  <si>
    <t>Chocolate Makes the World Go Round</t>
  </si>
  <si>
    <t>Starting Out in Business : Priya Lakhani</t>
  </si>
  <si>
    <t>Girls in a Girls' School</t>
  </si>
  <si>
    <t>Girls in a Mixed School</t>
  </si>
  <si>
    <t>Collins Middle School, Salem</t>
  </si>
  <si>
    <t>Esperanza, School of Hope</t>
  </si>
  <si>
    <t>Combining Leadership and Teaching</t>
  </si>
  <si>
    <t>Delegating</t>
  </si>
  <si>
    <t>Doing the Paperwork</t>
  </si>
  <si>
    <t>Inspiring Colleagues</t>
  </si>
  <si>
    <t>Sharing Enthusiasm for ICT</t>
  </si>
  <si>
    <t>Staying Motivated</t>
  </si>
  <si>
    <t>A Place for Competition</t>
  </si>
  <si>
    <t>Active Lunchtime</t>
  </si>
  <si>
    <t>Adults Other Than Teachers</t>
  </si>
  <si>
    <t>Engagement at Key Stage 1</t>
  </si>
  <si>
    <t>Everyone's Included : Primary</t>
  </si>
  <si>
    <t>Everyone's Included : Secondary</t>
  </si>
  <si>
    <t>Firm Foundations</t>
  </si>
  <si>
    <t>Healthy Primary School</t>
  </si>
  <si>
    <t>Healthy Secondary School</t>
  </si>
  <si>
    <t>Maintaining Participation at KS4</t>
  </si>
  <si>
    <t>Playing It Safe : Primary</t>
  </si>
  <si>
    <t>Playing It Safe : Secondary</t>
  </si>
  <si>
    <t>Primary/Secondary Transition</t>
  </si>
  <si>
    <t>Taking the Lead : Primary</t>
  </si>
  <si>
    <t>Taking the Lead : Secondary</t>
  </si>
  <si>
    <t>The 2-Hour/4-Hour Challenge : Primary</t>
  </si>
  <si>
    <t>The 2-Hour/4-Hour Challenge : Secondary</t>
  </si>
  <si>
    <t>The Inspector Calls : Primary</t>
  </si>
  <si>
    <t>The Inspector Calls : Secondary</t>
  </si>
  <si>
    <t>Whole-School Effect</t>
  </si>
  <si>
    <t>...as a Headteacher</t>
  </si>
  <si>
    <t>...as an NQT</t>
  </si>
  <si>
    <t>David Wants a Headship</t>
  </si>
  <si>
    <t>Helen Wants an Assistant Headship</t>
  </si>
  <si>
    <t>Marie Wants a Head of Year Job</t>
  </si>
  <si>
    <t>Top Tips for Getting That Job</t>
  </si>
  <si>
    <t>KS1 : Outdoor Learning With Forest School</t>
  </si>
  <si>
    <t>KS2 : A Day With the RSPB</t>
  </si>
  <si>
    <t>KS3 : Down on the Farm</t>
  </si>
  <si>
    <t>KS3 : Eco-Adventure in the Lakes</t>
  </si>
  <si>
    <t>A Whole School</t>
  </si>
  <si>
    <t>Primary Teaching and Learning</t>
  </si>
  <si>
    <t>Secondary Teaching and Learning</t>
  </si>
  <si>
    <t>What Does It Mean for Parents?</t>
  </si>
  <si>
    <t>Causal Reasoning : A Model</t>
  </si>
  <si>
    <t>Causal Reasoning : WW1</t>
  </si>
  <si>
    <t>Jamie : Exeter Deaf Academy</t>
  </si>
  <si>
    <t>Lucy</t>
  </si>
  <si>
    <t>Keeping Going</t>
  </si>
  <si>
    <t>Quick Wins</t>
  </si>
  <si>
    <t>Staying Focused</t>
  </si>
  <si>
    <t>Guided Reading : Fiction and Non-fiction</t>
  </si>
  <si>
    <t>Guided Reading : Making it Active</t>
  </si>
  <si>
    <t>Guided Reading : Special Needs</t>
  </si>
  <si>
    <t>Talk to Write 1 : A Storytelling School</t>
  </si>
  <si>
    <t>Talk to Write 2 : Hear, Map, Step, Speak</t>
  </si>
  <si>
    <t>Talk to Write 3 : Developing a Story Together</t>
  </si>
  <si>
    <t>Anthony Browne</t>
  </si>
  <si>
    <t>Michael Morpurgo</t>
  </si>
  <si>
    <t>Dorothy Stringer Secondary : Making the Most of Outdoors</t>
  </si>
  <si>
    <t>Ringmer Community College : Saving the Planet and the Purse</t>
  </si>
  <si>
    <t>St Edmund Campion Primary : Green throughout the year</t>
  </si>
  <si>
    <t>St John’s Catholic Primary : Green in the City</t>
  </si>
  <si>
    <t>Chemistry : Conservation of Mass</t>
  </si>
  <si>
    <t>Chemistry : Indicators</t>
  </si>
  <si>
    <t>Chemistry : Thermit Reaction</t>
  </si>
  <si>
    <t>Chessboard Algebra</t>
  </si>
  <si>
    <t>Combating Cyberbullying</t>
  </si>
  <si>
    <t>Dance : Four Body Shapes</t>
  </si>
  <si>
    <t>Fraction Wall</t>
  </si>
  <si>
    <t>GCSE English : Building Confidence in Extended Writing</t>
  </si>
  <si>
    <t>GCSE English : 'My Last Duchess'</t>
  </si>
  <si>
    <t>GCSE English : Poetry Visualisation</t>
  </si>
  <si>
    <t>GCSE Geography : Population, Employment and Ecosystems</t>
  </si>
  <si>
    <t>GCSE History : Apartheid and Nazi Germany</t>
  </si>
  <si>
    <t>GCSE Maths : Algebra Carousel</t>
  </si>
  <si>
    <t>GCSE Maths : Team Challenge</t>
  </si>
  <si>
    <t>GCSE Maths : The Jet Setters Project</t>
  </si>
  <si>
    <t>History : Theatre Boxes</t>
  </si>
  <si>
    <t>KS1 Art : Indian Block Printing</t>
  </si>
  <si>
    <t>KS1 Art : Peacock Masks</t>
  </si>
  <si>
    <t>KS1 Art : Pop-up Puppets</t>
  </si>
  <si>
    <t>KS2 MFL : A Nationality Song</t>
  </si>
  <si>
    <t>KS2 MFL : Birthday Presents</t>
  </si>
  <si>
    <t>KS2 MFL : Football Fun</t>
  </si>
  <si>
    <t>KS2 MFL : Making a Cake</t>
  </si>
  <si>
    <t>KS2 MFL : Reading and Writing Games</t>
  </si>
  <si>
    <t>KS2 MFL : Role-Play Games</t>
  </si>
  <si>
    <t>KS2 MFL : Story Activities</t>
  </si>
  <si>
    <t>KS2 MFL : Story Writing</t>
  </si>
  <si>
    <t>KS2 MFL : Weather Vocabulary</t>
  </si>
  <si>
    <t>KS3 English and Black History : Creating a 'Windrush Day' Campaign</t>
  </si>
  <si>
    <t>KS3 English and Black History : Reading 'Roll of Thunder'</t>
  </si>
  <si>
    <t>KS3 English and Black History : Role-Playing 'Roll of Thunder'</t>
  </si>
  <si>
    <t>KS3 Speaking and Listening</t>
  </si>
  <si>
    <t>Learning Outside the Classroom : Primary Environment</t>
  </si>
  <si>
    <t>Learning Outside the Classroom : Primary History</t>
  </si>
  <si>
    <t>Learning Outside the Classroom : Secondary History and Art</t>
  </si>
  <si>
    <t>Learning Outside the Classroom : Secondary Science</t>
  </si>
  <si>
    <t>Modelling Light</t>
  </si>
  <si>
    <t>Physics : Kung Fu Physics</t>
  </si>
  <si>
    <t>Physics : Radiation Officer</t>
  </si>
  <si>
    <t>Physics : The Cartesian Diver</t>
  </si>
  <si>
    <t>Primary Art : Abstract Art : My Journey</t>
  </si>
  <si>
    <t>Primary Art : Through the Hedge</t>
  </si>
  <si>
    <t>Primary Arts : Scrap Art</t>
  </si>
  <si>
    <t>Primary Creative Curriculum : Human Body, Reading and Tessellation</t>
  </si>
  <si>
    <t>Primary Creative Curriculum : Science, Data Logging and Poetry</t>
  </si>
  <si>
    <t>Primary Cross Curriculum : Making Bags</t>
  </si>
  <si>
    <t>Primary Cross Curriculum : World War II</t>
  </si>
  <si>
    <t>Primary English : Reading Community</t>
  </si>
  <si>
    <t>Primary English : Speaking and Listening Activities</t>
  </si>
  <si>
    <t>Primary English : Writing Activities</t>
  </si>
  <si>
    <t>Primary French</t>
  </si>
  <si>
    <t>Primary Geography : On Location</t>
  </si>
  <si>
    <t>Primary Geography : Overseas Localities</t>
  </si>
  <si>
    <t>Primary History : Artefacts</t>
  </si>
  <si>
    <t>Primary History : Enquiry Skills</t>
  </si>
  <si>
    <t>Primary History : Vicious Vikings</t>
  </si>
  <si>
    <t>Primary Maths : Calculation</t>
  </si>
  <si>
    <t>Primary Maths : Data Handling</t>
  </si>
  <si>
    <t>Primary Maths : Measures</t>
  </si>
  <si>
    <t>Primary Maths : Numbers</t>
  </si>
  <si>
    <t>Primary Maths : Shape and Space</t>
  </si>
  <si>
    <t>Primary Music : Create a Rondo</t>
  </si>
  <si>
    <t>Primary Music : Sing a Song</t>
  </si>
  <si>
    <t>Primary Music : Three Notes</t>
  </si>
  <si>
    <t>Primary Music : Tudor Fanfare</t>
  </si>
  <si>
    <t>Primary PE</t>
  </si>
  <si>
    <t>Primary Science : Electricity Activities</t>
  </si>
  <si>
    <t>Primary Science : Forces and Motion Activities</t>
  </si>
  <si>
    <t>Primary Science : Light and Sound Activities</t>
  </si>
  <si>
    <t>Primary Science : Materials Activities</t>
  </si>
  <si>
    <t>Problem-Solving Language</t>
  </si>
  <si>
    <t>Secondary English : Innovative Approaches to Poetry</t>
  </si>
  <si>
    <t>Secondary English : Inspirational Speeches</t>
  </si>
  <si>
    <t>Secondary English : Team-Teaching Shakespeare</t>
  </si>
  <si>
    <t>Secondary Learning Outside the Classroom : From Farm to Fork</t>
  </si>
  <si>
    <t>Secondary Maths : Accuracy of Measurements</t>
  </si>
  <si>
    <t>Secondary Maths : Collaborative Memory</t>
  </si>
  <si>
    <t>Secondary Maths : Fibonacci Numbers</t>
  </si>
  <si>
    <t>Secondary Maths : How Many Peas Fill the Classroom?</t>
  </si>
  <si>
    <t>Secondary Maths : Straight-Line Graphs</t>
  </si>
  <si>
    <t>The Apprentice Electrician</t>
  </si>
  <si>
    <t>The Weather : Hurricane Katrina</t>
  </si>
  <si>
    <t>The Weather : Severe Christmas Conditions</t>
  </si>
  <si>
    <t>The Weather : Sounds, Pictures, Blogs and Poetry</t>
  </si>
  <si>
    <t>Baroness Greenfield</t>
  </si>
  <si>
    <t>Benjamin Zander</t>
  </si>
  <si>
    <t>Paul Kearney</t>
  </si>
  <si>
    <t>Sir Ken Robinson</t>
  </si>
  <si>
    <t>Tony Buzan</t>
  </si>
  <si>
    <t>Bad News</t>
  </si>
  <si>
    <t>Promoting Your School</t>
  </si>
  <si>
    <t>Recruitment</t>
  </si>
  <si>
    <t>At KS2</t>
  </si>
  <si>
    <t>At KS3</t>
  </si>
  <si>
    <t>A Virtual Field Trip With Year 8</t>
  </si>
  <si>
    <t>An Introduction to GIS Applications</t>
  </si>
  <si>
    <t>Developing Self Assessment Skills With Year 9</t>
  </si>
  <si>
    <t>Secondary English</t>
  </si>
  <si>
    <t>Secondary English Using ICT</t>
  </si>
  <si>
    <t>Secondary Geography</t>
  </si>
  <si>
    <t>Secondary Geography Using ICT</t>
  </si>
  <si>
    <t>Secondary History</t>
  </si>
  <si>
    <t>Secondary Maths</t>
  </si>
  <si>
    <t>Secondary Maths Using ICT</t>
  </si>
  <si>
    <t>Secondary Modern Foreign Languages Using ICT</t>
  </si>
  <si>
    <t>Secondary Music</t>
  </si>
  <si>
    <t>Secondary Science Using ICT</t>
  </si>
  <si>
    <t>Secondary Science Using ICT : Investigating Acceleration With Year 9 Using Light Gates</t>
  </si>
  <si>
    <t>Secondary Science Using ICT : Investigating Combustion With Year 7 Using Gas Sensors</t>
  </si>
  <si>
    <t>Secondary Science Using ICT : Investigating pH With Year 11 Using a pH Probe</t>
  </si>
  <si>
    <t>Using Data-Loggers With Year 10</t>
  </si>
  <si>
    <t>Using the Internet With Year 10</t>
  </si>
  <si>
    <t>Using Web-Based Software to Support Speaking Skills</t>
  </si>
  <si>
    <t>Distributing Leadership</t>
  </si>
  <si>
    <t>External Communications</t>
  </si>
  <si>
    <t>Leading Change</t>
  </si>
  <si>
    <t>Recruitment and Retention</t>
  </si>
  <si>
    <t>Am I Stressed?</t>
  </si>
  <si>
    <t>The Staff</t>
  </si>
  <si>
    <t>The Students</t>
  </si>
  <si>
    <t>Waiting for Ofsted</t>
  </si>
  <si>
    <t>Alderman Knight School</t>
  </si>
  <si>
    <t>John Hanson Community School</t>
  </si>
  <si>
    <t>Skerton Community High School</t>
  </si>
  <si>
    <t>St Francis Xavier Primary School</t>
  </si>
  <si>
    <t>Going to Town</t>
  </si>
  <si>
    <t>Great Expectations</t>
  </si>
  <si>
    <t>Homework High</t>
  </si>
  <si>
    <t>Sound Advice</t>
  </si>
  <si>
    <t>Summer Surfing</t>
  </si>
  <si>
    <t>Wheel of Fortune</t>
  </si>
  <si>
    <t>Class Management</t>
  </si>
  <si>
    <t>Episode 13</t>
  </si>
  <si>
    <t>Episode 14</t>
  </si>
  <si>
    <t>Episode 15</t>
  </si>
  <si>
    <t>Episode 16</t>
  </si>
  <si>
    <t>Episode 17</t>
  </si>
  <si>
    <t>Episode 18</t>
  </si>
  <si>
    <t>Good Readers, Bad Readers</t>
  </si>
  <si>
    <t>Keeping the Attention of the Class</t>
  </si>
  <si>
    <t>Questions</t>
  </si>
  <si>
    <t>Tackling Bullying</t>
  </si>
  <si>
    <t>Thinking Faster</t>
  </si>
  <si>
    <t>Why Don't Boys Do Well in English?</t>
  </si>
  <si>
    <t>Why Don't Girls Do Physics?</t>
  </si>
  <si>
    <t>Caring for Mum</t>
  </si>
  <si>
    <t>Seeking Asylum</t>
  </si>
  <si>
    <t>Traveller Girl</t>
  </si>
  <si>
    <t>Art Assessment</t>
  </si>
  <si>
    <t>Behaviour Management Ideas</t>
  </si>
  <si>
    <t>Copies Experiment Demonstrations</t>
  </si>
  <si>
    <t>Group Mentoring for Trainees</t>
  </si>
  <si>
    <t>Ideas for Lesson Observation</t>
  </si>
  <si>
    <t>Mobile Access to Resources</t>
  </si>
  <si>
    <t>Spreads Ideas</t>
  </si>
  <si>
    <t>Staff Training After OFSTED Inspection</t>
  </si>
  <si>
    <t>Support for His New Role</t>
  </si>
  <si>
    <t>Watches on Exercise Bike</t>
  </si>
  <si>
    <t>Watches When Can't Sleep</t>
  </si>
  <si>
    <t>Asthma on the Run</t>
  </si>
  <si>
    <t>Asthma on the Run : Lung Structure and Gas Exchange</t>
  </si>
  <si>
    <t>Asthma on the Run : Mucus</t>
  </si>
  <si>
    <t>Asthma on the Run : Mucus Production</t>
  </si>
  <si>
    <t>Asthma on the Run : The Effect of Asthma on the Airways</t>
  </si>
  <si>
    <t>Bad Vibes</t>
  </si>
  <si>
    <t>Chasing the Wind</t>
  </si>
  <si>
    <t>Engineering Gold : In the Classroom</t>
  </si>
  <si>
    <t>Journey to Etna</t>
  </si>
  <si>
    <t>Journey to Etna : Civil Protection</t>
  </si>
  <si>
    <t>Journey to Etna : Lava Flow and Gas Emissions</t>
  </si>
  <si>
    <t>Music’s Energy Footprint : Energy Footprint of T-shirts</t>
  </si>
  <si>
    <t>Music’s Energy Footprint : Managing Your Carbon Emissions</t>
  </si>
  <si>
    <t>Music's Energy Footprint</t>
  </si>
  <si>
    <t>Using Asthma on the Run</t>
  </si>
  <si>
    <t>Programme 1</t>
  </si>
  <si>
    <t>Programme 2</t>
  </si>
  <si>
    <t>Programme 3</t>
  </si>
  <si>
    <t>Programme 4</t>
  </si>
  <si>
    <t>Programme 5</t>
  </si>
  <si>
    <t>Jude Mentors Christobel</t>
  </si>
  <si>
    <t>Margaret Mentors Emma</t>
  </si>
  <si>
    <t>For Induction</t>
  </si>
  <si>
    <t>Key Intermediaries</t>
  </si>
  <si>
    <t>Key Stakeholders</t>
  </si>
  <si>
    <t>Balancing Rights</t>
  </si>
  <si>
    <t>Making Rights Relevant</t>
  </si>
  <si>
    <t>Parliament and the Law</t>
  </si>
  <si>
    <t>A Sense of Hope</t>
  </si>
  <si>
    <t>Big vs Small</t>
  </si>
  <si>
    <t>Small by Design</t>
  </si>
  <si>
    <t>Small School in the Big Apple</t>
  </si>
  <si>
    <t>This Is Our School</t>
  </si>
  <si>
    <t>Blogs and Wikis</t>
  </si>
  <si>
    <t>Mobile Learning</t>
  </si>
  <si>
    <t>Virtual Worlds</t>
  </si>
  <si>
    <t>Barry Comprehensive School</t>
  </si>
  <si>
    <t>Y Pant Comprehensive School</t>
  </si>
  <si>
    <t>Maths</t>
  </si>
  <si>
    <t>MFL at the English Martyr School</t>
  </si>
  <si>
    <t>MFL at Wildern School</t>
  </si>
  <si>
    <t>Holidays in Term Time</t>
  </si>
  <si>
    <t>Parentally-Condoned Absence</t>
  </si>
  <si>
    <t>Primary : Extra Mile</t>
  </si>
  <si>
    <t>Secondary : Extra Mile</t>
  </si>
  <si>
    <t>Inner City Success</t>
  </si>
  <si>
    <t>Meeting the Challenge</t>
  </si>
  <si>
    <t>A Creative Approach</t>
  </si>
  <si>
    <t>A Structured Approach</t>
  </si>
  <si>
    <t>One School’s Journey</t>
  </si>
  <si>
    <t>One Teacher’s Journey</t>
  </si>
  <si>
    <t>Planning a Cross-Curricular Lesson</t>
  </si>
  <si>
    <t>Planning a Cross-Curricular Theme</t>
  </si>
  <si>
    <t>Can Background Music Help Learning?</t>
  </si>
  <si>
    <t>CPD : The REAL Deal</t>
  </si>
  <si>
    <t>Digging for History</t>
  </si>
  <si>
    <t>ECM at Work</t>
  </si>
  <si>
    <t>Enquiring Minds</t>
  </si>
  <si>
    <t>Extended School</t>
  </si>
  <si>
    <t>Interlinked Learning at Frogwell Primary School</t>
  </si>
  <si>
    <t>Laptop Library</t>
  </si>
  <si>
    <t>M Teach : A School-Based Masters</t>
  </si>
  <si>
    <t>New Ideas in Primary ICT</t>
  </si>
  <si>
    <t>New Ideas in Secondary ICT</t>
  </si>
  <si>
    <t>Science Labs of the Future</t>
  </si>
  <si>
    <t>Scrapping the Timetable at Hook</t>
  </si>
  <si>
    <t>The International Primary Curriculum</t>
  </si>
  <si>
    <t>Using ICT to Engage Parents</t>
  </si>
  <si>
    <t>The Evaluation</t>
  </si>
  <si>
    <t>The Implementation</t>
  </si>
  <si>
    <t>The Planning</t>
  </si>
  <si>
    <t>Between Departments, Pastoral Leaders, Student Observers</t>
  </si>
  <si>
    <t>Reducing ISV : 5 Key Drivers</t>
  </si>
  <si>
    <t>Reducing ISV : Leadership</t>
  </si>
  <si>
    <t>Reducing ISV : Peer Observation</t>
  </si>
  <si>
    <t>Reducing ISV : Sharing Best Practice</t>
  </si>
  <si>
    <t>Reducing ISV : Student Voice</t>
  </si>
  <si>
    <t>Reducing ISV : Using Data</t>
  </si>
  <si>
    <t>Using Data, Department Collaboration, Student Feedback</t>
  </si>
  <si>
    <t>Areas of Circles and Composite Shapes</t>
  </si>
  <si>
    <t>Distance/Time Graphs</t>
  </si>
  <si>
    <t>Enlargement</t>
  </si>
  <si>
    <t>Ratios and Proportions</t>
  </si>
  <si>
    <t>Straight-Line Graphs</t>
  </si>
  <si>
    <t>Volume of 3-Dimensional Shapes</t>
  </si>
  <si>
    <t>Working With Formulae</t>
  </si>
  <si>
    <t>Build your own Nuclear Reactor</t>
  </si>
  <si>
    <t>Chemistry in Forensics</t>
  </si>
  <si>
    <t>Materials : The Secrets of Spider Silk</t>
  </si>
  <si>
    <t>Micro-Organisms in Space</t>
  </si>
  <si>
    <t>Micro-Organisms Under the Sea</t>
  </si>
  <si>
    <t>The Challenge of Solar Power</t>
  </si>
  <si>
    <t>The Geological Mappers</t>
  </si>
  <si>
    <t>Ofsted : Citizenship</t>
  </si>
  <si>
    <t>Ofsted : Primary Maths</t>
  </si>
  <si>
    <t>Ofsted : Secondary History</t>
  </si>
  <si>
    <t>Primary Whole School Inspections</t>
  </si>
  <si>
    <t>Secondary Whole School Inspections</t>
  </si>
  <si>
    <t>APP for Primary Science : Counting Caterpillars With Deborah Herridge</t>
  </si>
  <si>
    <t>APP for Primary Science : Introducing Deborah Herridge</t>
  </si>
  <si>
    <t>APP for Primary Science : Mummification With Deborah Herridge</t>
  </si>
  <si>
    <t>APP for Primary Science : The Big Stink With Deborah Herridge</t>
  </si>
  <si>
    <t>Coaching : Introducing Annie Boate</t>
  </si>
  <si>
    <t>Coaching : Mini Goals</t>
  </si>
  <si>
    <t>Coaching : Open Questions</t>
  </si>
  <si>
    <t>Coaching : Practical Exercise</t>
  </si>
  <si>
    <t>Early Years : Full Body Weaving With Shonette Bason</t>
  </si>
  <si>
    <t>Early Years : Getting Moving With Shonette Bason</t>
  </si>
  <si>
    <t>Early Years : Introducing Shonette Bason</t>
  </si>
  <si>
    <t>Early Years : Overcoming Obstacles With Shonette Bason</t>
  </si>
  <si>
    <t>Poetry : Introducing Peter Thomas</t>
  </si>
  <si>
    <t>Poetry : Lament for Steam</t>
  </si>
  <si>
    <t>Poetry : Less Is More</t>
  </si>
  <si>
    <t>Poetry : The I Ams</t>
  </si>
  <si>
    <t>Primary Geography : Bringing Egypt to Life With Howard Lisle</t>
  </si>
  <si>
    <t>Primary Geography : Caribbean in a Box With Howard Lisle</t>
  </si>
  <si>
    <t>Primary Geography : Introducing Howard Lisle</t>
  </si>
  <si>
    <t>Primary Geography : Teaching Topicality With Howard Lisle</t>
  </si>
  <si>
    <t>A Lesson From the Best</t>
  </si>
  <si>
    <t>A Love of Languages</t>
  </si>
  <si>
    <t>A Love of Learning</t>
  </si>
  <si>
    <t>A Passion for Physics</t>
  </si>
  <si>
    <t>A Shropshire Christmas</t>
  </si>
  <si>
    <t>A Taste of the Sea</t>
  </si>
  <si>
    <t>A Very Special Circus</t>
  </si>
  <si>
    <t>A West African Story</t>
  </si>
  <si>
    <t>Animal Healers</t>
  </si>
  <si>
    <t>Anyone for Yoga?</t>
  </si>
  <si>
    <t>Babies in School</t>
  </si>
  <si>
    <t>Battersea v Eton</t>
  </si>
  <si>
    <t>Blogosphere</t>
  </si>
  <si>
    <t>Bollywood Christmas</t>
  </si>
  <si>
    <t>Breakthrough in Oldham</t>
  </si>
  <si>
    <t>Bringing Education to the Himalayas</t>
  </si>
  <si>
    <t>Building Sights</t>
  </si>
  <si>
    <t>Can Do Kids</t>
  </si>
  <si>
    <t>Cardboard School Room</t>
  </si>
  <si>
    <t>Carry on Teaching</t>
  </si>
  <si>
    <t>Cheerleading</t>
  </si>
  <si>
    <t>Computer Generated Enterprise</t>
  </si>
  <si>
    <t>Corridors Through Time</t>
  </si>
  <si>
    <t>Dads Matter</t>
  </si>
  <si>
    <t>Designing Your Own Prom Dress</t>
  </si>
  <si>
    <t>Dinner Granny</t>
  </si>
  <si>
    <t>Down on the Farm</t>
  </si>
  <si>
    <t>Drumming Up Success</t>
  </si>
  <si>
    <t>Ed the Con</t>
  </si>
  <si>
    <t>Electric December</t>
  </si>
  <si>
    <t>European Expressionists</t>
  </si>
  <si>
    <t>Everyone A Winner</t>
  </si>
  <si>
    <t>From Cheshire to Soweto</t>
  </si>
  <si>
    <t>Going Global</t>
  </si>
  <si>
    <t>Going Green</t>
  </si>
  <si>
    <t>Golden Gilroy</t>
  </si>
  <si>
    <t>Grangeton Town</t>
  </si>
  <si>
    <t>Hurricane House</t>
  </si>
  <si>
    <t>ICT Fun for Free</t>
  </si>
  <si>
    <t>Inner City Forest</t>
  </si>
  <si>
    <t>Juggling With Success</t>
  </si>
  <si>
    <t>Keep the Aspirations Flying</t>
  </si>
  <si>
    <t>Lead Learners</t>
  </si>
  <si>
    <t>Lessons From the Horse Whisperer</t>
  </si>
  <si>
    <t>Lessons From the Tsunami</t>
  </si>
  <si>
    <t>Let’s Face the Teacher and Dance</t>
  </si>
  <si>
    <t>Lowestoft Energy Challenge</t>
  </si>
  <si>
    <t>Magic Science and Maths</t>
  </si>
  <si>
    <t>Making the News</t>
  </si>
  <si>
    <t>Mind Your Languages</t>
  </si>
  <si>
    <t>Oasis of Peace</t>
  </si>
  <si>
    <t>Off Sick but in School</t>
  </si>
  <si>
    <t>On Yer Bike</t>
  </si>
  <si>
    <t>Orchids</t>
  </si>
  <si>
    <t>Paralympic Hopes</t>
  </si>
  <si>
    <t>Performing Wonders in South Africa</t>
  </si>
  <si>
    <t>Poe-Tree</t>
  </si>
  <si>
    <t>Primary Shakespeare : An Active Approach</t>
  </si>
  <si>
    <t>Project Crunch</t>
  </si>
  <si>
    <t>PSHE Through Performing Arts</t>
  </si>
  <si>
    <t>Pupil Teachers</t>
  </si>
  <si>
    <t>Pupil Voice in Special Schools</t>
  </si>
  <si>
    <t>Pupils as Researchers</t>
  </si>
  <si>
    <t>Quentin Blake : The Power of Illustration</t>
  </si>
  <si>
    <t>Reaching Ricky</t>
  </si>
  <si>
    <t>Refugee Arts</t>
  </si>
  <si>
    <t>Refugee Kids</t>
  </si>
  <si>
    <t>Return of the Mummy</t>
  </si>
  <si>
    <t>Robot Challenge</t>
  </si>
  <si>
    <t>Ruff Behaviour</t>
  </si>
  <si>
    <t>Saintly Site Managers</t>
  </si>
  <si>
    <t>Santé</t>
  </si>
  <si>
    <t>Science Ambassadors</t>
  </si>
  <si>
    <t>Second Chance</t>
  </si>
  <si>
    <t>Something Fishy in the Classroom</t>
  </si>
  <si>
    <t>Sporting Heroes</t>
  </si>
  <si>
    <t>Supporting Young Carers</t>
  </si>
  <si>
    <t>Sustainability : A Lesson From Tanzania</t>
  </si>
  <si>
    <t>Teachers in the Arctic</t>
  </si>
  <si>
    <t>Teachers' Pets</t>
  </si>
  <si>
    <t>The Circus Comes to School</t>
  </si>
  <si>
    <t>The Community School</t>
  </si>
  <si>
    <t>The Peace Makers</t>
  </si>
  <si>
    <t>The Scary Guy</t>
  </si>
  <si>
    <t>The Scary Guy Does Parents</t>
  </si>
  <si>
    <t>The Scary Guy Does Primary</t>
  </si>
  <si>
    <t>The School Is Alive</t>
  </si>
  <si>
    <t>The Teachers' Club</t>
  </si>
  <si>
    <t>Top Bananas</t>
  </si>
  <si>
    <t>Transforming Textiles</t>
  </si>
  <si>
    <t>Urban : Rural Exchange</t>
  </si>
  <si>
    <t>Verbatim : Latin in Primary Schools</t>
  </si>
  <si>
    <t>Where Maths Grows on Trees</t>
  </si>
  <si>
    <t>Woodlands Wonderful Website</t>
  </si>
  <si>
    <t>Part 1</t>
  </si>
  <si>
    <t>Part 2</t>
  </si>
  <si>
    <t>Episode 11</t>
  </si>
  <si>
    <t>Episode 12</t>
  </si>
  <si>
    <t>Episode 19</t>
  </si>
  <si>
    <t>Episode 20</t>
  </si>
  <si>
    <t>Episode 21</t>
  </si>
  <si>
    <t>Episode 22</t>
  </si>
  <si>
    <t>Episode 23</t>
  </si>
  <si>
    <t>Episode 24</t>
  </si>
  <si>
    <t>Episode 26</t>
  </si>
  <si>
    <t>Episode 27</t>
  </si>
  <si>
    <t>Episode 28</t>
  </si>
  <si>
    <t>Episode 29</t>
  </si>
  <si>
    <t>Episode 30</t>
  </si>
  <si>
    <t>Episode 31</t>
  </si>
  <si>
    <t>Episode 32</t>
  </si>
  <si>
    <t>Episode 33</t>
  </si>
  <si>
    <t>Episode 7</t>
  </si>
  <si>
    <t>Episode 8</t>
  </si>
  <si>
    <t>Episode 9</t>
  </si>
  <si>
    <t>Interactive Behaviour Simulation; Episode 10</t>
  </si>
  <si>
    <t>Interactive Behaviour Simulation; Episode 25</t>
  </si>
  <si>
    <t>Episode 10</t>
  </si>
  <si>
    <t>Episode 25</t>
  </si>
  <si>
    <t>A Real Alternative?</t>
  </si>
  <si>
    <t>Making It Work</t>
  </si>
  <si>
    <t>Enhancing the Curriculum</t>
  </si>
  <si>
    <t>School Leadership in the UK</t>
  </si>
  <si>
    <t>Early Intervention in Primary Schools</t>
  </si>
  <si>
    <t>Early Intervention in Secondary Schools</t>
  </si>
  <si>
    <t>An Islamic Primary School</t>
  </si>
  <si>
    <t>My Other School Is a Madrasah</t>
  </si>
  <si>
    <t>A Place to Chill</t>
  </si>
  <si>
    <t>Big Bold Signs</t>
  </si>
  <si>
    <t>Civilised Lunchtime</t>
  </si>
  <si>
    <t>Colour in Our Hall</t>
  </si>
  <si>
    <t>Storing Our Stuff</t>
  </si>
  <si>
    <t>Welcoming Reception Area</t>
  </si>
  <si>
    <t>Academies</t>
  </si>
  <si>
    <t>Choice vs Selection</t>
  </si>
  <si>
    <t>Religion in Schools</t>
  </si>
  <si>
    <t>Sex in the Classroom</t>
  </si>
  <si>
    <t>Testing and Assessment</t>
  </si>
  <si>
    <t>The Poverty Gap</t>
  </si>
  <si>
    <t>Too Much too Young?</t>
  </si>
  <si>
    <t>Was Tomlinson Right?</t>
  </si>
  <si>
    <t>Meles Zenawi</t>
  </si>
  <si>
    <t>Richard Eyre</t>
  </si>
  <si>
    <t>Algebra</t>
  </si>
  <si>
    <t>Averages</t>
  </si>
  <si>
    <t>Averaging Continuous Data</t>
  </si>
  <si>
    <t>Decimals Forever</t>
  </si>
  <si>
    <t>Equations</t>
  </si>
  <si>
    <t>Polygons</t>
  </si>
  <si>
    <t>Probability</t>
  </si>
  <si>
    <t>Eating to Win</t>
  </si>
  <si>
    <t>Eating Whatever You Like?</t>
  </si>
  <si>
    <t>News Report</t>
  </si>
  <si>
    <t>Running Discussions in a KS2 Class</t>
  </si>
  <si>
    <t>Running Discussions in a KS3/4 Class</t>
  </si>
  <si>
    <t>Snack Bar</t>
  </si>
  <si>
    <t>Teaching the KS2 News Report Lesson</t>
  </si>
  <si>
    <t>Teaching the KS2 Role Play Lesson</t>
  </si>
  <si>
    <t>Teaching the KS2 Snack Bar Lesson</t>
  </si>
  <si>
    <t>Teaching the KS3/4 News Report Lesson</t>
  </si>
  <si>
    <t>Teaching the KS3/4 Role Play Lesson</t>
  </si>
  <si>
    <t>Teaching the KS3/4 Snack Bar Lesson</t>
  </si>
  <si>
    <t>What's in Your Food?</t>
  </si>
  <si>
    <t>An Injury in the Playground</t>
  </si>
  <si>
    <t>Being Chair</t>
  </si>
  <si>
    <t>Building Schools for the Future</t>
  </si>
  <si>
    <t>Child Protection</t>
  </si>
  <si>
    <t>Diplomas for Governors</t>
  </si>
  <si>
    <t>Discipline</t>
  </si>
  <si>
    <t>Exclusion and Drugs</t>
  </si>
  <si>
    <t>Extended Services</t>
  </si>
  <si>
    <t>Governor Training</t>
  </si>
  <si>
    <t>Heads and Governors</t>
  </si>
  <si>
    <t>Home Alone</t>
  </si>
  <si>
    <t>How Federations Work</t>
  </si>
  <si>
    <t>Ideas from the Box : Enjoying and Achieving</t>
  </si>
  <si>
    <t>Ideas from the Box : Every Child Matters</t>
  </si>
  <si>
    <t>Ideas from the Box : Inclusion and Vocational Education</t>
  </si>
  <si>
    <t>Ideas from the Box : Restorative Justice and Self-Evaluation</t>
  </si>
  <si>
    <t>Ideas from the Box : School Improvement and Targets</t>
  </si>
  <si>
    <t>Ideas from the Box : School Improvement and Well-Being</t>
  </si>
  <si>
    <t>Improving a Failing School</t>
  </si>
  <si>
    <t>Looked After Children</t>
  </si>
  <si>
    <t>Making Meetings Fun</t>
  </si>
  <si>
    <t>Making Pupil Data Real</t>
  </si>
  <si>
    <t>Meeting Top Tips</t>
  </si>
  <si>
    <t>Mentoring the Chair</t>
  </si>
  <si>
    <t>New Admissions Code</t>
  </si>
  <si>
    <t>Opting for Health</t>
  </si>
  <si>
    <t>Performance Management of a Headteacher</t>
  </si>
  <si>
    <t>Problems With Personnel</t>
  </si>
  <si>
    <t>Pupils for a Day</t>
  </si>
  <si>
    <t>Quizzing the Data</t>
  </si>
  <si>
    <t>Race and Religion</t>
  </si>
  <si>
    <t>Recruiting a New Head</t>
  </si>
  <si>
    <t>Retention</t>
  </si>
  <si>
    <t>Road Safety</t>
  </si>
  <si>
    <t>Safeguarding Children : Your Responsibilities</t>
  </si>
  <si>
    <t>School Affair</t>
  </si>
  <si>
    <t>School Improvement</t>
  </si>
  <si>
    <t>SENCOs</t>
  </si>
  <si>
    <t>Setting Targets</t>
  </si>
  <si>
    <t>Special Needs</t>
  </si>
  <si>
    <t>Specialist Status</t>
  </si>
  <si>
    <t>Succession Planning</t>
  </si>
  <si>
    <t>The Work Less Challenge</t>
  </si>
  <si>
    <t>Trust Schools</t>
  </si>
  <si>
    <t>Know Your Responsibilities</t>
  </si>
  <si>
    <t>Know your Role</t>
  </si>
  <si>
    <t>Know Your School</t>
  </si>
  <si>
    <t>Cracking the Code</t>
  </si>
  <si>
    <t>Making Meaning</t>
  </si>
  <si>
    <t>Laying the Foundations 1</t>
  </si>
  <si>
    <t>Laying the Foundations 2</t>
  </si>
  <si>
    <t>Phonics Without Tears</t>
  </si>
  <si>
    <t>Reading Film at KS1 : Dangle</t>
  </si>
  <si>
    <t>Reading Film at KS1 : The Lesson</t>
  </si>
  <si>
    <t>Reading, Writing and Role-Play</t>
  </si>
  <si>
    <t>Teaching Place Value</t>
  </si>
  <si>
    <t>Understanding Place Value</t>
  </si>
  <si>
    <t>Exploring Parables : The Good Samaritan</t>
  </si>
  <si>
    <t>Exploring Parables : Two Religious Tales</t>
  </si>
  <si>
    <t>Light : Lesson Review</t>
  </si>
  <si>
    <t>Pushing and Pulling</t>
  </si>
  <si>
    <t>Ready to Learn</t>
  </si>
  <si>
    <t>Science Stories</t>
  </si>
  <si>
    <t>2D Animation</t>
  </si>
  <si>
    <t>3D Animation</t>
  </si>
  <si>
    <t>Carnival of the Birds</t>
  </si>
  <si>
    <t>Drawing Self Portraits</t>
  </si>
  <si>
    <t>Great Paintings</t>
  </si>
  <si>
    <t>Investigating Materials</t>
  </si>
  <si>
    <t>Messy Art at KS1</t>
  </si>
  <si>
    <t>Messy Art at KS2</t>
  </si>
  <si>
    <t>Think Like an Artist!</t>
  </si>
  <si>
    <t>Whole-School Portrait Project</t>
  </si>
  <si>
    <t>News Hounds</t>
  </si>
  <si>
    <t>Parish People</t>
  </si>
  <si>
    <t>Pupil Power</t>
  </si>
  <si>
    <t>Soho Parish School : Diversity</t>
  </si>
  <si>
    <t>Using News</t>
  </si>
  <si>
    <t>Fundamentals of Design : Moving Pictures</t>
  </si>
  <si>
    <t>Fundamentals of Design : Virtual Pets</t>
  </si>
  <si>
    <t>A Good Read : Man on the Moon</t>
  </si>
  <si>
    <t>A Good Read : Varjak Paw</t>
  </si>
  <si>
    <t>Drama in the Classroom</t>
  </si>
  <si>
    <t>Experiments With Language</t>
  </si>
  <si>
    <t>Learning With Charlie</t>
  </si>
  <si>
    <t>Literacy and Enjoyment 1</t>
  </si>
  <si>
    <t>Literacy and Enjoyment 2</t>
  </si>
  <si>
    <t>Reading Film : The Lesson</t>
  </si>
  <si>
    <t>Reading Film : The Monk and the Fish</t>
  </si>
  <si>
    <t>Reading Recovery : A Whole School Approach</t>
  </si>
  <si>
    <t>Reading Recovery : One-to-One</t>
  </si>
  <si>
    <t>Reading Recovery in Schools</t>
  </si>
  <si>
    <t>Synthetic Phonics : Brooklands School</t>
  </si>
  <si>
    <t>Synthetic Phonics : Marner School</t>
  </si>
  <si>
    <t>Teaching the Dyslexic Child</t>
  </si>
  <si>
    <t>The Multilingual Classroom</t>
  </si>
  <si>
    <t>The Multilingual School</t>
  </si>
  <si>
    <t>Training Teachers for Reading Recovery</t>
  </si>
  <si>
    <t>Geography Basics : Where Do I Start?</t>
  </si>
  <si>
    <t>Investigating the Local Environment</t>
  </si>
  <si>
    <t>Journey Sticks</t>
  </si>
  <si>
    <t>Seven Severn Snapshots</t>
  </si>
  <si>
    <t>Tales From the River Bank</t>
  </si>
  <si>
    <t>Florence Nightingale Through Drama</t>
  </si>
  <si>
    <t>Interpreting Wolfgang's Story</t>
  </si>
  <si>
    <t>KS2 History : Episode 1</t>
  </si>
  <si>
    <t>Time and Place</t>
  </si>
  <si>
    <t>What's in It for You?</t>
  </si>
  <si>
    <t>Wolfgang's Story</t>
  </si>
  <si>
    <t>Goodbye SATs, Hello Assessment 1</t>
  </si>
  <si>
    <t>Goodbye SATs, Hello Assessment 2</t>
  </si>
  <si>
    <t>Just Division</t>
  </si>
  <si>
    <t>Learning Maths With Kyane</t>
  </si>
  <si>
    <t>Making Maths Real</t>
  </si>
  <si>
    <t>Maths for the Terrified : Involving Parents</t>
  </si>
  <si>
    <t>Problem Solving 1</t>
  </si>
  <si>
    <t>Problem Solving 2</t>
  </si>
  <si>
    <t>The Decimal Place 1</t>
  </si>
  <si>
    <t>The Decimal Place 2</t>
  </si>
  <si>
    <t>Understanding Division</t>
  </si>
  <si>
    <t>Absolute Beginner</t>
  </si>
  <si>
    <t>Sharing Skills : Primary With Primary</t>
  </si>
  <si>
    <t>Sharing Skills : Secondary With Primary</t>
  </si>
  <si>
    <t>The Scottish Experience : Teaching</t>
  </si>
  <si>
    <t>The Scottish Experience : Training</t>
  </si>
  <si>
    <t>Integrating Spanish : Reception to Year 3</t>
  </si>
  <si>
    <t>Strategies and Pay-offs : Spanish to Year 6</t>
  </si>
  <si>
    <t>Delivering Wider Opportunities</t>
  </si>
  <si>
    <t>Developing Composition</t>
  </si>
  <si>
    <t>Exploring Sounds</t>
  </si>
  <si>
    <t>Managing Music at KS1</t>
  </si>
  <si>
    <t>Managing Music at KS2</t>
  </si>
  <si>
    <t>Singing for Teachers : An INSET Workshop</t>
  </si>
  <si>
    <t>Singing for Teachers : Strategies in the Classroom</t>
  </si>
  <si>
    <t>Wider Opportunities in the Classroom</t>
  </si>
  <si>
    <t>Pupil Led Sport</t>
  </si>
  <si>
    <t>Swimming</t>
  </si>
  <si>
    <t>Yoga Across the Curriculum</t>
  </si>
  <si>
    <t>Cross-Phase Collaboration</t>
  </si>
  <si>
    <t>Cross-School Co-ordination</t>
  </si>
  <si>
    <t>Beat Bullying</t>
  </si>
  <si>
    <t>Drugs Education</t>
  </si>
  <si>
    <t>Emotions in Motion</t>
  </si>
  <si>
    <t>Food and Fitness 1</t>
  </si>
  <si>
    <t>Food and Fitness 2</t>
  </si>
  <si>
    <t>SEAL</t>
  </si>
  <si>
    <t>Self-Esteem</t>
  </si>
  <si>
    <t>Talking About Bullying</t>
  </si>
  <si>
    <t>Big Ideas for Small People</t>
  </si>
  <si>
    <t>Big Ideas for Small People : Lesson Analysis</t>
  </si>
  <si>
    <t>Experiential Approaches to Hinduism</t>
  </si>
  <si>
    <t>Storytelling Workshop</t>
  </si>
  <si>
    <t>Using Stories the Jewish Way</t>
  </si>
  <si>
    <t>As Easy As CPD 1</t>
  </si>
  <si>
    <t>As Easy As CPD 2</t>
  </si>
  <si>
    <t>Dancing in Science</t>
  </si>
  <si>
    <t>Dancing in Science : Lesson Review</t>
  </si>
  <si>
    <t>Earth in Space 1</t>
  </si>
  <si>
    <t>Earth in Space 2</t>
  </si>
  <si>
    <t>Investigating Sound</t>
  </si>
  <si>
    <t>KS1 : Learning With Scarlet</t>
  </si>
  <si>
    <t>KS1 : Learning With Scarlet : Lesson Review</t>
  </si>
  <si>
    <t>KS2 : Learning With Nicole</t>
  </si>
  <si>
    <t>KS2 : Learning With Nicole : Lesson Review</t>
  </si>
  <si>
    <t>Learning Science With Kyane</t>
  </si>
  <si>
    <t>Practically Science</t>
  </si>
  <si>
    <t>Africa Rocks</t>
  </si>
  <si>
    <t>All Right on the Night : Part 1</t>
  </si>
  <si>
    <t>All Right on the Night : Part 2</t>
  </si>
  <si>
    <t>Improving Dance in Your School</t>
  </si>
  <si>
    <t>What Is High Quality Dance?</t>
  </si>
  <si>
    <t>A Workshop with Cecily O’Neill</t>
  </si>
  <si>
    <t>More than a Theatre Trip</t>
  </si>
  <si>
    <t>Teaching Drama : A Structured Approach</t>
  </si>
  <si>
    <t>Teaching Drama : Focus, Freeze and Think</t>
  </si>
  <si>
    <t>A Taste for Bridges</t>
  </si>
  <si>
    <t>Brunel's Big Achievements</t>
  </si>
  <si>
    <t>City Curriculum</t>
  </si>
  <si>
    <t>Implementing the City Curriculum</t>
  </si>
  <si>
    <t>Invaders and Settlers 1</t>
  </si>
  <si>
    <t>Invaders and Settlers 2</t>
  </si>
  <si>
    <t>Weather Across the Curriculum 1</t>
  </si>
  <si>
    <t>Weather Across the Curriculum 2</t>
  </si>
  <si>
    <t>Chronology Workshop</t>
  </si>
  <si>
    <t>Exploring Tudor Values</t>
  </si>
  <si>
    <t>Exploring Tudor Values : Analysis</t>
  </si>
  <si>
    <t>Hidden House History</t>
  </si>
  <si>
    <t>Investigating Artefacts</t>
  </si>
  <si>
    <t>Local History : Lesson Review</t>
  </si>
  <si>
    <t>Local History : Testaments of Experience</t>
  </si>
  <si>
    <t>Lost in Transition</t>
  </si>
  <si>
    <t>Sources : History and Hollywood</t>
  </si>
  <si>
    <t>Teaching Chronology</t>
  </si>
  <si>
    <t>The Tudors Using ICT 1</t>
  </si>
  <si>
    <t>The Tudors Using ICT 2</t>
  </si>
  <si>
    <t>Writing About Artefacts</t>
  </si>
  <si>
    <t>Boys' Writing 1</t>
  </si>
  <si>
    <t>Boys' Writing 2</t>
  </si>
  <si>
    <t>The Grammar Dance</t>
  </si>
  <si>
    <t>Darts</t>
  </si>
  <si>
    <t>Geometry</t>
  </si>
  <si>
    <t>Geometry : Lesson Review</t>
  </si>
  <si>
    <t>Knitting</t>
  </si>
  <si>
    <t>The Shape Show</t>
  </si>
  <si>
    <t>Activity-Based Learning</t>
  </si>
  <si>
    <t>Introducing MFL Into Schools</t>
  </si>
  <si>
    <t>Just a Fraction</t>
  </si>
  <si>
    <t>Maths Stories</t>
  </si>
  <si>
    <t>Understanding Fractions</t>
  </si>
  <si>
    <t>Dance Basics</t>
  </si>
  <si>
    <t>Gym Basics</t>
  </si>
  <si>
    <t>The Afternoon : Staying Awake</t>
  </si>
  <si>
    <t>The Morning : Waking Up</t>
  </si>
  <si>
    <t>Catriona's Big Day Out</t>
  </si>
  <si>
    <t>Paying Your Own Way</t>
  </si>
  <si>
    <t>Personal Finance Education : The Money Quiz</t>
  </si>
  <si>
    <t>Personal Finance Education : The School Disco</t>
  </si>
  <si>
    <t>Personal Stories</t>
  </si>
  <si>
    <t>Birth, Marriage and Death</t>
  </si>
  <si>
    <t>Christianity 1</t>
  </si>
  <si>
    <t>Christianity 2</t>
  </si>
  <si>
    <t>Teacher's Guide to Islam</t>
  </si>
  <si>
    <t>Teaching About Islam</t>
  </si>
  <si>
    <t>Electricity : Circuits</t>
  </si>
  <si>
    <t>Electricity : Lesson Review</t>
  </si>
  <si>
    <t>Engaging Girls With Practical Science</t>
  </si>
  <si>
    <t>Following In Darwin's Footsteps</t>
  </si>
  <si>
    <t>Forces : Lesson Review</t>
  </si>
  <si>
    <t>Forces : Mass, Weight and Gravity</t>
  </si>
  <si>
    <t>Materials : Lesson and Review</t>
  </si>
  <si>
    <t>Materials : Visiting a Watermill</t>
  </si>
  <si>
    <t>Using Science Lesson Starters</t>
  </si>
  <si>
    <t>Wowing the Parents With Practical Science</t>
  </si>
  <si>
    <t>Rules and Responsibilities</t>
  </si>
  <si>
    <t>Symbols and Symbolism</t>
  </si>
  <si>
    <t>Geography Teachers in the Freezer</t>
  </si>
  <si>
    <t>Science Teachers in the Freezer</t>
  </si>
  <si>
    <t>Designing APP Assessment for English</t>
  </si>
  <si>
    <t>Designing APP Assessment for Maths</t>
  </si>
  <si>
    <t>Artist Teachers</t>
  </si>
  <si>
    <t>Contemporary Art</t>
  </si>
  <si>
    <t>Child Labour</t>
  </si>
  <si>
    <t>Fair Trade</t>
  </si>
  <si>
    <t>Fair Trade : Fair Play Football</t>
  </si>
  <si>
    <t>Global Issues</t>
  </si>
  <si>
    <t>India : Child Labour : Anil's Story</t>
  </si>
  <si>
    <t>India : Child Labour : Child Campaigners</t>
  </si>
  <si>
    <t>Walking for Water</t>
  </si>
  <si>
    <t>Water</t>
  </si>
  <si>
    <t>Bath Bombs and Rockets</t>
  </si>
  <si>
    <t>Fashion</t>
  </si>
  <si>
    <t>Science Gets Fruity</t>
  </si>
  <si>
    <t>Space and Rocket Week</t>
  </si>
  <si>
    <t>Improving Design Subskills</t>
  </si>
  <si>
    <t>The New Curriculum</t>
  </si>
  <si>
    <t>A Fresh Start</t>
  </si>
  <si>
    <t>APP Reading</t>
  </si>
  <si>
    <t>APP Writing</t>
  </si>
  <si>
    <t>Classroom Creativity</t>
  </si>
  <si>
    <t>Language and Grammar : Building Complex Sentences</t>
  </si>
  <si>
    <t>Language and Grammar : Formal and Informal Texts</t>
  </si>
  <si>
    <t>Macbeth in the Classroom 1</t>
  </si>
  <si>
    <t>Macbeth in the Classroom 2</t>
  </si>
  <si>
    <t>Much Ado at Brays Grove</t>
  </si>
  <si>
    <t>Much Ado in the Classroom</t>
  </si>
  <si>
    <t>Richard III : RSC Approaches</t>
  </si>
  <si>
    <t>Richard III at Denbigh High</t>
  </si>
  <si>
    <t>The Tempest : Drama Strategies</t>
  </si>
  <si>
    <t>The Tempest at Bolsover School</t>
  </si>
  <si>
    <t>Chef Challenge : Belvue Garden Curry</t>
  </si>
  <si>
    <t>Chef Challenge : St Peter's Summer Roast</t>
  </si>
  <si>
    <t>KS3 Geography</t>
  </si>
  <si>
    <t>Making Geography Popular</t>
  </si>
  <si>
    <t>Migrant Stories</t>
  </si>
  <si>
    <t>Thinking Skills 1</t>
  </si>
  <si>
    <t>Thinking Skills 2</t>
  </si>
  <si>
    <t>Critical Analysis</t>
  </si>
  <si>
    <t>Interpretation in Action</t>
  </si>
  <si>
    <t>McCarthy Trials</t>
  </si>
  <si>
    <t>The History Class 1 : Planning for Progression</t>
  </si>
  <si>
    <t>The History Class 2 : Questions for Enquiry</t>
  </si>
  <si>
    <t>The History Class 3 : Gifted and Talented</t>
  </si>
  <si>
    <t>The History Class 4 : Assessment</t>
  </si>
  <si>
    <t>The Jazz Age</t>
  </si>
  <si>
    <t>Walter Tull : Race, Football and Black Britain 1909</t>
  </si>
  <si>
    <t>Walter Tull : the Pupils' Perspective</t>
  </si>
  <si>
    <t>The History Class 2 : Questions of Enquiry</t>
  </si>
  <si>
    <t>Introducing Pi</t>
  </si>
  <si>
    <t>Investigating Pi</t>
  </si>
  <si>
    <t>Making Statistics Matter</t>
  </si>
  <si>
    <t>Mean, Median and Mode</t>
  </si>
  <si>
    <t>Engaging the Class 1</t>
  </si>
  <si>
    <t>Engaging the Class 2</t>
  </si>
  <si>
    <t>Fast Tracking</t>
  </si>
  <si>
    <t>ICT and MFL</t>
  </si>
  <si>
    <t>Thinking Skills</t>
  </si>
  <si>
    <t>Why Learn a Language?</t>
  </si>
  <si>
    <t>A Community Curriculum</t>
  </si>
  <si>
    <t>Hinchley Wood School</t>
  </si>
  <si>
    <t>Managing the Change</t>
  </si>
  <si>
    <t>Skills Based Learning</t>
  </si>
  <si>
    <t>St John’s School &amp; Community College</t>
  </si>
  <si>
    <t>Waingels College</t>
  </si>
  <si>
    <t>Whitley Abbey Business &amp; Enterprise College</t>
  </si>
  <si>
    <t>24-Hour Pupil Food Diaries</t>
  </si>
  <si>
    <t>7-Day Pupil Food Diaries</t>
  </si>
  <si>
    <t>In and Out of Trouble</t>
  </si>
  <si>
    <t>Hindu Spiritual Pathways</t>
  </si>
  <si>
    <t>Hinduism and Spirituality : A Lesson</t>
  </si>
  <si>
    <t>Sacrifice and Islam</t>
  </si>
  <si>
    <t>Sacrifice and Sikhism</t>
  </si>
  <si>
    <t>Experimenting With Comics</t>
  </si>
  <si>
    <t>Seven Great Ideas</t>
  </si>
  <si>
    <t>A Survey of Practice</t>
  </si>
  <si>
    <t>Interviews and Recruitment</t>
  </si>
  <si>
    <t>Managing Delivery</t>
  </si>
  <si>
    <t>Sales and Profit</t>
  </si>
  <si>
    <t>Anti Social Behaviour &amp; ASBOs</t>
  </si>
  <si>
    <t>Crime and Punishment : Prison</t>
  </si>
  <si>
    <t>Crime and Punishment : Trial</t>
  </si>
  <si>
    <t>Dan's ASBO</t>
  </si>
  <si>
    <t>Engaging With Democracy</t>
  </si>
  <si>
    <t>Establishing Communities</t>
  </si>
  <si>
    <t>Human Rights and Wrongs : Innovative Approaches to Citizenship</t>
  </si>
  <si>
    <t>My World, My Democracy</t>
  </si>
  <si>
    <t>The Bomb Factor : Nuclear Weapons</t>
  </si>
  <si>
    <t>The Global Dimension</t>
  </si>
  <si>
    <t>Competitive Coursework</t>
  </si>
  <si>
    <t>Designing for CAD/CAM 1</t>
  </si>
  <si>
    <t>Designing for CAD/CAM 2</t>
  </si>
  <si>
    <t>Establishing CAD/CAM</t>
  </si>
  <si>
    <t>Group Work in D&amp;T 1</t>
  </si>
  <si>
    <t>Group Work in D&amp;T 2</t>
  </si>
  <si>
    <t>Managing GCSE Coursework 1</t>
  </si>
  <si>
    <t>Managing GCSE Coursework 2</t>
  </si>
  <si>
    <t>New Technology : The Issues</t>
  </si>
  <si>
    <t>Sustainability : Leading the Way</t>
  </si>
  <si>
    <t>Sustainability : Making a Start</t>
  </si>
  <si>
    <t>The Future's Handheld</t>
  </si>
  <si>
    <t>Building the Basics : Frozen Pictures</t>
  </si>
  <si>
    <t>Engaging With a Difficult Text : Dr. Faustus</t>
  </si>
  <si>
    <t>Climate Change Teaching Solutions</t>
  </si>
  <si>
    <t>Climate Change Time-Line</t>
  </si>
  <si>
    <t>Engaging With Their World : Where Will I Live?</t>
  </si>
  <si>
    <t>Iceland : The Field Trip</t>
  </si>
  <si>
    <t>Iceland : The Sights</t>
  </si>
  <si>
    <t>Pupil Feedback</t>
  </si>
  <si>
    <t>Teaching Climate Change</t>
  </si>
  <si>
    <t>The A-Z of Climate Change</t>
  </si>
  <si>
    <t>Using GIS</t>
  </si>
  <si>
    <t>Why I Love Geography</t>
  </si>
  <si>
    <t>Black History Workshop</t>
  </si>
  <si>
    <t>Integrating Black History</t>
  </si>
  <si>
    <t>Building a Multi Media Web Page</t>
  </si>
  <si>
    <t>Online Safety</t>
  </si>
  <si>
    <t>Spreadsheets</t>
  </si>
  <si>
    <t>Assessment for Learning in Maths : Exploring Graphs With Year 9</t>
  </si>
  <si>
    <t>Assessment for Learning in Maths : Revising Polygons With Year 11</t>
  </si>
  <si>
    <t>Bearings</t>
  </si>
  <si>
    <t>Demonstrating Dynamic Geometry</t>
  </si>
  <si>
    <t>Juggling With Algebra</t>
  </si>
  <si>
    <t>Motivating Maths at GCSE : Getting Away From the Textbook</t>
  </si>
  <si>
    <t>Motivating Maths at GCSE : Outdoor Trigonometry</t>
  </si>
  <si>
    <t>New Maths Technology : In the Classroom</t>
  </si>
  <si>
    <t>New Maths Technology : Managing Change</t>
  </si>
  <si>
    <t>Plans and Elevations</t>
  </si>
  <si>
    <t>Using Dynamic Geometry</t>
  </si>
  <si>
    <t>Vectors</t>
  </si>
  <si>
    <t>Actions Speak Louder</t>
  </si>
  <si>
    <t>Attracting Lower Ability Pupils</t>
  </si>
  <si>
    <t>It's a Rap</t>
  </si>
  <si>
    <t>Peer Assessment</t>
  </si>
  <si>
    <t>Pupil as Teacher</t>
  </si>
  <si>
    <t>Abortion Education</t>
  </si>
  <si>
    <t>Alcohol Education : Here's What We Want</t>
  </si>
  <si>
    <t>Alcohol Stories</t>
  </si>
  <si>
    <t>Anorexia</t>
  </si>
  <si>
    <t>Drugs : Breaking the Habit</t>
  </si>
  <si>
    <t>Emotional Intelligence</t>
  </si>
  <si>
    <t>Mediating Conflict</t>
  </si>
  <si>
    <t>Resolving Conflict</t>
  </si>
  <si>
    <t>Sex and Relationship Education : Do's and Don'ts</t>
  </si>
  <si>
    <t>Sex and Relationship Education : Tackling STIs</t>
  </si>
  <si>
    <t>Tackling Drugs</t>
  </si>
  <si>
    <t>Teenage Dads</t>
  </si>
  <si>
    <t>Teenage Pregnancy</t>
  </si>
  <si>
    <t>What Is Sexual Bullying?</t>
  </si>
  <si>
    <t>Banging Chemistry : Fast and Furious</t>
  </si>
  <si>
    <t>Banging Chemistry : Fireworks</t>
  </si>
  <si>
    <t>Big Screen Science : Law of Averages</t>
  </si>
  <si>
    <t>Big Screen Science : Stem Cell Controversy</t>
  </si>
  <si>
    <t>Big Screen Science : The Perry Pigger Show</t>
  </si>
  <si>
    <t>Cancer and the Genome : The Issue</t>
  </si>
  <si>
    <t>Cancer and the Genome : The Lesson</t>
  </si>
  <si>
    <t>Demonstrating Biology : 8 Demonstrations</t>
  </si>
  <si>
    <t>Demonstrating Biology : Aviflu</t>
  </si>
  <si>
    <t>Demonstrating Biology : It Takes Guts</t>
  </si>
  <si>
    <t>Demonstrating Chemistry : Exciting Elements</t>
  </si>
  <si>
    <t>Demonstrating Chemistry : Fireworks in the Classroom</t>
  </si>
  <si>
    <t>Demonstrating Chemistry : The Science of Fireworks</t>
  </si>
  <si>
    <t>Demonstrating Chemistry : Top of the Flops</t>
  </si>
  <si>
    <t>Demonstrating Physics : Electrostatics etc.</t>
  </si>
  <si>
    <t>Demonstrating Physics : Forces</t>
  </si>
  <si>
    <t>Demonstrating Physics : Radioactivity</t>
  </si>
  <si>
    <t>Fighting HIV : The Issue</t>
  </si>
  <si>
    <t>Fighting HIV : The Lesson</t>
  </si>
  <si>
    <t>Girls in Physics</t>
  </si>
  <si>
    <t>Maggie : Reaching for the Stars</t>
  </si>
  <si>
    <t>Periodic Table : Ferocious Elements</t>
  </si>
  <si>
    <t>Physics : Girls Speak Out</t>
  </si>
  <si>
    <t>Physics for Non-Physicists : Electricity</t>
  </si>
  <si>
    <t>Physics for Non-Physicists : Forces</t>
  </si>
  <si>
    <t>Stem Cell Research : The Issue</t>
  </si>
  <si>
    <t>Stem Cell Research : The Lesson</t>
  </si>
  <si>
    <t>Teaching Evolution</t>
  </si>
  <si>
    <t>Getting Girls : Keeping Boys</t>
  </si>
  <si>
    <t>Making It Real</t>
  </si>
  <si>
    <t>Art Assessment : Awarding Levels</t>
  </si>
  <si>
    <t>Art Assessment : Classroom Strategies</t>
  </si>
  <si>
    <t>Drama Into the Curriculum</t>
  </si>
  <si>
    <t>The Challenge of Contemporary Art 1 : Figures in the City</t>
  </si>
  <si>
    <t>The Challenge of Contemporary Art 2 : 2D/3D</t>
  </si>
  <si>
    <t>Boy, You Can Dance</t>
  </si>
  <si>
    <t>Introducing Dance at KS3</t>
  </si>
  <si>
    <t>Motifs and Development</t>
  </si>
  <si>
    <t>You Should be Dancing</t>
  </si>
  <si>
    <t>2 Travel Texts : The Guide Book and the Travelogue (KS4)</t>
  </si>
  <si>
    <t>Laura's Writing Journey</t>
  </si>
  <si>
    <t>Meet the Writer : Anthony McGowan</t>
  </si>
  <si>
    <t>Meet the Writer : Tim Bowler</t>
  </si>
  <si>
    <t>Non Fiction -Travel Writing (KS4)</t>
  </si>
  <si>
    <t>Studying Sherlock Holmes</t>
  </si>
  <si>
    <t>Teaching Pre-1914 Fiction</t>
  </si>
  <si>
    <t>Teaching Talking 1</t>
  </si>
  <si>
    <t>Teaching Talking 2</t>
  </si>
  <si>
    <t>Building Blogs</t>
  </si>
  <si>
    <t>Computer Games : Playing to Learn</t>
  </si>
  <si>
    <t>Experiments With Poetry</t>
  </si>
  <si>
    <t>Teaching Media : Analysing an Advert</t>
  </si>
  <si>
    <t>Teaching Media : Media Production in the Classroom</t>
  </si>
  <si>
    <t>Learning to Cook at Folkestone Academy</t>
  </si>
  <si>
    <t>Learning to Cook at Oathall Community College</t>
  </si>
  <si>
    <t>Curriculum Choices</t>
  </si>
  <si>
    <t>Women and Pay</t>
  </si>
  <si>
    <t>Crossing Core Subjects</t>
  </si>
  <si>
    <t>Peer Educators</t>
  </si>
  <si>
    <t>Teaching Copyright</t>
  </si>
  <si>
    <t>Working With Music Technology 1</t>
  </si>
  <si>
    <t>Working With Music Technology 2</t>
  </si>
  <si>
    <t>China : Going for Gold</t>
  </si>
  <si>
    <t>Motivating Girls 1</t>
  </si>
  <si>
    <t>Motivating Girls 2</t>
  </si>
  <si>
    <t>Abusive Relationships</t>
  </si>
  <si>
    <t>Online and Texting</t>
  </si>
  <si>
    <t>Pressured into Having Sex</t>
  </si>
  <si>
    <t>Think About the Future : Pregnancy</t>
  </si>
  <si>
    <t>Art Workshop</t>
  </si>
  <si>
    <t>Christian Ethics : Attitudes to Other Faiths</t>
  </si>
  <si>
    <t>Integrating Art</t>
  </si>
  <si>
    <t>Running the Department</t>
  </si>
  <si>
    <t>Science and Religion : Personhood</t>
  </si>
  <si>
    <t>Teaching RE to Muslim Students : Studying Buddhism</t>
  </si>
  <si>
    <t>Teaching RE to Muslim Students : Studying Islam</t>
  </si>
  <si>
    <t>Using Science in Religion</t>
  </si>
  <si>
    <t>Celebrity Investing</t>
  </si>
  <si>
    <t>On the Street Where We Work</t>
  </si>
  <si>
    <t>Understanding Balance Sheets</t>
  </si>
  <si>
    <t>Departmental Poetry Strategies</t>
  </si>
  <si>
    <t>Responding to Poetry</t>
  </si>
  <si>
    <t>Cuban Missile Crisis : Film Archive</t>
  </si>
  <si>
    <t>Expert Analysis</t>
  </si>
  <si>
    <t>Testing Hypotheses</t>
  </si>
  <si>
    <t>The Legacy of Coal</t>
  </si>
  <si>
    <t>Body Theology : From Conference to Classroom</t>
  </si>
  <si>
    <t>Faith and Form : Exploring the Physical Aspects of Religion</t>
  </si>
  <si>
    <t>Chemistry With CLEAPSS</t>
  </si>
  <si>
    <t>Demonstrating Chemistry</t>
  </si>
  <si>
    <t>Twenty-First Century Science 1</t>
  </si>
  <si>
    <t>Twenty-First Century Science 2</t>
  </si>
  <si>
    <t>Building a Learning Community With ICT</t>
  </si>
  <si>
    <t>Transforming Teaching and Learning With ICT</t>
  </si>
  <si>
    <t>Kingsfield Primary</t>
  </si>
  <si>
    <t>St. Aidan's Primary</t>
  </si>
  <si>
    <t>Curriculum</t>
  </si>
  <si>
    <t>Local Business Fundraising</t>
  </si>
  <si>
    <t>School Improvement Plans</t>
  </si>
  <si>
    <t>Teacher Learner Academy Primary</t>
  </si>
  <si>
    <t>Teacher Learner Academy Secondary</t>
  </si>
  <si>
    <t>Bird Watching in Schools</t>
  </si>
  <si>
    <t>British Birds</t>
  </si>
  <si>
    <t>Cognitive Acceleration</t>
  </si>
  <si>
    <t>Memory Techniques</t>
  </si>
  <si>
    <t>Creative Development</t>
  </si>
  <si>
    <t>Language and Literacy Development</t>
  </si>
  <si>
    <t>Mathematical Development</t>
  </si>
  <si>
    <t>Physical Development</t>
  </si>
  <si>
    <t>Lesson Planning</t>
  </si>
  <si>
    <t>Primary Literacy : Planning Different Activities</t>
  </si>
  <si>
    <t>Primary Maths : Odds and Evens</t>
  </si>
  <si>
    <t>Primary Science : Working With Resources</t>
  </si>
  <si>
    <t>Secondary English : Decoding and Writing Reviews</t>
  </si>
  <si>
    <t>Secondary Humanities : Colonial History</t>
  </si>
  <si>
    <t>Secondary Maths : Thinking Skills</t>
  </si>
  <si>
    <t>Secondary Science : Reactive Elements</t>
  </si>
  <si>
    <t>Random Object Starter</t>
  </si>
  <si>
    <t>Recapping Learning : This Is the News!</t>
  </si>
  <si>
    <t>Registration! Registration!</t>
  </si>
  <si>
    <t>Self Assessment : Pitching It!</t>
  </si>
  <si>
    <t>Using Storyboards in Project Planning</t>
  </si>
  <si>
    <t>What's Next? : Pupil Led Lesson Links</t>
  </si>
  <si>
    <t>Air Resistance</t>
  </si>
  <si>
    <t>Algebra : What's the Pattern?</t>
  </si>
  <si>
    <t>Algebra in Action</t>
  </si>
  <si>
    <t>Angles : Pirate's Lost Treasure</t>
  </si>
  <si>
    <t>Antarctica</t>
  </si>
  <si>
    <t>Architecture and KS3 Maths : Finding the Golden Ratio in Durham Cathedral</t>
  </si>
  <si>
    <t>Architecture and KS3 Maths : Hidden Patterns in Durham Cathedral</t>
  </si>
  <si>
    <t>Architecture and KS3 Maths : Measuring Height in Durham Cathedral</t>
  </si>
  <si>
    <t>Architecture and KS3 Maths : Symmetry and Circumference in Durham Cathedral</t>
  </si>
  <si>
    <t>Architecture and KS3 Maths : The Floor Plan of Durham Cathedral</t>
  </si>
  <si>
    <t>Astronomy : Inside a Telescope</t>
  </si>
  <si>
    <t>Astronomy : Observatory Trip</t>
  </si>
  <si>
    <t>Bullying Girls : Reenactment</t>
  </si>
  <si>
    <t>Bullying Girls : The Issues</t>
  </si>
  <si>
    <t>Careers : Mountaineer</t>
  </si>
  <si>
    <t>Careers : Polar Explorer</t>
  </si>
  <si>
    <t>Careers : Rocket Scientist</t>
  </si>
  <si>
    <t>Changing Movement by Force</t>
  </si>
  <si>
    <t>Changing Sounds</t>
  </si>
  <si>
    <t>Changing State, Micro-Organisms and Other Topics</t>
  </si>
  <si>
    <t>Child Abuse : Girl Speaks Out</t>
  </si>
  <si>
    <t>Child Labour in India : Anil's Story</t>
  </si>
  <si>
    <t>Children in World War II</t>
  </si>
  <si>
    <t>Choreograph a Duet : Red Light</t>
  </si>
  <si>
    <t>Choreograph a Solo : Tsunami</t>
  </si>
  <si>
    <t>Combating Cyberbullying : Inadvertent Bullying</t>
  </si>
  <si>
    <t>Combating Cyberbullying : Posting Pictures without Consent</t>
  </si>
  <si>
    <t>Combating Cyberbullying : Suffering in Silence</t>
  </si>
  <si>
    <t>Computer Skills : Internet Search</t>
  </si>
  <si>
    <t>Computer Skills : Keyboard Shortcuts</t>
  </si>
  <si>
    <t>Cyberbullying and Teenagers</t>
  </si>
  <si>
    <t>Cyclone Warnings in Bangladesh</t>
  </si>
  <si>
    <t>Dance : Moving Like Magnets</t>
  </si>
  <si>
    <t>Delivering Aid in Afghanistan</t>
  </si>
  <si>
    <t>Describing Sounds</t>
  </si>
  <si>
    <t>Different Writing Styles : Fire Poi</t>
  </si>
  <si>
    <t>Different Writing Styles : Fire Walking</t>
  </si>
  <si>
    <t>Different Writing Styles : Fires Out of Control</t>
  </si>
  <si>
    <t>Different Writing Styles : Fireworks</t>
  </si>
  <si>
    <t>Different Writing Styles : Glass Blowing</t>
  </si>
  <si>
    <t>Different Writing Styles : Wood Fired Oven</t>
  </si>
  <si>
    <t>Division : Dice Factory</t>
  </si>
  <si>
    <t>Division : Loading Up the Getaway Car</t>
  </si>
  <si>
    <t>Division, Volume and Other Topics</t>
  </si>
  <si>
    <t>Ecosystems : Antarctica</t>
  </si>
  <si>
    <t>Ecosystems : Exploitation</t>
  </si>
  <si>
    <t>Ecosystems : Holes in Glaciers</t>
  </si>
  <si>
    <t>Ecosystems : Pros and Cons of Research</t>
  </si>
  <si>
    <t>Ecosystems : Tourism</t>
  </si>
  <si>
    <t>Elementary School in Ghana</t>
  </si>
  <si>
    <t>Engineering Diploma : Communication Skills</t>
  </si>
  <si>
    <t>Engineering Diploma : ICT Skills</t>
  </si>
  <si>
    <t>Engineering Diploma : Inspiration</t>
  </si>
  <si>
    <t>Engineering Diploma : Numeracy Skills</t>
  </si>
  <si>
    <t>Engineering Diploma Functional Skills</t>
  </si>
  <si>
    <t>Evaporation and Condensation : Robinson Crusoe Makes Drinking Water</t>
  </si>
  <si>
    <t>Fair Trade : Football Enterprise</t>
  </si>
  <si>
    <t>Fair Trade : Football Manufacture</t>
  </si>
  <si>
    <t>Forces : Rocket Launch</t>
  </si>
  <si>
    <t>Fractions and Percentages : Packed Lunch Survey</t>
  </si>
  <si>
    <t>Fractions Out Shopping</t>
  </si>
  <si>
    <t>Fractions, Decimals and Percentages</t>
  </si>
  <si>
    <t>Global Citizenship : Six Film Clips</t>
  </si>
  <si>
    <t>Grandma's Junk</t>
  </si>
  <si>
    <t>Habitats and Food Chains : Fox and Hedgehog</t>
  </si>
  <si>
    <t>Hair and Beauty Diploma : Communication Skills</t>
  </si>
  <si>
    <t>Hair and Beauty Diploma : ICT Skills</t>
  </si>
  <si>
    <t>Hair and Beauty Diploma : Inspiration</t>
  </si>
  <si>
    <t>Hair and Beauty Diploma : Numeracy Skills</t>
  </si>
  <si>
    <t>Hair and Beauty Diploma Functional Skills</t>
  </si>
  <si>
    <t>Healthy Eating, Let's Start a Café, Portraits</t>
  </si>
  <si>
    <t>Heat : Naughty Balloons</t>
  </si>
  <si>
    <t>Himalayas : Learning Hubs in Ladakh</t>
  </si>
  <si>
    <t>Himalayas : Mobile Learning</t>
  </si>
  <si>
    <t>Himalayas : New School in Ladakh</t>
  </si>
  <si>
    <t>History : Food Rationing</t>
  </si>
  <si>
    <t>History : Living With Rationing</t>
  </si>
  <si>
    <t>Holocaust : A Pre-War German Jewish Family</t>
  </si>
  <si>
    <t>Holocaust : In Hiding, a Journey Through Berlin</t>
  </si>
  <si>
    <t>Holocaust : In the House of a Survivor</t>
  </si>
  <si>
    <t>Holocaust : My Brother, in the Resistance</t>
  </si>
  <si>
    <t>Holocaust : The Auschwitz Orchestra</t>
  </si>
  <si>
    <t>Holocaust : Wannsee, Implementing the Final Solution</t>
  </si>
  <si>
    <t>Holocaust and the Kindertransport : Otto's Story</t>
  </si>
  <si>
    <t>Holocaust and the Kindertransport : Vera's Story</t>
  </si>
  <si>
    <t>Honesty, Lateral Thinking and Other Topics</t>
  </si>
  <si>
    <t>How Electricity is Used</t>
  </si>
  <si>
    <t>How Light Travels</t>
  </si>
  <si>
    <t>How to Muffle Sound</t>
  </si>
  <si>
    <t>How We Hear</t>
  </si>
  <si>
    <t>How We See Light</t>
  </si>
  <si>
    <t>Iraqi Refugee Children : Ahmed's Home</t>
  </si>
  <si>
    <t>Iraqi Refugee Children : Ahmed's School</t>
  </si>
  <si>
    <t>Iraqi Refugee Children : Dounia's Story</t>
  </si>
  <si>
    <t>Iraqi Refugees : Teenager at Work</t>
  </si>
  <si>
    <t>Iraqi Refugees : Teenagers Talk</t>
  </si>
  <si>
    <t>KS1 Story Starts</t>
  </si>
  <si>
    <t>KS2 Fire</t>
  </si>
  <si>
    <t>KS2 Persuasive Writing</t>
  </si>
  <si>
    <t>KS3 Britain's Black History : Black Britons</t>
  </si>
  <si>
    <t>KS3 Britain's Black History : Coffee Houses and the Slave Trade</t>
  </si>
  <si>
    <t>KS3 Britain's Black History : Gold</t>
  </si>
  <si>
    <t>KS3 Britain's Black History : The Obelisk</t>
  </si>
  <si>
    <t>KS3 English Speaking and Listening</t>
  </si>
  <si>
    <t>KS3 Physics : Sound</t>
  </si>
  <si>
    <t>Landmines in Bosnia</t>
  </si>
  <si>
    <t>Light and Seeing</t>
  </si>
  <si>
    <t>Listening to Sounds</t>
  </si>
  <si>
    <t>Literacy : Character Detectives</t>
  </si>
  <si>
    <t>Literacy : Character Glimpses</t>
  </si>
  <si>
    <t>Literacy : Character Viewpoints</t>
  </si>
  <si>
    <t>Literacy : How to Make Tea</t>
  </si>
  <si>
    <t>Literacy : Radio Broadcasts</t>
  </si>
  <si>
    <t>Literacy : Rescued by Rover</t>
  </si>
  <si>
    <t>Literacy : Stop! Thief!</t>
  </si>
  <si>
    <t>Literacy : That Fatal Sneeze</t>
  </si>
  <si>
    <t>Literacy : Using Archive Film</t>
  </si>
  <si>
    <t>Making Shadows</t>
  </si>
  <si>
    <t>Male Students Dance</t>
  </si>
  <si>
    <t>Managing Water in Kenya</t>
  </si>
  <si>
    <t>Micro-Organisms : Making Bread and Cheese</t>
  </si>
  <si>
    <t>Multiplication : Piggy Buys Apples</t>
  </si>
  <si>
    <t>Multiplication and Division : Seats on a Train</t>
  </si>
  <si>
    <t>Multiplication and Division : Sharing Puppy Food</t>
  </si>
  <si>
    <t>Mum's Birthday</t>
  </si>
  <si>
    <t>Muscles : Using a Longbow</t>
  </si>
  <si>
    <t>Peace Process : Belfast Schools</t>
  </si>
  <si>
    <t>Percentages : Sharing a Cake</t>
  </si>
  <si>
    <t>Performing a Monologue : Gestures</t>
  </si>
  <si>
    <t>Personal Writing : Buffet Steward</t>
  </si>
  <si>
    <t>Personal Writing : Manchester Poem</t>
  </si>
  <si>
    <t>Personal Writing : Two Sides of Jane</t>
  </si>
  <si>
    <t>Persuasive Writing : Anti-Smoking</t>
  </si>
  <si>
    <t>Persuasive Writing : Keeping Pets</t>
  </si>
  <si>
    <t>Persuasive Writing : Our Neighbourhood : Negatives</t>
  </si>
  <si>
    <t>Persuasive Writing : Our Neighbourhood : Positives</t>
  </si>
  <si>
    <t>Persuasive Writing : School Uniform</t>
  </si>
  <si>
    <t>Pizza Fractions</t>
  </si>
  <si>
    <t>Playground Games, Let's Go, Pocket Money</t>
  </si>
  <si>
    <t>Post-War Britain : Immigration</t>
  </si>
  <si>
    <t>Post-War Britain : Immigration : Changing Churches</t>
  </si>
  <si>
    <t>Post-War Britain : Immigration : New Neighbours</t>
  </si>
  <si>
    <t>Post-War Britain : Immigration : Race Relations</t>
  </si>
  <si>
    <t>Post-War Britain : Immigration : The Immigrant’s Story</t>
  </si>
  <si>
    <t>Primary French : ‘Papyon Volé’ : Une Chanson du Carnaval</t>
  </si>
  <si>
    <t>Primary French : Bienvenue en Martinique! 1</t>
  </si>
  <si>
    <t>Primary French : Bienvenue en Martinique! 2</t>
  </si>
  <si>
    <t>Primary French : Deux Jeux de Mains</t>
  </si>
  <si>
    <t>Primary French : La Musique et les Instruments</t>
  </si>
  <si>
    <t>Primary French : La Parade des Métiers d'Avant</t>
  </si>
  <si>
    <t>Primary French : L'avenir et Moi</t>
  </si>
  <si>
    <t>Primary French : Le Carnaval en Martinique</t>
  </si>
  <si>
    <t>Primary French : Le Chemin de L'école</t>
  </si>
  <si>
    <t>Primary French : Mathis et Son Grandpère</t>
  </si>
  <si>
    <t>Primary French : Qu'est-ce que Tu Préfères?</t>
  </si>
  <si>
    <t>Primary French : Une Chasse au Trésor</t>
  </si>
  <si>
    <t>Primary French : Voici Ma Ville</t>
  </si>
  <si>
    <t>Primary French : Voici Mon Ecole</t>
  </si>
  <si>
    <t>Primary Science : Forces : Pushes, Pulls and Friction</t>
  </si>
  <si>
    <t>Primary Science : Light : How We See Things</t>
  </si>
  <si>
    <t>Primary Science : Sound and Hearing</t>
  </si>
  <si>
    <t>Primary Spanish : ¿Qué Hice Ayer?</t>
  </si>
  <si>
    <t>Primary Spanish : ¿Qué Noticias Hay?</t>
  </si>
  <si>
    <t>Primary Spanish : Aquí Está Mi Escuela</t>
  </si>
  <si>
    <t>Primary Spanish : Cómo Hacer una Piñata</t>
  </si>
  <si>
    <t>Primary Spanish : El Camino de la Escuela</t>
  </si>
  <si>
    <t>Primary Spanish : El Colás : Una Canción Tradicional</t>
  </si>
  <si>
    <t>Primary Spanish : El Pasado y el Presente</t>
  </si>
  <si>
    <t>Primary Spanish : iBienvenido a Mexico! 1</t>
  </si>
  <si>
    <t>Primary Spanish : iBienvenido a Mexico! 2</t>
  </si>
  <si>
    <t>Primary Spanish : La Cultura Folclórica de Veracruz</t>
  </si>
  <si>
    <t>Primary Spanish : Las Cuatro Estaciones</t>
  </si>
  <si>
    <t>Primary Spanish : Un Recorrido de Mi Ciudad, Cosoleacaque</t>
  </si>
  <si>
    <t>Primary Writing Starters : 9/11 New York</t>
  </si>
  <si>
    <t>Primary Writing Starters : Charlotte's Web</t>
  </si>
  <si>
    <t>Primary Writing Starters : Double Act</t>
  </si>
  <si>
    <t>Primary Writing Starters : It's Unfair</t>
  </si>
  <si>
    <t>Primary Writing Starters : Lily &amp; Ermine</t>
  </si>
  <si>
    <t>Primary Writing Starters : The Railway Children</t>
  </si>
  <si>
    <t>Problem-Solving : Football Problems</t>
  </si>
  <si>
    <t>Problem-Solving : Is It a Bargain?</t>
  </si>
  <si>
    <t>Problem-solving and Other Topics</t>
  </si>
  <si>
    <t>Properties of Fabrics : The Cross-Country Run</t>
  </si>
  <si>
    <t>Questions About Light</t>
  </si>
  <si>
    <t>Reducing Friction : Skid Pan</t>
  </si>
  <si>
    <t>Refugees in the UK : Coming to Britain</t>
  </si>
  <si>
    <t>Refugees in the UK : Finding a School</t>
  </si>
  <si>
    <t>Refugees in the UK : First Day at School</t>
  </si>
  <si>
    <t>Refugees in the UK : Fitting in</t>
  </si>
  <si>
    <t>Refugees in the UK : Learning English</t>
  </si>
  <si>
    <t>Refugees in the UK : Leaving Home</t>
  </si>
  <si>
    <t>Refugees in the UK : School and Beyond</t>
  </si>
  <si>
    <t>Rehabilitation of Child Soldiers in Sierra Leone</t>
  </si>
  <si>
    <t>Reuniting Families in Sierra Leone</t>
  </si>
  <si>
    <t>Scientific Enquiry : Paper Loop</t>
  </si>
  <si>
    <t>Secondary PSHE : Borrowing</t>
  </si>
  <si>
    <t>Secondary PSHE : Business</t>
  </si>
  <si>
    <t>Secondary PSHE : Depressions</t>
  </si>
  <si>
    <t>Secondary PSHE : Discrimination</t>
  </si>
  <si>
    <t>Secondary PSHE : Drugs</t>
  </si>
  <si>
    <t>Secondary PSHE : Life</t>
  </si>
  <si>
    <t>Secondary PSHE : Money</t>
  </si>
  <si>
    <t>Secondary PSHE : Redundancy</t>
  </si>
  <si>
    <t>Secondary PSHE : Relationships</t>
  </si>
  <si>
    <t>Secondary PSHE : Self-Employment</t>
  </si>
  <si>
    <t>Secondary PSHE : Sex</t>
  </si>
  <si>
    <t>Secondary PSHE : Violence and Abuse : Anger</t>
  </si>
  <si>
    <t>Secondary PSHE : Violence and Abuse : Booze Bus</t>
  </si>
  <si>
    <t>Secondary PSHE : Violence and Abuse : Gangs</t>
  </si>
  <si>
    <t>Secondary PSHE : Violence and Abuse : Knives</t>
  </si>
  <si>
    <t>Secondary PSHE : Why Do We Work?</t>
  </si>
  <si>
    <t>Secondary PSHE : Work</t>
  </si>
  <si>
    <t>Seeing in the Dark</t>
  </si>
  <si>
    <t>Selflessness, Charity, Stealing : And More</t>
  </si>
  <si>
    <t>Sliding Objects</t>
  </si>
  <si>
    <t>Sound : Changing Pitch : Playing the Guitar</t>
  </si>
  <si>
    <t>Sound : Hearing and the Ear : The Confusaphone</t>
  </si>
  <si>
    <t>Sound : Materials : Brick and Foam</t>
  </si>
  <si>
    <t>Sound : Sonic Boom : Cracking the Whip</t>
  </si>
  <si>
    <t>Sound : Waveforms : Four Octaves</t>
  </si>
  <si>
    <t>Sound Through a Medium : Flickering Candles</t>
  </si>
  <si>
    <t>Sound Through a Medium : Shattering a Glass</t>
  </si>
  <si>
    <t>Sound Through a Medium : Wobbling Bubbles</t>
  </si>
  <si>
    <t>Sound Using Body Parts</t>
  </si>
  <si>
    <t>Stem Cells : Religious Angle</t>
  </si>
  <si>
    <t>Stem Cells : Wheelchair User</t>
  </si>
  <si>
    <t>Stopping Moving Objects</t>
  </si>
  <si>
    <t>Story Writing : Seven Dramatised Clips</t>
  </si>
  <si>
    <t>Storytelling : Aladdin</t>
  </si>
  <si>
    <t>Storytelling : Key in the Sea</t>
  </si>
  <si>
    <t>Storytelling : Miserly Farmer</t>
  </si>
  <si>
    <t>Storytelling : Raja's Secret</t>
  </si>
  <si>
    <t>Storytelling : Red Riding Hood</t>
  </si>
  <si>
    <t>Story-writing : Nine More Dramatised Clips</t>
  </si>
  <si>
    <t>Sustainability in a Tanzanian School</t>
  </si>
  <si>
    <t>Teaching Past, Present and Future</t>
  </si>
  <si>
    <t>Teeth, Springs, Rocks and Other Topics</t>
  </si>
  <si>
    <t>The Holocaust</t>
  </si>
  <si>
    <t>The Letter</t>
  </si>
  <si>
    <t>The Noise</t>
  </si>
  <si>
    <t>The Suitcase Dance</t>
  </si>
  <si>
    <t>The Victorians</t>
  </si>
  <si>
    <t>The Victorians : Brunel’s SS Great Britain</t>
  </si>
  <si>
    <t>The Victorians : Florence Nightingale and the Crimean War</t>
  </si>
  <si>
    <t>The Victorians : The Great Exhibition 1851</t>
  </si>
  <si>
    <t>The Victorians : The School Room</t>
  </si>
  <si>
    <t>The Victorians : The Workhouse</t>
  </si>
  <si>
    <t>Theatre Lights</t>
  </si>
  <si>
    <t>Things That Use Electricity</t>
  </si>
  <si>
    <t>Victorian School : Ironbridge</t>
  </si>
  <si>
    <t>Victorian Street : Ironbridge</t>
  </si>
  <si>
    <t>Weather Around the World</t>
  </si>
  <si>
    <t>Women Affected by War : Sudan</t>
  </si>
  <si>
    <t>Work on the Farm</t>
  </si>
  <si>
    <t>World War I : Christmas Truce Reenactment</t>
  </si>
  <si>
    <t>Writing a Ghost Story : Cave</t>
  </si>
  <si>
    <t>Writing a Ghost Story : Graveyard</t>
  </si>
  <si>
    <t>Writing a Horror Story : Dinosaurs</t>
  </si>
  <si>
    <t>Writing a Monologue : Bride</t>
  </si>
  <si>
    <t>Writing a Monologue : Crush</t>
  </si>
  <si>
    <t>Writing a Mystery Story : Jewellery Box</t>
  </si>
  <si>
    <t>Writing an Adventure Story : Desert Island</t>
  </si>
  <si>
    <t>Writing an Adventure Story : Science Lab</t>
  </si>
  <si>
    <t>Writing Historical Fiction : Robin Hood</t>
  </si>
  <si>
    <t>Autonomy, Choice and Competition</t>
  </si>
  <si>
    <t>Collaboration, Professionalism and Accountability</t>
  </si>
  <si>
    <t>Literacy Behind Bars</t>
  </si>
  <si>
    <t>Maths in the Navy</t>
  </si>
  <si>
    <t>Policing Challenging Behaviour</t>
  </si>
  <si>
    <t>World Music From the Brit School</t>
  </si>
  <si>
    <t>Primary Curriculum Leadership</t>
  </si>
  <si>
    <t>Primary Reading Practice</t>
  </si>
  <si>
    <t>Reading Improvement</t>
  </si>
  <si>
    <t>Secondary Curriculum Leadership</t>
  </si>
  <si>
    <t>Secondary Reading Practice</t>
  </si>
  <si>
    <t>Early Years Foundation Stage Leaders</t>
  </si>
  <si>
    <t>Early Years Foundation Stage Parents</t>
  </si>
  <si>
    <t>Early Years Foundation Stage Support Staff</t>
  </si>
  <si>
    <t>Early Years Foundation Stage Teaching and Learning</t>
  </si>
  <si>
    <t>KS1 Leaders</t>
  </si>
  <si>
    <t>KS1 Parents</t>
  </si>
  <si>
    <t>KS1 Support Staff</t>
  </si>
  <si>
    <t>KS1 Teachers</t>
  </si>
  <si>
    <t>KS2 Leaders</t>
  </si>
  <si>
    <t>KS2 Parents</t>
  </si>
  <si>
    <t>KS2 Support Staff</t>
  </si>
  <si>
    <t>KS2 Teachers</t>
  </si>
  <si>
    <t>KS3 Leaders</t>
  </si>
  <si>
    <t>KS3 Parents</t>
  </si>
  <si>
    <t>KS3 Support Staff</t>
  </si>
  <si>
    <t>KS3 Teachers</t>
  </si>
  <si>
    <t>Designated Teacher</t>
  </si>
  <si>
    <t>Out-of-School-Hours Learning</t>
  </si>
  <si>
    <t>Creating the Right Atmosphere</t>
  </si>
  <si>
    <t>To a 'C' and Beyond</t>
  </si>
  <si>
    <t>Engaging EAL Learners</t>
  </si>
  <si>
    <t>Focusing on the Learning</t>
  </si>
  <si>
    <t>Give Yourself a Break</t>
  </si>
  <si>
    <t>Ignoring Disruptive Behaviour</t>
  </si>
  <si>
    <t>Keeping Up the Pace</t>
  </si>
  <si>
    <t>Making Yourself Heard</t>
  </si>
  <si>
    <t>Movement, Praise and Groups</t>
  </si>
  <si>
    <t>New Buildings</t>
  </si>
  <si>
    <t>Assessing Speaking</t>
  </si>
  <si>
    <t>Assessing Writing</t>
  </si>
  <si>
    <t>Plotting Progress</t>
  </si>
  <si>
    <t>Strategies Around the Clock</t>
  </si>
  <si>
    <t>Puppet on a Shoestring</t>
  </si>
  <si>
    <t>Real Role Models</t>
  </si>
  <si>
    <t>Including Refugee Children</t>
  </si>
  <si>
    <t>Removing Barriers to Learning</t>
  </si>
  <si>
    <t>KS1 v Structured Play Part 1</t>
  </si>
  <si>
    <t>KS1 v Structured Play Part 2</t>
  </si>
  <si>
    <t>Differentiation</t>
  </si>
  <si>
    <t>Mixed Ability : Group Work</t>
  </si>
  <si>
    <t>Adding Value at Manor Primary</t>
  </si>
  <si>
    <t>Testing Times : Adding Value at North Primary</t>
  </si>
  <si>
    <t>A-Z of Network Learning</t>
  </si>
  <si>
    <t>Establishing a Network</t>
  </si>
  <si>
    <t>Starting Up</t>
  </si>
  <si>
    <t>Introducing a New Strategy</t>
  </si>
  <si>
    <t>Self Assessment and Peer-to-Peer Marking</t>
  </si>
  <si>
    <t>Understanding Levels : An MFL Example</t>
  </si>
  <si>
    <t>Pupil Choice and Creativity</t>
  </si>
  <si>
    <t>Pupil Focus : Georgia</t>
  </si>
  <si>
    <t>Pupil Voice and Assessment for Learning</t>
  </si>
  <si>
    <t>School Councils</t>
  </si>
  <si>
    <t>Building Yard</t>
  </si>
  <si>
    <t>Scrapyard</t>
  </si>
  <si>
    <t>Seaside</t>
  </si>
  <si>
    <t>Shopping Mall</t>
  </si>
  <si>
    <t>Travel</t>
  </si>
  <si>
    <t>Media Literacy</t>
  </si>
  <si>
    <t>The Experts</t>
  </si>
  <si>
    <t>The Teenagers</t>
  </si>
  <si>
    <t>Effective Meetings : Influencing Others</t>
  </si>
  <si>
    <t>Effective Meetings : Making Your Voice Heard</t>
  </si>
  <si>
    <t>Primary Schools</t>
  </si>
  <si>
    <t>Bowling Park Primary School, Bradford</t>
  </si>
  <si>
    <t>Fernwood School, Nottingham</t>
  </si>
  <si>
    <t>South Brent Primary School, Devon</t>
  </si>
  <si>
    <t>The City School, Sheffield</t>
  </si>
  <si>
    <t>Trinity Primary School, Wolverhampton</t>
  </si>
  <si>
    <t>Christine Blower</t>
  </si>
  <si>
    <t>Jim Knight</t>
  </si>
  <si>
    <t>Nick Gibb</t>
  </si>
  <si>
    <t>KS3 Girls Achievement</t>
  </si>
  <si>
    <t>KS3/4 Boys Achievement</t>
  </si>
  <si>
    <t>Academies in Detail</t>
  </si>
  <si>
    <t>Alan Steer's Keys to Better Behaviour</t>
  </si>
  <si>
    <t>Changes in School Leadership</t>
  </si>
  <si>
    <t>Children's Trusts</t>
  </si>
  <si>
    <t>Coalition Plans for Education</t>
  </si>
  <si>
    <t>Contextual Value Added Tables</t>
  </si>
  <si>
    <t>Crossing the Pay Threshold</t>
  </si>
  <si>
    <t>Early Years Foundation Stage</t>
  </si>
  <si>
    <t>Education Leaving Age</t>
  </si>
  <si>
    <t>Education Policy at the Party Conferences</t>
  </si>
  <si>
    <t>Education White Paper : Curriculum</t>
  </si>
  <si>
    <t>Education White Paper : Ofsted and Accountability</t>
  </si>
  <si>
    <t>Education White Paper : Teacher Training</t>
  </si>
  <si>
    <t>Equalities Legislation</t>
  </si>
  <si>
    <t>Every Child a... Reader, Writer and Counter</t>
  </si>
  <si>
    <t>Forced Marriages</t>
  </si>
  <si>
    <t>Free Schools</t>
  </si>
  <si>
    <t>Functional Skills</t>
  </si>
  <si>
    <t>Healthy School Food</t>
  </si>
  <si>
    <t>Improving Behaviour With Engaging Teaching</t>
  </si>
  <si>
    <t>Key Stage 3 Curriculum</t>
  </si>
  <si>
    <t>Making Good Progress Pilots</t>
  </si>
  <si>
    <t>Masters in Teaching and Learning</t>
  </si>
  <si>
    <t>New GCSEs</t>
  </si>
  <si>
    <t>New Powers to Discipline</t>
  </si>
  <si>
    <t>New Restraint Powers</t>
  </si>
  <si>
    <t>Pay and Pensions</t>
  </si>
  <si>
    <t>Personalised Learning</t>
  </si>
  <si>
    <t>Powers to Control Behaviour</t>
  </si>
  <si>
    <t>Primary Curriculum Changes</t>
  </si>
  <si>
    <t>Revised Ofsted Inspection Framework</t>
  </si>
  <si>
    <t>Safe School Trips</t>
  </si>
  <si>
    <t>Secondary Curriculum Changes</t>
  </si>
  <si>
    <t>Social Media</t>
  </si>
  <si>
    <t>TAs : Pay and Progression</t>
  </si>
  <si>
    <t>The Budget and School Funding</t>
  </si>
  <si>
    <t>The New Academies</t>
  </si>
  <si>
    <t>The Primary Curriculum Review</t>
  </si>
  <si>
    <t>The Spending Review and Pupil Premium</t>
  </si>
  <si>
    <t>Work Entitlements</t>
  </si>
  <si>
    <t>Head Start Part 1</t>
  </si>
  <si>
    <t>Head Start Part 2</t>
  </si>
  <si>
    <t>Head Start Part 3</t>
  </si>
  <si>
    <t>Head Start Part 4</t>
  </si>
  <si>
    <t>Head Start Part 5</t>
  </si>
  <si>
    <t>Developing Your Long Term Vision</t>
  </si>
  <si>
    <t>First Steps Towards your Vision</t>
  </si>
  <si>
    <t>Working With Your Deputy</t>
  </si>
  <si>
    <t>Capturing Impact</t>
  </si>
  <si>
    <t>Embedding Change</t>
  </si>
  <si>
    <t>Experiencing Change</t>
  </si>
  <si>
    <t>Witnessing Impact</t>
  </si>
  <si>
    <t>Induction and Lesson Observation : Primary</t>
  </si>
  <si>
    <t>Induction and Lesson Observation : Secondary</t>
  </si>
  <si>
    <t>Lucky Numbers</t>
  </si>
  <si>
    <t>Patterns in Nature</t>
  </si>
  <si>
    <t>Safety in Numbers</t>
  </si>
  <si>
    <t>Zero to Infinity</t>
  </si>
  <si>
    <t>Primary Behaviour</t>
  </si>
  <si>
    <t>Primary English and Maths</t>
  </si>
  <si>
    <t>Primary Making Progress</t>
  </si>
  <si>
    <t>Primary Science</t>
  </si>
  <si>
    <t>Primary Staying Healthy</t>
  </si>
  <si>
    <t>Secondary Behaviour</t>
  </si>
  <si>
    <t>Secondary Creativity</t>
  </si>
  <si>
    <t>Secondary English and Maths</t>
  </si>
  <si>
    <t>Secondary Making Progress</t>
  </si>
  <si>
    <t>Secondary Staying Healthy</t>
  </si>
  <si>
    <t>Introduction to the QTS Numeracy Test</t>
  </si>
  <si>
    <t>Preparing for the QTS Numeracy Test</t>
  </si>
  <si>
    <t>The QTS General Arithmetic Test</t>
  </si>
  <si>
    <t>The QTS Interpreting Statistics Test</t>
  </si>
  <si>
    <t>The QTS Mental Arithmetic Test</t>
  </si>
  <si>
    <t>A Personal Journey</t>
  </si>
  <si>
    <t>Challenge and Change</t>
  </si>
  <si>
    <t>Making the Grade</t>
  </si>
  <si>
    <t>Matching and Caring</t>
  </si>
  <si>
    <t>D&amp;T : Ownership of Learning</t>
  </si>
  <si>
    <t>Primary Talk and Success Criteria</t>
  </si>
  <si>
    <t>Rachel Atkins</t>
  </si>
  <si>
    <t>Sharing Ideas at EYFS</t>
  </si>
  <si>
    <t>The Art of Differentiation</t>
  </si>
  <si>
    <t>Assessing Excellent Teachers</t>
  </si>
  <si>
    <t>In a Primary School</t>
  </si>
  <si>
    <t>In a Secondary School</t>
  </si>
  <si>
    <t>In-School CPD : Primary</t>
  </si>
  <si>
    <t>In-School CPD : Secondary</t>
  </si>
  <si>
    <t>The Review and Planning Meeting</t>
  </si>
  <si>
    <t>The Reviewee's Guide</t>
  </si>
  <si>
    <t>The Reviewer's Guide</t>
  </si>
  <si>
    <t>In the Classroom</t>
  </si>
  <si>
    <t>Whole School Issues</t>
  </si>
  <si>
    <t>Pupil Leaders</t>
  </si>
  <si>
    <t>Talk to Learn</t>
  </si>
  <si>
    <t>Island Man and Blessing</t>
  </si>
  <si>
    <t>Limbo and Night of the Scorpion</t>
  </si>
  <si>
    <t>Punctuation : Commas</t>
  </si>
  <si>
    <t>Back on Track : KS3 English</t>
  </si>
  <si>
    <t>Back on Track : KS3 Maths</t>
  </si>
  <si>
    <t>Keeping Up at KS2</t>
  </si>
  <si>
    <t>Making Great Progress at KS2</t>
  </si>
  <si>
    <t>Dealing With Parents</t>
  </si>
  <si>
    <t>Time Management</t>
  </si>
  <si>
    <t>APP</t>
  </si>
  <si>
    <t>Formative Assessment 1</t>
  </si>
  <si>
    <t>Formative Assessment 2</t>
  </si>
  <si>
    <t>Making Summative Assessment Work for You</t>
  </si>
  <si>
    <t>The Welsh Experience</t>
  </si>
  <si>
    <t>A Whole School Approach</t>
  </si>
  <si>
    <t>Collaborative Learning</t>
  </si>
  <si>
    <t>Speaking and Listening : Year 1</t>
  </si>
  <si>
    <t>Speaking and Listening : Year 2</t>
  </si>
  <si>
    <t>Cross-Curriculum Teaching</t>
  </si>
  <si>
    <t>Effective Questioning</t>
  </si>
  <si>
    <t>Rewards and Incentives</t>
  </si>
  <si>
    <t>Personalising Learning at KS2</t>
  </si>
  <si>
    <t>Teamwork and Collaboration</t>
  </si>
  <si>
    <t>Ancient Greece : A Cross-Curricular Approach</t>
  </si>
  <si>
    <t>Ancient Greece : Planning a Scheme of Work</t>
  </si>
  <si>
    <t>China : ICT and PE</t>
  </si>
  <si>
    <t>Tomorrow's Teacher</t>
  </si>
  <si>
    <t>Learning Outside the Classroom : Pudsey Bolton Royd Primary School</t>
  </si>
  <si>
    <t>Learning Outside the Classroom : Southdale Junior School</t>
  </si>
  <si>
    <t>Learning Outside the Classroom : St. James' Junior and Infants School</t>
  </si>
  <si>
    <t>Learning Outside the Classroom : St. Peter's Primary School</t>
  </si>
  <si>
    <t>Two Successful Projects</t>
  </si>
  <si>
    <t>A Crash Course</t>
  </si>
  <si>
    <t>Crash Course : 5 Still Pictures</t>
  </si>
  <si>
    <t>Five Classroom Tips</t>
  </si>
  <si>
    <t>Five Whole-School Tips</t>
  </si>
  <si>
    <t>Opening Doors</t>
  </si>
  <si>
    <t>Whole-Community Outreach</t>
  </si>
  <si>
    <t>Calculating</t>
  </si>
  <si>
    <t>EAL in Drama and Music</t>
  </si>
  <si>
    <t>Guided Writing</t>
  </si>
  <si>
    <t>Lesson Study : Improving Writing</t>
  </si>
  <si>
    <t>Literacy and Drama</t>
  </si>
  <si>
    <t>Talk for Maths</t>
  </si>
  <si>
    <t>Classroom Practice</t>
  </si>
  <si>
    <t>From King's Lynn to India</t>
  </si>
  <si>
    <t>The Rights of the Child</t>
  </si>
  <si>
    <t>How Safe Is Your Classroom?</t>
  </si>
  <si>
    <t>Preventing Safety Hazards</t>
  </si>
  <si>
    <t>Advanced Whiteboard Techniques</t>
  </si>
  <si>
    <t>Back On Line</t>
  </si>
  <si>
    <t>Creating a Whiteboard Lesson</t>
  </si>
  <si>
    <t>ICT and Literacy Issues</t>
  </si>
  <si>
    <t>Laptop Pros and Cons</t>
  </si>
  <si>
    <t>Literacy : Working With Words</t>
  </si>
  <si>
    <t>Numeracy : Handling Data</t>
  </si>
  <si>
    <t>Numeracy : Interpreting Data</t>
  </si>
  <si>
    <t>Whiteboard Literacy : Story Starts</t>
  </si>
  <si>
    <t>Whiteboard Literacy : Using Story Starts</t>
  </si>
  <si>
    <t>Whiteboard Numeracy : Decimals and Rotational Symmetry</t>
  </si>
  <si>
    <t>Whiteboard Numeracy : Ratio &amp; Proportion</t>
  </si>
  <si>
    <t>Whiteboard Science : Electricity and Planets</t>
  </si>
  <si>
    <t>Whiteboard Science : Investigation</t>
  </si>
  <si>
    <t>Whiteboard Top Tips</t>
  </si>
  <si>
    <t>Numeracy and Literacy</t>
  </si>
  <si>
    <t>Managing Mobility : A Holistic Approach</t>
  </si>
  <si>
    <t>Managing Mobility : Safe, Settled and Valued</t>
  </si>
  <si>
    <t>Speak to the World</t>
  </si>
  <si>
    <t>Teachers and Children Starting French</t>
  </si>
  <si>
    <t>Revitalising Your Library</t>
  </si>
  <si>
    <t>Sustaining Your Library</t>
  </si>
  <si>
    <t>Attainment and Inclusion : Lessons Learnt</t>
  </si>
  <si>
    <t>Attainment and Inclusion : We Can if...</t>
  </si>
  <si>
    <t>Challenging Children</t>
  </si>
  <si>
    <t>Committed to Community : Cheetham</t>
  </si>
  <si>
    <t>Committed to Community : Ravensbury</t>
  </si>
  <si>
    <t>Creativity in Action</t>
  </si>
  <si>
    <t>Discussion Programme : Behaviour</t>
  </si>
  <si>
    <t>Head to Head</t>
  </si>
  <si>
    <t>Implementing Personalised Learning : Assessment</t>
  </si>
  <si>
    <t>Implementing Personalised Learning : Teaching and Learning</t>
  </si>
  <si>
    <t>In the Money : Heads' Top Tips</t>
  </si>
  <si>
    <t>In the Money : Outside Help</t>
  </si>
  <si>
    <t>The Case for Creativity in School</t>
  </si>
  <si>
    <t>The School Bursar</t>
  </si>
  <si>
    <t>Transactional Analysis</t>
  </si>
  <si>
    <t>Primary Maths</t>
  </si>
  <si>
    <t>How Do They Do It in Hungary?</t>
  </si>
  <si>
    <t>Negative Numbers 1</t>
  </si>
  <si>
    <t>Negative Numbers 2</t>
  </si>
  <si>
    <t>Integrating ICT</t>
  </si>
  <si>
    <t>Small School Leadership</t>
  </si>
  <si>
    <t>Stepping Up</t>
  </si>
  <si>
    <t>Assessment and Lesson Observation</t>
  </si>
  <si>
    <t>Early Days</t>
  </si>
  <si>
    <t>Fit to Teach : D-Stressing</t>
  </si>
  <si>
    <t>Fit to Teach : Food and Fitness</t>
  </si>
  <si>
    <t>From One Thing to Another</t>
  </si>
  <si>
    <t>Getting There</t>
  </si>
  <si>
    <t>Lesson Planning on the Web</t>
  </si>
  <si>
    <t>Managing Behaviour</t>
  </si>
  <si>
    <t>Passing Out</t>
  </si>
  <si>
    <t>Practical Tips 1</t>
  </si>
  <si>
    <t>Practical Tips 2</t>
  </si>
  <si>
    <t>Settling in</t>
  </si>
  <si>
    <t>Simrit and Victoria : Episode 1</t>
  </si>
  <si>
    <t>Simrit and Victoria : Episode 2</t>
  </si>
  <si>
    <t>Simrit and Victoria : Episode 3</t>
  </si>
  <si>
    <t>Simrit and Victoria : Episode 4</t>
  </si>
  <si>
    <t>Work/Life Balance</t>
  </si>
  <si>
    <t>Working With Others</t>
  </si>
  <si>
    <t>Country Roads</t>
  </si>
  <si>
    <t>Road Safety Week</t>
  </si>
  <si>
    <t>Not the Nit Nurse</t>
  </si>
  <si>
    <t>Part of the Team</t>
  </si>
  <si>
    <t>Crime Scene Investigation 1 : Planning the Crime</t>
  </si>
  <si>
    <t>Crime Scene Investigation 2 : Collecting the Evidence</t>
  </si>
  <si>
    <t>Crime Scene Investigation 3 : DNA Fingerprinting</t>
  </si>
  <si>
    <t>Crime Scene Investigation 4 : The Verdict</t>
  </si>
  <si>
    <t>The Role of Talk</t>
  </si>
  <si>
    <t>A Day in the Life of a SENCO</t>
  </si>
  <si>
    <t>A Passion for Handwriting</t>
  </si>
  <si>
    <t>Communicating With Parents</t>
  </si>
  <si>
    <t>Emotional Literacy : The Hightown ELSAs</t>
  </si>
  <si>
    <t>Get Organised</t>
  </si>
  <si>
    <t>Hearing Impairment in Mainstream : Rosie's World</t>
  </si>
  <si>
    <t>Making Inclusion Work</t>
  </si>
  <si>
    <t>Singing and Signing</t>
  </si>
  <si>
    <t>Speech and Language Strategies</t>
  </si>
  <si>
    <t>Tackling Challenging Behaviour 1</t>
  </si>
  <si>
    <t>Tackling Challenging Behaviour 2</t>
  </si>
  <si>
    <t>Using ICT</t>
  </si>
  <si>
    <t>Visual Impairment in Mainstream : Anna's World</t>
  </si>
  <si>
    <t>Working With a Special School</t>
  </si>
  <si>
    <t>Working With P-Scales</t>
  </si>
  <si>
    <t>Race for Survival</t>
  </si>
  <si>
    <t>Rules of the Game</t>
  </si>
  <si>
    <t>Clare Davy : Teaching DNA</t>
  </si>
  <si>
    <t>Toby Oliver : Making Bridges</t>
  </si>
  <si>
    <t>Covering the Basics</t>
  </si>
  <si>
    <t>Practical Tips</t>
  </si>
  <si>
    <t>Career Paths : Around the School</t>
  </si>
  <si>
    <t>Career Paths : In the Classroom</t>
  </si>
  <si>
    <t>Four Learning Mentors</t>
  </si>
  <si>
    <t>Peer Mediation</t>
  </si>
  <si>
    <t>Taking on New Roles</t>
  </si>
  <si>
    <t>Anger Management</t>
  </si>
  <si>
    <t>Dyslexia Support</t>
  </si>
  <si>
    <t>Fun With Maths</t>
  </si>
  <si>
    <t>Group Teaching</t>
  </si>
  <si>
    <t>HLTA at Work</t>
  </si>
  <si>
    <t>Language Support</t>
  </si>
  <si>
    <t>Learning Mentor</t>
  </si>
  <si>
    <t>Literacy Support</t>
  </si>
  <si>
    <t>Springboard Maths</t>
  </si>
  <si>
    <t>The Mouse Doesn't Bite</t>
  </si>
  <si>
    <t>Whole-Class Teaching</t>
  </si>
  <si>
    <t>Working With Teachers : Exploring the Relationship</t>
  </si>
  <si>
    <t>Working With Teachers : Practical Tips</t>
  </si>
  <si>
    <t>Customise your Curriculum : Giant Leaps</t>
  </si>
  <si>
    <t>Customise your Curriculum : Setting Sail</t>
  </si>
  <si>
    <t>Review</t>
  </si>
  <si>
    <t>The Session</t>
  </si>
  <si>
    <t>Building Good Relationships, Primary</t>
  </si>
  <si>
    <t>Building Good Relationships, Secondary</t>
  </si>
  <si>
    <t>Primary Coaching and Mentoring : Focused Feedback</t>
  </si>
  <si>
    <t>Secondary Coaching and Mentoring : Active Observation</t>
  </si>
  <si>
    <t>Chemistry</t>
  </si>
  <si>
    <t>Geography</t>
  </si>
  <si>
    <t>Maths : Wrestling With Primes</t>
  </si>
  <si>
    <t>Maths With Professor Christopher Zeeman</t>
  </si>
  <si>
    <t>Science : New Visions in Neuroscience</t>
  </si>
  <si>
    <t>Independent Learners : A Classroom Approach : Primary</t>
  </si>
  <si>
    <t>Independent Learners : A Whole School Approach</t>
  </si>
  <si>
    <t>Planning With Pupils</t>
  </si>
  <si>
    <t>Positive Learning Environment : Primary</t>
  </si>
  <si>
    <t>The Role of the AST, Primary</t>
  </si>
  <si>
    <t>The Role of the AST, Secondary</t>
  </si>
  <si>
    <t>Managing the Process</t>
  </si>
  <si>
    <t>Maths Across the School Day</t>
  </si>
  <si>
    <t>Teaching and Learning : Early Years Foundation Stage</t>
  </si>
  <si>
    <t>Teaching and Learning Key Stage One</t>
  </si>
  <si>
    <t>Year 3</t>
  </si>
  <si>
    <t>Year 4</t>
  </si>
  <si>
    <t>Year 5</t>
  </si>
  <si>
    <t>Year 6</t>
  </si>
  <si>
    <t>Collaborative Enquiry</t>
  </si>
  <si>
    <t>Detective Work</t>
  </si>
  <si>
    <t>Gaze Aversion</t>
  </si>
  <si>
    <t>Hand Gestures</t>
  </si>
  <si>
    <t>Incremental Learning : 'Snowball' Techniques</t>
  </si>
  <si>
    <t>Independent Group Work</t>
  </si>
  <si>
    <t>Posters</t>
  </si>
  <si>
    <t>Self Assessment and Peer Support</t>
  </si>
  <si>
    <t>Specific Praise</t>
  </si>
  <si>
    <t>Structured Groups</t>
  </si>
  <si>
    <t>The Maths Teacher</t>
  </si>
  <si>
    <t>The PE Teacher</t>
  </si>
  <si>
    <t>The Physics Teacher</t>
  </si>
  <si>
    <t>School Life</t>
  </si>
  <si>
    <t>Charles Dickens</t>
  </si>
  <si>
    <t>Panto</t>
  </si>
  <si>
    <t>Poetry in Motion</t>
  </si>
  <si>
    <t>Raymond Briggs</t>
  </si>
  <si>
    <t>Comics Are Good</t>
  </si>
  <si>
    <t>Messages to Ground Zero</t>
  </si>
  <si>
    <t>Realistic Fiction</t>
  </si>
  <si>
    <t>The Joy of Reading</t>
  </si>
  <si>
    <t>Wash and Learn</t>
  </si>
  <si>
    <t>Alexander McCall Smith</t>
  </si>
  <si>
    <t>Anne Diamond</t>
  </si>
  <si>
    <t>Anthony Horowitz</t>
  </si>
  <si>
    <t>Babette Cole</t>
  </si>
  <si>
    <t>Celia Rees</t>
  </si>
  <si>
    <t>Christmas Special</t>
  </si>
  <si>
    <t>Eoin Colfer</t>
  </si>
  <si>
    <t>Francesca Simon</t>
  </si>
  <si>
    <t>Helen Cooper</t>
  </si>
  <si>
    <t>Meg Rosoff</t>
  </si>
  <si>
    <t>More Jacqueline Wilson</t>
  </si>
  <si>
    <t>Nick Butterworth</t>
  </si>
  <si>
    <t>Roald Dahl</t>
  </si>
  <si>
    <t>Ruth Padel</t>
  </si>
  <si>
    <t>Sally Gardner</t>
  </si>
  <si>
    <t>Simon James</t>
  </si>
  <si>
    <t>Tim Bowler</t>
  </si>
  <si>
    <t>William Nicholson</t>
  </si>
  <si>
    <t>The Results</t>
  </si>
  <si>
    <t>The Science Behind the Experiment</t>
  </si>
  <si>
    <t>Relationships for Learning : Effective Feedback</t>
  </si>
  <si>
    <t>Relationships for Learning : The Mentoring Process</t>
  </si>
  <si>
    <t>Relationships for Learning : University and NQT</t>
  </si>
  <si>
    <t>Movement</t>
  </si>
  <si>
    <t>The Wider Workforce</t>
  </si>
  <si>
    <t>Working With Families</t>
  </si>
  <si>
    <t>Creative Writing Book, Teaching Narrative Animation, Talk-for-Writing Resource</t>
  </si>
  <si>
    <t>Display : Presentation Software and Visualiser</t>
  </si>
  <si>
    <t>EAL Shakespeare, Dual Language DVD, Talking Pen</t>
  </si>
  <si>
    <t>Early Years 1</t>
  </si>
  <si>
    <t>Early Years 2</t>
  </si>
  <si>
    <t>Emotion Cards, Anger Management Game, Motivational Stickers</t>
  </si>
  <si>
    <t>Engaging Parents : Behaviour Techniques, Learning Support Course, Improving GCSEs Book</t>
  </si>
  <si>
    <t>Global Citizenship : Assessment Toolkit, Ethnic Masks, Global Links Website</t>
  </si>
  <si>
    <t>Global Online Conferencing, Hand Puppets, Interactive French</t>
  </si>
  <si>
    <t>Healthy Eating Games, Road Safety, SRE Teaching Pack</t>
  </si>
  <si>
    <t>Healthy Living : Aerobic Dance, PSHEE, Food Production</t>
  </si>
  <si>
    <t>ICT Special : Early Years 1</t>
  </si>
  <si>
    <t>ICT Special : Early Years 2</t>
  </si>
  <si>
    <t>ICT Special : Primary Creative Arts : Art</t>
  </si>
  <si>
    <t>ICT Special : Primary Creative Arts : Dance</t>
  </si>
  <si>
    <t>ICT Special : Primary Creative Arts : Drama</t>
  </si>
  <si>
    <t>ICT Special : Primary Creative Arts : Music</t>
  </si>
  <si>
    <t>ICT Special : Primary English 1</t>
  </si>
  <si>
    <t>ICT Special : Primary English 2</t>
  </si>
  <si>
    <t>ICT Special : Primary Geography</t>
  </si>
  <si>
    <t>ICT Special : Primary History 1</t>
  </si>
  <si>
    <t>ICT Special : Primary History 2</t>
  </si>
  <si>
    <t>ICT Special : Primary Maths 1</t>
  </si>
  <si>
    <t>ICT Special : Primary Maths 2</t>
  </si>
  <si>
    <t>ICT Special : Primary PE/Sport</t>
  </si>
  <si>
    <t>ICT Special : Primary PSHE</t>
  </si>
  <si>
    <t>ICT Special : Primary RE</t>
  </si>
  <si>
    <t>ICT Special : Primary Science 1</t>
  </si>
  <si>
    <t>ICT Special : Primary Science 2</t>
  </si>
  <si>
    <t>ICT Special : Primary Science 3</t>
  </si>
  <si>
    <t>ICT Special : Secondary Business Studies</t>
  </si>
  <si>
    <t>ICT Special : Secondary Citizenship</t>
  </si>
  <si>
    <t>ICT Special : Secondary Creative Arts : Art</t>
  </si>
  <si>
    <t>ICT Special : Secondary Creative Arts : Music</t>
  </si>
  <si>
    <t>ICT Special : Secondary Design and Technology</t>
  </si>
  <si>
    <t>ICT Special : Secondary Geography 1</t>
  </si>
  <si>
    <t>ICT Special : Secondary Geography 2</t>
  </si>
  <si>
    <t>ICT Special : Secondary MFL</t>
  </si>
  <si>
    <t>ICT Special : Secondary PSHE : Sex Education</t>
  </si>
  <si>
    <t>ICT Special : Secondary PSHE/FSA</t>
  </si>
  <si>
    <t>ICT Special : Secondary RE</t>
  </si>
  <si>
    <t>ICT Special : Secondary Science</t>
  </si>
  <si>
    <t>Lesson Planning Pack, Free Maths Printables, Problem Solving Activities</t>
  </si>
  <si>
    <t>Library Activity Ideas, Design, Teenage Book Catalogue</t>
  </si>
  <si>
    <t>NLP Book, Behaviour Website, Challenging Behaviour Book</t>
  </si>
  <si>
    <t>Primary Citizenship</t>
  </si>
  <si>
    <t>Primary CPD Resources</t>
  </si>
  <si>
    <t>Primary Creative Arts</t>
  </si>
  <si>
    <t>Primary Design and Technology</t>
  </si>
  <si>
    <t>Primary English</t>
  </si>
  <si>
    <t>Primary English 1</t>
  </si>
  <si>
    <t>Primary English 2</t>
  </si>
  <si>
    <t>Primary Geography</t>
  </si>
  <si>
    <t>Primary Geography : Festivals</t>
  </si>
  <si>
    <t>Primary Green Resources</t>
  </si>
  <si>
    <t>Primary History : Victorians</t>
  </si>
  <si>
    <t>Primary ICT Kit</t>
  </si>
  <si>
    <t>Primary Literacy 1</t>
  </si>
  <si>
    <t>Primary Literacy 2</t>
  </si>
  <si>
    <t>Primary Maths : Fractions</t>
  </si>
  <si>
    <t>Primary Maths 2</t>
  </si>
  <si>
    <t>Primary MFL</t>
  </si>
  <si>
    <t>Primary MFL 1</t>
  </si>
  <si>
    <t>Primary MFL 2</t>
  </si>
  <si>
    <t>Primary Numeracy 1</t>
  </si>
  <si>
    <t>Primary Numeracy 2</t>
  </si>
  <si>
    <t>Primary Outdoor Environment</t>
  </si>
  <si>
    <t>Primary Poetry</t>
  </si>
  <si>
    <t>Primary PSHE/Citizenship</t>
  </si>
  <si>
    <t>Primary RE</t>
  </si>
  <si>
    <t>Primary Science : Electricity</t>
  </si>
  <si>
    <t>Primary Shakespeare</t>
  </si>
  <si>
    <t>Secondary Business Studies</t>
  </si>
  <si>
    <t>Secondary Citizenship</t>
  </si>
  <si>
    <t>Secondary CPD Resources</t>
  </si>
  <si>
    <t>Secondary Creative Arts</t>
  </si>
  <si>
    <t>Secondary D&amp;T 1</t>
  </si>
  <si>
    <t>Secondary D&amp;T 2</t>
  </si>
  <si>
    <t>Secondary Design &amp; Technology</t>
  </si>
  <si>
    <t>Secondary Design and Technology</t>
  </si>
  <si>
    <t>Secondary English 1</t>
  </si>
  <si>
    <t>Secondary English 2</t>
  </si>
  <si>
    <t>Secondary Geography : Climate Change</t>
  </si>
  <si>
    <t>Secondary Green Resources</t>
  </si>
  <si>
    <t>Secondary History : Local History</t>
  </si>
  <si>
    <t>Secondary History 1</t>
  </si>
  <si>
    <t>Secondary History 2</t>
  </si>
  <si>
    <t>Secondary Humanities</t>
  </si>
  <si>
    <t>Secondary ICT Kit</t>
  </si>
  <si>
    <t>Secondary Maths : Problem-Solving</t>
  </si>
  <si>
    <t>Secondary Maths 1</t>
  </si>
  <si>
    <t>Secondary Maths 2</t>
  </si>
  <si>
    <t>Secondary MFL</t>
  </si>
  <si>
    <t>Secondary Modern Foreign Languages</t>
  </si>
  <si>
    <t>Secondary Outdoor Environment</t>
  </si>
  <si>
    <t>Secondary Poetry</t>
  </si>
  <si>
    <t>Secondary RE</t>
  </si>
  <si>
    <t>Secondary Science : Forces and Motion</t>
  </si>
  <si>
    <t>Secondary Science 1</t>
  </si>
  <si>
    <t>Secondary Science 2</t>
  </si>
  <si>
    <t>Secondary Shakespeare</t>
  </si>
  <si>
    <t>Learning Platforms</t>
  </si>
  <si>
    <t>Return to Two Schools in Nablus</t>
  </si>
  <si>
    <t>Beyond School</t>
  </si>
  <si>
    <t>Exam Time</t>
  </si>
  <si>
    <t>The Path to the Future</t>
  </si>
  <si>
    <t>Foundations of Global Morality With Mary Warnock</t>
  </si>
  <si>
    <t>Howard Gardner : Future Minds</t>
  </si>
  <si>
    <t>Oliver James : Affluenza</t>
  </si>
  <si>
    <t>Restorative Justice in Schools</t>
  </si>
  <si>
    <t>Sex Slavery and Human Trafficking</t>
  </si>
  <si>
    <t>Stephen Heppell : Learning 2016</t>
  </si>
  <si>
    <t>Steve Jones : The Literary Ape</t>
  </si>
  <si>
    <t>Tim Gill : Risk and Childhood</t>
  </si>
  <si>
    <t>Wangari Maathai : A Life in Conservation</t>
  </si>
  <si>
    <t>More Ways Into Shakespeare's Othello</t>
  </si>
  <si>
    <t>Ways Into Shakespeare's Othello</t>
  </si>
  <si>
    <t>For Primary Heads and Governors</t>
  </si>
  <si>
    <t>For Secondary Heads and Governors</t>
  </si>
  <si>
    <t>Bringing the Cleaning Contract In-House</t>
  </si>
  <si>
    <t>Catering Contracts</t>
  </si>
  <si>
    <t>Collaborative Purchasing</t>
  </si>
  <si>
    <t>DIY Decorating and Rubbish Collection</t>
  </si>
  <si>
    <t>Energy Costs</t>
  </si>
  <si>
    <t>E-Office Systems</t>
  </si>
  <si>
    <t>Green Savings</t>
  </si>
  <si>
    <t>ICT Provision</t>
  </si>
  <si>
    <t>Local Authority Contracts</t>
  </si>
  <si>
    <t>Managing a PFI Contract</t>
  </si>
  <si>
    <t>Payroll, Property Development and Lettings</t>
  </si>
  <si>
    <t>Primary Federation : The Benefits</t>
  </si>
  <si>
    <t>Property Development, Contracts and Revenue Generation</t>
  </si>
  <si>
    <t>Reducing Costs and Involving Students</t>
  </si>
  <si>
    <t>Roll-Over Leases</t>
  </si>
  <si>
    <t>Rural Clusters</t>
  </si>
  <si>
    <t>Saving Money and Revenue Generation</t>
  </si>
  <si>
    <t>Savings on Capital Spending</t>
  </si>
  <si>
    <t>Secondary Federation : The Benefits</t>
  </si>
  <si>
    <t>Sustainable Schools</t>
  </si>
  <si>
    <t>Federated School</t>
  </si>
  <si>
    <t>Internship</t>
  </si>
  <si>
    <t>Big School Democracy</t>
  </si>
  <si>
    <t>Say Your Piece</t>
  </si>
  <si>
    <t>Speak Out</t>
  </si>
  <si>
    <t>Starting Early</t>
  </si>
  <si>
    <t>Ashmead Community School, Reading</t>
  </si>
  <si>
    <t>Bonner Street Primary School, London</t>
  </si>
  <si>
    <t>Boris Johnson</t>
  </si>
  <si>
    <t>Brancaster Deepdale Primary School, Norfolk</t>
  </si>
  <si>
    <t>Clare Short</t>
  </si>
  <si>
    <t>David Miliband</t>
  </si>
  <si>
    <t>George Galloway</t>
  </si>
  <si>
    <t>Jacqui Smith</t>
  </si>
  <si>
    <t>Michael Howard</t>
  </si>
  <si>
    <t>Simon Hughes</t>
  </si>
  <si>
    <t>The Liverpool Collegiate</t>
  </si>
  <si>
    <t>Behaviour Breakdown : Knife Nightmare</t>
  </si>
  <si>
    <t>Behaviour Breakdown : Punishing the Whole Class</t>
  </si>
  <si>
    <t>Behaviour Breakdown : Teachers Versus TA</t>
  </si>
  <si>
    <t>Can Christmas Be Inclusive</t>
  </si>
  <si>
    <t>Hothousing Gifted Pupils</t>
  </si>
  <si>
    <t>When Professionals Disagree : NQT Versus Mentor</t>
  </si>
  <si>
    <t>Evelyn Primary</t>
  </si>
  <si>
    <t>Morpeth Secondary</t>
  </si>
  <si>
    <t>Mossbourne Community Academy</t>
  </si>
  <si>
    <t>Mountfitchet College</t>
  </si>
  <si>
    <t>Succeeding Against the Odds : Middleton Technology School</t>
  </si>
  <si>
    <t>Succeeding Against the Odds : Wood Green High School</t>
  </si>
  <si>
    <t>Tollgate Primary</t>
  </si>
  <si>
    <t>... in Xalapa, Mexico : The Five Standards and the School Community</t>
  </si>
  <si>
    <t>...in Córdoba, Mexico : Five Standards in One Day</t>
  </si>
  <si>
    <t>...in Cosoleacaque, Mexico : Interpreting the Five Standards</t>
  </si>
  <si>
    <t>...in Recife, Brazil</t>
  </si>
  <si>
    <t>...in São Paulo, Brazil</t>
  </si>
  <si>
    <t>...in Tacaimbó, Brazil</t>
  </si>
  <si>
    <t>Emerging Trends in Leadership : Monteney &amp; Foxhill Primary Schools Sheffield</t>
  </si>
  <si>
    <t>Emerging Trends in Leadership : The Canterbury Campus Kent</t>
  </si>
  <si>
    <t>Federations and Distributed Leadership</t>
  </si>
  <si>
    <t>NCSL Professor Ainscow Interview Clips</t>
  </si>
  <si>
    <t>"Being Different May Be Cool" : On the Autistic Spectrum</t>
  </si>
  <si>
    <t>A Safe Alternative</t>
  </si>
  <si>
    <t>A Taste of Secondary</t>
  </si>
  <si>
    <t>Adam Rutherford on Evolution and Creationism</t>
  </si>
  <si>
    <t>AfL and APP : What's Going on With Assessment</t>
  </si>
  <si>
    <t>Battling Anorexia</t>
  </si>
  <si>
    <t>Beating Bullying</t>
  </si>
  <si>
    <t>Black Boys</t>
  </si>
  <si>
    <t>Bristol Schools : Fighting Back</t>
  </si>
  <si>
    <t>Cash for Answers</t>
  </si>
  <si>
    <t>Challenging Behaviour</t>
  </si>
  <si>
    <t>Challenging Homophobia</t>
  </si>
  <si>
    <t>Challenging Racism</t>
  </si>
  <si>
    <t>Coaching in Schools</t>
  </si>
  <si>
    <t>Conquering the Paperwork Mountain</t>
  </si>
  <si>
    <t>Coping With Bereavement</t>
  </si>
  <si>
    <t>CRB : Checks and Balances</t>
  </si>
  <si>
    <t>David Burghes on Maths</t>
  </si>
  <si>
    <t>Dealing With Race</t>
  </si>
  <si>
    <t>Diplomas</t>
  </si>
  <si>
    <t>Diplomas : A Progress Report</t>
  </si>
  <si>
    <t>Does Class Size Matter?</t>
  </si>
  <si>
    <t>Early Sex Education</t>
  </si>
  <si>
    <t>Early Sex Education : The Debate</t>
  </si>
  <si>
    <t>E-assessment : Where Next?</t>
  </si>
  <si>
    <t>Economics of Education</t>
  </si>
  <si>
    <t>Education for All : Halfway There?</t>
  </si>
  <si>
    <t>Escape From Special Measures</t>
  </si>
  <si>
    <t>Estelle Morris on the Attainment Gap</t>
  </si>
  <si>
    <t>Every Child Matters &amp; Multi-Agency Working</t>
  </si>
  <si>
    <t>Every Child Matters : A Healthcheck</t>
  </si>
  <si>
    <t>Exam Cheating</t>
  </si>
  <si>
    <t>Exams : Dumbing Down or Wising Up?</t>
  </si>
  <si>
    <t>Firesetters</t>
  </si>
  <si>
    <t>First Days at Secondary</t>
  </si>
  <si>
    <t>Gay Teachers</t>
  </si>
  <si>
    <t>Generation Y : Young School Leaders</t>
  </si>
  <si>
    <t>Girls Bullying</t>
  </si>
  <si>
    <t>Happiest Days?</t>
  </si>
  <si>
    <t>Hi Tech Transition</t>
  </si>
  <si>
    <t>I Am Bovvered</t>
  </si>
  <si>
    <t>ICT : A Vision of the Future?</t>
  </si>
  <si>
    <t>Including Parents</t>
  </si>
  <si>
    <t>League Tables</t>
  </si>
  <si>
    <t>Lost for Words</t>
  </si>
  <si>
    <t>Mental Health : Supporting Young Minds</t>
  </si>
  <si>
    <t>Michael Rosen on Literacy</t>
  </si>
  <si>
    <t>Mobile Phones, Mobile Minds</t>
  </si>
  <si>
    <t>More Than a Special School</t>
  </si>
  <si>
    <t>Natalie Haynes on Comedy in Class</t>
  </si>
  <si>
    <t>Network Improvements</t>
  </si>
  <si>
    <t>Neuroscience, Schools and the Future</t>
  </si>
  <si>
    <t>New Thinking Skills</t>
  </si>
  <si>
    <t>Online Social Networks : Friend or Foe?</t>
  </si>
  <si>
    <t>Polish Inclusion</t>
  </si>
  <si>
    <t>Preparing for Transfer</t>
  </si>
  <si>
    <t>Primary Mental Health : Daryl's Story</t>
  </si>
  <si>
    <t>Primary MFL : Ready for 2010?</t>
  </si>
  <si>
    <t>Private Management, State School</t>
  </si>
  <si>
    <t>Protecting Children : Four True Stories</t>
  </si>
  <si>
    <t>Pupil Voice</t>
  </si>
  <si>
    <t>Raising Aspirations</t>
  </si>
  <si>
    <t>Random Drug Testing</t>
  </si>
  <si>
    <t>Random Drug Testing : The Debate</t>
  </si>
  <si>
    <t>Refugees in Schools</t>
  </si>
  <si>
    <t>Scanning for Security</t>
  </si>
  <si>
    <t>School Behind Bars</t>
  </si>
  <si>
    <t>Selection</t>
  </si>
  <si>
    <t>Sexual Bullying</t>
  </si>
  <si>
    <t>Special Needs : Inclusion</t>
  </si>
  <si>
    <t>Strangers on the Shore</t>
  </si>
  <si>
    <t>Students Under Surveillance</t>
  </si>
  <si>
    <t>Tackling Obesity</t>
  </si>
  <si>
    <t>Taking Risks With Ofsted</t>
  </si>
  <si>
    <t>Teacher Mental Health</t>
  </si>
  <si>
    <t>Teacher Retention</t>
  </si>
  <si>
    <t>Teacher-Pupil : A Good Working Relationship</t>
  </si>
  <si>
    <t>Teaching Abortion</t>
  </si>
  <si>
    <t>Teenage Dropouts : NEETs</t>
  </si>
  <si>
    <t>Teenage Fathers</t>
  </si>
  <si>
    <t>Teenage Love and Relationships</t>
  </si>
  <si>
    <t>Teenage Mothers</t>
  </si>
  <si>
    <t>Teenage Sexual Health</t>
  </si>
  <si>
    <t>The 48 Hour Inspection</t>
  </si>
  <si>
    <t>The Academy</t>
  </si>
  <si>
    <t>The Business of Education</t>
  </si>
  <si>
    <t>The Future of English</t>
  </si>
  <si>
    <t>The Games Children Play</t>
  </si>
  <si>
    <t>The Select Committee and the £45 Billion Question</t>
  </si>
  <si>
    <t>The Swedish Model : A Lesson in School Choice</t>
  </si>
  <si>
    <t>The Trouble With Parents</t>
  </si>
  <si>
    <t>Thinking Skills : Brain-Based Approaches</t>
  </si>
  <si>
    <t>Thinking Skills : Child Philosophers</t>
  </si>
  <si>
    <t>Tomorrow’s Teacher, Tomorrow’s School</t>
  </si>
  <si>
    <t>Train to Restrain</t>
  </si>
  <si>
    <t>Uniforms and Religious Dress</t>
  </si>
  <si>
    <t>Uniforms and Religious Dress : The Debate</t>
  </si>
  <si>
    <t>Unqualified Success?</t>
  </si>
  <si>
    <t>Us and Them</t>
  </si>
  <si>
    <t>White Under-Achievement : Putting Class Into the Classroom</t>
  </si>
  <si>
    <t>Why Bother With Health?</t>
  </si>
  <si>
    <t>Young Carers</t>
  </si>
  <si>
    <t>Compilation</t>
  </si>
  <si>
    <t>Guided Choices Evening</t>
  </si>
  <si>
    <t>Parents' Evening</t>
  </si>
  <si>
    <t>School Production</t>
  </si>
  <si>
    <t>School Trip</t>
  </si>
  <si>
    <t>Sports Day</t>
  </si>
  <si>
    <t>Preventing Youth Crime</t>
  </si>
  <si>
    <t>Securing Schools</t>
  </si>
  <si>
    <t>Tackling Gang Culture</t>
  </si>
  <si>
    <t>Managing Challenging Behaviour</t>
  </si>
  <si>
    <t>Traumatised Children</t>
  </si>
  <si>
    <t>Action!</t>
  </si>
  <si>
    <t>Bugs</t>
  </si>
  <si>
    <t>Green World</t>
  </si>
  <si>
    <t>How Stuff Changes</t>
  </si>
  <si>
    <t>Light Show</t>
  </si>
  <si>
    <t>What Stuff Does</t>
  </si>
  <si>
    <t>Construction Trades</t>
  </si>
  <si>
    <t>Professional Catering</t>
  </si>
  <si>
    <t>Textiles</t>
  </si>
  <si>
    <t>Upward Bound : Managing 14-19 Liaison</t>
  </si>
  <si>
    <t>Young Apprentices : The Experience</t>
  </si>
  <si>
    <t>Young Apprentices : The Mechanics</t>
  </si>
  <si>
    <t>Assessment for Learning : A Special Case</t>
  </si>
  <si>
    <t>Assessment for Learning : Dances With Boys</t>
  </si>
  <si>
    <t>Assessment for Learning : Questions and Answers</t>
  </si>
  <si>
    <t>Assessment for Learning : Sharing the Criteria</t>
  </si>
  <si>
    <t>Formative Assessment</t>
  </si>
  <si>
    <t>Modern Foreign Languages</t>
  </si>
  <si>
    <t>Changing Challenging Behaviour</t>
  </si>
  <si>
    <t>The Role of SEAL</t>
  </si>
  <si>
    <t>Mock Interviews</t>
  </si>
  <si>
    <t>Setting Up a Careers Programme</t>
  </si>
  <si>
    <t>A Cross Curriculum Approach</t>
  </si>
  <si>
    <t>Letters to Death Row</t>
  </si>
  <si>
    <t>The Human Rights Experience</t>
  </si>
  <si>
    <t>Curriculum Planning</t>
  </si>
  <si>
    <t>PLTS</t>
  </si>
  <si>
    <t>Work Experience</t>
  </si>
  <si>
    <t>A Day in the Life of a Form Tutor</t>
  </si>
  <si>
    <t>Teaching and Non-Teaching Staff</t>
  </si>
  <si>
    <t>Inside</t>
  </si>
  <si>
    <t>Outside</t>
  </si>
  <si>
    <t>Teenage Mental Health</t>
  </si>
  <si>
    <t>The Training Kitchen</t>
  </si>
  <si>
    <t>Specialising In Maths</t>
  </si>
  <si>
    <t>Take Three</t>
  </si>
  <si>
    <t>Secondary ICT</t>
  </si>
  <si>
    <t>Engaging Girls</t>
  </si>
  <si>
    <t>E-Schooling</t>
  </si>
  <si>
    <t>Money for ICT : Find It</t>
  </si>
  <si>
    <t>Money for ICT : Spend It</t>
  </si>
  <si>
    <t>Personalised Learning With ICT 1</t>
  </si>
  <si>
    <t>Personalised Learning With ICT 2</t>
  </si>
  <si>
    <t>Personalised Learning With ICT 3</t>
  </si>
  <si>
    <t>Plagiarism : A Cut and Paste Generation</t>
  </si>
  <si>
    <t>Web Literacy</t>
  </si>
  <si>
    <t>Choosing a VLE</t>
  </si>
  <si>
    <t>VLE in Action</t>
  </si>
  <si>
    <t>Enhancing Your Visuals</t>
  </si>
  <si>
    <t>Internet Research and Podcasting</t>
  </si>
  <si>
    <t>PDAs and Webcams</t>
  </si>
  <si>
    <t>Robots and Sensors</t>
  </si>
  <si>
    <t>Becoming Integral to School Life</t>
  </si>
  <si>
    <t>Making the Most of the Space</t>
  </si>
  <si>
    <t>A Critical Friend</t>
  </si>
  <si>
    <t>Answer That!</t>
  </si>
  <si>
    <t>Attendance and Punctuality : Carrots and Sticks</t>
  </si>
  <si>
    <t>Attendance and Punctuality : Rewarding Attendance</t>
  </si>
  <si>
    <t>Fundraising Consultancy</t>
  </si>
  <si>
    <t>Implementing Personalised Learning : Crafting the Curriculum</t>
  </si>
  <si>
    <t>Implementing Personalised Learning : Customised Teaching</t>
  </si>
  <si>
    <t>Managing Inclusion : Preventing Exclusion</t>
  </si>
  <si>
    <t>Managing Inclusion : Reducing the Burden</t>
  </si>
  <si>
    <t>Meet the Parents</t>
  </si>
  <si>
    <t>Raising Funds Locally</t>
  </si>
  <si>
    <t>Restorative Justice in Action 1</t>
  </si>
  <si>
    <t>Restorative Justice in Action 2</t>
  </si>
  <si>
    <t>Safer Pupils</t>
  </si>
  <si>
    <t>Safer Schools</t>
  </si>
  <si>
    <t>Safer Staff</t>
  </si>
  <si>
    <t>History of Maths</t>
  </si>
  <si>
    <t>Mathematics for All : 3D Awareness</t>
  </si>
  <si>
    <t>Mathematics for All : Enrichment Tasks</t>
  </si>
  <si>
    <t>Mathematics for All : Geometry From the Playground</t>
  </si>
  <si>
    <t>Mathematics for All : Playing Mathematically</t>
  </si>
  <si>
    <t>Celebrating Diversity</t>
  </si>
  <si>
    <t>Modernising Urdu</t>
  </si>
  <si>
    <t>Tackling Transition</t>
  </si>
  <si>
    <t>Teaching Arabic</t>
  </si>
  <si>
    <t>Building Leadership Capacity</t>
  </si>
  <si>
    <t>Improving Professional Practice</t>
  </si>
  <si>
    <t>Classroom Encounters With Cowley</t>
  </si>
  <si>
    <t>Classroom Management</t>
  </si>
  <si>
    <t>Expert Advice 1</t>
  </si>
  <si>
    <t>Expert Advice 2</t>
  </si>
  <si>
    <t>Extending Your Range</t>
  </si>
  <si>
    <t>First Year and Beyond</t>
  </si>
  <si>
    <t>Guess Who's Coming to Dinner</t>
  </si>
  <si>
    <t>Lesson Observation</t>
  </si>
  <si>
    <t>Making PPA Work for You</t>
  </si>
  <si>
    <t>More Classroom Encounters With Cowley</t>
  </si>
  <si>
    <t>Reporting to Parents</t>
  </si>
  <si>
    <t>Sharing the Load</t>
  </si>
  <si>
    <t>Survival Secrets</t>
  </si>
  <si>
    <t>Teaching With Style</t>
  </si>
  <si>
    <t>The First Year : Key Moments</t>
  </si>
  <si>
    <t>A Case Study</t>
  </si>
  <si>
    <t>Transition From Primary</t>
  </si>
  <si>
    <t>Genetics and Medicine : Breast Cancer in the Family</t>
  </si>
  <si>
    <t>Genetics and Medicine : Genes and Disease</t>
  </si>
  <si>
    <t>Genetics and Medicine : Genomics, Society and Health</t>
  </si>
  <si>
    <t>Genetics and Medicine : Genomics, Society and Health : Genomics, decision-making and risk</t>
  </si>
  <si>
    <t>Genetics and Medicine : Genomics, Society and Health : Personality and Behaviour</t>
  </si>
  <si>
    <t>How Science Works : Bad Vibes</t>
  </si>
  <si>
    <t>How Science Works : Chasing the Wind</t>
  </si>
  <si>
    <t>How Science Works : Engineering Gold</t>
  </si>
  <si>
    <t>How Science Works : In the Classroom</t>
  </si>
  <si>
    <t>Language and Inclusion</t>
  </si>
  <si>
    <t>Reducing Disproportionate Exclusions</t>
  </si>
  <si>
    <t>Severe and Complex Needs in the Mainstream School</t>
  </si>
  <si>
    <t>African Singing</t>
  </si>
  <si>
    <t>Chart Songs</t>
  </si>
  <si>
    <t>Gospel Singing</t>
  </si>
  <si>
    <t>Making Singing Happen</t>
  </si>
  <si>
    <t>Starting Out</t>
  </si>
  <si>
    <t>A Recipe for Success</t>
  </si>
  <si>
    <t>Back in the Mainstream</t>
  </si>
  <si>
    <t>Complex Special Needs</t>
  </si>
  <si>
    <t>Dyslexia Friendly Classroom</t>
  </si>
  <si>
    <t>EBD : Preparing to Leave</t>
  </si>
  <si>
    <t>EBD : Transforming Lives</t>
  </si>
  <si>
    <t>Hearing Impairment in Mainstream : Emily's World</t>
  </si>
  <si>
    <t>Inclusion and Autism</t>
  </si>
  <si>
    <t>Nurturing the New</t>
  </si>
  <si>
    <t>SEN Pupils in Transition</t>
  </si>
  <si>
    <t>Success and Self Esteem</t>
  </si>
  <si>
    <t>Supporting Dyslexics</t>
  </si>
  <si>
    <t>Supporting the LSA Team</t>
  </si>
  <si>
    <t>Understanding Autism</t>
  </si>
  <si>
    <t>Working to Learn</t>
  </si>
  <si>
    <t>Working With Pupils With Down's Syndrome</t>
  </si>
  <si>
    <t>Field of Dreams</t>
  </si>
  <si>
    <t>Leading Edge</t>
  </si>
  <si>
    <t>The Bloodhound SSC Project</t>
  </si>
  <si>
    <t>The Bloodhound SSC Project : Engineering the Physics</t>
  </si>
  <si>
    <t>Enquiry Skills</t>
  </si>
  <si>
    <t>Inclusive Online Homework</t>
  </si>
  <si>
    <t>Independent Learning in English : Romeo and Juliet</t>
  </si>
  <si>
    <t>Long-term Revision : Geography Revision Club</t>
  </si>
  <si>
    <t>Maths Revision Club</t>
  </si>
  <si>
    <t>Motivation and Reward</t>
  </si>
  <si>
    <t>Teaching Traditional Research Skills in Science</t>
  </si>
  <si>
    <t>A Day in the Life</t>
  </si>
  <si>
    <t>Running for Cover</t>
  </si>
  <si>
    <t>A Day in the Life of a Business Manager</t>
  </si>
  <si>
    <t>Learning Mentors</t>
  </si>
  <si>
    <t>Multi-Agency Working</t>
  </si>
  <si>
    <t>Raising Attainment</t>
  </si>
  <si>
    <t>Secondary Support Staff 1</t>
  </si>
  <si>
    <t>Secondary Support Staff 2</t>
  </si>
  <si>
    <t>EAL 1</t>
  </si>
  <si>
    <t>From Support Staff to SENCO</t>
  </si>
  <si>
    <t>Planning Work</t>
  </si>
  <si>
    <t>TA Award Winner</t>
  </si>
  <si>
    <t>Train to Gain</t>
  </si>
  <si>
    <t>Training for Secondary TAs</t>
  </si>
  <si>
    <t>Training Opportunities</t>
  </si>
  <si>
    <t>Working as a Team</t>
  </si>
  <si>
    <t>Working One to One</t>
  </si>
  <si>
    <t>How Do They Do It In Holland? 1</t>
  </si>
  <si>
    <t>How Do They Do It In Holland? 2</t>
  </si>
  <si>
    <t>Pupils Plotting</t>
  </si>
  <si>
    <t>Tell Tale Teachers</t>
  </si>
  <si>
    <t>3D Maps, Coordinates and Bingo</t>
  </si>
  <si>
    <t>Beat Bullying Throughout the School</t>
  </si>
  <si>
    <t>Creating a Festive Newspaper</t>
  </si>
  <si>
    <t>Creative Literacy in the Classroom</t>
  </si>
  <si>
    <t>Creative Writing Outside the Classroom</t>
  </si>
  <si>
    <t>Debating in the Name of History</t>
  </si>
  <si>
    <t>Engaging Pupils Learning EAL</t>
  </si>
  <si>
    <t>Finding Time for STEM</t>
  </si>
  <si>
    <t>Healthy Living Throughout the Curriculum</t>
  </si>
  <si>
    <t>Learning Languages Through Sharing Resources</t>
  </si>
  <si>
    <t>Maths in Nature</t>
  </si>
  <si>
    <t>Musical Expression Throughout the Curriculum</t>
  </si>
  <si>
    <t>Pupil Led Learning</t>
  </si>
  <si>
    <t>Science in Your Local Area</t>
  </si>
  <si>
    <t>Sustainability in Schools</t>
  </si>
  <si>
    <t>Wheelchair Dancing</t>
  </si>
  <si>
    <t>Fractions : Cutting a Cake</t>
  </si>
  <si>
    <t>Fractions : Using Reciprocals</t>
  </si>
  <si>
    <t>Percentages : Price Discount on Suitcase</t>
  </si>
  <si>
    <t>Probability : Assorted Chocolates</t>
  </si>
  <si>
    <t>Surface Area : Octagon</t>
  </si>
  <si>
    <t>Value for Money : Boxes of Teabags</t>
  </si>
  <si>
    <t>Value for Money : Mobile Phone Tariffs</t>
  </si>
  <si>
    <t>Beauty Therapy</t>
  </si>
  <si>
    <t>Bricklaying</t>
  </si>
  <si>
    <t>Cooking</t>
  </si>
  <si>
    <t>Landscape Gardening</t>
  </si>
  <si>
    <t>Learning to be Champions</t>
  </si>
  <si>
    <t>Who's Going to Japan?</t>
  </si>
  <si>
    <t>Emma Penzer</t>
  </si>
  <si>
    <t>Philomena Cozens</t>
  </si>
  <si>
    <t>Simon Wilson</t>
  </si>
  <si>
    <t>Tracey Hemming</t>
  </si>
  <si>
    <t>The Bristol Approach</t>
  </si>
  <si>
    <t>The Sawtry Approach</t>
  </si>
  <si>
    <t>Differentiation in Action : Primary</t>
  </si>
  <si>
    <t>Differentiation in Action : Secondary</t>
  </si>
  <si>
    <t>Making a Statement</t>
  </si>
  <si>
    <t>A Multi-Sensory Approach</t>
  </si>
  <si>
    <t>Access the Curriculum</t>
  </si>
  <si>
    <t>EBD : Child-Centred Paths</t>
  </si>
  <si>
    <t>EBD : The Systemic Approach</t>
  </si>
  <si>
    <t>Imagination on the Autistic Spectrum</t>
  </si>
  <si>
    <t>Inclusive Classroom</t>
  </si>
  <si>
    <t>PE : Changing the Rules</t>
  </si>
  <si>
    <t>Sex and Relationship Education</t>
  </si>
  <si>
    <t>Teachers as Trainers</t>
  </si>
  <si>
    <t>Teaching Independence</t>
  </si>
  <si>
    <t>Teaching Visually Impaired Pupils</t>
  </si>
  <si>
    <t>Colleagues</t>
  </si>
  <si>
    <t>More Kids</t>
  </si>
  <si>
    <t>The Kids</t>
  </si>
  <si>
    <t>Always the Teacher Never the Bride</t>
  </si>
  <si>
    <t>Eating Apricots</t>
  </si>
  <si>
    <t>How are You?</t>
  </si>
  <si>
    <t>Locked Stockroom and Two Smoking Gerbils</t>
  </si>
  <si>
    <t>Measure of Love</t>
  </si>
  <si>
    <t>The Road Ahead</t>
  </si>
  <si>
    <t>What Would the Buddha Have Done?</t>
  </si>
  <si>
    <t>Show Dogs and the Power Lifter</t>
  </si>
  <si>
    <t>The BMX-er and the Psychologist</t>
  </si>
  <si>
    <t>The Fiddler and the Go-Karter</t>
  </si>
  <si>
    <t>The Musical Director and the Tortoise Conservationist</t>
  </si>
  <si>
    <t>The Rower and the Magician</t>
  </si>
  <si>
    <t>The Writer and the Table Tennis Player</t>
  </si>
  <si>
    <t>First Week of Term</t>
  </si>
  <si>
    <t>Meetings, Meetings, Meetings</t>
  </si>
  <si>
    <t>Results Day</t>
  </si>
  <si>
    <t>ATL</t>
  </si>
  <si>
    <t>NASUWT</t>
  </si>
  <si>
    <t>NUT</t>
  </si>
  <si>
    <t>Charlotte Bailey : Trainee Plant Analyst</t>
  </si>
  <si>
    <t>Chris Styles : Applications Engineer</t>
  </si>
  <si>
    <t>Faye Cashman : Spacecraft Engineer</t>
  </si>
  <si>
    <t>Graham Gannon : Entrepreneur</t>
  </si>
  <si>
    <t>Leo Garcia : Medical Physicist</t>
  </si>
  <si>
    <t>Sheila Kanani : Planetary Scientist</t>
  </si>
  <si>
    <t>Careers</t>
  </si>
  <si>
    <t>Economic Wellbeing</t>
  </si>
  <si>
    <t>Equality and Diversity</t>
  </si>
  <si>
    <t>Information Advice and Guidance</t>
  </si>
  <si>
    <t>Role Models and Work Placements</t>
  </si>
  <si>
    <t>Web Interviews</t>
  </si>
  <si>
    <t>Distributed Leadership : Relieving Work Pressure?</t>
  </si>
  <si>
    <t>Transactional Analysis and Communications</t>
  </si>
  <si>
    <t>All in the Mind?</t>
  </si>
  <si>
    <t>Avoiding Burnout</t>
  </si>
  <si>
    <t>Handling Stress</t>
  </si>
  <si>
    <t>Managing Stress</t>
  </si>
  <si>
    <t>Preparing for Antarctica</t>
  </si>
  <si>
    <t>Surviving in Antarctica</t>
  </si>
  <si>
    <t>Answering Questions</t>
  </si>
  <si>
    <t>As Middle Leader</t>
  </si>
  <si>
    <t>As Senior Leader</t>
  </si>
  <si>
    <t>Managing Nerves</t>
  </si>
  <si>
    <t>Selling Yourself</t>
  </si>
  <si>
    <t>Teaching an Observed Lesson</t>
  </si>
  <si>
    <t>Class Control</t>
  </si>
  <si>
    <t>Communicating</t>
  </si>
  <si>
    <t>Coping With Different Abilities</t>
  </si>
  <si>
    <t>Rewards</t>
  </si>
  <si>
    <t>Sanctions</t>
  </si>
  <si>
    <t>Timing</t>
  </si>
  <si>
    <t>Dealing With Change</t>
  </si>
  <si>
    <t>Impact on Learning</t>
  </si>
  <si>
    <t>Bio-diversity</t>
  </si>
  <si>
    <t>Buildings</t>
  </si>
  <si>
    <t>Energy and Recycling</t>
  </si>
  <si>
    <t>Surf and the Simpsons</t>
  </si>
  <si>
    <t>Battling the Bug</t>
  </si>
  <si>
    <t>Teaching the Science</t>
  </si>
  <si>
    <t>Iraqi Children Speak</t>
  </si>
  <si>
    <t>Iraqi Teenagers Speak</t>
  </si>
  <si>
    <t>Teaching Iraqi Children</t>
  </si>
  <si>
    <t>Faith Schools</t>
  </si>
  <si>
    <t>Parent Power</t>
  </si>
  <si>
    <t>Phonics</t>
  </si>
  <si>
    <t>School Food</t>
  </si>
  <si>
    <t>School Governors</t>
  </si>
  <si>
    <t>Celebrity Haircut : Brenda Mitchell</t>
  </si>
  <si>
    <t>Celebrity Haircut : Julie Richardson</t>
  </si>
  <si>
    <t>Celebrity Haircut : Karen Stevens</t>
  </si>
  <si>
    <t>Celebrity Haircut : Laura Purdy</t>
  </si>
  <si>
    <t>Celebrity Haircut : Tracey Cooke</t>
  </si>
  <si>
    <t>Celebrity Haircut : Wendy Hemsley</t>
  </si>
  <si>
    <t>In Special Schools</t>
  </si>
  <si>
    <t>Whole School Impact : Primary</t>
  </si>
  <si>
    <t>Whole School Impact : Secondary</t>
  </si>
  <si>
    <t>Anna Shermer</t>
  </si>
  <si>
    <t>South East Surrey PRU</t>
  </si>
  <si>
    <t>Melanie Webb</t>
  </si>
  <si>
    <t>Lucinda Long</t>
  </si>
  <si>
    <t>Heather Primary School</t>
  </si>
  <si>
    <t>Donna Hall</t>
  </si>
  <si>
    <t>Columbia Grange School</t>
  </si>
  <si>
    <t>Jane Brown</t>
  </si>
  <si>
    <t>Heather Tisdale</t>
  </si>
  <si>
    <t>The Winner : Jane Brown</t>
  </si>
  <si>
    <t>Lisa Green</t>
  </si>
  <si>
    <t>Mark McHugh</t>
  </si>
  <si>
    <t>Alexandra Edwards</t>
  </si>
  <si>
    <t>5FM</t>
  </si>
  <si>
    <t>Assembly</t>
  </si>
  <si>
    <t>Buying and Selling</t>
  </si>
  <si>
    <t>Call Signs</t>
  </si>
  <si>
    <t>Carpet Tiles</t>
  </si>
  <si>
    <t>Class Mascot</t>
  </si>
  <si>
    <t>Discussing Art</t>
  </si>
  <si>
    <t>Four Square</t>
  </si>
  <si>
    <t>Glacier</t>
  </si>
  <si>
    <t>Gold Ticket</t>
  </si>
  <si>
    <t>Human Tangle</t>
  </si>
  <si>
    <t>Key Words</t>
  </si>
  <si>
    <t>Laminated Sheets</t>
  </si>
  <si>
    <t>Marbles</t>
  </si>
  <si>
    <t>Meditation Music</t>
  </si>
  <si>
    <t>Mind Corridor</t>
  </si>
  <si>
    <t>Musical Shakespeare</t>
  </si>
  <si>
    <t>Pupil Teacher</t>
  </si>
  <si>
    <t>Puppets</t>
  </si>
  <si>
    <t>Random Reading</t>
  </si>
  <si>
    <t>Register</t>
  </si>
  <si>
    <t>Remembering Names</t>
  </si>
  <si>
    <t>Responding to Music</t>
  </si>
  <si>
    <t>Rhythm Bingo</t>
  </si>
  <si>
    <t>School Food Rap</t>
  </si>
  <si>
    <t>Seating Plan</t>
  </si>
  <si>
    <t>Shut the Book</t>
  </si>
  <si>
    <t>Silent Signal</t>
  </si>
  <si>
    <t>Stripey</t>
  </si>
  <si>
    <t>Time Not Numbers</t>
  </si>
  <si>
    <t>Times Table</t>
  </si>
  <si>
    <t>Toy Soldiers</t>
  </si>
  <si>
    <t>Varying Questions</t>
  </si>
  <si>
    <t>Vocab</t>
  </si>
  <si>
    <t>Wake and Shake</t>
  </si>
  <si>
    <t>White Board</t>
  </si>
  <si>
    <t>Desk Labels</t>
  </si>
  <si>
    <t>Listing Pupils</t>
  </si>
  <si>
    <t>Singing</t>
  </si>
  <si>
    <t>Teachers' Trade Secrets : Small Whiteboards</t>
  </si>
  <si>
    <t>Wriggling</t>
  </si>
  <si>
    <t>Creative Teaching</t>
  </si>
  <si>
    <t>Developments in 14-19 : Institute of Education</t>
  </si>
  <si>
    <t>Excellence and Equity : University of Manchester</t>
  </si>
  <si>
    <t>Inclusive Physical Education</t>
  </si>
  <si>
    <t>Investigating Practice in Primary PE</t>
  </si>
  <si>
    <t>Learning for a Small Planet</t>
  </si>
  <si>
    <t>Pedagogy</t>
  </si>
  <si>
    <t>Problem-Based Learning</t>
  </si>
  <si>
    <t>Reflecting on Outstanding Teaching</t>
  </si>
  <si>
    <t>Social Constructivism and Open Source Software</t>
  </si>
  <si>
    <t>What Kind of Teacher Will You Be?</t>
  </si>
  <si>
    <t>2 Media Stories : The Advert and the Soap</t>
  </si>
  <si>
    <t>A Broadband Education</t>
  </si>
  <si>
    <t>A Day in the Life of a Cover Supervisor : Episode 1</t>
  </si>
  <si>
    <t>A Day in the Life of an Extended School : Episode 1</t>
  </si>
  <si>
    <t>A Fresh Approach</t>
  </si>
  <si>
    <t>A Future in the Balance</t>
  </si>
  <si>
    <t>ADHD in the Mainstream</t>
  </si>
  <si>
    <t>Another Day Another Fight : Episode 1</t>
  </si>
  <si>
    <t>Approaches to Teaching Shakespeare</t>
  </si>
  <si>
    <t>Audio Clip 1 (M55_S20_010_A)</t>
  </si>
  <si>
    <t>Audio Clip 2 (M55_S20_010_B)</t>
  </si>
  <si>
    <t>Audio Clip 3 (M55_S20_010_C)</t>
  </si>
  <si>
    <t>Becoming a Bursar</t>
  </si>
  <si>
    <t>Being Reflective</t>
  </si>
  <si>
    <t>BETT Report 2009 : Episode 3</t>
  </si>
  <si>
    <t>Bienvenue à Arsenal</t>
  </si>
  <si>
    <t>Black Boys : A Bigger Challenge</t>
  </si>
  <si>
    <t>Bob Geldof on Schools Leadership</t>
  </si>
  <si>
    <t>Breaking the News : Episode 1</t>
  </si>
  <si>
    <t>Bringing a Management Team Together</t>
  </si>
  <si>
    <t>Building a Shared Ethos</t>
  </si>
  <si>
    <t>Cameras</t>
  </si>
  <si>
    <t>Chef Challenge : George Ward Spicy Farm Pulao</t>
  </si>
  <si>
    <t>Chef Challenge : Rowde Country Soup with Soda Bread</t>
  </si>
  <si>
    <t>Circle of Friends : Ben</t>
  </si>
  <si>
    <t>Classifying Films</t>
  </si>
  <si>
    <t>Collaborative Activities</t>
  </si>
  <si>
    <t>Damage Limitation</t>
  </si>
  <si>
    <t>Dance at the Gallions</t>
  </si>
  <si>
    <t>Discussion of Good and Bad Working Relationships (M55_S15_005)</t>
  </si>
  <si>
    <t>Every Journey Matters</t>
  </si>
  <si>
    <t>Feedback and Target-Setting</t>
  </si>
  <si>
    <t>Focus on the Lesson Objectives</t>
  </si>
  <si>
    <t>Follow The Learner - Debate : Episode 1</t>
  </si>
  <si>
    <t>Four Go to Kenya</t>
  </si>
  <si>
    <t>Fundamental Movement Skills</t>
  </si>
  <si>
    <t>GCSEs</t>
  </si>
  <si>
    <t>Goodbye Home</t>
  </si>
  <si>
    <t>Great Books : Episode 1</t>
  </si>
  <si>
    <t>Great School Movies : Episode 1</t>
  </si>
  <si>
    <t>Head for the Future : Episode 1</t>
  </si>
  <si>
    <t>Health and Social Care</t>
  </si>
  <si>
    <t>How Do They Do It In Bosnia?</t>
  </si>
  <si>
    <t>How Do They Do It In Chicago?</t>
  </si>
  <si>
    <t>How Do They Do It In China?</t>
  </si>
  <si>
    <t>How Do They Do It In Cuba?</t>
  </si>
  <si>
    <t>How Do They Do It In France?</t>
  </si>
  <si>
    <t>How Do They Do It In Germany?</t>
  </si>
  <si>
    <t>How Do They Do It in India?</t>
  </si>
  <si>
    <t>How Do They Do It In Japan?</t>
  </si>
  <si>
    <t>How Do They Do It In Norway?</t>
  </si>
  <si>
    <t>How Do They Do it in Rome?</t>
  </si>
  <si>
    <t>How Do They Do it in Russia?</t>
  </si>
  <si>
    <t>How Do They Do It in South Africa?</t>
  </si>
  <si>
    <t>How Do They Do It In The USA?</t>
  </si>
  <si>
    <t>How Do They Do It in Vietnam?</t>
  </si>
  <si>
    <t>How to Transform Your School</t>
  </si>
  <si>
    <t>ICT Technicians</t>
  </si>
  <si>
    <t>Induction Leaders : Secondary</t>
  </si>
  <si>
    <t>Interview With Craig Venter : Episode 1</t>
  </si>
  <si>
    <t>Involving Asian Families in Learning : Episode 1</t>
  </si>
  <si>
    <t>KS1 Drama in Maths : Drama for Learning</t>
  </si>
  <si>
    <t>KS2 Drama in PSHE : Drama for Learning</t>
  </si>
  <si>
    <t>KS2 SATs</t>
  </si>
  <si>
    <t>Leaders on Good Leadership</t>
  </si>
  <si>
    <t>Leading an Integrated Service</t>
  </si>
  <si>
    <t>Learner Teacher, Teacher Learner</t>
  </si>
  <si>
    <t>Learning With Hannah and Cherry</t>
  </si>
  <si>
    <t>Leighton Primary School</t>
  </si>
  <si>
    <t>Lunchtime Supervisors</t>
  </si>
  <si>
    <t>Making Ability Setting Work</t>
  </si>
  <si>
    <t>Making Learning Irresistible</t>
  </si>
  <si>
    <t>Michael Gove</t>
  </si>
  <si>
    <t>Miss Kelly Goes to Steiner</t>
  </si>
  <si>
    <t>Museum Club</t>
  </si>
  <si>
    <t>My Leadership Style</t>
  </si>
  <si>
    <t>OFSTED! The Musical</t>
  </si>
  <si>
    <t>One-to-One Coaching</t>
  </si>
  <si>
    <t>Operation Amphibian</t>
  </si>
  <si>
    <t>Pam Welsh</t>
  </si>
  <si>
    <t>Percentages : VAT on Suitcase</t>
  </si>
  <si>
    <t>Performing a Monologue : Voice</t>
  </si>
  <si>
    <t>Persecuted Teachers : Episode 1</t>
  </si>
  <si>
    <t>Personalising Progress : Episode 1</t>
  </si>
  <si>
    <t>Pride and Prejudice</t>
  </si>
  <si>
    <t>Primary Mental Health : What Teachers Should Know</t>
  </si>
  <si>
    <t>Primary Voices 5</t>
  </si>
  <si>
    <t>Raising Aspirations : Primary</t>
  </si>
  <si>
    <t>Richard Dawkins - Talking Education : Episode 1</t>
  </si>
  <si>
    <t>Rushey Mead School</t>
  </si>
  <si>
    <t>Sanction and Support</t>
  </si>
  <si>
    <t>Schoolyard Humour for Comic Relief</t>
  </si>
  <si>
    <t>Secondary Mental Health : What Teachers Should Know</t>
  </si>
  <si>
    <t>Secondary Science Technicians : Practical and Career Issues</t>
  </si>
  <si>
    <t>Show Racism the Red Card</t>
  </si>
  <si>
    <t>Singing School</t>
  </si>
  <si>
    <t>Small Can Still Be Beautiful</t>
  </si>
  <si>
    <t>Sport Relief 2006</t>
  </si>
  <si>
    <t>Spotting Signs of Abuse and Neglect</t>
  </si>
  <si>
    <t>Stand-up Comedy</t>
  </si>
  <si>
    <t>Supporting Language Development</t>
  </si>
  <si>
    <t>Talking &amp; EAL at Green End Primary</t>
  </si>
  <si>
    <t>Teachers in the Freezer</t>
  </si>
  <si>
    <t>Teachers' Trade Secrets Compilation</t>
  </si>
  <si>
    <t>Ted Wragg : A Lesson to Us All</t>
  </si>
  <si>
    <t>The Big Behaviour Debate</t>
  </si>
  <si>
    <t>The Big Book of Homework</t>
  </si>
  <si>
    <t>The Digital Academy</t>
  </si>
  <si>
    <t>The Garage</t>
  </si>
  <si>
    <t>The Head's Story</t>
  </si>
  <si>
    <t>The Prime Minister's Global Fellowship</t>
  </si>
  <si>
    <t>The Struggle for Education in Karamoja</t>
  </si>
  <si>
    <t>Three Kinds of Writing</t>
  </si>
  <si>
    <t>Three School Stories</t>
  </si>
  <si>
    <t>Three Songs</t>
  </si>
  <si>
    <t>Transforming the Department</t>
  </si>
  <si>
    <t>Two Case Studies</t>
  </si>
  <si>
    <t>Uniting Health and Education</t>
  </si>
  <si>
    <t>Using Pupil Data : In Primary School</t>
  </si>
  <si>
    <t>VSO Ethiopia</t>
  </si>
  <si>
    <t>Why Staff Development Days Work</t>
  </si>
  <si>
    <t>Year 8 : Friday</t>
  </si>
  <si>
    <t>Young Learners</t>
  </si>
  <si>
    <t>Testimony and Documents</t>
  </si>
  <si>
    <t>Timeline</t>
  </si>
  <si>
    <t>Becoming an HLTA</t>
  </si>
  <si>
    <t>HLTA Standards</t>
  </si>
  <si>
    <t>Models of the Solar System : Earth, Sun and Moon</t>
  </si>
  <si>
    <t>Our Universe and the Big Bang</t>
  </si>
  <si>
    <t>Our Universe and the Big Bang : Classroom Demonstration : Redshift</t>
  </si>
  <si>
    <t>The Solar System : Planets, Asteroids and Comets</t>
  </si>
  <si>
    <t>The Sun and Stars</t>
  </si>
  <si>
    <t>Allegra McEvedy</t>
  </si>
  <si>
    <t>Arthur Smith</t>
  </si>
  <si>
    <t>Carole Caplin</t>
  </si>
  <si>
    <t>Christian Jessen</t>
  </si>
  <si>
    <t>Comedy Dave</t>
  </si>
  <si>
    <t>John Hegley</t>
  </si>
  <si>
    <t>John Humphrys</t>
  </si>
  <si>
    <t>Kelly Holmes</t>
  </si>
  <si>
    <t>Laurie Taylor</t>
  </si>
  <si>
    <t>Lynne Truss</t>
  </si>
  <si>
    <t>Michaela Strachan</t>
  </si>
  <si>
    <t>Prunella Scales and Timothy West</t>
  </si>
  <si>
    <t>Rachel Johnson</t>
  </si>
  <si>
    <t>Rick Stein</t>
  </si>
  <si>
    <t>Shappi Korsandi</t>
  </si>
  <si>
    <t>Simon Singh</t>
  </si>
  <si>
    <t>Steve Jones</t>
  </si>
  <si>
    <t>Suggs</t>
  </si>
  <si>
    <t>The Architect</t>
  </si>
  <si>
    <t>The Best of</t>
  </si>
  <si>
    <t>The Car Restorer</t>
  </si>
  <si>
    <t>The Nuclear Physicist</t>
  </si>
  <si>
    <t>Tony Robinson</t>
  </si>
  <si>
    <t>Vanessa Feltz</t>
  </si>
  <si>
    <t>KS3 English : Out of the Classroom Into the Theatre</t>
  </si>
  <si>
    <t>KS3 History : Out of the Classroom Into the Village</t>
  </si>
  <si>
    <t>KS3 Maths : Out of the Classroom Into the Gallery</t>
  </si>
  <si>
    <t>Algebra Handshake</t>
  </si>
  <si>
    <t>Bringing History to Life</t>
  </si>
  <si>
    <t>Easy Dance Warm-Ups</t>
  </si>
  <si>
    <t>Light : Successful Strategies</t>
  </si>
  <si>
    <t>Literacy : Story Starts</t>
  </si>
  <si>
    <t>Literacy : Using Film</t>
  </si>
  <si>
    <t>Problem-Solving : Number Problems</t>
  </si>
  <si>
    <t>Problem-Solving With Electricity</t>
  </si>
  <si>
    <t>Writing Non-Fiction</t>
  </si>
  <si>
    <t>Teaching E-safety</t>
  </si>
  <si>
    <t>Teaching Web Design and Programming</t>
  </si>
  <si>
    <t>A Lighter Note</t>
  </si>
  <si>
    <t>Attention Seekers</t>
  </si>
  <si>
    <t>Bayley in the USA</t>
  </si>
  <si>
    <t>Be Yourself</t>
  </si>
  <si>
    <t>Believe in Yourself</t>
  </si>
  <si>
    <t>Doing It for Themselves</t>
  </si>
  <si>
    <t>Dramatic Improvements</t>
  </si>
  <si>
    <t>Ecoutez!</t>
  </si>
  <si>
    <t>Finding Time</t>
  </si>
  <si>
    <t>Friendly but Firm</t>
  </si>
  <si>
    <t>Girl Talk</t>
  </si>
  <si>
    <t>Helping Hands</t>
  </si>
  <si>
    <t>Higher and Higher</t>
  </si>
  <si>
    <t>Hot Metal</t>
  </si>
  <si>
    <t>Hot Water</t>
  </si>
  <si>
    <t>Independence Day</t>
  </si>
  <si>
    <t>Key Instructions</t>
  </si>
  <si>
    <t>Loosening the Grip</t>
  </si>
  <si>
    <t>Love 'Em or Loathe 'Em</t>
  </si>
  <si>
    <t>NQTs in Science : Engaging With Learners</t>
  </si>
  <si>
    <t>NQTs in Science : Planning and Outcomes</t>
  </si>
  <si>
    <t>Oh! What a Lovely War</t>
  </si>
  <si>
    <t>Points Mean Prizes</t>
  </si>
  <si>
    <t>Power to the Pupils</t>
  </si>
  <si>
    <t>Praise &amp; Preparation</t>
  </si>
  <si>
    <t>Showing Them Who's Boss</t>
  </si>
  <si>
    <t>The Children's Champion</t>
  </si>
  <si>
    <t>The Entertainer</t>
  </si>
  <si>
    <t>The Need for Structure</t>
  </si>
  <si>
    <t>The No Bell Prize</t>
  </si>
  <si>
    <t>The Trouble With Girls : Back to Basics</t>
  </si>
  <si>
    <t>The Trouble With Girls : Treated Like Adults</t>
  </si>
  <si>
    <t>The Trouble With Girls : Warming Up</t>
  </si>
  <si>
    <t>The Trouble With Girls : Winning Them Over</t>
  </si>
  <si>
    <t>Time's Up!</t>
  </si>
  <si>
    <t>To Learn or Not to Learn</t>
  </si>
  <si>
    <t>Too Much Talk</t>
  </si>
  <si>
    <t>Underachieving Boys : Getting Involved</t>
  </si>
  <si>
    <t>Underachieving Boys : The Gender Debate</t>
  </si>
  <si>
    <t>Underachieving Boys : The Play's the Thing</t>
  </si>
  <si>
    <t>School Rules OK</t>
  </si>
  <si>
    <t>Starting Over</t>
  </si>
  <si>
    <t>Teacher Tension</t>
  </si>
  <si>
    <t>Kellington : Engaging Under-Achievers</t>
  </si>
  <si>
    <t>Kellington : Special Needs</t>
  </si>
  <si>
    <t>Lanovy-Taylor : Getting Their Attention</t>
  </si>
  <si>
    <t>David Bell</t>
  </si>
  <si>
    <t>David Hart</t>
  </si>
  <si>
    <t>David Puttnam</t>
  </si>
  <si>
    <t>Estelle Morris</t>
  </si>
  <si>
    <t>Ken Boston</t>
  </si>
  <si>
    <t>Mike Tomlinson</t>
  </si>
  <si>
    <t>Shirley Williams</t>
  </si>
  <si>
    <t>Classroom Environment</t>
  </si>
  <si>
    <t>Form Tutor</t>
  </si>
  <si>
    <t>Induction</t>
  </si>
  <si>
    <t>Marking</t>
  </si>
  <si>
    <t>Observation</t>
  </si>
  <si>
    <t>Voice</t>
  </si>
  <si>
    <t>Admissions</t>
  </si>
  <si>
    <t>Budget</t>
  </si>
  <si>
    <t>Governance &amp; Responsibilities</t>
  </si>
  <si>
    <t>Procurement</t>
  </si>
  <si>
    <t>Staff</t>
  </si>
  <si>
    <t>Absences : Yours and Theirs</t>
  </si>
  <si>
    <t>Communication</t>
  </si>
  <si>
    <t>Finding Documents, Organising Students,  Giving Instructions</t>
  </si>
  <si>
    <t>Homework and Marking</t>
  </si>
  <si>
    <t>Internet Searches, PC Games, Keyboard Shortcuts</t>
  </si>
  <si>
    <t>Make Time for You!</t>
  </si>
  <si>
    <t>Meetings</t>
  </si>
  <si>
    <t>Organisation</t>
  </si>
  <si>
    <t>Organisation and Assessment</t>
  </si>
  <si>
    <t>Planning</t>
  </si>
  <si>
    <t>Planning 1</t>
  </si>
  <si>
    <t>Planning 2</t>
  </si>
  <si>
    <t>Resources</t>
  </si>
  <si>
    <t>Using Parents, Answering Requests, Simplifying Handouts</t>
  </si>
  <si>
    <t>Flip Video Cameras</t>
  </si>
  <si>
    <t>Powerpoint</t>
  </si>
  <si>
    <t>Saving Time With ICT</t>
  </si>
  <si>
    <t>Dealing With Difficult Staff</t>
  </si>
  <si>
    <t>Dealing With Problem Parents</t>
  </si>
  <si>
    <t>Effective Parent Meetings</t>
  </si>
  <si>
    <t>Effective Q&amp;A With Staff</t>
  </si>
  <si>
    <t>Effective Team Meetings</t>
  </si>
  <si>
    <t>Following Up the School Trip</t>
  </si>
  <si>
    <t>Making the Most of A School Trip</t>
  </si>
  <si>
    <t>Managing Your Team</t>
  </si>
  <si>
    <t>Planning a School Trip</t>
  </si>
  <si>
    <t>English and Media</t>
  </si>
  <si>
    <t>Secondary Art</t>
  </si>
  <si>
    <t>Secondary Homework</t>
  </si>
  <si>
    <t>Job Hunting</t>
  </si>
  <si>
    <t>School Placements</t>
  </si>
  <si>
    <t>Teaching Practice</t>
  </si>
  <si>
    <t>Catering for Community</t>
  </si>
  <si>
    <t>Recipes for Success</t>
  </si>
  <si>
    <t>Asperger's Syndrome</t>
  </si>
  <si>
    <t>Eating Disorders</t>
  </si>
  <si>
    <t>Four Stories</t>
  </si>
  <si>
    <t>Obsessive Compulsive Disorder</t>
  </si>
  <si>
    <t>Self-Harm</t>
  </si>
  <si>
    <t>New Term</t>
  </si>
  <si>
    <t>Two Schools in Nablus : Episode 1</t>
  </si>
  <si>
    <t>Under Pressure</t>
  </si>
  <si>
    <t>Under Siege</t>
  </si>
  <si>
    <t>Business and Economics</t>
  </si>
  <si>
    <t>Design and Technology</t>
  </si>
  <si>
    <t>Knowledge and Understanding of the World</t>
  </si>
  <si>
    <t>Melcombe Primary School, Year 1/2, Maths</t>
  </si>
  <si>
    <t>Melcombe Primary School, Year 2, English</t>
  </si>
  <si>
    <t>Melcombe Primary School, Year 5, Maths</t>
  </si>
  <si>
    <t>Boys' School Turnaround</t>
  </si>
  <si>
    <t>The World of Difference</t>
  </si>
  <si>
    <t>Interview Coaching</t>
  </si>
  <si>
    <t>Reading Buddies</t>
  </si>
  <si>
    <t>Young Entrepreneurs</t>
  </si>
  <si>
    <t>Hands-on Art</t>
  </si>
  <si>
    <t>Marvellous Medicine</t>
  </si>
  <si>
    <t>Take One Picture</t>
  </si>
  <si>
    <t>The National Archives</t>
  </si>
  <si>
    <t>The Ordnance Survey</t>
  </si>
  <si>
    <t>Amazing Archives</t>
  </si>
  <si>
    <t>Epic Inspiration</t>
  </si>
  <si>
    <t>Pop Down Your Local</t>
  </si>
  <si>
    <t>Ancient Worlds</t>
  </si>
  <si>
    <t>Creepy Crawlies</t>
  </si>
  <si>
    <t>In Your School</t>
  </si>
  <si>
    <t>Kip in the Ship</t>
  </si>
  <si>
    <t>Roman Dig</t>
  </si>
  <si>
    <t>The Big Pit</t>
  </si>
  <si>
    <t>The Holocaust Exhibition</t>
  </si>
  <si>
    <t>A Home-Grown Phonics Programme</t>
  </si>
  <si>
    <t>Applying a Systematic Phonics Scheme</t>
  </si>
  <si>
    <t>Mixed Ability in Year 2</t>
  </si>
  <si>
    <t>Parent Participation</t>
  </si>
  <si>
    <t>Back to Nature</t>
  </si>
  <si>
    <t>Local Explorers</t>
  </si>
  <si>
    <t>Local Landmark</t>
  </si>
  <si>
    <t>Long Version</t>
  </si>
  <si>
    <t>Short Version</t>
  </si>
  <si>
    <t>Boost Your Teaching : Behaviour Management in a Drama Class</t>
  </si>
  <si>
    <t>Boost Your Teaching : Getting Organised for the New Year</t>
  </si>
  <si>
    <t>Boost Your Teaching : How to be Inspirational</t>
  </si>
  <si>
    <t>Boost Your Teaching : Tips for Better Digital Photography</t>
  </si>
  <si>
    <t>Boost Your Teaching : Tips on Plenaries</t>
  </si>
  <si>
    <t>Boost Your Teaching : Transitions During Lessons</t>
  </si>
  <si>
    <t>Boost Your Teaching : Use Your Voice</t>
  </si>
  <si>
    <t>Boost Your Teaching : Using Sketchbooks</t>
  </si>
  <si>
    <t>Boost Your Teaching : With Critical Thinking</t>
  </si>
  <si>
    <t>Get that Job : Personal Statements</t>
  </si>
  <si>
    <t>Get That Job... the Demonstration Lesson</t>
  </si>
  <si>
    <t>Hard to Teach : Personal Hygiene</t>
  </si>
  <si>
    <t>Hard to Teach : Pi in the Kitchen</t>
  </si>
  <si>
    <t>Hard to Teach : Starting Off with Fractions</t>
  </si>
  <si>
    <t>School Improvement : A Perfect Ofsted</t>
  </si>
  <si>
    <t>School Improvement : Maintaining Staff Wellbeing Under Pressure</t>
  </si>
  <si>
    <t>School Improvement : SMART Targets for Pupil Reviews</t>
  </si>
  <si>
    <t>School Improvement : Vertical Tutoring</t>
  </si>
  <si>
    <t>What To Do If : Professional Conduct Dilemmas for Teachers</t>
  </si>
  <si>
    <t>What To Do If : You're New to Middle Leadership</t>
  </si>
  <si>
    <t>What To Do If... You Don’t Get on With Your Mentor</t>
  </si>
  <si>
    <t>What To Do If... You Don't Get on With Your Trainee</t>
  </si>
  <si>
    <t>What To Do If... You’re Managing Challenging Relationships</t>
  </si>
  <si>
    <t>What To Do If... You’re Pregnant : Maternity Rights for Teachers</t>
  </si>
  <si>
    <t>What To Do If... You're Returning to Work After Maternity Leave</t>
  </si>
  <si>
    <t>Boost Your Teaching : Classroom Seating</t>
  </si>
  <si>
    <t>Boost Your Teaching : What Makes a Good Detention?</t>
  </si>
  <si>
    <t>Hard to Teach : How to Teach Art if You're Not 'Arty'</t>
  </si>
  <si>
    <t>Literacy : Role Play, Reading Aloud and Oral Storytelling</t>
  </si>
  <si>
    <t>School Improvement : Public Relations</t>
  </si>
  <si>
    <t>What To Do If... Transition From KS1 to KS2</t>
  </si>
  <si>
    <t>What to do if... You're Running an Open Evening</t>
  </si>
  <si>
    <t>What To Do If... You're Taking a Class You Don't Know</t>
  </si>
  <si>
    <t>Building a Future</t>
  </si>
  <si>
    <t>Learning Goals</t>
  </si>
  <si>
    <t>Merseybeat Mentoring</t>
  </si>
  <si>
    <t>Pushing Beyond the Curriculum</t>
  </si>
  <si>
    <t>Putting Pupils Into Hospital</t>
  </si>
  <si>
    <t>Shifting Gear</t>
  </si>
  <si>
    <t>Soldiering On</t>
  </si>
  <si>
    <t>Zoo Science</t>
  </si>
  <si>
    <t>Experiencing Work : The Class</t>
  </si>
  <si>
    <t>Experiencing Work : The Teacher</t>
  </si>
  <si>
    <t>Degrees of Change</t>
  </si>
  <si>
    <t>The Great Storm</t>
  </si>
  <si>
    <t>Today's Forecast</t>
  </si>
  <si>
    <t>Coping With 'Bullying' Managers</t>
  </si>
  <si>
    <t>Coping With Excessive Workload</t>
  </si>
  <si>
    <t>Dealing With Difficult Behaviour</t>
  </si>
  <si>
    <t>Dealing With Malicious Allegations</t>
  </si>
  <si>
    <t>Stress Relief Video : Calming Countryside</t>
  </si>
  <si>
    <t>Stress Relief Video : Relax With a Smile</t>
  </si>
  <si>
    <t>Stress Relief Video : Serene Universe</t>
  </si>
  <si>
    <t>Stress Relief Video : Tranquil Mountains</t>
  </si>
  <si>
    <t>George and Alice (KS1)</t>
  </si>
  <si>
    <t>Harrison and Andrew (KS2)</t>
  </si>
  <si>
    <t>Jodie and Aiyshah (KS3)</t>
  </si>
  <si>
    <t>Richard and Amy (KS4)</t>
  </si>
  <si>
    <t>Duty of Care</t>
  </si>
  <si>
    <t>Exclusion</t>
  </si>
  <si>
    <t>Financial Crisis</t>
  </si>
  <si>
    <t>Gangs</t>
  </si>
  <si>
    <t>Policing in Schools</t>
  </si>
  <si>
    <t>Private Life v Public Role</t>
  </si>
  <si>
    <t>Stopping the Bullying</t>
  </si>
  <si>
    <t>Suspected Abuse</t>
  </si>
  <si>
    <t>Teach or Cheat</t>
  </si>
  <si>
    <t>The Incompetent Teacher</t>
  </si>
  <si>
    <t>One Headteacher, One Day</t>
  </si>
  <si>
    <t>Talking Women Heads</t>
  </si>
  <si>
    <t>Children Can Change</t>
  </si>
  <si>
    <t>Dealing With Family Breakdown</t>
  </si>
  <si>
    <t>Common issues for Secondary Parent Support Advisors (PSAs)</t>
  </si>
  <si>
    <t>Empowering Parents Across the Borough</t>
  </si>
  <si>
    <t>Getting Parents Into Schools</t>
  </si>
  <si>
    <t>Social Isolation and Parenting</t>
  </si>
  <si>
    <t>Strengthening the Family</t>
  </si>
  <si>
    <t>Supporting Parents Across Communities</t>
  </si>
  <si>
    <t>The Strengthening Families, Strengthening Communities Approach</t>
  </si>
  <si>
    <t>Working With Challenge, Involving Everybody</t>
  </si>
  <si>
    <t>Welcoming Parents</t>
  </si>
  <si>
    <t>Dilemmas</t>
  </si>
  <si>
    <t>Observing the Relationship</t>
  </si>
  <si>
    <t>TA for a Day</t>
  </si>
  <si>
    <t>Using TAs Effectively</t>
  </si>
  <si>
    <t>Barcelona's Big Church</t>
  </si>
  <si>
    <t>Cricket Match</t>
  </si>
  <si>
    <t>Hotel</t>
  </si>
  <si>
    <t>Ice Rink</t>
  </si>
  <si>
    <t>Night Train</t>
  </si>
  <si>
    <t>The Mini</t>
  </si>
  <si>
    <t>Donna Leach : Hairdressing</t>
  </si>
  <si>
    <t>Gary Tuddenham : Cabinet Making</t>
  </si>
  <si>
    <t>George Plant : Stonemasonry</t>
  </si>
  <si>
    <t>Jonathan Lloyd : Car Painting</t>
  </si>
  <si>
    <t>Simon Noble : Autobody Repair</t>
  </si>
  <si>
    <t>Stuart Greer : Welding</t>
  </si>
  <si>
    <t>Bound for Japan</t>
  </si>
  <si>
    <t>Going for Gold in Japan</t>
  </si>
  <si>
    <t>Barcelona and Hartlepool</t>
  </si>
  <si>
    <t>Bliss Hill</t>
  </si>
  <si>
    <t>Cadbury World</t>
  </si>
  <si>
    <t>Duxford Aircraft Museum</t>
  </si>
  <si>
    <t>European Parliament</t>
  </si>
  <si>
    <t>Galleries of Justice</t>
  </si>
  <si>
    <t>Goonhilly Satellite Earth Station</t>
  </si>
  <si>
    <t>Italy and Iceland</t>
  </si>
  <si>
    <t>National Space Centre</t>
  </si>
  <si>
    <t>Organic Farm</t>
  </si>
  <si>
    <t>Outward Bound</t>
  </si>
  <si>
    <t>Pantomime</t>
  </si>
  <si>
    <t>Pembrokeshire Field Studies</t>
  </si>
  <si>
    <t>RPO and ENO</t>
  </si>
  <si>
    <t>Salford Museum and Art Gallery</t>
  </si>
  <si>
    <t>Sculpture Valley</t>
  </si>
  <si>
    <t>The Bolton Museums</t>
  </si>
  <si>
    <t>The Eden Project</t>
  </si>
  <si>
    <t>The Manchester Jewish Museum</t>
  </si>
  <si>
    <t>The Severn Valley Railway</t>
  </si>
  <si>
    <t>The World of James Herriot</t>
  </si>
  <si>
    <t>Tudor Archives</t>
  </si>
  <si>
    <t>Westonbirt National Arboretum</t>
  </si>
  <si>
    <t>Ypres</t>
  </si>
  <si>
    <t>Seeds of Change</t>
  </si>
  <si>
    <t>The Teachers' Week</t>
  </si>
  <si>
    <t>The Voice of Deaf Students</t>
  </si>
  <si>
    <t>Part 3</t>
  </si>
  <si>
    <t>Uzma Williams</t>
  </si>
  <si>
    <t>An Introduction to Qualitative Research</t>
  </si>
  <si>
    <t>An Introduction to Quantitative Research</t>
  </si>
  <si>
    <t>Vineyard Video Productions</t>
  </si>
  <si>
    <t>ADD/ADH/LD : Understanding the Connection</t>
  </si>
  <si>
    <t>Children &amp; Parents &amp; Schools &amp; Strengths</t>
  </si>
  <si>
    <t>Introduction : Understanding Learning Disabilities Through Demonstration and Description</t>
  </si>
  <si>
    <t>Reading Is Not a Natural Skill : Teaching Children the Code to Unlock Language</t>
  </si>
  <si>
    <t>Teaching Math : A Systematic Approach for Children With Disabilities</t>
  </si>
  <si>
    <t>The Teaching : What LD Students Need</t>
  </si>
  <si>
    <t>Concept Acquisition and Early Learning</t>
  </si>
  <si>
    <t>Introduction : Recognizing and Overcoming Learning Disabilities</t>
  </si>
  <si>
    <t>Mathematics Learning Strategies</t>
  </si>
  <si>
    <t>Motivation : How to Encourage the Learning Disabled Student</t>
  </si>
  <si>
    <t>Multisensory Social Studies</t>
  </si>
  <si>
    <t>Organizing Time, Materials and Information</t>
  </si>
  <si>
    <t>Reading Comprehension : Interactive Strategies</t>
  </si>
  <si>
    <t>Science for the Senses</t>
  </si>
  <si>
    <t>Training the Brain to Learn</t>
  </si>
  <si>
    <t>Windrose SAS</t>
  </si>
  <si>
    <t>Bhobal, India, With Muskaan Ahirwar</t>
  </si>
  <si>
    <t>Bogotá, Columbia With José Alberto Gutiérrez</t>
  </si>
  <si>
    <t>Carribean With Micha Roggensinger</t>
  </si>
  <si>
    <t>Ferrandina, Italy With Antonio La Cava</t>
  </si>
  <si>
    <t>Portland, USA With Laura Moultan and Ben Hodgson</t>
  </si>
  <si>
    <t>ABC Commercial</t>
  </si>
  <si>
    <t>Facing Dennis Ferguson</t>
  </si>
  <si>
    <t>Africa24 Media</t>
  </si>
  <si>
    <t>Kenya at 50 Education</t>
  </si>
  <si>
    <t>Aleksandar Iricanin</t>
  </si>
  <si>
    <t>Majority Minority : The Resegregation of Public Schools</t>
  </si>
  <si>
    <t>Arundel Productions Pty Ltd</t>
  </si>
  <si>
    <t>ADHD : Out of Control Kids</t>
  </si>
  <si>
    <t>The Foolish Wise Ones</t>
  </si>
  <si>
    <t>Extreme Brat Camp</t>
  </si>
  <si>
    <t>Berkeley Media</t>
  </si>
  <si>
    <t>Madres Unidas : Parents Researching for Change</t>
  </si>
  <si>
    <t>Camila Films</t>
  </si>
  <si>
    <t>Días de Clase</t>
  </si>
  <si>
    <t>Change the Lens Productions</t>
  </si>
  <si>
    <t>It's a Different World</t>
  </si>
  <si>
    <t>Channel Four International Limited</t>
  </si>
  <si>
    <t>Make Me Normal : Autistic Teenagers Speak Out</t>
  </si>
  <si>
    <t>Chanyu Ko</t>
  </si>
  <si>
    <t>Korean Schools in Japan</t>
  </si>
  <si>
    <t>CK Studios Inc.</t>
  </si>
  <si>
    <t>Something Within Me</t>
  </si>
  <si>
    <t>Collective Eye</t>
  </si>
  <si>
    <t>Unlikely</t>
  </si>
  <si>
    <t>Debbie Jivan</t>
  </si>
  <si>
    <t>Take Omri, for Example</t>
  </si>
  <si>
    <t>Deborah Harse</t>
  </si>
  <si>
    <t>The Mission Home</t>
  </si>
  <si>
    <t>Teaching Poetry With Helen Vendler</t>
  </si>
  <si>
    <t>DigiNext Films</t>
  </si>
  <si>
    <t>Thank You For Judging</t>
  </si>
  <si>
    <t>Dorothy Tod Films</t>
  </si>
  <si>
    <t>A Dyslexic Family Diary</t>
  </si>
  <si>
    <t>DR International Sales</t>
  </si>
  <si>
    <t>Up for Debate : Team Qatar</t>
  </si>
  <si>
    <t>Electric Sales Limited</t>
  </si>
  <si>
    <t>Old School Ties</t>
  </si>
  <si>
    <t>Expressive Media</t>
  </si>
  <si>
    <t>Lessons From Mister Rogers Neighborhood</t>
  </si>
  <si>
    <t>The Nest</t>
  </si>
  <si>
    <t>Filmoption International Inc.</t>
  </si>
  <si>
    <t>First Person Shooter</t>
  </si>
  <si>
    <t>Freke Vuijst</t>
  </si>
  <si>
    <t>High School of American Dreams</t>
  </si>
  <si>
    <t>Grasshopper Films</t>
  </si>
  <si>
    <t>Night School</t>
  </si>
  <si>
    <t>ADHD in the Classroom</t>
  </si>
  <si>
    <t>Hancock Productions LLC</t>
  </si>
  <si>
    <t>Exclusions &amp; Awakenings : The Life of Maxine Greene</t>
  </si>
  <si>
    <t>Humanist Films</t>
  </si>
  <si>
    <t>Art Recession</t>
  </si>
  <si>
    <t>iFavor Entertainment, Inc.</t>
  </si>
  <si>
    <t>Kids With Cameras</t>
  </si>
  <si>
    <t>Jennifer Welsh Takata and James Takata</t>
  </si>
  <si>
    <t>We the Parents</t>
  </si>
  <si>
    <t>John F. Lucido</t>
  </si>
  <si>
    <t>Jackson Sandwich</t>
  </si>
  <si>
    <t>Justin Crane</t>
  </si>
  <si>
    <t>Nowhere You Are</t>
  </si>
  <si>
    <t>Taking Notes</t>
  </si>
  <si>
    <t>Leiden University Cultural Anthropology and Development Sociology</t>
  </si>
  <si>
    <t>Scripting Change : Education Reform in Timor-Leste</t>
  </si>
  <si>
    <t>Looking Glass International</t>
  </si>
  <si>
    <t>A Quiet Revolution : Singapore's World Class Educational System</t>
  </si>
  <si>
    <t>Lost Nation Pictures, Ltd</t>
  </si>
  <si>
    <t>Class of '27 : A New Generation in Three Forgotten Places</t>
  </si>
  <si>
    <t>Media Policy Center</t>
  </si>
  <si>
    <t>Growing Greener Schools</t>
  </si>
  <si>
    <t>Michael Brims</t>
  </si>
  <si>
    <t>School Me! College for Prisoners</t>
  </si>
  <si>
    <t>Music Video Distributors</t>
  </si>
  <si>
    <t>Eyes of Me</t>
  </si>
  <si>
    <t>National Film Board of Canada</t>
  </si>
  <si>
    <t>Kindergarten</t>
  </si>
  <si>
    <t>Teaching ESL to Adults, Vol. 2 : Working with a Multi-level Class</t>
  </si>
  <si>
    <t>Open Window Films</t>
  </si>
  <si>
    <t>A School for Robin - Mainstreaming An Autistic Child</t>
  </si>
  <si>
    <t>Orange Smarty</t>
  </si>
  <si>
    <t>Stutter School</t>
  </si>
  <si>
    <t>Parallel Lines</t>
  </si>
  <si>
    <t>Cyberbullied</t>
  </si>
  <si>
    <t>PARLATORIO PRODUÇÕES LTDA d/b/a Taturana Mobilização Social</t>
  </si>
  <si>
    <t>Escolas em Luta = Schools in Fight</t>
  </si>
  <si>
    <t>PhotoSynthesis Productions</t>
  </si>
  <si>
    <t>RE: Thinking</t>
  </si>
  <si>
    <t>Richter Productions, Inc.</t>
  </si>
  <si>
    <t>Eating the Scorpion</t>
  </si>
  <si>
    <t>Rockfish Productions LLC</t>
  </si>
  <si>
    <t>Standardized Lies, Money &amp; Civil Rights : How Testing is Ruining Public Education</t>
  </si>
  <si>
    <t>RPM Media</t>
  </si>
  <si>
    <t>Reaching the Autistic Mind : An Educational Challenge</t>
  </si>
  <si>
    <t>Ruth Friendly</t>
  </si>
  <si>
    <t>America’s Schools : Who Gives a Damn? Parts 1 &amp; 2</t>
  </si>
  <si>
    <t>An Introduction to Self-Regulation With David Whitebread</t>
  </si>
  <si>
    <t>Attachment &amp; Holistic Development : The First Year</t>
  </si>
  <si>
    <t>Attachment in Practice</t>
  </si>
  <si>
    <t>Babies Outdoors : Play, Learning &amp; Development</t>
  </si>
  <si>
    <t>Born to Talk</t>
  </si>
  <si>
    <t>Communicating and Socializing : 15 Months to 6 Years</t>
  </si>
  <si>
    <t>Event &amp; Time Sampling : Observation Technique</t>
  </si>
  <si>
    <t>Exploratory Play</t>
  </si>
  <si>
    <t>Falling Out</t>
  </si>
  <si>
    <t>Firm Foundations for Early Literacy : From 0 to 5 Years</t>
  </si>
  <si>
    <t>Learning Through Play : The 3 to 4 Year Old</t>
  </si>
  <si>
    <t>Learning Through Play : The 3 to 4 Year Old (Observation)</t>
  </si>
  <si>
    <t>Life at Two : Attachments, Key People and Development</t>
  </si>
  <si>
    <t>Physical Development : The First Year</t>
  </si>
  <si>
    <t>Play &amp; Learning at School : Five Year Olds</t>
  </si>
  <si>
    <t>Pretend Play</t>
  </si>
  <si>
    <t>Supporting Early Literacy : From 0 to 5 Years</t>
  </si>
  <si>
    <t>Target Child Technique</t>
  </si>
  <si>
    <t>The Power of Physical Play : Development &amp; Effective Learning</t>
  </si>
  <si>
    <t>The Three Year Old</t>
  </si>
  <si>
    <t>The Wonder Year : First Year Development &amp; Shaping the Brain</t>
  </si>
  <si>
    <t>The Young Baby</t>
  </si>
  <si>
    <t>Toddlers Outdoors : Play, Learning &amp; Development</t>
  </si>
  <si>
    <t>Two Year Olds Outdoors</t>
  </si>
  <si>
    <t>Woodbine Place</t>
  </si>
  <si>
    <t>Specialty Studios, LLC</t>
  </si>
  <si>
    <t>A Simple Question : The Story of STRAW</t>
  </si>
  <si>
    <t>Steven Fischler and Joel Sucher</t>
  </si>
  <si>
    <t>Calculating Change</t>
  </si>
  <si>
    <t>Against the Odds</t>
  </si>
  <si>
    <t>Tom Kat Films</t>
  </si>
  <si>
    <t>Jay O'Callahan : A Master Class in Storytelling</t>
  </si>
  <si>
    <t>Virginia Orzel</t>
  </si>
  <si>
    <t>Dyslexia : A Beautiful Brain</t>
  </si>
  <si>
    <t>Zanah Thirus Films, LLC</t>
  </si>
  <si>
    <t>Ready Set Adult</t>
  </si>
  <si>
    <t>VideoElephant</t>
  </si>
  <si>
    <t>Academic Freedom Prevents Us From Getting Trapped in Circles of Delusion</t>
  </si>
  <si>
    <t>American Higher Education Is in Crisis. Here’s a Plan to Revolutionize It</t>
  </si>
  <si>
    <t>Changing the Way We Grade Students Could Trigger a Wave of Innovation</t>
  </si>
  <si>
    <t>Getting 16.4 Million People Better Post-Secondary Education? Lumina Foundation Has a Plan for That</t>
  </si>
  <si>
    <t>How Can We Improve the Quality of Higher Education?</t>
  </si>
  <si>
    <t>Hyper-Innovation : COVID-19 Will Forever Change the Way We Teach Kids</t>
  </si>
  <si>
    <t>Revolutionary K-12 Education Might Look Like a Creative Incubator</t>
  </si>
  <si>
    <t>What Do Mentors Do? They Introduce You to Your Future Self</t>
  </si>
  <si>
    <t>What NASA Can Teach Us About Education Reform</t>
  </si>
  <si>
    <t>What Should Schools Teach? Now Is the Moment to Ask</t>
  </si>
  <si>
    <t>Why School Leadership and Student Critical Thinking Need a Desperate Do-Over</t>
  </si>
  <si>
    <t>Rolling Film Distributors</t>
  </si>
  <si>
    <t>Max Becoming Max</t>
  </si>
  <si>
    <t>Creative Filmmakers Association</t>
  </si>
  <si>
    <t>Facing Forward : A Charter School for At-risk Youth</t>
  </si>
  <si>
    <t>The Economist</t>
  </si>
  <si>
    <t>COVID-19 : How Tech Could Transform Education</t>
  </si>
  <si>
    <t>CBC Learning Canadian Broadcasting Corporation</t>
  </si>
  <si>
    <t>Brain Gain</t>
  </si>
  <si>
    <t>Columbia University Teachers College</t>
  </si>
  <si>
    <t>Extending the Benefits of EBIs to Marginalized Populations</t>
  </si>
  <si>
    <t>Listen 2 Kids</t>
  </si>
  <si>
    <t>I See Your (Dis)Ability : Inclusion in the Classroom</t>
  </si>
  <si>
    <t>A Child's Guide to Languages</t>
  </si>
  <si>
    <t>Twice Five Plus the Wings of a Bird</t>
  </si>
  <si>
    <t>Why Maths Doesn't Add Up</t>
  </si>
  <si>
    <t>Professor Child</t>
  </si>
  <si>
    <t>Children and Divorce</t>
  </si>
  <si>
    <t>Children and Grief</t>
  </si>
  <si>
    <t>Children Teaching Children About Military Families</t>
  </si>
  <si>
    <t>Observation I: The Eyes Have It</t>
  </si>
  <si>
    <t>Parents: Our Most Important Resource</t>
  </si>
  <si>
    <t>From Conception to Baby</t>
  </si>
  <si>
    <t>Heredity and Environment</t>
  </si>
  <si>
    <t>Newborn Development</t>
  </si>
  <si>
    <t>Pregnancy in Progress</t>
  </si>
  <si>
    <t>Understanding Childbirth</t>
  </si>
  <si>
    <t>Child-Centered Curriculum</t>
  </si>
  <si>
    <t>Exploring and Learning</t>
  </si>
  <si>
    <t>Sensory and Art</t>
  </si>
  <si>
    <t>Coping with Challenging Behavior</t>
  </si>
  <si>
    <t>Learning Environment</t>
  </si>
  <si>
    <t>Teacher/Child Interaction</t>
  </si>
  <si>
    <t>The Teacher's View</t>
  </si>
  <si>
    <t>Cognitive and Language Development</t>
  </si>
  <si>
    <t>Middle Childhood: Overview</t>
  </si>
  <si>
    <t>Physical Growth &amp; Development</t>
  </si>
  <si>
    <t>Social and Emotional Development</t>
  </si>
  <si>
    <t>Instruments In The Classroom</t>
  </si>
  <si>
    <t>Music and Early Learning</t>
  </si>
  <si>
    <t>Music and Movement in Early Learning</t>
  </si>
  <si>
    <t>Singing and Songs</t>
  </si>
  <si>
    <t>Comparing</t>
  </si>
  <si>
    <t>Numerals</t>
  </si>
  <si>
    <t>Sets, Classification, Ordering</t>
  </si>
  <si>
    <t>Shapes, Parts, Wholes</t>
  </si>
  <si>
    <t>Space And Measurement</t>
  </si>
  <si>
    <t>Cognitive Development</t>
  </si>
  <si>
    <t>Physical Development/Physical Growth</t>
  </si>
  <si>
    <t>Preschoolers (Overview)</t>
  </si>
  <si>
    <t>Succeeding as a Teacher: Planning Instruction</t>
  </si>
  <si>
    <t>Play: Significant Areas of Development</t>
  </si>
  <si>
    <t>Self Identity And Sex Role Development</t>
  </si>
  <si>
    <t>History and Trends</t>
  </si>
  <si>
    <t>Theories of Development I</t>
  </si>
  <si>
    <t>Theories of Development II: The Early Theorists</t>
  </si>
  <si>
    <t>Recognizing &amp; Preventing Child Neglect</t>
  </si>
  <si>
    <t>Recognizing &amp; Preventing Emotional Child Abuse</t>
  </si>
  <si>
    <t>Recognizing &amp; Preventing Physical Child Abuse</t>
  </si>
  <si>
    <t>What's the Big Deal About Oak Park?</t>
  </si>
  <si>
    <t>America Will Be...</t>
  </si>
  <si>
    <t>Stranger in a Room</t>
  </si>
  <si>
    <t>There Is No Pain That Compares to the Struggle</t>
  </si>
  <si>
    <t>There's Nothing Funny About Race!</t>
  </si>
  <si>
    <t>I Don't Have to Think About Being White</t>
  </si>
  <si>
    <t>Listen to the Poem!</t>
  </si>
  <si>
    <t>Tsunami of Privilege</t>
  </si>
  <si>
    <t>Nobody Can Hold You Down</t>
  </si>
  <si>
    <t>The Invisible T-Shirt</t>
  </si>
  <si>
    <t>Program 1: Effective Instructional Strategies</t>
  </si>
  <si>
    <t>Program 2: Effective Classroom Management</t>
  </si>
  <si>
    <t>Teacher Evaluation</t>
  </si>
  <si>
    <t>School Culture</t>
  </si>
  <si>
    <t>Professionalism</t>
  </si>
  <si>
    <t>Student Achievement</t>
  </si>
  <si>
    <t>Instructional Leadership</t>
  </si>
  <si>
    <t>The Case for 21st Century Learning and Assessment</t>
  </si>
  <si>
    <t>21st Century Assessment Principles and Practices</t>
  </si>
  <si>
    <t>Transforming the 21st Century Learning Organization</t>
  </si>
  <si>
    <t>Using Analogies to Enhance Background Knowledge</t>
  </si>
  <si>
    <t>Using Visualization to Enhance Background Knowledge</t>
  </si>
  <si>
    <t>Elementary</t>
  </si>
  <si>
    <t>Middle School</t>
  </si>
  <si>
    <t>High School</t>
  </si>
  <si>
    <t>Elementary and Middle School Math</t>
  </si>
  <si>
    <t>High School Math</t>
  </si>
  <si>
    <t>Responding to the Needs of Elementary Learners</t>
  </si>
  <si>
    <t>Responding to the Needs of Secondary Learners</t>
  </si>
  <si>
    <t>Elementary School</t>
  </si>
  <si>
    <t>Establishing a New Vision</t>
  </si>
  <si>
    <t>Building Academic Literacies</t>
  </si>
  <si>
    <t>Evidence Based Assessment</t>
  </si>
  <si>
    <t>4-2-1 Summarize Organizer</t>
  </si>
  <si>
    <t>Secondary School</t>
  </si>
  <si>
    <t>Tailoring Feedback to Content Areas and Student Needs</t>
  </si>
  <si>
    <t>The Impact on Student Achievement</t>
  </si>
  <si>
    <t>Seven Key Factors to Ensure Effective Feedback</t>
  </si>
  <si>
    <t>How to Informally Assess Student Learning</t>
  </si>
  <si>
    <t>How to Prepare Students for Standardized Tests</t>
  </si>
  <si>
    <t>How to Scaffold Instruction for Student Success</t>
  </si>
  <si>
    <t>How to Spiral Questions to Provoke Student Thinking</t>
  </si>
  <si>
    <t>How to Teach Study Skills</t>
  </si>
  <si>
    <t>Diagnostic Assessments and the Three-Tiered Approach</t>
  </si>
  <si>
    <t>Integrating Literacy into Curriculum</t>
  </si>
  <si>
    <t>Project Based Learning and the 21st Century</t>
  </si>
  <si>
    <t>STEM Your School</t>
  </si>
  <si>
    <t>Part 1: Student Motivation and Achievement</t>
  </si>
  <si>
    <t>Part 2: A Six Step Process for Student Growth</t>
  </si>
  <si>
    <t>Part 3: Strategies for Checking for Understanding</t>
  </si>
  <si>
    <t>Comparing and Ordering Fractions Meaningfully</t>
  </si>
  <si>
    <t>Program 1: The Reading Community</t>
  </si>
  <si>
    <t>Program 2: The Teacher's Role</t>
  </si>
  <si>
    <t>Program 3: Taking the Conversation Deeper - Read-Alouds</t>
  </si>
  <si>
    <t>Instruction &amp; Conversation, Grades 3-6. Program 4: Reading Groups</t>
  </si>
  <si>
    <t>Bringing Out Writers, Grades 3-6. Program 1: Mini-Lessons at Mid-Year</t>
  </si>
  <si>
    <t>Bringing Out Writers, Grades 3-6. Program 2: Persuasive Writing Genre Study</t>
  </si>
  <si>
    <t>Adapting Your Face To Face Pedagogy For Teaching Online.</t>
  </si>
  <si>
    <t>Adapting Your Teaching Techniques For Online Classes</t>
  </si>
  <si>
    <t>Best Practice For Teaching Live Online Classes</t>
  </si>
  <si>
    <t>Building Relationships With Your Students Online</t>
  </si>
  <si>
    <t>Case Study: The Universal Design For Learning In Action</t>
  </si>
  <si>
    <t>Characteristics For Success In Online Learning</t>
  </si>
  <si>
    <t>Choosing The Right Technology For Online Teaching</t>
  </si>
  <si>
    <t>Communities Of Practice Versus Professional Learning Networks</t>
  </si>
  <si>
    <t>Educator Emotional Well-Being In Online Teaching</t>
  </si>
  <si>
    <t>Elements Of Effective Online Courses</t>
  </si>
  <si>
    <t>Engaging Communication In Instructional Videos</t>
  </si>
  <si>
    <t>Enhancing Accessibility With Instructional Video</t>
  </si>
  <si>
    <t>Essentials For Online Teacher Communication</t>
  </si>
  <si>
    <t>Facing The Challenge Of Inclusivity In Online Teaching</t>
  </si>
  <si>
    <t>Feedback And Assessment In Online Teaching</t>
  </si>
  <si>
    <t>Finding Balance When Teaching Goes Online</t>
  </si>
  <si>
    <t>Frameworks For Selecting Technology For Online Teaching</t>
  </si>
  <si>
    <t>Helping Students Find Balance When Learning Goes Online</t>
  </si>
  <si>
    <t>How Is Online Teaching Different?</t>
  </si>
  <si>
    <t>How To Build A Professional Learning Network</t>
  </si>
  <si>
    <t>How To Craft a Cover Letter</t>
  </si>
  <si>
    <t>How To Create A Well Structured Instructional Video</t>
  </si>
  <si>
    <t>How To Create Inclusive Online &amp; Blended Classes</t>
  </si>
  <si>
    <t>How To Engage, Retain And Entertain With Instructional Video</t>
  </si>
  <si>
    <t>How To Increase The Production Value Of Your Instructional Videos.</t>
  </si>
  <si>
    <t>How To Keep Students Engaged In Online Classes</t>
  </si>
  <si>
    <t>How To Make Live Online Classes More Inclusive</t>
  </si>
  <si>
    <t>How To Use Peer Competition In Your Online Teaching</t>
  </si>
  <si>
    <t>How To Use Social Presence Cues In Your Online Teaching</t>
  </si>
  <si>
    <t>How To Use Socratic Circles In Your Online Teaching</t>
  </si>
  <si>
    <t>How To Use Think-Pair-Share In Your Online Teaching</t>
  </si>
  <si>
    <t>How To Use Universal Design For Learning To Build Online Learning Activities</t>
  </si>
  <si>
    <t>How To Use Universal Design For Learning To Design Curriculum</t>
  </si>
  <si>
    <t>How To Use Universal Design For Learning To Design Lessons</t>
  </si>
  <si>
    <t>Is Online Teaching Effective?</t>
  </si>
  <si>
    <t>Is Technology Dangerous To Our Mental Health?</t>
  </si>
  <si>
    <t>Multimedia Cognitive Load Theory For Teachers</t>
  </si>
  <si>
    <t>Parent - Teacher Strategies For Online Learning</t>
  </si>
  <si>
    <t>Positive Behaviour Management Strategies For Online Teaching</t>
  </si>
  <si>
    <t>Preparing For Blended Teaching</t>
  </si>
  <si>
    <t>Preparing For Teaching Classes Online</t>
  </si>
  <si>
    <t>Preparing Students For Success In Online Teaching And Learning</t>
  </si>
  <si>
    <t>Priorities For Teacher Professional Development</t>
  </si>
  <si>
    <t>Segmenting In Online Teaching</t>
  </si>
  <si>
    <t>Student Collaboration And Group Work Online</t>
  </si>
  <si>
    <t>Teacher As The Facilitator In Online Teaching</t>
  </si>
  <si>
    <t>The Importance Of Mindset In Online Teaching</t>
  </si>
  <si>
    <t>Three Strategies For Increasing Student Engagement Online</t>
  </si>
  <si>
    <t>Three Things To Know About Behaviour For Blended And Online Learning</t>
  </si>
  <si>
    <t>Three Tips For Making Online Teaching A Success</t>
  </si>
  <si>
    <t>Top Tips For Teaching Online &amp; Blended Classes</t>
  </si>
  <si>
    <t>Using Interactive Video To Improve Student Engagement Online</t>
  </si>
  <si>
    <t>Using Multimedia And Open Education Resources</t>
  </si>
  <si>
    <t>Using Retrieval Practice To Improve Online Teaching</t>
  </si>
  <si>
    <t>Using The Buddy System In Online Teaching</t>
  </si>
  <si>
    <t>Using Universal Design For Learning Across The Curriculum</t>
  </si>
  <si>
    <t>Using Video Feedback For Formative Assessment Online</t>
  </si>
  <si>
    <t>Using Warmer Questions To Increase Student Engagement Online</t>
  </si>
  <si>
    <t>Visualising Content For Memorable Online Teaching</t>
  </si>
  <si>
    <t>What Is A Community Of Practice In Education?</t>
  </si>
  <si>
    <t>What Is The Universal Design For Learning?</t>
  </si>
  <si>
    <t>What Teachers Need To Know About Cognition</t>
  </si>
  <si>
    <t>Classification, Seriation, and Number</t>
  </si>
  <si>
    <t>Supporting Children in Resolving Conflicts</t>
  </si>
  <si>
    <t>Adult-Child Interaction: Communicating to Support Learning</t>
  </si>
  <si>
    <t>Creative Representation</t>
  </si>
  <si>
    <t>Outside Time for Active Learners</t>
  </si>
  <si>
    <t>The Indoor and Outdoor Learning Environment</t>
  </si>
  <si>
    <t>Daily Schedules and Caregiving Routines</t>
  </si>
  <si>
    <t>It's Mine! Responding to Problems and Conflicts</t>
  </si>
  <si>
    <t>Supportive Interactions With Infants and Toddlers</t>
  </si>
  <si>
    <t>Language, Literacy and Communication</t>
  </si>
  <si>
    <t>Adult-Child Interaction</t>
  </si>
  <si>
    <t>Message Board</t>
  </si>
  <si>
    <t>Preschool Materials</t>
  </si>
  <si>
    <t>Large-Group Time</t>
  </si>
  <si>
    <t>Planning Time</t>
  </si>
  <si>
    <t>Recall Time</t>
  </si>
  <si>
    <t>Small-Group Time</t>
  </si>
  <si>
    <t>Part One: “Nobody ever taught me any of that”</t>
  </si>
  <si>
    <t>Part Two: “I’m trying to get home to my family, too”</t>
  </si>
  <si>
    <t>Part Three: “Every single word matters”</t>
  </si>
  <si>
    <t>Part Four: “Home is a work in progress”</t>
  </si>
  <si>
    <t>Alexander Street</t>
  </si>
  <si>
    <t>A Student’s Guide to a Meaningful Career</t>
  </si>
  <si>
    <t>A Student’s Guide to Avoiding Plagiarism and Understanding Citations</t>
  </si>
  <si>
    <t>A Student’s Guide to College Transition</t>
  </si>
  <si>
    <t>A Student’s Guide to Critical Thinking</t>
  </si>
  <si>
    <t>A Student’s Guide to Exercise for Improving Health</t>
  </si>
  <si>
    <t>A Student’s Guide to Getting Back on Track</t>
  </si>
  <si>
    <t>A Student’s Guide to Math Success</t>
  </si>
  <si>
    <t>A Student's Guide to Changing Relationships</t>
  </si>
  <si>
    <t>A Student's Guide to Communication and Self-Presentation</t>
  </si>
  <si>
    <t>A Student's Guide to Conquering Test Anxiety</t>
  </si>
  <si>
    <t>A Student's Guide to Positive Habit Building</t>
  </si>
  <si>
    <t>A Student's Guide to Stress Management</t>
  </si>
  <si>
    <t>Understanding Budgets</t>
  </si>
  <si>
    <t>Understanding Credit</t>
  </si>
  <si>
    <t>Understanding Student Loans</t>
  </si>
  <si>
    <t>Understanding the Stock Market</t>
  </si>
  <si>
    <t>Annenberg Learner</t>
  </si>
  <si>
    <t>Addressing the Diverse Needs of Students</t>
  </si>
  <si>
    <t>Choosing Instructional Approaches</t>
  </si>
  <si>
    <t>Creating Rich Learning Environments</t>
  </si>
  <si>
    <t>Developing Students as Artists</t>
  </si>
  <si>
    <t>Fostering Genuine Communication</t>
  </si>
  <si>
    <t>Making the Most of Community Resources</t>
  </si>
  <si>
    <t>Nurturing Independent Thinkers</t>
  </si>
  <si>
    <t>Principles of Artful Teaching</t>
  </si>
  <si>
    <t>Borrowing From the Arts to Enhance Learning</t>
  </si>
  <si>
    <t>Bringing Artists to Your Community</t>
  </si>
  <si>
    <t>Collaborating with a Cultural Resource</t>
  </si>
  <si>
    <t>Developing an Arts-Based Unit</t>
  </si>
  <si>
    <t>Expanding the Role of the Arts Specialist</t>
  </si>
  <si>
    <t>Introducing Arts Education</t>
  </si>
  <si>
    <t>Leadership Team</t>
  </si>
  <si>
    <t>Students Create a Multi-Arts Performance</t>
  </si>
  <si>
    <t>Teaching Dance</t>
  </si>
  <si>
    <t>Teaching Theatre</t>
  </si>
  <si>
    <t>Teaching Visual Art</t>
  </si>
  <si>
    <t>Three Leaders at Arts-Based Schools</t>
  </si>
  <si>
    <t>Working With Local Artists</t>
  </si>
  <si>
    <t>Building on New Ideas</t>
  </si>
  <si>
    <t>Classroom Demonstration Materials</t>
  </si>
  <si>
    <t>Creating a Multi-Arts Performance Piece</t>
  </si>
  <si>
    <t>Designing a Multi-Arts Curriculum Unit</t>
  </si>
  <si>
    <t>Historical References in the Arts</t>
  </si>
  <si>
    <t>Responding to the Arts</t>
  </si>
  <si>
    <t>The Role of Assessment in Curriculum Design</t>
  </si>
  <si>
    <t>Three Schools, Three Approaches</t>
  </si>
  <si>
    <t>What is Art?</t>
  </si>
  <si>
    <t>Analyzing a Culture - The Story Continues</t>
  </si>
  <si>
    <t>Breathing Life Into Myths</t>
  </si>
  <si>
    <t>Can Frogs Dance</t>
  </si>
  <si>
    <t>Constructing a Community</t>
  </si>
  <si>
    <t>Creating a Culture - The Story Begins</t>
  </si>
  <si>
    <t>Exploring Our Town</t>
  </si>
  <si>
    <t>Finding Your Voice</t>
  </si>
  <si>
    <t>Folk Tales Transformed</t>
  </si>
  <si>
    <t>Preserving a Place for the Arts</t>
  </si>
  <si>
    <t>Revealing Character</t>
  </si>
  <si>
    <t>Two Dance Collaborations</t>
  </si>
  <si>
    <t>How Do We Collaborate?</t>
  </si>
  <si>
    <t>Identifying What Students Are Learning</t>
  </si>
  <si>
    <t>Reflecting on Our Practice</t>
  </si>
  <si>
    <t>What Are Connecting Concepts?</t>
  </si>
  <si>
    <t>What Is Arts Integration?</t>
  </si>
  <si>
    <t>What Roles Do Students Take On?</t>
  </si>
  <si>
    <t>What's the Big Idea?</t>
  </si>
  <si>
    <t>Why Integrate the Arts?</t>
  </si>
  <si>
    <t>A Shared Path</t>
  </si>
  <si>
    <t>Different Audiences</t>
  </si>
  <si>
    <t>Different Purposes</t>
  </si>
  <si>
    <t>Providing Feedback on Student Writing</t>
  </si>
  <si>
    <t>Usage and Mechanics</t>
  </si>
  <si>
    <t>Workshop : Learning From Professional Writers</t>
  </si>
  <si>
    <t>Writing in the 21st Century</t>
  </si>
  <si>
    <t>A Closer Look</t>
  </si>
  <si>
    <t>Lives</t>
  </si>
  <si>
    <t>Story</t>
  </si>
  <si>
    <t>Witness</t>
  </si>
  <si>
    <t>Building on What We Know : Cognitive Processing</t>
  </si>
  <si>
    <t>Different Kinds of Smart : Multiple Intelligences</t>
  </si>
  <si>
    <t>Expectations for Success : Motivation and Learning</t>
  </si>
  <si>
    <t>Feelings Count : Emotions and Learning</t>
  </si>
  <si>
    <t>How People Learn : Introduction to Learning Theory</t>
  </si>
  <si>
    <t>How We Organize Knowledge : The Structure of the Disciplines</t>
  </si>
  <si>
    <t>Learning As We Grow : Development and Learning</t>
  </si>
  <si>
    <t>Learning From Others : Learning in a Social Context</t>
  </si>
  <si>
    <t>Lessons for Life : Learning and Transfer</t>
  </si>
  <si>
    <t>Pulling It All Together : Creating Classrooms and Schools That Support Learning</t>
  </si>
  <si>
    <t>The Classroom Mosaic : Culture and Learning</t>
  </si>
  <si>
    <t>Thinking About Thinking : Metacognition</t>
  </si>
  <si>
    <t>Watch It, Do It, Know It : Cognitive Apprenticeship</t>
  </si>
  <si>
    <t>Introduction To Observation Duplicate Of Observation Assessment And Planning</t>
  </si>
  <si>
    <t>Sounds Game (Duplicate)</t>
  </si>
  <si>
    <t>Making Up A Rainbow Song: ELGs</t>
  </si>
  <si>
    <t>Adventure Walk: ELGs</t>
  </si>
  <si>
    <t>Building A City: ELGs</t>
  </si>
  <si>
    <t>Examples Of Work: Exploring Understanding The World: ELGs</t>
  </si>
  <si>
    <t>David Whitebread Talks About Why Pretend Play Is Important For Developing Self-Regulation</t>
  </si>
  <si>
    <t>The Perfume Shop: ELGs</t>
  </si>
  <si>
    <t>Observing A Bee: ELGs</t>
  </si>
  <si>
    <t>Transformers Story: ELGs</t>
  </si>
  <si>
    <t>The Journey To School: ELGs</t>
  </si>
  <si>
    <t>Teachers, Try This: Strengthen Students' Emotional Intelligence in 1 Minute a Day</t>
  </si>
  <si>
    <t>College Board Official: We Don’t Dictate How AP Courses Are Taught</t>
  </si>
  <si>
    <t>These Moms Ran for Their Local School Board and Won. Here’s What They've Learned</t>
  </si>
  <si>
    <t>How This Public School Meets the Needs of Students With Dyslexia</t>
  </si>
  <si>
    <t>What It’s Like Teaching and Learning in a School Built for Wellness</t>
  </si>
  <si>
    <t>‘Black History Is Everybody’s History’: How One Teacher Brings Inclusivity Into Her Lessons</t>
  </si>
  <si>
    <t>How Districts Can Improve Mental Health Through Building Design</t>
  </si>
  <si>
    <t>Teachers, Try This: Use Restorative Justice to Solve Student Conflicts</t>
  </si>
  <si>
    <t>How This Juneteenth Tradition Funds Scholarships for College-Bound Students</t>
  </si>
  <si>
    <t>Teachers, Try This: Use a 'Classroom Economy' to Teach Financial Literacy</t>
  </si>
  <si>
    <t>Witnessing Change in a "Little Town for Latinos”: An English Learner’s Journey</t>
  </si>
  <si>
    <t>Updating Social Studies Expectations in the ‘Critical Race Theory’ Era</t>
  </si>
  <si>
    <t>Tips From Acclaimed Teachers: Navigating the Family Dynamic</t>
  </si>
  <si>
    <t>Teachers, Try This: Improve Student Engagement Through Design</t>
  </si>
  <si>
    <t>Teachers, Try This: A Two-Minute Exercise to Foster Student Creativity</t>
  </si>
  <si>
    <t>This After-School Program Is Improving Students’ Reading, One Black History Book at a Time</t>
  </si>
  <si>
    <t>How This Approach Helps Students With Dyslexia Learn to Read</t>
  </si>
  <si>
    <t>What’s Motivating These Teachers to Become Educators</t>
  </si>
  <si>
    <t>How This School Utilizes Architecture and Design to Improve Mental Health</t>
  </si>
  <si>
    <t>Skating Into STEM: Teaching Middle School Girls Math Through Movement</t>
  </si>
  <si>
    <t>Faced With the Possibility of School Closure, Parents Sprang Into Action</t>
  </si>
  <si>
    <t>Teachers, Try This: Build a Lesson Plan Using ChatGPT</t>
  </si>
  <si>
    <t>An Empowering Effect’: How Studying Black History in Prison Changed This Educator’s Life</t>
  </si>
  <si>
    <t>Black History Starts With the Creation of Humanity. We Should Teach It That Way</t>
  </si>
  <si>
    <t>Tips From Acclaimed Teachers: Classroom Management</t>
  </si>
  <si>
    <t>What Educators Want Other Teachers to Know During Teacher Appreciation Week</t>
  </si>
  <si>
    <t>How the National Teacher of the Year Brings Joy to Her Classroom</t>
  </si>
  <si>
    <t>What Educators Have To Say About the Teachers Who Inspired Them</t>
  </si>
  <si>
    <t>Reports of Radioactive Contamination Closed Their School. This PTA Is Demanding Answers</t>
  </si>
  <si>
    <t>Teachers, Try This: Helping Students Learn To Enjoy Being Bored</t>
  </si>
  <si>
    <t>I Have Dyslexia. How Teachers Can Support Students Like Me</t>
  </si>
  <si>
    <t>How School Districts and Families Can Better Engage With Each Other</t>
  </si>
  <si>
    <t>A Native Community Revitalized a Language. Here’s How a School District Carries It On</t>
  </si>
  <si>
    <t>Teachers, Try This: Giving Middle School Girls a Space Where They Belong</t>
  </si>
  <si>
    <t>Tips From Acclaimed Teachers: Lesson Plans</t>
  </si>
  <si>
    <t>Teachers, Try This: Teach Reading Through Hopscotch</t>
  </si>
  <si>
    <t>Tips From Acclaimed Teachers: Building a Network of Supportive Peers</t>
  </si>
  <si>
    <t>This School Is a Model for Wellness and Student Learning. See Why</t>
  </si>
  <si>
    <t>Where These Urban Students Get To Learn About (and in) the Outdoors</t>
  </si>
  <si>
    <t>Book About Life: Birds - ELGs</t>
  </si>
  <si>
    <t>Climbing, Crawling, and Chasing - ELGs</t>
  </si>
  <si>
    <t>Bean Bag Game: How Many Have We Got?</t>
  </si>
  <si>
    <t>Drawing A Bee - ELGs</t>
  </si>
  <si>
    <t>Book About Life: Frogs: ELGs</t>
  </si>
  <si>
    <t>Making Number Patterns: ELGs</t>
  </si>
  <si>
    <t>A Game Of Skittles: ELGs</t>
  </si>
  <si>
    <t>A Game Of Pirates: ELGs</t>
  </si>
  <si>
    <t>Drawing A Grid: ELGs</t>
  </si>
  <si>
    <t>Going To Slovakia: ELGs</t>
  </si>
  <si>
    <t>Counting To 50: ELGs</t>
  </si>
  <si>
    <t>Guided Reading: ELGs</t>
  </si>
  <si>
    <t>The Three Little Pigs: ELGs</t>
  </si>
  <si>
    <t>Phonics Session: ELGs</t>
  </si>
  <si>
    <t>Playing Chess: ELGs</t>
  </si>
  <si>
    <t>Racing: ELGs</t>
  </si>
  <si>
    <t>Reading In The Den: ELGs</t>
  </si>
  <si>
    <t>Writing Outside: ELGs</t>
  </si>
  <si>
    <t>Writing Examples: ELGs</t>
  </si>
  <si>
    <t>One District’s Transformative Solution to Its Staffing Shortage</t>
  </si>
  <si>
    <t>How One District’s Energy Savings Paid for Higher Teacher Salaries</t>
  </si>
  <si>
    <t>How Students Are Using Advocacy to Overcome Their Anxiety About Climate Change</t>
  </si>
  <si>
    <t>Climate Disasters: Hear From School Leaders Who Lived Through Them</t>
  </si>
  <si>
    <t>How Principals Can Approach Difficult Decisions</t>
  </si>
  <si>
    <t>The Falloff in NAEP Math and Reading Scores, Explained</t>
  </si>
  <si>
    <t>Exposed to Toxic Chemicals at School: A Teacher's Story</t>
  </si>
  <si>
    <t>A Recap of Reading Policy in 2022</t>
  </si>
  <si>
    <t>Overdoses at School: One School District’s Response to the Fentanyl Crisis</t>
  </si>
  <si>
    <t>How a High School Student Became a School Board Member</t>
  </si>
  <si>
    <t>Teachers, Try This: An SEL Lesson That Teaches Kindness and Empathy</t>
  </si>
  <si>
    <t>Teachers, Try This: Incorporate Students’ Home Languages Into Your Classrooms</t>
  </si>
  <si>
    <t>Teacher on Using Wordle in The Classroom: 'It's Worth The 5 to 10 Minutes of Your Day'</t>
  </si>
  <si>
    <t>Explainer: What is Culturally Responsive Teaching?</t>
  </si>
  <si>
    <t>Lessons From the War in Ukraine: A History Teacher Shares Her Approach</t>
  </si>
  <si>
    <t>How Schools Can Prevent Costly Cyberattacks</t>
  </si>
  <si>
    <t>How Expanded Tech Use Is Changing Teaching and Learning</t>
  </si>
  <si>
    <t>The Tech Tools That Are Here to Stay</t>
  </si>
  <si>
    <t>Here’s What’s Drawing Aspiring Teachers to the Field</t>
  </si>
  <si>
    <t>One Parent’s Approach to Advocacy Through Community</t>
  </si>
  <si>
    <t>What is LETRS? How One PD Program is Dominating ‘Science of Reading’ Efforts</t>
  </si>
  <si>
    <t>One Teacher Says Teaching is a Profession, Not a ‘Work of Heart’</t>
  </si>
  <si>
    <t>Planes, Drones, and Mathematics: How a New Aviation Curriculum Is Opening Career Doors for Students</t>
  </si>
  <si>
    <t>2022 National Teacher of the Year: ‘So Honored to Be a Part of This Profession’</t>
  </si>
  <si>
    <t>Fighting for Food With a Video Campaign</t>
  </si>
  <si>
    <t>How One Teacher Uses Wordle in Her Classroom</t>
  </si>
  <si>
    <t>Problem Solving at the Highest Level: What Teachers and Students Can Learn From Tammie Jo Shults</t>
  </si>
  <si>
    <t>Leading in a Pandemic: Superintendents Discuss Hard and Hopeful Moments</t>
  </si>
  <si>
    <t>Flipped Learning: How It Works</t>
  </si>
  <si>
    <t>How a Group of Latino Parents Pressed Their School Meal Concerns</t>
  </si>
  <si>
    <t>This City Is Theirs’: How One Chicago Program is Implementing SEL</t>
  </si>
  <si>
    <t>How Social-Emotional Learning Can Foster Student Growth</t>
  </si>
  <si>
    <t>A Parent Looks Back On a Successful District-Parent Collaboration</t>
  </si>
  <si>
    <t>Schools Have a Vital Role to Play in Helping Solve the Climate Crisis</t>
  </si>
  <si>
    <t>A High-Quality, Culturally Responsive Education Should Be Every District’s DEI Goal</t>
  </si>
  <si>
    <t>Teachers Hoped the Pandemic Would Bring Change for All Students. Did We Miss the Chance?</t>
  </si>
  <si>
    <t>Not Just a Talking Point: How Lawmakers Can Support the Mental Health Needs of Students</t>
  </si>
  <si>
    <t>For Decades, Our Nation Supported Equity. Now, We’re Divided Over It</t>
  </si>
  <si>
    <t>To Discourage Binary Thinking, Schools Need to Challenge Students on Their Beliefs</t>
  </si>
  <si>
    <t>Supporting ELLs in Science, in Supporting English Language Learners in the Classroom</t>
  </si>
  <si>
    <t>Supporting ELLs in the Arts, in Supporting English Language Learners in the Classroom</t>
  </si>
  <si>
    <t>Supporting ELLs in Mathematics, in Supporting English Language Learners in the Classroom</t>
  </si>
  <si>
    <t>Supporting ELLs in Social Studies, in Supporting English Language Learners in the Classroom</t>
  </si>
  <si>
    <t>Supporting ELLs in Technology, in Supporting English Language Learners in the Classroom</t>
  </si>
  <si>
    <t>Supporting English Language Learners, in Supporting English Language Learners in the Classroom</t>
  </si>
  <si>
    <t>Supporting ELLs in Health and Physical Education, in Supporting English Language Learners in the Classroom</t>
  </si>
  <si>
    <t>Bean Bag Game: Keeping Score</t>
  </si>
  <si>
    <t>Jack Plays With Cars</t>
  </si>
  <si>
    <t>Collecting And Counting</t>
  </si>
  <si>
    <t>Dennis Wants To Count</t>
  </si>
  <si>
    <t>Snack Time: Counting And Amounts</t>
  </si>
  <si>
    <t>Tidy And Sort: Blocks And Shapes</t>
  </si>
  <si>
    <t>Maths At Snack Time</t>
  </si>
  <si>
    <t>Two Educators Reflect on Leading for Racial Justice</t>
  </si>
  <si>
    <t>Where Friendship Happens When School Goes Online</t>
  </si>
  <si>
    <t>Educators' Wish List for Summer Professional Development</t>
  </si>
  <si>
    <t>In Detroit, Parents Equip Other Parents to Do Home Schooling Right</t>
  </si>
  <si>
    <t>What the American Rescue Plan Means for Schools</t>
  </si>
  <si>
    <t>How I Fell in Love with Black History</t>
  </si>
  <si>
    <t>The Supreme Court's Vulgar Snapchat Ruling and What It Means for Students' Free Speech</t>
  </si>
  <si>
    <t>Organizing for Resources – and a Parent Voice in Decisionmaking</t>
  </si>
  <si>
    <t>How Schools Can Support Grieving Kids</t>
  </si>
  <si>
    <t>Students and School Boards: The Value of Student Engagement</t>
  </si>
  <si>
    <t>Addressing Students' Grief and Anxiety</t>
  </si>
  <si>
    <t>What is Critical Race Theory and Why Are States Banning It?</t>
  </si>
  <si>
    <t>Schools as Vaccine Clinics: Advice From School Leaders Who Made It Work</t>
  </si>
  <si>
    <t>The Fight To Preserve Rosenwald Schools</t>
  </si>
  <si>
    <t>VUCA: What It Is and Why It Matters to Schools</t>
  </si>
  <si>
    <t>How One Teacher is Using Clubhouse</t>
  </si>
  <si>
    <t>The CDC's New Guidance for Schools</t>
  </si>
  <si>
    <t>2021 National Teacher of the Year: Special Education Is the ‘Heartbeat’ of Schools</t>
  </si>
  <si>
    <t>How to Become Trauma-Informed</t>
  </si>
  <si>
    <t>An Elementary School Principal on Year One of the Pandemic</t>
  </si>
  <si>
    <t>An Asian American Educator Explains Why Teacher Diversity Benefits All Students</t>
  </si>
  <si>
    <t>What Good Principal Coaching Looks Like</t>
  </si>
  <si>
    <t>Valuable Lessons From a ‘Teaching Principal’</t>
  </si>
  <si>
    <t>I Am a Native American and Teacher. That Matters to My Students</t>
  </si>
  <si>
    <t>Why Latino Representation on School Boards Matters and How to Make it Happen</t>
  </si>
  <si>
    <t>Black Principals: How Schools Can Hire and Support Them</t>
  </si>
  <si>
    <t>Six Schools in Seven Years: Where One Black Male Teacher Found The Right Fit</t>
  </si>
  <si>
    <t>A Black Male Principal in Virginia on Addressing Inequity and Creating a ‘Globalized School’</t>
  </si>
  <si>
    <t>What Culturally Responsive Teaching Looks Like: A Native Educator Explains</t>
  </si>
  <si>
    <t>Explainer: Why Is America's Teaching Force So White?</t>
  </si>
  <si>
    <t>An Educator Asks, ‘How Do We Define Diversity?’</t>
  </si>
  <si>
    <t>Teacher and Administrator: A South Asian American Educator Navigates Both Worlds</t>
  </si>
  <si>
    <t>Where Texas School Leaders Can Find Comprehensive Professional Development</t>
  </si>
  <si>
    <t>Shaping the Next Generation of Native Teachers</t>
  </si>
  <si>
    <t>A Native Teacher Works to Return to His Tribe</t>
  </si>
  <si>
    <t>What’s Behind the School Staffing Shortages – And What Districts Can Do to Address Them</t>
  </si>
  <si>
    <t>Building A Lego Model</t>
  </si>
  <si>
    <t>Anna And Skye's Walkie Talkie Shop</t>
  </si>
  <si>
    <t>Lunch Time: Chatting About Numbers</t>
  </si>
  <si>
    <t>Chatting With Grandma: Cooing And Turn Taking</t>
  </si>
  <si>
    <t>Banana Is All Gone</t>
  </si>
  <si>
    <t>Messy Play</t>
  </si>
  <si>
    <t>Babbling: Phonemic Expansion</t>
  </si>
  <si>
    <t>Making Some Dinner</t>
  </si>
  <si>
    <t>Ah Said Stork: One To One Reading</t>
  </si>
  <si>
    <t>Babies: Love Of Books</t>
  </si>
  <si>
    <t>Making A Card For Mum</t>
  </si>
  <si>
    <t>Adult Led Play: Twos: Sounds Game</t>
  </si>
  <si>
    <t>Active Learning: Introduction</t>
  </si>
  <si>
    <t>Active Learning: Keeping On Trying</t>
  </si>
  <si>
    <t>Adult Led Play: Baby</t>
  </si>
  <si>
    <t>Active Learning: Being Involved And Concentrating</t>
  </si>
  <si>
    <t>Active Learning: Enjoying Achieving What They Set Out To Do</t>
  </si>
  <si>
    <t>Communicating Ideas</t>
  </si>
  <si>
    <t>Communicating With Gestures</t>
  </si>
  <si>
    <t>Creating And Thinking Critically: Making Links</t>
  </si>
  <si>
    <t>Going To The Ball</t>
  </si>
  <si>
    <t>Communicating: Discussion</t>
  </si>
  <si>
    <t>Chatting With Mum: Linguistic Stage</t>
  </si>
  <si>
    <t>Creating And Thinking Critically: Introduction</t>
  </si>
  <si>
    <t>Shopping Trip: Independence And Boundaries</t>
  </si>
  <si>
    <t>Communicating With Peers</t>
  </si>
  <si>
    <t>Creating And Thinking Critically: Having Their Own Ideas</t>
  </si>
  <si>
    <t>Creating And Thinking Critically: Choosing Ways To Do Things</t>
  </si>
  <si>
    <t>Erin Explores With Water: 2</t>
  </si>
  <si>
    <t>Exploring Water</t>
  </si>
  <si>
    <t>Conversation With Peers</t>
  </si>
  <si>
    <t>Communication: Crying</t>
  </si>
  <si>
    <t>Sharing Sweets: How Many Each?</t>
  </si>
  <si>
    <t>Story Time: Ah Said Stork - Maths</t>
  </si>
  <si>
    <t>Supporting Children's Play And Exploration</t>
  </si>
  <si>
    <t>The Zip Wire</t>
  </si>
  <si>
    <t>The Sucasenis</t>
  </si>
  <si>
    <t>The Characteristics Of Effective Learning: An Overview</t>
  </si>
  <si>
    <t>Painting A Tree</t>
  </si>
  <si>
    <t>Tyre Balancing</t>
  </si>
  <si>
    <t>Types Of Play: Parallel: Putting Babies To Bed</t>
  </si>
  <si>
    <t>Registration Cards: Literacy: Eal</t>
  </si>
  <si>
    <t>One To One Reading</t>
  </si>
  <si>
    <t>Types Of Play: Onlooker</t>
  </si>
  <si>
    <t>Treasure Basket</t>
  </si>
  <si>
    <t>The Studio</t>
  </si>
  <si>
    <t>Supporting Creative And Critical Thinking</t>
  </si>
  <si>
    <t>The Worm</t>
  </si>
  <si>
    <t>Types Of Play: Associative</t>
  </si>
  <si>
    <t>Tree Climbing</t>
  </si>
  <si>
    <t>Supporting Children's Active Learning</t>
  </si>
  <si>
    <t>Two Words: Telegraphic Speech</t>
  </si>
  <si>
    <t>Transition To School: Chatting With Mum</t>
  </si>
  <si>
    <t>Types Of Play: Co-Operative: Physical</t>
  </si>
  <si>
    <t>Mark Making In The Sand</t>
  </si>
  <si>
    <t>Noticing Patterns</t>
  </si>
  <si>
    <t>Olivia In The Mud Kitchen</t>
  </si>
  <si>
    <t>Types Of Play: Unoccupied</t>
  </si>
  <si>
    <t>Playing With Mud</t>
  </si>
  <si>
    <t>Phonics Bingo</t>
  </si>
  <si>
    <t>The Truck And The Ramp</t>
  </si>
  <si>
    <t>Who's Got More?</t>
  </si>
  <si>
    <t>Writing My Name</t>
  </si>
  <si>
    <t>Writing A Card</t>
  </si>
  <si>
    <t>Types Of Play: Solitary: Heuristic</t>
  </si>
  <si>
    <t>Using The Saw</t>
  </si>
  <si>
    <t>National Survey on Coronavirus Preparedness Shows School Leaders Aren't Ready for Remote Learning</t>
  </si>
  <si>
    <t>On a Mission to Help Student-Teachers Thrive‚ and Stay in the Profession</t>
  </si>
  <si>
    <t>Increasing District Capacity to Support Student and Staff Mental Health Needs</t>
  </si>
  <si>
    <t>Demystifying School Finance: Tulsa's Chief Financial Officer Breaks Down District Spending For Community</t>
  </si>
  <si>
    <t>Try This at Home: How to Make Slime</t>
  </si>
  <si>
    <t>Try This at Home: How to Make Invisible Ink</t>
  </si>
  <si>
    <t>Teaching in the Time of Coronavirus Part 5: Following Up by Ariel Sacks</t>
  </si>
  <si>
    <t>Try This at Home: How to Make a Rubber Egg</t>
  </si>
  <si>
    <t>Building Remote Learning Relationships</t>
  </si>
  <si>
    <t>What Parents Can Do in the Absence of Summer Programs</t>
  </si>
  <si>
    <t>Responding to Coronavirus: A 3-Minute Guide for Schools</t>
  </si>
  <si>
    <t>Making Tech Work for Schools‚ and Students</t>
  </si>
  <si>
    <t>Diane Ravitch in Her Own Words</t>
  </si>
  <si>
    <t>Revamping How a School System Hires, Places, and Supports Teachers and Educators</t>
  </si>
  <si>
    <t>The World of Careers Is Changing. This Superintendent Aims to Get His Students‚ "Future Ready"</t>
  </si>
  <si>
    <t>What Does It Mean To Be Trauma Informed?</t>
  </si>
  <si>
    <t>Careers, Competitions, Creativity: New Courses Help Students Explore the Future</t>
  </si>
  <si>
    <t>How a STEM Program Helps Students of Color See Themselves in Science</t>
  </si>
  <si>
    <t>Teaching in the Time of Coronavirus Part 4: Following Up by Russell Stahlke</t>
  </si>
  <si>
    <t>Teaching About a Divisive Election, and What Comes Next</t>
  </si>
  <si>
    <t>In Houston, School Meals Are About Expanding Equity and Improving Climate</t>
  </si>
  <si>
    <t>Meet Jonte Lee, the Chemistry Teacher Who Transformed his Kitchen into a Classroom</t>
  </si>
  <si>
    <t>Creating a Menu of Healthy School Meals, While Seeking Student Input</t>
  </si>
  <si>
    <t>Emotional Regulation for Teachers Dealing With Uncertainty</t>
  </si>
  <si>
    <t>How the Supreme Court's LGBTQ Ruling Impacts Education</t>
  </si>
  <si>
    <t>How a Summer Learning and Sports Program Adapted to the Pandemic</t>
  </si>
  <si>
    <t>The CDC Guidance on Reopening Schools, Explained</t>
  </si>
  <si>
    <t>Bringing the "Why" To Life: How to Enlist Teachers Behind a Challenging New Curriculum</t>
  </si>
  <si>
    <t>Building Social-Emotional Resilience Among Students and Staff</t>
  </si>
  <si>
    <t>What It's Like to Retire During a Pandemic</t>
  </si>
  <si>
    <t>Ideas for How to Build Confident, Engaged Learners Now</t>
  </si>
  <si>
    <t>They Wanted Their Kids to Experience the Outdoors at School. So They Started a Charter</t>
  </si>
  <si>
    <t>Teaching in the Time of Coronavirus: Part 1 - Meet the Teachers</t>
  </si>
  <si>
    <t>Barbara Isaacs: Need For Parents To Understand Play</t>
  </si>
  <si>
    <t>Adam: Transitions</t>
  </si>
  <si>
    <t>Aziah Plays Outside</t>
  </si>
  <si>
    <t>Anna And Sky Play High School Kung Fu</t>
  </si>
  <si>
    <t>Aziah Looks At Books</t>
  </si>
  <si>
    <t>Making Music</t>
  </si>
  <si>
    <t>Magic Me Into A Kitty Cat</t>
  </si>
  <si>
    <t>Arthur Begins To Empathise</t>
  </si>
  <si>
    <t>Anna Makes A Tent Village</t>
  </si>
  <si>
    <t>Amanda's Butterfly</t>
  </si>
  <si>
    <t>Adam And The Trampoline</t>
  </si>
  <si>
    <t>Building A Dragon's Cave</t>
  </si>
  <si>
    <t>Mystery Of The Broken Headstone</t>
  </si>
  <si>
    <t>Building A Log Tower</t>
  </si>
  <si>
    <t>Building A Fire</t>
  </si>
  <si>
    <t>Brenda! Look At Me!</t>
  </si>
  <si>
    <t>Aziah: Group Time</t>
  </si>
  <si>
    <t>Making Bread</t>
  </si>
  <si>
    <t>Aziah Makes A Print</t>
  </si>
  <si>
    <t>Aziah Washes Her Hands</t>
  </si>
  <si>
    <t>Chatting At Meal Time</t>
  </si>
  <si>
    <t>Assessment Activity</t>
  </si>
  <si>
    <t>Building A Path: ELGs</t>
  </si>
  <si>
    <t>Beer For The Pirates</t>
  </si>
  <si>
    <t>Amanda's Butterfly: ELGs</t>
  </si>
  <si>
    <t>Aziah Plays With Paint</t>
  </si>
  <si>
    <t>Building A Path</t>
  </si>
  <si>
    <t>Anna Makes A Tent Village: ELGs</t>
  </si>
  <si>
    <t>Making Bread: Weights And Amounts</t>
  </si>
  <si>
    <t>Jordan's Car Wash</t>
  </si>
  <si>
    <t>How Can I Stick This?</t>
  </si>
  <si>
    <t>Introducing Victoria</t>
  </si>
  <si>
    <t>A Morning With Poppy</t>
  </si>
  <si>
    <t>Learning From Older Children</t>
  </si>
  <si>
    <t>I Want To Be In The Bed!</t>
  </si>
  <si>
    <t>I'm Angry! I'm Sad.</t>
  </si>
  <si>
    <t>Khloe In The Mud Kitchen</t>
  </si>
  <si>
    <t>Introducing Aziah</t>
  </si>
  <si>
    <t>Introducing Adam</t>
  </si>
  <si>
    <t>Ichen's Stone Ball</t>
  </si>
  <si>
    <t>Lego Tower: ELGs</t>
  </si>
  <si>
    <t>Introducing Filip</t>
  </si>
  <si>
    <t>Khloe Plays In The Home Corner</t>
  </si>
  <si>
    <t>High School Kung Fu: ELGs</t>
  </si>
  <si>
    <t>Introducing Oliver</t>
  </si>
  <si>
    <t>Julian Grenier Talks About Effective Planning</t>
  </si>
  <si>
    <t>I Want To Be In The Bed!: ELGs</t>
  </si>
  <si>
    <t>Introducing Khloe</t>
  </si>
  <si>
    <t>Khloe: Making Choices</t>
  </si>
  <si>
    <t>Jumping And Counting</t>
  </si>
  <si>
    <t>Khloe And The Trampoline</t>
  </si>
  <si>
    <t>Learning To Use Scissors</t>
  </si>
  <si>
    <t>Khloe: Group Time: Singing</t>
  </si>
  <si>
    <t>Julian Grenier Talks About Effective Observation</t>
  </si>
  <si>
    <t>Luca Climbs A Ladder</t>
  </si>
  <si>
    <t>Khloe Plays With Dough</t>
  </si>
  <si>
    <t>Heidi Looks At Book About Thunder</t>
  </si>
  <si>
    <t>I'm Scared Of Thunder!</t>
  </si>
  <si>
    <t>Jack Makes A Log Sculpture</t>
  </si>
  <si>
    <t>Layla Rose's Animal Spotting List</t>
  </si>
  <si>
    <t>It Won't Fit Through! What Will We Do?</t>
  </si>
  <si>
    <t>Introducing Poppy</t>
  </si>
  <si>
    <t>Henry Plays With Bricks</t>
  </si>
  <si>
    <t>In The Den</t>
  </si>
  <si>
    <t>Jack Makes Music</t>
  </si>
  <si>
    <t>Introducing Esme</t>
  </si>
  <si>
    <t>Introducing Harry</t>
  </si>
  <si>
    <t>Introduction To The Importance Of The Outdoors</t>
  </si>
  <si>
    <t>Jamie Plays With Objects</t>
  </si>
  <si>
    <t>Daniel Puts On His 'Workers' Jacket</t>
  </si>
  <si>
    <t>Filip Plays In The Sand Pit</t>
  </si>
  <si>
    <t>Steiner Approach To Play</t>
  </si>
  <si>
    <t>Find Out About Setting Up And Running A Forest Nursery?</t>
  </si>
  <si>
    <t>Stones And Shells</t>
  </si>
  <si>
    <t>Doctors And Nurses</t>
  </si>
  <si>
    <t>Solving Conflict</t>
  </si>
  <si>
    <t>Gemma Puts On Her Hats: ELGs</t>
  </si>
  <si>
    <t>Conflict Over Chalk</t>
  </si>
  <si>
    <t>Harry At The Paint Table</t>
  </si>
  <si>
    <t>Exploring Paint</t>
  </si>
  <si>
    <t>Climbing The Gate</t>
  </si>
  <si>
    <t>Filip: Planning Meeting</t>
  </si>
  <si>
    <t>Dropping Stones</t>
  </si>
  <si>
    <t>Drawing Giants: ELGs</t>
  </si>
  <si>
    <t>Harry And The Mud Slide</t>
  </si>
  <si>
    <t>Giant Stories</t>
  </si>
  <si>
    <t>Finn's Dice Game</t>
  </si>
  <si>
    <t>Emile Builds A Den</t>
  </si>
  <si>
    <t>Esme And The Gardening Tray</t>
  </si>
  <si>
    <t>Filip And The Gate</t>
  </si>
  <si>
    <t>Finn Manages Emotions</t>
  </si>
  <si>
    <t>Feeding The Crow</t>
  </si>
  <si>
    <t>Esme Arrives At Nursery</t>
  </si>
  <si>
    <t>Filip Rides Bikes</t>
  </si>
  <si>
    <t>Esme Plays Outside</t>
  </si>
  <si>
    <t>Filip: Snack Time</t>
  </si>
  <si>
    <t>Skye: Joining In And Learning From Others</t>
  </si>
  <si>
    <t>Snowdrops Are Bursting</t>
  </si>
  <si>
    <t>Skye And Sophie Exploring Water</t>
  </si>
  <si>
    <t>David Wright Talks About Men Working In Early Years</t>
  </si>
  <si>
    <t>Esme Paints</t>
  </si>
  <si>
    <t>Following Child's Interests: Schema</t>
  </si>
  <si>
    <t>Happy Birthday: Two Languages</t>
  </si>
  <si>
    <t>Could Baby Ride With Alice?</t>
  </si>
  <si>
    <t>H For Hedgehog</t>
  </si>
  <si>
    <t>Heidi Goes Shopping</t>
  </si>
  <si>
    <t>Erin Explores Water</t>
  </si>
  <si>
    <t>Daisie: Ducks And Geese</t>
  </si>
  <si>
    <t>Group Singing Own Songs</t>
  </si>
  <si>
    <t>Filip: Turn Taking</t>
  </si>
  <si>
    <t>Harry And The Water Tray</t>
  </si>
  <si>
    <t>Steiner Approach: Environment And Materials</t>
  </si>
  <si>
    <t>Skye: Natural Materials</t>
  </si>
  <si>
    <t>Sophie Rolls Bottles</t>
  </si>
  <si>
    <t>Seth Gives A Friend A Ride</t>
  </si>
  <si>
    <t>The Abacus</t>
  </si>
  <si>
    <t>The Witch's Den</t>
  </si>
  <si>
    <t>The Poisoned Drink</t>
  </si>
  <si>
    <t>Three On A Bike</t>
  </si>
  <si>
    <t>The Floor Is On Fire!</t>
  </si>
  <si>
    <t>Tree Decorating</t>
  </si>
  <si>
    <t>The Obstacle Course</t>
  </si>
  <si>
    <t>The Rescue</t>
  </si>
  <si>
    <t>The Treasure Map</t>
  </si>
  <si>
    <t>Taking Turns</t>
  </si>
  <si>
    <t>Tree Pond For Frogs</t>
  </si>
  <si>
    <t>Observation Task 1 Dylan</t>
  </si>
  <si>
    <t>Mia's Numbers Game</t>
  </si>
  <si>
    <t>Pretend The Baby Was In The Cupboard</t>
  </si>
  <si>
    <t>Oliver Looks At Books</t>
  </si>
  <si>
    <t>Niaz Draws A List</t>
  </si>
  <si>
    <t>Orson Draws A Creature</t>
  </si>
  <si>
    <t>Seth And Davide Go Dancing</t>
  </si>
  <si>
    <t>Oliver Plays With Blocks</t>
  </si>
  <si>
    <t>Sam Does Woodwork</t>
  </si>
  <si>
    <t>Poppy Explores Outside</t>
  </si>
  <si>
    <t>Victoria Looks At Treasure</t>
  </si>
  <si>
    <t>Observation Task 1 Dylan With Observation On Screen</t>
  </si>
  <si>
    <t>The Motivation For Developing A Forest Nursery</t>
  </si>
  <si>
    <t>The Wheel Barrow</t>
  </si>
  <si>
    <t>The Spider Catcher</t>
  </si>
  <si>
    <t>Tidy Up Time</t>
  </si>
  <si>
    <t>The Cafe</t>
  </si>
  <si>
    <t>Tigers Can't Actually Skip You Know!</t>
  </si>
  <si>
    <t>The Dice Game</t>
  </si>
  <si>
    <t>The Log Guitar</t>
  </si>
  <si>
    <t>Seth And Davide Blocks And Technology</t>
  </si>
  <si>
    <t>The Cafe: ELGs</t>
  </si>
  <si>
    <t>Oliver Explores Outside</t>
  </si>
  <si>
    <t>Poppy: Talking With Dad</t>
  </si>
  <si>
    <t>Rolling Eggs</t>
  </si>
  <si>
    <t>Poppy: Ready, Steady... Go 2</t>
  </si>
  <si>
    <t>Poppy Plays With Pens</t>
  </si>
  <si>
    <t>Orson Puts Fireman To Bed</t>
  </si>
  <si>
    <t>Orson's Dice Game</t>
  </si>
  <si>
    <t>Orson Draws A Pyramid</t>
  </si>
  <si>
    <t>One For My Friend</t>
  </si>
  <si>
    <t>Orson's Ball Game</t>
  </si>
  <si>
    <t>Rose Hammers</t>
  </si>
  <si>
    <t>Poppy: Ready, Steady... Go 1</t>
  </si>
  <si>
    <t>Onions</t>
  </si>
  <si>
    <t>Rosa And The Magnifying Glass</t>
  </si>
  <si>
    <t>Pouring Sand</t>
  </si>
  <si>
    <t>The Witches Den: ELGs</t>
  </si>
  <si>
    <t>The Sleepy Firemen</t>
  </si>
  <si>
    <t>The Monkey Tree</t>
  </si>
  <si>
    <t>Why Don't Cows Live In The Water?</t>
  </si>
  <si>
    <t>What's In Niaz's Lunch Box?</t>
  </si>
  <si>
    <t>What's The Matter?</t>
  </si>
  <si>
    <t>Yasmine Explores Slopes And Edges</t>
  </si>
  <si>
    <t>What Kind Of Insect Is It?</t>
  </si>
  <si>
    <t>What Are The Essentials For Choosing An Environment For Your Forest Nursery?</t>
  </si>
  <si>
    <t>Victoria: Where's My Hat?</t>
  </si>
  <si>
    <t>Yasmine Grouping Toys</t>
  </si>
  <si>
    <t>What Does Effective Teaching Look Like At The Little Forest Folks Forest Nursery?</t>
  </si>
  <si>
    <t>We Need Four Pieces</t>
  </si>
  <si>
    <t>Aziah In The Soft Play</t>
  </si>
  <si>
    <t>Bringing It All Together: Science, 12.3: Engaging Students in Authentic Reading and Writing, in Reading and Writing in the Disciplines, Episode 50</t>
  </si>
  <si>
    <t>Writing: Big Ideas, 4.1: Making Writing Explicit in Social Studies, in Reading and Writing in the Disciplines, Episode 16</t>
  </si>
  <si>
    <t>Disciplinary Literacy: Big Ideas, 2.7: One-on-One Conferences, in Reading and Writing in the Disciplines, Episode 11</t>
  </si>
  <si>
    <t>Reading and Analyzing Texts, 18.3: Citing Evidence from Primary Sources to Support Arguments, in Reading and Writing in the Disciplines, 68</t>
  </si>
  <si>
    <t>Argument Writing, 19.1: Presenting Facts as Evidence, in Reading and Writing in the Disciplines, 72</t>
  </si>
  <si>
    <t>Bringing It All Together: History/Social Studies, 20.1: Facilitating a Socratic Seminar, in Reading and Writing in the Disciplines, Episode 77</t>
  </si>
  <si>
    <t>Reading: Big Ideas, 3.2: Reading and Writing in History, in Reading and Writing in the Disciplines, Episode 13</t>
  </si>
  <si>
    <t>Argument Writing, 19.2: Using the Socratic Method in History, in Reading and Writing in the Disciplines, 73</t>
  </si>
  <si>
    <t>Argument Writing, 19.5: Using Student Data to Plan Instruction, in Reading and Writing in the Disciplines, 76</t>
  </si>
  <si>
    <t>Big Ideas in Literacy: History/Social Studies, 17.1: Reading and Responding Like a Historian, in Reading and Writing in the Disciplines, 62</t>
  </si>
  <si>
    <t>Disciplinary Literacy: Big Ideas, 2.6: Creating a Culture of Collaboration, in Reading and Writing in the Disciplines, Episode 10</t>
  </si>
  <si>
    <t>Big Ideas in Literacy: English, 13.6: Revising with Teacher and Peer Feedback, in Reading and Writing in the Disciplines, Episode 55</t>
  </si>
  <si>
    <t>Reading in English, 14.3: Identifying Theme Through Close Reading, in Reading and Writing in the Disciplines, Episode 58</t>
  </si>
  <si>
    <t>Writing in Mathematics, 7.7: Real World Mathematics Collaboration, in Reading and Writing in the Disciplines, Episode 28</t>
  </si>
  <si>
    <t>Reading in Mathematics, 6.3: Annotating Word Problems, in Reading and Writing in the Disciplines, Episode 21</t>
  </si>
  <si>
    <t>Big Ideas in Literacy: Science, 9.7: Annotating Across Disciplines, in Reading and Writing in the Disciplines, Episode 38</t>
  </si>
  <si>
    <t>What Is Disciplinary Literacy?, 1.1: Talking Like a Mathematician, in Reading and Writing in the Disciplines, 2</t>
  </si>
  <si>
    <t>Argument Writing, 19.4: Thinking and Communicating Like a Historian, in Reading and Writing in the Disciplines, 75</t>
  </si>
  <si>
    <t>Reading and Analyzing Texts, 18.6: Analyzing Complex Text, in Reading and Writing in the Disciplines, 70</t>
  </si>
  <si>
    <t>Writing in Science, 11.2: Building Knowledge from Multiple Sources, in Reading and Writing in the Disciplines, 43</t>
  </si>
  <si>
    <t>Writing in Science, 11.8: Polishing Writing, in Reading and Writing in the Disciplines, 48</t>
  </si>
  <si>
    <t>Writing in Science, 11.4: Power Writing for Science, in Reading and Writing in the Disciplines, Episode 45</t>
  </si>
  <si>
    <t>Writing in Mathematics, 7.6: Creating Opportunities for Mathematical Discourse, in Reading and Writing in the Disciplines, Episode 27</t>
  </si>
  <si>
    <t>Writing in Science, 11.5: Science Literacy_Reading and Writing Diagrams, in Reading and Writing in the Disciplines, Episode 46</t>
  </si>
  <si>
    <t>Writing in Mathematics, 7.5: Fostering Student Engagement, in Reading and Writing in the Disciplines, Episode 26</t>
  </si>
  <si>
    <t>Reading and Analyzing Texts, 18.2: Close Reading of a Primary Source, in Reading and Writing in the Disciplines, 67</t>
  </si>
  <si>
    <t>Bringing It All Together: Mathematics, 8.1: Reading and Writing in Mathematics, in Reading and Writing in the Disciplines, Episode 29</t>
  </si>
  <si>
    <t>Writing in Mathematics, 7.3: Using Math Vocabulary to Articulate Understanding, in Reading and Writing in the Disciplines, Episode 24</t>
  </si>
  <si>
    <t>Writing: Big Ideas, 4.2: Reading and Writing Scientific Abstracts, in Reading and Writing in the Disciplines, Episode 17</t>
  </si>
  <si>
    <t>Big Ideas in Literacy: Science, 9.6: Blended Learning_Acquiring Digital Literacy Skills, in Reading and Writing in the Disciplines, 37</t>
  </si>
  <si>
    <t>Big Ideas in Literacy: Science, 9.4: Creating a Classroom Culture, in Reading and Writing in the Disciplines, Episode 35</t>
  </si>
  <si>
    <t>Bringing It All Together: Science, 12.4: Using Document-based Questions for Historical Writing, in Reading and Writing in the Disciplines, Episode 51</t>
  </si>
  <si>
    <t>Bringing It All Together: English, 16.2: Reading, Writing, and Responding to Poetry, in Reading and Writing in the Disciplines, 61</t>
  </si>
  <si>
    <t>Writing in Mathematics, 7.1: Writing for Mathematics Understanding, in Reading and Writing in the Disciplines, Episode 22</t>
  </si>
  <si>
    <t>Reading in Mathematics, 6.1: Collaborative Talk About Mathematics, in Reading and Writing in the Disciplines, Episode 20</t>
  </si>
  <si>
    <t>Writing in Science, 11.7: Writing for New Media, in Reading and Writing in the Disciplines, Episode 47</t>
  </si>
  <si>
    <t>Disciplinary Literacy: Big Ideas, 2.2: Using Gradual Release of Responsibility, in Reading and Writing in the Disciplines, 6</t>
  </si>
  <si>
    <t>What Is Disciplinary Literacy?, 1.2: Using Technology to Develop Writing Skills, in Reading and Writing in the Disciplines, 3</t>
  </si>
  <si>
    <t>Big Ideas in Literacy: Mathematics, 5.1: Mathematics in the Real World_An Epidemiologist, in Reading and Writing in the Disciplines, Episode 18</t>
  </si>
  <si>
    <t>Big Ideas in Literacy: History/Social Studies, 17.4: Blended Learning_Evaluating Source Material, in Reading and Writing in the Disciplines, 65</t>
  </si>
  <si>
    <t>Reading in English, 14.1: English in the Real World_A Sports Journalist, in Reading and Writing in the Disciplines, Episode 57</t>
  </si>
  <si>
    <t>Disciplinary Literacy: Big Ideas, 2.1: History in the Real World_A Documentary Filmmaker, in Reading and Writing in the Disciplines, 5</t>
  </si>
  <si>
    <t>Big Ideas in Literacy: English, 13.4: Collaborating and Writing_Components of Close Reading, in Reading and Writing in the Disciplines, Episode 53</t>
  </si>
  <si>
    <t>Reading In Science, 10.1: Making Observations Like a Scientist, in Reading and Writing in the Disciplines, Episode 39</t>
  </si>
  <si>
    <t>Argument Writing, 19.3: Developing Questions that Promote Discussion, in Reading and Writing in the Disciplines, 74</t>
  </si>
  <si>
    <t>Disciplinary Literacy: Big Ideas, 2.3: Tackling a Scientific Text, in Reading and Writing in the Disciplines, 7</t>
  </si>
  <si>
    <t>Reading and Writing in the Discplines, 0: Overview, in Reading and Writing in the Disciplines, Episode 1</t>
  </si>
  <si>
    <t>Reading: Big Ideas, 3.1: Teaching Content Through Literacy, in Reading and Writing in the Disciplines, Episode 12</t>
  </si>
  <si>
    <t>Writing in Science, 11.1: Reading and Writing in Science, in Reading and Writing in the Disciplines, 42</t>
  </si>
  <si>
    <t>Big Ideas in Literacy: History/Social Studies, 17.3: Flexible Grouping to Promote Learning, in Reading and Writing in the Disciplines, 64</t>
  </si>
  <si>
    <t>What Is Disciplinary Literacy?, 1.3: Science in the Real World_A Biotech Startup, in Reading and Writing in the Disciplines, 4</t>
  </si>
  <si>
    <t>Disciplinary Literacy: Big Ideas, 2.4: Comprehending Informational Texts, in Reading and Writing in the Disciplines, 8</t>
  </si>
  <si>
    <t>Reading In Science, 10.4: Learning Vocabulary in Biology, in Reading and Writing in the Disciplines, Episode 41</t>
  </si>
  <si>
    <t>Reading: Big Ideas, 3.3: Comparing the Language of Multiple Sources, in Reading and Writing in the Disciplines, Episode 14</t>
  </si>
  <si>
    <t>Bringing It All Together: English, 16.1: Teacher Collaboration Across Disciplines, in Reading and Writing in the Disciplines, 60</t>
  </si>
  <si>
    <t>Big Ideas in Literacy: English, 13.5: Teaching Argumentation Skills, in Reading and Writing in the Disciplines, Episode 54</t>
  </si>
  <si>
    <t>Big Ideas in Literacy: Mathematics, 5.2: Thinking Like a Mathematician, in Reading and Writing in the Disciplines, Episode 19</t>
  </si>
  <si>
    <t>Big Ideas in Literacy: Science, 9.5: Analyzing Anecdotal Evidence, in Reading and Writing in the Disciplines, Episode 36</t>
  </si>
  <si>
    <t>Big Ideas in Literacy: History/Social Studies, 17.2: Blended Learning_Purposeful Instruction, in Reading and Writing in the Disciplines, 63</t>
  </si>
  <si>
    <t>Bringing It All Together: Mathematics, 8.4: Learning in a Blended Classroom, in Reading and Writing in the Disciplines, Episode 32</t>
  </si>
  <si>
    <t>Reading: Big Ideas, 3.4: Fostering Close Reading, in Reading and Writing in the Disciplines, Episode 15</t>
  </si>
  <si>
    <t>Writing in Science, 11.3: Peer Teaching, in Reading and Writing in the Disciplines, Episode 44</t>
  </si>
  <si>
    <t>Bringing It All Together: Mathematics, 8.2: Collaborating to Extend Mathematical Understanding, in Reading and Writing in the Disciplines, Episode 30</t>
  </si>
  <si>
    <t>Reading and Analyzing Texts, 18.1: Identifying Evidence from Multiple Sources, in Reading and Writing in the Disciplines, 66</t>
  </si>
  <si>
    <t>Reading and Analyzing Texts, 18.7: Expanding Academic Language, in Reading and Writing in the Disciplines, 71</t>
  </si>
  <si>
    <t>Bringing It All Together: History/Social Studies, 20.2: Designing the Classroom to Support Understanding, in Reading and Writing in the Disciplines, Episode 78</t>
  </si>
  <si>
    <t>Reading and Analyzing Texts, 18.4: Reading Like a Historian, in Reading and Writing in the Disciplines, 69</t>
  </si>
  <si>
    <t>Big Ideas in Literacy: English, 13.7: Guided Instruction for Independence, in Reading and Writing in the Disciplines, Episode 56</t>
  </si>
  <si>
    <t>Bringing It All Together: Science, 12.1: Using Scientific Discourse, in Reading and Writing in the Disciplines, Episode 49</t>
  </si>
  <si>
    <t>Big Ideas in Literacy: English, 13.1: Reading and Writing in English, in Reading and Writing in the Disciplines, Episode 52</t>
  </si>
  <si>
    <t>Big Ideas in Literacy: Science, 9.2: Supporting Claims with Evidence and Reasoning, in Reading and Writing in the Disciplines, Episode 34</t>
  </si>
  <si>
    <t>Writing in Mathematics, 7.2: Individualized Instruction as a Formative Assessment Tool, in Reading and Writing in the Disciplines, Episode 23</t>
  </si>
  <si>
    <t>Writing in English, 15.1: Writing Workshop_Using Mentor Texts and Graphic Organizers, in Reading and Writing in the Disciplines, 59</t>
  </si>
  <si>
    <t>Disciplinary Literacy: Big Ideas, 2.5: Deconstructing Word Problems, in Reading and Writing in the Disciplines, Episode 9</t>
  </si>
  <si>
    <t>Bringing It All Together: Mathematics, 8.3: Blended Learning_Using Technology to Learn Math Concepts, in Reading and Writing in the Disciplines, Episode 31</t>
  </si>
  <si>
    <t>Writing in Mathematics, 7.4: Writing to Deepen Mathematical Understanding, in Reading and Writing in the Disciplines, Episode 25</t>
  </si>
  <si>
    <t>Reading In Science, 10.3: Organizing Ideas from Multiple Sources, in Reading and Writing in the Disciplines, Episode 40</t>
  </si>
  <si>
    <t>Big Ideas in Literacy: Science, 9.1: Thinking and Communicating Like a Biologist, in Reading and Writing in the Disciplines, Episode 33</t>
  </si>
  <si>
    <t>Building Mathematical Competencies in Early Childhood</t>
  </si>
  <si>
    <t>William James: The Psychology of Possibility</t>
  </si>
  <si>
    <t>Social and Emotional Learning, in Getting Advisory Right: Tools for Supporting Effective Advisories, 4</t>
  </si>
  <si>
    <t>Postsecondary Support, in Getting Advisory Right: Tools for Supporting Effective Advisories, 3</t>
  </si>
  <si>
    <t>Academic Advisement, in Getting Advisory Right: Tools for Supporting Effective Advisories, 2</t>
  </si>
  <si>
    <t>Creating Community, in Getting Advisory Right: Tools for Supporting Effective Advisories, 1</t>
  </si>
  <si>
    <t>The Emotional Brain: An Introduction to Affective Neuroscience, in Neuroscience, 1</t>
  </si>
  <si>
    <t>Making Sense of Sensory Information</t>
  </si>
  <si>
    <t>Fostering Choice and Independence, in Inside Writing Communities: Grades 3-5, 4</t>
  </si>
  <si>
    <t>Teaching the Writing Craft, in Inside Writing Communities: Grades 3-5, 7</t>
  </si>
  <si>
    <t>Reading - Writing Connections, in Inside Writing Communities: Grades 3-5, 6</t>
  </si>
  <si>
    <t>Writing in Science, in Inside Writing Communities: Grades 3-5, 16</t>
  </si>
  <si>
    <t>Teaching a Specific Writing Strategy, in Inside Writing Communities: Grades 3-5, 8</t>
  </si>
  <si>
    <t>Peer Conferences, in Inside Writing Communities: Grades 3-5, 12</t>
  </si>
  <si>
    <t>Learning To Revise, in Inside Writing Communities: Grades 3-5, 13</t>
  </si>
  <si>
    <t>Teacher as Writer, in Inside Writing Communities: Grades 3-5, 2</t>
  </si>
  <si>
    <t>Modeling Revision, in Inside Writing Communities: Grades 3-5, 14</t>
  </si>
  <si>
    <t>Building a Community of Writers, in Inside Writing Communities: Grades 3-5, 1</t>
  </si>
  <si>
    <t>Teacher Conferences, in Inside Writing Communities: Grades 3-5, 10</t>
  </si>
  <si>
    <t>Reading Like a Writer, in Inside Writing Communities: Grades 3-5, 5</t>
  </si>
  <si>
    <t>Reasons for Writing, in Inside Writing Communities: Grades 3-5, 3</t>
  </si>
  <si>
    <t>Writing Across the Curriculum, in Inside Writing Communities: Grades 3-5, 15</t>
  </si>
  <si>
    <t>Conversations With Student Writers, in Inside Writing Communities: Grades 3-5, 9</t>
  </si>
  <si>
    <t>Conversations Among Writing Peers, in Inside Writing Communities: Grades 3-5, 11</t>
  </si>
  <si>
    <t>John Bowlby: Attachment Theory Across Generations</t>
  </si>
  <si>
    <t>Human Brain Development: Nature and Nurture</t>
  </si>
  <si>
    <t>Discovering the Human Brain: New Pathways to Neuroscience</t>
  </si>
  <si>
    <t>Mary Ainsworth: Attachment and the Growth of Love</t>
  </si>
  <si>
    <t>Making Writing Meaningful, in Write in the Middle: A Workshop for Middle School Teachers, 2</t>
  </si>
  <si>
    <t>Creating a Community of Writers, in Write in the Middle: A Workshop for Middle School Teachers, 1</t>
  </si>
  <si>
    <t>Teaching the Power of Revision, in Write in the Middle: A Workshop for Middle School Teachers, 8</t>
  </si>
  <si>
    <t>Responding to Writing: Peer to Peer, in Write in the Middle: A Workshop for Middle School Teachers, 7</t>
  </si>
  <si>
    <t>Teaching Poetry, in Write in the Middle: A Workshop for Middle School Teachers, 3</t>
  </si>
  <si>
    <t>Teaching Persuasive Writing, in Write in the Middle: A Workshop for Middle School Teachers, 4</t>
  </si>
  <si>
    <t>Teaching Multigenre Writing, in Write in the Middle: A Workshop for Middle School Teachers, 5</t>
  </si>
  <si>
    <t>Responding to Writing: Teacher to Student, in Write in the Middle: A Workshop for Middle School Teachers, 6</t>
  </si>
  <si>
    <t>Physical Changes and Conservation of Matter, in Essential Science for Teachers: Physical Science, 3</t>
  </si>
  <si>
    <t>Heat and Temperature, in Essential Science for Teachers: Physical Science, 7</t>
  </si>
  <si>
    <t>Chemical Changes and Conservation of Matter, in Essential Science for Teachers: Physical Science, 4</t>
  </si>
  <si>
    <t>Rising and Sinking, in Essential Science for Teachers: Physical Science, 6</t>
  </si>
  <si>
    <t>What Is Matter? Properties and Classification of Matter, in Essential Science for Teachers: Physical Science, 1</t>
  </si>
  <si>
    <t>Extending the Particle Model of Matter, in Essential Science for Teachers: Physical Science, 8</t>
  </si>
  <si>
    <t>Density and Pressure, in Essential Science for Teachers: Physical Science, 5</t>
  </si>
  <si>
    <t>The Particle Nature of Matter: Solids, Liquids, and Gases, in Essential Science for Teachers: Physical Science, 2</t>
  </si>
  <si>
    <t>Journey to the Earth's Interior, in Essential Science for Teachers: Earth and Space Science, 3</t>
  </si>
  <si>
    <t>Every Rock Tells A Story, in Essential Science for Teachers: Earth and Space Science, 2</t>
  </si>
  <si>
    <t>When Continents Collide, in Essential Science for Teachers: Earth and Space Science, 5</t>
  </si>
  <si>
    <t>Earth's Solid Membrane: Soil, in Essential Science for Teachers: Earth and Space Science, 1</t>
  </si>
  <si>
    <t>Order out of Chaos: Our Solar System, in Essential Science for Teachers: Earth and Space Science, 8</t>
  </si>
  <si>
    <t>Exponential Functions, in Insights Into Algebra 1: Teaching for Learning, 6</t>
  </si>
  <si>
    <t>Restless Landscapes, in Essential Science for Teachers: Earth and Space Science, 6</t>
  </si>
  <si>
    <t>Quadratic Functions, in Insights Into Algebra 1: Teaching for Learning, 4</t>
  </si>
  <si>
    <t>Mathematical Modeling, in Insights Into Algebra 1: Teaching for Learning, 8</t>
  </si>
  <si>
    <t>Properties, in Insights Into Algebra 1: Teaching for Learning, 5</t>
  </si>
  <si>
    <t>Linear Functions and Inequalities, in Insights Into Algebra 1: Teaching for Learning, 2</t>
  </si>
  <si>
    <t>Variables and Patterns of Change, in Insights Into Algebra 1: Teaching for Learning, 1</t>
  </si>
  <si>
    <t>Systems of Equations and Inequalities, in Insights Into Algebra 1: Teaching for Learning, 3</t>
  </si>
  <si>
    <t>Direct and Inverse Variation, in Insights Into Algebra 1: Teaching for Learning, 7</t>
  </si>
  <si>
    <t>Our Nearest Neighbor: The Moon, in Essential Science for Teachers: Earth and Space Science, 7</t>
  </si>
  <si>
    <t>The Engine That Drives the Earth, in Essential Science for Teachers: Earth and Space Science, 4</t>
  </si>
  <si>
    <t>Maria Montessori: Her Life and Legacy</t>
  </si>
  <si>
    <t>Civil Rights: Demanding Equality, in Democracy in America, Episode 5</t>
  </si>
  <si>
    <t>The Courts: Our Rule of Law, in Democracy in America, Episode 9</t>
  </si>
  <si>
    <t>Inquiry: Tomás Rivera and Esmeralda Santiago, in The Expanding Canon: Teaching Multicultural Literature in High School, Episode 4</t>
  </si>
  <si>
    <t>Understanding Media: The Inside Story, in Democracy in America, Episode 10</t>
  </si>
  <si>
    <t>What Is Life, in Essential Science for Teachers: Life Science, Episode 1</t>
  </si>
  <si>
    <t>The Constitution: Fixed or Flexible?, in Democracy in America, Episode 2</t>
  </si>
  <si>
    <t>Classifying Living Things, in Essential Science for Teachers: Life Science, Episode 2</t>
  </si>
  <si>
    <t>Political Parties: Mobilizing Agents, in Democracy in America, Episode 12</t>
  </si>
  <si>
    <t>The Modern Presidency: Tools of Power, in Democracy in America, Episode 7</t>
  </si>
  <si>
    <t>Critical Pedagogy: Abiodun Oyewole and Lawson Fusao Inada, in The Expanding Canon: Teaching Multicultural Literature in High School, Episode 8</t>
  </si>
  <si>
    <t>Variation, Adaptation, and Natural Selection, in Essential Science for Teachers: Life Science, Episode 5</t>
  </si>
  <si>
    <t>Bureaucracy: A Controversial Necessity, in Democracy in America, Episode 8</t>
  </si>
  <si>
    <t>Energy Flow in Communities, in Essential Science for Teachers: Life Science, Episode 7</t>
  </si>
  <si>
    <t>Elections: The Maintenance of Democracy, in Democracy in America, Episode 13</t>
  </si>
  <si>
    <t>Reader Response: Pat Mora and James Welch, in The Expanding Canon: Teaching Multicultural Literature in High School, Episode 1</t>
  </si>
  <si>
    <t>Using Art and Other Disciplines to Enrich Classroom Conversations, in Engaging With Literature: A Workshop for Teachers, Grades 3-5, Episode 5</t>
  </si>
  <si>
    <t>Many Students: Many Voices and Abilities, in Engaging With Literature: A Workshop for Teachers, Grades 3-5, Episode 7</t>
  </si>
  <si>
    <t>Critical Pedagogy: Octavia E. Butler and Ruthanne Lum McCunn, in The Expanding Canon: Teaching Multicultural Literature in High School, Episode 7</t>
  </si>
  <si>
    <t>Looking at Literature, in Engaging With Literature: A Workshop for Teachers, Grades 3-5, Episode 2</t>
  </si>
  <si>
    <t>Starting Classroom Conversations, in Engaging With Literature: A Workshop for Teachers, Grades 3-5, Episode 3</t>
  </si>
  <si>
    <t>Civil Liberties: Safeguarding the Individual, in Democracy in America, Episode 4</t>
  </si>
  <si>
    <t>Federalism: U.S. v. the States, in Democracy in America, Episode 3</t>
  </si>
  <si>
    <t>Plant Life Cycles, in Essential Science for Teachers: Life Science, Episode 4</t>
  </si>
  <si>
    <t>Cultural Studies: N. Scott Momaday and Russell Leong, in The Expanding Canon: Teaching Multicultural Literature in High School, Episode 6</t>
  </si>
  <si>
    <t>Foundations, in Engaging With Literature: A Workshop for Teachers, Grades 3-5, Episode 1</t>
  </si>
  <si>
    <t>Material Cycles in Ecosystems, in Essential Science for Teachers: Life Science, Episode 8</t>
  </si>
  <si>
    <t>Classroom Dialogues, in Engaging With Literature: A Workshop for Teachers, Grades 3-5, Episode 4</t>
  </si>
  <si>
    <t>Reacting to Students' Work, in Engaging With Literature: A Workshop for Teachers, Grades 3-5, Episode 8</t>
  </si>
  <si>
    <t>Global Politics: U.S.A. and the World, in Democracy in America, Episode 15</t>
  </si>
  <si>
    <t>Citizenship: Making Government Work, in Democracy in America, Episode 1</t>
  </si>
  <si>
    <t>Cultural Studies: Ishmael Reed and Graciela Limón, in The Expanding Canon: Teaching Multicultural Literature in High School, Episode 5</t>
  </si>
  <si>
    <t>Interest Groups: Organizing To Influence, in Democracy in America, Episode 14</t>
  </si>
  <si>
    <t>Beginning the Year, in Engaging With Literature: A Workshop for Teachers, Grades 3-5, Episode 6</t>
  </si>
  <si>
    <t>Inquiry: Rudolfo Anaya and James Baldwin, in The Expanding Canon: Teaching Multicultural Literature in High School, Episode 3</t>
  </si>
  <si>
    <t>Evolution and the Tree of Life, in Essential Science for Teachers: Life Science, Episode 6</t>
  </si>
  <si>
    <t>Legislatures: Laying Down the Law, in Democracy in America, Episode 6</t>
  </si>
  <si>
    <t>Reader Response: Keith Gilyard and Mourning Dove, in The Expanding Canon: Teaching Multicultural Literature in High School, Episode 2</t>
  </si>
  <si>
    <t>Public Opinion: Voice of the People, in Democracy in America, Episode 11</t>
  </si>
  <si>
    <t>The Professional Teacher, in Engaging With Literature: A Workshop for Teachers, Grades 3-5, Episode 9</t>
  </si>
  <si>
    <t>Animal Life Cycles, in Essential Science for Teachers: Life Science, Episode 3</t>
  </si>
  <si>
    <t>Civic Engagement, in Making Civics Real: A Workshop for Teachers, 6</t>
  </si>
  <si>
    <t>Electoral Politics, in Making Civics Real: A Workshop for Teachers, 2</t>
  </si>
  <si>
    <t>Rights and Responsibilities of Students, in Making Civics Real: A Workshop for Teachers, 8</t>
  </si>
  <si>
    <t>Constitutional Convention, in Making Civics Real: A Workshop for Teachers, 4</t>
  </si>
  <si>
    <t>Freedom of Religion, in Making Civics Real: A Workshop for Teachers, 1</t>
  </si>
  <si>
    <t>Controversial Public Policy Issues, in Making Civics Real: A Workshop for Teachers, 7</t>
  </si>
  <si>
    <t>Patriotism and Foreign Policy, in Making Civics Real: A Workshop for Teachers, 5</t>
  </si>
  <si>
    <t>Public Policy and the Federal Budget, in Making Civics Real: A Workshop for Teachers, 3</t>
  </si>
  <si>
    <t>Bandura's Social Cognitive Theory: An Introduction</t>
  </si>
  <si>
    <t>Rethinking, in Conversations in Literature, Episode 5</t>
  </si>
  <si>
    <t>Responding as Readers, in Conversations in Literature, Episode 1</t>
  </si>
  <si>
    <t>Objectifying the Text, in Conversations in Literature, Episode 6</t>
  </si>
  <si>
    <t>Moving Through, in Conversations in Literature, Episode 4</t>
  </si>
  <si>
    <t>Returning to the Classroom, in Conversations in Literature, Episode 8</t>
  </si>
  <si>
    <t>Stepping In, in Conversations in Literature, Episode 3</t>
  </si>
  <si>
    <t>Envisioning, in Conversations in Literature, Episode 2</t>
  </si>
  <si>
    <t>The Stances in Action, in Conversations in Literature, Episode 7</t>
  </si>
  <si>
    <t>Diversity in Texts, in Making Meaning in Literature: A Workshop for Teachers, Grades 6-8, 4</t>
  </si>
  <si>
    <t>Going Further in Discussion, in Making Meaning in Literature: A Workshop for Teachers, Grades 6-8, 3</t>
  </si>
  <si>
    <t>Literature, Art, and Other Disciplines, in Making Meaning in Literature: A Workshop for Teachers, Grades 6-8, 6</t>
  </si>
  <si>
    <t>Encouraging Discussion, in Making Meaning in Literature: A Workshop for Teachers, Grades 6-8, 2</t>
  </si>
  <si>
    <t>Starting in September…, in Making Meaning in Literature: A Workshop for Teachers, Grades 6-8, 9</t>
  </si>
  <si>
    <t>Assessment, in Making Meaning in Literature: A Workshop for Teachers, Grades 6-8, 7</t>
  </si>
  <si>
    <t>Introducing Our Literary Community, in Making Meaning in Literature: A Workshop for Teachers, Grades 6-8, 1</t>
  </si>
  <si>
    <t>Student Diversity, in Making Meaning in Literature: A Workshop for Teachers, Grades 6-8, 5</t>
  </si>
  <si>
    <t>Planning and Professional Development, in Making Meaning in Literature: A Workshop for Teachers, Grades 6-8, 8</t>
  </si>
  <si>
    <t>Building Community, in Engaging With Literature: A Video Library, Grades 3-5, 6</t>
  </si>
  <si>
    <t>Signposts, in Engaging With Literature: A Video Library, Grades 3-5, 1</t>
  </si>
  <si>
    <t>Starting Out, in Engaging With Literature: A Video Library, Grades 3-5, 3</t>
  </si>
  <si>
    <t>Voices in the Conversation, in Engaging With Literature: A Video Library, Grades 3-5, 2</t>
  </si>
  <si>
    <t>Responding to Literature, in Engaging With Literature: A Video Library, Grades 3-5, 4</t>
  </si>
  <si>
    <t>Finding Common Ground, in Engaging With Literature: A Video Library, Grades 3-5, 8</t>
  </si>
  <si>
    <t>Discussion Strategies, in Engaging With Literature: A Video Library, Grades 3-5, 9</t>
  </si>
  <si>
    <t>Book Buddies, in Engaging With Literature: A Video Library, Grades 3-5, 7</t>
  </si>
  <si>
    <t>Sharing the Text, in Engaging With Literature: A Video Library, Grades 3-5, 5</t>
  </si>
  <si>
    <t>John Dewey: His Life and Work</t>
  </si>
  <si>
    <t>Author's Notes: Part II, in In Search of the Novel, 2</t>
  </si>
  <si>
    <t>What's in It for Me?, in In Search of the Novel, 6</t>
  </si>
  <si>
    <t>Why Do I Have To Read This Book?, in In Search of the Novel, 5</t>
  </si>
  <si>
    <t>Who Owns the Novel?, in In Search of the Novel, 1</t>
  </si>
  <si>
    <t>Author's Notes: Part I, in In Search of the Novel, 1</t>
  </si>
  <si>
    <t>Are Novels Real?, in In Search of the Novel, 3</t>
  </si>
  <si>
    <t>Author's Notes Part III, in In Search of the Novel, 3</t>
  </si>
  <si>
    <t>Am I Getting Through?, in In Search of the Novel, 8</t>
  </si>
  <si>
    <t>Where Do Novels Come From?, in In Search of the Novel, 4</t>
  </si>
  <si>
    <t>What's the Story?, in In Search of the Novel, 2</t>
  </si>
  <si>
    <t>Who Am I in This Story?, in In Search of the Novel, 7</t>
  </si>
  <si>
    <t>Author's Notes: Part IV, in In Search of the Novel, 4</t>
  </si>
  <si>
    <t>His Own Best Subject: A Visit to B.F. Skinner's Basement</t>
  </si>
  <si>
    <t>Building Literacy Competencies in Early Childhood</t>
  </si>
  <si>
    <t>Adolescent Cognition</t>
  </si>
  <si>
    <t>B.F. Skinner: A Fresh Appraisal</t>
  </si>
  <si>
    <t>Living With Amnesia: The Hippocampus and Memory, in The Brain: Teaching Modules, Episode 18</t>
  </si>
  <si>
    <t>Language and Speech: Broca's and Wernicke's Areas, in The Brain: Teaching Modules, Episode 6</t>
  </si>
  <si>
    <t>The Effects of Hormones and the Environment on Brain Development, in The Brain: Teaching Modules, Episode 2</t>
  </si>
  <si>
    <t>Learning as Synaptic Change, in The Brain: Teaching Modules, Episode 17</t>
  </si>
  <si>
    <t>Schizophrenia: Pharmacological Treatment, in The Brain: Teaching Modules, Episode 28</t>
  </si>
  <si>
    <t>The Locus of Learning and Memory, in The Brain: Teaching Modules, Episode 16</t>
  </si>
  <si>
    <t>Gender Development: Social Influences, in The Brain: Teaching Modules, Episode 3</t>
  </si>
  <si>
    <t>Visual Information Processing: Elementary Concepts, in The Brain: Teaching Modules, Episode 8</t>
  </si>
  <si>
    <t>The Divided Brain, in The Brain: Teaching Modules, Episode 5</t>
  </si>
  <si>
    <t>Brain Anomaly and Plasticity: Hydrocephalus, in The Brain: Teaching Modules, Episode 7</t>
  </si>
  <si>
    <t>Brain Transplants in Parkinson's Patients, in The Brain: Teaching Modules, Episode 31</t>
  </si>
  <si>
    <t>Sensory-Motor Integration, in The Brain: Teaching Modules, Episode 11</t>
  </si>
  <si>
    <t>Emotions, Stress, and Health, in The Brain: Teaching Modules, Episode 21</t>
  </si>
  <si>
    <t>A Super-Memorist Advises on Study Strategies, in The Brain: Teaching Modules, Episode 20</t>
  </si>
  <si>
    <t>Understanding the Brain: Through Epilepsy, in The Brain: Teaching Modules, Episode 30</t>
  </si>
  <si>
    <t>Organization and Evaluation of Brain Function, in The Brain: Teaching Modules, Episode 1</t>
  </si>
  <si>
    <t>REM Sleep and Dreaming, in The Brain: Teaching Modules, Episode 15</t>
  </si>
  <si>
    <t>Intelligence and Culture, in The Brain: Teaching Modules, Episode 4</t>
  </si>
  <si>
    <t>Perception: Inverted Vision, in The Brain: Teaching Modules, Episode 10</t>
  </si>
  <si>
    <t>Sleep: Brain Functions, in The Brain: Teaching Modules, Episode 14</t>
  </si>
  <si>
    <t>Alzheimer's Disease, in The Brain: Teaching Modules, Episode 19</t>
  </si>
  <si>
    <t>Autism, in The Brain: Teaching Modules, Episode 29</t>
  </si>
  <si>
    <t>Multiple Personality, in The Brain: Teaching Modules, Episode 23</t>
  </si>
  <si>
    <t>Huntington's Disease, in The Brain: Teaching Modules, 12</t>
  </si>
  <si>
    <t>Schizophrenia: Etiology, in The Brain: Teaching Modules, Episode 27</t>
  </si>
  <si>
    <t>Visual Information Processing: Perception, in The Brain: Teaching Modules, Episode 9</t>
  </si>
  <si>
    <t>Frontal Lobes and Behavior: The Story of Phineas Gage, in The Brain: Teaching Modules, Episode 25</t>
  </si>
  <si>
    <t>Sleep and Circadian Rhythms, in The Brain: Teaching Modules, Episode 13</t>
  </si>
  <si>
    <t>Schizophrenia: Symptoms, in The Brain: Teaching Modules, Episode 26</t>
  </si>
  <si>
    <t>Stress: Locus of Control and Predictability, in The Brain: Teaching Modules, Episode 22</t>
  </si>
  <si>
    <t>Aggression, Violence, and the Brain, in The Brain: Teaching Modules, Episode 24</t>
  </si>
  <si>
    <t>Neurorehabilitation, in The Brain: Teaching Modules, Episode 32</t>
  </si>
  <si>
    <t>How Children Learn</t>
  </si>
  <si>
    <t>Growing Minds: Cognitive Development in Early Childhood</t>
  </si>
  <si>
    <t>Nourishing Language Development in Early Childhood</t>
  </si>
  <si>
    <t>Play: A Vygotskian Approach</t>
  </si>
  <si>
    <t>Scaffolding: Self-Regulated Learning in the Primary Grades</t>
  </si>
  <si>
    <t>Vygotsky's Developmental Theory: An Introduction</t>
  </si>
  <si>
    <t>Performance Assessment: A Teacher's Way of Knowing</t>
  </si>
  <si>
    <t>Concrete Operations</t>
  </si>
  <si>
    <t>Erik H. Erikson: A Life's Work</t>
  </si>
  <si>
    <t>Using What We Know: Applying Piaget's Developmental Theory in Primary Classrooms</t>
  </si>
  <si>
    <t>Piaget's Developmental Theory: An Overview</t>
  </si>
  <si>
    <t>Bassam Shakhashiri, in A Private Universe, Episode 5</t>
  </si>
  <si>
    <t>Joel Mintzes, in A Private Universe, Episode 6</t>
  </si>
  <si>
    <t>Heather Mars Talk, in A Private Universe, Episode 8</t>
  </si>
  <si>
    <t>Matt Schneps and Phil Sadler, in A Private Universe, Episode 2</t>
  </si>
  <si>
    <t>A Private Universe, in A Private Universe, Epsiode 1</t>
  </si>
  <si>
    <t>Joseph Novak, in A Private Universe, Episode 4</t>
  </si>
  <si>
    <t>Irwin Shapiro, in A Private Universe, Episode 3</t>
  </si>
  <si>
    <t>James Wandersee, in A Private Universe, Episode 7</t>
  </si>
  <si>
    <t>Heather Mars Q and A, in A Private Universe, Episode 9</t>
  </si>
  <si>
    <t>A Private Universe 20 Years Later, in A Private Universe, Episode 10</t>
  </si>
  <si>
    <t>Lily: A Longitudinal View of Life with Down Syndrome</t>
  </si>
  <si>
    <t>Morality: The Process of Moral Development</t>
  </si>
  <si>
    <t>Piaget's Developmental Theory: Formal Reasoning Patterns</t>
  </si>
  <si>
    <t>Jean Piaget: Memory and Intelligence</t>
  </si>
  <si>
    <t>The Growth of Intelligence in the Pre-school Years</t>
  </si>
  <si>
    <t>Piaget's Developmental Theory: Conservation</t>
  </si>
  <si>
    <t>Piaget's Developmental Theory: Classification</t>
  </si>
  <si>
    <t>ClickView</t>
  </si>
  <si>
    <t>Davidson Films</t>
  </si>
  <si>
    <t>Policies</t>
  </si>
  <si>
    <t>Core Curriculum</t>
  </si>
  <si>
    <t>Brown v. Board of Education</t>
  </si>
  <si>
    <t>Theories</t>
  </si>
  <si>
    <t>Critical Pedagogy</t>
  </si>
  <si>
    <t>Andragogy</t>
  </si>
  <si>
    <t>Contact Theory</t>
  </si>
  <si>
    <t>Theorists</t>
  </si>
  <si>
    <t>Teaching Methods</t>
  </si>
  <si>
    <t>Project-Based Learning</t>
  </si>
  <si>
    <t>ADDIE Model</t>
  </si>
  <si>
    <t>Kemp Design Model</t>
  </si>
  <si>
    <t>Ability Grouping</t>
  </si>
  <si>
    <t>Academic Advising</t>
  </si>
  <si>
    <t>Academic Skills</t>
  </si>
  <si>
    <t>Academic Workload</t>
  </si>
  <si>
    <t>Accelerated Learning</t>
  </si>
  <si>
    <t>Access to Education</t>
  </si>
  <si>
    <t>Accessibility</t>
  </si>
  <si>
    <t>Accountability</t>
  </si>
  <si>
    <t>Achievement Gap</t>
  </si>
  <si>
    <t>Achievement Tests</t>
  </si>
  <si>
    <t>ACT and SAT Tests</t>
  </si>
  <si>
    <t>Active Learning</t>
  </si>
  <si>
    <t>Adaptive Learning</t>
  </si>
  <si>
    <t>Adolescent Development</t>
  </si>
  <si>
    <t>Adult Education</t>
  </si>
  <si>
    <t>Advanced Placement Tests</t>
  </si>
  <si>
    <t>African American Education</t>
  </si>
  <si>
    <t>Afrocentric Education</t>
  </si>
  <si>
    <t>After-School Education</t>
  </si>
  <si>
    <t>Age Discrimination</t>
  </si>
  <si>
    <t>Alternative School</t>
  </si>
  <si>
    <t>American Sign Language</t>
  </si>
  <si>
    <t>Apprenticeships</t>
  </si>
  <si>
    <t>Asian American Education</t>
  </si>
  <si>
    <t>Assimilation</t>
  </si>
  <si>
    <t>Assistive Technology</t>
  </si>
  <si>
    <t>Athletics in Schools</t>
  </si>
  <si>
    <t>At-Risk Students</t>
  </si>
  <si>
    <t>Attention Deficit Hyperactivity Disorder</t>
  </si>
  <si>
    <t>Authority</t>
  </si>
  <si>
    <t>Autonomy</t>
  </si>
  <si>
    <t>Bilingual Education</t>
  </si>
  <si>
    <t>Black Studies</t>
  </si>
  <si>
    <t>Blended Learning</t>
  </si>
  <si>
    <t>Blogs and Blogging</t>
  </si>
  <si>
    <t>Boards of Education</t>
  </si>
  <si>
    <t>Business Education</t>
  </si>
  <si>
    <t>Busing</t>
  </si>
  <si>
    <t>Capstone Courses</t>
  </si>
  <si>
    <t>Career and Technical Education</t>
  </si>
  <si>
    <t>Catholic Education</t>
  </si>
  <si>
    <t>Charter Schools</t>
  </si>
  <si>
    <t>Cheating</t>
  </si>
  <si>
    <t>Child Abuse</t>
  </si>
  <si>
    <t>Child Care</t>
  </si>
  <si>
    <t>Children’s Literature</t>
  </si>
  <si>
    <t>Church and State</t>
  </si>
  <si>
    <t>Citizenship Education</t>
  </si>
  <si>
    <t>Civil Rights Movement</t>
  </si>
  <si>
    <t>Class Size</t>
  </si>
  <si>
    <t>Clinical Education</t>
  </si>
  <si>
    <t>Coaching</t>
  </si>
  <si>
    <t>College Choice</t>
  </si>
  <si>
    <t>College Enrollment</t>
  </si>
  <si>
    <t>College Rankings</t>
  </si>
  <si>
    <t>Community Colleges</t>
  </si>
  <si>
    <t>Community Schools</t>
  </si>
  <si>
    <t>Community Service</t>
  </si>
  <si>
    <t>Competency-Based Education</t>
  </si>
  <si>
    <t>Computer Literacy</t>
  </si>
  <si>
    <t>Computer-Assisted Instruction</t>
  </si>
  <si>
    <t>Conflict Management</t>
  </si>
  <si>
    <t>Continuing Education</t>
  </si>
  <si>
    <t>Cooperative Learning</t>
  </si>
  <si>
    <t>Coparenting</t>
  </si>
  <si>
    <t>Cost of Education</t>
  </si>
  <si>
    <t>Course Design</t>
  </si>
  <si>
    <t>Critical Literacy</t>
  </si>
  <si>
    <t>Critical Race Theory and Education</t>
  </si>
  <si>
    <t>Curriculum Development</t>
  </si>
  <si>
    <t>Cyberlearning</t>
  </si>
  <si>
    <t>Cybersecurity</t>
  </si>
  <si>
    <t>Decision Making</t>
  </si>
  <si>
    <t>Democracy and Education</t>
  </si>
  <si>
    <t>Developmental Disabilities</t>
  </si>
  <si>
    <t>Didactics</t>
  </si>
  <si>
    <t>Differentiated Instruction and Assessment</t>
  </si>
  <si>
    <t>Digital Archives</t>
  </si>
  <si>
    <t>Digital Divide</t>
  </si>
  <si>
    <t>Digital Literacies</t>
  </si>
  <si>
    <t>Digital Media and Learning</t>
  </si>
  <si>
    <t>Digital Storytelling</t>
  </si>
  <si>
    <t>Direct Instruction</t>
  </si>
  <si>
    <t>Disability Services</t>
  </si>
  <si>
    <t>Disability Studies</t>
  </si>
  <si>
    <t>Dissertations</t>
  </si>
  <si>
    <t>Drug Education</t>
  </si>
  <si>
    <t>Early Intervention</t>
  </si>
  <si>
    <t>Early Literacy Development</t>
  </si>
  <si>
    <t>E-Books</t>
  </si>
  <si>
    <t>Education Finance</t>
  </si>
  <si>
    <t>Educational Camps</t>
  </si>
  <si>
    <t>Evaluation and Assessment</t>
  </si>
  <si>
    <t>Educational Reform</t>
  </si>
  <si>
    <t>Educational Technology</t>
  </si>
  <si>
    <t>Educational Television</t>
  </si>
  <si>
    <t>E-Journals</t>
  </si>
  <si>
    <t>Elementary Education</t>
  </si>
  <si>
    <t>Emotion Regulation</t>
  </si>
  <si>
    <t>Emotional Development</t>
  </si>
  <si>
    <t>Empowerment</t>
  </si>
  <si>
    <t>English as a Second Language (ESL)</t>
  </si>
  <si>
    <t>Enrollment Management</t>
  </si>
  <si>
    <t>Educational Equity</t>
  </si>
  <si>
    <t>Ethnicity and Race</t>
  </si>
  <si>
    <t>Ethnography</t>
  </si>
  <si>
    <t>Evidence-Based Education (EBE)</t>
  </si>
  <si>
    <t>Examinations and Quizzes</t>
  </si>
  <si>
    <t>Marginalized Voices</t>
  </si>
  <si>
    <t>Executive Functioning</t>
  </si>
  <si>
    <t>Extracurricular Activities</t>
  </si>
  <si>
    <t>Impact of Failure</t>
  </si>
  <si>
    <t>Families and Schools</t>
  </si>
  <si>
    <t>Father's Role</t>
  </si>
  <si>
    <t>Favoritism</t>
  </si>
  <si>
    <t>Feedback</t>
  </si>
  <si>
    <t>Feminist Perspectives</t>
  </si>
  <si>
    <t>Field Trips</t>
  </si>
  <si>
    <t>Financial Aid</t>
  </si>
  <si>
    <t>First-Generation College Students</t>
  </si>
  <si>
    <t>First-Language Acquisition</t>
  </si>
  <si>
    <t>Fluency</t>
  </si>
  <si>
    <t>Second Language Learning</t>
  </si>
  <si>
    <t>For-Profit Higher Education</t>
  </si>
  <si>
    <t>Foster and Adoptive Families</t>
  </si>
  <si>
    <t>Fraternities, Sororities, and Diversity</t>
  </si>
  <si>
    <t>Freedom of Speech</t>
  </si>
  <si>
    <t>Game-based learning</t>
  </si>
  <si>
    <t>Geography Education</t>
  </si>
  <si>
    <t>Globalization and Education</t>
  </si>
  <si>
    <t>Goals, Goal Setting</t>
  </si>
  <si>
    <t>Grading Practices</t>
  </si>
  <si>
    <t>Graduation Rates</t>
  </si>
  <si>
    <t>Grandparent Roles</t>
  </si>
  <si>
    <t>Guidance and School Counseling</t>
  </si>
  <si>
    <t>Guns</t>
  </si>
  <si>
    <t>Hate Crimes in Schools</t>
  </si>
  <si>
    <t>Hazing</t>
  </si>
  <si>
    <t>Help-Seeking Methods</t>
  </si>
  <si>
    <t>Heritage Language Education</t>
  </si>
  <si>
    <t>Heuristic Learning</t>
  </si>
  <si>
    <t>High Schools</t>
  </si>
  <si>
    <t>High-Stakes Testing</t>
  </si>
  <si>
    <t>Hispanic/Latino Education</t>
  </si>
  <si>
    <t>Historically Black Colleges and Universities</t>
  </si>
  <si>
    <t>Holistic Education</t>
  </si>
  <si>
    <t>Holocaust Education</t>
  </si>
  <si>
    <t>Home/School Relations</t>
  </si>
  <si>
    <t>Homeless Students</t>
  </si>
  <si>
    <t>Homeschooling</t>
  </si>
  <si>
    <t>Academic English</t>
  </si>
  <si>
    <t>Academic Freedom</t>
  </si>
  <si>
    <t>Academic Governance</t>
  </si>
  <si>
    <t>Academic Integrity</t>
  </si>
  <si>
    <t>Academic Partnerships</t>
  </si>
  <si>
    <t>Reasonable Accommodation</t>
  </si>
  <si>
    <t>Accommodations for Assessment</t>
  </si>
  <si>
    <t>Accreditation</t>
  </si>
  <si>
    <t>Acculturation</t>
  </si>
  <si>
    <t>Administrative Spending</t>
  </si>
  <si>
    <t>Admissions Advising</t>
  </si>
  <si>
    <t>Affordability</t>
  </si>
  <si>
    <t>African American Private Academies</t>
  </si>
  <si>
    <t>African American Studies</t>
  </si>
  <si>
    <t>Aggression</t>
  </si>
  <si>
    <t>Algebra Project</t>
  </si>
  <si>
    <t>Alienation</t>
  </si>
  <si>
    <t>Curriculum Alignment</t>
  </si>
  <si>
    <t>Alternative Assessment</t>
  </si>
  <si>
    <t>Alternative Licensure</t>
  </si>
  <si>
    <t>American Association of School Administration</t>
  </si>
  <si>
    <t>American Diploma Project</t>
  </si>
  <si>
    <t>Americanization</t>
  </si>
  <si>
    <t>Amish and Mennonite Schools</t>
  </si>
  <si>
    <t>Antisocial Behavior</t>
  </si>
  <si>
    <t>Appalachian Education</t>
  </si>
  <si>
    <t>Aptitude-Treatment Interaction</t>
  </si>
  <si>
    <t>Architecture of Schools</t>
  </si>
  <si>
    <t>Disability Assessment for Children</t>
  </si>
  <si>
    <t>Assessing Classroom Management</t>
  </si>
  <si>
    <t>Assessment in Special Education</t>
  </si>
  <si>
    <t>Asynchronous Online Learning</t>
  </si>
  <si>
    <t>Athletics and Diversity</t>
  </si>
  <si>
    <t>Audio-Lingual Method</t>
  </si>
  <si>
    <t>Augmented Reality</t>
  </si>
  <si>
    <t>Autism Spectrum Disorder</t>
  </si>
  <si>
    <t>Automated Grading</t>
  </si>
  <si>
    <t>Behavior Support Plans</t>
  </si>
  <si>
    <t>Belonging</t>
  </si>
  <si>
    <t>Benchmark</t>
  </si>
  <si>
    <t>Big Brothers Big Sisters</t>
  </si>
  <si>
    <t>Bilingual Charter Schools</t>
  </si>
  <si>
    <t>Bilingual Families</t>
  </si>
  <si>
    <t>Bilingual Special Education</t>
  </si>
  <si>
    <t>Bipolar Disorder</t>
  </si>
  <si>
    <t>Biracial Identity</t>
  </si>
  <si>
    <t>Black Schools in the Segregated Southern U.S.</t>
  </si>
  <si>
    <t>Blended Families</t>
  </si>
  <si>
    <t>Block Scheduling</t>
  </si>
  <si>
    <t>Bloom's Taxonomy</t>
  </si>
  <si>
    <t>Budgeting</t>
  </si>
  <si>
    <t>Camps</t>
  </si>
  <si>
    <t>Cardinal Principles of Secondary Education</t>
  </si>
  <si>
    <t>Center-Based Care</t>
  </si>
  <si>
    <t>Certificate Programs</t>
  </si>
  <si>
    <t>Chief Academic Officer</t>
  </si>
  <si>
    <t>Classroom Management in China</t>
  </si>
  <si>
    <t>Influence of Chinese Philosophy on Education</t>
  </si>
  <si>
    <t>Classical Curriculum</t>
  </si>
  <si>
    <t>Cliques</t>
  </si>
  <si>
    <t>Coeducation</t>
  </si>
  <si>
    <t>Collaborative Learning With Technology</t>
  </si>
  <si>
    <t>Collective Bargaining</t>
  </si>
  <si>
    <t>College Board</t>
  </si>
  <si>
    <t>College Dropout</t>
  </si>
  <si>
    <t>College Savings Plans</t>
  </si>
  <si>
    <t>Color-Blind Perspective</t>
  </si>
  <si>
    <t>Commercialization of Schools</t>
  </si>
  <si>
    <t>Common Schools Movement</t>
  </si>
  <si>
    <t>Community–School Partnerships</t>
  </si>
  <si>
    <t>Compensatory Education</t>
  </si>
  <si>
    <t>Competition</t>
  </si>
  <si>
    <t>Compulsory Attendance</t>
  </si>
  <si>
    <t>Conditions for Learning</t>
  </si>
  <si>
    <t>Conduct Disorder</t>
  </si>
  <si>
    <t>State Control of Education</t>
  </si>
  <si>
    <t>Convergent and Divergent Thinking</t>
  </si>
  <si>
    <t>Cooperation</t>
  </si>
  <si>
    <t>Cost-Benefit Analyses</t>
  </si>
  <si>
    <t>Creationism and Evolution in Schools</t>
  </si>
  <si>
    <t>Education in the Criminal Justice System</t>
  </si>
  <si>
    <t>Cross-Cultural Competence in Education</t>
  </si>
  <si>
    <t>Cultural Capital</t>
  </si>
  <si>
    <t>Cultural Diversity</t>
  </si>
  <si>
    <t>Cultural Identities</t>
  </si>
  <si>
    <t>Cultural Literacy</t>
  </si>
  <si>
    <t>Culturally Responsive Teaching</t>
  </si>
  <si>
    <t>Curriculum and Classroom Management</t>
  </si>
  <si>
    <t>Cyberbullying</t>
  </si>
  <si>
    <t>Decentralization/Centralization Controversy</t>
  </si>
  <si>
    <t>Democratic Practices in Classrooms and Schools</t>
  </si>
  <si>
    <t>Deregulation</t>
  </si>
  <si>
    <t>Learning Space Design</t>
  </si>
  <si>
    <t>Detention</t>
  </si>
  <si>
    <t>Development of Prejudice</t>
  </si>
  <si>
    <t>Differential Treatment and Reinforcement</t>
  </si>
  <si>
    <t>Digital Technology and Classroom Management</t>
  </si>
  <si>
    <t>Disabilities and Classroom Management</t>
  </si>
  <si>
    <t>Discussion Facilitation</t>
  </si>
  <si>
    <t>Disruptive Students</t>
  </si>
  <si>
    <t>District Size</t>
  </si>
  <si>
    <t>Teaching Staff Diversification</t>
  </si>
  <si>
    <t>Diversity Pedagogy</t>
  </si>
  <si>
    <t>Diversity Training</t>
  </si>
  <si>
    <t>Divorce</t>
  </si>
  <si>
    <t>Domestic Violence</t>
  </si>
  <si>
    <t>Drug Abuse</t>
  </si>
  <si>
    <t>Early Childhood Curriculum</t>
  </si>
  <si>
    <t>Early Childhood Education and Classroom Management</t>
  </si>
  <si>
    <t>Early Childhood Education and Gender</t>
  </si>
  <si>
    <t>Early Childhood Special Education</t>
  </si>
  <si>
    <t>Economic Benefits of Education</t>
  </si>
  <si>
    <t>Economic Development and Education</t>
  </si>
  <si>
    <t>Education Production Functions</t>
  </si>
  <si>
    <t>Educational Benefits of Diversity</t>
  </si>
  <si>
    <t>Educational Testing Service (ETS)</t>
  </si>
  <si>
    <t>Elementary Education and Classroom Management</t>
  </si>
  <si>
    <t>Elementary School Curriculum</t>
  </si>
  <si>
    <t>Empathy</t>
  </si>
  <si>
    <t>Teacher and Student Epistemologies</t>
  </si>
  <si>
    <t>Equality of Educational Opportunity</t>
  </si>
  <si>
    <t>Equity in Assessment</t>
  </si>
  <si>
    <t>Ethical Issues in Testing</t>
  </si>
  <si>
    <t>Ethics, Power, and Classroom Management</t>
  </si>
  <si>
    <t>Evidence-Based Policy and Practice</t>
  </si>
  <si>
    <t>Excellence</t>
  </si>
  <si>
    <t>Teachers’ Expectations of Students</t>
  </si>
  <si>
    <t>Faculty Availability to Students</t>
  </si>
  <si>
    <t>Faculty Collaboration</t>
  </si>
  <si>
    <t>Faculty Contracts</t>
  </si>
  <si>
    <t>Faculty Leadership</t>
  </si>
  <si>
    <t>Faculty Satisfaction</t>
  </si>
  <si>
    <t>Faculty Tenure</t>
  </si>
  <si>
    <t>Families of Children With Disabilities</t>
  </si>
  <si>
    <t>Family and Consumer Sciences Curriculum</t>
  </si>
  <si>
    <t>Family Diversity</t>
  </si>
  <si>
    <t>Family Engagement Models</t>
  </si>
  <si>
    <t>Free School Movement</t>
  </si>
  <si>
    <t>Friendships</t>
  </si>
  <si>
    <t>Game-Based Assessment</t>
  </si>
  <si>
    <t>Gender and Learning</t>
  </si>
  <si>
    <t>Gender Identity</t>
  </si>
  <si>
    <t>Gifted Students and Effective Classroom Practices</t>
  </si>
  <si>
    <t>Grade Retention</t>
  </si>
  <si>
    <t>Group Assignments</t>
  </si>
  <si>
    <t>Guiding Behavior</t>
  </si>
  <si>
    <t>High School and Classroom Management</t>
  </si>
  <si>
    <t>School Holidays</t>
  </si>
  <si>
    <t>Human Rights Education</t>
  </si>
  <si>
    <t>MOOCs</t>
  </si>
  <si>
    <t>National Education Association (NEA)</t>
  </si>
  <si>
    <t>Students With Hearing Impairments</t>
  </si>
  <si>
    <t>Academic Rationalism</t>
  </si>
  <si>
    <t>Activity Theory</t>
  </si>
  <si>
    <t>Actor-Network Theory</t>
  </si>
  <si>
    <t>Latour, Bruno</t>
  </si>
  <si>
    <t>Adequacy</t>
  </si>
  <si>
    <t>Adler, Mortimer</t>
  </si>
  <si>
    <t>Theories of Administration</t>
  </si>
  <si>
    <t>Aesthetic Theory</t>
  </si>
  <si>
    <t>Affective Filter</t>
  </si>
  <si>
    <t>Affirmative Action</t>
  </si>
  <si>
    <t>Anchored Instruction</t>
  </si>
  <si>
    <t>Antiracist Education</t>
  </si>
  <si>
    <t>Apps and the App Gap</t>
  </si>
  <si>
    <t>ARCS Model</t>
  </si>
  <si>
    <t>Aristotle</t>
  </si>
  <si>
    <t>Attribution Theory</t>
  </si>
  <si>
    <t>Behaviorism</t>
  </si>
  <si>
    <t>Bethune, Mary McLeod</t>
  </si>
  <si>
    <t>Classical Conditioning</t>
  </si>
  <si>
    <t>Theory of Cognitive Development</t>
  </si>
  <si>
    <t>Cognitive Flexibility Theory</t>
  </si>
  <si>
    <t>Cognitive Load Theory</t>
  </si>
  <si>
    <t>Cognitivism</t>
  </si>
  <si>
    <t>Coleman, James S.</t>
  </si>
  <si>
    <t>Component Display Theory</t>
  </si>
  <si>
    <t>Conscientization</t>
  </si>
  <si>
    <t>Constructivism</t>
  </si>
  <si>
    <t>Constructivist Theory</t>
  </si>
  <si>
    <t>Curriculum Theory</t>
  </si>
  <si>
    <t>Deconstruction</t>
  </si>
  <si>
    <t>Discovery Learning</t>
  </si>
  <si>
    <t>DREAM Act</t>
  </si>
  <si>
    <t>Du Bois, W. E. B.</t>
  </si>
  <si>
    <t>Dual Coding Theory</t>
  </si>
  <si>
    <t>Elaboration Theory</t>
  </si>
  <si>
    <t>Research Methods</t>
  </si>
  <si>
    <t>Ethical Issues in Educational Research</t>
  </si>
  <si>
    <t>Goodman, Paul</t>
  </si>
  <si>
    <t>Harris, William Torrey</t>
  </si>
  <si>
    <t>Individualized Education Program (IEP)</t>
  </si>
  <si>
    <t>Information Processing Theory</t>
  </si>
  <si>
    <t>Jung, Carl</t>
  </si>
  <si>
    <t>Liberalism</t>
  </si>
  <si>
    <t>Mann, Horace</t>
  </si>
  <si>
    <t>Maslow, Abraham</t>
  </si>
  <si>
    <t>Montessori, Maria</t>
  </si>
  <si>
    <t>Multiple Intelligences, Theory of</t>
  </si>
  <si>
    <t>Natural Approach</t>
  </si>
  <si>
    <t>Operant Conditioning</t>
  </si>
  <si>
    <t>Paideia</t>
  </si>
  <si>
    <t>Pestalozzi, Johann H.</t>
  </si>
  <si>
    <t>Piaget, Jean</t>
  </si>
  <si>
    <t>Pragmatism and Progressivism</t>
  </si>
  <si>
    <t>Privatization</t>
  </si>
  <si>
    <t>Rogers, Carl</t>
  </si>
  <si>
    <t>Single- and Double-Loop Learning</t>
  </si>
  <si>
    <t>Skinner, B.F.</t>
  </si>
  <si>
    <t>Social Cognitive Theory</t>
  </si>
  <si>
    <t>Social Learning Theory</t>
  </si>
  <si>
    <t>Sociocultural Theory</t>
  </si>
  <si>
    <t>Spiral Curriculum</t>
  </si>
  <si>
    <t>Thorndike, Edward L.</t>
  </si>
  <si>
    <t>Vygotsky, Lev</t>
  </si>
  <si>
    <t>Wisconsin v. Yoder</t>
  </si>
  <si>
    <t>Woodson, Carter G.</t>
  </si>
  <si>
    <t>Abood v. Detroit Board of Education</t>
  </si>
  <si>
    <t>Accents</t>
  </si>
  <si>
    <t>African American Vernacular English</t>
  </si>
  <si>
    <t>Anti-Bias Education</t>
  </si>
  <si>
    <t>Aoki, Ted T.</t>
  </si>
  <si>
    <t>Ashton-Warner, Sylvia</t>
  </si>
  <si>
    <t>Assertive Discipline</t>
  </si>
  <si>
    <t>Calculators</t>
  </si>
  <si>
    <t>Child-Initiated Learning</t>
  </si>
  <si>
    <t>Creative and Lateral Thinking</t>
  </si>
  <si>
    <t>de Bono, Edward</t>
  </si>
  <si>
    <t>Derrida, Jacques</t>
  </si>
  <si>
    <t>Students with Visual Impairments</t>
  </si>
  <si>
    <t>Explicit Teaching</t>
  </si>
  <si>
    <t>Flipped Learning</t>
  </si>
  <si>
    <t>Gestalt Theory</t>
  </si>
  <si>
    <t>Hegemony</t>
  </si>
  <si>
    <t>History Education</t>
  </si>
  <si>
    <t>Interactive Teaching</t>
  </si>
  <si>
    <t>Item Response Theory</t>
  </si>
  <si>
    <t>Peabody Picture Vocabulary Test</t>
  </si>
  <si>
    <t>Positivism</t>
  </si>
  <si>
    <t>Classroom Discussion</t>
  </si>
  <si>
    <t>Keller, John</t>
  </si>
  <si>
    <t>Humanism</t>
  </si>
  <si>
    <t>Bandura, Albert</t>
  </si>
  <si>
    <t>Guilford, Joy Paul</t>
  </si>
  <si>
    <t>Knowles, Malcolm</t>
  </si>
  <si>
    <t>Weiner, Bernard</t>
  </si>
  <si>
    <t>Gagné, Robert M.</t>
  </si>
  <si>
    <t>Connectionism</t>
  </si>
  <si>
    <t>Conversation Theory</t>
  </si>
  <si>
    <t>Reigeluth, Charles</t>
  </si>
  <si>
    <t>Kolb, David A.</t>
  </si>
  <si>
    <t>Genetic Epistemology</t>
  </si>
  <si>
    <t>Learning by Doing</t>
  </si>
  <si>
    <t>Levels of Processing</t>
  </si>
  <si>
    <t>Rousseau, Jean-Jacques</t>
  </si>
  <si>
    <t>Froebel, Friedrich</t>
  </si>
  <si>
    <t>Abington Township School District v. Schempp and Murray v. Curlett</t>
  </si>
  <si>
    <t>Addams, Jane</t>
  </si>
  <si>
    <t>Agostini v. Felton</t>
  </si>
  <si>
    <t>Americans with Disabilities Act</t>
  </si>
  <si>
    <t>Athletics, Policy Issues</t>
  </si>
  <si>
    <t>Baudrillard, Jean</t>
  </si>
  <si>
    <t>Behavioral Intervention Plan</t>
  </si>
  <si>
    <t>Benchmark Assessment</t>
  </si>
  <si>
    <t>Bethel School District v. Fraser</t>
  </si>
  <si>
    <t>Bilingual Education Act</t>
  </si>
  <si>
    <t>Bill of Rights</t>
  </si>
  <si>
    <t>Board of Education of Kiryas Joel Village School District v. Grumet</t>
  </si>
  <si>
    <t>Board of Education of the Hendrick Hudson Central School District v. Rowley</t>
  </si>
  <si>
    <t>Board of Education of Westside Community Schools v. Mergens</t>
  </si>
  <si>
    <t>Board of Education, Island Trees Union Free School District No. 26 v. Pico</t>
  </si>
  <si>
    <t>Butler, Nicholas Murray</t>
  </si>
  <si>
    <t>Criterion-Referenced Assessments</t>
  </si>
  <si>
    <t>Curriculum, Theories of</t>
  </si>
  <si>
    <t>Hazelwood School District v. Kuhlmeier</t>
  </si>
  <si>
    <t>Inquiry-Based Learning</t>
  </si>
  <si>
    <t>Kinesthetic Learning</t>
  </si>
  <si>
    <t xml:space="preserve">Subjects </t>
  </si>
  <si>
    <t>Licensure and Certification</t>
  </si>
  <si>
    <t>Montessori Education</t>
  </si>
  <si>
    <t>Moses, Robert</t>
  </si>
  <si>
    <t>No Child Left Behind</t>
  </si>
  <si>
    <t>Norm-Referenced Tests</t>
  </si>
  <si>
    <t>Online Learning</t>
  </si>
  <si>
    <t>Personalized Learning and Instruction</t>
  </si>
  <si>
    <t>Reggio Emilia Approach</t>
  </si>
  <si>
    <t>School Vouchers</t>
  </si>
  <si>
    <t>Short-Term Memory</t>
  </si>
  <si>
    <t>Single-Sex Education</t>
  </si>
  <si>
    <t>Site-Based Management</t>
  </si>
  <si>
    <t>Situated Learning</t>
  </si>
  <si>
    <t>Smith-Hughes Act</t>
  </si>
  <si>
    <t>Social Capital</t>
  </si>
  <si>
    <t>Social Studies Education</t>
  </si>
  <si>
    <t>Social-Emotional Development</t>
  </si>
  <si>
    <t>Spencer, Herbert</t>
  </si>
  <si>
    <t>Standard Setting</t>
  </si>
  <si>
    <t>Standardized Testing</t>
  </si>
  <si>
    <t>Standards</t>
  </si>
  <si>
    <t>Student Teaching</t>
  </si>
  <si>
    <t>Student-Centered Classroom</t>
  </si>
  <si>
    <t>Success For All</t>
  </si>
  <si>
    <t>Summative Assessment</t>
  </si>
  <si>
    <t>Superintendency</t>
  </si>
  <si>
    <t>Systemic Reform</t>
  </si>
  <si>
    <t>Teacher Education</t>
  </si>
  <si>
    <t>Teacher Pensions</t>
  </si>
  <si>
    <t>Technology and the Law</t>
  </si>
  <si>
    <t>Theory of Mind</t>
  </si>
  <si>
    <t>Tiered Assignments</t>
  </si>
  <si>
    <t>Time On Task</t>
  </si>
  <si>
    <t>Tinker v. Des Moines Independent Community School District</t>
  </si>
  <si>
    <t>Title I</t>
  </si>
  <si>
    <t>Title IX</t>
  </si>
  <si>
    <t>Title VII</t>
  </si>
  <si>
    <t>Treatment Integrity</t>
  </si>
  <si>
    <t>Trends In International Mathematics And Science Study (TIMSS)</t>
  </si>
  <si>
    <t>Triarchic Theory of Intelligence</t>
  </si>
  <si>
    <t>Tuition Tax Credits</t>
  </si>
  <si>
    <t>Tutoring</t>
  </si>
  <si>
    <t>Tyler, Ralph W</t>
  </si>
  <si>
    <t>U.S. Department of Education</t>
  </si>
  <si>
    <t>United Nations Convention on the Rights of the Child</t>
  </si>
  <si>
    <t>Universal Design</t>
  </si>
  <si>
    <t>Values Education</t>
  </si>
  <si>
    <t>Violence in Schools</t>
  </si>
  <si>
    <t>Visual Literacy</t>
  </si>
  <si>
    <t>Waldorf Education</t>
  </si>
  <si>
    <t>Whole Language</t>
  </si>
  <si>
    <t>Women in Educational Leadership</t>
  </si>
  <si>
    <t>Working Memory</t>
  </si>
  <si>
    <t>Year-Round Education</t>
  </si>
  <si>
    <t>YouTube</t>
  </si>
  <si>
    <t>Zone of Proximal Development</t>
  </si>
  <si>
    <t>Teacher-Centered Approach</t>
  </si>
  <si>
    <t>High-Tech Approach</t>
  </si>
  <si>
    <t>Low-Tech Approach</t>
  </si>
  <si>
    <t>Expeditionary Learning</t>
  </si>
  <si>
    <t>Small Group Instruction</t>
  </si>
  <si>
    <t>Whole Group instruction</t>
  </si>
  <si>
    <t>Whole Child</t>
  </si>
  <si>
    <t>Virtual Classroom</t>
  </si>
  <si>
    <t>Diagnostic Assessment</t>
  </si>
  <si>
    <t>Compulsory Education</t>
  </si>
  <si>
    <t>Leaves of Absence</t>
  </si>
  <si>
    <t>Lunch Programs</t>
  </si>
  <si>
    <t>School Choice</t>
  </si>
  <si>
    <t>Tax Credits</t>
  </si>
  <si>
    <t>Teacher Rights</t>
  </si>
  <si>
    <t>Adaptive Testing</t>
  </si>
  <si>
    <t>Bayesian Statistics</t>
  </si>
  <si>
    <t>Case Study Method</t>
  </si>
  <si>
    <t>Confidentiality</t>
  </si>
  <si>
    <t>Content Analysis</t>
  </si>
  <si>
    <t>Correlation</t>
  </si>
  <si>
    <t>Discourse Analysis</t>
  </si>
  <si>
    <t>Effect Size</t>
  </si>
  <si>
    <t>Focus Groups</t>
  </si>
  <si>
    <t>Generalizability Theory</t>
  </si>
  <si>
    <t>Grounded Theory</t>
  </si>
  <si>
    <t>Hierarchical Linear Modeling</t>
  </si>
  <si>
    <t>Hypothesis Testing</t>
  </si>
  <si>
    <t>Meta-Analysis</t>
  </si>
  <si>
    <t>Mixed Methods research</t>
  </si>
  <si>
    <t>Path Analysis</t>
  </si>
  <si>
    <t>Program Evaluation</t>
  </si>
  <si>
    <t>Questionnaires</t>
  </si>
  <si>
    <t>Rating Scales</t>
  </si>
  <si>
    <t>Statistical Significance</t>
  </si>
  <si>
    <t>Surveys</t>
  </si>
  <si>
    <t>Advance Organizers</t>
  </si>
  <si>
    <t>Anxiety</t>
  </si>
  <si>
    <t>Applied Behavior Analysis</t>
  </si>
  <si>
    <t>Aptitude</t>
  </si>
  <si>
    <t>Behavior Disorders</t>
  </si>
  <si>
    <t>Bias</t>
  </si>
  <si>
    <t>Cooperating Teachers</t>
  </si>
  <si>
    <t>Curriculum Evaluation</t>
  </si>
  <si>
    <t>Curriculum Guides</t>
  </si>
  <si>
    <t>Curriculum Implementation</t>
  </si>
  <si>
    <t>Delphi Technique</t>
  </si>
  <si>
    <t>Dress Codes</t>
  </si>
  <si>
    <t>Dual Enrollment</t>
  </si>
  <si>
    <t>Factor Analysis</t>
  </si>
  <si>
    <t>Family Literacy</t>
  </si>
  <si>
    <t>Family Structure</t>
  </si>
  <si>
    <t>Functional Behavioral Assessment</t>
  </si>
  <si>
    <t>Gender Bias</t>
  </si>
  <si>
    <t>General Education</t>
  </si>
  <si>
    <t>General Educational Development (GED®)</t>
  </si>
  <si>
    <t>Gifted Education</t>
  </si>
  <si>
    <t>Graduation Requirements</t>
  </si>
  <si>
    <t>Habituation</t>
  </si>
  <si>
    <t>Hidden Curriculum</t>
  </si>
  <si>
    <t>Human Capital</t>
  </si>
  <si>
    <t>Imagination</t>
  </si>
  <si>
    <t>Immigrants, Education of</t>
  </si>
  <si>
    <t>Independent Study</t>
  </si>
  <si>
    <t>Information Literacy</t>
  </si>
  <si>
    <t>Informed Consent</t>
  </si>
  <si>
    <t>Inservice Teacher Education</t>
  </si>
  <si>
    <t>Instructional Design</t>
  </si>
  <si>
    <t>Instrumentation</t>
  </si>
  <si>
    <t>Integrated Curriculum</t>
  </si>
  <si>
    <t>Intelligence</t>
  </si>
  <si>
    <t>Intelligence Quotient</t>
  </si>
  <si>
    <t>Intelligence Tests</t>
  </si>
  <si>
    <t>Intelligent Tutoring Systems</t>
  </si>
  <si>
    <t>Intercultural Communication</t>
  </si>
  <si>
    <t>Item Analysis</t>
  </si>
  <si>
    <t>Job Training</t>
  </si>
  <si>
    <t>Education in the Juvenile Justice System</t>
  </si>
  <si>
    <t>Laboratory Schools</t>
  </si>
  <si>
    <t>Language Proficiency</t>
  </si>
  <si>
    <t>Language, Speech, and Communication Disorders</t>
  </si>
  <si>
    <t>Leadership Effectiveness</t>
  </si>
  <si>
    <t>Leadership Styles</t>
  </si>
  <si>
    <t>Learning Disabilities</t>
  </si>
  <si>
    <t>Learning Management Systems</t>
  </si>
  <si>
    <t>Lessons and Lesson Planning</t>
  </si>
  <si>
    <t>Lifelong Learning</t>
  </si>
  <si>
    <t>Locus of Control</t>
  </si>
  <si>
    <t>Magnet Schools</t>
  </si>
  <si>
    <t>Mathematics Education</t>
  </si>
  <si>
    <t>Mental Age</t>
  </si>
  <si>
    <t>Mentoring</t>
  </si>
  <si>
    <t>Metacognition</t>
  </si>
  <si>
    <t>Minimum Competencies</t>
  </si>
  <si>
    <t>Mnemonics</t>
  </si>
  <si>
    <t>Motivation</t>
  </si>
  <si>
    <t>Motor Development</t>
  </si>
  <si>
    <t>Movement Education</t>
  </si>
  <si>
    <t>Multidimensional Scaling</t>
  </si>
  <si>
    <t>Multiple Intelligences</t>
  </si>
  <si>
    <t>Music Education</t>
  </si>
  <si>
    <t>National Curriculum</t>
  </si>
  <si>
    <t>Naturalistic Observation</t>
  </si>
  <si>
    <t>Needs Assessment</t>
  </si>
  <si>
    <t>Negative Reinforcement</t>
  </si>
  <si>
    <t>Nontraditional Students</t>
  </si>
  <si>
    <t>Nursing Education</t>
  </si>
  <si>
    <t>Nutrition</t>
  </si>
  <si>
    <t>Obesity</t>
  </si>
  <si>
    <t>Observational Learning</t>
  </si>
  <si>
    <t>Open Education</t>
  </si>
  <si>
    <t>Open Educational Resources</t>
  </si>
  <si>
    <t>Oral History</t>
  </si>
  <si>
    <t>Parenting Styles</t>
  </si>
  <si>
    <t>Participant Observation</t>
  </si>
  <si>
    <t>Personality</t>
  </si>
  <si>
    <t>Personnel Management</t>
  </si>
  <si>
    <t>Phenomenology</t>
  </si>
  <si>
    <t>Physical Education</t>
  </si>
  <si>
    <t>Plagiarism</t>
  </si>
  <si>
    <t>Play</t>
  </si>
  <si>
    <t>Popular Culture</t>
  </si>
  <si>
    <t>Portfolio Assessment</t>
  </si>
  <si>
    <t>Postmodernism</t>
  </si>
  <si>
    <t>Poverty</t>
  </si>
  <si>
    <t>PRAXIS Series</t>
  </si>
  <si>
    <t>Precision Teaching</t>
  </si>
  <si>
    <t>Predictive Validity</t>
  </si>
  <si>
    <t>Problem Solving</t>
  </si>
  <si>
    <t>Progress Monitoring</t>
  </si>
  <si>
    <t>Progressive Education</t>
  </si>
  <si>
    <t>Prosocial Behavior</t>
  </si>
  <si>
    <t>Puberty</t>
  </si>
  <si>
    <t>Public Speaking</t>
  </si>
  <si>
    <t>Punishment</t>
  </si>
  <si>
    <t>Qualitative Research</t>
  </si>
  <si>
    <t>Quality of Education</t>
  </si>
  <si>
    <t>Reading Comprehension</t>
  </si>
  <si>
    <t>Reinforcement</t>
  </si>
  <si>
    <t>Reliability</t>
  </si>
  <si>
    <t>Research Proposals</t>
  </si>
  <si>
    <t>Robotics</t>
  </si>
  <si>
    <t>Rural Education</t>
  </si>
  <si>
    <t>Sample Size</t>
  </si>
  <si>
    <t>School Discipline</t>
  </si>
  <si>
    <t>School District Wealth</t>
  </si>
  <si>
    <t>School Readiness</t>
  </si>
  <si>
    <t>School Safety</t>
  </si>
  <si>
    <t>School Size</t>
  </si>
  <si>
    <t>Science Fairs</t>
  </si>
  <si>
    <t>High School Curriculum</t>
  </si>
  <si>
    <t>Self-Regulation</t>
  </si>
  <si>
    <t>Semiotics</t>
  </si>
  <si>
    <t>Sensory Integration</t>
  </si>
  <si>
    <t>Service Learning</t>
  </si>
  <si>
    <t>Sexual Harassment</t>
  </si>
  <si>
    <t>Sexual Orientation</t>
  </si>
  <si>
    <t>Sleep</t>
  </si>
  <si>
    <t>Social Change</t>
  </si>
  <si>
    <t>Social Class</t>
  </si>
  <si>
    <t>Social Cognition</t>
  </si>
  <si>
    <t>Social Justice</t>
  </si>
  <si>
    <t>Social Media and Social Networks</t>
  </si>
  <si>
    <t>Socioeconomic Status</t>
  </si>
  <si>
    <t>State Departments of Education</t>
  </si>
  <si>
    <t>State Standards</t>
  </si>
  <si>
    <t>STEM Education</t>
  </si>
  <si>
    <t>Stereotypes</t>
  </si>
  <si>
    <t>Strategic Planning</t>
  </si>
  <si>
    <t>Student Mobility</t>
  </si>
  <si>
    <t>Suicide</t>
  </si>
  <si>
    <t>Summative Evaluation</t>
  </si>
  <si>
    <t>Teacher Effectiveness</t>
  </si>
  <si>
    <t>Teacher Qualifications</t>
  </si>
  <si>
    <t>Teacher Recruitment and Retention</t>
  </si>
  <si>
    <t>Teaching Styles</t>
  </si>
  <si>
    <t>Team Teaching</t>
  </si>
  <si>
    <t>Technology Integration</t>
  </si>
  <si>
    <t>Tenure</t>
  </si>
  <si>
    <t>Test Bias</t>
  </si>
  <si>
    <t>Textbooks</t>
  </si>
  <si>
    <t>Theological Education</t>
  </si>
  <si>
    <t>Total Quality Management</t>
  </si>
  <si>
    <t>Toys</t>
  </si>
  <si>
    <t>Transfer Students</t>
  </si>
  <si>
    <t>Transformational Leadership</t>
  </si>
  <si>
    <t>Truancy</t>
  </si>
  <si>
    <t>Unions</t>
  </si>
  <si>
    <t>Values Clarification</t>
  </si>
  <si>
    <t>Video Games</t>
  </si>
  <si>
    <t>Videoconferencing</t>
  </si>
  <si>
    <t>Virtual Schools</t>
  </si>
  <si>
    <t>Visual Arts</t>
  </si>
  <si>
    <t>Vocabulary</t>
  </si>
  <si>
    <t>Workplace Learning</t>
  </si>
  <si>
    <t>Writing, Teaching of</t>
  </si>
  <si>
    <t>Youth Employment</t>
  </si>
  <si>
    <t>Critical Theory</t>
  </si>
  <si>
    <t>Experiential Learning</t>
  </si>
  <si>
    <t>Humanistic Education</t>
  </si>
  <si>
    <t>Bayley Scales of Infant and Toddler Development</t>
  </si>
  <si>
    <t>Capacity Building, of Organizations</t>
  </si>
  <si>
    <t>Carnegie Foundation for the Advancement of Teaching</t>
  </si>
  <si>
    <t>Civil Rights Act of 1964</t>
  </si>
  <si>
    <t>Coalition of Essential Schools</t>
  </si>
  <si>
    <t>Coleman Report</t>
  </si>
  <si>
    <t>Collaborative for Academic, Social, and Emotional Learning</t>
  </si>
  <si>
    <t>Comer School Development Program</t>
  </si>
  <si>
    <t>Committee of Ten of the National Education Association</t>
  </si>
  <si>
    <t>Computer-Based Testing</t>
  </si>
  <si>
    <t>Computer-Supported Collaborative Learning</t>
  </si>
  <si>
    <t>Confidence Interval</t>
  </si>
  <si>
    <t>Contextual Teaching and Learning</t>
  </si>
  <si>
    <t>Corporal Punishment</t>
  </si>
  <si>
    <t>Cosmopolitanism</t>
  </si>
  <si>
    <t>Council of the Great City Schools</t>
  </si>
  <si>
    <t>Cross-Cultural Research</t>
  </si>
  <si>
    <t>Cultural Competence</t>
  </si>
  <si>
    <t>Curriculum Auditing</t>
  </si>
  <si>
    <t>Curriculum Mapping</t>
  </si>
  <si>
    <t>Dalton Plan</t>
  </si>
  <si>
    <t>Descriptive Statistics</t>
  </si>
  <si>
    <t>Desegregation of Schools</t>
  </si>
  <si>
    <t>Design-Based Research</t>
  </si>
  <si>
    <t>Developmentally Appropriate Practice</t>
  </si>
  <si>
    <t>Differentiated Staffing</t>
  </si>
  <si>
    <t>Dispositions</t>
  </si>
  <si>
    <t>Education Commission of the States (ECS)</t>
  </si>
  <si>
    <t>Eight–Year Study</t>
  </si>
  <si>
    <t>Engel v. Vitale</t>
  </si>
  <si>
    <t>Equal Access Act</t>
  </si>
  <si>
    <t>Equal Educational Opportunity Act</t>
  </si>
  <si>
    <t>Erikson’s Stages of Psychosocial Development</t>
  </si>
  <si>
    <t>Eugenics</t>
  </si>
  <si>
    <t>Experimental Design</t>
  </si>
  <si>
    <t>External Validity</t>
  </si>
  <si>
    <t>Family Educational Rights and Privacy Act</t>
  </si>
  <si>
    <t>Field Experience</t>
  </si>
  <si>
    <t>Flynn Effect</t>
  </si>
  <si>
    <t>Free Appropriate Public Education</t>
  </si>
  <si>
    <t>Funds of Knowledge</t>
  </si>
  <si>
    <t>Gay, Lesbian and Straight Education Network (GLSEN)</t>
  </si>
  <si>
    <t>GI Bill</t>
  </si>
  <si>
    <t>Goals 2000</t>
  </si>
  <si>
    <t>Halo Effect</t>
  </si>
  <si>
    <t>Hawthorne Effect</t>
  </si>
  <si>
    <t>Head Start</t>
  </si>
  <si>
    <t>Hobson v. Hansen</t>
  </si>
  <si>
    <t>Individuals with Disabilities Education Act (IDEA)</t>
  </si>
  <si>
    <t>Indoctrination</t>
  </si>
  <si>
    <t>Inferential Statistics</t>
  </si>
  <si>
    <t>Institute of Education Sciences</t>
  </si>
  <si>
    <t>Institutional Review Boards</t>
  </si>
  <si>
    <t>Instructional Objectives</t>
  </si>
  <si>
    <t>Intellectual Disabilities</t>
  </si>
  <si>
    <t>Internal Validity</t>
  </si>
  <si>
    <t>Internships</t>
  </si>
  <si>
    <t>Kohlberg, Lawrence</t>
  </si>
  <si>
    <t>Learning Communities</t>
  </si>
  <si>
    <t>Learning Styles</t>
  </si>
  <si>
    <t>Least Restrictive Environment (LRE)</t>
  </si>
  <si>
    <t>Lesbian, Gay, Bisexual, and Transgender (LGBT) Issues</t>
  </si>
  <si>
    <t>Long-Term Memory</t>
  </si>
  <si>
    <t xml:space="preserve">Mainstreaming </t>
  </si>
  <si>
    <t>Management by Objectives</t>
  </si>
  <si>
    <t xml:space="preserve">Mastery Learning </t>
  </si>
  <si>
    <t>Mobile Devices</t>
  </si>
  <si>
    <t xml:space="preserve">Multicultural Education </t>
  </si>
  <si>
    <t>Multiliteracies</t>
  </si>
  <si>
    <t>Narrative Research</t>
  </si>
  <si>
    <t>Nation at Risk, A</t>
  </si>
  <si>
    <t>National Board for Professional Teaching Standards (NBPTS)</t>
  </si>
  <si>
    <t>National Center for Education Statistics (NCES)</t>
  </si>
  <si>
    <t>National Defense Education Act (NDEA)</t>
  </si>
  <si>
    <t>Neuroscience and Learning</t>
  </si>
  <si>
    <t>Normal Distribution</t>
  </si>
  <si>
    <t>Normal Schools</t>
  </si>
  <si>
    <t>OpenCourseWare</t>
  </si>
  <si>
    <t>Opportunity to Learn</t>
  </si>
  <si>
    <t>Organisation for Economic Co-operation and Development</t>
  </si>
  <si>
    <t>Parent Teacher Associations/Organizations</t>
  </si>
  <si>
    <t>Parental Rights</t>
  </si>
  <si>
    <t>Pay for Performance</t>
  </si>
  <si>
    <t>Peace Education</t>
  </si>
  <si>
    <t>Pedagogical Knowledge</t>
  </si>
  <si>
    <t>Performance-Based Assessment</t>
  </si>
  <si>
    <t>Philanthropy in Education</t>
  </si>
  <si>
    <t>Pledge of Allegiance</t>
  </si>
  <si>
    <t>Popper, Karl</t>
  </si>
  <si>
    <t>Prayer in School</t>
  </si>
  <si>
    <t>Project Method</t>
  </si>
  <si>
    <t>Pygmalion Effect</t>
  </si>
  <si>
    <t>Quantitative Research</t>
  </si>
  <si>
    <t>Race to the Top</t>
  </si>
  <si>
    <t>Recess</t>
  </si>
  <si>
    <t>Reduction in Force</t>
  </si>
  <si>
    <t>Response to Intervention (RTI)</t>
  </si>
  <si>
    <t>Rubrics</t>
  </si>
  <si>
    <t>Rugg, Harold</t>
  </si>
  <si>
    <t>Russell, Bertrand</t>
  </si>
  <si>
    <t>San Antonio Independent School District v. Rodriguez</t>
  </si>
  <si>
    <t>Scaffolding</t>
  </si>
  <si>
    <t>School Boards</t>
  </si>
  <si>
    <t>School Finance Litigation</t>
  </si>
  <si>
    <t>School-Based Decision Making</t>
  </si>
  <si>
    <t>School-Wide Positive Behavior Support</t>
  </si>
  <si>
    <t>Section 504 of the Rehabilitation Act</t>
  </si>
  <si>
    <t>De Facto Segregation</t>
  </si>
  <si>
    <t>Selection Bias</t>
  </si>
  <si>
    <t>Self-Efficacy</t>
  </si>
  <si>
    <t>Self-Regulated Learning</t>
  </si>
  <si>
    <t>Sensory Development</t>
  </si>
  <si>
    <t>Fieldwork</t>
  </si>
  <si>
    <t>Type</t>
  </si>
  <si>
    <t>Building New Neural Networks, 5.1: Dynamic Skill Development, in Neuroscience &amp; the Classroom: Making Connections, Episode 33</t>
  </si>
  <si>
    <t>Building New Neural Networks, 5.2: DiscoTests_A New Approach to Assessment, in Neuroscience &amp; the Classroom: Making Connections, Episode 34</t>
  </si>
  <si>
    <t>Building New Neural Networks, 5.3: Johanna and Her Mother, in Neuroscience &amp; the Classroom: Making Connections, Episode 35</t>
  </si>
  <si>
    <t>Building New Neural Networks, 5.4: Scaffolding_Johanna and Her Mother with Commentary, in Neuroscience &amp; the Classroom: Making Connections, Episode 36</t>
  </si>
  <si>
    <t>Different Brains, 1.1: A Brief History of Neuroscience, in Neuroscience &amp; the Classroom: Making Connections, Episode 5</t>
  </si>
  <si>
    <t>Different Brains, 1.2: Tools of Neuroscience_EEG, in Neuroscience &amp; the Classroom: Making Connections, Episode 6</t>
  </si>
  <si>
    <t>Different Brains, 1.3: Tools of Neuroscience_MRI_fMRI, in Neuroscience &amp; the Classroom: Making Connections, 7</t>
  </si>
  <si>
    <t>Different Brains, 1.4: Reading a Word, in Neuroscience &amp; the Classroom: Making Connections, Episode 8</t>
  </si>
  <si>
    <t>Different Brains, 1.5: Tools of Neuroscience_MEG, in Neuroscience &amp; the Classroom: Making Connections, 9</t>
  </si>
  <si>
    <t>Different Brains, 1.6: Brooke's Story, in Neuroscience &amp; the Classroom: Making Connections, 10</t>
  </si>
  <si>
    <t>Different Brains, 1.7: Nico's Story, in Neuroscience &amp; the Classroom: Making Connections, 11</t>
  </si>
  <si>
    <t>Different Brains, 1.8: A Tale of Two Cases_Brooke and Nico, in Neuroscience &amp; the Classroom: Making Connections, 12</t>
  </si>
  <si>
    <t>Different Learners, Different Minds, 4.1: Warm Jackets Generate Heat, in Neuroscience &amp; the Classroom: Making Connections, Episode 22</t>
  </si>
  <si>
    <t>Different Learners, Different Minds, 4.10: Success Story_Dr. Temple Grandin, in Neuroscience &amp; the Classroom: Making Connections, Episode 31</t>
  </si>
  <si>
    <t>Different Learners, Different Minds, 4.11: Reading with Half a Brain, in Neuroscience &amp; the Classroom: Making Connections, Episode 32</t>
  </si>
  <si>
    <t>Different Learners, Different Minds, 4.2: Turning Tables at Gallaudet University_What is Normal, in Neuroscience &amp; the Classroom: Making Connections, Episode 23</t>
  </si>
  <si>
    <t>Different Learners, Different Minds, 4.3: Success Story_Dr. Stephen Shore, in Neuroscience &amp; the Classroom: Making Connections, Episode 24</t>
  </si>
  <si>
    <t>Different Learners, Different Minds, 4.4: Attention and Magic, in Neuroscience &amp; the Classroom: Making Connections, Episode 25</t>
  </si>
  <si>
    <t>Different Learners, Different Minds, 4.5: Working Memory and Attention, in Neuroscience &amp; the Classroom: Making Connections, Episode 26</t>
  </si>
  <si>
    <t>Different Learners, Different Minds, 4.6: Implicit Learning, in Neuroscience &amp; the Classroom: Making Connections, Episode 27</t>
  </si>
  <si>
    <t>Different Learners, Different Minds, 4.7: Success Story_Kent Sinclair, in Neuroscience &amp; the Classroom: Making Connections, Episode 28</t>
  </si>
  <si>
    <t>Different Learners, Different Minds, 4.8: Success Story_Dr. Alexander Goldowsky, in Neuroscience &amp; the Classroom: Making Connections, Episode 29</t>
  </si>
  <si>
    <t>Different Learners, Different Minds, 4.9: Success Story_Dr. Todd Rose, in Neuroscience &amp; the Classroom: Making Connections, Episode 30</t>
  </si>
  <si>
    <t>Implications For Schools, 6.1: Emotional Connections in Math and Science, in Neuroscience &amp; the Classroom: Making Connections, Episode 37</t>
  </si>
  <si>
    <t>Implications For Schools, 6.2: Engaging Native Alaskan Students, in Neuroscience &amp; the Classroom: Making Connections, Episode 38</t>
  </si>
  <si>
    <t>Implications For Schools, 6.3: Technology for Every Student, in Neuroscience &amp; the Classroom: Making Connections, Episode 39</t>
  </si>
  <si>
    <t>Implications For Schools, 6.4: The Montessori Approach, in Neuroscience &amp; the Classroom: Making Connections, Episode 40</t>
  </si>
  <si>
    <t>Implications For Schools, 6.5: Montessori and Dynamic Skill Theory, in Neuroscience &amp; the Classroom: Making Connections, Episode 41</t>
  </si>
  <si>
    <t>Implications For Schools, 6.6: Perspective Shifting in Math, in Neuroscience &amp; the Classroom: Making Connections, Episode 42</t>
  </si>
  <si>
    <t>Implications For Schools, 6.7: Students Think for Themselves, in Neuroscience &amp; the Classroom: Making Connections, Episode 43</t>
  </si>
  <si>
    <t>Introduction, 0.0: The Art and Science of Teaching, in Neuroscience &amp; the Classroom: Making Connections, 1</t>
  </si>
  <si>
    <t>Introduction, 0.1: It Has to Make Sense, in Neuroscience &amp; the Classroom: Making Connections, 2</t>
  </si>
  <si>
    <t>Introduction, 0.2: Mind, Brain and Education, in Neuroscience &amp; the Classroom: Making Connections, 3</t>
  </si>
  <si>
    <t>Introduction, 0.3: Collaboration, in Neuroscience &amp; the Classroom: Making Connections, 4</t>
  </si>
  <si>
    <t>Seeing Others from the Self, 3.1: Music and Emotion, in Neuroscience &amp; the Classroom: Making Connections, Episode 18</t>
  </si>
  <si>
    <t>Seeing Others from the Self, 3.2: Using Emotional Content in the History Classroom, in Neuroscience &amp; the Classroom: Making Connections, Episode 19</t>
  </si>
  <si>
    <t>Seeing Others from the Self, 3.3: Empathy, in Neuroscience &amp; the Classroom: Making Connections, Episode 20</t>
  </si>
  <si>
    <t>Seeing Others from the Self, 3.4: Peer Mentoring, in Neuroscience &amp; the Classroom: Making Connections, Episode 21</t>
  </si>
  <si>
    <t>The Unity of Emotion, Thinking, and Learning, 2.1: Measuring Emotional Response to Physics, in Neuroscience &amp; the Classroom: Making Connections, Episode 13</t>
  </si>
  <si>
    <t>The Unity of Emotion, Thinking, and Learning, 2.2: Good Idea, in Neuroscience &amp; the Classroom: Making Connections, Episode 14</t>
  </si>
  <si>
    <t>The Unity of Emotion, Thinking, and Learning, 2.3: Depth of Field, in Neuroscience &amp; the Classroom: Making Connections, Episode 15</t>
  </si>
  <si>
    <t>The Unity of Emotion, Thinking, and Learning, 2.4: Emotion in Math, in Neuroscience &amp; the Classroom: Making Connections, Episode 16</t>
  </si>
  <si>
    <t>The Unity of Emotion, Thinking, and Learning, 2.5: Emotion and Cognition_A Neuroscientict's Perspective, in Neuroscience &amp; the Classroom: Making Connections, Episode 17</t>
  </si>
  <si>
    <t>Morality: Judgments &amp; Action</t>
  </si>
  <si>
    <t>Counting &amp; Estimating</t>
  </si>
  <si>
    <t>Niamh's Halves, Quarters &amp; Eighths</t>
  </si>
  <si>
    <t>Observation, Assessment &amp; Planning</t>
  </si>
  <si>
    <t>Playing &amp; Exploring: Being Willing To Have A Go</t>
  </si>
  <si>
    <t>Playing &amp; Exploring: Exploring</t>
  </si>
  <si>
    <t>Playing &amp; Exploring: Introduction</t>
  </si>
  <si>
    <t>Playing &amp; Exploring: Playing With What They Know</t>
  </si>
  <si>
    <t>Robert Winston Talks About Early Education, Gender, Music &amp; Science</t>
  </si>
  <si>
    <t>Skye: Collecting &amp; Transporting</t>
  </si>
  <si>
    <t>Victoria: Swinging &amp; Singing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</si>
</sst>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m\-yyyy"/>
  </numFmts>
  <fonts count="8" x14ac:knownFonts="1">
    <font>
      <sz val="10"/>
      <name val="Arial"/>
    </font>
    <font>
      <b/>
      <sz val="16"/>
      <name val="Calibri"/>
      <family val="2"/>
    </font>
    <font>
      <sz val="10"/>
      <name val="Calibri"/>
      <family val="2"/>
    </font>
    <font>
      <b/>
      <sz val="11"/>
      <name val="Calibri"/>
      <family val="2"/>
    </font>
    <font>
      <sz val="10"/>
      <name val="Calibri"/>
      <family val="2"/>
    </font>
    <font>
      <b/>
      <sz val="11"/>
      <color theme="1"/>
      <name val="Calibri"/>
      <family val="2"/>
      <scheme val="minor"/>
    </font>
    <font>
      <b/>
      <sz val="11"/>
      <color rgb="FF000000"/>
      <name val="Calibri"/>
      <family val="2"/>
    </font>
    <font>
      <sz val="11"/>
      <name val="Calibri"/>
      <family val="2"/>
      <scheme val="minor"/>
    </font>
  </fonts>
  <fills count="2">
    <fill>
      <patternFill patternType="none"/>
    </fill>
    <fill>
      <patternFill patternType="gray125"/>
    </fill>
  </fills>
  <borders count="4">
    <border>
      <left/>
      <right/>
      <top/>
      <bottom/>
      <diagonal/>
    </border>
    <border>
      <left/>
      <right/>
      <top style="medium">
        <color indexed="8"/>
      </top>
      <bottom style="medium">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15">
    <xf numFmtId="0" fontId="0" fillId="0" borderId="0" xfId="0"/>
    <xf numFmtId="0" fontId="3" fillId="0" borderId="1" xfId="0" applyFont="1" applyBorder="1"/>
    <xf numFmtId="0" fontId="3" fillId="0" borderId="1" xfId="0" applyFont="1" applyBorder="1" applyAlignment="1">
      <alignment horizontal="center" wrapText="1"/>
    </xf>
    <xf numFmtId="164" fontId="4" fillId="0" borderId="0" xfId="0" applyNumberFormat="1" applyFont="1" applyAlignment="1">
      <alignment horizontal="center"/>
    </xf>
    <xf numFmtId="0" fontId="4" fillId="0" borderId="0" xfId="0" applyFont="1" applyAlignment="1">
      <alignment horizontal="left" wrapText="1"/>
    </xf>
    <xf numFmtId="0" fontId="4" fillId="0" borderId="0" xfId="0" applyFont="1" applyAlignment="1">
      <alignment horizontal="center"/>
    </xf>
    <xf numFmtId="0" fontId="5" fillId="0" borderId="2" xfId="0" applyFont="1" applyBorder="1" applyAlignment="1">
      <alignment horizontal="left"/>
    </xf>
    <xf numFmtId="0" fontId="6" fillId="0" borderId="2" xfId="0" applyFont="1" applyBorder="1" applyAlignment="1">
      <alignment horizontal="left"/>
    </xf>
    <xf numFmtId="0" fontId="7" fillId="0" borderId="2" xfId="0" applyFont="1" applyBorder="1" applyAlignment="1">
      <alignment horizontal="left"/>
    </xf>
    <xf numFmtId="0" fontId="7" fillId="0" borderId="3" xfId="0" applyFont="1" applyBorder="1" applyAlignment="1">
      <alignment horizontal="left"/>
    </xf>
    <xf numFmtId="0" fontId="7" fillId="0" borderId="2" xfId="0" applyFont="1" applyBorder="1"/>
    <xf numFmtId="14" fontId="7" fillId="0" borderId="2" xfId="0" applyNumberFormat="1" applyFont="1" applyBorder="1"/>
    <xf numFmtId="16" fontId="7" fillId="0" borderId="2" xfId="0" applyNumberFormat="1" applyFont="1" applyBorder="1"/>
    <xf numFmtId="0" fontId="2" fillId="0" borderId="0" xfId="0" applyFont="1" applyAlignment="1">
      <alignment vertical="center" wrapText="1"/>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1670"/>
  <sheetViews>
    <sheetView tabSelected="1" zoomScale="85" workbookViewId="0">
      <selection sqref="A1:AT1"/>
    </sheetView>
  </sheetViews>
  <sheetFormatPr defaultRowHeight="12.75" customHeight="1" x14ac:dyDescent="0.25"/>
  <cols>
    <col min="1" max="5" width="30" customWidth="1"/>
    <col min="6" max="41" width="11.6328125" customWidth="1"/>
    <col min="42" max="43" width="16" customWidth="1"/>
    <col min="44" max="45" width="11.6328125" customWidth="1"/>
    <col min="46" max="46" width="30" customWidth="1"/>
    <col min="47" max="256" width="11.6328125" customWidth="1"/>
  </cols>
  <sheetData>
    <row r="1" spans="1:46" ht="76.5" customHeight="1" x14ac:dyDescent="0.25">
      <c r="A1" s="13" t="s">
        <v>6296</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row>
    <row r="2" spans="1:46" s="1" customFormat="1" ht="51" customHeight="1" x14ac:dyDescent="0.35">
      <c r="A2" s="1" t="s">
        <v>0</v>
      </c>
      <c r="B2" s="1" t="s">
        <v>1</v>
      </c>
      <c r="C2" s="1" t="s">
        <v>2</v>
      </c>
      <c r="D2" s="1" t="s">
        <v>3</v>
      </c>
      <c r="E2" s="1" t="s">
        <v>4</v>
      </c>
      <c r="F2" s="2" t="s">
        <v>5</v>
      </c>
      <c r="G2" s="2" t="s">
        <v>6</v>
      </c>
      <c r="H2" s="2" t="s">
        <v>7</v>
      </c>
      <c r="I2" s="2" t="s">
        <v>8</v>
      </c>
      <c r="J2" s="2" t="s">
        <v>9</v>
      </c>
      <c r="K2" s="2" t="s">
        <v>10</v>
      </c>
      <c r="L2" s="2" t="s">
        <v>11</v>
      </c>
      <c r="M2" s="2" t="s">
        <v>12</v>
      </c>
      <c r="N2" s="2" t="s">
        <v>13</v>
      </c>
      <c r="O2" s="2" t="s">
        <v>14</v>
      </c>
      <c r="P2" s="2" t="s">
        <v>15</v>
      </c>
      <c r="Q2" s="2" t="s">
        <v>16</v>
      </c>
      <c r="R2" s="2" t="s">
        <v>17</v>
      </c>
      <c r="S2" s="2" t="s">
        <v>18</v>
      </c>
      <c r="T2" s="2" t="s">
        <v>19</v>
      </c>
      <c r="U2" s="2" t="s">
        <v>20</v>
      </c>
      <c r="V2" s="2" t="s">
        <v>21</v>
      </c>
      <c r="W2" s="2" t="s">
        <v>22</v>
      </c>
      <c r="X2" s="2" t="s">
        <v>23</v>
      </c>
      <c r="Y2" s="2" t="s">
        <v>24</v>
      </c>
      <c r="Z2" s="2" t="s">
        <v>25</v>
      </c>
      <c r="AA2" s="2" t="s">
        <v>26</v>
      </c>
      <c r="AB2" s="2" t="s">
        <v>27</v>
      </c>
      <c r="AC2" s="2" t="s">
        <v>28</v>
      </c>
      <c r="AD2" s="2" t="s">
        <v>29</v>
      </c>
      <c r="AE2" s="2" t="s">
        <v>30</v>
      </c>
      <c r="AF2" s="2" t="s">
        <v>31</v>
      </c>
      <c r="AG2" s="2" t="s">
        <v>32</v>
      </c>
      <c r="AH2" s="2" t="s">
        <v>33</v>
      </c>
      <c r="AI2" s="2" t="s">
        <v>34</v>
      </c>
      <c r="AJ2" s="2" t="s">
        <v>35</v>
      </c>
      <c r="AK2" s="2" t="s">
        <v>36</v>
      </c>
      <c r="AL2" s="2" t="s">
        <v>37</v>
      </c>
      <c r="AM2" s="2" t="s">
        <v>38</v>
      </c>
      <c r="AN2" s="2" t="s">
        <v>39</v>
      </c>
      <c r="AO2" s="2" t="s">
        <v>40</v>
      </c>
      <c r="AP2" s="1" t="s">
        <v>41</v>
      </c>
      <c r="AQ2" s="1" t="s">
        <v>42</v>
      </c>
      <c r="AR2" s="1" t="s">
        <v>43</v>
      </c>
      <c r="AS2" s="2" t="s">
        <v>44</v>
      </c>
      <c r="AT2" s="1" t="s">
        <v>45</v>
      </c>
    </row>
    <row r="3" spans="1:46" ht="26" x14ac:dyDescent="0.3">
      <c r="A3" s="4" t="s">
        <v>46</v>
      </c>
      <c r="B3" t="s">
        <v>47</v>
      </c>
      <c r="C3" s="4" t="s">
        <v>48</v>
      </c>
      <c r="D3" t="s">
        <v>47</v>
      </c>
      <c r="E3" s="4" t="s">
        <v>49</v>
      </c>
      <c r="F3" t="s">
        <v>47</v>
      </c>
      <c r="G3" t="s">
        <v>47</v>
      </c>
      <c r="H3" t="s">
        <v>47</v>
      </c>
      <c r="I3" s="3">
        <v>44343</v>
      </c>
      <c r="J3" s="5" t="s">
        <v>50</v>
      </c>
      <c r="K3" t="s">
        <v>47</v>
      </c>
      <c r="L3" s="5" t="s">
        <v>51</v>
      </c>
      <c r="M3" s="3">
        <v>44343</v>
      </c>
      <c r="N3" s="5" t="s">
        <v>50</v>
      </c>
      <c r="O3" t="s">
        <v>47</v>
      </c>
      <c r="P3" t="s">
        <v>47</v>
      </c>
      <c r="Q3" t="s">
        <v>47</v>
      </c>
      <c r="R3" t="s">
        <v>47</v>
      </c>
      <c r="S3" t="s">
        <v>47</v>
      </c>
      <c r="T3" t="s">
        <v>47</v>
      </c>
      <c r="U3" t="s">
        <v>47</v>
      </c>
      <c r="V3" t="s">
        <v>47</v>
      </c>
      <c r="W3" s="3">
        <v>44343</v>
      </c>
      <c r="X3" s="5" t="s">
        <v>50</v>
      </c>
      <c r="Y3" t="s">
        <v>47</v>
      </c>
      <c r="Z3" s="3">
        <v>44343</v>
      </c>
      <c r="AA3" s="5" t="s">
        <v>50</v>
      </c>
      <c r="AB3" t="s">
        <v>47</v>
      </c>
      <c r="AC3" t="s">
        <v>47</v>
      </c>
      <c r="AD3" t="s">
        <v>47</v>
      </c>
      <c r="AE3" t="s">
        <v>47</v>
      </c>
      <c r="AF3" t="s">
        <v>47</v>
      </c>
      <c r="AG3" t="s">
        <v>47</v>
      </c>
      <c r="AH3" t="s">
        <v>47</v>
      </c>
      <c r="AI3" t="s">
        <v>47</v>
      </c>
      <c r="AJ3" t="s">
        <v>47</v>
      </c>
      <c r="AK3" t="s">
        <v>47</v>
      </c>
      <c r="AL3" t="s">
        <v>47</v>
      </c>
      <c r="AM3" t="s">
        <v>47</v>
      </c>
      <c r="AN3" t="s">
        <v>47</v>
      </c>
      <c r="AO3" s="5" t="s">
        <v>51</v>
      </c>
      <c r="AP3" s="4" t="s">
        <v>52</v>
      </c>
      <c r="AQ3" s="4" t="s">
        <v>53</v>
      </c>
      <c r="AR3" s="4" t="s">
        <v>54</v>
      </c>
      <c r="AS3" s="5">
        <v>5341728</v>
      </c>
      <c r="AT3" t="s">
        <v>47</v>
      </c>
    </row>
    <row r="4" spans="1:46" ht="39" x14ac:dyDescent="0.3">
      <c r="A4" s="4" t="s">
        <v>55</v>
      </c>
      <c r="B4" t="s">
        <v>47</v>
      </c>
      <c r="C4" s="4" t="s">
        <v>56</v>
      </c>
      <c r="D4" s="4" t="s">
        <v>57</v>
      </c>
      <c r="E4" s="4" t="s">
        <v>58</v>
      </c>
      <c r="F4" t="s">
        <v>47</v>
      </c>
      <c r="G4" s="5" t="s">
        <v>59</v>
      </c>
      <c r="H4" t="s">
        <v>47</v>
      </c>
      <c r="I4" s="3">
        <v>41061</v>
      </c>
      <c r="J4" s="3">
        <v>41609</v>
      </c>
      <c r="K4" t="s">
        <v>47</v>
      </c>
      <c r="L4" s="5" t="s">
        <v>60</v>
      </c>
      <c r="M4" s="3">
        <v>41061</v>
      </c>
      <c r="N4" s="3">
        <v>41609</v>
      </c>
      <c r="O4" t="s">
        <v>47</v>
      </c>
      <c r="P4" s="3">
        <v>41061</v>
      </c>
      <c r="Q4" s="3">
        <v>41609</v>
      </c>
      <c r="R4" t="s">
        <v>47</v>
      </c>
      <c r="S4" t="s">
        <v>47</v>
      </c>
      <c r="T4" t="s">
        <v>47</v>
      </c>
      <c r="U4" t="s">
        <v>47</v>
      </c>
      <c r="V4" t="s">
        <v>47</v>
      </c>
      <c r="W4" s="3">
        <v>41061</v>
      </c>
      <c r="X4" s="3">
        <v>41609</v>
      </c>
      <c r="Y4" t="s">
        <v>47</v>
      </c>
      <c r="Z4" s="3">
        <v>41061</v>
      </c>
      <c r="AA4" s="3">
        <v>41609</v>
      </c>
      <c r="AB4" t="s">
        <v>47</v>
      </c>
      <c r="AC4" s="3">
        <v>41061</v>
      </c>
      <c r="AD4" s="3">
        <v>41609</v>
      </c>
      <c r="AE4" t="s">
        <v>47</v>
      </c>
      <c r="AF4" t="s">
        <v>47</v>
      </c>
      <c r="AG4" t="s">
        <v>47</v>
      </c>
      <c r="AH4" t="s">
        <v>47</v>
      </c>
      <c r="AI4" t="s">
        <v>47</v>
      </c>
      <c r="AJ4" t="s">
        <v>47</v>
      </c>
      <c r="AK4" t="s">
        <v>47</v>
      </c>
      <c r="AL4" t="s">
        <v>47</v>
      </c>
      <c r="AM4" t="s">
        <v>47</v>
      </c>
      <c r="AN4" t="s">
        <v>47</v>
      </c>
      <c r="AO4" s="5" t="s">
        <v>60</v>
      </c>
      <c r="AP4" s="4" t="s">
        <v>61</v>
      </c>
      <c r="AQ4" s="4" t="s">
        <v>53</v>
      </c>
      <c r="AR4" s="4" t="s">
        <v>62</v>
      </c>
      <c r="AS4" s="5">
        <v>1766335</v>
      </c>
      <c r="AT4" t="s">
        <v>47</v>
      </c>
    </row>
    <row r="5" spans="1:46" ht="13" x14ac:dyDescent="0.3">
      <c r="A5" s="4" t="s">
        <v>63</v>
      </c>
      <c r="B5" t="s">
        <v>47</v>
      </c>
      <c r="C5" s="4" t="s">
        <v>64</v>
      </c>
      <c r="D5" s="4" t="s">
        <v>65</v>
      </c>
      <c r="E5" s="4" t="s">
        <v>66</v>
      </c>
      <c r="F5" t="s">
        <v>47</v>
      </c>
      <c r="G5" s="5" t="s">
        <v>67</v>
      </c>
      <c r="H5" t="s">
        <v>47</v>
      </c>
      <c r="I5" s="3">
        <v>43101</v>
      </c>
      <c r="J5" s="5" t="s">
        <v>50</v>
      </c>
      <c r="K5" t="s">
        <v>47</v>
      </c>
      <c r="L5" s="5" t="s">
        <v>60</v>
      </c>
      <c r="M5" t="s">
        <v>47</v>
      </c>
      <c r="N5" t="s">
        <v>47</v>
      </c>
      <c r="O5" t="s">
        <v>47</v>
      </c>
      <c r="P5" t="s">
        <v>47</v>
      </c>
      <c r="Q5" t="s">
        <v>47</v>
      </c>
      <c r="R5" t="s">
        <v>47</v>
      </c>
      <c r="S5" s="3">
        <v>43101</v>
      </c>
      <c r="T5" s="5" t="s">
        <v>50</v>
      </c>
      <c r="U5" t="s">
        <v>47</v>
      </c>
      <c r="V5" t="s">
        <v>47</v>
      </c>
      <c r="W5" s="3">
        <v>43101</v>
      </c>
      <c r="X5" s="5" t="s">
        <v>50</v>
      </c>
      <c r="Y5" t="s">
        <v>47</v>
      </c>
      <c r="Z5" s="3">
        <v>43101</v>
      </c>
      <c r="AA5" s="5" t="s">
        <v>50</v>
      </c>
      <c r="AB5" t="s">
        <v>47</v>
      </c>
      <c r="AC5" s="3">
        <v>43101</v>
      </c>
      <c r="AD5" s="5" t="s">
        <v>50</v>
      </c>
      <c r="AE5" t="s">
        <v>47</v>
      </c>
      <c r="AF5" t="s">
        <v>47</v>
      </c>
      <c r="AG5" t="s">
        <v>47</v>
      </c>
      <c r="AH5" t="s">
        <v>47</v>
      </c>
      <c r="AI5" t="s">
        <v>47</v>
      </c>
      <c r="AJ5" t="s">
        <v>47</v>
      </c>
      <c r="AK5" t="s">
        <v>47</v>
      </c>
      <c r="AL5" t="s">
        <v>47</v>
      </c>
      <c r="AM5" t="s">
        <v>47</v>
      </c>
      <c r="AN5" t="s">
        <v>47</v>
      </c>
      <c r="AO5" s="5" t="s">
        <v>60</v>
      </c>
      <c r="AP5" s="4" t="s">
        <v>61</v>
      </c>
      <c r="AQ5" s="4" t="s">
        <v>53</v>
      </c>
      <c r="AR5" s="4" t="s">
        <v>54</v>
      </c>
      <c r="AS5" s="5">
        <v>4450823</v>
      </c>
      <c r="AT5" t="s">
        <v>47</v>
      </c>
    </row>
    <row r="6" spans="1:46" ht="130" x14ac:dyDescent="0.3">
      <c r="A6" s="4" t="s">
        <v>68</v>
      </c>
      <c r="B6" t="s">
        <v>47</v>
      </c>
      <c r="C6" s="4" t="s">
        <v>69</v>
      </c>
      <c r="D6" s="4" t="s">
        <v>70</v>
      </c>
      <c r="E6" s="4" t="s">
        <v>49</v>
      </c>
      <c r="F6" s="5" t="s">
        <v>71</v>
      </c>
      <c r="G6" s="5" t="s">
        <v>72</v>
      </c>
      <c r="H6" t="s">
        <v>47</v>
      </c>
      <c r="I6" s="3">
        <v>36008</v>
      </c>
      <c r="J6" s="3">
        <v>43070</v>
      </c>
      <c r="K6" t="s">
        <v>47</v>
      </c>
      <c r="L6" s="5" t="s">
        <v>60</v>
      </c>
      <c r="M6" s="3">
        <v>36008</v>
      </c>
      <c r="N6" s="3">
        <v>40269</v>
      </c>
      <c r="O6" t="s">
        <v>47</v>
      </c>
      <c r="P6" s="3">
        <v>36008</v>
      </c>
      <c r="Q6" s="3">
        <v>43070</v>
      </c>
      <c r="R6" t="s">
        <v>47</v>
      </c>
      <c r="S6" t="s">
        <v>47</v>
      </c>
      <c r="T6" t="s">
        <v>47</v>
      </c>
      <c r="U6" t="s">
        <v>47</v>
      </c>
      <c r="V6" t="s">
        <v>47</v>
      </c>
      <c r="W6" s="3">
        <v>36008</v>
      </c>
      <c r="X6" s="5" t="s">
        <v>50</v>
      </c>
      <c r="Y6" t="s">
        <v>47</v>
      </c>
      <c r="Z6" s="3">
        <v>36008</v>
      </c>
      <c r="AA6" s="5" t="s">
        <v>50</v>
      </c>
      <c r="AB6" t="s">
        <v>47</v>
      </c>
      <c r="AC6" s="3">
        <v>36008</v>
      </c>
      <c r="AD6" s="5" t="s">
        <v>50</v>
      </c>
      <c r="AE6" t="s">
        <v>47</v>
      </c>
      <c r="AF6" t="s">
        <v>47</v>
      </c>
      <c r="AG6" t="s">
        <v>47</v>
      </c>
      <c r="AH6" t="s">
        <v>47</v>
      </c>
      <c r="AI6" t="s">
        <v>47</v>
      </c>
      <c r="AJ6" t="s">
        <v>47</v>
      </c>
      <c r="AK6" t="s">
        <v>47</v>
      </c>
      <c r="AL6" t="s">
        <v>47</v>
      </c>
      <c r="AM6" t="s">
        <v>47</v>
      </c>
      <c r="AN6" t="s">
        <v>47</v>
      </c>
      <c r="AO6" s="5" t="s">
        <v>60</v>
      </c>
      <c r="AP6" s="4" t="s">
        <v>61</v>
      </c>
      <c r="AQ6" s="4" t="s">
        <v>53</v>
      </c>
      <c r="AR6" s="4" t="s">
        <v>73</v>
      </c>
      <c r="AS6" s="5">
        <v>32604</v>
      </c>
      <c r="AT6" t="s">
        <v>47</v>
      </c>
    </row>
    <row r="7" spans="1:46" ht="78" x14ac:dyDescent="0.3">
      <c r="A7" s="4" t="s">
        <v>74</v>
      </c>
      <c r="B7" t="s">
        <v>47</v>
      </c>
      <c r="C7" s="4" t="s">
        <v>75</v>
      </c>
      <c r="D7" s="4" t="s">
        <v>76</v>
      </c>
      <c r="E7" s="4" t="s">
        <v>49</v>
      </c>
      <c r="F7" s="5" t="s">
        <v>77</v>
      </c>
      <c r="G7" s="5" t="s">
        <v>78</v>
      </c>
      <c r="H7" t="s">
        <v>47</v>
      </c>
      <c r="I7" s="3">
        <v>37530</v>
      </c>
      <c r="J7" s="3">
        <v>40360</v>
      </c>
      <c r="K7" t="s">
        <v>47</v>
      </c>
      <c r="L7" s="5" t="s">
        <v>60</v>
      </c>
      <c r="M7" s="3">
        <v>37530</v>
      </c>
      <c r="N7" s="3">
        <v>40360</v>
      </c>
      <c r="O7" t="s">
        <v>47</v>
      </c>
      <c r="P7" s="3">
        <v>37530</v>
      </c>
      <c r="Q7" s="3">
        <v>40360</v>
      </c>
      <c r="R7" t="s">
        <v>47</v>
      </c>
      <c r="S7" t="s">
        <v>47</v>
      </c>
      <c r="T7" t="s">
        <v>47</v>
      </c>
      <c r="U7" t="s">
        <v>47</v>
      </c>
      <c r="V7" t="s">
        <v>47</v>
      </c>
      <c r="W7" s="3">
        <v>37530</v>
      </c>
      <c r="X7" s="3">
        <v>40360</v>
      </c>
      <c r="Y7" t="s">
        <v>47</v>
      </c>
      <c r="Z7" s="3">
        <v>37530</v>
      </c>
      <c r="AA7" s="3">
        <v>40360</v>
      </c>
      <c r="AB7" t="s">
        <v>47</v>
      </c>
      <c r="AC7" s="3">
        <v>37530</v>
      </c>
      <c r="AD7" s="3">
        <v>40360</v>
      </c>
      <c r="AE7" t="s">
        <v>47</v>
      </c>
      <c r="AF7" t="s">
        <v>47</v>
      </c>
      <c r="AG7" t="s">
        <v>47</v>
      </c>
      <c r="AH7" t="s">
        <v>47</v>
      </c>
      <c r="AI7" t="s">
        <v>47</v>
      </c>
      <c r="AJ7" t="s">
        <v>47</v>
      </c>
      <c r="AK7" t="s">
        <v>47</v>
      </c>
      <c r="AL7" t="s">
        <v>47</v>
      </c>
      <c r="AM7" t="s">
        <v>47</v>
      </c>
      <c r="AN7" t="s">
        <v>47</v>
      </c>
      <c r="AO7" s="5" t="s">
        <v>60</v>
      </c>
      <c r="AP7" s="4" t="s">
        <v>61</v>
      </c>
      <c r="AQ7" s="4" t="s">
        <v>53</v>
      </c>
      <c r="AR7" s="4" t="s">
        <v>79</v>
      </c>
      <c r="AS7" s="5">
        <v>26295</v>
      </c>
      <c r="AT7" t="s">
        <v>47</v>
      </c>
    </row>
    <row r="8" spans="1:46" ht="26" x14ac:dyDescent="0.3">
      <c r="A8" s="4" t="s">
        <v>80</v>
      </c>
      <c r="B8" t="s">
        <v>47</v>
      </c>
      <c r="C8" s="4" t="s">
        <v>81</v>
      </c>
      <c r="D8" s="4" t="s">
        <v>82</v>
      </c>
      <c r="E8" s="4" t="s">
        <v>49</v>
      </c>
      <c r="F8" s="5" t="s">
        <v>83</v>
      </c>
      <c r="G8" s="5" t="s">
        <v>84</v>
      </c>
      <c r="H8" t="s">
        <v>47</v>
      </c>
      <c r="I8" s="3">
        <v>41487</v>
      </c>
      <c r="J8" s="3">
        <v>44105</v>
      </c>
      <c r="K8" t="s">
        <v>47</v>
      </c>
      <c r="L8" s="5" t="s">
        <v>51</v>
      </c>
      <c r="M8" s="3">
        <v>41487</v>
      </c>
      <c r="N8" s="3">
        <v>44105</v>
      </c>
      <c r="O8" t="s">
        <v>47</v>
      </c>
      <c r="P8" s="3">
        <v>41487</v>
      </c>
      <c r="Q8" s="3">
        <v>44105</v>
      </c>
      <c r="R8" t="s">
        <v>47</v>
      </c>
      <c r="S8" t="s">
        <v>47</v>
      </c>
      <c r="T8" t="s">
        <v>47</v>
      </c>
      <c r="U8" t="s">
        <v>47</v>
      </c>
      <c r="V8" t="s">
        <v>47</v>
      </c>
      <c r="W8" s="3">
        <v>41487</v>
      </c>
      <c r="X8" s="3">
        <v>44105</v>
      </c>
      <c r="Y8" t="s">
        <v>47</v>
      </c>
      <c r="Z8" s="3">
        <v>41487</v>
      </c>
      <c r="AA8" s="3">
        <v>44105</v>
      </c>
      <c r="AB8" t="s">
        <v>47</v>
      </c>
      <c r="AC8" s="3">
        <v>41487</v>
      </c>
      <c r="AD8" s="3">
        <v>44105</v>
      </c>
      <c r="AE8" t="s">
        <v>47</v>
      </c>
      <c r="AF8" t="s">
        <v>47</v>
      </c>
      <c r="AG8" t="s">
        <v>47</v>
      </c>
      <c r="AH8" t="s">
        <v>47</v>
      </c>
      <c r="AI8" t="s">
        <v>47</v>
      </c>
      <c r="AJ8" t="s">
        <v>47</v>
      </c>
      <c r="AK8" t="s">
        <v>47</v>
      </c>
      <c r="AL8" t="s">
        <v>47</v>
      </c>
      <c r="AM8" t="s">
        <v>47</v>
      </c>
      <c r="AN8" t="s">
        <v>47</v>
      </c>
      <c r="AO8" s="5" t="s">
        <v>51</v>
      </c>
      <c r="AP8" s="4" t="s">
        <v>85</v>
      </c>
      <c r="AQ8" s="4" t="s">
        <v>53</v>
      </c>
      <c r="AR8" s="4" t="s">
        <v>54</v>
      </c>
      <c r="AS8" s="5">
        <v>2035927</v>
      </c>
      <c r="AT8" t="s">
        <v>47</v>
      </c>
    </row>
    <row r="9" spans="1:46" ht="52" x14ac:dyDescent="0.3">
      <c r="A9" s="4" t="s">
        <v>86</v>
      </c>
      <c r="B9" t="s">
        <v>47</v>
      </c>
      <c r="C9" s="4" t="s">
        <v>87</v>
      </c>
      <c r="D9" s="4" t="s">
        <v>88</v>
      </c>
      <c r="E9" s="4" t="s">
        <v>49</v>
      </c>
      <c r="F9" s="5" t="s">
        <v>89</v>
      </c>
      <c r="G9" s="5" t="s">
        <v>90</v>
      </c>
      <c r="H9" t="s">
        <v>47</v>
      </c>
      <c r="I9" s="3">
        <v>35521</v>
      </c>
      <c r="J9" s="5" t="s">
        <v>50</v>
      </c>
      <c r="K9" t="s">
        <v>47</v>
      </c>
      <c r="L9" s="5" t="s">
        <v>60</v>
      </c>
      <c r="M9" s="3">
        <v>35521</v>
      </c>
      <c r="N9" s="5" t="s">
        <v>50</v>
      </c>
      <c r="O9" t="s">
        <v>47</v>
      </c>
      <c r="P9" s="3">
        <v>35521</v>
      </c>
      <c r="Q9" s="5" t="s">
        <v>50</v>
      </c>
      <c r="R9" t="s">
        <v>47</v>
      </c>
      <c r="S9" t="s">
        <v>47</v>
      </c>
      <c r="T9" t="s">
        <v>47</v>
      </c>
      <c r="U9" t="s">
        <v>47</v>
      </c>
      <c r="V9" t="s">
        <v>47</v>
      </c>
      <c r="W9" s="3">
        <v>35521</v>
      </c>
      <c r="X9" s="5" t="s">
        <v>50</v>
      </c>
      <c r="Y9" t="s">
        <v>47</v>
      </c>
      <c r="Z9" s="3">
        <v>35521</v>
      </c>
      <c r="AA9" s="5" t="s">
        <v>50</v>
      </c>
      <c r="AB9" t="s">
        <v>47</v>
      </c>
      <c r="AC9" s="3">
        <v>37987</v>
      </c>
      <c r="AD9" s="5" t="s">
        <v>50</v>
      </c>
      <c r="AE9" t="s">
        <v>47</v>
      </c>
      <c r="AF9" t="s">
        <v>47</v>
      </c>
      <c r="AG9" t="s">
        <v>47</v>
      </c>
      <c r="AH9" t="s">
        <v>47</v>
      </c>
      <c r="AI9" t="s">
        <v>47</v>
      </c>
      <c r="AJ9" t="s">
        <v>47</v>
      </c>
      <c r="AK9" t="s">
        <v>47</v>
      </c>
      <c r="AL9" t="s">
        <v>47</v>
      </c>
      <c r="AM9" t="s">
        <v>47</v>
      </c>
      <c r="AN9" t="s">
        <v>47</v>
      </c>
      <c r="AO9" s="5" t="s">
        <v>51</v>
      </c>
      <c r="AP9" s="4" t="s">
        <v>61</v>
      </c>
      <c r="AQ9" s="4" t="s">
        <v>53</v>
      </c>
      <c r="AR9" s="4" t="s">
        <v>91</v>
      </c>
      <c r="AS9" s="5">
        <v>33050</v>
      </c>
      <c r="AT9" t="s">
        <v>47</v>
      </c>
    </row>
    <row r="10" spans="1:46" ht="39" x14ac:dyDescent="0.3">
      <c r="A10" s="4" t="s">
        <v>92</v>
      </c>
      <c r="B10" t="s">
        <v>47</v>
      </c>
      <c r="C10" s="4" t="s">
        <v>93</v>
      </c>
      <c r="D10" s="4" t="s">
        <v>94</v>
      </c>
      <c r="E10" s="4" t="s">
        <v>49</v>
      </c>
      <c r="F10" s="5" t="s">
        <v>95</v>
      </c>
      <c r="G10" s="5" t="s">
        <v>96</v>
      </c>
      <c r="H10" t="s">
        <v>47</v>
      </c>
      <c r="I10" t="s">
        <v>47</v>
      </c>
      <c r="J10" t="s">
        <v>47</v>
      </c>
      <c r="K10" t="s">
        <v>47</v>
      </c>
      <c r="L10" s="5" t="s">
        <v>60</v>
      </c>
      <c r="M10" t="s">
        <v>47</v>
      </c>
      <c r="N10" t="s">
        <v>47</v>
      </c>
      <c r="O10" t="s">
        <v>47</v>
      </c>
      <c r="P10" t="s">
        <v>47</v>
      </c>
      <c r="Q10" t="s">
        <v>47</v>
      </c>
      <c r="R10" t="s">
        <v>47</v>
      </c>
      <c r="S10" t="s">
        <v>47</v>
      </c>
      <c r="T10" t="s">
        <v>47</v>
      </c>
      <c r="U10" t="s">
        <v>47</v>
      </c>
      <c r="V10" t="s">
        <v>47</v>
      </c>
      <c r="W10" s="3">
        <v>40909</v>
      </c>
      <c r="X10" s="3">
        <v>42736</v>
      </c>
      <c r="Y10" t="s">
        <v>47</v>
      </c>
      <c r="Z10" s="3">
        <v>40909</v>
      </c>
      <c r="AA10" s="3">
        <v>42736</v>
      </c>
      <c r="AB10" t="s">
        <v>47</v>
      </c>
      <c r="AC10" s="3">
        <v>40909</v>
      </c>
      <c r="AD10" s="3">
        <v>41275</v>
      </c>
      <c r="AE10" t="s">
        <v>47</v>
      </c>
      <c r="AF10" t="s">
        <v>47</v>
      </c>
      <c r="AG10" t="s">
        <v>47</v>
      </c>
      <c r="AH10" t="s">
        <v>47</v>
      </c>
      <c r="AI10" t="s">
        <v>47</v>
      </c>
      <c r="AJ10" t="s">
        <v>47</v>
      </c>
      <c r="AK10" t="s">
        <v>47</v>
      </c>
      <c r="AL10" t="s">
        <v>47</v>
      </c>
      <c r="AM10" t="s">
        <v>47</v>
      </c>
      <c r="AN10" t="s">
        <v>47</v>
      </c>
      <c r="AO10" s="5" t="s">
        <v>60</v>
      </c>
      <c r="AP10" s="4" t="s">
        <v>61</v>
      </c>
      <c r="AQ10" s="4" t="s">
        <v>53</v>
      </c>
      <c r="AR10" s="4" t="s">
        <v>62</v>
      </c>
      <c r="AS10" s="5">
        <v>1936369</v>
      </c>
      <c r="AT10" t="s">
        <v>47</v>
      </c>
    </row>
    <row r="11" spans="1:46" ht="13" x14ac:dyDescent="0.3">
      <c r="A11" s="4" t="s">
        <v>97</v>
      </c>
      <c r="B11" t="s">
        <v>47</v>
      </c>
      <c r="C11" s="4" t="s">
        <v>98</v>
      </c>
      <c r="D11" s="4" t="s">
        <v>99</v>
      </c>
      <c r="E11" s="4" t="s">
        <v>100</v>
      </c>
      <c r="F11" s="5" t="s">
        <v>101</v>
      </c>
      <c r="G11" t="s">
        <v>47</v>
      </c>
      <c r="H11" t="s">
        <v>47</v>
      </c>
      <c r="I11" s="3">
        <v>36161</v>
      </c>
      <c r="J11" s="5" t="s">
        <v>50</v>
      </c>
      <c r="K11" t="s">
        <v>47</v>
      </c>
      <c r="L11" s="5" t="s">
        <v>51</v>
      </c>
      <c r="M11" s="3">
        <v>36161</v>
      </c>
      <c r="N11" s="5" t="s">
        <v>50</v>
      </c>
      <c r="O11" t="s">
        <v>47</v>
      </c>
      <c r="P11" s="3">
        <v>38322</v>
      </c>
      <c r="Q11" s="5" t="s">
        <v>50</v>
      </c>
      <c r="R11" t="s">
        <v>47</v>
      </c>
      <c r="S11" t="s">
        <v>47</v>
      </c>
      <c r="T11" t="s">
        <v>47</v>
      </c>
      <c r="U11" t="s">
        <v>47</v>
      </c>
      <c r="V11" t="s">
        <v>47</v>
      </c>
      <c r="W11" s="3">
        <v>31413</v>
      </c>
      <c r="X11" s="5" t="s">
        <v>50</v>
      </c>
      <c r="Y11" s="5" t="s">
        <v>102</v>
      </c>
      <c r="Z11" s="3">
        <v>31413</v>
      </c>
      <c r="AA11" s="5" t="s">
        <v>50</v>
      </c>
      <c r="AB11" s="5" t="s">
        <v>102</v>
      </c>
      <c r="AC11" s="3">
        <v>36161</v>
      </c>
      <c r="AD11" s="5" t="s">
        <v>50</v>
      </c>
      <c r="AE11" t="s">
        <v>47</v>
      </c>
      <c r="AF11" t="s">
        <v>47</v>
      </c>
      <c r="AG11" t="s">
        <v>47</v>
      </c>
      <c r="AH11" t="s">
        <v>47</v>
      </c>
      <c r="AI11" t="s">
        <v>47</v>
      </c>
      <c r="AJ11" t="s">
        <v>47</v>
      </c>
      <c r="AK11" t="s">
        <v>47</v>
      </c>
      <c r="AL11" t="s">
        <v>47</v>
      </c>
      <c r="AM11" t="s">
        <v>47</v>
      </c>
      <c r="AN11" t="s">
        <v>47</v>
      </c>
      <c r="AO11" s="5" t="s">
        <v>51</v>
      </c>
      <c r="AP11" s="4" t="s">
        <v>85</v>
      </c>
      <c r="AQ11" s="4" t="s">
        <v>53</v>
      </c>
      <c r="AR11" s="4" t="s">
        <v>54</v>
      </c>
      <c r="AS11" s="5">
        <v>48722</v>
      </c>
      <c r="AT11" t="s">
        <v>47</v>
      </c>
    </row>
    <row r="12" spans="1:46" ht="13" x14ac:dyDescent="0.3">
      <c r="A12" s="4" t="s">
        <v>103</v>
      </c>
      <c r="B12" t="s">
        <v>47</v>
      </c>
      <c r="C12" s="4" t="s">
        <v>98</v>
      </c>
      <c r="D12" s="4" t="s">
        <v>99</v>
      </c>
      <c r="E12" s="4" t="s">
        <v>100</v>
      </c>
      <c r="F12" s="5" t="s">
        <v>104</v>
      </c>
      <c r="G12" t="s">
        <v>47</v>
      </c>
      <c r="H12" t="s">
        <v>47</v>
      </c>
      <c r="I12" s="3">
        <v>36179</v>
      </c>
      <c r="J12" s="5" t="s">
        <v>50</v>
      </c>
      <c r="K12" t="s">
        <v>47</v>
      </c>
      <c r="L12" s="5" t="s">
        <v>51</v>
      </c>
      <c r="M12" s="3">
        <v>36179</v>
      </c>
      <c r="N12" s="5" t="s">
        <v>50</v>
      </c>
      <c r="O12" t="s">
        <v>47</v>
      </c>
      <c r="P12" s="3">
        <v>38300</v>
      </c>
      <c r="Q12" s="5" t="s">
        <v>50</v>
      </c>
      <c r="R12" t="s">
        <v>47</v>
      </c>
      <c r="S12" t="s">
        <v>47</v>
      </c>
      <c r="T12" t="s">
        <v>47</v>
      </c>
      <c r="U12" t="s">
        <v>47</v>
      </c>
      <c r="V12" t="s">
        <v>47</v>
      </c>
      <c r="W12" s="3">
        <v>31530</v>
      </c>
      <c r="X12" s="5" t="s">
        <v>50</v>
      </c>
      <c r="Y12" s="5" t="s">
        <v>105</v>
      </c>
      <c r="Z12" s="3">
        <v>31530</v>
      </c>
      <c r="AA12" s="5" t="s">
        <v>50</v>
      </c>
      <c r="AB12" s="5" t="s">
        <v>105</v>
      </c>
      <c r="AC12" s="3">
        <v>36179</v>
      </c>
      <c r="AD12" s="5" t="s">
        <v>50</v>
      </c>
      <c r="AE12" t="s">
        <v>47</v>
      </c>
      <c r="AF12" t="s">
        <v>47</v>
      </c>
      <c r="AG12" t="s">
        <v>47</v>
      </c>
      <c r="AH12" t="s">
        <v>47</v>
      </c>
      <c r="AI12" t="s">
        <v>47</v>
      </c>
      <c r="AJ12" t="s">
        <v>47</v>
      </c>
      <c r="AK12" t="s">
        <v>47</v>
      </c>
      <c r="AL12" t="s">
        <v>47</v>
      </c>
      <c r="AM12" t="s">
        <v>47</v>
      </c>
      <c r="AN12" t="s">
        <v>47</v>
      </c>
      <c r="AO12" s="5" t="s">
        <v>51</v>
      </c>
      <c r="AP12" s="4" t="s">
        <v>85</v>
      </c>
      <c r="AQ12" s="4" t="s">
        <v>53</v>
      </c>
      <c r="AR12" s="4" t="s">
        <v>54</v>
      </c>
      <c r="AS12" s="5">
        <v>48042</v>
      </c>
      <c r="AT12" t="s">
        <v>47</v>
      </c>
    </row>
    <row r="13" spans="1:46" ht="39" x14ac:dyDescent="0.3">
      <c r="A13" s="4" t="s">
        <v>106</v>
      </c>
      <c r="B13" t="s">
        <v>47</v>
      </c>
      <c r="C13" s="4" t="s">
        <v>93</v>
      </c>
      <c r="D13" s="4" t="s">
        <v>88</v>
      </c>
      <c r="E13" s="4" t="s">
        <v>49</v>
      </c>
      <c r="F13" s="5" t="s">
        <v>107</v>
      </c>
      <c r="G13" s="5" t="s">
        <v>108</v>
      </c>
      <c r="H13" t="s">
        <v>47</v>
      </c>
      <c r="I13" t="s">
        <v>47</v>
      </c>
      <c r="J13" t="s">
        <v>47</v>
      </c>
      <c r="K13" t="s">
        <v>47</v>
      </c>
      <c r="L13" s="5" t="s">
        <v>60</v>
      </c>
      <c r="M13" t="s">
        <v>47</v>
      </c>
      <c r="N13" t="s">
        <v>47</v>
      </c>
      <c r="O13" t="s">
        <v>47</v>
      </c>
      <c r="P13" t="s">
        <v>47</v>
      </c>
      <c r="Q13" t="s">
        <v>47</v>
      </c>
      <c r="R13" t="s">
        <v>47</v>
      </c>
      <c r="S13" t="s">
        <v>47</v>
      </c>
      <c r="T13" t="s">
        <v>47</v>
      </c>
      <c r="U13" t="s">
        <v>47</v>
      </c>
      <c r="V13" t="s">
        <v>47</v>
      </c>
      <c r="W13" s="3">
        <v>40179</v>
      </c>
      <c r="X13" s="3">
        <v>43101</v>
      </c>
      <c r="Y13" t="s">
        <v>47</v>
      </c>
      <c r="Z13" s="3">
        <v>40179</v>
      </c>
      <c r="AA13" s="3">
        <v>43101</v>
      </c>
      <c r="AB13" t="s">
        <v>47</v>
      </c>
      <c r="AC13" s="3">
        <v>40179</v>
      </c>
      <c r="AD13" s="3">
        <v>43101</v>
      </c>
      <c r="AE13" s="5" t="s">
        <v>109</v>
      </c>
      <c r="AF13" t="s">
        <v>47</v>
      </c>
      <c r="AG13" t="s">
        <v>47</v>
      </c>
      <c r="AH13" t="s">
        <v>47</v>
      </c>
      <c r="AI13" t="s">
        <v>47</v>
      </c>
      <c r="AJ13" t="s">
        <v>47</v>
      </c>
      <c r="AK13" t="s">
        <v>47</v>
      </c>
      <c r="AL13" t="s">
        <v>47</v>
      </c>
      <c r="AM13" t="s">
        <v>47</v>
      </c>
      <c r="AN13" t="s">
        <v>47</v>
      </c>
      <c r="AO13" s="5" t="s">
        <v>51</v>
      </c>
      <c r="AP13" s="4" t="s">
        <v>61</v>
      </c>
      <c r="AQ13" s="4" t="s">
        <v>53</v>
      </c>
      <c r="AR13" s="4" t="s">
        <v>62</v>
      </c>
      <c r="AS13" s="5">
        <v>936332</v>
      </c>
      <c r="AT13" t="s">
        <v>47</v>
      </c>
    </row>
    <row r="14" spans="1:46" ht="39" x14ac:dyDescent="0.3">
      <c r="A14" s="4" t="s">
        <v>110</v>
      </c>
      <c r="B14" t="s">
        <v>47</v>
      </c>
      <c r="C14" s="4" t="s">
        <v>111</v>
      </c>
      <c r="D14" s="4" t="s">
        <v>88</v>
      </c>
      <c r="E14" s="4" t="s">
        <v>49</v>
      </c>
      <c r="F14" s="5" t="s">
        <v>112</v>
      </c>
      <c r="G14" s="5" t="s">
        <v>113</v>
      </c>
      <c r="H14" t="s">
        <v>47</v>
      </c>
      <c r="I14" s="3">
        <v>35916</v>
      </c>
      <c r="J14" s="5" t="s">
        <v>50</v>
      </c>
      <c r="K14" t="s">
        <v>47</v>
      </c>
      <c r="L14" s="5" t="s">
        <v>51</v>
      </c>
      <c r="M14" s="3">
        <v>35916</v>
      </c>
      <c r="N14" s="5" t="s">
        <v>50</v>
      </c>
      <c r="O14" t="s">
        <v>47</v>
      </c>
      <c r="P14" t="s">
        <v>47</v>
      </c>
      <c r="Q14" t="s">
        <v>47</v>
      </c>
      <c r="R14" t="s">
        <v>47</v>
      </c>
      <c r="S14" t="s">
        <v>47</v>
      </c>
      <c r="T14" t="s">
        <v>47</v>
      </c>
      <c r="U14" t="s">
        <v>47</v>
      </c>
      <c r="V14" t="s">
        <v>47</v>
      </c>
      <c r="W14" s="3">
        <v>35916</v>
      </c>
      <c r="X14" s="5" t="s">
        <v>50</v>
      </c>
      <c r="Y14" t="s">
        <v>47</v>
      </c>
      <c r="Z14" s="3">
        <v>35916</v>
      </c>
      <c r="AA14" s="5" t="s">
        <v>50</v>
      </c>
      <c r="AB14" t="s">
        <v>47</v>
      </c>
      <c r="AC14" s="3">
        <v>35916</v>
      </c>
      <c r="AD14" s="5" t="s">
        <v>50</v>
      </c>
      <c r="AE14" t="s">
        <v>47</v>
      </c>
      <c r="AF14" t="s">
        <v>47</v>
      </c>
      <c r="AG14" t="s">
        <v>47</v>
      </c>
      <c r="AH14" t="s">
        <v>47</v>
      </c>
      <c r="AI14" t="s">
        <v>47</v>
      </c>
      <c r="AJ14" t="s">
        <v>47</v>
      </c>
      <c r="AK14" t="s">
        <v>47</v>
      </c>
      <c r="AL14" t="s">
        <v>47</v>
      </c>
      <c r="AM14" t="s">
        <v>47</v>
      </c>
      <c r="AN14" t="s">
        <v>47</v>
      </c>
      <c r="AO14" s="5" t="s">
        <v>51</v>
      </c>
      <c r="AP14" s="4" t="s">
        <v>85</v>
      </c>
      <c r="AQ14" s="4" t="s">
        <v>53</v>
      </c>
      <c r="AR14" s="4" t="s">
        <v>62</v>
      </c>
      <c r="AS14" s="5">
        <v>41824</v>
      </c>
      <c r="AT14" t="s">
        <v>47</v>
      </c>
    </row>
    <row r="15" spans="1:46" ht="52" x14ac:dyDescent="0.3">
      <c r="A15" s="4" t="s">
        <v>114</v>
      </c>
      <c r="B15" t="s">
        <v>47</v>
      </c>
      <c r="C15" s="4" t="s">
        <v>115</v>
      </c>
      <c r="D15" s="4" t="s">
        <v>116</v>
      </c>
      <c r="E15" s="4" t="s">
        <v>66</v>
      </c>
      <c r="F15" s="5" t="s">
        <v>117</v>
      </c>
      <c r="G15" s="5" t="s">
        <v>118</v>
      </c>
      <c r="H15" t="s">
        <v>47</v>
      </c>
      <c r="I15" s="3">
        <v>36161</v>
      </c>
      <c r="J15" s="5" t="s">
        <v>50</v>
      </c>
      <c r="K15" t="s">
        <v>47</v>
      </c>
      <c r="L15" s="5" t="s">
        <v>60</v>
      </c>
      <c r="M15" s="3">
        <v>41275</v>
      </c>
      <c r="N15" s="5" t="s">
        <v>50</v>
      </c>
      <c r="O15" t="s">
        <v>47</v>
      </c>
      <c r="P15" s="3">
        <v>36161</v>
      </c>
      <c r="Q15" s="5" t="s">
        <v>50</v>
      </c>
      <c r="R15" t="s">
        <v>47</v>
      </c>
      <c r="S15" t="s">
        <v>47</v>
      </c>
      <c r="T15" t="s">
        <v>47</v>
      </c>
      <c r="U15" t="s">
        <v>47</v>
      </c>
      <c r="V15" s="5">
        <v>365</v>
      </c>
      <c r="W15" s="3">
        <v>36161</v>
      </c>
      <c r="X15" s="5" t="s">
        <v>50</v>
      </c>
      <c r="Y15" t="s">
        <v>47</v>
      </c>
      <c r="Z15" s="3">
        <v>36161</v>
      </c>
      <c r="AA15" s="5" t="s">
        <v>50</v>
      </c>
      <c r="AB15" t="s">
        <v>47</v>
      </c>
      <c r="AC15" s="3">
        <v>36161</v>
      </c>
      <c r="AD15" s="5" t="s">
        <v>50</v>
      </c>
      <c r="AE15" t="s">
        <v>47</v>
      </c>
      <c r="AF15" t="s">
        <v>47</v>
      </c>
      <c r="AG15" t="s">
        <v>47</v>
      </c>
      <c r="AH15" t="s">
        <v>47</v>
      </c>
      <c r="AI15" t="s">
        <v>47</v>
      </c>
      <c r="AJ15" t="s">
        <v>47</v>
      </c>
      <c r="AK15" t="s">
        <v>47</v>
      </c>
      <c r="AL15" t="s">
        <v>47</v>
      </c>
      <c r="AM15" t="s">
        <v>47</v>
      </c>
      <c r="AN15" t="s">
        <v>47</v>
      </c>
      <c r="AO15" s="5" t="s">
        <v>60</v>
      </c>
      <c r="AP15" s="4" t="s">
        <v>61</v>
      </c>
      <c r="AQ15" s="4" t="s">
        <v>119</v>
      </c>
      <c r="AR15" s="4" t="s">
        <v>120</v>
      </c>
      <c r="AS15" s="5">
        <v>696315</v>
      </c>
      <c r="AT15" t="s">
        <v>47</v>
      </c>
    </row>
    <row r="16" spans="1:46" ht="104" x14ac:dyDescent="0.3">
      <c r="A16" s="4" t="s">
        <v>121</v>
      </c>
      <c r="B16" t="s">
        <v>47</v>
      </c>
      <c r="C16" s="4" t="s">
        <v>122</v>
      </c>
      <c r="D16" s="4" t="s">
        <v>70</v>
      </c>
      <c r="E16" s="4" t="s">
        <v>123</v>
      </c>
      <c r="F16" s="5" t="s">
        <v>124</v>
      </c>
      <c r="G16" s="5" t="s">
        <v>125</v>
      </c>
      <c r="H16" t="s">
        <v>47</v>
      </c>
      <c r="I16" s="3">
        <v>35490</v>
      </c>
      <c r="J16" s="5" t="s">
        <v>50</v>
      </c>
      <c r="K16" t="s">
        <v>47</v>
      </c>
      <c r="L16" s="5" t="s">
        <v>60</v>
      </c>
      <c r="M16" s="3">
        <v>35886</v>
      </c>
      <c r="N16" s="5" t="s">
        <v>50</v>
      </c>
      <c r="O16" t="s">
        <v>47</v>
      </c>
      <c r="P16" s="3">
        <v>35490</v>
      </c>
      <c r="Q16" s="5" t="s">
        <v>50</v>
      </c>
      <c r="R16" t="s">
        <v>47</v>
      </c>
      <c r="S16" t="s">
        <v>47</v>
      </c>
      <c r="T16" t="s">
        <v>47</v>
      </c>
      <c r="U16" t="s">
        <v>47</v>
      </c>
      <c r="V16" s="5">
        <v>365</v>
      </c>
      <c r="W16" s="3">
        <v>35490</v>
      </c>
      <c r="X16" s="5" t="s">
        <v>50</v>
      </c>
      <c r="Y16" t="s">
        <v>47</v>
      </c>
      <c r="Z16" s="3">
        <v>35490</v>
      </c>
      <c r="AA16" s="5" t="s">
        <v>50</v>
      </c>
      <c r="AB16" t="s">
        <v>47</v>
      </c>
      <c r="AC16" s="3">
        <v>35947</v>
      </c>
      <c r="AD16" s="5" t="s">
        <v>50</v>
      </c>
      <c r="AE16" t="s">
        <v>47</v>
      </c>
      <c r="AF16" t="s">
        <v>47</v>
      </c>
      <c r="AG16" t="s">
        <v>47</v>
      </c>
      <c r="AH16" t="s">
        <v>47</v>
      </c>
      <c r="AI16" t="s">
        <v>47</v>
      </c>
      <c r="AJ16" t="s">
        <v>47</v>
      </c>
      <c r="AK16" t="s">
        <v>47</v>
      </c>
      <c r="AL16" t="s">
        <v>47</v>
      </c>
      <c r="AM16" t="s">
        <v>47</v>
      </c>
      <c r="AN16" t="s">
        <v>47</v>
      </c>
      <c r="AO16" s="5" t="s">
        <v>60</v>
      </c>
      <c r="AP16" s="4" t="s">
        <v>61</v>
      </c>
      <c r="AQ16" s="4" t="s">
        <v>53</v>
      </c>
      <c r="AR16" s="4" t="s">
        <v>126</v>
      </c>
      <c r="AS16" s="5">
        <v>48683</v>
      </c>
      <c r="AT16" t="s">
        <v>47</v>
      </c>
    </row>
    <row r="17" spans="1:46" ht="39" x14ac:dyDescent="0.3">
      <c r="A17" s="4" t="s">
        <v>127</v>
      </c>
      <c r="B17" t="s">
        <v>47</v>
      </c>
      <c r="C17" s="4" t="s">
        <v>122</v>
      </c>
      <c r="D17" s="4" t="s">
        <v>70</v>
      </c>
      <c r="E17" s="4" t="s">
        <v>123</v>
      </c>
      <c r="F17" s="5" t="s">
        <v>128</v>
      </c>
      <c r="G17" s="5" t="s">
        <v>129</v>
      </c>
      <c r="H17" t="s">
        <v>47</v>
      </c>
      <c r="I17" s="3">
        <v>35582</v>
      </c>
      <c r="J17" s="3">
        <v>44075</v>
      </c>
      <c r="K17" t="s">
        <v>47</v>
      </c>
      <c r="L17" s="5" t="s">
        <v>60</v>
      </c>
      <c r="M17" s="3">
        <v>38047</v>
      </c>
      <c r="N17" s="3">
        <v>42795</v>
      </c>
      <c r="O17" t="s">
        <v>47</v>
      </c>
      <c r="P17" s="3">
        <v>35582</v>
      </c>
      <c r="Q17" s="3">
        <v>44075</v>
      </c>
      <c r="R17" t="s">
        <v>47</v>
      </c>
      <c r="S17" t="s">
        <v>47</v>
      </c>
      <c r="T17" t="s">
        <v>47</v>
      </c>
      <c r="U17" t="s">
        <v>47</v>
      </c>
      <c r="V17" t="s">
        <v>47</v>
      </c>
      <c r="W17" s="3">
        <v>35582</v>
      </c>
      <c r="X17" s="3">
        <v>44075</v>
      </c>
      <c r="Y17" t="s">
        <v>47</v>
      </c>
      <c r="Z17" s="3">
        <v>35582</v>
      </c>
      <c r="AA17" s="3">
        <v>44075</v>
      </c>
      <c r="AB17" t="s">
        <v>47</v>
      </c>
      <c r="AC17" s="3">
        <v>39234</v>
      </c>
      <c r="AD17" s="3">
        <v>44075</v>
      </c>
      <c r="AE17" t="s">
        <v>47</v>
      </c>
      <c r="AF17" t="s">
        <v>47</v>
      </c>
      <c r="AG17" t="s">
        <v>47</v>
      </c>
      <c r="AH17" t="s">
        <v>47</v>
      </c>
      <c r="AI17" t="s">
        <v>47</v>
      </c>
      <c r="AJ17" t="s">
        <v>47</v>
      </c>
      <c r="AK17" t="s">
        <v>47</v>
      </c>
      <c r="AL17" t="s">
        <v>47</v>
      </c>
      <c r="AM17" t="s">
        <v>47</v>
      </c>
      <c r="AN17" t="s">
        <v>47</v>
      </c>
      <c r="AO17" s="5" t="s">
        <v>60</v>
      </c>
      <c r="AP17" s="4" t="s">
        <v>61</v>
      </c>
      <c r="AQ17" s="4" t="s">
        <v>53</v>
      </c>
      <c r="AR17" s="4" t="s">
        <v>62</v>
      </c>
      <c r="AS17" s="5">
        <v>54147</v>
      </c>
      <c r="AT17" t="s">
        <v>47</v>
      </c>
    </row>
    <row r="18" spans="1:46" ht="78" x14ac:dyDescent="0.3">
      <c r="A18" s="4" t="s">
        <v>130</v>
      </c>
      <c r="B18" t="s">
        <v>47</v>
      </c>
      <c r="C18" s="4" t="s">
        <v>131</v>
      </c>
      <c r="D18" s="4" t="s">
        <v>132</v>
      </c>
      <c r="E18" s="4" t="s">
        <v>66</v>
      </c>
      <c r="F18" s="5" t="s">
        <v>133</v>
      </c>
      <c r="G18" s="5" t="s">
        <v>134</v>
      </c>
      <c r="H18" t="s">
        <v>47</v>
      </c>
      <c r="I18" s="3">
        <v>41183</v>
      </c>
      <c r="J18" s="3">
        <v>43374</v>
      </c>
      <c r="K18" t="s">
        <v>47</v>
      </c>
      <c r="L18" s="5" t="s">
        <v>51</v>
      </c>
      <c r="M18" s="3">
        <v>41183</v>
      </c>
      <c r="N18" s="3">
        <v>43374</v>
      </c>
      <c r="O18" t="s">
        <v>47</v>
      </c>
      <c r="P18" s="3">
        <v>41183</v>
      </c>
      <c r="Q18" s="3">
        <v>43374</v>
      </c>
      <c r="R18" t="s">
        <v>47</v>
      </c>
      <c r="S18" t="s">
        <v>47</v>
      </c>
      <c r="T18" t="s">
        <v>47</v>
      </c>
      <c r="U18" t="s">
        <v>47</v>
      </c>
      <c r="V18" t="s">
        <v>47</v>
      </c>
      <c r="W18" s="3">
        <v>41183</v>
      </c>
      <c r="X18" s="3">
        <v>43374</v>
      </c>
      <c r="Y18" t="s">
        <v>47</v>
      </c>
      <c r="Z18" s="3">
        <v>41183</v>
      </c>
      <c r="AA18" s="3">
        <v>43374</v>
      </c>
      <c r="AB18" t="s">
        <v>47</v>
      </c>
      <c r="AC18" s="3">
        <v>41183</v>
      </c>
      <c r="AD18" s="3">
        <v>43374</v>
      </c>
      <c r="AE18" t="s">
        <v>47</v>
      </c>
      <c r="AF18" t="s">
        <v>47</v>
      </c>
      <c r="AG18" t="s">
        <v>47</v>
      </c>
      <c r="AH18" t="s">
        <v>47</v>
      </c>
      <c r="AI18" t="s">
        <v>47</v>
      </c>
      <c r="AJ18" t="s">
        <v>47</v>
      </c>
      <c r="AK18" t="s">
        <v>47</v>
      </c>
      <c r="AL18" t="s">
        <v>47</v>
      </c>
      <c r="AM18" t="s">
        <v>47</v>
      </c>
      <c r="AN18" t="s">
        <v>47</v>
      </c>
      <c r="AO18" s="5" t="s">
        <v>51</v>
      </c>
      <c r="AP18" s="4" t="s">
        <v>135</v>
      </c>
      <c r="AQ18" s="4" t="s">
        <v>53</v>
      </c>
      <c r="AR18" s="4" t="s">
        <v>136</v>
      </c>
      <c r="AS18" s="5">
        <v>2029236</v>
      </c>
      <c r="AT18" t="s">
        <v>47</v>
      </c>
    </row>
    <row r="19" spans="1:46" ht="26" x14ac:dyDescent="0.3">
      <c r="A19" s="4" t="s">
        <v>137</v>
      </c>
      <c r="B19" t="s">
        <v>47</v>
      </c>
      <c r="C19" s="4" t="s">
        <v>138</v>
      </c>
      <c r="D19" s="4" t="s">
        <v>139</v>
      </c>
      <c r="E19" s="4" t="s">
        <v>66</v>
      </c>
      <c r="F19" s="5" t="s">
        <v>140</v>
      </c>
      <c r="G19" s="5" t="s">
        <v>141</v>
      </c>
      <c r="H19" t="s">
        <v>47</v>
      </c>
      <c r="I19" s="3">
        <v>38718</v>
      </c>
      <c r="J19" s="3">
        <v>44470</v>
      </c>
      <c r="K19" t="s">
        <v>47</v>
      </c>
      <c r="L19" s="5" t="s">
        <v>60</v>
      </c>
      <c r="M19" s="3">
        <v>38718</v>
      </c>
      <c r="N19" s="3">
        <v>44470</v>
      </c>
      <c r="O19" t="s">
        <v>47</v>
      </c>
      <c r="P19" s="3">
        <v>38718</v>
      </c>
      <c r="Q19" s="3">
        <v>44470</v>
      </c>
      <c r="R19" t="s">
        <v>47</v>
      </c>
      <c r="S19" t="s">
        <v>47</v>
      </c>
      <c r="T19" t="s">
        <v>47</v>
      </c>
      <c r="U19" t="s">
        <v>47</v>
      </c>
      <c r="V19" t="s">
        <v>47</v>
      </c>
      <c r="W19" s="3">
        <v>38718</v>
      </c>
      <c r="X19" s="3">
        <v>44470</v>
      </c>
      <c r="Y19" t="s">
        <v>47</v>
      </c>
      <c r="Z19" s="3">
        <v>38718</v>
      </c>
      <c r="AA19" s="3">
        <v>44470</v>
      </c>
      <c r="AB19" t="s">
        <v>47</v>
      </c>
      <c r="AC19" s="3">
        <v>38718</v>
      </c>
      <c r="AD19" s="3">
        <v>44470</v>
      </c>
      <c r="AE19" t="s">
        <v>47</v>
      </c>
      <c r="AF19" t="s">
        <v>47</v>
      </c>
      <c r="AG19" t="s">
        <v>47</v>
      </c>
      <c r="AH19" t="s">
        <v>47</v>
      </c>
      <c r="AI19" t="s">
        <v>47</v>
      </c>
      <c r="AJ19" t="s">
        <v>47</v>
      </c>
      <c r="AK19" t="s">
        <v>47</v>
      </c>
      <c r="AL19" t="s">
        <v>47</v>
      </c>
      <c r="AM19" t="s">
        <v>47</v>
      </c>
      <c r="AN19" t="s">
        <v>47</v>
      </c>
      <c r="AO19" s="5" t="s">
        <v>60</v>
      </c>
      <c r="AP19" s="4" t="s">
        <v>61</v>
      </c>
      <c r="AQ19" s="4" t="s">
        <v>53</v>
      </c>
      <c r="AR19" s="4" t="s">
        <v>54</v>
      </c>
      <c r="AS19" s="5">
        <v>38741</v>
      </c>
      <c r="AT19" t="s">
        <v>47</v>
      </c>
    </row>
    <row r="20" spans="1:46" ht="39" x14ac:dyDescent="0.3">
      <c r="A20" s="4" t="s">
        <v>142</v>
      </c>
      <c r="B20" t="s">
        <v>47</v>
      </c>
      <c r="C20" s="4" t="s">
        <v>143</v>
      </c>
      <c r="D20" s="4" t="s">
        <v>144</v>
      </c>
      <c r="E20" s="4" t="s">
        <v>49</v>
      </c>
      <c r="F20" s="5" t="s">
        <v>145</v>
      </c>
      <c r="G20" s="5" t="s">
        <v>146</v>
      </c>
      <c r="H20" t="s">
        <v>47</v>
      </c>
      <c r="I20" t="s">
        <v>47</v>
      </c>
      <c r="J20" t="s">
        <v>47</v>
      </c>
      <c r="K20" t="s">
        <v>47</v>
      </c>
      <c r="L20" s="5" t="s">
        <v>60</v>
      </c>
      <c r="M20" t="s">
        <v>47</v>
      </c>
      <c r="N20" t="s">
        <v>47</v>
      </c>
      <c r="O20" t="s">
        <v>47</v>
      </c>
      <c r="P20" t="s">
        <v>47</v>
      </c>
      <c r="Q20" t="s">
        <v>47</v>
      </c>
      <c r="R20" t="s">
        <v>47</v>
      </c>
      <c r="S20" t="s">
        <v>47</v>
      </c>
      <c r="T20" t="s">
        <v>47</v>
      </c>
      <c r="U20" t="s">
        <v>47</v>
      </c>
      <c r="V20" t="s">
        <v>47</v>
      </c>
      <c r="W20" s="3">
        <v>37681</v>
      </c>
      <c r="X20" s="5" t="s">
        <v>50</v>
      </c>
      <c r="Y20" t="s">
        <v>47</v>
      </c>
      <c r="Z20" s="3">
        <v>37681</v>
      </c>
      <c r="AA20" s="5" t="s">
        <v>50</v>
      </c>
      <c r="AB20" t="s">
        <v>47</v>
      </c>
      <c r="AC20" s="3">
        <v>37681</v>
      </c>
      <c r="AD20" s="5" t="s">
        <v>50</v>
      </c>
      <c r="AE20" t="s">
        <v>47</v>
      </c>
      <c r="AF20" t="s">
        <v>47</v>
      </c>
      <c r="AG20" t="s">
        <v>47</v>
      </c>
      <c r="AH20" t="s">
        <v>47</v>
      </c>
      <c r="AI20" t="s">
        <v>47</v>
      </c>
      <c r="AJ20" t="s">
        <v>47</v>
      </c>
      <c r="AK20" t="s">
        <v>47</v>
      </c>
      <c r="AL20" t="s">
        <v>47</v>
      </c>
      <c r="AM20" t="s">
        <v>47</v>
      </c>
      <c r="AN20" t="s">
        <v>47</v>
      </c>
      <c r="AO20" s="5" t="s">
        <v>60</v>
      </c>
      <c r="AP20" s="4" t="s">
        <v>61</v>
      </c>
      <c r="AQ20" s="4" t="s">
        <v>53</v>
      </c>
      <c r="AR20" s="4" t="s">
        <v>147</v>
      </c>
      <c r="AS20" s="5">
        <v>42991</v>
      </c>
      <c r="AT20" t="s">
        <v>47</v>
      </c>
    </row>
    <row r="21" spans="1:46" ht="26" x14ac:dyDescent="0.3">
      <c r="A21" s="4" t="s">
        <v>148</v>
      </c>
      <c r="B21" t="s">
        <v>47</v>
      </c>
      <c r="C21" s="4" t="s">
        <v>149</v>
      </c>
      <c r="D21" s="4" t="s">
        <v>150</v>
      </c>
      <c r="E21" s="4" t="s">
        <v>151</v>
      </c>
      <c r="F21" t="s">
        <v>47</v>
      </c>
      <c r="G21" s="5" t="s">
        <v>152</v>
      </c>
      <c r="H21" t="s">
        <v>47</v>
      </c>
      <c r="I21" s="3">
        <v>40909</v>
      </c>
      <c r="J21" s="5" t="s">
        <v>50</v>
      </c>
      <c r="K21" t="s">
        <v>47</v>
      </c>
      <c r="L21" s="5" t="s">
        <v>60</v>
      </c>
      <c r="M21" s="3">
        <v>40909</v>
      </c>
      <c r="N21" s="5" t="s">
        <v>50</v>
      </c>
      <c r="O21" t="s">
        <v>47</v>
      </c>
      <c r="P21" s="3">
        <v>40909</v>
      </c>
      <c r="Q21" s="5" t="s">
        <v>50</v>
      </c>
      <c r="R21" t="s">
        <v>47</v>
      </c>
      <c r="S21" t="s">
        <v>47</v>
      </c>
      <c r="T21" t="s">
        <v>47</v>
      </c>
      <c r="U21" t="s">
        <v>47</v>
      </c>
      <c r="V21" t="s">
        <v>47</v>
      </c>
      <c r="W21" s="3">
        <v>40909</v>
      </c>
      <c r="X21" s="5" t="s">
        <v>50</v>
      </c>
      <c r="Y21" t="s">
        <v>47</v>
      </c>
      <c r="Z21" s="3">
        <v>40909</v>
      </c>
      <c r="AA21" s="5" t="s">
        <v>50</v>
      </c>
      <c r="AB21" t="s">
        <v>47</v>
      </c>
      <c r="AC21" s="3">
        <v>40909</v>
      </c>
      <c r="AD21" s="5" t="s">
        <v>50</v>
      </c>
      <c r="AE21" t="s">
        <v>47</v>
      </c>
      <c r="AF21" t="s">
        <v>47</v>
      </c>
      <c r="AG21" t="s">
        <v>47</v>
      </c>
      <c r="AH21" t="s">
        <v>47</v>
      </c>
      <c r="AI21" t="s">
        <v>47</v>
      </c>
      <c r="AJ21" t="s">
        <v>47</v>
      </c>
      <c r="AK21" t="s">
        <v>47</v>
      </c>
      <c r="AL21" t="s">
        <v>47</v>
      </c>
      <c r="AM21" t="s">
        <v>47</v>
      </c>
      <c r="AN21" t="s">
        <v>47</v>
      </c>
      <c r="AO21" s="5" t="s">
        <v>60</v>
      </c>
      <c r="AP21" s="4" t="s">
        <v>61</v>
      </c>
      <c r="AQ21" s="4" t="s">
        <v>53</v>
      </c>
      <c r="AR21" s="4" t="s">
        <v>54</v>
      </c>
      <c r="AS21" s="5">
        <v>2028913</v>
      </c>
      <c r="AT21" t="s">
        <v>47</v>
      </c>
    </row>
    <row r="22" spans="1:46" ht="39" x14ac:dyDescent="0.3">
      <c r="A22" s="4" t="s">
        <v>153</v>
      </c>
      <c r="B22" t="s">
        <v>47</v>
      </c>
      <c r="C22" s="4" t="s">
        <v>154</v>
      </c>
      <c r="D22" s="4" t="s">
        <v>155</v>
      </c>
      <c r="E22" s="4" t="s">
        <v>156</v>
      </c>
      <c r="F22" s="5" t="s">
        <v>157</v>
      </c>
      <c r="G22" s="5" t="s">
        <v>158</v>
      </c>
      <c r="H22" t="s">
        <v>47</v>
      </c>
      <c r="I22" s="3">
        <v>42005</v>
      </c>
      <c r="J22" s="5" t="s">
        <v>50</v>
      </c>
      <c r="K22" t="s">
        <v>47</v>
      </c>
      <c r="L22" s="5" t="s">
        <v>60</v>
      </c>
      <c r="M22" t="s">
        <v>47</v>
      </c>
      <c r="N22" t="s">
        <v>47</v>
      </c>
      <c r="O22" t="s">
        <v>47</v>
      </c>
      <c r="P22" s="3">
        <v>42005</v>
      </c>
      <c r="Q22" s="5" t="s">
        <v>50</v>
      </c>
      <c r="R22" t="s">
        <v>47</v>
      </c>
      <c r="S22" t="s">
        <v>47</v>
      </c>
      <c r="T22" t="s">
        <v>47</v>
      </c>
      <c r="U22" t="s">
        <v>47</v>
      </c>
      <c r="V22" t="s">
        <v>47</v>
      </c>
      <c r="W22" s="3">
        <v>42005</v>
      </c>
      <c r="X22" s="5" t="s">
        <v>50</v>
      </c>
      <c r="Y22" t="s">
        <v>47</v>
      </c>
      <c r="Z22" s="3">
        <v>42005</v>
      </c>
      <c r="AA22" s="5" t="s">
        <v>50</v>
      </c>
      <c r="AB22" t="s">
        <v>47</v>
      </c>
      <c r="AC22" s="3">
        <v>42005</v>
      </c>
      <c r="AD22" s="5" t="s">
        <v>50</v>
      </c>
      <c r="AE22" t="s">
        <v>47</v>
      </c>
      <c r="AF22" t="s">
        <v>47</v>
      </c>
      <c r="AG22" t="s">
        <v>47</v>
      </c>
      <c r="AH22" t="s">
        <v>47</v>
      </c>
      <c r="AI22" t="s">
        <v>47</v>
      </c>
      <c r="AJ22" t="s">
        <v>47</v>
      </c>
      <c r="AK22" t="s">
        <v>47</v>
      </c>
      <c r="AL22" t="s">
        <v>47</v>
      </c>
      <c r="AM22" t="s">
        <v>47</v>
      </c>
      <c r="AN22" t="s">
        <v>47</v>
      </c>
      <c r="AO22" s="5" t="s">
        <v>60</v>
      </c>
      <c r="AP22" s="4" t="s">
        <v>61</v>
      </c>
      <c r="AQ22" s="4" t="s">
        <v>159</v>
      </c>
      <c r="AR22" s="4" t="s">
        <v>54</v>
      </c>
      <c r="AS22" s="5">
        <v>2037656</v>
      </c>
      <c r="AT22" t="s">
        <v>47</v>
      </c>
    </row>
    <row r="23" spans="1:46" ht="39" x14ac:dyDescent="0.3">
      <c r="A23" s="4" t="s">
        <v>160</v>
      </c>
      <c r="B23" t="s">
        <v>47</v>
      </c>
      <c r="C23" s="4" t="s">
        <v>161</v>
      </c>
      <c r="D23" s="4" t="s">
        <v>162</v>
      </c>
      <c r="E23" s="4" t="s">
        <v>163</v>
      </c>
      <c r="F23" s="5" t="s">
        <v>164</v>
      </c>
      <c r="G23" s="5" t="s">
        <v>165</v>
      </c>
      <c r="H23" t="s">
        <v>47</v>
      </c>
      <c r="I23" s="3">
        <v>42370</v>
      </c>
      <c r="J23" s="5" t="s">
        <v>50</v>
      </c>
      <c r="K23" t="s">
        <v>47</v>
      </c>
      <c r="L23" s="5" t="s">
        <v>60</v>
      </c>
      <c r="M23" s="3">
        <v>42370</v>
      </c>
      <c r="N23" s="5" t="s">
        <v>50</v>
      </c>
      <c r="O23" t="s">
        <v>47</v>
      </c>
      <c r="P23" s="3">
        <v>42370</v>
      </c>
      <c r="Q23" s="5" t="s">
        <v>50</v>
      </c>
      <c r="R23" t="s">
        <v>47</v>
      </c>
      <c r="S23" t="s">
        <v>47</v>
      </c>
      <c r="T23" t="s">
        <v>47</v>
      </c>
      <c r="U23" t="s">
        <v>47</v>
      </c>
      <c r="V23" t="s">
        <v>47</v>
      </c>
      <c r="W23" s="3">
        <v>42370</v>
      </c>
      <c r="X23" s="5" t="s">
        <v>50</v>
      </c>
      <c r="Y23" t="s">
        <v>47</v>
      </c>
      <c r="Z23" s="3">
        <v>42370</v>
      </c>
      <c r="AA23" s="5" t="s">
        <v>50</v>
      </c>
      <c r="AB23" t="s">
        <v>47</v>
      </c>
      <c r="AC23" s="3">
        <v>42370</v>
      </c>
      <c r="AD23" s="5" t="s">
        <v>50</v>
      </c>
      <c r="AE23" t="s">
        <v>47</v>
      </c>
      <c r="AF23" t="s">
        <v>47</v>
      </c>
      <c r="AG23" t="s">
        <v>47</v>
      </c>
      <c r="AH23" t="s">
        <v>47</v>
      </c>
      <c r="AI23" t="s">
        <v>47</v>
      </c>
      <c r="AJ23" t="s">
        <v>47</v>
      </c>
      <c r="AK23" t="s">
        <v>47</v>
      </c>
      <c r="AL23" t="s">
        <v>47</v>
      </c>
      <c r="AM23" t="s">
        <v>47</v>
      </c>
      <c r="AN23" t="s">
        <v>47</v>
      </c>
      <c r="AO23" s="5" t="s">
        <v>60</v>
      </c>
      <c r="AP23" s="4" t="s">
        <v>61</v>
      </c>
      <c r="AQ23" s="4" t="s">
        <v>166</v>
      </c>
      <c r="AR23" s="4" t="s">
        <v>167</v>
      </c>
      <c r="AS23" s="5">
        <v>2046158</v>
      </c>
      <c r="AT23" t="s">
        <v>47</v>
      </c>
    </row>
    <row r="24" spans="1:46" ht="13" x14ac:dyDescent="0.3">
      <c r="A24" s="4" t="s">
        <v>168</v>
      </c>
      <c r="B24" t="s">
        <v>47</v>
      </c>
      <c r="C24" s="4" t="s">
        <v>169</v>
      </c>
      <c r="D24" s="4" t="s">
        <v>170</v>
      </c>
      <c r="E24" s="4" t="s">
        <v>66</v>
      </c>
      <c r="F24" s="5" t="s">
        <v>171</v>
      </c>
      <c r="G24" s="5" t="s">
        <v>172</v>
      </c>
      <c r="H24" t="s">
        <v>47</v>
      </c>
      <c r="I24" t="s">
        <v>47</v>
      </c>
      <c r="J24" t="s">
        <v>47</v>
      </c>
      <c r="K24" t="s">
        <v>47</v>
      </c>
      <c r="L24" s="5" t="s">
        <v>60</v>
      </c>
      <c r="M24" t="s">
        <v>47</v>
      </c>
      <c r="N24" t="s">
        <v>47</v>
      </c>
      <c r="O24" t="s">
        <v>47</v>
      </c>
      <c r="P24" t="s">
        <v>47</v>
      </c>
      <c r="Q24" t="s">
        <v>47</v>
      </c>
      <c r="R24" t="s">
        <v>47</v>
      </c>
      <c r="S24" t="s">
        <v>47</v>
      </c>
      <c r="T24" t="s">
        <v>47</v>
      </c>
      <c r="U24" t="s">
        <v>47</v>
      </c>
      <c r="V24" t="s">
        <v>47</v>
      </c>
      <c r="W24" s="3">
        <v>40179</v>
      </c>
      <c r="X24" s="5" t="s">
        <v>50</v>
      </c>
      <c r="Y24" t="s">
        <v>47</v>
      </c>
      <c r="Z24" s="3">
        <v>40179</v>
      </c>
      <c r="AA24" s="5" t="s">
        <v>50</v>
      </c>
      <c r="AB24" t="s">
        <v>47</v>
      </c>
      <c r="AC24" s="3">
        <v>40179</v>
      </c>
      <c r="AD24" s="5" t="s">
        <v>50</v>
      </c>
      <c r="AE24" t="s">
        <v>47</v>
      </c>
      <c r="AF24" t="s">
        <v>47</v>
      </c>
      <c r="AG24" t="s">
        <v>47</v>
      </c>
      <c r="AH24" t="s">
        <v>47</v>
      </c>
      <c r="AI24" t="s">
        <v>47</v>
      </c>
      <c r="AJ24" t="s">
        <v>47</v>
      </c>
      <c r="AK24" t="s">
        <v>47</v>
      </c>
      <c r="AL24" t="s">
        <v>47</v>
      </c>
      <c r="AM24" t="s">
        <v>47</v>
      </c>
      <c r="AN24" t="s">
        <v>47</v>
      </c>
      <c r="AO24" s="5" t="s">
        <v>60</v>
      </c>
      <c r="AP24" s="4" t="s">
        <v>61</v>
      </c>
      <c r="AQ24" s="4" t="s">
        <v>53</v>
      </c>
      <c r="AR24" s="4" t="s">
        <v>54</v>
      </c>
      <c r="AS24" s="5">
        <v>456296</v>
      </c>
      <c r="AT24" t="s">
        <v>47</v>
      </c>
    </row>
    <row r="25" spans="1:46" ht="117" x14ac:dyDescent="0.3">
      <c r="A25" s="4" t="s">
        <v>173</v>
      </c>
      <c r="B25" t="s">
        <v>47</v>
      </c>
      <c r="C25" s="4" t="s">
        <v>174</v>
      </c>
      <c r="D25" s="4" t="s">
        <v>175</v>
      </c>
      <c r="E25" s="4" t="s">
        <v>49</v>
      </c>
      <c r="F25" s="5" t="s">
        <v>176</v>
      </c>
      <c r="G25" t="s">
        <v>47</v>
      </c>
      <c r="H25" t="s">
        <v>47</v>
      </c>
      <c r="I25" s="3">
        <v>32234</v>
      </c>
      <c r="J25" s="3">
        <v>40148</v>
      </c>
      <c r="K25" t="s">
        <v>47</v>
      </c>
      <c r="L25" s="5" t="s">
        <v>60</v>
      </c>
      <c r="M25" s="3">
        <v>34425</v>
      </c>
      <c r="N25" s="3">
        <v>40148</v>
      </c>
      <c r="O25" t="s">
        <v>47</v>
      </c>
      <c r="P25" s="3">
        <v>32234</v>
      </c>
      <c r="Q25" s="3">
        <v>40148</v>
      </c>
      <c r="R25" t="s">
        <v>47</v>
      </c>
      <c r="S25" t="s">
        <v>47</v>
      </c>
      <c r="T25" t="s">
        <v>47</v>
      </c>
      <c r="U25" t="s">
        <v>47</v>
      </c>
      <c r="V25" t="s">
        <v>47</v>
      </c>
      <c r="W25" s="3">
        <v>31503</v>
      </c>
      <c r="X25" s="3">
        <v>40148</v>
      </c>
      <c r="Y25" t="s">
        <v>47</v>
      </c>
      <c r="Z25" s="3">
        <v>31503</v>
      </c>
      <c r="AA25" s="3">
        <v>40148</v>
      </c>
      <c r="AB25" t="s">
        <v>47</v>
      </c>
      <c r="AC25" s="3">
        <v>31503</v>
      </c>
      <c r="AD25" s="3">
        <v>40148</v>
      </c>
      <c r="AE25" t="s">
        <v>47</v>
      </c>
      <c r="AF25" t="s">
        <v>47</v>
      </c>
      <c r="AG25" t="s">
        <v>47</v>
      </c>
      <c r="AH25" t="s">
        <v>47</v>
      </c>
      <c r="AI25" t="s">
        <v>47</v>
      </c>
      <c r="AJ25" t="s">
        <v>47</v>
      </c>
      <c r="AK25" t="s">
        <v>47</v>
      </c>
      <c r="AL25" t="s">
        <v>47</v>
      </c>
      <c r="AM25" t="s">
        <v>47</v>
      </c>
      <c r="AN25" t="s">
        <v>47</v>
      </c>
      <c r="AO25" s="5" t="s">
        <v>60</v>
      </c>
      <c r="AP25" s="4" t="s">
        <v>61</v>
      </c>
      <c r="AQ25" s="4" t="s">
        <v>53</v>
      </c>
      <c r="AR25" s="4" t="s">
        <v>177</v>
      </c>
      <c r="AS25" s="5">
        <v>41539</v>
      </c>
      <c r="AT25" t="s">
        <v>47</v>
      </c>
    </row>
    <row r="26" spans="1:46" ht="26" x14ac:dyDescent="0.3">
      <c r="A26" s="4" t="s">
        <v>178</v>
      </c>
      <c r="B26" t="s">
        <v>47</v>
      </c>
      <c r="C26" s="4" t="s">
        <v>179</v>
      </c>
      <c r="D26" s="4" t="s">
        <v>180</v>
      </c>
      <c r="E26" s="4" t="s">
        <v>49</v>
      </c>
      <c r="F26" s="5" t="s">
        <v>181</v>
      </c>
      <c r="G26" t="s">
        <v>47</v>
      </c>
      <c r="H26" t="s">
        <v>47</v>
      </c>
      <c r="I26" s="3">
        <v>35521</v>
      </c>
      <c r="J26" s="3">
        <v>38991</v>
      </c>
      <c r="K26" t="s">
        <v>47</v>
      </c>
      <c r="L26" s="5" t="s">
        <v>60</v>
      </c>
      <c r="M26" s="3">
        <v>35521</v>
      </c>
      <c r="N26" s="3">
        <v>38991</v>
      </c>
      <c r="O26" t="s">
        <v>47</v>
      </c>
      <c r="P26" s="3">
        <v>35521</v>
      </c>
      <c r="Q26" s="3">
        <v>38991</v>
      </c>
      <c r="R26" t="s">
        <v>47</v>
      </c>
      <c r="S26" t="s">
        <v>47</v>
      </c>
      <c r="T26" t="s">
        <v>47</v>
      </c>
      <c r="U26" t="s">
        <v>47</v>
      </c>
      <c r="V26" t="s">
        <v>47</v>
      </c>
      <c r="W26" s="3">
        <v>35521</v>
      </c>
      <c r="X26" s="3">
        <v>38991</v>
      </c>
      <c r="Y26" t="s">
        <v>47</v>
      </c>
      <c r="Z26" s="3">
        <v>35521</v>
      </c>
      <c r="AA26" s="3">
        <v>38991</v>
      </c>
      <c r="AB26" t="s">
        <v>47</v>
      </c>
      <c r="AC26" s="3">
        <v>36982</v>
      </c>
      <c r="AD26" s="3">
        <v>38991</v>
      </c>
      <c r="AE26" t="s">
        <v>47</v>
      </c>
      <c r="AF26" t="s">
        <v>47</v>
      </c>
      <c r="AG26" t="s">
        <v>47</v>
      </c>
      <c r="AH26" t="s">
        <v>47</v>
      </c>
      <c r="AI26" t="s">
        <v>47</v>
      </c>
      <c r="AJ26" t="s">
        <v>47</v>
      </c>
      <c r="AK26" t="s">
        <v>47</v>
      </c>
      <c r="AL26" t="s">
        <v>47</v>
      </c>
      <c r="AM26" t="s">
        <v>47</v>
      </c>
      <c r="AN26" t="s">
        <v>47</v>
      </c>
      <c r="AO26" s="5" t="s">
        <v>60</v>
      </c>
      <c r="AP26" s="4" t="s">
        <v>61</v>
      </c>
      <c r="AQ26" s="4" t="s">
        <v>53</v>
      </c>
      <c r="AR26" s="4" t="s">
        <v>54</v>
      </c>
      <c r="AS26" s="5">
        <v>30221</v>
      </c>
      <c r="AT26" t="s">
        <v>47</v>
      </c>
    </row>
    <row r="27" spans="1:46" ht="39" x14ac:dyDescent="0.3">
      <c r="A27" s="4" t="s">
        <v>182</v>
      </c>
      <c r="B27" t="s">
        <v>47</v>
      </c>
      <c r="C27" s="4" t="s">
        <v>183</v>
      </c>
      <c r="D27" s="4" t="s">
        <v>88</v>
      </c>
      <c r="E27" s="4" t="s">
        <v>49</v>
      </c>
      <c r="F27" s="5" t="s">
        <v>184</v>
      </c>
      <c r="G27" s="5" t="s">
        <v>185</v>
      </c>
      <c r="H27" t="s">
        <v>47</v>
      </c>
      <c r="I27" t="s">
        <v>47</v>
      </c>
      <c r="J27" t="s">
        <v>47</v>
      </c>
      <c r="K27" t="s">
        <v>47</v>
      </c>
      <c r="L27" s="5" t="s">
        <v>60</v>
      </c>
      <c r="M27" t="s">
        <v>47</v>
      </c>
      <c r="N27" t="s">
        <v>47</v>
      </c>
      <c r="O27" t="s">
        <v>47</v>
      </c>
      <c r="P27" t="s">
        <v>47</v>
      </c>
      <c r="Q27" t="s">
        <v>47</v>
      </c>
      <c r="R27" t="s">
        <v>47</v>
      </c>
      <c r="S27" t="s">
        <v>47</v>
      </c>
      <c r="T27" t="s">
        <v>47</v>
      </c>
      <c r="U27" t="s">
        <v>47</v>
      </c>
      <c r="V27" t="s">
        <v>47</v>
      </c>
      <c r="W27" s="3">
        <v>35431</v>
      </c>
      <c r="X27" s="3">
        <v>38749</v>
      </c>
      <c r="Y27" t="s">
        <v>47</v>
      </c>
      <c r="Z27" s="3">
        <v>35431</v>
      </c>
      <c r="AA27" s="3">
        <v>38749</v>
      </c>
      <c r="AB27" t="s">
        <v>47</v>
      </c>
      <c r="AC27" s="3">
        <v>37104</v>
      </c>
      <c r="AD27" s="3">
        <v>38749</v>
      </c>
      <c r="AE27" t="s">
        <v>47</v>
      </c>
      <c r="AF27" t="s">
        <v>47</v>
      </c>
      <c r="AG27" t="s">
        <v>47</v>
      </c>
      <c r="AH27" t="s">
        <v>47</v>
      </c>
      <c r="AI27" t="s">
        <v>47</v>
      </c>
      <c r="AJ27" t="s">
        <v>47</v>
      </c>
      <c r="AK27" t="s">
        <v>47</v>
      </c>
      <c r="AL27" t="s">
        <v>47</v>
      </c>
      <c r="AM27" t="s">
        <v>47</v>
      </c>
      <c r="AN27" t="s">
        <v>47</v>
      </c>
      <c r="AO27" s="5" t="s">
        <v>60</v>
      </c>
      <c r="AP27" s="4" t="s">
        <v>61</v>
      </c>
      <c r="AQ27" s="4" t="s">
        <v>53</v>
      </c>
      <c r="AR27" s="4" t="s">
        <v>186</v>
      </c>
      <c r="AS27" s="5">
        <v>277</v>
      </c>
      <c r="AT27" t="s">
        <v>47</v>
      </c>
    </row>
    <row r="28" spans="1:46" ht="52" x14ac:dyDescent="0.3">
      <c r="A28" s="4" t="s">
        <v>187</v>
      </c>
      <c r="B28" t="s">
        <v>47</v>
      </c>
      <c r="C28" s="4" t="s">
        <v>183</v>
      </c>
      <c r="D28" s="4" t="s">
        <v>188</v>
      </c>
      <c r="E28" s="4" t="s">
        <v>49</v>
      </c>
      <c r="F28" s="5" t="s">
        <v>189</v>
      </c>
      <c r="G28" s="5" t="s">
        <v>190</v>
      </c>
      <c r="H28" t="s">
        <v>47</v>
      </c>
      <c r="I28" s="3">
        <v>35309</v>
      </c>
      <c r="J28" s="3">
        <v>42491</v>
      </c>
      <c r="K28" t="s">
        <v>47</v>
      </c>
      <c r="L28" s="5" t="s">
        <v>60</v>
      </c>
      <c r="M28" s="3">
        <v>35309</v>
      </c>
      <c r="N28" s="3">
        <v>42491</v>
      </c>
      <c r="O28" t="s">
        <v>47</v>
      </c>
      <c r="P28" s="3">
        <v>35309</v>
      </c>
      <c r="Q28" s="3">
        <v>42491</v>
      </c>
      <c r="R28" t="s">
        <v>47</v>
      </c>
      <c r="S28" t="s">
        <v>47</v>
      </c>
      <c r="T28" t="s">
        <v>47</v>
      </c>
      <c r="U28" t="s">
        <v>47</v>
      </c>
      <c r="V28" t="s">
        <v>47</v>
      </c>
      <c r="W28" s="3">
        <v>32752</v>
      </c>
      <c r="X28" s="5" t="s">
        <v>50</v>
      </c>
      <c r="Y28" t="s">
        <v>47</v>
      </c>
      <c r="Z28" s="3">
        <v>32752</v>
      </c>
      <c r="AA28" s="5" t="s">
        <v>50</v>
      </c>
      <c r="AB28" t="s">
        <v>47</v>
      </c>
      <c r="AC28" s="3">
        <v>32752</v>
      </c>
      <c r="AD28" s="5" t="s">
        <v>50</v>
      </c>
      <c r="AE28" t="s">
        <v>47</v>
      </c>
      <c r="AF28" t="s">
        <v>47</v>
      </c>
      <c r="AG28" t="s">
        <v>47</v>
      </c>
      <c r="AH28" t="s">
        <v>47</v>
      </c>
      <c r="AI28" t="s">
        <v>47</v>
      </c>
      <c r="AJ28" t="s">
        <v>47</v>
      </c>
      <c r="AK28" t="s">
        <v>47</v>
      </c>
      <c r="AL28" t="s">
        <v>47</v>
      </c>
      <c r="AM28" t="s">
        <v>47</v>
      </c>
      <c r="AN28" t="s">
        <v>47</v>
      </c>
      <c r="AO28" s="5" t="s">
        <v>60</v>
      </c>
      <c r="AP28" s="4" t="s">
        <v>61</v>
      </c>
      <c r="AQ28" s="4" t="s">
        <v>53</v>
      </c>
      <c r="AR28" s="4" t="s">
        <v>191</v>
      </c>
      <c r="AS28" s="5">
        <v>34192</v>
      </c>
      <c r="AT28" t="s">
        <v>47</v>
      </c>
    </row>
    <row r="29" spans="1:46" ht="39" x14ac:dyDescent="0.3">
      <c r="A29" s="4" t="s">
        <v>192</v>
      </c>
      <c r="B29" t="s">
        <v>47</v>
      </c>
      <c r="C29" s="4" t="s">
        <v>193</v>
      </c>
      <c r="D29" s="4" t="s">
        <v>194</v>
      </c>
      <c r="E29" s="4" t="s">
        <v>195</v>
      </c>
      <c r="F29" t="s">
        <v>47</v>
      </c>
      <c r="G29" s="5" t="s">
        <v>196</v>
      </c>
      <c r="H29" t="s">
        <v>47</v>
      </c>
      <c r="I29" s="3">
        <v>42474</v>
      </c>
      <c r="J29" s="3">
        <v>43899</v>
      </c>
      <c r="K29" t="s">
        <v>47</v>
      </c>
      <c r="L29" s="5" t="s">
        <v>51</v>
      </c>
      <c r="M29" t="s">
        <v>47</v>
      </c>
      <c r="N29" t="s">
        <v>47</v>
      </c>
      <c r="O29" t="s">
        <v>47</v>
      </c>
      <c r="P29" s="3">
        <v>42474</v>
      </c>
      <c r="Q29" s="3">
        <v>43899</v>
      </c>
      <c r="R29" t="s">
        <v>47</v>
      </c>
      <c r="S29" t="s">
        <v>47</v>
      </c>
      <c r="T29" t="s">
        <v>47</v>
      </c>
      <c r="U29" t="s">
        <v>47</v>
      </c>
      <c r="V29" t="s">
        <v>47</v>
      </c>
      <c r="W29" s="3">
        <v>42474</v>
      </c>
      <c r="X29" s="3">
        <v>43899</v>
      </c>
      <c r="Y29" t="s">
        <v>47</v>
      </c>
      <c r="Z29" s="3">
        <v>42474</v>
      </c>
      <c r="AA29" s="3">
        <v>43899</v>
      </c>
      <c r="AB29" t="s">
        <v>47</v>
      </c>
      <c r="AC29" s="3">
        <v>42474</v>
      </c>
      <c r="AD29" s="3">
        <v>43899</v>
      </c>
      <c r="AE29" t="s">
        <v>47</v>
      </c>
      <c r="AF29" t="s">
        <v>47</v>
      </c>
      <c r="AG29" t="s">
        <v>47</v>
      </c>
      <c r="AH29" t="s">
        <v>47</v>
      </c>
      <c r="AI29" t="s">
        <v>47</v>
      </c>
      <c r="AJ29" t="s">
        <v>47</v>
      </c>
      <c r="AK29" t="s">
        <v>47</v>
      </c>
      <c r="AL29" t="s">
        <v>47</v>
      </c>
      <c r="AM29" t="s">
        <v>47</v>
      </c>
      <c r="AN29" t="s">
        <v>47</v>
      </c>
      <c r="AO29" s="5" t="s">
        <v>51</v>
      </c>
      <c r="AP29" s="4" t="s">
        <v>197</v>
      </c>
      <c r="AQ29" s="4" t="s">
        <v>198</v>
      </c>
      <c r="AR29" s="4" t="s">
        <v>186</v>
      </c>
      <c r="AS29" s="5">
        <v>6246020</v>
      </c>
      <c r="AT29" t="s">
        <v>47</v>
      </c>
    </row>
    <row r="30" spans="1:46" ht="52" x14ac:dyDescent="0.3">
      <c r="A30" s="4" t="s">
        <v>199</v>
      </c>
      <c r="B30" t="s">
        <v>47</v>
      </c>
      <c r="C30" s="4" t="s">
        <v>200</v>
      </c>
      <c r="D30" s="4" t="s">
        <v>201</v>
      </c>
      <c r="E30" s="4" t="s">
        <v>66</v>
      </c>
      <c r="F30" s="5" t="s">
        <v>202</v>
      </c>
      <c r="G30" s="5" t="s">
        <v>203</v>
      </c>
      <c r="H30" t="s">
        <v>47</v>
      </c>
      <c r="I30" s="3">
        <v>39722</v>
      </c>
      <c r="J30" s="3">
        <v>41548</v>
      </c>
      <c r="K30" t="s">
        <v>47</v>
      </c>
      <c r="L30" s="5" t="s">
        <v>60</v>
      </c>
      <c r="M30" s="3">
        <v>39722</v>
      </c>
      <c r="N30" s="3">
        <v>41548</v>
      </c>
      <c r="O30" t="s">
        <v>47</v>
      </c>
      <c r="P30" s="3">
        <v>39722</v>
      </c>
      <c r="Q30" s="3">
        <v>41548</v>
      </c>
      <c r="R30" t="s">
        <v>47</v>
      </c>
      <c r="S30" t="s">
        <v>47</v>
      </c>
      <c r="T30" t="s">
        <v>47</v>
      </c>
      <c r="U30" t="s">
        <v>47</v>
      </c>
      <c r="V30" t="s">
        <v>47</v>
      </c>
      <c r="W30" s="3">
        <v>39722</v>
      </c>
      <c r="X30" s="3">
        <v>41548</v>
      </c>
      <c r="Y30" t="s">
        <v>47</v>
      </c>
      <c r="Z30" s="3">
        <v>39722</v>
      </c>
      <c r="AA30" s="3">
        <v>41548</v>
      </c>
      <c r="AB30" t="s">
        <v>47</v>
      </c>
      <c r="AC30" t="s">
        <v>47</v>
      </c>
      <c r="AD30" t="s">
        <v>47</v>
      </c>
      <c r="AE30" t="s">
        <v>47</v>
      </c>
      <c r="AF30" t="s">
        <v>47</v>
      </c>
      <c r="AG30" t="s">
        <v>47</v>
      </c>
      <c r="AH30" t="s">
        <v>47</v>
      </c>
      <c r="AI30" t="s">
        <v>47</v>
      </c>
      <c r="AJ30" t="s">
        <v>47</v>
      </c>
      <c r="AK30" t="s">
        <v>47</v>
      </c>
      <c r="AL30" t="s">
        <v>47</v>
      </c>
      <c r="AM30" t="s">
        <v>47</v>
      </c>
      <c r="AN30" t="s">
        <v>47</v>
      </c>
      <c r="AO30" s="5" t="s">
        <v>51</v>
      </c>
      <c r="AP30" s="4" t="s">
        <v>61</v>
      </c>
      <c r="AQ30" s="4" t="s">
        <v>53</v>
      </c>
      <c r="AR30" s="4" t="s">
        <v>204</v>
      </c>
      <c r="AS30" s="5">
        <v>45903</v>
      </c>
      <c r="AT30" t="s">
        <v>47</v>
      </c>
    </row>
    <row r="31" spans="1:46" ht="65" x14ac:dyDescent="0.3">
      <c r="A31" s="4" t="s">
        <v>205</v>
      </c>
      <c r="B31" t="s">
        <v>47</v>
      </c>
      <c r="C31" s="4" t="s">
        <v>122</v>
      </c>
      <c r="D31" s="4" t="s">
        <v>206</v>
      </c>
      <c r="E31" s="4" t="s">
        <v>123</v>
      </c>
      <c r="F31" s="5" t="s">
        <v>207</v>
      </c>
      <c r="G31" s="5" t="s">
        <v>208</v>
      </c>
      <c r="H31" t="s">
        <v>47</v>
      </c>
      <c r="I31" s="3">
        <v>35490</v>
      </c>
      <c r="J31" s="5" t="s">
        <v>50</v>
      </c>
      <c r="K31" t="s">
        <v>47</v>
      </c>
      <c r="L31" s="5" t="s">
        <v>60</v>
      </c>
      <c r="M31" t="s">
        <v>47</v>
      </c>
      <c r="N31" t="s">
        <v>47</v>
      </c>
      <c r="O31" t="s">
        <v>47</v>
      </c>
      <c r="P31" s="3">
        <v>35490</v>
      </c>
      <c r="Q31" s="5" t="s">
        <v>50</v>
      </c>
      <c r="R31" t="s">
        <v>47</v>
      </c>
      <c r="S31" t="s">
        <v>47</v>
      </c>
      <c r="T31" t="s">
        <v>47</v>
      </c>
      <c r="U31" t="s">
        <v>47</v>
      </c>
      <c r="V31" s="5">
        <v>365</v>
      </c>
      <c r="W31" s="3">
        <v>35490</v>
      </c>
      <c r="X31" s="5" t="s">
        <v>50</v>
      </c>
      <c r="Y31" t="s">
        <v>47</v>
      </c>
      <c r="Z31" s="3">
        <v>35490</v>
      </c>
      <c r="AA31" s="5" t="s">
        <v>50</v>
      </c>
      <c r="AB31" t="s">
        <v>47</v>
      </c>
      <c r="AC31" s="3">
        <v>35490</v>
      </c>
      <c r="AD31" s="5" t="s">
        <v>50</v>
      </c>
      <c r="AE31" t="s">
        <v>47</v>
      </c>
      <c r="AF31" t="s">
        <v>47</v>
      </c>
      <c r="AG31" t="s">
        <v>47</v>
      </c>
      <c r="AH31" t="s">
        <v>47</v>
      </c>
      <c r="AI31" t="s">
        <v>47</v>
      </c>
      <c r="AJ31" t="s">
        <v>47</v>
      </c>
      <c r="AK31" t="s">
        <v>47</v>
      </c>
      <c r="AL31" t="s">
        <v>47</v>
      </c>
      <c r="AM31" t="s">
        <v>47</v>
      </c>
      <c r="AN31" t="s">
        <v>47</v>
      </c>
      <c r="AO31" s="5" t="s">
        <v>60</v>
      </c>
      <c r="AP31" s="4" t="s">
        <v>61</v>
      </c>
      <c r="AQ31" s="4" t="s">
        <v>53</v>
      </c>
      <c r="AR31" s="4" t="s">
        <v>209</v>
      </c>
      <c r="AS31" s="5">
        <v>4408554</v>
      </c>
      <c r="AT31" t="s">
        <v>47</v>
      </c>
    </row>
    <row r="32" spans="1:46" ht="130" x14ac:dyDescent="0.3">
      <c r="A32" s="4" t="s">
        <v>210</v>
      </c>
      <c r="B32" t="s">
        <v>47</v>
      </c>
      <c r="C32" s="4" t="s">
        <v>115</v>
      </c>
      <c r="D32" s="4" t="s">
        <v>211</v>
      </c>
      <c r="E32" s="4" t="s">
        <v>66</v>
      </c>
      <c r="F32" s="5" t="s">
        <v>212</v>
      </c>
      <c r="G32" s="5" t="s">
        <v>213</v>
      </c>
      <c r="H32" t="s">
        <v>47</v>
      </c>
      <c r="I32" s="3">
        <v>39083</v>
      </c>
      <c r="J32" s="5" t="s">
        <v>50</v>
      </c>
      <c r="K32" t="s">
        <v>47</v>
      </c>
      <c r="L32" s="5" t="s">
        <v>60</v>
      </c>
      <c r="M32" s="3">
        <v>40664</v>
      </c>
      <c r="N32" s="5" t="s">
        <v>50</v>
      </c>
      <c r="O32" t="s">
        <v>47</v>
      </c>
      <c r="P32" s="3">
        <v>39083</v>
      </c>
      <c r="Q32" s="5" t="s">
        <v>50</v>
      </c>
      <c r="R32" t="s">
        <v>47</v>
      </c>
      <c r="S32" t="s">
        <v>47</v>
      </c>
      <c r="T32" t="s">
        <v>47</v>
      </c>
      <c r="U32" t="s">
        <v>47</v>
      </c>
      <c r="V32" s="5">
        <v>365</v>
      </c>
      <c r="W32" s="3">
        <v>39083</v>
      </c>
      <c r="X32" s="5" t="s">
        <v>50</v>
      </c>
      <c r="Y32" t="s">
        <v>47</v>
      </c>
      <c r="Z32" s="3">
        <v>39083</v>
      </c>
      <c r="AA32" s="5" t="s">
        <v>50</v>
      </c>
      <c r="AB32" t="s">
        <v>47</v>
      </c>
      <c r="AC32" s="3">
        <v>39083</v>
      </c>
      <c r="AD32" s="5" t="s">
        <v>50</v>
      </c>
      <c r="AE32" t="s">
        <v>47</v>
      </c>
      <c r="AF32" t="s">
        <v>47</v>
      </c>
      <c r="AG32" t="s">
        <v>47</v>
      </c>
      <c r="AH32" t="s">
        <v>47</v>
      </c>
      <c r="AI32" t="s">
        <v>47</v>
      </c>
      <c r="AJ32" t="s">
        <v>47</v>
      </c>
      <c r="AK32" t="s">
        <v>47</v>
      </c>
      <c r="AL32" t="s">
        <v>47</v>
      </c>
      <c r="AM32" t="s">
        <v>47</v>
      </c>
      <c r="AN32" t="s">
        <v>47</v>
      </c>
      <c r="AO32" s="5" t="s">
        <v>60</v>
      </c>
      <c r="AP32" s="4" t="s">
        <v>61</v>
      </c>
      <c r="AQ32" s="4" t="s">
        <v>53</v>
      </c>
      <c r="AR32" s="4" t="s">
        <v>214</v>
      </c>
      <c r="AS32" s="5">
        <v>1046392</v>
      </c>
      <c r="AT32" t="s">
        <v>47</v>
      </c>
    </row>
    <row r="33" spans="1:46" ht="26" x14ac:dyDescent="0.3">
      <c r="A33" s="4" t="s">
        <v>215</v>
      </c>
      <c r="B33" t="s">
        <v>47</v>
      </c>
      <c r="C33" s="4" t="s">
        <v>216</v>
      </c>
      <c r="D33" s="4" t="s">
        <v>217</v>
      </c>
      <c r="E33" s="4" t="s">
        <v>49</v>
      </c>
      <c r="F33" s="5" t="s">
        <v>218</v>
      </c>
      <c r="G33" s="5" t="s">
        <v>219</v>
      </c>
      <c r="H33" t="s">
        <v>47</v>
      </c>
      <c r="I33" t="s">
        <v>47</v>
      </c>
      <c r="J33" t="s">
        <v>47</v>
      </c>
      <c r="K33" t="s">
        <v>47</v>
      </c>
      <c r="L33" s="5" t="s">
        <v>60</v>
      </c>
      <c r="M33" t="s">
        <v>47</v>
      </c>
      <c r="N33" t="s">
        <v>47</v>
      </c>
      <c r="O33" t="s">
        <v>47</v>
      </c>
      <c r="P33" t="s">
        <v>47</v>
      </c>
      <c r="Q33" t="s">
        <v>47</v>
      </c>
      <c r="R33" t="s">
        <v>47</v>
      </c>
      <c r="S33" t="s">
        <v>47</v>
      </c>
      <c r="T33" t="s">
        <v>47</v>
      </c>
      <c r="U33" t="s">
        <v>47</v>
      </c>
      <c r="V33" t="s">
        <v>47</v>
      </c>
      <c r="W33" s="3">
        <v>34121</v>
      </c>
      <c r="X33" s="5" t="s">
        <v>50</v>
      </c>
      <c r="Y33" t="s">
        <v>47</v>
      </c>
      <c r="Z33" s="3">
        <v>34121</v>
      </c>
      <c r="AA33" s="5" t="s">
        <v>50</v>
      </c>
      <c r="AB33" t="s">
        <v>47</v>
      </c>
      <c r="AC33" s="3">
        <v>34121</v>
      </c>
      <c r="AD33" s="5" t="s">
        <v>50</v>
      </c>
      <c r="AE33" t="s">
        <v>47</v>
      </c>
      <c r="AF33" t="s">
        <v>47</v>
      </c>
      <c r="AG33" t="s">
        <v>47</v>
      </c>
      <c r="AH33" t="s">
        <v>47</v>
      </c>
      <c r="AI33" t="s">
        <v>47</v>
      </c>
      <c r="AJ33" t="s">
        <v>47</v>
      </c>
      <c r="AK33" t="s">
        <v>47</v>
      </c>
      <c r="AL33" t="s">
        <v>47</v>
      </c>
      <c r="AM33" t="s">
        <v>47</v>
      </c>
      <c r="AN33" t="s">
        <v>47</v>
      </c>
      <c r="AO33" s="5" t="s">
        <v>60</v>
      </c>
      <c r="AP33" s="4" t="s">
        <v>61</v>
      </c>
      <c r="AQ33" s="4" t="s">
        <v>53</v>
      </c>
      <c r="AR33" s="4" t="s">
        <v>220</v>
      </c>
      <c r="AS33" s="5">
        <v>31222</v>
      </c>
      <c r="AT33" t="s">
        <v>47</v>
      </c>
    </row>
    <row r="34" spans="1:46" ht="26" x14ac:dyDescent="0.3">
      <c r="A34" s="4" t="s">
        <v>221</v>
      </c>
      <c r="B34" t="s">
        <v>47</v>
      </c>
      <c r="C34" s="4" t="s">
        <v>222</v>
      </c>
      <c r="D34" s="4" t="s">
        <v>223</v>
      </c>
      <c r="E34" s="4" t="s">
        <v>49</v>
      </c>
      <c r="F34" s="5" t="s">
        <v>224</v>
      </c>
      <c r="G34" t="s">
        <v>47</v>
      </c>
      <c r="H34" t="s">
        <v>47</v>
      </c>
      <c r="I34" s="3">
        <v>36281</v>
      </c>
      <c r="J34" s="3">
        <v>42767</v>
      </c>
      <c r="K34" t="s">
        <v>47</v>
      </c>
      <c r="L34" s="5" t="s">
        <v>51</v>
      </c>
      <c r="M34" s="3">
        <v>36281</v>
      </c>
      <c r="N34" s="3">
        <v>42767</v>
      </c>
      <c r="O34" t="s">
        <v>47</v>
      </c>
      <c r="P34" s="3">
        <v>36281</v>
      </c>
      <c r="Q34" s="3">
        <v>42767</v>
      </c>
      <c r="R34" t="s">
        <v>47</v>
      </c>
      <c r="S34" t="s">
        <v>47</v>
      </c>
      <c r="T34" t="s">
        <v>47</v>
      </c>
      <c r="U34" t="s">
        <v>47</v>
      </c>
      <c r="V34" t="s">
        <v>47</v>
      </c>
      <c r="W34" s="3">
        <v>36281</v>
      </c>
      <c r="X34" s="3">
        <v>42826</v>
      </c>
      <c r="Y34" t="s">
        <v>47</v>
      </c>
      <c r="Z34" s="3">
        <v>36281</v>
      </c>
      <c r="AA34" s="3">
        <v>42826</v>
      </c>
      <c r="AB34" t="s">
        <v>47</v>
      </c>
      <c r="AC34" s="3">
        <v>37987</v>
      </c>
      <c r="AD34" s="3">
        <v>42767</v>
      </c>
      <c r="AE34" t="s">
        <v>47</v>
      </c>
      <c r="AF34" t="s">
        <v>47</v>
      </c>
      <c r="AG34" t="s">
        <v>47</v>
      </c>
      <c r="AH34" t="s">
        <v>47</v>
      </c>
      <c r="AI34" t="s">
        <v>47</v>
      </c>
      <c r="AJ34" t="s">
        <v>47</v>
      </c>
      <c r="AK34" t="s">
        <v>47</v>
      </c>
      <c r="AL34" t="s">
        <v>47</v>
      </c>
      <c r="AM34" t="s">
        <v>47</v>
      </c>
      <c r="AN34" t="s">
        <v>47</v>
      </c>
      <c r="AO34" s="5" t="s">
        <v>51</v>
      </c>
      <c r="AP34" s="4" t="s">
        <v>135</v>
      </c>
      <c r="AQ34" s="4" t="s">
        <v>53</v>
      </c>
      <c r="AR34" s="4" t="s">
        <v>54</v>
      </c>
      <c r="AS34" s="5">
        <v>35324</v>
      </c>
      <c r="AT34" t="s">
        <v>47</v>
      </c>
    </row>
    <row r="35" spans="1:46" ht="39" x14ac:dyDescent="0.3">
      <c r="A35" s="4" t="s">
        <v>225</v>
      </c>
      <c r="B35" t="s">
        <v>47</v>
      </c>
      <c r="C35" s="4" t="s">
        <v>169</v>
      </c>
      <c r="D35" s="4" t="s">
        <v>226</v>
      </c>
      <c r="E35" s="4" t="s">
        <v>66</v>
      </c>
      <c r="F35" s="5" t="s">
        <v>227</v>
      </c>
      <c r="G35" s="5" t="s">
        <v>228</v>
      </c>
      <c r="H35" t="s">
        <v>47</v>
      </c>
      <c r="I35" t="s">
        <v>47</v>
      </c>
      <c r="J35" t="s">
        <v>47</v>
      </c>
      <c r="K35" t="s">
        <v>47</v>
      </c>
      <c r="L35" s="5" t="s">
        <v>60</v>
      </c>
      <c r="M35" t="s">
        <v>47</v>
      </c>
      <c r="N35" t="s">
        <v>47</v>
      </c>
      <c r="O35" t="s">
        <v>47</v>
      </c>
      <c r="P35" t="s">
        <v>47</v>
      </c>
      <c r="Q35" t="s">
        <v>47</v>
      </c>
      <c r="R35" t="s">
        <v>47</v>
      </c>
      <c r="S35" t="s">
        <v>47</v>
      </c>
      <c r="T35" t="s">
        <v>47</v>
      </c>
      <c r="U35" t="s">
        <v>47</v>
      </c>
      <c r="V35" t="s">
        <v>47</v>
      </c>
      <c r="W35" s="3">
        <v>40269</v>
      </c>
      <c r="X35" s="5" t="s">
        <v>50</v>
      </c>
      <c r="Y35" t="s">
        <v>47</v>
      </c>
      <c r="Z35" s="3">
        <v>40269</v>
      </c>
      <c r="AA35" s="5" t="s">
        <v>50</v>
      </c>
      <c r="AB35" t="s">
        <v>47</v>
      </c>
      <c r="AC35" s="3">
        <v>40269</v>
      </c>
      <c r="AD35" s="5" t="s">
        <v>50</v>
      </c>
      <c r="AE35" t="s">
        <v>47</v>
      </c>
      <c r="AF35" t="s">
        <v>47</v>
      </c>
      <c r="AG35" t="s">
        <v>47</v>
      </c>
      <c r="AH35" t="s">
        <v>47</v>
      </c>
      <c r="AI35" t="s">
        <v>47</v>
      </c>
      <c r="AJ35" t="s">
        <v>47</v>
      </c>
      <c r="AK35" t="s">
        <v>47</v>
      </c>
      <c r="AL35" t="s">
        <v>47</v>
      </c>
      <c r="AM35" t="s">
        <v>47</v>
      </c>
      <c r="AN35" t="s">
        <v>47</v>
      </c>
      <c r="AO35" s="5" t="s">
        <v>60</v>
      </c>
      <c r="AP35" s="4" t="s">
        <v>61</v>
      </c>
      <c r="AQ35" s="4" t="s">
        <v>53</v>
      </c>
      <c r="AR35" s="4" t="s">
        <v>62</v>
      </c>
      <c r="AS35" s="5">
        <v>186272</v>
      </c>
      <c r="AT35" t="s">
        <v>47</v>
      </c>
    </row>
    <row r="36" spans="1:46" ht="26" x14ac:dyDescent="0.3">
      <c r="A36" s="4" t="s">
        <v>229</v>
      </c>
      <c r="B36" t="s">
        <v>47</v>
      </c>
      <c r="C36" s="4" t="s">
        <v>230</v>
      </c>
      <c r="D36" s="4" t="s">
        <v>231</v>
      </c>
      <c r="E36" s="4" t="s">
        <v>58</v>
      </c>
      <c r="F36" s="5" t="s">
        <v>232</v>
      </c>
      <c r="G36" s="5" t="s">
        <v>233</v>
      </c>
      <c r="H36" t="s">
        <v>47</v>
      </c>
      <c r="I36" s="3">
        <v>43101</v>
      </c>
      <c r="J36" s="5" t="s">
        <v>50</v>
      </c>
      <c r="K36" t="s">
        <v>47</v>
      </c>
      <c r="L36" s="5" t="s">
        <v>60</v>
      </c>
      <c r="M36" s="3">
        <v>43101</v>
      </c>
      <c r="N36" s="5" t="s">
        <v>50</v>
      </c>
      <c r="O36" t="s">
        <v>47</v>
      </c>
      <c r="P36" s="3">
        <v>43101</v>
      </c>
      <c r="Q36" s="5" t="s">
        <v>50</v>
      </c>
      <c r="R36" t="s">
        <v>47</v>
      </c>
      <c r="S36" t="s">
        <v>47</v>
      </c>
      <c r="T36" t="s">
        <v>47</v>
      </c>
      <c r="U36" t="s">
        <v>47</v>
      </c>
      <c r="V36" t="s">
        <v>47</v>
      </c>
      <c r="W36" s="3">
        <v>43101</v>
      </c>
      <c r="X36" s="5" t="s">
        <v>50</v>
      </c>
      <c r="Y36" t="s">
        <v>47</v>
      </c>
      <c r="Z36" s="3">
        <v>43101</v>
      </c>
      <c r="AA36" s="5" t="s">
        <v>50</v>
      </c>
      <c r="AB36" t="s">
        <v>47</v>
      </c>
      <c r="AC36" s="3">
        <v>43101</v>
      </c>
      <c r="AD36" s="5" t="s">
        <v>50</v>
      </c>
      <c r="AE36" t="s">
        <v>47</v>
      </c>
      <c r="AF36" t="s">
        <v>47</v>
      </c>
      <c r="AG36" t="s">
        <v>47</v>
      </c>
      <c r="AH36" t="s">
        <v>47</v>
      </c>
      <c r="AI36" t="s">
        <v>47</v>
      </c>
      <c r="AJ36" t="s">
        <v>47</v>
      </c>
      <c r="AK36" t="s">
        <v>47</v>
      </c>
      <c r="AL36" t="s">
        <v>47</v>
      </c>
      <c r="AM36" t="s">
        <v>47</v>
      </c>
      <c r="AN36" t="s">
        <v>47</v>
      </c>
      <c r="AO36" s="5" t="s">
        <v>60</v>
      </c>
      <c r="AP36" s="4" t="s">
        <v>61</v>
      </c>
      <c r="AQ36" s="4" t="s">
        <v>53</v>
      </c>
      <c r="AR36" s="4" t="s">
        <v>54</v>
      </c>
      <c r="AS36" s="5">
        <v>5318048</v>
      </c>
      <c r="AT36" t="s">
        <v>47</v>
      </c>
    </row>
    <row r="37" spans="1:46" ht="26" x14ac:dyDescent="0.3">
      <c r="A37" s="4" t="s">
        <v>234</v>
      </c>
      <c r="B37" t="s">
        <v>47</v>
      </c>
      <c r="C37" s="4" t="s">
        <v>235</v>
      </c>
      <c r="D37" s="4" t="s">
        <v>236</v>
      </c>
      <c r="E37" s="4" t="s">
        <v>49</v>
      </c>
      <c r="F37" s="5" t="s">
        <v>237</v>
      </c>
      <c r="G37" t="s">
        <v>47</v>
      </c>
      <c r="H37" t="s">
        <v>47</v>
      </c>
      <c r="I37" s="3">
        <v>36831</v>
      </c>
      <c r="J37" s="5" t="s">
        <v>50</v>
      </c>
      <c r="K37" t="s">
        <v>47</v>
      </c>
      <c r="L37" s="5" t="s">
        <v>51</v>
      </c>
      <c r="M37" s="3">
        <v>36831</v>
      </c>
      <c r="N37" s="5" t="s">
        <v>50</v>
      </c>
      <c r="O37" t="s">
        <v>47</v>
      </c>
      <c r="P37" s="3">
        <v>36831</v>
      </c>
      <c r="Q37" s="5" t="s">
        <v>50</v>
      </c>
      <c r="R37" t="s">
        <v>47</v>
      </c>
      <c r="S37" t="s">
        <v>47</v>
      </c>
      <c r="T37" t="s">
        <v>47</v>
      </c>
      <c r="U37" t="s">
        <v>47</v>
      </c>
      <c r="V37" t="s">
        <v>47</v>
      </c>
      <c r="W37" s="3">
        <v>36831</v>
      </c>
      <c r="X37" s="5" t="s">
        <v>50</v>
      </c>
      <c r="Y37" t="s">
        <v>47</v>
      </c>
      <c r="Z37" s="3">
        <v>36831</v>
      </c>
      <c r="AA37" s="5" t="s">
        <v>50</v>
      </c>
      <c r="AB37" t="s">
        <v>47</v>
      </c>
      <c r="AC37" s="3">
        <v>37987</v>
      </c>
      <c r="AD37" s="5" t="s">
        <v>50</v>
      </c>
      <c r="AE37" t="s">
        <v>47</v>
      </c>
      <c r="AF37" t="s">
        <v>47</v>
      </c>
      <c r="AG37" t="s">
        <v>47</v>
      </c>
      <c r="AH37" t="s">
        <v>47</v>
      </c>
      <c r="AI37" t="s">
        <v>47</v>
      </c>
      <c r="AJ37" t="s">
        <v>47</v>
      </c>
      <c r="AK37" t="s">
        <v>47</v>
      </c>
      <c r="AL37" t="s">
        <v>47</v>
      </c>
      <c r="AM37" t="s">
        <v>47</v>
      </c>
      <c r="AN37" t="s">
        <v>47</v>
      </c>
      <c r="AO37" s="5" t="s">
        <v>51</v>
      </c>
      <c r="AP37" s="4" t="s">
        <v>85</v>
      </c>
      <c r="AQ37" s="4" t="s">
        <v>53</v>
      </c>
      <c r="AR37" s="4" t="s">
        <v>238</v>
      </c>
      <c r="AS37" s="5">
        <v>37888</v>
      </c>
      <c r="AT37" t="s">
        <v>47</v>
      </c>
    </row>
    <row r="38" spans="1:46" ht="39" x14ac:dyDescent="0.3">
      <c r="A38" s="4" t="s">
        <v>239</v>
      </c>
      <c r="B38" t="s">
        <v>47</v>
      </c>
      <c r="C38" s="4" t="s">
        <v>240</v>
      </c>
      <c r="D38" s="4" t="s">
        <v>241</v>
      </c>
      <c r="E38" s="4" t="s">
        <v>242</v>
      </c>
      <c r="F38" s="5" t="s">
        <v>243</v>
      </c>
      <c r="G38" t="s">
        <v>47</v>
      </c>
      <c r="H38" t="s">
        <v>47</v>
      </c>
      <c r="I38" s="3">
        <v>35765</v>
      </c>
      <c r="J38" s="5" t="s">
        <v>50</v>
      </c>
      <c r="K38" t="s">
        <v>47</v>
      </c>
      <c r="L38" s="5" t="s">
        <v>60</v>
      </c>
      <c r="M38" s="3">
        <v>35765</v>
      </c>
      <c r="N38" s="3">
        <v>38504</v>
      </c>
      <c r="O38" t="s">
        <v>47</v>
      </c>
      <c r="P38" s="3">
        <v>35765</v>
      </c>
      <c r="Q38" s="5" t="s">
        <v>50</v>
      </c>
      <c r="R38" t="s">
        <v>47</v>
      </c>
      <c r="S38" t="s">
        <v>47</v>
      </c>
      <c r="T38" t="s">
        <v>47</v>
      </c>
      <c r="U38" t="s">
        <v>47</v>
      </c>
      <c r="V38" t="s">
        <v>47</v>
      </c>
      <c r="W38" s="3">
        <v>35765</v>
      </c>
      <c r="X38" s="5" t="s">
        <v>50</v>
      </c>
      <c r="Y38" t="s">
        <v>47</v>
      </c>
      <c r="Z38" s="3">
        <v>35765</v>
      </c>
      <c r="AA38" s="5" t="s">
        <v>50</v>
      </c>
      <c r="AB38" t="s">
        <v>47</v>
      </c>
      <c r="AC38" s="3">
        <v>35765</v>
      </c>
      <c r="AD38" s="5" t="s">
        <v>50</v>
      </c>
      <c r="AE38" t="s">
        <v>47</v>
      </c>
      <c r="AF38" t="s">
        <v>47</v>
      </c>
      <c r="AG38" t="s">
        <v>47</v>
      </c>
      <c r="AH38" t="s">
        <v>47</v>
      </c>
      <c r="AI38" t="s">
        <v>47</v>
      </c>
      <c r="AJ38" t="s">
        <v>47</v>
      </c>
      <c r="AK38" t="s">
        <v>47</v>
      </c>
      <c r="AL38" t="s">
        <v>47</v>
      </c>
      <c r="AM38" t="s">
        <v>47</v>
      </c>
      <c r="AN38" t="s">
        <v>47</v>
      </c>
      <c r="AO38" s="5" t="s">
        <v>60</v>
      </c>
      <c r="AP38" s="4" t="s">
        <v>61</v>
      </c>
      <c r="AQ38" s="4" t="s">
        <v>53</v>
      </c>
      <c r="AR38" s="4" t="s">
        <v>244</v>
      </c>
      <c r="AS38" s="5">
        <v>5287</v>
      </c>
      <c r="AT38" t="s">
        <v>47</v>
      </c>
    </row>
    <row r="39" spans="1:46" ht="13" x14ac:dyDescent="0.3">
      <c r="A39" s="4" t="s">
        <v>245</v>
      </c>
      <c r="B39" t="s">
        <v>47</v>
      </c>
      <c r="C39" s="4" t="s">
        <v>98</v>
      </c>
      <c r="D39" s="4" t="s">
        <v>99</v>
      </c>
      <c r="E39" s="4" t="s">
        <v>100</v>
      </c>
      <c r="F39" s="5" t="s">
        <v>246</v>
      </c>
      <c r="G39" t="s">
        <v>47</v>
      </c>
      <c r="H39" t="s">
        <v>47</v>
      </c>
      <c r="I39" s="3">
        <v>36982</v>
      </c>
      <c r="J39" s="3">
        <v>42278</v>
      </c>
      <c r="K39" t="s">
        <v>47</v>
      </c>
      <c r="L39" s="5" t="s">
        <v>51</v>
      </c>
      <c r="M39" s="3">
        <v>36982</v>
      </c>
      <c r="N39" s="3">
        <v>42278</v>
      </c>
      <c r="O39" t="s">
        <v>47</v>
      </c>
      <c r="P39" s="3">
        <v>38718</v>
      </c>
      <c r="Q39" s="3">
        <v>42278</v>
      </c>
      <c r="R39" t="s">
        <v>47</v>
      </c>
      <c r="S39" t="s">
        <v>47</v>
      </c>
      <c r="T39" t="s">
        <v>47</v>
      </c>
      <c r="U39" t="s">
        <v>47</v>
      </c>
      <c r="V39" t="s">
        <v>47</v>
      </c>
      <c r="W39" s="3">
        <v>33695</v>
      </c>
      <c r="X39" s="3">
        <v>42278</v>
      </c>
      <c r="Y39" t="s">
        <v>47</v>
      </c>
      <c r="Z39" s="3">
        <v>33695</v>
      </c>
      <c r="AA39" s="3">
        <v>42278</v>
      </c>
      <c r="AB39" t="s">
        <v>47</v>
      </c>
      <c r="AC39" s="3">
        <v>36982</v>
      </c>
      <c r="AD39" s="3">
        <v>42278</v>
      </c>
      <c r="AE39" t="s">
        <v>47</v>
      </c>
      <c r="AF39" t="s">
        <v>47</v>
      </c>
      <c r="AG39" t="s">
        <v>47</v>
      </c>
      <c r="AH39" t="s">
        <v>47</v>
      </c>
      <c r="AI39" t="s">
        <v>47</v>
      </c>
      <c r="AJ39" t="s">
        <v>47</v>
      </c>
      <c r="AK39" t="s">
        <v>47</v>
      </c>
      <c r="AL39" t="s">
        <v>47</v>
      </c>
      <c r="AM39" t="s">
        <v>47</v>
      </c>
      <c r="AN39" t="s">
        <v>47</v>
      </c>
      <c r="AO39" s="5" t="s">
        <v>51</v>
      </c>
      <c r="AP39" s="4" t="s">
        <v>85</v>
      </c>
      <c r="AQ39" s="4" t="s">
        <v>53</v>
      </c>
      <c r="AR39" s="4" t="s">
        <v>54</v>
      </c>
      <c r="AS39" s="5">
        <v>44723</v>
      </c>
      <c r="AT39" t="s">
        <v>47</v>
      </c>
    </row>
    <row r="40" spans="1:46" ht="26" x14ac:dyDescent="0.3">
      <c r="A40" s="4" t="s">
        <v>247</v>
      </c>
      <c r="B40" t="s">
        <v>47</v>
      </c>
      <c r="C40" s="4" t="s">
        <v>248</v>
      </c>
      <c r="D40" s="4" t="s">
        <v>99</v>
      </c>
      <c r="E40" s="4" t="s">
        <v>100</v>
      </c>
      <c r="F40" s="5" t="s">
        <v>249</v>
      </c>
      <c r="G40" s="5" t="s">
        <v>250</v>
      </c>
      <c r="H40" t="s">
        <v>47</v>
      </c>
      <c r="I40" s="3">
        <v>35886</v>
      </c>
      <c r="J40" s="3">
        <v>40513</v>
      </c>
      <c r="K40" t="s">
        <v>47</v>
      </c>
      <c r="L40" s="5" t="s">
        <v>60</v>
      </c>
      <c r="M40" s="3">
        <v>35886</v>
      </c>
      <c r="N40" s="3">
        <v>40513</v>
      </c>
      <c r="O40" t="s">
        <v>47</v>
      </c>
      <c r="P40" s="3">
        <v>37165</v>
      </c>
      <c r="Q40" s="3">
        <v>40513</v>
      </c>
      <c r="R40" s="5" t="s">
        <v>251</v>
      </c>
      <c r="S40" t="s">
        <v>47</v>
      </c>
      <c r="T40" t="s">
        <v>47</v>
      </c>
      <c r="U40" t="s">
        <v>47</v>
      </c>
      <c r="V40" t="s">
        <v>47</v>
      </c>
      <c r="W40" s="3">
        <v>33848</v>
      </c>
      <c r="X40" s="3">
        <v>40513</v>
      </c>
      <c r="Y40" t="s">
        <v>47</v>
      </c>
      <c r="Z40" s="3">
        <v>33848</v>
      </c>
      <c r="AA40" s="3">
        <v>40513</v>
      </c>
      <c r="AB40" t="s">
        <v>47</v>
      </c>
      <c r="AC40" s="3">
        <v>35886</v>
      </c>
      <c r="AD40" s="3">
        <v>40513</v>
      </c>
      <c r="AE40" t="s">
        <v>47</v>
      </c>
      <c r="AF40" t="s">
        <v>47</v>
      </c>
      <c r="AG40" t="s">
        <v>47</v>
      </c>
      <c r="AH40" t="s">
        <v>47</v>
      </c>
      <c r="AI40" t="s">
        <v>47</v>
      </c>
      <c r="AJ40" t="s">
        <v>47</v>
      </c>
      <c r="AK40" t="s">
        <v>47</v>
      </c>
      <c r="AL40" t="s">
        <v>47</v>
      </c>
      <c r="AM40" t="s">
        <v>47</v>
      </c>
      <c r="AN40" t="s">
        <v>47</v>
      </c>
      <c r="AO40" s="5" t="s">
        <v>60</v>
      </c>
      <c r="AP40" s="4" t="s">
        <v>61</v>
      </c>
      <c r="AQ40" s="4" t="s">
        <v>53</v>
      </c>
      <c r="AR40" s="4" t="s">
        <v>54</v>
      </c>
      <c r="AS40" s="5">
        <v>34114</v>
      </c>
      <c r="AT40" t="s">
        <v>47</v>
      </c>
    </row>
    <row r="41" spans="1:46" ht="39" x14ac:dyDescent="0.3">
      <c r="A41" s="4" t="s">
        <v>252</v>
      </c>
      <c r="B41" t="s">
        <v>47</v>
      </c>
      <c r="C41" s="4" t="s">
        <v>253</v>
      </c>
      <c r="D41" s="4" t="s">
        <v>254</v>
      </c>
      <c r="E41" s="4" t="s">
        <v>49</v>
      </c>
      <c r="F41" t="s">
        <v>47</v>
      </c>
      <c r="G41" t="s">
        <v>47</v>
      </c>
      <c r="H41" t="s">
        <v>47</v>
      </c>
      <c r="I41" s="3">
        <v>35612</v>
      </c>
      <c r="J41" s="3">
        <v>42826</v>
      </c>
      <c r="K41" t="s">
        <v>47</v>
      </c>
      <c r="L41" s="5" t="s">
        <v>60</v>
      </c>
      <c r="M41" s="3">
        <v>35612</v>
      </c>
      <c r="N41" s="3">
        <v>42826</v>
      </c>
      <c r="O41" t="s">
        <v>47</v>
      </c>
      <c r="P41" s="3">
        <v>35612</v>
      </c>
      <c r="Q41" s="3">
        <v>42826</v>
      </c>
      <c r="R41" t="s">
        <v>47</v>
      </c>
      <c r="S41" t="s">
        <v>47</v>
      </c>
      <c r="T41" t="s">
        <v>47</v>
      </c>
      <c r="U41" t="s">
        <v>47</v>
      </c>
      <c r="V41" t="s">
        <v>47</v>
      </c>
      <c r="W41" s="3">
        <v>35612</v>
      </c>
      <c r="X41" s="3">
        <v>42826</v>
      </c>
      <c r="Y41" t="s">
        <v>47</v>
      </c>
      <c r="Z41" s="3">
        <v>35612</v>
      </c>
      <c r="AA41" s="3">
        <v>42826</v>
      </c>
      <c r="AB41" t="s">
        <v>47</v>
      </c>
      <c r="AC41" s="3">
        <v>35612</v>
      </c>
      <c r="AD41" s="3">
        <v>42826</v>
      </c>
      <c r="AE41" t="s">
        <v>47</v>
      </c>
      <c r="AF41" t="s">
        <v>47</v>
      </c>
      <c r="AG41" t="s">
        <v>47</v>
      </c>
      <c r="AH41" t="s">
        <v>47</v>
      </c>
      <c r="AI41" t="s">
        <v>47</v>
      </c>
      <c r="AJ41" t="s">
        <v>47</v>
      </c>
      <c r="AK41" t="s">
        <v>47</v>
      </c>
      <c r="AL41" t="s">
        <v>47</v>
      </c>
      <c r="AM41" t="s">
        <v>47</v>
      </c>
      <c r="AN41" t="s">
        <v>47</v>
      </c>
      <c r="AO41" s="5" t="s">
        <v>51</v>
      </c>
      <c r="AP41" s="4" t="s">
        <v>61</v>
      </c>
      <c r="AQ41" s="4" t="s">
        <v>53</v>
      </c>
      <c r="AR41" s="4" t="s">
        <v>54</v>
      </c>
      <c r="AS41" s="5">
        <v>38641</v>
      </c>
      <c r="AT41" t="s">
        <v>47</v>
      </c>
    </row>
    <row r="42" spans="1:46" ht="26" x14ac:dyDescent="0.3">
      <c r="A42" s="4" t="s">
        <v>255</v>
      </c>
      <c r="B42" t="s">
        <v>47</v>
      </c>
      <c r="C42" s="4" t="s">
        <v>256</v>
      </c>
      <c r="D42" s="4" t="s">
        <v>257</v>
      </c>
      <c r="E42" s="4" t="s">
        <v>258</v>
      </c>
      <c r="F42" s="5" t="s">
        <v>259</v>
      </c>
      <c r="G42" s="5" t="s">
        <v>260</v>
      </c>
      <c r="H42" t="s">
        <v>47</v>
      </c>
      <c r="I42" s="3">
        <v>38899</v>
      </c>
      <c r="J42" s="5" t="s">
        <v>50</v>
      </c>
      <c r="K42" t="s">
        <v>47</v>
      </c>
      <c r="L42" s="5" t="s">
        <v>60</v>
      </c>
      <c r="M42" t="s">
        <v>47</v>
      </c>
      <c r="N42" t="s">
        <v>47</v>
      </c>
      <c r="O42" t="s">
        <v>47</v>
      </c>
      <c r="P42" s="3">
        <v>38899</v>
      </c>
      <c r="Q42" s="5" t="s">
        <v>50</v>
      </c>
      <c r="R42" t="s">
        <v>47</v>
      </c>
      <c r="S42" t="s">
        <v>47</v>
      </c>
      <c r="T42" t="s">
        <v>47</v>
      </c>
      <c r="U42" t="s">
        <v>47</v>
      </c>
      <c r="V42" t="s">
        <v>47</v>
      </c>
      <c r="W42" s="3">
        <v>38899</v>
      </c>
      <c r="X42" s="5" t="s">
        <v>50</v>
      </c>
      <c r="Y42" t="s">
        <v>47</v>
      </c>
      <c r="Z42" s="3">
        <v>38899</v>
      </c>
      <c r="AA42" s="5" t="s">
        <v>50</v>
      </c>
      <c r="AB42" t="s">
        <v>47</v>
      </c>
      <c r="AC42" s="3">
        <v>38899</v>
      </c>
      <c r="AD42" s="5" t="s">
        <v>50</v>
      </c>
      <c r="AE42" t="s">
        <v>47</v>
      </c>
      <c r="AF42" t="s">
        <v>47</v>
      </c>
      <c r="AG42" t="s">
        <v>47</v>
      </c>
      <c r="AH42" t="s">
        <v>47</v>
      </c>
      <c r="AI42" t="s">
        <v>47</v>
      </c>
      <c r="AJ42" t="s">
        <v>47</v>
      </c>
      <c r="AK42" t="s">
        <v>47</v>
      </c>
      <c r="AL42" t="s">
        <v>47</v>
      </c>
      <c r="AM42" t="s">
        <v>47</v>
      </c>
      <c r="AN42" t="s">
        <v>47</v>
      </c>
      <c r="AO42" s="5" t="s">
        <v>60</v>
      </c>
      <c r="AP42" s="4" t="s">
        <v>61</v>
      </c>
      <c r="AQ42" s="4" t="s">
        <v>261</v>
      </c>
      <c r="AR42" s="4" t="s">
        <v>54</v>
      </c>
      <c r="AS42" s="5">
        <v>4365295</v>
      </c>
      <c r="AT42" t="s">
        <v>47</v>
      </c>
    </row>
    <row r="43" spans="1:46" ht="130" x14ac:dyDescent="0.3">
      <c r="A43" s="4" t="s">
        <v>262</v>
      </c>
      <c r="B43" t="s">
        <v>47</v>
      </c>
      <c r="C43" s="4" t="s">
        <v>263</v>
      </c>
      <c r="D43" s="4" t="s">
        <v>88</v>
      </c>
      <c r="E43" s="4" t="s">
        <v>66</v>
      </c>
      <c r="F43" s="5" t="s">
        <v>264</v>
      </c>
      <c r="G43" s="5" t="s">
        <v>265</v>
      </c>
      <c r="H43" t="s">
        <v>47</v>
      </c>
      <c r="I43" s="3">
        <v>35490</v>
      </c>
      <c r="J43" s="5" t="s">
        <v>50</v>
      </c>
      <c r="K43" t="s">
        <v>47</v>
      </c>
      <c r="L43" s="5" t="s">
        <v>60</v>
      </c>
      <c r="M43" s="3">
        <v>35490</v>
      </c>
      <c r="N43" s="5" t="s">
        <v>50</v>
      </c>
      <c r="O43" t="s">
        <v>47</v>
      </c>
      <c r="P43" s="3">
        <v>35490</v>
      </c>
      <c r="Q43" s="5" t="s">
        <v>50</v>
      </c>
      <c r="R43" s="5" t="s">
        <v>266</v>
      </c>
      <c r="S43" t="s">
        <v>47</v>
      </c>
      <c r="T43" t="s">
        <v>47</v>
      </c>
      <c r="U43" t="s">
        <v>47</v>
      </c>
      <c r="V43" t="s">
        <v>47</v>
      </c>
      <c r="W43" s="3">
        <v>33664</v>
      </c>
      <c r="X43" s="5" t="s">
        <v>50</v>
      </c>
      <c r="Y43" t="s">
        <v>47</v>
      </c>
      <c r="Z43" s="3">
        <v>33664</v>
      </c>
      <c r="AA43" s="5" t="s">
        <v>50</v>
      </c>
      <c r="AB43" t="s">
        <v>47</v>
      </c>
      <c r="AC43" s="3">
        <v>33664</v>
      </c>
      <c r="AD43" s="5" t="s">
        <v>50</v>
      </c>
      <c r="AE43" t="s">
        <v>47</v>
      </c>
      <c r="AF43" t="s">
        <v>47</v>
      </c>
      <c r="AG43" t="s">
        <v>47</v>
      </c>
      <c r="AH43" t="s">
        <v>47</v>
      </c>
      <c r="AI43" t="s">
        <v>47</v>
      </c>
      <c r="AJ43" t="s">
        <v>47</v>
      </c>
      <c r="AK43" t="s">
        <v>47</v>
      </c>
      <c r="AL43" t="s">
        <v>47</v>
      </c>
      <c r="AM43" t="s">
        <v>47</v>
      </c>
      <c r="AN43" t="s">
        <v>47</v>
      </c>
      <c r="AO43" s="5" t="s">
        <v>60</v>
      </c>
      <c r="AP43" s="4" t="s">
        <v>61</v>
      </c>
      <c r="AQ43" s="4" t="s">
        <v>53</v>
      </c>
      <c r="AR43" s="4" t="s">
        <v>267</v>
      </c>
      <c r="AS43" s="5">
        <v>25220</v>
      </c>
      <c r="AT43" t="s">
        <v>47</v>
      </c>
    </row>
    <row r="44" spans="1:46" ht="39" x14ac:dyDescent="0.3">
      <c r="A44" s="4" t="s">
        <v>268</v>
      </c>
      <c r="B44" t="s">
        <v>47</v>
      </c>
      <c r="C44" s="4" t="s">
        <v>269</v>
      </c>
      <c r="D44" s="4" t="s">
        <v>223</v>
      </c>
      <c r="E44" s="4" t="s">
        <v>49</v>
      </c>
      <c r="F44" s="5" t="s">
        <v>270</v>
      </c>
      <c r="G44" s="5" t="s">
        <v>271</v>
      </c>
      <c r="H44" t="s">
        <v>47</v>
      </c>
      <c r="I44" s="3">
        <v>36526</v>
      </c>
      <c r="J44" s="3">
        <v>41214</v>
      </c>
      <c r="K44" t="s">
        <v>47</v>
      </c>
      <c r="L44" s="5" t="s">
        <v>60</v>
      </c>
      <c r="M44" s="3">
        <v>36526</v>
      </c>
      <c r="N44" s="3">
        <v>41214</v>
      </c>
      <c r="O44" t="s">
        <v>47</v>
      </c>
      <c r="P44" s="3">
        <v>36526</v>
      </c>
      <c r="Q44" s="3">
        <v>41214</v>
      </c>
      <c r="R44" t="s">
        <v>47</v>
      </c>
      <c r="S44" t="s">
        <v>47</v>
      </c>
      <c r="T44" t="s">
        <v>47</v>
      </c>
      <c r="U44" t="s">
        <v>47</v>
      </c>
      <c r="V44" t="s">
        <v>47</v>
      </c>
      <c r="W44" s="3">
        <v>36526</v>
      </c>
      <c r="X44" s="5" t="s">
        <v>50</v>
      </c>
      <c r="Y44" t="s">
        <v>47</v>
      </c>
      <c r="Z44" s="3">
        <v>36526</v>
      </c>
      <c r="AA44" s="5" t="s">
        <v>50</v>
      </c>
      <c r="AB44" t="s">
        <v>47</v>
      </c>
      <c r="AC44" s="3">
        <v>36526</v>
      </c>
      <c r="AD44" s="5" t="s">
        <v>50</v>
      </c>
      <c r="AE44" t="s">
        <v>47</v>
      </c>
      <c r="AF44" t="s">
        <v>47</v>
      </c>
      <c r="AG44" t="s">
        <v>47</v>
      </c>
      <c r="AH44" t="s">
        <v>47</v>
      </c>
      <c r="AI44" t="s">
        <v>47</v>
      </c>
      <c r="AJ44" t="s">
        <v>47</v>
      </c>
      <c r="AK44" t="s">
        <v>47</v>
      </c>
      <c r="AL44" t="s">
        <v>47</v>
      </c>
      <c r="AM44" t="s">
        <v>47</v>
      </c>
      <c r="AN44" t="s">
        <v>47</v>
      </c>
      <c r="AO44" s="5" t="s">
        <v>60</v>
      </c>
      <c r="AP44" s="4" t="s">
        <v>61</v>
      </c>
      <c r="AQ44" s="4" t="s">
        <v>53</v>
      </c>
      <c r="AR44" s="4" t="s">
        <v>272</v>
      </c>
      <c r="AS44" s="5">
        <v>787</v>
      </c>
      <c r="AT44" t="s">
        <v>47</v>
      </c>
    </row>
    <row r="45" spans="1:46" ht="13" x14ac:dyDescent="0.3">
      <c r="A45" s="4" t="s">
        <v>273</v>
      </c>
      <c r="B45" t="s">
        <v>47</v>
      </c>
      <c r="C45" s="4" t="s">
        <v>274</v>
      </c>
      <c r="D45" s="4" t="s">
        <v>275</v>
      </c>
      <c r="E45" s="4" t="s">
        <v>49</v>
      </c>
      <c r="F45" s="5" t="s">
        <v>276</v>
      </c>
      <c r="G45" t="s">
        <v>47</v>
      </c>
      <c r="H45" t="s">
        <v>47</v>
      </c>
      <c r="I45" s="3">
        <v>37622</v>
      </c>
      <c r="J45" s="5" t="s">
        <v>50</v>
      </c>
      <c r="K45" t="s">
        <v>47</v>
      </c>
      <c r="L45" s="5" t="s">
        <v>60</v>
      </c>
      <c r="M45" s="3">
        <v>37622</v>
      </c>
      <c r="N45" s="5" t="s">
        <v>50</v>
      </c>
      <c r="O45" s="5" t="s">
        <v>277</v>
      </c>
      <c r="P45" s="3">
        <v>37622</v>
      </c>
      <c r="Q45" s="5" t="s">
        <v>50</v>
      </c>
      <c r="R45" t="s">
        <v>47</v>
      </c>
      <c r="S45" t="s">
        <v>47</v>
      </c>
      <c r="T45" t="s">
        <v>47</v>
      </c>
      <c r="U45" t="s">
        <v>47</v>
      </c>
      <c r="V45" t="s">
        <v>47</v>
      </c>
      <c r="W45" s="3">
        <v>37622</v>
      </c>
      <c r="X45" s="5" t="s">
        <v>50</v>
      </c>
      <c r="Y45" t="s">
        <v>47</v>
      </c>
      <c r="Z45" s="3">
        <v>37622</v>
      </c>
      <c r="AA45" s="5" t="s">
        <v>50</v>
      </c>
      <c r="AB45" t="s">
        <v>47</v>
      </c>
      <c r="AC45" s="3">
        <v>37622</v>
      </c>
      <c r="AD45" s="5" t="s">
        <v>50</v>
      </c>
      <c r="AE45" t="s">
        <v>47</v>
      </c>
      <c r="AF45" t="s">
        <v>47</v>
      </c>
      <c r="AG45" t="s">
        <v>47</v>
      </c>
      <c r="AH45" t="s">
        <v>47</v>
      </c>
      <c r="AI45" t="s">
        <v>47</v>
      </c>
      <c r="AJ45" t="s">
        <v>47</v>
      </c>
      <c r="AK45" t="s">
        <v>47</v>
      </c>
      <c r="AL45" t="s">
        <v>47</v>
      </c>
      <c r="AM45" t="s">
        <v>47</v>
      </c>
      <c r="AN45" t="s">
        <v>47</v>
      </c>
      <c r="AO45" s="5" t="s">
        <v>60</v>
      </c>
      <c r="AP45" s="4" t="s">
        <v>61</v>
      </c>
      <c r="AQ45" s="4" t="s">
        <v>53</v>
      </c>
      <c r="AR45" s="4" t="s">
        <v>54</v>
      </c>
      <c r="AS45" s="5">
        <v>29702</v>
      </c>
      <c r="AT45" t="s">
        <v>47</v>
      </c>
    </row>
    <row r="46" spans="1:46" ht="65" x14ac:dyDescent="0.3">
      <c r="A46" s="4" t="s">
        <v>278</v>
      </c>
      <c r="B46" t="s">
        <v>47</v>
      </c>
      <c r="C46" s="4" t="s">
        <v>279</v>
      </c>
      <c r="D46" s="4" t="s">
        <v>88</v>
      </c>
      <c r="E46" s="4" t="s">
        <v>49</v>
      </c>
      <c r="F46" s="5" t="s">
        <v>280</v>
      </c>
      <c r="G46" s="5" t="s">
        <v>281</v>
      </c>
      <c r="H46" t="s">
        <v>47</v>
      </c>
      <c r="I46" s="3">
        <v>36982</v>
      </c>
      <c r="J46" s="3">
        <v>40148</v>
      </c>
      <c r="K46" s="5" t="s">
        <v>282</v>
      </c>
      <c r="L46" s="5" t="s">
        <v>60</v>
      </c>
      <c r="M46" s="3">
        <v>36982</v>
      </c>
      <c r="N46" s="3">
        <v>40148</v>
      </c>
      <c r="O46" s="5" t="s">
        <v>282</v>
      </c>
      <c r="P46" s="3">
        <v>36982</v>
      </c>
      <c r="Q46" s="3">
        <v>40148</v>
      </c>
      <c r="R46" t="s">
        <v>47</v>
      </c>
      <c r="S46" t="s">
        <v>47</v>
      </c>
      <c r="T46" t="s">
        <v>47</v>
      </c>
      <c r="U46" t="s">
        <v>47</v>
      </c>
      <c r="V46" t="s">
        <v>47</v>
      </c>
      <c r="W46" s="3">
        <v>36982</v>
      </c>
      <c r="X46" s="5" t="s">
        <v>50</v>
      </c>
      <c r="Y46" s="5" t="s">
        <v>283</v>
      </c>
      <c r="Z46" s="3">
        <v>36982</v>
      </c>
      <c r="AA46" s="5" t="s">
        <v>50</v>
      </c>
      <c r="AB46" s="5" t="s">
        <v>284</v>
      </c>
      <c r="AC46" s="3">
        <v>38078</v>
      </c>
      <c r="AD46" s="5" t="s">
        <v>50</v>
      </c>
      <c r="AE46" s="5" t="s">
        <v>283</v>
      </c>
      <c r="AF46" t="s">
        <v>47</v>
      </c>
      <c r="AG46" t="s">
        <v>47</v>
      </c>
      <c r="AH46" t="s">
        <v>47</v>
      </c>
      <c r="AI46" t="s">
        <v>47</v>
      </c>
      <c r="AJ46" t="s">
        <v>47</v>
      </c>
      <c r="AK46" t="s">
        <v>47</v>
      </c>
      <c r="AL46" t="s">
        <v>47</v>
      </c>
      <c r="AM46" t="s">
        <v>47</v>
      </c>
      <c r="AN46" t="s">
        <v>47</v>
      </c>
      <c r="AO46" s="5" t="s">
        <v>60</v>
      </c>
      <c r="AP46" s="4" t="s">
        <v>61</v>
      </c>
      <c r="AQ46" s="4" t="s">
        <v>53</v>
      </c>
      <c r="AR46" s="4" t="s">
        <v>285</v>
      </c>
      <c r="AS46" s="5">
        <v>40697</v>
      </c>
      <c r="AT46" t="s">
        <v>47</v>
      </c>
    </row>
    <row r="47" spans="1:46" ht="91" x14ac:dyDescent="0.3">
      <c r="A47" s="4" t="s">
        <v>286</v>
      </c>
      <c r="B47" t="s">
        <v>47</v>
      </c>
      <c r="C47" s="4" t="s">
        <v>287</v>
      </c>
      <c r="D47" s="4" t="s">
        <v>288</v>
      </c>
      <c r="E47" s="4" t="s">
        <v>49</v>
      </c>
      <c r="F47" s="5" t="s">
        <v>289</v>
      </c>
      <c r="G47" s="5" t="s">
        <v>290</v>
      </c>
      <c r="H47" t="s">
        <v>47</v>
      </c>
      <c r="I47" s="3">
        <v>34790</v>
      </c>
      <c r="J47" s="5" t="s">
        <v>50</v>
      </c>
      <c r="K47" t="s">
        <v>47</v>
      </c>
      <c r="L47" s="5" t="s">
        <v>60</v>
      </c>
      <c r="M47" s="3">
        <v>34790</v>
      </c>
      <c r="N47" s="5" t="s">
        <v>50</v>
      </c>
      <c r="O47" t="s">
        <v>47</v>
      </c>
      <c r="P47" s="3">
        <v>35065</v>
      </c>
      <c r="Q47" s="5" t="s">
        <v>50</v>
      </c>
      <c r="R47" t="s">
        <v>47</v>
      </c>
      <c r="S47" t="s">
        <v>47</v>
      </c>
      <c r="T47" t="s">
        <v>47</v>
      </c>
      <c r="U47" t="s">
        <v>47</v>
      </c>
      <c r="V47" t="s">
        <v>47</v>
      </c>
      <c r="W47" s="3">
        <v>32509</v>
      </c>
      <c r="X47" s="5" t="s">
        <v>50</v>
      </c>
      <c r="Y47" t="s">
        <v>47</v>
      </c>
      <c r="Z47" s="3">
        <v>32509</v>
      </c>
      <c r="AA47" s="5" t="s">
        <v>50</v>
      </c>
      <c r="AB47" t="s">
        <v>47</v>
      </c>
      <c r="AC47" s="3">
        <v>32509</v>
      </c>
      <c r="AD47" s="5" t="s">
        <v>50</v>
      </c>
      <c r="AE47" t="s">
        <v>47</v>
      </c>
      <c r="AF47" t="s">
        <v>47</v>
      </c>
      <c r="AG47" t="s">
        <v>47</v>
      </c>
      <c r="AH47" t="s">
        <v>47</v>
      </c>
      <c r="AI47" t="s">
        <v>47</v>
      </c>
      <c r="AJ47" t="s">
        <v>47</v>
      </c>
      <c r="AK47" t="s">
        <v>47</v>
      </c>
      <c r="AL47" t="s">
        <v>47</v>
      </c>
      <c r="AM47" t="s">
        <v>47</v>
      </c>
      <c r="AN47" t="s">
        <v>47</v>
      </c>
      <c r="AO47" s="5" t="s">
        <v>60</v>
      </c>
      <c r="AP47" s="4" t="s">
        <v>61</v>
      </c>
      <c r="AQ47" s="4" t="s">
        <v>53</v>
      </c>
      <c r="AR47" s="4" t="s">
        <v>291</v>
      </c>
      <c r="AS47" s="5">
        <v>37338</v>
      </c>
      <c r="AT47" t="s">
        <v>47</v>
      </c>
    </row>
    <row r="48" spans="1:46" ht="65" x14ac:dyDescent="0.3">
      <c r="A48" s="4" t="s">
        <v>292</v>
      </c>
      <c r="B48" t="s">
        <v>47</v>
      </c>
      <c r="C48" s="4" t="s">
        <v>293</v>
      </c>
      <c r="D48" s="4" t="s">
        <v>294</v>
      </c>
      <c r="E48" s="4" t="s">
        <v>49</v>
      </c>
      <c r="F48" s="5" t="s">
        <v>295</v>
      </c>
      <c r="G48" s="5" t="s">
        <v>296</v>
      </c>
      <c r="H48" t="s">
        <v>47</v>
      </c>
      <c r="I48" s="3">
        <v>35796</v>
      </c>
      <c r="J48" s="3">
        <v>36161</v>
      </c>
      <c r="K48" t="s">
        <v>47</v>
      </c>
      <c r="L48" s="5" t="s">
        <v>60</v>
      </c>
      <c r="M48" s="3">
        <v>35796</v>
      </c>
      <c r="N48" s="3">
        <v>36161</v>
      </c>
      <c r="O48" t="s">
        <v>47</v>
      </c>
      <c r="P48" s="3">
        <v>35796</v>
      </c>
      <c r="Q48" s="3">
        <v>36161</v>
      </c>
      <c r="R48" t="s">
        <v>47</v>
      </c>
      <c r="S48" t="s">
        <v>47</v>
      </c>
      <c r="T48" t="s">
        <v>47</v>
      </c>
      <c r="U48" t="s">
        <v>47</v>
      </c>
      <c r="V48" t="s">
        <v>47</v>
      </c>
      <c r="W48" s="3">
        <v>35796</v>
      </c>
      <c r="X48" s="3">
        <v>36161</v>
      </c>
      <c r="Y48" t="s">
        <v>47</v>
      </c>
      <c r="Z48" s="3">
        <v>35796</v>
      </c>
      <c r="AA48" s="3">
        <v>36161</v>
      </c>
      <c r="AB48" t="s">
        <v>47</v>
      </c>
      <c r="AC48" t="s">
        <v>47</v>
      </c>
      <c r="AD48" t="s">
        <v>47</v>
      </c>
      <c r="AE48" t="s">
        <v>47</v>
      </c>
      <c r="AF48" t="s">
        <v>47</v>
      </c>
      <c r="AG48" t="s">
        <v>47</v>
      </c>
      <c r="AH48" t="s">
        <v>47</v>
      </c>
      <c r="AI48" t="s">
        <v>47</v>
      </c>
      <c r="AJ48" t="s">
        <v>47</v>
      </c>
      <c r="AK48" t="s">
        <v>47</v>
      </c>
      <c r="AL48" t="s">
        <v>47</v>
      </c>
      <c r="AM48" t="s">
        <v>47</v>
      </c>
      <c r="AN48" t="s">
        <v>47</v>
      </c>
      <c r="AO48" s="5" t="s">
        <v>60</v>
      </c>
      <c r="AP48" s="4" t="s">
        <v>61</v>
      </c>
      <c r="AQ48" s="4" t="s">
        <v>53</v>
      </c>
      <c r="AR48" s="4" t="s">
        <v>297</v>
      </c>
      <c r="AS48" s="5">
        <v>33077</v>
      </c>
      <c r="AT48" t="s">
        <v>47</v>
      </c>
    </row>
    <row r="49" spans="1:46" ht="130" x14ac:dyDescent="0.3">
      <c r="A49" s="4" t="s">
        <v>298</v>
      </c>
      <c r="B49" t="s">
        <v>47</v>
      </c>
      <c r="C49" s="4" t="s">
        <v>293</v>
      </c>
      <c r="D49" s="4" t="s">
        <v>299</v>
      </c>
      <c r="E49" s="4" t="s">
        <v>49</v>
      </c>
      <c r="F49" t="s">
        <v>47</v>
      </c>
      <c r="G49" s="5" t="s">
        <v>296</v>
      </c>
      <c r="H49" t="s">
        <v>47</v>
      </c>
      <c r="I49" s="3">
        <v>36526</v>
      </c>
      <c r="J49" s="5" t="s">
        <v>50</v>
      </c>
      <c r="K49" t="s">
        <v>47</v>
      </c>
      <c r="L49" s="5" t="s">
        <v>60</v>
      </c>
      <c r="M49" s="3">
        <v>36526</v>
      </c>
      <c r="N49" s="5" t="s">
        <v>50</v>
      </c>
      <c r="O49" t="s">
        <v>47</v>
      </c>
      <c r="P49" s="3">
        <v>36526</v>
      </c>
      <c r="Q49" s="5" t="s">
        <v>50</v>
      </c>
      <c r="R49" t="s">
        <v>47</v>
      </c>
      <c r="S49" t="s">
        <v>47</v>
      </c>
      <c r="T49" t="s">
        <v>47</v>
      </c>
      <c r="U49" t="s">
        <v>47</v>
      </c>
      <c r="V49" t="s">
        <v>47</v>
      </c>
      <c r="W49" s="3">
        <v>36526</v>
      </c>
      <c r="X49" s="5" t="s">
        <v>50</v>
      </c>
      <c r="Y49" t="s">
        <v>47</v>
      </c>
      <c r="Z49" s="3">
        <v>36526</v>
      </c>
      <c r="AA49" s="5" t="s">
        <v>50</v>
      </c>
      <c r="AB49" t="s">
        <v>47</v>
      </c>
      <c r="AC49" s="3">
        <v>36526</v>
      </c>
      <c r="AD49" s="5" t="s">
        <v>50</v>
      </c>
      <c r="AE49" t="s">
        <v>47</v>
      </c>
      <c r="AF49" t="s">
        <v>47</v>
      </c>
      <c r="AG49" t="s">
        <v>47</v>
      </c>
      <c r="AH49" t="s">
        <v>47</v>
      </c>
      <c r="AI49" t="s">
        <v>47</v>
      </c>
      <c r="AJ49" t="s">
        <v>47</v>
      </c>
      <c r="AK49" t="s">
        <v>47</v>
      </c>
      <c r="AL49" t="s">
        <v>47</v>
      </c>
      <c r="AM49" t="s">
        <v>47</v>
      </c>
      <c r="AN49" t="s">
        <v>47</v>
      </c>
      <c r="AO49" s="5" t="s">
        <v>60</v>
      </c>
      <c r="AP49" s="4" t="s">
        <v>61</v>
      </c>
      <c r="AQ49" s="4" t="s">
        <v>53</v>
      </c>
      <c r="AR49" s="4" t="s">
        <v>300</v>
      </c>
      <c r="AS49" s="5">
        <v>28776</v>
      </c>
      <c r="AT49" t="s">
        <v>47</v>
      </c>
    </row>
    <row r="50" spans="1:46" ht="143" x14ac:dyDescent="0.3">
      <c r="A50" s="4" t="s">
        <v>301</v>
      </c>
      <c r="B50" t="s">
        <v>47</v>
      </c>
      <c r="C50" s="4" t="s">
        <v>301</v>
      </c>
      <c r="D50" s="4" t="s">
        <v>88</v>
      </c>
      <c r="E50" s="4" t="s">
        <v>49</v>
      </c>
      <c r="F50" s="5" t="s">
        <v>302</v>
      </c>
      <c r="G50" t="s">
        <v>47</v>
      </c>
      <c r="H50" t="s">
        <v>47</v>
      </c>
      <c r="I50" s="3">
        <v>35551</v>
      </c>
      <c r="J50" s="3">
        <v>37377</v>
      </c>
      <c r="K50" t="s">
        <v>47</v>
      </c>
      <c r="L50" s="5" t="s">
        <v>60</v>
      </c>
      <c r="M50" s="3">
        <v>35551</v>
      </c>
      <c r="N50" s="3">
        <v>37377</v>
      </c>
      <c r="O50" t="s">
        <v>47</v>
      </c>
      <c r="P50" s="3">
        <v>35551</v>
      </c>
      <c r="Q50" s="3">
        <v>37377</v>
      </c>
      <c r="R50" t="s">
        <v>47</v>
      </c>
      <c r="S50" t="s">
        <v>47</v>
      </c>
      <c r="T50" t="s">
        <v>47</v>
      </c>
      <c r="U50" t="s">
        <v>47</v>
      </c>
      <c r="V50" t="s">
        <v>47</v>
      </c>
      <c r="W50" s="3">
        <v>35551</v>
      </c>
      <c r="X50" s="3">
        <v>37377</v>
      </c>
      <c r="Y50" t="s">
        <v>47</v>
      </c>
      <c r="Z50" s="3">
        <v>35551</v>
      </c>
      <c r="AA50" s="3">
        <v>37377</v>
      </c>
      <c r="AB50" t="s">
        <v>47</v>
      </c>
      <c r="AC50" t="s">
        <v>47</v>
      </c>
      <c r="AD50" t="s">
        <v>47</v>
      </c>
      <c r="AE50" t="s">
        <v>47</v>
      </c>
      <c r="AF50" t="s">
        <v>47</v>
      </c>
      <c r="AG50" t="s">
        <v>47</v>
      </c>
      <c r="AH50" t="s">
        <v>47</v>
      </c>
      <c r="AI50" t="s">
        <v>47</v>
      </c>
      <c r="AJ50" t="s">
        <v>47</v>
      </c>
      <c r="AK50" t="s">
        <v>47</v>
      </c>
      <c r="AL50" t="s">
        <v>47</v>
      </c>
      <c r="AM50" t="s">
        <v>47</v>
      </c>
      <c r="AN50" t="s">
        <v>47</v>
      </c>
      <c r="AO50" s="5" t="s">
        <v>60</v>
      </c>
      <c r="AP50" s="4" t="s">
        <v>61</v>
      </c>
      <c r="AQ50" s="4" t="s">
        <v>53</v>
      </c>
      <c r="AR50" s="4" t="s">
        <v>303</v>
      </c>
      <c r="AS50" s="5">
        <v>40839</v>
      </c>
      <c r="AT50" t="s">
        <v>47</v>
      </c>
    </row>
    <row r="51" spans="1:46" ht="52" x14ac:dyDescent="0.3">
      <c r="A51" s="4" t="s">
        <v>304</v>
      </c>
      <c r="B51" t="s">
        <v>47</v>
      </c>
      <c r="C51" s="4" t="s">
        <v>305</v>
      </c>
      <c r="D51" s="4" t="s">
        <v>306</v>
      </c>
      <c r="E51" s="4" t="s">
        <v>49</v>
      </c>
      <c r="F51" s="5" t="s">
        <v>307</v>
      </c>
      <c r="G51" s="5" t="s">
        <v>308</v>
      </c>
      <c r="H51" t="s">
        <v>47</v>
      </c>
      <c r="I51" s="3">
        <v>35855</v>
      </c>
      <c r="J51" s="3">
        <v>40148</v>
      </c>
      <c r="K51" t="s">
        <v>47</v>
      </c>
      <c r="L51" s="5" t="s">
        <v>60</v>
      </c>
      <c r="M51" s="3">
        <v>35855</v>
      </c>
      <c r="N51" s="3">
        <v>40148</v>
      </c>
      <c r="O51" t="s">
        <v>47</v>
      </c>
      <c r="P51" s="3">
        <v>35855</v>
      </c>
      <c r="Q51" s="3">
        <v>40148</v>
      </c>
      <c r="R51" t="s">
        <v>47</v>
      </c>
      <c r="S51" t="s">
        <v>47</v>
      </c>
      <c r="T51" t="s">
        <v>47</v>
      </c>
      <c r="U51" t="s">
        <v>47</v>
      </c>
      <c r="V51" t="s">
        <v>47</v>
      </c>
      <c r="W51" s="3">
        <v>35855</v>
      </c>
      <c r="X51" s="3">
        <v>40148</v>
      </c>
      <c r="Y51" t="s">
        <v>47</v>
      </c>
      <c r="Z51" s="3">
        <v>35855</v>
      </c>
      <c r="AA51" s="3">
        <v>40148</v>
      </c>
      <c r="AB51" t="s">
        <v>47</v>
      </c>
      <c r="AC51" s="3">
        <v>36678</v>
      </c>
      <c r="AD51" s="3">
        <v>40148</v>
      </c>
      <c r="AE51" t="s">
        <v>47</v>
      </c>
      <c r="AF51" t="s">
        <v>47</v>
      </c>
      <c r="AG51" t="s">
        <v>47</v>
      </c>
      <c r="AH51" t="s">
        <v>47</v>
      </c>
      <c r="AI51" t="s">
        <v>47</v>
      </c>
      <c r="AJ51" t="s">
        <v>47</v>
      </c>
      <c r="AK51" t="s">
        <v>47</v>
      </c>
      <c r="AL51" t="s">
        <v>47</v>
      </c>
      <c r="AM51" t="s">
        <v>47</v>
      </c>
      <c r="AN51" t="s">
        <v>47</v>
      </c>
      <c r="AO51" s="5" t="s">
        <v>60</v>
      </c>
      <c r="AP51" s="4" t="s">
        <v>61</v>
      </c>
      <c r="AQ51" s="4" t="s">
        <v>53</v>
      </c>
      <c r="AR51" s="4" t="s">
        <v>309</v>
      </c>
      <c r="AS51" s="5">
        <v>33930</v>
      </c>
      <c r="AT51" t="s">
        <v>47</v>
      </c>
    </row>
    <row r="52" spans="1:46" ht="52" x14ac:dyDescent="0.3">
      <c r="A52" s="4" t="s">
        <v>310</v>
      </c>
      <c r="B52" t="s">
        <v>47</v>
      </c>
      <c r="C52" s="4" t="s">
        <v>305</v>
      </c>
      <c r="D52" s="4" t="s">
        <v>306</v>
      </c>
      <c r="E52" s="4" t="s">
        <v>49</v>
      </c>
      <c r="F52" t="s">
        <v>47</v>
      </c>
      <c r="G52" s="5" t="s">
        <v>308</v>
      </c>
      <c r="H52" t="s">
        <v>47</v>
      </c>
      <c r="I52" s="3">
        <v>40330</v>
      </c>
      <c r="J52" s="3">
        <v>44256</v>
      </c>
      <c r="K52" t="s">
        <v>47</v>
      </c>
      <c r="L52" s="5" t="s">
        <v>60</v>
      </c>
      <c r="M52" s="3">
        <v>40330</v>
      </c>
      <c r="N52" s="3">
        <v>44256</v>
      </c>
      <c r="O52" t="s">
        <v>47</v>
      </c>
      <c r="P52" s="3">
        <v>40330</v>
      </c>
      <c r="Q52" s="3">
        <v>44256</v>
      </c>
      <c r="R52" t="s">
        <v>47</v>
      </c>
      <c r="S52" t="s">
        <v>47</v>
      </c>
      <c r="T52" t="s">
        <v>47</v>
      </c>
      <c r="U52" t="s">
        <v>47</v>
      </c>
      <c r="V52" t="s">
        <v>47</v>
      </c>
      <c r="W52" s="3">
        <v>40330</v>
      </c>
      <c r="X52" s="3">
        <v>44805</v>
      </c>
      <c r="Y52" t="s">
        <v>47</v>
      </c>
      <c r="Z52" s="3">
        <v>40330</v>
      </c>
      <c r="AA52" s="3">
        <v>44805</v>
      </c>
      <c r="AB52" t="s">
        <v>47</v>
      </c>
      <c r="AC52" s="3">
        <v>40330</v>
      </c>
      <c r="AD52" s="3">
        <v>44256</v>
      </c>
      <c r="AE52" t="s">
        <v>47</v>
      </c>
      <c r="AF52" t="s">
        <v>47</v>
      </c>
      <c r="AG52" t="s">
        <v>47</v>
      </c>
      <c r="AH52" t="s">
        <v>47</v>
      </c>
      <c r="AI52" t="s">
        <v>47</v>
      </c>
      <c r="AJ52" t="s">
        <v>47</v>
      </c>
      <c r="AK52" t="s">
        <v>47</v>
      </c>
      <c r="AL52" t="s">
        <v>47</v>
      </c>
      <c r="AM52" t="s">
        <v>47</v>
      </c>
      <c r="AN52" t="s">
        <v>47</v>
      </c>
      <c r="AO52" s="5" t="s">
        <v>60</v>
      </c>
      <c r="AP52" s="4" t="s">
        <v>61</v>
      </c>
      <c r="AQ52" s="4" t="s">
        <v>53</v>
      </c>
      <c r="AR52" s="4" t="s">
        <v>309</v>
      </c>
      <c r="AS52" s="5">
        <v>135330</v>
      </c>
      <c r="AT52" t="s">
        <v>47</v>
      </c>
    </row>
    <row r="53" spans="1:46" ht="91" x14ac:dyDescent="0.3">
      <c r="A53" s="4" t="s">
        <v>311</v>
      </c>
      <c r="B53" t="s">
        <v>47</v>
      </c>
      <c r="C53" s="4" t="s">
        <v>312</v>
      </c>
      <c r="D53" s="4" t="s">
        <v>313</v>
      </c>
      <c r="E53" s="4" t="s">
        <v>49</v>
      </c>
      <c r="F53" s="5" t="s">
        <v>314</v>
      </c>
      <c r="G53" s="5" t="s">
        <v>315</v>
      </c>
      <c r="H53" t="s">
        <v>47</v>
      </c>
      <c r="I53" s="3">
        <v>40087</v>
      </c>
      <c r="J53" s="3">
        <v>40817</v>
      </c>
      <c r="K53" t="s">
        <v>47</v>
      </c>
      <c r="L53" s="5" t="s">
        <v>60</v>
      </c>
      <c r="M53" s="3">
        <v>40087</v>
      </c>
      <c r="N53" s="3">
        <v>40817</v>
      </c>
      <c r="O53" t="s">
        <v>47</v>
      </c>
      <c r="P53" s="3">
        <v>40087</v>
      </c>
      <c r="Q53" s="3">
        <v>40817</v>
      </c>
      <c r="R53" t="s">
        <v>47</v>
      </c>
      <c r="S53" t="s">
        <v>47</v>
      </c>
      <c r="T53" t="s">
        <v>47</v>
      </c>
      <c r="U53" t="s">
        <v>47</v>
      </c>
      <c r="V53" t="s">
        <v>47</v>
      </c>
      <c r="W53" s="3">
        <v>40087</v>
      </c>
      <c r="X53" s="3">
        <v>40817</v>
      </c>
      <c r="Y53" t="s">
        <v>47</v>
      </c>
      <c r="Z53" s="3">
        <v>40087</v>
      </c>
      <c r="AA53" s="3">
        <v>40817</v>
      </c>
      <c r="AB53" t="s">
        <v>47</v>
      </c>
      <c r="AC53" s="3">
        <v>40087</v>
      </c>
      <c r="AD53" s="3">
        <v>40817</v>
      </c>
      <c r="AE53" t="s">
        <v>47</v>
      </c>
      <c r="AF53" t="s">
        <v>47</v>
      </c>
      <c r="AG53" t="s">
        <v>47</v>
      </c>
      <c r="AH53" t="s">
        <v>47</v>
      </c>
      <c r="AI53" t="s">
        <v>47</v>
      </c>
      <c r="AJ53" t="s">
        <v>47</v>
      </c>
      <c r="AK53" t="s">
        <v>47</v>
      </c>
      <c r="AL53" t="s">
        <v>47</v>
      </c>
      <c r="AM53" t="s">
        <v>47</v>
      </c>
      <c r="AN53" t="s">
        <v>47</v>
      </c>
      <c r="AO53" s="5" t="s">
        <v>60</v>
      </c>
      <c r="AP53" s="4" t="s">
        <v>61</v>
      </c>
      <c r="AQ53" s="4" t="s">
        <v>53</v>
      </c>
      <c r="AR53" s="4" t="s">
        <v>316</v>
      </c>
      <c r="AS53" s="5">
        <v>54899</v>
      </c>
      <c r="AT53" t="s">
        <v>47</v>
      </c>
    </row>
    <row r="54" spans="1:46" ht="91" x14ac:dyDescent="0.3">
      <c r="A54" s="4" t="s">
        <v>317</v>
      </c>
      <c r="B54" t="s">
        <v>47</v>
      </c>
      <c r="C54" s="4" t="s">
        <v>312</v>
      </c>
      <c r="D54" s="4" t="s">
        <v>313</v>
      </c>
      <c r="E54" s="4" t="s">
        <v>49</v>
      </c>
      <c r="F54" t="s">
        <v>47</v>
      </c>
      <c r="G54" s="5" t="s">
        <v>315</v>
      </c>
      <c r="H54" t="s">
        <v>47</v>
      </c>
      <c r="I54" s="3">
        <v>40848</v>
      </c>
      <c r="J54" s="3">
        <v>43891</v>
      </c>
      <c r="K54" t="s">
        <v>47</v>
      </c>
      <c r="L54" s="5" t="s">
        <v>60</v>
      </c>
      <c r="M54" t="s">
        <v>47</v>
      </c>
      <c r="N54" t="s">
        <v>47</v>
      </c>
      <c r="O54" t="s">
        <v>47</v>
      </c>
      <c r="P54" s="3">
        <v>40848</v>
      </c>
      <c r="Q54" s="3">
        <v>43891</v>
      </c>
      <c r="R54" t="s">
        <v>47</v>
      </c>
      <c r="S54" t="s">
        <v>47</v>
      </c>
      <c r="T54" t="s">
        <v>47</v>
      </c>
      <c r="U54" t="s">
        <v>47</v>
      </c>
      <c r="V54" t="s">
        <v>47</v>
      </c>
      <c r="W54" s="3">
        <v>40848</v>
      </c>
      <c r="X54" s="3">
        <v>43891</v>
      </c>
      <c r="Y54" t="s">
        <v>47</v>
      </c>
      <c r="Z54" s="3">
        <v>40848</v>
      </c>
      <c r="AA54" s="3">
        <v>43891</v>
      </c>
      <c r="AB54" t="s">
        <v>47</v>
      </c>
      <c r="AC54" s="3">
        <v>40848</v>
      </c>
      <c r="AD54" s="3">
        <v>43891</v>
      </c>
      <c r="AE54" t="s">
        <v>47</v>
      </c>
      <c r="AF54" t="s">
        <v>47</v>
      </c>
      <c r="AG54" t="s">
        <v>47</v>
      </c>
      <c r="AH54" t="s">
        <v>47</v>
      </c>
      <c r="AI54" t="s">
        <v>47</v>
      </c>
      <c r="AJ54" t="s">
        <v>47</v>
      </c>
      <c r="AK54" t="s">
        <v>47</v>
      </c>
      <c r="AL54" t="s">
        <v>47</v>
      </c>
      <c r="AM54" t="s">
        <v>47</v>
      </c>
      <c r="AN54" t="s">
        <v>47</v>
      </c>
      <c r="AO54" s="5" t="s">
        <v>60</v>
      </c>
      <c r="AP54" s="4" t="s">
        <v>61</v>
      </c>
      <c r="AQ54" s="4" t="s">
        <v>53</v>
      </c>
      <c r="AR54" s="4" t="s">
        <v>316</v>
      </c>
      <c r="AS54" s="5">
        <v>2026882</v>
      </c>
      <c r="AT54" t="s">
        <v>47</v>
      </c>
    </row>
    <row r="55" spans="1:46" ht="39" x14ac:dyDescent="0.3">
      <c r="A55" s="4" t="s">
        <v>318</v>
      </c>
      <c r="B55" t="s">
        <v>47</v>
      </c>
      <c r="C55" s="4" t="s">
        <v>169</v>
      </c>
      <c r="D55" s="4" t="s">
        <v>319</v>
      </c>
      <c r="E55" s="4" t="s">
        <v>66</v>
      </c>
      <c r="F55" s="5" t="s">
        <v>320</v>
      </c>
      <c r="G55" s="5" t="s">
        <v>321</v>
      </c>
      <c r="H55" t="s">
        <v>47</v>
      </c>
      <c r="I55" t="s">
        <v>47</v>
      </c>
      <c r="J55" t="s">
        <v>47</v>
      </c>
      <c r="K55" t="s">
        <v>47</v>
      </c>
      <c r="L55" s="5" t="s">
        <v>60</v>
      </c>
      <c r="M55" t="s">
        <v>47</v>
      </c>
      <c r="N55" t="s">
        <v>47</v>
      </c>
      <c r="O55" t="s">
        <v>47</v>
      </c>
      <c r="P55" t="s">
        <v>47</v>
      </c>
      <c r="Q55" t="s">
        <v>47</v>
      </c>
      <c r="R55" t="s">
        <v>47</v>
      </c>
      <c r="S55" t="s">
        <v>47</v>
      </c>
      <c r="T55" t="s">
        <v>47</v>
      </c>
      <c r="U55" t="s">
        <v>47</v>
      </c>
      <c r="V55" t="s">
        <v>47</v>
      </c>
      <c r="W55" s="3">
        <v>37987</v>
      </c>
      <c r="X55" s="5" t="s">
        <v>50</v>
      </c>
      <c r="Y55" t="s">
        <v>47</v>
      </c>
      <c r="Z55" s="3">
        <v>37987</v>
      </c>
      <c r="AA55" s="5" t="s">
        <v>50</v>
      </c>
      <c r="AB55" t="s">
        <v>47</v>
      </c>
      <c r="AC55" s="3">
        <v>37987</v>
      </c>
      <c r="AD55" s="5" t="s">
        <v>50</v>
      </c>
      <c r="AE55" t="s">
        <v>47</v>
      </c>
      <c r="AF55" t="s">
        <v>47</v>
      </c>
      <c r="AG55" t="s">
        <v>47</v>
      </c>
      <c r="AH55" t="s">
        <v>47</v>
      </c>
      <c r="AI55" t="s">
        <v>47</v>
      </c>
      <c r="AJ55" t="s">
        <v>47</v>
      </c>
      <c r="AK55" t="s">
        <v>47</v>
      </c>
      <c r="AL55" t="s">
        <v>47</v>
      </c>
      <c r="AM55" t="s">
        <v>47</v>
      </c>
      <c r="AN55" t="s">
        <v>47</v>
      </c>
      <c r="AO55" s="5" t="s">
        <v>60</v>
      </c>
      <c r="AP55" s="4" t="s">
        <v>61</v>
      </c>
      <c r="AQ55" s="4" t="s">
        <v>53</v>
      </c>
      <c r="AR55" s="4" t="s">
        <v>186</v>
      </c>
      <c r="AS55" s="5">
        <v>46544</v>
      </c>
      <c r="AT55" t="s">
        <v>47</v>
      </c>
    </row>
    <row r="56" spans="1:46" ht="52" x14ac:dyDescent="0.3">
      <c r="A56" s="4" t="s">
        <v>322</v>
      </c>
      <c r="B56" t="s">
        <v>47</v>
      </c>
      <c r="C56" s="4" t="s">
        <v>323</v>
      </c>
      <c r="D56" s="4" t="s">
        <v>324</v>
      </c>
      <c r="E56" s="4" t="s">
        <v>49</v>
      </c>
      <c r="F56" s="5" t="s">
        <v>325</v>
      </c>
      <c r="G56" s="5" t="s">
        <v>326</v>
      </c>
      <c r="H56" t="s">
        <v>47</v>
      </c>
      <c r="I56" t="s">
        <v>47</v>
      </c>
      <c r="J56" t="s">
        <v>47</v>
      </c>
      <c r="K56" t="s">
        <v>47</v>
      </c>
      <c r="L56" s="5" t="s">
        <v>60</v>
      </c>
      <c r="M56" t="s">
        <v>47</v>
      </c>
      <c r="N56" t="s">
        <v>47</v>
      </c>
      <c r="O56" t="s">
        <v>47</v>
      </c>
      <c r="P56" t="s">
        <v>47</v>
      </c>
      <c r="Q56" t="s">
        <v>47</v>
      </c>
      <c r="R56" t="s">
        <v>47</v>
      </c>
      <c r="S56" t="s">
        <v>47</v>
      </c>
      <c r="T56" t="s">
        <v>47</v>
      </c>
      <c r="U56" t="s">
        <v>47</v>
      </c>
      <c r="V56" t="s">
        <v>47</v>
      </c>
      <c r="W56" s="3">
        <v>33635</v>
      </c>
      <c r="X56" s="5" t="s">
        <v>50</v>
      </c>
      <c r="Y56" t="s">
        <v>47</v>
      </c>
      <c r="Z56" s="3">
        <v>33635</v>
      </c>
      <c r="AA56" s="5" t="s">
        <v>50</v>
      </c>
      <c r="AB56" t="s">
        <v>47</v>
      </c>
      <c r="AC56" s="3">
        <v>33635</v>
      </c>
      <c r="AD56" s="5" t="s">
        <v>50</v>
      </c>
      <c r="AE56" t="s">
        <v>47</v>
      </c>
      <c r="AF56" t="s">
        <v>47</v>
      </c>
      <c r="AG56" t="s">
        <v>47</v>
      </c>
      <c r="AH56" t="s">
        <v>47</v>
      </c>
      <c r="AI56" t="s">
        <v>47</v>
      </c>
      <c r="AJ56" t="s">
        <v>47</v>
      </c>
      <c r="AK56" t="s">
        <v>47</v>
      </c>
      <c r="AL56" t="s">
        <v>47</v>
      </c>
      <c r="AM56" t="s">
        <v>47</v>
      </c>
      <c r="AN56" t="s">
        <v>47</v>
      </c>
      <c r="AO56" s="5" t="s">
        <v>60</v>
      </c>
      <c r="AP56" s="4" t="s">
        <v>61</v>
      </c>
      <c r="AQ56" s="4" t="s">
        <v>53</v>
      </c>
      <c r="AR56" s="4" t="s">
        <v>327</v>
      </c>
      <c r="AS56" s="5">
        <v>41725</v>
      </c>
      <c r="AT56" t="s">
        <v>47</v>
      </c>
    </row>
    <row r="57" spans="1:46" ht="39" x14ac:dyDescent="0.3">
      <c r="A57" s="4" t="s">
        <v>328</v>
      </c>
      <c r="B57" t="s">
        <v>47</v>
      </c>
      <c r="C57" s="4" t="s">
        <v>329</v>
      </c>
      <c r="D57" s="4" t="s">
        <v>330</v>
      </c>
      <c r="E57" s="4" t="s">
        <v>49</v>
      </c>
      <c r="F57" s="5" t="s">
        <v>331</v>
      </c>
      <c r="G57" t="s">
        <v>47</v>
      </c>
      <c r="H57" t="s">
        <v>47</v>
      </c>
      <c r="I57" s="3">
        <v>40664</v>
      </c>
      <c r="J57" s="3">
        <v>42125</v>
      </c>
      <c r="K57" t="s">
        <v>47</v>
      </c>
      <c r="L57" s="5" t="s">
        <v>60</v>
      </c>
      <c r="M57" s="3">
        <v>40664</v>
      </c>
      <c r="N57" s="3">
        <v>42125</v>
      </c>
      <c r="O57" t="s">
        <v>47</v>
      </c>
      <c r="P57" s="3">
        <v>40664</v>
      </c>
      <c r="Q57" s="3">
        <v>42125</v>
      </c>
      <c r="R57" t="s">
        <v>47</v>
      </c>
      <c r="S57" t="s">
        <v>47</v>
      </c>
      <c r="T57" t="s">
        <v>47</v>
      </c>
      <c r="U57" t="s">
        <v>47</v>
      </c>
      <c r="V57" t="s">
        <v>47</v>
      </c>
      <c r="W57" s="3">
        <v>40664</v>
      </c>
      <c r="X57" s="3">
        <v>42125</v>
      </c>
      <c r="Y57" t="s">
        <v>47</v>
      </c>
      <c r="Z57" s="3">
        <v>40664</v>
      </c>
      <c r="AA57" s="3">
        <v>42125</v>
      </c>
      <c r="AB57" t="s">
        <v>47</v>
      </c>
      <c r="AC57" s="3">
        <v>40664</v>
      </c>
      <c r="AD57" s="3">
        <v>42125</v>
      </c>
      <c r="AE57" t="s">
        <v>47</v>
      </c>
      <c r="AF57" t="s">
        <v>47</v>
      </c>
      <c r="AG57" t="s">
        <v>47</v>
      </c>
      <c r="AH57" t="s">
        <v>47</v>
      </c>
      <c r="AI57" t="s">
        <v>47</v>
      </c>
      <c r="AJ57" t="s">
        <v>47</v>
      </c>
      <c r="AK57" t="s">
        <v>47</v>
      </c>
      <c r="AL57" t="s">
        <v>47</v>
      </c>
      <c r="AM57" t="s">
        <v>47</v>
      </c>
      <c r="AN57" t="s">
        <v>47</v>
      </c>
      <c r="AO57" s="5" t="s">
        <v>60</v>
      </c>
      <c r="AP57" s="4" t="s">
        <v>61</v>
      </c>
      <c r="AQ57" s="4" t="s">
        <v>53</v>
      </c>
      <c r="AR57" s="4" t="s">
        <v>62</v>
      </c>
      <c r="AS57" s="5">
        <v>836340</v>
      </c>
      <c r="AT57" t="s">
        <v>47</v>
      </c>
    </row>
    <row r="58" spans="1:46" ht="91" x14ac:dyDescent="0.3">
      <c r="A58" s="4" t="s">
        <v>332</v>
      </c>
      <c r="B58" t="s">
        <v>47</v>
      </c>
      <c r="C58" s="4" t="s">
        <v>183</v>
      </c>
      <c r="D58" s="4" t="s">
        <v>333</v>
      </c>
      <c r="E58" s="4" t="s">
        <v>49</v>
      </c>
      <c r="F58" s="5" t="s">
        <v>334</v>
      </c>
      <c r="G58" s="5" t="s">
        <v>335</v>
      </c>
      <c r="H58" t="s">
        <v>47</v>
      </c>
      <c r="I58" t="s">
        <v>47</v>
      </c>
      <c r="J58" t="s">
        <v>47</v>
      </c>
      <c r="K58" t="s">
        <v>47</v>
      </c>
      <c r="L58" s="5" t="s">
        <v>60</v>
      </c>
      <c r="M58" t="s">
        <v>47</v>
      </c>
      <c r="N58" t="s">
        <v>47</v>
      </c>
      <c r="O58" t="s">
        <v>47</v>
      </c>
      <c r="P58" t="s">
        <v>47</v>
      </c>
      <c r="Q58" t="s">
        <v>47</v>
      </c>
      <c r="R58" t="s">
        <v>47</v>
      </c>
      <c r="S58" t="s">
        <v>47</v>
      </c>
      <c r="T58" t="s">
        <v>47</v>
      </c>
      <c r="U58" t="s">
        <v>47</v>
      </c>
      <c r="V58" t="s">
        <v>47</v>
      </c>
      <c r="W58" s="3">
        <v>35977</v>
      </c>
      <c r="X58" s="3">
        <v>36069</v>
      </c>
      <c r="Y58" t="s">
        <v>47</v>
      </c>
      <c r="Z58" s="3">
        <v>35977</v>
      </c>
      <c r="AA58" s="3">
        <v>36069</v>
      </c>
      <c r="AB58" t="s">
        <v>47</v>
      </c>
      <c r="AC58" t="s">
        <v>47</v>
      </c>
      <c r="AD58" t="s">
        <v>47</v>
      </c>
      <c r="AE58" t="s">
        <v>47</v>
      </c>
      <c r="AF58" t="s">
        <v>47</v>
      </c>
      <c r="AG58" t="s">
        <v>47</v>
      </c>
      <c r="AH58" t="s">
        <v>47</v>
      </c>
      <c r="AI58" t="s">
        <v>47</v>
      </c>
      <c r="AJ58" t="s">
        <v>47</v>
      </c>
      <c r="AK58" t="s">
        <v>47</v>
      </c>
      <c r="AL58" t="s">
        <v>47</v>
      </c>
      <c r="AM58" t="s">
        <v>47</v>
      </c>
      <c r="AN58" t="s">
        <v>47</v>
      </c>
      <c r="AO58" s="5" t="s">
        <v>60</v>
      </c>
      <c r="AP58" s="4" t="s">
        <v>61</v>
      </c>
      <c r="AQ58" s="4" t="s">
        <v>53</v>
      </c>
      <c r="AR58" s="4" t="s">
        <v>336</v>
      </c>
      <c r="AS58" s="5">
        <v>32040</v>
      </c>
      <c r="AT58" t="s">
        <v>47</v>
      </c>
    </row>
    <row r="59" spans="1:46" ht="26" x14ac:dyDescent="0.3">
      <c r="A59" s="4" t="s">
        <v>337</v>
      </c>
      <c r="B59" t="s">
        <v>47</v>
      </c>
      <c r="C59" s="4" t="s">
        <v>338</v>
      </c>
      <c r="D59" s="4" t="s">
        <v>339</v>
      </c>
      <c r="E59" s="4" t="s">
        <v>49</v>
      </c>
      <c r="F59" s="5" t="s">
        <v>340</v>
      </c>
      <c r="G59" s="5" t="s">
        <v>341</v>
      </c>
      <c r="H59" t="s">
        <v>47</v>
      </c>
      <c r="I59" s="3">
        <v>35431</v>
      </c>
      <c r="J59" s="3">
        <v>36800</v>
      </c>
      <c r="K59" t="s">
        <v>47</v>
      </c>
      <c r="L59" s="5" t="s">
        <v>60</v>
      </c>
      <c r="M59" s="3">
        <v>35431</v>
      </c>
      <c r="N59" s="3">
        <v>36800</v>
      </c>
      <c r="O59" t="s">
        <v>47</v>
      </c>
      <c r="P59" s="3">
        <v>35431</v>
      </c>
      <c r="Q59" s="3">
        <v>36800</v>
      </c>
      <c r="R59" t="s">
        <v>47</v>
      </c>
      <c r="S59" t="s">
        <v>47</v>
      </c>
      <c r="T59" t="s">
        <v>47</v>
      </c>
      <c r="U59" t="s">
        <v>47</v>
      </c>
      <c r="V59" t="s">
        <v>47</v>
      </c>
      <c r="W59" s="3">
        <v>32509</v>
      </c>
      <c r="X59" s="5" t="s">
        <v>50</v>
      </c>
      <c r="Y59" t="s">
        <v>47</v>
      </c>
      <c r="Z59" s="3">
        <v>32509</v>
      </c>
      <c r="AA59" s="5" t="s">
        <v>50</v>
      </c>
      <c r="AB59" t="s">
        <v>47</v>
      </c>
      <c r="AC59" s="3">
        <v>32509</v>
      </c>
      <c r="AD59" s="5" t="s">
        <v>50</v>
      </c>
      <c r="AE59" t="s">
        <v>47</v>
      </c>
      <c r="AF59" t="s">
        <v>47</v>
      </c>
      <c r="AG59" t="s">
        <v>47</v>
      </c>
      <c r="AH59" t="s">
        <v>47</v>
      </c>
      <c r="AI59" t="s">
        <v>47</v>
      </c>
      <c r="AJ59" t="s">
        <v>47</v>
      </c>
      <c r="AK59" t="s">
        <v>47</v>
      </c>
      <c r="AL59" t="s">
        <v>47</v>
      </c>
      <c r="AM59" t="s">
        <v>47</v>
      </c>
      <c r="AN59" t="s">
        <v>47</v>
      </c>
      <c r="AO59" s="5" t="s">
        <v>60</v>
      </c>
      <c r="AP59" s="4" t="s">
        <v>61</v>
      </c>
      <c r="AQ59" s="4" t="s">
        <v>53</v>
      </c>
      <c r="AR59" s="4" t="s">
        <v>342</v>
      </c>
      <c r="AS59" s="5">
        <v>23101</v>
      </c>
      <c r="AT59" t="s">
        <v>47</v>
      </c>
    </row>
    <row r="60" spans="1:46" ht="39" x14ac:dyDescent="0.3">
      <c r="A60" s="4" t="s">
        <v>343</v>
      </c>
      <c r="B60" t="s">
        <v>47</v>
      </c>
      <c r="C60" s="4" t="s">
        <v>344</v>
      </c>
      <c r="D60" s="4" t="s">
        <v>345</v>
      </c>
      <c r="E60" s="4" t="s">
        <v>49</v>
      </c>
      <c r="F60" s="5" t="s">
        <v>346</v>
      </c>
      <c r="G60" s="5" t="s">
        <v>347</v>
      </c>
      <c r="H60" t="s">
        <v>47</v>
      </c>
      <c r="I60" s="3">
        <v>37622</v>
      </c>
      <c r="J60" s="3">
        <v>40118</v>
      </c>
      <c r="K60" t="s">
        <v>47</v>
      </c>
      <c r="L60" s="5" t="s">
        <v>60</v>
      </c>
      <c r="M60" s="3">
        <v>37622</v>
      </c>
      <c r="N60" s="3">
        <v>40118</v>
      </c>
      <c r="O60" t="s">
        <v>47</v>
      </c>
      <c r="P60" s="3">
        <v>37622</v>
      </c>
      <c r="Q60" s="3">
        <v>40118</v>
      </c>
      <c r="R60" t="s">
        <v>47</v>
      </c>
      <c r="S60" t="s">
        <v>47</v>
      </c>
      <c r="T60" t="s">
        <v>47</v>
      </c>
      <c r="U60" t="s">
        <v>47</v>
      </c>
      <c r="V60" t="s">
        <v>47</v>
      </c>
      <c r="W60" s="3">
        <v>37622</v>
      </c>
      <c r="X60" s="3">
        <v>40118</v>
      </c>
      <c r="Y60" t="s">
        <v>47</v>
      </c>
      <c r="Z60" s="3">
        <v>37622</v>
      </c>
      <c r="AA60" s="3">
        <v>40118</v>
      </c>
      <c r="AB60" t="s">
        <v>47</v>
      </c>
      <c r="AC60" s="3">
        <v>38231</v>
      </c>
      <c r="AD60" s="3">
        <v>40118</v>
      </c>
      <c r="AE60" t="s">
        <v>47</v>
      </c>
      <c r="AF60" t="s">
        <v>47</v>
      </c>
      <c r="AG60" t="s">
        <v>47</v>
      </c>
      <c r="AH60" t="s">
        <v>47</v>
      </c>
      <c r="AI60" t="s">
        <v>47</v>
      </c>
      <c r="AJ60" t="s">
        <v>47</v>
      </c>
      <c r="AK60" t="s">
        <v>47</v>
      </c>
      <c r="AL60" t="s">
        <v>47</v>
      </c>
      <c r="AM60" t="s">
        <v>47</v>
      </c>
      <c r="AN60" t="s">
        <v>47</v>
      </c>
      <c r="AO60" s="5" t="s">
        <v>60</v>
      </c>
      <c r="AP60" s="4" t="s">
        <v>61</v>
      </c>
      <c r="AQ60" s="4" t="s">
        <v>53</v>
      </c>
      <c r="AR60" s="4" t="s">
        <v>348</v>
      </c>
      <c r="AS60" s="5">
        <v>48054</v>
      </c>
      <c r="AT60" t="s">
        <v>47</v>
      </c>
    </row>
    <row r="61" spans="1:46" ht="130" x14ac:dyDescent="0.3">
      <c r="A61" s="4" t="s">
        <v>349</v>
      </c>
      <c r="B61" t="s">
        <v>47</v>
      </c>
      <c r="C61" s="4" t="s">
        <v>169</v>
      </c>
      <c r="D61" s="4" t="s">
        <v>223</v>
      </c>
      <c r="E61" s="4" t="s">
        <v>66</v>
      </c>
      <c r="F61" s="5" t="s">
        <v>350</v>
      </c>
      <c r="G61" s="5" t="s">
        <v>351</v>
      </c>
      <c r="H61" t="s">
        <v>47</v>
      </c>
      <c r="I61" s="3">
        <v>37438</v>
      </c>
      <c r="J61" s="3">
        <v>42675</v>
      </c>
      <c r="K61" t="s">
        <v>47</v>
      </c>
      <c r="L61" s="5" t="s">
        <v>60</v>
      </c>
      <c r="M61" s="3">
        <v>37438</v>
      </c>
      <c r="N61" s="3">
        <v>38899</v>
      </c>
      <c r="O61" t="s">
        <v>47</v>
      </c>
      <c r="P61" s="3">
        <v>37438</v>
      </c>
      <c r="Q61" s="3">
        <v>42675</v>
      </c>
      <c r="R61" t="s">
        <v>47</v>
      </c>
      <c r="S61" t="s">
        <v>47</v>
      </c>
      <c r="T61" t="s">
        <v>47</v>
      </c>
      <c r="U61" t="s">
        <v>47</v>
      </c>
      <c r="V61" t="s">
        <v>47</v>
      </c>
      <c r="W61" s="3">
        <v>37438</v>
      </c>
      <c r="X61" s="5" t="s">
        <v>50</v>
      </c>
      <c r="Y61" t="s">
        <v>47</v>
      </c>
      <c r="Z61" s="3">
        <v>37438</v>
      </c>
      <c r="AA61" s="5" t="s">
        <v>50</v>
      </c>
      <c r="AB61" t="s">
        <v>47</v>
      </c>
      <c r="AC61" s="3">
        <v>37865</v>
      </c>
      <c r="AD61" s="5" t="s">
        <v>50</v>
      </c>
      <c r="AE61" t="s">
        <v>47</v>
      </c>
      <c r="AF61" t="s">
        <v>47</v>
      </c>
      <c r="AG61" t="s">
        <v>47</v>
      </c>
      <c r="AH61" t="s">
        <v>47</v>
      </c>
      <c r="AI61" t="s">
        <v>47</v>
      </c>
      <c r="AJ61" t="s">
        <v>47</v>
      </c>
      <c r="AK61" t="s">
        <v>47</v>
      </c>
      <c r="AL61" t="s">
        <v>47</v>
      </c>
      <c r="AM61" t="s">
        <v>47</v>
      </c>
      <c r="AN61" t="s">
        <v>47</v>
      </c>
      <c r="AO61" s="5" t="s">
        <v>60</v>
      </c>
      <c r="AP61" s="4" t="s">
        <v>61</v>
      </c>
      <c r="AQ61" s="4" t="s">
        <v>53</v>
      </c>
      <c r="AR61" s="4" t="s">
        <v>352</v>
      </c>
      <c r="AS61" s="5">
        <v>44607</v>
      </c>
      <c r="AT61" t="s">
        <v>47</v>
      </c>
    </row>
    <row r="62" spans="1:46" ht="65" x14ac:dyDescent="0.3">
      <c r="A62" s="4" t="s">
        <v>353</v>
      </c>
      <c r="B62" t="s">
        <v>47</v>
      </c>
      <c r="C62" s="4" t="s">
        <v>354</v>
      </c>
      <c r="D62" s="4" t="s">
        <v>217</v>
      </c>
      <c r="E62" s="4" t="s">
        <v>49</v>
      </c>
      <c r="F62" s="5" t="s">
        <v>355</v>
      </c>
      <c r="G62" s="5" t="s">
        <v>356</v>
      </c>
      <c r="H62" t="s">
        <v>47</v>
      </c>
      <c r="I62" s="3">
        <v>39022</v>
      </c>
      <c r="J62" s="3">
        <v>43405</v>
      </c>
      <c r="K62" t="s">
        <v>47</v>
      </c>
      <c r="L62" s="5" t="s">
        <v>60</v>
      </c>
      <c r="M62" s="3">
        <v>39022</v>
      </c>
      <c r="N62" s="3">
        <v>43405</v>
      </c>
      <c r="O62" t="s">
        <v>47</v>
      </c>
      <c r="P62" s="3">
        <v>39022</v>
      </c>
      <c r="Q62" s="3">
        <v>43405</v>
      </c>
      <c r="R62" t="s">
        <v>47</v>
      </c>
      <c r="S62" t="s">
        <v>47</v>
      </c>
      <c r="T62" t="s">
        <v>47</v>
      </c>
      <c r="U62" t="s">
        <v>47</v>
      </c>
      <c r="V62" t="s">
        <v>47</v>
      </c>
      <c r="W62" s="3">
        <v>39022</v>
      </c>
      <c r="X62" s="3">
        <v>43405</v>
      </c>
      <c r="Y62" t="s">
        <v>47</v>
      </c>
      <c r="Z62" s="3">
        <v>39022</v>
      </c>
      <c r="AA62" s="3">
        <v>43405</v>
      </c>
      <c r="AB62" t="s">
        <v>47</v>
      </c>
      <c r="AC62" s="3">
        <v>39083</v>
      </c>
      <c r="AD62" s="3">
        <v>43405</v>
      </c>
      <c r="AE62" s="5" t="s">
        <v>357</v>
      </c>
      <c r="AF62" t="s">
        <v>47</v>
      </c>
      <c r="AG62" t="s">
        <v>47</v>
      </c>
      <c r="AH62" t="s">
        <v>47</v>
      </c>
      <c r="AI62" t="s">
        <v>47</v>
      </c>
      <c r="AJ62" t="s">
        <v>47</v>
      </c>
      <c r="AK62" t="s">
        <v>47</v>
      </c>
      <c r="AL62" t="s">
        <v>47</v>
      </c>
      <c r="AM62" t="s">
        <v>47</v>
      </c>
      <c r="AN62" t="s">
        <v>47</v>
      </c>
      <c r="AO62" s="5" t="s">
        <v>60</v>
      </c>
      <c r="AP62" s="4" t="s">
        <v>61</v>
      </c>
      <c r="AQ62" s="4" t="s">
        <v>53</v>
      </c>
      <c r="AR62" s="4" t="s">
        <v>358</v>
      </c>
      <c r="AS62" s="5">
        <v>47935</v>
      </c>
      <c r="AT62" t="s">
        <v>47</v>
      </c>
    </row>
    <row r="63" spans="1:46" ht="65" x14ac:dyDescent="0.3">
      <c r="A63" s="4" t="s">
        <v>359</v>
      </c>
      <c r="B63" t="s">
        <v>47</v>
      </c>
      <c r="C63" s="4" t="s">
        <v>360</v>
      </c>
      <c r="D63" s="4" t="s">
        <v>201</v>
      </c>
      <c r="E63" s="4" t="s">
        <v>49</v>
      </c>
      <c r="F63" s="5" t="s">
        <v>361</v>
      </c>
      <c r="G63" s="5" t="s">
        <v>362</v>
      </c>
      <c r="H63" t="s">
        <v>47</v>
      </c>
      <c r="I63" s="3">
        <v>35796</v>
      </c>
      <c r="J63" s="5" t="s">
        <v>50</v>
      </c>
      <c r="K63" t="s">
        <v>47</v>
      </c>
      <c r="L63" s="5" t="s">
        <v>60</v>
      </c>
      <c r="M63" s="3">
        <v>35796</v>
      </c>
      <c r="N63" s="5" t="s">
        <v>50</v>
      </c>
      <c r="O63" t="s">
        <v>47</v>
      </c>
      <c r="P63" s="3">
        <v>35796</v>
      </c>
      <c r="Q63" s="5" t="s">
        <v>50</v>
      </c>
      <c r="R63" t="s">
        <v>47</v>
      </c>
      <c r="S63" t="s">
        <v>47</v>
      </c>
      <c r="T63" t="s">
        <v>47</v>
      </c>
      <c r="U63" t="s">
        <v>47</v>
      </c>
      <c r="V63" t="s">
        <v>47</v>
      </c>
      <c r="W63" s="3">
        <v>35796</v>
      </c>
      <c r="X63" s="5" t="s">
        <v>50</v>
      </c>
      <c r="Y63" t="s">
        <v>47</v>
      </c>
      <c r="Z63" s="3">
        <v>35796</v>
      </c>
      <c r="AA63" s="5" t="s">
        <v>50</v>
      </c>
      <c r="AB63" t="s">
        <v>47</v>
      </c>
      <c r="AC63" s="3">
        <v>38353</v>
      </c>
      <c r="AD63" s="5" t="s">
        <v>50</v>
      </c>
      <c r="AE63" t="s">
        <v>47</v>
      </c>
      <c r="AF63" t="s">
        <v>47</v>
      </c>
      <c r="AG63" t="s">
        <v>47</v>
      </c>
      <c r="AH63" t="s">
        <v>47</v>
      </c>
      <c r="AI63" t="s">
        <v>47</v>
      </c>
      <c r="AJ63" t="s">
        <v>47</v>
      </c>
      <c r="AK63" t="s">
        <v>47</v>
      </c>
      <c r="AL63" t="s">
        <v>47</v>
      </c>
      <c r="AM63" t="s">
        <v>47</v>
      </c>
      <c r="AN63" t="s">
        <v>47</v>
      </c>
      <c r="AO63" s="5" t="s">
        <v>60</v>
      </c>
      <c r="AP63" s="4" t="s">
        <v>61</v>
      </c>
      <c r="AQ63" s="4" t="s">
        <v>53</v>
      </c>
      <c r="AR63" s="4" t="s">
        <v>363</v>
      </c>
      <c r="AS63" s="5">
        <v>41120</v>
      </c>
      <c r="AT63" t="s">
        <v>47</v>
      </c>
    </row>
    <row r="64" spans="1:46" ht="52" x14ac:dyDescent="0.3">
      <c r="A64" s="4" t="s">
        <v>364</v>
      </c>
      <c r="B64" t="s">
        <v>47</v>
      </c>
      <c r="C64" s="4" t="s">
        <v>169</v>
      </c>
      <c r="D64" s="4" t="s">
        <v>319</v>
      </c>
      <c r="E64" s="4" t="s">
        <v>66</v>
      </c>
      <c r="F64" s="5" t="s">
        <v>365</v>
      </c>
      <c r="G64" s="5" t="s">
        <v>366</v>
      </c>
      <c r="H64" t="s">
        <v>47</v>
      </c>
      <c r="I64" t="s">
        <v>47</v>
      </c>
      <c r="J64" t="s">
        <v>47</v>
      </c>
      <c r="K64" t="s">
        <v>47</v>
      </c>
      <c r="L64" s="5" t="s">
        <v>60</v>
      </c>
      <c r="M64" t="s">
        <v>47</v>
      </c>
      <c r="N64" t="s">
        <v>47</v>
      </c>
      <c r="O64" t="s">
        <v>47</v>
      </c>
      <c r="P64" t="s">
        <v>47</v>
      </c>
      <c r="Q64" t="s">
        <v>47</v>
      </c>
      <c r="R64" t="s">
        <v>47</v>
      </c>
      <c r="S64" t="s">
        <v>47</v>
      </c>
      <c r="T64" t="s">
        <v>47</v>
      </c>
      <c r="U64" t="s">
        <v>47</v>
      </c>
      <c r="V64" t="s">
        <v>47</v>
      </c>
      <c r="W64" s="3">
        <v>40179</v>
      </c>
      <c r="X64" s="5" t="s">
        <v>50</v>
      </c>
      <c r="Y64" t="s">
        <v>47</v>
      </c>
      <c r="Z64" s="3">
        <v>40179</v>
      </c>
      <c r="AA64" s="5" t="s">
        <v>50</v>
      </c>
      <c r="AB64" t="s">
        <v>47</v>
      </c>
      <c r="AC64" s="3">
        <v>40179</v>
      </c>
      <c r="AD64" s="5" t="s">
        <v>50</v>
      </c>
      <c r="AE64" t="s">
        <v>47</v>
      </c>
      <c r="AF64" t="s">
        <v>47</v>
      </c>
      <c r="AG64" t="s">
        <v>47</v>
      </c>
      <c r="AH64" t="s">
        <v>47</v>
      </c>
      <c r="AI64" t="s">
        <v>47</v>
      </c>
      <c r="AJ64" t="s">
        <v>47</v>
      </c>
      <c r="AK64" t="s">
        <v>47</v>
      </c>
      <c r="AL64" t="s">
        <v>47</v>
      </c>
      <c r="AM64" t="s">
        <v>47</v>
      </c>
      <c r="AN64" t="s">
        <v>47</v>
      </c>
      <c r="AO64" s="5" t="s">
        <v>60</v>
      </c>
      <c r="AP64" s="4" t="s">
        <v>61</v>
      </c>
      <c r="AQ64" s="4" t="s">
        <v>53</v>
      </c>
      <c r="AR64" s="4" t="s">
        <v>367</v>
      </c>
      <c r="AS64" s="5">
        <v>186263</v>
      </c>
      <c r="AT64" t="s">
        <v>47</v>
      </c>
    </row>
    <row r="65" spans="1:46" ht="26" x14ac:dyDescent="0.3">
      <c r="A65" s="4" t="s">
        <v>368</v>
      </c>
      <c r="B65" t="s">
        <v>47</v>
      </c>
      <c r="C65" s="4" t="s">
        <v>323</v>
      </c>
      <c r="D65" s="4" t="s">
        <v>324</v>
      </c>
      <c r="E65" s="4" t="s">
        <v>49</v>
      </c>
      <c r="F65" s="5" t="s">
        <v>369</v>
      </c>
      <c r="G65" s="5" t="s">
        <v>370</v>
      </c>
      <c r="H65" t="s">
        <v>47</v>
      </c>
      <c r="I65" t="s">
        <v>47</v>
      </c>
      <c r="J65" t="s">
        <v>47</v>
      </c>
      <c r="K65" t="s">
        <v>47</v>
      </c>
      <c r="L65" s="5" t="s">
        <v>60</v>
      </c>
      <c r="M65" t="s">
        <v>47</v>
      </c>
      <c r="N65" t="s">
        <v>47</v>
      </c>
      <c r="O65" t="s">
        <v>47</v>
      </c>
      <c r="P65" t="s">
        <v>47</v>
      </c>
      <c r="Q65" t="s">
        <v>47</v>
      </c>
      <c r="R65" t="s">
        <v>47</v>
      </c>
      <c r="S65" t="s">
        <v>47</v>
      </c>
      <c r="T65" t="s">
        <v>47</v>
      </c>
      <c r="U65" t="s">
        <v>47</v>
      </c>
      <c r="V65" t="s">
        <v>47</v>
      </c>
      <c r="W65" s="3">
        <v>18203</v>
      </c>
      <c r="X65" s="5" t="s">
        <v>50</v>
      </c>
      <c r="Y65" t="s">
        <v>47</v>
      </c>
      <c r="Z65" s="3">
        <v>18203</v>
      </c>
      <c r="AA65" s="5" t="s">
        <v>50</v>
      </c>
      <c r="AB65" t="s">
        <v>47</v>
      </c>
      <c r="AC65" s="3">
        <v>32143</v>
      </c>
      <c r="AD65" s="5" t="s">
        <v>50</v>
      </c>
      <c r="AE65" t="s">
        <v>47</v>
      </c>
      <c r="AF65" t="s">
        <v>47</v>
      </c>
      <c r="AG65" t="s">
        <v>47</v>
      </c>
      <c r="AH65" t="s">
        <v>47</v>
      </c>
      <c r="AI65" t="s">
        <v>47</v>
      </c>
      <c r="AJ65" t="s">
        <v>47</v>
      </c>
      <c r="AK65" t="s">
        <v>47</v>
      </c>
      <c r="AL65" t="s">
        <v>47</v>
      </c>
      <c r="AM65" t="s">
        <v>47</v>
      </c>
      <c r="AN65" t="s">
        <v>47</v>
      </c>
      <c r="AO65" s="5" t="s">
        <v>60</v>
      </c>
      <c r="AP65" s="4" t="s">
        <v>61</v>
      </c>
      <c r="AQ65" s="4" t="s">
        <v>53</v>
      </c>
      <c r="AR65" s="4" t="s">
        <v>371</v>
      </c>
      <c r="AS65" s="5">
        <v>42155</v>
      </c>
      <c r="AT65" t="s">
        <v>47</v>
      </c>
    </row>
    <row r="66" spans="1:46" ht="91" x14ac:dyDescent="0.3">
      <c r="A66" s="4" t="s">
        <v>372</v>
      </c>
      <c r="B66" t="s">
        <v>47</v>
      </c>
      <c r="C66" s="4" t="s">
        <v>305</v>
      </c>
      <c r="D66" s="4" t="s">
        <v>306</v>
      </c>
      <c r="E66" s="4" t="s">
        <v>49</v>
      </c>
      <c r="F66" s="5" t="s">
        <v>373</v>
      </c>
      <c r="G66" s="5" t="s">
        <v>374</v>
      </c>
      <c r="H66" t="s">
        <v>47</v>
      </c>
      <c r="I66" s="3">
        <v>35827</v>
      </c>
      <c r="J66" s="3">
        <v>40118</v>
      </c>
      <c r="K66" t="s">
        <v>47</v>
      </c>
      <c r="L66" s="5" t="s">
        <v>60</v>
      </c>
      <c r="M66" s="3">
        <v>35827</v>
      </c>
      <c r="N66" s="3">
        <v>40118</v>
      </c>
      <c r="O66" t="s">
        <v>47</v>
      </c>
      <c r="P66" s="3">
        <v>35827</v>
      </c>
      <c r="Q66" s="3">
        <v>40118</v>
      </c>
      <c r="R66" t="s">
        <v>47</v>
      </c>
      <c r="S66" t="s">
        <v>47</v>
      </c>
      <c r="T66" t="s">
        <v>47</v>
      </c>
      <c r="U66" t="s">
        <v>47</v>
      </c>
      <c r="V66" t="s">
        <v>47</v>
      </c>
      <c r="W66" s="3">
        <v>35827</v>
      </c>
      <c r="X66" s="3">
        <v>40118</v>
      </c>
      <c r="Y66" t="s">
        <v>47</v>
      </c>
      <c r="Z66" s="3">
        <v>35827</v>
      </c>
      <c r="AA66" s="3">
        <v>40118</v>
      </c>
      <c r="AB66" t="s">
        <v>47</v>
      </c>
      <c r="AC66" s="3">
        <v>37653</v>
      </c>
      <c r="AD66" s="3">
        <v>40118</v>
      </c>
      <c r="AE66" t="s">
        <v>47</v>
      </c>
      <c r="AF66" t="s">
        <v>47</v>
      </c>
      <c r="AG66" t="s">
        <v>47</v>
      </c>
      <c r="AH66" t="s">
        <v>47</v>
      </c>
      <c r="AI66" t="s">
        <v>47</v>
      </c>
      <c r="AJ66" t="s">
        <v>47</v>
      </c>
      <c r="AK66" t="s">
        <v>47</v>
      </c>
      <c r="AL66" t="s">
        <v>47</v>
      </c>
      <c r="AM66" t="s">
        <v>47</v>
      </c>
      <c r="AN66" t="s">
        <v>47</v>
      </c>
      <c r="AO66" s="5" t="s">
        <v>60</v>
      </c>
      <c r="AP66" s="4" t="s">
        <v>61</v>
      </c>
      <c r="AQ66" s="4" t="s">
        <v>53</v>
      </c>
      <c r="AR66" s="4" t="s">
        <v>375</v>
      </c>
      <c r="AS66" s="5">
        <v>33337</v>
      </c>
      <c r="AT66" t="s">
        <v>47</v>
      </c>
    </row>
    <row r="67" spans="1:46" ht="52" x14ac:dyDescent="0.3">
      <c r="A67" s="4" t="s">
        <v>376</v>
      </c>
      <c r="B67" t="s">
        <v>47</v>
      </c>
      <c r="C67" s="4" t="s">
        <v>305</v>
      </c>
      <c r="D67" s="4" t="s">
        <v>306</v>
      </c>
      <c r="E67" s="4" t="s">
        <v>49</v>
      </c>
      <c r="F67" t="s">
        <v>47</v>
      </c>
      <c r="G67" s="5" t="s">
        <v>374</v>
      </c>
      <c r="H67" t="s">
        <v>47</v>
      </c>
      <c r="I67" s="3">
        <v>40210</v>
      </c>
      <c r="J67" s="3">
        <v>44805</v>
      </c>
      <c r="K67" t="s">
        <v>47</v>
      </c>
      <c r="L67" s="5" t="s">
        <v>60</v>
      </c>
      <c r="M67" s="3">
        <v>40210</v>
      </c>
      <c r="N67" s="3">
        <v>44805</v>
      </c>
      <c r="O67" t="s">
        <v>47</v>
      </c>
      <c r="P67" s="3">
        <v>40210</v>
      </c>
      <c r="Q67" s="3">
        <v>44805</v>
      </c>
      <c r="R67" t="s">
        <v>47</v>
      </c>
      <c r="S67" t="s">
        <v>47</v>
      </c>
      <c r="T67" t="s">
        <v>47</v>
      </c>
      <c r="U67" t="s">
        <v>47</v>
      </c>
      <c r="V67" t="s">
        <v>47</v>
      </c>
      <c r="W67" s="3">
        <v>40210</v>
      </c>
      <c r="X67" s="3">
        <v>44805</v>
      </c>
      <c r="Y67" t="s">
        <v>47</v>
      </c>
      <c r="Z67" s="3">
        <v>40210</v>
      </c>
      <c r="AA67" s="3">
        <v>44805</v>
      </c>
      <c r="AB67" t="s">
        <v>47</v>
      </c>
      <c r="AC67" s="3">
        <v>40210</v>
      </c>
      <c r="AD67" s="3">
        <v>44805</v>
      </c>
      <c r="AE67" t="s">
        <v>47</v>
      </c>
      <c r="AF67" t="s">
        <v>47</v>
      </c>
      <c r="AG67" t="s">
        <v>47</v>
      </c>
      <c r="AH67" t="s">
        <v>47</v>
      </c>
      <c r="AI67" t="s">
        <v>47</v>
      </c>
      <c r="AJ67" t="s">
        <v>47</v>
      </c>
      <c r="AK67" t="s">
        <v>47</v>
      </c>
      <c r="AL67" t="s">
        <v>47</v>
      </c>
      <c r="AM67" t="s">
        <v>47</v>
      </c>
      <c r="AN67" t="s">
        <v>47</v>
      </c>
      <c r="AO67" s="5" t="s">
        <v>60</v>
      </c>
      <c r="AP67" s="4" t="s">
        <v>61</v>
      </c>
      <c r="AQ67" s="4" t="s">
        <v>53</v>
      </c>
      <c r="AR67" s="4" t="s">
        <v>309</v>
      </c>
      <c r="AS67" s="5">
        <v>135353</v>
      </c>
      <c r="AT67" t="s">
        <v>47</v>
      </c>
    </row>
    <row r="68" spans="1:46" ht="65" x14ac:dyDescent="0.3">
      <c r="A68" s="4" t="s">
        <v>377</v>
      </c>
      <c r="B68" t="s">
        <v>47</v>
      </c>
      <c r="C68" s="4" t="s">
        <v>378</v>
      </c>
      <c r="D68" s="4" t="s">
        <v>88</v>
      </c>
      <c r="E68" s="4" t="s">
        <v>49</v>
      </c>
      <c r="F68" s="5" t="s">
        <v>379</v>
      </c>
      <c r="G68" s="5" t="s">
        <v>380</v>
      </c>
      <c r="H68" t="s">
        <v>47</v>
      </c>
      <c r="I68" s="3">
        <v>40787</v>
      </c>
      <c r="J68" s="5" t="s">
        <v>50</v>
      </c>
      <c r="K68" t="s">
        <v>47</v>
      </c>
      <c r="L68" s="5" t="s">
        <v>60</v>
      </c>
      <c r="M68" s="3">
        <v>40787</v>
      </c>
      <c r="N68" s="5" t="s">
        <v>50</v>
      </c>
      <c r="O68" t="s">
        <v>47</v>
      </c>
      <c r="P68" s="3">
        <v>40787</v>
      </c>
      <c r="Q68" s="5" t="s">
        <v>50</v>
      </c>
      <c r="R68" t="s">
        <v>47</v>
      </c>
      <c r="S68" t="s">
        <v>47</v>
      </c>
      <c r="T68" t="s">
        <v>47</v>
      </c>
      <c r="U68" t="s">
        <v>47</v>
      </c>
      <c r="V68" t="s">
        <v>47</v>
      </c>
      <c r="W68" s="3">
        <v>40787</v>
      </c>
      <c r="X68" s="5" t="s">
        <v>50</v>
      </c>
      <c r="Y68" t="s">
        <v>47</v>
      </c>
      <c r="Z68" s="3">
        <v>40787</v>
      </c>
      <c r="AA68" s="5" t="s">
        <v>50</v>
      </c>
      <c r="AB68" t="s">
        <v>47</v>
      </c>
      <c r="AC68" s="3">
        <v>40787</v>
      </c>
      <c r="AD68" s="5" t="s">
        <v>50</v>
      </c>
      <c r="AE68" t="s">
        <v>47</v>
      </c>
      <c r="AF68" t="s">
        <v>47</v>
      </c>
      <c r="AG68" t="s">
        <v>47</v>
      </c>
      <c r="AH68" t="s">
        <v>47</v>
      </c>
      <c r="AI68" t="s">
        <v>47</v>
      </c>
      <c r="AJ68" t="s">
        <v>47</v>
      </c>
      <c r="AK68" t="s">
        <v>47</v>
      </c>
      <c r="AL68" t="s">
        <v>47</v>
      </c>
      <c r="AM68" t="s">
        <v>47</v>
      </c>
      <c r="AN68" t="s">
        <v>47</v>
      </c>
      <c r="AO68" s="5" t="s">
        <v>60</v>
      </c>
      <c r="AP68" s="4" t="s">
        <v>61</v>
      </c>
      <c r="AQ68" s="4" t="s">
        <v>53</v>
      </c>
      <c r="AR68" s="4" t="s">
        <v>297</v>
      </c>
      <c r="AS68" s="5">
        <v>806346</v>
      </c>
      <c r="AT68" t="s">
        <v>47</v>
      </c>
    </row>
    <row r="69" spans="1:46" ht="39" x14ac:dyDescent="0.3">
      <c r="A69" s="4" t="s">
        <v>381</v>
      </c>
      <c r="B69" t="s">
        <v>47</v>
      </c>
      <c r="C69" s="4" t="s">
        <v>382</v>
      </c>
      <c r="D69" s="4" t="s">
        <v>324</v>
      </c>
      <c r="E69" s="4" t="s">
        <v>49</v>
      </c>
      <c r="F69" s="5" t="s">
        <v>383</v>
      </c>
      <c r="G69" s="5" t="s">
        <v>384</v>
      </c>
      <c r="H69" t="s">
        <v>47</v>
      </c>
      <c r="I69" s="3">
        <v>35431</v>
      </c>
      <c r="J69" s="5" t="s">
        <v>50</v>
      </c>
      <c r="K69" t="s">
        <v>47</v>
      </c>
      <c r="L69" s="5" t="s">
        <v>51</v>
      </c>
      <c r="M69" s="3">
        <v>35431</v>
      </c>
      <c r="N69" s="5" t="s">
        <v>50</v>
      </c>
      <c r="O69" t="s">
        <v>47</v>
      </c>
      <c r="P69" s="3">
        <v>35431</v>
      </c>
      <c r="Q69" s="5" t="s">
        <v>50</v>
      </c>
      <c r="R69" t="s">
        <v>47</v>
      </c>
      <c r="S69" t="s">
        <v>47</v>
      </c>
      <c r="T69" t="s">
        <v>47</v>
      </c>
      <c r="U69" t="s">
        <v>47</v>
      </c>
      <c r="V69" t="s">
        <v>47</v>
      </c>
      <c r="W69" s="3">
        <v>32143</v>
      </c>
      <c r="X69" s="5" t="s">
        <v>50</v>
      </c>
      <c r="Y69" t="s">
        <v>47</v>
      </c>
      <c r="Z69" s="3">
        <v>32143</v>
      </c>
      <c r="AA69" s="5" t="s">
        <v>50</v>
      </c>
      <c r="AB69" t="s">
        <v>47</v>
      </c>
      <c r="AC69" s="3">
        <v>32143</v>
      </c>
      <c r="AD69" s="5" t="s">
        <v>50</v>
      </c>
      <c r="AE69" t="s">
        <v>47</v>
      </c>
      <c r="AF69" t="s">
        <v>47</v>
      </c>
      <c r="AG69" t="s">
        <v>47</v>
      </c>
      <c r="AH69" t="s">
        <v>47</v>
      </c>
      <c r="AI69" t="s">
        <v>47</v>
      </c>
      <c r="AJ69" t="s">
        <v>47</v>
      </c>
      <c r="AK69" t="s">
        <v>47</v>
      </c>
      <c r="AL69" t="s">
        <v>47</v>
      </c>
      <c r="AM69" t="s">
        <v>47</v>
      </c>
      <c r="AN69" t="s">
        <v>47</v>
      </c>
      <c r="AO69" s="5" t="s">
        <v>51</v>
      </c>
      <c r="AP69" s="4" t="s">
        <v>85</v>
      </c>
      <c r="AQ69" s="4" t="s">
        <v>53</v>
      </c>
      <c r="AR69" s="4" t="s">
        <v>385</v>
      </c>
      <c r="AS69" s="5">
        <v>34488</v>
      </c>
      <c r="AT69" t="s">
        <v>47</v>
      </c>
    </row>
    <row r="70" spans="1:46" ht="13" x14ac:dyDescent="0.3">
      <c r="A70" s="4" t="s">
        <v>386</v>
      </c>
      <c r="B70" t="s">
        <v>47</v>
      </c>
      <c r="C70" s="4" t="s">
        <v>169</v>
      </c>
      <c r="D70" s="4" t="s">
        <v>88</v>
      </c>
      <c r="E70" s="4" t="s">
        <v>66</v>
      </c>
      <c r="F70" s="5" t="s">
        <v>387</v>
      </c>
      <c r="G70" s="5" t="s">
        <v>388</v>
      </c>
      <c r="H70" t="s">
        <v>47</v>
      </c>
      <c r="I70" s="3">
        <v>35462</v>
      </c>
      <c r="J70" s="3">
        <v>39295</v>
      </c>
      <c r="K70" t="s">
        <v>47</v>
      </c>
      <c r="L70" s="5" t="s">
        <v>60</v>
      </c>
      <c r="M70" s="3">
        <v>35462</v>
      </c>
      <c r="N70" s="3">
        <v>39295</v>
      </c>
      <c r="O70" t="s">
        <v>47</v>
      </c>
      <c r="P70" s="3">
        <v>35462</v>
      </c>
      <c r="Q70" s="3">
        <v>39295</v>
      </c>
      <c r="R70" t="s">
        <v>47</v>
      </c>
      <c r="S70" t="s">
        <v>47</v>
      </c>
      <c r="T70" t="s">
        <v>47</v>
      </c>
      <c r="U70" t="s">
        <v>47</v>
      </c>
      <c r="V70" t="s">
        <v>47</v>
      </c>
      <c r="W70" s="3">
        <v>32509</v>
      </c>
      <c r="X70" s="3">
        <v>45352</v>
      </c>
      <c r="Y70" t="s">
        <v>47</v>
      </c>
      <c r="Z70" s="3">
        <v>32509</v>
      </c>
      <c r="AA70" s="3">
        <v>45352</v>
      </c>
      <c r="AB70" t="s">
        <v>47</v>
      </c>
      <c r="AC70" s="3">
        <v>32509</v>
      </c>
      <c r="AD70" s="3">
        <v>43070</v>
      </c>
      <c r="AE70" t="s">
        <v>47</v>
      </c>
      <c r="AF70" t="s">
        <v>47</v>
      </c>
      <c r="AG70" t="s">
        <v>47</v>
      </c>
      <c r="AH70" t="s">
        <v>47</v>
      </c>
      <c r="AI70" t="s">
        <v>47</v>
      </c>
      <c r="AJ70" t="s">
        <v>47</v>
      </c>
      <c r="AK70" t="s">
        <v>47</v>
      </c>
      <c r="AL70" t="s">
        <v>47</v>
      </c>
      <c r="AM70" t="s">
        <v>47</v>
      </c>
      <c r="AN70" t="s">
        <v>47</v>
      </c>
      <c r="AO70" s="5" t="s">
        <v>60</v>
      </c>
      <c r="AP70" s="4" t="s">
        <v>61</v>
      </c>
      <c r="AQ70" s="4" t="s">
        <v>53</v>
      </c>
      <c r="AR70" s="4" t="s">
        <v>389</v>
      </c>
      <c r="AS70" s="5">
        <v>47349</v>
      </c>
      <c r="AT70" t="s">
        <v>47</v>
      </c>
    </row>
    <row r="71" spans="1:46" ht="26" x14ac:dyDescent="0.3">
      <c r="A71" s="4" t="s">
        <v>390</v>
      </c>
      <c r="B71" t="s">
        <v>47</v>
      </c>
      <c r="C71" s="4" t="s">
        <v>391</v>
      </c>
      <c r="D71" s="4" t="s">
        <v>392</v>
      </c>
      <c r="E71" s="4" t="s">
        <v>49</v>
      </c>
      <c r="F71" s="5" t="s">
        <v>393</v>
      </c>
      <c r="G71" t="s">
        <v>47</v>
      </c>
      <c r="H71" t="s">
        <v>47</v>
      </c>
      <c r="I71" s="3">
        <v>34366</v>
      </c>
      <c r="J71" s="5" t="s">
        <v>50</v>
      </c>
      <c r="K71" t="s">
        <v>47</v>
      </c>
      <c r="L71" s="5" t="s">
        <v>60</v>
      </c>
      <c r="M71" s="3">
        <v>34366</v>
      </c>
      <c r="N71" s="5" t="s">
        <v>50</v>
      </c>
      <c r="O71" t="s">
        <v>47</v>
      </c>
      <c r="P71" s="3">
        <v>35278</v>
      </c>
      <c r="Q71" s="5" t="s">
        <v>50</v>
      </c>
      <c r="R71" t="s">
        <v>47</v>
      </c>
      <c r="S71" t="s">
        <v>47</v>
      </c>
      <c r="T71" t="s">
        <v>47</v>
      </c>
      <c r="U71" t="s">
        <v>47</v>
      </c>
      <c r="V71" t="s">
        <v>47</v>
      </c>
      <c r="W71" s="3">
        <v>20699</v>
      </c>
      <c r="X71" s="5" t="s">
        <v>50</v>
      </c>
      <c r="Y71" s="5" t="s">
        <v>394</v>
      </c>
      <c r="Z71" s="3">
        <v>20699</v>
      </c>
      <c r="AA71" s="5" t="s">
        <v>50</v>
      </c>
      <c r="AB71" s="5" t="s">
        <v>394</v>
      </c>
      <c r="AC71" s="3">
        <v>33573</v>
      </c>
      <c r="AD71" s="5" t="s">
        <v>50</v>
      </c>
      <c r="AE71" t="s">
        <v>47</v>
      </c>
      <c r="AF71" t="s">
        <v>47</v>
      </c>
      <c r="AG71" t="s">
        <v>47</v>
      </c>
      <c r="AH71" t="s">
        <v>47</v>
      </c>
      <c r="AI71" t="s">
        <v>47</v>
      </c>
      <c r="AJ71" t="s">
        <v>47</v>
      </c>
      <c r="AK71" t="s">
        <v>47</v>
      </c>
      <c r="AL71" t="s">
        <v>47</v>
      </c>
      <c r="AM71" t="s">
        <v>47</v>
      </c>
      <c r="AN71" t="s">
        <v>47</v>
      </c>
      <c r="AO71" s="5" t="s">
        <v>60</v>
      </c>
      <c r="AP71" s="4" t="s">
        <v>85</v>
      </c>
      <c r="AQ71" s="4" t="s">
        <v>53</v>
      </c>
      <c r="AR71" s="4" t="s">
        <v>395</v>
      </c>
      <c r="AS71" s="5">
        <v>40811</v>
      </c>
      <c r="AT71" t="s">
        <v>47</v>
      </c>
    </row>
    <row r="72" spans="1:46" ht="65" x14ac:dyDescent="0.3">
      <c r="A72" s="4" t="s">
        <v>396</v>
      </c>
      <c r="B72" t="s">
        <v>47</v>
      </c>
      <c r="C72" s="4" t="s">
        <v>397</v>
      </c>
      <c r="D72" s="4" t="s">
        <v>88</v>
      </c>
      <c r="E72" s="4" t="s">
        <v>66</v>
      </c>
      <c r="F72" s="5" t="s">
        <v>398</v>
      </c>
      <c r="G72" s="5" t="s">
        <v>399</v>
      </c>
      <c r="H72" t="s">
        <v>47</v>
      </c>
      <c r="I72" s="3">
        <v>32203</v>
      </c>
      <c r="J72" s="5" t="s">
        <v>50</v>
      </c>
      <c r="K72" t="s">
        <v>47</v>
      </c>
      <c r="L72" s="5" t="s">
        <v>60</v>
      </c>
      <c r="M72" s="3">
        <v>34759</v>
      </c>
      <c r="N72" s="5" t="s">
        <v>50</v>
      </c>
      <c r="O72" t="s">
        <v>47</v>
      </c>
      <c r="P72" s="3">
        <v>32203</v>
      </c>
      <c r="Q72" s="5" t="s">
        <v>50</v>
      </c>
      <c r="R72" t="s">
        <v>47</v>
      </c>
      <c r="S72" t="s">
        <v>47</v>
      </c>
      <c r="T72" t="s">
        <v>47</v>
      </c>
      <c r="U72" t="s">
        <v>47</v>
      </c>
      <c r="V72" s="5">
        <v>365</v>
      </c>
      <c r="W72" s="3">
        <v>32203</v>
      </c>
      <c r="X72" s="5" t="s">
        <v>50</v>
      </c>
      <c r="Y72" t="s">
        <v>47</v>
      </c>
      <c r="Z72" s="3">
        <v>32203</v>
      </c>
      <c r="AA72" s="5" t="s">
        <v>50</v>
      </c>
      <c r="AB72" t="s">
        <v>47</v>
      </c>
      <c r="AC72" s="3">
        <v>32203</v>
      </c>
      <c r="AD72" s="5" t="s">
        <v>50</v>
      </c>
      <c r="AE72" t="s">
        <v>47</v>
      </c>
      <c r="AF72" t="s">
        <v>47</v>
      </c>
      <c r="AG72" t="s">
        <v>47</v>
      </c>
      <c r="AH72" t="s">
        <v>47</v>
      </c>
      <c r="AI72" t="s">
        <v>47</v>
      </c>
      <c r="AJ72" t="s">
        <v>47</v>
      </c>
      <c r="AK72" t="s">
        <v>47</v>
      </c>
      <c r="AL72" t="s">
        <v>47</v>
      </c>
      <c r="AM72" t="s">
        <v>47</v>
      </c>
      <c r="AN72" t="s">
        <v>47</v>
      </c>
      <c r="AO72" s="5" t="s">
        <v>60</v>
      </c>
      <c r="AP72" s="4" t="s">
        <v>61</v>
      </c>
      <c r="AQ72" s="4" t="s">
        <v>53</v>
      </c>
      <c r="AR72" s="4" t="s">
        <v>400</v>
      </c>
      <c r="AS72" s="5">
        <v>41041</v>
      </c>
      <c r="AT72" t="s">
        <v>47</v>
      </c>
    </row>
    <row r="73" spans="1:46" ht="78" x14ac:dyDescent="0.3">
      <c r="A73" s="4" t="s">
        <v>401</v>
      </c>
      <c r="B73" t="s">
        <v>47</v>
      </c>
      <c r="C73" s="4" t="s">
        <v>402</v>
      </c>
      <c r="D73" s="4" t="s">
        <v>403</v>
      </c>
      <c r="E73" s="4" t="s">
        <v>49</v>
      </c>
      <c r="F73" s="5" t="s">
        <v>404</v>
      </c>
      <c r="G73" s="5" t="s">
        <v>405</v>
      </c>
      <c r="H73" t="s">
        <v>47</v>
      </c>
      <c r="I73" s="3">
        <v>33604</v>
      </c>
      <c r="J73" s="3">
        <v>43803</v>
      </c>
      <c r="K73" t="s">
        <v>47</v>
      </c>
      <c r="L73" s="5" t="s">
        <v>51</v>
      </c>
      <c r="M73" s="3">
        <v>35309</v>
      </c>
      <c r="N73" s="3">
        <v>43803</v>
      </c>
      <c r="O73" t="s">
        <v>47</v>
      </c>
      <c r="P73" s="3">
        <v>33604</v>
      </c>
      <c r="Q73" s="3">
        <v>37377</v>
      </c>
      <c r="R73" t="s">
        <v>47</v>
      </c>
      <c r="S73" t="s">
        <v>47</v>
      </c>
      <c r="T73" t="s">
        <v>47</v>
      </c>
      <c r="U73" t="s">
        <v>47</v>
      </c>
      <c r="V73" t="s">
        <v>47</v>
      </c>
      <c r="W73" s="3">
        <v>32143</v>
      </c>
      <c r="X73" s="3">
        <v>43803</v>
      </c>
      <c r="Y73" t="s">
        <v>47</v>
      </c>
      <c r="Z73" s="3">
        <v>32143</v>
      </c>
      <c r="AA73" s="3">
        <v>43803</v>
      </c>
      <c r="AB73" t="s">
        <v>47</v>
      </c>
      <c r="AC73" s="3">
        <v>32143</v>
      </c>
      <c r="AD73" s="3">
        <v>43784</v>
      </c>
      <c r="AE73" t="s">
        <v>47</v>
      </c>
      <c r="AF73" t="s">
        <v>47</v>
      </c>
      <c r="AG73" t="s">
        <v>47</v>
      </c>
      <c r="AH73" t="s">
        <v>47</v>
      </c>
      <c r="AI73" t="s">
        <v>47</v>
      </c>
      <c r="AJ73" t="s">
        <v>47</v>
      </c>
      <c r="AK73" t="s">
        <v>47</v>
      </c>
      <c r="AL73" t="s">
        <v>47</v>
      </c>
      <c r="AM73" t="s">
        <v>47</v>
      </c>
      <c r="AN73" t="s">
        <v>47</v>
      </c>
      <c r="AO73" s="5" t="s">
        <v>51</v>
      </c>
      <c r="AP73" s="4" t="s">
        <v>85</v>
      </c>
      <c r="AQ73" s="4" t="s">
        <v>53</v>
      </c>
      <c r="AR73" s="4" t="s">
        <v>136</v>
      </c>
      <c r="AS73" s="5">
        <v>40973</v>
      </c>
      <c r="AT73" t="s">
        <v>47</v>
      </c>
    </row>
    <row r="74" spans="1:46" ht="13" x14ac:dyDescent="0.3">
      <c r="A74" s="4" t="s">
        <v>406</v>
      </c>
      <c r="B74" t="s">
        <v>47</v>
      </c>
      <c r="C74" s="4" t="s">
        <v>406</v>
      </c>
      <c r="D74" s="4" t="s">
        <v>407</v>
      </c>
      <c r="E74" s="4" t="s">
        <v>49</v>
      </c>
      <c r="F74" s="5" t="s">
        <v>408</v>
      </c>
      <c r="G74" s="5" t="s">
        <v>409</v>
      </c>
      <c r="H74" t="s">
        <v>47</v>
      </c>
      <c r="I74" s="3">
        <v>35765</v>
      </c>
      <c r="J74" s="3">
        <v>42917</v>
      </c>
      <c r="K74" t="s">
        <v>47</v>
      </c>
      <c r="L74" s="5" t="s">
        <v>60</v>
      </c>
      <c r="M74" s="3">
        <v>35765</v>
      </c>
      <c r="N74" s="3">
        <v>42917</v>
      </c>
      <c r="O74" t="s">
        <v>47</v>
      </c>
      <c r="P74" s="3">
        <v>35765</v>
      </c>
      <c r="Q74" s="3">
        <v>42917</v>
      </c>
      <c r="R74" t="s">
        <v>47</v>
      </c>
      <c r="S74" t="s">
        <v>47</v>
      </c>
      <c r="T74" t="s">
        <v>47</v>
      </c>
      <c r="U74" t="s">
        <v>47</v>
      </c>
      <c r="V74" t="s">
        <v>47</v>
      </c>
      <c r="W74" s="3">
        <v>35765</v>
      </c>
      <c r="X74" s="3">
        <v>42917</v>
      </c>
      <c r="Y74" t="s">
        <v>47</v>
      </c>
      <c r="Z74" s="3">
        <v>35765</v>
      </c>
      <c r="AA74" s="3">
        <v>42917</v>
      </c>
      <c r="AB74" t="s">
        <v>47</v>
      </c>
      <c r="AC74" s="3">
        <v>37803</v>
      </c>
      <c r="AD74" s="3">
        <v>42917</v>
      </c>
      <c r="AE74" t="s">
        <v>47</v>
      </c>
      <c r="AF74" t="s">
        <v>47</v>
      </c>
      <c r="AG74" t="s">
        <v>47</v>
      </c>
      <c r="AH74" t="s">
        <v>47</v>
      </c>
      <c r="AI74" t="s">
        <v>47</v>
      </c>
      <c r="AJ74" t="s">
        <v>47</v>
      </c>
      <c r="AK74" t="s">
        <v>47</v>
      </c>
      <c r="AL74" t="s">
        <v>47</v>
      </c>
      <c r="AM74" t="s">
        <v>47</v>
      </c>
      <c r="AN74" t="s">
        <v>47</v>
      </c>
      <c r="AO74" s="5" t="s">
        <v>60</v>
      </c>
      <c r="AP74" s="4" t="s">
        <v>61</v>
      </c>
      <c r="AQ74" s="4" t="s">
        <v>53</v>
      </c>
      <c r="AR74" s="4" t="s">
        <v>54</v>
      </c>
      <c r="AS74" s="5">
        <v>49269</v>
      </c>
      <c r="AT74" t="s">
        <v>47</v>
      </c>
    </row>
    <row r="75" spans="1:46" ht="104" x14ac:dyDescent="0.3">
      <c r="A75" s="4" t="s">
        <v>410</v>
      </c>
      <c r="B75" t="s">
        <v>47</v>
      </c>
      <c r="C75" s="4" t="s">
        <v>411</v>
      </c>
      <c r="D75" s="4" t="s">
        <v>88</v>
      </c>
      <c r="E75" s="4" t="s">
        <v>49</v>
      </c>
      <c r="F75" s="5" t="s">
        <v>412</v>
      </c>
      <c r="G75" s="5" t="s">
        <v>413</v>
      </c>
      <c r="H75" t="s">
        <v>47</v>
      </c>
      <c r="I75" s="3">
        <v>32174</v>
      </c>
      <c r="J75" s="3">
        <v>41426</v>
      </c>
      <c r="K75" t="s">
        <v>47</v>
      </c>
      <c r="L75" s="5" t="s">
        <v>60</v>
      </c>
      <c r="M75" s="3">
        <v>34366</v>
      </c>
      <c r="N75" s="3">
        <v>41426</v>
      </c>
      <c r="O75" t="s">
        <v>47</v>
      </c>
      <c r="P75" s="3">
        <v>32174</v>
      </c>
      <c r="Q75" s="3">
        <v>41426</v>
      </c>
      <c r="R75" t="s">
        <v>47</v>
      </c>
      <c r="S75" t="s">
        <v>47</v>
      </c>
      <c r="T75" t="s">
        <v>47</v>
      </c>
      <c r="U75" t="s">
        <v>47</v>
      </c>
      <c r="V75" t="s">
        <v>47</v>
      </c>
      <c r="W75" s="3">
        <v>31444</v>
      </c>
      <c r="X75" s="5" t="s">
        <v>50</v>
      </c>
      <c r="Y75" t="s">
        <v>47</v>
      </c>
      <c r="Z75" s="3">
        <v>31444</v>
      </c>
      <c r="AA75" s="5" t="s">
        <v>50</v>
      </c>
      <c r="AB75" t="s">
        <v>47</v>
      </c>
      <c r="AC75" s="3">
        <v>31444</v>
      </c>
      <c r="AD75" s="5" t="s">
        <v>50</v>
      </c>
      <c r="AE75" t="s">
        <v>47</v>
      </c>
      <c r="AF75" t="s">
        <v>47</v>
      </c>
      <c r="AG75" t="s">
        <v>47</v>
      </c>
      <c r="AH75" t="s">
        <v>47</v>
      </c>
      <c r="AI75" t="s">
        <v>47</v>
      </c>
      <c r="AJ75" t="s">
        <v>47</v>
      </c>
      <c r="AK75" t="s">
        <v>47</v>
      </c>
      <c r="AL75" t="s">
        <v>47</v>
      </c>
      <c r="AM75" t="s">
        <v>47</v>
      </c>
      <c r="AN75" t="s">
        <v>47</v>
      </c>
      <c r="AO75" s="5" t="s">
        <v>60</v>
      </c>
      <c r="AP75" s="4" t="s">
        <v>61</v>
      </c>
      <c r="AQ75" s="4" t="s">
        <v>53</v>
      </c>
      <c r="AR75" s="4" t="s">
        <v>414</v>
      </c>
      <c r="AS75" s="5">
        <v>41945</v>
      </c>
      <c r="AT75" t="s">
        <v>47</v>
      </c>
    </row>
    <row r="76" spans="1:46" ht="78" x14ac:dyDescent="0.3">
      <c r="A76" s="4" t="s">
        <v>415</v>
      </c>
      <c r="B76" t="s">
        <v>47</v>
      </c>
      <c r="C76" s="4" t="s">
        <v>305</v>
      </c>
      <c r="D76" s="4" t="s">
        <v>306</v>
      </c>
      <c r="E76" s="4" t="s">
        <v>49</v>
      </c>
      <c r="F76" s="5" t="s">
        <v>416</v>
      </c>
      <c r="G76" t="s">
        <v>47</v>
      </c>
      <c r="H76" t="s">
        <v>47</v>
      </c>
      <c r="I76" s="3">
        <v>35521</v>
      </c>
      <c r="J76" s="3">
        <v>36465</v>
      </c>
      <c r="K76" t="s">
        <v>47</v>
      </c>
      <c r="L76" s="5" t="s">
        <v>51</v>
      </c>
      <c r="M76" s="3">
        <v>35521</v>
      </c>
      <c r="N76" s="3">
        <v>36465</v>
      </c>
      <c r="O76" t="s">
        <v>47</v>
      </c>
      <c r="P76" s="3">
        <v>35521</v>
      </c>
      <c r="Q76" s="3">
        <v>36465</v>
      </c>
      <c r="R76" t="s">
        <v>47</v>
      </c>
      <c r="S76" t="s">
        <v>47</v>
      </c>
      <c r="T76" t="s">
        <v>47</v>
      </c>
      <c r="U76" t="s">
        <v>47</v>
      </c>
      <c r="V76" t="s">
        <v>47</v>
      </c>
      <c r="W76" s="3">
        <v>35521</v>
      </c>
      <c r="X76" s="3">
        <v>36465</v>
      </c>
      <c r="Y76" t="s">
        <v>47</v>
      </c>
      <c r="Z76" s="3">
        <v>35521</v>
      </c>
      <c r="AA76" s="3">
        <v>36465</v>
      </c>
      <c r="AB76" t="s">
        <v>47</v>
      </c>
      <c r="AC76" t="s">
        <v>47</v>
      </c>
      <c r="AD76" t="s">
        <v>47</v>
      </c>
      <c r="AE76" t="s">
        <v>47</v>
      </c>
      <c r="AF76" t="s">
        <v>47</v>
      </c>
      <c r="AG76" t="s">
        <v>47</v>
      </c>
      <c r="AH76" t="s">
        <v>47</v>
      </c>
      <c r="AI76" t="s">
        <v>47</v>
      </c>
      <c r="AJ76" t="s">
        <v>47</v>
      </c>
      <c r="AK76" t="s">
        <v>47</v>
      </c>
      <c r="AL76" t="s">
        <v>47</v>
      </c>
      <c r="AM76" t="s">
        <v>47</v>
      </c>
      <c r="AN76" t="s">
        <v>47</v>
      </c>
      <c r="AO76" s="5" t="s">
        <v>51</v>
      </c>
      <c r="AP76" s="4" t="s">
        <v>85</v>
      </c>
      <c r="AQ76" s="4" t="s">
        <v>53</v>
      </c>
      <c r="AR76" s="4" t="s">
        <v>417</v>
      </c>
      <c r="AS76" s="5">
        <v>48371</v>
      </c>
      <c r="AT76" t="s">
        <v>47</v>
      </c>
    </row>
    <row r="77" spans="1:46" ht="91" x14ac:dyDescent="0.3">
      <c r="A77" s="4" t="s">
        <v>418</v>
      </c>
      <c r="B77" t="s">
        <v>47</v>
      </c>
      <c r="C77" s="4" t="s">
        <v>419</v>
      </c>
      <c r="D77" s="4" t="s">
        <v>88</v>
      </c>
      <c r="E77" s="4" t="s">
        <v>49</v>
      </c>
      <c r="F77" s="5" t="s">
        <v>420</v>
      </c>
      <c r="G77" t="s">
        <v>47</v>
      </c>
      <c r="H77" t="s">
        <v>47</v>
      </c>
      <c r="I77" s="3">
        <v>38231</v>
      </c>
      <c r="J77" s="3">
        <v>41395</v>
      </c>
      <c r="K77" t="s">
        <v>47</v>
      </c>
      <c r="L77" s="5" t="s">
        <v>51</v>
      </c>
      <c r="M77" s="3">
        <v>38231</v>
      </c>
      <c r="N77" s="3">
        <v>41395</v>
      </c>
      <c r="O77" t="s">
        <v>47</v>
      </c>
      <c r="P77" s="3">
        <v>38231</v>
      </c>
      <c r="Q77" s="3">
        <v>41395</v>
      </c>
      <c r="R77" t="s">
        <v>47</v>
      </c>
      <c r="S77" t="s">
        <v>47</v>
      </c>
      <c r="T77" t="s">
        <v>47</v>
      </c>
      <c r="U77" t="s">
        <v>47</v>
      </c>
      <c r="V77" t="s">
        <v>47</v>
      </c>
      <c r="W77" s="3">
        <v>38231</v>
      </c>
      <c r="X77" s="3">
        <v>41395</v>
      </c>
      <c r="Y77" t="s">
        <v>47</v>
      </c>
      <c r="Z77" s="3">
        <v>38231</v>
      </c>
      <c r="AA77" s="3">
        <v>41395</v>
      </c>
      <c r="AB77" t="s">
        <v>47</v>
      </c>
      <c r="AC77" s="3">
        <v>38231</v>
      </c>
      <c r="AD77" s="3">
        <v>41395</v>
      </c>
      <c r="AE77" t="s">
        <v>47</v>
      </c>
      <c r="AF77" t="s">
        <v>47</v>
      </c>
      <c r="AG77" t="s">
        <v>47</v>
      </c>
      <c r="AH77" t="s">
        <v>47</v>
      </c>
      <c r="AI77" t="s">
        <v>47</v>
      </c>
      <c r="AJ77" t="s">
        <v>47</v>
      </c>
      <c r="AK77" t="s">
        <v>47</v>
      </c>
      <c r="AL77" t="s">
        <v>47</v>
      </c>
      <c r="AM77" t="s">
        <v>47</v>
      </c>
      <c r="AN77" t="s">
        <v>47</v>
      </c>
      <c r="AO77" s="5" t="s">
        <v>51</v>
      </c>
      <c r="AP77" s="4" t="s">
        <v>85</v>
      </c>
      <c r="AQ77" s="4" t="s">
        <v>53</v>
      </c>
      <c r="AR77" s="4" t="s">
        <v>421</v>
      </c>
      <c r="AS77" s="5">
        <v>25132</v>
      </c>
      <c r="AT77" t="s">
        <v>47</v>
      </c>
    </row>
    <row r="78" spans="1:46" ht="26" x14ac:dyDescent="0.3">
      <c r="A78" s="4" t="s">
        <v>422</v>
      </c>
      <c r="B78" t="s">
        <v>47</v>
      </c>
      <c r="C78" s="4" t="s">
        <v>423</v>
      </c>
      <c r="D78" s="4" t="s">
        <v>424</v>
      </c>
      <c r="E78" s="4" t="s">
        <v>425</v>
      </c>
      <c r="F78" t="s">
        <v>47</v>
      </c>
      <c r="G78" s="5" t="s">
        <v>426</v>
      </c>
      <c r="H78" t="s">
        <v>47</v>
      </c>
      <c r="I78" s="3">
        <v>41275</v>
      </c>
      <c r="J78" s="3">
        <v>42736</v>
      </c>
      <c r="K78" t="s">
        <v>47</v>
      </c>
      <c r="L78" s="5" t="s">
        <v>60</v>
      </c>
      <c r="M78" t="s">
        <v>47</v>
      </c>
      <c r="N78" t="s">
        <v>47</v>
      </c>
      <c r="O78" t="s">
        <v>47</v>
      </c>
      <c r="P78" s="3">
        <v>41275</v>
      </c>
      <c r="Q78" s="3">
        <v>42736</v>
      </c>
      <c r="R78" t="s">
        <v>47</v>
      </c>
      <c r="S78" t="s">
        <v>47</v>
      </c>
      <c r="T78" t="s">
        <v>47</v>
      </c>
      <c r="U78" t="s">
        <v>47</v>
      </c>
      <c r="V78" t="s">
        <v>47</v>
      </c>
      <c r="W78" s="3">
        <v>41275</v>
      </c>
      <c r="X78" s="3">
        <v>42736</v>
      </c>
      <c r="Y78" t="s">
        <v>47</v>
      </c>
      <c r="Z78" s="3">
        <v>41275</v>
      </c>
      <c r="AA78" s="3">
        <v>42736</v>
      </c>
      <c r="AB78" t="s">
        <v>47</v>
      </c>
      <c r="AC78" s="3">
        <v>41275</v>
      </c>
      <c r="AD78" s="3">
        <v>42736</v>
      </c>
      <c r="AE78" t="s">
        <v>47</v>
      </c>
      <c r="AF78" t="s">
        <v>47</v>
      </c>
      <c r="AG78" t="s">
        <v>47</v>
      </c>
      <c r="AH78" t="s">
        <v>47</v>
      </c>
      <c r="AI78" t="s">
        <v>47</v>
      </c>
      <c r="AJ78" t="s">
        <v>47</v>
      </c>
      <c r="AK78" t="s">
        <v>47</v>
      </c>
      <c r="AL78" t="s">
        <v>47</v>
      </c>
      <c r="AM78" t="s">
        <v>47</v>
      </c>
      <c r="AN78" t="s">
        <v>47</v>
      </c>
      <c r="AO78" s="5" t="s">
        <v>60</v>
      </c>
      <c r="AP78" s="4" t="s">
        <v>61</v>
      </c>
      <c r="AQ78" s="4" t="s">
        <v>427</v>
      </c>
      <c r="AR78" s="4" t="s">
        <v>54</v>
      </c>
      <c r="AS78" s="5">
        <v>2040922</v>
      </c>
      <c r="AT78" t="s">
        <v>47</v>
      </c>
    </row>
    <row r="79" spans="1:46" ht="26" x14ac:dyDescent="0.3">
      <c r="A79" s="4" t="s">
        <v>428</v>
      </c>
      <c r="B79" t="s">
        <v>47</v>
      </c>
      <c r="C79" s="4" t="s">
        <v>93</v>
      </c>
      <c r="D79" s="4" t="s">
        <v>217</v>
      </c>
      <c r="E79" s="4" t="s">
        <v>49</v>
      </c>
      <c r="F79" s="5" t="s">
        <v>429</v>
      </c>
      <c r="G79" s="5" t="s">
        <v>430</v>
      </c>
      <c r="H79" t="s">
        <v>47</v>
      </c>
      <c r="I79" t="s">
        <v>47</v>
      </c>
      <c r="J79" t="s">
        <v>47</v>
      </c>
      <c r="K79" t="s">
        <v>47</v>
      </c>
      <c r="L79" s="5" t="s">
        <v>60</v>
      </c>
      <c r="M79" t="s">
        <v>47</v>
      </c>
      <c r="N79" t="s">
        <v>47</v>
      </c>
      <c r="O79" t="s">
        <v>47</v>
      </c>
      <c r="P79" t="s">
        <v>47</v>
      </c>
      <c r="Q79" t="s">
        <v>47</v>
      </c>
      <c r="R79" t="s">
        <v>47</v>
      </c>
      <c r="S79" t="s">
        <v>47</v>
      </c>
      <c r="T79" t="s">
        <v>47</v>
      </c>
      <c r="U79" t="s">
        <v>47</v>
      </c>
      <c r="V79" t="s">
        <v>47</v>
      </c>
      <c r="W79" s="3">
        <v>40544</v>
      </c>
      <c r="X79" s="5" t="s">
        <v>50</v>
      </c>
      <c r="Y79" t="s">
        <v>47</v>
      </c>
      <c r="Z79" s="3">
        <v>40544</v>
      </c>
      <c r="AA79" s="5" t="s">
        <v>50</v>
      </c>
      <c r="AB79" t="s">
        <v>47</v>
      </c>
      <c r="AC79" s="3">
        <v>40544</v>
      </c>
      <c r="AD79" s="5" t="s">
        <v>50</v>
      </c>
      <c r="AE79" t="s">
        <v>47</v>
      </c>
      <c r="AF79" t="s">
        <v>47</v>
      </c>
      <c r="AG79" t="s">
        <v>47</v>
      </c>
      <c r="AH79" t="s">
        <v>47</v>
      </c>
      <c r="AI79" t="s">
        <v>47</v>
      </c>
      <c r="AJ79" t="s">
        <v>47</v>
      </c>
      <c r="AK79" t="s">
        <v>47</v>
      </c>
      <c r="AL79" t="s">
        <v>47</v>
      </c>
      <c r="AM79" t="s">
        <v>47</v>
      </c>
      <c r="AN79" t="s">
        <v>47</v>
      </c>
      <c r="AO79" s="5" t="s">
        <v>60</v>
      </c>
      <c r="AP79" s="4" t="s">
        <v>61</v>
      </c>
      <c r="AQ79" s="4" t="s">
        <v>53</v>
      </c>
      <c r="AR79" s="4" t="s">
        <v>431</v>
      </c>
      <c r="AS79" s="5">
        <v>866338</v>
      </c>
      <c r="AT79" t="s">
        <v>47</v>
      </c>
    </row>
    <row r="80" spans="1:46" ht="78" x14ac:dyDescent="0.3">
      <c r="A80" s="4" t="s">
        <v>432</v>
      </c>
      <c r="B80" t="s">
        <v>47</v>
      </c>
      <c r="C80" s="4" t="s">
        <v>122</v>
      </c>
      <c r="D80" s="4" t="s">
        <v>70</v>
      </c>
      <c r="E80" s="4" t="s">
        <v>123</v>
      </c>
      <c r="F80" s="5" t="s">
        <v>433</v>
      </c>
      <c r="G80" s="5" t="s">
        <v>434</v>
      </c>
      <c r="H80" t="s">
        <v>47</v>
      </c>
      <c r="I80" s="3">
        <v>35796</v>
      </c>
      <c r="J80" s="5" t="s">
        <v>50</v>
      </c>
      <c r="K80" t="s">
        <v>47</v>
      </c>
      <c r="L80" s="5" t="s">
        <v>60</v>
      </c>
      <c r="M80" s="3">
        <v>35796</v>
      </c>
      <c r="N80" s="3">
        <v>42826</v>
      </c>
      <c r="O80" s="5" t="s">
        <v>435</v>
      </c>
      <c r="P80" s="3">
        <v>35796</v>
      </c>
      <c r="Q80" s="5" t="s">
        <v>50</v>
      </c>
      <c r="R80" t="s">
        <v>47</v>
      </c>
      <c r="S80" t="s">
        <v>47</v>
      </c>
      <c r="T80" t="s">
        <v>47</v>
      </c>
      <c r="U80" t="s">
        <v>47</v>
      </c>
      <c r="V80" s="5">
        <v>365</v>
      </c>
      <c r="W80" s="3">
        <v>35796</v>
      </c>
      <c r="X80" s="5" t="s">
        <v>50</v>
      </c>
      <c r="Y80" t="s">
        <v>47</v>
      </c>
      <c r="Z80" s="3">
        <v>35796</v>
      </c>
      <c r="AA80" s="5" t="s">
        <v>50</v>
      </c>
      <c r="AB80" t="s">
        <v>47</v>
      </c>
      <c r="AC80" s="3">
        <v>36526</v>
      </c>
      <c r="AD80" s="5" t="s">
        <v>50</v>
      </c>
      <c r="AE80" t="s">
        <v>47</v>
      </c>
      <c r="AF80" t="s">
        <v>47</v>
      </c>
      <c r="AG80" t="s">
        <v>47</v>
      </c>
      <c r="AH80" t="s">
        <v>47</v>
      </c>
      <c r="AI80" t="s">
        <v>47</v>
      </c>
      <c r="AJ80" t="s">
        <v>47</v>
      </c>
      <c r="AK80" t="s">
        <v>47</v>
      </c>
      <c r="AL80" t="s">
        <v>47</v>
      </c>
      <c r="AM80" t="s">
        <v>47</v>
      </c>
      <c r="AN80" t="s">
        <v>47</v>
      </c>
      <c r="AO80" s="5" t="s">
        <v>60</v>
      </c>
      <c r="AP80" s="4" t="s">
        <v>61</v>
      </c>
      <c r="AQ80" s="4" t="s">
        <v>53</v>
      </c>
      <c r="AR80" s="4" t="s">
        <v>436</v>
      </c>
      <c r="AS80" s="5">
        <v>38024</v>
      </c>
      <c r="AT80" t="s">
        <v>47</v>
      </c>
    </row>
    <row r="81" spans="1:46" ht="39" x14ac:dyDescent="0.3">
      <c r="A81" s="4" t="s">
        <v>437</v>
      </c>
      <c r="B81" t="s">
        <v>47</v>
      </c>
      <c r="C81" s="4" t="s">
        <v>397</v>
      </c>
      <c r="D81" s="4" t="s">
        <v>139</v>
      </c>
      <c r="E81" s="4" t="s">
        <v>66</v>
      </c>
      <c r="F81" s="5" t="s">
        <v>438</v>
      </c>
      <c r="G81" s="5" t="s">
        <v>439</v>
      </c>
      <c r="H81" t="s">
        <v>47</v>
      </c>
      <c r="I81" s="3">
        <v>39753</v>
      </c>
      <c r="J81" s="5" t="s">
        <v>50</v>
      </c>
      <c r="K81" t="s">
        <v>47</v>
      </c>
      <c r="L81" s="5" t="s">
        <v>60</v>
      </c>
      <c r="M81" s="3">
        <v>40848</v>
      </c>
      <c r="N81" s="5" t="s">
        <v>50</v>
      </c>
      <c r="O81" t="s">
        <v>47</v>
      </c>
      <c r="P81" s="3">
        <v>39753</v>
      </c>
      <c r="Q81" s="5" t="s">
        <v>50</v>
      </c>
      <c r="R81" t="s">
        <v>47</v>
      </c>
      <c r="S81" t="s">
        <v>47</v>
      </c>
      <c r="T81" t="s">
        <v>47</v>
      </c>
      <c r="U81" t="s">
        <v>47</v>
      </c>
      <c r="V81" s="5">
        <v>365</v>
      </c>
      <c r="W81" s="3">
        <v>39753</v>
      </c>
      <c r="X81" s="5" t="s">
        <v>50</v>
      </c>
      <c r="Y81" t="s">
        <v>47</v>
      </c>
      <c r="Z81" s="3">
        <v>39753</v>
      </c>
      <c r="AA81" s="5" t="s">
        <v>50</v>
      </c>
      <c r="AB81" t="s">
        <v>47</v>
      </c>
      <c r="AC81" s="3">
        <v>39753</v>
      </c>
      <c r="AD81" s="5" t="s">
        <v>50</v>
      </c>
      <c r="AE81" t="s">
        <v>47</v>
      </c>
      <c r="AF81" t="s">
        <v>47</v>
      </c>
      <c r="AG81" t="s">
        <v>47</v>
      </c>
      <c r="AH81" t="s">
        <v>47</v>
      </c>
      <c r="AI81" t="s">
        <v>47</v>
      </c>
      <c r="AJ81" t="s">
        <v>47</v>
      </c>
      <c r="AK81" t="s">
        <v>47</v>
      </c>
      <c r="AL81" t="s">
        <v>47</v>
      </c>
      <c r="AM81" t="s">
        <v>47</v>
      </c>
      <c r="AN81" t="s">
        <v>47</v>
      </c>
      <c r="AO81" s="5" t="s">
        <v>60</v>
      </c>
      <c r="AP81" s="4" t="s">
        <v>61</v>
      </c>
      <c r="AQ81" s="4" t="s">
        <v>53</v>
      </c>
      <c r="AR81" s="4" t="s">
        <v>440</v>
      </c>
      <c r="AS81" s="5">
        <v>626319</v>
      </c>
      <c r="AT81" t="s">
        <v>47</v>
      </c>
    </row>
    <row r="82" spans="1:46" ht="26" x14ac:dyDescent="0.3">
      <c r="A82" s="4" t="s">
        <v>441</v>
      </c>
      <c r="B82" t="s">
        <v>47</v>
      </c>
      <c r="C82" s="4" t="s">
        <v>200</v>
      </c>
      <c r="D82" s="4" t="s">
        <v>88</v>
      </c>
      <c r="E82" s="4" t="s">
        <v>66</v>
      </c>
      <c r="F82" s="5" t="s">
        <v>442</v>
      </c>
      <c r="G82" s="5" t="s">
        <v>443</v>
      </c>
      <c r="H82" t="s">
        <v>47</v>
      </c>
      <c r="I82" s="3">
        <v>36312</v>
      </c>
      <c r="J82" s="3">
        <v>40513</v>
      </c>
      <c r="K82" t="s">
        <v>47</v>
      </c>
      <c r="L82" s="5" t="s">
        <v>60</v>
      </c>
      <c r="M82" s="3">
        <v>36312</v>
      </c>
      <c r="N82" s="3">
        <v>40513</v>
      </c>
      <c r="O82" t="s">
        <v>47</v>
      </c>
      <c r="P82" s="3">
        <v>36312</v>
      </c>
      <c r="Q82" s="3">
        <v>39508</v>
      </c>
      <c r="R82" t="s">
        <v>47</v>
      </c>
      <c r="S82" t="s">
        <v>47</v>
      </c>
      <c r="T82" t="s">
        <v>47</v>
      </c>
      <c r="U82" t="s">
        <v>47</v>
      </c>
      <c r="V82" t="s">
        <v>47</v>
      </c>
      <c r="W82" s="3">
        <v>36312</v>
      </c>
      <c r="X82" s="5" t="s">
        <v>50</v>
      </c>
      <c r="Y82" t="s">
        <v>47</v>
      </c>
      <c r="Z82" s="3">
        <v>36312</v>
      </c>
      <c r="AA82" s="5" t="s">
        <v>50</v>
      </c>
      <c r="AB82" t="s">
        <v>47</v>
      </c>
      <c r="AC82" s="3">
        <v>36312</v>
      </c>
      <c r="AD82" s="5" t="s">
        <v>50</v>
      </c>
      <c r="AE82" t="s">
        <v>47</v>
      </c>
      <c r="AF82" t="s">
        <v>47</v>
      </c>
      <c r="AG82" t="s">
        <v>47</v>
      </c>
      <c r="AH82" t="s">
        <v>47</v>
      </c>
      <c r="AI82" t="s">
        <v>47</v>
      </c>
      <c r="AJ82" t="s">
        <v>47</v>
      </c>
      <c r="AK82" t="s">
        <v>47</v>
      </c>
      <c r="AL82" t="s">
        <v>47</v>
      </c>
      <c r="AM82" t="s">
        <v>47</v>
      </c>
      <c r="AN82" t="s">
        <v>47</v>
      </c>
      <c r="AO82" s="5" t="s">
        <v>60</v>
      </c>
      <c r="AP82" s="4" t="s">
        <v>61</v>
      </c>
      <c r="AQ82" s="4" t="s">
        <v>53</v>
      </c>
      <c r="AR82" s="4" t="s">
        <v>444</v>
      </c>
      <c r="AS82" s="5">
        <v>48441</v>
      </c>
      <c r="AT82" t="s">
        <v>47</v>
      </c>
    </row>
    <row r="83" spans="1:46" ht="26" x14ac:dyDescent="0.3">
      <c r="A83" s="4" t="s">
        <v>445</v>
      </c>
      <c r="B83" t="s">
        <v>47</v>
      </c>
      <c r="C83" s="4" t="s">
        <v>446</v>
      </c>
      <c r="D83" s="4" t="s">
        <v>447</v>
      </c>
      <c r="E83" s="4" t="s">
        <v>100</v>
      </c>
      <c r="F83" s="5" t="s">
        <v>448</v>
      </c>
      <c r="G83" s="5" t="s">
        <v>449</v>
      </c>
      <c r="H83" t="s">
        <v>47</v>
      </c>
      <c r="I83" s="3">
        <v>41275</v>
      </c>
      <c r="J83" s="5" t="s">
        <v>50</v>
      </c>
      <c r="K83" s="5" t="s">
        <v>450</v>
      </c>
      <c r="L83" s="5" t="s">
        <v>51</v>
      </c>
      <c r="M83" s="3">
        <v>41275</v>
      </c>
      <c r="N83" s="5" t="s">
        <v>50</v>
      </c>
      <c r="O83" s="5" t="s">
        <v>450</v>
      </c>
      <c r="P83" s="3">
        <v>41275</v>
      </c>
      <c r="Q83" s="5" t="s">
        <v>50</v>
      </c>
      <c r="R83" s="5" t="s">
        <v>450</v>
      </c>
      <c r="S83" t="s">
        <v>47</v>
      </c>
      <c r="T83" t="s">
        <v>47</v>
      </c>
      <c r="U83" t="s">
        <v>47</v>
      </c>
      <c r="V83" t="s">
        <v>47</v>
      </c>
      <c r="W83" s="3">
        <v>41275</v>
      </c>
      <c r="X83" s="5" t="s">
        <v>50</v>
      </c>
      <c r="Y83" s="5" t="s">
        <v>450</v>
      </c>
      <c r="Z83" s="3">
        <v>41275</v>
      </c>
      <c r="AA83" s="5" t="s">
        <v>50</v>
      </c>
      <c r="AB83" s="5" t="s">
        <v>450</v>
      </c>
      <c r="AC83" s="3">
        <v>41275</v>
      </c>
      <c r="AD83" s="5" t="s">
        <v>50</v>
      </c>
      <c r="AE83" s="5" t="s">
        <v>450</v>
      </c>
      <c r="AF83" t="s">
        <v>47</v>
      </c>
      <c r="AG83" t="s">
        <v>47</v>
      </c>
      <c r="AH83" t="s">
        <v>47</v>
      </c>
      <c r="AI83" t="s">
        <v>47</v>
      </c>
      <c r="AJ83" t="s">
        <v>47</v>
      </c>
      <c r="AK83" t="s">
        <v>47</v>
      </c>
      <c r="AL83" t="s">
        <v>47</v>
      </c>
      <c r="AM83" t="s">
        <v>47</v>
      </c>
      <c r="AN83" t="s">
        <v>47</v>
      </c>
      <c r="AO83" s="5" t="s">
        <v>51</v>
      </c>
      <c r="AP83" s="4" t="s">
        <v>85</v>
      </c>
      <c r="AQ83" s="4" t="s">
        <v>53</v>
      </c>
      <c r="AR83" s="4" t="s">
        <v>54</v>
      </c>
      <c r="AS83" s="5">
        <v>2031973</v>
      </c>
      <c r="AT83" t="s">
        <v>47</v>
      </c>
    </row>
    <row r="84" spans="1:46" ht="39" x14ac:dyDescent="0.3">
      <c r="A84" s="4" t="s">
        <v>451</v>
      </c>
      <c r="B84" t="s">
        <v>47</v>
      </c>
      <c r="C84" s="4" t="s">
        <v>452</v>
      </c>
      <c r="D84" s="4" t="s">
        <v>453</v>
      </c>
      <c r="E84" s="4" t="s">
        <v>454</v>
      </c>
      <c r="F84" t="s">
        <v>47</v>
      </c>
      <c r="G84" s="5" t="s">
        <v>455</v>
      </c>
      <c r="H84" t="s">
        <v>47</v>
      </c>
      <c r="I84" s="3">
        <v>40909</v>
      </c>
      <c r="J84" s="5" t="s">
        <v>50</v>
      </c>
      <c r="K84" t="s">
        <v>47</v>
      </c>
      <c r="L84" s="5" t="s">
        <v>60</v>
      </c>
      <c r="M84" t="s">
        <v>47</v>
      </c>
      <c r="N84" t="s">
        <v>47</v>
      </c>
      <c r="O84" t="s">
        <v>47</v>
      </c>
      <c r="P84" s="3">
        <v>40909</v>
      </c>
      <c r="Q84" s="5" t="s">
        <v>50</v>
      </c>
      <c r="R84" t="s">
        <v>47</v>
      </c>
      <c r="S84" t="s">
        <v>47</v>
      </c>
      <c r="T84" t="s">
        <v>47</v>
      </c>
      <c r="U84" t="s">
        <v>47</v>
      </c>
      <c r="V84" t="s">
        <v>47</v>
      </c>
      <c r="W84" s="3">
        <v>40909</v>
      </c>
      <c r="X84" s="5" t="s">
        <v>50</v>
      </c>
      <c r="Y84" t="s">
        <v>47</v>
      </c>
      <c r="Z84" s="3">
        <v>40909</v>
      </c>
      <c r="AA84" s="5" t="s">
        <v>50</v>
      </c>
      <c r="AB84" t="s">
        <v>47</v>
      </c>
      <c r="AC84" s="3">
        <v>40909</v>
      </c>
      <c r="AD84" s="5" t="s">
        <v>50</v>
      </c>
      <c r="AE84" t="s">
        <v>47</v>
      </c>
      <c r="AF84" t="s">
        <v>47</v>
      </c>
      <c r="AG84" t="s">
        <v>47</v>
      </c>
      <c r="AH84" t="s">
        <v>47</v>
      </c>
      <c r="AI84" t="s">
        <v>47</v>
      </c>
      <c r="AJ84" t="s">
        <v>47</v>
      </c>
      <c r="AK84" t="s">
        <v>47</v>
      </c>
      <c r="AL84" t="s">
        <v>47</v>
      </c>
      <c r="AM84" t="s">
        <v>47</v>
      </c>
      <c r="AN84" t="s">
        <v>47</v>
      </c>
      <c r="AO84" s="5" t="s">
        <v>60</v>
      </c>
      <c r="AP84" s="4" t="s">
        <v>61</v>
      </c>
      <c r="AQ84" s="4" t="s">
        <v>456</v>
      </c>
      <c r="AR84" s="4" t="s">
        <v>457</v>
      </c>
      <c r="AS84" s="5">
        <v>4789736</v>
      </c>
      <c r="AT84" t="s">
        <v>47</v>
      </c>
    </row>
    <row r="85" spans="1:46" ht="13" x14ac:dyDescent="0.3">
      <c r="A85" s="4" t="s">
        <v>458</v>
      </c>
      <c r="B85" t="s">
        <v>47</v>
      </c>
      <c r="C85" s="4" t="s">
        <v>459</v>
      </c>
      <c r="D85" s="4" t="s">
        <v>88</v>
      </c>
      <c r="E85" s="4" t="s">
        <v>49</v>
      </c>
      <c r="F85" s="5" t="s">
        <v>460</v>
      </c>
      <c r="G85" t="s">
        <v>47</v>
      </c>
      <c r="H85" t="s">
        <v>47</v>
      </c>
      <c r="I85" s="3">
        <v>37987</v>
      </c>
      <c r="J85" s="3">
        <v>39448</v>
      </c>
      <c r="K85" t="s">
        <v>47</v>
      </c>
      <c r="L85" s="5" t="s">
        <v>51</v>
      </c>
      <c r="M85" s="3">
        <v>37987</v>
      </c>
      <c r="N85" s="3">
        <v>39448</v>
      </c>
      <c r="O85" t="s">
        <v>47</v>
      </c>
      <c r="P85" s="3">
        <v>37987</v>
      </c>
      <c r="Q85" s="3">
        <v>39448</v>
      </c>
      <c r="R85" t="s">
        <v>47</v>
      </c>
      <c r="S85" t="s">
        <v>47</v>
      </c>
      <c r="T85" t="s">
        <v>47</v>
      </c>
      <c r="U85" t="s">
        <v>47</v>
      </c>
      <c r="V85" t="s">
        <v>47</v>
      </c>
      <c r="W85" s="3">
        <v>37987</v>
      </c>
      <c r="X85" s="3">
        <v>39448</v>
      </c>
      <c r="Y85" t="s">
        <v>47</v>
      </c>
      <c r="Z85" s="3">
        <v>37987</v>
      </c>
      <c r="AA85" s="3">
        <v>39448</v>
      </c>
      <c r="AB85" t="s">
        <v>47</v>
      </c>
      <c r="AC85" s="3">
        <v>37987</v>
      </c>
      <c r="AD85" s="3">
        <v>39448</v>
      </c>
      <c r="AE85" t="s">
        <v>47</v>
      </c>
      <c r="AF85" t="s">
        <v>47</v>
      </c>
      <c r="AG85" t="s">
        <v>47</v>
      </c>
      <c r="AH85" t="s">
        <v>47</v>
      </c>
      <c r="AI85" t="s">
        <v>47</v>
      </c>
      <c r="AJ85" t="s">
        <v>47</v>
      </c>
      <c r="AK85" t="s">
        <v>47</v>
      </c>
      <c r="AL85" t="s">
        <v>47</v>
      </c>
      <c r="AM85" t="s">
        <v>47</v>
      </c>
      <c r="AN85" t="s">
        <v>47</v>
      </c>
      <c r="AO85" s="5" t="s">
        <v>51</v>
      </c>
      <c r="AP85" s="4" t="s">
        <v>85</v>
      </c>
      <c r="AQ85" s="4" t="s">
        <v>53</v>
      </c>
      <c r="AR85" s="4" t="s">
        <v>54</v>
      </c>
      <c r="AS85" s="5">
        <v>49273</v>
      </c>
      <c r="AT85" t="s">
        <v>47</v>
      </c>
    </row>
    <row r="86" spans="1:46" ht="26" x14ac:dyDescent="0.3">
      <c r="A86" s="4" t="s">
        <v>461</v>
      </c>
      <c r="B86" t="s">
        <v>47</v>
      </c>
      <c r="C86" s="4" t="s">
        <v>462</v>
      </c>
      <c r="D86" s="4" t="s">
        <v>463</v>
      </c>
      <c r="E86" s="4" t="s">
        <v>49</v>
      </c>
      <c r="F86" s="5" t="s">
        <v>464</v>
      </c>
      <c r="G86" t="s">
        <v>47</v>
      </c>
      <c r="H86" t="s">
        <v>47</v>
      </c>
      <c r="I86" t="s">
        <v>47</v>
      </c>
      <c r="J86" t="s">
        <v>47</v>
      </c>
      <c r="K86" t="s">
        <v>47</v>
      </c>
      <c r="L86" s="5" t="s">
        <v>51</v>
      </c>
      <c r="M86" t="s">
        <v>47</v>
      </c>
      <c r="N86" t="s">
        <v>47</v>
      </c>
      <c r="O86" t="s">
        <v>47</v>
      </c>
      <c r="P86" t="s">
        <v>47</v>
      </c>
      <c r="Q86" t="s">
        <v>47</v>
      </c>
      <c r="R86" t="s">
        <v>47</v>
      </c>
      <c r="S86" t="s">
        <v>47</v>
      </c>
      <c r="T86" t="s">
        <v>47</v>
      </c>
      <c r="U86" t="s">
        <v>47</v>
      </c>
      <c r="V86" t="s">
        <v>47</v>
      </c>
      <c r="W86" s="3">
        <v>37316</v>
      </c>
      <c r="X86" s="3">
        <v>42036</v>
      </c>
      <c r="Y86" t="s">
        <v>47</v>
      </c>
      <c r="Z86" s="3">
        <v>37316</v>
      </c>
      <c r="AA86" s="3">
        <v>42036</v>
      </c>
      <c r="AB86" t="s">
        <v>47</v>
      </c>
      <c r="AC86" s="3">
        <v>37316</v>
      </c>
      <c r="AD86" s="3">
        <v>42036</v>
      </c>
      <c r="AE86" t="s">
        <v>47</v>
      </c>
      <c r="AF86" t="s">
        <v>47</v>
      </c>
      <c r="AG86" t="s">
        <v>47</v>
      </c>
      <c r="AH86" t="s">
        <v>47</v>
      </c>
      <c r="AI86" t="s">
        <v>47</v>
      </c>
      <c r="AJ86" t="s">
        <v>47</v>
      </c>
      <c r="AK86" t="s">
        <v>47</v>
      </c>
      <c r="AL86" t="s">
        <v>47</v>
      </c>
      <c r="AM86" t="s">
        <v>47</v>
      </c>
      <c r="AN86" t="s">
        <v>47</v>
      </c>
      <c r="AO86" s="5" t="s">
        <v>51</v>
      </c>
      <c r="AP86" s="4" t="s">
        <v>135</v>
      </c>
      <c r="AQ86" s="4" t="s">
        <v>53</v>
      </c>
      <c r="AR86" s="4" t="s">
        <v>54</v>
      </c>
      <c r="AS86" s="5">
        <v>26330</v>
      </c>
      <c r="AT86" t="s">
        <v>47</v>
      </c>
    </row>
    <row r="87" spans="1:46" ht="52" x14ac:dyDescent="0.3">
      <c r="A87" s="4" t="s">
        <v>465</v>
      </c>
      <c r="B87" t="s">
        <v>47</v>
      </c>
      <c r="C87" s="4" t="s">
        <v>169</v>
      </c>
      <c r="D87" s="4" t="s">
        <v>319</v>
      </c>
      <c r="E87" s="4" t="s">
        <v>66</v>
      </c>
      <c r="F87" s="5" t="s">
        <v>466</v>
      </c>
      <c r="G87" s="5" t="s">
        <v>467</v>
      </c>
      <c r="H87" t="s">
        <v>47</v>
      </c>
      <c r="I87" t="s">
        <v>47</v>
      </c>
      <c r="J87" t="s">
        <v>47</v>
      </c>
      <c r="K87" t="s">
        <v>47</v>
      </c>
      <c r="L87" s="5" t="s">
        <v>60</v>
      </c>
      <c r="M87" t="s">
        <v>47</v>
      </c>
      <c r="N87" t="s">
        <v>47</v>
      </c>
      <c r="O87" t="s">
        <v>47</v>
      </c>
      <c r="P87" t="s">
        <v>47</v>
      </c>
      <c r="Q87" t="s">
        <v>47</v>
      </c>
      <c r="R87" t="s">
        <v>47</v>
      </c>
      <c r="S87" t="s">
        <v>47</v>
      </c>
      <c r="T87" t="s">
        <v>47</v>
      </c>
      <c r="U87" t="s">
        <v>47</v>
      </c>
      <c r="V87" t="s">
        <v>47</v>
      </c>
      <c r="W87" s="3">
        <v>39814</v>
      </c>
      <c r="X87" s="5" t="s">
        <v>50</v>
      </c>
      <c r="Y87" t="s">
        <v>47</v>
      </c>
      <c r="Z87" s="3">
        <v>39814</v>
      </c>
      <c r="AA87" s="5" t="s">
        <v>50</v>
      </c>
      <c r="AB87" t="s">
        <v>47</v>
      </c>
      <c r="AC87" s="3">
        <v>39814</v>
      </c>
      <c r="AD87" s="5" t="s">
        <v>50</v>
      </c>
      <c r="AE87" t="s">
        <v>47</v>
      </c>
      <c r="AF87" t="s">
        <v>47</v>
      </c>
      <c r="AG87" t="s">
        <v>47</v>
      </c>
      <c r="AH87" t="s">
        <v>47</v>
      </c>
      <c r="AI87" t="s">
        <v>47</v>
      </c>
      <c r="AJ87" t="s">
        <v>47</v>
      </c>
      <c r="AK87" t="s">
        <v>47</v>
      </c>
      <c r="AL87" t="s">
        <v>47</v>
      </c>
      <c r="AM87" t="s">
        <v>47</v>
      </c>
      <c r="AN87" t="s">
        <v>47</v>
      </c>
      <c r="AO87" s="5" t="s">
        <v>60</v>
      </c>
      <c r="AP87" s="4" t="s">
        <v>61</v>
      </c>
      <c r="AQ87" s="4" t="s">
        <v>53</v>
      </c>
      <c r="AR87" s="4" t="s">
        <v>468</v>
      </c>
      <c r="AS87" s="5">
        <v>53026</v>
      </c>
      <c r="AT87" t="s">
        <v>47</v>
      </c>
    </row>
    <row r="88" spans="1:46" ht="13" x14ac:dyDescent="0.3">
      <c r="A88" s="4" t="s">
        <v>469</v>
      </c>
      <c r="B88" t="s">
        <v>47</v>
      </c>
      <c r="C88" s="4" t="s">
        <v>470</v>
      </c>
      <c r="D88" s="4" t="s">
        <v>139</v>
      </c>
      <c r="E88" s="4" t="s">
        <v>66</v>
      </c>
      <c r="F88" s="5" t="s">
        <v>471</v>
      </c>
      <c r="G88" s="5" t="s">
        <v>472</v>
      </c>
      <c r="H88" t="s">
        <v>47</v>
      </c>
      <c r="I88" t="s">
        <v>47</v>
      </c>
      <c r="J88" t="s">
        <v>47</v>
      </c>
      <c r="K88" t="s">
        <v>47</v>
      </c>
      <c r="L88" s="5" t="s">
        <v>60</v>
      </c>
      <c r="M88" t="s">
        <v>47</v>
      </c>
      <c r="N88" t="s">
        <v>47</v>
      </c>
      <c r="O88" t="s">
        <v>47</v>
      </c>
      <c r="P88" t="s">
        <v>47</v>
      </c>
      <c r="Q88" t="s">
        <v>47</v>
      </c>
      <c r="R88" t="s">
        <v>47</v>
      </c>
      <c r="S88" t="s">
        <v>47</v>
      </c>
      <c r="T88" t="s">
        <v>47</v>
      </c>
      <c r="U88" t="s">
        <v>47</v>
      </c>
      <c r="V88" t="s">
        <v>47</v>
      </c>
      <c r="W88" s="3">
        <v>36220</v>
      </c>
      <c r="X88" s="3">
        <v>40057</v>
      </c>
      <c r="Y88" t="s">
        <v>47</v>
      </c>
      <c r="Z88" s="3">
        <v>36220</v>
      </c>
      <c r="AA88" s="3">
        <v>40057</v>
      </c>
      <c r="AB88" t="s">
        <v>47</v>
      </c>
      <c r="AC88" s="3">
        <v>36220</v>
      </c>
      <c r="AD88" s="3">
        <v>40057</v>
      </c>
      <c r="AE88" t="s">
        <v>47</v>
      </c>
      <c r="AF88" t="s">
        <v>47</v>
      </c>
      <c r="AG88" t="s">
        <v>47</v>
      </c>
      <c r="AH88" t="s">
        <v>47</v>
      </c>
      <c r="AI88" t="s">
        <v>47</v>
      </c>
      <c r="AJ88" t="s">
        <v>47</v>
      </c>
      <c r="AK88" t="s">
        <v>47</v>
      </c>
      <c r="AL88" t="s">
        <v>47</v>
      </c>
      <c r="AM88" t="s">
        <v>47</v>
      </c>
      <c r="AN88" t="s">
        <v>47</v>
      </c>
      <c r="AO88" s="5" t="s">
        <v>60</v>
      </c>
      <c r="AP88" s="4" t="s">
        <v>61</v>
      </c>
      <c r="AQ88" s="4" t="s">
        <v>53</v>
      </c>
      <c r="AR88" s="4" t="s">
        <v>167</v>
      </c>
      <c r="AS88" s="5">
        <v>36686</v>
      </c>
      <c r="AT88" t="s">
        <v>47</v>
      </c>
    </row>
    <row r="89" spans="1:46" ht="13" x14ac:dyDescent="0.3">
      <c r="A89" s="4" t="s">
        <v>473</v>
      </c>
      <c r="B89" t="s">
        <v>47</v>
      </c>
      <c r="C89" s="4" t="s">
        <v>169</v>
      </c>
      <c r="D89" s="4" t="s">
        <v>319</v>
      </c>
      <c r="E89" s="4" t="s">
        <v>66</v>
      </c>
      <c r="F89" s="5" t="s">
        <v>474</v>
      </c>
      <c r="G89" s="5" t="s">
        <v>475</v>
      </c>
      <c r="H89" t="s">
        <v>47</v>
      </c>
      <c r="I89" t="s">
        <v>47</v>
      </c>
      <c r="J89" t="s">
        <v>47</v>
      </c>
      <c r="K89" t="s">
        <v>47</v>
      </c>
      <c r="L89" s="5" t="s">
        <v>60</v>
      </c>
      <c r="M89" t="s">
        <v>47</v>
      </c>
      <c r="N89" t="s">
        <v>47</v>
      </c>
      <c r="O89" t="s">
        <v>47</v>
      </c>
      <c r="P89" t="s">
        <v>47</v>
      </c>
      <c r="Q89" t="s">
        <v>47</v>
      </c>
      <c r="R89" t="s">
        <v>47</v>
      </c>
      <c r="S89" t="s">
        <v>47</v>
      </c>
      <c r="T89" t="s">
        <v>47</v>
      </c>
      <c r="U89" t="s">
        <v>47</v>
      </c>
      <c r="V89" t="s">
        <v>47</v>
      </c>
      <c r="W89" s="3">
        <v>37987</v>
      </c>
      <c r="X89" s="5" t="s">
        <v>50</v>
      </c>
      <c r="Y89" t="s">
        <v>47</v>
      </c>
      <c r="Z89" s="3">
        <v>37987</v>
      </c>
      <c r="AA89" s="5" t="s">
        <v>50</v>
      </c>
      <c r="AB89" t="s">
        <v>47</v>
      </c>
      <c r="AC89" s="3">
        <v>37987</v>
      </c>
      <c r="AD89" s="5" t="s">
        <v>50</v>
      </c>
      <c r="AE89" t="s">
        <v>47</v>
      </c>
      <c r="AF89" t="s">
        <v>47</v>
      </c>
      <c r="AG89" t="s">
        <v>47</v>
      </c>
      <c r="AH89" t="s">
        <v>47</v>
      </c>
      <c r="AI89" t="s">
        <v>47</v>
      </c>
      <c r="AJ89" t="s">
        <v>47</v>
      </c>
      <c r="AK89" t="s">
        <v>47</v>
      </c>
      <c r="AL89" t="s">
        <v>47</v>
      </c>
      <c r="AM89" t="s">
        <v>47</v>
      </c>
      <c r="AN89" t="s">
        <v>47</v>
      </c>
      <c r="AO89" s="5" t="s">
        <v>60</v>
      </c>
      <c r="AP89" s="4" t="s">
        <v>61</v>
      </c>
      <c r="AQ89" s="4" t="s">
        <v>53</v>
      </c>
      <c r="AR89" s="4" t="s">
        <v>54</v>
      </c>
      <c r="AS89" s="5">
        <v>46253</v>
      </c>
      <c r="AT89" t="s">
        <v>47</v>
      </c>
    </row>
    <row r="90" spans="1:46" ht="91" x14ac:dyDescent="0.3">
      <c r="A90" s="4" t="s">
        <v>476</v>
      </c>
      <c r="B90" t="s">
        <v>47</v>
      </c>
      <c r="C90" s="4" t="s">
        <v>397</v>
      </c>
      <c r="D90" s="4" t="s">
        <v>70</v>
      </c>
      <c r="E90" s="4" t="s">
        <v>66</v>
      </c>
      <c r="F90" s="5" t="s">
        <v>477</v>
      </c>
      <c r="G90" s="5" t="s">
        <v>478</v>
      </c>
      <c r="H90" t="s">
        <v>47</v>
      </c>
      <c r="I90" s="3">
        <v>36951</v>
      </c>
      <c r="J90" s="5" t="s">
        <v>50</v>
      </c>
      <c r="K90" t="s">
        <v>47</v>
      </c>
      <c r="L90" s="5" t="s">
        <v>60</v>
      </c>
      <c r="M90" s="3">
        <v>38047</v>
      </c>
      <c r="N90" s="5" t="s">
        <v>50</v>
      </c>
      <c r="O90" t="s">
        <v>47</v>
      </c>
      <c r="P90" s="3">
        <v>36951</v>
      </c>
      <c r="Q90" s="5" t="s">
        <v>50</v>
      </c>
      <c r="R90" t="s">
        <v>47</v>
      </c>
      <c r="S90" t="s">
        <v>47</v>
      </c>
      <c r="T90" t="s">
        <v>47</v>
      </c>
      <c r="U90" t="s">
        <v>47</v>
      </c>
      <c r="V90" s="5">
        <v>365</v>
      </c>
      <c r="W90" s="3">
        <v>36951</v>
      </c>
      <c r="X90" s="5" t="s">
        <v>50</v>
      </c>
      <c r="Y90" t="s">
        <v>47</v>
      </c>
      <c r="Z90" s="3">
        <v>36951</v>
      </c>
      <c r="AA90" s="5" t="s">
        <v>50</v>
      </c>
      <c r="AB90" t="s">
        <v>47</v>
      </c>
      <c r="AC90" s="3">
        <v>36951</v>
      </c>
      <c r="AD90" s="5" t="s">
        <v>50</v>
      </c>
      <c r="AE90" t="s">
        <v>47</v>
      </c>
      <c r="AF90" t="s">
        <v>47</v>
      </c>
      <c r="AG90" t="s">
        <v>47</v>
      </c>
      <c r="AH90" t="s">
        <v>47</v>
      </c>
      <c r="AI90" t="s">
        <v>47</v>
      </c>
      <c r="AJ90" t="s">
        <v>47</v>
      </c>
      <c r="AK90" t="s">
        <v>47</v>
      </c>
      <c r="AL90" t="s">
        <v>47</v>
      </c>
      <c r="AM90" t="s">
        <v>47</v>
      </c>
      <c r="AN90" t="s">
        <v>47</v>
      </c>
      <c r="AO90" s="5" t="s">
        <v>60</v>
      </c>
      <c r="AP90" s="4" t="s">
        <v>61</v>
      </c>
      <c r="AQ90" s="4" t="s">
        <v>53</v>
      </c>
      <c r="AR90" s="4" t="s">
        <v>479</v>
      </c>
      <c r="AS90" s="5">
        <v>47826</v>
      </c>
      <c r="AT90" t="s">
        <v>47</v>
      </c>
    </row>
    <row r="91" spans="1:46" ht="13" x14ac:dyDescent="0.3">
      <c r="A91" s="4" t="s">
        <v>480</v>
      </c>
      <c r="B91" t="s">
        <v>47</v>
      </c>
      <c r="C91" s="4" t="s">
        <v>183</v>
      </c>
      <c r="D91" s="4" t="s">
        <v>333</v>
      </c>
      <c r="E91" s="4" t="s">
        <v>49</v>
      </c>
      <c r="F91" s="5" t="s">
        <v>481</v>
      </c>
      <c r="G91" s="5" t="s">
        <v>482</v>
      </c>
      <c r="H91" t="s">
        <v>47</v>
      </c>
      <c r="I91" t="s">
        <v>47</v>
      </c>
      <c r="J91" t="s">
        <v>47</v>
      </c>
      <c r="K91" t="s">
        <v>47</v>
      </c>
      <c r="L91" s="5" t="s">
        <v>60</v>
      </c>
      <c r="M91" t="s">
        <v>47</v>
      </c>
      <c r="N91" t="s">
        <v>47</v>
      </c>
      <c r="O91" t="s">
        <v>47</v>
      </c>
      <c r="P91" t="s">
        <v>47</v>
      </c>
      <c r="Q91" t="s">
        <v>47</v>
      </c>
      <c r="R91" t="s">
        <v>47</v>
      </c>
      <c r="S91" t="s">
        <v>47</v>
      </c>
      <c r="T91" t="s">
        <v>47</v>
      </c>
      <c r="U91" t="s">
        <v>47</v>
      </c>
      <c r="V91" t="s">
        <v>47</v>
      </c>
      <c r="W91" s="3">
        <v>36039</v>
      </c>
      <c r="X91" s="3">
        <v>37742</v>
      </c>
      <c r="Y91" t="s">
        <v>47</v>
      </c>
      <c r="Z91" s="3">
        <v>36039</v>
      </c>
      <c r="AA91" s="3">
        <v>37742</v>
      </c>
      <c r="AB91" t="s">
        <v>47</v>
      </c>
      <c r="AC91" t="s">
        <v>47</v>
      </c>
      <c r="AD91" t="s">
        <v>47</v>
      </c>
      <c r="AE91" t="s">
        <v>47</v>
      </c>
      <c r="AF91" t="s">
        <v>47</v>
      </c>
      <c r="AG91" t="s">
        <v>47</v>
      </c>
      <c r="AH91" t="s">
        <v>47</v>
      </c>
      <c r="AI91" t="s">
        <v>47</v>
      </c>
      <c r="AJ91" t="s">
        <v>47</v>
      </c>
      <c r="AK91" t="s">
        <v>47</v>
      </c>
      <c r="AL91" t="s">
        <v>47</v>
      </c>
      <c r="AM91" t="s">
        <v>47</v>
      </c>
      <c r="AN91" t="s">
        <v>47</v>
      </c>
      <c r="AO91" s="5" t="s">
        <v>60</v>
      </c>
      <c r="AP91" s="4" t="s">
        <v>61</v>
      </c>
      <c r="AQ91" s="4" t="s">
        <v>53</v>
      </c>
      <c r="AR91" s="4" t="s">
        <v>483</v>
      </c>
      <c r="AS91" s="5">
        <v>48091</v>
      </c>
      <c r="AT91" t="s">
        <v>47</v>
      </c>
    </row>
    <row r="92" spans="1:46" ht="26" x14ac:dyDescent="0.3">
      <c r="A92" s="4" t="s">
        <v>484</v>
      </c>
      <c r="B92" t="s">
        <v>47</v>
      </c>
      <c r="C92" s="4" t="s">
        <v>485</v>
      </c>
      <c r="D92" s="4" t="s">
        <v>486</v>
      </c>
      <c r="E92" s="4" t="s">
        <v>487</v>
      </c>
      <c r="F92" s="5" t="s">
        <v>488</v>
      </c>
      <c r="G92" s="5" t="s">
        <v>489</v>
      </c>
      <c r="H92" t="s">
        <v>47</v>
      </c>
      <c r="I92" s="3">
        <v>40544</v>
      </c>
      <c r="J92" s="5" t="s">
        <v>50</v>
      </c>
      <c r="K92" t="s">
        <v>47</v>
      </c>
      <c r="L92" s="5" t="s">
        <v>60</v>
      </c>
      <c r="M92" t="s">
        <v>47</v>
      </c>
      <c r="N92" t="s">
        <v>47</v>
      </c>
      <c r="O92" t="s">
        <v>47</v>
      </c>
      <c r="P92" s="3">
        <v>40544</v>
      </c>
      <c r="Q92" s="5" t="s">
        <v>50</v>
      </c>
      <c r="R92" t="s">
        <v>47</v>
      </c>
      <c r="S92" t="s">
        <v>47</v>
      </c>
      <c r="T92" t="s">
        <v>47</v>
      </c>
      <c r="U92" t="s">
        <v>47</v>
      </c>
      <c r="V92" t="s">
        <v>47</v>
      </c>
      <c r="W92" s="3">
        <v>40544</v>
      </c>
      <c r="X92" s="5" t="s">
        <v>50</v>
      </c>
      <c r="Y92" t="s">
        <v>47</v>
      </c>
      <c r="Z92" s="3">
        <v>40544</v>
      </c>
      <c r="AA92" s="5" t="s">
        <v>50</v>
      </c>
      <c r="AB92" t="s">
        <v>47</v>
      </c>
      <c r="AC92" s="3">
        <v>40544</v>
      </c>
      <c r="AD92" s="5" t="s">
        <v>50</v>
      </c>
      <c r="AE92" t="s">
        <v>47</v>
      </c>
      <c r="AF92" t="s">
        <v>47</v>
      </c>
      <c r="AG92" t="s">
        <v>47</v>
      </c>
      <c r="AH92" t="s">
        <v>47</v>
      </c>
      <c r="AI92" t="s">
        <v>47</v>
      </c>
      <c r="AJ92" t="s">
        <v>47</v>
      </c>
      <c r="AK92" t="s">
        <v>47</v>
      </c>
      <c r="AL92" t="s">
        <v>47</v>
      </c>
      <c r="AM92" t="s">
        <v>47</v>
      </c>
      <c r="AN92" t="s">
        <v>47</v>
      </c>
      <c r="AO92" s="5" t="s">
        <v>60</v>
      </c>
      <c r="AP92" s="4" t="s">
        <v>61</v>
      </c>
      <c r="AQ92" s="4" t="s">
        <v>119</v>
      </c>
      <c r="AR92" s="4" t="s">
        <v>54</v>
      </c>
      <c r="AS92" s="5">
        <v>4883000</v>
      </c>
      <c r="AT92" t="s">
        <v>47</v>
      </c>
    </row>
    <row r="93" spans="1:46" ht="39" x14ac:dyDescent="0.3">
      <c r="A93" s="4" t="s">
        <v>490</v>
      </c>
      <c r="B93" t="s">
        <v>47</v>
      </c>
      <c r="C93" s="4" t="s">
        <v>491</v>
      </c>
      <c r="D93" s="4" t="s">
        <v>139</v>
      </c>
      <c r="E93" s="4" t="s">
        <v>66</v>
      </c>
      <c r="F93" s="5" t="s">
        <v>492</v>
      </c>
      <c r="G93" s="5" t="s">
        <v>493</v>
      </c>
      <c r="H93" t="s">
        <v>47</v>
      </c>
      <c r="I93" s="3">
        <v>9498</v>
      </c>
      <c r="J93" s="5" t="s">
        <v>50</v>
      </c>
      <c r="K93" s="5" t="s">
        <v>494</v>
      </c>
      <c r="L93" s="5" t="s">
        <v>60</v>
      </c>
      <c r="M93" s="3">
        <v>35431</v>
      </c>
      <c r="N93" s="5" t="s">
        <v>50</v>
      </c>
      <c r="O93" t="s">
        <v>47</v>
      </c>
      <c r="P93" s="3">
        <v>9498</v>
      </c>
      <c r="Q93" s="5" t="s">
        <v>50</v>
      </c>
      <c r="R93" s="5" t="s">
        <v>494</v>
      </c>
      <c r="S93" t="s">
        <v>47</v>
      </c>
      <c r="T93" t="s">
        <v>47</v>
      </c>
      <c r="U93" t="s">
        <v>47</v>
      </c>
      <c r="V93" s="5">
        <v>180</v>
      </c>
      <c r="W93" s="3">
        <v>9498</v>
      </c>
      <c r="X93" s="5" t="s">
        <v>50</v>
      </c>
      <c r="Y93" s="5" t="s">
        <v>494</v>
      </c>
      <c r="Z93" s="3">
        <v>9498</v>
      </c>
      <c r="AA93" s="5" t="s">
        <v>50</v>
      </c>
      <c r="AB93" s="5" t="s">
        <v>494</v>
      </c>
      <c r="AC93" s="3">
        <v>25600</v>
      </c>
      <c r="AD93" s="5" t="s">
        <v>50</v>
      </c>
      <c r="AE93" s="5" t="s">
        <v>494</v>
      </c>
      <c r="AF93" t="s">
        <v>47</v>
      </c>
      <c r="AG93" t="s">
        <v>47</v>
      </c>
      <c r="AH93" t="s">
        <v>47</v>
      </c>
      <c r="AI93" t="s">
        <v>47</v>
      </c>
      <c r="AJ93" t="s">
        <v>47</v>
      </c>
      <c r="AK93" t="s">
        <v>47</v>
      </c>
      <c r="AL93" t="s">
        <v>47</v>
      </c>
      <c r="AM93" t="s">
        <v>47</v>
      </c>
      <c r="AN93" t="s">
        <v>47</v>
      </c>
      <c r="AO93" s="5" t="s">
        <v>60</v>
      </c>
      <c r="AP93" s="4" t="s">
        <v>61</v>
      </c>
      <c r="AQ93" s="4" t="s">
        <v>53</v>
      </c>
      <c r="AR93" s="4" t="s">
        <v>495</v>
      </c>
      <c r="AS93" s="5">
        <v>2041043</v>
      </c>
      <c r="AT93" t="s">
        <v>47</v>
      </c>
    </row>
    <row r="94" spans="1:46" ht="39" x14ac:dyDescent="0.3">
      <c r="A94" s="4" t="s">
        <v>496</v>
      </c>
      <c r="B94" t="s">
        <v>47</v>
      </c>
      <c r="C94" s="4" t="s">
        <v>497</v>
      </c>
      <c r="D94" s="4" t="s">
        <v>498</v>
      </c>
      <c r="E94" s="4" t="s">
        <v>499</v>
      </c>
      <c r="F94" s="5" t="s">
        <v>500</v>
      </c>
      <c r="G94" s="5" t="s">
        <v>501</v>
      </c>
      <c r="H94" t="s">
        <v>47</v>
      </c>
      <c r="I94" s="3">
        <v>39083</v>
      </c>
      <c r="J94" s="3">
        <v>43831</v>
      </c>
      <c r="K94" t="s">
        <v>47</v>
      </c>
      <c r="L94" s="5" t="s">
        <v>60</v>
      </c>
      <c r="M94" s="3">
        <v>39448</v>
      </c>
      <c r="N94" s="3">
        <v>43831</v>
      </c>
      <c r="O94" s="5" t="s">
        <v>502</v>
      </c>
      <c r="P94" s="3">
        <v>39083</v>
      </c>
      <c r="Q94" s="3">
        <v>43831</v>
      </c>
      <c r="R94" t="s">
        <v>47</v>
      </c>
      <c r="S94" t="s">
        <v>47</v>
      </c>
      <c r="T94" t="s">
        <v>47</v>
      </c>
      <c r="U94" t="s">
        <v>47</v>
      </c>
      <c r="V94" t="s">
        <v>47</v>
      </c>
      <c r="W94" s="3">
        <v>39083</v>
      </c>
      <c r="X94" s="3">
        <v>43831</v>
      </c>
      <c r="Y94" t="s">
        <v>47</v>
      </c>
      <c r="Z94" s="3">
        <v>39083</v>
      </c>
      <c r="AA94" s="3">
        <v>43831</v>
      </c>
      <c r="AB94" t="s">
        <v>47</v>
      </c>
      <c r="AC94" s="3">
        <v>39083</v>
      </c>
      <c r="AD94" s="3">
        <v>43831</v>
      </c>
      <c r="AE94" t="s">
        <v>47</v>
      </c>
      <c r="AF94" t="s">
        <v>47</v>
      </c>
      <c r="AG94" t="s">
        <v>47</v>
      </c>
      <c r="AH94" t="s">
        <v>47</v>
      </c>
      <c r="AI94" t="s">
        <v>47</v>
      </c>
      <c r="AJ94" t="s">
        <v>47</v>
      </c>
      <c r="AK94" t="s">
        <v>47</v>
      </c>
      <c r="AL94" t="s">
        <v>47</v>
      </c>
      <c r="AM94" t="s">
        <v>47</v>
      </c>
      <c r="AN94" t="s">
        <v>47</v>
      </c>
      <c r="AO94" s="5" t="s">
        <v>60</v>
      </c>
      <c r="AP94" s="4" t="s">
        <v>61</v>
      </c>
      <c r="AQ94" s="4" t="s">
        <v>119</v>
      </c>
      <c r="AR94" s="4" t="s">
        <v>54</v>
      </c>
      <c r="AS94" s="5">
        <v>2045939</v>
      </c>
      <c r="AT94" t="s">
        <v>47</v>
      </c>
    </row>
    <row r="95" spans="1:46" ht="104" x14ac:dyDescent="0.3">
      <c r="A95" s="4" t="s">
        <v>503</v>
      </c>
      <c r="B95" t="s">
        <v>47</v>
      </c>
      <c r="C95" s="4" t="s">
        <v>169</v>
      </c>
      <c r="D95" s="4" t="s">
        <v>504</v>
      </c>
      <c r="E95" s="4" t="s">
        <v>66</v>
      </c>
      <c r="F95" s="5" t="s">
        <v>505</v>
      </c>
      <c r="G95" s="5" t="s">
        <v>506</v>
      </c>
      <c r="H95" t="s">
        <v>47</v>
      </c>
      <c r="I95" s="3">
        <v>33604</v>
      </c>
      <c r="J95" s="3">
        <v>38169</v>
      </c>
      <c r="K95" t="s">
        <v>47</v>
      </c>
      <c r="L95" s="5" t="s">
        <v>60</v>
      </c>
      <c r="M95" s="3">
        <v>34335</v>
      </c>
      <c r="N95" s="3">
        <v>38169</v>
      </c>
      <c r="O95" t="s">
        <v>47</v>
      </c>
      <c r="P95" s="3">
        <v>33604</v>
      </c>
      <c r="Q95" s="3">
        <v>38169</v>
      </c>
      <c r="R95" t="s">
        <v>47</v>
      </c>
      <c r="S95" t="s">
        <v>47</v>
      </c>
      <c r="T95" t="s">
        <v>47</v>
      </c>
      <c r="U95" t="s">
        <v>47</v>
      </c>
      <c r="V95" t="s">
        <v>47</v>
      </c>
      <c r="W95" s="3">
        <v>32509</v>
      </c>
      <c r="X95" s="3">
        <v>44774</v>
      </c>
      <c r="Y95" t="s">
        <v>47</v>
      </c>
      <c r="Z95" s="3">
        <v>32509</v>
      </c>
      <c r="AA95" s="3">
        <v>44774</v>
      </c>
      <c r="AB95" t="s">
        <v>47</v>
      </c>
      <c r="AC95" s="3">
        <v>32509</v>
      </c>
      <c r="AD95" s="3">
        <v>42461</v>
      </c>
      <c r="AE95" t="s">
        <v>47</v>
      </c>
      <c r="AF95" t="s">
        <v>47</v>
      </c>
      <c r="AG95" t="s">
        <v>47</v>
      </c>
      <c r="AH95" t="s">
        <v>47</v>
      </c>
      <c r="AI95" t="s">
        <v>47</v>
      </c>
      <c r="AJ95" t="s">
        <v>47</v>
      </c>
      <c r="AK95" t="s">
        <v>47</v>
      </c>
      <c r="AL95" t="s">
        <v>47</v>
      </c>
      <c r="AM95" t="s">
        <v>47</v>
      </c>
      <c r="AN95" t="s">
        <v>47</v>
      </c>
      <c r="AO95" s="5" t="s">
        <v>60</v>
      </c>
      <c r="AP95" s="4" t="s">
        <v>61</v>
      </c>
      <c r="AQ95" s="4" t="s">
        <v>53</v>
      </c>
      <c r="AR95" s="4" t="s">
        <v>507</v>
      </c>
      <c r="AS95" s="5">
        <v>35329</v>
      </c>
      <c r="AT95" t="s">
        <v>47</v>
      </c>
    </row>
    <row r="96" spans="1:46" ht="78" x14ac:dyDescent="0.3">
      <c r="A96" s="4" t="s">
        <v>508</v>
      </c>
      <c r="B96" t="s">
        <v>47</v>
      </c>
      <c r="C96" s="4" t="s">
        <v>509</v>
      </c>
      <c r="D96" s="4" t="s">
        <v>223</v>
      </c>
      <c r="E96" s="4" t="s">
        <v>49</v>
      </c>
      <c r="F96" s="5" t="s">
        <v>510</v>
      </c>
      <c r="G96" s="5" t="s">
        <v>511</v>
      </c>
      <c r="H96" t="s">
        <v>47</v>
      </c>
      <c r="I96" s="3">
        <v>32509</v>
      </c>
      <c r="J96" s="3">
        <v>34455</v>
      </c>
      <c r="K96" t="s">
        <v>47</v>
      </c>
      <c r="L96" s="5" t="s">
        <v>60</v>
      </c>
      <c r="M96" s="3">
        <v>34335</v>
      </c>
      <c r="N96" s="3">
        <v>34455</v>
      </c>
      <c r="O96" t="s">
        <v>47</v>
      </c>
      <c r="P96" s="3">
        <v>32509</v>
      </c>
      <c r="Q96" s="3">
        <v>34455</v>
      </c>
      <c r="R96" t="s">
        <v>47</v>
      </c>
      <c r="S96" t="s">
        <v>47</v>
      </c>
      <c r="T96" t="s">
        <v>47</v>
      </c>
      <c r="U96" t="s">
        <v>47</v>
      </c>
      <c r="V96" t="s">
        <v>47</v>
      </c>
      <c r="W96" s="3">
        <v>32509</v>
      </c>
      <c r="X96" s="3">
        <v>34455</v>
      </c>
      <c r="Y96" t="s">
        <v>47</v>
      </c>
      <c r="Z96" s="3">
        <v>32509</v>
      </c>
      <c r="AA96" s="3">
        <v>34455</v>
      </c>
      <c r="AB96" t="s">
        <v>47</v>
      </c>
      <c r="AC96" s="3">
        <v>32509</v>
      </c>
      <c r="AD96" s="3">
        <v>34455</v>
      </c>
      <c r="AE96" t="s">
        <v>47</v>
      </c>
      <c r="AF96" t="s">
        <v>47</v>
      </c>
      <c r="AG96" t="s">
        <v>47</v>
      </c>
      <c r="AH96" t="s">
        <v>47</v>
      </c>
      <c r="AI96" t="s">
        <v>47</v>
      </c>
      <c r="AJ96" t="s">
        <v>47</v>
      </c>
      <c r="AK96" t="s">
        <v>47</v>
      </c>
      <c r="AL96" t="s">
        <v>47</v>
      </c>
      <c r="AM96" t="s">
        <v>47</v>
      </c>
      <c r="AN96" t="s">
        <v>47</v>
      </c>
      <c r="AO96" s="5" t="s">
        <v>60</v>
      </c>
      <c r="AP96" s="4" t="s">
        <v>61</v>
      </c>
      <c r="AQ96" s="4" t="s">
        <v>53</v>
      </c>
      <c r="AR96" s="4" t="s">
        <v>512</v>
      </c>
      <c r="AS96" s="5">
        <v>815</v>
      </c>
      <c r="AT96" t="s">
        <v>47</v>
      </c>
    </row>
    <row r="97" spans="1:46" ht="26" x14ac:dyDescent="0.3">
      <c r="A97" s="4" t="s">
        <v>513</v>
      </c>
      <c r="B97" t="s">
        <v>47</v>
      </c>
      <c r="C97" s="4" t="s">
        <v>169</v>
      </c>
      <c r="D97" s="4" t="s">
        <v>223</v>
      </c>
      <c r="E97" s="4" t="s">
        <v>66</v>
      </c>
      <c r="F97" s="5" t="s">
        <v>514</v>
      </c>
      <c r="G97" s="5" t="s">
        <v>515</v>
      </c>
      <c r="H97" t="s">
        <v>47</v>
      </c>
      <c r="I97" s="3">
        <v>35490</v>
      </c>
      <c r="J97" s="3">
        <v>43770</v>
      </c>
      <c r="K97" t="s">
        <v>47</v>
      </c>
      <c r="L97" s="5" t="s">
        <v>60</v>
      </c>
      <c r="M97" s="3">
        <v>35490</v>
      </c>
      <c r="N97" s="3">
        <v>43770</v>
      </c>
      <c r="O97" t="s">
        <v>47</v>
      </c>
      <c r="P97" s="3">
        <v>35490</v>
      </c>
      <c r="Q97" s="3">
        <v>43770</v>
      </c>
      <c r="R97" t="s">
        <v>47</v>
      </c>
      <c r="S97" t="s">
        <v>47</v>
      </c>
      <c r="T97" t="s">
        <v>47</v>
      </c>
      <c r="U97" t="s">
        <v>47</v>
      </c>
      <c r="V97" t="s">
        <v>47</v>
      </c>
      <c r="W97" s="3">
        <v>35490</v>
      </c>
      <c r="X97" s="3">
        <v>43770</v>
      </c>
      <c r="Y97" t="s">
        <v>47</v>
      </c>
      <c r="Z97" s="3">
        <v>35490</v>
      </c>
      <c r="AA97" s="3">
        <v>43770</v>
      </c>
      <c r="AB97" t="s">
        <v>47</v>
      </c>
      <c r="AC97" s="3">
        <v>35916</v>
      </c>
      <c r="AD97" s="3">
        <v>43770</v>
      </c>
      <c r="AE97" t="s">
        <v>47</v>
      </c>
      <c r="AF97" t="s">
        <v>47</v>
      </c>
      <c r="AG97" t="s">
        <v>47</v>
      </c>
      <c r="AH97" t="s">
        <v>47</v>
      </c>
      <c r="AI97" t="s">
        <v>47</v>
      </c>
      <c r="AJ97" t="s">
        <v>47</v>
      </c>
      <c r="AK97" t="s">
        <v>47</v>
      </c>
      <c r="AL97" t="s">
        <v>47</v>
      </c>
      <c r="AM97" t="s">
        <v>47</v>
      </c>
      <c r="AN97" t="s">
        <v>47</v>
      </c>
      <c r="AO97" s="5" t="s">
        <v>60</v>
      </c>
      <c r="AP97" s="4" t="s">
        <v>61</v>
      </c>
      <c r="AQ97" s="4" t="s">
        <v>53</v>
      </c>
      <c r="AR97" s="4" t="s">
        <v>516</v>
      </c>
      <c r="AS97" s="5">
        <v>48133</v>
      </c>
      <c r="AT97" t="s">
        <v>47</v>
      </c>
    </row>
    <row r="98" spans="1:46" ht="26" x14ac:dyDescent="0.3">
      <c r="A98" s="4" t="s">
        <v>517</v>
      </c>
      <c r="B98" t="s">
        <v>47</v>
      </c>
      <c r="C98" s="4" t="s">
        <v>48</v>
      </c>
      <c r="D98" t="s">
        <v>47</v>
      </c>
      <c r="E98" s="4" t="s">
        <v>49</v>
      </c>
      <c r="F98" t="s">
        <v>47</v>
      </c>
      <c r="G98" t="s">
        <v>47</v>
      </c>
      <c r="H98" t="s">
        <v>47</v>
      </c>
      <c r="I98" s="3">
        <v>43354</v>
      </c>
      <c r="J98" s="5" t="s">
        <v>50</v>
      </c>
      <c r="K98" t="s">
        <v>47</v>
      </c>
      <c r="L98" s="5" t="s">
        <v>51</v>
      </c>
      <c r="M98" s="3">
        <v>43354</v>
      </c>
      <c r="N98" s="5" t="s">
        <v>50</v>
      </c>
      <c r="O98" t="s">
        <v>47</v>
      </c>
      <c r="P98" t="s">
        <v>47</v>
      </c>
      <c r="Q98" t="s">
        <v>47</v>
      </c>
      <c r="R98" t="s">
        <v>47</v>
      </c>
      <c r="S98" t="s">
        <v>47</v>
      </c>
      <c r="T98" t="s">
        <v>47</v>
      </c>
      <c r="U98" t="s">
        <v>47</v>
      </c>
      <c r="V98" t="s">
        <v>47</v>
      </c>
      <c r="W98" s="3">
        <v>43354</v>
      </c>
      <c r="X98" s="5" t="s">
        <v>50</v>
      </c>
      <c r="Y98" t="s">
        <v>47</v>
      </c>
      <c r="Z98" s="3">
        <v>43354</v>
      </c>
      <c r="AA98" s="5" t="s">
        <v>50</v>
      </c>
      <c r="AB98" t="s">
        <v>47</v>
      </c>
      <c r="AC98" s="3">
        <v>43578</v>
      </c>
      <c r="AD98" s="3">
        <v>43616</v>
      </c>
      <c r="AE98" t="s">
        <v>47</v>
      </c>
      <c r="AF98" t="s">
        <v>47</v>
      </c>
      <c r="AG98" t="s">
        <v>47</v>
      </c>
      <c r="AH98" t="s">
        <v>47</v>
      </c>
      <c r="AI98" t="s">
        <v>47</v>
      </c>
      <c r="AJ98" t="s">
        <v>47</v>
      </c>
      <c r="AK98" t="s">
        <v>47</v>
      </c>
      <c r="AL98" t="s">
        <v>47</v>
      </c>
      <c r="AM98" t="s">
        <v>47</v>
      </c>
      <c r="AN98" t="s">
        <v>47</v>
      </c>
      <c r="AO98" s="5" t="s">
        <v>51</v>
      </c>
      <c r="AP98" s="4" t="s">
        <v>52</v>
      </c>
      <c r="AQ98" s="4" t="s">
        <v>53</v>
      </c>
      <c r="AR98" s="4" t="s">
        <v>516</v>
      </c>
      <c r="AS98" s="5">
        <v>4396008</v>
      </c>
      <c r="AT98" t="s">
        <v>47</v>
      </c>
    </row>
    <row r="99" spans="1:46" ht="65" x14ac:dyDescent="0.3">
      <c r="A99" s="4" t="s">
        <v>518</v>
      </c>
      <c r="B99" t="s">
        <v>47</v>
      </c>
      <c r="C99" s="4" t="s">
        <v>519</v>
      </c>
      <c r="D99" s="4" t="s">
        <v>88</v>
      </c>
      <c r="E99" s="4" t="s">
        <v>49</v>
      </c>
      <c r="F99" s="5" t="s">
        <v>520</v>
      </c>
      <c r="G99" s="5" t="s">
        <v>521</v>
      </c>
      <c r="H99" t="s">
        <v>47</v>
      </c>
      <c r="I99" s="3">
        <v>32143</v>
      </c>
      <c r="J99" s="3">
        <v>40452</v>
      </c>
      <c r="K99" s="5" t="s">
        <v>522</v>
      </c>
      <c r="L99" s="5" t="s">
        <v>60</v>
      </c>
      <c r="M99" s="3">
        <v>34394</v>
      </c>
      <c r="N99" s="3">
        <v>40452</v>
      </c>
      <c r="O99" t="s">
        <v>47</v>
      </c>
      <c r="P99" s="3">
        <v>32143</v>
      </c>
      <c r="Q99" s="3">
        <v>40452</v>
      </c>
      <c r="R99" s="5" t="s">
        <v>522</v>
      </c>
      <c r="S99" t="s">
        <v>47</v>
      </c>
      <c r="T99" t="s">
        <v>47</v>
      </c>
      <c r="U99" t="s">
        <v>47</v>
      </c>
      <c r="V99" t="s">
        <v>47</v>
      </c>
      <c r="W99" s="3">
        <v>32143</v>
      </c>
      <c r="X99" s="5" t="s">
        <v>50</v>
      </c>
      <c r="Y99" t="s">
        <v>47</v>
      </c>
      <c r="Z99" s="3">
        <v>32143</v>
      </c>
      <c r="AA99" s="5" t="s">
        <v>50</v>
      </c>
      <c r="AB99" t="s">
        <v>47</v>
      </c>
      <c r="AC99" s="3">
        <v>32143</v>
      </c>
      <c r="AD99" s="5" t="s">
        <v>50</v>
      </c>
      <c r="AE99" t="s">
        <v>47</v>
      </c>
      <c r="AF99" t="s">
        <v>47</v>
      </c>
      <c r="AG99" t="s">
        <v>47</v>
      </c>
      <c r="AH99" t="s">
        <v>47</v>
      </c>
      <c r="AI99" t="s">
        <v>47</v>
      </c>
      <c r="AJ99" t="s">
        <v>47</v>
      </c>
      <c r="AK99" t="s">
        <v>47</v>
      </c>
      <c r="AL99" t="s">
        <v>47</v>
      </c>
      <c r="AM99" t="s">
        <v>47</v>
      </c>
      <c r="AN99" t="s">
        <v>47</v>
      </c>
      <c r="AO99" s="5" t="s">
        <v>60</v>
      </c>
      <c r="AP99" s="4" t="s">
        <v>61</v>
      </c>
      <c r="AQ99" s="4" t="s">
        <v>53</v>
      </c>
      <c r="AR99" s="4" t="s">
        <v>523</v>
      </c>
      <c r="AS99" s="5">
        <v>227</v>
      </c>
      <c r="AT99" t="s">
        <v>47</v>
      </c>
    </row>
    <row r="100" spans="1:46" ht="104" x14ac:dyDescent="0.3">
      <c r="A100" s="4" t="s">
        <v>524</v>
      </c>
      <c r="B100" t="s">
        <v>47</v>
      </c>
      <c r="C100" s="4" t="s">
        <v>525</v>
      </c>
      <c r="D100" s="4" t="s">
        <v>526</v>
      </c>
      <c r="E100" s="4" t="s">
        <v>49</v>
      </c>
      <c r="F100" s="5" t="s">
        <v>527</v>
      </c>
      <c r="G100" t="s">
        <v>47</v>
      </c>
      <c r="H100" t="s">
        <v>47</v>
      </c>
      <c r="I100" s="3">
        <v>35004</v>
      </c>
      <c r="J100" s="3">
        <v>43617</v>
      </c>
      <c r="K100" t="s">
        <v>47</v>
      </c>
      <c r="L100" s="5" t="s">
        <v>51</v>
      </c>
      <c r="M100" s="3">
        <v>35004</v>
      </c>
      <c r="N100" s="3">
        <v>43617</v>
      </c>
      <c r="O100" t="s">
        <v>47</v>
      </c>
      <c r="P100" s="3">
        <v>35309</v>
      </c>
      <c r="Q100" s="3">
        <v>43617</v>
      </c>
      <c r="R100" t="s">
        <v>47</v>
      </c>
      <c r="S100" t="s">
        <v>47</v>
      </c>
      <c r="T100" t="s">
        <v>47</v>
      </c>
      <c r="U100" t="s">
        <v>47</v>
      </c>
      <c r="V100" t="s">
        <v>47</v>
      </c>
      <c r="W100" s="3">
        <v>33635</v>
      </c>
      <c r="X100" s="3">
        <v>43617</v>
      </c>
      <c r="Y100" t="s">
        <v>47</v>
      </c>
      <c r="Z100" s="3">
        <v>33635</v>
      </c>
      <c r="AA100" s="3">
        <v>43617</v>
      </c>
      <c r="AB100" t="s">
        <v>47</v>
      </c>
      <c r="AC100" s="3">
        <v>33635</v>
      </c>
      <c r="AD100" s="3">
        <v>43617</v>
      </c>
      <c r="AE100" t="s">
        <v>47</v>
      </c>
      <c r="AF100" t="s">
        <v>47</v>
      </c>
      <c r="AG100" t="s">
        <v>47</v>
      </c>
      <c r="AH100" t="s">
        <v>47</v>
      </c>
      <c r="AI100" t="s">
        <v>47</v>
      </c>
      <c r="AJ100" t="s">
        <v>47</v>
      </c>
      <c r="AK100" t="s">
        <v>47</v>
      </c>
      <c r="AL100" t="s">
        <v>47</v>
      </c>
      <c r="AM100" t="s">
        <v>47</v>
      </c>
      <c r="AN100" t="s">
        <v>47</v>
      </c>
      <c r="AO100" s="5" t="s">
        <v>51</v>
      </c>
      <c r="AP100" s="4" t="s">
        <v>85</v>
      </c>
      <c r="AQ100" s="4" t="s">
        <v>53</v>
      </c>
      <c r="AR100" s="4" t="s">
        <v>528</v>
      </c>
      <c r="AS100" s="5">
        <v>24961</v>
      </c>
      <c r="AT100" t="s">
        <v>47</v>
      </c>
    </row>
    <row r="101" spans="1:46" ht="26" x14ac:dyDescent="0.3">
      <c r="A101" s="4" t="s">
        <v>529</v>
      </c>
      <c r="B101" t="s">
        <v>47</v>
      </c>
      <c r="C101" s="4" t="s">
        <v>122</v>
      </c>
      <c r="D101" s="4" t="s">
        <v>530</v>
      </c>
      <c r="E101" s="4" t="s">
        <v>123</v>
      </c>
      <c r="F101" s="5" t="s">
        <v>531</v>
      </c>
      <c r="G101" s="5" t="s">
        <v>532</v>
      </c>
      <c r="H101" t="s">
        <v>47</v>
      </c>
      <c r="I101" s="3">
        <v>41306</v>
      </c>
      <c r="J101" s="5" t="s">
        <v>50</v>
      </c>
      <c r="K101" t="s">
        <v>47</v>
      </c>
      <c r="L101" s="5" t="s">
        <v>60</v>
      </c>
      <c r="M101" s="3">
        <v>41306</v>
      </c>
      <c r="N101" s="3">
        <v>42826</v>
      </c>
      <c r="O101" t="s">
        <v>47</v>
      </c>
      <c r="P101" s="3">
        <v>41306</v>
      </c>
      <c r="Q101" s="5" t="s">
        <v>50</v>
      </c>
      <c r="R101" t="s">
        <v>47</v>
      </c>
      <c r="S101" t="s">
        <v>47</v>
      </c>
      <c r="T101" t="s">
        <v>47</v>
      </c>
      <c r="U101" t="s">
        <v>47</v>
      </c>
      <c r="V101" s="5">
        <v>365</v>
      </c>
      <c r="W101" s="3">
        <v>41306</v>
      </c>
      <c r="X101" s="5" t="s">
        <v>50</v>
      </c>
      <c r="Y101" t="s">
        <v>47</v>
      </c>
      <c r="Z101" s="3">
        <v>41306</v>
      </c>
      <c r="AA101" s="5" t="s">
        <v>50</v>
      </c>
      <c r="AB101" t="s">
        <v>47</v>
      </c>
      <c r="AC101" s="3">
        <v>41306</v>
      </c>
      <c r="AD101" s="5" t="s">
        <v>50</v>
      </c>
      <c r="AE101" t="s">
        <v>47</v>
      </c>
      <c r="AF101" t="s">
        <v>47</v>
      </c>
      <c r="AG101" t="s">
        <v>47</v>
      </c>
      <c r="AH101" t="s">
        <v>47</v>
      </c>
      <c r="AI101" t="s">
        <v>47</v>
      </c>
      <c r="AJ101" t="s">
        <v>47</v>
      </c>
      <c r="AK101" t="s">
        <v>47</v>
      </c>
      <c r="AL101" t="s">
        <v>47</v>
      </c>
      <c r="AM101" t="s">
        <v>47</v>
      </c>
      <c r="AN101" t="s">
        <v>47</v>
      </c>
      <c r="AO101" s="5" t="s">
        <v>60</v>
      </c>
      <c r="AP101" s="4" t="s">
        <v>61</v>
      </c>
      <c r="AQ101" s="4" t="s">
        <v>53</v>
      </c>
      <c r="AR101" s="4" t="s">
        <v>54</v>
      </c>
      <c r="AS101" s="5">
        <v>2034523</v>
      </c>
      <c r="AT101" t="s">
        <v>47</v>
      </c>
    </row>
    <row r="102" spans="1:46" ht="52" x14ac:dyDescent="0.3">
      <c r="A102" s="4" t="s">
        <v>533</v>
      </c>
      <c r="B102" t="s">
        <v>47</v>
      </c>
      <c r="C102" s="4" t="s">
        <v>534</v>
      </c>
      <c r="D102" s="4" t="s">
        <v>535</v>
      </c>
      <c r="E102" s="4" t="s">
        <v>535</v>
      </c>
      <c r="F102" t="s">
        <v>47</v>
      </c>
      <c r="G102" s="5" t="s">
        <v>536</v>
      </c>
      <c r="H102" t="s">
        <v>47</v>
      </c>
      <c r="I102" s="3">
        <v>36678</v>
      </c>
      <c r="J102" s="3">
        <v>44348</v>
      </c>
      <c r="K102" s="5" t="s">
        <v>537</v>
      </c>
      <c r="L102" s="5" t="s">
        <v>60</v>
      </c>
      <c r="M102" s="3">
        <v>36678</v>
      </c>
      <c r="N102" s="3">
        <v>44348</v>
      </c>
      <c r="O102" s="5" t="s">
        <v>537</v>
      </c>
      <c r="P102" s="3">
        <v>36678</v>
      </c>
      <c r="Q102" s="3">
        <v>44348</v>
      </c>
      <c r="R102" s="5" t="s">
        <v>537</v>
      </c>
      <c r="S102" t="s">
        <v>47</v>
      </c>
      <c r="T102" t="s">
        <v>47</v>
      </c>
      <c r="U102" t="s">
        <v>47</v>
      </c>
      <c r="V102" t="s">
        <v>47</v>
      </c>
      <c r="W102" s="3">
        <v>36678</v>
      </c>
      <c r="X102" s="3">
        <v>44348</v>
      </c>
      <c r="Y102" s="5" t="s">
        <v>537</v>
      </c>
      <c r="Z102" s="3">
        <v>36678</v>
      </c>
      <c r="AA102" s="3">
        <v>44348</v>
      </c>
      <c r="AB102" s="5" t="s">
        <v>537</v>
      </c>
      <c r="AC102" s="3">
        <v>36678</v>
      </c>
      <c r="AD102" s="3">
        <v>44348</v>
      </c>
      <c r="AE102" s="5" t="s">
        <v>537</v>
      </c>
      <c r="AF102" t="s">
        <v>47</v>
      </c>
      <c r="AG102" t="s">
        <v>47</v>
      </c>
      <c r="AH102" t="s">
        <v>47</v>
      </c>
      <c r="AI102" t="s">
        <v>47</v>
      </c>
      <c r="AJ102" t="s">
        <v>47</v>
      </c>
      <c r="AK102" t="s">
        <v>47</v>
      </c>
      <c r="AL102" t="s">
        <v>47</v>
      </c>
      <c r="AM102" t="s">
        <v>47</v>
      </c>
      <c r="AN102" t="s">
        <v>47</v>
      </c>
      <c r="AO102" s="5" t="s">
        <v>60</v>
      </c>
      <c r="AP102" s="4" t="s">
        <v>61</v>
      </c>
      <c r="AQ102" s="4" t="s">
        <v>538</v>
      </c>
      <c r="AR102" s="4" t="s">
        <v>539</v>
      </c>
      <c r="AS102" s="5">
        <v>2046135</v>
      </c>
      <c r="AT102" t="s">
        <v>47</v>
      </c>
    </row>
    <row r="103" spans="1:46" ht="65" x14ac:dyDescent="0.3">
      <c r="A103" s="4" t="s">
        <v>540</v>
      </c>
      <c r="B103" t="s">
        <v>47</v>
      </c>
      <c r="C103" s="4" t="s">
        <v>169</v>
      </c>
      <c r="D103" s="4" t="s">
        <v>339</v>
      </c>
      <c r="E103" s="4" t="s">
        <v>66</v>
      </c>
      <c r="F103" s="5" t="s">
        <v>541</v>
      </c>
      <c r="G103" s="5" t="s">
        <v>542</v>
      </c>
      <c r="H103" t="s">
        <v>47</v>
      </c>
      <c r="I103" s="3">
        <v>35490</v>
      </c>
      <c r="J103" s="3">
        <v>36831</v>
      </c>
      <c r="K103" t="s">
        <v>47</v>
      </c>
      <c r="L103" s="5" t="s">
        <v>60</v>
      </c>
      <c r="M103" s="3">
        <v>35490</v>
      </c>
      <c r="N103" s="3">
        <v>36831</v>
      </c>
      <c r="O103" t="s">
        <v>47</v>
      </c>
      <c r="P103" s="3">
        <v>35490</v>
      </c>
      <c r="Q103" s="3">
        <v>36831</v>
      </c>
      <c r="R103" t="s">
        <v>47</v>
      </c>
      <c r="S103" t="s">
        <v>47</v>
      </c>
      <c r="T103" t="s">
        <v>47</v>
      </c>
      <c r="U103" t="s">
        <v>47</v>
      </c>
      <c r="V103" t="s">
        <v>47</v>
      </c>
      <c r="W103" s="3">
        <v>35490</v>
      </c>
      <c r="X103" s="5" t="s">
        <v>50</v>
      </c>
      <c r="Y103" t="s">
        <v>47</v>
      </c>
      <c r="Z103" s="3">
        <v>35490</v>
      </c>
      <c r="AA103" s="5" t="s">
        <v>50</v>
      </c>
      <c r="AB103" t="s">
        <v>47</v>
      </c>
      <c r="AC103" s="3">
        <v>35490</v>
      </c>
      <c r="AD103" s="5" t="s">
        <v>50</v>
      </c>
      <c r="AE103" t="s">
        <v>47</v>
      </c>
      <c r="AF103" t="s">
        <v>47</v>
      </c>
      <c r="AG103" t="s">
        <v>47</v>
      </c>
      <c r="AH103" t="s">
        <v>47</v>
      </c>
      <c r="AI103" t="s">
        <v>47</v>
      </c>
      <c r="AJ103" t="s">
        <v>47</v>
      </c>
      <c r="AK103" t="s">
        <v>47</v>
      </c>
      <c r="AL103" t="s">
        <v>47</v>
      </c>
      <c r="AM103" t="s">
        <v>47</v>
      </c>
      <c r="AN103" t="s">
        <v>47</v>
      </c>
      <c r="AO103" s="5" t="s">
        <v>60</v>
      </c>
      <c r="AP103" s="4" t="s">
        <v>61</v>
      </c>
      <c r="AQ103" s="4" t="s">
        <v>53</v>
      </c>
      <c r="AR103" s="4" t="s">
        <v>543</v>
      </c>
      <c r="AS103" s="5">
        <v>33213</v>
      </c>
      <c r="AT103" t="s">
        <v>47</v>
      </c>
    </row>
    <row r="104" spans="1:46" ht="13" x14ac:dyDescent="0.3">
      <c r="A104" s="4" t="s">
        <v>544</v>
      </c>
      <c r="B104" t="s">
        <v>47</v>
      </c>
      <c r="C104" s="4" t="s">
        <v>122</v>
      </c>
      <c r="D104" s="4" t="s">
        <v>206</v>
      </c>
      <c r="E104" s="4" t="s">
        <v>123</v>
      </c>
      <c r="F104" s="5" t="s">
        <v>545</v>
      </c>
      <c r="G104" s="5" t="s">
        <v>546</v>
      </c>
      <c r="H104" t="s">
        <v>47</v>
      </c>
      <c r="I104" s="3">
        <v>36861</v>
      </c>
      <c r="J104" s="5" t="s">
        <v>50</v>
      </c>
      <c r="K104" s="5" t="s">
        <v>547</v>
      </c>
      <c r="L104" s="5" t="s">
        <v>60</v>
      </c>
      <c r="M104" s="3">
        <v>39873</v>
      </c>
      <c r="N104" s="3">
        <v>42795</v>
      </c>
      <c r="O104" t="s">
        <v>47</v>
      </c>
      <c r="P104" s="3">
        <v>36861</v>
      </c>
      <c r="Q104" s="5" t="s">
        <v>50</v>
      </c>
      <c r="R104" s="5" t="s">
        <v>547</v>
      </c>
      <c r="S104" t="s">
        <v>47</v>
      </c>
      <c r="T104" t="s">
        <v>47</v>
      </c>
      <c r="U104" t="s">
        <v>47</v>
      </c>
      <c r="V104" s="5">
        <v>365</v>
      </c>
      <c r="W104" s="3">
        <v>36861</v>
      </c>
      <c r="X104" s="5" t="s">
        <v>50</v>
      </c>
      <c r="Y104" s="5" t="s">
        <v>547</v>
      </c>
      <c r="Z104" s="3">
        <v>36861</v>
      </c>
      <c r="AA104" s="5" t="s">
        <v>50</v>
      </c>
      <c r="AB104" s="5" t="s">
        <v>547</v>
      </c>
      <c r="AC104" s="3">
        <v>36861</v>
      </c>
      <c r="AD104" s="5" t="s">
        <v>50</v>
      </c>
      <c r="AE104" s="5" t="s">
        <v>547</v>
      </c>
      <c r="AF104" t="s">
        <v>47</v>
      </c>
      <c r="AG104" t="s">
        <v>47</v>
      </c>
      <c r="AH104" t="s">
        <v>47</v>
      </c>
      <c r="AI104" t="s">
        <v>47</v>
      </c>
      <c r="AJ104" t="s">
        <v>47</v>
      </c>
      <c r="AK104" t="s">
        <v>47</v>
      </c>
      <c r="AL104" t="s">
        <v>47</v>
      </c>
      <c r="AM104" t="s">
        <v>47</v>
      </c>
      <c r="AN104" t="s">
        <v>47</v>
      </c>
      <c r="AO104" s="5" t="s">
        <v>51</v>
      </c>
      <c r="AP104" s="4" t="s">
        <v>61</v>
      </c>
      <c r="AQ104" s="4" t="s">
        <v>53</v>
      </c>
      <c r="AR104" s="4" t="s">
        <v>54</v>
      </c>
      <c r="AS104" s="5">
        <v>2034556</v>
      </c>
      <c r="AT104" t="s">
        <v>47</v>
      </c>
    </row>
    <row r="105" spans="1:46" ht="13" x14ac:dyDescent="0.3">
      <c r="A105" s="4" t="s">
        <v>548</v>
      </c>
      <c r="B105" t="s">
        <v>47</v>
      </c>
      <c r="C105" s="4" t="s">
        <v>169</v>
      </c>
      <c r="D105" s="4" t="s">
        <v>549</v>
      </c>
      <c r="E105" s="4" t="s">
        <v>66</v>
      </c>
      <c r="F105" s="5" t="s">
        <v>550</v>
      </c>
      <c r="G105" s="5" t="s">
        <v>551</v>
      </c>
      <c r="H105" t="s">
        <v>47</v>
      </c>
      <c r="I105" t="s">
        <v>47</v>
      </c>
      <c r="J105" t="s">
        <v>47</v>
      </c>
      <c r="K105" t="s">
        <v>47</v>
      </c>
      <c r="L105" s="5" t="s">
        <v>60</v>
      </c>
      <c r="M105" t="s">
        <v>47</v>
      </c>
      <c r="N105" t="s">
        <v>47</v>
      </c>
      <c r="O105" t="s">
        <v>47</v>
      </c>
      <c r="P105" t="s">
        <v>47</v>
      </c>
      <c r="Q105" t="s">
        <v>47</v>
      </c>
      <c r="R105" t="s">
        <v>47</v>
      </c>
      <c r="S105" t="s">
        <v>47</v>
      </c>
      <c r="T105" t="s">
        <v>47</v>
      </c>
      <c r="U105" t="s">
        <v>47</v>
      </c>
      <c r="V105" t="s">
        <v>47</v>
      </c>
      <c r="W105" s="3">
        <v>40179</v>
      </c>
      <c r="X105" s="5" t="s">
        <v>50</v>
      </c>
      <c r="Y105" t="s">
        <v>47</v>
      </c>
      <c r="Z105" s="3">
        <v>40179</v>
      </c>
      <c r="AA105" s="5" t="s">
        <v>50</v>
      </c>
      <c r="AB105" t="s">
        <v>47</v>
      </c>
      <c r="AC105" s="3">
        <v>40179</v>
      </c>
      <c r="AD105" s="5" t="s">
        <v>50</v>
      </c>
      <c r="AE105" t="s">
        <v>47</v>
      </c>
      <c r="AF105" t="s">
        <v>47</v>
      </c>
      <c r="AG105" t="s">
        <v>47</v>
      </c>
      <c r="AH105" t="s">
        <v>47</v>
      </c>
      <c r="AI105" t="s">
        <v>47</v>
      </c>
      <c r="AJ105" t="s">
        <v>47</v>
      </c>
      <c r="AK105" t="s">
        <v>47</v>
      </c>
      <c r="AL105" t="s">
        <v>47</v>
      </c>
      <c r="AM105" t="s">
        <v>47</v>
      </c>
      <c r="AN105" t="s">
        <v>47</v>
      </c>
      <c r="AO105" s="5" t="s">
        <v>60</v>
      </c>
      <c r="AP105" s="4" t="s">
        <v>61</v>
      </c>
      <c r="AQ105" s="4" t="s">
        <v>53</v>
      </c>
      <c r="AR105" s="4" t="s">
        <v>54</v>
      </c>
      <c r="AS105" s="5">
        <v>426805</v>
      </c>
      <c r="AT105" t="s">
        <v>47</v>
      </c>
    </row>
    <row r="106" spans="1:46" ht="104" x14ac:dyDescent="0.3">
      <c r="A106" s="4" t="s">
        <v>552</v>
      </c>
      <c r="B106" t="s">
        <v>47</v>
      </c>
      <c r="C106" s="4" t="s">
        <v>553</v>
      </c>
      <c r="D106" s="4" t="s">
        <v>554</v>
      </c>
      <c r="E106" s="4" t="s">
        <v>555</v>
      </c>
      <c r="F106" t="s">
        <v>47</v>
      </c>
      <c r="G106" s="5" t="s">
        <v>556</v>
      </c>
      <c r="H106" t="s">
        <v>47</v>
      </c>
      <c r="I106" s="3">
        <v>42339</v>
      </c>
      <c r="J106" s="3">
        <v>44531</v>
      </c>
      <c r="K106" t="s">
        <v>47</v>
      </c>
      <c r="L106" s="5" t="s">
        <v>60</v>
      </c>
      <c r="M106" s="3">
        <v>44013</v>
      </c>
      <c r="N106" s="3">
        <v>44531</v>
      </c>
      <c r="O106" t="s">
        <v>47</v>
      </c>
      <c r="P106" s="3">
        <v>42339</v>
      </c>
      <c r="Q106" s="3">
        <v>44531</v>
      </c>
      <c r="R106" t="s">
        <v>47</v>
      </c>
      <c r="S106" t="s">
        <v>47</v>
      </c>
      <c r="T106" t="s">
        <v>47</v>
      </c>
      <c r="U106" t="s">
        <v>47</v>
      </c>
      <c r="V106" t="s">
        <v>47</v>
      </c>
      <c r="W106" s="3">
        <v>42064</v>
      </c>
      <c r="X106" s="3">
        <v>44531</v>
      </c>
      <c r="Y106" t="s">
        <v>47</v>
      </c>
      <c r="Z106" s="3">
        <v>42064</v>
      </c>
      <c r="AA106" s="3">
        <v>44531</v>
      </c>
      <c r="AB106" t="s">
        <v>47</v>
      </c>
      <c r="AC106" s="3">
        <v>42339</v>
      </c>
      <c r="AD106" s="3">
        <v>44531</v>
      </c>
      <c r="AE106" t="s">
        <v>47</v>
      </c>
      <c r="AF106" t="s">
        <v>47</v>
      </c>
      <c r="AG106" t="s">
        <v>47</v>
      </c>
      <c r="AH106" t="s">
        <v>47</v>
      </c>
      <c r="AI106" t="s">
        <v>47</v>
      </c>
      <c r="AJ106" t="s">
        <v>47</v>
      </c>
      <c r="AK106" t="s">
        <v>47</v>
      </c>
      <c r="AL106" t="s">
        <v>47</v>
      </c>
      <c r="AM106" t="s">
        <v>47</v>
      </c>
      <c r="AN106" t="s">
        <v>47</v>
      </c>
      <c r="AO106" s="5" t="s">
        <v>60</v>
      </c>
      <c r="AP106" s="4" t="s">
        <v>61</v>
      </c>
      <c r="AQ106" s="4" t="s">
        <v>53</v>
      </c>
      <c r="AR106" s="4" t="s">
        <v>557</v>
      </c>
      <c r="AS106" s="5">
        <v>4402903</v>
      </c>
      <c r="AT106" t="s">
        <v>47</v>
      </c>
    </row>
    <row r="107" spans="1:46" ht="26" x14ac:dyDescent="0.3">
      <c r="A107" s="4" t="s">
        <v>558</v>
      </c>
      <c r="B107" t="s">
        <v>47</v>
      </c>
      <c r="C107" s="4" t="s">
        <v>115</v>
      </c>
      <c r="D107" s="4" t="s">
        <v>559</v>
      </c>
      <c r="E107" s="4" t="s">
        <v>66</v>
      </c>
      <c r="F107" s="5" t="s">
        <v>560</v>
      </c>
      <c r="G107" t="s">
        <v>47</v>
      </c>
      <c r="H107" t="s">
        <v>47</v>
      </c>
      <c r="I107" s="3">
        <v>38353</v>
      </c>
      <c r="J107" s="5" t="s">
        <v>50</v>
      </c>
      <c r="K107" s="5" t="s">
        <v>561</v>
      </c>
      <c r="L107" s="5" t="s">
        <v>60</v>
      </c>
      <c r="M107" s="3">
        <v>42370</v>
      </c>
      <c r="N107" s="5" t="s">
        <v>50</v>
      </c>
      <c r="O107" t="s">
        <v>47</v>
      </c>
      <c r="P107" s="3">
        <v>38353</v>
      </c>
      <c r="Q107" s="5" t="s">
        <v>50</v>
      </c>
      <c r="R107" s="5" t="s">
        <v>561</v>
      </c>
      <c r="S107" t="s">
        <v>47</v>
      </c>
      <c r="T107" t="s">
        <v>47</v>
      </c>
      <c r="U107" t="s">
        <v>47</v>
      </c>
      <c r="V107" t="s">
        <v>47</v>
      </c>
      <c r="W107" s="3">
        <v>38353</v>
      </c>
      <c r="X107" s="5" t="s">
        <v>50</v>
      </c>
      <c r="Y107" s="5" t="s">
        <v>561</v>
      </c>
      <c r="Z107" s="3">
        <v>38353</v>
      </c>
      <c r="AA107" s="5" t="s">
        <v>50</v>
      </c>
      <c r="AB107" s="5" t="s">
        <v>561</v>
      </c>
      <c r="AC107" s="3">
        <v>38353</v>
      </c>
      <c r="AD107" s="5" t="s">
        <v>50</v>
      </c>
      <c r="AE107" s="5" t="s">
        <v>561</v>
      </c>
      <c r="AF107" t="s">
        <v>47</v>
      </c>
      <c r="AG107" t="s">
        <v>47</v>
      </c>
      <c r="AH107" t="s">
        <v>47</v>
      </c>
      <c r="AI107" t="s">
        <v>47</v>
      </c>
      <c r="AJ107" t="s">
        <v>47</v>
      </c>
      <c r="AK107" t="s">
        <v>47</v>
      </c>
      <c r="AL107" t="s">
        <v>47</v>
      </c>
      <c r="AM107" t="s">
        <v>47</v>
      </c>
      <c r="AN107" t="s">
        <v>47</v>
      </c>
      <c r="AO107" s="5" t="s">
        <v>60</v>
      </c>
      <c r="AP107" s="4" t="s">
        <v>61</v>
      </c>
      <c r="AQ107" s="4" t="s">
        <v>53</v>
      </c>
      <c r="AR107" s="4" t="s">
        <v>54</v>
      </c>
      <c r="AS107" s="5">
        <v>4931645</v>
      </c>
      <c r="AT107" t="s">
        <v>47</v>
      </c>
    </row>
    <row r="108" spans="1:46" ht="26" x14ac:dyDescent="0.3">
      <c r="A108" s="4" t="s">
        <v>562</v>
      </c>
      <c r="B108" t="s">
        <v>47</v>
      </c>
      <c r="C108" s="4" t="s">
        <v>115</v>
      </c>
      <c r="D108" s="4" t="s">
        <v>559</v>
      </c>
      <c r="E108" s="4" t="s">
        <v>66</v>
      </c>
      <c r="F108" s="5" t="s">
        <v>563</v>
      </c>
      <c r="G108" s="5" t="s">
        <v>564</v>
      </c>
      <c r="H108" t="s">
        <v>47</v>
      </c>
      <c r="I108" s="3">
        <v>40909</v>
      </c>
      <c r="J108" s="5" t="s">
        <v>50</v>
      </c>
      <c r="K108" t="s">
        <v>47</v>
      </c>
      <c r="L108" s="5" t="s">
        <v>60</v>
      </c>
      <c r="M108" s="3">
        <v>40909</v>
      </c>
      <c r="N108" s="5" t="s">
        <v>50</v>
      </c>
      <c r="O108" t="s">
        <v>47</v>
      </c>
      <c r="P108" s="3">
        <v>40909</v>
      </c>
      <c r="Q108" s="5" t="s">
        <v>50</v>
      </c>
      <c r="R108" t="s">
        <v>47</v>
      </c>
      <c r="S108" t="s">
        <v>47</v>
      </c>
      <c r="T108" t="s">
        <v>47</v>
      </c>
      <c r="U108" t="s">
        <v>47</v>
      </c>
      <c r="V108" s="5">
        <v>365</v>
      </c>
      <c r="W108" s="3">
        <v>40909</v>
      </c>
      <c r="X108" s="5" t="s">
        <v>50</v>
      </c>
      <c r="Y108" t="s">
        <v>47</v>
      </c>
      <c r="Z108" s="3">
        <v>40909</v>
      </c>
      <c r="AA108" s="5" t="s">
        <v>50</v>
      </c>
      <c r="AB108" t="s">
        <v>47</v>
      </c>
      <c r="AC108" s="3">
        <v>40909</v>
      </c>
      <c r="AD108" s="5" t="s">
        <v>50</v>
      </c>
      <c r="AE108" t="s">
        <v>47</v>
      </c>
      <c r="AF108" t="s">
        <v>47</v>
      </c>
      <c r="AG108" t="s">
        <v>47</v>
      </c>
      <c r="AH108" t="s">
        <v>47</v>
      </c>
      <c r="AI108" t="s">
        <v>47</v>
      </c>
      <c r="AJ108" t="s">
        <v>47</v>
      </c>
      <c r="AK108" t="s">
        <v>47</v>
      </c>
      <c r="AL108" t="s">
        <v>47</v>
      </c>
      <c r="AM108" t="s">
        <v>47</v>
      </c>
      <c r="AN108" t="s">
        <v>47</v>
      </c>
      <c r="AO108" s="5" t="s">
        <v>60</v>
      </c>
      <c r="AP108" s="4" t="s">
        <v>61</v>
      </c>
      <c r="AQ108" s="4" t="s">
        <v>53</v>
      </c>
      <c r="AR108" s="4" t="s">
        <v>54</v>
      </c>
      <c r="AS108" s="5">
        <v>1396355</v>
      </c>
      <c r="AT108" t="s">
        <v>47</v>
      </c>
    </row>
    <row r="109" spans="1:46" ht="26" x14ac:dyDescent="0.3">
      <c r="A109" s="4" t="s">
        <v>565</v>
      </c>
      <c r="B109" t="s">
        <v>47</v>
      </c>
      <c r="C109" s="4" t="s">
        <v>423</v>
      </c>
      <c r="D109" s="4" t="s">
        <v>424</v>
      </c>
      <c r="E109" s="4" t="s">
        <v>425</v>
      </c>
      <c r="F109" t="s">
        <v>47</v>
      </c>
      <c r="G109" s="5" t="s">
        <v>566</v>
      </c>
      <c r="H109" t="s">
        <v>47</v>
      </c>
      <c r="I109" s="3">
        <v>41275</v>
      </c>
      <c r="J109" s="5" t="s">
        <v>50</v>
      </c>
      <c r="K109" t="s">
        <v>47</v>
      </c>
      <c r="L109" s="5" t="s">
        <v>60</v>
      </c>
      <c r="M109" t="s">
        <v>47</v>
      </c>
      <c r="N109" t="s">
        <v>47</v>
      </c>
      <c r="O109" t="s">
        <v>47</v>
      </c>
      <c r="P109" s="3">
        <v>41275</v>
      </c>
      <c r="Q109" s="5" t="s">
        <v>50</v>
      </c>
      <c r="R109" t="s">
        <v>47</v>
      </c>
      <c r="S109" t="s">
        <v>47</v>
      </c>
      <c r="T109" t="s">
        <v>47</v>
      </c>
      <c r="U109" t="s">
        <v>47</v>
      </c>
      <c r="V109" t="s">
        <v>47</v>
      </c>
      <c r="W109" s="3">
        <v>41275</v>
      </c>
      <c r="X109" s="5" t="s">
        <v>50</v>
      </c>
      <c r="Y109" t="s">
        <v>47</v>
      </c>
      <c r="Z109" s="3">
        <v>41275</v>
      </c>
      <c r="AA109" s="5" t="s">
        <v>50</v>
      </c>
      <c r="AB109" t="s">
        <v>47</v>
      </c>
      <c r="AC109" s="3">
        <v>41275</v>
      </c>
      <c r="AD109" s="5" t="s">
        <v>50</v>
      </c>
      <c r="AE109" t="s">
        <v>47</v>
      </c>
      <c r="AF109" t="s">
        <v>47</v>
      </c>
      <c r="AG109" t="s">
        <v>47</v>
      </c>
      <c r="AH109" t="s">
        <v>47</v>
      </c>
      <c r="AI109" t="s">
        <v>47</v>
      </c>
      <c r="AJ109" t="s">
        <v>47</v>
      </c>
      <c r="AK109" t="s">
        <v>47</v>
      </c>
      <c r="AL109" t="s">
        <v>47</v>
      </c>
      <c r="AM109" t="s">
        <v>47</v>
      </c>
      <c r="AN109" t="s">
        <v>47</v>
      </c>
      <c r="AO109" s="5" t="s">
        <v>60</v>
      </c>
      <c r="AP109" s="4" t="s">
        <v>61</v>
      </c>
      <c r="AQ109" s="4" t="s">
        <v>427</v>
      </c>
      <c r="AR109" s="4" t="s">
        <v>54</v>
      </c>
      <c r="AS109" s="5">
        <v>2045595</v>
      </c>
      <c r="AT109" t="s">
        <v>47</v>
      </c>
    </row>
    <row r="110" spans="1:46" ht="52" x14ac:dyDescent="0.3">
      <c r="A110" s="4" t="s">
        <v>567</v>
      </c>
      <c r="B110" t="s">
        <v>47</v>
      </c>
      <c r="C110" s="4" t="s">
        <v>568</v>
      </c>
      <c r="D110" s="4" t="s">
        <v>569</v>
      </c>
      <c r="E110" s="4" t="s">
        <v>570</v>
      </c>
      <c r="F110" s="5" t="s">
        <v>571</v>
      </c>
      <c r="G110" s="5" t="s">
        <v>572</v>
      </c>
      <c r="H110" t="s">
        <v>47</v>
      </c>
      <c r="I110" s="3">
        <v>40909</v>
      </c>
      <c r="J110" s="5" t="s">
        <v>50</v>
      </c>
      <c r="K110" t="s">
        <v>47</v>
      </c>
      <c r="L110" s="5" t="s">
        <v>60</v>
      </c>
      <c r="M110" s="3">
        <v>40909</v>
      </c>
      <c r="N110" s="5" t="s">
        <v>50</v>
      </c>
      <c r="O110" t="s">
        <v>47</v>
      </c>
      <c r="P110" s="3">
        <v>40909</v>
      </c>
      <c r="Q110" s="5" t="s">
        <v>50</v>
      </c>
      <c r="R110" t="s">
        <v>47</v>
      </c>
      <c r="S110" t="s">
        <v>47</v>
      </c>
      <c r="T110" t="s">
        <v>47</v>
      </c>
      <c r="U110" t="s">
        <v>47</v>
      </c>
      <c r="V110" t="s">
        <v>47</v>
      </c>
      <c r="W110" s="3">
        <v>40909</v>
      </c>
      <c r="X110" s="5" t="s">
        <v>50</v>
      </c>
      <c r="Y110" t="s">
        <v>47</v>
      </c>
      <c r="Z110" s="3">
        <v>40909</v>
      </c>
      <c r="AA110" s="5" t="s">
        <v>50</v>
      </c>
      <c r="AB110" t="s">
        <v>47</v>
      </c>
      <c r="AC110" s="3">
        <v>40909</v>
      </c>
      <c r="AD110" s="5" t="s">
        <v>50</v>
      </c>
      <c r="AE110" t="s">
        <v>47</v>
      </c>
      <c r="AF110" t="s">
        <v>47</v>
      </c>
      <c r="AG110" t="s">
        <v>47</v>
      </c>
      <c r="AH110" t="s">
        <v>47</v>
      </c>
      <c r="AI110" t="s">
        <v>47</v>
      </c>
      <c r="AJ110" t="s">
        <v>47</v>
      </c>
      <c r="AK110" t="s">
        <v>47</v>
      </c>
      <c r="AL110" t="s">
        <v>47</v>
      </c>
      <c r="AM110" t="s">
        <v>47</v>
      </c>
      <c r="AN110" t="s">
        <v>47</v>
      </c>
      <c r="AO110" s="5" t="s">
        <v>60</v>
      </c>
      <c r="AP110" s="4" t="s">
        <v>61</v>
      </c>
      <c r="AQ110" s="4" t="s">
        <v>53</v>
      </c>
      <c r="AR110" s="4" t="s">
        <v>573</v>
      </c>
      <c r="AS110" s="5">
        <v>1096447</v>
      </c>
      <c r="AT110" t="s">
        <v>47</v>
      </c>
    </row>
    <row r="111" spans="1:46" ht="78" x14ac:dyDescent="0.3">
      <c r="A111" s="4" t="s">
        <v>574</v>
      </c>
      <c r="B111" t="s">
        <v>47</v>
      </c>
      <c r="C111" s="4" t="s">
        <v>122</v>
      </c>
      <c r="D111" s="4" t="s">
        <v>575</v>
      </c>
      <c r="E111" s="4" t="s">
        <v>123</v>
      </c>
      <c r="F111" t="s">
        <v>47</v>
      </c>
      <c r="G111" s="5" t="s">
        <v>576</v>
      </c>
      <c r="H111" t="s">
        <v>47</v>
      </c>
      <c r="I111" s="3">
        <v>42705</v>
      </c>
      <c r="J111" s="5" t="s">
        <v>50</v>
      </c>
      <c r="K111" t="s">
        <v>47</v>
      </c>
      <c r="L111" s="5" t="s">
        <v>60</v>
      </c>
      <c r="M111" t="s">
        <v>47</v>
      </c>
      <c r="N111" t="s">
        <v>47</v>
      </c>
      <c r="O111" t="s">
        <v>47</v>
      </c>
      <c r="P111" s="3">
        <v>42705</v>
      </c>
      <c r="Q111" s="5" t="s">
        <v>50</v>
      </c>
      <c r="R111" t="s">
        <v>47</v>
      </c>
      <c r="S111" t="s">
        <v>47</v>
      </c>
      <c r="T111" t="s">
        <v>47</v>
      </c>
      <c r="U111" t="s">
        <v>47</v>
      </c>
      <c r="V111" t="s">
        <v>47</v>
      </c>
      <c r="W111" s="3">
        <v>42705</v>
      </c>
      <c r="X111" s="5" t="s">
        <v>50</v>
      </c>
      <c r="Y111" t="s">
        <v>47</v>
      </c>
      <c r="Z111" s="3">
        <v>42705</v>
      </c>
      <c r="AA111" s="5" t="s">
        <v>50</v>
      </c>
      <c r="AB111" t="s">
        <v>47</v>
      </c>
      <c r="AC111" s="3">
        <v>42705</v>
      </c>
      <c r="AD111" s="5" t="s">
        <v>50</v>
      </c>
      <c r="AE111" t="s">
        <v>47</v>
      </c>
      <c r="AF111" t="s">
        <v>47</v>
      </c>
      <c r="AG111" t="s">
        <v>47</v>
      </c>
      <c r="AH111" t="s">
        <v>47</v>
      </c>
      <c r="AI111" t="s">
        <v>47</v>
      </c>
      <c r="AJ111" t="s">
        <v>47</v>
      </c>
      <c r="AK111" t="s">
        <v>47</v>
      </c>
      <c r="AL111" t="s">
        <v>47</v>
      </c>
      <c r="AM111" t="s">
        <v>47</v>
      </c>
      <c r="AN111" t="s">
        <v>47</v>
      </c>
      <c r="AO111" s="5" t="s">
        <v>60</v>
      </c>
      <c r="AP111" s="4" t="s">
        <v>61</v>
      </c>
      <c r="AQ111" s="4" t="s">
        <v>53</v>
      </c>
      <c r="AR111" s="4" t="s">
        <v>577</v>
      </c>
      <c r="AS111" s="5">
        <v>4402906</v>
      </c>
      <c r="AT111" t="s">
        <v>47</v>
      </c>
    </row>
    <row r="112" spans="1:46" ht="26" x14ac:dyDescent="0.3">
      <c r="A112" s="4" t="s">
        <v>578</v>
      </c>
      <c r="B112" t="s">
        <v>47</v>
      </c>
      <c r="C112" s="4" t="s">
        <v>462</v>
      </c>
      <c r="D112" s="4" t="s">
        <v>463</v>
      </c>
      <c r="E112" s="4" t="s">
        <v>49</v>
      </c>
      <c r="F112" s="5" t="s">
        <v>579</v>
      </c>
      <c r="G112" t="s">
        <v>47</v>
      </c>
      <c r="H112" t="s">
        <v>47</v>
      </c>
      <c r="I112" t="s">
        <v>47</v>
      </c>
      <c r="J112" t="s">
        <v>47</v>
      </c>
      <c r="K112" t="s">
        <v>47</v>
      </c>
      <c r="L112" s="5" t="s">
        <v>51</v>
      </c>
      <c r="M112" t="s">
        <v>47</v>
      </c>
      <c r="N112" t="s">
        <v>47</v>
      </c>
      <c r="O112" t="s">
        <v>47</v>
      </c>
      <c r="P112" t="s">
        <v>47</v>
      </c>
      <c r="Q112" t="s">
        <v>47</v>
      </c>
      <c r="R112" t="s">
        <v>47</v>
      </c>
      <c r="S112" t="s">
        <v>47</v>
      </c>
      <c r="T112" t="s">
        <v>47</v>
      </c>
      <c r="U112" t="s">
        <v>47</v>
      </c>
      <c r="V112" t="s">
        <v>47</v>
      </c>
      <c r="W112" s="3">
        <v>37926</v>
      </c>
      <c r="X112" s="3">
        <v>42186</v>
      </c>
      <c r="Y112" t="s">
        <v>47</v>
      </c>
      <c r="Z112" s="3">
        <v>37926</v>
      </c>
      <c r="AA112" s="3">
        <v>42186</v>
      </c>
      <c r="AB112" t="s">
        <v>47</v>
      </c>
      <c r="AC112" t="s">
        <v>47</v>
      </c>
      <c r="AD112" t="s">
        <v>47</v>
      </c>
      <c r="AE112" t="s">
        <v>47</v>
      </c>
      <c r="AF112" t="s">
        <v>47</v>
      </c>
      <c r="AG112" t="s">
        <v>47</v>
      </c>
      <c r="AH112" t="s">
        <v>47</v>
      </c>
      <c r="AI112" t="s">
        <v>47</v>
      </c>
      <c r="AJ112" t="s">
        <v>47</v>
      </c>
      <c r="AK112" t="s">
        <v>47</v>
      </c>
      <c r="AL112" t="s">
        <v>47</v>
      </c>
      <c r="AM112" t="s">
        <v>47</v>
      </c>
      <c r="AN112" t="s">
        <v>47</v>
      </c>
      <c r="AO112" s="5" t="s">
        <v>51</v>
      </c>
      <c r="AP112" s="4" t="s">
        <v>135</v>
      </c>
      <c r="AQ112" s="4" t="s">
        <v>53</v>
      </c>
      <c r="AR112" s="4" t="s">
        <v>580</v>
      </c>
      <c r="AS112" s="5">
        <v>43304</v>
      </c>
      <c r="AT112" t="s">
        <v>47</v>
      </c>
    </row>
    <row r="113" spans="1:46" ht="65" x14ac:dyDescent="0.3">
      <c r="A113" s="4" t="s">
        <v>581</v>
      </c>
      <c r="B113" t="s">
        <v>47</v>
      </c>
      <c r="C113" s="4" t="s">
        <v>183</v>
      </c>
      <c r="D113" s="4" t="s">
        <v>582</v>
      </c>
      <c r="E113" s="4" t="s">
        <v>49</v>
      </c>
      <c r="F113" s="5" t="s">
        <v>583</v>
      </c>
      <c r="G113" s="5" t="s">
        <v>584</v>
      </c>
      <c r="H113" t="s">
        <v>47</v>
      </c>
      <c r="I113" t="s">
        <v>47</v>
      </c>
      <c r="J113" t="s">
        <v>47</v>
      </c>
      <c r="K113" t="s">
        <v>47</v>
      </c>
      <c r="L113" s="5" t="s">
        <v>60</v>
      </c>
      <c r="M113" t="s">
        <v>47</v>
      </c>
      <c r="N113" t="s">
        <v>47</v>
      </c>
      <c r="O113" t="s">
        <v>47</v>
      </c>
      <c r="P113" t="s">
        <v>47</v>
      </c>
      <c r="Q113" t="s">
        <v>47</v>
      </c>
      <c r="R113" t="s">
        <v>47</v>
      </c>
      <c r="S113" t="s">
        <v>47</v>
      </c>
      <c r="T113" t="s">
        <v>47</v>
      </c>
      <c r="U113" t="s">
        <v>47</v>
      </c>
      <c r="V113" t="s">
        <v>47</v>
      </c>
      <c r="W113" s="3">
        <v>36130</v>
      </c>
      <c r="X113" s="3">
        <v>37226</v>
      </c>
      <c r="Y113" t="s">
        <v>47</v>
      </c>
      <c r="Z113" s="3">
        <v>36130</v>
      </c>
      <c r="AA113" s="3">
        <v>37226</v>
      </c>
      <c r="AB113" t="s">
        <v>47</v>
      </c>
      <c r="AC113" t="s">
        <v>47</v>
      </c>
      <c r="AD113" t="s">
        <v>47</v>
      </c>
      <c r="AE113" t="s">
        <v>47</v>
      </c>
      <c r="AF113" t="s">
        <v>47</v>
      </c>
      <c r="AG113" t="s">
        <v>47</v>
      </c>
      <c r="AH113" t="s">
        <v>47</v>
      </c>
      <c r="AI113" t="s">
        <v>47</v>
      </c>
      <c r="AJ113" t="s">
        <v>47</v>
      </c>
      <c r="AK113" t="s">
        <v>47</v>
      </c>
      <c r="AL113" t="s">
        <v>47</v>
      </c>
      <c r="AM113" t="s">
        <v>47</v>
      </c>
      <c r="AN113" t="s">
        <v>47</v>
      </c>
      <c r="AO113" s="5" t="s">
        <v>60</v>
      </c>
      <c r="AP113" s="4" t="s">
        <v>61</v>
      </c>
      <c r="AQ113" s="4" t="s">
        <v>53</v>
      </c>
      <c r="AR113" s="4" t="s">
        <v>297</v>
      </c>
      <c r="AS113" s="5">
        <v>12799</v>
      </c>
      <c r="AT113" t="s">
        <v>47</v>
      </c>
    </row>
    <row r="114" spans="1:46" ht="52" x14ac:dyDescent="0.3">
      <c r="A114" s="4" t="s">
        <v>585</v>
      </c>
      <c r="B114" t="s">
        <v>47</v>
      </c>
      <c r="C114" s="4" t="s">
        <v>169</v>
      </c>
      <c r="D114" s="4" t="s">
        <v>339</v>
      </c>
      <c r="E114" s="4" t="s">
        <v>66</v>
      </c>
      <c r="F114" s="5" t="s">
        <v>586</v>
      </c>
      <c r="G114" s="5" t="s">
        <v>587</v>
      </c>
      <c r="H114" t="s">
        <v>47</v>
      </c>
      <c r="I114" s="3">
        <v>35674</v>
      </c>
      <c r="J114" s="3">
        <v>36770</v>
      </c>
      <c r="K114" t="s">
        <v>47</v>
      </c>
      <c r="L114" s="5" t="s">
        <v>60</v>
      </c>
      <c r="M114" s="3">
        <v>35674</v>
      </c>
      <c r="N114" s="3">
        <v>36770</v>
      </c>
      <c r="O114" t="s">
        <v>47</v>
      </c>
      <c r="P114" s="3">
        <v>35674</v>
      </c>
      <c r="Q114" s="3">
        <v>36770</v>
      </c>
      <c r="R114" t="s">
        <v>47</v>
      </c>
      <c r="S114" t="s">
        <v>47</v>
      </c>
      <c r="T114" t="s">
        <v>47</v>
      </c>
      <c r="U114" t="s">
        <v>47</v>
      </c>
      <c r="V114" t="s">
        <v>47</v>
      </c>
      <c r="W114" s="3">
        <v>35674</v>
      </c>
      <c r="X114" s="5" t="s">
        <v>50</v>
      </c>
      <c r="Y114" t="s">
        <v>47</v>
      </c>
      <c r="Z114" s="3">
        <v>35674</v>
      </c>
      <c r="AA114" s="5" t="s">
        <v>50</v>
      </c>
      <c r="AB114" t="s">
        <v>47</v>
      </c>
      <c r="AC114" s="3">
        <v>35674</v>
      </c>
      <c r="AD114" s="5" t="s">
        <v>50</v>
      </c>
      <c r="AE114" t="s">
        <v>47</v>
      </c>
      <c r="AF114" t="s">
        <v>47</v>
      </c>
      <c r="AG114" t="s">
        <v>47</v>
      </c>
      <c r="AH114" t="s">
        <v>47</v>
      </c>
      <c r="AI114" t="s">
        <v>47</v>
      </c>
      <c r="AJ114" t="s">
        <v>47</v>
      </c>
      <c r="AK114" t="s">
        <v>47</v>
      </c>
      <c r="AL114" t="s">
        <v>47</v>
      </c>
      <c r="AM114" t="s">
        <v>47</v>
      </c>
      <c r="AN114" t="s">
        <v>47</v>
      </c>
      <c r="AO114" s="5" t="s">
        <v>60</v>
      </c>
      <c r="AP114" s="4" t="s">
        <v>61</v>
      </c>
      <c r="AQ114" s="4" t="s">
        <v>53</v>
      </c>
      <c r="AR114" s="4" t="s">
        <v>588</v>
      </c>
      <c r="AS114" s="5">
        <v>48239</v>
      </c>
      <c r="AT114" t="s">
        <v>47</v>
      </c>
    </row>
    <row r="115" spans="1:46" ht="13" x14ac:dyDescent="0.3">
      <c r="A115" s="4" t="s">
        <v>589</v>
      </c>
      <c r="B115" t="s">
        <v>47</v>
      </c>
      <c r="C115" s="4" t="s">
        <v>169</v>
      </c>
      <c r="D115" s="4" t="s">
        <v>339</v>
      </c>
      <c r="E115" s="4" t="s">
        <v>66</v>
      </c>
      <c r="F115" s="5" t="s">
        <v>590</v>
      </c>
      <c r="G115" s="5" t="s">
        <v>591</v>
      </c>
      <c r="H115" t="s">
        <v>47</v>
      </c>
      <c r="I115" s="3">
        <v>35612</v>
      </c>
      <c r="J115" s="3">
        <v>36831</v>
      </c>
      <c r="K115" t="s">
        <v>47</v>
      </c>
      <c r="L115" s="5" t="s">
        <v>60</v>
      </c>
      <c r="M115" s="3">
        <v>35612</v>
      </c>
      <c r="N115" s="3">
        <v>36831</v>
      </c>
      <c r="O115" t="s">
        <v>47</v>
      </c>
      <c r="P115" s="3">
        <v>35612</v>
      </c>
      <c r="Q115" s="3">
        <v>36831</v>
      </c>
      <c r="R115" t="s">
        <v>47</v>
      </c>
      <c r="S115" t="s">
        <v>47</v>
      </c>
      <c r="T115" t="s">
        <v>47</v>
      </c>
      <c r="U115" t="s">
        <v>47</v>
      </c>
      <c r="V115" t="s">
        <v>47</v>
      </c>
      <c r="W115" s="3">
        <v>35612</v>
      </c>
      <c r="X115" s="5" t="s">
        <v>50</v>
      </c>
      <c r="Y115" t="s">
        <v>47</v>
      </c>
      <c r="Z115" s="3">
        <v>35612</v>
      </c>
      <c r="AA115" s="5" t="s">
        <v>50</v>
      </c>
      <c r="AB115" t="s">
        <v>47</v>
      </c>
      <c r="AC115" s="3">
        <v>35612</v>
      </c>
      <c r="AD115" s="5" t="s">
        <v>50</v>
      </c>
      <c r="AE115" t="s">
        <v>47</v>
      </c>
      <c r="AF115" t="s">
        <v>47</v>
      </c>
      <c r="AG115" t="s">
        <v>47</v>
      </c>
      <c r="AH115" t="s">
        <v>47</v>
      </c>
      <c r="AI115" t="s">
        <v>47</v>
      </c>
      <c r="AJ115" t="s">
        <v>47</v>
      </c>
      <c r="AK115" t="s">
        <v>47</v>
      </c>
      <c r="AL115" t="s">
        <v>47</v>
      </c>
      <c r="AM115" t="s">
        <v>47</v>
      </c>
      <c r="AN115" t="s">
        <v>47</v>
      </c>
      <c r="AO115" s="5" t="s">
        <v>60</v>
      </c>
      <c r="AP115" s="4" t="s">
        <v>61</v>
      </c>
      <c r="AQ115" s="4" t="s">
        <v>53</v>
      </c>
      <c r="AR115" s="4" t="s">
        <v>54</v>
      </c>
      <c r="AS115" s="5">
        <v>32872</v>
      </c>
      <c r="AT115" t="s">
        <v>47</v>
      </c>
    </row>
    <row r="116" spans="1:46" ht="78" x14ac:dyDescent="0.3">
      <c r="A116" s="4" t="s">
        <v>592</v>
      </c>
      <c r="B116" t="s">
        <v>47</v>
      </c>
      <c r="C116" s="4" t="s">
        <v>593</v>
      </c>
      <c r="D116" s="4" t="s">
        <v>201</v>
      </c>
      <c r="E116" s="4" t="s">
        <v>49</v>
      </c>
      <c r="F116" s="5" t="s">
        <v>594</v>
      </c>
      <c r="G116" t="s">
        <v>47</v>
      </c>
      <c r="H116" t="s">
        <v>47</v>
      </c>
      <c r="I116" s="3">
        <v>35065</v>
      </c>
      <c r="J116" s="3">
        <v>35796</v>
      </c>
      <c r="K116" t="s">
        <v>47</v>
      </c>
      <c r="L116" s="5" t="s">
        <v>51</v>
      </c>
      <c r="M116" s="3">
        <v>35065</v>
      </c>
      <c r="N116" s="3">
        <v>35796</v>
      </c>
      <c r="O116" t="s">
        <v>47</v>
      </c>
      <c r="P116" s="3">
        <v>35065</v>
      </c>
      <c r="Q116" s="3">
        <v>35796</v>
      </c>
      <c r="R116" t="s">
        <v>47</v>
      </c>
      <c r="S116" t="s">
        <v>47</v>
      </c>
      <c r="T116" t="s">
        <v>47</v>
      </c>
      <c r="U116" t="s">
        <v>47</v>
      </c>
      <c r="V116" t="s">
        <v>47</v>
      </c>
      <c r="W116" s="3">
        <v>35065</v>
      </c>
      <c r="X116" s="3">
        <v>35796</v>
      </c>
      <c r="Y116" t="s">
        <v>47</v>
      </c>
      <c r="Z116" s="3">
        <v>35065</v>
      </c>
      <c r="AA116" s="3">
        <v>35796</v>
      </c>
      <c r="AB116" t="s">
        <v>47</v>
      </c>
      <c r="AC116" t="s">
        <v>47</v>
      </c>
      <c r="AD116" t="s">
        <v>47</v>
      </c>
      <c r="AE116" t="s">
        <v>47</v>
      </c>
      <c r="AF116" t="s">
        <v>47</v>
      </c>
      <c r="AG116" t="s">
        <v>47</v>
      </c>
      <c r="AH116" t="s">
        <v>47</v>
      </c>
      <c r="AI116" t="s">
        <v>47</v>
      </c>
      <c r="AJ116" t="s">
        <v>47</v>
      </c>
      <c r="AK116" t="s">
        <v>47</v>
      </c>
      <c r="AL116" t="s">
        <v>47</v>
      </c>
      <c r="AM116" t="s">
        <v>47</v>
      </c>
      <c r="AN116" t="s">
        <v>47</v>
      </c>
      <c r="AO116" s="5" t="s">
        <v>51</v>
      </c>
      <c r="AP116" s="4" t="s">
        <v>85</v>
      </c>
      <c r="AQ116" s="4" t="s">
        <v>53</v>
      </c>
      <c r="AR116" s="4" t="s">
        <v>595</v>
      </c>
      <c r="AS116" s="5">
        <v>34636</v>
      </c>
      <c r="AT116" t="s">
        <v>47</v>
      </c>
    </row>
    <row r="117" spans="1:46" ht="26" x14ac:dyDescent="0.3">
      <c r="A117" s="4" t="s">
        <v>596</v>
      </c>
      <c r="B117" t="s">
        <v>47</v>
      </c>
      <c r="C117" s="4" t="s">
        <v>122</v>
      </c>
      <c r="D117" s="4" t="s">
        <v>597</v>
      </c>
      <c r="E117" s="4" t="s">
        <v>123</v>
      </c>
      <c r="F117" s="5" t="s">
        <v>598</v>
      </c>
      <c r="G117" s="5" t="s">
        <v>599</v>
      </c>
      <c r="H117" t="s">
        <v>47</v>
      </c>
      <c r="I117" s="3">
        <v>40544</v>
      </c>
      <c r="J117" s="5" t="s">
        <v>50</v>
      </c>
      <c r="K117" t="s">
        <v>47</v>
      </c>
      <c r="L117" s="5" t="s">
        <v>60</v>
      </c>
      <c r="M117" s="3">
        <v>40544</v>
      </c>
      <c r="N117" s="5" t="s">
        <v>50</v>
      </c>
      <c r="O117" t="s">
        <v>47</v>
      </c>
      <c r="P117" s="3">
        <v>40544</v>
      </c>
      <c r="Q117" s="5" t="s">
        <v>50</v>
      </c>
      <c r="R117" t="s">
        <v>47</v>
      </c>
      <c r="S117" t="s">
        <v>47</v>
      </c>
      <c r="T117" t="s">
        <v>47</v>
      </c>
      <c r="U117" t="s">
        <v>47</v>
      </c>
      <c r="V117" s="5">
        <v>365</v>
      </c>
      <c r="W117" s="3">
        <v>38292</v>
      </c>
      <c r="X117" s="5" t="s">
        <v>50</v>
      </c>
      <c r="Y117" t="s">
        <v>47</v>
      </c>
      <c r="Z117" s="3">
        <v>38292</v>
      </c>
      <c r="AA117" s="5" t="s">
        <v>50</v>
      </c>
      <c r="AB117" t="s">
        <v>47</v>
      </c>
      <c r="AC117" s="3">
        <v>40544</v>
      </c>
      <c r="AD117" s="5" t="s">
        <v>50</v>
      </c>
      <c r="AE117" t="s">
        <v>47</v>
      </c>
      <c r="AF117" t="s">
        <v>47</v>
      </c>
      <c r="AG117" t="s">
        <v>47</v>
      </c>
      <c r="AH117" t="s">
        <v>47</v>
      </c>
      <c r="AI117" t="s">
        <v>47</v>
      </c>
      <c r="AJ117" t="s">
        <v>47</v>
      </c>
      <c r="AK117" t="s">
        <v>47</v>
      </c>
      <c r="AL117" t="s">
        <v>47</v>
      </c>
      <c r="AM117" t="s">
        <v>47</v>
      </c>
      <c r="AN117" t="s">
        <v>47</v>
      </c>
      <c r="AO117" s="5" t="s">
        <v>60</v>
      </c>
      <c r="AP117" s="4" t="s">
        <v>61</v>
      </c>
      <c r="AQ117" s="4" t="s">
        <v>53</v>
      </c>
      <c r="AR117" s="4" t="s">
        <v>483</v>
      </c>
      <c r="AS117" s="5">
        <v>976350</v>
      </c>
      <c r="AT117" t="s">
        <v>47</v>
      </c>
    </row>
    <row r="118" spans="1:46" ht="104" x14ac:dyDescent="0.3">
      <c r="A118" s="4" t="s">
        <v>600</v>
      </c>
      <c r="B118" t="s">
        <v>47</v>
      </c>
      <c r="C118" s="4" t="s">
        <v>601</v>
      </c>
      <c r="D118" s="4" t="s">
        <v>602</v>
      </c>
      <c r="E118" s="4" t="s">
        <v>603</v>
      </c>
      <c r="F118" s="5" t="s">
        <v>604</v>
      </c>
      <c r="G118" s="5" t="s">
        <v>605</v>
      </c>
      <c r="H118" t="s">
        <v>47</v>
      </c>
      <c r="I118" s="3">
        <v>40909</v>
      </c>
      <c r="J118" s="5" t="s">
        <v>50</v>
      </c>
      <c r="K118" t="s">
        <v>47</v>
      </c>
      <c r="L118" s="5" t="s">
        <v>60</v>
      </c>
      <c r="M118" s="3">
        <v>40909</v>
      </c>
      <c r="N118" s="3">
        <v>43101</v>
      </c>
      <c r="O118" t="s">
        <v>47</v>
      </c>
      <c r="P118" s="3">
        <v>40909</v>
      </c>
      <c r="Q118" s="5" t="s">
        <v>50</v>
      </c>
      <c r="R118" t="s">
        <v>47</v>
      </c>
      <c r="S118" t="s">
        <v>47</v>
      </c>
      <c r="T118" t="s">
        <v>47</v>
      </c>
      <c r="U118" t="s">
        <v>47</v>
      </c>
      <c r="V118" t="s">
        <v>47</v>
      </c>
      <c r="W118" s="3">
        <v>40909</v>
      </c>
      <c r="X118" s="5" t="s">
        <v>50</v>
      </c>
      <c r="Y118" t="s">
        <v>47</v>
      </c>
      <c r="Z118" s="3">
        <v>40909</v>
      </c>
      <c r="AA118" s="5" t="s">
        <v>50</v>
      </c>
      <c r="AB118" t="s">
        <v>47</v>
      </c>
      <c r="AC118" s="3">
        <v>40909</v>
      </c>
      <c r="AD118" s="5" t="s">
        <v>50</v>
      </c>
      <c r="AE118" t="s">
        <v>47</v>
      </c>
      <c r="AF118" t="s">
        <v>47</v>
      </c>
      <c r="AG118" t="s">
        <v>47</v>
      </c>
      <c r="AH118" t="s">
        <v>47</v>
      </c>
      <c r="AI118" t="s">
        <v>47</v>
      </c>
      <c r="AJ118" t="s">
        <v>47</v>
      </c>
      <c r="AK118" t="s">
        <v>47</v>
      </c>
      <c r="AL118" t="s">
        <v>47</v>
      </c>
      <c r="AM118" t="s">
        <v>47</v>
      </c>
      <c r="AN118" t="s">
        <v>47</v>
      </c>
      <c r="AO118" s="5" t="s">
        <v>60</v>
      </c>
      <c r="AP118" s="4" t="s">
        <v>61</v>
      </c>
      <c r="AQ118" s="4" t="s">
        <v>119</v>
      </c>
      <c r="AR118" s="4" t="s">
        <v>606</v>
      </c>
      <c r="AS118" s="5">
        <v>2032104</v>
      </c>
      <c r="AT118" t="s">
        <v>47</v>
      </c>
    </row>
    <row r="119" spans="1:46" ht="65" x14ac:dyDescent="0.3">
      <c r="A119" s="4" t="s">
        <v>607</v>
      </c>
      <c r="B119" t="s">
        <v>47</v>
      </c>
      <c r="C119" t="s">
        <v>47</v>
      </c>
      <c r="D119" s="4" t="s">
        <v>608</v>
      </c>
      <c r="E119" t="s">
        <v>47</v>
      </c>
      <c r="F119" s="5" t="s">
        <v>609</v>
      </c>
      <c r="G119" s="5" t="s">
        <v>610</v>
      </c>
      <c r="H119" t="s">
        <v>47</v>
      </c>
      <c r="I119" s="3">
        <v>43831</v>
      </c>
      <c r="J119" s="3">
        <v>44197</v>
      </c>
      <c r="K119" t="s">
        <v>47</v>
      </c>
      <c r="L119" s="5" t="s">
        <v>60</v>
      </c>
      <c r="M119" t="s">
        <v>47</v>
      </c>
      <c r="N119" t="s">
        <v>47</v>
      </c>
      <c r="O119" t="s">
        <v>47</v>
      </c>
      <c r="P119" t="s">
        <v>47</v>
      </c>
      <c r="Q119" t="s">
        <v>47</v>
      </c>
      <c r="R119" t="s">
        <v>47</v>
      </c>
      <c r="S119" s="3">
        <v>43831</v>
      </c>
      <c r="T119" s="3">
        <v>44197</v>
      </c>
      <c r="U119" t="s">
        <v>47</v>
      </c>
      <c r="V119" t="s">
        <v>47</v>
      </c>
      <c r="W119" s="3">
        <v>43831</v>
      </c>
      <c r="X119" s="5" t="s">
        <v>50</v>
      </c>
      <c r="Y119" t="s">
        <v>47</v>
      </c>
      <c r="Z119" s="3">
        <v>43831</v>
      </c>
      <c r="AA119" s="5" t="s">
        <v>50</v>
      </c>
      <c r="AB119" t="s">
        <v>47</v>
      </c>
      <c r="AC119" s="3">
        <v>43831</v>
      </c>
      <c r="AD119" s="5" t="s">
        <v>50</v>
      </c>
      <c r="AE119" t="s">
        <v>47</v>
      </c>
      <c r="AF119" t="s">
        <v>47</v>
      </c>
      <c r="AG119" t="s">
        <v>47</v>
      </c>
      <c r="AH119" t="s">
        <v>47</v>
      </c>
      <c r="AI119" t="s">
        <v>47</v>
      </c>
      <c r="AJ119" t="s">
        <v>47</v>
      </c>
      <c r="AK119" t="s">
        <v>47</v>
      </c>
      <c r="AL119" t="s">
        <v>47</v>
      </c>
      <c r="AM119" t="s">
        <v>47</v>
      </c>
      <c r="AN119" t="s">
        <v>47</v>
      </c>
      <c r="AO119" s="5" t="s">
        <v>60</v>
      </c>
      <c r="AP119" s="4" t="s">
        <v>61</v>
      </c>
      <c r="AQ119" s="4" t="s">
        <v>53</v>
      </c>
      <c r="AR119" s="4" t="s">
        <v>543</v>
      </c>
      <c r="AS119" s="5">
        <v>4895908</v>
      </c>
      <c r="AT119" t="s">
        <v>47</v>
      </c>
    </row>
    <row r="120" spans="1:46" ht="78" x14ac:dyDescent="0.3">
      <c r="A120" s="4" t="s">
        <v>611</v>
      </c>
      <c r="B120" t="s">
        <v>47</v>
      </c>
      <c r="C120" s="4" t="s">
        <v>397</v>
      </c>
      <c r="D120" s="4" t="s">
        <v>612</v>
      </c>
      <c r="E120" s="4" t="s">
        <v>66</v>
      </c>
      <c r="F120" s="5" t="s">
        <v>613</v>
      </c>
      <c r="G120" s="5" t="s">
        <v>614</v>
      </c>
      <c r="H120" t="s">
        <v>47</v>
      </c>
      <c r="I120" s="3">
        <v>40725</v>
      </c>
      <c r="J120" s="5" t="s">
        <v>50</v>
      </c>
      <c r="K120" t="s">
        <v>47</v>
      </c>
      <c r="L120" s="5" t="s">
        <v>60</v>
      </c>
      <c r="M120" s="3">
        <v>41091</v>
      </c>
      <c r="N120" s="5" t="s">
        <v>50</v>
      </c>
      <c r="O120" t="s">
        <v>47</v>
      </c>
      <c r="P120" s="3">
        <v>40725</v>
      </c>
      <c r="Q120" s="5" t="s">
        <v>50</v>
      </c>
      <c r="R120" t="s">
        <v>47</v>
      </c>
      <c r="S120" t="s">
        <v>47</v>
      </c>
      <c r="T120" t="s">
        <v>47</v>
      </c>
      <c r="U120" t="s">
        <v>47</v>
      </c>
      <c r="V120" s="5">
        <v>365</v>
      </c>
      <c r="W120" s="3">
        <v>40725</v>
      </c>
      <c r="X120" s="5" t="s">
        <v>50</v>
      </c>
      <c r="Y120" t="s">
        <v>47</v>
      </c>
      <c r="Z120" s="3">
        <v>40725</v>
      </c>
      <c r="AA120" s="5" t="s">
        <v>50</v>
      </c>
      <c r="AB120" t="s">
        <v>47</v>
      </c>
      <c r="AC120" s="3">
        <v>40725</v>
      </c>
      <c r="AD120" s="5" t="s">
        <v>50</v>
      </c>
      <c r="AE120" t="s">
        <v>47</v>
      </c>
      <c r="AF120" t="s">
        <v>47</v>
      </c>
      <c r="AG120" t="s">
        <v>47</v>
      </c>
      <c r="AH120" t="s">
        <v>47</v>
      </c>
      <c r="AI120" t="s">
        <v>47</v>
      </c>
      <c r="AJ120" t="s">
        <v>47</v>
      </c>
      <c r="AK120" t="s">
        <v>47</v>
      </c>
      <c r="AL120" t="s">
        <v>47</v>
      </c>
      <c r="AM120" t="s">
        <v>47</v>
      </c>
      <c r="AN120" t="s">
        <v>47</v>
      </c>
      <c r="AO120" s="5" t="s">
        <v>60</v>
      </c>
      <c r="AP120" s="4" t="s">
        <v>61</v>
      </c>
      <c r="AQ120" t="s">
        <v>47</v>
      </c>
      <c r="AR120" s="4" t="s">
        <v>436</v>
      </c>
      <c r="AS120" s="5">
        <v>1596390</v>
      </c>
      <c r="AT120" t="s">
        <v>47</v>
      </c>
    </row>
    <row r="121" spans="1:46" ht="39" x14ac:dyDescent="0.3">
      <c r="A121" s="4" t="s">
        <v>615</v>
      </c>
      <c r="B121" t="s">
        <v>47</v>
      </c>
      <c r="C121" s="4" t="s">
        <v>616</v>
      </c>
      <c r="D121" s="4" t="s">
        <v>617</v>
      </c>
      <c r="E121" s="4" t="s">
        <v>58</v>
      </c>
      <c r="F121" s="5" t="s">
        <v>618</v>
      </c>
      <c r="G121" t="s">
        <v>47</v>
      </c>
      <c r="H121" t="s">
        <v>47</v>
      </c>
      <c r="I121" s="3">
        <v>35977</v>
      </c>
      <c r="J121" s="3">
        <v>43647</v>
      </c>
      <c r="K121" t="s">
        <v>47</v>
      </c>
      <c r="L121" s="5" t="s">
        <v>51</v>
      </c>
      <c r="M121" s="3">
        <v>35977</v>
      </c>
      <c r="N121" s="3">
        <v>43647</v>
      </c>
      <c r="O121" t="s">
        <v>47</v>
      </c>
      <c r="P121" s="3">
        <v>35977</v>
      </c>
      <c r="Q121" s="3">
        <v>43647</v>
      </c>
      <c r="R121" t="s">
        <v>47</v>
      </c>
      <c r="S121" t="s">
        <v>47</v>
      </c>
      <c r="T121" t="s">
        <v>47</v>
      </c>
      <c r="U121" t="s">
        <v>47</v>
      </c>
      <c r="V121" t="s">
        <v>47</v>
      </c>
      <c r="W121" s="3">
        <v>35977</v>
      </c>
      <c r="X121" s="3">
        <v>43647</v>
      </c>
      <c r="Y121" t="s">
        <v>47</v>
      </c>
      <c r="Z121" s="3">
        <v>35977</v>
      </c>
      <c r="AA121" s="3">
        <v>43647</v>
      </c>
      <c r="AB121" t="s">
        <v>47</v>
      </c>
      <c r="AC121" s="3">
        <v>36161</v>
      </c>
      <c r="AD121" s="3">
        <v>43647</v>
      </c>
      <c r="AE121" t="s">
        <v>47</v>
      </c>
      <c r="AF121" t="s">
        <v>47</v>
      </c>
      <c r="AG121" t="s">
        <v>47</v>
      </c>
      <c r="AH121" t="s">
        <v>47</v>
      </c>
      <c r="AI121" t="s">
        <v>47</v>
      </c>
      <c r="AJ121" t="s">
        <v>47</v>
      </c>
      <c r="AK121" t="s">
        <v>47</v>
      </c>
      <c r="AL121" t="s">
        <v>47</v>
      </c>
      <c r="AM121" t="s">
        <v>47</v>
      </c>
      <c r="AN121" t="s">
        <v>47</v>
      </c>
      <c r="AO121" s="5" t="s">
        <v>51</v>
      </c>
      <c r="AP121" s="4" t="s">
        <v>135</v>
      </c>
      <c r="AQ121" s="4" t="s">
        <v>53</v>
      </c>
      <c r="AR121" s="4" t="s">
        <v>619</v>
      </c>
      <c r="AS121" s="5">
        <v>46063</v>
      </c>
      <c r="AT121" t="s">
        <v>47</v>
      </c>
    </row>
    <row r="122" spans="1:46" ht="78" x14ac:dyDescent="0.3">
      <c r="A122" s="4" t="s">
        <v>620</v>
      </c>
      <c r="B122" t="s">
        <v>47</v>
      </c>
      <c r="C122" s="4" t="s">
        <v>621</v>
      </c>
      <c r="D122" s="4" t="s">
        <v>622</v>
      </c>
      <c r="E122" s="4" t="s">
        <v>58</v>
      </c>
      <c r="F122" s="5" t="s">
        <v>623</v>
      </c>
      <c r="G122" s="5" t="s">
        <v>624</v>
      </c>
      <c r="H122" t="s">
        <v>47</v>
      </c>
      <c r="I122" s="3">
        <v>38504</v>
      </c>
      <c r="J122" s="3">
        <v>39234</v>
      </c>
      <c r="K122" t="s">
        <v>47</v>
      </c>
      <c r="L122" s="5" t="s">
        <v>60</v>
      </c>
      <c r="M122" t="s">
        <v>47</v>
      </c>
      <c r="N122" t="s">
        <v>47</v>
      </c>
      <c r="O122" t="s">
        <v>47</v>
      </c>
      <c r="P122" s="3">
        <v>38504</v>
      </c>
      <c r="Q122" s="3">
        <v>39234</v>
      </c>
      <c r="R122" t="s">
        <v>47</v>
      </c>
      <c r="S122" t="s">
        <v>47</v>
      </c>
      <c r="T122" t="s">
        <v>47</v>
      </c>
      <c r="U122" t="s">
        <v>47</v>
      </c>
      <c r="V122" t="s">
        <v>47</v>
      </c>
      <c r="W122" s="3">
        <v>38504</v>
      </c>
      <c r="X122" s="3">
        <v>39234</v>
      </c>
      <c r="Y122" t="s">
        <v>47</v>
      </c>
      <c r="Z122" s="3">
        <v>38504</v>
      </c>
      <c r="AA122" s="3">
        <v>39234</v>
      </c>
      <c r="AB122" t="s">
        <v>47</v>
      </c>
      <c r="AC122" s="3">
        <v>38504</v>
      </c>
      <c r="AD122" s="3">
        <v>39234</v>
      </c>
      <c r="AE122" t="s">
        <v>47</v>
      </c>
      <c r="AF122" t="s">
        <v>47</v>
      </c>
      <c r="AG122" t="s">
        <v>47</v>
      </c>
      <c r="AH122" t="s">
        <v>47</v>
      </c>
      <c r="AI122" t="s">
        <v>47</v>
      </c>
      <c r="AJ122" t="s">
        <v>47</v>
      </c>
      <c r="AK122" t="s">
        <v>47</v>
      </c>
      <c r="AL122" t="s">
        <v>47</v>
      </c>
      <c r="AM122" t="s">
        <v>47</v>
      </c>
      <c r="AN122" t="s">
        <v>47</v>
      </c>
      <c r="AO122" s="5" t="s">
        <v>60</v>
      </c>
      <c r="AP122" s="4" t="s">
        <v>61</v>
      </c>
      <c r="AQ122" s="4" t="s">
        <v>53</v>
      </c>
      <c r="AR122" s="4" t="s">
        <v>436</v>
      </c>
      <c r="AS122" s="5">
        <v>28373</v>
      </c>
      <c r="AT122" t="s">
        <v>47</v>
      </c>
    </row>
    <row r="123" spans="1:46" ht="39" x14ac:dyDescent="0.3">
      <c r="A123" s="4" t="s">
        <v>625</v>
      </c>
      <c r="B123" t="s">
        <v>47</v>
      </c>
      <c r="C123" s="4" t="s">
        <v>169</v>
      </c>
      <c r="D123" s="4" t="s">
        <v>626</v>
      </c>
      <c r="E123" s="4" t="s">
        <v>66</v>
      </c>
      <c r="F123" s="5" t="s">
        <v>627</v>
      </c>
      <c r="G123" s="5" t="s">
        <v>628</v>
      </c>
      <c r="H123" t="s">
        <v>47</v>
      </c>
      <c r="I123" s="3">
        <v>40238</v>
      </c>
      <c r="J123" s="3">
        <v>41974</v>
      </c>
      <c r="K123" t="s">
        <v>47</v>
      </c>
      <c r="L123" s="5" t="s">
        <v>60</v>
      </c>
      <c r="M123" s="3">
        <v>40238</v>
      </c>
      <c r="N123" s="3">
        <v>41974</v>
      </c>
      <c r="O123" t="s">
        <v>47</v>
      </c>
      <c r="P123" s="3">
        <v>40238</v>
      </c>
      <c r="Q123" s="3">
        <v>41974</v>
      </c>
      <c r="R123" t="s">
        <v>47</v>
      </c>
      <c r="S123" t="s">
        <v>47</v>
      </c>
      <c r="T123" t="s">
        <v>47</v>
      </c>
      <c r="U123" t="s">
        <v>47</v>
      </c>
      <c r="V123" t="s">
        <v>47</v>
      </c>
      <c r="W123" s="3">
        <v>40238</v>
      </c>
      <c r="X123" s="3">
        <v>41974</v>
      </c>
      <c r="Y123" t="s">
        <v>47</v>
      </c>
      <c r="Z123" s="3">
        <v>40238</v>
      </c>
      <c r="AA123" s="3">
        <v>41974</v>
      </c>
      <c r="AB123" t="s">
        <v>47</v>
      </c>
      <c r="AC123" s="3">
        <v>41153</v>
      </c>
      <c r="AD123" s="3">
        <v>41974</v>
      </c>
      <c r="AE123" t="s">
        <v>47</v>
      </c>
      <c r="AF123" t="s">
        <v>47</v>
      </c>
      <c r="AG123" t="s">
        <v>47</v>
      </c>
      <c r="AH123" t="s">
        <v>47</v>
      </c>
      <c r="AI123" t="s">
        <v>47</v>
      </c>
      <c r="AJ123" t="s">
        <v>47</v>
      </c>
      <c r="AK123" t="s">
        <v>47</v>
      </c>
      <c r="AL123" t="s">
        <v>47</v>
      </c>
      <c r="AM123" t="s">
        <v>47</v>
      </c>
      <c r="AN123" t="s">
        <v>47</v>
      </c>
      <c r="AO123" s="5" t="s">
        <v>60</v>
      </c>
      <c r="AP123" s="4" t="s">
        <v>61</v>
      </c>
      <c r="AQ123" s="4" t="s">
        <v>53</v>
      </c>
      <c r="AR123" s="4" t="s">
        <v>385</v>
      </c>
      <c r="AS123" s="5">
        <v>75973</v>
      </c>
      <c r="AT123" t="s">
        <v>47</v>
      </c>
    </row>
    <row r="124" spans="1:46" ht="65" x14ac:dyDescent="0.3">
      <c r="A124" s="4" t="s">
        <v>629</v>
      </c>
      <c r="B124" t="s">
        <v>47</v>
      </c>
      <c r="C124" s="4" t="s">
        <v>630</v>
      </c>
      <c r="D124" s="4" t="s">
        <v>631</v>
      </c>
      <c r="E124" s="4" t="s">
        <v>58</v>
      </c>
      <c r="F124" s="5" t="s">
        <v>632</v>
      </c>
      <c r="G124" t="s">
        <v>47</v>
      </c>
      <c r="H124" t="s">
        <v>47</v>
      </c>
      <c r="I124" s="3">
        <v>36130</v>
      </c>
      <c r="J124" s="3">
        <v>42795</v>
      </c>
      <c r="K124" t="s">
        <v>47</v>
      </c>
      <c r="L124" s="5" t="s">
        <v>60</v>
      </c>
      <c r="M124" s="3">
        <v>36130</v>
      </c>
      <c r="N124" s="3">
        <v>42795</v>
      </c>
      <c r="O124" t="s">
        <v>47</v>
      </c>
      <c r="P124" s="3">
        <v>36130</v>
      </c>
      <c r="Q124" s="3">
        <v>42795</v>
      </c>
      <c r="R124" t="s">
        <v>47</v>
      </c>
      <c r="S124" t="s">
        <v>47</v>
      </c>
      <c r="T124" t="s">
        <v>47</v>
      </c>
      <c r="U124" t="s">
        <v>47</v>
      </c>
      <c r="V124" t="s">
        <v>47</v>
      </c>
      <c r="W124" s="3">
        <v>36130</v>
      </c>
      <c r="X124" s="3">
        <v>42795</v>
      </c>
      <c r="Y124" t="s">
        <v>47</v>
      </c>
      <c r="Z124" s="3">
        <v>36130</v>
      </c>
      <c r="AA124" s="3">
        <v>42795</v>
      </c>
      <c r="AB124" t="s">
        <v>47</v>
      </c>
      <c r="AC124" s="3">
        <v>37043</v>
      </c>
      <c r="AD124" s="3">
        <v>42795</v>
      </c>
      <c r="AE124" t="s">
        <v>47</v>
      </c>
      <c r="AF124" t="s">
        <v>47</v>
      </c>
      <c r="AG124" t="s">
        <v>47</v>
      </c>
      <c r="AH124" t="s">
        <v>47</v>
      </c>
      <c r="AI124" t="s">
        <v>47</v>
      </c>
      <c r="AJ124" t="s">
        <v>47</v>
      </c>
      <c r="AK124" t="s">
        <v>47</v>
      </c>
      <c r="AL124" t="s">
        <v>47</v>
      </c>
      <c r="AM124" t="s">
        <v>47</v>
      </c>
      <c r="AN124" t="s">
        <v>47</v>
      </c>
      <c r="AO124" s="5" t="s">
        <v>60</v>
      </c>
      <c r="AP124" s="4" t="s">
        <v>61</v>
      </c>
      <c r="AQ124" s="4" t="s">
        <v>53</v>
      </c>
      <c r="AR124" s="4" t="s">
        <v>633</v>
      </c>
      <c r="AS124" s="5">
        <v>33443</v>
      </c>
      <c r="AT124" t="s">
        <v>47</v>
      </c>
    </row>
    <row r="125" spans="1:46" ht="13" x14ac:dyDescent="0.3">
      <c r="A125" s="4" t="s">
        <v>634</v>
      </c>
      <c r="B125" t="s">
        <v>47</v>
      </c>
      <c r="C125" s="4" t="s">
        <v>122</v>
      </c>
      <c r="D125" s="4" t="s">
        <v>206</v>
      </c>
      <c r="E125" s="4" t="s">
        <v>123</v>
      </c>
      <c r="F125" s="5" t="s">
        <v>635</v>
      </c>
      <c r="G125" s="5" t="s">
        <v>636</v>
      </c>
      <c r="H125" t="s">
        <v>47</v>
      </c>
      <c r="I125" s="3">
        <v>35521</v>
      </c>
      <c r="J125" s="5" t="s">
        <v>50</v>
      </c>
      <c r="K125" t="s">
        <v>47</v>
      </c>
      <c r="L125" s="5" t="s">
        <v>60</v>
      </c>
      <c r="M125" s="3">
        <v>37104</v>
      </c>
      <c r="N125" s="5" t="s">
        <v>50</v>
      </c>
      <c r="O125" s="5" t="s">
        <v>637</v>
      </c>
      <c r="P125" s="3">
        <v>35521</v>
      </c>
      <c r="Q125" s="5" t="s">
        <v>50</v>
      </c>
      <c r="R125" t="s">
        <v>47</v>
      </c>
      <c r="S125" t="s">
        <v>47</v>
      </c>
      <c r="T125" t="s">
        <v>47</v>
      </c>
      <c r="U125" t="s">
        <v>47</v>
      </c>
      <c r="V125" s="5">
        <v>365</v>
      </c>
      <c r="W125" s="3">
        <v>35521</v>
      </c>
      <c r="X125" s="5" t="s">
        <v>50</v>
      </c>
      <c r="Y125" t="s">
        <v>47</v>
      </c>
      <c r="Z125" s="3">
        <v>35521</v>
      </c>
      <c r="AA125" s="5" t="s">
        <v>50</v>
      </c>
      <c r="AB125" t="s">
        <v>47</v>
      </c>
      <c r="AC125" s="3">
        <v>35765</v>
      </c>
      <c r="AD125" s="5" t="s">
        <v>50</v>
      </c>
      <c r="AE125" t="s">
        <v>47</v>
      </c>
      <c r="AF125" t="s">
        <v>47</v>
      </c>
      <c r="AG125" t="s">
        <v>47</v>
      </c>
      <c r="AH125" t="s">
        <v>47</v>
      </c>
      <c r="AI125" t="s">
        <v>47</v>
      </c>
      <c r="AJ125" t="s">
        <v>47</v>
      </c>
      <c r="AK125" t="s">
        <v>47</v>
      </c>
      <c r="AL125" t="s">
        <v>47</v>
      </c>
      <c r="AM125" t="s">
        <v>47</v>
      </c>
      <c r="AN125" t="s">
        <v>47</v>
      </c>
      <c r="AO125" s="5" t="s">
        <v>60</v>
      </c>
      <c r="AP125" s="4" t="s">
        <v>61</v>
      </c>
      <c r="AQ125" s="4" t="s">
        <v>53</v>
      </c>
      <c r="AR125" s="4" t="s">
        <v>54</v>
      </c>
      <c r="AS125" s="5">
        <v>2042931</v>
      </c>
      <c r="AT125" t="s">
        <v>47</v>
      </c>
    </row>
    <row r="126" spans="1:46" ht="26" x14ac:dyDescent="0.3">
      <c r="A126" s="4" t="s">
        <v>638</v>
      </c>
      <c r="B126" t="s">
        <v>47</v>
      </c>
      <c r="C126" s="4" t="s">
        <v>639</v>
      </c>
      <c r="D126" s="4" t="s">
        <v>57</v>
      </c>
      <c r="E126" s="4" t="s">
        <v>58</v>
      </c>
      <c r="F126" s="5" t="s">
        <v>640</v>
      </c>
      <c r="G126" t="s">
        <v>47</v>
      </c>
      <c r="H126" t="s">
        <v>47</v>
      </c>
      <c r="I126" s="3">
        <v>42095</v>
      </c>
      <c r="J126" s="5" t="s">
        <v>50</v>
      </c>
      <c r="K126" t="s">
        <v>47</v>
      </c>
      <c r="L126" s="5" t="s">
        <v>51</v>
      </c>
      <c r="M126" s="3">
        <v>42095</v>
      </c>
      <c r="N126" s="5" t="s">
        <v>50</v>
      </c>
      <c r="O126" t="s">
        <v>47</v>
      </c>
      <c r="P126" s="3">
        <v>42095</v>
      </c>
      <c r="Q126" s="5" t="s">
        <v>50</v>
      </c>
      <c r="R126" t="s">
        <v>47</v>
      </c>
      <c r="S126" t="s">
        <v>47</v>
      </c>
      <c r="T126" t="s">
        <v>47</v>
      </c>
      <c r="U126" t="s">
        <v>47</v>
      </c>
      <c r="V126" t="s">
        <v>47</v>
      </c>
      <c r="W126" s="3">
        <v>42095</v>
      </c>
      <c r="X126" s="5" t="s">
        <v>50</v>
      </c>
      <c r="Y126" t="s">
        <v>47</v>
      </c>
      <c r="Z126" s="3">
        <v>42095</v>
      </c>
      <c r="AA126" s="5" t="s">
        <v>50</v>
      </c>
      <c r="AB126" t="s">
        <v>47</v>
      </c>
      <c r="AC126" s="3">
        <v>42095</v>
      </c>
      <c r="AD126" s="5" t="s">
        <v>50</v>
      </c>
      <c r="AE126" t="s">
        <v>47</v>
      </c>
      <c r="AF126" t="s">
        <v>47</v>
      </c>
      <c r="AG126" t="s">
        <v>47</v>
      </c>
      <c r="AH126" t="s">
        <v>47</v>
      </c>
      <c r="AI126" t="s">
        <v>47</v>
      </c>
      <c r="AJ126" t="s">
        <v>47</v>
      </c>
      <c r="AK126" t="s">
        <v>47</v>
      </c>
      <c r="AL126" t="s">
        <v>47</v>
      </c>
      <c r="AM126" t="s">
        <v>47</v>
      </c>
      <c r="AN126" t="s">
        <v>47</v>
      </c>
      <c r="AO126" s="5" t="s">
        <v>51</v>
      </c>
      <c r="AP126" s="4" t="s">
        <v>135</v>
      </c>
      <c r="AQ126" s="4" t="s">
        <v>53</v>
      </c>
      <c r="AR126" s="4" t="s">
        <v>641</v>
      </c>
      <c r="AS126" s="5">
        <v>2044486</v>
      </c>
      <c r="AT126" t="s">
        <v>47</v>
      </c>
    </row>
    <row r="127" spans="1:46" ht="39" x14ac:dyDescent="0.3">
      <c r="A127" s="4" t="s">
        <v>642</v>
      </c>
      <c r="B127" t="s">
        <v>47</v>
      </c>
      <c r="C127" s="4" t="s">
        <v>621</v>
      </c>
      <c r="D127" s="4" t="s">
        <v>643</v>
      </c>
      <c r="E127" s="4" t="s">
        <v>58</v>
      </c>
      <c r="F127" s="5" t="s">
        <v>644</v>
      </c>
      <c r="G127" t="s">
        <v>47</v>
      </c>
      <c r="H127" t="s">
        <v>47</v>
      </c>
      <c r="I127" s="3">
        <v>38443</v>
      </c>
      <c r="J127" s="5" t="s">
        <v>50</v>
      </c>
      <c r="K127" t="s">
        <v>47</v>
      </c>
      <c r="L127" s="5" t="s">
        <v>60</v>
      </c>
      <c r="M127" s="3">
        <v>39264</v>
      </c>
      <c r="N127" s="5" t="s">
        <v>50</v>
      </c>
      <c r="O127" t="s">
        <v>47</v>
      </c>
      <c r="P127" s="3">
        <v>38443</v>
      </c>
      <c r="Q127" s="5" t="s">
        <v>50</v>
      </c>
      <c r="R127" t="s">
        <v>47</v>
      </c>
      <c r="S127" t="s">
        <v>47</v>
      </c>
      <c r="T127" t="s">
        <v>47</v>
      </c>
      <c r="U127" t="s">
        <v>47</v>
      </c>
      <c r="V127" t="s">
        <v>47</v>
      </c>
      <c r="W127" s="3">
        <v>38443</v>
      </c>
      <c r="X127" s="5" t="s">
        <v>50</v>
      </c>
      <c r="Y127" t="s">
        <v>47</v>
      </c>
      <c r="Z127" s="3">
        <v>38443</v>
      </c>
      <c r="AA127" s="5" t="s">
        <v>50</v>
      </c>
      <c r="AB127" t="s">
        <v>47</v>
      </c>
      <c r="AC127" s="3">
        <v>38443</v>
      </c>
      <c r="AD127" s="5" t="s">
        <v>50</v>
      </c>
      <c r="AE127" t="s">
        <v>47</v>
      </c>
      <c r="AF127" t="s">
        <v>47</v>
      </c>
      <c r="AG127" t="s">
        <v>47</v>
      </c>
      <c r="AH127" t="s">
        <v>47</v>
      </c>
      <c r="AI127" t="s">
        <v>47</v>
      </c>
      <c r="AJ127" t="s">
        <v>47</v>
      </c>
      <c r="AK127" t="s">
        <v>47</v>
      </c>
      <c r="AL127" t="s">
        <v>47</v>
      </c>
      <c r="AM127" t="s">
        <v>47</v>
      </c>
      <c r="AN127" t="s">
        <v>47</v>
      </c>
      <c r="AO127" s="5" t="s">
        <v>60</v>
      </c>
      <c r="AP127" s="4" t="s">
        <v>61</v>
      </c>
      <c r="AQ127" s="4" t="s">
        <v>53</v>
      </c>
      <c r="AR127" s="4" t="s">
        <v>186</v>
      </c>
      <c r="AS127" s="5">
        <v>25751</v>
      </c>
      <c r="AT127" t="s">
        <v>47</v>
      </c>
    </row>
    <row r="128" spans="1:46" ht="26" x14ac:dyDescent="0.3">
      <c r="A128" s="4" t="s">
        <v>645</v>
      </c>
      <c r="B128" t="s">
        <v>47</v>
      </c>
      <c r="C128" s="4" t="s">
        <v>621</v>
      </c>
      <c r="D128" s="4" t="s">
        <v>646</v>
      </c>
      <c r="E128" s="4" t="s">
        <v>58</v>
      </c>
      <c r="F128" s="5" t="s">
        <v>647</v>
      </c>
      <c r="G128" s="5" t="s">
        <v>648</v>
      </c>
      <c r="H128" t="s">
        <v>47</v>
      </c>
      <c r="I128" s="3">
        <v>38443</v>
      </c>
      <c r="J128" s="3">
        <v>39173</v>
      </c>
      <c r="K128" t="s">
        <v>47</v>
      </c>
      <c r="L128" s="5" t="s">
        <v>60</v>
      </c>
      <c r="M128" t="s">
        <v>47</v>
      </c>
      <c r="N128" t="s">
        <v>47</v>
      </c>
      <c r="O128" t="s">
        <v>47</v>
      </c>
      <c r="P128" s="3">
        <v>38443</v>
      </c>
      <c r="Q128" s="3">
        <v>39173</v>
      </c>
      <c r="R128" t="s">
        <v>47</v>
      </c>
      <c r="S128" t="s">
        <v>47</v>
      </c>
      <c r="T128" t="s">
        <v>47</v>
      </c>
      <c r="U128" t="s">
        <v>47</v>
      </c>
      <c r="V128" t="s">
        <v>47</v>
      </c>
      <c r="W128" s="3">
        <v>38443</v>
      </c>
      <c r="X128" s="3">
        <v>39173</v>
      </c>
      <c r="Y128" t="s">
        <v>47</v>
      </c>
      <c r="Z128" s="3">
        <v>38443</v>
      </c>
      <c r="AA128" s="3">
        <v>39173</v>
      </c>
      <c r="AB128" t="s">
        <v>47</v>
      </c>
      <c r="AC128" s="3">
        <v>38443</v>
      </c>
      <c r="AD128" s="3">
        <v>39173</v>
      </c>
      <c r="AE128" t="s">
        <v>47</v>
      </c>
      <c r="AF128" t="s">
        <v>47</v>
      </c>
      <c r="AG128" t="s">
        <v>47</v>
      </c>
      <c r="AH128" t="s">
        <v>47</v>
      </c>
      <c r="AI128" t="s">
        <v>47</v>
      </c>
      <c r="AJ128" t="s">
        <v>47</v>
      </c>
      <c r="AK128" t="s">
        <v>47</v>
      </c>
      <c r="AL128" t="s">
        <v>47</v>
      </c>
      <c r="AM128" t="s">
        <v>47</v>
      </c>
      <c r="AN128" t="s">
        <v>47</v>
      </c>
      <c r="AO128" s="5" t="s">
        <v>60</v>
      </c>
      <c r="AP128" s="4" t="s">
        <v>61</v>
      </c>
      <c r="AQ128" s="4" t="s">
        <v>53</v>
      </c>
      <c r="AR128" s="4" t="s">
        <v>649</v>
      </c>
      <c r="AS128" s="5">
        <v>28399</v>
      </c>
      <c r="AT128" t="s">
        <v>47</v>
      </c>
    </row>
    <row r="129" spans="1:46" ht="13" x14ac:dyDescent="0.3">
      <c r="A129" s="4" t="s">
        <v>650</v>
      </c>
      <c r="B129" t="s">
        <v>47</v>
      </c>
      <c r="C129" s="4" t="s">
        <v>64</v>
      </c>
      <c r="D129" s="4" t="s">
        <v>139</v>
      </c>
      <c r="E129" s="4" t="s">
        <v>66</v>
      </c>
      <c r="F129" s="5" t="s">
        <v>651</v>
      </c>
      <c r="G129" s="5" t="s">
        <v>652</v>
      </c>
      <c r="H129" t="s">
        <v>47</v>
      </c>
      <c r="I129" s="3">
        <v>38443</v>
      </c>
      <c r="J129" s="3">
        <v>43405</v>
      </c>
      <c r="K129" t="s">
        <v>47</v>
      </c>
      <c r="L129" s="5" t="s">
        <v>60</v>
      </c>
      <c r="M129" s="3">
        <v>39387</v>
      </c>
      <c r="N129" s="3">
        <v>43405</v>
      </c>
      <c r="O129" s="5" t="s">
        <v>653</v>
      </c>
      <c r="P129" s="3">
        <v>38443</v>
      </c>
      <c r="Q129" s="3">
        <v>43405</v>
      </c>
      <c r="R129" t="s">
        <v>47</v>
      </c>
      <c r="S129" t="s">
        <v>47</v>
      </c>
      <c r="T129" t="s">
        <v>47</v>
      </c>
      <c r="U129" t="s">
        <v>47</v>
      </c>
      <c r="V129" t="s">
        <v>47</v>
      </c>
      <c r="W129" s="3">
        <v>30042</v>
      </c>
      <c r="X129" s="5" t="s">
        <v>50</v>
      </c>
      <c r="Y129" t="s">
        <v>47</v>
      </c>
      <c r="Z129" s="3">
        <v>30042</v>
      </c>
      <c r="AA129" s="5" t="s">
        <v>50</v>
      </c>
      <c r="AB129" t="s">
        <v>47</v>
      </c>
      <c r="AC129" s="3">
        <v>38443</v>
      </c>
      <c r="AD129" s="5" t="s">
        <v>50</v>
      </c>
      <c r="AE129" t="s">
        <v>47</v>
      </c>
      <c r="AF129" t="s">
        <v>47</v>
      </c>
      <c r="AG129" t="s">
        <v>47</v>
      </c>
      <c r="AH129" t="s">
        <v>47</v>
      </c>
      <c r="AI129" t="s">
        <v>47</v>
      </c>
      <c r="AJ129" t="s">
        <v>47</v>
      </c>
      <c r="AK129" t="s">
        <v>47</v>
      </c>
      <c r="AL129" t="s">
        <v>47</v>
      </c>
      <c r="AM129" t="s">
        <v>47</v>
      </c>
      <c r="AN129" t="s">
        <v>47</v>
      </c>
      <c r="AO129" s="5" t="s">
        <v>60</v>
      </c>
      <c r="AP129" s="4" t="s">
        <v>61</v>
      </c>
      <c r="AQ129" s="4" t="s">
        <v>53</v>
      </c>
      <c r="AR129" s="4" t="s">
        <v>54</v>
      </c>
      <c r="AS129" s="5">
        <v>36691</v>
      </c>
      <c r="AT129" t="s">
        <v>47</v>
      </c>
    </row>
    <row r="130" spans="1:46" ht="52" x14ac:dyDescent="0.3">
      <c r="A130" s="4" t="s">
        <v>654</v>
      </c>
      <c r="B130" t="s">
        <v>47</v>
      </c>
      <c r="C130" s="4" t="s">
        <v>397</v>
      </c>
      <c r="D130" s="4" t="s">
        <v>655</v>
      </c>
      <c r="E130" s="4" t="s">
        <v>66</v>
      </c>
      <c r="F130" s="5" t="s">
        <v>656</v>
      </c>
      <c r="G130" s="5" t="s">
        <v>657</v>
      </c>
      <c r="H130" t="s">
        <v>47</v>
      </c>
      <c r="I130" s="3">
        <v>40725</v>
      </c>
      <c r="J130" s="5" t="s">
        <v>50</v>
      </c>
      <c r="K130" t="s">
        <v>47</v>
      </c>
      <c r="L130" s="5" t="s">
        <v>60</v>
      </c>
      <c r="M130" s="3">
        <v>41091</v>
      </c>
      <c r="N130" s="5" t="s">
        <v>50</v>
      </c>
      <c r="O130" t="s">
        <v>47</v>
      </c>
      <c r="P130" s="3">
        <v>40725</v>
      </c>
      <c r="Q130" s="5" t="s">
        <v>50</v>
      </c>
      <c r="R130" t="s">
        <v>47</v>
      </c>
      <c r="S130" t="s">
        <v>47</v>
      </c>
      <c r="T130" t="s">
        <v>47</v>
      </c>
      <c r="U130" t="s">
        <v>47</v>
      </c>
      <c r="V130" s="5">
        <v>365</v>
      </c>
      <c r="W130" s="3">
        <v>40725</v>
      </c>
      <c r="X130" s="5" t="s">
        <v>50</v>
      </c>
      <c r="Y130" t="s">
        <v>47</v>
      </c>
      <c r="Z130" s="3">
        <v>40725</v>
      </c>
      <c r="AA130" s="5" t="s">
        <v>50</v>
      </c>
      <c r="AB130" t="s">
        <v>47</v>
      </c>
      <c r="AC130" s="3">
        <v>40725</v>
      </c>
      <c r="AD130" s="5" t="s">
        <v>50</v>
      </c>
      <c r="AE130" t="s">
        <v>47</v>
      </c>
      <c r="AF130" t="s">
        <v>47</v>
      </c>
      <c r="AG130" t="s">
        <v>47</v>
      </c>
      <c r="AH130" t="s">
        <v>47</v>
      </c>
      <c r="AI130" t="s">
        <v>47</v>
      </c>
      <c r="AJ130" t="s">
        <v>47</v>
      </c>
      <c r="AK130" t="s">
        <v>47</v>
      </c>
      <c r="AL130" t="s">
        <v>47</v>
      </c>
      <c r="AM130" t="s">
        <v>47</v>
      </c>
      <c r="AN130" t="s">
        <v>47</v>
      </c>
      <c r="AO130" s="5" t="s">
        <v>60</v>
      </c>
      <c r="AP130" s="4" t="s">
        <v>61</v>
      </c>
      <c r="AQ130" s="4" t="s">
        <v>53</v>
      </c>
      <c r="AR130" s="4" t="s">
        <v>658</v>
      </c>
      <c r="AS130" s="5">
        <v>1586360</v>
      </c>
      <c r="AT130" t="s">
        <v>47</v>
      </c>
    </row>
    <row r="131" spans="1:46" ht="52" x14ac:dyDescent="0.3">
      <c r="A131" s="4" t="s">
        <v>659</v>
      </c>
      <c r="B131" t="s">
        <v>47</v>
      </c>
      <c r="C131" s="4" t="s">
        <v>660</v>
      </c>
      <c r="D131" s="4" t="s">
        <v>661</v>
      </c>
      <c r="E131" s="4" t="s">
        <v>58</v>
      </c>
      <c r="F131" s="5" t="s">
        <v>662</v>
      </c>
      <c r="G131" s="5" t="s">
        <v>663</v>
      </c>
      <c r="H131" t="s">
        <v>47</v>
      </c>
      <c r="I131" s="3">
        <v>36526</v>
      </c>
      <c r="J131" s="5" t="s">
        <v>50</v>
      </c>
      <c r="K131" t="s">
        <v>47</v>
      </c>
      <c r="L131" s="5" t="s">
        <v>60</v>
      </c>
      <c r="M131" t="s">
        <v>47</v>
      </c>
      <c r="N131" t="s">
        <v>47</v>
      </c>
      <c r="O131" t="s">
        <v>47</v>
      </c>
      <c r="P131" s="3">
        <v>36526</v>
      </c>
      <c r="Q131" s="5" t="s">
        <v>50</v>
      </c>
      <c r="R131" t="s">
        <v>47</v>
      </c>
      <c r="S131" t="s">
        <v>47</v>
      </c>
      <c r="T131" t="s">
        <v>47</v>
      </c>
      <c r="U131" t="s">
        <v>47</v>
      </c>
      <c r="V131" t="s">
        <v>47</v>
      </c>
      <c r="W131" s="3">
        <v>36526</v>
      </c>
      <c r="X131" s="5" t="s">
        <v>50</v>
      </c>
      <c r="Y131" t="s">
        <v>47</v>
      </c>
      <c r="Z131" s="3">
        <v>36526</v>
      </c>
      <c r="AA131" s="5" t="s">
        <v>50</v>
      </c>
      <c r="AB131" t="s">
        <v>47</v>
      </c>
      <c r="AC131" s="3">
        <v>36526</v>
      </c>
      <c r="AD131" s="5" t="s">
        <v>50</v>
      </c>
      <c r="AE131" t="s">
        <v>47</v>
      </c>
      <c r="AF131" t="s">
        <v>47</v>
      </c>
      <c r="AG131" t="s">
        <v>47</v>
      </c>
      <c r="AH131" t="s">
        <v>47</v>
      </c>
      <c r="AI131" t="s">
        <v>47</v>
      </c>
      <c r="AJ131" t="s">
        <v>47</v>
      </c>
      <c r="AK131" t="s">
        <v>47</v>
      </c>
      <c r="AL131" t="s">
        <v>47</v>
      </c>
      <c r="AM131" t="s">
        <v>47</v>
      </c>
      <c r="AN131" t="s">
        <v>47</v>
      </c>
      <c r="AO131" s="5" t="s">
        <v>60</v>
      </c>
      <c r="AP131" s="4" t="s">
        <v>61</v>
      </c>
      <c r="AQ131" s="4" t="s">
        <v>53</v>
      </c>
      <c r="AR131" s="4" t="s">
        <v>664</v>
      </c>
      <c r="AS131" s="5">
        <v>2046269</v>
      </c>
      <c r="AT131" t="s">
        <v>47</v>
      </c>
    </row>
    <row r="132" spans="1:46" ht="78" x14ac:dyDescent="0.3">
      <c r="A132" s="4" t="s">
        <v>665</v>
      </c>
      <c r="B132" t="s">
        <v>47</v>
      </c>
      <c r="C132" s="4" t="s">
        <v>169</v>
      </c>
      <c r="D132" s="4" t="s">
        <v>666</v>
      </c>
      <c r="E132" s="4" t="s">
        <v>66</v>
      </c>
      <c r="F132" s="5" t="s">
        <v>667</v>
      </c>
      <c r="G132" s="5" t="s">
        <v>668</v>
      </c>
      <c r="H132" t="s">
        <v>47</v>
      </c>
      <c r="I132" t="s">
        <v>47</v>
      </c>
      <c r="J132" t="s">
        <v>47</v>
      </c>
      <c r="K132" t="s">
        <v>47</v>
      </c>
      <c r="L132" s="5" t="s">
        <v>60</v>
      </c>
      <c r="M132" t="s">
        <v>47</v>
      </c>
      <c r="N132" t="s">
        <v>47</v>
      </c>
      <c r="O132" t="s">
        <v>47</v>
      </c>
      <c r="P132" t="s">
        <v>47</v>
      </c>
      <c r="Q132" t="s">
        <v>47</v>
      </c>
      <c r="R132" t="s">
        <v>47</v>
      </c>
      <c r="S132" t="s">
        <v>47</v>
      </c>
      <c r="T132" t="s">
        <v>47</v>
      </c>
      <c r="U132" t="s">
        <v>47</v>
      </c>
      <c r="V132" t="s">
        <v>47</v>
      </c>
      <c r="W132" s="3">
        <v>40299</v>
      </c>
      <c r="X132" s="5" t="s">
        <v>50</v>
      </c>
      <c r="Y132" t="s">
        <v>47</v>
      </c>
      <c r="Z132" s="3">
        <v>40299</v>
      </c>
      <c r="AA132" s="5" t="s">
        <v>50</v>
      </c>
      <c r="AB132" t="s">
        <v>47</v>
      </c>
      <c r="AC132" s="3">
        <v>40299</v>
      </c>
      <c r="AD132" s="5" t="s">
        <v>50</v>
      </c>
      <c r="AE132" t="s">
        <v>47</v>
      </c>
      <c r="AF132" t="s">
        <v>47</v>
      </c>
      <c r="AG132" t="s">
        <v>47</v>
      </c>
      <c r="AH132" t="s">
        <v>47</v>
      </c>
      <c r="AI132" t="s">
        <v>47</v>
      </c>
      <c r="AJ132" t="s">
        <v>47</v>
      </c>
      <c r="AK132" t="s">
        <v>47</v>
      </c>
      <c r="AL132" t="s">
        <v>47</v>
      </c>
      <c r="AM132" t="s">
        <v>47</v>
      </c>
      <c r="AN132" t="s">
        <v>47</v>
      </c>
      <c r="AO132" s="5" t="s">
        <v>60</v>
      </c>
      <c r="AP132" s="4" t="s">
        <v>61</v>
      </c>
      <c r="AQ132" s="4" t="s">
        <v>53</v>
      </c>
      <c r="AR132" s="4" t="s">
        <v>436</v>
      </c>
      <c r="AS132" s="5">
        <v>186230</v>
      </c>
      <c r="AT132" t="s">
        <v>47</v>
      </c>
    </row>
    <row r="133" spans="1:46" ht="26" x14ac:dyDescent="0.3">
      <c r="A133" s="4" t="s">
        <v>669</v>
      </c>
      <c r="B133" t="s">
        <v>47</v>
      </c>
      <c r="C133" s="4" t="s">
        <v>621</v>
      </c>
      <c r="D133" s="4" t="s">
        <v>670</v>
      </c>
      <c r="E133" s="4" t="s">
        <v>58</v>
      </c>
      <c r="F133" s="5" t="s">
        <v>671</v>
      </c>
      <c r="G133" s="5" t="s">
        <v>672</v>
      </c>
      <c r="H133" t="s">
        <v>47</v>
      </c>
      <c r="I133" s="3">
        <v>40179</v>
      </c>
      <c r="J133" s="5" t="s">
        <v>50</v>
      </c>
      <c r="K133" t="s">
        <v>47</v>
      </c>
      <c r="L133" s="5" t="s">
        <v>60</v>
      </c>
      <c r="M133" s="3">
        <v>40179</v>
      </c>
      <c r="N133" s="5" t="s">
        <v>50</v>
      </c>
      <c r="O133" t="s">
        <v>47</v>
      </c>
      <c r="P133" s="3">
        <v>40179</v>
      </c>
      <c r="Q133" s="5" t="s">
        <v>50</v>
      </c>
      <c r="R133" t="s">
        <v>47</v>
      </c>
      <c r="S133" t="s">
        <v>47</v>
      </c>
      <c r="T133" t="s">
        <v>47</v>
      </c>
      <c r="U133" t="s">
        <v>47</v>
      </c>
      <c r="V133" t="s">
        <v>47</v>
      </c>
      <c r="W133" s="3">
        <v>40179</v>
      </c>
      <c r="X133" s="5" t="s">
        <v>50</v>
      </c>
      <c r="Y133" t="s">
        <v>47</v>
      </c>
      <c r="Z133" s="3">
        <v>40179</v>
      </c>
      <c r="AA133" s="5" t="s">
        <v>50</v>
      </c>
      <c r="AB133" t="s">
        <v>47</v>
      </c>
      <c r="AC133" s="3">
        <v>40179</v>
      </c>
      <c r="AD133" s="5" t="s">
        <v>50</v>
      </c>
      <c r="AE133" t="s">
        <v>47</v>
      </c>
      <c r="AF133" t="s">
        <v>47</v>
      </c>
      <c r="AG133" t="s">
        <v>47</v>
      </c>
      <c r="AH133" t="s">
        <v>47</v>
      </c>
      <c r="AI133" t="s">
        <v>47</v>
      </c>
      <c r="AJ133" t="s">
        <v>47</v>
      </c>
      <c r="AK133" t="s">
        <v>47</v>
      </c>
      <c r="AL133" t="s">
        <v>47</v>
      </c>
      <c r="AM133" t="s">
        <v>47</v>
      </c>
      <c r="AN133" t="s">
        <v>47</v>
      </c>
      <c r="AO133" s="5" t="s">
        <v>60</v>
      </c>
      <c r="AP133" s="4" t="s">
        <v>61</v>
      </c>
      <c r="AQ133" s="4" t="s">
        <v>53</v>
      </c>
      <c r="AR133" s="4" t="s">
        <v>395</v>
      </c>
      <c r="AS133" s="5">
        <v>426756</v>
      </c>
      <c r="AT133" t="s">
        <v>47</v>
      </c>
    </row>
    <row r="134" spans="1:46" ht="156" x14ac:dyDescent="0.3">
      <c r="A134" s="4" t="s">
        <v>673</v>
      </c>
      <c r="B134" t="s">
        <v>47</v>
      </c>
      <c r="C134" s="4" t="s">
        <v>397</v>
      </c>
      <c r="D134" s="4" t="s">
        <v>674</v>
      </c>
      <c r="E134" s="4" t="s">
        <v>66</v>
      </c>
      <c r="F134" s="5" t="s">
        <v>675</v>
      </c>
      <c r="G134" s="5" t="s">
        <v>676</v>
      </c>
      <c r="H134" t="s">
        <v>47</v>
      </c>
      <c r="I134" s="3">
        <v>40695</v>
      </c>
      <c r="J134" s="3">
        <v>44531</v>
      </c>
      <c r="K134" t="s">
        <v>47</v>
      </c>
      <c r="L134" s="5" t="s">
        <v>60</v>
      </c>
      <c r="M134" s="3">
        <v>41091</v>
      </c>
      <c r="N134" s="3">
        <v>44531</v>
      </c>
      <c r="O134" t="s">
        <v>47</v>
      </c>
      <c r="P134" s="3">
        <v>40695</v>
      </c>
      <c r="Q134" s="3">
        <v>44531</v>
      </c>
      <c r="R134" t="s">
        <v>47</v>
      </c>
      <c r="S134" t="s">
        <v>47</v>
      </c>
      <c r="T134" t="s">
        <v>47</v>
      </c>
      <c r="U134" t="s">
        <v>47</v>
      </c>
      <c r="V134" t="s">
        <v>47</v>
      </c>
      <c r="W134" s="3">
        <v>40695</v>
      </c>
      <c r="X134" s="3">
        <v>44531</v>
      </c>
      <c r="Y134" t="s">
        <v>47</v>
      </c>
      <c r="Z134" s="3">
        <v>40695</v>
      </c>
      <c r="AA134" s="3">
        <v>44531</v>
      </c>
      <c r="AB134" t="s">
        <v>47</v>
      </c>
      <c r="AC134" s="3">
        <v>40695</v>
      </c>
      <c r="AD134" s="3">
        <v>44531</v>
      </c>
      <c r="AE134" t="s">
        <v>47</v>
      </c>
      <c r="AF134" t="s">
        <v>47</v>
      </c>
      <c r="AG134" t="s">
        <v>47</v>
      </c>
      <c r="AH134" t="s">
        <v>47</v>
      </c>
      <c r="AI134" t="s">
        <v>47</v>
      </c>
      <c r="AJ134" t="s">
        <v>47</v>
      </c>
      <c r="AK134" t="s">
        <v>47</v>
      </c>
      <c r="AL134" t="s">
        <v>47</v>
      </c>
      <c r="AM134" t="s">
        <v>47</v>
      </c>
      <c r="AN134" t="s">
        <v>47</v>
      </c>
      <c r="AO134" s="5" t="s">
        <v>60</v>
      </c>
      <c r="AP134" s="4" t="s">
        <v>61</v>
      </c>
      <c r="AQ134" s="4" t="s">
        <v>53</v>
      </c>
      <c r="AR134" s="4" t="s">
        <v>677</v>
      </c>
      <c r="AS134" s="5">
        <v>1586359</v>
      </c>
      <c r="AT134" t="s">
        <v>47</v>
      </c>
    </row>
    <row r="135" spans="1:46" ht="39" x14ac:dyDescent="0.3">
      <c r="A135" s="4" t="s">
        <v>678</v>
      </c>
      <c r="B135" t="s">
        <v>47</v>
      </c>
      <c r="C135" s="4" t="s">
        <v>169</v>
      </c>
      <c r="D135" s="4" t="s">
        <v>626</v>
      </c>
      <c r="E135" s="4" t="s">
        <v>66</v>
      </c>
      <c r="F135" s="5" t="s">
        <v>679</v>
      </c>
      <c r="G135" s="5" t="s">
        <v>680</v>
      </c>
      <c r="H135" t="s">
        <v>47</v>
      </c>
      <c r="I135" s="3">
        <v>40391</v>
      </c>
      <c r="J135" s="3">
        <v>41944</v>
      </c>
      <c r="K135" t="s">
        <v>47</v>
      </c>
      <c r="L135" s="5" t="s">
        <v>60</v>
      </c>
      <c r="M135" s="3">
        <v>40391</v>
      </c>
      <c r="N135" s="3">
        <v>41944</v>
      </c>
      <c r="O135" t="s">
        <v>47</v>
      </c>
      <c r="P135" s="3">
        <v>40391</v>
      </c>
      <c r="Q135" s="3">
        <v>41944</v>
      </c>
      <c r="R135" t="s">
        <v>47</v>
      </c>
      <c r="S135" t="s">
        <v>47</v>
      </c>
      <c r="T135" t="s">
        <v>47</v>
      </c>
      <c r="U135" t="s">
        <v>47</v>
      </c>
      <c r="V135" t="s">
        <v>47</v>
      </c>
      <c r="W135" s="3">
        <v>40391</v>
      </c>
      <c r="X135" s="3">
        <v>41944</v>
      </c>
      <c r="Y135" t="s">
        <v>47</v>
      </c>
      <c r="Z135" s="3">
        <v>40391</v>
      </c>
      <c r="AA135" s="3">
        <v>41944</v>
      </c>
      <c r="AB135" t="s">
        <v>47</v>
      </c>
      <c r="AC135" t="s">
        <v>47</v>
      </c>
      <c r="AD135" t="s">
        <v>47</v>
      </c>
      <c r="AE135" t="s">
        <v>47</v>
      </c>
      <c r="AF135" t="s">
        <v>47</v>
      </c>
      <c r="AG135" t="s">
        <v>47</v>
      </c>
      <c r="AH135" t="s">
        <v>47</v>
      </c>
      <c r="AI135" t="s">
        <v>47</v>
      </c>
      <c r="AJ135" t="s">
        <v>47</v>
      </c>
      <c r="AK135" t="s">
        <v>47</v>
      </c>
      <c r="AL135" t="s">
        <v>47</v>
      </c>
      <c r="AM135" t="s">
        <v>47</v>
      </c>
      <c r="AN135" t="s">
        <v>47</v>
      </c>
      <c r="AO135" s="5" t="s">
        <v>60</v>
      </c>
      <c r="AP135" s="4" t="s">
        <v>61</v>
      </c>
      <c r="AQ135" s="4" t="s">
        <v>53</v>
      </c>
      <c r="AR135" s="4" t="s">
        <v>385</v>
      </c>
      <c r="AS135" s="5">
        <v>237729</v>
      </c>
      <c r="AT135" t="s">
        <v>47</v>
      </c>
    </row>
    <row r="136" spans="1:46" ht="65" x14ac:dyDescent="0.3">
      <c r="A136" s="4" t="s">
        <v>681</v>
      </c>
      <c r="B136" t="s">
        <v>47</v>
      </c>
      <c r="C136" s="4" t="s">
        <v>682</v>
      </c>
      <c r="D136" s="4" t="s">
        <v>643</v>
      </c>
      <c r="E136" s="4" t="s">
        <v>58</v>
      </c>
      <c r="F136" s="5" t="s">
        <v>683</v>
      </c>
      <c r="G136" t="s">
        <v>47</v>
      </c>
      <c r="H136" t="s">
        <v>47</v>
      </c>
      <c r="I136" s="3">
        <v>35735</v>
      </c>
      <c r="J136" s="3">
        <v>37956</v>
      </c>
      <c r="K136" t="s">
        <v>47</v>
      </c>
      <c r="L136" s="5" t="s">
        <v>60</v>
      </c>
      <c r="M136" s="3">
        <v>35735</v>
      </c>
      <c r="N136" s="3">
        <v>37956</v>
      </c>
      <c r="O136" t="s">
        <v>47</v>
      </c>
      <c r="P136" s="3">
        <v>35735</v>
      </c>
      <c r="Q136" s="3">
        <v>37956</v>
      </c>
      <c r="R136" t="s">
        <v>47</v>
      </c>
      <c r="S136" t="s">
        <v>47</v>
      </c>
      <c r="T136" t="s">
        <v>47</v>
      </c>
      <c r="U136" t="s">
        <v>47</v>
      </c>
      <c r="V136" t="s">
        <v>47</v>
      </c>
      <c r="W136" s="3">
        <v>35735</v>
      </c>
      <c r="X136" s="3">
        <v>37956</v>
      </c>
      <c r="Y136" t="s">
        <v>47</v>
      </c>
      <c r="Z136" s="3">
        <v>35735</v>
      </c>
      <c r="AA136" s="3">
        <v>37956</v>
      </c>
      <c r="AB136" t="s">
        <v>47</v>
      </c>
      <c r="AC136" s="3">
        <v>35735</v>
      </c>
      <c r="AD136" s="3">
        <v>37956</v>
      </c>
      <c r="AE136" t="s">
        <v>47</v>
      </c>
      <c r="AF136" t="s">
        <v>47</v>
      </c>
      <c r="AG136" t="s">
        <v>47</v>
      </c>
      <c r="AH136" t="s">
        <v>47</v>
      </c>
      <c r="AI136" t="s">
        <v>47</v>
      </c>
      <c r="AJ136" t="s">
        <v>47</v>
      </c>
      <c r="AK136" t="s">
        <v>47</v>
      </c>
      <c r="AL136" t="s">
        <v>47</v>
      </c>
      <c r="AM136" t="s">
        <v>47</v>
      </c>
      <c r="AN136" t="s">
        <v>47</v>
      </c>
      <c r="AO136" s="5" t="s">
        <v>60</v>
      </c>
      <c r="AP136" s="4" t="s">
        <v>61</v>
      </c>
      <c r="AQ136" s="4" t="s">
        <v>53</v>
      </c>
      <c r="AR136" s="4" t="s">
        <v>543</v>
      </c>
      <c r="AS136" s="5">
        <v>47307</v>
      </c>
      <c r="AT136" t="s">
        <v>47</v>
      </c>
    </row>
    <row r="137" spans="1:46" ht="143" x14ac:dyDescent="0.3">
      <c r="A137" s="4" t="s">
        <v>684</v>
      </c>
      <c r="B137" t="s">
        <v>47</v>
      </c>
      <c r="C137" s="4" t="s">
        <v>685</v>
      </c>
      <c r="D137" s="4" t="s">
        <v>686</v>
      </c>
      <c r="E137" s="4" t="s">
        <v>100</v>
      </c>
      <c r="F137" s="5" t="s">
        <v>687</v>
      </c>
      <c r="G137" t="s">
        <v>47</v>
      </c>
      <c r="H137" t="s">
        <v>47</v>
      </c>
      <c r="I137" s="3">
        <v>36342</v>
      </c>
      <c r="J137" s="5" t="s">
        <v>50</v>
      </c>
      <c r="K137" t="s">
        <v>47</v>
      </c>
      <c r="L137" s="5" t="s">
        <v>60</v>
      </c>
      <c r="M137" s="3">
        <v>36342</v>
      </c>
      <c r="N137" s="5" t="s">
        <v>50</v>
      </c>
      <c r="O137" t="s">
        <v>47</v>
      </c>
      <c r="P137" t="s">
        <v>47</v>
      </c>
      <c r="Q137" t="s">
        <v>47</v>
      </c>
      <c r="R137" t="s">
        <v>47</v>
      </c>
      <c r="S137" t="s">
        <v>47</v>
      </c>
      <c r="T137" t="s">
        <v>47</v>
      </c>
      <c r="U137" t="s">
        <v>47</v>
      </c>
      <c r="V137" t="s">
        <v>47</v>
      </c>
      <c r="W137" s="3">
        <v>31503</v>
      </c>
      <c r="X137" s="5" t="s">
        <v>50</v>
      </c>
      <c r="Y137" t="s">
        <v>47</v>
      </c>
      <c r="Z137" s="3">
        <v>31503</v>
      </c>
      <c r="AA137" s="5" t="s">
        <v>50</v>
      </c>
      <c r="AB137" t="s">
        <v>47</v>
      </c>
      <c r="AC137" s="3">
        <v>34060</v>
      </c>
      <c r="AD137" s="3">
        <v>44470</v>
      </c>
      <c r="AE137" s="5" t="s">
        <v>688</v>
      </c>
      <c r="AF137" t="s">
        <v>47</v>
      </c>
      <c r="AG137" t="s">
        <v>47</v>
      </c>
      <c r="AH137" t="s">
        <v>47</v>
      </c>
      <c r="AI137" t="s">
        <v>47</v>
      </c>
      <c r="AJ137" t="s">
        <v>47</v>
      </c>
      <c r="AK137" t="s">
        <v>47</v>
      </c>
      <c r="AL137" t="s">
        <v>47</v>
      </c>
      <c r="AM137" t="s">
        <v>47</v>
      </c>
      <c r="AN137" t="s">
        <v>47</v>
      </c>
      <c r="AO137" s="5" t="s">
        <v>60</v>
      </c>
      <c r="AP137" s="4" t="s">
        <v>61</v>
      </c>
      <c r="AQ137" s="4" t="s">
        <v>53</v>
      </c>
      <c r="AR137" s="4" t="s">
        <v>689</v>
      </c>
      <c r="AS137" s="5">
        <v>35731</v>
      </c>
      <c r="AT137" t="s">
        <v>47</v>
      </c>
    </row>
    <row r="138" spans="1:46" ht="65" x14ac:dyDescent="0.3">
      <c r="A138" s="4" t="s">
        <v>690</v>
      </c>
      <c r="B138" t="s">
        <v>47</v>
      </c>
      <c r="C138" s="4" t="s">
        <v>691</v>
      </c>
      <c r="D138" s="4" t="s">
        <v>139</v>
      </c>
      <c r="E138" s="4" t="s">
        <v>66</v>
      </c>
      <c r="F138" t="s">
        <v>47</v>
      </c>
      <c r="G138" s="5" t="s">
        <v>692</v>
      </c>
      <c r="H138" t="s">
        <v>47</v>
      </c>
      <c r="I138" s="3">
        <v>39814</v>
      </c>
      <c r="J138" s="5" t="s">
        <v>50</v>
      </c>
      <c r="K138" t="s">
        <v>47</v>
      </c>
      <c r="L138" s="5" t="s">
        <v>60</v>
      </c>
      <c r="M138" t="s">
        <v>47</v>
      </c>
      <c r="N138" t="s">
        <v>47</v>
      </c>
      <c r="O138" t="s">
        <v>47</v>
      </c>
      <c r="P138" s="3">
        <v>39814</v>
      </c>
      <c r="Q138" s="5" t="s">
        <v>50</v>
      </c>
      <c r="R138" t="s">
        <v>47</v>
      </c>
      <c r="S138" t="s">
        <v>47</v>
      </c>
      <c r="T138" t="s">
        <v>47</v>
      </c>
      <c r="U138" t="s">
        <v>47</v>
      </c>
      <c r="V138" t="s">
        <v>47</v>
      </c>
      <c r="W138" s="3">
        <v>39814</v>
      </c>
      <c r="X138" s="5" t="s">
        <v>50</v>
      </c>
      <c r="Y138" t="s">
        <v>47</v>
      </c>
      <c r="Z138" s="3">
        <v>39814</v>
      </c>
      <c r="AA138" s="5" t="s">
        <v>50</v>
      </c>
      <c r="AB138" t="s">
        <v>47</v>
      </c>
      <c r="AC138" s="3">
        <v>39814</v>
      </c>
      <c r="AD138" s="5" t="s">
        <v>50</v>
      </c>
      <c r="AE138" t="s">
        <v>47</v>
      </c>
      <c r="AF138" t="s">
        <v>47</v>
      </c>
      <c r="AG138" t="s">
        <v>47</v>
      </c>
      <c r="AH138" t="s">
        <v>47</v>
      </c>
      <c r="AI138" t="s">
        <v>47</v>
      </c>
      <c r="AJ138" t="s">
        <v>47</v>
      </c>
      <c r="AK138" t="s">
        <v>47</v>
      </c>
      <c r="AL138" t="s">
        <v>47</v>
      </c>
      <c r="AM138" t="s">
        <v>47</v>
      </c>
      <c r="AN138" t="s">
        <v>47</v>
      </c>
      <c r="AO138" s="5" t="s">
        <v>60</v>
      </c>
      <c r="AP138" s="4" t="s">
        <v>61</v>
      </c>
      <c r="AQ138" s="4" t="s">
        <v>53</v>
      </c>
      <c r="AR138" s="4" t="s">
        <v>209</v>
      </c>
      <c r="AS138" s="5">
        <v>42593</v>
      </c>
      <c r="AT138" t="s">
        <v>47</v>
      </c>
    </row>
    <row r="139" spans="1:46" ht="26" x14ac:dyDescent="0.3">
      <c r="A139" s="4" t="s">
        <v>693</v>
      </c>
      <c r="B139" t="s">
        <v>47</v>
      </c>
      <c r="C139" s="4" t="s">
        <v>694</v>
      </c>
      <c r="D139" s="4" t="s">
        <v>70</v>
      </c>
      <c r="E139" s="4" t="s">
        <v>49</v>
      </c>
      <c r="F139" s="5" t="s">
        <v>695</v>
      </c>
      <c r="G139" t="s">
        <v>47</v>
      </c>
      <c r="H139" t="s">
        <v>47</v>
      </c>
      <c r="I139" s="3">
        <v>37043</v>
      </c>
      <c r="J139" s="3">
        <v>41365</v>
      </c>
      <c r="K139" t="s">
        <v>47</v>
      </c>
      <c r="L139" s="5" t="s">
        <v>51</v>
      </c>
      <c r="M139" s="3">
        <v>37043</v>
      </c>
      <c r="N139" s="3">
        <v>41365</v>
      </c>
      <c r="O139" t="s">
        <v>47</v>
      </c>
      <c r="P139" s="3">
        <v>37043</v>
      </c>
      <c r="Q139" s="3">
        <v>41365</v>
      </c>
      <c r="R139" s="5" t="s">
        <v>696</v>
      </c>
      <c r="S139" t="s">
        <v>47</v>
      </c>
      <c r="T139" t="s">
        <v>47</v>
      </c>
      <c r="U139" t="s">
        <v>47</v>
      </c>
      <c r="V139" t="s">
        <v>47</v>
      </c>
      <c r="W139" s="3">
        <v>37043</v>
      </c>
      <c r="X139" s="3">
        <v>41365</v>
      </c>
      <c r="Y139" t="s">
        <v>47</v>
      </c>
      <c r="Z139" s="3">
        <v>37043</v>
      </c>
      <c r="AA139" s="3">
        <v>41365</v>
      </c>
      <c r="AB139" t="s">
        <v>47</v>
      </c>
      <c r="AC139" s="3">
        <v>37043</v>
      </c>
      <c r="AD139" s="3">
        <v>41365</v>
      </c>
      <c r="AE139" t="s">
        <v>47</v>
      </c>
      <c r="AF139" t="s">
        <v>47</v>
      </c>
      <c r="AG139" t="s">
        <v>47</v>
      </c>
      <c r="AH139" t="s">
        <v>47</v>
      </c>
      <c r="AI139" t="s">
        <v>47</v>
      </c>
      <c r="AJ139" t="s">
        <v>47</v>
      </c>
      <c r="AK139" t="s">
        <v>47</v>
      </c>
      <c r="AL139" t="s">
        <v>47</v>
      </c>
      <c r="AM139" t="s">
        <v>47</v>
      </c>
      <c r="AN139" t="s">
        <v>47</v>
      </c>
      <c r="AO139" s="5" t="s">
        <v>51</v>
      </c>
      <c r="AP139" s="4" t="s">
        <v>135</v>
      </c>
      <c r="AQ139" s="4" t="s">
        <v>53</v>
      </c>
      <c r="AR139" s="4" t="s">
        <v>697</v>
      </c>
      <c r="AS139" s="5">
        <v>25889</v>
      </c>
      <c r="AT139" t="s">
        <v>47</v>
      </c>
    </row>
    <row r="140" spans="1:46" ht="26" x14ac:dyDescent="0.3">
      <c r="A140" s="4" t="s">
        <v>698</v>
      </c>
      <c r="B140" t="s">
        <v>47</v>
      </c>
      <c r="C140" s="4" t="s">
        <v>699</v>
      </c>
      <c r="D140" s="4" t="s">
        <v>700</v>
      </c>
      <c r="E140" s="4" t="s">
        <v>701</v>
      </c>
      <c r="F140" t="s">
        <v>47</v>
      </c>
      <c r="G140" s="5" t="s">
        <v>702</v>
      </c>
      <c r="H140" t="s">
        <v>47</v>
      </c>
      <c r="I140" s="3">
        <v>40909</v>
      </c>
      <c r="J140" s="5" t="s">
        <v>50</v>
      </c>
      <c r="K140" t="s">
        <v>47</v>
      </c>
      <c r="L140" s="5" t="s">
        <v>60</v>
      </c>
      <c r="M140" s="3">
        <v>40909</v>
      </c>
      <c r="N140" s="5" t="s">
        <v>50</v>
      </c>
      <c r="O140" t="s">
        <v>47</v>
      </c>
      <c r="P140" s="3">
        <v>40909</v>
      </c>
      <c r="Q140" s="5" t="s">
        <v>50</v>
      </c>
      <c r="R140" t="s">
        <v>47</v>
      </c>
      <c r="S140" t="s">
        <v>47</v>
      </c>
      <c r="T140" t="s">
        <v>47</v>
      </c>
      <c r="U140" t="s">
        <v>47</v>
      </c>
      <c r="V140" t="s">
        <v>47</v>
      </c>
      <c r="W140" s="3">
        <v>40909</v>
      </c>
      <c r="X140" s="5" t="s">
        <v>50</v>
      </c>
      <c r="Y140" t="s">
        <v>47</v>
      </c>
      <c r="Z140" s="3">
        <v>40909</v>
      </c>
      <c r="AA140" s="5" t="s">
        <v>50</v>
      </c>
      <c r="AB140" t="s">
        <v>47</v>
      </c>
      <c r="AC140" s="3">
        <v>40909</v>
      </c>
      <c r="AD140" s="5" t="s">
        <v>50</v>
      </c>
      <c r="AE140" t="s">
        <v>47</v>
      </c>
      <c r="AF140" t="s">
        <v>47</v>
      </c>
      <c r="AG140" t="s">
        <v>47</v>
      </c>
      <c r="AH140" t="s">
        <v>47</v>
      </c>
      <c r="AI140" t="s">
        <v>47</v>
      </c>
      <c r="AJ140" t="s">
        <v>47</v>
      </c>
      <c r="AK140" t="s">
        <v>47</v>
      </c>
      <c r="AL140" t="s">
        <v>47</v>
      </c>
      <c r="AM140" t="s">
        <v>47</v>
      </c>
      <c r="AN140" t="s">
        <v>47</v>
      </c>
      <c r="AO140" s="5" t="s">
        <v>60</v>
      </c>
      <c r="AP140" s="4" t="s">
        <v>61</v>
      </c>
      <c r="AQ140" s="4" t="s">
        <v>427</v>
      </c>
      <c r="AR140" s="4" t="s">
        <v>54</v>
      </c>
      <c r="AS140" s="5">
        <v>2032195</v>
      </c>
      <c r="AT140" t="s">
        <v>47</v>
      </c>
    </row>
    <row r="141" spans="1:46" ht="13" x14ac:dyDescent="0.3">
      <c r="A141" s="4" t="s">
        <v>703</v>
      </c>
      <c r="B141" t="s">
        <v>47</v>
      </c>
      <c r="C141" s="4" t="s">
        <v>183</v>
      </c>
      <c r="D141" s="4" t="s">
        <v>333</v>
      </c>
      <c r="E141" s="4" t="s">
        <v>49</v>
      </c>
      <c r="F141" s="5" t="s">
        <v>704</v>
      </c>
      <c r="G141" s="5" t="s">
        <v>705</v>
      </c>
      <c r="H141" t="s">
        <v>47</v>
      </c>
      <c r="I141" t="s">
        <v>47</v>
      </c>
      <c r="J141" t="s">
        <v>47</v>
      </c>
      <c r="K141" t="s">
        <v>47</v>
      </c>
      <c r="L141" s="5" t="s">
        <v>60</v>
      </c>
      <c r="M141" t="s">
        <v>47</v>
      </c>
      <c r="N141" t="s">
        <v>47</v>
      </c>
      <c r="O141" t="s">
        <v>47</v>
      </c>
      <c r="P141" t="s">
        <v>47</v>
      </c>
      <c r="Q141" t="s">
        <v>47</v>
      </c>
      <c r="R141" t="s">
        <v>47</v>
      </c>
      <c r="S141" t="s">
        <v>47</v>
      </c>
      <c r="T141" t="s">
        <v>47</v>
      </c>
      <c r="U141" t="s">
        <v>47</v>
      </c>
      <c r="V141" t="s">
        <v>47</v>
      </c>
      <c r="W141" s="3">
        <v>35065</v>
      </c>
      <c r="X141" s="5" t="s">
        <v>50</v>
      </c>
      <c r="Y141" t="s">
        <v>47</v>
      </c>
      <c r="Z141" s="3">
        <v>35065</v>
      </c>
      <c r="AA141" s="5" t="s">
        <v>50</v>
      </c>
      <c r="AB141" t="s">
        <v>47</v>
      </c>
      <c r="AC141" s="3">
        <v>35065</v>
      </c>
      <c r="AD141" s="5" t="s">
        <v>50</v>
      </c>
      <c r="AE141" t="s">
        <v>47</v>
      </c>
      <c r="AF141" t="s">
        <v>47</v>
      </c>
      <c r="AG141" t="s">
        <v>47</v>
      </c>
      <c r="AH141" t="s">
        <v>47</v>
      </c>
      <c r="AI141" t="s">
        <v>47</v>
      </c>
      <c r="AJ141" t="s">
        <v>47</v>
      </c>
      <c r="AK141" t="s">
        <v>47</v>
      </c>
      <c r="AL141" t="s">
        <v>47</v>
      </c>
      <c r="AM141" t="s">
        <v>47</v>
      </c>
      <c r="AN141" t="s">
        <v>47</v>
      </c>
      <c r="AO141" s="5" t="s">
        <v>60</v>
      </c>
      <c r="AP141" s="4" t="s">
        <v>61</v>
      </c>
      <c r="AQ141" s="4" t="s">
        <v>53</v>
      </c>
      <c r="AR141" s="4" t="s">
        <v>483</v>
      </c>
      <c r="AS141" s="5">
        <v>37698</v>
      </c>
      <c r="AT141" t="s">
        <v>47</v>
      </c>
    </row>
    <row r="142" spans="1:46" ht="78" x14ac:dyDescent="0.3">
      <c r="A142" s="4" t="s">
        <v>706</v>
      </c>
      <c r="B142" t="s">
        <v>47</v>
      </c>
      <c r="C142" s="4" t="s">
        <v>183</v>
      </c>
      <c r="D142" s="4" t="s">
        <v>707</v>
      </c>
      <c r="E142" s="4" t="s">
        <v>49</v>
      </c>
      <c r="F142" s="5" t="s">
        <v>708</v>
      </c>
      <c r="G142" s="5" t="s">
        <v>709</v>
      </c>
      <c r="H142" t="s">
        <v>47</v>
      </c>
      <c r="I142" s="3">
        <v>27515</v>
      </c>
      <c r="J142" s="3">
        <v>43405</v>
      </c>
      <c r="K142" t="s">
        <v>47</v>
      </c>
      <c r="L142" s="5" t="s">
        <v>60</v>
      </c>
      <c r="M142" s="3">
        <v>27515</v>
      </c>
      <c r="N142" s="3">
        <v>43405</v>
      </c>
      <c r="O142" t="s">
        <v>47</v>
      </c>
      <c r="P142" s="3">
        <v>27515</v>
      </c>
      <c r="Q142" s="3">
        <v>43405</v>
      </c>
      <c r="R142" t="s">
        <v>47</v>
      </c>
      <c r="S142" t="s">
        <v>47</v>
      </c>
      <c r="T142" t="s">
        <v>47</v>
      </c>
      <c r="U142" t="s">
        <v>47</v>
      </c>
      <c r="V142" t="s">
        <v>47</v>
      </c>
      <c r="W142" s="3">
        <v>27515</v>
      </c>
      <c r="X142" s="5" t="s">
        <v>50</v>
      </c>
      <c r="Y142" t="s">
        <v>47</v>
      </c>
      <c r="Z142" s="3">
        <v>27515</v>
      </c>
      <c r="AA142" s="5" t="s">
        <v>50</v>
      </c>
      <c r="AB142" t="s">
        <v>47</v>
      </c>
      <c r="AC142" s="3">
        <v>27515</v>
      </c>
      <c r="AD142" s="5" t="s">
        <v>50</v>
      </c>
      <c r="AE142" s="5" t="s">
        <v>710</v>
      </c>
      <c r="AF142" t="s">
        <v>47</v>
      </c>
      <c r="AG142" t="s">
        <v>47</v>
      </c>
      <c r="AH142" t="s">
        <v>47</v>
      </c>
      <c r="AI142" t="s">
        <v>47</v>
      </c>
      <c r="AJ142" t="s">
        <v>47</v>
      </c>
      <c r="AK142" t="s">
        <v>47</v>
      </c>
      <c r="AL142" t="s">
        <v>47</v>
      </c>
      <c r="AM142" t="s">
        <v>47</v>
      </c>
      <c r="AN142" t="s">
        <v>47</v>
      </c>
      <c r="AO142" s="5" t="s">
        <v>60</v>
      </c>
      <c r="AP142" s="4" t="s">
        <v>61</v>
      </c>
      <c r="AQ142" s="4" t="s">
        <v>53</v>
      </c>
      <c r="AR142" s="4" t="s">
        <v>436</v>
      </c>
      <c r="AS142" s="5">
        <v>48220</v>
      </c>
      <c r="AT142" t="s">
        <v>47</v>
      </c>
    </row>
    <row r="143" spans="1:46" ht="78" x14ac:dyDescent="0.3">
      <c r="A143" s="4" t="s">
        <v>711</v>
      </c>
      <c r="B143" t="s">
        <v>47</v>
      </c>
      <c r="C143" s="4" t="s">
        <v>519</v>
      </c>
      <c r="D143" s="4" t="s">
        <v>88</v>
      </c>
      <c r="E143" s="4" t="s">
        <v>49</v>
      </c>
      <c r="F143" s="5" t="s">
        <v>712</v>
      </c>
      <c r="G143" s="5" t="s">
        <v>713</v>
      </c>
      <c r="H143" t="s">
        <v>47</v>
      </c>
      <c r="I143" s="3">
        <v>35431</v>
      </c>
      <c r="J143" s="3">
        <v>40452</v>
      </c>
      <c r="K143" t="s">
        <v>47</v>
      </c>
      <c r="L143" s="5" t="s">
        <v>60</v>
      </c>
      <c r="M143" s="3">
        <v>35431</v>
      </c>
      <c r="N143" s="3">
        <v>40452</v>
      </c>
      <c r="O143" t="s">
        <v>47</v>
      </c>
      <c r="P143" s="3">
        <v>35431</v>
      </c>
      <c r="Q143" s="3">
        <v>40452</v>
      </c>
      <c r="R143" t="s">
        <v>47</v>
      </c>
      <c r="S143" t="s">
        <v>47</v>
      </c>
      <c r="T143" t="s">
        <v>47</v>
      </c>
      <c r="U143" t="s">
        <v>47</v>
      </c>
      <c r="V143" t="s">
        <v>47</v>
      </c>
      <c r="W143" s="3">
        <v>35431</v>
      </c>
      <c r="X143" s="5" t="s">
        <v>50</v>
      </c>
      <c r="Y143" t="s">
        <v>47</v>
      </c>
      <c r="Z143" s="3">
        <v>35431</v>
      </c>
      <c r="AA143" s="5" t="s">
        <v>50</v>
      </c>
      <c r="AB143" t="s">
        <v>47</v>
      </c>
      <c r="AC143" s="3">
        <v>35431</v>
      </c>
      <c r="AD143" s="5" t="s">
        <v>50</v>
      </c>
      <c r="AE143" t="s">
        <v>47</v>
      </c>
      <c r="AF143" t="s">
        <v>47</v>
      </c>
      <c r="AG143" t="s">
        <v>47</v>
      </c>
      <c r="AH143" t="s">
        <v>47</v>
      </c>
      <c r="AI143" t="s">
        <v>47</v>
      </c>
      <c r="AJ143" t="s">
        <v>47</v>
      </c>
      <c r="AK143" t="s">
        <v>47</v>
      </c>
      <c r="AL143" t="s">
        <v>47</v>
      </c>
      <c r="AM143" t="s">
        <v>47</v>
      </c>
      <c r="AN143" t="s">
        <v>47</v>
      </c>
      <c r="AO143" s="5" t="s">
        <v>60</v>
      </c>
      <c r="AP143" s="4" t="s">
        <v>61</v>
      </c>
      <c r="AQ143" s="4" t="s">
        <v>53</v>
      </c>
      <c r="AR143" s="4" t="s">
        <v>714</v>
      </c>
      <c r="AS143" s="5">
        <v>37579</v>
      </c>
      <c r="AT143" t="s">
        <v>47</v>
      </c>
    </row>
    <row r="144" spans="1:46" ht="26" x14ac:dyDescent="0.3">
      <c r="A144" s="4" t="s">
        <v>715</v>
      </c>
      <c r="B144" t="s">
        <v>47</v>
      </c>
      <c r="C144" s="4" t="s">
        <v>716</v>
      </c>
      <c r="D144" s="4" t="s">
        <v>717</v>
      </c>
      <c r="E144" s="4" t="s">
        <v>49</v>
      </c>
      <c r="F144" t="s">
        <v>47</v>
      </c>
      <c r="G144" s="5" t="s">
        <v>718</v>
      </c>
      <c r="H144" t="s">
        <v>47</v>
      </c>
      <c r="I144" s="3">
        <v>40179</v>
      </c>
      <c r="J144" s="5" t="s">
        <v>50</v>
      </c>
      <c r="K144" s="5" t="s">
        <v>719</v>
      </c>
      <c r="L144" s="5" t="s">
        <v>60</v>
      </c>
      <c r="M144" t="s">
        <v>47</v>
      </c>
      <c r="N144" t="s">
        <v>47</v>
      </c>
      <c r="O144" t="s">
        <v>47</v>
      </c>
      <c r="P144" t="s">
        <v>47</v>
      </c>
      <c r="Q144" t="s">
        <v>47</v>
      </c>
      <c r="R144" t="s">
        <v>47</v>
      </c>
      <c r="S144" s="3">
        <v>40179</v>
      </c>
      <c r="T144" s="5" t="s">
        <v>50</v>
      </c>
      <c r="U144" s="5" t="s">
        <v>719</v>
      </c>
      <c r="V144" t="s">
        <v>47</v>
      </c>
      <c r="W144" s="3">
        <v>40179</v>
      </c>
      <c r="X144" s="5" t="s">
        <v>50</v>
      </c>
      <c r="Y144" s="5" t="s">
        <v>719</v>
      </c>
      <c r="Z144" s="3">
        <v>40179</v>
      </c>
      <c r="AA144" s="5" t="s">
        <v>50</v>
      </c>
      <c r="AB144" s="5" t="s">
        <v>719</v>
      </c>
      <c r="AC144" s="3">
        <v>40179</v>
      </c>
      <c r="AD144" s="5" t="s">
        <v>50</v>
      </c>
      <c r="AE144" s="5" t="s">
        <v>719</v>
      </c>
      <c r="AF144" t="s">
        <v>47</v>
      </c>
      <c r="AG144" t="s">
        <v>47</v>
      </c>
      <c r="AH144" t="s">
        <v>47</v>
      </c>
      <c r="AI144" t="s">
        <v>47</v>
      </c>
      <c r="AJ144" t="s">
        <v>47</v>
      </c>
      <c r="AK144" t="s">
        <v>47</v>
      </c>
      <c r="AL144" t="s">
        <v>47</v>
      </c>
      <c r="AM144" t="s">
        <v>47</v>
      </c>
      <c r="AN144" t="s">
        <v>47</v>
      </c>
      <c r="AO144" s="5" t="s">
        <v>60</v>
      </c>
      <c r="AP144" s="4" t="s">
        <v>61</v>
      </c>
      <c r="AQ144" s="4" t="s">
        <v>53</v>
      </c>
      <c r="AR144" s="4" t="s">
        <v>54</v>
      </c>
      <c r="AS144" s="5">
        <v>4397039</v>
      </c>
      <c r="AT144" t="s">
        <v>47</v>
      </c>
    </row>
    <row r="145" spans="1:46" ht="13" x14ac:dyDescent="0.3">
      <c r="A145" s="4" t="s">
        <v>720</v>
      </c>
      <c r="B145" t="s">
        <v>47</v>
      </c>
      <c r="C145" s="4" t="s">
        <v>721</v>
      </c>
      <c r="D145" s="4" t="s">
        <v>722</v>
      </c>
      <c r="E145" s="4" t="s">
        <v>723</v>
      </c>
      <c r="F145" s="5" t="s">
        <v>724</v>
      </c>
      <c r="G145" s="5" t="s">
        <v>725</v>
      </c>
      <c r="H145" t="s">
        <v>47</v>
      </c>
      <c r="I145" s="3">
        <v>42005</v>
      </c>
      <c r="J145" s="3">
        <v>43009</v>
      </c>
      <c r="K145" t="s">
        <v>47</v>
      </c>
      <c r="L145" s="5" t="s">
        <v>60</v>
      </c>
      <c r="M145" t="s">
        <v>47</v>
      </c>
      <c r="N145" t="s">
        <v>47</v>
      </c>
      <c r="O145" t="s">
        <v>47</v>
      </c>
      <c r="P145" s="3">
        <v>42005</v>
      </c>
      <c r="Q145" s="3">
        <v>43009</v>
      </c>
      <c r="R145" t="s">
        <v>47</v>
      </c>
      <c r="S145" t="s">
        <v>47</v>
      </c>
      <c r="T145" t="s">
        <v>47</v>
      </c>
      <c r="U145" t="s">
        <v>47</v>
      </c>
      <c r="V145" t="s">
        <v>47</v>
      </c>
      <c r="W145" s="3">
        <v>42005</v>
      </c>
      <c r="X145" s="3">
        <v>43009</v>
      </c>
      <c r="Y145" t="s">
        <v>47</v>
      </c>
      <c r="Z145" s="3">
        <v>42005</v>
      </c>
      <c r="AA145" s="3">
        <v>43009</v>
      </c>
      <c r="AB145" t="s">
        <v>47</v>
      </c>
      <c r="AC145" s="3">
        <v>42736</v>
      </c>
      <c r="AD145" s="3">
        <v>42736</v>
      </c>
      <c r="AE145" t="s">
        <v>47</v>
      </c>
      <c r="AF145" t="s">
        <v>47</v>
      </c>
      <c r="AG145" t="s">
        <v>47</v>
      </c>
      <c r="AH145" t="s">
        <v>47</v>
      </c>
      <c r="AI145" t="s">
        <v>47</v>
      </c>
      <c r="AJ145" t="s">
        <v>47</v>
      </c>
      <c r="AK145" t="s">
        <v>47</v>
      </c>
      <c r="AL145" t="s">
        <v>47</v>
      </c>
      <c r="AM145" t="s">
        <v>47</v>
      </c>
      <c r="AN145" t="s">
        <v>47</v>
      </c>
      <c r="AO145" s="5" t="s">
        <v>60</v>
      </c>
      <c r="AP145" s="4" t="s">
        <v>61</v>
      </c>
      <c r="AQ145" s="4" t="s">
        <v>726</v>
      </c>
      <c r="AR145" s="4" t="s">
        <v>54</v>
      </c>
      <c r="AS145" s="5">
        <v>2038869</v>
      </c>
      <c r="AT145" t="s">
        <v>47</v>
      </c>
    </row>
    <row r="146" spans="1:46" ht="91" x14ac:dyDescent="0.3">
      <c r="A146" s="4" t="s">
        <v>727</v>
      </c>
      <c r="B146" t="s">
        <v>47</v>
      </c>
      <c r="C146" s="4" t="s">
        <v>519</v>
      </c>
      <c r="D146" s="4" t="s">
        <v>319</v>
      </c>
      <c r="E146" s="4" t="s">
        <v>49</v>
      </c>
      <c r="F146" s="5" t="s">
        <v>728</v>
      </c>
      <c r="G146" s="5" t="s">
        <v>729</v>
      </c>
      <c r="H146" t="s">
        <v>47</v>
      </c>
      <c r="I146" s="3">
        <v>35156</v>
      </c>
      <c r="J146" s="3">
        <v>40057</v>
      </c>
      <c r="K146" t="s">
        <v>47</v>
      </c>
      <c r="L146" s="5" t="s">
        <v>60</v>
      </c>
      <c r="M146" s="3">
        <v>35156</v>
      </c>
      <c r="N146" s="3">
        <v>40057</v>
      </c>
      <c r="O146" t="s">
        <v>47</v>
      </c>
      <c r="P146" s="3">
        <v>35156</v>
      </c>
      <c r="Q146" s="3">
        <v>40057</v>
      </c>
      <c r="R146" t="s">
        <v>47</v>
      </c>
      <c r="S146" t="s">
        <v>47</v>
      </c>
      <c r="T146" t="s">
        <v>47</v>
      </c>
      <c r="U146" t="s">
        <v>47</v>
      </c>
      <c r="V146" t="s">
        <v>47</v>
      </c>
      <c r="W146" s="3">
        <v>33604</v>
      </c>
      <c r="X146" s="5" t="s">
        <v>50</v>
      </c>
      <c r="Y146" t="s">
        <v>47</v>
      </c>
      <c r="Z146" s="3">
        <v>33604</v>
      </c>
      <c r="AA146" s="5" t="s">
        <v>50</v>
      </c>
      <c r="AB146" t="s">
        <v>47</v>
      </c>
      <c r="AC146" s="3">
        <v>33604</v>
      </c>
      <c r="AD146" s="5" t="s">
        <v>50</v>
      </c>
      <c r="AE146" t="s">
        <v>47</v>
      </c>
      <c r="AF146" t="s">
        <v>47</v>
      </c>
      <c r="AG146" t="s">
        <v>47</v>
      </c>
      <c r="AH146" t="s">
        <v>47</v>
      </c>
      <c r="AI146" t="s">
        <v>47</v>
      </c>
      <c r="AJ146" t="s">
        <v>47</v>
      </c>
      <c r="AK146" t="s">
        <v>47</v>
      </c>
      <c r="AL146" t="s">
        <v>47</v>
      </c>
      <c r="AM146" t="s">
        <v>47</v>
      </c>
      <c r="AN146" t="s">
        <v>47</v>
      </c>
      <c r="AO146" s="5" t="s">
        <v>60</v>
      </c>
      <c r="AP146" s="4" t="s">
        <v>61</v>
      </c>
      <c r="AQ146" s="4" t="s">
        <v>53</v>
      </c>
      <c r="AR146" s="4" t="s">
        <v>730</v>
      </c>
      <c r="AS146" s="5">
        <v>31419</v>
      </c>
      <c r="AT146" t="s">
        <v>47</v>
      </c>
    </row>
    <row r="147" spans="1:46" ht="52" x14ac:dyDescent="0.3">
      <c r="A147" s="4" t="s">
        <v>731</v>
      </c>
      <c r="B147" t="s">
        <v>47</v>
      </c>
      <c r="C147" s="4" t="s">
        <v>732</v>
      </c>
      <c r="D147" s="4" t="s">
        <v>733</v>
      </c>
      <c r="E147" s="4" t="s">
        <v>49</v>
      </c>
      <c r="F147" s="5" t="s">
        <v>734</v>
      </c>
      <c r="G147" s="5" t="s">
        <v>735</v>
      </c>
      <c r="H147" t="s">
        <v>47</v>
      </c>
      <c r="I147" s="3">
        <v>36161</v>
      </c>
      <c r="J147" s="3">
        <v>41153</v>
      </c>
      <c r="K147" t="s">
        <v>47</v>
      </c>
      <c r="L147" s="5" t="s">
        <v>60</v>
      </c>
      <c r="M147" s="3">
        <v>36161</v>
      </c>
      <c r="N147" s="3">
        <v>41153</v>
      </c>
      <c r="O147" t="s">
        <v>47</v>
      </c>
      <c r="P147" s="3">
        <v>36161</v>
      </c>
      <c r="Q147" s="3">
        <v>41153</v>
      </c>
      <c r="R147" t="s">
        <v>47</v>
      </c>
      <c r="S147" t="s">
        <v>47</v>
      </c>
      <c r="T147" t="s">
        <v>47</v>
      </c>
      <c r="U147" t="s">
        <v>47</v>
      </c>
      <c r="V147" t="s">
        <v>47</v>
      </c>
      <c r="W147" s="3">
        <v>36161</v>
      </c>
      <c r="X147" s="3">
        <v>41153</v>
      </c>
      <c r="Y147" t="s">
        <v>47</v>
      </c>
      <c r="Z147" s="3">
        <v>36161</v>
      </c>
      <c r="AA147" s="3">
        <v>41153</v>
      </c>
      <c r="AB147" t="s">
        <v>47</v>
      </c>
      <c r="AC147" s="3">
        <v>36161</v>
      </c>
      <c r="AD147" s="3">
        <v>41153</v>
      </c>
      <c r="AE147" s="5" t="s">
        <v>736</v>
      </c>
      <c r="AF147" t="s">
        <v>47</v>
      </c>
      <c r="AG147" t="s">
        <v>47</v>
      </c>
      <c r="AH147" t="s">
        <v>47</v>
      </c>
      <c r="AI147" t="s">
        <v>47</v>
      </c>
      <c r="AJ147" t="s">
        <v>47</v>
      </c>
      <c r="AK147" t="s">
        <v>47</v>
      </c>
      <c r="AL147" t="s">
        <v>47</v>
      </c>
      <c r="AM147" t="s">
        <v>47</v>
      </c>
      <c r="AN147" t="s">
        <v>47</v>
      </c>
      <c r="AO147" s="5" t="s">
        <v>60</v>
      </c>
      <c r="AP147" s="4" t="s">
        <v>61</v>
      </c>
      <c r="AQ147" s="4" t="s">
        <v>53</v>
      </c>
      <c r="AR147" s="4" t="s">
        <v>737</v>
      </c>
      <c r="AS147" s="5">
        <v>49233</v>
      </c>
      <c r="AT147" t="s">
        <v>47</v>
      </c>
    </row>
    <row r="148" spans="1:46" ht="13" x14ac:dyDescent="0.3">
      <c r="A148" s="4" t="s">
        <v>738</v>
      </c>
      <c r="B148" t="s">
        <v>47</v>
      </c>
      <c r="C148" s="4" t="s">
        <v>397</v>
      </c>
      <c r="D148" s="4" t="s">
        <v>612</v>
      </c>
      <c r="E148" s="4" t="s">
        <v>66</v>
      </c>
      <c r="F148" s="5" t="s">
        <v>739</v>
      </c>
      <c r="G148" s="5" t="s">
        <v>740</v>
      </c>
      <c r="H148" t="s">
        <v>47</v>
      </c>
      <c r="I148" s="3">
        <v>36982</v>
      </c>
      <c r="J148" s="5" t="s">
        <v>50</v>
      </c>
      <c r="K148" t="s">
        <v>47</v>
      </c>
      <c r="L148" s="5" t="s">
        <v>60</v>
      </c>
      <c r="M148" s="3">
        <v>39508</v>
      </c>
      <c r="N148" s="5" t="s">
        <v>50</v>
      </c>
      <c r="O148" t="s">
        <v>47</v>
      </c>
      <c r="P148" s="3">
        <v>36982</v>
      </c>
      <c r="Q148" s="5" t="s">
        <v>50</v>
      </c>
      <c r="R148" t="s">
        <v>47</v>
      </c>
      <c r="S148" t="s">
        <v>47</v>
      </c>
      <c r="T148" t="s">
        <v>47</v>
      </c>
      <c r="U148" t="s">
        <v>47</v>
      </c>
      <c r="V148" s="5">
        <v>365</v>
      </c>
      <c r="W148" s="3">
        <v>36982</v>
      </c>
      <c r="X148" s="5" t="s">
        <v>50</v>
      </c>
      <c r="Y148" t="s">
        <v>47</v>
      </c>
      <c r="Z148" s="3">
        <v>36982</v>
      </c>
      <c r="AA148" s="5" t="s">
        <v>50</v>
      </c>
      <c r="AB148" t="s">
        <v>47</v>
      </c>
      <c r="AC148" s="3">
        <v>36982</v>
      </c>
      <c r="AD148" s="5" t="s">
        <v>50</v>
      </c>
      <c r="AE148" t="s">
        <v>47</v>
      </c>
      <c r="AF148" t="s">
        <v>47</v>
      </c>
      <c r="AG148" t="s">
        <v>47</v>
      </c>
      <c r="AH148" t="s">
        <v>47</v>
      </c>
      <c r="AI148" t="s">
        <v>47</v>
      </c>
      <c r="AJ148" t="s">
        <v>47</v>
      </c>
      <c r="AK148" t="s">
        <v>47</v>
      </c>
      <c r="AL148" t="s">
        <v>47</v>
      </c>
      <c r="AM148" t="s">
        <v>47</v>
      </c>
      <c r="AN148" t="s">
        <v>47</v>
      </c>
      <c r="AO148" s="5" t="s">
        <v>60</v>
      </c>
      <c r="AP148" s="4" t="s">
        <v>61</v>
      </c>
      <c r="AQ148" s="4" t="s">
        <v>53</v>
      </c>
      <c r="AR148" s="4" t="s">
        <v>167</v>
      </c>
      <c r="AS148" s="5">
        <v>32700</v>
      </c>
      <c r="AT148" t="s">
        <v>47</v>
      </c>
    </row>
    <row r="149" spans="1:46" ht="39" x14ac:dyDescent="0.3">
      <c r="A149" s="4" t="s">
        <v>741</v>
      </c>
      <c r="B149" t="s">
        <v>47</v>
      </c>
      <c r="C149" s="4" t="s">
        <v>93</v>
      </c>
      <c r="D149" s="4" t="s">
        <v>742</v>
      </c>
      <c r="E149" s="4" t="s">
        <v>49</v>
      </c>
      <c r="F149" s="5" t="s">
        <v>743</v>
      </c>
      <c r="G149" s="5" t="s">
        <v>744</v>
      </c>
      <c r="H149" t="s">
        <v>47</v>
      </c>
      <c r="I149" t="s">
        <v>47</v>
      </c>
      <c r="J149" t="s">
        <v>47</v>
      </c>
      <c r="K149" t="s">
        <v>47</v>
      </c>
      <c r="L149" s="5" t="s">
        <v>60</v>
      </c>
      <c r="M149" t="s">
        <v>47</v>
      </c>
      <c r="N149" t="s">
        <v>47</v>
      </c>
      <c r="O149" t="s">
        <v>47</v>
      </c>
      <c r="P149" t="s">
        <v>47</v>
      </c>
      <c r="Q149" t="s">
        <v>47</v>
      </c>
      <c r="R149" t="s">
        <v>47</v>
      </c>
      <c r="S149" t="s">
        <v>47</v>
      </c>
      <c r="T149" t="s">
        <v>47</v>
      </c>
      <c r="U149" t="s">
        <v>47</v>
      </c>
      <c r="V149" t="s">
        <v>47</v>
      </c>
      <c r="W149" s="3">
        <v>41091</v>
      </c>
      <c r="X149" s="5" t="s">
        <v>50</v>
      </c>
      <c r="Y149" t="s">
        <v>47</v>
      </c>
      <c r="Z149" s="3">
        <v>41091</v>
      </c>
      <c r="AA149" s="5" t="s">
        <v>50</v>
      </c>
      <c r="AB149" t="s">
        <v>47</v>
      </c>
      <c r="AC149" s="3">
        <v>41091</v>
      </c>
      <c r="AD149" s="5" t="s">
        <v>50</v>
      </c>
      <c r="AE149" t="s">
        <v>47</v>
      </c>
      <c r="AF149" t="s">
        <v>47</v>
      </c>
      <c r="AG149" t="s">
        <v>47</v>
      </c>
      <c r="AH149" t="s">
        <v>47</v>
      </c>
      <c r="AI149" t="s">
        <v>47</v>
      </c>
      <c r="AJ149" t="s">
        <v>47</v>
      </c>
      <c r="AK149" t="s">
        <v>47</v>
      </c>
      <c r="AL149" t="s">
        <v>47</v>
      </c>
      <c r="AM149" t="s">
        <v>47</v>
      </c>
      <c r="AN149" t="s">
        <v>47</v>
      </c>
      <c r="AO149" s="5" t="s">
        <v>60</v>
      </c>
      <c r="AP149" s="4" t="s">
        <v>61</v>
      </c>
      <c r="AQ149" s="4" t="s">
        <v>53</v>
      </c>
      <c r="AR149" s="4" t="s">
        <v>745</v>
      </c>
      <c r="AS149" s="5">
        <v>966341</v>
      </c>
      <c r="AT149" t="s">
        <v>47</v>
      </c>
    </row>
    <row r="150" spans="1:46" ht="39" x14ac:dyDescent="0.3">
      <c r="A150" s="4" t="s">
        <v>746</v>
      </c>
      <c r="B150" t="s">
        <v>47</v>
      </c>
      <c r="C150" s="4" t="s">
        <v>747</v>
      </c>
      <c r="D150" s="4" t="s">
        <v>748</v>
      </c>
      <c r="E150" s="4" t="s">
        <v>66</v>
      </c>
      <c r="F150" s="5" t="s">
        <v>749</v>
      </c>
      <c r="G150" s="5" t="s">
        <v>750</v>
      </c>
      <c r="H150" t="s">
        <v>47</v>
      </c>
      <c r="I150" s="3">
        <v>32143</v>
      </c>
      <c r="J150" s="3">
        <v>41244</v>
      </c>
      <c r="K150" t="s">
        <v>47</v>
      </c>
      <c r="L150" s="5" t="s">
        <v>60</v>
      </c>
      <c r="M150" s="3">
        <v>33604</v>
      </c>
      <c r="N150" s="3">
        <v>41244</v>
      </c>
      <c r="O150" t="s">
        <v>47</v>
      </c>
      <c r="P150" s="3">
        <v>32143</v>
      </c>
      <c r="Q150" s="3">
        <v>41244</v>
      </c>
      <c r="R150" t="s">
        <v>47</v>
      </c>
      <c r="S150" t="s">
        <v>47</v>
      </c>
      <c r="T150" t="s">
        <v>47</v>
      </c>
      <c r="U150" t="s">
        <v>47</v>
      </c>
      <c r="V150" t="s">
        <v>47</v>
      </c>
      <c r="W150" s="3">
        <v>32143</v>
      </c>
      <c r="X150" s="5" t="s">
        <v>50</v>
      </c>
      <c r="Y150" t="s">
        <v>47</v>
      </c>
      <c r="Z150" s="3">
        <v>32143</v>
      </c>
      <c r="AA150" s="5" t="s">
        <v>50</v>
      </c>
      <c r="AB150" t="s">
        <v>47</v>
      </c>
      <c r="AC150" s="3">
        <v>32143</v>
      </c>
      <c r="AD150" s="5" t="s">
        <v>50</v>
      </c>
      <c r="AE150" t="s">
        <v>47</v>
      </c>
      <c r="AF150" t="s">
        <v>47</v>
      </c>
      <c r="AG150" t="s">
        <v>47</v>
      </c>
      <c r="AH150" t="s">
        <v>47</v>
      </c>
      <c r="AI150" t="s">
        <v>47</v>
      </c>
      <c r="AJ150" t="s">
        <v>47</v>
      </c>
      <c r="AK150" t="s">
        <v>47</v>
      </c>
      <c r="AL150" t="s">
        <v>47</v>
      </c>
      <c r="AM150" t="s">
        <v>47</v>
      </c>
      <c r="AN150" t="s">
        <v>47</v>
      </c>
      <c r="AO150" s="5" t="s">
        <v>60</v>
      </c>
      <c r="AP150" s="4" t="s">
        <v>61</v>
      </c>
      <c r="AQ150" s="4" t="s">
        <v>53</v>
      </c>
      <c r="AR150" s="4" t="s">
        <v>751</v>
      </c>
      <c r="AS150" s="5">
        <v>34924</v>
      </c>
      <c r="AT150" t="s">
        <v>47</v>
      </c>
    </row>
    <row r="151" spans="1:46" ht="104" x14ac:dyDescent="0.3">
      <c r="A151" s="4" t="s">
        <v>752</v>
      </c>
      <c r="B151" t="s">
        <v>47</v>
      </c>
      <c r="C151" s="4" t="s">
        <v>753</v>
      </c>
      <c r="D151" s="4" t="s">
        <v>754</v>
      </c>
      <c r="E151" s="4" t="s">
        <v>49</v>
      </c>
      <c r="F151" s="5" t="s">
        <v>755</v>
      </c>
      <c r="G151" s="5" t="s">
        <v>756</v>
      </c>
      <c r="H151" t="s">
        <v>47</v>
      </c>
      <c r="I151" s="3">
        <v>33239</v>
      </c>
      <c r="J151" s="3">
        <v>40422</v>
      </c>
      <c r="K151" t="s">
        <v>47</v>
      </c>
      <c r="L151" s="5" t="s">
        <v>51</v>
      </c>
      <c r="M151" s="3">
        <v>34335</v>
      </c>
      <c r="N151" s="3">
        <v>40422</v>
      </c>
      <c r="O151" t="s">
        <v>47</v>
      </c>
      <c r="P151" s="3">
        <v>33239</v>
      </c>
      <c r="Q151" s="3">
        <v>40422</v>
      </c>
      <c r="R151" t="s">
        <v>47</v>
      </c>
      <c r="S151" t="s">
        <v>47</v>
      </c>
      <c r="T151" t="s">
        <v>47</v>
      </c>
      <c r="U151" t="s">
        <v>47</v>
      </c>
      <c r="V151" t="s">
        <v>47</v>
      </c>
      <c r="W151" s="3">
        <v>32143</v>
      </c>
      <c r="X151" s="3">
        <v>40422</v>
      </c>
      <c r="Y151" t="s">
        <v>47</v>
      </c>
      <c r="Z151" s="3">
        <v>32143</v>
      </c>
      <c r="AA151" s="3">
        <v>40422</v>
      </c>
      <c r="AB151" t="s">
        <v>47</v>
      </c>
      <c r="AC151" s="3">
        <v>32143</v>
      </c>
      <c r="AD151" s="3">
        <v>40422</v>
      </c>
      <c r="AE151" t="s">
        <v>47</v>
      </c>
      <c r="AF151" t="s">
        <v>47</v>
      </c>
      <c r="AG151" t="s">
        <v>47</v>
      </c>
      <c r="AH151" t="s">
        <v>47</v>
      </c>
      <c r="AI151" t="s">
        <v>47</v>
      </c>
      <c r="AJ151" t="s">
        <v>47</v>
      </c>
      <c r="AK151" t="s">
        <v>47</v>
      </c>
      <c r="AL151" t="s">
        <v>47</v>
      </c>
      <c r="AM151" t="s">
        <v>47</v>
      </c>
      <c r="AN151" t="s">
        <v>47</v>
      </c>
      <c r="AO151" s="5" t="s">
        <v>51</v>
      </c>
      <c r="AP151" s="4" t="s">
        <v>135</v>
      </c>
      <c r="AQ151" s="4" t="s">
        <v>53</v>
      </c>
      <c r="AR151" s="4" t="s">
        <v>757</v>
      </c>
      <c r="AS151" s="5">
        <v>34633</v>
      </c>
      <c r="AT151" t="s">
        <v>47</v>
      </c>
    </row>
    <row r="152" spans="1:46" ht="78" x14ac:dyDescent="0.3">
      <c r="A152" s="4" t="s">
        <v>758</v>
      </c>
      <c r="B152" t="s">
        <v>47</v>
      </c>
      <c r="C152" s="4" t="s">
        <v>759</v>
      </c>
      <c r="D152" s="4" t="s">
        <v>760</v>
      </c>
      <c r="E152" s="4" t="s">
        <v>49</v>
      </c>
      <c r="F152" s="5" t="s">
        <v>761</v>
      </c>
      <c r="G152" s="5" t="s">
        <v>762</v>
      </c>
      <c r="H152" t="s">
        <v>47</v>
      </c>
      <c r="I152" s="3">
        <v>36161</v>
      </c>
      <c r="J152" s="3">
        <v>39203</v>
      </c>
      <c r="K152" t="s">
        <v>47</v>
      </c>
      <c r="L152" s="5" t="s">
        <v>51</v>
      </c>
      <c r="M152" s="3">
        <v>36161</v>
      </c>
      <c r="N152" s="3">
        <v>39203</v>
      </c>
      <c r="O152" t="s">
        <v>47</v>
      </c>
      <c r="P152" s="3">
        <v>36161</v>
      </c>
      <c r="Q152" s="3">
        <v>39203</v>
      </c>
      <c r="R152" t="s">
        <v>47</v>
      </c>
      <c r="S152" t="s">
        <v>47</v>
      </c>
      <c r="T152" t="s">
        <v>47</v>
      </c>
      <c r="U152" t="s">
        <v>47</v>
      </c>
      <c r="V152" t="s">
        <v>47</v>
      </c>
      <c r="W152" s="3">
        <v>36161</v>
      </c>
      <c r="X152" s="3">
        <v>39203</v>
      </c>
      <c r="Y152" t="s">
        <v>47</v>
      </c>
      <c r="Z152" s="3">
        <v>36161</v>
      </c>
      <c r="AA152" s="3">
        <v>39203</v>
      </c>
      <c r="AB152" t="s">
        <v>47</v>
      </c>
      <c r="AC152" s="3">
        <v>36892</v>
      </c>
      <c r="AD152" s="3">
        <v>39203</v>
      </c>
      <c r="AE152" t="s">
        <v>47</v>
      </c>
      <c r="AF152" t="s">
        <v>47</v>
      </c>
      <c r="AG152" t="s">
        <v>47</v>
      </c>
      <c r="AH152" t="s">
        <v>47</v>
      </c>
      <c r="AI152" t="s">
        <v>47</v>
      </c>
      <c r="AJ152" t="s">
        <v>47</v>
      </c>
      <c r="AK152" t="s">
        <v>47</v>
      </c>
      <c r="AL152" t="s">
        <v>47</v>
      </c>
      <c r="AM152" t="s">
        <v>47</v>
      </c>
      <c r="AN152" t="s">
        <v>47</v>
      </c>
      <c r="AO152" s="5" t="s">
        <v>51</v>
      </c>
      <c r="AP152" s="4" t="s">
        <v>135</v>
      </c>
      <c r="AQ152" s="4" t="s">
        <v>53</v>
      </c>
      <c r="AR152" s="4" t="s">
        <v>763</v>
      </c>
      <c r="AS152" s="5">
        <v>32684</v>
      </c>
      <c r="AT152" t="s">
        <v>47</v>
      </c>
    </row>
    <row r="153" spans="1:46" ht="104" x14ac:dyDescent="0.3">
      <c r="A153" s="4" t="s">
        <v>764</v>
      </c>
      <c r="B153" t="s">
        <v>47</v>
      </c>
      <c r="C153" s="4" t="s">
        <v>169</v>
      </c>
      <c r="D153" s="4" t="s">
        <v>765</v>
      </c>
      <c r="E153" s="4" t="s">
        <v>66</v>
      </c>
      <c r="F153" s="5" t="s">
        <v>766</v>
      </c>
      <c r="G153" s="5" t="s">
        <v>767</v>
      </c>
      <c r="H153" t="s">
        <v>47</v>
      </c>
      <c r="I153" s="3">
        <v>34335</v>
      </c>
      <c r="J153" s="3">
        <v>38899</v>
      </c>
      <c r="K153" t="s">
        <v>47</v>
      </c>
      <c r="L153" s="5" t="s">
        <v>60</v>
      </c>
      <c r="M153" s="3">
        <v>34335</v>
      </c>
      <c r="N153" s="3">
        <v>38899</v>
      </c>
      <c r="O153" t="s">
        <v>47</v>
      </c>
      <c r="P153" s="3">
        <v>34335</v>
      </c>
      <c r="Q153" s="3">
        <v>38899</v>
      </c>
      <c r="R153" t="s">
        <v>47</v>
      </c>
      <c r="S153" t="s">
        <v>47</v>
      </c>
      <c r="T153" t="s">
        <v>47</v>
      </c>
      <c r="U153" t="s">
        <v>47</v>
      </c>
      <c r="V153" t="s">
        <v>47</v>
      </c>
      <c r="W153" s="3">
        <v>32143</v>
      </c>
      <c r="X153" s="5" t="s">
        <v>50</v>
      </c>
      <c r="Y153" t="s">
        <v>47</v>
      </c>
      <c r="Z153" s="3">
        <v>32143</v>
      </c>
      <c r="AA153" s="5" t="s">
        <v>50</v>
      </c>
      <c r="AB153" t="s">
        <v>47</v>
      </c>
      <c r="AC153" s="3">
        <v>32143</v>
      </c>
      <c r="AD153" s="5" t="s">
        <v>50</v>
      </c>
      <c r="AE153" t="s">
        <v>47</v>
      </c>
      <c r="AF153" t="s">
        <v>47</v>
      </c>
      <c r="AG153" t="s">
        <v>47</v>
      </c>
      <c r="AH153" t="s">
        <v>47</v>
      </c>
      <c r="AI153" t="s">
        <v>47</v>
      </c>
      <c r="AJ153" t="s">
        <v>47</v>
      </c>
      <c r="AK153" t="s">
        <v>47</v>
      </c>
      <c r="AL153" t="s">
        <v>47</v>
      </c>
      <c r="AM153" t="s">
        <v>47</v>
      </c>
      <c r="AN153" t="s">
        <v>47</v>
      </c>
      <c r="AO153" s="5" t="s">
        <v>60</v>
      </c>
      <c r="AP153" s="4" t="s">
        <v>61</v>
      </c>
      <c r="AQ153" s="4" t="s">
        <v>53</v>
      </c>
      <c r="AR153" s="4" t="s">
        <v>768</v>
      </c>
      <c r="AS153" s="5">
        <v>35485</v>
      </c>
      <c r="AT153" t="s">
        <v>47</v>
      </c>
    </row>
    <row r="154" spans="1:46" ht="39" x14ac:dyDescent="0.3">
      <c r="A154" s="4" t="s">
        <v>769</v>
      </c>
      <c r="B154" t="s">
        <v>47</v>
      </c>
      <c r="C154" s="4" t="s">
        <v>770</v>
      </c>
      <c r="D154" s="4" t="s">
        <v>771</v>
      </c>
      <c r="E154" s="4" t="s">
        <v>49</v>
      </c>
      <c r="F154" s="5" t="s">
        <v>772</v>
      </c>
      <c r="G154" s="5" t="s">
        <v>773</v>
      </c>
      <c r="H154" t="s">
        <v>47</v>
      </c>
      <c r="I154" t="s">
        <v>47</v>
      </c>
      <c r="J154" t="s">
        <v>47</v>
      </c>
      <c r="K154" t="s">
        <v>47</v>
      </c>
      <c r="L154" s="5" t="s">
        <v>51</v>
      </c>
      <c r="M154" t="s">
        <v>47</v>
      </c>
      <c r="N154" t="s">
        <v>47</v>
      </c>
      <c r="O154" t="s">
        <v>47</v>
      </c>
      <c r="P154" t="s">
        <v>47</v>
      </c>
      <c r="Q154" t="s">
        <v>47</v>
      </c>
      <c r="R154" t="s">
        <v>47</v>
      </c>
      <c r="S154" t="s">
        <v>47</v>
      </c>
      <c r="T154" t="s">
        <v>47</v>
      </c>
      <c r="U154" t="s">
        <v>47</v>
      </c>
      <c r="V154" t="s">
        <v>47</v>
      </c>
      <c r="W154" s="3">
        <v>35916</v>
      </c>
      <c r="X154" s="3">
        <v>38139</v>
      </c>
      <c r="Y154" t="s">
        <v>47</v>
      </c>
      <c r="Z154" s="3">
        <v>35916</v>
      </c>
      <c r="AA154" s="3">
        <v>38139</v>
      </c>
      <c r="AB154" t="s">
        <v>47</v>
      </c>
      <c r="AC154" s="3">
        <v>37987</v>
      </c>
      <c r="AD154" s="3">
        <v>38139</v>
      </c>
      <c r="AE154" t="s">
        <v>47</v>
      </c>
      <c r="AF154" t="s">
        <v>47</v>
      </c>
      <c r="AG154" t="s">
        <v>47</v>
      </c>
      <c r="AH154" t="s">
        <v>47</v>
      </c>
      <c r="AI154" t="s">
        <v>47</v>
      </c>
      <c r="AJ154" t="s">
        <v>47</v>
      </c>
      <c r="AK154" t="s">
        <v>47</v>
      </c>
      <c r="AL154" t="s">
        <v>47</v>
      </c>
      <c r="AM154" t="s">
        <v>47</v>
      </c>
      <c r="AN154" t="s">
        <v>47</v>
      </c>
      <c r="AO154" s="5" t="s">
        <v>51</v>
      </c>
      <c r="AP154" s="4" t="s">
        <v>85</v>
      </c>
      <c r="AQ154" s="4" t="s">
        <v>53</v>
      </c>
      <c r="AR154" s="4" t="s">
        <v>147</v>
      </c>
      <c r="AS154" s="5">
        <v>46820</v>
      </c>
      <c r="AT154" t="s">
        <v>47</v>
      </c>
    </row>
    <row r="155" spans="1:46" ht="26" x14ac:dyDescent="0.3">
      <c r="A155" s="4" t="s">
        <v>774</v>
      </c>
      <c r="B155" t="s">
        <v>47</v>
      </c>
      <c r="C155" s="4" t="s">
        <v>775</v>
      </c>
      <c r="D155" s="4" t="s">
        <v>324</v>
      </c>
      <c r="E155" s="4" t="s">
        <v>49</v>
      </c>
      <c r="F155" s="5" t="s">
        <v>776</v>
      </c>
      <c r="G155" s="5" t="s">
        <v>777</v>
      </c>
      <c r="H155" t="s">
        <v>47</v>
      </c>
      <c r="I155" s="3">
        <v>36100</v>
      </c>
      <c r="J155" s="3">
        <v>42461</v>
      </c>
      <c r="K155" t="s">
        <v>47</v>
      </c>
      <c r="L155" s="5" t="s">
        <v>51</v>
      </c>
      <c r="M155" s="3">
        <v>36100</v>
      </c>
      <c r="N155" s="3">
        <v>42461</v>
      </c>
      <c r="O155" t="s">
        <v>47</v>
      </c>
      <c r="P155" s="3">
        <v>36100</v>
      </c>
      <c r="Q155" s="3">
        <v>42461</v>
      </c>
      <c r="R155" t="s">
        <v>47</v>
      </c>
      <c r="S155" t="s">
        <v>47</v>
      </c>
      <c r="T155" t="s">
        <v>47</v>
      </c>
      <c r="U155" t="s">
        <v>47</v>
      </c>
      <c r="V155" t="s">
        <v>47</v>
      </c>
      <c r="W155" s="3">
        <v>36100</v>
      </c>
      <c r="X155" s="3">
        <v>42461</v>
      </c>
      <c r="Y155" t="s">
        <v>47</v>
      </c>
      <c r="Z155" s="3">
        <v>36100</v>
      </c>
      <c r="AA155" s="3">
        <v>42461</v>
      </c>
      <c r="AB155" t="s">
        <v>47</v>
      </c>
      <c r="AC155" s="3">
        <v>36100</v>
      </c>
      <c r="AD155" s="3">
        <v>42461</v>
      </c>
      <c r="AE155" t="s">
        <v>47</v>
      </c>
      <c r="AF155" t="s">
        <v>47</v>
      </c>
      <c r="AG155" t="s">
        <v>47</v>
      </c>
      <c r="AH155" t="s">
        <v>47</v>
      </c>
      <c r="AI155" t="s">
        <v>47</v>
      </c>
      <c r="AJ155" t="s">
        <v>47</v>
      </c>
      <c r="AK155" t="s">
        <v>47</v>
      </c>
      <c r="AL155" t="s">
        <v>47</v>
      </c>
      <c r="AM155" t="s">
        <v>47</v>
      </c>
      <c r="AN155" t="s">
        <v>47</v>
      </c>
      <c r="AO155" s="5" t="s">
        <v>51</v>
      </c>
      <c r="AP155" s="4" t="s">
        <v>135</v>
      </c>
      <c r="AQ155" s="4" t="s">
        <v>53</v>
      </c>
      <c r="AR155" s="4" t="s">
        <v>697</v>
      </c>
      <c r="AS155" s="5">
        <v>31915</v>
      </c>
      <c r="AT155" t="s">
        <v>47</v>
      </c>
    </row>
    <row r="156" spans="1:46" ht="39" x14ac:dyDescent="0.3">
      <c r="A156" s="4" t="s">
        <v>778</v>
      </c>
      <c r="B156" t="s">
        <v>47</v>
      </c>
      <c r="C156" s="4" t="s">
        <v>779</v>
      </c>
      <c r="D156" s="4" t="s">
        <v>780</v>
      </c>
      <c r="E156" s="4" t="s">
        <v>49</v>
      </c>
      <c r="F156" s="5" t="s">
        <v>781</v>
      </c>
      <c r="G156" t="s">
        <v>47</v>
      </c>
      <c r="H156" t="s">
        <v>47</v>
      </c>
      <c r="I156" t="s">
        <v>47</v>
      </c>
      <c r="J156" t="s">
        <v>47</v>
      </c>
      <c r="K156" t="s">
        <v>47</v>
      </c>
      <c r="L156" s="5" t="s">
        <v>51</v>
      </c>
      <c r="M156" t="s">
        <v>47</v>
      </c>
      <c r="N156" t="s">
        <v>47</v>
      </c>
      <c r="O156" t="s">
        <v>47</v>
      </c>
      <c r="P156" t="s">
        <v>47</v>
      </c>
      <c r="Q156" t="s">
        <v>47</v>
      </c>
      <c r="R156" t="s">
        <v>47</v>
      </c>
      <c r="S156" t="s">
        <v>47</v>
      </c>
      <c r="T156" t="s">
        <v>47</v>
      </c>
      <c r="U156" t="s">
        <v>47</v>
      </c>
      <c r="V156" t="s">
        <v>47</v>
      </c>
      <c r="W156" s="3">
        <v>33604</v>
      </c>
      <c r="X156" s="3">
        <v>37561</v>
      </c>
      <c r="Y156" t="s">
        <v>47</v>
      </c>
      <c r="Z156" s="3">
        <v>33604</v>
      </c>
      <c r="AA156" s="3">
        <v>37561</v>
      </c>
      <c r="AB156" t="s">
        <v>47</v>
      </c>
      <c r="AC156" s="3">
        <v>33604</v>
      </c>
      <c r="AD156" s="3">
        <v>37561</v>
      </c>
      <c r="AE156" t="s">
        <v>47</v>
      </c>
      <c r="AF156" t="s">
        <v>47</v>
      </c>
      <c r="AG156" t="s">
        <v>47</v>
      </c>
      <c r="AH156" t="s">
        <v>47</v>
      </c>
      <c r="AI156" t="s">
        <v>47</v>
      </c>
      <c r="AJ156" t="s">
        <v>47</v>
      </c>
      <c r="AK156" t="s">
        <v>47</v>
      </c>
      <c r="AL156" t="s">
        <v>47</v>
      </c>
      <c r="AM156" t="s">
        <v>47</v>
      </c>
      <c r="AN156" t="s">
        <v>47</v>
      </c>
      <c r="AO156" s="5" t="s">
        <v>51</v>
      </c>
      <c r="AP156" s="4" t="s">
        <v>85</v>
      </c>
      <c r="AQ156" s="4" t="s">
        <v>53</v>
      </c>
      <c r="AR156" s="4" t="s">
        <v>782</v>
      </c>
      <c r="AS156" s="5">
        <v>36215</v>
      </c>
      <c r="AT156" t="s">
        <v>47</v>
      </c>
    </row>
    <row r="157" spans="1:46" ht="65" x14ac:dyDescent="0.3">
      <c r="A157" s="4" t="s">
        <v>783</v>
      </c>
      <c r="B157" t="s">
        <v>47</v>
      </c>
      <c r="C157" s="4" t="s">
        <v>784</v>
      </c>
      <c r="D157" s="4" t="s">
        <v>785</v>
      </c>
      <c r="E157" s="4" t="s">
        <v>49</v>
      </c>
      <c r="F157" s="5" t="s">
        <v>786</v>
      </c>
      <c r="G157" s="5" t="s">
        <v>787</v>
      </c>
      <c r="H157" t="s">
        <v>47</v>
      </c>
      <c r="I157" s="3">
        <v>35796</v>
      </c>
      <c r="J157" s="5" t="s">
        <v>50</v>
      </c>
      <c r="K157" t="s">
        <v>47</v>
      </c>
      <c r="L157" s="5" t="s">
        <v>60</v>
      </c>
      <c r="M157" s="3">
        <v>35796</v>
      </c>
      <c r="N157" s="3">
        <v>43647</v>
      </c>
      <c r="O157" s="5" t="s">
        <v>788</v>
      </c>
      <c r="P157" s="3">
        <v>35796</v>
      </c>
      <c r="Q157" s="5" t="s">
        <v>50</v>
      </c>
      <c r="R157" t="s">
        <v>47</v>
      </c>
      <c r="S157" t="s">
        <v>47</v>
      </c>
      <c r="T157" t="s">
        <v>47</v>
      </c>
      <c r="U157" t="s">
        <v>47</v>
      </c>
      <c r="V157" t="s">
        <v>47</v>
      </c>
      <c r="W157" s="3">
        <v>35796</v>
      </c>
      <c r="X157" s="5" t="s">
        <v>50</v>
      </c>
      <c r="Y157" t="s">
        <v>47</v>
      </c>
      <c r="Z157" s="3">
        <v>35796</v>
      </c>
      <c r="AA157" s="5" t="s">
        <v>50</v>
      </c>
      <c r="AB157" t="s">
        <v>47</v>
      </c>
      <c r="AC157" s="3">
        <v>35796</v>
      </c>
      <c r="AD157" s="5" t="s">
        <v>50</v>
      </c>
      <c r="AE157" t="s">
        <v>47</v>
      </c>
      <c r="AF157" t="s">
        <v>47</v>
      </c>
      <c r="AG157" t="s">
        <v>47</v>
      </c>
      <c r="AH157" t="s">
        <v>47</v>
      </c>
      <c r="AI157" t="s">
        <v>47</v>
      </c>
      <c r="AJ157" t="s">
        <v>47</v>
      </c>
      <c r="AK157" t="s">
        <v>47</v>
      </c>
      <c r="AL157" t="s">
        <v>47</v>
      </c>
      <c r="AM157" t="s">
        <v>47</v>
      </c>
      <c r="AN157" t="s">
        <v>47</v>
      </c>
      <c r="AO157" s="5" t="s">
        <v>60</v>
      </c>
      <c r="AP157" s="4" t="s">
        <v>61</v>
      </c>
      <c r="AQ157" s="4" t="s">
        <v>53</v>
      </c>
      <c r="AR157" s="4" t="s">
        <v>789</v>
      </c>
      <c r="AS157" s="5">
        <v>47792</v>
      </c>
      <c r="AT157" t="s">
        <v>47</v>
      </c>
    </row>
    <row r="158" spans="1:46" ht="39" x14ac:dyDescent="0.3">
      <c r="A158" s="4" t="s">
        <v>790</v>
      </c>
      <c r="B158" t="s">
        <v>47</v>
      </c>
      <c r="C158" s="4" t="s">
        <v>775</v>
      </c>
      <c r="D158" s="4" t="s">
        <v>324</v>
      </c>
      <c r="E158" s="4" t="s">
        <v>49</v>
      </c>
      <c r="F158" s="5" t="s">
        <v>791</v>
      </c>
      <c r="G158" t="s">
        <v>47</v>
      </c>
      <c r="H158" t="s">
        <v>47</v>
      </c>
      <c r="I158" s="3">
        <v>35704</v>
      </c>
      <c r="J158" s="5" t="s">
        <v>50</v>
      </c>
      <c r="K158" t="s">
        <v>47</v>
      </c>
      <c r="L158" s="5" t="s">
        <v>51</v>
      </c>
      <c r="M158" s="3">
        <v>35704</v>
      </c>
      <c r="N158" s="5" t="s">
        <v>50</v>
      </c>
      <c r="O158" t="s">
        <v>47</v>
      </c>
      <c r="P158" s="3">
        <v>35704</v>
      </c>
      <c r="Q158" s="5" t="s">
        <v>50</v>
      </c>
      <c r="R158" t="s">
        <v>47</v>
      </c>
      <c r="S158" t="s">
        <v>47</v>
      </c>
      <c r="T158" t="s">
        <v>47</v>
      </c>
      <c r="U158" t="s">
        <v>47</v>
      </c>
      <c r="V158" t="s">
        <v>47</v>
      </c>
      <c r="W158" s="3">
        <v>33239</v>
      </c>
      <c r="X158" s="5" t="s">
        <v>50</v>
      </c>
      <c r="Y158" t="s">
        <v>47</v>
      </c>
      <c r="Z158" s="3">
        <v>33239</v>
      </c>
      <c r="AA158" s="5" t="s">
        <v>50</v>
      </c>
      <c r="AB158" t="s">
        <v>47</v>
      </c>
      <c r="AC158" s="3">
        <v>33239</v>
      </c>
      <c r="AD158" s="5" t="s">
        <v>50</v>
      </c>
      <c r="AE158" t="s">
        <v>47</v>
      </c>
      <c r="AF158" t="s">
        <v>47</v>
      </c>
      <c r="AG158" t="s">
        <v>47</v>
      </c>
      <c r="AH158" t="s">
        <v>47</v>
      </c>
      <c r="AI158" t="s">
        <v>47</v>
      </c>
      <c r="AJ158" t="s">
        <v>47</v>
      </c>
      <c r="AK158" t="s">
        <v>47</v>
      </c>
      <c r="AL158" t="s">
        <v>47</v>
      </c>
      <c r="AM158" t="s">
        <v>47</v>
      </c>
      <c r="AN158" t="s">
        <v>47</v>
      </c>
      <c r="AO158" s="5" t="s">
        <v>51</v>
      </c>
      <c r="AP158" s="4" t="s">
        <v>85</v>
      </c>
      <c r="AQ158" s="4" t="s">
        <v>53</v>
      </c>
      <c r="AR158" s="4" t="s">
        <v>782</v>
      </c>
      <c r="AS158" s="5">
        <v>41729</v>
      </c>
      <c r="AT158" t="s">
        <v>47</v>
      </c>
    </row>
    <row r="159" spans="1:46" ht="26" x14ac:dyDescent="0.3">
      <c r="A159" s="4" t="s">
        <v>792</v>
      </c>
      <c r="B159" t="s">
        <v>47</v>
      </c>
      <c r="C159" s="4" t="s">
        <v>793</v>
      </c>
      <c r="D159" s="4" t="s">
        <v>794</v>
      </c>
      <c r="E159" s="4" t="s">
        <v>49</v>
      </c>
      <c r="F159" s="5" t="s">
        <v>795</v>
      </c>
      <c r="G159" t="s">
        <v>47</v>
      </c>
      <c r="H159" t="s">
        <v>47</v>
      </c>
      <c r="I159" t="s">
        <v>47</v>
      </c>
      <c r="J159" t="s">
        <v>47</v>
      </c>
      <c r="K159" t="s">
        <v>47</v>
      </c>
      <c r="L159" s="5" t="s">
        <v>51</v>
      </c>
      <c r="M159" t="s">
        <v>47</v>
      </c>
      <c r="N159" t="s">
        <v>47</v>
      </c>
      <c r="O159" t="s">
        <v>47</v>
      </c>
      <c r="P159" t="s">
        <v>47</v>
      </c>
      <c r="Q159" t="s">
        <v>47</v>
      </c>
      <c r="R159" t="s">
        <v>47</v>
      </c>
      <c r="S159" t="s">
        <v>47</v>
      </c>
      <c r="T159" t="s">
        <v>47</v>
      </c>
      <c r="U159" t="s">
        <v>47</v>
      </c>
      <c r="V159" t="s">
        <v>47</v>
      </c>
      <c r="W159" s="3">
        <v>35462</v>
      </c>
      <c r="X159" s="3">
        <v>36192</v>
      </c>
      <c r="Y159" t="s">
        <v>47</v>
      </c>
      <c r="Z159" s="3">
        <v>35462</v>
      </c>
      <c r="AA159" s="3">
        <v>36192</v>
      </c>
      <c r="AB159" t="s">
        <v>47</v>
      </c>
      <c r="AC159" s="3">
        <v>35462</v>
      </c>
      <c r="AD159" s="3">
        <v>36192</v>
      </c>
      <c r="AE159" t="s">
        <v>47</v>
      </c>
      <c r="AF159" t="s">
        <v>47</v>
      </c>
      <c r="AG159" t="s">
        <v>47</v>
      </c>
      <c r="AH159" t="s">
        <v>47</v>
      </c>
      <c r="AI159" t="s">
        <v>47</v>
      </c>
      <c r="AJ159" t="s">
        <v>47</v>
      </c>
      <c r="AK159" t="s">
        <v>47</v>
      </c>
      <c r="AL159" t="s">
        <v>47</v>
      </c>
      <c r="AM159" t="s">
        <v>47</v>
      </c>
      <c r="AN159" t="s">
        <v>47</v>
      </c>
      <c r="AO159" s="5" t="s">
        <v>51</v>
      </c>
      <c r="AP159" s="4" t="s">
        <v>135</v>
      </c>
      <c r="AQ159" s="4" t="s">
        <v>53</v>
      </c>
      <c r="AR159" s="4" t="s">
        <v>580</v>
      </c>
      <c r="AS159" s="5">
        <v>30043</v>
      </c>
      <c r="AT159" t="s">
        <v>47</v>
      </c>
    </row>
    <row r="160" spans="1:46" ht="13" x14ac:dyDescent="0.3">
      <c r="A160" s="4" t="s">
        <v>796</v>
      </c>
      <c r="B160" t="s">
        <v>47</v>
      </c>
      <c r="C160" s="4" t="s">
        <v>200</v>
      </c>
      <c r="D160" s="4" t="s">
        <v>139</v>
      </c>
      <c r="E160" s="4" t="s">
        <v>66</v>
      </c>
      <c r="F160" s="5" t="s">
        <v>797</v>
      </c>
      <c r="G160" s="5" t="s">
        <v>798</v>
      </c>
      <c r="H160" t="s">
        <v>47</v>
      </c>
      <c r="I160" s="3">
        <v>35674</v>
      </c>
      <c r="J160" s="3">
        <v>36861</v>
      </c>
      <c r="K160" t="s">
        <v>47</v>
      </c>
      <c r="L160" s="5" t="s">
        <v>60</v>
      </c>
      <c r="M160" s="3">
        <v>35674</v>
      </c>
      <c r="N160" s="3">
        <v>36861</v>
      </c>
      <c r="O160" t="s">
        <v>47</v>
      </c>
      <c r="P160" s="3">
        <v>35674</v>
      </c>
      <c r="Q160" s="3">
        <v>36861</v>
      </c>
      <c r="R160" t="s">
        <v>47</v>
      </c>
      <c r="S160" t="s">
        <v>47</v>
      </c>
      <c r="T160" t="s">
        <v>47</v>
      </c>
      <c r="U160" t="s">
        <v>47</v>
      </c>
      <c r="V160" t="s">
        <v>47</v>
      </c>
      <c r="W160" s="3">
        <v>35674</v>
      </c>
      <c r="X160" s="5" t="s">
        <v>50</v>
      </c>
      <c r="Y160" t="s">
        <v>47</v>
      </c>
      <c r="Z160" s="3">
        <v>35674</v>
      </c>
      <c r="AA160" s="5" t="s">
        <v>50</v>
      </c>
      <c r="AB160" t="s">
        <v>47</v>
      </c>
      <c r="AC160" s="3">
        <v>35674</v>
      </c>
      <c r="AD160" s="5" t="s">
        <v>50</v>
      </c>
      <c r="AE160" t="s">
        <v>47</v>
      </c>
      <c r="AF160" t="s">
        <v>47</v>
      </c>
      <c r="AG160" t="s">
        <v>47</v>
      </c>
      <c r="AH160" t="s">
        <v>47</v>
      </c>
      <c r="AI160" t="s">
        <v>47</v>
      </c>
      <c r="AJ160" t="s">
        <v>47</v>
      </c>
      <c r="AK160" t="s">
        <v>47</v>
      </c>
      <c r="AL160" t="s">
        <v>47</v>
      </c>
      <c r="AM160" t="s">
        <v>47</v>
      </c>
      <c r="AN160" t="s">
        <v>47</v>
      </c>
      <c r="AO160" s="5" t="s">
        <v>60</v>
      </c>
      <c r="AP160" s="4" t="s">
        <v>61</v>
      </c>
      <c r="AQ160" s="4" t="s">
        <v>53</v>
      </c>
      <c r="AR160" s="4" t="s">
        <v>54</v>
      </c>
      <c r="AS160" s="5">
        <v>33034</v>
      </c>
      <c r="AT160" t="s">
        <v>47</v>
      </c>
    </row>
    <row r="161" spans="1:46" ht="26" x14ac:dyDescent="0.3">
      <c r="A161" s="4" t="s">
        <v>799</v>
      </c>
      <c r="B161" t="s">
        <v>47</v>
      </c>
      <c r="C161" s="4" t="s">
        <v>800</v>
      </c>
      <c r="D161" s="4" t="s">
        <v>801</v>
      </c>
      <c r="E161" s="4" t="s">
        <v>66</v>
      </c>
      <c r="F161" s="5" t="s">
        <v>802</v>
      </c>
      <c r="G161" s="5" t="s">
        <v>803</v>
      </c>
      <c r="H161" t="s">
        <v>47</v>
      </c>
      <c r="I161" s="3">
        <v>35855</v>
      </c>
      <c r="J161" s="3">
        <v>38869</v>
      </c>
      <c r="K161" t="s">
        <v>47</v>
      </c>
      <c r="L161" s="5" t="s">
        <v>60</v>
      </c>
      <c r="M161" s="3">
        <v>35855</v>
      </c>
      <c r="N161" s="3">
        <v>38869</v>
      </c>
      <c r="O161" t="s">
        <v>47</v>
      </c>
      <c r="P161" s="3">
        <v>35855</v>
      </c>
      <c r="Q161" s="3">
        <v>38869</v>
      </c>
      <c r="R161" t="s">
        <v>47</v>
      </c>
      <c r="S161" t="s">
        <v>47</v>
      </c>
      <c r="T161" t="s">
        <v>47</v>
      </c>
      <c r="U161" t="s">
        <v>47</v>
      </c>
      <c r="V161" t="s">
        <v>47</v>
      </c>
      <c r="W161" s="3">
        <v>35855</v>
      </c>
      <c r="X161" s="3">
        <v>38869</v>
      </c>
      <c r="Y161" t="s">
        <v>47</v>
      </c>
      <c r="Z161" s="3">
        <v>35855</v>
      </c>
      <c r="AA161" s="3">
        <v>38869</v>
      </c>
      <c r="AB161" t="s">
        <v>47</v>
      </c>
      <c r="AC161" t="s">
        <v>47</v>
      </c>
      <c r="AD161" t="s">
        <v>47</v>
      </c>
      <c r="AE161" t="s">
        <v>47</v>
      </c>
      <c r="AF161" t="s">
        <v>47</v>
      </c>
      <c r="AG161" t="s">
        <v>47</v>
      </c>
      <c r="AH161" t="s">
        <v>47</v>
      </c>
      <c r="AI161" t="s">
        <v>47</v>
      </c>
      <c r="AJ161" t="s">
        <v>47</v>
      </c>
      <c r="AK161" t="s">
        <v>47</v>
      </c>
      <c r="AL161" t="s">
        <v>47</v>
      </c>
      <c r="AM161" t="s">
        <v>47</v>
      </c>
      <c r="AN161" t="s">
        <v>47</v>
      </c>
      <c r="AO161" s="5" t="s">
        <v>60</v>
      </c>
      <c r="AP161" s="4" t="s">
        <v>61</v>
      </c>
      <c r="AQ161" s="4" t="s">
        <v>53</v>
      </c>
      <c r="AR161" s="4" t="s">
        <v>483</v>
      </c>
      <c r="AS161" s="5">
        <v>36006</v>
      </c>
      <c r="AT161" t="s">
        <v>47</v>
      </c>
    </row>
    <row r="162" spans="1:46" ht="26" x14ac:dyDescent="0.3">
      <c r="A162" s="4" t="s">
        <v>804</v>
      </c>
      <c r="B162" t="s">
        <v>47</v>
      </c>
      <c r="C162" s="4" t="s">
        <v>800</v>
      </c>
      <c r="D162" s="4" t="s">
        <v>801</v>
      </c>
      <c r="E162" s="4" t="s">
        <v>66</v>
      </c>
      <c r="F162" s="5" t="s">
        <v>805</v>
      </c>
      <c r="G162" s="5" t="s">
        <v>806</v>
      </c>
      <c r="H162" t="s">
        <v>47</v>
      </c>
      <c r="I162" s="3">
        <v>36039</v>
      </c>
      <c r="J162" s="3">
        <v>38777</v>
      </c>
      <c r="K162" t="s">
        <v>47</v>
      </c>
      <c r="L162" s="5" t="s">
        <v>60</v>
      </c>
      <c r="M162" s="3">
        <v>36039</v>
      </c>
      <c r="N162" s="3">
        <v>38777</v>
      </c>
      <c r="O162" t="s">
        <v>47</v>
      </c>
      <c r="P162" s="3">
        <v>36039</v>
      </c>
      <c r="Q162" s="3">
        <v>38777</v>
      </c>
      <c r="R162" t="s">
        <v>47</v>
      </c>
      <c r="S162" t="s">
        <v>47</v>
      </c>
      <c r="T162" t="s">
        <v>47</v>
      </c>
      <c r="U162" t="s">
        <v>47</v>
      </c>
      <c r="V162" t="s">
        <v>47</v>
      </c>
      <c r="W162" s="3">
        <v>36039</v>
      </c>
      <c r="X162" s="5" t="s">
        <v>50</v>
      </c>
      <c r="Y162" t="s">
        <v>47</v>
      </c>
      <c r="Z162" s="3">
        <v>36039</v>
      </c>
      <c r="AA162" s="5" t="s">
        <v>50</v>
      </c>
      <c r="AB162" t="s">
        <v>47</v>
      </c>
      <c r="AC162" s="3">
        <v>38047</v>
      </c>
      <c r="AD162" s="5" t="s">
        <v>50</v>
      </c>
      <c r="AE162" t="s">
        <v>47</v>
      </c>
      <c r="AF162" t="s">
        <v>47</v>
      </c>
      <c r="AG162" t="s">
        <v>47</v>
      </c>
      <c r="AH162" t="s">
        <v>47</v>
      </c>
      <c r="AI162" t="s">
        <v>47</v>
      </c>
      <c r="AJ162" t="s">
        <v>47</v>
      </c>
      <c r="AK162" t="s">
        <v>47</v>
      </c>
      <c r="AL162" t="s">
        <v>47</v>
      </c>
      <c r="AM162" t="s">
        <v>47</v>
      </c>
      <c r="AN162" t="s">
        <v>47</v>
      </c>
      <c r="AO162" s="5" t="s">
        <v>60</v>
      </c>
      <c r="AP162" s="4" t="s">
        <v>61</v>
      </c>
      <c r="AQ162" s="4" t="s">
        <v>53</v>
      </c>
      <c r="AR162" s="4" t="s">
        <v>807</v>
      </c>
      <c r="AS162" s="5">
        <v>32346</v>
      </c>
      <c r="AT162" t="s">
        <v>47</v>
      </c>
    </row>
    <row r="163" spans="1:46" ht="13" x14ac:dyDescent="0.3">
      <c r="A163" s="4" t="s">
        <v>808</v>
      </c>
      <c r="B163" t="s">
        <v>47</v>
      </c>
      <c r="C163" s="4" t="s">
        <v>169</v>
      </c>
      <c r="D163" s="4" t="s">
        <v>339</v>
      </c>
      <c r="E163" s="4" t="s">
        <v>66</v>
      </c>
      <c r="F163" s="5" t="s">
        <v>809</v>
      </c>
      <c r="G163" s="5" t="s">
        <v>810</v>
      </c>
      <c r="H163" t="s">
        <v>47</v>
      </c>
      <c r="I163" t="s">
        <v>47</v>
      </c>
      <c r="J163" t="s">
        <v>47</v>
      </c>
      <c r="K163" t="s">
        <v>47</v>
      </c>
      <c r="L163" s="5" t="s">
        <v>60</v>
      </c>
      <c r="M163" t="s">
        <v>47</v>
      </c>
      <c r="N163" t="s">
        <v>47</v>
      </c>
      <c r="O163" t="s">
        <v>47</v>
      </c>
      <c r="P163" t="s">
        <v>47</v>
      </c>
      <c r="Q163" t="s">
        <v>47</v>
      </c>
      <c r="R163" t="s">
        <v>47</v>
      </c>
      <c r="S163" t="s">
        <v>47</v>
      </c>
      <c r="T163" t="s">
        <v>47</v>
      </c>
      <c r="U163" t="s">
        <v>47</v>
      </c>
      <c r="V163" t="s">
        <v>47</v>
      </c>
      <c r="W163" s="3">
        <v>37500</v>
      </c>
      <c r="X163" s="5" t="s">
        <v>50</v>
      </c>
      <c r="Y163" s="5" t="s">
        <v>811</v>
      </c>
      <c r="Z163" s="3">
        <v>37500</v>
      </c>
      <c r="AA163" s="5" t="s">
        <v>50</v>
      </c>
      <c r="AB163" s="5" t="s">
        <v>811</v>
      </c>
      <c r="AC163" s="3">
        <v>38412</v>
      </c>
      <c r="AD163" s="5" t="s">
        <v>50</v>
      </c>
      <c r="AE163" s="5" t="s">
        <v>811</v>
      </c>
      <c r="AF163" t="s">
        <v>47</v>
      </c>
      <c r="AG163" t="s">
        <v>47</v>
      </c>
      <c r="AH163" t="s">
        <v>47</v>
      </c>
      <c r="AI163" t="s">
        <v>47</v>
      </c>
      <c r="AJ163" t="s">
        <v>47</v>
      </c>
      <c r="AK163" t="s">
        <v>47</v>
      </c>
      <c r="AL163" t="s">
        <v>47</v>
      </c>
      <c r="AM163" t="s">
        <v>47</v>
      </c>
      <c r="AN163" t="s">
        <v>47</v>
      </c>
      <c r="AO163" s="5" t="s">
        <v>60</v>
      </c>
      <c r="AP163" s="4" t="s">
        <v>61</v>
      </c>
      <c r="AQ163" s="4" t="s">
        <v>53</v>
      </c>
      <c r="AR163" s="4" t="s">
        <v>54</v>
      </c>
      <c r="AS163" s="5">
        <v>48049</v>
      </c>
      <c r="AT163" t="s">
        <v>47</v>
      </c>
    </row>
    <row r="164" spans="1:46" ht="65" x14ac:dyDescent="0.3">
      <c r="A164" s="4" t="s">
        <v>812</v>
      </c>
      <c r="B164" t="s">
        <v>47</v>
      </c>
      <c r="C164" s="4" t="s">
        <v>200</v>
      </c>
      <c r="D164" s="4" t="s">
        <v>813</v>
      </c>
      <c r="E164" s="4" t="s">
        <v>66</v>
      </c>
      <c r="F164" s="5" t="s">
        <v>814</v>
      </c>
      <c r="G164" s="5" t="s">
        <v>815</v>
      </c>
      <c r="H164" t="s">
        <v>47</v>
      </c>
      <c r="I164" t="s">
        <v>47</v>
      </c>
      <c r="J164" t="s">
        <v>47</v>
      </c>
      <c r="K164" t="s">
        <v>47</v>
      </c>
      <c r="L164" s="5" t="s">
        <v>60</v>
      </c>
      <c r="M164" t="s">
        <v>47</v>
      </c>
      <c r="N164" t="s">
        <v>47</v>
      </c>
      <c r="O164" t="s">
        <v>47</v>
      </c>
      <c r="P164" t="s">
        <v>47</v>
      </c>
      <c r="Q164" t="s">
        <v>47</v>
      </c>
      <c r="R164" t="s">
        <v>47</v>
      </c>
      <c r="S164" t="s">
        <v>47</v>
      </c>
      <c r="T164" t="s">
        <v>47</v>
      </c>
      <c r="U164" t="s">
        <v>47</v>
      </c>
      <c r="V164" t="s">
        <v>47</v>
      </c>
      <c r="W164" s="3">
        <v>38292</v>
      </c>
      <c r="X164" s="5" t="s">
        <v>50</v>
      </c>
      <c r="Y164" t="s">
        <v>47</v>
      </c>
      <c r="Z164" s="3">
        <v>38292</v>
      </c>
      <c r="AA164" s="5" t="s">
        <v>50</v>
      </c>
      <c r="AB164" t="s">
        <v>47</v>
      </c>
      <c r="AC164" s="3">
        <v>38292</v>
      </c>
      <c r="AD164" s="5" t="s">
        <v>50</v>
      </c>
      <c r="AE164" t="s">
        <v>47</v>
      </c>
      <c r="AF164" t="s">
        <v>47</v>
      </c>
      <c r="AG164" t="s">
        <v>47</v>
      </c>
      <c r="AH164" t="s">
        <v>47</v>
      </c>
      <c r="AI164" t="s">
        <v>47</v>
      </c>
      <c r="AJ164" t="s">
        <v>47</v>
      </c>
      <c r="AK164" t="s">
        <v>47</v>
      </c>
      <c r="AL164" t="s">
        <v>47</v>
      </c>
      <c r="AM164" t="s">
        <v>47</v>
      </c>
      <c r="AN164" t="s">
        <v>47</v>
      </c>
      <c r="AO164" s="5" t="s">
        <v>60</v>
      </c>
      <c r="AP164" s="4" t="s">
        <v>61</v>
      </c>
      <c r="AQ164" s="4" t="s">
        <v>53</v>
      </c>
      <c r="AR164" s="4" t="s">
        <v>543</v>
      </c>
      <c r="AS164" s="5">
        <v>47505</v>
      </c>
      <c r="AT164" t="s">
        <v>47</v>
      </c>
    </row>
    <row r="165" spans="1:46" ht="52" x14ac:dyDescent="0.3">
      <c r="A165" s="4" t="s">
        <v>816</v>
      </c>
      <c r="B165" t="s">
        <v>47</v>
      </c>
      <c r="C165" s="4" t="s">
        <v>169</v>
      </c>
      <c r="D165" s="4" t="s">
        <v>612</v>
      </c>
      <c r="E165" s="4" t="s">
        <v>66</v>
      </c>
      <c r="F165" s="5" t="s">
        <v>817</v>
      </c>
      <c r="G165" s="5" t="s">
        <v>818</v>
      </c>
      <c r="H165" t="s">
        <v>47</v>
      </c>
      <c r="I165" s="3">
        <v>35735</v>
      </c>
      <c r="J165" s="3">
        <v>36831</v>
      </c>
      <c r="K165" t="s">
        <v>47</v>
      </c>
      <c r="L165" s="5" t="s">
        <v>60</v>
      </c>
      <c r="M165" s="3">
        <v>35735</v>
      </c>
      <c r="N165" s="3">
        <v>36831</v>
      </c>
      <c r="O165" t="s">
        <v>47</v>
      </c>
      <c r="P165" s="3">
        <v>35735</v>
      </c>
      <c r="Q165" s="3">
        <v>36831</v>
      </c>
      <c r="R165" t="s">
        <v>47</v>
      </c>
      <c r="S165" t="s">
        <v>47</v>
      </c>
      <c r="T165" t="s">
        <v>47</v>
      </c>
      <c r="U165" t="s">
        <v>47</v>
      </c>
      <c r="V165" t="s">
        <v>47</v>
      </c>
      <c r="W165" s="3">
        <v>35735</v>
      </c>
      <c r="X165" s="3">
        <v>42592</v>
      </c>
      <c r="Y165" t="s">
        <v>47</v>
      </c>
      <c r="Z165" s="3">
        <v>35735</v>
      </c>
      <c r="AA165" s="3">
        <v>42592</v>
      </c>
      <c r="AB165" t="s">
        <v>47</v>
      </c>
      <c r="AC165" s="3">
        <v>35735</v>
      </c>
      <c r="AD165" s="3">
        <v>42592</v>
      </c>
      <c r="AE165" t="s">
        <v>47</v>
      </c>
      <c r="AF165" t="s">
        <v>47</v>
      </c>
      <c r="AG165" t="s">
        <v>47</v>
      </c>
      <c r="AH165" t="s">
        <v>47</v>
      </c>
      <c r="AI165" t="s">
        <v>47</v>
      </c>
      <c r="AJ165" t="s">
        <v>47</v>
      </c>
      <c r="AK165" t="s">
        <v>47</v>
      </c>
      <c r="AL165" t="s">
        <v>47</v>
      </c>
      <c r="AM165" t="s">
        <v>47</v>
      </c>
      <c r="AN165" t="s">
        <v>47</v>
      </c>
      <c r="AO165" s="5" t="s">
        <v>60</v>
      </c>
      <c r="AP165" s="4" t="s">
        <v>61</v>
      </c>
      <c r="AQ165" s="4" t="s">
        <v>53</v>
      </c>
      <c r="AR165" s="4" t="s">
        <v>819</v>
      </c>
      <c r="AS165" s="5">
        <v>33035</v>
      </c>
      <c r="AT165" t="s">
        <v>47</v>
      </c>
    </row>
    <row r="166" spans="1:46" ht="65" x14ac:dyDescent="0.3">
      <c r="A166" s="4" t="s">
        <v>820</v>
      </c>
      <c r="B166" t="s">
        <v>47</v>
      </c>
      <c r="C166" s="4" t="s">
        <v>93</v>
      </c>
      <c r="D166" s="4" t="s">
        <v>821</v>
      </c>
      <c r="E166" s="4" t="s">
        <v>49</v>
      </c>
      <c r="F166" s="5" t="s">
        <v>822</v>
      </c>
      <c r="G166" s="5" t="s">
        <v>823</v>
      </c>
      <c r="H166" t="s">
        <v>47</v>
      </c>
      <c r="I166" t="s">
        <v>47</v>
      </c>
      <c r="J166" t="s">
        <v>47</v>
      </c>
      <c r="K166" t="s">
        <v>47</v>
      </c>
      <c r="L166" s="5" t="s">
        <v>60</v>
      </c>
      <c r="M166" t="s">
        <v>47</v>
      </c>
      <c r="N166" t="s">
        <v>47</v>
      </c>
      <c r="O166" t="s">
        <v>47</v>
      </c>
      <c r="P166" t="s">
        <v>47</v>
      </c>
      <c r="Q166" t="s">
        <v>47</v>
      </c>
      <c r="R166" t="s">
        <v>47</v>
      </c>
      <c r="S166" t="s">
        <v>47</v>
      </c>
      <c r="T166" t="s">
        <v>47</v>
      </c>
      <c r="U166" t="s">
        <v>47</v>
      </c>
      <c r="V166" t="s">
        <v>47</v>
      </c>
      <c r="W166" s="3">
        <v>41244</v>
      </c>
      <c r="X166" s="5" t="s">
        <v>50</v>
      </c>
      <c r="Y166" t="s">
        <v>47</v>
      </c>
      <c r="Z166" s="3">
        <v>41244</v>
      </c>
      <c r="AA166" s="5" t="s">
        <v>50</v>
      </c>
      <c r="AB166" t="s">
        <v>47</v>
      </c>
      <c r="AC166" s="3">
        <v>41244</v>
      </c>
      <c r="AD166" s="5" t="s">
        <v>50</v>
      </c>
      <c r="AE166" t="s">
        <v>47</v>
      </c>
      <c r="AF166" t="s">
        <v>47</v>
      </c>
      <c r="AG166" t="s">
        <v>47</v>
      </c>
      <c r="AH166" t="s">
        <v>47</v>
      </c>
      <c r="AI166" t="s">
        <v>47</v>
      </c>
      <c r="AJ166" t="s">
        <v>47</v>
      </c>
      <c r="AK166" t="s">
        <v>47</v>
      </c>
      <c r="AL166" t="s">
        <v>47</v>
      </c>
      <c r="AM166" t="s">
        <v>47</v>
      </c>
      <c r="AN166" t="s">
        <v>47</v>
      </c>
      <c r="AO166" s="5" t="s">
        <v>60</v>
      </c>
      <c r="AP166" s="4" t="s">
        <v>61</v>
      </c>
      <c r="AQ166" s="4" t="s">
        <v>53</v>
      </c>
      <c r="AR166" s="4" t="s">
        <v>297</v>
      </c>
      <c r="AS166" s="5">
        <v>1006523</v>
      </c>
      <c r="AT166" t="s">
        <v>47</v>
      </c>
    </row>
    <row r="167" spans="1:46" ht="13" x14ac:dyDescent="0.3">
      <c r="A167" s="4" t="s">
        <v>824</v>
      </c>
      <c r="B167" t="s">
        <v>47</v>
      </c>
      <c r="C167" s="4" t="s">
        <v>397</v>
      </c>
      <c r="D167" s="4" t="s">
        <v>612</v>
      </c>
      <c r="E167" s="4" t="s">
        <v>66</v>
      </c>
      <c r="F167" s="5" t="s">
        <v>825</v>
      </c>
      <c r="G167" s="5" t="s">
        <v>826</v>
      </c>
      <c r="H167" t="s">
        <v>47</v>
      </c>
      <c r="I167" s="3">
        <v>36951</v>
      </c>
      <c r="J167" s="5" t="s">
        <v>50</v>
      </c>
      <c r="K167" t="s">
        <v>47</v>
      </c>
      <c r="L167" s="5" t="s">
        <v>60</v>
      </c>
      <c r="M167" s="3">
        <v>39508</v>
      </c>
      <c r="N167" s="5" t="s">
        <v>50</v>
      </c>
      <c r="O167" t="s">
        <v>47</v>
      </c>
      <c r="P167" s="3">
        <v>36951</v>
      </c>
      <c r="Q167" s="5" t="s">
        <v>50</v>
      </c>
      <c r="R167" t="s">
        <v>47</v>
      </c>
      <c r="S167" t="s">
        <v>47</v>
      </c>
      <c r="T167" t="s">
        <v>47</v>
      </c>
      <c r="U167" t="s">
        <v>47</v>
      </c>
      <c r="V167" s="5">
        <v>365</v>
      </c>
      <c r="W167" s="3">
        <v>30742</v>
      </c>
      <c r="X167" s="5" t="s">
        <v>50</v>
      </c>
      <c r="Y167" t="s">
        <v>47</v>
      </c>
      <c r="Z167" s="3">
        <v>30742</v>
      </c>
      <c r="AA167" s="5" t="s">
        <v>50</v>
      </c>
      <c r="AB167" t="s">
        <v>47</v>
      </c>
      <c r="AC167" s="3">
        <v>36951</v>
      </c>
      <c r="AD167" s="5" t="s">
        <v>50</v>
      </c>
      <c r="AE167" t="s">
        <v>47</v>
      </c>
      <c r="AF167" t="s">
        <v>47</v>
      </c>
      <c r="AG167" t="s">
        <v>47</v>
      </c>
      <c r="AH167" t="s">
        <v>47</v>
      </c>
      <c r="AI167" t="s">
        <v>47</v>
      </c>
      <c r="AJ167" t="s">
        <v>47</v>
      </c>
      <c r="AK167" t="s">
        <v>47</v>
      </c>
      <c r="AL167" t="s">
        <v>47</v>
      </c>
      <c r="AM167" t="s">
        <v>47</v>
      </c>
      <c r="AN167" t="s">
        <v>47</v>
      </c>
      <c r="AO167" s="5" t="s">
        <v>60</v>
      </c>
      <c r="AP167" s="4" t="s">
        <v>61</v>
      </c>
      <c r="AQ167" s="4" t="s">
        <v>53</v>
      </c>
      <c r="AR167" s="4" t="s">
        <v>827</v>
      </c>
      <c r="AS167" s="5">
        <v>37435</v>
      </c>
      <c r="AT167" t="s">
        <v>47</v>
      </c>
    </row>
    <row r="168" spans="1:46" ht="26" x14ac:dyDescent="0.3">
      <c r="A168" s="4" t="s">
        <v>828</v>
      </c>
      <c r="B168" t="s">
        <v>47</v>
      </c>
      <c r="C168" s="4" t="s">
        <v>169</v>
      </c>
      <c r="D168" s="4" t="s">
        <v>339</v>
      </c>
      <c r="E168" s="4" t="s">
        <v>66</v>
      </c>
      <c r="F168" s="5" t="s">
        <v>829</v>
      </c>
      <c r="G168" s="5" t="s">
        <v>830</v>
      </c>
      <c r="H168" t="s">
        <v>47</v>
      </c>
      <c r="I168" t="s">
        <v>47</v>
      </c>
      <c r="J168" t="s">
        <v>47</v>
      </c>
      <c r="K168" t="s">
        <v>47</v>
      </c>
      <c r="L168" s="5" t="s">
        <v>60</v>
      </c>
      <c r="M168" t="s">
        <v>47</v>
      </c>
      <c r="N168" t="s">
        <v>47</v>
      </c>
      <c r="O168" t="s">
        <v>47</v>
      </c>
      <c r="P168" t="s">
        <v>47</v>
      </c>
      <c r="Q168" t="s">
        <v>47</v>
      </c>
      <c r="R168" t="s">
        <v>47</v>
      </c>
      <c r="S168" t="s">
        <v>47</v>
      </c>
      <c r="T168" t="s">
        <v>47</v>
      </c>
      <c r="U168" t="s">
        <v>47</v>
      </c>
      <c r="V168" t="s">
        <v>47</v>
      </c>
      <c r="W168" s="3">
        <v>40179</v>
      </c>
      <c r="X168" s="5" t="s">
        <v>50</v>
      </c>
      <c r="Y168" t="s">
        <v>47</v>
      </c>
      <c r="Z168" s="3">
        <v>40179</v>
      </c>
      <c r="AA168" s="5" t="s">
        <v>50</v>
      </c>
      <c r="AB168" t="s">
        <v>47</v>
      </c>
      <c r="AC168" s="3">
        <v>40179</v>
      </c>
      <c r="AD168" s="5" t="s">
        <v>50</v>
      </c>
      <c r="AE168" t="s">
        <v>47</v>
      </c>
      <c r="AF168" t="s">
        <v>47</v>
      </c>
      <c r="AG168" t="s">
        <v>47</v>
      </c>
      <c r="AH168" t="s">
        <v>47</v>
      </c>
      <c r="AI168" t="s">
        <v>47</v>
      </c>
      <c r="AJ168" t="s">
        <v>47</v>
      </c>
      <c r="AK168" t="s">
        <v>47</v>
      </c>
      <c r="AL168" t="s">
        <v>47</v>
      </c>
      <c r="AM168" t="s">
        <v>47</v>
      </c>
      <c r="AN168" t="s">
        <v>47</v>
      </c>
      <c r="AO168" s="5" t="s">
        <v>60</v>
      </c>
      <c r="AP168" s="4" t="s">
        <v>61</v>
      </c>
      <c r="AQ168" s="4" t="s">
        <v>53</v>
      </c>
      <c r="AR168" s="4" t="s">
        <v>831</v>
      </c>
      <c r="AS168" s="5">
        <v>186228</v>
      </c>
      <c r="AT168" t="s">
        <v>47</v>
      </c>
    </row>
    <row r="169" spans="1:46" ht="26" x14ac:dyDescent="0.3">
      <c r="A169" s="4" t="s">
        <v>832</v>
      </c>
      <c r="B169" t="s">
        <v>47</v>
      </c>
      <c r="C169" s="4" t="s">
        <v>169</v>
      </c>
      <c r="D169" s="4" t="s">
        <v>748</v>
      </c>
      <c r="E169" s="4" t="s">
        <v>66</v>
      </c>
      <c r="F169" s="5" t="s">
        <v>833</v>
      </c>
      <c r="G169" s="5" t="s">
        <v>834</v>
      </c>
      <c r="H169" t="s">
        <v>47</v>
      </c>
      <c r="I169" s="3">
        <v>35674</v>
      </c>
      <c r="J169" s="3">
        <v>36770</v>
      </c>
      <c r="K169" t="s">
        <v>47</v>
      </c>
      <c r="L169" s="5" t="s">
        <v>60</v>
      </c>
      <c r="M169" s="3">
        <v>35674</v>
      </c>
      <c r="N169" s="3">
        <v>36770</v>
      </c>
      <c r="O169" t="s">
        <v>47</v>
      </c>
      <c r="P169" s="3">
        <v>35674</v>
      </c>
      <c r="Q169" s="3">
        <v>36770</v>
      </c>
      <c r="R169" t="s">
        <v>47</v>
      </c>
      <c r="S169" t="s">
        <v>47</v>
      </c>
      <c r="T169" t="s">
        <v>47</v>
      </c>
      <c r="U169" t="s">
        <v>47</v>
      </c>
      <c r="V169" t="s">
        <v>47</v>
      </c>
      <c r="W169" s="3">
        <v>35674</v>
      </c>
      <c r="X169" s="5" t="s">
        <v>50</v>
      </c>
      <c r="Y169" t="s">
        <v>47</v>
      </c>
      <c r="Z169" s="3">
        <v>35674</v>
      </c>
      <c r="AA169" s="5" t="s">
        <v>50</v>
      </c>
      <c r="AB169" t="s">
        <v>47</v>
      </c>
      <c r="AC169" s="3">
        <v>35674</v>
      </c>
      <c r="AD169" s="5" t="s">
        <v>50</v>
      </c>
      <c r="AE169" t="s">
        <v>47</v>
      </c>
      <c r="AF169" t="s">
        <v>47</v>
      </c>
      <c r="AG169" t="s">
        <v>47</v>
      </c>
      <c r="AH169" t="s">
        <v>47</v>
      </c>
      <c r="AI169" t="s">
        <v>47</v>
      </c>
      <c r="AJ169" t="s">
        <v>47</v>
      </c>
      <c r="AK169" t="s">
        <v>47</v>
      </c>
      <c r="AL169" t="s">
        <v>47</v>
      </c>
      <c r="AM169" t="s">
        <v>47</v>
      </c>
      <c r="AN169" t="s">
        <v>47</v>
      </c>
      <c r="AO169" s="5" t="s">
        <v>60</v>
      </c>
      <c r="AP169" s="4" t="s">
        <v>61</v>
      </c>
      <c r="AQ169" s="4" t="s">
        <v>53</v>
      </c>
      <c r="AR169" s="4" t="s">
        <v>835</v>
      </c>
      <c r="AS169" s="5">
        <v>11425</v>
      </c>
      <c r="AT169" t="s">
        <v>47</v>
      </c>
    </row>
    <row r="170" spans="1:46" ht="39" x14ac:dyDescent="0.3">
      <c r="A170" s="4" t="s">
        <v>836</v>
      </c>
      <c r="B170" t="s">
        <v>47</v>
      </c>
      <c r="C170" s="4" t="s">
        <v>169</v>
      </c>
      <c r="D170" s="4" t="s">
        <v>339</v>
      </c>
      <c r="E170" s="4" t="s">
        <v>66</v>
      </c>
      <c r="F170" s="5" t="s">
        <v>837</v>
      </c>
      <c r="G170" s="5" t="s">
        <v>838</v>
      </c>
      <c r="H170" t="s">
        <v>47</v>
      </c>
      <c r="I170" t="s">
        <v>47</v>
      </c>
      <c r="J170" t="s">
        <v>47</v>
      </c>
      <c r="K170" t="s">
        <v>47</v>
      </c>
      <c r="L170" s="5" t="s">
        <v>60</v>
      </c>
      <c r="M170" t="s">
        <v>47</v>
      </c>
      <c r="N170" t="s">
        <v>47</v>
      </c>
      <c r="O170" t="s">
        <v>47</v>
      </c>
      <c r="P170" t="s">
        <v>47</v>
      </c>
      <c r="Q170" t="s">
        <v>47</v>
      </c>
      <c r="R170" t="s">
        <v>47</v>
      </c>
      <c r="S170" t="s">
        <v>47</v>
      </c>
      <c r="T170" t="s">
        <v>47</v>
      </c>
      <c r="U170" t="s">
        <v>47</v>
      </c>
      <c r="V170" t="s">
        <v>47</v>
      </c>
      <c r="W170" s="3">
        <v>40238</v>
      </c>
      <c r="X170" s="5" t="s">
        <v>50</v>
      </c>
      <c r="Y170" t="s">
        <v>47</v>
      </c>
      <c r="Z170" s="3">
        <v>40238</v>
      </c>
      <c r="AA170" s="5" t="s">
        <v>50</v>
      </c>
      <c r="AB170" t="s">
        <v>47</v>
      </c>
      <c r="AC170" s="3">
        <v>40238</v>
      </c>
      <c r="AD170" s="5" t="s">
        <v>50</v>
      </c>
      <c r="AE170" t="s">
        <v>47</v>
      </c>
      <c r="AF170" t="s">
        <v>47</v>
      </c>
      <c r="AG170" t="s">
        <v>47</v>
      </c>
      <c r="AH170" t="s">
        <v>47</v>
      </c>
      <c r="AI170" t="s">
        <v>47</v>
      </c>
      <c r="AJ170" t="s">
        <v>47</v>
      </c>
      <c r="AK170" t="s">
        <v>47</v>
      </c>
      <c r="AL170" t="s">
        <v>47</v>
      </c>
      <c r="AM170" t="s">
        <v>47</v>
      </c>
      <c r="AN170" t="s">
        <v>47</v>
      </c>
      <c r="AO170" s="5" t="s">
        <v>60</v>
      </c>
      <c r="AP170" s="4" t="s">
        <v>61</v>
      </c>
      <c r="AQ170" s="4" t="s">
        <v>53</v>
      </c>
      <c r="AR170" s="4" t="s">
        <v>839</v>
      </c>
      <c r="AS170" s="5">
        <v>186318</v>
      </c>
      <c r="AT170" t="s">
        <v>47</v>
      </c>
    </row>
    <row r="171" spans="1:46" ht="39" x14ac:dyDescent="0.3">
      <c r="A171" s="4" t="s">
        <v>840</v>
      </c>
      <c r="B171" t="s">
        <v>47</v>
      </c>
      <c r="C171" s="4" t="s">
        <v>841</v>
      </c>
      <c r="D171" s="4" t="s">
        <v>842</v>
      </c>
      <c r="E171" s="4" t="s">
        <v>100</v>
      </c>
      <c r="F171" s="5" t="s">
        <v>843</v>
      </c>
      <c r="G171" s="5" t="s">
        <v>844</v>
      </c>
      <c r="H171" t="s">
        <v>47</v>
      </c>
      <c r="I171" t="s">
        <v>47</v>
      </c>
      <c r="J171" t="s">
        <v>47</v>
      </c>
      <c r="K171" t="s">
        <v>47</v>
      </c>
      <c r="L171" s="5" t="s">
        <v>60</v>
      </c>
      <c r="M171" t="s">
        <v>47</v>
      </c>
      <c r="N171" t="s">
        <v>47</v>
      </c>
      <c r="O171" t="s">
        <v>47</v>
      </c>
      <c r="P171" t="s">
        <v>47</v>
      </c>
      <c r="Q171" t="s">
        <v>47</v>
      </c>
      <c r="R171" t="s">
        <v>47</v>
      </c>
      <c r="S171" t="s">
        <v>47</v>
      </c>
      <c r="T171" t="s">
        <v>47</v>
      </c>
      <c r="U171" t="s">
        <v>47</v>
      </c>
      <c r="V171" t="s">
        <v>47</v>
      </c>
      <c r="W171" s="3">
        <v>33878</v>
      </c>
      <c r="X171" s="5" t="s">
        <v>50</v>
      </c>
      <c r="Y171" t="s">
        <v>47</v>
      </c>
      <c r="Z171" s="3">
        <v>33878</v>
      </c>
      <c r="AA171" s="5" t="s">
        <v>50</v>
      </c>
      <c r="AB171" t="s">
        <v>47</v>
      </c>
      <c r="AC171" s="3">
        <v>43101</v>
      </c>
      <c r="AD171" s="5" t="s">
        <v>50</v>
      </c>
      <c r="AE171" t="s">
        <v>47</v>
      </c>
      <c r="AF171" t="s">
        <v>47</v>
      </c>
      <c r="AG171" t="s">
        <v>47</v>
      </c>
      <c r="AH171" t="s">
        <v>47</v>
      </c>
      <c r="AI171" t="s">
        <v>47</v>
      </c>
      <c r="AJ171" t="s">
        <v>47</v>
      </c>
      <c r="AK171" t="s">
        <v>47</v>
      </c>
      <c r="AL171" t="s">
        <v>47</v>
      </c>
      <c r="AM171" t="s">
        <v>47</v>
      </c>
      <c r="AN171" t="s">
        <v>47</v>
      </c>
      <c r="AO171" s="5" t="s">
        <v>60</v>
      </c>
      <c r="AP171" s="4" t="s">
        <v>61</v>
      </c>
      <c r="AQ171" s="4" t="s">
        <v>53</v>
      </c>
      <c r="AR171" s="4" t="s">
        <v>62</v>
      </c>
      <c r="AS171" s="5">
        <v>43976</v>
      </c>
      <c r="AT171" t="s">
        <v>47</v>
      </c>
    </row>
    <row r="172" spans="1:46" ht="104" x14ac:dyDescent="0.3">
      <c r="A172" s="4" t="s">
        <v>845</v>
      </c>
      <c r="B172" t="s">
        <v>47</v>
      </c>
      <c r="C172" s="4" t="s">
        <v>846</v>
      </c>
      <c r="D172" s="4" t="s">
        <v>88</v>
      </c>
      <c r="E172" s="4" t="s">
        <v>49</v>
      </c>
      <c r="F172" s="5" t="s">
        <v>847</v>
      </c>
      <c r="G172" s="5" t="s">
        <v>848</v>
      </c>
      <c r="H172" t="s">
        <v>47</v>
      </c>
      <c r="I172" s="3">
        <v>38718</v>
      </c>
      <c r="J172" s="3">
        <v>38718</v>
      </c>
      <c r="K172" t="s">
        <v>47</v>
      </c>
      <c r="L172" s="5" t="s">
        <v>60</v>
      </c>
      <c r="M172" s="3">
        <v>38718</v>
      </c>
      <c r="N172" s="3">
        <v>38718</v>
      </c>
      <c r="O172" t="s">
        <v>47</v>
      </c>
      <c r="P172" s="3">
        <v>38718</v>
      </c>
      <c r="Q172" s="3">
        <v>38718</v>
      </c>
      <c r="R172" t="s">
        <v>47</v>
      </c>
      <c r="S172" t="s">
        <v>47</v>
      </c>
      <c r="T172" t="s">
        <v>47</v>
      </c>
      <c r="U172" t="s">
        <v>47</v>
      </c>
      <c r="V172" t="s">
        <v>47</v>
      </c>
      <c r="W172" s="3">
        <v>38718</v>
      </c>
      <c r="X172" s="3">
        <v>38718</v>
      </c>
      <c r="Y172" t="s">
        <v>47</v>
      </c>
      <c r="Z172" s="3">
        <v>38718</v>
      </c>
      <c r="AA172" s="3">
        <v>38718</v>
      </c>
      <c r="AB172" t="s">
        <v>47</v>
      </c>
      <c r="AC172" s="3">
        <v>38718</v>
      </c>
      <c r="AD172" s="3">
        <v>38718</v>
      </c>
      <c r="AE172" t="s">
        <v>47</v>
      </c>
      <c r="AF172" t="s">
        <v>47</v>
      </c>
      <c r="AG172" t="s">
        <v>47</v>
      </c>
      <c r="AH172" t="s">
        <v>47</v>
      </c>
      <c r="AI172" t="s">
        <v>47</v>
      </c>
      <c r="AJ172" t="s">
        <v>47</v>
      </c>
      <c r="AK172" t="s">
        <v>47</v>
      </c>
      <c r="AL172" t="s">
        <v>47</v>
      </c>
      <c r="AM172" t="s">
        <v>47</v>
      </c>
      <c r="AN172" t="s">
        <v>47</v>
      </c>
      <c r="AO172" s="5" t="s">
        <v>60</v>
      </c>
      <c r="AP172" s="4" t="s">
        <v>61</v>
      </c>
      <c r="AQ172" s="4" t="s">
        <v>53</v>
      </c>
      <c r="AR172" s="4" t="s">
        <v>849</v>
      </c>
      <c r="AS172" s="5">
        <v>44403</v>
      </c>
      <c r="AT172" t="s">
        <v>47</v>
      </c>
    </row>
    <row r="173" spans="1:46" ht="26" x14ac:dyDescent="0.3">
      <c r="A173" s="4" t="s">
        <v>850</v>
      </c>
      <c r="B173" t="s">
        <v>47</v>
      </c>
      <c r="C173" s="4" t="s">
        <v>846</v>
      </c>
      <c r="D173" s="4" t="s">
        <v>88</v>
      </c>
      <c r="E173" s="4" t="s">
        <v>49</v>
      </c>
      <c r="F173" t="s">
        <v>47</v>
      </c>
      <c r="G173" t="s">
        <v>47</v>
      </c>
      <c r="H173" t="s">
        <v>47</v>
      </c>
      <c r="I173" s="3">
        <v>42461</v>
      </c>
      <c r="J173" s="5" t="s">
        <v>50</v>
      </c>
      <c r="K173" t="s">
        <v>47</v>
      </c>
      <c r="L173" s="5" t="s">
        <v>51</v>
      </c>
      <c r="M173" s="3">
        <v>42461</v>
      </c>
      <c r="N173" s="5" t="s">
        <v>50</v>
      </c>
      <c r="O173" t="s">
        <v>47</v>
      </c>
      <c r="P173" t="s">
        <v>47</v>
      </c>
      <c r="Q173" t="s">
        <v>47</v>
      </c>
      <c r="R173" t="s">
        <v>47</v>
      </c>
      <c r="S173" t="s">
        <v>47</v>
      </c>
      <c r="T173" t="s">
        <v>47</v>
      </c>
      <c r="U173" t="s">
        <v>47</v>
      </c>
      <c r="V173" t="s">
        <v>47</v>
      </c>
      <c r="W173" s="3">
        <v>42461</v>
      </c>
      <c r="X173" s="5" t="s">
        <v>50</v>
      </c>
      <c r="Y173" t="s">
        <v>47</v>
      </c>
      <c r="Z173" s="3">
        <v>42461</v>
      </c>
      <c r="AA173" s="5" t="s">
        <v>50</v>
      </c>
      <c r="AB173" t="s">
        <v>47</v>
      </c>
      <c r="AC173" s="3">
        <v>42461</v>
      </c>
      <c r="AD173" s="5" t="s">
        <v>50</v>
      </c>
      <c r="AE173" t="s">
        <v>47</v>
      </c>
      <c r="AF173" t="s">
        <v>47</v>
      </c>
      <c r="AG173" t="s">
        <v>47</v>
      </c>
      <c r="AH173" t="s">
        <v>47</v>
      </c>
      <c r="AI173" t="s">
        <v>47</v>
      </c>
      <c r="AJ173" t="s">
        <v>47</v>
      </c>
      <c r="AK173" t="s">
        <v>47</v>
      </c>
      <c r="AL173" t="s">
        <v>47</v>
      </c>
      <c r="AM173" t="s">
        <v>47</v>
      </c>
      <c r="AN173" t="s">
        <v>47</v>
      </c>
      <c r="AO173" s="5" t="s">
        <v>51</v>
      </c>
      <c r="AP173" s="4" t="s">
        <v>52</v>
      </c>
      <c r="AQ173" s="4" t="s">
        <v>53</v>
      </c>
      <c r="AR173" s="4" t="s">
        <v>54</v>
      </c>
      <c r="AS173" s="5">
        <v>2041171</v>
      </c>
      <c r="AT173" t="s">
        <v>47</v>
      </c>
    </row>
    <row r="174" spans="1:46" ht="26" x14ac:dyDescent="0.3">
      <c r="A174" s="4" t="s">
        <v>851</v>
      </c>
      <c r="B174" t="s">
        <v>47</v>
      </c>
      <c r="C174" s="4" t="s">
        <v>846</v>
      </c>
      <c r="D174" s="4" t="s">
        <v>88</v>
      </c>
      <c r="E174" s="4" t="s">
        <v>49</v>
      </c>
      <c r="F174" s="5" t="s">
        <v>852</v>
      </c>
      <c r="G174" t="s">
        <v>47</v>
      </c>
      <c r="H174" t="s">
        <v>47</v>
      </c>
      <c r="I174" s="3">
        <v>37135</v>
      </c>
      <c r="J174" s="3">
        <v>42795</v>
      </c>
      <c r="K174" t="s">
        <v>47</v>
      </c>
      <c r="L174" s="5" t="s">
        <v>51</v>
      </c>
      <c r="M174" t="s">
        <v>47</v>
      </c>
      <c r="N174" t="s">
        <v>47</v>
      </c>
      <c r="O174" t="s">
        <v>47</v>
      </c>
      <c r="P174" s="3">
        <v>37135</v>
      </c>
      <c r="Q174" s="3">
        <v>42795</v>
      </c>
      <c r="R174" t="s">
        <v>47</v>
      </c>
      <c r="S174" t="s">
        <v>47</v>
      </c>
      <c r="T174" t="s">
        <v>47</v>
      </c>
      <c r="U174" t="s">
        <v>47</v>
      </c>
      <c r="V174" t="s">
        <v>47</v>
      </c>
      <c r="W174" s="3">
        <v>37135</v>
      </c>
      <c r="X174" s="3">
        <v>43252</v>
      </c>
      <c r="Y174" t="s">
        <v>47</v>
      </c>
      <c r="Z174" s="3">
        <v>37135</v>
      </c>
      <c r="AA174" s="3">
        <v>43252</v>
      </c>
      <c r="AB174" t="s">
        <v>47</v>
      </c>
      <c r="AC174" s="3">
        <v>37135</v>
      </c>
      <c r="AD174" s="3">
        <v>43252</v>
      </c>
      <c r="AE174" t="s">
        <v>47</v>
      </c>
      <c r="AF174" t="s">
        <v>47</v>
      </c>
      <c r="AG174" t="s">
        <v>47</v>
      </c>
      <c r="AH174" t="s">
        <v>47</v>
      </c>
      <c r="AI174" t="s">
        <v>47</v>
      </c>
      <c r="AJ174" t="s">
        <v>47</v>
      </c>
      <c r="AK174" t="s">
        <v>47</v>
      </c>
      <c r="AL174" t="s">
        <v>47</v>
      </c>
      <c r="AM174" t="s">
        <v>47</v>
      </c>
      <c r="AN174" t="s">
        <v>47</v>
      </c>
      <c r="AO174" s="5" t="s">
        <v>51</v>
      </c>
      <c r="AP174" s="4" t="s">
        <v>853</v>
      </c>
      <c r="AQ174" s="4" t="s">
        <v>53</v>
      </c>
      <c r="AR174" s="4" t="s">
        <v>54</v>
      </c>
      <c r="AS174" s="5">
        <v>2041170</v>
      </c>
      <c r="AT174" t="s">
        <v>47</v>
      </c>
    </row>
    <row r="175" spans="1:46" ht="13" x14ac:dyDescent="0.3">
      <c r="A175" s="4" t="s">
        <v>854</v>
      </c>
      <c r="B175" t="s">
        <v>47</v>
      </c>
      <c r="C175" s="4" t="s">
        <v>855</v>
      </c>
      <c r="D175" s="4" t="s">
        <v>856</v>
      </c>
      <c r="E175" s="4" t="s">
        <v>66</v>
      </c>
      <c r="F175" s="5" t="s">
        <v>857</v>
      </c>
      <c r="G175" s="5" t="s">
        <v>858</v>
      </c>
      <c r="H175" t="s">
        <v>47</v>
      </c>
      <c r="I175" s="3">
        <v>43983</v>
      </c>
      <c r="J175" s="5" t="s">
        <v>50</v>
      </c>
      <c r="K175" t="s">
        <v>47</v>
      </c>
      <c r="L175" s="5" t="s">
        <v>60</v>
      </c>
      <c r="M175" t="s">
        <v>47</v>
      </c>
      <c r="N175" t="s">
        <v>47</v>
      </c>
      <c r="O175" t="s">
        <v>47</v>
      </c>
      <c r="P175" s="3">
        <v>43983</v>
      </c>
      <c r="Q175" s="5" t="s">
        <v>50</v>
      </c>
      <c r="R175" t="s">
        <v>47</v>
      </c>
      <c r="S175" t="s">
        <v>47</v>
      </c>
      <c r="T175" t="s">
        <v>47</v>
      </c>
      <c r="U175" t="s">
        <v>47</v>
      </c>
      <c r="V175" t="s">
        <v>47</v>
      </c>
      <c r="W175" s="3">
        <v>43983</v>
      </c>
      <c r="X175" s="5" t="s">
        <v>50</v>
      </c>
      <c r="Y175" t="s">
        <v>47</v>
      </c>
      <c r="Z175" s="3">
        <v>43983</v>
      </c>
      <c r="AA175" s="5" t="s">
        <v>50</v>
      </c>
      <c r="AB175" t="s">
        <v>47</v>
      </c>
      <c r="AC175" s="3">
        <v>43983</v>
      </c>
      <c r="AD175" s="5" t="s">
        <v>50</v>
      </c>
      <c r="AE175" t="s">
        <v>47</v>
      </c>
      <c r="AF175" t="s">
        <v>47</v>
      </c>
      <c r="AG175" t="s">
        <v>47</v>
      </c>
      <c r="AH175" t="s">
        <v>47</v>
      </c>
      <c r="AI175" t="s">
        <v>47</v>
      </c>
      <c r="AJ175" t="s">
        <v>47</v>
      </c>
      <c r="AK175" t="s">
        <v>47</v>
      </c>
      <c r="AL175" t="s">
        <v>47</v>
      </c>
      <c r="AM175" t="s">
        <v>47</v>
      </c>
      <c r="AN175" t="s">
        <v>47</v>
      </c>
      <c r="AO175" s="5" t="s">
        <v>60</v>
      </c>
      <c r="AP175" s="4" t="s">
        <v>61</v>
      </c>
      <c r="AQ175" s="4" t="s">
        <v>53</v>
      </c>
      <c r="AR175" s="4" t="s">
        <v>54</v>
      </c>
      <c r="AS175" s="5">
        <v>5455936</v>
      </c>
      <c r="AT175" t="s">
        <v>47</v>
      </c>
    </row>
    <row r="176" spans="1:46" ht="52" x14ac:dyDescent="0.3">
      <c r="A176" s="4" t="s">
        <v>859</v>
      </c>
      <c r="B176" t="s">
        <v>47</v>
      </c>
      <c r="C176" s="4" t="s">
        <v>860</v>
      </c>
      <c r="D176" s="4" t="s">
        <v>861</v>
      </c>
      <c r="E176" s="4" t="s">
        <v>862</v>
      </c>
      <c r="F176" s="5" t="s">
        <v>863</v>
      </c>
      <c r="G176" s="5" t="s">
        <v>864</v>
      </c>
      <c r="H176" t="s">
        <v>47</v>
      </c>
      <c r="I176" s="3">
        <v>40909</v>
      </c>
      <c r="J176" s="5" t="s">
        <v>50</v>
      </c>
      <c r="K176" t="s">
        <v>47</v>
      </c>
      <c r="L176" s="5" t="s">
        <v>60</v>
      </c>
      <c r="M176" s="3">
        <v>40909</v>
      </c>
      <c r="N176" s="5" t="s">
        <v>50</v>
      </c>
      <c r="O176" t="s">
        <v>47</v>
      </c>
      <c r="P176" s="3">
        <v>40909</v>
      </c>
      <c r="Q176" s="5" t="s">
        <v>50</v>
      </c>
      <c r="R176" t="s">
        <v>47</v>
      </c>
      <c r="S176" t="s">
        <v>47</v>
      </c>
      <c r="T176" t="s">
        <v>47</v>
      </c>
      <c r="U176" t="s">
        <v>47</v>
      </c>
      <c r="V176" t="s">
        <v>47</v>
      </c>
      <c r="W176" s="3">
        <v>40909</v>
      </c>
      <c r="X176" s="5" t="s">
        <v>50</v>
      </c>
      <c r="Y176" t="s">
        <v>47</v>
      </c>
      <c r="Z176" s="3">
        <v>40909</v>
      </c>
      <c r="AA176" s="5" t="s">
        <v>50</v>
      </c>
      <c r="AB176" t="s">
        <v>47</v>
      </c>
      <c r="AC176" s="3">
        <v>40909</v>
      </c>
      <c r="AD176" s="5" t="s">
        <v>50</v>
      </c>
      <c r="AE176" t="s">
        <v>47</v>
      </c>
      <c r="AF176" t="s">
        <v>47</v>
      </c>
      <c r="AG176" t="s">
        <v>47</v>
      </c>
      <c r="AH176" t="s">
        <v>47</v>
      </c>
      <c r="AI176" t="s">
        <v>47</v>
      </c>
      <c r="AJ176" t="s">
        <v>47</v>
      </c>
      <c r="AK176" t="s">
        <v>47</v>
      </c>
      <c r="AL176" t="s">
        <v>47</v>
      </c>
      <c r="AM176" t="s">
        <v>47</v>
      </c>
      <c r="AN176" t="s">
        <v>47</v>
      </c>
      <c r="AO176" s="5" t="s">
        <v>60</v>
      </c>
      <c r="AP176" s="4" t="s">
        <v>61</v>
      </c>
      <c r="AQ176" s="4" t="s">
        <v>865</v>
      </c>
      <c r="AR176" s="4" t="s">
        <v>539</v>
      </c>
      <c r="AS176" s="5">
        <v>1056402</v>
      </c>
      <c r="AT176" t="s">
        <v>47</v>
      </c>
    </row>
    <row r="177" spans="1:46" ht="13" x14ac:dyDescent="0.3">
      <c r="A177" s="4" t="s">
        <v>866</v>
      </c>
      <c r="B177" t="s">
        <v>47</v>
      </c>
      <c r="C177" s="4" t="s">
        <v>867</v>
      </c>
      <c r="D177" s="4" t="s">
        <v>868</v>
      </c>
      <c r="E177" s="4" t="s">
        <v>869</v>
      </c>
      <c r="F177" s="5" t="s">
        <v>870</v>
      </c>
      <c r="G177" t="s">
        <v>47</v>
      </c>
      <c r="H177" t="s">
        <v>47</v>
      </c>
      <c r="I177" s="3">
        <v>40330</v>
      </c>
      <c r="J177" s="5" t="s">
        <v>50</v>
      </c>
      <c r="K177" t="s">
        <v>47</v>
      </c>
      <c r="L177" s="5" t="s">
        <v>60</v>
      </c>
      <c r="M177" s="3">
        <v>40330</v>
      </c>
      <c r="N177" s="5" t="s">
        <v>50</v>
      </c>
      <c r="O177" t="s">
        <v>47</v>
      </c>
      <c r="P177" s="3">
        <v>40330</v>
      </c>
      <c r="Q177" s="5" t="s">
        <v>50</v>
      </c>
      <c r="R177" s="5" t="s">
        <v>450</v>
      </c>
      <c r="S177" t="s">
        <v>47</v>
      </c>
      <c r="T177" t="s">
        <v>47</v>
      </c>
      <c r="U177" t="s">
        <v>47</v>
      </c>
      <c r="V177" t="s">
        <v>47</v>
      </c>
      <c r="W177" s="3">
        <v>40330</v>
      </c>
      <c r="X177" s="5" t="s">
        <v>50</v>
      </c>
      <c r="Y177" t="s">
        <v>47</v>
      </c>
      <c r="Z177" s="3">
        <v>40330</v>
      </c>
      <c r="AA177" s="5" t="s">
        <v>50</v>
      </c>
      <c r="AB177" t="s">
        <v>47</v>
      </c>
      <c r="AC177" s="3">
        <v>40330</v>
      </c>
      <c r="AD177" s="5" t="s">
        <v>50</v>
      </c>
      <c r="AE177" t="s">
        <v>47</v>
      </c>
      <c r="AF177" t="s">
        <v>47</v>
      </c>
      <c r="AG177" t="s">
        <v>47</v>
      </c>
      <c r="AH177" t="s">
        <v>47</v>
      </c>
      <c r="AI177" t="s">
        <v>47</v>
      </c>
      <c r="AJ177" t="s">
        <v>47</v>
      </c>
      <c r="AK177" t="s">
        <v>47</v>
      </c>
      <c r="AL177" t="s">
        <v>47</v>
      </c>
      <c r="AM177" t="s">
        <v>47</v>
      </c>
      <c r="AN177" t="s">
        <v>47</v>
      </c>
      <c r="AO177" s="5" t="s">
        <v>60</v>
      </c>
      <c r="AP177" s="4" t="s">
        <v>61</v>
      </c>
      <c r="AQ177" s="4" t="s">
        <v>53</v>
      </c>
      <c r="AR177" s="4" t="s">
        <v>54</v>
      </c>
      <c r="AS177" s="5">
        <v>616547</v>
      </c>
      <c r="AT177" t="s">
        <v>47</v>
      </c>
    </row>
    <row r="178" spans="1:46" ht="26" x14ac:dyDescent="0.3">
      <c r="A178" s="4" t="s">
        <v>871</v>
      </c>
      <c r="B178" t="s">
        <v>47</v>
      </c>
      <c r="C178" s="4" t="s">
        <v>872</v>
      </c>
      <c r="D178" s="4" t="s">
        <v>873</v>
      </c>
      <c r="E178" s="4" t="s">
        <v>874</v>
      </c>
      <c r="F178" s="5" t="s">
        <v>875</v>
      </c>
      <c r="G178" t="s">
        <v>47</v>
      </c>
      <c r="H178" t="s">
        <v>47</v>
      </c>
      <c r="I178" s="3">
        <v>42064</v>
      </c>
      <c r="J178" s="5" t="s">
        <v>50</v>
      </c>
      <c r="K178" t="s">
        <v>47</v>
      </c>
      <c r="L178" s="5" t="s">
        <v>60</v>
      </c>
      <c r="M178" t="s">
        <v>47</v>
      </c>
      <c r="N178" t="s">
        <v>47</v>
      </c>
      <c r="O178" t="s">
        <v>47</v>
      </c>
      <c r="P178" s="3">
        <v>42064</v>
      </c>
      <c r="Q178" s="5" t="s">
        <v>50</v>
      </c>
      <c r="R178" t="s">
        <v>47</v>
      </c>
      <c r="S178" t="s">
        <v>47</v>
      </c>
      <c r="T178" t="s">
        <v>47</v>
      </c>
      <c r="U178" t="s">
        <v>47</v>
      </c>
      <c r="V178" t="s">
        <v>47</v>
      </c>
      <c r="W178" s="3">
        <v>42064</v>
      </c>
      <c r="X178" s="5" t="s">
        <v>50</v>
      </c>
      <c r="Y178" t="s">
        <v>47</v>
      </c>
      <c r="Z178" s="3">
        <v>42064</v>
      </c>
      <c r="AA178" s="5" t="s">
        <v>50</v>
      </c>
      <c r="AB178" t="s">
        <v>47</v>
      </c>
      <c r="AC178" s="3">
        <v>42064</v>
      </c>
      <c r="AD178" s="5" t="s">
        <v>50</v>
      </c>
      <c r="AE178" t="s">
        <v>47</v>
      </c>
      <c r="AF178" t="s">
        <v>47</v>
      </c>
      <c r="AG178" t="s">
        <v>47</v>
      </c>
      <c r="AH178" t="s">
        <v>47</v>
      </c>
      <c r="AI178" t="s">
        <v>47</v>
      </c>
      <c r="AJ178" t="s">
        <v>47</v>
      </c>
      <c r="AK178" t="s">
        <v>47</v>
      </c>
      <c r="AL178" t="s">
        <v>47</v>
      </c>
      <c r="AM178" t="s">
        <v>47</v>
      </c>
      <c r="AN178" t="s">
        <v>47</v>
      </c>
      <c r="AO178" s="5" t="s">
        <v>60</v>
      </c>
      <c r="AP178" s="4" t="s">
        <v>61</v>
      </c>
      <c r="AQ178" s="4" t="s">
        <v>876</v>
      </c>
      <c r="AR178" s="4" t="s">
        <v>54</v>
      </c>
      <c r="AS178" s="5">
        <v>2043099</v>
      </c>
      <c r="AT178" t="s">
        <v>47</v>
      </c>
    </row>
    <row r="179" spans="1:46" ht="39" x14ac:dyDescent="0.3">
      <c r="A179" s="4" t="s">
        <v>877</v>
      </c>
      <c r="B179" t="s">
        <v>47</v>
      </c>
      <c r="C179" s="4" t="s">
        <v>878</v>
      </c>
      <c r="D179" s="4" t="s">
        <v>879</v>
      </c>
      <c r="E179" s="4" t="s">
        <v>49</v>
      </c>
      <c r="F179" s="5" t="s">
        <v>880</v>
      </c>
      <c r="G179" s="5" t="s">
        <v>881</v>
      </c>
      <c r="H179" t="s">
        <v>47</v>
      </c>
      <c r="I179" s="3">
        <v>32112</v>
      </c>
      <c r="J179" s="3">
        <v>39173</v>
      </c>
      <c r="K179" t="s">
        <v>47</v>
      </c>
      <c r="L179" s="5" t="s">
        <v>51</v>
      </c>
      <c r="M179" s="3">
        <v>33878</v>
      </c>
      <c r="N179" s="3">
        <v>39173</v>
      </c>
      <c r="O179" t="s">
        <v>47</v>
      </c>
      <c r="P179" s="3">
        <v>32112</v>
      </c>
      <c r="Q179" s="3">
        <v>39173</v>
      </c>
      <c r="R179" t="s">
        <v>47</v>
      </c>
      <c r="S179" t="s">
        <v>47</v>
      </c>
      <c r="T179" t="s">
        <v>47</v>
      </c>
      <c r="U179" t="s">
        <v>47</v>
      </c>
      <c r="V179" t="s">
        <v>47</v>
      </c>
      <c r="W179" s="3">
        <v>27181</v>
      </c>
      <c r="X179" s="3">
        <v>39173</v>
      </c>
      <c r="Y179" t="s">
        <v>47</v>
      </c>
      <c r="Z179" s="3">
        <v>27181</v>
      </c>
      <c r="AA179" s="3">
        <v>39173</v>
      </c>
      <c r="AB179" t="s">
        <v>47</v>
      </c>
      <c r="AC179" s="3">
        <v>27181</v>
      </c>
      <c r="AD179" s="3">
        <v>39173</v>
      </c>
      <c r="AE179" t="s">
        <v>47</v>
      </c>
      <c r="AF179" t="s">
        <v>47</v>
      </c>
      <c r="AG179" t="s">
        <v>47</v>
      </c>
      <c r="AH179" t="s">
        <v>47</v>
      </c>
      <c r="AI179" t="s">
        <v>47</v>
      </c>
      <c r="AJ179" t="s">
        <v>47</v>
      </c>
      <c r="AK179" t="s">
        <v>47</v>
      </c>
      <c r="AL179" t="s">
        <v>47</v>
      </c>
      <c r="AM179" t="s">
        <v>47</v>
      </c>
      <c r="AN179" t="s">
        <v>47</v>
      </c>
      <c r="AO179" s="5" t="s">
        <v>51</v>
      </c>
      <c r="AP179" s="4" t="s">
        <v>85</v>
      </c>
      <c r="AQ179" s="4" t="s">
        <v>53</v>
      </c>
      <c r="AR179" s="4" t="s">
        <v>385</v>
      </c>
      <c r="AS179" s="5">
        <v>17483</v>
      </c>
      <c r="AT179" t="s">
        <v>47</v>
      </c>
    </row>
    <row r="180" spans="1:46" ht="39" x14ac:dyDescent="0.3">
      <c r="A180" s="4" t="s">
        <v>882</v>
      </c>
      <c r="B180" t="s">
        <v>47</v>
      </c>
      <c r="C180" s="4" t="s">
        <v>878</v>
      </c>
      <c r="D180" s="4" t="s">
        <v>879</v>
      </c>
      <c r="E180" s="4" t="s">
        <v>49</v>
      </c>
      <c r="F180" t="s">
        <v>47</v>
      </c>
      <c r="G180" s="5" t="s">
        <v>881</v>
      </c>
      <c r="H180" t="s">
        <v>47</v>
      </c>
      <c r="I180" s="3">
        <v>39234</v>
      </c>
      <c r="J180" s="3">
        <v>42887</v>
      </c>
      <c r="K180" t="s">
        <v>47</v>
      </c>
      <c r="L180" s="5" t="s">
        <v>51</v>
      </c>
      <c r="M180" t="s">
        <v>47</v>
      </c>
      <c r="N180" t="s">
        <v>47</v>
      </c>
      <c r="O180" t="s">
        <v>47</v>
      </c>
      <c r="P180" s="3">
        <v>39234</v>
      </c>
      <c r="Q180" s="3">
        <v>42887</v>
      </c>
      <c r="R180" t="s">
        <v>47</v>
      </c>
      <c r="S180" t="s">
        <v>47</v>
      </c>
      <c r="T180" t="s">
        <v>47</v>
      </c>
      <c r="U180" t="s">
        <v>47</v>
      </c>
      <c r="V180" t="s">
        <v>47</v>
      </c>
      <c r="W180" s="3">
        <v>39234</v>
      </c>
      <c r="X180" s="3">
        <v>42887</v>
      </c>
      <c r="Y180" t="s">
        <v>47</v>
      </c>
      <c r="Z180" s="3">
        <v>39234</v>
      </c>
      <c r="AA180" s="3">
        <v>42887</v>
      </c>
      <c r="AB180" t="s">
        <v>47</v>
      </c>
      <c r="AC180" s="3">
        <v>39234</v>
      </c>
      <c r="AD180" s="3">
        <v>42887</v>
      </c>
      <c r="AE180" t="s">
        <v>47</v>
      </c>
      <c r="AF180" t="s">
        <v>47</v>
      </c>
      <c r="AG180" t="s">
        <v>47</v>
      </c>
      <c r="AH180" t="s">
        <v>47</v>
      </c>
      <c r="AI180" t="s">
        <v>47</v>
      </c>
      <c r="AJ180" t="s">
        <v>47</v>
      </c>
      <c r="AK180" t="s">
        <v>47</v>
      </c>
      <c r="AL180" t="s">
        <v>47</v>
      </c>
      <c r="AM180" t="s">
        <v>47</v>
      </c>
      <c r="AN180" t="s">
        <v>47</v>
      </c>
      <c r="AO180" s="5" t="s">
        <v>51</v>
      </c>
      <c r="AP180" s="4" t="s">
        <v>85</v>
      </c>
      <c r="AQ180" s="4" t="s">
        <v>53</v>
      </c>
      <c r="AR180" s="4" t="s">
        <v>385</v>
      </c>
      <c r="AS180" s="5">
        <v>38835</v>
      </c>
      <c r="AT180" t="s">
        <v>47</v>
      </c>
    </row>
    <row r="181" spans="1:46" ht="130" x14ac:dyDescent="0.3">
      <c r="A181" s="4" t="s">
        <v>883</v>
      </c>
      <c r="B181" t="s">
        <v>47</v>
      </c>
      <c r="C181" s="4" t="s">
        <v>884</v>
      </c>
      <c r="D181" s="4" t="s">
        <v>885</v>
      </c>
      <c r="E181" s="4" t="s">
        <v>49</v>
      </c>
      <c r="F181" s="5" t="s">
        <v>886</v>
      </c>
      <c r="G181" s="5" t="s">
        <v>887</v>
      </c>
      <c r="H181" t="s">
        <v>47</v>
      </c>
      <c r="I181" s="3">
        <v>35886</v>
      </c>
      <c r="J181" s="5" t="s">
        <v>50</v>
      </c>
      <c r="K181" t="s">
        <v>47</v>
      </c>
      <c r="L181" s="5" t="s">
        <v>51</v>
      </c>
      <c r="M181" t="s">
        <v>47</v>
      </c>
      <c r="N181" t="s">
        <v>47</v>
      </c>
      <c r="O181" t="s">
        <v>47</v>
      </c>
      <c r="P181" s="3">
        <v>35886</v>
      </c>
      <c r="Q181" s="5" t="s">
        <v>50</v>
      </c>
      <c r="R181" t="s">
        <v>47</v>
      </c>
      <c r="S181" t="s">
        <v>47</v>
      </c>
      <c r="T181" t="s">
        <v>47</v>
      </c>
      <c r="U181" t="s">
        <v>47</v>
      </c>
      <c r="V181" s="5">
        <v>365</v>
      </c>
      <c r="W181" s="3">
        <v>35886</v>
      </c>
      <c r="X181" s="5" t="s">
        <v>50</v>
      </c>
      <c r="Y181" t="s">
        <v>47</v>
      </c>
      <c r="Z181" s="3">
        <v>35886</v>
      </c>
      <c r="AA181" s="5" t="s">
        <v>50</v>
      </c>
      <c r="AB181" t="s">
        <v>47</v>
      </c>
      <c r="AC181" s="3">
        <v>36923</v>
      </c>
      <c r="AD181" s="5" t="s">
        <v>50</v>
      </c>
      <c r="AE181" t="s">
        <v>47</v>
      </c>
      <c r="AF181" t="s">
        <v>47</v>
      </c>
      <c r="AG181" t="s">
        <v>47</v>
      </c>
      <c r="AH181" t="s">
        <v>47</v>
      </c>
      <c r="AI181" t="s">
        <v>47</v>
      </c>
      <c r="AJ181" t="s">
        <v>47</v>
      </c>
      <c r="AK181" t="s">
        <v>47</v>
      </c>
      <c r="AL181" t="s">
        <v>47</v>
      </c>
      <c r="AM181" t="s">
        <v>47</v>
      </c>
      <c r="AN181" t="s">
        <v>47</v>
      </c>
      <c r="AO181" s="5" t="s">
        <v>51</v>
      </c>
      <c r="AP181" s="4" t="s">
        <v>85</v>
      </c>
      <c r="AQ181" s="4" t="s">
        <v>53</v>
      </c>
      <c r="AR181" s="4" t="s">
        <v>888</v>
      </c>
      <c r="AS181" s="5">
        <v>25283</v>
      </c>
      <c r="AT181" t="s">
        <v>47</v>
      </c>
    </row>
    <row r="182" spans="1:46" ht="169" x14ac:dyDescent="0.3">
      <c r="A182" s="4" t="s">
        <v>889</v>
      </c>
      <c r="B182" t="s">
        <v>47</v>
      </c>
      <c r="C182" s="4" t="s">
        <v>890</v>
      </c>
      <c r="D182" s="4" t="s">
        <v>891</v>
      </c>
      <c r="E182" s="4" t="s">
        <v>66</v>
      </c>
      <c r="F182" s="5" t="s">
        <v>892</v>
      </c>
      <c r="G182" s="5" t="s">
        <v>893</v>
      </c>
      <c r="H182" t="s">
        <v>47</v>
      </c>
      <c r="I182" s="3">
        <v>30682</v>
      </c>
      <c r="J182" s="3">
        <v>43647</v>
      </c>
      <c r="K182" s="5" t="s">
        <v>894</v>
      </c>
      <c r="L182" s="5" t="s">
        <v>60</v>
      </c>
      <c r="M182" t="s">
        <v>47</v>
      </c>
      <c r="N182" t="s">
        <v>47</v>
      </c>
      <c r="O182" t="s">
        <v>47</v>
      </c>
      <c r="P182" s="3">
        <v>30682</v>
      </c>
      <c r="Q182" s="3">
        <v>43647</v>
      </c>
      <c r="R182" s="5" t="s">
        <v>894</v>
      </c>
      <c r="S182" t="s">
        <v>47</v>
      </c>
      <c r="T182" t="s">
        <v>47</v>
      </c>
      <c r="U182" t="s">
        <v>47</v>
      </c>
      <c r="V182" t="s">
        <v>47</v>
      </c>
      <c r="W182" s="3">
        <v>30317</v>
      </c>
      <c r="X182" s="5" t="s">
        <v>50</v>
      </c>
      <c r="Y182" s="5" t="s">
        <v>894</v>
      </c>
      <c r="Z182" s="3">
        <v>30317</v>
      </c>
      <c r="AA182" s="5" t="s">
        <v>50</v>
      </c>
      <c r="AB182" s="5" t="s">
        <v>894</v>
      </c>
      <c r="AC182" s="3">
        <v>30682</v>
      </c>
      <c r="AD182" s="5" t="s">
        <v>50</v>
      </c>
      <c r="AE182" s="5" t="s">
        <v>894</v>
      </c>
      <c r="AF182" t="s">
        <v>47</v>
      </c>
      <c r="AG182" t="s">
        <v>47</v>
      </c>
      <c r="AH182" t="s">
        <v>47</v>
      </c>
      <c r="AI182" t="s">
        <v>47</v>
      </c>
      <c r="AJ182" t="s">
        <v>47</v>
      </c>
      <c r="AK182" t="s">
        <v>47</v>
      </c>
      <c r="AL182" t="s">
        <v>47</v>
      </c>
      <c r="AM182" t="s">
        <v>47</v>
      </c>
      <c r="AN182" t="s">
        <v>47</v>
      </c>
      <c r="AO182" s="5" t="s">
        <v>60</v>
      </c>
      <c r="AP182" s="4" t="s">
        <v>61</v>
      </c>
      <c r="AQ182" s="4" t="s">
        <v>53</v>
      </c>
      <c r="AR182" s="4" t="s">
        <v>895</v>
      </c>
      <c r="AS182" s="5">
        <v>105707</v>
      </c>
      <c r="AT182" t="s">
        <v>47</v>
      </c>
    </row>
    <row r="183" spans="1:46" ht="39" x14ac:dyDescent="0.3">
      <c r="A183" s="4" t="s">
        <v>896</v>
      </c>
      <c r="B183" t="s">
        <v>47</v>
      </c>
      <c r="C183" s="4" t="s">
        <v>115</v>
      </c>
      <c r="D183" s="4" t="s">
        <v>897</v>
      </c>
      <c r="E183" s="4" t="s">
        <v>66</v>
      </c>
      <c r="F183" t="s">
        <v>47</v>
      </c>
      <c r="G183" s="5" t="s">
        <v>898</v>
      </c>
      <c r="H183" t="s">
        <v>47</v>
      </c>
      <c r="I183" t="s">
        <v>47</v>
      </c>
      <c r="J183" t="s">
        <v>47</v>
      </c>
      <c r="K183" t="s">
        <v>47</v>
      </c>
      <c r="L183" s="5" t="s">
        <v>60</v>
      </c>
      <c r="M183" t="s">
        <v>47</v>
      </c>
      <c r="N183" t="s">
        <v>47</v>
      </c>
      <c r="O183" t="s">
        <v>47</v>
      </c>
      <c r="P183" t="s">
        <v>47</v>
      </c>
      <c r="Q183" t="s">
        <v>47</v>
      </c>
      <c r="R183" t="s">
        <v>47</v>
      </c>
      <c r="S183" t="s">
        <v>47</v>
      </c>
      <c r="T183" t="s">
        <v>47</v>
      </c>
      <c r="U183" t="s">
        <v>47</v>
      </c>
      <c r="V183" t="s">
        <v>47</v>
      </c>
      <c r="W183" s="3">
        <v>38261</v>
      </c>
      <c r="X183" s="3">
        <v>41548</v>
      </c>
      <c r="Y183" t="s">
        <v>47</v>
      </c>
      <c r="Z183" s="3">
        <v>38261</v>
      </c>
      <c r="AA183" s="3">
        <v>41548</v>
      </c>
      <c r="AB183" t="s">
        <v>47</v>
      </c>
      <c r="AC183" s="3">
        <v>38261</v>
      </c>
      <c r="AD183" s="3">
        <v>41548</v>
      </c>
      <c r="AE183" t="s">
        <v>47</v>
      </c>
      <c r="AF183" t="s">
        <v>47</v>
      </c>
      <c r="AG183" t="s">
        <v>47</v>
      </c>
      <c r="AH183" t="s">
        <v>47</v>
      </c>
      <c r="AI183" t="s">
        <v>47</v>
      </c>
      <c r="AJ183" t="s">
        <v>47</v>
      </c>
      <c r="AK183" t="s">
        <v>47</v>
      </c>
      <c r="AL183" t="s">
        <v>47</v>
      </c>
      <c r="AM183" t="s">
        <v>47</v>
      </c>
      <c r="AN183" t="s">
        <v>47</v>
      </c>
      <c r="AO183" s="5" t="s">
        <v>60</v>
      </c>
      <c r="AP183" s="4" t="s">
        <v>61</v>
      </c>
      <c r="AQ183" s="4" t="s">
        <v>53</v>
      </c>
      <c r="AR183" s="4" t="s">
        <v>62</v>
      </c>
      <c r="AS183" s="5">
        <v>38958</v>
      </c>
      <c r="AT183" t="s">
        <v>47</v>
      </c>
    </row>
    <row r="184" spans="1:46" ht="39" x14ac:dyDescent="0.3">
      <c r="A184" s="4" t="s">
        <v>899</v>
      </c>
      <c r="B184" t="s">
        <v>47</v>
      </c>
      <c r="C184" s="4" t="s">
        <v>900</v>
      </c>
      <c r="D184" s="4" t="s">
        <v>901</v>
      </c>
      <c r="E184" t="s">
        <v>47</v>
      </c>
      <c r="F184" s="5" t="s">
        <v>902</v>
      </c>
      <c r="G184" t="s">
        <v>47</v>
      </c>
      <c r="H184" t="s">
        <v>47</v>
      </c>
      <c r="I184" s="3">
        <v>36161</v>
      </c>
      <c r="J184" s="3">
        <v>43922</v>
      </c>
      <c r="K184" t="s">
        <v>47</v>
      </c>
      <c r="L184" s="5" t="s">
        <v>51</v>
      </c>
      <c r="M184" s="3">
        <v>36161</v>
      </c>
      <c r="N184" s="3">
        <v>43922</v>
      </c>
      <c r="O184" t="s">
        <v>47</v>
      </c>
      <c r="P184" s="3">
        <v>38322</v>
      </c>
      <c r="Q184" s="3">
        <v>43922</v>
      </c>
      <c r="R184" t="s">
        <v>47</v>
      </c>
      <c r="S184" t="s">
        <v>47</v>
      </c>
      <c r="T184" t="s">
        <v>47</v>
      </c>
      <c r="U184" t="s">
        <v>47</v>
      </c>
      <c r="V184" t="s">
        <v>47</v>
      </c>
      <c r="W184" s="3">
        <v>31656</v>
      </c>
      <c r="X184" s="3">
        <v>43922</v>
      </c>
      <c r="Y184" s="5" t="s">
        <v>105</v>
      </c>
      <c r="Z184" s="3">
        <v>31656</v>
      </c>
      <c r="AA184" s="3">
        <v>43922</v>
      </c>
      <c r="AB184" s="5" t="s">
        <v>105</v>
      </c>
      <c r="AC184" s="3">
        <v>36161</v>
      </c>
      <c r="AD184" s="3">
        <v>43922</v>
      </c>
      <c r="AE184" t="s">
        <v>47</v>
      </c>
      <c r="AF184" t="s">
        <v>47</v>
      </c>
      <c r="AG184" t="s">
        <v>47</v>
      </c>
      <c r="AH184" t="s">
        <v>47</v>
      </c>
      <c r="AI184" t="s">
        <v>47</v>
      </c>
      <c r="AJ184" t="s">
        <v>47</v>
      </c>
      <c r="AK184" t="s">
        <v>47</v>
      </c>
      <c r="AL184" t="s">
        <v>47</v>
      </c>
      <c r="AM184" t="s">
        <v>47</v>
      </c>
      <c r="AN184" t="s">
        <v>47</v>
      </c>
      <c r="AO184" s="5" t="s">
        <v>51</v>
      </c>
      <c r="AP184" s="4" t="s">
        <v>85</v>
      </c>
      <c r="AQ184" s="4" t="s">
        <v>198</v>
      </c>
      <c r="AR184" s="4" t="s">
        <v>62</v>
      </c>
      <c r="AS184" s="5">
        <v>44988</v>
      </c>
      <c r="AT184" t="s">
        <v>47</v>
      </c>
    </row>
    <row r="185" spans="1:46" ht="39" x14ac:dyDescent="0.3">
      <c r="A185" s="4" t="s">
        <v>903</v>
      </c>
      <c r="B185" t="s">
        <v>47</v>
      </c>
      <c r="C185" s="4" t="s">
        <v>193</v>
      </c>
      <c r="D185" s="4" t="s">
        <v>194</v>
      </c>
      <c r="E185" s="4" t="s">
        <v>195</v>
      </c>
      <c r="F185" t="s">
        <v>47</v>
      </c>
      <c r="G185" s="5" t="s">
        <v>904</v>
      </c>
      <c r="H185" t="s">
        <v>47</v>
      </c>
      <c r="I185" s="3">
        <v>39814</v>
      </c>
      <c r="J185" s="3">
        <v>41183</v>
      </c>
      <c r="K185" t="s">
        <v>47</v>
      </c>
      <c r="L185" s="5" t="s">
        <v>51</v>
      </c>
      <c r="M185" s="3">
        <v>39814</v>
      </c>
      <c r="N185" s="3">
        <v>41183</v>
      </c>
      <c r="O185" t="s">
        <v>47</v>
      </c>
      <c r="P185" s="3">
        <v>39814</v>
      </c>
      <c r="Q185" s="3">
        <v>41183</v>
      </c>
      <c r="R185" t="s">
        <v>47</v>
      </c>
      <c r="S185" t="s">
        <v>47</v>
      </c>
      <c r="T185" t="s">
        <v>47</v>
      </c>
      <c r="U185" t="s">
        <v>47</v>
      </c>
      <c r="V185" t="s">
        <v>47</v>
      </c>
      <c r="W185" s="3">
        <v>39814</v>
      </c>
      <c r="X185" s="3">
        <v>41183</v>
      </c>
      <c r="Y185" t="s">
        <v>47</v>
      </c>
      <c r="Z185" s="3">
        <v>39814</v>
      </c>
      <c r="AA185" s="3">
        <v>41183</v>
      </c>
      <c r="AB185" t="s">
        <v>47</v>
      </c>
      <c r="AC185" s="3">
        <v>39814</v>
      </c>
      <c r="AD185" s="3">
        <v>41183</v>
      </c>
      <c r="AE185" t="s">
        <v>47</v>
      </c>
      <c r="AF185" t="s">
        <v>47</v>
      </c>
      <c r="AG185" t="s">
        <v>47</v>
      </c>
      <c r="AH185" t="s">
        <v>47</v>
      </c>
      <c r="AI185" t="s">
        <v>47</v>
      </c>
      <c r="AJ185" t="s">
        <v>47</v>
      </c>
      <c r="AK185" t="s">
        <v>47</v>
      </c>
      <c r="AL185" t="s">
        <v>47</v>
      </c>
      <c r="AM185" t="s">
        <v>47</v>
      </c>
      <c r="AN185" t="s">
        <v>47</v>
      </c>
      <c r="AO185" s="5" t="s">
        <v>51</v>
      </c>
      <c r="AP185" s="4" t="s">
        <v>853</v>
      </c>
      <c r="AQ185" s="4" t="s">
        <v>53</v>
      </c>
      <c r="AR185" s="4" t="s">
        <v>54</v>
      </c>
      <c r="AS185" s="5">
        <v>54428</v>
      </c>
      <c r="AT185" t="s">
        <v>47</v>
      </c>
    </row>
    <row r="186" spans="1:46" ht="65" x14ac:dyDescent="0.3">
      <c r="A186" s="4" t="s">
        <v>905</v>
      </c>
      <c r="B186" t="s">
        <v>47</v>
      </c>
      <c r="C186" s="4" t="s">
        <v>906</v>
      </c>
      <c r="D186" s="4" t="s">
        <v>907</v>
      </c>
      <c r="E186" s="4" t="s">
        <v>908</v>
      </c>
      <c r="F186" s="5" t="s">
        <v>909</v>
      </c>
      <c r="G186" s="5" t="s">
        <v>910</v>
      </c>
      <c r="H186" t="s">
        <v>47</v>
      </c>
      <c r="I186" s="3">
        <v>40544</v>
      </c>
      <c r="J186" s="5" t="s">
        <v>50</v>
      </c>
      <c r="K186" t="s">
        <v>47</v>
      </c>
      <c r="L186" s="5" t="s">
        <v>60</v>
      </c>
      <c r="M186" s="3">
        <v>40544</v>
      </c>
      <c r="N186" s="5" t="s">
        <v>50</v>
      </c>
      <c r="O186" t="s">
        <v>47</v>
      </c>
      <c r="P186" s="3">
        <v>40544</v>
      </c>
      <c r="Q186" s="5" t="s">
        <v>50</v>
      </c>
      <c r="R186" t="s">
        <v>47</v>
      </c>
      <c r="S186" t="s">
        <v>47</v>
      </c>
      <c r="T186" t="s">
        <v>47</v>
      </c>
      <c r="U186" t="s">
        <v>47</v>
      </c>
      <c r="V186" t="s">
        <v>47</v>
      </c>
      <c r="W186" s="3">
        <v>40544</v>
      </c>
      <c r="X186" s="5" t="s">
        <v>50</v>
      </c>
      <c r="Y186" t="s">
        <v>47</v>
      </c>
      <c r="Z186" s="3">
        <v>40544</v>
      </c>
      <c r="AA186" s="5" t="s">
        <v>50</v>
      </c>
      <c r="AB186" t="s">
        <v>47</v>
      </c>
      <c r="AC186" s="3">
        <v>40544</v>
      </c>
      <c r="AD186" s="5" t="s">
        <v>50</v>
      </c>
      <c r="AE186" t="s">
        <v>47</v>
      </c>
      <c r="AF186" t="s">
        <v>47</v>
      </c>
      <c r="AG186" t="s">
        <v>47</v>
      </c>
      <c r="AH186" t="s">
        <v>47</v>
      </c>
      <c r="AI186" t="s">
        <v>47</v>
      </c>
      <c r="AJ186" t="s">
        <v>47</v>
      </c>
      <c r="AK186" t="s">
        <v>47</v>
      </c>
      <c r="AL186" t="s">
        <v>47</v>
      </c>
      <c r="AM186" t="s">
        <v>47</v>
      </c>
      <c r="AN186" t="s">
        <v>47</v>
      </c>
      <c r="AO186" s="5" t="s">
        <v>60</v>
      </c>
      <c r="AP186" s="4" t="s">
        <v>61</v>
      </c>
      <c r="AQ186" s="4" t="s">
        <v>53</v>
      </c>
      <c r="AR186" s="4" t="s">
        <v>543</v>
      </c>
      <c r="AS186" s="5">
        <v>1336356</v>
      </c>
      <c r="AT186" t="s">
        <v>47</v>
      </c>
    </row>
    <row r="187" spans="1:46" ht="39" x14ac:dyDescent="0.3">
      <c r="A187" s="4" t="s">
        <v>911</v>
      </c>
      <c r="B187" t="s">
        <v>47</v>
      </c>
      <c r="C187" s="4" t="s">
        <v>179</v>
      </c>
      <c r="D187" s="4" t="s">
        <v>180</v>
      </c>
      <c r="E187" s="4" t="s">
        <v>49</v>
      </c>
      <c r="F187" t="s">
        <v>47</v>
      </c>
      <c r="G187" t="s">
        <v>47</v>
      </c>
      <c r="H187" t="s">
        <v>47</v>
      </c>
      <c r="I187" s="3">
        <v>42461</v>
      </c>
      <c r="J187" s="5" t="s">
        <v>50</v>
      </c>
      <c r="K187" t="s">
        <v>47</v>
      </c>
      <c r="L187" s="5" t="s">
        <v>60</v>
      </c>
      <c r="M187" s="3">
        <v>42461</v>
      </c>
      <c r="N187" s="5" t="s">
        <v>50</v>
      </c>
      <c r="O187" t="s">
        <v>47</v>
      </c>
      <c r="P187" s="3">
        <v>42461</v>
      </c>
      <c r="Q187" s="5" t="s">
        <v>50</v>
      </c>
      <c r="R187" t="s">
        <v>47</v>
      </c>
      <c r="S187" t="s">
        <v>47</v>
      </c>
      <c r="T187" t="s">
        <v>47</v>
      </c>
      <c r="U187" t="s">
        <v>47</v>
      </c>
      <c r="V187" t="s">
        <v>47</v>
      </c>
      <c r="W187" s="3">
        <v>42461</v>
      </c>
      <c r="X187" s="5" t="s">
        <v>50</v>
      </c>
      <c r="Y187" t="s">
        <v>47</v>
      </c>
      <c r="Z187" s="3">
        <v>42461</v>
      </c>
      <c r="AA187" s="5" t="s">
        <v>50</v>
      </c>
      <c r="AB187" t="s">
        <v>47</v>
      </c>
      <c r="AC187" s="3">
        <v>42461</v>
      </c>
      <c r="AD187" s="5" t="s">
        <v>50</v>
      </c>
      <c r="AE187" t="s">
        <v>47</v>
      </c>
      <c r="AF187" t="s">
        <v>47</v>
      </c>
      <c r="AG187" t="s">
        <v>47</v>
      </c>
      <c r="AH187" t="s">
        <v>47</v>
      </c>
      <c r="AI187" t="s">
        <v>47</v>
      </c>
      <c r="AJ187" t="s">
        <v>47</v>
      </c>
      <c r="AK187" t="s">
        <v>47</v>
      </c>
      <c r="AL187" t="s">
        <v>47</v>
      </c>
      <c r="AM187" t="s">
        <v>47</v>
      </c>
      <c r="AN187" t="s">
        <v>47</v>
      </c>
      <c r="AO187" s="5" t="s">
        <v>60</v>
      </c>
      <c r="AP187" s="4" t="s">
        <v>61</v>
      </c>
      <c r="AQ187" t="s">
        <v>47</v>
      </c>
      <c r="AR187" s="4" t="s">
        <v>186</v>
      </c>
      <c r="AS187" s="5">
        <v>2042767</v>
      </c>
      <c r="AT187" t="s">
        <v>47</v>
      </c>
    </row>
    <row r="188" spans="1:46" ht="39" x14ac:dyDescent="0.3">
      <c r="A188" s="4" t="s">
        <v>912</v>
      </c>
      <c r="B188" t="s">
        <v>47</v>
      </c>
      <c r="C188" s="4" t="s">
        <v>913</v>
      </c>
      <c r="D188" s="4" t="s">
        <v>914</v>
      </c>
      <c r="E188" s="4" t="s">
        <v>100</v>
      </c>
      <c r="F188" s="5" t="s">
        <v>915</v>
      </c>
      <c r="G188" t="s">
        <v>47</v>
      </c>
      <c r="H188" t="s">
        <v>47</v>
      </c>
      <c r="I188" s="3">
        <v>36161</v>
      </c>
      <c r="J188" s="3">
        <v>40544</v>
      </c>
      <c r="K188" t="s">
        <v>47</v>
      </c>
      <c r="L188" s="5" t="s">
        <v>60</v>
      </c>
      <c r="M188" s="3">
        <v>36161</v>
      </c>
      <c r="N188" s="3">
        <v>40544</v>
      </c>
      <c r="O188" t="s">
        <v>47</v>
      </c>
      <c r="P188" t="s">
        <v>47</v>
      </c>
      <c r="Q188" t="s">
        <v>47</v>
      </c>
      <c r="R188" t="s">
        <v>47</v>
      </c>
      <c r="S188" t="s">
        <v>47</v>
      </c>
      <c r="T188" t="s">
        <v>47</v>
      </c>
      <c r="U188" t="s">
        <v>47</v>
      </c>
      <c r="V188" t="s">
        <v>47</v>
      </c>
      <c r="W188" s="3">
        <v>33878</v>
      </c>
      <c r="X188" s="3">
        <v>40544</v>
      </c>
      <c r="Y188" s="5" t="s">
        <v>916</v>
      </c>
      <c r="Z188" s="3">
        <v>33878</v>
      </c>
      <c r="AA188" s="3">
        <v>40544</v>
      </c>
      <c r="AB188" s="5" t="s">
        <v>916</v>
      </c>
      <c r="AC188" s="3">
        <v>36892</v>
      </c>
      <c r="AD188" s="3">
        <v>40544</v>
      </c>
      <c r="AE188" t="s">
        <v>47</v>
      </c>
      <c r="AF188" t="s">
        <v>47</v>
      </c>
      <c r="AG188" t="s">
        <v>47</v>
      </c>
      <c r="AH188" t="s">
        <v>47</v>
      </c>
      <c r="AI188" t="s">
        <v>47</v>
      </c>
      <c r="AJ188" t="s">
        <v>47</v>
      </c>
      <c r="AK188" t="s">
        <v>47</v>
      </c>
      <c r="AL188" t="s">
        <v>47</v>
      </c>
      <c r="AM188" t="s">
        <v>47</v>
      </c>
      <c r="AN188" t="s">
        <v>47</v>
      </c>
      <c r="AO188" s="5" t="s">
        <v>51</v>
      </c>
      <c r="AP188" s="4" t="s">
        <v>61</v>
      </c>
      <c r="AQ188" s="4" t="s">
        <v>53</v>
      </c>
      <c r="AR188" s="4" t="s">
        <v>62</v>
      </c>
      <c r="AS188" s="5">
        <v>44836</v>
      </c>
      <c r="AT188" t="s">
        <v>47</v>
      </c>
    </row>
    <row r="189" spans="1:46" ht="65" x14ac:dyDescent="0.3">
      <c r="A189" s="4" t="s">
        <v>917</v>
      </c>
      <c r="B189" t="s">
        <v>47</v>
      </c>
      <c r="C189" s="4" t="s">
        <v>918</v>
      </c>
      <c r="D189" s="4" t="s">
        <v>919</v>
      </c>
      <c r="E189" s="4" t="s">
        <v>156</v>
      </c>
      <c r="F189" s="5" t="s">
        <v>920</v>
      </c>
      <c r="G189" s="5" t="s">
        <v>921</v>
      </c>
      <c r="H189" t="s">
        <v>47</v>
      </c>
      <c r="I189" s="3">
        <v>37257</v>
      </c>
      <c r="J189" s="3">
        <v>43101</v>
      </c>
      <c r="K189" t="s">
        <v>47</v>
      </c>
      <c r="L189" s="5" t="s">
        <v>60</v>
      </c>
      <c r="M189" t="s">
        <v>47</v>
      </c>
      <c r="N189" t="s">
        <v>47</v>
      </c>
      <c r="O189" t="s">
        <v>47</v>
      </c>
      <c r="P189" s="3">
        <v>37257</v>
      </c>
      <c r="Q189" s="3">
        <v>43101</v>
      </c>
      <c r="R189" t="s">
        <v>47</v>
      </c>
      <c r="S189" t="s">
        <v>47</v>
      </c>
      <c r="T189" t="s">
        <v>47</v>
      </c>
      <c r="U189" t="s">
        <v>47</v>
      </c>
      <c r="V189" t="s">
        <v>47</v>
      </c>
      <c r="W189" s="3">
        <v>37257</v>
      </c>
      <c r="X189" s="3">
        <v>43101</v>
      </c>
      <c r="Y189" t="s">
        <v>47</v>
      </c>
      <c r="Z189" s="3">
        <v>37257</v>
      </c>
      <c r="AA189" s="3">
        <v>43101</v>
      </c>
      <c r="AB189" t="s">
        <v>47</v>
      </c>
      <c r="AC189" s="3">
        <v>37622</v>
      </c>
      <c r="AD189" s="3">
        <v>43101</v>
      </c>
      <c r="AE189" t="s">
        <v>47</v>
      </c>
      <c r="AF189" t="s">
        <v>47</v>
      </c>
      <c r="AG189" t="s">
        <v>47</v>
      </c>
      <c r="AH189" t="s">
        <v>47</v>
      </c>
      <c r="AI189" t="s">
        <v>47</v>
      </c>
      <c r="AJ189" t="s">
        <v>47</v>
      </c>
      <c r="AK189" t="s">
        <v>47</v>
      </c>
      <c r="AL189" t="s">
        <v>47</v>
      </c>
      <c r="AM189" t="s">
        <v>47</v>
      </c>
      <c r="AN189" t="s">
        <v>47</v>
      </c>
      <c r="AO189" s="5" t="s">
        <v>60</v>
      </c>
      <c r="AP189" s="4" t="s">
        <v>61</v>
      </c>
      <c r="AQ189" s="4" t="s">
        <v>922</v>
      </c>
      <c r="AR189" s="4" t="s">
        <v>923</v>
      </c>
      <c r="AS189" s="5">
        <v>2046359</v>
      </c>
      <c r="AT189" t="s">
        <v>47</v>
      </c>
    </row>
    <row r="190" spans="1:46" ht="39" x14ac:dyDescent="0.3">
      <c r="A190" s="4" t="s">
        <v>924</v>
      </c>
      <c r="B190" t="s">
        <v>47</v>
      </c>
      <c r="C190" s="4" t="s">
        <v>169</v>
      </c>
      <c r="D190" s="4" t="s">
        <v>612</v>
      </c>
      <c r="E190" s="4" t="s">
        <v>66</v>
      </c>
      <c r="F190" s="5" t="s">
        <v>925</v>
      </c>
      <c r="G190" s="5" t="s">
        <v>926</v>
      </c>
      <c r="H190" t="s">
        <v>47</v>
      </c>
      <c r="I190" s="3">
        <v>35582</v>
      </c>
      <c r="J190" s="3">
        <v>36831</v>
      </c>
      <c r="K190" t="s">
        <v>47</v>
      </c>
      <c r="L190" s="5" t="s">
        <v>60</v>
      </c>
      <c r="M190" s="3">
        <v>35582</v>
      </c>
      <c r="N190" s="3">
        <v>36831</v>
      </c>
      <c r="O190" t="s">
        <v>47</v>
      </c>
      <c r="P190" s="3">
        <v>35582</v>
      </c>
      <c r="Q190" s="3">
        <v>36831</v>
      </c>
      <c r="R190" t="s">
        <v>47</v>
      </c>
      <c r="S190" t="s">
        <v>47</v>
      </c>
      <c r="T190" t="s">
        <v>47</v>
      </c>
      <c r="U190" t="s">
        <v>47</v>
      </c>
      <c r="V190" t="s">
        <v>47</v>
      </c>
      <c r="W190" s="3">
        <v>35582</v>
      </c>
      <c r="X190" s="5" t="s">
        <v>50</v>
      </c>
      <c r="Y190" t="s">
        <v>47</v>
      </c>
      <c r="Z190" s="3">
        <v>35582</v>
      </c>
      <c r="AA190" s="5" t="s">
        <v>50</v>
      </c>
      <c r="AB190" t="s">
        <v>47</v>
      </c>
      <c r="AC190" s="3">
        <v>35582</v>
      </c>
      <c r="AD190" s="5" t="s">
        <v>50</v>
      </c>
      <c r="AE190" t="s">
        <v>47</v>
      </c>
      <c r="AF190" t="s">
        <v>47</v>
      </c>
      <c r="AG190" t="s">
        <v>47</v>
      </c>
      <c r="AH190" t="s">
        <v>47</v>
      </c>
      <c r="AI190" t="s">
        <v>47</v>
      </c>
      <c r="AJ190" t="s">
        <v>47</v>
      </c>
      <c r="AK190" t="s">
        <v>47</v>
      </c>
      <c r="AL190" t="s">
        <v>47</v>
      </c>
      <c r="AM190" t="s">
        <v>47</v>
      </c>
      <c r="AN190" t="s">
        <v>47</v>
      </c>
      <c r="AO190" s="5" t="s">
        <v>60</v>
      </c>
      <c r="AP190" s="4" t="s">
        <v>61</v>
      </c>
      <c r="AQ190" s="4" t="s">
        <v>53</v>
      </c>
      <c r="AR190" s="4" t="s">
        <v>62</v>
      </c>
      <c r="AS190" s="5">
        <v>49174</v>
      </c>
      <c r="AT190" t="s">
        <v>47</v>
      </c>
    </row>
    <row r="191" spans="1:46" ht="156" x14ac:dyDescent="0.3">
      <c r="A191" s="4" t="s">
        <v>927</v>
      </c>
      <c r="B191" t="s">
        <v>47</v>
      </c>
      <c r="C191" s="4" t="s">
        <v>928</v>
      </c>
      <c r="D191" s="4" t="s">
        <v>929</v>
      </c>
      <c r="E191" s="4" t="s">
        <v>49</v>
      </c>
      <c r="F191" t="s">
        <v>47</v>
      </c>
      <c r="G191" s="5" t="s">
        <v>930</v>
      </c>
      <c r="H191" t="s">
        <v>47</v>
      </c>
      <c r="I191" s="3">
        <v>38353</v>
      </c>
      <c r="J191" s="5" t="s">
        <v>50</v>
      </c>
      <c r="K191" t="s">
        <v>47</v>
      </c>
      <c r="L191" s="5" t="s">
        <v>60</v>
      </c>
      <c r="M191" s="3">
        <v>38353</v>
      </c>
      <c r="N191" s="5" t="s">
        <v>50</v>
      </c>
      <c r="O191" t="s">
        <v>47</v>
      </c>
      <c r="P191" s="3">
        <v>38353</v>
      </c>
      <c r="Q191" s="5" t="s">
        <v>50</v>
      </c>
      <c r="R191" t="s">
        <v>47</v>
      </c>
      <c r="S191" t="s">
        <v>47</v>
      </c>
      <c r="T191" t="s">
        <v>47</v>
      </c>
      <c r="U191" t="s">
        <v>47</v>
      </c>
      <c r="V191" t="s">
        <v>47</v>
      </c>
      <c r="W191" s="3">
        <v>38353</v>
      </c>
      <c r="X191" s="5" t="s">
        <v>50</v>
      </c>
      <c r="Y191" t="s">
        <v>47</v>
      </c>
      <c r="Z191" s="3">
        <v>38353</v>
      </c>
      <c r="AA191" s="5" t="s">
        <v>50</v>
      </c>
      <c r="AB191" t="s">
        <v>47</v>
      </c>
      <c r="AC191" s="3">
        <v>38353</v>
      </c>
      <c r="AD191" s="5" t="s">
        <v>50</v>
      </c>
      <c r="AE191" t="s">
        <v>47</v>
      </c>
      <c r="AF191" t="s">
        <v>47</v>
      </c>
      <c r="AG191" t="s">
        <v>47</v>
      </c>
      <c r="AH191" t="s">
        <v>47</v>
      </c>
      <c r="AI191" t="s">
        <v>47</v>
      </c>
      <c r="AJ191" t="s">
        <v>47</v>
      </c>
      <c r="AK191" t="s">
        <v>47</v>
      </c>
      <c r="AL191" t="s">
        <v>47</v>
      </c>
      <c r="AM191" t="s">
        <v>47</v>
      </c>
      <c r="AN191" t="s">
        <v>47</v>
      </c>
      <c r="AO191" s="5" t="s">
        <v>60</v>
      </c>
      <c r="AP191" s="4" t="s">
        <v>61</v>
      </c>
      <c r="AQ191" s="4" t="s">
        <v>53</v>
      </c>
      <c r="AR191" s="4" t="s">
        <v>931</v>
      </c>
      <c r="AS191" s="5">
        <v>2040247</v>
      </c>
      <c r="AT191" t="s">
        <v>47</v>
      </c>
    </row>
    <row r="192" spans="1:46" ht="39" x14ac:dyDescent="0.3">
      <c r="A192" s="4" t="s">
        <v>932</v>
      </c>
      <c r="B192" t="s">
        <v>47</v>
      </c>
      <c r="C192" s="4" t="s">
        <v>933</v>
      </c>
      <c r="D192" s="4" t="s">
        <v>934</v>
      </c>
      <c r="E192" s="4" t="s">
        <v>49</v>
      </c>
      <c r="F192" s="5" t="s">
        <v>935</v>
      </c>
      <c r="G192" t="s">
        <v>47</v>
      </c>
      <c r="H192" t="s">
        <v>47</v>
      </c>
      <c r="I192" s="3">
        <v>33604</v>
      </c>
      <c r="J192" s="5" t="s">
        <v>50</v>
      </c>
      <c r="K192" t="s">
        <v>47</v>
      </c>
      <c r="L192" s="5" t="s">
        <v>51</v>
      </c>
      <c r="M192" s="3">
        <v>34335</v>
      </c>
      <c r="N192" s="5" t="s">
        <v>50</v>
      </c>
      <c r="O192" t="s">
        <v>47</v>
      </c>
      <c r="P192" s="3">
        <v>33604</v>
      </c>
      <c r="Q192" s="5" t="s">
        <v>50</v>
      </c>
      <c r="R192" t="s">
        <v>47</v>
      </c>
      <c r="S192" t="s">
        <v>47</v>
      </c>
      <c r="T192" t="s">
        <v>47</v>
      </c>
      <c r="U192" t="s">
        <v>47</v>
      </c>
      <c r="V192" t="s">
        <v>47</v>
      </c>
      <c r="W192" s="3">
        <v>32143</v>
      </c>
      <c r="X192" s="5" t="s">
        <v>50</v>
      </c>
      <c r="Y192" t="s">
        <v>47</v>
      </c>
      <c r="Z192" s="3">
        <v>32143</v>
      </c>
      <c r="AA192" s="5" t="s">
        <v>50</v>
      </c>
      <c r="AB192" t="s">
        <v>47</v>
      </c>
      <c r="AC192" s="3">
        <v>32143</v>
      </c>
      <c r="AD192" s="5" t="s">
        <v>50</v>
      </c>
      <c r="AE192" t="s">
        <v>47</v>
      </c>
      <c r="AF192" t="s">
        <v>47</v>
      </c>
      <c r="AG192" t="s">
        <v>47</v>
      </c>
      <c r="AH192" t="s">
        <v>47</v>
      </c>
      <c r="AI192" t="s">
        <v>47</v>
      </c>
      <c r="AJ192" t="s">
        <v>47</v>
      </c>
      <c r="AK192" t="s">
        <v>47</v>
      </c>
      <c r="AL192" t="s">
        <v>47</v>
      </c>
      <c r="AM192" t="s">
        <v>47</v>
      </c>
      <c r="AN192" t="s">
        <v>47</v>
      </c>
      <c r="AO192" s="5" t="s">
        <v>51</v>
      </c>
      <c r="AP192" s="4" t="s">
        <v>135</v>
      </c>
      <c r="AQ192" s="4" t="s">
        <v>53</v>
      </c>
      <c r="AR192" s="4" t="s">
        <v>936</v>
      </c>
      <c r="AS192" s="5">
        <v>41696</v>
      </c>
      <c r="AT192" t="s">
        <v>47</v>
      </c>
    </row>
    <row r="193" spans="1:46" ht="39" x14ac:dyDescent="0.3">
      <c r="A193" s="4" t="s">
        <v>937</v>
      </c>
      <c r="B193" t="s">
        <v>47</v>
      </c>
      <c r="C193" s="4" t="s">
        <v>938</v>
      </c>
      <c r="D193" s="4" t="s">
        <v>939</v>
      </c>
      <c r="E193" s="4" t="s">
        <v>49</v>
      </c>
      <c r="F193" s="5" t="s">
        <v>940</v>
      </c>
      <c r="G193" t="s">
        <v>47</v>
      </c>
      <c r="H193" t="s">
        <v>47</v>
      </c>
      <c r="I193" s="3">
        <v>40544</v>
      </c>
      <c r="J193" s="3">
        <v>43647</v>
      </c>
      <c r="K193" t="s">
        <v>47</v>
      </c>
      <c r="L193" s="5" t="s">
        <v>51</v>
      </c>
      <c r="M193" s="3">
        <v>40544</v>
      </c>
      <c r="N193" s="3">
        <v>43647</v>
      </c>
      <c r="O193" t="s">
        <v>47</v>
      </c>
      <c r="P193" s="3">
        <v>40544</v>
      </c>
      <c r="Q193" s="3">
        <v>43647</v>
      </c>
      <c r="R193" t="s">
        <v>47</v>
      </c>
      <c r="S193" t="s">
        <v>47</v>
      </c>
      <c r="T193" t="s">
        <v>47</v>
      </c>
      <c r="U193" t="s">
        <v>47</v>
      </c>
      <c r="V193" t="s">
        <v>47</v>
      </c>
      <c r="W193" s="3">
        <v>29768</v>
      </c>
      <c r="X193" s="3">
        <v>43647</v>
      </c>
      <c r="Y193" t="s">
        <v>47</v>
      </c>
      <c r="Z193" s="3">
        <v>29768</v>
      </c>
      <c r="AA193" s="3">
        <v>43647</v>
      </c>
      <c r="AB193" t="s">
        <v>47</v>
      </c>
      <c r="AC193" s="3">
        <v>36100</v>
      </c>
      <c r="AD193" s="3">
        <v>43647</v>
      </c>
      <c r="AE193" t="s">
        <v>47</v>
      </c>
      <c r="AF193" t="s">
        <v>47</v>
      </c>
      <c r="AG193" t="s">
        <v>47</v>
      </c>
      <c r="AH193" t="s">
        <v>47</v>
      </c>
      <c r="AI193" t="s">
        <v>47</v>
      </c>
      <c r="AJ193" t="s">
        <v>47</v>
      </c>
      <c r="AK193" t="s">
        <v>47</v>
      </c>
      <c r="AL193" t="s">
        <v>47</v>
      </c>
      <c r="AM193" t="s">
        <v>47</v>
      </c>
      <c r="AN193" t="s">
        <v>47</v>
      </c>
      <c r="AO193" s="5" t="s">
        <v>51</v>
      </c>
      <c r="AP193" s="4" t="s">
        <v>85</v>
      </c>
      <c r="AQ193" s="4" t="s">
        <v>53</v>
      </c>
      <c r="AR193" s="4" t="s">
        <v>941</v>
      </c>
      <c r="AS193" s="5">
        <v>48849</v>
      </c>
      <c r="AT193" t="s">
        <v>47</v>
      </c>
    </row>
    <row r="194" spans="1:46" ht="26" x14ac:dyDescent="0.3">
      <c r="A194" s="4" t="s">
        <v>942</v>
      </c>
      <c r="B194" t="s">
        <v>47</v>
      </c>
      <c r="C194" s="4" t="s">
        <v>943</v>
      </c>
      <c r="D194" s="4" t="s">
        <v>944</v>
      </c>
      <c r="E194" s="4" t="s">
        <v>100</v>
      </c>
      <c r="F194" s="5" t="s">
        <v>945</v>
      </c>
      <c r="G194" t="s">
        <v>47</v>
      </c>
      <c r="H194" t="s">
        <v>47</v>
      </c>
      <c r="I194" t="s">
        <v>47</v>
      </c>
      <c r="J194" t="s">
        <v>47</v>
      </c>
      <c r="K194" t="s">
        <v>47</v>
      </c>
      <c r="L194" s="5" t="s">
        <v>60</v>
      </c>
      <c r="M194" t="s">
        <v>47</v>
      </c>
      <c r="N194" t="s">
        <v>47</v>
      </c>
      <c r="O194" t="s">
        <v>47</v>
      </c>
      <c r="P194" t="s">
        <v>47</v>
      </c>
      <c r="Q194" t="s">
        <v>47</v>
      </c>
      <c r="R194" t="s">
        <v>47</v>
      </c>
      <c r="S194" t="s">
        <v>47</v>
      </c>
      <c r="T194" t="s">
        <v>47</v>
      </c>
      <c r="U194" t="s">
        <v>47</v>
      </c>
      <c r="V194" t="s">
        <v>47</v>
      </c>
      <c r="W194" s="3">
        <v>36892</v>
      </c>
      <c r="X194" s="5" t="s">
        <v>50</v>
      </c>
      <c r="Y194" s="5" t="s">
        <v>946</v>
      </c>
      <c r="Z194" s="3">
        <v>36892</v>
      </c>
      <c r="AA194" s="5" t="s">
        <v>50</v>
      </c>
      <c r="AB194" s="5" t="s">
        <v>946</v>
      </c>
      <c r="AC194" s="3">
        <v>43101</v>
      </c>
      <c r="AD194" s="5" t="s">
        <v>50</v>
      </c>
      <c r="AE194" t="s">
        <v>47</v>
      </c>
      <c r="AF194" t="s">
        <v>47</v>
      </c>
      <c r="AG194" t="s">
        <v>47</v>
      </c>
      <c r="AH194" t="s">
        <v>47</v>
      </c>
      <c r="AI194" t="s">
        <v>47</v>
      </c>
      <c r="AJ194" t="s">
        <v>47</v>
      </c>
      <c r="AK194" t="s">
        <v>47</v>
      </c>
      <c r="AL194" t="s">
        <v>47</v>
      </c>
      <c r="AM194" t="s">
        <v>47</v>
      </c>
      <c r="AN194" t="s">
        <v>47</v>
      </c>
      <c r="AO194" s="5" t="s">
        <v>51</v>
      </c>
      <c r="AP194" s="4" t="s">
        <v>61</v>
      </c>
      <c r="AQ194" s="4" t="s">
        <v>53</v>
      </c>
      <c r="AR194" s="4" t="s">
        <v>54</v>
      </c>
      <c r="AS194" s="5">
        <v>42744</v>
      </c>
      <c r="AT194" t="s">
        <v>47</v>
      </c>
    </row>
    <row r="195" spans="1:46" ht="39" x14ac:dyDescent="0.3">
      <c r="A195" s="4" t="s">
        <v>947</v>
      </c>
      <c r="B195" t="s">
        <v>47</v>
      </c>
      <c r="C195" s="4" t="s">
        <v>948</v>
      </c>
      <c r="D195" s="4" t="s">
        <v>949</v>
      </c>
      <c r="E195" s="4" t="s">
        <v>100</v>
      </c>
      <c r="F195" t="s">
        <v>47</v>
      </c>
      <c r="G195" s="5" t="s">
        <v>950</v>
      </c>
      <c r="H195" t="s">
        <v>47</v>
      </c>
      <c r="I195" s="3">
        <v>39387</v>
      </c>
      <c r="J195" s="3">
        <v>43831</v>
      </c>
      <c r="K195" t="s">
        <v>47</v>
      </c>
      <c r="L195" s="5" t="s">
        <v>60</v>
      </c>
      <c r="M195" t="s">
        <v>47</v>
      </c>
      <c r="N195" t="s">
        <v>47</v>
      </c>
      <c r="O195" t="s">
        <v>47</v>
      </c>
      <c r="P195" s="3">
        <v>39387</v>
      </c>
      <c r="Q195" s="3">
        <v>43831</v>
      </c>
      <c r="R195" t="s">
        <v>47</v>
      </c>
      <c r="S195" t="s">
        <v>47</v>
      </c>
      <c r="T195" t="s">
        <v>47</v>
      </c>
      <c r="U195" t="s">
        <v>47</v>
      </c>
      <c r="V195" t="s">
        <v>47</v>
      </c>
      <c r="W195" s="3">
        <v>39387</v>
      </c>
      <c r="X195" s="3">
        <v>43831</v>
      </c>
      <c r="Y195" t="s">
        <v>47</v>
      </c>
      <c r="Z195" s="3">
        <v>39387</v>
      </c>
      <c r="AA195" s="3">
        <v>43831</v>
      </c>
      <c r="AB195" t="s">
        <v>47</v>
      </c>
      <c r="AC195" s="3">
        <v>39387</v>
      </c>
      <c r="AD195" s="3">
        <v>43831</v>
      </c>
      <c r="AE195" t="s">
        <v>47</v>
      </c>
      <c r="AF195" t="s">
        <v>47</v>
      </c>
      <c r="AG195" t="s">
        <v>47</v>
      </c>
      <c r="AH195" t="s">
        <v>47</v>
      </c>
      <c r="AI195" t="s">
        <v>47</v>
      </c>
      <c r="AJ195" t="s">
        <v>47</v>
      </c>
      <c r="AK195" t="s">
        <v>47</v>
      </c>
      <c r="AL195" t="s">
        <v>47</v>
      </c>
      <c r="AM195" t="s">
        <v>47</v>
      </c>
      <c r="AN195" t="s">
        <v>47</v>
      </c>
      <c r="AO195" s="5" t="s">
        <v>60</v>
      </c>
      <c r="AP195" s="4" t="s">
        <v>61</v>
      </c>
      <c r="AQ195" s="4" t="s">
        <v>198</v>
      </c>
      <c r="AR195" s="4" t="s">
        <v>186</v>
      </c>
      <c r="AS195" s="5">
        <v>1976337</v>
      </c>
      <c r="AT195" t="s">
        <v>47</v>
      </c>
    </row>
    <row r="196" spans="1:46" ht="39" x14ac:dyDescent="0.3">
      <c r="A196" s="4" t="s">
        <v>951</v>
      </c>
      <c r="B196" t="s">
        <v>47</v>
      </c>
      <c r="C196" s="4" t="s">
        <v>948</v>
      </c>
      <c r="D196" s="4" t="s">
        <v>901</v>
      </c>
      <c r="E196" s="4" t="s">
        <v>100</v>
      </c>
      <c r="F196" s="5" t="s">
        <v>952</v>
      </c>
      <c r="G196" s="5" t="s">
        <v>950</v>
      </c>
      <c r="H196" t="s">
        <v>47</v>
      </c>
      <c r="I196" s="3">
        <v>36281</v>
      </c>
      <c r="J196" s="3">
        <v>40848</v>
      </c>
      <c r="K196" t="s">
        <v>47</v>
      </c>
      <c r="L196" s="5" t="s">
        <v>60</v>
      </c>
      <c r="M196" s="3">
        <v>36281</v>
      </c>
      <c r="N196" s="3">
        <v>40848</v>
      </c>
      <c r="O196" t="s">
        <v>47</v>
      </c>
      <c r="P196" s="3">
        <v>37742</v>
      </c>
      <c r="Q196" s="3">
        <v>40848</v>
      </c>
      <c r="R196" t="s">
        <v>47</v>
      </c>
      <c r="S196" t="s">
        <v>47</v>
      </c>
      <c r="T196" t="s">
        <v>47</v>
      </c>
      <c r="U196" t="s">
        <v>47</v>
      </c>
      <c r="V196" t="s">
        <v>47</v>
      </c>
      <c r="W196" s="3">
        <v>33725</v>
      </c>
      <c r="X196" s="3">
        <v>40848</v>
      </c>
      <c r="Y196" t="s">
        <v>47</v>
      </c>
      <c r="Z196" s="3">
        <v>33725</v>
      </c>
      <c r="AA196" s="3">
        <v>40848</v>
      </c>
      <c r="AB196" t="s">
        <v>47</v>
      </c>
      <c r="AC196" s="3">
        <v>36281</v>
      </c>
      <c r="AD196" s="3">
        <v>40848</v>
      </c>
      <c r="AE196" t="s">
        <v>47</v>
      </c>
      <c r="AF196" t="s">
        <v>47</v>
      </c>
      <c r="AG196" t="s">
        <v>47</v>
      </c>
      <c r="AH196" t="s">
        <v>47</v>
      </c>
      <c r="AI196" t="s">
        <v>47</v>
      </c>
      <c r="AJ196" t="s">
        <v>47</v>
      </c>
      <c r="AK196" t="s">
        <v>47</v>
      </c>
      <c r="AL196" t="s">
        <v>47</v>
      </c>
      <c r="AM196" t="s">
        <v>47</v>
      </c>
      <c r="AN196" t="s">
        <v>47</v>
      </c>
      <c r="AO196" s="5" t="s">
        <v>60</v>
      </c>
      <c r="AP196" s="4" t="s">
        <v>61</v>
      </c>
      <c r="AQ196" s="4" t="s">
        <v>53</v>
      </c>
      <c r="AR196" s="4" t="s">
        <v>186</v>
      </c>
      <c r="AS196" s="5">
        <v>44724</v>
      </c>
      <c r="AT196" t="s">
        <v>47</v>
      </c>
    </row>
    <row r="197" spans="1:46" ht="26" x14ac:dyDescent="0.3">
      <c r="A197" s="4" t="s">
        <v>953</v>
      </c>
      <c r="B197" t="s">
        <v>47</v>
      </c>
      <c r="C197" s="4" t="s">
        <v>954</v>
      </c>
      <c r="D197" s="4" t="s">
        <v>955</v>
      </c>
      <c r="E197" s="4" t="s">
        <v>100</v>
      </c>
      <c r="F197" s="5" t="s">
        <v>956</v>
      </c>
      <c r="G197" s="5" t="s">
        <v>957</v>
      </c>
      <c r="H197" t="s">
        <v>47</v>
      </c>
      <c r="I197" s="3">
        <v>39904</v>
      </c>
      <c r="J197" s="5" t="s">
        <v>50</v>
      </c>
      <c r="K197" t="s">
        <v>47</v>
      </c>
      <c r="L197" s="5" t="s">
        <v>60</v>
      </c>
      <c r="M197" s="3">
        <v>39904</v>
      </c>
      <c r="N197" s="5" t="s">
        <v>50</v>
      </c>
      <c r="O197" t="s">
        <v>47</v>
      </c>
      <c r="P197" s="3">
        <v>39904</v>
      </c>
      <c r="Q197" s="5" t="s">
        <v>50</v>
      </c>
      <c r="R197" t="s">
        <v>47</v>
      </c>
      <c r="S197" t="s">
        <v>47</v>
      </c>
      <c r="T197" t="s">
        <v>47</v>
      </c>
      <c r="U197" t="s">
        <v>47</v>
      </c>
      <c r="V197" t="s">
        <v>47</v>
      </c>
      <c r="W197" s="3">
        <v>39904</v>
      </c>
      <c r="X197" s="5" t="s">
        <v>50</v>
      </c>
      <c r="Y197" t="s">
        <v>47</v>
      </c>
      <c r="Z197" s="3">
        <v>39904</v>
      </c>
      <c r="AA197" s="5" t="s">
        <v>50</v>
      </c>
      <c r="AB197" t="s">
        <v>47</v>
      </c>
      <c r="AC197" s="3">
        <v>39904</v>
      </c>
      <c r="AD197" s="5" t="s">
        <v>50</v>
      </c>
      <c r="AE197" t="s">
        <v>47</v>
      </c>
      <c r="AF197" t="s">
        <v>47</v>
      </c>
      <c r="AG197" t="s">
        <v>47</v>
      </c>
      <c r="AH197" t="s">
        <v>47</v>
      </c>
      <c r="AI197" t="s">
        <v>47</v>
      </c>
      <c r="AJ197" t="s">
        <v>47</v>
      </c>
      <c r="AK197" t="s">
        <v>47</v>
      </c>
      <c r="AL197" t="s">
        <v>47</v>
      </c>
      <c r="AM197" t="s">
        <v>47</v>
      </c>
      <c r="AN197" t="s">
        <v>47</v>
      </c>
      <c r="AO197" s="5" t="s">
        <v>60</v>
      </c>
      <c r="AP197" s="4" t="s">
        <v>61</v>
      </c>
      <c r="AQ197" s="4" t="s">
        <v>198</v>
      </c>
      <c r="AR197" s="4" t="s">
        <v>167</v>
      </c>
      <c r="AS197" s="5">
        <v>39587</v>
      </c>
      <c r="AT197" t="s">
        <v>47</v>
      </c>
    </row>
    <row r="198" spans="1:46" ht="26" x14ac:dyDescent="0.3">
      <c r="A198" s="4" t="s">
        <v>958</v>
      </c>
      <c r="B198" t="s">
        <v>47</v>
      </c>
      <c r="C198" s="4" t="s">
        <v>959</v>
      </c>
      <c r="D198" s="4" t="s">
        <v>960</v>
      </c>
      <c r="E198" s="4" t="s">
        <v>100</v>
      </c>
      <c r="F198" s="5" t="s">
        <v>961</v>
      </c>
      <c r="G198" t="s">
        <v>47</v>
      </c>
      <c r="H198" t="s">
        <v>47</v>
      </c>
      <c r="I198" s="3">
        <v>37257</v>
      </c>
      <c r="J198" s="3">
        <v>40087</v>
      </c>
      <c r="K198" t="s">
        <v>47</v>
      </c>
      <c r="L198" s="5" t="s">
        <v>60</v>
      </c>
      <c r="M198" s="3">
        <v>37257</v>
      </c>
      <c r="N198" s="3">
        <v>40087</v>
      </c>
      <c r="O198" t="s">
        <v>47</v>
      </c>
      <c r="P198" s="3">
        <v>37257</v>
      </c>
      <c r="Q198" s="3">
        <v>40087</v>
      </c>
      <c r="R198" t="s">
        <v>47</v>
      </c>
      <c r="S198" t="s">
        <v>47</v>
      </c>
      <c r="T198" t="s">
        <v>47</v>
      </c>
      <c r="U198" t="s">
        <v>47</v>
      </c>
      <c r="V198" t="s">
        <v>47</v>
      </c>
      <c r="W198" s="3">
        <v>33604</v>
      </c>
      <c r="X198" s="3">
        <v>40087</v>
      </c>
      <c r="Y198" t="s">
        <v>47</v>
      </c>
      <c r="Z198" s="3">
        <v>33604</v>
      </c>
      <c r="AA198" s="3">
        <v>40087</v>
      </c>
      <c r="AB198" t="s">
        <v>47</v>
      </c>
      <c r="AC198" t="s">
        <v>47</v>
      </c>
      <c r="AD198" t="s">
        <v>47</v>
      </c>
      <c r="AE198" t="s">
        <v>47</v>
      </c>
      <c r="AF198" t="s">
        <v>47</v>
      </c>
      <c r="AG198" t="s">
        <v>47</v>
      </c>
      <c r="AH198" t="s">
        <v>47</v>
      </c>
      <c r="AI198" t="s">
        <v>47</v>
      </c>
      <c r="AJ198" t="s">
        <v>47</v>
      </c>
      <c r="AK198" t="s">
        <v>47</v>
      </c>
      <c r="AL198" t="s">
        <v>47</v>
      </c>
      <c r="AM198" t="s">
        <v>47</v>
      </c>
      <c r="AN198" t="s">
        <v>47</v>
      </c>
      <c r="AO198" s="5" t="s">
        <v>60</v>
      </c>
      <c r="AP198" s="4" t="s">
        <v>61</v>
      </c>
      <c r="AQ198" s="4" t="s">
        <v>53</v>
      </c>
      <c r="AR198" s="4" t="s">
        <v>807</v>
      </c>
      <c r="AS198" s="5">
        <v>49259</v>
      </c>
      <c r="AT198" t="s">
        <v>47</v>
      </c>
    </row>
    <row r="199" spans="1:46" ht="26" x14ac:dyDescent="0.3">
      <c r="A199" s="4" t="s">
        <v>962</v>
      </c>
      <c r="B199" t="s">
        <v>47</v>
      </c>
      <c r="C199" s="4" t="s">
        <v>963</v>
      </c>
      <c r="D199" s="4" t="s">
        <v>901</v>
      </c>
      <c r="E199" s="4" t="s">
        <v>100</v>
      </c>
      <c r="F199" s="5" t="s">
        <v>964</v>
      </c>
      <c r="G199" s="5" t="s">
        <v>965</v>
      </c>
      <c r="H199" t="s">
        <v>47</v>
      </c>
      <c r="I199" s="3">
        <v>33970</v>
      </c>
      <c r="J199" s="5" t="s">
        <v>50</v>
      </c>
      <c r="K199" t="s">
        <v>47</v>
      </c>
      <c r="L199" s="5" t="s">
        <v>60</v>
      </c>
      <c r="M199" s="3">
        <v>33970</v>
      </c>
      <c r="N199" s="5" t="s">
        <v>50</v>
      </c>
      <c r="O199" t="s">
        <v>47</v>
      </c>
      <c r="P199" s="3">
        <v>37257</v>
      </c>
      <c r="Q199" s="5" t="s">
        <v>50</v>
      </c>
      <c r="R199" t="s">
        <v>47</v>
      </c>
      <c r="S199" t="s">
        <v>47</v>
      </c>
      <c r="T199" t="s">
        <v>47</v>
      </c>
      <c r="U199" t="s">
        <v>47</v>
      </c>
      <c r="V199" t="s">
        <v>47</v>
      </c>
      <c r="W199" s="3">
        <v>31413</v>
      </c>
      <c r="X199" s="5" t="s">
        <v>50</v>
      </c>
      <c r="Y199" t="s">
        <v>47</v>
      </c>
      <c r="Z199" s="3">
        <v>31413</v>
      </c>
      <c r="AA199" s="5" t="s">
        <v>50</v>
      </c>
      <c r="AB199" t="s">
        <v>47</v>
      </c>
      <c r="AC199" s="3">
        <v>33970</v>
      </c>
      <c r="AD199" s="5" t="s">
        <v>50</v>
      </c>
      <c r="AE199" t="s">
        <v>47</v>
      </c>
      <c r="AF199" t="s">
        <v>47</v>
      </c>
      <c r="AG199" t="s">
        <v>47</v>
      </c>
      <c r="AH199" t="s">
        <v>47</v>
      </c>
      <c r="AI199" t="s">
        <v>47</v>
      </c>
      <c r="AJ199" t="s">
        <v>47</v>
      </c>
      <c r="AK199" t="s">
        <v>47</v>
      </c>
      <c r="AL199" t="s">
        <v>47</v>
      </c>
      <c r="AM199" t="s">
        <v>47</v>
      </c>
      <c r="AN199" t="s">
        <v>47</v>
      </c>
      <c r="AO199" s="5" t="s">
        <v>60</v>
      </c>
      <c r="AP199" s="4" t="s">
        <v>61</v>
      </c>
      <c r="AQ199" s="4" t="s">
        <v>53</v>
      </c>
      <c r="AR199" s="4" t="s">
        <v>54</v>
      </c>
      <c r="AS199" s="5">
        <v>37189</v>
      </c>
      <c r="AT199" t="s">
        <v>47</v>
      </c>
    </row>
    <row r="200" spans="1:46" ht="78" x14ac:dyDescent="0.3">
      <c r="A200" s="4" t="s">
        <v>966</v>
      </c>
      <c r="B200" t="s">
        <v>47</v>
      </c>
      <c r="C200" s="4" t="s">
        <v>966</v>
      </c>
      <c r="D200" s="4" t="s">
        <v>967</v>
      </c>
      <c r="E200" s="4" t="s">
        <v>100</v>
      </c>
      <c r="F200" t="s">
        <v>47</v>
      </c>
      <c r="G200" s="5" t="s">
        <v>968</v>
      </c>
      <c r="H200" t="s">
        <v>47</v>
      </c>
      <c r="I200" t="s">
        <v>47</v>
      </c>
      <c r="J200" t="s">
        <v>47</v>
      </c>
      <c r="K200" t="s">
        <v>47</v>
      </c>
      <c r="L200" s="5" t="s">
        <v>60</v>
      </c>
      <c r="M200" t="s">
        <v>47</v>
      </c>
      <c r="N200" t="s">
        <v>47</v>
      </c>
      <c r="O200" t="s">
        <v>47</v>
      </c>
      <c r="P200" t="s">
        <v>47</v>
      </c>
      <c r="Q200" t="s">
        <v>47</v>
      </c>
      <c r="R200" t="s">
        <v>47</v>
      </c>
      <c r="S200" t="s">
        <v>47</v>
      </c>
      <c r="T200" t="s">
        <v>47</v>
      </c>
      <c r="U200" t="s">
        <v>47</v>
      </c>
      <c r="V200" t="s">
        <v>47</v>
      </c>
      <c r="W200" s="3">
        <v>36179</v>
      </c>
      <c r="X200" s="5" t="s">
        <v>50</v>
      </c>
      <c r="Y200" t="s">
        <v>47</v>
      </c>
      <c r="Z200" s="3">
        <v>36179</v>
      </c>
      <c r="AA200" s="5" t="s">
        <v>50</v>
      </c>
      <c r="AB200" t="s">
        <v>47</v>
      </c>
      <c r="AC200" s="3">
        <v>38968</v>
      </c>
      <c r="AD200" s="5" t="s">
        <v>50</v>
      </c>
      <c r="AE200" s="5" t="s">
        <v>969</v>
      </c>
      <c r="AF200" t="s">
        <v>47</v>
      </c>
      <c r="AG200" t="s">
        <v>47</v>
      </c>
      <c r="AH200" t="s">
        <v>47</v>
      </c>
      <c r="AI200" t="s">
        <v>47</v>
      </c>
      <c r="AJ200" t="s">
        <v>47</v>
      </c>
      <c r="AK200" t="s">
        <v>47</v>
      </c>
      <c r="AL200" t="s">
        <v>47</v>
      </c>
      <c r="AM200" t="s">
        <v>47</v>
      </c>
      <c r="AN200" t="s">
        <v>47</v>
      </c>
      <c r="AO200" s="5" t="s">
        <v>60</v>
      </c>
      <c r="AP200" s="4" t="s">
        <v>61</v>
      </c>
      <c r="AQ200" s="4" t="s">
        <v>53</v>
      </c>
      <c r="AR200" s="4" t="s">
        <v>136</v>
      </c>
      <c r="AS200" s="5">
        <v>43658</v>
      </c>
      <c r="AT200" t="s">
        <v>47</v>
      </c>
    </row>
    <row r="201" spans="1:46" ht="39" x14ac:dyDescent="0.3">
      <c r="A201" s="4" t="s">
        <v>970</v>
      </c>
      <c r="B201" t="s">
        <v>47</v>
      </c>
      <c r="C201" s="4" t="s">
        <v>913</v>
      </c>
      <c r="D201" s="4" t="s">
        <v>901</v>
      </c>
      <c r="E201" s="4" t="s">
        <v>100</v>
      </c>
      <c r="F201" s="5" t="s">
        <v>971</v>
      </c>
      <c r="G201" s="5" t="s">
        <v>972</v>
      </c>
      <c r="H201" t="s">
        <v>47</v>
      </c>
      <c r="I201" s="3">
        <v>36161</v>
      </c>
      <c r="J201" s="5" t="s">
        <v>50</v>
      </c>
      <c r="K201" t="s">
        <v>47</v>
      </c>
      <c r="L201" s="5" t="s">
        <v>60</v>
      </c>
      <c r="M201" s="3">
        <v>36161</v>
      </c>
      <c r="N201" s="5" t="s">
        <v>50</v>
      </c>
      <c r="O201" t="s">
        <v>47</v>
      </c>
      <c r="P201" s="3">
        <v>38108</v>
      </c>
      <c r="Q201" s="5" t="s">
        <v>50</v>
      </c>
      <c r="R201" t="s">
        <v>47</v>
      </c>
      <c r="S201" t="s">
        <v>47</v>
      </c>
      <c r="T201" t="s">
        <v>47</v>
      </c>
      <c r="U201" t="s">
        <v>47</v>
      </c>
      <c r="V201" t="s">
        <v>47</v>
      </c>
      <c r="W201" s="3">
        <v>32143</v>
      </c>
      <c r="X201" s="5" t="s">
        <v>50</v>
      </c>
      <c r="Y201" t="s">
        <v>47</v>
      </c>
      <c r="Z201" s="3">
        <v>32143</v>
      </c>
      <c r="AA201" s="5" t="s">
        <v>50</v>
      </c>
      <c r="AB201" t="s">
        <v>47</v>
      </c>
      <c r="AC201" s="3">
        <v>36161</v>
      </c>
      <c r="AD201" s="5" t="s">
        <v>50</v>
      </c>
      <c r="AE201" t="s">
        <v>47</v>
      </c>
      <c r="AF201" t="s">
        <v>47</v>
      </c>
      <c r="AG201" t="s">
        <v>47</v>
      </c>
      <c r="AH201" t="s">
        <v>47</v>
      </c>
      <c r="AI201" t="s">
        <v>47</v>
      </c>
      <c r="AJ201" t="s">
        <v>47</v>
      </c>
      <c r="AK201" t="s">
        <v>47</v>
      </c>
      <c r="AL201" t="s">
        <v>47</v>
      </c>
      <c r="AM201" t="s">
        <v>47</v>
      </c>
      <c r="AN201" t="s">
        <v>47</v>
      </c>
      <c r="AO201" s="5" t="s">
        <v>60</v>
      </c>
      <c r="AP201" s="4" t="s">
        <v>61</v>
      </c>
      <c r="AQ201" s="4" t="s">
        <v>53</v>
      </c>
      <c r="AR201" s="4" t="s">
        <v>62</v>
      </c>
      <c r="AS201" s="5">
        <v>48158</v>
      </c>
      <c r="AT201" t="s">
        <v>47</v>
      </c>
    </row>
    <row r="202" spans="1:46" ht="26" x14ac:dyDescent="0.3">
      <c r="A202" s="4" t="s">
        <v>973</v>
      </c>
      <c r="B202" t="s">
        <v>47</v>
      </c>
      <c r="C202" s="4" t="s">
        <v>974</v>
      </c>
      <c r="D202" s="4" t="s">
        <v>901</v>
      </c>
      <c r="E202" s="4" t="s">
        <v>100</v>
      </c>
      <c r="F202" s="5" t="s">
        <v>975</v>
      </c>
      <c r="G202" s="5" t="s">
        <v>976</v>
      </c>
      <c r="H202" t="s">
        <v>47</v>
      </c>
      <c r="I202" s="3">
        <v>35431</v>
      </c>
      <c r="J202" s="3">
        <v>41091</v>
      </c>
      <c r="K202" t="s">
        <v>47</v>
      </c>
      <c r="L202" s="5" t="s">
        <v>60</v>
      </c>
      <c r="M202" s="3">
        <v>35431</v>
      </c>
      <c r="N202" s="3">
        <v>41091</v>
      </c>
      <c r="O202" t="s">
        <v>47</v>
      </c>
      <c r="P202" s="3">
        <v>35796</v>
      </c>
      <c r="Q202" s="3">
        <v>41091</v>
      </c>
      <c r="R202" t="s">
        <v>47</v>
      </c>
      <c r="S202" t="s">
        <v>47</v>
      </c>
      <c r="T202" t="s">
        <v>47</v>
      </c>
      <c r="U202" t="s">
        <v>47</v>
      </c>
      <c r="V202" t="s">
        <v>47</v>
      </c>
      <c r="W202" s="3">
        <v>33970</v>
      </c>
      <c r="X202" s="3">
        <v>41091</v>
      </c>
      <c r="Y202" t="s">
        <v>47</v>
      </c>
      <c r="Z202" s="3">
        <v>33970</v>
      </c>
      <c r="AA202" s="3">
        <v>41091</v>
      </c>
      <c r="AB202" t="s">
        <v>47</v>
      </c>
      <c r="AC202" s="3">
        <v>35431</v>
      </c>
      <c r="AD202" s="3">
        <v>41091</v>
      </c>
      <c r="AE202" t="s">
        <v>47</v>
      </c>
      <c r="AF202" t="s">
        <v>47</v>
      </c>
      <c r="AG202" t="s">
        <v>47</v>
      </c>
      <c r="AH202" t="s">
        <v>47</v>
      </c>
      <c r="AI202" t="s">
        <v>47</v>
      </c>
      <c r="AJ202" t="s">
        <v>47</v>
      </c>
      <c r="AK202" t="s">
        <v>47</v>
      </c>
      <c r="AL202" t="s">
        <v>47</v>
      </c>
      <c r="AM202" t="s">
        <v>47</v>
      </c>
      <c r="AN202" t="s">
        <v>47</v>
      </c>
      <c r="AO202" s="5" t="s">
        <v>60</v>
      </c>
      <c r="AP202" s="4" t="s">
        <v>61</v>
      </c>
      <c r="AQ202" s="4" t="s">
        <v>53</v>
      </c>
      <c r="AR202" s="4" t="s">
        <v>483</v>
      </c>
      <c r="AS202" s="5">
        <v>33400</v>
      </c>
      <c r="AT202" t="s">
        <v>47</v>
      </c>
    </row>
    <row r="203" spans="1:46" ht="26" x14ac:dyDescent="0.3">
      <c r="A203" s="4" t="s">
        <v>973</v>
      </c>
      <c r="B203" t="s">
        <v>47</v>
      </c>
      <c r="C203" s="4" t="s">
        <v>977</v>
      </c>
      <c r="D203" s="4" t="s">
        <v>901</v>
      </c>
      <c r="E203" s="4" t="s">
        <v>100</v>
      </c>
      <c r="F203" s="5" t="s">
        <v>975</v>
      </c>
      <c r="G203" s="5" t="s">
        <v>976</v>
      </c>
      <c r="H203" t="s">
        <v>47</v>
      </c>
      <c r="I203" s="3">
        <v>41275</v>
      </c>
      <c r="J203" s="3">
        <v>42979</v>
      </c>
      <c r="K203" t="s">
        <v>47</v>
      </c>
      <c r="L203" s="5" t="s">
        <v>60</v>
      </c>
      <c r="M203" s="3">
        <v>41275</v>
      </c>
      <c r="N203" s="3">
        <v>42979</v>
      </c>
      <c r="O203" t="s">
        <v>47</v>
      </c>
      <c r="P203" s="3">
        <v>41275</v>
      </c>
      <c r="Q203" s="3">
        <v>42979</v>
      </c>
      <c r="R203" t="s">
        <v>47</v>
      </c>
      <c r="S203" t="s">
        <v>47</v>
      </c>
      <c r="T203" t="s">
        <v>47</v>
      </c>
      <c r="U203" t="s">
        <v>47</v>
      </c>
      <c r="V203" t="s">
        <v>47</v>
      </c>
      <c r="W203" s="3">
        <v>41275</v>
      </c>
      <c r="X203" s="5" t="s">
        <v>50</v>
      </c>
      <c r="Y203" t="s">
        <v>47</v>
      </c>
      <c r="Z203" s="3">
        <v>41275</v>
      </c>
      <c r="AA203" s="5" t="s">
        <v>50</v>
      </c>
      <c r="AB203" t="s">
        <v>47</v>
      </c>
      <c r="AC203" s="3">
        <v>41275</v>
      </c>
      <c r="AD203" s="5" t="s">
        <v>50</v>
      </c>
      <c r="AE203" t="s">
        <v>47</v>
      </c>
      <c r="AF203" t="s">
        <v>47</v>
      </c>
      <c r="AG203" t="s">
        <v>47</v>
      </c>
      <c r="AH203" t="s">
        <v>47</v>
      </c>
      <c r="AI203" t="s">
        <v>47</v>
      </c>
      <c r="AJ203" t="s">
        <v>47</v>
      </c>
      <c r="AK203" t="s">
        <v>47</v>
      </c>
      <c r="AL203" t="s">
        <v>47</v>
      </c>
      <c r="AM203" t="s">
        <v>47</v>
      </c>
      <c r="AN203" t="s">
        <v>47</v>
      </c>
      <c r="AO203" s="5" t="s">
        <v>60</v>
      </c>
      <c r="AP203" s="4" t="s">
        <v>61</v>
      </c>
      <c r="AQ203" s="4" t="s">
        <v>53</v>
      </c>
      <c r="AR203" s="4" t="s">
        <v>483</v>
      </c>
      <c r="AS203" s="5">
        <v>2037334</v>
      </c>
      <c r="AT203" t="s">
        <v>47</v>
      </c>
    </row>
    <row r="204" spans="1:46" ht="65" x14ac:dyDescent="0.3">
      <c r="A204" s="4" t="s">
        <v>978</v>
      </c>
      <c r="B204" t="s">
        <v>47</v>
      </c>
      <c r="C204" s="4" t="s">
        <v>979</v>
      </c>
      <c r="D204" s="4" t="s">
        <v>99</v>
      </c>
      <c r="E204" s="4" t="s">
        <v>100</v>
      </c>
      <c r="F204" s="5" t="s">
        <v>980</v>
      </c>
      <c r="G204" t="s">
        <v>47</v>
      </c>
      <c r="H204" t="s">
        <v>47</v>
      </c>
      <c r="I204" s="3">
        <v>35796</v>
      </c>
      <c r="J204" s="3">
        <v>41275</v>
      </c>
      <c r="K204" t="s">
        <v>47</v>
      </c>
      <c r="L204" s="5" t="s">
        <v>60</v>
      </c>
      <c r="M204" s="3">
        <v>35796</v>
      </c>
      <c r="N204" s="3">
        <v>41275</v>
      </c>
      <c r="O204" t="s">
        <v>47</v>
      </c>
      <c r="P204" s="3">
        <v>35796</v>
      </c>
      <c r="Q204" s="3">
        <v>41275</v>
      </c>
      <c r="R204" t="s">
        <v>47</v>
      </c>
      <c r="S204" t="s">
        <v>47</v>
      </c>
      <c r="T204" t="s">
        <v>47</v>
      </c>
      <c r="U204" t="s">
        <v>47</v>
      </c>
      <c r="V204" t="s">
        <v>47</v>
      </c>
      <c r="W204" s="3">
        <v>33239</v>
      </c>
      <c r="X204" s="3">
        <v>41275</v>
      </c>
      <c r="Y204" s="5" t="s">
        <v>981</v>
      </c>
      <c r="Z204" s="3">
        <v>33239</v>
      </c>
      <c r="AA204" s="3">
        <v>41275</v>
      </c>
      <c r="AB204" s="5" t="s">
        <v>981</v>
      </c>
      <c r="AC204" s="3">
        <v>36892</v>
      </c>
      <c r="AD204" s="3">
        <v>41275</v>
      </c>
      <c r="AE204" t="s">
        <v>47</v>
      </c>
      <c r="AF204" t="s">
        <v>47</v>
      </c>
      <c r="AG204" t="s">
        <v>47</v>
      </c>
      <c r="AH204" t="s">
        <v>47</v>
      </c>
      <c r="AI204" t="s">
        <v>47</v>
      </c>
      <c r="AJ204" t="s">
        <v>47</v>
      </c>
      <c r="AK204" t="s">
        <v>47</v>
      </c>
      <c r="AL204" t="s">
        <v>47</v>
      </c>
      <c r="AM204" t="s">
        <v>47</v>
      </c>
      <c r="AN204" t="s">
        <v>47</v>
      </c>
      <c r="AO204" s="5" t="s">
        <v>60</v>
      </c>
      <c r="AP204" s="4" t="s">
        <v>61</v>
      </c>
      <c r="AQ204" s="4" t="s">
        <v>53</v>
      </c>
      <c r="AR204" s="4" t="s">
        <v>982</v>
      </c>
      <c r="AS204" s="5">
        <v>30037</v>
      </c>
      <c r="AT204" t="s">
        <v>47</v>
      </c>
    </row>
    <row r="205" spans="1:46" ht="26" x14ac:dyDescent="0.3">
      <c r="A205" s="4" t="s">
        <v>983</v>
      </c>
      <c r="B205" t="s">
        <v>47</v>
      </c>
      <c r="C205" s="4" t="s">
        <v>183</v>
      </c>
      <c r="D205" s="4" t="s">
        <v>914</v>
      </c>
      <c r="E205" s="4" t="s">
        <v>49</v>
      </c>
      <c r="F205" s="5" t="s">
        <v>984</v>
      </c>
      <c r="G205" s="5" t="s">
        <v>985</v>
      </c>
      <c r="H205" t="s">
        <v>47</v>
      </c>
      <c r="I205" s="3">
        <v>12298</v>
      </c>
      <c r="J205" s="3">
        <v>43009</v>
      </c>
      <c r="K205" t="s">
        <v>47</v>
      </c>
      <c r="L205" s="5" t="s">
        <v>60</v>
      </c>
      <c r="M205" s="3">
        <v>12754</v>
      </c>
      <c r="N205" s="3">
        <v>43009</v>
      </c>
      <c r="O205" s="5" t="s">
        <v>986</v>
      </c>
      <c r="P205" s="3">
        <v>12298</v>
      </c>
      <c r="Q205" s="3">
        <v>43009</v>
      </c>
      <c r="R205" t="s">
        <v>47</v>
      </c>
      <c r="S205" t="s">
        <v>47</v>
      </c>
      <c r="T205" t="s">
        <v>47</v>
      </c>
      <c r="U205" t="s">
        <v>47</v>
      </c>
      <c r="V205" t="s">
        <v>47</v>
      </c>
      <c r="W205" s="3">
        <v>12298</v>
      </c>
      <c r="X205" s="3">
        <v>43009</v>
      </c>
      <c r="Y205" t="s">
        <v>47</v>
      </c>
      <c r="Z205" s="3">
        <v>12298</v>
      </c>
      <c r="AA205" s="3">
        <v>43009</v>
      </c>
      <c r="AB205" t="s">
        <v>47</v>
      </c>
      <c r="AC205" s="3">
        <v>12754</v>
      </c>
      <c r="AD205" s="3">
        <v>43009</v>
      </c>
      <c r="AE205" s="5" t="s">
        <v>987</v>
      </c>
      <c r="AF205" t="s">
        <v>47</v>
      </c>
      <c r="AG205" t="s">
        <v>47</v>
      </c>
      <c r="AH205" t="s">
        <v>47</v>
      </c>
      <c r="AI205" t="s">
        <v>47</v>
      </c>
      <c r="AJ205" t="s">
        <v>47</v>
      </c>
      <c r="AK205" t="s">
        <v>47</v>
      </c>
      <c r="AL205" t="s">
        <v>47</v>
      </c>
      <c r="AM205" t="s">
        <v>47</v>
      </c>
      <c r="AN205" t="s">
        <v>47</v>
      </c>
      <c r="AO205" s="5" t="s">
        <v>60</v>
      </c>
      <c r="AP205" s="4" t="s">
        <v>61</v>
      </c>
      <c r="AQ205" s="4" t="s">
        <v>53</v>
      </c>
      <c r="AR205" s="4" t="s">
        <v>988</v>
      </c>
      <c r="AS205" s="5">
        <v>37339</v>
      </c>
      <c r="AT205" t="s">
        <v>47</v>
      </c>
    </row>
    <row r="206" spans="1:46" ht="39" x14ac:dyDescent="0.3">
      <c r="A206" s="4" t="s">
        <v>989</v>
      </c>
      <c r="B206" t="s">
        <v>47</v>
      </c>
      <c r="C206" t="s">
        <v>47</v>
      </c>
      <c r="D206" s="4" t="s">
        <v>914</v>
      </c>
      <c r="E206" t="s">
        <v>47</v>
      </c>
      <c r="F206" s="5" t="s">
        <v>990</v>
      </c>
      <c r="G206" s="5" t="s">
        <v>991</v>
      </c>
      <c r="H206" t="s">
        <v>47</v>
      </c>
      <c r="I206" s="3">
        <v>31503</v>
      </c>
      <c r="J206" s="3">
        <v>42095</v>
      </c>
      <c r="K206" t="s">
        <v>47</v>
      </c>
      <c r="L206" s="5" t="s">
        <v>60</v>
      </c>
      <c r="M206" t="s">
        <v>47</v>
      </c>
      <c r="N206" t="s">
        <v>47</v>
      </c>
      <c r="O206" t="s">
        <v>47</v>
      </c>
      <c r="P206" s="3">
        <v>31503</v>
      </c>
      <c r="Q206" s="3">
        <v>42095</v>
      </c>
      <c r="R206" t="s">
        <v>47</v>
      </c>
      <c r="S206" t="s">
        <v>47</v>
      </c>
      <c r="T206" t="s">
        <v>47</v>
      </c>
      <c r="U206" t="s">
        <v>47</v>
      </c>
      <c r="V206" t="s">
        <v>47</v>
      </c>
      <c r="W206" s="3">
        <v>31503</v>
      </c>
      <c r="X206" s="3">
        <v>44470</v>
      </c>
      <c r="Y206" t="s">
        <v>47</v>
      </c>
      <c r="Z206" s="3">
        <v>31503</v>
      </c>
      <c r="AA206" s="3">
        <v>44470</v>
      </c>
      <c r="AB206" t="s">
        <v>47</v>
      </c>
      <c r="AC206" s="3">
        <v>31503</v>
      </c>
      <c r="AD206" s="3">
        <v>44470</v>
      </c>
      <c r="AE206" t="s">
        <v>47</v>
      </c>
      <c r="AF206" t="s">
        <v>47</v>
      </c>
      <c r="AG206" t="s">
        <v>47</v>
      </c>
      <c r="AH206" t="s">
        <v>47</v>
      </c>
      <c r="AI206" t="s">
        <v>47</v>
      </c>
      <c r="AJ206" t="s">
        <v>47</v>
      </c>
      <c r="AK206" t="s">
        <v>47</v>
      </c>
      <c r="AL206" t="s">
        <v>47</v>
      </c>
      <c r="AM206" t="s">
        <v>47</v>
      </c>
      <c r="AN206" t="s">
        <v>47</v>
      </c>
      <c r="AO206" s="5" t="s">
        <v>60</v>
      </c>
      <c r="AP206" s="4" t="s">
        <v>61</v>
      </c>
      <c r="AQ206" s="4" t="s">
        <v>198</v>
      </c>
      <c r="AR206" s="4" t="s">
        <v>992</v>
      </c>
      <c r="AS206" s="5">
        <v>44049</v>
      </c>
      <c r="AT206" t="s">
        <v>47</v>
      </c>
    </row>
    <row r="207" spans="1:46" ht="26" x14ac:dyDescent="0.3">
      <c r="A207" s="4" t="s">
        <v>993</v>
      </c>
      <c r="B207" t="s">
        <v>47</v>
      </c>
      <c r="C207" s="4" t="s">
        <v>183</v>
      </c>
      <c r="D207" s="4" t="s">
        <v>686</v>
      </c>
      <c r="E207" s="4" t="s">
        <v>49</v>
      </c>
      <c r="F207" s="5" t="s">
        <v>994</v>
      </c>
      <c r="G207" s="5" t="s">
        <v>995</v>
      </c>
      <c r="H207" t="s">
        <v>47</v>
      </c>
      <c r="I207" s="3">
        <v>35704</v>
      </c>
      <c r="J207" s="3">
        <v>42979</v>
      </c>
      <c r="K207" t="s">
        <v>47</v>
      </c>
      <c r="L207" s="5" t="s">
        <v>60</v>
      </c>
      <c r="M207" s="3">
        <v>35704</v>
      </c>
      <c r="N207" s="3">
        <v>42979</v>
      </c>
      <c r="O207" t="s">
        <v>47</v>
      </c>
      <c r="P207" s="3">
        <v>37622</v>
      </c>
      <c r="Q207" s="3">
        <v>42979</v>
      </c>
      <c r="R207" t="s">
        <v>47</v>
      </c>
      <c r="S207" t="s">
        <v>47</v>
      </c>
      <c r="T207" t="s">
        <v>47</v>
      </c>
      <c r="U207" t="s">
        <v>47</v>
      </c>
      <c r="V207" t="s">
        <v>47</v>
      </c>
      <c r="W207" s="3">
        <v>31868</v>
      </c>
      <c r="X207" s="5" t="s">
        <v>50</v>
      </c>
      <c r="Y207" t="s">
        <v>47</v>
      </c>
      <c r="Z207" s="3">
        <v>31868</v>
      </c>
      <c r="AA207" s="5" t="s">
        <v>50</v>
      </c>
      <c r="AB207" t="s">
        <v>47</v>
      </c>
      <c r="AC207" s="3">
        <v>35796</v>
      </c>
      <c r="AD207" s="5" t="s">
        <v>50</v>
      </c>
      <c r="AE207" s="5" t="s">
        <v>996</v>
      </c>
      <c r="AF207" t="s">
        <v>47</v>
      </c>
      <c r="AG207" t="s">
        <v>47</v>
      </c>
      <c r="AH207" t="s">
        <v>47</v>
      </c>
      <c r="AI207" t="s">
        <v>47</v>
      </c>
      <c r="AJ207" t="s">
        <v>47</v>
      </c>
      <c r="AK207" t="s">
        <v>47</v>
      </c>
      <c r="AL207" t="s">
        <v>47</v>
      </c>
      <c r="AM207" t="s">
        <v>47</v>
      </c>
      <c r="AN207" t="s">
        <v>47</v>
      </c>
      <c r="AO207" s="5" t="s">
        <v>60</v>
      </c>
      <c r="AP207" s="4" t="s">
        <v>61</v>
      </c>
      <c r="AQ207" s="4" t="s">
        <v>53</v>
      </c>
      <c r="AR207" s="4" t="s">
        <v>807</v>
      </c>
      <c r="AS207" s="5">
        <v>46521</v>
      </c>
      <c r="AT207" t="s">
        <v>47</v>
      </c>
    </row>
    <row r="208" spans="1:46" ht="39" x14ac:dyDescent="0.3">
      <c r="A208" s="4" t="s">
        <v>997</v>
      </c>
      <c r="B208" t="s">
        <v>47</v>
      </c>
      <c r="C208" s="4" t="s">
        <v>122</v>
      </c>
      <c r="D208" s="4" t="s">
        <v>575</v>
      </c>
      <c r="E208" s="4" t="s">
        <v>123</v>
      </c>
      <c r="F208" s="5" t="s">
        <v>998</v>
      </c>
      <c r="G208" s="5" t="s">
        <v>999</v>
      </c>
      <c r="H208" t="s">
        <v>47</v>
      </c>
      <c r="I208" t="s">
        <v>47</v>
      </c>
      <c r="J208" t="s">
        <v>47</v>
      </c>
      <c r="K208" t="s">
        <v>47</v>
      </c>
      <c r="L208" s="5" t="s">
        <v>60</v>
      </c>
      <c r="M208" t="s">
        <v>47</v>
      </c>
      <c r="N208" t="s">
        <v>47</v>
      </c>
      <c r="O208" t="s">
        <v>47</v>
      </c>
      <c r="P208" t="s">
        <v>47</v>
      </c>
      <c r="Q208" t="s">
        <v>47</v>
      </c>
      <c r="R208" t="s">
        <v>47</v>
      </c>
      <c r="S208" t="s">
        <v>47</v>
      </c>
      <c r="T208" t="s">
        <v>47</v>
      </c>
      <c r="U208" t="s">
        <v>47</v>
      </c>
      <c r="V208" t="s">
        <v>47</v>
      </c>
      <c r="W208" s="3">
        <v>37257</v>
      </c>
      <c r="X208" s="5" t="s">
        <v>50</v>
      </c>
      <c r="Y208" t="s">
        <v>47</v>
      </c>
      <c r="Z208" s="3">
        <v>37257</v>
      </c>
      <c r="AA208" s="5" t="s">
        <v>50</v>
      </c>
      <c r="AB208" t="s">
        <v>47</v>
      </c>
      <c r="AC208" s="3">
        <v>42370</v>
      </c>
      <c r="AD208" s="5" t="s">
        <v>50</v>
      </c>
      <c r="AE208" s="5" t="s">
        <v>1000</v>
      </c>
      <c r="AF208" t="s">
        <v>47</v>
      </c>
      <c r="AG208" t="s">
        <v>47</v>
      </c>
      <c r="AH208" t="s">
        <v>47</v>
      </c>
      <c r="AI208" t="s">
        <v>47</v>
      </c>
      <c r="AJ208" t="s">
        <v>47</v>
      </c>
      <c r="AK208" t="s">
        <v>47</v>
      </c>
      <c r="AL208" t="s">
        <v>47</v>
      </c>
      <c r="AM208" t="s">
        <v>47</v>
      </c>
      <c r="AN208" t="s">
        <v>47</v>
      </c>
      <c r="AO208" s="5" t="s">
        <v>60</v>
      </c>
      <c r="AP208" s="4" t="s">
        <v>61</v>
      </c>
      <c r="AQ208" s="4" t="s">
        <v>53</v>
      </c>
      <c r="AR208" s="4" t="s">
        <v>619</v>
      </c>
      <c r="AS208" s="5">
        <v>42727</v>
      </c>
      <c r="AT208" t="s">
        <v>47</v>
      </c>
    </row>
    <row r="209" spans="1:46" ht="39" x14ac:dyDescent="0.3">
      <c r="A209" s="4" t="s">
        <v>1001</v>
      </c>
      <c r="B209" t="s">
        <v>47</v>
      </c>
      <c r="C209" s="4" t="s">
        <v>1002</v>
      </c>
      <c r="D209" s="4" t="s">
        <v>960</v>
      </c>
      <c r="E209" s="4" t="s">
        <v>100</v>
      </c>
      <c r="F209" s="5" t="s">
        <v>1003</v>
      </c>
      <c r="G209" t="s">
        <v>47</v>
      </c>
      <c r="H209" t="s">
        <v>47</v>
      </c>
      <c r="I209" t="s">
        <v>47</v>
      </c>
      <c r="J209" t="s">
        <v>47</v>
      </c>
      <c r="K209" t="s">
        <v>47</v>
      </c>
      <c r="L209" s="5" t="s">
        <v>60</v>
      </c>
      <c r="M209" t="s">
        <v>47</v>
      </c>
      <c r="N209" t="s">
        <v>47</v>
      </c>
      <c r="O209" t="s">
        <v>47</v>
      </c>
      <c r="P209" t="s">
        <v>47</v>
      </c>
      <c r="Q209" t="s">
        <v>47</v>
      </c>
      <c r="R209" t="s">
        <v>47</v>
      </c>
      <c r="S209" t="s">
        <v>47</v>
      </c>
      <c r="T209" t="s">
        <v>47</v>
      </c>
      <c r="U209" t="s">
        <v>47</v>
      </c>
      <c r="V209" t="s">
        <v>47</v>
      </c>
      <c r="W209" s="3">
        <v>33878</v>
      </c>
      <c r="X209" s="3">
        <v>42461</v>
      </c>
      <c r="Y209" t="s">
        <v>47</v>
      </c>
      <c r="Z209" s="3">
        <v>33878</v>
      </c>
      <c r="AA209" s="3">
        <v>42461</v>
      </c>
      <c r="AB209" t="s">
        <v>47</v>
      </c>
      <c r="AC209" t="s">
        <v>47</v>
      </c>
      <c r="AD209" t="s">
        <v>47</v>
      </c>
      <c r="AE209" t="s">
        <v>47</v>
      </c>
      <c r="AF209" t="s">
        <v>47</v>
      </c>
      <c r="AG209" t="s">
        <v>47</v>
      </c>
      <c r="AH209" t="s">
        <v>47</v>
      </c>
      <c r="AI209" t="s">
        <v>47</v>
      </c>
      <c r="AJ209" t="s">
        <v>47</v>
      </c>
      <c r="AK209" t="s">
        <v>47</v>
      </c>
      <c r="AL209" t="s">
        <v>47</v>
      </c>
      <c r="AM209" t="s">
        <v>47</v>
      </c>
      <c r="AN209" t="s">
        <v>47</v>
      </c>
      <c r="AO209" s="5" t="s">
        <v>60</v>
      </c>
      <c r="AP209" s="4" t="s">
        <v>61</v>
      </c>
      <c r="AQ209" s="4" t="s">
        <v>53</v>
      </c>
      <c r="AR209" s="4" t="s">
        <v>186</v>
      </c>
      <c r="AS209" s="5">
        <v>26415</v>
      </c>
      <c r="AT209" t="s">
        <v>47</v>
      </c>
    </row>
    <row r="210" spans="1:46" ht="26" x14ac:dyDescent="0.3">
      <c r="A210" s="4" t="s">
        <v>1004</v>
      </c>
      <c r="B210" t="s">
        <v>47</v>
      </c>
      <c r="C210" s="4" t="s">
        <v>1005</v>
      </c>
      <c r="D210" s="4" t="s">
        <v>901</v>
      </c>
      <c r="E210" s="4" t="s">
        <v>100</v>
      </c>
      <c r="F210" s="5" t="s">
        <v>1006</v>
      </c>
      <c r="G210" t="s">
        <v>47</v>
      </c>
      <c r="H210" t="s">
        <v>47</v>
      </c>
      <c r="I210" t="s">
        <v>47</v>
      </c>
      <c r="J210" t="s">
        <v>47</v>
      </c>
      <c r="K210" t="s">
        <v>47</v>
      </c>
      <c r="L210" s="5" t="s">
        <v>60</v>
      </c>
      <c r="M210" t="s">
        <v>47</v>
      </c>
      <c r="N210" t="s">
        <v>47</v>
      </c>
      <c r="O210" t="s">
        <v>47</v>
      </c>
      <c r="P210" t="s">
        <v>47</v>
      </c>
      <c r="Q210" t="s">
        <v>47</v>
      </c>
      <c r="R210" t="s">
        <v>47</v>
      </c>
      <c r="S210" t="s">
        <v>47</v>
      </c>
      <c r="T210" t="s">
        <v>47</v>
      </c>
      <c r="U210" t="s">
        <v>47</v>
      </c>
      <c r="V210" t="s">
        <v>47</v>
      </c>
      <c r="W210" s="3">
        <v>38078</v>
      </c>
      <c r="X210" s="3">
        <v>41730</v>
      </c>
      <c r="Y210" t="s">
        <v>47</v>
      </c>
      <c r="Z210" s="3">
        <v>38078</v>
      </c>
      <c r="AA210" s="3">
        <v>41730</v>
      </c>
      <c r="AB210" t="s">
        <v>47</v>
      </c>
      <c r="AC210" t="s">
        <v>47</v>
      </c>
      <c r="AD210" t="s">
        <v>47</v>
      </c>
      <c r="AE210" t="s">
        <v>47</v>
      </c>
      <c r="AF210" t="s">
        <v>47</v>
      </c>
      <c r="AG210" t="s">
        <v>47</v>
      </c>
      <c r="AH210" t="s">
        <v>47</v>
      </c>
      <c r="AI210" t="s">
        <v>47</v>
      </c>
      <c r="AJ210" t="s">
        <v>47</v>
      </c>
      <c r="AK210" t="s">
        <v>47</v>
      </c>
      <c r="AL210" t="s">
        <v>47</v>
      </c>
      <c r="AM210" t="s">
        <v>47</v>
      </c>
      <c r="AN210" t="s">
        <v>47</v>
      </c>
      <c r="AO210" s="5" t="s">
        <v>51</v>
      </c>
      <c r="AP210" s="4" t="s">
        <v>61</v>
      </c>
      <c r="AQ210" s="4" t="s">
        <v>53</v>
      </c>
      <c r="AR210" s="4" t="s">
        <v>54</v>
      </c>
      <c r="AS210" s="5">
        <v>28316</v>
      </c>
      <c r="AT210" t="s">
        <v>47</v>
      </c>
    </row>
    <row r="211" spans="1:46" ht="26" x14ac:dyDescent="0.3">
      <c r="A211" s="4" t="s">
        <v>1007</v>
      </c>
      <c r="B211" t="s">
        <v>47</v>
      </c>
      <c r="C211" s="4" t="s">
        <v>1008</v>
      </c>
      <c r="D211" s="4" t="s">
        <v>901</v>
      </c>
      <c r="E211" s="4" t="s">
        <v>100</v>
      </c>
      <c r="F211" s="5" t="s">
        <v>1009</v>
      </c>
      <c r="G211" s="5" t="s">
        <v>1010</v>
      </c>
      <c r="H211" t="s">
        <v>47</v>
      </c>
      <c r="I211" t="s">
        <v>47</v>
      </c>
      <c r="J211" t="s">
        <v>47</v>
      </c>
      <c r="K211" t="s">
        <v>47</v>
      </c>
      <c r="L211" s="5" t="s">
        <v>60</v>
      </c>
      <c r="M211" t="s">
        <v>47</v>
      </c>
      <c r="N211" t="s">
        <v>47</v>
      </c>
      <c r="O211" t="s">
        <v>47</v>
      </c>
      <c r="P211" t="s">
        <v>47</v>
      </c>
      <c r="Q211" t="s">
        <v>47</v>
      </c>
      <c r="R211" t="s">
        <v>47</v>
      </c>
      <c r="S211" t="s">
        <v>47</v>
      </c>
      <c r="T211" t="s">
        <v>47</v>
      </c>
      <c r="U211" t="s">
        <v>47</v>
      </c>
      <c r="V211" t="s">
        <v>47</v>
      </c>
      <c r="W211" s="3">
        <v>32143</v>
      </c>
      <c r="X211" s="5" t="s">
        <v>50</v>
      </c>
      <c r="Y211" t="s">
        <v>47</v>
      </c>
      <c r="Z211" s="3">
        <v>32143</v>
      </c>
      <c r="AA211" s="5" t="s">
        <v>50</v>
      </c>
      <c r="AB211" t="s">
        <v>47</v>
      </c>
      <c r="AC211" t="s">
        <v>47</v>
      </c>
      <c r="AD211" t="s">
        <v>47</v>
      </c>
      <c r="AE211" t="s">
        <v>47</v>
      </c>
      <c r="AF211" t="s">
        <v>47</v>
      </c>
      <c r="AG211" t="s">
        <v>47</v>
      </c>
      <c r="AH211" t="s">
        <v>47</v>
      </c>
      <c r="AI211" t="s">
        <v>47</v>
      </c>
      <c r="AJ211" t="s">
        <v>47</v>
      </c>
      <c r="AK211" t="s">
        <v>47</v>
      </c>
      <c r="AL211" t="s">
        <v>47</v>
      </c>
      <c r="AM211" t="s">
        <v>47</v>
      </c>
      <c r="AN211" t="s">
        <v>47</v>
      </c>
      <c r="AO211" s="5" t="s">
        <v>60</v>
      </c>
      <c r="AP211" s="4" t="s">
        <v>61</v>
      </c>
      <c r="AQ211" s="4" t="s">
        <v>53</v>
      </c>
      <c r="AR211" s="4" t="s">
        <v>737</v>
      </c>
      <c r="AS211" s="5">
        <v>7799</v>
      </c>
      <c r="AT211" t="s">
        <v>47</v>
      </c>
    </row>
    <row r="212" spans="1:46" ht="26" x14ac:dyDescent="0.3">
      <c r="A212" s="4" t="s">
        <v>1011</v>
      </c>
      <c r="B212" t="s">
        <v>47</v>
      </c>
      <c r="C212" s="4" t="s">
        <v>943</v>
      </c>
      <c r="D212" s="4" t="s">
        <v>842</v>
      </c>
      <c r="E212" s="4" t="s">
        <v>100</v>
      </c>
      <c r="F212" s="5" t="s">
        <v>1012</v>
      </c>
      <c r="G212" t="s">
        <v>47</v>
      </c>
      <c r="H212" t="s">
        <v>47</v>
      </c>
      <c r="I212" t="s">
        <v>47</v>
      </c>
      <c r="J212" t="s">
        <v>47</v>
      </c>
      <c r="K212" t="s">
        <v>47</v>
      </c>
      <c r="L212" s="5" t="s">
        <v>60</v>
      </c>
      <c r="M212" t="s">
        <v>47</v>
      </c>
      <c r="N212" t="s">
        <v>47</v>
      </c>
      <c r="O212" t="s">
        <v>47</v>
      </c>
      <c r="P212" t="s">
        <v>47</v>
      </c>
      <c r="Q212" t="s">
        <v>47</v>
      </c>
      <c r="R212" t="s">
        <v>47</v>
      </c>
      <c r="S212" t="s">
        <v>47</v>
      </c>
      <c r="T212" t="s">
        <v>47</v>
      </c>
      <c r="U212" t="s">
        <v>47</v>
      </c>
      <c r="V212" t="s">
        <v>47</v>
      </c>
      <c r="W212" s="3">
        <v>33604</v>
      </c>
      <c r="X212" s="5" t="s">
        <v>50</v>
      </c>
      <c r="Y212" t="s">
        <v>47</v>
      </c>
      <c r="Z212" s="3">
        <v>33604</v>
      </c>
      <c r="AA212" s="5" t="s">
        <v>50</v>
      </c>
      <c r="AB212" t="s">
        <v>47</v>
      </c>
      <c r="AC212" s="3">
        <v>43101</v>
      </c>
      <c r="AD212" s="5" t="s">
        <v>50</v>
      </c>
      <c r="AE212" t="s">
        <v>47</v>
      </c>
      <c r="AF212" t="s">
        <v>47</v>
      </c>
      <c r="AG212" t="s">
        <v>47</v>
      </c>
      <c r="AH212" t="s">
        <v>47</v>
      </c>
      <c r="AI212" t="s">
        <v>47</v>
      </c>
      <c r="AJ212" t="s">
        <v>47</v>
      </c>
      <c r="AK212" t="s">
        <v>47</v>
      </c>
      <c r="AL212" t="s">
        <v>47</v>
      </c>
      <c r="AM212" t="s">
        <v>47</v>
      </c>
      <c r="AN212" t="s">
        <v>47</v>
      </c>
      <c r="AO212" s="5" t="s">
        <v>60</v>
      </c>
      <c r="AP212" s="4" t="s">
        <v>61</v>
      </c>
      <c r="AQ212" s="4" t="s">
        <v>53</v>
      </c>
      <c r="AR212" s="4" t="s">
        <v>1013</v>
      </c>
      <c r="AS212" s="5">
        <v>43653</v>
      </c>
      <c r="AT212" t="s">
        <v>47</v>
      </c>
    </row>
    <row r="213" spans="1:46" ht="117" x14ac:dyDescent="0.3">
      <c r="A213" s="4" t="s">
        <v>1014</v>
      </c>
      <c r="B213" t="s">
        <v>47</v>
      </c>
      <c r="C213" s="4" t="s">
        <v>977</v>
      </c>
      <c r="D213" s="4" t="s">
        <v>1015</v>
      </c>
      <c r="E213" s="4" t="s">
        <v>100</v>
      </c>
      <c r="F213" s="5" t="s">
        <v>1016</v>
      </c>
      <c r="G213" t="s">
        <v>47</v>
      </c>
      <c r="H213" t="s">
        <v>47</v>
      </c>
      <c r="I213" s="3">
        <v>35431</v>
      </c>
      <c r="J213" s="3">
        <v>36708</v>
      </c>
      <c r="K213" t="s">
        <v>47</v>
      </c>
      <c r="L213" s="5" t="s">
        <v>60</v>
      </c>
      <c r="M213" s="3">
        <v>35431</v>
      </c>
      <c r="N213" s="3">
        <v>36708</v>
      </c>
      <c r="O213" t="s">
        <v>47</v>
      </c>
      <c r="P213" t="s">
        <v>47</v>
      </c>
      <c r="Q213" t="s">
        <v>47</v>
      </c>
      <c r="R213" t="s">
        <v>47</v>
      </c>
      <c r="S213" t="s">
        <v>47</v>
      </c>
      <c r="T213" t="s">
        <v>47</v>
      </c>
      <c r="U213" t="s">
        <v>47</v>
      </c>
      <c r="V213" t="s">
        <v>47</v>
      </c>
      <c r="W213" s="3">
        <v>33786</v>
      </c>
      <c r="X213" s="3">
        <v>36708</v>
      </c>
      <c r="Y213" t="s">
        <v>47</v>
      </c>
      <c r="Z213" s="3">
        <v>33786</v>
      </c>
      <c r="AA213" s="3">
        <v>36708</v>
      </c>
      <c r="AB213" t="s">
        <v>47</v>
      </c>
      <c r="AC213" s="3">
        <v>35521</v>
      </c>
      <c r="AD213" s="3">
        <v>36526</v>
      </c>
      <c r="AE213" t="s">
        <v>47</v>
      </c>
      <c r="AF213" t="s">
        <v>47</v>
      </c>
      <c r="AG213" t="s">
        <v>47</v>
      </c>
      <c r="AH213" t="s">
        <v>47</v>
      </c>
      <c r="AI213" t="s">
        <v>47</v>
      </c>
      <c r="AJ213" t="s">
        <v>47</v>
      </c>
      <c r="AK213" t="s">
        <v>47</v>
      </c>
      <c r="AL213" t="s">
        <v>47</v>
      </c>
      <c r="AM213" t="s">
        <v>47</v>
      </c>
      <c r="AN213" t="s">
        <v>47</v>
      </c>
      <c r="AO213" s="5" t="s">
        <v>60</v>
      </c>
      <c r="AP213" s="4" t="s">
        <v>61</v>
      </c>
      <c r="AQ213" s="4" t="s">
        <v>53</v>
      </c>
      <c r="AR213" s="4" t="s">
        <v>1017</v>
      </c>
      <c r="AS213" s="5">
        <v>47422</v>
      </c>
      <c r="AT213" t="s">
        <v>47</v>
      </c>
    </row>
    <row r="214" spans="1:46" ht="26" x14ac:dyDescent="0.3">
      <c r="A214" s="4" t="s">
        <v>1018</v>
      </c>
      <c r="B214" t="s">
        <v>47</v>
      </c>
      <c r="C214" s="4" t="s">
        <v>115</v>
      </c>
      <c r="D214" s="4" t="s">
        <v>1019</v>
      </c>
      <c r="E214" s="4" t="s">
        <v>66</v>
      </c>
      <c r="F214" s="5" t="s">
        <v>1020</v>
      </c>
      <c r="G214" s="5" t="s">
        <v>1021</v>
      </c>
      <c r="H214" t="s">
        <v>47</v>
      </c>
      <c r="I214" s="3">
        <v>35065</v>
      </c>
      <c r="J214" s="5" t="s">
        <v>50</v>
      </c>
      <c r="K214" t="s">
        <v>47</v>
      </c>
      <c r="L214" s="5" t="s">
        <v>60</v>
      </c>
      <c r="M214" s="3">
        <v>35065</v>
      </c>
      <c r="N214" s="5" t="s">
        <v>50</v>
      </c>
      <c r="O214" t="s">
        <v>47</v>
      </c>
      <c r="P214" s="3">
        <v>36996</v>
      </c>
      <c r="Q214" s="5" t="s">
        <v>50</v>
      </c>
      <c r="R214" t="s">
        <v>47</v>
      </c>
      <c r="S214" t="s">
        <v>47</v>
      </c>
      <c r="T214" t="s">
        <v>47</v>
      </c>
      <c r="U214" t="s">
        <v>47</v>
      </c>
      <c r="V214" s="5">
        <v>365</v>
      </c>
      <c r="W214" s="3">
        <v>35065</v>
      </c>
      <c r="X214" s="5" t="s">
        <v>50</v>
      </c>
      <c r="Y214" t="s">
        <v>47</v>
      </c>
      <c r="Z214" s="3">
        <v>35065</v>
      </c>
      <c r="AA214" s="5" t="s">
        <v>50</v>
      </c>
      <c r="AB214" t="s">
        <v>47</v>
      </c>
      <c r="AC214" s="3">
        <v>35065</v>
      </c>
      <c r="AD214" s="5" t="s">
        <v>50</v>
      </c>
      <c r="AE214" t="s">
        <v>47</v>
      </c>
      <c r="AF214" t="s">
        <v>47</v>
      </c>
      <c r="AG214" t="s">
        <v>47</v>
      </c>
      <c r="AH214" t="s">
        <v>47</v>
      </c>
      <c r="AI214" t="s">
        <v>47</v>
      </c>
      <c r="AJ214" t="s">
        <v>47</v>
      </c>
      <c r="AK214" t="s">
        <v>47</v>
      </c>
      <c r="AL214" t="s">
        <v>47</v>
      </c>
      <c r="AM214" t="s">
        <v>47</v>
      </c>
      <c r="AN214" t="s">
        <v>47</v>
      </c>
      <c r="AO214" s="5" t="s">
        <v>60</v>
      </c>
      <c r="AP214" s="4" t="s">
        <v>61</v>
      </c>
      <c r="AQ214" s="4" t="s">
        <v>53</v>
      </c>
      <c r="AR214" s="4" t="s">
        <v>649</v>
      </c>
      <c r="AS214" s="5">
        <v>26697</v>
      </c>
      <c r="AT214" t="s">
        <v>47</v>
      </c>
    </row>
    <row r="215" spans="1:46" ht="39" x14ac:dyDescent="0.3">
      <c r="A215" s="4" t="s">
        <v>1022</v>
      </c>
      <c r="B215" t="s">
        <v>47</v>
      </c>
      <c r="C215" s="4" t="s">
        <v>200</v>
      </c>
      <c r="D215" s="4" t="s">
        <v>201</v>
      </c>
      <c r="E215" s="4" t="s">
        <v>66</v>
      </c>
      <c r="F215" s="5" t="s">
        <v>1023</v>
      </c>
      <c r="G215" s="5" t="s">
        <v>1024</v>
      </c>
      <c r="H215" t="s">
        <v>47</v>
      </c>
      <c r="I215" s="3">
        <v>34394</v>
      </c>
      <c r="J215" s="5" t="s">
        <v>50</v>
      </c>
      <c r="K215" t="s">
        <v>47</v>
      </c>
      <c r="L215" s="5" t="s">
        <v>60</v>
      </c>
      <c r="M215" s="3">
        <v>34394</v>
      </c>
      <c r="N215" s="5" t="s">
        <v>50</v>
      </c>
      <c r="O215" t="s">
        <v>47</v>
      </c>
      <c r="P215" s="3">
        <v>35217</v>
      </c>
      <c r="Q215" s="5" t="s">
        <v>50</v>
      </c>
      <c r="R215" t="s">
        <v>47</v>
      </c>
      <c r="S215" t="s">
        <v>47</v>
      </c>
      <c r="T215" t="s">
        <v>47</v>
      </c>
      <c r="U215" t="s">
        <v>47</v>
      </c>
      <c r="V215" t="s">
        <v>47</v>
      </c>
      <c r="W215" s="3">
        <v>32933</v>
      </c>
      <c r="X215" s="5" t="s">
        <v>50</v>
      </c>
      <c r="Y215" t="s">
        <v>47</v>
      </c>
      <c r="Z215" s="3">
        <v>32933</v>
      </c>
      <c r="AA215" s="5" t="s">
        <v>50</v>
      </c>
      <c r="AB215" t="s">
        <v>47</v>
      </c>
      <c r="AC215" s="3">
        <v>32933</v>
      </c>
      <c r="AD215" s="5" t="s">
        <v>50</v>
      </c>
      <c r="AE215" t="s">
        <v>47</v>
      </c>
      <c r="AF215" t="s">
        <v>47</v>
      </c>
      <c r="AG215" t="s">
        <v>47</v>
      </c>
      <c r="AH215" t="s">
        <v>47</v>
      </c>
      <c r="AI215" t="s">
        <v>47</v>
      </c>
      <c r="AJ215" t="s">
        <v>47</v>
      </c>
      <c r="AK215" t="s">
        <v>47</v>
      </c>
      <c r="AL215" t="s">
        <v>47</v>
      </c>
      <c r="AM215" t="s">
        <v>47</v>
      </c>
      <c r="AN215" t="s">
        <v>47</v>
      </c>
      <c r="AO215" s="5" t="s">
        <v>60</v>
      </c>
      <c r="AP215" s="4" t="s">
        <v>61</v>
      </c>
      <c r="AQ215" s="4" t="s">
        <v>53</v>
      </c>
      <c r="AR215" s="4" t="s">
        <v>1025</v>
      </c>
      <c r="AS215" s="5">
        <v>35120</v>
      </c>
      <c r="AT215" t="s">
        <v>47</v>
      </c>
    </row>
    <row r="216" spans="1:46" ht="91" x14ac:dyDescent="0.3">
      <c r="A216" s="4" t="s">
        <v>1026</v>
      </c>
      <c r="B216" t="s">
        <v>47</v>
      </c>
      <c r="C216" s="4" t="s">
        <v>183</v>
      </c>
      <c r="D216" s="4" t="s">
        <v>333</v>
      </c>
      <c r="E216" s="4" t="s">
        <v>49</v>
      </c>
      <c r="F216" s="5" t="s">
        <v>1027</v>
      </c>
      <c r="G216" s="5" t="s">
        <v>1028</v>
      </c>
      <c r="H216" t="s">
        <v>47</v>
      </c>
      <c r="I216" s="3">
        <v>38443</v>
      </c>
      <c r="J216" s="3">
        <v>40299</v>
      </c>
      <c r="K216" t="s">
        <v>47</v>
      </c>
      <c r="L216" s="5" t="s">
        <v>60</v>
      </c>
      <c r="M216" s="3">
        <v>38443</v>
      </c>
      <c r="N216" s="3">
        <v>39783</v>
      </c>
      <c r="O216" t="s">
        <v>47</v>
      </c>
      <c r="P216" s="3">
        <v>38443</v>
      </c>
      <c r="Q216" s="3">
        <v>40299</v>
      </c>
      <c r="R216" t="s">
        <v>47</v>
      </c>
      <c r="S216" t="s">
        <v>47</v>
      </c>
      <c r="T216" t="s">
        <v>47</v>
      </c>
      <c r="U216" t="s">
        <v>47</v>
      </c>
      <c r="V216" t="s">
        <v>47</v>
      </c>
      <c r="W216" s="3">
        <v>38443</v>
      </c>
      <c r="X216" s="5" t="s">
        <v>50</v>
      </c>
      <c r="Y216" t="s">
        <v>47</v>
      </c>
      <c r="Z216" s="3">
        <v>38443</v>
      </c>
      <c r="AA216" s="5" t="s">
        <v>50</v>
      </c>
      <c r="AB216" t="s">
        <v>47</v>
      </c>
      <c r="AC216" s="3">
        <v>38443</v>
      </c>
      <c r="AD216" s="5" t="s">
        <v>50</v>
      </c>
      <c r="AE216" t="s">
        <v>47</v>
      </c>
      <c r="AF216" t="s">
        <v>47</v>
      </c>
      <c r="AG216" t="s">
        <v>47</v>
      </c>
      <c r="AH216" t="s">
        <v>47</v>
      </c>
      <c r="AI216" t="s">
        <v>47</v>
      </c>
      <c r="AJ216" t="s">
        <v>47</v>
      </c>
      <c r="AK216" t="s">
        <v>47</v>
      </c>
      <c r="AL216" t="s">
        <v>47</v>
      </c>
      <c r="AM216" t="s">
        <v>47</v>
      </c>
      <c r="AN216" t="s">
        <v>47</v>
      </c>
      <c r="AO216" s="5" t="s">
        <v>60</v>
      </c>
      <c r="AP216" s="4" t="s">
        <v>61</v>
      </c>
      <c r="AQ216" s="4" t="s">
        <v>53</v>
      </c>
      <c r="AR216" s="4" t="s">
        <v>1029</v>
      </c>
      <c r="AS216" s="5">
        <v>37725</v>
      </c>
      <c r="AT216" t="s">
        <v>47</v>
      </c>
    </row>
    <row r="217" spans="1:46" ht="65" x14ac:dyDescent="0.3">
      <c r="A217" s="4" t="s">
        <v>1030</v>
      </c>
      <c r="B217" t="s">
        <v>47</v>
      </c>
      <c r="C217" s="4" t="s">
        <v>1031</v>
      </c>
      <c r="D217" s="4" t="s">
        <v>1032</v>
      </c>
      <c r="E217" s="4" t="s">
        <v>49</v>
      </c>
      <c r="F217" s="5" t="s">
        <v>1033</v>
      </c>
      <c r="G217" t="s">
        <v>47</v>
      </c>
      <c r="H217" t="s">
        <v>47</v>
      </c>
      <c r="I217" s="3">
        <v>38322</v>
      </c>
      <c r="J217" s="3">
        <v>44378</v>
      </c>
      <c r="K217" t="s">
        <v>47</v>
      </c>
      <c r="L217" s="5" t="s">
        <v>51</v>
      </c>
      <c r="M217" s="3">
        <v>38322</v>
      </c>
      <c r="N217" s="3">
        <v>44378</v>
      </c>
      <c r="O217" t="s">
        <v>47</v>
      </c>
      <c r="P217" s="3">
        <v>38322</v>
      </c>
      <c r="Q217" s="3">
        <v>44378</v>
      </c>
      <c r="R217" t="s">
        <v>47</v>
      </c>
      <c r="S217" t="s">
        <v>47</v>
      </c>
      <c r="T217" t="s">
        <v>47</v>
      </c>
      <c r="U217" t="s">
        <v>47</v>
      </c>
      <c r="V217" t="s">
        <v>47</v>
      </c>
      <c r="W217" s="3">
        <v>38322</v>
      </c>
      <c r="X217" s="3">
        <v>44378</v>
      </c>
      <c r="Y217" t="s">
        <v>47</v>
      </c>
      <c r="Z217" s="3">
        <v>38322</v>
      </c>
      <c r="AA217" s="3">
        <v>44378</v>
      </c>
      <c r="AB217" t="s">
        <v>47</v>
      </c>
      <c r="AC217" s="3">
        <v>39052</v>
      </c>
      <c r="AD217" s="3">
        <v>44378</v>
      </c>
      <c r="AE217" t="s">
        <v>47</v>
      </c>
      <c r="AF217" t="s">
        <v>47</v>
      </c>
      <c r="AG217" t="s">
        <v>47</v>
      </c>
      <c r="AH217" t="s">
        <v>47</v>
      </c>
      <c r="AI217" t="s">
        <v>47</v>
      </c>
      <c r="AJ217" t="s">
        <v>47</v>
      </c>
      <c r="AK217" t="s">
        <v>47</v>
      </c>
      <c r="AL217" t="s">
        <v>47</v>
      </c>
      <c r="AM217" t="s">
        <v>47</v>
      </c>
      <c r="AN217" t="s">
        <v>47</v>
      </c>
      <c r="AO217" s="5" t="s">
        <v>51</v>
      </c>
      <c r="AP217" s="4" t="s">
        <v>85</v>
      </c>
      <c r="AQ217" s="4" t="s">
        <v>53</v>
      </c>
      <c r="AR217" s="4" t="s">
        <v>1034</v>
      </c>
      <c r="AS217" s="5">
        <v>40109</v>
      </c>
      <c r="AT217" t="s">
        <v>47</v>
      </c>
    </row>
    <row r="218" spans="1:46" ht="39" x14ac:dyDescent="0.3">
      <c r="A218" s="4" t="s">
        <v>1035</v>
      </c>
      <c r="B218" t="s">
        <v>47</v>
      </c>
      <c r="C218" s="4" t="s">
        <v>1036</v>
      </c>
      <c r="D218" s="4" t="s">
        <v>1037</v>
      </c>
      <c r="E218" s="4" t="s">
        <v>49</v>
      </c>
      <c r="F218" s="5" t="s">
        <v>1038</v>
      </c>
      <c r="G218" t="s">
        <v>47</v>
      </c>
      <c r="H218" t="s">
        <v>47</v>
      </c>
      <c r="I218" s="3">
        <v>34700</v>
      </c>
      <c r="J218" s="3">
        <v>40269</v>
      </c>
      <c r="K218" t="s">
        <v>47</v>
      </c>
      <c r="L218" s="5" t="s">
        <v>51</v>
      </c>
      <c r="M218" s="3">
        <v>34973</v>
      </c>
      <c r="N218" s="3">
        <v>40269</v>
      </c>
      <c r="O218" t="s">
        <v>47</v>
      </c>
      <c r="P218" s="3">
        <v>34700</v>
      </c>
      <c r="Q218" s="3">
        <v>40269</v>
      </c>
      <c r="R218" s="5" t="s">
        <v>1039</v>
      </c>
      <c r="S218" t="s">
        <v>47</v>
      </c>
      <c r="T218" t="s">
        <v>47</v>
      </c>
      <c r="U218" t="s">
        <v>47</v>
      </c>
      <c r="V218" t="s">
        <v>47</v>
      </c>
      <c r="W218" s="3">
        <v>33970</v>
      </c>
      <c r="X218" s="3">
        <v>40269</v>
      </c>
      <c r="Y218" t="s">
        <v>47</v>
      </c>
      <c r="Z218" s="3">
        <v>33970</v>
      </c>
      <c r="AA218" s="3">
        <v>40269</v>
      </c>
      <c r="AB218" t="s">
        <v>47</v>
      </c>
      <c r="AC218" s="3">
        <v>33970</v>
      </c>
      <c r="AD218" s="3">
        <v>40269</v>
      </c>
      <c r="AE218" t="s">
        <v>47</v>
      </c>
      <c r="AF218" t="s">
        <v>47</v>
      </c>
      <c r="AG218" t="s">
        <v>47</v>
      </c>
      <c r="AH218" t="s">
        <v>47</v>
      </c>
      <c r="AI218" t="s">
        <v>47</v>
      </c>
      <c r="AJ218" t="s">
        <v>47</v>
      </c>
      <c r="AK218" t="s">
        <v>47</v>
      </c>
      <c r="AL218" t="s">
        <v>47</v>
      </c>
      <c r="AM218" t="s">
        <v>47</v>
      </c>
      <c r="AN218" t="s">
        <v>47</v>
      </c>
      <c r="AO218" s="5" t="s">
        <v>51</v>
      </c>
      <c r="AP218" s="4" t="s">
        <v>135</v>
      </c>
      <c r="AQ218" s="4" t="s">
        <v>53</v>
      </c>
      <c r="AR218" s="4" t="s">
        <v>1025</v>
      </c>
      <c r="AS218" s="5">
        <v>6384</v>
      </c>
      <c r="AT218" t="s">
        <v>47</v>
      </c>
    </row>
    <row r="219" spans="1:46" ht="65" x14ac:dyDescent="0.3">
      <c r="A219" s="4" t="s">
        <v>1040</v>
      </c>
      <c r="B219" t="s">
        <v>47</v>
      </c>
      <c r="C219" s="4" t="s">
        <v>1041</v>
      </c>
      <c r="D219" s="4" t="s">
        <v>780</v>
      </c>
      <c r="E219" s="4" t="s">
        <v>49</v>
      </c>
      <c r="F219" s="5" t="s">
        <v>1042</v>
      </c>
      <c r="G219" s="5" t="s">
        <v>1043</v>
      </c>
      <c r="H219" t="s">
        <v>47</v>
      </c>
      <c r="I219" s="3">
        <v>43831</v>
      </c>
      <c r="J219" s="5" t="s">
        <v>50</v>
      </c>
      <c r="K219" t="s">
        <v>47</v>
      </c>
      <c r="L219" s="5" t="s">
        <v>60</v>
      </c>
      <c r="M219" s="3">
        <v>43831</v>
      </c>
      <c r="N219" s="5" t="s">
        <v>50</v>
      </c>
      <c r="O219" t="s">
        <v>47</v>
      </c>
      <c r="P219" s="3">
        <v>43831</v>
      </c>
      <c r="Q219" s="5" t="s">
        <v>50</v>
      </c>
      <c r="R219" t="s">
        <v>47</v>
      </c>
      <c r="S219" t="s">
        <v>47</v>
      </c>
      <c r="T219" t="s">
        <v>47</v>
      </c>
      <c r="U219" t="s">
        <v>47</v>
      </c>
      <c r="V219" t="s">
        <v>47</v>
      </c>
      <c r="W219" s="3">
        <v>43831</v>
      </c>
      <c r="X219" s="5" t="s">
        <v>50</v>
      </c>
      <c r="Y219" t="s">
        <v>47</v>
      </c>
      <c r="Z219" s="3">
        <v>43831</v>
      </c>
      <c r="AA219" s="5" t="s">
        <v>50</v>
      </c>
      <c r="AB219" t="s">
        <v>47</v>
      </c>
      <c r="AC219" s="3">
        <v>43831</v>
      </c>
      <c r="AD219" s="5" t="s">
        <v>50</v>
      </c>
      <c r="AE219" t="s">
        <v>47</v>
      </c>
      <c r="AF219" t="s">
        <v>47</v>
      </c>
      <c r="AG219" t="s">
        <v>47</v>
      </c>
      <c r="AH219" t="s">
        <v>47</v>
      </c>
      <c r="AI219" t="s">
        <v>47</v>
      </c>
      <c r="AJ219" t="s">
        <v>47</v>
      </c>
      <c r="AK219" t="s">
        <v>47</v>
      </c>
      <c r="AL219" t="s">
        <v>47</v>
      </c>
      <c r="AM219" t="s">
        <v>47</v>
      </c>
      <c r="AN219" t="s">
        <v>47</v>
      </c>
      <c r="AO219" s="5" t="s">
        <v>60</v>
      </c>
      <c r="AP219" s="4" t="s">
        <v>61</v>
      </c>
      <c r="AQ219" s="4" t="s">
        <v>53</v>
      </c>
      <c r="AR219" s="4" t="s">
        <v>543</v>
      </c>
      <c r="AS219" s="5">
        <v>4877945</v>
      </c>
      <c r="AT219" t="s">
        <v>47</v>
      </c>
    </row>
    <row r="220" spans="1:46" ht="13" x14ac:dyDescent="0.3">
      <c r="A220" s="4" t="s">
        <v>1044</v>
      </c>
      <c r="B220" t="s">
        <v>47</v>
      </c>
      <c r="C220" s="4" t="s">
        <v>1045</v>
      </c>
      <c r="D220" s="4" t="s">
        <v>1046</v>
      </c>
      <c r="E220" s="4" t="s">
        <v>1047</v>
      </c>
      <c r="F220" s="5" t="s">
        <v>1048</v>
      </c>
      <c r="G220" s="5" t="s">
        <v>1049</v>
      </c>
      <c r="H220" t="s">
        <v>47</v>
      </c>
      <c r="I220" s="3">
        <v>31048</v>
      </c>
      <c r="J220" s="5" t="s">
        <v>50</v>
      </c>
      <c r="K220" s="5" t="s">
        <v>1050</v>
      </c>
      <c r="L220" s="5" t="s">
        <v>60</v>
      </c>
      <c r="M220" t="s">
        <v>47</v>
      </c>
      <c r="N220" t="s">
        <v>47</v>
      </c>
      <c r="O220" t="s">
        <v>47</v>
      </c>
      <c r="P220" s="3">
        <v>31048</v>
      </c>
      <c r="Q220" s="5" t="s">
        <v>50</v>
      </c>
      <c r="R220" s="5" t="s">
        <v>1050</v>
      </c>
      <c r="S220" t="s">
        <v>47</v>
      </c>
      <c r="T220" t="s">
        <v>47</v>
      </c>
      <c r="U220" t="s">
        <v>47</v>
      </c>
      <c r="V220" t="s">
        <v>47</v>
      </c>
      <c r="W220" s="3">
        <v>31048</v>
      </c>
      <c r="X220" s="5" t="s">
        <v>50</v>
      </c>
      <c r="Y220" s="5" t="s">
        <v>1050</v>
      </c>
      <c r="Z220" s="3">
        <v>31048</v>
      </c>
      <c r="AA220" s="5" t="s">
        <v>50</v>
      </c>
      <c r="AB220" s="5" t="s">
        <v>1050</v>
      </c>
      <c r="AC220" s="3">
        <v>31048</v>
      </c>
      <c r="AD220" s="5" t="s">
        <v>50</v>
      </c>
      <c r="AE220" s="5" t="s">
        <v>1050</v>
      </c>
      <c r="AF220" t="s">
        <v>47</v>
      </c>
      <c r="AG220" t="s">
        <v>47</v>
      </c>
      <c r="AH220" t="s">
        <v>47</v>
      </c>
      <c r="AI220" t="s">
        <v>47</v>
      </c>
      <c r="AJ220" t="s">
        <v>47</v>
      </c>
      <c r="AK220" t="s">
        <v>47</v>
      </c>
      <c r="AL220" t="s">
        <v>47</v>
      </c>
      <c r="AM220" t="s">
        <v>47</v>
      </c>
      <c r="AN220" t="s">
        <v>47</v>
      </c>
      <c r="AO220" s="5" t="s">
        <v>60</v>
      </c>
      <c r="AP220" s="4" t="s">
        <v>61</v>
      </c>
      <c r="AQ220" s="4" t="s">
        <v>53</v>
      </c>
      <c r="AR220" s="4" t="s">
        <v>54</v>
      </c>
      <c r="AS220" s="5">
        <v>5203015</v>
      </c>
      <c r="AT220" t="s">
        <v>47</v>
      </c>
    </row>
    <row r="221" spans="1:46" ht="13" x14ac:dyDescent="0.3">
      <c r="A221" s="4" t="s">
        <v>1051</v>
      </c>
      <c r="B221" t="s">
        <v>47</v>
      </c>
      <c r="C221" s="4" t="s">
        <v>1052</v>
      </c>
      <c r="D221" s="4" t="s">
        <v>324</v>
      </c>
      <c r="E221" s="4" t="s">
        <v>49</v>
      </c>
      <c r="F221" t="s">
        <v>47</v>
      </c>
      <c r="G221" t="s">
        <v>47</v>
      </c>
      <c r="H221" t="s">
        <v>47</v>
      </c>
      <c r="I221" s="3">
        <v>39448</v>
      </c>
      <c r="J221" s="3">
        <v>40360</v>
      </c>
      <c r="K221" t="s">
        <v>47</v>
      </c>
      <c r="L221" s="5" t="s">
        <v>51</v>
      </c>
      <c r="M221" s="3">
        <v>39448</v>
      </c>
      <c r="N221" s="3">
        <v>40360</v>
      </c>
      <c r="O221" t="s">
        <v>47</v>
      </c>
      <c r="P221" s="3">
        <v>39448</v>
      </c>
      <c r="Q221" s="3">
        <v>40360</v>
      </c>
      <c r="R221" t="s">
        <v>47</v>
      </c>
      <c r="S221" t="s">
        <v>47</v>
      </c>
      <c r="T221" t="s">
        <v>47</v>
      </c>
      <c r="U221" t="s">
        <v>47</v>
      </c>
      <c r="V221" t="s">
        <v>47</v>
      </c>
      <c r="W221" s="3">
        <v>39448</v>
      </c>
      <c r="X221" s="3">
        <v>40360</v>
      </c>
      <c r="Y221" t="s">
        <v>47</v>
      </c>
      <c r="Z221" s="3">
        <v>39448</v>
      </c>
      <c r="AA221" s="3">
        <v>40360</v>
      </c>
      <c r="AB221" t="s">
        <v>47</v>
      </c>
      <c r="AC221" s="3">
        <v>39448</v>
      </c>
      <c r="AD221" s="3">
        <v>40360</v>
      </c>
      <c r="AE221" t="s">
        <v>47</v>
      </c>
      <c r="AF221" t="s">
        <v>47</v>
      </c>
      <c r="AG221" t="s">
        <v>47</v>
      </c>
      <c r="AH221" t="s">
        <v>47</v>
      </c>
      <c r="AI221" t="s">
        <v>47</v>
      </c>
      <c r="AJ221" t="s">
        <v>47</v>
      </c>
      <c r="AK221" t="s">
        <v>47</v>
      </c>
      <c r="AL221" t="s">
        <v>47</v>
      </c>
      <c r="AM221" t="s">
        <v>47</v>
      </c>
      <c r="AN221" t="s">
        <v>47</v>
      </c>
      <c r="AO221" s="5" t="s">
        <v>51</v>
      </c>
      <c r="AP221" s="4" t="s">
        <v>135</v>
      </c>
      <c r="AQ221" s="4" t="s">
        <v>53</v>
      </c>
      <c r="AR221" s="4" t="s">
        <v>54</v>
      </c>
      <c r="AS221" s="5">
        <v>52449</v>
      </c>
      <c r="AT221" t="s">
        <v>47</v>
      </c>
    </row>
    <row r="222" spans="1:46" ht="26" x14ac:dyDescent="0.3">
      <c r="A222" s="4" t="s">
        <v>1053</v>
      </c>
      <c r="B222" t="s">
        <v>47</v>
      </c>
      <c r="C222" s="4" t="s">
        <v>1054</v>
      </c>
      <c r="D222" s="4" t="s">
        <v>1055</v>
      </c>
      <c r="E222" s="4" t="s">
        <v>49</v>
      </c>
      <c r="F222" s="5" t="s">
        <v>1056</v>
      </c>
      <c r="G222" t="s">
        <v>47</v>
      </c>
      <c r="H222" t="s">
        <v>47</v>
      </c>
      <c r="I222" s="3">
        <v>36892</v>
      </c>
      <c r="J222" s="3">
        <v>42917</v>
      </c>
      <c r="K222" t="s">
        <v>47</v>
      </c>
      <c r="L222" s="5" t="s">
        <v>51</v>
      </c>
      <c r="M222" s="3">
        <v>36892</v>
      </c>
      <c r="N222" s="3">
        <v>42917</v>
      </c>
      <c r="O222" t="s">
        <v>47</v>
      </c>
      <c r="P222" s="3">
        <v>36892</v>
      </c>
      <c r="Q222" s="3">
        <v>42917</v>
      </c>
      <c r="R222" t="s">
        <v>47</v>
      </c>
      <c r="S222" t="s">
        <v>47</v>
      </c>
      <c r="T222" t="s">
        <v>47</v>
      </c>
      <c r="U222" t="s">
        <v>47</v>
      </c>
      <c r="V222" t="s">
        <v>47</v>
      </c>
      <c r="W222" s="3">
        <v>36892</v>
      </c>
      <c r="X222" s="3">
        <v>42917</v>
      </c>
      <c r="Y222" t="s">
        <v>47</v>
      </c>
      <c r="Z222" s="3">
        <v>36892</v>
      </c>
      <c r="AA222" s="3">
        <v>42917</v>
      </c>
      <c r="AB222" t="s">
        <v>47</v>
      </c>
      <c r="AC222" s="3">
        <v>36892</v>
      </c>
      <c r="AD222" s="3">
        <v>42917</v>
      </c>
      <c r="AE222" t="s">
        <v>47</v>
      </c>
      <c r="AF222" t="s">
        <v>47</v>
      </c>
      <c r="AG222" t="s">
        <v>47</v>
      </c>
      <c r="AH222" t="s">
        <v>47</v>
      </c>
      <c r="AI222" t="s">
        <v>47</v>
      </c>
      <c r="AJ222" t="s">
        <v>47</v>
      </c>
      <c r="AK222" t="s">
        <v>47</v>
      </c>
      <c r="AL222" t="s">
        <v>47</v>
      </c>
      <c r="AM222" t="s">
        <v>47</v>
      </c>
      <c r="AN222" t="s">
        <v>47</v>
      </c>
      <c r="AO222" s="5" t="s">
        <v>51</v>
      </c>
      <c r="AP222" s="4" t="s">
        <v>85</v>
      </c>
      <c r="AQ222" s="4" t="s">
        <v>53</v>
      </c>
      <c r="AR222" s="4" t="s">
        <v>54</v>
      </c>
      <c r="AS222" s="5">
        <v>36178</v>
      </c>
      <c r="AT222" t="s">
        <v>47</v>
      </c>
    </row>
    <row r="223" spans="1:46" ht="78" x14ac:dyDescent="0.3">
      <c r="A223" s="4" t="s">
        <v>1057</v>
      </c>
      <c r="B223" t="s">
        <v>47</v>
      </c>
      <c r="C223" s="4" t="s">
        <v>1052</v>
      </c>
      <c r="D223" s="4" t="s">
        <v>324</v>
      </c>
      <c r="E223" s="4" t="s">
        <v>49</v>
      </c>
      <c r="F223" s="5" t="s">
        <v>1058</v>
      </c>
      <c r="G223" t="s">
        <v>47</v>
      </c>
      <c r="H223" t="s">
        <v>47</v>
      </c>
      <c r="I223" s="3">
        <v>34758</v>
      </c>
      <c r="J223" s="3">
        <v>42461</v>
      </c>
      <c r="K223" t="s">
        <v>47</v>
      </c>
      <c r="L223" s="5" t="s">
        <v>51</v>
      </c>
      <c r="M223" s="3">
        <v>34758</v>
      </c>
      <c r="N223" s="3">
        <v>42461</v>
      </c>
      <c r="O223" t="s">
        <v>47</v>
      </c>
      <c r="P223" s="3">
        <v>39814</v>
      </c>
      <c r="Q223" s="3">
        <v>42461</v>
      </c>
      <c r="R223" t="s">
        <v>47</v>
      </c>
      <c r="S223" t="s">
        <v>47</v>
      </c>
      <c r="T223" t="s">
        <v>47</v>
      </c>
      <c r="U223" t="s">
        <v>47</v>
      </c>
      <c r="V223" t="s">
        <v>47</v>
      </c>
      <c r="W223" s="3">
        <v>34758</v>
      </c>
      <c r="X223" s="3">
        <v>42461</v>
      </c>
      <c r="Y223" t="s">
        <v>47</v>
      </c>
      <c r="Z223" s="3">
        <v>34758</v>
      </c>
      <c r="AA223" s="3">
        <v>42461</v>
      </c>
      <c r="AB223" t="s">
        <v>47</v>
      </c>
      <c r="AC223" s="3">
        <v>34758</v>
      </c>
      <c r="AD223" s="3">
        <v>42461</v>
      </c>
      <c r="AE223" t="s">
        <v>47</v>
      </c>
      <c r="AF223" t="s">
        <v>47</v>
      </c>
      <c r="AG223" t="s">
        <v>47</v>
      </c>
      <c r="AH223" t="s">
        <v>47</v>
      </c>
      <c r="AI223" t="s">
        <v>47</v>
      </c>
      <c r="AJ223" t="s">
        <v>47</v>
      </c>
      <c r="AK223" t="s">
        <v>47</v>
      </c>
      <c r="AL223" t="s">
        <v>47</v>
      </c>
      <c r="AM223" t="s">
        <v>47</v>
      </c>
      <c r="AN223" t="s">
        <v>47</v>
      </c>
      <c r="AO223" s="5" t="s">
        <v>51</v>
      </c>
      <c r="AP223" s="4" t="s">
        <v>135</v>
      </c>
      <c r="AQ223" s="4" t="s">
        <v>53</v>
      </c>
      <c r="AR223" s="4" t="s">
        <v>136</v>
      </c>
      <c r="AS223" s="5">
        <v>38685</v>
      </c>
      <c r="AT223" t="s">
        <v>47</v>
      </c>
    </row>
    <row r="224" spans="1:46" ht="26" x14ac:dyDescent="0.3">
      <c r="A224" s="4" t="s">
        <v>1059</v>
      </c>
      <c r="B224" t="s">
        <v>47</v>
      </c>
      <c r="C224" s="4" t="s">
        <v>1060</v>
      </c>
      <c r="D224" s="4" t="s">
        <v>1061</v>
      </c>
      <c r="E224" s="4" t="s">
        <v>49</v>
      </c>
      <c r="F224" s="5" t="s">
        <v>1062</v>
      </c>
      <c r="G224" t="s">
        <v>47</v>
      </c>
      <c r="H224" t="s">
        <v>47</v>
      </c>
      <c r="I224" s="3">
        <v>36039</v>
      </c>
      <c r="J224" s="3">
        <v>39173</v>
      </c>
      <c r="K224" t="s">
        <v>47</v>
      </c>
      <c r="L224" s="5" t="s">
        <v>51</v>
      </c>
      <c r="M224" s="3">
        <v>36039</v>
      </c>
      <c r="N224" s="3">
        <v>39173</v>
      </c>
      <c r="O224" t="s">
        <v>47</v>
      </c>
      <c r="P224" s="3">
        <v>36039</v>
      </c>
      <c r="Q224" s="3">
        <v>39173</v>
      </c>
      <c r="R224" t="s">
        <v>47</v>
      </c>
      <c r="S224" t="s">
        <v>47</v>
      </c>
      <c r="T224" t="s">
        <v>47</v>
      </c>
      <c r="U224" t="s">
        <v>47</v>
      </c>
      <c r="V224" t="s">
        <v>47</v>
      </c>
      <c r="W224" s="3">
        <v>36039</v>
      </c>
      <c r="X224" s="3">
        <v>43922</v>
      </c>
      <c r="Y224" t="s">
        <v>47</v>
      </c>
      <c r="Z224" s="3">
        <v>36039</v>
      </c>
      <c r="AA224" s="3">
        <v>43922</v>
      </c>
      <c r="AB224" t="s">
        <v>47</v>
      </c>
      <c r="AC224" s="3">
        <v>37987</v>
      </c>
      <c r="AD224" s="3">
        <v>43922</v>
      </c>
      <c r="AE224" t="s">
        <v>47</v>
      </c>
      <c r="AF224" t="s">
        <v>47</v>
      </c>
      <c r="AG224" t="s">
        <v>47</v>
      </c>
      <c r="AH224" t="s">
        <v>47</v>
      </c>
      <c r="AI224" t="s">
        <v>47</v>
      </c>
      <c r="AJ224" t="s">
        <v>47</v>
      </c>
      <c r="AK224" t="s">
        <v>47</v>
      </c>
      <c r="AL224" t="s">
        <v>47</v>
      </c>
      <c r="AM224" t="s">
        <v>47</v>
      </c>
      <c r="AN224" t="s">
        <v>47</v>
      </c>
      <c r="AO224" s="5" t="s">
        <v>51</v>
      </c>
      <c r="AP224" s="4" t="s">
        <v>135</v>
      </c>
      <c r="AQ224" s="4" t="s">
        <v>53</v>
      </c>
      <c r="AR224" s="4" t="s">
        <v>831</v>
      </c>
      <c r="AS224" s="5">
        <v>36918</v>
      </c>
      <c r="AT224" t="s">
        <v>47</v>
      </c>
    </row>
    <row r="225" spans="1:46" ht="26" x14ac:dyDescent="0.3">
      <c r="A225" s="4" t="s">
        <v>1063</v>
      </c>
      <c r="B225" t="s">
        <v>47</v>
      </c>
      <c r="C225" s="4" t="s">
        <v>1064</v>
      </c>
      <c r="D225" s="4" t="s">
        <v>1065</v>
      </c>
      <c r="E225" s="4" t="s">
        <v>1066</v>
      </c>
      <c r="F225" s="5" t="s">
        <v>1067</v>
      </c>
      <c r="G225" t="s">
        <v>47</v>
      </c>
      <c r="H225" t="s">
        <v>47</v>
      </c>
      <c r="I225" s="3">
        <v>43739</v>
      </c>
      <c r="J225" s="5" t="s">
        <v>50</v>
      </c>
      <c r="K225" t="s">
        <v>47</v>
      </c>
      <c r="L225" s="5" t="s">
        <v>60</v>
      </c>
      <c r="M225" t="s">
        <v>47</v>
      </c>
      <c r="N225" t="s">
        <v>47</v>
      </c>
      <c r="O225" t="s">
        <v>47</v>
      </c>
      <c r="P225" s="3">
        <v>43739</v>
      </c>
      <c r="Q225" s="5" t="s">
        <v>50</v>
      </c>
      <c r="R225" t="s">
        <v>47</v>
      </c>
      <c r="S225" t="s">
        <v>47</v>
      </c>
      <c r="T225" t="s">
        <v>47</v>
      </c>
      <c r="U225" t="s">
        <v>47</v>
      </c>
      <c r="V225" t="s">
        <v>47</v>
      </c>
      <c r="W225" s="3">
        <v>43739</v>
      </c>
      <c r="X225" s="5" t="s">
        <v>50</v>
      </c>
      <c r="Y225" t="s">
        <v>47</v>
      </c>
      <c r="Z225" s="3">
        <v>43739</v>
      </c>
      <c r="AA225" s="5" t="s">
        <v>50</v>
      </c>
      <c r="AB225" t="s">
        <v>47</v>
      </c>
      <c r="AC225" s="3">
        <v>43739</v>
      </c>
      <c r="AD225" s="5" t="s">
        <v>50</v>
      </c>
      <c r="AE225" t="s">
        <v>47</v>
      </c>
      <c r="AF225" t="s">
        <v>47</v>
      </c>
      <c r="AG225" t="s">
        <v>47</v>
      </c>
      <c r="AH225" t="s">
        <v>47</v>
      </c>
      <c r="AI225" t="s">
        <v>47</v>
      </c>
      <c r="AJ225" t="s">
        <v>47</v>
      </c>
      <c r="AK225" t="s">
        <v>47</v>
      </c>
      <c r="AL225" t="s">
        <v>47</v>
      </c>
      <c r="AM225" t="s">
        <v>47</v>
      </c>
      <c r="AN225" t="s">
        <v>47</v>
      </c>
      <c r="AO225" s="5" t="s">
        <v>60</v>
      </c>
      <c r="AP225" s="4" t="s">
        <v>61</v>
      </c>
      <c r="AQ225" s="4" t="s">
        <v>53</v>
      </c>
      <c r="AR225" s="4" t="s">
        <v>54</v>
      </c>
      <c r="AS225" s="5">
        <v>5083791</v>
      </c>
      <c r="AT225" t="s">
        <v>47</v>
      </c>
    </row>
    <row r="226" spans="1:46" ht="26" x14ac:dyDescent="0.3">
      <c r="A226" s="4" t="s">
        <v>1068</v>
      </c>
      <c r="B226" t="s">
        <v>47</v>
      </c>
      <c r="C226" s="4" t="s">
        <v>48</v>
      </c>
      <c r="D226" t="s">
        <v>47</v>
      </c>
      <c r="E226" s="4" t="s">
        <v>49</v>
      </c>
      <c r="F226" t="s">
        <v>47</v>
      </c>
      <c r="G226" t="s">
        <v>47</v>
      </c>
      <c r="H226" t="s">
        <v>47</v>
      </c>
      <c r="I226" s="3">
        <v>43941</v>
      </c>
      <c r="J226" s="5" t="s">
        <v>50</v>
      </c>
      <c r="K226" t="s">
        <v>47</v>
      </c>
      <c r="L226" s="5" t="s">
        <v>51</v>
      </c>
      <c r="M226" s="3">
        <v>43941</v>
      </c>
      <c r="N226" s="5" t="s">
        <v>50</v>
      </c>
      <c r="O226" t="s">
        <v>47</v>
      </c>
      <c r="P226" t="s">
        <v>47</v>
      </c>
      <c r="Q226" t="s">
        <v>47</v>
      </c>
      <c r="R226" t="s">
        <v>47</v>
      </c>
      <c r="S226" t="s">
        <v>47</v>
      </c>
      <c r="T226" t="s">
        <v>47</v>
      </c>
      <c r="U226" t="s">
        <v>47</v>
      </c>
      <c r="V226" t="s">
        <v>47</v>
      </c>
      <c r="W226" s="3">
        <v>43941</v>
      </c>
      <c r="X226" s="5" t="s">
        <v>50</v>
      </c>
      <c r="Y226" t="s">
        <v>47</v>
      </c>
      <c r="Z226" s="3">
        <v>43941</v>
      </c>
      <c r="AA226" s="5" t="s">
        <v>50</v>
      </c>
      <c r="AB226" t="s">
        <v>47</v>
      </c>
      <c r="AC226" t="s">
        <v>47</v>
      </c>
      <c r="AD226" t="s">
        <v>47</v>
      </c>
      <c r="AE226" t="s">
        <v>47</v>
      </c>
      <c r="AF226" t="s">
        <v>47</v>
      </c>
      <c r="AG226" t="s">
        <v>47</v>
      </c>
      <c r="AH226" t="s">
        <v>47</v>
      </c>
      <c r="AI226" t="s">
        <v>47</v>
      </c>
      <c r="AJ226" t="s">
        <v>47</v>
      </c>
      <c r="AK226" t="s">
        <v>47</v>
      </c>
      <c r="AL226" t="s">
        <v>47</v>
      </c>
      <c r="AM226" t="s">
        <v>47</v>
      </c>
      <c r="AN226" t="s">
        <v>47</v>
      </c>
      <c r="AO226" s="5" t="s">
        <v>51</v>
      </c>
      <c r="AP226" s="4" t="s">
        <v>52</v>
      </c>
      <c r="AQ226" s="4" t="s">
        <v>53</v>
      </c>
      <c r="AR226" s="4" t="s">
        <v>54</v>
      </c>
      <c r="AS226" s="5">
        <v>5341599</v>
      </c>
      <c r="AT226" t="s">
        <v>47</v>
      </c>
    </row>
    <row r="227" spans="1:46" ht="78" x14ac:dyDescent="0.3">
      <c r="A227" s="4" t="s">
        <v>1069</v>
      </c>
      <c r="B227" t="s">
        <v>47</v>
      </c>
      <c r="C227" s="4" t="s">
        <v>519</v>
      </c>
      <c r="D227" s="4" t="s">
        <v>319</v>
      </c>
      <c r="E227" s="4" t="s">
        <v>49</v>
      </c>
      <c r="F227" s="5" t="s">
        <v>1070</v>
      </c>
      <c r="G227" s="5" t="s">
        <v>1071</v>
      </c>
      <c r="H227" t="s">
        <v>47</v>
      </c>
      <c r="I227" s="3">
        <v>32143</v>
      </c>
      <c r="J227" s="3">
        <v>40483</v>
      </c>
      <c r="K227" t="s">
        <v>47</v>
      </c>
      <c r="L227" s="5" t="s">
        <v>60</v>
      </c>
      <c r="M227" s="3">
        <v>34335</v>
      </c>
      <c r="N227" s="3">
        <v>40483</v>
      </c>
      <c r="O227" t="s">
        <v>47</v>
      </c>
      <c r="P227" s="3">
        <v>32143</v>
      </c>
      <c r="Q227" s="3">
        <v>40483</v>
      </c>
      <c r="R227" t="s">
        <v>47</v>
      </c>
      <c r="S227" t="s">
        <v>47</v>
      </c>
      <c r="T227" t="s">
        <v>47</v>
      </c>
      <c r="U227" t="s">
        <v>47</v>
      </c>
      <c r="V227" t="s">
        <v>47</v>
      </c>
      <c r="W227" s="3">
        <v>32143</v>
      </c>
      <c r="X227" s="5" t="s">
        <v>50</v>
      </c>
      <c r="Y227" t="s">
        <v>47</v>
      </c>
      <c r="Z227" s="3">
        <v>32143</v>
      </c>
      <c r="AA227" s="5" t="s">
        <v>50</v>
      </c>
      <c r="AB227" t="s">
        <v>47</v>
      </c>
      <c r="AC227" s="3">
        <v>32143</v>
      </c>
      <c r="AD227" s="5" t="s">
        <v>50</v>
      </c>
      <c r="AE227" t="s">
        <v>47</v>
      </c>
      <c r="AF227" t="s">
        <v>47</v>
      </c>
      <c r="AG227" t="s">
        <v>47</v>
      </c>
      <c r="AH227" t="s">
        <v>47</v>
      </c>
      <c r="AI227" t="s">
        <v>47</v>
      </c>
      <c r="AJ227" t="s">
        <v>47</v>
      </c>
      <c r="AK227" t="s">
        <v>47</v>
      </c>
      <c r="AL227" t="s">
        <v>47</v>
      </c>
      <c r="AM227" t="s">
        <v>47</v>
      </c>
      <c r="AN227" t="s">
        <v>47</v>
      </c>
      <c r="AO227" s="5" t="s">
        <v>60</v>
      </c>
      <c r="AP227" s="4" t="s">
        <v>61</v>
      </c>
      <c r="AQ227" s="4" t="s">
        <v>53</v>
      </c>
      <c r="AR227" s="4" t="s">
        <v>1072</v>
      </c>
      <c r="AS227" s="5">
        <v>25167</v>
      </c>
      <c r="AT227" t="s">
        <v>47</v>
      </c>
    </row>
    <row r="228" spans="1:46" ht="26" x14ac:dyDescent="0.3">
      <c r="A228" s="4" t="s">
        <v>1073</v>
      </c>
      <c r="B228" t="s">
        <v>47</v>
      </c>
      <c r="C228" s="4" t="s">
        <v>169</v>
      </c>
      <c r="D228" s="4" t="s">
        <v>339</v>
      </c>
      <c r="E228" s="4" t="s">
        <v>66</v>
      </c>
      <c r="F228" s="5" t="s">
        <v>1074</v>
      </c>
      <c r="G228" s="5" t="s">
        <v>1075</v>
      </c>
      <c r="H228" t="s">
        <v>47</v>
      </c>
      <c r="I228" t="s">
        <v>47</v>
      </c>
      <c r="J228" t="s">
        <v>47</v>
      </c>
      <c r="K228" t="s">
        <v>47</v>
      </c>
      <c r="L228" s="5" t="s">
        <v>60</v>
      </c>
      <c r="M228" t="s">
        <v>47</v>
      </c>
      <c r="N228" t="s">
        <v>47</v>
      </c>
      <c r="O228" t="s">
        <v>47</v>
      </c>
      <c r="P228" t="s">
        <v>47</v>
      </c>
      <c r="Q228" t="s">
        <v>47</v>
      </c>
      <c r="R228" t="s">
        <v>47</v>
      </c>
      <c r="S228" t="s">
        <v>47</v>
      </c>
      <c r="T228" t="s">
        <v>47</v>
      </c>
      <c r="U228" t="s">
        <v>47</v>
      </c>
      <c r="V228" t="s">
        <v>47</v>
      </c>
      <c r="W228" s="3">
        <v>40179</v>
      </c>
      <c r="X228" s="5" t="s">
        <v>50</v>
      </c>
      <c r="Y228" s="5" t="s">
        <v>811</v>
      </c>
      <c r="Z228" s="3">
        <v>40179</v>
      </c>
      <c r="AA228" s="5" t="s">
        <v>50</v>
      </c>
      <c r="AB228" s="5" t="s">
        <v>811</v>
      </c>
      <c r="AC228" s="3">
        <v>40179</v>
      </c>
      <c r="AD228" s="5" t="s">
        <v>50</v>
      </c>
      <c r="AE228" s="5" t="s">
        <v>811</v>
      </c>
      <c r="AF228" t="s">
        <v>47</v>
      </c>
      <c r="AG228" t="s">
        <v>47</v>
      </c>
      <c r="AH228" t="s">
        <v>47</v>
      </c>
      <c r="AI228" t="s">
        <v>47</v>
      </c>
      <c r="AJ228" t="s">
        <v>47</v>
      </c>
      <c r="AK228" t="s">
        <v>47</v>
      </c>
      <c r="AL228" t="s">
        <v>47</v>
      </c>
      <c r="AM228" t="s">
        <v>47</v>
      </c>
      <c r="AN228" t="s">
        <v>47</v>
      </c>
      <c r="AO228" s="5" t="s">
        <v>60</v>
      </c>
      <c r="AP228" s="4" t="s">
        <v>61</v>
      </c>
      <c r="AQ228" s="4" t="s">
        <v>53</v>
      </c>
      <c r="AR228" s="4" t="s">
        <v>737</v>
      </c>
      <c r="AS228" s="5">
        <v>426728</v>
      </c>
      <c r="AT228" t="s">
        <v>47</v>
      </c>
    </row>
    <row r="229" spans="1:46" ht="39" x14ac:dyDescent="0.3">
      <c r="A229" s="4" t="s">
        <v>1076</v>
      </c>
      <c r="B229" t="s">
        <v>47</v>
      </c>
      <c r="C229" s="4" t="s">
        <v>1077</v>
      </c>
      <c r="D229" s="4" t="s">
        <v>873</v>
      </c>
      <c r="E229" s="4" t="s">
        <v>874</v>
      </c>
      <c r="F229" s="5" t="s">
        <v>1078</v>
      </c>
      <c r="G229" t="s">
        <v>47</v>
      </c>
      <c r="H229" t="s">
        <v>47</v>
      </c>
      <c r="I229" s="3">
        <v>42156</v>
      </c>
      <c r="J229" s="3">
        <v>43617</v>
      </c>
      <c r="K229" t="s">
        <v>47</v>
      </c>
      <c r="L229" s="5" t="s">
        <v>60</v>
      </c>
      <c r="M229" t="s">
        <v>47</v>
      </c>
      <c r="N229" t="s">
        <v>47</v>
      </c>
      <c r="O229" t="s">
        <v>47</v>
      </c>
      <c r="P229" s="3">
        <v>42156</v>
      </c>
      <c r="Q229" s="3">
        <v>43617</v>
      </c>
      <c r="R229" t="s">
        <v>47</v>
      </c>
      <c r="S229" t="s">
        <v>47</v>
      </c>
      <c r="T229" t="s">
        <v>47</v>
      </c>
      <c r="U229" t="s">
        <v>47</v>
      </c>
      <c r="V229" t="s">
        <v>47</v>
      </c>
      <c r="W229" s="3">
        <v>42156</v>
      </c>
      <c r="X229" s="3">
        <v>43617</v>
      </c>
      <c r="Y229" t="s">
        <v>47</v>
      </c>
      <c r="Z229" s="3">
        <v>42156</v>
      </c>
      <c r="AA229" s="3">
        <v>43617</v>
      </c>
      <c r="AB229" t="s">
        <v>47</v>
      </c>
      <c r="AC229" s="3">
        <v>42156</v>
      </c>
      <c r="AD229" s="3">
        <v>43617</v>
      </c>
      <c r="AE229" t="s">
        <v>47</v>
      </c>
      <c r="AF229" t="s">
        <v>47</v>
      </c>
      <c r="AG229" t="s">
        <v>47</v>
      </c>
      <c r="AH229" t="s">
        <v>47</v>
      </c>
      <c r="AI229" t="s">
        <v>47</v>
      </c>
      <c r="AJ229" t="s">
        <v>47</v>
      </c>
      <c r="AK229" t="s">
        <v>47</v>
      </c>
      <c r="AL229" t="s">
        <v>47</v>
      </c>
      <c r="AM229" t="s">
        <v>47</v>
      </c>
      <c r="AN229" t="s">
        <v>47</v>
      </c>
      <c r="AO229" s="5" t="s">
        <v>51</v>
      </c>
      <c r="AP229" s="4" t="s">
        <v>61</v>
      </c>
      <c r="AQ229" s="4" t="s">
        <v>876</v>
      </c>
      <c r="AR229" s="4" t="s">
        <v>186</v>
      </c>
      <c r="AS229" s="5">
        <v>2043107</v>
      </c>
      <c r="AT229" t="s">
        <v>47</v>
      </c>
    </row>
    <row r="230" spans="1:46" ht="65" x14ac:dyDescent="0.3">
      <c r="A230" s="4" t="s">
        <v>1079</v>
      </c>
      <c r="B230" t="s">
        <v>47</v>
      </c>
      <c r="C230" s="4" t="s">
        <v>122</v>
      </c>
      <c r="D230" s="4" t="s">
        <v>70</v>
      </c>
      <c r="E230" s="4" t="s">
        <v>123</v>
      </c>
      <c r="F230" s="5" t="s">
        <v>1080</v>
      </c>
      <c r="G230" s="5" t="s">
        <v>1081</v>
      </c>
      <c r="H230" t="s">
        <v>47</v>
      </c>
      <c r="I230" s="3">
        <v>38565</v>
      </c>
      <c r="J230" s="5" t="s">
        <v>50</v>
      </c>
      <c r="K230" t="s">
        <v>47</v>
      </c>
      <c r="L230" s="5" t="s">
        <v>60</v>
      </c>
      <c r="M230" s="3">
        <v>38565</v>
      </c>
      <c r="N230" s="3">
        <v>42887</v>
      </c>
      <c r="O230" t="s">
        <v>47</v>
      </c>
      <c r="P230" s="3">
        <v>38565</v>
      </c>
      <c r="Q230" s="5" t="s">
        <v>50</v>
      </c>
      <c r="R230" t="s">
        <v>47</v>
      </c>
      <c r="S230" t="s">
        <v>47</v>
      </c>
      <c r="T230" t="s">
        <v>47</v>
      </c>
      <c r="U230" t="s">
        <v>47</v>
      </c>
      <c r="V230" s="5">
        <v>365</v>
      </c>
      <c r="W230" s="3">
        <v>34731</v>
      </c>
      <c r="X230" s="5" t="s">
        <v>50</v>
      </c>
      <c r="Y230" t="s">
        <v>47</v>
      </c>
      <c r="Z230" s="3">
        <v>34731</v>
      </c>
      <c r="AA230" s="5" t="s">
        <v>50</v>
      </c>
      <c r="AB230" t="s">
        <v>47</v>
      </c>
      <c r="AC230" s="3">
        <v>34731</v>
      </c>
      <c r="AD230" s="5" t="s">
        <v>50</v>
      </c>
      <c r="AE230" t="s">
        <v>47</v>
      </c>
      <c r="AF230" t="s">
        <v>47</v>
      </c>
      <c r="AG230" t="s">
        <v>47</v>
      </c>
      <c r="AH230" t="s">
        <v>47</v>
      </c>
      <c r="AI230" t="s">
        <v>47</v>
      </c>
      <c r="AJ230" t="s">
        <v>47</v>
      </c>
      <c r="AK230" t="s">
        <v>47</v>
      </c>
      <c r="AL230" t="s">
        <v>47</v>
      </c>
      <c r="AM230" t="s">
        <v>47</v>
      </c>
      <c r="AN230" t="s">
        <v>47</v>
      </c>
      <c r="AO230" s="5" t="s">
        <v>60</v>
      </c>
      <c r="AP230" s="4" t="s">
        <v>61</v>
      </c>
      <c r="AQ230" s="4" t="s">
        <v>53</v>
      </c>
      <c r="AR230" s="4" t="s">
        <v>1082</v>
      </c>
      <c r="AS230" s="5">
        <v>37911</v>
      </c>
      <c r="AT230" t="s">
        <v>47</v>
      </c>
    </row>
    <row r="231" spans="1:46" ht="13" x14ac:dyDescent="0.3">
      <c r="A231" s="4" t="s">
        <v>1083</v>
      </c>
      <c r="B231" t="s">
        <v>47</v>
      </c>
      <c r="C231" s="4" t="s">
        <v>169</v>
      </c>
      <c r="D231" s="4" t="s">
        <v>139</v>
      </c>
      <c r="E231" s="4" t="s">
        <v>66</v>
      </c>
      <c r="F231" s="5" t="s">
        <v>1084</v>
      </c>
      <c r="G231" s="5" t="s">
        <v>1085</v>
      </c>
      <c r="H231" t="s">
        <v>47</v>
      </c>
      <c r="I231" t="s">
        <v>47</v>
      </c>
      <c r="J231" t="s">
        <v>47</v>
      </c>
      <c r="K231" t="s">
        <v>47</v>
      </c>
      <c r="L231" s="5" t="s">
        <v>60</v>
      </c>
      <c r="M231" t="s">
        <v>47</v>
      </c>
      <c r="N231" t="s">
        <v>47</v>
      </c>
      <c r="O231" t="s">
        <v>47</v>
      </c>
      <c r="P231" t="s">
        <v>47</v>
      </c>
      <c r="Q231" t="s">
        <v>47</v>
      </c>
      <c r="R231" t="s">
        <v>47</v>
      </c>
      <c r="S231" t="s">
        <v>47</v>
      </c>
      <c r="T231" t="s">
        <v>47</v>
      </c>
      <c r="U231" t="s">
        <v>47</v>
      </c>
      <c r="V231" t="s">
        <v>47</v>
      </c>
      <c r="W231" s="3">
        <v>38078</v>
      </c>
      <c r="X231" s="5" t="s">
        <v>50</v>
      </c>
      <c r="Y231" t="s">
        <v>47</v>
      </c>
      <c r="Z231" s="3">
        <v>38078</v>
      </c>
      <c r="AA231" s="5" t="s">
        <v>50</v>
      </c>
      <c r="AB231" t="s">
        <v>47</v>
      </c>
      <c r="AC231" s="3">
        <v>38078</v>
      </c>
      <c r="AD231" s="5" t="s">
        <v>50</v>
      </c>
      <c r="AE231" t="s">
        <v>47</v>
      </c>
      <c r="AF231" t="s">
        <v>47</v>
      </c>
      <c r="AG231" t="s">
        <v>47</v>
      </c>
      <c r="AH231" t="s">
        <v>47</v>
      </c>
      <c r="AI231" t="s">
        <v>47</v>
      </c>
      <c r="AJ231" t="s">
        <v>47</v>
      </c>
      <c r="AK231" t="s">
        <v>47</v>
      </c>
      <c r="AL231" t="s">
        <v>47</v>
      </c>
      <c r="AM231" t="s">
        <v>47</v>
      </c>
      <c r="AN231" t="s">
        <v>47</v>
      </c>
      <c r="AO231" s="5" t="s">
        <v>60</v>
      </c>
      <c r="AP231" s="4" t="s">
        <v>61</v>
      </c>
      <c r="AQ231" s="4" t="s">
        <v>53</v>
      </c>
      <c r="AR231" s="4" t="s">
        <v>483</v>
      </c>
      <c r="AS231" s="5">
        <v>47006</v>
      </c>
      <c r="AT231" t="s">
        <v>47</v>
      </c>
    </row>
    <row r="232" spans="1:46" ht="65" x14ac:dyDescent="0.3">
      <c r="A232" s="4" t="s">
        <v>1086</v>
      </c>
      <c r="B232" t="s">
        <v>47</v>
      </c>
      <c r="C232" s="4" t="s">
        <v>200</v>
      </c>
      <c r="D232" s="4" t="s">
        <v>748</v>
      </c>
      <c r="E232" s="4" t="s">
        <v>66</v>
      </c>
      <c r="F232" s="5" t="s">
        <v>1087</v>
      </c>
      <c r="G232" s="5" t="s">
        <v>1088</v>
      </c>
      <c r="H232" t="s">
        <v>47</v>
      </c>
      <c r="I232" t="s">
        <v>47</v>
      </c>
      <c r="J232" t="s">
        <v>47</v>
      </c>
      <c r="K232" t="s">
        <v>47</v>
      </c>
      <c r="L232" s="5" t="s">
        <v>60</v>
      </c>
      <c r="M232" t="s">
        <v>47</v>
      </c>
      <c r="N232" t="s">
        <v>47</v>
      </c>
      <c r="O232" t="s">
        <v>47</v>
      </c>
      <c r="P232" t="s">
        <v>47</v>
      </c>
      <c r="Q232" t="s">
        <v>47</v>
      </c>
      <c r="R232" t="s">
        <v>47</v>
      </c>
      <c r="S232" t="s">
        <v>47</v>
      </c>
      <c r="T232" t="s">
        <v>47</v>
      </c>
      <c r="U232" t="s">
        <v>47</v>
      </c>
      <c r="V232" t="s">
        <v>47</v>
      </c>
      <c r="W232" s="3">
        <v>38292</v>
      </c>
      <c r="X232" s="5" t="s">
        <v>50</v>
      </c>
      <c r="Y232" t="s">
        <v>47</v>
      </c>
      <c r="Z232" s="3">
        <v>38292</v>
      </c>
      <c r="AA232" s="5" t="s">
        <v>50</v>
      </c>
      <c r="AB232" t="s">
        <v>47</v>
      </c>
      <c r="AC232" s="3">
        <v>38292</v>
      </c>
      <c r="AD232" s="5" t="s">
        <v>50</v>
      </c>
      <c r="AE232" t="s">
        <v>47</v>
      </c>
      <c r="AF232" t="s">
        <v>47</v>
      </c>
      <c r="AG232" t="s">
        <v>47</v>
      </c>
      <c r="AH232" t="s">
        <v>47</v>
      </c>
      <c r="AI232" t="s">
        <v>47</v>
      </c>
      <c r="AJ232" t="s">
        <v>47</v>
      </c>
      <c r="AK232" t="s">
        <v>47</v>
      </c>
      <c r="AL232" t="s">
        <v>47</v>
      </c>
      <c r="AM232" t="s">
        <v>47</v>
      </c>
      <c r="AN232" t="s">
        <v>47</v>
      </c>
      <c r="AO232" s="5" t="s">
        <v>60</v>
      </c>
      <c r="AP232" s="4" t="s">
        <v>61</v>
      </c>
      <c r="AQ232" s="4" t="s">
        <v>53</v>
      </c>
      <c r="AR232" s="4" t="s">
        <v>1089</v>
      </c>
      <c r="AS232" s="5">
        <v>33491</v>
      </c>
      <c r="AT232" t="s">
        <v>47</v>
      </c>
    </row>
    <row r="233" spans="1:46" ht="52" x14ac:dyDescent="0.3">
      <c r="A233" s="4" t="s">
        <v>1090</v>
      </c>
      <c r="B233" t="s">
        <v>47</v>
      </c>
      <c r="C233" s="4" t="s">
        <v>122</v>
      </c>
      <c r="D233" s="4" t="s">
        <v>70</v>
      </c>
      <c r="E233" s="4" t="s">
        <v>123</v>
      </c>
      <c r="F233" s="5" t="s">
        <v>1091</v>
      </c>
      <c r="G233" s="5" t="s">
        <v>1092</v>
      </c>
      <c r="H233" t="s">
        <v>47</v>
      </c>
      <c r="I233" s="3">
        <v>35462</v>
      </c>
      <c r="J233" s="5" t="s">
        <v>50</v>
      </c>
      <c r="K233" t="s">
        <v>47</v>
      </c>
      <c r="L233" s="5" t="s">
        <v>60</v>
      </c>
      <c r="M233" s="3">
        <v>38018</v>
      </c>
      <c r="N233" s="3">
        <v>42887</v>
      </c>
      <c r="O233" t="s">
        <v>47</v>
      </c>
      <c r="P233" s="3">
        <v>35462</v>
      </c>
      <c r="Q233" s="5" t="s">
        <v>50</v>
      </c>
      <c r="R233" t="s">
        <v>47</v>
      </c>
      <c r="S233" t="s">
        <v>47</v>
      </c>
      <c r="T233" t="s">
        <v>47</v>
      </c>
      <c r="U233" t="s">
        <v>47</v>
      </c>
      <c r="V233" s="5">
        <v>365</v>
      </c>
      <c r="W233" s="3">
        <v>35462</v>
      </c>
      <c r="X233" s="5" t="s">
        <v>50</v>
      </c>
      <c r="Y233" t="s">
        <v>47</v>
      </c>
      <c r="Z233" s="3">
        <v>35462</v>
      </c>
      <c r="AA233" s="5" t="s">
        <v>50</v>
      </c>
      <c r="AB233" t="s">
        <v>47</v>
      </c>
      <c r="AC233" s="3">
        <v>35462</v>
      </c>
      <c r="AD233" s="5" t="s">
        <v>50</v>
      </c>
      <c r="AE233" t="s">
        <v>47</v>
      </c>
      <c r="AF233" t="s">
        <v>47</v>
      </c>
      <c r="AG233" t="s">
        <v>47</v>
      </c>
      <c r="AH233" t="s">
        <v>47</v>
      </c>
      <c r="AI233" t="s">
        <v>47</v>
      </c>
      <c r="AJ233" t="s">
        <v>47</v>
      </c>
      <c r="AK233" t="s">
        <v>47</v>
      </c>
      <c r="AL233" t="s">
        <v>47</v>
      </c>
      <c r="AM233" t="s">
        <v>47</v>
      </c>
      <c r="AN233" t="s">
        <v>47</v>
      </c>
      <c r="AO233" s="5" t="s">
        <v>60</v>
      </c>
      <c r="AP233" s="4" t="s">
        <v>61</v>
      </c>
      <c r="AQ233" s="4" t="s">
        <v>53</v>
      </c>
      <c r="AR233" s="4" t="s">
        <v>1093</v>
      </c>
      <c r="AS233" s="5">
        <v>54018</v>
      </c>
      <c r="AT233" t="s">
        <v>47</v>
      </c>
    </row>
    <row r="234" spans="1:46" ht="156" x14ac:dyDescent="0.3">
      <c r="A234" s="4" t="s">
        <v>1094</v>
      </c>
      <c r="B234" t="s">
        <v>47</v>
      </c>
      <c r="C234" s="4" t="s">
        <v>1095</v>
      </c>
      <c r="D234" s="4" t="s">
        <v>748</v>
      </c>
      <c r="E234" s="4" t="s">
        <v>66</v>
      </c>
      <c r="F234" s="5" t="s">
        <v>1096</v>
      </c>
      <c r="G234" s="5" t="s">
        <v>1097</v>
      </c>
      <c r="H234" t="s">
        <v>47</v>
      </c>
      <c r="I234" t="s">
        <v>47</v>
      </c>
      <c r="J234" t="s">
        <v>47</v>
      </c>
      <c r="K234" t="s">
        <v>47</v>
      </c>
      <c r="L234" s="5" t="s">
        <v>60</v>
      </c>
      <c r="M234" t="s">
        <v>47</v>
      </c>
      <c r="N234" t="s">
        <v>47</v>
      </c>
      <c r="O234" t="s">
        <v>47</v>
      </c>
      <c r="P234" t="s">
        <v>47</v>
      </c>
      <c r="Q234" t="s">
        <v>47</v>
      </c>
      <c r="R234" t="s">
        <v>47</v>
      </c>
      <c r="S234" t="s">
        <v>47</v>
      </c>
      <c r="T234" t="s">
        <v>47</v>
      </c>
      <c r="U234" t="s">
        <v>47</v>
      </c>
      <c r="V234" t="s">
        <v>47</v>
      </c>
      <c r="W234" s="3">
        <v>33604</v>
      </c>
      <c r="X234" s="3">
        <v>45047</v>
      </c>
      <c r="Y234" t="s">
        <v>47</v>
      </c>
      <c r="Z234" s="3">
        <v>33604</v>
      </c>
      <c r="AA234" s="3">
        <v>45047</v>
      </c>
      <c r="AB234" t="s">
        <v>47</v>
      </c>
      <c r="AC234" s="3">
        <v>33604</v>
      </c>
      <c r="AD234" s="3">
        <v>45017</v>
      </c>
      <c r="AE234" t="s">
        <v>47</v>
      </c>
      <c r="AF234" t="s">
        <v>47</v>
      </c>
      <c r="AG234" t="s">
        <v>47</v>
      </c>
      <c r="AH234" t="s">
        <v>47</v>
      </c>
      <c r="AI234" t="s">
        <v>47</v>
      </c>
      <c r="AJ234" t="s">
        <v>47</v>
      </c>
      <c r="AK234" t="s">
        <v>47</v>
      </c>
      <c r="AL234" t="s">
        <v>47</v>
      </c>
      <c r="AM234" t="s">
        <v>47</v>
      </c>
      <c r="AN234" t="s">
        <v>47</v>
      </c>
      <c r="AO234" s="5" t="s">
        <v>60</v>
      </c>
      <c r="AP234" s="4" t="s">
        <v>61</v>
      </c>
      <c r="AQ234" s="4" t="s">
        <v>53</v>
      </c>
      <c r="AR234" s="4" t="s">
        <v>1098</v>
      </c>
      <c r="AS234" s="5">
        <v>46284</v>
      </c>
      <c r="AT234" t="s">
        <v>47</v>
      </c>
    </row>
    <row r="235" spans="1:46" ht="39" x14ac:dyDescent="0.3">
      <c r="A235" s="4" t="s">
        <v>1099</v>
      </c>
      <c r="B235" t="s">
        <v>47</v>
      </c>
      <c r="C235" s="4" t="s">
        <v>200</v>
      </c>
      <c r="D235" s="4" t="s">
        <v>748</v>
      </c>
      <c r="E235" s="4" t="s">
        <v>66</v>
      </c>
      <c r="F235" s="5" t="s">
        <v>1100</v>
      </c>
      <c r="G235" s="5" t="s">
        <v>1101</v>
      </c>
      <c r="H235" t="s">
        <v>47</v>
      </c>
      <c r="I235" t="s">
        <v>47</v>
      </c>
      <c r="J235" t="s">
        <v>47</v>
      </c>
      <c r="K235" t="s">
        <v>47</v>
      </c>
      <c r="L235" s="5" t="s">
        <v>60</v>
      </c>
      <c r="M235" t="s">
        <v>47</v>
      </c>
      <c r="N235" t="s">
        <v>47</v>
      </c>
      <c r="O235" t="s">
        <v>47</v>
      </c>
      <c r="P235" t="s">
        <v>47</v>
      </c>
      <c r="Q235" t="s">
        <v>47</v>
      </c>
      <c r="R235" t="s">
        <v>47</v>
      </c>
      <c r="S235" t="s">
        <v>47</v>
      </c>
      <c r="T235" t="s">
        <v>47</v>
      </c>
      <c r="U235" t="s">
        <v>47</v>
      </c>
      <c r="V235" t="s">
        <v>47</v>
      </c>
      <c r="W235" s="3">
        <v>36100</v>
      </c>
      <c r="X235" s="5" t="s">
        <v>50</v>
      </c>
      <c r="Y235" t="s">
        <v>47</v>
      </c>
      <c r="Z235" s="3">
        <v>36100</v>
      </c>
      <c r="AA235" s="5" t="s">
        <v>50</v>
      </c>
      <c r="AB235" t="s">
        <v>47</v>
      </c>
      <c r="AC235" s="3">
        <v>38353</v>
      </c>
      <c r="AD235" s="5" t="s">
        <v>50</v>
      </c>
      <c r="AE235" t="s">
        <v>47</v>
      </c>
      <c r="AF235" t="s">
        <v>47</v>
      </c>
      <c r="AG235" t="s">
        <v>47</v>
      </c>
      <c r="AH235" t="s">
        <v>47</v>
      </c>
      <c r="AI235" t="s">
        <v>47</v>
      </c>
      <c r="AJ235" t="s">
        <v>47</v>
      </c>
      <c r="AK235" t="s">
        <v>47</v>
      </c>
      <c r="AL235" t="s">
        <v>47</v>
      </c>
      <c r="AM235" t="s">
        <v>47</v>
      </c>
      <c r="AN235" t="s">
        <v>47</v>
      </c>
      <c r="AO235" s="5" t="s">
        <v>60</v>
      </c>
      <c r="AP235" s="4" t="s">
        <v>61</v>
      </c>
      <c r="AQ235" s="4" t="s">
        <v>53</v>
      </c>
      <c r="AR235" s="4" t="s">
        <v>495</v>
      </c>
      <c r="AS235" s="5">
        <v>36405</v>
      </c>
      <c r="AT235" t="s">
        <v>47</v>
      </c>
    </row>
    <row r="236" spans="1:46" ht="78" x14ac:dyDescent="0.3">
      <c r="A236" s="4" t="s">
        <v>1102</v>
      </c>
      <c r="B236" t="s">
        <v>47</v>
      </c>
      <c r="C236" s="4" t="s">
        <v>200</v>
      </c>
      <c r="D236" s="4" t="s">
        <v>1103</v>
      </c>
      <c r="E236" s="4" t="s">
        <v>66</v>
      </c>
      <c r="F236" s="5" t="s">
        <v>1104</v>
      </c>
      <c r="G236" s="5" t="s">
        <v>1105</v>
      </c>
      <c r="H236" t="s">
        <v>47</v>
      </c>
      <c r="I236" t="s">
        <v>47</v>
      </c>
      <c r="J236" t="s">
        <v>47</v>
      </c>
      <c r="K236" t="s">
        <v>47</v>
      </c>
      <c r="L236" s="5" t="s">
        <v>60</v>
      </c>
      <c r="M236" t="s">
        <v>47</v>
      </c>
      <c r="N236" t="s">
        <v>47</v>
      </c>
      <c r="O236" t="s">
        <v>47</v>
      </c>
      <c r="P236" t="s">
        <v>47</v>
      </c>
      <c r="Q236" t="s">
        <v>47</v>
      </c>
      <c r="R236" t="s">
        <v>47</v>
      </c>
      <c r="S236" t="s">
        <v>47</v>
      </c>
      <c r="T236" t="s">
        <v>47</v>
      </c>
      <c r="U236" t="s">
        <v>47</v>
      </c>
      <c r="V236" t="s">
        <v>47</v>
      </c>
      <c r="W236" s="3">
        <v>32174</v>
      </c>
      <c r="X236" s="5" t="s">
        <v>50</v>
      </c>
      <c r="Y236" t="s">
        <v>47</v>
      </c>
      <c r="Z236" s="3">
        <v>32174</v>
      </c>
      <c r="AA236" s="5" t="s">
        <v>50</v>
      </c>
      <c r="AB236" t="s">
        <v>47</v>
      </c>
      <c r="AC236" s="3">
        <v>32174</v>
      </c>
      <c r="AD236" s="5" t="s">
        <v>50</v>
      </c>
      <c r="AE236" t="s">
        <v>47</v>
      </c>
      <c r="AF236" t="s">
        <v>47</v>
      </c>
      <c r="AG236" t="s">
        <v>47</v>
      </c>
      <c r="AH236" t="s">
        <v>47</v>
      </c>
      <c r="AI236" t="s">
        <v>47</v>
      </c>
      <c r="AJ236" t="s">
        <v>47</v>
      </c>
      <c r="AK236" t="s">
        <v>47</v>
      </c>
      <c r="AL236" t="s">
        <v>47</v>
      </c>
      <c r="AM236" t="s">
        <v>47</v>
      </c>
      <c r="AN236" t="s">
        <v>47</v>
      </c>
      <c r="AO236" s="5" t="s">
        <v>60</v>
      </c>
      <c r="AP236" s="4" t="s">
        <v>61</v>
      </c>
      <c r="AQ236" s="4" t="s">
        <v>53</v>
      </c>
      <c r="AR236" s="4" t="s">
        <v>1106</v>
      </c>
      <c r="AS236" s="5">
        <v>35183</v>
      </c>
      <c r="AT236" t="s">
        <v>47</v>
      </c>
    </row>
    <row r="237" spans="1:46" ht="39" x14ac:dyDescent="0.3">
      <c r="A237" s="4" t="s">
        <v>1107</v>
      </c>
      <c r="B237" t="s">
        <v>47</v>
      </c>
      <c r="C237" s="4" t="s">
        <v>1108</v>
      </c>
      <c r="D237" s="4" t="s">
        <v>1109</v>
      </c>
      <c r="E237" s="4" t="s">
        <v>49</v>
      </c>
      <c r="F237" s="5" t="s">
        <v>1110</v>
      </c>
      <c r="G237" t="s">
        <v>47</v>
      </c>
      <c r="H237" t="s">
        <v>47</v>
      </c>
      <c r="I237" s="3">
        <v>35674</v>
      </c>
      <c r="J237" s="3">
        <v>40269</v>
      </c>
      <c r="K237" t="s">
        <v>47</v>
      </c>
      <c r="L237" s="5" t="s">
        <v>51</v>
      </c>
      <c r="M237" s="3">
        <v>35674</v>
      </c>
      <c r="N237" s="3">
        <v>40269</v>
      </c>
      <c r="O237" t="s">
        <v>47</v>
      </c>
      <c r="P237" s="3">
        <v>35674</v>
      </c>
      <c r="Q237" s="3">
        <v>40269</v>
      </c>
      <c r="R237" t="s">
        <v>47</v>
      </c>
      <c r="S237" t="s">
        <v>47</v>
      </c>
      <c r="T237" t="s">
        <v>47</v>
      </c>
      <c r="U237" t="s">
        <v>47</v>
      </c>
      <c r="V237" t="s">
        <v>47</v>
      </c>
      <c r="W237" s="3">
        <v>35065</v>
      </c>
      <c r="X237" s="3">
        <v>40269</v>
      </c>
      <c r="Y237" t="s">
        <v>47</v>
      </c>
      <c r="Z237" s="3">
        <v>35065</v>
      </c>
      <c r="AA237" s="3">
        <v>40269</v>
      </c>
      <c r="AB237" t="s">
        <v>47</v>
      </c>
      <c r="AC237" s="3">
        <v>35156</v>
      </c>
      <c r="AD237" s="3">
        <v>40269</v>
      </c>
      <c r="AE237" t="s">
        <v>47</v>
      </c>
      <c r="AF237" t="s">
        <v>47</v>
      </c>
      <c r="AG237" t="s">
        <v>47</v>
      </c>
      <c r="AH237" t="s">
        <v>47</v>
      </c>
      <c r="AI237" t="s">
        <v>47</v>
      </c>
      <c r="AJ237" t="s">
        <v>47</v>
      </c>
      <c r="AK237" t="s">
        <v>47</v>
      </c>
      <c r="AL237" t="s">
        <v>47</v>
      </c>
      <c r="AM237" t="s">
        <v>47</v>
      </c>
      <c r="AN237" t="s">
        <v>47</v>
      </c>
      <c r="AO237" s="5" t="s">
        <v>51</v>
      </c>
      <c r="AP237" s="4" t="s">
        <v>85</v>
      </c>
      <c r="AQ237" s="4" t="s">
        <v>53</v>
      </c>
      <c r="AR237" s="4" t="s">
        <v>495</v>
      </c>
      <c r="AS237" s="5">
        <v>29858</v>
      </c>
      <c r="AT237" t="s">
        <v>47</v>
      </c>
    </row>
    <row r="238" spans="1:46" ht="78" x14ac:dyDescent="0.3">
      <c r="A238" s="4" t="s">
        <v>1111</v>
      </c>
      <c r="B238" t="s">
        <v>47</v>
      </c>
      <c r="C238" s="4" t="s">
        <v>122</v>
      </c>
      <c r="D238" s="4" t="s">
        <v>206</v>
      </c>
      <c r="E238" s="4" t="s">
        <v>123</v>
      </c>
      <c r="F238" s="5" t="s">
        <v>1112</v>
      </c>
      <c r="G238" s="5" t="s">
        <v>1113</v>
      </c>
      <c r="H238" t="s">
        <v>47</v>
      </c>
      <c r="I238" s="3">
        <v>39508</v>
      </c>
      <c r="J238" s="5" t="s">
        <v>50</v>
      </c>
      <c r="K238" t="s">
        <v>47</v>
      </c>
      <c r="L238" s="5" t="s">
        <v>60</v>
      </c>
      <c r="M238" t="s">
        <v>47</v>
      </c>
      <c r="N238" t="s">
        <v>47</v>
      </c>
      <c r="O238" t="s">
        <v>47</v>
      </c>
      <c r="P238" s="3">
        <v>39508</v>
      </c>
      <c r="Q238" s="5" t="s">
        <v>50</v>
      </c>
      <c r="R238" t="s">
        <v>47</v>
      </c>
      <c r="S238" t="s">
        <v>47</v>
      </c>
      <c r="T238" t="s">
        <v>47</v>
      </c>
      <c r="U238" t="s">
        <v>47</v>
      </c>
      <c r="V238" s="5">
        <v>365</v>
      </c>
      <c r="W238" s="3">
        <v>39508</v>
      </c>
      <c r="X238" s="5" t="s">
        <v>50</v>
      </c>
      <c r="Y238" t="s">
        <v>47</v>
      </c>
      <c r="Z238" s="3">
        <v>39508</v>
      </c>
      <c r="AA238" s="5" t="s">
        <v>50</v>
      </c>
      <c r="AB238" t="s">
        <v>47</v>
      </c>
      <c r="AC238" s="3">
        <v>39508</v>
      </c>
      <c r="AD238" s="5" t="s">
        <v>50</v>
      </c>
      <c r="AE238" t="s">
        <v>47</v>
      </c>
      <c r="AF238" t="s">
        <v>47</v>
      </c>
      <c r="AG238" t="s">
        <v>47</v>
      </c>
      <c r="AH238" t="s">
        <v>47</v>
      </c>
      <c r="AI238" t="s">
        <v>47</v>
      </c>
      <c r="AJ238" t="s">
        <v>47</v>
      </c>
      <c r="AK238" t="s">
        <v>47</v>
      </c>
      <c r="AL238" t="s">
        <v>47</v>
      </c>
      <c r="AM238" t="s">
        <v>47</v>
      </c>
      <c r="AN238" t="s">
        <v>47</v>
      </c>
      <c r="AO238" s="5" t="s">
        <v>60</v>
      </c>
      <c r="AP238" s="4" t="s">
        <v>61</v>
      </c>
      <c r="AQ238" s="4" t="s">
        <v>53</v>
      </c>
      <c r="AR238" s="4" t="s">
        <v>1114</v>
      </c>
      <c r="AS238" s="5">
        <v>2043810</v>
      </c>
      <c r="AT238" t="s">
        <v>47</v>
      </c>
    </row>
    <row r="239" spans="1:46" ht="130" x14ac:dyDescent="0.3">
      <c r="A239" s="4" t="s">
        <v>1115</v>
      </c>
      <c r="B239" t="s">
        <v>47</v>
      </c>
      <c r="C239" s="4" t="s">
        <v>64</v>
      </c>
      <c r="D239" s="4" t="s">
        <v>139</v>
      </c>
      <c r="E239" s="4" t="s">
        <v>66</v>
      </c>
      <c r="F239" s="5" t="s">
        <v>1116</v>
      </c>
      <c r="G239" s="5" t="s">
        <v>1117</v>
      </c>
      <c r="H239" t="s">
        <v>47</v>
      </c>
      <c r="I239" s="3">
        <v>35796</v>
      </c>
      <c r="J239" s="3">
        <v>42278</v>
      </c>
      <c r="K239" t="s">
        <v>47</v>
      </c>
      <c r="L239" s="5" t="s">
        <v>60</v>
      </c>
      <c r="M239" t="s">
        <v>47</v>
      </c>
      <c r="N239" t="s">
        <v>47</v>
      </c>
      <c r="O239" t="s">
        <v>47</v>
      </c>
      <c r="P239" s="3">
        <v>35796</v>
      </c>
      <c r="Q239" s="3">
        <v>42278</v>
      </c>
      <c r="R239" t="s">
        <v>47</v>
      </c>
      <c r="S239" t="s">
        <v>47</v>
      </c>
      <c r="T239" t="s">
        <v>47</v>
      </c>
      <c r="U239" t="s">
        <v>47</v>
      </c>
      <c r="V239" t="s">
        <v>47</v>
      </c>
      <c r="W239" s="3">
        <v>35796</v>
      </c>
      <c r="X239" s="5" t="s">
        <v>50</v>
      </c>
      <c r="Y239" s="5" t="s">
        <v>1118</v>
      </c>
      <c r="Z239" s="3">
        <v>35796</v>
      </c>
      <c r="AA239" s="5" t="s">
        <v>50</v>
      </c>
      <c r="AB239" s="5" t="s">
        <v>1118</v>
      </c>
      <c r="AC239" s="3">
        <v>35796</v>
      </c>
      <c r="AD239" s="5" t="s">
        <v>50</v>
      </c>
      <c r="AE239" s="5" t="s">
        <v>1118</v>
      </c>
      <c r="AF239" t="s">
        <v>47</v>
      </c>
      <c r="AG239" t="s">
        <v>47</v>
      </c>
      <c r="AH239" t="s">
        <v>47</v>
      </c>
      <c r="AI239" t="s">
        <v>47</v>
      </c>
      <c r="AJ239" t="s">
        <v>47</v>
      </c>
      <c r="AK239" t="s">
        <v>47</v>
      </c>
      <c r="AL239" t="s">
        <v>47</v>
      </c>
      <c r="AM239" t="s">
        <v>47</v>
      </c>
      <c r="AN239" t="s">
        <v>47</v>
      </c>
      <c r="AO239" s="5" t="s">
        <v>60</v>
      </c>
      <c r="AP239" s="4" t="s">
        <v>61</v>
      </c>
      <c r="AQ239" s="4" t="s">
        <v>53</v>
      </c>
      <c r="AR239" s="4" t="s">
        <v>1119</v>
      </c>
      <c r="AS239" s="5">
        <v>32208</v>
      </c>
      <c r="AT239" t="s">
        <v>47</v>
      </c>
    </row>
    <row r="240" spans="1:46" ht="65" x14ac:dyDescent="0.3">
      <c r="A240" s="4" t="s">
        <v>1120</v>
      </c>
      <c r="B240" t="s">
        <v>47</v>
      </c>
      <c r="C240" s="4" t="s">
        <v>183</v>
      </c>
      <c r="D240" s="4" t="s">
        <v>333</v>
      </c>
      <c r="E240" s="4" t="s">
        <v>49</v>
      </c>
      <c r="F240" s="5" t="s">
        <v>1121</v>
      </c>
      <c r="G240" s="5" t="s">
        <v>1122</v>
      </c>
      <c r="H240" t="s">
        <v>47</v>
      </c>
      <c r="I240" t="s">
        <v>47</v>
      </c>
      <c r="J240" t="s">
        <v>47</v>
      </c>
      <c r="K240" t="s">
        <v>47</v>
      </c>
      <c r="L240" s="5" t="s">
        <v>60</v>
      </c>
      <c r="M240" t="s">
        <v>47</v>
      </c>
      <c r="N240" t="s">
        <v>47</v>
      </c>
      <c r="O240" t="s">
        <v>47</v>
      </c>
      <c r="P240" t="s">
        <v>47</v>
      </c>
      <c r="Q240" t="s">
        <v>47</v>
      </c>
      <c r="R240" t="s">
        <v>47</v>
      </c>
      <c r="S240" t="s">
        <v>47</v>
      </c>
      <c r="T240" t="s">
        <v>47</v>
      </c>
      <c r="U240" t="s">
        <v>47</v>
      </c>
      <c r="V240" t="s">
        <v>47</v>
      </c>
      <c r="W240" s="3">
        <v>35096</v>
      </c>
      <c r="X240" s="5" t="s">
        <v>50</v>
      </c>
      <c r="Y240" t="s">
        <v>47</v>
      </c>
      <c r="Z240" s="3">
        <v>35096</v>
      </c>
      <c r="AA240" s="5" t="s">
        <v>50</v>
      </c>
      <c r="AB240" t="s">
        <v>47</v>
      </c>
      <c r="AC240" s="3">
        <v>35096</v>
      </c>
      <c r="AD240" s="5" t="s">
        <v>50</v>
      </c>
      <c r="AE240" t="s">
        <v>47</v>
      </c>
      <c r="AF240" t="s">
        <v>47</v>
      </c>
      <c r="AG240" t="s">
        <v>47</v>
      </c>
      <c r="AH240" t="s">
        <v>47</v>
      </c>
      <c r="AI240" t="s">
        <v>47</v>
      </c>
      <c r="AJ240" t="s">
        <v>47</v>
      </c>
      <c r="AK240" t="s">
        <v>47</v>
      </c>
      <c r="AL240" t="s">
        <v>47</v>
      </c>
      <c r="AM240" t="s">
        <v>47</v>
      </c>
      <c r="AN240" t="s">
        <v>47</v>
      </c>
      <c r="AO240" s="5" t="s">
        <v>60</v>
      </c>
      <c r="AP240" s="4" t="s">
        <v>61</v>
      </c>
      <c r="AQ240" s="4" t="s">
        <v>53</v>
      </c>
      <c r="AR240" s="4" t="s">
        <v>1082</v>
      </c>
      <c r="AS240" s="5">
        <v>31924</v>
      </c>
      <c r="AT240" t="s">
        <v>47</v>
      </c>
    </row>
    <row r="241" spans="1:46" ht="195" x14ac:dyDescent="0.3">
      <c r="A241" s="4" t="s">
        <v>1123</v>
      </c>
      <c r="B241" t="s">
        <v>47</v>
      </c>
      <c r="C241" s="4" t="s">
        <v>122</v>
      </c>
      <c r="D241" s="4" t="s">
        <v>70</v>
      </c>
      <c r="E241" s="4" t="s">
        <v>123</v>
      </c>
      <c r="F241" s="5" t="s">
        <v>1124</v>
      </c>
      <c r="G241" s="5" t="s">
        <v>1125</v>
      </c>
      <c r="H241" t="s">
        <v>47</v>
      </c>
      <c r="I241" s="3">
        <v>35521</v>
      </c>
      <c r="J241" s="5" t="s">
        <v>50</v>
      </c>
      <c r="K241" t="s">
        <v>47</v>
      </c>
      <c r="L241" s="5" t="s">
        <v>60</v>
      </c>
      <c r="M241" s="3">
        <v>37987</v>
      </c>
      <c r="N241" s="3">
        <v>42887</v>
      </c>
      <c r="O241" t="s">
        <v>47</v>
      </c>
      <c r="P241" s="3">
        <v>35521</v>
      </c>
      <c r="Q241" s="5" t="s">
        <v>50</v>
      </c>
      <c r="R241" t="s">
        <v>47</v>
      </c>
      <c r="S241" t="s">
        <v>47</v>
      </c>
      <c r="T241" t="s">
        <v>47</v>
      </c>
      <c r="U241" t="s">
        <v>47</v>
      </c>
      <c r="V241" s="5">
        <v>365</v>
      </c>
      <c r="W241" s="3">
        <v>35521</v>
      </c>
      <c r="X241" s="5" t="s">
        <v>50</v>
      </c>
      <c r="Y241" t="s">
        <v>47</v>
      </c>
      <c r="Z241" s="3">
        <v>35521</v>
      </c>
      <c r="AA241" s="5" t="s">
        <v>50</v>
      </c>
      <c r="AB241" t="s">
        <v>47</v>
      </c>
      <c r="AC241" s="3">
        <v>35521</v>
      </c>
      <c r="AD241" s="5" t="s">
        <v>50</v>
      </c>
      <c r="AE241" t="s">
        <v>47</v>
      </c>
      <c r="AF241" t="s">
        <v>47</v>
      </c>
      <c r="AG241" t="s">
        <v>47</v>
      </c>
      <c r="AH241" t="s">
        <v>47</v>
      </c>
      <c r="AI241" t="s">
        <v>47</v>
      </c>
      <c r="AJ241" t="s">
        <v>47</v>
      </c>
      <c r="AK241" t="s">
        <v>47</v>
      </c>
      <c r="AL241" t="s">
        <v>47</v>
      </c>
      <c r="AM241" t="s">
        <v>47</v>
      </c>
      <c r="AN241" t="s">
        <v>47</v>
      </c>
      <c r="AO241" s="5" t="s">
        <v>60</v>
      </c>
      <c r="AP241" s="4" t="s">
        <v>61</v>
      </c>
      <c r="AQ241" s="4" t="s">
        <v>53</v>
      </c>
      <c r="AR241" s="4" t="s">
        <v>1126</v>
      </c>
      <c r="AS241" s="5">
        <v>54019</v>
      </c>
      <c r="AT241" t="s">
        <v>47</v>
      </c>
    </row>
    <row r="242" spans="1:46" ht="156" x14ac:dyDescent="0.3">
      <c r="A242" s="4" t="s">
        <v>1127</v>
      </c>
      <c r="B242" t="s">
        <v>47</v>
      </c>
      <c r="C242" s="4" t="s">
        <v>1128</v>
      </c>
      <c r="D242" s="4" t="s">
        <v>1129</v>
      </c>
      <c r="E242" s="4" t="s">
        <v>49</v>
      </c>
      <c r="F242" s="5" t="s">
        <v>1130</v>
      </c>
      <c r="G242" t="s">
        <v>47</v>
      </c>
      <c r="H242" t="s">
        <v>47</v>
      </c>
      <c r="I242" s="3">
        <v>34335</v>
      </c>
      <c r="J242" s="5" t="s">
        <v>50</v>
      </c>
      <c r="K242" s="5" t="s">
        <v>1131</v>
      </c>
      <c r="L242" s="5" t="s">
        <v>60</v>
      </c>
      <c r="M242" s="3">
        <v>34335</v>
      </c>
      <c r="N242" s="5" t="s">
        <v>50</v>
      </c>
      <c r="O242" s="5" t="s">
        <v>1131</v>
      </c>
      <c r="P242" s="3">
        <v>35186</v>
      </c>
      <c r="Q242" s="5" t="s">
        <v>50</v>
      </c>
      <c r="R242" s="5" t="s">
        <v>1131</v>
      </c>
      <c r="S242" t="s">
        <v>47</v>
      </c>
      <c r="T242" t="s">
        <v>47</v>
      </c>
      <c r="U242" t="s">
        <v>47</v>
      </c>
      <c r="V242" t="s">
        <v>47</v>
      </c>
      <c r="W242" s="3">
        <v>31413</v>
      </c>
      <c r="X242" s="5" t="s">
        <v>50</v>
      </c>
      <c r="Y242" t="s">
        <v>47</v>
      </c>
      <c r="Z242" s="3">
        <v>31413</v>
      </c>
      <c r="AA242" s="5" t="s">
        <v>50</v>
      </c>
      <c r="AB242" t="s">
        <v>47</v>
      </c>
      <c r="AC242" s="3">
        <v>31413</v>
      </c>
      <c r="AD242" s="5" t="s">
        <v>50</v>
      </c>
      <c r="AE242" t="s">
        <v>47</v>
      </c>
      <c r="AF242" t="s">
        <v>47</v>
      </c>
      <c r="AG242" t="s">
        <v>47</v>
      </c>
      <c r="AH242" t="s">
        <v>47</v>
      </c>
      <c r="AI242" t="s">
        <v>47</v>
      </c>
      <c r="AJ242" t="s">
        <v>47</v>
      </c>
      <c r="AK242" t="s">
        <v>47</v>
      </c>
      <c r="AL242" t="s">
        <v>47</v>
      </c>
      <c r="AM242" t="s">
        <v>47</v>
      </c>
      <c r="AN242" t="s">
        <v>47</v>
      </c>
      <c r="AO242" s="5" t="s">
        <v>60</v>
      </c>
      <c r="AP242" s="4" t="s">
        <v>61</v>
      </c>
      <c r="AQ242" s="4" t="s">
        <v>53</v>
      </c>
      <c r="AR242" s="4" t="s">
        <v>1132</v>
      </c>
      <c r="AS242" s="5">
        <v>40853</v>
      </c>
      <c r="AT242" t="s">
        <v>47</v>
      </c>
    </row>
    <row r="243" spans="1:46" ht="26" x14ac:dyDescent="0.3">
      <c r="A243" s="4" t="s">
        <v>1133</v>
      </c>
      <c r="B243" t="s">
        <v>47</v>
      </c>
      <c r="C243" s="4" t="s">
        <v>64</v>
      </c>
      <c r="D243" s="4" t="s">
        <v>139</v>
      </c>
      <c r="E243" s="4" t="s">
        <v>66</v>
      </c>
      <c r="F243" s="5" t="s">
        <v>1134</v>
      </c>
      <c r="G243" s="5" t="s">
        <v>1135</v>
      </c>
      <c r="H243" t="s">
        <v>47</v>
      </c>
      <c r="I243" t="s">
        <v>47</v>
      </c>
      <c r="J243" t="s">
        <v>47</v>
      </c>
      <c r="K243" t="s">
        <v>47</v>
      </c>
      <c r="L243" s="5" t="s">
        <v>60</v>
      </c>
      <c r="M243" t="s">
        <v>47</v>
      </c>
      <c r="N243" t="s">
        <v>47</v>
      </c>
      <c r="O243" t="s">
        <v>47</v>
      </c>
      <c r="P243" t="s">
        <v>47</v>
      </c>
      <c r="Q243" t="s">
        <v>47</v>
      </c>
      <c r="R243" t="s">
        <v>47</v>
      </c>
      <c r="S243" t="s">
        <v>47</v>
      </c>
      <c r="T243" t="s">
        <v>47</v>
      </c>
      <c r="U243" t="s">
        <v>47</v>
      </c>
      <c r="V243" t="s">
        <v>47</v>
      </c>
      <c r="W243" s="3">
        <v>34001</v>
      </c>
      <c r="X243" s="5" t="s">
        <v>50</v>
      </c>
      <c r="Y243" s="5" t="s">
        <v>1136</v>
      </c>
      <c r="Z243" s="3">
        <v>34001</v>
      </c>
      <c r="AA243" s="5" t="s">
        <v>50</v>
      </c>
      <c r="AB243" s="5" t="s">
        <v>1136</v>
      </c>
      <c r="AC243" s="3">
        <v>34001</v>
      </c>
      <c r="AD243" s="5" t="s">
        <v>50</v>
      </c>
      <c r="AE243" s="5" t="s">
        <v>1136</v>
      </c>
      <c r="AF243" t="s">
        <v>47</v>
      </c>
      <c r="AG243" t="s">
        <v>47</v>
      </c>
      <c r="AH243" t="s">
        <v>47</v>
      </c>
      <c r="AI243" t="s">
        <v>47</v>
      </c>
      <c r="AJ243" t="s">
        <v>47</v>
      </c>
      <c r="AK243" t="s">
        <v>47</v>
      </c>
      <c r="AL243" t="s">
        <v>47</v>
      </c>
      <c r="AM243" t="s">
        <v>47</v>
      </c>
      <c r="AN243" t="s">
        <v>47</v>
      </c>
      <c r="AO243" s="5" t="s">
        <v>60</v>
      </c>
      <c r="AP243" s="4" t="s">
        <v>61</v>
      </c>
      <c r="AQ243" s="4" t="s">
        <v>53</v>
      </c>
      <c r="AR243" s="4" t="s">
        <v>697</v>
      </c>
      <c r="AS243" s="5">
        <v>46519</v>
      </c>
      <c r="AT243" t="s">
        <v>47</v>
      </c>
    </row>
    <row r="244" spans="1:46" ht="52" x14ac:dyDescent="0.3">
      <c r="A244" s="4" t="s">
        <v>1137</v>
      </c>
      <c r="B244" t="s">
        <v>47</v>
      </c>
      <c r="C244" s="4" t="s">
        <v>169</v>
      </c>
      <c r="D244" s="4" t="s">
        <v>1138</v>
      </c>
      <c r="E244" s="4" t="s">
        <v>66</v>
      </c>
      <c r="F244" s="5" t="s">
        <v>1139</v>
      </c>
      <c r="G244" s="5" t="s">
        <v>1140</v>
      </c>
      <c r="H244" t="s">
        <v>47</v>
      </c>
      <c r="I244" s="3">
        <v>32174</v>
      </c>
      <c r="J244" s="3">
        <v>41944</v>
      </c>
      <c r="K244" t="s">
        <v>47</v>
      </c>
      <c r="L244" s="5" t="s">
        <v>60</v>
      </c>
      <c r="M244" s="3">
        <v>34790</v>
      </c>
      <c r="N244" s="3">
        <v>41944</v>
      </c>
      <c r="O244" t="s">
        <v>47</v>
      </c>
      <c r="P244" s="3">
        <v>32174</v>
      </c>
      <c r="Q244" s="3">
        <v>41944</v>
      </c>
      <c r="R244" t="s">
        <v>47</v>
      </c>
      <c r="S244" t="s">
        <v>47</v>
      </c>
      <c r="T244" t="s">
        <v>47</v>
      </c>
      <c r="U244" t="s">
        <v>47</v>
      </c>
      <c r="V244" t="s">
        <v>47</v>
      </c>
      <c r="W244" s="3">
        <v>31413</v>
      </c>
      <c r="X244" s="5" t="s">
        <v>50</v>
      </c>
      <c r="Y244" t="s">
        <v>47</v>
      </c>
      <c r="Z244" s="3">
        <v>31413</v>
      </c>
      <c r="AA244" s="5" t="s">
        <v>50</v>
      </c>
      <c r="AB244" t="s">
        <v>47</v>
      </c>
      <c r="AC244" s="3">
        <v>31413</v>
      </c>
      <c r="AD244" s="5" t="s">
        <v>50</v>
      </c>
      <c r="AE244" t="s">
        <v>47</v>
      </c>
      <c r="AF244" t="s">
        <v>47</v>
      </c>
      <c r="AG244" t="s">
        <v>47</v>
      </c>
      <c r="AH244" t="s">
        <v>47</v>
      </c>
      <c r="AI244" t="s">
        <v>47</v>
      </c>
      <c r="AJ244" t="s">
        <v>47</v>
      </c>
      <c r="AK244" t="s">
        <v>47</v>
      </c>
      <c r="AL244" t="s">
        <v>47</v>
      </c>
      <c r="AM244" t="s">
        <v>47</v>
      </c>
      <c r="AN244" t="s">
        <v>47</v>
      </c>
      <c r="AO244" s="5" t="s">
        <v>60</v>
      </c>
      <c r="AP244" s="4" t="s">
        <v>61</v>
      </c>
      <c r="AQ244" s="4" t="s">
        <v>53</v>
      </c>
      <c r="AR244" s="4" t="s">
        <v>327</v>
      </c>
      <c r="AS244" s="5">
        <v>41055</v>
      </c>
      <c r="AT244" t="s">
        <v>47</v>
      </c>
    </row>
    <row r="245" spans="1:46" ht="78" x14ac:dyDescent="0.3">
      <c r="A245" s="4" t="s">
        <v>1141</v>
      </c>
      <c r="B245" t="s">
        <v>47</v>
      </c>
      <c r="C245" s="4" t="s">
        <v>382</v>
      </c>
      <c r="D245" s="4" t="s">
        <v>324</v>
      </c>
      <c r="E245" s="4" t="s">
        <v>49</v>
      </c>
      <c r="F245" s="5" t="s">
        <v>1142</v>
      </c>
      <c r="G245" s="5" t="s">
        <v>1143</v>
      </c>
      <c r="H245" t="s">
        <v>47</v>
      </c>
      <c r="I245" s="3">
        <v>39539</v>
      </c>
      <c r="J245" s="5" t="s">
        <v>50</v>
      </c>
      <c r="K245" t="s">
        <v>47</v>
      </c>
      <c r="L245" s="5" t="s">
        <v>60</v>
      </c>
      <c r="M245" s="3">
        <v>39539</v>
      </c>
      <c r="N245" s="5" t="s">
        <v>50</v>
      </c>
      <c r="O245" t="s">
        <v>47</v>
      </c>
      <c r="P245" s="3">
        <v>39539</v>
      </c>
      <c r="Q245" s="5" t="s">
        <v>50</v>
      </c>
      <c r="R245" t="s">
        <v>47</v>
      </c>
      <c r="S245" t="s">
        <v>47</v>
      </c>
      <c r="T245" t="s">
        <v>47</v>
      </c>
      <c r="U245" t="s">
        <v>47</v>
      </c>
      <c r="V245" t="s">
        <v>47</v>
      </c>
      <c r="W245" s="3">
        <v>39539</v>
      </c>
      <c r="X245" s="5" t="s">
        <v>50</v>
      </c>
      <c r="Y245" t="s">
        <v>47</v>
      </c>
      <c r="Z245" s="3">
        <v>39539</v>
      </c>
      <c r="AA245" s="5" t="s">
        <v>50</v>
      </c>
      <c r="AB245" t="s">
        <v>47</v>
      </c>
      <c r="AC245" s="3">
        <v>41244</v>
      </c>
      <c r="AD245" s="5" t="s">
        <v>50</v>
      </c>
      <c r="AE245" t="s">
        <v>47</v>
      </c>
      <c r="AF245" t="s">
        <v>47</v>
      </c>
      <c r="AG245" t="s">
        <v>47</v>
      </c>
      <c r="AH245" t="s">
        <v>47</v>
      </c>
      <c r="AI245" t="s">
        <v>47</v>
      </c>
      <c r="AJ245" t="s">
        <v>47</v>
      </c>
      <c r="AK245" t="s">
        <v>47</v>
      </c>
      <c r="AL245" t="s">
        <v>47</v>
      </c>
      <c r="AM245" t="s">
        <v>47</v>
      </c>
      <c r="AN245" t="s">
        <v>47</v>
      </c>
      <c r="AO245" s="5" t="s">
        <v>60</v>
      </c>
      <c r="AP245" s="4" t="s">
        <v>61</v>
      </c>
      <c r="AQ245" s="4" t="s">
        <v>53</v>
      </c>
      <c r="AR245" s="4" t="s">
        <v>1144</v>
      </c>
      <c r="AS245" s="5">
        <v>52910</v>
      </c>
      <c r="AT245" t="s">
        <v>47</v>
      </c>
    </row>
    <row r="246" spans="1:46" ht="39" x14ac:dyDescent="0.3">
      <c r="A246" s="4" t="s">
        <v>1145</v>
      </c>
      <c r="B246" t="s">
        <v>47</v>
      </c>
      <c r="C246" s="4" t="s">
        <v>747</v>
      </c>
      <c r="D246" s="4" t="s">
        <v>748</v>
      </c>
      <c r="E246" s="4" t="s">
        <v>49</v>
      </c>
      <c r="F246" s="5" t="s">
        <v>1146</v>
      </c>
      <c r="G246" s="5" t="s">
        <v>1147</v>
      </c>
      <c r="H246" t="s">
        <v>47</v>
      </c>
      <c r="I246" s="3">
        <v>35521</v>
      </c>
      <c r="J246" s="3">
        <v>41183</v>
      </c>
      <c r="K246" t="s">
        <v>47</v>
      </c>
      <c r="L246" s="5" t="s">
        <v>60</v>
      </c>
      <c r="M246" s="3">
        <v>35521</v>
      </c>
      <c r="N246" s="3">
        <v>41183</v>
      </c>
      <c r="O246" t="s">
        <v>47</v>
      </c>
      <c r="P246" s="3">
        <v>35521</v>
      </c>
      <c r="Q246" s="3">
        <v>41183</v>
      </c>
      <c r="R246" t="s">
        <v>47</v>
      </c>
      <c r="S246" t="s">
        <v>47</v>
      </c>
      <c r="T246" t="s">
        <v>47</v>
      </c>
      <c r="U246" t="s">
        <v>47</v>
      </c>
      <c r="V246" t="s">
        <v>47</v>
      </c>
      <c r="W246" s="3">
        <v>35521</v>
      </c>
      <c r="X246" s="5" t="s">
        <v>50</v>
      </c>
      <c r="Y246" t="s">
        <v>47</v>
      </c>
      <c r="Z246" s="3">
        <v>35521</v>
      </c>
      <c r="AA246" s="5" t="s">
        <v>50</v>
      </c>
      <c r="AB246" t="s">
        <v>47</v>
      </c>
      <c r="AC246" s="3">
        <v>37987</v>
      </c>
      <c r="AD246" s="5" t="s">
        <v>50</v>
      </c>
      <c r="AE246" t="s">
        <v>47</v>
      </c>
      <c r="AF246" t="s">
        <v>47</v>
      </c>
      <c r="AG246" t="s">
        <v>47</v>
      </c>
      <c r="AH246" t="s">
        <v>47</v>
      </c>
      <c r="AI246" t="s">
        <v>47</v>
      </c>
      <c r="AJ246" t="s">
        <v>47</v>
      </c>
      <c r="AK246" t="s">
        <v>47</v>
      </c>
      <c r="AL246" t="s">
        <v>47</v>
      </c>
      <c r="AM246" t="s">
        <v>47</v>
      </c>
      <c r="AN246" t="s">
        <v>47</v>
      </c>
      <c r="AO246" s="5" t="s">
        <v>60</v>
      </c>
      <c r="AP246" s="4" t="s">
        <v>61</v>
      </c>
      <c r="AQ246" s="4" t="s">
        <v>53</v>
      </c>
      <c r="AR246" s="4" t="s">
        <v>1148</v>
      </c>
      <c r="AS246" s="5">
        <v>26011</v>
      </c>
      <c r="AT246" t="s">
        <v>47</v>
      </c>
    </row>
    <row r="247" spans="1:46" ht="39" x14ac:dyDescent="0.3">
      <c r="A247" s="4" t="s">
        <v>1149</v>
      </c>
      <c r="B247" t="s">
        <v>47</v>
      </c>
      <c r="C247" s="4" t="s">
        <v>397</v>
      </c>
      <c r="D247" s="4" t="s">
        <v>1150</v>
      </c>
      <c r="E247" s="4" t="s">
        <v>66</v>
      </c>
      <c r="F247" s="5" t="s">
        <v>1151</v>
      </c>
      <c r="G247" s="5" t="s">
        <v>1152</v>
      </c>
      <c r="H247" t="s">
        <v>47</v>
      </c>
      <c r="I247" s="3">
        <v>40634</v>
      </c>
      <c r="J247" s="3">
        <v>44166</v>
      </c>
      <c r="K247" t="s">
        <v>47</v>
      </c>
      <c r="L247" s="5" t="s">
        <v>60</v>
      </c>
      <c r="M247" s="3">
        <v>40969</v>
      </c>
      <c r="N247" s="3">
        <v>44166</v>
      </c>
      <c r="O247" t="s">
        <v>47</v>
      </c>
      <c r="P247" s="3">
        <v>40634</v>
      </c>
      <c r="Q247" s="3">
        <v>44166</v>
      </c>
      <c r="R247" t="s">
        <v>47</v>
      </c>
      <c r="S247" t="s">
        <v>47</v>
      </c>
      <c r="T247" t="s">
        <v>47</v>
      </c>
      <c r="U247" t="s">
        <v>47</v>
      </c>
      <c r="V247" t="s">
        <v>47</v>
      </c>
      <c r="W247" s="3">
        <v>40634</v>
      </c>
      <c r="X247" s="3">
        <v>44166</v>
      </c>
      <c r="Y247" t="s">
        <v>47</v>
      </c>
      <c r="Z247" s="3">
        <v>40634</v>
      </c>
      <c r="AA247" s="3">
        <v>44166</v>
      </c>
      <c r="AB247" t="s">
        <v>47</v>
      </c>
      <c r="AC247" s="3">
        <v>40634</v>
      </c>
      <c r="AD247" s="3">
        <v>44166</v>
      </c>
      <c r="AE247" t="s">
        <v>47</v>
      </c>
      <c r="AF247" t="s">
        <v>47</v>
      </c>
      <c r="AG247" t="s">
        <v>47</v>
      </c>
      <c r="AH247" t="s">
        <v>47</v>
      </c>
      <c r="AI247" t="s">
        <v>47</v>
      </c>
      <c r="AJ247" t="s">
        <v>47</v>
      </c>
      <c r="AK247" t="s">
        <v>47</v>
      </c>
      <c r="AL247" t="s">
        <v>47</v>
      </c>
      <c r="AM247" t="s">
        <v>47</v>
      </c>
      <c r="AN247" t="s">
        <v>47</v>
      </c>
      <c r="AO247" s="5" t="s">
        <v>60</v>
      </c>
      <c r="AP247" s="4" t="s">
        <v>61</v>
      </c>
      <c r="AQ247" s="4" t="s">
        <v>53</v>
      </c>
      <c r="AR247" s="4" t="s">
        <v>1153</v>
      </c>
      <c r="AS247" s="5">
        <v>1586358</v>
      </c>
      <c r="AT247" t="s">
        <v>47</v>
      </c>
    </row>
    <row r="248" spans="1:46" ht="65" x14ac:dyDescent="0.3">
      <c r="A248" s="4" t="s">
        <v>1154</v>
      </c>
      <c r="B248" t="s">
        <v>47</v>
      </c>
      <c r="C248" s="4" t="s">
        <v>1155</v>
      </c>
      <c r="D248" s="4" t="s">
        <v>88</v>
      </c>
      <c r="E248" s="4" t="s">
        <v>49</v>
      </c>
      <c r="F248" s="5" t="s">
        <v>1156</v>
      </c>
      <c r="G248" s="5" t="s">
        <v>1157</v>
      </c>
      <c r="H248" t="s">
        <v>47</v>
      </c>
      <c r="I248" s="3">
        <v>32143</v>
      </c>
      <c r="J248" s="3">
        <v>35431</v>
      </c>
      <c r="K248" t="s">
        <v>47</v>
      </c>
      <c r="L248" s="5" t="s">
        <v>51</v>
      </c>
      <c r="M248" s="3">
        <v>33604</v>
      </c>
      <c r="N248" s="3">
        <v>35431</v>
      </c>
      <c r="O248" t="s">
        <v>47</v>
      </c>
      <c r="P248" s="3">
        <v>32143</v>
      </c>
      <c r="Q248" s="3">
        <v>35431</v>
      </c>
      <c r="R248" s="5" t="s">
        <v>1136</v>
      </c>
      <c r="S248" t="s">
        <v>47</v>
      </c>
      <c r="T248" t="s">
        <v>47</v>
      </c>
      <c r="U248" t="s">
        <v>47</v>
      </c>
      <c r="V248" t="s">
        <v>47</v>
      </c>
      <c r="W248" s="3">
        <v>32143</v>
      </c>
      <c r="X248" s="3">
        <v>35431</v>
      </c>
      <c r="Y248" t="s">
        <v>47</v>
      </c>
      <c r="Z248" s="3">
        <v>32143</v>
      </c>
      <c r="AA248" s="3">
        <v>35431</v>
      </c>
      <c r="AB248" t="s">
        <v>47</v>
      </c>
      <c r="AC248" s="3">
        <v>32143</v>
      </c>
      <c r="AD248" s="3">
        <v>35431</v>
      </c>
      <c r="AE248" t="s">
        <v>47</v>
      </c>
      <c r="AF248" t="s">
        <v>47</v>
      </c>
      <c r="AG248" t="s">
        <v>47</v>
      </c>
      <c r="AH248" t="s">
        <v>47</v>
      </c>
      <c r="AI248" t="s">
        <v>47</v>
      </c>
      <c r="AJ248" t="s">
        <v>47</v>
      </c>
      <c r="AK248" t="s">
        <v>47</v>
      </c>
      <c r="AL248" t="s">
        <v>47</v>
      </c>
      <c r="AM248" t="s">
        <v>47</v>
      </c>
      <c r="AN248" t="s">
        <v>47</v>
      </c>
      <c r="AO248" s="5" t="s">
        <v>51</v>
      </c>
      <c r="AP248" s="4" t="s">
        <v>85</v>
      </c>
      <c r="AQ248" s="4" t="s">
        <v>53</v>
      </c>
      <c r="AR248" s="4" t="s">
        <v>1158</v>
      </c>
      <c r="AS248" s="5">
        <v>48923</v>
      </c>
      <c r="AT248" t="s">
        <v>47</v>
      </c>
    </row>
    <row r="249" spans="1:46" ht="78" x14ac:dyDescent="0.3">
      <c r="A249" s="4" t="s">
        <v>1159</v>
      </c>
      <c r="B249" t="s">
        <v>47</v>
      </c>
      <c r="C249" s="4" t="s">
        <v>169</v>
      </c>
      <c r="D249" s="4" t="s">
        <v>339</v>
      </c>
      <c r="E249" s="4" t="s">
        <v>66</v>
      </c>
      <c r="F249" s="5" t="s">
        <v>1160</v>
      </c>
      <c r="G249" s="5" t="s">
        <v>1161</v>
      </c>
      <c r="H249" t="s">
        <v>47</v>
      </c>
      <c r="I249" t="s">
        <v>47</v>
      </c>
      <c r="J249" t="s">
        <v>47</v>
      </c>
      <c r="K249" t="s">
        <v>47</v>
      </c>
      <c r="L249" s="5" t="s">
        <v>60</v>
      </c>
      <c r="M249" t="s">
        <v>47</v>
      </c>
      <c r="N249" t="s">
        <v>47</v>
      </c>
      <c r="O249" t="s">
        <v>47</v>
      </c>
      <c r="P249" t="s">
        <v>47</v>
      </c>
      <c r="Q249" t="s">
        <v>47</v>
      </c>
      <c r="R249" t="s">
        <v>47</v>
      </c>
      <c r="S249" t="s">
        <v>47</v>
      </c>
      <c r="T249" t="s">
        <v>47</v>
      </c>
      <c r="U249" t="s">
        <v>47</v>
      </c>
      <c r="V249" t="s">
        <v>47</v>
      </c>
      <c r="W249" s="3">
        <v>40210</v>
      </c>
      <c r="X249" s="5" t="s">
        <v>50</v>
      </c>
      <c r="Y249" t="s">
        <v>47</v>
      </c>
      <c r="Z249" s="3">
        <v>40210</v>
      </c>
      <c r="AA249" s="5" t="s">
        <v>50</v>
      </c>
      <c r="AB249" t="s">
        <v>47</v>
      </c>
      <c r="AC249" s="3">
        <v>40210</v>
      </c>
      <c r="AD249" s="5" t="s">
        <v>50</v>
      </c>
      <c r="AE249" t="s">
        <v>47</v>
      </c>
      <c r="AF249" t="s">
        <v>47</v>
      </c>
      <c r="AG249" t="s">
        <v>47</v>
      </c>
      <c r="AH249" t="s">
        <v>47</v>
      </c>
      <c r="AI249" t="s">
        <v>47</v>
      </c>
      <c r="AJ249" t="s">
        <v>47</v>
      </c>
      <c r="AK249" t="s">
        <v>47</v>
      </c>
      <c r="AL249" t="s">
        <v>47</v>
      </c>
      <c r="AM249" t="s">
        <v>47</v>
      </c>
      <c r="AN249" t="s">
        <v>47</v>
      </c>
      <c r="AO249" s="5" t="s">
        <v>60</v>
      </c>
      <c r="AP249" s="4" t="s">
        <v>61</v>
      </c>
      <c r="AQ249" s="4" t="s">
        <v>53</v>
      </c>
      <c r="AR249" s="4" t="s">
        <v>1162</v>
      </c>
      <c r="AS249" s="5">
        <v>186225</v>
      </c>
      <c r="AT249" t="s">
        <v>47</v>
      </c>
    </row>
    <row r="250" spans="1:46" ht="13" x14ac:dyDescent="0.3">
      <c r="A250" s="4" t="s">
        <v>1163</v>
      </c>
      <c r="B250" t="s">
        <v>47</v>
      </c>
      <c r="C250" s="4" t="s">
        <v>884</v>
      </c>
      <c r="D250" s="4" t="s">
        <v>885</v>
      </c>
      <c r="E250" s="4" t="s">
        <v>49</v>
      </c>
      <c r="F250" s="5" t="s">
        <v>1164</v>
      </c>
      <c r="G250" s="5" t="s">
        <v>1165</v>
      </c>
      <c r="H250" t="s">
        <v>47</v>
      </c>
      <c r="I250" s="3">
        <v>35796</v>
      </c>
      <c r="J250" s="5" t="s">
        <v>50</v>
      </c>
      <c r="K250" t="s">
        <v>47</v>
      </c>
      <c r="L250" s="5" t="s">
        <v>60</v>
      </c>
      <c r="M250" s="3">
        <v>35796</v>
      </c>
      <c r="N250" s="5" t="s">
        <v>50</v>
      </c>
      <c r="O250" t="s">
        <v>47</v>
      </c>
      <c r="P250" s="3">
        <v>35796</v>
      </c>
      <c r="Q250" s="5" t="s">
        <v>50</v>
      </c>
      <c r="R250" t="s">
        <v>47</v>
      </c>
      <c r="S250" t="s">
        <v>47</v>
      </c>
      <c r="T250" t="s">
        <v>47</v>
      </c>
      <c r="U250" t="s">
        <v>47</v>
      </c>
      <c r="V250" s="5">
        <v>365</v>
      </c>
      <c r="W250" s="3">
        <v>33239</v>
      </c>
      <c r="X250" s="5" t="s">
        <v>50</v>
      </c>
      <c r="Y250" t="s">
        <v>47</v>
      </c>
      <c r="Z250" s="3">
        <v>33239</v>
      </c>
      <c r="AA250" s="5" t="s">
        <v>50</v>
      </c>
      <c r="AB250" t="s">
        <v>47</v>
      </c>
      <c r="AC250" s="3">
        <v>33239</v>
      </c>
      <c r="AD250" s="5" t="s">
        <v>50</v>
      </c>
      <c r="AE250" t="s">
        <v>47</v>
      </c>
      <c r="AF250" t="s">
        <v>47</v>
      </c>
      <c r="AG250" t="s">
        <v>47</v>
      </c>
      <c r="AH250" t="s">
        <v>47</v>
      </c>
      <c r="AI250" t="s">
        <v>47</v>
      </c>
      <c r="AJ250" t="s">
        <v>47</v>
      </c>
      <c r="AK250" t="s">
        <v>47</v>
      </c>
      <c r="AL250" t="s">
        <v>47</v>
      </c>
      <c r="AM250" t="s">
        <v>47</v>
      </c>
      <c r="AN250" t="s">
        <v>47</v>
      </c>
      <c r="AO250" s="5" t="s">
        <v>60</v>
      </c>
      <c r="AP250" s="4" t="s">
        <v>61</v>
      </c>
      <c r="AQ250" s="4" t="s">
        <v>53</v>
      </c>
      <c r="AR250" s="4" t="s">
        <v>1166</v>
      </c>
      <c r="AS250" s="5">
        <v>3463</v>
      </c>
      <c r="AT250" t="s">
        <v>47</v>
      </c>
    </row>
    <row r="251" spans="1:46" ht="39" x14ac:dyDescent="0.3">
      <c r="A251" s="4" t="s">
        <v>1167</v>
      </c>
      <c r="B251" t="s">
        <v>47</v>
      </c>
      <c r="C251" s="4" t="s">
        <v>928</v>
      </c>
      <c r="D251" s="4" t="s">
        <v>1168</v>
      </c>
      <c r="E251" s="4" t="s">
        <v>49</v>
      </c>
      <c r="F251" t="s">
        <v>47</v>
      </c>
      <c r="G251" t="s">
        <v>47</v>
      </c>
      <c r="H251" s="5" t="s">
        <v>1169</v>
      </c>
      <c r="I251" t="s">
        <v>47</v>
      </c>
      <c r="J251" t="s">
        <v>47</v>
      </c>
      <c r="K251" t="s">
        <v>47</v>
      </c>
      <c r="L251" s="5" t="s">
        <v>51</v>
      </c>
      <c r="M251" t="s">
        <v>47</v>
      </c>
      <c r="N251" t="s">
        <v>47</v>
      </c>
      <c r="O251" t="s">
        <v>47</v>
      </c>
      <c r="P251" t="s">
        <v>47</v>
      </c>
      <c r="Q251" t="s">
        <v>47</v>
      </c>
      <c r="R251" t="s">
        <v>47</v>
      </c>
      <c r="S251" t="s">
        <v>47</v>
      </c>
      <c r="T251" t="s">
        <v>47</v>
      </c>
      <c r="U251" t="s">
        <v>47</v>
      </c>
      <c r="V251" t="s">
        <v>47</v>
      </c>
      <c r="W251" s="3">
        <v>37987</v>
      </c>
      <c r="X251" s="3">
        <v>37987</v>
      </c>
      <c r="Y251" t="s">
        <v>47</v>
      </c>
      <c r="Z251" s="3">
        <v>37987</v>
      </c>
      <c r="AA251" s="3">
        <v>37987</v>
      </c>
      <c r="AB251" t="s">
        <v>47</v>
      </c>
      <c r="AC251" t="s">
        <v>47</v>
      </c>
      <c r="AD251" t="s">
        <v>47</v>
      </c>
      <c r="AE251" t="s">
        <v>47</v>
      </c>
      <c r="AF251" t="s">
        <v>47</v>
      </c>
      <c r="AG251" t="s">
        <v>47</v>
      </c>
      <c r="AH251" t="s">
        <v>47</v>
      </c>
      <c r="AI251" t="s">
        <v>47</v>
      </c>
      <c r="AJ251" t="s">
        <v>47</v>
      </c>
      <c r="AK251" t="s">
        <v>47</v>
      </c>
      <c r="AL251" t="s">
        <v>47</v>
      </c>
      <c r="AM251" t="s">
        <v>47</v>
      </c>
      <c r="AN251" t="s">
        <v>47</v>
      </c>
      <c r="AO251" s="5" t="s">
        <v>51</v>
      </c>
      <c r="AP251" s="4" t="s">
        <v>1170</v>
      </c>
      <c r="AQ251" s="4" t="s">
        <v>53</v>
      </c>
      <c r="AR251" s="4" t="s">
        <v>1171</v>
      </c>
      <c r="AS251" s="5">
        <v>39680</v>
      </c>
      <c r="AT251" t="s">
        <v>47</v>
      </c>
    </row>
    <row r="252" spans="1:46" ht="65" x14ac:dyDescent="0.3">
      <c r="A252" s="4" t="s">
        <v>1172</v>
      </c>
      <c r="B252" t="s">
        <v>47</v>
      </c>
      <c r="C252" s="4" t="s">
        <v>1128</v>
      </c>
      <c r="D252" s="4" t="s">
        <v>88</v>
      </c>
      <c r="E252" s="4" t="s">
        <v>49</v>
      </c>
      <c r="F252" s="5" t="s">
        <v>1173</v>
      </c>
      <c r="G252" s="5" t="s">
        <v>1174</v>
      </c>
      <c r="H252" t="s">
        <v>47</v>
      </c>
      <c r="I252" s="3">
        <v>37865</v>
      </c>
      <c r="J252" s="3">
        <v>43922</v>
      </c>
      <c r="K252" s="5" t="s">
        <v>1175</v>
      </c>
      <c r="L252" s="5" t="s">
        <v>51</v>
      </c>
      <c r="M252" s="3">
        <v>37865</v>
      </c>
      <c r="N252" s="3">
        <v>43922</v>
      </c>
      <c r="O252" s="5" t="s">
        <v>1175</v>
      </c>
      <c r="P252" s="3">
        <v>37865</v>
      </c>
      <c r="Q252" s="3">
        <v>43922</v>
      </c>
      <c r="R252" s="5" t="s">
        <v>1175</v>
      </c>
      <c r="S252" t="s">
        <v>47</v>
      </c>
      <c r="T252" t="s">
        <v>47</v>
      </c>
      <c r="U252" t="s">
        <v>47</v>
      </c>
      <c r="V252" t="s">
        <v>47</v>
      </c>
      <c r="W252" s="3">
        <v>37865</v>
      </c>
      <c r="X252" s="3">
        <v>43922</v>
      </c>
      <c r="Y252" s="5" t="s">
        <v>1175</v>
      </c>
      <c r="Z252" s="3">
        <v>37865</v>
      </c>
      <c r="AA252" s="3">
        <v>43922</v>
      </c>
      <c r="AB252" s="5" t="s">
        <v>1175</v>
      </c>
      <c r="AC252" s="3">
        <v>37865</v>
      </c>
      <c r="AD252" s="3">
        <v>43922</v>
      </c>
      <c r="AE252" s="5" t="s">
        <v>1175</v>
      </c>
      <c r="AF252" t="s">
        <v>47</v>
      </c>
      <c r="AG252" t="s">
        <v>47</v>
      </c>
      <c r="AH252" t="s">
        <v>47</v>
      </c>
      <c r="AI252" t="s">
        <v>47</v>
      </c>
      <c r="AJ252" t="s">
        <v>47</v>
      </c>
      <c r="AK252" t="s">
        <v>47</v>
      </c>
      <c r="AL252" t="s">
        <v>47</v>
      </c>
      <c r="AM252" t="s">
        <v>47</v>
      </c>
      <c r="AN252" t="s">
        <v>47</v>
      </c>
      <c r="AO252" s="5" t="s">
        <v>51</v>
      </c>
      <c r="AP252" s="4" t="s">
        <v>135</v>
      </c>
      <c r="AQ252" s="4" t="s">
        <v>53</v>
      </c>
      <c r="AR252" s="4" t="s">
        <v>1089</v>
      </c>
      <c r="AS252" s="5">
        <v>30208</v>
      </c>
      <c r="AT252" t="s">
        <v>47</v>
      </c>
    </row>
    <row r="253" spans="1:46" ht="26" x14ac:dyDescent="0.3">
      <c r="A253" s="4" t="s">
        <v>1176</v>
      </c>
      <c r="B253" t="s">
        <v>47</v>
      </c>
      <c r="C253" s="4" t="s">
        <v>64</v>
      </c>
      <c r="D253" s="4" t="s">
        <v>1177</v>
      </c>
      <c r="E253" s="4" t="s">
        <v>66</v>
      </c>
      <c r="F253" s="5" t="s">
        <v>1178</v>
      </c>
      <c r="G253" s="5" t="s">
        <v>1179</v>
      </c>
      <c r="H253" t="s">
        <v>47</v>
      </c>
      <c r="I253" s="3">
        <v>36434</v>
      </c>
      <c r="J253" s="3">
        <v>43800</v>
      </c>
      <c r="K253" t="s">
        <v>47</v>
      </c>
      <c r="L253" s="5" t="s">
        <v>60</v>
      </c>
      <c r="M253" s="3">
        <v>36434</v>
      </c>
      <c r="N253" s="3">
        <v>43800</v>
      </c>
      <c r="O253" t="s">
        <v>47</v>
      </c>
      <c r="P253" s="3">
        <v>36434</v>
      </c>
      <c r="Q253" s="3">
        <v>43800</v>
      </c>
      <c r="R253" t="s">
        <v>47</v>
      </c>
      <c r="S253" t="s">
        <v>47</v>
      </c>
      <c r="T253" t="s">
        <v>47</v>
      </c>
      <c r="U253" t="s">
        <v>47</v>
      </c>
      <c r="V253" t="s">
        <v>47</v>
      </c>
      <c r="W253" s="3">
        <v>36434</v>
      </c>
      <c r="X253" s="5" t="s">
        <v>50</v>
      </c>
      <c r="Y253" t="s">
        <v>47</v>
      </c>
      <c r="Z253" s="3">
        <v>36434</v>
      </c>
      <c r="AA253" s="5" t="s">
        <v>50</v>
      </c>
      <c r="AB253" t="s">
        <v>47</v>
      </c>
      <c r="AC253" s="3">
        <v>37895</v>
      </c>
      <c r="AD253" s="5" t="s">
        <v>50</v>
      </c>
      <c r="AE253" t="s">
        <v>47</v>
      </c>
      <c r="AF253" t="s">
        <v>47</v>
      </c>
      <c r="AG253" t="s">
        <v>47</v>
      </c>
      <c r="AH253" t="s">
        <v>47</v>
      </c>
      <c r="AI253" t="s">
        <v>47</v>
      </c>
      <c r="AJ253" t="s">
        <v>47</v>
      </c>
      <c r="AK253" t="s">
        <v>47</v>
      </c>
      <c r="AL253" t="s">
        <v>47</v>
      </c>
      <c r="AM253" t="s">
        <v>47</v>
      </c>
      <c r="AN253" t="s">
        <v>47</v>
      </c>
      <c r="AO253" s="5" t="s">
        <v>60</v>
      </c>
      <c r="AP253" s="4" t="s">
        <v>61</v>
      </c>
      <c r="AQ253" s="4" t="s">
        <v>53</v>
      </c>
      <c r="AR253" s="4" t="s">
        <v>831</v>
      </c>
      <c r="AS253" s="5">
        <v>38112</v>
      </c>
      <c r="AT253" t="s">
        <v>47</v>
      </c>
    </row>
    <row r="254" spans="1:46" ht="26" x14ac:dyDescent="0.3">
      <c r="A254" s="4" t="s">
        <v>1180</v>
      </c>
      <c r="B254" t="s">
        <v>47</v>
      </c>
      <c r="C254" s="4" t="s">
        <v>169</v>
      </c>
      <c r="D254" s="4" t="s">
        <v>319</v>
      </c>
      <c r="E254" s="4" t="s">
        <v>66</v>
      </c>
      <c r="F254" s="5" t="s">
        <v>1181</v>
      </c>
      <c r="G254" s="5" t="s">
        <v>1182</v>
      </c>
      <c r="H254" t="s">
        <v>47</v>
      </c>
      <c r="I254" t="s">
        <v>47</v>
      </c>
      <c r="J254" t="s">
        <v>47</v>
      </c>
      <c r="K254" t="s">
        <v>47</v>
      </c>
      <c r="L254" s="5" t="s">
        <v>60</v>
      </c>
      <c r="M254" t="s">
        <v>47</v>
      </c>
      <c r="N254" t="s">
        <v>47</v>
      </c>
      <c r="O254" t="s">
        <v>47</v>
      </c>
      <c r="P254" t="s">
        <v>47</v>
      </c>
      <c r="Q254" t="s">
        <v>47</v>
      </c>
      <c r="R254" t="s">
        <v>47</v>
      </c>
      <c r="S254" t="s">
        <v>47</v>
      </c>
      <c r="T254" t="s">
        <v>47</v>
      </c>
      <c r="U254" t="s">
        <v>47</v>
      </c>
      <c r="V254" t="s">
        <v>47</v>
      </c>
      <c r="W254" s="3">
        <v>40179</v>
      </c>
      <c r="X254" s="5" t="s">
        <v>50</v>
      </c>
      <c r="Y254" s="5" t="s">
        <v>811</v>
      </c>
      <c r="Z254" s="3">
        <v>40179</v>
      </c>
      <c r="AA254" s="5" t="s">
        <v>50</v>
      </c>
      <c r="AB254" s="5" t="s">
        <v>811</v>
      </c>
      <c r="AC254" s="3">
        <v>40179</v>
      </c>
      <c r="AD254" s="5" t="s">
        <v>50</v>
      </c>
      <c r="AE254" s="5" t="s">
        <v>811</v>
      </c>
      <c r="AF254" t="s">
        <v>47</v>
      </c>
      <c r="AG254" t="s">
        <v>47</v>
      </c>
      <c r="AH254" t="s">
        <v>47</v>
      </c>
      <c r="AI254" t="s">
        <v>47</v>
      </c>
      <c r="AJ254" t="s">
        <v>47</v>
      </c>
      <c r="AK254" t="s">
        <v>47</v>
      </c>
      <c r="AL254" t="s">
        <v>47</v>
      </c>
      <c r="AM254" t="s">
        <v>47</v>
      </c>
      <c r="AN254" t="s">
        <v>47</v>
      </c>
      <c r="AO254" s="5" t="s">
        <v>60</v>
      </c>
      <c r="AP254" s="4" t="s">
        <v>61</v>
      </c>
      <c r="AQ254" s="4" t="s">
        <v>53</v>
      </c>
      <c r="AR254" s="4" t="s">
        <v>831</v>
      </c>
      <c r="AS254" s="5">
        <v>186215</v>
      </c>
      <c r="AT254" t="s">
        <v>47</v>
      </c>
    </row>
    <row r="255" spans="1:46" ht="39" x14ac:dyDescent="0.3">
      <c r="A255" s="4" t="s">
        <v>1183</v>
      </c>
      <c r="B255" t="s">
        <v>47</v>
      </c>
      <c r="C255" s="4" t="s">
        <v>1184</v>
      </c>
      <c r="D255" s="4" t="s">
        <v>1185</v>
      </c>
      <c r="E255" s="4" t="s">
        <v>49</v>
      </c>
      <c r="F255" t="s">
        <v>47</v>
      </c>
      <c r="G255" s="5" t="s">
        <v>1186</v>
      </c>
      <c r="H255" t="s">
        <v>47</v>
      </c>
      <c r="I255" s="3">
        <v>39356</v>
      </c>
      <c r="J255" s="3">
        <v>44378</v>
      </c>
      <c r="K255" s="5" t="s">
        <v>1187</v>
      </c>
      <c r="L255" s="5" t="s">
        <v>51</v>
      </c>
      <c r="M255" s="3">
        <v>39356</v>
      </c>
      <c r="N255" s="3">
        <v>44378</v>
      </c>
      <c r="O255" s="5" t="s">
        <v>1187</v>
      </c>
      <c r="P255" s="3">
        <v>39356</v>
      </c>
      <c r="Q255" s="3">
        <v>44378</v>
      </c>
      <c r="R255" s="5" t="s">
        <v>1187</v>
      </c>
      <c r="S255" t="s">
        <v>47</v>
      </c>
      <c r="T255" t="s">
        <v>47</v>
      </c>
      <c r="U255" t="s">
        <v>47</v>
      </c>
      <c r="V255" t="s">
        <v>47</v>
      </c>
      <c r="W255" s="3">
        <v>39356</v>
      </c>
      <c r="X255" s="3">
        <v>44378</v>
      </c>
      <c r="Y255" s="5" t="s">
        <v>1187</v>
      </c>
      <c r="Z255" s="3">
        <v>39356</v>
      </c>
      <c r="AA255" s="3">
        <v>44378</v>
      </c>
      <c r="AB255" s="5" t="s">
        <v>1187</v>
      </c>
      <c r="AC255" s="3">
        <v>39356</v>
      </c>
      <c r="AD255" s="3">
        <v>44378</v>
      </c>
      <c r="AE255" s="5" t="s">
        <v>1187</v>
      </c>
      <c r="AF255" t="s">
        <v>47</v>
      </c>
      <c r="AG255" t="s">
        <v>47</v>
      </c>
      <c r="AH255" t="s">
        <v>47</v>
      </c>
      <c r="AI255" t="s">
        <v>47</v>
      </c>
      <c r="AJ255" t="s">
        <v>47</v>
      </c>
      <c r="AK255" t="s">
        <v>47</v>
      </c>
      <c r="AL255" t="s">
        <v>47</v>
      </c>
      <c r="AM255" t="s">
        <v>47</v>
      </c>
      <c r="AN255" t="s">
        <v>47</v>
      </c>
      <c r="AO255" s="5" t="s">
        <v>51</v>
      </c>
      <c r="AP255" s="4" t="s">
        <v>135</v>
      </c>
      <c r="AQ255" s="4" t="s">
        <v>53</v>
      </c>
      <c r="AR255" s="4" t="s">
        <v>1188</v>
      </c>
      <c r="AS255" s="5">
        <v>46272</v>
      </c>
      <c r="AT255" t="s">
        <v>47</v>
      </c>
    </row>
    <row r="256" spans="1:46" ht="117" x14ac:dyDescent="0.3">
      <c r="A256" s="4" t="s">
        <v>1189</v>
      </c>
      <c r="B256" t="s">
        <v>47</v>
      </c>
      <c r="C256" s="4" t="s">
        <v>1190</v>
      </c>
      <c r="D256" s="4" t="s">
        <v>88</v>
      </c>
      <c r="E256" s="4" t="s">
        <v>49</v>
      </c>
      <c r="F256" s="5" t="s">
        <v>1191</v>
      </c>
      <c r="G256" s="5" t="s">
        <v>1192</v>
      </c>
      <c r="H256" t="s">
        <v>47</v>
      </c>
      <c r="I256" s="3">
        <v>32148</v>
      </c>
      <c r="J256" s="5" t="s">
        <v>50</v>
      </c>
      <c r="K256" t="s">
        <v>47</v>
      </c>
      <c r="L256" s="5" t="s">
        <v>51</v>
      </c>
      <c r="M256" s="3">
        <v>34705</v>
      </c>
      <c r="N256" s="5" t="s">
        <v>50</v>
      </c>
      <c r="O256" s="5" t="s">
        <v>1193</v>
      </c>
      <c r="P256" s="3">
        <v>32148</v>
      </c>
      <c r="Q256" s="3">
        <v>36854</v>
      </c>
      <c r="R256" t="s">
        <v>47</v>
      </c>
      <c r="S256" t="s">
        <v>47</v>
      </c>
      <c r="T256" t="s">
        <v>47</v>
      </c>
      <c r="U256" t="s">
        <v>47</v>
      </c>
      <c r="V256" s="5">
        <v>30</v>
      </c>
      <c r="W256" s="3">
        <v>31420</v>
      </c>
      <c r="X256" s="5" t="s">
        <v>50</v>
      </c>
      <c r="Y256" t="s">
        <v>47</v>
      </c>
      <c r="Z256" s="3">
        <v>31420</v>
      </c>
      <c r="AA256" s="5" t="s">
        <v>50</v>
      </c>
      <c r="AB256" t="s">
        <v>47</v>
      </c>
      <c r="AC256" s="3">
        <v>31420</v>
      </c>
      <c r="AD256" s="5" t="s">
        <v>50</v>
      </c>
      <c r="AE256" t="s">
        <v>47</v>
      </c>
      <c r="AF256" t="s">
        <v>47</v>
      </c>
      <c r="AG256" t="s">
        <v>47</v>
      </c>
      <c r="AH256" t="s">
        <v>47</v>
      </c>
      <c r="AI256" t="s">
        <v>47</v>
      </c>
      <c r="AJ256" t="s">
        <v>47</v>
      </c>
      <c r="AK256" t="s">
        <v>47</v>
      </c>
      <c r="AL256" t="s">
        <v>47</v>
      </c>
      <c r="AM256" t="s">
        <v>47</v>
      </c>
      <c r="AN256" t="s">
        <v>47</v>
      </c>
      <c r="AO256" s="5" t="s">
        <v>51</v>
      </c>
      <c r="AP256" s="4" t="s">
        <v>85</v>
      </c>
      <c r="AQ256" s="4" t="s">
        <v>53</v>
      </c>
      <c r="AR256" s="4" t="s">
        <v>1194</v>
      </c>
      <c r="AS256" s="5">
        <v>1812</v>
      </c>
      <c r="AT256" t="s">
        <v>47</v>
      </c>
    </row>
    <row r="257" spans="1:46" ht="26" x14ac:dyDescent="0.3">
      <c r="A257" s="4" t="s">
        <v>1195</v>
      </c>
      <c r="B257" t="s">
        <v>47</v>
      </c>
      <c r="C257" s="4" t="s">
        <v>1196</v>
      </c>
      <c r="D257" s="4" t="s">
        <v>874</v>
      </c>
      <c r="E257" s="4" t="s">
        <v>1197</v>
      </c>
      <c r="F257" s="5" t="s">
        <v>1198</v>
      </c>
      <c r="G257" t="s">
        <v>47</v>
      </c>
      <c r="H257" t="s">
        <v>47</v>
      </c>
      <c r="I257" s="3">
        <v>42522</v>
      </c>
      <c r="J257" s="5" t="s">
        <v>50</v>
      </c>
      <c r="K257" s="5" t="s">
        <v>1199</v>
      </c>
      <c r="L257" s="5" t="s">
        <v>60</v>
      </c>
      <c r="M257" s="3">
        <v>42522</v>
      </c>
      <c r="N257" s="5" t="s">
        <v>50</v>
      </c>
      <c r="O257" s="5" t="s">
        <v>1200</v>
      </c>
      <c r="P257" s="3">
        <v>42522</v>
      </c>
      <c r="Q257" s="5" t="s">
        <v>50</v>
      </c>
      <c r="R257" s="5" t="s">
        <v>1199</v>
      </c>
      <c r="S257" t="s">
        <v>47</v>
      </c>
      <c r="T257" t="s">
        <v>47</v>
      </c>
      <c r="U257" t="s">
        <v>47</v>
      </c>
      <c r="V257" t="s">
        <v>47</v>
      </c>
      <c r="W257" s="3">
        <v>42522</v>
      </c>
      <c r="X257" s="5" t="s">
        <v>50</v>
      </c>
      <c r="Y257" s="5" t="s">
        <v>1199</v>
      </c>
      <c r="Z257" s="3">
        <v>42522</v>
      </c>
      <c r="AA257" s="5" t="s">
        <v>50</v>
      </c>
      <c r="AB257" s="5" t="s">
        <v>1199</v>
      </c>
      <c r="AC257" s="3">
        <v>42522</v>
      </c>
      <c r="AD257" s="5" t="s">
        <v>50</v>
      </c>
      <c r="AE257" s="5" t="s">
        <v>1199</v>
      </c>
      <c r="AF257" t="s">
        <v>47</v>
      </c>
      <c r="AG257" t="s">
        <v>47</v>
      </c>
      <c r="AH257" t="s">
        <v>47</v>
      </c>
      <c r="AI257" t="s">
        <v>47</v>
      </c>
      <c r="AJ257" t="s">
        <v>47</v>
      </c>
      <c r="AK257" t="s">
        <v>47</v>
      </c>
      <c r="AL257" t="s">
        <v>47</v>
      </c>
      <c r="AM257" t="s">
        <v>47</v>
      </c>
      <c r="AN257" t="s">
        <v>47</v>
      </c>
      <c r="AO257" s="5" t="s">
        <v>51</v>
      </c>
      <c r="AP257" s="4" t="s">
        <v>61</v>
      </c>
      <c r="AQ257" s="4" t="s">
        <v>538</v>
      </c>
      <c r="AR257" s="4" t="s">
        <v>54</v>
      </c>
      <c r="AS257" s="5">
        <v>2050702</v>
      </c>
      <c r="AT257" t="s">
        <v>47</v>
      </c>
    </row>
    <row r="258" spans="1:46" ht="26" x14ac:dyDescent="0.3">
      <c r="A258" s="4" t="s">
        <v>1201</v>
      </c>
      <c r="B258" t="s">
        <v>47</v>
      </c>
      <c r="C258" s="4" t="s">
        <v>48</v>
      </c>
      <c r="D258" t="s">
        <v>47</v>
      </c>
      <c r="E258" s="4" t="s">
        <v>49</v>
      </c>
      <c r="F258" t="s">
        <v>47</v>
      </c>
      <c r="G258" t="s">
        <v>47</v>
      </c>
      <c r="H258" t="s">
        <v>47</v>
      </c>
      <c r="I258" s="3">
        <v>44146</v>
      </c>
      <c r="J258" s="5" t="s">
        <v>50</v>
      </c>
      <c r="K258" t="s">
        <v>47</v>
      </c>
      <c r="L258" s="5" t="s">
        <v>51</v>
      </c>
      <c r="M258" s="3">
        <v>44146</v>
      </c>
      <c r="N258" s="5" t="s">
        <v>50</v>
      </c>
      <c r="O258" t="s">
        <v>47</v>
      </c>
      <c r="P258" t="s">
        <v>47</v>
      </c>
      <c r="Q258" t="s">
        <v>47</v>
      </c>
      <c r="R258" t="s">
        <v>47</v>
      </c>
      <c r="S258" t="s">
        <v>47</v>
      </c>
      <c r="T258" t="s">
        <v>47</v>
      </c>
      <c r="U258" t="s">
        <v>47</v>
      </c>
      <c r="V258" t="s">
        <v>47</v>
      </c>
      <c r="W258" s="3">
        <v>44146</v>
      </c>
      <c r="X258" s="5" t="s">
        <v>50</v>
      </c>
      <c r="Y258" t="s">
        <v>47</v>
      </c>
      <c r="Z258" s="3">
        <v>44146</v>
      </c>
      <c r="AA258" s="5" t="s">
        <v>50</v>
      </c>
      <c r="AB258" t="s">
        <v>47</v>
      </c>
      <c r="AC258" t="s">
        <v>47</v>
      </c>
      <c r="AD258" t="s">
        <v>47</v>
      </c>
      <c r="AE258" t="s">
        <v>47</v>
      </c>
      <c r="AF258" t="s">
        <v>47</v>
      </c>
      <c r="AG258" t="s">
        <v>47</v>
      </c>
      <c r="AH258" t="s">
        <v>47</v>
      </c>
      <c r="AI258" t="s">
        <v>47</v>
      </c>
      <c r="AJ258" t="s">
        <v>47</v>
      </c>
      <c r="AK258" t="s">
        <v>47</v>
      </c>
      <c r="AL258" t="s">
        <v>47</v>
      </c>
      <c r="AM258" t="s">
        <v>47</v>
      </c>
      <c r="AN258" t="s">
        <v>47</v>
      </c>
      <c r="AO258" s="5" t="s">
        <v>51</v>
      </c>
      <c r="AP258" s="4" t="s">
        <v>52</v>
      </c>
      <c r="AQ258" s="4" t="s">
        <v>53</v>
      </c>
      <c r="AR258" s="4" t="s">
        <v>54</v>
      </c>
      <c r="AS258" s="5">
        <v>5341596</v>
      </c>
      <c r="AT258" t="s">
        <v>47</v>
      </c>
    </row>
    <row r="259" spans="1:46" ht="26" x14ac:dyDescent="0.3">
      <c r="A259" s="4" t="s">
        <v>1202</v>
      </c>
      <c r="B259" t="s">
        <v>47</v>
      </c>
      <c r="C259" s="4" t="s">
        <v>519</v>
      </c>
      <c r="D259" s="4" t="s">
        <v>88</v>
      </c>
      <c r="E259" s="4" t="s">
        <v>49</v>
      </c>
      <c r="F259" s="5" t="s">
        <v>1203</v>
      </c>
      <c r="G259" s="5" t="s">
        <v>1204</v>
      </c>
      <c r="H259" t="s">
        <v>47</v>
      </c>
      <c r="I259" s="3">
        <v>33543</v>
      </c>
      <c r="J259" s="3">
        <v>40483</v>
      </c>
      <c r="K259" t="s">
        <v>47</v>
      </c>
      <c r="L259" s="5" t="s">
        <v>60</v>
      </c>
      <c r="M259" s="3">
        <v>34700</v>
      </c>
      <c r="N259" s="3">
        <v>40483</v>
      </c>
      <c r="O259" t="s">
        <v>47</v>
      </c>
      <c r="P259" s="3">
        <v>33543</v>
      </c>
      <c r="Q259" s="3">
        <v>40483</v>
      </c>
      <c r="R259" t="s">
        <v>47</v>
      </c>
      <c r="S259" t="s">
        <v>47</v>
      </c>
      <c r="T259" t="s">
        <v>47</v>
      </c>
      <c r="U259" t="s">
        <v>47</v>
      </c>
      <c r="V259" t="s">
        <v>47</v>
      </c>
      <c r="W259" s="3">
        <v>32143</v>
      </c>
      <c r="X259" s="5" t="s">
        <v>50</v>
      </c>
      <c r="Y259" t="s">
        <v>47</v>
      </c>
      <c r="Z259" s="3">
        <v>32143</v>
      </c>
      <c r="AA259" s="5" t="s">
        <v>50</v>
      </c>
      <c r="AB259" t="s">
        <v>47</v>
      </c>
      <c r="AC259" s="3">
        <v>32143</v>
      </c>
      <c r="AD259" s="5" t="s">
        <v>50</v>
      </c>
      <c r="AE259" t="s">
        <v>47</v>
      </c>
      <c r="AF259" t="s">
        <v>47</v>
      </c>
      <c r="AG259" t="s">
        <v>47</v>
      </c>
      <c r="AH259" t="s">
        <v>47</v>
      </c>
      <c r="AI259" t="s">
        <v>47</v>
      </c>
      <c r="AJ259" t="s">
        <v>47</v>
      </c>
      <c r="AK259" t="s">
        <v>47</v>
      </c>
      <c r="AL259" t="s">
        <v>47</v>
      </c>
      <c r="AM259" t="s">
        <v>47</v>
      </c>
      <c r="AN259" t="s">
        <v>47</v>
      </c>
      <c r="AO259" s="5" t="s">
        <v>60</v>
      </c>
      <c r="AP259" s="4" t="s">
        <v>61</v>
      </c>
      <c r="AQ259" s="4" t="s">
        <v>53</v>
      </c>
      <c r="AR259" s="4" t="s">
        <v>1205</v>
      </c>
      <c r="AS259" s="5">
        <v>42171</v>
      </c>
      <c r="AT259" t="s">
        <v>47</v>
      </c>
    </row>
    <row r="260" spans="1:46" ht="26" x14ac:dyDescent="0.3">
      <c r="A260" s="4" t="s">
        <v>1206</v>
      </c>
      <c r="B260" t="s">
        <v>47</v>
      </c>
      <c r="C260" s="4" t="s">
        <v>462</v>
      </c>
      <c r="D260" s="4" t="s">
        <v>463</v>
      </c>
      <c r="E260" s="4" t="s">
        <v>49</v>
      </c>
      <c r="F260" s="5" t="s">
        <v>1207</v>
      </c>
      <c r="G260" t="s">
        <v>47</v>
      </c>
      <c r="H260" t="s">
        <v>47</v>
      </c>
      <c r="I260" t="s">
        <v>47</v>
      </c>
      <c r="J260" t="s">
        <v>47</v>
      </c>
      <c r="K260" t="s">
        <v>47</v>
      </c>
      <c r="L260" s="5" t="s">
        <v>51</v>
      </c>
      <c r="M260" t="s">
        <v>47</v>
      </c>
      <c r="N260" t="s">
        <v>47</v>
      </c>
      <c r="O260" t="s">
        <v>47</v>
      </c>
      <c r="P260" t="s">
        <v>47</v>
      </c>
      <c r="Q260" t="s">
        <v>47</v>
      </c>
      <c r="R260" t="s">
        <v>47</v>
      </c>
      <c r="S260" t="s">
        <v>47</v>
      </c>
      <c r="T260" t="s">
        <v>47</v>
      </c>
      <c r="U260" t="s">
        <v>47</v>
      </c>
      <c r="V260" t="s">
        <v>47</v>
      </c>
      <c r="W260" s="3">
        <v>37926</v>
      </c>
      <c r="X260" s="3">
        <v>42401</v>
      </c>
      <c r="Y260" t="s">
        <v>47</v>
      </c>
      <c r="Z260" s="3">
        <v>37926</v>
      </c>
      <c r="AA260" s="3">
        <v>42401</v>
      </c>
      <c r="AB260" t="s">
        <v>47</v>
      </c>
      <c r="AC260" t="s">
        <v>47</v>
      </c>
      <c r="AD260" t="s">
        <v>47</v>
      </c>
      <c r="AE260" t="s">
        <v>47</v>
      </c>
      <c r="AF260" t="s">
        <v>47</v>
      </c>
      <c r="AG260" t="s">
        <v>47</v>
      </c>
      <c r="AH260" t="s">
        <v>47</v>
      </c>
      <c r="AI260" t="s">
        <v>47</v>
      </c>
      <c r="AJ260" t="s">
        <v>47</v>
      </c>
      <c r="AK260" t="s">
        <v>47</v>
      </c>
      <c r="AL260" t="s">
        <v>47</v>
      </c>
      <c r="AM260" t="s">
        <v>47</v>
      </c>
      <c r="AN260" t="s">
        <v>47</v>
      </c>
      <c r="AO260" s="5" t="s">
        <v>51</v>
      </c>
      <c r="AP260" s="4" t="s">
        <v>135</v>
      </c>
      <c r="AQ260" s="4" t="s">
        <v>53</v>
      </c>
      <c r="AR260" s="4" t="s">
        <v>580</v>
      </c>
      <c r="AS260" s="5">
        <v>43305</v>
      </c>
      <c r="AT260" t="s">
        <v>47</v>
      </c>
    </row>
    <row r="261" spans="1:46" ht="26" x14ac:dyDescent="0.3">
      <c r="A261" s="4" t="s">
        <v>1208</v>
      </c>
      <c r="B261" t="s">
        <v>47</v>
      </c>
      <c r="C261" s="4" t="s">
        <v>1036</v>
      </c>
      <c r="D261" s="4" t="s">
        <v>70</v>
      </c>
      <c r="E261" s="4" t="s">
        <v>49</v>
      </c>
      <c r="F261" s="5" t="s">
        <v>1209</v>
      </c>
      <c r="G261" t="s">
        <v>47</v>
      </c>
      <c r="H261" t="s">
        <v>47</v>
      </c>
      <c r="I261" t="s">
        <v>47</v>
      </c>
      <c r="J261" t="s">
        <v>47</v>
      </c>
      <c r="K261" t="s">
        <v>47</v>
      </c>
      <c r="L261" s="5" t="s">
        <v>51</v>
      </c>
      <c r="M261" t="s">
        <v>47</v>
      </c>
      <c r="N261" t="s">
        <v>47</v>
      </c>
      <c r="O261" t="s">
        <v>47</v>
      </c>
      <c r="P261" t="s">
        <v>47</v>
      </c>
      <c r="Q261" t="s">
        <v>47</v>
      </c>
      <c r="R261" t="s">
        <v>47</v>
      </c>
      <c r="S261" t="s">
        <v>47</v>
      </c>
      <c r="T261" t="s">
        <v>47</v>
      </c>
      <c r="U261" t="s">
        <v>47</v>
      </c>
      <c r="V261" t="s">
        <v>47</v>
      </c>
      <c r="W261" s="3">
        <v>38596</v>
      </c>
      <c r="X261" s="3">
        <v>42125</v>
      </c>
      <c r="Y261" t="s">
        <v>47</v>
      </c>
      <c r="Z261" s="3">
        <v>38596</v>
      </c>
      <c r="AA261" s="3">
        <v>42125</v>
      </c>
      <c r="AB261" t="s">
        <v>47</v>
      </c>
      <c r="AC261" s="3">
        <v>38596</v>
      </c>
      <c r="AD261" s="3">
        <v>42125</v>
      </c>
      <c r="AE261" t="s">
        <v>47</v>
      </c>
      <c r="AF261" t="s">
        <v>47</v>
      </c>
      <c r="AG261" t="s">
        <v>47</v>
      </c>
      <c r="AH261" t="s">
        <v>47</v>
      </c>
      <c r="AI261" t="s">
        <v>47</v>
      </c>
      <c r="AJ261" t="s">
        <v>47</v>
      </c>
      <c r="AK261" t="s">
        <v>47</v>
      </c>
      <c r="AL261" t="s">
        <v>47</v>
      </c>
      <c r="AM261" t="s">
        <v>47</v>
      </c>
      <c r="AN261" t="s">
        <v>47</v>
      </c>
      <c r="AO261" s="5" t="s">
        <v>51</v>
      </c>
      <c r="AP261" s="4" t="s">
        <v>135</v>
      </c>
      <c r="AQ261" s="4" t="s">
        <v>53</v>
      </c>
      <c r="AR261" s="4" t="s">
        <v>580</v>
      </c>
      <c r="AS261" s="5">
        <v>28876</v>
      </c>
      <c r="AT261" t="s">
        <v>47</v>
      </c>
    </row>
    <row r="262" spans="1:46" ht="26" x14ac:dyDescent="0.3">
      <c r="A262" s="4" t="s">
        <v>1210</v>
      </c>
      <c r="B262" t="s">
        <v>47</v>
      </c>
      <c r="C262" s="4" t="s">
        <v>122</v>
      </c>
      <c r="D262" s="4" t="s">
        <v>70</v>
      </c>
      <c r="E262" s="4" t="s">
        <v>123</v>
      </c>
      <c r="F262" s="5" t="s">
        <v>1211</v>
      </c>
      <c r="G262" s="5" t="s">
        <v>1212</v>
      </c>
      <c r="H262" t="s">
        <v>47</v>
      </c>
      <c r="I262" s="3">
        <v>35855</v>
      </c>
      <c r="J262" s="5" t="s">
        <v>50</v>
      </c>
      <c r="K262" t="s">
        <v>47</v>
      </c>
      <c r="L262" s="5" t="s">
        <v>60</v>
      </c>
      <c r="M262" s="3">
        <v>38047</v>
      </c>
      <c r="N262" s="3">
        <v>42795</v>
      </c>
      <c r="O262" t="s">
        <v>47</v>
      </c>
      <c r="P262" s="3">
        <v>35855</v>
      </c>
      <c r="Q262" s="5" t="s">
        <v>50</v>
      </c>
      <c r="R262" t="s">
        <v>47</v>
      </c>
      <c r="S262" t="s">
        <v>47</v>
      </c>
      <c r="T262" t="s">
        <v>47</v>
      </c>
      <c r="U262" t="s">
        <v>47</v>
      </c>
      <c r="V262" s="5">
        <v>365</v>
      </c>
      <c r="W262" s="3">
        <v>35855</v>
      </c>
      <c r="X262" s="5" t="s">
        <v>50</v>
      </c>
      <c r="Y262" t="s">
        <v>47</v>
      </c>
      <c r="Z262" s="3">
        <v>35855</v>
      </c>
      <c r="AA262" s="5" t="s">
        <v>50</v>
      </c>
      <c r="AB262" t="s">
        <v>47</v>
      </c>
      <c r="AC262" s="3">
        <v>35855</v>
      </c>
      <c r="AD262" s="5" t="s">
        <v>50</v>
      </c>
      <c r="AE262" t="s">
        <v>47</v>
      </c>
      <c r="AF262" t="s">
        <v>47</v>
      </c>
      <c r="AG262" t="s">
        <v>47</v>
      </c>
      <c r="AH262" t="s">
        <v>47</v>
      </c>
      <c r="AI262" t="s">
        <v>47</v>
      </c>
      <c r="AJ262" t="s">
        <v>47</v>
      </c>
      <c r="AK262" t="s">
        <v>47</v>
      </c>
      <c r="AL262" t="s">
        <v>47</v>
      </c>
      <c r="AM262" t="s">
        <v>47</v>
      </c>
      <c r="AN262" t="s">
        <v>47</v>
      </c>
      <c r="AO262" s="5" t="s">
        <v>60</v>
      </c>
      <c r="AP262" s="4" t="s">
        <v>61</v>
      </c>
      <c r="AQ262" s="4" t="s">
        <v>53</v>
      </c>
      <c r="AR262" s="4" t="s">
        <v>483</v>
      </c>
      <c r="AS262" s="5">
        <v>54101</v>
      </c>
      <c r="AT262" t="s">
        <v>47</v>
      </c>
    </row>
    <row r="263" spans="1:46" ht="13" x14ac:dyDescent="0.3">
      <c r="A263" s="4" t="s">
        <v>1213</v>
      </c>
      <c r="B263" t="s">
        <v>47</v>
      </c>
      <c r="C263" s="4" t="s">
        <v>1214</v>
      </c>
      <c r="D263" s="4" t="s">
        <v>1215</v>
      </c>
      <c r="E263" s="4" t="s">
        <v>49</v>
      </c>
      <c r="F263" s="5" t="s">
        <v>1216</v>
      </c>
      <c r="G263" s="5" t="s">
        <v>1217</v>
      </c>
      <c r="H263" t="s">
        <v>47</v>
      </c>
      <c r="I263" s="3">
        <v>38261</v>
      </c>
      <c r="J263" s="5" t="s">
        <v>50</v>
      </c>
      <c r="K263" t="s">
        <v>47</v>
      </c>
      <c r="L263" s="5" t="s">
        <v>60</v>
      </c>
      <c r="M263" s="3">
        <v>38261</v>
      </c>
      <c r="N263" s="3">
        <v>38899</v>
      </c>
      <c r="O263" t="s">
        <v>47</v>
      </c>
      <c r="P263" s="3">
        <v>38261</v>
      </c>
      <c r="Q263" s="5" t="s">
        <v>50</v>
      </c>
      <c r="R263" t="s">
        <v>47</v>
      </c>
      <c r="S263" t="s">
        <v>47</v>
      </c>
      <c r="T263" t="s">
        <v>47</v>
      </c>
      <c r="U263" t="s">
        <v>47</v>
      </c>
      <c r="V263" t="s">
        <v>47</v>
      </c>
      <c r="W263" s="3">
        <v>38261</v>
      </c>
      <c r="X263" s="5" t="s">
        <v>50</v>
      </c>
      <c r="Y263" t="s">
        <v>47</v>
      </c>
      <c r="Z263" s="3">
        <v>38261</v>
      </c>
      <c r="AA263" s="5" t="s">
        <v>50</v>
      </c>
      <c r="AB263" t="s">
        <v>47</v>
      </c>
      <c r="AC263" s="3">
        <v>38261</v>
      </c>
      <c r="AD263" s="5" t="s">
        <v>50</v>
      </c>
      <c r="AE263" t="s">
        <v>47</v>
      </c>
      <c r="AF263" t="s">
        <v>47</v>
      </c>
      <c r="AG263" t="s">
        <v>47</v>
      </c>
      <c r="AH263" t="s">
        <v>47</v>
      </c>
      <c r="AI263" t="s">
        <v>47</v>
      </c>
      <c r="AJ263" t="s">
        <v>47</v>
      </c>
      <c r="AK263" t="s">
        <v>47</v>
      </c>
      <c r="AL263" t="s">
        <v>47</v>
      </c>
      <c r="AM263" t="s">
        <v>47</v>
      </c>
      <c r="AN263" t="s">
        <v>47</v>
      </c>
      <c r="AO263" s="5" t="s">
        <v>60</v>
      </c>
      <c r="AP263" s="4" t="s">
        <v>61</v>
      </c>
      <c r="AQ263" s="4" t="s">
        <v>53</v>
      </c>
      <c r="AR263" s="4" t="s">
        <v>1166</v>
      </c>
      <c r="AS263" s="5">
        <v>29000</v>
      </c>
      <c r="AT263" t="s">
        <v>47</v>
      </c>
    </row>
    <row r="264" spans="1:46" ht="91" x14ac:dyDescent="0.3">
      <c r="A264" s="4" t="s">
        <v>1218</v>
      </c>
      <c r="B264" t="s">
        <v>47</v>
      </c>
      <c r="C264" s="4" t="s">
        <v>1036</v>
      </c>
      <c r="D264" s="4" t="s">
        <v>1219</v>
      </c>
      <c r="E264" s="4" t="s">
        <v>49</v>
      </c>
      <c r="F264" s="5" t="s">
        <v>1220</v>
      </c>
      <c r="G264" t="s">
        <v>47</v>
      </c>
      <c r="H264" t="s">
        <v>47</v>
      </c>
      <c r="I264" t="s">
        <v>47</v>
      </c>
      <c r="J264" t="s">
        <v>47</v>
      </c>
      <c r="K264" t="s">
        <v>47</v>
      </c>
      <c r="L264" s="5" t="s">
        <v>51</v>
      </c>
      <c r="M264" t="s">
        <v>47</v>
      </c>
      <c r="N264" t="s">
        <v>47</v>
      </c>
      <c r="O264" t="s">
        <v>47</v>
      </c>
      <c r="P264" t="s">
        <v>47</v>
      </c>
      <c r="Q264" t="s">
        <v>47</v>
      </c>
      <c r="R264" t="s">
        <v>47</v>
      </c>
      <c r="S264" t="s">
        <v>47</v>
      </c>
      <c r="T264" t="s">
        <v>47</v>
      </c>
      <c r="U264" t="s">
        <v>47</v>
      </c>
      <c r="V264" t="s">
        <v>47</v>
      </c>
      <c r="W264" s="3">
        <v>32509</v>
      </c>
      <c r="X264" s="3">
        <v>39783</v>
      </c>
      <c r="Y264" t="s">
        <v>47</v>
      </c>
      <c r="Z264" s="3">
        <v>32509</v>
      </c>
      <c r="AA264" s="3">
        <v>39783</v>
      </c>
      <c r="AB264" t="s">
        <v>47</v>
      </c>
      <c r="AC264" s="3">
        <v>32509</v>
      </c>
      <c r="AD264" s="3">
        <v>39783</v>
      </c>
      <c r="AE264" t="s">
        <v>47</v>
      </c>
      <c r="AF264" t="s">
        <v>47</v>
      </c>
      <c r="AG264" t="s">
        <v>47</v>
      </c>
      <c r="AH264" t="s">
        <v>47</v>
      </c>
      <c r="AI264" t="s">
        <v>47</v>
      </c>
      <c r="AJ264" t="s">
        <v>47</v>
      </c>
      <c r="AK264" t="s">
        <v>47</v>
      </c>
      <c r="AL264" t="s">
        <v>47</v>
      </c>
      <c r="AM264" t="s">
        <v>47</v>
      </c>
      <c r="AN264" t="s">
        <v>47</v>
      </c>
      <c r="AO264" s="5" t="s">
        <v>51</v>
      </c>
      <c r="AP264" s="4" t="s">
        <v>85</v>
      </c>
      <c r="AQ264" s="4" t="s">
        <v>53</v>
      </c>
      <c r="AR264" s="4" t="s">
        <v>1221</v>
      </c>
      <c r="AS264" s="5">
        <v>306</v>
      </c>
      <c r="AT264" t="s">
        <v>47</v>
      </c>
    </row>
    <row r="265" spans="1:46" ht="91" x14ac:dyDescent="0.3">
      <c r="A265" s="4" t="s">
        <v>1222</v>
      </c>
      <c r="B265" t="s">
        <v>47</v>
      </c>
      <c r="C265" s="4" t="s">
        <v>462</v>
      </c>
      <c r="D265" s="4" t="s">
        <v>463</v>
      </c>
      <c r="E265" s="4" t="s">
        <v>49</v>
      </c>
      <c r="F265" s="5" t="s">
        <v>1223</v>
      </c>
      <c r="G265" t="s">
        <v>47</v>
      </c>
      <c r="H265" t="s">
        <v>47</v>
      </c>
      <c r="I265" t="s">
        <v>47</v>
      </c>
      <c r="J265" t="s">
        <v>47</v>
      </c>
      <c r="K265" t="s">
        <v>47</v>
      </c>
      <c r="L265" s="5" t="s">
        <v>51</v>
      </c>
      <c r="M265" t="s">
        <v>47</v>
      </c>
      <c r="N265" t="s">
        <v>47</v>
      </c>
      <c r="O265" t="s">
        <v>47</v>
      </c>
      <c r="P265" t="s">
        <v>47</v>
      </c>
      <c r="Q265" t="s">
        <v>47</v>
      </c>
      <c r="R265" t="s">
        <v>47</v>
      </c>
      <c r="S265" t="s">
        <v>47</v>
      </c>
      <c r="T265" t="s">
        <v>47</v>
      </c>
      <c r="U265" t="s">
        <v>47</v>
      </c>
      <c r="V265" t="s">
        <v>47</v>
      </c>
      <c r="W265" s="3">
        <v>33604</v>
      </c>
      <c r="X265" s="3">
        <v>42186</v>
      </c>
      <c r="Y265" t="s">
        <v>47</v>
      </c>
      <c r="Z265" s="3">
        <v>33604</v>
      </c>
      <c r="AA265" s="3">
        <v>42186</v>
      </c>
      <c r="AB265" t="s">
        <v>47</v>
      </c>
      <c r="AC265" s="3">
        <v>33604</v>
      </c>
      <c r="AD265" s="3">
        <v>42186</v>
      </c>
      <c r="AE265" t="s">
        <v>47</v>
      </c>
      <c r="AF265" t="s">
        <v>47</v>
      </c>
      <c r="AG265" t="s">
        <v>47</v>
      </c>
      <c r="AH265" t="s">
        <v>47</v>
      </c>
      <c r="AI265" t="s">
        <v>47</v>
      </c>
      <c r="AJ265" t="s">
        <v>47</v>
      </c>
      <c r="AK265" t="s">
        <v>47</v>
      </c>
      <c r="AL265" t="s">
        <v>47</v>
      </c>
      <c r="AM265" t="s">
        <v>47</v>
      </c>
      <c r="AN265" t="s">
        <v>47</v>
      </c>
      <c r="AO265" s="5" t="s">
        <v>51</v>
      </c>
      <c r="AP265" s="4" t="s">
        <v>135</v>
      </c>
      <c r="AQ265" s="4" t="s">
        <v>53</v>
      </c>
      <c r="AR265" s="4" t="s">
        <v>1224</v>
      </c>
      <c r="AS265" s="5">
        <v>29844</v>
      </c>
      <c r="AT265" t="s">
        <v>47</v>
      </c>
    </row>
    <row r="266" spans="1:46" ht="13" x14ac:dyDescent="0.3">
      <c r="A266" s="4" t="s">
        <v>1225</v>
      </c>
      <c r="B266" t="s">
        <v>47</v>
      </c>
      <c r="C266" s="4" t="s">
        <v>169</v>
      </c>
      <c r="D266" s="4" t="s">
        <v>339</v>
      </c>
      <c r="E266" s="4" t="s">
        <v>66</v>
      </c>
      <c r="F266" t="s">
        <v>47</v>
      </c>
      <c r="G266" s="5" t="s">
        <v>1226</v>
      </c>
      <c r="H266" t="s">
        <v>47</v>
      </c>
      <c r="I266" s="3">
        <v>41640</v>
      </c>
      <c r="J266" s="5" t="s">
        <v>50</v>
      </c>
      <c r="K266" t="s">
        <v>47</v>
      </c>
      <c r="L266" s="5" t="s">
        <v>60</v>
      </c>
      <c r="M266" t="s">
        <v>47</v>
      </c>
      <c r="N266" t="s">
        <v>47</v>
      </c>
      <c r="O266" t="s">
        <v>47</v>
      </c>
      <c r="P266" s="3">
        <v>41640</v>
      </c>
      <c r="Q266" s="5" t="s">
        <v>50</v>
      </c>
      <c r="R266" t="s">
        <v>47</v>
      </c>
      <c r="S266" t="s">
        <v>47</v>
      </c>
      <c r="T266" t="s">
        <v>47</v>
      </c>
      <c r="U266" t="s">
        <v>47</v>
      </c>
      <c r="V266" t="s">
        <v>47</v>
      </c>
      <c r="W266" s="3">
        <v>41640</v>
      </c>
      <c r="X266" s="5" t="s">
        <v>50</v>
      </c>
      <c r="Y266" t="s">
        <v>47</v>
      </c>
      <c r="Z266" s="3">
        <v>41640</v>
      </c>
      <c r="AA266" s="5" t="s">
        <v>50</v>
      </c>
      <c r="AB266" t="s">
        <v>47</v>
      </c>
      <c r="AC266" s="3">
        <v>41640</v>
      </c>
      <c r="AD266" s="5" t="s">
        <v>50</v>
      </c>
      <c r="AE266" t="s">
        <v>47</v>
      </c>
      <c r="AF266" t="s">
        <v>47</v>
      </c>
      <c r="AG266" t="s">
        <v>47</v>
      </c>
      <c r="AH266" t="s">
        <v>47</v>
      </c>
      <c r="AI266" t="s">
        <v>47</v>
      </c>
      <c r="AJ266" t="s">
        <v>47</v>
      </c>
      <c r="AK266" t="s">
        <v>47</v>
      </c>
      <c r="AL266" t="s">
        <v>47</v>
      </c>
      <c r="AM266" t="s">
        <v>47</v>
      </c>
      <c r="AN266" t="s">
        <v>47</v>
      </c>
      <c r="AO266" s="5" t="s">
        <v>60</v>
      </c>
      <c r="AP266" s="4" t="s">
        <v>61</v>
      </c>
      <c r="AQ266" s="4" t="s">
        <v>53</v>
      </c>
      <c r="AR266" s="4" t="s">
        <v>54</v>
      </c>
      <c r="AS266" s="5">
        <v>2043297</v>
      </c>
      <c r="AT266" t="s">
        <v>47</v>
      </c>
    </row>
    <row r="267" spans="1:46" ht="26" x14ac:dyDescent="0.3">
      <c r="A267" s="4" t="s">
        <v>1227</v>
      </c>
      <c r="B267" t="s">
        <v>47</v>
      </c>
      <c r="C267" s="4" t="s">
        <v>169</v>
      </c>
      <c r="D267" s="4" t="s">
        <v>319</v>
      </c>
      <c r="E267" s="4" t="s">
        <v>66</v>
      </c>
      <c r="F267" s="5" t="s">
        <v>1228</v>
      </c>
      <c r="G267" s="5" t="s">
        <v>1229</v>
      </c>
      <c r="H267" t="s">
        <v>47</v>
      </c>
      <c r="I267" t="s">
        <v>47</v>
      </c>
      <c r="J267" t="s">
        <v>47</v>
      </c>
      <c r="K267" t="s">
        <v>47</v>
      </c>
      <c r="L267" s="5" t="s">
        <v>60</v>
      </c>
      <c r="M267" t="s">
        <v>47</v>
      </c>
      <c r="N267" t="s">
        <v>47</v>
      </c>
      <c r="O267" t="s">
        <v>47</v>
      </c>
      <c r="P267" t="s">
        <v>47</v>
      </c>
      <c r="Q267" t="s">
        <v>47</v>
      </c>
      <c r="R267" t="s">
        <v>47</v>
      </c>
      <c r="S267" t="s">
        <v>47</v>
      </c>
      <c r="T267" t="s">
        <v>47</v>
      </c>
      <c r="U267" t="s">
        <v>47</v>
      </c>
      <c r="V267" t="s">
        <v>47</v>
      </c>
      <c r="W267" s="3">
        <v>37987</v>
      </c>
      <c r="X267" s="5" t="s">
        <v>50</v>
      </c>
      <c r="Y267" t="s">
        <v>47</v>
      </c>
      <c r="Z267" s="3">
        <v>37987</v>
      </c>
      <c r="AA267" s="5" t="s">
        <v>50</v>
      </c>
      <c r="AB267" t="s">
        <v>47</v>
      </c>
      <c r="AC267" s="3">
        <v>37987</v>
      </c>
      <c r="AD267" s="5" t="s">
        <v>50</v>
      </c>
      <c r="AE267" t="s">
        <v>47</v>
      </c>
      <c r="AF267" t="s">
        <v>47</v>
      </c>
      <c r="AG267" t="s">
        <v>47</v>
      </c>
      <c r="AH267" t="s">
        <v>47</v>
      </c>
      <c r="AI267" t="s">
        <v>47</v>
      </c>
      <c r="AJ267" t="s">
        <v>47</v>
      </c>
      <c r="AK267" t="s">
        <v>47</v>
      </c>
      <c r="AL267" t="s">
        <v>47</v>
      </c>
      <c r="AM267" t="s">
        <v>47</v>
      </c>
      <c r="AN267" t="s">
        <v>47</v>
      </c>
      <c r="AO267" s="5" t="s">
        <v>60</v>
      </c>
      <c r="AP267" s="4" t="s">
        <v>61</v>
      </c>
      <c r="AQ267" s="4" t="s">
        <v>53</v>
      </c>
      <c r="AR267" s="4" t="s">
        <v>807</v>
      </c>
      <c r="AS267" s="5">
        <v>46254</v>
      </c>
      <c r="AT267" t="s">
        <v>47</v>
      </c>
    </row>
    <row r="268" spans="1:46" ht="13" x14ac:dyDescent="0.3">
      <c r="A268" s="4" t="s">
        <v>1230</v>
      </c>
      <c r="B268" t="s">
        <v>47</v>
      </c>
      <c r="C268" s="4" t="s">
        <v>1231</v>
      </c>
      <c r="D268" s="4" t="s">
        <v>1232</v>
      </c>
      <c r="E268" s="4" t="s">
        <v>49</v>
      </c>
      <c r="F268" s="5" t="s">
        <v>1233</v>
      </c>
      <c r="G268" s="5" t="s">
        <v>1234</v>
      </c>
      <c r="H268" t="s">
        <v>47</v>
      </c>
      <c r="I268" t="s">
        <v>47</v>
      </c>
      <c r="J268" t="s">
        <v>47</v>
      </c>
      <c r="K268" t="s">
        <v>47</v>
      </c>
      <c r="L268" s="5" t="s">
        <v>60</v>
      </c>
      <c r="M268" t="s">
        <v>47</v>
      </c>
      <c r="N268" t="s">
        <v>47</v>
      </c>
      <c r="O268" t="s">
        <v>47</v>
      </c>
      <c r="P268" t="s">
        <v>47</v>
      </c>
      <c r="Q268" t="s">
        <v>47</v>
      </c>
      <c r="R268" t="s">
        <v>47</v>
      </c>
      <c r="S268" t="s">
        <v>47</v>
      </c>
      <c r="T268" t="s">
        <v>47</v>
      </c>
      <c r="U268" t="s">
        <v>47</v>
      </c>
      <c r="V268" t="s">
        <v>47</v>
      </c>
      <c r="W268" s="3">
        <v>32509</v>
      </c>
      <c r="X268" s="3">
        <v>42675</v>
      </c>
      <c r="Y268" t="s">
        <v>47</v>
      </c>
      <c r="Z268" s="3">
        <v>32509</v>
      </c>
      <c r="AA268" s="3">
        <v>42675</v>
      </c>
      <c r="AB268" t="s">
        <v>47</v>
      </c>
      <c r="AC268" s="3">
        <v>32509</v>
      </c>
      <c r="AD268" s="3">
        <v>42675</v>
      </c>
      <c r="AE268" t="s">
        <v>47</v>
      </c>
      <c r="AF268" t="s">
        <v>47</v>
      </c>
      <c r="AG268" t="s">
        <v>47</v>
      </c>
      <c r="AH268" t="s">
        <v>47</v>
      </c>
      <c r="AI268" t="s">
        <v>47</v>
      </c>
      <c r="AJ268" t="s">
        <v>47</v>
      </c>
      <c r="AK268" t="s">
        <v>47</v>
      </c>
      <c r="AL268" t="s">
        <v>47</v>
      </c>
      <c r="AM268" t="s">
        <v>47</v>
      </c>
      <c r="AN268" t="s">
        <v>47</v>
      </c>
      <c r="AO268" s="5" t="s">
        <v>60</v>
      </c>
      <c r="AP268" s="4" t="s">
        <v>61</v>
      </c>
      <c r="AQ268" s="4" t="s">
        <v>53</v>
      </c>
      <c r="AR268" s="4" t="s">
        <v>483</v>
      </c>
      <c r="AS268" s="5">
        <v>5199</v>
      </c>
      <c r="AT268" t="s">
        <v>47</v>
      </c>
    </row>
    <row r="269" spans="1:46" ht="65" x14ac:dyDescent="0.3">
      <c r="A269" s="4" t="s">
        <v>1235</v>
      </c>
      <c r="B269" t="s">
        <v>47</v>
      </c>
      <c r="C269" s="4" t="s">
        <v>382</v>
      </c>
      <c r="D269" s="4" t="s">
        <v>324</v>
      </c>
      <c r="E269" s="4" t="s">
        <v>49</v>
      </c>
      <c r="F269" s="5" t="s">
        <v>1236</v>
      </c>
      <c r="G269" s="5" t="s">
        <v>1237</v>
      </c>
      <c r="H269" t="s">
        <v>47</v>
      </c>
      <c r="I269" t="s">
        <v>47</v>
      </c>
      <c r="J269" t="s">
        <v>47</v>
      </c>
      <c r="K269" t="s">
        <v>47</v>
      </c>
      <c r="L269" s="5" t="s">
        <v>60</v>
      </c>
      <c r="M269" t="s">
        <v>47</v>
      </c>
      <c r="N269" t="s">
        <v>47</v>
      </c>
      <c r="O269" t="s">
        <v>47</v>
      </c>
      <c r="P269" t="s">
        <v>47</v>
      </c>
      <c r="Q269" t="s">
        <v>47</v>
      </c>
      <c r="R269" t="s">
        <v>47</v>
      </c>
      <c r="S269" t="s">
        <v>47</v>
      </c>
      <c r="T269" t="s">
        <v>47</v>
      </c>
      <c r="U269" t="s">
        <v>47</v>
      </c>
      <c r="V269" t="s">
        <v>47</v>
      </c>
      <c r="W269" s="3">
        <v>34335</v>
      </c>
      <c r="X269" s="3">
        <v>41579</v>
      </c>
      <c r="Y269" t="s">
        <v>47</v>
      </c>
      <c r="Z269" s="3">
        <v>34335</v>
      </c>
      <c r="AA269" s="3">
        <v>41579</v>
      </c>
      <c r="AB269" t="s">
        <v>47</v>
      </c>
      <c r="AC269" s="3">
        <v>34335</v>
      </c>
      <c r="AD269" s="3">
        <v>41579</v>
      </c>
      <c r="AE269" t="s">
        <v>47</v>
      </c>
      <c r="AF269" t="s">
        <v>47</v>
      </c>
      <c r="AG269" t="s">
        <v>47</v>
      </c>
      <c r="AH269" t="s">
        <v>47</v>
      </c>
      <c r="AI269" t="s">
        <v>47</v>
      </c>
      <c r="AJ269" t="s">
        <v>47</v>
      </c>
      <c r="AK269" t="s">
        <v>47</v>
      </c>
      <c r="AL269" t="s">
        <v>47</v>
      </c>
      <c r="AM269" t="s">
        <v>47</v>
      </c>
      <c r="AN269" t="s">
        <v>47</v>
      </c>
      <c r="AO269" s="5" t="s">
        <v>60</v>
      </c>
      <c r="AP269" s="4" t="s">
        <v>61</v>
      </c>
      <c r="AQ269" s="4" t="s">
        <v>53</v>
      </c>
      <c r="AR269" s="4" t="s">
        <v>1238</v>
      </c>
      <c r="AS269" s="5">
        <v>337</v>
      </c>
      <c r="AT269" t="s">
        <v>47</v>
      </c>
    </row>
    <row r="270" spans="1:46" ht="117" x14ac:dyDescent="0.3">
      <c r="A270" s="4" t="s">
        <v>1239</v>
      </c>
      <c r="B270" t="s">
        <v>47</v>
      </c>
      <c r="C270" s="4" t="s">
        <v>1240</v>
      </c>
      <c r="D270" s="4" t="s">
        <v>1241</v>
      </c>
      <c r="E270" s="4" t="s">
        <v>49</v>
      </c>
      <c r="F270" s="5" t="s">
        <v>1242</v>
      </c>
      <c r="G270" s="5" t="s">
        <v>1243</v>
      </c>
      <c r="H270" t="s">
        <v>47</v>
      </c>
      <c r="I270" s="3">
        <v>35462</v>
      </c>
      <c r="J270" s="5" t="s">
        <v>50</v>
      </c>
      <c r="K270" t="s">
        <v>47</v>
      </c>
      <c r="L270" s="5" t="s">
        <v>60</v>
      </c>
      <c r="M270" s="3">
        <v>35462</v>
      </c>
      <c r="N270" s="5" t="s">
        <v>50</v>
      </c>
      <c r="O270" t="s">
        <v>47</v>
      </c>
      <c r="P270" s="3">
        <v>35462</v>
      </c>
      <c r="Q270" s="5" t="s">
        <v>50</v>
      </c>
      <c r="R270" t="s">
        <v>47</v>
      </c>
      <c r="S270" t="s">
        <v>47</v>
      </c>
      <c r="T270" t="s">
        <v>47</v>
      </c>
      <c r="U270" t="s">
        <v>47</v>
      </c>
      <c r="V270" t="s">
        <v>47</v>
      </c>
      <c r="W270" s="3">
        <v>35462</v>
      </c>
      <c r="X270" s="5" t="s">
        <v>50</v>
      </c>
      <c r="Y270" t="s">
        <v>47</v>
      </c>
      <c r="Z270" s="3">
        <v>35462</v>
      </c>
      <c r="AA270" s="5" t="s">
        <v>50</v>
      </c>
      <c r="AB270" t="s">
        <v>47</v>
      </c>
      <c r="AC270" s="3">
        <v>35462</v>
      </c>
      <c r="AD270" s="5" t="s">
        <v>50</v>
      </c>
      <c r="AE270" t="s">
        <v>47</v>
      </c>
      <c r="AF270" t="s">
        <v>47</v>
      </c>
      <c r="AG270" t="s">
        <v>47</v>
      </c>
      <c r="AH270" t="s">
        <v>47</v>
      </c>
      <c r="AI270" t="s">
        <v>47</v>
      </c>
      <c r="AJ270" t="s">
        <v>47</v>
      </c>
      <c r="AK270" t="s">
        <v>47</v>
      </c>
      <c r="AL270" t="s">
        <v>47</v>
      </c>
      <c r="AM270" t="s">
        <v>47</v>
      </c>
      <c r="AN270" t="s">
        <v>47</v>
      </c>
      <c r="AO270" s="5" t="s">
        <v>60</v>
      </c>
      <c r="AP270" s="4" t="s">
        <v>61</v>
      </c>
      <c r="AQ270" s="4" t="s">
        <v>53</v>
      </c>
      <c r="AR270" s="4" t="s">
        <v>1244</v>
      </c>
      <c r="AS270" s="5">
        <v>40990</v>
      </c>
      <c r="AT270" t="s">
        <v>47</v>
      </c>
    </row>
    <row r="271" spans="1:46" ht="117" x14ac:dyDescent="0.3">
      <c r="A271" s="4" t="s">
        <v>1245</v>
      </c>
      <c r="B271" t="s">
        <v>47</v>
      </c>
      <c r="C271" s="4" t="s">
        <v>1240</v>
      </c>
      <c r="D271" s="4" t="s">
        <v>1241</v>
      </c>
      <c r="E271" s="4" t="s">
        <v>49</v>
      </c>
      <c r="F271" s="5" t="s">
        <v>1246</v>
      </c>
      <c r="G271" s="5" t="s">
        <v>1247</v>
      </c>
      <c r="H271" t="s">
        <v>47</v>
      </c>
      <c r="I271" s="3">
        <v>32143</v>
      </c>
      <c r="J271" s="5" t="s">
        <v>50</v>
      </c>
      <c r="K271" t="s">
        <v>47</v>
      </c>
      <c r="L271" s="5" t="s">
        <v>60</v>
      </c>
      <c r="M271" s="3">
        <v>34335</v>
      </c>
      <c r="N271" s="5" t="s">
        <v>50</v>
      </c>
      <c r="O271" s="5" t="s">
        <v>1248</v>
      </c>
      <c r="P271" s="3">
        <v>32143</v>
      </c>
      <c r="Q271" s="5" t="s">
        <v>50</v>
      </c>
      <c r="R271" t="s">
        <v>47</v>
      </c>
      <c r="S271" t="s">
        <v>47</v>
      </c>
      <c r="T271" t="s">
        <v>47</v>
      </c>
      <c r="U271" t="s">
        <v>47</v>
      </c>
      <c r="V271" t="s">
        <v>47</v>
      </c>
      <c r="W271" s="3">
        <v>32143</v>
      </c>
      <c r="X271" s="5" t="s">
        <v>50</v>
      </c>
      <c r="Y271" t="s">
        <v>47</v>
      </c>
      <c r="Z271" s="3">
        <v>32143</v>
      </c>
      <c r="AA271" s="5" t="s">
        <v>50</v>
      </c>
      <c r="AB271" t="s">
        <v>47</v>
      </c>
      <c r="AC271" s="3">
        <v>32143</v>
      </c>
      <c r="AD271" s="5" t="s">
        <v>50</v>
      </c>
      <c r="AE271" t="s">
        <v>47</v>
      </c>
      <c r="AF271" t="s">
        <v>47</v>
      </c>
      <c r="AG271" t="s">
        <v>47</v>
      </c>
      <c r="AH271" t="s">
        <v>47</v>
      </c>
      <c r="AI271" t="s">
        <v>47</v>
      </c>
      <c r="AJ271" t="s">
        <v>47</v>
      </c>
      <c r="AK271" t="s">
        <v>47</v>
      </c>
      <c r="AL271" t="s">
        <v>47</v>
      </c>
      <c r="AM271" t="s">
        <v>47</v>
      </c>
      <c r="AN271" t="s">
        <v>47</v>
      </c>
      <c r="AO271" s="5" t="s">
        <v>60</v>
      </c>
      <c r="AP271" s="4" t="s">
        <v>61</v>
      </c>
      <c r="AQ271" s="4" t="s">
        <v>53</v>
      </c>
      <c r="AR271" s="4" t="s">
        <v>1249</v>
      </c>
      <c r="AS271" s="5">
        <v>42044</v>
      </c>
      <c r="AT271" t="s">
        <v>47</v>
      </c>
    </row>
    <row r="272" spans="1:46" ht="39" x14ac:dyDescent="0.3">
      <c r="A272" s="4" t="s">
        <v>1250</v>
      </c>
      <c r="B272" t="s">
        <v>47</v>
      </c>
      <c r="C272" s="4" t="s">
        <v>884</v>
      </c>
      <c r="D272" s="4" t="s">
        <v>1251</v>
      </c>
      <c r="E272" s="4" t="s">
        <v>49</v>
      </c>
      <c r="F272" s="5" t="s">
        <v>1252</v>
      </c>
      <c r="G272" s="5" t="s">
        <v>1253</v>
      </c>
      <c r="H272" t="s">
        <v>47</v>
      </c>
      <c r="I272" s="3">
        <v>34973</v>
      </c>
      <c r="J272" s="5" t="s">
        <v>50</v>
      </c>
      <c r="K272" t="s">
        <v>47</v>
      </c>
      <c r="L272" s="5" t="s">
        <v>60</v>
      </c>
      <c r="M272" s="3">
        <v>34973</v>
      </c>
      <c r="N272" s="5" t="s">
        <v>50</v>
      </c>
      <c r="O272" t="s">
        <v>47</v>
      </c>
      <c r="P272" s="3">
        <v>35217</v>
      </c>
      <c r="Q272" s="5" t="s">
        <v>50</v>
      </c>
      <c r="R272" t="s">
        <v>47</v>
      </c>
      <c r="S272" t="s">
        <v>47</v>
      </c>
      <c r="T272" t="s">
        <v>47</v>
      </c>
      <c r="U272" t="s">
        <v>47</v>
      </c>
      <c r="V272" s="5">
        <v>365</v>
      </c>
      <c r="W272" s="3">
        <v>32509</v>
      </c>
      <c r="X272" s="5" t="s">
        <v>50</v>
      </c>
      <c r="Y272" t="s">
        <v>47</v>
      </c>
      <c r="Z272" s="3">
        <v>32509</v>
      </c>
      <c r="AA272" s="5" t="s">
        <v>50</v>
      </c>
      <c r="AB272" t="s">
        <v>47</v>
      </c>
      <c r="AC272" s="3">
        <v>32509</v>
      </c>
      <c r="AD272" s="5" t="s">
        <v>50</v>
      </c>
      <c r="AE272" t="s">
        <v>47</v>
      </c>
      <c r="AF272" t="s">
        <v>47</v>
      </c>
      <c r="AG272" t="s">
        <v>47</v>
      </c>
      <c r="AH272" t="s">
        <v>47</v>
      </c>
      <c r="AI272" t="s">
        <v>47</v>
      </c>
      <c r="AJ272" t="s">
        <v>47</v>
      </c>
      <c r="AK272" t="s">
        <v>47</v>
      </c>
      <c r="AL272" t="s">
        <v>47</v>
      </c>
      <c r="AM272" t="s">
        <v>47</v>
      </c>
      <c r="AN272" t="s">
        <v>47</v>
      </c>
      <c r="AO272" s="5" t="s">
        <v>60</v>
      </c>
      <c r="AP272" s="4" t="s">
        <v>61</v>
      </c>
      <c r="AQ272" s="4" t="s">
        <v>53</v>
      </c>
      <c r="AR272" s="4" t="s">
        <v>1254</v>
      </c>
      <c r="AS272" s="5">
        <v>47985</v>
      </c>
      <c r="AT272" t="s">
        <v>47</v>
      </c>
    </row>
    <row r="273" spans="1:46" ht="13" x14ac:dyDescent="0.3">
      <c r="A273" s="4" t="s">
        <v>1255</v>
      </c>
      <c r="B273" t="s">
        <v>47</v>
      </c>
      <c r="C273" s="4" t="s">
        <v>169</v>
      </c>
      <c r="D273" s="4" t="s">
        <v>88</v>
      </c>
      <c r="E273" s="4" t="s">
        <v>66</v>
      </c>
      <c r="F273" s="5" t="s">
        <v>1256</v>
      </c>
      <c r="G273" s="5" t="s">
        <v>1257</v>
      </c>
      <c r="H273" t="s">
        <v>47</v>
      </c>
      <c r="I273" s="3">
        <v>35431</v>
      </c>
      <c r="J273" s="3">
        <v>39326</v>
      </c>
      <c r="K273" t="s">
        <v>47</v>
      </c>
      <c r="L273" s="5" t="s">
        <v>60</v>
      </c>
      <c r="M273" s="3">
        <v>35431</v>
      </c>
      <c r="N273" s="3">
        <v>39326</v>
      </c>
      <c r="O273" t="s">
        <v>47</v>
      </c>
      <c r="P273" s="3">
        <v>35431</v>
      </c>
      <c r="Q273" s="3">
        <v>39326</v>
      </c>
      <c r="R273" t="s">
        <v>47</v>
      </c>
      <c r="S273" t="s">
        <v>47</v>
      </c>
      <c r="T273" t="s">
        <v>47</v>
      </c>
      <c r="U273" t="s">
        <v>47</v>
      </c>
      <c r="V273" t="s">
        <v>47</v>
      </c>
      <c r="W273" s="3">
        <v>32509</v>
      </c>
      <c r="X273" s="3">
        <v>45292</v>
      </c>
      <c r="Y273" t="s">
        <v>47</v>
      </c>
      <c r="Z273" s="3">
        <v>32509</v>
      </c>
      <c r="AA273" s="3">
        <v>45292</v>
      </c>
      <c r="AB273" t="s">
        <v>47</v>
      </c>
      <c r="AC273" s="3">
        <v>32509</v>
      </c>
      <c r="AD273" s="3">
        <v>43040</v>
      </c>
      <c r="AE273" t="s">
        <v>47</v>
      </c>
      <c r="AF273" t="s">
        <v>47</v>
      </c>
      <c r="AG273" t="s">
        <v>47</v>
      </c>
      <c r="AH273" t="s">
        <v>47</v>
      </c>
      <c r="AI273" t="s">
        <v>47</v>
      </c>
      <c r="AJ273" t="s">
        <v>47</v>
      </c>
      <c r="AK273" t="s">
        <v>47</v>
      </c>
      <c r="AL273" t="s">
        <v>47</v>
      </c>
      <c r="AM273" t="s">
        <v>47</v>
      </c>
      <c r="AN273" t="s">
        <v>47</v>
      </c>
      <c r="AO273" s="5" t="s">
        <v>60</v>
      </c>
      <c r="AP273" s="4" t="s">
        <v>61</v>
      </c>
      <c r="AQ273" s="4" t="s">
        <v>53</v>
      </c>
      <c r="AR273" s="4" t="s">
        <v>389</v>
      </c>
      <c r="AS273" s="5">
        <v>47353</v>
      </c>
      <c r="AT273" t="s">
        <v>47</v>
      </c>
    </row>
    <row r="274" spans="1:46" ht="39" x14ac:dyDescent="0.3">
      <c r="A274" s="4" t="s">
        <v>1258</v>
      </c>
      <c r="B274" t="s">
        <v>47</v>
      </c>
      <c r="C274" s="4" t="s">
        <v>1259</v>
      </c>
      <c r="D274" s="4" t="s">
        <v>1015</v>
      </c>
      <c r="E274" s="4" t="s">
        <v>100</v>
      </c>
      <c r="F274" s="5" t="s">
        <v>1260</v>
      </c>
      <c r="G274" s="5" t="s">
        <v>1261</v>
      </c>
      <c r="H274" t="s">
        <v>47</v>
      </c>
      <c r="I274" t="s">
        <v>47</v>
      </c>
      <c r="J274" t="s">
        <v>47</v>
      </c>
      <c r="K274" t="s">
        <v>47</v>
      </c>
      <c r="L274" s="5" t="s">
        <v>60</v>
      </c>
      <c r="M274" t="s">
        <v>47</v>
      </c>
      <c r="N274" t="s">
        <v>47</v>
      </c>
      <c r="O274" t="s">
        <v>47</v>
      </c>
      <c r="P274" t="s">
        <v>47</v>
      </c>
      <c r="Q274" t="s">
        <v>47</v>
      </c>
      <c r="R274" t="s">
        <v>47</v>
      </c>
      <c r="S274" t="s">
        <v>47</v>
      </c>
      <c r="T274" t="s">
        <v>47</v>
      </c>
      <c r="U274" t="s">
        <v>47</v>
      </c>
      <c r="V274" t="s">
        <v>47</v>
      </c>
      <c r="W274" s="3">
        <v>33970</v>
      </c>
      <c r="X274" s="3">
        <v>43556</v>
      </c>
      <c r="Y274" t="s">
        <v>47</v>
      </c>
      <c r="Z274" s="3">
        <v>33970</v>
      </c>
      <c r="AA274" s="3">
        <v>43556</v>
      </c>
      <c r="AB274" t="s">
        <v>47</v>
      </c>
      <c r="AC274" s="3">
        <v>43191</v>
      </c>
      <c r="AD274" s="3">
        <v>43556</v>
      </c>
      <c r="AE274" t="s">
        <v>47</v>
      </c>
      <c r="AF274" t="s">
        <v>47</v>
      </c>
      <c r="AG274" t="s">
        <v>47</v>
      </c>
      <c r="AH274" t="s">
        <v>47</v>
      </c>
      <c r="AI274" t="s">
        <v>47</v>
      </c>
      <c r="AJ274" t="s">
        <v>47</v>
      </c>
      <c r="AK274" t="s">
        <v>47</v>
      </c>
      <c r="AL274" t="s">
        <v>47</v>
      </c>
      <c r="AM274" t="s">
        <v>47</v>
      </c>
      <c r="AN274" t="s">
        <v>47</v>
      </c>
      <c r="AO274" s="5" t="s">
        <v>60</v>
      </c>
      <c r="AP274" s="4" t="s">
        <v>61</v>
      </c>
      <c r="AQ274" s="4" t="s">
        <v>53</v>
      </c>
      <c r="AR274" s="4" t="s">
        <v>62</v>
      </c>
      <c r="AS274" s="5">
        <v>42743</v>
      </c>
      <c r="AT274" t="s">
        <v>47</v>
      </c>
    </row>
    <row r="275" spans="1:46" ht="78" x14ac:dyDescent="0.3">
      <c r="A275" s="4" t="s">
        <v>1262</v>
      </c>
      <c r="B275" t="s">
        <v>47</v>
      </c>
      <c r="C275" s="4" t="s">
        <v>1263</v>
      </c>
      <c r="D275" s="4" t="s">
        <v>275</v>
      </c>
      <c r="E275" s="4" t="s">
        <v>49</v>
      </c>
      <c r="F275" s="5" t="s">
        <v>1264</v>
      </c>
      <c r="G275" t="s">
        <v>47</v>
      </c>
      <c r="H275" t="s">
        <v>47</v>
      </c>
      <c r="I275" s="3">
        <v>35886</v>
      </c>
      <c r="J275" s="5" t="s">
        <v>50</v>
      </c>
      <c r="K275" t="s">
        <v>47</v>
      </c>
      <c r="L275" s="5" t="s">
        <v>60</v>
      </c>
      <c r="M275" s="3">
        <v>35886</v>
      </c>
      <c r="N275" s="5" t="s">
        <v>50</v>
      </c>
      <c r="O275" t="s">
        <v>47</v>
      </c>
      <c r="P275" s="3">
        <v>35886</v>
      </c>
      <c r="Q275" s="5" t="s">
        <v>50</v>
      </c>
      <c r="R275" t="s">
        <v>47</v>
      </c>
      <c r="S275" t="s">
        <v>47</v>
      </c>
      <c r="T275" t="s">
        <v>47</v>
      </c>
      <c r="U275" t="s">
        <v>47</v>
      </c>
      <c r="V275" t="s">
        <v>47</v>
      </c>
      <c r="W275" s="3">
        <v>35886</v>
      </c>
      <c r="X275" s="5" t="s">
        <v>50</v>
      </c>
      <c r="Y275" t="s">
        <v>47</v>
      </c>
      <c r="Z275" s="3">
        <v>35886</v>
      </c>
      <c r="AA275" s="5" t="s">
        <v>50</v>
      </c>
      <c r="AB275" t="s">
        <v>47</v>
      </c>
      <c r="AC275" s="3">
        <v>35886</v>
      </c>
      <c r="AD275" s="5" t="s">
        <v>50</v>
      </c>
      <c r="AE275" t="s">
        <v>47</v>
      </c>
      <c r="AF275" t="s">
        <v>47</v>
      </c>
      <c r="AG275" t="s">
        <v>47</v>
      </c>
      <c r="AH275" t="s">
        <v>47</v>
      </c>
      <c r="AI275" t="s">
        <v>47</v>
      </c>
      <c r="AJ275" t="s">
        <v>47</v>
      </c>
      <c r="AK275" t="s">
        <v>47</v>
      </c>
      <c r="AL275" t="s">
        <v>47</v>
      </c>
      <c r="AM275" t="s">
        <v>47</v>
      </c>
      <c r="AN275" t="s">
        <v>47</v>
      </c>
      <c r="AO275" s="5" t="s">
        <v>60</v>
      </c>
      <c r="AP275" s="4" t="s">
        <v>61</v>
      </c>
      <c r="AQ275" s="4" t="s">
        <v>53</v>
      </c>
      <c r="AR275" s="4" t="s">
        <v>136</v>
      </c>
      <c r="AS275" s="5">
        <v>47847</v>
      </c>
      <c r="AT275" t="s">
        <v>47</v>
      </c>
    </row>
    <row r="276" spans="1:46" ht="39" x14ac:dyDescent="0.3">
      <c r="A276" s="4" t="s">
        <v>1265</v>
      </c>
      <c r="B276" t="s">
        <v>47</v>
      </c>
      <c r="C276" s="4" t="s">
        <v>519</v>
      </c>
      <c r="D276" s="4" t="s">
        <v>88</v>
      </c>
      <c r="E276" s="4" t="s">
        <v>49</v>
      </c>
      <c r="F276" s="5" t="s">
        <v>1266</v>
      </c>
      <c r="G276" s="5" t="s">
        <v>1267</v>
      </c>
      <c r="H276" t="s">
        <v>47</v>
      </c>
      <c r="I276" s="3">
        <v>35431</v>
      </c>
      <c r="J276" s="3">
        <v>40452</v>
      </c>
      <c r="K276" t="s">
        <v>47</v>
      </c>
      <c r="L276" s="5" t="s">
        <v>60</v>
      </c>
      <c r="M276" s="3">
        <v>35431</v>
      </c>
      <c r="N276" s="3">
        <v>40452</v>
      </c>
      <c r="O276" t="s">
        <v>47</v>
      </c>
      <c r="P276" s="3">
        <v>35431</v>
      </c>
      <c r="Q276" s="3">
        <v>40452</v>
      </c>
      <c r="R276" t="s">
        <v>47</v>
      </c>
      <c r="S276" t="s">
        <v>47</v>
      </c>
      <c r="T276" t="s">
        <v>47</v>
      </c>
      <c r="U276" t="s">
        <v>47</v>
      </c>
      <c r="V276" t="s">
        <v>47</v>
      </c>
      <c r="W276" s="3">
        <v>35431</v>
      </c>
      <c r="X276" s="5" t="s">
        <v>50</v>
      </c>
      <c r="Y276" t="s">
        <v>47</v>
      </c>
      <c r="Z276" s="3">
        <v>35431</v>
      </c>
      <c r="AA276" s="5" t="s">
        <v>50</v>
      </c>
      <c r="AB276" t="s">
        <v>47</v>
      </c>
      <c r="AC276" s="3">
        <v>35431</v>
      </c>
      <c r="AD276" s="5" t="s">
        <v>50</v>
      </c>
      <c r="AE276" t="s">
        <v>47</v>
      </c>
      <c r="AF276" t="s">
        <v>47</v>
      </c>
      <c r="AG276" t="s">
        <v>47</v>
      </c>
      <c r="AH276" t="s">
        <v>47</v>
      </c>
      <c r="AI276" t="s">
        <v>47</v>
      </c>
      <c r="AJ276" t="s">
        <v>47</v>
      </c>
      <c r="AK276" t="s">
        <v>47</v>
      </c>
      <c r="AL276" t="s">
        <v>47</v>
      </c>
      <c r="AM276" t="s">
        <v>47</v>
      </c>
      <c r="AN276" t="s">
        <v>47</v>
      </c>
      <c r="AO276" s="5" t="s">
        <v>60</v>
      </c>
      <c r="AP276" s="4" t="s">
        <v>61</v>
      </c>
      <c r="AQ276" s="4" t="s">
        <v>53</v>
      </c>
      <c r="AR276" s="4" t="s">
        <v>62</v>
      </c>
      <c r="AS276" s="5">
        <v>35611</v>
      </c>
      <c r="AT276" t="s">
        <v>47</v>
      </c>
    </row>
    <row r="277" spans="1:46" ht="39" x14ac:dyDescent="0.3">
      <c r="A277" s="4" t="s">
        <v>1268</v>
      </c>
      <c r="B277" t="s">
        <v>47</v>
      </c>
      <c r="C277" s="4" t="s">
        <v>312</v>
      </c>
      <c r="D277" s="4" t="s">
        <v>313</v>
      </c>
      <c r="E277" s="4" t="s">
        <v>49</v>
      </c>
      <c r="F277" s="5" t="s">
        <v>1269</v>
      </c>
      <c r="G277" s="5" t="s">
        <v>1270</v>
      </c>
      <c r="H277" t="s">
        <v>47</v>
      </c>
      <c r="I277" s="3">
        <v>39814</v>
      </c>
      <c r="J277" s="3">
        <v>40179</v>
      </c>
      <c r="K277" t="s">
        <v>47</v>
      </c>
      <c r="L277" s="5" t="s">
        <v>60</v>
      </c>
      <c r="M277" s="3">
        <v>39814</v>
      </c>
      <c r="N277" s="3">
        <v>40179</v>
      </c>
      <c r="O277" t="s">
        <v>47</v>
      </c>
      <c r="P277" s="3">
        <v>39814</v>
      </c>
      <c r="Q277" s="3">
        <v>40179</v>
      </c>
      <c r="R277" t="s">
        <v>47</v>
      </c>
      <c r="S277" t="s">
        <v>47</v>
      </c>
      <c r="T277" t="s">
        <v>47</v>
      </c>
      <c r="U277" t="s">
        <v>47</v>
      </c>
      <c r="V277" t="s">
        <v>47</v>
      </c>
      <c r="W277" s="3">
        <v>39814</v>
      </c>
      <c r="X277" s="3">
        <v>40179</v>
      </c>
      <c r="Y277" t="s">
        <v>47</v>
      </c>
      <c r="Z277" s="3">
        <v>39814</v>
      </c>
      <c r="AA277" s="3">
        <v>40179</v>
      </c>
      <c r="AB277" t="s">
        <v>47</v>
      </c>
      <c r="AC277" s="3">
        <v>39814</v>
      </c>
      <c r="AD277" s="3">
        <v>40179</v>
      </c>
      <c r="AE277" t="s">
        <v>47</v>
      </c>
      <c r="AF277" t="s">
        <v>47</v>
      </c>
      <c r="AG277" t="s">
        <v>47</v>
      </c>
      <c r="AH277" t="s">
        <v>47</v>
      </c>
      <c r="AI277" t="s">
        <v>47</v>
      </c>
      <c r="AJ277" t="s">
        <v>47</v>
      </c>
      <c r="AK277" t="s">
        <v>47</v>
      </c>
      <c r="AL277" t="s">
        <v>47</v>
      </c>
      <c r="AM277" t="s">
        <v>47</v>
      </c>
      <c r="AN277" t="s">
        <v>47</v>
      </c>
      <c r="AO277" s="5" t="s">
        <v>60</v>
      </c>
      <c r="AP277" s="4" t="s">
        <v>61</v>
      </c>
      <c r="AQ277" s="4" t="s">
        <v>53</v>
      </c>
      <c r="AR277" s="4" t="s">
        <v>62</v>
      </c>
      <c r="AS277" s="5">
        <v>54897</v>
      </c>
      <c r="AT277" t="s">
        <v>47</v>
      </c>
    </row>
    <row r="278" spans="1:46" ht="39" x14ac:dyDescent="0.3">
      <c r="A278" s="4" t="s">
        <v>1271</v>
      </c>
      <c r="B278" t="s">
        <v>47</v>
      </c>
      <c r="C278" s="4" t="s">
        <v>1272</v>
      </c>
      <c r="D278" s="4" t="s">
        <v>88</v>
      </c>
      <c r="E278" s="4" t="s">
        <v>49</v>
      </c>
      <c r="F278" s="5" t="s">
        <v>1273</v>
      </c>
      <c r="G278" t="s">
        <v>47</v>
      </c>
      <c r="H278" t="s">
        <v>47</v>
      </c>
      <c r="I278" s="3">
        <v>36161</v>
      </c>
      <c r="J278" s="5" t="s">
        <v>50</v>
      </c>
      <c r="K278" t="s">
        <v>47</v>
      </c>
      <c r="L278" s="5" t="s">
        <v>60</v>
      </c>
      <c r="M278" s="3">
        <v>36161</v>
      </c>
      <c r="N278" s="5" t="s">
        <v>50</v>
      </c>
      <c r="O278" t="s">
        <v>47</v>
      </c>
      <c r="P278" s="3">
        <v>36161</v>
      </c>
      <c r="Q278" s="5" t="s">
        <v>50</v>
      </c>
      <c r="R278" t="s">
        <v>47</v>
      </c>
      <c r="S278" t="s">
        <v>47</v>
      </c>
      <c r="T278" t="s">
        <v>47</v>
      </c>
      <c r="U278" t="s">
        <v>47</v>
      </c>
      <c r="V278" t="s">
        <v>47</v>
      </c>
      <c r="W278" s="3">
        <v>36161</v>
      </c>
      <c r="X278" s="5" t="s">
        <v>50</v>
      </c>
      <c r="Y278" t="s">
        <v>47</v>
      </c>
      <c r="Z278" s="3">
        <v>36161</v>
      </c>
      <c r="AA278" s="5" t="s">
        <v>50</v>
      </c>
      <c r="AB278" t="s">
        <v>47</v>
      </c>
      <c r="AC278" s="3">
        <v>36161</v>
      </c>
      <c r="AD278" s="5" t="s">
        <v>50</v>
      </c>
      <c r="AE278" t="s">
        <v>47</v>
      </c>
      <c r="AF278" t="s">
        <v>47</v>
      </c>
      <c r="AG278" t="s">
        <v>47</v>
      </c>
      <c r="AH278" t="s">
        <v>47</v>
      </c>
      <c r="AI278" t="s">
        <v>47</v>
      </c>
      <c r="AJ278" t="s">
        <v>47</v>
      </c>
      <c r="AK278" t="s">
        <v>47</v>
      </c>
      <c r="AL278" t="s">
        <v>47</v>
      </c>
      <c r="AM278" t="s">
        <v>47</v>
      </c>
      <c r="AN278" t="s">
        <v>47</v>
      </c>
      <c r="AO278" s="5" t="s">
        <v>60</v>
      </c>
      <c r="AP278" s="4" t="s">
        <v>61</v>
      </c>
      <c r="AQ278" s="4" t="s">
        <v>53</v>
      </c>
      <c r="AR278" s="4" t="s">
        <v>62</v>
      </c>
      <c r="AS278" s="5">
        <v>1059</v>
      </c>
      <c r="AT278" t="s">
        <v>47</v>
      </c>
    </row>
    <row r="279" spans="1:46" ht="104" x14ac:dyDescent="0.3">
      <c r="A279" s="4" t="s">
        <v>1274</v>
      </c>
      <c r="B279" t="s">
        <v>47</v>
      </c>
      <c r="C279" s="4" t="s">
        <v>183</v>
      </c>
      <c r="D279" s="4" t="s">
        <v>333</v>
      </c>
      <c r="E279" s="4" t="s">
        <v>49</v>
      </c>
      <c r="F279" s="5" t="s">
        <v>1275</v>
      </c>
      <c r="G279" s="5" t="s">
        <v>1276</v>
      </c>
      <c r="H279" t="s">
        <v>47</v>
      </c>
      <c r="I279" s="3">
        <v>36434</v>
      </c>
      <c r="J279" s="3">
        <v>40299</v>
      </c>
      <c r="K279" t="s">
        <v>47</v>
      </c>
      <c r="L279" s="5" t="s">
        <v>60</v>
      </c>
      <c r="M279" t="s">
        <v>47</v>
      </c>
      <c r="N279" t="s">
        <v>47</v>
      </c>
      <c r="O279" t="s">
        <v>47</v>
      </c>
      <c r="P279" s="3">
        <v>36434</v>
      </c>
      <c r="Q279" s="3">
        <v>40299</v>
      </c>
      <c r="R279" t="s">
        <v>47</v>
      </c>
      <c r="S279" t="s">
        <v>47</v>
      </c>
      <c r="T279" t="s">
        <v>47</v>
      </c>
      <c r="U279" t="s">
        <v>47</v>
      </c>
      <c r="V279" t="s">
        <v>47</v>
      </c>
      <c r="W279" s="3">
        <v>28095</v>
      </c>
      <c r="X279" s="5" t="s">
        <v>50</v>
      </c>
      <c r="Y279" t="s">
        <v>47</v>
      </c>
      <c r="Z279" s="3">
        <v>28095</v>
      </c>
      <c r="AA279" s="5" t="s">
        <v>50</v>
      </c>
      <c r="AB279" t="s">
        <v>47</v>
      </c>
      <c r="AC279" s="3">
        <v>37987</v>
      </c>
      <c r="AD279" s="5" t="s">
        <v>50</v>
      </c>
      <c r="AE279" t="s">
        <v>47</v>
      </c>
      <c r="AF279" t="s">
        <v>47</v>
      </c>
      <c r="AG279" t="s">
        <v>47</v>
      </c>
      <c r="AH279" t="s">
        <v>47</v>
      </c>
      <c r="AI279" t="s">
        <v>47</v>
      </c>
      <c r="AJ279" t="s">
        <v>47</v>
      </c>
      <c r="AK279" t="s">
        <v>47</v>
      </c>
      <c r="AL279" t="s">
        <v>47</v>
      </c>
      <c r="AM279" t="s">
        <v>47</v>
      </c>
      <c r="AN279" t="s">
        <v>47</v>
      </c>
      <c r="AO279" s="5" t="s">
        <v>60</v>
      </c>
      <c r="AP279" s="4" t="s">
        <v>61</v>
      </c>
      <c r="AQ279" s="4" t="s">
        <v>53</v>
      </c>
      <c r="AR279" s="4" t="s">
        <v>1277</v>
      </c>
      <c r="AS279" s="5">
        <v>46927</v>
      </c>
      <c r="AT279" t="s">
        <v>47</v>
      </c>
    </row>
    <row r="280" spans="1:46" ht="143" x14ac:dyDescent="0.3">
      <c r="A280" s="4" t="s">
        <v>1278</v>
      </c>
      <c r="B280" t="s">
        <v>47</v>
      </c>
      <c r="C280" s="4" t="s">
        <v>169</v>
      </c>
      <c r="D280" s="4" t="s">
        <v>339</v>
      </c>
      <c r="E280" s="4" t="s">
        <v>66</v>
      </c>
      <c r="F280" s="5" t="s">
        <v>1279</v>
      </c>
      <c r="G280" s="5" t="s">
        <v>1280</v>
      </c>
      <c r="H280" t="s">
        <v>47</v>
      </c>
      <c r="I280" t="s">
        <v>47</v>
      </c>
      <c r="J280" t="s">
        <v>47</v>
      </c>
      <c r="K280" t="s">
        <v>47</v>
      </c>
      <c r="L280" s="5" t="s">
        <v>60</v>
      </c>
      <c r="M280" t="s">
        <v>47</v>
      </c>
      <c r="N280" t="s">
        <v>47</v>
      </c>
      <c r="O280" t="s">
        <v>47</v>
      </c>
      <c r="P280" t="s">
        <v>47</v>
      </c>
      <c r="Q280" t="s">
        <v>47</v>
      </c>
      <c r="R280" t="s">
        <v>47</v>
      </c>
      <c r="S280" t="s">
        <v>47</v>
      </c>
      <c r="T280" t="s">
        <v>47</v>
      </c>
      <c r="U280" t="s">
        <v>47</v>
      </c>
      <c r="V280" t="s">
        <v>47</v>
      </c>
      <c r="W280" s="3">
        <v>32509</v>
      </c>
      <c r="X280" s="5" t="s">
        <v>50</v>
      </c>
      <c r="Y280" t="s">
        <v>47</v>
      </c>
      <c r="Z280" s="3">
        <v>32509</v>
      </c>
      <c r="AA280" s="5" t="s">
        <v>50</v>
      </c>
      <c r="AB280" t="s">
        <v>47</v>
      </c>
      <c r="AC280" s="3">
        <v>32509</v>
      </c>
      <c r="AD280" s="5" t="s">
        <v>50</v>
      </c>
      <c r="AE280" t="s">
        <v>47</v>
      </c>
      <c r="AF280" t="s">
        <v>47</v>
      </c>
      <c r="AG280" t="s">
        <v>47</v>
      </c>
      <c r="AH280" t="s">
        <v>47</v>
      </c>
      <c r="AI280" t="s">
        <v>47</v>
      </c>
      <c r="AJ280" t="s">
        <v>47</v>
      </c>
      <c r="AK280" t="s">
        <v>47</v>
      </c>
      <c r="AL280" t="s">
        <v>47</v>
      </c>
      <c r="AM280" t="s">
        <v>47</v>
      </c>
      <c r="AN280" t="s">
        <v>47</v>
      </c>
      <c r="AO280" s="5" t="s">
        <v>60</v>
      </c>
      <c r="AP280" s="4" t="s">
        <v>61</v>
      </c>
      <c r="AQ280" s="4" t="s">
        <v>53</v>
      </c>
      <c r="AR280" s="4" t="s">
        <v>1281</v>
      </c>
      <c r="AS280" s="5">
        <v>1271</v>
      </c>
      <c r="AT280" t="s">
        <v>47</v>
      </c>
    </row>
    <row r="281" spans="1:46" ht="39" x14ac:dyDescent="0.3">
      <c r="A281" s="4" t="s">
        <v>1282</v>
      </c>
      <c r="B281" t="s">
        <v>47</v>
      </c>
      <c r="C281" s="4" t="s">
        <v>169</v>
      </c>
      <c r="D281" s="4" t="s">
        <v>339</v>
      </c>
      <c r="E281" s="4" t="s">
        <v>66</v>
      </c>
      <c r="F281" s="5" t="s">
        <v>1283</v>
      </c>
      <c r="G281" s="5" t="s">
        <v>1284</v>
      </c>
      <c r="H281" t="s">
        <v>47</v>
      </c>
      <c r="I281" t="s">
        <v>47</v>
      </c>
      <c r="J281" t="s">
        <v>47</v>
      </c>
      <c r="K281" t="s">
        <v>47</v>
      </c>
      <c r="L281" s="5" t="s">
        <v>60</v>
      </c>
      <c r="M281" t="s">
        <v>47</v>
      </c>
      <c r="N281" t="s">
        <v>47</v>
      </c>
      <c r="O281" t="s">
        <v>47</v>
      </c>
      <c r="P281" t="s">
        <v>47</v>
      </c>
      <c r="Q281" t="s">
        <v>47</v>
      </c>
      <c r="R281" t="s">
        <v>47</v>
      </c>
      <c r="S281" t="s">
        <v>47</v>
      </c>
      <c r="T281" t="s">
        <v>47</v>
      </c>
      <c r="U281" t="s">
        <v>47</v>
      </c>
      <c r="V281" t="s">
        <v>47</v>
      </c>
      <c r="W281" s="3">
        <v>32568</v>
      </c>
      <c r="X281" s="5" t="s">
        <v>50</v>
      </c>
      <c r="Y281" t="s">
        <v>47</v>
      </c>
      <c r="Z281" s="3">
        <v>32568</v>
      </c>
      <c r="AA281" s="5" t="s">
        <v>50</v>
      </c>
      <c r="AB281" t="s">
        <v>47</v>
      </c>
      <c r="AC281" s="3">
        <v>32568</v>
      </c>
      <c r="AD281" s="5" t="s">
        <v>50</v>
      </c>
      <c r="AE281" t="s">
        <v>47</v>
      </c>
      <c r="AF281" t="s">
        <v>47</v>
      </c>
      <c r="AG281" t="s">
        <v>47</v>
      </c>
      <c r="AH281" t="s">
        <v>47</v>
      </c>
      <c r="AI281" t="s">
        <v>47</v>
      </c>
      <c r="AJ281" t="s">
        <v>47</v>
      </c>
      <c r="AK281" t="s">
        <v>47</v>
      </c>
      <c r="AL281" t="s">
        <v>47</v>
      </c>
      <c r="AM281" t="s">
        <v>47</v>
      </c>
      <c r="AN281" t="s">
        <v>47</v>
      </c>
      <c r="AO281" s="5" t="s">
        <v>60</v>
      </c>
      <c r="AP281" s="4" t="s">
        <v>61</v>
      </c>
      <c r="AQ281" s="4" t="s">
        <v>53</v>
      </c>
      <c r="AR281" s="4" t="s">
        <v>1285</v>
      </c>
      <c r="AS281" s="5">
        <v>1273</v>
      </c>
      <c r="AT281" t="s">
        <v>47</v>
      </c>
    </row>
    <row r="282" spans="1:46" ht="91" x14ac:dyDescent="0.3">
      <c r="A282" s="4" t="s">
        <v>1286</v>
      </c>
      <c r="B282" t="s">
        <v>47</v>
      </c>
      <c r="C282" s="4" t="s">
        <v>1287</v>
      </c>
      <c r="D282" s="4" t="s">
        <v>1288</v>
      </c>
      <c r="E282" s="4" t="s">
        <v>49</v>
      </c>
      <c r="F282" s="5" t="s">
        <v>1289</v>
      </c>
      <c r="G282" s="5" t="s">
        <v>1290</v>
      </c>
      <c r="H282" t="s">
        <v>47</v>
      </c>
      <c r="I282" s="3">
        <v>34335</v>
      </c>
      <c r="J282" s="3">
        <v>38626</v>
      </c>
      <c r="K282" t="s">
        <v>47</v>
      </c>
      <c r="L282" s="5" t="s">
        <v>60</v>
      </c>
      <c r="M282" s="3">
        <v>34335</v>
      </c>
      <c r="N282" s="3">
        <v>38626</v>
      </c>
      <c r="O282" t="s">
        <v>47</v>
      </c>
      <c r="P282" s="3">
        <v>35156</v>
      </c>
      <c r="Q282" s="3">
        <v>38626</v>
      </c>
      <c r="R282" t="s">
        <v>47</v>
      </c>
      <c r="S282" t="s">
        <v>47</v>
      </c>
      <c r="T282" t="s">
        <v>47</v>
      </c>
      <c r="U282" t="s">
        <v>47</v>
      </c>
      <c r="V282" t="s">
        <v>47</v>
      </c>
      <c r="W282" s="3">
        <v>32599</v>
      </c>
      <c r="X282" s="5" t="s">
        <v>50</v>
      </c>
      <c r="Y282" t="s">
        <v>47</v>
      </c>
      <c r="Z282" s="3">
        <v>32599</v>
      </c>
      <c r="AA282" s="5" t="s">
        <v>50</v>
      </c>
      <c r="AB282" t="s">
        <v>47</v>
      </c>
      <c r="AC282" s="3">
        <v>32599</v>
      </c>
      <c r="AD282" s="5" t="s">
        <v>50</v>
      </c>
      <c r="AE282" t="s">
        <v>47</v>
      </c>
      <c r="AF282" t="s">
        <v>47</v>
      </c>
      <c r="AG282" t="s">
        <v>47</v>
      </c>
      <c r="AH282" t="s">
        <v>47</v>
      </c>
      <c r="AI282" t="s">
        <v>47</v>
      </c>
      <c r="AJ282" t="s">
        <v>47</v>
      </c>
      <c r="AK282" t="s">
        <v>47</v>
      </c>
      <c r="AL282" t="s">
        <v>47</v>
      </c>
      <c r="AM282" t="s">
        <v>47</v>
      </c>
      <c r="AN282" t="s">
        <v>47</v>
      </c>
      <c r="AO282" s="5" t="s">
        <v>60</v>
      </c>
      <c r="AP282" s="4" t="s">
        <v>61</v>
      </c>
      <c r="AQ282" s="4" t="s">
        <v>53</v>
      </c>
      <c r="AR282" s="4" t="s">
        <v>1291</v>
      </c>
      <c r="AS282" s="5">
        <v>42242</v>
      </c>
      <c r="AT282" t="s">
        <v>47</v>
      </c>
    </row>
    <row r="283" spans="1:46" ht="26" x14ac:dyDescent="0.3">
      <c r="A283" s="4" t="s">
        <v>1292</v>
      </c>
      <c r="B283" t="s">
        <v>47</v>
      </c>
      <c r="C283" s="4" t="s">
        <v>169</v>
      </c>
      <c r="D283" s="4" t="s">
        <v>1293</v>
      </c>
      <c r="E283" s="4" t="s">
        <v>66</v>
      </c>
      <c r="F283" s="5" t="s">
        <v>1294</v>
      </c>
      <c r="G283" s="5" t="s">
        <v>1295</v>
      </c>
      <c r="H283" t="s">
        <v>47</v>
      </c>
      <c r="I283" s="3">
        <v>35796</v>
      </c>
      <c r="J283" s="3">
        <v>38443</v>
      </c>
      <c r="K283" t="s">
        <v>47</v>
      </c>
      <c r="L283" s="5" t="s">
        <v>51</v>
      </c>
      <c r="M283" s="3">
        <v>35796</v>
      </c>
      <c r="N283" s="3">
        <v>38443</v>
      </c>
      <c r="O283" t="s">
        <v>47</v>
      </c>
      <c r="P283" s="3">
        <v>35796</v>
      </c>
      <c r="Q283" s="3">
        <v>38443</v>
      </c>
      <c r="R283" t="s">
        <v>47</v>
      </c>
      <c r="S283" t="s">
        <v>47</v>
      </c>
      <c r="T283" t="s">
        <v>47</v>
      </c>
      <c r="U283" t="s">
        <v>47</v>
      </c>
      <c r="V283" t="s">
        <v>47</v>
      </c>
      <c r="W283" s="3">
        <v>35796</v>
      </c>
      <c r="X283" s="3">
        <v>42370</v>
      </c>
      <c r="Y283" t="s">
        <v>47</v>
      </c>
      <c r="Z283" s="3">
        <v>35796</v>
      </c>
      <c r="AA283" s="3">
        <v>42370</v>
      </c>
      <c r="AB283" t="s">
        <v>47</v>
      </c>
      <c r="AC283" s="3">
        <v>35796</v>
      </c>
      <c r="AD283" s="3">
        <v>42370</v>
      </c>
      <c r="AE283" t="s">
        <v>47</v>
      </c>
      <c r="AF283" t="s">
        <v>47</v>
      </c>
      <c r="AG283" t="s">
        <v>47</v>
      </c>
      <c r="AH283" t="s">
        <v>47</v>
      </c>
      <c r="AI283" t="s">
        <v>47</v>
      </c>
      <c r="AJ283" t="s">
        <v>47</v>
      </c>
      <c r="AK283" t="s">
        <v>47</v>
      </c>
      <c r="AL283" t="s">
        <v>47</v>
      </c>
      <c r="AM283" t="s">
        <v>47</v>
      </c>
      <c r="AN283" t="s">
        <v>47</v>
      </c>
      <c r="AO283" s="5" t="s">
        <v>51</v>
      </c>
      <c r="AP283" s="4" t="s">
        <v>85</v>
      </c>
      <c r="AQ283" s="4" t="s">
        <v>53</v>
      </c>
      <c r="AR283" s="4" t="s">
        <v>737</v>
      </c>
      <c r="AS283" s="5">
        <v>21770</v>
      </c>
      <c r="AT283" t="s">
        <v>47</v>
      </c>
    </row>
    <row r="284" spans="1:46" ht="26" x14ac:dyDescent="0.3">
      <c r="A284" s="4" t="s">
        <v>1296</v>
      </c>
      <c r="B284" t="s">
        <v>47</v>
      </c>
      <c r="C284" s="4" t="s">
        <v>183</v>
      </c>
      <c r="D284" s="4" t="s">
        <v>1297</v>
      </c>
      <c r="E284" s="4" t="s">
        <v>49</v>
      </c>
      <c r="F284" s="5" t="s">
        <v>1298</v>
      </c>
      <c r="G284" s="5" t="s">
        <v>1299</v>
      </c>
      <c r="H284" t="s">
        <v>47</v>
      </c>
      <c r="I284" t="s">
        <v>47</v>
      </c>
      <c r="J284" t="s">
        <v>47</v>
      </c>
      <c r="K284" t="s">
        <v>47</v>
      </c>
      <c r="L284" s="5" t="s">
        <v>60</v>
      </c>
      <c r="M284" t="s">
        <v>47</v>
      </c>
      <c r="N284" t="s">
        <v>47</v>
      </c>
      <c r="O284" t="s">
        <v>47</v>
      </c>
      <c r="P284" t="s">
        <v>47</v>
      </c>
      <c r="Q284" t="s">
        <v>47</v>
      </c>
      <c r="R284" t="s">
        <v>47</v>
      </c>
      <c r="S284" t="s">
        <v>47</v>
      </c>
      <c r="T284" t="s">
        <v>47</v>
      </c>
      <c r="U284" t="s">
        <v>47</v>
      </c>
      <c r="V284" t="s">
        <v>47</v>
      </c>
      <c r="W284" s="3">
        <v>32540</v>
      </c>
      <c r="X284" s="5" t="s">
        <v>50</v>
      </c>
      <c r="Y284" t="s">
        <v>47</v>
      </c>
      <c r="Z284" s="3">
        <v>32540</v>
      </c>
      <c r="AA284" s="5" t="s">
        <v>50</v>
      </c>
      <c r="AB284" t="s">
        <v>47</v>
      </c>
      <c r="AC284" s="3">
        <v>32540</v>
      </c>
      <c r="AD284" s="5" t="s">
        <v>50</v>
      </c>
      <c r="AE284" t="s">
        <v>47</v>
      </c>
      <c r="AF284" t="s">
        <v>47</v>
      </c>
      <c r="AG284" t="s">
        <v>47</v>
      </c>
      <c r="AH284" t="s">
        <v>47</v>
      </c>
      <c r="AI284" t="s">
        <v>47</v>
      </c>
      <c r="AJ284" t="s">
        <v>47</v>
      </c>
      <c r="AK284" t="s">
        <v>47</v>
      </c>
      <c r="AL284" t="s">
        <v>47</v>
      </c>
      <c r="AM284" t="s">
        <v>47</v>
      </c>
      <c r="AN284" t="s">
        <v>47</v>
      </c>
      <c r="AO284" s="5" t="s">
        <v>60</v>
      </c>
      <c r="AP284" s="4" t="s">
        <v>61</v>
      </c>
      <c r="AQ284" s="4" t="s">
        <v>53</v>
      </c>
      <c r="AR284" s="4" t="s">
        <v>1300</v>
      </c>
      <c r="AS284" s="5">
        <v>37611</v>
      </c>
      <c r="AT284" t="s">
        <v>47</v>
      </c>
    </row>
    <row r="285" spans="1:46" ht="65" x14ac:dyDescent="0.3">
      <c r="A285" s="4" t="s">
        <v>1301</v>
      </c>
      <c r="B285" t="s">
        <v>47</v>
      </c>
      <c r="C285" s="4" t="s">
        <v>1302</v>
      </c>
      <c r="D285" s="4" t="s">
        <v>1303</v>
      </c>
      <c r="E285" s="4" t="s">
        <v>49</v>
      </c>
      <c r="F285" s="5" t="s">
        <v>1304</v>
      </c>
      <c r="G285" s="5" t="s">
        <v>1305</v>
      </c>
      <c r="H285" t="s">
        <v>47</v>
      </c>
      <c r="I285" s="3">
        <v>33695</v>
      </c>
      <c r="J285" s="3">
        <v>38687</v>
      </c>
      <c r="K285" t="s">
        <v>47</v>
      </c>
      <c r="L285" s="5" t="s">
        <v>60</v>
      </c>
      <c r="M285" s="3">
        <v>34790</v>
      </c>
      <c r="N285" s="3">
        <v>38687</v>
      </c>
      <c r="O285" t="s">
        <v>47</v>
      </c>
      <c r="P285" s="3">
        <v>33695</v>
      </c>
      <c r="Q285" s="3">
        <v>38687</v>
      </c>
      <c r="R285" t="s">
        <v>47</v>
      </c>
      <c r="S285" t="s">
        <v>47</v>
      </c>
      <c r="T285" t="s">
        <v>47</v>
      </c>
      <c r="U285" t="s">
        <v>47</v>
      </c>
      <c r="V285" t="s">
        <v>47</v>
      </c>
      <c r="W285" s="3">
        <v>32599</v>
      </c>
      <c r="X285" s="5" t="s">
        <v>50</v>
      </c>
      <c r="Y285" t="s">
        <v>47</v>
      </c>
      <c r="Z285" s="3">
        <v>32599</v>
      </c>
      <c r="AA285" s="5" t="s">
        <v>50</v>
      </c>
      <c r="AB285" t="s">
        <v>47</v>
      </c>
      <c r="AC285" s="3">
        <v>32599</v>
      </c>
      <c r="AD285" s="5" t="s">
        <v>50</v>
      </c>
      <c r="AE285" t="s">
        <v>47</v>
      </c>
      <c r="AF285" t="s">
        <v>47</v>
      </c>
      <c r="AG285" t="s">
        <v>47</v>
      </c>
      <c r="AH285" t="s">
        <v>47</v>
      </c>
      <c r="AI285" t="s">
        <v>47</v>
      </c>
      <c r="AJ285" t="s">
        <v>47</v>
      </c>
      <c r="AK285" t="s">
        <v>47</v>
      </c>
      <c r="AL285" t="s">
        <v>47</v>
      </c>
      <c r="AM285" t="s">
        <v>47</v>
      </c>
      <c r="AN285" t="s">
        <v>47</v>
      </c>
      <c r="AO285" s="5" t="s">
        <v>60</v>
      </c>
      <c r="AP285" s="4" t="s">
        <v>61</v>
      </c>
      <c r="AQ285" s="4" t="s">
        <v>53</v>
      </c>
      <c r="AR285" s="4" t="s">
        <v>543</v>
      </c>
      <c r="AS285" s="5">
        <v>36627</v>
      </c>
      <c r="AT285" t="s">
        <v>47</v>
      </c>
    </row>
    <row r="286" spans="1:46" ht="39" x14ac:dyDescent="0.3">
      <c r="A286" s="4" t="s">
        <v>1306</v>
      </c>
      <c r="B286" t="s">
        <v>47</v>
      </c>
      <c r="C286" s="4" t="s">
        <v>169</v>
      </c>
      <c r="D286" s="4" t="s">
        <v>1307</v>
      </c>
      <c r="E286" s="4" t="s">
        <v>66</v>
      </c>
      <c r="F286" s="5" t="s">
        <v>1308</v>
      </c>
      <c r="G286" s="5" t="s">
        <v>1308</v>
      </c>
      <c r="H286" t="s">
        <v>47</v>
      </c>
      <c r="I286" t="s">
        <v>47</v>
      </c>
      <c r="J286" t="s">
        <v>47</v>
      </c>
      <c r="K286" t="s">
        <v>47</v>
      </c>
      <c r="L286" s="5" t="s">
        <v>60</v>
      </c>
      <c r="M286" t="s">
        <v>47</v>
      </c>
      <c r="N286" t="s">
        <v>47</v>
      </c>
      <c r="O286" t="s">
        <v>47</v>
      </c>
      <c r="P286" t="s">
        <v>47</v>
      </c>
      <c r="Q286" t="s">
        <v>47</v>
      </c>
      <c r="R286" t="s">
        <v>47</v>
      </c>
      <c r="S286" t="s">
        <v>47</v>
      </c>
      <c r="T286" t="s">
        <v>47</v>
      </c>
      <c r="U286" t="s">
        <v>47</v>
      </c>
      <c r="V286" t="s">
        <v>47</v>
      </c>
      <c r="W286" s="3">
        <v>40179</v>
      </c>
      <c r="X286" s="5" t="s">
        <v>50</v>
      </c>
      <c r="Y286" t="s">
        <v>47</v>
      </c>
      <c r="Z286" s="3">
        <v>40179</v>
      </c>
      <c r="AA286" s="5" t="s">
        <v>50</v>
      </c>
      <c r="AB286" t="s">
        <v>47</v>
      </c>
      <c r="AC286" s="3">
        <v>40179</v>
      </c>
      <c r="AD286" s="5" t="s">
        <v>50</v>
      </c>
      <c r="AE286" t="s">
        <v>47</v>
      </c>
      <c r="AF286" t="s">
        <v>47</v>
      </c>
      <c r="AG286" t="s">
        <v>47</v>
      </c>
      <c r="AH286" t="s">
        <v>47</v>
      </c>
      <c r="AI286" t="s">
        <v>47</v>
      </c>
      <c r="AJ286" t="s">
        <v>47</v>
      </c>
      <c r="AK286" t="s">
        <v>47</v>
      </c>
      <c r="AL286" t="s">
        <v>47</v>
      </c>
      <c r="AM286" t="s">
        <v>47</v>
      </c>
      <c r="AN286" t="s">
        <v>47</v>
      </c>
      <c r="AO286" s="5" t="s">
        <v>60</v>
      </c>
      <c r="AP286" s="4" t="s">
        <v>61</v>
      </c>
      <c r="AQ286" s="4" t="s">
        <v>53</v>
      </c>
      <c r="AR286" s="4" t="s">
        <v>1309</v>
      </c>
      <c r="AS286" s="5">
        <v>426795</v>
      </c>
      <c r="AT286" t="s">
        <v>47</v>
      </c>
    </row>
    <row r="287" spans="1:46" ht="117" x14ac:dyDescent="0.3">
      <c r="A287" s="4" t="s">
        <v>1310</v>
      </c>
      <c r="B287" t="s">
        <v>47</v>
      </c>
      <c r="C287" s="4" t="s">
        <v>1311</v>
      </c>
      <c r="D287" s="4" t="s">
        <v>1312</v>
      </c>
      <c r="E287" s="4" t="s">
        <v>49</v>
      </c>
      <c r="F287" s="5" t="s">
        <v>1313</v>
      </c>
      <c r="G287" t="s">
        <v>47</v>
      </c>
      <c r="H287" t="s">
        <v>47</v>
      </c>
      <c r="I287" s="3">
        <v>37347</v>
      </c>
      <c r="J287" s="5" t="s">
        <v>50</v>
      </c>
      <c r="K287" t="s">
        <v>47</v>
      </c>
      <c r="L287" s="5" t="s">
        <v>60</v>
      </c>
      <c r="M287" s="3">
        <v>37347</v>
      </c>
      <c r="N287" s="5" t="s">
        <v>50</v>
      </c>
      <c r="O287" t="s">
        <v>47</v>
      </c>
      <c r="P287" s="3">
        <v>37347</v>
      </c>
      <c r="Q287" s="5" t="s">
        <v>50</v>
      </c>
      <c r="R287" t="s">
        <v>47</v>
      </c>
      <c r="S287" t="s">
        <v>47</v>
      </c>
      <c r="T287" t="s">
        <v>47</v>
      </c>
      <c r="U287" t="s">
        <v>47</v>
      </c>
      <c r="V287" t="s">
        <v>47</v>
      </c>
      <c r="W287" s="3">
        <v>37347</v>
      </c>
      <c r="X287" s="5" t="s">
        <v>50</v>
      </c>
      <c r="Y287" t="s">
        <v>47</v>
      </c>
      <c r="Z287" s="3">
        <v>37347</v>
      </c>
      <c r="AA287" s="5" t="s">
        <v>50</v>
      </c>
      <c r="AB287" t="s">
        <v>47</v>
      </c>
      <c r="AC287" s="3">
        <v>38078</v>
      </c>
      <c r="AD287" s="5" t="s">
        <v>50</v>
      </c>
      <c r="AE287" t="s">
        <v>47</v>
      </c>
      <c r="AF287" t="s">
        <v>47</v>
      </c>
      <c r="AG287" t="s">
        <v>47</v>
      </c>
      <c r="AH287" t="s">
        <v>47</v>
      </c>
      <c r="AI287" t="s">
        <v>47</v>
      </c>
      <c r="AJ287" t="s">
        <v>47</v>
      </c>
      <c r="AK287" t="s">
        <v>47</v>
      </c>
      <c r="AL287" t="s">
        <v>47</v>
      </c>
      <c r="AM287" t="s">
        <v>47</v>
      </c>
      <c r="AN287" t="s">
        <v>47</v>
      </c>
      <c r="AO287" s="5" t="s">
        <v>60</v>
      </c>
      <c r="AP287" s="4" t="s">
        <v>61</v>
      </c>
      <c r="AQ287" s="4" t="s">
        <v>53</v>
      </c>
      <c r="AR287" s="4" t="s">
        <v>1314</v>
      </c>
      <c r="AS287" s="5">
        <v>26254</v>
      </c>
      <c r="AT287" t="s">
        <v>47</v>
      </c>
    </row>
    <row r="288" spans="1:46" ht="39" x14ac:dyDescent="0.3">
      <c r="A288" s="4" t="s">
        <v>1315</v>
      </c>
      <c r="B288" t="s">
        <v>47</v>
      </c>
      <c r="C288" s="4" t="s">
        <v>1316</v>
      </c>
      <c r="D288" s="4" t="s">
        <v>88</v>
      </c>
      <c r="E288" s="4" t="s">
        <v>49</v>
      </c>
      <c r="F288" s="5" t="s">
        <v>1317</v>
      </c>
      <c r="G288" s="5" t="s">
        <v>1318</v>
      </c>
      <c r="H288" t="s">
        <v>47</v>
      </c>
      <c r="I288" s="3">
        <v>38504</v>
      </c>
      <c r="J288" s="5" t="s">
        <v>50</v>
      </c>
      <c r="K288" t="s">
        <v>47</v>
      </c>
      <c r="L288" s="5" t="s">
        <v>51</v>
      </c>
      <c r="M288" s="3">
        <v>38504</v>
      </c>
      <c r="N288" s="5" t="s">
        <v>50</v>
      </c>
      <c r="O288" t="s">
        <v>47</v>
      </c>
      <c r="P288" s="3">
        <v>38504</v>
      </c>
      <c r="Q288" s="5" t="s">
        <v>50</v>
      </c>
      <c r="R288" t="s">
        <v>47</v>
      </c>
      <c r="S288" t="s">
        <v>47</v>
      </c>
      <c r="T288" t="s">
        <v>47</v>
      </c>
      <c r="U288" t="s">
        <v>47</v>
      </c>
      <c r="V288" t="s">
        <v>47</v>
      </c>
      <c r="W288" s="3">
        <v>38504</v>
      </c>
      <c r="X288" s="5" t="s">
        <v>50</v>
      </c>
      <c r="Y288" t="s">
        <v>47</v>
      </c>
      <c r="Z288" s="3">
        <v>38504</v>
      </c>
      <c r="AA288" s="5" t="s">
        <v>50</v>
      </c>
      <c r="AB288" t="s">
        <v>47</v>
      </c>
      <c r="AC288" s="3">
        <v>38504</v>
      </c>
      <c r="AD288" s="5" t="s">
        <v>50</v>
      </c>
      <c r="AE288" t="s">
        <v>47</v>
      </c>
      <c r="AF288" t="s">
        <v>47</v>
      </c>
      <c r="AG288" t="s">
        <v>47</v>
      </c>
      <c r="AH288" t="s">
        <v>47</v>
      </c>
      <c r="AI288" t="s">
        <v>47</v>
      </c>
      <c r="AJ288" t="s">
        <v>47</v>
      </c>
      <c r="AK288" t="s">
        <v>47</v>
      </c>
      <c r="AL288" t="s">
        <v>47</v>
      </c>
      <c r="AM288" t="s">
        <v>47</v>
      </c>
      <c r="AN288" t="s">
        <v>47</v>
      </c>
      <c r="AO288" s="5" t="s">
        <v>51</v>
      </c>
      <c r="AP288" s="4" t="s">
        <v>85</v>
      </c>
      <c r="AQ288" s="4" t="s">
        <v>53</v>
      </c>
      <c r="AR288" s="4" t="s">
        <v>62</v>
      </c>
      <c r="AS288" s="5">
        <v>232</v>
      </c>
      <c r="AT288" t="s">
        <v>47</v>
      </c>
    </row>
    <row r="289" spans="1:46" ht="78" x14ac:dyDescent="0.3">
      <c r="A289" s="4" t="s">
        <v>1319</v>
      </c>
      <c r="B289" t="s">
        <v>47</v>
      </c>
      <c r="C289" s="4" t="s">
        <v>169</v>
      </c>
      <c r="D289" s="4" t="s">
        <v>88</v>
      </c>
      <c r="E289" s="4" t="s">
        <v>66</v>
      </c>
      <c r="F289" s="5" t="s">
        <v>1320</v>
      </c>
      <c r="G289" s="5" t="s">
        <v>1321</v>
      </c>
      <c r="H289" t="s">
        <v>47</v>
      </c>
      <c r="I289" t="s">
        <v>47</v>
      </c>
      <c r="J289" t="s">
        <v>47</v>
      </c>
      <c r="K289" t="s">
        <v>47</v>
      </c>
      <c r="L289" s="5" t="s">
        <v>60</v>
      </c>
      <c r="M289" t="s">
        <v>47</v>
      </c>
      <c r="N289" t="s">
        <v>47</v>
      </c>
      <c r="O289" t="s">
        <v>47</v>
      </c>
      <c r="P289" t="s">
        <v>47</v>
      </c>
      <c r="Q289" t="s">
        <v>47</v>
      </c>
      <c r="R289" t="s">
        <v>47</v>
      </c>
      <c r="S289" t="s">
        <v>47</v>
      </c>
      <c r="T289" t="s">
        <v>47</v>
      </c>
      <c r="U289" t="s">
        <v>47</v>
      </c>
      <c r="V289" t="s">
        <v>47</v>
      </c>
      <c r="W289" s="3">
        <v>40179</v>
      </c>
      <c r="X289" s="5" t="s">
        <v>50</v>
      </c>
      <c r="Y289" t="s">
        <v>47</v>
      </c>
      <c r="Z289" s="3">
        <v>40179</v>
      </c>
      <c r="AA289" s="5" t="s">
        <v>50</v>
      </c>
      <c r="AB289" t="s">
        <v>47</v>
      </c>
      <c r="AC289" s="3">
        <v>40179</v>
      </c>
      <c r="AD289" s="5" t="s">
        <v>50</v>
      </c>
      <c r="AE289" t="s">
        <v>47</v>
      </c>
      <c r="AF289" t="s">
        <v>47</v>
      </c>
      <c r="AG289" t="s">
        <v>47</v>
      </c>
      <c r="AH289" t="s">
        <v>47</v>
      </c>
      <c r="AI289" t="s">
        <v>47</v>
      </c>
      <c r="AJ289" t="s">
        <v>47</v>
      </c>
      <c r="AK289" t="s">
        <v>47</v>
      </c>
      <c r="AL289" t="s">
        <v>47</v>
      </c>
      <c r="AM289" t="s">
        <v>47</v>
      </c>
      <c r="AN289" t="s">
        <v>47</v>
      </c>
      <c r="AO289" s="5" t="s">
        <v>60</v>
      </c>
      <c r="AP289" s="4" t="s">
        <v>61</v>
      </c>
      <c r="AQ289" s="4" t="s">
        <v>53</v>
      </c>
      <c r="AR289" s="4" t="s">
        <v>1322</v>
      </c>
      <c r="AS289" s="5">
        <v>536300</v>
      </c>
      <c r="AT289" t="s">
        <v>47</v>
      </c>
    </row>
    <row r="290" spans="1:46" ht="39" x14ac:dyDescent="0.3">
      <c r="A290" s="4" t="s">
        <v>1323</v>
      </c>
      <c r="B290" t="s">
        <v>47</v>
      </c>
      <c r="C290" s="4" t="s">
        <v>183</v>
      </c>
      <c r="D290" s="4" t="s">
        <v>1324</v>
      </c>
      <c r="E290" s="4" t="s">
        <v>49</v>
      </c>
      <c r="F290" s="5" t="s">
        <v>1325</v>
      </c>
      <c r="G290" s="5" t="s">
        <v>1326</v>
      </c>
      <c r="H290" t="s">
        <v>47</v>
      </c>
      <c r="I290" s="3">
        <v>36130</v>
      </c>
      <c r="J290" s="3">
        <v>43009</v>
      </c>
      <c r="K290" t="s">
        <v>47</v>
      </c>
      <c r="L290" s="5" t="s">
        <v>60</v>
      </c>
      <c r="M290" s="3">
        <v>36130</v>
      </c>
      <c r="N290" s="3">
        <v>43009</v>
      </c>
      <c r="O290" t="s">
        <v>47</v>
      </c>
      <c r="P290" s="3">
        <v>36130</v>
      </c>
      <c r="Q290" s="3">
        <v>43009</v>
      </c>
      <c r="R290" t="s">
        <v>47</v>
      </c>
      <c r="S290" t="s">
        <v>47</v>
      </c>
      <c r="T290" t="s">
        <v>47</v>
      </c>
      <c r="U290" t="s">
        <v>47</v>
      </c>
      <c r="V290" t="s">
        <v>47</v>
      </c>
      <c r="W290" s="3">
        <v>36130</v>
      </c>
      <c r="X290" s="5" t="s">
        <v>50</v>
      </c>
      <c r="Y290" t="s">
        <v>47</v>
      </c>
      <c r="Z290" s="3">
        <v>36130</v>
      </c>
      <c r="AA290" s="5" t="s">
        <v>50</v>
      </c>
      <c r="AB290" t="s">
        <v>47</v>
      </c>
      <c r="AC290" s="3">
        <v>36130</v>
      </c>
      <c r="AD290" s="5" t="s">
        <v>50</v>
      </c>
      <c r="AE290" t="s">
        <v>47</v>
      </c>
      <c r="AF290" t="s">
        <v>47</v>
      </c>
      <c r="AG290" t="s">
        <v>47</v>
      </c>
      <c r="AH290" t="s">
        <v>47</v>
      </c>
      <c r="AI290" t="s">
        <v>47</v>
      </c>
      <c r="AJ290" t="s">
        <v>47</v>
      </c>
      <c r="AK290" t="s">
        <v>47</v>
      </c>
      <c r="AL290" t="s">
        <v>47</v>
      </c>
      <c r="AM290" t="s">
        <v>47</v>
      </c>
      <c r="AN290" t="s">
        <v>47</v>
      </c>
      <c r="AO290" s="5" t="s">
        <v>60</v>
      </c>
      <c r="AP290" s="4" t="s">
        <v>61</v>
      </c>
      <c r="AQ290" s="4" t="s">
        <v>53</v>
      </c>
      <c r="AR290" s="4" t="s">
        <v>62</v>
      </c>
      <c r="AS290" s="5">
        <v>7553</v>
      </c>
      <c r="AT290" t="s">
        <v>47</v>
      </c>
    </row>
    <row r="291" spans="1:46" ht="13" x14ac:dyDescent="0.3">
      <c r="A291" s="4" t="s">
        <v>1327</v>
      </c>
      <c r="B291" t="s">
        <v>47</v>
      </c>
      <c r="C291" s="4" t="s">
        <v>169</v>
      </c>
      <c r="D291" s="4" t="s">
        <v>748</v>
      </c>
      <c r="E291" s="4" t="s">
        <v>66</v>
      </c>
      <c r="F291" s="5" t="s">
        <v>1328</v>
      </c>
      <c r="G291" s="5" t="s">
        <v>1329</v>
      </c>
      <c r="H291" t="s">
        <v>47</v>
      </c>
      <c r="I291" s="3">
        <v>35490</v>
      </c>
      <c r="J291" s="3">
        <v>36831</v>
      </c>
      <c r="K291" t="s">
        <v>47</v>
      </c>
      <c r="L291" s="5" t="s">
        <v>60</v>
      </c>
      <c r="M291" s="3">
        <v>35490</v>
      </c>
      <c r="N291" s="3">
        <v>36831</v>
      </c>
      <c r="O291" t="s">
        <v>47</v>
      </c>
      <c r="P291" s="3">
        <v>35490</v>
      </c>
      <c r="Q291" s="3">
        <v>36831</v>
      </c>
      <c r="R291" t="s">
        <v>47</v>
      </c>
      <c r="S291" t="s">
        <v>47</v>
      </c>
      <c r="T291" t="s">
        <v>47</v>
      </c>
      <c r="U291" t="s">
        <v>47</v>
      </c>
      <c r="V291" t="s">
        <v>47</v>
      </c>
      <c r="W291" s="3">
        <v>35490</v>
      </c>
      <c r="X291" s="5" t="s">
        <v>50</v>
      </c>
      <c r="Y291" t="s">
        <v>47</v>
      </c>
      <c r="Z291" s="3">
        <v>35490</v>
      </c>
      <c r="AA291" s="5" t="s">
        <v>50</v>
      </c>
      <c r="AB291" t="s">
        <v>47</v>
      </c>
      <c r="AC291" s="3">
        <v>35735</v>
      </c>
      <c r="AD291" s="5" t="s">
        <v>50</v>
      </c>
      <c r="AE291" t="s">
        <v>47</v>
      </c>
      <c r="AF291" t="s">
        <v>47</v>
      </c>
      <c r="AG291" t="s">
        <v>47</v>
      </c>
      <c r="AH291" t="s">
        <v>47</v>
      </c>
      <c r="AI291" t="s">
        <v>47</v>
      </c>
      <c r="AJ291" t="s">
        <v>47</v>
      </c>
      <c r="AK291" t="s">
        <v>47</v>
      </c>
      <c r="AL291" t="s">
        <v>47</v>
      </c>
      <c r="AM291" t="s">
        <v>47</v>
      </c>
      <c r="AN291" t="s">
        <v>47</v>
      </c>
      <c r="AO291" s="5" t="s">
        <v>60</v>
      </c>
      <c r="AP291" s="4" t="s">
        <v>61</v>
      </c>
      <c r="AQ291" s="4" t="s">
        <v>53</v>
      </c>
      <c r="AR291" s="4" t="s">
        <v>54</v>
      </c>
      <c r="AS291" s="5">
        <v>33187</v>
      </c>
      <c r="AT291" t="s">
        <v>47</v>
      </c>
    </row>
    <row r="292" spans="1:46" ht="26" x14ac:dyDescent="0.3">
      <c r="A292" s="4" t="s">
        <v>1330</v>
      </c>
      <c r="B292" t="s">
        <v>47</v>
      </c>
      <c r="C292" s="4" t="s">
        <v>323</v>
      </c>
      <c r="D292" s="4" t="s">
        <v>324</v>
      </c>
      <c r="E292" s="4" t="s">
        <v>49</v>
      </c>
      <c r="F292" s="5" t="s">
        <v>1331</v>
      </c>
      <c r="G292" s="5" t="s">
        <v>1332</v>
      </c>
      <c r="H292" t="s">
        <v>47</v>
      </c>
      <c r="I292" t="s">
        <v>47</v>
      </c>
      <c r="J292" t="s">
        <v>47</v>
      </c>
      <c r="K292" t="s">
        <v>47</v>
      </c>
      <c r="L292" s="5" t="s">
        <v>60</v>
      </c>
      <c r="M292" t="s">
        <v>47</v>
      </c>
      <c r="N292" t="s">
        <v>47</v>
      </c>
      <c r="O292" t="s">
        <v>47</v>
      </c>
      <c r="P292" t="s">
        <v>47</v>
      </c>
      <c r="Q292" t="s">
        <v>47</v>
      </c>
      <c r="R292" t="s">
        <v>47</v>
      </c>
      <c r="S292" t="s">
        <v>47</v>
      </c>
      <c r="T292" t="s">
        <v>47</v>
      </c>
      <c r="U292" t="s">
        <v>47</v>
      </c>
      <c r="V292" t="s">
        <v>47</v>
      </c>
      <c r="W292" s="3">
        <v>24624</v>
      </c>
      <c r="X292" s="5" t="s">
        <v>50</v>
      </c>
      <c r="Y292" s="5" t="s">
        <v>894</v>
      </c>
      <c r="Z292" s="3">
        <v>24624</v>
      </c>
      <c r="AA292" s="5" t="s">
        <v>50</v>
      </c>
      <c r="AB292" s="5" t="s">
        <v>894</v>
      </c>
      <c r="AC292" s="3">
        <v>33635</v>
      </c>
      <c r="AD292" s="5" t="s">
        <v>50</v>
      </c>
      <c r="AE292" s="5" t="s">
        <v>894</v>
      </c>
      <c r="AF292" t="s">
        <v>47</v>
      </c>
      <c r="AG292" t="s">
        <v>47</v>
      </c>
      <c r="AH292" t="s">
        <v>47</v>
      </c>
      <c r="AI292" t="s">
        <v>47</v>
      </c>
      <c r="AJ292" t="s">
        <v>47</v>
      </c>
      <c r="AK292" t="s">
        <v>47</v>
      </c>
      <c r="AL292" t="s">
        <v>47</v>
      </c>
      <c r="AM292" t="s">
        <v>47</v>
      </c>
      <c r="AN292" t="s">
        <v>47</v>
      </c>
      <c r="AO292" s="5" t="s">
        <v>60</v>
      </c>
      <c r="AP292" s="4" t="s">
        <v>61</v>
      </c>
      <c r="AQ292" s="4" t="s">
        <v>53</v>
      </c>
      <c r="AR292" s="4" t="s">
        <v>54</v>
      </c>
      <c r="AS292" s="5">
        <v>35564</v>
      </c>
      <c r="AT292" t="s">
        <v>47</v>
      </c>
    </row>
    <row r="293" spans="1:46" ht="52" x14ac:dyDescent="0.3">
      <c r="A293" s="4" t="s">
        <v>1333</v>
      </c>
      <c r="B293" t="s">
        <v>47</v>
      </c>
      <c r="C293" s="4" t="s">
        <v>1334</v>
      </c>
      <c r="D293" s="4" t="s">
        <v>139</v>
      </c>
      <c r="E293" s="4" t="s">
        <v>100</v>
      </c>
      <c r="F293" s="5" t="s">
        <v>1335</v>
      </c>
      <c r="G293" s="5" t="s">
        <v>1336</v>
      </c>
      <c r="H293" t="s">
        <v>47</v>
      </c>
      <c r="I293" s="3">
        <v>41153</v>
      </c>
      <c r="J293" s="3">
        <v>43739</v>
      </c>
      <c r="K293" t="s">
        <v>47</v>
      </c>
      <c r="L293" s="5" t="s">
        <v>60</v>
      </c>
      <c r="M293" s="3">
        <v>41153</v>
      </c>
      <c r="N293" s="3">
        <v>43739</v>
      </c>
      <c r="O293" t="s">
        <v>47</v>
      </c>
      <c r="P293" t="s">
        <v>47</v>
      </c>
      <c r="Q293" t="s">
        <v>47</v>
      </c>
      <c r="R293" t="s">
        <v>47</v>
      </c>
      <c r="S293" t="s">
        <v>47</v>
      </c>
      <c r="T293" t="s">
        <v>47</v>
      </c>
      <c r="U293" t="s">
        <v>47</v>
      </c>
      <c r="V293" t="s">
        <v>47</v>
      </c>
      <c r="W293" s="3">
        <v>33604</v>
      </c>
      <c r="X293" s="3">
        <v>43739</v>
      </c>
      <c r="Y293" t="s">
        <v>47</v>
      </c>
      <c r="Z293" s="3">
        <v>33604</v>
      </c>
      <c r="AA293" s="3">
        <v>43739</v>
      </c>
      <c r="AB293" t="s">
        <v>47</v>
      </c>
      <c r="AC293" s="3">
        <v>41153</v>
      </c>
      <c r="AD293" s="3">
        <v>43739</v>
      </c>
      <c r="AE293" t="s">
        <v>47</v>
      </c>
      <c r="AF293" t="s">
        <v>47</v>
      </c>
      <c r="AG293" t="s">
        <v>47</v>
      </c>
      <c r="AH293" t="s">
        <v>47</v>
      </c>
      <c r="AI293" t="s">
        <v>47</v>
      </c>
      <c r="AJ293" t="s">
        <v>47</v>
      </c>
      <c r="AK293" t="s">
        <v>47</v>
      </c>
      <c r="AL293" t="s">
        <v>47</v>
      </c>
      <c r="AM293" t="s">
        <v>47</v>
      </c>
      <c r="AN293" t="s">
        <v>47</v>
      </c>
      <c r="AO293" s="5" t="s">
        <v>60</v>
      </c>
      <c r="AP293" s="4" t="s">
        <v>61</v>
      </c>
      <c r="AQ293" s="4" t="s">
        <v>198</v>
      </c>
      <c r="AR293" s="4" t="s">
        <v>1337</v>
      </c>
      <c r="AS293" s="5">
        <v>46900</v>
      </c>
      <c r="AT293" t="s">
        <v>47</v>
      </c>
    </row>
    <row r="294" spans="1:46" ht="13" x14ac:dyDescent="0.3">
      <c r="A294" s="4" t="s">
        <v>1338</v>
      </c>
      <c r="B294" t="s">
        <v>47</v>
      </c>
      <c r="C294" s="4" t="s">
        <v>169</v>
      </c>
      <c r="D294" s="4" t="s">
        <v>748</v>
      </c>
      <c r="E294" s="4" t="s">
        <v>66</v>
      </c>
      <c r="F294" s="5" t="s">
        <v>1339</v>
      </c>
      <c r="G294" s="5" t="s">
        <v>1340</v>
      </c>
      <c r="H294" t="s">
        <v>47</v>
      </c>
      <c r="I294" s="3">
        <v>35582</v>
      </c>
      <c r="J294" s="3">
        <v>36800</v>
      </c>
      <c r="K294" t="s">
        <v>47</v>
      </c>
      <c r="L294" s="5" t="s">
        <v>60</v>
      </c>
      <c r="M294" s="3">
        <v>35582</v>
      </c>
      <c r="N294" s="3">
        <v>36800</v>
      </c>
      <c r="O294" t="s">
        <v>47</v>
      </c>
      <c r="P294" s="3">
        <v>35582</v>
      </c>
      <c r="Q294" s="3">
        <v>36800</v>
      </c>
      <c r="R294" t="s">
        <v>47</v>
      </c>
      <c r="S294" t="s">
        <v>47</v>
      </c>
      <c r="T294" t="s">
        <v>47</v>
      </c>
      <c r="U294" t="s">
        <v>47</v>
      </c>
      <c r="V294" t="s">
        <v>47</v>
      </c>
      <c r="W294" s="3">
        <v>35582</v>
      </c>
      <c r="X294" s="5" t="s">
        <v>50</v>
      </c>
      <c r="Y294" t="s">
        <v>47</v>
      </c>
      <c r="Z294" s="3">
        <v>35582</v>
      </c>
      <c r="AA294" s="5" t="s">
        <v>50</v>
      </c>
      <c r="AB294" t="s">
        <v>47</v>
      </c>
      <c r="AC294" s="3">
        <v>35582</v>
      </c>
      <c r="AD294" s="5" t="s">
        <v>50</v>
      </c>
      <c r="AE294" t="s">
        <v>47</v>
      </c>
      <c r="AF294" t="s">
        <v>47</v>
      </c>
      <c r="AG294" t="s">
        <v>47</v>
      </c>
      <c r="AH294" t="s">
        <v>47</v>
      </c>
      <c r="AI294" t="s">
        <v>47</v>
      </c>
      <c r="AJ294" t="s">
        <v>47</v>
      </c>
      <c r="AK294" t="s">
        <v>47</v>
      </c>
      <c r="AL294" t="s">
        <v>47</v>
      </c>
      <c r="AM294" t="s">
        <v>47</v>
      </c>
      <c r="AN294" t="s">
        <v>47</v>
      </c>
      <c r="AO294" s="5" t="s">
        <v>60</v>
      </c>
      <c r="AP294" s="4" t="s">
        <v>61</v>
      </c>
      <c r="AQ294" s="4" t="s">
        <v>53</v>
      </c>
      <c r="AR294" s="4" t="s">
        <v>54</v>
      </c>
      <c r="AS294" s="5">
        <v>33192</v>
      </c>
      <c r="AT294" t="s">
        <v>47</v>
      </c>
    </row>
    <row r="295" spans="1:46" ht="13" x14ac:dyDescent="0.3">
      <c r="A295" s="4" t="s">
        <v>1341</v>
      </c>
      <c r="B295" t="s">
        <v>47</v>
      </c>
      <c r="C295" s="4" t="s">
        <v>1341</v>
      </c>
      <c r="D295" s="4" t="s">
        <v>1342</v>
      </c>
      <c r="E295" s="4" t="s">
        <v>49</v>
      </c>
      <c r="F295" t="s">
        <v>47</v>
      </c>
      <c r="G295" s="5" t="s">
        <v>1343</v>
      </c>
      <c r="H295" t="s">
        <v>47</v>
      </c>
      <c r="I295" s="3">
        <v>40909</v>
      </c>
      <c r="J295" s="3">
        <v>43466</v>
      </c>
      <c r="K295" t="s">
        <v>47</v>
      </c>
      <c r="L295" s="5" t="s">
        <v>60</v>
      </c>
      <c r="M295" s="3">
        <v>40909</v>
      </c>
      <c r="N295" s="3">
        <v>43466</v>
      </c>
      <c r="O295" t="s">
        <v>47</v>
      </c>
      <c r="P295" s="3">
        <v>40909</v>
      </c>
      <c r="Q295" s="3">
        <v>43466</v>
      </c>
      <c r="R295" t="s">
        <v>47</v>
      </c>
      <c r="S295" t="s">
        <v>47</v>
      </c>
      <c r="T295" t="s">
        <v>47</v>
      </c>
      <c r="U295" t="s">
        <v>47</v>
      </c>
      <c r="V295" t="s">
        <v>47</v>
      </c>
      <c r="W295" s="3">
        <v>40909</v>
      </c>
      <c r="X295" s="3">
        <v>43466</v>
      </c>
      <c r="Y295" t="s">
        <v>47</v>
      </c>
      <c r="Z295" s="3">
        <v>40909</v>
      </c>
      <c r="AA295" s="3">
        <v>43466</v>
      </c>
      <c r="AB295" t="s">
        <v>47</v>
      </c>
      <c r="AC295" s="3">
        <v>40909</v>
      </c>
      <c r="AD295" s="3">
        <v>43466</v>
      </c>
      <c r="AE295" t="s">
        <v>47</v>
      </c>
      <c r="AF295" t="s">
        <v>47</v>
      </c>
      <c r="AG295" t="s">
        <v>47</v>
      </c>
      <c r="AH295" t="s">
        <v>47</v>
      </c>
      <c r="AI295" t="s">
        <v>47</v>
      </c>
      <c r="AJ295" t="s">
        <v>47</v>
      </c>
      <c r="AK295" t="s">
        <v>47</v>
      </c>
      <c r="AL295" t="s">
        <v>47</v>
      </c>
      <c r="AM295" t="s">
        <v>47</v>
      </c>
      <c r="AN295" t="s">
        <v>47</v>
      </c>
      <c r="AO295" s="5" t="s">
        <v>60</v>
      </c>
      <c r="AP295" s="4" t="s">
        <v>61</v>
      </c>
      <c r="AQ295" s="4" t="s">
        <v>53</v>
      </c>
      <c r="AR295" s="4" t="s">
        <v>54</v>
      </c>
      <c r="AS295" s="5">
        <v>1576350</v>
      </c>
      <c r="AT295" t="s">
        <v>47</v>
      </c>
    </row>
    <row r="296" spans="1:46" ht="78" x14ac:dyDescent="0.3">
      <c r="A296" s="4" t="s">
        <v>1344</v>
      </c>
      <c r="B296" t="s">
        <v>47</v>
      </c>
      <c r="C296" s="4" t="s">
        <v>1345</v>
      </c>
      <c r="D296" s="4" t="s">
        <v>324</v>
      </c>
      <c r="E296" s="4" t="s">
        <v>49</v>
      </c>
      <c r="F296" s="5" t="s">
        <v>1346</v>
      </c>
      <c r="G296" t="s">
        <v>47</v>
      </c>
      <c r="H296" t="s">
        <v>47</v>
      </c>
      <c r="I296" s="3">
        <v>36800</v>
      </c>
      <c r="J296" s="5" t="s">
        <v>50</v>
      </c>
      <c r="K296" t="s">
        <v>47</v>
      </c>
      <c r="L296" s="5" t="s">
        <v>60</v>
      </c>
      <c r="M296" s="3">
        <v>36800</v>
      </c>
      <c r="N296" s="5" t="s">
        <v>50</v>
      </c>
      <c r="O296" t="s">
        <v>47</v>
      </c>
      <c r="P296" s="3">
        <v>36800</v>
      </c>
      <c r="Q296" s="5" t="s">
        <v>50</v>
      </c>
      <c r="R296" t="s">
        <v>47</v>
      </c>
      <c r="S296" t="s">
        <v>47</v>
      </c>
      <c r="T296" t="s">
        <v>47</v>
      </c>
      <c r="U296" t="s">
        <v>47</v>
      </c>
      <c r="V296" t="s">
        <v>47</v>
      </c>
      <c r="W296" s="3">
        <v>36800</v>
      </c>
      <c r="X296" s="5" t="s">
        <v>50</v>
      </c>
      <c r="Y296" t="s">
        <v>47</v>
      </c>
      <c r="Z296" s="3">
        <v>36800</v>
      </c>
      <c r="AA296" s="5" t="s">
        <v>50</v>
      </c>
      <c r="AB296" t="s">
        <v>47</v>
      </c>
      <c r="AC296" s="3">
        <v>38078</v>
      </c>
      <c r="AD296" s="5" t="s">
        <v>50</v>
      </c>
      <c r="AE296" t="s">
        <v>47</v>
      </c>
      <c r="AF296" t="s">
        <v>47</v>
      </c>
      <c r="AG296" t="s">
        <v>47</v>
      </c>
      <c r="AH296" t="s">
        <v>47</v>
      </c>
      <c r="AI296" t="s">
        <v>47</v>
      </c>
      <c r="AJ296" t="s">
        <v>47</v>
      </c>
      <c r="AK296" t="s">
        <v>47</v>
      </c>
      <c r="AL296" t="s">
        <v>47</v>
      </c>
      <c r="AM296" t="s">
        <v>47</v>
      </c>
      <c r="AN296" t="s">
        <v>47</v>
      </c>
      <c r="AO296" s="5" t="s">
        <v>60</v>
      </c>
      <c r="AP296" s="4" t="s">
        <v>61</v>
      </c>
      <c r="AQ296" s="4" t="s">
        <v>53</v>
      </c>
      <c r="AR296" s="4" t="s">
        <v>79</v>
      </c>
      <c r="AS296" s="5">
        <v>26283</v>
      </c>
      <c r="AT296" t="s">
        <v>47</v>
      </c>
    </row>
    <row r="297" spans="1:46" ht="169" x14ac:dyDescent="0.3">
      <c r="A297" s="4" t="s">
        <v>1347</v>
      </c>
      <c r="B297" t="s">
        <v>47</v>
      </c>
      <c r="C297" s="4" t="s">
        <v>169</v>
      </c>
      <c r="D297" s="4" t="s">
        <v>748</v>
      </c>
      <c r="E297" s="4" t="s">
        <v>66</v>
      </c>
      <c r="F297" s="5" t="s">
        <v>1348</v>
      </c>
      <c r="G297" s="5" t="s">
        <v>1349</v>
      </c>
      <c r="H297" t="s">
        <v>47</v>
      </c>
      <c r="I297" t="s">
        <v>47</v>
      </c>
      <c r="J297" t="s">
        <v>47</v>
      </c>
      <c r="K297" t="s">
        <v>47</v>
      </c>
      <c r="L297" s="5" t="s">
        <v>60</v>
      </c>
      <c r="M297" t="s">
        <v>47</v>
      </c>
      <c r="N297" t="s">
        <v>47</v>
      </c>
      <c r="O297" t="s">
        <v>47</v>
      </c>
      <c r="P297" t="s">
        <v>47</v>
      </c>
      <c r="Q297" t="s">
        <v>47</v>
      </c>
      <c r="R297" t="s">
        <v>47</v>
      </c>
      <c r="S297" t="s">
        <v>47</v>
      </c>
      <c r="T297" t="s">
        <v>47</v>
      </c>
      <c r="U297" t="s">
        <v>47</v>
      </c>
      <c r="V297" t="s">
        <v>47</v>
      </c>
      <c r="W297" s="3">
        <v>40210</v>
      </c>
      <c r="X297" s="5" t="s">
        <v>50</v>
      </c>
      <c r="Y297" t="s">
        <v>47</v>
      </c>
      <c r="Z297" s="3">
        <v>40210</v>
      </c>
      <c r="AA297" s="5" t="s">
        <v>50</v>
      </c>
      <c r="AB297" t="s">
        <v>47</v>
      </c>
      <c r="AC297" s="3">
        <v>40210</v>
      </c>
      <c r="AD297" s="5" t="s">
        <v>50</v>
      </c>
      <c r="AE297" t="s">
        <v>47</v>
      </c>
      <c r="AF297" t="s">
        <v>47</v>
      </c>
      <c r="AG297" t="s">
        <v>47</v>
      </c>
      <c r="AH297" t="s">
        <v>47</v>
      </c>
      <c r="AI297" t="s">
        <v>47</v>
      </c>
      <c r="AJ297" t="s">
        <v>47</v>
      </c>
      <c r="AK297" t="s">
        <v>47</v>
      </c>
      <c r="AL297" t="s">
        <v>47</v>
      </c>
      <c r="AM297" t="s">
        <v>47</v>
      </c>
      <c r="AN297" t="s">
        <v>47</v>
      </c>
      <c r="AO297" s="5" t="s">
        <v>60</v>
      </c>
      <c r="AP297" s="4" t="s">
        <v>61</v>
      </c>
      <c r="AQ297" s="4" t="s">
        <v>53</v>
      </c>
      <c r="AR297" s="4" t="s">
        <v>1350</v>
      </c>
      <c r="AS297" s="5">
        <v>53067</v>
      </c>
      <c r="AT297" t="s">
        <v>47</v>
      </c>
    </row>
    <row r="298" spans="1:46" ht="117" x14ac:dyDescent="0.3">
      <c r="A298" s="4" t="s">
        <v>1351</v>
      </c>
      <c r="B298" t="s">
        <v>47</v>
      </c>
      <c r="C298" s="4" t="s">
        <v>169</v>
      </c>
      <c r="D298" s="4" t="s">
        <v>1352</v>
      </c>
      <c r="E298" s="4" t="s">
        <v>66</v>
      </c>
      <c r="F298" s="5" t="s">
        <v>1353</v>
      </c>
      <c r="G298" s="5" t="s">
        <v>1354</v>
      </c>
      <c r="H298" t="s">
        <v>47</v>
      </c>
      <c r="I298" t="s">
        <v>47</v>
      </c>
      <c r="J298" t="s">
        <v>47</v>
      </c>
      <c r="K298" t="s">
        <v>47</v>
      </c>
      <c r="L298" s="5" t="s">
        <v>60</v>
      </c>
      <c r="M298" t="s">
        <v>47</v>
      </c>
      <c r="N298" t="s">
        <v>47</v>
      </c>
      <c r="O298" t="s">
        <v>47</v>
      </c>
      <c r="P298" t="s">
        <v>47</v>
      </c>
      <c r="Q298" t="s">
        <v>47</v>
      </c>
      <c r="R298" t="s">
        <v>47</v>
      </c>
      <c r="S298" t="s">
        <v>47</v>
      </c>
      <c r="T298" t="s">
        <v>47</v>
      </c>
      <c r="U298" t="s">
        <v>47</v>
      </c>
      <c r="V298" t="s">
        <v>47</v>
      </c>
      <c r="W298" s="3">
        <v>40238</v>
      </c>
      <c r="X298" s="5" t="s">
        <v>50</v>
      </c>
      <c r="Y298" t="s">
        <v>47</v>
      </c>
      <c r="Z298" s="3">
        <v>40238</v>
      </c>
      <c r="AA298" s="5" t="s">
        <v>50</v>
      </c>
      <c r="AB298" t="s">
        <v>47</v>
      </c>
      <c r="AC298" s="3">
        <v>40238</v>
      </c>
      <c r="AD298" s="5" t="s">
        <v>50</v>
      </c>
      <c r="AE298" t="s">
        <v>47</v>
      </c>
      <c r="AF298" t="s">
        <v>47</v>
      </c>
      <c r="AG298" t="s">
        <v>47</v>
      </c>
      <c r="AH298" t="s">
        <v>47</v>
      </c>
      <c r="AI298" t="s">
        <v>47</v>
      </c>
      <c r="AJ298" t="s">
        <v>47</v>
      </c>
      <c r="AK298" t="s">
        <v>47</v>
      </c>
      <c r="AL298" t="s">
        <v>47</v>
      </c>
      <c r="AM298" t="s">
        <v>47</v>
      </c>
      <c r="AN298" t="s">
        <v>47</v>
      </c>
      <c r="AO298" s="5" t="s">
        <v>60</v>
      </c>
      <c r="AP298" s="4" t="s">
        <v>61</v>
      </c>
      <c r="AQ298" s="4" t="s">
        <v>53</v>
      </c>
      <c r="AR298" s="4" t="s">
        <v>1355</v>
      </c>
      <c r="AS298" s="5">
        <v>178191</v>
      </c>
      <c r="AT298" t="s">
        <v>47</v>
      </c>
    </row>
    <row r="299" spans="1:46" ht="52" x14ac:dyDescent="0.3">
      <c r="A299" s="4" t="s">
        <v>1356</v>
      </c>
      <c r="B299" t="s">
        <v>47</v>
      </c>
      <c r="C299" s="4" t="s">
        <v>1357</v>
      </c>
      <c r="D299" s="4" t="s">
        <v>1352</v>
      </c>
      <c r="E299" s="4" t="s">
        <v>49</v>
      </c>
      <c r="F299" s="5" t="s">
        <v>1358</v>
      </c>
      <c r="G299" s="5" t="s">
        <v>1359</v>
      </c>
      <c r="H299" t="s">
        <v>47</v>
      </c>
      <c r="I299" t="s">
        <v>47</v>
      </c>
      <c r="J299" t="s">
        <v>47</v>
      </c>
      <c r="K299" t="s">
        <v>47</v>
      </c>
      <c r="L299" s="5" t="s">
        <v>60</v>
      </c>
      <c r="M299" t="s">
        <v>47</v>
      </c>
      <c r="N299" t="s">
        <v>47</v>
      </c>
      <c r="O299" t="s">
        <v>47</v>
      </c>
      <c r="P299" t="s">
        <v>47</v>
      </c>
      <c r="Q299" t="s">
        <v>47</v>
      </c>
      <c r="R299" t="s">
        <v>47</v>
      </c>
      <c r="S299" t="s">
        <v>47</v>
      </c>
      <c r="T299" t="s">
        <v>47</v>
      </c>
      <c r="U299" t="s">
        <v>47</v>
      </c>
      <c r="V299" t="s">
        <v>47</v>
      </c>
      <c r="W299" s="3">
        <v>35796</v>
      </c>
      <c r="X299" s="3">
        <v>35796</v>
      </c>
      <c r="Y299" t="s">
        <v>47</v>
      </c>
      <c r="Z299" s="3">
        <v>35796</v>
      </c>
      <c r="AA299" s="3">
        <v>35796</v>
      </c>
      <c r="AB299" t="s">
        <v>47</v>
      </c>
      <c r="AC299" t="s">
        <v>47</v>
      </c>
      <c r="AD299" t="s">
        <v>47</v>
      </c>
      <c r="AE299" t="s">
        <v>47</v>
      </c>
      <c r="AF299" t="s">
        <v>47</v>
      </c>
      <c r="AG299" t="s">
        <v>47</v>
      </c>
      <c r="AH299" t="s">
        <v>47</v>
      </c>
      <c r="AI299" t="s">
        <v>47</v>
      </c>
      <c r="AJ299" t="s">
        <v>47</v>
      </c>
      <c r="AK299" t="s">
        <v>47</v>
      </c>
      <c r="AL299" t="s">
        <v>47</v>
      </c>
      <c r="AM299" t="s">
        <v>47</v>
      </c>
      <c r="AN299" t="s">
        <v>47</v>
      </c>
      <c r="AO299" s="5" t="s">
        <v>60</v>
      </c>
      <c r="AP299" s="4" t="s">
        <v>61</v>
      </c>
      <c r="AQ299" s="4" t="s">
        <v>53</v>
      </c>
      <c r="AR299" s="4" t="s">
        <v>1360</v>
      </c>
      <c r="AS299" s="5">
        <v>46706</v>
      </c>
      <c r="AT299" t="s">
        <v>47</v>
      </c>
    </row>
    <row r="300" spans="1:46" ht="13" x14ac:dyDescent="0.3">
      <c r="A300" s="4" t="s">
        <v>1361</v>
      </c>
      <c r="B300" t="s">
        <v>47</v>
      </c>
      <c r="C300" s="4" t="s">
        <v>1362</v>
      </c>
      <c r="D300" s="4" t="s">
        <v>901</v>
      </c>
      <c r="E300" s="4" t="s">
        <v>100</v>
      </c>
      <c r="F300" s="5" t="s">
        <v>1363</v>
      </c>
      <c r="G300" t="s">
        <v>47</v>
      </c>
      <c r="H300" t="s">
        <v>47</v>
      </c>
      <c r="I300" t="s">
        <v>47</v>
      </c>
      <c r="J300" t="s">
        <v>47</v>
      </c>
      <c r="K300" t="s">
        <v>47</v>
      </c>
      <c r="L300" s="5" t="s">
        <v>51</v>
      </c>
      <c r="M300" t="s">
        <v>47</v>
      </c>
      <c r="N300" t="s">
        <v>47</v>
      </c>
      <c r="O300" t="s">
        <v>47</v>
      </c>
      <c r="P300" t="s">
        <v>47</v>
      </c>
      <c r="Q300" t="s">
        <v>47</v>
      </c>
      <c r="R300" t="s">
        <v>47</v>
      </c>
      <c r="S300" t="s">
        <v>47</v>
      </c>
      <c r="T300" t="s">
        <v>47</v>
      </c>
      <c r="U300" t="s">
        <v>47</v>
      </c>
      <c r="V300" t="s">
        <v>47</v>
      </c>
      <c r="W300" s="3">
        <v>32112</v>
      </c>
      <c r="X300" s="3">
        <v>33725</v>
      </c>
      <c r="Y300" t="s">
        <v>47</v>
      </c>
      <c r="Z300" s="3">
        <v>32112</v>
      </c>
      <c r="AA300" s="3">
        <v>33725</v>
      </c>
      <c r="AB300" t="s">
        <v>47</v>
      </c>
      <c r="AC300" s="3">
        <v>32874</v>
      </c>
      <c r="AD300" s="3">
        <v>33725</v>
      </c>
      <c r="AE300" t="s">
        <v>47</v>
      </c>
      <c r="AF300" t="s">
        <v>47</v>
      </c>
      <c r="AG300" t="s">
        <v>47</v>
      </c>
      <c r="AH300" t="s">
        <v>47</v>
      </c>
      <c r="AI300" t="s">
        <v>47</v>
      </c>
      <c r="AJ300" t="s">
        <v>47</v>
      </c>
      <c r="AK300" t="s">
        <v>47</v>
      </c>
      <c r="AL300" t="s">
        <v>47</v>
      </c>
      <c r="AM300" t="s">
        <v>47</v>
      </c>
      <c r="AN300" t="s">
        <v>47</v>
      </c>
      <c r="AO300" s="5" t="s">
        <v>51</v>
      </c>
      <c r="AP300" s="4" t="s">
        <v>85</v>
      </c>
      <c r="AQ300" s="4" t="s">
        <v>53</v>
      </c>
      <c r="AR300" s="4" t="s">
        <v>54</v>
      </c>
      <c r="AS300" s="5">
        <v>31548</v>
      </c>
      <c r="AT300" t="s">
        <v>47</v>
      </c>
    </row>
    <row r="301" spans="1:46" ht="104" x14ac:dyDescent="0.3">
      <c r="A301" s="4" t="s">
        <v>1364</v>
      </c>
      <c r="B301" t="s">
        <v>47</v>
      </c>
      <c r="C301" s="4" t="s">
        <v>1365</v>
      </c>
      <c r="D301" s="4" t="s">
        <v>1366</v>
      </c>
      <c r="E301" s="4" t="s">
        <v>49</v>
      </c>
      <c r="F301" s="5" t="s">
        <v>1367</v>
      </c>
      <c r="G301" t="s">
        <v>47</v>
      </c>
      <c r="H301" t="s">
        <v>47</v>
      </c>
      <c r="I301" s="3">
        <v>34335</v>
      </c>
      <c r="J301" s="5" t="s">
        <v>50</v>
      </c>
      <c r="K301" t="s">
        <v>47</v>
      </c>
      <c r="L301" s="5" t="s">
        <v>51</v>
      </c>
      <c r="M301" s="3">
        <v>34335</v>
      </c>
      <c r="N301" s="5" t="s">
        <v>50</v>
      </c>
      <c r="O301" t="s">
        <v>47</v>
      </c>
      <c r="P301" s="3">
        <v>35247</v>
      </c>
      <c r="Q301" s="5" t="s">
        <v>50</v>
      </c>
      <c r="R301" t="s">
        <v>47</v>
      </c>
      <c r="S301" t="s">
        <v>47</v>
      </c>
      <c r="T301" t="s">
        <v>47</v>
      </c>
      <c r="U301" t="s">
        <v>47</v>
      </c>
      <c r="V301" t="s">
        <v>47</v>
      </c>
      <c r="W301" s="3">
        <v>33604</v>
      </c>
      <c r="X301" s="5" t="s">
        <v>50</v>
      </c>
      <c r="Y301" t="s">
        <v>47</v>
      </c>
      <c r="Z301" s="3">
        <v>33604</v>
      </c>
      <c r="AA301" s="5" t="s">
        <v>50</v>
      </c>
      <c r="AB301" t="s">
        <v>47</v>
      </c>
      <c r="AC301" s="3">
        <v>33604</v>
      </c>
      <c r="AD301" s="5" t="s">
        <v>50</v>
      </c>
      <c r="AE301" t="s">
        <v>47</v>
      </c>
      <c r="AF301" t="s">
        <v>47</v>
      </c>
      <c r="AG301" t="s">
        <v>47</v>
      </c>
      <c r="AH301" t="s">
        <v>47</v>
      </c>
      <c r="AI301" t="s">
        <v>47</v>
      </c>
      <c r="AJ301" t="s">
        <v>47</v>
      </c>
      <c r="AK301" t="s">
        <v>47</v>
      </c>
      <c r="AL301" t="s">
        <v>47</v>
      </c>
      <c r="AM301" t="s">
        <v>47</v>
      </c>
      <c r="AN301" t="s">
        <v>47</v>
      </c>
      <c r="AO301" s="5" t="s">
        <v>51</v>
      </c>
      <c r="AP301" s="4" t="s">
        <v>85</v>
      </c>
      <c r="AQ301" s="4" t="s">
        <v>53</v>
      </c>
      <c r="AR301" s="4" t="s">
        <v>1368</v>
      </c>
      <c r="AS301" s="5">
        <v>36749</v>
      </c>
      <c r="AT301" t="s">
        <v>47</v>
      </c>
    </row>
    <row r="302" spans="1:46" ht="104" x14ac:dyDescent="0.3">
      <c r="A302" s="4" t="s">
        <v>1369</v>
      </c>
      <c r="B302" t="s">
        <v>47</v>
      </c>
      <c r="C302" s="4" t="s">
        <v>169</v>
      </c>
      <c r="D302" s="4" t="s">
        <v>70</v>
      </c>
      <c r="E302" s="4" t="s">
        <v>66</v>
      </c>
      <c r="F302" s="5" t="s">
        <v>1370</v>
      </c>
      <c r="G302" s="5" t="s">
        <v>1371</v>
      </c>
      <c r="H302" t="s">
        <v>47</v>
      </c>
      <c r="I302" t="s">
        <v>47</v>
      </c>
      <c r="J302" t="s">
        <v>47</v>
      </c>
      <c r="K302" t="s">
        <v>47</v>
      </c>
      <c r="L302" s="5" t="s">
        <v>60</v>
      </c>
      <c r="M302" t="s">
        <v>47</v>
      </c>
      <c r="N302" t="s">
        <v>47</v>
      </c>
      <c r="O302" t="s">
        <v>47</v>
      </c>
      <c r="P302" t="s">
        <v>47</v>
      </c>
      <c r="Q302" t="s">
        <v>47</v>
      </c>
      <c r="R302" t="s">
        <v>47</v>
      </c>
      <c r="S302" t="s">
        <v>47</v>
      </c>
      <c r="T302" t="s">
        <v>47</v>
      </c>
      <c r="U302" t="s">
        <v>47</v>
      </c>
      <c r="V302" t="s">
        <v>47</v>
      </c>
      <c r="W302" s="3">
        <v>39814</v>
      </c>
      <c r="X302" s="5" t="s">
        <v>50</v>
      </c>
      <c r="Y302" t="s">
        <v>47</v>
      </c>
      <c r="Z302" s="3">
        <v>39814</v>
      </c>
      <c r="AA302" s="5" t="s">
        <v>50</v>
      </c>
      <c r="AB302" t="s">
        <v>47</v>
      </c>
      <c r="AC302" s="3">
        <v>39814</v>
      </c>
      <c r="AD302" s="5" t="s">
        <v>50</v>
      </c>
      <c r="AE302" t="s">
        <v>47</v>
      </c>
      <c r="AF302" t="s">
        <v>47</v>
      </c>
      <c r="AG302" t="s">
        <v>47</v>
      </c>
      <c r="AH302" t="s">
        <v>47</v>
      </c>
      <c r="AI302" t="s">
        <v>47</v>
      </c>
      <c r="AJ302" t="s">
        <v>47</v>
      </c>
      <c r="AK302" t="s">
        <v>47</v>
      </c>
      <c r="AL302" t="s">
        <v>47</v>
      </c>
      <c r="AM302" t="s">
        <v>47</v>
      </c>
      <c r="AN302" t="s">
        <v>47</v>
      </c>
      <c r="AO302" s="5" t="s">
        <v>60</v>
      </c>
      <c r="AP302" s="4" t="s">
        <v>61</v>
      </c>
      <c r="AQ302" s="4" t="s">
        <v>53</v>
      </c>
      <c r="AR302" s="4" t="s">
        <v>1372</v>
      </c>
      <c r="AS302" s="5">
        <v>42033</v>
      </c>
      <c r="AT302" t="s">
        <v>47</v>
      </c>
    </row>
    <row r="303" spans="1:46" ht="78" x14ac:dyDescent="0.3">
      <c r="A303" s="4" t="s">
        <v>1373</v>
      </c>
      <c r="B303" s="4" t="s">
        <v>1374</v>
      </c>
      <c r="C303" s="4" t="s">
        <v>1375</v>
      </c>
      <c r="D303" s="4" t="s">
        <v>1376</v>
      </c>
      <c r="E303" s="4" t="s">
        <v>603</v>
      </c>
      <c r="F303" s="5" t="s">
        <v>1377</v>
      </c>
      <c r="G303" s="5" t="s">
        <v>1378</v>
      </c>
      <c r="H303" t="s">
        <v>47</v>
      </c>
      <c r="I303" s="3">
        <v>40179</v>
      </c>
      <c r="J303" s="5" t="s">
        <v>50</v>
      </c>
      <c r="K303" t="s">
        <v>47</v>
      </c>
      <c r="L303" s="5" t="s">
        <v>60</v>
      </c>
      <c r="M303" s="3">
        <v>40179</v>
      </c>
      <c r="N303" s="5" t="s">
        <v>50</v>
      </c>
      <c r="O303" t="s">
        <v>47</v>
      </c>
      <c r="P303" s="3">
        <v>40179</v>
      </c>
      <c r="Q303" s="5" t="s">
        <v>50</v>
      </c>
      <c r="R303" t="s">
        <v>47</v>
      </c>
      <c r="S303" t="s">
        <v>47</v>
      </c>
      <c r="T303" t="s">
        <v>47</v>
      </c>
      <c r="U303" t="s">
        <v>47</v>
      </c>
      <c r="V303" t="s">
        <v>47</v>
      </c>
      <c r="W303" s="3">
        <v>40179</v>
      </c>
      <c r="X303" s="5" t="s">
        <v>50</v>
      </c>
      <c r="Y303" t="s">
        <v>47</v>
      </c>
      <c r="Z303" s="3">
        <v>40179</v>
      </c>
      <c r="AA303" s="5" t="s">
        <v>50</v>
      </c>
      <c r="AB303" t="s">
        <v>47</v>
      </c>
      <c r="AC303" s="3">
        <v>40179</v>
      </c>
      <c r="AD303" s="5" t="s">
        <v>50</v>
      </c>
      <c r="AE303" t="s">
        <v>47</v>
      </c>
      <c r="AF303" t="s">
        <v>47</v>
      </c>
      <c r="AG303" t="s">
        <v>47</v>
      </c>
      <c r="AH303" t="s">
        <v>47</v>
      </c>
      <c r="AI303" t="s">
        <v>47</v>
      </c>
      <c r="AJ303" t="s">
        <v>47</v>
      </c>
      <c r="AK303" t="s">
        <v>47</v>
      </c>
      <c r="AL303" t="s">
        <v>47</v>
      </c>
      <c r="AM303" t="s">
        <v>47</v>
      </c>
      <c r="AN303" t="s">
        <v>47</v>
      </c>
      <c r="AO303" s="5" t="s">
        <v>60</v>
      </c>
      <c r="AP303" s="4" t="s">
        <v>61</v>
      </c>
      <c r="AQ303" s="4" t="s">
        <v>119</v>
      </c>
      <c r="AR303" s="4" t="s">
        <v>1379</v>
      </c>
      <c r="AS303" s="5">
        <v>216197</v>
      </c>
      <c r="AT303" t="s">
        <v>47</v>
      </c>
    </row>
    <row r="304" spans="1:46" ht="52" x14ac:dyDescent="0.3">
      <c r="A304" s="4" t="s">
        <v>1373</v>
      </c>
      <c r="B304" s="4" t="s">
        <v>1380</v>
      </c>
      <c r="C304" s="4" t="s">
        <v>1375</v>
      </c>
      <c r="D304" s="4" t="s">
        <v>1376</v>
      </c>
      <c r="E304" s="4" t="s">
        <v>603</v>
      </c>
      <c r="F304" t="s">
        <v>47</v>
      </c>
      <c r="G304" t="s">
        <v>47</v>
      </c>
      <c r="H304" t="s">
        <v>47</v>
      </c>
      <c r="I304" s="3">
        <v>40179</v>
      </c>
      <c r="J304" s="5" t="s">
        <v>50</v>
      </c>
      <c r="K304" t="s">
        <v>47</v>
      </c>
      <c r="L304" s="5" t="s">
        <v>60</v>
      </c>
      <c r="M304" s="3">
        <v>40179</v>
      </c>
      <c r="N304" s="5" t="s">
        <v>50</v>
      </c>
      <c r="O304" t="s">
        <v>47</v>
      </c>
      <c r="P304" s="3">
        <v>40179</v>
      </c>
      <c r="Q304" s="5" t="s">
        <v>50</v>
      </c>
      <c r="R304" t="s">
        <v>47</v>
      </c>
      <c r="S304" t="s">
        <v>47</v>
      </c>
      <c r="T304" t="s">
        <v>47</v>
      </c>
      <c r="U304" t="s">
        <v>47</v>
      </c>
      <c r="V304" t="s">
        <v>47</v>
      </c>
      <c r="W304" s="3">
        <v>40179</v>
      </c>
      <c r="X304" s="5" t="s">
        <v>50</v>
      </c>
      <c r="Y304" t="s">
        <v>47</v>
      </c>
      <c r="Z304" s="3">
        <v>40179</v>
      </c>
      <c r="AA304" s="5" t="s">
        <v>50</v>
      </c>
      <c r="AB304" t="s">
        <v>47</v>
      </c>
      <c r="AC304" s="3">
        <v>40179</v>
      </c>
      <c r="AD304" s="5" t="s">
        <v>50</v>
      </c>
      <c r="AE304" t="s">
        <v>47</v>
      </c>
      <c r="AF304" t="s">
        <v>47</v>
      </c>
      <c r="AG304" t="s">
        <v>47</v>
      </c>
      <c r="AH304" t="s">
        <v>47</v>
      </c>
      <c r="AI304" t="s">
        <v>47</v>
      </c>
      <c r="AJ304" t="s">
        <v>47</v>
      </c>
      <c r="AK304" t="s">
        <v>47</v>
      </c>
      <c r="AL304" t="s">
        <v>47</v>
      </c>
      <c r="AM304" t="s">
        <v>47</v>
      </c>
      <c r="AN304" t="s">
        <v>47</v>
      </c>
      <c r="AO304" s="5" t="s">
        <v>60</v>
      </c>
      <c r="AP304" s="4" t="s">
        <v>61</v>
      </c>
      <c r="AQ304" s="4" t="s">
        <v>53</v>
      </c>
      <c r="AR304" s="4" t="s">
        <v>1381</v>
      </c>
      <c r="AS304" s="5">
        <v>396529</v>
      </c>
      <c r="AT304" t="s">
        <v>47</v>
      </c>
    </row>
    <row r="305" spans="1:46" ht="13" x14ac:dyDescent="0.3">
      <c r="A305" s="4" t="s">
        <v>1382</v>
      </c>
      <c r="B305" t="s">
        <v>47</v>
      </c>
      <c r="C305" s="4" t="s">
        <v>1383</v>
      </c>
      <c r="D305" s="4" t="s">
        <v>139</v>
      </c>
      <c r="E305" s="4" t="s">
        <v>66</v>
      </c>
      <c r="F305" s="5" t="s">
        <v>1384</v>
      </c>
      <c r="G305" s="5" t="s">
        <v>1385</v>
      </c>
      <c r="H305" t="s">
        <v>47</v>
      </c>
      <c r="I305" s="3">
        <v>41365</v>
      </c>
      <c r="J305" s="3">
        <v>43739</v>
      </c>
      <c r="K305" t="s">
        <v>47</v>
      </c>
      <c r="L305" s="5" t="s">
        <v>51</v>
      </c>
      <c r="M305" s="3">
        <v>41365</v>
      </c>
      <c r="N305" s="3">
        <v>43739</v>
      </c>
      <c r="O305" t="s">
        <v>47</v>
      </c>
      <c r="P305" s="3">
        <v>41365</v>
      </c>
      <c r="Q305" s="3">
        <v>43739</v>
      </c>
      <c r="R305" t="s">
        <v>47</v>
      </c>
      <c r="S305" t="s">
        <v>47</v>
      </c>
      <c r="T305" t="s">
        <v>47</v>
      </c>
      <c r="U305" t="s">
        <v>47</v>
      </c>
      <c r="V305" t="s">
        <v>47</v>
      </c>
      <c r="W305" s="3">
        <v>41365</v>
      </c>
      <c r="X305" s="3">
        <v>43739</v>
      </c>
      <c r="Y305" t="s">
        <v>47</v>
      </c>
      <c r="Z305" s="3">
        <v>41365</v>
      </c>
      <c r="AA305" s="3">
        <v>43739</v>
      </c>
      <c r="AB305" t="s">
        <v>47</v>
      </c>
      <c r="AC305" s="3">
        <v>41365</v>
      </c>
      <c r="AD305" s="3">
        <v>43739</v>
      </c>
      <c r="AE305" t="s">
        <v>47</v>
      </c>
      <c r="AF305" t="s">
        <v>47</v>
      </c>
      <c r="AG305" t="s">
        <v>47</v>
      </c>
      <c r="AH305" t="s">
        <v>47</v>
      </c>
      <c r="AI305" t="s">
        <v>47</v>
      </c>
      <c r="AJ305" t="s">
        <v>47</v>
      </c>
      <c r="AK305" t="s">
        <v>47</v>
      </c>
      <c r="AL305" t="s">
        <v>47</v>
      </c>
      <c r="AM305" t="s">
        <v>47</v>
      </c>
      <c r="AN305" t="s">
        <v>47</v>
      </c>
      <c r="AO305" s="5" t="s">
        <v>51</v>
      </c>
      <c r="AP305" s="4" t="s">
        <v>135</v>
      </c>
      <c r="AQ305" s="4" t="s">
        <v>53</v>
      </c>
      <c r="AR305" s="4" t="s">
        <v>54</v>
      </c>
      <c r="AS305" s="5">
        <v>2029233</v>
      </c>
      <c r="AT305" t="s">
        <v>47</v>
      </c>
    </row>
    <row r="306" spans="1:46" ht="13" x14ac:dyDescent="0.3">
      <c r="A306" s="4" t="s">
        <v>1386</v>
      </c>
      <c r="B306" t="s">
        <v>47</v>
      </c>
      <c r="C306" s="4" t="s">
        <v>1387</v>
      </c>
      <c r="D306" s="4" t="s">
        <v>733</v>
      </c>
      <c r="E306" s="4" t="s">
        <v>49</v>
      </c>
      <c r="F306" s="5" t="s">
        <v>1388</v>
      </c>
      <c r="G306" t="s">
        <v>47</v>
      </c>
      <c r="H306" t="s">
        <v>47</v>
      </c>
      <c r="I306" s="3">
        <v>40452</v>
      </c>
      <c r="J306" s="3">
        <v>42461</v>
      </c>
      <c r="K306" t="s">
        <v>47</v>
      </c>
      <c r="L306" s="5" t="s">
        <v>60</v>
      </c>
      <c r="M306" s="3">
        <v>40452</v>
      </c>
      <c r="N306" s="3">
        <v>42461</v>
      </c>
      <c r="O306" t="s">
        <v>47</v>
      </c>
      <c r="P306" s="3">
        <v>40452</v>
      </c>
      <c r="Q306" s="3">
        <v>42461</v>
      </c>
      <c r="R306" t="s">
        <v>47</v>
      </c>
      <c r="S306" t="s">
        <v>47</v>
      </c>
      <c r="T306" t="s">
        <v>47</v>
      </c>
      <c r="U306" t="s">
        <v>47</v>
      </c>
      <c r="V306" t="s">
        <v>47</v>
      </c>
      <c r="W306" s="3">
        <v>40452</v>
      </c>
      <c r="X306" s="3">
        <v>42461</v>
      </c>
      <c r="Y306" t="s">
        <v>47</v>
      </c>
      <c r="Z306" s="3">
        <v>40452</v>
      </c>
      <c r="AA306" s="3">
        <v>42461</v>
      </c>
      <c r="AB306" t="s">
        <v>47</v>
      </c>
      <c r="AC306" s="3">
        <v>40452</v>
      </c>
      <c r="AD306" s="3">
        <v>42461</v>
      </c>
      <c r="AE306" t="s">
        <v>47</v>
      </c>
      <c r="AF306" t="s">
        <v>47</v>
      </c>
      <c r="AG306" t="s">
        <v>47</v>
      </c>
      <c r="AH306" t="s">
        <v>47</v>
      </c>
      <c r="AI306" t="s">
        <v>47</v>
      </c>
      <c r="AJ306" t="s">
        <v>47</v>
      </c>
      <c r="AK306" t="s">
        <v>47</v>
      </c>
      <c r="AL306" t="s">
        <v>47</v>
      </c>
      <c r="AM306" t="s">
        <v>47</v>
      </c>
      <c r="AN306" t="s">
        <v>47</v>
      </c>
      <c r="AO306" s="5" t="s">
        <v>60</v>
      </c>
      <c r="AP306" s="4" t="s">
        <v>61</v>
      </c>
      <c r="AQ306" s="4" t="s">
        <v>53</v>
      </c>
      <c r="AR306" s="4" t="s">
        <v>827</v>
      </c>
      <c r="AS306" s="5">
        <v>1326335</v>
      </c>
      <c r="AT306" t="s">
        <v>47</v>
      </c>
    </row>
    <row r="307" spans="1:46" ht="13" x14ac:dyDescent="0.3">
      <c r="A307" s="4" t="s">
        <v>1389</v>
      </c>
      <c r="B307" t="s">
        <v>47</v>
      </c>
      <c r="C307" s="4" t="s">
        <v>1390</v>
      </c>
      <c r="D307" s="4" t="s">
        <v>1391</v>
      </c>
      <c r="E307" s="4" t="s">
        <v>49</v>
      </c>
      <c r="F307" s="5" t="s">
        <v>1392</v>
      </c>
      <c r="G307" t="s">
        <v>47</v>
      </c>
      <c r="H307" t="s">
        <v>47</v>
      </c>
      <c r="I307" s="3">
        <v>35431</v>
      </c>
      <c r="J307" s="3">
        <v>36892</v>
      </c>
      <c r="K307" t="s">
        <v>47</v>
      </c>
      <c r="L307" s="5" t="s">
        <v>60</v>
      </c>
      <c r="M307" s="3">
        <v>35431</v>
      </c>
      <c r="N307" s="3">
        <v>36892</v>
      </c>
      <c r="O307" t="s">
        <v>47</v>
      </c>
      <c r="P307" s="3">
        <v>35431</v>
      </c>
      <c r="Q307" s="3">
        <v>36892</v>
      </c>
      <c r="R307" t="s">
        <v>47</v>
      </c>
      <c r="S307" t="s">
        <v>47</v>
      </c>
      <c r="T307" t="s">
        <v>47</v>
      </c>
      <c r="U307" t="s">
        <v>47</v>
      </c>
      <c r="V307" t="s">
        <v>47</v>
      </c>
      <c r="W307" s="3">
        <v>35431</v>
      </c>
      <c r="X307" s="3">
        <v>36892</v>
      </c>
      <c r="Y307" t="s">
        <v>47</v>
      </c>
      <c r="Z307" s="3">
        <v>35431</v>
      </c>
      <c r="AA307" s="3">
        <v>36892</v>
      </c>
      <c r="AB307" t="s">
        <v>47</v>
      </c>
      <c r="AC307" s="3">
        <v>35431</v>
      </c>
      <c r="AD307" s="3">
        <v>36892</v>
      </c>
      <c r="AE307" t="s">
        <v>47</v>
      </c>
      <c r="AF307" t="s">
        <v>47</v>
      </c>
      <c r="AG307" t="s">
        <v>47</v>
      </c>
      <c r="AH307" t="s">
        <v>47</v>
      </c>
      <c r="AI307" t="s">
        <v>47</v>
      </c>
      <c r="AJ307" t="s">
        <v>47</v>
      </c>
      <c r="AK307" t="s">
        <v>47</v>
      </c>
      <c r="AL307" t="s">
        <v>47</v>
      </c>
      <c r="AM307" t="s">
        <v>47</v>
      </c>
      <c r="AN307" t="s">
        <v>47</v>
      </c>
      <c r="AO307" s="5" t="s">
        <v>60</v>
      </c>
      <c r="AP307" s="4" t="s">
        <v>61</v>
      </c>
      <c r="AQ307" s="4" t="s">
        <v>53</v>
      </c>
      <c r="AR307" s="4" t="s">
        <v>54</v>
      </c>
      <c r="AS307" s="5">
        <v>41688</v>
      </c>
      <c r="AT307" t="s">
        <v>47</v>
      </c>
    </row>
    <row r="308" spans="1:46" ht="26" x14ac:dyDescent="0.3">
      <c r="A308" s="4" t="s">
        <v>1393</v>
      </c>
      <c r="B308" t="s">
        <v>47</v>
      </c>
      <c r="C308" s="4" t="s">
        <v>1394</v>
      </c>
      <c r="D308" s="4" t="s">
        <v>1232</v>
      </c>
      <c r="E308" s="4" t="s">
        <v>123</v>
      </c>
      <c r="F308" s="5" t="s">
        <v>1395</v>
      </c>
      <c r="G308" s="5" t="s">
        <v>1396</v>
      </c>
      <c r="H308" t="s">
        <v>47</v>
      </c>
      <c r="I308" t="s">
        <v>47</v>
      </c>
      <c r="J308" t="s">
        <v>47</v>
      </c>
      <c r="K308" t="s">
        <v>47</v>
      </c>
      <c r="L308" s="5" t="s">
        <v>60</v>
      </c>
      <c r="M308" t="s">
        <v>47</v>
      </c>
      <c r="N308" t="s">
        <v>47</v>
      </c>
      <c r="O308" t="s">
        <v>47</v>
      </c>
      <c r="P308" t="s">
        <v>47</v>
      </c>
      <c r="Q308" t="s">
        <v>47</v>
      </c>
      <c r="R308" t="s">
        <v>47</v>
      </c>
      <c r="S308" t="s">
        <v>47</v>
      </c>
      <c r="T308" t="s">
        <v>47</v>
      </c>
      <c r="U308" t="s">
        <v>47</v>
      </c>
      <c r="V308" t="s">
        <v>47</v>
      </c>
      <c r="W308" s="3">
        <v>38534</v>
      </c>
      <c r="X308" s="3">
        <v>42644</v>
      </c>
      <c r="Y308" t="s">
        <v>47</v>
      </c>
      <c r="Z308" s="3">
        <v>38534</v>
      </c>
      <c r="AA308" s="3">
        <v>42644</v>
      </c>
      <c r="AB308" t="s">
        <v>47</v>
      </c>
      <c r="AC308" s="3">
        <v>38534</v>
      </c>
      <c r="AD308" s="3">
        <v>42644</v>
      </c>
      <c r="AE308" t="s">
        <v>47</v>
      </c>
      <c r="AF308" t="s">
        <v>47</v>
      </c>
      <c r="AG308" t="s">
        <v>47</v>
      </c>
      <c r="AH308" t="s">
        <v>47</v>
      </c>
      <c r="AI308" t="s">
        <v>47</v>
      </c>
      <c r="AJ308" t="s">
        <v>47</v>
      </c>
      <c r="AK308" t="s">
        <v>47</v>
      </c>
      <c r="AL308" t="s">
        <v>47</v>
      </c>
      <c r="AM308" t="s">
        <v>47</v>
      </c>
      <c r="AN308" t="s">
        <v>47</v>
      </c>
      <c r="AO308" s="5" t="s">
        <v>60</v>
      </c>
      <c r="AP308" s="4" t="s">
        <v>61</v>
      </c>
      <c r="AQ308" s="4" t="s">
        <v>53</v>
      </c>
      <c r="AR308" s="4" t="s">
        <v>807</v>
      </c>
      <c r="AS308" s="5">
        <v>30987</v>
      </c>
      <c r="AT308" t="s">
        <v>47</v>
      </c>
    </row>
    <row r="309" spans="1:46" ht="26" x14ac:dyDescent="0.3">
      <c r="A309" s="4" t="s">
        <v>1397</v>
      </c>
      <c r="B309" t="s">
        <v>47</v>
      </c>
      <c r="C309" s="4" t="s">
        <v>312</v>
      </c>
      <c r="D309" s="4" t="s">
        <v>313</v>
      </c>
      <c r="E309" s="4" t="s">
        <v>49</v>
      </c>
      <c r="F309" s="5" t="s">
        <v>1398</v>
      </c>
      <c r="G309" s="5" t="s">
        <v>1399</v>
      </c>
      <c r="H309" t="s">
        <v>47</v>
      </c>
      <c r="I309" s="3">
        <v>40087</v>
      </c>
      <c r="J309" s="3">
        <v>40817</v>
      </c>
      <c r="K309" t="s">
        <v>47</v>
      </c>
      <c r="L309" s="5" t="s">
        <v>60</v>
      </c>
      <c r="M309" s="3">
        <v>40087</v>
      </c>
      <c r="N309" s="3">
        <v>40817</v>
      </c>
      <c r="O309" t="s">
        <v>47</v>
      </c>
      <c r="P309" s="3">
        <v>40087</v>
      </c>
      <c r="Q309" s="3">
        <v>40817</v>
      </c>
      <c r="R309" t="s">
        <v>47</v>
      </c>
      <c r="S309" t="s">
        <v>47</v>
      </c>
      <c r="T309" t="s">
        <v>47</v>
      </c>
      <c r="U309" t="s">
        <v>47</v>
      </c>
      <c r="V309" t="s">
        <v>47</v>
      </c>
      <c r="W309" s="3">
        <v>40087</v>
      </c>
      <c r="X309" s="3">
        <v>40817</v>
      </c>
      <c r="Y309" t="s">
        <v>47</v>
      </c>
      <c r="Z309" s="3">
        <v>40087</v>
      </c>
      <c r="AA309" s="3">
        <v>40817</v>
      </c>
      <c r="AB309" t="s">
        <v>47</v>
      </c>
      <c r="AC309" s="3">
        <v>40087</v>
      </c>
      <c r="AD309" s="3">
        <v>40817</v>
      </c>
      <c r="AE309" t="s">
        <v>47</v>
      </c>
      <c r="AF309" t="s">
        <v>47</v>
      </c>
      <c r="AG309" t="s">
        <v>47</v>
      </c>
      <c r="AH309" t="s">
        <v>47</v>
      </c>
      <c r="AI309" t="s">
        <v>47</v>
      </c>
      <c r="AJ309" t="s">
        <v>47</v>
      </c>
      <c r="AK309" t="s">
        <v>47</v>
      </c>
      <c r="AL309" t="s">
        <v>47</v>
      </c>
      <c r="AM309" t="s">
        <v>47</v>
      </c>
      <c r="AN309" t="s">
        <v>47</v>
      </c>
      <c r="AO309" s="5" t="s">
        <v>60</v>
      </c>
      <c r="AP309" s="4" t="s">
        <v>61</v>
      </c>
      <c r="AQ309" s="4" t="s">
        <v>53</v>
      </c>
      <c r="AR309" s="4" t="s">
        <v>54</v>
      </c>
      <c r="AS309" s="5">
        <v>54900</v>
      </c>
      <c r="AT309" t="s">
        <v>47</v>
      </c>
    </row>
    <row r="310" spans="1:46" ht="26" x14ac:dyDescent="0.3">
      <c r="A310" s="4" t="s">
        <v>1400</v>
      </c>
      <c r="B310" t="s">
        <v>47</v>
      </c>
      <c r="C310" s="4" t="s">
        <v>312</v>
      </c>
      <c r="D310" s="4" t="s">
        <v>313</v>
      </c>
      <c r="E310" s="4" t="s">
        <v>49</v>
      </c>
      <c r="F310" s="5" t="s">
        <v>1398</v>
      </c>
      <c r="G310" s="5" t="s">
        <v>1399</v>
      </c>
      <c r="H310" t="s">
        <v>47</v>
      </c>
      <c r="I310" s="3">
        <v>40848</v>
      </c>
      <c r="J310" s="3">
        <v>44562</v>
      </c>
      <c r="K310" s="5" t="s">
        <v>1401</v>
      </c>
      <c r="L310" s="5" t="s">
        <v>60</v>
      </c>
      <c r="M310" t="s">
        <v>47</v>
      </c>
      <c r="N310" t="s">
        <v>47</v>
      </c>
      <c r="O310" t="s">
        <v>47</v>
      </c>
      <c r="P310" s="3">
        <v>40848</v>
      </c>
      <c r="Q310" s="3">
        <v>44562</v>
      </c>
      <c r="R310" s="5" t="s">
        <v>1401</v>
      </c>
      <c r="S310" t="s">
        <v>47</v>
      </c>
      <c r="T310" t="s">
        <v>47</v>
      </c>
      <c r="U310" t="s">
        <v>47</v>
      </c>
      <c r="V310" t="s">
        <v>47</v>
      </c>
      <c r="W310" s="3">
        <v>40848</v>
      </c>
      <c r="X310" s="3">
        <v>44562</v>
      </c>
      <c r="Y310" s="5" t="s">
        <v>1401</v>
      </c>
      <c r="Z310" s="3">
        <v>40848</v>
      </c>
      <c r="AA310" s="3">
        <v>44562</v>
      </c>
      <c r="AB310" s="5" t="s">
        <v>1401</v>
      </c>
      <c r="AC310" s="3">
        <v>40848</v>
      </c>
      <c r="AD310" s="3">
        <v>44562</v>
      </c>
      <c r="AE310" s="5" t="s">
        <v>1401</v>
      </c>
      <c r="AF310" t="s">
        <v>47</v>
      </c>
      <c r="AG310" t="s">
        <v>47</v>
      </c>
      <c r="AH310" t="s">
        <v>47</v>
      </c>
      <c r="AI310" t="s">
        <v>47</v>
      </c>
      <c r="AJ310" t="s">
        <v>47</v>
      </c>
      <c r="AK310" t="s">
        <v>47</v>
      </c>
      <c r="AL310" t="s">
        <v>47</v>
      </c>
      <c r="AM310" t="s">
        <v>47</v>
      </c>
      <c r="AN310" t="s">
        <v>47</v>
      </c>
      <c r="AO310" s="5" t="s">
        <v>60</v>
      </c>
      <c r="AP310" s="4" t="s">
        <v>61</v>
      </c>
      <c r="AQ310" s="4" t="s">
        <v>53</v>
      </c>
      <c r="AR310" s="4" t="s">
        <v>54</v>
      </c>
      <c r="AS310" s="5">
        <v>2026881</v>
      </c>
      <c r="AT310" t="s">
        <v>47</v>
      </c>
    </row>
    <row r="311" spans="1:46" ht="13" x14ac:dyDescent="0.3">
      <c r="A311" s="4" t="s">
        <v>1402</v>
      </c>
      <c r="B311" t="s">
        <v>47</v>
      </c>
      <c r="C311" s="4" t="s">
        <v>122</v>
      </c>
      <c r="D311" s="4" t="s">
        <v>575</v>
      </c>
      <c r="E311" s="4" t="s">
        <v>123</v>
      </c>
      <c r="F311" s="5" t="s">
        <v>1403</v>
      </c>
      <c r="G311" s="5" t="s">
        <v>1404</v>
      </c>
      <c r="H311" t="s">
        <v>47</v>
      </c>
      <c r="I311" s="3">
        <v>38718</v>
      </c>
      <c r="J311" s="5" t="s">
        <v>50</v>
      </c>
      <c r="K311" t="s">
        <v>47</v>
      </c>
      <c r="L311" s="5" t="s">
        <v>60</v>
      </c>
      <c r="M311" s="3">
        <v>38718</v>
      </c>
      <c r="N311" s="5" t="s">
        <v>50</v>
      </c>
      <c r="O311" t="s">
        <v>47</v>
      </c>
      <c r="P311" s="3">
        <v>38718</v>
      </c>
      <c r="Q311" s="5" t="s">
        <v>50</v>
      </c>
      <c r="R311" t="s">
        <v>47</v>
      </c>
      <c r="S311" t="s">
        <v>47</v>
      </c>
      <c r="T311" t="s">
        <v>47</v>
      </c>
      <c r="U311" t="s">
        <v>47</v>
      </c>
      <c r="V311" s="5">
        <v>365</v>
      </c>
      <c r="W311" s="3">
        <v>35431</v>
      </c>
      <c r="X311" s="5" t="s">
        <v>50</v>
      </c>
      <c r="Y311" t="s">
        <v>47</v>
      </c>
      <c r="Z311" s="3">
        <v>35431</v>
      </c>
      <c r="AA311" s="5" t="s">
        <v>50</v>
      </c>
      <c r="AB311" t="s">
        <v>47</v>
      </c>
      <c r="AC311" s="3">
        <v>35431</v>
      </c>
      <c r="AD311" s="5" t="s">
        <v>50</v>
      </c>
      <c r="AE311" s="5" t="s">
        <v>1405</v>
      </c>
      <c r="AF311" t="s">
        <v>47</v>
      </c>
      <c r="AG311" t="s">
        <v>47</v>
      </c>
      <c r="AH311" t="s">
        <v>47</v>
      </c>
      <c r="AI311" t="s">
        <v>47</v>
      </c>
      <c r="AJ311" t="s">
        <v>47</v>
      </c>
      <c r="AK311" t="s">
        <v>47</v>
      </c>
      <c r="AL311" t="s">
        <v>47</v>
      </c>
      <c r="AM311" t="s">
        <v>47</v>
      </c>
      <c r="AN311" t="s">
        <v>47</v>
      </c>
      <c r="AO311" s="5" t="s">
        <v>60</v>
      </c>
      <c r="AP311" s="4" t="s">
        <v>61</v>
      </c>
      <c r="AQ311" s="4" t="s">
        <v>53</v>
      </c>
      <c r="AR311" s="4" t="s">
        <v>483</v>
      </c>
      <c r="AS311" s="5">
        <v>28234</v>
      </c>
      <c r="AT311" t="s">
        <v>47</v>
      </c>
    </row>
    <row r="312" spans="1:46" ht="13" x14ac:dyDescent="0.3">
      <c r="A312" s="4" t="s">
        <v>1406</v>
      </c>
      <c r="B312" t="s">
        <v>47</v>
      </c>
      <c r="C312" s="4" t="s">
        <v>169</v>
      </c>
      <c r="D312" s="4" t="s">
        <v>339</v>
      </c>
      <c r="E312" s="4" t="s">
        <v>66</v>
      </c>
      <c r="F312" s="5" t="s">
        <v>1407</v>
      </c>
      <c r="G312" s="5" t="s">
        <v>1408</v>
      </c>
      <c r="H312" t="s">
        <v>47</v>
      </c>
      <c r="I312" s="3">
        <v>36100</v>
      </c>
      <c r="J312" s="3">
        <v>36831</v>
      </c>
      <c r="K312" t="s">
        <v>47</v>
      </c>
      <c r="L312" s="5" t="s">
        <v>60</v>
      </c>
      <c r="M312" s="3">
        <v>36100</v>
      </c>
      <c r="N312" s="3">
        <v>36465</v>
      </c>
      <c r="O312" t="s">
        <v>47</v>
      </c>
      <c r="P312" s="3">
        <v>36100</v>
      </c>
      <c r="Q312" s="3">
        <v>36831</v>
      </c>
      <c r="R312" t="s">
        <v>47</v>
      </c>
      <c r="S312" t="s">
        <v>47</v>
      </c>
      <c r="T312" t="s">
        <v>47</v>
      </c>
      <c r="U312" t="s">
        <v>47</v>
      </c>
      <c r="V312" t="s">
        <v>47</v>
      </c>
      <c r="W312" s="3">
        <v>36100</v>
      </c>
      <c r="X312" s="3">
        <v>36831</v>
      </c>
      <c r="Y312" t="s">
        <v>47</v>
      </c>
      <c r="Z312" s="3">
        <v>36100</v>
      </c>
      <c r="AA312" s="3">
        <v>36831</v>
      </c>
      <c r="AB312" t="s">
        <v>47</v>
      </c>
      <c r="AC312" t="s">
        <v>47</v>
      </c>
      <c r="AD312" t="s">
        <v>47</v>
      </c>
      <c r="AE312" t="s">
        <v>47</v>
      </c>
      <c r="AF312" t="s">
        <v>47</v>
      </c>
      <c r="AG312" t="s">
        <v>47</v>
      </c>
      <c r="AH312" t="s">
        <v>47</v>
      </c>
      <c r="AI312" t="s">
        <v>47</v>
      </c>
      <c r="AJ312" t="s">
        <v>47</v>
      </c>
      <c r="AK312" t="s">
        <v>47</v>
      </c>
      <c r="AL312" t="s">
        <v>47</v>
      </c>
      <c r="AM312" t="s">
        <v>47</v>
      </c>
      <c r="AN312" t="s">
        <v>47</v>
      </c>
      <c r="AO312" s="5" t="s">
        <v>51</v>
      </c>
      <c r="AP312" s="4" t="s">
        <v>61</v>
      </c>
      <c r="AQ312" s="4" t="s">
        <v>53</v>
      </c>
      <c r="AR312" s="4" t="s">
        <v>54</v>
      </c>
      <c r="AS312" s="5">
        <v>32874</v>
      </c>
      <c r="AT312" t="s">
        <v>47</v>
      </c>
    </row>
    <row r="313" spans="1:46" ht="13" x14ac:dyDescent="0.3">
      <c r="A313" s="4" t="s">
        <v>1409</v>
      </c>
      <c r="B313" t="s">
        <v>47</v>
      </c>
      <c r="C313" s="4" t="s">
        <v>1410</v>
      </c>
      <c r="D313" s="4" t="s">
        <v>780</v>
      </c>
      <c r="E313" s="4" t="s">
        <v>49</v>
      </c>
      <c r="F313" s="5" t="s">
        <v>1411</v>
      </c>
      <c r="G313" t="s">
        <v>47</v>
      </c>
      <c r="H313" t="s">
        <v>47</v>
      </c>
      <c r="I313" s="3">
        <v>37622</v>
      </c>
      <c r="J313" s="5" t="s">
        <v>50</v>
      </c>
      <c r="K313" s="5" t="s">
        <v>450</v>
      </c>
      <c r="L313" s="5" t="s">
        <v>60</v>
      </c>
      <c r="M313" s="3">
        <v>37622</v>
      </c>
      <c r="N313" s="5" t="s">
        <v>50</v>
      </c>
      <c r="O313" s="5" t="s">
        <v>450</v>
      </c>
      <c r="P313" s="3">
        <v>38353</v>
      </c>
      <c r="Q313" s="5" t="s">
        <v>50</v>
      </c>
      <c r="R313" s="5" t="s">
        <v>450</v>
      </c>
      <c r="S313" t="s">
        <v>47</v>
      </c>
      <c r="T313" t="s">
        <v>47</v>
      </c>
      <c r="U313" t="s">
        <v>47</v>
      </c>
      <c r="V313" t="s">
        <v>47</v>
      </c>
      <c r="W313" s="3">
        <v>26299</v>
      </c>
      <c r="X313" s="5" t="s">
        <v>50</v>
      </c>
      <c r="Y313" s="5" t="s">
        <v>1412</v>
      </c>
      <c r="Z313" s="3">
        <v>26299</v>
      </c>
      <c r="AA313" s="5" t="s">
        <v>50</v>
      </c>
      <c r="AB313" s="5" t="s">
        <v>1412</v>
      </c>
      <c r="AC313" s="3">
        <v>32509</v>
      </c>
      <c r="AD313" s="5" t="s">
        <v>50</v>
      </c>
      <c r="AE313" s="5" t="s">
        <v>1413</v>
      </c>
      <c r="AF313" t="s">
        <v>47</v>
      </c>
      <c r="AG313" t="s">
        <v>47</v>
      </c>
      <c r="AH313" t="s">
        <v>47</v>
      </c>
      <c r="AI313" t="s">
        <v>47</v>
      </c>
      <c r="AJ313" t="s">
        <v>47</v>
      </c>
      <c r="AK313" t="s">
        <v>47</v>
      </c>
      <c r="AL313" t="s">
        <v>47</v>
      </c>
      <c r="AM313" t="s">
        <v>47</v>
      </c>
      <c r="AN313" t="s">
        <v>47</v>
      </c>
      <c r="AO313" s="5" t="s">
        <v>60</v>
      </c>
      <c r="AP313" s="4" t="s">
        <v>61</v>
      </c>
      <c r="AQ313" s="4" t="s">
        <v>53</v>
      </c>
      <c r="AR313" s="4" t="s">
        <v>827</v>
      </c>
      <c r="AS313" s="5">
        <v>25603</v>
      </c>
      <c r="AT313" t="s">
        <v>47</v>
      </c>
    </row>
    <row r="314" spans="1:46" ht="39" x14ac:dyDescent="0.3">
      <c r="A314" s="4" t="s">
        <v>1414</v>
      </c>
      <c r="B314" t="s">
        <v>47</v>
      </c>
      <c r="C314" s="4" t="s">
        <v>1415</v>
      </c>
      <c r="D314" s="4" t="s">
        <v>901</v>
      </c>
      <c r="E314" s="4" t="s">
        <v>1416</v>
      </c>
      <c r="F314" s="5" t="s">
        <v>1417</v>
      </c>
      <c r="G314" t="s">
        <v>47</v>
      </c>
      <c r="H314" t="s">
        <v>47</v>
      </c>
      <c r="I314" s="3">
        <v>37257</v>
      </c>
      <c r="J314" s="3">
        <v>39904</v>
      </c>
      <c r="K314" t="s">
        <v>47</v>
      </c>
      <c r="L314" s="5" t="s">
        <v>60</v>
      </c>
      <c r="M314" s="3">
        <v>37257</v>
      </c>
      <c r="N314" s="3">
        <v>39904</v>
      </c>
      <c r="O314" t="s">
        <v>47</v>
      </c>
      <c r="P314" s="3">
        <v>37257</v>
      </c>
      <c r="Q314" s="3">
        <v>39904</v>
      </c>
      <c r="R314" t="s">
        <v>47</v>
      </c>
      <c r="S314" t="s">
        <v>47</v>
      </c>
      <c r="T314" t="s">
        <v>47</v>
      </c>
      <c r="U314" t="s">
        <v>47</v>
      </c>
      <c r="V314" t="s">
        <v>47</v>
      </c>
      <c r="W314" s="3">
        <v>33604</v>
      </c>
      <c r="X314" s="3">
        <v>39904</v>
      </c>
      <c r="Y314" t="s">
        <v>47</v>
      </c>
      <c r="Z314" s="3">
        <v>33604</v>
      </c>
      <c r="AA314" s="3">
        <v>39904</v>
      </c>
      <c r="AB314" t="s">
        <v>47</v>
      </c>
      <c r="AC314" s="3">
        <v>37803</v>
      </c>
      <c r="AD314" s="3">
        <v>39904</v>
      </c>
      <c r="AE314" t="s">
        <v>47</v>
      </c>
      <c r="AF314" t="s">
        <v>47</v>
      </c>
      <c r="AG314" t="s">
        <v>47</v>
      </c>
      <c r="AH314" t="s">
        <v>47</v>
      </c>
      <c r="AI314" t="s">
        <v>47</v>
      </c>
      <c r="AJ314" t="s">
        <v>47</v>
      </c>
      <c r="AK314" t="s">
        <v>47</v>
      </c>
      <c r="AL314" t="s">
        <v>47</v>
      </c>
      <c r="AM314" t="s">
        <v>47</v>
      </c>
      <c r="AN314" t="s">
        <v>47</v>
      </c>
      <c r="AO314" s="5" t="s">
        <v>60</v>
      </c>
      <c r="AP314" s="4" t="s">
        <v>61</v>
      </c>
      <c r="AQ314" s="4" t="s">
        <v>53</v>
      </c>
      <c r="AR314" s="4" t="s">
        <v>186</v>
      </c>
      <c r="AS314" s="5">
        <v>34715</v>
      </c>
      <c r="AT314" t="s">
        <v>47</v>
      </c>
    </row>
    <row r="315" spans="1:46" ht="13" x14ac:dyDescent="0.3">
      <c r="A315" s="4" t="s">
        <v>1418</v>
      </c>
      <c r="B315" t="s">
        <v>47</v>
      </c>
      <c r="C315" s="4" t="s">
        <v>1419</v>
      </c>
      <c r="D315" s="4" t="s">
        <v>1420</v>
      </c>
      <c r="E315" s="4" t="s">
        <v>49</v>
      </c>
      <c r="F315" t="s">
        <v>47</v>
      </c>
      <c r="G315" t="s">
        <v>47</v>
      </c>
      <c r="H315" t="s">
        <v>47</v>
      </c>
      <c r="I315" s="3">
        <v>44014</v>
      </c>
      <c r="J315" s="5" t="s">
        <v>50</v>
      </c>
      <c r="K315" t="s">
        <v>47</v>
      </c>
      <c r="L315" s="5" t="s">
        <v>51</v>
      </c>
      <c r="M315" s="3">
        <v>44014</v>
      </c>
      <c r="N315" s="5" t="s">
        <v>50</v>
      </c>
      <c r="O315" t="s">
        <v>47</v>
      </c>
      <c r="P315" t="s">
        <v>47</v>
      </c>
      <c r="Q315" t="s">
        <v>47</v>
      </c>
      <c r="R315" t="s">
        <v>47</v>
      </c>
      <c r="S315" t="s">
        <v>47</v>
      </c>
      <c r="T315" t="s">
        <v>47</v>
      </c>
      <c r="U315" t="s">
        <v>47</v>
      </c>
      <c r="V315" t="s">
        <v>47</v>
      </c>
      <c r="W315" s="3">
        <v>44014</v>
      </c>
      <c r="X315" s="5" t="s">
        <v>50</v>
      </c>
      <c r="Y315" t="s">
        <v>47</v>
      </c>
      <c r="Z315" s="3">
        <v>44014</v>
      </c>
      <c r="AA315" s="5" t="s">
        <v>50</v>
      </c>
      <c r="AB315" t="s">
        <v>47</v>
      </c>
      <c r="AC315" s="3">
        <v>44014</v>
      </c>
      <c r="AD315" s="5" t="s">
        <v>50</v>
      </c>
      <c r="AE315" t="s">
        <v>47</v>
      </c>
      <c r="AF315" t="s">
        <v>47</v>
      </c>
      <c r="AG315" t="s">
        <v>47</v>
      </c>
      <c r="AH315" t="s">
        <v>47</v>
      </c>
      <c r="AI315" t="s">
        <v>47</v>
      </c>
      <c r="AJ315" t="s">
        <v>47</v>
      </c>
      <c r="AK315" t="s">
        <v>47</v>
      </c>
      <c r="AL315" t="s">
        <v>47</v>
      </c>
      <c r="AM315" t="s">
        <v>47</v>
      </c>
      <c r="AN315" t="s">
        <v>47</v>
      </c>
      <c r="AO315" s="5" t="s">
        <v>51</v>
      </c>
      <c r="AP315" s="4" t="s">
        <v>1421</v>
      </c>
      <c r="AQ315" s="4" t="s">
        <v>53</v>
      </c>
      <c r="AR315" s="4" t="s">
        <v>54</v>
      </c>
      <c r="AS315" s="5">
        <v>4977985</v>
      </c>
      <c r="AT315" t="s">
        <v>47</v>
      </c>
    </row>
    <row r="316" spans="1:46" ht="13" x14ac:dyDescent="0.3">
      <c r="A316" s="4" t="s">
        <v>1422</v>
      </c>
      <c r="B316" t="s">
        <v>47</v>
      </c>
      <c r="C316" s="4" t="s">
        <v>183</v>
      </c>
      <c r="D316" s="4" t="s">
        <v>1423</v>
      </c>
      <c r="E316" s="4" t="s">
        <v>49</v>
      </c>
      <c r="F316" s="5" t="s">
        <v>1424</v>
      </c>
      <c r="G316" s="5" t="s">
        <v>1425</v>
      </c>
      <c r="H316" t="s">
        <v>47</v>
      </c>
      <c r="I316" t="s">
        <v>47</v>
      </c>
      <c r="J316" t="s">
        <v>47</v>
      </c>
      <c r="K316" t="s">
        <v>47</v>
      </c>
      <c r="L316" s="5" t="s">
        <v>60</v>
      </c>
      <c r="M316" t="s">
        <v>47</v>
      </c>
      <c r="N316" t="s">
        <v>47</v>
      </c>
      <c r="O316" t="s">
        <v>47</v>
      </c>
      <c r="P316" t="s">
        <v>47</v>
      </c>
      <c r="Q316" t="s">
        <v>47</v>
      </c>
      <c r="R316" t="s">
        <v>47</v>
      </c>
      <c r="S316" t="s">
        <v>47</v>
      </c>
      <c r="T316" t="s">
        <v>47</v>
      </c>
      <c r="U316" t="s">
        <v>47</v>
      </c>
      <c r="V316" t="s">
        <v>47</v>
      </c>
      <c r="W316" s="3">
        <v>32509</v>
      </c>
      <c r="X316" s="5" t="s">
        <v>50</v>
      </c>
      <c r="Y316" t="s">
        <v>47</v>
      </c>
      <c r="Z316" s="3">
        <v>32509</v>
      </c>
      <c r="AA316" s="5" t="s">
        <v>50</v>
      </c>
      <c r="AB316" t="s">
        <v>47</v>
      </c>
      <c r="AC316" s="3">
        <v>32509</v>
      </c>
      <c r="AD316" s="5" t="s">
        <v>50</v>
      </c>
      <c r="AE316" t="s">
        <v>47</v>
      </c>
      <c r="AF316" t="s">
        <v>47</v>
      </c>
      <c r="AG316" t="s">
        <v>47</v>
      </c>
      <c r="AH316" t="s">
        <v>47</v>
      </c>
      <c r="AI316" t="s">
        <v>47</v>
      </c>
      <c r="AJ316" t="s">
        <v>47</v>
      </c>
      <c r="AK316" t="s">
        <v>47</v>
      </c>
      <c r="AL316" t="s">
        <v>47</v>
      </c>
      <c r="AM316" t="s">
        <v>47</v>
      </c>
      <c r="AN316" t="s">
        <v>47</v>
      </c>
      <c r="AO316" s="5" t="s">
        <v>60</v>
      </c>
      <c r="AP316" s="4" t="s">
        <v>61</v>
      </c>
      <c r="AQ316" s="4" t="s">
        <v>53</v>
      </c>
      <c r="AR316" s="4" t="s">
        <v>483</v>
      </c>
      <c r="AS316" s="5">
        <v>47491</v>
      </c>
      <c r="AT316" t="s">
        <v>47</v>
      </c>
    </row>
    <row r="317" spans="1:46" ht="52" x14ac:dyDescent="0.3">
      <c r="A317" s="4" t="s">
        <v>1426</v>
      </c>
      <c r="B317" t="s">
        <v>47</v>
      </c>
      <c r="C317" s="4" t="s">
        <v>1427</v>
      </c>
      <c r="D317" s="4" t="s">
        <v>294</v>
      </c>
      <c r="E317" s="4" t="s">
        <v>49</v>
      </c>
      <c r="F317" s="5" t="s">
        <v>1428</v>
      </c>
      <c r="G317" t="s">
        <v>47</v>
      </c>
      <c r="H317" t="s">
        <v>47</v>
      </c>
      <c r="I317" s="3">
        <v>36039</v>
      </c>
      <c r="J317" s="3">
        <v>41153</v>
      </c>
      <c r="K317" t="s">
        <v>47</v>
      </c>
      <c r="L317" s="5" t="s">
        <v>60</v>
      </c>
      <c r="M317" s="3">
        <v>36039</v>
      </c>
      <c r="N317" s="3">
        <v>38473</v>
      </c>
      <c r="O317" t="s">
        <v>47</v>
      </c>
      <c r="P317" s="3">
        <v>36039</v>
      </c>
      <c r="Q317" s="3">
        <v>41153</v>
      </c>
      <c r="R317" t="s">
        <v>47</v>
      </c>
      <c r="S317" t="s">
        <v>47</v>
      </c>
      <c r="T317" t="s">
        <v>47</v>
      </c>
      <c r="U317" t="s">
        <v>47</v>
      </c>
      <c r="V317" t="s">
        <v>47</v>
      </c>
      <c r="W317" s="3">
        <v>36039</v>
      </c>
      <c r="X317" s="3">
        <v>41153</v>
      </c>
      <c r="Y317" t="s">
        <v>47</v>
      </c>
      <c r="Z317" s="3">
        <v>36039</v>
      </c>
      <c r="AA317" s="3">
        <v>41153</v>
      </c>
      <c r="AB317" t="s">
        <v>47</v>
      </c>
      <c r="AC317" s="3">
        <v>37865</v>
      </c>
      <c r="AD317" s="3">
        <v>41153</v>
      </c>
      <c r="AE317" t="s">
        <v>47</v>
      </c>
      <c r="AF317" t="s">
        <v>47</v>
      </c>
      <c r="AG317" t="s">
        <v>47</v>
      </c>
      <c r="AH317" t="s">
        <v>47</v>
      </c>
      <c r="AI317" t="s">
        <v>47</v>
      </c>
      <c r="AJ317" t="s">
        <v>47</v>
      </c>
      <c r="AK317" t="s">
        <v>47</v>
      </c>
      <c r="AL317" t="s">
        <v>47</v>
      </c>
      <c r="AM317" t="s">
        <v>47</v>
      </c>
      <c r="AN317" t="s">
        <v>47</v>
      </c>
      <c r="AO317" s="5" t="s">
        <v>51</v>
      </c>
      <c r="AP317" s="4" t="s">
        <v>61</v>
      </c>
      <c r="AQ317" s="4" t="s">
        <v>53</v>
      </c>
      <c r="AR317" s="4" t="s">
        <v>327</v>
      </c>
      <c r="AS317" s="5">
        <v>48224</v>
      </c>
      <c r="AT317" t="s">
        <v>47</v>
      </c>
    </row>
    <row r="318" spans="1:46" ht="143" x14ac:dyDescent="0.3">
      <c r="A318" s="4" t="s">
        <v>1429</v>
      </c>
      <c r="B318" t="s">
        <v>47</v>
      </c>
      <c r="C318" s="4" t="s">
        <v>553</v>
      </c>
      <c r="D318" s="4" t="s">
        <v>201</v>
      </c>
      <c r="E318" s="4" t="s">
        <v>555</v>
      </c>
      <c r="F318" s="5" t="s">
        <v>1430</v>
      </c>
      <c r="G318" s="5" t="s">
        <v>1431</v>
      </c>
      <c r="H318" t="s">
        <v>47</v>
      </c>
      <c r="I318" s="3">
        <v>35796</v>
      </c>
      <c r="J318" s="3">
        <v>41548</v>
      </c>
      <c r="K318" t="s">
        <v>47</v>
      </c>
      <c r="L318" s="5" t="s">
        <v>60</v>
      </c>
      <c r="M318" s="3">
        <v>35796</v>
      </c>
      <c r="N318" s="3">
        <v>38808</v>
      </c>
      <c r="O318" t="s">
        <v>47</v>
      </c>
      <c r="P318" s="3">
        <v>35796</v>
      </c>
      <c r="Q318" s="3">
        <v>41548</v>
      </c>
      <c r="R318" t="s">
        <v>47</v>
      </c>
      <c r="S318" t="s">
        <v>47</v>
      </c>
      <c r="T318" t="s">
        <v>47</v>
      </c>
      <c r="U318" t="s">
        <v>47</v>
      </c>
      <c r="V318" t="s">
        <v>47</v>
      </c>
      <c r="W318" s="3">
        <v>35796</v>
      </c>
      <c r="X318" s="3">
        <v>44470</v>
      </c>
      <c r="Y318" t="s">
        <v>47</v>
      </c>
      <c r="Z318" s="3">
        <v>35796</v>
      </c>
      <c r="AA318" s="3">
        <v>44470</v>
      </c>
      <c r="AB318" t="s">
        <v>47</v>
      </c>
      <c r="AC318" s="3">
        <v>37987</v>
      </c>
      <c r="AD318" s="3">
        <v>44470</v>
      </c>
      <c r="AE318" t="s">
        <v>47</v>
      </c>
      <c r="AF318" t="s">
        <v>47</v>
      </c>
      <c r="AG318" t="s">
        <v>47</v>
      </c>
      <c r="AH318" t="s">
        <v>47</v>
      </c>
      <c r="AI318" t="s">
        <v>47</v>
      </c>
      <c r="AJ318" t="s">
        <v>47</v>
      </c>
      <c r="AK318" t="s">
        <v>47</v>
      </c>
      <c r="AL318" t="s">
        <v>47</v>
      </c>
      <c r="AM318" t="s">
        <v>47</v>
      </c>
      <c r="AN318" t="s">
        <v>47</v>
      </c>
      <c r="AO318" s="5" t="s">
        <v>60</v>
      </c>
      <c r="AP318" s="4" t="s">
        <v>61</v>
      </c>
      <c r="AQ318" s="4" t="s">
        <v>53</v>
      </c>
      <c r="AR318" s="4" t="s">
        <v>1432</v>
      </c>
      <c r="AS318" s="5">
        <v>48734</v>
      </c>
      <c r="AT318" t="s">
        <v>47</v>
      </c>
    </row>
    <row r="319" spans="1:46" ht="26" x14ac:dyDescent="0.3">
      <c r="A319" s="4" t="s">
        <v>1433</v>
      </c>
      <c r="B319" t="s">
        <v>47</v>
      </c>
      <c r="C319" s="4" t="s">
        <v>200</v>
      </c>
      <c r="D319" s="4" t="s">
        <v>88</v>
      </c>
      <c r="E319" s="4" t="s">
        <v>66</v>
      </c>
      <c r="F319" s="5" t="s">
        <v>1434</v>
      </c>
      <c r="G319" s="5" t="s">
        <v>1435</v>
      </c>
      <c r="H319" t="s">
        <v>47</v>
      </c>
      <c r="I319" s="3">
        <v>35490</v>
      </c>
      <c r="J319" s="3">
        <v>41609</v>
      </c>
      <c r="K319" t="s">
        <v>47</v>
      </c>
      <c r="L319" s="5" t="s">
        <v>60</v>
      </c>
      <c r="M319" s="3">
        <v>35490</v>
      </c>
      <c r="N319" s="3">
        <v>38869</v>
      </c>
      <c r="O319" t="s">
        <v>47</v>
      </c>
      <c r="P319" s="3">
        <v>35490</v>
      </c>
      <c r="Q319" s="3">
        <v>41609</v>
      </c>
      <c r="R319" t="s">
        <v>47</v>
      </c>
      <c r="S319" t="s">
        <v>47</v>
      </c>
      <c r="T319" t="s">
        <v>47</v>
      </c>
      <c r="U319" t="s">
        <v>47</v>
      </c>
      <c r="V319" t="s">
        <v>47</v>
      </c>
      <c r="W319" s="3">
        <v>35490</v>
      </c>
      <c r="X319" s="5" t="s">
        <v>50</v>
      </c>
      <c r="Y319" t="s">
        <v>47</v>
      </c>
      <c r="Z319" s="3">
        <v>35490</v>
      </c>
      <c r="AA319" s="5" t="s">
        <v>50</v>
      </c>
      <c r="AB319" t="s">
        <v>47</v>
      </c>
      <c r="AC319" s="3">
        <v>38047</v>
      </c>
      <c r="AD319" s="5" t="s">
        <v>50</v>
      </c>
      <c r="AE319" t="s">
        <v>47</v>
      </c>
      <c r="AF319" t="s">
        <v>47</v>
      </c>
      <c r="AG319" t="s">
        <v>47</v>
      </c>
      <c r="AH319" t="s">
        <v>47</v>
      </c>
      <c r="AI319" t="s">
        <v>47</v>
      </c>
      <c r="AJ319" t="s">
        <v>47</v>
      </c>
      <c r="AK319" t="s">
        <v>47</v>
      </c>
      <c r="AL319" t="s">
        <v>47</v>
      </c>
      <c r="AM319" t="s">
        <v>47</v>
      </c>
      <c r="AN319" t="s">
        <v>47</v>
      </c>
      <c r="AO319" s="5" t="s">
        <v>60</v>
      </c>
      <c r="AP319" s="4" t="s">
        <v>61</v>
      </c>
      <c r="AQ319" s="4" t="s">
        <v>53</v>
      </c>
      <c r="AR319" s="4" t="s">
        <v>807</v>
      </c>
      <c r="AS319" s="5">
        <v>25206</v>
      </c>
      <c r="AT319" t="s">
        <v>47</v>
      </c>
    </row>
    <row r="320" spans="1:46" ht="26" x14ac:dyDescent="0.3">
      <c r="A320" s="4" t="s">
        <v>1436</v>
      </c>
      <c r="B320" t="s">
        <v>47</v>
      </c>
      <c r="C320" s="4" t="s">
        <v>1437</v>
      </c>
      <c r="D320" s="4" t="s">
        <v>1438</v>
      </c>
      <c r="E320" s="4" t="s">
        <v>49</v>
      </c>
      <c r="F320" s="5" t="s">
        <v>1439</v>
      </c>
      <c r="G320" t="s">
        <v>47</v>
      </c>
      <c r="H320" t="s">
        <v>47</v>
      </c>
      <c r="I320" s="3">
        <v>38443</v>
      </c>
      <c r="J320" s="3">
        <v>42917</v>
      </c>
      <c r="K320" t="s">
        <v>47</v>
      </c>
      <c r="L320" s="5" t="s">
        <v>51</v>
      </c>
      <c r="M320" s="3">
        <v>38443</v>
      </c>
      <c r="N320" s="3">
        <v>42917</v>
      </c>
      <c r="O320" t="s">
        <v>47</v>
      </c>
      <c r="P320" s="3">
        <v>38443</v>
      </c>
      <c r="Q320" s="3">
        <v>42917</v>
      </c>
      <c r="R320" t="s">
        <v>47</v>
      </c>
      <c r="S320" t="s">
        <v>47</v>
      </c>
      <c r="T320" t="s">
        <v>47</v>
      </c>
      <c r="U320" t="s">
        <v>47</v>
      </c>
      <c r="V320" t="s">
        <v>47</v>
      </c>
      <c r="W320" s="3">
        <v>38443</v>
      </c>
      <c r="X320" s="3">
        <v>42917</v>
      </c>
      <c r="Y320" t="s">
        <v>47</v>
      </c>
      <c r="Z320" s="3">
        <v>38443</v>
      </c>
      <c r="AA320" s="3">
        <v>42917</v>
      </c>
      <c r="AB320" t="s">
        <v>47</v>
      </c>
      <c r="AC320" t="s">
        <v>47</v>
      </c>
      <c r="AD320" t="s">
        <v>47</v>
      </c>
      <c r="AE320" t="s">
        <v>47</v>
      </c>
      <c r="AF320" t="s">
        <v>47</v>
      </c>
      <c r="AG320" t="s">
        <v>47</v>
      </c>
      <c r="AH320" t="s">
        <v>47</v>
      </c>
      <c r="AI320" t="s">
        <v>47</v>
      </c>
      <c r="AJ320" t="s">
        <v>47</v>
      </c>
      <c r="AK320" t="s">
        <v>47</v>
      </c>
      <c r="AL320" t="s">
        <v>47</v>
      </c>
      <c r="AM320" t="s">
        <v>47</v>
      </c>
      <c r="AN320" t="s">
        <v>47</v>
      </c>
      <c r="AO320" s="5" t="s">
        <v>51</v>
      </c>
      <c r="AP320" s="4" t="s">
        <v>135</v>
      </c>
      <c r="AQ320" s="4" t="s">
        <v>53</v>
      </c>
      <c r="AR320" s="4" t="s">
        <v>580</v>
      </c>
      <c r="AS320" s="5">
        <v>34010</v>
      </c>
      <c r="AT320" t="s">
        <v>47</v>
      </c>
    </row>
    <row r="321" spans="1:46" ht="13" x14ac:dyDescent="0.3">
      <c r="A321" s="4" t="s">
        <v>1440</v>
      </c>
      <c r="B321" t="s">
        <v>47</v>
      </c>
      <c r="C321" s="4" t="s">
        <v>169</v>
      </c>
      <c r="D321" s="4" t="s">
        <v>1150</v>
      </c>
      <c r="E321" s="4" t="s">
        <v>66</v>
      </c>
      <c r="F321" s="5" t="s">
        <v>1441</v>
      </c>
      <c r="G321" s="5" t="s">
        <v>1442</v>
      </c>
      <c r="H321" t="s">
        <v>47</v>
      </c>
      <c r="I321" t="s">
        <v>47</v>
      </c>
      <c r="J321" t="s">
        <v>47</v>
      </c>
      <c r="K321" t="s">
        <v>47</v>
      </c>
      <c r="L321" s="5" t="s">
        <v>60</v>
      </c>
      <c r="M321" t="s">
        <v>47</v>
      </c>
      <c r="N321" t="s">
        <v>47</v>
      </c>
      <c r="O321" t="s">
        <v>47</v>
      </c>
      <c r="P321" t="s">
        <v>47</v>
      </c>
      <c r="Q321" t="s">
        <v>47</v>
      </c>
      <c r="R321" t="s">
        <v>47</v>
      </c>
      <c r="S321" t="s">
        <v>47</v>
      </c>
      <c r="T321" t="s">
        <v>47</v>
      </c>
      <c r="U321" t="s">
        <v>47</v>
      </c>
      <c r="V321" t="s">
        <v>47</v>
      </c>
      <c r="W321" s="3">
        <v>40210</v>
      </c>
      <c r="X321" s="5" t="s">
        <v>50</v>
      </c>
      <c r="Y321" s="5" t="s">
        <v>811</v>
      </c>
      <c r="Z321" s="3">
        <v>40210</v>
      </c>
      <c r="AA321" s="5" t="s">
        <v>50</v>
      </c>
      <c r="AB321" s="5" t="s">
        <v>811</v>
      </c>
      <c r="AC321" s="3">
        <v>40210</v>
      </c>
      <c r="AD321" s="5" t="s">
        <v>50</v>
      </c>
      <c r="AE321" s="5" t="s">
        <v>811</v>
      </c>
      <c r="AF321" t="s">
        <v>47</v>
      </c>
      <c r="AG321" t="s">
        <v>47</v>
      </c>
      <c r="AH321" t="s">
        <v>47</v>
      </c>
      <c r="AI321" t="s">
        <v>47</v>
      </c>
      <c r="AJ321" t="s">
        <v>47</v>
      </c>
      <c r="AK321" t="s">
        <v>47</v>
      </c>
      <c r="AL321" t="s">
        <v>47</v>
      </c>
      <c r="AM321" t="s">
        <v>47</v>
      </c>
      <c r="AN321" t="s">
        <v>47</v>
      </c>
      <c r="AO321" s="5" t="s">
        <v>60</v>
      </c>
      <c r="AP321" s="4" t="s">
        <v>61</v>
      </c>
      <c r="AQ321" s="4" t="s">
        <v>53</v>
      </c>
      <c r="AR321" s="4" t="s">
        <v>54</v>
      </c>
      <c r="AS321" s="5">
        <v>426789</v>
      </c>
      <c r="AT321" t="s">
        <v>47</v>
      </c>
    </row>
    <row r="322" spans="1:46" ht="26" x14ac:dyDescent="0.3">
      <c r="A322" s="4" t="s">
        <v>1443</v>
      </c>
      <c r="B322" t="s">
        <v>47</v>
      </c>
      <c r="C322" s="4" t="s">
        <v>169</v>
      </c>
      <c r="D322" s="4" t="s">
        <v>339</v>
      </c>
      <c r="E322" s="4" t="s">
        <v>66</v>
      </c>
      <c r="F322" s="5" t="s">
        <v>1444</v>
      </c>
      <c r="G322" s="5" t="s">
        <v>1445</v>
      </c>
      <c r="H322" t="s">
        <v>47</v>
      </c>
      <c r="I322" t="s">
        <v>47</v>
      </c>
      <c r="J322" t="s">
        <v>47</v>
      </c>
      <c r="K322" t="s">
        <v>47</v>
      </c>
      <c r="L322" s="5" t="s">
        <v>60</v>
      </c>
      <c r="M322" t="s">
        <v>47</v>
      </c>
      <c r="N322" t="s">
        <v>47</v>
      </c>
      <c r="O322" t="s">
        <v>47</v>
      </c>
      <c r="P322" t="s">
        <v>47</v>
      </c>
      <c r="Q322" t="s">
        <v>47</v>
      </c>
      <c r="R322" t="s">
        <v>47</v>
      </c>
      <c r="S322" t="s">
        <v>47</v>
      </c>
      <c r="T322" t="s">
        <v>47</v>
      </c>
      <c r="U322" t="s">
        <v>47</v>
      </c>
      <c r="V322" t="s">
        <v>47</v>
      </c>
      <c r="W322" s="3">
        <v>33664</v>
      </c>
      <c r="X322" s="5" t="s">
        <v>50</v>
      </c>
      <c r="Y322" s="5" t="s">
        <v>788</v>
      </c>
      <c r="Z322" s="3">
        <v>33664</v>
      </c>
      <c r="AA322" s="5" t="s">
        <v>50</v>
      </c>
      <c r="AB322" s="5" t="s">
        <v>788</v>
      </c>
      <c r="AC322" s="3">
        <v>33664</v>
      </c>
      <c r="AD322" s="5" t="s">
        <v>50</v>
      </c>
      <c r="AE322" s="5" t="s">
        <v>788</v>
      </c>
      <c r="AF322" t="s">
        <v>47</v>
      </c>
      <c r="AG322" t="s">
        <v>47</v>
      </c>
      <c r="AH322" t="s">
        <v>47</v>
      </c>
      <c r="AI322" t="s">
        <v>47</v>
      </c>
      <c r="AJ322" t="s">
        <v>47</v>
      </c>
      <c r="AK322" t="s">
        <v>47</v>
      </c>
      <c r="AL322" t="s">
        <v>47</v>
      </c>
      <c r="AM322" t="s">
        <v>47</v>
      </c>
      <c r="AN322" t="s">
        <v>47</v>
      </c>
      <c r="AO322" s="5" t="s">
        <v>60</v>
      </c>
      <c r="AP322" s="4" t="s">
        <v>61</v>
      </c>
      <c r="AQ322" s="4" t="s">
        <v>53</v>
      </c>
      <c r="AR322" s="4" t="s">
        <v>371</v>
      </c>
      <c r="AS322" s="5">
        <v>46926</v>
      </c>
      <c r="AT322" t="s">
        <v>47</v>
      </c>
    </row>
    <row r="323" spans="1:46" ht="26" x14ac:dyDescent="0.3">
      <c r="A323" s="4" t="s">
        <v>1446</v>
      </c>
      <c r="B323" t="s">
        <v>47</v>
      </c>
      <c r="C323" s="4" t="s">
        <v>1447</v>
      </c>
      <c r="D323" s="4" t="s">
        <v>116</v>
      </c>
      <c r="E323" s="4" t="s">
        <v>1448</v>
      </c>
      <c r="F323" s="5" t="s">
        <v>1449</v>
      </c>
      <c r="G323" s="5" t="s">
        <v>1450</v>
      </c>
      <c r="H323" t="s">
        <v>47</v>
      </c>
      <c r="I323" s="3">
        <v>40909</v>
      </c>
      <c r="J323" s="5" t="s">
        <v>50</v>
      </c>
      <c r="K323" t="s">
        <v>47</v>
      </c>
      <c r="L323" s="5" t="s">
        <v>60</v>
      </c>
      <c r="M323" s="3">
        <v>40909</v>
      </c>
      <c r="N323" s="5" t="s">
        <v>50</v>
      </c>
      <c r="O323" t="s">
        <v>47</v>
      </c>
      <c r="P323" s="3">
        <v>40909</v>
      </c>
      <c r="Q323" s="5" t="s">
        <v>50</v>
      </c>
      <c r="R323" t="s">
        <v>47</v>
      </c>
      <c r="S323" t="s">
        <v>47</v>
      </c>
      <c r="T323" t="s">
        <v>47</v>
      </c>
      <c r="U323" t="s">
        <v>47</v>
      </c>
      <c r="V323" t="s">
        <v>47</v>
      </c>
      <c r="W323" s="3">
        <v>40909</v>
      </c>
      <c r="X323" s="5" t="s">
        <v>50</v>
      </c>
      <c r="Y323" t="s">
        <v>47</v>
      </c>
      <c r="Z323" s="3">
        <v>40909</v>
      </c>
      <c r="AA323" s="5" t="s">
        <v>50</v>
      </c>
      <c r="AB323" t="s">
        <v>47</v>
      </c>
      <c r="AC323" s="3">
        <v>40909</v>
      </c>
      <c r="AD323" s="5" t="s">
        <v>50</v>
      </c>
      <c r="AE323" t="s">
        <v>47</v>
      </c>
      <c r="AF323" t="s">
        <v>47</v>
      </c>
      <c r="AG323" t="s">
        <v>47</v>
      </c>
      <c r="AH323" t="s">
        <v>47</v>
      </c>
      <c r="AI323" t="s">
        <v>47</v>
      </c>
      <c r="AJ323" t="s">
        <v>47</v>
      </c>
      <c r="AK323" t="s">
        <v>47</v>
      </c>
      <c r="AL323" t="s">
        <v>47</v>
      </c>
      <c r="AM323" t="s">
        <v>47</v>
      </c>
      <c r="AN323" t="s">
        <v>47</v>
      </c>
      <c r="AO323" s="5" t="s">
        <v>51</v>
      </c>
      <c r="AP323" s="4" t="s">
        <v>61</v>
      </c>
      <c r="AQ323" s="4" t="s">
        <v>261</v>
      </c>
      <c r="AR323" s="4" t="s">
        <v>1451</v>
      </c>
      <c r="AS323" s="5">
        <v>1216356</v>
      </c>
      <c r="AT323" t="s">
        <v>47</v>
      </c>
    </row>
    <row r="324" spans="1:46" ht="26" x14ac:dyDescent="0.3">
      <c r="A324" s="4" t="s">
        <v>1452</v>
      </c>
      <c r="B324" t="s">
        <v>47</v>
      </c>
      <c r="C324" s="4" t="s">
        <v>1453</v>
      </c>
      <c r="D324" s="4" t="s">
        <v>1454</v>
      </c>
      <c r="E324" s="4" t="s">
        <v>701</v>
      </c>
      <c r="F324" s="5" t="s">
        <v>1455</v>
      </c>
      <c r="G324" t="s">
        <v>47</v>
      </c>
      <c r="H324" t="s">
        <v>47</v>
      </c>
      <c r="I324" s="3">
        <v>41000</v>
      </c>
      <c r="J324" s="5" t="s">
        <v>50</v>
      </c>
      <c r="K324" t="s">
        <v>47</v>
      </c>
      <c r="L324" s="5" t="s">
        <v>60</v>
      </c>
      <c r="M324" s="3">
        <v>41000</v>
      </c>
      <c r="N324" s="5" t="s">
        <v>50</v>
      </c>
      <c r="O324" t="s">
        <v>47</v>
      </c>
      <c r="P324" s="3">
        <v>41000</v>
      </c>
      <c r="Q324" s="5" t="s">
        <v>50</v>
      </c>
      <c r="R324" t="s">
        <v>47</v>
      </c>
      <c r="S324" t="s">
        <v>47</v>
      </c>
      <c r="T324" t="s">
        <v>47</v>
      </c>
      <c r="U324" t="s">
        <v>47</v>
      </c>
      <c r="V324" t="s">
        <v>47</v>
      </c>
      <c r="W324" s="3">
        <v>41000</v>
      </c>
      <c r="X324" s="5" t="s">
        <v>50</v>
      </c>
      <c r="Y324" t="s">
        <v>47</v>
      </c>
      <c r="Z324" s="3">
        <v>41000</v>
      </c>
      <c r="AA324" s="5" t="s">
        <v>50</v>
      </c>
      <c r="AB324" t="s">
        <v>47</v>
      </c>
      <c r="AC324" s="3">
        <v>41000</v>
      </c>
      <c r="AD324" s="5" t="s">
        <v>50</v>
      </c>
      <c r="AE324" t="s">
        <v>47</v>
      </c>
      <c r="AF324" t="s">
        <v>47</v>
      </c>
      <c r="AG324" t="s">
        <v>47</v>
      </c>
      <c r="AH324" t="s">
        <v>47</v>
      </c>
      <c r="AI324" t="s">
        <v>47</v>
      </c>
      <c r="AJ324" t="s">
        <v>47</v>
      </c>
      <c r="AK324" t="s">
        <v>47</v>
      </c>
      <c r="AL324" t="s">
        <v>47</v>
      </c>
      <c r="AM324" t="s">
        <v>47</v>
      </c>
      <c r="AN324" t="s">
        <v>47</v>
      </c>
      <c r="AO324" s="5" t="s">
        <v>60</v>
      </c>
      <c r="AP324" s="4" t="s">
        <v>61</v>
      </c>
      <c r="AQ324" s="4" t="s">
        <v>1456</v>
      </c>
      <c r="AR324" s="4" t="s">
        <v>54</v>
      </c>
      <c r="AS324" s="5">
        <v>1386357</v>
      </c>
      <c r="AT324" t="s">
        <v>47</v>
      </c>
    </row>
    <row r="325" spans="1:46" ht="104" x14ac:dyDescent="0.3">
      <c r="A325" s="4" t="s">
        <v>1457</v>
      </c>
      <c r="B325" t="s">
        <v>47</v>
      </c>
      <c r="C325" s="4" t="s">
        <v>122</v>
      </c>
      <c r="D325" s="4" t="s">
        <v>206</v>
      </c>
      <c r="E325" s="4" t="s">
        <v>123</v>
      </c>
      <c r="F325" s="5" t="s">
        <v>1458</v>
      </c>
      <c r="G325" s="5" t="s">
        <v>1459</v>
      </c>
      <c r="H325" t="s">
        <v>47</v>
      </c>
      <c r="I325" s="3">
        <v>38718</v>
      </c>
      <c r="J325" s="5" t="s">
        <v>50</v>
      </c>
      <c r="K325" t="s">
        <v>47</v>
      </c>
      <c r="L325" s="5" t="s">
        <v>60</v>
      </c>
      <c r="M325" s="3">
        <v>38718</v>
      </c>
      <c r="N325" s="3">
        <v>42795</v>
      </c>
      <c r="O325" t="s">
        <v>47</v>
      </c>
      <c r="P325" s="3">
        <v>38718</v>
      </c>
      <c r="Q325" s="5" t="s">
        <v>50</v>
      </c>
      <c r="R325" t="s">
        <v>47</v>
      </c>
      <c r="S325" t="s">
        <v>47</v>
      </c>
      <c r="T325" t="s">
        <v>47</v>
      </c>
      <c r="U325" t="s">
        <v>47</v>
      </c>
      <c r="V325" s="5">
        <v>365</v>
      </c>
      <c r="W325" s="3">
        <v>38718</v>
      </c>
      <c r="X325" s="5" t="s">
        <v>50</v>
      </c>
      <c r="Y325" t="s">
        <v>47</v>
      </c>
      <c r="Z325" s="3">
        <v>38718</v>
      </c>
      <c r="AA325" s="5" t="s">
        <v>50</v>
      </c>
      <c r="AB325" t="s">
        <v>47</v>
      </c>
      <c r="AC325" s="3">
        <v>38718</v>
      </c>
      <c r="AD325" s="5" t="s">
        <v>50</v>
      </c>
      <c r="AE325" t="s">
        <v>47</v>
      </c>
      <c r="AF325" t="s">
        <v>47</v>
      </c>
      <c r="AG325" t="s">
        <v>47</v>
      </c>
      <c r="AH325" t="s">
        <v>47</v>
      </c>
      <c r="AI325" t="s">
        <v>47</v>
      </c>
      <c r="AJ325" t="s">
        <v>47</v>
      </c>
      <c r="AK325" t="s">
        <v>47</v>
      </c>
      <c r="AL325" t="s">
        <v>47</v>
      </c>
      <c r="AM325" t="s">
        <v>47</v>
      </c>
      <c r="AN325" t="s">
        <v>47</v>
      </c>
      <c r="AO325" s="5" t="s">
        <v>60</v>
      </c>
      <c r="AP325" s="4" t="s">
        <v>61</v>
      </c>
      <c r="AQ325" s="4" t="s">
        <v>53</v>
      </c>
      <c r="AR325" s="4" t="s">
        <v>557</v>
      </c>
      <c r="AS325" s="5">
        <v>54611</v>
      </c>
      <c r="AT325" t="s">
        <v>47</v>
      </c>
    </row>
    <row r="326" spans="1:46" ht="26" x14ac:dyDescent="0.3">
      <c r="A326" s="4" t="s">
        <v>1460</v>
      </c>
      <c r="B326" t="s">
        <v>47</v>
      </c>
      <c r="C326" s="4" t="s">
        <v>1461</v>
      </c>
      <c r="D326" s="4" t="s">
        <v>1462</v>
      </c>
      <c r="E326" s="4" t="s">
        <v>701</v>
      </c>
      <c r="F326" t="s">
        <v>47</v>
      </c>
      <c r="G326" s="5" t="s">
        <v>1463</v>
      </c>
      <c r="H326" t="s">
        <v>47</v>
      </c>
      <c r="I326" s="3">
        <v>42005</v>
      </c>
      <c r="J326" s="5" t="s">
        <v>50</v>
      </c>
      <c r="K326" t="s">
        <v>47</v>
      </c>
      <c r="L326" s="5" t="s">
        <v>60</v>
      </c>
      <c r="M326" s="3">
        <v>42005</v>
      </c>
      <c r="N326" s="5" t="s">
        <v>50</v>
      </c>
      <c r="O326" t="s">
        <v>47</v>
      </c>
      <c r="P326" s="3">
        <v>42005</v>
      </c>
      <c r="Q326" s="5" t="s">
        <v>50</v>
      </c>
      <c r="R326" t="s">
        <v>47</v>
      </c>
      <c r="S326" t="s">
        <v>47</v>
      </c>
      <c r="T326" t="s">
        <v>47</v>
      </c>
      <c r="U326" t="s">
        <v>47</v>
      </c>
      <c r="V326" t="s">
        <v>47</v>
      </c>
      <c r="W326" s="3">
        <v>42005</v>
      </c>
      <c r="X326" s="5" t="s">
        <v>50</v>
      </c>
      <c r="Y326" t="s">
        <v>47</v>
      </c>
      <c r="Z326" s="3">
        <v>42005</v>
      </c>
      <c r="AA326" s="5" t="s">
        <v>50</v>
      </c>
      <c r="AB326" t="s">
        <v>47</v>
      </c>
      <c r="AC326" s="3">
        <v>42005</v>
      </c>
      <c r="AD326" s="5" t="s">
        <v>50</v>
      </c>
      <c r="AE326" t="s">
        <v>47</v>
      </c>
      <c r="AF326" t="s">
        <v>47</v>
      </c>
      <c r="AG326" t="s">
        <v>47</v>
      </c>
      <c r="AH326" t="s">
        <v>47</v>
      </c>
      <c r="AI326" t="s">
        <v>47</v>
      </c>
      <c r="AJ326" t="s">
        <v>47</v>
      </c>
      <c r="AK326" t="s">
        <v>47</v>
      </c>
      <c r="AL326" t="s">
        <v>47</v>
      </c>
      <c r="AM326" t="s">
        <v>47</v>
      </c>
      <c r="AN326" t="s">
        <v>47</v>
      </c>
      <c r="AO326" s="5" t="s">
        <v>60</v>
      </c>
      <c r="AP326" s="4" t="s">
        <v>61</v>
      </c>
      <c r="AQ326" s="4" t="s">
        <v>427</v>
      </c>
      <c r="AR326" s="4" t="s">
        <v>54</v>
      </c>
      <c r="AS326" s="5">
        <v>2042728</v>
      </c>
      <c r="AT326" t="s">
        <v>47</v>
      </c>
    </row>
    <row r="327" spans="1:46" ht="65" x14ac:dyDescent="0.3">
      <c r="A327" s="4" t="s">
        <v>50</v>
      </c>
      <c r="B327" t="s">
        <v>47</v>
      </c>
      <c r="C327" s="4" t="s">
        <v>519</v>
      </c>
      <c r="D327" s="4" t="s">
        <v>88</v>
      </c>
      <c r="E327" s="4" t="s">
        <v>49</v>
      </c>
      <c r="F327" s="5" t="s">
        <v>1464</v>
      </c>
      <c r="G327" t="s">
        <v>47</v>
      </c>
      <c r="H327" t="s">
        <v>47</v>
      </c>
      <c r="I327" t="s">
        <v>47</v>
      </c>
      <c r="J327" t="s">
        <v>47</v>
      </c>
      <c r="K327" t="s">
        <v>47</v>
      </c>
      <c r="L327" s="5" t="s">
        <v>51</v>
      </c>
      <c r="M327" t="s">
        <v>47</v>
      </c>
      <c r="N327" t="s">
        <v>47</v>
      </c>
      <c r="O327" t="s">
        <v>47</v>
      </c>
      <c r="P327" t="s">
        <v>47</v>
      </c>
      <c r="Q327" t="s">
        <v>47</v>
      </c>
      <c r="R327" t="s">
        <v>47</v>
      </c>
      <c r="S327" t="s">
        <v>47</v>
      </c>
      <c r="T327" t="s">
        <v>47</v>
      </c>
      <c r="U327" t="s">
        <v>47</v>
      </c>
      <c r="V327" t="s">
        <v>47</v>
      </c>
      <c r="W327" s="3">
        <v>32143</v>
      </c>
      <c r="X327" s="5" t="s">
        <v>50</v>
      </c>
      <c r="Y327" t="s">
        <v>47</v>
      </c>
      <c r="Z327" s="3">
        <v>32143</v>
      </c>
      <c r="AA327" s="5" t="s">
        <v>50</v>
      </c>
      <c r="AB327" t="s">
        <v>47</v>
      </c>
      <c r="AC327" s="3">
        <v>32143</v>
      </c>
      <c r="AD327" s="5" t="s">
        <v>50</v>
      </c>
      <c r="AE327" t="s">
        <v>47</v>
      </c>
      <c r="AF327" t="s">
        <v>47</v>
      </c>
      <c r="AG327" t="s">
        <v>47</v>
      </c>
      <c r="AH327" t="s">
        <v>47</v>
      </c>
      <c r="AI327" t="s">
        <v>47</v>
      </c>
      <c r="AJ327" t="s">
        <v>47</v>
      </c>
      <c r="AK327" t="s">
        <v>47</v>
      </c>
      <c r="AL327" t="s">
        <v>47</v>
      </c>
      <c r="AM327" t="s">
        <v>47</v>
      </c>
      <c r="AN327" t="s">
        <v>47</v>
      </c>
      <c r="AO327" s="5" t="s">
        <v>51</v>
      </c>
      <c r="AP327" s="4" t="s">
        <v>135</v>
      </c>
      <c r="AQ327" s="4" t="s">
        <v>53</v>
      </c>
      <c r="AR327" s="4" t="s">
        <v>1465</v>
      </c>
      <c r="AS327" s="5">
        <v>41114</v>
      </c>
      <c r="AT327" t="s">
        <v>47</v>
      </c>
    </row>
    <row r="328" spans="1:46" ht="52" x14ac:dyDescent="0.3">
      <c r="A328" s="4" t="s">
        <v>1466</v>
      </c>
      <c r="B328" t="s">
        <v>47</v>
      </c>
      <c r="C328" s="4" t="s">
        <v>1036</v>
      </c>
      <c r="D328" s="4" t="s">
        <v>70</v>
      </c>
      <c r="E328" s="4" t="s">
        <v>49</v>
      </c>
      <c r="F328" s="5" t="s">
        <v>1467</v>
      </c>
      <c r="G328" t="s">
        <v>47</v>
      </c>
      <c r="H328" t="s">
        <v>47</v>
      </c>
      <c r="I328" s="3">
        <v>35415</v>
      </c>
      <c r="J328" s="3">
        <v>41022</v>
      </c>
      <c r="K328" t="s">
        <v>47</v>
      </c>
      <c r="L328" s="5" t="s">
        <v>51</v>
      </c>
      <c r="M328" s="3">
        <v>35415</v>
      </c>
      <c r="N328" s="3">
        <v>41022</v>
      </c>
      <c r="O328" t="s">
        <v>47</v>
      </c>
      <c r="P328" s="3">
        <v>35415</v>
      </c>
      <c r="Q328" s="3">
        <v>41022</v>
      </c>
      <c r="R328" s="5" t="s">
        <v>1468</v>
      </c>
      <c r="S328" t="s">
        <v>47</v>
      </c>
      <c r="T328" t="s">
        <v>47</v>
      </c>
      <c r="U328" t="s">
        <v>47</v>
      </c>
      <c r="V328" t="s">
        <v>47</v>
      </c>
      <c r="W328" s="3">
        <v>33609</v>
      </c>
      <c r="X328" s="3">
        <v>41022</v>
      </c>
      <c r="Y328" t="s">
        <v>47</v>
      </c>
      <c r="Z328" s="3">
        <v>33609</v>
      </c>
      <c r="AA328" s="3">
        <v>41022</v>
      </c>
      <c r="AB328" t="s">
        <v>47</v>
      </c>
      <c r="AC328" s="3">
        <v>33609</v>
      </c>
      <c r="AD328" s="3">
        <v>41022</v>
      </c>
      <c r="AE328" t="s">
        <v>47</v>
      </c>
      <c r="AF328" t="s">
        <v>47</v>
      </c>
      <c r="AG328" t="s">
        <v>47</v>
      </c>
      <c r="AH328" t="s">
        <v>47</v>
      </c>
      <c r="AI328" t="s">
        <v>47</v>
      </c>
      <c r="AJ328" t="s">
        <v>47</v>
      </c>
      <c r="AK328" t="s">
        <v>47</v>
      </c>
      <c r="AL328" t="s">
        <v>47</v>
      </c>
      <c r="AM328" t="s">
        <v>47</v>
      </c>
      <c r="AN328" t="s">
        <v>47</v>
      </c>
      <c r="AO328" s="5" t="s">
        <v>51</v>
      </c>
      <c r="AP328" s="4" t="s">
        <v>135</v>
      </c>
      <c r="AQ328" s="4" t="s">
        <v>53</v>
      </c>
      <c r="AR328" s="4" t="s">
        <v>1469</v>
      </c>
      <c r="AS328" s="5">
        <v>41224</v>
      </c>
      <c r="AT328" t="s">
        <v>47</v>
      </c>
    </row>
    <row r="329" spans="1:46" ht="130" x14ac:dyDescent="0.3">
      <c r="A329" s="4" t="s">
        <v>1470</v>
      </c>
      <c r="B329" t="s">
        <v>47</v>
      </c>
      <c r="C329" s="4" t="s">
        <v>1036</v>
      </c>
      <c r="D329" s="4" t="s">
        <v>70</v>
      </c>
      <c r="E329" s="4" t="s">
        <v>49</v>
      </c>
      <c r="F329" s="5" t="s">
        <v>1471</v>
      </c>
      <c r="G329" t="s">
        <v>47</v>
      </c>
      <c r="H329" t="s">
        <v>47</v>
      </c>
      <c r="I329" s="3">
        <v>35370</v>
      </c>
      <c r="J329" s="3">
        <v>41000</v>
      </c>
      <c r="K329" t="s">
        <v>47</v>
      </c>
      <c r="L329" s="5" t="s">
        <v>51</v>
      </c>
      <c r="M329" s="3">
        <v>35370</v>
      </c>
      <c r="N329" s="3">
        <v>41000</v>
      </c>
      <c r="O329" t="s">
        <v>47</v>
      </c>
      <c r="P329" s="3">
        <v>35370</v>
      </c>
      <c r="Q329" s="3">
        <v>41000</v>
      </c>
      <c r="R329" s="5" t="s">
        <v>1472</v>
      </c>
      <c r="S329" t="s">
        <v>47</v>
      </c>
      <c r="T329" t="s">
        <v>47</v>
      </c>
      <c r="U329" t="s">
        <v>47</v>
      </c>
      <c r="V329" t="s">
        <v>47</v>
      </c>
      <c r="W329" s="3">
        <v>35370</v>
      </c>
      <c r="X329" s="3">
        <v>41000</v>
      </c>
      <c r="Y329" t="s">
        <v>47</v>
      </c>
      <c r="Z329" s="3">
        <v>35370</v>
      </c>
      <c r="AA329" s="3">
        <v>41000</v>
      </c>
      <c r="AB329" t="s">
        <v>47</v>
      </c>
      <c r="AC329" s="3">
        <v>35886</v>
      </c>
      <c r="AD329" s="3">
        <v>41000</v>
      </c>
      <c r="AE329" t="s">
        <v>47</v>
      </c>
      <c r="AF329" t="s">
        <v>47</v>
      </c>
      <c r="AG329" t="s">
        <v>47</v>
      </c>
      <c r="AH329" t="s">
        <v>47</v>
      </c>
      <c r="AI329" t="s">
        <v>47</v>
      </c>
      <c r="AJ329" t="s">
        <v>47</v>
      </c>
      <c r="AK329" t="s">
        <v>47</v>
      </c>
      <c r="AL329" t="s">
        <v>47</v>
      </c>
      <c r="AM329" t="s">
        <v>47</v>
      </c>
      <c r="AN329" t="s">
        <v>47</v>
      </c>
      <c r="AO329" s="5" t="s">
        <v>51</v>
      </c>
      <c r="AP329" s="4" t="s">
        <v>135</v>
      </c>
      <c r="AQ329" s="4" t="s">
        <v>53</v>
      </c>
      <c r="AR329" s="4" t="s">
        <v>352</v>
      </c>
      <c r="AS329" s="5">
        <v>48077</v>
      </c>
      <c r="AT329" t="s">
        <v>47</v>
      </c>
    </row>
    <row r="330" spans="1:46" ht="104" x14ac:dyDescent="0.3">
      <c r="A330" s="4" t="s">
        <v>1473</v>
      </c>
      <c r="B330" t="s">
        <v>47</v>
      </c>
      <c r="C330" s="4" t="s">
        <v>1036</v>
      </c>
      <c r="D330" s="4" t="s">
        <v>70</v>
      </c>
      <c r="E330" s="4" t="s">
        <v>49</v>
      </c>
      <c r="F330" s="5" t="s">
        <v>1474</v>
      </c>
      <c r="G330" t="s">
        <v>47</v>
      </c>
      <c r="H330" t="s">
        <v>47</v>
      </c>
      <c r="I330" s="3">
        <v>32143</v>
      </c>
      <c r="J330" s="3">
        <v>41000</v>
      </c>
      <c r="K330" t="s">
        <v>47</v>
      </c>
      <c r="L330" s="5" t="s">
        <v>51</v>
      </c>
      <c r="M330" s="3">
        <v>33604</v>
      </c>
      <c r="N330" s="3">
        <v>41000</v>
      </c>
      <c r="O330" t="s">
        <v>47</v>
      </c>
      <c r="P330" s="3">
        <v>32143</v>
      </c>
      <c r="Q330" s="3">
        <v>41000</v>
      </c>
      <c r="R330" s="5" t="s">
        <v>1475</v>
      </c>
      <c r="S330" t="s">
        <v>47</v>
      </c>
      <c r="T330" t="s">
        <v>47</v>
      </c>
      <c r="U330" t="s">
        <v>47</v>
      </c>
      <c r="V330" t="s">
        <v>47</v>
      </c>
      <c r="W330" s="3">
        <v>32143</v>
      </c>
      <c r="X330" s="3">
        <v>41000</v>
      </c>
      <c r="Y330" t="s">
        <v>47</v>
      </c>
      <c r="Z330" s="3">
        <v>32143</v>
      </c>
      <c r="AA330" s="3">
        <v>41000</v>
      </c>
      <c r="AB330" t="s">
        <v>47</v>
      </c>
      <c r="AC330" s="3">
        <v>32143</v>
      </c>
      <c r="AD330" s="3">
        <v>41000</v>
      </c>
      <c r="AE330" t="s">
        <v>47</v>
      </c>
      <c r="AF330" t="s">
        <v>47</v>
      </c>
      <c r="AG330" t="s">
        <v>47</v>
      </c>
      <c r="AH330" t="s">
        <v>47</v>
      </c>
      <c r="AI330" t="s">
        <v>47</v>
      </c>
      <c r="AJ330" t="s">
        <v>47</v>
      </c>
      <c r="AK330" t="s">
        <v>47</v>
      </c>
      <c r="AL330" t="s">
        <v>47</v>
      </c>
      <c r="AM330" t="s">
        <v>47</v>
      </c>
      <c r="AN330" t="s">
        <v>47</v>
      </c>
      <c r="AO330" s="5" t="s">
        <v>51</v>
      </c>
      <c r="AP330" s="4" t="s">
        <v>135</v>
      </c>
      <c r="AQ330" s="4" t="s">
        <v>53</v>
      </c>
      <c r="AR330" s="4" t="s">
        <v>1476</v>
      </c>
      <c r="AS330" s="5">
        <v>47948</v>
      </c>
      <c r="AT330" t="s">
        <v>47</v>
      </c>
    </row>
    <row r="331" spans="1:46" ht="91" x14ac:dyDescent="0.3">
      <c r="A331" s="4" t="s">
        <v>1477</v>
      </c>
      <c r="B331" t="s">
        <v>47</v>
      </c>
      <c r="C331" s="4" t="s">
        <v>1036</v>
      </c>
      <c r="D331" s="4" t="s">
        <v>70</v>
      </c>
      <c r="E331" s="4" t="s">
        <v>49</v>
      </c>
      <c r="F331" s="5" t="s">
        <v>1478</v>
      </c>
      <c r="G331" t="s">
        <v>47</v>
      </c>
      <c r="H331" t="s">
        <v>47</v>
      </c>
      <c r="I331" s="3">
        <v>35412</v>
      </c>
      <c r="J331" s="3">
        <v>41026</v>
      </c>
      <c r="K331" t="s">
        <v>47</v>
      </c>
      <c r="L331" s="5" t="s">
        <v>51</v>
      </c>
      <c r="M331" s="3">
        <v>35412</v>
      </c>
      <c r="N331" s="3">
        <v>41026</v>
      </c>
      <c r="O331" t="s">
        <v>47</v>
      </c>
      <c r="P331" s="3">
        <v>35412</v>
      </c>
      <c r="Q331" s="3">
        <v>41026</v>
      </c>
      <c r="R331" s="5" t="s">
        <v>1479</v>
      </c>
      <c r="S331" t="s">
        <v>47</v>
      </c>
      <c r="T331" t="s">
        <v>47</v>
      </c>
      <c r="U331" t="s">
        <v>47</v>
      </c>
      <c r="V331" t="s">
        <v>47</v>
      </c>
      <c r="W331" s="3">
        <v>33487</v>
      </c>
      <c r="X331" s="3">
        <v>41026</v>
      </c>
      <c r="Y331" t="s">
        <v>47</v>
      </c>
      <c r="Z331" s="3">
        <v>33487</v>
      </c>
      <c r="AA331" s="3">
        <v>41026</v>
      </c>
      <c r="AB331" t="s">
        <v>47</v>
      </c>
      <c r="AC331" s="3">
        <v>33487</v>
      </c>
      <c r="AD331" s="3">
        <v>41026</v>
      </c>
      <c r="AE331" t="s">
        <v>47</v>
      </c>
      <c r="AF331" t="s">
        <v>47</v>
      </c>
      <c r="AG331" t="s">
        <v>47</v>
      </c>
      <c r="AH331" t="s">
        <v>47</v>
      </c>
      <c r="AI331" t="s">
        <v>47</v>
      </c>
      <c r="AJ331" t="s">
        <v>47</v>
      </c>
      <c r="AK331" t="s">
        <v>47</v>
      </c>
      <c r="AL331" t="s">
        <v>47</v>
      </c>
      <c r="AM331" t="s">
        <v>47</v>
      </c>
      <c r="AN331" t="s">
        <v>47</v>
      </c>
      <c r="AO331" s="5" t="s">
        <v>51</v>
      </c>
      <c r="AP331" s="4" t="s">
        <v>135</v>
      </c>
      <c r="AQ331" s="4" t="s">
        <v>53</v>
      </c>
      <c r="AR331" s="4" t="s">
        <v>1480</v>
      </c>
      <c r="AS331" s="5">
        <v>41212</v>
      </c>
      <c r="AT331" t="s">
        <v>47</v>
      </c>
    </row>
    <row r="332" spans="1:46" ht="78" x14ac:dyDescent="0.3">
      <c r="A332" s="4" t="s">
        <v>1481</v>
      </c>
      <c r="B332" t="s">
        <v>47</v>
      </c>
      <c r="C332" t="s">
        <v>47</v>
      </c>
      <c r="D332" s="4" t="s">
        <v>1168</v>
      </c>
      <c r="E332" t="s">
        <v>47</v>
      </c>
      <c r="F332" s="5" t="s">
        <v>1482</v>
      </c>
      <c r="G332" s="5" t="s">
        <v>1483</v>
      </c>
      <c r="H332" t="s">
        <v>47</v>
      </c>
      <c r="I332" t="s">
        <v>47</v>
      </c>
      <c r="J332" t="s">
        <v>47</v>
      </c>
      <c r="K332" t="s">
        <v>47</v>
      </c>
      <c r="L332" s="5" t="s">
        <v>60</v>
      </c>
      <c r="M332" t="s">
        <v>47</v>
      </c>
      <c r="N332" t="s">
        <v>47</v>
      </c>
      <c r="O332" t="s">
        <v>47</v>
      </c>
      <c r="P332" t="s">
        <v>47</v>
      </c>
      <c r="Q332" t="s">
        <v>47</v>
      </c>
      <c r="R332" t="s">
        <v>47</v>
      </c>
      <c r="S332" t="s">
        <v>47</v>
      </c>
      <c r="T332" t="s">
        <v>47</v>
      </c>
      <c r="U332" t="s">
        <v>47</v>
      </c>
      <c r="V332" t="s">
        <v>47</v>
      </c>
      <c r="W332" s="3">
        <v>34060</v>
      </c>
      <c r="X332" s="3">
        <v>41974</v>
      </c>
      <c r="Y332" s="5" t="s">
        <v>1484</v>
      </c>
      <c r="Z332" s="3">
        <v>34060</v>
      </c>
      <c r="AA332" s="3">
        <v>41974</v>
      </c>
      <c r="AB332" s="5" t="s">
        <v>1484</v>
      </c>
      <c r="AC332" s="3">
        <v>37438</v>
      </c>
      <c r="AD332" s="3">
        <v>41974</v>
      </c>
      <c r="AE332" s="5" t="s">
        <v>1484</v>
      </c>
      <c r="AF332" t="s">
        <v>47</v>
      </c>
      <c r="AG332" t="s">
        <v>47</v>
      </c>
      <c r="AH332" t="s">
        <v>47</v>
      </c>
      <c r="AI332" t="s">
        <v>47</v>
      </c>
      <c r="AJ332" t="s">
        <v>47</v>
      </c>
      <c r="AK332" t="s">
        <v>47</v>
      </c>
      <c r="AL332" t="s">
        <v>47</v>
      </c>
      <c r="AM332" t="s">
        <v>47</v>
      </c>
      <c r="AN332" t="s">
        <v>47</v>
      </c>
      <c r="AO332" s="5" t="s">
        <v>60</v>
      </c>
      <c r="AP332" s="4" t="s">
        <v>61</v>
      </c>
      <c r="AQ332" s="4" t="s">
        <v>53</v>
      </c>
      <c r="AR332" s="4" t="s">
        <v>595</v>
      </c>
      <c r="AS332" s="5">
        <v>48819</v>
      </c>
      <c r="AT332" t="s">
        <v>47</v>
      </c>
    </row>
    <row r="333" spans="1:46" ht="65" x14ac:dyDescent="0.3">
      <c r="A333" s="4" t="s">
        <v>1485</v>
      </c>
      <c r="B333" t="s">
        <v>47</v>
      </c>
      <c r="C333" s="4" t="s">
        <v>169</v>
      </c>
      <c r="D333" s="4" t="s">
        <v>139</v>
      </c>
      <c r="E333" s="4" t="s">
        <v>66</v>
      </c>
      <c r="F333" s="5" t="s">
        <v>1486</v>
      </c>
      <c r="G333" s="5" t="s">
        <v>1487</v>
      </c>
      <c r="H333" t="s">
        <v>47</v>
      </c>
      <c r="I333" t="s">
        <v>47</v>
      </c>
      <c r="J333" t="s">
        <v>47</v>
      </c>
      <c r="K333" t="s">
        <v>47</v>
      </c>
      <c r="L333" s="5" t="s">
        <v>60</v>
      </c>
      <c r="M333" t="s">
        <v>47</v>
      </c>
      <c r="N333" t="s">
        <v>47</v>
      </c>
      <c r="O333" t="s">
        <v>47</v>
      </c>
      <c r="P333" t="s">
        <v>47</v>
      </c>
      <c r="Q333" t="s">
        <v>47</v>
      </c>
      <c r="R333" t="s">
        <v>47</v>
      </c>
      <c r="S333" t="s">
        <v>47</v>
      </c>
      <c r="T333" t="s">
        <v>47</v>
      </c>
      <c r="U333" t="s">
        <v>47</v>
      </c>
      <c r="V333" t="s">
        <v>47</v>
      </c>
      <c r="W333" s="3">
        <v>40179</v>
      </c>
      <c r="X333" s="3">
        <v>43800</v>
      </c>
      <c r="Y333" t="s">
        <v>47</v>
      </c>
      <c r="Z333" s="3">
        <v>40179</v>
      </c>
      <c r="AA333" s="3">
        <v>43800</v>
      </c>
      <c r="AB333" t="s">
        <v>47</v>
      </c>
      <c r="AC333" s="3">
        <v>40179</v>
      </c>
      <c r="AD333" s="3">
        <v>43800</v>
      </c>
      <c r="AE333" t="s">
        <v>47</v>
      </c>
      <c r="AF333" t="s">
        <v>47</v>
      </c>
      <c r="AG333" t="s">
        <v>47</v>
      </c>
      <c r="AH333" t="s">
        <v>47</v>
      </c>
      <c r="AI333" t="s">
        <v>47</v>
      </c>
      <c r="AJ333" t="s">
        <v>47</v>
      </c>
      <c r="AK333" t="s">
        <v>47</v>
      </c>
      <c r="AL333" t="s">
        <v>47</v>
      </c>
      <c r="AM333" t="s">
        <v>47</v>
      </c>
      <c r="AN333" t="s">
        <v>47</v>
      </c>
      <c r="AO333" s="5" t="s">
        <v>60</v>
      </c>
      <c r="AP333" s="4" t="s">
        <v>61</v>
      </c>
      <c r="AQ333" s="4" t="s">
        <v>53</v>
      </c>
      <c r="AR333" s="4" t="s">
        <v>543</v>
      </c>
      <c r="AS333" s="5">
        <v>426787</v>
      </c>
      <c r="AT333" t="s">
        <v>47</v>
      </c>
    </row>
    <row r="334" spans="1:46" ht="78" x14ac:dyDescent="0.3">
      <c r="A334" s="4" t="s">
        <v>1488</v>
      </c>
      <c r="B334" t="s">
        <v>47</v>
      </c>
      <c r="C334" s="4" t="s">
        <v>1489</v>
      </c>
      <c r="D334" s="4" t="s">
        <v>1490</v>
      </c>
      <c r="E334" s="4" t="s">
        <v>49</v>
      </c>
      <c r="F334" s="5" t="s">
        <v>1491</v>
      </c>
      <c r="G334" s="5" t="s">
        <v>1492</v>
      </c>
      <c r="H334" t="s">
        <v>47</v>
      </c>
      <c r="I334" s="3">
        <v>36251</v>
      </c>
      <c r="J334" s="3">
        <v>44896</v>
      </c>
      <c r="K334" t="s">
        <v>47</v>
      </c>
      <c r="L334" s="5" t="s">
        <v>51</v>
      </c>
      <c r="M334" s="3">
        <v>36251</v>
      </c>
      <c r="N334" s="3">
        <v>44896</v>
      </c>
      <c r="O334" t="s">
        <v>47</v>
      </c>
      <c r="P334" s="3">
        <v>36251</v>
      </c>
      <c r="Q334" s="3">
        <v>44896</v>
      </c>
      <c r="R334" t="s">
        <v>47</v>
      </c>
      <c r="S334" t="s">
        <v>47</v>
      </c>
      <c r="T334" t="s">
        <v>47</v>
      </c>
      <c r="U334" t="s">
        <v>47</v>
      </c>
      <c r="V334" t="s">
        <v>47</v>
      </c>
      <c r="W334" s="3">
        <v>36251</v>
      </c>
      <c r="X334" s="3">
        <v>44896</v>
      </c>
      <c r="Y334" t="s">
        <v>47</v>
      </c>
      <c r="Z334" s="3">
        <v>36251</v>
      </c>
      <c r="AA334" s="3">
        <v>44896</v>
      </c>
      <c r="AB334" t="s">
        <v>47</v>
      </c>
      <c r="AC334" s="3">
        <v>36251</v>
      </c>
      <c r="AD334" s="3">
        <v>44866</v>
      </c>
      <c r="AE334" t="s">
        <v>47</v>
      </c>
      <c r="AF334" t="s">
        <v>47</v>
      </c>
      <c r="AG334" t="s">
        <v>47</v>
      </c>
      <c r="AH334" t="s">
        <v>47</v>
      </c>
      <c r="AI334" t="s">
        <v>47</v>
      </c>
      <c r="AJ334" t="s">
        <v>47</v>
      </c>
      <c r="AK334" t="s">
        <v>47</v>
      </c>
      <c r="AL334" t="s">
        <v>47</v>
      </c>
      <c r="AM334" t="s">
        <v>47</v>
      </c>
      <c r="AN334" t="s">
        <v>47</v>
      </c>
      <c r="AO334" s="5" t="s">
        <v>51</v>
      </c>
      <c r="AP334" s="4" t="s">
        <v>85</v>
      </c>
      <c r="AQ334" s="4" t="s">
        <v>53</v>
      </c>
      <c r="AR334" s="4" t="s">
        <v>595</v>
      </c>
      <c r="AS334" s="5">
        <v>49271</v>
      </c>
      <c r="AT334" t="s">
        <v>47</v>
      </c>
    </row>
    <row r="335" spans="1:46" ht="65" x14ac:dyDescent="0.3">
      <c r="A335" s="4" t="s">
        <v>1493</v>
      </c>
      <c r="B335" t="s">
        <v>47</v>
      </c>
      <c r="C335" s="4" t="s">
        <v>274</v>
      </c>
      <c r="D335" s="4" t="s">
        <v>275</v>
      </c>
      <c r="E335" s="4" t="s">
        <v>49</v>
      </c>
      <c r="F335" s="5" t="s">
        <v>1494</v>
      </c>
      <c r="G335" s="5" t="s">
        <v>1495</v>
      </c>
      <c r="H335" t="s">
        <v>47</v>
      </c>
      <c r="I335" s="3">
        <v>37803</v>
      </c>
      <c r="J335" s="5" t="s">
        <v>50</v>
      </c>
      <c r="K335" t="s">
        <v>47</v>
      </c>
      <c r="L335" s="5" t="s">
        <v>60</v>
      </c>
      <c r="M335" s="3">
        <v>37803</v>
      </c>
      <c r="N335" s="5" t="s">
        <v>50</v>
      </c>
      <c r="O335" s="5" t="s">
        <v>1496</v>
      </c>
      <c r="P335" s="3">
        <v>37803</v>
      </c>
      <c r="Q335" s="5" t="s">
        <v>50</v>
      </c>
      <c r="R335" t="s">
        <v>47</v>
      </c>
      <c r="S335" t="s">
        <v>47</v>
      </c>
      <c r="T335" t="s">
        <v>47</v>
      </c>
      <c r="U335" t="s">
        <v>47</v>
      </c>
      <c r="V335" t="s">
        <v>47</v>
      </c>
      <c r="W335" s="3">
        <v>37803</v>
      </c>
      <c r="X335" s="5" t="s">
        <v>50</v>
      </c>
      <c r="Y335" t="s">
        <v>47</v>
      </c>
      <c r="Z335" s="3">
        <v>37803</v>
      </c>
      <c r="AA335" s="5" t="s">
        <v>50</v>
      </c>
      <c r="AB335" t="s">
        <v>47</v>
      </c>
      <c r="AC335" s="3">
        <v>37803</v>
      </c>
      <c r="AD335" s="5" t="s">
        <v>50</v>
      </c>
      <c r="AE335" t="s">
        <v>47</v>
      </c>
      <c r="AF335" t="s">
        <v>47</v>
      </c>
      <c r="AG335" t="s">
        <v>47</v>
      </c>
      <c r="AH335" t="s">
        <v>47</v>
      </c>
      <c r="AI335" t="s">
        <v>47</v>
      </c>
      <c r="AJ335" t="s">
        <v>47</v>
      </c>
      <c r="AK335" t="s">
        <v>47</v>
      </c>
      <c r="AL335" t="s">
        <v>47</v>
      </c>
      <c r="AM335" t="s">
        <v>47</v>
      </c>
      <c r="AN335" t="s">
        <v>47</v>
      </c>
      <c r="AO335" s="5" t="s">
        <v>60</v>
      </c>
      <c r="AP335" s="4" t="s">
        <v>61</v>
      </c>
      <c r="AQ335" s="4" t="s">
        <v>53</v>
      </c>
      <c r="AR335" s="4" t="s">
        <v>543</v>
      </c>
      <c r="AS335" s="5">
        <v>29703</v>
      </c>
      <c r="AT335" t="s">
        <v>47</v>
      </c>
    </row>
    <row r="336" spans="1:46" ht="65" x14ac:dyDescent="0.3">
      <c r="A336" s="4" t="s">
        <v>1497</v>
      </c>
      <c r="B336" t="s">
        <v>47</v>
      </c>
      <c r="C336" s="4" t="s">
        <v>115</v>
      </c>
      <c r="D336" s="4" t="s">
        <v>559</v>
      </c>
      <c r="E336" s="4" t="s">
        <v>66</v>
      </c>
      <c r="F336" s="5" t="s">
        <v>1498</v>
      </c>
      <c r="G336" s="5" t="s">
        <v>1499</v>
      </c>
      <c r="H336" t="s">
        <v>47</v>
      </c>
      <c r="I336" s="3">
        <v>38718</v>
      </c>
      <c r="J336" s="5" t="s">
        <v>50</v>
      </c>
      <c r="K336" t="s">
        <v>47</v>
      </c>
      <c r="L336" s="5" t="s">
        <v>60</v>
      </c>
      <c r="M336" s="3">
        <v>38718</v>
      </c>
      <c r="N336" s="5" t="s">
        <v>50</v>
      </c>
      <c r="O336" t="s">
        <v>47</v>
      </c>
      <c r="P336" s="3">
        <v>38718</v>
      </c>
      <c r="Q336" s="5" t="s">
        <v>50</v>
      </c>
      <c r="R336" t="s">
        <v>47</v>
      </c>
      <c r="S336" t="s">
        <v>47</v>
      </c>
      <c r="T336" t="s">
        <v>47</v>
      </c>
      <c r="U336" t="s">
        <v>47</v>
      </c>
      <c r="V336" s="5">
        <v>365</v>
      </c>
      <c r="W336" s="3">
        <v>38718</v>
      </c>
      <c r="X336" s="5" t="s">
        <v>50</v>
      </c>
      <c r="Y336" t="s">
        <v>47</v>
      </c>
      <c r="Z336" s="3">
        <v>38718</v>
      </c>
      <c r="AA336" s="5" t="s">
        <v>50</v>
      </c>
      <c r="AB336" t="s">
        <v>47</v>
      </c>
      <c r="AC336" s="3">
        <v>38718</v>
      </c>
      <c r="AD336" s="5" t="s">
        <v>50</v>
      </c>
      <c r="AE336" t="s">
        <v>47</v>
      </c>
      <c r="AF336" t="s">
        <v>47</v>
      </c>
      <c r="AG336" t="s">
        <v>47</v>
      </c>
      <c r="AH336" t="s">
        <v>47</v>
      </c>
      <c r="AI336" t="s">
        <v>47</v>
      </c>
      <c r="AJ336" t="s">
        <v>47</v>
      </c>
      <c r="AK336" t="s">
        <v>47</v>
      </c>
      <c r="AL336" t="s">
        <v>47</v>
      </c>
      <c r="AM336" t="s">
        <v>47</v>
      </c>
      <c r="AN336" t="s">
        <v>47</v>
      </c>
      <c r="AO336" s="5" t="s">
        <v>60</v>
      </c>
      <c r="AP336" s="4" t="s">
        <v>61</v>
      </c>
      <c r="AQ336" t="s">
        <v>47</v>
      </c>
      <c r="AR336" s="4" t="s">
        <v>1500</v>
      </c>
      <c r="AS336" s="5">
        <v>12296</v>
      </c>
      <c r="AT336" t="s">
        <v>47</v>
      </c>
    </row>
    <row r="337" spans="1:46" ht="130" x14ac:dyDescent="0.3">
      <c r="A337" s="4" t="s">
        <v>1501</v>
      </c>
      <c r="B337" t="s">
        <v>47</v>
      </c>
      <c r="C337" s="4" t="s">
        <v>1502</v>
      </c>
      <c r="D337" s="4" t="s">
        <v>339</v>
      </c>
      <c r="E337" s="4" t="s">
        <v>66</v>
      </c>
      <c r="F337" s="5" t="s">
        <v>1503</v>
      </c>
      <c r="G337" s="5" t="s">
        <v>1504</v>
      </c>
      <c r="H337" t="s">
        <v>47</v>
      </c>
      <c r="I337" s="3">
        <v>35309</v>
      </c>
      <c r="J337" s="3">
        <v>36861</v>
      </c>
      <c r="K337" t="s">
        <v>47</v>
      </c>
      <c r="L337" s="5" t="s">
        <v>60</v>
      </c>
      <c r="M337" s="3">
        <v>35309</v>
      </c>
      <c r="N337" s="3">
        <v>36861</v>
      </c>
      <c r="O337" t="s">
        <v>47</v>
      </c>
      <c r="P337" s="3">
        <v>35309</v>
      </c>
      <c r="Q337" s="3">
        <v>36861</v>
      </c>
      <c r="R337" t="s">
        <v>47</v>
      </c>
      <c r="S337" t="s">
        <v>47</v>
      </c>
      <c r="T337" t="s">
        <v>47</v>
      </c>
      <c r="U337" t="s">
        <v>47</v>
      </c>
      <c r="V337" t="s">
        <v>47</v>
      </c>
      <c r="W337" s="3">
        <v>32509</v>
      </c>
      <c r="X337" s="5" t="s">
        <v>50</v>
      </c>
      <c r="Y337" t="s">
        <v>47</v>
      </c>
      <c r="Z337" s="3">
        <v>32509</v>
      </c>
      <c r="AA337" s="5" t="s">
        <v>50</v>
      </c>
      <c r="AB337" t="s">
        <v>47</v>
      </c>
      <c r="AC337" s="3">
        <v>32509</v>
      </c>
      <c r="AD337" s="5" t="s">
        <v>50</v>
      </c>
      <c r="AE337" t="s">
        <v>47</v>
      </c>
      <c r="AF337" t="s">
        <v>47</v>
      </c>
      <c r="AG337" t="s">
        <v>47</v>
      </c>
      <c r="AH337" t="s">
        <v>47</v>
      </c>
      <c r="AI337" t="s">
        <v>47</v>
      </c>
      <c r="AJ337" t="s">
        <v>47</v>
      </c>
      <c r="AK337" t="s">
        <v>47</v>
      </c>
      <c r="AL337" t="s">
        <v>47</v>
      </c>
      <c r="AM337" t="s">
        <v>47</v>
      </c>
      <c r="AN337" t="s">
        <v>47</v>
      </c>
      <c r="AO337" s="5" t="s">
        <v>60</v>
      </c>
      <c r="AP337" s="4" t="s">
        <v>61</v>
      </c>
      <c r="AQ337" s="4" t="s">
        <v>53</v>
      </c>
      <c r="AR337" s="4" t="s">
        <v>1505</v>
      </c>
      <c r="AS337" s="5">
        <v>48005</v>
      </c>
      <c r="AT337" t="s">
        <v>47</v>
      </c>
    </row>
    <row r="338" spans="1:46" ht="26" x14ac:dyDescent="0.3">
      <c r="A338" s="4" t="s">
        <v>1506</v>
      </c>
      <c r="B338" t="s">
        <v>47</v>
      </c>
      <c r="C338" s="4" t="s">
        <v>200</v>
      </c>
      <c r="D338" s="4" t="s">
        <v>1507</v>
      </c>
      <c r="E338" s="4" t="s">
        <v>66</v>
      </c>
      <c r="F338" s="5" t="s">
        <v>1508</v>
      </c>
      <c r="G338" s="5" t="s">
        <v>1509</v>
      </c>
      <c r="H338" t="s">
        <v>47</v>
      </c>
      <c r="I338" t="s">
        <v>47</v>
      </c>
      <c r="J338" t="s">
        <v>47</v>
      </c>
      <c r="K338" t="s">
        <v>47</v>
      </c>
      <c r="L338" s="5" t="s">
        <v>60</v>
      </c>
      <c r="M338" t="s">
        <v>47</v>
      </c>
      <c r="N338" t="s">
        <v>47</v>
      </c>
      <c r="O338" t="s">
        <v>47</v>
      </c>
      <c r="P338" t="s">
        <v>47</v>
      </c>
      <c r="Q338" t="s">
        <v>47</v>
      </c>
      <c r="R338" t="s">
        <v>47</v>
      </c>
      <c r="S338" t="s">
        <v>47</v>
      </c>
      <c r="T338" t="s">
        <v>47</v>
      </c>
      <c r="U338" t="s">
        <v>47</v>
      </c>
      <c r="V338" t="s">
        <v>47</v>
      </c>
      <c r="W338" s="3">
        <v>38231</v>
      </c>
      <c r="X338" s="5" t="s">
        <v>50</v>
      </c>
      <c r="Y338" t="s">
        <v>47</v>
      </c>
      <c r="Z338" s="3">
        <v>38231</v>
      </c>
      <c r="AA338" s="5" t="s">
        <v>50</v>
      </c>
      <c r="AB338" t="s">
        <v>47</v>
      </c>
      <c r="AC338" s="3">
        <v>38231</v>
      </c>
      <c r="AD338" s="5" t="s">
        <v>50</v>
      </c>
      <c r="AE338" t="s">
        <v>47</v>
      </c>
      <c r="AF338" t="s">
        <v>47</v>
      </c>
      <c r="AG338" t="s">
        <v>47</v>
      </c>
      <c r="AH338" t="s">
        <v>47</v>
      </c>
      <c r="AI338" t="s">
        <v>47</v>
      </c>
      <c r="AJ338" t="s">
        <v>47</v>
      </c>
      <c r="AK338" t="s">
        <v>47</v>
      </c>
      <c r="AL338" t="s">
        <v>47</v>
      </c>
      <c r="AM338" t="s">
        <v>47</v>
      </c>
      <c r="AN338" t="s">
        <v>47</v>
      </c>
      <c r="AO338" s="5" t="s">
        <v>60</v>
      </c>
      <c r="AP338" s="4" t="s">
        <v>61</v>
      </c>
      <c r="AQ338" s="4" t="s">
        <v>53</v>
      </c>
      <c r="AR338" s="4" t="s">
        <v>54</v>
      </c>
      <c r="AS338" s="5">
        <v>51518</v>
      </c>
      <c r="AT338" t="s">
        <v>47</v>
      </c>
    </row>
    <row r="339" spans="1:46" ht="65" x14ac:dyDescent="0.3">
      <c r="A339" s="4" t="s">
        <v>1510</v>
      </c>
      <c r="B339" t="s">
        <v>47</v>
      </c>
      <c r="C339" s="4" t="s">
        <v>1511</v>
      </c>
      <c r="D339" s="4" t="s">
        <v>597</v>
      </c>
      <c r="E339" s="4" t="s">
        <v>49</v>
      </c>
      <c r="F339" s="5" t="s">
        <v>1512</v>
      </c>
      <c r="G339" s="5" t="s">
        <v>1513</v>
      </c>
      <c r="H339" t="s">
        <v>47</v>
      </c>
      <c r="I339" s="3">
        <v>39722</v>
      </c>
      <c r="J339" s="5" t="s">
        <v>50</v>
      </c>
      <c r="K339" t="s">
        <v>47</v>
      </c>
      <c r="L339" s="5" t="s">
        <v>60</v>
      </c>
      <c r="M339" s="3">
        <v>39722</v>
      </c>
      <c r="N339" s="5" t="s">
        <v>50</v>
      </c>
      <c r="O339" t="s">
        <v>47</v>
      </c>
      <c r="P339" s="3">
        <v>39722</v>
      </c>
      <c r="Q339" s="5" t="s">
        <v>50</v>
      </c>
      <c r="R339" t="s">
        <v>47</v>
      </c>
      <c r="S339" t="s">
        <v>47</v>
      </c>
      <c r="T339" t="s">
        <v>47</v>
      </c>
      <c r="U339" t="s">
        <v>47</v>
      </c>
      <c r="V339" t="s">
        <v>47</v>
      </c>
      <c r="W339" s="3">
        <v>39722</v>
      </c>
      <c r="X339" s="5" t="s">
        <v>50</v>
      </c>
      <c r="Y339" t="s">
        <v>47</v>
      </c>
      <c r="Z339" s="3">
        <v>39722</v>
      </c>
      <c r="AA339" s="5" t="s">
        <v>50</v>
      </c>
      <c r="AB339" t="s">
        <v>47</v>
      </c>
      <c r="AC339" s="3">
        <v>39722</v>
      </c>
      <c r="AD339" s="5" t="s">
        <v>50</v>
      </c>
      <c r="AE339" t="s">
        <v>47</v>
      </c>
      <c r="AF339" t="s">
        <v>47</v>
      </c>
      <c r="AG339" t="s">
        <v>47</v>
      </c>
      <c r="AH339" t="s">
        <v>47</v>
      </c>
      <c r="AI339" t="s">
        <v>47</v>
      </c>
      <c r="AJ339" t="s">
        <v>47</v>
      </c>
      <c r="AK339" t="s">
        <v>47</v>
      </c>
      <c r="AL339" t="s">
        <v>47</v>
      </c>
      <c r="AM339" t="s">
        <v>47</v>
      </c>
      <c r="AN339" t="s">
        <v>47</v>
      </c>
      <c r="AO339" s="5" t="s">
        <v>60</v>
      </c>
      <c r="AP339" s="4" t="s">
        <v>61</v>
      </c>
      <c r="AQ339" s="4" t="s">
        <v>53</v>
      </c>
      <c r="AR339" s="4" t="s">
        <v>1514</v>
      </c>
      <c r="AS339" s="5">
        <v>47978</v>
      </c>
      <c r="AT339" t="s">
        <v>47</v>
      </c>
    </row>
    <row r="340" spans="1:46" ht="13" x14ac:dyDescent="0.3">
      <c r="A340" s="4" t="s">
        <v>1515</v>
      </c>
      <c r="B340" t="s">
        <v>47</v>
      </c>
      <c r="C340" s="4" t="s">
        <v>1516</v>
      </c>
      <c r="D340" s="4" t="s">
        <v>1517</v>
      </c>
      <c r="E340" s="4" t="s">
        <v>723</v>
      </c>
      <c r="F340" s="5" t="s">
        <v>1518</v>
      </c>
      <c r="G340" t="s">
        <v>47</v>
      </c>
      <c r="H340" t="s">
        <v>47</v>
      </c>
      <c r="I340" s="3">
        <v>40909</v>
      </c>
      <c r="J340" s="5" t="s">
        <v>50</v>
      </c>
      <c r="K340" t="s">
        <v>47</v>
      </c>
      <c r="L340" s="5" t="s">
        <v>60</v>
      </c>
      <c r="M340" s="3">
        <v>40909</v>
      </c>
      <c r="N340" s="5" t="s">
        <v>50</v>
      </c>
      <c r="O340" t="s">
        <v>47</v>
      </c>
      <c r="P340" s="3">
        <v>40909</v>
      </c>
      <c r="Q340" s="5" t="s">
        <v>50</v>
      </c>
      <c r="R340" t="s">
        <v>47</v>
      </c>
      <c r="S340" t="s">
        <v>47</v>
      </c>
      <c r="T340" t="s">
        <v>47</v>
      </c>
      <c r="U340" t="s">
        <v>47</v>
      </c>
      <c r="V340" t="s">
        <v>47</v>
      </c>
      <c r="W340" s="3">
        <v>40909</v>
      </c>
      <c r="X340" s="5" t="s">
        <v>50</v>
      </c>
      <c r="Y340" t="s">
        <v>47</v>
      </c>
      <c r="Z340" s="3">
        <v>40909</v>
      </c>
      <c r="AA340" s="5" t="s">
        <v>50</v>
      </c>
      <c r="AB340" t="s">
        <v>47</v>
      </c>
      <c r="AC340" s="3">
        <v>40909</v>
      </c>
      <c r="AD340" s="5" t="s">
        <v>50</v>
      </c>
      <c r="AE340" t="s">
        <v>47</v>
      </c>
      <c r="AF340" t="s">
        <v>47</v>
      </c>
      <c r="AG340" t="s">
        <v>47</v>
      </c>
      <c r="AH340" t="s">
        <v>47</v>
      </c>
      <c r="AI340" t="s">
        <v>47</v>
      </c>
      <c r="AJ340" t="s">
        <v>47</v>
      </c>
      <c r="AK340" t="s">
        <v>47</v>
      </c>
      <c r="AL340" t="s">
        <v>47</v>
      </c>
      <c r="AM340" t="s">
        <v>47</v>
      </c>
      <c r="AN340" t="s">
        <v>47</v>
      </c>
      <c r="AO340" s="5" t="s">
        <v>60</v>
      </c>
      <c r="AP340" s="4" t="s">
        <v>61</v>
      </c>
      <c r="AQ340" s="4" t="s">
        <v>1519</v>
      </c>
      <c r="AR340" s="4" t="s">
        <v>54</v>
      </c>
      <c r="AS340" s="5">
        <v>1066351</v>
      </c>
      <c r="AT340" t="s">
        <v>47</v>
      </c>
    </row>
    <row r="341" spans="1:46" ht="130" x14ac:dyDescent="0.3">
      <c r="A341" s="4" t="s">
        <v>1520</v>
      </c>
      <c r="B341" t="s">
        <v>47</v>
      </c>
      <c r="C341" s="4" t="s">
        <v>1521</v>
      </c>
      <c r="D341" s="4" t="s">
        <v>99</v>
      </c>
      <c r="E341" s="4" t="s">
        <v>100</v>
      </c>
      <c r="F341" s="5" t="s">
        <v>1522</v>
      </c>
      <c r="G341" t="s">
        <v>47</v>
      </c>
      <c r="H341" t="s">
        <v>47</v>
      </c>
      <c r="I341" s="3">
        <v>38353</v>
      </c>
      <c r="J341" s="3">
        <v>40179</v>
      </c>
      <c r="K341" t="s">
        <v>47</v>
      </c>
      <c r="L341" s="5" t="s">
        <v>60</v>
      </c>
      <c r="M341" s="3">
        <v>38353</v>
      </c>
      <c r="N341" s="3">
        <v>40179</v>
      </c>
      <c r="O341" t="s">
        <v>47</v>
      </c>
      <c r="P341" s="3">
        <v>38353</v>
      </c>
      <c r="Q341" s="3">
        <v>40179</v>
      </c>
      <c r="R341" t="s">
        <v>47</v>
      </c>
      <c r="S341" t="s">
        <v>47</v>
      </c>
      <c r="T341" t="s">
        <v>47</v>
      </c>
      <c r="U341" t="s">
        <v>47</v>
      </c>
      <c r="V341" t="s">
        <v>47</v>
      </c>
      <c r="W341" s="3">
        <v>33786</v>
      </c>
      <c r="X341" s="3">
        <v>40179</v>
      </c>
      <c r="Y341" t="s">
        <v>47</v>
      </c>
      <c r="Z341" s="3">
        <v>33786</v>
      </c>
      <c r="AA341" s="3">
        <v>40179</v>
      </c>
      <c r="AB341" t="s">
        <v>47</v>
      </c>
      <c r="AC341" t="s">
        <v>47</v>
      </c>
      <c r="AD341" t="s">
        <v>47</v>
      </c>
      <c r="AE341" t="s">
        <v>47</v>
      </c>
      <c r="AF341" t="s">
        <v>47</v>
      </c>
      <c r="AG341" t="s">
        <v>47</v>
      </c>
      <c r="AH341" t="s">
        <v>47</v>
      </c>
      <c r="AI341" t="s">
        <v>47</v>
      </c>
      <c r="AJ341" t="s">
        <v>47</v>
      </c>
      <c r="AK341" t="s">
        <v>47</v>
      </c>
      <c r="AL341" t="s">
        <v>47</v>
      </c>
      <c r="AM341" t="s">
        <v>47</v>
      </c>
      <c r="AN341" t="s">
        <v>47</v>
      </c>
      <c r="AO341" s="5" t="s">
        <v>60</v>
      </c>
      <c r="AP341" s="4" t="s">
        <v>61</v>
      </c>
      <c r="AQ341" s="4" t="s">
        <v>53</v>
      </c>
      <c r="AR341" s="4" t="s">
        <v>214</v>
      </c>
      <c r="AS341" s="5">
        <v>32979</v>
      </c>
      <c r="AT341" t="s">
        <v>47</v>
      </c>
    </row>
    <row r="342" spans="1:46" ht="130" x14ac:dyDescent="0.3">
      <c r="A342" s="4" t="s">
        <v>1523</v>
      </c>
      <c r="B342" t="s">
        <v>47</v>
      </c>
      <c r="C342" s="4" t="s">
        <v>1524</v>
      </c>
      <c r="D342" s="4" t="s">
        <v>139</v>
      </c>
      <c r="E342" s="4" t="s">
        <v>66</v>
      </c>
      <c r="F342" s="5" t="s">
        <v>1525</v>
      </c>
      <c r="G342" s="5" t="s">
        <v>1526</v>
      </c>
      <c r="H342" t="s">
        <v>47</v>
      </c>
      <c r="I342" s="3">
        <v>37012</v>
      </c>
      <c r="J342" s="3">
        <v>40878</v>
      </c>
      <c r="K342" t="s">
        <v>47</v>
      </c>
      <c r="L342" s="5" t="s">
        <v>60</v>
      </c>
      <c r="M342" s="3">
        <v>37012</v>
      </c>
      <c r="N342" s="3">
        <v>40878</v>
      </c>
      <c r="O342" t="s">
        <v>47</v>
      </c>
      <c r="P342" s="3">
        <v>37012</v>
      </c>
      <c r="Q342" s="3">
        <v>40878</v>
      </c>
      <c r="R342" t="s">
        <v>47</v>
      </c>
      <c r="S342" t="s">
        <v>47</v>
      </c>
      <c r="T342" t="s">
        <v>47</v>
      </c>
      <c r="U342" t="s">
        <v>47</v>
      </c>
      <c r="V342" t="s">
        <v>47</v>
      </c>
      <c r="W342" s="3">
        <v>36892</v>
      </c>
      <c r="X342" s="3">
        <v>40878</v>
      </c>
      <c r="Y342" t="s">
        <v>47</v>
      </c>
      <c r="Z342" s="3">
        <v>36892</v>
      </c>
      <c r="AA342" s="3">
        <v>40878</v>
      </c>
      <c r="AB342" t="s">
        <v>47</v>
      </c>
      <c r="AC342" s="3">
        <v>36892</v>
      </c>
      <c r="AD342" s="3">
        <v>40878</v>
      </c>
      <c r="AE342" t="s">
        <v>47</v>
      </c>
      <c r="AF342" t="s">
        <v>47</v>
      </c>
      <c r="AG342" t="s">
        <v>47</v>
      </c>
      <c r="AH342" t="s">
        <v>47</v>
      </c>
      <c r="AI342" t="s">
        <v>47</v>
      </c>
      <c r="AJ342" t="s">
        <v>47</v>
      </c>
      <c r="AK342" t="s">
        <v>47</v>
      </c>
      <c r="AL342" t="s">
        <v>47</v>
      </c>
      <c r="AM342" t="s">
        <v>47</v>
      </c>
      <c r="AN342" t="s">
        <v>47</v>
      </c>
      <c r="AO342" s="5" t="s">
        <v>60</v>
      </c>
      <c r="AP342" s="4" t="s">
        <v>61</v>
      </c>
      <c r="AQ342" s="4" t="s">
        <v>53</v>
      </c>
      <c r="AR342" s="4" t="s">
        <v>1527</v>
      </c>
      <c r="AS342" s="5">
        <v>34809</v>
      </c>
      <c r="AT342" t="s">
        <v>47</v>
      </c>
    </row>
    <row r="343" spans="1:46" ht="13" x14ac:dyDescent="0.3">
      <c r="A343" s="4" t="s">
        <v>1528</v>
      </c>
      <c r="B343" t="s">
        <v>47</v>
      </c>
      <c r="C343" s="4" t="s">
        <v>1529</v>
      </c>
      <c r="D343" s="4" t="s">
        <v>88</v>
      </c>
      <c r="E343" s="4" t="s">
        <v>49</v>
      </c>
      <c r="F343" s="5" t="s">
        <v>1530</v>
      </c>
      <c r="G343" s="5" t="s">
        <v>1531</v>
      </c>
      <c r="H343" t="s">
        <v>47</v>
      </c>
      <c r="I343" t="s">
        <v>47</v>
      </c>
      <c r="J343" t="s">
        <v>47</v>
      </c>
      <c r="K343" t="s">
        <v>47</v>
      </c>
      <c r="L343" s="5" t="s">
        <v>60</v>
      </c>
      <c r="M343" t="s">
        <v>47</v>
      </c>
      <c r="N343" t="s">
        <v>47</v>
      </c>
      <c r="O343" t="s">
        <v>47</v>
      </c>
      <c r="P343" t="s">
        <v>47</v>
      </c>
      <c r="Q343" t="s">
        <v>47</v>
      </c>
      <c r="R343" t="s">
        <v>47</v>
      </c>
      <c r="S343" t="s">
        <v>47</v>
      </c>
      <c r="T343" t="s">
        <v>47</v>
      </c>
      <c r="U343" t="s">
        <v>47</v>
      </c>
      <c r="V343" t="s">
        <v>47</v>
      </c>
      <c r="W343" s="3">
        <v>32509</v>
      </c>
      <c r="X343" s="5" t="s">
        <v>50</v>
      </c>
      <c r="Y343" t="s">
        <v>47</v>
      </c>
      <c r="Z343" s="3">
        <v>32509</v>
      </c>
      <c r="AA343" s="5" t="s">
        <v>50</v>
      </c>
      <c r="AB343" t="s">
        <v>47</v>
      </c>
      <c r="AC343" s="3">
        <v>32509</v>
      </c>
      <c r="AD343" s="5" t="s">
        <v>50</v>
      </c>
      <c r="AE343" t="s">
        <v>47</v>
      </c>
      <c r="AF343" t="s">
        <v>47</v>
      </c>
      <c r="AG343" t="s">
        <v>47</v>
      </c>
      <c r="AH343" t="s">
        <v>47</v>
      </c>
      <c r="AI343" t="s">
        <v>47</v>
      </c>
      <c r="AJ343" t="s">
        <v>47</v>
      </c>
      <c r="AK343" t="s">
        <v>47</v>
      </c>
      <c r="AL343" t="s">
        <v>47</v>
      </c>
      <c r="AM343" t="s">
        <v>47</v>
      </c>
      <c r="AN343" t="s">
        <v>47</v>
      </c>
      <c r="AO343" s="5" t="s">
        <v>60</v>
      </c>
      <c r="AP343" s="4" t="s">
        <v>61</v>
      </c>
      <c r="AQ343" s="4" t="s">
        <v>53</v>
      </c>
      <c r="AR343" s="4" t="s">
        <v>483</v>
      </c>
      <c r="AS343" s="5">
        <v>35458</v>
      </c>
      <c r="AT343" t="s">
        <v>47</v>
      </c>
    </row>
    <row r="344" spans="1:46" ht="26" x14ac:dyDescent="0.3">
      <c r="A344" s="4" t="s">
        <v>1532</v>
      </c>
      <c r="B344" t="s">
        <v>47</v>
      </c>
      <c r="C344" s="4" t="s">
        <v>1533</v>
      </c>
      <c r="D344" s="4" t="s">
        <v>1534</v>
      </c>
      <c r="E344" t="s">
        <v>47</v>
      </c>
      <c r="F344" t="s">
        <v>47</v>
      </c>
      <c r="G344" s="5" t="s">
        <v>1535</v>
      </c>
      <c r="H344" t="s">
        <v>47</v>
      </c>
      <c r="I344" s="3">
        <v>41275</v>
      </c>
      <c r="J344" s="5" t="s">
        <v>50</v>
      </c>
      <c r="K344" s="5" t="s">
        <v>450</v>
      </c>
      <c r="L344" s="5" t="s">
        <v>60</v>
      </c>
      <c r="M344" t="s">
        <v>47</v>
      </c>
      <c r="N344" t="s">
        <v>47</v>
      </c>
      <c r="O344" t="s">
        <v>47</v>
      </c>
      <c r="P344" s="3">
        <v>41275</v>
      </c>
      <c r="Q344" s="5" t="s">
        <v>50</v>
      </c>
      <c r="R344" s="5" t="s">
        <v>450</v>
      </c>
      <c r="S344" t="s">
        <v>47</v>
      </c>
      <c r="T344" t="s">
        <v>47</v>
      </c>
      <c r="U344" t="s">
        <v>47</v>
      </c>
      <c r="V344" t="s">
        <v>47</v>
      </c>
      <c r="W344" s="3">
        <v>41275</v>
      </c>
      <c r="X344" s="5" t="s">
        <v>50</v>
      </c>
      <c r="Y344" s="5" t="s">
        <v>450</v>
      </c>
      <c r="Z344" s="3">
        <v>41275</v>
      </c>
      <c r="AA344" s="5" t="s">
        <v>50</v>
      </c>
      <c r="AB344" s="5" t="s">
        <v>450</v>
      </c>
      <c r="AC344" s="3">
        <v>41275</v>
      </c>
      <c r="AD344" s="5" t="s">
        <v>50</v>
      </c>
      <c r="AE344" s="5" t="s">
        <v>450</v>
      </c>
      <c r="AF344" t="s">
        <v>47</v>
      </c>
      <c r="AG344" t="s">
        <v>47</v>
      </c>
      <c r="AH344" t="s">
        <v>47</v>
      </c>
      <c r="AI344" t="s">
        <v>47</v>
      </c>
      <c r="AJ344" t="s">
        <v>47</v>
      </c>
      <c r="AK344" t="s">
        <v>47</v>
      </c>
      <c r="AL344" t="s">
        <v>47</v>
      </c>
      <c r="AM344" t="s">
        <v>47</v>
      </c>
      <c r="AN344" t="s">
        <v>47</v>
      </c>
      <c r="AO344" s="5" t="s">
        <v>60</v>
      </c>
      <c r="AP344" s="4" t="s">
        <v>61</v>
      </c>
      <c r="AQ344" s="4" t="s">
        <v>53</v>
      </c>
      <c r="AR344" s="4" t="s">
        <v>54</v>
      </c>
      <c r="AS344" s="5">
        <v>2029664</v>
      </c>
      <c r="AT344" t="s">
        <v>47</v>
      </c>
    </row>
    <row r="345" spans="1:46" ht="26" x14ac:dyDescent="0.3">
      <c r="A345" s="4" t="s">
        <v>1536</v>
      </c>
      <c r="B345" t="s">
        <v>47</v>
      </c>
      <c r="C345" s="4" t="s">
        <v>169</v>
      </c>
      <c r="D345" s="4" t="s">
        <v>319</v>
      </c>
      <c r="E345" s="4" t="s">
        <v>66</v>
      </c>
      <c r="F345" s="5" t="s">
        <v>1537</v>
      </c>
      <c r="G345" s="5" t="s">
        <v>1538</v>
      </c>
      <c r="H345" t="s">
        <v>47</v>
      </c>
      <c r="I345" t="s">
        <v>47</v>
      </c>
      <c r="J345" t="s">
        <v>47</v>
      </c>
      <c r="K345" t="s">
        <v>47</v>
      </c>
      <c r="L345" s="5" t="s">
        <v>60</v>
      </c>
      <c r="M345" t="s">
        <v>47</v>
      </c>
      <c r="N345" t="s">
        <v>47</v>
      </c>
      <c r="O345" t="s">
        <v>47</v>
      </c>
      <c r="P345" t="s">
        <v>47</v>
      </c>
      <c r="Q345" t="s">
        <v>47</v>
      </c>
      <c r="R345" t="s">
        <v>47</v>
      </c>
      <c r="S345" t="s">
        <v>47</v>
      </c>
      <c r="T345" t="s">
        <v>47</v>
      </c>
      <c r="U345" t="s">
        <v>47</v>
      </c>
      <c r="V345" t="s">
        <v>47</v>
      </c>
      <c r="W345" s="3">
        <v>40179</v>
      </c>
      <c r="X345" s="5" t="s">
        <v>50</v>
      </c>
      <c r="Y345" t="s">
        <v>47</v>
      </c>
      <c r="Z345" s="3">
        <v>40179</v>
      </c>
      <c r="AA345" s="5" t="s">
        <v>50</v>
      </c>
      <c r="AB345" t="s">
        <v>47</v>
      </c>
      <c r="AC345" s="3">
        <v>40179</v>
      </c>
      <c r="AD345" s="5" t="s">
        <v>50</v>
      </c>
      <c r="AE345" t="s">
        <v>47</v>
      </c>
      <c r="AF345" t="s">
        <v>47</v>
      </c>
      <c r="AG345" t="s">
        <v>47</v>
      </c>
      <c r="AH345" t="s">
        <v>47</v>
      </c>
      <c r="AI345" t="s">
        <v>47</v>
      </c>
      <c r="AJ345" t="s">
        <v>47</v>
      </c>
      <c r="AK345" t="s">
        <v>47</v>
      </c>
      <c r="AL345" t="s">
        <v>47</v>
      </c>
      <c r="AM345" t="s">
        <v>47</v>
      </c>
      <c r="AN345" t="s">
        <v>47</v>
      </c>
      <c r="AO345" s="5" t="s">
        <v>60</v>
      </c>
      <c r="AP345" s="4" t="s">
        <v>61</v>
      </c>
      <c r="AQ345" s="4" t="s">
        <v>53</v>
      </c>
      <c r="AR345" s="4" t="s">
        <v>54</v>
      </c>
      <c r="AS345" s="5">
        <v>186198</v>
      </c>
      <c r="AT345" t="s">
        <v>47</v>
      </c>
    </row>
    <row r="346" spans="1:46" ht="39" x14ac:dyDescent="0.3">
      <c r="A346" s="4" t="s">
        <v>1539</v>
      </c>
      <c r="B346" t="s">
        <v>47</v>
      </c>
      <c r="C346" s="4" t="s">
        <v>1540</v>
      </c>
      <c r="D346" s="4" t="s">
        <v>1541</v>
      </c>
      <c r="E346" s="4" t="s">
        <v>570</v>
      </c>
      <c r="F346" s="5" t="s">
        <v>1542</v>
      </c>
      <c r="G346" t="s">
        <v>47</v>
      </c>
      <c r="H346" t="s">
        <v>47</v>
      </c>
      <c r="I346" s="3">
        <v>39814</v>
      </c>
      <c r="J346" s="5" t="s">
        <v>50</v>
      </c>
      <c r="K346" t="s">
        <v>47</v>
      </c>
      <c r="L346" s="5" t="s">
        <v>51</v>
      </c>
      <c r="M346" s="3">
        <v>39814</v>
      </c>
      <c r="N346" s="5" t="s">
        <v>50</v>
      </c>
      <c r="O346" t="s">
        <v>47</v>
      </c>
      <c r="P346" t="s">
        <v>47</v>
      </c>
      <c r="Q346" t="s">
        <v>47</v>
      </c>
      <c r="R346" t="s">
        <v>47</v>
      </c>
      <c r="S346" t="s">
        <v>47</v>
      </c>
      <c r="T346" t="s">
        <v>47</v>
      </c>
      <c r="U346" t="s">
        <v>47</v>
      </c>
      <c r="V346" t="s">
        <v>47</v>
      </c>
      <c r="W346" s="3">
        <v>39814</v>
      </c>
      <c r="X346" s="5" t="s">
        <v>50</v>
      </c>
      <c r="Y346" t="s">
        <v>47</v>
      </c>
      <c r="Z346" s="3">
        <v>39814</v>
      </c>
      <c r="AA346" s="5" t="s">
        <v>50</v>
      </c>
      <c r="AB346" t="s">
        <v>47</v>
      </c>
      <c r="AC346" s="3">
        <v>40026</v>
      </c>
      <c r="AD346" s="3">
        <v>43252</v>
      </c>
      <c r="AE346" t="s">
        <v>47</v>
      </c>
      <c r="AF346" t="s">
        <v>47</v>
      </c>
      <c r="AG346" t="s">
        <v>47</v>
      </c>
      <c r="AH346" t="s">
        <v>47</v>
      </c>
      <c r="AI346" t="s">
        <v>47</v>
      </c>
      <c r="AJ346" t="s">
        <v>47</v>
      </c>
      <c r="AK346" t="s">
        <v>47</v>
      </c>
      <c r="AL346" t="s">
        <v>47</v>
      </c>
      <c r="AM346" t="s">
        <v>47</v>
      </c>
      <c r="AN346" t="s">
        <v>47</v>
      </c>
      <c r="AO346" s="5" t="s">
        <v>51</v>
      </c>
      <c r="AP346" s="4" t="s">
        <v>135</v>
      </c>
      <c r="AQ346" s="4" t="s">
        <v>53</v>
      </c>
      <c r="AR346" s="4" t="s">
        <v>1543</v>
      </c>
      <c r="AS346" s="5">
        <v>55059</v>
      </c>
      <c r="AT346" t="s">
        <v>47</v>
      </c>
    </row>
    <row r="347" spans="1:46" ht="39" x14ac:dyDescent="0.3">
      <c r="A347" s="4" t="s">
        <v>1544</v>
      </c>
      <c r="B347" t="s">
        <v>47</v>
      </c>
      <c r="C347" s="4" t="s">
        <v>1545</v>
      </c>
      <c r="D347" s="4" t="s">
        <v>1546</v>
      </c>
      <c r="E347" s="4" t="s">
        <v>701</v>
      </c>
      <c r="F347" t="s">
        <v>47</v>
      </c>
      <c r="G347" s="5" t="s">
        <v>1547</v>
      </c>
      <c r="H347" t="s">
        <v>47</v>
      </c>
      <c r="I347" s="3">
        <v>41000</v>
      </c>
      <c r="J347" s="3">
        <v>42278</v>
      </c>
      <c r="K347" t="s">
        <v>47</v>
      </c>
      <c r="L347" s="5" t="s">
        <v>60</v>
      </c>
      <c r="M347" s="3">
        <v>41000</v>
      </c>
      <c r="N347" s="3">
        <v>42278</v>
      </c>
      <c r="O347" t="s">
        <v>47</v>
      </c>
      <c r="P347" s="3">
        <v>41000</v>
      </c>
      <c r="Q347" s="3">
        <v>42278</v>
      </c>
      <c r="R347" t="s">
        <v>47</v>
      </c>
      <c r="S347" t="s">
        <v>47</v>
      </c>
      <c r="T347" t="s">
        <v>47</v>
      </c>
      <c r="U347" t="s">
        <v>47</v>
      </c>
      <c r="V347" t="s">
        <v>47</v>
      </c>
      <c r="W347" s="3">
        <v>41000</v>
      </c>
      <c r="X347" s="3">
        <v>42278</v>
      </c>
      <c r="Y347" t="s">
        <v>47</v>
      </c>
      <c r="Z347" s="3">
        <v>41000</v>
      </c>
      <c r="AA347" s="3">
        <v>42278</v>
      </c>
      <c r="AB347" t="s">
        <v>47</v>
      </c>
      <c r="AC347" s="3">
        <v>41000</v>
      </c>
      <c r="AD347" s="3">
        <v>42278</v>
      </c>
      <c r="AE347" t="s">
        <v>47</v>
      </c>
      <c r="AF347" t="s">
        <v>47</v>
      </c>
      <c r="AG347" t="s">
        <v>47</v>
      </c>
      <c r="AH347" t="s">
        <v>47</v>
      </c>
      <c r="AI347" t="s">
        <v>47</v>
      </c>
      <c r="AJ347" t="s">
        <v>47</v>
      </c>
      <c r="AK347" t="s">
        <v>47</v>
      </c>
      <c r="AL347" t="s">
        <v>47</v>
      </c>
      <c r="AM347" t="s">
        <v>47</v>
      </c>
      <c r="AN347" t="s">
        <v>47</v>
      </c>
      <c r="AO347" s="5" t="s">
        <v>60</v>
      </c>
      <c r="AP347" s="4" t="s">
        <v>61</v>
      </c>
      <c r="AQ347" s="4" t="s">
        <v>427</v>
      </c>
      <c r="AR347" s="4" t="s">
        <v>1548</v>
      </c>
      <c r="AS347" s="5">
        <v>1966352</v>
      </c>
      <c r="AT347" t="s">
        <v>47</v>
      </c>
    </row>
    <row r="348" spans="1:46" ht="52" x14ac:dyDescent="0.3">
      <c r="A348" s="4" t="s">
        <v>1549</v>
      </c>
      <c r="B348" t="s">
        <v>47</v>
      </c>
      <c r="C348" s="4" t="s">
        <v>1550</v>
      </c>
      <c r="D348" s="4" t="s">
        <v>1551</v>
      </c>
      <c r="E348" s="4" t="s">
        <v>1552</v>
      </c>
      <c r="F348" t="s">
        <v>47</v>
      </c>
      <c r="G348" s="5" t="s">
        <v>1553</v>
      </c>
      <c r="H348" t="s">
        <v>47</v>
      </c>
      <c r="I348" s="3">
        <v>41395</v>
      </c>
      <c r="J348" s="3">
        <v>43617</v>
      </c>
      <c r="K348" t="s">
        <v>47</v>
      </c>
      <c r="L348" s="5" t="s">
        <v>60</v>
      </c>
      <c r="M348" t="s">
        <v>47</v>
      </c>
      <c r="N348" t="s">
        <v>47</v>
      </c>
      <c r="O348" t="s">
        <v>47</v>
      </c>
      <c r="P348" s="3">
        <v>41395</v>
      </c>
      <c r="Q348" s="3">
        <v>43617</v>
      </c>
      <c r="R348" t="s">
        <v>47</v>
      </c>
      <c r="S348" t="s">
        <v>47</v>
      </c>
      <c r="T348" t="s">
        <v>47</v>
      </c>
      <c r="U348" t="s">
        <v>47</v>
      </c>
      <c r="V348" t="s">
        <v>47</v>
      </c>
      <c r="W348" s="3">
        <v>41395</v>
      </c>
      <c r="X348" s="3">
        <v>43617</v>
      </c>
      <c r="Y348" t="s">
        <v>47</v>
      </c>
      <c r="Z348" s="3">
        <v>41395</v>
      </c>
      <c r="AA348" s="3">
        <v>43617</v>
      </c>
      <c r="AB348" t="s">
        <v>47</v>
      </c>
      <c r="AC348" s="3">
        <v>41395</v>
      </c>
      <c r="AD348" s="3">
        <v>43617</v>
      </c>
      <c r="AE348" t="s">
        <v>47</v>
      </c>
      <c r="AF348" t="s">
        <v>47</v>
      </c>
      <c r="AG348" t="s">
        <v>47</v>
      </c>
      <c r="AH348" t="s">
        <v>47</v>
      </c>
      <c r="AI348" t="s">
        <v>47</v>
      </c>
      <c r="AJ348" t="s">
        <v>47</v>
      </c>
      <c r="AK348" t="s">
        <v>47</v>
      </c>
      <c r="AL348" t="s">
        <v>47</v>
      </c>
      <c r="AM348" t="s">
        <v>47</v>
      </c>
      <c r="AN348" t="s">
        <v>47</v>
      </c>
      <c r="AO348" s="5" t="s">
        <v>60</v>
      </c>
      <c r="AP348" s="4" t="s">
        <v>61</v>
      </c>
      <c r="AQ348" s="4" t="s">
        <v>261</v>
      </c>
      <c r="AR348" s="4" t="s">
        <v>1381</v>
      </c>
      <c r="AS348" s="5">
        <v>4400984</v>
      </c>
      <c r="AT348" t="s">
        <v>47</v>
      </c>
    </row>
    <row r="349" spans="1:46" ht="130" x14ac:dyDescent="0.3">
      <c r="A349" s="4" t="s">
        <v>1554</v>
      </c>
      <c r="B349" t="s">
        <v>47</v>
      </c>
      <c r="C349" s="4" t="s">
        <v>169</v>
      </c>
      <c r="D349" s="4" t="s">
        <v>339</v>
      </c>
      <c r="E349" s="4" t="s">
        <v>66</v>
      </c>
      <c r="F349" s="5" t="s">
        <v>1555</v>
      </c>
      <c r="G349" s="5" t="s">
        <v>1556</v>
      </c>
      <c r="H349" t="s">
        <v>47</v>
      </c>
      <c r="I349" s="3">
        <v>35947</v>
      </c>
      <c r="J349" s="3">
        <v>36800</v>
      </c>
      <c r="K349" t="s">
        <v>47</v>
      </c>
      <c r="L349" s="5" t="s">
        <v>60</v>
      </c>
      <c r="M349" s="3">
        <v>35947</v>
      </c>
      <c r="N349" s="3">
        <v>36800</v>
      </c>
      <c r="O349" t="s">
        <v>47</v>
      </c>
      <c r="P349" s="3">
        <v>35947</v>
      </c>
      <c r="Q349" s="3">
        <v>36800</v>
      </c>
      <c r="R349" t="s">
        <v>47</v>
      </c>
      <c r="S349" t="s">
        <v>47</v>
      </c>
      <c r="T349" t="s">
        <v>47</v>
      </c>
      <c r="U349" t="s">
        <v>47</v>
      </c>
      <c r="V349" t="s">
        <v>47</v>
      </c>
      <c r="W349" s="3">
        <v>35947</v>
      </c>
      <c r="X349" s="5" t="s">
        <v>50</v>
      </c>
      <c r="Y349" s="5" t="s">
        <v>1557</v>
      </c>
      <c r="Z349" s="3">
        <v>35947</v>
      </c>
      <c r="AA349" s="5" t="s">
        <v>50</v>
      </c>
      <c r="AB349" s="5" t="s">
        <v>1557</v>
      </c>
      <c r="AC349" s="3">
        <v>35947</v>
      </c>
      <c r="AD349" s="5" t="s">
        <v>50</v>
      </c>
      <c r="AE349" s="5" t="s">
        <v>1557</v>
      </c>
      <c r="AF349" t="s">
        <v>47</v>
      </c>
      <c r="AG349" t="s">
        <v>47</v>
      </c>
      <c r="AH349" t="s">
        <v>47</v>
      </c>
      <c r="AI349" t="s">
        <v>47</v>
      </c>
      <c r="AJ349" t="s">
        <v>47</v>
      </c>
      <c r="AK349" t="s">
        <v>47</v>
      </c>
      <c r="AL349" t="s">
        <v>47</v>
      </c>
      <c r="AM349" t="s">
        <v>47</v>
      </c>
      <c r="AN349" t="s">
        <v>47</v>
      </c>
      <c r="AO349" s="5" t="s">
        <v>60</v>
      </c>
      <c r="AP349" s="4" t="s">
        <v>61</v>
      </c>
      <c r="AQ349" s="4" t="s">
        <v>53</v>
      </c>
      <c r="AR349" s="4" t="s">
        <v>1558</v>
      </c>
      <c r="AS349" s="5">
        <v>11434</v>
      </c>
      <c r="AT349" t="s">
        <v>47</v>
      </c>
    </row>
    <row r="350" spans="1:46" ht="104" x14ac:dyDescent="0.3">
      <c r="A350" s="4" t="s">
        <v>1559</v>
      </c>
      <c r="B350" t="s">
        <v>47</v>
      </c>
      <c r="C350" s="4" t="s">
        <v>122</v>
      </c>
      <c r="D350" s="4" t="s">
        <v>1560</v>
      </c>
      <c r="E350" s="4" t="s">
        <v>123</v>
      </c>
      <c r="F350" t="s">
        <v>47</v>
      </c>
      <c r="G350" s="5" t="s">
        <v>1561</v>
      </c>
      <c r="H350" t="s">
        <v>47</v>
      </c>
      <c r="I350" s="3">
        <v>43800</v>
      </c>
      <c r="J350" s="5" t="s">
        <v>50</v>
      </c>
      <c r="K350" t="s">
        <v>47</v>
      </c>
      <c r="L350" s="5" t="s">
        <v>60</v>
      </c>
      <c r="M350" s="3">
        <v>43800</v>
      </c>
      <c r="N350" s="5" t="s">
        <v>50</v>
      </c>
      <c r="O350" t="s">
        <v>47</v>
      </c>
      <c r="P350" s="3">
        <v>43800</v>
      </c>
      <c r="Q350" s="5" t="s">
        <v>50</v>
      </c>
      <c r="R350" t="s">
        <v>47</v>
      </c>
      <c r="S350" t="s">
        <v>47</v>
      </c>
      <c r="T350" t="s">
        <v>47</v>
      </c>
      <c r="U350" t="s">
        <v>47</v>
      </c>
      <c r="V350" t="s">
        <v>47</v>
      </c>
      <c r="W350" s="3">
        <v>43800</v>
      </c>
      <c r="X350" s="5" t="s">
        <v>50</v>
      </c>
      <c r="Y350" t="s">
        <v>47</v>
      </c>
      <c r="Z350" s="3">
        <v>43800</v>
      </c>
      <c r="AA350" s="5" t="s">
        <v>50</v>
      </c>
      <c r="AB350" t="s">
        <v>47</v>
      </c>
      <c r="AC350" s="3">
        <v>43800</v>
      </c>
      <c r="AD350" s="5" t="s">
        <v>50</v>
      </c>
      <c r="AE350" t="s">
        <v>47</v>
      </c>
      <c r="AF350" t="s">
        <v>47</v>
      </c>
      <c r="AG350" t="s">
        <v>47</v>
      </c>
      <c r="AH350" t="s">
        <v>47</v>
      </c>
      <c r="AI350" t="s">
        <v>47</v>
      </c>
      <c r="AJ350" t="s">
        <v>47</v>
      </c>
      <c r="AK350" t="s">
        <v>47</v>
      </c>
      <c r="AL350" t="s">
        <v>47</v>
      </c>
      <c r="AM350" t="s">
        <v>47</v>
      </c>
      <c r="AN350" t="s">
        <v>47</v>
      </c>
      <c r="AO350" s="5" t="s">
        <v>60</v>
      </c>
      <c r="AP350" s="4" t="s">
        <v>61</v>
      </c>
      <c r="AQ350" s="4" t="s">
        <v>53</v>
      </c>
      <c r="AR350" s="4" t="s">
        <v>557</v>
      </c>
      <c r="AS350" s="5">
        <v>5642949</v>
      </c>
      <c r="AT350" t="s">
        <v>47</v>
      </c>
    </row>
    <row r="351" spans="1:46" ht="65" x14ac:dyDescent="0.3">
      <c r="A351" s="4" t="s">
        <v>1562</v>
      </c>
      <c r="B351" t="s">
        <v>47</v>
      </c>
      <c r="C351" s="4" t="s">
        <v>1563</v>
      </c>
      <c r="D351" s="4" t="s">
        <v>1564</v>
      </c>
      <c r="E351" s="4" t="s">
        <v>49</v>
      </c>
      <c r="F351" s="5" t="s">
        <v>1565</v>
      </c>
      <c r="G351" s="5" t="s">
        <v>1566</v>
      </c>
      <c r="H351" t="s">
        <v>47</v>
      </c>
      <c r="I351" s="3">
        <v>34973</v>
      </c>
      <c r="J351" s="5" t="s">
        <v>50</v>
      </c>
      <c r="K351" t="s">
        <v>47</v>
      </c>
      <c r="L351" s="5" t="s">
        <v>60</v>
      </c>
      <c r="M351" s="3">
        <v>34973</v>
      </c>
      <c r="N351" s="5" t="s">
        <v>50</v>
      </c>
      <c r="O351" t="s">
        <v>47</v>
      </c>
      <c r="P351" s="3">
        <v>34973</v>
      </c>
      <c r="Q351" s="5" t="s">
        <v>50</v>
      </c>
      <c r="R351" t="s">
        <v>47</v>
      </c>
      <c r="S351" t="s">
        <v>47</v>
      </c>
      <c r="T351" t="s">
        <v>47</v>
      </c>
      <c r="U351" t="s">
        <v>47</v>
      </c>
      <c r="V351" t="s">
        <v>47</v>
      </c>
      <c r="W351" s="3">
        <v>34973</v>
      </c>
      <c r="X351" s="5" t="s">
        <v>50</v>
      </c>
      <c r="Y351" t="s">
        <v>47</v>
      </c>
      <c r="Z351" s="3">
        <v>34973</v>
      </c>
      <c r="AA351" s="5" t="s">
        <v>50</v>
      </c>
      <c r="AB351" t="s">
        <v>47</v>
      </c>
      <c r="AC351" s="3">
        <v>34973</v>
      </c>
      <c r="AD351" s="5" t="s">
        <v>50</v>
      </c>
      <c r="AE351" t="s">
        <v>47</v>
      </c>
      <c r="AF351" t="s">
        <v>47</v>
      </c>
      <c r="AG351" t="s">
        <v>47</v>
      </c>
      <c r="AH351" t="s">
        <v>47</v>
      </c>
      <c r="AI351" t="s">
        <v>47</v>
      </c>
      <c r="AJ351" t="s">
        <v>47</v>
      </c>
      <c r="AK351" t="s">
        <v>47</v>
      </c>
      <c r="AL351" t="s">
        <v>47</v>
      </c>
      <c r="AM351" t="s">
        <v>47</v>
      </c>
      <c r="AN351" t="s">
        <v>47</v>
      </c>
      <c r="AO351" s="5" t="s">
        <v>60</v>
      </c>
      <c r="AP351" s="4" t="s">
        <v>61</v>
      </c>
      <c r="AQ351" s="4" t="s">
        <v>53</v>
      </c>
      <c r="AR351" s="4" t="s">
        <v>1567</v>
      </c>
      <c r="AS351" s="5">
        <v>31765</v>
      </c>
      <c r="AT351" t="s">
        <v>47</v>
      </c>
    </row>
    <row r="352" spans="1:46" ht="78" x14ac:dyDescent="0.3">
      <c r="A352" s="4" t="s">
        <v>1562</v>
      </c>
      <c r="B352" t="s">
        <v>47</v>
      </c>
      <c r="C352" s="4" t="s">
        <v>169</v>
      </c>
      <c r="D352" s="4" t="s">
        <v>339</v>
      </c>
      <c r="E352" s="4" t="s">
        <v>66</v>
      </c>
      <c r="F352" s="5" t="s">
        <v>1568</v>
      </c>
      <c r="G352" s="5" t="s">
        <v>1569</v>
      </c>
      <c r="H352" t="s">
        <v>47</v>
      </c>
      <c r="I352" t="s">
        <v>47</v>
      </c>
      <c r="J352" t="s">
        <v>47</v>
      </c>
      <c r="K352" t="s">
        <v>47</v>
      </c>
      <c r="L352" s="5" t="s">
        <v>60</v>
      </c>
      <c r="M352" t="s">
        <v>47</v>
      </c>
      <c r="N352" t="s">
        <v>47</v>
      </c>
      <c r="O352" t="s">
        <v>47</v>
      </c>
      <c r="P352" t="s">
        <v>47</v>
      </c>
      <c r="Q352" t="s">
        <v>47</v>
      </c>
      <c r="R352" t="s">
        <v>47</v>
      </c>
      <c r="S352" t="s">
        <v>47</v>
      </c>
      <c r="T352" t="s">
        <v>47</v>
      </c>
      <c r="U352" t="s">
        <v>47</v>
      </c>
      <c r="V352" t="s">
        <v>47</v>
      </c>
      <c r="W352" s="3">
        <v>40544</v>
      </c>
      <c r="X352" s="5" t="s">
        <v>50</v>
      </c>
      <c r="Y352" t="s">
        <v>47</v>
      </c>
      <c r="Z352" s="3">
        <v>40544</v>
      </c>
      <c r="AA352" s="5" t="s">
        <v>50</v>
      </c>
      <c r="AB352" t="s">
        <v>47</v>
      </c>
      <c r="AC352" s="3">
        <v>40544</v>
      </c>
      <c r="AD352" s="5" t="s">
        <v>50</v>
      </c>
      <c r="AE352" t="s">
        <v>47</v>
      </c>
      <c r="AF352" t="s">
        <v>47</v>
      </c>
      <c r="AG352" t="s">
        <v>47</v>
      </c>
      <c r="AH352" t="s">
        <v>47</v>
      </c>
      <c r="AI352" t="s">
        <v>47</v>
      </c>
      <c r="AJ352" t="s">
        <v>47</v>
      </c>
      <c r="AK352" t="s">
        <v>47</v>
      </c>
      <c r="AL352" t="s">
        <v>47</v>
      </c>
      <c r="AM352" t="s">
        <v>47</v>
      </c>
      <c r="AN352" t="s">
        <v>47</v>
      </c>
      <c r="AO352" s="5" t="s">
        <v>60</v>
      </c>
      <c r="AP352" s="4" t="s">
        <v>61</v>
      </c>
      <c r="AQ352" s="4" t="s">
        <v>53</v>
      </c>
      <c r="AR352" s="4" t="s">
        <v>136</v>
      </c>
      <c r="AS352" s="5">
        <v>426785</v>
      </c>
      <c r="AT352" t="s">
        <v>47</v>
      </c>
    </row>
    <row r="353" spans="1:46" ht="26" x14ac:dyDescent="0.3">
      <c r="A353" s="4" t="s">
        <v>1570</v>
      </c>
      <c r="B353" t="s">
        <v>47</v>
      </c>
      <c r="C353" s="4" t="s">
        <v>1571</v>
      </c>
      <c r="D353" s="4" t="s">
        <v>1572</v>
      </c>
      <c r="E353" s="4" t="s">
        <v>163</v>
      </c>
      <c r="F353" s="5" t="s">
        <v>1573</v>
      </c>
      <c r="G353" s="5" t="s">
        <v>1574</v>
      </c>
      <c r="H353" t="s">
        <v>47</v>
      </c>
      <c r="I353" s="3">
        <v>40544</v>
      </c>
      <c r="J353" s="5" t="s">
        <v>50</v>
      </c>
      <c r="K353" t="s">
        <v>47</v>
      </c>
      <c r="L353" s="5" t="s">
        <v>60</v>
      </c>
      <c r="M353" t="s">
        <v>47</v>
      </c>
      <c r="N353" t="s">
        <v>47</v>
      </c>
      <c r="O353" t="s">
        <v>47</v>
      </c>
      <c r="P353" s="3">
        <v>40544</v>
      </c>
      <c r="Q353" s="5" t="s">
        <v>50</v>
      </c>
      <c r="R353" t="s">
        <v>47</v>
      </c>
      <c r="S353" t="s">
        <v>47</v>
      </c>
      <c r="T353" t="s">
        <v>47</v>
      </c>
      <c r="U353" t="s">
        <v>47</v>
      </c>
      <c r="V353" t="s">
        <v>47</v>
      </c>
      <c r="W353" s="3">
        <v>40544</v>
      </c>
      <c r="X353" s="5" t="s">
        <v>50</v>
      </c>
      <c r="Y353" t="s">
        <v>47</v>
      </c>
      <c r="Z353" s="3">
        <v>40544</v>
      </c>
      <c r="AA353" s="5" t="s">
        <v>50</v>
      </c>
      <c r="AB353" t="s">
        <v>47</v>
      </c>
      <c r="AC353" s="3">
        <v>40544</v>
      </c>
      <c r="AD353" s="5" t="s">
        <v>50</v>
      </c>
      <c r="AE353" t="s">
        <v>47</v>
      </c>
      <c r="AF353" t="s">
        <v>47</v>
      </c>
      <c r="AG353" t="s">
        <v>47</v>
      </c>
      <c r="AH353" t="s">
        <v>47</v>
      </c>
      <c r="AI353" t="s">
        <v>47</v>
      </c>
      <c r="AJ353" t="s">
        <v>47</v>
      </c>
      <c r="AK353" t="s">
        <v>47</v>
      </c>
      <c r="AL353" t="s">
        <v>47</v>
      </c>
      <c r="AM353" t="s">
        <v>47</v>
      </c>
      <c r="AN353" t="s">
        <v>47</v>
      </c>
      <c r="AO353" s="5" t="s">
        <v>60</v>
      </c>
      <c r="AP353" s="4" t="s">
        <v>61</v>
      </c>
      <c r="AQ353" s="4" t="s">
        <v>53</v>
      </c>
      <c r="AR353" s="4" t="s">
        <v>54</v>
      </c>
      <c r="AS353" s="5">
        <v>2026372</v>
      </c>
      <c r="AT353" t="s">
        <v>47</v>
      </c>
    </row>
    <row r="354" spans="1:46" ht="13" x14ac:dyDescent="0.3">
      <c r="A354" s="4" t="s">
        <v>1575</v>
      </c>
      <c r="B354" t="s">
        <v>47</v>
      </c>
      <c r="C354" s="4" t="s">
        <v>169</v>
      </c>
      <c r="D354" s="4" t="s">
        <v>1150</v>
      </c>
      <c r="E354" s="4" t="s">
        <v>66</v>
      </c>
      <c r="F354" s="5" t="s">
        <v>1576</v>
      </c>
      <c r="G354" s="5" t="s">
        <v>1577</v>
      </c>
      <c r="H354" t="s">
        <v>47</v>
      </c>
      <c r="I354" s="3">
        <v>35065</v>
      </c>
      <c r="J354" s="3">
        <v>41214</v>
      </c>
      <c r="K354" t="s">
        <v>47</v>
      </c>
      <c r="L354" s="5" t="s">
        <v>60</v>
      </c>
      <c r="M354" s="3">
        <v>35065</v>
      </c>
      <c r="N354" s="3">
        <v>41214</v>
      </c>
      <c r="O354" t="s">
        <v>47</v>
      </c>
      <c r="P354" s="3">
        <v>35065</v>
      </c>
      <c r="Q354" s="3">
        <v>41214</v>
      </c>
      <c r="R354" t="s">
        <v>47</v>
      </c>
      <c r="S354" t="s">
        <v>47</v>
      </c>
      <c r="T354" t="s">
        <v>47</v>
      </c>
      <c r="U354" t="s">
        <v>47</v>
      </c>
      <c r="V354" t="s">
        <v>47</v>
      </c>
      <c r="W354" s="3">
        <v>35065</v>
      </c>
      <c r="X354" s="5" t="s">
        <v>50</v>
      </c>
      <c r="Y354" t="s">
        <v>47</v>
      </c>
      <c r="Z354" s="3">
        <v>35065</v>
      </c>
      <c r="AA354" s="5" t="s">
        <v>50</v>
      </c>
      <c r="AB354" t="s">
        <v>47</v>
      </c>
      <c r="AC354" s="3">
        <v>36526</v>
      </c>
      <c r="AD354" s="5" t="s">
        <v>50</v>
      </c>
      <c r="AE354" s="5" t="s">
        <v>1578</v>
      </c>
      <c r="AF354" t="s">
        <v>47</v>
      </c>
      <c r="AG354" t="s">
        <v>47</v>
      </c>
      <c r="AH354" t="s">
        <v>47</v>
      </c>
      <c r="AI354" t="s">
        <v>47</v>
      </c>
      <c r="AJ354" t="s">
        <v>47</v>
      </c>
      <c r="AK354" t="s">
        <v>47</v>
      </c>
      <c r="AL354" t="s">
        <v>47</v>
      </c>
      <c r="AM354" t="s">
        <v>47</v>
      </c>
      <c r="AN354" t="s">
        <v>47</v>
      </c>
      <c r="AO354" s="5" t="s">
        <v>60</v>
      </c>
      <c r="AP354" s="4" t="s">
        <v>61</v>
      </c>
      <c r="AQ354" s="4" t="s">
        <v>53</v>
      </c>
      <c r="AR354" s="4" t="s">
        <v>54</v>
      </c>
      <c r="AS354" s="5">
        <v>38044</v>
      </c>
      <c r="AT354" t="s">
        <v>47</v>
      </c>
    </row>
    <row r="355" spans="1:46" ht="117" x14ac:dyDescent="0.3">
      <c r="A355" s="4" t="s">
        <v>1579</v>
      </c>
      <c r="B355" t="s">
        <v>47</v>
      </c>
      <c r="C355" s="4" t="s">
        <v>274</v>
      </c>
      <c r="D355" s="4" t="s">
        <v>275</v>
      </c>
      <c r="E355" s="4" t="s">
        <v>49</v>
      </c>
      <c r="F355" s="5" t="s">
        <v>1580</v>
      </c>
      <c r="G355" t="s">
        <v>47</v>
      </c>
      <c r="H355" t="s">
        <v>47</v>
      </c>
      <c r="I355" s="3">
        <v>38047</v>
      </c>
      <c r="J355" s="5" t="s">
        <v>50</v>
      </c>
      <c r="K355" t="s">
        <v>47</v>
      </c>
      <c r="L355" s="5" t="s">
        <v>60</v>
      </c>
      <c r="M355" s="3">
        <v>38047</v>
      </c>
      <c r="N355" s="5" t="s">
        <v>50</v>
      </c>
      <c r="O355" t="s">
        <v>47</v>
      </c>
      <c r="P355" s="3">
        <v>38047</v>
      </c>
      <c r="Q355" s="5" t="s">
        <v>50</v>
      </c>
      <c r="R355" t="s">
        <v>47</v>
      </c>
      <c r="S355" t="s">
        <v>47</v>
      </c>
      <c r="T355" t="s">
        <v>47</v>
      </c>
      <c r="U355" t="s">
        <v>47</v>
      </c>
      <c r="V355" t="s">
        <v>47</v>
      </c>
      <c r="W355" s="3">
        <v>38047</v>
      </c>
      <c r="X355" s="5" t="s">
        <v>50</v>
      </c>
      <c r="Y355" t="s">
        <v>47</v>
      </c>
      <c r="Z355" s="3">
        <v>38047</v>
      </c>
      <c r="AA355" s="5" t="s">
        <v>50</v>
      </c>
      <c r="AB355" t="s">
        <v>47</v>
      </c>
      <c r="AC355" s="3">
        <v>38047</v>
      </c>
      <c r="AD355" s="5" t="s">
        <v>50</v>
      </c>
      <c r="AE355" t="s">
        <v>47</v>
      </c>
      <c r="AF355" t="s">
        <v>47</v>
      </c>
      <c r="AG355" t="s">
        <v>47</v>
      </c>
      <c r="AH355" t="s">
        <v>47</v>
      </c>
      <c r="AI355" t="s">
        <v>47</v>
      </c>
      <c r="AJ355" t="s">
        <v>47</v>
      </c>
      <c r="AK355" t="s">
        <v>47</v>
      </c>
      <c r="AL355" t="s">
        <v>47</v>
      </c>
      <c r="AM355" t="s">
        <v>47</v>
      </c>
      <c r="AN355" t="s">
        <v>47</v>
      </c>
      <c r="AO355" s="5" t="s">
        <v>51</v>
      </c>
      <c r="AP355" s="4" t="s">
        <v>61</v>
      </c>
      <c r="AQ355" s="4" t="s">
        <v>53</v>
      </c>
      <c r="AR355" s="4" t="s">
        <v>1581</v>
      </c>
      <c r="AS355" s="5">
        <v>29704</v>
      </c>
      <c r="AT355" t="s">
        <v>47</v>
      </c>
    </row>
    <row r="356" spans="1:46" ht="78" x14ac:dyDescent="0.3">
      <c r="A356" s="4" t="s">
        <v>1582</v>
      </c>
      <c r="B356" t="s">
        <v>47</v>
      </c>
      <c r="C356" s="4" t="s">
        <v>1583</v>
      </c>
      <c r="D356" s="4" t="s">
        <v>760</v>
      </c>
      <c r="E356" s="4" t="s">
        <v>49</v>
      </c>
      <c r="F356" s="5" t="s">
        <v>1584</v>
      </c>
      <c r="G356" s="5" t="s">
        <v>1585</v>
      </c>
      <c r="H356" t="s">
        <v>47</v>
      </c>
      <c r="I356" s="3">
        <v>34375</v>
      </c>
      <c r="J356" s="5" t="s">
        <v>50</v>
      </c>
      <c r="K356" t="s">
        <v>47</v>
      </c>
      <c r="L356" s="5" t="s">
        <v>51</v>
      </c>
      <c r="M356" s="3">
        <v>34375</v>
      </c>
      <c r="N356" s="5" t="s">
        <v>50</v>
      </c>
      <c r="O356" t="s">
        <v>47</v>
      </c>
      <c r="P356" s="3">
        <v>35551</v>
      </c>
      <c r="Q356" s="5" t="s">
        <v>50</v>
      </c>
      <c r="R356" t="s">
        <v>47</v>
      </c>
      <c r="S356" t="s">
        <v>47</v>
      </c>
      <c r="T356" t="s">
        <v>47</v>
      </c>
      <c r="U356" t="s">
        <v>47</v>
      </c>
      <c r="V356" t="s">
        <v>47</v>
      </c>
      <c r="W356" s="3">
        <v>34375</v>
      </c>
      <c r="X356" s="5" t="s">
        <v>50</v>
      </c>
      <c r="Y356" t="s">
        <v>47</v>
      </c>
      <c r="Z356" s="3">
        <v>34375</v>
      </c>
      <c r="AA356" s="5" t="s">
        <v>50</v>
      </c>
      <c r="AB356" t="s">
        <v>47</v>
      </c>
      <c r="AC356" s="3">
        <v>34375</v>
      </c>
      <c r="AD356" s="5" t="s">
        <v>50</v>
      </c>
      <c r="AE356" t="s">
        <v>47</v>
      </c>
      <c r="AF356" t="s">
        <v>47</v>
      </c>
      <c r="AG356" t="s">
        <v>47</v>
      </c>
      <c r="AH356" t="s">
        <v>47</v>
      </c>
      <c r="AI356" t="s">
        <v>47</v>
      </c>
      <c r="AJ356" t="s">
        <v>47</v>
      </c>
      <c r="AK356" t="s">
        <v>47</v>
      </c>
      <c r="AL356" t="s">
        <v>47</v>
      </c>
      <c r="AM356" t="s">
        <v>47</v>
      </c>
      <c r="AN356" t="s">
        <v>47</v>
      </c>
      <c r="AO356" s="5" t="s">
        <v>51</v>
      </c>
      <c r="AP356" s="4" t="s">
        <v>135</v>
      </c>
      <c r="AQ356" s="4" t="s">
        <v>53</v>
      </c>
      <c r="AR356" s="4" t="s">
        <v>1586</v>
      </c>
      <c r="AS356" s="5">
        <v>27805</v>
      </c>
      <c r="AT356" t="s">
        <v>47</v>
      </c>
    </row>
    <row r="357" spans="1:46" ht="52" x14ac:dyDescent="0.3">
      <c r="A357" s="4" t="s">
        <v>1587</v>
      </c>
      <c r="B357" t="s">
        <v>47</v>
      </c>
      <c r="C357" s="4" t="s">
        <v>200</v>
      </c>
      <c r="D357" s="4" t="s">
        <v>1588</v>
      </c>
      <c r="E357" s="4" t="s">
        <v>66</v>
      </c>
      <c r="F357" s="5" t="s">
        <v>1589</v>
      </c>
      <c r="G357" s="5" t="s">
        <v>1590</v>
      </c>
      <c r="H357" t="s">
        <v>47</v>
      </c>
      <c r="I357" s="3">
        <v>35855</v>
      </c>
      <c r="J357" s="3">
        <v>36770</v>
      </c>
      <c r="K357" t="s">
        <v>47</v>
      </c>
      <c r="L357" s="5" t="s">
        <v>60</v>
      </c>
      <c r="M357" s="3">
        <v>35855</v>
      </c>
      <c r="N357" s="3">
        <v>36770</v>
      </c>
      <c r="O357" t="s">
        <v>47</v>
      </c>
      <c r="P357" s="3">
        <v>35855</v>
      </c>
      <c r="Q357" s="3">
        <v>36770</v>
      </c>
      <c r="R357" t="s">
        <v>47</v>
      </c>
      <c r="S357" t="s">
        <v>47</v>
      </c>
      <c r="T357" t="s">
        <v>47</v>
      </c>
      <c r="U357" t="s">
        <v>47</v>
      </c>
      <c r="V357" t="s">
        <v>47</v>
      </c>
      <c r="W357" s="3">
        <v>35855</v>
      </c>
      <c r="X357" s="3">
        <v>36770</v>
      </c>
      <c r="Y357" t="s">
        <v>47</v>
      </c>
      <c r="Z357" s="3">
        <v>35855</v>
      </c>
      <c r="AA357" s="3">
        <v>36770</v>
      </c>
      <c r="AB357" t="s">
        <v>47</v>
      </c>
      <c r="AC357" t="s">
        <v>47</v>
      </c>
      <c r="AD357" t="s">
        <v>47</v>
      </c>
      <c r="AE357" t="s">
        <v>47</v>
      </c>
      <c r="AF357" t="s">
        <v>47</v>
      </c>
      <c r="AG357" t="s">
        <v>47</v>
      </c>
      <c r="AH357" t="s">
        <v>47</v>
      </c>
      <c r="AI357" t="s">
        <v>47</v>
      </c>
      <c r="AJ357" t="s">
        <v>47</v>
      </c>
      <c r="AK357" t="s">
        <v>47</v>
      </c>
      <c r="AL357" t="s">
        <v>47</v>
      </c>
      <c r="AM357" t="s">
        <v>47</v>
      </c>
      <c r="AN357" t="s">
        <v>47</v>
      </c>
      <c r="AO357" s="5" t="s">
        <v>60</v>
      </c>
      <c r="AP357" s="4" t="s">
        <v>61</v>
      </c>
      <c r="AQ357" s="4" t="s">
        <v>53</v>
      </c>
      <c r="AR357" s="4" t="s">
        <v>1591</v>
      </c>
      <c r="AS357" s="5">
        <v>33024</v>
      </c>
      <c r="AT357" t="s">
        <v>47</v>
      </c>
    </row>
    <row r="358" spans="1:46" ht="52" x14ac:dyDescent="0.3">
      <c r="A358" s="4" t="s">
        <v>1592</v>
      </c>
      <c r="B358" t="s">
        <v>47</v>
      </c>
      <c r="C358" s="4" t="s">
        <v>169</v>
      </c>
      <c r="D358" s="4" t="s">
        <v>339</v>
      </c>
      <c r="E358" s="4" t="s">
        <v>66</v>
      </c>
      <c r="F358" s="5" t="s">
        <v>1593</v>
      </c>
      <c r="G358" s="5" t="s">
        <v>1594</v>
      </c>
      <c r="H358" t="s">
        <v>47</v>
      </c>
      <c r="I358" s="3">
        <v>35977</v>
      </c>
      <c r="J358" s="3">
        <v>36831</v>
      </c>
      <c r="K358" t="s">
        <v>47</v>
      </c>
      <c r="L358" s="5" t="s">
        <v>60</v>
      </c>
      <c r="M358" s="3">
        <v>35977</v>
      </c>
      <c r="N358" s="3">
        <v>36831</v>
      </c>
      <c r="O358" t="s">
        <v>47</v>
      </c>
      <c r="P358" s="3">
        <v>35977</v>
      </c>
      <c r="Q358" s="3">
        <v>36831</v>
      </c>
      <c r="R358" t="s">
        <v>47</v>
      </c>
      <c r="S358" t="s">
        <v>47</v>
      </c>
      <c r="T358" t="s">
        <v>47</v>
      </c>
      <c r="U358" t="s">
        <v>47</v>
      </c>
      <c r="V358" t="s">
        <v>47</v>
      </c>
      <c r="W358" s="3">
        <v>35977</v>
      </c>
      <c r="X358" s="3">
        <v>36831</v>
      </c>
      <c r="Y358" t="s">
        <v>47</v>
      </c>
      <c r="Z358" s="3">
        <v>35977</v>
      </c>
      <c r="AA358" s="3">
        <v>36831</v>
      </c>
      <c r="AB358" t="s">
        <v>47</v>
      </c>
      <c r="AC358" t="s">
        <v>47</v>
      </c>
      <c r="AD358" t="s">
        <v>47</v>
      </c>
      <c r="AE358" t="s">
        <v>47</v>
      </c>
      <c r="AF358" t="s">
        <v>47</v>
      </c>
      <c r="AG358" t="s">
        <v>47</v>
      </c>
      <c r="AH358" t="s">
        <v>47</v>
      </c>
      <c r="AI358" t="s">
        <v>47</v>
      </c>
      <c r="AJ358" t="s">
        <v>47</v>
      </c>
      <c r="AK358" t="s">
        <v>47</v>
      </c>
      <c r="AL358" t="s">
        <v>47</v>
      </c>
      <c r="AM358" t="s">
        <v>47</v>
      </c>
      <c r="AN358" t="s">
        <v>47</v>
      </c>
      <c r="AO358" s="5" t="s">
        <v>60</v>
      </c>
      <c r="AP358" s="4" t="s">
        <v>61</v>
      </c>
      <c r="AQ358" s="4" t="s">
        <v>53</v>
      </c>
      <c r="AR358" s="4" t="s">
        <v>1591</v>
      </c>
      <c r="AS358" s="5">
        <v>33679</v>
      </c>
      <c r="AT358" t="s">
        <v>47</v>
      </c>
    </row>
    <row r="359" spans="1:46" ht="130" x14ac:dyDescent="0.3">
      <c r="A359" s="4" t="s">
        <v>1595</v>
      </c>
      <c r="B359" t="s">
        <v>47</v>
      </c>
      <c r="C359" s="4" t="s">
        <v>93</v>
      </c>
      <c r="D359" s="4" t="s">
        <v>1596</v>
      </c>
      <c r="E359" s="4" t="s">
        <v>49</v>
      </c>
      <c r="F359" s="5" t="s">
        <v>1597</v>
      </c>
      <c r="G359" s="5" t="s">
        <v>1598</v>
      </c>
      <c r="H359" t="s">
        <v>47</v>
      </c>
      <c r="I359" t="s">
        <v>47</v>
      </c>
      <c r="J359" t="s">
        <v>47</v>
      </c>
      <c r="K359" t="s">
        <v>47</v>
      </c>
      <c r="L359" s="5" t="s">
        <v>60</v>
      </c>
      <c r="M359" t="s">
        <v>47</v>
      </c>
      <c r="N359" t="s">
        <v>47</v>
      </c>
      <c r="O359" t="s">
        <v>47</v>
      </c>
      <c r="P359" t="s">
        <v>47</v>
      </c>
      <c r="Q359" t="s">
        <v>47</v>
      </c>
      <c r="R359" t="s">
        <v>47</v>
      </c>
      <c r="S359" t="s">
        <v>47</v>
      </c>
      <c r="T359" t="s">
        <v>47</v>
      </c>
      <c r="U359" t="s">
        <v>47</v>
      </c>
      <c r="V359" t="s">
        <v>47</v>
      </c>
      <c r="W359" s="3">
        <v>40575</v>
      </c>
      <c r="X359" s="5" t="s">
        <v>50</v>
      </c>
      <c r="Y359" t="s">
        <v>47</v>
      </c>
      <c r="Z359" s="3">
        <v>40575</v>
      </c>
      <c r="AA359" s="5" t="s">
        <v>50</v>
      </c>
      <c r="AB359" t="s">
        <v>47</v>
      </c>
      <c r="AC359" s="3">
        <v>40575</v>
      </c>
      <c r="AD359" s="5" t="s">
        <v>50</v>
      </c>
      <c r="AE359" t="s">
        <v>47</v>
      </c>
      <c r="AF359" t="s">
        <v>47</v>
      </c>
      <c r="AG359" t="s">
        <v>47</v>
      </c>
      <c r="AH359" t="s">
        <v>47</v>
      </c>
      <c r="AI359" t="s">
        <v>47</v>
      </c>
      <c r="AJ359" t="s">
        <v>47</v>
      </c>
      <c r="AK359" t="s">
        <v>47</v>
      </c>
      <c r="AL359" t="s">
        <v>47</v>
      </c>
      <c r="AM359" t="s">
        <v>47</v>
      </c>
      <c r="AN359" t="s">
        <v>47</v>
      </c>
      <c r="AO359" s="5" t="s">
        <v>60</v>
      </c>
      <c r="AP359" s="4" t="s">
        <v>61</v>
      </c>
      <c r="AQ359" s="4" t="s">
        <v>53</v>
      </c>
      <c r="AR359" s="4" t="s">
        <v>214</v>
      </c>
      <c r="AS359" s="5">
        <v>866383</v>
      </c>
      <c r="AT359" t="s">
        <v>47</v>
      </c>
    </row>
    <row r="360" spans="1:46" ht="78" x14ac:dyDescent="0.3">
      <c r="A360" s="4" t="s">
        <v>1599</v>
      </c>
      <c r="B360" t="s">
        <v>47</v>
      </c>
      <c r="C360" s="4" t="s">
        <v>1600</v>
      </c>
      <c r="D360" s="4" t="s">
        <v>967</v>
      </c>
      <c r="E360" s="4" t="s">
        <v>100</v>
      </c>
      <c r="F360" s="5" t="s">
        <v>1601</v>
      </c>
      <c r="G360" t="s">
        <v>47</v>
      </c>
      <c r="H360" t="s">
        <v>47</v>
      </c>
      <c r="I360" s="3">
        <v>35796</v>
      </c>
      <c r="J360" s="3">
        <v>42370</v>
      </c>
      <c r="K360" s="5" t="s">
        <v>1602</v>
      </c>
      <c r="L360" s="5" t="s">
        <v>60</v>
      </c>
      <c r="M360" s="3">
        <v>35796</v>
      </c>
      <c r="N360" s="3">
        <v>42370</v>
      </c>
      <c r="O360" s="5" t="s">
        <v>1602</v>
      </c>
      <c r="P360" s="3">
        <v>37622</v>
      </c>
      <c r="Q360" s="3">
        <v>42370</v>
      </c>
      <c r="R360" s="5" t="s">
        <v>1602</v>
      </c>
      <c r="S360" t="s">
        <v>47</v>
      </c>
      <c r="T360" t="s">
        <v>47</v>
      </c>
      <c r="U360" t="s">
        <v>47</v>
      </c>
      <c r="V360" t="s">
        <v>47</v>
      </c>
      <c r="W360" s="3">
        <v>33604</v>
      </c>
      <c r="X360" s="3">
        <v>42370</v>
      </c>
      <c r="Y360" s="5" t="s">
        <v>1602</v>
      </c>
      <c r="Z360" s="3">
        <v>33604</v>
      </c>
      <c r="AA360" s="3">
        <v>42370</v>
      </c>
      <c r="AB360" s="5" t="s">
        <v>1602</v>
      </c>
      <c r="AC360" s="3">
        <v>35796</v>
      </c>
      <c r="AD360" s="3">
        <v>42370</v>
      </c>
      <c r="AE360" s="5" t="s">
        <v>1602</v>
      </c>
      <c r="AF360" t="s">
        <v>47</v>
      </c>
      <c r="AG360" t="s">
        <v>47</v>
      </c>
      <c r="AH360" t="s">
        <v>47</v>
      </c>
      <c r="AI360" t="s">
        <v>47</v>
      </c>
      <c r="AJ360" t="s">
        <v>47</v>
      </c>
      <c r="AK360" t="s">
        <v>47</v>
      </c>
      <c r="AL360" t="s">
        <v>47</v>
      </c>
      <c r="AM360" t="s">
        <v>47</v>
      </c>
      <c r="AN360" t="s">
        <v>47</v>
      </c>
      <c r="AO360" s="5" t="s">
        <v>51</v>
      </c>
      <c r="AP360" s="4" t="s">
        <v>61</v>
      </c>
      <c r="AQ360" s="4" t="s">
        <v>53</v>
      </c>
      <c r="AR360" s="4" t="s">
        <v>136</v>
      </c>
      <c r="AS360" s="5">
        <v>26436</v>
      </c>
      <c r="AT360" t="s">
        <v>47</v>
      </c>
    </row>
    <row r="361" spans="1:46" ht="26" x14ac:dyDescent="0.3">
      <c r="A361" s="4" t="s">
        <v>1603</v>
      </c>
      <c r="B361" t="s">
        <v>47</v>
      </c>
      <c r="C361" s="4" t="s">
        <v>1604</v>
      </c>
      <c r="D361" s="4" t="s">
        <v>1605</v>
      </c>
      <c r="E361" s="4" t="s">
        <v>1606</v>
      </c>
      <c r="F361" t="s">
        <v>47</v>
      </c>
      <c r="G361" s="5" t="s">
        <v>1607</v>
      </c>
      <c r="H361" t="s">
        <v>47</v>
      </c>
      <c r="I361" s="3">
        <v>40787</v>
      </c>
      <c r="J361" s="3">
        <v>43374</v>
      </c>
      <c r="K361" t="s">
        <v>47</v>
      </c>
      <c r="L361" s="5" t="s">
        <v>60</v>
      </c>
      <c r="M361" t="s">
        <v>47</v>
      </c>
      <c r="N361" t="s">
        <v>47</v>
      </c>
      <c r="O361" t="s">
        <v>47</v>
      </c>
      <c r="P361" s="3">
        <v>40787</v>
      </c>
      <c r="Q361" s="3">
        <v>43374</v>
      </c>
      <c r="R361" t="s">
        <v>47</v>
      </c>
      <c r="S361" t="s">
        <v>47</v>
      </c>
      <c r="T361" t="s">
        <v>47</v>
      </c>
      <c r="U361" t="s">
        <v>47</v>
      </c>
      <c r="V361" t="s">
        <v>47</v>
      </c>
      <c r="W361" s="3">
        <v>40787</v>
      </c>
      <c r="X361" s="3">
        <v>43374</v>
      </c>
      <c r="Y361" t="s">
        <v>47</v>
      </c>
      <c r="Z361" s="3">
        <v>40787</v>
      </c>
      <c r="AA361" s="3">
        <v>43374</v>
      </c>
      <c r="AB361" t="s">
        <v>47</v>
      </c>
      <c r="AC361" s="3">
        <v>40787</v>
      </c>
      <c r="AD361" s="3">
        <v>43374</v>
      </c>
      <c r="AE361" t="s">
        <v>47</v>
      </c>
      <c r="AF361" t="s">
        <v>47</v>
      </c>
      <c r="AG361" t="s">
        <v>47</v>
      </c>
      <c r="AH361" t="s">
        <v>47</v>
      </c>
      <c r="AI361" t="s">
        <v>47</v>
      </c>
      <c r="AJ361" t="s">
        <v>47</v>
      </c>
      <c r="AK361" t="s">
        <v>47</v>
      </c>
      <c r="AL361" t="s">
        <v>47</v>
      </c>
      <c r="AM361" t="s">
        <v>47</v>
      </c>
      <c r="AN361" t="s">
        <v>47</v>
      </c>
      <c r="AO361" s="5" t="s">
        <v>60</v>
      </c>
      <c r="AP361" s="4" t="s">
        <v>61</v>
      </c>
      <c r="AQ361" s="4" t="s">
        <v>53</v>
      </c>
      <c r="AR361" s="4" t="s">
        <v>54</v>
      </c>
      <c r="AS361" s="5">
        <v>4477231</v>
      </c>
      <c r="AT361" t="s">
        <v>47</v>
      </c>
    </row>
    <row r="362" spans="1:46" ht="104" x14ac:dyDescent="0.3">
      <c r="A362" s="4" t="s">
        <v>1608</v>
      </c>
      <c r="B362" t="s">
        <v>47</v>
      </c>
      <c r="C362" s="4" t="s">
        <v>1365</v>
      </c>
      <c r="D362" s="4" t="s">
        <v>1609</v>
      </c>
      <c r="E362" s="4" t="s">
        <v>49</v>
      </c>
      <c r="F362" s="5" t="s">
        <v>1610</v>
      </c>
      <c r="G362" t="s">
        <v>47</v>
      </c>
      <c r="H362" t="s">
        <v>47</v>
      </c>
      <c r="I362" s="3">
        <v>32234</v>
      </c>
      <c r="J362" s="3">
        <v>43739</v>
      </c>
      <c r="K362" t="s">
        <v>47</v>
      </c>
      <c r="L362" s="5" t="s">
        <v>51</v>
      </c>
      <c r="M362" s="3">
        <v>33635</v>
      </c>
      <c r="N362" s="3">
        <v>43739</v>
      </c>
      <c r="O362" t="s">
        <v>47</v>
      </c>
      <c r="P362" s="3">
        <v>32234</v>
      </c>
      <c r="Q362" s="3">
        <v>43739</v>
      </c>
      <c r="R362" t="s">
        <v>47</v>
      </c>
      <c r="S362" t="s">
        <v>47</v>
      </c>
      <c r="T362" t="s">
        <v>47</v>
      </c>
      <c r="U362" t="s">
        <v>47</v>
      </c>
      <c r="V362" t="s">
        <v>47</v>
      </c>
      <c r="W362" s="3">
        <v>32174</v>
      </c>
      <c r="X362" s="3">
        <v>43739</v>
      </c>
      <c r="Y362" t="s">
        <v>47</v>
      </c>
      <c r="Z362" s="3">
        <v>32174</v>
      </c>
      <c r="AA362" s="3">
        <v>43739</v>
      </c>
      <c r="AB362" t="s">
        <v>47</v>
      </c>
      <c r="AC362" s="3">
        <v>32174</v>
      </c>
      <c r="AD362" s="3">
        <v>43739</v>
      </c>
      <c r="AE362" t="s">
        <v>47</v>
      </c>
      <c r="AF362" t="s">
        <v>47</v>
      </c>
      <c r="AG362" t="s">
        <v>47</v>
      </c>
      <c r="AH362" t="s">
        <v>47</v>
      </c>
      <c r="AI362" t="s">
        <v>47</v>
      </c>
      <c r="AJ362" t="s">
        <v>47</v>
      </c>
      <c r="AK362" t="s">
        <v>47</v>
      </c>
      <c r="AL362" t="s">
        <v>47</v>
      </c>
      <c r="AM362" t="s">
        <v>47</v>
      </c>
      <c r="AN362" t="s">
        <v>47</v>
      </c>
      <c r="AO362" s="5" t="s">
        <v>51</v>
      </c>
      <c r="AP362" s="4" t="s">
        <v>85</v>
      </c>
      <c r="AQ362" s="4" t="s">
        <v>53</v>
      </c>
      <c r="AR362" s="4" t="s">
        <v>1611</v>
      </c>
      <c r="AS362" s="5">
        <v>17460</v>
      </c>
      <c r="AT362" t="s">
        <v>47</v>
      </c>
    </row>
    <row r="363" spans="1:46" ht="13" x14ac:dyDescent="0.3">
      <c r="A363" s="4" t="s">
        <v>1612</v>
      </c>
      <c r="B363" t="s">
        <v>47</v>
      </c>
      <c r="C363" s="4" t="s">
        <v>1613</v>
      </c>
      <c r="D363" s="4" t="s">
        <v>1614</v>
      </c>
      <c r="E363" s="4" t="s">
        <v>49</v>
      </c>
      <c r="F363" s="5" t="s">
        <v>1615</v>
      </c>
      <c r="G363" s="5" t="s">
        <v>1616</v>
      </c>
      <c r="H363" t="s">
        <v>47</v>
      </c>
      <c r="I363" t="s">
        <v>47</v>
      </c>
      <c r="J363" t="s">
        <v>47</v>
      </c>
      <c r="K363" t="s">
        <v>47</v>
      </c>
      <c r="L363" s="5" t="s">
        <v>60</v>
      </c>
      <c r="M363" t="s">
        <v>47</v>
      </c>
      <c r="N363" t="s">
        <v>47</v>
      </c>
      <c r="O363" t="s">
        <v>47</v>
      </c>
      <c r="P363" t="s">
        <v>47</v>
      </c>
      <c r="Q363" t="s">
        <v>47</v>
      </c>
      <c r="R363" t="s">
        <v>47</v>
      </c>
      <c r="S363" t="s">
        <v>47</v>
      </c>
      <c r="T363" t="s">
        <v>47</v>
      </c>
      <c r="U363" t="s">
        <v>47</v>
      </c>
      <c r="V363" t="s">
        <v>47</v>
      </c>
      <c r="W363" s="3">
        <v>35796</v>
      </c>
      <c r="X363" s="5" t="s">
        <v>50</v>
      </c>
      <c r="Y363" t="s">
        <v>47</v>
      </c>
      <c r="Z363" s="3">
        <v>35796</v>
      </c>
      <c r="AA363" s="5" t="s">
        <v>50</v>
      </c>
      <c r="AB363" t="s">
        <v>47</v>
      </c>
      <c r="AC363" s="3">
        <v>35796</v>
      </c>
      <c r="AD363" s="5" t="s">
        <v>50</v>
      </c>
      <c r="AE363" t="s">
        <v>47</v>
      </c>
      <c r="AF363" t="s">
        <v>47</v>
      </c>
      <c r="AG363" t="s">
        <v>47</v>
      </c>
      <c r="AH363" t="s">
        <v>47</v>
      </c>
      <c r="AI363" t="s">
        <v>47</v>
      </c>
      <c r="AJ363" t="s">
        <v>47</v>
      </c>
      <c r="AK363" t="s">
        <v>47</v>
      </c>
      <c r="AL363" t="s">
        <v>47</v>
      </c>
      <c r="AM363" t="s">
        <v>47</v>
      </c>
      <c r="AN363" t="s">
        <v>47</v>
      </c>
      <c r="AO363" s="5" t="s">
        <v>60</v>
      </c>
      <c r="AP363" s="4" t="s">
        <v>61</v>
      </c>
      <c r="AQ363" s="4" t="s">
        <v>53</v>
      </c>
      <c r="AR363" s="4" t="s">
        <v>54</v>
      </c>
      <c r="AS363" s="5">
        <v>46797</v>
      </c>
      <c r="AT363" t="s">
        <v>47</v>
      </c>
    </row>
    <row r="364" spans="1:46" ht="78" x14ac:dyDescent="0.3">
      <c r="A364" s="4" t="s">
        <v>1617</v>
      </c>
      <c r="B364" s="4" t="s">
        <v>1618</v>
      </c>
      <c r="C364" s="4" t="s">
        <v>1619</v>
      </c>
      <c r="D364" s="4" t="s">
        <v>1620</v>
      </c>
      <c r="E364" s="4" t="s">
        <v>1621</v>
      </c>
      <c r="F364" t="s">
        <v>47</v>
      </c>
      <c r="G364" t="s">
        <v>47</v>
      </c>
      <c r="H364" t="s">
        <v>47</v>
      </c>
      <c r="I364" t="s">
        <v>47</v>
      </c>
      <c r="J364" t="s">
        <v>47</v>
      </c>
      <c r="K364" t="s">
        <v>47</v>
      </c>
      <c r="L364" s="5" t="s">
        <v>51</v>
      </c>
      <c r="M364" t="s">
        <v>47</v>
      </c>
      <c r="N364" t="s">
        <v>47</v>
      </c>
      <c r="O364" t="s">
        <v>47</v>
      </c>
      <c r="P364" t="s">
        <v>47</v>
      </c>
      <c r="Q364" t="s">
        <v>47</v>
      </c>
      <c r="R364" t="s">
        <v>47</v>
      </c>
      <c r="S364" t="s">
        <v>47</v>
      </c>
      <c r="T364" t="s">
        <v>47</v>
      </c>
      <c r="U364" t="s">
        <v>47</v>
      </c>
      <c r="V364" t="s">
        <v>47</v>
      </c>
      <c r="W364" s="3">
        <v>34248</v>
      </c>
      <c r="X364" s="3">
        <v>34608</v>
      </c>
      <c r="Y364" t="s">
        <v>47</v>
      </c>
      <c r="Z364" s="3">
        <v>34248</v>
      </c>
      <c r="AA364" s="3">
        <v>34608</v>
      </c>
      <c r="AB364" t="s">
        <v>47</v>
      </c>
      <c r="AC364" s="3">
        <v>34248</v>
      </c>
      <c r="AD364" s="3">
        <v>34608</v>
      </c>
      <c r="AE364" t="s">
        <v>47</v>
      </c>
      <c r="AF364" t="s">
        <v>47</v>
      </c>
      <c r="AG364" t="s">
        <v>47</v>
      </c>
      <c r="AH364" t="s">
        <v>47</v>
      </c>
      <c r="AI364" t="s">
        <v>47</v>
      </c>
      <c r="AJ364" t="s">
        <v>47</v>
      </c>
      <c r="AK364" t="s">
        <v>47</v>
      </c>
      <c r="AL364" t="s">
        <v>47</v>
      </c>
      <c r="AM364" t="s">
        <v>47</v>
      </c>
      <c r="AN364" t="s">
        <v>47</v>
      </c>
      <c r="AO364" s="5" t="s">
        <v>51</v>
      </c>
      <c r="AP364" s="4" t="s">
        <v>85</v>
      </c>
      <c r="AQ364" s="4" t="s">
        <v>53</v>
      </c>
      <c r="AR364" s="4" t="s">
        <v>1622</v>
      </c>
      <c r="AS364" s="5">
        <v>10928</v>
      </c>
      <c r="AT364" t="s">
        <v>47</v>
      </c>
    </row>
    <row r="365" spans="1:46" ht="26" x14ac:dyDescent="0.3">
      <c r="A365" s="4" t="s">
        <v>1623</v>
      </c>
      <c r="B365" t="s">
        <v>47</v>
      </c>
      <c r="C365" s="4" t="s">
        <v>1624</v>
      </c>
      <c r="D365" s="4" t="s">
        <v>1625</v>
      </c>
      <c r="E365" s="4" t="s">
        <v>603</v>
      </c>
      <c r="F365" s="5" t="s">
        <v>1626</v>
      </c>
      <c r="G365" s="5" t="s">
        <v>1627</v>
      </c>
      <c r="H365" t="s">
        <v>47</v>
      </c>
      <c r="I365" s="3">
        <v>41275</v>
      </c>
      <c r="J365" s="5" t="s">
        <v>50</v>
      </c>
      <c r="K365" t="s">
        <v>47</v>
      </c>
      <c r="L365" s="5" t="s">
        <v>60</v>
      </c>
      <c r="M365" s="3">
        <v>41275</v>
      </c>
      <c r="N365" s="5" t="s">
        <v>50</v>
      </c>
      <c r="O365" t="s">
        <v>47</v>
      </c>
      <c r="P365" s="3">
        <v>41275</v>
      </c>
      <c r="Q365" s="5" t="s">
        <v>50</v>
      </c>
      <c r="R365" t="s">
        <v>47</v>
      </c>
      <c r="S365" t="s">
        <v>47</v>
      </c>
      <c r="T365" t="s">
        <v>47</v>
      </c>
      <c r="U365" t="s">
        <v>47</v>
      </c>
      <c r="V365" t="s">
        <v>47</v>
      </c>
      <c r="W365" s="3">
        <v>41275</v>
      </c>
      <c r="X365" s="5" t="s">
        <v>50</v>
      </c>
      <c r="Y365" t="s">
        <v>47</v>
      </c>
      <c r="Z365" s="3">
        <v>41275</v>
      </c>
      <c r="AA365" s="5" t="s">
        <v>50</v>
      </c>
      <c r="AB365" t="s">
        <v>47</v>
      </c>
      <c r="AC365" s="3">
        <v>41275</v>
      </c>
      <c r="AD365" s="5" t="s">
        <v>50</v>
      </c>
      <c r="AE365" t="s">
        <v>47</v>
      </c>
      <c r="AF365" t="s">
        <v>47</v>
      </c>
      <c r="AG365" t="s">
        <v>47</v>
      </c>
      <c r="AH365" t="s">
        <v>47</v>
      </c>
      <c r="AI365" t="s">
        <v>47</v>
      </c>
      <c r="AJ365" t="s">
        <v>47</v>
      </c>
      <c r="AK365" t="s">
        <v>47</v>
      </c>
      <c r="AL365" t="s">
        <v>47</v>
      </c>
      <c r="AM365" t="s">
        <v>47</v>
      </c>
      <c r="AN365" t="s">
        <v>47</v>
      </c>
      <c r="AO365" s="5" t="s">
        <v>60</v>
      </c>
      <c r="AP365" s="4" t="s">
        <v>61</v>
      </c>
      <c r="AQ365" s="4" t="s">
        <v>261</v>
      </c>
      <c r="AR365" s="4" t="s">
        <v>167</v>
      </c>
      <c r="AS365" s="5">
        <v>2035072</v>
      </c>
      <c r="AT365" t="s">
        <v>47</v>
      </c>
    </row>
    <row r="366" spans="1:46" ht="78" x14ac:dyDescent="0.3">
      <c r="A366" s="4" t="s">
        <v>1628</v>
      </c>
      <c r="B366" t="s">
        <v>47</v>
      </c>
      <c r="C366" s="4" t="s">
        <v>470</v>
      </c>
      <c r="D366" s="4" t="s">
        <v>748</v>
      </c>
      <c r="E366" s="4" t="s">
        <v>66</v>
      </c>
      <c r="F366" s="5" t="s">
        <v>1629</v>
      </c>
      <c r="G366" s="5" t="s">
        <v>1630</v>
      </c>
      <c r="H366" t="s">
        <v>47</v>
      </c>
      <c r="I366" t="s">
        <v>47</v>
      </c>
      <c r="J366" t="s">
        <v>47</v>
      </c>
      <c r="K366" t="s">
        <v>47</v>
      </c>
      <c r="L366" s="5" t="s">
        <v>60</v>
      </c>
      <c r="M366" t="s">
        <v>47</v>
      </c>
      <c r="N366" t="s">
        <v>47</v>
      </c>
      <c r="O366" t="s">
        <v>47</v>
      </c>
      <c r="P366" t="s">
        <v>47</v>
      </c>
      <c r="Q366" t="s">
        <v>47</v>
      </c>
      <c r="R366" t="s">
        <v>47</v>
      </c>
      <c r="S366" t="s">
        <v>47</v>
      </c>
      <c r="T366" t="s">
        <v>47</v>
      </c>
      <c r="U366" t="s">
        <v>47</v>
      </c>
      <c r="V366" t="s">
        <v>47</v>
      </c>
      <c r="W366" s="3">
        <v>36892</v>
      </c>
      <c r="X366" s="3">
        <v>40087</v>
      </c>
      <c r="Y366" t="s">
        <v>47</v>
      </c>
      <c r="Z366" s="3">
        <v>36892</v>
      </c>
      <c r="AA366" s="3">
        <v>40087</v>
      </c>
      <c r="AB366" t="s">
        <v>47</v>
      </c>
      <c r="AC366" s="3">
        <v>36892</v>
      </c>
      <c r="AD366" s="3">
        <v>40087</v>
      </c>
      <c r="AE366" t="s">
        <v>47</v>
      </c>
      <c r="AF366" t="s">
        <v>47</v>
      </c>
      <c r="AG366" t="s">
        <v>47</v>
      </c>
      <c r="AH366" t="s">
        <v>47</v>
      </c>
      <c r="AI366" t="s">
        <v>47</v>
      </c>
      <c r="AJ366" t="s">
        <v>47</v>
      </c>
      <c r="AK366" t="s">
        <v>47</v>
      </c>
      <c r="AL366" t="s">
        <v>47</v>
      </c>
      <c r="AM366" t="s">
        <v>47</v>
      </c>
      <c r="AN366" t="s">
        <v>47</v>
      </c>
      <c r="AO366" s="5" t="s">
        <v>60</v>
      </c>
      <c r="AP366" s="4" t="s">
        <v>61</v>
      </c>
      <c r="AQ366" s="4" t="s">
        <v>53</v>
      </c>
      <c r="AR366" s="4" t="s">
        <v>577</v>
      </c>
      <c r="AS366" s="5">
        <v>40843</v>
      </c>
      <c r="AT366" t="s">
        <v>47</v>
      </c>
    </row>
    <row r="367" spans="1:46" ht="91" x14ac:dyDescent="0.3">
      <c r="A367" s="4" t="s">
        <v>1631</v>
      </c>
      <c r="B367" t="s">
        <v>47</v>
      </c>
      <c r="C367" s="4" t="s">
        <v>122</v>
      </c>
      <c r="D367" s="4" t="s">
        <v>70</v>
      </c>
      <c r="E367" s="4" t="s">
        <v>123</v>
      </c>
      <c r="F367" s="5" t="s">
        <v>1632</v>
      </c>
      <c r="G367" s="5" t="s">
        <v>1633</v>
      </c>
      <c r="H367" t="s">
        <v>47</v>
      </c>
      <c r="I367" s="3">
        <v>35490</v>
      </c>
      <c r="J367" s="5" t="s">
        <v>50</v>
      </c>
      <c r="K367" t="s">
        <v>47</v>
      </c>
      <c r="L367" s="5" t="s">
        <v>60</v>
      </c>
      <c r="M367" s="3">
        <v>38047</v>
      </c>
      <c r="N367" s="3">
        <v>43586</v>
      </c>
      <c r="O367" s="5" t="s">
        <v>788</v>
      </c>
      <c r="P367" s="3">
        <v>35490</v>
      </c>
      <c r="Q367" s="5" t="s">
        <v>50</v>
      </c>
      <c r="R367" t="s">
        <v>47</v>
      </c>
      <c r="S367" t="s">
        <v>47</v>
      </c>
      <c r="T367" t="s">
        <v>47</v>
      </c>
      <c r="U367" t="s">
        <v>47</v>
      </c>
      <c r="V367" s="5">
        <v>365</v>
      </c>
      <c r="W367" s="3">
        <v>35490</v>
      </c>
      <c r="X367" s="5" t="s">
        <v>50</v>
      </c>
      <c r="Y367" t="s">
        <v>47</v>
      </c>
      <c r="Z367" s="3">
        <v>35490</v>
      </c>
      <c r="AA367" s="5" t="s">
        <v>50</v>
      </c>
      <c r="AB367" t="s">
        <v>47</v>
      </c>
      <c r="AC367" s="3">
        <v>35490</v>
      </c>
      <c r="AD367" s="5" t="s">
        <v>50</v>
      </c>
      <c r="AE367" t="s">
        <v>47</v>
      </c>
      <c r="AF367" t="s">
        <v>47</v>
      </c>
      <c r="AG367" t="s">
        <v>47</v>
      </c>
      <c r="AH367" t="s">
        <v>47</v>
      </c>
      <c r="AI367" t="s">
        <v>47</v>
      </c>
      <c r="AJ367" t="s">
        <v>47</v>
      </c>
      <c r="AK367" t="s">
        <v>47</v>
      </c>
      <c r="AL367" t="s">
        <v>47</v>
      </c>
      <c r="AM367" t="s">
        <v>47</v>
      </c>
      <c r="AN367" t="s">
        <v>47</v>
      </c>
      <c r="AO367" s="5" t="s">
        <v>60</v>
      </c>
      <c r="AP367" s="4" t="s">
        <v>61</v>
      </c>
      <c r="AQ367" s="4" t="s">
        <v>53</v>
      </c>
      <c r="AR367" s="4" t="s">
        <v>1634</v>
      </c>
      <c r="AS367" s="5">
        <v>54020</v>
      </c>
      <c r="AT367" t="s">
        <v>47</v>
      </c>
    </row>
    <row r="368" spans="1:46" ht="13" x14ac:dyDescent="0.3">
      <c r="A368" s="4" t="s">
        <v>1635</v>
      </c>
      <c r="B368" t="s">
        <v>47</v>
      </c>
      <c r="C368" s="4" t="s">
        <v>1357</v>
      </c>
      <c r="D368" s="4" t="s">
        <v>1352</v>
      </c>
      <c r="E368" s="4" t="s">
        <v>49</v>
      </c>
      <c r="F368" s="5" t="s">
        <v>1636</v>
      </c>
      <c r="G368" s="5" t="s">
        <v>1637</v>
      </c>
      <c r="H368" t="s">
        <v>47</v>
      </c>
      <c r="I368" t="s">
        <v>47</v>
      </c>
      <c r="J368" t="s">
        <v>47</v>
      </c>
      <c r="K368" t="s">
        <v>47</v>
      </c>
      <c r="L368" s="5" t="s">
        <v>60</v>
      </c>
      <c r="M368" t="s">
        <v>47</v>
      </c>
      <c r="N368" t="s">
        <v>47</v>
      </c>
      <c r="O368" t="s">
        <v>47</v>
      </c>
      <c r="P368" t="s">
        <v>47</v>
      </c>
      <c r="Q368" t="s">
        <v>47</v>
      </c>
      <c r="R368" t="s">
        <v>47</v>
      </c>
      <c r="S368" t="s">
        <v>47</v>
      </c>
      <c r="T368" t="s">
        <v>47</v>
      </c>
      <c r="U368" t="s">
        <v>47</v>
      </c>
      <c r="V368" t="s">
        <v>47</v>
      </c>
      <c r="W368" s="3">
        <v>35796</v>
      </c>
      <c r="X368" s="3">
        <v>35796</v>
      </c>
      <c r="Y368" t="s">
        <v>47</v>
      </c>
      <c r="Z368" s="3">
        <v>35796</v>
      </c>
      <c r="AA368" s="3">
        <v>35796</v>
      </c>
      <c r="AB368" t="s">
        <v>47</v>
      </c>
      <c r="AC368" t="s">
        <v>47</v>
      </c>
      <c r="AD368" t="s">
        <v>47</v>
      </c>
      <c r="AE368" t="s">
        <v>47</v>
      </c>
      <c r="AF368" t="s">
        <v>47</v>
      </c>
      <c r="AG368" t="s">
        <v>47</v>
      </c>
      <c r="AH368" t="s">
        <v>47</v>
      </c>
      <c r="AI368" t="s">
        <v>47</v>
      </c>
      <c r="AJ368" t="s">
        <v>47</v>
      </c>
      <c r="AK368" t="s">
        <v>47</v>
      </c>
      <c r="AL368" t="s">
        <v>47</v>
      </c>
      <c r="AM368" t="s">
        <v>47</v>
      </c>
      <c r="AN368" t="s">
        <v>47</v>
      </c>
      <c r="AO368" s="5" t="s">
        <v>60</v>
      </c>
      <c r="AP368" s="4" t="s">
        <v>61</v>
      </c>
      <c r="AQ368" s="4" t="s">
        <v>53</v>
      </c>
      <c r="AR368" s="4" t="s">
        <v>54</v>
      </c>
      <c r="AS368" s="5">
        <v>46416</v>
      </c>
      <c r="AT368" t="s">
        <v>47</v>
      </c>
    </row>
    <row r="369" spans="1:46" ht="26" x14ac:dyDescent="0.3">
      <c r="A369" s="4" t="s">
        <v>1638</v>
      </c>
      <c r="B369" t="s">
        <v>47</v>
      </c>
      <c r="C369" s="4" t="s">
        <v>169</v>
      </c>
      <c r="D369" s="4" t="s">
        <v>319</v>
      </c>
      <c r="E369" s="4" t="s">
        <v>66</v>
      </c>
      <c r="F369" s="5" t="s">
        <v>1639</v>
      </c>
      <c r="G369" s="5" t="s">
        <v>1640</v>
      </c>
      <c r="H369" t="s">
        <v>47</v>
      </c>
      <c r="I369" t="s">
        <v>47</v>
      </c>
      <c r="J369" t="s">
        <v>47</v>
      </c>
      <c r="K369" t="s">
        <v>47</v>
      </c>
      <c r="L369" s="5" t="s">
        <v>60</v>
      </c>
      <c r="M369" t="s">
        <v>47</v>
      </c>
      <c r="N369" t="s">
        <v>47</v>
      </c>
      <c r="O369" t="s">
        <v>47</v>
      </c>
      <c r="P369" t="s">
        <v>47</v>
      </c>
      <c r="Q369" t="s">
        <v>47</v>
      </c>
      <c r="R369" t="s">
        <v>47</v>
      </c>
      <c r="S369" t="s">
        <v>47</v>
      </c>
      <c r="T369" t="s">
        <v>47</v>
      </c>
      <c r="U369" t="s">
        <v>47</v>
      </c>
      <c r="V369" t="s">
        <v>47</v>
      </c>
      <c r="W369" s="3">
        <v>40179</v>
      </c>
      <c r="X369" s="5" t="s">
        <v>50</v>
      </c>
      <c r="Y369" t="s">
        <v>47</v>
      </c>
      <c r="Z369" s="3">
        <v>40179</v>
      </c>
      <c r="AA369" s="5" t="s">
        <v>50</v>
      </c>
      <c r="AB369" t="s">
        <v>47</v>
      </c>
      <c r="AC369" s="3">
        <v>40179</v>
      </c>
      <c r="AD369" s="5" t="s">
        <v>50</v>
      </c>
      <c r="AE369" t="s">
        <v>47</v>
      </c>
      <c r="AF369" t="s">
        <v>47</v>
      </c>
      <c r="AG369" t="s">
        <v>47</v>
      </c>
      <c r="AH369" t="s">
        <v>47</v>
      </c>
      <c r="AI369" t="s">
        <v>47</v>
      </c>
      <c r="AJ369" t="s">
        <v>47</v>
      </c>
      <c r="AK369" t="s">
        <v>47</v>
      </c>
      <c r="AL369" t="s">
        <v>47</v>
      </c>
      <c r="AM369" t="s">
        <v>47</v>
      </c>
      <c r="AN369" t="s">
        <v>47</v>
      </c>
      <c r="AO369" s="5" t="s">
        <v>60</v>
      </c>
      <c r="AP369" s="4" t="s">
        <v>61</v>
      </c>
      <c r="AQ369" s="4" t="s">
        <v>53</v>
      </c>
      <c r="AR369" s="4" t="s">
        <v>807</v>
      </c>
      <c r="AS369" s="5">
        <v>536298</v>
      </c>
      <c r="AT369" t="s">
        <v>47</v>
      </c>
    </row>
    <row r="370" spans="1:46" ht="78" x14ac:dyDescent="0.3">
      <c r="A370" s="4" t="s">
        <v>1641</v>
      </c>
      <c r="B370" t="s">
        <v>47</v>
      </c>
      <c r="C370" s="4" t="s">
        <v>354</v>
      </c>
      <c r="D370" s="4" t="s">
        <v>217</v>
      </c>
      <c r="E370" s="4" t="s">
        <v>49</v>
      </c>
      <c r="F370" s="5" t="s">
        <v>1642</v>
      </c>
      <c r="G370" t="s">
        <v>47</v>
      </c>
      <c r="H370" t="s">
        <v>47</v>
      </c>
      <c r="I370" s="3">
        <v>38961</v>
      </c>
      <c r="J370" s="3">
        <v>42339</v>
      </c>
      <c r="K370" t="s">
        <v>47</v>
      </c>
      <c r="L370" s="5" t="s">
        <v>51</v>
      </c>
      <c r="M370" s="3">
        <v>38961</v>
      </c>
      <c r="N370" s="3">
        <v>42339</v>
      </c>
      <c r="O370" t="s">
        <v>47</v>
      </c>
      <c r="P370" s="3">
        <v>38961</v>
      </c>
      <c r="Q370" s="3">
        <v>42339</v>
      </c>
      <c r="R370" t="s">
        <v>47</v>
      </c>
      <c r="S370" t="s">
        <v>47</v>
      </c>
      <c r="T370" t="s">
        <v>47</v>
      </c>
      <c r="U370" t="s">
        <v>47</v>
      </c>
      <c r="V370" t="s">
        <v>47</v>
      </c>
      <c r="W370" s="3">
        <v>38961</v>
      </c>
      <c r="X370" s="3">
        <v>42339</v>
      </c>
      <c r="Y370" t="s">
        <v>47</v>
      </c>
      <c r="Z370" s="3">
        <v>38961</v>
      </c>
      <c r="AA370" s="3">
        <v>42339</v>
      </c>
      <c r="AB370" t="s">
        <v>47</v>
      </c>
      <c r="AC370" s="3">
        <v>38961</v>
      </c>
      <c r="AD370" s="3">
        <v>42339</v>
      </c>
      <c r="AE370" t="s">
        <v>47</v>
      </c>
      <c r="AF370" t="s">
        <v>47</v>
      </c>
      <c r="AG370" t="s">
        <v>47</v>
      </c>
      <c r="AH370" t="s">
        <v>47</v>
      </c>
      <c r="AI370" t="s">
        <v>47</v>
      </c>
      <c r="AJ370" t="s">
        <v>47</v>
      </c>
      <c r="AK370" t="s">
        <v>47</v>
      </c>
      <c r="AL370" t="s">
        <v>47</v>
      </c>
      <c r="AM370" t="s">
        <v>47</v>
      </c>
      <c r="AN370" t="s">
        <v>47</v>
      </c>
      <c r="AO370" s="5" t="s">
        <v>51</v>
      </c>
      <c r="AP370" s="4" t="s">
        <v>85</v>
      </c>
      <c r="AQ370" s="4" t="s">
        <v>53</v>
      </c>
      <c r="AR370" s="4" t="s">
        <v>436</v>
      </c>
      <c r="AS370" s="5">
        <v>52470</v>
      </c>
      <c r="AT370" t="s">
        <v>47</v>
      </c>
    </row>
    <row r="371" spans="1:46" ht="39" x14ac:dyDescent="0.3">
      <c r="A371" s="4" t="s">
        <v>1643</v>
      </c>
      <c r="B371" t="s">
        <v>47</v>
      </c>
      <c r="C371" s="4" t="s">
        <v>169</v>
      </c>
      <c r="D371" s="4" t="s">
        <v>339</v>
      </c>
      <c r="E371" s="4" t="s">
        <v>66</v>
      </c>
      <c r="F371" s="5" t="s">
        <v>1644</v>
      </c>
      <c r="G371" s="5" t="s">
        <v>1645</v>
      </c>
      <c r="H371" t="s">
        <v>47</v>
      </c>
      <c r="I371" t="s">
        <v>47</v>
      </c>
      <c r="J371" t="s">
        <v>47</v>
      </c>
      <c r="K371" t="s">
        <v>47</v>
      </c>
      <c r="L371" s="5" t="s">
        <v>60</v>
      </c>
      <c r="M371" t="s">
        <v>47</v>
      </c>
      <c r="N371" t="s">
        <v>47</v>
      </c>
      <c r="O371" t="s">
        <v>47</v>
      </c>
      <c r="P371" t="s">
        <v>47</v>
      </c>
      <c r="Q371" t="s">
        <v>47</v>
      </c>
      <c r="R371" t="s">
        <v>47</v>
      </c>
      <c r="S371" t="s">
        <v>47</v>
      </c>
      <c r="T371" t="s">
        <v>47</v>
      </c>
      <c r="U371" t="s">
        <v>47</v>
      </c>
      <c r="V371" t="s">
        <v>47</v>
      </c>
      <c r="W371" s="3">
        <v>40179</v>
      </c>
      <c r="X371" s="5" t="s">
        <v>50</v>
      </c>
      <c r="Y371" s="5" t="s">
        <v>811</v>
      </c>
      <c r="Z371" s="3">
        <v>40179</v>
      </c>
      <c r="AA371" s="5" t="s">
        <v>50</v>
      </c>
      <c r="AB371" s="5" t="s">
        <v>811</v>
      </c>
      <c r="AC371" s="3">
        <v>40179</v>
      </c>
      <c r="AD371" s="5" t="s">
        <v>50</v>
      </c>
      <c r="AE371" s="5" t="s">
        <v>811</v>
      </c>
      <c r="AF371" t="s">
        <v>47</v>
      </c>
      <c r="AG371" t="s">
        <v>47</v>
      </c>
      <c r="AH371" t="s">
        <v>47</v>
      </c>
      <c r="AI371" t="s">
        <v>47</v>
      </c>
      <c r="AJ371" t="s">
        <v>47</v>
      </c>
      <c r="AK371" t="s">
        <v>47</v>
      </c>
      <c r="AL371" t="s">
        <v>47</v>
      </c>
      <c r="AM371" t="s">
        <v>47</v>
      </c>
      <c r="AN371" t="s">
        <v>47</v>
      </c>
      <c r="AO371" s="5" t="s">
        <v>60</v>
      </c>
      <c r="AP371" s="4" t="s">
        <v>61</v>
      </c>
      <c r="AQ371" s="4" t="s">
        <v>53</v>
      </c>
      <c r="AR371" s="4" t="s">
        <v>1646</v>
      </c>
      <c r="AS371" s="5">
        <v>426783</v>
      </c>
      <c r="AT371" t="s">
        <v>47</v>
      </c>
    </row>
    <row r="372" spans="1:46" ht="39" x14ac:dyDescent="0.3">
      <c r="A372" s="4" t="s">
        <v>1647</v>
      </c>
      <c r="B372" t="s">
        <v>47</v>
      </c>
      <c r="C372" s="4" t="s">
        <v>1648</v>
      </c>
      <c r="D372" s="4" t="s">
        <v>1649</v>
      </c>
      <c r="E372" s="4" t="s">
        <v>156</v>
      </c>
      <c r="F372" s="5" t="s">
        <v>1650</v>
      </c>
      <c r="G372" s="5" t="s">
        <v>1651</v>
      </c>
      <c r="H372" t="s">
        <v>47</v>
      </c>
      <c r="I372" s="3">
        <v>40909</v>
      </c>
      <c r="J372" s="5" t="s">
        <v>50</v>
      </c>
      <c r="K372" t="s">
        <v>47</v>
      </c>
      <c r="L372" s="5" t="s">
        <v>60</v>
      </c>
      <c r="M372" s="3">
        <v>40909</v>
      </c>
      <c r="N372" s="5" t="s">
        <v>50</v>
      </c>
      <c r="O372" t="s">
        <v>47</v>
      </c>
      <c r="P372" s="3">
        <v>40909</v>
      </c>
      <c r="Q372" s="5" t="s">
        <v>50</v>
      </c>
      <c r="R372" t="s">
        <v>47</v>
      </c>
      <c r="S372" t="s">
        <v>47</v>
      </c>
      <c r="T372" t="s">
        <v>47</v>
      </c>
      <c r="U372" t="s">
        <v>47</v>
      </c>
      <c r="V372" t="s">
        <v>47</v>
      </c>
      <c r="W372" s="3">
        <v>40909</v>
      </c>
      <c r="X372" s="5" t="s">
        <v>50</v>
      </c>
      <c r="Y372" t="s">
        <v>47</v>
      </c>
      <c r="Z372" s="3">
        <v>40909</v>
      </c>
      <c r="AA372" s="5" t="s">
        <v>50</v>
      </c>
      <c r="AB372" t="s">
        <v>47</v>
      </c>
      <c r="AC372" s="3">
        <v>40909</v>
      </c>
      <c r="AD372" s="5" t="s">
        <v>50</v>
      </c>
      <c r="AE372" t="s">
        <v>47</v>
      </c>
      <c r="AF372" t="s">
        <v>47</v>
      </c>
      <c r="AG372" t="s">
        <v>47</v>
      </c>
      <c r="AH372" t="s">
        <v>47</v>
      </c>
      <c r="AI372" t="s">
        <v>47</v>
      </c>
      <c r="AJ372" t="s">
        <v>47</v>
      </c>
      <c r="AK372" t="s">
        <v>47</v>
      </c>
      <c r="AL372" t="s">
        <v>47</v>
      </c>
      <c r="AM372" t="s">
        <v>47</v>
      </c>
      <c r="AN372" t="s">
        <v>47</v>
      </c>
      <c r="AO372" s="5" t="s">
        <v>51</v>
      </c>
      <c r="AP372" s="4" t="s">
        <v>61</v>
      </c>
      <c r="AQ372" s="4" t="s">
        <v>922</v>
      </c>
      <c r="AR372" s="4" t="s">
        <v>62</v>
      </c>
      <c r="AS372" s="5">
        <v>2030580</v>
      </c>
      <c r="AT372" t="s">
        <v>47</v>
      </c>
    </row>
    <row r="373" spans="1:46" ht="91" x14ac:dyDescent="0.3">
      <c r="A373" s="4" t="s">
        <v>1652</v>
      </c>
      <c r="B373" t="s">
        <v>47</v>
      </c>
      <c r="C373" s="4" t="s">
        <v>1653</v>
      </c>
      <c r="D373" s="4" t="s">
        <v>1654</v>
      </c>
      <c r="E373" s="4" t="s">
        <v>156</v>
      </c>
      <c r="F373" t="s">
        <v>47</v>
      </c>
      <c r="G373" s="5" t="s">
        <v>1655</v>
      </c>
      <c r="H373" t="s">
        <v>47</v>
      </c>
      <c r="I373" s="3">
        <v>36161</v>
      </c>
      <c r="J373" s="5" t="s">
        <v>50</v>
      </c>
      <c r="K373" t="s">
        <v>47</v>
      </c>
      <c r="L373" s="5" t="s">
        <v>60</v>
      </c>
      <c r="M373" t="s">
        <v>47</v>
      </c>
      <c r="N373" t="s">
        <v>47</v>
      </c>
      <c r="O373" t="s">
        <v>47</v>
      </c>
      <c r="P373" s="3">
        <v>36161</v>
      </c>
      <c r="Q373" s="5" t="s">
        <v>50</v>
      </c>
      <c r="R373" t="s">
        <v>47</v>
      </c>
      <c r="S373" t="s">
        <v>47</v>
      </c>
      <c r="T373" t="s">
        <v>47</v>
      </c>
      <c r="U373" t="s">
        <v>47</v>
      </c>
      <c r="V373" t="s">
        <v>47</v>
      </c>
      <c r="W373" s="3">
        <v>36161</v>
      </c>
      <c r="X373" s="5" t="s">
        <v>50</v>
      </c>
      <c r="Y373" t="s">
        <v>47</v>
      </c>
      <c r="Z373" s="3">
        <v>36161</v>
      </c>
      <c r="AA373" s="5" t="s">
        <v>50</v>
      </c>
      <c r="AB373" t="s">
        <v>47</v>
      </c>
      <c r="AC373" s="3">
        <v>36161</v>
      </c>
      <c r="AD373" s="5" t="s">
        <v>50</v>
      </c>
      <c r="AE373" t="s">
        <v>47</v>
      </c>
      <c r="AF373" t="s">
        <v>47</v>
      </c>
      <c r="AG373" t="s">
        <v>47</v>
      </c>
      <c r="AH373" t="s">
        <v>47</v>
      </c>
      <c r="AI373" t="s">
        <v>47</v>
      </c>
      <c r="AJ373" t="s">
        <v>47</v>
      </c>
      <c r="AK373" t="s">
        <v>47</v>
      </c>
      <c r="AL373" t="s">
        <v>47</v>
      </c>
      <c r="AM373" t="s">
        <v>47</v>
      </c>
      <c r="AN373" t="s">
        <v>47</v>
      </c>
      <c r="AO373" s="5" t="s">
        <v>60</v>
      </c>
      <c r="AP373" s="4" t="s">
        <v>61</v>
      </c>
      <c r="AQ373" s="4" t="s">
        <v>922</v>
      </c>
      <c r="AR373" s="4" t="s">
        <v>1656</v>
      </c>
      <c r="AS373" s="5">
        <v>2029534</v>
      </c>
      <c r="AT373" t="s">
        <v>47</v>
      </c>
    </row>
    <row r="374" spans="1:46" ht="39" x14ac:dyDescent="0.3">
      <c r="A374" s="4" t="s">
        <v>1657</v>
      </c>
      <c r="B374" t="s">
        <v>47</v>
      </c>
      <c r="C374" s="4" t="s">
        <v>1658</v>
      </c>
      <c r="D374" s="4" t="s">
        <v>1659</v>
      </c>
      <c r="E374" s="4" t="s">
        <v>156</v>
      </c>
      <c r="F374" s="5" t="s">
        <v>1660</v>
      </c>
      <c r="G374" s="5" t="s">
        <v>1661</v>
      </c>
      <c r="H374" t="s">
        <v>47</v>
      </c>
      <c r="I374" s="3">
        <v>40544</v>
      </c>
      <c r="J374" s="3">
        <v>43647</v>
      </c>
      <c r="K374" t="s">
        <v>47</v>
      </c>
      <c r="L374" s="5" t="s">
        <v>60</v>
      </c>
      <c r="M374" t="s">
        <v>47</v>
      </c>
      <c r="N374" t="s">
        <v>47</v>
      </c>
      <c r="O374" t="s">
        <v>47</v>
      </c>
      <c r="P374" s="3">
        <v>40544</v>
      </c>
      <c r="Q374" s="3">
        <v>43647</v>
      </c>
      <c r="R374" t="s">
        <v>47</v>
      </c>
      <c r="S374" t="s">
        <v>47</v>
      </c>
      <c r="T374" t="s">
        <v>47</v>
      </c>
      <c r="U374" t="s">
        <v>47</v>
      </c>
      <c r="V374" t="s">
        <v>47</v>
      </c>
      <c r="W374" s="3">
        <v>40544</v>
      </c>
      <c r="X374" s="3">
        <v>43647</v>
      </c>
      <c r="Y374" t="s">
        <v>47</v>
      </c>
      <c r="Z374" s="3">
        <v>40544</v>
      </c>
      <c r="AA374" s="3">
        <v>43647</v>
      </c>
      <c r="AB374" t="s">
        <v>47</v>
      </c>
      <c r="AC374" s="3">
        <v>40544</v>
      </c>
      <c r="AD374" s="3">
        <v>43647</v>
      </c>
      <c r="AE374" t="s">
        <v>47</v>
      </c>
      <c r="AF374" t="s">
        <v>47</v>
      </c>
      <c r="AG374" t="s">
        <v>47</v>
      </c>
      <c r="AH374" t="s">
        <v>47</v>
      </c>
      <c r="AI374" t="s">
        <v>47</v>
      </c>
      <c r="AJ374" t="s">
        <v>47</v>
      </c>
      <c r="AK374" t="s">
        <v>47</v>
      </c>
      <c r="AL374" t="s">
        <v>47</v>
      </c>
      <c r="AM374" t="s">
        <v>47</v>
      </c>
      <c r="AN374" t="s">
        <v>47</v>
      </c>
      <c r="AO374" s="5" t="s">
        <v>60</v>
      </c>
      <c r="AP374" s="4" t="s">
        <v>61</v>
      </c>
      <c r="AQ374" s="4" t="s">
        <v>922</v>
      </c>
      <c r="AR374" s="4" t="s">
        <v>54</v>
      </c>
      <c r="AS374" s="5">
        <v>2040961</v>
      </c>
      <c r="AT374" t="s">
        <v>47</v>
      </c>
    </row>
    <row r="375" spans="1:46" ht="26" x14ac:dyDescent="0.3">
      <c r="A375" s="4" t="s">
        <v>1662</v>
      </c>
      <c r="B375" t="s">
        <v>47</v>
      </c>
      <c r="C375" s="4" t="s">
        <v>1663</v>
      </c>
      <c r="D375" s="4" t="s">
        <v>1664</v>
      </c>
      <c r="E375" s="4" t="s">
        <v>156</v>
      </c>
      <c r="F375" s="5" t="s">
        <v>1665</v>
      </c>
      <c r="G375" s="5" t="s">
        <v>1666</v>
      </c>
      <c r="H375" t="s">
        <v>47</v>
      </c>
      <c r="I375" s="3">
        <v>42278</v>
      </c>
      <c r="J375" s="3">
        <v>44298</v>
      </c>
      <c r="K375" t="s">
        <v>47</v>
      </c>
      <c r="L375" s="5" t="s">
        <v>60</v>
      </c>
      <c r="M375" s="3">
        <v>42278</v>
      </c>
      <c r="N375" s="3">
        <v>44298</v>
      </c>
      <c r="O375" t="s">
        <v>47</v>
      </c>
      <c r="P375" s="3">
        <v>42278</v>
      </c>
      <c r="Q375" s="3">
        <v>44298</v>
      </c>
      <c r="R375" t="s">
        <v>47</v>
      </c>
      <c r="S375" t="s">
        <v>47</v>
      </c>
      <c r="T375" t="s">
        <v>47</v>
      </c>
      <c r="U375" t="s">
        <v>47</v>
      </c>
      <c r="V375" t="s">
        <v>47</v>
      </c>
      <c r="W375" s="3">
        <v>42278</v>
      </c>
      <c r="X375" s="3">
        <v>44298</v>
      </c>
      <c r="Y375" t="s">
        <v>47</v>
      </c>
      <c r="Z375" s="3">
        <v>42278</v>
      </c>
      <c r="AA375" s="3">
        <v>44298</v>
      </c>
      <c r="AB375" t="s">
        <v>47</v>
      </c>
      <c r="AC375" s="3">
        <v>42278</v>
      </c>
      <c r="AD375" s="3">
        <v>44298</v>
      </c>
      <c r="AE375" t="s">
        <v>47</v>
      </c>
      <c r="AF375" t="s">
        <v>47</v>
      </c>
      <c r="AG375" t="s">
        <v>47</v>
      </c>
      <c r="AH375" t="s">
        <v>47</v>
      </c>
      <c r="AI375" t="s">
        <v>47</v>
      </c>
      <c r="AJ375" t="s">
        <v>47</v>
      </c>
      <c r="AK375" t="s">
        <v>47</v>
      </c>
      <c r="AL375" t="s">
        <v>47</v>
      </c>
      <c r="AM375" t="s">
        <v>47</v>
      </c>
      <c r="AN375" t="s">
        <v>47</v>
      </c>
      <c r="AO375" s="5" t="s">
        <v>60</v>
      </c>
      <c r="AP375" s="4" t="s">
        <v>61</v>
      </c>
      <c r="AQ375" s="4" t="s">
        <v>922</v>
      </c>
      <c r="AR375" s="4" t="s">
        <v>54</v>
      </c>
      <c r="AS375" s="5">
        <v>2047726</v>
      </c>
      <c r="AT375" t="s">
        <v>47</v>
      </c>
    </row>
    <row r="376" spans="1:46" ht="78" x14ac:dyDescent="0.3">
      <c r="A376" s="4" t="s">
        <v>1667</v>
      </c>
      <c r="B376" t="s">
        <v>47</v>
      </c>
      <c r="C376" s="4" t="s">
        <v>1668</v>
      </c>
      <c r="D376" s="4" t="s">
        <v>1669</v>
      </c>
      <c r="E376" s="4" t="s">
        <v>603</v>
      </c>
      <c r="F376" s="5" t="s">
        <v>1670</v>
      </c>
      <c r="G376" s="5" t="s">
        <v>1671</v>
      </c>
      <c r="H376" t="s">
        <v>47</v>
      </c>
      <c r="I376" s="3">
        <v>42370</v>
      </c>
      <c r="J376" s="5" t="s">
        <v>50</v>
      </c>
      <c r="K376" t="s">
        <v>47</v>
      </c>
      <c r="L376" s="5" t="s">
        <v>60</v>
      </c>
      <c r="M376" t="s">
        <v>47</v>
      </c>
      <c r="N376" t="s">
        <v>47</v>
      </c>
      <c r="O376" t="s">
        <v>47</v>
      </c>
      <c r="P376" s="3">
        <v>42370</v>
      </c>
      <c r="Q376" s="5" t="s">
        <v>50</v>
      </c>
      <c r="R376" t="s">
        <v>47</v>
      </c>
      <c r="S376" t="s">
        <v>47</v>
      </c>
      <c r="T376" t="s">
        <v>47</v>
      </c>
      <c r="U376" t="s">
        <v>47</v>
      </c>
      <c r="V376" t="s">
        <v>47</v>
      </c>
      <c r="W376" s="3">
        <v>42370</v>
      </c>
      <c r="X376" s="5" t="s">
        <v>50</v>
      </c>
      <c r="Y376" t="s">
        <v>47</v>
      </c>
      <c r="Z376" s="3">
        <v>42370</v>
      </c>
      <c r="AA376" s="5" t="s">
        <v>50</v>
      </c>
      <c r="AB376" t="s">
        <v>47</v>
      </c>
      <c r="AC376" s="3">
        <v>42370</v>
      </c>
      <c r="AD376" s="5" t="s">
        <v>50</v>
      </c>
      <c r="AE376" t="s">
        <v>47</v>
      </c>
      <c r="AF376" t="s">
        <v>47</v>
      </c>
      <c r="AG376" t="s">
        <v>47</v>
      </c>
      <c r="AH376" t="s">
        <v>47</v>
      </c>
      <c r="AI376" t="s">
        <v>47</v>
      </c>
      <c r="AJ376" t="s">
        <v>47</v>
      </c>
      <c r="AK376" t="s">
        <v>47</v>
      </c>
      <c r="AL376" t="s">
        <v>47</v>
      </c>
      <c r="AM376" t="s">
        <v>47</v>
      </c>
      <c r="AN376" t="s">
        <v>47</v>
      </c>
      <c r="AO376" s="5" t="s">
        <v>60</v>
      </c>
      <c r="AP376" s="4" t="s">
        <v>61</v>
      </c>
      <c r="AQ376" s="4" t="s">
        <v>119</v>
      </c>
      <c r="AR376" s="4" t="s">
        <v>1672</v>
      </c>
      <c r="AS376" s="5">
        <v>2045082</v>
      </c>
      <c r="AT376" t="s">
        <v>47</v>
      </c>
    </row>
    <row r="377" spans="1:46" ht="39" x14ac:dyDescent="0.3">
      <c r="A377" s="4" t="s">
        <v>1673</v>
      </c>
      <c r="B377" t="s">
        <v>47</v>
      </c>
      <c r="C377" s="4" t="s">
        <v>497</v>
      </c>
      <c r="D377" s="4" t="s">
        <v>498</v>
      </c>
      <c r="E377" s="4" t="s">
        <v>499</v>
      </c>
      <c r="F377" s="5" t="s">
        <v>1674</v>
      </c>
      <c r="G377" s="5" t="s">
        <v>1675</v>
      </c>
      <c r="H377" t="s">
        <v>47</v>
      </c>
      <c r="I377" s="3">
        <v>37257</v>
      </c>
      <c r="J377" s="3">
        <v>44197</v>
      </c>
      <c r="K377" t="s">
        <v>47</v>
      </c>
      <c r="L377" s="5" t="s">
        <v>60</v>
      </c>
      <c r="M377" s="3">
        <v>37257</v>
      </c>
      <c r="N377" s="3">
        <v>44197</v>
      </c>
      <c r="O377" s="5" t="s">
        <v>1676</v>
      </c>
      <c r="P377" s="3">
        <v>37257</v>
      </c>
      <c r="Q377" s="3">
        <v>44197</v>
      </c>
      <c r="R377" t="s">
        <v>47</v>
      </c>
      <c r="S377" t="s">
        <v>47</v>
      </c>
      <c r="T377" t="s">
        <v>47</v>
      </c>
      <c r="U377" t="s">
        <v>47</v>
      </c>
      <c r="V377" t="s">
        <v>47</v>
      </c>
      <c r="W377" s="3">
        <v>37257</v>
      </c>
      <c r="X377" s="3">
        <v>44197</v>
      </c>
      <c r="Y377" t="s">
        <v>47</v>
      </c>
      <c r="Z377" s="3">
        <v>37257</v>
      </c>
      <c r="AA377" s="3">
        <v>44197</v>
      </c>
      <c r="AB377" t="s">
        <v>47</v>
      </c>
      <c r="AC377" s="3">
        <v>37257</v>
      </c>
      <c r="AD377" s="3">
        <v>44197</v>
      </c>
      <c r="AE377" t="s">
        <v>47</v>
      </c>
      <c r="AF377" t="s">
        <v>47</v>
      </c>
      <c r="AG377" t="s">
        <v>47</v>
      </c>
      <c r="AH377" t="s">
        <v>47</v>
      </c>
      <c r="AI377" t="s">
        <v>47</v>
      </c>
      <c r="AJ377" t="s">
        <v>47</v>
      </c>
      <c r="AK377" t="s">
        <v>47</v>
      </c>
      <c r="AL377" t="s">
        <v>47</v>
      </c>
      <c r="AM377" t="s">
        <v>47</v>
      </c>
      <c r="AN377" t="s">
        <v>47</v>
      </c>
      <c r="AO377" s="5" t="s">
        <v>60</v>
      </c>
      <c r="AP377" s="4" t="s">
        <v>61</v>
      </c>
      <c r="AQ377" s="4" t="s">
        <v>1677</v>
      </c>
      <c r="AR377" s="4" t="s">
        <v>1678</v>
      </c>
      <c r="AS377" s="5">
        <v>2045938</v>
      </c>
      <c r="AT377" t="s">
        <v>47</v>
      </c>
    </row>
    <row r="378" spans="1:46" ht="26" x14ac:dyDescent="0.3">
      <c r="A378" s="4" t="s">
        <v>1679</v>
      </c>
      <c r="B378" t="s">
        <v>47</v>
      </c>
      <c r="C378" s="4" t="s">
        <v>1680</v>
      </c>
      <c r="D378" s="4" t="s">
        <v>1681</v>
      </c>
      <c r="E378" s="4" t="s">
        <v>603</v>
      </c>
      <c r="F378" s="5" t="s">
        <v>1682</v>
      </c>
      <c r="G378" s="5" t="s">
        <v>1683</v>
      </c>
      <c r="H378" t="s">
        <v>47</v>
      </c>
      <c r="I378" s="3">
        <v>35796</v>
      </c>
      <c r="J378" s="5" t="s">
        <v>50</v>
      </c>
      <c r="K378" t="s">
        <v>47</v>
      </c>
      <c r="L378" s="5" t="s">
        <v>60</v>
      </c>
      <c r="M378" s="3">
        <v>35796</v>
      </c>
      <c r="N378" s="5" t="s">
        <v>50</v>
      </c>
      <c r="O378" t="s">
        <v>47</v>
      </c>
      <c r="P378" s="3">
        <v>35796</v>
      </c>
      <c r="Q378" s="5" t="s">
        <v>50</v>
      </c>
      <c r="R378" t="s">
        <v>47</v>
      </c>
      <c r="S378" t="s">
        <v>47</v>
      </c>
      <c r="T378" t="s">
        <v>47</v>
      </c>
      <c r="U378" t="s">
        <v>47</v>
      </c>
      <c r="V378" t="s">
        <v>47</v>
      </c>
      <c r="W378" s="3">
        <v>35796</v>
      </c>
      <c r="X378" s="5" t="s">
        <v>50</v>
      </c>
      <c r="Y378" t="s">
        <v>47</v>
      </c>
      <c r="Z378" s="3">
        <v>35796</v>
      </c>
      <c r="AA378" s="5" t="s">
        <v>50</v>
      </c>
      <c r="AB378" t="s">
        <v>47</v>
      </c>
      <c r="AC378" s="3">
        <v>35796</v>
      </c>
      <c r="AD378" s="5" t="s">
        <v>50</v>
      </c>
      <c r="AE378" t="s">
        <v>47</v>
      </c>
      <c r="AF378" t="s">
        <v>47</v>
      </c>
      <c r="AG378" t="s">
        <v>47</v>
      </c>
      <c r="AH378" t="s">
        <v>47</v>
      </c>
      <c r="AI378" t="s">
        <v>47</v>
      </c>
      <c r="AJ378" t="s">
        <v>47</v>
      </c>
      <c r="AK378" t="s">
        <v>47</v>
      </c>
      <c r="AL378" t="s">
        <v>47</v>
      </c>
      <c r="AM378" t="s">
        <v>47</v>
      </c>
      <c r="AN378" t="s">
        <v>47</v>
      </c>
      <c r="AO378" s="5" t="s">
        <v>60</v>
      </c>
      <c r="AP378" s="4" t="s">
        <v>61</v>
      </c>
      <c r="AQ378" s="4" t="s">
        <v>119</v>
      </c>
      <c r="AR378" s="4" t="s">
        <v>54</v>
      </c>
      <c r="AS378" s="5">
        <v>1596379</v>
      </c>
      <c r="AT378" t="s">
        <v>47</v>
      </c>
    </row>
    <row r="379" spans="1:46" ht="13" x14ac:dyDescent="0.3">
      <c r="A379" s="4" t="s">
        <v>1684</v>
      </c>
      <c r="B379" t="s">
        <v>47</v>
      </c>
      <c r="C379" s="4" t="s">
        <v>1685</v>
      </c>
      <c r="D379" s="4" t="s">
        <v>1686</v>
      </c>
      <c r="E379" s="4" t="s">
        <v>1448</v>
      </c>
      <c r="F379" s="5" t="s">
        <v>1687</v>
      </c>
      <c r="G379" t="s">
        <v>47</v>
      </c>
      <c r="H379" t="s">
        <v>47</v>
      </c>
      <c r="I379" s="3">
        <v>40269</v>
      </c>
      <c r="J379" s="5" t="s">
        <v>50</v>
      </c>
      <c r="K379" t="s">
        <v>47</v>
      </c>
      <c r="L379" s="5" t="s">
        <v>60</v>
      </c>
      <c r="M379" s="3">
        <v>40269</v>
      </c>
      <c r="N379" s="5" t="s">
        <v>50</v>
      </c>
      <c r="O379" t="s">
        <v>47</v>
      </c>
      <c r="P379" s="3">
        <v>40269</v>
      </c>
      <c r="Q379" s="5" t="s">
        <v>50</v>
      </c>
      <c r="R379" t="s">
        <v>47</v>
      </c>
      <c r="S379" t="s">
        <v>47</v>
      </c>
      <c r="T379" t="s">
        <v>47</v>
      </c>
      <c r="U379" t="s">
        <v>47</v>
      </c>
      <c r="V379" t="s">
        <v>47</v>
      </c>
      <c r="W379" s="3">
        <v>40269</v>
      </c>
      <c r="X379" s="5" t="s">
        <v>50</v>
      </c>
      <c r="Y379" t="s">
        <v>47</v>
      </c>
      <c r="Z379" s="3">
        <v>40269</v>
      </c>
      <c r="AA379" s="5" t="s">
        <v>50</v>
      </c>
      <c r="AB379" t="s">
        <v>47</v>
      </c>
      <c r="AC379" s="3">
        <v>42856</v>
      </c>
      <c r="AD379" s="5" t="s">
        <v>50</v>
      </c>
      <c r="AE379" t="s">
        <v>47</v>
      </c>
      <c r="AF379" t="s">
        <v>47</v>
      </c>
      <c r="AG379" t="s">
        <v>47</v>
      </c>
      <c r="AH379" t="s">
        <v>47</v>
      </c>
      <c r="AI379" t="s">
        <v>47</v>
      </c>
      <c r="AJ379" t="s">
        <v>47</v>
      </c>
      <c r="AK379" t="s">
        <v>47</v>
      </c>
      <c r="AL379" t="s">
        <v>47</v>
      </c>
      <c r="AM379" t="s">
        <v>47</v>
      </c>
      <c r="AN379" t="s">
        <v>47</v>
      </c>
      <c r="AO379" s="5" t="s">
        <v>60</v>
      </c>
      <c r="AP379" s="4" t="s">
        <v>61</v>
      </c>
      <c r="AQ379" s="4" t="s">
        <v>119</v>
      </c>
      <c r="AR379" s="4" t="s">
        <v>54</v>
      </c>
      <c r="AS379" s="5">
        <v>186313</v>
      </c>
      <c r="AT379" t="s">
        <v>47</v>
      </c>
    </row>
    <row r="380" spans="1:46" ht="26" x14ac:dyDescent="0.3">
      <c r="A380" s="4" t="s">
        <v>1688</v>
      </c>
      <c r="B380" t="s">
        <v>47</v>
      </c>
      <c r="C380" s="4" t="s">
        <v>1689</v>
      </c>
      <c r="D380" s="4" t="s">
        <v>150</v>
      </c>
      <c r="E380" s="4" t="s">
        <v>151</v>
      </c>
      <c r="F380" s="5" t="s">
        <v>1690</v>
      </c>
      <c r="G380" s="5" t="s">
        <v>1691</v>
      </c>
      <c r="H380" t="s">
        <v>47</v>
      </c>
      <c r="I380" s="3">
        <v>41640</v>
      </c>
      <c r="J380" s="5" t="s">
        <v>50</v>
      </c>
      <c r="K380" t="s">
        <v>47</v>
      </c>
      <c r="L380" s="5" t="s">
        <v>60</v>
      </c>
      <c r="M380" s="3">
        <v>41640</v>
      </c>
      <c r="N380" s="5" t="s">
        <v>50</v>
      </c>
      <c r="O380" t="s">
        <v>47</v>
      </c>
      <c r="P380" s="3">
        <v>41640</v>
      </c>
      <c r="Q380" s="5" t="s">
        <v>50</v>
      </c>
      <c r="R380" t="s">
        <v>47</v>
      </c>
      <c r="S380" t="s">
        <v>47</v>
      </c>
      <c r="T380" t="s">
        <v>47</v>
      </c>
      <c r="U380" t="s">
        <v>47</v>
      </c>
      <c r="V380" t="s">
        <v>47</v>
      </c>
      <c r="W380" s="3">
        <v>41640</v>
      </c>
      <c r="X380" s="5" t="s">
        <v>50</v>
      </c>
      <c r="Y380" t="s">
        <v>47</v>
      </c>
      <c r="Z380" s="3">
        <v>41640</v>
      </c>
      <c r="AA380" s="5" t="s">
        <v>50</v>
      </c>
      <c r="AB380" t="s">
        <v>47</v>
      </c>
      <c r="AC380" s="3">
        <v>41640</v>
      </c>
      <c r="AD380" s="5" t="s">
        <v>50</v>
      </c>
      <c r="AE380" t="s">
        <v>47</v>
      </c>
      <c r="AF380" t="s">
        <v>47</v>
      </c>
      <c r="AG380" t="s">
        <v>47</v>
      </c>
      <c r="AH380" t="s">
        <v>47</v>
      </c>
      <c r="AI380" t="s">
        <v>47</v>
      </c>
      <c r="AJ380" t="s">
        <v>47</v>
      </c>
      <c r="AK380" t="s">
        <v>47</v>
      </c>
      <c r="AL380" t="s">
        <v>47</v>
      </c>
      <c r="AM380" t="s">
        <v>47</v>
      </c>
      <c r="AN380" t="s">
        <v>47</v>
      </c>
      <c r="AO380" s="5" t="s">
        <v>60</v>
      </c>
      <c r="AP380" s="4" t="s">
        <v>61</v>
      </c>
      <c r="AQ380" s="4" t="s">
        <v>53</v>
      </c>
      <c r="AR380" s="4" t="s">
        <v>54</v>
      </c>
      <c r="AS380" s="5">
        <v>2040141</v>
      </c>
      <c r="AT380" t="s">
        <v>47</v>
      </c>
    </row>
    <row r="381" spans="1:46" ht="26" x14ac:dyDescent="0.3">
      <c r="A381" s="4" t="s">
        <v>1692</v>
      </c>
      <c r="B381" t="s">
        <v>47</v>
      </c>
      <c r="C381" s="4" t="s">
        <v>1693</v>
      </c>
      <c r="D381" s="4" t="s">
        <v>1694</v>
      </c>
      <c r="E381" s="4" t="s">
        <v>603</v>
      </c>
      <c r="F381" s="5" t="s">
        <v>1695</v>
      </c>
      <c r="G381" s="5" t="s">
        <v>1696</v>
      </c>
      <c r="H381" t="s">
        <v>47</v>
      </c>
      <c r="I381" s="3">
        <v>41640</v>
      </c>
      <c r="J381" s="5" t="s">
        <v>50</v>
      </c>
      <c r="K381" t="s">
        <v>47</v>
      </c>
      <c r="L381" s="5" t="s">
        <v>60</v>
      </c>
      <c r="M381" s="3">
        <v>41640</v>
      </c>
      <c r="N381" s="5" t="s">
        <v>50</v>
      </c>
      <c r="O381" t="s">
        <v>47</v>
      </c>
      <c r="P381" s="3">
        <v>41640</v>
      </c>
      <c r="Q381" s="5" t="s">
        <v>50</v>
      </c>
      <c r="R381" t="s">
        <v>47</v>
      </c>
      <c r="S381" t="s">
        <v>47</v>
      </c>
      <c r="T381" t="s">
        <v>47</v>
      </c>
      <c r="U381" t="s">
        <v>47</v>
      </c>
      <c r="V381" t="s">
        <v>47</v>
      </c>
      <c r="W381" s="3">
        <v>41640</v>
      </c>
      <c r="X381" s="5" t="s">
        <v>50</v>
      </c>
      <c r="Y381" t="s">
        <v>47</v>
      </c>
      <c r="Z381" s="3">
        <v>41640</v>
      </c>
      <c r="AA381" s="5" t="s">
        <v>50</v>
      </c>
      <c r="AB381" t="s">
        <v>47</v>
      </c>
      <c r="AC381" s="3">
        <v>41640</v>
      </c>
      <c r="AD381" s="5" t="s">
        <v>50</v>
      </c>
      <c r="AE381" t="s">
        <v>47</v>
      </c>
      <c r="AF381" t="s">
        <v>47</v>
      </c>
      <c r="AG381" t="s">
        <v>47</v>
      </c>
      <c r="AH381" t="s">
        <v>47</v>
      </c>
      <c r="AI381" t="s">
        <v>47</v>
      </c>
      <c r="AJ381" t="s">
        <v>47</v>
      </c>
      <c r="AK381" t="s">
        <v>47</v>
      </c>
      <c r="AL381" t="s">
        <v>47</v>
      </c>
      <c r="AM381" t="s">
        <v>47</v>
      </c>
      <c r="AN381" t="s">
        <v>47</v>
      </c>
      <c r="AO381" s="5" t="s">
        <v>60</v>
      </c>
      <c r="AP381" s="4" t="s">
        <v>61</v>
      </c>
      <c r="AQ381" s="4" t="s">
        <v>261</v>
      </c>
      <c r="AR381" s="4" t="s">
        <v>54</v>
      </c>
      <c r="AS381" s="5">
        <v>2035781</v>
      </c>
      <c r="AT381" t="s">
        <v>47</v>
      </c>
    </row>
    <row r="382" spans="1:46" ht="26" x14ac:dyDescent="0.3">
      <c r="A382" s="4" t="s">
        <v>54</v>
      </c>
      <c r="B382" t="s">
        <v>47</v>
      </c>
      <c r="C382" s="4" t="s">
        <v>621</v>
      </c>
      <c r="D382" s="4" t="s">
        <v>1588</v>
      </c>
      <c r="E382" s="4" t="s">
        <v>58</v>
      </c>
      <c r="F382" s="5" t="s">
        <v>1697</v>
      </c>
      <c r="G382" t="s">
        <v>47</v>
      </c>
      <c r="H382" t="s">
        <v>47</v>
      </c>
      <c r="I382" s="3">
        <v>38397</v>
      </c>
      <c r="J382" s="5" t="s">
        <v>50</v>
      </c>
      <c r="K382" s="5" t="s">
        <v>1698</v>
      </c>
      <c r="L382" s="5" t="s">
        <v>60</v>
      </c>
      <c r="M382" s="3">
        <v>39972</v>
      </c>
      <c r="N382" s="5" t="s">
        <v>50</v>
      </c>
      <c r="O382" t="s">
        <v>47</v>
      </c>
      <c r="P382" s="3">
        <v>38397</v>
      </c>
      <c r="Q382" s="5" t="s">
        <v>50</v>
      </c>
      <c r="R382" s="5" t="s">
        <v>1698</v>
      </c>
      <c r="S382" t="s">
        <v>47</v>
      </c>
      <c r="T382" t="s">
        <v>47</v>
      </c>
      <c r="U382" t="s">
        <v>47</v>
      </c>
      <c r="V382" t="s">
        <v>47</v>
      </c>
      <c r="W382" s="3">
        <v>38397</v>
      </c>
      <c r="X382" s="5" t="s">
        <v>50</v>
      </c>
      <c r="Y382" s="5" t="s">
        <v>1698</v>
      </c>
      <c r="Z382" s="3">
        <v>38397</v>
      </c>
      <c r="AA382" s="5" t="s">
        <v>50</v>
      </c>
      <c r="AB382" s="5" t="s">
        <v>1698</v>
      </c>
      <c r="AC382" s="3">
        <v>38397</v>
      </c>
      <c r="AD382" s="5" t="s">
        <v>50</v>
      </c>
      <c r="AE382" s="5" t="s">
        <v>1698</v>
      </c>
      <c r="AF382" t="s">
        <v>47</v>
      </c>
      <c r="AG382" t="s">
        <v>47</v>
      </c>
      <c r="AH382" t="s">
        <v>47</v>
      </c>
      <c r="AI382" t="s">
        <v>47</v>
      </c>
      <c r="AJ382" t="s">
        <v>47</v>
      </c>
      <c r="AK382" t="s">
        <v>47</v>
      </c>
      <c r="AL382" t="s">
        <v>47</v>
      </c>
      <c r="AM382" t="s">
        <v>47</v>
      </c>
      <c r="AN382" t="s">
        <v>47</v>
      </c>
      <c r="AO382" s="5" t="s">
        <v>60</v>
      </c>
      <c r="AP382" s="4" t="s">
        <v>61</v>
      </c>
      <c r="AQ382" s="4" t="s">
        <v>53</v>
      </c>
      <c r="AR382" s="4" t="s">
        <v>54</v>
      </c>
      <c r="AS382" s="5">
        <v>27966</v>
      </c>
      <c r="AT382" t="s">
        <v>47</v>
      </c>
    </row>
    <row r="383" spans="1:46" ht="26" x14ac:dyDescent="0.3">
      <c r="A383" s="4" t="s">
        <v>1699</v>
      </c>
      <c r="B383" t="s">
        <v>47</v>
      </c>
      <c r="C383" s="4" t="s">
        <v>1700</v>
      </c>
      <c r="D383" s="4" t="s">
        <v>901</v>
      </c>
      <c r="E383" s="4" t="s">
        <v>100</v>
      </c>
      <c r="F383" s="5" t="s">
        <v>1701</v>
      </c>
      <c r="G383" t="s">
        <v>47</v>
      </c>
      <c r="H383" t="s">
        <v>47</v>
      </c>
      <c r="I383" s="3">
        <v>38504</v>
      </c>
      <c r="J383" s="5" t="s">
        <v>50</v>
      </c>
      <c r="K383" t="s">
        <v>47</v>
      </c>
      <c r="L383" s="5" t="s">
        <v>60</v>
      </c>
      <c r="M383" s="3">
        <v>38504</v>
      </c>
      <c r="N383" s="5" t="s">
        <v>50</v>
      </c>
      <c r="O383" t="s">
        <v>47</v>
      </c>
      <c r="P383" s="3">
        <v>38504</v>
      </c>
      <c r="Q383" s="5" t="s">
        <v>50</v>
      </c>
      <c r="R383" t="s">
        <v>47</v>
      </c>
      <c r="S383" t="s">
        <v>47</v>
      </c>
      <c r="T383" t="s">
        <v>47</v>
      </c>
      <c r="U383" t="s">
        <v>47</v>
      </c>
      <c r="V383" t="s">
        <v>47</v>
      </c>
      <c r="W383" s="3">
        <v>33848</v>
      </c>
      <c r="X383" s="5" t="s">
        <v>50</v>
      </c>
      <c r="Y383" t="s">
        <v>47</v>
      </c>
      <c r="Z383" s="3">
        <v>33848</v>
      </c>
      <c r="AA383" s="5" t="s">
        <v>50</v>
      </c>
      <c r="AB383" t="s">
        <v>47</v>
      </c>
      <c r="AC383" s="3">
        <v>38504</v>
      </c>
      <c r="AD383" s="5" t="s">
        <v>50</v>
      </c>
      <c r="AE383" t="s">
        <v>47</v>
      </c>
      <c r="AF383" t="s">
        <v>47</v>
      </c>
      <c r="AG383" t="s">
        <v>47</v>
      </c>
      <c r="AH383" t="s">
        <v>47</v>
      </c>
      <c r="AI383" t="s">
        <v>47</v>
      </c>
      <c r="AJ383" t="s">
        <v>47</v>
      </c>
      <c r="AK383" t="s">
        <v>47</v>
      </c>
      <c r="AL383" t="s">
        <v>47</v>
      </c>
      <c r="AM383" t="s">
        <v>47</v>
      </c>
      <c r="AN383" t="s">
        <v>47</v>
      </c>
      <c r="AO383" s="5" t="s">
        <v>51</v>
      </c>
      <c r="AP383" s="4" t="s">
        <v>61</v>
      </c>
      <c r="AQ383" s="4" t="s">
        <v>53</v>
      </c>
      <c r="AR383" s="4" t="s">
        <v>1702</v>
      </c>
      <c r="AS383" s="5">
        <v>44752</v>
      </c>
      <c r="AT383" t="s">
        <v>47</v>
      </c>
    </row>
    <row r="384" spans="1:46" ht="52" x14ac:dyDescent="0.3">
      <c r="A384" s="4" t="s">
        <v>1703</v>
      </c>
      <c r="B384" t="s">
        <v>47</v>
      </c>
      <c r="C384" s="4" t="s">
        <v>115</v>
      </c>
      <c r="D384" s="4" t="s">
        <v>139</v>
      </c>
      <c r="E384" s="4" t="s">
        <v>66</v>
      </c>
      <c r="F384" s="5" t="s">
        <v>1704</v>
      </c>
      <c r="G384" s="5" t="s">
        <v>1705</v>
      </c>
      <c r="H384" t="s">
        <v>47</v>
      </c>
      <c r="I384" s="3">
        <v>33604</v>
      </c>
      <c r="J384" s="5" t="s">
        <v>50</v>
      </c>
      <c r="K384" t="s">
        <v>47</v>
      </c>
      <c r="L384" s="5" t="s">
        <v>60</v>
      </c>
      <c r="M384" s="3">
        <v>33604</v>
      </c>
      <c r="N384" s="5" t="s">
        <v>50</v>
      </c>
      <c r="O384" t="s">
        <v>47</v>
      </c>
      <c r="P384" s="3">
        <v>34700</v>
      </c>
      <c r="Q384" s="5" t="s">
        <v>50</v>
      </c>
      <c r="R384" t="s">
        <v>47</v>
      </c>
      <c r="S384" t="s">
        <v>47</v>
      </c>
      <c r="T384" t="s">
        <v>47</v>
      </c>
      <c r="U384" t="s">
        <v>47</v>
      </c>
      <c r="V384" s="5">
        <v>365</v>
      </c>
      <c r="W384" s="3">
        <v>33604</v>
      </c>
      <c r="X384" s="5" t="s">
        <v>50</v>
      </c>
      <c r="Y384" t="s">
        <v>47</v>
      </c>
      <c r="Z384" s="3">
        <v>33604</v>
      </c>
      <c r="AA384" s="5" t="s">
        <v>50</v>
      </c>
      <c r="AB384" t="s">
        <v>47</v>
      </c>
      <c r="AC384" s="3">
        <v>33604</v>
      </c>
      <c r="AD384" s="5" t="s">
        <v>50</v>
      </c>
      <c r="AE384" t="s">
        <v>47</v>
      </c>
      <c r="AF384" t="s">
        <v>47</v>
      </c>
      <c r="AG384" t="s">
        <v>47</v>
      </c>
      <c r="AH384" t="s">
        <v>47</v>
      </c>
      <c r="AI384" t="s">
        <v>47</v>
      </c>
      <c r="AJ384" t="s">
        <v>47</v>
      </c>
      <c r="AK384" t="s">
        <v>47</v>
      </c>
      <c r="AL384" t="s">
        <v>47</v>
      </c>
      <c r="AM384" t="s">
        <v>47</v>
      </c>
      <c r="AN384" t="s">
        <v>47</v>
      </c>
      <c r="AO384" s="5" t="s">
        <v>60</v>
      </c>
      <c r="AP384" s="4" t="s">
        <v>61</v>
      </c>
      <c r="AQ384" s="4" t="s">
        <v>53</v>
      </c>
      <c r="AR384" s="4" t="s">
        <v>1706</v>
      </c>
      <c r="AS384" s="5">
        <v>35632</v>
      </c>
      <c r="AT384" t="s">
        <v>47</v>
      </c>
    </row>
    <row r="385" spans="1:46" ht="65" x14ac:dyDescent="0.3">
      <c r="A385" s="4" t="s">
        <v>1707</v>
      </c>
      <c r="B385" t="s">
        <v>47</v>
      </c>
      <c r="C385" t="s">
        <v>47</v>
      </c>
      <c r="D385" s="4" t="s">
        <v>70</v>
      </c>
      <c r="E385" t="s">
        <v>47</v>
      </c>
      <c r="F385" s="5" t="s">
        <v>1708</v>
      </c>
      <c r="G385" s="5" t="s">
        <v>1709</v>
      </c>
      <c r="H385" t="s">
        <v>47</v>
      </c>
      <c r="I385" s="3">
        <v>35370</v>
      </c>
      <c r="J385" s="5" t="s">
        <v>50</v>
      </c>
      <c r="K385" t="s">
        <v>47</v>
      </c>
      <c r="L385" s="5" t="s">
        <v>60</v>
      </c>
      <c r="M385" s="3">
        <v>35370</v>
      </c>
      <c r="N385" s="5" t="s">
        <v>50</v>
      </c>
      <c r="O385" t="s">
        <v>47</v>
      </c>
      <c r="P385" s="3">
        <v>35370</v>
      </c>
      <c r="Q385" s="5" t="s">
        <v>50</v>
      </c>
      <c r="R385" t="s">
        <v>47</v>
      </c>
      <c r="S385" t="s">
        <v>47</v>
      </c>
      <c r="T385" t="s">
        <v>47</v>
      </c>
      <c r="U385" t="s">
        <v>47</v>
      </c>
      <c r="V385" s="5">
        <v>365</v>
      </c>
      <c r="W385" s="3">
        <v>35370</v>
      </c>
      <c r="X385" s="5" t="s">
        <v>50</v>
      </c>
      <c r="Y385" t="s">
        <v>47</v>
      </c>
      <c r="Z385" s="3">
        <v>35370</v>
      </c>
      <c r="AA385" s="5" t="s">
        <v>50</v>
      </c>
      <c r="AB385" t="s">
        <v>47</v>
      </c>
      <c r="AC385" s="3">
        <v>37469</v>
      </c>
      <c r="AD385" s="5" t="s">
        <v>50</v>
      </c>
      <c r="AE385" s="5" t="s">
        <v>1484</v>
      </c>
      <c r="AF385" t="s">
        <v>47</v>
      </c>
      <c r="AG385" t="s">
        <v>47</v>
      </c>
      <c r="AH385" t="s">
        <v>47</v>
      </c>
      <c r="AI385" t="s">
        <v>47</v>
      </c>
      <c r="AJ385" t="s">
        <v>47</v>
      </c>
      <c r="AK385" t="s">
        <v>47</v>
      </c>
      <c r="AL385" t="s">
        <v>47</v>
      </c>
      <c r="AM385" t="s">
        <v>47</v>
      </c>
      <c r="AN385" t="s">
        <v>47</v>
      </c>
      <c r="AO385" s="5" t="s">
        <v>60</v>
      </c>
      <c r="AP385" s="4" t="s">
        <v>61</v>
      </c>
      <c r="AQ385" s="4" t="s">
        <v>53</v>
      </c>
      <c r="AR385" s="4" t="s">
        <v>543</v>
      </c>
      <c r="AS385" s="5">
        <v>31077</v>
      </c>
      <c r="AT385" t="s">
        <v>47</v>
      </c>
    </row>
    <row r="386" spans="1:46" ht="26" x14ac:dyDescent="0.3">
      <c r="A386" s="4" t="s">
        <v>1710</v>
      </c>
      <c r="B386" t="s">
        <v>47</v>
      </c>
      <c r="C386" s="4" t="s">
        <v>846</v>
      </c>
      <c r="D386" s="4" t="s">
        <v>88</v>
      </c>
      <c r="E386" s="4" t="s">
        <v>49</v>
      </c>
      <c r="F386" t="s">
        <v>47</v>
      </c>
      <c r="G386" t="s">
        <v>47</v>
      </c>
      <c r="H386" t="s">
        <v>47</v>
      </c>
      <c r="I386" s="3">
        <v>42466</v>
      </c>
      <c r="J386" s="5" t="s">
        <v>50</v>
      </c>
      <c r="K386" t="s">
        <v>47</v>
      </c>
      <c r="L386" s="5" t="s">
        <v>51</v>
      </c>
      <c r="M386" s="3">
        <v>42466</v>
      </c>
      <c r="N386" s="5" t="s">
        <v>50</v>
      </c>
      <c r="O386" t="s">
        <v>47</v>
      </c>
      <c r="P386" t="s">
        <v>47</v>
      </c>
      <c r="Q386" t="s">
        <v>47</v>
      </c>
      <c r="R386" t="s">
        <v>47</v>
      </c>
      <c r="S386" t="s">
        <v>47</v>
      </c>
      <c r="T386" t="s">
        <v>47</v>
      </c>
      <c r="U386" t="s">
        <v>47</v>
      </c>
      <c r="V386" t="s">
        <v>47</v>
      </c>
      <c r="W386" s="3">
        <v>42466</v>
      </c>
      <c r="X386" s="5" t="s">
        <v>50</v>
      </c>
      <c r="Y386" t="s">
        <v>47</v>
      </c>
      <c r="Z386" s="3">
        <v>42466</v>
      </c>
      <c r="AA386" s="5" t="s">
        <v>50</v>
      </c>
      <c r="AB386" t="s">
        <v>47</v>
      </c>
      <c r="AC386" s="3">
        <v>42466</v>
      </c>
      <c r="AD386" s="5" t="s">
        <v>50</v>
      </c>
      <c r="AE386" t="s">
        <v>47</v>
      </c>
      <c r="AF386" t="s">
        <v>47</v>
      </c>
      <c r="AG386" t="s">
        <v>47</v>
      </c>
      <c r="AH386" t="s">
        <v>47</v>
      </c>
      <c r="AI386" t="s">
        <v>47</v>
      </c>
      <c r="AJ386" t="s">
        <v>47</v>
      </c>
      <c r="AK386" t="s">
        <v>47</v>
      </c>
      <c r="AL386" t="s">
        <v>47</v>
      </c>
      <c r="AM386" t="s">
        <v>47</v>
      </c>
      <c r="AN386" t="s">
        <v>47</v>
      </c>
      <c r="AO386" s="5" t="s">
        <v>51</v>
      </c>
      <c r="AP386" s="4" t="s">
        <v>52</v>
      </c>
      <c r="AQ386" s="4" t="s">
        <v>53</v>
      </c>
      <c r="AR386" s="4" t="s">
        <v>54</v>
      </c>
      <c r="AS386" s="5">
        <v>2041183</v>
      </c>
      <c r="AT386" t="s">
        <v>47</v>
      </c>
    </row>
    <row r="387" spans="1:46" ht="13" x14ac:dyDescent="0.3">
      <c r="A387" s="4" t="s">
        <v>1711</v>
      </c>
      <c r="B387" t="s">
        <v>47</v>
      </c>
      <c r="C387" s="4" t="s">
        <v>169</v>
      </c>
      <c r="D387" s="4" t="s">
        <v>1712</v>
      </c>
      <c r="E387" s="4" t="s">
        <v>66</v>
      </c>
      <c r="F387" s="5" t="s">
        <v>1713</v>
      </c>
      <c r="G387" s="5" t="s">
        <v>1714</v>
      </c>
      <c r="H387" t="s">
        <v>47</v>
      </c>
      <c r="I387" t="s">
        <v>47</v>
      </c>
      <c r="J387" t="s">
        <v>47</v>
      </c>
      <c r="K387" t="s">
        <v>47</v>
      </c>
      <c r="L387" s="5" t="s">
        <v>60</v>
      </c>
      <c r="M387" t="s">
        <v>47</v>
      </c>
      <c r="N387" t="s">
        <v>47</v>
      </c>
      <c r="O387" t="s">
        <v>47</v>
      </c>
      <c r="P387" t="s">
        <v>47</v>
      </c>
      <c r="Q387" t="s">
        <v>47</v>
      </c>
      <c r="R387" t="s">
        <v>47</v>
      </c>
      <c r="S387" t="s">
        <v>47</v>
      </c>
      <c r="T387" t="s">
        <v>47</v>
      </c>
      <c r="U387" t="s">
        <v>47</v>
      </c>
      <c r="V387" t="s">
        <v>47</v>
      </c>
      <c r="W387" s="3">
        <v>40179</v>
      </c>
      <c r="X387" s="5" t="s">
        <v>50</v>
      </c>
      <c r="Y387" t="s">
        <v>47</v>
      </c>
      <c r="Z387" s="3">
        <v>40179</v>
      </c>
      <c r="AA387" s="5" t="s">
        <v>50</v>
      </c>
      <c r="AB387" t="s">
        <v>47</v>
      </c>
      <c r="AC387" s="3">
        <v>40179</v>
      </c>
      <c r="AD387" s="5" t="s">
        <v>50</v>
      </c>
      <c r="AE387" t="s">
        <v>47</v>
      </c>
      <c r="AF387" t="s">
        <v>47</v>
      </c>
      <c r="AG387" t="s">
        <v>47</v>
      </c>
      <c r="AH387" t="s">
        <v>47</v>
      </c>
      <c r="AI387" t="s">
        <v>47</v>
      </c>
      <c r="AJ387" t="s">
        <v>47</v>
      </c>
      <c r="AK387" t="s">
        <v>47</v>
      </c>
      <c r="AL387" t="s">
        <v>47</v>
      </c>
      <c r="AM387" t="s">
        <v>47</v>
      </c>
      <c r="AN387" t="s">
        <v>47</v>
      </c>
      <c r="AO387" s="5" t="s">
        <v>60</v>
      </c>
      <c r="AP387" s="4" t="s">
        <v>61</v>
      </c>
      <c r="AQ387" s="4" t="s">
        <v>53</v>
      </c>
      <c r="AR387" s="4" t="s">
        <v>54</v>
      </c>
      <c r="AS387" s="5">
        <v>426781</v>
      </c>
      <c r="AT387" t="s">
        <v>47</v>
      </c>
    </row>
    <row r="388" spans="1:46" ht="13" x14ac:dyDescent="0.3">
      <c r="A388" s="4" t="s">
        <v>1715</v>
      </c>
      <c r="B388" t="s">
        <v>47</v>
      </c>
      <c r="C388" s="4" t="s">
        <v>1716</v>
      </c>
      <c r="D388" s="4" t="s">
        <v>901</v>
      </c>
      <c r="E388" s="4" t="s">
        <v>100</v>
      </c>
      <c r="F388" s="5" t="s">
        <v>1717</v>
      </c>
      <c r="G388" t="s">
        <v>47</v>
      </c>
      <c r="H388" t="s">
        <v>47</v>
      </c>
      <c r="I388" t="s">
        <v>47</v>
      </c>
      <c r="J388" t="s">
        <v>47</v>
      </c>
      <c r="K388" t="s">
        <v>47</v>
      </c>
      <c r="L388" s="5" t="s">
        <v>51</v>
      </c>
      <c r="M388" t="s">
        <v>47</v>
      </c>
      <c r="N388" t="s">
        <v>47</v>
      </c>
      <c r="O388" t="s">
        <v>47</v>
      </c>
      <c r="P388" t="s">
        <v>47</v>
      </c>
      <c r="Q388" t="s">
        <v>47</v>
      </c>
      <c r="R388" t="s">
        <v>47</v>
      </c>
      <c r="S388" t="s">
        <v>47</v>
      </c>
      <c r="T388" t="s">
        <v>47</v>
      </c>
      <c r="U388" t="s">
        <v>47</v>
      </c>
      <c r="V388" t="s">
        <v>47</v>
      </c>
      <c r="W388" s="3">
        <v>31594</v>
      </c>
      <c r="X388" s="5" t="s">
        <v>50</v>
      </c>
      <c r="Y388" t="s">
        <v>47</v>
      </c>
      <c r="Z388" s="3">
        <v>31594</v>
      </c>
      <c r="AA388" s="5" t="s">
        <v>50</v>
      </c>
      <c r="AB388" t="s">
        <v>47</v>
      </c>
      <c r="AC388" s="3">
        <v>34060</v>
      </c>
      <c r="AD388" s="5" t="s">
        <v>50</v>
      </c>
      <c r="AE388" s="5" t="s">
        <v>1718</v>
      </c>
      <c r="AF388" t="s">
        <v>47</v>
      </c>
      <c r="AG388" t="s">
        <v>47</v>
      </c>
      <c r="AH388" t="s">
        <v>47</v>
      </c>
      <c r="AI388" t="s">
        <v>47</v>
      </c>
      <c r="AJ388" t="s">
        <v>47</v>
      </c>
      <c r="AK388" t="s">
        <v>47</v>
      </c>
      <c r="AL388" t="s">
        <v>47</v>
      </c>
      <c r="AM388" t="s">
        <v>47</v>
      </c>
      <c r="AN388" t="s">
        <v>47</v>
      </c>
      <c r="AO388" s="5" t="s">
        <v>51</v>
      </c>
      <c r="AP388" s="4" t="s">
        <v>85</v>
      </c>
      <c r="AQ388" s="4" t="s">
        <v>198</v>
      </c>
      <c r="AR388" s="4" t="s">
        <v>54</v>
      </c>
      <c r="AS388" s="5">
        <v>47240</v>
      </c>
      <c r="AT388" t="s">
        <v>47</v>
      </c>
    </row>
    <row r="389" spans="1:46" ht="13" x14ac:dyDescent="0.3">
      <c r="A389" s="4" t="s">
        <v>1719</v>
      </c>
      <c r="B389" t="s">
        <v>47</v>
      </c>
      <c r="C389" s="4" t="s">
        <v>770</v>
      </c>
      <c r="D389" s="4" t="s">
        <v>88</v>
      </c>
      <c r="E389" s="4" t="s">
        <v>49</v>
      </c>
      <c r="F389" s="5" t="s">
        <v>1720</v>
      </c>
      <c r="G389" s="5" t="s">
        <v>1721</v>
      </c>
      <c r="H389" t="s">
        <v>47</v>
      </c>
      <c r="I389" t="s">
        <v>47</v>
      </c>
      <c r="J389" t="s">
        <v>47</v>
      </c>
      <c r="K389" t="s">
        <v>47</v>
      </c>
      <c r="L389" s="5" t="s">
        <v>51</v>
      </c>
      <c r="M389" t="s">
        <v>47</v>
      </c>
      <c r="N389" t="s">
        <v>47</v>
      </c>
      <c r="O389" t="s">
        <v>47</v>
      </c>
      <c r="P389" t="s">
        <v>47</v>
      </c>
      <c r="Q389" t="s">
        <v>47</v>
      </c>
      <c r="R389" t="s">
        <v>47</v>
      </c>
      <c r="S389" t="s">
        <v>47</v>
      </c>
      <c r="T389" t="s">
        <v>47</v>
      </c>
      <c r="U389" t="s">
        <v>47</v>
      </c>
      <c r="V389" t="s">
        <v>47</v>
      </c>
      <c r="W389" s="3">
        <v>36165</v>
      </c>
      <c r="X389" s="3">
        <v>42468</v>
      </c>
      <c r="Y389" s="5" t="s">
        <v>1722</v>
      </c>
      <c r="Z389" s="3">
        <v>36165</v>
      </c>
      <c r="AA389" s="3">
        <v>42468</v>
      </c>
      <c r="AB389" s="5" t="s">
        <v>1722</v>
      </c>
      <c r="AC389" s="3">
        <v>37991</v>
      </c>
      <c r="AD389" s="3">
        <v>42468</v>
      </c>
      <c r="AE389" s="5" t="s">
        <v>1722</v>
      </c>
      <c r="AF389" t="s">
        <v>47</v>
      </c>
      <c r="AG389" t="s">
        <v>47</v>
      </c>
      <c r="AH389" t="s">
        <v>47</v>
      </c>
      <c r="AI389" t="s">
        <v>47</v>
      </c>
      <c r="AJ389" t="s">
        <v>47</v>
      </c>
      <c r="AK389" t="s">
        <v>47</v>
      </c>
      <c r="AL389" t="s">
        <v>47</v>
      </c>
      <c r="AM389" t="s">
        <v>47</v>
      </c>
      <c r="AN389" t="s">
        <v>47</v>
      </c>
      <c r="AO389" s="5" t="s">
        <v>51</v>
      </c>
      <c r="AP389" s="4" t="s">
        <v>85</v>
      </c>
      <c r="AQ389" s="4" t="s">
        <v>53</v>
      </c>
      <c r="AR389" s="4" t="s">
        <v>54</v>
      </c>
      <c r="AS389" s="5">
        <v>49274</v>
      </c>
      <c r="AT389" t="s">
        <v>47</v>
      </c>
    </row>
    <row r="390" spans="1:46" ht="52" x14ac:dyDescent="0.3">
      <c r="A390" s="4" t="s">
        <v>1723</v>
      </c>
      <c r="B390" t="s">
        <v>47</v>
      </c>
      <c r="C390" s="4" t="s">
        <v>1724</v>
      </c>
      <c r="D390" s="4" t="s">
        <v>88</v>
      </c>
      <c r="E390" s="4" t="s">
        <v>49</v>
      </c>
      <c r="F390" t="s">
        <v>47</v>
      </c>
      <c r="G390" t="s">
        <v>47</v>
      </c>
      <c r="H390" t="s">
        <v>47</v>
      </c>
      <c r="I390" s="3">
        <v>40331</v>
      </c>
      <c r="J390" s="5" t="s">
        <v>50</v>
      </c>
      <c r="K390" t="s">
        <v>47</v>
      </c>
      <c r="L390" s="5" t="s">
        <v>51</v>
      </c>
      <c r="M390" s="3">
        <v>40331</v>
      </c>
      <c r="N390" s="5" t="s">
        <v>50</v>
      </c>
      <c r="O390" t="s">
        <v>47</v>
      </c>
      <c r="P390" t="s">
        <v>47</v>
      </c>
      <c r="Q390" t="s">
        <v>47</v>
      </c>
      <c r="R390" t="s">
        <v>47</v>
      </c>
      <c r="S390" t="s">
        <v>47</v>
      </c>
      <c r="T390" t="s">
        <v>47</v>
      </c>
      <c r="U390" t="s">
        <v>47</v>
      </c>
      <c r="V390" t="s">
        <v>47</v>
      </c>
      <c r="W390" s="3">
        <v>40331</v>
      </c>
      <c r="X390" s="5" t="s">
        <v>50</v>
      </c>
      <c r="Y390" t="s">
        <v>47</v>
      </c>
      <c r="Z390" s="3">
        <v>40331</v>
      </c>
      <c r="AA390" s="5" t="s">
        <v>50</v>
      </c>
      <c r="AB390" t="s">
        <v>47</v>
      </c>
      <c r="AC390" s="3">
        <v>40331</v>
      </c>
      <c r="AD390" s="3">
        <v>43277</v>
      </c>
      <c r="AE390" t="s">
        <v>47</v>
      </c>
      <c r="AF390" t="s">
        <v>47</v>
      </c>
      <c r="AG390" t="s">
        <v>47</v>
      </c>
      <c r="AH390" t="s">
        <v>47</v>
      </c>
      <c r="AI390" t="s">
        <v>47</v>
      </c>
      <c r="AJ390" t="s">
        <v>47</v>
      </c>
      <c r="AK390" t="s">
        <v>47</v>
      </c>
      <c r="AL390" t="s">
        <v>47</v>
      </c>
      <c r="AM390" t="s">
        <v>47</v>
      </c>
      <c r="AN390" t="s">
        <v>47</v>
      </c>
      <c r="AO390" s="5" t="s">
        <v>51</v>
      </c>
      <c r="AP390" s="4" t="s">
        <v>853</v>
      </c>
      <c r="AQ390" s="4" t="s">
        <v>53</v>
      </c>
      <c r="AR390" s="4" t="s">
        <v>1725</v>
      </c>
      <c r="AS390" s="5">
        <v>237724</v>
      </c>
      <c r="AT390" t="s">
        <v>47</v>
      </c>
    </row>
    <row r="391" spans="1:46" ht="13" x14ac:dyDescent="0.3">
      <c r="A391" s="4" t="s">
        <v>1726</v>
      </c>
      <c r="B391" t="s">
        <v>47</v>
      </c>
      <c r="C391" s="4" t="s">
        <v>1727</v>
      </c>
      <c r="D391" s="4" t="s">
        <v>1103</v>
      </c>
      <c r="E391" s="4" t="s">
        <v>49</v>
      </c>
      <c r="F391" s="5" t="s">
        <v>1728</v>
      </c>
      <c r="G391" s="5" t="s">
        <v>1729</v>
      </c>
      <c r="H391" t="s">
        <v>47</v>
      </c>
      <c r="I391" s="3">
        <v>32143</v>
      </c>
      <c r="J391" s="3">
        <v>43831</v>
      </c>
      <c r="K391" t="s">
        <v>47</v>
      </c>
      <c r="L391" s="5" t="s">
        <v>51</v>
      </c>
      <c r="M391" s="3">
        <v>33604</v>
      </c>
      <c r="N391" s="3">
        <v>43831</v>
      </c>
      <c r="O391" t="s">
        <v>47</v>
      </c>
      <c r="P391" s="3">
        <v>32143</v>
      </c>
      <c r="Q391" s="3">
        <v>43831</v>
      </c>
      <c r="R391" t="s">
        <v>47</v>
      </c>
      <c r="S391" t="s">
        <v>47</v>
      </c>
      <c r="T391" t="s">
        <v>47</v>
      </c>
      <c r="U391" t="s">
        <v>47</v>
      </c>
      <c r="V391" t="s">
        <v>47</v>
      </c>
      <c r="W391" s="3">
        <v>31413</v>
      </c>
      <c r="X391" s="3">
        <v>43831</v>
      </c>
      <c r="Y391" t="s">
        <v>47</v>
      </c>
      <c r="Z391" s="3">
        <v>31413</v>
      </c>
      <c r="AA391" s="3">
        <v>43831</v>
      </c>
      <c r="AB391" t="s">
        <v>47</v>
      </c>
      <c r="AC391" s="3">
        <v>31413</v>
      </c>
      <c r="AD391" s="3">
        <v>43831</v>
      </c>
      <c r="AE391" t="s">
        <v>47</v>
      </c>
      <c r="AF391" t="s">
        <v>47</v>
      </c>
      <c r="AG391" t="s">
        <v>47</v>
      </c>
      <c r="AH391" t="s">
        <v>47</v>
      </c>
      <c r="AI391" t="s">
        <v>47</v>
      </c>
      <c r="AJ391" t="s">
        <v>47</v>
      </c>
      <c r="AK391" t="s">
        <v>47</v>
      </c>
      <c r="AL391" t="s">
        <v>47</v>
      </c>
      <c r="AM391" t="s">
        <v>47</v>
      </c>
      <c r="AN391" t="s">
        <v>47</v>
      </c>
      <c r="AO391" s="5" t="s">
        <v>51</v>
      </c>
      <c r="AP391" s="4" t="s">
        <v>135</v>
      </c>
      <c r="AQ391" s="4" t="s">
        <v>53</v>
      </c>
      <c r="AR391" s="4" t="s">
        <v>54</v>
      </c>
      <c r="AS391" s="5">
        <v>25066</v>
      </c>
      <c r="AT391" t="s">
        <v>47</v>
      </c>
    </row>
    <row r="392" spans="1:46" ht="91" x14ac:dyDescent="0.3">
      <c r="A392" s="4" t="s">
        <v>1730</v>
      </c>
      <c r="B392" t="s">
        <v>47</v>
      </c>
      <c r="C392" s="4" t="s">
        <v>169</v>
      </c>
      <c r="D392" s="4" t="s">
        <v>339</v>
      </c>
      <c r="E392" s="4" t="s">
        <v>66</v>
      </c>
      <c r="F392" s="5" t="s">
        <v>1731</v>
      </c>
      <c r="G392" s="5" t="s">
        <v>1732</v>
      </c>
      <c r="H392" t="s">
        <v>47</v>
      </c>
      <c r="I392" s="3">
        <v>35643</v>
      </c>
      <c r="J392" s="3">
        <v>36739</v>
      </c>
      <c r="K392" t="s">
        <v>47</v>
      </c>
      <c r="L392" s="5" t="s">
        <v>60</v>
      </c>
      <c r="M392" s="3">
        <v>35643</v>
      </c>
      <c r="N392" s="3">
        <v>36739</v>
      </c>
      <c r="O392" t="s">
        <v>47</v>
      </c>
      <c r="P392" s="3">
        <v>35643</v>
      </c>
      <c r="Q392" s="3">
        <v>36739</v>
      </c>
      <c r="R392" t="s">
        <v>47</v>
      </c>
      <c r="S392" t="s">
        <v>47</v>
      </c>
      <c r="T392" t="s">
        <v>47</v>
      </c>
      <c r="U392" t="s">
        <v>47</v>
      </c>
      <c r="V392" t="s">
        <v>47</v>
      </c>
      <c r="W392" s="3">
        <v>35643</v>
      </c>
      <c r="X392" s="5" t="s">
        <v>50</v>
      </c>
      <c r="Y392" t="s">
        <v>47</v>
      </c>
      <c r="Z392" s="3">
        <v>35643</v>
      </c>
      <c r="AA392" s="5" t="s">
        <v>50</v>
      </c>
      <c r="AB392" t="s">
        <v>47</v>
      </c>
      <c r="AC392" s="3">
        <v>35643</v>
      </c>
      <c r="AD392" s="5" t="s">
        <v>50</v>
      </c>
      <c r="AE392" t="s">
        <v>47</v>
      </c>
      <c r="AF392" t="s">
        <v>47</v>
      </c>
      <c r="AG392" t="s">
        <v>47</v>
      </c>
      <c r="AH392" t="s">
        <v>47</v>
      </c>
      <c r="AI392" t="s">
        <v>47</v>
      </c>
      <c r="AJ392" t="s">
        <v>47</v>
      </c>
      <c r="AK392" t="s">
        <v>47</v>
      </c>
      <c r="AL392" t="s">
        <v>47</v>
      </c>
      <c r="AM392" t="s">
        <v>47</v>
      </c>
      <c r="AN392" t="s">
        <v>47</v>
      </c>
      <c r="AO392" s="5" t="s">
        <v>60</v>
      </c>
      <c r="AP392" s="4" t="s">
        <v>61</v>
      </c>
      <c r="AQ392" s="4" t="s">
        <v>53</v>
      </c>
      <c r="AR392" s="4" t="s">
        <v>1733</v>
      </c>
      <c r="AS392" s="5">
        <v>33028</v>
      </c>
      <c r="AT392" t="s">
        <v>47</v>
      </c>
    </row>
    <row r="393" spans="1:46" ht="26" x14ac:dyDescent="0.3">
      <c r="A393" s="4" t="s">
        <v>1734</v>
      </c>
      <c r="B393" t="s">
        <v>47</v>
      </c>
      <c r="C393" s="4" t="s">
        <v>1735</v>
      </c>
      <c r="D393" s="4" t="s">
        <v>901</v>
      </c>
      <c r="E393" s="4" t="s">
        <v>100</v>
      </c>
      <c r="F393" s="5" t="s">
        <v>1736</v>
      </c>
      <c r="G393" t="s">
        <v>47</v>
      </c>
      <c r="H393" t="s">
        <v>47</v>
      </c>
      <c r="I393" s="3">
        <v>36161</v>
      </c>
      <c r="J393" s="5" t="s">
        <v>50</v>
      </c>
      <c r="K393" t="s">
        <v>47</v>
      </c>
      <c r="L393" s="5" t="s">
        <v>51</v>
      </c>
      <c r="M393" s="3">
        <v>36161</v>
      </c>
      <c r="N393" s="5" t="s">
        <v>50</v>
      </c>
      <c r="O393" t="s">
        <v>47</v>
      </c>
      <c r="P393" t="s">
        <v>47</v>
      </c>
      <c r="Q393" t="s">
        <v>47</v>
      </c>
      <c r="R393" t="s">
        <v>47</v>
      </c>
      <c r="S393" t="s">
        <v>47</v>
      </c>
      <c r="T393" t="s">
        <v>47</v>
      </c>
      <c r="U393" t="s">
        <v>47</v>
      </c>
      <c r="V393" t="s">
        <v>47</v>
      </c>
      <c r="W393" s="3">
        <v>31837</v>
      </c>
      <c r="X393" s="5" t="s">
        <v>50</v>
      </c>
      <c r="Y393" t="s">
        <v>47</v>
      </c>
      <c r="Z393" s="3">
        <v>31837</v>
      </c>
      <c r="AA393" s="5" t="s">
        <v>50</v>
      </c>
      <c r="AB393" t="s">
        <v>47</v>
      </c>
      <c r="AC393" s="3">
        <v>36161</v>
      </c>
      <c r="AD393" s="5" t="s">
        <v>50</v>
      </c>
      <c r="AE393" t="s">
        <v>47</v>
      </c>
      <c r="AF393" t="s">
        <v>47</v>
      </c>
      <c r="AG393" t="s">
        <v>47</v>
      </c>
      <c r="AH393" t="s">
        <v>47</v>
      </c>
      <c r="AI393" t="s">
        <v>47</v>
      </c>
      <c r="AJ393" t="s">
        <v>47</v>
      </c>
      <c r="AK393" t="s">
        <v>47</v>
      </c>
      <c r="AL393" t="s">
        <v>47</v>
      </c>
      <c r="AM393" t="s">
        <v>47</v>
      </c>
      <c r="AN393" t="s">
        <v>47</v>
      </c>
      <c r="AO393" s="5" t="s">
        <v>51</v>
      </c>
      <c r="AP393" s="4" t="s">
        <v>135</v>
      </c>
      <c r="AQ393" s="4" t="s">
        <v>198</v>
      </c>
      <c r="AR393" s="4" t="s">
        <v>54</v>
      </c>
      <c r="AS393" s="5">
        <v>32840</v>
      </c>
      <c r="AT393" t="s">
        <v>47</v>
      </c>
    </row>
    <row r="394" spans="1:46" ht="78" x14ac:dyDescent="0.3">
      <c r="A394" s="4" t="s">
        <v>1737</v>
      </c>
      <c r="B394" t="s">
        <v>47</v>
      </c>
      <c r="C394" s="4" t="s">
        <v>770</v>
      </c>
      <c r="D394" s="4" t="s">
        <v>201</v>
      </c>
      <c r="E394" s="4" t="s">
        <v>49</v>
      </c>
      <c r="F394" s="5" t="s">
        <v>1738</v>
      </c>
      <c r="G394" t="s">
        <v>47</v>
      </c>
      <c r="H394" t="s">
        <v>47</v>
      </c>
      <c r="I394" t="s">
        <v>47</v>
      </c>
      <c r="J394" t="s">
        <v>47</v>
      </c>
      <c r="K394" t="s">
        <v>47</v>
      </c>
      <c r="L394" s="5" t="s">
        <v>51</v>
      </c>
      <c r="M394" t="s">
        <v>47</v>
      </c>
      <c r="N394" t="s">
        <v>47</v>
      </c>
      <c r="O394" t="s">
        <v>47</v>
      </c>
      <c r="P394" t="s">
        <v>47</v>
      </c>
      <c r="Q394" t="s">
        <v>47</v>
      </c>
      <c r="R394" t="s">
        <v>47</v>
      </c>
      <c r="S394" t="s">
        <v>47</v>
      </c>
      <c r="T394" t="s">
        <v>47</v>
      </c>
      <c r="U394" t="s">
        <v>47</v>
      </c>
      <c r="V394" t="s">
        <v>47</v>
      </c>
      <c r="W394" s="3">
        <v>36126</v>
      </c>
      <c r="X394" s="3">
        <v>43820</v>
      </c>
      <c r="Y394" s="5" t="s">
        <v>1739</v>
      </c>
      <c r="Z394" s="3">
        <v>36126</v>
      </c>
      <c r="AA394" s="3">
        <v>43820</v>
      </c>
      <c r="AB394" s="5" t="s">
        <v>1739</v>
      </c>
      <c r="AC394" s="3">
        <v>37995</v>
      </c>
      <c r="AD394" s="3">
        <v>43820</v>
      </c>
      <c r="AE394" s="5" t="s">
        <v>1739</v>
      </c>
      <c r="AF394" t="s">
        <v>47</v>
      </c>
      <c r="AG394" t="s">
        <v>47</v>
      </c>
      <c r="AH394" t="s">
        <v>47</v>
      </c>
      <c r="AI394" t="s">
        <v>47</v>
      </c>
      <c r="AJ394" t="s">
        <v>47</v>
      </c>
      <c r="AK394" t="s">
        <v>47</v>
      </c>
      <c r="AL394" t="s">
        <v>47</v>
      </c>
      <c r="AM394" t="s">
        <v>47</v>
      </c>
      <c r="AN394" t="s">
        <v>47</v>
      </c>
      <c r="AO394" s="5" t="s">
        <v>51</v>
      </c>
      <c r="AP394" s="4" t="s">
        <v>85</v>
      </c>
      <c r="AQ394" s="4" t="s">
        <v>53</v>
      </c>
      <c r="AR394" s="4" t="s">
        <v>136</v>
      </c>
      <c r="AS394" s="5">
        <v>32385</v>
      </c>
      <c r="AT394" t="s">
        <v>47</v>
      </c>
    </row>
    <row r="395" spans="1:46" ht="39" x14ac:dyDescent="0.3">
      <c r="A395" s="4" t="s">
        <v>1740</v>
      </c>
      <c r="B395" t="s">
        <v>47</v>
      </c>
      <c r="C395" s="4" t="s">
        <v>193</v>
      </c>
      <c r="D395" s="4" t="s">
        <v>194</v>
      </c>
      <c r="E395" s="4" t="s">
        <v>195</v>
      </c>
      <c r="F395" t="s">
        <v>47</v>
      </c>
      <c r="G395" s="5" t="s">
        <v>1741</v>
      </c>
      <c r="H395" t="s">
        <v>47</v>
      </c>
      <c r="I395" s="3">
        <v>40909</v>
      </c>
      <c r="J395" s="5" t="s">
        <v>50</v>
      </c>
      <c r="K395" t="s">
        <v>47</v>
      </c>
      <c r="L395" s="5" t="s">
        <v>51</v>
      </c>
      <c r="M395" s="3">
        <v>40909</v>
      </c>
      <c r="N395" s="3">
        <v>44896</v>
      </c>
      <c r="O395" t="s">
        <v>47</v>
      </c>
      <c r="P395" s="3">
        <v>40909</v>
      </c>
      <c r="Q395" s="5" t="s">
        <v>50</v>
      </c>
      <c r="R395" t="s">
        <v>47</v>
      </c>
      <c r="S395" t="s">
        <v>47</v>
      </c>
      <c r="T395" t="s">
        <v>47</v>
      </c>
      <c r="U395" t="s">
        <v>47</v>
      </c>
      <c r="V395" s="5">
        <v>180</v>
      </c>
      <c r="W395" s="3">
        <v>40909</v>
      </c>
      <c r="X395" s="5" t="s">
        <v>50</v>
      </c>
      <c r="Y395" t="s">
        <v>47</v>
      </c>
      <c r="Z395" s="3">
        <v>40909</v>
      </c>
      <c r="AA395" s="5" t="s">
        <v>50</v>
      </c>
      <c r="AB395" t="s">
        <v>47</v>
      </c>
      <c r="AC395" s="3">
        <v>40909</v>
      </c>
      <c r="AD395" s="5" t="s">
        <v>50</v>
      </c>
      <c r="AE395" t="s">
        <v>47</v>
      </c>
      <c r="AF395" t="s">
        <v>47</v>
      </c>
      <c r="AG395" t="s">
        <v>47</v>
      </c>
      <c r="AH395" t="s">
        <v>47</v>
      </c>
      <c r="AI395" t="s">
        <v>47</v>
      </c>
      <c r="AJ395" t="s">
        <v>47</v>
      </c>
      <c r="AK395" t="s">
        <v>47</v>
      </c>
      <c r="AL395" t="s">
        <v>47</v>
      </c>
      <c r="AM395" t="s">
        <v>47</v>
      </c>
      <c r="AN395" t="s">
        <v>47</v>
      </c>
      <c r="AO395" s="5" t="s">
        <v>51</v>
      </c>
      <c r="AP395" s="4" t="s">
        <v>197</v>
      </c>
      <c r="AQ395" s="4" t="s">
        <v>53</v>
      </c>
      <c r="AR395" s="4" t="s">
        <v>54</v>
      </c>
      <c r="AS395" s="5">
        <v>2026426</v>
      </c>
      <c r="AT395" t="s">
        <v>47</v>
      </c>
    </row>
    <row r="396" spans="1:46" ht="52" x14ac:dyDescent="0.3">
      <c r="A396" s="4" t="s">
        <v>1742</v>
      </c>
      <c r="B396" t="s">
        <v>47</v>
      </c>
      <c r="C396" s="4" t="s">
        <v>1743</v>
      </c>
      <c r="D396" s="4" t="s">
        <v>1420</v>
      </c>
      <c r="E396" s="4" t="s">
        <v>49</v>
      </c>
      <c r="F396" t="s">
        <v>47</v>
      </c>
      <c r="G396" s="5" t="s">
        <v>1744</v>
      </c>
      <c r="H396" t="s">
        <v>47</v>
      </c>
      <c r="I396" s="3">
        <v>41456</v>
      </c>
      <c r="J396" s="5" t="s">
        <v>50</v>
      </c>
      <c r="K396" t="s">
        <v>47</v>
      </c>
      <c r="L396" s="5" t="s">
        <v>60</v>
      </c>
      <c r="M396" s="3">
        <v>41456</v>
      </c>
      <c r="N396" s="5" t="s">
        <v>50</v>
      </c>
      <c r="O396" t="s">
        <v>47</v>
      </c>
      <c r="P396" s="3">
        <v>41456</v>
      </c>
      <c r="Q396" s="5" t="s">
        <v>50</v>
      </c>
      <c r="R396" t="s">
        <v>47</v>
      </c>
      <c r="S396" t="s">
        <v>47</v>
      </c>
      <c r="T396" t="s">
        <v>47</v>
      </c>
      <c r="U396" t="s">
        <v>47</v>
      </c>
      <c r="V396" t="s">
        <v>47</v>
      </c>
      <c r="W396" s="3">
        <v>41456</v>
      </c>
      <c r="X396" s="5" t="s">
        <v>50</v>
      </c>
      <c r="Y396" t="s">
        <v>47</v>
      </c>
      <c r="Z396" s="3">
        <v>41456</v>
      </c>
      <c r="AA396" s="5" t="s">
        <v>50</v>
      </c>
      <c r="AB396" t="s">
        <v>47</v>
      </c>
      <c r="AC396" s="3">
        <v>41456</v>
      </c>
      <c r="AD396" s="5" t="s">
        <v>50</v>
      </c>
      <c r="AE396" t="s">
        <v>47</v>
      </c>
      <c r="AF396" t="s">
        <v>47</v>
      </c>
      <c r="AG396" t="s">
        <v>47</v>
      </c>
      <c r="AH396" t="s">
        <v>47</v>
      </c>
      <c r="AI396" t="s">
        <v>47</v>
      </c>
      <c r="AJ396" t="s">
        <v>47</v>
      </c>
      <c r="AK396" t="s">
        <v>47</v>
      </c>
      <c r="AL396" t="s">
        <v>47</v>
      </c>
      <c r="AM396" t="s">
        <v>47</v>
      </c>
      <c r="AN396" t="s">
        <v>47</v>
      </c>
      <c r="AO396" s="5" t="s">
        <v>60</v>
      </c>
      <c r="AP396" s="4" t="s">
        <v>61</v>
      </c>
      <c r="AQ396" s="4" t="s">
        <v>53</v>
      </c>
      <c r="AR396" s="4" t="s">
        <v>1745</v>
      </c>
      <c r="AS396" s="5">
        <v>2032766</v>
      </c>
      <c r="AT396" t="s">
        <v>47</v>
      </c>
    </row>
    <row r="397" spans="1:46" ht="52" x14ac:dyDescent="0.3">
      <c r="A397" s="4" t="s">
        <v>1746</v>
      </c>
      <c r="B397" t="s">
        <v>47</v>
      </c>
      <c r="C397" s="4" t="s">
        <v>1747</v>
      </c>
      <c r="D397" s="4" t="s">
        <v>801</v>
      </c>
      <c r="E397" s="4" t="s">
        <v>66</v>
      </c>
      <c r="F397" s="5" t="s">
        <v>1748</v>
      </c>
      <c r="G397" t="s">
        <v>47</v>
      </c>
      <c r="H397" t="s">
        <v>47</v>
      </c>
      <c r="I397" s="3">
        <v>35886</v>
      </c>
      <c r="J397" s="3">
        <v>38626</v>
      </c>
      <c r="K397" t="s">
        <v>47</v>
      </c>
      <c r="L397" s="5" t="s">
        <v>60</v>
      </c>
      <c r="M397" s="3">
        <v>35886</v>
      </c>
      <c r="N397" s="3">
        <v>38626</v>
      </c>
      <c r="O397" t="s">
        <v>47</v>
      </c>
      <c r="P397" s="3">
        <v>35886</v>
      </c>
      <c r="Q397" s="3">
        <v>38626</v>
      </c>
      <c r="R397" t="s">
        <v>47</v>
      </c>
      <c r="S397" t="s">
        <v>47</v>
      </c>
      <c r="T397" t="s">
        <v>47</v>
      </c>
      <c r="U397" t="s">
        <v>47</v>
      </c>
      <c r="V397" t="s">
        <v>47</v>
      </c>
      <c r="W397" s="3">
        <v>35886</v>
      </c>
      <c r="X397" s="3">
        <v>38626</v>
      </c>
      <c r="Y397" t="s">
        <v>47</v>
      </c>
      <c r="Z397" s="3">
        <v>35886</v>
      </c>
      <c r="AA397" s="3">
        <v>38626</v>
      </c>
      <c r="AB397" t="s">
        <v>47</v>
      </c>
      <c r="AC397" s="3">
        <v>37895</v>
      </c>
      <c r="AD397" s="3">
        <v>38626</v>
      </c>
      <c r="AE397" t="s">
        <v>47</v>
      </c>
      <c r="AF397" t="s">
        <v>47</v>
      </c>
      <c r="AG397" t="s">
        <v>47</v>
      </c>
      <c r="AH397" t="s">
        <v>47</v>
      </c>
      <c r="AI397" t="s">
        <v>47</v>
      </c>
      <c r="AJ397" t="s">
        <v>47</v>
      </c>
      <c r="AK397" t="s">
        <v>47</v>
      </c>
      <c r="AL397" t="s">
        <v>47</v>
      </c>
      <c r="AM397" t="s">
        <v>47</v>
      </c>
      <c r="AN397" t="s">
        <v>47</v>
      </c>
      <c r="AO397" s="5" t="s">
        <v>60</v>
      </c>
      <c r="AP397" s="4" t="s">
        <v>61</v>
      </c>
      <c r="AQ397" s="4" t="s">
        <v>53</v>
      </c>
      <c r="AR397" s="4" t="s">
        <v>1745</v>
      </c>
      <c r="AS397" s="5">
        <v>47635</v>
      </c>
      <c r="AT397" t="s">
        <v>47</v>
      </c>
    </row>
    <row r="398" spans="1:46" ht="91" x14ac:dyDescent="0.3">
      <c r="A398" s="4" t="s">
        <v>1749</v>
      </c>
      <c r="B398" t="s">
        <v>47</v>
      </c>
      <c r="C398" s="4" t="s">
        <v>1749</v>
      </c>
      <c r="D398" s="4" t="s">
        <v>612</v>
      </c>
      <c r="E398" s="4" t="s">
        <v>49</v>
      </c>
      <c r="F398" s="5" t="s">
        <v>1750</v>
      </c>
      <c r="G398" s="5" t="s">
        <v>1751</v>
      </c>
      <c r="H398" t="s">
        <v>47</v>
      </c>
      <c r="I398" s="3">
        <v>36892</v>
      </c>
      <c r="J398" s="3">
        <v>43009</v>
      </c>
      <c r="K398" t="s">
        <v>47</v>
      </c>
      <c r="L398" s="5" t="s">
        <v>60</v>
      </c>
      <c r="M398" s="3">
        <v>36892</v>
      </c>
      <c r="N398" s="3">
        <v>43009</v>
      </c>
      <c r="O398" t="s">
        <v>47</v>
      </c>
      <c r="P398" t="s">
        <v>47</v>
      </c>
      <c r="Q398" t="s">
        <v>47</v>
      </c>
      <c r="R398" t="s">
        <v>47</v>
      </c>
      <c r="S398" t="s">
        <v>47</v>
      </c>
      <c r="T398" t="s">
        <v>47</v>
      </c>
      <c r="U398" t="s">
        <v>47</v>
      </c>
      <c r="V398" t="s">
        <v>47</v>
      </c>
      <c r="W398" s="3">
        <v>36892</v>
      </c>
      <c r="X398" s="3">
        <v>43009</v>
      </c>
      <c r="Y398" t="s">
        <v>47</v>
      </c>
      <c r="Z398" s="3">
        <v>36892</v>
      </c>
      <c r="AA398" s="3">
        <v>43009</v>
      </c>
      <c r="AB398" t="s">
        <v>47</v>
      </c>
      <c r="AC398" s="3">
        <v>36892</v>
      </c>
      <c r="AD398" s="3">
        <v>43009</v>
      </c>
      <c r="AE398" t="s">
        <v>47</v>
      </c>
      <c r="AF398" t="s">
        <v>47</v>
      </c>
      <c r="AG398" t="s">
        <v>47</v>
      </c>
      <c r="AH398" t="s">
        <v>47</v>
      </c>
      <c r="AI398" t="s">
        <v>47</v>
      </c>
      <c r="AJ398" t="s">
        <v>47</v>
      </c>
      <c r="AK398" t="s">
        <v>47</v>
      </c>
      <c r="AL398" t="s">
        <v>47</v>
      </c>
      <c r="AM398" t="s">
        <v>47</v>
      </c>
      <c r="AN398" t="s">
        <v>47</v>
      </c>
      <c r="AO398" s="5" t="s">
        <v>60</v>
      </c>
      <c r="AP398" s="4" t="s">
        <v>61</v>
      </c>
      <c r="AQ398" s="4" t="s">
        <v>53</v>
      </c>
      <c r="AR398" s="4" t="s">
        <v>1733</v>
      </c>
      <c r="AS398" s="5">
        <v>1766362</v>
      </c>
      <c r="AT398" t="s">
        <v>47</v>
      </c>
    </row>
    <row r="399" spans="1:46" ht="91" x14ac:dyDescent="0.3">
      <c r="A399" s="4" t="s">
        <v>1749</v>
      </c>
      <c r="B399" t="s">
        <v>47</v>
      </c>
      <c r="C399" s="4" t="s">
        <v>1752</v>
      </c>
      <c r="D399" s="4" t="s">
        <v>612</v>
      </c>
      <c r="E399" s="4" t="s">
        <v>49</v>
      </c>
      <c r="F399" s="5" t="s">
        <v>1750</v>
      </c>
      <c r="G399" s="5" t="s">
        <v>1751</v>
      </c>
      <c r="H399" t="s">
        <v>47</v>
      </c>
      <c r="I399" s="3">
        <v>43101</v>
      </c>
      <c r="J399" s="5" t="s">
        <v>50</v>
      </c>
      <c r="K399" t="s">
        <v>47</v>
      </c>
      <c r="L399" s="5" t="s">
        <v>60</v>
      </c>
      <c r="M399" s="3">
        <v>43101</v>
      </c>
      <c r="N399" s="5" t="s">
        <v>50</v>
      </c>
      <c r="O399" t="s">
        <v>47</v>
      </c>
      <c r="P399" t="s">
        <v>47</v>
      </c>
      <c r="Q399" t="s">
        <v>47</v>
      </c>
      <c r="R399" t="s">
        <v>47</v>
      </c>
      <c r="S399" t="s">
        <v>47</v>
      </c>
      <c r="T399" t="s">
        <v>47</v>
      </c>
      <c r="U399" t="s">
        <v>47</v>
      </c>
      <c r="V399" t="s">
        <v>47</v>
      </c>
      <c r="W399" s="3">
        <v>43101</v>
      </c>
      <c r="X399" s="5" t="s">
        <v>50</v>
      </c>
      <c r="Y399" t="s">
        <v>47</v>
      </c>
      <c r="Z399" s="3">
        <v>43101</v>
      </c>
      <c r="AA399" s="5" t="s">
        <v>50</v>
      </c>
      <c r="AB399" t="s">
        <v>47</v>
      </c>
      <c r="AC399" s="3">
        <v>43101</v>
      </c>
      <c r="AD399" s="5" t="s">
        <v>50</v>
      </c>
      <c r="AE399" t="s">
        <v>47</v>
      </c>
      <c r="AF399" t="s">
        <v>47</v>
      </c>
      <c r="AG399" t="s">
        <v>47</v>
      </c>
      <c r="AH399" t="s">
        <v>47</v>
      </c>
      <c r="AI399" t="s">
        <v>47</v>
      </c>
      <c r="AJ399" t="s">
        <v>47</v>
      </c>
      <c r="AK399" t="s">
        <v>47</v>
      </c>
      <c r="AL399" t="s">
        <v>47</v>
      </c>
      <c r="AM399" t="s">
        <v>47</v>
      </c>
      <c r="AN399" t="s">
        <v>47</v>
      </c>
      <c r="AO399" s="5" t="s">
        <v>60</v>
      </c>
      <c r="AP399" s="4" t="s">
        <v>61</v>
      </c>
      <c r="AQ399" s="4" t="s">
        <v>53</v>
      </c>
      <c r="AR399" s="4" t="s">
        <v>1733</v>
      </c>
      <c r="AS399" s="5">
        <v>2050154</v>
      </c>
      <c r="AT399" t="s">
        <v>47</v>
      </c>
    </row>
    <row r="400" spans="1:46" ht="143" x14ac:dyDescent="0.3">
      <c r="A400" s="4" t="s">
        <v>1753</v>
      </c>
      <c r="B400" t="s">
        <v>47</v>
      </c>
      <c r="C400" s="4" t="s">
        <v>193</v>
      </c>
      <c r="D400" s="4" t="s">
        <v>194</v>
      </c>
      <c r="E400" s="4" t="s">
        <v>195</v>
      </c>
      <c r="F400" t="s">
        <v>47</v>
      </c>
      <c r="G400" s="5" t="s">
        <v>1754</v>
      </c>
      <c r="H400" t="s">
        <v>47</v>
      </c>
      <c r="I400" s="3">
        <v>42023</v>
      </c>
      <c r="J400" s="5" t="s">
        <v>50</v>
      </c>
      <c r="K400" s="5" t="s">
        <v>1755</v>
      </c>
      <c r="L400" s="5" t="s">
        <v>51</v>
      </c>
      <c r="M400" t="s">
        <v>47</v>
      </c>
      <c r="N400" t="s">
        <v>47</v>
      </c>
      <c r="O400" t="s">
        <v>47</v>
      </c>
      <c r="P400" s="3">
        <v>42023</v>
      </c>
      <c r="Q400" s="5" t="s">
        <v>50</v>
      </c>
      <c r="R400" s="5" t="s">
        <v>1755</v>
      </c>
      <c r="S400" t="s">
        <v>47</v>
      </c>
      <c r="T400" t="s">
        <v>47</v>
      </c>
      <c r="U400" t="s">
        <v>47</v>
      </c>
      <c r="V400" s="5">
        <v>180</v>
      </c>
      <c r="W400" s="3">
        <v>42023</v>
      </c>
      <c r="X400" s="5" t="s">
        <v>50</v>
      </c>
      <c r="Y400" s="5" t="s">
        <v>1755</v>
      </c>
      <c r="Z400" s="3">
        <v>42023</v>
      </c>
      <c r="AA400" s="5" t="s">
        <v>50</v>
      </c>
      <c r="AB400" s="5" t="s">
        <v>1755</v>
      </c>
      <c r="AC400" s="3">
        <v>42023</v>
      </c>
      <c r="AD400" s="5" t="s">
        <v>50</v>
      </c>
      <c r="AE400" s="5" t="s">
        <v>1755</v>
      </c>
      <c r="AF400" t="s">
        <v>47</v>
      </c>
      <c r="AG400" t="s">
        <v>47</v>
      </c>
      <c r="AH400" t="s">
        <v>47</v>
      </c>
      <c r="AI400" t="s">
        <v>47</v>
      </c>
      <c r="AJ400" t="s">
        <v>47</v>
      </c>
      <c r="AK400" t="s">
        <v>47</v>
      </c>
      <c r="AL400" t="s">
        <v>47</v>
      </c>
      <c r="AM400" t="s">
        <v>47</v>
      </c>
      <c r="AN400" t="s">
        <v>47</v>
      </c>
      <c r="AO400" s="5" t="s">
        <v>51</v>
      </c>
      <c r="AP400" s="4" t="s">
        <v>1756</v>
      </c>
      <c r="AQ400" s="4" t="s">
        <v>53</v>
      </c>
      <c r="AR400" s="4" t="s">
        <v>1757</v>
      </c>
      <c r="AS400" s="5">
        <v>6246009</v>
      </c>
      <c r="AT400" t="s">
        <v>47</v>
      </c>
    </row>
    <row r="401" spans="1:46" ht="13" x14ac:dyDescent="0.3">
      <c r="A401" s="4" t="s">
        <v>1758</v>
      </c>
      <c r="B401" t="s">
        <v>47</v>
      </c>
      <c r="C401" s="4" t="s">
        <v>1759</v>
      </c>
      <c r="D401" s="4" t="s">
        <v>70</v>
      </c>
      <c r="E401" s="4" t="s">
        <v>66</v>
      </c>
      <c r="F401" s="5" t="s">
        <v>1760</v>
      </c>
      <c r="G401" s="5" t="s">
        <v>1761</v>
      </c>
      <c r="H401" t="s">
        <v>47</v>
      </c>
      <c r="I401" s="3">
        <v>40909</v>
      </c>
      <c r="J401" s="5" t="s">
        <v>50</v>
      </c>
      <c r="K401" t="s">
        <v>47</v>
      </c>
      <c r="L401" s="5" t="s">
        <v>60</v>
      </c>
      <c r="M401" s="3">
        <v>40909</v>
      </c>
      <c r="N401" s="5" t="s">
        <v>50</v>
      </c>
      <c r="O401" t="s">
        <v>47</v>
      </c>
      <c r="P401" s="3">
        <v>40909</v>
      </c>
      <c r="Q401" s="5" t="s">
        <v>50</v>
      </c>
      <c r="R401" t="s">
        <v>47</v>
      </c>
      <c r="S401" t="s">
        <v>47</v>
      </c>
      <c r="T401" t="s">
        <v>47</v>
      </c>
      <c r="U401" t="s">
        <v>47</v>
      </c>
      <c r="V401" t="s">
        <v>47</v>
      </c>
      <c r="W401" s="3">
        <v>40909</v>
      </c>
      <c r="X401" s="5" t="s">
        <v>50</v>
      </c>
      <c r="Y401" t="s">
        <v>47</v>
      </c>
      <c r="Z401" s="3">
        <v>40909</v>
      </c>
      <c r="AA401" s="5" t="s">
        <v>50</v>
      </c>
      <c r="AB401" t="s">
        <v>47</v>
      </c>
      <c r="AC401" s="3">
        <v>40909</v>
      </c>
      <c r="AD401" s="5" t="s">
        <v>50</v>
      </c>
      <c r="AE401" t="s">
        <v>47</v>
      </c>
      <c r="AF401" t="s">
        <v>47</v>
      </c>
      <c r="AG401" t="s">
        <v>47</v>
      </c>
      <c r="AH401" t="s">
        <v>47</v>
      </c>
      <c r="AI401" t="s">
        <v>47</v>
      </c>
      <c r="AJ401" t="s">
        <v>47</v>
      </c>
      <c r="AK401" t="s">
        <v>47</v>
      </c>
      <c r="AL401" t="s">
        <v>47</v>
      </c>
      <c r="AM401" t="s">
        <v>47</v>
      </c>
      <c r="AN401" t="s">
        <v>47</v>
      </c>
      <c r="AO401" s="5" t="s">
        <v>60</v>
      </c>
      <c r="AP401" s="4" t="s">
        <v>61</v>
      </c>
      <c r="AQ401" s="4" t="s">
        <v>53</v>
      </c>
      <c r="AR401" s="4" t="s">
        <v>54</v>
      </c>
      <c r="AS401" s="5">
        <v>1096450</v>
      </c>
      <c r="AT401" t="s">
        <v>47</v>
      </c>
    </row>
    <row r="402" spans="1:46" ht="39" x14ac:dyDescent="0.3">
      <c r="A402" s="4" t="s">
        <v>1762</v>
      </c>
      <c r="B402" t="s">
        <v>47</v>
      </c>
      <c r="C402" s="4" t="s">
        <v>621</v>
      </c>
      <c r="D402" s="4" t="s">
        <v>670</v>
      </c>
      <c r="E402" s="4" t="s">
        <v>58</v>
      </c>
      <c r="F402" s="5" t="s">
        <v>1763</v>
      </c>
      <c r="G402" t="s">
        <v>47</v>
      </c>
      <c r="H402" t="s">
        <v>47</v>
      </c>
      <c r="I402" s="3">
        <v>38504</v>
      </c>
      <c r="J402" s="3">
        <v>40878</v>
      </c>
      <c r="K402" t="s">
        <v>47</v>
      </c>
      <c r="L402" s="5" t="s">
        <v>60</v>
      </c>
      <c r="M402" s="3">
        <v>39417</v>
      </c>
      <c r="N402" s="3">
        <v>40878</v>
      </c>
      <c r="O402" t="s">
        <v>47</v>
      </c>
      <c r="P402" s="3">
        <v>38504</v>
      </c>
      <c r="Q402" s="3">
        <v>40878</v>
      </c>
      <c r="R402" t="s">
        <v>47</v>
      </c>
      <c r="S402" t="s">
        <v>47</v>
      </c>
      <c r="T402" t="s">
        <v>47</v>
      </c>
      <c r="U402" t="s">
        <v>47</v>
      </c>
      <c r="V402" t="s">
        <v>47</v>
      </c>
      <c r="W402" s="3">
        <v>38504</v>
      </c>
      <c r="X402" s="3">
        <v>40878</v>
      </c>
      <c r="Y402" t="s">
        <v>47</v>
      </c>
      <c r="Z402" s="3">
        <v>38504</v>
      </c>
      <c r="AA402" s="3">
        <v>40878</v>
      </c>
      <c r="AB402" t="s">
        <v>47</v>
      </c>
      <c r="AC402" s="3">
        <v>38504</v>
      </c>
      <c r="AD402" s="3">
        <v>40878</v>
      </c>
      <c r="AE402" t="s">
        <v>47</v>
      </c>
      <c r="AF402" t="s">
        <v>47</v>
      </c>
      <c r="AG402" t="s">
        <v>47</v>
      </c>
      <c r="AH402" t="s">
        <v>47</v>
      </c>
      <c r="AI402" t="s">
        <v>47</v>
      </c>
      <c r="AJ402" t="s">
        <v>47</v>
      </c>
      <c r="AK402" t="s">
        <v>47</v>
      </c>
      <c r="AL402" t="s">
        <v>47</v>
      </c>
      <c r="AM402" t="s">
        <v>47</v>
      </c>
      <c r="AN402" t="s">
        <v>47</v>
      </c>
      <c r="AO402" s="5" t="s">
        <v>60</v>
      </c>
      <c r="AP402" s="4" t="s">
        <v>61</v>
      </c>
      <c r="AQ402" s="4" t="s">
        <v>53</v>
      </c>
      <c r="AR402" s="4" t="s">
        <v>62</v>
      </c>
      <c r="AS402" s="5">
        <v>27667</v>
      </c>
      <c r="AT402" t="s">
        <v>47</v>
      </c>
    </row>
    <row r="403" spans="1:46" ht="39" x14ac:dyDescent="0.3">
      <c r="A403" s="4" t="s">
        <v>1764</v>
      </c>
      <c r="B403" t="s">
        <v>47</v>
      </c>
      <c r="C403" s="4" t="s">
        <v>621</v>
      </c>
      <c r="D403" s="4" t="s">
        <v>1765</v>
      </c>
      <c r="E403" s="4" t="s">
        <v>58</v>
      </c>
      <c r="F403" t="s">
        <v>47</v>
      </c>
      <c r="G403" s="5" t="s">
        <v>1766</v>
      </c>
      <c r="H403" t="s">
        <v>47</v>
      </c>
      <c r="I403" s="3">
        <v>40909</v>
      </c>
      <c r="J403" s="5" t="s">
        <v>50</v>
      </c>
      <c r="K403" t="s">
        <v>47</v>
      </c>
      <c r="L403" s="5" t="s">
        <v>60</v>
      </c>
      <c r="M403" s="3">
        <v>40909</v>
      </c>
      <c r="N403" s="5" t="s">
        <v>50</v>
      </c>
      <c r="O403" t="s">
        <v>47</v>
      </c>
      <c r="P403" s="3">
        <v>40909</v>
      </c>
      <c r="Q403" s="5" t="s">
        <v>50</v>
      </c>
      <c r="R403" t="s">
        <v>47</v>
      </c>
      <c r="S403" t="s">
        <v>47</v>
      </c>
      <c r="T403" t="s">
        <v>47</v>
      </c>
      <c r="U403" t="s">
        <v>47</v>
      </c>
      <c r="V403" t="s">
        <v>47</v>
      </c>
      <c r="W403" s="3">
        <v>40909</v>
      </c>
      <c r="X403" s="5" t="s">
        <v>50</v>
      </c>
      <c r="Y403" t="s">
        <v>47</v>
      </c>
      <c r="Z403" s="3">
        <v>40909</v>
      </c>
      <c r="AA403" s="5" t="s">
        <v>50</v>
      </c>
      <c r="AB403" t="s">
        <v>47</v>
      </c>
      <c r="AC403" s="3">
        <v>40909</v>
      </c>
      <c r="AD403" s="5" t="s">
        <v>50</v>
      </c>
      <c r="AE403" t="s">
        <v>47</v>
      </c>
      <c r="AF403" t="s">
        <v>47</v>
      </c>
      <c r="AG403" t="s">
        <v>47</v>
      </c>
      <c r="AH403" t="s">
        <v>47</v>
      </c>
      <c r="AI403" t="s">
        <v>47</v>
      </c>
      <c r="AJ403" t="s">
        <v>47</v>
      </c>
      <c r="AK403" t="s">
        <v>47</v>
      </c>
      <c r="AL403" t="s">
        <v>47</v>
      </c>
      <c r="AM403" t="s">
        <v>47</v>
      </c>
      <c r="AN403" t="s">
        <v>47</v>
      </c>
      <c r="AO403" s="5" t="s">
        <v>60</v>
      </c>
      <c r="AP403" s="4" t="s">
        <v>61</v>
      </c>
      <c r="AQ403" s="4" t="s">
        <v>53</v>
      </c>
      <c r="AR403" s="4" t="s">
        <v>62</v>
      </c>
      <c r="AS403" s="5">
        <v>1466342</v>
      </c>
      <c r="AT403" t="s">
        <v>47</v>
      </c>
    </row>
    <row r="404" spans="1:46" ht="13" x14ac:dyDescent="0.3">
      <c r="A404" s="4" t="s">
        <v>1767</v>
      </c>
      <c r="B404" t="s">
        <v>47</v>
      </c>
      <c r="C404" s="4" t="s">
        <v>1768</v>
      </c>
      <c r="D404" s="4" t="s">
        <v>785</v>
      </c>
      <c r="E404" s="4" t="s">
        <v>1621</v>
      </c>
      <c r="F404" t="s">
        <v>47</v>
      </c>
      <c r="G404" s="5" t="s">
        <v>1769</v>
      </c>
      <c r="H404" t="s">
        <v>47</v>
      </c>
      <c r="I404" s="3">
        <v>40544</v>
      </c>
      <c r="J404" s="5" t="s">
        <v>50</v>
      </c>
      <c r="K404" t="s">
        <v>47</v>
      </c>
      <c r="L404" s="5" t="s">
        <v>60</v>
      </c>
      <c r="M404" s="3">
        <v>43344</v>
      </c>
      <c r="N404" s="5" t="s">
        <v>50</v>
      </c>
      <c r="O404" t="s">
        <v>47</v>
      </c>
      <c r="P404" s="3">
        <v>40544</v>
      </c>
      <c r="Q404" s="5" t="s">
        <v>50</v>
      </c>
      <c r="R404" t="s">
        <v>47</v>
      </c>
      <c r="S404" t="s">
        <v>47</v>
      </c>
      <c r="T404" t="s">
        <v>47</v>
      </c>
      <c r="U404" t="s">
        <v>47</v>
      </c>
      <c r="V404" t="s">
        <v>47</v>
      </c>
      <c r="W404" s="3">
        <v>40544</v>
      </c>
      <c r="X404" s="5" t="s">
        <v>50</v>
      </c>
      <c r="Y404" t="s">
        <v>47</v>
      </c>
      <c r="Z404" s="3">
        <v>40544</v>
      </c>
      <c r="AA404" s="5" t="s">
        <v>50</v>
      </c>
      <c r="AB404" t="s">
        <v>47</v>
      </c>
      <c r="AC404" s="3">
        <v>40544</v>
      </c>
      <c r="AD404" s="5" t="s">
        <v>50</v>
      </c>
      <c r="AE404" t="s">
        <v>47</v>
      </c>
      <c r="AF404" t="s">
        <v>47</v>
      </c>
      <c r="AG404" t="s">
        <v>47</v>
      </c>
      <c r="AH404" t="s">
        <v>47</v>
      </c>
      <c r="AI404" t="s">
        <v>47</v>
      </c>
      <c r="AJ404" t="s">
        <v>47</v>
      </c>
      <c r="AK404" t="s">
        <v>47</v>
      </c>
      <c r="AL404" t="s">
        <v>47</v>
      </c>
      <c r="AM404" t="s">
        <v>47</v>
      </c>
      <c r="AN404" t="s">
        <v>47</v>
      </c>
      <c r="AO404" s="5" t="s">
        <v>60</v>
      </c>
      <c r="AP404" s="4" t="s">
        <v>61</v>
      </c>
      <c r="AQ404" s="4" t="s">
        <v>53</v>
      </c>
      <c r="AR404" s="4" t="s">
        <v>54</v>
      </c>
      <c r="AS404" s="5">
        <v>2032405</v>
      </c>
      <c r="AT404" t="s">
        <v>47</v>
      </c>
    </row>
    <row r="405" spans="1:46" ht="65" x14ac:dyDescent="0.3">
      <c r="A405" s="4" t="s">
        <v>1770</v>
      </c>
      <c r="B405" t="s">
        <v>47</v>
      </c>
      <c r="C405" s="4" t="s">
        <v>354</v>
      </c>
      <c r="D405" s="4" t="s">
        <v>217</v>
      </c>
      <c r="E405" s="4" t="s">
        <v>49</v>
      </c>
      <c r="F405" s="5" t="s">
        <v>1771</v>
      </c>
      <c r="G405" t="s">
        <v>47</v>
      </c>
      <c r="H405" t="s">
        <v>47</v>
      </c>
      <c r="I405" s="3">
        <v>38961</v>
      </c>
      <c r="J405" s="3">
        <v>42339</v>
      </c>
      <c r="K405" t="s">
        <v>47</v>
      </c>
      <c r="L405" s="5" t="s">
        <v>51</v>
      </c>
      <c r="M405" s="3">
        <v>38961</v>
      </c>
      <c r="N405" s="3">
        <v>42339</v>
      </c>
      <c r="O405" t="s">
        <v>47</v>
      </c>
      <c r="P405" s="3">
        <v>38961</v>
      </c>
      <c r="Q405" s="3">
        <v>42339</v>
      </c>
      <c r="R405" t="s">
        <v>47</v>
      </c>
      <c r="S405" t="s">
        <v>47</v>
      </c>
      <c r="T405" t="s">
        <v>47</v>
      </c>
      <c r="U405" t="s">
        <v>47</v>
      </c>
      <c r="V405" t="s">
        <v>47</v>
      </c>
      <c r="W405" s="3">
        <v>38961</v>
      </c>
      <c r="X405" s="3">
        <v>42339</v>
      </c>
      <c r="Y405" t="s">
        <v>47</v>
      </c>
      <c r="Z405" s="3">
        <v>38961</v>
      </c>
      <c r="AA405" s="3">
        <v>42339</v>
      </c>
      <c r="AB405" t="s">
        <v>47</v>
      </c>
      <c r="AC405" t="s">
        <v>47</v>
      </c>
      <c r="AD405" t="s">
        <v>47</v>
      </c>
      <c r="AE405" t="s">
        <v>47</v>
      </c>
      <c r="AF405" t="s">
        <v>47</v>
      </c>
      <c r="AG405" t="s">
        <v>47</v>
      </c>
      <c r="AH405" t="s">
        <v>47</v>
      </c>
      <c r="AI405" t="s">
        <v>47</v>
      </c>
      <c r="AJ405" t="s">
        <v>47</v>
      </c>
      <c r="AK405" t="s">
        <v>47</v>
      </c>
      <c r="AL405" t="s">
        <v>47</v>
      </c>
      <c r="AM405" t="s">
        <v>47</v>
      </c>
      <c r="AN405" t="s">
        <v>47</v>
      </c>
      <c r="AO405" s="5" t="s">
        <v>51</v>
      </c>
      <c r="AP405" s="4" t="s">
        <v>85</v>
      </c>
      <c r="AQ405" s="4" t="s">
        <v>53</v>
      </c>
      <c r="AR405" s="4" t="s">
        <v>1772</v>
      </c>
      <c r="AS405" s="5">
        <v>28976</v>
      </c>
      <c r="AT405" t="s">
        <v>47</v>
      </c>
    </row>
    <row r="406" spans="1:46" ht="13" x14ac:dyDescent="0.3">
      <c r="A406" s="4" t="s">
        <v>1773</v>
      </c>
      <c r="B406" t="s">
        <v>47</v>
      </c>
      <c r="C406" s="4" t="s">
        <v>1774</v>
      </c>
      <c r="D406" s="4" t="s">
        <v>1775</v>
      </c>
      <c r="E406" s="4" t="s">
        <v>195</v>
      </c>
      <c r="F406" s="5" t="s">
        <v>1776</v>
      </c>
      <c r="G406" t="s">
        <v>47</v>
      </c>
      <c r="H406" t="s">
        <v>47</v>
      </c>
      <c r="I406" s="3">
        <v>44197</v>
      </c>
      <c r="J406" s="5" t="s">
        <v>50</v>
      </c>
      <c r="K406" t="s">
        <v>47</v>
      </c>
      <c r="L406" s="5" t="s">
        <v>60</v>
      </c>
      <c r="M406" s="3">
        <v>44197</v>
      </c>
      <c r="N406" s="5" t="s">
        <v>50</v>
      </c>
      <c r="O406" t="s">
        <v>47</v>
      </c>
      <c r="P406" t="s">
        <v>47</v>
      </c>
      <c r="Q406" t="s">
        <v>47</v>
      </c>
      <c r="R406" t="s">
        <v>47</v>
      </c>
      <c r="S406" t="s">
        <v>47</v>
      </c>
      <c r="T406" t="s">
        <v>47</v>
      </c>
      <c r="U406" t="s">
        <v>47</v>
      </c>
      <c r="V406" t="s">
        <v>47</v>
      </c>
      <c r="W406" s="3">
        <v>44197</v>
      </c>
      <c r="X406" s="5" t="s">
        <v>50</v>
      </c>
      <c r="Y406" t="s">
        <v>47</v>
      </c>
      <c r="Z406" s="3">
        <v>44197</v>
      </c>
      <c r="AA406" s="5" t="s">
        <v>50</v>
      </c>
      <c r="AB406" t="s">
        <v>47</v>
      </c>
      <c r="AC406" s="3">
        <v>44197</v>
      </c>
      <c r="AD406" s="5" t="s">
        <v>50</v>
      </c>
      <c r="AE406" t="s">
        <v>47</v>
      </c>
      <c r="AF406" t="s">
        <v>47</v>
      </c>
      <c r="AG406" t="s">
        <v>47</v>
      </c>
      <c r="AH406" t="s">
        <v>47</v>
      </c>
      <c r="AI406" t="s">
        <v>47</v>
      </c>
      <c r="AJ406" t="s">
        <v>47</v>
      </c>
      <c r="AK406" t="s">
        <v>47</v>
      </c>
      <c r="AL406" t="s">
        <v>47</v>
      </c>
      <c r="AM406" t="s">
        <v>47</v>
      </c>
      <c r="AN406" t="s">
        <v>47</v>
      </c>
      <c r="AO406" s="5" t="s">
        <v>51</v>
      </c>
      <c r="AP406" s="4" t="s">
        <v>61</v>
      </c>
      <c r="AQ406" s="4" t="s">
        <v>53</v>
      </c>
      <c r="AR406" s="4" t="s">
        <v>54</v>
      </c>
      <c r="AS406" s="5">
        <v>6508384</v>
      </c>
      <c r="AT406" t="s">
        <v>47</v>
      </c>
    </row>
    <row r="407" spans="1:46" ht="26" x14ac:dyDescent="0.3">
      <c r="A407" s="4" t="s">
        <v>1777</v>
      </c>
      <c r="B407" t="s">
        <v>47</v>
      </c>
      <c r="C407" s="4" t="s">
        <v>1778</v>
      </c>
      <c r="D407" s="4" t="s">
        <v>901</v>
      </c>
      <c r="E407" s="4" t="s">
        <v>100</v>
      </c>
      <c r="F407" s="5" t="s">
        <v>1779</v>
      </c>
      <c r="G407" t="s">
        <v>47</v>
      </c>
      <c r="H407" t="s">
        <v>47</v>
      </c>
      <c r="I407" s="3">
        <v>36161</v>
      </c>
      <c r="J407" s="3">
        <v>39904</v>
      </c>
      <c r="K407" t="s">
        <v>47</v>
      </c>
      <c r="L407" s="5" t="s">
        <v>51</v>
      </c>
      <c r="M407" s="3">
        <v>36161</v>
      </c>
      <c r="N407" s="3">
        <v>39904</v>
      </c>
      <c r="O407" t="s">
        <v>47</v>
      </c>
      <c r="P407" s="3">
        <v>38443</v>
      </c>
      <c r="Q407" s="3">
        <v>39904</v>
      </c>
      <c r="R407" t="s">
        <v>47</v>
      </c>
      <c r="S407" t="s">
        <v>47</v>
      </c>
      <c r="T407" t="s">
        <v>47</v>
      </c>
      <c r="U407" t="s">
        <v>47</v>
      </c>
      <c r="V407" t="s">
        <v>47</v>
      </c>
      <c r="W407" s="3">
        <v>33848</v>
      </c>
      <c r="X407" s="3">
        <v>39904</v>
      </c>
      <c r="Y407" t="s">
        <v>47</v>
      </c>
      <c r="Z407" s="3">
        <v>33848</v>
      </c>
      <c r="AA407" s="3">
        <v>39904</v>
      </c>
      <c r="AB407" t="s">
        <v>47</v>
      </c>
      <c r="AC407" s="3">
        <v>36161</v>
      </c>
      <c r="AD407" s="3">
        <v>39904</v>
      </c>
      <c r="AE407" t="s">
        <v>47</v>
      </c>
      <c r="AF407" t="s">
        <v>47</v>
      </c>
      <c r="AG407" t="s">
        <v>47</v>
      </c>
      <c r="AH407" t="s">
        <v>47</v>
      </c>
      <c r="AI407" t="s">
        <v>47</v>
      </c>
      <c r="AJ407" t="s">
        <v>47</v>
      </c>
      <c r="AK407" t="s">
        <v>47</v>
      </c>
      <c r="AL407" t="s">
        <v>47</v>
      </c>
      <c r="AM407" t="s">
        <v>47</v>
      </c>
      <c r="AN407" t="s">
        <v>47</v>
      </c>
      <c r="AO407" s="5" t="s">
        <v>51</v>
      </c>
      <c r="AP407" s="4" t="s">
        <v>135</v>
      </c>
      <c r="AQ407" s="4" t="s">
        <v>53</v>
      </c>
      <c r="AR407" s="4" t="s">
        <v>54</v>
      </c>
      <c r="AS407" s="5">
        <v>31221</v>
      </c>
      <c r="AT407" t="s">
        <v>47</v>
      </c>
    </row>
    <row r="408" spans="1:46" ht="13" x14ac:dyDescent="0.3">
      <c r="A408" s="4" t="s">
        <v>1780</v>
      </c>
      <c r="B408" t="s">
        <v>47</v>
      </c>
      <c r="C408" s="4" t="s">
        <v>770</v>
      </c>
      <c r="D408" s="4" t="s">
        <v>88</v>
      </c>
      <c r="E408" s="4" t="s">
        <v>49</v>
      </c>
      <c r="F408" s="5" t="s">
        <v>1781</v>
      </c>
      <c r="G408" t="s">
        <v>47</v>
      </c>
      <c r="H408" t="s">
        <v>47</v>
      </c>
      <c r="I408" t="s">
        <v>47</v>
      </c>
      <c r="J408" t="s">
        <v>47</v>
      </c>
      <c r="K408" t="s">
        <v>47</v>
      </c>
      <c r="L408" s="5" t="s">
        <v>51</v>
      </c>
      <c r="M408" t="s">
        <v>47</v>
      </c>
      <c r="N408" t="s">
        <v>47</v>
      </c>
      <c r="O408" t="s">
        <v>47</v>
      </c>
      <c r="P408" t="s">
        <v>47</v>
      </c>
      <c r="Q408" t="s">
        <v>47</v>
      </c>
      <c r="R408" t="s">
        <v>47</v>
      </c>
      <c r="S408" t="s">
        <v>47</v>
      </c>
      <c r="T408" t="s">
        <v>47</v>
      </c>
      <c r="U408" t="s">
        <v>47</v>
      </c>
      <c r="V408" t="s">
        <v>47</v>
      </c>
      <c r="W408" s="3">
        <v>36129</v>
      </c>
      <c r="X408" s="3">
        <v>42887</v>
      </c>
      <c r="Y408" s="5" t="s">
        <v>1782</v>
      </c>
      <c r="Z408" s="3">
        <v>36129</v>
      </c>
      <c r="AA408" s="3">
        <v>42887</v>
      </c>
      <c r="AB408" s="5" t="s">
        <v>1782</v>
      </c>
      <c r="AC408" s="3">
        <v>37987</v>
      </c>
      <c r="AD408" s="3">
        <v>42887</v>
      </c>
      <c r="AE408" s="5" t="s">
        <v>1782</v>
      </c>
      <c r="AF408" t="s">
        <v>47</v>
      </c>
      <c r="AG408" t="s">
        <v>47</v>
      </c>
      <c r="AH408" t="s">
        <v>47</v>
      </c>
      <c r="AI408" t="s">
        <v>47</v>
      </c>
      <c r="AJ408" t="s">
        <v>47</v>
      </c>
      <c r="AK408" t="s">
        <v>47</v>
      </c>
      <c r="AL408" t="s">
        <v>47</v>
      </c>
      <c r="AM408" t="s">
        <v>47</v>
      </c>
      <c r="AN408" t="s">
        <v>47</v>
      </c>
      <c r="AO408" s="5" t="s">
        <v>51</v>
      </c>
      <c r="AP408" s="4" t="s">
        <v>85</v>
      </c>
      <c r="AQ408" s="4" t="s">
        <v>53</v>
      </c>
      <c r="AR408" s="4" t="s">
        <v>54</v>
      </c>
      <c r="AS408" s="5">
        <v>25140</v>
      </c>
      <c r="AT408" t="s">
        <v>47</v>
      </c>
    </row>
    <row r="409" spans="1:46" ht="13" x14ac:dyDescent="0.3">
      <c r="A409" s="4" t="s">
        <v>1783</v>
      </c>
      <c r="B409" t="s">
        <v>47</v>
      </c>
      <c r="C409" s="4" t="s">
        <v>1784</v>
      </c>
      <c r="D409" s="4" t="s">
        <v>217</v>
      </c>
      <c r="E409" s="4" t="s">
        <v>49</v>
      </c>
      <c r="F409" s="5" t="s">
        <v>1785</v>
      </c>
      <c r="G409" s="5" t="s">
        <v>1786</v>
      </c>
      <c r="H409" t="s">
        <v>47</v>
      </c>
      <c r="I409" s="3">
        <v>36922</v>
      </c>
      <c r="J409" s="5" t="s">
        <v>50</v>
      </c>
      <c r="K409" t="s">
        <v>47</v>
      </c>
      <c r="L409" s="5" t="s">
        <v>51</v>
      </c>
      <c r="M409" s="3">
        <v>36922</v>
      </c>
      <c r="N409" s="5" t="s">
        <v>50</v>
      </c>
      <c r="O409" t="s">
        <v>47</v>
      </c>
      <c r="P409" s="3">
        <v>36922</v>
      </c>
      <c r="Q409" s="3">
        <v>39211</v>
      </c>
      <c r="R409" t="s">
        <v>47</v>
      </c>
      <c r="S409" t="s">
        <v>47</v>
      </c>
      <c r="T409" t="s">
        <v>47</v>
      </c>
      <c r="U409" t="s">
        <v>47</v>
      </c>
      <c r="V409" t="s">
        <v>47</v>
      </c>
      <c r="W409" s="3">
        <v>32155</v>
      </c>
      <c r="X409" s="5" t="s">
        <v>50</v>
      </c>
      <c r="Y409" t="s">
        <v>47</v>
      </c>
      <c r="Z409" s="3">
        <v>32155</v>
      </c>
      <c r="AA409" s="5" t="s">
        <v>50</v>
      </c>
      <c r="AB409" t="s">
        <v>47</v>
      </c>
      <c r="AC409" s="3">
        <v>32155</v>
      </c>
      <c r="AD409" s="5" t="s">
        <v>50</v>
      </c>
      <c r="AE409" t="s">
        <v>47</v>
      </c>
      <c r="AF409" t="s">
        <v>47</v>
      </c>
      <c r="AG409" t="s">
        <v>47</v>
      </c>
      <c r="AH409" t="s">
        <v>47</v>
      </c>
      <c r="AI409" t="s">
        <v>47</v>
      </c>
      <c r="AJ409" t="s">
        <v>47</v>
      </c>
      <c r="AK409" t="s">
        <v>47</v>
      </c>
      <c r="AL409" t="s">
        <v>47</v>
      </c>
      <c r="AM409" t="s">
        <v>47</v>
      </c>
      <c r="AN409" t="s">
        <v>47</v>
      </c>
      <c r="AO409" s="5" t="s">
        <v>51</v>
      </c>
      <c r="AP409" s="4" t="s">
        <v>85</v>
      </c>
      <c r="AQ409" s="4" t="s">
        <v>53</v>
      </c>
      <c r="AR409" s="4" t="s">
        <v>54</v>
      </c>
      <c r="AS409" s="5">
        <v>49313</v>
      </c>
      <c r="AT409" t="s">
        <v>47</v>
      </c>
    </row>
    <row r="410" spans="1:46" ht="39" x14ac:dyDescent="0.3">
      <c r="A410" s="4" t="s">
        <v>1787</v>
      </c>
      <c r="B410" t="s">
        <v>47</v>
      </c>
      <c r="C410" s="4" t="s">
        <v>1784</v>
      </c>
      <c r="D410" s="4" t="s">
        <v>217</v>
      </c>
      <c r="E410" s="4" t="s">
        <v>49</v>
      </c>
      <c r="F410" s="5" t="s">
        <v>1788</v>
      </c>
      <c r="G410" s="5" t="s">
        <v>1789</v>
      </c>
      <c r="H410" t="s">
        <v>47</v>
      </c>
      <c r="I410" s="3">
        <v>39722</v>
      </c>
      <c r="J410" s="3">
        <v>41365</v>
      </c>
      <c r="K410" t="s">
        <v>47</v>
      </c>
      <c r="L410" s="5" t="s">
        <v>51</v>
      </c>
      <c r="M410" s="3">
        <v>39722</v>
      </c>
      <c r="N410" s="3">
        <v>41365</v>
      </c>
      <c r="O410" t="s">
        <v>47</v>
      </c>
      <c r="P410" t="s">
        <v>47</v>
      </c>
      <c r="Q410" t="s">
        <v>47</v>
      </c>
      <c r="R410" t="s">
        <v>47</v>
      </c>
      <c r="S410" t="s">
        <v>47</v>
      </c>
      <c r="T410" t="s">
        <v>47</v>
      </c>
      <c r="U410" t="s">
        <v>47</v>
      </c>
      <c r="V410" t="s">
        <v>47</v>
      </c>
      <c r="W410" s="3">
        <v>39722</v>
      </c>
      <c r="X410" s="3">
        <v>41365</v>
      </c>
      <c r="Y410" t="s">
        <v>47</v>
      </c>
      <c r="Z410" s="3">
        <v>39722</v>
      </c>
      <c r="AA410" s="3">
        <v>41365</v>
      </c>
      <c r="AB410" t="s">
        <v>47</v>
      </c>
      <c r="AC410" s="3">
        <v>39722</v>
      </c>
      <c r="AD410" s="3">
        <v>41365</v>
      </c>
      <c r="AE410" t="s">
        <v>47</v>
      </c>
      <c r="AF410" t="s">
        <v>47</v>
      </c>
      <c r="AG410" t="s">
        <v>47</v>
      </c>
      <c r="AH410" t="s">
        <v>47</v>
      </c>
      <c r="AI410" t="s">
        <v>47</v>
      </c>
      <c r="AJ410" t="s">
        <v>47</v>
      </c>
      <c r="AK410" t="s">
        <v>47</v>
      </c>
      <c r="AL410" t="s">
        <v>47</v>
      </c>
      <c r="AM410" t="s">
        <v>47</v>
      </c>
      <c r="AN410" t="s">
        <v>47</v>
      </c>
      <c r="AO410" s="5" t="s">
        <v>51</v>
      </c>
      <c r="AP410" s="4" t="s">
        <v>135</v>
      </c>
      <c r="AQ410" s="4" t="s">
        <v>53</v>
      </c>
      <c r="AR410" s="4" t="s">
        <v>1543</v>
      </c>
      <c r="AS410" s="5">
        <v>39562</v>
      </c>
      <c r="AT410" t="s">
        <v>47</v>
      </c>
    </row>
    <row r="411" spans="1:46" ht="130" x14ac:dyDescent="0.3">
      <c r="A411" s="4" t="s">
        <v>1790</v>
      </c>
      <c r="B411" t="s">
        <v>47</v>
      </c>
      <c r="C411" s="4" t="s">
        <v>122</v>
      </c>
      <c r="D411" s="4" t="s">
        <v>70</v>
      </c>
      <c r="E411" s="4" t="s">
        <v>123</v>
      </c>
      <c r="F411" s="5" t="s">
        <v>1791</v>
      </c>
      <c r="G411" s="5" t="s">
        <v>1792</v>
      </c>
      <c r="H411" t="s">
        <v>47</v>
      </c>
      <c r="I411" s="3">
        <v>35431</v>
      </c>
      <c r="J411" s="5" t="s">
        <v>50</v>
      </c>
      <c r="K411" t="s">
        <v>47</v>
      </c>
      <c r="L411" s="5" t="s">
        <v>60</v>
      </c>
      <c r="M411" s="3">
        <v>38047</v>
      </c>
      <c r="N411" s="3">
        <v>42795</v>
      </c>
      <c r="O411" t="s">
        <v>47</v>
      </c>
      <c r="P411" s="3">
        <v>35431</v>
      </c>
      <c r="Q411" s="5" t="s">
        <v>50</v>
      </c>
      <c r="R411" t="s">
        <v>47</v>
      </c>
      <c r="S411" t="s">
        <v>47</v>
      </c>
      <c r="T411" t="s">
        <v>47</v>
      </c>
      <c r="U411" t="s">
        <v>47</v>
      </c>
      <c r="V411" s="5">
        <v>365</v>
      </c>
      <c r="W411" s="3">
        <v>35431</v>
      </c>
      <c r="X411" s="5" t="s">
        <v>50</v>
      </c>
      <c r="Y411" t="s">
        <v>47</v>
      </c>
      <c r="Z411" s="3">
        <v>35431</v>
      </c>
      <c r="AA411" s="5" t="s">
        <v>50</v>
      </c>
      <c r="AB411" t="s">
        <v>47</v>
      </c>
      <c r="AC411" s="3">
        <v>35431</v>
      </c>
      <c r="AD411" s="5" t="s">
        <v>50</v>
      </c>
      <c r="AE411" t="s">
        <v>47</v>
      </c>
      <c r="AF411" t="s">
        <v>47</v>
      </c>
      <c r="AG411" t="s">
        <v>47</v>
      </c>
      <c r="AH411" t="s">
        <v>47</v>
      </c>
      <c r="AI411" t="s">
        <v>47</v>
      </c>
      <c r="AJ411" t="s">
        <v>47</v>
      </c>
      <c r="AK411" t="s">
        <v>47</v>
      </c>
      <c r="AL411" t="s">
        <v>47</v>
      </c>
      <c r="AM411" t="s">
        <v>47</v>
      </c>
      <c r="AN411" t="s">
        <v>47</v>
      </c>
      <c r="AO411" s="5" t="s">
        <v>60</v>
      </c>
      <c r="AP411" s="4" t="s">
        <v>61</v>
      </c>
      <c r="AQ411" s="4" t="s">
        <v>53</v>
      </c>
      <c r="AR411" s="4" t="s">
        <v>1793</v>
      </c>
      <c r="AS411" s="5">
        <v>55384</v>
      </c>
      <c r="AT411" t="s">
        <v>47</v>
      </c>
    </row>
    <row r="412" spans="1:46" ht="52" x14ac:dyDescent="0.3">
      <c r="A412" s="4" t="s">
        <v>1794</v>
      </c>
      <c r="B412" t="s">
        <v>47</v>
      </c>
      <c r="C412" s="4" t="s">
        <v>1795</v>
      </c>
      <c r="D412" s="4" t="s">
        <v>1796</v>
      </c>
      <c r="E412" s="4" t="s">
        <v>1797</v>
      </c>
      <c r="F412" s="5" t="s">
        <v>1798</v>
      </c>
      <c r="G412" t="s">
        <v>47</v>
      </c>
      <c r="H412" t="s">
        <v>47</v>
      </c>
      <c r="I412" s="3">
        <v>40179</v>
      </c>
      <c r="J412" s="3">
        <v>42736</v>
      </c>
      <c r="K412" t="s">
        <v>47</v>
      </c>
      <c r="L412" s="5" t="s">
        <v>60</v>
      </c>
      <c r="M412" s="3">
        <v>40179</v>
      </c>
      <c r="N412" s="3">
        <v>42736</v>
      </c>
      <c r="O412" t="s">
        <v>47</v>
      </c>
      <c r="P412" s="3">
        <v>40179</v>
      </c>
      <c r="Q412" s="3">
        <v>42736</v>
      </c>
      <c r="R412" t="s">
        <v>47</v>
      </c>
      <c r="S412" t="s">
        <v>47</v>
      </c>
      <c r="T412" t="s">
        <v>47</v>
      </c>
      <c r="U412" t="s">
        <v>47</v>
      </c>
      <c r="V412" t="s">
        <v>47</v>
      </c>
      <c r="W412" s="3">
        <v>40179</v>
      </c>
      <c r="X412" s="3">
        <v>42736</v>
      </c>
      <c r="Y412" t="s">
        <v>47</v>
      </c>
      <c r="Z412" s="3">
        <v>40179</v>
      </c>
      <c r="AA412" s="3">
        <v>42736</v>
      </c>
      <c r="AB412" t="s">
        <v>47</v>
      </c>
      <c r="AC412" s="3">
        <v>40179</v>
      </c>
      <c r="AD412" s="3">
        <v>42736</v>
      </c>
      <c r="AE412" t="s">
        <v>47</v>
      </c>
      <c r="AF412" t="s">
        <v>47</v>
      </c>
      <c r="AG412" t="s">
        <v>47</v>
      </c>
      <c r="AH412" t="s">
        <v>47</v>
      </c>
      <c r="AI412" t="s">
        <v>47</v>
      </c>
      <c r="AJ412" t="s">
        <v>47</v>
      </c>
      <c r="AK412" t="s">
        <v>47</v>
      </c>
      <c r="AL412" t="s">
        <v>47</v>
      </c>
      <c r="AM412" t="s">
        <v>47</v>
      </c>
      <c r="AN412" t="s">
        <v>47</v>
      </c>
      <c r="AO412" s="5" t="s">
        <v>60</v>
      </c>
      <c r="AP412" s="4" t="s">
        <v>61</v>
      </c>
      <c r="AQ412" s="4" t="s">
        <v>53</v>
      </c>
      <c r="AR412" s="4" t="s">
        <v>539</v>
      </c>
      <c r="AS412" s="5">
        <v>2026680</v>
      </c>
      <c r="AT412" t="s">
        <v>47</v>
      </c>
    </row>
    <row r="413" spans="1:46" ht="78" x14ac:dyDescent="0.3">
      <c r="A413" s="4" t="s">
        <v>1799</v>
      </c>
      <c r="B413" t="s">
        <v>47</v>
      </c>
      <c r="C413" s="4" t="s">
        <v>1800</v>
      </c>
      <c r="D413" s="4" t="s">
        <v>1129</v>
      </c>
      <c r="E413" s="4" t="s">
        <v>49</v>
      </c>
      <c r="F413" s="5" t="s">
        <v>1801</v>
      </c>
      <c r="G413" t="s">
        <v>47</v>
      </c>
      <c r="H413" t="s">
        <v>47</v>
      </c>
      <c r="I413" s="3">
        <v>41334</v>
      </c>
      <c r="J413" s="5" t="s">
        <v>50</v>
      </c>
      <c r="K413" t="s">
        <v>47</v>
      </c>
      <c r="L413" s="5" t="s">
        <v>60</v>
      </c>
      <c r="M413" s="3">
        <v>41334</v>
      </c>
      <c r="N413" s="5" t="s">
        <v>50</v>
      </c>
      <c r="O413" t="s">
        <v>47</v>
      </c>
      <c r="P413" s="3">
        <v>41334</v>
      </c>
      <c r="Q413" s="5" t="s">
        <v>50</v>
      </c>
      <c r="R413" t="s">
        <v>47</v>
      </c>
      <c r="S413" t="s">
        <v>47</v>
      </c>
      <c r="T413" t="s">
        <v>47</v>
      </c>
      <c r="U413" t="s">
        <v>47</v>
      </c>
      <c r="V413" t="s">
        <v>47</v>
      </c>
      <c r="W413" s="3">
        <v>41334</v>
      </c>
      <c r="X413" s="5" t="s">
        <v>50</v>
      </c>
      <c r="Y413" t="s">
        <v>47</v>
      </c>
      <c r="Z413" s="3">
        <v>41334</v>
      </c>
      <c r="AA413" s="5" t="s">
        <v>50</v>
      </c>
      <c r="AB413" t="s">
        <v>47</v>
      </c>
      <c r="AC413" s="3">
        <v>41334</v>
      </c>
      <c r="AD413" s="5" t="s">
        <v>50</v>
      </c>
      <c r="AE413" t="s">
        <v>47</v>
      </c>
      <c r="AF413" t="s">
        <v>47</v>
      </c>
      <c r="AG413" t="s">
        <v>47</v>
      </c>
      <c r="AH413" t="s">
        <v>47</v>
      </c>
      <c r="AI413" t="s">
        <v>47</v>
      </c>
      <c r="AJ413" t="s">
        <v>47</v>
      </c>
      <c r="AK413" t="s">
        <v>47</v>
      </c>
      <c r="AL413" t="s">
        <v>47</v>
      </c>
      <c r="AM413" t="s">
        <v>47</v>
      </c>
      <c r="AN413" t="s">
        <v>47</v>
      </c>
      <c r="AO413" s="5" t="s">
        <v>60</v>
      </c>
      <c r="AP413" s="4" t="s">
        <v>61</v>
      </c>
      <c r="AQ413" s="4" t="s">
        <v>53</v>
      </c>
      <c r="AR413" s="4" t="s">
        <v>436</v>
      </c>
      <c r="AS413" s="5">
        <v>2032023</v>
      </c>
      <c r="AT413" t="s">
        <v>47</v>
      </c>
    </row>
    <row r="414" spans="1:46" ht="52" x14ac:dyDescent="0.3">
      <c r="A414" s="4" t="s">
        <v>1802</v>
      </c>
      <c r="B414" t="s">
        <v>47</v>
      </c>
      <c r="C414" s="4" t="s">
        <v>183</v>
      </c>
      <c r="D414" s="4" t="s">
        <v>333</v>
      </c>
      <c r="E414" s="4" t="s">
        <v>49</v>
      </c>
      <c r="F414" s="5" t="s">
        <v>1803</v>
      </c>
      <c r="G414" s="5" t="s">
        <v>1804</v>
      </c>
      <c r="H414" t="s">
        <v>47</v>
      </c>
      <c r="I414" t="s">
        <v>47</v>
      </c>
      <c r="J414" t="s">
        <v>47</v>
      </c>
      <c r="K414" t="s">
        <v>47</v>
      </c>
      <c r="L414" s="5" t="s">
        <v>60</v>
      </c>
      <c r="M414" t="s">
        <v>47</v>
      </c>
      <c r="N414" t="s">
        <v>47</v>
      </c>
      <c r="O414" t="s">
        <v>47</v>
      </c>
      <c r="P414" t="s">
        <v>47</v>
      </c>
      <c r="Q414" t="s">
        <v>47</v>
      </c>
      <c r="R414" t="s">
        <v>47</v>
      </c>
      <c r="S414" t="s">
        <v>47</v>
      </c>
      <c r="T414" t="s">
        <v>47</v>
      </c>
      <c r="U414" t="s">
        <v>47</v>
      </c>
      <c r="V414" t="s">
        <v>47</v>
      </c>
      <c r="W414" s="3">
        <v>35096</v>
      </c>
      <c r="X414" s="5" t="s">
        <v>50</v>
      </c>
      <c r="Y414" t="s">
        <v>47</v>
      </c>
      <c r="Z414" s="3">
        <v>35096</v>
      </c>
      <c r="AA414" s="5" t="s">
        <v>50</v>
      </c>
      <c r="AB414" t="s">
        <v>47</v>
      </c>
      <c r="AC414" s="3">
        <v>35096</v>
      </c>
      <c r="AD414" s="5" t="s">
        <v>50</v>
      </c>
      <c r="AE414" t="s">
        <v>47</v>
      </c>
      <c r="AF414" t="s">
        <v>47</v>
      </c>
      <c r="AG414" t="s">
        <v>47</v>
      </c>
      <c r="AH414" t="s">
        <v>47</v>
      </c>
      <c r="AI414" t="s">
        <v>47</v>
      </c>
      <c r="AJ414" t="s">
        <v>47</v>
      </c>
      <c r="AK414" t="s">
        <v>47</v>
      </c>
      <c r="AL414" t="s">
        <v>47</v>
      </c>
      <c r="AM414" t="s">
        <v>47</v>
      </c>
      <c r="AN414" t="s">
        <v>47</v>
      </c>
      <c r="AO414" s="5" t="s">
        <v>60</v>
      </c>
      <c r="AP414" s="4" t="s">
        <v>61</v>
      </c>
      <c r="AQ414" s="4" t="s">
        <v>53</v>
      </c>
      <c r="AR414" s="4" t="s">
        <v>1805</v>
      </c>
      <c r="AS414" s="5">
        <v>47732</v>
      </c>
      <c r="AT414" t="s">
        <v>47</v>
      </c>
    </row>
    <row r="415" spans="1:46" ht="39" x14ac:dyDescent="0.3">
      <c r="A415" s="4" t="s">
        <v>1806</v>
      </c>
      <c r="B415" t="s">
        <v>47</v>
      </c>
      <c r="C415" s="4" t="s">
        <v>193</v>
      </c>
      <c r="D415" s="4" t="s">
        <v>194</v>
      </c>
      <c r="E415" s="4" t="s">
        <v>195</v>
      </c>
      <c r="F415" s="5" t="s">
        <v>1807</v>
      </c>
      <c r="G415" s="5" t="s">
        <v>1808</v>
      </c>
      <c r="H415" t="s">
        <v>47</v>
      </c>
      <c r="I415" s="3">
        <v>40909</v>
      </c>
      <c r="J415" s="5" t="s">
        <v>50</v>
      </c>
      <c r="K415" t="s">
        <v>47</v>
      </c>
      <c r="L415" s="5" t="s">
        <v>51</v>
      </c>
      <c r="M415" s="3">
        <v>40909</v>
      </c>
      <c r="N415" s="3">
        <v>44562</v>
      </c>
      <c r="O415" t="s">
        <v>47</v>
      </c>
      <c r="P415" s="3">
        <v>40909</v>
      </c>
      <c r="Q415" s="5" t="s">
        <v>50</v>
      </c>
      <c r="R415" t="s">
        <v>47</v>
      </c>
      <c r="S415" t="s">
        <v>47</v>
      </c>
      <c r="T415" t="s">
        <v>47</v>
      </c>
      <c r="U415" t="s">
        <v>47</v>
      </c>
      <c r="V415" s="5">
        <v>180</v>
      </c>
      <c r="W415" s="3">
        <v>40909</v>
      </c>
      <c r="X415" s="5" t="s">
        <v>50</v>
      </c>
      <c r="Y415" t="s">
        <v>47</v>
      </c>
      <c r="Z415" s="3">
        <v>40909</v>
      </c>
      <c r="AA415" s="5" t="s">
        <v>50</v>
      </c>
      <c r="AB415" t="s">
        <v>47</v>
      </c>
      <c r="AC415" s="3">
        <v>40909</v>
      </c>
      <c r="AD415" s="5" t="s">
        <v>50</v>
      </c>
      <c r="AE415" t="s">
        <v>47</v>
      </c>
      <c r="AF415" t="s">
        <v>47</v>
      </c>
      <c r="AG415" t="s">
        <v>47</v>
      </c>
      <c r="AH415" t="s">
        <v>47</v>
      </c>
      <c r="AI415" t="s">
        <v>47</v>
      </c>
      <c r="AJ415" t="s">
        <v>47</v>
      </c>
      <c r="AK415" t="s">
        <v>47</v>
      </c>
      <c r="AL415" t="s">
        <v>47</v>
      </c>
      <c r="AM415" t="s">
        <v>47</v>
      </c>
      <c r="AN415" t="s">
        <v>47</v>
      </c>
      <c r="AO415" s="5" t="s">
        <v>51</v>
      </c>
      <c r="AP415" s="4" t="s">
        <v>853</v>
      </c>
      <c r="AQ415" s="4" t="s">
        <v>53</v>
      </c>
      <c r="AR415" s="4" t="s">
        <v>54</v>
      </c>
      <c r="AS415" s="5">
        <v>2026427</v>
      </c>
      <c r="AT415" t="s">
        <v>47</v>
      </c>
    </row>
    <row r="416" spans="1:46" ht="39" x14ac:dyDescent="0.3">
      <c r="A416" s="4" t="s">
        <v>1809</v>
      </c>
      <c r="B416" t="s">
        <v>47</v>
      </c>
      <c r="C416" s="4" t="s">
        <v>1810</v>
      </c>
      <c r="D416" s="4" t="s">
        <v>1811</v>
      </c>
      <c r="E416" t="s">
        <v>47</v>
      </c>
      <c r="F416" s="5" t="s">
        <v>1812</v>
      </c>
      <c r="G416" s="5" t="s">
        <v>1813</v>
      </c>
      <c r="H416" t="s">
        <v>47</v>
      </c>
      <c r="I416" s="3">
        <v>35855</v>
      </c>
      <c r="J416" s="5" t="s">
        <v>50</v>
      </c>
      <c r="K416" t="s">
        <v>47</v>
      </c>
      <c r="L416" s="5" t="s">
        <v>60</v>
      </c>
      <c r="M416" s="3">
        <v>35855</v>
      </c>
      <c r="N416" s="3">
        <v>43709</v>
      </c>
      <c r="O416" s="5" t="s">
        <v>1814</v>
      </c>
      <c r="P416" s="3">
        <v>35855</v>
      </c>
      <c r="Q416" s="3">
        <v>43709</v>
      </c>
      <c r="R416" t="s">
        <v>47</v>
      </c>
      <c r="S416" s="3">
        <v>43831</v>
      </c>
      <c r="T416" s="5" t="s">
        <v>50</v>
      </c>
      <c r="U416" t="s">
        <v>47</v>
      </c>
      <c r="V416" t="s">
        <v>47</v>
      </c>
      <c r="W416" s="3">
        <v>35855</v>
      </c>
      <c r="X416" s="5" t="s">
        <v>50</v>
      </c>
      <c r="Y416" t="s">
        <v>47</v>
      </c>
      <c r="Z416" s="3">
        <v>35855</v>
      </c>
      <c r="AA416" s="5" t="s">
        <v>50</v>
      </c>
      <c r="AB416" t="s">
        <v>47</v>
      </c>
      <c r="AC416" s="3">
        <v>36526</v>
      </c>
      <c r="AD416" s="5" t="s">
        <v>50</v>
      </c>
      <c r="AE416" t="s">
        <v>47</v>
      </c>
      <c r="AF416" t="s">
        <v>47</v>
      </c>
      <c r="AG416" t="s">
        <v>47</v>
      </c>
      <c r="AH416" t="s">
        <v>47</v>
      </c>
      <c r="AI416" t="s">
        <v>47</v>
      </c>
      <c r="AJ416" t="s">
        <v>47</v>
      </c>
      <c r="AK416" t="s">
        <v>47</v>
      </c>
      <c r="AL416" t="s">
        <v>47</v>
      </c>
      <c r="AM416" t="s">
        <v>47</v>
      </c>
      <c r="AN416" t="s">
        <v>47</v>
      </c>
      <c r="AO416" s="5" t="s">
        <v>60</v>
      </c>
      <c r="AP416" s="4" t="s">
        <v>61</v>
      </c>
      <c r="AQ416" s="4" t="s">
        <v>53</v>
      </c>
      <c r="AR416" s="4" t="s">
        <v>1815</v>
      </c>
      <c r="AS416" s="5">
        <v>33821</v>
      </c>
      <c r="AT416" t="s">
        <v>47</v>
      </c>
    </row>
    <row r="417" spans="1:46" ht="39" x14ac:dyDescent="0.3">
      <c r="A417" s="4" t="s">
        <v>1816</v>
      </c>
      <c r="B417" t="s">
        <v>47</v>
      </c>
      <c r="C417" s="4" t="s">
        <v>1817</v>
      </c>
      <c r="D417" s="4" t="s">
        <v>1818</v>
      </c>
      <c r="E417" s="4" t="s">
        <v>123</v>
      </c>
      <c r="F417" s="5" t="s">
        <v>1819</v>
      </c>
      <c r="G417" s="5" t="s">
        <v>1820</v>
      </c>
      <c r="H417" t="s">
        <v>47</v>
      </c>
      <c r="I417" t="s">
        <v>47</v>
      </c>
      <c r="J417" t="s">
        <v>47</v>
      </c>
      <c r="K417" t="s">
        <v>47</v>
      </c>
      <c r="L417" s="5" t="s">
        <v>60</v>
      </c>
      <c r="M417" t="s">
        <v>47</v>
      </c>
      <c r="N417" t="s">
        <v>47</v>
      </c>
      <c r="O417" t="s">
        <v>47</v>
      </c>
      <c r="P417" t="s">
        <v>47</v>
      </c>
      <c r="Q417" t="s">
        <v>47</v>
      </c>
      <c r="R417" t="s">
        <v>47</v>
      </c>
      <c r="S417" t="s">
        <v>47</v>
      </c>
      <c r="T417" t="s">
        <v>47</v>
      </c>
      <c r="U417" t="s">
        <v>47</v>
      </c>
      <c r="V417" t="s">
        <v>47</v>
      </c>
      <c r="W417" s="3">
        <v>35947</v>
      </c>
      <c r="X417" s="3">
        <v>35947</v>
      </c>
      <c r="Y417" t="s">
        <v>47</v>
      </c>
      <c r="Z417" s="3">
        <v>35947</v>
      </c>
      <c r="AA417" s="3">
        <v>35947</v>
      </c>
      <c r="AB417" t="s">
        <v>47</v>
      </c>
      <c r="AC417" s="3">
        <v>35947</v>
      </c>
      <c r="AD417" s="3">
        <v>35947</v>
      </c>
      <c r="AE417" t="s">
        <v>47</v>
      </c>
      <c r="AF417" t="s">
        <v>47</v>
      </c>
      <c r="AG417" t="s">
        <v>47</v>
      </c>
      <c r="AH417" t="s">
        <v>47</v>
      </c>
      <c r="AI417" t="s">
        <v>47</v>
      </c>
      <c r="AJ417" t="s">
        <v>47</v>
      </c>
      <c r="AK417" t="s">
        <v>47</v>
      </c>
      <c r="AL417" t="s">
        <v>47</v>
      </c>
      <c r="AM417" t="s">
        <v>47</v>
      </c>
      <c r="AN417" t="s">
        <v>47</v>
      </c>
      <c r="AO417" s="5" t="s">
        <v>60</v>
      </c>
      <c r="AP417" s="4" t="s">
        <v>61</v>
      </c>
      <c r="AQ417" s="4" t="s">
        <v>53</v>
      </c>
      <c r="AR417" s="4" t="s">
        <v>385</v>
      </c>
      <c r="AS417" s="5">
        <v>13924</v>
      </c>
      <c r="AT417" t="s">
        <v>47</v>
      </c>
    </row>
    <row r="418" spans="1:46" ht="13" x14ac:dyDescent="0.3">
      <c r="A418" s="4" t="s">
        <v>1821</v>
      </c>
      <c r="B418" t="s">
        <v>47</v>
      </c>
      <c r="C418" s="4" t="s">
        <v>601</v>
      </c>
      <c r="D418" s="4" t="s">
        <v>602</v>
      </c>
      <c r="E418" s="4" t="s">
        <v>603</v>
      </c>
      <c r="F418" t="s">
        <v>47</v>
      </c>
      <c r="G418" s="5" t="s">
        <v>1822</v>
      </c>
      <c r="H418" t="s">
        <v>47</v>
      </c>
      <c r="I418" s="3">
        <v>41275</v>
      </c>
      <c r="J418" s="5" t="s">
        <v>50</v>
      </c>
      <c r="K418" s="5" t="s">
        <v>537</v>
      </c>
      <c r="L418" s="5" t="s">
        <v>60</v>
      </c>
      <c r="M418" s="3">
        <v>41275</v>
      </c>
      <c r="N418" s="3">
        <v>43466</v>
      </c>
      <c r="O418" t="s">
        <v>47</v>
      </c>
      <c r="P418" s="3">
        <v>41275</v>
      </c>
      <c r="Q418" s="5" t="s">
        <v>50</v>
      </c>
      <c r="R418" s="5" t="s">
        <v>537</v>
      </c>
      <c r="S418" t="s">
        <v>47</v>
      </c>
      <c r="T418" t="s">
        <v>47</v>
      </c>
      <c r="U418" t="s">
        <v>47</v>
      </c>
      <c r="V418" t="s">
        <v>47</v>
      </c>
      <c r="W418" s="3">
        <v>41275</v>
      </c>
      <c r="X418" s="5" t="s">
        <v>50</v>
      </c>
      <c r="Y418" s="5" t="s">
        <v>537</v>
      </c>
      <c r="Z418" s="3">
        <v>41275</v>
      </c>
      <c r="AA418" s="5" t="s">
        <v>50</v>
      </c>
      <c r="AB418" s="5" t="s">
        <v>537</v>
      </c>
      <c r="AC418" s="3">
        <v>41275</v>
      </c>
      <c r="AD418" s="5" t="s">
        <v>50</v>
      </c>
      <c r="AE418" s="5" t="s">
        <v>537</v>
      </c>
      <c r="AF418" t="s">
        <v>47</v>
      </c>
      <c r="AG418" t="s">
        <v>47</v>
      </c>
      <c r="AH418" t="s">
        <v>47</v>
      </c>
      <c r="AI418" t="s">
        <v>47</v>
      </c>
      <c r="AJ418" t="s">
        <v>47</v>
      </c>
      <c r="AK418" t="s">
        <v>47</v>
      </c>
      <c r="AL418" t="s">
        <v>47</v>
      </c>
      <c r="AM418" t="s">
        <v>47</v>
      </c>
      <c r="AN418" t="s">
        <v>47</v>
      </c>
      <c r="AO418" s="5" t="s">
        <v>60</v>
      </c>
      <c r="AP418" s="4" t="s">
        <v>61</v>
      </c>
      <c r="AQ418" s="4" t="s">
        <v>119</v>
      </c>
      <c r="AR418" s="4" t="s">
        <v>54</v>
      </c>
      <c r="AS418" s="5">
        <v>2032089</v>
      </c>
      <c r="AT418" t="s">
        <v>47</v>
      </c>
    </row>
    <row r="419" spans="1:46" ht="52" x14ac:dyDescent="0.3">
      <c r="A419" s="4" t="s">
        <v>1823</v>
      </c>
      <c r="B419" t="s">
        <v>47</v>
      </c>
      <c r="C419" s="4" t="s">
        <v>115</v>
      </c>
      <c r="D419" s="4" t="s">
        <v>559</v>
      </c>
      <c r="E419" s="4" t="s">
        <v>66</v>
      </c>
      <c r="F419" s="5" t="s">
        <v>1824</v>
      </c>
      <c r="G419" s="5" t="s">
        <v>1825</v>
      </c>
      <c r="H419" t="s">
        <v>47</v>
      </c>
      <c r="I419" s="3">
        <v>39448</v>
      </c>
      <c r="J419" s="3">
        <v>41913</v>
      </c>
      <c r="K419" t="s">
        <v>47</v>
      </c>
      <c r="L419" s="5" t="s">
        <v>60</v>
      </c>
      <c r="M419" s="3">
        <v>39448</v>
      </c>
      <c r="N419" s="3">
        <v>41913</v>
      </c>
      <c r="O419" t="s">
        <v>47</v>
      </c>
      <c r="P419" s="3">
        <v>39448</v>
      </c>
      <c r="Q419" s="3">
        <v>41913</v>
      </c>
      <c r="R419" t="s">
        <v>47</v>
      </c>
      <c r="S419" t="s">
        <v>47</v>
      </c>
      <c r="T419" t="s">
        <v>47</v>
      </c>
      <c r="U419" t="s">
        <v>47</v>
      </c>
      <c r="V419" t="s">
        <v>47</v>
      </c>
      <c r="W419" s="3">
        <v>39448</v>
      </c>
      <c r="X419" s="3">
        <v>41913</v>
      </c>
      <c r="Y419" t="s">
        <v>47</v>
      </c>
      <c r="Z419" s="3">
        <v>39448</v>
      </c>
      <c r="AA419" s="3">
        <v>41913</v>
      </c>
      <c r="AB419" t="s">
        <v>47</v>
      </c>
      <c r="AC419" s="3">
        <v>39448</v>
      </c>
      <c r="AD419" s="3">
        <v>41913</v>
      </c>
      <c r="AE419" t="s">
        <v>47</v>
      </c>
      <c r="AF419" t="s">
        <v>47</v>
      </c>
      <c r="AG419" t="s">
        <v>47</v>
      </c>
      <c r="AH419" t="s">
        <v>47</v>
      </c>
      <c r="AI419" t="s">
        <v>47</v>
      </c>
      <c r="AJ419" t="s">
        <v>47</v>
      </c>
      <c r="AK419" t="s">
        <v>47</v>
      </c>
      <c r="AL419" t="s">
        <v>47</v>
      </c>
      <c r="AM419" t="s">
        <v>47</v>
      </c>
      <c r="AN419" t="s">
        <v>47</v>
      </c>
      <c r="AO419" s="5" t="s">
        <v>60</v>
      </c>
      <c r="AP419" s="4" t="s">
        <v>61</v>
      </c>
      <c r="AQ419" s="4" t="s">
        <v>53</v>
      </c>
      <c r="AR419" s="4" t="s">
        <v>1826</v>
      </c>
      <c r="AS419" s="5">
        <v>38492</v>
      </c>
      <c r="AT419" t="s">
        <v>47</v>
      </c>
    </row>
    <row r="420" spans="1:46" ht="39" x14ac:dyDescent="0.3">
      <c r="A420" s="4" t="s">
        <v>1827</v>
      </c>
      <c r="B420" t="s">
        <v>47</v>
      </c>
      <c r="C420" s="4" t="s">
        <v>169</v>
      </c>
      <c r="D420" s="4" t="s">
        <v>339</v>
      </c>
      <c r="E420" s="4" t="s">
        <v>66</v>
      </c>
      <c r="F420" s="5" t="s">
        <v>1828</v>
      </c>
      <c r="G420" s="5" t="s">
        <v>1829</v>
      </c>
      <c r="H420" t="s">
        <v>47</v>
      </c>
      <c r="I420" t="s">
        <v>47</v>
      </c>
      <c r="J420" t="s">
        <v>47</v>
      </c>
      <c r="K420" t="s">
        <v>47</v>
      </c>
      <c r="L420" s="5" t="s">
        <v>60</v>
      </c>
      <c r="M420" t="s">
        <v>47</v>
      </c>
      <c r="N420" t="s">
        <v>47</v>
      </c>
      <c r="O420" t="s">
        <v>47</v>
      </c>
      <c r="P420" t="s">
        <v>47</v>
      </c>
      <c r="Q420" t="s">
        <v>47</v>
      </c>
      <c r="R420" t="s">
        <v>47</v>
      </c>
      <c r="S420" t="s">
        <v>47</v>
      </c>
      <c r="T420" t="s">
        <v>47</v>
      </c>
      <c r="U420" t="s">
        <v>47</v>
      </c>
      <c r="V420" t="s">
        <v>47</v>
      </c>
      <c r="W420" s="3">
        <v>40238</v>
      </c>
      <c r="X420" s="3">
        <v>41153</v>
      </c>
      <c r="Y420" t="s">
        <v>47</v>
      </c>
      <c r="Z420" s="3">
        <v>40238</v>
      </c>
      <c r="AA420" s="3">
        <v>41153</v>
      </c>
      <c r="AB420" t="s">
        <v>47</v>
      </c>
      <c r="AC420" s="3">
        <v>40238</v>
      </c>
      <c r="AD420" s="3">
        <v>41153</v>
      </c>
      <c r="AE420" t="s">
        <v>47</v>
      </c>
      <c r="AF420" t="s">
        <v>47</v>
      </c>
      <c r="AG420" t="s">
        <v>47</v>
      </c>
      <c r="AH420" t="s">
        <v>47</v>
      </c>
      <c r="AI420" t="s">
        <v>47</v>
      </c>
      <c r="AJ420" t="s">
        <v>47</v>
      </c>
      <c r="AK420" t="s">
        <v>47</v>
      </c>
      <c r="AL420" t="s">
        <v>47</v>
      </c>
      <c r="AM420" t="s">
        <v>47</v>
      </c>
      <c r="AN420" t="s">
        <v>47</v>
      </c>
      <c r="AO420" s="5" t="s">
        <v>60</v>
      </c>
      <c r="AP420" s="4" t="s">
        <v>61</v>
      </c>
      <c r="AQ420" s="4" t="s">
        <v>53</v>
      </c>
      <c r="AR420" s="4" t="s">
        <v>1830</v>
      </c>
      <c r="AS420" s="5">
        <v>426779</v>
      </c>
      <c r="AT420" t="s">
        <v>47</v>
      </c>
    </row>
    <row r="421" spans="1:46" ht="104" x14ac:dyDescent="0.3">
      <c r="A421" s="4" t="s">
        <v>1831</v>
      </c>
      <c r="B421" t="s">
        <v>47</v>
      </c>
      <c r="C421" s="4" t="s">
        <v>183</v>
      </c>
      <c r="D421" s="4" t="s">
        <v>780</v>
      </c>
      <c r="E421" s="4" t="s">
        <v>49</v>
      </c>
      <c r="F421" s="5" t="s">
        <v>1832</v>
      </c>
      <c r="G421" s="5" t="s">
        <v>1833</v>
      </c>
      <c r="H421" t="s">
        <v>47</v>
      </c>
      <c r="I421" t="s">
        <v>47</v>
      </c>
      <c r="J421" t="s">
        <v>47</v>
      </c>
      <c r="K421" t="s">
        <v>47</v>
      </c>
      <c r="L421" s="5" t="s">
        <v>60</v>
      </c>
      <c r="M421" t="s">
        <v>47</v>
      </c>
      <c r="N421" t="s">
        <v>47</v>
      </c>
      <c r="O421" t="s">
        <v>47</v>
      </c>
      <c r="P421" t="s">
        <v>47</v>
      </c>
      <c r="Q421" t="s">
        <v>47</v>
      </c>
      <c r="R421" t="s">
        <v>47</v>
      </c>
      <c r="S421" t="s">
        <v>47</v>
      </c>
      <c r="T421" t="s">
        <v>47</v>
      </c>
      <c r="U421" t="s">
        <v>47</v>
      </c>
      <c r="V421" t="s">
        <v>47</v>
      </c>
      <c r="W421" s="3">
        <v>35704</v>
      </c>
      <c r="X421" s="3">
        <v>37712</v>
      </c>
      <c r="Y421" t="s">
        <v>47</v>
      </c>
      <c r="Z421" s="3">
        <v>35704</v>
      </c>
      <c r="AA421" s="3">
        <v>37712</v>
      </c>
      <c r="AB421" t="s">
        <v>47</v>
      </c>
      <c r="AC421" t="s">
        <v>47</v>
      </c>
      <c r="AD421" t="s">
        <v>47</v>
      </c>
      <c r="AE421" t="s">
        <v>47</v>
      </c>
      <c r="AF421" t="s">
        <v>47</v>
      </c>
      <c r="AG421" t="s">
        <v>47</v>
      </c>
      <c r="AH421" t="s">
        <v>47</v>
      </c>
      <c r="AI421" t="s">
        <v>47</v>
      </c>
      <c r="AJ421" t="s">
        <v>47</v>
      </c>
      <c r="AK421" t="s">
        <v>47</v>
      </c>
      <c r="AL421" t="s">
        <v>47</v>
      </c>
      <c r="AM421" t="s">
        <v>47</v>
      </c>
      <c r="AN421" t="s">
        <v>47</v>
      </c>
      <c r="AO421" s="5" t="s">
        <v>51</v>
      </c>
      <c r="AP421" s="4" t="s">
        <v>61</v>
      </c>
      <c r="AQ421" s="4" t="s">
        <v>53</v>
      </c>
      <c r="AR421" s="4" t="s">
        <v>1834</v>
      </c>
      <c r="AS421" s="5">
        <v>34760</v>
      </c>
      <c r="AT421" t="s">
        <v>47</v>
      </c>
    </row>
    <row r="422" spans="1:46" ht="13" x14ac:dyDescent="0.3">
      <c r="A422" s="4" t="s">
        <v>1835</v>
      </c>
      <c r="B422" t="s">
        <v>47</v>
      </c>
      <c r="C422" s="4" t="s">
        <v>183</v>
      </c>
      <c r="D422" s="4" t="s">
        <v>333</v>
      </c>
      <c r="E422" s="4" t="s">
        <v>49</v>
      </c>
      <c r="F422" s="5" t="s">
        <v>1836</v>
      </c>
      <c r="G422" s="5" t="s">
        <v>1837</v>
      </c>
      <c r="H422" t="s">
        <v>47</v>
      </c>
      <c r="I422" t="s">
        <v>47</v>
      </c>
      <c r="J422" t="s">
        <v>47</v>
      </c>
      <c r="K422" t="s">
        <v>47</v>
      </c>
      <c r="L422" s="5" t="s">
        <v>60</v>
      </c>
      <c r="M422" t="s">
        <v>47</v>
      </c>
      <c r="N422" t="s">
        <v>47</v>
      </c>
      <c r="O422" t="s">
        <v>47</v>
      </c>
      <c r="P422" t="s">
        <v>47</v>
      </c>
      <c r="Q422" t="s">
        <v>47</v>
      </c>
      <c r="R422" t="s">
        <v>47</v>
      </c>
      <c r="S422" t="s">
        <v>47</v>
      </c>
      <c r="T422" t="s">
        <v>47</v>
      </c>
      <c r="U422" t="s">
        <v>47</v>
      </c>
      <c r="V422" t="s">
        <v>47</v>
      </c>
      <c r="W422" s="3">
        <v>35096</v>
      </c>
      <c r="X422" s="5" t="s">
        <v>50</v>
      </c>
      <c r="Y422" t="s">
        <v>47</v>
      </c>
      <c r="Z422" s="3">
        <v>35096</v>
      </c>
      <c r="AA422" s="5" t="s">
        <v>50</v>
      </c>
      <c r="AB422" t="s">
        <v>47</v>
      </c>
      <c r="AC422" s="3">
        <v>35156</v>
      </c>
      <c r="AD422" s="5" t="s">
        <v>50</v>
      </c>
      <c r="AE422" t="s">
        <v>47</v>
      </c>
      <c r="AF422" t="s">
        <v>47</v>
      </c>
      <c r="AG422" t="s">
        <v>47</v>
      </c>
      <c r="AH422" t="s">
        <v>47</v>
      </c>
      <c r="AI422" t="s">
        <v>47</v>
      </c>
      <c r="AJ422" t="s">
        <v>47</v>
      </c>
      <c r="AK422" t="s">
        <v>47</v>
      </c>
      <c r="AL422" t="s">
        <v>47</v>
      </c>
      <c r="AM422" t="s">
        <v>47</v>
      </c>
      <c r="AN422" t="s">
        <v>47</v>
      </c>
      <c r="AO422" s="5" t="s">
        <v>60</v>
      </c>
      <c r="AP422" s="4" t="s">
        <v>61</v>
      </c>
      <c r="AQ422" s="4" t="s">
        <v>53</v>
      </c>
      <c r="AR422" s="4" t="s">
        <v>54</v>
      </c>
      <c r="AS422" s="5">
        <v>34874</v>
      </c>
      <c r="AT422" t="s">
        <v>47</v>
      </c>
    </row>
    <row r="423" spans="1:46" ht="13" x14ac:dyDescent="0.3">
      <c r="A423" s="4" t="s">
        <v>1838</v>
      </c>
      <c r="B423" t="s">
        <v>47</v>
      </c>
      <c r="C423" s="4" t="s">
        <v>169</v>
      </c>
      <c r="D423" s="4" t="s">
        <v>319</v>
      </c>
      <c r="E423" s="4" t="s">
        <v>66</v>
      </c>
      <c r="F423" s="5" t="s">
        <v>1839</v>
      </c>
      <c r="G423" s="5" t="s">
        <v>1840</v>
      </c>
      <c r="H423" t="s">
        <v>47</v>
      </c>
      <c r="I423" t="s">
        <v>47</v>
      </c>
      <c r="J423" t="s">
        <v>47</v>
      </c>
      <c r="K423" t="s">
        <v>47</v>
      </c>
      <c r="L423" s="5" t="s">
        <v>60</v>
      </c>
      <c r="M423" t="s">
        <v>47</v>
      </c>
      <c r="N423" t="s">
        <v>47</v>
      </c>
      <c r="O423" t="s">
        <v>47</v>
      </c>
      <c r="P423" t="s">
        <v>47</v>
      </c>
      <c r="Q423" t="s">
        <v>47</v>
      </c>
      <c r="R423" t="s">
        <v>47</v>
      </c>
      <c r="S423" t="s">
        <v>47</v>
      </c>
      <c r="T423" t="s">
        <v>47</v>
      </c>
      <c r="U423" t="s">
        <v>47</v>
      </c>
      <c r="V423" t="s">
        <v>47</v>
      </c>
      <c r="W423" s="3">
        <v>37987</v>
      </c>
      <c r="X423" s="5" t="s">
        <v>50</v>
      </c>
      <c r="Y423" s="5" t="s">
        <v>788</v>
      </c>
      <c r="Z423" s="3">
        <v>37987</v>
      </c>
      <c r="AA423" s="5" t="s">
        <v>50</v>
      </c>
      <c r="AB423" s="5" t="s">
        <v>788</v>
      </c>
      <c r="AC423" s="3">
        <v>37987</v>
      </c>
      <c r="AD423" s="5" t="s">
        <v>50</v>
      </c>
      <c r="AE423" s="5" t="s">
        <v>788</v>
      </c>
      <c r="AF423" t="s">
        <v>47</v>
      </c>
      <c r="AG423" t="s">
        <v>47</v>
      </c>
      <c r="AH423" t="s">
        <v>47</v>
      </c>
      <c r="AI423" t="s">
        <v>47</v>
      </c>
      <c r="AJ423" t="s">
        <v>47</v>
      </c>
      <c r="AK423" t="s">
        <v>47</v>
      </c>
      <c r="AL423" t="s">
        <v>47</v>
      </c>
      <c r="AM423" t="s">
        <v>47</v>
      </c>
      <c r="AN423" t="s">
        <v>47</v>
      </c>
      <c r="AO423" s="5" t="s">
        <v>60</v>
      </c>
      <c r="AP423" s="4" t="s">
        <v>61</v>
      </c>
      <c r="AQ423" s="4" t="s">
        <v>53</v>
      </c>
      <c r="AR423" s="4" t="s">
        <v>54</v>
      </c>
      <c r="AS423" s="5">
        <v>46262</v>
      </c>
      <c r="AT423" t="s">
        <v>47</v>
      </c>
    </row>
    <row r="424" spans="1:46" ht="117" x14ac:dyDescent="0.3">
      <c r="A424" s="4" t="s">
        <v>1841</v>
      </c>
      <c r="B424" t="s">
        <v>47</v>
      </c>
      <c r="C424" s="4" t="s">
        <v>122</v>
      </c>
      <c r="D424" s="4" t="s">
        <v>206</v>
      </c>
      <c r="E424" s="4" t="s">
        <v>123</v>
      </c>
      <c r="F424" s="5" t="s">
        <v>1842</v>
      </c>
      <c r="G424" s="5" t="s">
        <v>1843</v>
      </c>
      <c r="H424" t="s">
        <v>47</v>
      </c>
      <c r="I424" s="3">
        <v>35521</v>
      </c>
      <c r="J424" s="5" t="s">
        <v>50</v>
      </c>
      <c r="K424" t="s">
        <v>47</v>
      </c>
      <c r="L424" s="5" t="s">
        <v>60</v>
      </c>
      <c r="M424" s="3">
        <v>38353</v>
      </c>
      <c r="N424" s="3">
        <v>42767</v>
      </c>
      <c r="O424" s="5" t="s">
        <v>1844</v>
      </c>
      <c r="P424" s="3">
        <v>35521</v>
      </c>
      <c r="Q424" s="5" t="s">
        <v>50</v>
      </c>
      <c r="R424" t="s">
        <v>47</v>
      </c>
      <c r="S424" t="s">
        <v>47</v>
      </c>
      <c r="T424" t="s">
        <v>47</v>
      </c>
      <c r="U424" t="s">
        <v>47</v>
      </c>
      <c r="V424" s="5">
        <v>365</v>
      </c>
      <c r="W424" s="3">
        <v>35521</v>
      </c>
      <c r="X424" s="5" t="s">
        <v>50</v>
      </c>
      <c r="Y424" t="s">
        <v>47</v>
      </c>
      <c r="Z424" s="3">
        <v>35521</v>
      </c>
      <c r="AA424" s="5" t="s">
        <v>50</v>
      </c>
      <c r="AB424" t="s">
        <v>47</v>
      </c>
      <c r="AC424" s="3">
        <v>35521</v>
      </c>
      <c r="AD424" s="5" t="s">
        <v>50</v>
      </c>
      <c r="AE424" t="s">
        <v>47</v>
      </c>
      <c r="AF424" t="s">
        <v>47</v>
      </c>
      <c r="AG424" t="s">
        <v>47</v>
      </c>
      <c r="AH424" t="s">
        <v>47</v>
      </c>
      <c r="AI424" t="s">
        <v>47</v>
      </c>
      <c r="AJ424" t="s">
        <v>47</v>
      </c>
      <c r="AK424" t="s">
        <v>47</v>
      </c>
      <c r="AL424" t="s">
        <v>47</v>
      </c>
      <c r="AM424" t="s">
        <v>47</v>
      </c>
      <c r="AN424" t="s">
        <v>47</v>
      </c>
      <c r="AO424" s="5" t="s">
        <v>60</v>
      </c>
      <c r="AP424" s="4" t="s">
        <v>61</v>
      </c>
      <c r="AQ424" s="4" t="s">
        <v>53</v>
      </c>
      <c r="AR424" s="4" t="s">
        <v>1845</v>
      </c>
      <c r="AS424" s="5">
        <v>52522</v>
      </c>
      <c r="AT424" t="s">
        <v>47</v>
      </c>
    </row>
    <row r="425" spans="1:46" ht="13" x14ac:dyDescent="0.3">
      <c r="A425" s="4" t="s">
        <v>1846</v>
      </c>
      <c r="B425" t="s">
        <v>47</v>
      </c>
      <c r="C425" s="4" t="s">
        <v>1847</v>
      </c>
      <c r="D425" s="4" t="s">
        <v>1848</v>
      </c>
      <c r="E425" s="4" t="s">
        <v>100</v>
      </c>
      <c r="F425" s="5" t="s">
        <v>1849</v>
      </c>
      <c r="G425" t="s">
        <v>47</v>
      </c>
      <c r="H425" t="s">
        <v>47</v>
      </c>
      <c r="I425" s="3">
        <v>35855</v>
      </c>
      <c r="J425" s="3">
        <v>36008</v>
      </c>
      <c r="K425" t="s">
        <v>47</v>
      </c>
      <c r="L425" s="5" t="s">
        <v>51</v>
      </c>
      <c r="M425" s="3">
        <v>36008</v>
      </c>
      <c r="N425" s="3">
        <v>36008</v>
      </c>
      <c r="O425" t="s">
        <v>47</v>
      </c>
      <c r="P425" s="3">
        <v>35855</v>
      </c>
      <c r="Q425" s="3">
        <v>36008</v>
      </c>
      <c r="R425" t="s">
        <v>47</v>
      </c>
      <c r="S425" t="s">
        <v>47</v>
      </c>
      <c r="T425" t="s">
        <v>47</v>
      </c>
      <c r="U425" t="s">
        <v>47</v>
      </c>
      <c r="V425" t="s">
        <v>47</v>
      </c>
      <c r="W425" s="3">
        <v>35855</v>
      </c>
      <c r="X425" s="3">
        <v>36008</v>
      </c>
      <c r="Y425" t="s">
        <v>47</v>
      </c>
      <c r="Z425" s="3">
        <v>35855</v>
      </c>
      <c r="AA425" s="3">
        <v>36008</v>
      </c>
      <c r="AB425" t="s">
        <v>47</v>
      </c>
      <c r="AC425" t="s">
        <v>47</v>
      </c>
      <c r="AD425" t="s">
        <v>47</v>
      </c>
      <c r="AE425" t="s">
        <v>47</v>
      </c>
      <c r="AF425" t="s">
        <v>47</v>
      </c>
      <c r="AG425" t="s">
        <v>47</v>
      </c>
      <c r="AH425" t="s">
        <v>47</v>
      </c>
      <c r="AI425" t="s">
        <v>47</v>
      </c>
      <c r="AJ425" t="s">
        <v>47</v>
      </c>
      <c r="AK425" t="s">
        <v>47</v>
      </c>
      <c r="AL425" t="s">
        <v>47</v>
      </c>
      <c r="AM425" t="s">
        <v>47</v>
      </c>
      <c r="AN425" t="s">
        <v>47</v>
      </c>
      <c r="AO425" s="5" t="s">
        <v>51</v>
      </c>
      <c r="AP425" s="4" t="s">
        <v>85</v>
      </c>
      <c r="AQ425" s="4" t="s">
        <v>53</v>
      </c>
      <c r="AR425" s="4" t="s">
        <v>54</v>
      </c>
      <c r="AS425" s="5">
        <v>49087</v>
      </c>
      <c r="AT425" t="s">
        <v>47</v>
      </c>
    </row>
    <row r="426" spans="1:46" ht="52" x14ac:dyDescent="0.3">
      <c r="A426" s="4" t="s">
        <v>1850</v>
      </c>
      <c r="B426" t="s">
        <v>47</v>
      </c>
      <c r="C426" s="4" t="s">
        <v>279</v>
      </c>
      <c r="D426" s="4" t="s">
        <v>88</v>
      </c>
      <c r="E426" s="4" t="s">
        <v>49</v>
      </c>
      <c r="F426" s="5" t="s">
        <v>1851</v>
      </c>
      <c r="G426" s="5" t="s">
        <v>1852</v>
      </c>
      <c r="H426" t="s">
        <v>47</v>
      </c>
      <c r="I426" s="3">
        <v>37073</v>
      </c>
      <c r="J426" s="3">
        <v>40148</v>
      </c>
      <c r="K426" t="s">
        <v>47</v>
      </c>
      <c r="L426" s="5" t="s">
        <v>60</v>
      </c>
      <c r="M426" s="3">
        <v>37073</v>
      </c>
      <c r="N426" s="3">
        <v>40148</v>
      </c>
      <c r="O426" t="s">
        <v>47</v>
      </c>
      <c r="P426" s="3">
        <v>37073</v>
      </c>
      <c r="Q426" s="3">
        <v>40148</v>
      </c>
      <c r="R426" t="s">
        <v>47</v>
      </c>
      <c r="S426" t="s">
        <v>47</v>
      </c>
      <c r="T426" t="s">
        <v>47</v>
      </c>
      <c r="U426" t="s">
        <v>47</v>
      </c>
      <c r="V426" t="s">
        <v>47</v>
      </c>
      <c r="W426" s="3">
        <v>30376</v>
      </c>
      <c r="X426" s="5" t="s">
        <v>50</v>
      </c>
      <c r="Y426" s="5" t="s">
        <v>1853</v>
      </c>
      <c r="Z426" s="3">
        <v>30376</v>
      </c>
      <c r="AA426" s="5" t="s">
        <v>50</v>
      </c>
      <c r="AB426" s="5" t="s">
        <v>1853</v>
      </c>
      <c r="AC426" s="3">
        <v>31199</v>
      </c>
      <c r="AD426" s="5" t="s">
        <v>50</v>
      </c>
      <c r="AE426" s="5" t="s">
        <v>1854</v>
      </c>
      <c r="AF426" t="s">
        <v>47</v>
      </c>
      <c r="AG426" t="s">
        <v>47</v>
      </c>
      <c r="AH426" t="s">
        <v>47</v>
      </c>
      <c r="AI426" t="s">
        <v>47</v>
      </c>
      <c r="AJ426" t="s">
        <v>47</v>
      </c>
      <c r="AK426" t="s">
        <v>47</v>
      </c>
      <c r="AL426" t="s">
        <v>47</v>
      </c>
      <c r="AM426" t="s">
        <v>47</v>
      </c>
      <c r="AN426" t="s">
        <v>47</v>
      </c>
      <c r="AO426" s="5" t="s">
        <v>60</v>
      </c>
      <c r="AP426" s="4" t="s">
        <v>61</v>
      </c>
      <c r="AQ426" s="4" t="s">
        <v>53</v>
      </c>
      <c r="AR426" s="4" t="s">
        <v>1725</v>
      </c>
      <c r="AS426" s="5">
        <v>49007</v>
      </c>
      <c r="AT426" t="s">
        <v>47</v>
      </c>
    </row>
    <row r="427" spans="1:46" ht="39" x14ac:dyDescent="0.3">
      <c r="A427" s="4" t="s">
        <v>1855</v>
      </c>
      <c r="B427" t="s">
        <v>47</v>
      </c>
      <c r="C427" s="4" t="s">
        <v>1856</v>
      </c>
      <c r="D427" s="4" t="s">
        <v>1303</v>
      </c>
      <c r="E427" s="4" t="s">
        <v>49</v>
      </c>
      <c r="F427" s="5" t="s">
        <v>1857</v>
      </c>
      <c r="G427" s="5" t="s">
        <v>1858</v>
      </c>
      <c r="H427" t="s">
        <v>47</v>
      </c>
      <c r="I427" s="3">
        <v>36892</v>
      </c>
      <c r="J427" s="3">
        <v>41091</v>
      </c>
      <c r="K427" t="s">
        <v>47</v>
      </c>
      <c r="L427" s="5" t="s">
        <v>60</v>
      </c>
      <c r="M427" s="3">
        <v>36892</v>
      </c>
      <c r="N427" s="3">
        <v>41091</v>
      </c>
      <c r="O427" t="s">
        <v>47</v>
      </c>
      <c r="P427" s="3">
        <v>36892</v>
      </c>
      <c r="Q427" s="3">
        <v>41091</v>
      </c>
      <c r="R427" t="s">
        <v>47</v>
      </c>
      <c r="S427" t="s">
        <v>47</v>
      </c>
      <c r="T427" t="s">
        <v>47</v>
      </c>
      <c r="U427" t="s">
        <v>47</v>
      </c>
      <c r="V427" t="s">
        <v>47</v>
      </c>
      <c r="W427" s="3">
        <v>36892</v>
      </c>
      <c r="X427" s="5" t="s">
        <v>50</v>
      </c>
      <c r="Y427" t="s">
        <v>47</v>
      </c>
      <c r="Z427" s="3">
        <v>36892</v>
      </c>
      <c r="AA427" s="5" t="s">
        <v>50</v>
      </c>
      <c r="AB427" t="s">
        <v>47</v>
      </c>
      <c r="AC427" s="3">
        <v>36892</v>
      </c>
      <c r="AD427" s="5" t="s">
        <v>50</v>
      </c>
      <c r="AE427" t="s">
        <v>47</v>
      </c>
      <c r="AF427" t="s">
        <v>47</v>
      </c>
      <c r="AG427" t="s">
        <v>47</v>
      </c>
      <c r="AH427" t="s">
        <v>47</v>
      </c>
      <c r="AI427" t="s">
        <v>47</v>
      </c>
      <c r="AJ427" t="s">
        <v>47</v>
      </c>
      <c r="AK427" t="s">
        <v>47</v>
      </c>
      <c r="AL427" t="s">
        <v>47</v>
      </c>
      <c r="AM427" t="s">
        <v>47</v>
      </c>
      <c r="AN427" t="s">
        <v>47</v>
      </c>
      <c r="AO427" s="5" t="s">
        <v>60</v>
      </c>
      <c r="AP427" s="4" t="s">
        <v>61</v>
      </c>
      <c r="AQ427" s="4" t="s">
        <v>53</v>
      </c>
      <c r="AR427" s="4" t="s">
        <v>62</v>
      </c>
      <c r="AS427" s="5">
        <v>41961</v>
      </c>
      <c r="AT427" t="s">
        <v>47</v>
      </c>
    </row>
    <row r="428" spans="1:46" ht="78" x14ac:dyDescent="0.3">
      <c r="A428" s="4" t="s">
        <v>1859</v>
      </c>
      <c r="B428" t="s">
        <v>47</v>
      </c>
      <c r="C428" s="4" t="s">
        <v>169</v>
      </c>
      <c r="D428" s="4" t="s">
        <v>70</v>
      </c>
      <c r="E428" s="4" t="s">
        <v>66</v>
      </c>
      <c r="F428" s="5" t="s">
        <v>1860</v>
      </c>
      <c r="G428" s="5" t="s">
        <v>1861</v>
      </c>
      <c r="H428" t="s">
        <v>47</v>
      </c>
      <c r="I428" t="s">
        <v>47</v>
      </c>
      <c r="J428" t="s">
        <v>47</v>
      </c>
      <c r="K428" t="s">
        <v>47</v>
      </c>
      <c r="L428" s="5" t="s">
        <v>60</v>
      </c>
      <c r="M428" t="s">
        <v>47</v>
      </c>
      <c r="N428" t="s">
        <v>47</v>
      </c>
      <c r="O428" t="s">
        <v>47</v>
      </c>
      <c r="P428" t="s">
        <v>47</v>
      </c>
      <c r="Q428" t="s">
        <v>47</v>
      </c>
      <c r="R428" t="s">
        <v>47</v>
      </c>
      <c r="S428" t="s">
        <v>47</v>
      </c>
      <c r="T428" t="s">
        <v>47</v>
      </c>
      <c r="U428" t="s">
        <v>47</v>
      </c>
      <c r="V428" t="s">
        <v>47</v>
      </c>
      <c r="W428" s="3">
        <v>40179</v>
      </c>
      <c r="X428" s="5" t="s">
        <v>50</v>
      </c>
      <c r="Y428" s="5" t="s">
        <v>946</v>
      </c>
      <c r="Z428" s="3">
        <v>40179</v>
      </c>
      <c r="AA428" s="5" t="s">
        <v>50</v>
      </c>
      <c r="AB428" s="5" t="s">
        <v>946</v>
      </c>
      <c r="AC428" s="3">
        <v>40179</v>
      </c>
      <c r="AD428" s="5" t="s">
        <v>50</v>
      </c>
      <c r="AE428" s="5" t="s">
        <v>946</v>
      </c>
      <c r="AF428" t="s">
        <v>47</v>
      </c>
      <c r="AG428" t="s">
        <v>47</v>
      </c>
      <c r="AH428" t="s">
        <v>47</v>
      </c>
      <c r="AI428" t="s">
        <v>47</v>
      </c>
      <c r="AJ428" t="s">
        <v>47</v>
      </c>
      <c r="AK428" t="s">
        <v>47</v>
      </c>
      <c r="AL428" t="s">
        <v>47</v>
      </c>
      <c r="AM428" t="s">
        <v>47</v>
      </c>
      <c r="AN428" t="s">
        <v>47</v>
      </c>
      <c r="AO428" s="5" t="s">
        <v>60</v>
      </c>
      <c r="AP428" s="4" t="s">
        <v>61</v>
      </c>
      <c r="AQ428" s="4" t="s">
        <v>53</v>
      </c>
      <c r="AR428" s="4" t="s">
        <v>1862</v>
      </c>
      <c r="AS428" s="5">
        <v>536297</v>
      </c>
      <c r="AT428" t="s">
        <v>47</v>
      </c>
    </row>
    <row r="429" spans="1:46" ht="65" x14ac:dyDescent="0.3">
      <c r="A429" s="4" t="s">
        <v>1863</v>
      </c>
      <c r="B429" t="s">
        <v>47</v>
      </c>
      <c r="C429" s="4" t="s">
        <v>593</v>
      </c>
      <c r="D429" s="4" t="s">
        <v>201</v>
      </c>
      <c r="E429" s="4" t="s">
        <v>49</v>
      </c>
      <c r="F429" s="5" t="s">
        <v>1864</v>
      </c>
      <c r="G429" s="5" t="s">
        <v>1865</v>
      </c>
      <c r="H429" t="s">
        <v>47</v>
      </c>
      <c r="I429" s="3">
        <v>32174</v>
      </c>
      <c r="J429" s="3">
        <v>36495</v>
      </c>
      <c r="K429" t="s">
        <v>47</v>
      </c>
      <c r="L429" s="5" t="s">
        <v>51</v>
      </c>
      <c r="M429" s="3">
        <v>34731</v>
      </c>
      <c r="N429" s="3">
        <v>36495</v>
      </c>
      <c r="O429" t="s">
        <v>47</v>
      </c>
      <c r="P429" s="3">
        <v>32174</v>
      </c>
      <c r="Q429" s="3">
        <v>36495</v>
      </c>
      <c r="R429" t="s">
        <v>47</v>
      </c>
      <c r="S429" t="s">
        <v>47</v>
      </c>
      <c r="T429" t="s">
        <v>47</v>
      </c>
      <c r="U429" t="s">
        <v>47</v>
      </c>
      <c r="V429" t="s">
        <v>47</v>
      </c>
      <c r="W429" s="3">
        <v>31444</v>
      </c>
      <c r="X429" s="5" t="s">
        <v>50</v>
      </c>
      <c r="Y429" t="s">
        <v>47</v>
      </c>
      <c r="Z429" s="3">
        <v>31444</v>
      </c>
      <c r="AA429" s="5" t="s">
        <v>50</v>
      </c>
      <c r="AB429" t="s">
        <v>47</v>
      </c>
      <c r="AC429" s="3">
        <v>31444</v>
      </c>
      <c r="AD429" s="5" t="s">
        <v>50</v>
      </c>
      <c r="AE429" t="s">
        <v>47</v>
      </c>
      <c r="AF429" t="s">
        <v>47</v>
      </c>
      <c r="AG429" t="s">
        <v>47</v>
      </c>
      <c r="AH429" t="s">
        <v>47</v>
      </c>
      <c r="AI429" t="s">
        <v>47</v>
      </c>
      <c r="AJ429" t="s">
        <v>47</v>
      </c>
      <c r="AK429" t="s">
        <v>47</v>
      </c>
      <c r="AL429" t="s">
        <v>47</v>
      </c>
      <c r="AM429" t="s">
        <v>47</v>
      </c>
      <c r="AN429" t="s">
        <v>47</v>
      </c>
      <c r="AO429" s="5" t="s">
        <v>51</v>
      </c>
      <c r="AP429" s="4" t="s">
        <v>85</v>
      </c>
      <c r="AQ429" s="4" t="s">
        <v>53</v>
      </c>
      <c r="AR429" s="4" t="s">
        <v>543</v>
      </c>
      <c r="AS429" s="5">
        <v>42108</v>
      </c>
      <c r="AT429" t="s">
        <v>47</v>
      </c>
    </row>
    <row r="430" spans="1:46" ht="39" x14ac:dyDescent="0.3">
      <c r="A430" s="4" t="s">
        <v>1866</v>
      </c>
      <c r="B430" t="s">
        <v>47</v>
      </c>
      <c r="C430" s="4" t="s">
        <v>1867</v>
      </c>
      <c r="D430" s="4" t="s">
        <v>765</v>
      </c>
      <c r="E430" s="4" t="s">
        <v>49</v>
      </c>
      <c r="F430" s="5" t="s">
        <v>1868</v>
      </c>
      <c r="G430" t="s">
        <v>47</v>
      </c>
      <c r="H430" t="s">
        <v>47</v>
      </c>
      <c r="I430" s="3">
        <v>38626</v>
      </c>
      <c r="J430" s="3">
        <v>39356</v>
      </c>
      <c r="K430" t="s">
        <v>47</v>
      </c>
      <c r="L430" s="5" t="s">
        <v>60</v>
      </c>
      <c r="M430" s="3">
        <v>38626</v>
      </c>
      <c r="N430" s="3">
        <v>39356</v>
      </c>
      <c r="O430" t="s">
        <v>47</v>
      </c>
      <c r="P430" s="3">
        <v>38626</v>
      </c>
      <c r="Q430" s="3">
        <v>39356</v>
      </c>
      <c r="R430" t="s">
        <v>47</v>
      </c>
      <c r="S430" t="s">
        <v>47</v>
      </c>
      <c r="T430" t="s">
        <v>47</v>
      </c>
      <c r="U430" t="s">
        <v>47</v>
      </c>
      <c r="V430" t="s">
        <v>47</v>
      </c>
      <c r="W430" s="3">
        <v>38626</v>
      </c>
      <c r="X430" s="3">
        <v>39356</v>
      </c>
      <c r="Y430" t="s">
        <v>47</v>
      </c>
      <c r="Z430" s="3">
        <v>38626</v>
      </c>
      <c r="AA430" s="3">
        <v>39356</v>
      </c>
      <c r="AB430" t="s">
        <v>47</v>
      </c>
      <c r="AC430" s="3">
        <v>38626</v>
      </c>
      <c r="AD430" s="3">
        <v>39356</v>
      </c>
      <c r="AE430" t="s">
        <v>47</v>
      </c>
      <c r="AF430" t="s">
        <v>47</v>
      </c>
      <c r="AG430" t="s">
        <v>47</v>
      </c>
      <c r="AH430" t="s">
        <v>47</v>
      </c>
      <c r="AI430" t="s">
        <v>47</v>
      </c>
      <c r="AJ430" t="s">
        <v>47</v>
      </c>
      <c r="AK430" t="s">
        <v>47</v>
      </c>
      <c r="AL430" t="s">
        <v>47</v>
      </c>
      <c r="AM430" t="s">
        <v>47</v>
      </c>
      <c r="AN430" t="s">
        <v>47</v>
      </c>
      <c r="AO430" s="5" t="s">
        <v>60</v>
      </c>
      <c r="AP430" s="4" t="s">
        <v>61</v>
      </c>
      <c r="AQ430" s="4" t="s">
        <v>53</v>
      </c>
      <c r="AR430" s="4" t="s">
        <v>62</v>
      </c>
      <c r="AS430" s="5">
        <v>28750</v>
      </c>
      <c r="AT430" t="s">
        <v>47</v>
      </c>
    </row>
    <row r="431" spans="1:46" ht="39" x14ac:dyDescent="0.3">
      <c r="A431" s="4" t="s">
        <v>1866</v>
      </c>
      <c r="B431" t="s">
        <v>47</v>
      </c>
      <c r="C431" s="4" t="s">
        <v>1869</v>
      </c>
      <c r="D431" s="4" t="s">
        <v>1870</v>
      </c>
      <c r="E431" s="4" t="s">
        <v>49</v>
      </c>
      <c r="F431" s="5" t="s">
        <v>1868</v>
      </c>
      <c r="G431" t="s">
        <v>47</v>
      </c>
      <c r="H431" t="s">
        <v>47</v>
      </c>
      <c r="I431" s="3">
        <v>41275</v>
      </c>
      <c r="J431" s="5" t="s">
        <v>50</v>
      </c>
      <c r="K431" t="s">
        <v>47</v>
      </c>
      <c r="L431" s="5" t="s">
        <v>60</v>
      </c>
      <c r="M431" s="3">
        <v>41275</v>
      </c>
      <c r="N431" s="5" t="s">
        <v>50</v>
      </c>
      <c r="O431" t="s">
        <v>47</v>
      </c>
      <c r="P431" s="3">
        <v>41275</v>
      </c>
      <c r="Q431" s="5" t="s">
        <v>50</v>
      </c>
      <c r="R431" t="s">
        <v>47</v>
      </c>
      <c r="S431" t="s">
        <v>47</v>
      </c>
      <c r="T431" t="s">
        <v>47</v>
      </c>
      <c r="U431" t="s">
        <v>47</v>
      </c>
      <c r="V431" t="s">
        <v>47</v>
      </c>
      <c r="W431" s="3">
        <v>41275</v>
      </c>
      <c r="X431" s="5" t="s">
        <v>50</v>
      </c>
      <c r="Y431" t="s">
        <v>47</v>
      </c>
      <c r="Z431" s="3">
        <v>41275</v>
      </c>
      <c r="AA431" s="5" t="s">
        <v>50</v>
      </c>
      <c r="AB431" t="s">
        <v>47</v>
      </c>
      <c r="AC431" s="3">
        <v>41275</v>
      </c>
      <c r="AD431" s="5" t="s">
        <v>50</v>
      </c>
      <c r="AE431" t="s">
        <v>47</v>
      </c>
      <c r="AF431" t="s">
        <v>47</v>
      </c>
      <c r="AG431" t="s">
        <v>47</v>
      </c>
      <c r="AH431" t="s">
        <v>47</v>
      </c>
      <c r="AI431" t="s">
        <v>47</v>
      </c>
      <c r="AJ431" t="s">
        <v>47</v>
      </c>
      <c r="AK431" t="s">
        <v>47</v>
      </c>
      <c r="AL431" t="s">
        <v>47</v>
      </c>
      <c r="AM431" t="s">
        <v>47</v>
      </c>
      <c r="AN431" t="s">
        <v>47</v>
      </c>
      <c r="AO431" s="5" t="s">
        <v>60</v>
      </c>
      <c r="AP431" s="4" t="s">
        <v>61</v>
      </c>
      <c r="AQ431" s="4" t="s">
        <v>53</v>
      </c>
      <c r="AR431" s="4" t="s">
        <v>62</v>
      </c>
      <c r="AS431" s="5">
        <v>2032315</v>
      </c>
      <c r="AT431" t="s">
        <v>47</v>
      </c>
    </row>
    <row r="432" spans="1:46" ht="91" x14ac:dyDescent="0.3">
      <c r="A432" s="4" t="s">
        <v>1871</v>
      </c>
      <c r="B432" t="s">
        <v>47</v>
      </c>
      <c r="C432" s="4" t="s">
        <v>169</v>
      </c>
      <c r="D432" s="4" t="s">
        <v>339</v>
      </c>
      <c r="E432" s="4" t="s">
        <v>66</v>
      </c>
      <c r="F432" s="5" t="s">
        <v>1872</v>
      </c>
      <c r="G432" s="5" t="s">
        <v>1873</v>
      </c>
      <c r="H432" t="s">
        <v>47</v>
      </c>
      <c r="I432" s="3">
        <v>35796</v>
      </c>
      <c r="J432" s="3">
        <v>36526</v>
      </c>
      <c r="K432" t="s">
        <v>47</v>
      </c>
      <c r="L432" s="5" t="s">
        <v>60</v>
      </c>
      <c r="M432" s="3">
        <v>35796</v>
      </c>
      <c r="N432" s="3">
        <v>36526</v>
      </c>
      <c r="O432" t="s">
        <v>47</v>
      </c>
      <c r="P432" s="3">
        <v>35796</v>
      </c>
      <c r="Q432" s="3">
        <v>36526</v>
      </c>
      <c r="R432" t="s">
        <v>47</v>
      </c>
      <c r="S432" t="s">
        <v>47</v>
      </c>
      <c r="T432" t="s">
        <v>47</v>
      </c>
      <c r="U432" t="s">
        <v>47</v>
      </c>
      <c r="V432" t="s">
        <v>47</v>
      </c>
      <c r="W432" s="3">
        <v>35796</v>
      </c>
      <c r="X432" s="3">
        <v>36526</v>
      </c>
      <c r="Y432" t="s">
        <v>47</v>
      </c>
      <c r="Z432" s="3">
        <v>35796</v>
      </c>
      <c r="AA432" s="3">
        <v>36526</v>
      </c>
      <c r="AB432" t="s">
        <v>47</v>
      </c>
      <c r="AC432" t="s">
        <v>47</v>
      </c>
      <c r="AD432" t="s">
        <v>47</v>
      </c>
      <c r="AE432" t="s">
        <v>47</v>
      </c>
      <c r="AF432" t="s">
        <v>47</v>
      </c>
      <c r="AG432" t="s">
        <v>47</v>
      </c>
      <c r="AH432" t="s">
        <v>47</v>
      </c>
      <c r="AI432" t="s">
        <v>47</v>
      </c>
      <c r="AJ432" t="s">
        <v>47</v>
      </c>
      <c r="AK432" t="s">
        <v>47</v>
      </c>
      <c r="AL432" t="s">
        <v>47</v>
      </c>
      <c r="AM432" t="s">
        <v>47</v>
      </c>
      <c r="AN432" t="s">
        <v>47</v>
      </c>
      <c r="AO432" s="5" t="s">
        <v>51</v>
      </c>
      <c r="AP432" s="4" t="s">
        <v>61</v>
      </c>
      <c r="AQ432" s="4" t="s">
        <v>53</v>
      </c>
      <c r="AR432" s="4" t="s">
        <v>1874</v>
      </c>
      <c r="AS432" s="5">
        <v>46087</v>
      </c>
      <c r="AT432" t="s">
        <v>47</v>
      </c>
    </row>
    <row r="433" spans="1:46" ht="78" x14ac:dyDescent="0.3">
      <c r="A433" s="4" t="s">
        <v>1875</v>
      </c>
      <c r="B433" t="s">
        <v>47</v>
      </c>
      <c r="C433" s="4" t="s">
        <v>64</v>
      </c>
      <c r="D433" s="4" t="s">
        <v>139</v>
      </c>
      <c r="E433" s="4" t="s">
        <v>66</v>
      </c>
      <c r="F433" s="5" t="s">
        <v>1876</v>
      </c>
      <c r="G433" s="5" t="s">
        <v>1877</v>
      </c>
      <c r="H433" t="s">
        <v>47</v>
      </c>
      <c r="I433" t="s">
        <v>47</v>
      </c>
      <c r="J433" t="s">
        <v>47</v>
      </c>
      <c r="K433" t="s">
        <v>47</v>
      </c>
      <c r="L433" s="5" t="s">
        <v>60</v>
      </c>
      <c r="M433" t="s">
        <v>47</v>
      </c>
      <c r="N433" t="s">
        <v>47</v>
      </c>
      <c r="O433" t="s">
        <v>47</v>
      </c>
      <c r="P433" t="s">
        <v>47</v>
      </c>
      <c r="Q433" t="s">
        <v>47</v>
      </c>
      <c r="R433" t="s">
        <v>47</v>
      </c>
      <c r="S433" t="s">
        <v>47</v>
      </c>
      <c r="T433" t="s">
        <v>47</v>
      </c>
      <c r="U433" t="s">
        <v>47</v>
      </c>
      <c r="V433" t="s">
        <v>47</v>
      </c>
      <c r="W433" s="3">
        <v>37257</v>
      </c>
      <c r="X433" s="5" t="s">
        <v>50</v>
      </c>
      <c r="Y433" t="s">
        <v>47</v>
      </c>
      <c r="Z433" s="3">
        <v>37257</v>
      </c>
      <c r="AA433" s="5" t="s">
        <v>50</v>
      </c>
      <c r="AB433" t="s">
        <v>47</v>
      </c>
      <c r="AC433" s="3">
        <v>37257</v>
      </c>
      <c r="AD433" s="5" t="s">
        <v>50</v>
      </c>
      <c r="AE433" t="s">
        <v>47</v>
      </c>
      <c r="AF433" t="s">
        <v>47</v>
      </c>
      <c r="AG433" t="s">
        <v>47</v>
      </c>
      <c r="AH433" t="s">
        <v>47</v>
      </c>
      <c r="AI433" t="s">
        <v>47</v>
      </c>
      <c r="AJ433" t="s">
        <v>47</v>
      </c>
      <c r="AK433" t="s">
        <v>47</v>
      </c>
      <c r="AL433" t="s">
        <v>47</v>
      </c>
      <c r="AM433" t="s">
        <v>47</v>
      </c>
      <c r="AN433" t="s">
        <v>47</v>
      </c>
      <c r="AO433" s="5" t="s">
        <v>60</v>
      </c>
      <c r="AP433" s="4" t="s">
        <v>61</v>
      </c>
      <c r="AQ433" s="4" t="s">
        <v>53</v>
      </c>
      <c r="AR433" s="4" t="s">
        <v>136</v>
      </c>
      <c r="AS433" s="5">
        <v>42497</v>
      </c>
      <c r="AT433" t="s">
        <v>47</v>
      </c>
    </row>
    <row r="434" spans="1:46" ht="26" x14ac:dyDescent="0.3">
      <c r="A434" s="4" t="s">
        <v>1878</v>
      </c>
      <c r="B434" t="s">
        <v>47</v>
      </c>
      <c r="C434" s="4" t="s">
        <v>93</v>
      </c>
      <c r="D434" s="4" t="s">
        <v>88</v>
      </c>
      <c r="E434" s="4" t="s">
        <v>49</v>
      </c>
      <c r="F434" s="5" t="s">
        <v>1879</v>
      </c>
      <c r="G434" s="5" t="s">
        <v>1880</v>
      </c>
      <c r="H434" t="s">
        <v>47</v>
      </c>
      <c r="I434" t="s">
        <v>47</v>
      </c>
      <c r="J434" t="s">
        <v>47</v>
      </c>
      <c r="K434" t="s">
        <v>47</v>
      </c>
      <c r="L434" s="5" t="s">
        <v>60</v>
      </c>
      <c r="M434" t="s">
        <v>47</v>
      </c>
      <c r="N434" t="s">
        <v>47</v>
      </c>
      <c r="O434" t="s">
        <v>47</v>
      </c>
      <c r="P434" t="s">
        <v>47</v>
      </c>
      <c r="Q434" t="s">
        <v>47</v>
      </c>
      <c r="R434" t="s">
        <v>47</v>
      </c>
      <c r="S434" t="s">
        <v>47</v>
      </c>
      <c r="T434" t="s">
        <v>47</v>
      </c>
      <c r="U434" t="s">
        <v>47</v>
      </c>
      <c r="V434" t="s">
        <v>47</v>
      </c>
      <c r="W434" s="3">
        <v>36708</v>
      </c>
      <c r="X434" s="5" t="s">
        <v>50</v>
      </c>
      <c r="Y434" t="s">
        <v>47</v>
      </c>
      <c r="Z434" s="3">
        <v>36708</v>
      </c>
      <c r="AA434" s="5" t="s">
        <v>50</v>
      </c>
      <c r="AB434" t="s">
        <v>47</v>
      </c>
      <c r="AC434" s="3">
        <v>38078</v>
      </c>
      <c r="AD434" s="5" t="s">
        <v>50</v>
      </c>
      <c r="AE434" t="s">
        <v>47</v>
      </c>
      <c r="AF434" t="s">
        <v>47</v>
      </c>
      <c r="AG434" t="s">
        <v>47</v>
      </c>
      <c r="AH434" t="s">
        <v>47</v>
      </c>
      <c r="AI434" t="s">
        <v>47</v>
      </c>
      <c r="AJ434" t="s">
        <v>47</v>
      </c>
      <c r="AK434" t="s">
        <v>47</v>
      </c>
      <c r="AL434" t="s">
        <v>47</v>
      </c>
      <c r="AM434" t="s">
        <v>47</v>
      </c>
      <c r="AN434" t="s">
        <v>47</v>
      </c>
      <c r="AO434" s="5" t="s">
        <v>60</v>
      </c>
      <c r="AP434" s="4" t="s">
        <v>61</v>
      </c>
      <c r="AQ434" s="4" t="s">
        <v>53</v>
      </c>
      <c r="AR434" s="4" t="s">
        <v>54</v>
      </c>
      <c r="AS434" s="5">
        <v>30860</v>
      </c>
      <c r="AT434" t="s">
        <v>47</v>
      </c>
    </row>
    <row r="435" spans="1:46" ht="13" x14ac:dyDescent="0.3">
      <c r="A435" s="4" t="s">
        <v>1881</v>
      </c>
      <c r="B435" t="s">
        <v>47</v>
      </c>
      <c r="C435" s="4" t="s">
        <v>169</v>
      </c>
      <c r="D435" s="4" t="s">
        <v>139</v>
      </c>
      <c r="E435" s="4" t="s">
        <v>66</v>
      </c>
      <c r="F435" s="5" t="s">
        <v>1882</v>
      </c>
      <c r="G435" s="5" t="s">
        <v>1883</v>
      </c>
      <c r="H435" t="s">
        <v>47</v>
      </c>
      <c r="I435" t="s">
        <v>47</v>
      </c>
      <c r="J435" t="s">
        <v>47</v>
      </c>
      <c r="K435" t="s">
        <v>47</v>
      </c>
      <c r="L435" s="5" t="s">
        <v>60</v>
      </c>
      <c r="M435" t="s">
        <v>47</v>
      </c>
      <c r="N435" t="s">
        <v>47</v>
      </c>
      <c r="O435" t="s">
        <v>47</v>
      </c>
      <c r="P435" t="s">
        <v>47</v>
      </c>
      <c r="Q435" t="s">
        <v>47</v>
      </c>
      <c r="R435" t="s">
        <v>47</v>
      </c>
      <c r="S435" t="s">
        <v>47</v>
      </c>
      <c r="T435" t="s">
        <v>47</v>
      </c>
      <c r="U435" t="s">
        <v>47</v>
      </c>
      <c r="V435" t="s">
        <v>47</v>
      </c>
      <c r="W435" s="3">
        <v>40179</v>
      </c>
      <c r="X435" s="5" t="s">
        <v>50</v>
      </c>
      <c r="Y435" t="s">
        <v>47</v>
      </c>
      <c r="Z435" s="3">
        <v>40179</v>
      </c>
      <c r="AA435" s="5" t="s">
        <v>50</v>
      </c>
      <c r="AB435" t="s">
        <v>47</v>
      </c>
      <c r="AC435" s="3">
        <v>40179</v>
      </c>
      <c r="AD435" s="5" t="s">
        <v>50</v>
      </c>
      <c r="AE435" t="s">
        <v>47</v>
      </c>
      <c r="AF435" t="s">
        <v>47</v>
      </c>
      <c r="AG435" t="s">
        <v>47</v>
      </c>
      <c r="AH435" t="s">
        <v>47</v>
      </c>
      <c r="AI435" t="s">
        <v>47</v>
      </c>
      <c r="AJ435" t="s">
        <v>47</v>
      </c>
      <c r="AK435" t="s">
        <v>47</v>
      </c>
      <c r="AL435" t="s">
        <v>47</v>
      </c>
      <c r="AM435" t="s">
        <v>47</v>
      </c>
      <c r="AN435" t="s">
        <v>47</v>
      </c>
      <c r="AO435" s="5" t="s">
        <v>60</v>
      </c>
      <c r="AP435" s="4" t="s">
        <v>61</v>
      </c>
      <c r="AQ435" s="4" t="s">
        <v>53</v>
      </c>
      <c r="AR435" s="4" t="s">
        <v>54</v>
      </c>
      <c r="AS435" s="5">
        <v>536299</v>
      </c>
      <c r="AT435" t="s">
        <v>47</v>
      </c>
    </row>
    <row r="436" spans="1:46" ht="13" x14ac:dyDescent="0.3">
      <c r="A436" s="4" t="s">
        <v>1884</v>
      </c>
      <c r="B436" t="s">
        <v>47</v>
      </c>
      <c r="C436" s="4" t="s">
        <v>169</v>
      </c>
      <c r="D436" s="4" t="s">
        <v>339</v>
      </c>
      <c r="E436" s="4" t="s">
        <v>66</v>
      </c>
      <c r="F436" s="5" t="s">
        <v>1885</v>
      </c>
      <c r="G436" s="5" t="s">
        <v>1886</v>
      </c>
      <c r="H436" t="s">
        <v>47</v>
      </c>
      <c r="I436" t="s">
        <v>47</v>
      </c>
      <c r="J436" t="s">
        <v>47</v>
      </c>
      <c r="K436" t="s">
        <v>47</v>
      </c>
      <c r="L436" s="5" t="s">
        <v>60</v>
      </c>
      <c r="M436" t="s">
        <v>47</v>
      </c>
      <c r="N436" t="s">
        <v>47</v>
      </c>
      <c r="O436" t="s">
        <v>47</v>
      </c>
      <c r="P436" t="s">
        <v>47</v>
      </c>
      <c r="Q436" t="s">
        <v>47</v>
      </c>
      <c r="R436" t="s">
        <v>47</v>
      </c>
      <c r="S436" t="s">
        <v>47</v>
      </c>
      <c r="T436" t="s">
        <v>47</v>
      </c>
      <c r="U436" t="s">
        <v>47</v>
      </c>
      <c r="V436" t="s">
        <v>47</v>
      </c>
      <c r="W436" s="3">
        <v>38292</v>
      </c>
      <c r="X436" s="5" t="s">
        <v>50</v>
      </c>
      <c r="Y436" t="s">
        <v>47</v>
      </c>
      <c r="Z436" s="3">
        <v>38292</v>
      </c>
      <c r="AA436" s="5" t="s">
        <v>50</v>
      </c>
      <c r="AB436" t="s">
        <v>47</v>
      </c>
      <c r="AC436" s="3">
        <v>38384</v>
      </c>
      <c r="AD436" s="5" t="s">
        <v>50</v>
      </c>
      <c r="AE436" t="s">
        <v>47</v>
      </c>
      <c r="AF436" t="s">
        <v>47</v>
      </c>
      <c r="AG436" t="s">
        <v>47</v>
      </c>
      <c r="AH436" t="s">
        <v>47</v>
      </c>
      <c r="AI436" t="s">
        <v>47</v>
      </c>
      <c r="AJ436" t="s">
        <v>47</v>
      </c>
      <c r="AK436" t="s">
        <v>47</v>
      </c>
      <c r="AL436" t="s">
        <v>47</v>
      </c>
      <c r="AM436" t="s">
        <v>47</v>
      </c>
      <c r="AN436" t="s">
        <v>47</v>
      </c>
      <c r="AO436" s="5" t="s">
        <v>60</v>
      </c>
      <c r="AP436" s="4" t="s">
        <v>61</v>
      </c>
      <c r="AQ436" s="4" t="s">
        <v>53</v>
      </c>
      <c r="AR436" s="4" t="s">
        <v>54</v>
      </c>
      <c r="AS436" s="5">
        <v>47299</v>
      </c>
      <c r="AT436" t="s">
        <v>47</v>
      </c>
    </row>
    <row r="437" spans="1:46" ht="91" x14ac:dyDescent="0.3">
      <c r="A437" s="4" t="s">
        <v>1887</v>
      </c>
      <c r="B437" t="s">
        <v>47</v>
      </c>
      <c r="C437" s="4" t="s">
        <v>183</v>
      </c>
      <c r="D437" s="4" t="s">
        <v>1888</v>
      </c>
      <c r="E437" s="4" t="s">
        <v>49</v>
      </c>
      <c r="F437" s="5" t="s">
        <v>1889</v>
      </c>
      <c r="G437" s="5" t="s">
        <v>1890</v>
      </c>
      <c r="H437" t="s">
        <v>47</v>
      </c>
      <c r="I437" t="s">
        <v>47</v>
      </c>
      <c r="J437" t="s">
        <v>47</v>
      </c>
      <c r="K437" t="s">
        <v>47</v>
      </c>
      <c r="L437" s="5" t="s">
        <v>60</v>
      </c>
      <c r="M437" t="s">
        <v>47</v>
      </c>
      <c r="N437" t="s">
        <v>47</v>
      </c>
      <c r="O437" t="s">
        <v>47</v>
      </c>
      <c r="P437" t="s">
        <v>47</v>
      </c>
      <c r="Q437" t="s">
        <v>47</v>
      </c>
      <c r="R437" t="s">
        <v>47</v>
      </c>
      <c r="S437" t="s">
        <v>47</v>
      </c>
      <c r="T437" t="s">
        <v>47</v>
      </c>
      <c r="U437" t="s">
        <v>47</v>
      </c>
      <c r="V437" t="s">
        <v>47</v>
      </c>
      <c r="W437" s="3">
        <v>35125</v>
      </c>
      <c r="X437" s="5" t="s">
        <v>50</v>
      </c>
      <c r="Y437" t="s">
        <v>47</v>
      </c>
      <c r="Z437" s="3">
        <v>35125</v>
      </c>
      <c r="AA437" s="5" t="s">
        <v>50</v>
      </c>
      <c r="AB437" t="s">
        <v>47</v>
      </c>
      <c r="AC437" s="3">
        <v>35125</v>
      </c>
      <c r="AD437" s="5" t="s">
        <v>50</v>
      </c>
      <c r="AE437" t="s">
        <v>47</v>
      </c>
      <c r="AF437" t="s">
        <v>47</v>
      </c>
      <c r="AG437" t="s">
        <v>47</v>
      </c>
      <c r="AH437" t="s">
        <v>47</v>
      </c>
      <c r="AI437" t="s">
        <v>47</v>
      </c>
      <c r="AJ437" t="s">
        <v>47</v>
      </c>
      <c r="AK437" t="s">
        <v>47</v>
      </c>
      <c r="AL437" t="s">
        <v>47</v>
      </c>
      <c r="AM437" t="s">
        <v>47</v>
      </c>
      <c r="AN437" t="s">
        <v>47</v>
      </c>
      <c r="AO437" s="5" t="s">
        <v>60</v>
      </c>
      <c r="AP437" s="4" t="s">
        <v>61</v>
      </c>
      <c r="AQ437" s="4" t="s">
        <v>53</v>
      </c>
      <c r="AR437" s="4" t="s">
        <v>730</v>
      </c>
      <c r="AS437" s="5">
        <v>36575</v>
      </c>
      <c r="AT437" t="s">
        <v>47</v>
      </c>
    </row>
    <row r="438" spans="1:46" ht="39" x14ac:dyDescent="0.3">
      <c r="A438" s="4" t="s">
        <v>1891</v>
      </c>
      <c r="B438" t="s">
        <v>47</v>
      </c>
      <c r="C438" s="4" t="s">
        <v>1892</v>
      </c>
      <c r="D438" s="4" t="s">
        <v>1893</v>
      </c>
      <c r="E438" s="4" t="s">
        <v>874</v>
      </c>
      <c r="F438" s="5" t="s">
        <v>1894</v>
      </c>
      <c r="G438" t="s">
        <v>47</v>
      </c>
      <c r="H438" t="s">
        <v>47</v>
      </c>
      <c r="I438" s="3">
        <v>41671</v>
      </c>
      <c r="J438" s="5" t="s">
        <v>50</v>
      </c>
      <c r="K438" t="s">
        <v>47</v>
      </c>
      <c r="L438" s="5" t="s">
        <v>60</v>
      </c>
      <c r="M438" t="s">
        <v>47</v>
      </c>
      <c r="N438" t="s">
        <v>47</v>
      </c>
      <c r="O438" t="s">
        <v>47</v>
      </c>
      <c r="P438" s="3">
        <v>41671</v>
      </c>
      <c r="Q438" s="5" t="s">
        <v>50</v>
      </c>
      <c r="R438" t="s">
        <v>47</v>
      </c>
      <c r="S438" t="s">
        <v>47</v>
      </c>
      <c r="T438" t="s">
        <v>47</v>
      </c>
      <c r="U438" t="s">
        <v>47</v>
      </c>
      <c r="V438" t="s">
        <v>47</v>
      </c>
      <c r="W438" s="3">
        <v>41671</v>
      </c>
      <c r="X438" s="5" t="s">
        <v>50</v>
      </c>
      <c r="Y438" t="s">
        <v>47</v>
      </c>
      <c r="Z438" s="3">
        <v>41671</v>
      </c>
      <c r="AA438" s="5" t="s">
        <v>50</v>
      </c>
      <c r="AB438" t="s">
        <v>47</v>
      </c>
      <c r="AC438" s="3">
        <v>41671</v>
      </c>
      <c r="AD438" s="5" t="s">
        <v>50</v>
      </c>
      <c r="AE438" t="s">
        <v>47</v>
      </c>
      <c r="AF438" t="s">
        <v>47</v>
      </c>
      <c r="AG438" t="s">
        <v>47</v>
      </c>
      <c r="AH438" t="s">
        <v>47</v>
      </c>
      <c r="AI438" t="s">
        <v>47</v>
      </c>
      <c r="AJ438" t="s">
        <v>47</v>
      </c>
      <c r="AK438" t="s">
        <v>47</v>
      </c>
      <c r="AL438" t="s">
        <v>47</v>
      </c>
      <c r="AM438" t="s">
        <v>47</v>
      </c>
      <c r="AN438" t="s">
        <v>47</v>
      </c>
      <c r="AO438" s="5" t="s">
        <v>51</v>
      </c>
      <c r="AP438" s="4" t="s">
        <v>61</v>
      </c>
      <c r="AQ438" s="4" t="s">
        <v>876</v>
      </c>
      <c r="AR438" s="4" t="s">
        <v>54</v>
      </c>
      <c r="AS438" s="5">
        <v>2041168</v>
      </c>
      <c r="AT438" t="s">
        <v>47</v>
      </c>
    </row>
    <row r="439" spans="1:46" ht="26" x14ac:dyDescent="0.3">
      <c r="A439" s="4" t="s">
        <v>1895</v>
      </c>
      <c r="B439" t="s">
        <v>47</v>
      </c>
      <c r="C439" s="4" t="s">
        <v>1896</v>
      </c>
      <c r="D439" s="4" t="s">
        <v>1897</v>
      </c>
      <c r="E439" s="4" t="s">
        <v>701</v>
      </c>
      <c r="F439" s="5" t="s">
        <v>1898</v>
      </c>
      <c r="G439" s="5" t="s">
        <v>1899</v>
      </c>
      <c r="H439" t="s">
        <v>47</v>
      </c>
      <c r="I439" s="3">
        <v>40909</v>
      </c>
      <c r="J439" s="3">
        <v>44197</v>
      </c>
      <c r="K439" t="s">
        <v>47</v>
      </c>
      <c r="L439" s="5" t="s">
        <v>60</v>
      </c>
      <c r="M439" t="s">
        <v>47</v>
      </c>
      <c r="N439" t="s">
        <v>47</v>
      </c>
      <c r="O439" t="s">
        <v>47</v>
      </c>
      <c r="P439" s="3">
        <v>40909</v>
      </c>
      <c r="Q439" s="3">
        <v>44197</v>
      </c>
      <c r="R439" t="s">
        <v>47</v>
      </c>
      <c r="S439" t="s">
        <v>47</v>
      </c>
      <c r="T439" t="s">
        <v>47</v>
      </c>
      <c r="U439" t="s">
        <v>47</v>
      </c>
      <c r="V439" t="s">
        <v>47</v>
      </c>
      <c r="W439" s="3">
        <v>40909</v>
      </c>
      <c r="X439" s="3">
        <v>44197</v>
      </c>
      <c r="Y439" t="s">
        <v>47</v>
      </c>
      <c r="Z439" s="3">
        <v>40909</v>
      </c>
      <c r="AA439" s="3">
        <v>44197</v>
      </c>
      <c r="AB439" t="s">
        <v>47</v>
      </c>
      <c r="AC439" s="3">
        <v>40909</v>
      </c>
      <c r="AD439" s="3">
        <v>44197</v>
      </c>
      <c r="AE439" t="s">
        <v>47</v>
      </c>
      <c r="AF439" t="s">
        <v>47</v>
      </c>
      <c r="AG439" t="s">
        <v>47</v>
      </c>
      <c r="AH439" t="s">
        <v>47</v>
      </c>
      <c r="AI439" t="s">
        <v>47</v>
      </c>
      <c r="AJ439" t="s">
        <v>47</v>
      </c>
      <c r="AK439" t="s">
        <v>47</v>
      </c>
      <c r="AL439" t="s">
        <v>47</v>
      </c>
      <c r="AM439" t="s">
        <v>47</v>
      </c>
      <c r="AN439" t="s">
        <v>47</v>
      </c>
      <c r="AO439" s="5" t="s">
        <v>60</v>
      </c>
      <c r="AP439" s="4" t="s">
        <v>61</v>
      </c>
      <c r="AQ439" s="4" t="s">
        <v>53</v>
      </c>
      <c r="AR439" s="4" t="s">
        <v>54</v>
      </c>
      <c r="AS439" s="5">
        <v>4422175</v>
      </c>
      <c r="AT439" t="s">
        <v>47</v>
      </c>
    </row>
    <row r="440" spans="1:46" ht="26" x14ac:dyDescent="0.3">
      <c r="A440" s="4" t="s">
        <v>1900</v>
      </c>
      <c r="B440" t="s">
        <v>47</v>
      </c>
      <c r="C440" s="4" t="s">
        <v>169</v>
      </c>
      <c r="D440" s="4" t="s">
        <v>319</v>
      </c>
      <c r="E440" s="4" t="s">
        <v>66</v>
      </c>
      <c r="F440" s="5" t="s">
        <v>1901</v>
      </c>
      <c r="G440" s="5" t="s">
        <v>1902</v>
      </c>
      <c r="H440" t="s">
        <v>47</v>
      </c>
      <c r="I440" t="s">
        <v>47</v>
      </c>
      <c r="J440" t="s">
        <v>47</v>
      </c>
      <c r="K440" t="s">
        <v>47</v>
      </c>
      <c r="L440" s="5" t="s">
        <v>60</v>
      </c>
      <c r="M440" t="s">
        <v>47</v>
      </c>
      <c r="N440" t="s">
        <v>47</v>
      </c>
      <c r="O440" t="s">
        <v>47</v>
      </c>
      <c r="P440" t="s">
        <v>47</v>
      </c>
      <c r="Q440" t="s">
        <v>47</v>
      </c>
      <c r="R440" t="s">
        <v>47</v>
      </c>
      <c r="S440" t="s">
        <v>47</v>
      </c>
      <c r="T440" t="s">
        <v>47</v>
      </c>
      <c r="U440" t="s">
        <v>47</v>
      </c>
      <c r="V440" t="s">
        <v>47</v>
      </c>
      <c r="W440" s="3">
        <v>37987</v>
      </c>
      <c r="X440" s="5" t="s">
        <v>50</v>
      </c>
      <c r="Y440" t="s">
        <v>47</v>
      </c>
      <c r="Z440" s="3">
        <v>37987</v>
      </c>
      <c r="AA440" s="5" t="s">
        <v>50</v>
      </c>
      <c r="AB440" t="s">
        <v>47</v>
      </c>
      <c r="AC440" s="3">
        <v>37987</v>
      </c>
      <c r="AD440" s="5" t="s">
        <v>50</v>
      </c>
      <c r="AE440" t="s">
        <v>47</v>
      </c>
      <c r="AF440" t="s">
        <v>47</v>
      </c>
      <c r="AG440" t="s">
        <v>47</v>
      </c>
      <c r="AH440" t="s">
        <v>47</v>
      </c>
      <c r="AI440" t="s">
        <v>47</v>
      </c>
      <c r="AJ440" t="s">
        <v>47</v>
      </c>
      <c r="AK440" t="s">
        <v>47</v>
      </c>
      <c r="AL440" t="s">
        <v>47</v>
      </c>
      <c r="AM440" t="s">
        <v>47</v>
      </c>
      <c r="AN440" t="s">
        <v>47</v>
      </c>
      <c r="AO440" s="5" t="s">
        <v>60</v>
      </c>
      <c r="AP440" s="4" t="s">
        <v>61</v>
      </c>
      <c r="AQ440" s="4" t="s">
        <v>53</v>
      </c>
      <c r="AR440" s="4" t="s">
        <v>807</v>
      </c>
      <c r="AS440" s="5">
        <v>48036</v>
      </c>
      <c r="AT440" t="s">
        <v>47</v>
      </c>
    </row>
    <row r="441" spans="1:46" ht="26" x14ac:dyDescent="0.3">
      <c r="A441" s="4" t="s">
        <v>1903</v>
      </c>
      <c r="B441" t="s">
        <v>47</v>
      </c>
      <c r="C441" s="4" t="s">
        <v>169</v>
      </c>
      <c r="D441" s="4" t="s">
        <v>1904</v>
      </c>
      <c r="E441" s="4" t="s">
        <v>66</v>
      </c>
      <c r="F441" s="5" t="s">
        <v>1905</v>
      </c>
      <c r="G441" s="5" t="s">
        <v>1906</v>
      </c>
      <c r="H441" t="s">
        <v>47</v>
      </c>
      <c r="I441" s="3">
        <v>35674</v>
      </c>
      <c r="J441" s="3">
        <v>36770</v>
      </c>
      <c r="K441" t="s">
        <v>47</v>
      </c>
      <c r="L441" s="5" t="s">
        <v>60</v>
      </c>
      <c r="M441" s="3">
        <v>35674</v>
      </c>
      <c r="N441" s="3">
        <v>36770</v>
      </c>
      <c r="O441" t="s">
        <v>47</v>
      </c>
      <c r="P441" s="3">
        <v>35674</v>
      </c>
      <c r="Q441" s="3">
        <v>36770</v>
      </c>
      <c r="R441" t="s">
        <v>47</v>
      </c>
      <c r="S441" t="s">
        <v>47</v>
      </c>
      <c r="T441" t="s">
        <v>47</v>
      </c>
      <c r="U441" t="s">
        <v>47</v>
      </c>
      <c r="V441" t="s">
        <v>47</v>
      </c>
      <c r="W441" s="3">
        <v>35674</v>
      </c>
      <c r="X441" s="5" t="s">
        <v>50</v>
      </c>
      <c r="Y441" t="s">
        <v>47</v>
      </c>
      <c r="Z441" s="3">
        <v>35674</v>
      </c>
      <c r="AA441" s="5" t="s">
        <v>50</v>
      </c>
      <c r="AB441" t="s">
        <v>47</v>
      </c>
      <c r="AC441" s="3">
        <v>35674</v>
      </c>
      <c r="AD441" s="5" t="s">
        <v>50</v>
      </c>
      <c r="AE441" t="s">
        <v>47</v>
      </c>
      <c r="AF441" t="s">
        <v>47</v>
      </c>
      <c r="AG441" t="s">
        <v>47</v>
      </c>
      <c r="AH441" t="s">
        <v>47</v>
      </c>
      <c r="AI441" t="s">
        <v>47</v>
      </c>
      <c r="AJ441" t="s">
        <v>47</v>
      </c>
      <c r="AK441" t="s">
        <v>47</v>
      </c>
      <c r="AL441" t="s">
        <v>47</v>
      </c>
      <c r="AM441" t="s">
        <v>47</v>
      </c>
      <c r="AN441" t="s">
        <v>47</v>
      </c>
      <c r="AO441" s="5" t="s">
        <v>60</v>
      </c>
      <c r="AP441" s="4" t="s">
        <v>61</v>
      </c>
      <c r="AQ441" s="4" t="s">
        <v>53</v>
      </c>
      <c r="AR441" s="4" t="s">
        <v>807</v>
      </c>
      <c r="AS441" s="5">
        <v>33176</v>
      </c>
      <c r="AT441" t="s">
        <v>47</v>
      </c>
    </row>
    <row r="442" spans="1:46" ht="26" x14ac:dyDescent="0.3">
      <c r="A442" s="4" t="s">
        <v>1907</v>
      </c>
      <c r="B442" t="s">
        <v>47</v>
      </c>
      <c r="C442" s="4" t="s">
        <v>122</v>
      </c>
      <c r="D442" s="4" t="s">
        <v>70</v>
      </c>
      <c r="E442" s="4" t="s">
        <v>123</v>
      </c>
      <c r="F442" s="5" t="s">
        <v>1908</v>
      </c>
      <c r="G442" s="5" t="s">
        <v>1909</v>
      </c>
      <c r="H442" t="s">
        <v>47</v>
      </c>
      <c r="I442" s="3">
        <v>35490</v>
      </c>
      <c r="J442" s="5" t="s">
        <v>50</v>
      </c>
      <c r="K442" t="s">
        <v>47</v>
      </c>
      <c r="L442" s="5" t="s">
        <v>60</v>
      </c>
      <c r="M442" s="3">
        <v>38047</v>
      </c>
      <c r="N442" s="3">
        <v>42795</v>
      </c>
      <c r="O442" t="s">
        <v>47</v>
      </c>
      <c r="P442" s="3">
        <v>35490</v>
      </c>
      <c r="Q442" s="5" t="s">
        <v>50</v>
      </c>
      <c r="R442" t="s">
        <v>47</v>
      </c>
      <c r="S442" t="s">
        <v>47</v>
      </c>
      <c r="T442" t="s">
        <v>47</v>
      </c>
      <c r="U442" t="s">
        <v>47</v>
      </c>
      <c r="V442" s="5">
        <v>365</v>
      </c>
      <c r="W442" s="3">
        <v>35490</v>
      </c>
      <c r="X442" s="5" t="s">
        <v>50</v>
      </c>
      <c r="Y442" t="s">
        <v>47</v>
      </c>
      <c r="Z442" s="3">
        <v>35490</v>
      </c>
      <c r="AA442" s="5" t="s">
        <v>50</v>
      </c>
      <c r="AB442" t="s">
        <v>47</v>
      </c>
      <c r="AC442" s="3">
        <v>35490</v>
      </c>
      <c r="AD442" s="5" t="s">
        <v>50</v>
      </c>
      <c r="AE442" t="s">
        <v>47</v>
      </c>
      <c r="AF442" t="s">
        <v>47</v>
      </c>
      <c r="AG442" t="s">
        <v>47</v>
      </c>
      <c r="AH442" t="s">
        <v>47</v>
      </c>
      <c r="AI442" t="s">
        <v>47</v>
      </c>
      <c r="AJ442" t="s">
        <v>47</v>
      </c>
      <c r="AK442" t="s">
        <v>47</v>
      </c>
      <c r="AL442" t="s">
        <v>47</v>
      </c>
      <c r="AM442" t="s">
        <v>47</v>
      </c>
      <c r="AN442" t="s">
        <v>47</v>
      </c>
      <c r="AO442" s="5" t="s">
        <v>60</v>
      </c>
      <c r="AP442" s="4" t="s">
        <v>61</v>
      </c>
      <c r="AQ442" s="4" t="s">
        <v>53</v>
      </c>
      <c r="AR442" s="4" t="s">
        <v>807</v>
      </c>
      <c r="AS442" s="5">
        <v>54191</v>
      </c>
      <c r="AT442" t="s">
        <v>47</v>
      </c>
    </row>
    <row r="443" spans="1:46" ht="26" x14ac:dyDescent="0.3">
      <c r="A443" s="4" t="s">
        <v>1910</v>
      </c>
      <c r="B443" t="s">
        <v>47</v>
      </c>
      <c r="C443" s="4" t="s">
        <v>169</v>
      </c>
      <c r="D443" s="4" t="s">
        <v>1911</v>
      </c>
      <c r="E443" s="4" t="s">
        <v>66</v>
      </c>
      <c r="F443" s="5" t="s">
        <v>1912</v>
      </c>
      <c r="G443" s="5" t="s">
        <v>1913</v>
      </c>
      <c r="H443" t="s">
        <v>47</v>
      </c>
      <c r="I443" t="s">
        <v>47</v>
      </c>
      <c r="J443" t="s">
        <v>47</v>
      </c>
      <c r="K443" t="s">
        <v>47</v>
      </c>
      <c r="L443" s="5" t="s">
        <v>60</v>
      </c>
      <c r="M443" t="s">
        <v>47</v>
      </c>
      <c r="N443" t="s">
        <v>47</v>
      </c>
      <c r="O443" t="s">
        <v>47</v>
      </c>
      <c r="P443" t="s">
        <v>47</v>
      </c>
      <c r="Q443" t="s">
        <v>47</v>
      </c>
      <c r="R443" t="s">
        <v>47</v>
      </c>
      <c r="S443" t="s">
        <v>47</v>
      </c>
      <c r="T443" t="s">
        <v>47</v>
      </c>
      <c r="U443" t="s">
        <v>47</v>
      </c>
      <c r="V443" t="s">
        <v>47</v>
      </c>
      <c r="W443" s="3">
        <v>40179</v>
      </c>
      <c r="X443" s="5" t="s">
        <v>50</v>
      </c>
      <c r="Y443" t="s">
        <v>47</v>
      </c>
      <c r="Z443" s="3">
        <v>40179</v>
      </c>
      <c r="AA443" s="5" t="s">
        <v>50</v>
      </c>
      <c r="AB443" t="s">
        <v>47</v>
      </c>
      <c r="AC443" s="3">
        <v>40179</v>
      </c>
      <c r="AD443" s="5" t="s">
        <v>50</v>
      </c>
      <c r="AE443" t="s">
        <v>47</v>
      </c>
      <c r="AF443" t="s">
        <v>47</v>
      </c>
      <c r="AG443" t="s">
        <v>47</v>
      </c>
      <c r="AH443" t="s">
        <v>47</v>
      </c>
      <c r="AI443" t="s">
        <v>47</v>
      </c>
      <c r="AJ443" t="s">
        <v>47</v>
      </c>
      <c r="AK443" t="s">
        <v>47</v>
      </c>
      <c r="AL443" t="s">
        <v>47</v>
      </c>
      <c r="AM443" t="s">
        <v>47</v>
      </c>
      <c r="AN443" t="s">
        <v>47</v>
      </c>
      <c r="AO443" s="5" t="s">
        <v>60</v>
      </c>
      <c r="AP443" s="4" t="s">
        <v>61</v>
      </c>
      <c r="AQ443" s="4" t="s">
        <v>53</v>
      </c>
      <c r="AR443" s="4" t="s">
        <v>807</v>
      </c>
      <c r="AS443" s="5">
        <v>426777</v>
      </c>
      <c r="AT443" t="s">
        <v>47</v>
      </c>
    </row>
    <row r="444" spans="1:46" ht="13" x14ac:dyDescent="0.3">
      <c r="A444" s="4" t="s">
        <v>1914</v>
      </c>
      <c r="B444" t="s">
        <v>47</v>
      </c>
      <c r="C444" s="4" t="s">
        <v>1915</v>
      </c>
      <c r="D444" s="4" t="s">
        <v>88</v>
      </c>
      <c r="E444" s="4" t="s">
        <v>49</v>
      </c>
      <c r="F444" s="5" t="s">
        <v>1916</v>
      </c>
      <c r="G444" t="s">
        <v>47</v>
      </c>
      <c r="H444" t="s">
        <v>47</v>
      </c>
      <c r="I444" s="3">
        <v>32234</v>
      </c>
      <c r="J444" s="3">
        <v>35612</v>
      </c>
      <c r="K444" t="s">
        <v>47</v>
      </c>
      <c r="L444" s="5" t="s">
        <v>51</v>
      </c>
      <c r="M444" s="3">
        <v>34335</v>
      </c>
      <c r="N444" s="3">
        <v>35612</v>
      </c>
      <c r="O444" t="s">
        <v>47</v>
      </c>
      <c r="P444" s="3">
        <v>32234</v>
      </c>
      <c r="Q444" s="3">
        <v>35612</v>
      </c>
      <c r="R444" t="s">
        <v>47</v>
      </c>
      <c r="S444" t="s">
        <v>47</v>
      </c>
      <c r="T444" t="s">
        <v>47</v>
      </c>
      <c r="U444" t="s">
        <v>47</v>
      </c>
      <c r="V444" t="s">
        <v>47</v>
      </c>
      <c r="W444" s="3">
        <v>31413</v>
      </c>
      <c r="X444" s="3">
        <v>35612</v>
      </c>
      <c r="Y444" t="s">
        <v>47</v>
      </c>
      <c r="Z444" s="3">
        <v>31413</v>
      </c>
      <c r="AA444" s="3">
        <v>35612</v>
      </c>
      <c r="AB444" t="s">
        <v>47</v>
      </c>
      <c r="AC444" s="3">
        <v>31413</v>
      </c>
      <c r="AD444" s="3">
        <v>35612</v>
      </c>
      <c r="AE444" t="s">
        <v>47</v>
      </c>
      <c r="AF444" t="s">
        <v>47</v>
      </c>
      <c r="AG444" t="s">
        <v>47</v>
      </c>
      <c r="AH444" t="s">
        <v>47</v>
      </c>
      <c r="AI444" t="s">
        <v>47</v>
      </c>
      <c r="AJ444" t="s">
        <v>47</v>
      </c>
      <c r="AK444" t="s">
        <v>47</v>
      </c>
      <c r="AL444" t="s">
        <v>47</v>
      </c>
      <c r="AM444" t="s">
        <v>47</v>
      </c>
      <c r="AN444" t="s">
        <v>47</v>
      </c>
      <c r="AO444" s="5" t="s">
        <v>51</v>
      </c>
      <c r="AP444" s="4" t="s">
        <v>85</v>
      </c>
      <c r="AQ444" s="4" t="s">
        <v>53</v>
      </c>
      <c r="AR444" s="4" t="s">
        <v>54</v>
      </c>
      <c r="AS444" s="5">
        <v>41965</v>
      </c>
      <c r="AT444" t="s">
        <v>47</v>
      </c>
    </row>
    <row r="445" spans="1:46" ht="13" x14ac:dyDescent="0.3">
      <c r="A445" s="4" t="s">
        <v>1917</v>
      </c>
      <c r="B445" t="s">
        <v>47</v>
      </c>
      <c r="C445" s="4" t="s">
        <v>1917</v>
      </c>
      <c r="D445" s="4" t="s">
        <v>1918</v>
      </c>
      <c r="E445" s="4" t="s">
        <v>49</v>
      </c>
      <c r="F445" s="5" t="s">
        <v>1919</v>
      </c>
      <c r="G445" t="s">
        <v>47</v>
      </c>
      <c r="H445" t="s">
        <v>47</v>
      </c>
      <c r="I445" s="3">
        <v>35765</v>
      </c>
      <c r="J445" s="5" t="s">
        <v>50</v>
      </c>
      <c r="K445" t="s">
        <v>47</v>
      </c>
      <c r="L445" s="5" t="s">
        <v>60</v>
      </c>
      <c r="M445" s="3">
        <v>35765</v>
      </c>
      <c r="N445" s="5" t="s">
        <v>50</v>
      </c>
      <c r="O445" t="s">
        <v>47</v>
      </c>
      <c r="P445" s="3">
        <v>35765</v>
      </c>
      <c r="Q445" s="5" t="s">
        <v>50</v>
      </c>
      <c r="R445" t="s">
        <v>47</v>
      </c>
      <c r="S445" t="s">
        <v>47</v>
      </c>
      <c r="T445" t="s">
        <v>47</v>
      </c>
      <c r="U445" t="s">
        <v>47</v>
      </c>
      <c r="V445" t="s">
        <v>47</v>
      </c>
      <c r="W445" s="3">
        <v>35765</v>
      </c>
      <c r="X445" s="5" t="s">
        <v>50</v>
      </c>
      <c r="Y445" t="s">
        <v>47</v>
      </c>
      <c r="Z445" s="3">
        <v>35765</v>
      </c>
      <c r="AA445" s="5" t="s">
        <v>50</v>
      </c>
      <c r="AB445" t="s">
        <v>47</v>
      </c>
      <c r="AC445" s="3">
        <v>35765</v>
      </c>
      <c r="AD445" s="5" t="s">
        <v>50</v>
      </c>
      <c r="AE445" t="s">
        <v>47</v>
      </c>
      <c r="AF445" t="s">
        <v>47</v>
      </c>
      <c r="AG445" t="s">
        <v>47</v>
      </c>
      <c r="AH445" t="s">
        <v>47</v>
      </c>
      <c r="AI445" t="s">
        <v>47</v>
      </c>
      <c r="AJ445" t="s">
        <v>47</v>
      </c>
      <c r="AK445" t="s">
        <v>47</v>
      </c>
      <c r="AL445" t="s">
        <v>47</v>
      </c>
      <c r="AM445" t="s">
        <v>47</v>
      </c>
      <c r="AN445" t="s">
        <v>47</v>
      </c>
      <c r="AO445" s="5" t="s">
        <v>60</v>
      </c>
      <c r="AP445" s="4" t="s">
        <v>61</v>
      </c>
      <c r="AQ445" s="4" t="s">
        <v>53</v>
      </c>
      <c r="AR445" s="4" t="s">
        <v>54</v>
      </c>
      <c r="AS445" s="5">
        <v>48020</v>
      </c>
      <c r="AT445" t="s">
        <v>47</v>
      </c>
    </row>
    <row r="446" spans="1:46" ht="13" x14ac:dyDescent="0.3">
      <c r="A446" s="4" t="s">
        <v>1920</v>
      </c>
      <c r="B446" t="s">
        <v>47</v>
      </c>
      <c r="C446" s="4" t="s">
        <v>169</v>
      </c>
      <c r="D446" s="4" t="s">
        <v>339</v>
      </c>
      <c r="E446" s="4" t="s">
        <v>66</v>
      </c>
      <c r="F446" s="5" t="s">
        <v>1921</v>
      </c>
      <c r="G446" s="5" t="s">
        <v>1922</v>
      </c>
      <c r="H446" t="s">
        <v>47</v>
      </c>
      <c r="I446" t="s">
        <v>47</v>
      </c>
      <c r="J446" t="s">
        <v>47</v>
      </c>
      <c r="K446" t="s">
        <v>47</v>
      </c>
      <c r="L446" s="5" t="s">
        <v>60</v>
      </c>
      <c r="M446" t="s">
        <v>47</v>
      </c>
      <c r="N446" t="s">
        <v>47</v>
      </c>
      <c r="O446" t="s">
        <v>47</v>
      </c>
      <c r="P446" t="s">
        <v>47</v>
      </c>
      <c r="Q446" t="s">
        <v>47</v>
      </c>
      <c r="R446" t="s">
        <v>47</v>
      </c>
      <c r="S446" t="s">
        <v>47</v>
      </c>
      <c r="T446" t="s">
        <v>47</v>
      </c>
      <c r="U446" t="s">
        <v>47</v>
      </c>
      <c r="V446" t="s">
        <v>47</v>
      </c>
      <c r="W446" s="3">
        <v>40179</v>
      </c>
      <c r="X446" s="5" t="s">
        <v>50</v>
      </c>
      <c r="Y446" s="5" t="s">
        <v>1923</v>
      </c>
      <c r="Z446" s="3">
        <v>40179</v>
      </c>
      <c r="AA446" s="5" t="s">
        <v>50</v>
      </c>
      <c r="AB446" s="5" t="s">
        <v>1923</v>
      </c>
      <c r="AC446" s="3">
        <v>40179</v>
      </c>
      <c r="AD446" s="5" t="s">
        <v>50</v>
      </c>
      <c r="AE446" s="5" t="s">
        <v>1923</v>
      </c>
      <c r="AF446" t="s">
        <v>47</v>
      </c>
      <c r="AG446" t="s">
        <v>47</v>
      </c>
      <c r="AH446" t="s">
        <v>47</v>
      </c>
      <c r="AI446" t="s">
        <v>47</v>
      </c>
      <c r="AJ446" t="s">
        <v>47</v>
      </c>
      <c r="AK446" t="s">
        <v>47</v>
      </c>
      <c r="AL446" t="s">
        <v>47</v>
      </c>
      <c r="AM446" t="s">
        <v>47</v>
      </c>
      <c r="AN446" t="s">
        <v>47</v>
      </c>
      <c r="AO446" s="5" t="s">
        <v>60</v>
      </c>
      <c r="AP446" s="4" t="s">
        <v>61</v>
      </c>
      <c r="AQ446" s="4" t="s">
        <v>53</v>
      </c>
      <c r="AR446" s="4" t="s">
        <v>54</v>
      </c>
      <c r="AS446" s="5">
        <v>426775</v>
      </c>
      <c r="AT446" t="s">
        <v>47</v>
      </c>
    </row>
    <row r="447" spans="1:46" ht="39" x14ac:dyDescent="0.3">
      <c r="A447" s="4" t="s">
        <v>1924</v>
      </c>
      <c r="B447" t="s">
        <v>47</v>
      </c>
      <c r="C447" s="4" t="s">
        <v>193</v>
      </c>
      <c r="D447" s="4" t="s">
        <v>194</v>
      </c>
      <c r="E447" s="4" t="s">
        <v>195</v>
      </c>
      <c r="F447" t="s">
        <v>47</v>
      </c>
      <c r="G447" s="5" t="s">
        <v>1925</v>
      </c>
      <c r="H447" t="s">
        <v>47</v>
      </c>
      <c r="I447" s="3">
        <v>39770</v>
      </c>
      <c r="J447" s="5" t="s">
        <v>50</v>
      </c>
      <c r="K447" s="5" t="s">
        <v>1926</v>
      </c>
      <c r="L447" s="5" t="s">
        <v>51</v>
      </c>
      <c r="M447" t="s">
        <v>47</v>
      </c>
      <c r="N447" t="s">
        <v>47</v>
      </c>
      <c r="O447" t="s">
        <v>47</v>
      </c>
      <c r="P447" s="3">
        <v>39770</v>
      </c>
      <c r="Q447" s="5" t="s">
        <v>50</v>
      </c>
      <c r="R447" s="5" t="s">
        <v>1926</v>
      </c>
      <c r="S447" t="s">
        <v>47</v>
      </c>
      <c r="T447" t="s">
        <v>47</v>
      </c>
      <c r="U447" t="s">
        <v>47</v>
      </c>
      <c r="V447" s="5">
        <v>180</v>
      </c>
      <c r="W447" s="3">
        <v>39770</v>
      </c>
      <c r="X447" s="5" t="s">
        <v>50</v>
      </c>
      <c r="Y447" s="5" t="s">
        <v>1926</v>
      </c>
      <c r="Z447" s="3">
        <v>39770</v>
      </c>
      <c r="AA447" s="5" t="s">
        <v>50</v>
      </c>
      <c r="AB447" s="5" t="s">
        <v>1926</v>
      </c>
      <c r="AC447" s="3">
        <v>39770</v>
      </c>
      <c r="AD447" s="5" t="s">
        <v>50</v>
      </c>
      <c r="AE447" s="5" t="s">
        <v>1926</v>
      </c>
      <c r="AF447" t="s">
        <v>47</v>
      </c>
      <c r="AG447" t="s">
        <v>47</v>
      </c>
      <c r="AH447" t="s">
        <v>47</v>
      </c>
      <c r="AI447" t="s">
        <v>47</v>
      </c>
      <c r="AJ447" t="s">
        <v>47</v>
      </c>
      <c r="AK447" t="s">
        <v>47</v>
      </c>
      <c r="AL447" t="s">
        <v>47</v>
      </c>
      <c r="AM447" t="s">
        <v>47</v>
      </c>
      <c r="AN447" t="s">
        <v>47</v>
      </c>
      <c r="AO447" s="5" t="s">
        <v>51</v>
      </c>
      <c r="AP447" s="4" t="s">
        <v>1756</v>
      </c>
      <c r="AQ447" s="4" t="s">
        <v>198</v>
      </c>
      <c r="AR447" s="4" t="s">
        <v>54</v>
      </c>
      <c r="AS447" s="5">
        <v>6246008</v>
      </c>
      <c r="AT447" t="s">
        <v>47</v>
      </c>
    </row>
    <row r="448" spans="1:46" ht="26" x14ac:dyDescent="0.3">
      <c r="A448" s="4" t="s">
        <v>1927</v>
      </c>
      <c r="B448" t="s">
        <v>47</v>
      </c>
      <c r="C448" s="4" t="s">
        <v>122</v>
      </c>
      <c r="D448" s="4" t="s">
        <v>206</v>
      </c>
      <c r="E448" s="4" t="s">
        <v>123</v>
      </c>
      <c r="F448" s="5" t="s">
        <v>1928</v>
      </c>
      <c r="G448" s="5" t="s">
        <v>1929</v>
      </c>
      <c r="H448" t="s">
        <v>47</v>
      </c>
      <c r="I448" s="3">
        <v>37469</v>
      </c>
      <c r="J448" s="5" t="s">
        <v>50</v>
      </c>
      <c r="K448" t="s">
        <v>47</v>
      </c>
      <c r="L448" s="5" t="s">
        <v>60</v>
      </c>
      <c r="M448" s="3">
        <v>37987</v>
      </c>
      <c r="N448" s="3">
        <v>42767</v>
      </c>
      <c r="O448" t="s">
        <v>47</v>
      </c>
      <c r="P448" s="3">
        <v>37469</v>
      </c>
      <c r="Q448" s="5" t="s">
        <v>50</v>
      </c>
      <c r="R448" t="s">
        <v>47</v>
      </c>
      <c r="S448" t="s">
        <v>47</v>
      </c>
      <c r="T448" t="s">
        <v>47</v>
      </c>
      <c r="U448" t="s">
        <v>47</v>
      </c>
      <c r="V448" s="5">
        <v>365</v>
      </c>
      <c r="W448" s="3">
        <v>37469</v>
      </c>
      <c r="X448" s="5" t="s">
        <v>50</v>
      </c>
      <c r="Y448" t="s">
        <v>47</v>
      </c>
      <c r="Z448" s="3">
        <v>37469</v>
      </c>
      <c r="AA448" s="5" t="s">
        <v>50</v>
      </c>
      <c r="AB448" t="s">
        <v>47</v>
      </c>
      <c r="AC448" s="3">
        <v>37469</v>
      </c>
      <c r="AD448" s="5" t="s">
        <v>50</v>
      </c>
      <c r="AE448" t="s">
        <v>47</v>
      </c>
      <c r="AF448" t="s">
        <v>47</v>
      </c>
      <c r="AG448" t="s">
        <v>47</v>
      </c>
      <c r="AH448" t="s">
        <v>47</v>
      </c>
      <c r="AI448" t="s">
        <v>47</v>
      </c>
      <c r="AJ448" t="s">
        <v>47</v>
      </c>
      <c r="AK448" t="s">
        <v>47</v>
      </c>
      <c r="AL448" t="s">
        <v>47</v>
      </c>
      <c r="AM448" t="s">
        <v>47</v>
      </c>
      <c r="AN448" t="s">
        <v>47</v>
      </c>
      <c r="AO448" s="5" t="s">
        <v>60</v>
      </c>
      <c r="AP448" s="4" t="s">
        <v>61</v>
      </c>
      <c r="AQ448" s="4" t="s">
        <v>53</v>
      </c>
      <c r="AR448" s="4" t="s">
        <v>54</v>
      </c>
      <c r="AS448" s="5">
        <v>55386</v>
      </c>
      <c r="AT448" t="s">
        <v>47</v>
      </c>
    </row>
    <row r="449" spans="1:46" ht="26" x14ac:dyDescent="0.3">
      <c r="A449" s="4" t="s">
        <v>1930</v>
      </c>
      <c r="B449" t="s">
        <v>47</v>
      </c>
      <c r="C449" s="4" t="s">
        <v>1931</v>
      </c>
      <c r="D449" s="4" t="s">
        <v>1932</v>
      </c>
      <c r="E449" s="4" t="s">
        <v>1933</v>
      </c>
      <c r="F449" t="s">
        <v>47</v>
      </c>
      <c r="G449" s="5" t="s">
        <v>1934</v>
      </c>
      <c r="H449" t="s">
        <v>47</v>
      </c>
      <c r="I449" s="3">
        <v>42095</v>
      </c>
      <c r="J449" s="5" t="s">
        <v>50</v>
      </c>
      <c r="K449" t="s">
        <v>47</v>
      </c>
      <c r="L449" s="5" t="s">
        <v>60</v>
      </c>
      <c r="M449" s="3">
        <v>42095</v>
      </c>
      <c r="N449" s="5" t="s">
        <v>50</v>
      </c>
      <c r="O449" t="s">
        <v>47</v>
      </c>
      <c r="P449" s="3">
        <v>42095</v>
      </c>
      <c r="Q449" s="5" t="s">
        <v>50</v>
      </c>
      <c r="R449" t="s">
        <v>47</v>
      </c>
      <c r="S449" t="s">
        <v>47</v>
      </c>
      <c r="T449" t="s">
        <v>47</v>
      </c>
      <c r="U449" t="s">
        <v>47</v>
      </c>
      <c r="V449" t="s">
        <v>47</v>
      </c>
      <c r="W449" s="3">
        <v>42095</v>
      </c>
      <c r="X449" s="5" t="s">
        <v>50</v>
      </c>
      <c r="Y449" t="s">
        <v>47</v>
      </c>
      <c r="Z449" s="3">
        <v>42095</v>
      </c>
      <c r="AA449" s="5" t="s">
        <v>50</v>
      </c>
      <c r="AB449" t="s">
        <v>47</v>
      </c>
      <c r="AC449" s="3">
        <v>42095</v>
      </c>
      <c r="AD449" s="5" t="s">
        <v>50</v>
      </c>
      <c r="AE449" t="s">
        <v>47</v>
      </c>
      <c r="AF449" t="s">
        <v>47</v>
      </c>
      <c r="AG449" t="s">
        <v>47</v>
      </c>
      <c r="AH449" t="s">
        <v>47</v>
      </c>
      <c r="AI449" t="s">
        <v>47</v>
      </c>
      <c r="AJ449" t="s">
        <v>47</v>
      </c>
      <c r="AK449" t="s">
        <v>47</v>
      </c>
      <c r="AL449" t="s">
        <v>47</v>
      </c>
      <c r="AM449" t="s">
        <v>47</v>
      </c>
      <c r="AN449" t="s">
        <v>47</v>
      </c>
      <c r="AO449" s="5" t="s">
        <v>60</v>
      </c>
      <c r="AP449" s="4" t="s">
        <v>61</v>
      </c>
      <c r="AQ449" s="4" t="s">
        <v>53</v>
      </c>
      <c r="AR449" s="4" t="s">
        <v>54</v>
      </c>
      <c r="AS449" s="5">
        <v>2037364</v>
      </c>
      <c r="AT449" t="s">
        <v>47</v>
      </c>
    </row>
    <row r="450" spans="1:46" ht="26" x14ac:dyDescent="0.3">
      <c r="A450" s="4" t="s">
        <v>1935</v>
      </c>
      <c r="B450" t="s">
        <v>47</v>
      </c>
      <c r="C450" s="4" t="s">
        <v>279</v>
      </c>
      <c r="D450" s="4" t="s">
        <v>88</v>
      </c>
      <c r="E450" s="4" t="s">
        <v>49</v>
      </c>
      <c r="F450" s="5" t="s">
        <v>1936</v>
      </c>
      <c r="G450" s="5" t="s">
        <v>1937</v>
      </c>
      <c r="H450" t="s">
        <v>47</v>
      </c>
      <c r="I450" s="3">
        <v>37165</v>
      </c>
      <c r="J450" s="3">
        <v>40148</v>
      </c>
      <c r="K450" t="s">
        <v>47</v>
      </c>
      <c r="L450" s="5" t="s">
        <v>60</v>
      </c>
      <c r="M450" s="3">
        <v>37165</v>
      </c>
      <c r="N450" s="3">
        <v>40148</v>
      </c>
      <c r="O450" t="s">
        <v>47</v>
      </c>
      <c r="P450" s="3">
        <v>37165</v>
      </c>
      <c r="Q450" s="3">
        <v>40148</v>
      </c>
      <c r="R450" t="s">
        <v>47</v>
      </c>
      <c r="S450" t="s">
        <v>47</v>
      </c>
      <c r="T450" t="s">
        <v>47</v>
      </c>
      <c r="U450" t="s">
        <v>47</v>
      </c>
      <c r="V450" t="s">
        <v>47</v>
      </c>
      <c r="W450" s="3">
        <v>37165</v>
      </c>
      <c r="X450" s="5" t="s">
        <v>50</v>
      </c>
      <c r="Y450" t="s">
        <v>47</v>
      </c>
      <c r="Z450" s="3">
        <v>37165</v>
      </c>
      <c r="AA450" s="5" t="s">
        <v>50</v>
      </c>
      <c r="AB450" t="s">
        <v>47</v>
      </c>
      <c r="AC450" s="3">
        <v>37165</v>
      </c>
      <c r="AD450" s="5" t="s">
        <v>50</v>
      </c>
      <c r="AE450" t="s">
        <v>47</v>
      </c>
      <c r="AF450" t="s">
        <v>47</v>
      </c>
      <c r="AG450" t="s">
        <v>47</v>
      </c>
      <c r="AH450" t="s">
        <v>47</v>
      </c>
      <c r="AI450" t="s">
        <v>47</v>
      </c>
      <c r="AJ450" t="s">
        <v>47</v>
      </c>
      <c r="AK450" t="s">
        <v>47</v>
      </c>
      <c r="AL450" t="s">
        <v>47</v>
      </c>
      <c r="AM450" t="s">
        <v>47</v>
      </c>
      <c r="AN450" t="s">
        <v>47</v>
      </c>
      <c r="AO450" s="5" t="s">
        <v>60</v>
      </c>
      <c r="AP450" s="4" t="s">
        <v>61</v>
      </c>
      <c r="AQ450" s="4" t="s">
        <v>53</v>
      </c>
      <c r="AR450" s="4" t="s">
        <v>54</v>
      </c>
      <c r="AS450" s="5">
        <v>34461</v>
      </c>
      <c r="AT450" t="s">
        <v>47</v>
      </c>
    </row>
    <row r="451" spans="1:46" ht="13" x14ac:dyDescent="0.3">
      <c r="A451" s="4" t="s">
        <v>1938</v>
      </c>
      <c r="B451" t="s">
        <v>47</v>
      </c>
      <c r="C451" s="4" t="s">
        <v>169</v>
      </c>
      <c r="D451" s="4" t="s">
        <v>1939</v>
      </c>
      <c r="E451" s="4" t="s">
        <v>66</v>
      </c>
      <c r="F451" s="5" t="s">
        <v>1940</v>
      </c>
      <c r="G451" s="5" t="s">
        <v>1941</v>
      </c>
      <c r="H451" t="s">
        <v>47</v>
      </c>
      <c r="I451" s="3">
        <v>35582</v>
      </c>
      <c r="J451" s="3">
        <v>36831</v>
      </c>
      <c r="K451" t="s">
        <v>47</v>
      </c>
      <c r="L451" s="5" t="s">
        <v>60</v>
      </c>
      <c r="M451" s="3">
        <v>35582</v>
      </c>
      <c r="N451" s="3">
        <v>36831</v>
      </c>
      <c r="O451" t="s">
        <v>47</v>
      </c>
      <c r="P451" s="3">
        <v>35582</v>
      </c>
      <c r="Q451" s="3">
        <v>36831</v>
      </c>
      <c r="R451" t="s">
        <v>47</v>
      </c>
      <c r="S451" t="s">
        <v>47</v>
      </c>
      <c r="T451" t="s">
        <v>47</v>
      </c>
      <c r="U451" t="s">
        <v>47</v>
      </c>
      <c r="V451" t="s">
        <v>47</v>
      </c>
      <c r="W451" s="3">
        <v>35582</v>
      </c>
      <c r="X451" s="5" t="s">
        <v>50</v>
      </c>
      <c r="Y451" t="s">
        <v>47</v>
      </c>
      <c r="Z451" s="3">
        <v>35582</v>
      </c>
      <c r="AA451" s="5" t="s">
        <v>50</v>
      </c>
      <c r="AB451" t="s">
        <v>47</v>
      </c>
      <c r="AC451" s="3">
        <v>35582</v>
      </c>
      <c r="AD451" s="5" t="s">
        <v>50</v>
      </c>
      <c r="AE451" t="s">
        <v>47</v>
      </c>
      <c r="AF451" t="s">
        <v>47</v>
      </c>
      <c r="AG451" t="s">
        <v>47</v>
      </c>
      <c r="AH451" t="s">
        <v>47</v>
      </c>
      <c r="AI451" t="s">
        <v>47</v>
      </c>
      <c r="AJ451" t="s">
        <v>47</v>
      </c>
      <c r="AK451" t="s">
        <v>47</v>
      </c>
      <c r="AL451" t="s">
        <v>47</v>
      </c>
      <c r="AM451" t="s">
        <v>47</v>
      </c>
      <c r="AN451" t="s">
        <v>47</v>
      </c>
      <c r="AO451" s="5" t="s">
        <v>60</v>
      </c>
      <c r="AP451" s="4" t="s">
        <v>61</v>
      </c>
      <c r="AQ451" s="4" t="s">
        <v>53</v>
      </c>
      <c r="AR451" s="4" t="s">
        <v>54</v>
      </c>
      <c r="AS451" s="5">
        <v>17608</v>
      </c>
      <c r="AT451" t="s">
        <v>47</v>
      </c>
    </row>
    <row r="452" spans="1:46" ht="26" x14ac:dyDescent="0.3">
      <c r="A452" s="4" t="s">
        <v>1938</v>
      </c>
      <c r="B452" t="s">
        <v>47</v>
      </c>
      <c r="C452" s="4" t="s">
        <v>1942</v>
      </c>
      <c r="D452" s="4" t="s">
        <v>874</v>
      </c>
      <c r="E452" s="4" t="s">
        <v>874</v>
      </c>
      <c r="F452" s="5" t="s">
        <v>1943</v>
      </c>
      <c r="G452" t="s">
        <v>47</v>
      </c>
      <c r="H452" t="s">
        <v>47</v>
      </c>
      <c r="I452" s="3">
        <v>42522</v>
      </c>
      <c r="J452" s="5" t="s">
        <v>50</v>
      </c>
      <c r="K452" s="5" t="s">
        <v>788</v>
      </c>
      <c r="L452" s="5" t="s">
        <v>60</v>
      </c>
      <c r="M452" s="3">
        <v>44166</v>
      </c>
      <c r="N452" s="3">
        <v>44166</v>
      </c>
      <c r="O452" t="s">
        <v>47</v>
      </c>
      <c r="P452" s="3">
        <v>42522</v>
      </c>
      <c r="Q452" s="5" t="s">
        <v>50</v>
      </c>
      <c r="R452" s="5" t="s">
        <v>788</v>
      </c>
      <c r="S452" t="s">
        <v>47</v>
      </c>
      <c r="T452" t="s">
        <v>47</v>
      </c>
      <c r="U452" t="s">
        <v>47</v>
      </c>
      <c r="V452" t="s">
        <v>47</v>
      </c>
      <c r="W452" s="3">
        <v>42522</v>
      </c>
      <c r="X452" s="5" t="s">
        <v>50</v>
      </c>
      <c r="Y452" s="5" t="s">
        <v>788</v>
      </c>
      <c r="Z452" s="3">
        <v>42522</v>
      </c>
      <c r="AA452" s="5" t="s">
        <v>50</v>
      </c>
      <c r="AB452" s="5" t="s">
        <v>788</v>
      </c>
      <c r="AC452" s="3">
        <v>42522</v>
      </c>
      <c r="AD452" s="5" t="s">
        <v>50</v>
      </c>
      <c r="AE452" s="5" t="s">
        <v>788</v>
      </c>
      <c r="AF452" t="s">
        <v>47</v>
      </c>
      <c r="AG452" t="s">
        <v>47</v>
      </c>
      <c r="AH452" t="s">
        <v>47</v>
      </c>
      <c r="AI452" t="s">
        <v>47</v>
      </c>
      <c r="AJ452" t="s">
        <v>47</v>
      </c>
      <c r="AK452" t="s">
        <v>47</v>
      </c>
      <c r="AL452" t="s">
        <v>47</v>
      </c>
      <c r="AM452" t="s">
        <v>47</v>
      </c>
      <c r="AN452" t="s">
        <v>47</v>
      </c>
      <c r="AO452" s="5" t="s">
        <v>51</v>
      </c>
      <c r="AP452" s="4" t="s">
        <v>61</v>
      </c>
      <c r="AQ452" s="4" t="s">
        <v>538</v>
      </c>
      <c r="AR452" s="4" t="s">
        <v>54</v>
      </c>
      <c r="AS452" s="5">
        <v>2050704</v>
      </c>
      <c r="AT452" t="s">
        <v>47</v>
      </c>
    </row>
    <row r="453" spans="1:46" ht="13" x14ac:dyDescent="0.3">
      <c r="A453" s="4" t="s">
        <v>1944</v>
      </c>
      <c r="B453" t="s">
        <v>47</v>
      </c>
      <c r="C453" s="4" t="s">
        <v>1945</v>
      </c>
      <c r="D453" s="4" t="s">
        <v>1946</v>
      </c>
      <c r="E453" s="4" t="s">
        <v>49</v>
      </c>
      <c r="F453" s="5" t="s">
        <v>1947</v>
      </c>
      <c r="G453" s="5" t="s">
        <v>1948</v>
      </c>
      <c r="H453" t="s">
        <v>47</v>
      </c>
      <c r="I453" s="3">
        <v>42736</v>
      </c>
      <c r="J453" s="5" t="s">
        <v>50</v>
      </c>
      <c r="K453" t="s">
        <v>47</v>
      </c>
      <c r="L453" s="5" t="s">
        <v>60</v>
      </c>
      <c r="M453" s="3">
        <v>42736</v>
      </c>
      <c r="N453" s="5" t="s">
        <v>50</v>
      </c>
      <c r="O453" t="s">
        <v>47</v>
      </c>
      <c r="P453" s="3">
        <v>42736</v>
      </c>
      <c r="Q453" s="5" t="s">
        <v>50</v>
      </c>
      <c r="R453" t="s">
        <v>47</v>
      </c>
      <c r="S453" t="s">
        <v>47</v>
      </c>
      <c r="T453" t="s">
        <v>47</v>
      </c>
      <c r="U453" t="s">
        <v>47</v>
      </c>
      <c r="V453" t="s">
        <v>47</v>
      </c>
      <c r="W453" s="3">
        <v>42736</v>
      </c>
      <c r="X453" s="5" t="s">
        <v>50</v>
      </c>
      <c r="Y453" t="s">
        <v>47</v>
      </c>
      <c r="Z453" s="3">
        <v>42736</v>
      </c>
      <c r="AA453" s="5" t="s">
        <v>50</v>
      </c>
      <c r="AB453" t="s">
        <v>47</v>
      </c>
      <c r="AC453" s="3">
        <v>42736</v>
      </c>
      <c r="AD453" s="5" t="s">
        <v>50</v>
      </c>
      <c r="AE453" t="s">
        <v>47</v>
      </c>
      <c r="AF453" t="s">
        <v>47</v>
      </c>
      <c r="AG453" t="s">
        <v>47</v>
      </c>
      <c r="AH453" t="s">
        <v>47</v>
      </c>
      <c r="AI453" t="s">
        <v>47</v>
      </c>
      <c r="AJ453" t="s">
        <v>47</v>
      </c>
      <c r="AK453" t="s">
        <v>47</v>
      </c>
      <c r="AL453" t="s">
        <v>47</v>
      </c>
      <c r="AM453" t="s">
        <v>47</v>
      </c>
      <c r="AN453" t="s">
        <v>47</v>
      </c>
      <c r="AO453" s="5" t="s">
        <v>60</v>
      </c>
      <c r="AP453" s="4" t="s">
        <v>61</v>
      </c>
      <c r="AQ453" s="4" t="s">
        <v>53</v>
      </c>
      <c r="AR453" s="4" t="s">
        <v>54</v>
      </c>
      <c r="AS453" s="5">
        <v>2050634</v>
      </c>
      <c r="AT453" t="s">
        <v>47</v>
      </c>
    </row>
    <row r="454" spans="1:46" ht="13" x14ac:dyDescent="0.3">
      <c r="A454" s="4" t="s">
        <v>1949</v>
      </c>
      <c r="B454" t="s">
        <v>47</v>
      </c>
      <c r="C454" s="4" t="s">
        <v>169</v>
      </c>
      <c r="D454" s="4" t="s">
        <v>1904</v>
      </c>
      <c r="E454" s="4" t="s">
        <v>66</v>
      </c>
      <c r="F454" s="5" t="s">
        <v>1950</v>
      </c>
      <c r="G454" s="5" t="s">
        <v>1951</v>
      </c>
      <c r="H454" t="s">
        <v>47</v>
      </c>
      <c r="I454" s="3">
        <v>35735</v>
      </c>
      <c r="J454" s="3">
        <v>36861</v>
      </c>
      <c r="K454" t="s">
        <v>47</v>
      </c>
      <c r="L454" s="5" t="s">
        <v>60</v>
      </c>
      <c r="M454" s="3">
        <v>35735</v>
      </c>
      <c r="N454" s="3">
        <v>36861</v>
      </c>
      <c r="O454" t="s">
        <v>47</v>
      </c>
      <c r="P454" s="3">
        <v>35735</v>
      </c>
      <c r="Q454" s="3">
        <v>36861</v>
      </c>
      <c r="R454" t="s">
        <v>47</v>
      </c>
      <c r="S454" t="s">
        <v>47</v>
      </c>
      <c r="T454" t="s">
        <v>47</v>
      </c>
      <c r="U454" t="s">
        <v>47</v>
      </c>
      <c r="V454" t="s">
        <v>47</v>
      </c>
      <c r="W454" s="3">
        <v>35735</v>
      </c>
      <c r="X454" s="5" t="s">
        <v>50</v>
      </c>
      <c r="Y454" s="5" t="s">
        <v>1175</v>
      </c>
      <c r="Z454" s="3">
        <v>35735</v>
      </c>
      <c r="AA454" s="5" t="s">
        <v>50</v>
      </c>
      <c r="AB454" s="5" t="s">
        <v>1175</v>
      </c>
      <c r="AC454" s="3">
        <v>35735</v>
      </c>
      <c r="AD454" s="5" t="s">
        <v>50</v>
      </c>
      <c r="AE454" s="5" t="s">
        <v>1175</v>
      </c>
      <c r="AF454" t="s">
        <v>47</v>
      </c>
      <c r="AG454" t="s">
        <v>47</v>
      </c>
      <c r="AH454" t="s">
        <v>47</v>
      </c>
      <c r="AI454" t="s">
        <v>47</v>
      </c>
      <c r="AJ454" t="s">
        <v>47</v>
      </c>
      <c r="AK454" t="s">
        <v>47</v>
      </c>
      <c r="AL454" t="s">
        <v>47</v>
      </c>
      <c r="AM454" t="s">
        <v>47</v>
      </c>
      <c r="AN454" t="s">
        <v>47</v>
      </c>
      <c r="AO454" s="5" t="s">
        <v>60</v>
      </c>
      <c r="AP454" s="4" t="s">
        <v>61</v>
      </c>
      <c r="AQ454" s="4" t="s">
        <v>53</v>
      </c>
      <c r="AR454" s="4" t="s">
        <v>54</v>
      </c>
      <c r="AS454" s="5">
        <v>12732</v>
      </c>
      <c r="AT454" t="s">
        <v>47</v>
      </c>
    </row>
    <row r="455" spans="1:46" ht="13" x14ac:dyDescent="0.3">
      <c r="A455" s="4" t="s">
        <v>1949</v>
      </c>
      <c r="B455" t="s">
        <v>47</v>
      </c>
      <c r="C455" s="4" t="s">
        <v>1952</v>
      </c>
      <c r="D455" s="4" t="s">
        <v>319</v>
      </c>
      <c r="E455" s="4" t="s">
        <v>66</v>
      </c>
      <c r="F455" s="5" t="s">
        <v>1953</v>
      </c>
      <c r="G455" s="5" t="s">
        <v>1954</v>
      </c>
      <c r="H455" t="s">
        <v>47</v>
      </c>
      <c r="I455" t="s">
        <v>47</v>
      </c>
      <c r="J455" t="s">
        <v>47</v>
      </c>
      <c r="K455" t="s">
        <v>47</v>
      </c>
      <c r="L455" s="5" t="s">
        <v>60</v>
      </c>
      <c r="M455" t="s">
        <v>47</v>
      </c>
      <c r="N455" t="s">
        <v>47</v>
      </c>
      <c r="O455" t="s">
        <v>47</v>
      </c>
      <c r="P455" t="s">
        <v>47</v>
      </c>
      <c r="Q455" t="s">
        <v>47</v>
      </c>
      <c r="R455" t="s">
        <v>47</v>
      </c>
      <c r="S455" t="s">
        <v>47</v>
      </c>
      <c r="T455" t="s">
        <v>47</v>
      </c>
      <c r="U455" t="s">
        <v>47</v>
      </c>
      <c r="V455" t="s">
        <v>47</v>
      </c>
      <c r="W455" s="3">
        <v>35065</v>
      </c>
      <c r="X455" s="3">
        <v>43831</v>
      </c>
      <c r="Y455" s="5" t="s">
        <v>1955</v>
      </c>
      <c r="Z455" s="3">
        <v>35065</v>
      </c>
      <c r="AA455" s="3">
        <v>43831</v>
      </c>
      <c r="AB455" s="5" t="s">
        <v>1955</v>
      </c>
      <c r="AC455" s="3">
        <v>38169</v>
      </c>
      <c r="AD455" s="3">
        <v>43831</v>
      </c>
      <c r="AE455" s="5" t="s">
        <v>1175</v>
      </c>
      <c r="AF455" t="s">
        <v>47</v>
      </c>
      <c r="AG455" t="s">
        <v>47</v>
      </c>
      <c r="AH455" t="s">
        <v>47</v>
      </c>
      <c r="AI455" t="s">
        <v>47</v>
      </c>
      <c r="AJ455" t="s">
        <v>47</v>
      </c>
      <c r="AK455" t="s">
        <v>47</v>
      </c>
      <c r="AL455" t="s">
        <v>47</v>
      </c>
      <c r="AM455" t="s">
        <v>47</v>
      </c>
      <c r="AN455" t="s">
        <v>47</v>
      </c>
      <c r="AO455" s="5" t="s">
        <v>60</v>
      </c>
      <c r="AP455" s="4" t="s">
        <v>61</v>
      </c>
      <c r="AQ455" s="4" t="s">
        <v>53</v>
      </c>
      <c r="AR455" s="4" t="s">
        <v>54</v>
      </c>
      <c r="AS455" s="5">
        <v>48476</v>
      </c>
      <c r="AT455" t="s">
        <v>47</v>
      </c>
    </row>
    <row r="456" spans="1:46" ht="52" x14ac:dyDescent="0.3">
      <c r="A456" s="4" t="s">
        <v>1956</v>
      </c>
      <c r="B456" t="s">
        <v>47</v>
      </c>
      <c r="C456" s="4" t="s">
        <v>169</v>
      </c>
      <c r="D456" s="4" t="s">
        <v>339</v>
      </c>
      <c r="E456" s="4" t="s">
        <v>66</v>
      </c>
      <c r="F456" s="5" t="s">
        <v>1957</v>
      </c>
      <c r="G456" s="5" t="s">
        <v>1958</v>
      </c>
      <c r="H456" t="s">
        <v>47</v>
      </c>
      <c r="I456" s="3">
        <v>35796</v>
      </c>
      <c r="J456" s="3">
        <v>36526</v>
      </c>
      <c r="K456" t="s">
        <v>47</v>
      </c>
      <c r="L456" s="5" t="s">
        <v>60</v>
      </c>
      <c r="M456" s="3">
        <v>35796</v>
      </c>
      <c r="N456" s="3">
        <v>36526</v>
      </c>
      <c r="O456" t="s">
        <v>47</v>
      </c>
      <c r="P456" s="3">
        <v>35796</v>
      </c>
      <c r="Q456" s="3">
        <v>36526</v>
      </c>
      <c r="R456" t="s">
        <v>47</v>
      </c>
      <c r="S456" t="s">
        <v>47</v>
      </c>
      <c r="T456" t="s">
        <v>47</v>
      </c>
      <c r="U456" t="s">
        <v>47</v>
      </c>
      <c r="V456" t="s">
        <v>47</v>
      </c>
      <c r="W456" s="3">
        <v>35796</v>
      </c>
      <c r="X456" s="3">
        <v>36526</v>
      </c>
      <c r="Y456" t="s">
        <v>47</v>
      </c>
      <c r="Z456" s="3">
        <v>35796</v>
      </c>
      <c r="AA456" s="3">
        <v>36526</v>
      </c>
      <c r="AB456" t="s">
        <v>47</v>
      </c>
      <c r="AC456" t="s">
        <v>47</v>
      </c>
      <c r="AD456" t="s">
        <v>47</v>
      </c>
      <c r="AE456" t="s">
        <v>47</v>
      </c>
      <c r="AF456" t="s">
        <v>47</v>
      </c>
      <c r="AG456" t="s">
        <v>47</v>
      </c>
      <c r="AH456" t="s">
        <v>47</v>
      </c>
      <c r="AI456" t="s">
        <v>47</v>
      </c>
      <c r="AJ456" t="s">
        <v>47</v>
      </c>
      <c r="AK456" t="s">
        <v>47</v>
      </c>
      <c r="AL456" t="s">
        <v>47</v>
      </c>
      <c r="AM456" t="s">
        <v>47</v>
      </c>
      <c r="AN456" t="s">
        <v>47</v>
      </c>
      <c r="AO456" s="5" t="s">
        <v>51</v>
      </c>
      <c r="AP456" s="4" t="s">
        <v>61</v>
      </c>
      <c r="AQ456" s="4" t="s">
        <v>53</v>
      </c>
      <c r="AR456" s="4" t="s">
        <v>1959</v>
      </c>
      <c r="AS456" s="5">
        <v>33194</v>
      </c>
      <c r="AT456" t="s">
        <v>47</v>
      </c>
    </row>
    <row r="457" spans="1:46" ht="52" x14ac:dyDescent="0.3">
      <c r="A457" s="4" t="s">
        <v>1960</v>
      </c>
      <c r="B457" t="s">
        <v>47</v>
      </c>
      <c r="C457" s="4" t="s">
        <v>122</v>
      </c>
      <c r="D457" s="4" t="s">
        <v>70</v>
      </c>
      <c r="E457" s="4" t="s">
        <v>123</v>
      </c>
      <c r="F457" s="5" t="s">
        <v>1961</v>
      </c>
      <c r="G457" s="5" t="s">
        <v>1962</v>
      </c>
      <c r="H457" t="s">
        <v>47</v>
      </c>
      <c r="I457" s="3">
        <v>35490</v>
      </c>
      <c r="J457" s="5" t="s">
        <v>50</v>
      </c>
      <c r="K457" t="s">
        <v>47</v>
      </c>
      <c r="L457" s="5" t="s">
        <v>60</v>
      </c>
      <c r="M457" s="3">
        <v>35490</v>
      </c>
      <c r="N457" s="3">
        <v>42826</v>
      </c>
      <c r="O457" s="5" t="s">
        <v>1405</v>
      </c>
      <c r="P457" s="3">
        <v>35490</v>
      </c>
      <c r="Q457" s="5" t="s">
        <v>50</v>
      </c>
      <c r="R457" t="s">
        <v>47</v>
      </c>
      <c r="S457" t="s">
        <v>47</v>
      </c>
      <c r="T457" t="s">
        <v>47</v>
      </c>
      <c r="U457" t="s">
        <v>47</v>
      </c>
      <c r="V457" s="5">
        <v>365</v>
      </c>
      <c r="W457" s="3">
        <v>35490</v>
      </c>
      <c r="X457" s="5" t="s">
        <v>50</v>
      </c>
      <c r="Y457" t="s">
        <v>47</v>
      </c>
      <c r="Z457" s="3">
        <v>35490</v>
      </c>
      <c r="AA457" s="5" t="s">
        <v>50</v>
      </c>
      <c r="AB457" t="s">
        <v>47</v>
      </c>
      <c r="AC457" s="3">
        <v>35490</v>
      </c>
      <c r="AD457" s="5" t="s">
        <v>50</v>
      </c>
      <c r="AE457" s="5" t="s">
        <v>1963</v>
      </c>
      <c r="AF457" t="s">
        <v>47</v>
      </c>
      <c r="AG457" t="s">
        <v>47</v>
      </c>
      <c r="AH457" t="s">
        <v>47</v>
      </c>
      <c r="AI457" t="s">
        <v>47</v>
      </c>
      <c r="AJ457" t="s">
        <v>47</v>
      </c>
      <c r="AK457" t="s">
        <v>47</v>
      </c>
      <c r="AL457" t="s">
        <v>47</v>
      </c>
      <c r="AM457" t="s">
        <v>47</v>
      </c>
      <c r="AN457" t="s">
        <v>47</v>
      </c>
      <c r="AO457" s="5" t="s">
        <v>60</v>
      </c>
      <c r="AP457" s="4" t="s">
        <v>61</v>
      </c>
      <c r="AQ457" s="4" t="s">
        <v>53</v>
      </c>
      <c r="AR457" s="4" t="s">
        <v>1964</v>
      </c>
      <c r="AS457" s="5">
        <v>31121</v>
      </c>
      <c r="AT457" t="s">
        <v>47</v>
      </c>
    </row>
    <row r="458" spans="1:46" ht="13" x14ac:dyDescent="0.3">
      <c r="A458" s="4" t="s">
        <v>1965</v>
      </c>
      <c r="B458" t="s">
        <v>47</v>
      </c>
      <c r="C458" s="4" t="s">
        <v>200</v>
      </c>
      <c r="D458" s="4" t="s">
        <v>1241</v>
      </c>
      <c r="E458" s="4" t="s">
        <v>66</v>
      </c>
      <c r="F458" s="5" t="s">
        <v>1966</v>
      </c>
      <c r="G458" s="5" t="s">
        <v>1967</v>
      </c>
      <c r="H458" t="s">
        <v>47</v>
      </c>
      <c r="I458" s="3">
        <v>35431</v>
      </c>
      <c r="J458" s="3">
        <v>41579</v>
      </c>
      <c r="K458" t="s">
        <v>47</v>
      </c>
      <c r="L458" s="5" t="s">
        <v>60</v>
      </c>
      <c r="M458" s="3">
        <v>35431</v>
      </c>
      <c r="N458" s="3">
        <v>41579</v>
      </c>
      <c r="O458" t="s">
        <v>47</v>
      </c>
      <c r="P458" s="3">
        <v>35431</v>
      </c>
      <c r="Q458" s="3">
        <v>41579</v>
      </c>
      <c r="R458" t="s">
        <v>47</v>
      </c>
      <c r="S458" t="s">
        <v>47</v>
      </c>
      <c r="T458" t="s">
        <v>47</v>
      </c>
      <c r="U458" t="s">
        <v>47</v>
      </c>
      <c r="V458" t="s">
        <v>47</v>
      </c>
      <c r="W458" s="3">
        <v>35431</v>
      </c>
      <c r="X458" s="5" t="s">
        <v>50</v>
      </c>
      <c r="Y458" t="s">
        <v>47</v>
      </c>
      <c r="Z458" s="3">
        <v>35431</v>
      </c>
      <c r="AA458" s="5" t="s">
        <v>50</v>
      </c>
      <c r="AB458" t="s">
        <v>47</v>
      </c>
      <c r="AC458" s="3">
        <v>35431</v>
      </c>
      <c r="AD458" s="5" t="s">
        <v>50</v>
      </c>
      <c r="AE458" t="s">
        <v>47</v>
      </c>
      <c r="AF458" t="s">
        <v>47</v>
      </c>
      <c r="AG458" t="s">
        <v>47</v>
      </c>
      <c r="AH458" t="s">
        <v>47</v>
      </c>
      <c r="AI458" t="s">
        <v>47</v>
      </c>
      <c r="AJ458" t="s">
        <v>47</v>
      </c>
      <c r="AK458" t="s">
        <v>47</v>
      </c>
      <c r="AL458" t="s">
        <v>47</v>
      </c>
      <c r="AM458" t="s">
        <v>47</v>
      </c>
      <c r="AN458" t="s">
        <v>47</v>
      </c>
      <c r="AO458" s="5" t="s">
        <v>60</v>
      </c>
      <c r="AP458" s="4" t="s">
        <v>61</v>
      </c>
      <c r="AQ458" s="4" t="s">
        <v>53</v>
      </c>
      <c r="AR458" s="4" t="s">
        <v>54</v>
      </c>
      <c r="AS458" s="5">
        <v>34718</v>
      </c>
      <c r="AT458" t="s">
        <v>47</v>
      </c>
    </row>
    <row r="459" spans="1:46" ht="26" x14ac:dyDescent="0.3">
      <c r="A459" s="4" t="s">
        <v>1968</v>
      </c>
      <c r="B459" t="s">
        <v>47</v>
      </c>
      <c r="C459" s="4" t="s">
        <v>183</v>
      </c>
      <c r="D459" s="4" t="s">
        <v>897</v>
      </c>
      <c r="E459" s="4" t="s">
        <v>49</v>
      </c>
      <c r="F459" s="5" t="s">
        <v>1969</v>
      </c>
      <c r="G459" s="5" t="s">
        <v>1970</v>
      </c>
      <c r="H459" t="s">
        <v>47</v>
      </c>
      <c r="I459" t="s">
        <v>47</v>
      </c>
      <c r="J459" t="s">
        <v>47</v>
      </c>
      <c r="K459" t="s">
        <v>47</v>
      </c>
      <c r="L459" s="5" t="s">
        <v>60</v>
      </c>
      <c r="M459" t="s">
        <v>47</v>
      </c>
      <c r="N459" t="s">
        <v>47</v>
      </c>
      <c r="O459" t="s">
        <v>47</v>
      </c>
      <c r="P459" t="s">
        <v>47</v>
      </c>
      <c r="Q459" t="s">
        <v>47</v>
      </c>
      <c r="R459" t="s">
        <v>47</v>
      </c>
      <c r="S459" t="s">
        <v>47</v>
      </c>
      <c r="T459" t="s">
        <v>47</v>
      </c>
      <c r="U459" t="s">
        <v>47</v>
      </c>
      <c r="V459" t="s">
        <v>47</v>
      </c>
      <c r="W459" s="3">
        <v>32599</v>
      </c>
      <c r="X459" s="5" t="s">
        <v>50</v>
      </c>
      <c r="Y459" t="s">
        <v>47</v>
      </c>
      <c r="Z459" s="3">
        <v>32599</v>
      </c>
      <c r="AA459" s="5" t="s">
        <v>50</v>
      </c>
      <c r="AB459" t="s">
        <v>47</v>
      </c>
      <c r="AC459" s="3">
        <v>32599</v>
      </c>
      <c r="AD459" s="5" t="s">
        <v>50</v>
      </c>
      <c r="AE459" t="s">
        <v>47</v>
      </c>
      <c r="AF459" t="s">
        <v>47</v>
      </c>
      <c r="AG459" t="s">
        <v>47</v>
      </c>
      <c r="AH459" t="s">
        <v>47</v>
      </c>
      <c r="AI459" t="s">
        <v>47</v>
      </c>
      <c r="AJ459" t="s">
        <v>47</v>
      </c>
      <c r="AK459" t="s">
        <v>47</v>
      </c>
      <c r="AL459" t="s">
        <v>47</v>
      </c>
      <c r="AM459" t="s">
        <v>47</v>
      </c>
      <c r="AN459" t="s">
        <v>47</v>
      </c>
      <c r="AO459" s="5" t="s">
        <v>60</v>
      </c>
      <c r="AP459" s="4" t="s">
        <v>61</v>
      </c>
      <c r="AQ459" s="4" t="s">
        <v>53</v>
      </c>
      <c r="AR459" s="4" t="s">
        <v>807</v>
      </c>
      <c r="AS459" s="5">
        <v>40846</v>
      </c>
      <c r="AT459" t="s">
        <v>47</v>
      </c>
    </row>
    <row r="460" spans="1:46" ht="39" x14ac:dyDescent="0.3">
      <c r="A460" s="4" t="s">
        <v>1971</v>
      </c>
      <c r="B460" t="s">
        <v>47</v>
      </c>
      <c r="C460" s="4" t="s">
        <v>1972</v>
      </c>
      <c r="D460" s="4" t="s">
        <v>1973</v>
      </c>
      <c r="E460" s="4" t="s">
        <v>156</v>
      </c>
      <c r="F460" t="s">
        <v>47</v>
      </c>
      <c r="G460" s="5" t="s">
        <v>1974</v>
      </c>
      <c r="H460" t="s">
        <v>47</v>
      </c>
      <c r="I460" s="3">
        <v>42370</v>
      </c>
      <c r="J460" s="3">
        <v>43831</v>
      </c>
      <c r="K460" t="s">
        <v>47</v>
      </c>
      <c r="L460" s="5" t="s">
        <v>60</v>
      </c>
      <c r="M460" t="s">
        <v>47</v>
      </c>
      <c r="N460" t="s">
        <v>47</v>
      </c>
      <c r="O460" t="s">
        <v>47</v>
      </c>
      <c r="P460" s="3">
        <v>42370</v>
      </c>
      <c r="Q460" s="3">
        <v>43831</v>
      </c>
      <c r="R460" t="s">
        <v>47</v>
      </c>
      <c r="S460" t="s">
        <v>47</v>
      </c>
      <c r="T460" t="s">
        <v>47</v>
      </c>
      <c r="U460" t="s">
        <v>47</v>
      </c>
      <c r="V460" t="s">
        <v>47</v>
      </c>
      <c r="W460" s="3">
        <v>42370</v>
      </c>
      <c r="X460" s="3">
        <v>43831</v>
      </c>
      <c r="Y460" t="s">
        <v>47</v>
      </c>
      <c r="Z460" s="3">
        <v>42370</v>
      </c>
      <c r="AA460" s="3">
        <v>43831</v>
      </c>
      <c r="AB460" t="s">
        <v>47</v>
      </c>
      <c r="AC460" s="3">
        <v>42370</v>
      </c>
      <c r="AD460" s="3">
        <v>43831</v>
      </c>
      <c r="AE460" t="s">
        <v>47</v>
      </c>
      <c r="AF460" t="s">
        <v>47</v>
      </c>
      <c r="AG460" t="s">
        <v>47</v>
      </c>
      <c r="AH460" t="s">
        <v>47</v>
      </c>
      <c r="AI460" t="s">
        <v>47</v>
      </c>
      <c r="AJ460" t="s">
        <v>47</v>
      </c>
      <c r="AK460" t="s">
        <v>47</v>
      </c>
      <c r="AL460" t="s">
        <v>47</v>
      </c>
      <c r="AM460" t="s">
        <v>47</v>
      </c>
      <c r="AN460" t="s">
        <v>47</v>
      </c>
      <c r="AO460" s="5" t="s">
        <v>60</v>
      </c>
      <c r="AP460" s="4" t="s">
        <v>61</v>
      </c>
      <c r="AQ460" s="4" t="s">
        <v>159</v>
      </c>
      <c r="AR460" s="4" t="s">
        <v>54</v>
      </c>
      <c r="AS460" s="5">
        <v>4402080</v>
      </c>
      <c r="AT460" t="s">
        <v>47</v>
      </c>
    </row>
    <row r="461" spans="1:46" ht="52" x14ac:dyDescent="0.3">
      <c r="A461" s="4" t="s">
        <v>1975</v>
      </c>
      <c r="B461" t="s">
        <v>47</v>
      </c>
      <c r="C461" s="4" t="s">
        <v>1976</v>
      </c>
      <c r="D461" s="4" t="s">
        <v>1649</v>
      </c>
      <c r="E461" s="4" t="s">
        <v>156</v>
      </c>
      <c r="F461" s="5" t="s">
        <v>1977</v>
      </c>
      <c r="G461" s="5" t="s">
        <v>1978</v>
      </c>
      <c r="H461" t="s">
        <v>47</v>
      </c>
      <c r="I461" s="3">
        <v>37987</v>
      </c>
      <c r="J461" s="5" t="s">
        <v>50</v>
      </c>
      <c r="K461" t="s">
        <v>47</v>
      </c>
      <c r="L461" s="5" t="s">
        <v>60</v>
      </c>
      <c r="M461" t="s">
        <v>47</v>
      </c>
      <c r="N461" t="s">
        <v>47</v>
      </c>
      <c r="O461" t="s">
        <v>47</v>
      </c>
      <c r="P461" s="3">
        <v>37987</v>
      </c>
      <c r="Q461" s="5" t="s">
        <v>50</v>
      </c>
      <c r="R461" t="s">
        <v>47</v>
      </c>
      <c r="S461" t="s">
        <v>47</v>
      </c>
      <c r="T461" t="s">
        <v>47</v>
      </c>
      <c r="U461" t="s">
        <v>47</v>
      </c>
      <c r="V461" t="s">
        <v>47</v>
      </c>
      <c r="W461" s="3">
        <v>37987</v>
      </c>
      <c r="X461" s="5" t="s">
        <v>50</v>
      </c>
      <c r="Y461" t="s">
        <v>47</v>
      </c>
      <c r="Z461" s="3">
        <v>37987</v>
      </c>
      <c r="AA461" s="5" t="s">
        <v>50</v>
      </c>
      <c r="AB461" t="s">
        <v>47</v>
      </c>
      <c r="AC461" s="3">
        <v>37987</v>
      </c>
      <c r="AD461" s="5" t="s">
        <v>50</v>
      </c>
      <c r="AE461" t="s">
        <v>47</v>
      </c>
      <c r="AF461" t="s">
        <v>47</v>
      </c>
      <c r="AG461" t="s">
        <v>47</v>
      </c>
      <c r="AH461" t="s">
        <v>47</v>
      </c>
      <c r="AI461" t="s">
        <v>47</v>
      </c>
      <c r="AJ461" t="s">
        <v>47</v>
      </c>
      <c r="AK461" t="s">
        <v>47</v>
      </c>
      <c r="AL461" t="s">
        <v>47</v>
      </c>
      <c r="AM461" t="s">
        <v>47</v>
      </c>
      <c r="AN461" t="s">
        <v>47</v>
      </c>
      <c r="AO461" s="5" t="s">
        <v>60</v>
      </c>
      <c r="AP461" s="4" t="s">
        <v>61</v>
      </c>
      <c r="AQ461" s="4" t="s">
        <v>922</v>
      </c>
      <c r="AR461" s="4" t="s">
        <v>389</v>
      </c>
      <c r="AS461" s="5">
        <v>2030922</v>
      </c>
      <c r="AT461" t="s">
        <v>47</v>
      </c>
    </row>
    <row r="462" spans="1:46" ht="13" x14ac:dyDescent="0.3">
      <c r="A462" s="4" t="s">
        <v>1979</v>
      </c>
      <c r="B462" t="s">
        <v>47</v>
      </c>
      <c r="C462" s="4" t="s">
        <v>1980</v>
      </c>
      <c r="D462" s="4" t="s">
        <v>1981</v>
      </c>
      <c r="E462" s="4" t="s">
        <v>1982</v>
      </c>
      <c r="F462" t="s">
        <v>47</v>
      </c>
      <c r="G462" s="5" t="s">
        <v>1983</v>
      </c>
      <c r="H462" t="s">
        <v>47</v>
      </c>
      <c r="I462" s="3">
        <v>41275</v>
      </c>
      <c r="J462" s="3">
        <v>43101</v>
      </c>
      <c r="K462" t="s">
        <v>47</v>
      </c>
      <c r="L462" s="5" t="s">
        <v>60</v>
      </c>
      <c r="M462" t="s">
        <v>47</v>
      </c>
      <c r="N462" t="s">
        <v>47</v>
      </c>
      <c r="O462" t="s">
        <v>47</v>
      </c>
      <c r="P462" s="3">
        <v>41275</v>
      </c>
      <c r="Q462" s="3">
        <v>43101</v>
      </c>
      <c r="R462" t="s">
        <v>47</v>
      </c>
      <c r="S462" t="s">
        <v>47</v>
      </c>
      <c r="T462" t="s">
        <v>47</v>
      </c>
      <c r="U462" t="s">
        <v>47</v>
      </c>
      <c r="V462" t="s">
        <v>47</v>
      </c>
      <c r="W462" s="3">
        <v>41275</v>
      </c>
      <c r="X462" s="3">
        <v>43101</v>
      </c>
      <c r="Y462" t="s">
        <v>47</v>
      </c>
      <c r="Z462" s="3">
        <v>41275</v>
      </c>
      <c r="AA462" s="3">
        <v>43101</v>
      </c>
      <c r="AB462" t="s">
        <v>47</v>
      </c>
      <c r="AC462" s="3">
        <v>41275</v>
      </c>
      <c r="AD462" s="3">
        <v>43101</v>
      </c>
      <c r="AE462" t="s">
        <v>47</v>
      </c>
      <c r="AF462" t="s">
        <v>47</v>
      </c>
      <c r="AG462" t="s">
        <v>47</v>
      </c>
      <c r="AH462" t="s">
        <v>47</v>
      </c>
      <c r="AI462" t="s">
        <v>47</v>
      </c>
      <c r="AJ462" t="s">
        <v>47</v>
      </c>
      <c r="AK462" t="s">
        <v>47</v>
      </c>
      <c r="AL462" t="s">
        <v>47</v>
      </c>
      <c r="AM462" t="s">
        <v>47</v>
      </c>
      <c r="AN462" t="s">
        <v>47</v>
      </c>
      <c r="AO462" s="5" t="s">
        <v>60</v>
      </c>
      <c r="AP462" s="4" t="s">
        <v>61</v>
      </c>
      <c r="AQ462" s="4" t="s">
        <v>1984</v>
      </c>
      <c r="AR462" s="4" t="s">
        <v>54</v>
      </c>
      <c r="AS462" s="5">
        <v>2043276</v>
      </c>
      <c r="AT462" t="s">
        <v>47</v>
      </c>
    </row>
    <row r="463" spans="1:46" ht="13" x14ac:dyDescent="0.3">
      <c r="A463" s="4" t="s">
        <v>1985</v>
      </c>
      <c r="B463" t="s">
        <v>47</v>
      </c>
      <c r="C463" s="4" t="s">
        <v>169</v>
      </c>
      <c r="D463" s="4" t="s">
        <v>339</v>
      </c>
      <c r="E463" s="4" t="s">
        <v>66</v>
      </c>
      <c r="F463" s="5" t="s">
        <v>1986</v>
      </c>
      <c r="G463" s="5" t="s">
        <v>1987</v>
      </c>
      <c r="H463" t="s">
        <v>47</v>
      </c>
      <c r="I463" t="s">
        <v>47</v>
      </c>
      <c r="J463" t="s">
        <v>47</v>
      </c>
      <c r="K463" t="s">
        <v>47</v>
      </c>
      <c r="L463" s="5" t="s">
        <v>60</v>
      </c>
      <c r="M463" t="s">
        <v>47</v>
      </c>
      <c r="N463" t="s">
        <v>47</v>
      </c>
      <c r="O463" t="s">
        <v>47</v>
      </c>
      <c r="P463" t="s">
        <v>47</v>
      </c>
      <c r="Q463" t="s">
        <v>47</v>
      </c>
      <c r="R463" t="s">
        <v>47</v>
      </c>
      <c r="S463" t="s">
        <v>47</v>
      </c>
      <c r="T463" t="s">
        <v>47</v>
      </c>
      <c r="U463" t="s">
        <v>47</v>
      </c>
      <c r="V463" t="s">
        <v>47</v>
      </c>
      <c r="W463" s="3">
        <v>40238</v>
      </c>
      <c r="X463" s="3">
        <v>41153</v>
      </c>
      <c r="Y463" t="s">
        <v>47</v>
      </c>
      <c r="Z463" s="3">
        <v>40238</v>
      </c>
      <c r="AA463" s="3">
        <v>41153</v>
      </c>
      <c r="AB463" t="s">
        <v>47</v>
      </c>
      <c r="AC463" s="3">
        <v>40238</v>
      </c>
      <c r="AD463" s="3">
        <v>41153</v>
      </c>
      <c r="AE463" t="s">
        <v>47</v>
      </c>
      <c r="AF463" t="s">
        <v>47</v>
      </c>
      <c r="AG463" t="s">
        <v>47</v>
      </c>
      <c r="AH463" t="s">
        <v>47</v>
      </c>
      <c r="AI463" t="s">
        <v>47</v>
      </c>
      <c r="AJ463" t="s">
        <v>47</v>
      </c>
      <c r="AK463" t="s">
        <v>47</v>
      </c>
      <c r="AL463" t="s">
        <v>47</v>
      </c>
      <c r="AM463" t="s">
        <v>47</v>
      </c>
      <c r="AN463" t="s">
        <v>47</v>
      </c>
      <c r="AO463" s="5" t="s">
        <v>60</v>
      </c>
      <c r="AP463" s="4" t="s">
        <v>61</v>
      </c>
      <c r="AQ463" s="4" t="s">
        <v>53</v>
      </c>
      <c r="AR463" s="4" t="s">
        <v>54</v>
      </c>
      <c r="AS463" s="5">
        <v>426772</v>
      </c>
      <c r="AT463" t="s">
        <v>47</v>
      </c>
    </row>
    <row r="464" spans="1:46" ht="13" x14ac:dyDescent="0.3">
      <c r="A464" s="4" t="s">
        <v>1988</v>
      </c>
      <c r="B464" t="s">
        <v>47</v>
      </c>
      <c r="C464" s="4" t="s">
        <v>1989</v>
      </c>
      <c r="D464" s="4" t="s">
        <v>1990</v>
      </c>
      <c r="E464" s="4" t="s">
        <v>701</v>
      </c>
      <c r="F464" s="5" t="s">
        <v>1991</v>
      </c>
      <c r="G464" t="s">
        <v>47</v>
      </c>
      <c r="H464" t="s">
        <v>47</v>
      </c>
      <c r="I464" s="3">
        <v>39995</v>
      </c>
      <c r="J464" s="5" t="s">
        <v>50</v>
      </c>
      <c r="K464" t="s">
        <v>47</v>
      </c>
      <c r="L464" s="5" t="s">
        <v>60</v>
      </c>
      <c r="M464" s="3">
        <v>39995</v>
      </c>
      <c r="N464" s="5" t="s">
        <v>50</v>
      </c>
      <c r="O464" t="s">
        <v>47</v>
      </c>
      <c r="P464" s="3">
        <v>39995</v>
      </c>
      <c r="Q464" s="5" t="s">
        <v>50</v>
      </c>
      <c r="R464" t="s">
        <v>47</v>
      </c>
      <c r="S464" t="s">
        <v>47</v>
      </c>
      <c r="T464" t="s">
        <v>47</v>
      </c>
      <c r="U464" t="s">
        <v>47</v>
      </c>
      <c r="V464" t="s">
        <v>47</v>
      </c>
      <c r="W464" s="3">
        <v>39995</v>
      </c>
      <c r="X464" s="5" t="s">
        <v>50</v>
      </c>
      <c r="Y464" t="s">
        <v>47</v>
      </c>
      <c r="Z464" s="3">
        <v>39995</v>
      </c>
      <c r="AA464" s="5" t="s">
        <v>50</v>
      </c>
      <c r="AB464" t="s">
        <v>47</v>
      </c>
      <c r="AC464" s="3">
        <v>39995</v>
      </c>
      <c r="AD464" s="5" t="s">
        <v>50</v>
      </c>
      <c r="AE464" t="s">
        <v>47</v>
      </c>
      <c r="AF464" t="s">
        <v>47</v>
      </c>
      <c r="AG464" t="s">
        <v>47</v>
      </c>
      <c r="AH464" t="s">
        <v>47</v>
      </c>
      <c r="AI464" t="s">
        <v>47</v>
      </c>
      <c r="AJ464" t="s">
        <v>47</v>
      </c>
      <c r="AK464" t="s">
        <v>47</v>
      </c>
      <c r="AL464" t="s">
        <v>47</v>
      </c>
      <c r="AM464" t="s">
        <v>47</v>
      </c>
      <c r="AN464" t="s">
        <v>47</v>
      </c>
      <c r="AO464" s="5" t="s">
        <v>51</v>
      </c>
      <c r="AP464" s="4" t="s">
        <v>61</v>
      </c>
      <c r="AQ464" s="4" t="s">
        <v>427</v>
      </c>
      <c r="AR464" s="4" t="s">
        <v>54</v>
      </c>
      <c r="AS464" s="5">
        <v>75758</v>
      </c>
      <c r="AT464" t="s">
        <v>47</v>
      </c>
    </row>
    <row r="465" spans="1:46" ht="13" x14ac:dyDescent="0.3">
      <c r="A465" s="4" t="s">
        <v>1992</v>
      </c>
      <c r="B465" t="s">
        <v>47</v>
      </c>
      <c r="C465" s="4" t="s">
        <v>1993</v>
      </c>
      <c r="D465" s="4" t="s">
        <v>1990</v>
      </c>
      <c r="E465" s="4" t="s">
        <v>701</v>
      </c>
      <c r="F465" s="5" t="s">
        <v>1994</v>
      </c>
      <c r="G465" t="s">
        <v>47</v>
      </c>
      <c r="H465" t="s">
        <v>47</v>
      </c>
      <c r="I465" s="3">
        <v>39083</v>
      </c>
      <c r="J465" s="5" t="s">
        <v>50</v>
      </c>
      <c r="K465" t="s">
        <v>47</v>
      </c>
      <c r="L465" s="5" t="s">
        <v>60</v>
      </c>
      <c r="M465" t="s">
        <v>47</v>
      </c>
      <c r="N465" t="s">
        <v>47</v>
      </c>
      <c r="O465" t="s">
        <v>47</v>
      </c>
      <c r="P465" s="3">
        <v>39083</v>
      </c>
      <c r="Q465" s="5" t="s">
        <v>50</v>
      </c>
      <c r="R465" t="s">
        <v>47</v>
      </c>
      <c r="S465" t="s">
        <v>47</v>
      </c>
      <c r="T465" t="s">
        <v>47</v>
      </c>
      <c r="U465" t="s">
        <v>47</v>
      </c>
      <c r="V465" t="s">
        <v>47</v>
      </c>
      <c r="W465" s="3">
        <v>39083</v>
      </c>
      <c r="X465" s="5" t="s">
        <v>50</v>
      </c>
      <c r="Y465" t="s">
        <v>47</v>
      </c>
      <c r="Z465" s="3">
        <v>39083</v>
      </c>
      <c r="AA465" s="5" t="s">
        <v>50</v>
      </c>
      <c r="AB465" t="s">
        <v>47</v>
      </c>
      <c r="AC465" s="3">
        <v>39083</v>
      </c>
      <c r="AD465" s="5" t="s">
        <v>50</v>
      </c>
      <c r="AE465" t="s">
        <v>47</v>
      </c>
      <c r="AF465" t="s">
        <v>47</v>
      </c>
      <c r="AG465" t="s">
        <v>47</v>
      </c>
      <c r="AH465" t="s">
        <v>47</v>
      </c>
      <c r="AI465" t="s">
        <v>47</v>
      </c>
      <c r="AJ465" t="s">
        <v>47</v>
      </c>
      <c r="AK465" t="s">
        <v>47</v>
      </c>
      <c r="AL465" t="s">
        <v>47</v>
      </c>
      <c r="AM465" t="s">
        <v>47</v>
      </c>
      <c r="AN465" t="s">
        <v>47</v>
      </c>
      <c r="AO465" s="5" t="s">
        <v>60</v>
      </c>
      <c r="AP465" s="4" t="s">
        <v>61</v>
      </c>
      <c r="AQ465" s="4" t="s">
        <v>427</v>
      </c>
      <c r="AR465" s="4" t="s">
        <v>54</v>
      </c>
      <c r="AS465" s="5">
        <v>1056401</v>
      </c>
      <c r="AT465" t="s">
        <v>47</v>
      </c>
    </row>
    <row r="466" spans="1:46" ht="104" x14ac:dyDescent="0.3">
      <c r="A466" s="4" t="s">
        <v>1995</v>
      </c>
      <c r="B466" t="s">
        <v>47</v>
      </c>
      <c r="C466" s="4" t="s">
        <v>1996</v>
      </c>
      <c r="D466" s="4" t="s">
        <v>1997</v>
      </c>
      <c r="E466" s="4" t="s">
        <v>66</v>
      </c>
      <c r="F466" t="s">
        <v>47</v>
      </c>
      <c r="G466" s="5" t="s">
        <v>1998</v>
      </c>
      <c r="H466" t="s">
        <v>47</v>
      </c>
      <c r="I466" s="3">
        <v>40179</v>
      </c>
      <c r="J466" s="5" t="s">
        <v>50</v>
      </c>
      <c r="K466" t="s">
        <v>47</v>
      </c>
      <c r="L466" s="5" t="s">
        <v>51</v>
      </c>
      <c r="M466" s="3">
        <v>40179</v>
      </c>
      <c r="N466" s="3">
        <v>44197</v>
      </c>
      <c r="O466" t="s">
        <v>47</v>
      </c>
      <c r="P466" s="3">
        <v>40179</v>
      </c>
      <c r="Q466" s="5" t="s">
        <v>50</v>
      </c>
      <c r="R466" t="s">
        <v>47</v>
      </c>
      <c r="S466" t="s">
        <v>47</v>
      </c>
      <c r="T466" t="s">
        <v>47</v>
      </c>
      <c r="U466" t="s">
        <v>47</v>
      </c>
      <c r="V466" t="s">
        <v>47</v>
      </c>
      <c r="W466" s="3">
        <v>40179</v>
      </c>
      <c r="X466" s="5" t="s">
        <v>50</v>
      </c>
      <c r="Y466" t="s">
        <v>47</v>
      </c>
      <c r="Z466" s="3">
        <v>40179</v>
      </c>
      <c r="AA466" s="5" t="s">
        <v>50</v>
      </c>
      <c r="AB466" t="s">
        <v>47</v>
      </c>
      <c r="AC466" s="3">
        <v>42826</v>
      </c>
      <c r="AD466" s="5" t="s">
        <v>50</v>
      </c>
      <c r="AE466" t="s">
        <v>47</v>
      </c>
      <c r="AF466" t="s">
        <v>47</v>
      </c>
      <c r="AG466" t="s">
        <v>47</v>
      </c>
      <c r="AH466" t="s">
        <v>47</v>
      </c>
      <c r="AI466" t="s">
        <v>47</v>
      </c>
      <c r="AJ466" t="s">
        <v>47</v>
      </c>
      <c r="AK466" t="s">
        <v>47</v>
      </c>
      <c r="AL466" t="s">
        <v>47</v>
      </c>
      <c r="AM466" t="s">
        <v>47</v>
      </c>
      <c r="AN466" t="s">
        <v>47</v>
      </c>
      <c r="AO466" s="5" t="s">
        <v>51</v>
      </c>
      <c r="AP466" s="4" t="s">
        <v>85</v>
      </c>
      <c r="AQ466" s="4" t="s">
        <v>53</v>
      </c>
      <c r="AR466" s="4" t="s">
        <v>1999</v>
      </c>
      <c r="AS466" s="5">
        <v>406307</v>
      </c>
      <c r="AT466" t="s">
        <v>47</v>
      </c>
    </row>
    <row r="467" spans="1:46" ht="156" x14ac:dyDescent="0.3">
      <c r="A467" s="4" t="s">
        <v>2000</v>
      </c>
      <c r="B467" t="s">
        <v>47</v>
      </c>
      <c r="C467" s="4" t="s">
        <v>1036</v>
      </c>
      <c r="D467" s="4" t="s">
        <v>70</v>
      </c>
      <c r="E467" s="4" t="s">
        <v>49</v>
      </c>
      <c r="F467" t="s">
        <v>47</v>
      </c>
      <c r="G467" t="s">
        <v>47</v>
      </c>
      <c r="H467" t="s">
        <v>47</v>
      </c>
      <c r="I467" t="s">
        <v>47</v>
      </c>
      <c r="J467" t="s">
        <v>47</v>
      </c>
      <c r="K467" t="s">
        <v>47</v>
      </c>
      <c r="L467" s="5" t="s">
        <v>51</v>
      </c>
      <c r="M467" t="s">
        <v>47</v>
      </c>
      <c r="N467" t="s">
        <v>47</v>
      </c>
      <c r="O467" t="s">
        <v>47</v>
      </c>
      <c r="P467" t="s">
        <v>47</v>
      </c>
      <c r="Q467" t="s">
        <v>47</v>
      </c>
      <c r="R467" t="s">
        <v>47</v>
      </c>
      <c r="S467" t="s">
        <v>47</v>
      </c>
      <c r="T467" t="s">
        <v>47</v>
      </c>
      <c r="U467" t="s">
        <v>47</v>
      </c>
      <c r="V467" t="s">
        <v>47</v>
      </c>
      <c r="W467" s="3">
        <v>32143</v>
      </c>
      <c r="X467" s="3">
        <v>35704</v>
      </c>
      <c r="Y467" t="s">
        <v>47</v>
      </c>
      <c r="Z467" s="3">
        <v>32143</v>
      </c>
      <c r="AA467" s="3">
        <v>35704</v>
      </c>
      <c r="AB467" t="s">
        <v>47</v>
      </c>
      <c r="AC467" s="3">
        <v>32143</v>
      </c>
      <c r="AD467" s="3">
        <v>35704</v>
      </c>
      <c r="AE467" t="s">
        <v>47</v>
      </c>
      <c r="AF467" t="s">
        <v>47</v>
      </c>
      <c r="AG467" t="s">
        <v>47</v>
      </c>
      <c r="AH467" t="s">
        <v>47</v>
      </c>
      <c r="AI467" t="s">
        <v>47</v>
      </c>
      <c r="AJ467" t="s">
        <v>47</v>
      </c>
      <c r="AK467" t="s">
        <v>47</v>
      </c>
      <c r="AL467" t="s">
        <v>47</v>
      </c>
      <c r="AM467" t="s">
        <v>47</v>
      </c>
      <c r="AN467" t="s">
        <v>47</v>
      </c>
      <c r="AO467" s="5" t="s">
        <v>51</v>
      </c>
      <c r="AP467" s="4" t="s">
        <v>85</v>
      </c>
      <c r="AQ467" s="4" t="s">
        <v>53</v>
      </c>
      <c r="AR467" s="4" t="s">
        <v>2001</v>
      </c>
      <c r="AS467" s="5">
        <v>37772</v>
      </c>
      <c r="AT467" t="s">
        <v>47</v>
      </c>
    </row>
    <row r="468" spans="1:46" ht="65" x14ac:dyDescent="0.3">
      <c r="A468" s="4" t="s">
        <v>2002</v>
      </c>
      <c r="B468" t="s">
        <v>47</v>
      </c>
      <c r="C468" s="4" t="s">
        <v>115</v>
      </c>
      <c r="D468" s="4" t="s">
        <v>748</v>
      </c>
      <c r="E468" s="4" t="s">
        <v>66</v>
      </c>
      <c r="F468" s="5" t="s">
        <v>2003</v>
      </c>
      <c r="G468" s="5" t="s">
        <v>2004</v>
      </c>
      <c r="H468" t="s">
        <v>47</v>
      </c>
      <c r="I468" s="3">
        <v>35947</v>
      </c>
      <c r="J468" s="5" t="s">
        <v>50</v>
      </c>
      <c r="K468" t="s">
        <v>47</v>
      </c>
      <c r="L468" s="5" t="s">
        <v>60</v>
      </c>
      <c r="M468" s="3">
        <v>35947</v>
      </c>
      <c r="N468" s="5" t="s">
        <v>50</v>
      </c>
      <c r="O468" t="s">
        <v>47</v>
      </c>
      <c r="P468" s="3">
        <v>35947</v>
      </c>
      <c r="Q468" s="5" t="s">
        <v>50</v>
      </c>
      <c r="R468" t="s">
        <v>47</v>
      </c>
      <c r="S468" t="s">
        <v>47</v>
      </c>
      <c r="T468" t="s">
        <v>47</v>
      </c>
      <c r="U468" t="s">
        <v>47</v>
      </c>
      <c r="V468" s="5">
        <v>365</v>
      </c>
      <c r="W468" s="3">
        <v>35947</v>
      </c>
      <c r="X468" s="5" t="s">
        <v>50</v>
      </c>
      <c r="Y468" t="s">
        <v>47</v>
      </c>
      <c r="Z468" s="3">
        <v>35947</v>
      </c>
      <c r="AA468" s="5" t="s">
        <v>50</v>
      </c>
      <c r="AB468" t="s">
        <v>47</v>
      </c>
      <c r="AC468" s="3">
        <v>35947</v>
      </c>
      <c r="AD468" s="5" t="s">
        <v>50</v>
      </c>
      <c r="AE468" t="s">
        <v>47</v>
      </c>
      <c r="AF468" t="s">
        <v>47</v>
      </c>
      <c r="AG468" t="s">
        <v>47</v>
      </c>
      <c r="AH468" t="s">
        <v>47</v>
      </c>
      <c r="AI468" t="s">
        <v>47</v>
      </c>
      <c r="AJ468" t="s">
        <v>47</v>
      </c>
      <c r="AK468" t="s">
        <v>47</v>
      </c>
      <c r="AL468" t="s">
        <v>47</v>
      </c>
      <c r="AM468" t="s">
        <v>47</v>
      </c>
      <c r="AN468" t="s">
        <v>47</v>
      </c>
      <c r="AO468" s="5" t="s">
        <v>60</v>
      </c>
      <c r="AP468" s="4" t="s">
        <v>61</v>
      </c>
      <c r="AQ468" s="4" t="s">
        <v>53</v>
      </c>
      <c r="AR468" s="4" t="s">
        <v>1500</v>
      </c>
      <c r="AS468" s="5">
        <v>32127</v>
      </c>
      <c r="AT468" t="s">
        <v>47</v>
      </c>
    </row>
    <row r="469" spans="1:46" ht="65" x14ac:dyDescent="0.3">
      <c r="A469" s="4" t="s">
        <v>2005</v>
      </c>
      <c r="B469" t="s">
        <v>47</v>
      </c>
      <c r="C469" s="4" t="s">
        <v>2006</v>
      </c>
      <c r="D469" s="4" t="s">
        <v>223</v>
      </c>
      <c r="E469" s="4" t="s">
        <v>49</v>
      </c>
      <c r="F469" s="5" t="s">
        <v>2007</v>
      </c>
      <c r="G469" s="5" t="s">
        <v>2008</v>
      </c>
      <c r="H469" t="s">
        <v>47</v>
      </c>
      <c r="I469" s="3">
        <v>36130</v>
      </c>
      <c r="J469" s="3">
        <v>45047</v>
      </c>
      <c r="K469" t="s">
        <v>47</v>
      </c>
      <c r="L469" s="5" t="s">
        <v>51</v>
      </c>
      <c r="M469" s="3">
        <v>36130</v>
      </c>
      <c r="N469" s="3">
        <v>45047</v>
      </c>
      <c r="O469" t="s">
        <v>47</v>
      </c>
      <c r="P469" s="3">
        <v>36130</v>
      </c>
      <c r="Q469" s="3">
        <v>45047</v>
      </c>
      <c r="R469" t="s">
        <v>47</v>
      </c>
      <c r="S469" t="s">
        <v>47</v>
      </c>
      <c r="T469" t="s">
        <v>47</v>
      </c>
      <c r="U469" t="s">
        <v>47</v>
      </c>
      <c r="V469" t="s">
        <v>47</v>
      </c>
      <c r="W469" s="3">
        <v>36130</v>
      </c>
      <c r="X469" s="3">
        <v>45047</v>
      </c>
      <c r="Y469" t="s">
        <v>47</v>
      </c>
      <c r="Z469" s="3">
        <v>36130</v>
      </c>
      <c r="AA469" s="3">
        <v>45047</v>
      </c>
      <c r="AB469" t="s">
        <v>47</v>
      </c>
      <c r="AC469" s="3">
        <v>36770</v>
      </c>
      <c r="AD469" s="3">
        <v>45047</v>
      </c>
      <c r="AE469" t="s">
        <v>47</v>
      </c>
      <c r="AF469" t="s">
        <v>47</v>
      </c>
      <c r="AG469" t="s">
        <v>47</v>
      </c>
      <c r="AH469" t="s">
        <v>47</v>
      </c>
      <c r="AI469" t="s">
        <v>47</v>
      </c>
      <c r="AJ469" t="s">
        <v>47</v>
      </c>
      <c r="AK469" t="s">
        <v>47</v>
      </c>
      <c r="AL469" t="s">
        <v>47</v>
      </c>
      <c r="AM469" t="s">
        <v>47</v>
      </c>
      <c r="AN469" t="s">
        <v>47</v>
      </c>
      <c r="AO469" s="5" t="s">
        <v>51</v>
      </c>
      <c r="AP469" s="4" t="s">
        <v>85</v>
      </c>
      <c r="AQ469" t="s">
        <v>47</v>
      </c>
      <c r="AR469" s="4" t="s">
        <v>543</v>
      </c>
      <c r="AS469" s="5">
        <v>46810</v>
      </c>
      <c r="AT469" s="4" t="s">
        <v>2009</v>
      </c>
    </row>
    <row r="470" spans="1:46" ht="65" x14ac:dyDescent="0.3">
      <c r="A470" s="4" t="s">
        <v>2010</v>
      </c>
      <c r="B470" t="s">
        <v>47</v>
      </c>
      <c r="C470" s="4" t="s">
        <v>2011</v>
      </c>
      <c r="D470" s="4" t="s">
        <v>88</v>
      </c>
      <c r="E470" s="4" t="s">
        <v>49</v>
      </c>
      <c r="F470" s="5" t="s">
        <v>2012</v>
      </c>
      <c r="G470" t="s">
        <v>47</v>
      </c>
      <c r="H470" t="s">
        <v>47</v>
      </c>
      <c r="I470" s="3">
        <v>35462</v>
      </c>
      <c r="J470" s="3">
        <v>35521</v>
      </c>
      <c r="K470" t="s">
        <v>47</v>
      </c>
      <c r="L470" s="5" t="s">
        <v>60</v>
      </c>
      <c r="M470" s="3">
        <v>35462</v>
      </c>
      <c r="N470" s="3">
        <v>35521</v>
      </c>
      <c r="O470" t="s">
        <v>47</v>
      </c>
      <c r="P470" s="3">
        <v>35462</v>
      </c>
      <c r="Q470" s="3">
        <v>35521</v>
      </c>
      <c r="R470" t="s">
        <v>47</v>
      </c>
      <c r="S470" t="s">
        <v>47</v>
      </c>
      <c r="T470" t="s">
        <v>47</v>
      </c>
      <c r="U470" t="s">
        <v>47</v>
      </c>
      <c r="V470" t="s">
        <v>47</v>
      </c>
      <c r="W470" s="3">
        <v>35462</v>
      </c>
      <c r="X470" s="3">
        <v>35521</v>
      </c>
      <c r="Y470" t="s">
        <v>47</v>
      </c>
      <c r="Z470" s="3">
        <v>35462</v>
      </c>
      <c r="AA470" s="3">
        <v>35521</v>
      </c>
      <c r="AB470" t="s">
        <v>47</v>
      </c>
      <c r="AC470" t="s">
        <v>47</v>
      </c>
      <c r="AD470" t="s">
        <v>47</v>
      </c>
      <c r="AE470" t="s">
        <v>47</v>
      </c>
      <c r="AF470" t="s">
        <v>47</v>
      </c>
      <c r="AG470" t="s">
        <v>47</v>
      </c>
      <c r="AH470" t="s">
        <v>47</v>
      </c>
      <c r="AI470" t="s">
        <v>47</v>
      </c>
      <c r="AJ470" t="s">
        <v>47</v>
      </c>
      <c r="AK470" t="s">
        <v>47</v>
      </c>
      <c r="AL470" t="s">
        <v>47</v>
      </c>
      <c r="AM470" t="s">
        <v>47</v>
      </c>
      <c r="AN470" t="s">
        <v>47</v>
      </c>
      <c r="AO470" s="5" t="s">
        <v>60</v>
      </c>
      <c r="AP470" s="4" t="s">
        <v>61</v>
      </c>
      <c r="AQ470" s="4" t="s">
        <v>53</v>
      </c>
      <c r="AR470" s="4" t="s">
        <v>2013</v>
      </c>
      <c r="AS470" s="5">
        <v>34942</v>
      </c>
      <c r="AT470" t="s">
        <v>47</v>
      </c>
    </row>
    <row r="471" spans="1:46" ht="65" x14ac:dyDescent="0.3">
      <c r="A471" s="4" t="s">
        <v>2014</v>
      </c>
      <c r="B471" t="s">
        <v>47</v>
      </c>
      <c r="C471" s="4" t="s">
        <v>323</v>
      </c>
      <c r="D471" s="4" t="s">
        <v>324</v>
      </c>
      <c r="E471" s="4" t="s">
        <v>49</v>
      </c>
      <c r="F471" s="5" t="s">
        <v>2015</v>
      </c>
      <c r="G471" s="5" t="s">
        <v>2016</v>
      </c>
      <c r="H471" t="s">
        <v>47</v>
      </c>
      <c r="I471" t="s">
        <v>47</v>
      </c>
      <c r="J471" t="s">
        <v>47</v>
      </c>
      <c r="K471" t="s">
        <v>47</v>
      </c>
      <c r="L471" s="5" t="s">
        <v>60</v>
      </c>
      <c r="M471" t="s">
        <v>47</v>
      </c>
      <c r="N471" t="s">
        <v>47</v>
      </c>
      <c r="O471" t="s">
        <v>47</v>
      </c>
      <c r="P471" t="s">
        <v>47</v>
      </c>
      <c r="Q471" t="s">
        <v>47</v>
      </c>
      <c r="R471" t="s">
        <v>47</v>
      </c>
      <c r="S471" t="s">
        <v>47</v>
      </c>
      <c r="T471" t="s">
        <v>47</v>
      </c>
      <c r="U471" t="s">
        <v>47</v>
      </c>
      <c r="V471" t="s">
        <v>47</v>
      </c>
      <c r="W471" s="3">
        <v>23863</v>
      </c>
      <c r="X471" s="5" t="s">
        <v>50</v>
      </c>
      <c r="Y471" t="s">
        <v>47</v>
      </c>
      <c r="Z471" s="3">
        <v>23863</v>
      </c>
      <c r="AA471" s="5" t="s">
        <v>50</v>
      </c>
      <c r="AB471" t="s">
        <v>47</v>
      </c>
      <c r="AC471" s="3">
        <v>32143</v>
      </c>
      <c r="AD471" s="5" t="s">
        <v>50</v>
      </c>
      <c r="AE471" t="s">
        <v>47</v>
      </c>
      <c r="AF471" t="s">
        <v>47</v>
      </c>
      <c r="AG471" t="s">
        <v>47</v>
      </c>
      <c r="AH471" t="s">
        <v>47</v>
      </c>
      <c r="AI471" t="s">
        <v>47</v>
      </c>
      <c r="AJ471" t="s">
        <v>47</v>
      </c>
      <c r="AK471" t="s">
        <v>47</v>
      </c>
      <c r="AL471" t="s">
        <v>47</v>
      </c>
      <c r="AM471" t="s">
        <v>47</v>
      </c>
      <c r="AN471" t="s">
        <v>47</v>
      </c>
      <c r="AO471" s="5" t="s">
        <v>60</v>
      </c>
      <c r="AP471" s="4" t="s">
        <v>61</v>
      </c>
      <c r="AQ471" s="4" t="s">
        <v>53</v>
      </c>
      <c r="AR471" s="4" t="s">
        <v>2013</v>
      </c>
      <c r="AS471" s="5">
        <v>40700</v>
      </c>
      <c r="AT471" t="s">
        <v>47</v>
      </c>
    </row>
    <row r="472" spans="1:46" ht="39" x14ac:dyDescent="0.3">
      <c r="A472" s="4" t="s">
        <v>2017</v>
      </c>
      <c r="B472" t="s">
        <v>47</v>
      </c>
      <c r="C472" s="4" t="s">
        <v>122</v>
      </c>
      <c r="D472" s="4" t="s">
        <v>575</v>
      </c>
      <c r="E472" s="4" t="s">
        <v>123</v>
      </c>
      <c r="F472" s="5" t="s">
        <v>2018</v>
      </c>
      <c r="G472" s="5" t="s">
        <v>2019</v>
      </c>
      <c r="H472" t="s">
        <v>47</v>
      </c>
      <c r="I472" s="3">
        <v>39873</v>
      </c>
      <c r="J472" s="5" t="s">
        <v>50</v>
      </c>
      <c r="K472" t="s">
        <v>47</v>
      </c>
      <c r="L472" s="5" t="s">
        <v>60</v>
      </c>
      <c r="M472" s="3">
        <v>41456</v>
      </c>
      <c r="N472" s="3">
        <v>42736</v>
      </c>
      <c r="O472" t="s">
        <v>47</v>
      </c>
      <c r="P472" s="3">
        <v>39873</v>
      </c>
      <c r="Q472" s="5" t="s">
        <v>50</v>
      </c>
      <c r="R472" t="s">
        <v>47</v>
      </c>
      <c r="S472" t="s">
        <v>47</v>
      </c>
      <c r="T472" t="s">
        <v>47</v>
      </c>
      <c r="U472" t="s">
        <v>47</v>
      </c>
      <c r="V472" t="s">
        <v>47</v>
      </c>
      <c r="W472" s="3">
        <v>39873</v>
      </c>
      <c r="X472" s="5" t="s">
        <v>50</v>
      </c>
      <c r="Y472" t="s">
        <v>47</v>
      </c>
      <c r="Z472" s="3">
        <v>39873</v>
      </c>
      <c r="AA472" s="5" t="s">
        <v>50</v>
      </c>
      <c r="AB472" t="s">
        <v>47</v>
      </c>
      <c r="AC472" s="3">
        <v>39873</v>
      </c>
      <c r="AD472" s="5" t="s">
        <v>50</v>
      </c>
      <c r="AE472" t="s">
        <v>47</v>
      </c>
      <c r="AF472" t="s">
        <v>47</v>
      </c>
      <c r="AG472" t="s">
        <v>47</v>
      </c>
      <c r="AH472" t="s">
        <v>47</v>
      </c>
      <c r="AI472" t="s">
        <v>47</v>
      </c>
      <c r="AJ472" t="s">
        <v>47</v>
      </c>
      <c r="AK472" t="s">
        <v>47</v>
      </c>
      <c r="AL472" t="s">
        <v>47</v>
      </c>
      <c r="AM472" t="s">
        <v>47</v>
      </c>
      <c r="AN472" t="s">
        <v>47</v>
      </c>
      <c r="AO472" s="5" t="s">
        <v>60</v>
      </c>
      <c r="AP472" s="4" t="s">
        <v>61</v>
      </c>
      <c r="AQ472" s="4" t="s">
        <v>53</v>
      </c>
      <c r="AR472" s="4" t="s">
        <v>186</v>
      </c>
      <c r="AS472" s="5">
        <v>2034772</v>
      </c>
      <c r="AT472" t="s">
        <v>47</v>
      </c>
    </row>
    <row r="473" spans="1:46" ht="26" x14ac:dyDescent="0.3">
      <c r="A473" s="4" t="s">
        <v>2020</v>
      </c>
      <c r="B473" t="s">
        <v>47</v>
      </c>
      <c r="C473" s="4" t="s">
        <v>2021</v>
      </c>
      <c r="D473" s="4" t="s">
        <v>2022</v>
      </c>
      <c r="E473" s="4" t="s">
        <v>49</v>
      </c>
      <c r="F473" s="5" t="s">
        <v>2023</v>
      </c>
      <c r="G473" t="s">
        <v>47</v>
      </c>
      <c r="H473" t="s">
        <v>47</v>
      </c>
      <c r="I473" s="3">
        <v>37257</v>
      </c>
      <c r="J473" s="3">
        <v>41183</v>
      </c>
      <c r="K473" t="s">
        <v>47</v>
      </c>
      <c r="L473" s="5" t="s">
        <v>60</v>
      </c>
      <c r="M473" s="3">
        <v>37257</v>
      </c>
      <c r="N473" s="3">
        <v>38899</v>
      </c>
      <c r="O473" t="s">
        <v>47</v>
      </c>
      <c r="P473" s="3">
        <v>37257</v>
      </c>
      <c r="Q473" s="3">
        <v>41183</v>
      </c>
      <c r="R473" t="s">
        <v>47</v>
      </c>
      <c r="S473" t="s">
        <v>47</v>
      </c>
      <c r="T473" t="s">
        <v>47</v>
      </c>
      <c r="U473" t="s">
        <v>47</v>
      </c>
      <c r="V473" t="s">
        <v>47</v>
      </c>
      <c r="W473" s="3">
        <v>32509</v>
      </c>
      <c r="X473" s="3">
        <v>42186</v>
      </c>
      <c r="Y473" t="s">
        <v>47</v>
      </c>
      <c r="Z473" s="3">
        <v>32509</v>
      </c>
      <c r="AA473" s="3">
        <v>42186</v>
      </c>
      <c r="AB473" t="s">
        <v>47</v>
      </c>
      <c r="AC473" s="3">
        <v>32509</v>
      </c>
      <c r="AD473" s="3">
        <v>42186</v>
      </c>
      <c r="AE473" t="s">
        <v>47</v>
      </c>
      <c r="AF473" t="s">
        <v>47</v>
      </c>
      <c r="AG473" t="s">
        <v>47</v>
      </c>
      <c r="AH473" t="s">
        <v>47</v>
      </c>
      <c r="AI473" t="s">
        <v>47</v>
      </c>
      <c r="AJ473" t="s">
        <v>47</v>
      </c>
      <c r="AK473" t="s">
        <v>47</v>
      </c>
      <c r="AL473" t="s">
        <v>47</v>
      </c>
      <c r="AM473" t="s">
        <v>47</v>
      </c>
      <c r="AN473" t="s">
        <v>47</v>
      </c>
      <c r="AO473" s="5" t="s">
        <v>51</v>
      </c>
      <c r="AP473" s="4" t="s">
        <v>61</v>
      </c>
      <c r="AQ473" s="4" t="s">
        <v>53</v>
      </c>
      <c r="AR473" s="4" t="s">
        <v>831</v>
      </c>
      <c r="AS473" s="5">
        <v>41872</v>
      </c>
      <c r="AT473" t="s">
        <v>47</v>
      </c>
    </row>
    <row r="474" spans="1:46" ht="26" x14ac:dyDescent="0.3">
      <c r="A474" s="4" t="s">
        <v>2024</v>
      </c>
      <c r="B474" t="s">
        <v>47</v>
      </c>
      <c r="C474" s="4" t="s">
        <v>2025</v>
      </c>
      <c r="D474" s="4" t="s">
        <v>626</v>
      </c>
      <c r="E474" s="4" t="s">
        <v>100</v>
      </c>
      <c r="F474" s="5" t="s">
        <v>2026</v>
      </c>
      <c r="G474" s="5" t="s">
        <v>2027</v>
      </c>
      <c r="H474" t="s">
        <v>47</v>
      </c>
      <c r="I474" s="3">
        <v>36526</v>
      </c>
      <c r="J474" s="5" t="s">
        <v>50</v>
      </c>
      <c r="K474" t="s">
        <v>47</v>
      </c>
      <c r="L474" s="5" t="s">
        <v>60</v>
      </c>
      <c r="M474" t="s">
        <v>47</v>
      </c>
      <c r="N474" t="s">
        <v>47</v>
      </c>
      <c r="O474" t="s">
        <v>47</v>
      </c>
      <c r="P474" s="3">
        <v>36526</v>
      </c>
      <c r="Q474" s="5" t="s">
        <v>50</v>
      </c>
      <c r="R474" t="s">
        <v>47</v>
      </c>
      <c r="S474" t="s">
        <v>47</v>
      </c>
      <c r="T474" t="s">
        <v>47</v>
      </c>
      <c r="U474" t="s">
        <v>47</v>
      </c>
      <c r="V474" t="s">
        <v>47</v>
      </c>
      <c r="W474" s="3">
        <v>36526</v>
      </c>
      <c r="X474" s="5" t="s">
        <v>50</v>
      </c>
      <c r="Y474" t="s">
        <v>47</v>
      </c>
      <c r="Z474" s="3">
        <v>36526</v>
      </c>
      <c r="AA474" s="5" t="s">
        <v>50</v>
      </c>
      <c r="AB474" t="s">
        <v>47</v>
      </c>
      <c r="AC474" s="3">
        <v>36526</v>
      </c>
      <c r="AD474" s="5" t="s">
        <v>50</v>
      </c>
      <c r="AE474" t="s">
        <v>47</v>
      </c>
      <c r="AF474" t="s">
        <v>47</v>
      </c>
      <c r="AG474" t="s">
        <v>47</v>
      </c>
      <c r="AH474" t="s">
        <v>47</v>
      </c>
      <c r="AI474" t="s">
        <v>47</v>
      </c>
      <c r="AJ474" t="s">
        <v>47</v>
      </c>
      <c r="AK474" t="s">
        <v>47</v>
      </c>
      <c r="AL474" t="s">
        <v>47</v>
      </c>
      <c r="AM474" t="s">
        <v>47</v>
      </c>
      <c r="AN474" t="s">
        <v>47</v>
      </c>
      <c r="AO474" s="5" t="s">
        <v>51</v>
      </c>
      <c r="AP474" s="4" t="s">
        <v>61</v>
      </c>
      <c r="AQ474" s="4" t="s">
        <v>2028</v>
      </c>
      <c r="AR474" s="4" t="s">
        <v>54</v>
      </c>
      <c r="AS474" s="5">
        <v>2029169</v>
      </c>
      <c r="AT474" t="s">
        <v>47</v>
      </c>
    </row>
    <row r="475" spans="1:46" ht="26" x14ac:dyDescent="0.3">
      <c r="A475" s="4" t="s">
        <v>2029</v>
      </c>
      <c r="B475" t="s">
        <v>47</v>
      </c>
      <c r="C475" s="4" t="s">
        <v>1240</v>
      </c>
      <c r="D475" s="4" t="s">
        <v>1241</v>
      </c>
      <c r="E475" s="4" t="s">
        <v>49</v>
      </c>
      <c r="F475" s="5" t="s">
        <v>2030</v>
      </c>
      <c r="G475" s="5" t="s">
        <v>2031</v>
      </c>
      <c r="H475" t="s">
        <v>47</v>
      </c>
      <c r="I475" s="3">
        <v>35462</v>
      </c>
      <c r="J475" s="5" t="s">
        <v>50</v>
      </c>
      <c r="K475" t="s">
        <v>47</v>
      </c>
      <c r="L475" s="5" t="s">
        <v>60</v>
      </c>
      <c r="M475" s="3">
        <v>35462</v>
      </c>
      <c r="N475" s="5" t="s">
        <v>50</v>
      </c>
      <c r="O475" t="s">
        <v>47</v>
      </c>
      <c r="P475" s="3">
        <v>35462</v>
      </c>
      <c r="Q475" s="5" t="s">
        <v>50</v>
      </c>
      <c r="R475" t="s">
        <v>47</v>
      </c>
      <c r="S475" t="s">
        <v>47</v>
      </c>
      <c r="T475" t="s">
        <v>47</v>
      </c>
      <c r="U475" t="s">
        <v>47</v>
      </c>
      <c r="V475" t="s">
        <v>47</v>
      </c>
      <c r="W475" s="3">
        <v>35462</v>
      </c>
      <c r="X475" s="5" t="s">
        <v>50</v>
      </c>
      <c r="Y475" t="s">
        <v>47</v>
      </c>
      <c r="Z475" s="3">
        <v>35462</v>
      </c>
      <c r="AA475" s="5" t="s">
        <v>50</v>
      </c>
      <c r="AB475" t="s">
        <v>47</v>
      </c>
      <c r="AC475" s="3">
        <v>35462</v>
      </c>
      <c r="AD475" s="5" t="s">
        <v>50</v>
      </c>
      <c r="AE475" t="s">
        <v>47</v>
      </c>
      <c r="AF475" t="s">
        <v>47</v>
      </c>
      <c r="AG475" t="s">
        <v>47</v>
      </c>
      <c r="AH475" t="s">
        <v>47</v>
      </c>
      <c r="AI475" t="s">
        <v>47</v>
      </c>
      <c r="AJ475" t="s">
        <v>47</v>
      </c>
      <c r="AK475" t="s">
        <v>47</v>
      </c>
      <c r="AL475" t="s">
        <v>47</v>
      </c>
      <c r="AM475" t="s">
        <v>47</v>
      </c>
      <c r="AN475" t="s">
        <v>47</v>
      </c>
      <c r="AO475" s="5" t="s">
        <v>60</v>
      </c>
      <c r="AP475" s="4" t="s">
        <v>61</v>
      </c>
      <c r="AQ475" s="4" t="s">
        <v>53</v>
      </c>
      <c r="AR475" s="4" t="s">
        <v>737</v>
      </c>
      <c r="AS475" s="5">
        <v>34722</v>
      </c>
      <c r="AT475" t="s">
        <v>47</v>
      </c>
    </row>
    <row r="476" spans="1:46" ht="91" x14ac:dyDescent="0.3">
      <c r="A476" s="4" t="s">
        <v>2032</v>
      </c>
      <c r="B476" s="4" t="s">
        <v>2033</v>
      </c>
      <c r="C476" s="4" t="s">
        <v>1240</v>
      </c>
      <c r="D476" s="4" t="s">
        <v>1241</v>
      </c>
      <c r="E476" s="4" t="s">
        <v>49</v>
      </c>
      <c r="F476" s="5" t="s">
        <v>2034</v>
      </c>
      <c r="G476" s="5" t="s">
        <v>2035</v>
      </c>
      <c r="H476" t="s">
        <v>47</v>
      </c>
      <c r="I476" s="3">
        <v>32143</v>
      </c>
      <c r="J476" s="5" t="s">
        <v>50</v>
      </c>
      <c r="K476" t="s">
        <v>47</v>
      </c>
      <c r="L476" s="5" t="s">
        <v>60</v>
      </c>
      <c r="M476" s="3">
        <v>33604</v>
      </c>
      <c r="N476" s="5" t="s">
        <v>50</v>
      </c>
      <c r="O476" t="s">
        <v>47</v>
      </c>
      <c r="P476" s="3">
        <v>32143</v>
      </c>
      <c r="Q476" s="5" t="s">
        <v>50</v>
      </c>
      <c r="R476" t="s">
        <v>47</v>
      </c>
      <c r="S476" t="s">
        <v>47</v>
      </c>
      <c r="T476" t="s">
        <v>47</v>
      </c>
      <c r="U476" t="s">
        <v>47</v>
      </c>
      <c r="V476" t="s">
        <v>47</v>
      </c>
      <c r="W476" s="3">
        <v>32143</v>
      </c>
      <c r="X476" s="5" t="s">
        <v>50</v>
      </c>
      <c r="Y476" t="s">
        <v>47</v>
      </c>
      <c r="Z476" s="3">
        <v>32143</v>
      </c>
      <c r="AA476" s="5" t="s">
        <v>50</v>
      </c>
      <c r="AB476" t="s">
        <v>47</v>
      </c>
      <c r="AC476" s="3">
        <v>32143</v>
      </c>
      <c r="AD476" s="5" t="s">
        <v>50</v>
      </c>
      <c r="AE476" t="s">
        <v>47</v>
      </c>
      <c r="AF476" t="s">
        <v>47</v>
      </c>
      <c r="AG476" t="s">
        <v>47</v>
      </c>
      <c r="AH476" t="s">
        <v>47</v>
      </c>
      <c r="AI476" t="s">
        <v>47</v>
      </c>
      <c r="AJ476" t="s">
        <v>47</v>
      </c>
      <c r="AK476" t="s">
        <v>47</v>
      </c>
      <c r="AL476" t="s">
        <v>47</v>
      </c>
      <c r="AM476" t="s">
        <v>47</v>
      </c>
      <c r="AN476" t="s">
        <v>47</v>
      </c>
      <c r="AO476" s="5" t="s">
        <v>60</v>
      </c>
      <c r="AP476" s="4" t="s">
        <v>61</v>
      </c>
      <c r="AQ476" s="4" t="s">
        <v>53</v>
      </c>
      <c r="AR476" s="4" t="s">
        <v>2036</v>
      </c>
      <c r="AS476" s="5">
        <v>42045</v>
      </c>
      <c r="AT476" t="s">
        <v>47</v>
      </c>
    </row>
    <row r="477" spans="1:46" ht="78" x14ac:dyDescent="0.3">
      <c r="A477" s="4" t="s">
        <v>2037</v>
      </c>
      <c r="B477" t="s">
        <v>47</v>
      </c>
      <c r="C477" s="4" t="s">
        <v>2038</v>
      </c>
      <c r="D477" s="4" t="s">
        <v>2039</v>
      </c>
      <c r="E477" s="4" t="s">
        <v>2040</v>
      </c>
      <c r="F477" t="s">
        <v>47</v>
      </c>
      <c r="G477" s="5" t="s">
        <v>2041</v>
      </c>
      <c r="H477" t="s">
        <v>47</v>
      </c>
      <c r="I477" s="3">
        <v>43101</v>
      </c>
      <c r="J477" s="5" t="s">
        <v>50</v>
      </c>
      <c r="K477" s="5" t="s">
        <v>2042</v>
      </c>
      <c r="L477" s="5" t="s">
        <v>60</v>
      </c>
      <c r="M477" t="s">
        <v>47</v>
      </c>
      <c r="N477" t="s">
        <v>47</v>
      </c>
      <c r="O477" t="s">
        <v>47</v>
      </c>
      <c r="P477" s="3">
        <v>43101</v>
      </c>
      <c r="Q477" s="5" t="s">
        <v>50</v>
      </c>
      <c r="R477" s="5" t="s">
        <v>2042</v>
      </c>
      <c r="S477" t="s">
        <v>47</v>
      </c>
      <c r="T477" t="s">
        <v>47</v>
      </c>
      <c r="U477" t="s">
        <v>47</v>
      </c>
      <c r="V477" t="s">
        <v>47</v>
      </c>
      <c r="W477" s="3">
        <v>43101</v>
      </c>
      <c r="X477" s="5" t="s">
        <v>50</v>
      </c>
      <c r="Y477" s="5" t="s">
        <v>2042</v>
      </c>
      <c r="Z477" s="3">
        <v>43101</v>
      </c>
      <c r="AA477" s="5" t="s">
        <v>50</v>
      </c>
      <c r="AB477" s="5" t="s">
        <v>2042</v>
      </c>
      <c r="AC477" s="3">
        <v>43101</v>
      </c>
      <c r="AD477" s="5" t="s">
        <v>50</v>
      </c>
      <c r="AE477" s="5" t="s">
        <v>2042</v>
      </c>
      <c r="AF477" t="s">
        <v>47</v>
      </c>
      <c r="AG477" t="s">
        <v>47</v>
      </c>
      <c r="AH477" t="s">
        <v>47</v>
      </c>
      <c r="AI477" t="s">
        <v>47</v>
      </c>
      <c r="AJ477" t="s">
        <v>47</v>
      </c>
      <c r="AK477" t="s">
        <v>47</v>
      </c>
      <c r="AL477" t="s">
        <v>47</v>
      </c>
      <c r="AM477" t="s">
        <v>47</v>
      </c>
      <c r="AN477" t="s">
        <v>47</v>
      </c>
      <c r="AO477" s="5" t="s">
        <v>60</v>
      </c>
      <c r="AP477" s="4" t="s">
        <v>61</v>
      </c>
      <c r="AQ477" s="4" t="s">
        <v>53</v>
      </c>
      <c r="AR477" s="4" t="s">
        <v>577</v>
      </c>
      <c r="AS477" s="5">
        <v>5340593</v>
      </c>
      <c r="AT477" t="s">
        <v>47</v>
      </c>
    </row>
    <row r="478" spans="1:46" ht="78" x14ac:dyDescent="0.3">
      <c r="A478" s="4" t="s">
        <v>2043</v>
      </c>
      <c r="B478" t="s">
        <v>47</v>
      </c>
      <c r="C478" s="4" t="s">
        <v>1240</v>
      </c>
      <c r="D478" s="4" t="s">
        <v>1241</v>
      </c>
      <c r="E478" s="4" t="s">
        <v>49</v>
      </c>
      <c r="F478" s="5" t="s">
        <v>2044</v>
      </c>
      <c r="G478" s="5" t="s">
        <v>2045</v>
      </c>
      <c r="H478" t="s">
        <v>47</v>
      </c>
      <c r="I478" s="3">
        <v>36069</v>
      </c>
      <c r="J478" s="5" t="s">
        <v>50</v>
      </c>
      <c r="K478" t="s">
        <v>47</v>
      </c>
      <c r="L478" s="5" t="s">
        <v>51</v>
      </c>
      <c r="M478" s="3">
        <v>36069</v>
      </c>
      <c r="N478" s="5" t="s">
        <v>50</v>
      </c>
      <c r="O478" t="s">
        <v>47</v>
      </c>
      <c r="P478" s="3">
        <v>36069</v>
      </c>
      <c r="Q478" s="5" t="s">
        <v>50</v>
      </c>
      <c r="R478" t="s">
        <v>47</v>
      </c>
      <c r="S478" t="s">
        <v>47</v>
      </c>
      <c r="T478" t="s">
        <v>47</v>
      </c>
      <c r="U478" t="s">
        <v>47</v>
      </c>
      <c r="V478" t="s">
        <v>47</v>
      </c>
      <c r="W478" s="3">
        <v>36069</v>
      </c>
      <c r="X478" s="5" t="s">
        <v>50</v>
      </c>
      <c r="Y478" t="s">
        <v>47</v>
      </c>
      <c r="Z478" s="3">
        <v>36069</v>
      </c>
      <c r="AA478" s="5" t="s">
        <v>50</v>
      </c>
      <c r="AB478" t="s">
        <v>47</v>
      </c>
      <c r="AC478" s="3">
        <v>38018</v>
      </c>
      <c r="AD478" s="5" t="s">
        <v>50</v>
      </c>
      <c r="AE478" t="s">
        <v>47</v>
      </c>
      <c r="AF478" t="s">
        <v>47</v>
      </c>
      <c r="AG478" t="s">
        <v>47</v>
      </c>
      <c r="AH478" t="s">
        <v>47</v>
      </c>
      <c r="AI478" t="s">
        <v>47</v>
      </c>
      <c r="AJ478" t="s">
        <v>47</v>
      </c>
      <c r="AK478" t="s">
        <v>47</v>
      </c>
      <c r="AL478" t="s">
        <v>47</v>
      </c>
      <c r="AM478" t="s">
        <v>47</v>
      </c>
      <c r="AN478" t="s">
        <v>47</v>
      </c>
      <c r="AO478" s="5" t="s">
        <v>51</v>
      </c>
      <c r="AP478" s="4" t="s">
        <v>85</v>
      </c>
      <c r="AQ478" s="4" t="s">
        <v>53</v>
      </c>
      <c r="AR478" s="4" t="s">
        <v>577</v>
      </c>
      <c r="AS478" s="5">
        <v>30495</v>
      </c>
      <c r="AT478" t="s">
        <v>47</v>
      </c>
    </row>
    <row r="479" spans="1:46" ht="91" x14ac:dyDescent="0.3">
      <c r="A479" s="4" t="s">
        <v>2046</v>
      </c>
      <c r="B479" t="s">
        <v>47</v>
      </c>
      <c r="C479" s="4" t="s">
        <v>2047</v>
      </c>
      <c r="D479" s="4" t="s">
        <v>967</v>
      </c>
      <c r="E479" s="4" t="s">
        <v>100</v>
      </c>
      <c r="F479" t="s">
        <v>47</v>
      </c>
      <c r="G479" t="s">
        <v>47</v>
      </c>
      <c r="H479" t="s">
        <v>47</v>
      </c>
      <c r="I479" s="3">
        <v>36161</v>
      </c>
      <c r="J479" s="3">
        <v>39904</v>
      </c>
      <c r="K479" t="s">
        <v>47</v>
      </c>
      <c r="L479" s="5" t="s">
        <v>60</v>
      </c>
      <c r="M479" s="3">
        <v>36161</v>
      </c>
      <c r="N479" s="3">
        <v>39904</v>
      </c>
      <c r="O479" t="s">
        <v>47</v>
      </c>
      <c r="P479" s="3">
        <v>38353</v>
      </c>
      <c r="Q479" s="3">
        <v>39904</v>
      </c>
      <c r="R479" t="s">
        <v>47</v>
      </c>
      <c r="S479" t="s">
        <v>47</v>
      </c>
      <c r="T479" t="s">
        <v>47</v>
      </c>
      <c r="U479" t="s">
        <v>47</v>
      </c>
      <c r="V479" t="s">
        <v>47</v>
      </c>
      <c r="W479" s="3">
        <v>33604</v>
      </c>
      <c r="X479" s="3">
        <v>39904</v>
      </c>
      <c r="Y479" t="s">
        <v>47</v>
      </c>
      <c r="Z479" s="3">
        <v>33604</v>
      </c>
      <c r="AA479" s="3">
        <v>39904</v>
      </c>
      <c r="AB479" t="s">
        <v>47</v>
      </c>
      <c r="AC479" s="3">
        <v>36161</v>
      </c>
      <c r="AD479" s="3">
        <v>39904</v>
      </c>
      <c r="AE479" t="s">
        <v>47</v>
      </c>
      <c r="AF479" t="s">
        <v>47</v>
      </c>
      <c r="AG479" t="s">
        <v>47</v>
      </c>
      <c r="AH479" t="s">
        <v>47</v>
      </c>
      <c r="AI479" t="s">
        <v>47</v>
      </c>
      <c r="AJ479" t="s">
        <v>47</v>
      </c>
      <c r="AK479" t="s">
        <v>47</v>
      </c>
      <c r="AL479" t="s">
        <v>47</v>
      </c>
      <c r="AM479" t="s">
        <v>47</v>
      </c>
      <c r="AN479" t="s">
        <v>47</v>
      </c>
      <c r="AO479" s="5" t="s">
        <v>60</v>
      </c>
      <c r="AP479" s="4" t="s">
        <v>61</v>
      </c>
      <c r="AQ479" s="4" t="s">
        <v>53</v>
      </c>
      <c r="AR479" s="4" t="s">
        <v>2048</v>
      </c>
      <c r="AS479" s="5">
        <v>39106</v>
      </c>
      <c r="AT479" t="s">
        <v>47</v>
      </c>
    </row>
    <row r="480" spans="1:46" ht="26" x14ac:dyDescent="0.3">
      <c r="A480" s="4" t="s">
        <v>2049</v>
      </c>
      <c r="B480" t="s">
        <v>47</v>
      </c>
      <c r="C480" s="4" t="s">
        <v>2050</v>
      </c>
      <c r="D480" s="4" t="s">
        <v>2051</v>
      </c>
      <c r="E480" s="4" t="s">
        <v>2052</v>
      </c>
      <c r="F480" s="5" t="s">
        <v>2053</v>
      </c>
      <c r="G480" t="s">
        <v>47</v>
      </c>
      <c r="H480" t="s">
        <v>47</v>
      </c>
      <c r="I480" s="3">
        <v>41122</v>
      </c>
      <c r="J480" s="5" t="s">
        <v>50</v>
      </c>
      <c r="K480" t="s">
        <v>47</v>
      </c>
      <c r="L480" s="5" t="s">
        <v>60</v>
      </c>
      <c r="M480" s="3">
        <v>41122</v>
      </c>
      <c r="N480" s="5" t="s">
        <v>50</v>
      </c>
      <c r="O480" t="s">
        <v>47</v>
      </c>
      <c r="P480" s="3">
        <v>41122</v>
      </c>
      <c r="Q480" s="5" t="s">
        <v>50</v>
      </c>
      <c r="R480" t="s">
        <v>47</v>
      </c>
      <c r="S480" t="s">
        <v>47</v>
      </c>
      <c r="T480" t="s">
        <v>47</v>
      </c>
      <c r="U480" t="s">
        <v>47</v>
      </c>
      <c r="V480" t="s">
        <v>47</v>
      </c>
      <c r="W480" s="3">
        <v>41122</v>
      </c>
      <c r="X480" s="5" t="s">
        <v>50</v>
      </c>
      <c r="Y480" t="s">
        <v>47</v>
      </c>
      <c r="Z480" s="3">
        <v>41122</v>
      </c>
      <c r="AA480" s="5" t="s">
        <v>50</v>
      </c>
      <c r="AB480" t="s">
        <v>47</v>
      </c>
      <c r="AC480" s="3">
        <v>41122</v>
      </c>
      <c r="AD480" s="5" t="s">
        <v>50</v>
      </c>
      <c r="AE480" t="s">
        <v>47</v>
      </c>
      <c r="AF480" t="s">
        <v>47</v>
      </c>
      <c r="AG480" t="s">
        <v>47</v>
      </c>
      <c r="AH480" t="s">
        <v>47</v>
      </c>
      <c r="AI480" t="s">
        <v>47</v>
      </c>
      <c r="AJ480" t="s">
        <v>47</v>
      </c>
      <c r="AK480" t="s">
        <v>47</v>
      </c>
      <c r="AL480" t="s">
        <v>47</v>
      </c>
      <c r="AM480" t="s">
        <v>47</v>
      </c>
      <c r="AN480" t="s">
        <v>47</v>
      </c>
      <c r="AO480" s="5" t="s">
        <v>60</v>
      </c>
      <c r="AP480" s="4" t="s">
        <v>61</v>
      </c>
      <c r="AQ480" s="4" t="s">
        <v>53</v>
      </c>
      <c r="AR480" s="4" t="s">
        <v>737</v>
      </c>
      <c r="AS480" s="5">
        <v>1306357</v>
      </c>
      <c r="AT480" t="s">
        <v>47</v>
      </c>
    </row>
    <row r="481" spans="1:46" ht="26" x14ac:dyDescent="0.3">
      <c r="A481" s="4" t="s">
        <v>2054</v>
      </c>
      <c r="B481" t="s">
        <v>47</v>
      </c>
      <c r="C481" s="4" t="s">
        <v>2055</v>
      </c>
      <c r="D481" s="4" t="s">
        <v>2056</v>
      </c>
      <c r="E481" s="4" t="s">
        <v>2057</v>
      </c>
      <c r="F481" s="5" t="s">
        <v>2058</v>
      </c>
      <c r="G481" s="5" t="s">
        <v>2059</v>
      </c>
      <c r="H481" t="s">
        <v>47</v>
      </c>
      <c r="I481" s="3">
        <v>37561</v>
      </c>
      <c r="J481" s="3">
        <v>41883</v>
      </c>
      <c r="K481" t="s">
        <v>47</v>
      </c>
      <c r="L481" s="5" t="s">
        <v>60</v>
      </c>
      <c r="M481" t="s">
        <v>47</v>
      </c>
      <c r="N481" t="s">
        <v>47</v>
      </c>
      <c r="O481" t="s">
        <v>47</v>
      </c>
      <c r="P481" s="3">
        <v>37561</v>
      </c>
      <c r="Q481" s="3">
        <v>41883</v>
      </c>
      <c r="R481" t="s">
        <v>47</v>
      </c>
      <c r="S481" t="s">
        <v>47</v>
      </c>
      <c r="T481" t="s">
        <v>47</v>
      </c>
      <c r="U481" t="s">
        <v>47</v>
      </c>
      <c r="V481" t="s">
        <v>47</v>
      </c>
      <c r="W481" s="3">
        <v>37561</v>
      </c>
      <c r="X481" s="3">
        <v>41883</v>
      </c>
      <c r="Y481" t="s">
        <v>47</v>
      </c>
      <c r="Z481" s="3">
        <v>37561</v>
      </c>
      <c r="AA481" s="3">
        <v>41883</v>
      </c>
      <c r="AB481" t="s">
        <v>47</v>
      </c>
      <c r="AC481" s="3">
        <v>37561</v>
      </c>
      <c r="AD481" s="3">
        <v>41883</v>
      </c>
      <c r="AE481" t="s">
        <v>47</v>
      </c>
      <c r="AF481" t="s">
        <v>47</v>
      </c>
      <c r="AG481" t="s">
        <v>47</v>
      </c>
      <c r="AH481" t="s">
        <v>47</v>
      </c>
      <c r="AI481" t="s">
        <v>47</v>
      </c>
      <c r="AJ481" t="s">
        <v>47</v>
      </c>
      <c r="AK481" t="s">
        <v>47</v>
      </c>
      <c r="AL481" t="s">
        <v>47</v>
      </c>
      <c r="AM481" t="s">
        <v>47</v>
      </c>
      <c r="AN481" t="s">
        <v>47</v>
      </c>
      <c r="AO481" s="5" t="s">
        <v>60</v>
      </c>
      <c r="AP481" s="4" t="s">
        <v>61</v>
      </c>
      <c r="AQ481" s="4" t="s">
        <v>53</v>
      </c>
      <c r="AR481" s="4" t="s">
        <v>54</v>
      </c>
      <c r="AS481" s="5">
        <v>736343</v>
      </c>
      <c r="AT481" t="s">
        <v>47</v>
      </c>
    </row>
    <row r="482" spans="1:46" ht="13" x14ac:dyDescent="0.3">
      <c r="A482" s="4" t="s">
        <v>2054</v>
      </c>
      <c r="B482" t="s">
        <v>47</v>
      </c>
      <c r="C482" s="4" t="s">
        <v>115</v>
      </c>
      <c r="D482" s="4" t="s">
        <v>2056</v>
      </c>
      <c r="E482" s="4" t="s">
        <v>66</v>
      </c>
      <c r="F482" s="5" t="s">
        <v>2058</v>
      </c>
      <c r="G482" s="5" t="s">
        <v>2059</v>
      </c>
      <c r="H482" t="s">
        <v>47</v>
      </c>
      <c r="I482" s="3">
        <v>42005</v>
      </c>
      <c r="J482" s="5" t="s">
        <v>50</v>
      </c>
      <c r="K482" t="s">
        <v>47</v>
      </c>
      <c r="L482" s="5" t="s">
        <v>60</v>
      </c>
      <c r="M482" s="3">
        <v>42005</v>
      </c>
      <c r="N482" s="5" t="s">
        <v>50</v>
      </c>
      <c r="O482" t="s">
        <v>47</v>
      </c>
      <c r="P482" s="3">
        <v>42005</v>
      </c>
      <c r="Q482" s="5" t="s">
        <v>50</v>
      </c>
      <c r="R482" t="s">
        <v>47</v>
      </c>
      <c r="S482" t="s">
        <v>47</v>
      </c>
      <c r="T482" t="s">
        <v>47</v>
      </c>
      <c r="U482" t="s">
        <v>47</v>
      </c>
      <c r="V482" s="5">
        <v>365</v>
      </c>
      <c r="W482" s="3">
        <v>42005</v>
      </c>
      <c r="X482" s="5" t="s">
        <v>50</v>
      </c>
      <c r="Y482" t="s">
        <v>47</v>
      </c>
      <c r="Z482" s="3">
        <v>42005</v>
      </c>
      <c r="AA482" s="5" t="s">
        <v>50</v>
      </c>
      <c r="AB482" t="s">
        <v>47</v>
      </c>
      <c r="AC482" s="3">
        <v>42005</v>
      </c>
      <c r="AD482" s="5" t="s">
        <v>50</v>
      </c>
      <c r="AE482" t="s">
        <v>47</v>
      </c>
      <c r="AF482" t="s">
        <v>47</v>
      </c>
      <c r="AG482" t="s">
        <v>47</v>
      </c>
      <c r="AH482" t="s">
        <v>47</v>
      </c>
      <c r="AI482" t="s">
        <v>47</v>
      </c>
      <c r="AJ482" t="s">
        <v>47</v>
      </c>
      <c r="AK482" t="s">
        <v>47</v>
      </c>
      <c r="AL482" t="s">
        <v>47</v>
      </c>
      <c r="AM482" t="s">
        <v>47</v>
      </c>
      <c r="AN482" t="s">
        <v>47</v>
      </c>
      <c r="AO482" s="5" t="s">
        <v>60</v>
      </c>
      <c r="AP482" s="4" t="s">
        <v>61</v>
      </c>
      <c r="AQ482" s="4" t="s">
        <v>53</v>
      </c>
      <c r="AR482" s="4" t="s">
        <v>54</v>
      </c>
      <c r="AS482" s="5">
        <v>2068917</v>
      </c>
      <c r="AT482" t="s">
        <v>47</v>
      </c>
    </row>
    <row r="483" spans="1:46" ht="78" x14ac:dyDescent="0.3">
      <c r="A483" s="4" t="s">
        <v>2060</v>
      </c>
      <c r="B483" t="s">
        <v>47</v>
      </c>
      <c r="C483" s="4" t="s">
        <v>122</v>
      </c>
      <c r="D483" s="4" t="s">
        <v>874</v>
      </c>
      <c r="E483" s="4" t="s">
        <v>123</v>
      </c>
      <c r="F483" s="5" t="s">
        <v>2061</v>
      </c>
      <c r="G483" t="s">
        <v>47</v>
      </c>
      <c r="H483" t="s">
        <v>47</v>
      </c>
      <c r="I483" s="3">
        <v>43221</v>
      </c>
      <c r="J483" s="5" t="s">
        <v>50</v>
      </c>
      <c r="K483" t="s">
        <v>47</v>
      </c>
      <c r="L483" s="5" t="s">
        <v>60</v>
      </c>
      <c r="M483" s="3">
        <v>43221</v>
      </c>
      <c r="N483" s="5" t="s">
        <v>50</v>
      </c>
      <c r="O483" t="s">
        <v>47</v>
      </c>
      <c r="P483" s="3">
        <v>43221</v>
      </c>
      <c r="Q483" s="5" t="s">
        <v>50</v>
      </c>
      <c r="R483" t="s">
        <v>47</v>
      </c>
      <c r="S483" t="s">
        <v>47</v>
      </c>
      <c r="T483" t="s">
        <v>47</v>
      </c>
      <c r="U483" t="s">
        <v>47</v>
      </c>
      <c r="V483" s="5">
        <v>365</v>
      </c>
      <c r="W483" s="3">
        <v>43221</v>
      </c>
      <c r="X483" s="5" t="s">
        <v>50</v>
      </c>
      <c r="Y483" t="s">
        <v>47</v>
      </c>
      <c r="Z483" s="3">
        <v>43221</v>
      </c>
      <c r="AA483" s="5" t="s">
        <v>50</v>
      </c>
      <c r="AB483" t="s">
        <v>47</v>
      </c>
      <c r="AC483" s="3">
        <v>43221</v>
      </c>
      <c r="AD483" s="5" t="s">
        <v>50</v>
      </c>
      <c r="AE483" t="s">
        <v>47</v>
      </c>
      <c r="AF483" t="s">
        <v>47</v>
      </c>
      <c r="AG483" t="s">
        <v>47</v>
      </c>
      <c r="AH483" t="s">
        <v>47</v>
      </c>
      <c r="AI483" t="s">
        <v>47</v>
      </c>
      <c r="AJ483" t="s">
        <v>47</v>
      </c>
      <c r="AK483" t="s">
        <v>47</v>
      </c>
      <c r="AL483" t="s">
        <v>47</v>
      </c>
      <c r="AM483" t="s">
        <v>47</v>
      </c>
      <c r="AN483" t="s">
        <v>47</v>
      </c>
      <c r="AO483" s="5" t="s">
        <v>60</v>
      </c>
      <c r="AP483" s="4" t="s">
        <v>61</v>
      </c>
      <c r="AQ483" s="4" t="s">
        <v>53</v>
      </c>
      <c r="AR483" s="4" t="s">
        <v>577</v>
      </c>
      <c r="AS483" s="5">
        <v>6623287</v>
      </c>
      <c r="AT483" t="s">
        <v>47</v>
      </c>
    </row>
    <row r="484" spans="1:46" ht="78" x14ac:dyDescent="0.3">
      <c r="A484" s="4" t="s">
        <v>2062</v>
      </c>
      <c r="B484" t="s">
        <v>47</v>
      </c>
      <c r="C484" s="4" t="s">
        <v>2063</v>
      </c>
      <c r="D484" s="4" t="s">
        <v>1352</v>
      </c>
      <c r="E484" s="4" t="s">
        <v>58</v>
      </c>
      <c r="F484" s="5" t="s">
        <v>2064</v>
      </c>
      <c r="G484" t="s">
        <v>47</v>
      </c>
      <c r="H484" t="s">
        <v>47</v>
      </c>
      <c r="I484" s="3">
        <v>43101</v>
      </c>
      <c r="J484" s="5" t="s">
        <v>50</v>
      </c>
      <c r="K484" t="s">
        <v>47</v>
      </c>
      <c r="L484" s="5" t="s">
        <v>60</v>
      </c>
      <c r="M484" s="3">
        <v>43101</v>
      </c>
      <c r="N484" s="5" t="s">
        <v>50</v>
      </c>
      <c r="O484" t="s">
        <v>47</v>
      </c>
      <c r="P484" s="3">
        <v>43101</v>
      </c>
      <c r="Q484" s="5" t="s">
        <v>50</v>
      </c>
      <c r="R484" t="s">
        <v>47</v>
      </c>
      <c r="S484" t="s">
        <v>47</v>
      </c>
      <c r="T484" t="s">
        <v>47</v>
      </c>
      <c r="U484" t="s">
        <v>47</v>
      </c>
      <c r="V484" t="s">
        <v>47</v>
      </c>
      <c r="W484" s="3">
        <v>43101</v>
      </c>
      <c r="X484" s="5" t="s">
        <v>50</v>
      </c>
      <c r="Y484" t="s">
        <v>47</v>
      </c>
      <c r="Z484" s="3">
        <v>43101</v>
      </c>
      <c r="AA484" s="5" t="s">
        <v>50</v>
      </c>
      <c r="AB484" t="s">
        <v>47</v>
      </c>
      <c r="AC484" s="3">
        <v>43101</v>
      </c>
      <c r="AD484" s="5" t="s">
        <v>50</v>
      </c>
      <c r="AE484" t="s">
        <v>47</v>
      </c>
      <c r="AF484" t="s">
        <v>47</v>
      </c>
      <c r="AG484" t="s">
        <v>47</v>
      </c>
      <c r="AH484" t="s">
        <v>47</v>
      </c>
      <c r="AI484" t="s">
        <v>47</v>
      </c>
      <c r="AJ484" t="s">
        <v>47</v>
      </c>
      <c r="AK484" t="s">
        <v>47</v>
      </c>
      <c r="AL484" t="s">
        <v>47</v>
      </c>
      <c r="AM484" t="s">
        <v>47</v>
      </c>
      <c r="AN484" t="s">
        <v>47</v>
      </c>
      <c r="AO484" s="5" t="s">
        <v>60</v>
      </c>
      <c r="AP484" s="4" t="s">
        <v>61</v>
      </c>
      <c r="AQ484" s="4" t="s">
        <v>53</v>
      </c>
      <c r="AR484" s="4" t="s">
        <v>577</v>
      </c>
      <c r="AS484" s="5">
        <v>2038494</v>
      </c>
      <c r="AT484" t="s">
        <v>47</v>
      </c>
    </row>
    <row r="485" spans="1:46" ht="13" x14ac:dyDescent="0.3">
      <c r="A485" s="4" t="s">
        <v>2065</v>
      </c>
      <c r="B485" t="s">
        <v>47</v>
      </c>
      <c r="C485" s="4" t="s">
        <v>601</v>
      </c>
      <c r="D485" s="4" t="s">
        <v>602</v>
      </c>
      <c r="E485" s="4" t="s">
        <v>603</v>
      </c>
      <c r="F485" s="5" t="s">
        <v>2066</v>
      </c>
      <c r="G485" s="5" t="s">
        <v>2067</v>
      </c>
      <c r="H485" t="s">
        <v>47</v>
      </c>
      <c r="I485" s="3">
        <v>41061</v>
      </c>
      <c r="J485" s="3">
        <v>44166</v>
      </c>
      <c r="K485" t="s">
        <v>47</v>
      </c>
      <c r="L485" s="5" t="s">
        <v>60</v>
      </c>
      <c r="M485" s="3">
        <v>41061</v>
      </c>
      <c r="N485" s="3">
        <v>43435</v>
      </c>
      <c r="O485" t="s">
        <v>47</v>
      </c>
      <c r="P485" s="3">
        <v>41061</v>
      </c>
      <c r="Q485" s="3">
        <v>44166</v>
      </c>
      <c r="R485" t="s">
        <v>47</v>
      </c>
      <c r="S485" t="s">
        <v>47</v>
      </c>
      <c r="T485" t="s">
        <v>47</v>
      </c>
      <c r="U485" t="s">
        <v>47</v>
      </c>
      <c r="V485" t="s">
        <v>47</v>
      </c>
      <c r="W485" s="3">
        <v>41061</v>
      </c>
      <c r="X485" s="3">
        <v>44166</v>
      </c>
      <c r="Y485" t="s">
        <v>47</v>
      </c>
      <c r="Z485" s="3">
        <v>41061</v>
      </c>
      <c r="AA485" s="3">
        <v>44166</v>
      </c>
      <c r="AB485" t="s">
        <v>47</v>
      </c>
      <c r="AC485" s="3">
        <v>41061</v>
      </c>
      <c r="AD485" s="3">
        <v>44166</v>
      </c>
      <c r="AE485" t="s">
        <v>47</v>
      </c>
      <c r="AF485" t="s">
        <v>47</v>
      </c>
      <c r="AG485" t="s">
        <v>47</v>
      </c>
      <c r="AH485" t="s">
        <v>47</v>
      </c>
      <c r="AI485" t="s">
        <v>47</v>
      </c>
      <c r="AJ485" t="s">
        <v>47</v>
      </c>
      <c r="AK485" t="s">
        <v>47</v>
      </c>
      <c r="AL485" t="s">
        <v>47</v>
      </c>
      <c r="AM485" t="s">
        <v>47</v>
      </c>
      <c r="AN485" t="s">
        <v>47</v>
      </c>
      <c r="AO485" s="5" t="s">
        <v>60</v>
      </c>
      <c r="AP485" s="4" t="s">
        <v>61</v>
      </c>
      <c r="AQ485" s="4" t="s">
        <v>119</v>
      </c>
      <c r="AR485" s="4" t="s">
        <v>54</v>
      </c>
      <c r="AS485" s="5">
        <v>2032086</v>
      </c>
      <c r="AT485" t="s">
        <v>47</v>
      </c>
    </row>
    <row r="486" spans="1:46" ht="52" x14ac:dyDescent="0.3">
      <c r="A486" s="4" t="s">
        <v>2068</v>
      </c>
      <c r="B486" t="s">
        <v>47</v>
      </c>
      <c r="C486" s="4" t="s">
        <v>2069</v>
      </c>
      <c r="D486" s="4" t="s">
        <v>2070</v>
      </c>
      <c r="E486" s="4" t="s">
        <v>603</v>
      </c>
      <c r="F486" s="5" t="s">
        <v>2071</v>
      </c>
      <c r="G486" s="5" t="s">
        <v>2072</v>
      </c>
      <c r="H486" t="s">
        <v>47</v>
      </c>
      <c r="I486" s="3">
        <v>40544</v>
      </c>
      <c r="J486" s="3">
        <v>43101</v>
      </c>
      <c r="K486" t="s">
        <v>47</v>
      </c>
      <c r="L486" s="5" t="s">
        <v>60</v>
      </c>
      <c r="M486" t="s">
        <v>47</v>
      </c>
      <c r="N486" t="s">
        <v>47</v>
      </c>
      <c r="O486" t="s">
        <v>47</v>
      </c>
      <c r="P486" s="3">
        <v>40544</v>
      </c>
      <c r="Q486" s="3">
        <v>43101</v>
      </c>
      <c r="R486" t="s">
        <v>47</v>
      </c>
      <c r="S486" t="s">
        <v>47</v>
      </c>
      <c r="T486" t="s">
        <v>47</v>
      </c>
      <c r="U486" t="s">
        <v>47</v>
      </c>
      <c r="V486" t="s">
        <v>47</v>
      </c>
      <c r="W486" s="3">
        <v>40544</v>
      </c>
      <c r="X486" s="3">
        <v>43101</v>
      </c>
      <c r="Y486" t="s">
        <v>47</v>
      </c>
      <c r="Z486" s="3">
        <v>40544</v>
      </c>
      <c r="AA486" s="3">
        <v>43101</v>
      </c>
      <c r="AB486" t="s">
        <v>47</v>
      </c>
      <c r="AC486" s="3">
        <v>40544</v>
      </c>
      <c r="AD486" s="3">
        <v>43101</v>
      </c>
      <c r="AE486" t="s">
        <v>47</v>
      </c>
      <c r="AF486" t="s">
        <v>47</v>
      </c>
      <c r="AG486" t="s">
        <v>47</v>
      </c>
      <c r="AH486" t="s">
        <v>47</v>
      </c>
      <c r="AI486" t="s">
        <v>47</v>
      </c>
      <c r="AJ486" t="s">
        <v>47</v>
      </c>
      <c r="AK486" t="s">
        <v>47</v>
      </c>
      <c r="AL486" t="s">
        <v>47</v>
      </c>
      <c r="AM486" t="s">
        <v>47</v>
      </c>
      <c r="AN486" t="s">
        <v>47</v>
      </c>
      <c r="AO486" s="5" t="s">
        <v>60</v>
      </c>
      <c r="AP486" s="4" t="s">
        <v>61</v>
      </c>
      <c r="AQ486" s="4" t="s">
        <v>119</v>
      </c>
      <c r="AR486" s="4" t="s">
        <v>2073</v>
      </c>
      <c r="AS486" s="5">
        <v>2032239</v>
      </c>
      <c r="AT486" t="s">
        <v>47</v>
      </c>
    </row>
    <row r="487" spans="1:46" ht="91" x14ac:dyDescent="0.3">
      <c r="A487" s="4" t="s">
        <v>2074</v>
      </c>
      <c r="B487" t="s">
        <v>47</v>
      </c>
      <c r="C487" s="4" t="s">
        <v>169</v>
      </c>
      <c r="D487" s="4" t="s">
        <v>339</v>
      </c>
      <c r="E487" s="4" t="s">
        <v>66</v>
      </c>
      <c r="F487" s="5" t="s">
        <v>2075</v>
      </c>
      <c r="G487" s="5" t="s">
        <v>2076</v>
      </c>
      <c r="H487" t="s">
        <v>47</v>
      </c>
      <c r="I487" t="s">
        <v>47</v>
      </c>
      <c r="J487" t="s">
        <v>47</v>
      </c>
      <c r="K487" t="s">
        <v>47</v>
      </c>
      <c r="L487" s="5" t="s">
        <v>60</v>
      </c>
      <c r="M487" t="s">
        <v>47</v>
      </c>
      <c r="N487" t="s">
        <v>47</v>
      </c>
      <c r="O487" t="s">
        <v>47</v>
      </c>
      <c r="P487" t="s">
        <v>47</v>
      </c>
      <c r="Q487" t="s">
        <v>47</v>
      </c>
      <c r="R487" t="s">
        <v>47</v>
      </c>
      <c r="S487" t="s">
        <v>47</v>
      </c>
      <c r="T487" t="s">
        <v>47</v>
      </c>
      <c r="U487" t="s">
        <v>47</v>
      </c>
      <c r="V487" t="s">
        <v>47</v>
      </c>
      <c r="W487" s="3">
        <v>40210</v>
      </c>
      <c r="X487" s="5" t="s">
        <v>50</v>
      </c>
      <c r="Y487" t="s">
        <v>47</v>
      </c>
      <c r="Z487" s="3">
        <v>40210</v>
      </c>
      <c r="AA487" s="5" t="s">
        <v>50</v>
      </c>
      <c r="AB487" t="s">
        <v>47</v>
      </c>
      <c r="AC487" s="3">
        <v>40210</v>
      </c>
      <c r="AD487" s="5" t="s">
        <v>50</v>
      </c>
      <c r="AE487" t="s">
        <v>47</v>
      </c>
      <c r="AF487" t="s">
        <v>47</v>
      </c>
      <c r="AG487" t="s">
        <v>47</v>
      </c>
      <c r="AH487" t="s">
        <v>47</v>
      </c>
      <c r="AI487" t="s">
        <v>47</v>
      </c>
      <c r="AJ487" t="s">
        <v>47</v>
      </c>
      <c r="AK487" t="s">
        <v>47</v>
      </c>
      <c r="AL487" t="s">
        <v>47</v>
      </c>
      <c r="AM487" t="s">
        <v>47</v>
      </c>
      <c r="AN487" t="s">
        <v>47</v>
      </c>
      <c r="AO487" s="5" t="s">
        <v>60</v>
      </c>
      <c r="AP487" s="4" t="s">
        <v>61</v>
      </c>
      <c r="AQ487" s="4" t="s">
        <v>53</v>
      </c>
      <c r="AR487" s="4" t="s">
        <v>2077</v>
      </c>
      <c r="AS487" s="5">
        <v>196245</v>
      </c>
      <c r="AT487" t="s">
        <v>47</v>
      </c>
    </row>
    <row r="488" spans="1:46" ht="13" x14ac:dyDescent="0.3">
      <c r="A488" s="4" t="s">
        <v>2078</v>
      </c>
      <c r="B488" t="s">
        <v>47</v>
      </c>
      <c r="C488" s="4" t="s">
        <v>2079</v>
      </c>
      <c r="D488" s="4" t="s">
        <v>2080</v>
      </c>
      <c r="E488" s="4" t="s">
        <v>49</v>
      </c>
      <c r="F488" s="5" t="s">
        <v>2081</v>
      </c>
      <c r="G488" s="5" t="s">
        <v>2082</v>
      </c>
      <c r="H488" t="s">
        <v>47</v>
      </c>
      <c r="I488" t="s">
        <v>47</v>
      </c>
      <c r="J488" t="s">
        <v>47</v>
      </c>
      <c r="K488" t="s">
        <v>47</v>
      </c>
      <c r="L488" s="5" t="s">
        <v>60</v>
      </c>
      <c r="M488" t="s">
        <v>47</v>
      </c>
      <c r="N488" t="s">
        <v>47</v>
      </c>
      <c r="O488" t="s">
        <v>47</v>
      </c>
      <c r="P488" t="s">
        <v>47</v>
      </c>
      <c r="Q488" t="s">
        <v>47</v>
      </c>
      <c r="R488" t="s">
        <v>47</v>
      </c>
      <c r="S488" t="s">
        <v>47</v>
      </c>
      <c r="T488" t="s">
        <v>47</v>
      </c>
      <c r="U488" t="s">
        <v>47</v>
      </c>
      <c r="V488" t="s">
        <v>47</v>
      </c>
      <c r="W488" s="3">
        <v>33604</v>
      </c>
      <c r="X488" s="5" t="s">
        <v>50</v>
      </c>
      <c r="Y488" s="5" t="s">
        <v>2083</v>
      </c>
      <c r="Z488" s="3">
        <v>33604</v>
      </c>
      <c r="AA488" s="5" t="s">
        <v>50</v>
      </c>
      <c r="AB488" s="5" t="s">
        <v>2083</v>
      </c>
      <c r="AC488" s="3">
        <v>33604</v>
      </c>
      <c r="AD488" s="5" t="s">
        <v>50</v>
      </c>
      <c r="AE488" s="5" t="s">
        <v>2083</v>
      </c>
      <c r="AF488" t="s">
        <v>47</v>
      </c>
      <c r="AG488" t="s">
        <v>47</v>
      </c>
      <c r="AH488" t="s">
        <v>47</v>
      </c>
      <c r="AI488" t="s">
        <v>47</v>
      </c>
      <c r="AJ488" t="s">
        <v>47</v>
      </c>
      <c r="AK488" t="s">
        <v>47</v>
      </c>
      <c r="AL488" t="s">
        <v>47</v>
      </c>
      <c r="AM488" t="s">
        <v>47</v>
      </c>
      <c r="AN488" t="s">
        <v>47</v>
      </c>
      <c r="AO488" s="5" t="s">
        <v>60</v>
      </c>
      <c r="AP488" s="4" t="s">
        <v>61</v>
      </c>
      <c r="AQ488" s="4" t="s">
        <v>53</v>
      </c>
      <c r="AR488" s="4" t="s">
        <v>54</v>
      </c>
      <c r="AS488" s="5">
        <v>49145</v>
      </c>
      <c r="AT488" t="s">
        <v>47</v>
      </c>
    </row>
    <row r="489" spans="1:46" ht="52" x14ac:dyDescent="0.3">
      <c r="A489" s="4" t="s">
        <v>2084</v>
      </c>
      <c r="B489" t="s">
        <v>47</v>
      </c>
      <c r="C489" s="4" t="s">
        <v>2085</v>
      </c>
      <c r="D489" s="4" t="s">
        <v>2086</v>
      </c>
      <c r="E489" s="4" t="s">
        <v>701</v>
      </c>
      <c r="F489" t="s">
        <v>47</v>
      </c>
      <c r="G489" s="5" t="s">
        <v>2087</v>
      </c>
      <c r="H489" t="s">
        <v>47</v>
      </c>
      <c r="I489" s="3">
        <v>42736</v>
      </c>
      <c r="J489" s="3">
        <v>43466</v>
      </c>
      <c r="K489" t="s">
        <v>47</v>
      </c>
      <c r="L489" s="5" t="s">
        <v>60</v>
      </c>
      <c r="M489" t="s">
        <v>47</v>
      </c>
      <c r="N489" t="s">
        <v>47</v>
      </c>
      <c r="O489" t="s">
        <v>47</v>
      </c>
      <c r="P489" s="3">
        <v>42736</v>
      </c>
      <c r="Q489" s="3">
        <v>43466</v>
      </c>
      <c r="R489" t="s">
        <v>47</v>
      </c>
      <c r="S489" t="s">
        <v>47</v>
      </c>
      <c r="T489" t="s">
        <v>47</v>
      </c>
      <c r="U489" t="s">
        <v>47</v>
      </c>
      <c r="V489" t="s">
        <v>47</v>
      </c>
      <c r="W489" s="3">
        <v>42736</v>
      </c>
      <c r="X489" s="3">
        <v>43466</v>
      </c>
      <c r="Y489" t="s">
        <v>47</v>
      </c>
      <c r="Z489" s="3">
        <v>42736</v>
      </c>
      <c r="AA489" s="3">
        <v>43466</v>
      </c>
      <c r="AB489" t="s">
        <v>47</v>
      </c>
      <c r="AC489" s="3">
        <v>42736</v>
      </c>
      <c r="AD489" s="3">
        <v>43466</v>
      </c>
      <c r="AE489" t="s">
        <v>47</v>
      </c>
      <c r="AF489" t="s">
        <v>47</v>
      </c>
      <c r="AG489" t="s">
        <v>47</v>
      </c>
      <c r="AH489" t="s">
        <v>47</v>
      </c>
      <c r="AI489" t="s">
        <v>47</v>
      </c>
      <c r="AJ489" t="s">
        <v>47</v>
      </c>
      <c r="AK489" t="s">
        <v>47</v>
      </c>
      <c r="AL489" t="s">
        <v>47</v>
      </c>
      <c r="AM489" t="s">
        <v>47</v>
      </c>
      <c r="AN489" t="s">
        <v>47</v>
      </c>
      <c r="AO489" s="5" t="s">
        <v>60</v>
      </c>
      <c r="AP489" s="4" t="s">
        <v>61</v>
      </c>
      <c r="AQ489" s="4" t="s">
        <v>427</v>
      </c>
      <c r="AR489" s="4" t="s">
        <v>327</v>
      </c>
      <c r="AS489" s="5">
        <v>2069484</v>
      </c>
      <c r="AT489" t="s">
        <v>47</v>
      </c>
    </row>
    <row r="490" spans="1:46" ht="26" x14ac:dyDescent="0.3">
      <c r="A490" s="4" t="s">
        <v>2088</v>
      </c>
      <c r="B490" t="s">
        <v>47</v>
      </c>
      <c r="C490" s="4" t="s">
        <v>2089</v>
      </c>
      <c r="D490" s="4" t="s">
        <v>2090</v>
      </c>
      <c r="E490" s="4" t="s">
        <v>603</v>
      </c>
      <c r="F490" s="5" t="s">
        <v>2091</v>
      </c>
      <c r="G490" s="5" t="s">
        <v>2092</v>
      </c>
      <c r="H490" t="s">
        <v>47</v>
      </c>
      <c r="I490" s="3">
        <v>40544</v>
      </c>
      <c r="J490" s="5" t="s">
        <v>50</v>
      </c>
      <c r="K490" t="s">
        <v>47</v>
      </c>
      <c r="L490" s="5" t="s">
        <v>60</v>
      </c>
      <c r="M490" s="3">
        <v>40544</v>
      </c>
      <c r="N490" s="5" t="s">
        <v>50</v>
      </c>
      <c r="O490" t="s">
        <v>47</v>
      </c>
      <c r="P490" s="3">
        <v>40544</v>
      </c>
      <c r="Q490" s="5" t="s">
        <v>50</v>
      </c>
      <c r="R490" t="s">
        <v>47</v>
      </c>
      <c r="S490" t="s">
        <v>47</v>
      </c>
      <c r="T490" t="s">
        <v>47</v>
      </c>
      <c r="U490" t="s">
        <v>47</v>
      </c>
      <c r="V490" s="5">
        <v>365</v>
      </c>
      <c r="W490" s="3">
        <v>40544</v>
      </c>
      <c r="X490" s="5" t="s">
        <v>50</v>
      </c>
      <c r="Y490" t="s">
        <v>47</v>
      </c>
      <c r="Z490" s="3">
        <v>40544</v>
      </c>
      <c r="AA490" s="5" t="s">
        <v>50</v>
      </c>
      <c r="AB490" t="s">
        <v>47</v>
      </c>
      <c r="AC490" s="3">
        <v>40544</v>
      </c>
      <c r="AD490" s="5" t="s">
        <v>50</v>
      </c>
      <c r="AE490" t="s">
        <v>47</v>
      </c>
      <c r="AF490" t="s">
        <v>47</v>
      </c>
      <c r="AG490" t="s">
        <v>47</v>
      </c>
      <c r="AH490" t="s">
        <v>47</v>
      </c>
      <c r="AI490" t="s">
        <v>47</v>
      </c>
      <c r="AJ490" t="s">
        <v>47</v>
      </c>
      <c r="AK490" t="s">
        <v>47</v>
      </c>
      <c r="AL490" t="s">
        <v>47</v>
      </c>
      <c r="AM490" t="s">
        <v>47</v>
      </c>
      <c r="AN490" t="s">
        <v>47</v>
      </c>
      <c r="AO490" s="5" t="s">
        <v>60</v>
      </c>
      <c r="AP490" s="4" t="s">
        <v>61</v>
      </c>
      <c r="AQ490" s="4" t="s">
        <v>2093</v>
      </c>
      <c r="AR490" s="4" t="s">
        <v>54</v>
      </c>
      <c r="AS490" s="5">
        <v>1216371</v>
      </c>
      <c r="AT490" t="s">
        <v>47</v>
      </c>
    </row>
    <row r="491" spans="1:46" ht="26" x14ac:dyDescent="0.3">
      <c r="A491" s="4" t="s">
        <v>2094</v>
      </c>
      <c r="B491" t="s">
        <v>47</v>
      </c>
      <c r="C491" s="4" t="s">
        <v>169</v>
      </c>
      <c r="D491" s="4" t="s">
        <v>339</v>
      </c>
      <c r="E491" s="4" t="s">
        <v>66</v>
      </c>
      <c r="F491" s="5" t="s">
        <v>2095</v>
      </c>
      <c r="G491" s="5" t="s">
        <v>2096</v>
      </c>
      <c r="H491" t="s">
        <v>47</v>
      </c>
      <c r="I491" t="s">
        <v>47</v>
      </c>
      <c r="J491" t="s">
        <v>47</v>
      </c>
      <c r="K491" t="s">
        <v>47</v>
      </c>
      <c r="L491" s="5" t="s">
        <v>60</v>
      </c>
      <c r="M491" t="s">
        <v>47</v>
      </c>
      <c r="N491" t="s">
        <v>47</v>
      </c>
      <c r="O491" t="s">
        <v>47</v>
      </c>
      <c r="P491" t="s">
        <v>47</v>
      </c>
      <c r="Q491" t="s">
        <v>47</v>
      </c>
      <c r="R491" t="s">
        <v>47</v>
      </c>
      <c r="S491" t="s">
        <v>47</v>
      </c>
      <c r="T491" t="s">
        <v>47</v>
      </c>
      <c r="U491" t="s">
        <v>47</v>
      </c>
      <c r="V491" t="s">
        <v>47</v>
      </c>
      <c r="W491" s="3">
        <v>40238</v>
      </c>
      <c r="X491" s="5" t="s">
        <v>50</v>
      </c>
      <c r="Y491" t="s">
        <v>47</v>
      </c>
      <c r="Z491" s="3">
        <v>40238</v>
      </c>
      <c r="AA491" s="5" t="s">
        <v>50</v>
      </c>
      <c r="AB491" t="s">
        <v>47</v>
      </c>
      <c r="AC491" s="3">
        <v>40238</v>
      </c>
      <c r="AD491" s="5" t="s">
        <v>50</v>
      </c>
      <c r="AE491" t="s">
        <v>47</v>
      </c>
      <c r="AF491" t="s">
        <v>47</v>
      </c>
      <c r="AG491" t="s">
        <v>47</v>
      </c>
      <c r="AH491" t="s">
        <v>47</v>
      </c>
      <c r="AI491" t="s">
        <v>47</v>
      </c>
      <c r="AJ491" t="s">
        <v>47</v>
      </c>
      <c r="AK491" t="s">
        <v>47</v>
      </c>
      <c r="AL491" t="s">
        <v>47</v>
      </c>
      <c r="AM491" t="s">
        <v>47</v>
      </c>
      <c r="AN491" t="s">
        <v>47</v>
      </c>
      <c r="AO491" s="5" t="s">
        <v>60</v>
      </c>
      <c r="AP491" s="4" t="s">
        <v>61</v>
      </c>
      <c r="AQ491" s="4" t="s">
        <v>53</v>
      </c>
      <c r="AR491" s="4" t="s">
        <v>835</v>
      </c>
      <c r="AS491" s="5">
        <v>196244</v>
      </c>
      <c r="AT491" t="s">
        <v>47</v>
      </c>
    </row>
    <row r="492" spans="1:46" ht="26" x14ac:dyDescent="0.3">
      <c r="A492" s="4" t="s">
        <v>2097</v>
      </c>
      <c r="B492" t="s">
        <v>47</v>
      </c>
      <c r="C492" s="4" t="s">
        <v>169</v>
      </c>
      <c r="D492" s="4" t="s">
        <v>339</v>
      </c>
      <c r="E492" s="4" t="s">
        <v>66</v>
      </c>
      <c r="F492" s="5" t="s">
        <v>2098</v>
      </c>
      <c r="G492" s="5" t="s">
        <v>2099</v>
      </c>
      <c r="H492" t="s">
        <v>47</v>
      </c>
      <c r="I492" t="s">
        <v>47</v>
      </c>
      <c r="J492" t="s">
        <v>47</v>
      </c>
      <c r="K492" t="s">
        <v>47</v>
      </c>
      <c r="L492" s="5" t="s">
        <v>60</v>
      </c>
      <c r="M492" t="s">
        <v>47</v>
      </c>
      <c r="N492" t="s">
        <v>47</v>
      </c>
      <c r="O492" t="s">
        <v>47</v>
      </c>
      <c r="P492" t="s">
        <v>47</v>
      </c>
      <c r="Q492" t="s">
        <v>47</v>
      </c>
      <c r="R492" t="s">
        <v>47</v>
      </c>
      <c r="S492" t="s">
        <v>47</v>
      </c>
      <c r="T492" t="s">
        <v>47</v>
      </c>
      <c r="U492" t="s">
        <v>47</v>
      </c>
      <c r="V492" t="s">
        <v>47</v>
      </c>
      <c r="W492" s="3">
        <v>40179</v>
      </c>
      <c r="X492" s="5" t="s">
        <v>50</v>
      </c>
      <c r="Y492" t="s">
        <v>47</v>
      </c>
      <c r="Z492" s="3">
        <v>40179</v>
      </c>
      <c r="AA492" s="5" t="s">
        <v>50</v>
      </c>
      <c r="AB492" t="s">
        <v>47</v>
      </c>
      <c r="AC492" s="3">
        <v>40179</v>
      </c>
      <c r="AD492" s="5" t="s">
        <v>50</v>
      </c>
      <c r="AE492" t="s">
        <v>47</v>
      </c>
      <c r="AF492" t="s">
        <v>47</v>
      </c>
      <c r="AG492" t="s">
        <v>47</v>
      </c>
      <c r="AH492" t="s">
        <v>47</v>
      </c>
      <c r="AI492" t="s">
        <v>47</v>
      </c>
      <c r="AJ492" t="s">
        <v>47</v>
      </c>
      <c r="AK492" t="s">
        <v>47</v>
      </c>
      <c r="AL492" t="s">
        <v>47</v>
      </c>
      <c r="AM492" t="s">
        <v>47</v>
      </c>
      <c r="AN492" t="s">
        <v>47</v>
      </c>
      <c r="AO492" s="5" t="s">
        <v>60</v>
      </c>
      <c r="AP492" s="4" t="s">
        <v>61</v>
      </c>
      <c r="AQ492" s="4" t="s">
        <v>53</v>
      </c>
      <c r="AR492" s="4" t="s">
        <v>835</v>
      </c>
      <c r="AS492" s="5">
        <v>426771</v>
      </c>
      <c r="AT492" t="s">
        <v>47</v>
      </c>
    </row>
    <row r="493" spans="1:46" ht="26" x14ac:dyDescent="0.3">
      <c r="A493" s="4" t="s">
        <v>2100</v>
      </c>
      <c r="B493" t="s">
        <v>47</v>
      </c>
      <c r="C493" s="4" t="s">
        <v>2101</v>
      </c>
      <c r="D493" s="4" t="s">
        <v>1990</v>
      </c>
      <c r="E493" s="4" t="s">
        <v>701</v>
      </c>
      <c r="F493" s="5" t="s">
        <v>2102</v>
      </c>
      <c r="G493" t="s">
        <v>47</v>
      </c>
      <c r="H493" t="s">
        <v>47</v>
      </c>
      <c r="I493" s="3">
        <v>42005</v>
      </c>
      <c r="J493" s="3">
        <v>43466</v>
      </c>
      <c r="K493" t="s">
        <v>47</v>
      </c>
      <c r="L493" s="5" t="s">
        <v>60</v>
      </c>
      <c r="M493" t="s">
        <v>47</v>
      </c>
      <c r="N493" t="s">
        <v>47</v>
      </c>
      <c r="O493" t="s">
        <v>47</v>
      </c>
      <c r="P493" s="3">
        <v>42005</v>
      </c>
      <c r="Q493" s="3">
        <v>43466</v>
      </c>
      <c r="R493" t="s">
        <v>47</v>
      </c>
      <c r="S493" t="s">
        <v>47</v>
      </c>
      <c r="T493" t="s">
        <v>47</v>
      </c>
      <c r="U493" t="s">
        <v>47</v>
      </c>
      <c r="V493" t="s">
        <v>47</v>
      </c>
      <c r="W493" s="3">
        <v>42005</v>
      </c>
      <c r="X493" s="3">
        <v>43466</v>
      </c>
      <c r="Y493" t="s">
        <v>47</v>
      </c>
      <c r="Z493" s="3">
        <v>42005</v>
      </c>
      <c r="AA493" s="3">
        <v>43466</v>
      </c>
      <c r="AB493" t="s">
        <v>47</v>
      </c>
      <c r="AC493" s="3">
        <v>42005</v>
      </c>
      <c r="AD493" s="3">
        <v>43466</v>
      </c>
      <c r="AE493" t="s">
        <v>47</v>
      </c>
      <c r="AF493" t="s">
        <v>47</v>
      </c>
      <c r="AG493" t="s">
        <v>47</v>
      </c>
      <c r="AH493" t="s">
        <v>47</v>
      </c>
      <c r="AI493" t="s">
        <v>47</v>
      </c>
      <c r="AJ493" t="s">
        <v>47</v>
      </c>
      <c r="AK493" t="s">
        <v>47</v>
      </c>
      <c r="AL493" t="s">
        <v>47</v>
      </c>
      <c r="AM493" t="s">
        <v>47</v>
      </c>
      <c r="AN493" t="s">
        <v>47</v>
      </c>
      <c r="AO493" s="5" t="s">
        <v>60</v>
      </c>
      <c r="AP493" s="4" t="s">
        <v>61</v>
      </c>
      <c r="AQ493" s="4" t="s">
        <v>53</v>
      </c>
      <c r="AR493" s="4" t="s">
        <v>167</v>
      </c>
      <c r="AS493" s="5">
        <v>4422180</v>
      </c>
      <c r="AT493" t="s">
        <v>47</v>
      </c>
    </row>
    <row r="494" spans="1:46" ht="39" x14ac:dyDescent="0.3">
      <c r="A494" s="4" t="s">
        <v>2103</v>
      </c>
      <c r="B494" t="s">
        <v>47</v>
      </c>
      <c r="C494" s="4" t="s">
        <v>2104</v>
      </c>
      <c r="D494" s="4" t="s">
        <v>2105</v>
      </c>
      <c r="E494" s="4" t="s">
        <v>151</v>
      </c>
      <c r="F494" s="5" t="s">
        <v>2106</v>
      </c>
      <c r="G494" s="5" t="s">
        <v>2107</v>
      </c>
      <c r="H494" t="s">
        <v>47</v>
      </c>
      <c r="I494" s="3">
        <v>40603</v>
      </c>
      <c r="J494" s="5" t="s">
        <v>50</v>
      </c>
      <c r="K494" t="s">
        <v>47</v>
      </c>
      <c r="L494" s="5" t="s">
        <v>60</v>
      </c>
      <c r="M494" s="3">
        <v>40603</v>
      </c>
      <c r="N494" s="5" t="s">
        <v>50</v>
      </c>
      <c r="O494" t="s">
        <v>47</v>
      </c>
      <c r="P494" s="3">
        <v>40603</v>
      </c>
      <c r="Q494" s="5" t="s">
        <v>50</v>
      </c>
      <c r="R494" t="s">
        <v>47</v>
      </c>
      <c r="S494" t="s">
        <v>47</v>
      </c>
      <c r="T494" t="s">
        <v>47</v>
      </c>
      <c r="U494" t="s">
        <v>47</v>
      </c>
      <c r="V494" t="s">
        <v>47</v>
      </c>
      <c r="W494" s="3">
        <v>40603</v>
      </c>
      <c r="X494" s="5" t="s">
        <v>50</v>
      </c>
      <c r="Y494" t="s">
        <v>47</v>
      </c>
      <c r="Z494" s="3">
        <v>40603</v>
      </c>
      <c r="AA494" s="5" t="s">
        <v>50</v>
      </c>
      <c r="AB494" t="s">
        <v>47</v>
      </c>
      <c r="AC494" s="3">
        <v>40603</v>
      </c>
      <c r="AD494" s="5" t="s">
        <v>50</v>
      </c>
      <c r="AE494" t="s">
        <v>47</v>
      </c>
      <c r="AF494" t="s">
        <v>47</v>
      </c>
      <c r="AG494" t="s">
        <v>47</v>
      </c>
      <c r="AH494" t="s">
        <v>47</v>
      </c>
      <c r="AI494" t="s">
        <v>47</v>
      </c>
      <c r="AJ494" t="s">
        <v>47</v>
      </c>
      <c r="AK494" t="s">
        <v>47</v>
      </c>
      <c r="AL494" t="s">
        <v>47</v>
      </c>
      <c r="AM494" t="s">
        <v>47</v>
      </c>
      <c r="AN494" t="s">
        <v>47</v>
      </c>
      <c r="AO494" s="5" t="s">
        <v>60</v>
      </c>
      <c r="AP494" s="4" t="s">
        <v>61</v>
      </c>
      <c r="AQ494" s="4" t="s">
        <v>2108</v>
      </c>
      <c r="AR494" s="4" t="s">
        <v>54</v>
      </c>
      <c r="AS494" s="5">
        <v>1316370</v>
      </c>
      <c r="AT494" t="s">
        <v>47</v>
      </c>
    </row>
    <row r="495" spans="1:46" ht="39" x14ac:dyDescent="0.3">
      <c r="A495" s="4" t="s">
        <v>2109</v>
      </c>
      <c r="B495" t="s">
        <v>47</v>
      </c>
      <c r="C495" s="4" t="s">
        <v>1996</v>
      </c>
      <c r="D495" s="4" t="s">
        <v>2110</v>
      </c>
      <c r="E495" s="4" t="s">
        <v>66</v>
      </c>
      <c r="F495" s="5" t="s">
        <v>2111</v>
      </c>
      <c r="G495" s="5" t="s">
        <v>2112</v>
      </c>
      <c r="H495" t="s">
        <v>47</v>
      </c>
      <c r="I495" s="3">
        <v>41061</v>
      </c>
      <c r="J495" s="5" t="s">
        <v>50</v>
      </c>
      <c r="K495" t="s">
        <v>47</v>
      </c>
      <c r="L495" s="5" t="s">
        <v>51</v>
      </c>
      <c r="M495" s="3">
        <v>41061</v>
      </c>
      <c r="N495" s="5" t="s">
        <v>50</v>
      </c>
      <c r="O495" t="s">
        <v>47</v>
      </c>
      <c r="P495" s="3">
        <v>41061</v>
      </c>
      <c r="Q495" s="5" t="s">
        <v>50</v>
      </c>
      <c r="R495" t="s">
        <v>47</v>
      </c>
      <c r="S495" t="s">
        <v>47</v>
      </c>
      <c r="T495" t="s">
        <v>47</v>
      </c>
      <c r="U495" t="s">
        <v>47</v>
      </c>
      <c r="V495" t="s">
        <v>47</v>
      </c>
      <c r="W495" s="3">
        <v>41061</v>
      </c>
      <c r="X495" s="5" t="s">
        <v>50</v>
      </c>
      <c r="Y495" t="s">
        <v>47</v>
      </c>
      <c r="Z495" s="3">
        <v>41061</v>
      </c>
      <c r="AA495" s="5" t="s">
        <v>50</v>
      </c>
      <c r="AB495" t="s">
        <v>47</v>
      </c>
      <c r="AC495" s="3">
        <v>41061</v>
      </c>
      <c r="AD495" s="5" t="s">
        <v>50</v>
      </c>
      <c r="AE495" t="s">
        <v>47</v>
      </c>
      <c r="AF495" t="s">
        <v>47</v>
      </c>
      <c r="AG495" t="s">
        <v>47</v>
      </c>
      <c r="AH495" t="s">
        <v>47</v>
      </c>
      <c r="AI495" t="s">
        <v>47</v>
      </c>
      <c r="AJ495" t="s">
        <v>47</v>
      </c>
      <c r="AK495" t="s">
        <v>47</v>
      </c>
      <c r="AL495" t="s">
        <v>47</v>
      </c>
      <c r="AM495" t="s">
        <v>47</v>
      </c>
      <c r="AN495" t="s">
        <v>47</v>
      </c>
      <c r="AO495" s="5" t="s">
        <v>51</v>
      </c>
      <c r="AP495" s="4" t="s">
        <v>2113</v>
      </c>
      <c r="AQ495" s="4" t="s">
        <v>53</v>
      </c>
      <c r="AR495" s="4" t="s">
        <v>147</v>
      </c>
      <c r="AS495" s="5">
        <v>1796413</v>
      </c>
      <c r="AT495" t="s">
        <v>47</v>
      </c>
    </row>
    <row r="496" spans="1:46" ht="39" x14ac:dyDescent="0.3">
      <c r="A496" s="4" t="s">
        <v>2114</v>
      </c>
      <c r="B496" t="s">
        <v>47</v>
      </c>
      <c r="C496" s="4" t="s">
        <v>1996</v>
      </c>
      <c r="D496" s="4" t="s">
        <v>2110</v>
      </c>
      <c r="E496" s="4" t="s">
        <v>66</v>
      </c>
      <c r="F496" s="5" t="s">
        <v>2115</v>
      </c>
      <c r="G496" s="5" t="s">
        <v>2116</v>
      </c>
      <c r="H496" t="s">
        <v>47</v>
      </c>
      <c r="I496" s="3">
        <v>41183</v>
      </c>
      <c r="J496" s="5" t="s">
        <v>50</v>
      </c>
      <c r="K496" t="s">
        <v>47</v>
      </c>
      <c r="L496" s="5" t="s">
        <v>51</v>
      </c>
      <c r="M496" s="3">
        <v>41183</v>
      </c>
      <c r="N496" s="5" t="s">
        <v>50</v>
      </c>
      <c r="O496" t="s">
        <v>47</v>
      </c>
      <c r="P496" s="3">
        <v>41183</v>
      </c>
      <c r="Q496" s="5" t="s">
        <v>50</v>
      </c>
      <c r="R496" t="s">
        <v>47</v>
      </c>
      <c r="S496" t="s">
        <v>47</v>
      </c>
      <c r="T496" t="s">
        <v>47</v>
      </c>
      <c r="U496" t="s">
        <v>47</v>
      </c>
      <c r="V496" t="s">
        <v>47</v>
      </c>
      <c r="W496" s="3">
        <v>41183</v>
      </c>
      <c r="X496" s="5" t="s">
        <v>50</v>
      </c>
      <c r="Y496" t="s">
        <v>47</v>
      </c>
      <c r="Z496" s="3">
        <v>41183</v>
      </c>
      <c r="AA496" s="5" t="s">
        <v>50</v>
      </c>
      <c r="AB496" t="s">
        <v>47</v>
      </c>
      <c r="AC496" s="3">
        <v>41183</v>
      </c>
      <c r="AD496" s="5" t="s">
        <v>50</v>
      </c>
      <c r="AE496" t="s">
        <v>47</v>
      </c>
      <c r="AF496" t="s">
        <v>47</v>
      </c>
      <c r="AG496" t="s">
        <v>47</v>
      </c>
      <c r="AH496" t="s">
        <v>47</v>
      </c>
      <c r="AI496" t="s">
        <v>47</v>
      </c>
      <c r="AJ496" t="s">
        <v>47</v>
      </c>
      <c r="AK496" t="s">
        <v>47</v>
      </c>
      <c r="AL496" t="s">
        <v>47</v>
      </c>
      <c r="AM496" t="s">
        <v>47</v>
      </c>
      <c r="AN496" t="s">
        <v>47</v>
      </c>
      <c r="AO496" s="5" t="s">
        <v>51</v>
      </c>
      <c r="AP496" s="4" t="s">
        <v>2113</v>
      </c>
      <c r="AQ496" s="4" t="s">
        <v>53</v>
      </c>
      <c r="AR496" s="4" t="s">
        <v>1543</v>
      </c>
      <c r="AS496" s="5">
        <v>1796419</v>
      </c>
      <c r="AT496" t="s">
        <v>47</v>
      </c>
    </row>
    <row r="497" spans="1:46" ht="26" x14ac:dyDescent="0.3">
      <c r="A497" s="4" t="s">
        <v>2117</v>
      </c>
      <c r="B497" t="s">
        <v>47</v>
      </c>
      <c r="C497" s="4" t="s">
        <v>169</v>
      </c>
      <c r="D497" s="4" t="s">
        <v>339</v>
      </c>
      <c r="E497" s="4" t="s">
        <v>66</v>
      </c>
      <c r="F497" s="5" t="s">
        <v>2118</v>
      </c>
      <c r="G497" s="5" t="s">
        <v>2119</v>
      </c>
      <c r="H497" t="s">
        <v>47</v>
      </c>
      <c r="I497" t="s">
        <v>47</v>
      </c>
      <c r="J497" t="s">
        <v>47</v>
      </c>
      <c r="K497" t="s">
        <v>47</v>
      </c>
      <c r="L497" s="5" t="s">
        <v>60</v>
      </c>
      <c r="M497" t="s">
        <v>47</v>
      </c>
      <c r="N497" t="s">
        <v>47</v>
      </c>
      <c r="O497" t="s">
        <v>47</v>
      </c>
      <c r="P497" t="s">
        <v>47</v>
      </c>
      <c r="Q497" t="s">
        <v>47</v>
      </c>
      <c r="R497" t="s">
        <v>47</v>
      </c>
      <c r="S497" t="s">
        <v>47</v>
      </c>
      <c r="T497" t="s">
        <v>47</v>
      </c>
      <c r="U497" t="s">
        <v>47</v>
      </c>
      <c r="V497" t="s">
        <v>47</v>
      </c>
      <c r="W497" s="3">
        <v>40179</v>
      </c>
      <c r="X497" s="5" t="s">
        <v>50</v>
      </c>
      <c r="Y497" t="s">
        <v>47</v>
      </c>
      <c r="Z497" s="3">
        <v>40179</v>
      </c>
      <c r="AA497" s="5" t="s">
        <v>50</v>
      </c>
      <c r="AB497" t="s">
        <v>47</v>
      </c>
      <c r="AC497" s="3">
        <v>40179</v>
      </c>
      <c r="AD497" s="5" t="s">
        <v>50</v>
      </c>
      <c r="AE497" t="s">
        <v>47</v>
      </c>
      <c r="AF497" t="s">
        <v>47</v>
      </c>
      <c r="AG497" t="s">
        <v>47</v>
      </c>
      <c r="AH497" t="s">
        <v>47</v>
      </c>
      <c r="AI497" t="s">
        <v>47</v>
      </c>
      <c r="AJ497" t="s">
        <v>47</v>
      </c>
      <c r="AK497" t="s">
        <v>47</v>
      </c>
      <c r="AL497" t="s">
        <v>47</v>
      </c>
      <c r="AM497" t="s">
        <v>47</v>
      </c>
      <c r="AN497" t="s">
        <v>47</v>
      </c>
      <c r="AO497" s="5" t="s">
        <v>60</v>
      </c>
      <c r="AP497" s="4" t="s">
        <v>61</v>
      </c>
      <c r="AQ497" s="4" t="s">
        <v>53</v>
      </c>
      <c r="AR497" s="4" t="s">
        <v>54</v>
      </c>
      <c r="AS497" s="5">
        <v>426770</v>
      </c>
      <c r="AT497" t="s">
        <v>47</v>
      </c>
    </row>
    <row r="498" spans="1:46" ht="26" x14ac:dyDescent="0.3">
      <c r="A498" s="4" t="s">
        <v>2120</v>
      </c>
      <c r="B498" t="s">
        <v>47</v>
      </c>
      <c r="C498" s="4" t="s">
        <v>2121</v>
      </c>
      <c r="D498" s="4" t="s">
        <v>949</v>
      </c>
      <c r="E498" s="4" t="s">
        <v>66</v>
      </c>
      <c r="F498" s="5" t="s">
        <v>2122</v>
      </c>
      <c r="G498" t="s">
        <v>47</v>
      </c>
      <c r="H498" t="s">
        <v>47</v>
      </c>
      <c r="I498" s="3">
        <v>43101</v>
      </c>
      <c r="J498" s="5" t="s">
        <v>50</v>
      </c>
      <c r="K498" t="s">
        <v>47</v>
      </c>
      <c r="L498" s="5" t="s">
        <v>60</v>
      </c>
      <c r="M498" s="3">
        <v>43101</v>
      </c>
      <c r="N498" s="5" t="s">
        <v>50</v>
      </c>
      <c r="O498" t="s">
        <v>47</v>
      </c>
      <c r="P498" s="3">
        <v>43101</v>
      </c>
      <c r="Q498" s="5" t="s">
        <v>50</v>
      </c>
      <c r="R498" t="s">
        <v>47</v>
      </c>
      <c r="S498" t="s">
        <v>47</v>
      </c>
      <c r="T498" t="s">
        <v>47</v>
      </c>
      <c r="U498" t="s">
        <v>47</v>
      </c>
      <c r="V498" t="s">
        <v>47</v>
      </c>
      <c r="W498" s="3">
        <v>43101</v>
      </c>
      <c r="X498" s="5" t="s">
        <v>50</v>
      </c>
      <c r="Y498" t="s">
        <v>47</v>
      </c>
      <c r="Z498" s="3">
        <v>43101</v>
      </c>
      <c r="AA498" s="5" t="s">
        <v>50</v>
      </c>
      <c r="AB498" t="s">
        <v>47</v>
      </c>
      <c r="AC498" s="3">
        <v>43101</v>
      </c>
      <c r="AD498" s="5" t="s">
        <v>50</v>
      </c>
      <c r="AE498" t="s">
        <v>47</v>
      </c>
      <c r="AF498" t="s">
        <v>47</v>
      </c>
      <c r="AG498" t="s">
        <v>47</v>
      </c>
      <c r="AH498" t="s">
        <v>47</v>
      </c>
      <c r="AI498" t="s">
        <v>47</v>
      </c>
      <c r="AJ498" t="s">
        <v>47</v>
      </c>
      <c r="AK498" t="s">
        <v>47</v>
      </c>
      <c r="AL498" t="s">
        <v>47</v>
      </c>
      <c r="AM498" t="s">
        <v>47</v>
      </c>
      <c r="AN498" t="s">
        <v>47</v>
      </c>
      <c r="AO498" s="5" t="s">
        <v>60</v>
      </c>
      <c r="AP498" s="4" t="s">
        <v>61</v>
      </c>
      <c r="AQ498" s="4" t="s">
        <v>53</v>
      </c>
      <c r="AR498" s="4" t="s">
        <v>167</v>
      </c>
      <c r="AS498" s="5">
        <v>4565088</v>
      </c>
      <c r="AT498" t="s">
        <v>47</v>
      </c>
    </row>
    <row r="499" spans="1:46" ht="13" x14ac:dyDescent="0.3">
      <c r="A499" s="4" t="s">
        <v>2123</v>
      </c>
      <c r="B499" t="s">
        <v>47</v>
      </c>
      <c r="C499" s="4" t="s">
        <v>200</v>
      </c>
      <c r="D499" s="4" t="s">
        <v>194</v>
      </c>
      <c r="E499" s="4" t="s">
        <v>66</v>
      </c>
      <c r="F499" s="5" t="s">
        <v>2124</v>
      </c>
      <c r="G499" s="5" t="s">
        <v>2125</v>
      </c>
      <c r="H499" t="s">
        <v>47</v>
      </c>
      <c r="I499" t="s">
        <v>47</v>
      </c>
      <c r="J499" t="s">
        <v>47</v>
      </c>
      <c r="K499" t="s">
        <v>47</v>
      </c>
      <c r="L499" s="5" t="s">
        <v>60</v>
      </c>
      <c r="M499" t="s">
        <v>47</v>
      </c>
      <c r="N499" t="s">
        <v>47</v>
      </c>
      <c r="O499" t="s">
        <v>47</v>
      </c>
      <c r="P499" t="s">
        <v>47</v>
      </c>
      <c r="Q499" t="s">
        <v>47</v>
      </c>
      <c r="R499" t="s">
        <v>47</v>
      </c>
      <c r="S499" t="s">
        <v>47</v>
      </c>
      <c r="T499" t="s">
        <v>47</v>
      </c>
      <c r="U499" t="s">
        <v>47</v>
      </c>
      <c r="V499" t="s">
        <v>47</v>
      </c>
      <c r="W499" s="3">
        <v>35582</v>
      </c>
      <c r="X499" s="5" t="s">
        <v>50</v>
      </c>
      <c r="Y499" s="5" t="s">
        <v>537</v>
      </c>
      <c r="Z499" s="3">
        <v>35582</v>
      </c>
      <c r="AA499" s="5" t="s">
        <v>50</v>
      </c>
      <c r="AB499" s="5" t="s">
        <v>537</v>
      </c>
      <c r="AC499" s="3">
        <v>35582</v>
      </c>
      <c r="AD499" s="5" t="s">
        <v>50</v>
      </c>
      <c r="AE499" s="5" t="s">
        <v>537</v>
      </c>
      <c r="AF499" t="s">
        <v>47</v>
      </c>
      <c r="AG499" t="s">
        <v>47</v>
      </c>
      <c r="AH499" t="s">
        <v>47</v>
      </c>
      <c r="AI499" t="s">
        <v>47</v>
      </c>
      <c r="AJ499" t="s">
        <v>47</v>
      </c>
      <c r="AK499" t="s">
        <v>47</v>
      </c>
      <c r="AL499" t="s">
        <v>47</v>
      </c>
      <c r="AM499" t="s">
        <v>47</v>
      </c>
      <c r="AN499" t="s">
        <v>47</v>
      </c>
      <c r="AO499" s="5" t="s">
        <v>60</v>
      </c>
      <c r="AP499" s="4" t="s">
        <v>61</v>
      </c>
      <c r="AQ499" s="4" t="s">
        <v>53</v>
      </c>
      <c r="AR499" s="4" t="s">
        <v>54</v>
      </c>
      <c r="AS499" s="5">
        <v>48260</v>
      </c>
      <c r="AT499" t="s">
        <v>47</v>
      </c>
    </row>
    <row r="500" spans="1:46" ht="26" x14ac:dyDescent="0.3">
      <c r="A500" s="4" t="s">
        <v>2126</v>
      </c>
      <c r="B500" t="s">
        <v>47</v>
      </c>
      <c r="C500" s="4" t="s">
        <v>169</v>
      </c>
      <c r="D500" s="4" t="s">
        <v>339</v>
      </c>
      <c r="E500" s="4" t="s">
        <v>66</v>
      </c>
      <c r="F500" s="5" t="s">
        <v>2127</v>
      </c>
      <c r="G500" s="5" t="s">
        <v>2128</v>
      </c>
      <c r="H500" t="s">
        <v>47</v>
      </c>
      <c r="I500" s="3">
        <v>35674</v>
      </c>
      <c r="J500" s="3">
        <v>36861</v>
      </c>
      <c r="K500" t="s">
        <v>47</v>
      </c>
      <c r="L500" s="5" t="s">
        <v>60</v>
      </c>
      <c r="M500" s="3">
        <v>35674</v>
      </c>
      <c r="N500" s="3">
        <v>36861</v>
      </c>
      <c r="O500" t="s">
        <v>47</v>
      </c>
      <c r="P500" s="3">
        <v>35674</v>
      </c>
      <c r="Q500" s="3">
        <v>36861</v>
      </c>
      <c r="R500" t="s">
        <v>47</v>
      </c>
      <c r="S500" t="s">
        <v>47</v>
      </c>
      <c r="T500" t="s">
        <v>47</v>
      </c>
      <c r="U500" t="s">
        <v>47</v>
      </c>
      <c r="V500" t="s">
        <v>47</v>
      </c>
      <c r="W500" s="3">
        <v>35674</v>
      </c>
      <c r="X500" s="5" t="s">
        <v>50</v>
      </c>
      <c r="Y500" t="s">
        <v>47</v>
      </c>
      <c r="Z500" s="3">
        <v>35674</v>
      </c>
      <c r="AA500" s="5" t="s">
        <v>50</v>
      </c>
      <c r="AB500" t="s">
        <v>47</v>
      </c>
      <c r="AC500" s="3">
        <v>35674</v>
      </c>
      <c r="AD500" s="5" t="s">
        <v>50</v>
      </c>
      <c r="AE500" t="s">
        <v>47</v>
      </c>
      <c r="AF500" t="s">
        <v>47</v>
      </c>
      <c r="AG500" t="s">
        <v>47</v>
      </c>
      <c r="AH500" t="s">
        <v>47</v>
      </c>
      <c r="AI500" t="s">
        <v>47</v>
      </c>
      <c r="AJ500" t="s">
        <v>47</v>
      </c>
      <c r="AK500" t="s">
        <v>47</v>
      </c>
      <c r="AL500" t="s">
        <v>47</v>
      </c>
      <c r="AM500" t="s">
        <v>47</v>
      </c>
      <c r="AN500" t="s">
        <v>47</v>
      </c>
      <c r="AO500" s="5" t="s">
        <v>60</v>
      </c>
      <c r="AP500" s="4" t="s">
        <v>61</v>
      </c>
      <c r="AQ500" s="4" t="s">
        <v>53</v>
      </c>
      <c r="AR500" s="4" t="s">
        <v>2129</v>
      </c>
      <c r="AS500" s="5">
        <v>12733</v>
      </c>
      <c r="AT500" t="s">
        <v>47</v>
      </c>
    </row>
    <row r="501" spans="1:46" ht="13" x14ac:dyDescent="0.3">
      <c r="A501" s="4" t="s">
        <v>2130</v>
      </c>
      <c r="B501" t="s">
        <v>47</v>
      </c>
      <c r="C501" s="4" t="s">
        <v>2131</v>
      </c>
      <c r="D501" s="4" t="s">
        <v>2132</v>
      </c>
      <c r="E501" s="4" t="s">
        <v>66</v>
      </c>
      <c r="F501" s="5" t="s">
        <v>2133</v>
      </c>
      <c r="G501" s="5" t="s">
        <v>2134</v>
      </c>
      <c r="H501" t="s">
        <v>47</v>
      </c>
      <c r="I501" t="s">
        <v>47</v>
      </c>
      <c r="J501" t="s">
        <v>47</v>
      </c>
      <c r="K501" t="s">
        <v>47</v>
      </c>
      <c r="L501" s="5" t="s">
        <v>60</v>
      </c>
      <c r="M501" t="s">
        <v>47</v>
      </c>
      <c r="N501" t="s">
        <v>47</v>
      </c>
      <c r="O501" t="s">
        <v>47</v>
      </c>
      <c r="P501" t="s">
        <v>47</v>
      </c>
      <c r="Q501" t="s">
        <v>47</v>
      </c>
      <c r="R501" t="s">
        <v>47</v>
      </c>
      <c r="S501" t="s">
        <v>47</v>
      </c>
      <c r="T501" t="s">
        <v>47</v>
      </c>
      <c r="U501" t="s">
        <v>47</v>
      </c>
      <c r="V501" t="s">
        <v>47</v>
      </c>
      <c r="W501" s="3">
        <v>39904</v>
      </c>
      <c r="X501" s="5" t="s">
        <v>50</v>
      </c>
      <c r="Y501" t="s">
        <v>47</v>
      </c>
      <c r="Z501" s="3">
        <v>39904</v>
      </c>
      <c r="AA501" s="5" t="s">
        <v>50</v>
      </c>
      <c r="AB501" t="s">
        <v>47</v>
      </c>
      <c r="AC501" s="3">
        <v>39904</v>
      </c>
      <c r="AD501" s="5" t="s">
        <v>50</v>
      </c>
      <c r="AE501" t="s">
        <v>47</v>
      </c>
      <c r="AF501" t="s">
        <v>47</v>
      </c>
      <c r="AG501" t="s">
        <v>47</v>
      </c>
      <c r="AH501" t="s">
        <v>47</v>
      </c>
      <c r="AI501" t="s">
        <v>47</v>
      </c>
      <c r="AJ501" t="s">
        <v>47</v>
      </c>
      <c r="AK501" t="s">
        <v>47</v>
      </c>
      <c r="AL501" t="s">
        <v>47</v>
      </c>
      <c r="AM501" t="s">
        <v>47</v>
      </c>
      <c r="AN501" t="s">
        <v>47</v>
      </c>
      <c r="AO501" s="5" t="s">
        <v>60</v>
      </c>
      <c r="AP501" s="4" t="s">
        <v>61</v>
      </c>
      <c r="AQ501" s="4" t="s">
        <v>198</v>
      </c>
      <c r="AR501" s="4" t="s">
        <v>167</v>
      </c>
      <c r="AS501" s="5">
        <v>76075</v>
      </c>
      <c r="AT501" t="s">
        <v>47</v>
      </c>
    </row>
    <row r="502" spans="1:46" ht="26" x14ac:dyDescent="0.3">
      <c r="A502" s="4" t="s">
        <v>2135</v>
      </c>
      <c r="B502" t="s">
        <v>47</v>
      </c>
      <c r="C502" s="4" t="s">
        <v>2135</v>
      </c>
      <c r="D502" s="4" t="s">
        <v>1546</v>
      </c>
      <c r="E502" s="4" t="s">
        <v>701</v>
      </c>
      <c r="F502" t="s">
        <v>47</v>
      </c>
      <c r="G502" s="5" t="s">
        <v>2136</v>
      </c>
      <c r="H502" t="s">
        <v>47</v>
      </c>
      <c r="I502" s="3">
        <v>40179</v>
      </c>
      <c r="J502" s="3">
        <v>44287</v>
      </c>
      <c r="K502" t="s">
        <v>47</v>
      </c>
      <c r="L502" s="5" t="s">
        <v>60</v>
      </c>
      <c r="M502" t="s">
        <v>47</v>
      </c>
      <c r="N502" t="s">
        <v>47</v>
      </c>
      <c r="O502" t="s">
        <v>47</v>
      </c>
      <c r="P502" s="3">
        <v>40179</v>
      </c>
      <c r="Q502" s="3">
        <v>44287</v>
      </c>
      <c r="R502" t="s">
        <v>47</v>
      </c>
      <c r="S502" t="s">
        <v>47</v>
      </c>
      <c r="T502" t="s">
        <v>47</v>
      </c>
      <c r="U502" t="s">
        <v>47</v>
      </c>
      <c r="V502" t="s">
        <v>47</v>
      </c>
      <c r="W502" s="3">
        <v>40179</v>
      </c>
      <c r="X502" s="3">
        <v>44287</v>
      </c>
      <c r="Y502" t="s">
        <v>47</v>
      </c>
      <c r="Z502" s="3">
        <v>40179</v>
      </c>
      <c r="AA502" s="3">
        <v>44287</v>
      </c>
      <c r="AB502" t="s">
        <v>47</v>
      </c>
      <c r="AC502" s="3">
        <v>40179</v>
      </c>
      <c r="AD502" s="3">
        <v>44287</v>
      </c>
      <c r="AE502" t="s">
        <v>47</v>
      </c>
      <c r="AF502" t="s">
        <v>47</v>
      </c>
      <c r="AG502" t="s">
        <v>47</v>
      </c>
      <c r="AH502" t="s">
        <v>47</v>
      </c>
      <c r="AI502" t="s">
        <v>47</v>
      </c>
      <c r="AJ502" t="s">
        <v>47</v>
      </c>
      <c r="AK502" t="s">
        <v>47</v>
      </c>
      <c r="AL502" t="s">
        <v>47</v>
      </c>
      <c r="AM502" t="s">
        <v>47</v>
      </c>
      <c r="AN502" t="s">
        <v>47</v>
      </c>
      <c r="AO502" s="5" t="s">
        <v>60</v>
      </c>
      <c r="AP502" s="4" t="s">
        <v>61</v>
      </c>
      <c r="AQ502" s="4" t="s">
        <v>53</v>
      </c>
      <c r="AR502" s="4" t="s">
        <v>2137</v>
      </c>
      <c r="AS502" s="5">
        <v>1946345</v>
      </c>
      <c r="AT502" t="s">
        <v>47</v>
      </c>
    </row>
    <row r="503" spans="1:46" ht="26" x14ac:dyDescent="0.3">
      <c r="A503" s="4" t="s">
        <v>2138</v>
      </c>
      <c r="B503" t="s">
        <v>47</v>
      </c>
      <c r="C503" s="4" t="s">
        <v>122</v>
      </c>
      <c r="D503" s="4" t="s">
        <v>206</v>
      </c>
      <c r="E503" s="4" t="s">
        <v>123</v>
      </c>
      <c r="F503" s="5" t="s">
        <v>2139</v>
      </c>
      <c r="G503" s="5" t="s">
        <v>2140</v>
      </c>
      <c r="H503" t="s">
        <v>47</v>
      </c>
      <c r="I503" s="3">
        <v>36220</v>
      </c>
      <c r="J503" s="5" t="s">
        <v>50</v>
      </c>
      <c r="K503" t="s">
        <v>47</v>
      </c>
      <c r="L503" s="5" t="s">
        <v>60</v>
      </c>
      <c r="M503" s="3">
        <v>40238</v>
      </c>
      <c r="N503" s="5" t="s">
        <v>50</v>
      </c>
      <c r="O503" t="s">
        <v>47</v>
      </c>
      <c r="P503" s="3">
        <v>36220</v>
      </c>
      <c r="Q503" s="5" t="s">
        <v>50</v>
      </c>
      <c r="R503" t="s">
        <v>47</v>
      </c>
      <c r="S503" t="s">
        <v>47</v>
      </c>
      <c r="T503" t="s">
        <v>47</v>
      </c>
      <c r="U503" t="s">
        <v>47</v>
      </c>
      <c r="V503" s="5">
        <v>365</v>
      </c>
      <c r="W503" s="3">
        <v>35490</v>
      </c>
      <c r="X503" s="5" t="s">
        <v>50</v>
      </c>
      <c r="Y503" t="s">
        <v>47</v>
      </c>
      <c r="Z503" s="3">
        <v>35490</v>
      </c>
      <c r="AA503" s="5" t="s">
        <v>50</v>
      </c>
      <c r="AB503" t="s">
        <v>47</v>
      </c>
      <c r="AC503" s="3">
        <v>35490</v>
      </c>
      <c r="AD503" s="5" t="s">
        <v>50</v>
      </c>
      <c r="AE503" t="s">
        <v>47</v>
      </c>
      <c r="AF503" t="s">
        <v>47</v>
      </c>
      <c r="AG503" t="s">
        <v>47</v>
      </c>
      <c r="AH503" t="s">
        <v>47</v>
      </c>
      <c r="AI503" t="s">
        <v>47</v>
      </c>
      <c r="AJ503" t="s">
        <v>47</v>
      </c>
      <c r="AK503" t="s">
        <v>47</v>
      </c>
      <c r="AL503" t="s">
        <v>47</v>
      </c>
      <c r="AM503" t="s">
        <v>47</v>
      </c>
      <c r="AN503" t="s">
        <v>47</v>
      </c>
      <c r="AO503" s="5" t="s">
        <v>60</v>
      </c>
      <c r="AP503" s="4" t="s">
        <v>61</v>
      </c>
      <c r="AQ503" s="4" t="s">
        <v>198</v>
      </c>
      <c r="AR503" s="4" t="s">
        <v>807</v>
      </c>
      <c r="AS503" s="5">
        <v>2034548</v>
      </c>
      <c r="AT503" t="s">
        <v>47</v>
      </c>
    </row>
    <row r="504" spans="1:46" ht="26" x14ac:dyDescent="0.3">
      <c r="A504" s="4" t="s">
        <v>2141</v>
      </c>
      <c r="B504" t="s">
        <v>47</v>
      </c>
      <c r="C504" s="4" t="s">
        <v>169</v>
      </c>
      <c r="D504" s="4" t="s">
        <v>339</v>
      </c>
      <c r="E504" s="4" t="s">
        <v>66</v>
      </c>
      <c r="F504" s="5" t="s">
        <v>2142</v>
      </c>
      <c r="G504" s="5" t="s">
        <v>2143</v>
      </c>
      <c r="H504" t="s">
        <v>47</v>
      </c>
      <c r="I504" s="3">
        <v>35796</v>
      </c>
      <c r="J504" s="3">
        <v>36526</v>
      </c>
      <c r="K504" t="s">
        <v>47</v>
      </c>
      <c r="L504" s="5" t="s">
        <v>60</v>
      </c>
      <c r="M504" s="3">
        <v>35796</v>
      </c>
      <c r="N504" s="3">
        <v>36526</v>
      </c>
      <c r="O504" t="s">
        <v>47</v>
      </c>
      <c r="P504" s="3">
        <v>35796</v>
      </c>
      <c r="Q504" s="3">
        <v>36526</v>
      </c>
      <c r="R504" t="s">
        <v>47</v>
      </c>
      <c r="S504" t="s">
        <v>47</v>
      </c>
      <c r="T504" t="s">
        <v>47</v>
      </c>
      <c r="U504" t="s">
        <v>47</v>
      </c>
      <c r="V504" t="s">
        <v>47</v>
      </c>
      <c r="W504" s="3">
        <v>35796</v>
      </c>
      <c r="X504" s="5" t="s">
        <v>50</v>
      </c>
      <c r="Y504" s="5" t="s">
        <v>2144</v>
      </c>
      <c r="Z504" s="3">
        <v>35796</v>
      </c>
      <c r="AA504" s="5" t="s">
        <v>50</v>
      </c>
      <c r="AB504" s="5" t="s">
        <v>2144</v>
      </c>
      <c r="AC504" s="3">
        <v>40940</v>
      </c>
      <c r="AD504" s="5" t="s">
        <v>50</v>
      </c>
      <c r="AE504" t="s">
        <v>47</v>
      </c>
      <c r="AF504" t="s">
        <v>47</v>
      </c>
      <c r="AG504" t="s">
        <v>47</v>
      </c>
      <c r="AH504" t="s">
        <v>47</v>
      </c>
      <c r="AI504" t="s">
        <v>47</v>
      </c>
      <c r="AJ504" t="s">
        <v>47</v>
      </c>
      <c r="AK504" t="s">
        <v>47</v>
      </c>
      <c r="AL504" t="s">
        <v>47</v>
      </c>
      <c r="AM504" t="s">
        <v>47</v>
      </c>
      <c r="AN504" t="s">
        <v>47</v>
      </c>
      <c r="AO504" s="5" t="s">
        <v>60</v>
      </c>
      <c r="AP504" s="4" t="s">
        <v>61</v>
      </c>
      <c r="AQ504" s="4" t="s">
        <v>53</v>
      </c>
      <c r="AR504" s="4" t="s">
        <v>54</v>
      </c>
      <c r="AS504" s="5">
        <v>32883</v>
      </c>
      <c r="AT504" t="s">
        <v>47</v>
      </c>
    </row>
    <row r="505" spans="1:46" ht="39" x14ac:dyDescent="0.3">
      <c r="A505" s="4" t="s">
        <v>2145</v>
      </c>
      <c r="B505" t="s">
        <v>47</v>
      </c>
      <c r="C505" s="4" t="s">
        <v>115</v>
      </c>
      <c r="D505" s="4" t="s">
        <v>2146</v>
      </c>
      <c r="E505" s="4" t="s">
        <v>66</v>
      </c>
      <c r="F505" s="5" t="s">
        <v>2147</v>
      </c>
      <c r="G505" s="5" t="s">
        <v>2148</v>
      </c>
      <c r="H505" t="s">
        <v>47</v>
      </c>
      <c r="I505" s="3">
        <v>33604</v>
      </c>
      <c r="J505" s="5" t="s">
        <v>50</v>
      </c>
      <c r="K505" t="s">
        <v>47</v>
      </c>
      <c r="L505" s="5" t="s">
        <v>60</v>
      </c>
      <c r="M505" s="3">
        <v>33604</v>
      </c>
      <c r="N505" s="5" t="s">
        <v>50</v>
      </c>
      <c r="O505" t="s">
        <v>47</v>
      </c>
      <c r="P505" s="3">
        <v>36892</v>
      </c>
      <c r="Q505" s="5" t="s">
        <v>50</v>
      </c>
      <c r="R505" t="s">
        <v>47</v>
      </c>
      <c r="S505" t="s">
        <v>47</v>
      </c>
      <c r="T505" t="s">
        <v>47</v>
      </c>
      <c r="U505" t="s">
        <v>47</v>
      </c>
      <c r="V505" s="5">
        <v>365</v>
      </c>
      <c r="W505" s="3">
        <v>29952</v>
      </c>
      <c r="X505" s="5" t="s">
        <v>50</v>
      </c>
      <c r="Y505" t="s">
        <v>47</v>
      </c>
      <c r="Z505" s="3">
        <v>29952</v>
      </c>
      <c r="AA505" s="5" t="s">
        <v>50</v>
      </c>
      <c r="AB505" t="s">
        <v>47</v>
      </c>
      <c r="AC505" s="3">
        <v>29952</v>
      </c>
      <c r="AD505" s="5" t="s">
        <v>50</v>
      </c>
      <c r="AE505" t="s">
        <v>47</v>
      </c>
      <c r="AF505" t="s">
        <v>47</v>
      </c>
      <c r="AG505" t="s">
        <v>47</v>
      </c>
      <c r="AH505" t="s">
        <v>47</v>
      </c>
      <c r="AI505" t="s">
        <v>47</v>
      </c>
      <c r="AJ505" t="s">
        <v>47</v>
      </c>
      <c r="AK505" t="s">
        <v>47</v>
      </c>
      <c r="AL505" t="s">
        <v>47</v>
      </c>
      <c r="AM505" t="s">
        <v>47</v>
      </c>
      <c r="AN505" t="s">
        <v>47</v>
      </c>
      <c r="AO505" s="5" t="s">
        <v>60</v>
      </c>
      <c r="AP505" s="4" t="s">
        <v>61</v>
      </c>
      <c r="AQ505" s="4" t="s">
        <v>53</v>
      </c>
      <c r="AR505" s="4" t="s">
        <v>147</v>
      </c>
      <c r="AS505" s="5">
        <v>37218</v>
      </c>
      <c r="AT505" t="s">
        <v>47</v>
      </c>
    </row>
    <row r="506" spans="1:46" ht="13" x14ac:dyDescent="0.3">
      <c r="A506" s="4" t="s">
        <v>2149</v>
      </c>
      <c r="B506" t="s">
        <v>47</v>
      </c>
      <c r="C506" s="4" t="s">
        <v>169</v>
      </c>
      <c r="D506" s="4" t="s">
        <v>339</v>
      </c>
      <c r="E506" s="4" t="s">
        <v>66</v>
      </c>
      <c r="F506" s="5" t="s">
        <v>2150</v>
      </c>
      <c r="G506" s="5" t="s">
        <v>2151</v>
      </c>
      <c r="H506" t="s">
        <v>47</v>
      </c>
      <c r="I506" t="s">
        <v>47</v>
      </c>
      <c r="J506" t="s">
        <v>47</v>
      </c>
      <c r="K506" t="s">
        <v>47</v>
      </c>
      <c r="L506" s="5" t="s">
        <v>60</v>
      </c>
      <c r="M506" t="s">
        <v>47</v>
      </c>
      <c r="N506" t="s">
        <v>47</v>
      </c>
      <c r="O506" t="s">
        <v>47</v>
      </c>
      <c r="P506" t="s">
        <v>47</v>
      </c>
      <c r="Q506" t="s">
        <v>47</v>
      </c>
      <c r="R506" t="s">
        <v>47</v>
      </c>
      <c r="S506" t="s">
        <v>47</v>
      </c>
      <c r="T506" t="s">
        <v>47</v>
      </c>
      <c r="U506" t="s">
        <v>47</v>
      </c>
      <c r="V506" t="s">
        <v>47</v>
      </c>
      <c r="W506" s="3">
        <v>40179</v>
      </c>
      <c r="X506" s="3">
        <v>40817</v>
      </c>
      <c r="Y506" t="s">
        <v>47</v>
      </c>
      <c r="Z506" s="3">
        <v>40179</v>
      </c>
      <c r="AA506" s="3">
        <v>40817</v>
      </c>
      <c r="AB506" t="s">
        <v>47</v>
      </c>
      <c r="AC506" s="3">
        <v>40179</v>
      </c>
      <c r="AD506" s="3">
        <v>40817</v>
      </c>
      <c r="AE506" t="s">
        <v>47</v>
      </c>
      <c r="AF506" t="s">
        <v>47</v>
      </c>
      <c r="AG506" t="s">
        <v>47</v>
      </c>
      <c r="AH506" t="s">
        <v>47</v>
      </c>
      <c r="AI506" t="s">
        <v>47</v>
      </c>
      <c r="AJ506" t="s">
        <v>47</v>
      </c>
      <c r="AK506" t="s">
        <v>47</v>
      </c>
      <c r="AL506" t="s">
        <v>47</v>
      </c>
      <c r="AM506" t="s">
        <v>47</v>
      </c>
      <c r="AN506" t="s">
        <v>47</v>
      </c>
      <c r="AO506" s="5" t="s">
        <v>60</v>
      </c>
      <c r="AP506" s="4" t="s">
        <v>61</v>
      </c>
      <c r="AQ506" s="4" t="s">
        <v>53</v>
      </c>
      <c r="AR506" s="4" t="s">
        <v>54</v>
      </c>
      <c r="AS506" s="5">
        <v>426769</v>
      </c>
      <c r="AT506" t="s">
        <v>47</v>
      </c>
    </row>
    <row r="507" spans="1:46" ht="26" x14ac:dyDescent="0.3">
      <c r="A507" s="4" t="s">
        <v>2152</v>
      </c>
      <c r="B507" t="s">
        <v>47</v>
      </c>
      <c r="C507" s="4" t="s">
        <v>183</v>
      </c>
      <c r="D507" s="4" t="s">
        <v>1297</v>
      </c>
      <c r="E507" s="4" t="s">
        <v>49</v>
      </c>
      <c r="F507" s="5" t="s">
        <v>2153</v>
      </c>
      <c r="G507" s="5" t="s">
        <v>2154</v>
      </c>
      <c r="H507" t="s">
        <v>47</v>
      </c>
      <c r="I507" t="s">
        <v>47</v>
      </c>
      <c r="J507" t="s">
        <v>47</v>
      </c>
      <c r="K507" t="s">
        <v>47</v>
      </c>
      <c r="L507" s="5" t="s">
        <v>60</v>
      </c>
      <c r="M507" t="s">
        <v>47</v>
      </c>
      <c r="N507" t="s">
        <v>47</v>
      </c>
      <c r="O507" t="s">
        <v>47</v>
      </c>
      <c r="P507" t="s">
        <v>47</v>
      </c>
      <c r="Q507" t="s">
        <v>47</v>
      </c>
      <c r="R507" t="s">
        <v>47</v>
      </c>
      <c r="S507" t="s">
        <v>47</v>
      </c>
      <c r="T507" t="s">
        <v>47</v>
      </c>
      <c r="U507" t="s">
        <v>47</v>
      </c>
      <c r="V507" t="s">
        <v>47</v>
      </c>
      <c r="W507" s="3">
        <v>31837</v>
      </c>
      <c r="X507" s="5" t="s">
        <v>50</v>
      </c>
      <c r="Y507" t="s">
        <v>47</v>
      </c>
      <c r="Z507" s="3">
        <v>31837</v>
      </c>
      <c r="AA507" s="5" t="s">
        <v>50</v>
      </c>
      <c r="AB507" t="s">
        <v>47</v>
      </c>
      <c r="AC507" s="3">
        <v>31837</v>
      </c>
      <c r="AD507" s="5" t="s">
        <v>50</v>
      </c>
      <c r="AE507" t="s">
        <v>47</v>
      </c>
      <c r="AF507" t="s">
        <v>47</v>
      </c>
      <c r="AG507" t="s">
        <v>47</v>
      </c>
      <c r="AH507" t="s">
        <v>47</v>
      </c>
      <c r="AI507" t="s">
        <v>47</v>
      </c>
      <c r="AJ507" t="s">
        <v>47</v>
      </c>
      <c r="AK507" t="s">
        <v>47</v>
      </c>
      <c r="AL507" t="s">
        <v>47</v>
      </c>
      <c r="AM507" t="s">
        <v>47</v>
      </c>
      <c r="AN507" t="s">
        <v>47</v>
      </c>
      <c r="AO507" s="5" t="s">
        <v>60</v>
      </c>
      <c r="AP507" s="4" t="s">
        <v>61</v>
      </c>
      <c r="AQ507" s="4" t="s">
        <v>53</v>
      </c>
      <c r="AR507" s="4" t="s">
        <v>988</v>
      </c>
      <c r="AS507" s="5">
        <v>37701</v>
      </c>
      <c r="AT507" t="s">
        <v>47</v>
      </c>
    </row>
    <row r="508" spans="1:46" ht="52" x14ac:dyDescent="0.3">
      <c r="A508" s="4" t="s">
        <v>2155</v>
      </c>
      <c r="B508" t="s">
        <v>47</v>
      </c>
      <c r="C508" s="4" t="s">
        <v>183</v>
      </c>
      <c r="D508" s="4" t="s">
        <v>1297</v>
      </c>
      <c r="E508" s="4" t="s">
        <v>49</v>
      </c>
      <c r="F508" s="5" t="s">
        <v>2156</v>
      </c>
      <c r="G508" s="5" t="s">
        <v>2157</v>
      </c>
      <c r="H508" t="s">
        <v>47</v>
      </c>
      <c r="I508" t="s">
        <v>47</v>
      </c>
      <c r="J508" t="s">
        <v>47</v>
      </c>
      <c r="K508" t="s">
        <v>47</v>
      </c>
      <c r="L508" s="5" t="s">
        <v>60</v>
      </c>
      <c r="M508" t="s">
        <v>47</v>
      </c>
      <c r="N508" t="s">
        <v>47</v>
      </c>
      <c r="O508" t="s">
        <v>47</v>
      </c>
      <c r="P508" t="s">
        <v>47</v>
      </c>
      <c r="Q508" t="s">
        <v>47</v>
      </c>
      <c r="R508" t="s">
        <v>47</v>
      </c>
      <c r="S508" t="s">
        <v>47</v>
      </c>
      <c r="T508" t="s">
        <v>47</v>
      </c>
      <c r="U508" t="s">
        <v>47</v>
      </c>
      <c r="V508" t="s">
        <v>47</v>
      </c>
      <c r="W508" s="3">
        <v>35096</v>
      </c>
      <c r="X508" s="5" t="s">
        <v>50</v>
      </c>
      <c r="Y508" t="s">
        <v>47</v>
      </c>
      <c r="Z508" s="3">
        <v>35096</v>
      </c>
      <c r="AA508" s="5" t="s">
        <v>50</v>
      </c>
      <c r="AB508" t="s">
        <v>47</v>
      </c>
      <c r="AC508" s="3">
        <v>35156</v>
      </c>
      <c r="AD508" s="5" t="s">
        <v>50</v>
      </c>
      <c r="AE508" t="s">
        <v>47</v>
      </c>
      <c r="AF508" t="s">
        <v>47</v>
      </c>
      <c r="AG508" t="s">
        <v>47</v>
      </c>
      <c r="AH508" t="s">
        <v>47</v>
      </c>
      <c r="AI508" t="s">
        <v>47</v>
      </c>
      <c r="AJ508" t="s">
        <v>47</v>
      </c>
      <c r="AK508" t="s">
        <v>47</v>
      </c>
      <c r="AL508" t="s">
        <v>47</v>
      </c>
      <c r="AM508" t="s">
        <v>47</v>
      </c>
      <c r="AN508" t="s">
        <v>47</v>
      </c>
      <c r="AO508" s="5" t="s">
        <v>60</v>
      </c>
      <c r="AP508" s="4" t="s">
        <v>61</v>
      </c>
      <c r="AQ508" s="4" t="s">
        <v>53</v>
      </c>
      <c r="AR508" s="4" t="s">
        <v>2073</v>
      </c>
      <c r="AS508" s="5">
        <v>5399</v>
      </c>
      <c r="AT508" t="s">
        <v>47</v>
      </c>
    </row>
    <row r="509" spans="1:46" ht="52" x14ac:dyDescent="0.3">
      <c r="A509" s="4" t="s">
        <v>2158</v>
      </c>
      <c r="B509" t="s">
        <v>47</v>
      </c>
      <c r="C509" s="4" t="s">
        <v>1095</v>
      </c>
      <c r="D509" s="4" t="s">
        <v>70</v>
      </c>
      <c r="E509" s="4" t="s">
        <v>66</v>
      </c>
      <c r="F509" s="5" t="s">
        <v>2159</v>
      </c>
      <c r="G509" s="5" t="s">
        <v>2160</v>
      </c>
      <c r="H509" t="s">
        <v>47</v>
      </c>
      <c r="I509" t="s">
        <v>47</v>
      </c>
      <c r="J509" t="s">
        <v>47</v>
      </c>
      <c r="K509" t="s">
        <v>47</v>
      </c>
      <c r="L509" s="5" t="s">
        <v>60</v>
      </c>
      <c r="M509" t="s">
        <v>47</v>
      </c>
      <c r="N509" t="s">
        <v>47</v>
      </c>
      <c r="O509" t="s">
        <v>47</v>
      </c>
      <c r="P509" t="s">
        <v>47</v>
      </c>
      <c r="Q509" t="s">
        <v>47</v>
      </c>
      <c r="R509" t="s">
        <v>47</v>
      </c>
      <c r="S509" t="s">
        <v>47</v>
      </c>
      <c r="T509" t="s">
        <v>47</v>
      </c>
      <c r="U509" t="s">
        <v>47</v>
      </c>
      <c r="V509" t="s">
        <v>47</v>
      </c>
      <c r="W509" s="3">
        <v>40210</v>
      </c>
      <c r="X509" s="3">
        <v>44713</v>
      </c>
      <c r="Y509" t="s">
        <v>47</v>
      </c>
      <c r="Z509" s="3">
        <v>40210</v>
      </c>
      <c r="AA509" s="3">
        <v>44713</v>
      </c>
      <c r="AB509" t="s">
        <v>47</v>
      </c>
      <c r="AC509" s="3">
        <v>40210</v>
      </c>
      <c r="AD509" s="3">
        <v>44713</v>
      </c>
      <c r="AE509" t="s">
        <v>47</v>
      </c>
      <c r="AF509" t="s">
        <v>47</v>
      </c>
      <c r="AG509" t="s">
        <v>47</v>
      </c>
      <c r="AH509" t="s">
        <v>47</v>
      </c>
      <c r="AI509" t="s">
        <v>47</v>
      </c>
      <c r="AJ509" t="s">
        <v>47</v>
      </c>
      <c r="AK509" t="s">
        <v>47</v>
      </c>
      <c r="AL509" t="s">
        <v>47</v>
      </c>
      <c r="AM509" t="s">
        <v>47</v>
      </c>
      <c r="AN509" t="s">
        <v>47</v>
      </c>
      <c r="AO509" s="5" t="s">
        <v>60</v>
      </c>
      <c r="AP509" s="4" t="s">
        <v>61</v>
      </c>
      <c r="AQ509" s="4" t="s">
        <v>53</v>
      </c>
      <c r="AR509" s="4" t="s">
        <v>2073</v>
      </c>
      <c r="AS509" s="5">
        <v>186245</v>
      </c>
      <c r="AT509" t="s">
        <v>47</v>
      </c>
    </row>
    <row r="510" spans="1:46" ht="65" x14ac:dyDescent="0.3">
      <c r="A510" s="4" t="s">
        <v>2161</v>
      </c>
      <c r="B510" t="s">
        <v>47</v>
      </c>
      <c r="C510" s="4" t="s">
        <v>183</v>
      </c>
      <c r="D510" s="4" t="s">
        <v>223</v>
      </c>
      <c r="E510" s="4" t="s">
        <v>49</v>
      </c>
      <c r="F510" s="5" t="s">
        <v>2162</v>
      </c>
      <c r="G510" s="5" t="s">
        <v>2163</v>
      </c>
      <c r="H510" t="s">
        <v>47</v>
      </c>
      <c r="I510" s="3">
        <v>33270</v>
      </c>
      <c r="J510" s="3">
        <v>42917</v>
      </c>
      <c r="K510" t="s">
        <v>47</v>
      </c>
      <c r="L510" s="5" t="s">
        <v>60</v>
      </c>
      <c r="M510" s="3">
        <v>34366</v>
      </c>
      <c r="N510" s="3">
        <v>42917</v>
      </c>
      <c r="O510" t="s">
        <v>47</v>
      </c>
      <c r="P510" s="3">
        <v>33270</v>
      </c>
      <c r="Q510" s="3">
        <v>42917</v>
      </c>
      <c r="R510" t="s">
        <v>47</v>
      </c>
      <c r="S510" t="s">
        <v>47</v>
      </c>
      <c r="T510" t="s">
        <v>47</v>
      </c>
      <c r="U510" t="s">
        <v>47</v>
      </c>
      <c r="V510" t="s">
        <v>47</v>
      </c>
      <c r="W510" s="3">
        <v>12540</v>
      </c>
      <c r="X510" s="5" t="s">
        <v>50</v>
      </c>
      <c r="Y510" s="5" t="s">
        <v>2164</v>
      </c>
      <c r="Z510" s="3">
        <v>12540</v>
      </c>
      <c r="AA510" s="5" t="s">
        <v>50</v>
      </c>
      <c r="AB510" s="5" t="s">
        <v>2164</v>
      </c>
      <c r="AC510" s="3">
        <v>12693</v>
      </c>
      <c r="AD510" s="5" t="s">
        <v>50</v>
      </c>
      <c r="AE510" s="5" t="s">
        <v>2165</v>
      </c>
      <c r="AF510" t="s">
        <v>47</v>
      </c>
      <c r="AG510" t="s">
        <v>47</v>
      </c>
      <c r="AH510" t="s">
        <v>47</v>
      </c>
      <c r="AI510" t="s">
        <v>47</v>
      </c>
      <c r="AJ510" t="s">
        <v>47</v>
      </c>
      <c r="AK510" t="s">
        <v>47</v>
      </c>
      <c r="AL510" t="s">
        <v>47</v>
      </c>
      <c r="AM510" t="s">
        <v>47</v>
      </c>
      <c r="AN510" t="s">
        <v>47</v>
      </c>
      <c r="AO510" s="5" t="s">
        <v>60</v>
      </c>
      <c r="AP510" s="4" t="s">
        <v>61</v>
      </c>
      <c r="AQ510" s="4" t="s">
        <v>53</v>
      </c>
      <c r="AR510" s="4" t="s">
        <v>2013</v>
      </c>
      <c r="AS510" s="5">
        <v>7735</v>
      </c>
      <c r="AT510" t="s">
        <v>47</v>
      </c>
    </row>
    <row r="511" spans="1:46" ht="130" x14ac:dyDescent="0.3">
      <c r="A511" s="4" t="s">
        <v>2166</v>
      </c>
      <c r="B511" t="s">
        <v>47</v>
      </c>
      <c r="C511" s="4" t="s">
        <v>2167</v>
      </c>
      <c r="D511" s="4" t="s">
        <v>1420</v>
      </c>
      <c r="E511" s="4" t="s">
        <v>49</v>
      </c>
      <c r="F511" t="s">
        <v>47</v>
      </c>
      <c r="G511" s="5" t="s">
        <v>2168</v>
      </c>
      <c r="H511" t="s">
        <v>47</v>
      </c>
      <c r="I511" s="3">
        <v>40330</v>
      </c>
      <c r="J511" s="5" t="s">
        <v>50</v>
      </c>
      <c r="K511" t="s">
        <v>47</v>
      </c>
      <c r="L511" s="5" t="s">
        <v>51</v>
      </c>
      <c r="M511" s="3">
        <v>40330</v>
      </c>
      <c r="N511" s="5" t="s">
        <v>50</v>
      </c>
      <c r="O511" t="s">
        <v>47</v>
      </c>
      <c r="P511" s="3">
        <v>40330</v>
      </c>
      <c r="Q511" s="5" t="s">
        <v>50</v>
      </c>
      <c r="R511" t="s">
        <v>47</v>
      </c>
      <c r="S511" t="s">
        <v>47</v>
      </c>
      <c r="T511" t="s">
        <v>47</v>
      </c>
      <c r="U511" t="s">
        <v>47</v>
      </c>
      <c r="V511" t="s">
        <v>47</v>
      </c>
      <c r="W511" s="3">
        <v>40330</v>
      </c>
      <c r="X511" s="5" t="s">
        <v>50</v>
      </c>
      <c r="Y511" t="s">
        <v>47</v>
      </c>
      <c r="Z511" s="3">
        <v>40330</v>
      </c>
      <c r="AA511" s="5" t="s">
        <v>50</v>
      </c>
      <c r="AB511" t="s">
        <v>47</v>
      </c>
      <c r="AC511" s="3">
        <v>40330</v>
      </c>
      <c r="AD511" s="5" t="s">
        <v>50</v>
      </c>
      <c r="AE511" t="s">
        <v>47</v>
      </c>
      <c r="AF511" t="s">
        <v>47</v>
      </c>
      <c r="AG511" t="s">
        <v>47</v>
      </c>
      <c r="AH511" t="s">
        <v>47</v>
      </c>
      <c r="AI511" t="s">
        <v>47</v>
      </c>
      <c r="AJ511" t="s">
        <v>47</v>
      </c>
      <c r="AK511" t="s">
        <v>47</v>
      </c>
      <c r="AL511" t="s">
        <v>47</v>
      </c>
      <c r="AM511" t="s">
        <v>47</v>
      </c>
      <c r="AN511" t="s">
        <v>47</v>
      </c>
      <c r="AO511" s="5" t="s">
        <v>51</v>
      </c>
      <c r="AP511" s="4" t="s">
        <v>135</v>
      </c>
      <c r="AQ511" s="4" t="s">
        <v>53</v>
      </c>
      <c r="AR511" s="4" t="s">
        <v>2169</v>
      </c>
      <c r="AS511" s="5">
        <v>426721</v>
      </c>
      <c r="AT511" t="s">
        <v>47</v>
      </c>
    </row>
    <row r="512" spans="1:46" ht="52" x14ac:dyDescent="0.3">
      <c r="A512" s="4" t="s">
        <v>2170</v>
      </c>
      <c r="B512" t="s">
        <v>47</v>
      </c>
      <c r="C512" s="4" t="s">
        <v>2167</v>
      </c>
      <c r="D512" s="4" t="s">
        <v>1420</v>
      </c>
      <c r="E512" s="4" t="s">
        <v>49</v>
      </c>
      <c r="F512" s="5" t="s">
        <v>2171</v>
      </c>
      <c r="G512" t="s">
        <v>47</v>
      </c>
      <c r="H512" t="s">
        <v>47</v>
      </c>
      <c r="I512" s="3">
        <v>32143</v>
      </c>
      <c r="J512" s="3">
        <v>40299</v>
      </c>
      <c r="K512" t="s">
        <v>47</v>
      </c>
      <c r="L512" s="5" t="s">
        <v>51</v>
      </c>
      <c r="M512" s="3">
        <v>34335</v>
      </c>
      <c r="N512" s="3">
        <v>40299</v>
      </c>
      <c r="O512" t="s">
        <v>47</v>
      </c>
      <c r="P512" s="3">
        <v>32143</v>
      </c>
      <c r="Q512" s="3">
        <v>40299</v>
      </c>
      <c r="R512" t="s">
        <v>47</v>
      </c>
      <c r="S512" t="s">
        <v>47</v>
      </c>
      <c r="T512" t="s">
        <v>47</v>
      </c>
      <c r="U512" t="s">
        <v>47</v>
      </c>
      <c r="V512" t="s">
        <v>47</v>
      </c>
      <c r="W512" s="3">
        <v>32143</v>
      </c>
      <c r="X512" s="3">
        <v>40299</v>
      </c>
      <c r="Y512" t="s">
        <v>47</v>
      </c>
      <c r="Z512" s="3">
        <v>32143</v>
      </c>
      <c r="AA512" s="3">
        <v>40299</v>
      </c>
      <c r="AB512" t="s">
        <v>47</v>
      </c>
      <c r="AC512" s="3">
        <v>32143</v>
      </c>
      <c r="AD512" s="3">
        <v>40299</v>
      </c>
      <c r="AE512" t="s">
        <v>47</v>
      </c>
      <c r="AF512" t="s">
        <v>47</v>
      </c>
      <c r="AG512" t="s">
        <v>47</v>
      </c>
      <c r="AH512" t="s">
        <v>47</v>
      </c>
      <c r="AI512" t="s">
        <v>47</v>
      </c>
      <c r="AJ512" t="s">
        <v>47</v>
      </c>
      <c r="AK512" t="s">
        <v>47</v>
      </c>
      <c r="AL512" t="s">
        <v>47</v>
      </c>
      <c r="AM512" t="s">
        <v>47</v>
      </c>
      <c r="AN512" t="s">
        <v>47</v>
      </c>
      <c r="AO512" s="5" t="s">
        <v>51</v>
      </c>
      <c r="AP512" s="4" t="s">
        <v>135</v>
      </c>
      <c r="AQ512" s="4" t="s">
        <v>53</v>
      </c>
      <c r="AR512" s="4" t="s">
        <v>1093</v>
      </c>
      <c r="AS512" s="5">
        <v>47516</v>
      </c>
      <c r="AT512" t="s">
        <v>47</v>
      </c>
    </row>
    <row r="513" spans="1:46" ht="78" x14ac:dyDescent="0.3">
      <c r="A513" s="4" t="s">
        <v>2172</v>
      </c>
      <c r="B513" t="s">
        <v>47</v>
      </c>
      <c r="C513" s="4" t="s">
        <v>169</v>
      </c>
      <c r="D513" s="4" t="s">
        <v>319</v>
      </c>
      <c r="E513" s="4" t="s">
        <v>66</v>
      </c>
      <c r="F513" s="5" t="s">
        <v>2173</v>
      </c>
      <c r="G513" s="5" t="s">
        <v>2174</v>
      </c>
      <c r="H513" t="s">
        <v>47</v>
      </c>
      <c r="I513" t="s">
        <v>47</v>
      </c>
      <c r="J513" t="s">
        <v>47</v>
      </c>
      <c r="K513" t="s">
        <v>47</v>
      </c>
      <c r="L513" s="5" t="s">
        <v>60</v>
      </c>
      <c r="M513" t="s">
        <v>47</v>
      </c>
      <c r="N513" t="s">
        <v>47</v>
      </c>
      <c r="O513" t="s">
        <v>47</v>
      </c>
      <c r="P513" t="s">
        <v>47</v>
      </c>
      <c r="Q513" t="s">
        <v>47</v>
      </c>
      <c r="R513" t="s">
        <v>47</v>
      </c>
      <c r="S513" t="s">
        <v>47</v>
      </c>
      <c r="T513" t="s">
        <v>47</v>
      </c>
      <c r="U513" t="s">
        <v>47</v>
      </c>
      <c r="V513" t="s">
        <v>47</v>
      </c>
      <c r="W513" s="3">
        <v>37073</v>
      </c>
      <c r="X513" s="5" t="s">
        <v>50</v>
      </c>
      <c r="Y513" s="5" t="s">
        <v>1131</v>
      </c>
      <c r="Z513" s="3">
        <v>37073</v>
      </c>
      <c r="AA513" s="5" t="s">
        <v>50</v>
      </c>
      <c r="AB513" s="5" t="s">
        <v>1131</v>
      </c>
      <c r="AC513" s="3">
        <v>37073</v>
      </c>
      <c r="AD513" s="5" t="s">
        <v>50</v>
      </c>
      <c r="AE513" s="5" t="s">
        <v>1131</v>
      </c>
      <c r="AF513" t="s">
        <v>47</v>
      </c>
      <c r="AG513" t="s">
        <v>47</v>
      </c>
      <c r="AH513" t="s">
        <v>47</v>
      </c>
      <c r="AI513" t="s">
        <v>47</v>
      </c>
      <c r="AJ513" t="s">
        <v>47</v>
      </c>
      <c r="AK513" t="s">
        <v>47</v>
      </c>
      <c r="AL513" t="s">
        <v>47</v>
      </c>
      <c r="AM513" t="s">
        <v>47</v>
      </c>
      <c r="AN513" t="s">
        <v>47</v>
      </c>
      <c r="AO513" s="5" t="s">
        <v>60</v>
      </c>
      <c r="AP513" s="4" t="s">
        <v>61</v>
      </c>
      <c r="AQ513" s="4" t="s">
        <v>53</v>
      </c>
      <c r="AR513" s="4" t="s">
        <v>436</v>
      </c>
      <c r="AS513" s="5">
        <v>36998</v>
      </c>
      <c r="AT513" t="s">
        <v>47</v>
      </c>
    </row>
    <row r="514" spans="1:46" ht="65" x14ac:dyDescent="0.3">
      <c r="A514" s="4" t="s">
        <v>2175</v>
      </c>
      <c r="B514" t="s">
        <v>47</v>
      </c>
      <c r="C514" s="4" t="s">
        <v>2176</v>
      </c>
      <c r="D514" s="4" t="s">
        <v>2177</v>
      </c>
      <c r="E514" s="4" t="s">
        <v>49</v>
      </c>
      <c r="F514" s="5" t="s">
        <v>2178</v>
      </c>
      <c r="G514" t="s">
        <v>47</v>
      </c>
      <c r="H514" t="s">
        <v>47</v>
      </c>
      <c r="I514" s="3">
        <v>35886</v>
      </c>
      <c r="J514" s="3">
        <v>36982</v>
      </c>
      <c r="K514" t="s">
        <v>47</v>
      </c>
      <c r="L514" s="5" t="s">
        <v>60</v>
      </c>
      <c r="M514" s="3">
        <v>35886</v>
      </c>
      <c r="N514" s="3">
        <v>36982</v>
      </c>
      <c r="O514" t="s">
        <v>47</v>
      </c>
      <c r="P514" s="3">
        <v>35886</v>
      </c>
      <c r="Q514" s="3">
        <v>36982</v>
      </c>
      <c r="R514" t="s">
        <v>47</v>
      </c>
      <c r="S514" t="s">
        <v>47</v>
      </c>
      <c r="T514" t="s">
        <v>47</v>
      </c>
      <c r="U514" t="s">
        <v>47</v>
      </c>
      <c r="V514" t="s">
        <v>47</v>
      </c>
      <c r="W514" s="3">
        <v>35886</v>
      </c>
      <c r="X514" s="3">
        <v>36982</v>
      </c>
      <c r="Y514" t="s">
        <v>47</v>
      </c>
      <c r="Z514" s="3">
        <v>35886</v>
      </c>
      <c r="AA514" s="3">
        <v>36982</v>
      </c>
      <c r="AB514" t="s">
        <v>47</v>
      </c>
      <c r="AC514" s="3">
        <v>35886</v>
      </c>
      <c r="AD514" s="3">
        <v>36982</v>
      </c>
      <c r="AE514" t="s">
        <v>47</v>
      </c>
      <c r="AF514" t="s">
        <v>47</v>
      </c>
      <c r="AG514" t="s">
        <v>47</v>
      </c>
      <c r="AH514" t="s">
        <v>47</v>
      </c>
      <c r="AI514" t="s">
        <v>47</v>
      </c>
      <c r="AJ514" t="s">
        <v>47</v>
      </c>
      <c r="AK514" t="s">
        <v>47</v>
      </c>
      <c r="AL514" t="s">
        <v>47</v>
      </c>
      <c r="AM514" t="s">
        <v>47</v>
      </c>
      <c r="AN514" t="s">
        <v>47</v>
      </c>
      <c r="AO514" s="5" t="s">
        <v>51</v>
      </c>
      <c r="AP514" s="4" t="s">
        <v>61</v>
      </c>
      <c r="AQ514" s="4" t="s">
        <v>53</v>
      </c>
      <c r="AR514" s="4" t="s">
        <v>543</v>
      </c>
      <c r="AS514" s="5">
        <v>37733</v>
      </c>
      <c r="AT514" t="s">
        <v>47</v>
      </c>
    </row>
    <row r="515" spans="1:46" ht="26" x14ac:dyDescent="0.3">
      <c r="A515" s="4" t="s">
        <v>2179</v>
      </c>
      <c r="B515" t="s">
        <v>47</v>
      </c>
      <c r="C515" s="4" t="s">
        <v>2180</v>
      </c>
      <c r="D515" s="4" t="s">
        <v>2181</v>
      </c>
      <c r="E515" s="4" t="s">
        <v>603</v>
      </c>
      <c r="F515" s="5" t="s">
        <v>2182</v>
      </c>
      <c r="G515" s="5" t="s">
        <v>2183</v>
      </c>
      <c r="H515" t="s">
        <v>47</v>
      </c>
      <c r="I515" s="3">
        <v>38718</v>
      </c>
      <c r="J515" s="3">
        <v>40179</v>
      </c>
      <c r="K515" t="s">
        <v>47</v>
      </c>
      <c r="L515" s="5" t="s">
        <v>60</v>
      </c>
      <c r="M515" s="3">
        <v>38718</v>
      </c>
      <c r="N515" s="3">
        <v>40179</v>
      </c>
      <c r="O515" t="s">
        <v>47</v>
      </c>
      <c r="P515" s="3">
        <v>38718</v>
      </c>
      <c r="Q515" s="3">
        <v>40179</v>
      </c>
      <c r="R515" t="s">
        <v>47</v>
      </c>
      <c r="S515" t="s">
        <v>47</v>
      </c>
      <c r="T515" t="s">
        <v>47</v>
      </c>
      <c r="U515" t="s">
        <v>47</v>
      </c>
      <c r="V515" t="s">
        <v>47</v>
      </c>
      <c r="W515" s="3">
        <v>38718</v>
      </c>
      <c r="X515" s="3">
        <v>40179</v>
      </c>
      <c r="Y515" t="s">
        <v>47</v>
      </c>
      <c r="Z515" s="3">
        <v>38718</v>
      </c>
      <c r="AA515" s="3">
        <v>40179</v>
      </c>
      <c r="AB515" t="s">
        <v>47</v>
      </c>
      <c r="AC515" t="s">
        <v>47</v>
      </c>
      <c r="AD515" t="s">
        <v>47</v>
      </c>
      <c r="AE515" t="s">
        <v>47</v>
      </c>
      <c r="AF515" t="s">
        <v>47</v>
      </c>
      <c r="AG515" t="s">
        <v>47</v>
      </c>
      <c r="AH515" t="s">
        <v>47</v>
      </c>
      <c r="AI515" t="s">
        <v>47</v>
      </c>
      <c r="AJ515" t="s">
        <v>47</v>
      </c>
      <c r="AK515" t="s">
        <v>47</v>
      </c>
      <c r="AL515" t="s">
        <v>47</v>
      </c>
      <c r="AM515" t="s">
        <v>47</v>
      </c>
      <c r="AN515" t="s">
        <v>47</v>
      </c>
      <c r="AO515" s="5" t="s">
        <v>60</v>
      </c>
      <c r="AP515" s="4" t="s">
        <v>61</v>
      </c>
      <c r="AQ515" s="4" t="s">
        <v>261</v>
      </c>
      <c r="AR515" s="4" t="s">
        <v>54</v>
      </c>
      <c r="AS515" s="5">
        <v>54835</v>
      </c>
      <c r="AT515" t="s">
        <v>47</v>
      </c>
    </row>
    <row r="516" spans="1:46" ht="26" x14ac:dyDescent="0.3">
      <c r="A516" s="4" t="s">
        <v>2184</v>
      </c>
      <c r="B516" t="s">
        <v>47</v>
      </c>
      <c r="C516" s="4" t="s">
        <v>2185</v>
      </c>
      <c r="D516" s="4" t="s">
        <v>2186</v>
      </c>
      <c r="E516" s="4" t="s">
        <v>49</v>
      </c>
      <c r="F516" s="5" t="s">
        <v>2187</v>
      </c>
      <c r="G516" s="5" t="s">
        <v>2187</v>
      </c>
      <c r="H516" t="s">
        <v>47</v>
      </c>
      <c r="I516" s="3">
        <v>33604</v>
      </c>
      <c r="J516" s="5" t="s">
        <v>50</v>
      </c>
      <c r="K516" t="s">
        <v>47</v>
      </c>
      <c r="L516" s="5" t="s">
        <v>60</v>
      </c>
      <c r="M516" s="3">
        <v>34335</v>
      </c>
      <c r="N516" s="5" t="s">
        <v>50</v>
      </c>
      <c r="O516" t="s">
        <v>47</v>
      </c>
      <c r="P516" s="3">
        <v>33604</v>
      </c>
      <c r="Q516" s="5" t="s">
        <v>50</v>
      </c>
      <c r="R516" t="s">
        <v>47</v>
      </c>
      <c r="S516" t="s">
        <v>47</v>
      </c>
      <c r="T516" t="s">
        <v>47</v>
      </c>
      <c r="U516" t="s">
        <v>47</v>
      </c>
      <c r="V516" s="5">
        <v>365</v>
      </c>
      <c r="W516" s="3">
        <v>32143</v>
      </c>
      <c r="X516" s="5" t="s">
        <v>50</v>
      </c>
      <c r="Y516" t="s">
        <v>47</v>
      </c>
      <c r="Z516" s="3">
        <v>32143</v>
      </c>
      <c r="AA516" s="5" t="s">
        <v>50</v>
      </c>
      <c r="AB516" t="s">
        <v>47</v>
      </c>
      <c r="AC516" s="3">
        <v>32143</v>
      </c>
      <c r="AD516" s="5" t="s">
        <v>50</v>
      </c>
      <c r="AE516" t="s">
        <v>47</v>
      </c>
      <c r="AF516" t="s">
        <v>47</v>
      </c>
      <c r="AG516" t="s">
        <v>47</v>
      </c>
      <c r="AH516" t="s">
        <v>47</v>
      </c>
      <c r="AI516" t="s">
        <v>47</v>
      </c>
      <c r="AJ516" t="s">
        <v>47</v>
      </c>
      <c r="AK516" t="s">
        <v>47</v>
      </c>
      <c r="AL516" t="s">
        <v>47</v>
      </c>
      <c r="AM516" t="s">
        <v>47</v>
      </c>
      <c r="AN516" t="s">
        <v>47</v>
      </c>
      <c r="AO516" s="5" t="s">
        <v>60</v>
      </c>
      <c r="AP516" s="4" t="s">
        <v>61</v>
      </c>
      <c r="AQ516" s="4" t="s">
        <v>53</v>
      </c>
      <c r="AR516" s="4" t="s">
        <v>835</v>
      </c>
      <c r="AS516" s="5">
        <v>41641</v>
      </c>
      <c r="AT516" t="s">
        <v>47</v>
      </c>
    </row>
    <row r="517" spans="1:46" ht="26" x14ac:dyDescent="0.3">
      <c r="A517" s="4" t="s">
        <v>2188</v>
      </c>
      <c r="B517" t="s">
        <v>47</v>
      </c>
      <c r="C517" s="4" t="s">
        <v>200</v>
      </c>
      <c r="D517" s="4" t="s">
        <v>748</v>
      </c>
      <c r="E517" s="4" t="s">
        <v>66</v>
      </c>
      <c r="F517" s="5" t="s">
        <v>2189</v>
      </c>
      <c r="G517" s="5" t="s">
        <v>2190</v>
      </c>
      <c r="H517" t="s">
        <v>47</v>
      </c>
      <c r="I517" t="s">
        <v>47</v>
      </c>
      <c r="J517" t="s">
        <v>47</v>
      </c>
      <c r="K517" t="s">
        <v>47</v>
      </c>
      <c r="L517" s="5" t="s">
        <v>60</v>
      </c>
      <c r="M517" t="s">
        <v>47</v>
      </c>
      <c r="N517" t="s">
        <v>47</v>
      </c>
      <c r="O517" t="s">
        <v>47</v>
      </c>
      <c r="P517" t="s">
        <v>47</v>
      </c>
      <c r="Q517" t="s">
        <v>47</v>
      </c>
      <c r="R517" t="s">
        <v>47</v>
      </c>
      <c r="S517" t="s">
        <v>47</v>
      </c>
      <c r="T517" t="s">
        <v>47</v>
      </c>
      <c r="U517" t="s">
        <v>47</v>
      </c>
      <c r="V517" t="s">
        <v>47</v>
      </c>
      <c r="W517" s="3">
        <v>33482</v>
      </c>
      <c r="X517" s="5" t="s">
        <v>50</v>
      </c>
      <c r="Y517" t="s">
        <v>47</v>
      </c>
      <c r="Z517" s="3">
        <v>33482</v>
      </c>
      <c r="AA517" s="5" t="s">
        <v>50</v>
      </c>
      <c r="AB517" t="s">
        <v>47</v>
      </c>
      <c r="AC517" s="3">
        <v>33482</v>
      </c>
      <c r="AD517" s="5" t="s">
        <v>50</v>
      </c>
      <c r="AE517" t="s">
        <v>47</v>
      </c>
      <c r="AF517" t="s">
        <v>47</v>
      </c>
      <c r="AG517" t="s">
        <v>47</v>
      </c>
      <c r="AH517" t="s">
        <v>47</v>
      </c>
      <c r="AI517" t="s">
        <v>47</v>
      </c>
      <c r="AJ517" t="s">
        <v>47</v>
      </c>
      <c r="AK517" t="s">
        <v>47</v>
      </c>
      <c r="AL517" t="s">
        <v>47</v>
      </c>
      <c r="AM517" t="s">
        <v>47</v>
      </c>
      <c r="AN517" t="s">
        <v>47</v>
      </c>
      <c r="AO517" s="5" t="s">
        <v>60</v>
      </c>
      <c r="AP517" s="4" t="s">
        <v>61</v>
      </c>
      <c r="AQ517" s="4" t="s">
        <v>53</v>
      </c>
      <c r="AR517" s="4" t="s">
        <v>2191</v>
      </c>
      <c r="AS517" s="5">
        <v>48344</v>
      </c>
      <c r="AT517" t="s">
        <v>47</v>
      </c>
    </row>
    <row r="518" spans="1:46" ht="52" x14ac:dyDescent="0.3">
      <c r="A518" s="4" t="s">
        <v>2192</v>
      </c>
      <c r="B518" t="s">
        <v>47</v>
      </c>
      <c r="C518" s="4" t="s">
        <v>2193</v>
      </c>
      <c r="D518" s="4" t="s">
        <v>2194</v>
      </c>
      <c r="E518" s="4" t="s">
        <v>49</v>
      </c>
      <c r="F518" s="5" t="s">
        <v>2195</v>
      </c>
      <c r="G518" s="5" t="s">
        <v>2196</v>
      </c>
      <c r="H518" t="s">
        <v>47</v>
      </c>
      <c r="I518" s="3">
        <v>37653</v>
      </c>
      <c r="J518" s="3">
        <v>42278</v>
      </c>
      <c r="K518" t="s">
        <v>47</v>
      </c>
      <c r="L518" s="5" t="s">
        <v>60</v>
      </c>
      <c r="M518" s="3">
        <v>37653</v>
      </c>
      <c r="N518" s="3">
        <v>42278</v>
      </c>
      <c r="O518" t="s">
        <v>47</v>
      </c>
      <c r="P518" s="3">
        <v>39722</v>
      </c>
      <c r="Q518" s="3">
        <v>42278</v>
      </c>
      <c r="R518" t="s">
        <v>47</v>
      </c>
      <c r="S518" t="s">
        <v>47</v>
      </c>
      <c r="T518" t="s">
        <v>47</v>
      </c>
      <c r="U518" t="s">
        <v>47</v>
      </c>
      <c r="V518" t="s">
        <v>47</v>
      </c>
      <c r="W518" s="3">
        <v>37653</v>
      </c>
      <c r="X518" s="3">
        <v>42278</v>
      </c>
      <c r="Y518" t="s">
        <v>47</v>
      </c>
      <c r="Z518" s="3">
        <v>37653</v>
      </c>
      <c r="AA518" s="3">
        <v>42278</v>
      </c>
      <c r="AB518" t="s">
        <v>47</v>
      </c>
      <c r="AC518" s="3">
        <v>37653</v>
      </c>
      <c r="AD518" s="3">
        <v>42278</v>
      </c>
      <c r="AE518" t="s">
        <v>47</v>
      </c>
      <c r="AF518" t="s">
        <v>47</v>
      </c>
      <c r="AG518" t="s">
        <v>47</v>
      </c>
      <c r="AH518" t="s">
        <v>47</v>
      </c>
      <c r="AI518" t="s">
        <v>47</v>
      </c>
      <c r="AJ518" t="s">
        <v>47</v>
      </c>
      <c r="AK518" t="s">
        <v>47</v>
      </c>
      <c r="AL518" t="s">
        <v>47</v>
      </c>
      <c r="AM518" t="s">
        <v>47</v>
      </c>
      <c r="AN518" t="s">
        <v>47</v>
      </c>
      <c r="AO518" s="5" t="s">
        <v>60</v>
      </c>
      <c r="AP518" s="4" t="s">
        <v>61</v>
      </c>
      <c r="AQ518" s="4" t="s">
        <v>53</v>
      </c>
      <c r="AR518" s="4" t="s">
        <v>2197</v>
      </c>
      <c r="AS518" s="5">
        <v>43303</v>
      </c>
      <c r="AT518" t="s">
        <v>47</v>
      </c>
    </row>
    <row r="519" spans="1:46" ht="91" x14ac:dyDescent="0.3">
      <c r="A519" s="4" t="s">
        <v>2198</v>
      </c>
      <c r="B519" t="s">
        <v>47</v>
      </c>
      <c r="C519" s="4" t="s">
        <v>2199</v>
      </c>
      <c r="D519" s="4" t="s">
        <v>2200</v>
      </c>
      <c r="E519" s="4" t="s">
        <v>49</v>
      </c>
      <c r="F519" s="5" t="s">
        <v>2201</v>
      </c>
      <c r="G519" s="5" t="s">
        <v>2202</v>
      </c>
      <c r="H519" t="s">
        <v>47</v>
      </c>
      <c r="I519" s="3">
        <v>34060</v>
      </c>
      <c r="J519" s="3">
        <v>36161</v>
      </c>
      <c r="K519" t="s">
        <v>47</v>
      </c>
      <c r="L519" s="5" t="s">
        <v>60</v>
      </c>
      <c r="M519" s="3">
        <v>34060</v>
      </c>
      <c r="N519" s="3">
        <v>36161</v>
      </c>
      <c r="O519" t="s">
        <v>47</v>
      </c>
      <c r="P519" t="s">
        <v>47</v>
      </c>
      <c r="Q519" t="s">
        <v>47</v>
      </c>
      <c r="R519" t="s">
        <v>47</v>
      </c>
      <c r="S519" t="s">
        <v>47</v>
      </c>
      <c r="T519" t="s">
        <v>47</v>
      </c>
      <c r="U519" t="s">
        <v>47</v>
      </c>
      <c r="V519" t="s">
        <v>47</v>
      </c>
      <c r="W519" s="3">
        <v>33420</v>
      </c>
      <c r="X519" s="3">
        <v>42370</v>
      </c>
      <c r="Y519" t="s">
        <v>47</v>
      </c>
      <c r="Z519" s="3">
        <v>33420</v>
      </c>
      <c r="AA519" s="3">
        <v>42370</v>
      </c>
      <c r="AB519" t="s">
        <v>47</v>
      </c>
      <c r="AC519" s="3">
        <v>33420</v>
      </c>
      <c r="AD519" s="3">
        <v>42370</v>
      </c>
      <c r="AE519" t="s">
        <v>47</v>
      </c>
      <c r="AF519" t="s">
        <v>47</v>
      </c>
      <c r="AG519" t="s">
        <v>47</v>
      </c>
      <c r="AH519" t="s">
        <v>47</v>
      </c>
      <c r="AI519" t="s">
        <v>47</v>
      </c>
      <c r="AJ519" t="s">
        <v>47</v>
      </c>
      <c r="AK519" t="s">
        <v>47</v>
      </c>
      <c r="AL519" t="s">
        <v>47</v>
      </c>
      <c r="AM519" t="s">
        <v>47</v>
      </c>
      <c r="AN519" t="s">
        <v>47</v>
      </c>
      <c r="AO519" s="5" t="s">
        <v>60</v>
      </c>
      <c r="AP519" s="4" t="s">
        <v>61</v>
      </c>
      <c r="AQ519" s="4" t="s">
        <v>53</v>
      </c>
      <c r="AR519" s="4" t="s">
        <v>2203</v>
      </c>
      <c r="AS519" s="5">
        <v>29874</v>
      </c>
      <c r="AT519" t="s">
        <v>47</v>
      </c>
    </row>
    <row r="520" spans="1:46" ht="13" x14ac:dyDescent="0.3">
      <c r="A520" s="4" t="s">
        <v>2204</v>
      </c>
      <c r="B520" t="s">
        <v>47</v>
      </c>
      <c r="C520" s="4" t="s">
        <v>2205</v>
      </c>
      <c r="D520" s="4" t="s">
        <v>1420</v>
      </c>
      <c r="E520" s="4" t="s">
        <v>49</v>
      </c>
      <c r="F520" t="s">
        <v>47</v>
      </c>
      <c r="G520" s="5" t="s">
        <v>2206</v>
      </c>
      <c r="H520" t="s">
        <v>47</v>
      </c>
      <c r="I520" s="3">
        <v>40817</v>
      </c>
      <c r="J520" s="3">
        <v>44470</v>
      </c>
      <c r="K520" t="s">
        <v>47</v>
      </c>
      <c r="L520" s="5" t="s">
        <v>60</v>
      </c>
      <c r="M520" s="3">
        <v>40817</v>
      </c>
      <c r="N520" s="3">
        <v>44470</v>
      </c>
      <c r="O520" t="s">
        <v>47</v>
      </c>
      <c r="P520" s="3">
        <v>40817</v>
      </c>
      <c r="Q520" s="3">
        <v>44470</v>
      </c>
      <c r="R520" t="s">
        <v>47</v>
      </c>
      <c r="S520" t="s">
        <v>47</v>
      </c>
      <c r="T520" t="s">
        <v>47</v>
      </c>
      <c r="U520" t="s">
        <v>47</v>
      </c>
      <c r="V520" t="s">
        <v>47</v>
      </c>
      <c r="W520" s="3">
        <v>40817</v>
      </c>
      <c r="X520" s="3">
        <v>44470</v>
      </c>
      <c r="Y520" t="s">
        <v>47</v>
      </c>
      <c r="Z520" s="3">
        <v>40817</v>
      </c>
      <c r="AA520" s="3">
        <v>44470</v>
      </c>
      <c r="AB520" t="s">
        <v>47</v>
      </c>
      <c r="AC520" s="3">
        <v>40817</v>
      </c>
      <c r="AD520" s="3">
        <v>44470</v>
      </c>
      <c r="AE520" t="s">
        <v>47</v>
      </c>
      <c r="AF520" t="s">
        <v>47</v>
      </c>
      <c r="AG520" t="s">
        <v>47</v>
      </c>
      <c r="AH520" t="s">
        <v>47</v>
      </c>
      <c r="AI520" t="s">
        <v>47</v>
      </c>
      <c r="AJ520" t="s">
        <v>47</v>
      </c>
      <c r="AK520" t="s">
        <v>47</v>
      </c>
      <c r="AL520" t="s">
        <v>47</v>
      </c>
      <c r="AM520" t="s">
        <v>47</v>
      </c>
      <c r="AN520" t="s">
        <v>47</v>
      </c>
      <c r="AO520" s="5" t="s">
        <v>60</v>
      </c>
      <c r="AP520" s="4" t="s">
        <v>61</v>
      </c>
      <c r="AQ520" s="4" t="s">
        <v>53</v>
      </c>
      <c r="AR520" s="4" t="s">
        <v>54</v>
      </c>
      <c r="AS520" s="5">
        <v>2032287</v>
      </c>
      <c r="AT520" t="s">
        <v>47</v>
      </c>
    </row>
    <row r="521" spans="1:46" ht="26" x14ac:dyDescent="0.3">
      <c r="A521" s="4" t="s">
        <v>2207</v>
      </c>
      <c r="B521" t="s">
        <v>47</v>
      </c>
      <c r="C521" s="4" t="s">
        <v>98</v>
      </c>
      <c r="D521" s="4" t="s">
        <v>99</v>
      </c>
      <c r="E521" s="4" t="s">
        <v>100</v>
      </c>
      <c r="F521" s="5" t="s">
        <v>2208</v>
      </c>
      <c r="G521" t="s">
        <v>47</v>
      </c>
      <c r="H521" t="s">
        <v>47</v>
      </c>
      <c r="I521" s="3">
        <v>35977</v>
      </c>
      <c r="J521" s="5" t="s">
        <v>50</v>
      </c>
      <c r="K521" s="5" t="s">
        <v>2209</v>
      </c>
      <c r="L521" s="5" t="s">
        <v>51</v>
      </c>
      <c r="M521" s="3">
        <v>35977</v>
      </c>
      <c r="N521" s="5" t="s">
        <v>50</v>
      </c>
      <c r="O521" s="5" t="s">
        <v>2209</v>
      </c>
      <c r="P521" s="3">
        <v>38443</v>
      </c>
      <c r="Q521" s="5" t="s">
        <v>50</v>
      </c>
      <c r="R521" s="5" t="s">
        <v>2209</v>
      </c>
      <c r="S521" t="s">
        <v>47</v>
      </c>
      <c r="T521" t="s">
        <v>47</v>
      </c>
      <c r="U521" t="s">
        <v>47</v>
      </c>
      <c r="V521" t="s">
        <v>47</v>
      </c>
      <c r="W521" s="3">
        <v>35977</v>
      </c>
      <c r="X521" s="5" t="s">
        <v>50</v>
      </c>
      <c r="Y521" s="5" t="s">
        <v>2209</v>
      </c>
      <c r="Z521" s="3">
        <v>35977</v>
      </c>
      <c r="AA521" s="5" t="s">
        <v>50</v>
      </c>
      <c r="AB521" s="5" t="s">
        <v>2209</v>
      </c>
      <c r="AC521" s="3">
        <v>35977</v>
      </c>
      <c r="AD521" s="5" t="s">
        <v>50</v>
      </c>
      <c r="AE521" s="5" t="s">
        <v>2209</v>
      </c>
      <c r="AF521" t="s">
        <v>47</v>
      </c>
      <c r="AG521" t="s">
        <v>47</v>
      </c>
      <c r="AH521" t="s">
        <v>47</v>
      </c>
      <c r="AI521" t="s">
        <v>47</v>
      </c>
      <c r="AJ521" t="s">
        <v>47</v>
      </c>
      <c r="AK521" t="s">
        <v>47</v>
      </c>
      <c r="AL521" t="s">
        <v>47</v>
      </c>
      <c r="AM521" t="s">
        <v>47</v>
      </c>
      <c r="AN521" t="s">
        <v>47</v>
      </c>
      <c r="AO521" s="5" t="s">
        <v>51</v>
      </c>
      <c r="AP521" s="4" t="s">
        <v>85</v>
      </c>
      <c r="AQ521" s="4" t="s">
        <v>53</v>
      </c>
      <c r="AR521" s="4" t="s">
        <v>2210</v>
      </c>
      <c r="AS521" s="5">
        <v>43972</v>
      </c>
      <c r="AT521" t="s">
        <v>47</v>
      </c>
    </row>
    <row r="522" spans="1:46" ht="26" x14ac:dyDescent="0.3">
      <c r="A522" s="4" t="s">
        <v>2211</v>
      </c>
      <c r="B522" t="s">
        <v>47</v>
      </c>
      <c r="C522" s="4" t="s">
        <v>1604</v>
      </c>
      <c r="D522" s="4" t="s">
        <v>2212</v>
      </c>
      <c r="E522" s="4" t="s">
        <v>1606</v>
      </c>
      <c r="F522" t="s">
        <v>47</v>
      </c>
      <c r="G522" t="s">
        <v>47</v>
      </c>
      <c r="H522" s="5" t="s">
        <v>2213</v>
      </c>
      <c r="I522" s="3">
        <v>43101</v>
      </c>
      <c r="J522" s="3">
        <v>43101</v>
      </c>
      <c r="K522" t="s">
        <v>47</v>
      </c>
      <c r="L522" s="5" t="s">
        <v>60</v>
      </c>
      <c r="M522" t="s">
        <v>47</v>
      </c>
      <c r="N522" t="s">
        <v>47</v>
      </c>
      <c r="O522" t="s">
        <v>47</v>
      </c>
      <c r="P522" s="3">
        <v>43101</v>
      </c>
      <c r="Q522" s="3">
        <v>43101</v>
      </c>
      <c r="R522" t="s">
        <v>47</v>
      </c>
      <c r="S522" t="s">
        <v>47</v>
      </c>
      <c r="T522" t="s">
        <v>47</v>
      </c>
      <c r="U522" t="s">
        <v>47</v>
      </c>
      <c r="V522" t="s">
        <v>47</v>
      </c>
      <c r="W522" s="3">
        <v>43101</v>
      </c>
      <c r="X522" s="3">
        <v>43101</v>
      </c>
      <c r="Y522" t="s">
        <v>47</v>
      </c>
      <c r="Z522" s="3">
        <v>43101</v>
      </c>
      <c r="AA522" s="3">
        <v>43101</v>
      </c>
      <c r="AB522" t="s">
        <v>47</v>
      </c>
      <c r="AC522" s="3">
        <v>43101</v>
      </c>
      <c r="AD522" s="3">
        <v>43101</v>
      </c>
      <c r="AE522" t="s">
        <v>47</v>
      </c>
      <c r="AF522" t="s">
        <v>47</v>
      </c>
      <c r="AG522" t="s">
        <v>47</v>
      </c>
      <c r="AH522" t="s">
        <v>47</v>
      </c>
      <c r="AI522" t="s">
        <v>47</v>
      </c>
      <c r="AJ522" t="s">
        <v>47</v>
      </c>
      <c r="AK522" t="s">
        <v>47</v>
      </c>
      <c r="AL522" t="s">
        <v>47</v>
      </c>
      <c r="AM522" t="s">
        <v>47</v>
      </c>
      <c r="AN522" t="s">
        <v>47</v>
      </c>
      <c r="AO522" s="5" t="s">
        <v>60</v>
      </c>
      <c r="AP522" s="4" t="s">
        <v>2113</v>
      </c>
      <c r="AQ522" s="4" t="s">
        <v>53</v>
      </c>
      <c r="AR522" s="4" t="s">
        <v>54</v>
      </c>
      <c r="AS522" s="5">
        <v>4477150</v>
      </c>
      <c r="AT522" t="s">
        <v>47</v>
      </c>
    </row>
    <row r="523" spans="1:46" ht="104" x14ac:dyDescent="0.3">
      <c r="A523" s="4" t="s">
        <v>2214</v>
      </c>
      <c r="B523" t="s">
        <v>47</v>
      </c>
      <c r="C523" s="4" t="s">
        <v>183</v>
      </c>
      <c r="D523" s="4" t="s">
        <v>597</v>
      </c>
      <c r="E523" s="4" t="s">
        <v>49</v>
      </c>
      <c r="F523" s="5" t="s">
        <v>2215</v>
      </c>
      <c r="G523" s="5" t="s">
        <v>2216</v>
      </c>
      <c r="H523" t="s">
        <v>47</v>
      </c>
      <c r="I523" s="3">
        <v>35977</v>
      </c>
      <c r="J523" s="3">
        <v>40238</v>
      </c>
      <c r="K523" t="s">
        <v>47</v>
      </c>
      <c r="L523" s="5" t="s">
        <v>60</v>
      </c>
      <c r="M523" s="3">
        <v>35977</v>
      </c>
      <c r="N523" s="3">
        <v>39783</v>
      </c>
      <c r="O523" t="s">
        <v>47</v>
      </c>
      <c r="P523" s="3">
        <v>35977</v>
      </c>
      <c r="Q523" s="3">
        <v>40238</v>
      </c>
      <c r="R523" t="s">
        <v>47</v>
      </c>
      <c r="S523" t="s">
        <v>47</v>
      </c>
      <c r="T523" t="s">
        <v>47</v>
      </c>
      <c r="U523" t="s">
        <v>47</v>
      </c>
      <c r="V523" t="s">
        <v>47</v>
      </c>
      <c r="W523" s="3">
        <v>31564</v>
      </c>
      <c r="X523" s="5" t="s">
        <v>50</v>
      </c>
      <c r="Y523" t="s">
        <v>47</v>
      </c>
      <c r="Z523" s="3">
        <v>31564</v>
      </c>
      <c r="AA523" s="5" t="s">
        <v>50</v>
      </c>
      <c r="AB523" t="s">
        <v>47</v>
      </c>
      <c r="AC523" s="3">
        <v>38078</v>
      </c>
      <c r="AD523" s="5" t="s">
        <v>50</v>
      </c>
      <c r="AE523" t="s">
        <v>47</v>
      </c>
      <c r="AF523" t="s">
        <v>47</v>
      </c>
      <c r="AG523" t="s">
        <v>47</v>
      </c>
      <c r="AH523" t="s">
        <v>47</v>
      </c>
      <c r="AI523" t="s">
        <v>47</v>
      </c>
      <c r="AJ523" t="s">
        <v>47</v>
      </c>
      <c r="AK523" t="s">
        <v>47</v>
      </c>
      <c r="AL523" t="s">
        <v>47</v>
      </c>
      <c r="AM523" t="s">
        <v>47</v>
      </c>
      <c r="AN523" t="s">
        <v>47</v>
      </c>
      <c r="AO523" s="5" t="s">
        <v>60</v>
      </c>
      <c r="AP523" s="4" t="s">
        <v>61</v>
      </c>
      <c r="AQ523" s="4" t="s">
        <v>53</v>
      </c>
      <c r="AR523" s="4" t="s">
        <v>2217</v>
      </c>
      <c r="AS523" s="5">
        <v>31128</v>
      </c>
      <c r="AT523" t="s">
        <v>47</v>
      </c>
    </row>
    <row r="524" spans="1:46" ht="52" x14ac:dyDescent="0.3">
      <c r="A524" s="4" t="s">
        <v>2218</v>
      </c>
      <c r="B524" t="s">
        <v>47</v>
      </c>
      <c r="C524" s="4" t="s">
        <v>1427</v>
      </c>
      <c r="D524" s="4" t="s">
        <v>294</v>
      </c>
      <c r="E524" s="4" t="s">
        <v>49</v>
      </c>
      <c r="F524" s="5" t="s">
        <v>2219</v>
      </c>
      <c r="G524" t="s">
        <v>47</v>
      </c>
      <c r="H524" t="s">
        <v>47</v>
      </c>
      <c r="I524" s="3">
        <v>35674</v>
      </c>
      <c r="J524" s="3">
        <v>41214</v>
      </c>
      <c r="K524" t="s">
        <v>47</v>
      </c>
      <c r="L524" s="5" t="s">
        <v>60</v>
      </c>
      <c r="M524" s="3">
        <v>35674</v>
      </c>
      <c r="N524" s="3">
        <v>38412</v>
      </c>
      <c r="O524" t="s">
        <v>47</v>
      </c>
      <c r="P524" s="3">
        <v>35674</v>
      </c>
      <c r="Q524" s="3">
        <v>41214</v>
      </c>
      <c r="R524" t="s">
        <v>47</v>
      </c>
      <c r="S524" t="s">
        <v>47</v>
      </c>
      <c r="T524" t="s">
        <v>47</v>
      </c>
      <c r="U524" t="s">
        <v>47</v>
      </c>
      <c r="V524" t="s">
        <v>47</v>
      </c>
      <c r="W524" s="3">
        <v>35674</v>
      </c>
      <c r="X524" s="3">
        <v>41214</v>
      </c>
      <c r="Y524" t="s">
        <v>47</v>
      </c>
      <c r="Z524" s="3">
        <v>35674</v>
      </c>
      <c r="AA524" s="3">
        <v>41214</v>
      </c>
      <c r="AB524" t="s">
        <v>47</v>
      </c>
      <c r="AC524" s="3">
        <v>35674</v>
      </c>
      <c r="AD524" s="3">
        <v>41183</v>
      </c>
      <c r="AE524" t="s">
        <v>47</v>
      </c>
      <c r="AF524" t="s">
        <v>47</v>
      </c>
      <c r="AG524" t="s">
        <v>47</v>
      </c>
      <c r="AH524" t="s">
        <v>47</v>
      </c>
      <c r="AI524" t="s">
        <v>47</v>
      </c>
      <c r="AJ524" t="s">
        <v>47</v>
      </c>
      <c r="AK524" t="s">
        <v>47</v>
      </c>
      <c r="AL524" t="s">
        <v>47</v>
      </c>
      <c r="AM524" t="s">
        <v>47</v>
      </c>
      <c r="AN524" t="s">
        <v>47</v>
      </c>
      <c r="AO524" s="5" t="s">
        <v>60</v>
      </c>
      <c r="AP524" s="4" t="s">
        <v>61</v>
      </c>
      <c r="AQ524" s="4" t="s">
        <v>53</v>
      </c>
      <c r="AR524" s="4" t="s">
        <v>327</v>
      </c>
      <c r="AS524" s="5">
        <v>48488</v>
      </c>
      <c r="AT524" t="s">
        <v>47</v>
      </c>
    </row>
    <row r="525" spans="1:46" ht="78" x14ac:dyDescent="0.3">
      <c r="A525" s="4" t="s">
        <v>2220</v>
      </c>
      <c r="B525" t="s">
        <v>47</v>
      </c>
      <c r="C525" s="4" t="s">
        <v>2221</v>
      </c>
      <c r="D525" s="4" t="s">
        <v>201</v>
      </c>
      <c r="E525" s="4" t="s">
        <v>49</v>
      </c>
      <c r="F525" s="5" t="s">
        <v>2222</v>
      </c>
      <c r="G525" s="5" t="s">
        <v>2223</v>
      </c>
      <c r="H525" t="s">
        <v>47</v>
      </c>
      <c r="I525" s="3">
        <v>38078</v>
      </c>
      <c r="J525" s="5" t="s">
        <v>50</v>
      </c>
      <c r="K525" t="s">
        <v>47</v>
      </c>
      <c r="L525" s="5" t="s">
        <v>60</v>
      </c>
      <c r="M525" s="3">
        <v>38078</v>
      </c>
      <c r="N525" s="5" t="s">
        <v>50</v>
      </c>
      <c r="O525" t="s">
        <v>47</v>
      </c>
      <c r="P525" s="3">
        <v>38078</v>
      </c>
      <c r="Q525" s="5" t="s">
        <v>50</v>
      </c>
      <c r="R525" t="s">
        <v>47</v>
      </c>
      <c r="S525" t="s">
        <v>47</v>
      </c>
      <c r="T525" t="s">
        <v>47</v>
      </c>
      <c r="U525" t="s">
        <v>47</v>
      </c>
      <c r="V525" t="s">
        <v>47</v>
      </c>
      <c r="W525" s="3">
        <v>38078</v>
      </c>
      <c r="X525" s="5" t="s">
        <v>50</v>
      </c>
      <c r="Y525" t="s">
        <v>47</v>
      </c>
      <c r="Z525" s="3">
        <v>38078</v>
      </c>
      <c r="AA525" s="5" t="s">
        <v>50</v>
      </c>
      <c r="AB525" t="s">
        <v>47</v>
      </c>
      <c r="AC525" s="3">
        <v>38078</v>
      </c>
      <c r="AD525" s="5" t="s">
        <v>50</v>
      </c>
      <c r="AE525" t="s">
        <v>47</v>
      </c>
      <c r="AF525" t="s">
        <v>47</v>
      </c>
      <c r="AG525" t="s">
        <v>47</v>
      </c>
      <c r="AH525" t="s">
        <v>47</v>
      </c>
      <c r="AI525" t="s">
        <v>47</v>
      </c>
      <c r="AJ525" t="s">
        <v>47</v>
      </c>
      <c r="AK525" t="s">
        <v>47</v>
      </c>
      <c r="AL525" t="s">
        <v>47</v>
      </c>
      <c r="AM525" t="s">
        <v>47</v>
      </c>
      <c r="AN525" t="s">
        <v>47</v>
      </c>
      <c r="AO525" s="5" t="s">
        <v>60</v>
      </c>
      <c r="AP525" s="4" t="s">
        <v>61</v>
      </c>
      <c r="AQ525" s="4" t="s">
        <v>53</v>
      </c>
      <c r="AR525" s="4" t="s">
        <v>577</v>
      </c>
      <c r="AS525" s="5">
        <v>48746</v>
      </c>
      <c r="AT525" t="s">
        <v>47</v>
      </c>
    </row>
    <row r="526" spans="1:46" ht="13" x14ac:dyDescent="0.3">
      <c r="A526" s="4" t="s">
        <v>2224</v>
      </c>
      <c r="B526" t="s">
        <v>47</v>
      </c>
      <c r="C526" s="4" t="s">
        <v>2225</v>
      </c>
      <c r="D526" s="4" t="s">
        <v>2226</v>
      </c>
      <c r="E526" s="4" t="s">
        <v>454</v>
      </c>
      <c r="F526" t="s">
        <v>47</v>
      </c>
      <c r="G526" s="5" t="s">
        <v>2227</v>
      </c>
      <c r="H526" t="s">
        <v>47</v>
      </c>
      <c r="I526" s="3">
        <v>41365</v>
      </c>
      <c r="J526" s="5" t="s">
        <v>50</v>
      </c>
      <c r="K526" t="s">
        <v>47</v>
      </c>
      <c r="L526" s="5" t="s">
        <v>60</v>
      </c>
      <c r="M526" t="s">
        <v>47</v>
      </c>
      <c r="N526" t="s">
        <v>47</v>
      </c>
      <c r="O526" t="s">
        <v>47</v>
      </c>
      <c r="P526" s="3">
        <v>41365</v>
      </c>
      <c r="Q526" s="5" t="s">
        <v>50</v>
      </c>
      <c r="R526" t="s">
        <v>47</v>
      </c>
      <c r="S526" t="s">
        <v>47</v>
      </c>
      <c r="T526" t="s">
        <v>47</v>
      </c>
      <c r="U526" t="s">
        <v>47</v>
      </c>
      <c r="V526" t="s">
        <v>47</v>
      </c>
      <c r="W526" s="3">
        <v>41365</v>
      </c>
      <c r="X526" s="5" t="s">
        <v>50</v>
      </c>
      <c r="Y526" t="s">
        <v>47</v>
      </c>
      <c r="Z526" s="3">
        <v>41365</v>
      </c>
      <c r="AA526" s="5" t="s">
        <v>50</v>
      </c>
      <c r="AB526" t="s">
        <v>47</v>
      </c>
      <c r="AC526" s="3">
        <v>41365</v>
      </c>
      <c r="AD526" s="5" t="s">
        <v>50</v>
      </c>
      <c r="AE526" t="s">
        <v>47</v>
      </c>
      <c r="AF526" t="s">
        <v>47</v>
      </c>
      <c r="AG526" t="s">
        <v>47</v>
      </c>
      <c r="AH526" t="s">
        <v>47</v>
      </c>
      <c r="AI526" t="s">
        <v>47</v>
      </c>
      <c r="AJ526" t="s">
        <v>47</v>
      </c>
      <c r="AK526" t="s">
        <v>47</v>
      </c>
      <c r="AL526" t="s">
        <v>47</v>
      </c>
      <c r="AM526" t="s">
        <v>47</v>
      </c>
      <c r="AN526" t="s">
        <v>47</v>
      </c>
      <c r="AO526" s="5" t="s">
        <v>60</v>
      </c>
      <c r="AP526" s="4" t="s">
        <v>61</v>
      </c>
      <c r="AQ526" s="4" t="s">
        <v>2228</v>
      </c>
      <c r="AR526" s="4" t="s">
        <v>54</v>
      </c>
      <c r="AS526" s="5">
        <v>2031383</v>
      </c>
      <c r="AT526" t="s">
        <v>47</v>
      </c>
    </row>
    <row r="527" spans="1:46" ht="39" x14ac:dyDescent="0.3">
      <c r="A527" s="4" t="s">
        <v>2229</v>
      </c>
      <c r="B527" t="s">
        <v>47</v>
      </c>
      <c r="C527" s="4" t="s">
        <v>928</v>
      </c>
      <c r="D527" s="4" t="s">
        <v>1168</v>
      </c>
      <c r="E527" s="4" t="s">
        <v>49</v>
      </c>
      <c r="F527" t="s">
        <v>47</v>
      </c>
      <c r="G527" t="s">
        <v>47</v>
      </c>
      <c r="H527" s="5" t="s">
        <v>2230</v>
      </c>
      <c r="I527" t="s">
        <v>47</v>
      </c>
      <c r="J527" t="s">
        <v>47</v>
      </c>
      <c r="K527" t="s">
        <v>47</v>
      </c>
      <c r="L527" s="5" t="s">
        <v>51</v>
      </c>
      <c r="M527" t="s">
        <v>47</v>
      </c>
      <c r="N527" t="s">
        <v>47</v>
      </c>
      <c r="O527" t="s">
        <v>47</v>
      </c>
      <c r="P527" t="s">
        <v>47</v>
      </c>
      <c r="Q527" t="s">
        <v>47</v>
      </c>
      <c r="R527" t="s">
        <v>47</v>
      </c>
      <c r="S527" t="s">
        <v>47</v>
      </c>
      <c r="T527" t="s">
        <v>47</v>
      </c>
      <c r="U527" t="s">
        <v>47</v>
      </c>
      <c r="V527" t="s">
        <v>47</v>
      </c>
      <c r="W527" s="3">
        <v>37622</v>
      </c>
      <c r="X527" s="3">
        <v>37622</v>
      </c>
      <c r="Y527" t="s">
        <v>47</v>
      </c>
      <c r="Z527" s="3">
        <v>37622</v>
      </c>
      <c r="AA527" s="3">
        <v>37622</v>
      </c>
      <c r="AB527" t="s">
        <v>47</v>
      </c>
      <c r="AC527" t="s">
        <v>47</v>
      </c>
      <c r="AD527" t="s">
        <v>47</v>
      </c>
      <c r="AE527" t="s">
        <v>47</v>
      </c>
      <c r="AF527" t="s">
        <v>47</v>
      </c>
      <c r="AG527" t="s">
        <v>47</v>
      </c>
      <c r="AH527" t="s">
        <v>47</v>
      </c>
      <c r="AI527" t="s">
        <v>47</v>
      </c>
      <c r="AJ527" t="s">
        <v>47</v>
      </c>
      <c r="AK527" t="s">
        <v>47</v>
      </c>
      <c r="AL527" t="s">
        <v>47</v>
      </c>
      <c r="AM527" t="s">
        <v>47</v>
      </c>
      <c r="AN527" t="s">
        <v>47</v>
      </c>
      <c r="AO527" s="5" t="s">
        <v>51</v>
      </c>
      <c r="AP527" s="4" t="s">
        <v>1170</v>
      </c>
      <c r="AQ527" s="4" t="s">
        <v>53</v>
      </c>
      <c r="AR527" s="4" t="s">
        <v>186</v>
      </c>
      <c r="AS527" s="5">
        <v>54351</v>
      </c>
      <c r="AT527" t="s">
        <v>47</v>
      </c>
    </row>
    <row r="528" spans="1:46" ht="78" x14ac:dyDescent="0.3">
      <c r="A528" s="4" t="s">
        <v>2231</v>
      </c>
      <c r="B528" t="s">
        <v>47</v>
      </c>
      <c r="C528" s="4" t="s">
        <v>2232</v>
      </c>
      <c r="D528" s="4" t="s">
        <v>1307</v>
      </c>
      <c r="E528" s="4" t="s">
        <v>49</v>
      </c>
      <c r="F528" s="5" t="s">
        <v>2233</v>
      </c>
      <c r="G528" s="5" t="s">
        <v>2234</v>
      </c>
      <c r="H528" t="s">
        <v>47</v>
      </c>
      <c r="I528" t="s">
        <v>47</v>
      </c>
      <c r="J528" t="s">
        <v>47</v>
      </c>
      <c r="K528" t="s">
        <v>47</v>
      </c>
      <c r="L528" s="5" t="s">
        <v>51</v>
      </c>
      <c r="M528" t="s">
        <v>47</v>
      </c>
      <c r="N528" t="s">
        <v>47</v>
      </c>
      <c r="O528" t="s">
        <v>47</v>
      </c>
      <c r="P528" t="s">
        <v>47</v>
      </c>
      <c r="Q528" t="s">
        <v>47</v>
      </c>
      <c r="R528" t="s">
        <v>47</v>
      </c>
      <c r="S528" t="s">
        <v>47</v>
      </c>
      <c r="T528" t="s">
        <v>47</v>
      </c>
      <c r="U528" t="s">
        <v>47</v>
      </c>
      <c r="V528" t="s">
        <v>47</v>
      </c>
      <c r="W528" s="3">
        <v>35431</v>
      </c>
      <c r="X528" s="3">
        <v>35796</v>
      </c>
      <c r="Y528" t="s">
        <v>47</v>
      </c>
      <c r="Z528" s="3">
        <v>35431</v>
      </c>
      <c r="AA528" s="3">
        <v>35796</v>
      </c>
      <c r="AB528" t="s">
        <v>47</v>
      </c>
      <c r="AC528" t="s">
        <v>47</v>
      </c>
      <c r="AD528" t="s">
        <v>47</v>
      </c>
      <c r="AE528" t="s">
        <v>47</v>
      </c>
      <c r="AF528" t="s">
        <v>47</v>
      </c>
      <c r="AG528" t="s">
        <v>47</v>
      </c>
      <c r="AH528" t="s">
        <v>47</v>
      </c>
      <c r="AI528" t="s">
        <v>47</v>
      </c>
      <c r="AJ528" t="s">
        <v>47</v>
      </c>
      <c r="AK528" t="s">
        <v>47</v>
      </c>
      <c r="AL528" t="s">
        <v>47</v>
      </c>
      <c r="AM528" t="s">
        <v>47</v>
      </c>
      <c r="AN528" t="s">
        <v>47</v>
      </c>
      <c r="AO528" s="5" t="s">
        <v>51</v>
      </c>
      <c r="AP528" s="4" t="s">
        <v>853</v>
      </c>
      <c r="AQ528" s="4" t="s">
        <v>53</v>
      </c>
      <c r="AR528" s="4" t="s">
        <v>436</v>
      </c>
      <c r="AS528" s="5">
        <v>2499</v>
      </c>
      <c r="AT528" t="s">
        <v>47</v>
      </c>
    </row>
    <row r="529" spans="1:46" ht="104" x14ac:dyDescent="0.3">
      <c r="A529" s="4" t="s">
        <v>2235</v>
      </c>
      <c r="B529" t="s">
        <v>47</v>
      </c>
      <c r="C529" s="4" t="s">
        <v>884</v>
      </c>
      <c r="D529" s="4" t="s">
        <v>2236</v>
      </c>
      <c r="E529" s="4" t="s">
        <v>49</v>
      </c>
      <c r="F529" s="5" t="s">
        <v>2237</v>
      </c>
      <c r="G529" s="5" t="s">
        <v>2238</v>
      </c>
      <c r="H529" t="s">
        <v>47</v>
      </c>
      <c r="I529" s="3">
        <v>43374</v>
      </c>
      <c r="J529" s="5" t="s">
        <v>50</v>
      </c>
      <c r="K529" t="s">
        <v>47</v>
      </c>
      <c r="L529" s="5" t="s">
        <v>60</v>
      </c>
      <c r="M529" s="3">
        <v>43374</v>
      </c>
      <c r="N529" s="5" t="s">
        <v>50</v>
      </c>
      <c r="O529" t="s">
        <v>47</v>
      </c>
      <c r="P529" s="3">
        <v>43374</v>
      </c>
      <c r="Q529" s="5" t="s">
        <v>50</v>
      </c>
      <c r="R529" t="s">
        <v>47</v>
      </c>
      <c r="S529" t="s">
        <v>47</v>
      </c>
      <c r="T529" t="s">
        <v>47</v>
      </c>
      <c r="U529" t="s">
        <v>47</v>
      </c>
      <c r="V529" s="5">
        <v>365</v>
      </c>
      <c r="W529" s="3">
        <v>43374</v>
      </c>
      <c r="X529" s="5" t="s">
        <v>50</v>
      </c>
      <c r="Y529" t="s">
        <v>47</v>
      </c>
      <c r="Z529" s="3">
        <v>43374</v>
      </c>
      <c r="AA529" s="5" t="s">
        <v>50</v>
      </c>
      <c r="AB529" t="s">
        <v>47</v>
      </c>
      <c r="AC529" s="3">
        <v>43374</v>
      </c>
      <c r="AD529" s="5" t="s">
        <v>50</v>
      </c>
      <c r="AE529" t="s">
        <v>47</v>
      </c>
      <c r="AF529" t="s">
        <v>47</v>
      </c>
      <c r="AG529" t="s">
        <v>47</v>
      </c>
      <c r="AH529" t="s">
        <v>47</v>
      </c>
      <c r="AI529" t="s">
        <v>47</v>
      </c>
      <c r="AJ529" t="s">
        <v>47</v>
      </c>
      <c r="AK529" t="s">
        <v>47</v>
      </c>
      <c r="AL529" t="s">
        <v>47</v>
      </c>
      <c r="AM529" t="s">
        <v>47</v>
      </c>
      <c r="AN529" t="s">
        <v>47</v>
      </c>
      <c r="AO529" s="5" t="s">
        <v>60</v>
      </c>
      <c r="AP529" s="4" t="s">
        <v>61</v>
      </c>
      <c r="AQ529" s="4" t="s">
        <v>198</v>
      </c>
      <c r="AR529" s="4" t="s">
        <v>2239</v>
      </c>
      <c r="AS529" s="5">
        <v>2037924</v>
      </c>
      <c r="AT529" t="s">
        <v>47</v>
      </c>
    </row>
    <row r="530" spans="1:46" ht="26" x14ac:dyDescent="0.3">
      <c r="A530" s="4" t="s">
        <v>2240</v>
      </c>
      <c r="B530" t="s">
        <v>47</v>
      </c>
      <c r="C530" s="4" t="s">
        <v>2241</v>
      </c>
      <c r="D530" s="4" t="s">
        <v>1560</v>
      </c>
      <c r="E530" s="4" t="s">
        <v>1197</v>
      </c>
      <c r="F530" s="5" t="s">
        <v>2242</v>
      </c>
      <c r="G530" s="5" t="s">
        <v>2243</v>
      </c>
      <c r="H530" t="s">
        <v>47</v>
      </c>
      <c r="I530" t="s">
        <v>47</v>
      </c>
      <c r="J530" t="s">
        <v>47</v>
      </c>
      <c r="K530" t="s">
        <v>47</v>
      </c>
      <c r="L530" s="5" t="s">
        <v>60</v>
      </c>
      <c r="M530" t="s">
        <v>47</v>
      </c>
      <c r="N530" t="s">
        <v>47</v>
      </c>
      <c r="O530" t="s">
        <v>47</v>
      </c>
      <c r="P530" t="s">
        <v>47</v>
      </c>
      <c r="Q530" t="s">
        <v>47</v>
      </c>
      <c r="R530" t="s">
        <v>47</v>
      </c>
      <c r="S530" t="s">
        <v>47</v>
      </c>
      <c r="T530" t="s">
        <v>47</v>
      </c>
      <c r="U530" t="s">
        <v>47</v>
      </c>
      <c r="V530" t="s">
        <v>47</v>
      </c>
      <c r="W530" s="3">
        <v>38718</v>
      </c>
      <c r="X530" s="5" t="s">
        <v>50</v>
      </c>
      <c r="Y530" t="s">
        <v>47</v>
      </c>
      <c r="Z530" s="3">
        <v>38718</v>
      </c>
      <c r="AA530" s="5" t="s">
        <v>50</v>
      </c>
      <c r="AB530" t="s">
        <v>47</v>
      </c>
      <c r="AC530" s="3">
        <v>38718</v>
      </c>
      <c r="AD530" s="5" t="s">
        <v>50</v>
      </c>
      <c r="AE530" t="s">
        <v>47</v>
      </c>
      <c r="AF530" t="s">
        <v>47</v>
      </c>
      <c r="AG530" t="s">
        <v>47</v>
      </c>
      <c r="AH530" t="s">
        <v>47</v>
      </c>
      <c r="AI530" t="s">
        <v>47</v>
      </c>
      <c r="AJ530" t="s">
        <v>47</v>
      </c>
      <c r="AK530" t="s">
        <v>47</v>
      </c>
      <c r="AL530" t="s">
        <v>47</v>
      </c>
      <c r="AM530" t="s">
        <v>47</v>
      </c>
      <c r="AN530" t="s">
        <v>47</v>
      </c>
      <c r="AO530" s="5" t="s">
        <v>60</v>
      </c>
      <c r="AP530" s="4" t="s">
        <v>61</v>
      </c>
      <c r="AQ530" s="4" t="s">
        <v>53</v>
      </c>
      <c r="AR530" s="4" t="s">
        <v>54</v>
      </c>
      <c r="AS530" s="5">
        <v>54612</v>
      </c>
      <c r="AT530" t="s">
        <v>47</v>
      </c>
    </row>
    <row r="531" spans="1:46" ht="91" x14ac:dyDescent="0.3">
      <c r="A531" s="4" t="s">
        <v>2244</v>
      </c>
      <c r="B531" t="s">
        <v>47</v>
      </c>
      <c r="C531" s="4" t="s">
        <v>2245</v>
      </c>
      <c r="D531" s="4" t="s">
        <v>2246</v>
      </c>
      <c r="E531" s="4" t="s">
        <v>66</v>
      </c>
      <c r="F531" s="5" t="s">
        <v>2247</v>
      </c>
      <c r="G531" s="5" t="s">
        <v>2248</v>
      </c>
      <c r="H531" t="s">
        <v>47</v>
      </c>
      <c r="I531" s="3">
        <v>35977</v>
      </c>
      <c r="J531" s="3">
        <v>44287</v>
      </c>
      <c r="K531" t="s">
        <v>47</v>
      </c>
      <c r="L531" s="5" t="s">
        <v>60</v>
      </c>
      <c r="M531" s="3">
        <v>35977</v>
      </c>
      <c r="N531" s="3">
        <v>44287</v>
      </c>
      <c r="O531" s="5" t="s">
        <v>2249</v>
      </c>
      <c r="P531" s="3">
        <v>35977</v>
      </c>
      <c r="Q531" s="3">
        <v>44287</v>
      </c>
      <c r="R531" t="s">
        <v>47</v>
      </c>
      <c r="S531" t="s">
        <v>47</v>
      </c>
      <c r="T531" t="s">
        <v>47</v>
      </c>
      <c r="U531" t="s">
        <v>47</v>
      </c>
      <c r="V531" t="s">
        <v>47</v>
      </c>
      <c r="W531" s="3">
        <v>35977</v>
      </c>
      <c r="X531" s="3">
        <v>44287</v>
      </c>
      <c r="Y531" t="s">
        <v>47</v>
      </c>
      <c r="Z531" s="3">
        <v>35977</v>
      </c>
      <c r="AA531" s="3">
        <v>44287</v>
      </c>
      <c r="AB531" t="s">
        <v>47</v>
      </c>
      <c r="AC531" s="3">
        <v>36617</v>
      </c>
      <c r="AD531" s="3">
        <v>44287</v>
      </c>
      <c r="AE531" t="s">
        <v>47</v>
      </c>
      <c r="AF531" t="s">
        <v>47</v>
      </c>
      <c r="AG531" t="s">
        <v>47</v>
      </c>
      <c r="AH531" t="s">
        <v>47</v>
      </c>
      <c r="AI531" t="s">
        <v>47</v>
      </c>
      <c r="AJ531" t="s">
        <v>47</v>
      </c>
      <c r="AK531" t="s">
        <v>47</v>
      </c>
      <c r="AL531" t="s">
        <v>47</v>
      </c>
      <c r="AM531" t="s">
        <v>47</v>
      </c>
      <c r="AN531" t="s">
        <v>47</v>
      </c>
      <c r="AO531" s="5" t="s">
        <v>60</v>
      </c>
      <c r="AP531" s="4" t="s">
        <v>61</v>
      </c>
      <c r="AQ531" s="4" t="s">
        <v>53</v>
      </c>
      <c r="AR531" s="4" t="s">
        <v>2250</v>
      </c>
      <c r="AS531" s="5">
        <v>34391</v>
      </c>
      <c r="AT531" t="s">
        <v>47</v>
      </c>
    </row>
    <row r="532" spans="1:46" ht="26" x14ac:dyDescent="0.3">
      <c r="A532" s="4" t="s">
        <v>2251</v>
      </c>
      <c r="B532" t="s">
        <v>47</v>
      </c>
      <c r="C532" s="4" t="s">
        <v>48</v>
      </c>
      <c r="D532" t="s">
        <v>47</v>
      </c>
      <c r="E532" s="4" t="s">
        <v>49</v>
      </c>
      <c r="F532" t="s">
        <v>47</v>
      </c>
      <c r="G532" t="s">
        <v>47</v>
      </c>
      <c r="H532" t="s">
        <v>47</v>
      </c>
      <c r="I532" s="3">
        <v>44183</v>
      </c>
      <c r="J532" s="5" t="s">
        <v>50</v>
      </c>
      <c r="K532" t="s">
        <v>47</v>
      </c>
      <c r="L532" s="5" t="s">
        <v>51</v>
      </c>
      <c r="M532" s="3">
        <v>44183</v>
      </c>
      <c r="N532" s="5" t="s">
        <v>50</v>
      </c>
      <c r="O532" t="s">
        <v>47</v>
      </c>
      <c r="P532" t="s">
        <v>47</v>
      </c>
      <c r="Q532" t="s">
        <v>47</v>
      </c>
      <c r="R532" t="s">
        <v>47</v>
      </c>
      <c r="S532" t="s">
        <v>47</v>
      </c>
      <c r="T532" t="s">
        <v>47</v>
      </c>
      <c r="U532" t="s">
        <v>47</v>
      </c>
      <c r="V532" t="s">
        <v>47</v>
      </c>
      <c r="W532" s="3">
        <v>44183</v>
      </c>
      <c r="X532" s="5" t="s">
        <v>50</v>
      </c>
      <c r="Y532" t="s">
        <v>47</v>
      </c>
      <c r="Z532" s="3">
        <v>44183</v>
      </c>
      <c r="AA532" s="5" t="s">
        <v>50</v>
      </c>
      <c r="AB532" t="s">
        <v>47</v>
      </c>
      <c r="AC532" t="s">
        <v>47</v>
      </c>
      <c r="AD532" t="s">
        <v>47</v>
      </c>
      <c r="AE532" t="s">
        <v>47</v>
      </c>
      <c r="AF532" t="s">
        <v>47</v>
      </c>
      <c r="AG532" t="s">
        <v>47</v>
      </c>
      <c r="AH532" t="s">
        <v>47</v>
      </c>
      <c r="AI532" t="s">
        <v>47</v>
      </c>
      <c r="AJ532" t="s">
        <v>47</v>
      </c>
      <c r="AK532" t="s">
        <v>47</v>
      </c>
      <c r="AL532" t="s">
        <v>47</v>
      </c>
      <c r="AM532" t="s">
        <v>47</v>
      </c>
      <c r="AN532" t="s">
        <v>47</v>
      </c>
      <c r="AO532" s="5" t="s">
        <v>51</v>
      </c>
      <c r="AP532" s="4" t="s">
        <v>52</v>
      </c>
      <c r="AQ532" s="4" t="s">
        <v>53</v>
      </c>
      <c r="AR532" s="4" t="s">
        <v>54</v>
      </c>
      <c r="AS532" s="5">
        <v>5343173</v>
      </c>
      <c r="AT532" t="s">
        <v>47</v>
      </c>
    </row>
    <row r="533" spans="1:46" ht="91" x14ac:dyDescent="0.3">
      <c r="A533" s="4" t="s">
        <v>2252</v>
      </c>
      <c r="B533" t="s">
        <v>47</v>
      </c>
      <c r="C533" s="4" t="s">
        <v>2253</v>
      </c>
      <c r="D533" s="4" t="s">
        <v>88</v>
      </c>
      <c r="E533" s="4" t="s">
        <v>49</v>
      </c>
      <c r="F533" s="5" t="s">
        <v>2254</v>
      </c>
      <c r="G533" t="s">
        <v>47</v>
      </c>
      <c r="H533" t="s">
        <v>47</v>
      </c>
      <c r="I533" s="3">
        <v>32143</v>
      </c>
      <c r="J533" s="3">
        <v>42186</v>
      </c>
      <c r="K533" t="s">
        <v>47</v>
      </c>
      <c r="L533" s="5" t="s">
        <v>51</v>
      </c>
      <c r="M533" s="3">
        <v>33604</v>
      </c>
      <c r="N533" s="3">
        <v>42186</v>
      </c>
      <c r="O533" t="s">
        <v>47</v>
      </c>
      <c r="P533" s="3">
        <v>32143</v>
      </c>
      <c r="Q533" s="3">
        <v>42186</v>
      </c>
      <c r="R533" t="s">
        <v>47</v>
      </c>
      <c r="S533" t="s">
        <v>47</v>
      </c>
      <c r="T533" t="s">
        <v>47</v>
      </c>
      <c r="U533" t="s">
        <v>47</v>
      </c>
      <c r="V533" t="s">
        <v>47</v>
      </c>
      <c r="W533" s="3">
        <v>26755</v>
      </c>
      <c r="X533" s="3">
        <v>42186</v>
      </c>
      <c r="Y533" t="s">
        <v>47</v>
      </c>
      <c r="Z533" s="3">
        <v>26755</v>
      </c>
      <c r="AA533" s="3">
        <v>42186</v>
      </c>
      <c r="AB533" t="s">
        <v>47</v>
      </c>
      <c r="AC533" s="3">
        <v>26755</v>
      </c>
      <c r="AD533" s="3">
        <v>42186</v>
      </c>
      <c r="AE533" t="s">
        <v>47</v>
      </c>
      <c r="AF533" t="s">
        <v>47</v>
      </c>
      <c r="AG533" t="s">
        <v>47</v>
      </c>
      <c r="AH533" t="s">
        <v>47</v>
      </c>
      <c r="AI533" t="s">
        <v>47</v>
      </c>
      <c r="AJ533" t="s">
        <v>47</v>
      </c>
      <c r="AK533" t="s">
        <v>47</v>
      </c>
      <c r="AL533" t="s">
        <v>47</v>
      </c>
      <c r="AM533" t="s">
        <v>47</v>
      </c>
      <c r="AN533" t="s">
        <v>47</v>
      </c>
      <c r="AO533" s="5" t="s">
        <v>51</v>
      </c>
      <c r="AP533" s="4" t="s">
        <v>135</v>
      </c>
      <c r="AQ533" s="4" t="s">
        <v>53</v>
      </c>
      <c r="AR533" s="4" t="s">
        <v>2255</v>
      </c>
      <c r="AS533" s="5">
        <v>47758</v>
      </c>
      <c r="AT533" t="s">
        <v>47</v>
      </c>
    </row>
    <row r="534" spans="1:46" ht="26" x14ac:dyDescent="0.3">
      <c r="A534" s="4" t="s">
        <v>2256</v>
      </c>
      <c r="B534" t="s">
        <v>47</v>
      </c>
      <c r="C534" s="4" t="s">
        <v>2257</v>
      </c>
      <c r="D534" s="4" t="s">
        <v>2258</v>
      </c>
      <c r="E534" s="4" t="s">
        <v>2259</v>
      </c>
      <c r="F534" t="s">
        <v>47</v>
      </c>
      <c r="G534" s="5" t="s">
        <v>2260</v>
      </c>
      <c r="H534" t="s">
        <v>47</v>
      </c>
      <c r="I534" s="3">
        <v>42736</v>
      </c>
      <c r="J534" s="3">
        <v>44197</v>
      </c>
      <c r="K534" s="5" t="s">
        <v>537</v>
      </c>
      <c r="L534" s="5" t="s">
        <v>60</v>
      </c>
      <c r="M534" t="s">
        <v>47</v>
      </c>
      <c r="N534" t="s">
        <v>47</v>
      </c>
      <c r="O534" t="s">
        <v>47</v>
      </c>
      <c r="P534" s="3">
        <v>42736</v>
      </c>
      <c r="Q534" s="3">
        <v>44197</v>
      </c>
      <c r="R534" s="5" t="s">
        <v>537</v>
      </c>
      <c r="S534" t="s">
        <v>47</v>
      </c>
      <c r="T534" t="s">
        <v>47</v>
      </c>
      <c r="U534" t="s">
        <v>47</v>
      </c>
      <c r="V534" t="s">
        <v>47</v>
      </c>
      <c r="W534" s="3">
        <v>42736</v>
      </c>
      <c r="X534" s="3">
        <v>44197</v>
      </c>
      <c r="Y534" s="5" t="s">
        <v>537</v>
      </c>
      <c r="Z534" s="3">
        <v>42736</v>
      </c>
      <c r="AA534" s="3">
        <v>44197</v>
      </c>
      <c r="AB534" s="5" t="s">
        <v>537</v>
      </c>
      <c r="AC534" s="3">
        <v>42736</v>
      </c>
      <c r="AD534" s="3">
        <v>44197</v>
      </c>
      <c r="AE534" s="5" t="s">
        <v>537</v>
      </c>
      <c r="AF534" t="s">
        <v>47</v>
      </c>
      <c r="AG534" t="s">
        <v>47</v>
      </c>
      <c r="AH534" t="s">
        <v>47</v>
      </c>
      <c r="AI534" t="s">
        <v>47</v>
      </c>
      <c r="AJ534" t="s">
        <v>47</v>
      </c>
      <c r="AK534" t="s">
        <v>47</v>
      </c>
      <c r="AL534" t="s">
        <v>47</v>
      </c>
      <c r="AM534" t="s">
        <v>47</v>
      </c>
      <c r="AN534" t="s">
        <v>47</v>
      </c>
      <c r="AO534" s="5" t="s">
        <v>60</v>
      </c>
      <c r="AP534" s="4" t="s">
        <v>61</v>
      </c>
      <c r="AQ534" s="4" t="s">
        <v>922</v>
      </c>
      <c r="AR534" s="4" t="s">
        <v>2261</v>
      </c>
      <c r="AS534" s="5">
        <v>3882645</v>
      </c>
      <c r="AT534" t="s">
        <v>47</v>
      </c>
    </row>
    <row r="535" spans="1:46" ht="26" x14ac:dyDescent="0.3">
      <c r="A535" s="4" t="s">
        <v>2262</v>
      </c>
      <c r="B535" t="s">
        <v>47</v>
      </c>
      <c r="C535" s="4" t="s">
        <v>2263</v>
      </c>
      <c r="D535" s="4" t="s">
        <v>2264</v>
      </c>
      <c r="E535" s="4" t="s">
        <v>100</v>
      </c>
      <c r="F535" s="5" t="s">
        <v>2265</v>
      </c>
      <c r="G535" t="s">
        <v>47</v>
      </c>
      <c r="H535" t="s">
        <v>47</v>
      </c>
      <c r="I535" s="3">
        <v>41699</v>
      </c>
      <c r="J535" s="5" t="s">
        <v>50</v>
      </c>
      <c r="K535" t="s">
        <v>47</v>
      </c>
      <c r="L535" s="5" t="s">
        <v>60</v>
      </c>
      <c r="M535" s="3">
        <v>41699</v>
      </c>
      <c r="N535" s="5" t="s">
        <v>50</v>
      </c>
      <c r="O535" t="s">
        <v>47</v>
      </c>
      <c r="P535" s="3">
        <v>41699</v>
      </c>
      <c r="Q535" s="5" t="s">
        <v>50</v>
      </c>
      <c r="R535" t="s">
        <v>47</v>
      </c>
      <c r="S535" t="s">
        <v>47</v>
      </c>
      <c r="T535" t="s">
        <v>47</v>
      </c>
      <c r="U535" t="s">
        <v>47</v>
      </c>
      <c r="V535" t="s">
        <v>47</v>
      </c>
      <c r="W535" s="3">
        <v>33848</v>
      </c>
      <c r="X535" s="5" t="s">
        <v>50</v>
      </c>
      <c r="Y535" t="s">
        <v>47</v>
      </c>
      <c r="Z535" s="3">
        <v>33848</v>
      </c>
      <c r="AA535" s="5" t="s">
        <v>50</v>
      </c>
      <c r="AB535" t="s">
        <v>47</v>
      </c>
      <c r="AC535" s="3">
        <v>41153</v>
      </c>
      <c r="AD535" s="5" t="s">
        <v>50</v>
      </c>
      <c r="AE535" t="s">
        <v>47</v>
      </c>
      <c r="AF535" t="s">
        <v>47</v>
      </c>
      <c r="AG535" t="s">
        <v>47</v>
      </c>
      <c r="AH535" t="s">
        <v>47</v>
      </c>
      <c r="AI535" t="s">
        <v>47</v>
      </c>
      <c r="AJ535" t="s">
        <v>47</v>
      </c>
      <c r="AK535" t="s">
        <v>47</v>
      </c>
      <c r="AL535" t="s">
        <v>47</v>
      </c>
      <c r="AM535" t="s">
        <v>47</v>
      </c>
      <c r="AN535" t="s">
        <v>47</v>
      </c>
      <c r="AO535" s="5" t="s">
        <v>60</v>
      </c>
      <c r="AP535" s="4" t="s">
        <v>61</v>
      </c>
      <c r="AQ535" s="4" t="s">
        <v>53</v>
      </c>
      <c r="AR535" s="4" t="s">
        <v>389</v>
      </c>
      <c r="AS535" s="5">
        <v>43656</v>
      </c>
      <c r="AT535" t="s">
        <v>47</v>
      </c>
    </row>
    <row r="536" spans="1:46" ht="78" x14ac:dyDescent="0.3">
      <c r="A536" s="4" t="s">
        <v>2266</v>
      </c>
      <c r="B536" t="s">
        <v>47</v>
      </c>
      <c r="C536" s="4" t="s">
        <v>169</v>
      </c>
      <c r="D536" s="4" t="s">
        <v>339</v>
      </c>
      <c r="E536" s="4" t="s">
        <v>66</v>
      </c>
      <c r="F536" s="5" t="s">
        <v>2267</v>
      </c>
      <c r="G536" s="5" t="s">
        <v>2268</v>
      </c>
      <c r="H536" t="s">
        <v>47</v>
      </c>
      <c r="I536" s="3">
        <v>35674</v>
      </c>
      <c r="J536" s="3">
        <v>36861</v>
      </c>
      <c r="K536" t="s">
        <v>47</v>
      </c>
      <c r="L536" s="5" t="s">
        <v>60</v>
      </c>
      <c r="M536" s="3">
        <v>35674</v>
      </c>
      <c r="N536" s="3">
        <v>36861</v>
      </c>
      <c r="O536" t="s">
        <v>47</v>
      </c>
      <c r="P536" s="3">
        <v>35674</v>
      </c>
      <c r="Q536" s="3">
        <v>36861</v>
      </c>
      <c r="R536" t="s">
        <v>47</v>
      </c>
      <c r="S536" t="s">
        <v>47</v>
      </c>
      <c r="T536" t="s">
        <v>47</v>
      </c>
      <c r="U536" t="s">
        <v>47</v>
      </c>
      <c r="V536" t="s">
        <v>47</v>
      </c>
      <c r="W536" s="3">
        <v>35674</v>
      </c>
      <c r="X536" s="5" t="s">
        <v>50</v>
      </c>
      <c r="Y536" t="s">
        <v>47</v>
      </c>
      <c r="Z536" s="3">
        <v>35674</v>
      </c>
      <c r="AA536" s="5" t="s">
        <v>50</v>
      </c>
      <c r="AB536" t="s">
        <v>47</v>
      </c>
      <c r="AC536" s="3">
        <v>35674</v>
      </c>
      <c r="AD536" s="5" t="s">
        <v>50</v>
      </c>
      <c r="AE536" t="s">
        <v>47</v>
      </c>
      <c r="AF536" t="s">
        <v>47</v>
      </c>
      <c r="AG536" t="s">
        <v>47</v>
      </c>
      <c r="AH536" t="s">
        <v>47</v>
      </c>
      <c r="AI536" t="s">
        <v>47</v>
      </c>
      <c r="AJ536" t="s">
        <v>47</v>
      </c>
      <c r="AK536" t="s">
        <v>47</v>
      </c>
      <c r="AL536" t="s">
        <v>47</v>
      </c>
      <c r="AM536" t="s">
        <v>47</v>
      </c>
      <c r="AN536" t="s">
        <v>47</v>
      </c>
      <c r="AO536" s="5" t="s">
        <v>60</v>
      </c>
      <c r="AP536" s="4" t="s">
        <v>61</v>
      </c>
      <c r="AQ536" s="4" t="s">
        <v>53</v>
      </c>
      <c r="AR536" s="4" t="s">
        <v>2269</v>
      </c>
      <c r="AS536" s="5">
        <v>32738</v>
      </c>
      <c r="AT536" t="s">
        <v>47</v>
      </c>
    </row>
    <row r="537" spans="1:46" ht="26" x14ac:dyDescent="0.3">
      <c r="A537" s="4" t="s">
        <v>2270</v>
      </c>
      <c r="B537" t="s">
        <v>47</v>
      </c>
      <c r="C537" s="4" t="s">
        <v>2271</v>
      </c>
      <c r="D537" s="4" t="s">
        <v>223</v>
      </c>
      <c r="E537" s="4" t="s">
        <v>49</v>
      </c>
      <c r="F537" s="5" t="s">
        <v>2272</v>
      </c>
      <c r="G537" t="s">
        <v>47</v>
      </c>
      <c r="H537" t="s">
        <v>47</v>
      </c>
      <c r="I537" s="3">
        <v>36251</v>
      </c>
      <c r="J537" s="3">
        <v>37347</v>
      </c>
      <c r="K537" t="s">
        <v>47</v>
      </c>
      <c r="L537" s="5" t="s">
        <v>60</v>
      </c>
      <c r="M537" s="3">
        <v>36251</v>
      </c>
      <c r="N537" s="3">
        <v>37347</v>
      </c>
      <c r="O537" t="s">
        <v>47</v>
      </c>
      <c r="P537" s="3">
        <v>36251</v>
      </c>
      <c r="Q537" s="3">
        <v>37347</v>
      </c>
      <c r="R537" t="s">
        <v>47</v>
      </c>
      <c r="S537" t="s">
        <v>47</v>
      </c>
      <c r="T537" t="s">
        <v>47</v>
      </c>
      <c r="U537" t="s">
        <v>47</v>
      </c>
      <c r="V537" t="s">
        <v>47</v>
      </c>
      <c r="W537" s="3">
        <v>36251</v>
      </c>
      <c r="X537" s="3">
        <v>37347</v>
      </c>
      <c r="Y537" t="s">
        <v>47</v>
      </c>
      <c r="Z537" s="3">
        <v>36251</v>
      </c>
      <c r="AA537" s="3">
        <v>37347</v>
      </c>
      <c r="AB537" t="s">
        <v>47</v>
      </c>
      <c r="AC537" t="s">
        <v>47</v>
      </c>
      <c r="AD537" t="s">
        <v>47</v>
      </c>
      <c r="AE537" t="s">
        <v>47</v>
      </c>
      <c r="AF537" t="s">
        <v>47</v>
      </c>
      <c r="AG537" t="s">
        <v>47</v>
      </c>
      <c r="AH537" t="s">
        <v>47</v>
      </c>
      <c r="AI537" t="s">
        <v>47</v>
      </c>
      <c r="AJ537" t="s">
        <v>47</v>
      </c>
      <c r="AK537" t="s">
        <v>47</v>
      </c>
      <c r="AL537" t="s">
        <v>47</v>
      </c>
      <c r="AM537" t="s">
        <v>47</v>
      </c>
      <c r="AN537" t="s">
        <v>47</v>
      </c>
      <c r="AO537" s="5" t="s">
        <v>60</v>
      </c>
      <c r="AP537" s="4" t="s">
        <v>61</v>
      </c>
      <c r="AQ537" s="4" t="s">
        <v>53</v>
      </c>
      <c r="AR537" s="4" t="s">
        <v>827</v>
      </c>
      <c r="AS537" s="5">
        <v>45392</v>
      </c>
      <c r="AT537" t="s">
        <v>47</v>
      </c>
    </row>
    <row r="538" spans="1:46" ht="26" x14ac:dyDescent="0.3">
      <c r="A538" s="4" t="s">
        <v>2273</v>
      </c>
      <c r="B538" t="s">
        <v>47</v>
      </c>
      <c r="C538" s="4" t="s">
        <v>2271</v>
      </c>
      <c r="D538" s="4" t="s">
        <v>223</v>
      </c>
      <c r="E538" s="4" t="s">
        <v>49</v>
      </c>
      <c r="F538" t="s">
        <v>47</v>
      </c>
      <c r="G538" s="5" t="s">
        <v>2274</v>
      </c>
      <c r="H538" t="s">
        <v>47</v>
      </c>
      <c r="I538" s="3">
        <v>37165</v>
      </c>
      <c r="J538" s="3">
        <v>40269</v>
      </c>
      <c r="K538" t="s">
        <v>47</v>
      </c>
      <c r="L538" s="5" t="s">
        <v>60</v>
      </c>
      <c r="M538" s="3">
        <v>37165</v>
      </c>
      <c r="N538" s="3">
        <v>40269</v>
      </c>
      <c r="O538" t="s">
        <v>47</v>
      </c>
      <c r="P538" s="3">
        <v>39083</v>
      </c>
      <c r="Q538" s="3">
        <v>40269</v>
      </c>
      <c r="R538" t="s">
        <v>47</v>
      </c>
      <c r="S538" t="s">
        <v>47</v>
      </c>
      <c r="T538" t="s">
        <v>47</v>
      </c>
      <c r="U538" t="s">
        <v>47</v>
      </c>
      <c r="V538" t="s">
        <v>47</v>
      </c>
      <c r="W538" s="3">
        <v>37165</v>
      </c>
      <c r="X538" s="3">
        <v>43009</v>
      </c>
      <c r="Y538" t="s">
        <v>47</v>
      </c>
      <c r="Z538" s="3">
        <v>37165</v>
      </c>
      <c r="AA538" s="3">
        <v>43009</v>
      </c>
      <c r="AB538" t="s">
        <v>47</v>
      </c>
      <c r="AC538" t="s">
        <v>47</v>
      </c>
      <c r="AD538" t="s">
        <v>47</v>
      </c>
      <c r="AE538" t="s">
        <v>47</v>
      </c>
      <c r="AF538" t="s">
        <v>47</v>
      </c>
      <c r="AG538" t="s">
        <v>47</v>
      </c>
      <c r="AH538" t="s">
        <v>47</v>
      </c>
      <c r="AI538" t="s">
        <v>47</v>
      </c>
      <c r="AJ538" t="s">
        <v>47</v>
      </c>
      <c r="AK538" t="s">
        <v>47</v>
      </c>
      <c r="AL538" t="s">
        <v>47</v>
      </c>
      <c r="AM538" t="s">
        <v>47</v>
      </c>
      <c r="AN538" t="s">
        <v>47</v>
      </c>
      <c r="AO538" s="5" t="s">
        <v>60</v>
      </c>
      <c r="AP538" s="4" t="s">
        <v>61</v>
      </c>
      <c r="AQ538" s="4" t="s">
        <v>53</v>
      </c>
      <c r="AR538" s="4" t="s">
        <v>827</v>
      </c>
      <c r="AS538" s="5">
        <v>42985</v>
      </c>
      <c r="AT538" t="s">
        <v>47</v>
      </c>
    </row>
    <row r="539" spans="1:46" ht="78" x14ac:dyDescent="0.3">
      <c r="A539" s="4" t="s">
        <v>2275</v>
      </c>
      <c r="B539" t="s">
        <v>47</v>
      </c>
      <c r="C539" s="4" t="s">
        <v>169</v>
      </c>
      <c r="D539" s="4" t="s">
        <v>319</v>
      </c>
      <c r="E539" s="4" t="s">
        <v>66</v>
      </c>
      <c r="F539" s="5" t="s">
        <v>2276</v>
      </c>
      <c r="G539" s="5" t="s">
        <v>2277</v>
      </c>
      <c r="H539" t="s">
        <v>47</v>
      </c>
      <c r="I539" t="s">
        <v>47</v>
      </c>
      <c r="J539" t="s">
        <v>47</v>
      </c>
      <c r="K539" t="s">
        <v>47</v>
      </c>
      <c r="L539" s="5" t="s">
        <v>60</v>
      </c>
      <c r="M539" t="s">
        <v>47</v>
      </c>
      <c r="N539" t="s">
        <v>47</v>
      </c>
      <c r="O539" t="s">
        <v>47</v>
      </c>
      <c r="P539" t="s">
        <v>47</v>
      </c>
      <c r="Q539" t="s">
        <v>47</v>
      </c>
      <c r="R539" t="s">
        <v>47</v>
      </c>
      <c r="S539" t="s">
        <v>47</v>
      </c>
      <c r="T539" t="s">
        <v>47</v>
      </c>
      <c r="U539" t="s">
        <v>47</v>
      </c>
      <c r="V539" t="s">
        <v>47</v>
      </c>
      <c r="W539" s="3">
        <v>40603</v>
      </c>
      <c r="X539" s="5" t="s">
        <v>50</v>
      </c>
      <c r="Y539" t="s">
        <v>47</v>
      </c>
      <c r="Z539" s="3">
        <v>40603</v>
      </c>
      <c r="AA539" s="5" t="s">
        <v>50</v>
      </c>
      <c r="AB539" t="s">
        <v>47</v>
      </c>
      <c r="AC539" s="3">
        <v>40603</v>
      </c>
      <c r="AD539" s="5" t="s">
        <v>50</v>
      </c>
      <c r="AE539" s="5" t="s">
        <v>2278</v>
      </c>
      <c r="AF539" t="s">
        <v>47</v>
      </c>
      <c r="AG539" t="s">
        <v>47</v>
      </c>
      <c r="AH539" t="s">
        <v>47</v>
      </c>
      <c r="AI539" t="s">
        <v>47</v>
      </c>
      <c r="AJ539" t="s">
        <v>47</v>
      </c>
      <c r="AK539" t="s">
        <v>47</v>
      </c>
      <c r="AL539" t="s">
        <v>47</v>
      </c>
      <c r="AM539" t="s">
        <v>47</v>
      </c>
      <c r="AN539" t="s">
        <v>47</v>
      </c>
      <c r="AO539" s="5" t="s">
        <v>60</v>
      </c>
      <c r="AP539" s="4" t="s">
        <v>61</v>
      </c>
      <c r="AQ539" s="4" t="s">
        <v>53</v>
      </c>
      <c r="AR539" s="4" t="s">
        <v>2279</v>
      </c>
      <c r="AS539" s="5">
        <v>436446</v>
      </c>
      <c r="AT539" t="s">
        <v>47</v>
      </c>
    </row>
    <row r="540" spans="1:46" ht="26" x14ac:dyDescent="0.3">
      <c r="A540" s="4" t="s">
        <v>2280</v>
      </c>
      <c r="B540" t="s">
        <v>47</v>
      </c>
      <c r="C540" s="4" t="s">
        <v>2281</v>
      </c>
      <c r="D540" s="4" t="s">
        <v>2282</v>
      </c>
      <c r="E540" s="4" t="s">
        <v>49</v>
      </c>
      <c r="F540" s="5" t="s">
        <v>2283</v>
      </c>
      <c r="G540" s="5" t="s">
        <v>2284</v>
      </c>
      <c r="H540" t="s">
        <v>47</v>
      </c>
      <c r="I540" s="3">
        <v>36161</v>
      </c>
      <c r="J540" s="5" t="s">
        <v>50</v>
      </c>
      <c r="K540" t="s">
        <v>47</v>
      </c>
      <c r="L540" s="5" t="s">
        <v>60</v>
      </c>
      <c r="M540" s="3">
        <v>36161</v>
      </c>
      <c r="N540" s="5" t="s">
        <v>50</v>
      </c>
      <c r="O540" t="s">
        <v>47</v>
      </c>
      <c r="P540" s="3">
        <v>36161</v>
      </c>
      <c r="Q540" s="5" t="s">
        <v>50</v>
      </c>
      <c r="R540" s="5" t="s">
        <v>2285</v>
      </c>
      <c r="S540" t="s">
        <v>47</v>
      </c>
      <c r="T540" t="s">
        <v>47</v>
      </c>
      <c r="U540" t="s">
        <v>47</v>
      </c>
      <c r="V540" t="s">
        <v>47</v>
      </c>
      <c r="W540" s="3">
        <v>36161</v>
      </c>
      <c r="X540" s="5" t="s">
        <v>50</v>
      </c>
      <c r="Y540" t="s">
        <v>47</v>
      </c>
      <c r="Z540" s="3">
        <v>36161</v>
      </c>
      <c r="AA540" s="5" t="s">
        <v>50</v>
      </c>
      <c r="AB540" t="s">
        <v>47</v>
      </c>
      <c r="AC540" s="3">
        <v>36161</v>
      </c>
      <c r="AD540" s="5" t="s">
        <v>50</v>
      </c>
      <c r="AE540" t="s">
        <v>47</v>
      </c>
      <c r="AF540" t="s">
        <v>47</v>
      </c>
      <c r="AG540" t="s">
        <v>47</v>
      </c>
      <c r="AH540" t="s">
        <v>47</v>
      </c>
      <c r="AI540" t="s">
        <v>47</v>
      </c>
      <c r="AJ540" t="s">
        <v>47</v>
      </c>
      <c r="AK540" t="s">
        <v>47</v>
      </c>
      <c r="AL540" t="s">
        <v>47</v>
      </c>
      <c r="AM540" t="s">
        <v>47</v>
      </c>
      <c r="AN540" t="s">
        <v>47</v>
      </c>
      <c r="AO540" s="5" t="s">
        <v>60</v>
      </c>
      <c r="AP540" s="4" t="s">
        <v>61</v>
      </c>
      <c r="AQ540" s="4" t="s">
        <v>726</v>
      </c>
      <c r="AR540" s="4" t="s">
        <v>737</v>
      </c>
      <c r="AS540" s="5">
        <v>48576</v>
      </c>
      <c r="AT540" t="s">
        <v>47</v>
      </c>
    </row>
    <row r="541" spans="1:46" ht="39" x14ac:dyDescent="0.3">
      <c r="A541" s="4" t="s">
        <v>2286</v>
      </c>
      <c r="B541" t="s">
        <v>47</v>
      </c>
      <c r="C541" s="4" t="s">
        <v>169</v>
      </c>
      <c r="D541" s="4" t="s">
        <v>319</v>
      </c>
      <c r="E541" s="4" t="s">
        <v>66</v>
      </c>
      <c r="F541" s="5" t="s">
        <v>2287</v>
      </c>
      <c r="G541" s="5" t="s">
        <v>2288</v>
      </c>
      <c r="H541" t="s">
        <v>47</v>
      </c>
      <c r="I541" t="s">
        <v>47</v>
      </c>
      <c r="J541" t="s">
        <v>47</v>
      </c>
      <c r="K541" t="s">
        <v>47</v>
      </c>
      <c r="L541" s="5" t="s">
        <v>60</v>
      </c>
      <c r="M541" t="s">
        <v>47</v>
      </c>
      <c r="N541" t="s">
        <v>47</v>
      </c>
      <c r="O541" t="s">
        <v>47</v>
      </c>
      <c r="P541" t="s">
        <v>47</v>
      </c>
      <c r="Q541" t="s">
        <v>47</v>
      </c>
      <c r="R541" t="s">
        <v>47</v>
      </c>
      <c r="S541" t="s">
        <v>47</v>
      </c>
      <c r="T541" t="s">
        <v>47</v>
      </c>
      <c r="U541" t="s">
        <v>47</v>
      </c>
      <c r="V541" t="s">
        <v>47</v>
      </c>
      <c r="W541" s="3">
        <v>40544</v>
      </c>
      <c r="X541" s="5" t="s">
        <v>50</v>
      </c>
      <c r="Y541" t="s">
        <v>47</v>
      </c>
      <c r="Z541" s="3">
        <v>40544</v>
      </c>
      <c r="AA541" s="5" t="s">
        <v>50</v>
      </c>
      <c r="AB541" t="s">
        <v>47</v>
      </c>
      <c r="AC541" s="3">
        <v>40544</v>
      </c>
      <c r="AD541" s="5" t="s">
        <v>50</v>
      </c>
      <c r="AE541" t="s">
        <v>47</v>
      </c>
      <c r="AF541" t="s">
        <v>47</v>
      </c>
      <c r="AG541" t="s">
        <v>47</v>
      </c>
      <c r="AH541" t="s">
        <v>47</v>
      </c>
      <c r="AI541" t="s">
        <v>47</v>
      </c>
      <c r="AJ541" t="s">
        <v>47</v>
      </c>
      <c r="AK541" t="s">
        <v>47</v>
      </c>
      <c r="AL541" t="s">
        <v>47</v>
      </c>
      <c r="AM541" t="s">
        <v>47</v>
      </c>
      <c r="AN541" t="s">
        <v>47</v>
      </c>
      <c r="AO541" s="5" t="s">
        <v>60</v>
      </c>
      <c r="AP541" s="4" t="s">
        <v>61</v>
      </c>
      <c r="AQ541" s="4" t="s">
        <v>53</v>
      </c>
      <c r="AR541" s="4" t="s">
        <v>2289</v>
      </c>
      <c r="AS541" s="5">
        <v>436430</v>
      </c>
      <c r="AT541" t="s">
        <v>47</v>
      </c>
    </row>
    <row r="542" spans="1:46" ht="26" x14ac:dyDescent="0.3">
      <c r="A542" s="4" t="s">
        <v>2290</v>
      </c>
      <c r="B542" t="s">
        <v>47</v>
      </c>
      <c r="C542" s="4" t="s">
        <v>1064</v>
      </c>
      <c r="D542" s="4" t="s">
        <v>1065</v>
      </c>
      <c r="E542" s="4" t="s">
        <v>1066</v>
      </c>
      <c r="F542" s="5" t="s">
        <v>2291</v>
      </c>
      <c r="G542" s="5" t="s">
        <v>2292</v>
      </c>
      <c r="H542" t="s">
        <v>47</v>
      </c>
      <c r="I542" s="3">
        <v>40179</v>
      </c>
      <c r="J542" s="5" t="s">
        <v>50</v>
      </c>
      <c r="K542" t="s">
        <v>47</v>
      </c>
      <c r="L542" s="5" t="s">
        <v>60</v>
      </c>
      <c r="M542" t="s">
        <v>47</v>
      </c>
      <c r="N542" t="s">
        <v>47</v>
      </c>
      <c r="O542" t="s">
        <v>47</v>
      </c>
      <c r="P542" s="3">
        <v>40179</v>
      </c>
      <c r="Q542" s="5" t="s">
        <v>50</v>
      </c>
      <c r="R542" t="s">
        <v>47</v>
      </c>
      <c r="S542" t="s">
        <v>47</v>
      </c>
      <c r="T542" t="s">
        <v>47</v>
      </c>
      <c r="U542" t="s">
        <v>47</v>
      </c>
      <c r="V542" t="s">
        <v>47</v>
      </c>
      <c r="W542" s="3">
        <v>40179</v>
      </c>
      <c r="X542" s="5" t="s">
        <v>50</v>
      </c>
      <c r="Y542" t="s">
        <v>47</v>
      </c>
      <c r="Z542" s="3">
        <v>40179</v>
      </c>
      <c r="AA542" s="5" t="s">
        <v>50</v>
      </c>
      <c r="AB542" t="s">
        <v>47</v>
      </c>
      <c r="AC542" s="3">
        <v>40179</v>
      </c>
      <c r="AD542" s="5" t="s">
        <v>50</v>
      </c>
      <c r="AE542" t="s">
        <v>47</v>
      </c>
      <c r="AF542" t="s">
        <v>47</v>
      </c>
      <c r="AG542" t="s">
        <v>47</v>
      </c>
      <c r="AH542" t="s">
        <v>47</v>
      </c>
      <c r="AI542" t="s">
        <v>47</v>
      </c>
      <c r="AJ542" t="s">
        <v>47</v>
      </c>
      <c r="AK542" t="s">
        <v>47</v>
      </c>
      <c r="AL542" t="s">
        <v>47</v>
      </c>
      <c r="AM542" t="s">
        <v>47</v>
      </c>
      <c r="AN542" t="s">
        <v>47</v>
      </c>
      <c r="AO542" s="5" t="s">
        <v>60</v>
      </c>
      <c r="AP542" s="4" t="s">
        <v>61</v>
      </c>
      <c r="AQ542" s="4" t="s">
        <v>2293</v>
      </c>
      <c r="AR542" s="4" t="s">
        <v>2294</v>
      </c>
      <c r="AS542" s="5">
        <v>5083798</v>
      </c>
      <c r="AT542" t="s">
        <v>47</v>
      </c>
    </row>
    <row r="543" spans="1:46" ht="52" x14ac:dyDescent="0.3">
      <c r="A543" s="4" t="s">
        <v>2295</v>
      </c>
      <c r="B543" t="s">
        <v>47</v>
      </c>
      <c r="C543" s="4" t="s">
        <v>193</v>
      </c>
      <c r="D543" s="4" t="s">
        <v>194</v>
      </c>
      <c r="E543" s="4" t="s">
        <v>195</v>
      </c>
      <c r="F543" t="s">
        <v>47</v>
      </c>
      <c r="G543" s="5" t="s">
        <v>2296</v>
      </c>
      <c r="H543" t="s">
        <v>47</v>
      </c>
      <c r="I543" s="3">
        <v>42468</v>
      </c>
      <c r="J543" s="5" t="s">
        <v>50</v>
      </c>
      <c r="K543" t="s">
        <v>47</v>
      </c>
      <c r="L543" s="5" t="s">
        <v>51</v>
      </c>
      <c r="M543" t="s">
        <v>47</v>
      </c>
      <c r="N543" t="s">
        <v>47</v>
      </c>
      <c r="O543" t="s">
        <v>47</v>
      </c>
      <c r="P543" s="3">
        <v>42468</v>
      </c>
      <c r="Q543" s="5" t="s">
        <v>50</v>
      </c>
      <c r="R543" t="s">
        <v>47</v>
      </c>
      <c r="S543" t="s">
        <v>47</v>
      </c>
      <c r="T543" t="s">
        <v>47</v>
      </c>
      <c r="U543" t="s">
        <v>47</v>
      </c>
      <c r="V543" s="5">
        <v>180</v>
      </c>
      <c r="W543" s="3">
        <v>42468</v>
      </c>
      <c r="X543" s="5" t="s">
        <v>50</v>
      </c>
      <c r="Y543" t="s">
        <v>47</v>
      </c>
      <c r="Z543" s="3">
        <v>42468</v>
      </c>
      <c r="AA543" s="5" t="s">
        <v>50</v>
      </c>
      <c r="AB543" t="s">
        <v>47</v>
      </c>
      <c r="AC543" s="3">
        <v>42468</v>
      </c>
      <c r="AD543" s="5" t="s">
        <v>50</v>
      </c>
      <c r="AE543" t="s">
        <v>47</v>
      </c>
      <c r="AF543" t="s">
        <v>47</v>
      </c>
      <c r="AG543" t="s">
        <v>47</v>
      </c>
      <c r="AH543" t="s">
        <v>47</v>
      </c>
      <c r="AI543" t="s">
        <v>47</v>
      </c>
      <c r="AJ543" t="s">
        <v>47</v>
      </c>
      <c r="AK543" t="s">
        <v>47</v>
      </c>
      <c r="AL543" t="s">
        <v>47</v>
      </c>
      <c r="AM543" t="s">
        <v>47</v>
      </c>
      <c r="AN543" t="s">
        <v>47</v>
      </c>
      <c r="AO543" s="5" t="s">
        <v>51</v>
      </c>
      <c r="AP543" s="4" t="s">
        <v>1756</v>
      </c>
      <c r="AQ543" s="4" t="s">
        <v>53</v>
      </c>
      <c r="AR543" s="4" t="s">
        <v>191</v>
      </c>
      <c r="AS543" s="5">
        <v>6246002</v>
      </c>
      <c r="AT543" t="s">
        <v>47</v>
      </c>
    </row>
    <row r="544" spans="1:46" ht="104" x14ac:dyDescent="0.3">
      <c r="A544" s="4" t="s">
        <v>2297</v>
      </c>
      <c r="B544" t="s">
        <v>47</v>
      </c>
      <c r="C544" s="4" t="s">
        <v>183</v>
      </c>
      <c r="D544" s="4" t="s">
        <v>392</v>
      </c>
      <c r="E544" s="4" t="s">
        <v>49</v>
      </c>
      <c r="F544" s="5" t="s">
        <v>2298</v>
      </c>
      <c r="G544" s="5" t="s">
        <v>2299</v>
      </c>
      <c r="H544" t="s">
        <v>47</v>
      </c>
      <c r="I544" s="3">
        <v>38169</v>
      </c>
      <c r="J544" s="3">
        <v>40360</v>
      </c>
      <c r="K544" t="s">
        <v>47</v>
      </c>
      <c r="L544" s="5" t="s">
        <v>60</v>
      </c>
      <c r="M544" s="3">
        <v>38169</v>
      </c>
      <c r="N544" s="3">
        <v>40360</v>
      </c>
      <c r="O544" t="s">
        <v>47</v>
      </c>
      <c r="P544" s="3">
        <v>38169</v>
      </c>
      <c r="Q544" s="3">
        <v>40360</v>
      </c>
      <c r="R544" t="s">
        <v>47</v>
      </c>
      <c r="S544" t="s">
        <v>47</v>
      </c>
      <c r="T544" t="s">
        <v>47</v>
      </c>
      <c r="U544" t="s">
        <v>47</v>
      </c>
      <c r="V544" t="s">
        <v>47</v>
      </c>
      <c r="W544" s="3">
        <v>32509</v>
      </c>
      <c r="X544" s="5" t="s">
        <v>50</v>
      </c>
      <c r="Y544" t="s">
        <v>47</v>
      </c>
      <c r="Z544" s="3">
        <v>32509</v>
      </c>
      <c r="AA544" s="5" t="s">
        <v>50</v>
      </c>
      <c r="AB544" t="s">
        <v>47</v>
      </c>
      <c r="AC544" s="3">
        <v>32509</v>
      </c>
      <c r="AD544" s="5" t="s">
        <v>50</v>
      </c>
      <c r="AE544" t="s">
        <v>47</v>
      </c>
      <c r="AF544" t="s">
        <v>47</v>
      </c>
      <c r="AG544" t="s">
        <v>47</v>
      </c>
      <c r="AH544" t="s">
        <v>47</v>
      </c>
      <c r="AI544" t="s">
        <v>47</v>
      </c>
      <c r="AJ544" t="s">
        <v>47</v>
      </c>
      <c r="AK544" t="s">
        <v>47</v>
      </c>
      <c r="AL544" t="s">
        <v>47</v>
      </c>
      <c r="AM544" t="s">
        <v>47</v>
      </c>
      <c r="AN544" t="s">
        <v>47</v>
      </c>
      <c r="AO544" s="5" t="s">
        <v>60</v>
      </c>
      <c r="AP544" s="4" t="s">
        <v>61</v>
      </c>
      <c r="AQ544" s="4" t="s">
        <v>53</v>
      </c>
      <c r="AR544" s="4" t="s">
        <v>2300</v>
      </c>
      <c r="AS544" s="5">
        <v>41008</v>
      </c>
      <c r="AT544" t="s">
        <v>47</v>
      </c>
    </row>
    <row r="545" spans="1:46" ht="26" x14ac:dyDescent="0.3">
      <c r="A545" s="4" t="s">
        <v>2301</v>
      </c>
      <c r="B545" t="s">
        <v>47</v>
      </c>
      <c r="C545" s="4" t="s">
        <v>183</v>
      </c>
      <c r="D545" s="4" t="s">
        <v>333</v>
      </c>
      <c r="E545" s="4" t="s">
        <v>49</v>
      </c>
      <c r="F545" s="5" t="s">
        <v>2302</v>
      </c>
      <c r="G545" s="5" t="s">
        <v>2303</v>
      </c>
      <c r="H545" t="s">
        <v>47</v>
      </c>
      <c r="I545" s="3">
        <v>30195</v>
      </c>
      <c r="J545" s="3">
        <v>43374</v>
      </c>
      <c r="K545" t="s">
        <v>47</v>
      </c>
      <c r="L545" s="5" t="s">
        <v>60</v>
      </c>
      <c r="M545" s="3">
        <v>30195</v>
      </c>
      <c r="N545" s="3">
        <v>43374</v>
      </c>
      <c r="O545" t="s">
        <v>47</v>
      </c>
      <c r="P545" s="3">
        <v>30195</v>
      </c>
      <c r="Q545" s="3">
        <v>43374</v>
      </c>
      <c r="R545" t="s">
        <v>47</v>
      </c>
      <c r="S545" t="s">
        <v>47</v>
      </c>
      <c r="T545" t="s">
        <v>47</v>
      </c>
      <c r="U545" t="s">
        <v>47</v>
      </c>
      <c r="V545" t="s">
        <v>47</v>
      </c>
      <c r="W545" s="3">
        <v>30195</v>
      </c>
      <c r="X545" s="5" t="s">
        <v>50</v>
      </c>
      <c r="Y545" t="s">
        <v>47</v>
      </c>
      <c r="Z545" s="3">
        <v>30195</v>
      </c>
      <c r="AA545" s="5" t="s">
        <v>50</v>
      </c>
      <c r="AB545" t="s">
        <v>47</v>
      </c>
      <c r="AC545" s="3">
        <v>30195</v>
      </c>
      <c r="AD545" s="5" t="s">
        <v>50</v>
      </c>
      <c r="AE545" t="s">
        <v>47</v>
      </c>
      <c r="AF545" t="s">
        <v>47</v>
      </c>
      <c r="AG545" t="s">
        <v>47</v>
      </c>
      <c r="AH545" t="s">
        <v>47</v>
      </c>
      <c r="AI545" t="s">
        <v>47</v>
      </c>
      <c r="AJ545" t="s">
        <v>47</v>
      </c>
      <c r="AK545" t="s">
        <v>47</v>
      </c>
      <c r="AL545" t="s">
        <v>47</v>
      </c>
      <c r="AM545" t="s">
        <v>47</v>
      </c>
      <c r="AN545" t="s">
        <v>47</v>
      </c>
      <c r="AO545" s="5" t="s">
        <v>60</v>
      </c>
      <c r="AP545" s="4" t="s">
        <v>61</v>
      </c>
      <c r="AQ545" s="4" t="s">
        <v>53</v>
      </c>
      <c r="AR545" s="4" t="s">
        <v>697</v>
      </c>
      <c r="AS545" s="5">
        <v>46372</v>
      </c>
      <c r="AT545" t="s">
        <v>47</v>
      </c>
    </row>
    <row r="546" spans="1:46" ht="26" x14ac:dyDescent="0.3">
      <c r="A546" s="4" t="s">
        <v>2304</v>
      </c>
      <c r="B546" t="s">
        <v>47</v>
      </c>
      <c r="C546" s="4" t="s">
        <v>2305</v>
      </c>
      <c r="D546" s="4" t="s">
        <v>885</v>
      </c>
      <c r="E546" s="4" t="s">
        <v>49</v>
      </c>
      <c r="F546" s="5" t="s">
        <v>2306</v>
      </c>
      <c r="G546" t="s">
        <v>47</v>
      </c>
      <c r="H546" t="s">
        <v>47</v>
      </c>
      <c r="I546" s="3">
        <v>34607</v>
      </c>
      <c r="J546" s="5" t="s">
        <v>50</v>
      </c>
      <c r="K546" t="s">
        <v>47</v>
      </c>
      <c r="L546" s="5" t="s">
        <v>51</v>
      </c>
      <c r="M546" s="3">
        <v>34607</v>
      </c>
      <c r="N546" s="5" t="s">
        <v>50</v>
      </c>
      <c r="O546" t="s">
        <v>47</v>
      </c>
      <c r="P546" t="s">
        <v>47</v>
      </c>
      <c r="Q546" t="s">
        <v>47</v>
      </c>
      <c r="R546" t="s">
        <v>47</v>
      </c>
      <c r="S546" t="s">
        <v>47</v>
      </c>
      <c r="T546" t="s">
        <v>47</v>
      </c>
      <c r="U546" t="s">
        <v>47</v>
      </c>
      <c r="V546" t="s">
        <v>47</v>
      </c>
      <c r="W546" s="3">
        <v>34607</v>
      </c>
      <c r="X546" s="5" t="s">
        <v>50</v>
      </c>
      <c r="Y546" t="s">
        <v>47</v>
      </c>
      <c r="Z546" s="3">
        <v>34607</v>
      </c>
      <c r="AA546" s="5" t="s">
        <v>50</v>
      </c>
      <c r="AB546" t="s">
        <v>47</v>
      </c>
      <c r="AC546" s="3">
        <v>34607</v>
      </c>
      <c r="AD546" s="5" t="s">
        <v>50</v>
      </c>
      <c r="AE546" t="s">
        <v>47</v>
      </c>
      <c r="AF546" t="s">
        <v>47</v>
      </c>
      <c r="AG546" t="s">
        <v>47</v>
      </c>
      <c r="AH546" t="s">
        <v>47</v>
      </c>
      <c r="AI546" t="s">
        <v>47</v>
      </c>
      <c r="AJ546" t="s">
        <v>47</v>
      </c>
      <c r="AK546" t="s">
        <v>47</v>
      </c>
      <c r="AL546" t="s">
        <v>47</v>
      </c>
      <c r="AM546" t="s">
        <v>47</v>
      </c>
      <c r="AN546" t="s">
        <v>47</v>
      </c>
      <c r="AO546" s="5" t="s">
        <v>51</v>
      </c>
      <c r="AP546" s="4" t="s">
        <v>135</v>
      </c>
      <c r="AQ546" s="4" t="s">
        <v>53</v>
      </c>
      <c r="AR546" s="4" t="s">
        <v>580</v>
      </c>
      <c r="AS546" s="5">
        <v>46893</v>
      </c>
      <c r="AT546" t="s">
        <v>47</v>
      </c>
    </row>
    <row r="547" spans="1:46" ht="65" x14ac:dyDescent="0.3">
      <c r="A547" s="4" t="s">
        <v>2307</v>
      </c>
      <c r="B547" t="s">
        <v>47</v>
      </c>
      <c r="C547" s="4" t="s">
        <v>2308</v>
      </c>
      <c r="D547" s="4" t="s">
        <v>2309</v>
      </c>
      <c r="E547" s="4" t="s">
        <v>195</v>
      </c>
      <c r="F547" s="5" t="s">
        <v>2310</v>
      </c>
      <c r="G547" s="5" t="s">
        <v>2311</v>
      </c>
      <c r="H547" t="s">
        <v>47</v>
      </c>
      <c r="I547" s="3">
        <v>35947</v>
      </c>
      <c r="J547" s="5" t="s">
        <v>50</v>
      </c>
      <c r="K547" t="s">
        <v>47</v>
      </c>
      <c r="L547" s="5" t="s">
        <v>60</v>
      </c>
      <c r="M547" s="3">
        <v>35947</v>
      </c>
      <c r="N547" s="5" t="s">
        <v>50</v>
      </c>
      <c r="O547" t="s">
        <v>47</v>
      </c>
      <c r="P547" s="3">
        <v>35947</v>
      </c>
      <c r="Q547" s="5" t="s">
        <v>50</v>
      </c>
      <c r="R547" t="s">
        <v>47</v>
      </c>
      <c r="S547" t="s">
        <v>47</v>
      </c>
      <c r="T547" t="s">
        <v>47</v>
      </c>
      <c r="U547" t="s">
        <v>47</v>
      </c>
      <c r="V547" t="s">
        <v>47</v>
      </c>
      <c r="W547" s="3">
        <v>35947</v>
      </c>
      <c r="X547" s="5" t="s">
        <v>50</v>
      </c>
      <c r="Y547" t="s">
        <v>47</v>
      </c>
      <c r="Z547" s="3">
        <v>35947</v>
      </c>
      <c r="AA547" s="5" t="s">
        <v>50</v>
      </c>
      <c r="AB547" t="s">
        <v>47</v>
      </c>
      <c r="AC547" s="3">
        <v>35947</v>
      </c>
      <c r="AD547" s="5" t="s">
        <v>50</v>
      </c>
      <c r="AE547" t="s">
        <v>47</v>
      </c>
      <c r="AF547" t="s">
        <v>47</v>
      </c>
      <c r="AG547" t="s">
        <v>47</v>
      </c>
      <c r="AH547" t="s">
        <v>47</v>
      </c>
      <c r="AI547" t="s">
        <v>47</v>
      </c>
      <c r="AJ547" t="s">
        <v>47</v>
      </c>
      <c r="AK547" t="s">
        <v>47</v>
      </c>
      <c r="AL547" t="s">
        <v>47</v>
      </c>
      <c r="AM547" t="s">
        <v>47</v>
      </c>
      <c r="AN547" t="s">
        <v>47</v>
      </c>
      <c r="AO547" s="5" t="s">
        <v>60</v>
      </c>
      <c r="AP547" s="4" t="s">
        <v>61</v>
      </c>
      <c r="AQ547" s="4" t="s">
        <v>53</v>
      </c>
      <c r="AR547" s="4" t="s">
        <v>2312</v>
      </c>
      <c r="AS547" s="5">
        <v>30778</v>
      </c>
      <c r="AT547" t="s">
        <v>47</v>
      </c>
    </row>
    <row r="548" spans="1:46" ht="26" x14ac:dyDescent="0.3">
      <c r="A548" s="4" t="s">
        <v>2313</v>
      </c>
      <c r="B548" t="s">
        <v>47</v>
      </c>
      <c r="C548" s="4" t="s">
        <v>2314</v>
      </c>
      <c r="D548" s="4" t="s">
        <v>2315</v>
      </c>
      <c r="E548" s="4" t="s">
        <v>2316</v>
      </c>
      <c r="F548" t="s">
        <v>47</v>
      </c>
      <c r="G548" t="s">
        <v>47</v>
      </c>
      <c r="H548" t="s">
        <v>47</v>
      </c>
      <c r="I548" s="3">
        <v>39814</v>
      </c>
      <c r="J548" s="5" t="s">
        <v>50</v>
      </c>
      <c r="K548" t="s">
        <v>47</v>
      </c>
      <c r="L548" s="5" t="s">
        <v>60</v>
      </c>
      <c r="M548" s="3">
        <v>39814</v>
      </c>
      <c r="N548" s="5" t="s">
        <v>50</v>
      </c>
      <c r="O548" t="s">
        <v>47</v>
      </c>
      <c r="P548" s="3">
        <v>39814</v>
      </c>
      <c r="Q548" s="5" t="s">
        <v>50</v>
      </c>
      <c r="R548" t="s">
        <v>47</v>
      </c>
      <c r="S548" t="s">
        <v>47</v>
      </c>
      <c r="T548" t="s">
        <v>47</v>
      </c>
      <c r="U548" t="s">
        <v>47</v>
      </c>
      <c r="V548" t="s">
        <v>47</v>
      </c>
      <c r="W548" s="3">
        <v>39814</v>
      </c>
      <c r="X548" s="5" t="s">
        <v>50</v>
      </c>
      <c r="Y548" t="s">
        <v>47</v>
      </c>
      <c r="Z548" s="3">
        <v>39814</v>
      </c>
      <c r="AA548" s="5" t="s">
        <v>50</v>
      </c>
      <c r="AB548" t="s">
        <v>47</v>
      </c>
      <c r="AC548" s="3">
        <v>39814</v>
      </c>
      <c r="AD548" s="5" t="s">
        <v>50</v>
      </c>
      <c r="AE548" t="s">
        <v>47</v>
      </c>
      <c r="AF548" t="s">
        <v>47</v>
      </c>
      <c r="AG548" t="s">
        <v>47</v>
      </c>
      <c r="AH548" t="s">
        <v>47</v>
      </c>
      <c r="AI548" t="s">
        <v>47</v>
      </c>
      <c r="AJ548" t="s">
        <v>47</v>
      </c>
      <c r="AK548" t="s">
        <v>47</v>
      </c>
      <c r="AL548" t="s">
        <v>47</v>
      </c>
      <c r="AM548" t="s">
        <v>47</v>
      </c>
      <c r="AN548" t="s">
        <v>47</v>
      </c>
      <c r="AO548" s="5" t="s">
        <v>60</v>
      </c>
      <c r="AP548" s="4" t="s">
        <v>61</v>
      </c>
      <c r="AQ548" s="4" t="s">
        <v>53</v>
      </c>
      <c r="AR548" s="4" t="s">
        <v>54</v>
      </c>
      <c r="AS548" s="5">
        <v>105791</v>
      </c>
      <c r="AT548" t="s">
        <v>47</v>
      </c>
    </row>
    <row r="549" spans="1:46" ht="104" x14ac:dyDescent="0.3">
      <c r="A549" s="4" t="s">
        <v>2317</v>
      </c>
      <c r="B549" t="s">
        <v>47</v>
      </c>
      <c r="C549" s="4" t="s">
        <v>2318</v>
      </c>
      <c r="D549" s="4" t="s">
        <v>2319</v>
      </c>
      <c r="E549" s="4" t="s">
        <v>49</v>
      </c>
      <c r="F549" s="5" t="s">
        <v>2320</v>
      </c>
      <c r="G549" s="5" t="s">
        <v>2321</v>
      </c>
      <c r="H549" t="s">
        <v>47</v>
      </c>
      <c r="I549" s="3">
        <v>40179</v>
      </c>
      <c r="J549" s="3">
        <v>42370</v>
      </c>
      <c r="K549" t="s">
        <v>47</v>
      </c>
      <c r="L549" s="5" t="s">
        <v>60</v>
      </c>
      <c r="M549" t="s">
        <v>47</v>
      </c>
      <c r="N549" t="s">
        <v>47</v>
      </c>
      <c r="O549" t="s">
        <v>47</v>
      </c>
      <c r="P549" s="3">
        <v>40179</v>
      </c>
      <c r="Q549" s="3">
        <v>42370</v>
      </c>
      <c r="R549" t="s">
        <v>47</v>
      </c>
      <c r="S549" t="s">
        <v>47</v>
      </c>
      <c r="T549" t="s">
        <v>47</v>
      </c>
      <c r="U549" t="s">
        <v>47</v>
      </c>
      <c r="V549" t="s">
        <v>47</v>
      </c>
      <c r="W549" s="3">
        <v>40179</v>
      </c>
      <c r="X549" s="3">
        <v>42370</v>
      </c>
      <c r="Y549" t="s">
        <v>47</v>
      </c>
      <c r="Z549" s="3">
        <v>40179</v>
      </c>
      <c r="AA549" s="3">
        <v>42370</v>
      </c>
      <c r="AB549" t="s">
        <v>47</v>
      </c>
      <c r="AC549" s="3">
        <v>40179</v>
      </c>
      <c r="AD549" s="3">
        <v>42370</v>
      </c>
      <c r="AE549" t="s">
        <v>47</v>
      </c>
      <c r="AF549" t="s">
        <v>47</v>
      </c>
      <c r="AG549" t="s">
        <v>47</v>
      </c>
      <c r="AH549" t="s">
        <v>47</v>
      </c>
      <c r="AI549" t="s">
        <v>47</v>
      </c>
      <c r="AJ549" t="s">
        <v>47</v>
      </c>
      <c r="AK549" t="s">
        <v>47</v>
      </c>
      <c r="AL549" t="s">
        <v>47</v>
      </c>
      <c r="AM549" t="s">
        <v>47</v>
      </c>
      <c r="AN549" t="s">
        <v>47</v>
      </c>
      <c r="AO549" s="5" t="s">
        <v>60</v>
      </c>
      <c r="AP549" s="4" t="s">
        <v>61</v>
      </c>
      <c r="AQ549" s="4" t="s">
        <v>53</v>
      </c>
      <c r="AR549" s="4" t="s">
        <v>1476</v>
      </c>
      <c r="AS549" s="5">
        <v>2037372</v>
      </c>
      <c r="AT549" t="s">
        <v>47</v>
      </c>
    </row>
    <row r="550" spans="1:46" ht="39" x14ac:dyDescent="0.3">
      <c r="A550" s="4" t="s">
        <v>2322</v>
      </c>
      <c r="B550" t="s">
        <v>47</v>
      </c>
      <c r="C550" s="4" t="s">
        <v>2322</v>
      </c>
      <c r="D550" s="4" t="s">
        <v>2323</v>
      </c>
      <c r="E550" s="4" t="s">
        <v>49</v>
      </c>
      <c r="F550" t="s">
        <v>47</v>
      </c>
      <c r="G550" s="5" t="s">
        <v>2324</v>
      </c>
      <c r="H550" t="s">
        <v>47</v>
      </c>
      <c r="I550" s="3">
        <v>37987</v>
      </c>
      <c r="J550" s="3">
        <v>42736</v>
      </c>
      <c r="K550" t="s">
        <v>47</v>
      </c>
      <c r="L550" s="5" t="s">
        <v>60</v>
      </c>
      <c r="M550" s="3">
        <v>37987</v>
      </c>
      <c r="N550" s="3">
        <v>42736</v>
      </c>
      <c r="O550" t="s">
        <v>47</v>
      </c>
      <c r="P550" s="3">
        <v>37987</v>
      </c>
      <c r="Q550" s="3">
        <v>42736</v>
      </c>
      <c r="R550" t="s">
        <v>47</v>
      </c>
      <c r="S550" t="s">
        <v>47</v>
      </c>
      <c r="T550" t="s">
        <v>47</v>
      </c>
      <c r="U550" t="s">
        <v>47</v>
      </c>
      <c r="V550" t="s">
        <v>47</v>
      </c>
      <c r="W550" s="3">
        <v>37987</v>
      </c>
      <c r="X550" s="3">
        <v>42736</v>
      </c>
      <c r="Y550" t="s">
        <v>47</v>
      </c>
      <c r="Z550" s="3">
        <v>37987</v>
      </c>
      <c r="AA550" s="3">
        <v>42736</v>
      </c>
      <c r="AB550" t="s">
        <v>47</v>
      </c>
      <c r="AC550" s="3">
        <v>37987</v>
      </c>
      <c r="AD550" s="3">
        <v>42736</v>
      </c>
      <c r="AE550" t="s">
        <v>47</v>
      </c>
      <c r="AF550" t="s">
        <v>47</v>
      </c>
      <c r="AG550" t="s">
        <v>47</v>
      </c>
      <c r="AH550" t="s">
        <v>47</v>
      </c>
      <c r="AI550" t="s">
        <v>47</v>
      </c>
      <c r="AJ550" t="s">
        <v>47</v>
      </c>
      <c r="AK550" t="s">
        <v>47</v>
      </c>
      <c r="AL550" t="s">
        <v>47</v>
      </c>
      <c r="AM550" t="s">
        <v>47</v>
      </c>
      <c r="AN550" t="s">
        <v>47</v>
      </c>
      <c r="AO550" s="5" t="s">
        <v>60</v>
      </c>
      <c r="AP550" s="4" t="s">
        <v>61</v>
      </c>
      <c r="AQ550" s="4" t="s">
        <v>53</v>
      </c>
      <c r="AR550" s="4" t="s">
        <v>2325</v>
      </c>
      <c r="AS550" s="5">
        <v>29358</v>
      </c>
      <c r="AT550" t="s">
        <v>47</v>
      </c>
    </row>
    <row r="551" spans="1:46" ht="65" x14ac:dyDescent="0.3">
      <c r="A551" s="4" t="s">
        <v>2326</v>
      </c>
      <c r="B551" t="s">
        <v>47</v>
      </c>
      <c r="C551" s="4" t="s">
        <v>2327</v>
      </c>
      <c r="D551" s="4" t="s">
        <v>2328</v>
      </c>
      <c r="E551" s="4" t="s">
        <v>49</v>
      </c>
      <c r="F551" t="s">
        <v>47</v>
      </c>
      <c r="G551" t="s">
        <v>47</v>
      </c>
      <c r="H551" t="s">
        <v>47</v>
      </c>
      <c r="I551" t="s">
        <v>47</v>
      </c>
      <c r="J551" t="s">
        <v>47</v>
      </c>
      <c r="K551" t="s">
        <v>47</v>
      </c>
      <c r="L551" s="5" t="s">
        <v>51</v>
      </c>
      <c r="M551" t="s">
        <v>47</v>
      </c>
      <c r="N551" t="s">
        <v>47</v>
      </c>
      <c r="O551" t="s">
        <v>47</v>
      </c>
      <c r="P551" t="s">
        <v>47</v>
      </c>
      <c r="Q551" t="s">
        <v>47</v>
      </c>
      <c r="R551" t="s">
        <v>47</v>
      </c>
      <c r="S551" t="s">
        <v>47</v>
      </c>
      <c r="T551" t="s">
        <v>47</v>
      </c>
      <c r="U551" t="s">
        <v>47</v>
      </c>
      <c r="V551" t="s">
        <v>47</v>
      </c>
      <c r="W551" s="3">
        <v>34943</v>
      </c>
      <c r="X551" s="3">
        <v>37377</v>
      </c>
      <c r="Y551" t="s">
        <v>47</v>
      </c>
      <c r="Z551" s="3">
        <v>34943</v>
      </c>
      <c r="AA551" s="3">
        <v>37377</v>
      </c>
      <c r="AB551" t="s">
        <v>47</v>
      </c>
      <c r="AC551" s="3">
        <v>34943</v>
      </c>
      <c r="AD551" s="3">
        <v>37377</v>
      </c>
      <c r="AE551" t="s">
        <v>47</v>
      </c>
      <c r="AF551" t="s">
        <v>47</v>
      </c>
      <c r="AG551" t="s">
        <v>47</v>
      </c>
      <c r="AH551" t="s">
        <v>47</v>
      </c>
      <c r="AI551" t="s">
        <v>47</v>
      </c>
      <c r="AJ551" t="s">
        <v>47</v>
      </c>
      <c r="AK551" t="s">
        <v>47</v>
      </c>
      <c r="AL551" t="s">
        <v>47</v>
      </c>
      <c r="AM551" t="s">
        <v>47</v>
      </c>
      <c r="AN551" t="s">
        <v>47</v>
      </c>
      <c r="AO551" s="5" t="s">
        <v>51</v>
      </c>
      <c r="AP551" s="4" t="s">
        <v>135</v>
      </c>
      <c r="AQ551" s="4" t="s">
        <v>53</v>
      </c>
      <c r="AR551" s="4" t="s">
        <v>543</v>
      </c>
      <c r="AS551" s="5">
        <v>27280</v>
      </c>
      <c r="AT551" t="s">
        <v>47</v>
      </c>
    </row>
    <row r="552" spans="1:46" ht="65" x14ac:dyDescent="0.3">
      <c r="A552" s="4" t="s">
        <v>2329</v>
      </c>
      <c r="B552" t="s">
        <v>47</v>
      </c>
      <c r="C552" s="4" t="s">
        <v>2330</v>
      </c>
      <c r="D552" s="4" t="s">
        <v>288</v>
      </c>
      <c r="E552" s="4" t="s">
        <v>49</v>
      </c>
      <c r="F552" s="5" t="s">
        <v>2331</v>
      </c>
      <c r="G552" s="5" t="s">
        <v>2332</v>
      </c>
      <c r="H552" t="s">
        <v>47</v>
      </c>
      <c r="I552" s="3">
        <v>36892</v>
      </c>
      <c r="J552" s="5" t="s">
        <v>50</v>
      </c>
      <c r="K552" t="s">
        <v>47</v>
      </c>
      <c r="L552" s="5" t="s">
        <v>60</v>
      </c>
      <c r="M552" s="3">
        <v>36892</v>
      </c>
      <c r="N552" s="5" t="s">
        <v>50</v>
      </c>
      <c r="O552" t="s">
        <v>47</v>
      </c>
      <c r="P552" s="3">
        <v>36892</v>
      </c>
      <c r="Q552" s="5" t="s">
        <v>50</v>
      </c>
      <c r="R552" t="s">
        <v>47</v>
      </c>
      <c r="S552" t="s">
        <v>47</v>
      </c>
      <c r="T552" t="s">
        <v>47</v>
      </c>
      <c r="U552" t="s">
        <v>47</v>
      </c>
      <c r="V552" s="5">
        <v>1095</v>
      </c>
      <c r="W552" s="3">
        <v>36892</v>
      </c>
      <c r="X552" s="5" t="s">
        <v>50</v>
      </c>
      <c r="Y552" t="s">
        <v>47</v>
      </c>
      <c r="Z552" s="3">
        <v>36892</v>
      </c>
      <c r="AA552" s="5" t="s">
        <v>50</v>
      </c>
      <c r="AB552" t="s">
        <v>47</v>
      </c>
      <c r="AC552" s="3">
        <v>36892</v>
      </c>
      <c r="AD552" s="5" t="s">
        <v>50</v>
      </c>
      <c r="AE552" t="s">
        <v>47</v>
      </c>
      <c r="AF552" t="s">
        <v>47</v>
      </c>
      <c r="AG552" t="s">
        <v>47</v>
      </c>
      <c r="AH552" t="s">
        <v>47</v>
      </c>
      <c r="AI552" t="s">
        <v>47</v>
      </c>
      <c r="AJ552" t="s">
        <v>47</v>
      </c>
      <c r="AK552" t="s">
        <v>47</v>
      </c>
      <c r="AL552" t="s">
        <v>47</v>
      </c>
      <c r="AM552" t="s">
        <v>47</v>
      </c>
      <c r="AN552" t="s">
        <v>47</v>
      </c>
      <c r="AO552" s="5" t="s">
        <v>60</v>
      </c>
      <c r="AP552" s="4" t="s">
        <v>61</v>
      </c>
      <c r="AQ552" s="4" t="s">
        <v>53</v>
      </c>
      <c r="AR552" s="4" t="s">
        <v>2333</v>
      </c>
      <c r="AS552" s="5">
        <v>105990</v>
      </c>
      <c r="AT552" t="s">
        <v>47</v>
      </c>
    </row>
    <row r="553" spans="1:46" ht="91" x14ac:dyDescent="0.3">
      <c r="A553" s="4" t="s">
        <v>2334</v>
      </c>
      <c r="B553" t="s">
        <v>47</v>
      </c>
      <c r="C553" s="4" t="s">
        <v>2334</v>
      </c>
      <c r="D553" s="4" t="s">
        <v>901</v>
      </c>
      <c r="E553" s="4" t="s">
        <v>100</v>
      </c>
      <c r="F553" s="5" t="s">
        <v>2335</v>
      </c>
      <c r="G553" t="s">
        <v>47</v>
      </c>
      <c r="H553" t="s">
        <v>47</v>
      </c>
      <c r="I553" s="3">
        <v>36069</v>
      </c>
      <c r="J553" s="3">
        <v>41365</v>
      </c>
      <c r="K553" t="s">
        <v>47</v>
      </c>
      <c r="L553" s="5" t="s">
        <v>51</v>
      </c>
      <c r="M553" s="3">
        <v>36069</v>
      </c>
      <c r="N553" s="3">
        <v>41365</v>
      </c>
      <c r="O553" t="s">
        <v>47</v>
      </c>
      <c r="P553" s="3">
        <v>36069</v>
      </c>
      <c r="Q553" s="3">
        <v>41365</v>
      </c>
      <c r="R553" t="s">
        <v>47</v>
      </c>
      <c r="S553" t="s">
        <v>47</v>
      </c>
      <c r="T553" t="s">
        <v>47</v>
      </c>
      <c r="U553" t="s">
        <v>47</v>
      </c>
      <c r="V553" t="s">
        <v>47</v>
      </c>
      <c r="W553" s="3">
        <v>33878</v>
      </c>
      <c r="X553" s="5" t="s">
        <v>50</v>
      </c>
      <c r="Y553" t="s">
        <v>47</v>
      </c>
      <c r="Z553" s="3">
        <v>33878</v>
      </c>
      <c r="AA553" s="5" t="s">
        <v>50</v>
      </c>
      <c r="AB553" t="s">
        <v>47</v>
      </c>
      <c r="AC553" s="3">
        <v>38078</v>
      </c>
      <c r="AD553" s="5" t="s">
        <v>50</v>
      </c>
      <c r="AE553" t="s">
        <v>47</v>
      </c>
      <c r="AF553" t="s">
        <v>47</v>
      </c>
      <c r="AG553" t="s">
        <v>47</v>
      </c>
      <c r="AH553" t="s">
        <v>47</v>
      </c>
      <c r="AI553" t="s">
        <v>47</v>
      </c>
      <c r="AJ553" t="s">
        <v>47</v>
      </c>
      <c r="AK553" t="s">
        <v>47</v>
      </c>
      <c r="AL553" t="s">
        <v>47</v>
      </c>
      <c r="AM553" t="s">
        <v>47</v>
      </c>
      <c r="AN553" t="s">
        <v>47</v>
      </c>
      <c r="AO553" s="5" t="s">
        <v>51</v>
      </c>
      <c r="AP553" s="4" t="s">
        <v>135</v>
      </c>
      <c r="AQ553" s="4" t="s">
        <v>53</v>
      </c>
      <c r="AR553" s="4" t="s">
        <v>2077</v>
      </c>
      <c r="AS553" s="5">
        <v>33544</v>
      </c>
      <c r="AT553" t="s">
        <v>47</v>
      </c>
    </row>
    <row r="554" spans="1:46" ht="65" x14ac:dyDescent="0.3">
      <c r="A554" s="4" t="s">
        <v>2336</v>
      </c>
      <c r="B554" t="s">
        <v>47</v>
      </c>
      <c r="C554" s="4" t="s">
        <v>2337</v>
      </c>
      <c r="D554" s="4" t="s">
        <v>901</v>
      </c>
      <c r="E554" s="4" t="s">
        <v>100</v>
      </c>
      <c r="F554" s="5" t="s">
        <v>2338</v>
      </c>
      <c r="G554" t="s">
        <v>47</v>
      </c>
      <c r="H554" t="s">
        <v>47</v>
      </c>
      <c r="I554" t="s">
        <v>47</v>
      </c>
      <c r="J554" t="s">
        <v>47</v>
      </c>
      <c r="K554" t="s">
        <v>47</v>
      </c>
      <c r="L554" s="5" t="s">
        <v>60</v>
      </c>
      <c r="M554" t="s">
        <v>47</v>
      </c>
      <c r="N554" t="s">
        <v>47</v>
      </c>
      <c r="O554" t="s">
        <v>47</v>
      </c>
      <c r="P554" t="s">
        <v>47</v>
      </c>
      <c r="Q554" t="s">
        <v>47</v>
      </c>
      <c r="R554" t="s">
        <v>47</v>
      </c>
      <c r="S554" t="s">
        <v>47</v>
      </c>
      <c r="T554" t="s">
        <v>47</v>
      </c>
      <c r="U554" t="s">
        <v>47</v>
      </c>
      <c r="V554" t="s">
        <v>47</v>
      </c>
      <c r="W554" s="3">
        <v>33848</v>
      </c>
      <c r="X554" s="3">
        <v>38626</v>
      </c>
      <c r="Y554" t="s">
        <v>47</v>
      </c>
      <c r="Z554" s="3">
        <v>33848</v>
      </c>
      <c r="AA554" s="3">
        <v>38626</v>
      </c>
      <c r="AB554" t="s">
        <v>47</v>
      </c>
      <c r="AC554" t="s">
        <v>47</v>
      </c>
      <c r="AD554" t="s">
        <v>47</v>
      </c>
      <c r="AE554" t="s">
        <v>47</v>
      </c>
      <c r="AF554" t="s">
        <v>47</v>
      </c>
      <c r="AG554" t="s">
        <v>47</v>
      </c>
      <c r="AH554" t="s">
        <v>47</v>
      </c>
      <c r="AI554" t="s">
        <v>47</v>
      </c>
      <c r="AJ554" t="s">
        <v>47</v>
      </c>
      <c r="AK554" t="s">
        <v>47</v>
      </c>
      <c r="AL554" t="s">
        <v>47</v>
      </c>
      <c r="AM554" t="s">
        <v>47</v>
      </c>
      <c r="AN554" t="s">
        <v>47</v>
      </c>
      <c r="AO554" s="5" t="s">
        <v>60</v>
      </c>
      <c r="AP554" s="4" t="s">
        <v>61</v>
      </c>
      <c r="AQ554" s="4" t="s">
        <v>53</v>
      </c>
      <c r="AR554" s="4" t="s">
        <v>543</v>
      </c>
      <c r="AS554" s="5">
        <v>37079</v>
      </c>
      <c r="AT554" t="s">
        <v>47</v>
      </c>
    </row>
    <row r="555" spans="1:46" ht="13" x14ac:dyDescent="0.3">
      <c r="A555" s="4" t="s">
        <v>2339</v>
      </c>
      <c r="B555" t="s">
        <v>47</v>
      </c>
      <c r="C555" s="4" t="s">
        <v>2339</v>
      </c>
      <c r="D555" s="4" t="s">
        <v>612</v>
      </c>
      <c r="E555" s="4" t="s">
        <v>49</v>
      </c>
      <c r="F555" s="5" t="s">
        <v>2340</v>
      </c>
      <c r="G555" s="5" t="s">
        <v>2341</v>
      </c>
      <c r="H555" t="s">
        <v>47</v>
      </c>
      <c r="I555" s="3">
        <v>32174</v>
      </c>
      <c r="J555" s="5" t="s">
        <v>50</v>
      </c>
      <c r="K555" t="s">
        <v>47</v>
      </c>
      <c r="L555" s="5" t="s">
        <v>60</v>
      </c>
      <c r="M555" s="3">
        <v>34425</v>
      </c>
      <c r="N555" s="5" t="s">
        <v>50</v>
      </c>
      <c r="O555" t="s">
        <v>47</v>
      </c>
      <c r="P555" s="3">
        <v>32174</v>
      </c>
      <c r="Q555" s="5" t="s">
        <v>50</v>
      </c>
      <c r="R555" t="s">
        <v>47</v>
      </c>
      <c r="S555" t="s">
        <v>47</v>
      </c>
      <c r="T555" t="s">
        <v>47</v>
      </c>
      <c r="U555" t="s">
        <v>47</v>
      </c>
      <c r="V555" s="5">
        <v>365</v>
      </c>
      <c r="W555" s="3">
        <v>31444</v>
      </c>
      <c r="X555" s="5" t="s">
        <v>50</v>
      </c>
      <c r="Y555" t="s">
        <v>47</v>
      </c>
      <c r="Z555" s="3">
        <v>31444</v>
      </c>
      <c r="AA555" s="5" t="s">
        <v>50</v>
      </c>
      <c r="AB555" t="s">
        <v>47</v>
      </c>
      <c r="AC555" s="3">
        <v>31444</v>
      </c>
      <c r="AD555" s="5" t="s">
        <v>50</v>
      </c>
      <c r="AE555" t="s">
        <v>47</v>
      </c>
      <c r="AF555" t="s">
        <v>47</v>
      </c>
      <c r="AG555" t="s">
        <v>47</v>
      </c>
      <c r="AH555" t="s">
        <v>47</v>
      </c>
      <c r="AI555" t="s">
        <v>47</v>
      </c>
      <c r="AJ555" t="s">
        <v>47</v>
      </c>
      <c r="AK555" t="s">
        <v>47</v>
      </c>
      <c r="AL555" t="s">
        <v>47</v>
      </c>
      <c r="AM555" t="s">
        <v>47</v>
      </c>
      <c r="AN555" t="s">
        <v>47</v>
      </c>
      <c r="AO555" s="5" t="s">
        <v>60</v>
      </c>
      <c r="AP555" s="4" t="s">
        <v>61</v>
      </c>
      <c r="AQ555" s="4" t="s">
        <v>53</v>
      </c>
      <c r="AR555" s="4" t="s">
        <v>54</v>
      </c>
      <c r="AS555" s="5">
        <v>41677</v>
      </c>
      <c r="AT555" t="s">
        <v>47</v>
      </c>
    </row>
    <row r="556" spans="1:46" ht="52" x14ac:dyDescent="0.3">
      <c r="A556" s="4" t="s">
        <v>2342</v>
      </c>
      <c r="B556" t="s">
        <v>47</v>
      </c>
      <c r="C556" s="4" t="s">
        <v>2343</v>
      </c>
      <c r="D556" s="4" t="s">
        <v>612</v>
      </c>
      <c r="E556" s="4" t="s">
        <v>49</v>
      </c>
      <c r="F556" s="5" t="s">
        <v>2344</v>
      </c>
      <c r="G556" s="5" t="s">
        <v>2345</v>
      </c>
      <c r="H556" t="s">
        <v>47</v>
      </c>
      <c r="I556" s="3">
        <v>39814</v>
      </c>
      <c r="J556" s="5" t="s">
        <v>50</v>
      </c>
      <c r="K556" t="s">
        <v>47</v>
      </c>
      <c r="L556" s="5" t="s">
        <v>60</v>
      </c>
      <c r="M556" s="3">
        <v>39814</v>
      </c>
      <c r="N556" s="5" t="s">
        <v>50</v>
      </c>
      <c r="O556" t="s">
        <v>47</v>
      </c>
      <c r="P556" s="3">
        <v>39814</v>
      </c>
      <c r="Q556" s="5" t="s">
        <v>50</v>
      </c>
      <c r="R556" t="s">
        <v>47</v>
      </c>
      <c r="S556" t="s">
        <v>47</v>
      </c>
      <c r="T556" t="s">
        <v>47</v>
      </c>
      <c r="U556" t="s">
        <v>47</v>
      </c>
      <c r="V556" t="s">
        <v>47</v>
      </c>
      <c r="W556" s="3">
        <v>33604</v>
      </c>
      <c r="X556" s="5" t="s">
        <v>50</v>
      </c>
      <c r="Y556" t="s">
        <v>47</v>
      </c>
      <c r="Z556" s="3">
        <v>33604</v>
      </c>
      <c r="AA556" s="5" t="s">
        <v>50</v>
      </c>
      <c r="AB556" t="s">
        <v>47</v>
      </c>
      <c r="AC556" s="3">
        <v>33604</v>
      </c>
      <c r="AD556" s="5" t="s">
        <v>50</v>
      </c>
      <c r="AE556" t="s">
        <v>47</v>
      </c>
      <c r="AF556" t="s">
        <v>47</v>
      </c>
      <c r="AG556" t="s">
        <v>47</v>
      </c>
      <c r="AH556" t="s">
        <v>47</v>
      </c>
      <c r="AI556" t="s">
        <v>47</v>
      </c>
      <c r="AJ556" t="s">
        <v>47</v>
      </c>
      <c r="AK556" t="s">
        <v>47</v>
      </c>
      <c r="AL556" t="s">
        <v>47</v>
      </c>
      <c r="AM556" t="s">
        <v>47</v>
      </c>
      <c r="AN556" t="s">
        <v>47</v>
      </c>
      <c r="AO556" s="5" t="s">
        <v>60</v>
      </c>
      <c r="AP556" s="4" t="s">
        <v>61</v>
      </c>
      <c r="AQ556" s="4" t="s">
        <v>53</v>
      </c>
      <c r="AR556" s="4" t="s">
        <v>2346</v>
      </c>
      <c r="AS556" s="5">
        <v>30599</v>
      </c>
      <c r="AT556" t="s">
        <v>47</v>
      </c>
    </row>
    <row r="557" spans="1:46" ht="26" x14ac:dyDescent="0.3">
      <c r="A557" s="4" t="s">
        <v>2347</v>
      </c>
      <c r="B557" t="s">
        <v>47</v>
      </c>
      <c r="C557" s="4" t="s">
        <v>2348</v>
      </c>
      <c r="D557" s="4" t="s">
        <v>2349</v>
      </c>
      <c r="E557" s="4" t="s">
        <v>701</v>
      </c>
      <c r="F557" s="5" t="s">
        <v>2350</v>
      </c>
      <c r="G557" t="s">
        <v>47</v>
      </c>
      <c r="H557" t="s">
        <v>47</v>
      </c>
      <c r="I557" s="3">
        <v>40909</v>
      </c>
      <c r="J557" s="3">
        <v>43466</v>
      </c>
      <c r="K557" t="s">
        <v>47</v>
      </c>
      <c r="L557" s="5" t="s">
        <v>60</v>
      </c>
      <c r="M557" t="s">
        <v>47</v>
      </c>
      <c r="N557" t="s">
        <v>47</v>
      </c>
      <c r="O557" t="s">
        <v>47</v>
      </c>
      <c r="P557" s="3">
        <v>40909</v>
      </c>
      <c r="Q557" s="3">
        <v>43466</v>
      </c>
      <c r="R557" t="s">
        <v>47</v>
      </c>
      <c r="S557" t="s">
        <v>47</v>
      </c>
      <c r="T557" t="s">
        <v>47</v>
      </c>
      <c r="U557" t="s">
        <v>47</v>
      </c>
      <c r="V557" t="s">
        <v>47</v>
      </c>
      <c r="W557" s="3">
        <v>40909</v>
      </c>
      <c r="X557" s="3">
        <v>43466</v>
      </c>
      <c r="Y557" t="s">
        <v>47</v>
      </c>
      <c r="Z557" s="3">
        <v>40909</v>
      </c>
      <c r="AA557" s="3">
        <v>43466</v>
      </c>
      <c r="AB557" t="s">
        <v>47</v>
      </c>
      <c r="AC557" s="3">
        <v>40909</v>
      </c>
      <c r="AD557" s="3">
        <v>43466</v>
      </c>
      <c r="AE557" t="s">
        <v>47</v>
      </c>
      <c r="AF557" t="s">
        <v>47</v>
      </c>
      <c r="AG557" t="s">
        <v>47</v>
      </c>
      <c r="AH557" t="s">
        <v>47</v>
      </c>
      <c r="AI557" t="s">
        <v>47</v>
      </c>
      <c r="AJ557" t="s">
        <v>47</v>
      </c>
      <c r="AK557" t="s">
        <v>47</v>
      </c>
      <c r="AL557" t="s">
        <v>47</v>
      </c>
      <c r="AM557" t="s">
        <v>47</v>
      </c>
      <c r="AN557" t="s">
        <v>47</v>
      </c>
      <c r="AO557" s="5" t="s">
        <v>60</v>
      </c>
      <c r="AP557" s="4" t="s">
        <v>61</v>
      </c>
      <c r="AQ557" s="4" t="s">
        <v>427</v>
      </c>
      <c r="AR557" s="4" t="s">
        <v>54</v>
      </c>
      <c r="AS557" s="5">
        <v>1796367</v>
      </c>
      <c r="AT557" t="s">
        <v>47</v>
      </c>
    </row>
    <row r="558" spans="1:46" ht="65" x14ac:dyDescent="0.3">
      <c r="A558" s="4" t="s">
        <v>2351</v>
      </c>
      <c r="B558" t="s">
        <v>47</v>
      </c>
      <c r="C558" s="4" t="s">
        <v>747</v>
      </c>
      <c r="D558" s="4" t="s">
        <v>748</v>
      </c>
      <c r="E558" s="4" t="s">
        <v>49</v>
      </c>
      <c r="F558" s="5" t="s">
        <v>2352</v>
      </c>
      <c r="G558" s="5" t="s">
        <v>2353</v>
      </c>
      <c r="H558" t="s">
        <v>47</v>
      </c>
      <c r="I558" s="3">
        <v>34366</v>
      </c>
      <c r="J558" s="3">
        <v>41214</v>
      </c>
      <c r="K558" t="s">
        <v>47</v>
      </c>
      <c r="L558" s="5" t="s">
        <v>60</v>
      </c>
      <c r="M558" s="3">
        <v>34366</v>
      </c>
      <c r="N558" s="3">
        <v>41214</v>
      </c>
      <c r="O558" t="s">
        <v>47</v>
      </c>
      <c r="P558" s="3">
        <v>34820</v>
      </c>
      <c r="Q558" s="3">
        <v>41214</v>
      </c>
      <c r="R558" t="s">
        <v>47</v>
      </c>
      <c r="S558" t="s">
        <v>47</v>
      </c>
      <c r="T558" t="s">
        <v>47</v>
      </c>
      <c r="U558" t="s">
        <v>47</v>
      </c>
      <c r="V558" t="s">
        <v>47</v>
      </c>
      <c r="W558" s="3">
        <v>32540</v>
      </c>
      <c r="X558" s="5" t="s">
        <v>50</v>
      </c>
      <c r="Y558" t="s">
        <v>47</v>
      </c>
      <c r="Z558" s="3">
        <v>32540</v>
      </c>
      <c r="AA558" s="5" t="s">
        <v>50</v>
      </c>
      <c r="AB558" t="s">
        <v>47</v>
      </c>
      <c r="AC558" s="3">
        <v>32540</v>
      </c>
      <c r="AD558" s="5" t="s">
        <v>50</v>
      </c>
      <c r="AE558" t="s">
        <v>47</v>
      </c>
      <c r="AF558" t="s">
        <v>47</v>
      </c>
      <c r="AG558" t="s">
        <v>47</v>
      </c>
      <c r="AH558" t="s">
        <v>47</v>
      </c>
      <c r="AI558" t="s">
        <v>47</v>
      </c>
      <c r="AJ558" t="s">
        <v>47</v>
      </c>
      <c r="AK558" t="s">
        <v>47</v>
      </c>
      <c r="AL558" t="s">
        <v>47</v>
      </c>
      <c r="AM558" t="s">
        <v>47</v>
      </c>
      <c r="AN558" t="s">
        <v>47</v>
      </c>
      <c r="AO558" s="5" t="s">
        <v>60</v>
      </c>
      <c r="AP558" s="4" t="s">
        <v>61</v>
      </c>
      <c r="AQ558" s="4" t="s">
        <v>53</v>
      </c>
      <c r="AR558" s="4" t="s">
        <v>2354</v>
      </c>
      <c r="AS558" s="5">
        <v>47817</v>
      </c>
      <c r="AT558" t="s">
        <v>47</v>
      </c>
    </row>
    <row r="559" spans="1:46" ht="104" x14ac:dyDescent="0.3">
      <c r="A559" s="4" t="s">
        <v>2355</v>
      </c>
      <c r="B559" t="s">
        <v>47</v>
      </c>
      <c r="C559" s="4" t="s">
        <v>1036</v>
      </c>
      <c r="D559" s="4" t="s">
        <v>70</v>
      </c>
      <c r="E559" s="4" t="s">
        <v>49</v>
      </c>
      <c r="F559" s="5" t="s">
        <v>2356</v>
      </c>
      <c r="G559" t="s">
        <v>47</v>
      </c>
      <c r="H559" t="s">
        <v>47</v>
      </c>
      <c r="I559" t="s">
        <v>47</v>
      </c>
      <c r="J559" t="s">
        <v>47</v>
      </c>
      <c r="K559" t="s">
        <v>47</v>
      </c>
      <c r="L559" s="5" t="s">
        <v>51</v>
      </c>
      <c r="M559" t="s">
        <v>47</v>
      </c>
      <c r="N559" t="s">
        <v>47</v>
      </c>
      <c r="O559" t="s">
        <v>47</v>
      </c>
      <c r="P559" t="s">
        <v>47</v>
      </c>
      <c r="Q559" t="s">
        <v>47</v>
      </c>
      <c r="R559" t="s">
        <v>47</v>
      </c>
      <c r="S559" t="s">
        <v>47</v>
      </c>
      <c r="T559" t="s">
        <v>47</v>
      </c>
      <c r="U559" t="s">
        <v>47</v>
      </c>
      <c r="V559" t="s">
        <v>47</v>
      </c>
      <c r="W559" s="3">
        <v>35886</v>
      </c>
      <c r="X559" s="3">
        <v>35916</v>
      </c>
      <c r="Y559" t="s">
        <v>47</v>
      </c>
      <c r="Z559" s="3">
        <v>35886</v>
      </c>
      <c r="AA559" s="3">
        <v>35916</v>
      </c>
      <c r="AB559" t="s">
        <v>47</v>
      </c>
      <c r="AC559" s="3">
        <v>35886</v>
      </c>
      <c r="AD559" s="3">
        <v>35916</v>
      </c>
      <c r="AE559" t="s">
        <v>47</v>
      </c>
      <c r="AF559" t="s">
        <v>47</v>
      </c>
      <c r="AG559" t="s">
        <v>47</v>
      </c>
      <c r="AH559" t="s">
        <v>47</v>
      </c>
      <c r="AI559" t="s">
        <v>47</v>
      </c>
      <c r="AJ559" t="s">
        <v>47</v>
      </c>
      <c r="AK559" t="s">
        <v>47</v>
      </c>
      <c r="AL559" t="s">
        <v>47</v>
      </c>
      <c r="AM559" t="s">
        <v>47</v>
      </c>
      <c r="AN559" t="s">
        <v>47</v>
      </c>
      <c r="AO559" s="5" t="s">
        <v>51</v>
      </c>
      <c r="AP559" s="4" t="s">
        <v>135</v>
      </c>
      <c r="AQ559" s="4" t="s">
        <v>53</v>
      </c>
      <c r="AR559" s="4" t="s">
        <v>2357</v>
      </c>
      <c r="AS559" s="5">
        <v>11174</v>
      </c>
      <c r="AT559" t="s">
        <v>47</v>
      </c>
    </row>
    <row r="560" spans="1:46" ht="52" x14ac:dyDescent="0.3">
      <c r="A560" s="4" t="s">
        <v>2358</v>
      </c>
      <c r="B560" t="s">
        <v>47</v>
      </c>
      <c r="C560" s="4" t="s">
        <v>115</v>
      </c>
      <c r="D560" s="4" t="s">
        <v>1019</v>
      </c>
      <c r="E560" s="4" t="s">
        <v>66</v>
      </c>
      <c r="F560" s="5" t="s">
        <v>2359</v>
      </c>
      <c r="G560" s="5" t="s">
        <v>2360</v>
      </c>
      <c r="H560" t="s">
        <v>47</v>
      </c>
      <c r="I560" s="3">
        <v>34700</v>
      </c>
      <c r="J560" s="5" t="s">
        <v>50</v>
      </c>
      <c r="K560" t="s">
        <v>47</v>
      </c>
      <c r="L560" s="5" t="s">
        <v>60</v>
      </c>
      <c r="M560" s="3">
        <v>34700</v>
      </c>
      <c r="N560" s="5" t="s">
        <v>50</v>
      </c>
      <c r="O560" t="s">
        <v>47</v>
      </c>
      <c r="P560" s="3">
        <v>37012</v>
      </c>
      <c r="Q560" s="5" t="s">
        <v>50</v>
      </c>
      <c r="R560" t="s">
        <v>47</v>
      </c>
      <c r="S560" t="s">
        <v>47</v>
      </c>
      <c r="T560" t="s">
        <v>47</v>
      </c>
      <c r="U560" t="s">
        <v>47</v>
      </c>
      <c r="V560" s="5">
        <v>365</v>
      </c>
      <c r="W560" s="3">
        <v>34700</v>
      </c>
      <c r="X560" s="5" t="s">
        <v>50</v>
      </c>
      <c r="Y560" t="s">
        <v>47</v>
      </c>
      <c r="Z560" s="3">
        <v>34700</v>
      </c>
      <c r="AA560" s="5" t="s">
        <v>50</v>
      </c>
      <c r="AB560" t="s">
        <v>47</v>
      </c>
      <c r="AC560" s="3">
        <v>34700</v>
      </c>
      <c r="AD560" s="5" t="s">
        <v>50</v>
      </c>
      <c r="AE560" t="s">
        <v>47</v>
      </c>
      <c r="AF560" t="s">
        <v>47</v>
      </c>
      <c r="AG560" t="s">
        <v>47</v>
      </c>
      <c r="AH560" t="s">
        <v>47</v>
      </c>
      <c r="AI560" t="s">
        <v>47</v>
      </c>
      <c r="AJ560" t="s">
        <v>47</v>
      </c>
      <c r="AK560" t="s">
        <v>47</v>
      </c>
      <c r="AL560" t="s">
        <v>47</v>
      </c>
      <c r="AM560" t="s">
        <v>47</v>
      </c>
      <c r="AN560" t="s">
        <v>47</v>
      </c>
      <c r="AO560" s="5" t="s">
        <v>60</v>
      </c>
      <c r="AP560" s="4" t="s">
        <v>61</v>
      </c>
      <c r="AQ560" s="4" t="s">
        <v>53</v>
      </c>
      <c r="AR560" s="4" t="s">
        <v>2361</v>
      </c>
      <c r="AS560" s="5">
        <v>26045</v>
      </c>
      <c r="AT560" t="s">
        <v>47</v>
      </c>
    </row>
    <row r="561" spans="1:46" ht="104" x14ac:dyDescent="0.3">
      <c r="A561" s="4" t="s">
        <v>2362</v>
      </c>
      <c r="B561" t="s">
        <v>47</v>
      </c>
      <c r="C561" s="4" t="s">
        <v>183</v>
      </c>
      <c r="D561" s="4" t="s">
        <v>139</v>
      </c>
      <c r="E561" s="4" t="s">
        <v>49</v>
      </c>
      <c r="F561" s="5" t="s">
        <v>2363</v>
      </c>
      <c r="G561" s="5" t="s">
        <v>2364</v>
      </c>
      <c r="H561" t="s">
        <v>47</v>
      </c>
      <c r="I561" t="s">
        <v>47</v>
      </c>
      <c r="J561" t="s">
        <v>47</v>
      </c>
      <c r="K561" t="s">
        <v>47</v>
      </c>
      <c r="L561" s="5" t="s">
        <v>60</v>
      </c>
      <c r="M561" t="s">
        <v>47</v>
      </c>
      <c r="N561" t="s">
        <v>47</v>
      </c>
      <c r="O561" t="s">
        <v>47</v>
      </c>
      <c r="P561" t="s">
        <v>47</v>
      </c>
      <c r="Q561" t="s">
        <v>47</v>
      </c>
      <c r="R561" t="s">
        <v>47</v>
      </c>
      <c r="S561" t="s">
        <v>47</v>
      </c>
      <c r="T561" t="s">
        <v>47</v>
      </c>
      <c r="U561" t="s">
        <v>47</v>
      </c>
      <c r="V561" t="s">
        <v>47</v>
      </c>
      <c r="W561" s="3">
        <v>39142</v>
      </c>
      <c r="X561" s="5" t="s">
        <v>50</v>
      </c>
      <c r="Y561" t="s">
        <v>47</v>
      </c>
      <c r="Z561" s="3">
        <v>39142</v>
      </c>
      <c r="AA561" s="5" t="s">
        <v>50</v>
      </c>
      <c r="AB561" t="s">
        <v>47</v>
      </c>
      <c r="AC561" s="3">
        <v>39142</v>
      </c>
      <c r="AD561" s="5" t="s">
        <v>50</v>
      </c>
      <c r="AE561" t="s">
        <v>47</v>
      </c>
      <c r="AF561" t="s">
        <v>47</v>
      </c>
      <c r="AG561" t="s">
        <v>47</v>
      </c>
      <c r="AH561" t="s">
        <v>47</v>
      </c>
      <c r="AI561" t="s">
        <v>47</v>
      </c>
      <c r="AJ561" t="s">
        <v>47</v>
      </c>
      <c r="AK561" t="s">
        <v>47</v>
      </c>
      <c r="AL561" t="s">
        <v>47</v>
      </c>
      <c r="AM561" t="s">
        <v>47</v>
      </c>
      <c r="AN561" t="s">
        <v>47</v>
      </c>
      <c r="AO561" s="5" t="s">
        <v>60</v>
      </c>
      <c r="AP561" s="4" t="s">
        <v>61</v>
      </c>
      <c r="AQ561" s="4" t="s">
        <v>53</v>
      </c>
      <c r="AR561" s="4" t="s">
        <v>2357</v>
      </c>
      <c r="AS561" s="5">
        <v>105541</v>
      </c>
      <c r="AT561" t="s">
        <v>47</v>
      </c>
    </row>
    <row r="562" spans="1:46" ht="52" x14ac:dyDescent="0.3">
      <c r="A562" s="4" t="s">
        <v>2365</v>
      </c>
      <c r="B562" t="s">
        <v>47</v>
      </c>
      <c r="C562" s="4" t="s">
        <v>470</v>
      </c>
      <c r="D562" s="4" t="s">
        <v>748</v>
      </c>
      <c r="E562" s="4" t="s">
        <v>66</v>
      </c>
      <c r="F562" s="5" t="s">
        <v>2366</v>
      </c>
      <c r="G562" s="5" t="s">
        <v>2367</v>
      </c>
      <c r="H562" t="s">
        <v>47</v>
      </c>
      <c r="I562" t="s">
        <v>47</v>
      </c>
      <c r="J562" t="s">
        <v>47</v>
      </c>
      <c r="K562" t="s">
        <v>47</v>
      </c>
      <c r="L562" s="5" t="s">
        <v>60</v>
      </c>
      <c r="M562" t="s">
        <v>47</v>
      </c>
      <c r="N562" t="s">
        <v>47</v>
      </c>
      <c r="O562" t="s">
        <v>47</v>
      </c>
      <c r="P562" t="s">
        <v>47</v>
      </c>
      <c r="Q562" t="s">
        <v>47</v>
      </c>
      <c r="R562" t="s">
        <v>47</v>
      </c>
      <c r="S562" t="s">
        <v>47</v>
      </c>
      <c r="T562" t="s">
        <v>47</v>
      </c>
      <c r="U562" t="s">
        <v>47</v>
      </c>
      <c r="V562" t="s">
        <v>47</v>
      </c>
      <c r="W562" s="3">
        <v>36192</v>
      </c>
      <c r="X562" s="3">
        <v>40087</v>
      </c>
      <c r="Y562" t="s">
        <v>47</v>
      </c>
      <c r="Z562" s="3">
        <v>36192</v>
      </c>
      <c r="AA562" s="3">
        <v>40087</v>
      </c>
      <c r="AB562" t="s">
        <v>47</v>
      </c>
      <c r="AC562" s="3">
        <v>36192</v>
      </c>
      <c r="AD562" s="3">
        <v>40087</v>
      </c>
      <c r="AE562" t="s">
        <v>47</v>
      </c>
      <c r="AF562" t="s">
        <v>47</v>
      </c>
      <c r="AG562" t="s">
        <v>47</v>
      </c>
      <c r="AH562" t="s">
        <v>47</v>
      </c>
      <c r="AI562" t="s">
        <v>47</v>
      </c>
      <c r="AJ562" t="s">
        <v>47</v>
      </c>
      <c r="AK562" t="s">
        <v>47</v>
      </c>
      <c r="AL562" t="s">
        <v>47</v>
      </c>
      <c r="AM562" t="s">
        <v>47</v>
      </c>
      <c r="AN562" t="s">
        <v>47</v>
      </c>
      <c r="AO562" s="5" t="s">
        <v>60</v>
      </c>
      <c r="AP562" s="4" t="s">
        <v>61</v>
      </c>
      <c r="AQ562" s="4" t="s">
        <v>53</v>
      </c>
      <c r="AR562" s="4" t="s">
        <v>2368</v>
      </c>
      <c r="AS562" s="5">
        <v>36112</v>
      </c>
      <c r="AT562" t="s">
        <v>47</v>
      </c>
    </row>
    <row r="563" spans="1:46" ht="65" x14ac:dyDescent="0.3">
      <c r="A563" s="4" t="s">
        <v>2369</v>
      </c>
      <c r="B563" t="s">
        <v>47</v>
      </c>
      <c r="C563" s="4" t="s">
        <v>183</v>
      </c>
      <c r="D563" s="4" t="s">
        <v>333</v>
      </c>
      <c r="E563" s="4" t="s">
        <v>49</v>
      </c>
      <c r="F563" s="5" t="s">
        <v>2370</v>
      </c>
      <c r="G563" s="5" t="s">
        <v>2371</v>
      </c>
      <c r="H563" t="s">
        <v>47</v>
      </c>
      <c r="I563" t="s">
        <v>47</v>
      </c>
      <c r="J563" t="s">
        <v>47</v>
      </c>
      <c r="K563" t="s">
        <v>47</v>
      </c>
      <c r="L563" s="5" t="s">
        <v>60</v>
      </c>
      <c r="M563" t="s">
        <v>47</v>
      </c>
      <c r="N563" t="s">
        <v>47</v>
      </c>
      <c r="O563" t="s">
        <v>47</v>
      </c>
      <c r="P563" t="s">
        <v>47</v>
      </c>
      <c r="Q563" t="s">
        <v>47</v>
      </c>
      <c r="R563" t="s">
        <v>47</v>
      </c>
      <c r="S563" t="s">
        <v>47</v>
      </c>
      <c r="T563" t="s">
        <v>47</v>
      </c>
      <c r="U563" t="s">
        <v>47</v>
      </c>
      <c r="V563" t="s">
        <v>47</v>
      </c>
      <c r="W563" s="3">
        <v>23043</v>
      </c>
      <c r="X563" s="5" t="s">
        <v>50</v>
      </c>
      <c r="Y563" s="5" t="s">
        <v>2372</v>
      </c>
      <c r="Z563" s="3">
        <v>23043</v>
      </c>
      <c r="AA563" s="5" t="s">
        <v>50</v>
      </c>
      <c r="AB563" s="5" t="s">
        <v>2372</v>
      </c>
      <c r="AC563" s="3">
        <v>27454</v>
      </c>
      <c r="AD563" s="5" t="s">
        <v>50</v>
      </c>
      <c r="AE563" s="5" t="s">
        <v>2373</v>
      </c>
      <c r="AF563" t="s">
        <v>47</v>
      </c>
      <c r="AG563" t="s">
        <v>47</v>
      </c>
      <c r="AH563" t="s">
        <v>47</v>
      </c>
      <c r="AI563" t="s">
        <v>47</v>
      </c>
      <c r="AJ563" t="s">
        <v>47</v>
      </c>
      <c r="AK563" t="s">
        <v>47</v>
      </c>
      <c r="AL563" t="s">
        <v>47</v>
      </c>
      <c r="AM563" t="s">
        <v>47</v>
      </c>
      <c r="AN563" t="s">
        <v>47</v>
      </c>
      <c r="AO563" s="5" t="s">
        <v>60</v>
      </c>
      <c r="AP563" s="4" t="s">
        <v>61</v>
      </c>
      <c r="AQ563" s="4" t="s">
        <v>53</v>
      </c>
      <c r="AR563" s="4" t="s">
        <v>1772</v>
      </c>
      <c r="AS563" s="5">
        <v>35845</v>
      </c>
      <c r="AT563" t="s">
        <v>47</v>
      </c>
    </row>
    <row r="564" spans="1:46" ht="26" x14ac:dyDescent="0.3">
      <c r="A564" s="4" t="s">
        <v>2374</v>
      </c>
      <c r="B564" t="s">
        <v>47</v>
      </c>
      <c r="C564" s="4" t="s">
        <v>2375</v>
      </c>
      <c r="D564" s="4" t="s">
        <v>2376</v>
      </c>
      <c r="E564" s="4" t="s">
        <v>2377</v>
      </c>
      <c r="F564" t="s">
        <v>47</v>
      </c>
      <c r="G564" s="5" t="s">
        <v>2378</v>
      </c>
      <c r="H564" t="s">
        <v>47</v>
      </c>
      <c r="I564" s="3">
        <v>40422</v>
      </c>
      <c r="J564" s="3">
        <v>43344</v>
      </c>
      <c r="K564" s="5" t="s">
        <v>946</v>
      </c>
      <c r="L564" s="5" t="s">
        <v>60</v>
      </c>
      <c r="M564" t="s">
        <v>47</v>
      </c>
      <c r="N564" t="s">
        <v>47</v>
      </c>
      <c r="O564" t="s">
        <v>47</v>
      </c>
      <c r="P564" s="3">
        <v>40422</v>
      </c>
      <c r="Q564" s="3">
        <v>43344</v>
      </c>
      <c r="R564" s="5" t="s">
        <v>946</v>
      </c>
      <c r="S564" t="s">
        <v>47</v>
      </c>
      <c r="T564" t="s">
        <v>47</v>
      </c>
      <c r="U564" t="s">
        <v>47</v>
      </c>
      <c r="V564" t="s">
        <v>47</v>
      </c>
      <c r="W564" s="3">
        <v>40422</v>
      </c>
      <c r="X564" s="3">
        <v>43344</v>
      </c>
      <c r="Y564" s="5" t="s">
        <v>946</v>
      </c>
      <c r="Z564" s="3">
        <v>40422</v>
      </c>
      <c r="AA564" s="3">
        <v>43344</v>
      </c>
      <c r="AB564" s="5" t="s">
        <v>946</v>
      </c>
      <c r="AC564" s="3">
        <v>40422</v>
      </c>
      <c r="AD564" s="3">
        <v>43344</v>
      </c>
      <c r="AE564" s="5" t="s">
        <v>946</v>
      </c>
      <c r="AF564" t="s">
        <v>47</v>
      </c>
      <c r="AG564" t="s">
        <v>47</v>
      </c>
      <c r="AH564" t="s">
        <v>47</v>
      </c>
      <c r="AI564" t="s">
        <v>47</v>
      </c>
      <c r="AJ564" t="s">
        <v>47</v>
      </c>
      <c r="AK564" t="s">
        <v>47</v>
      </c>
      <c r="AL564" t="s">
        <v>47</v>
      </c>
      <c r="AM564" t="s">
        <v>47</v>
      </c>
      <c r="AN564" t="s">
        <v>47</v>
      </c>
      <c r="AO564" s="5" t="s">
        <v>60</v>
      </c>
      <c r="AP564" s="4" t="s">
        <v>61</v>
      </c>
      <c r="AQ564" s="4" t="s">
        <v>2379</v>
      </c>
      <c r="AR564" s="4" t="s">
        <v>395</v>
      </c>
      <c r="AS564" s="5">
        <v>406421</v>
      </c>
      <c r="AT564" t="s">
        <v>47</v>
      </c>
    </row>
    <row r="565" spans="1:46" ht="26" x14ac:dyDescent="0.3">
      <c r="A565" s="4" t="s">
        <v>2380</v>
      </c>
      <c r="B565" t="s">
        <v>47</v>
      </c>
      <c r="C565" s="4" t="s">
        <v>169</v>
      </c>
      <c r="D565" s="4" t="s">
        <v>339</v>
      </c>
      <c r="E565" s="4" t="s">
        <v>66</v>
      </c>
      <c r="F565" s="5" t="s">
        <v>2381</v>
      </c>
      <c r="G565" s="5" t="s">
        <v>2382</v>
      </c>
      <c r="H565" t="s">
        <v>47</v>
      </c>
      <c r="I565" s="3">
        <v>35947</v>
      </c>
      <c r="J565" s="3">
        <v>36861</v>
      </c>
      <c r="K565" t="s">
        <v>47</v>
      </c>
      <c r="L565" s="5" t="s">
        <v>60</v>
      </c>
      <c r="M565" s="3">
        <v>35947</v>
      </c>
      <c r="N565" s="3">
        <v>36861</v>
      </c>
      <c r="O565" t="s">
        <v>47</v>
      </c>
      <c r="P565" s="3">
        <v>35947</v>
      </c>
      <c r="Q565" s="3">
        <v>36861</v>
      </c>
      <c r="R565" t="s">
        <v>47</v>
      </c>
      <c r="S565" t="s">
        <v>47</v>
      </c>
      <c r="T565" t="s">
        <v>47</v>
      </c>
      <c r="U565" t="s">
        <v>47</v>
      </c>
      <c r="V565" t="s">
        <v>47</v>
      </c>
      <c r="W565" s="3">
        <v>35947</v>
      </c>
      <c r="X565" s="3">
        <v>36861</v>
      </c>
      <c r="Y565" t="s">
        <v>47</v>
      </c>
      <c r="Z565" s="3">
        <v>35947</v>
      </c>
      <c r="AA565" s="3">
        <v>36861</v>
      </c>
      <c r="AB565" t="s">
        <v>47</v>
      </c>
      <c r="AC565" t="s">
        <v>47</v>
      </c>
      <c r="AD565" t="s">
        <v>47</v>
      </c>
      <c r="AE565" t="s">
        <v>47</v>
      </c>
      <c r="AF565" t="s">
        <v>47</v>
      </c>
      <c r="AG565" t="s">
        <v>47</v>
      </c>
      <c r="AH565" t="s">
        <v>47</v>
      </c>
      <c r="AI565" t="s">
        <v>47</v>
      </c>
      <c r="AJ565" t="s">
        <v>47</v>
      </c>
      <c r="AK565" t="s">
        <v>47</v>
      </c>
      <c r="AL565" t="s">
        <v>47</v>
      </c>
      <c r="AM565" t="s">
        <v>47</v>
      </c>
      <c r="AN565" t="s">
        <v>47</v>
      </c>
      <c r="AO565" s="5" t="s">
        <v>60</v>
      </c>
      <c r="AP565" s="4" t="s">
        <v>61</v>
      </c>
      <c r="AQ565" s="4" t="s">
        <v>53</v>
      </c>
      <c r="AR565" s="4" t="s">
        <v>807</v>
      </c>
      <c r="AS565" s="5">
        <v>12118</v>
      </c>
      <c r="AT565" t="s">
        <v>47</v>
      </c>
    </row>
    <row r="566" spans="1:46" ht="52" x14ac:dyDescent="0.3">
      <c r="A566" s="4" t="s">
        <v>2383</v>
      </c>
      <c r="B566" t="s">
        <v>47</v>
      </c>
      <c r="C566" s="4" t="s">
        <v>2384</v>
      </c>
      <c r="D566" s="4" t="s">
        <v>780</v>
      </c>
      <c r="E566" s="4" t="s">
        <v>49</v>
      </c>
      <c r="F566" s="5" t="s">
        <v>2385</v>
      </c>
      <c r="G566" t="s">
        <v>47</v>
      </c>
      <c r="H566" t="s">
        <v>47</v>
      </c>
      <c r="I566" s="3">
        <v>42705</v>
      </c>
      <c r="J566" s="5" t="s">
        <v>50</v>
      </c>
      <c r="K566" t="s">
        <v>47</v>
      </c>
      <c r="L566" s="5" t="s">
        <v>51</v>
      </c>
      <c r="M566" s="3">
        <v>45047</v>
      </c>
      <c r="N566" s="5" t="s">
        <v>50</v>
      </c>
      <c r="O566" t="s">
        <v>47</v>
      </c>
      <c r="P566" s="3">
        <v>42705</v>
      </c>
      <c r="Q566" s="5" t="s">
        <v>50</v>
      </c>
      <c r="R566" t="s">
        <v>47</v>
      </c>
      <c r="S566" t="s">
        <v>47</v>
      </c>
      <c r="T566" t="s">
        <v>47</v>
      </c>
      <c r="U566" t="s">
        <v>47</v>
      </c>
      <c r="V566" t="s">
        <v>47</v>
      </c>
      <c r="W566" s="3">
        <v>42705</v>
      </c>
      <c r="X566" s="5" t="s">
        <v>50</v>
      </c>
      <c r="Y566" t="s">
        <v>47</v>
      </c>
      <c r="Z566" s="3">
        <v>42705</v>
      </c>
      <c r="AA566" s="5" t="s">
        <v>50</v>
      </c>
      <c r="AB566" t="s">
        <v>47</v>
      </c>
      <c r="AC566" s="3">
        <v>42705</v>
      </c>
      <c r="AD566" s="5" t="s">
        <v>50</v>
      </c>
      <c r="AE566" t="s">
        <v>47</v>
      </c>
      <c r="AF566" t="s">
        <v>47</v>
      </c>
      <c r="AG566" t="s">
        <v>47</v>
      </c>
      <c r="AH566" t="s">
        <v>47</v>
      </c>
      <c r="AI566" t="s">
        <v>47</v>
      </c>
      <c r="AJ566" t="s">
        <v>47</v>
      </c>
      <c r="AK566" t="s">
        <v>47</v>
      </c>
      <c r="AL566" t="s">
        <v>47</v>
      </c>
      <c r="AM566" t="s">
        <v>47</v>
      </c>
      <c r="AN566" t="s">
        <v>47</v>
      </c>
      <c r="AO566" s="5" t="s">
        <v>51</v>
      </c>
      <c r="AP566" s="4" t="s">
        <v>135</v>
      </c>
      <c r="AQ566" s="4" t="s">
        <v>261</v>
      </c>
      <c r="AR566" s="4" t="s">
        <v>1469</v>
      </c>
      <c r="AS566" s="5">
        <v>2042846</v>
      </c>
      <c r="AT566" t="s">
        <v>47</v>
      </c>
    </row>
    <row r="567" spans="1:46" ht="26" x14ac:dyDescent="0.3">
      <c r="A567" s="4" t="s">
        <v>2386</v>
      </c>
      <c r="B567" t="s">
        <v>47</v>
      </c>
      <c r="C567" s="4" t="s">
        <v>2387</v>
      </c>
      <c r="D567" s="4" t="s">
        <v>2388</v>
      </c>
      <c r="E567" s="4" t="s">
        <v>49</v>
      </c>
      <c r="F567" s="5" t="s">
        <v>2389</v>
      </c>
      <c r="G567" s="5" t="s">
        <v>2390</v>
      </c>
      <c r="H567" t="s">
        <v>47</v>
      </c>
      <c r="I567" s="3">
        <v>35462</v>
      </c>
      <c r="J567" s="5" t="s">
        <v>50</v>
      </c>
      <c r="K567" t="s">
        <v>47</v>
      </c>
      <c r="L567" s="5" t="s">
        <v>60</v>
      </c>
      <c r="M567" s="3">
        <v>35462</v>
      </c>
      <c r="N567" s="5" t="s">
        <v>50</v>
      </c>
      <c r="O567" t="s">
        <v>47</v>
      </c>
      <c r="P567" s="3">
        <v>35462</v>
      </c>
      <c r="Q567" s="5" t="s">
        <v>50</v>
      </c>
      <c r="R567" t="s">
        <v>47</v>
      </c>
      <c r="S567" t="s">
        <v>47</v>
      </c>
      <c r="T567" t="s">
        <v>47</v>
      </c>
      <c r="U567" t="s">
        <v>47</v>
      </c>
      <c r="V567" s="5">
        <v>365</v>
      </c>
      <c r="W567" s="3">
        <v>35462</v>
      </c>
      <c r="X567" s="5" t="s">
        <v>50</v>
      </c>
      <c r="Y567" t="s">
        <v>47</v>
      </c>
      <c r="Z567" s="3">
        <v>35462</v>
      </c>
      <c r="AA567" s="5" t="s">
        <v>50</v>
      </c>
      <c r="AB567" t="s">
        <v>47</v>
      </c>
      <c r="AC567" s="3">
        <v>36923</v>
      </c>
      <c r="AD567" s="5" t="s">
        <v>50</v>
      </c>
      <c r="AE567" t="s">
        <v>47</v>
      </c>
      <c r="AF567" t="s">
        <v>47</v>
      </c>
      <c r="AG567" t="s">
        <v>47</v>
      </c>
      <c r="AH567" t="s">
        <v>47</v>
      </c>
      <c r="AI567" t="s">
        <v>47</v>
      </c>
      <c r="AJ567" t="s">
        <v>47</v>
      </c>
      <c r="AK567" t="s">
        <v>47</v>
      </c>
      <c r="AL567" t="s">
        <v>47</v>
      </c>
      <c r="AM567" t="s">
        <v>47</v>
      </c>
      <c r="AN567" t="s">
        <v>47</v>
      </c>
      <c r="AO567" s="5" t="s">
        <v>60</v>
      </c>
      <c r="AP567" s="4" t="s">
        <v>61</v>
      </c>
      <c r="AQ567" s="4" t="s">
        <v>53</v>
      </c>
      <c r="AR567" s="4" t="s">
        <v>54</v>
      </c>
      <c r="AS567" s="5">
        <v>542</v>
      </c>
      <c r="AT567" t="s">
        <v>47</v>
      </c>
    </row>
    <row r="568" spans="1:46" ht="26" x14ac:dyDescent="0.3">
      <c r="A568" s="4" t="s">
        <v>2391</v>
      </c>
      <c r="B568" t="s">
        <v>47</v>
      </c>
      <c r="C568" s="4" t="s">
        <v>222</v>
      </c>
      <c r="D568" s="4" t="s">
        <v>223</v>
      </c>
      <c r="E568" s="4" t="s">
        <v>49</v>
      </c>
      <c r="F568" s="5" t="s">
        <v>2392</v>
      </c>
      <c r="G568" t="s">
        <v>47</v>
      </c>
      <c r="H568" t="s">
        <v>47</v>
      </c>
      <c r="I568" s="3">
        <v>36404</v>
      </c>
      <c r="J568" s="3">
        <v>36647</v>
      </c>
      <c r="K568" t="s">
        <v>47</v>
      </c>
      <c r="L568" s="5" t="s">
        <v>51</v>
      </c>
      <c r="M568" s="3">
        <v>36404</v>
      </c>
      <c r="N568" s="3">
        <v>36647</v>
      </c>
      <c r="O568" t="s">
        <v>47</v>
      </c>
      <c r="P568" s="3">
        <v>36404</v>
      </c>
      <c r="Q568" s="3">
        <v>36647</v>
      </c>
      <c r="R568" t="s">
        <v>47</v>
      </c>
      <c r="S568" t="s">
        <v>47</v>
      </c>
      <c r="T568" t="s">
        <v>47</v>
      </c>
      <c r="U568" t="s">
        <v>47</v>
      </c>
      <c r="V568" t="s">
        <v>47</v>
      </c>
      <c r="W568" s="3">
        <v>36069</v>
      </c>
      <c r="X568" s="3">
        <v>36647</v>
      </c>
      <c r="Y568" t="s">
        <v>47</v>
      </c>
      <c r="Z568" s="3">
        <v>36069</v>
      </c>
      <c r="AA568" s="3">
        <v>36647</v>
      </c>
      <c r="AB568" t="s">
        <v>47</v>
      </c>
      <c r="AC568" t="s">
        <v>47</v>
      </c>
      <c r="AD568" t="s">
        <v>47</v>
      </c>
      <c r="AE568" t="s">
        <v>47</v>
      </c>
      <c r="AF568" t="s">
        <v>47</v>
      </c>
      <c r="AG568" t="s">
        <v>47</v>
      </c>
      <c r="AH568" t="s">
        <v>47</v>
      </c>
      <c r="AI568" t="s">
        <v>47</v>
      </c>
      <c r="AJ568" t="s">
        <v>47</v>
      </c>
      <c r="AK568" t="s">
        <v>47</v>
      </c>
      <c r="AL568" t="s">
        <v>47</v>
      </c>
      <c r="AM568" t="s">
        <v>47</v>
      </c>
      <c r="AN568" t="s">
        <v>47</v>
      </c>
      <c r="AO568" s="5" t="s">
        <v>51</v>
      </c>
      <c r="AP568" s="4" t="s">
        <v>85</v>
      </c>
      <c r="AQ568" s="4" t="s">
        <v>53</v>
      </c>
      <c r="AR568" s="4" t="s">
        <v>54</v>
      </c>
      <c r="AS568" s="5">
        <v>33113</v>
      </c>
      <c r="AT568" t="s">
        <v>47</v>
      </c>
    </row>
    <row r="569" spans="1:46" ht="39" x14ac:dyDescent="0.3">
      <c r="A569" s="4" t="s">
        <v>2393</v>
      </c>
      <c r="B569" t="s">
        <v>47</v>
      </c>
      <c r="C569" s="4" t="s">
        <v>122</v>
      </c>
      <c r="D569" s="4" t="s">
        <v>206</v>
      </c>
      <c r="E569" s="4" t="s">
        <v>123</v>
      </c>
      <c r="F569" s="5" t="s">
        <v>2394</v>
      </c>
      <c r="G569" s="5" t="s">
        <v>2395</v>
      </c>
      <c r="H569" t="s">
        <v>47</v>
      </c>
      <c r="I569" s="3">
        <v>35431</v>
      </c>
      <c r="J569" s="5" t="s">
        <v>50</v>
      </c>
      <c r="K569" t="s">
        <v>47</v>
      </c>
      <c r="L569" s="5" t="s">
        <v>60</v>
      </c>
      <c r="M569" s="3">
        <v>37987</v>
      </c>
      <c r="N569" s="3">
        <v>42856</v>
      </c>
      <c r="O569" t="s">
        <v>47</v>
      </c>
      <c r="P569" s="3">
        <v>35431</v>
      </c>
      <c r="Q569" s="5" t="s">
        <v>50</v>
      </c>
      <c r="R569" t="s">
        <v>47</v>
      </c>
      <c r="S569" t="s">
        <v>47</v>
      </c>
      <c r="T569" t="s">
        <v>47</v>
      </c>
      <c r="U569" t="s">
        <v>47</v>
      </c>
      <c r="V569" s="5">
        <v>365</v>
      </c>
      <c r="W569" s="3">
        <v>35431</v>
      </c>
      <c r="X569" s="5" t="s">
        <v>50</v>
      </c>
      <c r="Y569" t="s">
        <v>47</v>
      </c>
      <c r="Z569" s="3">
        <v>35431</v>
      </c>
      <c r="AA569" s="5" t="s">
        <v>50</v>
      </c>
      <c r="AB569" t="s">
        <v>47</v>
      </c>
      <c r="AC569" s="3">
        <v>35431</v>
      </c>
      <c r="AD569" s="5" t="s">
        <v>50</v>
      </c>
      <c r="AE569" t="s">
        <v>47</v>
      </c>
      <c r="AF569" t="s">
        <v>47</v>
      </c>
      <c r="AG569" t="s">
        <v>47</v>
      </c>
      <c r="AH569" t="s">
        <v>47</v>
      </c>
      <c r="AI569" t="s">
        <v>47</v>
      </c>
      <c r="AJ569" t="s">
        <v>47</v>
      </c>
      <c r="AK569" t="s">
        <v>47</v>
      </c>
      <c r="AL569" t="s">
        <v>47</v>
      </c>
      <c r="AM569" t="s">
        <v>47</v>
      </c>
      <c r="AN569" t="s">
        <v>47</v>
      </c>
      <c r="AO569" s="5" t="s">
        <v>60</v>
      </c>
      <c r="AP569" s="4" t="s">
        <v>61</v>
      </c>
      <c r="AQ569" s="4" t="s">
        <v>53</v>
      </c>
      <c r="AR569" s="4" t="s">
        <v>62</v>
      </c>
      <c r="AS569" s="5">
        <v>54126</v>
      </c>
      <c r="AT569" t="s">
        <v>47</v>
      </c>
    </row>
    <row r="570" spans="1:46" ht="39" x14ac:dyDescent="0.3">
      <c r="A570" s="4" t="s">
        <v>2396</v>
      </c>
      <c r="B570" t="s">
        <v>47</v>
      </c>
      <c r="C570" s="4" t="s">
        <v>115</v>
      </c>
      <c r="D570" s="4" t="s">
        <v>559</v>
      </c>
      <c r="E570" s="4" t="s">
        <v>66</v>
      </c>
      <c r="F570" s="5" t="s">
        <v>2397</v>
      </c>
      <c r="G570" s="5" t="s">
        <v>2398</v>
      </c>
      <c r="H570" t="s">
        <v>47</v>
      </c>
      <c r="I570" s="3">
        <v>42736</v>
      </c>
      <c r="J570" s="5" t="s">
        <v>50</v>
      </c>
      <c r="K570" t="s">
        <v>47</v>
      </c>
      <c r="L570" s="5" t="s">
        <v>60</v>
      </c>
      <c r="M570" s="3">
        <v>42736</v>
      </c>
      <c r="N570" s="5" t="s">
        <v>50</v>
      </c>
      <c r="O570" t="s">
        <v>47</v>
      </c>
      <c r="P570" s="3">
        <v>42736</v>
      </c>
      <c r="Q570" s="5" t="s">
        <v>50</v>
      </c>
      <c r="R570" t="s">
        <v>47</v>
      </c>
      <c r="S570" t="s">
        <v>47</v>
      </c>
      <c r="T570" t="s">
        <v>47</v>
      </c>
      <c r="U570" t="s">
        <v>47</v>
      </c>
      <c r="V570" t="s">
        <v>47</v>
      </c>
      <c r="W570" s="3">
        <v>42736</v>
      </c>
      <c r="X570" s="5" t="s">
        <v>50</v>
      </c>
      <c r="Y570" t="s">
        <v>47</v>
      </c>
      <c r="Z570" s="3">
        <v>42736</v>
      </c>
      <c r="AA570" s="5" t="s">
        <v>50</v>
      </c>
      <c r="AB570" t="s">
        <v>47</v>
      </c>
      <c r="AC570" s="3">
        <v>42736</v>
      </c>
      <c r="AD570" s="5" t="s">
        <v>50</v>
      </c>
      <c r="AE570" t="s">
        <v>47</v>
      </c>
      <c r="AF570" t="s">
        <v>47</v>
      </c>
      <c r="AG570" t="s">
        <v>47</v>
      </c>
      <c r="AH570" t="s">
        <v>47</v>
      </c>
      <c r="AI570" t="s">
        <v>47</v>
      </c>
      <c r="AJ570" t="s">
        <v>47</v>
      </c>
      <c r="AK570" t="s">
        <v>47</v>
      </c>
      <c r="AL570" t="s">
        <v>47</v>
      </c>
      <c r="AM570" t="s">
        <v>47</v>
      </c>
      <c r="AN570" t="s">
        <v>47</v>
      </c>
      <c r="AO570" s="5" t="s">
        <v>60</v>
      </c>
      <c r="AP570" s="4" t="s">
        <v>61</v>
      </c>
      <c r="AQ570" s="4" t="s">
        <v>53</v>
      </c>
      <c r="AR570" s="4" t="s">
        <v>62</v>
      </c>
      <c r="AS570" s="5">
        <v>4931640</v>
      </c>
      <c r="AT570" t="s">
        <v>47</v>
      </c>
    </row>
    <row r="571" spans="1:46" ht="39" x14ac:dyDescent="0.3">
      <c r="A571" s="4" t="s">
        <v>2399</v>
      </c>
      <c r="B571" t="s">
        <v>47</v>
      </c>
      <c r="C571" s="4" t="s">
        <v>2400</v>
      </c>
      <c r="D571" s="4" t="s">
        <v>139</v>
      </c>
      <c r="E571" s="4" t="s">
        <v>66</v>
      </c>
      <c r="F571" s="5" t="s">
        <v>2401</v>
      </c>
      <c r="G571" s="5" t="s">
        <v>2402</v>
      </c>
      <c r="H571" t="s">
        <v>47</v>
      </c>
      <c r="I571" s="3">
        <v>32203</v>
      </c>
      <c r="J571" s="5" t="s">
        <v>50</v>
      </c>
      <c r="K571" t="s">
        <v>47</v>
      </c>
      <c r="L571" s="5" t="s">
        <v>60</v>
      </c>
      <c r="M571" s="3">
        <v>37316</v>
      </c>
      <c r="N571" s="3">
        <v>42795</v>
      </c>
      <c r="O571" t="s">
        <v>47</v>
      </c>
      <c r="P571" s="3">
        <v>32203</v>
      </c>
      <c r="Q571" s="5" t="s">
        <v>50</v>
      </c>
      <c r="R571" t="s">
        <v>47</v>
      </c>
      <c r="S571" t="s">
        <v>47</v>
      </c>
      <c r="T571" t="s">
        <v>47</v>
      </c>
      <c r="U571" t="s">
        <v>47</v>
      </c>
      <c r="V571" s="5">
        <v>365</v>
      </c>
      <c r="W571" s="3">
        <v>32203</v>
      </c>
      <c r="X571" s="5" t="s">
        <v>50</v>
      </c>
      <c r="Y571" t="s">
        <v>47</v>
      </c>
      <c r="Z571" s="3">
        <v>32203</v>
      </c>
      <c r="AA571" s="5" t="s">
        <v>50</v>
      </c>
      <c r="AB571" t="s">
        <v>47</v>
      </c>
      <c r="AC571" s="3">
        <v>32203</v>
      </c>
      <c r="AD571" s="5" t="s">
        <v>50</v>
      </c>
      <c r="AE571" t="s">
        <v>47</v>
      </c>
      <c r="AF571" t="s">
        <v>47</v>
      </c>
      <c r="AG571" t="s">
        <v>47</v>
      </c>
      <c r="AH571" t="s">
        <v>47</v>
      </c>
      <c r="AI571" t="s">
        <v>47</v>
      </c>
      <c r="AJ571" t="s">
        <v>47</v>
      </c>
      <c r="AK571" t="s">
        <v>47</v>
      </c>
      <c r="AL571" t="s">
        <v>47</v>
      </c>
      <c r="AM571" t="s">
        <v>47</v>
      </c>
      <c r="AN571" t="s">
        <v>47</v>
      </c>
      <c r="AO571" s="5" t="s">
        <v>60</v>
      </c>
      <c r="AP571" s="4" t="s">
        <v>61</v>
      </c>
      <c r="AQ571" s="4" t="s">
        <v>53</v>
      </c>
      <c r="AR571" s="4" t="s">
        <v>62</v>
      </c>
      <c r="AS571" s="5">
        <v>42469</v>
      </c>
      <c r="AT571" t="s">
        <v>47</v>
      </c>
    </row>
    <row r="572" spans="1:46" ht="39" x14ac:dyDescent="0.3">
      <c r="A572" s="4" t="s">
        <v>2403</v>
      </c>
      <c r="B572" t="s">
        <v>47</v>
      </c>
      <c r="C572" s="4" t="s">
        <v>2404</v>
      </c>
      <c r="D572" s="4" t="s">
        <v>2405</v>
      </c>
      <c r="E572" s="4" t="s">
        <v>49</v>
      </c>
      <c r="F572" s="5" t="s">
        <v>2406</v>
      </c>
      <c r="G572" s="5" t="s">
        <v>2407</v>
      </c>
      <c r="H572" t="s">
        <v>47</v>
      </c>
      <c r="I572" s="3">
        <v>42005</v>
      </c>
      <c r="J572" s="3">
        <v>43831</v>
      </c>
      <c r="K572" t="s">
        <v>47</v>
      </c>
      <c r="L572" s="5" t="s">
        <v>60</v>
      </c>
      <c r="M572" t="s">
        <v>47</v>
      </c>
      <c r="N572" t="s">
        <v>47</v>
      </c>
      <c r="O572" t="s">
        <v>47</v>
      </c>
      <c r="P572" s="3">
        <v>42005</v>
      </c>
      <c r="Q572" s="3">
        <v>43831</v>
      </c>
      <c r="R572" t="s">
        <v>47</v>
      </c>
      <c r="S572" t="s">
        <v>47</v>
      </c>
      <c r="T572" t="s">
        <v>47</v>
      </c>
      <c r="U572" t="s">
        <v>47</v>
      </c>
      <c r="V572" t="s">
        <v>47</v>
      </c>
      <c r="W572" s="3">
        <v>42005</v>
      </c>
      <c r="X572" s="3">
        <v>43831</v>
      </c>
      <c r="Y572" t="s">
        <v>47</v>
      </c>
      <c r="Z572" s="3">
        <v>42005</v>
      </c>
      <c r="AA572" s="3">
        <v>43831</v>
      </c>
      <c r="AB572" t="s">
        <v>47</v>
      </c>
      <c r="AC572" s="3">
        <v>42005</v>
      </c>
      <c r="AD572" s="3">
        <v>43831</v>
      </c>
      <c r="AE572" t="s">
        <v>47</v>
      </c>
      <c r="AF572" t="s">
        <v>47</v>
      </c>
      <c r="AG572" t="s">
        <v>47</v>
      </c>
      <c r="AH572" t="s">
        <v>47</v>
      </c>
      <c r="AI572" t="s">
        <v>47</v>
      </c>
      <c r="AJ572" t="s">
        <v>47</v>
      </c>
      <c r="AK572" t="s">
        <v>47</v>
      </c>
      <c r="AL572" t="s">
        <v>47</v>
      </c>
      <c r="AM572" t="s">
        <v>47</v>
      </c>
      <c r="AN572" t="s">
        <v>47</v>
      </c>
      <c r="AO572" s="5" t="s">
        <v>51</v>
      </c>
      <c r="AP572" s="4" t="s">
        <v>61</v>
      </c>
      <c r="AQ572" s="4" t="s">
        <v>53</v>
      </c>
      <c r="AR572" s="4" t="s">
        <v>62</v>
      </c>
      <c r="AS572" s="5">
        <v>4378886</v>
      </c>
      <c r="AT572" t="s">
        <v>47</v>
      </c>
    </row>
    <row r="573" spans="1:46" ht="39" x14ac:dyDescent="0.3">
      <c r="A573" s="4" t="s">
        <v>2408</v>
      </c>
      <c r="B573" t="s">
        <v>47</v>
      </c>
      <c r="C573" s="4" t="s">
        <v>200</v>
      </c>
      <c r="D573" s="4" t="s">
        <v>748</v>
      </c>
      <c r="E573" s="4" t="s">
        <v>66</v>
      </c>
      <c r="F573" s="5" t="s">
        <v>2409</v>
      </c>
      <c r="G573" s="5" t="s">
        <v>2410</v>
      </c>
      <c r="H573" t="s">
        <v>47</v>
      </c>
      <c r="I573" t="s">
        <v>47</v>
      </c>
      <c r="J573" t="s">
        <v>47</v>
      </c>
      <c r="K573" t="s">
        <v>47</v>
      </c>
      <c r="L573" s="5" t="s">
        <v>60</v>
      </c>
      <c r="M573" t="s">
        <v>47</v>
      </c>
      <c r="N573" t="s">
        <v>47</v>
      </c>
      <c r="O573" t="s">
        <v>47</v>
      </c>
      <c r="P573" t="s">
        <v>47</v>
      </c>
      <c r="Q573" t="s">
        <v>47</v>
      </c>
      <c r="R573" t="s">
        <v>47</v>
      </c>
      <c r="S573" t="s">
        <v>47</v>
      </c>
      <c r="T573" t="s">
        <v>47</v>
      </c>
      <c r="U573" t="s">
        <v>47</v>
      </c>
      <c r="V573" t="s">
        <v>47</v>
      </c>
      <c r="W573" s="3">
        <v>37987</v>
      </c>
      <c r="X573" s="5" t="s">
        <v>50</v>
      </c>
      <c r="Y573" t="s">
        <v>47</v>
      </c>
      <c r="Z573" s="3">
        <v>37987</v>
      </c>
      <c r="AA573" s="5" t="s">
        <v>50</v>
      </c>
      <c r="AB573" t="s">
        <v>47</v>
      </c>
      <c r="AC573" s="3">
        <v>37987</v>
      </c>
      <c r="AD573" s="5" t="s">
        <v>50</v>
      </c>
      <c r="AE573" t="s">
        <v>47</v>
      </c>
      <c r="AF573" t="s">
        <v>47</v>
      </c>
      <c r="AG573" t="s">
        <v>47</v>
      </c>
      <c r="AH573" t="s">
        <v>47</v>
      </c>
      <c r="AI573" t="s">
        <v>47</v>
      </c>
      <c r="AJ573" t="s">
        <v>47</v>
      </c>
      <c r="AK573" t="s">
        <v>47</v>
      </c>
      <c r="AL573" t="s">
        <v>47</v>
      </c>
      <c r="AM573" t="s">
        <v>47</v>
      </c>
      <c r="AN573" t="s">
        <v>47</v>
      </c>
      <c r="AO573" s="5" t="s">
        <v>60</v>
      </c>
      <c r="AP573" s="4" t="s">
        <v>61</v>
      </c>
      <c r="AQ573" s="4" t="s">
        <v>53</v>
      </c>
      <c r="AR573" s="4" t="s">
        <v>62</v>
      </c>
      <c r="AS573" s="5">
        <v>453</v>
      </c>
      <c r="AT573" t="s">
        <v>47</v>
      </c>
    </row>
    <row r="574" spans="1:46" ht="39" x14ac:dyDescent="0.3">
      <c r="A574" s="4" t="s">
        <v>2411</v>
      </c>
      <c r="B574" t="s">
        <v>47</v>
      </c>
      <c r="C574" s="4" t="s">
        <v>621</v>
      </c>
      <c r="D574" s="4" t="s">
        <v>2412</v>
      </c>
      <c r="E574" s="4" t="s">
        <v>58</v>
      </c>
      <c r="F574" s="5" t="s">
        <v>2413</v>
      </c>
      <c r="G574" s="5" t="s">
        <v>2414</v>
      </c>
      <c r="H574" t="s">
        <v>47</v>
      </c>
      <c r="I574" s="3">
        <v>38384</v>
      </c>
      <c r="J574" s="3">
        <v>39234</v>
      </c>
      <c r="K574" t="s">
        <v>47</v>
      </c>
      <c r="L574" s="5" t="s">
        <v>60</v>
      </c>
      <c r="M574" t="s">
        <v>47</v>
      </c>
      <c r="N574" t="s">
        <v>47</v>
      </c>
      <c r="O574" t="s">
        <v>47</v>
      </c>
      <c r="P574" s="3">
        <v>38384</v>
      </c>
      <c r="Q574" s="3">
        <v>39234</v>
      </c>
      <c r="R574" t="s">
        <v>47</v>
      </c>
      <c r="S574" t="s">
        <v>47</v>
      </c>
      <c r="T574" t="s">
        <v>47</v>
      </c>
      <c r="U574" t="s">
        <v>47</v>
      </c>
      <c r="V574" t="s">
        <v>47</v>
      </c>
      <c r="W574" s="3">
        <v>38384</v>
      </c>
      <c r="X574" s="3">
        <v>39234</v>
      </c>
      <c r="Y574" t="s">
        <v>47</v>
      </c>
      <c r="Z574" s="3">
        <v>38384</v>
      </c>
      <c r="AA574" s="3">
        <v>39234</v>
      </c>
      <c r="AB574" t="s">
        <v>47</v>
      </c>
      <c r="AC574" s="3">
        <v>38384</v>
      </c>
      <c r="AD574" s="3">
        <v>39234</v>
      </c>
      <c r="AE574" t="s">
        <v>47</v>
      </c>
      <c r="AF574" t="s">
        <v>47</v>
      </c>
      <c r="AG574" t="s">
        <v>47</v>
      </c>
      <c r="AH574" t="s">
        <v>47</v>
      </c>
      <c r="AI574" t="s">
        <v>47</v>
      </c>
      <c r="AJ574" t="s">
        <v>47</v>
      </c>
      <c r="AK574" t="s">
        <v>47</v>
      </c>
      <c r="AL574" t="s">
        <v>47</v>
      </c>
      <c r="AM574" t="s">
        <v>47</v>
      </c>
      <c r="AN574" t="s">
        <v>47</v>
      </c>
      <c r="AO574" s="5" t="s">
        <v>60</v>
      </c>
      <c r="AP574" s="4" t="s">
        <v>61</v>
      </c>
      <c r="AQ574" s="4" t="s">
        <v>53</v>
      </c>
      <c r="AR574" s="4" t="s">
        <v>62</v>
      </c>
      <c r="AS574" s="5">
        <v>44007</v>
      </c>
      <c r="AT574" t="s">
        <v>47</v>
      </c>
    </row>
    <row r="575" spans="1:46" ht="65" x14ac:dyDescent="0.3">
      <c r="A575" s="4" t="s">
        <v>2415</v>
      </c>
      <c r="B575" t="s">
        <v>47</v>
      </c>
      <c r="C575" s="4" t="s">
        <v>115</v>
      </c>
      <c r="D575" s="4" t="s">
        <v>559</v>
      </c>
      <c r="E575" s="4" t="s">
        <v>66</v>
      </c>
      <c r="F575" s="5" t="s">
        <v>2416</v>
      </c>
      <c r="G575" s="5" t="s">
        <v>2417</v>
      </c>
      <c r="H575" t="s">
        <v>47</v>
      </c>
      <c r="I575" s="3">
        <v>40544</v>
      </c>
      <c r="J575" s="5" t="s">
        <v>50</v>
      </c>
      <c r="K575" t="s">
        <v>47</v>
      </c>
      <c r="L575" s="5" t="s">
        <v>60</v>
      </c>
      <c r="M575" s="3">
        <v>40544</v>
      </c>
      <c r="N575" s="5" t="s">
        <v>50</v>
      </c>
      <c r="O575" t="s">
        <v>47</v>
      </c>
      <c r="P575" s="3">
        <v>40544</v>
      </c>
      <c r="Q575" s="5" t="s">
        <v>50</v>
      </c>
      <c r="R575" t="s">
        <v>47</v>
      </c>
      <c r="S575" t="s">
        <v>47</v>
      </c>
      <c r="T575" t="s">
        <v>47</v>
      </c>
      <c r="U575" t="s">
        <v>47</v>
      </c>
      <c r="V575" s="5">
        <v>365</v>
      </c>
      <c r="W575" s="3">
        <v>40544</v>
      </c>
      <c r="X575" s="5" t="s">
        <v>50</v>
      </c>
      <c r="Y575" t="s">
        <v>47</v>
      </c>
      <c r="Z575" s="3">
        <v>40544</v>
      </c>
      <c r="AA575" s="5" t="s">
        <v>50</v>
      </c>
      <c r="AB575" t="s">
        <v>47</v>
      </c>
      <c r="AC575" s="3">
        <v>40544</v>
      </c>
      <c r="AD575" s="5" t="s">
        <v>50</v>
      </c>
      <c r="AE575" t="s">
        <v>47</v>
      </c>
      <c r="AF575" t="s">
        <v>47</v>
      </c>
      <c r="AG575" t="s">
        <v>47</v>
      </c>
      <c r="AH575" t="s">
        <v>47</v>
      </c>
      <c r="AI575" t="s">
        <v>47</v>
      </c>
      <c r="AJ575" t="s">
        <v>47</v>
      </c>
      <c r="AK575" t="s">
        <v>47</v>
      </c>
      <c r="AL575" t="s">
        <v>47</v>
      </c>
      <c r="AM575" t="s">
        <v>47</v>
      </c>
      <c r="AN575" t="s">
        <v>47</v>
      </c>
      <c r="AO575" s="5" t="s">
        <v>60</v>
      </c>
      <c r="AP575" s="4" t="s">
        <v>61</v>
      </c>
      <c r="AQ575" s="4" t="s">
        <v>53</v>
      </c>
      <c r="AR575" s="4" t="s">
        <v>543</v>
      </c>
      <c r="AS575" s="5">
        <v>566318</v>
      </c>
      <c r="AT575" t="s">
        <v>47</v>
      </c>
    </row>
    <row r="576" spans="1:46" ht="39" x14ac:dyDescent="0.3">
      <c r="A576" s="4" t="s">
        <v>2418</v>
      </c>
      <c r="B576" t="s">
        <v>47</v>
      </c>
      <c r="C576" s="4" t="s">
        <v>2419</v>
      </c>
      <c r="D576" s="4" t="s">
        <v>2420</v>
      </c>
      <c r="E576" s="4" t="s">
        <v>49</v>
      </c>
      <c r="F576" t="s">
        <v>47</v>
      </c>
      <c r="G576" s="5" t="s">
        <v>2421</v>
      </c>
      <c r="H576" t="s">
        <v>47</v>
      </c>
      <c r="I576" s="3">
        <v>40969</v>
      </c>
      <c r="J576" s="3">
        <v>43983</v>
      </c>
      <c r="K576" t="s">
        <v>47</v>
      </c>
      <c r="L576" s="5" t="s">
        <v>60</v>
      </c>
      <c r="M576" s="3">
        <v>40969</v>
      </c>
      <c r="N576" s="3">
        <v>43983</v>
      </c>
      <c r="O576" t="s">
        <v>47</v>
      </c>
      <c r="P576" s="3">
        <v>40969</v>
      </c>
      <c r="Q576" s="3">
        <v>43983</v>
      </c>
      <c r="R576" t="s">
        <v>47</v>
      </c>
      <c r="S576" t="s">
        <v>47</v>
      </c>
      <c r="T576" t="s">
        <v>47</v>
      </c>
      <c r="U576" t="s">
        <v>47</v>
      </c>
      <c r="V576" t="s">
        <v>47</v>
      </c>
      <c r="W576" s="3">
        <v>40969</v>
      </c>
      <c r="X576" s="3">
        <v>43983</v>
      </c>
      <c r="Y576" t="s">
        <v>47</v>
      </c>
      <c r="Z576" s="3">
        <v>40969</v>
      </c>
      <c r="AA576" s="3">
        <v>43983</v>
      </c>
      <c r="AB576" t="s">
        <v>47</v>
      </c>
      <c r="AC576" s="3">
        <v>40969</v>
      </c>
      <c r="AD576" s="3">
        <v>43983</v>
      </c>
      <c r="AE576" t="s">
        <v>47</v>
      </c>
      <c r="AF576" t="s">
        <v>47</v>
      </c>
      <c r="AG576" t="s">
        <v>47</v>
      </c>
      <c r="AH576" t="s">
        <v>47</v>
      </c>
      <c r="AI576" t="s">
        <v>47</v>
      </c>
      <c r="AJ576" t="s">
        <v>47</v>
      </c>
      <c r="AK576" t="s">
        <v>47</v>
      </c>
      <c r="AL576" t="s">
        <v>47</v>
      </c>
      <c r="AM576" t="s">
        <v>47</v>
      </c>
      <c r="AN576" t="s">
        <v>47</v>
      </c>
      <c r="AO576" s="5" t="s">
        <v>60</v>
      </c>
      <c r="AP576" s="4" t="s">
        <v>61</v>
      </c>
      <c r="AQ576" s="4" t="s">
        <v>53</v>
      </c>
      <c r="AR576" s="4" t="s">
        <v>62</v>
      </c>
      <c r="AS576" s="5">
        <v>2029533</v>
      </c>
      <c r="AT576" t="s">
        <v>47</v>
      </c>
    </row>
    <row r="577" spans="1:46" ht="26" x14ac:dyDescent="0.3">
      <c r="A577" s="4" t="s">
        <v>2422</v>
      </c>
      <c r="B577" t="s">
        <v>47</v>
      </c>
      <c r="C577" s="4" t="s">
        <v>2384</v>
      </c>
      <c r="D577" s="4" t="s">
        <v>780</v>
      </c>
      <c r="E577" s="4" t="s">
        <v>49</v>
      </c>
      <c r="F577" s="5" t="s">
        <v>2423</v>
      </c>
      <c r="G577" s="5" t="s">
        <v>2424</v>
      </c>
      <c r="H577" t="s">
        <v>47</v>
      </c>
      <c r="I577" s="3">
        <v>42736</v>
      </c>
      <c r="J577" s="5" t="s">
        <v>50</v>
      </c>
      <c r="K577" t="s">
        <v>47</v>
      </c>
      <c r="L577" s="5" t="s">
        <v>51</v>
      </c>
      <c r="M577" s="3">
        <v>43800</v>
      </c>
      <c r="N577" s="5" t="s">
        <v>50</v>
      </c>
      <c r="O577" s="5" t="s">
        <v>2425</v>
      </c>
      <c r="P577" s="3">
        <v>42736</v>
      </c>
      <c r="Q577" s="5" t="s">
        <v>50</v>
      </c>
      <c r="R577" t="s">
        <v>47</v>
      </c>
      <c r="S577" t="s">
        <v>47</v>
      </c>
      <c r="T577" t="s">
        <v>47</v>
      </c>
      <c r="U577" t="s">
        <v>47</v>
      </c>
      <c r="V577" t="s">
        <v>47</v>
      </c>
      <c r="W577" s="3">
        <v>42736</v>
      </c>
      <c r="X577" s="5" t="s">
        <v>50</v>
      </c>
      <c r="Y577" t="s">
        <v>47</v>
      </c>
      <c r="Z577" s="3">
        <v>42736</v>
      </c>
      <c r="AA577" s="5" t="s">
        <v>50</v>
      </c>
      <c r="AB577" t="s">
        <v>47</v>
      </c>
      <c r="AC577" s="3">
        <v>42736</v>
      </c>
      <c r="AD577" s="5" t="s">
        <v>50</v>
      </c>
      <c r="AE577" t="s">
        <v>47</v>
      </c>
      <c r="AF577" t="s">
        <v>47</v>
      </c>
      <c r="AG577" t="s">
        <v>47</v>
      </c>
      <c r="AH577" t="s">
        <v>47</v>
      </c>
      <c r="AI577" t="s">
        <v>47</v>
      </c>
      <c r="AJ577" t="s">
        <v>47</v>
      </c>
      <c r="AK577" t="s">
        <v>47</v>
      </c>
      <c r="AL577" t="s">
        <v>47</v>
      </c>
      <c r="AM577" t="s">
        <v>47</v>
      </c>
      <c r="AN577" t="s">
        <v>47</v>
      </c>
      <c r="AO577" s="5" t="s">
        <v>51</v>
      </c>
      <c r="AP577" s="4" t="s">
        <v>135</v>
      </c>
      <c r="AQ577" s="4" t="s">
        <v>53</v>
      </c>
      <c r="AR577" s="4" t="s">
        <v>580</v>
      </c>
      <c r="AS577" s="5">
        <v>2042847</v>
      </c>
      <c r="AT577" t="s">
        <v>47</v>
      </c>
    </row>
    <row r="578" spans="1:46" ht="26" x14ac:dyDescent="0.3">
      <c r="A578" s="4" t="s">
        <v>2426</v>
      </c>
      <c r="B578" t="s">
        <v>47</v>
      </c>
      <c r="C578" s="4" t="s">
        <v>2384</v>
      </c>
      <c r="D578" s="4" t="s">
        <v>780</v>
      </c>
      <c r="E578" s="4" t="s">
        <v>49</v>
      </c>
      <c r="F578" s="5" t="s">
        <v>2427</v>
      </c>
      <c r="G578" t="s">
        <v>47</v>
      </c>
      <c r="H578" t="s">
        <v>47</v>
      </c>
      <c r="I578" s="3">
        <v>35431</v>
      </c>
      <c r="J578" s="5" t="s">
        <v>50</v>
      </c>
      <c r="K578" t="s">
        <v>47</v>
      </c>
      <c r="L578" s="5" t="s">
        <v>51</v>
      </c>
      <c r="M578" s="3">
        <v>35431</v>
      </c>
      <c r="N578" s="5" t="s">
        <v>50</v>
      </c>
      <c r="O578" t="s">
        <v>47</v>
      </c>
      <c r="P578" s="3">
        <v>35431</v>
      </c>
      <c r="Q578" s="5" t="s">
        <v>50</v>
      </c>
      <c r="R578" t="s">
        <v>47</v>
      </c>
      <c r="S578" t="s">
        <v>47</v>
      </c>
      <c r="T578" t="s">
        <v>47</v>
      </c>
      <c r="U578" t="s">
        <v>47</v>
      </c>
      <c r="V578" t="s">
        <v>47</v>
      </c>
      <c r="W578" s="3">
        <v>35431</v>
      </c>
      <c r="X578" s="5" t="s">
        <v>50</v>
      </c>
      <c r="Y578" t="s">
        <v>47</v>
      </c>
      <c r="Z578" s="3">
        <v>35431</v>
      </c>
      <c r="AA578" s="5" t="s">
        <v>50</v>
      </c>
      <c r="AB578" t="s">
        <v>47</v>
      </c>
      <c r="AC578" s="3">
        <v>35462</v>
      </c>
      <c r="AD578" s="5" t="s">
        <v>50</v>
      </c>
      <c r="AE578" t="s">
        <v>47</v>
      </c>
      <c r="AF578" t="s">
        <v>47</v>
      </c>
      <c r="AG578" t="s">
        <v>47</v>
      </c>
      <c r="AH578" t="s">
        <v>47</v>
      </c>
      <c r="AI578" t="s">
        <v>47</v>
      </c>
      <c r="AJ578" t="s">
        <v>47</v>
      </c>
      <c r="AK578" t="s">
        <v>47</v>
      </c>
      <c r="AL578" t="s">
        <v>47</v>
      </c>
      <c r="AM578" t="s">
        <v>47</v>
      </c>
      <c r="AN578" t="s">
        <v>47</v>
      </c>
      <c r="AO578" s="5" t="s">
        <v>51</v>
      </c>
      <c r="AP578" s="4" t="s">
        <v>135</v>
      </c>
      <c r="AQ578" s="4" t="s">
        <v>53</v>
      </c>
      <c r="AR578" s="4" t="s">
        <v>580</v>
      </c>
      <c r="AS578" s="5">
        <v>36440</v>
      </c>
      <c r="AT578" t="s">
        <v>47</v>
      </c>
    </row>
    <row r="579" spans="1:46" ht="39" x14ac:dyDescent="0.3">
      <c r="A579" s="4" t="s">
        <v>2428</v>
      </c>
      <c r="B579" t="s">
        <v>47</v>
      </c>
      <c r="C579" s="4" t="s">
        <v>183</v>
      </c>
      <c r="D579" s="4" t="s">
        <v>333</v>
      </c>
      <c r="E579" s="4" t="s">
        <v>49</v>
      </c>
      <c r="F579" s="5" t="s">
        <v>2429</v>
      </c>
      <c r="G579" s="5" t="s">
        <v>2430</v>
      </c>
      <c r="H579" t="s">
        <v>47</v>
      </c>
      <c r="I579" t="s">
        <v>47</v>
      </c>
      <c r="J579" t="s">
        <v>47</v>
      </c>
      <c r="K579" t="s">
        <v>47</v>
      </c>
      <c r="L579" s="5" t="s">
        <v>60</v>
      </c>
      <c r="M579" t="s">
        <v>47</v>
      </c>
      <c r="N579" t="s">
        <v>47</v>
      </c>
      <c r="O579" t="s">
        <v>47</v>
      </c>
      <c r="P579" t="s">
        <v>47</v>
      </c>
      <c r="Q579" t="s">
        <v>47</v>
      </c>
      <c r="R579" t="s">
        <v>47</v>
      </c>
      <c r="S579" t="s">
        <v>47</v>
      </c>
      <c r="T579" t="s">
        <v>47</v>
      </c>
      <c r="U579" t="s">
        <v>47</v>
      </c>
      <c r="V579" t="s">
        <v>47</v>
      </c>
      <c r="W579" s="3">
        <v>29190</v>
      </c>
      <c r="X579" s="5" t="s">
        <v>50</v>
      </c>
      <c r="Y579" t="s">
        <v>47</v>
      </c>
      <c r="Z579" s="3">
        <v>29190</v>
      </c>
      <c r="AA579" s="5" t="s">
        <v>50</v>
      </c>
      <c r="AB579" t="s">
        <v>47</v>
      </c>
      <c r="AC579" s="3">
        <v>29190</v>
      </c>
      <c r="AD579" s="5" t="s">
        <v>50</v>
      </c>
      <c r="AE579" t="s">
        <v>47</v>
      </c>
      <c r="AF579" t="s">
        <v>47</v>
      </c>
      <c r="AG579" t="s">
        <v>47</v>
      </c>
      <c r="AH579" t="s">
        <v>47</v>
      </c>
      <c r="AI579" t="s">
        <v>47</v>
      </c>
      <c r="AJ579" t="s">
        <v>47</v>
      </c>
      <c r="AK579" t="s">
        <v>47</v>
      </c>
      <c r="AL579" t="s">
        <v>47</v>
      </c>
      <c r="AM579" t="s">
        <v>47</v>
      </c>
      <c r="AN579" t="s">
        <v>47</v>
      </c>
      <c r="AO579" s="5" t="s">
        <v>60</v>
      </c>
      <c r="AP579" s="4" t="s">
        <v>61</v>
      </c>
      <c r="AQ579" s="4" t="s">
        <v>53</v>
      </c>
      <c r="AR579" s="4" t="s">
        <v>2431</v>
      </c>
      <c r="AS579" s="5">
        <v>47590</v>
      </c>
      <c r="AT579" t="s">
        <v>47</v>
      </c>
    </row>
    <row r="580" spans="1:46" ht="78" x14ac:dyDescent="0.3">
      <c r="A580" s="4" t="s">
        <v>2432</v>
      </c>
      <c r="B580" t="s">
        <v>47</v>
      </c>
      <c r="C580" s="4" t="s">
        <v>2433</v>
      </c>
      <c r="D580" s="4" t="s">
        <v>2434</v>
      </c>
      <c r="E580" s="4" t="s">
        <v>49</v>
      </c>
      <c r="F580" s="5" t="s">
        <v>2435</v>
      </c>
      <c r="G580" s="5" t="s">
        <v>2436</v>
      </c>
      <c r="H580" t="s">
        <v>47</v>
      </c>
      <c r="I580" s="3">
        <v>33085</v>
      </c>
      <c r="J580" s="5" t="s">
        <v>50</v>
      </c>
      <c r="K580" t="s">
        <v>47</v>
      </c>
      <c r="L580" s="5" t="s">
        <v>51</v>
      </c>
      <c r="M580" s="3">
        <v>33085</v>
      </c>
      <c r="N580" s="5" t="s">
        <v>50</v>
      </c>
      <c r="O580" t="s">
        <v>47</v>
      </c>
      <c r="P580" t="s">
        <v>47</v>
      </c>
      <c r="Q580" t="s">
        <v>47</v>
      </c>
      <c r="R580" t="s">
        <v>47</v>
      </c>
      <c r="S580" t="s">
        <v>47</v>
      </c>
      <c r="T580" t="s">
        <v>47</v>
      </c>
      <c r="U580" t="s">
        <v>47</v>
      </c>
      <c r="V580" t="s">
        <v>47</v>
      </c>
      <c r="W580" s="3">
        <v>33085</v>
      </c>
      <c r="X580" s="5" t="s">
        <v>50</v>
      </c>
      <c r="Y580" t="s">
        <v>47</v>
      </c>
      <c r="Z580" s="3">
        <v>33085</v>
      </c>
      <c r="AA580" s="5" t="s">
        <v>50</v>
      </c>
      <c r="AB580" t="s">
        <v>47</v>
      </c>
      <c r="AC580" s="3">
        <v>33085</v>
      </c>
      <c r="AD580" s="5" t="s">
        <v>50</v>
      </c>
      <c r="AE580" t="s">
        <v>47</v>
      </c>
      <c r="AF580" t="s">
        <v>47</v>
      </c>
      <c r="AG580" t="s">
        <v>47</v>
      </c>
      <c r="AH580" t="s">
        <v>47</v>
      </c>
      <c r="AI580" t="s">
        <v>47</v>
      </c>
      <c r="AJ580" t="s">
        <v>47</v>
      </c>
      <c r="AK580" t="s">
        <v>47</v>
      </c>
      <c r="AL580" t="s">
        <v>47</v>
      </c>
      <c r="AM580" t="s">
        <v>47</v>
      </c>
      <c r="AN580" t="s">
        <v>47</v>
      </c>
      <c r="AO580" s="5" t="s">
        <v>51</v>
      </c>
      <c r="AP580" s="4" t="s">
        <v>135</v>
      </c>
      <c r="AQ580" t="s">
        <v>47</v>
      </c>
      <c r="AR580" s="4" t="s">
        <v>2437</v>
      </c>
      <c r="AS580" s="5">
        <v>26660</v>
      </c>
      <c r="AT580" t="s">
        <v>47</v>
      </c>
    </row>
    <row r="581" spans="1:46" ht="13" x14ac:dyDescent="0.3">
      <c r="A581" s="4" t="s">
        <v>2438</v>
      </c>
      <c r="B581" t="s">
        <v>47</v>
      </c>
      <c r="C581" s="4" t="s">
        <v>601</v>
      </c>
      <c r="D581" s="4" t="s">
        <v>602</v>
      </c>
      <c r="E581" s="4" t="s">
        <v>603</v>
      </c>
      <c r="F581" s="5" t="s">
        <v>2439</v>
      </c>
      <c r="G581" s="5" t="s">
        <v>2440</v>
      </c>
      <c r="H581" t="s">
        <v>47</v>
      </c>
      <c r="I581" s="3">
        <v>40544</v>
      </c>
      <c r="J581" s="5" t="s">
        <v>50</v>
      </c>
      <c r="K581" t="s">
        <v>47</v>
      </c>
      <c r="L581" s="5" t="s">
        <v>60</v>
      </c>
      <c r="M581" s="3">
        <v>40544</v>
      </c>
      <c r="N581" s="3">
        <v>43101</v>
      </c>
      <c r="O581" t="s">
        <v>47</v>
      </c>
      <c r="P581" s="3">
        <v>40544</v>
      </c>
      <c r="Q581" s="5" t="s">
        <v>50</v>
      </c>
      <c r="R581" t="s">
        <v>47</v>
      </c>
      <c r="S581" t="s">
        <v>47</v>
      </c>
      <c r="T581" t="s">
        <v>47</v>
      </c>
      <c r="U581" t="s">
        <v>47</v>
      </c>
      <c r="V581" t="s">
        <v>47</v>
      </c>
      <c r="W581" s="3">
        <v>40544</v>
      </c>
      <c r="X581" s="5" t="s">
        <v>50</v>
      </c>
      <c r="Y581" t="s">
        <v>47</v>
      </c>
      <c r="Z581" s="3">
        <v>40544</v>
      </c>
      <c r="AA581" s="5" t="s">
        <v>50</v>
      </c>
      <c r="AB581" t="s">
        <v>47</v>
      </c>
      <c r="AC581" s="3">
        <v>40544</v>
      </c>
      <c r="AD581" s="5" t="s">
        <v>50</v>
      </c>
      <c r="AE581" t="s">
        <v>47</v>
      </c>
      <c r="AF581" t="s">
        <v>47</v>
      </c>
      <c r="AG581" t="s">
        <v>47</v>
      </c>
      <c r="AH581" t="s">
        <v>47</v>
      </c>
      <c r="AI581" t="s">
        <v>47</v>
      </c>
      <c r="AJ581" t="s">
        <v>47</v>
      </c>
      <c r="AK581" t="s">
        <v>47</v>
      </c>
      <c r="AL581" t="s">
        <v>47</v>
      </c>
      <c r="AM581" t="s">
        <v>47</v>
      </c>
      <c r="AN581" t="s">
        <v>47</v>
      </c>
      <c r="AO581" s="5" t="s">
        <v>60</v>
      </c>
      <c r="AP581" s="4" t="s">
        <v>61</v>
      </c>
      <c r="AQ581" s="4" t="s">
        <v>119</v>
      </c>
      <c r="AR581" s="4" t="s">
        <v>54</v>
      </c>
      <c r="AS581" s="5">
        <v>2032100</v>
      </c>
      <c r="AT581" t="s">
        <v>47</v>
      </c>
    </row>
    <row r="582" spans="1:46" ht="13" x14ac:dyDescent="0.3">
      <c r="A582" s="4" t="s">
        <v>2441</v>
      </c>
      <c r="B582" t="s">
        <v>47</v>
      </c>
      <c r="C582" s="4" t="s">
        <v>169</v>
      </c>
      <c r="D582" s="4" t="s">
        <v>139</v>
      </c>
      <c r="E582" s="4" t="s">
        <v>66</v>
      </c>
      <c r="F582" s="5" t="s">
        <v>2442</v>
      </c>
      <c r="G582" s="5" t="s">
        <v>2443</v>
      </c>
      <c r="H582" t="s">
        <v>47</v>
      </c>
      <c r="I582" t="s">
        <v>47</v>
      </c>
      <c r="J582" t="s">
        <v>47</v>
      </c>
      <c r="K582" t="s">
        <v>47</v>
      </c>
      <c r="L582" s="5" t="s">
        <v>60</v>
      </c>
      <c r="M582" t="s">
        <v>47</v>
      </c>
      <c r="N582" t="s">
        <v>47</v>
      </c>
      <c r="O582" t="s">
        <v>47</v>
      </c>
      <c r="P582" t="s">
        <v>47</v>
      </c>
      <c r="Q582" t="s">
        <v>47</v>
      </c>
      <c r="R582" t="s">
        <v>47</v>
      </c>
      <c r="S582" t="s">
        <v>47</v>
      </c>
      <c r="T582" t="s">
        <v>47</v>
      </c>
      <c r="U582" t="s">
        <v>47</v>
      </c>
      <c r="V582" t="s">
        <v>47</v>
      </c>
      <c r="W582" s="3">
        <v>40179</v>
      </c>
      <c r="X582" s="5" t="s">
        <v>50</v>
      </c>
      <c r="Y582" t="s">
        <v>47</v>
      </c>
      <c r="Z582" s="3">
        <v>40179</v>
      </c>
      <c r="AA582" s="5" t="s">
        <v>50</v>
      </c>
      <c r="AB582" t="s">
        <v>47</v>
      </c>
      <c r="AC582" s="3">
        <v>40179</v>
      </c>
      <c r="AD582" s="5" t="s">
        <v>50</v>
      </c>
      <c r="AE582" t="s">
        <v>47</v>
      </c>
      <c r="AF582" t="s">
        <v>47</v>
      </c>
      <c r="AG582" t="s">
        <v>47</v>
      </c>
      <c r="AH582" t="s">
        <v>47</v>
      </c>
      <c r="AI582" t="s">
        <v>47</v>
      </c>
      <c r="AJ582" t="s">
        <v>47</v>
      </c>
      <c r="AK582" t="s">
        <v>47</v>
      </c>
      <c r="AL582" t="s">
        <v>47</v>
      </c>
      <c r="AM582" t="s">
        <v>47</v>
      </c>
      <c r="AN582" t="s">
        <v>47</v>
      </c>
      <c r="AO582" s="5" t="s">
        <v>60</v>
      </c>
      <c r="AP582" s="4" t="s">
        <v>61</v>
      </c>
      <c r="AQ582" s="4" t="s">
        <v>53</v>
      </c>
      <c r="AR582" s="4" t="s">
        <v>54</v>
      </c>
      <c r="AS582" s="5">
        <v>426768</v>
      </c>
      <c r="AT582" t="s">
        <v>47</v>
      </c>
    </row>
    <row r="583" spans="1:46" ht="13" x14ac:dyDescent="0.3">
      <c r="A583" s="4" t="s">
        <v>2444</v>
      </c>
      <c r="B583" t="s">
        <v>47</v>
      </c>
      <c r="C583" s="4" t="s">
        <v>397</v>
      </c>
      <c r="D583" s="4" t="s">
        <v>1241</v>
      </c>
      <c r="E583" s="4" t="s">
        <v>66</v>
      </c>
      <c r="F583" s="5" t="s">
        <v>2445</v>
      </c>
      <c r="G583" s="5" t="s">
        <v>2446</v>
      </c>
      <c r="H583" t="s">
        <v>47</v>
      </c>
      <c r="I583" s="3">
        <v>38322</v>
      </c>
      <c r="J583" s="5" t="s">
        <v>50</v>
      </c>
      <c r="K583" s="5" t="s">
        <v>2447</v>
      </c>
      <c r="L583" s="5" t="s">
        <v>60</v>
      </c>
      <c r="M583" s="3">
        <v>38322</v>
      </c>
      <c r="N583" s="5" t="s">
        <v>50</v>
      </c>
      <c r="O583" s="5" t="s">
        <v>2448</v>
      </c>
      <c r="P583" s="3">
        <v>38322</v>
      </c>
      <c r="Q583" s="5" t="s">
        <v>50</v>
      </c>
      <c r="R583" s="5" t="s">
        <v>2449</v>
      </c>
      <c r="S583" t="s">
        <v>47</v>
      </c>
      <c r="T583" t="s">
        <v>47</v>
      </c>
      <c r="U583" t="s">
        <v>47</v>
      </c>
      <c r="V583" s="5">
        <v>365</v>
      </c>
      <c r="W583" s="3">
        <v>38322</v>
      </c>
      <c r="X583" s="5" t="s">
        <v>50</v>
      </c>
      <c r="Y583" t="s">
        <v>47</v>
      </c>
      <c r="Z583" s="3">
        <v>38322</v>
      </c>
      <c r="AA583" s="5" t="s">
        <v>50</v>
      </c>
      <c r="AB583" t="s">
        <v>47</v>
      </c>
      <c r="AC583" s="3">
        <v>38322</v>
      </c>
      <c r="AD583" s="5" t="s">
        <v>50</v>
      </c>
      <c r="AE583" t="s">
        <v>47</v>
      </c>
      <c r="AF583" t="s">
        <v>47</v>
      </c>
      <c r="AG583" t="s">
        <v>47</v>
      </c>
      <c r="AH583" t="s">
        <v>47</v>
      </c>
      <c r="AI583" t="s">
        <v>47</v>
      </c>
      <c r="AJ583" t="s">
        <v>47</v>
      </c>
      <c r="AK583" t="s">
        <v>47</v>
      </c>
      <c r="AL583" t="s">
        <v>47</v>
      </c>
      <c r="AM583" t="s">
        <v>47</v>
      </c>
      <c r="AN583" t="s">
        <v>47</v>
      </c>
      <c r="AO583" s="5" t="s">
        <v>60</v>
      </c>
      <c r="AP583" s="4" t="s">
        <v>61</v>
      </c>
      <c r="AQ583" s="4" t="s">
        <v>53</v>
      </c>
      <c r="AR583" s="4" t="s">
        <v>54</v>
      </c>
      <c r="AS583" s="5">
        <v>7994</v>
      </c>
      <c r="AT583" t="s">
        <v>47</v>
      </c>
    </row>
    <row r="584" spans="1:46" ht="13" x14ac:dyDescent="0.3">
      <c r="A584" s="4" t="s">
        <v>2450</v>
      </c>
      <c r="B584" t="s">
        <v>47</v>
      </c>
      <c r="C584" s="4" t="s">
        <v>115</v>
      </c>
      <c r="D584" s="4" t="s">
        <v>2451</v>
      </c>
      <c r="E584" s="4" t="s">
        <v>66</v>
      </c>
      <c r="F584" s="5" t="s">
        <v>2452</v>
      </c>
      <c r="G584" s="5" t="s">
        <v>2453</v>
      </c>
      <c r="H584" t="s">
        <v>47</v>
      </c>
      <c r="I584" s="3">
        <v>37987</v>
      </c>
      <c r="J584" s="5" t="s">
        <v>50</v>
      </c>
      <c r="K584" t="s">
        <v>47</v>
      </c>
      <c r="L584" s="5" t="s">
        <v>60</v>
      </c>
      <c r="M584" s="3">
        <v>40544</v>
      </c>
      <c r="N584" s="5" t="s">
        <v>50</v>
      </c>
      <c r="O584" t="s">
        <v>47</v>
      </c>
      <c r="P584" s="3">
        <v>37987</v>
      </c>
      <c r="Q584" s="5" t="s">
        <v>50</v>
      </c>
      <c r="R584" t="s">
        <v>47</v>
      </c>
      <c r="S584" t="s">
        <v>47</v>
      </c>
      <c r="T584" t="s">
        <v>47</v>
      </c>
      <c r="U584" t="s">
        <v>47</v>
      </c>
      <c r="V584" s="5">
        <v>365</v>
      </c>
      <c r="W584" s="3">
        <v>37987</v>
      </c>
      <c r="X584" s="5" t="s">
        <v>50</v>
      </c>
      <c r="Y584" t="s">
        <v>47</v>
      </c>
      <c r="Z584" s="3">
        <v>37987</v>
      </c>
      <c r="AA584" s="5" t="s">
        <v>50</v>
      </c>
      <c r="AB584" t="s">
        <v>47</v>
      </c>
      <c r="AC584" s="3">
        <v>37987</v>
      </c>
      <c r="AD584" s="5" t="s">
        <v>50</v>
      </c>
      <c r="AE584" t="s">
        <v>47</v>
      </c>
      <c r="AF584" t="s">
        <v>47</v>
      </c>
      <c r="AG584" t="s">
        <v>47</v>
      </c>
      <c r="AH584" t="s">
        <v>47</v>
      </c>
      <c r="AI584" t="s">
        <v>47</v>
      </c>
      <c r="AJ584" t="s">
        <v>47</v>
      </c>
      <c r="AK584" t="s">
        <v>47</v>
      </c>
      <c r="AL584" t="s">
        <v>47</v>
      </c>
      <c r="AM584" t="s">
        <v>47</v>
      </c>
      <c r="AN584" t="s">
        <v>47</v>
      </c>
      <c r="AO584" s="5" t="s">
        <v>60</v>
      </c>
      <c r="AP584" s="4" t="s">
        <v>61</v>
      </c>
      <c r="AQ584" s="4" t="s">
        <v>53</v>
      </c>
      <c r="AR584" s="4" t="s">
        <v>54</v>
      </c>
      <c r="AS584" s="5">
        <v>1386347</v>
      </c>
      <c r="AT584" t="s">
        <v>47</v>
      </c>
    </row>
    <row r="585" spans="1:46" ht="65" x14ac:dyDescent="0.3">
      <c r="A585" s="4" t="s">
        <v>2454</v>
      </c>
      <c r="B585" t="s">
        <v>47</v>
      </c>
      <c r="C585" s="4" t="s">
        <v>2455</v>
      </c>
      <c r="D585" s="4" t="s">
        <v>2022</v>
      </c>
      <c r="E585" s="4" t="s">
        <v>49</v>
      </c>
      <c r="F585" s="5" t="s">
        <v>2456</v>
      </c>
      <c r="G585" t="s">
        <v>47</v>
      </c>
      <c r="H585" t="s">
        <v>47</v>
      </c>
      <c r="I585" s="3">
        <v>42736</v>
      </c>
      <c r="J585" s="5" t="s">
        <v>50</v>
      </c>
      <c r="K585" s="5" t="s">
        <v>537</v>
      </c>
      <c r="L585" s="5" t="s">
        <v>60</v>
      </c>
      <c r="M585" t="s">
        <v>47</v>
      </c>
      <c r="N585" t="s">
        <v>47</v>
      </c>
      <c r="O585" t="s">
        <v>47</v>
      </c>
      <c r="P585" s="3">
        <v>42736</v>
      </c>
      <c r="Q585" s="5" t="s">
        <v>50</v>
      </c>
      <c r="R585" s="5" t="s">
        <v>537</v>
      </c>
      <c r="S585" t="s">
        <v>47</v>
      </c>
      <c r="T585" t="s">
        <v>47</v>
      </c>
      <c r="U585" t="s">
        <v>47</v>
      </c>
      <c r="V585" t="s">
        <v>47</v>
      </c>
      <c r="W585" s="3">
        <v>42736</v>
      </c>
      <c r="X585" s="5" t="s">
        <v>50</v>
      </c>
      <c r="Y585" t="s">
        <v>47</v>
      </c>
      <c r="Z585" s="3">
        <v>42736</v>
      </c>
      <c r="AA585" s="5" t="s">
        <v>50</v>
      </c>
      <c r="AB585" t="s">
        <v>47</v>
      </c>
      <c r="AC585" s="3">
        <v>42736</v>
      </c>
      <c r="AD585" s="5" t="s">
        <v>50</v>
      </c>
      <c r="AE585" t="s">
        <v>47</v>
      </c>
      <c r="AF585" t="s">
        <v>47</v>
      </c>
      <c r="AG585" t="s">
        <v>47</v>
      </c>
      <c r="AH585" t="s">
        <v>47</v>
      </c>
      <c r="AI585" t="s">
        <v>47</v>
      </c>
      <c r="AJ585" t="s">
        <v>47</v>
      </c>
      <c r="AK585" t="s">
        <v>47</v>
      </c>
      <c r="AL585" t="s">
        <v>47</v>
      </c>
      <c r="AM585" t="s">
        <v>47</v>
      </c>
      <c r="AN585" t="s">
        <v>47</v>
      </c>
      <c r="AO585" s="5" t="s">
        <v>51</v>
      </c>
      <c r="AP585" s="4" t="s">
        <v>61</v>
      </c>
      <c r="AQ585" s="4" t="s">
        <v>53</v>
      </c>
      <c r="AR585" s="4" t="s">
        <v>543</v>
      </c>
      <c r="AS585" s="5">
        <v>4661817</v>
      </c>
      <c r="AT585" t="s">
        <v>47</v>
      </c>
    </row>
    <row r="586" spans="1:46" ht="104" x14ac:dyDescent="0.3">
      <c r="A586" s="4" t="s">
        <v>2457</v>
      </c>
      <c r="B586" t="s">
        <v>47</v>
      </c>
      <c r="C586" t="s">
        <v>47</v>
      </c>
      <c r="D586" s="4" t="s">
        <v>70</v>
      </c>
      <c r="E586" t="s">
        <v>47</v>
      </c>
      <c r="F586" s="5" t="s">
        <v>2458</v>
      </c>
      <c r="G586" t="s">
        <v>47</v>
      </c>
      <c r="H586" t="s">
        <v>47</v>
      </c>
      <c r="I586" s="3">
        <v>36617</v>
      </c>
      <c r="J586" s="3">
        <v>43374</v>
      </c>
      <c r="K586" t="s">
        <v>47</v>
      </c>
      <c r="L586" s="5" t="s">
        <v>51</v>
      </c>
      <c r="M586" s="3">
        <v>36800</v>
      </c>
      <c r="N586" s="3">
        <v>43374</v>
      </c>
      <c r="O586" t="s">
        <v>47</v>
      </c>
      <c r="P586" s="3">
        <v>36617</v>
      </c>
      <c r="Q586" s="3">
        <v>43374</v>
      </c>
      <c r="R586" t="s">
        <v>47</v>
      </c>
      <c r="S586" t="s">
        <v>47</v>
      </c>
      <c r="T586" t="s">
        <v>47</v>
      </c>
      <c r="U586" t="s">
        <v>47</v>
      </c>
      <c r="V586" t="s">
        <v>47</v>
      </c>
      <c r="W586" s="3">
        <v>36617</v>
      </c>
      <c r="X586" s="3">
        <v>43374</v>
      </c>
      <c r="Y586" t="s">
        <v>47</v>
      </c>
      <c r="Z586" s="3">
        <v>36617</v>
      </c>
      <c r="AA586" s="3">
        <v>43374</v>
      </c>
      <c r="AB586" t="s">
        <v>47</v>
      </c>
      <c r="AC586" s="3">
        <v>38078</v>
      </c>
      <c r="AD586" s="3">
        <v>43374</v>
      </c>
      <c r="AE586" t="s">
        <v>47</v>
      </c>
      <c r="AF586" t="s">
        <v>47</v>
      </c>
      <c r="AG586" t="s">
        <v>47</v>
      </c>
      <c r="AH586" t="s">
        <v>47</v>
      </c>
      <c r="AI586" t="s">
        <v>47</v>
      </c>
      <c r="AJ586" t="s">
        <v>47</v>
      </c>
      <c r="AK586" t="s">
        <v>47</v>
      </c>
      <c r="AL586" t="s">
        <v>47</v>
      </c>
      <c r="AM586" t="s">
        <v>47</v>
      </c>
      <c r="AN586" t="s">
        <v>47</v>
      </c>
      <c r="AO586" s="5" t="s">
        <v>51</v>
      </c>
      <c r="AP586" s="4" t="s">
        <v>135</v>
      </c>
      <c r="AQ586" s="4" t="s">
        <v>53</v>
      </c>
      <c r="AR586" s="4" t="s">
        <v>2459</v>
      </c>
      <c r="AS586" s="5">
        <v>46643</v>
      </c>
      <c r="AT586" t="s">
        <v>47</v>
      </c>
    </row>
    <row r="587" spans="1:46" ht="65" x14ac:dyDescent="0.3">
      <c r="A587" s="4" t="s">
        <v>2460</v>
      </c>
      <c r="B587" t="s">
        <v>47</v>
      </c>
      <c r="C587" s="4" t="s">
        <v>2461</v>
      </c>
      <c r="D587" s="4" t="s">
        <v>1420</v>
      </c>
      <c r="E587" s="4" t="s">
        <v>49</v>
      </c>
      <c r="F587" s="5" t="s">
        <v>2462</v>
      </c>
      <c r="G587" t="s">
        <v>47</v>
      </c>
      <c r="H587" t="s">
        <v>47</v>
      </c>
      <c r="I587" s="3">
        <v>33604</v>
      </c>
      <c r="J587" s="5" t="s">
        <v>50</v>
      </c>
      <c r="K587" t="s">
        <v>47</v>
      </c>
      <c r="L587" s="5" t="s">
        <v>51</v>
      </c>
      <c r="M587" s="3">
        <v>35004</v>
      </c>
      <c r="N587" s="5" t="s">
        <v>50</v>
      </c>
      <c r="O587" t="s">
        <v>47</v>
      </c>
      <c r="P587" s="3">
        <v>33604</v>
      </c>
      <c r="Q587" s="5" t="s">
        <v>50</v>
      </c>
      <c r="R587" t="s">
        <v>47</v>
      </c>
      <c r="S587" t="s">
        <v>47</v>
      </c>
      <c r="T587" t="s">
        <v>47</v>
      </c>
      <c r="U587" t="s">
        <v>47</v>
      </c>
      <c r="V587" t="s">
        <v>47</v>
      </c>
      <c r="W587" s="3">
        <v>32143</v>
      </c>
      <c r="X587" s="5" t="s">
        <v>50</v>
      </c>
      <c r="Y587" t="s">
        <v>47</v>
      </c>
      <c r="Z587" s="3">
        <v>32143</v>
      </c>
      <c r="AA587" s="5" t="s">
        <v>50</v>
      </c>
      <c r="AB587" t="s">
        <v>47</v>
      </c>
      <c r="AC587" s="3">
        <v>32143</v>
      </c>
      <c r="AD587" s="5" t="s">
        <v>50</v>
      </c>
      <c r="AE587" t="s">
        <v>47</v>
      </c>
      <c r="AF587" t="s">
        <v>47</v>
      </c>
      <c r="AG587" t="s">
        <v>47</v>
      </c>
      <c r="AH587" t="s">
        <v>47</v>
      </c>
      <c r="AI587" t="s">
        <v>47</v>
      </c>
      <c r="AJ587" t="s">
        <v>47</v>
      </c>
      <c r="AK587" t="s">
        <v>47</v>
      </c>
      <c r="AL587" t="s">
        <v>47</v>
      </c>
      <c r="AM587" t="s">
        <v>47</v>
      </c>
      <c r="AN587" t="s">
        <v>47</v>
      </c>
      <c r="AO587" s="5" t="s">
        <v>51</v>
      </c>
      <c r="AP587" s="4" t="s">
        <v>85</v>
      </c>
      <c r="AQ587" s="4" t="s">
        <v>53</v>
      </c>
      <c r="AR587" s="4" t="s">
        <v>2463</v>
      </c>
      <c r="AS587" s="5">
        <v>41564</v>
      </c>
      <c r="AT587" t="s">
        <v>47</v>
      </c>
    </row>
    <row r="588" spans="1:46" ht="52" x14ac:dyDescent="0.3">
      <c r="A588" s="4" t="s">
        <v>2464</v>
      </c>
      <c r="B588" t="s">
        <v>47</v>
      </c>
      <c r="C588" s="4" t="s">
        <v>2465</v>
      </c>
      <c r="D588" s="4" t="s">
        <v>2466</v>
      </c>
      <c r="E588" s="4" t="s">
        <v>66</v>
      </c>
      <c r="F588" t="s">
        <v>47</v>
      </c>
      <c r="G588" t="s">
        <v>47</v>
      </c>
      <c r="H588" s="5" t="s">
        <v>2467</v>
      </c>
      <c r="I588" s="3">
        <v>40179</v>
      </c>
      <c r="J588" s="3">
        <v>40179</v>
      </c>
      <c r="K588" t="s">
        <v>47</v>
      </c>
      <c r="L588" s="5" t="s">
        <v>51</v>
      </c>
      <c r="M588" s="3">
        <v>40179</v>
      </c>
      <c r="N588" s="3">
        <v>40179</v>
      </c>
      <c r="O588" t="s">
        <v>47</v>
      </c>
      <c r="P588" s="3">
        <v>40179</v>
      </c>
      <c r="Q588" s="3">
        <v>40179</v>
      </c>
      <c r="R588" t="s">
        <v>47</v>
      </c>
      <c r="S588" t="s">
        <v>47</v>
      </c>
      <c r="T588" t="s">
        <v>47</v>
      </c>
      <c r="U588" t="s">
        <v>47</v>
      </c>
      <c r="V588" t="s">
        <v>47</v>
      </c>
      <c r="W588" s="3">
        <v>40179</v>
      </c>
      <c r="X588" s="3">
        <v>40179</v>
      </c>
      <c r="Y588" t="s">
        <v>47</v>
      </c>
      <c r="Z588" s="3">
        <v>40179</v>
      </c>
      <c r="AA588" s="3">
        <v>40179</v>
      </c>
      <c r="AB588" t="s">
        <v>47</v>
      </c>
      <c r="AC588" s="3">
        <v>40179</v>
      </c>
      <c r="AD588" s="3">
        <v>40179</v>
      </c>
      <c r="AE588" t="s">
        <v>47</v>
      </c>
      <c r="AF588" t="s">
        <v>47</v>
      </c>
      <c r="AG588" t="s">
        <v>47</v>
      </c>
      <c r="AH588" t="s">
        <v>47</v>
      </c>
      <c r="AI588" t="s">
        <v>47</v>
      </c>
      <c r="AJ588" t="s">
        <v>47</v>
      </c>
      <c r="AK588" t="s">
        <v>47</v>
      </c>
      <c r="AL588" t="s">
        <v>47</v>
      </c>
      <c r="AM588" t="s">
        <v>47</v>
      </c>
      <c r="AN588" t="s">
        <v>47</v>
      </c>
      <c r="AO588" s="5" t="s">
        <v>51</v>
      </c>
      <c r="AP588" s="4" t="s">
        <v>1170</v>
      </c>
      <c r="AQ588" s="4" t="s">
        <v>53</v>
      </c>
      <c r="AR588" s="4" t="s">
        <v>2468</v>
      </c>
      <c r="AS588" s="5">
        <v>105962</v>
      </c>
      <c r="AT588" t="s">
        <v>47</v>
      </c>
    </row>
    <row r="589" spans="1:46" ht="39" x14ac:dyDescent="0.3">
      <c r="A589" s="4" t="s">
        <v>2469</v>
      </c>
      <c r="B589" t="s">
        <v>47</v>
      </c>
      <c r="C589" s="4" t="s">
        <v>747</v>
      </c>
      <c r="D589" s="4" t="s">
        <v>748</v>
      </c>
      <c r="E589" s="4" t="s">
        <v>66</v>
      </c>
      <c r="F589" s="5" t="s">
        <v>2470</v>
      </c>
      <c r="G589" s="5" t="s">
        <v>2471</v>
      </c>
      <c r="H589" t="s">
        <v>47</v>
      </c>
      <c r="I589" t="s">
        <v>47</v>
      </c>
      <c r="J589" t="s">
        <v>47</v>
      </c>
      <c r="K589" t="s">
        <v>47</v>
      </c>
      <c r="L589" s="5" t="s">
        <v>60</v>
      </c>
      <c r="M589" t="s">
        <v>47</v>
      </c>
      <c r="N589" t="s">
        <v>47</v>
      </c>
      <c r="O589" t="s">
        <v>47</v>
      </c>
      <c r="P589" t="s">
        <v>47</v>
      </c>
      <c r="Q589" t="s">
        <v>47</v>
      </c>
      <c r="R589" t="s">
        <v>47</v>
      </c>
      <c r="S589" t="s">
        <v>47</v>
      </c>
      <c r="T589" t="s">
        <v>47</v>
      </c>
      <c r="U589" t="s">
        <v>47</v>
      </c>
      <c r="V589" t="s">
        <v>47</v>
      </c>
      <c r="W589" s="3">
        <v>32143</v>
      </c>
      <c r="X589" s="3">
        <v>43831</v>
      </c>
      <c r="Y589" t="s">
        <v>47</v>
      </c>
      <c r="Z589" s="3">
        <v>32143</v>
      </c>
      <c r="AA589" s="3">
        <v>43831</v>
      </c>
      <c r="AB589" t="s">
        <v>47</v>
      </c>
      <c r="AC589" s="3">
        <v>32143</v>
      </c>
      <c r="AD589" s="3">
        <v>43831</v>
      </c>
      <c r="AE589" t="s">
        <v>47</v>
      </c>
      <c r="AF589" t="s">
        <v>47</v>
      </c>
      <c r="AG589" t="s">
        <v>47</v>
      </c>
      <c r="AH589" t="s">
        <v>47</v>
      </c>
      <c r="AI589" t="s">
        <v>47</v>
      </c>
      <c r="AJ589" t="s">
        <v>47</v>
      </c>
      <c r="AK589" t="s">
        <v>47</v>
      </c>
      <c r="AL589" t="s">
        <v>47</v>
      </c>
      <c r="AM589" t="s">
        <v>47</v>
      </c>
      <c r="AN589" t="s">
        <v>47</v>
      </c>
      <c r="AO589" s="5" t="s">
        <v>60</v>
      </c>
      <c r="AP589" s="4" t="s">
        <v>61</v>
      </c>
      <c r="AQ589" s="4" t="s">
        <v>53</v>
      </c>
      <c r="AR589" s="4" t="s">
        <v>2472</v>
      </c>
      <c r="AS589" s="5">
        <v>47999</v>
      </c>
      <c r="AT589" t="s">
        <v>47</v>
      </c>
    </row>
    <row r="590" spans="1:46" ht="52" x14ac:dyDescent="0.3">
      <c r="A590" s="4" t="s">
        <v>2473</v>
      </c>
      <c r="B590" t="s">
        <v>47</v>
      </c>
      <c r="C590" s="4" t="s">
        <v>2474</v>
      </c>
      <c r="D590" s="4" t="s">
        <v>785</v>
      </c>
      <c r="E590" s="4" t="s">
        <v>1621</v>
      </c>
      <c r="F590" s="5" t="s">
        <v>2475</v>
      </c>
      <c r="G590" s="5" t="s">
        <v>2476</v>
      </c>
      <c r="H590" t="s">
        <v>47</v>
      </c>
      <c r="I590" s="3">
        <v>35431</v>
      </c>
      <c r="J590" s="3">
        <v>42278</v>
      </c>
      <c r="K590" t="s">
        <v>47</v>
      </c>
      <c r="L590" s="5" t="s">
        <v>60</v>
      </c>
      <c r="M590" s="3">
        <v>35431</v>
      </c>
      <c r="N590" s="3">
        <v>37865</v>
      </c>
      <c r="O590" t="s">
        <v>47</v>
      </c>
      <c r="P590" s="3">
        <v>35431</v>
      </c>
      <c r="Q590" s="3">
        <v>42278</v>
      </c>
      <c r="R590" t="s">
        <v>47</v>
      </c>
      <c r="S590" t="s">
        <v>47</v>
      </c>
      <c r="T590" t="s">
        <v>47</v>
      </c>
      <c r="U590" t="s">
        <v>47</v>
      </c>
      <c r="V590" t="s">
        <v>47</v>
      </c>
      <c r="W590" s="3">
        <v>33604</v>
      </c>
      <c r="X590" s="3">
        <v>43313</v>
      </c>
      <c r="Y590" t="s">
        <v>47</v>
      </c>
      <c r="Z590" s="3">
        <v>33604</v>
      </c>
      <c r="AA590" s="3">
        <v>43313</v>
      </c>
      <c r="AB590" t="s">
        <v>47</v>
      </c>
      <c r="AC590" s="3">
        <v>37926</v>
      </c>
      <c r="AD590" s="3">
        <v>43313</v>
      </c>
      <c r="AE590" t="s">
        <v>47</v>
      </c>
      <c r="AF590" t="s">
        <v>47</v>
      </c>
      <c r="AG590" t="s">
        <v>47</v>
      </c>
      <c r="AH590" t="s">
        <v>47</v>
      </c>
      <c r="AI590" t="s">
        <v>47</v>
      </c>
      <c r="AJ590" t="s">
        <v>47</v>
      </c>
      <c r="AK590" t="s">
        <v>47</v>
      </c>
      <c r="AL590" t="s">
        <v>47</v>
      </c>
      <c r="AM590" t="s">
        <v>47</v>
      </c>
      <c r="AN590" t="s">
        <v>47</v>
      </c>
      <c r="AO590" s="5" t="s">
        <v>60</v>
      </c>
      <c r="AP590" s="4" t="s">
        <v>61</v>
      </c>
      <c r="AQ590" s="4" t="s">
        <v>53</v>
      </c>
      <c r="AR590" s="4" t="s">
        <v>204</v>
      </c>
      <c r="AS590" s="5">
        <v>41080</v>
      </c>
      <c r="AT590" t="s">
        <v>47</v>
      </c>
    </row>
    <row r="591" spans="1:46" ht="104" x14ac:dyDescent="0.3">
      <c r="A591" s="4" t="s">
        <v>2477</v>
      </c>
      <c r="B591" t="s">
        <v>47</v>
      </c>
      <c r="C591" s="4" t="s">
        <v>2478</v>
      </c>
      <c r="D591" s="4" t="s">
        <v>1168</v>
      </c>
      <c r="E591" s="4" t="s">
        <v>49</v>
      </c>
      <c r="F591" s="5" t="s">
        <v>2479</v>
      </c>
      <c r="G591" s="5" t="s">
        <v>2480</v>
      </c>
      <c r="H591" t="s">
        <v>47</v>
      </c>
      <c r="I591" s="3">
        <v>34790</v>
      </c>
      <c r="J591" s="3">
        <v>38534</v>
      </c>
      <c r="K591" s="5" t="s">
        <v>2481</v>
      </c>
      <c r="L591" s="5" t="s">
        <v>60</v>
      </c>
      <c r="M591" s="3">
        <v>35339</v>
      </c>
      <c r="N591" s="3">
        <v>37591</v>
      </c>
      <c r="O591" t="s">
        <v>47</v>
      </c>
      <c r="P591" s="3">
        <v>34790</v>
      </c>
      <c r="Q591" s="3">
        <v>38534</v>
      </c>
      <c r="R591" s="5" t="s">
        <v>2481</v>
      </c>
      <c r="S591" t="s">
        <v>47</v>
      </c>
      <c r="T591" t="s">
        <v>47</v>
      </c>
      <c r="U591" t="s">
        <v>47</v>
      </c>
      <c r="V591" t="s">
        <v>47</v>
      </c>
      <c r="W591" s="3">
        <v>34060</v>
      </c>
      <c r="X591" s="5" t="s">
        <v>50</v>
      </c>
      <c r="Y591" t="s">
        <v>47</v>
      </c>
      <c r="Z591" s="3">
        <v>34060</v>
      </c>
      <c r="AA591" s="5" t="s">
        <v>50</v>
      </c>
      <c r="AB591" t="s">
        <v>47</v>
      </c>
      <c r="AC591" s="3">
        <v>34060</v>
      </c>
      <c r="AD591" s="5" t="s">
        <v>50</v>
      </c>
      <c r="AE591" t="s">
        <v>47</v>
      </c>
      <c r="AF591" t="s">
        <v>47</v>
      </c>
      <c r="AG591" t="s">
        <v>47</v>
      </c>
      <c r="AH591" t="s">
        <v>47</v>
      </c>
      <c r="AI591" t="s">
        <v>47</v>
      </c>
      <c r="AJ591" t="s">
        <v>47</v>
      </c>
      <c r="AK591" t="s">
        <v>47</v>
      </c>
      <c r="AL591" t="s">
        <v>47</v>
      </c>
      <c r="AM591" t="s">
        <v>47</v>
      </c>
      <c r="AN591" t="s">
        <v>47</v>
      </c>
      <c r="AO591" s="5" t="s">
        <v>60</v>
      </c>
      <c r="AP591" s="4" t="s">
        <v>61</v>
      </c>
      <c r="AQ591" s="4" t="s">
        <v>53</v>
      </c>
      <c r="AR591" s="4" t="s">
        <v>2482</v>
      </c>
      <c r="AS591" s="5">
        <v>36983</v>
      </c>
      <c r="AT591" t="s">
        <v>47</v>
      </c>
    </row>
    <row r="592" spans="1:46" ht="78" x14ac:dyDescent="0.3">
      <c r="A592" s="4" t="s">
        <v>2483</v>
      </c>
      <c r="B592" t="s">
        <v>47</v>
      </c>
      <c r="C592" s="4" t="s">
        <v>183</v>
      </c>
      <c r="D592" s="4" t="s">
        <v>333</v>
      </c>
      <c r="E592" s="4" t="s">
        <v>49</v>
      </c>
      <c r="F592" s="5" t="s">
        <v>2484</v>
      </c>
      <c r="G592" s="5" t="s">
        <v>2485</v>
      </c>
      <c r="H592" t="s">
        <v>47</v>
      </c>
      <c r="I592" s="3">
        <v>37956</v>
      </c>
      <c r="J592" s="3">
        <v>39417</v>
      </c>
      <c r="K592" t="s">
        <v>47</v>
      </c>
      <c r="L592" s="5" t="s">
        <v>60</v>
      </c>
      <c r="M592" s="3">
        <v>37956</v>
      </c>
      <c r="N592" s="3">
        <v>39417</v>
      </c>
      <c r="O592" t="s">
        <v>47</v>
      </c>
      <c r="P592" s="3">
        <v>37956</v>
      </c>
      <c r="Q592" s="3">
        <v>39417</v>
      </c>
      <c r="R592" t="s">
        <v>47</v>
      </c>
      <c r="S592" t="s">
        <v>47</v>
      </c>
      <c r="T592" t="s">
        <v>47</v>
      </c>
      <c r="U592" t="s">
        <v>47</v>
      </c>
      <c r="V592" t="s">
        <v>47</v>
      </c>
      <c r="W592" s="3">
        <v>37408</v>
      </c>
      <c r="X592" s="5" t="s">
        <v>50</v>
      </c>
      <c r="Y592" t="s">
        <v>47</v>
      </c>
      <c r="Z592" s="3">
        <v>37408</v>
      </c>
      <c r="AA592" s="5" t="s">
        <v>50</v>
      </c>
      <c r="AB592" t="s">
        <v>47</v>
      </c>
      <c r="AC592" s="3">
        <v>37956</v>
      </c>
      <c r="AD592" s="5" t="s">
        <v>50</v>
      </c>
      <c r="AE592" t="s">
        <v>47</v>
      </c>
      <c r="AF592" t="s">
        <v>47</v>
      </c>
      <c r="AG592" t="s">
        <v>47</v>
      </c>
      <c r="AH592" t="s">
        <v>47</v>
      </c>
      <c r="AI592" t="s">
        <v>47</v>
      </c>
      <c r="AJ592" t="s">
        <v>47</v>
      </c>
      <c r="AK592" t="s">
        <v>47</v>
      </c>
      <c r="AL592" t="s">
        <v>47</v>
      </c>
      <c r="AM592" t="s">
        <v>47</v>
      </c>
      <c r="AN592" t="s">
        <v>47</v>
      </c>
      <c r="AO592" s="5" t="s">
        <v>60</v>
      </c>
      <c r="AP592" s="4" t="s">
        <v>61</v>
      </c>
      <c r="AQ592" s="4" t="s">
        <v>53</v>
      </c>
      <c r="AR592" s="4" t="s">
        <v>2486</v>
      </c>
      <c r="AS592" s="5">
        <v>42729</v>
      </c>
      <c r="AT592" t="s">
        <v>47</v>
      </c>
    </row>
    <row r="593" spans="1:46" ht="39" x14ac:dyDescent="0.3">
      <c r="A593" s="4" t="s">
        <v>2487</v>
      </c>
      <c r="B593" t="s">
        <v>47</v>
      </c>
      <c r="C593" s="4" t="s">
        <v>1155</v>
      </c>
      <c r="D593" s="4" t="s">
        <v>88</v>
      </c>
      <c r="E593" s="4" t="s">
        <v>49</v>
      </c>
      <c r="F593" s="5" t="s">
        <v>2488</v>
      </c>
      <c r="G593" s="5" t="s">
        <v>2489</v>
      </c>
      <c r="H593" t="s">
        <v>47</v>
      </c>
      <c r="I593" s="3">
        <v>35735</v>
      </c>
      <c r="J593" s="5" t="s">
        <v>50</v>
      </c>
      <c r="K593" t="s">
        <v>47</v>
      </c>
      <c r="L593" s="5" t="s">
        <v>51</v>
      </c>
      <c r="M593" s="3">
        <v>35735</v>
      </c>
      <c r="N593" s="5" t="s">
        <v>50</v>
      </c>
      <c r="O593" t="s">
        <v>47</v>
      </c>
      <c r="P593" s="3">
        <v>35735</v>
      </c>
      <c r="Q593" s="5" t="s">
        <v>50</v>
      </c>
      <c r="R593" t="s">
        <v>47</v>
      </c>
      <c r="S593" t="s">
        <v>47</v>
      </c>
      <c r="T593" t="s">
        <v>47</v>
      </c>
      <c r="U593" t="s">
        <v>47</v>
      </c>
      <c r="V593" t="s">
        <v>47</v>
      </c>
      <c r="W593" s="3">
        <v>35735</v>
      </c>
      <c r="X593" s="5" t="s">
        <v>50</v>
      </c>
      <c r="Y593" t="s">
        <v>47</v>
      </c>
      <c r="Z593" s="3">
        <v>35735</v>
      </c>
      <c r="AA593" s="5" t="s">
        <v>50</v>
      </c>
      <c r="AB593" t="s">
        <v>47</v>
      </c>
      <c r="AC593" s="3">
        <v>35735</v>
      </c>
      <c r="AD593" s="5" t="s">
        <v>50</v>
      </c>
      <c r="AE593" t="s">
        <v>47</v>
      </c>
      <c r="AF593" t="s">
        <v>47</v>
      </c>
      <c r="AG593" t="s">
        <v>47</v>
      </c>
      <c r="AH593" t="s">
        <v>47</v>
      </c>
      <c r="AI593" t="s">
        <v>47</v>
      </c>
      <c r="AJ593" t="s">
        <v>47</v>
      </c>
      <c r="AK593" t="s">
        <v>47</v>
      </c>
      <c r="AL593" t="s">
        <v>47</v>
      </c>
      <c r="AM593" t="s">
        <v>47</v>
      </c>
      <c r="AN593" t="s">
        <v>47</v>
      </c>
      <c r="AO593" s="5" t="s">
        <v>51</v>
      </c>
      <c r="AP593" s="4" t="s">
        <v>135</v>
      </c>
      <c r="AQ593" s="4" t="s">
        <v>53</v>
      </c>
      <c r="AR593" s="4" t="s">
        <v>2490</v>
      </c>
      <c r="AS593" s="5">
        <v>48291</v>
      </c>
      <c r="AT593" t="s">
        <v>47</v>
      </c>
    </row>
    <row r="594" spans="1:46" ht="39" x14ac:dyDescent="0.3">
      <c r="A594" s="4" t="s">
        <v>2491</v>
      </c>
      <c r="B594" t="s">
        <v>47</v>
      </c>
      <c r="C594" s="4" t="s">
        <v>2492</v>
      </c>
      <c r="D594" s="4" t="s">
        <v>2022</v>
      </c>
      <c r="E594" s="4" t="s">
        <v>49</v>
      </c>
      <c r="F594" s="5" t="s">
        <v>2493</v>
      </c>
      <c r="G594" t="s">
        <v>47</v>
      </c>
      <c r="H594" t="s">
        <v>47</v>
      </c>
      <c r="I594" s="3">
        <v>35400</v>
      </c>
      <c r="J594" s="3">
        <v>42064</v>
      </c>
      <c r="K594" t="s">
        <v>47</v>
      </c>
      <c r="L594" s="5" t="s">
        <v>51</v>
      </c>
      <c r="M594" s="3">
        <v>35400</v>
      </c>
      <c r="N594" s="3">
        <v>38899</v>
      </c>
      <c r="O594" t="s">
        <v>47</v>
      </c>
      <c r="P594" s="3">
        <v>35400</v>
      </c>
      <c r="Q594" s="3">
        <v>42064</v>
      </c>
      <c r="R594" t="s">
        <v>47</v>
      </c>
      <c r="S594" t="s">
        <v>47</v>
      </c>
      <c r="T594" t="s">
        <v>47</v>
      </c>
      <c r="U594" t="s">
        <v>47</v>
      </c>
      <c r="V594" t="s">
        <v>47</v>
      </c>
      <c r="W594" s="3">
        <v>35400</v>
      </c>
      <c r="X594" s="3">
        <v>42064</v>
      </c>
      <c r="Y594" t="s">
        <v>47</v>
      </c>
      <c r="Z594" s="3">
        <v>35400</v>
      </c>
      <c r="AA594" s="3">
        <v>42064</v>
      </c>
      <c r="AB594" t="s">
        <v>47</v>
      </c>
      <c r="AC594" s="3">
        <v>35400</v>
      </c>
      <c r="AD594" s="3">
        <v>42064</v>
      </c>
      <c r="AE594" t="s">
        <v>47</v>
      </c>
      <c r="AF594" t="s">
        <v>47</v>
      </c>
      <c r="AG594" t="s">
        <v>47</v>
      </c>
      <c r="AH594" t="s">
        <v>47</v>
      </c>
      <c r="AI594" t="s">
        <v>47</v>
      </c>
      <c r="AJ594" t="s">
        <v>47</v>
      </c>
      <c r="AK594" t="s">
        <v>47</v>
      </c>
      <c r="AL594" t="s">
        <v>47</v>
      </c>
      <c r="AM594" t="s">
        <v>47</v>
      </c>
      <c r="AN594" t="s">
        <v>47</v>
      </c>
      <c r="AO594" s="5" t="s">
        <v>51</v>
      </c>
      <c r="AP594" s="4" t="s">
        <v>135</v>
      </c>
      <c r="AQ594" s="4" t="s">
        <v>53</v>
      </c>
      <c r="AR594" s="4" t="s">
        <v>1171</v>
      </c>
      <c r="AS594" s="5">
        <v>35915</v>
      </c>
      <c r="AT594" t="s">
        <v>47</v>
      </c>
    </row>
    <row r="595" spans="1:46" ht="117" x14ac:dyDescent="0.3">
      <c r="A595" s="4" t="s">
        <v>2494</v>
      </c>
      <c r="B595" t="s">
        <v>47</v>
      </c>
      <c r="C595" s="4" t="s">
        <v>2495</v>
      </c>
      <c r="D595" s="4" t="s">
        <v>319</v>
      </c>
      <c r="E595" s="4" t="s">
        <v>66</v>
      </c>
      <c r="F595" s="5" t="s">
        <v>2496</v>
      </c>
      <c r="G595" s="5" t="s">
        <v>2497</v>
      </c>
      <c r="H595" t="s">
        <v>47</v>
      </c>
      <c r="I595" s="3">
        <v>36526</v>
      </c>
      <c r="J595" s="5" t="s">
        <v>50</v>
      </c>
      <c r="K595" s="5" t="s">
        <v>2498</v>
      </c>
      <c r="L595" s="5" t="s">
        <v>60</v>
      </c>
      <c r="M595" s="3">
        <v>36526</v>
      </c>
      <c r="N595" s="5" t="s">
        <v>50</v>
      </c>
      <c r="O595" s="5" t="s">
        <v>2498</v>
      </c>
      <c r="P595" s="3">
        <v>36526</v>
      </c>
      <c r="Q595" s="5" t="s">
        <v>50</v>
      </c>
      <c r="R595" s="5" t="s">
        <v>2498</v>
      </c>
      <c r="S595" t="s">
        <v>47</v>
      </c>
      <c r="T595" t="s">
        <v>47</v>
      </c>
      <c r="U595" t="s">
        <v>47</v>
      </c>
      <c r="V595" s="5">
        <v>365</v>
      </c>
      <c r="W595" s="3">
        <v>32509</v>
      </c>
      <c r="X595" s="5" t="s">
        <v>50</v>
      </c>
      <c r="Y595" t="s">
        <v>47</v>
      </c>
      <c r="Z595" s="3">
        <v>32509</v>
      </c>
      <c r="AA595" s="5" t="s">
        <v>50</v>
      </c>
      <c r="AB595" t="s">
        <v>47</v>
      </c>
      <c r="AC595" s="3">
        <v>32509</v>
      </c>
      <c r="AD595" s="5" t="s">
        <v>50</v>
      </c>
      <c r="AE595" t="s">
        <v>47</v>
      </c>
      <c r="AF595" t="s">
        <v>47</v>
      </c>
      <c r="AG595" t="s">
        <v>47</v>
      </c>
      <c r="AH595" t="s">
        <v>47</v>
      </c>
      <c r="AI595" t="s">
        <v>47</v>
      </c>
      <c r="AJ595" t="s">
        <v>47</v>
      </c>
      <c r="AK595" t="s">
        <v>47</v>
      </c>
      <c r="AL595" t="s">
        <v>47</v>
      </c>
      <c r="AM595" t="s">
        <v>47</v>
      </c>
      <c r="AN595" t="s">
        <v>47</v>
      </c>
      <c r="AO595" s="5" t="s">
        <v>60</v>
      </c>
      <c r="AP595" s="4" t="s">
        <v>61</v>
      </c>
      <c r="AQ595" s="4" t="s">
        <v>53</v>
      </c>
      <c r="AR595" s="4" t="s">
        <v>2499</v>
      </c>
      <c r="AS595" s="5">
        <v>42218</v>
      </c>
      <c r="AT595" t="s">
        <v>47</v>
      </c>
    </row>
    <row r="596" spans="1:46" ht="39" x14ac:dyDescent="0.3">
      <c r="A596" s="4" t="s">
        <v>2500</v>
      </c>
      <c r="B596" t="s">
        <v>47</v>
      </c>
      <c r="C596" s="4" t="s">
        <v>2501</v>
      </c>
      <c r="D596" s="4" t="s">
        <v>223</v>
      </c>
      <c r="E596" s="4" t="s">
        <v>49</v>
      </c>
      <c r="F596" s="5" t="s">
        <v>2502</v>
      </c>
      <c r="G596" t="s">
        <v>47</v>
      </c>
      <c r="H596" t="s">
        <v>47</v>
      </c>
      <c r="I596" s="3">
        <v>38808</v>
      </c>
      <c r="J596" s="3">
        <v>43374</v>
      </c>
      <c r="K596" s="5" t="s">
        <v>2503</v>
      </c>
      <c r="L596" s="5" t="s">
        <v>60</v>
      </c>
      <c r="M596" s="3">
        <v>38808</v>
      </c>
      <c r="N596" s="3">
        <v>43374</v>
      </c>
      <c r="O596" s="5" t="s">
        <v>2503</v>
      </c>
      <c r="P596" s="3">
        <v>38808</v>
      </c>
      <c r="Q596" s="3">
        <v>43374</v>
      </c>
      <c r="R596" s="5" t="s">
        <v>2503</v>
      </c>
      <c r="S596" t="s">
        <v>47</v>
      </c>
      <c r="T596" t="s">
        <v>47</v>
      </c>
      <c r="U596" t="s">
        <v>47</v>
      </c>
      <c r="V596" t="s">
        <v>47</v>
      </c>
      <c r="W596" s="3">
        <v>38808</v>
      </c>
      <c r="X596" s="3">
        <v>43374</v>
      </c>
      <c r="Y596" s="5" t="s">
        <v>2503</v>
      </c>
      <c r="Z596" s="3">
        <v>38808</v>
      </c>
      <c r="AA596" s="3">
        <v>43374</v>
      </c>
      <c r="AB596" s="5" t="s">
        <v>2503</v>
      </c>
      <c r="AC596" s="3">
        <v>38808</v>
      </c>
      <c r="AD596" s="3">
        <v>43374</v>
      </c>
      <c r="AE596" s="5" t="s">
        <v>2503</v>
      </c>
      <c r="AF596" t="s">
        <v>47</v>
      </c>
      <c r="AG596" t="s">
        <v>47</v>
      </c>
      <c r="AH596" t="s">
        <v>47</v>
      </c>
      <c r="AI596" t="s">
        <v>47</v>
      </c>
      <c r="AJ596" t="s">
        <v>47</v>
      </c>
      <c r="AK596" t="s">
        <v>47</v>
      </c>
      <c r="AL596" t="s">
        <v>47</v>
      </c>
      <c r="AM596" t="s">
        <v>47</v>
      </c>
      <c r="AN596" t="s">
        <v>47</v>
      </c>
      <c r="AO596" s="5" t="s">
        <v>60</v>
      </c>
      <c r="AP596" s="4" t="s">
        <v>61</v>
      </c>
      <c r="AQ596" s="4" t="s">
        <v>53</v>
      </c>
      <c r="AR596" s="4" t="s">
        <v>348</v>
      </c>
      <c r="AS596" s="5">
        <v>276233</v>
      </c>
      <c r="AT596" t="s">
        <v>47</v>
      </c>
    </row>
    <row r="597" spans="1:46" ht="52" x14ac:dyDescent="0.3">
      <c r="A597" s="4" t="s">
        <v>2504</v>
      </c>
      <c r="B597" t="s">
        <v>47</v>
      </c>
      <c r="C597" s="4" t="s">
        <v>2505</v>
      </c>
      <c r="D597" s="4" t="s">
        <v>70</v>
      </c>
      <c r="E597" s="4" t="s">
        <v>49</v>
      </c>
      <c r="F597" s="5" t="s">
        <v>2506</v>
      </c>
      <c r="G597" s="5" t="s">
        <v>2507</v>
      </c>
      <c r="H597" t="s">
        <v>47</v>
      </c>
      <c r="I597" t="s">
        <v>47</v>
      </c>
      <c r="J597" t="s">
        <v>47</v>
      </c>
      <c r="K597" t="s">
        <v>47</v>
      </c>
      <c r="L597" s="5" t="s">
        <v>60</v>
      </c>
      <c r="M597" t="s">
        <v>47</v>
      </c>
      <c r="N597" t="s">
        <v>47</v>
      </c>
      <c r="O597" t="s">
        <v>47</v>
      </c>
      <c r="P597" t="s">
        <v>47</v>
      </c>
      <c r="Q597" t="s">
        <v>47</v>
      </c>
      <c r="R597" t="s">
        <v>47</v>
      </c>
      <c r="S597" t="s">
        <v>47</v>
      </c>
      <c r="T597" t="s">
        <v>47</v>
      </c>
      <c r="U597" t="s">
        <v>47</v>
      </c>
      <c r="V597" t="s">
        <v>47</v>
      </c>
      <c r="W597" s="3">
        <v>36557</v>
      </c>
      <c r="X597" s="5" t="s">
        <v>50</v>
      </c>
      <c r="Y597" t="s">
        <v>47</v>
      </c>
      <c r="Z597" s="3">
        <v>36557</v>
      </c>
      <c r="AA597" s="5" t="s">
        <v>50</v>
      </c>
      <c r="AB597" t="s">
        <v>47</v>
      </c>
      <c r="AC597" s="3">
        <v>36557</v>
      </c>
      <c r="AD597" s="5" t="s">
        <v>50</v>
      </c>
      <c r="AE597" t="s">
        <v>47</v>
      </c>
      <c r="AF597" t="s">
        <v>47</v>
      </c>
      <c r="AG597" t="s">
        <v>47</v>
      </c>
      <c r="AH597" t="s">
        <v>47</v>
      </c>
      <c r="AI597" t="s">
        <v>47</v>
      </c>
      <c r="AJ597" t="s">
        <v>47</v>
      </c>
      <c r="AK597" t="s">
        <v>47</v>
      </c>
      <c r="AL597" t="s">
        <v>47</v>
      </c>
      <c r="AM597" t="s">
        <v>47</v>
      </c>
      <c r="AN597" t="s">
        <v>47</v>
      </c>
      <c r="AO597" s="5" t="s">
        <v>60</v>
      </c>
      <c r="AP597" s="4" t="s">
        <v>61</v>
      </c>
      <c r="AQ597" s="4" t="s">
        <v>53</v>
      </c>
      <c r="AR597" s="4" t="s">
        <v>2508</v>
      </c>
      <c r="AS597" s="5">
        <v>85468</v>
      </c>
      <c r="AT597" t="s">
        <v>47</v>
      </c>
    </row>
    <row r="598" spans="1:46" ht="91" x14ac:dyDescent="0.3">
      <c r="A598" s="4" t="s">
        <v>2509</v>
      </c>
      <c r="B598" t="s">
        <v>47</v>
      </c>
      <c r="C598" s="4" t="s">
        <v>2505</v>
      </c>
      <c r="D598" s="4" t="s">
        <v>2510</v>
      </c>
      <c r="E598" s="4" t="s">
        <v>49</v>
      </c>
      <c r="F598" t="s">
        <v>47</v>
      </c>
      <c r="G598" s="5" t="s">
        <v>2511</v>
      </c>
      <c r="H598" t="s">
        <v>47</v>
      </c>
      <c r="I598" t="s">
        <v>47</v>
      </c>
      <c r="J598" t="s">
        <v>47</v>
      </c>
      <c r="K598" t="s">
        <v>47</v>
      </c>
      <c r="L598" s="5" t="s">
        <v>60</v>
      </c>
      <c r="M598" t="s">
        <v>47</v>
      </c>
      <c r="N598" t="s">
        <v>47</v>
      </c>
      <c r="O598" t="s">
        <v>47</v>
      </c>
      <c r="P598" t="s">
        <v>47</v>
      </c>
      <c r="Q598" t="s">
        <v>47</v>
      </c>
      <c r="R598" t="s">
        <v>47</v>
      </c>
      <c r="S598" t="s">
        <v>47</v>
      </c>
      <c r="T598" t="s">
        <v>47</v>
      </c>
      <c r="U598" t="s">
        <v>47</v>
      </c>
      <c r="V598" t="s">
        <v>47</v>
      </c>
      <c r="W598" s="3">
        <v>39448</v>
      </c>
      <c r="X598" s="5" t="s">
        <v>50</v>
      </c>
      <c r="Y598" s="5" t="s">
        <v>2512</v>
      </c>
      <c r="Z598" s="3">
        <v>39448</v>
      </c>
      <c r="AA598" s="5" t="s">
        <v>50</v>
      </c>
      <c r="AB598" s="5" t="s">
        <v>2512</v>
      </c>
      <c r="AC598" s="3">
        <v>39448</v>
      </c>
      <c r="AD598" s="5" t="s">
        <v>50</v>
      </c>
      <c r="AE598" s="5" t="s">
        <v>2512</v>
      </c>
      <c r="AF598" t="s">
        <v>47</v>
      </c>
      <c r="AG598" t="s">
        <v>47</v>
      </c>
      <c r="AH598" t="s">
        <v>47</v>
      </c>
      <c r="AI598" t="s">
        <v>47</v>
      </c>
      <c r="AJ598" t="s">
        <v>47</v>
      </c>
      <c r="AK598" t="s">
        <v>47</v>
      </c>
      <c r="AL598" t="s">
        <v>47</v>
      </c>
      <c r="AM598" t="s">
        <v>47</v>
      </c>
      <c r="AN598" t="s">
        <v>47</v>
      </c>
      <c r="AO598" s="5" t="s">
        <v>51</v>
      </c>
      <c r="AP598" s="4" t="s">
        <v>61</v>
      </c>
      <c r="AQ598" s="4" t="s">
        <v>53</v>
      </c>
      <c r="AR598" s="4" t="s">
        <v>2513</v>
      </c>
      <c r="AS598" s="5">
        <v>85505</v>
      </c>
      <c r="AT598" t="s">
        <v>47</v>
      </c>
    </row>
    <row r="599" spans="1:46" ht="78" x14ac:dyDescent="0.3">
      <c r="A599" s="4" t="s">
        <v>2514</v>
      </c>
      <c r="B599" t="s">
        <v>47</v>
      </c>
      <c r="C599" s="4" t="s">
        <v>2515</v>
      </c>
      <c r="D599" s="4" t="s">
        <v>575</v>
      </c>
      <c r="E599" s="4" t="s">
        <v>723</v>
      </c>
      <c r="F599" s="5" t="s">
        <v>2516</v>
      </c>
      <c r="G599" s="5" t="s">
        <v>2517</v>
      </c>
      <c r="H599" t="s">
        <v>47</v>
      </c>
      <c r="I599" s="3">
        <v>35462</v>
      </c>
      <c r="J599" s="3">
        <v>41456</v>
      </c>
      <c r="K599" s="5" t="s">
        <v>2518</v>
      </c>
      <c r="L599" s="5" t="s">
        <v>60</v>
      </c>
      <c r="M599" s="3">
        <v>35462</v>
      </c>
      <c r="N599" s="3">
        <v>41456</v>
      </c>
      <c r="O599" s="5" t="s">
        <v>2518</v>
      </c>
      <c r="P599" s="3">
        <v>35462</v>
      </c>
      <c r="Q599" s="3">
        <v>41456</v>
      </c>
      <c r="R599" s="5" t="s">
        <v>2518</v>
      </c>
      <c r="S599" t="s">
        <v>47</v>
      </c>
      <c r="T599" t="s">
        <v>47</v>
      </c>
      <c r="U599" t="s">
        <v>47</v>
      </c>
      <c r="V599" t="s">
        <v>47</v>
      </c>
      <c r="W599" s="3">
        <v>35462</v>
      </c>
      <c r="X599" s="5" t="s">
        <v>50</v>
      </c>
      <c r="Y599" s="5" t="s">
        <v>2518</v>
      </c>
      <c r="Z599" s="3">
        <v>35462</v>
      </c>
      <c r="AA599" s="5" t="s">
        <v>50</v>
      </c>
      <c r="AB599" s="5" t="s">
        <v>2518</v>
      </c>
      <c r="AC599" s="3">
        <v>35462</v>
      </c>
      <c r="AD599" s="5" t="s">
        <v>50</v>
      </c>
      <c r="AE599" s="5" t="s">
        <v>2518</v>
      </c>
      <c r="AF599" t="s">
        <v>47</v>
      </c>
      <c r="AG599" t="s">
        <v>47</v>
      </c>
      <c r="AH599" t="s">
        <v>47</v>
      </c>
      <c r="AI599" t="s">
        <v>47</v>
      </c>
      <c r="AJ599" t="s">
        <v>47</v>
      </c>
      <c r="AK599" t="s">
        <v>47</v>
      </c>
      <c r="AL599" t="s">
        <v>47</v>
      </c>
      <c r="AM599" t="s">
        <v>47</v>
      </c>
      <c r="AN599" t="s">
        <v>47</v>
      </c>
      <c r="AO599" s="5" t="s">
        <v>60</v>
      </c>
      <c r="AP599" s="4" t="s">
        <v>61</v>
      </c>
      <c r="AQ599" s="4" t="s">
        <v>2519</v>
      </c>
      <c r="AR599" s="4" t="s">
        <v>577</v>
      </c>
      <c r="AS599" s="5">
        <v>47386</v>
      </c>
      <c r="AT599" t="s">
        <v>47</v>
      </c>
    </row>
    <row r="600" spans="1:46" ht="13" x14ac:dyDescent="0.3">
      <c r="A600" s="4" t="s">
        <v>2520</v>
      </c>
      <c r="B600" t="s">
        <v>47</v>
      </c>
      <c r="C600" s="4" t="s">
        <v>93</v>
      </c>
      <c r="D600" s="4" t="s">
        <v>2521</v>
      </c>
      <c r="E600" s="4" t="s">
        <v>49</v>
      </c>
      <c r="F600" s="5" t="s">
        <v>2522</v>
      </c>
      <c r="G600" s="5" t="s">
        <v>2523</v>
      </c>
      <c r="H600" t="s">
        <v>47</v>
      </c>
      <c r="I600" t="s">
        <v>47</v>
      </c>
      <c r="J600" t="s">
        <v>47</v>
      </c>
      <c r="K600" t="s">
        <v>47</v>
      </c>
      <c r="L600" s="5" t="s">
        <v>60</v>
      </c>
      <c r="M600" t="s">
        <v>47</v>
      </c>
      <c r="N600" t="s">
        <v>47</v>
      </c>
      <c r="O600" t="s">
        <v>47</v>
      </c>
      <c r="P600" t="s">
        <v>47</v>
      </c>
      <c r="Q600" t="s">
        <v>47</v>
      </c>
      <c r="R600" t="s">
        <v>47</v>
      </c>
      <c r="S600" t="s">
        <v>47</v>
      </c>
      <c r="T600" t="s">
        <v>47</v>
      </c>
      <c r="U600" t="s">
        <v>47</v>
      </c>
      <c r="V600" t="s">
        <v>47</v>
      </c>
      <c r="W600" s="3">
        <v>41579</v>
      </c>
      <c r="X600" s="5" t="s">
        <v>50</v>
      </c>
      <c r="Y600" s="5" t="s">
        <v>2524</v>
      </c>
      <c r="Z600" s="3">
        <v>41579</v>
      </c>
      <c r="AA600" s="5" t="s">
        <v>50</v>
      </c>
      <c r="AB600" s="5" t="s">
        <v>2524</v>
      </c>
      <c r="AC600" s="3">
        <v>41579</v>
      </c>
      <c r="AD600" s="5" t="s">
        <v>50</v>
      </c>
      <c r="AE600" s="5" t="s">
        <v>2524</v>
      </c>
      <c r="AF600" t="s">
        <v>47</v>
      </c>
      <c r="AG600" t="s">
        <v>47</v>
      </c>
      <c r="AH600" t="s">
        <v>47</v>
      </c>
      <c r="AI600" t="s">
        <v>47</v>
      </c>
      <c r="AJ600" t="s">
        <v>47</v>
      </c>
      <c r="AK600" t="s">
        <v>47</v>
      </c>
      <c r="AL600" t="s">
        <v>47</v>
      </c>
      <c r="AM600" t="s">
        <v>47</v>
      </c>
      <c r="AN600" t="s">
        <v>47</v>
      </c>
      <c r="AO600" s="5" t="s">
        <v>60</v>
      </c>
      <c r="AP600" s="4" t="s">
        <v>61</v>
      </c>
      <c r="AQ600" s="4" t="s">
        <v>53</v>
      </c>
      <c r="AR600" s="4" t="s">
        <v>54</v>
      </c>
      <c r="AS600" s="5">
        <v>2034132</v>
      </c>
      <c r="AT600" t="s">
        <v>47</v>
      </c>
    </row>
    <row r="601" spans="1:46" ht="26" x14ac:dyDescent="0.3">
      <c r="A601" s="4" t="s">
        <v>2525</v>
      </c>
      <c r="B601" t="s">
        <v>47</v>
      </c>
      <c r="C601" s="4" t="s">
        <v>1533</v>
      </c>
      <c r="D601" s="4" t="s">
        <v>1534</v>
      </c>
      <c r="E601" s="4" t="s">
        <v>49</v>
      </c>
      <c r="F601" t="s">
        <v>47</v>
      </c>
      <c r="G601" s="5" t="s">
        <v>2526</v>
      </c>
      <c r="H601" t="s">
        <v>47</v>
      </c>
      <c r="I601" s="3">
        <v>42370</v>
      </c>
      <c r="J601" s="5" t="s">
        <v>50</v>
      </c>
      <c r="K601" s="5" t="s">
        <v>788</v>
      </c>
      <c r="L601" s="5" t="s">
        <v>60</v>
      </c>
      <c r="M601" t="s">
        <v>47</v>
      </c>
      <c r="N601" t="s">
        <v>47</v>
      </c>
      <c r="O601" t="s">
        <v>47</v>
      </c>
      <c r="P601" s="3">
        <v>42370</v>
      </c>
      <c r="Q601" s="5" t="s">
        <v>50</v>
      </c>
      <c r="R601" s="5" t="s">
        <v>788</v>
      </c>
      <c r="S601" t="s">
        <v>47</v>
      </c>
      <c r="T601" t="s">
        <v>47</v>
      </c>
      <c r="U601" t="s">
        <v>47</v>
      </c>
      <c r="V601" t="s">
        <v>47</v>
      </c>
      <c r="W601" s="3">
        <v>42370</v>
      </c>
      <c r="X601" s="5" t="s">
        <v>50</v>
      </c>
      <c r="Y601" s="5" t="s">
        <v>788</v>
      </c>
      <c r="Z601" s="3">
        <v>42370</v>
      </c>
      <c r="AA601" s="5" t="s">
        <v>50</v>
      </c>
      <c r="AB601" s="5" t="s">
        <v>788</v>
      </c>
      <c r="AC601" s="3">
        <v>42370</v>
      </c>
      <c r="AD601" s="5" t="s">
        <v>50</v>
      </c>
      <c r="AE601" s="5" t="s">
        <v>788</v>
      </c>
      <c r="AF601" t="s">
        <v>47</v>
      </c>
      <c r="AG601" t="s">
        <v>47</v>
      </c>
      <c r="AH601" t="s">
        <v>47</v>
      </c>
      <c r="AI601" t="s">
        <v>47</v>
      </c>
      <c r="AJ601" t="s">
        <v>47</v>
      </c>
      <c r="AK601" t="s">
        <v>47</v>
      </c>
      <c r="AL601" t="s">
        <v>47</v>
      </c>
      <c r="AM601" t="s">
        <v>47</v>
      </c>
      <c r="AN601" t="s">
        <v>47</v>
      </c>
      <c r="AO601" s="5" t="s">
        <v>60</v>
      </c>
      <c r="AP601" s="4" t="s">
        <v>61</v>
      </c>
      <c r="AQ601" s="4" t="s">
        <v>53</v>
      </c>
      <c r="AR601" s="4" t="s">
        <v>54</v>
      </c>
      <c r="AS601" s="5">
        <v>2045001</v>
      </c>
      <c r="AT601" t="s">
        <v>47</v>
      </c>
    </row>
    <row r="602" spans="1:46" ht="13" x14ac:dyDescent="0.3">
      <c r="A602" s="4" t="s">
        <v>2527</v>
      </c>
      <c r="B602" t="s">
        <v>47</v>
      </c>
      <c r="C602" s="4" t="s">
        <v>2528</v>
      </c>
      <c r="D602" s="4" t="s">
        <v>2529</v>
      </c>
      <c r="E602" s="4" t="s">
        <v>100</v>
      </c>
      <c r="F602" t="s">
        <v>47</v>
      </c>
      <c r="G602" s="5" t="s">
        <v>2530</v>
      </c>
      <c r="H602" t="s">
        <v>47</v>
      </c>
      <c r="I602" t="s">
        <v>47</v>
      </c>
      <c r="J602" t="s">
        <v>47</v>
      </c>
      <c r="K602" t="s">
        <v>47</v>
      </c>
      <c r="L602" s="5" t="s">
        <v>60</v>
      </c>
      <c r="M602" t="s">
        <v>47</v>
      </c>
      <c r="N602" t="s">
        <v>47</v>
      </c>
      <c r="O602" t="s">
        <v>47</v>
      </c>
      <c r="P602" t="s">
        <v>47</v>
      </c>
      <c r="Q602" t="s">
        <v>47</v>
      </c>
      <c r="R602" t="s">
        <v>47</v>
      </c>
      <c r="S602" t="s">
        <v>47</v>
      </c>
      <c r="T602" t="s">
        <v>47</v>
      </c>
      <c r="U602" t="s">
        <v>47</v>
      </c>
      <c r="V602" t="s">
        <v>47</v>
      </c>
      <c r="W602" s="3">
        <v>40148</v>
      </c>
      <c r="X602" s="3">
        <v>40634</v>
      </c>
      <c r="Y602" t="s">
        <v>47</v>
      </c>
      <c r="Z602" s="3">
        <v>40148</v>
      </c>
      <c r="AA602" s="3">
        <v>40634</v>
      </c>
      <c r="AB602" t="s">
        <v>47</v>
      </c>
      <c r="AC602" t="s">
        <v>47</v>
      </c>
      <c r="AD602" t="s">
        <v>47</v>
      </c>
      <c r="AE602" t="s">
        <v>47</v>
      </c>
      <c r="AF602" t="s">
        <v>47</v>
      </c>
      <c r="AG602" t="s">
        <v>47</v>
      </c>
      <c r="AH602" t="s">
        <v>47</v>
      </c>
      <c r="AI602" t="s">
        <v>47</v>
      </c>
      <c r="AJ602" t="s">
        <v>47</v>
      </c>
      <c r="AK602" t="s">
        <v>47</v>
      </c>
      <c r="AL602" t="s">
        <v>47</v>
      </c>
      <c r="AM602" t="s">
        <v>47</v>
      </c>
      <c r="AN602" t="s">
        <v>47</v>
      </c>
      <c r="AO602" s="5" t="s">
        <v>60</v>
      </c>
      <c r="AP602" s="4" t="s">
        <v>61</v>
      </c>
      <c r="AQ602" s="4" t="s">
        <v>53</v>
      </c>
      <c r="AR602" s="4" t="s">
        <v>54</v>
      </c>
      <c r="AS602" s="5">
        <v>2032524</v>
      </c>
      <c r="AT602" t="s">
        <v>47</v>
      </c>
    </row>
    <row r="603" spans="1:46" ht="39" x14ac:dyDescent="0.3">
      <c r="A603" s="4" t="s">
        <v>2531</v>
      </c>
      <c r="B603" t="s">
        <v>47</v>
      </c>
      <c r="C603" s="4" t="s">
        <v>2532</v>
      </c>
      <c r="D603" s="4" t="s">
        <v>2533</v>
      </c>
      <c r="E603" s="4" t="s">
        <v>1448</v>
      </c>
      <c r="F603" s="5" t="s">
        <v>2534</v>
      </c>
      <c r="G603" t="s">
        <v>47</v>
      </c>
      <c r="H603" t="s">
        <v>47</v>
      </c>
      <c r="I603" s="3">
        <v>41821</v>
      </c>
      <c r="J603" s="5" t="s">
        <v>50</v>
      </c>
      <c r="K603" t="s">
        <v>47</v>
      </c>
      <c r="L603" s="5" t="s">
        <v>60</v>
      </c>
      <c r="M603" t="s">
        <v>47</v>
      </c>
      <c r="N603" t="s">
        <v>47</v>
      </c>
      <c r="O603" t="s">
        <v>47</v>
      </c>
      <c r="P603" s="3">
        <v>41821</v>
      </c>
      <c r="Q603" s="5" t="s">
        <v>50</v>
      </c>
      <c r="R603" t="s">
        <v>47</v>
      </c>
      <c r="S603" t="s">
        <v>47</v>
      </c>
      <c r="T603" t="s">
        <v>47</v>
      </c>
      <c r="U603" t="s">
        <v>47</v>
      </c>
      <c r="V603" t="s">
        <v>47</v>
      </c>
      <c r="W603" s="3">
        <v>41821</v>
      </c>
      <c r="X603" s="5" t="s">
        <v>50</v>
      </c>
      <c r="Y603" t="s">
        <v>47</v>
      </c>
      <c r="Z603" s="3">
        <v>41821</v>
      </c>
      <c r="AA603" s="5" t="s">
        <v>50</v>
      </c>
      <c r="AB603" t="s">
        <v>47</v>
      </c>
      <c r="AC603" s="3">
        <v>41821</v>
      </c>
      <c r="AD603" s="5" t="s">
        <v>50</v>
      </c>
      <c r="AE603" t="s">
        <v>47</v>
      </c>
      <c r="AF603" t="s">
        <v>47</v>
      </c>
      <c r="AG603" t="s">
        <v>47</v>
      </c>
      <c r="AH603" t="s">
        <v>47</v>
      </c>
      <c r="AI603" t="s">
        <v>47</v>
      </c>
      <c r="AJ603" t="s">
        <v>47</v>
      </c>
      <c r="AK603" t="s">
        <v>47</v>
      </c>
      <c r="AL603" t="s">
        <v>47</v>
      </c>
      <c r="AM603" t="s">
        <v>47</v>
      </c>
      <c r="AN603" t="s">
        <v>47</v>
      </c>
      <c r="AO603" s="5" t="s">
        <v>60</v>
      </c>
      <c r="AP603" s="4" t="s">
        <v>85</v>
      </c>
      <c r="AQ603" s="4" t="s">
        <v>119</v>
      </c>
      <c r="AR603" s="4" t="s">
        <v>62</v>
      </c>
      <c r="AS603" s="5">
        <v>3950102</v>
      </c>
      <c r="AT603" t="s">
        <v>47</v>
      </c>
    </row>
    <row r="604" spans="1:46" ht="182" x14ac:dyDescent="0.3">
      <c r="A604" s="4" t="s">
        <v>2535</v>
      </c>
      <c r="B604" t="s">
        <v>47</v>
      </c>
      <c r="C604" s="4" t="s">
        <v>183</v>
      </c>
      <c r="D604" s="4" t="s">
        <v>2536</v>
      </c>
      <c r="E604" s="4" t="s">
        <v>49</v>
      </c>
      <c r="F604" s="5" t="s">
        <v>2537</v>
      </c>
      <c r="G604" s="5" t="s">
        <v>2538</v>
      </c>
      <c r="H604" t="s">
        <v>47</v>
      </c>
      <c r="I604" s="3">
        <v>32143</v>
      </c>
      <c r="J604" s="3">
        <v>37165</v>
      </c>
      <c r="K604" t="s">
        <v>47</v>
      </c>
      <c r="L604" s="5" t="s">
        <v>60</v>
      </c>
      <c r="M604" s="3">
        <v>33604</v>
      </c>
      <c r="N604" s="3">
        <v>37165</v>
      </c>
      <c r="O604" t="s">
        <v>47</v>
      </c>
      <c r="P604" s="3">
        <v>32143</v>
      </c>
      <c r="Q604" s="3">
        <v>37165</v>
      </c>
      <c r="R604" t="s">
        <v>47</v>
      </c>
      <c r="S604" t="s">
        <v>47</v>
      </c>
      <c r="T604" t="s">
        <v>47</v>
      </c>
      <c r="U604" t="s">
        <v>47</v>
      </c>
      <c r="V604" t="s">
        <v>47</v>
      </c>
      <c r="W604" s="3">
        <v>26207</v>
      </c>
      <c r="X604" s="5" t="s">
        <v>50</v>
      </c>
      <c r="Y604" t="s">
        <v>47</v>
      </c>
      <c r="Z604" s="3">
        <v>26207</v>
      </c>
      <c r="AA604" s="5" t="s">
        <v>50</v>
      </c>
      <c r="AB604" t="s">
        <v>47</v>
      </c>
      <c r="AC604" s="3">
        <v>26207</v>
      </c>
      <c r="AD604" s="5" t="s">
        <v>50</v>
      </c>
      <c r="AE604" t="s">
        <v>47</v>
      </c>
      <c r="AF604" t="s">
        <v>47</v>
      </c>
      <c r="AG604" t="s">
        <v>47</v>
      </c>
      <c r="AH604" t="s">
        <v>47</v>
      </c>
      <c r="AI604" t="s">
        <v>47</v>
      </c>
      <c r="AJ604" t="s">
        <v>47</v>
      </c>
      <c r="AK604" t="s">
        <v>47</v>
      </c>
      <c r="AL604" t="s">
        <v>47</v>
      </c>
      <c r="AM604" t="s">
        <v>47</v>
      </c>
      <c r="AN604" t="s">
        <v>47</v>
      </c>
      <c r="AO604" s="5" t="s">
        <v>60</v>
      </c>
      <c r="AP604" s="4" t="s">
        <v>61</v>
      </c>
      <c r="AQ604" s="4" t="s">
        <v>53</v>
      </c>
      <c r="AR604" s="4" t="s">
        <v>2539</v>
      </c>
      <c r="AS604" s="5">
        <v>41821</v>
      </c>
      <c r="AT604" t="s">
        <v>47</v>
      </c>
    </row>
    <row r="605" spans="1:46" ht="65" x14ac:dyDescent="0.3">
      <c r="A605" s="4" t="s">
        <v>2540</v>
      </c>
      <c r="B605" t="s">
        <v>47</v>
      </c>
      <c r="C605" s="4" t="s">
        <v>93</v>
      </c>
      <c r="D605" s="4" t="s">
        <v>2541</v>
      </c>
      <c r="E605" s="4" t="s">
        <v>49</v>
      </c>
      <c r="F605" s="5" t="s">
        <v>2542</v>
      </c>
      <c r="G605" s="5" t="s">
        <v>2543</v>
      </c>
      <c r="H605" t="s">
        <v>47</v>
      </c>
      <c r="I605" t="s">
        <v>47</v>
      </c>
      <c r="J605" t="s">
        <v>47</v>
      </c>
      <c r="K605" t="s">
        <v>47</v>
      </c>
      <c r="L605" s="5" t="s">
        <v>60</v>
      </c>
      <c r="M605" t="s">
        <v>47</v>
      </c>
      <c r="N605" t="s">
        <v>47</v>
      </c>
      <c r="O605" t="s">
        <v>47</v>
      </c>
      <c r="P605" t="s">
        <v>47</v>
      </c>
      <c r="Q605" t="s">
        <v>47</v>
      </c>
      <c r="R605" t="s">
        <v>47</v>
      </c>
      <c r="S605" t="s">
        <v>47</v>
      </c>
      <c r="T605" t="s">
        <v>47</v>
      </c>
      <c r="U605" t="s">
        <v>47</v>
      </c>
      <c r="V605" t="s">
        <v>47</v>
      </c>
      <c r="W605" s="3">
        <v>37987</v>
      </c>
      <c r="X605" s="5" t="s">
        <v>50</v>
      </c>
      <c r="Y605" t="s">
        <v>47</v>
      </c>
      <c r="Z605" s="3">
        <v>37987</v>
      </c>
      <c r="AA605" s="5" t="s">
        <v>50</v>
      </c>
      <c r="AB605" t="s">
        <v>47</v>
      </c>
      <c r="AC605" s="3">
        <v>37987</v>
      </c>
      <c r="AD605" s="5" t="s">
        <v>50</v>
      </c>
      <c r="AE605" t="s">
        <v>47</v>
      </c>
      <c r="AF605" t="s">
        <v>47</v>
      </c>
      <c r="AG605" t="s">
        <v>47</v>
      </c>
      <c r="AH605" t="s">
        <v>47</v>
      </c>
      <c r="AI605" t="s">
        <v>47</v>
      </c>
      <c r="AJ605" t="s">
        <v>47</v>
      </c>
      <c r="AK605" t="s">
        <v>47</v>
      </c>
      <c r="AL605" t="s">
        <v>47</v>
      </c>
      <c r="AM605" t="s">
        <v>47</v>
      </c>
      <c r="AN605" t="s">
        <v>47</v>
      </c>
      <c r="AO605" s="5" t="s">
        <v>60</v>
      </c>
      <c r="AP605" s="4" t="s">
        <v>61</v>
      </c>
      <c r="AQ605" s="4" t="s">
        <v>53</v>
      </c>
      <c r="AR605" s="4" t="s">
        <v>2544</v>
      </c>
      <c r="AS605" s="5">
        <v>25330</v>
      </c>
      <c r="AT605" t="s">
        <v>47</v>
      </c>
    </row>
    <row r="606" spans="1:46" ht="52" x14ac:dyDescent="0.3">
      <c r="A606" s="4" t="s">
        <v>2545</v>
      </c>
      <c r="B606" t="s">
        <v>47</v>
      </c>
      <c r="C606" s="4" t="s">
        <v>93</v>
      </c>
      <c r="D606" s="4" t="s">
        <v>1168</v>
      </c>
      <c r="E606" s="4" t="s">
        <v>49</v>
      </c>
      <c r="F606" s="5" t="s">
        <v>2546</v>
      </c>
      <c r="G606" s="5" t="s">
        <v>2547</v>
      </c>
      <c r="H606" t="s">
        <v>47</v>
      </c>
      <c r="I606" t="s">
        <v>47</v>
      </c>
      <c r="J606" t="s">
        <v>47</v>
      </c>
      <c r="K606" t="s">
        <v>47</v>
      </c>
      <c r="L606" s="5" t="s">
        <v>60</v>
      </c>
      <c r="M606" t="s">
        <v>47</v>
      </c>
      <c r="N606" t="s">
        <v>47</v>
      </c>
      <c r="O606" t="s">
        <v>47</v>
      </c>
      <c r="P606" t="s">
        <v>47</v>
      </c>
      <c r="Q606" t="s">
        <v>47</v>
      </c>
      <c r="R606" t="s">
        <v>47</v>
      </c>
      <c r="S606" t="s">
        <v>47</v>
      </c>
      <c r="T606" t="s">
        <v>47</v>
      </c>
      <c r="U606" t="s">
        <v>47</v>
      </c>
      <c r="V606" t="s">
        <v>47</v>
      </c>
      <c r="W606" s="3">
        <v>38047</v>
      </c>
      <c r="X606" s="3">
        <v>40360</v>
      </c>
      <c r="Y606" t="s">
        <v>47</v>
      </c>
      <c r="Z606" s="3">
        <v>38047</v>
      </c>
      <c r="AA606" s="3">
        <v>40360</v>
      </c>
      <c r="AB606" t="s">
        <v>47</v>
      </c>
      <c r="AC606" s="3">
        <v>38047</v>
      </c>
      <c r="AD606" s="3">
        <v>40360</v>
      </c>
      <c r="AE606" t="s">
        <v>47</v>
      </c>
      <c r="AF606" t="s">
        <v>47</v>
      </c>
      <c r="AG606" t="s">
        <v>47</v>
      </c>
      <c r="AH606" t="s">
        <v>47</v>
      </c>
      <c r="AI606" t="s">
        <v>47</v>
      </c>
      <c r="AJ606" t="s">
        <v>47</v>
      </c>
      <c r="AK606" t="s">
        <v>47</v>
      </c>
      <c r="AL606" t="s">
        <v>47</v>
      </c>
      <c r="AM606" t="s">
        <v>47</v>
      </c>
      <c r="AN606" t="s">
        <v>47</v>
      </c>
      <c r="AO606" s="5" t="s">
        <v>60</v>
      </c>
      <c r="AP606" s="4" t="s">
        <v>61</v>
      </c>
      <c r="AQ606" s="4" t="s">
        <v>53</v>
      </c>
      <c r="AR606" s="4" t="s">
        <v>1093</v>
      </c>
      <c r="AS606" s="5">
        <v>46628</v>
      </c>
      <c r="AT606" t="s">
        <v>47</v>
      </c>
    </row>
    <row r="607" spans="1:46" ht="52" x14ac:dyDescent="0.3">
      <c r="A607" s="4" t="s">
        <v>2548</v>
      </c>
      <c r="B607" t="s">
        <v>47</v>
      </c>
      <c r="C607" s="4" t="s">
        <v>93</v>
      </c>
      <c r="D607" s="4" t="s">
        <v>2549</v>
      </c>
      <c r="E607" s="4" t="s">
        <v>49</v>
      </c>
      <c r="F607" t="s">
        <v>47</v>
      </c>
      <c r="G607" s="5" t="s">
        <v>2547</v>
      </c>
      <c r="H607" t="s">
        <v>47</v>
      </c>
      <c r="I607" t="s">
        <v>47</v>
      </c>
      <c r="J607" t="s">
        <v>47</v>
      </c>
      <c r="K607" t="s">
        <v>47</v>
      </c>
      <c r="L607" s="5" t="s">
        <v>60</v>
      </c>
      <c r="M607" t="s">
        <v>47</v>
      </c>
      <c r="N607" t="s">
        <v>47</v>
      </c>
      <c r="O607" t="s">
        <v>47</v>
      </c>
      <c r="P607" t="s">
        <v>47</v>
      </c>
      <c r="Q607" t="s">
        <v>47</v>
      </c>
      <c r="R607" t="s">
        <v>47</v>
      </c>
      <c r="S607" t="s">
        <v>47</v>
      </c>
      <c r="T607" t="s">
        <v>47</v>
      </c>
      <c r="U607" t="s">
        <v>47</v>
      </c>
      <c r="V607" t="s">
        <v>47</v>
      </c>
      <c r="W607" s="3">
        <v>40422</v>
      </c>
      <c r="X607" s="5" t="s">
        <v>50</v>
      </c>
      <c r="Y607" t="s">
        <v>47</v>
      </c>
      <c r="Z607" s="3">
        <v>40422</v>
      </c>
      <c r="AA607" s="5" t="s">
        <v>50</v>
      </c>
      <c r="AB607" t="s">
        <v>47</v>
      </c>
      <c r="AC607" s="3">
        <v>40422</v>
      </c>
      <c r="AD607" s="5" t="s">
        <v>50</v>
      </c>
      <c r="AE607" t="s">
        <v>47</v>
      </c>
      <c r="AF607" t="s">
        <v>47</v>
      </c>
      <c r="AG607" t="s">
        <v>47</v>
      </c>
      <c r="AH607" t="s">
        <v>47</v>
      </c>
      <c r="AI607" t="s">
        <v>47</v>
      </c>
      <c r="AJ607" t="s">
        <v>47</v>
      </c>
      <c r="AK607" t="s">
        <v>47</v>
      </c>
      <c r="AL607" t="s">
        <v>47</v>
      </c>
      <c r="AM607" t="s">
        <v>47</v>
      </c>
      <c r="AN607" t="s">
        <v>47</v>
      </c>
      <c r="AO607" s="5" t="s">
        <v>60</v>
      </c>
      <c r="AP607" s="4" t="s">
        <v>61</v>
      </c>
      <c r="AQ607" s="4" t="s">
        <v>53</v>
      </c>
      <c r="AR607" s="4" t="s">
        <v>1093</v>
      </c>
      <c r="AS607" s="5">
        <v>2034145</v>
      </c>
      <c r="AT607" t="s">
        <v>47</v>
      </c>
    </row>
    <row r="608" spans="1:46" ht="39" x14ac:dyDescent="0.3">
      <c r="A608" s="4" t="s">
        <v>2550</v>
      </c>
      <c r="B608" t="s">
        <v>47</v>
      </c>
      <c r="C608" s="4" t="s">
        <v>2551</v>
      </c>
      <c r="D608" s="4" t="s">
        <v>771</v>
      </c>
      <c r="E608" s="4" t="s">
        <v>49</v>
      </c>
      <c r="F608" s="5" t="s">
        <v>2552</v>
      </c>
      <c r="G608" s="5" t="s">
        <v>2553</v>
      </c>
      <c r="H608" t="s">
        <v>47</v>
      </c>
      <c r="I608" t="s">
        <v>47</v>
      </c>
      <c r="J608" t="s">
        <v>47</v>
      </c>
      <c r="K608" t="s">
        <v>47</v>
      </c>
      <c r="L608" s="5" t="s">
        <v>60</v>
      </c>
      <c r="M608" t="s">
        <v>47</v>
      </c>
      <c r="N608" t="s">
        <v>47</v>
      </c>
      <c r="O608" t="s">
        <v>47</v>
      </c>
      <c r="P608" t="s">
        <v>47</v>
      </c>
      <c r="Q608" t="s">
        <v>47</v>
      </c>
      <c r="R608" t="s">
        <v>47</v>
      </c>
      <c r="S608" t="s">
        <v>47</v>
      </c>
      <c r="T608" t="s">
        <v>47</v>
      </c>
      <c r="U608" t="s">
        <v>47</v>
      </c>
      <c r="V608" t="s">
        <v>47</v>
      </c>
      <c r="W608" s="3">
        <v>35886</v>
      </c>
      <c r="X608" s="5" t="s">
        <v>50</v>
      </c>
      <c r="Y608" t="s">
        <v>47</v>
      </c>
      <c r="Z608" s="3">
        <v>35886</v>
      </c>
      <c r="AA608" s="5" t="s">
        <v>50</v>
      </c>
      <c r="AB608" t="s">
        <v>47</v>
      </c>
      <c r="AC608" s="3">
        <v>35886</v>
      </c>
      <c r="AD608" s="5" t="s">
        <v>50</v>
      </c>
      <c r="AE608" t="s">
        <v>47</v>
      </c>
      <c r="AF608" t="s">
        <v>47</v>
      </c>
      <c r="AG608" t="s">
        <v>47</v>
      </c>
      <c r="AH608" t="s">
        <v>47</v>
      </c>
      <c r="AI608" t="s">
        <v>47</v>
      </c>
      <c r="AJ608" t="s">
        <v>47</v>
      </c>
      <c r="AK608" t="s">
        <v>47</v>
      </c>
      <c r="AL608" t="s">
        <v>47</v>
      </c>
      <c r="AM608" t="s">
        <v>47</v>
      </c>
      <c r="AN608" t="s">
        <v>47</v>
      </c>
      <c r="AO608" s="5" t="s">
        <v>60</v>
      </c>
      <c r="AP608" s="4" t="s">
        <v>61</v>
      </c>
      <c r="AQ608" s="4" t="s">
        <v>53</v>
      </c>
      <c r="AR608" s="4" t="s">
        <v>495</v>
      </c>
      <c r="AS608" s="5">
        <v>37170</v>
      </c>
      <c r="AT608" t="s">
        <v>47</v>
      </c>
    </row>
    <row r="609" spans="1:46" ht="26" x14ac:dyDescent="0.3">
      <c r="A609" s="4" t="s">
        <v>2554</v>
      </c>
      <c r="B609" t="s">
        <v>47</v>
      </c>
      <c r="C609" s="4" t="s">
        <v>48</v>
      </c>
      <c r="D609" s="4" t="s">
        <v>674</v>
      </c>
      <c r="E609" s="4" t="s">
        <v>49</v>
      </c>
      <c r="F609" t="s">
        <v>47</v>
      </c>
      <c r="G609" t="s">
        <v>47</v>
      </c>
      <c r="H609" t="s">
        <v>47</v>
      </c>
      <c r="I609" s="3">
        <v>43304</v>
      </c>
      <c r="J609" s="5" t="s">
        <v>50</v>
      </c>
      <c r="K609" t="s">
        <v>47</v>
      </c>
      <c r="L609" s="5" t="s">
        <v>51</v>
      </c>
      <c r="M609" s="3">
        <v>43304</v>
      </c>
      <c r="N609" s="5" t="s">
        <v>50</v>
      </c>
      <c r="O609" t="s">
        <v>47</v>
      </c>
      <c r="P609" t="s">
        <v>47</v>
      </c>
      <c r="Q609" t="s">
        <v>47</v>
      </c>
      <c r="R609" t="s">
        <v>47</v>
      </c>
      <c r="S609" t="s">
        <v>47</v>
      </c>
      <c r="T609" t="s">
        <v>47</v>
      </c>
      <c r="U609" t="s">
        <v>47</v>
      </c>
      <c r="V609" t="s">
        <v>47</v>
      </c>
      <c r="W609" s="3">
        <v>43304</v>
      </c>
      <c r="X609" s="5" t="s">
        <v>50</v>
      </c>
      <c r="Y609" t="s">
        <v>47</v>
      </c>
      <c r="Z609" s="3">
        <v>43304</v>
      </c>
      <c r="AA609" s="5" t="s">
        <v>50</v>
      </c>
      <c r="AB609" t="s">
        <v>47</v>
      </c>
      <c r="AC609" s="3">
        <v>43608</v>
      </c>
      <c r="AD609" s="3">
        <v>44318</v>
      </c>
      <c r="AE609" s="5" t="s">
        <v>537</v>
      </c>
      <c r="AF609" t="s">
        <v>47</v>
      </c>
      <c r="AG609" t="s">
        <v>47</v>
      </c>
      <c r="AH609" t="s">
        <v>47</v>
      </c>
      <c r="AI609" t="s">
        <v>47</v>
      </c>
      <c r="AJ609" t="s">
        <v>47</v>
      </c>
      <c r="AK609" t="s">
        <v>47</v>
      </c>
      <c r="AL609" t="s">
        <v>47</v>
      </c>
      <c r="AM609" t="s">
        <v>47</v>
      </c>
      <c r="AN609" t="s">
        <v>47</v>
      </c>
      <c r="AO609" s="5" t="s">
        <v>51</v>
      </c>
      <c r="AP609" s="4" t="s">
        <v>52</v>
      </c>
      <c r="AQ609" s="4" t="s">
        <v>53</v>
      </c>
      <c r="AR609" s="4" t="s">
        <v>54</v>
      </c>
      <c r="AS609" s="5">
        <v>4397063</v>
      </c>
      <c r="AT609" t="s">
        <v>47</v>
      </c>
    </row>
    <row r="610" spans="1:46" ht="39" x14ac:dyDescent="0.3">
      <c r="A610" s="4" t="s">
        <v>2555</v>
      </c>
      <c r="B610" t="s">
        <v>47</v>
      </c>
      <c r="C610" s="4" t="s">
        <v>2556</v>
      </c>
      <c r="D610" s="4" t="s">
        <v>2557</v>
      </c>
      <c r="E610" s="4" t="s">
        <v>2558</v>
      </c>
      <c r="F610" s="5" t="s">
        <v>2559</v>
      </c>
      <c r="G610" s="5" t="s">
        <v>2560</v>
      </c>
      <c r="H610" t="s">
        <v>47</v>
      </c>
      <c r="I610" s="3">
        <v>37622</v>
      </c>
      <c r="J610" s="5" t="s">
        <v>50</v>
      </c>
      <c r="K610" t="s">
        <v>47</v>
      </c>
      <c r="L610" s="5" t="s">
        <v>60</v>
      </c>
      <c r="M610" t="s">
        <v>47</v>
      </c>
      <c r="N610" t="s">
        <v>47</v>
      </c>
      <c r="O610" t="s">
        <v>47</v>
      </c>
      <c r="P610" s="3">
        <v>37622</v>
      </c>
      <c r="Q610" s="5" t="s">
        <v>50</v>
      </c>
      <c r="R610" t="s">
        <v>47</v>
      </c>
      <c r="S610" t="s">
        <v>47</v>
      </c>
      <c r="T610" t="s">
        <v>47</v>
      </c>
      <c r="U610" t="s">
        <v>47</v>
      </c>
      <c r="V610" t="s">
        <v>47</v>
      </c>
      <c r="W610" s="3">
        <v>37622</v>
      </c>
      <c r="X610" s="5" t="s">
        <v>50</v>
      </c>
      <c r="Y610" t="s">
        <v>47</v>
      </c>
      <c r="Z610" s="3">
        <v>37622</v>
      </c>
      <c r="AA610" s="5" t="s">
        <v>50</v>
      </c>
      <c r="AB610" t="s">
        <v>47</v>
      </c>
      <c r="AC610" s="3">
        <v>37622</v>
      </c>
      <c r="AD610" s="5" t="s">
        <v>50</v>
      </c>
      <c r="AE610" t="s">
        <v>47</v>
      </c>
      <c r="AF610" t="s">
        <v>47</v>
      </c>
      <c r="AG610" t="s">
        <v>47</v>
      </c>
      <c r="AH610" t="s">
        <v>47</v>
      </c>
      <c r="AI610" t="s">
        <v>47</v>
      </c>
      <c r="AJ610" t="s">
        <v>47</v>
      </c>
      <c r="AK610" t="s">
        <v>47</v>
      </c>
      <c r="AL610" t="s">
        <v>47</v>
      </c>
      <c r="AM610" t="s">
        <v>47</v>
      </c>
      <c r="AN610" t="s">
        <v>47</v>
      </c>
      <c r="AO610" s="5" t="s">
        <v>60</v>
      </c>
      <c r="AP610" s="4" t="s">
        <v>61</v>
      </c>
      <c r="AQ610" s="4" t="s">
        <v>53</v>
      </c>
      <c r="AR610" s="4" t="s">
        <v>2561</v>
      </c>
      <c r="AS610" s="5">
        <v>106037</v>
      </c>
      <c r="AT610" t="s">
        <v>47</v>
      </c>
    </row>
    <row r="611" spans="1:46" ht="65" x14ac:dyDescent="0.3">
      <c r="A611" s="4" t="s">
        <v>2562</v>
      </c>
      <c r="B611" t="s">
        <v>47</v>
      </c>
      <c r="C611" s="4" t="s">
        <v>2563</v>
      </c>
      <c r="D611" s="4" t="s">
        <v>2564</v>
      </c>
      <c r="E611" s="4" t="s">
        <v>49</v>
      </c>
      <c r="F611" s="5" t="s">
        <v>2565</v>
      </c>
      <c r="G611" s="5" t="s">
        <v>2566</v>
      </c>
      <c r="H611" t="s">
        <v>47</v>
      </c>
      <c r="I611" s="3">
        <v>35370</v>
      </c>
      <c r="J611" s="3">
        <v>37591</v>
      </c>
      <c r="K611" t="s">
        <v>47</v>
      </c>
      <c r="L611" s="5" t="s">
        <v>51</v>
      </c>
      <c r="M611" s="3">
        <v>35370</v>
      </c>
      <c r="N611" s="3">
        <v>37591</v>
      </c>
      <c r="O611" t="s">
        <v>47</v>
      </c>
      <c r="P611" s="3">
        <v>35370</v>
      </c>
      <c r="Q611" s="3">
        <v>37591</v>
      </c>
      <c r="R611" t="s">
        <v>47</v>
      </c>
      <c r="S611" t="s">
        <v>47</v>
      </c>
      <c r="T611" t="s">
        <v>47</v>
      </c>
      <c r="U611" t="s">
        <v>47</v>
      </c>
      <c r="V611" t="s">
        <v>47</v>
      </c>
      <c r="W611" s="3">
        <v>35370</v>
      </c>
      <c r="X611" s="3">
        <v>37591</v>
      </c>
      <c r="Y611" t="s">
        <v>47</v>
      </c>
      <c r="Z611" s="3">
        <v>35370</v>
      </c>
      <c r="AA611" s="3">
        <v>37591</v>
      </c>
      <c r="AB611" t="s">
        <v>47</v>
      </c>
      <c r="AC611" s="3">
        <v>35370</v>
      </c>
      <c r="AD611" s="3">
        <v>37591</v>
      </c>
      <c r="AE611" t="s">
        <v>47</v>
      </c>
      <c r="AF611" t="s">
        <v>47</v>
      </c>
      <c r="AG611" t="s">
        <v>47</v>
      </c>
      <c r="AH611" t="s">
        <v>47</v>
      </c>
      <c r="AI611" t="s">
        <v>47</v>
      </c>
      <c r="AJ611" t="s">
        <v>47</v>
      </c>
      <c r="AK611" t="s">
        <v>47</v>
      </c>
      <c r="AL611" t="s">
        <v>47</v>
      </c>
      <c r="AM611" t="s">
        <v>47</v>
      </c>
      <c r="AN611" t="s">
        <v>47</v>
      </c>
      <c r="AO611" s="5" t="s">
        <v>51</v>
      </c>
      <c r="AP611" s="4" t="s">
        <v>85</v>
      </c>
      <c r="AQ611" s="4" t="s">
        <v>53</v>
      </c>
      <c r="AR611" s="4" t="s">
        <v>1500</v>
      </c>
      <c r="AS611" s="5">
        <v>30757</v>
      </c>
      <c r="AT611" t="s">
        <v>47</v>
      </c>
    </row>
    <row r="612" spans="1:46" ht="39" x14ac:dyDescent="0.3">
      <c r="A612" s="4" t="s">
        <v>2567</v>
      </c>
      <c r="B612" t="s">
        <v>47</v>
      </c>
      <c r="C612" s="4" t="s">
        <v>2568</v>
      </c>
      <c r="D612" s="4" t="s">
        <v>88</v>
      </c>
      <c r="E612" s="4" t="s">
        <v>49</v>
      </c>
      <c r="F612" s="5" t="s">
        <v>2569</v>
      </c>
      <c r="G612" s="5" t="s">
        <v>2570</v>
      </c>
      <c r="H612" t="s">
        <v>47</v>
      </c>
      <c r="I612" s="3">
        <v>35431</v>
      </c>
      <c r="J612" s="3">
        <v>41214</v>
      </c>
      <c r="K612" t="s">
        <v>47</v>
      </c>
      <c r="L612" s="5" t="s">
        <v>51</v>
      </c>
      <c r="M612" s="3">
        <v>35490</v>
      </c>
      <c r="N612" s="3">
        <v>41214</v>
      </c>
      <c r="O612" t="s">
        <v>47</v>
      </c>
      <c r="P612" s="3">
        <v>35431</v>
      </c>
      <c r="Q612" s="3">
        <v>41214</v>
      </c>
      <c r="R612" t="s">
        <v>47</v>
      </c>
      <c r="S612" t="s">
        <v>47</v>
      </c>
      <c r="T612" t="s">
        <v>47</v>
      </c>
      <c r="U612" t="s">
        <v>47</v>
      </c>
      <c r="V612" t="s">
        <v>47</v>
      </c>
      <c r="W612" s="3">
        <v>35431</v>
      </c>
      <c r="X612" s="3">
        <v>41214</v>
      </c>
      <c r="Y612" t="s">
        <v>47</v>
      </c>
      <c r="Z612" s="3">
        <v>35431</v>
      </c>
      <c r="AA612" s="3">
        <v>41214</v>
      </c>
      <c r="AB612" t="s">
        <v>47</v>
      </c>
      <c r="AC612" s="3">
        <v>35431</v>
      </c>
      <c r="AD612" s="3">
        <v>41214</v>
      </c>
      <c r="AE612" t="s">
        <v>47</v>
      </c>
      <c r="AF612" t="s">
        <v>47</v>
      </c>
      <c r="AG612" t="s">
        <v>47</v>
      </c>
      <c r="AH612" t="s">
        <v>47</v>
      </c>
      <c r="AI612" t="s">
        <v>47</v>
      </c>
      <c r="AJ612" t="s">
        <v>47</v>
      </c>
      <c r="AK612" t="s">
        <v>47</v>
      </c>
      <c r="AL612" t="s">
        <v>47</v>
      </c>
      <c r="AM612" t="s">
        <v>47</v>
      </c>
      <c r="AN612" t="s">
        <v>47</v>
      </c>
      <c r="AO612" s="5" t="s">
        <v>51</v>
      </c>
      <c r="AP612" s="4" t="s">
        <v>85</v>
      </c>
      <c r="AQ612" s="4" t="s">
        <v>53</v>
      </c>
      <c r="AR612" s="4" t="s">
        <v>385</v>
      </c>
      <c r="AS612" s="5">
        <v>34003</v>
      </c>
      <c r="AT612" t="s">
        <v>47</v>
      </c>
    </row>
    <row r="613" spans="1:46" ht="39" x14ac:dyDescent="0.3">
      <c r="A613" s="4" t="s">
        <v>2571</v>
      </c>
      <c r="B613" t="s">
        <v>47</v>
      </c>
      <c r="C613" s="4" t="s">
        <v>2568</v>
      </c>
      <c r="D613" s="4" t="s">
        <v>201</v>
      </c>
      <c r="E613" s="4" t="s">
        <v>49</v>
      </c>
      <c r="F613" t="s">
        <v>47</v>
      </c>
      <c r="G613" s="5" t="s">
        <v>2570</v>
      </c>
      <c r="H613" t="s">
        <v>47</v>
      </c>
      <c r="I613" s="3">
        <v>41275</v>
      </c>
      <c r="J613" s="3">
        <v>43831</v>
      </c>
      <c r="K613" t="s">
        <v>47</v>
      </c>
      <c r="L613" s="5" t="s">
        <v>51</v>
      </c>
      <c r="M613" s="3">
        <v>41275</v>
      </c>
      <c r="N613" s="3">
        <v>43831</v>
      </c>
      <c r="O613" t="s">
        <v>47</v>
      </c>
      <c r="P613" s="3">
        <v>41275</v>
      </c>
      <c r="Q613" s="3">
        <v>43831</v>
      </c>
      <c r="R613" t="s">
        <v>47</v>
      </c>
      <c r="S613" t="s">
        <v>47</v>
      </c>
      <c r="T613" t="s">
        <v>47</v>
      </c>
      <c r="U613" t="s">
        <v>47</v>
      </c>
      <c r="V613" t="s">
        <v>47</v>
      </c>
      <c r="W613" s="3">
        <v>41275</v>
      </c>
      <c r="X613" s="3">
        <v>43831</v>
      </c>
      <c r="Y613" t="s">
        <v>47</v>
      </c>
      <c r="Z613" s="3">
        <v>41275</v>
      </c>
      <c r="AA613" s="3">
        <v>43831</v>
      </c>
      <c r="AB613" t="s">
        <v>47</v>
      </c>
      <c r="AC613" s="3">
        <v>41275</v>
      </c>
      <c r="AD613" s="3">
        <v>43831</v>
      </c>
      <c r="AE613" t="s">
        <v>47</v>
      </c>
      <c r="AF613" t="s">
        <v>47</v>
      </c>
      <c r="AG613" t="s">
        <v>47</v>
      </c>
      <c r="AH613" t="s">
        <v>47</v>
      </c>
      <c r="AI613" t="s">
        <v>47</v>
      </c>
      <c r="AJ613" t="s">
        <v>47</v>
      </c>
      <c r="AK613" t="s">
        <v>47</v>
      </c>
      <c r="AL613" t="s">
        <v>47</v>
      </c>
      <c r="AM613" t="s">
        <v>47</v>
      </c>
      <c r="AN613" t="s">
        <v>47</v>
      </c>
      <c r="AO613" s="5" t="s">
        <v>51</v>
      </c>
      <c r="AP613" s="4" t="s">
        <v>85</v>
      </c>
      <c r="AQ613" s="4" t="s">
        <v>53</v>
      </c>
      <c r="AR613" s="4" t="s">
        <v>385</v>
      </c>
      <c r="AS613" s="5">
        <v>2028862</v>
      </c>
      <c r="AT613" t="s">
        <v>47</v>
      </c>
    </row>
    <row r="614" spans="1:46" ht="169" x14ac:dyDescent="0.3">
      <c r="A614" s="4" t="s">
        <v>2572</v>
      </c>
      <c r="B614" t="s">
        <v>47</v>
      </c>
      <c r="C614" s="4" t="s">
        <v>382</v>
      </c>
      <c r="D614" s="4" t="s">
        <v>324</v>
      </c>
      <c r="E614" s="4" t="s">
        <v>49</v>
      </c>
      <c r="F614" s="5" t="s">
        <v>2573</v>
      </c>
      <c r="G614" t="s">
        <v>47</v>
      </c>
      <c r="H614" t="s">
        <v>47</v>
      </c>
      <c r="I614" s="3">
        <v>32112</v>
      </c>
      <c r="J614" s="3">
        <v>40878</v>
      </c>
      <c r="K614" t="s">
        <v>47</v>
      </c>
      <c r="L614" s="5" t="s">
        <v>60</v>
      </c>
      <c r="M614" s="3">
        <v>32843</v>
      </c>
      <c r="N614" s="3">
        <v>40878</v>
      </c>
      <c r="O614" s="5" t="s">
        <v>2574</v>
      </c>
      <c r="P614" s="3">
        <v>32112</v>
      </c>
      <c r="Q614" s="3">
        <v>40878</v>
      </c>
      <c r="R614" t="s">
        <v>47</v>
      </c>
      <c r="S614" t="s">
        <v>47</v>
      </c>
      <c r="T614" t="s">
        <v>47</v>
      </c>
      <c r="U614" t="s">
        <v>47</v>
      </c>
      <c r="V614" t="s">
        <v>47</v>
      </c>
      <c r="W614" s="3">
        <v>28004</v>
      </c>
      <c r="X614" s="3">
        <v>40878</v>
      </c>
      <c r="Y614" t="s">
        <v>47</v>
      </c>
      <c r="Z614" s="3">
        <v>28004</v>
      </c>
      <c r="AA614" s="3">
        <v>40878</v>
      </c>
      <c r="AB614" t="s">
        <v>47</v>
      </c>
      <c r="AC614" s="3">
        <v>28004</v>
      </c>
      <c r="AD614" s="3">
        <v>40878</v>
      </c>
      <c r="AE614" t="s">
        <v>47</v>
      </c>
      <c r="AF614" t="s">
        <v>47</v>
      </c>
      <c r="AG614" t="s">
        <v>47</v>
      </c>
      <c r="AH614" t="s">
        <v>47</v>
      </c>
      <c r="AI614" t="s">
        <v>47</v>
      </c>
      <c r="AJ614" t="s">
        <v>47</v>
      </c>
      <c r="AK614" t="s">
        <v>47</v>
      </c>
      <c r="AL614" t="s">
        <v>47</v>
      </c>
      <c r="AM614" t="s">
        <v>47</v>
      </c>
      <c r="AN614" t="s">
        <v>47</v>
      </c>
      <c r="AO614" s="5" t="s">
        <v>60</v>
      </c>
      <c r="AP614" s="4" t="s">
        <v>61</v>
      </c>
      <c r="AQ614" s="4" t="s">
        <v>53</v>
      </c>
      <c r="AR614" s="4" t="s">
        <v>2575</v>
      </c>
      <c r="AS614" s="5">
        <v>37730</v>
      </c>
      <c r="AT614" t="s">
        <v>47</v>
      </c>
    </row>
    <row r="615" spans="1:46" ht="39" x14ac:dyDescent="0.3">
      <c r="A615" s="4" t="s">
        <v>2576</v>
      </c>
      <c r="B615" t="s">
        <v>47</v>
      </c>
      <c r="C615" s="4" t="s">
        <v>382</v>
      </c>
      <c r="D615" s="4" t="s">
        <v>324</v>
      </c>
      <c r="E615" s="4" t="s">
        <v>49</v>
      </c>
      <c r="F615" t="s">
        <v>47</v>
      </c>
      <c r="G615" s="5" t="s">
        <v>2577</v>
      </c>
      <c r="H615" t="s">
        <v>47</v>
      </c>
      <c r="I615" s="3">
        <v>40969</v>
      </c>
      <c r="J615" s="5" t="s">
        <v>50</v>
      </c>
      <c r="K615" t="s">
        <v>47</v>
      </c>
      <c r="L615" s="5" t="s">
        <v>60</v>
      </c>
      <c r="M615" s="3">
        <v>40969</v>
      </c>
      <c r="N615" s="5" t="s">
        <v>50</v>
      </c>
      <c r="O615" t="s">
        <v>47</v>
      </c>
      <c r="P615" s="3">
        <v>40969</v>
      </c>
      <c r="Q615" s="5" t="s">
        <v>50</v>
      </c>
      <c r="R615" t="s">
        <v>47</v>
      </c>
      <c r="S615" t="s">
        <v>47</v>
      </c>
      <c r="T615" t="s">
        <v>47</v>
      </c>
      <c r="U615" t="s">
        <v>47</v>
      </c>
      <c r="V615" t="s">
        <v>47</v>
      </c>
      <c r="W615" s="3">
        <v>40969</v>
      </c>
      <c r="X615" s="5" t="s">
        <v>50</v>
      </c>
      <c r="Y615" t="s">
        <v>47</v>
      </c>
      <c r="Z615" s="3">
        <v>40969</v>
      </c>
      <c r="AA615" s="5" t="s">
        <v>50</v>
      </c>
      <c r="AB615" t="s">
        <v>47</v>
      </c>
      <c r="AC615" s="3">
        <v>40969</v>
      </c>
      <c r="AD615" s="5" t="s">
        <v>50</v>
      </c>
      <c r="AE615" t="s">
        <v>47</v>
      </c>
      <c r="AF615" t="s">
        <v>47</v>
      </c>
      <c r="AG615" t="s">
        <v>47</v>
      </c>
      <c r="AH615" t="s">
        <v>47</v>
      </c>
      <c r="AI615" t="s">
        <v>47</v>
      </c>
      <c r="AJ615" t="s">
        <v>47</v>
      </c>
      <c r="AK615" t="s">
        <v>47</v>
      </c>
      <c r="AL615" t="s">
        <v>47</v>
      </c>
      <c r="AM615" t="s">
        <v>47</v>
      </c>
      <c r="AN615" t="s">
        <v>47</v>
      </c>
      <c r="AO615" s="5" t="s">
        <v>60</v>
      </c>
      <c r="AP615" s="4" t="s">
        <v>61</v>
      </c>
      <c r="AQ615" s="4" t="s">
        <v>53</v>
      </c>
      <c r="AR615" s="4" t="s">
        <v>385</v>
      </c>
      <c r="AS615" s="5">
        <v>1156335</v>
      </c>
      <c r="AT615" t="s">
        <v>47</v>
      </c>
    </row>
    <row r="616" spans="1:46" ht="117" x14ac:dyDescent="0.3">
      <c r="A616" s="4" t="s">
        <v>2578</v>
      </c>
      <c r="B616" t="s">
        <v>47</v>
      </c>
      <c r="C616" s="4" t="s">
        <v>2579</v>
      </c>
      <c r="D616" s="4" t="s">
        <v>2580</v>
      </c>
      <c r="E616" s="4" t="s">
        <v>49</v>
      </c>
      <c r="F616" s="5" t="s">
        <v>2581</v>
      </c>
      <c r="G616" t="s">
        <v>47</v>
      </c>
      <c r="H616" t="s">
        <v>47</v>
      </c>
      <c r="I616" s="3">
        <v>35886</v>
      </c>
      <c r="J616" s="3">
        <v>40817</v>
      </c>
      <c r="K616" t="s">
        <v>47</v>
      </c>
      <c r="L616" s="5" t="s">
        <v>60</v>
      </c>
      <c r="M616" s="3">
        <v>35886</v>
      </c>
      <c r="N616" s="3">
        <v>40817</v>
      </c>
      <c r="O616" t="s">
        <v>47</v>
      </c>
      <c r="P616" s="3">
        <v>35886</v>
      </c>
      <c r="Q616" s="3">
        <v>40817</v>
      </c>
      <c r="R616" t="s">
        <v>47</v>
      </c>
      <c r="S616" t="s">
        <v>47</v>
      </c>
      <c r="T616" t="s">
        <v>47</v>
      </c>
      <c r="U616" t="s">
        <v>47</v>
      </c>
      <c r="V616" t="s">
        <v>47</v>
      </c>
      <c r="W616" s="3">
        <v>35886</v>
      </c>
      <c r="X616" s="3">
        <v>40817</v>
      </c>
      <c r="Y616" t="s">
        <v>47</v>
      </c>
      <c r="Z616" s="3">
        <v>35886</v>
      </c>
      <c r="AA616" s="3">
        <v>40817</v>
      </c>
      <c r="AB616" t="s">
        <v>47</v>
      </c>
      <c r="AC616" s="3">
        <v>36251</v>
      </c>
      <c r="AD616" s="3">
        <v>40817</v>
      </c>
      <c r="AE616" t="s">
        <v>47</v>
      </c>
      <c r="AF616" t="s">
        <v>47</v>
      </c>
      <c r="AG616" t="s">
        <v>47</v>
      </c>
      <c r="AH616" t="s">
        <v>47</v>
      </c>
      <c r="AI616" t="s">
        <v>47</v>
      </c>
      <c r="AJ616" t="s">
        <v>47</v>
      </c>
      <c r="AK616" t="s">
        <v>47</v>
      </c>
      <c r="AL616" t="s">
        <v>47</v>
      </c>
      <c r="AM616" t="s">
        <v>47</v>
      </c>
      <c r="AN616" t="s">
        <v>47</v>
      </c>
      <c r="AO616" s="5" t="s">
        <v>60</v>
      </c>
      <c r="AP616" s="4" t="s">
        <v>61</v>
      </c>
      <c r="AQ616" s="4" t="s">
        <v>53</v>
      </c>
      <c r="AR616" s="4" t="s">
        <v>2582</v>
      </c>
      <c r="AS616" s="5">
        <v>9497</v>
      </c>
      <c r="AT616" t="s">
        <v>47</v>
      </c>
    </row>
    <row r="617" spans="1:46" ht="39" x14ac:dyDescent="0.3">
      <c r="A617" s="4" t="s">
        <v>2583</v>
      </c>
      <c r="B617" t="s">
        <v>47</v>
      </c>
      <c r="C617" s="4" t="s">
        <v>115</v>
      </c>
      <c r="D617" s="4" t="s">
        <v>2584</v>
      </c>
      <c r="E617" s="4" t="s">
        <v>66</v>
      </c>
      <c r="F617" s="5" t="s">
        <v>2585</v>
      </c>
      <c r="G617" s="5" t="s">
        <v>2586</v>
      </c>
      <c r="H617" t="s">
        <v>47</v>
      </c>
      <c r="I617" s="3">
        <v>33970</v>
      </c>
      <c r="J617" s="5" t="s">
        <v>50</v>
      </c>
      <c r="K617" t="s">
        <v>47</v>
      </c>
      <c r="L617" s="5" t="s">
        <v>60</v>
      </c>
      <c r="M617" s="3">
        <v>33970</v>
      </c>
      <c r="N617" s="5" t="s">
        <v>50</v>
      </c>
      <c r="O617" t="s">
        <v>47</v>
      </c>
      <c r="P617" s="3">
        <v>36982</v>
      </c>
      <c r="Q617" s="5" t="s">
        <v>50</v>
      </c>
      <c r="R617" t="s">
        <v>47</v>
      </c>
      <c r="S617" t="s">
        <v>47</v>
      </c>
      <c r="T617" t="s">
        <v>47</v>
      </c>
      <c r="U617" t="s">
        <v>47</v>
      </c>
      <c r="V617" s="5">
        <v>365</v>
      </c>
      <c r="W617" s="3">
        <v>33970</v>
      </c>
      <c r="X617" s="5" t="s">
        <v>50</v>
      </c>
      <c r="Y617" t="s">
        <v>47</v>
      </c>
      <c r="Z617" s="3">
        <v>33970</v>
      </c>
      <c r="AA617" s="5" t="s">
        <v>50</v>
      </c>
      <c r="AB617" t="s">
        <v>47</v>
      </c>
      <c r="AC617" s="3">
        <v>33970</v>
      </c>
      <c r="AD617" s="5" t="s">
        <v>50</v>
      </c>
      <c r="AE617" t="s">
        <v>47</v>
      </c>
      <c r="AF617" t="s">
        <v>47</v>
      </c>
      <c r="AG617" t="s">
        <v>47</v>
      </c>
      <c r="AH617" t="s">
        <v>47</v>
      </c>
      <c r="AI617" t="s">
        <v>47</v>
      </c>
      <c r="AJ617" t="s">
        <v>47</v>
      </c>
      <c r="AK617" t="s">
        <v>47</v>
      </c>
      <c r="AL617" t="s">
        <v>47</v>
      </c>
      <c r="AM617" t="s">
        <v>47</v>
      </c>
      <c r="AN617" t="s">
        <v>47</v>
      </c>
      <c r="AO617" s="5" t="s">
        <v>60</v>
      </c>
      <c r="AP617" s="4" t="s">
        <v>61</v>
      </c>
      <c r="AQ617" t="s">
        <v>47</v>
      </c>
      <c r="AR617" s="4" t="s">
        <v>385</v>
      </c>
      <c r="AS617" s="5">
        <v>49204</v>
      </c>
      <c r="AT617" t="s">
        <v>47</v>
      </c>
    </row>
    <row r="618" spans="1:46" ht="13" x14ac:dyDescent="0.3">
      <c r="A618" s="4" t="s">
        <v>2587</v>
      </c>
      <c r="B618" t="s">
        <v>47</v>
      </c>
      <c r="C618" s="4" t="s">
        <v>691</v>
      </c>
      <c r="D618" s="4" t="s">
        <v>139</v>
      </c>
      <c r="E618" s="4" t="s">
        <v>66</v>
      </c>
      <c r="F618" t="s">
        <v>47</v>
      </c>
      <c r="G618" s="5" t="s">
        <v>2588</v>
      </c>
      <c r="H618" t="s">
        <v>47</v>
      </c>
      <c r="I618" s="3">
        <v>43466</v>
      </c>
      <c r="J618" s="3">
        <v>44197</v>
      </c>
      <c r="K618" t="s">
        <v>47</v>
      </c>
      <c r="L618" s="5" t="s">
        <v>60</v>
      </c>
      <c r="M618" s="3">
        <v>43466</v>
      </c>
      <c r="N618" s="3">
        <v>44197</v>
      </c>
      <c r="O618" t="s">
        <v>47</v>
      </c>
      <c r="P618" s="3">
        <v>43466</v>
      </c>
      <c r="Q618" s="3">
        <v>44197</v>
      </c>
      <c r="R618" t="s">
        <v>47</v>
      </c>
      <c r="S618" t="s">
        <v>47</v>
      </c>
      <c r="T618" t="s">
        <v>47</v>
      </c>
      <c r="U618" t="s">
        <v>47</v>
      </c>
      <c r="V618" t="s">
        <v>47</v>
      </c>
      <c r="W618" s="3">
        <v>43466</v>
      </c>
      <c r="X618" s="3">
        <v>44197</v>
      </c>
      <c r="Y618" t="s">
        <v>47</v>
      </c>
      <c r="Z618" s="3">
        <v>43466</v>
      </c>
      <c r="AA618" s="3">
        <v>44197</v>
      </c>
      <c r="AB618" t="s">
        <v>47</v>
      </c>
      <c r="AC618" s="3">
        <v>43466</v>
      </c>
      <c r="AD618" s="3">
        <v>44197</v>
      </c>
      <c r="AE618" t="s">
        <v>47</v>
      </c>
      <c r="AF618" t="s">
        <v>47</v>
      </c>
      <c r="AG618" t="s">
        <v>47</v>
      </c>
      <c r="AH618" t="s">
        <v>47</v>
      </c>
      <c r="AI618" t="s">
        <v>47</v>
      </c>
      <c r="AJ618" t="s">
        <v>47</v>
      </c>
      <c r="AK618" t="s">
        <v>47</v>
      </c>
      <c r="AL618" t="s">
        <v>47</v>
      </c>
      <c r="AM618" t="s">
        <v>47</v>
      </c>
      <c r="AN618" t="s">
        <v>47</v>
      </c>
      <c r="AO618" s="5" t="s">
        <v>60</v>
      </c>
      <c r="AP618" s="4" t="s">
        <v>61</v>
      </c>
      <c r="AQ618" s="4" t="s">
        <v>53</v>
      </c>
      <c r="AR618" s="4" t="s">
        <v>54</v>
      </c>
      <c r="AS618" s="5">
        <v>5068527</v>
      </c>
      <c r="AT618" t="s">
        <v>47</v>
      </c>
    </row>
    <row r="619" spans="1:46" ht="65" x14ac:dyDescent="0.3">
      <c r="A619" s="4" t="s">
        <v>2589</v>
      </c>
      <c r="B619" t="s">
        <v>47</v>
      </c>
      <c r="C619" s="4" t="s">
        <v>519</v>
      </c>
      <c r="D619" s="4" t="s">
        <v>139</v>
      </c>
      <c r="E619" s="4" t="s">
        <v>49</v>
      </c>
      <c r="F619" s="5" t="s">
        <v>2590</v>
      </c>
      <c r="G619" s="5" t="s">
        <v>2591</v>
      </c>
      <c r="H619" t="s">
        <v>47</v>
      </c>
      <c r="I619" s="3">
        <v>35827</v>
      </c>
      <c r="J619" s="3">
        <v>40026</v>
      </c>
      <c r="K619" t="s">
        <v>47</v>
      </c>
      <c r="L619" s="5" t="s">
        <v>60</v>
      </c>
      <c r="M619" s="3">
        <v>35827</v>
      </c>
      <c r="N619" s="3">
        <v>40026</v>
      </c>
      <c r="O619" t="s">
        <v>47</v>
      </c>
      <c r="P619" s="3">
        <v>35827</v>
      </c>
      <c r="Q619" s="3">
        <v>40026</v>
      </c>
      <c r="R619" t="s">
        <v>47</v>
      </c>
      <c r="S619" t="s">
        <v>47</v>
      </c>
      <c r="T619" t="s">
        <v>47</v>
      </c>
      <c r="U619" t="s">
        <v>47</v>
      </c>
      <c r="V619" t="s">
        <v>47</v>
      </c>
      <c r="W619" s="3">
        <v>35827</v>
      </c>
      <c r="X619" s="5" t="s">
        <v>50</v>
      </c>
      <c r="Y619" t="s">
        <v>47</v>
      </c>
      <c r="Z619" s="3">
        <v>35827</v>
      </c>
      <c r="AA619" s="5" t="s">
        <v>50</v>
      </c>
      <c r="AB619" t="s">
        <v>47</v>
      </c>
      <c r="AC619" s="3">
        <v>38749</v>
      </c>
      <c r="AD619" s="5" t="s">
        <v>50</v>
      </c>
      <c r="AE619" t="s">
        <v>47</v>
      </c>
      <c r="AF619" t="s">
        <v>47</v>
      </c>
      <c r="AG619" t="s">
        <v>47</v>
      </c>
      <c r="AH619" t="s">
        <v>47</v>
      </c>
      <c r="AI619" t="s">
        <v>47</v>
      </c>
      <c r="AJ619" t="s">
        <v>47</v>
      </c>
      <c r="AK619" t="s">
        <v>47</v>
      </c>
      <c r="AL619" t="s">
        <v>47</v>
      </c>
      <c r="AM619" t="s">
        <v>47</v>
      </c>
      <c r="AN619" t="s">
        <v>47</v>
      </c>
      <c r="AO619" s="5" t="s">
        <v>60</v>
      </c>
      <c r="AP619" s="4" t="s">
        <v>61</v>
      </c>
      <c r="AQ619" s="4" t="s">
        <v>53</v>
      </c>
      <c r="AR619" s="4" t="s">
        <v>543</v>
      </c>
      <c r="AS619" s="5">
        <v>8512</v>
      </c>
      <c r="AT619" t="s">
        <v>47</v>
      </c>
    </row>
    <row r="620" spans="1:46" ht="52" x14ac:dyDescent="0.3">
      <c r="A620" s="4" t="s">
        <v>2592</v>
      </c>
      <c r="B620" t="s">
        <v>47</v>
      </c>
      <c r="C620" s="4" t="s">
        <v>122</v>
      </c>
      <c r="D620" s="4" t="s">
        <v>70</v>
      </c>
      <c r="E620" s="4" t="s">
        <v>123</v>
      </c>
      <c r="F620" s="5" t="s">
        <v>2593</v>
      </c>
      <c r="G620" s="5" t="s">
        <v>2594</v>
      </c>
      <c r="H620" t="s">
        <v>47</v>
      </c>
      <c r="I620" s="3">
        <v>35431</v>
      </c>
      <c r="J620" s="5" t="s">
        <v>50</v>
      </c>
      <c r="K620" t="s">
        <v>47</v>
      </c>
      <c r="L620" s="5" t="s">
        <v>60</v>
      </c>
      <c r="M620" s="3">
        <v>38047</v>
      </c>
      <c r="N620" s="3">
        <v>42826</v>
      </c>
      <c r="O620" t="s">
        <v>47</v>
      </c>
      <c r="P620" s="3">
        <v>35431</v>
      </c>
      <c r="Q620" s="5" t="s">
        <v>50</v>
      </c>
      <c r="R620" t="s">
        <v>47</v>
      </c>
      <c r="S620" t="s">
        <v>47</v>
      </c>
      <c r="T620" t="s">
        <v>47</v>
      </c>
      <c r="U620" t="s">
        <v>47</v>
      </c>
      <c r="V620" s="5">
        <v>365</v>
      </c>
      <c r="W620" s="3">
        <v>35431</v>
      </c>
      <c r="X620" s="5" t="s">
        <v>50</v>
      </c>
      <c r="Y620" t="s">
        <v>47</v>
      </c>
      <c r="Z620" s="3">
        <v>35431</v>
      </c>
      <c r="AA620" s="5" t="s">
        <v>50</v>
      </c>
      <c r="AB620" t="s">
        <v>47</v>
      </c>
      <c r="AC620" s="3">
        <v>35431</v>
      </c>
      <c r="AD620" s="5" t="s">
        <v>50</v>
      </c>
      <c r="AE620" t="s">
        <v>47</v>
      </c>
      <c r="AF620" t="s">
        <v>47</v>
      </c>
      <c r="AG620" t="s">
        <v>47</v>
      </c>
      <c r="AH620" t="s">
        <v>47</v>
      </c>
      <c r="AI620" t="s">
        <v>47</v>
      </c>
      <c r="AJ620" t="s">
        <v>47</v>
      </c>
      <c r="AK620" t="s">
        <v>47</v>
      </c>
      <c r="AL620" t="s">
        <v>47</v>
      </c>
      <c r="AM620" t="s">
        <v>47</v>
      </c>
      <c r="AN620" t="s">
        <v>47</v>
      </c>
      <c r="AO620" s="5" t="s">
        <v>60</v>
      </c>
      <c r="AP620" s="4" t="s">
        <v>61</v>
      </c>
      <c r="AQ620" s="4" t="s">
        <v>53</v>
      </c>
      <c r="AR620" s="4" t="s">
        <v>588</v>
      </c>
      <c r="AS620" s="5">
        <v>54016</v>
      </c>
      <c r="AT620" t="s">
        <v>47</v>
      </c>
    </row>
    <row r="621" spans="1:46" ht="65" x14ac:dyDescent="0.3">
      <c r="A621" s="4" t="s">
        <v>2595</v>
      </c>
      <c r="B621" t="s">
        <v>47</v>
      </c>
      <c r="C621" s="4" t="s">
        <v>122</v>
      </c>
      <c r="D621" s="4" t="s">
        <v>206</v>
      </c>
      <c r="E621" s="4" t="s">
        <v>123</v>
      </c>
      <c r="F621" s="5" t="s">
        <v>2596</v>
      </c>
      <c r="G621" s="5" t="s">
        <v>2597</v>
      </c>
      <c r="H621" t="s">
        <v>47</v>
      </c>
      <c r="I621" s="3">
        <v>35431</v>
      </c>
      <c r="J621" s="5" t="s">
        <v>50</v>
      </c>
      <c r="K621" t="s">
        <v>47</v>
      </c>
      <c r="L621" s="5" t="s">
        <v>60</v>
      </c>
      <c r="M621" s="3">
        <v>37987</v>
      </c>
      <c r="N621" s="3">
        <v>42826</v>
      </c>
      <c r="O621" t="s">
        <v>47</v>
      </c>
      <c r="P621" s="3">
        <v>35431</v>
      </c>
      <c r="Q621" s="5" t="s">
        <v>50</v>
      </c>
      <c r="R621" t="s">
        <v>47</v>
      </c>
      <c r="S621" t="s">
        <v>47</v>
      </c>
      <c r="T621" t="s">
        <v>47</v>
      </c>
      <c r="U621" t="s">
        <v>47</v>
      </c>
      <c r="V621" s="5">
        <v>365</v>
      </c>
      <c r="W621" s="3">
        <v>35431</v>
      </c>
      <c r="X621" s="5" t="s">
        <v>50</v>
      </c>
      <c r="Y621" t="s">
        <v>47</v>
      </c>
      <c r="Z621" s="3">
        <v>35431</v>
      </c>
      <c r="AA621" s="5" t="s">
        <v>50</v>
      </c>
      <c r="AB621" t="s">
        <v>47</v>
      </c>
      <c r="AC621" s="3">
        <v>35431</v>
      </c>
      <c r="AD621" s="5" t="s">
        <v>50</v>
      </c>
      <c r="AE621" t="s">
        <v>47</v>
      </c>
      <c r="AF621" t="s">
        <v>47</v>
      </c>
      <c r="AG621" t="s">
        <v>47</v>
      </c>
      <c r="AH621" t="s">
        <v>47</v>
      </c>
      <c r="AI621" t="s">
        <v>47</v>
      </c>
      <c r="AJ621" t="s">
        <v>47</v>
      </c>
      <c r="AK621" t="s">
        <v>47</v>
      </c>
      <c r="AL621" t="s">
        <v>47</v>
      </c>
      <c r="AM621" t="s">
        <v>47</v>
      </c>
      <c r="AN621" t="s">
        <v>47</v>
      </c>
      <c r="AO621" s="5" t="s">
        <v>60</v>
      </c>
      <c r="AP621" s="4" t="s">
        <v>61</v>
      </c>
      <c r="AQ621" s="4" t="s">
        <v>53</v>
      </c>
      <c r="AR621" s="4" t="s">
        <v>285</v>
      </c>
      <c r="AS621" s="5">
        <v>54127</v>
      </c>
      <c r="AT621" t="s">
        <v>47</v>
      </c>
    </row>
    <row r="622" spans="1:46" ht="13" x14ac:dyDescent="0.3">
      <c r="A622" s="4" t="s">
        <v>2598</v>
      </c>
      <c r="B622" t="s">
        <v>47</v>
      </c>
      <c r="C622" s="4" t="s">
        <v>1036</v>
      </c>
      <c r="D622" s="4" t="s">
        <v>70</v>
      </c>
      <c r="E622" s="4" t="s">
        <v>49</v>
      </c>
      <c r="F622" s="5" t="s">
        <v>2599</v>
      </c>
      <c r="G622" t="s">
        <v>47</v>
      </c>
      <c r="H622" t="s">
        <v>47</v>
      </c>
      <c r="I622" t="s">
        <v>47</v>
      </c>
      <c r="J622" t="s">
        <v>47</v>
      </c>
      <c r="K622" t="s">
        <v>47</v>
      </c>
      <c r="L622" s="5" t="s">
        <v>51</v>
      </c>
      <c r="M622" t="s">
        <v>47</v>
      </c>
      <c r="N622" t="s">
        <v>47</v>
      </c>
      <c r="O622" t="s">
        <v>47</v>
      </c>
      <c r="P622" t="s">
        <v>47</v>
      </c>
      <c r="Q622" t="s">
        <v>47</v>
      </c>
      <c r="R622" t="s">
        <v>47</v>
      </c>
      <c r="S622" t="s">
        <v>47</v>
      </c>
      <c r="T622" t="s">
        <v>47</v>
      </c>
      <c r="U622" t="s">
        <v>47</v>
      </c>
      <c r="V622" t="s">
        <v>47</v>
      </c>
      <c r="W622" s="3">
        <v>32509</v>
      </c>
      <c r="X622" s="3">
        <v>35186</v>
      </c>
      <c r="Y622" t="s">
        <v>47</v>
      </c>
      <c r="Z622" s="3">
        <v>32509</v>
      </c>
      <c r="AA622" s="3">
        <v>35186</v>
      </c>
      <c r="AB622" t="s">
        <v>47</v>
      </c>
      <c r="AC622" s="3">
        <v>32509</v>
      </c>
      <c r="AD622" s="3">
        <v>35186</v>
      </c>
      <c r="AE622" t="s">
        <v>47</v>
      </c>
      <c r="AF622" t="s">
        <v>47</v>
      </c>
      <c r="AG622" t="s">
        <v>47</v>
      </c>
      <c r="AH622" t="s">
        <v>47</v>
      </c>
      <c r="AI622" t="s">
        <v>47</v>
      </c>
      <c r="AJ622" t="s">
        <v>47</v>
      </c>
      <c r="AK622" t="s">
        <v>47</v>
      </c>
      <c r="AL622" t="s">
        <v>47</v>
      </c>
      <c r="AM622" t="s">
        <v>47</v>
      </c>
      <c r="AN622" t="s">
        <v>47</v>
      </c>
      <c r="AO622" s="5" t="s">
        <v>51</v>
      </c>
      <c r="AP622" s="4" t="s">
        <v>85</v>
      </c>
      <c r="AQ622" s="4" t="s">
        <v>53</v>
      </c>
      <c r="AR622" s="4" t="s">
        <v>54</v>
      </c>
      <c r="AS622" s="5">
        <v>41670</v>
      </c>
      <c r="AT622" t="s">
        <v>47</v>
      </c>
    </row>
    <row r="623" spans="1:46" ht="13" x14ac:dyDescent="0.3">
      <c r="A623" s="4" t="s">
        <v>2598</v>
      </c>
      <c r="B623" s="4" t="s">
        <v>2600</v>
      </c>
      <c r="C623" s="4" t="s">
        <v>1036</v>
      </c>
      <c r="D623" s="4" t="s">
        <v>70</v>
      </c>
      <c r="E623" s="4" t="s">
        <v>49</v>
      </c>
      <c r="F623" s="5" t="s">
        <v>2601</v>
      </c>
      <c r="G623" t="s">
        <v>47</v>
      </c>
      <c r="H623" t="s">
        <v>47</v>
      </c>
      <c r="I623" t="s">
        <v>47</v>
      </c>
      <c r="J623" t="s">
        <v>47</v>
      </c>
      <c r="K623" t="s">
        <v>47</v>
      </c>
      <c r="L623" s="5" t="s">
        <v>51</v>
      </c>
      <c r="M623" t="s">
        <v>47</v>
      </c>
      <c r="N623" t="s">
        <v>47</v>
      </c>
      <c r="O623" t="s">
        <v>47</v>
      </c>
      <c r="P623" t="s">
        <v>47</v>
      </c>
      <c r="Q623" t="s">
        <v>47</v>
      </c>
      <c r="R623" t="s">
        <v>47</v>
      </c>
      <c r="S623" t="s">
        <v>47</v>
      </c>
      <c r="T623" t="s">
        <v>47</v>
      </c>
      <c r="U623" t="s">
        <v>47</v>
      </c>
      <c r="V623" t="s">
        <v>47</v>
      </c>
      <c r="W623" s="3">
        <v>35278</v>
      </c>
      <c r="X623" s="3">
        <v>36251</v>
      </c>
      <c r="Y623" t="s">
        <v>47</v>
      </c>
      <c r="Z623" s="3">
        <v>35278</v>
      </c>
      <c r="AA623" s="3">
        <v>36251</v>
      </c>
      <c r="AB623" t="s">
        <v>47</v>
      </c>
      <c r="AC623" s="3">
        <v>35278</v>
      </c>
      <c r="AD623" s="3">
        <v>36251</v>
      </c>
      <c r="AE623" t="s">
        <v>47</v>
      </c>
      <c r="AF623" t="s">
        <v>47</v>
      </c>
      <c r="AG623" t="s">
        <v>47</v>
      </c>
      <c r="AH623" t="s">
        <v>47</v>
      </c>
      <c r="AI623" t="s">
        <v>47</v>
      </c>
      <c r="AJ623" t="s">
        <v>47</v>
      </c>
      <c r="AK623" t="s">
        <v>47</v>
      </c>
      <c r="AL623" t="s">
        <v>47</v>
      </c>
      <c r="AM623" t="s">
        <v>47</v>
      </c>
      <c r="AN623" t="s">
        <v>47</v>
      </c>
      <c r="AO623" s="5" t="s">
        <v>51</v>
      </c>
      <c r="AP623" s="4" t="s">
        <v>85</v>
      </c>
      <c r="AQ623" s="4" t="s">
        <v>53</v>
      </c>
      <c r="AR623" s="4" t="s">
        <v>54</v>
      </c>
      <c r="AS623" s="5">
        <v>46696</v>
      </c>
      <c r="AT623" t="s">
        <v>47</v>
      </c>
    </row>
    <row r="624" spans="1:46" ht="13" x14ac:dyDescent="0.3">
      <c r="A624" s="4" t="s">
        <v>2598</v>
      </c>
      <c r="B624" s="4" t="s">
        <v>2602</v>
      </c>
      <c r="C624" s="4" t="s">
        <v>1036</v>
      </c>
      <c r="D624" s="4" t="s">
        <v>70</v>
      </c>
      <c r="E624" s="4" t="s">
        <v>49</v>
      </c>
      <c r="F624" t="s">
        <v>47</v>
      </c>
      <c r="G624" t="s">
        <v>47</v>
      </c>
      <c r="H624" t="s">
        <v>47</v>
      </c>
      <c r="I624" t="s">
        <v>47</v>
      </c>
      <c r="J624" t="s">
        <v>47</v>
      </c>
      <c r="K624" t="s">
        <v>47</v>
      </c>
      <c r="L624" s="5" t="s">
        <v>51</v>
      </c>
      <c r="M624" t="s">
        <v>47</v>
      </c>
      <c r="N624" t="s">
        <v>47</v>
      </c>
      <c r="O624" t="s">
        <v>47</v>
      </c>
      <c r="P624" t="s">
        <v>47</v>
      </c>
      <c r="Q624" t="s">
        <v>47</v>
      </c>
      <c r="R624" t="s">
        <v>47</v>
      </c>
      <c r="S624" t="s">
        <v>47</v>
      </c>
      <c r="T624" t="s">
        <v>47</v>
      </c>
      <c r="U624" t="s">
        <v>47</v>
      </c>
      <c r="V624" t="s">
        <v>47</v>
      </c>
      <c r="W624" s="3">
        <v>35278</v>
      </c>
      <c r="X624" s="3">
        <v>35551</v>
      </c>
      <c r="Y624" t="s">
        <v>47</v>
      </c>
      <c r="Z624" s="3">
        <v>35278</v>
      </c>
      <c r="AA624" s="3">
        <v>35551</v>
      </c>
      <c r="AB624" t="s">
        <v>47</v>
      </c>
      <c r="AC624" s="3">
        <v>35278</v>
      </c>
      <c r="AD624" s="3">
        <v>35551</v>
      </c>
      <c r="AE624" t="s">
        <v>47</v>
      </c>
      <c r="AF624" t="s">
        <v>47</v>
      </c>
      <c r="AG624" t="s">
        <v>47</v>
      </c>
      <c r="AH624" t="s">
        <v>47</v>
      </c>
      <c r="AI624" t="s">
        <v>47</v>
      </c>
      <c r="AJ624" t="s">
        <v>47</v>
      </c>
      <c r="AK624" t="s">
        <v>47</v>
      </c>
      <c r="AL624" t="s">
        <v>47</v>
      </c>
      <c r="AM624" t="s">
        <v>47</v>
      </c>
      <c r="AN624" t="s">
        <v>47</v>
      </c>
      <c r="AO624" s="5" t="s">
        <v>51</v>
      </c>
      <c r="AP624" s="4" t="s">
        <v>85</v>
      </c>
      <c r="AQ624" s="4" t="s">
        <v>53</v>
      </c>
      <c r="AR624" s="4" t="s">
        <v>54</v>
      </c>
      <c r="AS624" s="5">
        <v>46697</v>
      </c>
      <c r="AT624" t="s">
        <v>47</v>
      </c>
    </row>
    <row r="625" spans="1:46" ht="26" x14ac:dyDescent="0.3">
      <c r="A625" s="4" t="s">
        <v>2603</v>
      </c>
      <c r="B625" t="s">
        <v>47</v>
      </c>
      <c r="C625" s="4" t="s">
        <v>2604</v>
      </c>
      <c r="D625" s="4" t="s">
        <v>2605</v>
      </c>
      <c r="E625" s="4" t="s">
        <v>49</v>
      </c>
      <c r="F625" s="5" t="s">
        <v>2606</v>
      </c>
      <c r="G625" t="s">
        <v>47</v>
      </c>
      <c r="H625" t="s">
        <v>47</v>
      </c>
      <c r="I625" t="s">
        <v>47</v>
      </c>
      <c r="J625" t="s">
        <v>47</v>
      </c>
      <c r="K625" t="s">
        <v>47</v>
      </c>
      <c r="L625" s="5" t="s">
        <v>51</v>
      </c>
      <c r="M625" t="s">
        <v>47</v>
      </c>
      <c r="N625" t="s">
        <v>47</v>
      </c>
      <c r="O625" t="s">
        <v>47</v>
      </c>
      <c r="P625" t="s">
        <v>47</v>
      </c>
      <c r="Q625" t="s">
        <v>47</v>
      </c>
      <c r="R625" t="s">
        <v>47</v>
      </c>
      <c r="S625" t="s">
        <v>47</v>
      </c>
      <c r="T625" t="s">
        <v>47</v>
      </c>
      <c r="U625" t="s">
        <v>47</v>
      </c>
      <c r="V625" t="s">
        <v>47</v>
      </c>
      <c r="W625" s="3">
        <v>16803</v>
      </c>
      <c r="X625" s="5" t="s">
        <v>50</v>
      </c>
      <c r="Y625" t="s">
        <v>47</v>
      </c>
      <c r="Z625" s="3">
        <v>16803</v>
      </c>
      <c r="AA625" s="5" t="s">
        <v>50</v>
      </c>
      <c r="AB625" t="s">
        <v>47</v>
      </c>
      <c r="AC625" s="3">
        <v>21033</v>
      </c>
      <c r="AD625" s="5" t="s">
        <v>50</v>
      </c>
      <c r="AE625" s="5" t="s">
        <v>2607</v>
      </c>
      <c r="AF625" t="s">
        <v>47</v>
      </c>
      <c r="AG625" t="s">
        <v>47</v>
      </c>
      <c r="AH625" t="s">
        <v>47</v>
      </c>
      <c r="AI625" t="s">
        <v>47</v>
      </c>
      <c r="AJ625" t="s">
        <v>47</v>
      </c>
      <c r="AK625" t="s">
        <v>47</v>
      </c>
      <c r="AL625" t="s">
        <v>47</v>
      </c>
      <c r="AM625" t="s">
        <v>47</v>
      </c>
      <c r="AN625" t="s">
        <v>47</v>
      </c>
      <c r="AO625" s="5" t="s">
        <v>51</v>
      </c>
      <c r="AP625" s="4" t="s">
        <v>135</v>
      </c>
      <c r="AQ625" s="4" t="s">
        <v>53</v>
      </c>
      <c r="AR625" s="4" t="s">
        <v>395</v>
      </c>
      <c r="AS625" s="5">
        <v>30299</v>
      </c>
      <c r="AT625" t="s">
        <v>47</v>
      </c>
    </row>
    <row r="626" spans="1:46" ht="130" x14ac:dyDescent="0.3">
      <c r="A626" s="4" t="s">
        <v>2608</v>
      </c>
      <c r="B626" t="s">
        <v>47</v>
      </c>
      <c r="C626" s="4" t="s">
        <v>378</v>
      </c>
      <c r="D626" s="4" t="s">
        <v>88</v>
      </c>
      <c r="E626" s="4" t="s">
        <v>49</v>
      </c>
      <c r="F626" s="5" t="s">
        <v>2609</v>
      </c>
      <c r="G626" s="5" t="s">
        <v>2610</v>
      </c>
      <c r="H626" t="s">
        <v>47</v>
      </c>
      <c r="I626" s="3">
        <v>40210</v>
      </c>
      <c r="J626" s="5" t="s">
        <v>50</v>
      </c>
      <c r="K626" t="s">
        <v>47</v>
      </c>
      <c r="L626" s="5" t="s">
        <v>60</v>
      </c>
      <c r="M626" s="3">
        <v>40210</v>
      </c>
      <c r="N626" s="5" t="s">
        <v>50</v>
      </c>
      <c r="O626" t="s">
        <v>47</v>
      </c>
      <c r="P626" s="3">
        <v>40210</v>
      </c>
      <c r="Q626" s="5" t="s">
        <v>50</v>
      </c>
      <c r="R626" t="s">
        <v>47</v>
      </c>
      <c r="S626" t="s">
        <v>47</v>
      </c>
      <c r="T626" t="s">
        <v>47</v>
      </c>
      <c r="U626" t="s">
        <v>47</v>
      </c>
      <c r="V626" t="s">
        <v>47</v>
      </c>
      <c r="W626" s="3">
        <v>40210</v>
      </c>
      <c r="X626" s="5" t="s">
        <v>50</v>
      </c>
      <c r="Y626" t="s">
        <v>47</v>
      </c>
      <c r="Z626" s="3">
        <v>40210</v>
      </c>
      <c r="AA626" s="5" t="s">
        <v>50</v>
      </c>
      <c r="AB626" t="s">
        <v>47</v>
      </c>
      <c r="AC626" s="3">
        <v>40210</v>
      </c>
      <c r="AD626" s="5" t="s">
        <v>50</v>
      </c>
      <c r="AE626" t="s">
        <v>47</v>
      </c>
      <c r="AF626" t="s">
        <v>47</v>
      </c>
      <c r="AG626" t="s">
        <v>47</v>
      </c>
      <c r="AH626" t="s">
        <v>47</v>
      </c>
      <c r="AI626" t="s">
        <v>47</v>
      </c>
      <c r="AJ626" t="s">
        <v>47</v>
      </c>
      <c r="AK626" t="s">
        <v>47</v>
      </c>
      <c r="AL626" t="s">
        <v>47</v>
      </c>
      <c r="AM626" t="s">
        <v>47</v>
      </c>
      <c r="AN626" t="s">
        <v>47</v>
      </c>
      <c r="AO626" s="5" t="s">
        <v>60</v>
      </c>
      <c r="AP626" s="4" t="s">
        <v>61</v>
      </c>
      <c r="AQ626" s="4" t="s">
        <v>53</v>
      </c>
      <c r="AR626" s="4" t="s">
        <v>214</v>
      </c>
      <c r="AS626" s="5">
        <v>806345</v>
      </c>
      <c r="AT626" t="s">
        <v>47</v>
      </c>
    </row>
    <row r="627" spans="1:46" ht="26" x14ac:dyDescent="0.3">
      <c r="A627" s="4" t="s">
        <v>2611</v>
      </c>
      <c r="B627" t="s">
        <v>47</v>
      </c>
      <c r="C627" s="4" t="s">
        <v>716</v>
      </c>
      <c r="D627" s="4" t="s">
        <v>2612</v>
      </c>
      <c r="E627" s="4" t="s">
        <v>49</v>
      </c>
      <c r="F627" s="5" t="s">
        <v>2613</v>
      </c>
      <c r="G627" t="s">
        <v>47</v>
      </c>
      <c r="H627" t="s">
        <v>47</v>
      </c>
      <c r="I627" s="3">
        <v>43101</v>
      </c>
      <c r="J627" s="5" t="s">
        <v>50</v>
      </c>
      <c r="K627" s="5" t="s">
        <v>450</v>
      </c>
      <c r="L627" s="5" t="s">
        <v>60</v>
      </c>
      <c r="M627" t="s">
        <v>47</v>
      </c>
      <c r="N627" t="s">
        <v>47</v>
      </c>
      <c r="O627" t="s">
        <v>47</v>
      </c>
      <c r="P627" t="s">
        <v>47</v>
      </c>
      <c r="Q627" t="s">
        <v>47</v>
      </c>
      <c r="R627" t="s">
        <v>47</v>
      </c>
      <c r="S627" s="3">
        <v>43101</v>
      </c>
      <c r="T627" s="5" t="s">
        <v>50</v>
      </c>
      <c r="U627" s="5" t="s">
        <v>450</v>
      </c>
      <c r="V627" t="s">
        <v>47</v>
      </c>
      <c r="W627" s="3">
        <v>43101</v>
      </c>
      <c r="X627" s="5" t="s">
        <v>50</v>
      </c>
      <c r="Y627" s="5" t="s">
        <v>450</v>
      </c>
      <c r="Z627" s="3">
        <v>43101</v>
      </c>
      <c r="AA627" s="5" t="s">
        <v>50</v>
      </c>
      <c r="AB627" s="5" t="s">
        <v>450</v>
      </c>
      <c r="AC627" s="3">
        <v>43101</v>
      </c>
      <c r="AD627" s="5" t="s">
        <v>50</v>
      </c>
      <c r="AE627" s="5" t="s">
        <v>450</v>
      </c>
      <c r="AF627" t="s">
        <v>47</v>
      </c>
      <c r="AG627" t="s">
        <v>47</v>
      </c>
      <c r="AH627" t="s">
        <v>47</v>
      </c>
      <c r="AI627" t="s">
        <v>47</v>
      </c>
      <c r="AJ627" t="s">
        <v>47</v>
      </c>
      <c r="AK627" t="s">
        <v>47</v>
      </c>
      <c r="AL627" t="s">
        <v>47</v>
      </c>
      <c r="AM627" t="s">
        <v>47</v>
      </c>
      <c r="AN627" t="s">
        <v>47</v>
      </c>
      <c r="AO627" s="5" t="s">
        <v>51</v>
      </c>
      <c r="AP627" s="4" t="s">
        <v>61</v>
      </c>
      <c r="AQ627" s="4" t="s">
        <v>53</v>
      </c>
      <c r="AR627" s="4" t="s">
        <v>54</v>
      </c>
      <c r="AS627" s="5">
        <v>4379812</v>
      </c>
      <c r="AT627" t="s">
        <v>47</v>
      </c>
    </row>
    <row r="628" spans="1:46" ht="104" x14ac:dyDescent="0.3">
      <c r="A628" s="4" t="s">
        <v>2614</v>
      </c>
      <c r="B628" t="s">
        <v>47</v>
      </c>
      <c r="C628" s="4" t="s">
        <v>169</v>
      </c>
      <c r="D628" s="4" t="s">
        <v>339</v>
      </c>
      <c r="E628" s="4" t="s">
        <v>66</v>
      </c>
      <c r="F628" s="5" t="s">
        <v>2615</v>
      </c>
      <c r="G628" s="5" t="s">
        <v>2616</v>
      </c>
      <c r="H628" t="s">
        <v>47</v>
      </c>
      <c r="I628" t="s">
        <v>47</v>
      </c>
      <c r="J628" t="s">
        <v>47</v>
      </c>
      <c r="K628" t="s">
        <v>47</v>
      </c>
      <c r="L628" s="5" t="s">
        <v>60</v>
      </c>
      <c r="M628" t="s">
        <v>47</v>
      </c>
      <c r="N628" t="s">
        <v>47</v>
      </c>
      <c r="O628" t="s">
        <v>47</v>
      </c>
      <c r="P628" t="s">
        <v>47</v>
      </c>
      <c r="Q628" t="s">
        <v>47</v>
      </c>
      <c r="R628" t="s">
        <v>47</v>
      </c>
      <c r="S628" t="s">
        <v>47</v>
      </c>
      <c r="T628" t="s">
        <v>47</v>
      </c>
      <c r="U628" t="s">
        <v>47</v>
      </c>
      <c r="V628" t="s">
        <v>47</v>
      </c>
      <c r="W628" s="3">
        <v>40544</v>
      </c>
      <c r="X628" s="5" t="s">
        <v>50</v>
      </c>
      <c r="Y628" t="s">
        <v>47</v>
      </c>
      <c r="Z628" s="3">
        <v>40544</v>
      </c>
      <c r="AA628" s="5" t="s">
        <v>50</v>
      </c>
      <c r="AB628" t="s">
        <v>47</v>
      </c>
      <c r="AC628" s="3">
        <v>40544</v>
      </c>
      <c r="AD628" s="5" t="s">
        <v>50</v>
      </c>
      <c r="AE628" t="s">
        <v>47</v>
      </c>
      <c r="AF628" t="s">
        <v>47</v>
      </c>
      <c r="AG628" t="s">
        <v>47</v>
      </c>
      <c r="AH628" t="s">
        <v>47</v>
      </c>
      <c r="AI628" t="s">
        <v>47</v>
      </c>
      <c r="AJ628" t="s">
        <v>47</v>
      </c>
      <c r="AK628" t="s">
        <v>47</v>
      </c>
      <c r="AL628" t="s">
        <v>47</v>
      </c>
      <c r="AM628" t="s">
        <v>47</v>
      </c>
      <c r="AN628" t="s">
        <v>47</v>
      </c>
      <c r="AO628" s="5" t="s">
        <v>60</v>
      </c>
      <c r="AP628" s="4" t="s">
        <v>61</v>
      </c>
      <c r="AQ628" s="4" t="s">
        <v>53</v>
      </c>
      <c r="AR628" s="4" t="s">
        <v>1999</v>
      </c>
      <c r="AS628" s="5">
        <v>436408</v>
      </c>
      <c r="AT628" t="s">
        <v>47</v>
      </c>
    </row>
    <row r="629" spans="1:46" ht="52" x14ac:dyDescent="0.3">
      <c r="A629" s="4" t="s">
        <v>2617</v>
      </c>
      <c r="B629" t="s">
        <v>47</v>
      </c>
      <c r="C629" s="4" t="s">
        <v>115</v>
      </c>
      <c r="D629" s="4" t="s">
        <v>559</v>
      </c>
      <c r="E629" s="4" t="s">
        <v>66</v>
      </c>
      <c r="F629" s="5" t="s">
        <v>2618</v>
      </c>
      <c r="G629" s="5" t="s">
        <v>2619</v>
      </c>
      <c r="H629" t="s">
        <v>47</v>
      </c>
      <c r="I629" s="3">
        <v>38718</v>
      </c>
      <c r="J629" s="5" t="s">
        <v>50</v>
      </c>
      <c r="K629" t="s">
        <v>47</v>
      </c>
      <c r="L629" s="5" t="s">
        <v>60</v>
      </c>
      <c r="M629" s="3">
        <v>39448</v>
      </c>
      <c r="N629" s="5" t="s">
        <v>50</v>
      </c>
      <c r="O629" t="s">
        <v>47</v>
      </c>
      <c r="P629" s="3">
        <v>38718</v>
      </c>
      <c r="Q629" s="5" t="s">
        <v>50</v>
      </c>
      <c r="R629" t="s">
        <v>47</v>
      </c>
      <c r="S629" t="s">
        <v>47</v>
      </c>
      <c r="T629" t="s">
        <v>47</v>
      </c>
      <c r="U629" t="s">
        <v>47</v>
      </c>
      <c r="V629" s="5">
        <v>365</v>
      </c>
      <c r="W629" s="3">
        <v>38718</v>
      </c>
      <c r="X629" s="5" t="s">
        <v>50</v>
      </c>
      <c r="Y629" t="s">
        <v>47</v>
      </c>
      <c r="Z629" s="3">
        <v>38718</v>
      </c>
      <c r="AA629" s="5" t="s">
        <v>50</v>
      </c>
      <c r="AB629" t="s">
        <v>47</v>
      </c>
      <c r="AC629" s="3">
        <v>38718</v>
      </c>
      <c r="AD629" s="5" t="s">
        <v>50</v>
      </c>
      <c r="AE629" t="s">
        <v>47</v>
      </c>
      <c r="AF629" t="s">
        <v>47</v>
      </c>
      <c r="AG629" t="s">
        <v>47</v>
      </c>
      <c r="AH629" t="s">
        <v>47</v>
      </c>
      <c r="AI629" t="s">
        <v>47</v>
      </c>
      <c r="AJ629" t="s">
        <v>47</v>
      </c>
      <c r="AK629" t="s">
        <v>47</v>
      </c>
      <c r="AL629" t="s">
        <v>47</v>
      </c>
      <c r="AM629" t="s">
        <v>47</v>
      </c>
      <c r="AN629" t="s">
        <v>47</v>
      </c>
      <c r="AO629" s="5" t="s">
        <v>60</v>
      </c>
      <c r="AP629" s="4" t="s">
        <v>61</v>
      </c>
      <c r="AQ629" s="4" t="s">
        <v>53</v>
      </c>
      <c r="AR629" s="4" t="s">
        <v>1706</v>
      </c>
      <c r="AS629" s="5">
        <v>1006424</v>
      </c>
      <c r="AT629" t="s">
        <v>47</v>
      </c>
    </row>
    <row r="630" spans="1:46" ht="13" x14ac:dyDescent="0.3">
      <c r="A630" s="4" t="s">
        <v>2620</v>
      </c>
      <c r="B630" t="s">
        <v>47</v>
      </c>
      <c r="C630" s="4" t="s">
        <v>122</v>
      </c>
      <c r="D630" s="4" t="s">
        <v>901</v>
      </c>
      <c r="E630" s="4" t="s">
        <v>123</v>
      </c>
      <c r="F630" s="5" t="s">
        <v>2621</v>
      </c>
      <c r="G630" s="5" t="s">
        <v>2622</v>
      </c>
      <c r="H630" t="s">
        <v>47</v>
      </c>
      <c r="I630" s="3">
        <v>40909</v>
      </c>
      <c r="J630" s="5" t="s">
        <v>50</v>
      </c>
      <c r="K630" s="5" t="s">
        <v>2623</v>
      </c>
      <c r="L630" s="5" t="s">
        <v>60</v>
      </c>
      <c r="M630" s="3">
        <v>40909</v>
      </c>
      <c r="N630" s="3">
        <v>42856</v>
      </c>
      <c r="O630" t="s">
        <v>47</v>
      </c>
      <c r="P630" s="3">
        <v>41609</v>
      </c>
      <c r="Q630" s="5" t="s">
        <v>50</v>
      </c>
      <c r="R630" s="5" t="s">
        <v>2623</v>
      </c>
      <c r="S630" t="s">
        <v>47</v>
      </c>
      <c r="T630" t="s">
        <v>47</v>
      </c>
      <c r="U630" t="s">
        <v>47</v>
      </c>
      <c r="V630" s="5">
        <v>365</v>
      </c>
      <c r="W630" s="3">
        <v>33604</v>
      </c>
      <c r="X630" s="5" t="s">
        <v>50</v>
      </c>
      <c r="Y630" t="s">
        <v>47</v>
      </c>
      <c r="Z630" s="3">
        <v>33604</v>
      </c>
      <c r="AA630" s="5" t="s">
        <v>50</v>
      </c>
      <c r="AB630" t="s">
        <v>47</v>
      </c>
      <c r="AC630" s="3">
        <v>37712</v>
      </c>
      <c r="AD630" s="5" t="s">
        <v>50</v>
      </c>
      <c r="AE630" s="5" t="s">
        <v>2624</v>
      </c>
      <c r="AF630" t="s">
        <v>47</v>
      </c>
      <c r="AG630" t="s">
        <v>47</v>
      </c>
      <c r="AH630" t="s">
        <v>47</v>
      </c>
      <c r="AI630" t="s">
        <v>47</v>
      </c>
      <c r="AJ630" t="s">
        <v>47</v>
      </c>
      <c r="AK630" t="s">
        <v>47</v>
      </c>
      <c r="AL630" t="s">
        <v>47</v>
      </c>
      <c r="AM630" t="s">
        <v>47</v>
      </c>
      <c r="AN630" t="s">
        <v>47</v>
      </c>
      <c r="AO630" s="5" t="s">
        <v>60</v>
      </c>
      <c r="AP630" s="4" t="s">
        <v>61</v>
      </c>
      <c r="AQ630" s="4" t="s">
        <v>53</v>
      </c>
      <c r="AR630" s="4" t="s">
        <v>54</v>
      </c>
      <c r="AS630" s="5">
        <v>47497</v>
      </c>
      <c r="AT630" t="s">
        <v>47</v>
      </c>
    </row>
    <row r="631" spans="1:46" ht="78" x14ac:dyDescent="0.3">
      <c r="A631" s="4" t="s">
        <v>2625</v>
      </c>
      <c r="B631" t="s">
        <v>47</v>
      </c>
      <c r="C631" s="4" t="s">
        <v>2626</v>
      </c>
      <c r="D631" s="4" t="s">
        <v>2319</v>
      </c>
      <c r="E631" s="4" t="s">
        <v>49</v>
      </c>
      <c r="F631" s="5" t="s">
        <v>2627</v>
      </c>
      <c r="G631" s="5" t="s">
        <v>2628</v>
      </c>
      <c r="H631" t="s">
        <v>47</v>
      </c>
      <c r="I631" s="3">
        <v>35886</v>
      </c>
      <c r="J631" s="3">
        <v>38808</v>
      </c>
      <c r="K631" t="s">
        <v>47</v>
      </c>
      <c r="L631" s="5" t="s">
        <v>60</v>
      </c>
      <c r="M631" s="3">
        <v>35886</v>
      </c>
      <c r="N631" s="3">
        <v>38808</v>
      </c>
      <c r="O631" t="s">
        <v>47</v>
      </c>
      <c r="P631" s="3">
        <v>35886</v>
      </c>
      <c r="Q631" s="3">
        <v>38808</v>
      </c>
      <c r="R631" t="s">
        <v>47</v>
      </c>
      <c r="S631" t="s">
        <v>47</v>
      </c>
      <c r="T631" t="s">
        <v>47</v>
      </c>
      <c r="U631" t="s">
        <v>47</v>
      </c>
      <c r="V631" t="s">
        <v>47</v>
      </c>
      <c r="W631" s="3">
        <v>35886</v>
      </c>
      <c r="X631" s="3">
        <v>38808</v>
      </c>
      <c r="Y631" t="s">
        <v>47</v>
      </c>
      <c r="Z631" s="3">
        <v>35886</v>
      </c>
      <c r="AA631" s="3">
        <v>38808</v>
      </c>
      <c r="AB631" t="s">
        <v>47</v>
      </c>
      <c r="AC631" s="3">
        <v>35886</v>
      </c>
      <c r="AD631" s="3">
        <v>38808</v>
      </c>
      <c r="AE631" t="s">
        <v>47</v>
      </c>
      <c r="AF631" t="s">
        <v>47</v>
      </c>
      <c r="AG631" t="s">
        <v>47</v>
      </c>
      <c r="AH631" t="s">
        <v>47</v>
      </c>
      <c r="AI631" t="s">
        <v>47</v>
      </c>
      <c r="AJ631" t="s">
        <v>47</v>
      </c>
      <c r="AK631" t="s">
        <v>47</v>
      </c>
      <c r="AL631" t="s">
        <v>47</v>
      </c>
      <c r="AM631" t="s">
        <v>47</v>
      </c>
      <c r="AN631" t="s">
        <v>47</v>
      </c>
      <c r="AO631" s="5" t="s">
        <v>51</v>
      </c>
      <c r="AP631" s="4" t="s">
        <v>61</v>
      </c>
      <c r="AQ631" s="4" t="s">
        <v>53</v>
      </c>
      <c r="AR631" s="4" t="s">
        <v>2629</v>
      </c>
      <c r="AS631" s="5">
        <v>41262</v>
      </c>
      <c r="AT631" t="s">
        <v>47</v>
      </c>
    </row>
    <row r="632" spans="1:46" ht="26" x14ac:dyDescent="0.3">
      <c r="A632" s="4" t="s">
        <v>2630</v>
      </c>
      <c r="B632" t="s">
        <v>47</v>
      </c>
      <c r="C632" s="4" t="s">
        <v>2631</v>
      </c>
      <c r="D632" s="4" t="s">
        <v>2632</v>
      </c>
      <c r="E632" s="4" t="s">
        <v>156</v>
      </c>
      <c r="F632" s="5" t="s">
        <v>2633</v>
      </c>
      <c r="G632" s="5" t="s">
        <v>2634</v>
      </c>
      <c r="H632" t="s">
        <v>47</v>
      </c>
      <c r="I632" s="3">
        <v>42370</v>
      </c>
      <c r="J632" s="3">
        <v>44197</v>
      </c>
      <c r="K632" t="s">
        <v>47</v>
      </c>
      <c r="L632" s="5" t="s">
        <v>60</v>
      </c>
      <c r="M632" s="3">
        <v>42370</v>
      </c>
      <c r="N632" s="3">
        <v>44197</v>
      </c>
      <c r="O632" t="s">
        <v>47</v>
      </c>
      <c r="P632" s="3">
        <v>42370</v>
      </c>
      <c r="Q632" s="3">
        <v>44197</v>
      </c>
      <c r="R632" t="s">
        <v>47</v>
      </c>
      <c r="S632" t="s">
        <v>47</v>
      </c>
      <c r="T632" t="s">
        <v>47</v>
      </c>
      <c r="U632" t="s">
        <v>47</v>
      </c>
      <c r="V632" t="s">
        <v>47</v>
      </c>
      <c r="W632" s="3">
        <v>42370</v>
      </c>
      <c r="X632" s="3">
        <v>44197</v>
      </c>
      <c r="Y632" t="s">
        <v>47</v>
      </c>
      <c r="Z632" s="3">
        <v>42370</v>
      </c>
      <c r="AA632" s="3">
        <v>44197</v>
      </c>
      <c r="AB632" t="s">
        <v>47</v>
      </c>
      <c r="AC632" s="3">
        <v>42370</v>
      </c>
      <c r="AD632" s="3">
        <v>44197</v>
      </c>
      <c r="AE632" t="s">
        <v>47</v>
      </c>
      <c r="AF632" t="s">
        <v>47</v>
      </c>
      <c r="AG632" t="s">
        <v>47</v>
      </c>
      <c r="AH632" t="s">
        <v>47</v>
      </c>
      <c r="AI632" t="s">
        <v>47</v>
      </c>
      <c r="AJ632" t="s">
        <v>47</v>
      </c>
      <c r="AK632" t="s">
        <v>47</v>
      </c>
      <c r="AL632" t="s">
        <v>47</v>
      </c>
      <c r="AM632" t="s">
        <v>47</v>
      </c>
      <c r="AN632" t="s">
        <v>47</v>
      </c>
      <c r="AO632" s="5" t="s">
        <v>60</v>
      </c>
      <c r="AP632" s="4" t="s">
        <v>61</v>
      </c>
      <c r="AQ632" s="4" t="s">
        <v>2635</v>
      </c>
      <c r="AR632" s="4" t="s">
        <v>54</v>
      </c>
      <c r="AS632" s="5">
        <v>2039859</v>
      </c>
      <c r="AT632" t="s">
        <v>47</v>
      </c>
    </row>
    <row r="633" spans="1:46" ht="52" x14ac:dyDescent="0.3">
      <c r="A633" s="4" t="s">
        <v>2636</v>
      </c>
      <c r="B633" t="s">
        <v>47</v>
      </c>
      <c r="C633" s="4" t="s">
        <v>2637</v>
      </c>
      <c r="D633" s="4" t="s">
        <v>2638</v>
      </c>
      <c r="E633" s="4" t="s">
        <v>49</v>
      </c>
      <c r="F633" t="s">
        <v>47</v>
      </c>
      <c r="G633" t="s">
        <v>47</v>
      </c>
      <c r="H633" t="s">
        <v>47</v>
      </c>
      <c r="I633" s="3">
        <v>35796</v>
      </c>
      <c r="J633" s="5" t="s">
        <v>50</v>
      </c>
      <c r="K633" s="5" t="s">
        <v>537</v>
      </c>
      <c r="L633" s="5" t="s">
        <v>60</v>
      </c>
      <c r="M633" s="3">
        <v>35796</v>
      </c>
      <c r="N633" s="3">
        <v>37257</v>
      </c>
      <c r="O633" t="s">
        <v>47</v>
      </c>
      <c r="P633" s="3">
        <v>35796</v>
      </c>
      <c r="Q633" s="5" t="s">
        <v>50</v>
      </c>
      <c r="R633" s="5" t="s">
        <v>537</v>
      </c>
      <c r="S633" t="s">
        <v>47</v>
      </c>
      <c r="T633" t="s">
        <v>47</v>
      </c>
      <c r="U633" t="s">
        <v>47</v>
      </c>
      <c r="V633" t="s">
        <v>47</v>
      </c>
      <c r="W633" s="3">
        <v>35796</v>
      </c>
      <c r="X633" s="5" t="s">
        <v>50</v>
      </c>
      <c r="Y633" s="5" t="s">
        <v>537</v>
      </c>
      <c r="Z633" s="3">
        <v>35796</v>
      </c>
      <c r="AA633" s="5" t="s">
        <v>50</v>
      </c>
      <c r="AB633" s="5" t="s">
        <v>537</v>
      </c>
      <c r="AC633" s="3">
        <v>37257</v>
      </c>
      <c r="AD633" s="5" t="s">
        <v>50</v>
      </c>
      <c r="AE633" s="5" t="s">
        <v>537</v>
      </c>
      <c r="AF633" t="s">
        <v>47</v>
      </c>
      <c r="AG633" t="s">
        <v>47</v>
      </c>
      <c r="AH633" t="s">
        <v>47</v>
      </c>
      <c r="AI633" t="s">
        <v>47</v>
      </c>
      <c r="AJ633" t="s">
        <v>47</v>
      </c>
      <c r="AK633" t="s">
        <v>47</v>
      </c>
      <c r="AL633" t="s">
        <v>47</v>
      </c>
      <c r="AM633" t="s">
        <v>47</v>
      </c>
      <c r="AN633" t="s">
        <v>47</v>
      </c>
      <c r="AO633" s="5" t="s">
        <v>51</v>
      </c>
      <c r="AP633" s="4" t="s">
        <v>61</v>
      </c>
      <c r="AQ633" s="4" t="s">
        <v>53</v>
      </c>
      <c r="AR633" s="4" t="s">
        <v>1745</v>
      </c>
      <c r="AS633" s="5">
        <v>26551</v>
      </c>
      <c r="AT633" t="s">
        <v>47</v>
      </c>
    </row>
    <row r="634" spans="1:46" ht="91" x14ac:dyDescent="0.3">
      <c r="A634" s="4" t="s">
        <v>2639</v>
      </c>
      <c r="B634" t="s">
        <v>47</v>
      </c>
      <c r="C634" s="4" t="s">
        <v>1996</v>
      </c>
      <c r="D634" s="4" t="s">
        <v>2110</v>
      </c>
      <c r="E634" s="4" t="s">
        <v>66</v>
      </c>
      <c r="F634" s="5" t="s">
        <v>2640</v>
      </c>
      <c r="G634" s="5" t="s">
        <v>2641</v>
      </c>
      <c r="H634" t="s">
        <v>47</v>
      </c>
      <c r="I634" s="3">
        <v>41061</v>
      </c>
      <c r="J634" s="3">
        <v>43282</v>
      </c>
      <c r="K634" t="s">
        <v>47</v>
      </c>
      <c r="L634" s="5" t="s">
        <v>51</v>
      </c>
      <c r="M634" s="3">
        <v>41061</v>
      </c>
      <c r="N634" s="3">
        <v>43282</v>
      </c>
      <c r="O634" t="s">
        <v>47</v>
      </c>
      <c r="P634" s="3">
        <v>41061</v>
      </c>
      <c r="Q634" s="3">
        <v>43282</v>
      </c>
      <c r="R634" t="s">
        <v>47</v>
      </c>
      <c r="S634" t="s">
        <v>47</v>
      </c>
      <c r="T634" t="s">
        <v>47</v>
      </c>
      <c r="U634" t="s">
        <v>47</v>
      </c>
      <c r="V634" t="s">
        <v>47</v>
      </c>
      <c r="W634" s="3">
        <v>41061</v>
      </c>
      <c r="X634" s="3">
        <v>43282</v>
      </c>
      <c r="Y634" t="s">
        <v>47</v>
      </c>
      <c r="Z634" s="3">
        <v>41061</v>
      </c>
      <c r="AA634" s="3">
        <v>43282</v>
      </c>
      <c r="AB634" t="s">
        <v>47</v>
      </c>
      <c r="AC634" s="3">
        <v>41061</v>
      </c>
      <c r="AD634" s="3">
        <v>43282</v>
      </c>
      <c r="AE634" t="s">
        <v>47</v>
      </c>
      <c r="AF634" t="s">
        <v>47</v>
      </c>
      <c r="AG634" t="s">
        <v>47</v>
      </c>
      <c r="AH634" t="s">
        <v>47</v>
      </c>
      <c r="AI634" t="s">
        <v>47</v>
      </c>
      <c r="AJ634" t="s">
        <v>47</v>
      </c>
      <c r="AK634" t="s">
        <v>47</v>
      </c>
      <c r="AL634" t="s">
        <v>47</v>
      </c>
      <c r="AM634" t="s">
        <v>47</v>
      </c>
      <c r="AN634" t="s">
        <v>47</v>
      </c>
      <c r="AO634" s="5" t="s">
        <v>51</v>
      </c>
      <c r="AP634" s="4" t="s">
        <v>2113</v>
      </c>
      <c r="AQ634" s="4" t="s">
        <v>53</v>
      </c>
      <c r="AR634" s="4" t="s">
        <v>2513</v>
      </c>
      <c r="AS634" s="5">
        <v>1796414</v>
      </c>
      <c r="AT634" t="s">
        <v>47</v>
      </c>
    </row>
    <row r="635" spans="1:46" ht="52" x14ac:dyDescent="0.3">
      <c r="A635" s="4" t="s">
        <v>2642</v>
      </c>
      <c r="B635" t="s">
        <v>47</v>
      </c>
      <c r="C635" s="4" t="s">
        <v>2643</v>
      </c>
      <c r="D635" s="4" t="s">
        <v>2644</v>
      </c>
      <c r="E635" s="4" t="s">
        <v>49</v>
      </c>
      <c r="F635" s="5" t="s">
        <v>2645</v>
      </c>
      <c r="G635" t="s">
        <v>47</v>
      </c>
      <c r="H635" t="s">
        <v>47</v>
      </c>
      <c r="I635" s="3">
        <v>37895</v>
      </c>
      <c r="J635" s="3">
        <v>42095</v>
      </c>
      <c r="K635" t="s">
        <v>47</v>
      </c>
      <c r="L635" s="5" t="s">
        <v>60</v>
      </c>
      <c r="M635" s="3">
        <v>37895</v>
      </c>
      <c r="N635" s="3">
        <v>42095</v>
      </c>
      <c r="O635" t="s">
        <v>47</v>
      </c>
      <c r="P635" s="3">
        <v>37895</v>
      </c>
      <c r="Q635" s="3">
        <v>42095</v>
      </c>
      <c r="R635" t="s">
        <v>47</v>
      </c>
      <c r="S635" t="s">
        <v>47</v>
      </c>
      <c r="T635" t="s">
        <v>47</v>
      </c>
      <c r="U635" t="s">
        <v>47</v>
      </c>
      <c r="V635" t="s">
        <v>47</v>
      </c>
      <c r="W635" s="3">
        <v>37895</v>
      </c>
      <c r="X635" s="3">
        <v>42095</v>
      </c>
      <c r="Y635" t="s">
        <v>47</v>
      </c>
      <c r="Z635" s="3">
        <v>37895</v>
      </c>
      <c r="AA635" s="3">
        <v>42095</v>
      </c>
      <c r="AB635" t="s">
        <v>47</v>
      </c>
      <c r="AC635" s="3">
        <v>37895</v>
      </c>
      <c r="AD635" s="3">
        <v>42095</v>
      </c>
      <c r="AE635" t="s">
        <v>47</v>
      </c>
      <c r="AF635" t="s">
        <v>47</v>
      </c>
      <c r="AG635" t="s">
        <v>47</v>
      </c>
      <c r="AH635" t="s">
        <v>47</v>
      </c>
      <c r="AI635" t="s">
        <v>47</v>
      </c>
      <c r="AJ635" t="s">
        <v>47</v>
      </c>
      <c r="AK635" t="s">
        <v>47</v>
      </c>
      <c r="AL635" t="s">
        <v>47</v>
      </c>
      <c r="AM635" t="s">
        <v>47</v>
      </c>
      <c r="AN635" t="s">
        <v>47</v>
      </c>
      <c r="AO635" s="5" t="s">
        <v>60</v>
      </c>
      <c r="AP635" s="4" t="s">
        <v>61</v>
      </c>
      <c r="AQ635" s="4" t="s">
        <v>53</v>
      </c>
      <c r="AR635" s="4" t="s">
        <v>1337</v>
      </c>
      <c r="AS635" s="5">
        <v>33115</v>
      </c>
      <c r="AT635" t="s">
        <v>47</v>
      </c>
    </row>
    <row r="636" spans="1:46" ht="52" x14ac:dyDescent="0.3">
      <c r="A636" s="4" t="s">
        <v>2646</v>
      </c>
      <c r="B636" t="s">
        <v>47</v>
      </c>
      <c r="C636" s="4" t="s">
        <v>2647</v>
      </c>
      <c r="D636" s="4" t="s">
        <v>88</v>
      </c>
      <c r="E636" t="s">
        <v>47</v>
      </c>
      <c r="F636" s="5" t="s">
        <v>2648</v>
      </c>
      <c r="G636" t="s">
        <v>47</v>
      </c>
      <c r="H636" t="s">
        <v>47</v>
      </c>
      <c r="I636" s="3">
        <v>37987</v>
      </c>
      <c r="J636" s="3">
        <v>43770</v>
      </c>
      <c r="K636" t="s">
        <v>47</v>
      </c>
      <c r="L636" s="5" t="s">
        <v>60</v>
      </c>
      <c r="M636" s="3">
        <v>37987</v>
      </c>
      <c r="N636" s="3">
        <v>43770</v>
      </c>
      <c r="O636" t="s">
        <v>47</v>
      </c>
      <c r="P636" s="3">
        <v>37987</v>
      </c>
      <c r="Q636" s="3">
        <v>43770</v>
      </c>
      <c r="R636" t="s">
        <v>47</v>
      </c>
      <c r="S636" t="s">
        <v>47</v>
      </c>
      <c r="T636" t="s">
        <v>47</v>
      </c>
      <c r="U636" t="s">
        <v>47</v>
      </c>
      <c r="V636" t="s">
        <v>47</v>
      </c>
      <c r="W636" s="3">
        <v>37987</v>
      </c>
      <c r="X636" s="3">
        <v>43770</v>
      </c>
      <c r="Y636" t="s">
        <v>47</v>
      </c>
      <c r="Z636" s="3">
        <v>37987</v>
      </c>
      <c r="AA636" s="3">
        <v>43770</v>
      </c>
      <c r="AB636" t="s">
        <v>47</v>
      </c>
      <c r="AC636" s="3">
        <v>37987</v>
      </c>
      <c r="AD636" s="3">
        <v>43770</v>
      </c>
      <c r="AE636" t="s">
        <v>47</v>
      </c>
      <c r="AF636" t="s">
        <v>47</v>
      </c>
      <c r="AG636" t="s">
        <v>47</v>
      </c>
      <c r="AH636" t="s">
        <v>47</v>
      </c>
      <c r="AI636" t="s">
        <v>47</v>
      </c>
      <c r="AJ636" t="s">
        <v>47</v>
      </c>
      <c r="AK636" t="s">
        <v>47</v>
      </c>
      <c r="AL636" t="s">
        <v>47</v>
      </c>
      <c r="AM636" t="s">
        <v>47</v>
      </c>
      <c r="AN636" t="s">
        <v>47</v>
      </c>
      <c r="AO636" s="5" t="s">
        <v>51</v>
      </c>
      <c r="AP636" s="4" t="s">
        <v>61</v>
      </c>
      <c r="AQ636" s="4" t="s">
        <v>53</v>
      </c>
      <c r="AR636" s="4" t="s">
        <v>1337</v>
      </c>
      <c r="AS636" s="5">
        <v>44755</v>
      </c>
      <c r="AT636" t="s">
        <v>47</v>
      </c>
    </row>
    <row r="637" spans="1:46" ht="26" x14ac:dyDescent="0.3">
      <c r="A637" s="4" t="s">
        <v>2649</v>
      </c>
      <c r="B637" t="s">
        <v>47</v>
      </c>
      <c r="C637" s="4" t="s">
        <v>2649</v>
      </c>
      <c r="D637" s="4" t="s">
        <v>1897</v>
      </c>
      <c r="E637" s="4" t="s">
        <v>701</v>
      </c>
      <c r="F637" t="s">
        <v>47</v>
      </c>
      <c r="G637" s="5" t="s">
        <v>2650</v>
      </c>
      <c r="H637" t="s">
        <v>47</v>
      </c>
      <c r="I637" s="3">
        <v>40603</v>
      </c>
      <c r="J637" s="5" t="s">
        <v>50</v>
      </c>
      <c r="K637" t="s">
        <v>47</v>
      </c>
      <c r="L637" s="5" t="s">
        <v>60</v>
      </c>
      <c r="M637" s="3">
        <v>40603</v>
      </c>
      <c r="N637" s="5" t="s">
        <v>50</v>
      </c>
      <c r="O637" t="s">
        <v>47</v>
      </c>
      <c r="P637" s="3">
        <v>40603</v>
      </c>
      <c r="Q637" s="5" t="s">
        <v>50</v>
      </c>
      <c r="R637" t="s">
        <v>47</v>
      </c>
      <c r="S637" t="s">
        <v>47</v>
      </c>
      <c r="T637" t="s">
        <v>47</v>
      </c>
      <c r="U637" t="s">
        <v>47</v>
      </c>
      <c r="V637" t="s">
        <v>47</v>
      </c>
      <c r="W637" s="3">
        <v>40603</v>
      </c>
      <c r="X637" s="5" t="s">
        <v>50</v>
      </c>
      <c r="Y637" t="s">
        <v>47</v>
      </c>
      <c r="Z637" s="3">
        <v>40603</v>
      </c>
      <c r="AA637" s="5" t="s">
        <v>50</v>
      </c>
      <c r="AB637" t="s">
        <v>47</v>
      </c>
      <c r="AC637" s="3">
        <v>40603</v>
      </c>
      <c r="AD637" s="5" t="s">
        <v>50</v>
      </c>
      <c r="AE637" t="s">
        <v>47</v>
      </c>
      <c r="AF637" t="s">
        <v>47</v>
      </c>
      <c r="AG637" t="s">
        <v>47</v>
      </c>
      <c r="AH637" t="s">
        <v>47</v>
      </c>
      <c r="AI637" t="s">
        <v>47</v>
      </c>
      <c r="AJ637" t="s">
        <v>47</v>
      </c>
      <c r="AK637" t="s">
        <v>47</v>
      </c>
      <c r="AL637" t="s">
        <v>47</v>
      </c>
      <c r="AM637" t="s">
        <v>47</v>
      </c>
      <c r="AN637" t="s">
        <v>47</v>
      </c>
      <c r="AO637" s="5" t="s">
        <v>60</v>
      </c>
      <c r="AP637" s="4" t="s">
        <v>61</v>
      </c>
      <c r="AQ637" s="4" t="s">
        <v>53</v>
      </c>
      <c r="AR637" s="4" t="s">
        <v>54</v>
      </c>
      <c r="AS637" s="5">
        <v>656305</v>
      </c>
      <c r="AT637" t="s">
        <v>47</v>
      </c>
    </row>
    <row r="638" spans="1:46" ht="26" x14ac:dyDescent="0.3">
      <c r="A638" s="4" t="s">
        <v>2651</v>
      </c>
      <c r="B638" t="s">
        <v>47</v>
      </c>
      <c r="C638" s="4" t="s">
        <v>2652</v>
      </c>
      <c r="D638" s="4" t="s">
        <v>2653</v>
      </c>
      <c r="E638" s="4" t="s">
        <v>49</v>
      </c>
      <c r="F638" s="5" t="s">
        <v>2654</v>
      </c>
      <c r="G638" t="s">
        <v>47</v>
      </c>
      <c r="H638" t="s">
        <v>47</v>
      </c>
      <c r="I638" s="3">
        <v>39173</v>
      </c>
      <c r="J638" s="5" t="s">
        <v>50</v>
      </c>
      <c r="K638" t="s">
        <v>47</v>
      </c>
      <c r="L638" s="5" t="s">
        <v>60</v>
      </c>
      <c r="M638" s="3">
        <v>39173</v>
      </c>
      <c r="N638" s="5" t="s">
        <v>50</v>
      </c>
      <c r="O638" t="s">
        <v>47</v>
      </c>
      <c r="P638" s="3">
        <v>39173</v>
      </c>
      <c r="Q638" s="5" t="s">
        <v>50</v>
      </c>
      <c r="R638" t="s">
        <v>47</v>
      </c>
      <c r="S638" t="s">
        <v>47</v>
      </c>
      <c r="T638" t="s">
        <v>47</v>
      </c>
      <c r="U638" t="s">
        <v>47</v>
      </c>
      <c r="V638" t="s">
        <v>47</v>
      </c>
      <c r="W638" s="3">
        <v>39173</v>
      </c>
      <c r="X638" s="5" t="s">
        <v>50</v>
      </c>
      <c r="Y638" t="s">
        <v>47</v>
      </c>
      <c r="Z638" s="3">
        <v>39173</v>
      </c>
      <c r="AA638" s="5" t="s">
        <v>50</v>
      </c>
      <c r="AB638" t="s">
        <v>47</v>
      </c>
      <c r="AC638" s="3">
        <v>39173</v>
      </c>
      <c r="AD638" s="5" t="s">
        <v>50</v>
      </c>
      <c r="AE638" t="s">
        <v>47</v>
      </c>
      <c r="AF638" t="s">
        <v>47</v>
      </c>
      <c r="AG638" t="s">
        <v>47</v>
      </c>
      <c r="AH638" t="s">
        <v>47</v>
      </c>
      <c r="AI638" t="s">
        <v>47</v>
      </c>
      <c r="AJ638" t="s">
        <v>47</v>
      </c>
      <c r="AK638" t="s">
        <v>47</v>
      </c>
      <c r="AL638" t="s">
        <v>47</v>
      </c>
      <c r="AM638" t="s">
        <v>47</v>
      </c>
      <c r="AN638" t="s">
        <v>47</v>
      </c>
      <c r="AO638" s="5" t="s">
        <v>60</v>
      </c>
      <c r="AP638" s="4" t="s">
        <v>61</v>
      </c>
      <c r="AQ638" s="4" t="s">
        <v>53</v>
      </c>
      <c r="AR638" s="4" t="s">
        <v>54</v>
      </c>
      <c r="AS638" s="5">
        <v>38579</v>
      </c>
      <c r="AT638" t="s">
        <v>47</v>
      </c>
    </row>
    <row r="639" spans="1:46" ht="26" x14ac:dyDescent="0.3">
      <c r="A639" s="4" t="s">
        <v>2655</v>
      </c>
      <c r="B639" t="s">
        <v>47</v>
      </c>
      <c r="C639" s="4" t="s">
        <v>169</v>
      </c>
      <c r="D639" s="4" t="s">
        <v>139</v>
      </c>
      <c r="E639" s="4" t="s">
        <v>66</v>
      </c>
      <c r="F639" s="5" t="s">
        <v>2656</v>
      </c>
      <c r="G639" s="5" t="s">
        <v>2657</v>
      </c>
      <c r="H639" t="s">
        <v>47</v>
      </c>
      <c r="I639" t="s">
        <v>47</v>
      </c>
      <c r="J639" t="s">
        <v>47</v>
      </c>
      <c r="K639" t="s">
        <v>47</v>
      </c>
      <c r="L639" s="5" t="s">
        <v>60</v>
      </c>
      <c r="M639" t="s">
        <v>47</v>
      </c>
      <c r="N639" t="s">
        <v>47</v>
      </c>
      <c r="O639" t="s">
        <v>47</v>
      </c>
      <c r="P639" t="s">
        <v>47</v>
      </c>
      <c r="Q639" t="s">
        <v>47</v>
      </c>
      <c r="R639" t="s">
        <v>47</v>
      </c>
      <c r="S639" t="s">
        <v>47</v>
      </c>
      <c r="T639" t="s">
        <v>47</v>
      </c>
      <c r="U639" t="s">
        <v>47</v>
      </c>
      <c r="V639" t="s">
        <v>47</v>
      </c>
      <c r="W639" s="3">
        <v>40179</v>
      </c>
      <c r="X639" s="5" t="s">
        <v>50</v>
      </c>
      <c r="Y639" t="s">
        <v>47</v>
      </c>
      <c r="Z639" s="3">
        <v>40179</v>
      </c>
      <c r="AA639" s="5" t="s">
        <v>50</v>
      </c>
      <c r="AB639" t="s">
        <v>47</v>
      </c>
      <c r="AC639" s="3">
        <v>40179</v>
      </c>
      <c r="AD639" s="5" t="s">
        <v>50</v>
      </c>
      <c r="AE639" t="s">
        <v>47</v>
      </c>
      <c r="AF639" t="s">
        <v>47</v>
      </c>
      <c r="AG639" t="s">
        <v>47</v>
      </c>
      <c r="AH639" t="s">
        <v>47</v>
      </c>
      <c r="AI639" t="s">
        <v>47</v>
      </c>
      <c r="AJ639" t="s">
        <v>47</v>
      </c>
      <c r="AK639" t="s">
        <v>47</v>
      </c>
      <c r="AL639" t="s">
        <v>47</v>
      </c>
      <c r="AM639" t="s">
        <v>47</v>
      </c>
      <c r="AN639" t="s">
        <v>47</v>
      </c>
      <c r="AO639" s="5" t="s">
        <v>60</v>
      </c>
      <c r="AP639" s="4" t="s">
        <v>61</v>
      </c>
      <c r="AQ639" s="4" t="s">
        <v>53</v>
      </c>
      <c r="AR639" s="4" t="s">
        <v>54</v>
      </c>
      <c r="AS639" s="5">
        <v>426767</v>
      </c>
      <c r="AT639" t="s">
        <v>47</v>
      </c>
    </row>
    <row r="640" spans="1:46" ht="26" x14ac:dyDescent="0.3">
      <c r="A640" s="4" t="s">
        <v>2658</v>
      </c>
      <c r="B640" t="s">
        <v>47</v>
      </c>
      <c r="C640" s="4" t="s">
        <v>122</v>
      </c>
      <c r="D640" s="4" t="s">
        <v>575</v>
      </c>
      <c r="E640" s="4" t="s">
        <v>123</v>
      </c>
      <c r="F640" t="s">
        <v>47</v>
      </c>
      <c r="G640" s="5" t="s">
        <v>2659</v>
      </c>
      <c r="H640" t="s">
        <v>47</v>
      </c>
      <c r="I640" s="3">
        <v>42156</v>
      </c>
      <c r="J640" s="5" t="s">
        <v>50</v>
      </c>
      <c r="K640" t="s">
        <v>47</v>
      </c>
      <c r="L640" s="5" t="s">
        <v>60</v>
      </c>
      <c r="M640" t="s">
        <v>47</v>
      </c>
      <c r="N640" t="s">
        <v>47</v>
      </c>
      <c r="O640" t="s">
        <v>47</v>
      </c>
      <c r="P640" s="3">
        <v>42156</v>
      </c>
      <c r="Q640" s="5" t="s">
        <v>50</v>
      </c>
      <c r="R640" t="s">
        <v>47</v>
      </c>
      <c r="S640" t="s">
        <v>47</v>
      </c>
      <c r="T640" t="s">
        <v>47</v>
      </c>
      <c r="U640" t="s">
        <v>47</v>
      </c>
      <c r="V640" t="s">
        <v>47</v>
      </c>
      <c r="W640" s="3">
        <v>42156</v>
      </c>
      <c r="X640" s="5" t="s">
        <v>50</v>
      </c>
      <c r="Y640" t="s">
        <v>47</v>
      </c>
      <c r="Z640" s="3">
        <v>42156</v>
      </c>
      <c r="AA640" s="5" t="s">
        <v>50</v>
      </c>
      <c r="AB640" t="s">
        <v>47</v>
      </c>
      <c r="AC640" s="3">
        <v>42156</v>
      </c>
      <c r="AD640" s="5" t="s">
        <v>50</v>
      </c>
      <c r="AE640" t="s">
        <v>47</v>
      </c>
      <c r="AF640" t="s">
        <v>47</v>
      </c>
      <c r="AG640" t="s">
        <v>47</v>
      </c>
      <c r="AH640" t="s">
        <v>47</v>
      </c>
      <c r="AI640" t="s">
        <v>47</v>
      </c>
      <c r="AJ640" t="s">
        <v>47</v>
      </c>
      <c r="AK640" t="s">
        <v>47</v>
      </c>
      <c r="AL640" t="s">
        <v>47</v>
      </c>
      <c r="AM640" t="s">
        <v>47</v>
      </c>
      <c r="AN640" t="s">
        <v>47</v>
      </c>
      <c r="AO640" s="5" t="s">
        <v>60</v>
      </c>
      <c r="AP640" s="4" t="s">
        <v>61</v>
      </c>
      <c r="AQ640" s="4" t="s">
        <v>53</v>
      </c>
      <c r="AR640" s="4" t="s">
        <v>54</v>
      </c>
      <c r="AS640" s="5">
        <v>4402919</v>
      </c>
      <c r="AT640" t="s">
        <v>47</v>
      </c>
    </row>
    <row r="641" spans="1:46" ht="39" x14ac:dyDescent="0.3">
      <c r="A641" s="4" t="s">
        <v>2660</v>
      </c>
      <c r="B641" t="s">
        <v>47</v>
      </c>
      <c r="C641" s="4" t="s">
        <v>122</v>
      </c>
      <c r="D641" s="4" t="s">
        <v>206</v>
      </c>
      <c r="E641" s="4" t="s">
        <v>123</v>
      </c>
      <c r="F641" s="5" t="s">
        <v>2661</v>
      </c>
      <c r="G641" s="5" t="s">
        <v>2662</v>
      </c>
      <c r="H641" t="s">
        <v>47</v>
      </c>
      <c r="I641" s="3">
        <v>36892</v>
      </c>
      <c r="J641" s="5" t="s">
        <v>50</v>
      </c>
      <c r="K641" t="s">
        <v>47</v>
      </c>
      <c r="L641" s="5" t="s">
        <v>60</v>
      </c>
      <c r="M641" s="3">
        <v>37987</v>
      </c>
      <c r="N641" s="3">
        <v>42795</v>
      </c>
      <c r="O641" t="s">
        <v>47</v>
      </c>
      <c r="P641" s="3">
        <v>36892</v>
      </c>
      <c r="Q641" s="5" t="s">
        <v>50</v>
      </c>
      <c r="R641" t="s">
        <v>47</v>
      </c>
      <c r="S641" t="s">
        <v>47</v>
      </c>
      <c r="T641" t="s">
        <v>47</v>
      </c>
      <c r="U641" t="s">
        <v>47</v>
      </c>
      <c r="V641" s="5">
        <v>365</v>
      </c>
      <c r="W641" s="3">
        <v>36892</v>
      </c>
      <c r="X641" s="5" t="s">
        <v>50</v>
      </c>
      <c r="Y641" t="s">
        <v>47</v>
      </c>
      <c r="Z641" s="3">
        <v>36892</v>
      </c>
      <c r="AA641" s="5" t="s">
        <v>50</v>
      </c>
      <c r="AB641" t="s">
        <v>47</v>
      </c>
      <c r="AC641" s="3">
        <v>36892</v>
      </c>
      <c r="AD641" s="5" t="s">
        <v>50</v>
      </c>
      <c r="AE641" t="s">
        <v>47</v>
      </c>
      <c r="AF641" t="s">
        <v>47</v>
      </c>
      <c r="AG641" t="s">
        <v>47</v>
      </c>
      <c r="AH641" t="s">
        <v>47</v>
      </c>
      <c r="AI641" t="s">
        <v>47</v>
      </c>
      <c r="AJ641" t="s">
        <v>47</v>
      </c>
      <c r="AK641" t="s">
        <v>47</v>
      </c>
      <c r="AL641" t="s">
        <v>47</v>
      </c>
      <c r="AM641" t="s">
        <v>47</v>
      </c>
      <c r="AN641" t="s">
        <v>47</v>
      </c>
      <c r="AO641" s="5" t="s">
        <v>60</v>
      </c>
      <c r="AP641" s="4" t="s">
        <v>61</v>
      </c>
      <c r="AQ641" s="4" t="s">
        <v>53</v>
      </c>
      <c r="AR641" s="4" t="s">
        <v>186</v>
      </c>
      <c r="AS641" s="5">
        <v>60278</v>
      </c>
      <c r="AT641" t="s">
        <v>47</v>
      </c>
    </row>
    <row r="642" spans="1:46" ht="26" x14ac:dyDescent="0.3">
      <c r="A642" s="4" t="s">
        <v>2663</v>
      </c>
      <c r="B642" t="s">
        <v>47</v>
      </c>
      <c r="C642" s="4" t="s">
        <v>115</v>
      </c>
      <c r="D642" s="4" t="s">
        <v>559</v>
      </c>
      <c r="E642" s="4" t="s">
        <v>66</v>
      </c>
      <c r="F642" s="5" t="s">
        <v>2664</v>
      </c>
      <c r="G642" s="5" t="s">
        <v>2665</v>
      </c>
      <c r="H642" t="s">
        <v>47</v>
      </c>
      <c r="I642" s="3">
        <v>40544</v>
      </c>
      <c r="J642" s="5" t="s">
        <v>50</v>
      </c>
      <c r="K642" t="s">
        <v>47</v>
      </c>
      <c r="L642" s="5" t="s">
        <v>60</v>
      </c>
      <c r="M642" s="3">
        <v>40544</v>
      </c>
      <c r="N642" s="5" t="s">
        <v>50</v>
      </c>
      <c r="O642" t="s">
        <v>47</v>
      </c>
      <c r="P642" s="3">
        <v>40544</v>
      </c>
      <c r="Q642" s="5" t="s">
        <v>50</v>
      </c>
      <c r="R642" t="s">
        <v>47</v>
      </c>
      <c r="S642" t="s">
        <v>47</v>
      </c>
      <c r="T642" t="s">
        <v>47</v>
      </c>
      <c r="U642" t="s">
        <v>47</v>
      </c>
      <c r="V642" s="5">
        <v>365</v>
      </c>
      <c r="W642" s="3">
        <v>40544</v>
      </c>
      <c r="X642" s="5" t="s">
        <v>50</v>
      </c>
      <c r="Y642" t="s">
        <v>47</v>
      </c>
      <c r="Z642" s="3">
        <v>40544</v>
      </c>
      <c r="AA642" s="5" t="s">
        <v>50</v>
      </c>
      <c r="AB642" t="s">
        <v>47</v>
      </c>
      <c r="AC642" s="3">
        <v>40544</v>
      </c>
      <c r="AD642" s="5" t="s">
        <v>50</v>
      </c>
      <c r="AE642" t="s">
        <v>47</v>
      </c>
      <c r="AF642" t="s">
        <v>47</v>
      </c>
      <c r="AG642" t="s">
        <v>47</v>
      </c>
      <c r="AH642" t="s">
        <v>47</v>
      </c>
      <c r="AI642" t="s">
        <v>47</v>
      </c>
      <c r="AJ642" t="s">
        <v>47</v>
      </c>
      <c r="AK642" t="s">
        <v>47</v>
      </c>
      <c r="AL642" t="s">
        <v>47</v>
      </c>
      <c r="AM642" t="s">
        <v>47</v>
      </c>
      <c r="AN642" t="s">
        <v>47</v>
      </c>
      <c r="AO642" s="5" t="s">
        <v>60</v>
      </c>
      <c r="AP642" s="4" t="s">
        <v>61</v>
      </c>
      <c r="AQ642" s="4" t="s">
        <v>53</v>
      </c>
      <c r="AR642" s="4" t="s">
        <v>54</v>
      </c>
      <c r="AS642" s="5">
        <v>1396353</v>
      </c>
      <c r="AT642" t="s">
        <v>47</v>
      </c>
    </row>
    <row r="643" spans="1:46" ht="26" x14ac:dyDescent="0.3">
      <c r="A643" s="4" t="s">
        <v>2666</v>
      </c>
      <c r="B643" t="s">
        <v>47</v>
      </c>
      <c r="C643" s="4" t="s">
        <v>2667</v>
      </c>
      <c r="D643" s="4" t="s">
        <v>2668</v>
      </c>
      <c r="E643" s="4" t="s">
        <v>723</v>
      </c>
      <c r="F643" s="5" t="s">
        <v>2669</v>
      </c>
      <c r="G643" s="5" t="s">
        <v>2670</v>
      </c>
      <c r="H643" t="s">
        <v>47</v>
      </c>
      <c r="I643" s="3">
        <v>41852</v>
      </c>
      <c r="J643" s="5" t="s">
        <v>50</v>
      </c>
      <c r="K643" t="s">
        <v>47</v>
      </c>
      <c r="L643" s="5" t="s">
        <v>60</v>
      </c>
      <c r="M643" t="s">
        <v>47</v>
      </c>
      <c r="N643" t="s">
        <v>47</v>
      </c>
      <c r="O643" t="s">
        <v>47</v>
      </c>
      <c r="P643" s="3">
        <v>41852</v>
      </c>
      <c r="Q643" s="5" t="s">
        <v>50</v>
      </c>
      <c r="R643" t="s">
        <v>47</v>
      </c>
      <c r="S643" t="s">
        <v>47</v>
      </c>
      <c r="T643" t="s">
        <v>47</v>
      </c>
      <c r="U643" t="s">
        <v>47</v>
      </c>
      <c r="V643" t="s">
        <v>47</v>
      </c>
      <c r="W643" s="3">
        <v>41852</v>
      </c>
      <c r="X643" s="5" t="s">
        <v>50</v>
      </c>
      <c r="Y643" t="s">
        <v>47</v>
      </c>
      <c r="Z643" s="3">
        <v>41852</v>
      </c>
      <c r="AA643" s="5" t="s">
        <v>50</v>
      </c>
      <c r="AB643" t="s">
        <v>47</v>
      </c>
      <c r="AC643" s="3">
        <v>41852</v>
      </c>
      <c r="AD643" s="5" t="s">
        <v>50</v>
      </c>
      <c r="AE643" t="s">
        <v>47</v>
      </c>
      <c r="AF643" t="s">
        <v>47</v>
      </c>
      <c r="AG643" t="s">
        <v>47</v>
      </c>
      <c r="AH643" t="s">
        <v>47</v>
      </c>
      <c r="AI643" t="s">
        <v>47</v>
      </c>
      <c r="AJ643" t="s">
        <v>47</v>
      </c>
      <c r="AK643" t="s">
        <v>47</v>
      </c>
      <c r="AL643" t="s">
        <v>47</v>
      </c>
      <c r="AM643" t="s">
        <v>47</v>
      </c>
      <c r="AN643" t="s">
        <v>47</v>
      </c>
      <c r="AO643" s="5" t="s">
        <v>60</v>
      </c>
      <c r="AP643" s="4" t="s">
        <v>61</v>
      </c>
      <c r="AQ643" s="4" t="s">
        <v>53</v>
      </c>
      <c r="AR643" s="4" t="s">
        <v>54</v>
      </c>
      <c r="AS643" s="5">
        <v>5412855</v>
      </c>
      <c r="AT643" t="s">
        <v>47</v>
      </c>
    </row>
    <row r="644" spans="1:46" ht="91" x14ac:dyDescent="0.3">
      <c r="A644" s="4" t="s">
        <v>2671</v>
      </c>
      <c r="B644" t="s">
        <v>47</v>
      </c>
      <c r="C644" s="4" t="s">
        <v>2672</v>
      </c>
      <c r="D644" s="4" t="s">
        <v>2673</v>
      </c>
      <c r="E644" s="4" t="s">
        <v>66</v>
      </c>
      <c r="F644" s="5" t="s">
        <v>2674</v>
      </c>
      <c r="G644" s="5" t="s">
        <v>2675</v>
      </c>
      <c r="H644" t="s">
        <v>47</v>
      </c>
      <c r="I644" s="3">
        <v>36526</v>
      </c>
      <c r="J644" s="3">
        <v>43466</v>
      </c>
      <c r="K644" t="s">
        <v>47</v>
      </c>
      <c r="L644" s="5" t="s">
        <v>60</v>
      </c>
      <c r="M644" s="3">
        <v>36526</v>
      </c>
      <c r="N644" s="3">
        <v>43466</v>
      </c>
      <c r="O644" s="5" t="s">
        <v>2676</v>
      </c>
      <c r="P644" s="3">
        <v>36526</v>
      </c>
      <c r="Q644" s="3">
        <v>43466</v>
      </c>
      <c r="R644" t="s">
        <v>47</v>
      </c>
      <c r="S644" t="s">
        <v>47</v>
      </c>
      <c r="T644" t="s">
        <v>47</v>
      </c>
      <c r="U644" t="s">
        <v>47</v>
      </c>
      <c r="V644" t="s">
        <v>47</v>
      </c>
      <c r="W644" s="3">
        <v>36526</v>
      </c>
      <c r="X644" s="3">
        <v>43466</v>
      </c>
      <c r="Y644" t="s">
        <v>47</v>
      </c>
      <c r="Z644" s="3">
        <v>36526</v>
      </c>
      <c r="AA644" s="3">
        <v>43466</v>
      </c>
      <c r="AB644" t="s">
        <v>47</v>
      </c>
      <c r="AC644" s="3">
        <v>42736</v>
      </c>
      <c r="AD644" s="3">
        <v>43466</v>
      </c>
      <c r="AE644" t="s">
        <v>47</v>
      </c>
      <c r="AF644" t="s">
        <v>47</v>
      </c>
      <c r="AG644" t="s">
        <v>47</v>
      </c>
      <c r="AH644" t="s">
        <v>47</v>
      </c>
      <c r="AI644" t="s">
        <v>47</v>
      </c>
      <c r="AJ644" t="s">
        <v>47</v>
      </c>
      <c r="AK644" t="s">
        <v>47</v>
      </c>
      <c r="AL644" t="s">
        <v>47</v>
      </c>
      <c r="AM644" t="s">
        <v>47</v>
      </c>
      <c r="AN644" t="s">
        <v>47</v>
      </c>
      <c r="AO644" s="5" t="s">
        <v>60</v>
      </c>
      <c r="AP644" s="4" t="s">
        <v>61</v>
      </c>
      <c r="AQ644" s="4" t="s">
        <v>53</v>
      </c>
      <c r="AR644" s="4" t="s">
        <v>2677</v>
      </c>
      <c r="AS644" s="5">
        <v>29124</v>
      </c>
      <c r="AT644" t="s">
        <v>47</v>
      </c>
    </row>
    <row r="645" spans="1:46" ht="26" x14ac:dyDescent="0.3">
      <c r="A645" s="4" t="s">
        <v>2678</v>
      </c>
      <c r="B645" t="s">
        <v>47</v>
      </c>
      <c r="C645" s="4" t="s">
        <v>122</v>
      </c>
      <c r="D645" s="4" t="s">
        <v>2679</v>
      </c>
      <c r="E645" s="4" t="s">
        <v>123</v>
      </c>
      <c r="F645" s="5" t="s">
        <v>2680</v>
      </c>
      <c r="G645" s="5" t="s">
        <v>2681</v>
      </c>
      <c r="H645" t="s">
        <v>47</v>
      </c>
      <c r="I645" s="3">
        <v>35796</v>
      </c>
      <c r="J645" s="5" t="s">
        <v>50</v>
      </c>
      <c r="K645" t="s">
        <v>47</v>
      </c>
      <c r="L645" s="5" t="s">
        <v>60</v>
      </c>
      <c r="M645" s="3">
        <v>38047</v>
      </c>
      <c r="N645" s="3">
        <v>42887</v>
      </c>
      <c r="O645" t="s">
        <v>47</v>
      </c>
      <c r="P645" s="3">
        <v>35796</v>
      </c>
      <c r="Q645" s="5" t="s">
        <v>50</v>
      </c>
      <c r="R645" t="s">
        <v>47</v>
      </c>
      <c r="S645" t="s">
        <v>47</v>
      </c>
      <c r="T645" t="s">
        <v>47</v>
      </c>
      <c r="U645" t="s">
        <v>47</v>
      </c>
      <c r="V645" s="5">
        <v>365</v>
      </c>
      <c r="W645" s="3">
        <v>35796</v>
      </c>
      <c r="X645" s="5" t="s">
        <v>50</v>
      </c>
      <c r="Y645" t="s">
        <v>47</v>
      </c>
      <c r="Z645" s="3">
        <v>35796</v>
      </c>
      <c r="AA645" s="5" t="s">
        <v>50</v>
      </c>
      <c r="AB645" t="s">
        <v>47</v>
      </c>
      <c r="AC645" s="3">
        <v>35796</v>
      </c>
      <c r="AD645" s="5" t="s">
        <v>50</v>
      </c>
      <c r="AE645" t="s">
        <v>47</v>
      </c>
      <c r="AF645" t="s">
        <v>47</v>
      </c>
      <c r="AG645" t="s">
        <v>47</v>
      </c>
      <c r="AH645" t="s">
        <v>47</v>
      </c>
      <c r="AI645" t="s">
        <v>47</v>
      </c>
      <c r="AJ645" t="s">
        <v>47</v>
      </c>
      <c r="AK645" t="s">
        <v>47</v>
      </c>
      <c r="AL645" t="s">
        <v>47</v>
      </c>
      <c r="AM645" t="s">
        <v>47</v>
      </c>
      <c r="AN645" t="s">
        <v>47</v>
      </c>
      <c r="AO645" s="5" t="s">
        <v>60</v>
      </c>
      <c r="AP645" s="4" t="s">
        <v>61</v>
      </c>
      <c r="AQ645" s="4" t="s">
        <v>53</v>
      </c>
      <c r="AR645" s="4" t="s">
        <v>54</v>
      </c>
      <c r="AS645" s="5">
        <v>54142</v>
      </c>
      <c r="AT645" t="s">
        <v>47</v>
      </c>
    </row>
    <row r="646" spans="1:46" ht="78" x14ac:dyDescent="0.3">
      <c r="A646" s="4" t="s">
        <v>2682</v>
      </c>
      <c r="B646" t="s">
        <v>47</v>
      </c>
      <c r="C646" s="4" t="s">
        <v>2683</v>
      </c>
      <c r="D646" s="4" t="s">
        <v>2684</v>
      </c>
      <c r="E646" s="4" t="s">
        <v>49</v>
      </c>
      <c r="F646" s="5" t="s">
        <v>2685</v>
      </c>
      <c r="G646" s="5" t="s">
        <v>2686</v>
      </c>
      <c r="H646" t="s">
        <v>47</v>
      </c>
      <c r="I646" s="3">
        <v>43831</v>
      </c>
      <c r="J646" s="5" t="s">
        <v>50</v>
      </c>
      <c r="K646" t="s">
        <v>47</v>
      </c>
      <c r="L646" s="5" t="s">
        <v>60</v>
      </c>
      <c r="M646" t="s">
        <v>47</v>
      </c>
      <c r="N646" t="s">
        <v>47</v>
      </c>
      <c r="O646" t="s">
        <v>47</v>
      </c>
      <c r="P646" s="3">
        <v>43831</v>
      </c>
      <c r="Q646" s="5" t="s">
        <v>50</v>
      </c>
      <c r="R646" t="s">
        <v>47</v>
      </c>
      <c r="S646" t="s">
        <v>47</v>
      </c>
      <c r="T646" t="s">
        <v>47</v>
      </c>
      <c r="U646" t="s">
        <v>47</v>
      </c>
      <c r="V646" t="s">
        <v>47</v>
      </c>
      <c r="W646" s="3">
        <v>43831</v>
      </c>
      <c r="X646" s="5" t="s">
        <v>50</v>
      </c>
      <c r="Y646" t="s">
        <v>47</v>
      </c>
      <c r="Z646" s="3">
        <v>43831</v>
      </c>
      <c r="AA646" s="5" t="s">
        <v>50</v>
      </c>
      <c r="AB646" t="s">
        <v>47</v>
      </c>
      <c r="AC646" s="3">
        <v>43831</v>
      </c>
      <c r="AD646" s="5" t="s">
        <v>50</v>
      </c>
      <c r="AE646" t="s">
        <v>47</v>
      </c>
      <c r="AF646" t="s">
        <v>47</v>
      </c>
      <c r="AG646" t="s">
        <v>47</v>
      </c>
      <c r="AH646" t="s">
        <v>47</v>
      </c>
      <c r="AI646" t="s">
        <v>47</v>
      </c>
      <c r="AJ646" t="s">
        <v>47</v>
      </c>
      <c r="AK646" t="s">
        <v>47</v>
      </c>
      <c r="AL646" t="s">
        <v>47</v>
      </c>
      <c r="AM646" t="s">
        <v>47</v>
      </c>
      <c r="AN646" t="s">
        <v>47</v>
      </c>
      <c r="AO646" s="5" t="s">
        <v>60</v>
      </c>
      <c r="AP646" s="4" t="s">
        <v>61</v>
      </c>
      <c r="AQ646" s="4" t="s">
        <v>53</v>
      </c>
      <c r="AR646" s="4" t="s">
        <v>2687</v>
      </c>
      <c r="AS646" s="5">
        <v>6692864</v>
      </c>
      <c r="AT646" t="s">
        <v>47</v>
      </c>
    </row>
    <row r="647" spans="1:46" ht="39" x14ac:dyDescent="0.3">
      <c r="A647" s="4" t="s">
        <v>2688</v>
      </c>
      <c r="B647" t="s">
        <v>47</v>
      </c>
      <c r="C647" s="4" t="s">
        <v>2689</v>
      </c>
      <c r="D647" s="4" t="s">
        <v>2200</v>
      </c>
      <c r="E647" s="4" t="s">
        <v>49</v>
      </c>
      <c r="F647" s="5" t="s">
        <v>2690</v>
      </c>
      <c r="G647" s="5" t="s">
        <v>2691</v>
      </c>
      <c r="H647" t="s">
        <v>47</v>
      </c>
      <c r="I647" s="3">
        <v>41275</v>
      </c>
      <c r="J647" s="5" t="s">
        <v>50</v>
      </c>
      <c r="K647" t="s">
        <v>47</v>
      </c>
      <c r="L647" s="5" t="s">
        <v>60</v>
      </c>
      <c r="M647" t="s">
        <v>47</v>
      </c>
      <c r="N647" t="s">
        <v>47</v>
      </c>
      <c r="O647" t="s">
        <v>47</v>
      </c>
      <c r="P647" s="3">
        <v>41275</v>
      </c>
      <c r="Q647" s="5" t="s">
        <v>50</v>
      </c>
      <c r="R647" t="s">
        <v>47</v>
      </c>
      <c r="S647" t="s">
        <v>47</v>
      </c>
      <c r="T647" t="s">
        <v>47</v>
      </c>
      <c r="U647" t="s">
        <v>47</v>
      </c>
      <c r="V647" t="s">
        <v>47</v>
      </c>
      <c r="W647" s="3">
        <v>41275</v>
      </c>
      <c r="X647" s="5" t="s">
        <v>50</v>
      </c>
      <c r="Y647" t="s">
        <v>47</v>
      </c>
      <c r="Z647" s="3">
        <v>41275</v>
      </c>
      <c r="AA647" s="5" t="s">
        <v>50</v>
      </c>
      <c r="AB647" t="s">
        <v>47</v>
      </c>
      <c r="AC647" s="3">
        <v>41275</v>
      </c>
      <c r="AD647" s="5" t="s">
        <v>50</v>
      </c>
      <c r="AE647" t="s">
        <v>47</v>
      </c>
      <c r="AF647" t="s">
        <v>47</v>
      </c>
      <c r="AG647" t="s">
        <v>47</v>
      </c>
      <c r="AH647" t="s">
        <v>47</v>
      </c>
      <c r="AI647" t="s">
        <v>47</v>
      </c>
      <c r="AJ647" t="s">
        <v>47</v>
      </c>
      <c r="AK647" t="s">
        <v>47</v>
      </c>
      <c r="AL647" t="s">
        <v>47</v>
      </c>
      <c r="AM647" t="s">
        <v>47</v>
      </c>
      <c r="AN647" t="s">
        <v>47</v>
      </c>
      <c r="AO647" s="5" t="s">
        <v>60</v>
      </c>
      <c r="AP647" s="4" t="s">
        <v>61</v>
      </c>
      <c r="AQ647" s="4" t="s">
        <v>53</v>
      </c>
      <c r="AR647" s="4" t="s">
        <v>186</v>
      </c>
      <c r="AS647" s="5">
        <v>5527632</v>
      </c>
      <c r="AT647" t="s">
        <v>47</v>
      </c>
    </row>
    <row r="648" spans="1:46" ht="39" x14ac:dyDescent="0.3">
      <c r="A648" s="4" t="s">
        <v>2692</v>
      </c>
      <c r="B648" t="s">
        <v>47</v>
      </c>
      <c r="C648" s="4" t="s">
        <v>2693</v>
      </c>
      <c r="D648" s="4" t="s">
        <v>2694</v>
      </c>
      <c r="E648" s="4" t="s">
        <v>2695</v>
      </c>
      <c r="F648" t="s">
        <v>47</v>
      </c>
      <c r="G648" s="5" t="s">
        <v>2696</v>
      </c>
      <c r="H648" t="s">
        <v>47</v>
      </c>
      <c r="I648" s="3">
        <v>39448</v>
      </c>
      <c r="J648" s="5" t="s">
        <v>50</v>
      </c>
      <c r="K648" t="s">
        <v>47</v>
      </c>
      <c r="L648" s="5" t="s">
        <v>60</v>
      </c>
      <c r="M648" t="s">
        <v>47</v>
      </c>
      <c r="N648" t="s">
        <v>47</v>
      </c>
      <c r="O648" t="s">
        <v>47</v>
      </c>
      <c r="P648" s="3">
        <v>39448</v>
      </c>
      <c r="Q648" s="5" t="s">
        <v>50</v>
      </c>
      <c r="R648" t="s">
        <v>47</v>
      </c>
      <c r="S648" t="s">
        <v>47</v>
      </c>
      <c r="T648" t="s">
        <v>47</v>
      </c>
      <c r="U648" t="s">
        <v>47</v>
      </c>
      <c r="V648" t="s">
        <v>47</v>
      </c>
      <c r="W648" s="3">
        <v>39448</v>
      </c>
      <c r="X648" s="5" t="s">
        <v>50</v>
      </c>
      <c r="Y648" t="s">
        <v>47</v>
      </c>
      <c r="Z648" s="3">
        <v>39448</v>
      </c>
      <c r="AA648" s="5" t="s">
        <v>50</v>
      </c>
      <c r="AB648" t="s">
        <v>47</v>
      </c>
      <c r="AC648" s="3">
        <v>39448</v>
      </c>
      <c r="AD648" s="5" t="s">
        <v>50</v>
      </c>
      <c r="AE648" t="s">
        <v>47</v>
      </c>
      <c r="AF648" t="s">
        <v>47</v>
      </c>
      <c r="AG648" t="s">
        <v>47</v>
      </c>
      <c r="AH648" t="s">
        <v>47</v>
      </c>
      <c r="AI648" t="s">
        <v>47</v>
      </c>
      <c r="AJ648" t="s">
        <v>47</v>
      </c>
      <c r="AK648" t="s">
        <v>47</v>
      </c>
      <c r="AL648" t="s">
        <v>47</v>
      </c>
      <c r="AM648" t="s">
        <v>47</v>
      </c>
      <c r="AN648" t="s">
        <v>47</v>
      </c>
      <c r="AO648" s="5" t="s">
        <v>60</v>
      </c>
      <c r="AP648" s="4" t="s">
        <v>61</v>
      </c>
      <c r="AQ648" s="4" t="s">
        <v>53</v>
      </c>
      <c r="AR648" s="4" t="s">
        <v>1830</v>
      </c>
      <c r="AS648" s="5">
        <v>4425142</v>
      </c>
      <c r="AT648" t="s">
        <v>47</v>
      </c>
    </row>
    <row r="649" spans="1:46" ht="26" x14ac:dyDescent="0.3">
      <c r="A649" s="4" t="s">
        <v>2697</v>
      </c>
      <c r="B649" t="s">
        <v>47</v>
      </c>
      <c r="C649" s="4" t="s">
        <v>2698</v>
      </c>
      <c r="D649" s="4" t="s">
        <v>2699</v>
      </c>
      <c r="E649" s="4" t="s">
        <v>2700</v>
      </c>
      <c r="F649" s="5" t="s">
        <v>2701</v>
      </c>
      <c r="G649" t="s">
        <v>47</v>
      </c>
      <c r="H649" t="s">
        <v>47</v>
      </c>
      <c r="I649" s="3">
        <v>39539</v>
      </c>
      <c r="J649" s="3">
        <v>41000</v>
      </c>
      <c r="K649" t="s">
        <v>47</v>
      </c>
      <c r="L649" s="5" t="s">
        <v>60</v>
      </c>
      <c r="M649" s="3">
        <v>39539</v>
      </c>
      <c r="N649" s="3">
        <v>41000</v>
      </c>
      <c r="O649" t="s">
        <v>47</v>
      </c>
      <c r="P649" s="3">
        <v>39539</v>
      </c>
      <c r="Q649" s="3">
        <v>41000</v>
      </c>
      <c r="R649" t="s">
        <v>47</v>
      </c>
      <c r="S649" t="s">
        <v>47</v>
      </c>
      <c r="T649" t="s">
        <v>47</v>
      </c>
      <c r="U649" t="s">
        <v>47</v>
      </c>
      <c r="V649" t="s">
        <v>47</v>
      </c>
      <c r="W649" s="3">
        <v>39539</v>
      </c>
      <c r="X649" s="3">
        <v>41000</v>
      </c>
      <c r="Y649" t="s">
        <v>47</v>
      </c>
      <c r="Z649" s="3">
        <v>39539</v>
      </c>
      <c r="AA649" s="3">
        <v>41000</v>
      </c>
      <c r="AB649" t="s">
        <v>47</v>
      </c>
      <c r="AC649" s="3">
        <v>39539</v>
      </c>
      <c r="AD649" s="3">
        <v>41000</v>
      </c>
      <c r="AE649" t="s">
        <v>47</v>
      </c>
      <c r="AF649" t="s">
        <v>47</v>
      </c>
      <c r="AG649" t="s">
        <v>47</v>
      </c>
      <c r="AH649" t="s">
        <v>47</v>
      </c>
      <c r="AI649" t="s">
        <v>47</v>
      </c>
      <c r="AJ649" t="s">
        <v>47</v>
      </c>
      <c r="AK649" t="s">
        <v>47</v>
      </c>
      <c r="AL649" t="s">
        <v>47</v>
      </c>
      <c r="AM649" t="s">
        <v>47</v>
      </c>
      <c r="AN649" t="s">
        <v>47</v>
      </c>
      <c r="AO649" s="5" t="s">
        <v>60</v>
      </c>
      <c r="AP649" s="4" t="s">
        <v>61</v>
      </c>
      <c r="AQ649" s="4" t="s">
        <v>53</v>
      </c>
      <c r="AR649" s="4" t="s">
        <v>54</v>
      </c>
      <c r="AS649" s="5">
        <v>52732</v>
      </c>
      <c r="AT649" t="s">
        <v>47</v>
      </c>
    </row>
    <row r="650" spans="1:46" ht="78" x14ac:dyDescent="0.3">
      <c r="A650" s="4" t="s">
        <v>2702</v>
      </c>
      <c r="B650" t="s">
        <v>47</v>
      </c>
      <c r="C650" s="4" t="s">
        <v>200</v>
      </c>
      <c r="D650" s="4" t="s">
        <v>748</v>
      </c>
      <c r="E650" s="4" t="s">
        <v>66</v>
      </c>
      <c r="F650" s="5" t="s">
        <v>2703</v>
      </c>
      <c r="G650" s="5" t="s">
        <v>2704</v>
      </c>
      <c r="H650" t="s">
        <v>47</v>
      </c>
      <c r="I650" t="s">
        <v>47</v>
      </c>
      <c r="J650" t="s">
        <v>47</v>
      </c>
      <c r="K650" t="s">
        <v>47</v>
      </c>
      <c r="L650" s="5" t="s">
        <v>60</v>
      </c>
      <c r="M650" t="s">
        <v>47</v>
      </c>
      <c r="N650" t="s">
        <v>47</v>
      </c>
      <c r="O650" t="s">
        <v>47</v>
      </c>
      <c r="P650" t="s">
        <v>47</v>
      </c>
      <c r="Q650" t="s">
        <v>47</v>
      </c>
      <c r="R650" t="s">
        <v>47</v>
      </c>
      <c r="S650" t="s">
        <v>47</v>
      </c>
      <c r="T650" t="s">
        <v>47</v>
      </c>
      <c r="U650" t="s">
        <v>47</v>
      </c>
      <c r="V650" t="s">
        <v>47</v>
      </c>
      <c r="W650" s="3">
        <v>38261</v>
      </c>
      <c r="X650" s="5" t="s">
        <v>50</v>
      </c>
      <c r="Y650" t="s">
        <v>47</v>
      </c>
      <c r="Z650" s="3">
        <v>38261</v>
      </c>
      <c r="AA650" s="5" t="s">
        <v>50</v>
      </c>
      <c r="AB650" t="s">
        <v>47</v>
      </c>
      <c r="AC650" s="3">
        <v>38261</v>
      </c>
      <c r="AD650" s="5" t="s">
        <v>50</v>
      </c>
      <c r="AE650" t="s">
        <v>47</v>
      </c>
      <c r="AF650" t="s">
        <v>47</v>
      </c>
      <c r="AG650" t="s">
        <v>47</v>
      </c>
      <c r="AH650" t="s">
        <v>47</v>
      </c>
      <c r="AI650" t="s">
        <v>47</v>
      </c>
      <c r="AJ650" t="s">
        <v>47</v>
      </c>
      <c r="AK650" t="s">
        <v>47</v>
      </c>
      <c r="AL650" t="s">
        <v>47</v>
      </c>
      <c r="AM650" t="s">
        <v>47</v>
      </c>
      <c r="AN650" t="s">
        <v>47</v>
      </c>
      <c r="AO650" s="5" t="s">
        <v>60</v>
      </c>
      <c r="AP650" s="4" t="s">
        <v>61</v>
      </c>
      <c r="AQ650" s="4" t="s">
        <v>53</v>
      </c>
      <c r="AR650" s="4" t="s">
        <v>2705</v>
      </c>
      <c r="AS650" s="5">
        <v>42935</v>
      </c>
      <c r="AT650" t="s">
        <v>47</v>
      </c>
    </row>
    <row r="651" spans="1:46" ht="52" x14ac:dyDescent="0.3">
      <c r="A651" s="4" t="s">
        <v>2706</v>
      </c>
      <c r="B651" t="s">
        <v>47</v>
      </c>
      <c r="C651" s="4" t="s">
        <v>122</v>
      </c>
      <c r="D651" s="4" t="s">
        <v>575</v>
      </c>
      <c r="E651" s="4" t="s">
        <v>123</v>
      </c>
      <c r="F651" s="5" t="s">
        <v>2707</v>
      </c>
      <c r="G651" s="5" t="s">
        <v>2708</v>
      </c>
      <c r="H651" t="s">
        <v>47</v>
      </c>
      <c r="I651" s="3">
        <v>41579</v>
      </c>
      <c r="J651" s="5" t="s">
        <v>50</v>
      </c>
      <c r="K651" t="s">
        <v>47</v>
      </c>
      <c r="L651" s="5" t="s">
        <v>60</v>
      </c>
      <c r="M651" s="3">
        <v>41579</v>
      </c>
      <c r="N651" s="5" t="s">
        <v>50</v>
      </c>
      <c r="O651" t="s">
        <v>47</v>
      </c>
      <c r="P651" s="3">
        <v>41579</v>
      </c>
      <c r="Q651" s="5" t="s">
        <v>50</v>
      </c>
      <c r="R651" t="s">
        <v>47</v>
      </c>
      <c r="S651" t="s">
        <v>47</v>
      </c>
      <c r="T651" t="s">
        <v>47</v>
      </c>
      <c r="U651" t="s">
        <v>47</v>
      </c>
      <c r="V651" s="5">
        <v>365</v>
      </c>
      <c r="W651" s="3">
        <v>41579</v>
      </c>
      <c r="X651" s="5" t="s">
        <v>50</v>
      </c>
      <c r="Y651" t="s">
        <v>47</v>
      </c>
      <c r="Z651" s="3">
        <v>41579</v>
      </c>
      <c r="AA651" s="5" t="s">
        <v>50</v>
      </c>
      <c r="AB651" t="s">
        <v>47</v>
      </c>
      <c r="AC651" s="3">
        <v>41579</v>
      </c>
      <c r="AD651" s="5" t="s">
        <v>50</v>
      </c>
      <c r="AE651" t="s">
        <v>47</v>
      </c>
      <c r="AF651" t="s">
        <v>47</v>
      </c>
      <c r="AG651" t="s">
        <v>47</v>
      </c>
      <c r="AH651" t="s">
        <v>47</v>
      </c>
      <c r="AI651" t="s">
        <v>47</v>
      </c>
      <c r="AJ651" t="s">
        <v>47</v>
      </c>
      <c r="AK651" t="s">
        <v>47</v>
      </c>
      <c r="AL651" t="s">
        <v>47</v>
      </c>
      <c r="AM651" t="s">
        <v>47</v>
      </c>
      <c r="AN651" t="s">
        <v>47</v>
      </c>
      <c r="AO651" s="5" t="s">
        <v>60</v>
      </c>
      <c r="AP651" s="4" t="s">
        <v>61</v>
      </c>
      <c r="AQ651" s="4" t="s">
        <v>53</v>
      </c>
      <c r="AR651" s="4" t="s">
        <v>2709</v>
      </c>
      <c r="AS651" s="5">
        <v>2043630</v>
      </c>
      <c r="AT651" t="s">
        <v>47</v>
      </c>
    </row>
    <row r="652" spans="1:46" ht="52" x14ac:dyDescent="0.3">
      <c r="A652" s="4" t="s">
        <v>2710</v>
      </c>
      <c r="B652" s="4" t="s">
        <v>2711</v>
      </c>
      <c r="C652" s="4" t="s">
        <v>2689</v>
      </c>
      <c r="D652" s="4" t="s">
        <v>194</v>
      </c>
      <c r="E652" s="4" t="s">
        <v>49</v>
      </c>
      <c r="F652" s="5" t="s">
        <v>2712</v>
      </c>
      <c r="G652" s="5" t="s">
        <v>2713</v>
      </c>
      <c r="H652" t="s">
        <v>47</v>
      </c>
      <c r="I652" s="3">
        <v>41275</v>
      </c>
      <c r="J652" s="5" t="s">
        <v>50</v>
      </c>
      <c r="K652" t="s">
        <v>47</v>
      </c>
      <c r="L652" s="5" t="s">
        <v>60</v>
      </c>
      <c r="M652" t="s">
        <v>47</v>
      </c>
      <c r="N652" t="s">
        <v>47</v>
      </c>
      <c r="O652" t="s">
        <v>47</v>
      </c>
      <c r="P652" s="3">
        <v>41275</v>
      </c>
      <c r="Q652" s="5" t="s">
        <v>50</v>
      </c>
      <c r="R652" t="s">
        <v>47</v>
      </c>
      <c r="S652" t="s">
        <v>47</v>
      </c>
      <c r="T652" t="s">
        <v>47</v>
      </c>
      <c r="U652" t="s">
        <v>47</v>
      </c>
      <c r="V652" t="s">
        <v>47</v>
      </c>
      <c r="W652" s="3">
        <v>41275</v>
      </c>
      <c r="X652" s="5" t="s">
        <v>50</v>
      </c>
      <c r="Y652" t="s">
        <v>47</v>
      </c>
      <c r="Z652" s="3">
        <v>41275</v>
      </c>
      <c r="AA652" s="5" t="s">
        <v>50</v>
      </c>
      <c r="AB652" t="s">
        <v>47</v>
      </c>
      <c r="AC652" s="3">
        <v>41275</v>
      </c>
      <c r="AD652" s="5" t="s">
        <v>50</v>
      </c>
      <c r="AE652" t="s">
        <v>47</v>
      </c>
      <c r="AF652" t="s">
        <v>47</v>
      </c>
      <c r="AG652" t="s">
        <v>47</v>
      </c>
      <c r="AH652" t="s">
        <v>47</v>
      </c>
      <c r="AI652" t="s">
        <v>47</v>
      </c>
      <c r="AJ652" t="s">
        <v>47</v>
      </c>
      <c r="AK652" t="s">
        <v>47</v>
      </c>
      <c r="AL652" t="s">
        <v>47</v>
      </c>
      <c r="AM652" t="s">
        <v>47</v>
      </c>
      <c r="AN652" t="s">
        <v>47</v>
      </c>
      <c r="AO652" s="5" t="s">
        <v>60</v>
      </c>
      <c r="AP652" s="4" t="s">
        <v>61</v>
      </c>
      <c r="AQ652" s="4" t="s">
        <v>53</v>
      </c>
      <c r="AR652" s="4" t="s">
        <v>2714</v>
      </c>
      <c r="AS652" s="5">
        <v>5528232</v>
      </c>
      <c r="AT652" t="s">
        <v>47</v>
      </c>
    </row>
    <row r="653" spans="1:46" ht="26" x14ac:dyDescent="0.3">
      <c r="A653" s="4" t="s">
        <v>2715</v>
      </c>
      <c r="B653" t="s">
        <v>47</v>
      </c>
      <c r="C653" s="4" t="s">
        <v>2689</v>
      </c>
      <c r="D653" s="4" t="s">
        <v>2200</v>
      </c>
      <c r="E653" s="4" t="s">
        <v>49</v>
      </c>
      <c r="F653" s="5" t="s">
        <v>2716</v>
      </c>
      <c r="G653" s="5" t="s">
        <v>2717</v>
      </c>
      <c r="H653" t="s">
        <v>47</v>
      </c>
      <c r="I653" s="3">
        <v>41275</v>
      </c>
      <c r="J653" s="5" t="s">
        <v>50</v>
      </c>
      <c r="K653" t="s">
        <v>47</v>
      </c>
      <c r="L653" s="5" t="s">
        <v>60</v>
      </c>
      <c r="M653" t="s">
        <v>47</v>
      </c>
      <c r="N653" t="s">
        <v>47</v>
      </c>
      <c r="O653" t="s">
        <v>47</v>
      </c>
      <c r="P653" s="3">
        <v>41275</v>
      </c>
      <c r="Q653" s="5" t="s">
        <v>50</v>
      </c>
      <c r="R653" t="s">
        <v>47</v>
      </c>
      <c r="S653" t="s">
        <v>47</v>
      </c>
      <c r="T653" t="s">
        <v>47</v>
      </c>
      <c r="U653" t="s">
        <v>47</v>
      </c>
      <c r="V653" t="s">
        <v>47</v>
      </c>
      <c r="W653" s="3">
        <v>41275</v>
      </c>
      <c r="X653" s="5" t="s">
        <v>50</v>
      </c>
      <c r="Y653" t="s">
        <v>47</v>
      </c>
      <c r="Z653" s="3">
        <v>41275</v>
      </c>
      <c r="AA653" s="5" t="s">
        <v>50</v>
      </c>
      <c r="AB653" t="s">
        <v>47</v>
      </c>
      <c r="AC653" s="3">
        <v>41275</v>
      </c>
      <c r="AD653" s="5" t="s">
        <v>50</v>
      </c>
      <c r="AE653" t="s">
        <v>47</v>
      </c>
      <c r="AF653" t="s">
        <v>47</v>
      </c>
      <c r="AG653" t="s">
        <v>47</v>
      </c>
      <c r="AH653" t="s">
        <v>47</v>
      </c>
      <c r="AI653" t="s">
        <v>47</v>
      </c>
      <c r="AJ653" t="s">
        <v>47</v>
      </c>
      <c r="AK653" t="s">
        <v>47</v>
      </c>
      <c r="AL653" t="s">
        <v>47</v>
      </c>
      <c r="AM653" t="s">
        <v>47</v>
      </c>
      <c r="AN653" t="s">
        <v>47</v>
      </c>
      <c r="AO653" s="5" t="s">
        <v>60</v>
      </c>
      <c r="AP653" s="4" t="s">
        <v>61</v>
      </c>
      <c r="AQ653" s="4" t="s">
        <v>53</v>
      </c>
      <c r="AR653" s="4" t="s">
        <v>54</v>
      </c>
      <c r="AS653" s="5">
        <v>5528231</v>
      </c>
      <c r="AT653" t="s">
        <v>47</v>
      </c>
    </row>
    <row r="654" spans="1:46" ht="26" x14ac:dyDescent="0.3">
      <c r="A654" s="4" t="s">
        <v>2718</v>
      </c>
      <c r="B654" t="s">
        <v>47</v>
      </c>
      <c r="C654" s="4" t="s">
        <v>64</v>
      </c>
      <c r="D654" s="4" t="s">
        <v>139</v>
      </c>
      <c r="E654" s="4" t="s">
        <v>66</v>
      </c>
      <c r="F654" s="5" t="s">
        <v>2719</v>
      </c>
      <c r="G654" s="5" t="s">
        <v>2720</v>
      </c>
      <c r="H654" t="s">
        <v>47</v>
      </c>
      <c r="I654" s="3">
        <v>39508</v>
      </c>
      <c r="J654" s="3">
        <v>42583</v>
      </c>
      <c r="K654" t="s">
        <v>47</v>
      </c>
      <c r="L654" s="5" t="s">
        <v>60</v>
      </c>
      <c r="M654" s="3">
        <v>39508</v>
      </c>
      <c r="N654" s="3">
        <v>42583</v>
      </c>
      <c r="O654" t="s">
        <v>47</v>
      </c>
      <c r="P654" s="3">
        <v>39508</v>
      </c>
      <c r="Q654" s="3">
        <v>42583</v>
      </c>
      <c r="R654" t="s">
        <v>47</v>
      </c>
      <c r="S654" t="s">
        <v>47</v>
      </c>
      <c r="T654" t="s">
        <v>47</v>
      </c>
      <c r="U654" t="s">
        <v>47</v>
      </c>
      <c r="V654" t="s">
        <v>47</v>
      </c>
      <c r="W654" s="3">
        <v>39142</v>
      </c>
      <c r="X654" s="5" t="s">
        <v>50</v>
      </c>
      <c r="Y654" t="s">
        <v>47</v>
      </c>
      <c r="Z654" s="3">
        <v>39142</v>
      </c>
      <c r="AA654" s="5" t="s">
        <v>50</v>
      </c>
      <c r="AB654" t="s">
        <v>47</v>
      </c>
      <c r="AC654" s="3">
        <v>39508</v>
      </c>
      <c r="AD654" s="5" t="s">
        <v>50</v>
      </c>
      <c r="AE654" t="s">
        <v>47</v>
      </c>
      <c r="AF654" t="s">
        <v>47</v>
      </c>
      <c r="AG654" t="s">
        <v>47</v>
      </c>
      <c r="AH654" t="s">
        <v>47</v>
      </c>
      <c r="AI654" t="s">
        <v>47</v>
      </c>
      <c r="AJ654" t="s">
        <v>47</v>
      </c>
      <c r="AK654" t="s">
        <v>47</v>
      </c>
      <c r="AL654" t="s">
        <v>47</v>
      </c>
      <c r="AM654" t="s">
        <v>47</v>
      </c>
      <c r="AN654" t="s">
        <v>47</v>
      </c>
      <c r="AO654" s="5" t="s">
        <v>60</v>
      </c>
      <c r="AP654" s="4" t="s">
        <v>61</v>
      </c>
      <c r="AQ654" s="4" t="s">
        <v>53</v>
      </c>
      <c r="AR654" s="4" t="s">
        <v>2721</v>
      </c>
      <c r="AS654" s="5">
        <v>38336</v>
      </c>
      <c r="AT654" t="s">
        <v>47</v>
      </c>
    </row>
    <row r="655" spans="1:46" ht="52" x14ac:dyDescent="0.3">
      <c r="A655" s="4" t="s">
        <v>2722</v>
      </c>
      <c r="B655" t="s">
        <v>47</v>
      </c>
      <c r="C655" s="4" t="s">
        <v>122</v>
      </c>
      <c r="D655" s="4" t="s">
        <v>2723</v>
      </c>
      <c r="E655" s="4" t="s">
        <v>123</v>
      </c>
      <c r="F655" s="5" t="s">
        <v>2724</v>
      </c>
      <c r="G655" s="5" t="s">
        <v>2725</v>
      </c>
      <c r="H655" t="s">
        <v>47</v>
      </c>
      <c r="I655" s="3">
        <v>43525</v>
      </c>
      <c r="J655" s="5" t="s">
        <v>50</v>
      </c>
      <c r="K655" t="s">
        <v>47</v>
      </c>
      <c r="L655" s="5" t="s">
        <v>60</v>
      </c>
      <c r="M655" s="3">
        <v>43525</v>
      </c>
      <c r="N655" s="5" t="s">
        <v>50</v>
      </c>
      <c r="O655" t="s">
        <v>47</v>
      </c>
      <c r="P655" s="3">
        <v>43525</v>
      </c>
      <c r="Q655" s="5" t="s">
        <v>50</v>
      </c>
      <c r="R655" t="s">
        <v>47</v>
      </c>
      <c r="S655" t="s">
        <v>47</v>
      </c>
      <c r="T655" t="s">
        <v>47</v>
      </c>
      <c r="U655" t="s">
        <v>47</v>
      </c>
      <c r="V655" s="5">
        <v>365</v>
      </c>
      <c r="W655" s="3">
        <v>43525</v>
      </c>
      <c r="X655" s="5" t="s">
        <v>50</v>
      </c>
      <c r="Y655" t="s">
        <v>47</v>
      </c>
      <c r="Z655" s="3">
        <v>43525</v>
      </c>
      <c r="AA655" s="5" t="s">
        <v>50</v>
      </c>
      <c r="AB655" t="s">
        <v>47</v>
      </c>
      <c r="AC655" s="3">
        <v>43525</v>
      </c>
      <c r="AD655" s="5" t="s">
        <v>50</v>
      </c>
      <c r="AE655" t="s">
        <v>47</v>
      </c>
      <c r="AF655" t="s">
        <v>47</v>
      </c>
      <c r="AG655" t="s">
        <v>47</v>
      </c>
      <c r="AH655" t="s">
        <v>47</v>
      </c>
      <c r="AI655" t="s">
        <v>47</v>
      </c>
      <c r="AJ655" t="s">
        <v>47</v>
      </c>
      <c r="AK655" t="s">
        <v>47</v>
      </c>
      <c r="AL655" t="s">
        <v>47</v>
      </c>
      <c r="AM655" t="s">
        <v>47</v>
      </c>
      <c r="AN655" t="s">
        <v>47</v>
      </c>
      <c r="AO655" s="5" t="s">
        <v>60</v>
      </c>
      <c r="AP655" s="4" t="s">
        <v>61</v>
      </c>
      <c r="AQ655" s="4" t="s">
        <v>53</v>
      </c>
      <c r="AR655" s="4" t="s">
        <v>1093</v>
      </c>
      <c r="AS655" s="5">
        <v>6623292</v>
      </c>
      <c r="AT655" t="s">
        <v>47</v>
      </c>
    </row>
    <row r="656" spans="1:46" ht="78" x14ac:dyDescent="0.3">
      <c r="A656" s="4" t="s">
        <v>2726</v>
      </c>
      <c r="B656" t="s">
        <v>47</v>
      </c>
      <c r="C656" s="4" t="s">
        <v>183</v>
      </c>
      <c r="D656" s="4" t="s">
        <v>333</v>
      </c>
      <c r="E656" s="4" t="s">
        <v>49</v>
      </c>
      <c r="F656" s="5" t="s">
        <v>2727</v>
      </c>
      <c r="G656" s="5" t="s">
        <v>2728</v>
      </c>
      <c r="H656" t="s">
        <v>47</v>
      </c>
      <c r="I656" t="s">
        <v>47</v>
      </c>
      <c r="J656" t="s">
        <v>47</v>
      </c>
      <c r="K656" t="s">
        <v>47</v>
      </c>
      <c r="L656" s="5" t="s">
        <v>60</v>
      </c>
      <c r="M656" t="s">
        <v>47</v>
      </c>
      <c r="N656" t="s">
        <v>47</v>
      </c>
      <c r="O656" t="s">
        <v>47</v>
      </c>
      <c r="P656" t="s">
        <v>47</v>
      </c>
      <c r="Q656" t="s">
        <v>47</v>
      </c>
      <c r="R656" t="s">
        <v>47</v>
      </c>
      <c r="S656" t="s">
        <v>47</v>
      </c>
      <c r="T656" t="s">
        <v>47</v>
      </c>
      <c r="U656" t="s">
        <v>47</v>
      </c>
      <c r="V656" t="s">
        <v>47</v>
      </c>
      <c r="W656" s="3">
        <v>26451</v>
      </c>
      <c r="X656" s="5" t="s">
        <v>50</v>
      </c>
      <c r="Y656" t="s">
        <v>47</v>
      </c>
      <c r="Z656" s="3">
        <v>26451</v>
      </c>
      <c r="AA656" s="5" t="s">
        <v>50</v>
      </c>
      <c r="AB656" t="s">
        <v>47</v>
      </c>
      <c r="AC656" s="3">
        <v>26451</v>
      </c>
      <c r="AD656" s="5" t="s">
        <v>50</v>
      </c>
      <c r="AE656" t="s">
        <v>47</v>
      </c>
      <c r="AF656" t="s">
        <v>47</v>
      </c>
      <c r="AG656" t="s">
        <v>47</v>
      </c>
      <c r="AH656" t="s">
        <v>47</v>
      </c>
      <c r="AI656" t="s">
        <v>47</v>
      </c>
      <c r="AJ656" t="s">
        <v>47</v>
      </c>
      <c r="AK656" t="s">
        <v>47</v>
      </c>
      <c r="AL656" t="s">
        <v>47</v>
      </c>
      <c r="AM656" t="s">
        <v>47</v>
      </c>
      <c r="AN656" t="s">
        <v>47</v>
      </c>
      <c r="AO656" s="5" t="s">
        <v>60</v>
      </c>
      <c r="AP656" s="4" t="s">
        <v>61</v>
      </c>
      <c r="AQ656" s="4" t="s">
        <v>53</v>
      </c>
      <c r="AR656" s="4" t="s">
        <v>2729</v>
      </c>
      <c r="AS656" s="5">
        <v>2549</v>
      </c>
      <c r="AT656" t="s">
        <v>47</v>
      </c>
    </row>
    <row r="657" spans="1:46" ht="26" x14ac:dyDescent="0.3">
      <c r="A657" s="4" t="s">
        <v>2730</v>
      </c>
      <c r="B657" t="s">
        <v>47</v>
      </c>
      <c r="C657" s="4" t="s">
        <v>122</v>
      </c>
      <c r="D657" s="4" t="s">
        <v>2731</v>
      </c>
      <c r="E657" s="4" t="s">
        <v>123</v>
      </c>
      <c r="F657" s="5" t="s">
        <v>2732</v>
      </c>
      <c r="G657" s="5" t="s">
        <v>2733</v>
      </c>
      <c r="H657" t="s">
        <v>47</v>
      </c>
      <c r="I657" s="3">
        <v>39083</v>
      </c>
      <c r="J657" s="5" t="s">
        <v>50</v>
      </c>
      <c r="K657" s="5" t="s">
        <v>2734</v>
      </c>
      <c r="L657" s="5" t="s">
        <v>60</v>
      </c>
      <c r="M657" t="s">
        <v>47</v>
      </c>
      <c r="N657" t="s">
        <v>47</v>
      </c>
      <c r="O657" t="s">
        <v>47</v>
      </c>
      <c r="P657" s="3">
        <v>39083</v>
      </c>
      <c r="Q657" s="5" t="s">
        <v>50</v>
      </c>
      <c r="R657" s="5" t="s">
        <v>2734</v>
      </c>
      <c r="S657" t="s">
        <v>47</v>
      </c>
      <c r="T657" t="s">
        <v>47</v>
      </c>
      <c r="U657" t="s">
        <v>47</v>
      </c>
      <c r="V657" t="s">
        <v>47</v>
      </c>
      <c r="W657" s="3">
        <v>39083</v>
      </c>
      <c r="X657" s="5" t="s">
        <v>50</v>
      </c>
      <c r="Y657" s="5" t="s">
        <v>2734</v>
      </c>
      <c r="Z657" s="3">
        <v>39083</v>
      </c>
      <c r="AA657" s="5" t="s">
        <v>50</v>
      </c>
      <c r="AB657" s="5" t="s">
        <v>2734</v>
      </c>
      <c r="AC657" s="3">
        <v>39083</v>
      </c>
      <c r="AD657" s="5" t="s">
        <v>50</v>
      </c>
      <c r="AE657" s="5" t="s">
        <v>2734</v>
      </c>
      <c r="AF657" t="s">
        <v>47</v>
      </c>
      <c r="AG657" t="s">
        <v>47</v>
      </c>
      <c r="AH657" t="s">
        <v>47</v>
      </c>
      <c r="AI657" t="s">
        <v>47</v>
      </c>
      <c r="AJ657" t="s">
        <v>47</v>
      </c>
      <c r="AK657" t="s">
        <v>47</v>
      </c>
      <c r="AL657" t="s">
        <v>47</v>
      </c>
      <c r="AM657" t="s">
        <v>47</v>
      </c>
      <c r="AN657" t="s">
        <v>47</v>
      </c>
      <c r="AO657" s="5" t="s">
        <v>60</v>
      </c>
      <c r="AP657" s="4" t="s">
        <v>61</v>
      </c>
      <c r="AQ657" s="4" t="s">
        <v>53</v>
      </c>
      <c r="AR657" s="4" t="s">
        <v>54</v>
      </c>
      <c r="AS657" s="5">
        <v>2034741</v>
      </c>
      <c r="AT657" t="s">
        <v>47</v>
      </c>
    </row>
    <row r="658" spans="1:46" ht="26" x14ac:dyDescent="0.3">
      <c r="A658" s="4" t="s">
        <v>2735</v>
      </c>
      <c r="B658" t="s">
        <v>47</v>
      </c>
      <c r="C658" s="4" t="s">
        <v>2736</v>
      </c>
      <c r="D658" s="4" t="s">
        <v>2737</v>
      </c>
      <c r="E658" s="4" t="s">
        <v>100</v>
      </c>
      <c r="F658" t="s">
        <v>47</v>
      </c>
      <c r="G658" s="5" t="s">
        <v>2738</v>
      </c>
      <c r="H658" t="s">
        <v>47</v>
      </c>
      <c r="I658" s="3">
        <v>40179</v>
      </c>
      <c r="J658" s="5" t="s">
        <v>50</v>
      </c>
      <c r="K658" t="s">
        <v>47</v>
      </c>
      <c r="L658" s="5" t="s">
        <v>60</v>
      </c>
      <c r="M658" t="s">
        <v>47</v>
      </c>
      <c r="N658" t="s">
        <v>47</v>
      </c>
      <c r="O658" t="s">
        <v>47</v>
      </c>
      <c r="P658" s="3">
        <v>40179</v>
      </c>
      <c r="Q658" s="5" t="s">
        <v>50</v>
      </c>
      <c r="R658" t="s">
        <v>47</v>
      </c>
      <c r="S658" t="s">
        <v>47</v>
      </c>
      <c r="T658" t="s">
        <v>47</v>
      </c>
      <c r="U658" t="s">
        <v>47</v>
      </c>
      <c r="V658" t="s">
        <v>47</v>
      </c>
      <c r="W658" s="3">
        <v>40179</v>
      </c>
      <c r="X658" s="5" t="s">
        <v>50</v>
      </c>
      <c r="Y658" t="s">
        <v>47</v>
      </c>
      <c r="Z658" s="3">
        <v>40179</v>
      </c>
      <c r="AA658" s="5" t="s">
        <v>50</v>
      </c>
      <c r="AB658" t="s">
        <v>47</v>
      </c>
      <c r="AC658" s="3">
        <v>40179</v>
      </c>
      <c r="AD658" s="5" t="s">
        <v>50</v>
      </c>
      <c r="AE658" t="s">
        <v>47</v>
      </c>
      <c r="AF658" t="s">
        <v>47</v>
      </c>
      <c r="AG658" t="s">
        <v>47</v>
      </c>
      <c r="AH658" t="s">
        <v>47</v>
      </c>
      <c r="AI658" t="s">
        <v>47</v>
      </c>
      <c r="AJ658" t="s">
        <v>47</v>
      </c>
      <c r="AK658" t="s">
        <v>47</v>
      </c>
      <c r="AL658" t="s">
        <v>47</v>
      </c>
      <c r="AM658" t="s">
        <v>47</v>
      </c>
      <c r="AN658" t="s">
        <v>47</v>
      </c>
      <c r="AO658" s="5" t="s">
        <v>60</v>
      </c>
      <c r="AP658" s="4" t="s">
        <v>61</v>
      </c>
      <c r="AQ658" s="4" t="s">
        <v>53</v>
      </c>
      <c r="AR658" s="4" t="s">
        <v>371</v>
      </c>
      <c r="AS658" s="5">
        <v>2046194</v>
      </c>
      <c r="AT658" t="s">
        <v>47</v>
      </c>
    </row>
    <row r="659" spans="1:46" ht="91" x14ac:dyDescent="0.3">
      <c r="A659" s="4" t="s">
        <v>2739</v>
      </c>
      <c r="B659" t="s">
        <v>47</v>
      </c>
      <c r="C659" s="4" t="s">
        <v>169</v>
      </c>
      <c r="D659" s="4" t="s">
        <v>339</v>
      </c>
      <c r="E659" s="4" t="s">
        <v>66</v>
      </c>
      <c r="F659" s="5" t="s">
        <v>2740</v>
      </c>
      <c r="G659" s="5" t="s">
        <v>2741</v>
      </c>
      <c r="H659" t="s">
        <v>47</v>
      </c>
      <c r="I659" t="s">
        <v>47</v>
      </c>
      <c r="J659" t="s">
        <v>47</v>
      </c>
      <c r="K659" t="s">
        <v>47</v>
      </c>
      <c r="L659" s="5" t="s">
        <v>60</v>
      </c>
      <c r="M659" t="s">
        <v>47</v>
      </c>
      <c r="N659" t="s">
        <v>47</v>
      </c>
      <c r="O659" t="s">
        <v>47</v>
      </c>
      <c r="P659" t="s">
        <v>47</v>
      </c>
      <c r="Q659" t="s">
        <v>47</v>
      </c>
      <c r="R659" t="s">
        <v>47</v>
      </c>
      <c r="S659" t="s">
        <v>47</v>
      </c>
      <c r="T659" t="s">
        <v>47</v>
      </c>
      <c r="U659" t="s">
        <v>47</v>
      </c>
      <c r="V659" t="s">
        <v>47</v>
      </c>
      <c r="W659" s="3">
        <v>40210</v>
      </c>
      <c r="X659" s="5" t="s">
        <v>50</v>
      </c>
      <c r="Y659" t="s">
        <v>47</v>
      </c>
      <c r="Z659" s="3">
        <v>40210</v>
      </c>
      <c r="AA659" s="5" t="s">
        <v>50</v>
      </c>
      <c r="AB659" t="s">
        <v>47</v>
      </c>
      <c r="AC659" s="3">
        <v>40210</v>
      </c>
      <c r="AD659" s="5" t="s">
        <v>50</v>
      </c>
      <c r="AE659" t="s">
        <v>47</v>
      </c>
      <c r="AF659" t="s">
        <v>47</v>
      </c>
      <c r="AG659" t="s">
        <v>47</v>
      </c>
      <c r="AH659" t="s">
        <v>47</v>
      </c>
      <c r="AI659" t="s">
        <v>47</v>
      </c>
      <c r="AJ659" t="s">
        <v>47</v>
      </c>
      <c r="AK659" t="s">
        <v>47</v>
      </c>
      <c r="AL659" t="s">
        <v>47</v>
      </c>
      <c r="AM659" t="s">
        <v>47</v>
      </c>
      <c r="AN659" t="s">
        <v>47</v>
      </c>
      <c r="AO659" s="5" t="s">
        <v>60</v>
      </c>
      <c r="AP659" s="4" t="s">
        <v>61</v>
      </c>
      <c r="AQ659" s="4" t="s">
        <v>53</v>
      </c>
      <c r="AR659" s="4" t="s">
        <v>2742</v>
      </c>
      <c r="AS659" s="5">
        <v>176148</v>
      </c>
      <c r="AT659" t="s">
        <v>47</v>
      </c>
    </row>
    <row r="660" spans="1:46" ht="65" x14ac:dyDescent="0.3">
      <c r="A660" s="4" t="s">
        <v>2743</v>
      </c>
      <c r="B660" t="s">
        <v>47</v>
      </c>
      <c r="C660" s="4" t="s">
        <v>2744</v>
      </c>
      <c r="D660" s="4" t="s">
        <v>2745</v>
      </c>
      <c r="E660" s="4" t="s">
        <v>2746</v>
      </c>
      <c r="F660" s="5" t="s">
        <v>2747</v>
      </c>
      <c r="G660" s="5" t="s">
        <v>2748</v>
      </c>
      <c r="H660" t="s">
        <v>47</v>
      </c>
      <c r="I660" s="3">
        <v>41275</v>
      </c>
      <c r="J660" s="3">
        <v>43466</v>
      </c>
      <c r="K660" t="s">
        <v>47</v>
      </c>
      <c r="L660" s="5" t="s">
        <v>60</v>
      </c>
      <c r="M660" s="3">
        <v>42736</v>
      </c>
      <c r="N660" s="3">
        <v>43466</v>
      </c>
      <c r="O660" t="s">
        <v>47</v>
      </c>
      <c r="P660" s="3">
        <v>41275</v>
      </c>
      <c r="Q660" s="3">
        <v>43466</v>
      </c>
      <c r="R660" t="s">
        <v>47</v>
      </c>
      <c r="S660" t="s">
        <v>47</v>
      </c>
      <c r="T660" t="s">
        <v>47</v>
      </c>
      <c r="U660" t="s">
        <v>47</v>
      </c>
      <c r="V660" t="s">
        <v>47</v>
      </c>
      <c r="W660" s="3">
        <v>41275</v>
      </c>
      <c r="X660" s="3">
        <v>43466</v>
      </c>
      <c r="Y660" t="s">
        <v>47</v>
      </c>
      <c r="Z660" s="3">
        <v>41275</v>
      </c>
      <c r="AA660" s="3">
        <v>43466</v>
      </c>
      <c r="AB660" t="s">
        <v>47</v>
      </c>
      <c r="AC660" s="3">
        <v>41275</v>
      </c>
      <c r="AD660" s="3">
        <v>43466</v>
      </c>
      <c r="AE660" t="s">
        <v>47</v>
      </c>
      <c r="AF660" t="s">
        <v>47</v>
      </c>
      <c r="AG660" t="s">
        <v>47</v>
      </c>
      <c r="AH660" t="s">
        <v>47</v>
      </c>
      <c r="AI660" t="s">
        <v>47</v>
      </c>
      <c r="AJ660" t="s">
        <v>47</v>
      </c>
      <c r="AK660" t="s">
        <v>47</v>
      </c>
      <c r="AL660" t="s">
        <v>47</v>
      </c>
      <c r="AM660" t="s">
        <v>47</v>
      </c>
      <c r="AN660" t="s">
        <v>47</v>
      </c>
      <c r="AO660" s="5" t="s">
        <v>60</v>
      </c>
      <c r="AP660" s="4" t="s">
        <v>61</v>
      </c>
      <c r="AQ660" s="4" t="s">
        <v>53</v>
      </c>
      <c r="AR660" s="4" t="s">
        <v>2749</v>
      </c>
      <c r="AS660" s="5">
        <v>4402925</v>
      </c>
      <c r="AT660" t="s">
        <v>47</v>
      </c>
    </row>
    <row r="661" spans="1:46" ht="26" x14ac:dyDescent="0.3">
      <c r="A661" s="4" t="s">
        <v>2750</v>
      </c>
      <c r="B661" t="s">
        <v>47</v>
      </c>
      <c r="C661" s="4" t="s">
        <v>115</v>
      </c>
      <c r="D661" s="4" t="s">
        <v>559</v>
      </c>
      <c r="E661" s="4" t="s">
        <v>66</v>
      </c>
      <c r="F661" s="5" t="s">
        <v>2751</v>
      </c>
      <c r="G661" s="5" t="s">
        <v>2752</v>
      </c>
      <c r="H661" t="s">
        <v>47</v>
      </c>
      <c r="I661" s="3">
        <v>42370</v>
      </c>
      <c r="J661" s="5" t="s">
        <v>50</v>
      </c>
      <c r="K661" t="s">
        <v>47</v>
      </c>
      <c r="L661" s="5" t="s">
        <v>60</v>
      </c>
      <c r="M661" s="3">
        <v>42370</v>
      </c>
      <c r="N661" s="5" t="s">
        <v>50</v>
      </c>
      <c r="O661" t="s">
        <v>47</v>
      </c>
      <c r="P661" s="3">
        <v>42370</v>
      </c>
      <c r="Q661" s="5" t="s">
        <v>50</v>
      </c>
      <c r="R661" t="s">
        <v>47</v>
      </c>
      <c r="S661" t="s">
        <v>47</v>
      </c>
      <c r="T661" t="s">
        <v>47</v>
      </c>
      <c r="U661" t="s">
        <v>47</v>
      </c>
      <c r="V661" s="5">
        <v>365</v>
      </c>
      <c r="W661" s="3">
        <v>42370</v>
      </c>
      <c r="X661" s="5" t="s">
        <v>50</v>
      </c>
      <c r="Y661" t="s">
        <v>47</v>
      </c>
      <c r="Z661" s="3">
        <v>42370</v>
      </c>
      <c r="AA661" s="5" t="s">
        <v>50</v>
      </c>
      <c r="AB661" t="s">
        <v>47</v>
      </c>
      <c r="AC661" s="3">
        <v>42370</v>
      </c>
      <c r="AD661" s="5" t="s">
        <v>50</v>
      </c>
      <c r="AE661" t="s">
        <v>47</v>
      </c>
      <c r="AF661" t="s">
        <v>47</v>
      </c>
      <c r="AG661" t="s">
        <v>47</v>
      </c>
      <c r="AH661" t="s">
        <v>47</v>
      </c>
      <c r="AI661" t="s">
        <v>47</v>
      </c>
      <c r="AJ661" t="s">
        <v>47</v>
      </c>
      <c r="AK661" t="s">
        <v>47</v>
      </c>
      <c r="AL661" t="s">
        <v>47</v>
      </c>
      <c r="AM661" t="s">
        <v>47</v>
      </c>
      <c r="AN661" t="s">
        <v>47</v>
      </c>
      <c r="AO661" s="5" t="s">
        <v>51</v>
      </c>
      <c r="AP661" s="4" t="s">
        <v>61</v>
      </c>
      <c r="AQ661" s="4" t="s">
        <v>53</v>
      </c>
      <c r="AR661" s="4" t="s">
        <v>54</v>
      </c>
      <c r="AS661" s="5">
        <v>2050548</v>
      </c>
      <c r="AT661" t="s">
        <v>47</v>
      </c>
    </row>
    <row r="662" spans="1:46" ht="39" x14ac:dyDescent="0.3">
      <c r="A662" s="4" t="s">
        <v>2753</v>
      </c>
      <c r="B662" t="s">
        <v>47</v>
      </c>
      <c r="C662" s="4" t="s">
        <v>122</v>
      </c>
      <c r="D662" s="4" t="s">
        <v>70</v>
      </c>
      <c r="E662" s="4" t="s">
        <v>123</v>
      </c>
      <c r="F662" s="5" t="s">
        <v>2754</v>
      </c>
      <c r="G662" s="5" t="s">
        <v>2755</v>
      </c>
      <c r="H662" t="s">
        <v>47</v>
      </c>
      <c r="I662" s="3">
        <v>38777</v>
      </c>
      <c r="J662" s="5" t="s">
        <v>50</v>
      </c>
      <c r="K662" t="s">
        <v>47</v>
      </c>
      <c r="L662" s="5" t="s">
        <v>60</v>
      </c>
      <c r="M662" s="3">
        <v>38777</v>
      </c>
      <c r="N662" s="3">
        <v>42795</v>
      </c>
      <c r="O662" t="s">
        <v>47</v>
      </c>
      <c r="P662" s="3">
        <v>38777</v>
      </c>
      <c r="Q662" s="5" t="s">
        <v>50</v>
      </c>
      <c r="R662" t="s">
        <v>47</v>
      </c>
      <c r="S662" t="s">
        <v>47</v>
      </c>
      <c r="T662" t="s">
        <v>47</v>
      </c>
      <c r="U662" t="s">
        <v>47</v>
      </c>
      <c r="V662" s="5">
        <v>365</v>
      </c>
      <c r="W662" s="3">
        <v>38777</v>
      </c>
      <c r="X662" s="5" t="s">
        <v>50</v>
      </c>
      <c r="Y662" t="s">
        <v>47</v>
      </c>
      <c r="Z662" s="3">
        <v>38777</v>
      </c>
      <c r="AA662" s="5" t="s">
        <v>50</v>
      </c>
      <c r="AB662" t="s">
        <v>47</v>
      </c>
      <c r="AC662" s="3">
        <v>38777</v>
      </c>
      <c r="AD662" s="5" t="s">
        <v>50</v>
      </c>
      <c r="AE662" t="s">
        <v>47</v>
      </c>
      <c r="AF662" t="s">
        <v>47</v>
      </c>
      <c r="AG662" t="s">
        <v>47</v>
      </c>
      <c r="AH662" t="s">
        <v>47</v>
      </c>
      <c r="AI662" t="s">
        <v>47</v>
      </c>
      <c r="AJ662" t="s">
        <v>47</v>
      </c>
      <c r="AK662" t="s">
        <v>47</v>
      </c>
      <c r="AL662" t="s">
        <v>47</v>
      </c>
      <c r="AM662" t="s">
        <v>47</v>
      </c>
      <c r="AN662" t="s">
        <v>47</v>
      </c>
      <c r="AO662" s="5" t="s">
        <v>60</v>
      </c>
      <c r="AP662" s="4" t="s">
        <v>61</v>
      </c>
      <c r="AQ662" s="4" t="s">
        <v>53</v>
      </c>
      <c r="AR662" s="4" t="s">
        <v>1543</v>
      </c>
      <c r="AS662" s="5">
        <v>54633</v>
      </c>
      <c r="AT662" t="s">
        <v>47</v>
      </c>
    </row>
    <row r="663" spans="1:46" ht="65" x14ac:dyDescent="0.3">
      <c r="A663" s="4" t="s">
        <v>2756</v>
      </c>
      <c r="B663" t="s">
        <v>47</v>
      </c>
      <c r="C663" s="4" t="s">
        <v>2683</v>
      </c>
      <c r="D663" s="4" t="s">
        <v>2757</v>
      </c>
      <c r="E663" s="4" t="s">
        <v>49</v>
      </c>
      <c r="F663" s="5" t="s">
        <v>2758</v>
      </c>
      <c r="G663" s="5" t="s">
        <v>2759</v>
      </c>
      <c r="H663" t="s">
        <v>47</v>
      </c>
      <c r="I663" s="3">
        <v>43831</v>
      </c>
      <c r="J663" s="5" t="s">
        <v>50</v>
      </c>
      <c r="K663" t="s">
        <v>47</v>
      </c>
      <c r="L663" s="5" t="s">
        <v>60</v>
      </c>
      <c r="M663" t="s">
        <v>47</v>
      </c>
      <c r="N663" t="s">
        <v>47</v>
      </c>
      <c r="O663" t="s">
        <v>47</v>
      </c>
      <c r="P663" s="3">
        <v>43831</v>
      </c>
      <c r="Q663" s="5" t="s">
        <v>50</v>
      </c>
      <c r="R663" t="s">
        <v>47</v>
      </c>
      <c r="S663" t="s">
        <v>47</v>
      </c>
      <c r="T663" t="s">
        <v>47</v>
      </c>
      <c r="U663" t="s">
        <v>47</v>
      </c>
      <c r="V663" t="s">
        <v>47</v>
      </c>
      <c r="W663" s="3">
        <v>43831</v>
      </c>
      <c r="X663" s="5" t="s">
        <v>50</v>
      </c>
      <c r="Y663" t="s">
        <v>47</v>
      </c>
      <c r="Z663" s="3">
        <v>43831</v>
      </c>
      <c r="AA663" s="5" t="s">
        <v>50</v>
      </c>
      <c r="AB663" t="s">
        <v>47</v>
      </c>
      <c r="AC663" s="3">
        <v>43831</v>
      </c>
      <c r="AD663" s="5" t="s">
        <v>50</v>
      </c>
      <c r="AE663" t="s">
        <v>47</v>
      </c>
      <c r="AF663" t="s">
        <v>47</v>
      </c>
      <c r="AG663" t="s">
        <v>47</v>
      </c>
      <c r="AH663" t="s">
        <v>47</v>
      </c>
      <c r="AI663" t="s">
        <v>47</v>
      </c>
      <c r="AJ663" t="s">
        <v>47</v>
      </c>
      <c r="AK663" t="s">
        <v>47</v>
      </c>
      <c r="AL663" t="s">
        <v>47</v>
      </c>
      <c r="AM663" t="s">
        <v>47</v>
      </c>
      <c r="AN663" t="s">
        <v>47</v>
      </c>
      <c r="AO663" s="5" t="s">
        <v>60</v>
      </c>
      <c r="AP663" s="4" t="s">
        <v>61</v>
      </c>
      <c r="AQ663" s="4" t="s">
        <v>53</v>
      </c>
      <c r="AR663" s="4" t="s">
        <v>543</v>
      </c>
      <c r="AS663" s="5">
        <v>6695820</v>
      </c>
      <c r="AT663" t="s">
        <v>47</v>
      </c>
    </row>
    <row r="664" spans="1:46" ht="26" x14ac:dyDescent="0.3">
      <c r="A664" s="4" t="s">
        <v>2760</v>
      </c>
      <c r="B664" t="s">
        <v>47</v>
      </c>
      <c r="C664" s="4" t="s">
        <v>2683</v>
      </c>
      <c r="D664" s="4" t="s">
        <v>2761</v>
      </c>
      <c r="E664" s="4" t="s">
        <v>49</v>
      </c>
      <c r="F664" s="5" t="s">
        <v>2762</v>
      </c>
      <c r="G664" s="5" t="s">
        <v>2763</v>
      </c>
      <c r="H664" t="s">
        <v>47</v>
      </c>
      <c r="I664" t="s">
        <v>47</v>
      </c>
      <c r="J664" t="s">
        <v>47</v>
      </c>
      <c r="K664" t="s">
        <v>47</v>
      </c>
      <c r="L664" s="5" t="s">
        <v>60</v>
      </c>
      <c r="M664" t="s">
        <v>47</v>
      </c>
      <c r="N664" t="s">
        <v>47</v>
      </c>
      <c r="O664" t="s">
        <v>47</v>
      </c>
      <c r="P664" t="s">
        <v>47</v>
      </c>
      <c r="Q664" t="s">
        <v>47</v>
      </c>
      <c r="R664" t="s">
        <v>47</v>
      </c>
      <c r="S664" t="s">
        <v>47</v>
      </c>
      <c r="T664" t="s">
        <v>47</v>
      </c>
      <c r="U664" t="s">
        <v>47</v>
      </c>
      <c r="V664" t="s">
        <v>47</v>
      </c>
      <c r="W664" s="3">
        <v>41000</v>
      </c>
      <c r="X664" s="3">
        <v>42552</v>
      </c>
      <c r="Y664" t="s">
        <v>47</v>
      </c>
      <c r="Z664" s="3">
        <v>41000</v>
      </c>
      <c r="AA664" s="3">
        <v>42552</v>
      </c>
      <c r="AB664" t="s">
        <v>47</v>
      </c>
      <c r="AC664" s="3">
        <v>41000</v>
      </c>
      <c r="AD664" s="3">
        <v>42552</v>
      </c>
      <c r="AE664" t="s">
        <v>47</v>
      </c>
      <c r="AF664" t="s">
        <v>47</v>
      </c>
      <c r="AG664" t="s">
        <v>47</v>
      </c>
      <c r="AH664" t="s">
        <v>47</v>
      </c>
      <c r="AI664" t="s">
        <v>47</v>
      </c>
      <c r="AJ664" t="s">
        <v>47</v>
      </c>
      <c r="AK664" t="s">
        <v>47</v>
      </c>
      <c r="AL664" t="s">
        <v>47</v>
      </c>
      <c r="AM664" t="s">
        <v>47</v>
      </c>
      <c r="AN664" t="s">
        <v>47</v>
      </c>
      <c r="AO664" s="5" t="s">
        <v>60</v>
      </c>
      <c r="AP664" s="4" t="s">
        <v>61</v>
      </c>
      <c r="AQ664" s="4" t="s">
        <v>53</v>
      </c>
      <c r="AR664" s="4" t="s">
        <v>2764</v>
      </c>
      <c r="AS664" s="5">
        <v>2029133</v>
      </c>
      <c r="AT664" t="s">
        <v>47</v>
      </c>
    </row>
    <row r="665" spans="1:46" ht="26" x14ac:dyDescent="0.3">
      <c r="A665" s="4" t="s">
        <v>2765</v>
      </c>
      <c r="B665" t="s">
        <v>47</v>
      </c>
      <c r="C665" s="4" t="s">
        <v>2689</v>
      </c>
      <c r="D665" s="4" t="s">
        <v>2766</v>
      </c>
      <c r="E665" s="4" t="s">
        <v>49</v>
      </c>
      <c r="F665" s="5" t="s">
        <v>2767</v>
      </c>
      <c r="G665" s="5" t="s">
        <v>2768</v>
      </c>
      <c r="H665" t="s">
        <v>47</v>
      </c>
      <c r="I665" s="3">
        <v>41275</v>
      </c>
      <c r="J665" s="5" t="s">
        <v>50</v>
      </c>
      <c r="K665" t="s">
        <v>47</v>
      </c>
      <c r="L665" s="5" t="s">
        <v>60</v>
      </c>
      <c r="M665" t="s">
        <v>47</v>
      </c>
      <c r="N665" t="s">
        <v>47</v>
      </c>
      <c r="O665" t="s">
        <v>47</v>
      </c>
      <c r="P665" s="3">
        <v>41275</v>
      </c>
      <c r="Q665" s="5" t="s">
        <v>50</v>
      </c>
      <c r="R665" t="s">
        <v>47</v>
      </c>
      <c r="S665" t="s">
        <v>47</v>
      </c>
      <c r="T665" t="s">
        <v>47</v>
      </c>
      <c r="U665" t="s">
        <v>47</v>
      </c>
      <c r="V665" t="s">
        <v>47</v>
      </c>
      <c r="W665" s="3">
        <v>41275</v>
      </c>
      <c r="X665" s="5" t="s">
        <v>50</v>
      </c>
      <c r="Y665" t="s">
        <v>47</v>
      </c>
      <c r="Z665" s="3">
        <v>41275</v>
      </c>
      <c r="AA665" s="5" t="s">
        <v>50</v>
      </c>
      <c r="AB665" t="s">
        <v>47</v>
      </c>
      <c r="AC665" s="3">
        <v>41275</v>
      </c>
      <c r="AD665" s="5" t="s">
        <v>50</v>
      </c>
      <c r="AE665" t="s">
        <v>47</v>
      </c>
      <c r="AF665" t="s">
        <v>47</v>
      </c>
      <c r="AG665" t="s">
        <v>47</v>
      </c>
      <c r="AH665" t="s">
        <v>47</v>
      </c>
      <c r="AI665" t="s">
        <v>47</v>
      </c>
      <c r="AJ665" t="s">
        <v>47</v>
      </c>
      <c r="AK665" t="s">
        <v>47</v>
      </c>
      <c r="AL665" t="s">
        <v>47</v>
      </c>
      <c r="AM665" t="s">
        <v>47</v>
      </c>
      <c r="AN665" t="s">
        <v>47</v>
      </c>
      <c r="AO665" s="5" t="s">
        <v>60</v>
      </c>
      <c r="AP665" s="4" t="s">
        <v>61</v>
      </c>
      <c r="AQ665" s="4" t="s">
        <v>53</v>
      </c>
      <c r="AR665" s="4" t="s">
        <v>2769</v>
      </c>
      <c r="AS665" s="5">
        <v>5528220</v>
      </c>
      <c r="AT665" t="s">
        <v>47</v>
      </c>
    </row>
    <row r="666" spans="1:46" ht="26" x14ac:dyDescent="0.3">
      <c r="A666" s="4" t="s">
        <v>2770</v>
      </c>
      <c r="B666" t="s">
        <v>47</v>
      </c>
      <c r="C666" s="4" t="s">
        <v>2689</v>
      </c>
      <c r="D666" s="4" t="s">
        <v>2766</v>
      </c>
      <c r="E666" s="4" t="s">
        <v>49</v>
      </c>
      <c r="F666" s="5" t="s">
        <v>2771</v>
      </c>
      <c r="G666" s="5" t="s">
        <v>2772</v>
      </c>
      <c r="H666" t="s">
        <v>47</v>
      </c>
      <c r="I666" s="3">
        <v>41275</v>
      </c>
      <c r="J666" s="5" t="s">
        <v>50</v>
      </c>
      <c r="K666" t="s">
        <v>47</v>
      </c>
      <c r="L666" s="5" t="s">
        <v>60</v>
      </c>
      <c r="M666" t="s">
        <v>47</v>
      </c>
      <c r="N666" t="s">
        <v>47</v>
      </c>
      <c r="O666" t="s">
        <v>47</v>
      </c>
      <c r="P666" s="3">
        <v>41275</v>
      </c>
      <c r="Q666" s="5" t="s">
        <v>50</v>
      </c>
      <c r="R666" t="s">
        <v>47</v>
      </c>
      <c r="S666" t="s">
        <v>47</v>
      </c>
      <c r="T666" t="s">
        <v>47</v>
      </c>
      <c r="U666" t="s">
        <v>47</v>
      </c>
      <c r="V666" t="s">
        <v>47</v>
      </c>
      <c r="W666" s="3">
        <v>41275</v>
      </c>
      <c r="X666" s="5" t="s">
        <v>50</v>
      </c>
      <c r="Y666" t="s">
        <v>47</v>
      </c>
      <c r="Z666" s="3">
        <v>41275</v>
      </c>
      <c r="AA666" s="5" t="s">
        <v>50</v>
      </c>
      <c r="AB666" t="s">
        <v>47</v>
      </c>
      <c r="AC666" s="3">
        <v>41275</v>
      </c>
      <c r="AD666" s="5" t="s">
        <v>50</v>
      </c>
      <c r="AE666" t="s">
        <v>47</v>
      </c>
      <c r="AF666" t="s">
        <v>47</v>
      </c>
      <c r="AG666" t="s">
        <v>47</v>
      </c>
      <c r="AH666" t="s">
        <v>47</v>
      </c>
      <c r="AI666" t="s">
        <v>47</v>
      </c>
      <c r="AJ666" t="s">
        <v>47</v>
      </c>
      <c r="AK666" t="s">
        <v>47</v>
      </c>
      <c r="AL666" t="s">
        <v>47</v>
      </c>
      <c r="AM666" t="s">
        <v>47</v>
      </c>
      <c r="AN666" t="s">
        <v>47</v>
      </c>
      <c r="AO666" s="5" t="s">
        <v>60</v>
      </c>
      <c r="AP666" s="4" t="s">
        <v>61</v>
      </c>
      <c r="AQ666" s="4" t="s">
        <v>53</v>
      </c>
      <c r="AR666" s="4" t="s">
        <v>2769</v>
      </c>
      <c r="AS666" s="5">
        <v>5528219</v>
      </c>
      <c r="AT666" t="s">
        <v>47</v>
      </c>
    </row>
    <row r="667" spans="1:46" ht="39" x14ac:dyDescent="0.3">
      <c r="A667" s="4" t="s">
        <v>2773</v>
      </c>
      <c r="B667" t="s">
        <v>47</v>
      </c>
      <c r="C667" s="4" t="s">
        <v>2683</v>
      </c>
      <c r="D667" s="4" t="s">
        <v>2761</v>
      </c>
      <c r="E667" s="4" t="s">
        <v>49</v>
      </c>
      <c r="F667" s="5" t="s">
        <v>2774</v>
      </c>
      <c r="G667" s="5" t="s">
        <v>2775</v>
      </c>
      <c r="H667" t="s">
        <v>47</v>
      </c>
      <c r="I667" s="3">
        <v>37622</v>
      </c>
      <c r="J667" s="5" t="s">
        <v>50</v>
      </c>
      <c r="K667" s="5" t="s">
        <v>450</v>
      </c>
      <c r="L667" s="5" t="s">
        <v>60</v>
      </c>
      <c r="M667" t="s">
        <v>47</v>
      </c>
      <c r="N667" t="s">
        <v>47</v>
      </c>
      <c r="O667" t="s">
        <v>47</v>
      </c>
      <c r="P667" s="3">
        <v>37622</v>
      </c>
      <c r="Q667" s="5" t="s">
        <v>50</v>
      </c>
      <c r="R667" s="5" t="s">
        <v>450</v>
      </c>
      <c r="S667" t="s">
        <v>47</v>
      </c>
      <c r="T667" t="s">
        <v>47</v>
      </c>
      <c r="U667" t="s">
        <v>47</v>
      </c>
      <c r="V667" t="s">
        <v>47</v>
      </c>
      <c r="W667" s="3">
        <v>37622</v>
      </c>
      <c r="X667" s="5" t="s">
        <v>50</v>
      </c>
      <c r="Y667" s="5" t="s">
        <v>450</v>
      </c>
      <c r="Z667" s="3">
        <v>37622</v>
      </c>
      <c r="AA667" s="5" t="s">
        <v>50</v>
      </c>
      <c r="AB667" s="5" t="s">
        <v>450</v>
      </c>
      <c r="AC667" s="3">
        <v>37622</v>
      </c>
      <c r="AD667" s="5" t="s">
        <v>50</v>
      </c>
      <c r="AE667" s="5" t="s">
        <v>450</v>
      </c>
      <c r="AF667" t="s">
        <v>47</v>
      </c>
      <c r="AG667" t="s">
        <v>47</v>
      </c>
      <c r="AH667" t="s">
        <v>47</v>
      </c>
      <c r="AI667" t="s">
        <v>47</v>
      </c>
      <c r="AJ667" t="s">
        <v>47</v>
      </c>
      <c r="AK667" t="s">
        <v>47</v>
      </c>
      <c r="AL667" t="s">
        <v>47</v>
      </c>
      <c r="AM667" t="s">
        <v>47</v>
      </c>
      <c r="AN667" t="s">
        <v>47</v>
      </c>
      <c r="AO667" s="5" t="s">
        <v>60</v>
      </c>
      <c r="AP667" s="4" t="s">
        <v>61</v>
      </c>
      <c r="AQ667" s="4" t="s">
        <v>53</v>
      </c>
      <c r="AR667" s="4" t="s">
        <v>1309</v>
      </c>
      <c r="AS667" s="5">
        <v>26422</v>
      </c>
      <c r="AT667" t="s">
        <v>47</v>
      </c>
    </row>
    <row r="668" spans="1:46" ht="26" x14ac:dyDescent="0.3">
      <c r="A668" s="4" t="s">
        <v>2776</v>
      </c>
      <c r="B668" t="s">
        <v>47</v>
      </c>
      <c r="C668" s="4" t="s">
        <v>2689</v>
      </c>
      <c r="D668" s="4" t="s">
        <v>2777</v>
      </c>
      <c r="E668" s="4" t="s">
        <v>49</v>
      </c>
      <c r="F668" s="5" t="s">
        <v>2778</v>
      </c>
      <c r="G668" s="5" t="s">
        <v>2779</v>
      </c>
      <c r="H668" t="s">
        <v>47</v>
      </c>
      <c r="I668" s="3">
        <v>41275</v>
      </c>
      <c r="J668" s="5" t="s">
        <v>50</v>
      </c>
      <c r="K668" t="s">
        <v>47</v>
      </c>
      <c r="L668" s="5" t="s">
        <v>60</v>
      </c>
      <c r="M668" t="s">
        <v>47</v>
      </c>
      <c r="N668" t="s">
        <v>47</v>
      </c>
      <c r="O668" t="s">
        <v>47</v>
      </c>
      <c r="P668" s="3">
        <v>41275</v>
      </c>
      <c r="Q668" s="5" t="s">
        <v>50</v>
      </c>
      <c r="R668" t="s">
        <v>47</v>
      </c>
      <c r="S668" t="s">
        <v>47</v>
      </c>
      <c r="T668" t="s">
        <v>47</v>
      </c>
      <c r="U668" t="s">
        <v>47</v>
      </c>
      <c r="V668" t="s">
        <v>47</v>
      </c>
      <c r="W668" s="3">
        <v>41275</v>
      </c>
      <c r="X668" s="5" t="s">
        <v>50</v>
      </c>
      <c r="Y668" t="s">
        <v>47</v>
      </c>
      <c r="Z668" s="3">
        <v>41275</v>
      </c>
      <c r="AA668" s="5" t="s">
        <v>50</v>
      </c>
      <c r="AB668" t="s">
        <v>47</v>
      </c>
      <c r="AC668" s="3">
        <v>41275</v>
      </c>
      <c r="AD668" s="5" t="s">
        <v>50</v>
      </c>
      <c r="AE668" t="s">
        <v>47</v>
      </c>
      <c r="AF668" t="s">
        <v>47</v>
      </c>
      <c r="AG668" t="s">
        <v>47</v>
      </c>
      <c r="AH668" t="s">
        <v>47</v>
      </c>
      <c r="AI668" t="s">
        <v>47</v>
      </c>
      <c r="AJ668" t="s">
        <v>47</v>
      </c>
      <c r="AK668" t="s">
        <v>47</v>
      </c>
      <c r="AL668" t="s">
        <v>47</v>
      </c>
      <c r="AM668" t="s">
        <v>47</v>
      </c>
      <c r="AN668" t="s">
        <v>47</v>
      </c>
      <c r="AO668" s="5" t="s">
        <v>60</v>
      </c>
      <c r="AP668" s="4" t="s">
        <v>61</v>
      </c>
      <c r="AQ668" s="4" t="s">
        <v>53</v>
      </c>
      <c r="AR668" s="4" t="s">
        <v>54</v>
      </c>
      <c r="AS668" s="5">
        <v>5528215</v>
      </c>
      <c r="AT668" t="s">
        <v>47</v>
      </c>
    </row>
    <row r="669" spans="1:46" ht="52" x14ac:dyDescent="0.3">
      <c r="A669" s="4" t="s">
        <v>2780</v>
      </c>
      <c r="B669" t="s">
        <v>47</v>
      </c>
      <c r="C669" s="4" t="s">
        <v>2781</v>
      </c>
      <c r="D669" s="4" t="s">
        <v>2782</v>
      </c>
      <c r="E669" s="4" t="s">
        <v>49</v>
      </c>
      <c r="F669" s="5" t="s">
        <v>2783</v>
      </c>
      <c r="G669" s="5" t="s">
        <v>2784</v>
      </c>
      <c r="H669" t="s">
        <v>47</v>
      </c>
      <c r="I669" s="3">
        <v>38718</v>
      </c>
      <c r="J669" s="5" t="s">
        <v>50</v>
      </c>
      <c r="K669" t="s">
        <v>47</v>
      </c>
      <c r="L669" s="5" t="s">
        <v>60</v>
      </c>
      <c r="M669" t="s">
        <v>47</v>
      </c>
      <c r="N669" t="s">
        <v>47</v>
      </c>
      <c r="O669" t="s">
        <v>47</v>
      </c>
      <c r="P669" s="3">
        <v>38718</v>
      </c>
      <c r="Q669" s="5" t="s">
        <v>50</v>
      </c>
      <c r="R669" t="s">
        <v>47</v>
      </c>
      <c r="S669" t="s">
        <v>47</v>
      </c>
      <c r="T669" t="s">
        <v>47</v>
      </c>
      <c r="U669" t="s">
        <v>47</v>
      </c>
      <c r="V669" t="s">
        <v>47</v>
      </c>
      <c r="W669" s="3">
        <v>38718</v>
      </c>
      <c r="X669" s="5" t="s">
        <v>50</v>
      </c>
      <c r="Y669" t="s">
        <v>47</v>
      </c>
      <c r="Z669" s="3">
        <v>38718</v>
      </c>
      <c r="AA669" s="5" t="s">
        <v>50</v>
      </c>
      <c r="AB669" t="s">
        <v>47</v>
      </c>
      <c r="AC669" s="3">
        <v>42005</v>
      </c>
      <c r="AD669" s="5" t="s">
        <v>50</v>
      </c>
      <c r="AE669" t="s">
        <v>47</v>
      </c>
      <c r="AF669" t="s">
        <v>47</v>
      </c>
      <c r="AG669" t="s">
        <v>47</v>
      </c>
      <c r="AH669" t="s">
        <v>47</v>
      </c>
      <c r="AI669" t="s">
        <v>47</v>
      </c>
      <c r="AJ669" t="s">
        <v>47</v>
      </c>
      <c r="AK669" t="s">
        <v>47</v>
      </c>
      <c r="AL669" t="s">
        <v>47</v>
      </c>
      <c r="AM669" t="s">
        <v>47</v>
      </c>
      <c r="AN669" t="s">
        <v>47</v>
      </c>
      <c r="AO669" s="5" t="s">
        <v>60</v>
      </c>
      <c r="AP669" s="4" t="s">
        <v>61</v>
      </c>
      <c r="AQ669" s="4" t="s">
        <v>53</v>
      </c>
      <c r="AR669" s="4" t="s">
        <v>2714</v>
      </c>
      <c r="AS669" s="5">
        <v>5315475</v>
      </c>
      <c r="AT669" t="s">
        <v>47</v>
      </c>
    </row>
    <row r="670" spans="1:46" ht="39" x14ac:dyDescent="0.3">
      <c r="A670" s="4" t="s">
        <v>2785</v>
      </c>
      <c r="B670" t="s">
        <v>47</v>
      </c>
      <c r="C670" s="4" t="s">
        <v>2786</v>
      </c>
      <c r="D670" s="4" t="s">
        <v>914</v>
      </c>
      <c r="E670" s="4" t="s">
        <v>100</v>
      </c>
      <c r="F670" t="s">
        <v>47</v>
      </c>
      <c r="G670" s="5" t="s">
        <v>2787</v>
      </c>
      <c r="H670" t="s">
        <v>47</v>
      </c>
      <c r="I670" s="3">
        <v>39814</v>
      </c>
      <c r="J670" s="5" t="s">
        <v>50</v>
      </c>
      <c r="K670" t="s">
        <v>47</v>
      </c>
      <c r="L670" s="5" t="s">
        <v>60</v>
      </c>
      <c r="M670" s="3">
        <v>39814</v>
      </c>
      <c r="N670" s="5" t="s">
        <v>50</v>
      </c>
      <c r="O670" t="s">
        <v>47</v>
      </c>
      <c r="P670" s="3">
        <v>39814</v>
      </c>
      <c r="Q670" s="5" t="s">
        <v>50</v>
      </c>
      <c r="R670" t="s">
        <v>47</v>
      </c>
      <c r="S670" t="s">
        <v>47</v>
      </c>
      <c r="T670" t="s">
        <v>47</v>
      </c>
      <c r="U670" t="s">
        <v>47</v>
      </c>
      <c r="V670" t="s">
        <v>47</v>
      </c>
      <c r="W670" s="3">
        <v>39814</v>
      </c>
      <c r="X670" s="5" t="s">
        <v>50</v>
      </c>
      <c r="Y670" t="s">
        <v>47</v>
      </c>
      <c r="Z670" s="3">
        <v>39814</v>
      </c>
      <c r="AA670" s="5" t="s">
        <v>50</v>
      </c>
      <c r="AB670" t="s">
        <v>47</v>
      </c>
      <c r="AC670" s="3">
        <v>39814</v>
      </c>
      <c r="AD670" s="5" t="s">
        <v>50</v>
      </c>
      <c r="AE670" t="s">
        <v>47</v>
      </c>
      <c r="AF670" t="s">
        <v>47</v>
      </c>
      <c r="AG670" t="s">
        <v>47</v>
      </c>
      <c r="AH670" t="s">
        <v>47</v>
      </c>
      <c r="AI670" t="s">
        <v>47</v>
      </c>
      <c r="AJ670" t="s">
        <v>47</v>
      </c>
      <c r="AK670" t="s">
        <v>47</v>
      </c>
      <c r="AL670" t="s">
        <v>47</v>
      </c>
      <c r="AM670" t="s">
        <v>47</v>
      </c>
      <c r="AN670" t="s">
        <v>47</v>
      </c>
      <c r="AO670" s="5" t="s">
        <v>60</v>
      </c>
      <c r="AP670" s="4" t="s">
        <v>61</v>
      </c>
      <c r="AQ670" t="s">
        <v>47</v>
      </c>
      <c r="AR670" s="4" t="s">
        <v>186</v>
      </c>
      <c r="AS670" s="5">
        <v>446313</v>
      </c>
      <c r="AT670" t="s">
        <v>47</v>
      </c>
    </row>
    <row r="671" spans="1:46" ht="26" x14ac:dyDescent="0.3">
      <c r="A671" s="4" t="s">
        <v>2788</v>
      </c>
      <c r="B671" t="s">
        <v>47</v>
      </c>
      <c r="C671" s="4" t="s">
        <v>122</v>
      </c>
      <c r="D671" s="4" t="s">
        <v>206</v>
      </c>
      <c r="E671" s="4" t="s">
        <v>123</v>
      </c>
      <c r="F671" s="5" t="s">
        <v>2789</v>
      </c>
      <c r="G671" s="5" t="s">
        <v>2790</v>
      </c>
      <c r="H671" t="s">
        <v>47</v>
      </c>
      <c r="I671" s="3">
        <v>35612</v>
      </c>
      <c r="J671" s="5" t="s">
        <v>50</v>
      </c>
      <c r="K671" t="s">
        <v>47</v>
      </c>
      <c r="L671" s="5" t="s">
        <v>60</v>
      </c>
      <c r="M671" s="3">
        <v>35612</v>
      </c>
      <c r="N671" s="3">
        <v>42675</v>
      </c>
      <c r="O671" t="s">
        <v>47</v>
      </c>
      <c r="P671" s="3">
        <v>35612</v>
      </c>
      <c r="Q671" s="5" t="s">
        <v>50</v>
      </c>
      <c r="R671" t="s">
        <v>47</v>
      </c>
      <c r="S671" t="s">
        <v>47</v>
      </c>
      <c r="T671" t="s">
        <v>47</v>
      </c>
      <c r="U671" t="s">
        <v>47</v>
      </c>
      <c r="V671" s="5">
        <v>365</v>
      </c>
      <c r="W671" s="3">
        <v>35612</v>
      </c>
      <c r="X671" s="5" t="s">
        <v>50</v>
      </c>
      <c r="Y671" t="s">
        <v>47</v>
      </c>
      <c r="Z671" s="3">
        <v>35612</v>
      </c>
      <c r="AA671" s="5" t="s">
        <v>50</v>
      </c>
      <c r="AB671" t="s">
        <v>47</v>
      </c>
      <c r="AC671" s="3">
        <v>35612</v>
      </c>
      <c r="AD671" s="5" t="s">
        <v>50</v>
      </c>
      <c r="AE671" t="s">
        <v>47</v>
      </c>
      <c r="AF671" t="s">
        <v>47</v>
      </c>
      <c r="AG671" t="s">
        <v>47</v>
      </c>
      <c r="AH671" t="s">
        <v>47</v>
      </c>
      <c r="AI671" t="s">
        <v>47</v>
      </c>
      <c r="AJ671" t="s">
        <v>47</v>
      </c>
      <c r="AK671" t="s">
        <v>47</v>
      </c>
      <c r="AL671" t="s">
        <v>47</v>
      </c>
      <c r="AM671" t="s">
        <v>47</v>
      </c>
      <c r="AN671" t="s">
        <v>47</v>
      </c>
      <c r="AO671" s="5" t="s">
        <v>60</v>
      </c>
      <c r="AP671" s="4" t="s">
        <v>61</v>
      </c>
      <c r="AQ671" s="4" t="s">
        <v>53</v>
      </c>
      <c r="AR671" s="4" t="s">
        <v>697</v>
      </c>
      <c r="AS671" s="5">
        <v>48368</v>
      </c>
      <c r="AT671" t="s">
        <v>47</v>
      </c>
    </row>
    <row r="672" spans="1:46" ht="26" x14ac:dyDescent="0.3">
      <c r="A672" s="4" t="s">
        <v>2791</v>
      </c>
      <c r="B672" t="s">
        <v>47</v>
      </c>
      <c r="C672" s="4" t="s">
        <v>2689</v>
      </c>
      <c r="D672" s="4" t="s">
        <v>2200</v>
      </c>
      <c r="E672" s="4" t="s">
        <v>49</v>
      </c>
      <c r="F672" s="5" t="s">
        <v>2792</v>
      </c>
      <c r="G672" s="5" t="s">
        <v>2793</v>
      </c>
      <c r="H672" t="s">
        <v>47</v>
      </c>
      <c r="I672" s="3">
        <v>41275</v>
      </c>
      <c r="J672" s="5" t="s">
        <v>50</v>
      </c>
      <c r="K672" t="s">
        <v>47</v>
      </c>
      <c r="L672" s="5" t="s">
        <v>60</v>
      </c>
      <c r="M672" t="s">
        <v>47</v>
      </c>
      <c r="N672" t="s">
        <v>47</v>
      </c>
      <c r="O672" t="s">
        <v>47</v>
      </c>
      <c r="P672" s="3">
        <v>41275</v>
      </c>
      <c r="Q672" s="5" t="s">
        <v>50</v>
      </c>
      <c r="R672" t="s">
        <v>47</v>
      </c>
      <c r="S672" t="s">
        <v>47</v>
      </c>
      <c r="T672" t="s">
        <v>47</v>
      </c>
      <c r="U672" t="s">
        <v>47</v>
      </c>
      <c r="V672" t="s">
        <v>47</v>
      </c>
      <c r="W672" s="3">
        <v>41275</v>
      </c>
      <c r="X672" s="5" t="s">
        <v>50</v>
      </c>
      <c r="Y672" t="s">
        <v>47</v>
      </c>
      <c r="Z672" s="3">
        <v>41275</v>
      </c>
      <c r="AA672" s="5" t="s">
        <v>50</v>
      </c>
      <c r="AB672" t="s">
        <v>47</v>
      </c>
      <c r="AC672" s="3">
        <v>41275</v>
      </c>
      <c r="AD672" s="5" t="s">
        <v>50</v>
      </c>
      <c r="AE672" t="s">
        <v>47</v>
      </c>
      <c r="AF672" t="s">
        <v>47</v>
      </c>
      <c r="AG672" t="s">
        <v>47</v>
      </c>
      <c r="AH672" t="s">
        <v>47</v>
      </c>
      <c r="AI672" t="s">
        <v>47</v>
      </c>
      <c r="AJ672" t="s">
        <v>47</v>
      </c>
      <c r="AK672" t="s">
        <v>47</v>
      </c>
      <c r="AL672" t="s">
        <v>47</v>
      </c>
      <c r="AM672" t="s">
        <v>47</v>
      </c>
      <c r="AN672" t="s">
        <v>47</v>
      </c>
      <c r="AO672" s="5" t="s">
        <v>60</v>
      </c>
      <c r="AP672" s="4" t="s">
        <v>61</v>
      </c>
      <c r="AQ672" s="4" t="s">
        <v>53</v>
      </c>
      <c r="AR672" s="4" t="s">
        <v>54</v>
      </c>
      <c r="AS672" s="5">
        <v>5528214</v>
      </c>
      <c r="AT672" t="s">
        <v>47</v>
      </c>
    </row>
    <row r="673" spans="1:46" ht="26" x14ac:dyDescent="0.3">
      <c r="A673" s="4" t="s">
        <v>2794</v>
      </c>
      <c r="B673" t="s">
        <v>47</v>
      </c>
      <c r="C673" s="4" t="s">
        <v>169</v>
      </c>
      <c r="D673" s="4" t="s">
        <v>339</v>
      </c>
      <c r="E673" s="4" t="s">
        <v>66</v>
      </c>
      <c r="F673" s="5" t="s">
        <v>2795</v>
      </c>
      <c r="G673" s="5" t="s">
        <v>2796</v>
      </c>
      <c r="H673" t="s">
        <v>47</v>
      </c>
      <c r="I673" t="s">
        <v>47</v>
      </c>
      <c r="J673" t="s">
        <v>47</v>
      </c>
      <c r="K673" t="s">
        <v>47</v>
      </c>
      <c r="L673" s="5" t="s">
        <v>60</v>
      </c>
      <c r="M673" t="s">
        <v>47</v>
      </c>
      <c r="N673" t="s">
        <v>47</v>
      </c>
      <c r="O673" t="s">
        <v>47</v>
      </c>
      <c r="P673" t="s">
        <v>47</v>
      </c>
      <c r="Q673" t="s">
        <v>47</v>
      </c>
      <c r="R673" t="s">
        <v>47</v>
      </c>
      <c r="S673" t="s">
        <v>47</v>
      </c>
      <c r="T673" t="s">
        <v>47</v>
      </c>
      <c r="U673" t="s">
        <v>47</v>
      </c>
      <c r="V673" t="s">
        <v>47</v>
      </c>
      <c r="W673" s="3">
        <v>40179</v>
      </c>
      <c r="X673" s="5" t="s">
        <v>50</v>
      </c>
      <c r="Y673" t="s">
        <v>47</v>
      </c>
      <c r="Z673" s="3">
        <v>40179</v>
      </c>
      <c r="AA673" s="5" t="s">
        <v>50</v>
      </c>
      <c r="AB673" t="s">
        <v>47</v>
      </c>
      <c r="AC673" s="3">
        <v>40179</v>
      </c>
      <c r="AD673" s="5" t="s">
        <v>50</v>
      </c>
      <c r="AE673" t="s">
        <v>47</v>
      </c>
      <c r="AF673" t="s">
        <v>47</v>
      </c>
      <c r="AG673" t="s">
        <v>47</v>
      </c>
      <c r="AH673" t="s">
        <v>47</v>
      </c>
      <c r="AI673" t="s">
        <v>47</v>
      </c>
      <c r="AJ673" t="s">
        <v>47</v>
      </c>
      <c r="AK673" t="s">
        <v>47</v>
      </c>
      <c r="AL673" t="s">
        <v>47</v>
      </c>
      <c r="AM673" t="s">
        <v>47</v>
      </c>
      <c r="AN673" t="s">
        <v>47</v>
      </c>
      <c r="AO673" s="5" t="s">
        <v>60</v>
      </c>
      <c r="AP673" s="4" t="s">
        <v>61</v>
      </c>
      <c r="AQ673" s="4" t="s">
        <v>53</v>
      </c>
      <c r="AR673" s="4" t="s">
        <v>54</v>
      </c>
      <c r="AS673" s="5">
        <v>426766</v>
      </c>
      <c r="AT673" t="s">
        <v>47</v>
      </c>
    </row>
    <row r="674" spans="1:46" ht="39" x14ac:dyDescent="0.3">
      <c r="A674" s="4" t="s">
        <v>2797</v>
      </c>
      <c r="B674" t="s">
        <v>47</v>
      </c>
      <c r="C674" s="4" t="s">
        <v>2798</v>
      </c>
      <c r="D674" s="4" t="s">
        <v>2799</v>
      </c>
      <c r="E674" s="4" t="s">
        <v>2800</v>
      </c>
      <c r="F674" t="s">
        <v>47</v>
      </c>
      <c r="G674" s="5" t="s">
        <v>2801</v>
      </c>
      <c r="H674" t="s">
        <v>47</v>
      </c>
      <c r="I674" s="3">
        <v>38412</v>
      </c>
      <c r="J674" s="5" t="s">
        <v>50</v>
      </c>
      <c r="K674" t="s">
        <v>47</v>
      </c>
      <c r="L674" s="5" t="s">
        <v>60</v>
      </c>
      <c r="M674" s="3">
        <v>38412</v>
      </c>
      <c r="N674" s="5" t="s">
        <v>50</v>
      </c>
      <c r="O674" t="s">
        <v>47</v>
      </c>
      <c r="P674" s="3">
        <v>38412</v>
      </c>
      <c r="Q674" s="5" t="s">
        <v>50</v>
      </c>
      <c r="R674" t="s">
        <v>47</v>
      </c>
      <c r="S674" t="s">
        <v>47</v>
      </c>
      <c r="T674" t="s">
        <v>47</v>
      </c>
      <c r="U674" t="s">
        <v>47</v>
      </c>
      <c r="V674" t="s">
        <v>47</v>
      </c>
      <c r="W674" s="3">
        <v>38412</v>
      </c>
      <c r="X674" s="5" t="s">
        <v>50</v>
      </c>
      <c r="Y674" t="s">
        <v>47</v>
      </c>
      <c r="Z674" s="3">
        <v>38412</v>
      </c>
      <c r="AA674" s="5" t="s">
        <v>50</v>
      </c>
      <c r="AB674" t="s">
        <v>47</v>
      </c>
      <c r="AC674" s="3">
        <v>38412</v>
      </c>
      <c r="AD674" s="5" t="s">
        <v>50</v>
      </c>
      <c r="AE674" t="s">
        <v>47</v>
      </c>
      <c r="AF674" t="s">
        <v>47</v>
      </c>
      <c r="AG674" t="s">
        <v>47</v>
      </c>
      <c r="AH674" t="s">
        <v>47</v>
      </c>
      <c r="AI674" t="s">
        <v>47</v>
      </c>
      <c r="AJ674" t="s">
        <v>47</v>
      </c>
      <c r="AK674" t="s">
        <v>47</v>
      </c>
      <c r="AL674" t="s">
        <v>47</v>
      </c>
      <c r="AM674" t="s">
        <v>47</v>
      </c>
      <c r="AN674" t="s">
        <v>47</v>
      </c>
      <c r="AO674" s="5" t="s">
        <v>60</v>
      </c>
      <c r="AP674" s="4" t="s">
        <v>61</v>
      </c>
      <c r="AQ674" s="4" t="s">
        <v>53</v>
      </c>
      <c r="AR674" s="4" t="s">
        <v>2764</v>
      </c>
      <c r="AS674" s="5">
        <v>28521</v>
      </c>
      <c r="AT674" t="s">
        <v>47</v>
      </c>
    </row>
    <row r="675" spans="1:46" ht="26" x14ac:dyDescent="0.3">
      <c r="A675" s="4" t="s">
        <v>2802</v>
      </c>
      <c r="B675" t="s">
        <v>47</v>
      </c>
      <c r="C675" s="4" t="s">
        <v>2803</v>
      </c>
      <c r="D675" s="4" t="s">
        <v>535</v>
      </c>
      <c r="E675" s="4" t="s">
        <v>535</v>
      </c>
      <c r="F675" s="5" t="s">
        <v>2804</v>
      </c>
      <c r="G675" s="5" t="s">
        <v>2805</v>
      </c>
      <c r="H675" t="s">
        <v>47</v>
      </c>
      <c r="I675" s="3">
        <v>40725</v>
      </c>
      <c r="J675" s="5" t="s">
        <v>50</v>
      </c>
      <c r="K675" t="s">
        <v>47</v>
      </c>
      <c r="L675" s="5" t="s">
        <v>60</v>
      </c>
      <c r="M675" t="s">
        <v>47</v>
      </c>
      <c r="N675" t="s">
        <v>47</v>
      </c>
      <c r="O675" t="s">
        <v>47</v>
      </c>
      <c r="P675" s="3">
        <v>40725</v>
      </c>
      <c r="Q675" s="5" t="s">
        <v>50</v>
      </c>
      <c r="R675" t="s">
        <v>47</v>
      </c>
      <c r="S675" t="s">
        <v>47</v>
      </c>
      <c r="T675" t="s">
        <v>47</v>
      </c>
      <c r="U675" t="s">
        <v>47</v>
      </c>
      <c r="V675" t="s">
        <v>47</v>
      </c>
      <c r="W675" s="3">
        <v>40725</v>
      </c>
      <c r="X675" s="5" t="s">
        <v>50</v>
      </c>
      <c r="Y675" t="s">
        <v>47</v>
      </c>
      <c r="Z675" s="3">
        <v>40725</v>
      </c>
      <c r="AA675" s="5" t="s">
        <v>50</v>
      </c>
      <c r="AB675" t="s">
        <v>47</v>
      </c>
      <c r="AC675" s="3">
        <v>40725</v>
      </c>
      <c r="AD675" s="5" t="s">
        <v>50</v>
      </c>
      <c r="AE675" t="s">
        <v>47</v>
      </c>
      <c r="AF675" t="s">
        <v>47</v>
      </c>
      <c r="AG675" t="s">
        <v>47</v>
      </c>
      <c r="AH675" t="s">
        <v>47</v>
      </c>
      <c r="AI675" t="s">
        <v>47</v>
      </c>
      <c r="AJ675" t="s">
        <v>47</v>
      </c>
      <c r="AK675" t="s">
        <v>47</v>
      </c>
      <c r="AL675" t="s">
        <v>47</v>
      </c>
      <c r="AM675" t="s">
        <v>47</v>
      </c>
      <c r="AN675" t="s">
        <v>47</v>
      </c>
      <c r="AO675" s="5" t="s">
        <v>60</v>
      </c>
      <c r="AP675" s="4" t="s">
        <v>61</v>
      </c>
      <c r="AQ675" s="4" t="s">
        <v>53</v>
      </c>
      <c r="AR675" s="4" t="s">
        <v>2806</v>
      </c>
      <c r="AS675" s="5">
        <v>2069183</v>
      </c>
      <c r="AT675" t="s">
        <v>47</v>
      </c>
    </row>
    <row r="676" spans="1:46" ht="26" x14ac:dyDescent="0.3">
      <c r="A676" s="4" t="s">
        <v>2807</v>
      </c>
      <c r="B676" t="s">
        <v>47</v>
      </c>
      <c r="C676" s="4" t="s">
        <v>2808</v>
      </c>
      <c r="D676" s="4" t="s">
        <v>2809</v>
      </c>
      <c r="E676" s="4" t="s">
        <v>151</v>
      </c>
      <c r="F676" s="5" t="s">
        <v>2810</v>
      </c>
      <c r="G676" t="s">
        <v>47</v>
      </c>
      <c r="H676" t="s">
        <v>47</v>
      </c>
      <c r="I676" s="3">
        <v>40544</v>
      </c>
      <c r="J676" s="5" t="s">
        <v>50</v>
      </c>
      <c r="K676" t="s">
        <v>47</v>
      </c>
      <c r="L676" s="5" t="s">
        <v>60</v>
      </c>
      <c r="M676" s="3">
        <v>40544</v>
      </c>
      <c r="N676" s="5" t="s">
        <v>50</v>
      </c>
      <c r="O676" t="s">
        <v>47</v>
      </c>
      <c r="P676" s="3">
        <v>40544</v>
      </c>
      <c r="Q676" s="5" t="s">
        <v>50</v>
      </c>
      <c r="R676" t="s">
        <v>47</v>
      </c>
      <c r="S676" t="s">
        <v>47</v>
      </c>
      <c r="T676" t="s">
        <v>47</v>
      </c>
      <c r="U676" t="s">
        <v>47</v>
      </c>
      <c r="V676" t="s">
        <v>47</v>
      </c>
      <c r="W676" s="3">
        <v>40544</v>
      </c>
      <c r="X676" s="5" t="s">
        <v>50</v>
      </c>
      <c r="Y676" t="s">
        <v>47</v>
      </c>
      <c r="Z676" s="3">
        <v>40544</v>
      </c>
      <c r="AA676" s="5" t="s">
        <v>50</v>
      </c>
      <c r="AB676" t="s">
        <v>47</v>
      </c>
      <c r="AC676" s="3">
        <v>40544</v>
      </c>
      <c r="AD676" s="5" t="s">
        <v>50</v>
      </c>
      <c r="AE676" t="s">
        <v>47</v>
      </c>
      <c r="AF676" t="s">
        <v>47</v>
      </c>
      <c r="AG676" t="s">
        <v>47</v>
      </c>
      <c r="AH676" t="s">
        <v>47</v>
      </c>
      <c r="AI676" t="s">
        <v>47</v>
      </c>
      <c r="AJ676" t="s">
        <v>47</v>
      </c>
      <c r="AK676" t="s">
        <v>47</v>
      </c>
      <c r="AL676" t="s">
        <v>47</v>
      </c>
      <c r="AM676" t="s">
        <v>47</v>
      </c>
      <c r="AN676" t="s">
        <v>47</v>
      </c>
      <c r="AO676" s="5" t="s">
        <v>60</v>
      </c>
      <c r="AP676" s="4" t="s">
        <v>61</v>
      </c>
      <c r="AQ676" s="4" t="s">
        <v>53</v>
      </c>
      <c r="AR676" s="4" t="s">
        <v>807</v>
      </c>
      <c r="AS676" s="5">
        <v>1606375</v>
      </c>
      <c r="AT676" t="s">
        <v>47</v>
      </c>
    </row>
    <row r="677" spans="1:46" ht="26" x14ac:dyDescent="0.3">
      <c r="A677" s="4" t="s">
        <v>2811</v>
      </c>
      <c r="B677" t="s">
        <v>47</v>
      </c>
      <c r="C677" s="4" t="s">
        <v>2400</v>
      </c>
      <c r="D677" s="4" t="s">
        <v>2812</v>
      </c>
      <c r="E677" s="4" t="s">
        <v>66</v>
      </c>
      <c r="F677" s="5" t="s">
        <v>2813</v>
      </c>
      <c r="G677" s="5" t="s">
        <v>2814</v>
      </c>
      <c r="H677" t="s">
        <v>47</v>
      </c>
      <c r="I677" s="3">
        <v>37773</v>
      </c>
      <c r="J677" s="3">
        <v>40513</v>
      </c>
      <c r="K677" t="s">
        <v>47</v>
      </c>
      <c r="L677" s="5" t="s">
        <v>60</v>
      </c>
      <c r="M677" s="3">
        <v>38838</v>
      </c>
      <c r="N677" s="3">
        <v>40513</v>
      </c>
      <c r="O677" t="s">
        <v>47</v>
      </c>
      <c r="P677" s="3">
        <v>37773</v>
      </c>
      <c r="Q677" s="3">
        <v>40513</v>
      </c>
      <c r="R677" t="s">
        <v>47</v>
      </c>
      <c r="S677" t="s">
        <v>47</v>
      </c>
      <c r="T677" t="s">
        <v>47</v>
      </c>
      <c r="U677" t="s">
        <v>47</v>
      </c>
      <c r="V677" t="s">
        <v>47</v>
      </c>
      <c r="W677" s="3">
        <v>37773</v>
      </c>
      <c r="X677" s="3">
        <v>40513</v>
      </c>
      <c r="Y677" t="s">
        <v>47</v>
      </c>
      <c r="Z677" s="3">
        <v>37773</v>
      </c>
      <c r="AA677" s="3">
        <v>40513</v>
      </c>
      <c r="AB677" t="s">
        <v>47</v>
      </c>
      <c r="AC677" s="3">
        <v>37773</v>
      </c>
      <c r="AD677" s="3">
        <v>40513</v>
      </c>
      <c r="AE677" t="s">
        <v>47</v>
      </c>
      <c r="AF677" t="s">
        <v>47</v>
      </c>
      <c r="AG677" t="s">
        <v>47</v>
      </c>
      <c r="AH677" t="s">
        <v>47</v>
      </c>
      <c r="AI677" t="s">
        <v>47</v>
      </c>
      <c r="AJ677" t="s">
        <v>47</v>
      </c>
      <c r="AK677" t="s">
        <v>47</v>
      </c>
      <c r="AL677" t="s">
        <v>47</v>
      </c>
      <c r="AM677" t="s">
        <v>47</v>
      </c>
      <c r="AN677" t="s">
        <v>47</v>
      </c>
      <c r="AO677" s="5" t="s">
        <v>60</v>
      </c>
      <c r="AP677" s="4" t="s">
        <v>61</v>
      </c>
      <c r="AQ677" s="4" t="s">
        <v>53</v>
      </c>
      <c r="AR677" s="4" t="s">
        <v>54</v>
      </c>
      <c r="AS677" s="5">
        <v>28110</v>
      </c>
      <c r="AT677" t="s">
        <v>47</v>
      </c>
    </row>
    <row r="678" spans="1:46" ht="52" x14ac:dyDescent="0.3">
      <c r="A678" s="4" t="s">
        <v>2815</v>
      </c>
      <c r="B678" t="s">
        <v>47</v>
      </c>
      <c r="C678" s="4" t="s">
        <v>115</v>
      </c>
      <c r="D678" s="4" t="s">
        <v>1019</v>
      </c>
      <c r="E678" s="4" t="s">
        <v>66</v>
      </c>
      <c r="F678" s="5" t="s">
        <v>2816</v>
      </c>
      <c r="G678" s="5" t="s">
        <v>2817</v>
      </c>
      <c r="H678" t="s">
        <v>47</v>
      </c>
      <c r="I678" s="3">
        <v>33848</v>
      </c>
      <c r="J678" s="5" t="s">
        <v>50</v>
      </c>
      <c r="K678" t="s">
        <v>47</v>
      </c>
      <c r="L678" s="5" t="s">
        <v>60</v>
      </c>
      <c r="M678" s="3">
        <v>33848</v>
      </c>
      <c r="N678" s="5" t="s">
        <v>50</v>
      </c>
      <c r="O678" t="s">
        <v>47</v>
      </c>
      <c r="P678" s="3">
        <v>33848</v>
      </c>
      <c r="Q678" s="5" t="s">
        <v>50</v>
      </c>
      <c r="R678" s="5" t="s">
        <v>2818</v>
      </c>
      <c r="S678" t="s">
        <v>47</v>
      </c>
      <c r="T678" t="s">
        <v>47</v>
      </c>
      <c r="U678" t="s">
        <v>47</v>
      </c>
      <c r="V678" s="5">
        <v>365</v>
      </c>
      <c r="W678" s="3">
        <v>33848</v>
      </c>
      <c r="X678" s="5" t="s">
        <v>50</v>
      </c>
      <c r="Y678" t="s">
        <v>47</v>
      </c>
      <c r="Z678" s="3">
        <v>33848</v>
      </c>
      <c r="AA678" s="5" t="s">
        <v>50</v>
      </c>
      <c r="AB678" t="s">
        <v>47</v>
      </c>
      <c r="AC678" s="3">
        <v>33848</v>
      </c>
      <c r="AD678" s="5" t="s">
        <v>50</v>
      </c>
      <c r="AE678" t="s">
        <v>47</v>
      </c>
      <c r="AF678" t="s">
        <v>47</v>
      </c>
      <c r="AG678" t="s">
        <v>47</v>
      </c>
      <c r="AH678" t="s">
        <v>47</v>
      </c>
      <c r="AI678" t="s">
        <v>47</v>
      </c>
      <c r="AJ678" t="s">
        <v>47</v>
      </c>
      <c r="AK678" t="s">
        <v>47</v>
      </c>
      <c r="AL678" t="s">
        <v>47</v>
      </c>
      <c r="AM678" t="s">
        <v>47</v>
      </c>
      <c r="AN678" t="s">
        <v>47</v>
      </c>
      <c r="AO678" s="5" t="s">
        <v>60</v>
      </c>
      <c r="AP678" s="4" t="s">
        <v>61</v>
      </c>
      <c r="AQ678" s="4" t="s">
        <v>53</v>
      </c>
      <c r="AR678" s="4" t="s">
        <v>120</v>
      </c>
      <c r="AS678" s="5">
        <v>29800</v>
      </c>
      <c r="AT678" t="s">
        <v>47</v>
      </c>
    </row>
    <row r="679" spans="1:46" ht="78" x14ac:dyDescent="0.3">
      <c r="A679" s="4" t="s">
        <v>2819</v>
      </c>
      <c r="B679" t="s">
        <v>47</v>
      </c>
      <c r="C679" s="4" t="s">
        <v>2689</v>
      </c>
      <c r="D679" s="4" t="s">
        <v>2200</v>
      </c>
      <c r="E679" s="4" t="s">
        <v>49</v>
      </c>
      <c r="F679" s="5" t="s">
        <v>2820</v>
      </c>
      <c r="G679" s="5" t="s">
        <v>2821</v>
      </c>
      <c r="H679" t="s">
        <v>47</v>
      </c>
      <c r="I679" s="3">
        <v>41275</v>
      </c>
      <c r="J679" s="5" t="s">
        <v>50</v>
      </c>
      <c r="K679" t="s">
        <v>47</v>
      </c>
      <c r="L679" s="5" t="s">
        <v>60</v>
      </c>
      <c r="M679" t="s">
        <v>47</v>
      </c>
      <c r="N679" t="s">
        <v>47</v>
      </c>
      <c r="O679" t="s">
        <v>47</v>
      </c>
      <c r="P679" s="3">
        <v>41275</v>
      </c>
      <c r="Q679" s="5" t="s">
        <v>50</v>
      </c>
      <c r="R679" t="s">
        <v>47</v>
      </c>
      <c r="S679" t="s">
        <v>47</v>
      </c>
      <c r="T679" t="s">
        <v>47</v>
      </c>
      <c r="U679" t="s">
        <v>47</v>
      </c>
      <c r="V679" t="s">
        <v>47</v>
      </c>
      <c r="W679" s="3">
        <v>41275</v>
      </c>
      <c r="X679" s="5" t="s">
        <v>50</v>
      </c>
      <c r="Y679" t="s">
        <v>47</v>
      </c>
      <c r="Z679" s="3">
        <v>41275</v>
      </c>
      <c r="AA679" s="5" t="s">
        <v>50</v>
      </c>
      <c r="AB679" t="s">
        <v>47</v>
      </c>
      <c r="AC679" s="3">
        <v>41275</v>
      </c>
      <c r="AD679" s="5" t="s">
        <v>50</v>
      </c>
      <c r="AE679" t="s">
        <v>47</v>
      </c>
      <c r="AF679" t="s">
        <v>47</v>
      </c>
      <c r="AG679" t="s">
        <v>47</v>
      </c>
      <c r="AH679" t="s">
        <v>47</v>
      </c>
      <c r="AI679" t="s">
        <v>47</v>
      </c>
      <c r="AJ679" t="s">
        <v>47</v>
      </c>
      <c r="AK679" t="s">
        <v>47</v>
      </c>
      <c r="AL679" t="s">
        <v>47</v>
      </c>
      <c r="AM679" t="s">
        <v>47</v>
      </c>
      <c r="AN679" t="s">
        <v>47</v>
      </c>
      <c r="AO679" s="5" t="s">
        <v>51</v>
      </c>
      <c r="AP679" s="4" t="s">
        <v>61</v>
      </c>
      <c r="AQ679" s="4" t="s">
        <v>53</v>
      </c>
      <c r="AR679" s="4" t="s">
        <v>136</v>
      </c>
      <c r="AS679" s="5">
        <v>5528213</v>
      </c>
      <c r="AT679" t="s">
        <v>47</v>
      </c>
    </row>
    <row r="680" spans="1:46" ht="26" x14ac:dyDescent="0.3">
      <c r="A680" s="4" t="s">
        <v>2822</v>
      </c>
      <c r="B680" t="s">
        <v>47</v>
      </c>
      <c r="C680" s="4" t="s">
        <v>2823</v>
      </c>
      <c r="D680" s="4" t="s">
        <v>2070</v>
      </c>
      <c r="E680" s="4" t="s">
        <v>603</v>
      </c>
      <c r="F680" t="s">
        <v>47</v>
      </c>
      <c r="G680" s="5" t="s">
        <v>2824</v>
      </c>
      <c r="H680" t="s">
        <v>47</v>
      </c>
      <c r="I680" s="3">
        <v>42401</v>
      </c>
      <c r="J680" s="3">
        <v>44348</v>
      </c>
      <c r="K680" t="s">
        <v>47</v>
      </c>
      <c r="L680" s="5" t="s">
        <v>60</v>
      </c>
      <c r="M680" t="s">
        <v>47</v>
      </c>
      <c r="N680" t="s">
        <v>47</v>
      </c>
      <c r="O680" t="s">
        <v>47</v>
      </c>
      <c r="P680" s="3">
        <v>42401</v>
      </c>
      <c r="Q680" s="3">
        <v>44348</v>
      </c>
      <c r="R680" t="s">
        <v>47</v>
      </c>
      <c r="S680" t="s">
        <v>47</v>
      </c>
      <c r="T680" t="s">
        <v>47</v>
      </c>
      <c r="U680" t="s">
        <v>47</v>
      </c>
      <c r="V680" t="s">
        <v>47</v>
      </c>
      <c r="W680" s="3">
        <v>42401</v>
      </c>
      <c r="X680" s="3">
        <v>44348</v>
      </c>
      <c r="Y680" t="s">
        <v>47</v>
      </c>
      <c r="Z680" s="3">
        <v>42401</v>
      </c>
      <c r="AA680" s="3">
        <v>44348</v>
      </c>
      <c r="AB680" t="s">
        <v>47</v>
      </c>
      <c r="AC680" s="3">
        <v>42401</v>
      </c>
      <c r="AD680" s="3">
        <v>44348</v>
      </c>
      <c r="AE680" t="s">
        <v>47</v>
      </c>
      <c r="AF680" t="s">
        <v>47</v>
      </c>
      <c r="AG680" t="s">
        <v>47</v>
      </c>
      <c r="AH680" t="s">
        <v>47</v>
      </c>
      <c r="AI680" t="s">
        <v>47</v>
      </c>
      <c r="AJ680" t="s">
        <v>47</v>
      </c>
      <c r="AK680" t="s">
        <v>47</v>
      </c>
      <c r="AL680" t="s">
        <v>47</v>
      </c>
      <c r="AM680" t="s">
        <v>47</v>
      </c>
      <c r="AN680" t="s">
        <v>47</v>
      </c>
      <c r="AO680" s="5" t="s">
        <v>60</v>
      </c>
      <c r="AP680" s="4" t="s">
        <v>61</v>
      </c>
      <c r="AQ680" s="4" t="s">
        <v>53</v>
      </c>
      <c r="AR680" s="4" t="s">
        <v>483</v>
      </c>
      <c r="AS680" s="5">
        <v>2042206</v>
      </c>
      <c r="AT680" t="s">
        <v>47</v>
      </c>
    </row>
    <row r="681" spans="1:46" ht="52" x14ac:dyDescent="0.3">
      <c r="A681" s="4" t="s">
        <v>2825</v>
      </c>
      <c r="B681" t="s">
        <v>47</v>
      </c>
      <c r="C681" s="4" t="s">
        <v>122</v>
      </c>
      <c r="D681" s="4" t="s">
        <v>575</v>
      </c>
      <c r="E681" s="4" t="s">
        <v>123</v>
      </c>
      <c r="F681" t="s">
        <v>47</v>
      </c>
      <c r="G681" s="5" t="s">
        <v>2826</v>
      </c>
      <c r="H681" t="s">
        <v>47</v>
      </c>
      <c r="I681" s="3">
        <v>40360</v>
      </c>
      <c r="J681" s="5" t="s">
        <v>50</v>
      </c>
      <c r="K681" t="s">
        <v>47</v>
      </c>
      <c r="L681" s="5" t="s">
        <v>60</v>
      </c>
      <c r="M681" s="3">
        <v>40544</v>
      </c>
      <c r="N681" s="3">
        <v>43101</v>
      </c>
      <c r="O681" t="s">
        <v>47</v>
      </c>
      <c r="P681" s="3">
        <v>40360</v>
      </c>
      <c r="Q681" s="5" t="s">
        <v>50</v>
      </c>
      <c r="R681" t="s">
        <v>47</v>
      </c>
      <c r="S681" t="s">
        <v>47</v>
      </c>
      <c r="T681" t="s">
        <v>47</v>
      </c>
      <c r="U681" t="s">
        <v>47</v>
      </c>
      <c r="V681" t="s">
        <v>47</v>
      </c>
      <c r="W681" s="3">
        <v>40360</v>
      </c>
      <c r="X681" s="5" t="s">
        <v>50</v>
      </c>
      <c r="Y681" t="s">
        <v>47</v>
      </c>
      <c r="Z681" s="3">
        <v>40360</v>
      </c>
      <c r="AA681" s="5" t="s">
        <v>50</v>
      </c>
      <c r="AB681" t="s">
        <v>47</v>
      </c>
      <c r="AC681" s="3">
        <v>40360</v>
      </c>
      <c r="AD681" s="5" t="s">
        <v>50</v>
      </c>
      <c r="AE681" t="s">
        <v>47</v>
      </c>
      <c r="AF681" t="s">
        <v>47</v>
      </c>
      <c r="AG681" t="s">
        <v>47</v>
      </c>
      <c r="AH681" t="s">
        <v>47</v>
      </c>
      <c r="AI681" t="s">
        <v>47</v>
      </c>
      <c r="AJ681" t="s">
        <v>47</v>
      </c>
      <c r="AK681" t="s">
        <v>47</v>
      </c>
      <c r="AL681" t="s">
        <v>47</v>
      </c>
      <c r="AM681" t="s">
        <v>47</v>
      </c>
      <c r="AN681" t="s">
        <v>47</v>
      </c>
      <c r="AO681" s="5" t="s">
        <v>60</v>
      </c>
      <c r="AP681" s="4" t="s">
        <v>61</v>
      </c>
      <c r="AQ681" s="4" t="s">
        <v>2827</v>
      </c>
      <c r="AR681" s="4" t="s">
        <v>1381</v>
      </c>
      <c r="AS681" s="5">
        <v>396499</v>
      </c>
      <c r="AT681" t="s">
        <v>47</v>
      </c>
    </row>
    <row r="682" spans="1:46" ht="52" x14ac:dyDescent="0.3">
      <c r="A682" s="4" t="s">
        <v>2828</v>
      </c>
      <c r="B682" t="s">
        <v>47</v>
      </c>
      <c r="C682" s="4" t="s">
        <v>64</v>
      </c>
      <c r="D682" s="4" t="s">
        <v>2829</v>
      </c>
      <c r="E682" s="4" t="s">
        <v>66</v>
      </c>
      <c r="F682" s="5" t="s">
        <v>2830</v>
      </c>
      <c r="G682" s="5" t="s">
        <v>2831</v>
      </c>
      <c r="H682" t="s">
        <v>47</v>
      </c>
      <c r="I682" s="3">
        <v>35612</v>
      </c>
      <c r="J682" s="3">
        <v>41730</v>
      </c>
      <c r="K682" t="s">
        <v>47</v>
      </c>
      <c r="L682" s="5" t="s">
        <v>60</v>
      </c>
      <c r="M682" s="3">
        <v>35612</v>
      </c>
      <c r="N682" s="3">
        <v>41730</v>
      </c>
      <c r="O682" t="s">
        <v>47</v>
      </c>
      <c r="P682" s="3">
        <v>35612</v>
      </c>
      <c r="Q682" s="3">
        <v>41730</v>
      </c>
      <c r="R682" t="s">
        <v>47</v>
      </c>
      <c r="S682" t="s">
        <v>47</v>
      </c>
      <c r="T682" t="s">
        <v>47</v>
      </c>
      <c r="U682" t="s">
        <v>47</v>
      </c>
      <c r="V682" t="s">
        <v>47</v>
      </c>
      <c r="W682" s="3">
        <v>23163</v>
      </c>
      <c r="X682" s="5" t="s">
        <v>50</v>
      </c>
      <c r="Y682" t="s">
        <v>47</v>
      </c>
      <c r="Z682" s="3">
        <v>23163</v>
      </c>
      <c r="AA682" s="5" t="s">
        <v>50</v>
      </c>
      <c r="AB682" t="s">
        <v>47</v>
      </c>
      <c r="AC682" s="3">
        <v>36526</v>
      </c>
      <c r="AD682" s="5" t="s">
        <v>50</v>
      </c>
      <c r="AE682" t="s">
        <v>47</v>
      </c>
      <c r="AF682" t="s">
        <v>47</v>
      </c>
      <c r="AG682" t="s">
        <v>47</v>
      </c>
      <c r="AH682" t="s">
        <v>47</v>
      </c>
      <c r="AI682" t="s">
        <v>47</v>
      </c>
      <c r="AJ682" t="s">
        <v>47</v>
      </c>
      <c r="AK682" t="s">
        <v>47</v>
      </c>
      <c r="AL682" t="s">
        <v>47</v>
      </c>
      <c r="AM682" t="s">
        <v>47</v>
      </c>
      <c r="AN682" t="s">
        <v>47</v>
      </c>
      <c r="AO682" s="5" t="s">
        <v>60</v>
      </c>
      <c r="AP682" s="4" t="s">
        <v>61</v>
      </c>
      <c r="AQ682" s="4" t="s">
        <v>53</v>
      </c>
      <c r="AR682" s="4" t="s">
        <v>2508</v>
      </c>
      <c r="AS682" s="5">
        <v>37651</v>
      </c>
      <c r="AT682" t="s">
        <v>47</v>
      </c>
    </row>
    <row r="683" spans="1:46" ht="52" x14ac:dyDescent="0.3">
      <c r="A683" s="4" t="s">
        <v>2832</v>
      </c>
      <c r="B683" t="s">
        <v>47</v>
      </c>
      <c r="C683" s="4" t="s">
        <v>2693</v>
      </c>
      <c r="D683" s="4" t="s">
        <v>2694</v>
      </c>
      <c r="E683" s="4" t="s">
        <v>2695</v>
      </c>
      <c r="F683" s="5" t="s">
        <v>2833</v>
      </c>
      <c r="G683" t="s">
        <v>47</v>
      </c>
      <c r="H683" t="s">
        <v>47</v>
      </c>
      <c r="I683" s="3">
        <v>38718</v>
      </c>
      <c r="J683" s="5" t="s">
        <v>50</v>
      </c>
      <c r="K683" t="s">
        <v>47</v>
      </c>
      <c r="L683" s="5" t="s">
        <v>60</v>
      </c>
      <c r="M683" t="s">
        <v>47</v>
      </c>
      <c r="N683" t="s">
        <v>47</v>
      </c>
      <c r="O683" t="s">
        <v>47</v>
      </c>
      <c r="P683" s="3">
        <v>38718</v>
      </c>
      <c r="Q683" s="5" t="s">
        <v>50</v>
      </c>
      <c r="R683" t="s">
        <v>47</v>
      </c>
      <c r="S683" t="s">
        <v>47</v>
      </c>
      <c r="T683" t="s">
        <v>47</v>
      </c>
      <c r="U683" t="s">
        <v>47</v>
      </c>
      <c r="V683" t="s">
        <v>47</v>
      </c>
      <c r="W683" s="3">
        <v>38718</v>
      </c>
      <c r="X683" s="5" t="s">
        <v>50</v>
      </c>
      <c r="Y683" t="s">
        <v>47</v>
      </c>
      <c r="Z683" s="3">
        <v>38718</v>
      </c>
      <c r="AA683" s="5" t="s">
        <v>50</v>
      </c>
      <c r="AB683" t="s">
        <v>47</v>
      </c>
      <c r="AC683" s="3">
        <v>38718</v>
      </c>
      <c r="AD683" s="5" t="s">
        <v>50</v>
      </c>
      <c r="AE683" t="s">
        <v>47</v>
      </c>
      <c r="AF683" t="s">
        <v>47</v>
      </c>
      <c r="AG683" t="s">
        <v>47</v>
      </c>
      <c r="AH683" t="s">
        <v>47</v>
      </c>
      <c r="AI683" t="s">
        <v>47</v>
      </c>
      <c r="AJ683" t="s">
        <v>47</v>
      </c>
      <c r="AK683" t="s">
        <v>47</v>
      </c>
      <c r="AL683" t="s">
        <v>47</v>
      </c>
      <c r="AM683" t="s">
        <v>47</v>
      </c>
      <c r="AN683" t="s">
        <v>47</v>
      </c>
      <c r="AO683" s="5" t="s">
        <v>60</v>
      </c>
      <c r="AP683" s="4" t="s">
        <v>61</v>
      </c>
      <c r="AQ683" s="4" t="s">
        <v>53</v>
      </c>
      <c r="AR683" s="4" t="s">
        <v>1706</v>
      </c>
      <c r="AS683" s="5">
        <v>5452619</v>
      </c>
      <c r="AT683" t="s">
        <v>47</v>
      </c>
    </row>
    <row r="684" spans="1:46" ht="39" x14ac:dyDescent="0.3">
      <c r="A684" s="4" t="s">
        <v>2834</v>
      </c>
      <c r="B684" t="s">
        <v>47</v>
      </c>
      <c r="C684" s="4" t="s">
        <v>2835</v>
      </c>
      <c r="D684" s="4" t="s">
        <v>2836</v>
      </c>
      <c r="E684" s="4" t="s">
        <v>2837</v>
      </c>
      <c r="F684" t="s">
        <v>47</v>
      </c>
      <c r="G684" s="5" t="s">
        <v>2838</v>
      </c>
      <c r="H684" t="s">
        <v>47</v>
      </c>
      <c r="I684" s="3">
        <v>41365</v>
      </c>
      <c r="J684" s="5" t="s">
        <v>50</v>
      </c>
      <c r="K684" t="s">
        <v>47</v>
      </c>
      <c r="L684" s="5" t="s">
        <v>60</v>
      </c>
      <c r="M684" s="3">
        <v>41365</v>
      </c>
      <c r="N684" s="5" t="s">
        <v>50</v>
      </c>
      <c r="O684" t="s">
        <v>47</v>
      </c>
      <c r="P684" s="3">
        <v>41365</v>
      </c>
      <c r="Q684" s="5" t="s">
        <v>50</v>
      </c>
      <c r="R684" t="s">
        <v>47</v>
      </c>
      <c r="S684" t="s">
        <v>47</v>
      </c>
      <c r="T684" t="s">
        <v>47</v>
      </c>
      <c r="U684" t="s">
        <v>47</v>
      </c>
      <c r="V684" t="s">
        <v>47</v>
      </c>
      <c r="W684" s="3">
        <v>41365</v>
      </c>
      <c r="X684" s="5" t="s">
        <v>50</v>
      </c>
      <c r="Y684" t="s">
        <v>47</v>
      </c>
      <c r="Z684" s="3">
        <v>41365</v>
      </c>
      <c r="AA684" s="5" t="s">
        <v>50</v>
      </c>
      <c r="AB684" t="s">
        <v>47</v>
      </c>
      <c r="AC684" s="3">
        <v>41365</v>
      </c>
      <c r="AD684" s="5" t="s">
        <v>50</v>
      </c>
      <c r="AE684" t="s">
        <v>47</v>
      </c>
      <c r="AF684" t="s">
        <v>47</v>
      </c>
      <c r="AG684" t="s">
        <v>47</v>
      </c>
      <c r="AH684" t="s">
        <v>47</v>
      </c>
      <c r="AI684" t="s">
        <v>47</v>
      </c>
      <c r="AJ684" t="s">
        <v>47</v>
      </c>
      <c r="AK684" t="s">
        <v>47</v>
      </c>
      <c r="AL684" t="s">
        <v>47</v>
      </c>
      <c r="AM684" t="s">
        <v>47</v>
      </c>
      <c r="AN684" t="s">
        <v>47</v>
      </c>
      <c r="AO684" s="5" t="s">
        <v>60</v>
      </c>
      <c r="AP684" s="4" t="s">
        <v>61</v>
      </c>
      <c r="AQ684" s="4" t="s">
        <v>53</v>
      </c>
      <c r="AR684" s="4" t="s">
        <v>54</v>
      </c>
      <c r="AS684" s="5">
        <v>2031381</v>
      </c>
      <c r="AT684" t="s">
        <v>47</v>
      </c>
    </row>
    <row r="685" spans="1:46" ht="26" x14ac:dyDescent="0.3">
      <c r="A685" s="4" t="s">
        <v>2839</v>
      </c>
      <c r="B685" t="s">
        <v>47</v>
      </c>
      <c r="C685" s="4" t="s">
        <v>2840</v>
      </c>
      <c r="D685" s="4" t="s">
        <v>2841</v>
      </c>
      <c r="E685" s="4" t="s">
        <v>723</v>
      </c>
      <c r="F685" t="s">
        <v>47</v>
      </c>
      <c r="G685" t="s">
        <v>47</v>
      </c>
      <c r="H685" t="s">
        <v>47</v>
      </c>
      <c r="I685" t="s">
        <v>47</v>
      </c>
      <c r="J685" t="s">
        <v>47</v>
      </c>
      <c r="K685" t="s">
        <v>47</v>
      </c>
      <c r="L685" s="5" t="s">
        <v>60</v>
      </c>
      <c r="M685" t="s">
        <v>47</v>
      </c>
      <c r="N685" t="s">
        <v>47</v>
      </c>
      <c r="O685" t="s">
        <v>47</v>
      </c>
      <c r="P685" t="s">
        <v>47</v>
      </c>
      <c r="Q685" t="s">
        <v>47</v>
      </c>
      <c r="R685" t="s">
        <v>47</v>
      </c>
      <c r="S685" t="s">
        <v>47</v>
      </c>
      <c r="T685" t="s">
        <v>47</v>
      </c>
      <c r="U685" t="s">
        <v>47</v>
      </c>
      <c r="V685" t="s">
        <v>47</v>
      </c>
      <c r="W685" s="3">
        <v>35431</v>
      </c>
      <c r="X685" s="3">
        <v>36892</v>
      </c>
      <c r="Y685" t="s">
        <v>47</v>
      </c>
      <c r="Z685" s="3">
        <v>35431</v>
      </c>
      <c r="AA685" s="3">
        <v>36892</v>
      </c>
      <c r="AB685" t="s">
        <v>47</v>
      </c>
      <c r="AC685" t="s">
        <v>47</v>
      </c>
      <c r="AD685" t="s">
        <v>47</v>
      </c>
      <c r="AE685" t="s">
        <v>47</v>
      </c>
      <c r="AF685" t="s">
        <v>47</v>
      </c>
      <c r="AG685" t="s">
        <v>47</v>
      </c>
      <c r="AH685" t="s">
        <v>47</v>
      </c>
      <c r="AI685" t="s">
        <v>47</v>
      </c>
      <c r="AJ685" t="s">
        <v>47</v>
      </c>
      <c r="AK685" t="s">
        <v>47</v>
      </c>
      <c r="AL685" t="s">
        <v>47</v>
      </c>
      <c r="AM685" t="s">
        <v>47</v>
      </c>
      <c r="AN685" t="s">
        <v>47</v>
      </c>
      <c r="AO685" s="5" t="s">
        <v>60</v>
      </c>
      <c r="AP685" s="4" t="s">
        <v>61</v>
      </c>
      <c r="AQ685" s="4" t="s">
        <v>53</v>
      </c>
      <c r="AR685" s="4" t="s">
        <v>2129</v>
      </c>
      <c r="AS685" s="5">
        <v>33186</v>
      </c>
      <c r="AT685" t="s">
        <v>47</v>
      </c>
    </row>
    <row r="686" spans="1:46" ht="26" x14ac:dyDescent="0.3">
      <c r="A686" s="4" t="s">
        <v>2842</v>
      </c>
      <c r="B686" t="s">
        <v>47</v>
      </c>
      <c r="C686" s="4" t="s">
        <v>2843</v>
      </c>
      <c r="D686" s="4" t="s">
        <v>1694</v>
      </c>
      <c r="E686" s="4" t="s">
        <v>603</v>
      </c>
      <c r="F686" s="5" t="s">
        <v>2844</v>
      </c>
      <c r="G686" s="5" t="s">
        <v>2845</v>
      </c>
      <c r="H686" t="s">
        <v>47</v>
      </c>
      <c r="I686" s="3">
        <v>39448</v>
      </c>
      <c r="J686" s="5" t="s">
        <v>50</v>
      </c>
      <c r="K686" t="s">
        <v>47</v>
      </c>
      <c r="L686" s="5" t="s">
        <v>60</v>
      </c>
      <c r="M686" s="3">
        <v>39448</v>
      </c>
      <c r="N686" s="5" t="s">
        <v>50</v>
      </c>
      <c r="O686" t="s">
        <v>47</v>
      </c>
      <c r="P686" s="3">
        <v>39448</v>
      </c>
      <c r="Q686" s="5" t="s">
        <v>50</v>
      </c>
      <c r="R686" t="s">
        <v>47</v>
      </c>
      <c r="S686" t="s">
        <v>47</v>
      </c>
      <c r="T686" t="s">
        <v>47</v>
      </c>
      <c r="U686" t="s">
        <v>47</v>
      </c>
      <c r="V686" t="s">
        <v>47</v>
      </c>
      <c r="W686" s="3">
        <v>39448</v>
      </c>
      <c r="X686" s="5" t="s">
        <v>50</v>
      </c>
      <c r="Y686" t="s">
        <v>47</v>
      </c>
      <c r="Z686" s="3">
        <v>39448</v>
      </c>
      <c r="AA686" s="5" t="s">
        <v>50</v>
      </c>
      <c r="AB686" t="s">
        <v>47</v>
      </c>
      <c r="AC686" s="3">
        <v>39448</v>
      </c>
      <c r="AD686" s="5" t="s">
        <v>50</v>
      </c>
      <c r="AE686" t="s">
        <v>47</v>
      </c>
      <c r="AF686" t="s">
        <v>47</v>
      </c>
      <c r="AG686" t="s">
        <v>47</v>
      </c>
      <c r="AH686" t="s">
        <v>47</v>
      </c>
      <c r="AI686" t="s">
        <v>47</v>
      </c>
      <c r="AJ686" t="s">
        <v>47</v>
      </c>
      <c r="AK686" t="s">
        <v>47</v>
      </c>
      <c r="AL686" t="s">
        <v>47</v>
      </c>
      <c r="AM686" t="s">
        <v>47</v>
      </c>
      <c r="AN686" t="s">
        <v>47</v>
      </c>
      <c r="AO686" s="5" t="s">
        <v>60</v>
      </c>
      <c r="AP686" s="4" t="s">
        <v>61</v>
      </c>
      <c r="AQ686" t="s">
        <v>47</v>
      </c>
      <c r="AR686" s="4" t="s">
        <v>2846</v>
      </c>
      <c r="AS686" s="5">
        <v>54901</v>
      </c>
      <c r="AT686" t="s">
        <v>47</v>
      </c>
    </row>
    <row r="687" spans="1:46" ht="39" x14ac:dyDescent="0.3">
      <c r="A687" s="4" t="s">
        <v>2847</v>
      </c>
      <c r="B687" t="s">
        <v>47</v>
      </c>
      <c r="C687" s="4" t="s">
        <v>2848</v>
      </c>
      <c r="D687" s="4" t="s">
        <v>2849</v>
      </c>
      <c r="E687" s="4" t="s">
        <v>66</v>
      </c>
      <c r="F687" s="5" t="s">
        <v>2850</v>
      </c>
      <c r="G687" s="5" t="s">
        <v>2851</v>
      </c>
      <c r="H687" t="s">
        <v>47</v>
      </c>
      <c r="I687" s="3">
        <v>41852</v>
      </c>
      <c r="J687" s="5" t="s">
        <v>50</v>
      </c>
      <c r="K687" t="s">
        <v>47</v>
      </c>
      <c r="L687" s="5" t="s">
        <v>60</v>
      </c>
      <c r="M687" t="s">
        <v>47</v>
      </c>
      <c r="N687" t="s">
        <v>47</v>
      </c>
      <c r="O687" t="s">
        <v>47</v>
      </c>
      <c r="P687" s="3">
        <v>41852</v>
      </c>
      <c r="Q687" s="5" t="s">
        <v>50</v>
      </c>
      <c r="R687" t="s">
        <v>47</v>
      </c>
      <c r="S687" t="s">
        <v>47</v>
      </c>
      <c r="T687" t="s">
        <v>47</v>
      </c>
      <c r="U687" t="s">
        <v>47</v>
      </c>
      <c r="V687" t="s">
        <v>47</v>
      </c>
      <c r="W687" s="3">
        <v>41852</v>
      </c>
      <c r="X687" s="5" t="s">
        <v>50</v>
      </c>
      <c r="Y687" t="s">
        <v>47</v>
      </c>
      <c r="Z687" s="3">
        <v>41852</v>
      </c>
      <c r="AA687" s="5" t="s">
        <v>50</v>
      </c>
      <c r="AB687" t="s">
        <v>47</v>
      </c>
      <c r="AC687" s="3">
        <v>41852</v>
      </c>
      <c r="AD687" s="5" t="s">
        <v>50</v>
      </c>
      <c r="AE687" t="s">
        <v>47</v>
      </c>
      <c r="AF687" t="s">
        <v>47</v>
      </c>
      <c r="AG687" t="s">
        <v>47</v>
      </c>
      <c r="AH687" t="s">
        <v>47</v>
      </c>
      <c r="AI687" t="s">
        <v>47</v>
      </c>
      <c r="AJ687" t="s">
        <v>47</v>
      </c>
      <c r="AK687" t="s">
        <v>47</v>
      </c>
      <c r="AL687" t="s">
        <v>47</v>
      </c>
      <c r="AM687" t="s">
        <v>47</v>
      </c>
      <c r="AN687" t="s">
        <v>47</v>
      </c>
      <c r="AO687" s="5" t="s">
        <v>51</v>
      </c>
      <c r="AP687" s="4" t="s">
        <v>61</v>
      </c>
      <c r="AQ687" s="4" t="s">
        <v>53</v>
      </c>
      <c r="AR687" s="4" t="s">
        <v>62</v>
      </c>
      <c r="AS687" s="5">
        <v>2043069</v>
      </c>
      <c r="AT687" t="s">
        <v>47</v>
      </c>
    </row>
    <row r="688" spans="1:46" ht="26" x14ac:dyDescent="0.3">
      <c r="A688" s="4" t="s">
        <v>2852</v>
      </c>
      <c r="B688" t="s">
        <v>47</v>
      </c>
      <c r="C688" s="4" t="s">
        <v>2689</v>
      </c>
      <c r="D688" s="4" t="s">
        <v>1681</v>
      </c>
      <c r="E688" s="4" t="s">
        <v>49</v>
      </c>
      <c r="F688" s="5" t="s">
        <v>2853</v>
      </c>
      <c r="G688" s="5" t="s">
        <v>2854</v>
      </c>
      <c r="H688" t="s">
        <v>47</v>
      </c>
      <c r="I688" s="3">
        <v>41275</v>
      </c>
      <c r="J688" s="5" t="s">
        <v>50</v>
      </c>
      <c r="K688" t="s">
        <v>47</v>
      </c>
      <c r="L688" s="5" t="s">
        <v>60</v>
      </c>
      <c r="M688" t="s">
        <v>47</v>
      </c>
      <c r="N688" t="s">
        <v>47</v>
      </c>
      <c r="O688" t="s">
        <v>47</v>
      </c>
      <c r="P688" s="3">
        <v>41275</v>
      </c>
      <c r="Q688" s="5" t="s">
        <v>50</v>
      </c>
      <c r="R688" t="s">
        <v>47</v>
      </c>
      <c r="S688" t="s">
        <v>47</v>
      </c>
      <c r="T688" t="s">
        <v>47</v>
      </c>
      <c r="U688" t="s">
        <v>47</v>
      </c>
      <c r="V688" t="s">
        <v>47</v>
      </c>
      <c r="W688" s="3">
        <v>41275</v>
      </c>
      <c r="X688" s="5" t="s">
        <v>50</v>
      </c>
      <c r="Y688" t="s">
        <v>47</v>
      </c>
      <c r="Z688" s="3">
        <v>41275</v>
      </c>
      <c r="AA688" s="5" t="s">
        <v>50</v>
      </c>
      <c r="AB688" t="s">
        <v>47</v>
      </c>
      <c r="AC688" s="3">
        <v>41275</v>
      </c>
      <c r="AD688" s="5" t="s">
        <v>50</v>
      </c>
      <c r="AE688" t="s">
        <v>47</v>
      </c>
      <c r="AF688" t="s">
        <v>47</v>
      </c>
      <c r="AG688" t="s">
        <v>47</v>
      </c>
      <c r="AH688" t="s">
        <v>47</v>
      </c>
      <c r="AI688" t="s">
        <v>47</v>
      </c>
      <c r="AJ688" t="s">
        <v>47</v>
      </c>
      <c r="AK688" t="s">
        <v>47</v>
      </c>
      <c r="AL688" t="s">
        <v>47</v>
      </c>
      <c r="AM688" t="s">
        <v>47</v>
      </c>
      <c r="AN688" t="s">
        <v>47</v>
      </c>
      <c r="AO688" s="5" t="s">
        <v>60</v>
      </c>
      <c r="AP688" s="4" t="s">
        <v>61</v>
      </c>
      <c r="AQ688" s="4" t="s">
        <v>53</v>
      </c>
      <c r="AR688" s="4" t="s">
        <v>54</v>
      </c>
      <c r="AS688" s="5">
        <v>5529414</v>
      </c>
      <c r="AT688" t="s">
        <v>47</v>
      </c>
    </row>
    <row r="689" spans="1:46" ht="104" x14ac:dyDescent="0.3">
      <c r="A689" s="4" t="s">
        <v>2855</v>
      </c>
      <c r="B689" t="s">
        <v>47</v>
      </c>
      <c r="C689" s="4" t="s">
        <v>2683</v>
      </c>
      <c r="D689" s="4" t="s">
        <v>2761</v>
      </c>
      <c r="E689" s="4" t="s">
        <v>49</v>
      </c>
      <c r="F689" s="5" t="s">
        <v>2856</v>
      </c>
      <c r="G689" s="5" t="s">
        <v>2857</v>
      </c>
      <c r="H689" t="s">
        <v>47</v>
      </c>
      <c r="I689" s="3">
        <v>38353</v>
      </c>
      <c r="J689" s="5" t="s">
        <v>50</v>
      </c>
      <c r="K689" s="5" t="s">
        <v>450</v>
      </c>
      <c r="L689" s="5" t="s">
        <v>60</v>
      </c>
      <c r="M689" t="s">
        <v>47</v>
      </c>
      <c r="N689" t="s">
        <v>47</v>
      </c>
      <c r="O689" t="s">
        <v>47</v>
      </c>
      <c r="P689" s="3">
        <v>38353</v>
      </c>
      <c r="Q689" s="5" t="s">
        <v>50</v>
      </c>
      <c r="R689" s="5" t="s">
        <v>450</v>
      </c>
      <c r="S689" t="s">
        <v>47</v>
      </c>
      <c r="T689" t="s">
        <v>47</v>
      </c>
      <c r="U689" t="s">
        <v>47</v>
      </c>
      <c r="V689" t="s">
        <v>47</v>
      </c>
      <c r="W689" s="3">
        <v>38353</v>
      </c>
      <c r="X689" s="5" t="s">
        <v>50</v>
      </c>
      <c r="Y689" s="5" t="s">
        <v>450</v>
      </c>
      <c r="Z689" s="3">
        <v>38353</v>
      </c>
      <c r="AA689" s="5" t="s">
        <v>50</v>
      </c>
      <c r="AB689" s="5" t="s">
        <v>450</v>
      </c>
      <c r="AC689" s="3">
        <v>38353</v>
      </c>
      <c r="AD689" s="5" t="s">
        <v>50</v>
      </c>
      <c r="AE689" s="5" t="s">
        <v>450</v>
      </c>
      <c r="AF689" t="s">
        <v>47</v>
      </c>
      <c r="AG689" t="s">
        <v>47</v>
      </c>
      <c r="AH689" t="s">
        <v>47</v>
      </c>
      <c r="AI689" t="s">
        <v>47</v>
      </c>
      <c r="AJ689" t="s">
        <v>47</v>
      </c>
      <c r="AK689" t="s">
        <v>47</v>
      </c>
      <c r="AL689" t="s">
        <v>47</v>
      </c>
      <c r="AM689" t="s">
        <v>47</v>
      </c>
      <c r="AN689" t="s">
        <v>47</v>
      </c>
      <c r="AO689" s="5" t="s">
        <v>60</v>
      </c>
      <c r="AP689" s="4" t="s">
        <v>61</v>
      </c>
      <c r="AQ689" s="4" t="s">
        <v>53</v>
      </c>
      <c r="AR689" s="4" t="s">
        <v>2858</v>
      </c>
      <c r="AS689" s="5">
        <v>28332</v>
      </c>
      <c r="AT689" t="s">
        <v>47</v>
      </c>
    </row>
    <row r="690" spans="1:46" ht="143" x14ac:dyDescent="0.3">
      <c r="A690" s="4" t="s">
        <v>2859</v>
      </c>
      <c r="B690" t="s">
        <v>47</v>
      </c>
      <c r="C690" s="4" t="s">
        <v>115</v>
      </c>
      <c r="D690" s="4" t="s">
        <v>559</v>
      </c>
      <c r="E690" s="4" t="s">
        <v>66</v>
      </c>
      <c r="F690" s="5" t="s">
        <v>2860</v>
      </c>
      <c r="G690" s="5" t="s">
        <v>2861</v>
      </c>
      <c r="H690" t="s">
        <v>47</v>
      </c>
      <c r="I690" s="3">
        <v>34700</v>
      </c>
      <c r="J690" s="5" t="s">
        <v>50</v>
      </c>
      <c r="K690" t="s">
        <v>47</v>
      </c>
      <c r="L690" s="5" t="s">
        <v>60</v>
      </c>
      <c r="M690" s="3">
        <v>34700</v>
      </c>
      <c r="N690" s="5" t="s">
        <v>50</v>
      </c>
      <c r="O690" t="s">
        <v>47</v>
      </c>
      <c r="P690" s="3">
        <v>36965</v>
      </c>
      <c r="Q690" s="5" t="s">
        <v>50</v>
      </c>
      <c r="R690" t="s">
        <v>47</v>
      </c>
      <c r="S690" t="s">
        <v>47</v>
      </c>
      <c r="T690" t="s">
        <v>47</v>
      </c>
      <c r="U690" t="s">
        <v>47</v>
      </c>
      <c r="V690" s="5">
        <v>365</v>
      </c>
      <c r="W690" s="3">
        <v>34700</v>
      </c>
      <c r="X690" s="5" t="s">
        <v>50</v>
      </c>
      <c r="Y690" t="s">
        <v>47</v>
      </c>
      <c r="Z690" s="3">
        <v>34700</v>
      </c>
      <c r="AA690" s="5" t="s">
        <v>50</v>
      </c>
      <c r="AB690" t="s">
        <v>47</v>
      </c>
      <c r="AC690" s="3">
        <v>34700</v>
      </c>
      <c r="AD690" s="5" t="s">
        <v>50</v>
      </c>
      <c r="AE690" t="s">
        <v>47</v>
      </c>
      <c r="AF690" t="s">
        <v>47</v>
      </c>
      <c r="AG690" t="s">
        <v>47</v>
      </c>
      <c r="AH690" t="s">
        <v>47</v>
      </c>
      <c r="AI690" t="s">
        <v>47</v>
      </c>
      <c r="AJ690" t="s">
        <v>47</v>
      </c>
      <c r="AK690" t="s">
        <v>47</v>
      </c>
      <c r="AL690" t="s">
        <v>47</v>
      </c>
      <c r="AM690" t="s">
        <v>47</v>
      </c>
      <c r="AN690" t="s">
        <v>47</v>
      </c>
      <c r="AO690" s="5" t="s">
        <v>60</v>
      </c>
      <c r="AP690" s="4" t="s">
        <v>61</v>
      </c>
      <c r="AQ690" s="4" t="s">
        <v>53</v>
      </c>
      <c r="AR690" s="4" t="s">
        <v>2862</v>
      </c>
      <c r="AS690" s="5">
        <v>31886</v>
      </c>
      <c r="AT690" t="s">
        <v>47</v>
      </c>
    </row>
    <row r="691" spans="1:46" ht="78" x14ac:dyDescent="0.3">
      <c r="A691" s="4" t="s">
        <v>2863</v>
      </c>
      <c r="B691" t="s">
        <v>47</v>
      </c>
      <c r="C691" s="4" t="s">
        <v>2864</v>
      </c>
      <c r="D691" s="4" t="s">
        <v>2865</v>
      </c>
      <c r="E691" s="4" t="s">
        <v>49</v>
      </c>
      <c r="F691" s="5" t="s">
        <v>2866</v>
      </c>
      <c r="G691" s="5" t="s">
        <v>2867</v>
      </c>
      <c r="H691" t="s">
        <v>47</v>
      </c>
      <c r="I691" s="3">
        <v>40909</v>
      </c>
      <c r="J691" s="3">
        <v>41821</v>
      </c>
      <c r="K691" t="s">
        <v>47</v>
      </c>
      <c r="L691" s="5" t="s">
        <v>60</v>
      </c>
      <c r="M691" s="3">
        <v>40909</v>
      </c>
      <c r="N691" s="3">
        <v>41821</v>
      </c>
      <c r="O691" t="s">
        <v>47</v>
      </c>
      <c r="P691" s="3">
        <v>40909</v>
      </c>
      <c r="Q691" s="3">
        <v>41821</v>
      </c>
      <c r="R691" t="s">
        <v>47</v>
      </c>
      <c r="S691" t="s">
        <v>47</v>
      </c>
      <c r="T691" t="s">
        <v>47</v>
      </c>
      <c r="U691" t="s">
        <v>47</v>
      </c>
      <c r="V691" t="s">
        <v>47</v>
      </c>
      <c r="W691" s="3">
        <v>40909</v>
      </c>
      <c r="X691" s="3">
        <v>41821</v>
      </c>
      <c r="Y691" t="s">
        <v>47</v>
      </c>
      <c r="Z691" s="3">
        <v>40909</v>
      </c>
      <c r="AA691" s="3">
        <v>41821</v>
      </c>
      <c r="AB691" t="s">
        <v>47</v>
      </c>
      <c r="AC691" s="3">
        <v>40909</v>
      </c>
      <c r="AD691" s="3">
        <v>41821</v>
      </c>
      <c r="AE691" t="s">
        <v>47</v>
      </c>
      <c r="AF691" t="s">
        <v>47</v>
      </c>
      <c r="AG691" t="s">
        <v>47</v>
      </c>
      <c r="AH691" t="s">
        <v>47</v>
      </c>
      <c r="AI691" t="s">
        <v>47</v>
      </c>
      <c r="AJ691" t="s">
        <v>47</v>
      </c>
      <c r="AK691" t="s">
        <v>47</v>
      </c>
      <c r="AL691" t="s">
        <v>47</v>
      </c>
      <c r="AM691" t="s">
        <v>47</v>
      </c>
      <c r="AN691" t="s">
        <v>47</v>
      </c>
      <c r="AO691" s="5" t="s">
        <v>60</v>
      </c>
      <c r="AP691" s="4" t="s">
        <v>61</v>
      </c>
      <c r="AQ691" s="4" t="s">
        <v>53</v>
      </c>
      <c r="AR691" s="4" t="s">
        <v>577</v>
      </c>
      <c r="AS691" s="5">
        <v>2034865</v>
      </c>
      <c r="AT691" t="s">
        <v>47</v>
      </c>
    </row>
    <row r="692" spans="1:46" ht="117" x14ac:dyDescent="0.3">
      <c r="A692" s="4" t="s">
        <v>2868</v>
      </c>
      <c r="B692" t="s">
        <v>47</v>
      </c>
      <c r="C692" s="4" t="s">
        <v>2869</v>
      </c>
      <c r="D692" s="4" t="s">
        <v>674</v>
      </c>
      <c r="E692" s="4" t="s">
        <v>58</v>
      </c>
      <c r="F692" t="s">
        <v>47</v>
      </c>
      <c r="G692" s="5" t="s">
        <v>2870</v>
      </c>
      <c r="H692" t="s">
        <v>47</v>
      </c>
      <c r="I692" s="3">
        <v>35431</v>
      </c>
      <c r="J692" s="5" t="s">
        <v>50</v>
      </c>
      <c r="K692" s="5" t="s">
        <v>2871</v>
      </c>
      <c r="L692" s="5" t="s">
        <v>60</v>
      </c>
      <c r="M692" t="s">
        <v>47</v>
      </c>
      <c r="N692" t="s">
        <v>47</v>
      </c>
      <c r="O692" t="s">
        <v>47</v>
      </c>
      <c r="P692" s="3">
        <v>35431</v>
      </c>
      <c r="Q692" s="5" t="s">
        <v>50</v>
      </c>
      <c r="R692" s="5" t="s">
        <v>2871</v>
      </c>
      <c r="S692" t="s">
        <v>47</v>
      </c>
      <c r="T692" t="s">
        <v>47</v>
      </c>
      <c r="U692" t="s">
        <v>47</v>
      </c>
      <c r="V692" t="s">
        <v>47</v>
      </c>
      <c r="W692" s="3">
        <v>35431</v>
      </c>
      <c r="X692" s="5" t="s">
        <v>50</v>
      </c>
      <c r="Y692" s="5" t="s">
        <v>2871</v>
      </c>
      <c r="Z692" s="3">
        <v>35431</v>
      </c>
      <c r="AA692" s="5" t="s">
        <v>50</v>
      </c>
      <c r="AB692" s="5" t="s">
        <v>2871</v>
      </c>
      <c r="AC692" s="3">
        <v>35431</v>
      </c>
      <c r="AD692" s="5" t="s">
        <v>50</v>
      </c>
      <c r="AE692" s="5" t="s">
        <v>2871</v>
      </c>
      <c r="AF692" t="s">
        <v>47</v>
      </c>
      <c r="AG692" t="s">
        <v>47</v>
      </c>
      <c r="AH692" t="s">
        <v>47</v>
      </c>
      <c r="AI692" t="s">
        <v>47</v>
      </c>
      <c r="AJ692" t="s">
        <v>47</v>
      </c>
      <c r="AK692" t="s">
        <v>47</v>
      </c>
      <c r="AL692" t="s">
        <v>47</v>
      </c>
      <c r="AM692" t="s">
        <v>47</v>
      </c>
      <c r="AN692" t="s">
        <v>47</v>
      </c>
      <c r="AO692" s="5" t="s">
        <v>60</v>
      </c>
      <c r="AP692" s="4" t="s">
        <v>61</v>
      </c>
      <c r="AQ692" s="4" t="s">
        <v>53</v>
      </c>
      <c r="AR692" s="4" t="s">
        <v>2872</v>
      </c>
      <c r="AS692" s="5">
        <v>4403473</v>
      </c>
      <c r="AT692" t="s">
        <v>47</v>
      </c>
    </row>
    <row r="693" spans="1:46" ht="39" x14ac:dyDescent="0.3">
      <c r="A693" s="4" t="s">
        <v>2873</v>
      </c>
      <c r="B693" t="s">
        <v>47</v>
      </c>
      <c r="C693" s="4" t="s">
        <v>2683</v>
      </c>
      <c r="D693" s="4" t="s">
        <v>2874</v>
      </c>
      <c r="E693" s="4" t="s">
        <v>49</v>
      </c>
      <c r="F693" s="5" t="s">
        <v>2875</v>
      </c>
      <c r="G693" s="5" t="s">
        <v>2876</v>
      </c>
      <c r="H693" t="s">
        <v>47</v>
      </c>
      <c r="I693" s="3">
        <v>43831</v>
      </c>
      <c r="J693" s="5" t="s">
        <v>50</v>
      </c>
      <c r="K693" t="s">
        <v>47</v>
      </c>
      <c r="L693" s="5" t="s">
        <v>60</v>
      </c>
      <c r="M693" t="s">
        <v>47</v>
      </c>
      <c r="N693" t="s">
        <v>47</v>
      </c>
      <c r="O693" t="s">
        <v>47</v>
      </c>
      <c r="P693" s="3">
        <v>43831</v>
      </c>
      <c r="Q693" s="5" t="s">
        <v>50</v>
      </c>
      <c r="R693" t="s">
        <v>47</v>
      </c>
      <c r="S693" t="s">
        <v>47</v>
      </c>
      <c r="T693" t="s">
        <v>47</v>
      </c>
      <c r="U693" t="s">
        <v>47</v>
      </c>
      <c r="V693" t="s">
        <v>47</v>
      </c>
      <c r="W693" s="3">
        <v>43831</v>
      </c>
      <c r="X693" s="5" t="s">
        <v>50</v>
      </c>
      <c r="Y693" t="s">
        <v>47</v>
      </c>
      <c r="Z693" s="3">
        <v>43831</v>
      </c>
      <c r="AA693" s="5" t="s">
        <v>50</v>
      </c>
      <c r="AB693" t="s">
        <v>47</v>
      </c>
      <c r="AC693" s="3">
        <v>43831</v>
      </c>
      <c r="AD693" s="5" t="s">
        <v>50</v>
      </c>
      <c r="AE693" t="s">
        <v>47</v>
      </c>
      <c r="AF693" t="s">
        <v>47</v>
      </c>
      <c r="AG693" t="s">
        <v>47</v>
      </c>
      <c r="AH693" t="s">
        <v>47</v>
      </c>
      <c r="AI693" t="s">
        <v>47</v>
      </c>
      <c r="AJ693" t="s">
        <v>47</v>
      </c>
      <c r="AK693" t="s">
        <v>47</v>
      </c>
      <c r="AL693" t="s">
        <v>47</v>
      </c>
      <c r="AM693" t="s">
        <v>47</v>
      </c>
      <c r="AN693" t="s">
        <v>47</v>
      </c>
      <c r="AO693" s="5" t="s">
        <v>60</v>
      </c>
      <c r="AP693" s="4" t="s">
        <v>61</v>
      </c>
      <c r="AQ693" s="4" t="s">
        <v>53</v>
      </c>
      <c r="AR693" s="4" t="s">
        <v>62</v>
      </c>
      <c r="AS693" s="5">
        <v>6696340</v>
      </c>
      <c r="AT693" t="s">
        <v>47</v>
      </c>
    </row>
    <row r="694" spans="1:46" ht="104" x14ac:dyDescent="0.3">
      <c r="A694" s="4" t="s">
        <v>2877</v>
      </c>
      <c r="B694" t="s">
        <v>47</v>
      </c>
      <c r="C694" s="4" t="s">
        <v>2878</v>
      </c>
      <c r="D694" s="4" t="s">
        <v>70</v>
      </c>
      <c r="E694" s="4" t="s">
        <v>49</v>
      </c>
      <c r="F694" s="5" t="s">
        <v>2879</v>
      </c>
      <c r="G694" t="s">
        <v>47</v>
      </c>
      <c r="H694" t="s">
        <v>47</v>
      </c>
      <c r="I694" s="3">
        <v>35431</v>
      </c>
      <c r="J694" s="3">
        <v>38626</v>
      </c>
      <c r="K694" t="s">
        <v>47</v>
      </c>
      <c r="L694" s="5" t="s">
        <v>60</v>
      </c>
      <c r="M694" s="3">
        <v>35431</v>
      </c>
      <c r="N694" s="3">
        <v>38626</v>
      </c>
      <c r="O694" t="s">
        <v>47</v>
      </c>
      <c r="P694" s="3">
        <v>35431</v>
      </c>
      <c r="Q694" s="3">
        <v>38626</v>
      </c>
      <c r="R694" t="s">
        <v>47</v>
      </c>
      <c r="S694" t="s">
        <v>47</v>
      </c>
      <c r="T694" t="s">
        <v>47</v>
      </c>
      <c r="U694" t="s">
        <v>47</v>
      </c>
      <c r="V694" t="s">
        <v>47</v>
      </c>
      <c r="W694" s="3">
        <v>35431</v>
      </c>
      <c r="X694" s="3">
        <v>41183</v>
      </c>
      <c r="Y694" t="s">
        <v>47</v>
      </c>
      <c r="Z694" s="3">
        <v>35431</v>
      </c>
      <c r="AA694" s="3">
        <v>41183</v>
      </c>
      <c r="AB694" t="s">
        <v>47</v>
      </c>
      <c r="AC694" s="3">
        <v>37257</v>
      </c>
      <c r="AD694" s="3">
        <v>41183</v>
      </c>
      <c r="AE694" t="s">
        <v>47</v>
      </c>
      <c r="AF694" t="s">
        <v>47</v>
      </c>
      <c r="AG694" t="s">
        <v>47</v>
      </c>
      <c r="AH694" t="s">
        <v>47</v>
      </c>
      <c r="AI694" t="s">
        <v>47</v>
      </c>
      <c r="AJ694" t="s">
        <v>47</v>
      </c>
      <c r="AK694" t="s">
        <v>47</v>
      </c>
      <c r="AL694" t="s">
        <v>47</v>
      </c>
      <c r="AM694" t="s">
        <v>47</v>
      </c>
      <c r="AN694" t="s">
        <v>47</v>
      </c>
      <c r="AO694" s="5" t="s">
        <v>60</v>
      </c>
      <c r="AP694" s="4" t="s">
        <v>61</v>
      </c>
      <c r="AQ694" s="4" t="s">
        <v>53</v>
      </c>
      <c r="AR694" s="4" t="s">
        <v>2880</v>
      </c>
      <c r="AS694" s="5">
        <v>30932</v>
      </c>
      <c r="AT694" t="s">
        <v>47</v>
      </c>
    </row>
    <row r="695" spans="1:46" ht="26" x14ac:dyDescent="0.3">
      <c r="A695" s="4" t="s">
        <v>2881</v>
      </c>
      <c r="B695" t="s">
        <v>47</v>
      </c>
      <c r="C695" s="4" t="s">
        <v>2689</v>
      </c>
      <c r="D695" s="4" t="s">
        <v>2882</v>
      </c>
      <c r="E695" s="4" t="s">
        <v>49</v>
      </c>
      <c r="F695" s="5" t="s">
        <v>2883</v>
      </c>
      <c r="G695" s="5" t="s">
        <v>2884</v>
      </c>
      <c r="H695" t="s">
        <v>47</v>
      </c>
      <c r="I695" s="3">
        <v>41275</v>
      </c>
      <c r="J695" s="5" t="s">
        <v>50</v>
      </c>
      <c r="K695" t="s">
        <v>47</v>
      </c>
      <c r="L695" s="5" t="s">
        <v>60</v>
      </c>
      <c r="M695" t="s">
        <v>47</v>
      </c>
      <c r="N695" t="s">
        <v>47</v>
      </c>
      <c r="O695" t="s">
        <v>47</v>
      </c>
      <c r="P695" s="3">
        <v>41275</v>
      </c>
      <c r="Q695" s="5" t="s">
        <v>50</v>
      </c>
      <c r="R695" t="s">
        <v>47</v>
      </c>
      <c r="S695" t="s">
        <v>47</v>
      </c>
      <c r="T695" t="s">
        <v>47</v>
      </c>
      <c r="U695" t="s">
        <v>47</v>
      </c>
      <c r="V695" t="s">
        <v>47</v>
      </c>
      <c r="W695" s="3">
        <v>41275</v>
      </c>
      <c r="X695" s="5" t="s">
        <v>50</v>
      </c>
      <c r="Y695" t="s">
        <v>47</v>
      </c>
      <c r="Z695" s="3">
        <v>41275</v>
      </c>
      <c r="AA695" s="5" t="s">
        <v>50</v>
      </c>
      <c r="AB695" t="s">
        <v>47</v>
      </c>
      <c r="AC695" s="3">
        <v>41275</v>
      </c>
      <c r="AD695" s="5" t="s">
        <v>50</v>
      </c>
      <c r="AE695" t="s">
        <v>47</v>
      </c>
      <c r="AF695" t="s">
        <v>47</v>
      </c>
      <c r="AG695" t="s">
        <v>47</v>
      </c>
      <c r="AH695" t="s">
        <v>47</v>
      </c>
      <c r="AI695" t="s">
        <v>47</v>
      </c>
      <c r="AJ695" t="s">
        <v>47</v>
      </c>
      <c r="AK695" t="s">
        <v>47</v>
      </c>
      <c r="AL695" t="s">
        <v>47</v>
      </c>
      <c r="AM695" t="s">
        <v>47</v>
      </c>
      <c r="AN695" t="s">
        <v>47</v>
      </c>
      <c r="AO695" s="5" t="s">
        <v>60</v>
      </c>
      <c r="AP695" s="4" t="s">
        <v>61</v>
      </c>
      <c r="AQ695" s="4" t="s">
        <v>53</v>
      </c>
      <c r="AR695" s="4" t="s">
        <v>54</v>
      </c>
      <c r="AS695" s="5">
        <v>5529411</v>
      </c>
      <c r="AT695" t="s">
        <v>47</v>
      </c>
    </row>
    <row r="696" spans="1:46" ht="26" x14ac:dyDescent="0.3">
      <c r="A696" s="4" t="s">
        <v>2885</v>
      </c>
      <c r="B696" t="s">
        <v>47</v>
      </c>
      <c r="C696" s="4" t="s">
        <v>169</v>
      </c>
      <c r="D696" s="4" t="s">
        <v>139</v>
      </c>
      <c r="E696" s="4" t="s">
        <v>66</v>
      </c>
      <c r="F696" s="5" t="s">
        <v>2886</v>
      </c>
      <c r="G696" s="5" t="s">
        <v>2887</v>
      </c>
      <c r="H696" t="s">
        <v>47</v>
      </c>
      <c r="I696" t="s">
        <v>47</v>
      </c>
      <c r="J696" t="s">
        <v>47</v>
      </c>
      <c r="K696" t="s">
        <v>47</v>
      </c>
      <c r="L696" s="5" t="s">
        <v>60</v>
      </c>
      <c r="M696" t="s">
        <v>47</v>
      </c>
      <c r="N696" t="s">
        <v>47</v>
      </c>
      <c r="O696" t="s">
        <v>47</v>
      </c>
      <c r="P696" t="s">
        <v>47</v>
      </c>
      <c r="Q696" t="s">
        <v>47</v>
      </c>
      <c r="R696" t="s">
        <v>47</v>
      </c>
      <c r="S696" t="s">
        <v>47</v>
      </c>
      <c r="T696" t="s">
        <v>47</v>
      </c>
      <c r="U696" t="s">
        <v>47</v>
      </c>
      <c r="V696" t="s">
        <v>47</v>
      </c>
      <c r="W696" s="3">
        <v>40179</v>
      </c>
      <c r="X696" s="5" t="s">
        <v>50</v>
      </c>
      <c r="Y696" t="s">
        <v>47</v>
      </c>
      <c r="Z696" s="3">
        <v>40179</v>
      </c>
      <c r="AA696" s="5" t="s">
        <v>50</v>
      </c>
      <c r="AB696" t="s">
        <v>47</v>
      </c>
      <c r="AC696" s="3">
        <v>40179</v>
      </c>
      <c r="AD696" s="5" t="s">
        <v>50</v>
      </c>
      <c r="AE696" t="s">
        <v>47</v>
      </c>
      <c r="AF696" t="s">
        <v>47</v>
      </c>
      <c r="AG696" t="s">
        <v>47</v>
      </c>
      <c r="AH696" t="s">
        <v>47</v>
      </c>
      <c r="AI696" t="s">
        <v>47</v>
      </c>
      <c r="AJ696" t="s">
        <v>47</v>
      </c>
      <c r="AK696" t="s">
        <v>47</v>
      </c>
      <c r="AL696" t="s">
        <v>47</v>
      </c>
      <c r="AM696" t="s">
        <v>47</v>
      </c>
      <c r="AN696" t="s">
        <v>47</v>
      </c>
      <c r="AO696" s="5" t="s">
        <v>60</v>
      </c>
      <c r="AP696" s="4" t="s">
        <v>61</v>
      </c>
      <c r="AQ696" s="4" t="s">
        <v>53</v>
      </c>
      <c r="AR696" s="4" t="s">
        <v>54</v>
      </c>
      <c r="AS696" s="5">
        <v>426765</v>
      </c>
      <c r="AT696" t="s">
        <v>47</v>
      </c>
    </row>
    <row r="697" spans="1:46" ht="39" x14ac:dyDescent="0.3">
      <c r="A697" s="4" t="s">
        <v>2888</v>
      </c>
      <c r="B697" t="s">
        <v>47</v>
      </c>
      <c r="C697" s="4" t="s">
        <v>2689</v>
      </c>
      <c r="D697" s="4" t="s">
        <v>2200</v>
      </c>
      <c r="E697" s="4" t="s">
        <v>49</v>
      </c>
      <c r="F697" s="5" t="s">
        <v>2889</v>
      </c>
      <c r="G697" s="5" t="s">
        <v>2890</v>
      </c>
      <c r="H697" t="s">
        <v>47</v>
      </c>
      <c r="I697" s="3">
        <v>41275</v>
      </c>
      <c r="J697" s="5" t="s">
        <v>50</v>
      </c>
      <c r="K697" t="s">
        <v>47</v>
      </c>
      <c r="L697" s="5" t="s">
        <v>60</v>
      </c>
      <c r="M697" t="s">
        <v>47</v>
      </c>
      <c r="N697" t="s">
        <v>47</v>
      </c>
      <c r="O697" t="s">
        <v>47</v>
      </c>
      <c r="P697" s="3">
        <v>41275</v>
      </c>
      <c r="Q697" s="5" t="s">
        <v>50</v>
      </c>
      <c r="R697" t="s">
        <v>47</v>
      </c>
      <c r="S697" t="s">
        <v>47</v>
      </c>
      <c r="T697" t="s">
        <v>47</v>
      </c>
      <c r="U697" t="s">
        <v>47</v>
      </c>
      <c r="V697" t="s">
        <v>47</v>
      </c>
      <c r="W697" s="3">
        <v>41275</v>
      </c>
      <c r="X697" s="5" t="s">
        <v>50</v>
      </c>
      <c r="Y697" t="s">
        <v>47</v>
      </c>
      <c r="Z697" s="3">
        <v>41275</v>
      </c>
      <c r="AA697" s="5" t="s">
        <v>50</v>
      </c>
      <c r="AB697" t="s">
        <v>47</v>
      </c>
      <c r="AC697" s="3">
        <v>41275</v>
      </c>
      <c r="AD697" s="5" t="s">
        <v>50</v>
      </c>
      <c r="AE697" t="s">
        <v>47</v>
      </c>
      <c r="AF697" t="s">
        <v>47</v>
      </c>
      <c r="AG697" t="s">
        <v>47</v>
      </c>
      <c r="AH697" t="s">
        <v>47</v>
      </c>
      <c r="AI697" t="s">
        <v>47</v>
      </c>
      <c r="AJ697" t="s">
        <v>47</v>
      </c>
      <c r="AK697" t="s">
        <v>47</v>
      </c>
      <c r="AL697" t="s">
        <v>47</v>
      </c>
      <c r="AM697" t="s">
        <v>47</v>
      </c>
      <c r="AN697" t="s">
        <v>47</v>
      </c>
      <c r="AO697" s="5" t="s">
        <v>60</v>
      </c>
      <c r="AP697" s="4" t="s">
        <v>61</v>
      </c>
      <c r="AQ697" s="4" t="s">
        <v>53</v>
      </c>
      <c r="AR697" s="4" t="s">
        <v>62</v>
      </c>
      <c r="AS697" s="5">
        <v>5529406</v>
      </c>
      <c r="AT697" t="s">
        <v>47</v>
      </c>
    </row>
    <row r="698" spans="1:46" ht="78" x14ac:dyDescent="0.3">
      <c r="A698" s="4" t="s">
        <v>2891</v>
      </c>
      <c r="B698" t="s">
        <v>47</v>
      </c>
      <c r="C698" s="4" t="s">
        <v>169</v>
      </c>
      <c r="D698" s="4" t="s">
        <v>139</v>
      </c>
      <c r="E698" s="4" t="s">
        <v>66</v>
      </c>
      <c r="F698" s="5" t="s">
        <v>2892</v>
      </c>
      <c r="G698" s="5" t="s">
        <v>2893</v>
      </c>
      <c r="H698" t="s">
        <v>47</v>
      </c>
      <c r="I698" t="s">
        <v>47</v>
      </c>
      <c r="J698" t="s">
        <v>47</v>
      </c>
      <c r="K698" t="s">
        <v>47</v>
      </c>
      <c r="L698" s="5" t="s">
        <v>60</v>
      </c>
      <c r="M698" t="s">
        <v>47</v>
      </c>
      <c r="N698" t="s">
        <v>47</v>
      </c>
      <c r="O698" t="s">
        <v>47</v>
      </c>
      <c r="P698" t="s">
        <v>47</v>
      </c>
      <c r="Q698" t="s">
        <v>47</v>
      </c>
      <c r="R698" t="s">
        <v>47</v>
      </c>
      <c r="S698" t="s">
        <v>47</v>
      </c>
      <c r="T698" t="s">
        <v>47</v>
      </c>
      <c r="U698" t="s">
        <v>47</v>
      </c>
      <c r="V698" t="s">
        <v>47</v>
      </c>
      <c r="W698" s="3">
        <v>40179</v>
      </c>
      <c r="X698" s="5" t="s">
        <v>50</v>
      </c>
      <c r="Y698" t="s">
        <v>47</v>
      </c>
      <c r="Z698" s="3">
        <v>40179</v>
      </c>
      <c r="AA698" s="5" t="s">
        <v>50</v>
      </c>
      <c r="AB698" t="s">
        <v>47</v>
      </c>
      <c r="AC698" s="3">
        <v>40179</v>
      </c>
      <c r="AD698" s="5" t="s">
        <v>50</v>
      </c>
      <c r="AE698" t="s">
        <v>47</v>
      </c>
      <c r="AF698" t="s">
        <v>47</v>
      </c>
      <c r="AG698" t="s">
        <v>47</v>
      </c>
      <c r="AH698" t="s">
        <v>47</v>
      </c>
      <c r="AI698" t="s">
        <v>47</v>
      </c>
      <c r="AJ698" t="s">
        <v>47</v>
      </c>
      <c r="AK698" t="s">
        <v>47</v>
      </c>
      <c r="AL698" t="s">
        <v>47</v>
      </c>
      <c r="AM698" t="s">
        <v>47</v>
      </c>
      <c r="AN698" t="s">
        <v>47</v>
      </c>
      <c r="AO698" s="5" t="s">
        <v>60</v>
      </c>
      <c r="AP698" s="4" t="s">
        <v>61</v>
      </c>
      <c r="AQ698" s="4" t="s">
        <v>53</v>
      </c>
      <c r="AR698" s="4" t="s">
        <v>1322</v>
      </c>
      <c r="AS698" s="5">
        <v>536296</v>
      </c>
      <c r="AT698" t="s">
        <v>47</v>
      </c>
    </row>
    <row r="699" spans="1:46" ht="26" x14ac:dyDescent="0.3">
      <c r="A699" s="4" t="s">
        <v>2894</v>
      </c>
      <c r="B699" t="s">
        <v>47</v>
      </c>
      <c r="C699" s="4" t="s">
        <v>2689</v>
      </c>
      <c r="D699" s="4" t="s">
        <v>2200</v>
      </c>
      <c r="E699" s="4" t="s">
        <v>49</v>
      </c>
      <c r="F699" s="5" t="s">
        <v>2895</v>
      </c>
      <c r="G699" s="5" t="s">
        <v>2896</v>
      </c>
      <c r="H699" t="s">
        <v>47</v>
      </c>
      <c r="I699" s="3">
        <v>41275</v>
      </c>
      <c r="J699" s="5" t="s">
        <v>50</v>
      </c>
      <c r="K699" t="s">
        <v>47</v>
      </c>
      <c r="L699" s="5" t="s">
        <v>60</v>
      </c>
      <c r="M699" t="s">
        <v>47</v>
      </c>
      <c r="N699" t="s">
        <v>47</v>
      </c>
      <c r="O699" t="s">
        <v>47</v>
      </c>
      <c r="P699" s="3">
        <v>41275</v>
      </c>
      <c r="Q699" s="5" t="s">
        <v>50</v>
      </c>
      <c r="R699" t="s">
        <v>47</v>
      </c>
      <c r="S699" t="s">
        <v>47</v>
      </c>
      <c r="T699" t="s">
        <v>47</v>
      </c>
      <c r="U699" t="s">
        <v>47</v>
      </c>
      <c r="V699" t="s">
        <v>47</v>
      </c>
      <c r="W699" s="3">
        <v>41275</v>
      </c>
      <c r="X699" s="5" t="s">
        <v>50</v>
      </c>
      <c r="Y699" t="s">
        <v>47</v>
      </c>
      <c r="Z699" s="3">
        <v>41275</v>
      </c>
      <c r="AA699" s="5" t="s">
        <v>50</v>
      </c>
      <c r="AB699" t="s">
        <v>47</v>
      </c>
      <c r="AC699" s="3">
        <v>41275</v>
      </c>
      <c r="AD699" s="5" t="s">
        <v>50</v>
      </c>
      <c r="AE699" t="s">
        <v>47</v>
      </c>
      <c r="AF699" t="s">
        <v>47</v>
      </c>
      <c r="AG699" t="s">
        <v>47</v>
      </c>
      <c r="AH699" t="s">
        <v>47</v>
      </c>
      <c r="AI699" t="s">
        <v>47</v>
      </c>
      <c r="AJ699" t="s">
        <v>47</v>
      </c>
      <c r="AK699" t="s">
        <v>47</v>
      </c>
      <c r="AL699" t="s">
        <v>47</v>
      </c>
      <c r="AM699" t="s">
        <v>47</v>
      </c>
      <c r="AN699" t="s">
        <v>47</v>
      </c>
      <c r="AO699" s="5" t="s">
        <v>60</v>
      </c>
      <c r="AP699" s="4" t="s">
        <v>61</v>
      </c>
      <c r="AQ699" s="4" t="s">
        <v>53</v>
      </c>
      <c r="AR699" s="4" t="s">
        <v>54</v>
      </c>
      <c r="AS699" s="5">
        <v>5529405</v>
      </c>
      <c r="AT699" t="s">
        <v>47</v>
      </c>
    </row>
    <row r="700" spans="1:46" ht="39" x14ac:dyDescent="0.3">
      <c r="A700" s="4" t="s">
        <v>2897</v>
      </c>
      <c r="B700" t="s">
        <v>47</v>
      </c>
      <c r="C700" s="4" t="s">
        <v>169</v>
      </c>
      <c r="D700" s="4" t="s">
        <v>139</v>
      </c>
      <c r="E700" s="4" t="s">
        <v>66</v>
      </c>
      <c r="F700" s="5" t="s">
        <v>2898</v>
      </c>
      <c r="G700" s="5" t="s">
        <v>2899</v>
      </c>
      <c r="H700" t="s">
        <v>47</v>
      </c>
      <c r="I700" t="s">
        <v>47</v>
      </c>
      <c r="J700" t="s">
        <v>47</v>
      </c>
      <c r="K700" t="s">
        <v>47</v>
      </c>
      <c r="L700" s="5" t="s">
        <v>60</v>
      </c>
      <c r="M700" t="s">
        <v>47</v>
      </c>
      <c r="N700" t="s">
        <v>47</v>
      </c>
      <c r="O700" t="s">
        <v>47</v>
      </c>
      <c r="P700" t="s">
        <v>47</v>
      </c>
      <c r="Q700" t="s">
        <v>47</v>
      </c>
      <c r="R700" t="s">
        <v>47</v>
      </c>
      <c r="S700" t="s">
        <v>47</v>
      </c>
      <c r="T700" t="s">
        <v>47</v>
      </c>
      <c r="U700" t="s">
        <v>47</v>
      </c>
      <c r="V700" t="s">
        <v>47</v>
      </c>
      <c r="W700" s="3">
        <v>40179</v>
      </c>
      <c r="X700" s="5" t="s">
        <v>50</v>
      </c>
      <c r="Y700" t="s">
        <v>47</v>
      </c>
      <c r="Z700" s="3">
        <v>40179</v>
      </c>
      <c r="AA700" s="5" t="s">
        <v>50</v>
      </c>
      <c r="AB700" t="s">
        <v>47</v>
      </c>
      <c r="AC700" s="3">
        <v>40179</v>
      </c>
      <c r="AD700" s="5" t="s">
        <v>50</v>
      </c>
      <c r="AE700" t="s">
        <v>47</v>
      </c>
      <c r="AF700" t="s">
        <v>47</v>
      </c>
      <c r="AG700" t="s">
        <v>47</v>
      </c>
      <c r="AH700" t="s">
        <v>47</v>
      </c>
      <c r="AI700" t="s">
        <v>47</v>
      </c>
      <c r="AJ700" t="s">
        <v>47</v>
      </c>
      <c r="AK700" t="s">
        <v>47</v>
      </c>
      <c r="AL700" t="s">
        <v>47</v>
      </c>
      <c r="AM700" t="s">
        <v>47</v>
      </c>
      <c r="AN700" t="s">
        <v>47</v>
      </c>
      <c r="AO700" s="5" t="s">
        <v>60</v>
      </c>
      <c r="AP700" s="4" t="s">
        <v>61</v>
      </c>
      <c r="AQ700" s="4" t="s">
        <v>53</v>
      </c>
      <c r="AR700" s="4" t="s">
        <v>389</v>
      </c>
      <c r="AS700" s="5">
        <v>176146</v>
      </c>
      <c r="AT700" t="s">
        <v>47</v>
      </c>
    </row>
    <row r="701" spans="1:46" ht="52" x14ac:dyDescent="0.3">
      <c r="A701" s="4" t="s">
        <v>2900</v>
      </c>
      <c r="B701" t="s">
        <v>47</v>
      </c>
      <c r="C701" s="4" t="s">
        <v>64</v>
      </c>
      <c r="D701" s="4" t="s">
        <v>2549</v>
      </c>
      <c r="E701" s="4" t="s">
        <v>66</v>
      </c>
      <c r="F701" s="5" t="s">
        <v>2901</v>
      </c>
      <c r="G701" s="5" t="s">
        <v>2902</v>
      </c>
      <c r="H701" t="s">
        <v>47</v>
      </c>
      <c r="I701" s="3">
        <v>37987</v>
      </c>
      <c r="J701" s="3">
        <v>41548</v>
      </c>
      <c r="K701" t="s">
        <v>47</v>
      </c>
      <c r="L701" s="5" t="s">
        <v>60</v>
      </c>
      <c r="M701" s="3">
        <v>37987</v>
      </c>
      <c r="N701" s="3">
        <v>41548</v>
      </c>
      <c r="O701" t="s">
        <v>47</v>
      </c>
      <c r="P701" s="3">
        <v>37987</v>
      </c>
      <c r="Q701" s="3">
        <v>41548</v>
      </c>
      <c r="R701" t="s">
        <v>47</v>
      </c>
      <c r="S701" t="s">
        <v>47</v>
      </c>
      <c r="T701" t="s">
        <v>47</v>
      </c>
      <c r="U701" t="s">
        <v>47</v>
      </c>
      <c r="V701" t="s">
        <v>47</v>
      </c>
      <c r="W701" s="3">
        <v>33239</v>
      </c>
      <c r="X701" s="5" t="s">
        <v>50</v>
      </c>
      <c r="Y701" t="s">
        <v>47</v>
      </c>
      <c r="Z701" s="3">
        <v>33239</v>
      </c>
      <c r="AA701" s="5" t="s">
        <v>50</v>
      </c>
      <c r="AB701" t="s">
        <v>47</v>
      </c>
      <c r="AC701" s="3">
        <v>37987</v>
      </c>
      <c r="AD701" s="5" t="s">
        <v>50</v>
      </c>
      <c r="AE701" t="s">
        <v>47</v>
      </c>
      <c r="AF701" t="s">
        <v>47</v>
      </c>
      <c r="AG701" t="s">
        <v>47</v>
      </c>
      <c r="AH701" t="s">
        <v>47</v>
      </c>
      <c r="AI701" t="s">
        <v>47</v>
      </c>
      <c r="AJ701" t="s">
        <v>47</v>
      </c>
      <c r="AK701" t="s">
        <v>47</v>
      </c>
      <c r="AL701" t="s">
        <v>47</v>
      </c>
      <c r="AM701" t="s">
        <v>47</v>
      </c>
      <c r="AN701" t="s">
        <v>47</v>
      </c>
      <c r="AO701" s="5" t="s">
        <v>60</v>
      </c>
      <c r="AP701" s="4" t="s">
        <v>61</v>
      </c>
      <c r="AQ701" s="4" t="s">
        <v>53</v>
      </c>
      <c r="AR701" s="4" t="s">
        <v>2903</v>
      </c>
      <c r="AS701" s="5">
        <v>48977</v>
      </c>
      <c r="AT701" t="s">
        <v>47</v>
      </c>
    </row>
    <row r="702" spans="1:46" ht="26" x14ac:dyDescent="0.3">
      <c r="A702" s="4" t="s">
        <v>2904</v>
      </c>
      <c r="B702" t="s">
        <v>47</v>
      </c>
      <c r="C702" s="4" t="s">
        <v>2905</v>
      </c>
      <c r="D702" s="4" t="s">
        <v>2906</v>
      </c>
      <c r="E702" s="4" t="s">
        <v>66</v>
      </c>
      <c r="F702" t="s">
        <v>47</v>
      </c>
      <c r="G702" s="5" t="s">
        <v>2907</v>
      </c>
      <c r="H702" t="s">
        <v>47</v>
      </c>
      <c r="I702" s="3">
        <v>40179</v>
      </c>
      <c r="J702" s="5" t="s">
        <v>50</v>
      </c>
      <c r="K702" t="s">
        <v>47</v>
      </c>
      <c r="L702" s="5" t="s">
        <v>60</v>
      </c>
      <c r="M702" s="3">
        <v>40179</v>
      </c>
      <c r="N702" s="5" t="s">
        <v>50</v>
      </c>
      <c r="O702" t="s">
        <v>47</v>
      </c>
      <c r="P702" s="3">
        <v>40179</v>
      </c>
      <c r="Q702" s="5" t="s">
        <v>50</v>
      </c>
      <c r="R702" t="s">
        <v>47</v>
      </c>
      <c r="S702" t="s">
        <v>47</v>
      </c>
      <c r="T702" t="s">
        <v>47</v>
      </c>
      <c r="U702" t="s">
        <v>47</v>
      </c>
      <c r="V702" t="s">
        <v>47</v>
      </c>
      <c r="W702" s="3">
        <v>40179</v>
      </c>
      <c r="X702" s="5" t="s">
        <v>50</v>
      </c>
      <c r="Y702" t="s">
        <v>47</v>
      </c>
      <c r="Z702" s="3">
        <v>40179</v>
      </c>
      <c r="AA702" s="5" t="s">
        <v>50</v>
      </c>
      <c r="AB702" t="s">
        <v>47</v>
      </c>
      <c r="AC702" s="3">
        <v>40179</v>
      </c>
      <c r="AD702" s="5" t="s">
        <v>50</v>
      </c>
      <c r="AE702" t="s">
        <v>47</v>
      </c>
      <c r="AF702" t="s">
        <v>47</v>
      </c>
      <c r="AG702" t="s">
        <v>47</v>
      </c>
      <c r="AH702" t="s">
        <v>47</v>
      </c>
      <c r="AI702" t="s">
        <v>47</v>
      </c>
      <c r="AJ702" t="s">
        <v>47</v>
      </c>
      <c r="AK702" t="s">
        <v>47</v>
      </c>
      <c r="AL702" t="s">
        <v>47</v>
      </c>
      <c r="AM702" t="s">
        <v>47</v>
      </c>
      <c r="AN702" t="s">
        <v>47</v>
      </c>
      <c r="AO702" s="5" t="s">
        <v>60</v>
      </c>
      <c r="AP702" s="4" t="s">
        <v>61</v>
      </c>
      <c r="AQ702" s="4" t="s">
        <v>53</v>
      </c>
      <c r="AR702" s="4" t="s">
        <v>988</v>
      </c>
      <c r="AS702" s="5">
        <v>266697</v>
      </c>
      <c r="AT702" t="s">
        <v>47</v>
      </c>
    </row>
    <row r="703" spans="1:46" ht="26" x14ac:dyDescent="0.3">
      <c r="A703" s="4" t="s">
        <v>2908</v>
      </c>
      <c r="B703" t="s">
        <v>47</v>
      </c>
      <c r="C703" s="4" t="s">
        <v>115</v>
      </c>
      <c r="D703" s="4" t="s">
        <v>559</v>
      </c>
      <c r="E703" s="4" t="s">
        <v>66</v>
      </c>
      <c r="F703" s="5" t="s">
        <v>2909</v>
      </c>
      <c r="G703" s="5" t="s">
        <v>2910</v>
      </c>
      <c r="H703" t="s">
        <v>47</v>
      </c>
      <c r="I703" s="3">
        <v>40909</v>
      </c>
      <c r="J703" s="5" t="s">
        <v>50</v>
      </c>
      <c r="K703" t="s">
        <v>47</v>
      </c>
      <c r="L703" s="5" t="s">
        <v>60</v>
      </c>
      <c r="M703" s="3">
        <v>40909</v>
      </c>
      <c r="N703" s="5" t="s">
        <v>50</v>
      </c>
      <c r="O703" t="s">
        <v>47</v>
      </c>
      <c r="P703" s="3">
        <v>40909</v>
      </c>
      <c r="Q703" s="5" t="s">
        <v>50</v>
      </c>
      <c r="R703" t="s">
        <v>47</v>
      </c>
      <c r="S703" t="s">
        <v>47</v>
      </c>
      <c r="T703" t="s">
        <v>47</v>
      </c>
      <c r="U703" t="s">
        <v>47</v>
      </c>
      <c r="V703" s="5">
        <v>365</v>
      </c>
      <c r="W703" s="3">
        <v>40909</v>
      </c>
      <c r="X703" s="5" t="s">
        <v>50</v>
      </c>
      <c r="Y703" t="s">
        <v>47</v>
      </c>
      <c r="Z703" s="3">
        <v>40909</v>
      </c>
      <c r="AA703" s="5" t="s">
        <v>50</v>
      </c>
      <c r="AB703" t="s">
        <v>47</v>
      </c>
      <c r="AC703" s="3">
        <v>40909</v>
      </c>
      <c r="AD703" s="5" t="s">
        <v>50</v>
      </c>
      <c r="AE703" t="s">
        <v>47</v>
      </c>
      <c r="AF703" t="s">
        <v>47</v>
      </c>
      <c r="AG703" t="s">
        <v>47</v>
      </c>
      <c r="AH703" t="s">
        <v>47</v>
      </c>
      <c r="AI703" t="s">
        <v>47</v>
      </c>
      <c r="AJ703" t="s">
        <v>47</v>
      </c>
      <c r="AK703" t="s">
        <v>47</v>
      </c>
      <c r="AL703" t="s">
        <v>47</v>
      </c>
      <c r="AM703" t="s">
        <v>47</v>
      </c>
      <c r="AN703" t="s">
        <v>47</v>
      </c>
      <c r="AO703" s="5" t="s">
        <v>60</v>
      </c>
      <c r="AP703" s="4" t="s">
        <v>61</v>
      </c>
      <c r="AQ703" s="4" t="s">
        <v>53</v>
      </c>
      <c r="AR703" s="4" t="s">
        <v>54</v>
      </c>
      <c r="AS703" s="5">
        <v>1396349</v>
      </c>
      <c r="AT703" t="s">
        <v>47</v>
      </c>
    </row>
    <row r="704" spans="1:46" ht="26" x14ac:dyDescent="0.3">
      <c r="A704" s="4" t="s">
        <v>2911</v>
      </c>
      <c r="B704" t="s">
        <v>47</v>
      </c>
      <c r="C704" s="4" t="s">
        <v>2803</v>
      </c>
      <c r="D704" s="4" t="s">
        <v>535</v>
      </c>
      <c r="E704" s="4" t="s">
        <v>535</v>
      </c>
      <c r="F704" s="5" t="s">
        <v>2912</v>
      </c>
      <c r="G704" s="5" t="s">
        <v>2913</v>
      </c>
      <c r="H704" t="s">
        <v>47</v>
      </c>
      <c r="I704" s="3">
        <v>40087</v>
      </c>
      <c r="J704" s="3">
        <v>44105</v>
      </c>
      <c r="K704" t="s">
        <v>47</v>
      </c>
      <c r="L704" s="5" t="s">
        <v>60</v>
      </c>
      <c r="M704" t="s">
        <v>47</v>
      </c>
      <c r="N704" t="s">
        <v>47</v>
      </c>
      <c r="O704" t="s">
        <v>47</v>
      </c>
      <c r="P704" s="3">
        <v>40087</v>
      </c>
      <c r="Q704" s="3">
        <v>44105</v>
      </c>
      <c r="R704" t="s">
        <v>47</v>
      </c>
      <c r="S704" t="s">
        <v>47</v>
      </c>
      <c r="T704" t="s">
        <v>47</v>
      </c>
      <c r="U704" t="s">
        <v>47</v>
      </c>
      <c r="V704" t="s">
        <v>47</v>
      </c>
      <c r="W704" s="3">
        <v>40087</v>
      </c>
      <c r="X704" s="5" t="s">
        <v>50</v>
      </c>
      <c r="Y704" t="s">
        <v>47</v>
      </c>
      <c r="Z704" s="3">
        <v>40087</v>
      </c>
      <c r="AA704" s="5" t="s">
        <v>50</v>
      </c>
      <c r="AB704" t="s">
        <v>47</v>
      </c>
      <c r="AC704" s="3">
        <v>40087</v>
      </c>
      <c r="AD704" s="3">
        <v>44105</v>
      </c>
      <c r="AE704" t="s">
        <v>47</v>
      </c>
      <c r="AF704" t="s">
        <v>47</v>
      </c>
      <c r="AG704" t="s">
        <v>47</v>
      </c>
      <c r="AH704" t="s">
        <v>47</v>
      </c>
      <c r="AI704" t="s">
        <v>47</v>
      </c>
      <c r="AJ704" t="s">
        <v>47</v>
      </c>
      <c r="AK704" t="s">
        <v>47</v>
      </c>
      <c r="AL704" t="s">
        <v>47</v>
      </c>
      <c r="AM704" t="s">
        <v>47</v>
      </c>
      <c r="AN704" t="s">
        <v>47</v>
      </c>
      <c r="AO704" s="5" t="s">
        <v>60</v>
      </c>
      <c r="AP704" s="4" t="s">
        <v>61</v>
      </c>
      <c r="AQ704" s="4" t="s">
        <v>53</v>
      </c>
      <c r="AR704" s="4" t="s">
        <v>2764</v>
      </c>
      <c r="AS704" s="5">
        <v>2026674</v>
      </c>
      <c r="AT704" s="4" t="s">
        <v>2914</v>
      </c>
    </row>
    <row r="705" spans="1:46" ht="26" x14ac:dyDescent="0.3">
      <c r="A705" s="4" t="s">
        <v>2915</v>
      </c>
      <c r="B705" t="s">
        <v>47</v>
      </c>
      <c r="C705" s="4" t="s">
        <v>2916</v>
      </c>
      <c r="D705" s="4" t="s">
        <v>2917</v>
      </c>
      <c r="E705" s="4" t="s">
        <v>2918</v>
      </c>
      <c r="F705" s="5" t="s">
        <v>2919</v>
      </c>
      <c r="G705" t="s">
        <v>47</v>
      </c>
      <c r="H705" t="s">
        <v>47</v>
      </c>
      <c r="I705" s="3">
        <v>39083</v>
      </c>
      <c r="J705" s="5" t="s">
        <v>50</v>
      </c>
      <c r="K705" t="s">
        <v>47</v>
      </c>
      <c r="L705" s="5" t="s">
        <v>60</v>
      </c>
      <c r="M705" t="s">
        <v>47</v>
      </c>
      <c r="N705" t="s">
        <v>47</v>
      </c>
      <c r="O705" t="s">
        <v>47</v>
      </c>
      <c r="P705" s="3">
        <v>39083</v>
      </c>
      <c r="Q705" s="5" t="s">
        <v>50</v>
      </c>
      <c r="R705" t="s">
        <v>47</v>
      </c>
      <c r="S705" t="s">
        <v>47</v>
      </c>
      <c r="T705" t="s">
        <v>47</v>
      </c>
      <c r="U705" t="s">
        <v>47</v>
      </c>
      <c r="V705" t="s">
        <v>47</v>
      </c>
      <c r="W705" s="3">
        <v>39083</v>
      </c>
      <c r="X705" s="5" t="s">
        <v>50</v>
      </c>
      <c r="Y705" t="s">
        <v>47</v>
      </c>
      <c r="Z705" s="3">
        <v>39083</v>
      </c>
      <c r="AA705" s="5" t="s">
        <v>50</v>
      </c>
      <c r="AB705" t="s">
        <v>47</v>
      </c>
      <c r="AC705" s="3">
        <v>39083</v>
      </c>
      <c r="AD705" s="5" t="s">
        <v>50</v>
      </c>
      <c r="AE705" t="s">
        <v>47</v>
      </c>
      <c r="AF705" t="s">
        <v>47</v>
      </c>
      <c r="AG705" t="s">
        <v>47</v>
      </c>
      <c r="AH705" t="s">
        <v>47</v>
      </c>
      <c r="AI705" t="s">
        <v>47</v>
      </c>
      <c r="AJ705" t="s">
        <v>47</v>
      </c>
      <c r="AK705" t="s">
        <v>47</v>
      </c>
      <c r="AL705" t="s">
        <v>47</v>
      </c>
      <c r="AM705" t="s">
        <v>47</v>
      </c>
      <c r="AN705" t="s">
        <v>47</v>
      </c>
      <c r="AO705" s="5" t="s">
        <v>60</v>
      </c>
      <c r="AP705" s="4" t="s">
        <v>61</v>
      </c>
      <c r="AQ705" s="4" t="s">
        <v>53</v>
      </c>
      <c r="AR705" s="4" t="s">
        <v>54</v>
      </c>
      <c r="AS705" s="5">
        <v>5465964</v>
      </c>
      <c r="AT705" t="s">
        <v>47</v>
      </c>
    </row>
    <row r="706" spans="1:46" ht="39" x14ac:dyDescent="0.3">
      <c r="A706" s="4" t="s">
        <v>2920</v>
      </c>
      <c r="B706" t="s">
        <v>47</v>
      </c>
      <c r="C706" s="4" t="s">
        <v>2921</v>
      </c>
      <c r="D706" s="4" t="s">
        <v>631</v>
      </c>
      <c r="E706" s="4" t="s">
        <v>58</v>
      </c>
      <c r="F706" s="5" t="s">
        <v>2922</v>
      </c>
      <c r="G706" t="s">
        <v>47</v>
      </c>
      <c r="H706" t="s">
        <v>47</v>
      </c>
      <c r="I706" s="3">
        <v>37257</v>
      </c>
      <c r="J706" s="5" t="s">
        <v>50</v>
      </c>
      <c r="K706" t="s">
        <v>47</v>
      </c>
      <c r="L706" s="5" t="s">
        <v>60</v>
      </c>
      <c r="M706" s="3">
        <v>37257</v>
      </c>
      <c r="N706" s="5" t="s">
        <v>50</v>
      </c>
      <c r="O706" t="s">
        <v>47</v>
      </c>
      <c r="P706" s="3">
        <v>37257</v>
      </c>
      <c r="Q706" s="5" t="s">
        <v>50</v>
      </c>
      <c r="R706" t="s">
        <v>47</v>
      </c>
      <c r="S706" t="s">
        <v>47</v>
      </c>
      <c r="T706" t="s">
        <v>47</v>
      </c>
      <c r="U706" t="s">
        <v>47</v>
      </c>
      <c r="V706" t="s">
        <v>47</v>
      </c>
      <c r="W706" s="3">
        <v>37257</v>
      </c>
      <c r="X706" s="5" t="s">
        <v>50</v>
      </c>
      <c r="Y706" t="s">
        <v>47</v>
      </c>
      <c r="Z706" s="3">
        <v>37257</v>
      </c>
      <c r="AA706" s="5" t="s">
        <v>50</v>
      </c>
      <c r="AB706" t="s">
        <v>47</v>
      </c>
      <c r="AC706" s="3">
        <v>37257</v>
      </c>
      <c r="AD706" s="5" t="s">
        <v>50</v>
      </c>
      <c r="AE706" t="s">
        <v>47</v>
      </c>
      <c r="AF706" t="s">
        <v>47</v>
      </c>
      <c r="AG706" t="s">
        <v>47</v>
      </c>
      <c r="AH706" t="s">
        <v>47</v>
      </c>
      <c r="AI706" t="s">
        <v>47</v>
      </c>
      <c r="AJ706" t="s">
        <v>47</v>
      </c>
      <c r="AK706" t="s">
        <v>47</v>
      </c>
      <c r="AL706" t="s">
        <v>47</v>
      </c>
      <c r="AM706" t="s">
        <v>47</v>
      </c>
      <c r="AN706" t="s">
        <v>47</v>
      </c>
      <c r="AO706" s="5" t="s">
        <v>60</v>
      </c>
      <c r="AP706" s="4" t="s">
        <v>61</v>
      </c>
      <c r="AQ706" s="4" t="s">
        <v>53</v>
      </c>
      <c r="AR706" s="4" t="s">
        <v>2923</v>
      </c>
      <c r="AS706" s="5">
        <v>2031821</v>
      </c>
      <c r="AT706" t="s">
        <v>47</v>
      </c>
    </row>
    <row r="707" spans="1:46" ht="65" x14ac:dyDescent="0.3">
      <c r="A707" s="4" t="s">
        <v>2924</v>
      </c>
      <c r="B707" t="s">
        <v>47</v>
      </c>
      <c r="C707" s="4" t="s">
        <v>2515</v>
      </c>
      <c r="D707" s="4" t="s">
        <v>2925</v>
      </c>
      <c r="E707" s="4" t="s">
        <v>723</v>
      </c>
      <c r="F707" s="5" t="s">
        <v>2926</v>
      </c>
      <c r="G707" s="5" t="s">
        <v>2927</v>
      </c>
      <c r="H707" t="s">
        <v>47</v>
      </c>
      <c r="I707" s="3">
        <v>40909</v>
      </c>
      <c r="J707" s="3">
        <v>43831</v>
      </c>
      <c r="K707" s="5" t="s">
        <v>2928</v>
      </c>
      <c r="L707" s="5" t="s">
        <v>60</v>
      </c>
      <c r="M707" t="s">
        <v>47</v>
      </c>
      <c r="N707" t="s">
        <v>47</v>
      </c>
      <c r="O707" t="s">
        <v>47</v>
      </c>
      <c r="P707" s="3">
        <v>40909</v>
      </c>
      <c r="Q707" s="3">
        <v>43831</v>
      </c>
      <c r="R707" s="5" t="s">
        <v>2928</v>
      </c>
      <c r="S707" t="s">
        <v>47</v>
      </c>
      <c r="T707" t="s">
        <v>47</v>
      </c>
      <c r="U707" t="s">
        <v>47</v>
      </c>
      <c r="V707" t="s">
        <v>47</v>
      </c>
      <c r="W707" s="3">
        <v>40909</v>
      </c>
      <c r="X707" s="5" t="s">
        <v>50</v>
      </c>
      <c r="Y707" s="5" t="s">
        <v>2928</v>
      </c>
      <c r="Z707" s="3">
        <v>40909</v>
      </c>
      <c r="AA707" s="5" t="s">
        <v>50</v>
      </c>
      <c r="AB707" s="5" t="s">
        <v>2928</v>
      </c>
      <c r="AC707" s="3">
        <v>40909</v>
      </c>
      <c r="AD707" s="5" t="s">
        <v>50</v>
      </c>
      <c r="AE707" s="5" t="s">
        <v>2928</v>
      </c>
      <c r="AF707" t="s">
        <v>47</v>
      </c>
      <c r="AG707" t="s">
        <v>47</v>
      </c>
      <c r="AH707" t="s">
        <v>47</v>
      </c>
      <c r="AI707" t="s">
        <v>47</v>
      </c>
      <c r="AJ707" t="s">
        <v>47</v>
      </c>
      <c r="AK707" t="s">
        <v>47</v>
      </c>
      <c r="AL707" t="s">
        <v>47</v>
      </c>
      <c r="AM707" t="s">
        <v>47</v>
      </c>
      <c r="AN707" t="s">
        <v>47</v>
      </c>
      <c r="AO707" s="5" t="s">
        <v>60</v>
      </c>
      <c r="AP707" s="4" t="s">
        <v>61</v>
      </c>
      <c r="AQ707" s="4" t="s">
        <v>53</v>
      </c>
      <c r="AR707" s="4" t="s">
        <v>2929</v>
      </c>
      <c r="AS707" s="5">
        <v>2038902</v>
      </c>
      <c r="AT707" t="s">
        <v>47</v>
      </c>
    </row>
    <row r="708" spans="1:46" ht="39" x14ac:dyDescent="0.3">
      <c r="A708" s="4" t="s">
        <v>2930</v>
      </c>
      <c r="B708" t="s">
        <v>47</v>
      </c>
      <c r="C708" s="4" t="s">
        <v>2683</v>
      </c>
      <c r="D708" s="4" t="s">
        <v>2761</v>
      </c>
      <c r="E708" s="4" t="s">
        <v>49</v>
      </c>
      <c r="F708" s="5" t="s">
        <v>2931</v>
      </c>
      <c r="G708" s="5" t="s">
        <v>2932</v>
      </c>
      <c r="H708" t="s">
        <v>47</v>
      </c>
      <c r="I708" s="3">
        <v>40544</v>
      </c>
      <c r="J708" s="5" t="s">
        <v>50</v>
      </c>
      <c r="K708" s="5" t="s">
        <v>2933</v>
      </c>
      <c r="L708" s="5" t="s">
        <v>60</v>
      </c>
      <c r="M708" t="s">
        <v>47</v>
      </c>
      <c r="N708" t="s">
        <v>47</v>
      </c>
      <c r="O708" t="s">
        <v>47</v>
      </c>
      <c r="P708" s="3">
        <v>40544</v>
      </c>
      <c r="Q708" s="5" t="s">
        <v>50</v>
      </c>
      <c r="R708" s="5" t="s">
        <v>2933</v>
      </c>
      <c r="S708" t="s">
        <v>47</v>
      </c>
      <c r="T708" t="s">
        <v>47</v>
      </c>
      <c r="U708" t="s">
        <v>47</v>
      </c>
      <c r="V708" t="s">
        <v>47</v>
      </c>
      <c r="W708" s="3">
        <v>40544</v>
      </c>
      <c r="X708" s="5" t="s">
        <v>50</v>
      </c>
      <c r="Y708" s="5" t="s">
        <v>450</v>
      </c>
      <c r="Z708" s="3">
        <v>40544</v>
      </c>
      <c r="AA708" s="5" t="s">
        <v>50</v>
      </c>
      <c r="AB708" s="5" t="s">
        <v>450</v>
      </c>
      <c r="AC708" s="3">
        <v>40544</v>
      </c>
      <c r="AD708" s="5" t="s">
        <v>50</v>
      </c>
      <c r="AE708" s="5" t="s">
        <v>450</v>
      </c>
      <c r="AF708" t="s">
        <v>47</v>
      </c>
      <c r="AG708" t="s">
        <v>47</v>
      </c>
      <c r="AH708" t="s">
        <v>47</v>
      </c>
      <c r="AI708" t="s">
        <v>47</v>
      </c>
      <c r="AJ708" t="s">
        <v>47</v>
      </c>
      <c r="AK708" t="s">
        <v>47</v>
      </c>
      <c r="AL708" t="s">
        <v>47</v>
      </c>
      <c r="AM708" t="s">
        <v>47</v>
      </c>
      <c r="AN708" t="s">
        <v>47</v>
      </c>
      <c r="AO708" s="5" t="s">
        <v>60</v>
      </c>
      <c r="AP708" s="4" t="s">
        <v>61</v>
      </c>
      <c r="AQ708" s="4" t="s">
        <v>53</v>
      </c>
      <c r="AR708" s="4" t="s">
        <v>2934</v>
      </c>
      <c r="AS708" s="5">
        <v>2029143</v>
      </c>
      <c r="AT708" t="s">
        <v>47</v>
      </c>
    </row>
    <row r="709" spans="1:46" ht="65" x14ac:dyDescent="0.3">
      <c r="A709" s="4" t="s">
        <v>2935</v>
      </c>
      <c r="B709" t="s">
        <v>47</v>
      </c>
      <c r="C709" s="4" t="s">
        <v>169</v>
      </c>
      <c r="D709" s="4" t="s">
        <v>2936</v>
      </c>
      <c r="E709" s="4" t="s">
        <v>66</v>
      </c>
      <c r="F709" s="5" t="s">
        <v>2937</v>
      </c>
      <c r="G709" s="5" t="s">
        <v>2938</v>
      </c>
      <c r="H709" t="s">
        <v>47</v>
      </c>
      <c r="I709" s="3">
        <v>38596</v>
      </c>
      <c r="J709" s="3">
        <v>42705</v>
      </c>
      <c r="K709" t="s">
        <v>47</v>
      </c>
      <c r="L709" s="5" t="s">
        <v>60</v>
      </c>
      <c r="M709" s="3">
        <v>38596</v>
      </c>
      <c r="N709" s="3">
        <v>42705</v>
      </c>
      <c r="O709" t="s">
        <v>47</v>
      </c>
      <c r="P709" s="3">
        <v>38596</v>
      </c>
      <c r="Q709" s="3">
        <v>42705</v>
      </c>
      <c r="R709" t="s">
        <v>47</v>
      </c>
      <c r="S709" t="s">
        <v>47</v>
      </c>
      <c r="T709" t="s">
        <v>47</v>
      </c>
      <c r="U709" t="s">
        <v>47</v>
      </c>
      <c r="V709" t="s">
        <v>47</v>
      </c>
      <c r="W709" s="3">
        <v>38596</v>
      </c>
      <c r="X709" s="3">
        <v>42705</v>
      </c>
      <c r="Y709" t="s">
        <v>47</v>
      </c>
      <c r="Z709" s="3">
        <v>38596</v>
      </c>
      <c r="AA709" s="3">
        <v>42705</v>
      </c>
      <c r="AB709" t="s">
        <v>47</v>
      </c>
      <c r="AC709" s="3">
        <v>38596</v>
      </c>
      <c r="AD709" s="3">
        <v>42705</v>
      </c>
      <c r="AE709" t="s">
        <v>47</v>
      </c>
      <c r="AF709" t="s">
        <v>47</v>
      </c>
      <c r="AG709" t="s">
        <v>47</v>
      </c>
      <c r="AH709" t="s">
        <v>47</v>
      </c>
      <c r="AI709" t="s">
        <v>47</v>
      </c>
      <c r="AJ709" t="s">
        <v>47</v>
      </c>
      <c r="AK709" t="s">
        <v>47</v>
      </c>
      <c r="AL709" t="s">
        <v>47</v>
      </c>
      <c r="AM709" t="s">
        <v>47</v>
      </c>
      <c r="AN709" t="s">
        <v>47</v>
      </c>
      <c r="AO709" s="5" t="s">
        <v>60</v>
      </c>
      <c r="AP709" s="4" t="s">
        <v>61</v>
      </c>
      <c r="AQ709" s="4" t="s">
        <v>53</v>
      </c>
      <c r="AR709" s="4" t="s">
        <v>543</v>
      </c>
      <c r="AS709" s="5">
        <v>75986</v>
      </c>
      <c r="AT709" t="s">
        <v>47</v>
      </c>
    </row>
    <row r="710" spans="1:46" ht="65" x14ac:dyDescent="0.3">
      <c r="A710" s="4" t="s">
        <v>2939</v>
      </c>
      <c r="B710" t="s">
        <v>47</v>
      </c>
      <c r="C710" s="4" t="s">
        <v>2689</v>
      </c>
      <c r="D710" s="4" t="s">
        <v>2200</v>
      </c>
      <c r="E710" s="4" t="s">
        <v>49</v>
      </c>
      <c r="F710" s="5" t="s">
        <v>2940</v>
      </c>
      <c r="G710" s="5" t="s">
        <v>2941</v>
      </c>
      <c r="H710" t="s">
        <v>47</v>
      </c>
      <c r="I710" s="3">
        <v>41275</v>
      </c>
      <c r="J710" s="5" t="s">
        <v>50</v>
      </c>
      <c r="K710" t="s">
        <v>47</v>
      </c>
      <c r="L710" s="5" t="s">
        <v>60</v>
      </c>
      <c r="M710" t="s">
        <v>47</v>
      </c>
      <c r="N710" t="s">
        <v>47</v>
      </c>
      <c r="O710" t="s">
        <v>47</v>
      </c>
      <c r="P710" s="3">
        <v>41275</v>
      </c>
      <c r="Q710" s="5" t="s">
        <v>50</v>
      </c>
      <c r="R710" t="s">
        <v>47</v>
      </c>
      <c r="S710" t="s">
        <v>47</v>
      </c>
      <c r="T710" t="s">
        <v>47</v>
      </c>
      <c r="U710" t="s">
        <v>47</v>
      </c>
      <c r="V710" t="s">
        <v>47</v>
      </c>
      <c r="W710" s="3">
        <v>41275</v>
      </c>
      <c r="X710" s="5" t="s">
        <v>50</v>
      </c>
      <c r="Y710" t="s">
        <v>47</v>
      </c>
      <c r="Z710" s="3">
        <v>41275</v>
      </c>
      <c r="AA710" s="5" t="s">
        <v>50</v>
      </c>
      <c r="AB710" t="s">
        <v>47</v>
      </c>
      <c r="AC710" s="3">
        <v>41275</v>
      </c>
      <c r="AD710" s="5" t="s">
        <v>50</v>
      </c>
      <c r="AE710" t="s">
        <v>47</v>
      </c>
      <c r="AF710" t="s">
        <v>47</v>
      </c>
      <c r="AG710" t="s">
        <v>47</v>
      </c>
      <c r="AH710" t="s">
        <v>47</v>
      </c>
      <c r="AI710" t="s">
        <v>47</v>
      </c>
      <c r="AJ710" t="s">
        <v>47</v>
      </c>
      <c r="AK710" t="s">
        <v>47</v>
      </c>
      <c r="AL710" t="s">
        <v>47</v>
      </c>
      <c r="AM710" t="s">
        <v>47</v>
      </c>
      <c r="AN710" t="s">
        <v>47</v>
      </c>
      <c r="AO710" s="5" t="s">
        <v>60</v>
      </c>
      <c r="AP710" s="4" t="s">
        <v>61</v>
      </c>
      <c r="AQ710" s="4" t="s">
        <v>53</v>
      </c>
      <c r="AR710" s="4" t="s">
        <v>543</v>
      </c>
      <c r="AS710" s="5">
        <v>5529397</v>
      </c>
      <c r="AT710" t="s">
        <v>47</v>
      </c>
    </row>
    <row r="711" spans="1:46" ht="26" x14ac:dyDescent="0.3">
      <c r="A711" s="4" t="s">
        <v>2942</v>
      </c>
      <c r="B711" t="s">
        <v>47</v>
      </c>
      <c r="C711" s="4" t="s">
        <v>169</v>
      </c>
      <c r="D711" s="4" t="s">
        <v>339</v>
      </c>
      <c r="E711" s="4" t="s">
        <v>66</v>
      </c>
      <c r="F711" s="5" t="s">
        <v>2943</v>
      </c>
      <c r="G711" t="s">
        <v>47</v>
      </c>
      <c r="H711" t="s">
        <v>47</v>
      </c>
      <c r="I711" t="s">
        <v>47</v>
      </c>
      <c r="J711" t="s">
        <v>47</v>
      </c>
      <c r="K711" t="s">
        <v>47</v>
      </c>
      <c r="L711" s="5" t="s">
        <v>60</v>
      </c>
      <c r="M711" t="s">
        <v>47</v>
      </c>
      <c r="N711" t="s">
        <v>47</v>
      </c>
      <c r="O711" t="s">
        <v>47</v>
      </c>
      <c r="P711" t="s">
        <v>47</v>
      </c>
      <c r="Q711" t="s">
        <v>47</v>
      </c>
      <c r="R711" t="s">
        <v>47</v>
      </c>
      <c r="S711" t="s">
        <v>47</v>
      </c>
      <c r="T711" t="s">
        <v>47</v>
      </c>
      <c r="U711" t="s">
        <v>47</v>
      </c>
      <c r="V711" t="s">
        <v>47</v>
      </c>
      <c r="W711" s="3">
        <v>40940</v>
      </c>
      <c r="X711" s="5" t="s">
        <v>50</v>
      </c>
      <c r="Y711" t="s">
        <v>47</v>
      </c>
      <c r="Z711" s="3">
        <v>40940</v>
      </c>
      <c r="AA711" s="5" t="s">
        <v>50</v>
      </c>
      <c r="AB711" t="s">
        <v>47</v>
      </c>
      <c r="AC711" s="3">
        <v>40940</v>
      </c>
      <c r="AD711" s="5" t="s">
        <v>50</v>
      </c>
      <c r="AE711" t="s">
        <v>47</v>
      </c>
      <c r="AF711" t="s">
        <v>47</v>
      </c>
      <c r="AG711" t="s">
        <v>47</v>
      </c>
      <c r="AH711" t="s">
        <v>47</v>
      </c>
      <c r="AI711" t="s">
        <v>47</v>
      </c>
      <c r="AJ711" t="s">
        <v>47</v>
      </c>
      <c r="AK711" t="s">
        <v>47</v>
      </c>
      <c r="AL711" t="s">
        <v>47</v>
      </c>
      <c r="AM711" t="s">
        <v>47</v>
      </c>
      <c r="AN711" t="s">
        <v>47</v>
      </c>
      <c r="AO711" s="5" t="s">
        <v>60</v>
      </c>
      <c r="AP711" s="4" t="s">
        <v>61</v>
      </c>
      <c r="AQ711" s="4" t="s">
        <v>53</v>
      </c>
      <c r="AR711" s="4" t="s">
        <v>54</v>
      </c>
      <c r="AS711" s="5">
        <v>53173</v>
      </c>
      <c r="AT711" t="s">
        <v>47</v>
      </c>
    </row>
    <row r="712" spans="1:46" ht="78" x14ac:dyDescent="0.3">
      <c r="A712" s="4" t="s">
        <v>2944</v>
      </c>
      <c r="B712" t="s">
        <v>47</v>
      </c>
      <c r="C712" s="4" t="s">
        <v>2551</v>
      </c>
      <c r="D712" s="4" t="s">
        <v>319</v>
      </c>
      <c r="E712" s="4" t="s">
        <v>49</v>
      </c>
      <c r="F712" s="5" t="s">
        <v>2945</v>
      </c>
      <c r="G712" s="5" t="s">
        <v>2946</v>
      </c>
      <c r="H712" t="s">
        <v>47</v>
      </c>
      <c r="I712" t="s">
        <v>47</v>
      </c>
      <c r="J712" t="s">
        <v>47</v>
      </c>
      <c r="K712" t="s">
        <v>47</v>
      </c>
      <c r="L712" s="5" t="s">
        <v>60</v>
      </c>
      <c r="M712" t="s">
        <v>47</v>
      </c>
      <c r="N712" t="s">
        <v>47</v>
      </c>
      <c r="O712" t="s">
        <v>47</v>
      </c>
      <c r="P712" t="s">
        <v>47</v>
      </c>
      <c r="Q712" t="s">
        <v>47</v>
      </c>
      <c r="R712" t="s">
        <v>47</v>
      </c>
      <c r="S712" t="s">
        <v>47</v>
      </c>
      <c r="T712" t="s">
        <v>47</v>
      </c>
      <c r="U712" t="s">
        <v>47</v>
      </c>
      <c r="V712" t="s">
        <v>47</v>
      </c>
      <c r="W712" s="3">
        <v>38047</v>
      </c>
      <c r="X712" s="5" t="s">
        <v>50</v>
      </c>
      <c r="Y712" t="s">
        <v>47</v>
      </c>
      <c r="Z712" s="3">
        <v>38047</v>
      </c>
      <c r="AA712" s="5" t="s">
        <v>50</v>
      </c>
      <c r="AB712" t="s">
        <v>47</v>
      </c>
      <c r="AC712" s="3">
        <v>38047</v>
      </c>
      <c r="AD712" s="5" t="s">
        <v>50</v>
      </c>
      <c r="AE712" t="s">
        <v>47</v>
      </c>
      <c r="AF712" t="s">
        <v>47</v>
      </c>
      <c r="AG712" t="s">
        <v>47</v>
      </c>
      <c r="AH712" t="s">
        <v>47</v>
      </c>
      <c r="AI712" t="s">
        <v>47</v>
      </c>
      <c r="AJ712" t="s">
        <v>47</v>
      </c>
      <c r="AK712" t="s">
        <v>47</v>
      </c>
      <c r="AL712" t="s">
        <v>47</v>
      </c>
      <c r="AM712" t="s">
        <v>47</v>
      </c>
      <c r="AN712" t="s">
        <v>47</v>
      </c>
      <c r="AO712" s="5" t="s">
        <v>60</v>
      </c>
      <c r="AP712" s="4" t="s">
        <v>61</v>
      </c>
      <c r="AQ712" s="4" t="s">
        <v>53</v>
      </c>
      <c r="AR712" s="4" t="s">
        <v>436</v>
      </c>
      <c r="AS712" s="5">
        <v>32485</v>
      </c>
      <c r="AT712" t="s">
        <v>47</v>
      </c>
    </row>
    <row r="713" spans="1:46" ht="26" x14ac:dyDescent="0.3">
      <c r="A713" s="4" t="s">
        <v>2947</v>
      </c>
      <c r="B713" t="s">
        <v>47</v>
      </c>
      <c r="C713" s="4" t="s">
        <v>169</v>
      </c>
      <c r="D713" s="4" t="s">
        <v>748</v>
      </c>
      <c r="E713" s="4" t="s">
        <v>66</v>
      </c>
      <c r="F713" s="5" t="s">
        <v>2948</v>
      </c>
      <c r="G713" s="5" t="s">
        <v>2949</v>
      </c>
      <c r="H713" t="s">
        <v>47</v>
      </c>
      <c r="I713" s="3">
        <v>35431</v>
      </c>
      <c r="J713" s="3">
        <v>36526</v>
      </c>
      <c r="K713" t="s">
        <v>47</v>
      </c>
      <c r="L713" s="5" t="s">
        <v>60</v>
      </c>
      <c r="M713" s="3">
        <v>35431</v>
      </c>
      <c r="N713" s="3">
        <v>36526</v>
      </c>
      <c r="O713" t="s">
        <v>47</v>
      </c>
      <c r="P713" s="3">
        <v>35431</v>
      </c>
      <c r="Q713" s="3">
        <v>36526</v>
      </c>
      <c r="R713" t="s">
        <v>47</v>
      </c>
      <c r="S713" t="s">
        <v>47</v>
      </c>
      <c r="T713" t="s">
        <v>47</v>
      </c>
      <c r="U713" t="s">
        <v>47</v>
      </c>
      <c r="V713" t="s">
        <v>47</v>
      </c>
      <c r="W713" s="3">
        <v>35431</v>
      </c>
      <c r="X713" s="5" t="s">
        <v>50</v>
      </c>
      <c r="Y713" s="5" t="s">
        <v>2144</v>
      </c>
      <c r="Z713" s="3">
        <v>35431</v>
      </c>
      <c r="AA713" s="5" t="s">
        <v>50</v>
      </c>
      <c r="AB713" s="5" t="s">
        <v>2144</v>
      </c>
      <c r="AC713" s="3">
        <v>41000</v>
      </c>
      <c r="AD713" s="5" t="s">
        <v>50</v>
      </c>
      <c r="AE713" t="s">
        <v>47</v>
      </c>
      <c r="AF713" t="s">
        <v>47</v>
      </c>
      <c r="AG713" t="s">
        <v>47</v>
      </c>
      <c r="AH713" t="s">
        <v>47</v>
      </c>
      <c r="AI713" t="s">
        <v>47</v>
      </c>
      <c r="AJ713" t="s">
        <v>47</v>
      </c>
      <c r="AK713" t="s">
        <v>47</v>
      </c>
      <c r="AL713" t="s">
        <v>47</v>
      </c>
      <c r="AM713" t="s">
        <v>47</v>
      </c>
      <c r="AN713" t="s">
        <v>47</v>
      </c>
      <c r="AO713" s="5" t="s">
        <v>60</v>
      </c>
      <c r="AP713" s="4" t="s">
        <v>61</v>
      </c>
      <c r="AQ713" s="4" t="s">
        <v>53</v>
      </c>
      <c r="AR713" s="4" t="s">
        <v>54</v>
      </c>
      <c r="AS713" s="5">
        <v>28761</v>
      </c>
      <c r="AT713" t="s">
        <v>47</v>
      </c>
    </row>
    <row r="714" spans="1:46" ht="104" x14ac:dyDescent="0.3">
      <c r="A714" s="4" t="s">
        <v>2950</v>
      </c>
      <c r="B714" t="s">
        <v>47</v>
      </c>
      <c r="C714" s="4" t="s">
        <v>122</v>
      </c>
      <c r="D714" s="4" t="s">
        <v>575</v>
      </c>
      <c r="E714" s="4" t="s">
        <v>123</v>
      </c>
      <c r="F714" t="s">
        <v>47</v>
      </c>
      <c r="G714" s="5" t="s">
        <v>2951</v>
      </c>
      <c r="H714" t="s">
        <v>47</v>
      </c>
      <c r="I714" s="3">
        <v>41852</v>
      </c>
      <c r="J714" s="5" t="s">
        <v>50</v>
      </c>
      <c r="K714" t="s">
        <v>47</v>
      </c>
      <c r="L714" s="5" t="s">
        <v>60</v>
      </c>
      <c r="M714" s="3">
        <v>41852</v>
      </c>
      <c r="N714" s="3">
        <v>42767</v>
      </c>
      <c r="O714" t="s">
        <v>47</v>
      </c>
      <c r="P714" s="3">
        <v>41852</v>
      </c>
      <c r="Q714" s="5" t="s">
        <v>50</v>
      </c>
      <c r="R714" t="s">
        <v>47</v>
      </c>
      <c r="S714" t="s">
        <v>47</v>
      </c>
      <c r="T714" t="s">
        <v>47</v>
      </c>
      <c r="U714" t="s">
        <v>47</v>
      </c>
      <c r="V714" t="s">
        <v>47</v>
      </c>
      <c r="W714" s="3">
        <v>41852</v>
      </c>
      <c r="X714" s="5" t="s">
        <v>50</v>
      </c>
      <c r="Y714" t="s">
        <v>47</v>
      </c>
      <c r="Z714" s="3">
        <v>41852</v>
      </c>
      <c r="AA714" s="5" t="s">
        <v>50</v>
      </c>
      <c r="AB714" t="s">
        <v>47</v>
      </c>
      <c r="AC714" s="3">
        <v>41852</v>
      </c>
      <c r="AD714" s="5" t="s">
        <v>50</v>
      </c>
      <c r="AE714" t="s">
        <v>47</v>
      </c>
      <c r="AF714" t="s">
        <v>47</v>
      </c>
      <c r="AG714" t="s">
        <v>47</v>
      </c>
      <c r="AH714" t="s">
        <v>47</v>
      </c>
      <c r="AI714" t="s">
        <v>47</v>
      </c>
      <c r="AJ714" t="s">
        <v>47</v>
      </c>
      <c r="AK714" t="s">
        <v>47</v>
      </c>
      <c r="AL714" t="s">
        <v>47</v>
      </c>
      <c r="AM714" t="s">
        <v>47</v>
      </c>
      <c r="AN714" t="s">
        <v>47</v>
      </c>
      <c r="AO714" s="5" t="s">
        <v>60</v>
      </c>
      <c r="AP714" s="4" t="s">
        <v>61</v>
      </c>
      <c r="AQ714" s="4" t="s">
        <v>53</v>
      </c>
      <c r="AR714" s="4" t="s">
        <v>557</v>
      </c>
      <c r="AS714" s="5">
        <v>2034733</v>
      </c>
      <c r="AT714" t="s">
        <v>47</v>
      </c>
    </row>
    <row r="715" spans="1:46" ht="52" x14ac:dyDescent="0.3">
      <c r="A715" s="4" t="s">
        <v>2952</v>
      </c>
      <c r="B715" t="s">
        <v>47</v>
      </c>
      <c r="C715" s="4" t="s">
        <v>169</v>
      </c>
      <c r="D715" s="4" t="s">
        <v>139</v>
      </c>
      <c r="E715" s="4" t="s">
        <v>66</v>
      </c>
      <c r="F715" s="5" t="s">
        <v>2953</v>
      </c>
      <c r="G715" s="5" t="s">
        <v>2954</v>
      </c>
      <c r="H715" t="s">
        <v>47</v>
      </c>
      <c r="I715" t="s">
        <v>47</v>
      </c>
      <c r="J715" t="s">
        <v>47</v>
      </c>
      <c r="K715" t="s">
        <v>47</v>
      </c>
      <c r="L715" s="5" t="s">
        <v>60</v>
      </c>
      <c r="M715" t="s">
        <v>47</v>
      </c>
      <c r="N715" t="s">
        <v>47</v>
      </c>
      <c r="O715" t="s">
        <v>47</v>
      </c>
      <c r="P715" t="s">
        <v>47</v>
      </c>
      <c r="Q715" t="s">
        <v>47</v>
      </c>
      <c r="R715" t="s">
        <v>47</v>
      </c>
      <c r="S715" t="s">
        <v>47</v>
      </c>
      <c r="T715" t="s">
        <v>47</v>
      </c>
      <c r="U715" t="s">
        <v>47</v>
      </c>
      <c r="V715" t="s">
        <v>47</v>
      </c>
      <c r="W715" s="3">
        <v>40179</v>
      </c>
      <c r="X715" s="5" t="s">
        <v>50</v>
      </c>
      <c r="Y715" t="s">
        <v>47</v>
      </c>
      <c r="Z715" s="3">
        <v>40179</v>
      </c>
      <c r="AA715" s="5" t="s">
        <v>50</v>
      </c>
      <c r="AB715" t="s">
        <v>47</v>
      </c>
      <c r="AC715" s="3">
        <v>40179</v>
      </c>
      <c r="AD715" s="5" t="s">
        <v>50</v>
      </c>
      <c r="AE715" t="s">
        <v>47</v>
      </c>
      <c r="AF715" t="s">
        <v>47</v>
      </c>
      <c r="AG715" t="s">
        <v>47</v>
      </c>
      <c r="AH715" t="s">
        <v>47</v>
      </c>
      <c r="AI715" t="s">
        <v>47</v>
      </c>
      <c r="AJ715" t="s">
        <v>47</v>
      </c>
      <c r="AK715" t="s">
        <v>47</v>
      </c>
      <c r="AL715" t="s">
        <v>47</v>
      </c>
      <c r="AM715" t="s">
        <v>47</v>
      </c>
      <c r="AN715" t="s">
        <v>47</v>
      </c>
      <c r="AO715" s="5" t="s">
        <v>60</v>
      </c>
      <c r="AP715" s="4" t="s">
        <v>61</v>
      </c>
      <c r="AQ715" s="4" t="s">
        <v>53</v>
      </c>
      <c r="AR715" s="4" t="s">
        <v>539</v>
      </c>
      <c r="AS715" s="5">
        <v>186296</v>
      </c>
      <c r="AT715" t="s">
        <v>47</v>
      </c>
    </row>
    <row r="716" spans="1:46" ht="117" x14ac:dyDescent="0.3">
      <c r="A716" s="4" t="s">
        <v>2955</v>
      </c>
      <c r="B716" t="s">
        <v>47</v>
      </c>
      <c r="C716" s="4" t="s">
        <v>2689</v>
      </c>
      <c r="D716" s="4" t="s">
        <v>2200</v>
      </c>
      <c r="E716" s="4" t="s">
        <v>49</v>
      </c>
      <c r="F716" s="5" t="s">
        <v>2956</v>
      </c>
      <c r="G716" s="5" t="s">
        <v>2957</v>
      </c>
      <c r="H716" t="s">
        <v>47</v>
      </c>
      <c r="I716" s="3">
        <v>41275</v>
      </c>
      <c r="J716" s="5" t="s">
        <v>50</v>
      </c>
      <c r="K716" t="s">
        <v>47</v>
      </c>
      <c r="L716" s="5" t="s">
        <v>60</v>
      </c>
      <c r="M716" t="s">
        <v>47</v>
      </c>
      <c r="N716" t="s">
        <v>47</v>
      </c>
      <c r="O716" t="s">
        <v>47</v>
      </c>
      <c r="P716" s="3">
        <v>41275</v>
      </c>
      <c r="Q716" s="5" t="s">
        <v>50</v>
      </c>
      <c r="R716" t="s">
        <v>47</v>
      </c>
      <c r="S716" t="s">
        <v>47</v>
      </c>
      <c r="T716" t="s">
        <v>47</v>
      </c>
      <c r="U716" t="s">
        <v>47</v>
      </c>
      <c r="V716" t="s">
        <v>47</v>
      </c>
      <c r="W716" s="3">
        <v>41275</v>
      </c>
      <c r="X716" s="5" t="s">
        <v>50</v>
      </c>
      <c r="Y716" t="s">
        <v>47</v>
      </c>
      <c r="Z716" s="3">
        <v>41275</v>
      </c>
      <c r="AA716" s="5" t="s">
        <v>50</v>
      </c>
      <c r="AB716" t="s">
        <v>47</v>
      </c>
      <c r="AC716" s="3">
        <v>41275</v>
      </c>
      <c r="AD716" s="5" t="s">
        <v>50</v>
      </c>
      <c r="AE716" t="s">
        <v>47</v>
      </c>
      <c r="AF716" t="s">
        <v>47</v>
      </c>
      <c r="AG716" t="s">
        <v>47</v>
      </c>
      <c r="AH716" t="s">
        <v>47</v>
      </c>
      <c r="AI716" t="s">
        <v>47</v>
      </c>
      <c r="AJ716" t="s">
        <v>47</v>
      </c>
      <c r="AK716" t="s">
        <v>47</v>
      </c>
      <c r="AL716" t="s">
        <v>47</v>
      </c>
      <c r="AM716" t="s">
        <v>47</v>
      </c>
      <c r="AN716" t="s">
        <v>47</v>
      </c>
      <c r="AO716" s="5" t="s">
        <v>60</v>
      </c>
      <c r="AP716" s="4" t="s">
        <v>61</v>
      </c>
      <c r="AQ716" s="4" t="s">
        <v>53</v>
      </c>
      <c r="AR716" s="4" t="s">
        <v>2958</v>
      </c>
      <c r="AS716" s="5">
        <v>5529391</v>
      </c>
      <c r="AT716" t="s">
        <v>47</v>
      </c>
    </row>
    <row r="717" spans="1:46" ht="52" x14ac:dyDescent="0.3">
      <c r="A717" s="4" t="s">
        <v>2959</v>
      </c>
      <c r="B717" t="s">
        <v>47</v>
      </c>
      <c r="C717" s="4" t="s">
        <v>2960</v>
      </c>
      <c r="D717" s="4" t="s">
        <v>2961</v>
      </c>
      <c r="E717" s="4" t="s">
        <v>49</v>
      </c>
      <c r="F717" s="5" t="s">
        <v>2962</v>
      </c>
      <c r="G717" t="s">
        <v>47</v>
      </c>
      <c r="H717" t="s">
        <v>47</v>
      </c>
      <c r="I717" s="3">
        <v>39356</v>
      </c>
      <c r="J717" s="3">
        <v>39539</v>
      </c>
      <c r="K717" t="s">
        <v>47</v>
      </c>
      <c r="L717" s="5" t="s">
        <v>60</v>
      </c>
      <c r="M717" s="3">
        <v>39356</v>
      </c>
      <c r="N717" s="3">
        <v>39539</v>
      </c>
      <c r="O717" t="s">
        <v>47</v>
      </c>
      <c r="P717" s="3">
        <v>39356</v>
      </c>
      <c r="Q717" s="3">
        <v>39539</v>
      </c>
      <c r="R717" t="s">
        <v>47</v>
      </c>
      <c r="S717" t="s">
        <v>47</v>
      </c>
      <c r="T717" t="s">
        <v>47</v>
      </c>
      <c r="U717" t="s">
        <v>47</v>
      </c>
      <c r="V717" t="s">
        <v>47</v>
      </c>
      <c r="W717" s="3">
        <v>39356</v>
      </c>
      <c r="X717" s="3">
        <v>39539</v>
      </c>
      <c r="Y717" t="s">
        <v>47</v>
      </c>
      <c r="Z717" s="3">
        <v>39356</v>
      </c>
      <c r="AA717" s="3">
        <v>39539</v>
      </c>
      <c r="AB717" t="s">
        <v>47</v>
      </c>
      <c r="AC717" s="3">
        <v>39356</v>
      </c>
      <c r="AD717" s="3">
        <v>39539</v>
      </c>
      <c r="AE717" t="s">
        <v>47</v>
      </c>
      <c r="AF717" t="s">
        <v>47</v>
      </c>
      <c r="AG717" t="s">
        <v>47</v>
      </c>
      <c r="AH717" t="s">
        <v>47</v>
      </c>
      <c r="AI717" t="s">
        <v>47</v>
      </c>
      <c r="AJ717" t="s">
        <v>47</v>
      </c>
      <c r="AK717" t="s">
        <v>47</v>
      </c>
      <c r="AL717" t="s">
        <v>47</v>
      </c>
      <c r="AM717" t="s">
        <v>47</v>
      </c>
      <c r="AN717" t="s">
        <v>47</v>
      </c>
      <c r="AO717" s="5" t="s">
        <v>60</v>
      </c>
      <c r="AP717" s="4" t="s">
        <v>61</v>
      </c>
      <c r="AQ717" s="4" t="s">
        <v>53</v>
      </c>
      <c r="AR717" s="4" t="s">
        <v>2073</v>
      </c>
      <c r="AS717" s="5">
        <v>54103</v>
      </c>
      <c r="AT717" t="s">
        <v>47</v>
      </c>
    </row>
    <row r="718" spans="1:46" ht="39" x14ac:dyDescent="0.3">
      <c r="A718" s="4" t="s">
        <v>2963</v>
      </c>
      <c r="B718" t="s">
        <v>47</v>
      </c>
      <c r="C718" s="4" t="s">
        <v>115</v>
      </c>
      <c r="D718" s="4" t="s">
        <v>1019</v>
      </c>
      <c r="E718" s="4" t="s">
        <v>66</v>
      </c>
      <c r="F718" s="5" t="s">
        <v>2964</v>
      </c>
      <c r="G718" s="5" t="s">
        <v>2965</v>
      </c>
      <c r="H718" t="s">
        <v>47</v>
      </c>
      <c r="I718" s="3">
        <v>36526</v>
      </c>
      <c r="J718" s="5" t="s">
        <v>50</v>
      </c>
      <c r="K718" t="s">
        <v>47</v>
      </c>
      <c r="L718" s="5" t="s">
        <v>60</v>
      </c>
      <c r="M718" s="3">
        <v>36526</v>
      </c>
      <c r="N718" s="5" t="s">
        <v>50</v>
      </c>
      <c r="O718" t="s">
        <v>47</v>
      </c>
      <c r="P718" s="3">
        <v>36982</v>
      </c>
      <c r="Q718" s="5" t="s">
        <v>50</v>
      </c>
      <c r="R718" t="s">
        <v>47</v>
      </c>
      <c r="S718" t="s">
        <v>47</v>
      </c>
      <c r="T718" t="s">
        <v>47</v>
      </c>
      <c r="U718" t="s">
        <v>47</v>
      </c>
      <c r="V718" s="5">
        <v>365</v>
      </c>
      <c r="W718" s="3">
        <v>36526</v>
      </c>
      <c r="X718" s="5" t="s">
        <v>50</v>
      </c>
      <c r="Y718" t="s">
        <v>47</v>
      </c>
      <c r="Z718" s="3">
        <v>36526</v>
      </c>
      <c r="AA718" s="5" t="s">
        <v>50</v>
      </c>
      <c r="AB718" t="s">
        <v>47</v>
      </c>
      <c r="AC718" s="3">
        <v>36982</v>
      </c>
      <c r="AD718" s="5" t="s">
        <v>50</v>
      </c>
      <c r="AE718" t="s">
        <v>47</v>
      </c>
      <c r="AF718" t="s">
        <v>47</v>
      </c>
      <c r="AG718" t="s">
        <v>47</v>
      </c>
      <c r="AH718" t="s">
        <v>47</v>
      </c>
      <c r="AI718" t="s">
        <v>47</v>
      </c>
      <c r="AJ718" t="s">
        <v>47</v>
      </c>
      <c r="AK718" t="s">
        <v>47</v>
      </c>
      <c r="AL718" t="s">
        <v>47</v>
      </c>
      <c r="AM718" t="s">
        <v>47</v>
      </c>
      <c r="AN718" t="s">
        <v>47</v>
      </c>
      <c r="AO718" s="5" t="s">
        <v>60</v>
      </c>
      <c r="AP718" s="4" t="s">
        <v>61</v>
      </c>
      <c r="AQ718" s="4" t="s">
        <v>53</v>
      </c>
      <c r="AR718" s="4" t="s">
        <v>62</v>
      </c>
      <c r="AS718" s="5">
        <v>25620</v>
      </c>
      <c r="AT718" t="s">
        <v>47</v>
      </c>
    </row>
    <row r="719" spans="1:46" ht="52" x14ac:dyDescent="0.3">
      <c r="A719" s="4" t="s">
        <v>2966</v>
      </c>
      <c r="B719" t="s">
        <v>47</v>
      </c>
      <c r="C719" s="4" t="s">
        <v>2689</v>
      </c>
      <c r="D719" s="4" t="s">
        <v>2200</v>
      </c>
      <c r="E719" s="4" t="s">
        <v>49</v>
      </c>
      <c r="F719" s="5" t="s">
        <v>2967</v>
      </c>
      <c r="G719" s="5" t="s">
        <v>2968</v>
      </c>
      <c r="H719" t="s">
        <v>47</v>
      </c>
      <c r="I719" s="3">
        <v>41275</v>
      </c>
      <c r="J719" s="5" t="s">
        <v>50</v>
      </c>
      <c r="K719" t="s">
        <v>47</v>
      </c>
      <c r="L719" s="5" t="s">
        <v>60</v>
      </c>
      <c r="M719" t="s">
        <v>47</v>
      </c>
      <c r="N719" t="s">
        <v>47</v>
      </c>
      <c r="O719" t="s">
        <v>47</v>
      </c>
      <c r="P719" s="3">
        <v>41275</v>
      </c>
      <c r="Q719" s="5" t="s">
        <v>50</v>
      </c>
      <c r="R719" t="s">
        <v>47</v>
      </c>
      <c r="S719" t="s">
        <v>47</v>
      </c>
      <c r="T719" t="s">
        <v>47</v>
      </c>
      <c r="U719" t="s">
        <v>47</v>
      </c>
      <c r="V719" t="s">
        <v>47</v>
      </c>
      <c r="W719" s="3">
        <v>41275</v>
      </c>
      <c r="X719" s="5" t="s">
        <v>50</v>
      </c>
      <c r="Y719" t="s">
        <v>47</v>
      </c>
      <c r="Z719" s="3">
        <v>41275</v>
      </c>
      <c r="AA719" s="5" t="s">
        <v>50</v>
      </c>
      <c r="AB719" t="s">
        <v>47</v>
      </c>
      <c r="AC719" s="3">
        <v>41275</v>
      </c>
      <c r="AD719" s="5" t="s">
        <v>50</v>
      </c>
      <c r="AE719" t="s">
        <v>47</v>
      </c>
      <c r="AF719" t="s">
        <v>47</v>
      </c>
      <c r="AG719" t="s">
        <v>47</v>
      </c>
      <c r="AH719" t="s">
        <v>47</v>
      </c>
      <c r="AI719" t="s">
        <v>47</v>
      </c>
      <c r="AJ719" t="s">
        <v>47</v>
      </c>
      <c r="AK719" t="s">
        <v>47</v>
      </c>
      <c r="AL719" t="s">
        <v>47</v>
      </c>
      <c r="AM719" t="s">
        <v>47</v>
      </c>
      <c r="AN719" t="s">
        <v>47</v>
      </c>
      <c r="AO719" s="5" t="s">
        <v>60</v>
      </c>
      <c r="AP719" s="4" t="s">
        <v>61</v>
      </c>
      <c r="AQ719" s="4" t="s">
        <v>53</v>
      </c>
      <c r="AR719" s="4" t="s">
        <v>1706</v>
      </c>
      <c r="AS719" s="5">
        <v>5529386</v>
      </c>
      <c r="AT719" t="s">
        <v>47</v>
      </c>
    </row>
    <row r="720" spans="1:46" ht="104" x14ac:dyDescent="0.3">
      <c r="A720" s="4" t="s">
        <v>2969</v>
      </c>
      <c r="B720" t="s">
        <v>47</v>
      </c>
      <c r="C720" s="4" t="s">
        <v>122</v>
      </c>
      <c r="D720" s="4" t="s">
        <v>206</v>
      </c>
      <c r="E720" s="4" t="s">
        <v>123</v>
      </c>
      <c r="F720" s="5" t="s">
        <v>2970</v>
      </c>
      <c r="G720" s="5" t="s">
        <v>2971</v>
      </c>
      <c r="H720" t="s">
        <v>47</v>
      </c>
      <c r="I720" s="3">
        <v>35431</v>
      </c>
      <c r="J720" s="5" t="s">
        <v>50</v>
      </c>
      <c r="K720" t="s">
        <v>47</v>
      </c>
      <c r="L720" s="5" t="s">
        <v>60</v>
      </c>
      <c r="M720" s="3">
        <v>37987</v>
      </c>
      <c r="N720" s="3">
        <v>42795</v>
      </c>
      <c r="O720" t="s">
        <v>47</v>
      </c>
      <c r="P720" s="3">
        <v>35431</v>
      </c>
      <c r="Q720" s="5" t="s">
        <v>50</v>
      </c>
      <c r="R720" t="s">
        <v>47</v>
      </c>
      <c r="S720" t="s">
        <v>47</v>
      </c>
      <c r="T720" t="s">
        <v>47</v>
      </c>
      <c r="U720" t="s">
        <v>47</v>
      </c>
      <c r="V720" s="5">
        <v>365</v>
      </c>
      <c r="W720" s="3">
        <v>35431</v>
      </c>
      <c r="X720" s="5" t="s">
        <v>50</v>
      </c>
      <c r="Y720" t="s">
        <v>47</v>
      </c>
      <c r="Z720" s="3">
        <v>35431</v>
      </c>
      <c r="AA720" s="5" t="s">
        <v>50</v>
      </c>
      <c r="AB720" t="s">
        <v>47</v>
      </c>
      <c r="AC720" s="3">
        <v>35431</v>
      </c>
      <c r="AD720" s="5" t="s">
        <v>50</v>
      </c>
      <c r="AE720" t="s">
        <v>47</v>
      </c>
      <c r="AF720" t="s">
        <v>47</v>
      </c>
      <c r="AG720" t="s">
        <v>47</v>
      </c>
      <c r="AH720" t="s">
        <v>47</v>
      </c>
      <c r="AI720" t="s">
        <v>47</v>
      </c>
      <c r="AJ720" t="s">
        <v>47</v>
      </c>
      <c r="AK720" t="s">
        <v>47</v>
      </c>
      <c r="AL720" t="s">
        <v>47</v>
      </c>
      <c r="AM720" t="s">
        <v>47</v>
      </c>
      <c r="AN720" t="s">
        <v>47</v>
      </c>
      <c r="AO720" s="5" t="s">
        <v>60</v>
      </c>
      <c r="AP720" s="4" t="s">
        <v>61</v>
      </c>
      <c r="AQ720" s="4" t="s">
        <v>53</v>
      </c>
      <c r="AR720" s="4" t="s">
        <v>2880</v>
      </c>
      <c r="AS720" s="5">
        <v>55387</v>
      </c>
      <c r="AT720" t="s">
        <v>47</v>
      </c>
    </row>
    <row r="721" spans="1:46" ht="39" x14ac:dyDescent="0.3">
      <c r="A721" s="4" t="s">
        <v>2972</v>
      </c>
      <c r="B721" t="s">
        <v>47</v>
      </c>
      <c r="C721" s="4" t="s">
        <v>2683</v>
      </c>
      <c r="D721" s="4" t="s">
        <v>1560</v>
      </c>
      <c r="E721" s="4" t="s">
        <v>49</v>
      </c>
      <c r="F721" s="5" t="s">
        <v>2973</v>
      </c>
      <c r="G721" s="5" t="s">
        <v>2974</v>
      </c>
      <c r="H721" t="s">
        <v>47</v>
      </c>
      <c r="I721" s="3">
        <v>44927</v>
      </c>
      <c r="J721" s="5" t="s">
        <v>50</v>
      </c>
      <c r="K721" t="s">
        <v>47</v>
      </c>
      <c r="L721" s="5" t="s">
        <v>60</v>
      </c>
      <c r="M721" t="s">
        <v>47</v>
      </c>
      <c r="N721" t="s">
        <v>47</v>
      </c>
      <c r="O721" t="s">
        <v>47</v>
      </c>
      <c r="P721" s="3">
        <v>44927</v>
      </c>
      <c r="Q721" s="5" t="s">
        <v>50</v>
      </c>
      <c r="R721" t="s">
        <v>47</v>
      </c>
      <c r="S721" t="s">
        <v>47</v>
      </c>
      <c r="T721" t="s">
        <v>47</v>
      </c>
      <c r="U721" t="s">
        <v>47</v>
      </c>
      <c r="V721" t="s">
        <v>47</v>
      </c>
      <c r="W721" s="3">
        <v>44927</v>
      </c>
      <c r="X721" s="5" t="s">
        <v>50</v>
      </c>
      <c r="Y721" t="s">
        <v>47</v>
      </c>
      <c r="Z721" s="3">
        <v>44927</v>
      </c>
      <c r="AA721" s="5" t="s">
        <v>50</v>
      </c>
      <c r="AB721" t="s">
        <v>47</v>
      </c>
      <c r="AC721" s="3">
        <v>44927</v>
      </c>
      <c r="AD721" s="5" t="s">
        <v>50</v>
      </c>
      <c r="AE721" t="s">
        <v>47</v>
      </c>
      <c r="AF721" t="s">
        <v>47</v>
      </c>
      <c r="AG721" t="s">
        <v>47</v>
      </c>
      <c r="AH721" t="s">
        <v>47</v>
      </c>
      <c r="AI721" t="s">
        <v>47</v>
      </c>
      <c r="AJ721" t="s">
        <v>47</v>
      </c>
      <c r="AK721" t="s">
        <v>47</v>
      </c>
      <c r="AL721" t="s">
        <v>47</v>
      </c>
      <c r="AM721" t="s">
        <v>47</v>
      </c>
      <c r="AN721" t="s">
        <v>47</v>
      </c>
      <c r="AO721" s="5" t="s">
        <v>60</v>
      </c>
      <c r="AP721" s="4" t="s">
        <v>61</v>
      </c>
      <c r="AQ721" s="4" t="s">
        <v>53</v>
      </c>
      <c r="AR721" s="4" t="s">
        <v>1543</v>
      </c>
      <c r="AS721" s="5">
        <v>6696816</v>
      </c>
      <c r="AT721" t="s">
        <v>47</v>
      </c>
    </row>
    <row r="722" spans="1:46" ht="26" x14ac:dyDescent="0.3">
      <c r="A722" s="4" t="s">
        <v>2975</v>
      </c>
      <c r="B722" t="s">
        <v>47</v>
      </c>
      <c r="C722" s="4" t="s">
        <v>169</v>
      </c>
      <c r="D722" s="4" t="s">
        <v>319</v>
      </c>
      <c r="E722" s="4" t="s">
        <v>66</v>
      </c>
      <c r="F722" s="5" t="s">
        <v>2976</v>
      </c>
      <c r="G722" s="5" t="s">
        <v>2977</v>
      </c>
      <c r="H722" t="s">
        <v>47</v>
      </c>
      <c r="I722" t="s">
        <v>47</v>
      </c>
      <c r="J722" t="s">
        <v>47</v>
      </c>
      <c r="K722" t="s">
        <v>47</v>
      </c>
      <c r="L722" s="5" t="s">
        <v>60</v>
      </c>
      <c r="M722" t="s">
        <v>47</v>
      </c>
      <c r="N722" t="s">
        <v>47</v>
      </c>
      <c r="O722" t="s">
        <v>47</v>
      </c>
      <c r="P722" t="s">
        <v>47</v>
      </c>
      <c r="Q722" t="s">
        <v>47</v>
      </c>
      <c r="R722" t="s">
        <v>47</v>
      </c>
      <c r="S722" t="s">
        <v>47</v>
      </c>
      <c r="T722" t="s">
        <v>47</v>
      </c>
      <c r="U722" t="s">
        <v>47</v>
      </c>
      <c r="V722" t="s">
        <v>47</v>
      </c>
      <c r="W722" s="3">
        <v>37987</v>
      </c>
      <c r="X722" s="5" t="s">
        <v>50</v>
      </c>
      <c r="Y722" t="s">
        <v>47</v>
      </c>
      <c r="Z722" s="3">
        <v>37987</v>
      </c>
      <c r="AA722" s="5" t="s">
        <v>50</v>
      </c>
      <c r="AB722" t="s">
        <v>47</v>
      </c>
      <c r="AC722" s="3">
        <v>37987</v>
      </c>
      <c r="AD722" s="5" t="s">
        <v>50</v>
      </c>
      <c r="AE722" t="s">
        <v>47</v>
      </c>
      <c r="AF722" t="s">
        <v>47</v>
      </c>
      <c r="AG722" t="s">
        <v>47</v>
      </c>
      <c r="AH722" t="s">
        <v>47</v>
      </c>
      <c r="AI722" t="s">
        <v>47</v>
      </c>
      <c r="AJ722" t="s">
        <v>47</v>
      </c>
      <c r="AK722" t="s">
        <v>47</v>
      </c>
      <c r="AL722" t="s">
        <v>47</v>
      </c>
      <c r="AM722" t="s">
        <v>47</v>
      </c>
      <c r="AN722" t="s">
        <v>47</v>
      </c>
      <c r="AO722" s="5" t="s">
        <v>60</v>
      </c>
      <c r="AP722" s="4" t="s">
        <v>61</v>
      </c>
      <c r="AQ722" s="4" t="s">
        <v>53</v>
      </c>
      <c r="AR722" s="4" t="s">
        <v>807</v>
      </c>
      <c r="AS722" s="5">
        <v>25335</v>
      </c>
      <c r="AT722" t="s">
        <v>47</v>
      </c>
    </row>
    <row r="723" spans="1:46" ht="104" x14ac:dyDescent="0.3">
      <c r="A723" s="4" t="s">
        <v>2978</v>
      </c>
      <c r="B723" t="s">
        <v>47</v>
      </c>
      <c r="C723" s="4" t="s">
        <v>200</v>
      </c>
      <c r="D723" s="4" t="s">
        <v>748</v>
      </c>
      <c r="E723" s="4" t="s">
        <v>66</v>
      </c>
      <c r="F723" s="5" t="s">
        <v>2979</v>
      </c>
      <c r="G723" s="5" t="s">
        <v>2980</v>
      </c>
      <c r="H723" t="s">
        <v>47</v>
      </c>
      <c r="I723" t="s">
        <v>47</v>
      </c>
      <c r="J723" t="s">
        <v>47</v>
      </c>
      <c r="K723" t="s">
        <v>47</v>
      </c>
      <c r="L723" s="5" t="s">
        <v>60</v>
      </c>
      <c r="M723" t="s">
        <v>47</v>
      </c>
      <c r="N723" t="s">
        <v>47</v>
      </c>
      <c r="O723" t="s">
        <v>47</v>
      </c>
      <c r="P723" t="s">
        <v>47</v>
      </c>
      <c r="Q723" t="s">
        <v>47</v>
      </c>
      <c r="R723" t="s">
        <v>47</v>
      </c>
      <c r="S723" t="s">
        <v>47</v>
      </c>
      <c r="T723" t="s">
        <v>47</v>
      </c>
      <c r="U723" t="s">
        <v>47</v>
      </c>
      <c r="V723" t="s">
        <v>47</v>
      </c>
      <c r="W723" s="3">
        <v>38047</v>
      </c>
      <c r="X723" s="5" t="s">
        <v>50</v>
      </c>
      <c r="Y723" t="s">
        <v>47</v>
      </c>
      <c r="Z723" s="3">
        <v>38047</v>
      </c>
      <c r="AA723" s="5" t="s">
        <v>50</v>
      </c>
      <c r="AB723" t="s">
        <v>47</v>
      </c>
      <c r="AC723" s="3">
        <v>38047</v>
      </c>
      <c r="AD723" s="5" t="s">
        <v>50</v>
      </c>
      <c r="AE723" t="s">
        <v>47</v>
      </c>
      <c r="AF723" t="s">
        <v>47</v>
      </c>
      <c r="AG723" t="s">
        <v>47</v>
      </c>
      <c r="AH723" t="s">
        <v>47</v>
      </c>
      <c r="AI723" t="s">
        <v>47</v>
      </c>
      <c r="AJ723" t="s">
        <v>47</v>
      </c>
      <c r="AK723" t="s">
        <v>47</v>
      </c>
      <c r="AL723" t="s">
        <v>47</v>
      </c>
      <c r="AM723" t="s">
        <v>47</v>
      </c>
      <c r="AN723" t="s">
        <v>47</v>
      </c>
      <c r="AO723" s="5" t="s">
        <v>60</v>
      </c>
      <c r="AP723" s="4" t="s">
        <v>61</v>
      </c>
      <c r="AQ723" s="4" t="s">
        <v>53</v>
      </c>
      <c r="AR723" s="4" t="s">
        <v>2482</v>
      </c>
      <c r="AS723" s="5">
        <v>34135</v>
      </c>
      <c r="AT723" t="s">
        <v>47</v>
      </c>
    </row>
    <row r="724" spans="1:46" ht="26" x14ac:dyDescent="0.3">
      <c r="A724" s="4" t="s">
        <v>2981</v>
      </c>
      <c r="B724" t="s">
        <v>47</v>
      </c>
      <c r="C724" s="4" t="s">
        <v>169</v>
      </c>
      <c r="D724" s="4" t="s">
        <v>2936</v>
      </c>
      <c r="E724" s="4" t="s">
        <v>66</v>
      </c>
      <c r="F724" s="5" t="s">
        <v>2982</v>
      </c>
      <c r="G724" s="5" t="s">
        <v>2983</v>
      </c>
      <c r="H724" t="s">
        <v>47</v>
      </c>
      <c r="I724" s="3">
        <v>41000</v>
      </c>
      <c r="J724" s="3">
        <v>43070</v>
      </c>
      <c r="K724" t="s">
        <v>47</v>
      </c>
      <c r="L724" s="5" t="s">
        <v>60</v>
      </c>
      <c r="M724" s="3">
        <v>41000</v>
      </c>
      <c r="N724" s="3">
        <v>43070</v>
      </c>
      <c r="O724" t="s">
        <v>47</v>
      </c>
      <c r="P724" s="3">
        <v>41000</v>
      </c>
      <c r="Q724" s="3">
        <v>43070</v>
      </c>
      <c r="R724" t="s">
        <v>47</v>
      </c>
      <c r="S724" t="s">
        <v>47</v>
      </c>
      <c r="T724" t="s">
        <v>47</v>
      </c>
      <c r="U724" t="s">
        <v>47</v>
      </c>
      <c r="V724" t="s">
        <v>47</v>
      </c>
      <c r="W724" s="3">
        <v>41000</v>
      </c>
      <c r="X724" s="3">
        <v>43070</v>
      </c>
      <c r="Y724" t="s">
        <v>47</v>
      </c>
      <c r="Z724" s="3">
        <v>41000</v>
      </c>
      <c r="AA724" s="3">
        <v>43070</v>
      </c>
      <c r="AB724" t="s">
        <v>47</v>
      </c>
      <c r="AC724" s="3">
        <v>41000</v>
      </c>
      <c r="AD724" s="3">
        <v>43070</v>
      </c>
      <c r="AE724" t="s">
        <v>47</v>
      </c>
      <c r="AF724" t="s">
        <v>47</v>
      </c>
      <c r="AG724" t="s">
        <v>47</v>
      </c>
      <c r="AH724" t="s">
        <v>47</v>
      </c>
      <c r="AI724" t="s">
        <v>47</v>
      </c>
      <c r="AJ724" t="s">
        <v>47</v>
      </c>
      <c r="AK724" t="s">
        <v>47</v>
      </c>
      <c r="AL724" t="s">
        <v>47</v>
      </c>
      <c r="AM724" t="s">
        <v>47</v>
      </c>
      <c r="AN724" t="s">
        <v>47</v>
      </c>
      <c r="AO724" s="5" t="s">
        <v>60</v>
      </c>
      <c r="AP724" s="4" t="s">
        <v>61</v>
      </c>
      <c r="AQ724" s="4" t="s">
        <v>53</v>
      </c>
      <c r="AR724" s="4" t="s">
        <v>54</v>
      </c>
      <c r="AS724" s="5">
        <v>826332</v>
      </c>
      <c r="AT724" t="s">
        <v>47</v>
      </c>
    </row>
    <row r="725" spans="1:46" ht="39" x14ac:dyDescent="0.3">
      <c r="A725" s="4" t="s">
        <v>2984</v>
      </c>
      <c r="B725" t="s">
        <v>47</v>
      </c>
      <c r="C725" s="4" t="s">
        <v>2864</v>
      </c>
      <c r="D725" s="4" t="s">
        <v>2865</v>
      </c>
      <c r="E725" s="4" t="s">
        <v>49</v>
      </c>
      <c r="F725" s="5" t="s">
        <v>2985</v>
      </c>
      <c r="G725" s="5" t="s">
        <v>2986</v>
      </c>
      <c r="H725" t="s">
        <v>47</v>
      </c>
      <c r="I725" s="3">
        <v>40544</v>
      </c>
      <c r="J725" s="3">
        <v>41913</v>
      </c>
      <c r="K725" t="s">
        <v>47</v>
      </c>
      <c r="L725" s="5" t="s">
        <v>60</v>
      </c>
      <c r="M725" s="3">
        <v>40544</v>
      </c>
      <c r="N725" s="3">
        <v>41913</v>
      </c>
      <c r="O725" t="s">
        <v>47</v>
      </c>
      <c r="P725" s="3">
        <v>40544</v>
      </c>
      <c r="Q725" s="3">
        <v>41913</v>
      </c>
      <c r="R725" t="s">
        <v>47</v>
      </c>
      <c r="S725" t="s">
        <v>47</v>
      </c>
      <c r="T725" t="s">
        <v>47</v>
      </c>
      <c r="U725" t="s">
        <v>47</v>
      </c>
      <c r="V725" t="s">
        <v>47</v>
      </c>
      <c r="W725" s="3">
        <v>40544</v>
      </c>
      <c r="X725" s="3">
        <v>41913</v>
      </c>
      <c r="Y725" t="s">
        <v>47</v>
      </c>
      <c r="Z725" s="3">
        <v>40544</v>
      </c>
      <c r="AA725" s="3">
        <v>41913</v>
      </c>
      <c r="AB725" t="s">
        <v>47</v>
      </c>
      <c r="AC725" s="3">
        <v>40544</v>
      </c>
      <c r="AD725" s="3">
        <v>41913</v>
      </c>
      <c r="AE725" t="s">
        <v>47</v>
      </c>
      <c r="AF725" t="s">
        <v>47</v>
      </c>
      <c r="AG725" t="s">
        <v>47</v>
      </c>
      <c r="AH725" t="s">
        <v>47</v>
      </c>
      <c r="AI725" t="s">
        <v>47</v>
      </c>
      <c r="AJ725" t="s">
        <v>47</v>
      </c>
      <c r="AK725" t="s">
        <v>47</v>
      </c>
      <c r="AL725" t="s">
        <v>47</v>
      </c>
      <c r="AM725" t="s">
        <v>47</v>
      </c>
      <c r="AN725" t="s">
        <v>47</v>
      </c>
      <c r="AO725" s="5" t="s">
        <v>51</v>
      </c>
      <c r="AP725" s="4" t="s">
        <v>61</v>
      </c>
      <c r="AQ725" s="4" t="s">
        <v>53</v>
      </c>
      <c r="AR725" s="4" t="s">
        <v>62</v>
      </c>
      <c r="AS725" s="5">
        <v>2034856</v>
      </c>
      <c r="AT725" t="s">
        <v>47</v>
      </c>
    </row>
    <row r="726" spans="1:46" ht="26" x14ac:dyDescent="0.3">
      <c r="A726" s="4" t="s">
        <v>2987</v>
      </c>
      <c r="B726" t="s">
        <v>47</v>
      </c>
      <c r="C726" s="4" t="s">
        <v>2988</v>
      </c>
      <c r="D726" s="4" t="s">
        <v>2056</v>
      </c>
      <c r="E726" s="4" t="s">
        <v>2057</v>
      </c>
      <c r="F726" t="s">
        <v>47</v>
      </c>
      <c r="G726" s="5" t="s">
        <v>2989</v>
      </c>
      <c r="H726" t="s">
        <v>47</v>
      </c>
      <c r="I726" s="3">
        <v>36526</v>
      </c>
      <c r="J726" s="5" t="s">
        <v>50</v>
      </c>
      <c r="K726" t="s">
        <v>47</v>
      </c>
      <c r="L726" s="5" t="s">
        <v>60</v>
      </c>
      <c r="M726" t="s">
        <v>47</v>
      </c>
      <c r="N726" t="s">
        <v>47</v>
      </c>
      <c r="O726" t="s">
        <v>47</v>
      </c>
      <c r="P726" s="3">
        <v>36526</v>
      </c>
      <c r="Q726" s="5" t="s">
        <v>50</v>
      </c>
      <c r="R726" t="s">
        <v>47</v>
      </c>
      <c r="S726" t="s">
        <v>47</v>
      </c>
      <c r="T726" t="s">
        <v>47</v>
      </c>
      <c r="U726" t="s">
        <v>47</v>
      </c>
      <c r="V726" t="s">
        <v>47</v>
      </c>
      <c r="W726" s="3">
        <v>36526</v>
      </c>
      <c r="X726" s="5" t="s">
        <v>50</v>
      </c>
      <c r="Y726" t="s">
        <v>47</v>
      </c>
      <c r="Z726" s="3">
        <v>36526</v>
      </c>
      <c r="AA726" s="5" t="s">
        <v>50</v>
      </c>
      <c r="AB726" t="s">
        <v>47</v>
      </c>
      <c r="AC726" s="3">
        <v>36526</v>
      </c>
      <c r="AD726" s="5" t="s">
        <v>50</v>
      </c>
      <c r="AE726" t="s">
        <v>47</v>
      </c>
      <c r="AF726" t="s">
        <v>47</v>
      </c>
      <c r="AG726" t="s">
        <v>47</v>
      </c>
      <c r="AH726" t="s">
        <v>47</v>
      </c>
      <c r="AI726" t="s">
        <v>47</v>
      </c>
      <c r="AJ726" t="s">
        <v>47</v>
      </c>
      <c r="AK726" t="s">
        <v>47</v>
      </c>
      <c r="AL726" t="s">
        <v>47</v>
      </c>
      <c r="AM726" t="s">
        <v>47</v>
      </c>
      <c r="AN726" t="s">
        <v>47</v>
      </c>
      <c r="AO726" s="5" t="s">
        <v>60</v>
      </c>
      <c r="AP726" s="4" t="s">
        <v>61</v>
      </c>
      <c r="AQ726" s="4" t="s">
        <v>53</v>
      </c>
      <c r="AR726" s="4" t="s">
        <v>54</v>
      </c>
      <c r="AS726" s="5">
        <v>4379534</v>
      </c>
      <c r="AT726" t="s">
        <v>47</v>
      </c>
    </row>
    <row r="727" spans="1:46" ht="26" x14ac:dyDescent="0.3">
      <c r="A727" s="4" t="s">
        <v>2990</v>
      </c>
      <c r="B727" t="s">
        <v>47</v>
      </c>
      <c r="C727" s="4" t="s">
        <v>122</v>
      </c>
      <c r="D727" s="4" t="s">
        <v>2991</v>
      </c>
      <c r="E727" s="4" t="s">
        <v>123</v>
      </c>
      <c r="F727" s="5" t="s">
        <v>2992</v>
      </c>
      <c r="G727" s="5" t="s">
        <v>2993</v>
      </c>
      <c r="H727" t="s">
        <v>47</v>
      </c>
      <c r="I727" s="3">
        <v>43405</v>
      </c>
      <c r="J727" s="5" t="s">
        <v>50</v>
      </c>
      <c r="K727" t="s">
        <v>47</v>
      </c>
      <c r="L727" s="5" t="s">
        <v>60</v>
      </c>
      <c r="M727" s="3">
        <v>43405</v>
      </c>
      <c r="N727" s="5" t="s">
        <v>50</v>
      </c>
      <c r="O727" t="s">
        <v>47</v>
      </c>
      <c r="P727" s="3">
        <v>43405</v>
      </c>
      <c r="Q727" s="5" t="s">
        <v>50</v>
      </c>
      <c r="R727" t="s">
        <v>47</v>
      </c>
      <c r="S727" t="s">
        <v>47</v>
      </c>
      <c r="T727" t="s">
        <v>47</v>
      </c>
      <c r="U727" t="s">
        <v>47</v>
      </c>
      <c r="V727" s="5">
        <v>365</v>
      </c>
      <c r="W727" s="3">
        <v>43405</v>
      </c>
      <c r="X727" s="5" t="s">
        <v>50</v>
      </c>
      <c r="Y727" t="s">
        <v>47</v>
      </c>
      <c r="Z727" s="3">
        <v>43405</v>
      </c>
      <c r="AA727" s="5" t="s">
        <v>50</v>
      </c>
      <c r="AB727" t="s">
        <v>47</v>
      </c>
      <c r="AC727" s="3">
        <v>43405</v>
      </c>
      <c r="AD727" s="5" t="s">
        <v>50</v>
      </c>
      <c r="AE727" t="s">
        <v>47</v>
      </c>
      <c r="AF727" t="s">
        <v>47</v>
      </c>
      <c r="AG727" t="s">
        <v>47</v>
      </c>
      <c r="AH727" t="s">
        <v>47</v>
      </c>
      <c r="AI727" t="s">
        <v>47</v>
      </c>
      <c r="AJ727" t="s">
        <v>47</v>
      </c>
      <c r="AK727" t="s">
        <v>47</v>
      </c>
      <c r="AL727" t="s">
        <v>47</v>
      </c>
      <c r="AM727" t="s">
        <v>47</v>
      </c>
      <c r="AN727" t="s">
        <v>47</v>
      </c>
      <c r="AO727" s="5" t="s">
        <v>60</v>
      </c>
      <c r="AP727" s="4" t="s">
        <v>61</v>
      </c>
      <c r="AQ727" s="4" t="s">
        <v>53</v>
      </c>
      <c r="AR727" s="4" t="s">
        <v>697</v>
      </c>
      <c r="AS727" s="5">
        <v>6623294</v>
      </c>
      <c r="AT727" t="s">
        <v>47</v>
      </c>
    </row>
    <row r="728" spans="1:46" ht="39" x14ac:dyDescent="0.3">
      <c r="A728" s="4" t="s">
        <v>2994</v>
      </c>
      <c r="B728" t="s">
        <v>47</v>
      </c>
      <c r="C728" s="4" t="s">
        <v>2995</v>
      </c>
      <c r="D728" s="4" t="s">
        <v>2405</v>
      </c>
      <c r="E728" s="4" t="s">
        <v>49</v>
      </c>
      <c r="F728" s="5" t="s">
        <v>2996</v>
      </c>
      <c r="G728" s="5" t="s">
        <v>2997</v>
      </c>
      <c r="H728" t="s">
        <v>47</v>
      </c>
      <c r="I728" s="3">
        <v>38169</v>
      </c>
      <c r="J728" s="3">
        <v>39722</v>
      </c>
      <c r="K728" t="s">
        <v>47</v>
      </c>
      <c r="L728" s="5" t="s">
        <v>60</v>
      </c>
      <c r="M728" s="3">
        <v>38169</v>
      </c>
      <c r="N728" s="3">
        <v>39722</v>
      </c>
      <c r="O728" t="s">
        <v>47</v>
      </c>
      <c r="P728" s="3">
        <v>38169</v>
      </c>
      <c r="Q728" s="3">
        <v>39722</v>
      </c>
      <c r="R728" t="s">
        <v>47</v>
      </c>
      <c r="S728" t="s">
        <v>47</v>
      </c>
      <c r="T728" t="s">
        <v>47</v>
      </c>
      <c r="U728" t="s">
        <v>47</v>
      </c>
      <c r="V728" t="s">
        <v>47</v>
      </c>
      <c r="W728" s="3">
        <v>38169</v>
      </c>
      <c r="X728" s="5" t="s">
        <v>50</v>
      </c>
      <c r="Y728" t="s">
        <v>47</v>
      </c>
      <c r="Z728" s="3">
        <v>38169</v>
      </c>
      <c r="AA728" s="5" t="s">
        <v>50</v>
      </c>
      <c r="AB728" t="s">
        <v>47</v>
      </c>
      <c r="AC728" s="3">
        <v>38169</v>
      </c>
      <c r="AD728" s="5" t="s">
        <v>50</v>
      </c>
      <c r="AE728" t="s">
        <v>47</v>
      </c>
      <c r="AF728" t="s">
        <v>47</v>
      </c>
      <c r="AG728" t="s">
        <v>47</v>
      </c>
      <c r="AH728" t="s">
        <v>47</v>
      </c>
      <c r="AI728" t="s">
        <v>47</v>
      </c>
      <c r="AJ728" t="s">
        <v>47</v>
      </c>
      <c r="AK728" t="s">
        <v>47</v>
      </c>
      <c r="AL728" t="s">
        <v>47</v>
      </c>
      <c r="AM728" t="s">
        <v>47</v>
      </c>
      <c r="AN728" t="s">
        <v>47</v>
      </c>
      <c r="AO728" s="5" t="s">
        <v>60</v>
      </c>
      <c r="AP728" s="4" t="s">
        <v>61</v>
      </c>
      <c r="AQ728" s="4" t="s">
        <v>53</v>
      </c>
      <c r="AR728" s="4" t="s">
        <v>2998</v>
      </c>
      <c r="AS728" s="5">
        <v>27101</v>
      </c>
      <c r="AT728" t="s">
        <v>47</v>
      </c>
    </row>
    <row r="729" spans="1:46" ht="117" x14ac:dyDescent="0.3">
      <c r="A729" s="4" t="s">
        <v>2999</v>
      </c>
      <c r="B729" t="s">
        <v>47</v>
      </c>
      <c r="C729" s="4" t="s">
        <v>3000</v>
      </c>
      <c r="D729" s="4" t="s">
        <v>1620</v>
      </c>
      <c r="E729" s="4" t="s">
        <v>1621</v>
      </c>
      <c r="F729" s="5" t="s">
        <v>3001</v>
      </c>
      <c r="G729" s="5" t="s">
        <v>3002</v>
      </c>
      <c r="H729" t="s">
        <v>47</v>
      </c>
      <c r="I729" s="3">
        <v>32082</v>
      </c>
      <c r="J729" s="3">
        <v>42339</v>
      </c>
      <c r="K729" t="s">
        <v>47</v>
      </c>
      <c r="L729" s="5" t="s">
        <v>60</v>
      </c>
      <c r="M729" s="3">
        <v>33604</v>
      </c>
      <c r="N729" s="3">
        <v>42339</v>
      </c>
      <c r="O729" t="s">
        <v>47</v>
      </c>
      <c r="P729" s="3">
        <v>32082</v>
      </c>
      <c r="Q729" s="3">
        <v>42339</v>
      </c>
      <c r="R729" t="s">
        <v>47</v>
      </c>
      <c r="S729" t="s">
        <v>47</v>
      </c>
      <c r="T729" t="s">
        <v>47</v>
      </c>
      <c r="U729" t="s">
        <v>47</v>
      </c>
      <c r="V729" t="s">
        <v>47</v>
      </c>
      <c r="W729" s="3">
        <v>26115</v>
      </c>
      <c r="X729" s="5" t="s">
        <v>50</v>
      </c>
      <c r="Y729" t="s">
        <v>47</v>
      </c>
      <c r="Z729" s="3">
        <v>26115</v>
      </c>
      <c r="AA729" s="5" t="s">
        <v>50</v>
      </c>
      <c r="AB729" t="s">
        <v>47</v>
      </c>
      <c r="AC729" s="3">
        <v>26115</v>
      </c>
      <c r="AD729" s="5" t="s">
        <v>50</v>
      </c>
      <c r="AE729" t="s">
        <v>47</v>
      </c>
      <c r="AF729" t="s">
        <v>47</v>
      </c>
      <c r="AG729" t="s">
        <v>47</v>
      </c>
      <c r="AH729" t="s">
        <v>47</v>
      </c>
      <c r="AI729" t="s">
        <v>47</v>
      </c>
      <c r="AJ729" t="s">
        <v>47</v>
      </c>
      <c r="AK729" t="s">
        <v>47</v>
      </c>
      <c r="AL729" t="s">
        <v>47</v>
      </c>
      <c r="AM729" t="s">
        <v>47</v>
      </c>
      <c r="AN729" t="s">
        <v>47</v>
      </c>
      <c r="AO729" s="5" t="s">
        <v>60</v>
      </c>
      <c r="AP729" s="4" t="s">
        <v>61</v>
      </c>
      <c r="AQ729" s="4" t="s">
        <v>53</v>
      </c>
      <c r="AR729" s="4" t="s">
        <v>3003</v>
      </c>
      <c r="AS729" s="5">
        <v>627</v>
      </c>
      <c r="AT729" t="s">
        <v>47</v>
      </c>
    </row>
    <row r="730" spans="1:46" ht="143" x14ac:dyDescent="0.3">
      <c r="A730" s="4" t="s">
        <v>3004</v>
      </c>
      <c r="B730" t="s">
        <v>47</v>
      </c>
      <c r="C730" s="4" t="s">
        <v>183</v>
      </c>
      <c r="D730" s="4" t="s">
        <v>333</v>
      </c>
      <c r="E730" s="4" t="s">
        <v>49</v>
      </c>
      <c r="F730" s="5" t="s">
        <v>3005</v>
      </c>
      <c r="G730" s="5" t="s">
        <v>3006</v>
      </c>
      <c r="H730" t="s">
        <v>47</v>
      </c>
      <c r="I730" s="3">
        <v>34425</v>
      </c>
      <c r="J730" s="3">
        <v>39783</v>
      </c>
      <c r="K730" t="s">
        <v>47</v>
      </c>
      <c r="L730" s="5" t="s">
        <v>60</v>
      </c>
      <c r="M730" s="3">
        <v>34425</v>
      </c>
      <c r="N730" s="3">
        <v>39783</v>
      </c>
      <c r="O730" t="s">
        <v>47</v>
      </c>
      <c r="P730" s="3">
        <v>34700</v>
      </c>
      <c r="Q730" s="3">
        <v>39783</v>
      </c>
      <c r="R730" t="s">
        <v>47</v>
      </c>
      <c r="S730" t="s">
        <v>47</v>
      </c>
      <c r="T730" t="s">
        <v>47</v>
      </c>
      <c r="U730" t="s">
        <v>47</v>
      </c>
      <c r="V730" t="s">
        <v>47</v>
      </c>
      <c r="W730" s="3">
        <v>32599</v>
      </c>
      <c r="X730" s="5" t="s">
        <v>50</v>
      </c>
      <c r="Y730" t="s">
        <v>47</v>
      </c>
      <c r="Z730" s="3">
        <v>32599</v>
      </c>
      <c r="AA730" s="5" t="s">
        <v>50</v>
      </c>
      <c r="AB730" t="s">
        <v>47</v>
      </c>
      <c r="AC730" s="3">
        <v>32599</v>
      </c>
      <c r="AD730" s="5" t="s">
        <v>50</v>
      </c>
      <c r="AE730" t="s">
        <v>47</v>
      </c>
      <c r="AF730" t="s">
        <v>47</v>
      </c>
      <c r="AG730" t="s">
        <v>47</v>
      </c>
      <c r="AH730" t="s">
        <v>47</v>
      </c>
      <c r="AI730" t="s">
        <v>47</v>
      </c>
      <c r="AJ730" t="s">
        <v>47</v>
      </c>
      <c r="AK730" t="s">
        <v>47</v>
      </c>
      <c r="AL730" t="s">
        <v>47</v>
      </c>
      <c r="AM730" t="s">
        <v>47</v>
      </c>
      <c r="AN730" t="s">
        <v>47</v>
      </c>
      <c r="AO730" s="5" t="s">
        <v>60</v>
      </c>
      <c r="AP730" s="4" t="s">
        <v>61</v>
      </c>
      <c r="AQ730" s="4" t="s">
        <v>53</v>
      </c>
      <c r="AR730" s="4" t="s">
        <v>3007</v>
      </c>
      <c r="AS730" s="5">
        <v>25110</v>
      </c>
      <c r="AT730" t="s">
        <v>47</v>
      </c>
    </row>
    <row r="731" spans="1:46" ht="26" x14ac:dyDescent="0.3">
      <c r="A731" s="4" t="s">
        <v>3008</v>
      </c>
      <c r="B731" t="s">
        <v>47</v>
      </c>
      <c r="C731" s="4" t="s">
        <v>122</v>
      </c>
      <c r="D731" s="4" t="s">
        <v>206</v>
      </c>
      <c r="E731" s="4" t="s">
        <v>123</v>
      </c>
      <c r="F731" s="5" t="s">
        <v>3009</v>
      </c>
      <c r="G731" s="5" t="s">
        <v>3010</v>
      </c>
      <c r="H731" t="s">
        <v>47</v>
      </c>
      <c r="I731" s="3">
        <v>35431</v>
      </c>
      <c r="J731" s="5" t="s">
        <v>50</v>
      </c>
      <c r="K731" t="s">
        <v>47</v>
      </c>
      <c r="L731" s="5" t="s">
        <v>60</v>
      </c>
      <c r="M731" s="3">
        <v>37987</v>
      </c>
      <c r="N731" s="3">
        <v>42826</v>
      </c>
      <c r="O731" t="s">
        <v>47</v>
      </c>
      <c r="P731" s="3">
        <v>35431</v>
      </c>
      <c r="Q731" s="5" t="s">
        <v>50</v>
      </c>
      <c r="R731" t="s">
        <v>47</v>
      </c>
      <c r="S731" t="s">
        <v>47</v>
      </c>
      <c r="T731" t="s">
        <v>47</v>
      </c>
      <c r="U731" t="s">
        <v>47</v>
      </c>
      <c r="V731" s="5">
        <v>365</v>
      </c>
      <c r="W731" s="3">
        <v>35431</v>
      </c>
      <c r="X731" s="5" t="s">
        <v>50</v>
      </c>
      <c r="Y731" t="s">
        <v>47</v>
      </c>
      <c r="Z731" s="3">
        <v>35431</v>
      </c>
      <c r="AA731" s="5" t="s">
        <v>50</v>
      </c>
      <c r="AB731" t="s">
        <v>47</v>
      </c>
      <c r="AC731" s="3">
        <v>35431</v>
      </c>
      <c r="AD731" s="5" t="s">
        <v>50</v>
      </c>
      <c r="AE731" t="s">
        <v>47</v>
      </c>
      <c r="AF731" t="s">
        <v>47</v>
      </c>
      <c r="AG731" t="s">
        <v>47</v>
      </c>
      <c r="AH731" t="s">
        <v>47</v>
      </c>
      <c r="AI731" t="s">
        <v>47</v>
      </c>
      <c r="AJ731" t="s">
        <v>47</v>
      </c>
      <c r="AK731" t="s">
        <v>47</v>
      </c>
      <c r="AL731" t="s">
        <v>47</v>
      </c>
      <c r="AM731" t="s">
        <v>47</v>
      </c>
      <c r="AN731" t="s">
        <v>47</v>
      </c>
      <c r="AO731" s="5" t="s">
        <v>60</v>
      </c>
      <c r="AP731" s="4" t="s">
        <v>61</v>
      </c>
      <c r="AQ731" s="4" t="s">
        <v>2519</v>
      </c>
      <c r="AR731" s="4" t="s">
        <v>54</v>
      </c>
      <c r="AS731" s="5">
        <v>54188</v>
      </c>
      <c r="AT731" t="s">
        <v>47</v>
      </c>
    </row>
    <row r="732" spans="1:46" ht="39" x14ac:dyDescent="0.3">
      <c r="A732" s="4" t="s">
        <v>3011</v>
      </c>
      <c r="B732" t="s">
        <v>47</v>
      </c>
      <c r="C732" s="4" t="s">
        <v>3012</v>
      </c>
      <c r="D732" s="4" t="s">
        <v>3013</v>
      </c>
      <c r="E732" s="4" t="s">
        <v>100</v>
      </c>
      <c r="F732" t="s">
        <v>47</v>
      </c>
      <c r="G732" s="5" t="s">
        <v>3014</v>
      </c>
      <c r="H732" t="s">
        <v>47</v>
      </c>
      <c r="I732" s="3">
        <v>36678</v>
      </c>
      <c r="J732" s="5" t="s">
        <v>50</v>
      </c>
      <c r="K732" t="s">
        <v>47</v>
      </c>
      <c r="L732" s="5" t="s">
        <v>60</v>
      </c>
      <c r="M732" s="3">
        <v>36678</v>
      </c>
      <c r="N732" s="5" t="s">
        <v>50</v>
      </c>
      <c r="O732" t="s">
        <v>47</v>
      </c>
      <c r="P732" s="3">
        <v>36678</v>
      </c>
      <c r="Q732" s="5" t="s">
        <v>50</v>
      </c>
      <c r="R732" t="s">
        <v>47</v>
      </c>
      <c r="S732" t="s">
        <v>47</v>
      </c>
      <c r="T732" t="s">
        <v>47</v>
      </c>
      <c r="U732" t="s">
        <v>47</v>
      </c>
      <c r="V732" t="s">
        <v>47</v>
      </c>
      <c r="W732" s="3">
        <v>36678</v>
      </c>
      <c r="X732" s="5" t="s">
        <v>50</v>
      </c>
      <c r="Y732" t="s">
        <v>47</v>
      </c>
      <c r="Z732" s="3">
        <v>36678</v>
      </c>
      <c r="AA732" s="5" t="s">
        <v>50</v>
      </c>
      <c r="AB732" t="s">
        <v>47</v>
      </c>
      <c r="AC732" s="3">
        <v>36678</v>
      </c>
      <c r="AD732" s="5" t="s">
        <v>50</v>
      </c>
      <c r="AE732" t="s">
        <v>47</v>
      </c>
      <c r="AF732" t="s">
        <v>47</v>
      </c>
      <c r="AG732" t="s">
        <v>47</v>
      </c>
      <c r="AH732" t="s">
        <v>47</v>
      </c>
      <c r="AI732" t="s">
        <v>47</v>
      </c>
      <c r="AJ732" t="s">
        <v>47</v>
      </c>
      <c r="AK732" t="s">
        <v>47</v>
      </c>
      <c r="AL732" t="s">
        <v>47</v>
      </c>
      <c r="AM732" t="s">
        <v>47</v>
      </c>
      <c r="AN732" t="s">
        <v>47</v>
      </c>
      <c r="AO732" s="5" t="s">
        <v>60</v>
      </c>
      <c r="AP732" s="4" t="s">
        <v>61</v>
      </c>
      <c r="AQ732" t="s">
        <v>47</v>
      </c>
      <c r="AR732" s="4" t="s">
        <v>186</v>
      </c>
      <c r="AS732" s="5">
        <v>28311</v>
      </c>
      <c r="AT732" t="s">
        <v>47</v>
      </c>
    </row>
    <row r="733" spans="1:46" ht="52" x14ac:dyDescent="0.3">
      <c r="A733" s="4" t="s">
        <v>3015</v>
      </c>
      <c r="B733" t="s">
        <v>47</v>
      </c>
      <c r="C733" s="4" t="s">
        <v>131</v>
      </c>
      <c r="D733" s="4" t="s">
        <v>132</v>
      </c>
      <c r="E733" s="4" t="s">
        <v>66</v>
      </c>
      <c r="F733" s="5" t="s">
        <v>3016</v>
      </c>
      <c r="G733" s="5" t="s">
        <v>3017</v>
      </c>
      <c r="H733" t="s">
        <v>47</v>
      </c>
      <c r="I733" s="3">
        <v>41183</v>
      </c>
      <c r="J733" s="3">
        <v>44013</v>
      </c>
      <c r="K733" t="s">
        <v>47</v>
      </c>
      <c r="L733" s="5" t="s">
        <v>51</v>
      </c>
      <c r="M733" s="3">
        <v>41183</v>
      </c>
      <c r="N733" s="3">
        <v>44013</v>
      </c>
      <c r="O733" t="s">
        <v>47</v>
      </c>
      <c r="P733" s="3">
        <v>41183</v>
      </c>
      <c r="Q733" s="3">
        <v>44013</v>
      </c>
      <c r="R733" t="s">
        <v>47</v>
      </c>
      <c r="S733" t="s">
        <v>47</v>
      </c>
      <c r="T733" t="s">
        <v>47</v>
      </c>
      <c r="U733" t="s">
        <v>47</v>
      </c>
      <c r="V733" t="s">
        <v>47</v>
      </c>
      <c r="W733" s="3">
        <v>41183</v>
      </c>
      <c r="X733" s="3">
        <v>44013</v>
      </c>
      <c r="Y733" t="s">
        <v>47</v>
      </c>
      <c r="Z733" s="3">
        <v>41183</v>
      </c>
      <c r="AA733" s="3">
        <v>44013</v>
      </c>
      <c r="AB733" t="s">
        <v>47</v>
      </c>
      <c r="AC733" s="3">
        <v>41183</v>
      </c>
      <c r="AD733" s="3">
        <v>44013</v>
      </c>
      <c r="AE733" t="s">
        <v>47</v>
      </c>
      <c r="AF733" t="s">
        <v>47</v>
      </c>
      <c r="AG733" t="s">
        <v>47</v>
      </c>
      <c r="AH733" t="s">
        <v>47</v>
      </c>
      <c r="AI733" t="s">
        <v>47</v>
      </c>
      <c r="AJ733" t="s">
        <v>47</v>
      </c>
      <c r="AK733" t="s">
        <v>47</v>
      </c>
      <c r="AL733" t="s">
        <v>47</v>
      </c>
      <c r="AM733" t="s">
        <v>47</v>
      </c>
      <c r="AN733" t="s">
        <v>47</v>
      </c>
      <c r="AO733" s="5" t="s">
        <v>51</v>
      </c>
      <c r="AP733" s="4" t="s">
        <v>135</v>
      </c>
      <c r="AQ733" s="4" t="s">
        <v>53</v>
      </c>
      <c r="AR733" s="4" t="s">
        <v>1337</v>
      </c>
      <c r="AS733" s="5">
        <v>2029237</v>
      </c>
      <c r="AT733" t="s">
        <v>47</v>
      </c>
    </row>
    <row r="734" spans="1:46" ht="26" x14ac:dyDescent="0.3">
      <c r="A734" s="4" t="s">
        <v>3018</v>
      </c>
      <c r="B734" t="s">
        <v>47</v>
      </c>
      <c r="C734" s="4" t="s">
        <v>3019</v>
      </c>
      <c r="D734" s="4" t="s">
        <v>2376</v>
      </c>
      <c r="E734" s="4" t="s">
        <v>2377</v>
      </c>
      <c r="F734" s="5" t="s">
        <v>3020</v>
      </c>
      <c r="G734" t="s">
        <v>47</v>
      </c>
      <c r="H734" t="s">
        <v>47</v>
      </c>
      <c r="I734" s="3">
        <v>41214</v>
      </c>
      <c r="J734" s="3">
        <v>43405</v>
      </c>
      <c r="K734" t="s">
        <v>47</v>
      </c>
      <c r="L734" s="5" t="s">
        <v>60</v>
      </c>
      <c r="M734" s="3">
        <v>41214</v>
      </c>
      <c r="N734" s="3">
        <v>43405</v>
      </c>
      <c r="O734" t="s">
        <v>47</v>
      </c>
      <c r="P734" s="3">
        <v>41214</v>
      </c>
      <c r="Q734" s="3">
        <v>43405</v>
      </c>
      <c r="R734" t="s">
        <v>47</v>
      </c>
      <c r="S734" t="s">
        <v>47</v>
      </c>
      <c r="T734" t="s">
        <v>47</v>
      </c>
      <c r="U734" t="s">
        <v>47</v>
      </c>
      <c r="V734" t="s">
        <v>47</v>
      </c>
      <c r="W734" s="3">
        <v>41214</v>
      </c>
      <c r="X734" s="3">
        <v>43405</v>
      </c>
      <c r="Y734" t="s">
        <v>47</v>
      </c>
      <c r="Z734" s="3">
        <v>41214</v>
      </c>
      <c r="AA734" s="3">
        <v>43405</v>
      </c>
      <c r="AB734" t="s">
        <v>47</v>
      </c>
      <c r="AC734" s="3">
        <v>41214</v>
      </c>
      <c r="AD734" s="3">
        <v>43405</v>
      </c>
      <c r="AE734" t="s">
        <v>47</v>
      </c>
      <c r="AF734" t="s">
        <v>47</v>
      </c>
      <c r="AG734" t="s">
        <v>47</v>
      </c>
      <c r="AH734" t="s">
        <v>47</v>
      </c>
      <c r="AI734" t="s">
        <v>47</v>
      </c>
      <c r="AJ734" t="s">
        <v>47</v>
      </c>
      <c r="AK734" t="s">
        <v>47</v>
      </c>
      <c r="AL734" t="s">
        <v>47</v>
      </c>
      <c r="AM734" t="s">
        <v>47</v>
      </c>
      <c r="AN734" t="s">
        <v>47</v>
      </c>
      <c r="AO734" s="5" t="s">
        <v>60</v>
      </c>
      <c r="AP734" s="4" t="s">
        <v>61</v>
      </c>
      <c r="AQ734" s="4" t="s">
        <v>53</v>
      </c>
      <c r="AR734" s="4" t="s">
        <v>54</v>
      </c>
      <c r="AS734" s="5">
        <v>2029238</v>
      </c>
      <c r="AT734" t="s">
        <v>47</v>
      </c>
    </row>
    <row r="735" spans="1:46" ht="39" x14ac:dyDescent="0.3">
      <c r="A735" s="4" t="s">
        <v>3021</v>
      </c>
      <c r="B735" t="s">
        <v>47</v>
      </c>
      <c r="C735" s="4" t="s">
        <v>3022</v>
      </c>
      <c r="D735" s="4" t="s">
        <v>2105</v>
      </c>
      <c r="E735" s="4" t="s">
        <v>151</v>
      </c>
      <c r="F735" t="s">
        <v>47</v>
      </c>
      <c r="G735" t="s">
        <v>47</v>
      </c>
      <c r="H735" t="s">
        <v>47</v>
      </c>
      <c r="I735" s="3">
        <v>40909</v>
      </c>
      <c r="J735" s="3">
        <v>44197</v>
      </c>
      <c r="K735" t="s">
        <v>47</v>
      </c>
      <c r="L735" s="5" t="s">
        <v>51</v>
      </c>
      <c r="M735" s="3">
        <v>40909</v>
      </c>
      <c r="N735" s="3">
        <v>44197</v>
      </c>
      <c r="O735" t="s">
        <v>47</v>
      </c>
      <c r="P735" s="3">
        <v>40909</v>
      </c>
      <c r="Q735" s="3">
        <v>44197</v>
      </c>
      <c r="R735" t="s">
        <v>47</v>
      </c>
      <c r="S735" t="s">
        <v>47</v>
      </c>
      <c r="T735" t="s">
        <v>47</v>
      </c>
      <c r="U735" t="s">
        <v>47</v>
      </c>
      <c r="V735" t="s">
        <v>47</v>
      </c>
      <c r="W735" s="3">
        <v>40909</v>
      </c>
      <c r="X735" s="3">
        <v>44197</v>
      </c>
      <c r="Y735" t="s">
        <v>47</v>
      </c>
      <c r="Z735" s="3">
        <v>40909</v>
      </c>
      <c r="AA735" s="3">
        <v>44197</v>
      </c>
      <c r="AB735" t="s">
        <v>47</v>
      </c>
      <c r="AC735" s="3">
        <v>40909</v>
      </c>
      <c r="AD735" s="3">
        <v>44197</v>
      </c>
      <c r="AE735" t="s">
        <v>47</v>
      </c>
      <c r="AF735" t="s">
        <v>47</v>
      </c>
      <c r="AG735" t="s">
        <v>47</v>
      </c>
      <c r="AH735" t="s">
        <v>47</v>
      </c>
      <c r="AI735" t="s">
        <v>47</v>
      </c>
      <c r="AJ735" t="s">
        <v>47</v>
      </c>
      <c r="AK735" t="s">
        <v>47</v>
      </c>
      <c r="AL735" t="s">
        <v>47</v>
      </c>
      <c r="AM735" t="s">
        <v>47</v>
      </c>
      <c r="AN735" t="s">
        <v>47</v>
      </c>
      <c r="AO735" s="5" t="s">
        <v>51</v>
      </c>
      <c r="AP735" s="4" t="s">
        <v>2113</v>
      </c>
      <c r="AQ735" s="4" t="s">
        <v>53</v>
      </c>
      <c r="AR735" s="4" t="s">
        <v>1543</v>
      </c>
      <c r="AS735" s="5">
        <v>1876338</v>
      </c>
      <c r="AT735" t="s">
        <v>47</v>
      </c>
    </row>
    <row r="736" spans="1:46" ht="143" x14ac:dyDescent="0.3">
      <c r="A736" s="4" t="s">
        <v>3023</v>
      </c>
      <c r="B736" t="s">
        <v>47</v>
      </c>
      <c r="C736" s="4" t="s">
        <v>193</v>
      </c>
      <c r="D736" s="4" t="s">
        <v>194</v>
      </c>
      <c r="E736" s="4" t="s">
        <v>195</v>
      </c>
      <c r="F736" t="s">
        <v>47</v>
      </c>
      <c r="G736" s="5" t="s">
        <v>3024</v>
      </c>
      <c r="H736" t="s">
        <v>47</v>
      </c>
      <c r="I736" s="3">
        <v>40868</v>
      </c>
      <c r="J736" s="5" t="s">
        <v>50</v>
      </c>
      <c r="K736" s="5" t="s">
        <v>537</v>
      </c>
      <c r="L736" s="5" t="s">
        <v>51</v>
      </c>
      <c r="M736" t="s">
        <v>47</v>
      </c>
      <c r="N736" t="s">
        <v>47</v>
      </c>
      <c r="O736" t="s">
        <v>47</v>
      </c>
      <c r="P736" s="3">
        <v>40868</v>
      </c>
      <c r="Q736" s="5" t="s">
        <v>50</v>
      </c>
      <c r="R736" s="5" t="s">
        <v>537</v>
      </c>
      <c r="S736" t="s">
        <v>47</v>
      </c>
      <c r="T736" t="s">
        <v>47</v>
      </c>
      <c r="U736" t="s">
        <v>47</v>
      </c>
      <c r="V736" s="5">
        <v>180</v>
      </c>
      <c r="W736" s="3">
        <v>40868</v>
      </c>
      <c r="X736" s="5" t="s">
        <v>50</v>
      </c>
      <c r="Y736" s="5" t="s">
        <v>537</v>
      </c>
      <c r="Z736" s="3">
        <v>40868</v>
      </c>
      <c r="AA736" s="5" t="s">
        <v>50</v>
      </c>
      <c r="AB736" s="5" t="s">
        <v>537</v>
      </c>
      <c r="AC736" s="3">
        <v>40868</v>
      </c>
      <c r="AD736" s="5" t="s">
        <v>50</v>
      </c>
      <c r="AE736" s="5" t="s">
        <v>537</v>
      </c>
      <c r="AF736" t="s">
        <v>47</v>
      </c>
      <c r="AG736" t="s">
        <v>47</v>
      </c>
      <c r="AH736" t="s">
        <v>47</v>
      </c>
      <c r="AI736" t="s">
        <v>47</v>
      </c>
      <c r="AJ736" t="s">
        <v>47</v>
      </c>
      <c r="AK736" t="s">
        <v>47</v>
      </c>
      <c r="AL736" t="s">
        <v>47</v>
      </c>
      <c r="AM736" t="s">
        <v>47</v>
      </c>
      <c r="AN736" t="s">
        <v>47</v>
      </c>
      <c r="AO736" s="5" t="s">
        <v>51</v>
      </c>
      <c r="AP736" s="4" t="s">
        <v>1756</v>
      </c>
      <c r="AQ736" s="4" t="s">
        <v>53</v>
      </c>
      <c r="AR736" s="4" t="s">
        <v>3025</v>
      </c>
      <c r="AS736" s="5">
        <v>6245989</v>
      </c>
      <c r="AT736" t="s">
        <v>47</v>
      </c>
    </row>
    <row r="737" spans="1:46" ht="39" x14ac:dyDescent="0.3">
      <c r="A737" s="4" t="s">
        <v>3026</v>
      </c>
      <c r="B737" t="s">
        <v>47</v>
      </c>
      <c r="C737" s="4" t="s">
        <v>721</v>
      </c>
      <c r="D737" s="4" t="s">
        <v>722</v>
      </c>
      <c r="E737" s="4" t="s">
        <v>723</v>
      </c>
      <c r="F737" s="5" t="s">
        <v>3027</v>
      </c>
      <c r="G737" s="5" t="s">
        <v>3028</v>
      </c>
      <c r="H737" t="s">
        <v>47</v>
      </c>
      <c r="I737" s="3">
        <v>42005</v>
      </c>
      <c r="J737" s="3">
        <v>42736</v>
      </c>
      <c r="K737" t="s">
        <v>47</v>
      </c>
      <c r="L737" s="5" t="s">
        <v>60</v>
      </c>
      <c r="M737" t="s">
        <v>47</v>
      </c>
      <c r="N737" t="s">
        <v>47</v>
      </c>
      <c r="O737" t="s">
        <v>47</v>
      </c>
      <c r="P737" s="3">
        <v>42005</v>
      </c>
      <c r="Q737" s="3">
        <v>42736</v>
      </c>
      <c r="R737" t="s">
        <v>47</v>
      </c>
      <c r="S737" t="s">
        <v>47</v>
      </c>
      <c r="T737" t="s">
        <v>47</v>
      </c>
      <c r="U737" t="s">
        <v>47</v>
      </c>
      <c r="V737" t="s">
        <v>47</v>
      </c>
      <c r="W737" s="3">
        <v>42005</v>
      </c>
      <c r="X737" s="3">
        <v>42736</v>
      </c>
      <c r="Y737" t="s">
        <v>47</v>
      </c>
      <c r="Z737" s="3">
        <v>42005</v>
      </c>
      <c r="AA737" s="3">
        <v>42736</v>
      </c>
      <c r="AB737" t="s">
        <v>47</v>
      </c>
      <c r="AC737" t="s">
        <v>47</v>
      </c>
      <c r="AD737" t="s">
        <v>47</v>
      </c>
      <c r="AE737" t="s">
        <v>47</v>
      </c>
      <c r="AF737" t="s">
        <v>47</v>
      </c>
      <c r="AG737" t="s">
        <v>47</v>
      </c>
      <c r="AH737" t="s">
        <v>47</v>
      </c>
      <c r="AI737" t="s">
        <v>47</v>
      </c>
      <c r="AJ737" t="s">
        <v>47</v>
      </c>
      <c r="AK737" t="s">
        <v>47</v>
      </c>
      <c r="AL737" t="s">
        <v>47</v>
      </c>
      <c r="AM737" t="s">
        <v>47</v>
      </c>
      <c r="AN737" t="s">
        <v>47</v>
      </c>
      <c r="AO737" s="5" t="s">
        <v>60</v>
      </c>
      <c r="AP737" s="4" t="s">
        <v>61</v>
      </c>
      <c r="AQ737" s="4" t="s">
        <v>1519</v>
      </c>
      <c r="AR737" s="4" t="s">
        <v>186</v>
      </c>
      <c r="AS737" s="5">
        <v>2038898</v>
      </c>
      <c r="AT737" t="s">
        <v>47</v>
      </c>
    </row>
    <row r="738" spans="1:46" ht="26" x14ac:dyDescent="0.3">
      <c r="A738" s="4" t="s">
        <v>3029</v>
      </c>
      <c r="B738" t="s">
        <v>47</v>
      </c>
      <c r="C738" s="4" t="s">
        <v>115</v>
      </c>
      <c r="D738" s="4" t="s">
        <v>1019</v>
      </c>
      <c r="E738" s="4" t="s">
        <v>66</v>
      </c>
      <c r="F738" s="5" t="s">
        <v>3030</v>
      </c>
      <c r="G738" s="5" t="s">
        <v>3031</v>
      </c>
      <c r="H738" t="s">
        <v>47</v>
      </c>
      <c r="I738" s="3">
        <v>34700</v>
      </c>
      <c r="J738" s="5" t="s">
        <v>50</v>
      </c>
      <c r="K738" t="s">
        <v>47</v>
      </c>
      <c r="L738" s="5" t="s">
        <v>60</v>
      </c>
      <c r="M738" s="3">
        <v>34700</v>
      </c>
      <c r="N738" s="5" t="s">
        <v>50</v>
      </c>
      <c r="O738" t="s">
        <v>47</v>
      </c>
      <c r="P738" s="3">
        <v>37041</v>
      </c>
      <c r="Q738" s="5" t="s">
        <v>50</v>
      </c>
      <c r="R738" t="s">
        <v>47</v>
      </c>
      <c r="S738" t="s">
        <v>47</v>
      </c>
      <c r="T738" t="s">
        <v>47</v>
      </c>
      <c r="U738" t="s">
        <v>47</v>
      </c>
      <c r="V738" s="5">
        <v>365</v>
      </c>
      <c r="W738" s="3">
        <v>34700</v>
      </c>
      <c r="X738" s="5" t="s">
        <v>50</v>
      </c>
      <c r="Y738" t="s">
        <v>47</v>
      </c>
      <c r="Z738" s="3">
        <v>34700</v>
      </c>
      <c r="AA738" s="5" t="s">
        <v>50</v>
      </c>
      <c r="AB738" t="s">
        <v>47</v>
      </c>
      <c r="AC738" s="3">
        <v>34700</v>
      </c>
      <c r="AD738" s="5" t="s">
        <v>50</v>
      </c>
      <c r="AE738" t="s">
        <v>47</v>
      </c>
      <c r="AF738" t="s">
        <v>47</v>
      </c>
      <c r="AG738" t="s">
        <v>47</v>
      </c>
      <c r="AH738" t="s">
        <v>47</v>
      </c>
      <c r="AI738" t="s">
        <v>47</v>
      </c>
      <c r="AJ738" t="s">
        <v>47</v>
      </c>
      <c r="AK738" t="s">
        <v>47</v>
      </c>
      <c r="AL738" t="s">
        <v>47</v>
      </c>
      <c r="AM738" t="s">
        <v>47</v>
      </c>
      <c r="AN738" t="s">
        <v>47</v>
      </c>
      <c r="AO738" s="5" t="s">
        <v>60</v>
      </c>
      <c r="AP738" s="4" t="s">
        <v>61</v>
      </c>
      <c r="AQ738" s="4" t="s">
        <v>53</v>
      </c>
      <c r="AR738" s="4" t="s">
        <v>3032</v>
      </c>
      <c r="AS738" s="5">
        <v>46896</v>
      </c>
      <c r="AT738" t="s">
        <v>47</v>
      </c>
    </row>
    <row r="739" spans="1:46" ht="117" x14ac:dyDescent="0.3">
      <c r="A739" s="4" t="s">
        <v>3033</v>
      </c>
      <c r="B739" t="s">
        <v>47</v>
      </c>
      <c r="C739" s="4" t="s">
        <v>1365</v>
      </c>
      <c r="D739" s="4" t="s">
        <v>3034</v>
      </c>
      <c r="E739" s="4" t="s">
        <v>49</v>
      </c>
      <c r="F739" s="5" t="s">
        <v>3035</v>
      </c>
      <c r="G739" t="s">
        <v>47</v>
      </c>
      <c r="H739" t="s">
        <v>47</v>
      </c>
      <c r="I739" s="3">
        <v>35916</v>
      </c>
      <c r="J739" s="3">
        <v>43040</v>
      </c>
      <c r="K739" t="s">
        <v>47</v>
      </c>
      <c r="L739" s="5" t="s">
        <v>51</v>
      </c>
      <c r="M739" s="3">
        <v>35916</v>
      </c>
      <c r="N739" s="3">
        <v>43040</v>
      </c>
      <c r="O739" t="s">
        <v>47</v>
      </c>
      <c r="P739" s="3">
        <v>35916</v>
      </c>
      <c r="Q739" s="3">
        <v>43040</v>
      </c>
      <c r="R739" t="s">
        <v>47</v>
      </c>
      <c r="S739" t="s">
        <v>47</v>
      </c>
      <c r="T739" t="s">
        <v>47</v>
      </c>
      <c r="U739" t="s">
        <v>47</v>
      </c>
      <c r="V739" t="s">
        <v>47</v>
      </c>
      <c r="W739" s="3">
        <v>35916</v>
      </c>
      <c r="X739" s="3">
        <v>43040</v>
      </c>
      <c r="Y739" t="s">
        <v>47</v>
      </c>
      <c r="Z739" s="3">
        <v>35916</v>
      </c>
      <c r="AA739" s="3">
        <v>43040</v>
      </c>
      <c r="AB739" t="s">
        <v>47</v>
      </c>
      <c r="AC739" s="3">
        <v>35916</v>
      </c>
      <c r="AD739" s="3">
        <v>43040</v>
      </c>
      <c r="AE739" t="s">
        <v>47</v>
      </c>
      <c r="AF739" t="s">
        <v>47</v>
      </c>
      <c r="AG739" t="s">
        <v>47</v>
      </c>
      <c r="AH739" t="s">
        <v>47</v>
      </c>
      <c r="AI739" t="s">
        <v>47</v>
      </c>
      <c r="AJ739" t="s">
        <v>47</v>
      </c>
      <c r="AK739" t="s">
        <v>47</v>
      </c>
      <c r="AL739" t="s">
        <v>47</v>
      </c>
      <c r="AM739" t="s">
        <v>47</v>
      </c>
      <c r="AN739" t="s">
        <v>47</v>
      </c>
      <c r="AO739" s="5" t="s">
        <v>51</v>
      </c>
      <c r="AP739" s="4" t="s">
        <v>85</v>
      </c>
      <c r="AQ739" s="4" t="s">
        <v>53</v>
      </c>
      <c r="AR739" s="4" t="s">
        <v>3036</v>
      </c>
      <c r="AS739" s="5">
        <v>29385</v>
      </c>
      <c r="AT739" t="s">
        <v>47</v>
      </c>
    </row>
    <row r="740" spans="1:46" ht="78" x14ac:dyDescent="0.3">
      <c r="A740" s="4" t="s">
        <v>3037</v>
      </c>
      <c r="B740" t="s">
        <v>47</v>
      </c>
      <c r="C740" s="4" t="s">
        <v>183</v>
      </c>
      <c r="D740" s="4" t="s">
        <v>597</v>
      </c>
      <c r="E740" s="4" t="s">
        <v>49</v>
      </c>
      <c r="F740" s="5" t="s">
        <v>3038</v>
      </c>
      <c r="G740" s="5" t="s">
        <v>3039</v>
      </c>
      <c r="H740" t="s">
        <v>47</v>
      </c>
      <c r="I740" s="3">
        <v>35551</v>
      </c>
      <c r="J740" s="3">
        <v>40299</v>
      </c>
      <c r="K740" t="s">
        <v>47</v>
      </c>
      <c r="L740" s="5" t="s">
        <v>60</v>
      </c>
      <c r="M740" s="3">
        <v>35551</v>
      </c>
      <c r="N740" s="3">
        <v>39753</v>
      </c>
      <c r="O740" t="s">
        <v>47</v>
      </c>
      <c r="P740" s="3">
        <v>35551</v>
      </c>
      <c r="Q740" s="3">
        <v>40299</v>
      </c>
      <c r="R740" t="s">
        <v>47</v>
      </c>
      <c r="S740" t="s">
        <v>47</v>
      </c>
      <c r="T740" t="s">
        <v>47</v>
      </c>
      <c r="U740" t="s">
        <v>47</v>
      </c>
      <c r="V740" t="s">
        <v>47</v>
      </c>
      <c r="W740" s="3">
        <v>35551</v>
      </c>
      <c r="X740" s="5" t="s">
        <v>50</v>
      </c>
      <c r="Y740" t="s">
        <v>47</v>
      </c>
      <c r="Z740" s="3">
        <v>35551</v>
      </c>
      <c r="AA740" s="5" t="s">
        <v>50</v>
      </c>
      <c r="AB740" t="s">
        <v>47</v>
      </c>
      <c r="AC740" s="3">
        <v>37987</v>
      </c>
      <c r="AD740" s="5" t="s">
        <v>50</v>
      </c>
      <c r="AE740" t="s">
        <v>47</v>
      </c>
      <c r="AF740" t="s">
        <v>47</v>
      </c>
      <c r="AG740" t="s">
        <v>47</v>
      </c>
      <c r="AH740" t="s">
        <v>47</v>
      </c>
      <c r="AI740" t="s">
        <v>47</v>
      </c>
      <c r="AJ740" t="s">
        <v>47</v>
      </c>
      <c r="AK740" t="s">
        <v>47</v>
      </c>
      <c r="AL740" t="s">
        <v>47</v>
      </c>
      <c r="AM740" t="s">
        <v>47</v>
      </c>
      <c r="AN740" t="s">
        <v>47</v>
      </c>
      <c r="AO740" s="5" t="s">
        <v>60</v>
      </c>
      <c r="AP740" s="4" t="s">
        <v>61</v>
      </c>
      <c r="AQ740" s="4" t="s">
        <v>53</v>
      </c>
      <c r="AR740" s="4" t="s">
        <v>3040</v>
      </c>
      <c r="AS740" s="5">
        <v>34569</v>
      </c>
      <c r="AT740" t="s">
        <v>47</v>
      </c>
    </row>
    <row r="741" spans="1:46" ht="104" x14ac:dyDescent="0.3">
      <c r="A741" s="4" t="s">
        <v>3041</v>
      </c>
      <c r="B741" t="s">
        <v>47</v>
      </c>
      <c r="C741" s="4" t="s">
        <v>3042</v>
      </c>
      <c r="D741" s="4" t="s">
        <v>1664</v>
      </c>
      <c r="E741" s="4" t="s">
        <v>156</v>
      </c>
      <c r="F741" s="5" t="s">
        <v>3043</v>
      </c>
      <c r="G741" s="5" t="s">
        <v>3044</v>
      </c>
      <c r="H741" t="s">
        <v>47</v>
      </c>
      <c r="I741" s="3">
        <v>41334</v>
      </c>
      <c r="J741" s="5" t="s">
        <v>50</v>
      </c>
      <c r="K741" t="s">
        <v>47</v>
      </c>
      <c r="L741" s="5" t="s">
        <v>60</v>
      </c>
      <c r="M741" s="3">
        <v>41334</v>
      </c>
      <c r="N741" s="3">
        <v>44287</v>
      </c>
      <c r="O741" t="s">
        <v>47</v>
      </c>
      <c r="P741" s="3">
        <v>41334</v>
      </c>
      <c r="Q741" s="5" t="s">
        <v>50</v>
      </c>
      <c r="R741" t="s">
        <v>47</v>
      </c>
      <c r="S741" t="s">
        <v>47</v>
      </c>
      <c r="T741" t="s">
        <v>47</v>
      </c>
      <c r="U741" t="s">
        <v>47</v>
      </c>
      <c r="V741" t="s">
        <v>47</v>
      </c>
      <c r="W741" s="3">
        <v>41334</v>
      </c>
      <c r="X741" s="5" t="s">
        <v>50</v>
      </c>
      <c r="Y741" t="s">
        <v>47</v>
      </c>
      <c r="Z741" s="3">
        <v>41334</v>
      </c>
      <c r="AA741" s="5" t="s">
        <v>50</v>
      </c>
      <c r="AB741" t="s">
        <v>47</v>
      </c>
      <c r="AC741" s="3">
        <v>41334</v>
      </c>
      <c r="AD741" s="5" t="s">
        <v>50</v>
      </c>
      <c r="AE741" t="s">
        <v>47</v>
      </c>
      <c r="AF741" t="s">
        <v>47</v>
      </c>
      <c r="AG741" t="s">
        <v>47</v>
      </c>
      <c r="AH741" t="s">
        <v>47</v>
      </c>
      <c r="AI741" t="s">
        <v>47</v>
      </c>
      <c r="AJ741" t="s">
        <v>47</v>
      </c>
      <c r="AK741" t="s">
        <v>47</v>
      </c>
      <c r="AL741" t="s">
        <v>47</v>
      </c>
      <c r="AM741" t="s">
        <v>47</v>
      </c>
      <c r="AN741" t="s">
        <v>47</v>
      </c>
      <c r="AO741" s="5" t="s">
        <v>60</v>
      </c>
      <c r="AP741" s="4" t="s">
        <v>61</v>
      </c>
      <c r="AQ741" s="4" t="s">
        <v>1677</v>
      </c>
      <c r="AR741" s="4" t="s">
        <v>557</v>
      </c>
      <c r="AS741" s="5">
        <v>2032603</v>
      </c>
      <c r="AT741" t="s">
        <v>47</v>
      </c>
    </row>
    <row r="742" spans="1:46" ht="52" x14ac:dyDescent="0.3">
      <c r="A742" s="4" t="s">
        <v>3045</v>
      </c>
      <c r="B742" t="s">
        <v>47</v>
      </c>
      <c r="C742" s="4" t="s">
        <v>48</v>
      </c>
      <c r="D742" t="s">
        <v>47</v>
      </c>
      <c r="E742" s="4" t="s">
        <v>49</v>
      </c>
      <c r="F742" t="s">
        <v>47</v>
      </c>
      <c r="G742" t="s">
        <v>47</v>
      </c>
      <c r="H742" t="s">
        <v>47</v>
      </c>
      <c r="I742" s="3">
        <v>44316</v>
      </c>
      <c r="J742" s="5" t="s">
        <v>50</v>
      </c>
      <c r="K742" t="s">
        <v>47</v>
      </c>
      <c r="L742" s="5" t="s">
        <v>51</v>
      </c>
      <c r="M742" s="3">
        <v>44316</v>
      </c>
      <c r="N742" s="5" t="s">
        <v>50</v>
      </c>
      <c r="O742" t="s">
        <v>47</v>
      </c>
      <c r="P742" t="s">
        <v>47</v>
      </c>
      <c r="Q742" t="s">
        <v>47</v>
      </c>
      <c r="R742" t="s">
        <v>47</v>
      </c>
      <c r="S742" t="s">
        <v>47</v>
      </c>
      <c r="T742" t="s">
        <v>47</v>
      </c>
      <c r="U742" t="s">
        <v>47</v>
      </c>
      <c r="V742" t="s">
        <v>47</v>
      </c>
      <c r="W742" s="3">
        <v>44316</v>
      </c>
      <c r="X742" s="5" t="s">
        <v>50</v>
      </c>
      <c r="Y742" t="s">
        <v>47</v>
      </c>
      <c r="Z742" s="3">
        <v>44316</v>
      </c>
      <c r="AA742" s="5" t="s">
        <v>50</v>
      </c>
      <c r="AB742" t="s">
        <v>47</v>
      </c>
      <c r="AC742" t="s">
        <v>47</v>
      </c>
      <c r="AD742" t="s">
        <v>47</v>
      </c>
      <c r="AE742" t="s">
        <v>47</v>
      </c>
      <c r="AF742" t="s">
        <v>47</v>
      </c>
      <c r="AG742" t="s">
        <v>47</v>
      </c>
      <c r="AH742" t="s">
        <v>47</v>
      </c>
      <c r="AI742" t="s">
        <v>47</v>
      </c>
      <c r="AJ742" t="s">
        <v>47</v>
      </c>
      <c r="AK742" t="s">
        <v>47</v>
      </c>
      <c r="AL742" t="s">
        <v>47</v>
      </c>
      <c r="AM742" t="s">
        <v>47</v>
      </c>
      <c r="AN742" t="s">
        <v>47</v>
      </c>
      <c r="AO742" s="5" t="s">
        <v>51</v>
      </c>
      <c r="AP742" s="4" t="s">
        <v>52</v>
      </c>
      <c r="AQ742" s="4" t="s">
        <v>53</v>
      </c>
      <c r="AR742" s="4" t="s">
        <v>3046</v>
      </c>
      <c r="AS742" s="5">
        <v>5343206</v>
      </c>
      <c r="AT742" t="s">
        <v>47</v>
      </c>
    </row>
    <row r="743" spans="1:46" ht="13" x14ac:dyDescent="0.3">
      <c r="A743" s="4" t="s">
        <v>3047</v>
      </c>
      <c r="B743" t="s">
        <v>47</v>
      </c>
      <c r="C743" s="4" t="s">
        <v>169</v>
      </c>
      <c r="D743" s="4" t="s">
        <v>2723</v>
      </c>
      <c r="E743" s="4" t="s">
        <v>66</v>
      </c>
      <c r="F743" s="5" t="s">
        <v>3048</v>
      </c>
      <c r="G743" s="5" t="s">
        <v>3049</v>
      </c>
      <c r="H743" t="s">
        <v>47</v>
      </c>
      <c r="I743" t="s">
        <v>47</v>
      </c>
      <c r="J743" t="s">
        <v>47</v>
      </c>
      <c r="K743" t="s">
        <v>47</v>
      </c>
      <c r="L743" s="5" t="s">
        <v>60</v>
      </c>
      <c r="M743" t="s">
        <v>47</v>
      </c>
      <c r="N743" t="s">
        <v>47</v>
      </c>
      <c r="O743" t="s">
        <v>47</v>
      </c>
      <c r="P743" t="s">
        <v>47</v>
      </c>
      <c r="Q743" t="s">
        <v>47</v>
      </c>
      <c r="R743" t="s">
        <v>47</v>
      </c>
      <c r="S743" t="s">
        <v>47</v>
      </c>
      <c r="T743" t="s">
        <v>47</v>
      </c>
      <c r="U743" t="s">
        <v>47</v>
      </c>
      <c r="V743" t="s">
        <v>47</v>
      </c>
      <c r="W743" s="3">
        <v>40179</v>
      </c>
      <c r="X743" s="5" t="s">
        <v>50</v>
      </c>
      <c r="Y743" s="5" t="s">
        <v>811</v>
      </c>
      <c r="Z743" s="3">
        <v>40179</v>
      </c>
      <c r="AA743" s="5" t="s">
        <v>50</v>
      </c>
      <c r="AB743" s="5" t="s">
        <v>811</v>
      </c>
      <c r="AC743" s="3">
        <v>40179</v>
      </c>
      <c r="AD743" s="5" t="s">
        <v>50</v>
      </c>
      <c r="AE743" s="5" t="s">
        <v>811</v>
      </c>
      <c r="AF743" t="s">
        <v>47</v>
      </c>
      <c r="AG743" t="s">
        <v>47</v>
      </c>
      <c r="AH743" t="s">
        <v>47</v>
      </c>
      <c r="AI743" t="s">
        <v>47</v>
      </c>
      <c r="AJ743" t="s">
        <v>47</v>
      </c>
      <c r="AK743" t="s">
        <v>47</v>
      </c>
      <c r="AL743" t="s">
        <v>47</v>
      </c>
      <c r="AM743" t="s">
        <v>47</v>
      </c>
      <c r="AN743" t="s">
        <v>47</v>
      </c>
      <c r="AO743" s="5" t="s">
        <v>60</v>
      </c>
      <c r="AP743" s="4" t="s">
        <v>61</v>
      </c>
      <c r="AQ743" s="4" t="s">
        <v>53</v>
      </c>
      <c r="AR743" s="4" t="s">
        <v>54</v>
      </c>
      <c r="AS743" s="5">
        <v>426763</v>
      </c>
      <c r="AT743" t="s">
        <v>47</v>
      </c>
    </row>
    <row r="744" spans="1:46" ht="130" x14ac:dyDescent="0.3">
      <c r="A744" s="4" t="s">
        <v>3050</v>
      </c>
      <c r="B744" t="s">
        <v>47</v>
      </c>
      <c r="C744" s="4" t="s">
        <v>616</v>
      </c>
      <c r="D744" s="4" t="s">
        <v>2737</v>
      </c>
      <c r="E744" s="4" t="s">
        <v>58</v>
      </c>
      <c r="F744" s="5" t="s">
        <v>3051</v>
      </c>
      <c r="G744" t="s">
        <v>47</v>
      </c>
      <c r="H744" t="s">
        <v>47</v>
      </c>
      <c r="I744" s="3">
        <v>38322</v>
      </c>
      <c r="J744" s="3">
        <v>41974</v>
      </c>
      <c r="K744" t="s">
        <v>47</v>
      </c>
      <c r="L744" s="5" t="s">
        <v>51</v>
      </c>
      <c r="M744" s="3">
        <v>38322</v>
      </c>
      <c r="N744" s="3">
        <v>41974</v>
      </c>
      <c r="O744" t="s">
        <v>47</v>
      </c>
      <c r="P744" s="3">
        <v>38322</v>
      </c>
      <c r="Q744" s="3">
        <v>41974</v>
      </c>
      <c r="R744" t="s">
        <v>47</v>
      </c>
      <c r="S744" t="s">
        <v>47</v>
      </c>
      <c r="T744" t="s">
        <v>47</v>
      </c>
      <c r="U744" t="s">
        <v>47</v>
      </c>
      <c r="V744" t="s">
        <v>47</v>
      </c>
      <c r="W744" s="3">
        <v>38322</v>
      </c>
      <c r="X744" s="3">
        <v>41974</v>
      </c>
      <c r="Y744" t="s">
        <v>47</v>
      </c>
      <c r="Z744" s="3">
        <v>38322</v>
      </c>
      <c r="AA744" s="3">
        <v>41974</v>
      </c>
      <c r="AB744" t="s">
        <v>47</v>
      </c>
      <c r="AC744" s="3">
        <v>38322</v>
      </c>
      <c r="AD744" s="3">
        <v>41974</v>
      </c>
      <c r="AE744" t="s">
        <v>47</v>
      </c>
      <c r="AF744" t="s">
        <v>47</v>
      </c>
      <c r="AG744" t="s">
        <v>47</v>
      </c>
      <c r="AH744" t="s">
        <v>47</v>
      </c>
      <c r="AI744" t="s">
        <v>47</v>
      </c>
      <c r="AJ744" t="s">
        <v>47</v>
      </c>
      <c r="AK744" t="s">
        <v>47</v>
      </c>
      <c r="AL744" t="s">
        <v>47</v>
      </c>
      <c r="AM744" t="s">
        <v>47</v>
      </c>
      <c r="AN744" t="s">
        <v>47</v>
      </c>
      <c r="AO744" s="5" t="s">
        <v>51</v>
      </c>
      <c r="AP744" s="4" t="s">
        <v>135</v>
      </c>
      <c r="AQ744" s="4" t="s">
        <v>53</v>
      </c>
      <c r="AR744" s="4" t="s">
        <v>3052</v>
      </c>
      <c r="AS744" s="5">
        <v>38599</v>
      </c>
      <c r="AT744" t="s">
        <v>47</v>
      </c>
    </row>
    <row r="745" spans="1:46" ht="104" x14ac:dyDescent="0.3">
      <c r="A745" s="4" t="s">
        <v>3053</v>
      </c>
      <c r="B745" t="s">
        <v>47</v>
      </c>
      <c r="C745" s="4" t="s">
        <v>3054</v>
      </c>
      <c r="D745" s="4" t="s">
        <v>3055</v>
      </c>
      <c r="E745" s="4" t="s">
        <v>49</v>
      </c>
      <c r="F745" s="5" t="s">
        <v>3056</v>
      </c>
      <c r="G745" s="5" t="s">
        <v>3057</v>
      </c>
      <c r="H745" t="s">
        <v>47</v>
      </c>
      <c r="I745" s="3">
        <v>34243</v>
      </c>
      <c r="J745" s="3">
        <v>41214</v>
      </c>
      <c r="K745" t="s">
        <v>47</v>
      </c>
      <c r="L745" s="5" t="s">
        <v>60</v>
      </c>
      <c r="M745" s="3">
        <v>34243</v>
      </c>
      <c r="N745" s="3">
        <v>38292</v>
      </c>
      <c r="O745" t="s">
        <v>47</v>
      </c>
      <c r="P745" s="3">
        <v>35339</v>
      </c>
      <c r="Q745" s="3">
        <v>41214</v>
      </c>
      <c r="R745" t="s">
        <v>47</v>
      </c>
      <c r="S745" t="s">
        <v>47</v>
      </c>
      <c r="T745" t="s">
        <v>47</v>
      </c>
      <c r="U745" t="s">
        <v>47</v>
      </c>
      <c r="V745" t="s">
        <v>47</v>
      </c>
      <c r="W745" s="3">
        <v>31503</v>
      </c>
      <c r="X745" s="5" t="s">
        <v>50</v>
      </c>
      <c r="Y745" t="s">
        <v>47</v>
      </c>
      <c r="Z745" s="3">
        <v>31503</v>
      </c>
      <c r="AA745" s="5" t="s">
        <v>50</v>
      </c>
      <c r="AB745" t="s">
        <v>47</v>
      </c>
      <c r="AC745" s="3">
        <v>32782</v>
      </c>
      <c r="AD745" s="5" t="s">
        <v>50</v>
      </c>
      <c r="AE745" t="s">
        <v>47</v>
      </c>
      <c r="AF745" t="s">
        <v>47</v>
      </c>
      <c r="AG745" t="s">
        <v>47</v>
      </c>
      <c r="AH745" t="s">
        <v>47</v>
      </c>
      <c r="AI745" t="s">
        <v>47</v>
      </c>
      <c r="AJ745" t="s">
        <v>47</v>
      </c>
      <c r="AK745" t="s">
        <v>47</v>
      </c>
      <c r="AL745" t="s">
        <v>47</v>
      </c>
      <c r="AM745" t="s">
        <v>47</v>
      </c>
      <c r="AN745" t="s">
        <v>47</v>
      </c>
      <c r="AO745" s="5" t="s">
        <v>60</v>
      </c>
      <c r="AP745" s="4" t="s">
        <v>61</v>
      </c>
      <c r="AQ745" s="4" t="s">
        <v>53</v>
      </c>
      <c r="AR745" s="4" t="s">
        <v>3058</v>
      </c>
      <c r="AS745" s="5">
        <v>31655</v>
      </c>
      <c r="AT745" t="s">
        <v>47</v>
      </c>
    </row>
    <row r="746" spans="1:46" ht="26" x14ac:dyDescent="0.3">
      <c r="A746" s="4" t="s">
        <v>3059</v>
      </c>
      <c r="B746" t="s">
        <v>47</v>
      </c>
      <c r="C746" s="4" t="s">
        <v>3060</v>
      </c>
      <c r="D746" s="4" t="s">
        <v>3061</v>
      </c>
      <c r="E746" s="4" t="s">
        <v>49</v>
      </c>
      <c r="F746" s="5" t="s">
        <v>3062</v>
      </c>
      <c r="G746" s="5" t="s">
        <v>3063</v>
      </c>
      <c r="H746" t="s">
        <v>47</v>
      </c>
      <c r="I746" t="s">
        <v>47</v>
      </c>
      <c r="J746" t="s">
        <v>47</v>
      </c>
      <c r="K746" t="s">
        <v>47</v>
      </c>
      <c r="L746" s="5" t="s">
        <v>60</v>
      </c>
      <c r="M746" t="s">
        <v>47</v>
      </c>
      <c r="N746" t="s">
        <v>47</v>
      </c>
      <c r="O746" t="s">
        <v>47</v>
      </c>
      <c r="P746" t="s">
        <v>47</v>
      </c>
      <c r="Q746" t="s">
        <v>47</v>
      </c>
      <c r="R746" t="s">
        <v>47</v>
      </c>
      <c r="S746" t="s">
        <v>47</v>
      </c>
      <c r="T746" t="s">
        <v>47</v>
      </c>
      <c r="U746" t="s">
        <v>47</v>
      </c>
      <c r="V746" t="s">
        <v>47</v>
      </c>
      <c r="W746" s="3">
        <v>42370</v>
      </c>
      <c r="X746" s="5" t="s">
        <v>50</v>
      </c>
      <c r="Y746" s="5" t="s">
        <v>1175</v>
      </c>
      <c r="Z746" s="3">
        <v>42370</v>
      </c>
      <c r="AA746" s="5" t="s">
        <v>50</v>
      </c>
      <c r="AB746" s="5" t="s">
        <v>1175</v>
      </c>
      <c r="AC746" s="3">
        <v>42370</v>
      </c>
      <c r="AD746" s="5" t="s">
        <v>50</v>
      </c>
      <c r="AE746" s="5" t="s">
        <v>1175</v>
      </c>
      <c r="AF746" t="s">
        <v>47</v>
      </c>
      <c r="AG746" t="s">
        <v>47</v>
      </c>
      <c r="AH746" t="s">
        <v>47</v>
      </c>
      <c r="AI746" t="s">
        <v>47</v>
      </c>
      <c r="AJ746" t="s">
        <v>47</v>
      </c>
      <c r="AK746" t="s">
        <v>47</v>
      </c>
      <c r="AL746" t="s">
        <v>47</v>
      </c>
      <c r="AM746" t="s">
        <v>47</v>
      </c>
      <c r="AN746" t="s">
        <v>47</v>
      </c>
      <c r="AO746" s="5" t="s">
        <v>60</v>
      </c>
      <c r="AP746" s="4" t="s">
        <v>61</v>
      </c>
      <c r="AQ746" s="4" t="s">
        <v>53</v>
      </c>
      <c r="AR746" s="4" t="s">
        <v>737</v>
      </c>
      <c r="AS746" s="5">
        <v>2037844</v>
      </c>
      <c r="AT746" t="s">
        <v>47</v>
      </c>
    </row>
    <row r="747" spans="1:46" ht="143" x14ac:dyDescent="0.3">
      <c r="A747" s="4" t="s">
        <v>3064</v>
      </c>
      <c r="B747" t="s">
        <v>47</v>
      </c>
      <c r="C747" s="4" t="s">
        <v>3065</v>
      </c>
      <c r="D747" s="4" t="s">
        <v>2605</v>
      </c>
      <c r="E747" s="4" t="s">
        <v>49</v>
      </c>
      <c r="F747" s="5" t="s">
        <v>3066</v>
      </c>
      <c r="G747" s="5" t="s">
        <v>3067</v>
      </c>
      <c r="H747" t="s">
        <v>47</v>
      </c>
      <c r="I747" s="3">
        <v>37987</v>
      </c>
      <c r="J747" s="3">
        <v>41640</v>
      </c>
      <c r="K747" t="s">
        <v>47</v>
      </c>
      <c r="L747" s="5" t="s">
        <v>60</v>
      </c>
      <c r="M747" s="3">
        <v>37987</v>
      </c>
      <c r="N747" s="3">
        <v>41640</v>
      </c>
      <c r="O747" t="s">
        <v>47</v>
      </c>
      <c r="P747" t="s">
        <v>47</v>
      </c>
      <c r="Q747" t="s">
        <v>47</v>
      </c>
      <c r="R747" t="s">
        <v>47</v>
      </c>
      <c r="S747" t="s">
        <v>47</v>
      </c>
      <c r="T747" t="s">
        <v>47</v>
      </c>
      <c r="U747" t="s">
        <v>47</v>
      </c>
      <c r="V747" t="s">
        <v>47</v>
      </c>
      <c r="W747" s="3">
        <v>37987</v>
      </c>
      <c r="X747" s="3">
        <v>41640</v>
      </c>
      <c r="Y747" t="s">
        <v>47</v>
      </c>
      <c r="Z747" s="3">
        <v>37987</v>
      </c>
      <c r="AA747" s="3">
        <v>41640</v>
      </c>
      <c r="AB747" t="s">
        <v>47</v>
      </c>
      <c r="AC747" s="3">
        <v>37987</v>
      </c>
      <c r="AD747" s="3">
        <v>41640</v>
      </c>
      <c r="AE747" t="s">
        <v>47</v>
      </c>
      <c r="AF747" t="s">
        <v>47</v>
      </c>
      <c r="AG747" t="s">
        <v>47</v>
      </c>
      <c r="AH747" t="s">
        <v>47</v>
      </c>
      <c r="AI747" t="s">
        <v>47</v>
      </c>
      <c r="AJ747" t="s">
        <v>47</v>
      </c>
      <c r="AK747" t="s">
        <v>47</v>
      </c>
      <c r="AL747" t="s">
        <v>47</v>
      </c>
      <c r="AM747" t="s">
        <v>47</v>
      </c>
      <c r="AN747" t="s">
        <v>47</v>
      </c>
      <c r="AO747" s="5" t="s">
        <v>60</v>
      </c>
      <c r="AP747" s="4" t="s">
        <v>61</v>
      </c>
      <c r="AQ747" s="4" t="s">
        <v>53</v>
      </c>
      <c r="AR747" s="4" t="s">
        <v>3068</v>
      </c>
      <c r="AS747" s="5">
        <v>105645</v>
      </c>
      <c r="AT747" t="s">
        <v>47</v>
      </c>
    </row>
    <row r="748" spans="1:46" ht="13" x14ac:dyDescent="0.3">
      <c r="A748" s="4" t="s">
        <v>3069</v>
      </c>
      <c r="B748" t="s">
        <v>47</v>
      </c>
      <c r="C748" s="4" t="s">
        <v>1095</v>
      </c>
      <c r="D748" s="4" t="s">
        <v>3070</v>
      </c>
      <c r="E748" s="4" t="s">
        <v>66</v>
      </c>
      <c r="F748" s="5" t="s">
        <v>3071</v>
      </c>
      <c r="G748" s="5" t="s">
        <v>3072</v>
      </c>
      <c r="H748" t="s">
        <v>47</v>
      </c>
      <c r="I748" t="s">
        <v>47</v>
      </c>
      <c r="J748" t="s">
        <v>47</v>
      </c>
      <c r="K748" t="s">
        <v>47</v>
      </c>
      <c r="L748" s="5" t="s">
        <v>60</v>
      </c>
      <c r="M748" t="s">
        <v>47</v>
      </c>
      <c r="N748" t="s">
        <v>47</v>
      </c>
      <c r="O748" t="s">
        <v>47</v>
      </c>
      <c r="P748" t="s">
        <v>47</v>
      </c>
      <c r="Q748" t="s">
        <v>47</v>
      </c>
      <c r="R748" t="s">
        <v>47</v>
      </c>
      <c r="S748" t="s">
        <v>47</v>
      </c>
      <c r="T748" t="s">
        <v>47</v>
      </c>
      <c r="U748" t="s">
        <v>47</v>
      </c>
      <c r="V748" t="s">
        <v>47</v>
      </c>
      <c r="W748" s="3">
        <v>35796</v>
      </c>
      <c r="X748" s="3">
        <v>35796</v>
      </c>
      <c r="Y748" t="s">
        <v>47</v>
      </c>
      <c r="Z748" s="3">
        <v>35796</v>
      </c>
      <c r="AA748" s="3">
        <v>35796</v>
      </c>
      <c r="AB748" t="s">
        <v>47</v>
      </c>
      <c r="AC748" t="s">
        <v>47</v>
      </c>
      <c r="AD748" t="s">
        <v>47</v>
      </c>
      <c r="AE748" t="s">
        <v>47</v>
      </c>
      <c r="AF748" t="s">
        <v>47</v>
      </c>
      <c r="AG748" t="s">
        <v>47</v>
      </c>
      <c r="AH748" t="s">
        <v>47</v>
      </c>
      <c r="AI748" t="s">
        <v>47</v>
      </c>
      <c r="AJ748" t="s">
        <v>47</v>
      </c>
      <c r="AK748" t="s">
        <v>47</v>
      </c>
      <c r="AL748" t="s">
        <v>47</v>
      </c>
      <c r="AM748" t="s">
        <v>47</v>
      </c>
      <c r="AN748" t="s">
        <v>47</v>
      </c>
      <c r="AO748" s="5" t="s">
        <v>60</v>
      </c>
      <c r="AP748" s="4" t="s">
        <v>61</v>
      </c>
      <c r="AQ748" s="4" t="s">
        <v>53</v>
      </c>
      <c r="AR748" s="4" t="s">
        <v>54</v>
      </c>
      <c r="AS748" s="5">
        <v>33536</v>
      </c>
      <c r="AT748" t="s">
        <v>47</v>
      </c>
    </row>
    <row r="749" spans="1:46" ht="13" x14ac:dyDescent="0.3">
      <c r="A749" s="4" t="s">
        <v>3073</v>
      </c>
      <c r="B749" t="s">
        <v>47</v>
      </c>
      <c r="C749" t="s">
        <v>47</v>
      </c>
      <c r="D749" s="4" t="s">
        <v>3074</v>
      </c>
      <c r="E749" t="s">
        <v>47</v>
      </c>
      <c r="F749" s="5" t="s">
        <v>3075</v>
      </c>
      <c r="G749" s="5" t="s">
        <v>3076</v>
      </c>
      <c r="H749" t="s">
        <v>47</v>
      </c>
      <c r="I749" s="3">
        <v>33239</v>
      </c>
      <c r="J749" s="5" t="s">
        <v>50</v>
      </c>
      <c r="K749" t="s">
        <v>47</v>
      </c>
      <c r="L749" s="5" t="s">
        <v>60</v>
      </c>
      <c r="M749" s="3">
        <v>33239</v>
      </c>
      <c r="N749" s="5" t="s">
        <v>50</v>
      </c>
      <c r="O749" s="5" t="s">
        <v>3077</v>
      </c>
      <c r="P749" s="3">
        <v>39448</v>
      </c>
      <c r="Q749" s="5" t="s">
        <v>50</v>
      </c>
      <c r="R749" t="s">
        <v>47</v>
      </c>
      <c r="S749" t="s">
        <v>47</v>
      </c>
      <c r="T749" t="s">
        <v>47</v>
      </c>
      <c r="U749" t="s">
        <v>47</v>
      </c>
      <c r="V749" t="s">
        <v>47</v>
      </c>
      <c r="W749" s="3">
        <v>33239</v>
      </c>
      <c r="X749" s="5" t="s">
        <v>50</v>
      </c>
      <c r="Y749" t="s">
        <v>47</v>
      </c>
      <c r="Z749" s="3">
        <v>33239</v>
      </c>
      <c r="AA749" s="5" t="s">
        <v>50</v>
      </c>
      <c r="AB749" t="s">
        <v>47</v>
      </c>
      <c r="AC749" s="3">
        <v>33239</v>
      </c>
      <c r="AD749" s="5" t="s">
        <v>50</v>
      </c>
      <c r="AE749" t="s">
        <v>47</v>
      </c>
      <c r="AF749" t="s">
        <v>47</v>
      </c>
      <c r="AG749" t="s">
        <v>47</v>
      </c>
      <c r="AH749" t="s">
        <v>47</v>
      </c>
      <c r="AI749" t="s">
        <v>47</v>
      </c>
      <c r="AJ749" t="s">
        <v>47</v>
      </c>
      <c r="AK749" t="s">
        <v>47</v>
      </c>
      <c r="AL749" t="s">
        <v>47</v>
      </c>
      <c r="AM749" t="s">
        <v>47</v>
      </c>
      <c r="AN749" t="s">
        <v>47</v>
      </c>
      <c r="AO749" s="5" t="s">
        <v>60</v>
      </c>
      <c r="AP749" s="4" t="s">
        <v>61</v>
      </c>
      <c r="AQ749" s="4" t="s">
        <v>53</v>
      </c>
      <c r="AR749" s="4" t="s">
        <v>54</v>
      </c>
      <c r="AS749" s="5">
        <v>4676719</v>
      </c>
      <c r="AT749" t="s">
        <v>47</v>
      </c>
    </row>
    <row r="750" spans="1:46" ht="91" x14ac:dyDescent="0.3">
      <c r="A750" s="4" t="s">
        <v>3078</v>
      </c>
      <c r="B750" t="s">
        <v>47</v>
      </c>
      <c r="C750" s="4" t="s">
        <v>3078</v>
      </c>
      <c r="D750" s="4" t="s">
        <v>88</v>
      </c>
      <c r="E750" s="4" t="s">
        <v>49</v>
      </c>
      <c r="F750" s="5" t="s">
        <v>3079</v>
      </c>
      <c r="G750" s="5" t="s">
        <v>3080</v>
      </c>
      <c r="H750" t="s">
        <v>47</v>
      </c>
      <c r="I750" s="3">
        <v>34335</v>
      </c>
      <c r="J750" s="5" t="s">
        <v>50</v>
      </c>
      <c r="K750" t="s">
        <v>47</v>
      </c>
      <c r="L750" s="5" t="s">
        <v>60</v>
      </c>
      <c r="M750" s="3">
        <v>34335</v>
      </c>
      <c r="N750" s="5" t="s">
        <v>50</v>
      </c>
      <c r="O750" t="s">
        <v>47</v>
      </c>
      <c r="P750" s="3">
        <v>35065</v>
      </c>
      <c r="Q750" s="5" t="s">
        <v>50</v>
      </c>
      <c r="R750" t="s">
        <v>47</v>
      </c>
      <c r="S750" t="s">
        <v>47</v>
      </c>
      <c r="T750" t="s">
        <v>47</v>
      </c>
      <c r="U750" t="s">
        <v>47</v>
      </c>
      <c r="V750" t="s">
        <v>47</v>
      </c>
      <c r="W750" s="3">
        <v>32509</v>
      </c>
      <c r="X750" s="5" t="s">
        <v>50</v>
      </c>
      <c r="Y750" t="s">
        <v>47</v>
      </c>
      <c r="Z750" s="3">
        <v>32509</v>
      </c>
      <c r="AA750" s="5" t="s">
        <v>50</v>
      </c>
      <c r="AB750" t="s">
        <v>47</v>
      </c>
      <c r="AC750" s="3">
        <v>32509</v>
      </c>
      <c r="AD750" s="5" t="s">
        <v>50</v>
      </c>
      <c r="AE750" t="s">
        <v>47</v>
      </c>
      <c r="AF750" t="s">
        <v>47</v>
      </c>
      <c r="AG750" t="s">
        <v>47</v>
      </c>
      <c r="AH750" t="s">
        <v>47</v>
      </c>
      <c r="AI750" t="s">
        <v>47</v>
      </c>
      <c r="AJ750" t="s">
        <v>47</v>
      </c>
      <c r="AK750" t="s">
        <v>47</v>
      </c>
      <c r="AL750" t="s">
        <v>47</v>
      </c>
      <c r="AM750" t="s">
        <v>47</v>
      </c>
      <c r="AN750" t="s">
        <v>47</v>
      </c>
      <c r="AO750" s="5" t="s">
        <v>60</v>
      </c>
      <c r="AP750" s="4" t="s">
        <v>61</v>
      </c>
      <c r="AQ750" s="4" t="s">
        <v>53</v>
      </c>
      <c r="AR750" s="4" t="s">
        <v>2255</v>
      </c>
      <c r="AS750" s="5">
        <v>32581</v>
      </c>
      <c r="AT750" t="s">
        <v>47</v>
      </c>
    </row>
    <row r="751" spans="1:46" ht="65" x14ac:dyDescent="0.3">
      <c r="A751" s="4" t="s">
        <v>3081</v>
      </c>
      <c r="B751" t="s">
        <v>47</v>
      </c>
      <c r="C751" s="4" t="s">
        <v>1867</v>
      </c>
      <c r="D751" s="4" t="s">
        <v>2684</v>
      </c>
      <c r="E751" s="4" t="s">
        <v>49</v>
      </c>
      <c r="F751" s="5" t="s">
        <v>3082</v>
      </c>
      <c r="G751" t="s">
        <v>47</v>
      </c>
      <c r="H751" t="s">
        <v>47</v>
      </c>
      <c r="I751" s="3">
        <v>38443</v>
      </c>
      <c r="J751" s="5" t="s">
        <v>50</v>
      </c>
      <c r="K751" t="s">
        <v>47</v>
      </c>
      <c r="L751" s="5" t="s">
        <v>60</v>
      </c>
      <c r="M751" s="3">
        <v>38443</v>
      </c>
      <c r="N751" s="5" t="s">
        <v>50</v>
      </c>
      <c r="O751" t="s">
        <v>47</v>
      </c>
      <c r="P751" s="3">
        <v>38443</v>
      </c>
      <c r="Q751" s="5" t="s">
        <v>50</v>
      </c>
      <c r="R751" t="s">
        <v>47</v>
      </c>
      <c r="S751" t="s">
        <v>47</v>
      </c>
      <c r="T751" t="s">
        <v>47</v>
      </c>
      <c r="U751" t="s">
        <v>47</v>
      </c>
      <c r="V751" t="s">
        <v>47</v>
      </c>
      <c r="W751" s="3">
        <v>38443</v>
      </c>
      <c r="X751" s="5" t="s">
        <v>50</v>
      </c>
      <c r="Y751" t="s">
        <v>47</v>
      </c>
      <c r="Z751" s="3">
        <v>38443</v>
      </c>
      <c r="AA751" s="5" t="s">
        <v>50</v>
      </c>
      <c r="AB751" t="s">
        <v>47</v>
      </c>
      <c r="AC751" s="3">
        <v>38443</v>
      </c>
      <c r="AD751" s="5" t="s">
        <v>50</v>
      </c>
      <c r="AE751" t="s">
        <v>47</v>
      </c>
      <c r="AF751" t="s">
        <v>47</v>
      </c>
      <c r="AG751" t="s">
        <v>47</v>
      </c>
      <c r="AH751" t="s">
        <v>47</v>
      </c>
      <c r="AI751" t="s">
        <v>47</v>
      </c>
      <c r="AJ751" t="s">
        <v>47</v>
      </c>
      <c r="AK751" t="s">
        <v>47</v>
      </c>
      <c r="AL751" t="s">
        <v>47</v>
      </c>
      <c r="AM751" t="s">
        <v>47</v>
      </c>
      <c r="AN751" t="s">
        <v>47</v>
      </c>
      <c r="AO751" s="5" t="s">
        <v>60</v>
      </c>
      <c r="AP751" s="4" t="s">
        <v>61</v>
      </c>
      <c r="AQ751" s="4" t="s">
        <v>53</v>
      </c>
      <c r="AR751" s="4" t="s">
        <v>543</v>
      </c>
      <c r="AS751" s="5">
        <v>28752</v>
      </c>
      <c r="AT751" t="s">
        <v>47</v>
      </c>
    </row>
    <row r="752" spans="1:46" ht="52" x14ac:dyDescent="0.3">
      <c r="A752" s="4" t="s">
        <v>3083</v>
      </c>
      <c r="B752" t="s">
        <v>47</v>
      </c>
      <c r="C752" s="4" t="s">
        <v>3084</v>
      </c>
      <c r="D752" s="4" t="s">
        <v>3085</v>
      </c>
      <c r="E752" s="4" t="s">
        <v>49</v>
      </c>
      <c r="F752" s="5" t="s">
        <v>3086</v>
      </c>
      <c r="G752" t="s">
        <v>47</v>
      </c>
      <c r="H752" t="s">
        <v>47</v>
      </c>
      <c r="I752" s="3">
        <v>37895</v>
      </c>
      <c r="J752" s="3">
        <v>40909</v>
      </c>
      <c r="K752" t="s">
        <v>47</v>
      </c>
      <c r="L752" s="5" t="s">
        <v>60</v>
      </c>
      <c r="M752" s="3">
        <v>37895</v>
      </c>
      <c r="N752" s="3">
        <v>40909</v>
      </c>
      <c r="O752" t="s">
        <v>47</v>
      </c>
      <c r="P752" s="3">
        <v>37895</v>
      </c>
      <c r="Q752" s="3">
        <v>40909</v>
      </c>
      <c r="R752" t="s">
        <v>47</v>
      </c>
      <c r="S752" t="s">
        <v>47</v>
      </c>
      <c r="T752" t="s">
        <v>47</v>
      </c>
      <c r="U752" t="s">
        <v>47</v>
      </c>
      <c r="V752" t="s">
        <v>47</v>
      </c>
      <c r="W752" s="3">
        <v>37895</v>
      </c>
      <c r="X752" s="3">
        <v>40909</v>
      </c>
      <c r="Y752" t="s">
        <v>47</v>
      </c>
      <c r="Z752" s="3">
        <v>37895</v>
      </c>
      <c r="AA752" s="3">
        <v>40909</v>
      </c>
      <c r="AB752" t="s">
        <v>47</v>
      </c>
      <c r="AC752" s="3">
        <v>37895</v>
      </c>
      <c r="AD752" s="3">
        <v>40909</v>
      </c>
      <c r="AE752" t="s">
        <v>47</v>
      </c>
      <c r="AF752" t="s">
        <v>47</v>
      </c>
      <c r="AG752" t="s">
        <v>47</v>
      </c>
      <c r="AH752" t="s">
        <v>47</v>
      </c>
      <c r="AI752" t="s">
        <v>47</v>
      </c>
      <c r="AJ752" t="s">
        <v>47</v>
      </c>
      <c r="AK752" t="s">
        <v>47</v>
      </c>
      <c r="AL752" t="s">
        <v>47</v>
      </c>
      <c r="AM752" t="s">
        <v>47</v>
      </c>
      <c r="AN752" t="s">
        <v>47</v>
      </c>
      <c r="AO752" s="5" t="s">
        <v>60</v>
      </c>
      <c r="AP752" s="4" t="s">
        <v>61</v>
      </c>
      <c r="AQ752" s="4" t="s">
        <v>53</v>
      </c>
      <c r="AR752" s="4" t="s">
        <v>3087</v>
      </c>
      <c r="AS752" s="5">
        <v>44756</v>
      </c>
      <c r="AT752" t="s">
        <v>47</v>
      </c>
    </row>
    <row r="753" spans="1:46" ht="65" x14ac:dyDescent="0.3">
      <c r="A753" s="4" t="s">
        <v>3088</v>
      </c>
      <c r="B753" t="s">
        <v>47</v>
      </c>
      <c r="C753" s="4" t="s">
        <v>3089</v>
      </c>
      <c r="D753" s="4" t="s">
        <v>3090</v>
      </c>
      <c r="E753" s="4" t="s">
        <v>49</v>
      </c>
      <c r="F753" s="5" t="s">
        <v>3091</v>
      </c>
      <c r="G753" t="s">
        <v>47</v>
      </c>
      <c r="H753" t="s">
        <v>47</v>
      </c>
      <c r="I753" s="3">
        <v>38078</v>
      </c>
      <c r="J753" s="3">
        <v>39052</v>
      </c>
      <c r="K753" t="s">
        <v>47</v>
      </c>
      <c r="L753" s="5" t="s">
        <v>60</v>
      </c>
      <c r="M753" s="3">
        <v>38078</v>
      </c>
      <c r="N753" s="3">
        <v>39052</v>
      </c>
      <c r="O753" t="s">
        <v>47</v>
      </c>
      <c r="P753" s="3">
        <v>38078</v>
      </c>
      <c r="Q753" s="3">
        <v>39052</v>
      </c>
      <c r="R753" t="s">
        <v>47</v>
      </c>
      <c r="S753" t="s">
        <v>47</v>
      </c>
      <c r="T753" t="s">
        <v>47</v>
      </c>
      <c r="U753" t="s">
        <v>47</v>
      </c>
      <c r="V753" t="s">
        <v>47</v>
      </c>
      <c r="W753" s="3">
        <v>38078</v>
      </c>
      <c r="X753" s="3">
        <v>39052</v>
      </c>
      <c r="Y753" t="s">
        <v>47</v>
      </c>
      <c r="Z753" s="3">
        <v>38078</v>
      </c>
      <c r="AA753" s="3">
        <v>39052</v>
      </c>
      <c r="AB753" t="s">
        <v>47</v>
      </c>
      <c r="AC753" s="3">
        <v>38078</v>
      </c>
      <c r="AD753" s="3">
        <v>39052</v>
      </c>
      <c r="AE753" t="s">
        <v>47</v>
      </c>
      <c r="AF753" t="s">
        <v>47</v>
      </c>
      <c r="AG753" t="s">
        <v>47</v>
      </c>
      <c r="AH753" t="s">
        <v>47</v>
      </c>
      <c r="AI753" t="s">
        <v>47</v>
      </c>
      <c r="AJ753" t="s">
        <v>47</v>
      </c>
      <c r="AK753" t="s">
        <v>47</v>
      </c>
      <c r="AL753" t="s">
        <v>47</v>
      </c>
      <c r="AM753" t="s">
        <v>47</v>
      </c>
      <c r="AN753" t="s">
        <v>47</v>
      </c>
      <c r="AO753" s="5" t="s">
        <v>60</v>
      </c>
      <c r="AP753" s="4" t="s">
        <v>61</v>
      </c>
      <c r="AQ753" s="4" t="s">
        <v>53</v>
      </c>
      <c r="AR753" s="4" t="s">
        <v>543</v>
      </c>
      <c r="AS753" s="5">
        <v>25997</v>
      </c>
      <c r="AT753" t="s">
        <v>47</v>
      </c>
    </row>
    <row r="754" spans="1:46" ht="65" x14ac:dyDescent="0.3">
      <c r="A754" s="4" t="s">
        <v>3092</v>
      </c>
      <c r="B754" t="s">
        <v>47</v>
      </c>
      <c r="C754" s="4" t="s">
        <v>3089</v>
      </c>
      <c r="D754" s="4" t="s">
        <v>3090</v>
      </c>
      <c r="E754" s="4" t="s">
        <v>49</v>
      </c>
      <c r="F754" t="s">
        <v>47</v>
      </c>
      <c r="G754" s="5" t="s">
        <v>3093</v>
      </c>
      <c r="H754" t="s">
        <v>47</v>
      </c>
      <c r="I754" s="3">
        <v>39448</v>
      </c>
      <c r="J754" s="5" t="s">
        <v>50</v>
      </c>
      <c r="K754" t="s">
        <v>47</v>
      </c>
      <c r="L754" s="5" t="s">
        <v>60</v>
      </c>
      <c r="M754" s="3">
        <v>39448</v>
      </c>
      <c r="N754" s="5" t="s">
        <v>50</v>
      </c>
      <c r="O754" t="s">
        <v>47</v>
      </c>
      <c r="P754" s="3">
        <v>39448</v>
      </c>
      <c r="Q754" s="5" t="s">
        <v>50</v>
      </c>
      <c r="R754" t="s">
        <v>47</v>
      </c>
      <c r="S754" t="s">
        <v>47</v>
      </c>
      <c r="T754" t="s">
        <v>47</v>
      </c>
      <c r="U754" t="s">
        <v>47</v>
      </c>
      <c r="V754" t="s">
        <v>47</v>
      </c>
      <c r="W754" s="3">
        <v>39448</v>
      </c>
      <c r="X754" s="5" t="s">
        <v>50</v>
      </c>
      <c r="Y754" t="s">
        <v>47</v>
      </c>
      <c r="Z754" s="3">
        <v>39448</v>
      </c>
      <c r="AA754" s="5" t="s">
        <v>50</v>
      </c>
      <c r="AB754" t="s">
        <v>47</v>
      </c>
      <c r="AC754" s="3">
        <v>39448</v>
      </c>
      <c r="AD754" s="5" t="s">
        <v>50</v>
      </c>
      <c r="AE754" t="s">
        <v>47</v>
      </c>
      <c r="AF754" t="s">
        <v>47</v>
      </c>
      <c r="AG754" t="s">
        <v>47</v>
      </c>
      <c r="AH754" t="s">
        <v>47</v>
      </c>
      <c r="AI754" t="s">
        <v>47</v>
      </c>
      <c r="AJ754" t="s">
        <v>47</v>
      </c>
      <c r="AK754" t="s">
        <v>47</v>
      </c>
      <c r="AL754" t="s">
        <v>47</v>
      </c>
      <c r="AM754" t="s">
        <v>47</v>
      </c>
      <c r="AN754" t="s">
        <v>47</v>
      </c>
      <c r="AO754" s="5" t="s">
        <v>60</v>
      </c>
      <c r="AP754" s="4" t="s">
        <v>61</v>
      </c>
      <c r="AQ754" s="4" t="s">
        <v>53</v>
      </c>
      <c r="AR754" s="4" t="s">
        <v>543</v>
      </c>
      <c r="AS754" s="5">
        <v>616295</v>
      </c>
      <c r="AT754" t="s">
        <v>47</v>
      </c>
    </row>
    <row r="755" spans="1:46" ht="13" x14ac:dyDescent="0.3">
      <c r="A755" s="4" t="s">
        <v>3094</v>
      </c>
      <c r="B755" t="s">
        <v>47</v>
      </c>
      <c r="C755" s="4" t="s">
        <v>93</v>
      </c>
      <c r="D755" s="4" t="s">
        <v>3095</v>
      </c>
      <c r="E755" s="4" t="s">
        <v>49</v>
      </c>
      <c r="F755" s="5" t="s">
        <v>3096</v>
      </c>
      <c r="G755" s="5" t="s">
        <v>3097</v>
      </c>
      <c r="H755" t="s">
        <v>47</v>
      </c>
      <c r="I755" t="s">
        <v>47</v>
      </c>
      <c r="J755" t="s">
        <v>47</v>
      </c>
      <c r="K755" t="s">
        <v>47</v>
      </c>
      <c r="L755" s="5" t="s">
        <v>60</v>
      </c>
      <c r="M755" t="s">
        <v>47</v>
      </c>
      <c r="N755" t="s">
        <v>47</v>
      </c>
      <c r="O755" t="s">
        <v>47</v>
      </c>
      <c r="P755" t="s">
        <v>47</v>
      </c>
      <c r="Q755" t="s">
        <v>47</v>
      </c>
      <c r="R755" t="s">
        <v>47</v>
      </c>
      <c r="S755" t="s">
        <v>47</v>
      </c>
      <c r="T755" t="s">
        <v>47</v>
      </c>
      <c r="U755" t="s">
        <v>47</v>
      </c>
      <c r="V755" t="s">
        <v>47</v>
      </c>
      <c r="W755" s="3">
        <v>36708</v>
      </c>
      <c r="X755" s="5" t="s">
        <v>50</v>
      </c>
      <c r="Y755" t="s">
        <v>47</v>
      </c>
      <c r="Z755" s="3">
        <v>36708</v>
      </c>
      <c r="AA755" s="5" t="s">
        <v>50</v>
      </c>
      <c r="AB755" t="s">
        <v>47</v>
      </c>
      <c r="AC755" s="3">
        <v>38078</v>
      </c>
      <c r="AD755" s="5" t="s">
        <v>50</v>
      </c>
      <c r="AE755" t="s">
        <v>47</v>
      </c>
      <c r="AF755" t="s">
        <v>47</v>
      </c>
      <c r="AG755" t="s">
        <v>47</v>
      </c>
      <c r="AH755" t="s">
        <v>47</v>
      </c>
      <c r="AI755" t="s">
        <v>47</v>
      </c>
      <c r="AJ755" t="s">
        <v>47</v>
      </c>
      <c r="AK755" t="s">
        <v>47</v>
      </c>
      <c r="AL755" t="s">
        <v>47</v>
      </c>
      <c r="AM755" t="s">
        <v>47</v>
      </c>
      <c r="AN755" t="s">
        <v>47</v>
      </c>
      <c r="AO755" s="5" t="s">
        <v>60</v>
      </c>
      <c r="AP755" s="4" t="s">
        <v>61</v>
      </c>
      <c r="AQ755" s="4" t="s">
        <v>53</v>
      </c>
      <c r="AR755" s="4" t="s">
        <v>54</v>
      </c>
      <c r="AS755" s="5">
        <v>49010</v>
      </c>
      <c r="AT755" t="s">
        <v>47</v>
      </c>
    </row>
    <row r="756" spans="1:46" ht="26" x14ac:dyDescent="0.3">
      <c r="A756" s="4" t="s">
        <v>3098</v>
      </c>
      <c r="B756" t="s">
        <v>47</v>
      </c>
      <c r="C756" s="4" t="s">
        <v>2492</v>
      </c>
      <c r="D756" s="4" t="s">
        <v>2022</v>
      </c>
      <c r="E756" s="4" t="s">
        <v>49</v>
      </c>
      <c r="F756" s="5" t="s">
        <v>3099</v>
      </c>
      <c r="G756" t="s">
        <v>47</v>
      </c>
      <c r="H756" t="s">
        <v>47</v>
      </c>
      <c r="I756" s="3">
        <v>35400</v>
      </c>
      <c r="J756" s="3">
        <v>42064</v>
      </c>
      <c r="K756" t="s">
        <v>47</v>
      </c>
      <c r="L756" s="5" t="s">
        <v>51</v>
      </c>
      <c r="M756" s="3">
        <v>35400</v>
      </c>
      <c r="N756" s="3">
        <v>42064</v>
      </c>
      <c r="O756" t="s">
        <v>47</v>
      </c>
      <c r="P756" s="3">
        <v>35400</v>
      </c>
      <c r="Q756" s="3">
        <v>42064</v>
      </c>
      <c r="R756" t="s">
        <v>47</v>
      </c>
      <c r="S756" t="s">
        <v>47</v>
      </c>
      <c r="T756" t="s">
        <v>47</v>
      </c>
      <c r="U756" t="s">
        <v>47</v>
      </c>
      <c r="V756" t="s">
        <v>47</v>
      </c>
      <c r="W756" s="3">
        <v>35400</v>
      </c>
      <c r="X756" s="3">
        <v>42064</v>
      </c>
      <c r="Y756" t="s">
        <v>47</v>
      </c>
      <c r="Z756" s="3">
        <v>35400</v>
      </c>
      <c r="AA756" s="3">
        <v>42064</v>
      </c>
      <c r="AB756" t="s">
        <v>47</v>
      </c>
      <c r="AC756" s="3">
        <v>35400</v>
      </c>
      <c r="AD756" s="3">
        <v>42064</v>
      </c>
      <c r="AE756" t="s">
        <v>47</v>
      </c>
      <c r="AF756" t="s">
        <v>47</v>
      </c>
      <c r="AG756" t="s">
        <v>47</v>
      </c>
      <c r="AH756" t="s">
        <v>47</v>
      </c>
      <c r="AI756" t="s">
        <v>47</v>
      </c>
      <c r="AJ756" t="s">
        <v>47</v>
      </c>
      <c r="AK756" t="s">
        <v>47</v>
      </c>
      <c r="AL756" t="s">
        <v>47</v>
      </c>
      <c r="AM756" t="s">
        <v>47</v>
      </c>
      <c r="AN756" t="s">
        <v>47</v>
      </c>
      <c r="AO756" s="5" t="s">
        <v>51</v>
      </c>
      <c r="AP756" s="4" t="s">
        <v>135</v>
      </c>
      <c r="AQ756" s="4" t="s">
        <v>53</v>
      </c>
      <c r="AR756" s="4" t="s">
        <v>580</v>
      </c>
      <c r="AS756" s="5">
        <v>35145</v>
      </c>
      <c r="AT756" t="s">
        <v>47</v>
      </c>
    </row>
    <row r="757" spans="1:46" ht="26" x14ac:dyDescent="0.3">
      <c r="A757" s="4" t="s">
        <v>3100</v>
      </c>
      <c r="B757" t="s">
        <v>47</v>
      </c>
      <c r="C757" s="4" t="s">
        <v>2455</v>
      </c>
      <c r="D757" s="4" t="s">
        <v>3101</v>
      </c>
      <c r="E757" s="4" t="s">
        <v>49</v>
      </c>
      <c r="F757" s="5" t="s">
        <v>3102</v>
      </c>
      <c r="G757" s="5" t="s">
        <v>3103</v>
      </c>
      <c r="H757" t="s">
        <v>47</v>
      </c>
      <c r="I757" s="3">
        <v>43922</v>
      </c>
      <c r="J757" s="5" t="s">
        <v>50</v>
      </c>
      <c r="K757" t="s">
        <v>47</v>
      </c>
      <c r="L757" s="5" t="s">
        <v>60</v>
      </c>
      <c r="M757" s="3">
        <v>43922</v>
      </c>
      <c r="N757" s="5" t="s">
        <v>50</v>
      </c>
      <c r="O757" t="s">
        <v>47</v>
      </c>
      <c r="P757" s="3">
        <v>43922</v>
      </c>
      <c r="Q757" s="5" t="s">
        <v>50</v>
      </c>
      <c r="R757" t="s">
        <v>47</v>
      </c>
      <c r="S757" t="s">
        <v>47</v>
      </c>
      <c r="T757" t="s">
        <v>47</v>
      </c>
      <c r="U757" t="s">
        <v>47</v>
      </c>
      <c r="V757" t="s">
        <v>47</v>
      </c>
      <c r="W757" s="3">
        <v>43922</v>
      </c>
      <c r="X757" s="5" t="s">
        <v>50</v>
      </c>
      <c r="Y757" t="s">
        <v>47</v>
      </c>
      <c r="Z757" s="3">
        <v>43922</v>
      </c>
      <c r="AA757" s="5" t="s">
        <v>50</v>
      </c>
      <c r="AB757" t="s">
        <v>47</v>
      </c>
      <c r="AC757" s="3">
        <v>43922</v>
      </c>
      <c r="AD757" s="5" t="s">
        <v>50</v>
      </c>
      <c r="AE757" t="s">
        <v>47</v>
      </c>
      <c r="AF757" t="s">
        <v>47</v>
      </c>
      <c r="AG757" t="s">
        <v>47</v>
      </c>
      <c r="AH757" t="s">
        <v>47</v>
      </c>
      <c r="AI757" t="s">
        <v>47</v>
      </c>
      <c r="AJ757" t="s">
        <v>47</v>
      </c>
      <c r="AK757" t="s">
        <v>47</v>
      </c>
      <c r="AL757" t="s">
        <v>47</v>
      </c>
      <c r="AM757" t="s">
        <v>47</v>
      </c>
      <c r="AN757" t="s">
        <v>47</v>
      </c>
      <c r="AO757" s="5" t="s">
        <v>51</v>
      </c>
      <c r="AP757" s="4" t="s">
        <v>61</v>
      </c>
      <c r="AQ757" s="4" t="s">
        <v>53</v>
      </c>
      <c r="AR757" s="4" t="s">
        <v>827</v>
      </c>
      <c r="AS757" s="5">
        <v>4589209</v>
      </c>
      <c r="AT757" t="s">
        <v>47</v>
      </c>
    </row>
    <row r="758" spans="1:46" ht="52" x14ac:dyDescent="0.3">
      <c r="A758" s="4" t="s">
        <v>3104</v>
      </c>
      <c r="B758" t="s">
        <v>47</v>
      </c>
      <c r="C758" s="4" t="s">
        <v>122</v>
      </c>
      <c r="D758" s="4" t="s">
        <v>206</v>
      </c>
      <c r="E758" s="4" t="s">
        <v>123</v>
      </c>
      <c r="F758" s="5" t="s">
        <v>3105</v>
      </c>
      <c r="G758" s="5" t="s">
        <v>3106</v>
      </c>
      <c r="H758" t="s">
        <v>47</v>
      </c>
      <c r="I758" t="s">
        <v>47</v>
      </c>
      <c r="J758" t="s">
        <v>47</v>
      </c>
      <c r="K758" t="s">
        <v>47</v>
      </c>
      <c r="L758" s="5" t="s">
        <v>60</v>
      </c>
      <c r="M758" t="s">
        <v>47</v>
      </c>
      <c r="N758" t="s">
        <v>47</v>
      </c>
      <c r="O758" t="s">
        <v>47</v>
      </c>
      <c r="P758" t="s">
        <v>47</v>
      </c>
      <c r="Q758" t="s">
        <v>47</v>
      </c>
      <c r="R758" t="s">
        <v>47</v>
      </c>
      <c r="S758" t="s">
        <v>47</v>
      </c>
      <c r="T758" t="s">
        <v>47</v>
      </c>
      <c r="U758" t="s">
        <v>47</v>
      </c>
      <c r="V758" t="s">
        <v>47</v>
      </c>
      <c r="W758" s="3">
        <v>42370</v>
      </c>
      <c r="X758" s="3">
        <v>43101</v>
      </c>
      <c r="Y758" t="s">
        <v>47</v>
      </c>
      <c r="Z758" s="3">
        <v>42370</v>
      </c>
      <c r="AA758" s="3">
        <v>43101</v>
      </c>
      <c r="AB758" t="s">
        <v>47</v>
      </c>
      <c r="AC758" s="3">
        <v>42370</v>
      </c>
      <c r="AD758" s="3">
        <v>43101</v>
      </c>
      <c r="AE758" t="s">
        <v>47</v>
      </c>
      <c r="AF758" t="s">
        <v>47</v>
      </c>
      <c r="AG758" t="s">
        <v>47</v>
      </c>
      <c r="AH758" t="s">
        <v>47</v>
      </c>
      <c r="AI758" t="s">
        <v>47</v>
      </c>
      <c r="AJ758" t="s">
        <v>47</v>
      </c>
      <c r="AK758" t="s">
        <v>47</v>
      </c>
      <c r="AL758" t="s">
        <v>47</v>
      </c>
      <c r="AM758" t="s">
        <v>47</v>
      </c>
      <c r="AN758" t="s">
        <v>47</v>
      </c>
      <c r="AO758" s="5" t="s">
        <v>51</v>
      </c>
      <c r="AP758" s="4" t="s">
        <v>61</v>
      </c>
      <c r="AQ758" s="4" t="s">
        <v>3107</v>
      </c>
      <c r="AR758" s="4" t="s">
        <v>327</v>
      </c>
      <c r="AS758" s="5">
        <v>54468</v>
      </c>
      <c r="AT758" t="s">
        <v>47</v>
      </c>
    </row>
    <row r="759" spans="1:46" ht="39" x14ac:dyDescent="0.3">
      <c r="A759" s="4" t="s">
        <v>3108</v>
      </c>
      <c r="B759" t="s">
        <v>47</v>
      </c>
      <c r="C759" s="4" t="s">
        <v>3109</v>
      </c>
      <c r="D759" s="4" t="s">
        <v>3110</v>
      </c>
      <c r="E759" s="4" t="s">
        <v>156</v>
      </c>
      <c r="F759" t="s">
        <v>47</v>
      </c>
      <c r="G759" s="5" t="s">
        <v>3111</v>
      </c>
      <c r="H759" t="s">
        <v>47</v>
      </c>
      <c r="I759" s="3">
        <v>42370</v>
      </c>
      <c r="J759" s="3">
        <v>44197</v>
      </c>
      <c r="K759" t="s">
        <v>47</v>
      </c>
      <c r="L759" s="5" t="s">
        <v>60</v>
      </c>
      <c r="M759" t="s">
        <v>47</v>
      </c>
      <c r="N759" t="s">
        <v>47</v>
      </c>
      <c r="O759" t="s">
        <v>47</v>
      </c>
      <c r="P759" s="3">
        <v>42370</v>
      </c>
      <c r="Q759" s="3">
        <v>44197</v>
      </c>
      <c r="R759" t="s">
        <v>47</v>
      </c>
      <c r="S759" t="s">
        <v>47</v>
      </c>
      <c r="T759" t="s">
        <v>47</v>
      </c>
      <c r="U759" t="s">
        <v>47</v>
      </c>
      <c r="V759" t="s">
        <v>47</v>
      </c>
      <c r="W759" s="3">
        <v>42370</v>
      </c>
      <c r="X759" s="3">
        <v>44197</v>
      </c>
      <c r="Y759" t="s">
        <v>47</v>
      </c>
      <c r="Z759" s="3">
        <v>42370</v>
      </c>
      <c r="AA759" s="3">
        <v>44197</v>
      </c>
      <c r="AB759" t="s">
        <v>47</v>
      </c>
      <c r="AC759" s="3">
        <v>42370</v>
      </c>
      <c r="AD759" s="3">
        <v>44197</v>
      </c>
      <c r="AE759" t="s">
        <v>47</v>
      </c>
      <c r="AF759" t="s">
        <v>47</v>
      </c>
      <c r="AG759" t="s">
        <v>47</v>
      </c>
      <c r="AH759" t="s">
        <v>47</v>
      </c>
      <c r="AI759" t="s">
        <v>47</v>
      </c>
      <c r="AJ759" t="s">
        <v>47</v>
      </c>
      <c r="AK759" t="s">
        <v>47</v>
      </c>
      <c r="AL759" t="s">
        <v>47</v>
      </c>
      <c r="AM759" t="s">
        <v>47</v>
      </c>
      <c r="AN759" t="s">
        <v>47</v>
      </c>
      <c r="AO759" s="5" t="s">
        <v>60</v>
      </c>
      <c r="AP759" s="4" t="s">
        <v>61</v>
      </c>
      <c r="AQ759" s="4" t="s">
        <v>159</v>
      </c>
      <c r="AR759" s="4" t="s">
        <v>839</v>
      </c>
      <c r="AS759" s="5">
        <v>2050515</v>
      </c>
      <c r="AT759" t="s">
        <v>47</v>
      </c>
    </row>
    <row r="760" spans="1:46" ht="65" x14ac:dyDescent="0.3">
      <c r="A760" s="4" t="s">
        <v>3112</v>
      </c>
      <c r="B760" t="s">
        <v>47</v>
      </c>
      <c r="C760" s="4" t="s">
        <v>169</v>
      </c>
      <c r="D760" s="4" t="s">
        <v>748</v>
      </c>
      <c r="E760" s="4" t="s">
        <v>66</v>
      </c>
      <c r="F760" s="5" t="s">
        <v>3113</v>
      </c>
      <c r="G760" s="5" t="s">
        <v>3114</v>
      </c>
      <c r="H760" t="s">
        <v>47</v>
      </c>
      <c r="I760" s="3">
        <v>41275</v>
      </c>
      <c r="J760" s="3">
        <v>41821</v>
      </c>
      <c r="K760" t="s">
        <v>47</v>
      </c>
      <c r="L760" s="5" t="s">
        <v>60</v>
      </c>
      <c r="M760" t="s">
        <v>47</v>
      </c>
      <c r="N760" t="s">
        <v>47</v>
      </c>
      <c r="O760" t="s">
        <v>47</v>
      </c>
      <c r="P760" s="3">
        <v>41275</v>
      </c>
      <c r="Q760" s="3">
        <v>41821</v>
      </c>
      <c r="R760" t="s">
        <v>47</v>
      </c>
      <c r="S760" t="s">
        <v>47</v>
      </c>
      <c r="T760" t="s">
        <v>47</v>
      </c>
      <c r="U760" t="s">
        <v>47</v>
      </c>
      <c r="V760" t="s">
        <v>47</v>
      </c>
      <c r="W760" s="3">
        <v>41275</v>
      </c>
      <c r="X760" s="3">
        <v>41821</v>
      </c>
      <c r="Y760" t="s">
        <v>47</v>
      </c>
      <c r="Z760" s="3">
        <v>41275</v>
      </c>
      <c r="AA760" s="3">
        <v>41821</v>
      </c>
      <c r="AB760" t="s">
        <v>47</v>
      </c>
      <c r="AC760" s="3">
        <v>41275</v>
      </c>
      <c r="AD760" s="3">
        <v>41821</v>
      </c>
      <c r="AE760" t="s">
        <v>47</v>
      </c>
      <c r="AF760" t="s">
        <v>47</v>
      </c>
      <c r="AG760" t="s">
        <v>47</v>
      </c>
      <c r="AH760" t="s">
        <v>47</v>
      </c>
      <c r="AI760" t="s">
        <v>47</v>
      </c>
      <c r="AJ760" t="s">
        <v>47</v>
      </c>
      <c r="AK760" t="s">
        <v>47</v>
      </c>
      <c r="AL760" t="s">
        <v>47</v>
      </c>
      <c r="AM760" t="s">
        <v>47</v>
      </c>
      <c r="AN760" t="s">
        <v>47</v>
      </c>
      <c r="AO760" s="5" t="s">
        <v>60</v>
      </c>
      <c r="AP760" s="4" t="s">
        <v>61</v>
      </c>
      <c r="AQ760" s="4" t="s">
        <v>53</v>
      </c>
      <c r="AR760" s="4" t="s">
        <v>1514</v>
      </c>
      <c r="AS760" s="5">
        <v>2031342</v>
      </c>
      <c r="AT760" t="s">
        <v>47</v>
      </c>
    </row>
    <row r="761" spans="1:46" ht="26" x14ac:dyDescent="0.3">
      <c r="A761" s="4" t="s">
        <v>3115</v>
      </c>
      <c r="B761" t="s">
        <v>47</v>
      </c>
      <c r="C761" s="4" t="s">
        <v>1516</v>
      </c>
      <c r="D761" s="4" t="s">
        <v>1517</v>
      </c>
      <c r="E761" s="4" t="s">
        <v>723</v>
      </c>
      <c r="F761" t="s">
        <v>47</v>
      </c>
      <c r="G761" s="5" t="s">
        <v>3116</v>
      </c>
      <c r="H761" t="s">
        <v>47</v>
      </c>
      <c r="I761" s="3">
        <v>39814</v>
      </c>
      <c r="J761" s="5" t="s">
        <v>50</v>
      </c>
      <c r="K761" t="s">
        <v>47</v>
      </c>
      <c r="L761" s="5" t="s">
        <v>60</v>
      </c>
      <c r="M761" s="3">
        <v>39814</v>
      </c>
      <c r="N761" s="5" t="s">
        <v>50</v>
      </c>
      <c r="O761" t="s">
        <v>47</v>
      </c>
      <c r="P761" s="3">
        <v>39814</v>
      </c>
      <c r="Q761" s="5" t="s">
        <v>50</v>
      </c>
      <c r="R761" t="s">
        <v>47</v>
      </c>
      <c r="S761" t="s">
        <v>47</v>
      </c>
      <c r="T761" t="s">
        <v>47</v>
      </c>
      <c r="U761" t="s">
        <v>47</v>
      </c>
      <c r="V761" t="s">
        <v>47</v>
      </c>
      <c r="W761" s="3">
        <v>39814</v>
      </c>
      <c r="X761" s="5" t="s">
        <v>50</v>
      </c>
      <c r="Y761" t="s">
        <v>47</v>
      </c>
      <c r="Z761" s="3">
        <v>39814</v>
      </c>
      <c r="AA761" s="5" t="s">
        <v>50</v>
      </c>
      <c r="AB761" t="s">
        <v>47</v>
      </c>
      <c r="AC761" s="3">
        <v>39814</v>
      </c>
      <c r="AD761" s="5" t="s">
        <v>50</v>
      </c>
      <c r="AE761" t="s">
        <v>47</v>
      </c>
      <c r="AF761" t="s">
        <v>47</v>
      </c>
      <c r="AG761" t="s">
        <v>47</v>
      </c>
      <c r="AH761" t="s">
        <v>47</v>
      </c>
      <c r="AI761" t="s">
        <v>47</v>
      </c>
      <c r="AJ761" t="s">
        <v>47</v>
      </c>
      <c r="AK761" t="s">
        <v>47</v>
      </c>
      <c r="AL761" t="s">
        <v>47</v>
      </c>
      <c r="AM761" t="s">
        <v>47</v>
      </c>
      <c r="AN761" t="s">
        <v>47</v>
      </c>
      <c r="AO761" s="5" t="s">
        <v>60</v>
      </c>
      <c r="AP761" s="4" t="s">
        <v>61</v>
      </c>
      <c r="AQ761" s="4" t="s">
        <v>726</v>
      </c>
      <c r="AR761" s="4" t="s">
        <v>54</v>
      </c>
      <c r="AS761" s="5">
        <v>1066349</v>
      </c>
      <c r="AT761" t="s">
        <v>47</v>
      </c>
    </row>
    <row r="762" spans="1:46" ht="26" x14ac:dyDescent="0.3">
      <c r="A762" s="4" t="s">
        <v>3117</v>
      </c>
      <c r="B762" t="s">
        <v>47</v>
      </c>
      <c r="C762" s="4" t="s">
        <v>716</v>
      </c>
      <c r="D762" s="4" t="s">
        <v>2612</v>
      </c>
      <c r="E762" s="4" t="s">
        <v>49</v>
      </c>
      <c r="F762" t="s">
        <v>47</v>
      </c>
      <c r="G762" s="5" t="s">
        <v>3118</v>
      </c>
      <c r="H762" t="s">
        <v>47</v>
      </c>
      <c r="I762" s="3">
        <v>43101</v>
      </c>
      <c r="J762" s="3">
        <v>44197</v>
      </c>
      <c r="K762" t="s">
        <v>47</v>
      </c>
      <c r="L762" s="5" t="s">
        <v>60</v>
      </c>
      <c r="M762" t="s">
        <v>47</v>
      </c>
      <c r="N762" t="s">
        <v>47</v>
      </c>
      <c r="O762" t="s">
        <v>47</v>
      </c>
      <c r="P762" t="s">
        <v>47</v>
      </c>
      <c r="Q762" t="s">
        <v>47</v>
      </c>
      <c r="R762" t="s">
        <v>47</v>
      </c>
      <c r="S762" s="3">
        <v>43101</v>
      </c>
      <c r="T762" s="3">
        <v>44197</v>
      </c>
      <c r="U762" t="s">
        <v>47</v>
      </c>
      <c r="V762" t="s">
        <v>47</v>
      </c>
      <c r="W762" s="3">
        <v>43101</v>
      </c>
      <c r="X762" s="3">
        <v>44197</v>
      </c>
      <c r="Y762" t="s">
        <v>47</v>
      </c>
      <c r="Z762" s="3">
        <v>43101</v>
      </c>
      <c r="AA762" s="3">
        <v>44197</v>
      </c>
      <c r="AB762" t="s">
        <v>47</v>
      </c>
      <c r="AC762" s="3">
        <v>43101</v>
      </c>
      <c r="AD762" s="3">
        <v>44197</v>
      </c>
      <c r="AE762" t="s">
        <v>47</v>
      </c>
      <c r="AF762" t="s">
        <v>47</v>
      </c>
      <c r="AG762" t="s">
        <v>47</v>
      </c>
      <c r="AH762" t="s">
        <v>47</v>
      </c>
      <c r="AI762" t="s">
        <v>47</v>
      </c>
      <c r="AJ762" t="s">
        <v>47</v>
      </c>
      <c r="AK762" t="s">
        <v>47</v>
      </c>
      <c r="AL762" t="s">
        <v>47</v>
      </c>
      <c r="AM762" t="s">
        <v>47</v>
      </c>
      <c r="AN762" t="s">
        <v>47</v>
      </c>
      <c r="AO762" s="5" t="s">
        <v>51</v>
      </c>
      <c r="AP762" s="4" t="s">
        <v>61</v>
      </c>
      <c r="AQ762" s="4" t="s">
        <v>53</v>
      </c>
      <c r="AR762" s="4" t="s">
        <v>516</v>
      </c>
      <c r="AS762" s="5">
        <v>4379811</v>
      </c>
      <c r="AT762" t="s">
        <v>47</v>
      </c>
    </row>
    <row r="763" spans="1:46" ht="52" x14ac:dyDescent="0.3">
      <c r="A763" s="4" t="s">
        <v>3119</v>
      </c>
      <c r="B763" t="s">
        <v>47</v>
      </c>
      <c r="C763" s="4" t="s">
        <v>115</v>
      </c>
      <c r="D763" s="4" t="s">
        <v>559</v>
      </c>
      <c r="E763" s="4" t="s">
        <v>66</v>
      </c>
      <c r="F763" s="5" t="s">
        <v>3120</v>
      </c>
      <c r="G763" s="5" t="s">
        <v>3121</v>
      </c>
      <c r="H763" t="s">
        <v>47</v>
      </c>
      <c r="I763" s="3">
        <v>39083</v>
      </c>
      <c r="J763" s="5" t="s">
        <v>50</v>
      </c>
      <c r="K763" t="s">
        <v>47</v>
      </c>
      <c r="L763" s="5" t="s">
        <v>60</v>
      </c>
      <c r="M763" s="3">
        <v>39083</v>
      </c>
      <c r="N763" s="5" t="s">
        <v>50</v>
      </c>
      <c r="O763" t="s">
        <v>47</v>
      </c>
      <c r="P763" s="3">
        <v>39083</v>
      </c>
      <c r="Q763" s="5" t="s">
        <v>50</v>
      </c>
      <c r="R763" t="s">
        <v>47</v>
      </c>
      <c r="S763" t="s">
        <v>47</v>
      </c>
      <c r="T763" t="s">
        <v>47</v>
      </c>
      <c r="U763" t="s">
        <v>47</v>
      </c>
      <c r="V763" s="5">
        <v>365</v>
      </c>
      <c r="W763" s="3">
        <v>39083</v>
      </c>
      <c r="X763" s="5" t="s">
        <v>50</v>
      </c>
      <c r="Y763" t="s">
        <v>47</v>
      </c>
      <c r="Z763" s="3">
        <v>39083</v>
      </c>
      <c r="AA763" s="5" t="s">
        <v>50</v>
      </c>
      <c r="AB763" t="s">
        <v>47</v>
      </c>
      <c r="AC763" s="3">
        <v>39083</v>
      </c>
      <c r="AD763" s="5" t="s">
        <v>50</v>
      </c>
      <c r="AE763" t="s">
        <v>47</v>
      </c>
      <c r="AF763" t="s">
        <v>47</v>
      </c>
      <c r="AG763" t="s">
        <v>47</v>
      </c>
      <c r="AH763" t="s">
        <v>47</v>
      </c>
      <c r="AI763" t="s">
        <v>47</v>
      </c>
      <c r="AJ763" t="s">
        <v>47</v>
      </c>
      <c r="AK763" t="s">
        <v>47</v>
      </c>
      <c r="AL763" t="s">
        <v>47</v>
      </c>
      <c r="AM763" t="s">
        <v>47</v>
      </c>
      <c r="AN763" t="s">
        <v>47</v>
      </c>
      <c r="AO763" s="5" t="s">
        <v>60</v>
      </c>
      <c r="AP763" s="4" t="s">
        <v>61</v>
      </c>
      <c r="AQ763" s="4" t="s">
        <v>53</v>
      </c>
      <c r="AR763" s="4" t="s">
        <v>1706</v>
      </c>
      <c r="AS763" s="5">
        <v>40397</v>
      </c>
      <c r="AT763" t="s">
        <v>47</v>
      </c>
    </row>
    <row r="764" spans="1:46" ht="78" x14ac:dyDescent="0.3">
      <c r="A764" s="4" t="s">
        <v>3122</v>
      </c>
      <c r="B764" t="s">
        <v>47</v>
      </c>
      <c r="C764" s="4" t="s">
        <v>509</v>
      </c>
      <c r="D764" s="4" t="s">
        <v>88</v>
      </c>
      <c r="E764" s="4" t="s">
        <v>49</v>
      </c>
      <c r="F764" s="5" t="s">
        <v>3123</v>
      </c>
      <c r="G764" s="5" t="s">
        <v>3124</v>
      </c>
      <c r="H764" t="s">
        <v>47</v>
      </c>
      <c r="I764" s="3">
        <v>35490</v>
      </c>
      <c r="J764" s="3">
        <v>37803</v>
      </c>
      <c r="K764" t="s">
        <v>47</v>
      </c>
      <c r="L764" s="5" t="s">
        <v>60</v>
      </c>
      <c r="M764" s="3">
        <v>35490</v>
      </c>
      <c r="N764" s="3">
        <v>37803</v>
      </c>
      <c r="O764" t="s">
        <v>47</v>
      </c>
      <c r="P764" t="s">
        <v>47</v>
      </c>
      <c r="Q764" t="s">
        <v>47</v>
      </c>
      <c r="R764" t="s">
        <v>47</v>
      </c>
      <c r="S764" t="s">
        <v>47</v>
      </c>
      <c r="T764" t="s">
        <v>47</v>
      </c>
      <c r="U764" t="s">
        <v>47</v>
      </c>
      <c r="V764" t="s">
        <v>47</v>
      </c>
      <c r="W764" s="3">
        <v>35490</v>
      </c>
      <c r="X764" s="5" t="s">
        <v>50</v>
      </c>
      <c r="Y764" t="s">
        <v>47</v>
      </c>
      <c r="Z764" s="3">
        <v>35490</v>
      </c>
      <c r="AA764" s="5" t="s">
        <v>50</v>
      </c>
      <c r="AB764" t="s">
        <v>47</v>
      </c>
      <c r="AC764" s="3">
        <v>37316</v>
      </c>
      <c r="AD764" s="5" t="s">
        <v>50</v>
      </c>
      <c r="AE764" t="s">
        <v>47</v>
      </c>
      <c r="AF764" t="s">
        <v>47</v>
      </c>
      <c r="AG764" t="s">
        <v>47</v>
      </c>
      <c r="AH764" t="s">
        <v>47</v>
      </c>
      <c r="AI764" t="s">
        <v>47</v>
      </c>
      <c r="AJ764" t="s">
        <v>47</v>
      </c>
      <c r="AK764" t="s">
        <v>47</v>
      </c>
      <c r="AL764" t="s">
        <v>47</v>
      </c>
      <c r="AM764" t="s">
        <v>47</v>
      </c>
      <c r="AN764" t="s">
        <v>47</v>
      </c>
      <c r="AO764" s="5" t="s">
        <v>60</v>
      </c>
      <c r="AP764" s="4" t="s">
        <v>61</v>
      </c>
      <c r="AQ764" s="4" t="s">
        <v>53</v>
      </c>
      <c r="AR764" s="4" t="s">
        <v>512</v>
      </c>
      <c r="AS764" s="5">
        <v>21451</v>
      </c>
      <c r="AT764" t="s">
        <v>47</v>
      </c>
    </row>
    <row r="765" spans="1:46" ht="156" x14ac:dyDescent="0.3">
      <c r="A765" s="4" t="s">
        <v>3125</v>
      </c>
      <c r="B765" t="s">
        <v>47</v>
      </c>
      <c r="C765" s="4" t="s">
        <v>122</v>
      </c>
      <c r="D765" s="4" t="s">
        <v>3126</v>
      </c>
      <c r="E765" s="4" t="s">
        <v>123</v>
      </c>
      <c r="F765" s="5" t="s">
        <v>3127</v>
      </c>
      <c r="G765" s="5" t="s">
        <v>3128</v>
      </c>
      <c r="H765" t="s">
        <v>47</v>
      </c>
      <c r="I765" s="3">
        <v>43435</v>
      </c>
      <c r="J765" s="5" t="s">
        <v>50</v>
      </c>
      <c r="K765" t="s">
        <v>47</v>
      </c>
      <c r="L765" s="5" t="s">
        <v>60</v>
      </c>
      <c r="M765" s="3">
        <v>43435</v>
      </c>
      <c r="N765" s="5" t="s">
        <v>50</v>
      </c>
      <c r="O765" t="s">
        <v>47</v>
      </c>
      <c r="P765" s="3">
        <v>43435</v>
      </c>
      <c r="Q765" s="5" t="s">
        <v>50</v>
      </c>
      <c r="R765" t="s">
        <v>47</v>
      </c>
      <c r="S765" t="s">
        <v>47</v>
      </c>
      <c r="T765" t="s">
        <v>47</v>
      </c>
      <c r="U765" t="s">
        <v>47</v>
      </c>
      <c r="V765" s="5">
        <v>365</v>
      </c>
      <c r="W765" s="3">
        <v>43435</v>
      </c>
      <c r="X765" s="5" t="s">
        <v>50</v>
      </c>
      <c r="Y765" t="s">
        <v>47</v>
      </c>
      <c r="Z765" s="3">
        <v>43435</v>
      </c>
      <c r="AA765" s="5" t="s">
        <v>50</v>
      </c>
      <c r="AB765" t="s">
        <v>47</v>
      </c>
      <c r="AC765" s="3">
        <v>43435</v>
      </c>
      <c r="AD765" s="5" t="s">
        <v>50</v>
      </c>
      <c r="AE765" t="s">
        <v>47</v>
      </c>
      <c r="AF765" t="s">
        <v>47</v>
      </c>
      <c r="AG765" t="s">
        <v>47</v>
      </c>
      <c r="AH765" t="s">
        <v>47</v>
      </c>
      <c r="AI765" t="s">
        <v>47</v>
      </c>
      <c r="AJ765" t="s">
        <v>47</v>
      </c>
      <c r="AK765" t="s">
        <v>47</v>
      </c>
      <c r="AL765" t="s">
        <v>47</v>
      </c>
      <c r="AM765" t="s">
        <v>47</v>
      </c>
      <c r="AN765" t="s">
        <v>47</v>
      </c>
      <c r="AO765" s="5" t="s">
        <v>60</v>
      </c>
      <c r="AP765" s="4" t="s">
        <v>61</v>
      </c>
      <c r="AQ765" s="4" t="s">
        <v>53</v>
      </c>
      <c r="AR765" s="4" t="s">
        <v>3129</v>
      </c>
      <c r="AS765" s="5">
        <v>6587173</v>
      </c>
      <c r="AT765" t="s">
        <v>47</v>
      </c>
    </row>
    <row r="766" spans="1:46" ht="26" x14ac:dyDescent="0.3">
      <c r="A766" s="4" t="s">
        <v>3130</v>
      </c>
      <c r="B766" t="s">
        <v>47</v>
      </c>
      <c r="C766" s="4" t="s">
        <v>169</v>
      </c>
      <c r="D766" s="4" t="s">
        <v>88</v>
      </c>
      <c r="E766" s="4" t="s">
        <v>66</v>
      </c>
      <c r="F766" s="5" t="s">
        <v>3131</v>
      </c>
      <c r="G766" s="5" t="s">
        <v>3132</v>
      </c>
      <c r="H766" t="s">
        <v>47</v>
      </c>
      <c r="I766" t="s">
        <v>47</v>
      </c>
      <c r="J766" t="s">
        <v>47</v>
      </c>
      <c r="K766" t="s">
        <v>47</v>
      </c>
      <c r="L766" s="5" t="s">
        <v>60</v>
      </c>
      <c r="M766" t="s">
        <v>47</v>
      </c>
      <c r="N766" t="s">
        <v>47</v>
      </c>
      <c r="O766" t="s">
        <v>47</v>
      </c>
      <c r="P766" t="s">
        <v>47</v>
      </c>
      <c r="Q766" t="s">
        <v>47</v>
      </c>
      <c r="R766" t="s">
        <v>47</v>
      </c>
      <c r="S766" t="s">
        <v>47</v>
      </c>
      <c r="T766" t="s">
        <v>47</v>
      </c>
      <c r="U766" t="s">
        <v>47</v>
      </c>
      <c r="V766" t="s">
        <v>47</v>
      </c>
      <c r="W766" s="3">
        <v>35735</v>
      </c>
      <c r="X766" s="5" t="s">
        <v>50</v>
      </c>
      <c r="Y766" t="s">
        <v>47</v>
      </c>
      <c r="Z766" s="3">
        <v>35735</v>
      </c>
      <c r="AA766" s="5" t="s">
        <v>50</v>
      </c>
      <c r="AB766" t="s">
        <v>47</v>
      </c>
      <c r="AC766" s="3">
        <v>35735</v>
      </c>
      <c r="AD766" s="5" t="s">
        <v>50</v>
      </c>
      <c r="AE766" t="s">
        <v>47</v>
      </c>
      <c r="AF766" t="s">
        <v>47</v>
      </c>
      <c r="AG766" t="s">
        <v>47</v>
      </c>
      <c r="AH766" t="s">
        <v>47</v>
      </c>
      <c r="AI766" t="s">
        <v>47</v>
      </c>
      <c r="AJ766" t="s">
        <v>47</v>
      </c>
      <c r="AK766" t="s">
        <v>47</v>
      </c>
      <c r="AL766" t="s">
        <v>47</v>
      </c>
      <c r="AM766" t="s">
        <v>47</v>
      </c>
      <c r="AN766" t="s">
        <v>47</v>
      </c>
      <c r="AO766" s="5" t="s">
        <v>60</v>
      </c>
      <c r="AP766" s="4" t="s">
        <v>61</v>
      </c>
      <c r="AQ766" s="4" t="s">
        <v>53</v>
      </c>
      <c r="AR766" s="4" t="s">
        <v>807</v>
      </c>
      <c r="AS766" s="5">
        <v>47472</v>
      </c>
      <c r="AT766" t="s">
        <v>47</v>
      </c>
    </row>
    <row r="767" spans="1:46" ht="26" x14ac:dyDescent="0.3">
      <c r="A767" s="4" t="s">
        <v>3133</v>
      </c>
      <c r="B767" t="s">
        <v>47</v>
      </c>
      <c r="C767" s="4" t="s">
        <v>183</v>
      </c>
      <c r="D767" s="4" t="s">
        <v>333</v>
      </c>
      <c r="E767" s="4" t="s">
        <v>49</v>
      </c>
      <c r="F767" s="5" t="s">
        <v>3134</v>
      </c>
      <c r="G767" s="5" t="s">
        <v>3135</v>
      </c>
      <c r="H767" t="s">
        <v>47</v>
      </c>
      <c r="I767" t="s">
        <v>47</v>
      </c>
      <c r="J767" t="s">
        <v>47</v>
      </c>
      <c r="K767" t="s">
        <v>47</v>
      </c>
      <c r="L767" s="5" t="s">
        <v>60</v>
      </c>
      <c r="M767" t="s">
        <v>47</v>
      </c>
      <c r="N767" t="s">
        <v>47</v>
      </c>
      <c r="O767" t="s">
        <v>47</v>
      </c>
      <c r="P767" t="s">
        <v>47</v>
      </c>
      <c r="Q767" t="s">
        <v>47</v>
      </c>
      <c r="R767" t="s">
        <v>47</v>
      </c>
      <c r="S767" t="s">
        <v>47</v>
      </c>
      <c r="T767" t="s">
        <v>47</v>
      </c>
      <c r="U767" t="s">
        <v>47</v>
      </c>
      <c r="V767" t="s">
        <v>47</v>
      </c>
      <c r="W767" s="3">
        <v>35065</v>
      </c>
      <c r="X767" s="3">
        <v>36434</v>
      </c>
      <c r="Y767" t="s">
        <v>47</v>
      </c>
      <c r="Z767" s="3">
        <v>35065</v>
      </c>
      <c r="AA767" s="3">
        <v>36434</v>
      </c>
      <c r="AB767" t="s">
        <v>47</v>
      </c>
      <c r="AC767" s="3">
        <v>35431</v>
      </c>
      <c r="AD767" s="3">
        <v>36434</v>
      </c>
      <c r="AE767" t="s">
        <v>47</v>
      </c>
      <c r="AF767" t="s">
        <v>47</v>
      </c>
      <c r="AG767" t="s">
        <v>47</v>
      </c>
      <c r="AH767" t="s">
        <v>47</v>
      </c>
      <c r="AI767" t="s">
        <v>47</v>
      </c>
      <c r="AJ767" t="s">
        <v>47</v>
      </c>
      <c r="AK767" t="s">
        <v>47</v>
      </c>
      <c r="AL767" t="s">
        <v>47</v>
      </c>
      <c r="AM767" t="s">
        <v>47</v>
      </c>
      <c r="AN767" t="s">
        <v>47</v>
      </c>
      <c r="AO767" s="5" t="s">
        <v>60</v>
      </c>
      <c r="AP767" s="4" t="s">
        <v>61</v>
      </c>
      <c r="AQ767" s="4" t="s">
        <v>53</v>
      </c>
      <c r="AR767" s="4" t="s">
        <v>54</v>
      </c>
      <c r="AS767" s="5">
        <v>31928</v>
      </c>
      <c r="AT767" t="s">
        <v>47</v>
      </c>
    </row>
    <row r="768" spans="1:46" ht="26" x14ac:dyDescent="0.3">
      <c r="A768" s="4" t="s">
        <v>3136</v>
      </c>
      <c r="B768" t="s">
        <v>47</v>
      </c>
      <c r="C768" s="4" t="s">
        <v>3137</v>
      </c>
      <c r="D768" s="4" t="s">
        <v>3138</v>
      </c>
      <c r="E768" s="4" t="s">
        <v>701</v>
      </c>
      <c r="F768" s="5" t="s">
        <v>3139</v>
      </c>
      <c r="G768" t="s">
        <v>47</v>
      </c>
      <c r="H768" t="s">
        <v>47</v>
      </c>
      <c r="I768" s="3">
        <v>41275</v>
      </c>
      <c r="J768" s="5" t="s">
        <v>50</v>
      </c>
      <c r="K768" t="s">
        <v>47</v>
      </c>
      <c r="L768" s="5" t="s">
        <v>60</v>
      </c>
      <c r="M768" t="s">
        <v>47</v>
      </c>
      <c r="N768" t="s">
        <v>47</v>
      </c>
      <c r="O768" t="s">
        <v>47</v>
      </c>
      <c r="P768" s="3">
        <v>41275</v>
      </c>
      <c r="Q768" s="5" t="s">
        <v>50</v>
      </c>
      <c r="R768" t="s">
        <v>47</v>
      </c>
      <c r="S768" t="s">
        <v>47</v>
      </c>
      <c r="T768" t="s">
        <v>47</v>
      </c>
      <c r="U768" t="s">
        <v>47</v>
      </c>
      <c r="V768" t="s">
        <v>47</v>
      </c>
      <c r="W768" s="3">
        <v>41275</v>
      </c>
      <c r="X768" s="5" t="s">
        <v>50</v>
      </c>
      <c r="Y768" t="s">
        <v>47</v>
      </c>
      <c r="Z768" s="3">
        <v>41275</v>
      </c>
      <c r="AA768" s="5" t="s">
        <v>50</v>
      </c>
      <c r="AB768" t="s">
        <v>47</v>
      </c>
      <c r="AC768" s="3">
        <v>41275</v>
      </c>
      <c r="AD768" s="5" t="s">
        <v>50</v>
      </c>
      <c r="AE768" t="s">
        <v>47</v>
      </c>
      <c r="AF768" t="s">
        <v>47</v>
      </c>
      <c r="AG768" t="s">
        <v>47</v>
      </c>
      <c r="AH768" t="s">
        <v>47</v>
      </c>
      <c r="AI768" t="s">
        <v>47</v>
      </c>
      <c r="AJ768" t="s">
        <v>47</v>
      </c>
      <c r="AK768" t="s">
        <v>47</v>
      </c>
      <c r="AL768" t="s">
        <v>47</v>
      </c>
      <c r="AM768" t="s">
        <v>47</v>
      </c>
      <c r="AN768" t="s">
        <v>47</v>
      </c>
      <c r="AO768" s="5" t="s">
        <v>60</v>
      </c>
      <c r="AP768" s="4" t="s">
        <v>61</v>
      </c>
      <c r="AQ768" s="4" t="s">
        <v>53</v>
      </c>
      <c r="AR768" s="4" t="s">
        <v>54</v>
      </c>
      <c r="AS768" s="5">
        <v>6525464</v>
      </c>
      <c r="AT768" t="s">
        <v>47</v>
      </c>
    </row>
    <row r="769" spans="1:46" ht="26" x14ac:dyDescent="0.3">
      <c r="A769" s="4" t="s">
        <v>3140</v>
      </c>
      <c r="B769" t="s">
        <v>47</v>
      </c>
      <c r="C769" s="4" t="s">
        <v>183</v>
      </c>
      <c r="D769" s="4" t="s">
        <v>333</v>
      </c>
      <c r="E769" s="4" t="s">
        <v>49</v>
      </c>
      <c r="F769" s="5" t="s">
        <v>3141</v>
      </c>
      <c r="G769" s="5" t="s">
        <v>3142</v>
      </c>
      <c r="H769" t="s">
        <v>47</v>
      </c>
      <c r="I769" s="3">
        <v>28522</v>
      </c>
      <c r="J769" s="3">
        <v>43435</v>
      </c>
      <c r="K769" t="s">
        <v>47</v>
      </c>
      <c r="L769" s="5" t="s">
        <v>60</v>
      </c>
      <c r="M769" s="3">
        <v>28522</v>
      </c>
      <c r="N769" s="3">
        <v>43435</v>
      </c>
      <c r="O769" s="5" t="s">
        <v>981</v>
      </c>
      <c r="P769" s="3">
        <v>28522</v>
      </c>
      <c r="Q769" s="3">
        <v>43435</v>
      </c>
      <c r="R769" t="s">
        <v>47</v>
      </c>
      <c r="S769" t="s">
        <v>47</v>
      </c>
      <c r="T769" t="s">
        <v>47</v>
      </c>
      <c r="U769" t="s">
        <v>47</v>
      </c>
      <c r="V769" t="s">
        <v>47</v>
      </c>
      <c r="W769" s="3">
        <v>28522</v>
      </c>
      <c r="X769" s="5" t="s">
        <v>50</v>
      </c>
      <c r="Y769" t="s">
        <v>47</v>
      </c>
      <c r="Z769" s="3">
        <v>28522</v>
      </c>
      <c r="AA769" s="5" t="s">
        <v>50</v>
      </c>
      <c r="AB769" t="s">
        <v>47</v>
      </c>
      <c r="AC769" s="3">
        <v>28522</v>
      </c>
      <c r="AD769" s="5" t="s">
        <v>50</v>
      </c>
      <c r="AE769" t="s">
        <v>47</v>
      </c>
      <c r="AF769" t="s">
        <v>47</v>
      </c>
      <c r="AG769" t="s">
        <v>47</v>
      </c>
      <c r="AH769" t="s">
        <v>47</v>
      </c>
      <c r="AI769" t="s">
        <v>47</v>
      </c>
      <c r="AJ769" t="s">
        <v>47</v>
      </c>
      <c r="AK769" t="s">
        <v>47</v>
      </c>
      <c r="AL769" t="s">
        <v>47</v>
      </c>
      <c r="AM769" t="s">
        <v>47</v>
      </c>
      <c r="AN769" t="s">
        <v>47</v>
      </c>
      <c r="AO769" s="5" t="s">
        <v>60</v>
      </c>
      <c r="AP769" s="4" t="s">
        <v>61</v>
      </c>
      <c r="AQ769" s="4" t="s">
        <v>53</v>
      </c>
      <c r="AR769" s="4" t="s">
        <v>54</v>
      </c>
      <c r="AS769" s="5">
        <v>36680</v>
      </c>
      <c r="AT769" t="s">
        <v>47</v>
      </c>
    </row>
    <row r="770" spans="1:46" ht="26" x14ac:dyDescent="0.3">
      <c r="A770" s="4" t="s">
        <v>3143</v>
      </c>
      <c r="B770" t="s">
        <v>47</v>
      </c>
      <c r="C770" s="4" t="s">
        <v>122</v>
      </c>
      <c r="D770" s="4" t="s">
        <v>575</v>
      </c>
      <c r="E770" s="4" t="s">
        <v>123</v>
      </c>
      <c r="F770" s="5" t="s">
        <v>3144</v>
      </c>
      <c r="G770" s="5" t="s">
        <v>3145</v>
      </c>
      <c r="H770" t="s">
        <v>47</v>
      </c>
      <c r="I770" t="s">
        <v>47</v>
      </c>
      <c r="J770" t="s">
        <v>47</v>
      </c>
      <c r="K770" t="s">
        <v>47</v>
      </c>
      <c r="L770" s="5" t="s">
        <v>60</v>
      </c>
      <c r="M770" t="s">
        <v>47</v>
      </c>
      <c r="N770" t="s">
        <v>47</v>
      </c>
      <c r="O770" t="s">
        <v>47</v>
      </c>
      <c r="P770" t="s">
        <v>47</v>
      </c>
      <c r="Q770" t="s">
        <v>47</v>
      </c>
      <c r="R770" t="s">
        <v>47</v>
      </c>
      <c r="S770" t="s">
        <v>47</v>
      </c>
      <c r="T770" t="s">
        <v>47</v>
      </c>
      <c r="U770" t="s">
        <v>47</v>
      </c>
      <c r="V770" t="s">
        <v>47</v>
      </c>
      <c r="W770" s="3">
        <v>42370</v>
      </c>
      <c r="X770" s="5" t="s">
        <v>50</v>
      </c>
      <c r="Y770" t="s">
        <v>47</v>
      </c>
      <c r="Z770" s="3">
        <v>42370</v>
      </c>
      <c r="AA770" s="5" t="s">
        <v>50</v>
      </c>
      <c r="AB770" t="s">
        <v>47</v>
      </c>
      <c r="AC770" s="3">
        <v>42370</v>
      </c>
      <c r="AD770" s="5" t="s">
        <v>50</v>
      </c>
      <c r="AE770" t="s">
        <v>47</v>
      </c>
      <c r="AF770" t="s">
        <v>47</v>
      </c>
      <c r="AG770" t="s">
        <v>47</v>
      </c>
      <c r="AH770" t="s">
        <v>47</v>
      </c>
      <c r="AI770" t="s">
        <v>47</v>
      </c>
      <c r="AJ770" t="s">
        <v>47</v>
      </c>
      <c r="AK770" t="s">
        <v>47</v>
      </c>
      <c r="AL770" t="s">
        <v>47</v>
      </c>
      <c r="AM770" t="s">
        <v>47</v>
      </c>
      <c r="AN770" t="s">
        <v>47</v>
      </c>
      <c r="AO770" s="5" t="s">
        <v>60</v>
      </c>
      <c r="AP770" s="4" t="s">
        <v>61</v>
      </c>
      <c r="AQ770" s="4" t="s">
        <v>1519</v>
      </c>
      <c r="AR770" s="4" t="s">
        <v>839</v>
      </c>
      <c r="AS770" s="5">
        <v>2043914</v>
      </c>
      <c r="AT770" t="s">
        <v>47</v>
      </c>
    </row>
    <row r="771" spans="1:46" ht="13" x14ac:dyDescent="0.3">
      <c r="A771" s="4" t="s">
        <v>3146</v>
      </c>
      <c r="B771" t="s">
        <v>47</v>
      </c>
      <c r="C771" s="4" t="s">
        <v>2455</v>
      </c>
      <c r="D771" s="4" t="s">
        <v>3101</v>
      </c>
      <c r="E771" s="4" t="s">
        <v>49</v>
      </c>
      <c r="F771" t="s">
        <v>47</v>
      </c>
      <c r="G771" s="5" t="s">
        <v>3147</v>
      </c>
      <c r="H771" t="s">
        <v>47</v>
      </c>
      <c r="I771" s="3">
        <v>43101</v>
      </c>
      <c r="J771" s="3">
        <v>43831</v>
      </c>
      <c r="K771" s="5" t="s">
        <v>3148</v>
      </c>
      <c r="L771" s="5" t="s">
        <v>60</v>
      </c>
      <c r="M771" t="s">
        <v>47</v>
      </c>
      <c r="N771" t="s">
        <v>47</v>
      </c>
      <c r="O771" t="s">
        <v>47</v>
      </c>
      <c r="P771" s="3">
        <v>43101</v>
      </c>
      <c r="Q771" s="3">
        <v>43831</v>
      </c>
      <c r="R771" s="5" t="s">
        <v>3148</v>
      </c>
      <c r="S771" t="s">
        <v>47</v>
      </c>
      <c r="T771" t="s">
        <v>47</v>
      </c>
      <c r="U771" t="s">
        <v>47</v>
      </c>
      <c r="V771" t="s">
        <v>47</v>
      </c>
      <c r="W771" s="3">
        <v>43101</v>
      </c>
      <c r="X771" s="3">
        <v>43831</v>
      </c>
      <c r="Y771" s="5" t="s">
        <v>3148</v>
      </c>
      <c r="Z771" s="3">
        <v>43101</v>
      </c>
      <c r="AA771" s="3">
        <v>43831</v>
      </c>
      <c r="AB771" s="5" t="s">
        <v>3148</v>
      </c>
      <c r="AC771" s="3">
        <v>43101</v>
      </c>
      <c r="AD771" s="3">
        <v>43831</v>
      </c>
      <c r="AE771" s="5" t="s">
        <v>3148</v>
      </c>
      <c r="AF771" t="s">
        <v>47</v>
      </c>
      <c r="AG771" t="s">
        <v>47</v>
      </c>
      <c r="AH771" t="s">
        <v>47</v>
      </c>
      <c r="AI771" t="s">
        <v>47</v>
      </c>
      <c r="AJ771" t="s">
        <v>47</v>
      </c>
      <c r="AK771" t="s">
        <v>47</v>
      </c>
      <c r="AL771" t="s">
        <v>47</v>
      </c>
      <c r="AM771" t="s">
        <v>47</v>
      </c>
      <c r="AN771" t="s">
        <v>47</v>
      </c>
      <c r="AO771" s="5" t="s">
        <v>60</v>
      </c>
      <c r="AP771" s="4" t="s">
        <v>61</v>
      </c>
      <c r="AQ771" s="4" t="s">
        <v>53</v>
      </c>
      <c r="AR771" s="4" t="s">
        <v>54</v>
      </c>
      <c r="AS771" s="5">
        <v>4661812</v>
      </c>
      <c r="AT771" t="s">
        <v>47</v>
      </c>
    </row>
    <row r="772" spans="1:46" ht="52" x14ac:dyDescent="0.3">
      <c r="A772" s="4" t="s">
        <v>3149</v>
      </c>
      <c r="B772" t="s">
        <v>47</v>
      </c>
      <c r="C772" s="4" t="s">
        <v>122</v>
      </c>
      <c r="D772" s="4" t="s">
        <v>206</v>
      </c>
      <c r="E772" s="4" t="s">
        <v>123</v>
      </c>
      <c r="F772" s="5" t="s">
        <v>3150</v>
      </c>
      <c r="G772" s="5" t="s">
        <v>3151</v>
      </c>
      <c r="H772" t="s">
        <v>47</v>
      </c>
      <c r="I772" s="3">
        <v>37622</v>
      </c>
      <c r="J772" s="5" t="s">
        <v>50</v>
      </c>
      <c r="K772" t="s">
        <v>47</v>
      </c>
      <c r="L772" s="5" t="s">
        <v>60</v>
      </c>
      <c r="M772" s="3">
        <v>37987</v>
      </c>
      <c r="N772" s="3">
        <v>42887</v>
      </c>
      <c r="O772" t="s">
        <v>47</v>
      </c>
      <c r="P772" s="3">
        <v>37622</v>
      </c>
      <c r="Q772" s="5" t="s">
        <v>50</v>
      </c>
      <c r="R772" t="s">
        <v>47</v>
      </c>
      <c r="S772" t="s">
        <v>47</v>
      </c>
      <c r="T772" t="s">
        <v>47</v>
      </c>
      <c r="U772" t="s">
        <v>47</v>
      </c>
      <c r="V772" s="5">
        <v>365</v>
      </c>
      <c r="W772" s="3">
        <v>37622</v>
      </c>
      <c r="X772" s="5" t="s">
        <v>50</v>
      </c>
      <c r="Y772" t="s">
        <v>47</v>
      </c>
      <c r="Z772" s="3">
        <v>37622</v>
      </c>
      <c r="AA772" s="5" t="s">
        <v>50</v>
      </c>
      <c r="AB772" t="s">
        <v>47</v>
      </c>
      <c r="AC772" s="3">
        <v>37622</v>
      </c>
      <c r="AD772" s="5" t="s">
        <v>50</v>
      </c>
      <c r="AE772" t="s">
        <v>47</v>
      </c>
      <c r="AF772" t="s">
        <v>47</v>
      </c>
      <c r="AG772" t="s">
        <v>47</v>
      </c>
      <c r="AH772" t="s">
        <v>47</v>
      </c>
      <c r="AI772" t="s">
        <v>47</v>
      </c>
      <c r="AJ772" t="s">
        <v>47</v>
      </c>
      <c r="AK772" t="s">
        <v>47</v>
      </c>
      <c r="AL772" t="s">
        <v>47</v>
      </c>
      <c r="AM772" t="s">
        <v>47</v>
      </c>
      <c r="AN772" t="s">
        <v>47</v>
      </c>
      <c r="AO772" s="5" t="s">
        <v>60</v>
      </c>
      <c r="AP772" s="4" t="s">
        <v>61</v>
      </c>
      <c r="AQ772" s="4" t="s">
        <v>53</v>
      </c>
      <c r="AR772" s="4" t="s">
        <v>3152</v>
      </c>
      <c r="AS772" s="5">
        <v>55388</v>
      </c>
      <c r="AT772" t="s">
        <v>47</v>
      </c>
    </row>
    <row r="773" spans="1:46" ht="39" x14ac:dyDescent="0.3">
      <c r="A773" s="4" t="s">
        <v>3153</v>
      </c>
      <c r="B773" t="s">
        <v>47</v>
      </c>
      <c r="C773" s="4" t="s">
        <v>1095</v>
      </c>
      <c r="D773" s="4" t="s">
        <v>1103</v>
      </c>
      <c r="E773" s="4" t="s">
        <v>66</v>
      </c>
      <c r="F773" s="5" t="s">
        <v>3154</v>
      </c>
      <c r="G773" s="5" t="s">
        <v>3155</v>
      </c>
      <c r="H773" t="s">
        <v>47</v>
      </c>
      <c r="I773" t="s">
        <v>47</v>
      </c>
      <c r="J773" t="s">
        <v>47</v>
      </c>
      <c r="K773" t="s">
        <v>47</v>
      </c>
      <c r="L773" s="5" t="s">
        <v>60</v>
      </c>
      <c r="M773" t="s">
        <v>47</v>
      </c>
      <c r="N773" t="s">
        <v>47</v>
      </c>
      <c r="O773" t="s">
        <v>47</v>
      </c>
      <c r="P773" t="s">
        <v>47</v>
      </c>
      <c r="Q773" t="s">
        <v>47</v>
      </c>
      <c r="R773" t="s">
        <v>47</v>
      </c>
      <c r="S773" t="s">
        <v>47</v>
      </c>
      <c r="T773" t="s">
        <v>47</v>
      </c>
      <c r="U773" t="s">
        <v>47</v>
      </c>
      <c r="V773" t="s">
        <v>47</v>
      </c>
      <c r="W773" s="3">
        <v>34335</v>
      </c>
      <c r="X773" s="3">
        <v>44682</v>
      </c>
      <c r="Y773" t="s">
        <v>47</v>
      </c>
      <c r="Z773" s="3">
        <v>34335</v>
      </c>
      <c r="AA773" s="3">
        <v>44682</v>
      </c>
      <c r="AB773" t="s">
        <v>47</v>
      </c>
      <c r="AC773" s="3">
        <v>34335</v>
      </c>
      <c r="AD773" s="3">
        <v>44682</v>
      </c>
      <c r="AE773" t="s">
        <v>47</v>
      </c>
      <c r="AF773" t="s">
        <v>47</v>
      </c>
      <c r="AG773" t="s">
        <v>47</v>
      </c>
      <c r="AH773" t="s">
        <v>47</v>
      </c>
      <c r="AI773" t="s">
        <v>47</v>
      </c>
      <c r="AJ773" t="s">
        <v>47</v>
      </c>
      <c r="AK773" t="s">
        <v>47</v>
      </c>
      <c r="AL773" t="s">
        <v>47</v>
      </c>
      <c r="AM773" t="s">
        <v>47</v>
      </c>
      <c r="AN773" t="s">
        <v>47</v>
      </c>
      <c r="AO773" s="5" t="s">
        <v>60</v>
      </c>
      <c r="AP773" s="4" t="s">
        <v>61</v>
      </c>
      <c r="AQ773" s="4" t="s">
        <v>53</v>
      </c>
      <c r="AR773" s="4" t="s">
        <v>385</v>
      </c>
      <c r="AS773" s="5">
        <v>47870</v>
      </c>
      <c r="AT773" t="s">
        <v>47</v>
      </c>
    </row>
    <row r="774" spans="1:46" ht="78" x14ac:dyDescent="0.3">
      <c r="A774" s="4" t="s">
        <v>3156</v>
      </c>
      <c r="B774" t="s">
        <v>47</v>
      </c>
      <c r="C774" s="4" t="s">
        <v>1394</v>
      </c>
      <c r="D774" s="4" t="s">
        <v>3157</v>
      </c>
      <c r="E774" s="4" t="s">
        <v>123</v>
      </c>
      <c r="F774" s="5" t="s">
        <v>3158</v>
      </c>
      <c r="G774" s="5" t="s">
        <v>3159</v>
      </c>
      <c r="H774" t="s">
        <v>47</v>
      </c>
      <c r="I774" t="s">
        <v>47</v>
      </c>
      <c r="J774" t="s">
        <v>47</v>
      </c>
      <c r="K774" t="s">
        <v>47</v>
      </c>
      <c r="L774" s="5" t="s">
        <v>60</v>
      </c>
      <c r="M774" t="s">
        <v>47</v>
      </c>
      <c r="N774" t="s">
        <v>47</v>
      </c>
      <c r="O774" t="s">
        <v>47</v>
      </c>
      <c r="P774" t="s">
        <v>47</v>
      </c>
      <c r="Q774" t="s">
        <v>47</v>
      </c>
      <c r="R774" t="s">
        <v>47</v>
      </c>
      <c r="S774" t="s">
        <v>47</v>
      </c>
      <c r="T774" t="s">
        <v>47</v>
      </c>
      <c r="U774" t="s">
        <v>47</v>
      </c>
      <c r="V774" t="s">
        <v>47</v>
      </c>
      <c r="W774" s="3">
        <v>30407</v>
      </c>
      <c r="X774" s="3">
        <v>42614</v>
      </c>
      <c r="Y774" t="s">
        <v>47</v>
      </c>
      <c r="Z774" s="3">
        <v>30407</v>
      </c>
      <c r="AA774" s="3">
        <v>42614</v>
      </c>
      <c r="AB774" t="s">
        <v>47</v>
      </c>
      <c r="AC774" s="3">
        <v>32782</v>
      </c>
      <c r="AD774" s="3">
        <v>42614</v>
      </c>
      <c r="AE774" t="s">
        <v>47</v>
      </c>
      <c r="AF774" t="s">
        <v>47</v>
      </c>
      <c r="AG774" t="s">
        <v>47</v>
      </c>
      <c r="AH774" t="s">
        <v>47</v>
      </c>
      <c r="AI774" t="s">
        <v>47</v>
      </c>
      <c r="AJ774" t="s">
        <v>47</v>
      </c>
      <c r="AK774" t="s">
        <v>47</v>
      </c>
      <c r="AL774" t="s">
        <v>47</v>
      </c>
      <c r="AM774" t="s">
        <v>47</v>
      </c>
      <c r="AN774" t="s">
        <v>47</v>
      </c>
      <c r="AO774" s="5" t="s">
        <v>60</v>
      </c>
      <c r="AP774" s="4" t="s">
        <v>61</v>
      </c>
      <c r="AQ774" s="4" t="s">
        <v>53</v>
      </c>
      <c r="AR774" s="4" t="s">
        <v>3160</v>
      </c>
      <c r="AS774" s="5">
        <v>46985</v>
      </c>
      <c r="AT774" t="s">
        <v>47</v>
      </c>
    </row>
    <row r="775" spans="1:46" ht="78" x14ac:dyDescent="0.3">
      <c r="A775" s="4" t="s">
        <v>3161</v>
      </c>
      <c r="B775" t="s">
        <v>47</v>
      </c>
      <c r="C775" s="4" t="s">
        <v>200</v>
      </c>
      <c r="D775" s="4" t="s">
        <v>201</v>
      </c>
      <c r="E775" s="4" t="s">
        <v>66</v>
      </c>
      <c r="F775" s="5" t="s">
        <v>3162</v>
      </c>
      <c r="G775" s="5" t="s">
        <v>3163</v>
      </c>
      <c r="H775" t="s">
        <v>47</v>
      </c>
      <c r="I775" s="3">
        <v>35886</v>
      </c>
      <c r="J775" s="3">
        <v>41548</v>
      </c>
      <c r="K775" t="s">
        <v>47</v>
      </c>
      <c r="L775" s="5" t="s">
        <v>60</v>
      </c>
      <c r="M775" s="3">
        <v>35886</v>
      </c>
      <c r="N775" s="3">
        <v>38808</v>
      </c>
      <c r="O775" t="s">
        <v>47</v>
      </c>
      <c r="P775" s="3">
        <v>35886</v>
      </c>
      <c r="Q775" s="3">
        <v>41548</v>
      </c>
      <c r="R775" t="s">
        <v>47</v>
      </c>
      <c r="S775" t="s">
        <v>47</v>
      </c>
      <c r="T775" t="s">
        <v>47</v>
      </c>
      <c r="U775" t="s">
        <v>47</v>
      </c>
      <c r="V775" t="s">
        <v>47</v>
      </c>
      <c r="W775" s="3">
        <v>35886</v>
      </c>
      <c r="X775" s="5" t="s">
        <v>50</v>
      </c>
      <c r="Y775" t="s">
        <v>47</v>
      </c>
      <c r="Z775" s="3">
        <v>35886</v>
      </c>
      <c r="AA775" s="5" t="s">
        <v>50</v>
      </c>
      <c r="AB775" t="s">
        <v>47</v>
      </c>
      <c r="AC775" s="3">
        <v>38078</v>
      </c>
      <c r="AD775" s="5" t="s">
        <v>50</v>
      </c>
      <c r="AE775" t="s">
        <v>47</v>
      </c>
      <c r="AF775" t="s">
        <v>47</v>
      </c>
      <c r="AG775" t="s">
        <v>47</v>
      </c>
      <c r="AH775" t="s">
        <v>47</v>
      </c>
      <c r="AI775" t="s">
        <v>47</v>
      </c>
      <c r="AJ775" t="s">
        <v>47</v>
      </c>
      <c r="AK775" t="s">
        <v>47</v>
      </c>
      <c r="AL775" t="s">
        <v>47</v>
      </c>
      <c r="AM775" t="s">
        <v>47</v>
      </c>
      <c r="AN775" t="s">
        <v>47</v>
      </c>
      <c r="AO775" s="5" t="s">
        <v>60</v>
      </c>
      <c r="AP775" s="4" t="s">
        <v>61</v>
      </c>
      <c r="AQ775" s="4" t="s">
        <v>53</v>
      </c>
      <c r="AR775" s="4" t="s">
        <v>3164</v>
      </c>
      <c r="AS775" s="5">
        <v>48229</v>
      </c>
      <c r="AT775" t="s">
        <v>47</v>
      </c>
    </row>
    <row r="776" spans="1:46" ht="52" x14ac:dyDescent="0.3">
      <c r="A776" s="4" t="s">
        <v>3165</v>
      </c>
      <c r="B776" t="s">
        <v>47</v>
      </c>
      <c r="C776" s="4" t="s">
        <v>928</v>
      </c>
      <c r="D776" s="4" t="s">
        <v>1168</v>
      </c>
      <c r="E776" s="4" t="s">
        <v>49</v>
      </c>
      <c r="F776" s="5" t="s">
        <v>3166</v>
      </c>
      <c r="G776" s="5" t="s">
        <v>3167</v>
      </c>
      <c r="H776" t="s">
        <v>47</v>
      </c>
      <c r="I776" t="s">
        <v>47</v>
      </c>
      <c r="J776" t="s">
        <v>47</v>
      </c>
      <c r="K776" t="s">
        <v>47</v>
      </c>
      <c r="L776" s="5" t="s">
        <v>60</v>
      </c>
      <c r="M776" t="s">
        <v>47</v>
      </c>
      <c r="N776" t="s">
        <v>47</v>
      </c>
      <c r="O776" t="s">
        <v>47</v>
      </c>
      <c r="P776" t="s">
        <v>47</v>
      </c>
      <c r="Q776" t="s">
        <v>47</v>
      </c>
      <c r="R776" t="s">
        <v>47</v>
      </c>
      <c r="S776" t="s">
        <v>47</v>
      </c>
      <c r="T776" t="s">
        <v>47</v>
      </c>
      <c r="U776" t="s">
        <v>47</v>
      </c>
      <c r="V776" t="s">
        <v>47</v>
      </c>
      <c r="W776" s="3">
        <v>32568</v>
      </c>
      <c r="X776" s="3">
        <v>44531</v>
      </c>
      <c r="Y776" s="5" t="s">
        <v>3168</v>
      </c>
      <c r="Z776" s="3">
        <v>32568</v>
      </c>
      <c r="AA776" s="3">
        <v>44531</v>
      </c>
      <c r="AB776" s="5" t="s">
        <v>3168</v>
      </c>
      <c r="AC776" s="3">
        <v>32568</v>
      </c>
      <c r="AD776" s="3">
        <v>44531</v>
      </c>
      <c r="AE776" s="5" t="s">
        <v>3168</v>
      </c>
      <c r="AF776" t="s">
        <v>47</v>
      </c>
      <c r="AG776" t="s">
        <v>47</v>
      </c>
      <c r="AH776" t="s">
        <v>47</v>
      </c>
      <c r="AI776" t="s">
        <v>47</v>
      </c>
      <c r="AJ776" t="s">
        <v>47</v>
      </c>
      <c r="AK776" t="s">
        <v>47</v>
      </c>
      <c r="AL776" t="s">
        <v>47</v>
      </c>
      <c r="AM776" t="s">
        <v>47</v>
      </c>
      <c r="AN776" t="s">
        <v>47</v>
      </c>
      <c r="AO776" s="5" t="s">
        <v>60</v>
      </c>
      <c r="AP776" s="4" t="s">
        <v>61</v>
      </c>
      <c r="AQ776" s="4" t="s">
        <v>53</v>
      </c>
      <c r="AR776" s="4" t="s">
        <v>1093</v>
      </c>
      <c r="AS776" s="5">
        <v>30117</v>
      </c>
      <c r="AT776" t="s">
        <v>47</v>
      </c>
    </row>
    <row r="777" spans="1:46" ht="91" x14ac:dyDescent="0.3">
      <c r="A777" s="4" t="s">
        <v>3169</v>
      </c>
      <c r="B777" t="s">
        <v>47</v>
      </c>
      <c r="C777" s="4" t="s">
        <v>200</v>
      </c>
      <c r="D777" s="4" t="s">
        <v>1168</v>
      </c>
      <c r="E777" s="4" t="s">
        <v>66</v>
      </c>
      <c r="F777" s="5" t="s">
        <v>3170</v>
      </c>
      <c r="G777" s="5" t="s">
        <v>3171</v>
      </c>
      <c r="H777" t="s">
        <v>47</v>
      </c>
      <c r="I777" s="3">
        <v>32509</v>
      </c>
      <c r="J777" s="3">
        <v>40664</v>
      </c>
      <c r="K777" t="s">
        <v>47</v>
      </c>
      <c r="L777" s="5" t="s">
        <v>60</v>
      </c>
      <c r="M777" s="3">
        <v>35339</v>
      </c>
      <c r="N777" s="3">
        <v>40664</v>
      </c>
      <c r="O777" t="s">
        <v>47</v>
      </c>
      <c r="P777" s="3">
        <v>32509</v>
      </c>
      <c r="Q777" s="3">
        <v>40664</v>
      </c>
      <c r="R777" t="s">
        <v>47</v>
      </c>
      <c r="S777" t="s">
        <v>47</v>
      </c>
      <c r="T777" t="s">
        <v>47</v>
      </c>
      <c r="U777" t="s">
        <v>47</v>
      </c>
      <c r="V777" t="s">
        <v>47</v>
      </c>
      <c r="W777" s="3">
        <v>32509</v>
      </c>
      <c r="X777" s="5" t="s">
        <v>50</v>
      </c>
      <c r="Y777" t="s">
        <v>47</v>
      </c>
      <c r="Z777" s="3">
        <v>32509</v>
      </c>
      <c r="AA777" s="5" t="s">
        <v>50</v>
      </c>
      <c r="AB777" t="s">
        <v>47</v>
      </c>
      <c r="AC777" s="3">
        <v>32509</v>
      </c>
      <c r="AD777" s="5" t="s">
        <v>50</v>
      </c>
      <c r="AE777" t="s">
        <v>47</v>
      </c>
      <c r="AF777" t="s">
        <v>47</v>
      </c>
      <c r="AG777" t="s">
        <v>47</v>
      </c>
      <c r="AH777" t="s">
        <v>47</v>
      </c>
      <c r="AI777" t="s">
        <v>47</v>
      </c>
      <c r="AJ777" t="s">
        <v>47</v>
      </c>
      <c r="AK777" t="s">
        <v>47</v>
      </c>
      <c r="AL777" t="s">
        <v>47</v>
      </c>
      <c r="AM777" t="s">
        <v>47</v>
      </c>
      <c r="AN777" t="s">
        <v>47</v>
      </c>
      <c r="AO777" s="5" t="s">
        <v>60</v>
      </c>
      <c r="AP777" s="4" t="s">
        <v>61</v>
      </c>
      <c r="AQ777" s="4" t="s">
        <v>53</v>
      </c>
      <c r="AR777" s="4" t="s">
        <v>3172</v>
      </c>
      <c r="AS777" s="5">
        <v>42001</v>
      </c>
      <c r="AT777" t="s">
        <v>47</v>
      </c>
    </row>
    <row r="778" spans="1:46" ht="65" x14ac:dyDescent="0.3">
      <c r="A778" s="4" t="s">
        <v>3173</v>
      </c>
      <c r="B778" t="s">
        <v>47</v>
      </c>
      <c r="C778" s="4" t="s">
        <v>183</v>
      </c>
      <c r="D778" s="4" t="s">
        <v>333</v>
      </c>
      <c r="E778" s="4" t="s">
        <v>49</v>
      </c>
      <c r="F778" s="5" t="s">
        <v>3174</v>
      </c>
      <c r="G778" s="5" t="s">
        <v>3175</v>
      </c>
      <c r="H778" t="s">
        <v>47</v>
      </c>
      <c r="I778" t="s">
        <v>47</v>
      </c>
      <c r="J778" t="s">
        <v>47</v>
      </c>
      <c r="K778" t="s">
        <v>47</v>
      </c>
      <c r="L778" s="5" t="s">
        <v>60</v>
      </c>
      <c r="M778" t="s">
        <v>47</v>
      </c>
      <c r="N778" t="s">
        <v>47</v>
      </c>
      <c r="O778" t="s">
        <v>47</v>
      </c>
      <c r="P778" t="s">
        <v>47</v>
      </c>
      <c r="Q778" t="s">
        <v>47</v>
      </c>
      <c r="R778" t="s">
        <v>47</v>
      </c>
      <c r="S778" t="s">
        <v>47</v>
      </c>
      <c r="T778" t="s">
        <v>47</v>
      </c>
      <c r="U778" t="s">
        <v>47</v>
      </c>
      <c r="V778" t="s">
        <v>47</v>
      </c>
      <c r="W778" s="3">
        <v>31472</v>
      </c>
      <c r="X778" s="5" t="s">
        <v>50</v>
      </c>
      <c r="Y778" t="s">
        <v>47</v>
      </c>
      <c r="Z778" s="3">
        <v>31472</v>
      </c>
      <c r="AA778" s="5" t="s">
        <v>50</v>
      </c>
      <c r="AB778" t="s">
        <v>47</v>
      </c>
      <c r="AC778" s="3">
        <v>31472</v>
      </c>
      <c r="AD778" s="5" t="s">
        <v>50</v>
      </c>
      <c r="AE778" t="s">
        <v>47</v>
      </c>
      <c r="AF778" t="s">
        <v>47</v>
      </c>
      <c r="AG778" t="s">
        <v>47</v>
      </c>
      <c r="AH778" t="s">
        <v>47</v>
      </c>
      <c r="AI778" t="s">
        <v>47</v>
      </c>
      <c r="AJ778" t="s">
        <v>47</v>
      </c>
      <c r="AK778" t="s">
        <v>47</v>
      </c>
      <c r="AL778" t="s">
        <v>47</v>
      </c>
      <c r="AM778" t="s">
        <v>47</v>
      </c>
      <c r="AN778" t="s">
        <v>47</v>
      </c>
      <c r="AO778" s="5" t="s">
        <v>60</v>
      </c>
      <c r="AP778" s="4" t="s">
        <v>61</v>
      </c>
      <c r="AQ778" s="4" t="s">
        <v>53</v>
      </c>
      <c r="AR778" s="4" t="s">
        <v>2013</v>
      </c>
      <c r="AS778" s="5">
        <v>36441</v>
      </c>
      <c r="AT778" t="s">
        <v>47</v>
      </c>
    </row>
    <row r="779" spans="1:46" ht="39" x14ac:dyDescent="0.3">
      <c r="A779" s="4" t="s">
        <v>3176</v>
      </c>
      <c r="B779" t="s">
        <v>47</v>
      </c>
      <c r="C779" s="4" t="s">
        <v>3177</v>
      </c>
      <c r="D779" s="4" t="s">
        <v>3178</v>
      </c>
      <c r="E779" s="4" t="s">
        <v>49</v>
      </c>
      <c r="F779" s="5" t="s">
        <v>3179</v>
      </c>
      <c r="G779" t="s">
        <v>47</v>
      </c>
      <c r="H779" t="s">
        <v>47</v>
      </c>
      <c r="I779" s="3">
        <v>35339</v>
      </c>
      <c r="J779" s="3">
        <v>42552</v>
      </c>
      <c r="K779" t="s">
        <v>47</v>
      </c>
      <c r="L779" s="5" t="s">
        <v>60</v>
      </c>
      <c r="M779" s="3">
        <v>35339</v>
      </c>
      <c r="N779" s="3">
        <v>42552</v>
      </c>
      <c r="O779" t="s">
        <v>47</v>
      </c>
      <c r="P779" s="3">
        <v>35339</v>
      </c>
      <c r="Q779" s="3">
        <v>42552</v>
      </c>
      <c r="R779" t="s">
        <v>47</v>
      </c>
      <c r="S779" t="s">
        <v>47</v>
      </c>
      <c r="T779" t="s">
        <v>47</v>
      </c>
      <c r="U779" t="s">
        <v>47</v>
      </c>
      <c r="V779" t="s">
        <v>47</v>
      </c>
      <c r="W779" s="3">
        <v>35339</v>
      </c>
      <c r="X779" s="3">
        <v>42552</v>
      </c>
      <c r="Y779" t="s">
        <v>47</v>
      </c>
      <c r="Z779" s="3">
        <v>35339</v>
      </c>
      <c r="AA779" s="3">
        <v>42552</v>
      </c>
      <c r="AB779" t="s">
        <v>47</v>
      </c>
      <c r="AC779" s="3">
        <v>35339</v>
      </c>
      <c r="AD779" s="3">
        <v>42552</v>
      </c>
      <c r="AE779" t="s">
        <v>47</v>
      </c>
      <c r="AF779" t="s">
        <v>47</v>
      </c>
      <c r="AG779" t="s">
        <v>47</v>
      </c>
      <c r="AH779" t="s">
        <v>47</v>
      </c>
      <c r="AI779" t="s">
        <v>47</v>
      </c>
      <c r="AJ779" t="s">
        <v>47</v>
      </c>
      <c r="AK779" t="s">
        <v>47</v>
      </c>
      <c r="AL779" t="s">
        <v>47</v>
      </c>
      <c r="AM779" t="s">
        <v>47</v>
      </c>
      <c r="AN779" t="s">
        <v>47</v>
      </c>
      <c r="AO779" s="5" t="s">
        <v>60</v>
      </c>
      <c r="AP779" s="4" t="s">
        <v>61</v>
      </c>
      <c r="AQ779" s="4" t="s">
        <v>53</v>
      </c>
      <c r="AR779" s="4" t="s">
        <v>186</v>
      </c>
      <c r="AS779" s="5">
        <v>28962</v>
      </c>
      <c r="AT779" t="s">
        <v>47</v>
      </c>
    </row>
    <row r="780" spans="1:46" ht="78" x14ac:dyDescent="0.3">
      <c r="A780" s="4" t="s">
        <v>3180</v>
      </c>
      <c r="B780" t="s">
        <v>47</v>
      </c>
      <c r="C780" s="4" t="s">
        <v>183</v>
      </c>
      <c r="D780" s="4" t="s">
        <v>333</v>
      </c>
      <c r="E780" s="4" t="s">
        <v>49</v>
      </c>
      <c r="F780" s="5" t="s">
        <v>3181</v>
      </c>
      <c r="G780" s="5" t="s">
        <v>3182</v>
      </c>
      <c r="H780" t="s">
        <v>47</v>
      </c>
      <c r="I780" s="3">
        <v>35004</v>
      </c>
      <c r="J780" s="3">
        <v>43405</v>
      </c>
      <c r="K780" t="s">
        <v>47</v>
      </c>
      <c r="L780" s="5" t="s">
        <v>60</v>
      </c>
      <c r="M780" s="3">
        <v>35004</v>
      </c>
      <c r="N780" s="3">
        <v>43405</v>
      </c>
      <c r="O780" s="5" t="s">
        <v>1131</v>
      </c>
      <c r="P780" s="3">
        <v>35004</v>
      </c>
      <c r="Q780" s="3">
        <v>43405</v>
      </c>
      <c r="R780" t="s">
        <v>47</v>
      </c>
      <c r="S780" t="s">
        <v>47</v>
      </c>
      <c r="T780" t="s">
        <v>47</v>
      </c>
      <c r="U780" t="s">
        <v>47</v>
      </c>
      <c r="V780" t="s">
        <v>47</v>
      </c>
      <c r="W780" s="3">
        <v>35004</v>
      </c>
      <c r="X780" s="5" t="s">
        <v>50</v>
      </c>
      <c r="Y780" t="s">
        <v>47</v>
      </c>
      <c r="Z780" s="3">
        <v>35004</v>
      </c>
      <c r="AA780" s="5" t="s">
        <v>50</v>
      </c>
      <c r="AB780" t="s">
        <v>47</v>
      </c>
      <c r="AC780" s="3">
        <v>35004</v>
      </c>
      <c r="AD780" s="5" t="s">
        <v>50</v>
      </c>
      <c r="AE780" t="s">
        <v>47</v>
      </c>
      <c r="AF780" t="s">
        <v>47</v>
      </c>
      <c r="AG780" t="s">
        <v>47</v>
      </c>
      <c r="AH780" t="s">
        <v>47</v>
      </c>
      <c r="AI780" t="s">
        <v>47</v>
      </c>
      <c r="AJ780" t="s">
        <v>47</v>
      </c>
      <c r="AK780" t="s">
        <v>47</v>
      </c>
      <c r="AL780" t="s">
        <v>47</v>
      </c>
      <c r="AM780" t="s">
        <v>47</v>
      </c>
      <c r="AN780" t="s">
        <v>47</v>
      </c>
      <c r="AO780" s="5" t="s">
        <v>60</v>
      </c>
      <c r="AP780" s="4" t="s">
        <v>61</v>
      </c>
      <c r="AQ780" s="4" t="s">
        <v>53</v>
      </c>
      <c r="AR780" s="4" t="s">
        <v>436</v>
      </c>
      <c r="AS780" s="5">
        <v>40069</v>
      </c>
      <c r="AT780" t="s">
        <v>47</v>
      </c>
    </row>
    <row r="781" spans="1:46" ht="52" x14ac:dyDescent="0.3">
      <c r="A781" s="4" t="s">
        <v>3183</v>
      </c>
      <c r="B781" t="s">
        <v>47</v>
      </c>
      <c r="C781" s="4" t="s">
        <v>169</v>
      </c>
      <c r="D781" s="4" t="s">
        <v>339</v>
      </c>
      <c r="E781" s="4" t="s">
        <v>66</v>
      </c>
      <c r="F781" s="5" t="s">
        <v>3184</v>
      </c>
      <c r="G781" s="5" t="s">
        <v>3185</v>
      </c>
      <c r="H781" t="s">
        <v>47</v>
      </c>
      <c r="I781" t="s">
        <v>47</v>
      </c>
      <c r="J781" t="s">
        <v>47</v>
      </c>
      <c r="K781" t="s">
        <v>47</v>
      </c>
      <c r="L781" s="5" t="s">
        <v>60</v>
      </c>
      <c r="M781" t="s">
        <v>47</v>
      </c>
      <c r="N781" t="s">
        <v>47</v>
      </c>
      <c r="O781" t="s">
        <v>47</v>
      </c>
      <c r="P781" t="s">
        <v>47</v>
      </c>
      <c r="Q781" t="s">
        <v>47</v>
      </c>
      <c r="R781" t="s">
        <v>47</v>
      </c>
      <c r="S781" t="s">
        <v>47</v>
      </c>
      <c r="T781" t="s">
        <v>47</v>
      </c>
      <c r="U781" t="s">
        <v>47</v>
      </c>
      <c r="V781" t="s">
        <v>47</v>
      </c>
      <c r="W781" s="3">
        <v>40330</v>
      </c>
      <c r="X781" s="5" t="s">
        <v>50</v>
      </c>
      <c r="Y781" s="5" t="s">
        <v>3186</v>
      </c>
      <c r="Z781" s="3">
        <v>40330</v>
      </c>
      <c r="AA781" s="5" t="s">
        <v>50</v>
      </c>
      <c r="AB781" s="5" t="s">
        <v>3186</v>
      </c>
      <c r="AC781" s="3">
        <v>40330</v>
      </c>
      <c r="AD781" s="5" t="s">
        <v>50</v>
      </c>
      <c r="AE781" s="5" t="s">
        <v>3186</v>
      </c>
      <c r="AF781" t="s">
        <v>47</v>
      </c>
      <c r="AG781" t="s">
        <v>47</v>
      </c>
      <c r="AH781" t="s">
        <v>47</v>
      </c>
      <c r="AI781" t="s">
        <v>47</v>
      </c>
      <c r="AJ781" t="s">
        <v>47</v>
      </c>
      <c r="AK781" t="s">
        <v>47</v>
      </c>
      <c r="AL781" t="s">
        <v>47</v>
      </c>
      <c r="AM781" t="s">
        <v>47</v>
      </c>
      <c r="AN781" t="s">
        <v>47</v>
      </c>
      <c r="AO781" s="5" t="s">
        <v>60</v>
      </c>
      <c r="AP781" s="4" t="s">
        <v>61</v>
      </c>
      <c r="AQ781" s="4" t="s">
        <v>53</v>
      </c>
      <c r="AR781" s="4" t="s">
        <v>3187</v>
      </c>
      <c r="AS781" s="5">
        <v>196229</v>
      </c>
      <c r="AT781" t="s">
        <v>47</v>
      </c>
    </row>
    <row r="782" spans="1:46" ht="52" x14ac:dyDescent="0.3">
      <c r="A782" s="4" t="s">
        <v>3188</v>
      </c>
      <c r="B782" t="s">
        <v>47</v>
      </c>
      <c r="C782" s="4" t="s">
        <v>183</v>
      </c>
      <c r="D782" s="4" t="s">
        <v>3189</v>
      </c>
      <c r="E782" s="4" t="s">
        <v>49</v>
      </c>
      <c r="F782" s="5" t="s">
        <v>3190</v>
      </c>
      <c r="G782" s="5" t="s">
        <v>3191</v>
      </c>
      <c r="H782" t="s">
        <v>47</v>
      </c>
      <c r="I782" s="3">
        <v>41000</v>
      </c>
      <c r="J782" s="3">
        <v>43405</v>
      </c>
      <c r="K782" t="s">
        <v>47</v>
      </c>
      <c r="L782" s="5" t="s">
        <v>60</v>
      </c>
      <c r="M782" s="3">
        <v>41000</v>
      </c>
      <c r="N782" s="3">
        <v>43405</v>
      </c>
      <c r="O782" t="s">
        <v>47</v>
      </c>
      <c r="P782" s="3">
        <v>41000</v>
      </c>
      <c r="Q782" s="3">
        <v>43405</v>
      </c>
      <c r="R782" t="s">
        <v>47</v>
      </c>
      <c r="S782" t="s">
        <v>47</v>
      </c>
      <c r="T782" t="s">
        <v>47</v>
      </c>
      <c r="U782" t="s">
        <v>47</v>
      </c>
      <c r="V782" t="s">
        <v>47</v>
      </c>
      <c r="W782" s="3">
        <v>41000</v>
      </c>
      <c r="X782" s="5" t="s">
        <v>50</v>
      </c>
      <c r="Y782" t="s">
        <v>47</v>
      </c>
      <c r="Z782" s="3">
        <v>41000</v>
      </c>
      <c r="AA782" s="5" t="s">
        <v>50</v>
      </c>
      <c r="AB782" t="s">
        <v>47</v>
      </c>
      <c r="AC782" s="3">
        <v>41000</v>
      </c>
      <c r="AD782" s="5" t="s">
        <v>50</v>
      </c>
      <c r="AE782" t="s">
        <v>47</v>
      </c>
      <c r="AF782" t="s">
        <v>47</v>
      </c>
      <c r="AG782" t="s">
        <v>47</v>
      </c>
      <c r="AH782" t="s">
        <v>47</v>
      </c>
      <c r="AI782" t="s">
        <v>47</v>
      </c>
      <c r="AJ782" t="s">
        <v>47</v>
      </c>
      <c r="AK782" t="s">
        <v>47</v>
      </c>
      <c r="AL782" t="s">
        <v>47</v>
      </c>
      <c r="AM782" t="s">
        <v>47</v>
      </c>
      <c r="AN782" t="s">
        <v>47</v>
      </c>
      <c r="AO782" s="5" t="s">
        <v>60</v>
      </c>
      <c r="AP782" s="4" t="s">
        <v>61</v>
      </c>
      <c r="AQ782" s="4" t="s">
        <v>53</v>
      </c>
      <c r="AR782" s="4" t="s">
        <v>3192</v>
      </c>
      <c r="AS782" s="5">
        <v>1686345</v>
      </c>
      <c r="AT782" t="s">
        <v>47</v>
      </c>
    </row>
    <row r="783" spans="1:46" ht="104" x14ac:dyDescent="0.3">
      <c r="A783" s="4" t="s">
        <v>3193</v>
      </c>
      <c r="B783" t="s">
        <v>47</v>
      </c>
      <c r="C783" s="4" t="s">
        <v>3194</v>
      </c>
      <c r="D783" s="4" t="s">
        <v>2200</v>
      </c>
      <c r="E783" s="4" t="s">
        <v>49</v>
      </c>
      <c r="F783" s="5" t="s">
        <v>3195</v>
      </c>
      <c r="G783" s="5" t="s">
        <v>3196</v>
      </c>
      <c r="H783" t="s">
        <v>47</v>
      </c>
      <c r="I783" s="3">
        <v>35521</v>
      </c>
      <c r="J783" s="3">
        <v>37226</v>
      </c>
      <c r="K783" t="s">
        <v>47</v>
      </c>
      <c r="L783" s="5" t="s">
        <v>60</v>
      </c>
      <c r="M783" s="3">
        <v>35521</v>
      </c>
      <c r="N783" s="3">
        <v>37226</v>
      </c>
      <c r="O783" t="s">
        <v>47</v>
      </c>
      <c r="P783" s="3">
        <v>35521</v>
      </c>
      <c r="Q783" s="3">
        <v>37226</v>
      </c>
      <c r="R783" t="s">
        <v>47</v>
      </c>
      <c r="S783" t="s">
        <v>47</v>
      </c>
      <c r="T783" t="s">
        <v>47</v>
      </c>
      <c r="U783" t="s">
        <v>47</v>
      </c>
      <c r="V783" t="s">
        <v>47</v>
      </c>
      <c r="W783" s="3">
        <v>35521</v>
      </c>
      <c r="X783" s="3">
        <v>43922</v>
      </c>
      <c r="Y783" s="5" t="s">
        <v>3197</v>
      </c>
      <c r="Z783" s="3">
        <v>35521</v>
      </c>
      <c r="AA783" s="3">
        <v>43922</v>
      </c>
      <c r="AB783" s="5" t="s">
        <v>3197</v>
      </c>
      <c r="AC783" s="3">
        <v>35521</v>
      </c>
      <c r="AD783" s="3">
        <v>43922</v>
      </c>
      <c r="AE783" s="5" t="s">
        <v>3197</v>
      </c>
      <c r="AF783" t="s">
        <v>47</v>
      </c>
      <c r="AG783" t="s">
        <v>47</v>
      </c>
      <c r="AH783" t="s">
        <v>47</v>
      </c>
      <c r="AI783" t="s">
        <v>47</v>
      </c>
      <c r="AJ783" t="s">
        <v>47</v>
      </c>
      <c r="AK783" t="s">
        <v>47</v>
      </c>
      <c r="AL783" t="s">
        <v>47</v>
      </c>
      <c r="AM783" t="s">
        <v>47</v>
      </c>
      <c r="AN783" t="s">
        <v>47</v>
      </c>
      <c r="AO783" s="5" t="s">
        <v>60</v>
      </c>
      <c r="AP783" s="4" t="s">
        <v>61</v>
      </c>
      <c r="AQ783" s="4" t="s">
        <v>53</v>
      </c>
      <c r="AR783" s="4" t="s">
        <v>3198</v>
      </c>
      <c r="AS783" s="5">
        <v>34857</v>
      </c>
      <c r="AT783" t="s">
        <v>47</v>
      </c>
    </row>
    <row r="784" spans="1:46" ht="13" x14ac:dyDescent="0.3">
      <c r="A784" s="4" t="s">
        <v>3199</v>
      </c>
      <c r="B784" t="s">
        <v>47</v>
      </c>
      <c r="C784" s="4" t="s">
        <v>3200</v>
      </c>
      <c r="D784" s="4" t="s">
        <v>139</v>
      </c>
      <c r="E784" s="4" t="s">
        <v>66</v>
      </c>
      <c r="F784" s="5" t="s">
        <v>3201</v>
      </c>
      <c r="G784" s="5" t="s">
        <v>3202</v>
      </c>
      <c r="H784" t="s">
        <v>47</v>
      </c>
      <c r="I784" s="3">
        <v>44287</v>
      </c>
      <c r="J784" s="5" t="s">
        <v>50</v>
      </c>
      <c r="K784" t="s">
        <v>47</v>
      </c>
      <c r="L784" s="5" t="s">
        <v>60</v>
      </c>
      <c r="M784" s="3">
        <v>44531</v>
      </c>
      <c r="N784" s="5" t="s">
        <v>50</v>
      </c>
      <c r="O784" t="s">
        <v>47</v>
      </c>
      <c r="P784" s="3">
        <v>44287</v>
      </c>
      <c r="Q784" s="5" t="s">
        <v>50</v>
      </c>
      <c r="R784" t="s">
        <v>47</v>
      </c>
      <c r="S784" t="s">
        <v>47</v>
      </c>
      <c r="T784" t="s">
        <v>47</v>
      </c>
      <c r="U784" t="s">
        <v>47</v>
      </c>
      <c r="V784" t="s">
        <v>47</v>
      </c>
      <c r="W784" s="3">
        <v>44287</v>
      </c>
      <c r="X784" s="5" t="s">
        <v>50</v>
      </c>
      <c r="Y784" t="s">
        <v>47</v>
      </c>
      <c r="Z784" s="3">
        <v>44287</v>
      </c>
      <c r="AA784" s="5" t="s">
        <v>50</v>
      </c>
      <c r="AB784" t="s">
        <v>47</v>
      </c>
      <c r="AC784" s="3">
        <v>44287</v>
      </c>
      <c r="AD784" s="5" t="s">
        <v>50</v>
      </c>
      <c r="AE784" t="s">
        <v>47</v>
      </c>
      <c r="AF784" t="s">
        <v>47</v>
      </c>
      <c r="AG784" t="s">
        <v>47</v>
      </c>
      <c r="AH784" t="s">
        <v>47</v>
      </c>
      <c r="AI784" t="s">
        <v>47</v>
      </c>
      <c r="AJ784" t="s">
        <v>47</v>
      </c>
      <c r="AK784" t="s">
        <v>47</v>
      </c>
      <c r="AL784" t="s">
        <v>47</v>
      </c>
      <c r="AM784" t="s">
        <v>47</v>
      </c>
      <c r="AN784" t="s">
        <v>47</v>
      </c>
      <c r="AO784" s="5" t="s">
        <v>60</v>
      </c>
      <c r="AP784" s="4" t="s">
        <v>61</v>
      </c>
      <c r="AQ784" s="4" t="s">
        <v>53</v>
      </c>
      <c r="AR784" s="4" t="s">
        <v>54</v>
      </c>
      <c r="AS784" s="5">
        <v>5455935</v>
      </c>
      <c r="AT784" t="s">
        <v>47</v>
      </c>
    </row>
    <row r="785" spans="1:46" ht="52" x14ac:dyDescent="0.3">
      <c r="A785" s="4" t="s">
        <v>3203</v>
      </c>
      <c r="B785" t="s">
        <v>47</v>
      </c>
      <c r="C785" s="4" t="s">
        <v>169</v>
      </c>
      <c r="D785" s="4" t="s">
        <v>339</v>
      </c>
      <c r="E785" s="4" t="s">
        <v>66</v>
      </c>
      <c r="F785" s="5" t="s">
        <v>3204</v>
      </c>
      <c r="G785" s="5" t="s">
        <v>3205</v>
      </c>
      <c r="H785" t="s">
        <v>47</v>
      </c>
      <c r="I785" t="s">
        <v>47</v>
      </c>
      <c r="J785" t="s">
        <v>47</v>
      </c>
      <c r="K785" t="s">
        <v>47</v>
      </c>
      <c r="L785" s="5" t="s">
        <v>60</v>
      </c>
      <c r="M785" t="s">
        <v>47</v>
      </c>
      <c r="N785" t="s">
        <v>47</v>
      </c>
      <c r="O785" t="s">
        <v>47</v>
      </c>
      <c r="P785" t="s">
        <v>47</v>
      </c>
      <c r="Q785" t="s">
        <v>47</v>
      </c>
      <c r="R785" t="s">
        <v>47</v>
      </c>
      <c r="S785" t="s">
        <v>47</v>
      </c>
      <c r="T785" t="s">
        <v>47</v>
      </c>
      <c r="U785" t="s">
        <v>47</v>
      </c>
      <c r="V785" t="s">
        <v>47</v>
      </c>
      <c r="W785" s="3">
        <v>40238</v>
      </c>
      <c r="X785" s="5" t="s">
        <v>50</v>
      </c>
      <c r="Y785" t="s">
        <v>47</v>
      </c>
      <c r="Z785" s="3">
        <v>40238</v>
      </c>
      <c r="AA785" s="5" t="s">
        <v>50</v>
      </c>
      <c r="AB785" t="s">
        <v>47</v>
      </c>
      <c r="AC785" s="3">
        <v>40238</v>
      </c>
      <c r="AD785" s="5" t="s">
        <v>50</v>
      </c>
      <c r="AE785" t="s">
        <v>47</v>
      </c>
      <c r="AF785" t="s">
        <v>47</v>
      </c>
      <c r="AG785" t="s">
        <v>47</v>
      </c>
      <c r="AH785" t="s">
        <v>47</v>
      </c>
      <c r="AI785" t="s">
        <v>47</v>
      </c>
      <c r="AJ785" t="s">
        <v>47</v>
      </c>
      <c r="AK785" t="s">
        <v>47</v>
      </c>
      <c r="AL785" t="s">
        <v>47</v>
      </c>
      <c r="AM785" t="s">
        <v>47</v>
      </c>
      <c r="AN785" t="s">
        <v>47</v>
      </c>
      <c r="AO785" s="5" t="s">
        <v>60</v>
      </c>
      <c r="AP785" s="4" t="s">
        <v>61</v>
      </c>
      <c r="AQ785" s="4" t="s">
        <v>53</v>
      </c>
      <c r="AR785" s="4" t="s">
        <v>3206</v>
      </c>
      <c r="AS785" s="5">
        <v>216151</v>
      </c>
      <c r="AT785" t="s">
        <v>47</v>
      </c>
    </row>
    <row r="786" spans="1:46" ht="104" x14ac:dyDescent="0.3">
      <c r="A786" s="4" t="s">
        <v>3207</v>
      </c>
      <c r="B786" t="s">
        <v>47</v>
      </c>
      <c r="C786" s="4" t="s">
        <v>3208</v>
      </c>
      <c r="D786" s="4" t="s">
        <v>3209</v>
      </c>
      <c r="E786" s="4" t="s">
        <v>49</v>
      </c>
      <c r="F786" s="5" t="s">
        <v>3210</v>
      </c>
      <c r="G786" s="5" t="s">
        <v>3211</v>
      </c>
      <c r="H786" t="s">
        <v>47</v>
      </c>
      <c r="I786" s="3">
        <v>35339</v>
      </c>
      <c r="J786" s="3">
        <v>44652</v>
      </c>
      <c r="K786" t="s">
        <v>47</v>
      </c>
      <c r="L786" s="5" t="s">
        <v>60</v>
      </c>
      <c r="M786" s="3">
        <v>35339</v>
      </c>
      <c r="N786" s="3">
        <v>44652</v>
      </c>
      <c r="O786" t="s">
        <v>47</v>
      </c>
      <c r="P786" s="3">
        <v>35339</v>
      </c>
      <c r="Q786" s="3">
        <v>44652</v>
      </c>
      <c r="R786" t="s">
        <v>47</v>
      </c>
      <c r="S786" t="s">
        <v>47</v>
      </c>
      <c r="T786" t="s">
        <v>47</v>
      </c>
      <c r="U786" t="s">
        <v>47</v>
      </c>
      <c r="V786" t="s">
        <v>47</v>
      </c>
      <c r="W786" s="3">
        <v>35339</v>
      </c>
      <c r="X786" s="3">
        <v>44652</v>
      </c>
      <c r="Y786" t="s">
        <v>47</v>
      </c>
      <c r="Z786" s="3">
        <v>35339</v>
      </c>
      <c r="AA786" s="3">
        <v>44652</v>
      </c>
      <c r="AB786" t="s">
        <v>47</v>
      </c>
      <c r="AC786" s="3">
        <v>38047</v>
      </c>
      <c r="AD786" s="3">
        <v>44652</v>
      </c>
      <c r="AE786" t="s">
        <v>47</v>
      </c>
      <c r="AF786" t="s">
        <v>47</v>
      </c>
      <c r="AG786" t="s">
        <v>47</v>
      </c>
      <c r="AH786" t="s">
        <v>47</v>
      </c>
      <c r="AI786" t="s">
        <v>47</v>
      </c>
      <c r="AJ786" t="s">
        <v>47</v>
      </c>
      <c r="AK786" t="s">
        <v>47</v>
      </c>
      <c r="AL786" t="s">
        <v>47</v>
      </c>
      <c r="AM786" t="s">
        <v>47</v>
      </c>
      <c r="AN786" t="s">
        <v>47</v>
      </c>
      <c r="AO786" s="5" t="s">
        <v>60</v>
      </c>
      <c r="AP786" s="4" t="s">
        <v>61</v>
      </c>
      <c r="AQ786" s="4" t="s">
        <v>53</v>
      </c>
      <c r="AR786" s="4" t="s">
        <v>3212</v>
      </c>
      <c r="AS786" s="5">
        <v>48458</v>
      </c>
      <c r="AT786" t="s">
        <v>47</v>
      </c>
    </row>
    <row r="787" spans="1:46" ht="26" x14ac:dyDescent="0.3">
      <c r="A787" s="4" t="s">
        <v>3213</v>
      </c>
      <c r="B787" t="s">
        <v>47</v>
      </c>
      <c r="C787" s="4" t="s">
        <v>3214</v>
      </c>
      <c r="D787" s="4" t="s">
        <v>88</v>
      </c>
      <c r="E787" s="4" t="s">
        <v>49</v>
      </c>
      <c r="F787" s="5" t="s">
        <v>3215</v>
      </c>
      <c r="G787" s="5" t="s">
        <v>3216</v>
      </c>
      <c r="H787" t="s">
        <v>47</v>
      </c>
      <c r="I787" s="3">
        <v>37347</v>
      </c>
      <c r="J787" s="5" t="s">
        <v>50</v>
      </c>
      <c r="K787" t="s">
        <v>47</v>
      </c>
      <c r="L787" s="5" t="s">
        <v>60</v>
      </c>
      <c r="M787" s="3">
        <v>37347</v>
      </c>
      <c r="N787" s="5" t="s">
        <v>50</v>
      </c>
      <c r="O787" t="s">
        <v>47</v>
      </c>
      <c r="P787" s="3">
        <v>37347</v>
      </c>
      <c r="Q787" s="5" t="s">
        <v>50</v>
      </c>
      <c r="R787" t="s">
        <v>47</v>
      </c>
      <c r="S787" t="s">
        <v>47</v>
      </c>
      <c r="T787" t="s">
        <v>47</v>
      </c>
      <c r="U787" t="s">
        <v>47</v>
      </c>
      <c r="V787" t="s">
        <v>47</v>
      </c>
      <c r="W787" s="3">
        <v>37347</v>
      </c>
      <c r="X787" s="5" t="s">
        <v>50</v>
      </c>
      <c r="Y787" t="s">
        <v>47</v>
      </c>
      <c r="Z787" s="3">
        <v>37347</v>
      </c>
      <c r="AA787" s="5" t="s">
        <v>50</v>
      </c>
      <c r="AB787" t="s">
        <v>47</v>
      </c>
      <c r="AC787" s="3">
        <v>37347</v>
      </c>
      <c r="AD787" s="5" t="s">
        <v>50</v>
      </c>
      <c r="AE787" s="5" t="s">
        <v>1602</v>
      </c>
      <c r="AF787" t="s">
        <v>47</v>
      </c>
      <c r="AG787" t="s">
        <v>47</v>
      </c>
      <c r="AH787" t="s">
        <v>47</v>
      </c>
      <c r="AI787" t="s">
        <v>47</v>
      </c>
      <c r="AJ787" t="s">
        <v>47</v>
      </c>
      <c r="AK787" t="s">
        <v>47</v>
      </c>
      <c r="AL787" t="s">
        <v>47</v>
      </c>
      <c r="AM787" t="s">
        <v>47</v>
      </c>
      <c r="AN787" t="s">
        <v>47</v>
      </c>
      <c r="AO787" s="5" t="s">
        <v>60</v>
      </c>
      <c r="AP787" s="4" t="s">
        <v>61</v>
      </c>
      <c r="AQ787" s="4" t="s">
        <v>53</v>
      </c>
      <c r="AR787" s="4" t="s">
        <v>3217</v>
      </c>
      <c r="AS787" s="5">
        <v>47699</v>
      </c>
      <c r="AT787" t="s">
        <v>47</v>
      </c>
    </row>
    <row r="788" spans="1:46" ht="104" x14ac:dyDescent="0.3">
      <c r="A788" s="4" t="s">
        <v>3218</v>
      </c>
      <c r="B788" t="s">
        <v>47</v>
      </c>
      <c r="C788" s="4" t="s">
        <v>519</v>
      </c>
      <c r="D788" s="4" t="s">
        <v>88</v>
      </c>
      <c r="E788" s="4" t="s">
        <v>49</v>
      </c>
      <c r="F788" s="5" t="s">
        <v>3219</v>
      </c>
      <c r="G788" s="5" t="s">
        <v>3220</v>
      </c>
      <c r="H788" t="s">
        <v>47</v>
      </c>
      <c r="I788" s="3">
        <v>35490</v>
      </c>
      <c r="J788" s="3">
        <v>40483</v>
      </c>
      <c r="K788" t="s">
        <v>47</v>
      </c>
      <c r="L788" s="5" t="s">
        <v>60</v>
      </c>
      <c r="M788" s="3">
        <v>35490</v>
      </c>
      <c r="N788" s="3">
        <v>40483</v>
      </c>
      <c r="O788" t="s">
        <v>47</v>
      </c>
      <c r="P788" s="3">
        <v>35490</v>
      </c>
      <c r="Q788" s="3">
        <v>40483</v>
      </c>
      <c r="R788" t="s">
        <v>47</v>
      </c>
      <c r="S788" t="s">
        <v>47</v>
      </c>
      <c r="T788" t="s">
        <v>47</v>
      </c>
      <c r="U788" t="s">
        <v>47</v>
      </c>
      <c r="V788" t="s">
        <v>47</v>
      </c>
      <c r="W788" s="3">
        <v>35490</v>
      </c>
      <c r="X788" s="5" t="s">
        <v>50</v>
      </c>
      <c r="Y788" t="s">
        <v>47</v>
      </c>
      <c r="Z788" s="3">
        <v>35490</v>
      </c>
      <c r="AA788" s="5" t="s">
        <v>50</v>
      </c>
      <c r="AB788" t="s">
        <v>47</v>
      </c>
      <c r="AC788" s="3">
        <v>35735</v>
      </c>
      <c r="AD788" s="5" t="s">
        <v>50</v>
      </c>
      <c r="AE788" s="5" t="s">
        <v>3221</v>
      </c>
      <c r="AF788" t="s">
        <v>47</v>
      </c>
      <c r="AG788" t="s">
        <v>47</v>
      </c>
      <c r="AH788" t="s">
        <v>47</v>
      </c>
      <c r="AI788" t="s">
        <v>47</v>
      </c>
      <c r="AJ788" t="s">
        <v>47</v>
      </c>
      <c r="AK788" t="s">
        <v>47</v>
      </c>
      <c r="AL788" t="s">
        <v>47</v>
      </c>
      <c r="AM788" t="s">
        <v>47</v>
      </c>
      <c r="AN788" t="s">
        <v>47</v>
      </c>
      <c r="AO788" s="5" t="s">
        <v>60</v>
      </c>
      <c r="AP788" s="4" t="s">
        <v>61</v>
      </c>
      <c r="AQ788" s="4" t="s">
        <v>53</v>
      </c>
      <c r="AR788" s="4" t="s">
        <v>3222</v>
      </c>
      <c r="AS788" s="5">
        <v>860</v>
      </c>
      <c r="AT788" t="s">
        <v>47</v>
      </c>
    </row>
    <row r="789" spans="1:46" ht="13" x14ac:dyDescent="0.3">
      <c r="A789" s="4" t="s">
        <v>3223</v>
      </c>
      <c r="B789" t="s">
        <v>47</v>
      </c>
      <c r="C789" s="4" t="s">
        <v>200</v>
      </c>
      <c r="D789" s="4" t="s">
        <v>2541</v>
      </c>
      <c r="E789" s="4" t="s">
        <v>66</v>
      </c>
      <c r="F789" s="5" t="s">
        <v>3224</v>
      </c>
      <c r="G789" s="5" t="s">
        <v>3225</v>
      </c>
      <c r="H789" t="s">
        <v>47</v>
      </c>
      <c r="I789" s="3">
        <v>38687</v>
      </c>
      <c r="J789" s="3">
        <v>42339</v>
      </c>
      <c r="K789" t="s">
        <v>47</v>
      </c>
      <c r="L789" s="5" t="s">
        <v>60</v>
      </c>
      <c r="M789" s="3">
        <v>38687</v>
      </c>
      <c r="N789" s="3">
        <v>42339</v>
      </c>
      <c r="O789" t="s">
        <v>47</v>
      </c>
      <c r="P789" s="3">
        <v>38687</v>
      </c>
      <c r="Q789" s="3">
        <v>42339</v>
      </c>
      <c r="R789" t="s">
        <v>47</v>
      </c>
      <c r="S789" t="s">
        <v>47</v>
      </c>
      <c r="T789" t="s">
        <v>47</v>
      </c>
      <c r="U789" t="s">
        <v>47</v>
      </c>
      <c r="V789" t="s">
        <v>47</v>
      </c>
      <c r="W789" s="3">
        <v>34060</v>
      </c>
      <c r="X789" s="5" t="s">
        <v>50</v>
      </c>
      <c r="Y789" t="s">
        <v>47</v>
      </c>
      <c r="Z789" s="3">
        <v>34060</v>
      </c>
      <c r="AA789" s="5" t="s">
        <v>50</v>
      </c>
      <c r="AB789" t="s">
        <v>47</v>
      </c>
      <c r="AC789" s="3">
        <v>34060</v>
      </c>
      <c r="AD789" s="5" t="s">
        <v>50</v>
      </c>
      <c r="AE789" t="s">
        <v>47</v>
      </c>
      <c r="AF789" t="s">
        <v>47</v>
      </c>
      <c r="AG789" t="s">
        <v>47</v>
      </c>
      <c r="AH789" t="s">
        <v>47</v>
      </c>
      <c r="AI789" t="s">
        <v>47</v>
      </c>
      <c r="AJ789" t="s">
        <v>47</v>
      </c>
      <c r="AK789" t="s">
        <v>47</v>
      </c>
      <c r="AL789" t="s">
        <v>47</v>
      </c>
      <c r="AM789" t="s">
        <v>47</v>
      </c>
      <c r="AN789" t="s">
        <v>47</v>
      </c>
      <c r="AO789" s="5" t="s">
        <v>60</v>
      </c>
      <c r="AP789" s="4" t="s">
        <v>61</v>
      </c>
      <c r="AQ789" s="4" t="s">
        <v>53</v>
      </c>
      <c r="AR789" s="4" t="s">
        <v>483</v>
      </c>
      <c r="AS789" s="5">
        <v>36654</v>
      </c>
      <c r="AT789" t="s">
        <v>47</v>
      </c>
    </row>
    <row r="790" spans="1:46" ht="91" x14ac:dyDescent="0.3">
      <c r="A790" s="4" t="s">
        <v>3226</v>
      </c>
      <c r="B790" t="s">
        <v>47</v>
      </c>
      <c r="C790" s="4" t="s">
        <v>3227</v>
      </c>
      <c r="D790" s="4" t="s">
        <v>3228</v>
      </c>
      <c r="E790" s="4" t="s">
        <v>49</v>
      </c>
      <c r="F790" s="5" t="s">
        <v>3229</v>
      </c>
      <c r="G790" t="s">
        <v>47</v>
      </c>
      <c r="H790" t="s">
        <v>47</v>
      </c>
      <c r="I790" s="3">
        <v>40544</v>
      </c>
      <c r="J790" s="3">
        <v>42370</v>
      </c>
      <c r="K790" t="s">
        <v>47</v>
      </c>
      <c r="L790" s="5" t="s">
        <v>60</v>
      </c>
      <c r="M790" s="3">
        <v>40544</v>
      </c>
      <c r="N790" s="3">
        <v>42370</v>
      </c>
      <c r="O790" t="s">
        <v>47</v>
      </c>
      <c r="P790" s="3">
        <v>40544</v>
      </c>
      <c r="Q790" s="3">
        <v>42370</v>
      </c>
      <c r="R790" t="s">
        <v>47</v>
      </c>
      <c r="S790" t="s">
        <v>47</v>
      </c>
      <c r="T790" t="s">
        <v>47</v>
      </c>
      <c r="U790" t="s">
        <v>47</v>
      </c>
      <c r="V790" t="s">
        <v>47</v>
      </c>
      <c r="W790" s="3">
        <v>40544</v>
      </c>
      <c r="X790" s="3">
        <v>42370</v>
      </c>
      <c r="Y790" t="s">
        <v>47</v>
      </c>
      <c r="Z790" s="3">
        <v>40544</v>
      </c>
      <c r="AA790" s="3">
        <v>42370</v>
      </c>
      <c r="AB790" t="s">
        <v>47</v>
      </c>
      <c r="AC790" s="3">
        <v>40544</v>
      </c>
      <c r="AD790" s="3">
        <v>42370</v>
      </c>
      <c r="AE790" t="s">
        <v>47</v>
      </c>
      <c r="AF790" t="s">
        <v>47</v>
      </c>
      <c r="AG790" t="s">
        <v>47</v>
      </c>
      <c r="AH790" t="s">
        <v>47</v>
      </c>
      <c r="AI790" t="s">
        <v>47</v>
      </c>
      <c r="AJ790" t="s">
        <v>47</v>
      </c>
      <c r="AK790" t="s">
        <v>47</v>
      </c>
      <c r="AL790" t="s">
        <v>47</v>
      </c>
      <c r="AM790" t="s">
        <v>47</v>
      </c>
      <c r="AN790" t="s">
        <v>47</v>
      </c>
      <c r="AO790" s="5" t="s">
        <v>60</v>
      </c>
      <c r="AP790" s="4" t="s">
        <v>61</v>
      </c>
      <c r="AQ790" s="4" t="s">
        <v>53</v>
      </c>
      <c r="AR790" s="4" t="s">
        <v>316</v>
      </c>
      <c r="AS790" s="5">
        <v>706376</v>
      </c>
      <c r="AT790" t="s">
        <v>47</v>
      </c>
    </row>
    <row r="791" spans="1:46" ht="39" x14ac:dyDescent="0.3">
      <c r="A791" s="4" t="s">
        <v>3230</v>
      </c>
      <c r="B791" t="s">
        <v>47</v>
      </c>
      <c r="C791" s="4" t="s">
        <v>115</v>
      </c>
      <c r="D791" s="4" t="s">
        <v>559</v>
      </c>
      <c r="E791" s="4" t="s">
        <v>66</v>
      </c>
      <c r="F791" s="5" t="s">
        <v>3231</v>
      </c>
      <c r="G791" s="5" t="s">
        <v>3232</v>
      </c>
      <c r="H791" t="s">
        <v>47</v>
      </c>
      <c r="I791" s="3">
        <v>39814</v>
      </c>
      <c r="J791" s="5" t="s">
        <v>50</v>
      </c>
      <c r="K791" s="5" t="s">
        <v>3233</v>
      </c>
      <c r="L791" s="5" t="s">
        <v>60</v>
      </c>
      <c r="M791" s="3">
        <v>42370</v>
      </c>
      <c r="N791" s="5" t="s">
        <v>50</v>
      </c>
      <c r="O791" s="5" t="s">
        <v>946</v>
      </c>
      <c r="P791" s="3">
        <v>39814</v>
      </c>
      <c r="Q791" s="5" t="s">
        <v>50</v>
      </c>
      <c r="R791" s="5" t="s">
        <v>3233</v>
      </c>
      <c r="S791" t="s">
        <v>47</v>
      </c>
      <c r="T791" t="s">
        <v>47</v>
      </c>
      <c r="U791" t="s">
        <v>47</v>
      </c>
      <c r="V791" s="5">
        <v>365</v>
      </c>
      <c r="W791" s="3">
        <v>39814</v>
      </c>
      <c r="X791" s="5" t="s">
        <v>50</v>
      </c>
      <c r="Y791" s="5" t="s">
        <v>3233</v>
      </c>
      <c r="Z791" s="3">
        <v>39814</v>
      </c>
      <c r="AA791" s="5" t="s">
        <v>50</v>
      </c>
      <c r="AB791" s="5" t="s">
        <v>3233</v>
      </c>
      <c r="AC791" s="3">
        <v>39814</v>
      </c>
      <c r="AD791" s="5" t="s">
        <v>50</v>
      </c>
      <c r="AE791" s="5" t="s">
        <v>3233</v>
      </c>
      <c r="AF791" t="s">
        <v>47</v>
      </c>
      <c r="AG791" t="s">
        <v>47</v>
      </c>
      <c r="AH791" t="s">
        <v>47</v>
      </c>
      <c r="AI791" t="s">
        <v>47</v>
      </c>
      <c r="AJ791" t="s">
        <v>47</v>
      </c>
      <c r="AK791" t="s">
        <v>47</v>
      </c>
      <c r="AL791" t="s">
        <v>47</v>
      </c>
      <c r="AM791" t="s">
        <v>47</v>
      </c>
      <c r="AN791" t="s">
        <v>47</v>
      </c>
      <c r="AO791" s="5" t="s">
        <v>60</v>
      </c>
      <c r="AP791" s="4" t="s">
        <v>61</v>
      </c>
      <c r="AQ791" s="4" t="s">
        <v>53</v>
      </c>
      <c r="AR791" s="4" t="s">
        <v>62</v>
      </c>
      <c r="AS791" s="5">
        <v>2050543</v>
      </c>
      <c r="AT791" t="s">
        <v>47</v>
      </c>
    </row>
    <row r="792" spans="1:46" ht="39" x14ac:dyDescent="0.3">
      <c r="A792" s="4" t="s">
        <v>3234</v>
      </c>
      <c r="B792" t="s">
        <v>47</v>
      </c>
      <c r="C792" s="4" t="s">
        <v>3235</v>
      </c>
      <c r="D792" s="4" t="s">
        <v>1232</v>
      </c>
      <c r="E792" s="4" t="s">
        <v>66</v>
      </c>
      <c r="F792" s="5" t="s">
        <v>3236</v>
      </c>
      <c r="G792" t="s">
        <v>47</v>
      </c>
      <c r="H792" t="s">
        <v>47</v>
      </c>
      <c r="I792" s="3">
        <v>39356</v>
      </c>
      <c r="J792" s="5" t="s">
        <v>50</v>
      </c>
      <c r="K792" t="s">
        <v>47</v>
      </c>
      <c r="L792" s="5" t="s">
        <v>60</v>
      </c>
      <c r="M792" s="3">
        <v>39356</v>
      </c>
      <c r="N792" s="5" t="s">
        <v>50</v>
      </c>
      <c r="O792" t="s">
        <v>47</v>
      </c>
      <c r="P792" s="3">
        <v>39356</v>
      </c>
      <c r="Q792" s="5" t="s">
        <v>50</v>
      </c>
      <c r="R792" t="s">
        <v>47</v>
      </c>
      <c r="S792" t="s">
        <v>47</v>
      </c>
      <c r="T792" t="s">
        <v>47</v>
      </c>
      <c r="U792" t="s">
        <v>47</v>
      </c>
      <c r="V792" s="5">
        <v>60</v>
      </c>
      <c r="W792" s="3">
        <v>39356</v>
      </c>
      <c r="X792" s="5" t="s">
        <v>50</v>
      </c>
      <c r="Y792" t="s">
        <v>47</v>
      </c>
      <c r="Z792" s="3">
        <v>39356</v>
      </c>
      <c r="AA792" s="5" t="s">
        <v>50</v>
      </c>
      <c r="AB792" t="s">
        <v>47</v>
      </c>
      <c r="AC792" s="3">
        <v>39356</v>
      </c>
      <c r="AD792" s="5" t="s">
        <v>50</v>
      </c>
      <c r="AE792" t="s">
        <v>47</v>
      </c>
      <c r="AF792" t="s">
        <v>47</v>
      </c>
      <c r="AG792" t="s">
        <v>47</v>
      </c>
      <c r="AH792" t="s">
        <v>47</v>
      </c>
      <c r="AI792" t="s">
        <v>47</v>
      </c>
      <c r="AJ792" t="s">
        <v>47</v>
      </c>
      <c r="AK792" t="s">
        <v>47</v>
      </c>
      <c r="AL792" t="s">
        <v>47</v>
      </c>
      <c r="AM792" t="s">
        <v>47</v>
      </c>
      <c r="AN792" t="s">
        <v>47</v>
      </c>
      <c r="AO792" s="5" t="s">
        <v>60</v>
      </c>
      <c r="AP792" s="4" t="s">
        <v>61</v>
      </c>
      <c r="AQ792" s="4" t="s">
        <v>53</v>
      </c>
      <c r="AR792" s="4" t="s">
        <v>62</v>
      </c>
      <c r="AS792" s="5">
        <v>26434</v>
      </c>
      <c r="AT792" t="s">
        <v>47</v>
      </c>
    </row>
    <row r="793" spans="1:46" ht="26" x14ac:dyDescent="0.3">
      <c r="A793" s="4" t="s">
        <v>3237</v>
      </c>
      <c r="B793" t="s">
        <v>47</v>
      </c>
      <c r="C793" s="4" t="s">
        <v>3238</v>
      </c>
      <c r="D793" s="4" t="s">
        <v>3239</v>
      </c>
      <c r="E793" s="4" t="s">
        <v>2746</v>
      </c>
      <c r="F793" t="s">
        <v>47</v>
      </c>
      <c r="G793" s="5" t="s">
        <v>3240</v>
      </c>
      <c r="H793" t="s">
        <v>47</v>
      </c>
      <c r="I793" s="3">
        <v>42736</v>
      </c>
      <c r="J793" s="5" t="s">
        <v>50</v>
      </c>
      <c r="K793" t="s">
        <v>47</v>
      </c>
      <c r="L793" s="5" t="s">
        <v>60</v>
      </c>
      <c r="M793" s="3">
        <v>42736</v>
      </c>
      <c r="N793" s="5" t="s">
        <v>50</v>
      </c>
      <c r="O793" t="s">
        <v>47</v>
      </c>
      <c r="P793" s="3">
        <v>42736</v>
      </c>
      <c r="Q793" s="5" t="s">
        <v>50</v>
      </c>
      <c r="R793" t="s">
        <v>47</v>
      </c>
      <c r="S793" t="s">
        <v>47</v>
      </c>
      <c r="T793" t="s">
        <v>47</v>
      </c>
      <c r="U793" t="s">
        <v>47</v>
      </c>
      <c r="V793" t="s">
        <v>47</v>
      </c>
      <c r="W793" s="3">
        <v>42736</v>
      </c>
      <c r="X793" s="5" t="s">
        <v>50</v>
      </c>
      <c r="Y793" t="s">
        <v>47</v>
      </c>
      <c r="Z793" s="3">
        <v>42736</v>
      </c>
      <c r="AA793" s="5" t="s">
        <v>50</v>
      </c>
      <c r="AB793" t="s">
        <v>47</v>
      </c>
      <c r="AC793" s="3">
        <v>42736</v>
      </c>
      <c r="AD793" s="5" t="s">
        <v>50</v>
      </c>
      <c r="AE793" t="s">
        <v>47</v>
      </c>
      <c r="AF793" t="s">
        <v>47</v>
      </c>
      <c r="AG793" t="s">
        <v>47</v>
      </c>
      <c r="AH793" t="s">
        <v>47</v>
      </c>
      <c r="AI793" t="s">
        <v>47</v>
      </c>
      <c r="AJ793" t="s">
        <v>47</v>
      </c>
      <c r="AK793" t="s">
        <v>47</v>
      </c>
      <c r="AL793" t="s">
        <v>47</v>
      </c>
      <c r="AM793" t="s">
        <v>47</v>
      </c>
      <c r="AN793" t="s">
        <v>47</v>
      </c>
      <c r="AO793" s="5" t="s">
        <v>60</v>
      </c>
      <c r="AP793" s="4" t="s">
        <v>61</v>
      </c>
      <c r="AQ793" s="4" t="s">
        <v>3241</v>
      </c>
      <c r="AR793" s="4" t="s">
        <v>2129</v>
      </c>
      <c r="AS793" s="5">
        <v>2068952</v>
      </c>
      <c r="AT793" t="s">
        <v>47</v>
      </c>
    </row>
    <row r="794" spans="1:46" ht="13" x14ac:dyDescent="0.3">
      <c r="A794" s="4" t="s">
        <v>3242</v>
      </c>
      <c r="B794" t="s">
        <v>47</v>
      </c>
      <c r="C794" s="4" t="s">
        <v>3243</v>
      </c>
      <c r="D794" s="4" t="s">
        <v>2731</v>
      </c>
      <c r="E794" s="4" t="s">
        <v>2918</v>
      </c>
      <c r="F794" s="5" t="s">
        <v>3244</v>
      </c>
      <c r="G794" s="5" t="s">
        <v>3245</v>
      </c>
      <c r="H794" t="s">
        <v>47</v>
      </c>
      <c r="I794" s="3">
        <v>38078</v>
      </c>
      <c r="J794" s="5" t="s">
        <v>50</v>
      </c>
      <c r="K794" t="s">
        <v>47</v>
      </c>
      <c r="L794" s="5" t="s">
        <v>60</v>
      </c>
      <c r="M794" t="s">
        <v>47</v>
      </c>
      <c r="N794" t="s">
        <v>47</v>
      </c>
      <c r="O794" t="s">
        <v>47</v>
      </c>
      <c r="P794" s="3">
        <v>38078</v>
      </c>
      <c r="Q794" s="5" t="s">
        <v>50</v>
      </c>
      <c r="R794" t="s">
        <v>47</v>
      </c>
      <c r="S794" t="s">
        <v>47</v>
      </c>
      <c r="T794" t="s">
        <v>47</v>
      </c>
      <c r="U794" t="s">
        <v>47</v>
      </c>
      <c r="V794" t="s">
        <v>47</v>
      </c>
      <c r="W794" s="3">
        <v>38078</v>
      </c>
      <c r="X794" s="5" t="s">
        <v>50</v>
      </c>
      <c r="Y794" t="s">
        <v>47</v>
      </c>
      <c r="Z794" s="3">
        <v>38078</v>
      </c>
      <c r="AA794" s="5" t="s">
        <v>50</v>
      </c>
      <c r="AB794" t="s">
        <v>47</v>
      </c>
      <c r="AC794" s="3">
        <v>38078</v>
      </c>
      <c r="AD794" s="5" t="s">
        <v>50</v>
      </c>
      <c r="AE794" t="s">
        <v>47</v>
      </c>
      <c r="AF794" t="s">
        <v>47</v>
      </c>
      <c r="AG794" t="s">
        <v>47</v>
      </c>
      <c r="AH794" t="s">
        <v>47</v>
      </c>
      <c r="AI794" t="s">
        <v>47</v>
      </c>
      <c r="AJ794" t="s">
        <v>47</v>
      </c>
      <c r="AK794" t="s">
        <v>47</v>
      </c>
      <c r="AL794" t="s">
        <v>47</v>
      </c>
      <c r="AM794" t="s">
        <v>47</v>
      </c>
      <c r="AN794" t="s">
        <v>47</v>
      </c>
      <c r="AO794" s="5" t="s">
        <v>51</v>
      </c>
      <c r="AP794" s="4" t="s">
        <v>61</v>
      </c>
      <c r="AQ794" s="4" t="s">
        <v>53</v>
      </c>
      <c r="AR794" s="4" t="s">
        <v>167</v>
      </c>
      <c r="AS794" s="5">
        <v>4424407</v>
      </c>
      <c r="AT794" t="s">
        <v>47</v>
      </c>
    </row>
    <row r="795" spans="1:46" ht="26" x14ac:dyDescent="0.3">
      <c r="A795" s="4" t="s">
        <v>3246</v>
      </c>
      <c r="B795" t="s">
        <v>47</v>
      </c>
      <c r="C795" s="4" t="s">
        <v>3247</v>
      </c>
      <c r="D795" s="4" t="s">
        <v>2991</v>
      </c>
      <c r="E795" s="4" t="s">
        <v>49</v>
      </c>
      <c r="F795" s="5" t="s">
        <v>3248</v>
      </c>
      <c r="G795" s="5" t="s">
        <v>3249</v>
      </c>
      <c r="H795" t="s">
        <v>47</v>
      </c>
      <c r="I795" s="3">
        <v>35612</v>
      </c>
      <c r="J795" s="5" t="s">
        <v>50</v>
      </c>
      <c r="K795" t="s">
        <v>47</v>
      </c>
      <c r="L795" s="5" t="s">
        <v>60</v>
      </c>
      <c r="M795" s="3">
        <v>35612</v>
      </c>
      <c r="N795" s="5" t="s">
        <v>50</v>
      </c>
      <c r="O795" t="s">
        <v>47</v>
      </c>
      <c r="P795" s="3">
        <v>35612</v>
      </c>
      <c r="Q795" s="5" t="s">
        <v>50</v>
      </c>
      <c r="R795" t="s">
        <v>47</v>
      </c>
      <c r="S795" t="s">
        <v>47</v>
      </c>
      <c r="T795" t="s">
        <v>47</v>
      </c>
      <c r="U795" t="s">
        <v>47</v>
      </c>
      <c r="V795" s="5">
        <v>180</v>
      </c>
      <c r="W795" s="3">
        <v>33604</v>
      </c>
      <c r="X795" s="5" t="s">
        <v>50</v>
      </c>
      <c r="Y795" t="s">
        <v>47</v>
      </c>
      <c r="Z795" s="3">
        <v>33604</v>
      </c>
      <c r="AA795" s="5" t="s">
        <v>50</v>
      </c>
      <c r="AB795" t="s">
        <v>47</v>
      </c>
      <c r="AC795" s="3">
        <v>33604</v>
      </c>
      <c r="AD795" s="5" t="s">
        <v>50</v>
      </c>
      <c r="AE795" t="s">
        <v>47</v>
      </c>
      <c r="AF795" t="s">
        <v>47</v>
      </c>
      <c r="AG795" t="s">
        <v>47</v>
      </c>
      <c r="AH795" t="s">
        <v>47</v>
      </c>
      <c r="AI795" t="s">
        <v>47</v>
      </c>
      <c r="AJ795" t="s">
        <v>47</v>
      </c>
      <c r="AK795" t="s">
        <v>47</v>
      </c>
      <c r="AL795" t="s">
        <v>47</v>
      </c>
      <c r="AM795" t="s">
        <v>47</v>
      </c>
      <c r="AN795" t="s">
        <v>47</v>
      </c>
      <c r="AO795" s="5" t="s">
        <v>60</v>
      </c>
      <c r="AP795" s="4" t="s">
        <v>61</v>
      </c>
      <c r="AQ795" s="4" t="s">
        <v>53</v>
      </c>
      <c r="AR795" s="4" t="s">
        <v>3250</v>
      </c>
      <c r="AS795" s="5">
        <v>47878</v>
      </c>
      <c r="AT795" t="s">
        <v>47</v>
      </c>
    </row>
    <row r="796" spans="1:46" ht="169" x14ac:dyDescent="0.3">
      <c r="A796" s="4" t="s">
        <v>3251</v>
      </c>
      <c r="B796" t="s">
        <v>47</v>
      </c>
      <c r="C796" s="4" t="s">
        <v>122</v>
      </c>
      <c r="D796" s="4" t="s">
        <v>70</v>
      </c>
      <c r="E796" s="4" t="s">
        <v>123</v>
      </c>
      <c r="F796" s="5" t="s">
        <v>3252</v>
      </c>
      <c r="G796" s="5" t="s">
        <v>3253</v>
      </c>
      <c r="H796" t="s">
        <v>47</v>
      </c>
      <c r="I796" s="3">
        <v>35462</v>
      </c>
      <c r="J796" s="5" t="s">
        <v>50</v>
      </c>
      <c r="K796" t="s">
        <v>47</v>
      </c>
      <c r="L796" s="5" t="s">
        <v>60</v>
      </c>
      <c r="M796" s="3">
        <v>38139</v>
      </c>
      <c r="N796" s="3">
        <v>42856</v>
      </c>
      <c r="O796" t="s">
        <v>47</v>
      </c>
      <c r="P796" s="3">
        <v>35462</v>
      </c>
      <c r="Q796" s="5" t="s">
        <v>50</v>
      </c>
      <c r="R796" t="s">
        <v>47</v>
      </c>
      <c r="S796" t="s">
        <v>47</v>
      </c>
      <c r="T796" t="s">
        <v>47</v>
      </c>
      <c r="U796" t="s">
        <v>47</v>
      </c>
      <c r="V796" s="5">
        <v>365</v>
      </c>
      <c r="W796" s="3">
        <v>35462</v>
      </c>
      <c r="X796" s="5" t="s">
        <v>50</v>
      </c>
      <c r="Y796" t="s">
        <v>47</v>
      </c>
      <c r="Z796" s="3">
        <v>35462</v>
      </c>
      <c r="AA796" s="5" t="s">
        <v>50</v>
      </c>
      <c r="AB796" t="s">
        <v>47</v>
      </c>
      <c r="AC796" s="3">
        <v>35462</v>
      </c>
      <c r="AD796" s="5" t="s">
        <v>50</v>
      </c>
      <c r="AE796" t="s">
        <v>47</v>
      </c>
      <c r="AF796" t="s">
        <v>47</v>
      </c>
      <c r="AG796" t="s">
        <v>47</v>
      </c>
      <c r="AH796" t="s">
        <v>47</v>
      </c>
      <c r="AI796" t="s">
        <v>47</v>
      </c>
      <c r="AJ796" t="s">
        <v>47</v>
      </c>
      <c r="AK796" t="s">
        <v>47</v>
      </c>
      <c r="AL796" t="s">
        <v>47</v>
      </c>
      <c r="AM796" t="s">
        <v>47</v>
      </c>
      <c r="AN796" t="s">
        <v>47</v>
      </c>
      <c r="AO796" s="5" t="s">
        <v>60</v>
      </c>
      <c r="AP796" s="4" t="s">
        <v>61</v>
      </c>
      <c r="AQ796" s="4" t="s">
        <v>53</v>
      </c>
      <c r="AR796" s="4" t="s">
        <v>3254</v>
      </c>
      <c r="AS796" s="5">
        <v>48401</v>
      </c>
      <c r="AT796" t="s">
        <v>47</v>
      </c>
    </row>
    <row r="797" spans="1:46" ht="13" x14ac:dyDescent="0.3">
      <c r="A797" s="4" t="s">
        <v>3255</v>
      </c>
      <c r="B797" t="s">
        <v>47</v>
      </c>
      <c r="C797" s="4" t="s">
        <v>3256</v>
      </c>
      <c r="D797" s="4" t="s">
        <v>3257</v>
      </c>
      <c r="E797" s="4" t="s">
        <v>2558</v>
      </c>
      <c r="F797" s="5" t="s">
        <v>3258</v>
      </c>
      <c r="G797" s="5" t="s">
        <v>3259</v>
      </c>
      <c r="H797" t="s">
        <v>47</v>
      </c>
      <c r="I797" s="3">
        <v>40909</v>
      </c>
      <c r="J797" s="5" t="s">
        <v>50</v>
      </c>
      <c r="K797" t="s">
        <v>47</v>
      </c>
      <c r="L797" s="5" t="s">
        <v>60</v>
      </c>
      <c r="M797" t="s">
        <v>47</v>
      </c>
      <c r="N797" t="s">
        <v>47</v>
      </c>
      <c r="O797" t="s">
        <v>47</v>
      </c>
      <c r="P797" s="3">
        <v>40909</v>
      </c>
      <c r="Q797" s="5" t="s">
        <v>50</v>
      </c>
      <c r="R797" t="s">
        <v>47</v>
      </c>
      <c r="S797" t="s">
        <v>47</v>
      </c>
      <c r="T797" t="s">
        <v>47</v>
      </c>
      <c r="U797" t="s">
        <v>47</v>
      </c>
      <c r="V797" t="s">
        <v>47</v>
      </c>
      <c r="W797" s="3">
        <v>40909</v>
      </c>
      <c r="X797" s="5" t="s">
        <v>50</v>
      </c>
      <c r="Y797" t="s">
        <v>47</v>
      </c>
      <c r="Z797" s="3">
        <v>40909</v>
      </c>
      <c r="AA797" s="5" t="s">
        <v>50</v>
      </c>
      <c r="AB797" t="s">
        <v>47</v>
      </c>
      <c r="AC797" s="3">
        <v>40909</v>
      </c>
      <c r="AD797" s="5" t="s">
        <v>50</v>
      </c>
      <c r="AE797" t="s">
        <v>47</v>
      </c>
      <c r="AF797" t="s">
        <v>47</v>
      </c>
      <c r="AG797" t="s">
        <v>47</v>
      </c>
      <c r="AH797" t="s">
        <v>47</v>
      </c>
      <c r="AI797" t="s">
        <v>47</v>
      </c>
      <c r="AJ797" t="s">
        <v>47</v>
      </c>
      <c r="AK797" t="s">
        <v>47</v>
      </c>
      <c r="AL797" t="s">
        <v>47</v>
      </c>
      <c r="AM797" t="s">
        <v>47</v>
      </c>
      <c r="AN797" t="s">
        <v>47</v>
      </c>
      <c r="AO797" s="5" t="s">
        <v>60</v>
      </c>
      <c r="AP797" s="4" t="s">
        <v>61</v>
      </c>
      <c r="AQ797" s="4" t="s">
        <v>53</v>
      </c>
      <c r="AR797" s="4" t="s">
        <v>54</v>
      </c>
      <c r="AS797" s="5">
        <v>4477238</v>
      </c>
      <c r="AT797" t="s">
        <v>47</v>
      </c>
    </row>
    <row r="798" spans="1:46" ht="13" x14ac:dyDescent="0.3">
      <c r="A798" s="4" t="s">
        <v>3260</v>
      </c>
      <c r="B798" t="s">
        <v>47</v>
      </c>
      <c r="C798" s="4" t="s">
        <v>3260</v>
      </c>
      <c r="D798" s="4" t="s">
        <v>70</v>
      </c>
      <c r="E798" s="4" t="s">
        <v>49</v>
      </c>
      <c r="F798" s="5" t="s">
        <v>3261</v>
      </c>
      <c r="G798" s="5" t="s">
        <v>3262</v>
      </c>
      <c r="H798" t="s">
        <v>47</v>
      </c>
      <c r="I798" s="3">
        <v>38078</v>
      </c>
      <c r="J798" s="5" t="s">
        <v>50</v>
      </c>
      <c r="K798" t="s">
        <v>47</v>
      </c>
      <c r="L798" s="5" t="s">
        <v>60</v>
      </c>
      <c r="M798" s="3">
        <v>38078</v>
      </c>
      <c r="N798" s="3">
        <v>38626</v>
      </c>
      <c r="O798" t="s">
        <v>47</v>
      </c>
      <c r="P798" s="3">
        <v>38078</v>
      </c>
      <c r="Q798" s="5" t="s">
        <v>50</v>
      </c>
      <c r="R798" t="s">
        <v>47</v>
      </c>
      <c r="S798" t="s">
        <v>47</v>
      </c>
      <c r="T798" t="s">
        <v>47</v>
      </c>
      <c r="U798" t="s">
        <v>47</v>
      </c>
      <c r="V798" t="s">
        <v>47</v>
      </c>
      <c r="W798" s="3">
        <v>38078</v>
      </c>
      <c r="X798" s="5" t="s">
        <v>50</v>
      </c>
      <c r="Y798" t="s">
        <v>47</v>
      </c>
      <c r="Z798" s="3">
        <v>38078</v>
      </c>
      <c r="AA798" s="5" t="s">
        <v>50</v>
      </c>
      <c r="AB798" t="s">
        <v>47</v>
      </c>
      <c r="AC798" s="3">
        <v>38078</v>
      </c>
      <c r="AD798" s="5" t="s">
        <v>50</v>
      </c>
      <c r="AE798" t="s">
        <v>47</v>
      </c>
      <c r="AF798" t="s">
        <v>47</v>
      </c>
      <c r="AG798" t="s">
        <v>47</v>
      </c>
      <c r="AH798" t="s">
        <v>47</v>
      </c>
      <c r="AI798" t="s">
        <v>47</v>
      </c>
      <c r="AJ798" t="s">
        <v>47</v>
      </c>
      <c r="AK798" t="s">
        <v>47</v>
      </c>
      <c r="AL798" t="s">
        <v>47</v>
      </c>
      <c r="AM798" t="s">
        <v>47</v>
      </c>
      <c r="AN798" t="s">
        <v>47</v>
      </c>
      <c r="AO798" s="5" t="s">
        <v>60</v>
      </c>
      <c r="AP798" s="4" t="s">
        <v>61</v>
      </c>
      <c r="AQ798" s="4" t="s">
        <v>53</v>
      </c>
      <c r="AR798" s="4" t="s">
        <v>1166</v>
      </c>
      <c r="AS798" s="5">
        <v>48355</v>
      </c>
      <c r="AT798" t="s">
        <v>47</v>
      </c>
    </row>
    <row r="799" spans="1:46" ht="26" x14ac:dyDescent="0.3">
      <c r="A799" s="4" t="s">
        <v>3263</v>
      </c>
      <c r="B799" t="s">
        <v>47</v>
      </c>
      <c r="C799" s="4" t="s">
        <v>122</v>
      </c>
      <c r="D799" s="4" t="s">
        <v>70</v>
      </c>
      <c r="E799" s="4" t="s">
        <v>123</v>
      </c>
      <c r="F799" s="5" t="s">
        <v>3264</v>
      </c>
      <c r="G799" s="5" t="s">
        <v>3265</v>
      </c>
      <c r="H799" t="s">
        <v>47</v>
      </c>
      <c r="I799" s="3">
        <v>35490</v>
      </c>
      <c r="J799" s="5" t="s">
        <v>50</v>
      </c>
      <c r="K799" s="5" t="s">
        <v>3266</v>
      </c>
      <c r="L799" s="5" t="s">
        <v>60</v>
      </c>
      <c r="M799" s="3">
        <v>38047</v>
      </c>
      <c r="N799" s="3">
        <v>42795</v>
      </c>
      <c r="O799" t="s">
        <v>47</v>
      </c>
      <c r="P799" s="3">
        <v>35490</v>
      </c>
      <c r="Q799" s="5" t="s">
        <v>50</v>
      </c>
      <c r="R799" s="5" t="s">
        <v>3266</v>
      </c>
      <c r="S799" t="s">
        <v>47</v>
      </c>
      <c r="T799" t="s">
        <v>47</v>
      </c>
      <c r="U799" t="s">
        <v>47</v>
      </c>
      <c r="V799" s="5">
        <v>365</v>
      </c>
      <c r="W799" s="3">
        <v>35490</v>
      </c>
      <c r="X799" s="5" t="s">
        <v>50</v>
      </c>
      <c r="Y799" s="5" t="s">
        <v>3266</v>
      </c>
      <c r="Z799" s="3">
        <v>35490</v>
      </c>
      <c r="AA799" s="5" t="s">
        <v>50</v>
      </c>
      <c r="AB799" s="5" t="s">
        <v>3266</v>
      </c>
      <c r="AC799" s="3">
        <v>35490</v>
      </c>
      <c r="AD799" s="5" t="s">
        <v>50</v>
      </c>
      <c r="AE799" s="5" t="s">
        <v>3266</v>
      </c>
      <c r="AF799" t="s">
        <v>47</v>
      </c>
      <c r="AG799" t="s">
        <v>47</v>
      </c>
      <c r="AH799" t="s">
        <v>47</v>
      </c>
      <c r="AI799" t="s">
        <v>47</v>
      </c>
      <c r="AJ799" t="s">
        <v>47</v>
      </c>
      <c r="AK799" t="s">
        <v>47</v>
      </c>
      <c r="AL799" t="s">
        <v>47</v>
      </c>
      <c r="AM799" t="s">
        <v>47</v>
      </c>
      <c r="AN799" t="s">
        <v>47</v>
      </c>
      <c r="AO799" s="5" t="s">
        <v>60</v>
      </c>
      <c r="AP799" s="4" t="s">
        <v>61</v>
      </c>
      <c r="AQ799" s="4" t="s">
        <v>53</v>
      </c>
      <c r="AR799" s="4" t="s">
        <v>807</v>
      </c>
      <c r="AS799" s="5">
        <v>54114</v>
      </c>
      <c r="AT799" t="s">
        <v>47</v>
      </c>
    </row>
    <row r="800" spans="1:46" ht="39" x14ac:dyDescent="0.3">
      <c r="A800" s="4" t="s">
        <v>3267</v>
      </c>
      <c r="B800" t="s">
        <v>47</v>
      </c>
      <c r="C800" s="4" t="s">
        <v>169</v>
      </c>
      <c r="D800" s="4" t="s">
        <v>3268</v>
      </c>
      <c r="E800" s="4" t="s">
        <v>66</v>
      </c>
      <c r="F800" s="5" t="s">
        <v>3269</v>
      </c>
      <c r="G800" s="5" t="s">
        <v>3270</v>
      </c>
      <c r="H800" t="s">
        <v>47</v>
      </c>
      <c r="I800" t="s">
        <v>47</v>
      </c>
      <c r="J800" t="s">
        <v>47</v>
      </c>
      <c r="K800" t="s">
        <v>47</v>
      </c>
      <c r="L800" s="5" t="s">
        <v>60</v>
      </c>
      <c r="M800" t="s">
        <v>47</v>
      </c>
      <c r="N800" t="s">
        <v>47</v>
      </c>
      <c r="O800" t="s">
        <v>47</v>
      </c>
      <c r="P800" t="s">
        <v>47</v>
      </c>
      <c r="Q800" t="s">
        <v>47</v>
      </c>
      <c r="R800" t="s">
        <v>47</v>
      </c>
      <c r="S800" t="s">
        <v>47</v>
      </c>
      <c r="T800" t="s">
        <v>47</v>
      </c>
      <c r="U800" t="s">
        <v>47</v>
      </c>
      <c r="V800" t="s">
        <v>47</v>
      </c>
      <c r="W800" s="3">
        <v>40179</v>
      </c>
      <c r="X800" s="5" t="s">
        <v>50</v>
      </c>
      <c r="Y800" s="5" t="s">
        <v>946</v>
      </c>
      <c r="Z800" s="3">
        <v>40179</v>
      </c>
      <c r="AA800" s="5" t="s">
        <v>50</v>
      </c>
      <c r="AB800" s="5" t="s">
        <v>946</v>
      </c>
      <c r="AC800" s="3">
        <v>40179</v>
      </c>
      <c r="AD800" s="5" t="s">
        <v>50</v>
      </c>
      <c r="AE800" s="5" t="s">
        <v>946</v>
      </c>
      <c r="AF800" t="s">
        <v>47</v>
      </c>
      <c r="AG800" t="s">
        <v>47</v>
      </c>
      <c r="AH800" t="s">
        <v>47</v>
      </c>
      <c r="AI800" t="s">
        <v>47</v>
      </c>
      <c r="AJ800" t="s">
        <v>47</v>
      </c>
      <c r="AK800" t="s">
        <v>47</v>
      </c>
      <c r="AL800" t="s">
        <v>47</v>
      </c>
      <c r="AM800" t="s">
        <v>47</v>
      </c>
      <c r="AN800" t="s">
        <v>47</v>
      </c>
      <c r="AO800" s="5" t="s">
        <v>60</v>
      </c>
      <c r="AP800" s="4" t="s">
        <v>61</v>
      </c>
      <c r="AQ800" s="4" t="s">
        <v>53</v>
      </c>
      <c r="AR800" s="4" t="s">
        <v>3271</v>
      </c>
      <c r="AS800" s="5">
        <v>426761</v>
      </c>
      <c r="AT800" t="s">
        <v>47</v>
      </c>
    </row>
    <row r="801" spans="1:46" ht="39" x14ac:dyDescent="0.3">
      <c r="A801" s="4" t="s">
        <v>3272</v>
      </c>
      <c r="B801" t="s">
        <v>47</v>
      </c>
      <c r="C801" s="4" t="s">
        <v>183</v>
      </c>
      <c r="D801" s="4" t="s">
        <v>88</v>
      </c>
      <c r="E801" s="4" t="s">
        <v>49</v>
      </c>
      <c r="F801" s="5" t="s">
        <v>3273</v>
      </c>
      <c r="G801" s="5" t="s">
        <v>3274</v>
      </c>
      <c r="H801" t="s">
        <v>47</v>
      </c>
      <c r="I801" t="s">
        <v>47</v>
      </c>
      <c r="J801" t="s">
        <v>47</v>
      </c>
      <c r="K801" t="s">
        <v>47</v>
      </c>
      <c r="L801" s="5" t="s">
        <v>60</v>
      </c>
      <c r="M801" t="s">
        <v>47</v>
      </c>
      <c r="N801" t="s">
        <v>47</v>
      </c>
      <c r="O801" t="s">
        <v>47</v>
      </c>
      <c r="P801" t="s">
        <v>47</v>
      </c>
      <c r="Q801" t="s">
        <v>47</v>
      </c>
      <c r="R801" t="s">
        <v>47</v>
      </c>
      <c r="S801" t="s">
        <v>47</v>
      </c>
      <c r="T801" t="s">
        <v>47</v>
      </c>
      <c r="U801" t="s">
        <v>47</v>
      </c>
      <c r="V801" t="s">
        <v>47</v>
      </c>
      <c r="W801" s="3">
        <v>27242</v>
      </c>
      <c r="X801" s="5" t="s">
        <v>50</v>
      </c>
      <c r="Y801" s="5" t="s">
        <v>3275</v>
      </c>
      <c r="Z801" s="3">
        <v>27242</v>
      </c>
      <c r="AA801" s="5" t="s">
        <v>50</v>
      </c>
      <c r="AB801" s="5" t="s">
        <v>3275</v>
      </c>
      <c r="AC801" s="3">
        <v>27242</v>
      </c>
      <c r="AD801" s="5" t="s">
        <v>50</v>
      </c>
      <c r="AE801" s="5" t="s">
        <v>3276</v>
      </c>
      <c r="AF801" t="s">
        <v>47</v>
      </c>
      <c r="AG801" t="s">
        <v>47</v>
      </c>
      <c r="AH801" t="s">
        <v>47</v>
      </c>
      <c r="AI801" t="s">
        <v>47</v>
      </c>
      <c r="AJ801" t="s">
        <v>47</v>
      </c>
      <c r="AK801" t="s">
        <v>47</v>
      </c>
      <c r="AL801" t="s">
        <v>47</v>
      </c>
      <c r="AM801" t="s">
        <v>47</v>
      </c>
      <c r="AN801" t="s">
        <v>47</v>
      </c>
      <c r="AO801" s="5" t="s">
        <v>60</v>
      </c>
      <c r="AP801" s="4" t="s">
        <v>61</v>
      </c>
      <c r="AQ801" s="4" t="s">
        <v>53</v>
      </c>
      <c r="AR801" s="4" t="s">
        <v>2431</v>
      </c>
      <c r="AS801" s="5">
        <v>15745</v>
      </c>
      <c r="AT801" t="s">
        <v>47</v>
      </c>
    </row>
    <row r="802" spans="1:46" ht="78" x14ac:dyDescent="0.3">
      <c r="A802" s="4" t="s">
        <v>3277</v>
      </c>
      <c r="B802" t="s">
        <v>47</v>
      </c>
      <c r="C802" s="4" t="s">
        <v>183</v>
      </c>
      <c r="D802" s="4" t="s">
        <v>333</v>
      </c>
      <c r="E802" s="4" t="s">
        <v>49</v>
      </c>
      <c r="F802" s="5" t="s">
        <v>3278</v>
      </c>
      <c r="G802" s="5" t="s">
        <v>3279</v>
      </c>
      <c r="H802" t="s">
        <v>47</v>
      </c>
      <c r="I802" t="s">
        <v>47</v>
      </c>
      <c r="J802" t="s">
        <v>47</v>
      </c>
      <c r="K802" t="s">
        <v>47</v>
      </c>
      <c r="L802" s="5" t="s">
        <v>60</v>
      </c>
      <c r="M802" t="s">
        <v>47</v>
      </c>
      <c r="N802" t="s">
        <v>47</v>
      </c>
      <c r="O802" t="s">
        <v>47</v>
      </c>
      <c r="P802" t="s">
        <v>47</v>
      </c>
      <c r="Q802" t="s">
        <v>47</v>
      </c>
      <c r="R802" t="s">
        <v>47</v>
      </c>
      <c r="S802" t="s">
        <v>47</v>
      </c>
      <c r="T802" t="s">
        <v>47</v>
      </c>
      <c r="U802" t="s">
        <v>47</v>
      </c>
      <c r="V802" t="s">
        <v>47</v>
      </c>
      <c r="W802" s="3">
        <v>32933</v>
      </c>
      <c r="X802" s="5" t="s">
        <v>50</v>
      </c>
      <c r="Y802" t="s">
        <v>47</v>
      </c>
      <c r="Z802" s="3">
        <v>32933</v>
      </c>
      <c r="AA802" s="5" t="s">
        <v>50</v>
      </c>
      <c r="AB802" t="s">
        <v>47</v>
      </c>
      <c r="AC802" s="3">
        <v>32933</v>
      </c>
      <c r="AD802" s="5" t="s">
        <v>50</v>
      </c>
      <c r="AE802" t="s">
        <v>47</v>
      </c>
      <c r="AF802" t="s">
        <v>47</v>
      </c>
      <c r="AG802" t="s">
        <v>47</v>
      </c>
      <c r="AH802" t="s">
        <v>47</v>
      </c>
      <c r="AI802" t="s">
        <v>47</v>
      </c>
      <c r="AJ802" t="s">
        <v>47</v>
      </c>
      <c r="AK802" t="s">
        <v>47</v>
      </c>
      <c r="AL802" t="s">
        <v>47</v>
      </c>
      <c r="AM802" t="s">
        <v>47</v>
      </c>
      <c r="AN802" t="s">
        <v>47</v>
      </c>
      <c r="AO802" s="5" t="s">
        <v>60</v>
      </c>
      <c r="AP802" s="4" t="s">
        <v>61</v>
      </c>
      <c r="AQ802" s="4" t="s">
        <v>53</v>
      </c>
      <c r="AR802" s="4" t="s">
        <v>3280</v>
      </c>
      <c r="AS802" s="5">
        <v>35944</v>
      </c>
      <c r="AT802" t="s">
        <v>47</v>
      </c>
    </row>
    <row r="803" spans="1:46" ht="91" x14ac:dyDescent="0.3">
      <c r="A803" s="4" t="s">
        <v>3281</v>
      </c>
      <c r="B803" t="s">
        <v>47</v>
      </c>
      <c r="C803" s="4" t="s">
        <v>3282</v>
      </c>
      <c r="D803" s="4" t="s">
        <v>70</v>
      </c>
      <c r="E803" s="4" t="s">
        <v>49</v>
      </c>
      <c r="F803" t="s">
        <v>47</v>
      </c>
      <c r="G803" s="5" t="s">
        <v>3283</v>
      </c>
      <c r="H803" t="s">
        <v>47</v>
      </c>
      <c r="I803" s="3">
        <v>40909</v>
      </c>
      <c r="J803" s="5" t="s">
        <v>50</v>
      </c>
      <c r="K803" t="s">
        <v>47</v>
      </c>
      <c r="L803" s="5" t="s">
        <v>60</v>
      </c>
      <c r="M803" s="3">
        <v>40909</v>
      </c>
      <c r="N803" s="5" t="s">
        <v>50</v>
      </c>
      <c r="O803" t="s">
        <v>47</v>
      </c>
      <c r="P803" t="s">
        <v>47</v>
      </c>
      <c r="Q803" t="s">
        <v>47</v>
      </c>
      <c r="R803" t="s">
        <v>47</v>
      </c>
      <c r="S803" t="s">
        <v>47</v>
      </c>
      <c r="T803" t="s">
        <v>47</v>
      </c>
      <c r="U803" t="s">
        <v>47</v>
      </c>
      <c r="V803" t="s">
        <v>47</v>
      </c>
      <c r="W803" s="3">
        <v>40909</v>
      </c>
      <c r="X803" s="5" t="s">
        <v>50</v>
      </c>
      <c r="Y803" t="s">
        <v>47</v>
      </c>
      <c r="Z803" s="3">
        <v>40909</v>
      </c>
      <c r="AA803" s="5" t="s">
        <v>50</v>
      </c>
      <c r="AB803" t="s">
        <v>47</v>
      </c>
      <c r="AC803" s="3">
        <v>40909</v>
      </c>
      <c r="AD803" s="5" t="s">
        <v>50</v>
      </c>
      <c r="AE803" t="s">
        <v>47</v>
      </c>
      <c r="AF803" t="s">
        <v>47</v>
      </c>
      <c r="AG803" t="s">
        <v>47</v>
      </c>
      <c r="AH803" t="s">
        <v>47</v>
      </c>
      <c r="AI803" t="s">
        <v>47</v>
      </c>
      <c r="AJ803" t="s">
        <v>47</v>
      </c>
      <c r="AK803" t="s">
        <v>47</v>
      </c>
      <c r="AL803" t="s">
        <v>47</v>
      </c>
      <c r="AM803" t="s">
        <v>47</v>
      </c>
      <c r="AN803" t="s">
        <v>47</v>
      </c>
      <c r="AO803" s="5" t="s">
        <v>51</v>
      </c>
      <c r="AP803" s="4" t="s">
        <v>61</v>
      </c>
      <c r="AQ803" s="4" t="s">
        <v>53</v>
      </c>
      <c r="AR803" s="4" t="s">
        <v>3284</v>
      </c>
      <c r="AS803" s="5">
        <v>1056397</v>
      </c>
      <c r="AT803" t="s">
        <v>47</v>
      </c>
    </row>
    <row r="804" spans="1:46" ht="91" x14ac:dyDescent="0.3">
      <c r="A804" s="4" t="s">
        <v>3285</v>
      </c>
      <c r="B804" t="s">
        <v>47</v>
      </c>
      <c r="C804" s="4" t="s">
        <v>3282</v>
      </c>
      <c r="D804" s="4" t="s">
        <v>70</v>
      </c>
      <c r="E804" s="4" t="s">
        <v>49</v>
      </c>
      <c r="F804" s="5" t="s">
        <v>3286</v>
      </c>
      <c r="G804" t="s">
        <v>47</v>
      </c>
      <c r="H804" t="s">
        <v>47</v>
      </c>
      <c r="I804" s="3">
        <v>34243</v>
      </c>
      <c r="J804" s="3">
        <v>40269</v>
      </c>
      <c r="K804" t="s">
        <v>47</v>
      </c>
      <c r="L804" s="5" t="s">
        <v>60</v>
      </c>
      <c r="M804" s="3">
        <v>34243</v>
      </c>
      <c r="N804" s="3">
        <v>40269</v>
      </c>
      <c r="O804" t="s">
        <v>47</v>
      </c>
      <c r="P804" s="3">
        <v>38322</v>
      </c>
      <c r="Q804" s="3">
        <v>40269</v>
      </c>
      <c r="R804" t="s">
        <v>47</v>
      </c>
      <c r="S804" t="s">
        <v>47</v>
      </c>
      <c r="T804" t="s">
        <v>47</v>
      </c>
      <c r="U804" t="s">
        <v>47</v>
      </c>
      <c r="V804" t="s">
        <v>47</v>
      </c>
      <c r="W804" s="3">
        <v>34243</v>
      </c>
      <c r="X804" s="3">
        <v>40269</v>
      </c>
      <c r="Y804" t="s">
        <v>47</v>
      </c>
      <c r="Z804" s="3">
        <v>34243</v>
      </c>
      <c r="AA804" s="3">
        <v>40269</v>
      </c>
      <c r="AB804" t="s">
        <v>47</v>
      </c>
      <c r="AC804" s="3">
        <v>34243</v>
      </c>
      <c r="AD804" s="3">
        <v>40269</v>
      </c>
      <c r="AE804" t="s">
        <v>47</v>
      </c>
      <c r="AF804" t="s">
        <v>47</v>
      </c>
      <c r="AG804" t="s">
        <v>47</v>
      </c>
      <c r="AH804" t="s">
        <v>47</v>
      </c>
      <c r="AI804" t="s">
        <v>47</v>
      </c>
      <c r="AJ804" t="s">
        <v>47</v>
      </c>
      <c r="AK804" t="s">
        <v>47</v>
      </c>
      <c r="AL804" t="s">
        <v>47</v>
      </c>
      <c r="AM804" t="s">
        <v>47</v>
      </c>
      <c r="AN804" t="s">
        <v>47</v>
      </c>
      <c r="AO804" s="5" t="s">
        <v>51</v>
      </c>
      <c r="AP804" s="4" t="s">
        <v>61</v>
      </c>
      <c r="AQ804" s="4" t="s">
        <v>53</v>
      </c>
      <c r="AR804" s="4" t="s">
        <v>3284</v>
      </c>
      <c r="AS804" s="5">
        <v>26506</v>
      </c>
      <c r="AT804" t="s">
        <v>47</v>
      </c>
    </row>
    <row r="805" spans="1:46" ht="39" x14ac:dyDescent="0.3">
      <c r="A805" s="4" t="s">
        <v>3287</v>
      </c>
      <c r="B805" t="s">
        <v>47</v>
      </c>
      <c r="C805" s="4" t="s">
        <v>3288</v>
      </c>
      <c r="D805" s="4" t="s">
        <v>3289</v>
      </c>
      <c r="E805" s="4" t="s">
        <v>66</v>
      </c>
      <c r="F805" s="5" t="s">
        <v>3290</v>
      </c>
      <c r="G805" s="5" t="s">
        <v>3291</v>
      </c>
      <c r="H805" t="s">
        <v>47</v>
      </c>
      <c r="I805" s="3">
        <v>37987</v>
      </c>
      <c r="J805" s="3">
        <v>40544</v>
      </c>
      <c r="K805" t="s">
        <v>47</v>
      </c>
      <c r="L805" s="5" t="s">
        <v>60</v>
      </c>
      <c r="M805" s="3">
        <v>37987</v>
      </c>
      <c r="N805" s="3">
        <v>40544</v>
      </c>
      <c r="O805" t="s">
        <v>47</v>
      </c>
      <c r="P805" s="3">
        <v>37987</v>
      </c>
      <c r="Q805" s="3">
        <v>40544</v>
      </c>
      <c r="R805" t="s">
        <v>47</v>
      </c>
      <c r="S805" t="s">
        <v>47</v>
      </c>
      <c r="T805" t="s">
        <v>47</v>
      </c>
      <c r="U805" t="s">
        <v>47</v>
      </c>
      <c r="V805" t="s">
        <v>47</v>
      </c>
      <c r="W805" s="3">
        <v>37987</v>
      </c>
      <c r="X805" s="3">
        <v>40544</v>
      </c>
      <c r="Y805" t="s">
        <v>47</v>
      </c>
      <c r="Z805" s="3">
        <v>37987</v>
      </c>
      <c r="AA805" s="3">
        <v>40544</v>
      </c>
      <c r="AB805" t="s">
        <v>47</v>
      </c>
      <c r="AC805" s="3">
        <v>37987</v>
      </c>
      <c r="AD805" s="3">
        <v>40544</v>
      </c>
      <c r="AE805" t="s">
        <v>47</v>
      </c>
      <c r="AF805" t="s">
        <v>47</v>
      </c>
      <c r="AG805" t="s">
        <v>47</v>
      </c>
      <c r="AH805" t="s">
        <v>47</v>
      </c>
      <c r="AI805" t="s">
        <v>47</v>
      </c>
      <c r="AJ805" t="s">
        <v>47</v>
      </c>
      <c r="AK805" t="s">
        <v>47</v>
      </c>
      <c r="AL805" t="s">
        <v>47</v>
      </c>
      <c r="AM805" t="s">
        <v>47</v>
      </c>
      <c r="AN805" t="s">
        <v>47</v>
      </c>
      <c r="AO805" s="5" t="s">
        <v>60</v>
      </c>
      <c r="AP805" s="4" t="s">
        <v>61</v>
      </c>
      <c r="AQ805" s="4" t="s">
        <v>53</v>
      </c>
      <c r="AR805" s="4" t="s">
        <v>3292</v>
      </c>
      <c r="AS805" s="5">
        <v>307110</v>
      </c>
      <c r="AT805" t="s">
        <v>47</v>
      </c>
    </row>
    <row r="806" spans="1:46" ht="39" x14ac:dyDescent="0.3">
      <c r="A806" s="4" t="s">
        <v>3293</v>
      </c>
      <c r="B806" t="s">
        <v>47</v>
      </c>
      <c r="C806" s="4" t="s">
        <v>122</v>
      </c>
      <c r="D806" s="4" t="s">
        <v>70</v>
      </c>
      <c r="E806" s="4" t="s">
        <v>123</v>
      </c>
      <c r="F806" s="5" t="s">
        <v>3294</v>
      </c>
      <c r="G806" s="5" t="s">
        <v>3295</v>
      </c>
      <c r="H806" t="s">
        <v>47</v>
      </c>
      <c r="I806" s="3">
        <v>37073</v>
      </c>
      <c r="J806" s="5" t="s">
        <v>50</v>
      </c>
      <c r="K806" s="5" t="s">
        <v>3296</v>
      </c>
      <c r="L806" s="5" t="s">
        <v>60</v>
      </c>
      <c r="M806" s="3">
        <v>37073</v>
      </c>
      <c r="N806" s="3">
        <v>42887</v>
      </c>
      <c r="O806" s="5" t="s">
        <v>3296</v>
      </c>
      <c r="P806" s="3">
        <v>37073</v>
      </c>
      <c r="Q806" s="5" t="s">
        <v>50</v>
      </c>
      <c r="R806" s="5" t="s">
        <v>3297</v>
      </c>
      <c r="S806" t="s">
        <v>47</v>
      </c>
      <c r="T806" t="s">
        <v>47</v>
      </c>
      <c r="U806" t="s">
        <v>47</v>
      </c>
      <c r="V806" s="5">
        <v>365</v>
      </c>
      <c r="W806" s="3">
        <v>37073</v>
      </c>
      <c r="X806" s="5" t="s">
        <v>50</v>
      </c>
      <c r="Y806" s="5" t="s">
        <v>3297</v>
      </c>
      <c r="Z806" s="3">
        <v>37073</v>
      </c>
      <c r="AA806" s="5" t="s">
        <v>50</v>
      </c>
      <c r="AB806" s="5" t="s">
        <v>3297</v>
      </c>
      <c r="AC806" s="3">
        <v>37073</v>
      </c>
      <c r="AD806" s="5" t="s">
        <v>50</v>
      </c>
      <c r="AE806" s="5" t="s">
        <v>3297</v>
      </c>
      <c r="AF806" t="s">
        <v>47</v>
      </c>
      <c r="AG806" t="s">
        <v>47</v>
      </c>
      <c r="AH806" t="s">
        <v>47</v>
      </c>
      <c r="AI806" t="s">
        <v>47</v>
      </c>
      <c r="AJ806" t="s">
        <v>47</v>
      </c>
      <c r="AK806" t="s">
        <v>47</v>
      </c>
      <c r="AL806" t="s">
        <v>47</v>
      </c>
      <c r="AM806" t="s">
        <v>47</v>
      </c>
      <c r="AN806" t="s">
        <v>47</v>
      </c>
      <c r="AO806" s="5" t="s">
        <v>60</v>
      </c>
      <c r="AP806" s="4" t="s">
        <v>61</v>
      </c>
      <c r="AQ806" s="4" t="s">
        <v>53</v>
      </c>
      <c r="AR806" s="4" t="s">
        <v>3298</v>
      </c>
      <c r="AS806" s="5">
        <v>30493</v>
      </c>
      <c r="AT806" t="s">
        <v>47</v>
      </c>
    </row>
    <row r="807" spans="1:46" ht="52" x14ac:dyDescent="0.3">
      <c r="A807" s="4" t="s">
        <v>3299</v>
      </c>
      <c r="B807" t="s">
        <v>47</v>
      </c>
      <c r="C807" s="4" t="s">
        <v>3300</v>
      </c>
      <c r="D807" s="4" t="s">
        <v>582</v>
      </c>
      <c r="E807" s="4" t="s">
        <v>49</v>
      </c>
      <c r="F807" s="5" t="s">
        <v>3301</v>
      </c>
      <c r="G807" s="5" t="s">
        <v>3302</v>
      </c>
      <c r="H807" t="s">
        <v>47</v>
      </c>
      <c r="I807" t="s">
        <v>47</v>
      </c>
      <c r="J807" t="s">
        <v>47</v>
      </c>
      <c r="K807" t="s">
        <v>47</v>
      </c>
      <c r="L807" s="5" t="s">
        <v>60</v>
      </c>
      <c r="M807" t="s">
        <v>47</v>
      </c>
      <c r="N807" t="s">
        <v>47</v>
      </c>
      <c r="O807" t="s">
        <v>47</v>
      </c>
      <c r="P807" t="s">
        <v>47</v>
      </c>
      <c r="Q807" t="s">
        <v>47</v>
      </c>
      <c r="R807" t="s">
        <v>47</v>
      </c>
      <c r="S807" t="s">
        <v>47</v>
      </c>
      <c r="T807" t="s">
        <v>47</v>
      </c>
      <c r="U807" t="s">
        <v>47</v>
      </c>
      <c r="V807" t="s">
        <v>47</v>
      </c>
      <c r="W807" s="3">
        <v>35886</v>
      </c>
      <c r="X807" s="3">
        <v>37165</v>
      </c>
      <c r="Y807" t="s">
        <v>47</v>
      </c>
      <c r="Z807" s="3">
        <v>35886</v>
      </c>
      <c r="AA807" s="3">
        <v>37165</v>
      </c>
      <c r="AB807" t="s">
        <v>47</v>
      </c>
      <c r="AC807" t="s">
        <v>47</v>
      </c>
      <c r="AD807" t="s">
        <v>47</v>
      </c>
      <c r="AE807" t="s">
        <v>47</v>
      </c>
      <c r="AF807" t="s">
        <v>47</v>
      </c>
      <c r="AG807" t="s">
        <v>47</v>
      </c>
      <c r="AH807" t="s">
        <v>47</v>
      </c>
      <c r="AI807" t="s">
        <v>47</v>
      </c>
      <c r="AJ807" t="s">
        <v>47</v>
      </c>
      <c r="AK807" t="s">
        <v>47</v>
      </c>
      <c r="AL807" t="s">
        <v>47</v>
      </c>
      <c r="AM807" t="s">
        <v>47</v>
      </c>
      <c r="AN807" t="s">
        <v>47</v>
      </c>
      <c r="AO807" s="5" t="s">
        <v>60</v>
      </c>
      <c r="AP807" s="4" t="s">
        <v>61</v>
      </c>
      <c r="AQ807" s="4" t="s">
        <v>53</v>
      </c>
      <c r="AR807" s="4" t="s">
        <v>819</v>
      </c>
      <c r="AS807" s="5">
        <v>33010</v>
      </c>
      <c r="AT807" t="s">
        <v>47</v>
      </c>
    </row>
    <row r="808" spans="1:46" ht="26" x14ac:dyDescent="0.3">
      <c r="A808" s="4" t="s">
        <v>3303</v>
      </c>
      <c r="B808" t="s">
        <v>47</v>
      </c>
      <c r="C808" s="4" t="s">
        <v>122</v>
      </c>
      <c r="D808" s="4" t="s">
        <v>70</v>
      </c>
      <c r="E808" s="4" t="s">
        <v>123</v>
      </c>
      <c r="F808" s="5" t="s">
        <v>3304</v>
      </c>
      <c r="G808" s="5" t="s">
        <v>3305</v>
      </c>
      <c r="H808" t="s">
        <v>47</v>
      </c>
      <c r="I808" s="3">
        <v>35796</v>
      </c>
      <c r="J808" s="3">
        <v>38534</v>
      </c>
      <c r="K808" t="s">
        <v>47</v>
      </c>
      <c r="L808" s="5" t="s">
        <v>60</v>
      </c>
      <c r="M808" t="s">
        <v>47</v>
      </c>
      <c r="N808" t="s">
        <v>47</v>
      </c>
      <c r="O808" t="s">
        <v>47</v>
      </c>
      <c r="P808" s="3">
        <v>35796</v>
      </c>
      <c r="Q808" s="3">
        <v>38534</v>
      </c>
      <c r="R808" t="s">
        <v>47</v>
      </c>
      <c r="S808" t="s">
        <v>47</v>
      </c>
      <c r="T808" t="s">
        <v>47</v>
      </c>
      <c r="U808" t="s">
        <v>47</v>
      </c>
      <c r="V808" t="s">
        <v>47</v>
      </c>
      <c r="W808" s="3">
        <v>35796</v>
      </c>
      <c r="X808" s="3">
        <v>38534</v>
      </c>
      <c r="Y808" t="s">
        <v>47</v>
      </c>
      <c r="Z808" s="3">
        <v>35796</v>
      </c>
      <c r="AA808" s="3">
        <v>38534</v>
      </c>
      <c r="AB808" t="s">
        <v>47</v>
      </c>
      <c r="AC808" s="3">
        <v>36161</v>
      </c>
      <c r="AD808" s="3">
        <v>38534</v>
      </c>
      <c r="AE808" t="s">
        <v>47</v>
      </c>
      <c r="AF808" t="s">
        <v>47</v>
      </c>
      <c r="AG808" t="s">
        <v>47</v>
      </c>
      <c r="AH808" t="s">
        <v>47</v>
      </c>
      <c r="AI808" t="s">
        <v>47</v>
      </c>
      <c r="AJ808" t="s">
        <v>47</v>
      </c>
      <c r="AK808" t="s">
        <v>47</v>
      </c>
      <c r="AL808" t="s">
        <v>47</v>
      </c>
      <c r="AM808" t="s">
        <v>47</v>
      </c>
      <c r="AN808" t="s">
        <v>47</v>
      </c>
      <c r="AO808" s="5" t="s">
        <v>60</v>
      </c>
      <c r="AP808" s="4" t="s">
        <v>61</v>
      </c>
      <c r="AQ808" s="4" t="s">
        <v>53</v>
      </c>
      <c r="AR808" s="4" t="s">
        <v>649</v>
      </c>
      <c r="AS808" s="5">
        <v>47800</v>
      </c>
      <c r="AT808" t="s">
        <v>47</v>
      </c>
    </row>
    <row r="809" spans="1:46" ht="26" x14ac:dyDescent="0.3">
      <c r="A809" s="4" t="s">
        <v>3303</v>
      </c>
      <c r="B809" t="s">
        <v>47</v>
      </c>
      <c r="C809" s="4" t="s">
        <v>183</v>
      </c>
      <c r="D809" s="4" t="s">
        <v>70</v>
      </c>
      <c r="E809" s="4" t="s">
        <v>49</v>
      </c>
      <c r="F809" s="5" t="s">
        <v>3304</v>
      </c>
      <c r="G809" s="5" t="s">
        <v>3305</v>
      </c>
      <c r="H809" t="s">
        <v>47</v>
      </c>
      <c r="I809" t="s">
        <v>47</v>
      </c>
      <c r="J809" t="s">
        <v>47</v>
      </c>
      <c r="K809" t="s">
        <v>47</v>
      </c>
      <c r="L809" s="5" t="s">
        <v>60</v>
      </c>
      <c r="M809" t="s">
        <v>47</v>
      </c>
      <c r="N809" t="s">
        <v>47</v>
      </c>
      <c r="O809" t="s">
        <v>47</v>
      </c>
      <c r="P809" t="s">
        <v>47</v>
      </c>
      <c r="Q809" t="s">
        <v>47</v>
      </c>
      <c r="R809" t="s">
        <v>47</v>
      </c>
      <c r="S809" t="s">
        <v>47</v>
      </c>
      <c r="T809" t="s">
        <v>47</v>
      </c>
      <c r="U809" t="s">
        <v>47</v>
      </c>
      <c r="V809" t="s">
        <v>47</v>
      </c>
      <c r="W809" s="3">
        <v>42767</v>
      </c>
      <c r="X809" s="5" t="s">
        <v>50</v>
      </c>
      <c r="Y809" t="s">
        <v>47</v>
      </c>
      <c r="Z809" s="3">
        <v>42767</v>
      </c>
      <c r="AA809" s="5" t="s">
        <v>50</v>
      </c>
      <c r="AB809" t="s">
        <v>47</v>
      </c>
      <c r="AC809" s="3">
        <v>42767</v>
      </c>
      <c r="AD809" s="5" t="s">
        <v>50</v>
      </c>
      <c r="AE809" t="s">
        <v>47</v>
      </c>
      <c r="AF809" t="s">
        <v>47</v>
      </c>
      <c r="AG809" t="s">
        <v>47</v>
      </c>
      <c r="AH809" t="s">
        <v>47</v>
      </c>
      <c r="AI809" t="s">
        <v>47</v>
      </c>
      <c r="AJ809" t="s">
        <v>47</v>
      </c>
      <c r="AK809" t="s">
        <v>47</v>
      </c>
      <c r="AL809" t="s">
        <v>47</v>
      </c>
      <c r="AM809" t="s">
        <v>47</v>
      </c>
      <c r="AN809" t="s">
        <v>47</v>
      </c>
      <c r="AO809" s="5" t="s">
        <v>60</v>
      </c>
      <c r="AP809" s="4" t="s">
        <v>61</v>
      </c>
      <c r="AQ809" s="4" t="s">
        <v>53</v>
      </c>
      <c r="AR809" s="4" t="s">
        <v>649</v>
      </c>
      <c r="AS809" s="5">
        <v>4366611</v>
      </c>
      <c r="AT809" t="s">
        <v>47</v>
      </c>
    </row>
    <row r="810" spans="1:46" ht="26" x14ac:dyDescent="0.3">
      <c r="A810" s="4" t="s">
        <v>3306</v>
      </c>
      <c r="B810" t="s">
        <v>47</v>
      </c>
      <c r="C810" s="4" t="s">
        <v>3307</v>
      </c>
      <c r="D810" s="4" t="s">
        <v>3061</v>
      </c>
      <c r="E810" s="4" t="s">
        <v>49</v>
      </c>
      <c r="F810" t="s">
        <v>47</v>
      </c>
      <c r="G810" s="5" t="s">
        <v>3308</v>
      </c>
      <c r="H810" t="s">
        <v>47</v>
      </c>
      <c r="I810" s="3">
        <v>35431</v>
      </c>
      <c r="J810" s="5" t="s">
        <v>50</v>
      </c>
      <c r="K810" t="s">
        <v>47</v>
      </c>
      <c r="L810" s="5" t="s">
        <v>60</v>
      </c>
      <c r="M810" t="s">
        <v>47</v>
      </c>
      <c r="N810" t="s">
        <v>47</v>
      </c>
      <c r="O810" t="s">
        <v>47</v>
      </c>
      <c r="P810" s="3">
        <v>35431</v>
      </c>
      <c r="Q810" s="5" t="s">
        <v>50</v>
      </c>
      <c r="R810" t="s">
        <v>47</v>
      </c>
      <c r="S810" t="s">
        <v>47</v>
      </c>
      <c r="T810" t="s">
        <v>47</v>
      </c>
      <c r="U810" t="s">
        <v>47</v>
      </c>
      <c r="V810" t="s">
        <v>47</v>
      </c>
      <c r="W810" s="3">
        <v>35431</v>
      </c>
      <c r="X810" s="5" t="s">
        <v>50</v>
      </c>
      <c r="Y810" t="s">
        <v>47</v>
      </c>
      <c r="Z810" s="3">
        <v>35431</v>
      </c>
      <c r="AA810" s="5" t="s">
        <v>50</v>
      </c>
      <c r="AB810" t="s">
        <v>47</v>
      </c>
      <c r="AC810" s="3">
        <v>35431</v>
      </c>
      <c r="AD810" s="5" t="s">
        <v>50</v>
      </c>
      <c r="AE810" t="s">
        <v>47</v>
      </c>
      <c r="AF810" t="s">
        <v>47</v>
      </c>
      <c r="AG810" t="s">
        <v>47</v>
      </c>
      <c r="AH810" t="s">
        <v>47</v>
      </c>
      <c r="AI810" t="s">
        <v>47</v>
      </c>
      <c r="AJ810" t="s">
        <v>47</v>
      </c>
      <c r="AK810" t="s">
        <v>47</v>
      </c>
      <c r="AL810" t="s">
        <v>47</v>
      </c>
      <c r="AM810" t="s">
        <v>47</v>
      </c>
      <c r="AN810" t="s">
        <v>47</v>
      </c>
      <c r="AO810" s="5" t="s">
        <v>60</v>
      </c>
      <c r="AP810" s="4" t="s">
        <v>61</v>
      </c>
      <c r="AQ810" s="4" t="s">
        <v>53</v>
      </c>
      <c r="AR810" s="4" t="s">
        <v>831</v>
      </c>
      <c r="AS810" s="5">
        <v>2035955</v>
      </c>
      <c r="AT810" t="s">
        <v>47</v>
      </c>
    </row>
    <row r="811" spans="1:46" ht="91" x14ac:dyDescent="0.3">
      <c r="A811" s="4" t="s">
        <v>3309</v>
      </c>
      <c r="B811" t="s">
        <v>47</v>
      </c>
      <c r="C811" s="4" t="s">
        <v>274</v>
      </c>
      <c r="D811" s="4" t="s">
        <v>3070</v>
      </c>
      <c r="E811" s="4" t="s">
        <v>49</v>
      </c>
      <c r="F811" s="5" t="s">
        <v>3310</v>
      </c>
      <c r="G811" t="s">
        <v>47</v>
      </c>
      <c r="H811" t="s">
        <v>47</v>
      </c>
      <c r="I811" s="3">
        <v>37622</v>
      </c>
      <c r="J811" s="5" t="s">
        <v>50</v>
      </c>
      <c r="K811" t="s">
        <v>47</v>
      </c>
      <c r="L811" s="5" t="s">
        <v>60</v>
      </c>
      <c r="M811" s="3">
        <v>37622</v>
      </c>
      <c r="N811" s="5" t="s">
        <v>50</v>
      </c>
      <c r="O811" t="s">
        <v>47</v>
      </c>
      <c r="P811" s="3">
        <v>37622</v>
      </c>
      <c r="Q811" s="5" t="s">
        <v>50</v>
      </c>
      <c r="R811" t="s">
        <v>47</v>
      </c>
      <c r="S811" t="s">
        <v>47</v>
      </c>
      <c r="T811" t="s">
        <v>47</v>
      </c>
      <c r="U811" t="s">
        <v>47</v>
      </c>
      <c r="V811" t="s">
        <v>47</v>
      </c>
      <c r="W811" s="3">
        <v>37622</v>
      </c>
      <c r="X811" s="5" t="s">
        <v>50</v>
      </c>
      <c r="Y811" t="s">
        <v>47</v>
      </c>
      <c r="Z811" s="3">
        <v>37622</v>
      </c>
      <c r="AA811" s="5" t="s">
        <v>50</v>
      </c>
      <c r="AB811" t="s">
        <v>47</v>
      </c>
      <c r="AC811" s="3">
        <v>37622</v>
      </c>
      <c r="AD811" s="5" t="s">
        <v>50</v>
      </c>
      <c r="AE811" t="s">
        <v>47</v>
      </c>
      <c r="AF811" t="s">
        <v>47</v>
      </c>
      <c r="AG811" t="s">
        <v>47</v>
      </c>
      <c r="AH811" t="s">
        <v>47</v>
      </c>
      <c r="AI811" t="s">
        <v>47</v>
      </c>
      <c r="AJ811" t="s">
        <v>47</v>
      </c>
      <c r="AK811" t="s">
        <v>47</v>
      </c>
      <c r="AL811" t="s">
        <v>47</v>
      </c>
      <c r="AM811" t="s">
        <v>47</v>
      </c>
      <c r="AN811" t="s">
        <v>47</v>
      </c>
      <c r="AO811" s="5" t="s">
        <v>51</v>
      </c>
      <c r="AP811" s="4" t="s">
        <v>61</v>
      </c>
      <c r="AQ811" s="4" t="s">
        <v>53</v>
      </c>
      <c r="AR811" s="4" t="s">
        <v>3311</v>
      </c>
      <c r="AS811" s="5">
        <v>27598</v>
      </c>
      <c r="AT811" t="s">
        <v>47</v>
      </c>
    </row>
    <row r="812" spans="1:46" ht="52" x14ac:dyDescent="0.3">
      <c r="A812" s="4" t="s">
        <v>3312</v>
      </c>
      <c r="B812" t="s">
        <v>47</v>
      </c>
      <c r="C812" s="4" t="s">
        <v>3313</v>
      </c>
      <c r="D812" s="4" t="s">
        <v>3314</v>
      </c>
      <c r="E812" s="4" t="s">
        <v>49</v>
      </c>
      <c r="F812" s="5" t="s">
        <v>3315</v>
      </c>
      <c r="G812" s="5" t="s">
        <v>3316</v>
      </c>
      <c r="H812" t="s">
        <v>47</v>
      </c>
      <c r="I812" s="3">
        <v>34335</v>
      </c>
      <c r="J812" s="3">
        <v>36861</v>
      </c>
      <c r="K812" t="s">
        <v>47</v>
      </c>
      <c r="L812" s="5" t="s">
        <v>60</v>
      </c>
      <c r="M812" s="3">
        <v>34335</v>
      </c>
      <c r="N812" s="3">
        <v>36861</v>
      </c>
      <c r="O812" t="s">
        <v>47</v>
      </c>
      <c r="P812" s="3">
        <v>35217</v>
      </c>
      <c r="Q812" s="3">
        <v>36861</v>
      </c>
      <c r="R812" t="s">
        <v>47</v>
      </c>
      <c r="S812" t="s">
        <v>47</v>
      </c>
      <c r="T812" t="s">
        <v>47</v>
      </c>
      <c r="U812" t="s">
        <v>47</v>
      </c>
      <c r="V812" t="s">
        <v>47</v>
      </c>
      <c r="W812" s="3">
        <v>32509</v>
      </c>
      <c r="X812" s="5" t="s">
        <v>50</v>
      </c>
      <c r="Y812" t="s">
        <v>47</v>
      </c>
      <c r="Z812" s="3">
        <v>32509</v>
      </c>
      <c r="AA812" s="5" t="s">
        <v>50</v>
      </c>
      <c r="AB812" t="s">
        <v>47</v>
      </c>
      <c r="AC812" s="3">
        <v>32509</v>
      </c>
      <c r="AD812" s="5" t="s">
        <v>50</v>
      </c>
      <c r="AE812" t="s">
        <v>47</v>
      </c>
      <c r="AF812" t="s">
        <v>47</v>
      </c>
      <c r="AG812" t="s">
        <v>47</v>
      </c>
      <c r="AH812" t="s">
        <v>47</v>
      </c>
      <c r="AI812" t="s">
        <v>47</v>
      </c>
      <c r="AJ812" t="s">
        <v>47</v>
      </c>
      <c r="AK812" t="s">
        <v>47</v>
      </c>
      <c r="AL812" t="s">
        <v>47</v>
      </c>
      <c r="AM812" t="s">
        <v>47</v>
      </c>
      <c r="AN812" t="s">
        <v>47</v>
      </c>
      <c r="AO812" s="5" t="s">
        <v>60</v>
      </c>
      <c r="AP812" s="4" t="s">
        <v>61</v>
      </c>
      <c r="AQ812" s="4" t="s">
        <v>53</v>
      </c>
      <c r="AR812" s="4" t="s">
        <v>3317</v>
      </c>
      <c r="AS812" s="5">
        <v>41672</v>
      </c>
      <c r="AT812" t="s">
        <v>47</v>
      </c>
    </row>
    <row r="813" spans="1:46" ht="65" x14ac:dyDescent="0.3">
      <c r="A813" s="4" t="s">
        <v>3318</v>
      </c>
      <c r="B813" t="s">
        <v>47</v>
      </c>
      <c r="C813" s="4" t="s">
        <v>1502</v>
      </c>
      <c r="D813" s="4" t="s">
        <v>139</v>
      </c>
      <c r="E813" s="4" t="s">
        <v>66</v>
      </c>
      <c r="F813" s="5" t="s">
        <v>3319</v>
      </c>
      <c r="G813" s="5" t="s">
        <v>3320</v>
      </c>
      <c r="H813" t="s">
        <v>47</v>
      </c>
      <c r="I813" t="s">
        <v>47</v>
      </c>
      <c r="J813" t="s">
        <v>47</v>
      </c>
      <c r="K813" t="s">
        <v>47</v>
      </c>
      <c r="L813" s="5" t="s">
        <v>60</v>
      </c>
      <c r="M813" t="s">
        <v>47</v>
      </c>
      <c r="N813" t="s">
        <v>47</v>
      </c>
      <c r="O813" t="s">
        <v>47</v>
      </c>
      <c r="P813" t="s">
        <v>47</v>
      </c>
      <c r="Q813" t="s">
        <v>47</v>
      </c>
      <c r="R813" t="s">
        <v>47</v>
      </c>
      <c r="S813" t="s">
        <v>47</v>
      </c>
      <c r="T813" t="s">
        <v>47</v>
      </c>
      <c r="U813" t="s">
        <v>47</v>
      </c>
      <c r="V813" t="s">
        <v>47</v>
      </c>
      <c r="W813" s="3">
        <v>37803</v>
      </c>
      <c r="X813" s="3">
        <v>44013</v>
      </c>
      <c r="Y813" t="s">
        <v>47</v>
      </c>
      <c r="Z813" s="3">
        <v>37803</v>
      </c>
      <c r="AA813" s="3">
        <v>44013</v>
      </c>
      <c r="AB813" t="s">
        <v>47</v>
      </c>
      <c r="AC813" s="3">
        <v>37803</v>
      </c>
      <c r="AD813" s="3">
        <v>44013</v>
      </c>
      <c r="AE813" t="s">
        <v>47</v>
      </c>
      <c r="AF813" t="s">
        <v>47</v>
      </c>
      <c r="AG813" t="s">
        <v>47</v>
      </c>
      <c r="AH813" t="s">
        <v>47</v>
      </c>
      <c r="AI813" t="s">
        <v>47</v>
      </c>
      <c r="AJ813" t="s">
        <v>47</v>
      </c>
      <c r="AK813" t="s">
        <v>47</v>
      </c>
      <c r="AL813" t="s">
        <v>47</v>
      </c>
      <c r="AM813" t="s">
        <v>47</v>
      </c>
      <c r="AN813" t="s">
        <v>47</v>
      </c>
      <c r="AO813" s="5" t="s">
        <v>60</v>
      </c>
      <c r="AP813" s="4" t="s">
        <v>61</v>
      </c>
      <c r="AQ813" s="4" t="s">
        <v>53</v>
      </c>
      <c r="AR813" s="4" t="s">
        <v>3321</v>
      </c>
      <c r="AS813" s="5">
        <v>46986</v>
      </c>
      <c r="AT813" t="s">
        <v>47</v>
      </c>
    </row>
    <row r="814" spans="1:46" ht="65" x14ac:dyDescent="0.3">
      <c r="A814" s="4" t="s">
        <v>3322</v>
      </c>
      <c r="B814" t="s">
        <v>47</v>
      </c>
      <c r="C814" s="4" t="s">
        <v>397</v>
      </c>
      <c r="D814" s="4" t="s">
        <v>612</v>
      </c>
      <c r="E814" s="4" t="s">
        <v>66</v>
      </c>
      <c r="F814" s="5" t="s">
        <v>3323</v>
      </c>
      <c r="G814" s="5" t="s">
        <v>3324</v>
      </c>
      <c r="H814" t="s">
        <v>47</v>
      </c>
      <c r="I814" s="3">
        <v>36923</v>
      </c>
      <c r="J814" s="5" t="s">
        <v>50</v>
      </c>
      <c r="K814" t="s">
        <v>47</v>
      </c>
      <c r="L814" s="5" t="s">
        <v>60</v>
      </c>
      <c r="M814" s="3">
        <v>39295</v>
      </c>
      <c r="N814" s="5" t="s">
        <v>50</v>
      </c>
      <c r="O814" t="s">
        <v>47</v>
      </c>
      <c r="P814" s="3">
        <v>36923</v>
      </c>
      <c r="Q814" s="5" t="s">
        <v>50</v>
      </c>
      <c r="R814" t="s">
        <v>47</v>
      </c>
      <c r="S814" t="s">
        <v>47</v>
      </c>
      <c r="T814" t="s">
        <v>47</v>
      </c>
      <c r="U814" t="s">
        <v>47</v>
      </c>
      <c r="V814" s="5">
        <v>365</v>
      </c>
      <c r="W814" s="3">
        <v>36923</v>
      </c>
      <c r="X814" s="5" t="s">
        <v>50</v>
      </c>
      <c r="Y814" t="s">
        <v>47</v>
      </c>
      <c r="Z814" s="3">
        <v>36923</v>
      </c>
      <c r="AA814" s="5" t="s">
        <v>50</v>
      </c>
      <c r="AB814" t="s">
        <v>47</v>
      </c>
      <c r="AC814" s="3">
        <v>36923</v>
      </c>
      <c r="AD814" s="5" t="s">
        <v>50</v>
      </c>
      <c r="AE814" t="s">
        <v>47</v>
      </c>
      <c r="AF814" t="s">
        <v>47</v>
      </c>
      <c r="AG814" t="s">
        <v>47</v>
      </c>
      <c r="AH814" t="s">
        <v>47</v>
      </c>
      <c r="AI814" t="s">
        <v>47</v>
      </c>
      <c r="AJ814" t="s">
        <v>47</v>
      </c>
      <c r="AK814" t="s">
        <v>47</v>
      </c>
      <c r="AL814" t="s">
        <v>47</v>
      </c>
      <c r="AM814" t="s">
        <v>47</v>
      </c>
      <c r="AN814" t="s">
        <v>47</v>
      </c>
      <c r="AO814" s="5" t="s">
        <v>60</v>
      </c>
      <c r="AP814" s="4" t="s">
        <v>61</v>
      </c>
      <c r="AQ814" s="4" t="s">
        <v>53</v>
      </c>
      <c r="AR814" s="4" t="s">
        <v>3325</v>
      </c>
      <c r="AS814" s="5">
        <v>49003</v>
      </c>
      <c r="AT814" t="s">
        <v>47</v>
      </c>
    </row>
    <row r="815" spans="1:46" ht="104" x14ac:dyDescent="0.3">
      <c r="A815" s="4" t="s">
        <v>3326</v>
      </c>
      <c r="B815" t="s">
        <v>47</v>
      </c>
      <c r="C815" s="4" t="s">
        <v>183</v>
      </c>
      <c r="D815" s="4" t="s">
        <v>2056</v>
      </c>
      <c r="E815" s="4" t="s">
        <v>49</v>
      </c>
      <c r="F815" s="5" t="s">
        <v>3327</v>
      </c>
      <c r="G815" s="5" t="s">
        <v>3328</v>
      </c>
      <c r="H815" t="s">
        <v>47</v>
      </c>
      <c r="I815" s="3">
        <v>35370</v>
      </c>
      <c r="J815" s="3">
        <v>36800</v>
      </c>
      <c r="K815" t="s">
        <v>47</v>
      </c>
      <c r="L815" s="5" t="s">
        <v>60</v>
      </c>
      <c r="M815" s="3">
        <v>35431</v>
      </c>
      <c r="N815" s="3">
        <v>36800</v>
      </c>
      <c r="O815" t="s">
        <v>47</v>
      </c>
      <c r="P815" s="3">
        <v>35370</v>
      </c>
      <c r="Q815" s="3">
        <v>36800</v>
      </c>
      <c r="R815" t="s">
        <v>47</v>
      </c>
      <c r="S815" t="s">
        <v>47</v>
      </c>
      <c r="T815" t="s">
        <v>47</v>
      </c>
      <c r="U815" t="s">
        <v>47</v>
      </c>
      <c r="V815" t="s">
        <v>47</v>
      </c>
      <c r="W815" s="3">
        <v>35004</v>
      </c>
      <c r="X815" s="3">
        <v>37165</v>
      </c>
      <c r="Y815" t="s">
        <v>47</v>
      </c>
      <c r="Z815" s="3">
        <v>35004</v>
      </c>
      <c r="AA815" s="3">
        <v>37165</v>
      </c>
      <c r="AB815" t="s">
        <v>47</v>
      </c>
      <c r="AC815" s="3">
        <v>35431</v>
      </c>
      <c r="AD815" s="3">
        <v>37165</v>
      </c>
      <c r="AE815" t="s">
        <v>47</v>
      </c>
      <c r="AF815" t="s">
        <v>47</v>
      </c>
      <c r="AG815" t="s">
        <v>47</v>
      </c>
      <c r="AH815" t="s">
        <v>47</v>
      </c>
      <c r="AI815" t="s">
        <v>47</v>
      </c>
      <c r="AJ815" t="s">
        <v>47</v>
      </c>
      <c r="AK815" t="s">
        <v>47</v>
      </c>
      <c r="AL815" t="s">
        <v>47</v>
      </c>
      <c r="AM815" t="s">
        <v>47</v>
      </c>
      <c r="AN815" t="s">
        <v>47</v>
      </c>
      <c r="AO815" s="5" t="s">
        <v>60</v>
      </c>
      <c r="AP815" s="4" t="s">
        <v>61</v>
      </c>
      <c r="AQ815" s="4" t="s">
        <v>53</v>
      </c>
      <c r="AR815" s="4" t="s">
        <v>3329</v>
      </c>
      <c r="AS815" s="5">
        <v>36786</v>
      </c>
      <c r="AT815" t="s">
        <v>47</v>
      </c>
    </row>
    <row r="816" spans="1:46" ht="78" x14ac:dyDescent="0.3">
      <c r="A816" s="4" t="s">
        <v>3330</v>
      </c>
      <c r="B816" t="s">
        <v>47</v>
      </c>
      <c r="C816" s="4" t="s">
        <v>200</v>
      </c>
      <c r="D816" s="4" t="s">
        <v>2541</v>
      </c>
      <c r="E816" s="4" t="s">
        <v>66</v>
      </c>
      <c r="F816" s="5" t="s">
        <v>3331</v>
      </c>
      <c r="G816" s="5" t="s">
        <v>3332</v>
      </c>
      <c r="H816" t="s">
        <v>47</v>
      </c>
      <c r="I816" t="s">
        <v>47</v>
      </c>
      <c r="J816" t="s">
        <v>47</v>
      </c>
      <c r="K816" t="s">
        <v>47</v>
      </c>
      <c r="L816" s="5" t="s">
        <v>60</v>
      </c>
      <c r="M816" t="s">
        <v>47</v>
      </c>
      <c r="N816" t="s">
        <v>47</v>
      </c>
      <c r="O816" t="s">
        <v>47</v>
      </c>
      <c r="P816" t="s">
        <v>47</v>
      </c>
      <c r="Q816" t="s">
        <v>47</v>
      </c>
      <c r="R816" t="s">
        <v>47</v>
      </c>
      <c r="S816" t="s">
        <v>47</v>
      </c>
      <c r="T816" t="s">
        <v>47</v>
      </c>
      <c r="U816" t="s">
        <v>47</v>
      </c>
      <c r="V816" t="s">
        <v>47</v>
      </c>
      <c r="W816" s="3">
        <v>34881</v>
      </c>
      <c r="X816" s="5" t="s">
        <v>50</v>
      </c>
      <c r="Y816" t="s">
        <v>47</v>
      </c>
      <c r="Z816" s="3">
        <v>34881</v>
      </c>
      <c r="AA816" s="5" t="s">
        <v>50</v>
      </c>
      <c r="AB816" t="s">
        <v>47</v>
      </c>
      <c r="AC816" s="3">
        <v>34881</v>
      </c>
      <c r="AD816" s="5" t="s">
        <v>50</v>
      </c>
      <c r="AE816" t="s">
        <v>47</v>
      </c>
      <c r="AF816" t="s">
        <v>47</v>
      </c>
      <c r="AG816" t="s">
        <v>47</v>
      </c>
      <c r="AH816" t="s">
        <v>47</v>
      </c>
      <c r="AI816" t="s">
        <v>47</v>
      </c>
      <c r="AJ816" t="s">
        <v>47</v>
      </c>
      <c r="AK816" t="s">
        <v>47</v>
      </c>
      <c r="AL816" t="s">
        <v>47</v>
      </c>
      <c r="AM816" t="s">
        <v>47</v>
      </c>
      <c r="AN816" t="s">
        <v>47</v>
      </c>
      <c r="AO816" s="5" t="s">
        <v>60</v>
      </c>
      <c r="AP816" s="4" t="s">
        <v>61</v>
      </c>
      <c r="AQ816" s="4" t="s">
        <v>53</v>
      </c>
      <c r="AR816" s="4" t="s">
        <v>714</v>
      </c>
      <c r="AS816" s="5">
        <v>51545</v>
      </c>
      <c r="AT816" t="s">
        <v>47</v>
      </c>
    </row>
    <row r="817" spans="1:46" ht="65" x14ac:dyDescent="0.3">
      <c r="A817" s="4" t="s">
        <v>3333</v>
      </c>
      <c r="B817" t="s">
        <v>47</v>
      </c>
      <c r="C817" s="4" t="s">
        <v>169</v>
      </c>
      <c r="D817" s="4" t="s">
        <v>3334</v>
      </c>
      <c r="E817" s="4" t="s">
        <v>66</v>
      </c>
      <c r="F817" s="5" t="s">
        <v>3335</v>
      </c>
      <c r="G817" s="5" t="s">
        <v>3336</v>
      </c>
      <c r="H817" t="s">
        <v>47</v>
      </c>
      <c r="I817" s="3">
        <v>34790</v>
      </c>
      <c r="J817" s="3">
        <v>35765</v>
      </c>
      <c r="K817" t="s">
        <v>47</v>
      </c>
      <c r="L817" s="5" t="s">
        <v>60</v>
      </c>
      <c r="M817" s="3">
        <v>34790</v>
      </c>
      <c r="N817" s="3">
        <v>35765</v>
      </c>
      <c r="O817" t="s">
        <v>47</v>
      </c>
      <c r="P817" s="3">
        <v>34790</v>
      </c>
      <c r="Q817" s="3">
        <v>35765</v>
      </c>
      <c r="R817" t="s">
        <v>47</v>
      </c>
      <c r="S817" t="s">
        <v>47</v>
      </c>
      <c r="T817" t="s">
        <v>47</v>
      </c>
      <c r="U817" t="s">
        <v>47</v>
      </c>
      <c r="V817" t="s">
        <v>47</v>
      </c>
      <c r="W817" s="3">
        <v>34060</v>
      </c>
      <c r="X817" s="5" t="s">
        <v>50</v>
      </c>
      <c r="Y817" t="s">
        <v>47</v>
      </c>
      <c r="Z817" s="3">
        <v>34060</v>
      </c>
      <c r="AA817" s="5" t="s">
        <v>50</v>
      </c>
      <c r="AB817" t="s">
        <v>47</v>
      </c>
      <c r="AC817" s="3">
        <v>34425</v>
      </c>
      <c r="AD817" s="5" t="s">
        <v>50</v>
      </c>
      <c r="AE817" t="s">
        <v>47</v>
      </c>
      <c r="AF817" t="s">
        <v>47</v>
      </c>
      <c r="AG817" t="s">
        <v>47</v>
      </c>
      <c r="AH817" t="s">
        <v>47</v>
      </c>
      <c r="AI817" t="s">
        <v>47</v>
      </c>
      <c r="AJ817" t="s">
        <v>47</v>
      </c>
      <c r="AK817" t="s">
        <v>47</v>
      </c>
      <c r="AL817" t="s">
        <v>47</v>
      </c>
      <c r="AM817" t="s">
        <v>47</v>
      </c>
      <c r="AN817" t="s">
        <v>47</v>
      </c>
      <c r="AO817" s="5" t="s">
        <v>60</v>
      </c>
      <c r="AP817" s="4" t="s">
        <v>61</v>
      </c>
      <c r="AQ817" s="4" t="s">
        <v>53</v>
      </c>
      <c r="AR817" s="4" t="s">
        <v>1089</v>
      </c>
      <c r="AS817" s="5">
        <v>45127</v>
      </c>
      <c r="AT817" t="s">
        <v>47</v>
      </c>
    </row>
    <row r="818" spans="1:46" ht="143" x14ac:dyDescent="0.3">
      <c r="A818" s="4" t="s">
        <v>3337</v>
      </c>
      <c r="B818" t="s">
        <v>47</v>
      </c>
      <c r="C818" s="4" t="s">
        <v>200</v>
      </c>
      <c r="D818" s="4" t="s">
        <v>1168</v>
      </c>
      <c r="E818" s="4" t="s">
        <v>66</v>
      </c>
      <c r="F818" s="5" t="s">
        <v>3338</v>
      </c>
      <c r="G818" s="5" t="s">
        <v>3339</v>
      </c>
      <c r="H818" t="s">
        <v>47</v>
      </c>
      <c r="I818" s="3">
        <v>35796</v>
      </c>
      <c r="J818" s="3">
        <v>40483</v>
      </c>
      <c r="K818" t="s">
        <v>47</v>
      </c>
      <c r="L818" s="5" t="s">
        <v>60</v>
      </c>
      <c r="M818" s="3">
        <v>35796</v>
      </c>
      <c r="N818" s="3">
        <v>40483</v>
      </c>
      <c r="O818" t="s">
        <v>47</v>
      </c>
      <c r="P818" s="3">
        <v>35796</v>
      </c>
      <c r="Q818" s="3">
        <v>40483</v>
      </c>
      <c r="R818" t="s">
        <v>47</v>
      </c>
      <c r="S818" t="s">
        <v>47</v>
      </c>
      <c r="T818" t="s">
        <v>47</v>
      </c>
      <c r="U818" t="s">
        <v>47</v>
      </c>
      <c r="V818" t="s">
        <v>47</v>
      </c>
      <c r="W818" s="3">
        <v>35796</v>
      </c>
      <c r="X818" s="5" t="s">
        <v>50</v>
      </c>
      <c r="Y818" t="s">
        <v>47</v>
      </c>
      <c r="Z818" s="3">
        <v>35796</v>
      </c>
      <c r="AA818" s="5" t="s">
        <v>50</v>
      </c>
      <c r="AB818" t="s">
        <v>47</v>
      </c>
      <c r="AC818" s="3">
        <v>35796</v>
      </c>
      <c r="AD818" s="5" t="s">
        <v>50</v>
      </c>
      <c r="AE818" t="s">
        <v>47</v>
      </c>
      <c r="AF818" t="s">
        <v>47</v>
      </c>
      <c r="AG818" t="s">
        <v>47</v>
      </c>
      <c r="AH818" t="s">
        <v>47</v>
      </c>
      <c r="AI818" t="s">
        <v>47</v>
      </c>
      <c r="AJ818" t="s">
        <v>47</v>
      </c>
      <c r="AK818" t="s">
        <v>47</v>
      </c>
      <c r="AL818" t="s">
        <v>47</v>
      </c>
      <c r="AM818" t="s">
        <v>47</v>
      </c>
      <c r="AN818" t="s">
        <v>47</v>
      </c>
      <c r="AO818" s="5" t="s">
        <v>60</v>
      </c>
      <c r="AP818" s="4" t="s">
        <v>61</v>
      </c>
      <c r="AQ818" s="4" t="s">
        <v>53</v>
      </c>
      <c r="AR818" s="4" t="s">
        <v>3340</v>
      </c>
      <c r="AS818" s="5">
        <v>36261</v>
      </c>
      <c r="AT818" t="s">
        <v>47</v>
      </c>
    </row>
    <row r="819" spans="1:46" ht="52" x14ac:dyDescent="0.3">
      <c r="A819" s="4" t="s">
        <v>3341</v>
      </c>
      <c r="B819" t="s">
        <v>47</v>
      </c>
      <c r="C819" s="4" t="s">
        <v>122</v>
      </c>
      <c r="D819" s="4" t="s">
        <v>70</v>
      </c>
      <c r="E819" s="4" t="s">
        <v>123</v>
      </c>
      <c r="F819" s="5" t="s">
        <v>3342</v>
      </c>
      <c r="G819" s="5" t="s">
        <v>3343</v>
      </c>
      <c r="H819" t="s">
        <v>47</v>
      </c>
      <c r="I819" s="3">
        <v>35490</v>
      </c>
      <c r="J819" s="5" t="s">
        <v>50</v>
      </c>
      <c r="K819" t="s">
        <v>47</v>
      </c>
      <c r="L819" s="5" t="s">
        <v>60</v>
      </c>
      <c r="M819" s="3">
        <v>38047</v>
      </c>
      <c r="N819" s="3">
        <v>42856</v>
      </c>
      <c r="O819" t="s">
        <v>47</v>
      </c>
      <c r="P819" s="3">
        <v>35490</v>
      </c>
      <c r="Q819" s="5" t="s">
        <v>50</v>
      </c>
      <c r="R819" t="s">
        <v>47</v>
      </c>
      <c r="S819" t="s">
        <v>47</v>
      </c>
      <c r="T819" t="s">
        <v>47</v>
      </c>
      <c r="U819" t="s">
        <v>47</v>
      </c>
      <c r="V819" s="5">
        <v>365</v>
      </c>
      <c r="W819" s="3">
        <v>34759</v>
      </c>
      <c r="X819" s="5" t="s">
        <v>50</v>
      </c>
      <c r="Y819" t="s">
        <v>47</v>
      </c>
      <c r="Z819" s="3">
        <v>34759</v>
      </c>
      <c r="AA819" s="5" t="s">
        <v>50</v>
      </c>
      <c r="AB819" t="s">
        <v>47</v>
      </c>
      <c r="AC819" s="3">
        <v>34759</v>
      </c>
      <c r="AD819" s="5" t="s">
        <v>50</v>
      </c>
      <c r="AE819" t="s">
        <v>47</v>
      </c>
      <c r="AF819" t="s">
        <v>47</v>
      </c>
      <c r="AG819" t="s">
        <v>47</v>
      </c>
      <c r="AH819" t="s">
        <v>47</v>
      </c>
      <c r="AI819" t="s">
        <v>47</v>
      </c>
      <c r="AJ819" t="s">
        <v>47</v>
      </c>
      <c r="AK819" t="s">
        <v>47</v>
      </c>
      <c r="AL819" t="s">
        <v>47</v>
      </c>
      <c r="AM819" t="s">
        <v>47</v>
      </c>
      <c r="AN819" t="s">
        <v>47</v>
      </c>
      <c r="AO819" s="5" t="s">
        <v>60</v>
      </c>
      <c r="AP819" s="4" t="s">
        <v>61</v>
      </c>
      <c r="AQ819" s="4" t="s">
        <v>53</v>
      </c>
      <c r="AR819" s="4" t="s">
        <v>1093</v>
      </c>
      <c r="AS819" s="5">
        <v>31319</v>
      </c>
      <c r="AT819" t="s">
        <v>47</v>
      </c>
    </row>
    <row r="820" spans="1:46" ht="26" x14ac:dyDescent="0.3">
      <c r="A820" s="4" t="s">
        <v>3344</v>
      </c>
      <c r="B820" t="s">
        <v>47</v>
      </c>
      <c r="C820" s="4" t="s">
        <v>2736</v>
      </c>
      <c r="D820" s="4" t="s">
        <v>3345</v>
      </c>
      <c r="E820" s="4" t="s">
        <v>100</v>
      </c>
      <c r="F820" s="5" t="s">
        <v>3346</v>
      </c>
      <c r="G820" s="5" t="s">
        <v>3347</v>
      </c>
      <c r="H820" t="s">
        <v>47</v>
      </c>
      <c r="I820" s="3">
        <v>41365</v>
      </c>
      <c r="J820" s="5" t="s">
        <v>50</v>
      </c>
      <c r="K820" t="s">
        <v>47</v>
      </c>
      <c r="L820" s="5" t="s">
        <v>60</v>
      </c>
      <c r="M820" t="s">
        <v>47</v>
      </c>
      <c r="N820" t="s">
        <v>47</v>
      </c>
      <c r="O820" t="s">
        <v>47</v>
      </c>
      <c r="P820" s="3">
        <v>41365</v>
      </c>
      <c r="Q820" s="5" t="s">
        <v>50</v>
      </c>
      <c r="R820" t="s">
        <v>47</v>
      </c>
      <c r="S820" t="s">
        <v>47</v>
      </c>
      <c r="T820" t="s">
        <v>47</v>
      </c>
      <c r="U820" t="s">
        <v>47</v>
      </c>
      <c r="V820" t="s">
        <v>47</v>
      </c>
      <c r="W820" s="3">
        <v>33878</v>
      </c>
      <c r="X820" s="5" t="s">
        <v>50</v>
      </c>
      <c r="Y820" t="s">
        <v>47</v>
      </c>
      <c r="Z820" s="3">
        <v>33878</v>
      </c>
      <c r="AA820" s="5" t="s">
        <v>50</v>
      </c>
      <c r="AB820" t="s">
        <v>47</v>
      </c>
      <c r="AC820" s="3">
        <v>39904</v>
      </c>
      <c r="AD820" s="5" t="s">
        <v>50</v>
      </c>
      <c r="AE820" s="5" t="s">
        <v>1405</v>
      </c>
      <c r="AF820" t="s">
        <v>47</v>
      </c>
      <c r="AG820" t="s">
        <v>47</v>
      </c>
      <c r="AH820" t="s">
        <v>47</v>
      </c>
      <c r="AI820" t="s">
        <v>47</v>
      </c>
      <c r="AJ820" t="s">
        <v>47</v>
      </c>
      <c r="AK820" t="s">
        <v>47</v>
      </c>
      <c r="AL820" t="s">
        <v>47</v>
      </c>
      <c r="AM820" t="s">
        <v>47</v>
      </c>
      <c r="AN820" t="s">
        <v>47</v>
      </c>
      <c r="AO820" s="5" t="s">
        <v>60</v>
      </c>
      <c r="AP820" s="4" t="s">
        <v>61</v>
      </c>
      <c r="AQ820" t="s">
        <v>47</v>
      </c>
      <c r="AR820" s="4" t="s">
        <v>54</v>
      </c>
      <c r="AS820" s="5">
        <v>43226</v>
      </c>
      <c r="AT820" t="s">
        <v>47</v>
      </c>
    </row>
    <row r="821" spans="1:46" ht="65" x14ac:dyDescent="0.3">
      <c r="A821" s="4" t="s">
        <v>3348</v>
      </c>
      <c r="B821" t="s">
        <v>47</v>
      </c>
      <c r="C821" s="4" t="s">
        <v>3349</v>
      </c>
      <c r="D821" s="4" t="s">
        <v>94</v>
      </c>
      <c r="E821" s="4" t="s">
        <v>49</v>
      </c>
      <c r="F821" s="5" t="s">
        <v>3350</v>
      </c>
      <c r="G821" t="s">
        <v>47</v>
      </c>
      <c r="H821" t="s">
        <v>47</v>
      </c>
      <c r="I821" s="3">
        <v>41000</v>
      </c>
      <c r="J821" s="5" t="s">
        <v>50</v>
      </c>
      <c r="K821" t="s">
        <v>47</v>
      </c>
      <c r="L821" s="5" t="s">
        <v>60</v>
      </c>
      <c r="M821" s="3">
        <v>41000</v>
      </c>
      <c r="N821" s="5" t="s">
        <v>50</v>
      </c>
      <c r="O821" t="s">
        <v>47</v>
      </c>
      <c r="P821" s="3">
        <v>41000</v>
      </c>
      <c r="Q821" s="5" t="s">
        <v>50</v>
      </c>
      <c r="R821" t="s">
        <v>47</v>
      </c>
      <c r="S821" t="s">
        <v>47</v>
      </c>
      <c r="T821" t="s">
        <v>47</v>
      </c>
      <c r="U821" t="s">
        <v>47</v>
      </c>
      <c r="V821" t="s">
        <v>47</v>
      </c>
      <c r="W821" s="3">
        <v>41000</v>
      </c>
      <c r="X821" s="5" t="s">
        <v>50</v>
      </c>
      <c r="Y821" t="s">
        <v>47</v>
      </c>
      <c r="Z821" s="3">
        <v>41000</v>
      </c>
      <c r="AA821" s="5" t="s">
        <v>50</v>
      </c>
      <c r="AB821" t="s">
        <v>47</v>
      </c>
      <c r="AC821" s="3">
        <v>41000</v>
      </c>
      <c r="AD821" s="5" t="s">
        <v>50</v>
      </c>
      <c r="AE821" t="s">
        <v>47</v>
      </c>
      <c r="AF821" t="s">
        <v>47</v>
      </c>
      <c r="AG821" t="s">
        <v>47</v>
      </c>
      <c r="AH821" t="s">
        <v>47</v>
      </c>
      <c r="AI821" t="s">
        <v>47</v>
      </c>
      <c r="AJ821" t="s">
        <v>47</v>
      </c>
      <c r="AK821" t="s">
        <v>47</v>
      </c>
      <c r="AL821" t="s">
        <v>47</v>
      </c>
      <c r="AM821" t="s">
        <v>47</v>
      </c>
      <c r="AN821" t="s">
        <v>47</v>
      </c>
      <c r="AO821" s="5" t="s">
        <v>60</v>
      </c>
      <c r="AP821" s="4" t="s">
        <v>61</v>
      </c>
      <c r="AQ821" s="4" t="s">
        <v>53</v>
      </c>
      <c r="AR821" s="4" t="s">
        <v>2463</v>
      </c>
      <c r="AS821" s="5">
        <v>1356370</v>
      </c>
      <c r="AT821" t="s">
        <v>47</v>
      </c>
    </row>
    <row r="822" spans="1:46" ht="65" x14ac:dyDescent="0.3">
      <c r="A822" s="4" t="s">
        <v>3351</v>
      </c>
      <c r="B822" t="s">
        <v>47</v>
      </c>
      <c r="C822" s="4" t="s">
        <v>115</v>
      </c>
      <c r="D822" s="4" t="s">
        <v>559</v>
      </c>
      <c r="E822" s="4" t="s">
        <v>66</v>
      </c>
      <c r="F822" s="5" t="s">
        <v>3352</v>
      </c>
      <c r="G822" s="5" t="s">
        <v>3353</v>
      </c>
      <c r="H822" t="s">
        <v>47</v>
      </c>
      <c r="I822" s="3">
        <v>38718</v>
      </c>
      <c r="J822" s="5" t="s">
        <v>50</v>
      </c>
      <c r="K822" t="s">
        <v>47</v>
      </c>
      <c r="L822" s="5" t="s">
        <v>60</v>
      </c>
      <c r="M822" s="3">
        <v>40634</v>
      </c>
      <c r="N822" s="5" t="s">
        <v>50</v>
      </c>
      <c r="O822" t="s">
        <v>47</v>
      </c>
      <c r="P822" s="3">
        <v>38718</v>
      </c>
      <c r="Q822" s="5" t="s">
        <v>50</v>
      </c>
      <c r="R822" t="s">
        <v>47</v>
      </c>
      <c r="S822" t="s">
        <v>47</v>
      </c>
      <c r="T822" t="s">
        <v>47</v>
      </c>
      <c r="U822" t="s">
        <v>47</v>
      </c>
      <c r="V822" s="5">
        <v>365</v>
      </c>
      <c r="W822" s="3">
        <v>38718</v>
      </c>
      <c r="X822" s="5" t="s">
        <v>50</v>
      </c>
      <c r="Y822" t="s">
        <v>47</v>
      </c>
      <c r="Z822" s="3">
        <v>38718</v>
      </c>
      <c r="AA822" s="5" t="s">
        <v>50</v>
      </c>
      <c r="AB822" t="s">
        <v>47</v>
      </c>
      <c r="AC822" s="3">
        <v>38718</v>
      </c>
      <c r="AD822" s="5" t="s">
        <v>50</v>
      </c>
      <c r="AE822" t="s">
        <v>47</v>
      </c>
      <c r="AF822" t="s">
        <v>47</v>
      </c>
      <c r="AG822" t="s">
        <v>47</v>
      </c>
      <c r="AH822" t="s">
        <v>47</v>
      </c>
      <c r="AI822" t="s">
        <v>47</v>
      </c>
      <c r="AJ822" t="s">
        <v>47</v>
      </c>
      <c r="AK822" t="s">
        <v>47</v>
      </c>
      <c r="AL822" t="s">
        <v>47</v>
      </c>
      <c r="AM822" t="s">
        <v>47</v>
      </c>
      <c r="AN822" t="s">
        <v>47</v>
      </c>
      <c r="AO822" s="5" t="s">
        <v>60</v>
      </c>
      <c r="AP822" s="4" t="s">
        <v>61</v>
      </c>
      <c r="AQ822" s="4" t="s">
        <v>53</v>
      </c>
      <c r="AR822" s="4" t="s">
        <v>1089</v>
      </c>
      <c r="AS822" s="5">
        <v>1006509</v>
      </c>
      <c r="AT822" t="s">
        <v>47</v>
      </c>
    </row>
    <row r="823" spans="1:46" ht="91" x14ac:dyDescent="0.3">
      <c r="A823" s="4" t="s">
        <v>3354</v>
      </c>
      <c r="B823" t="s">
        <v>47</v>
      </c>
      <c r="C823" s="4" t="s">
        <v>397</v>
      </c>
      <c r="D823" s="4" t="s">
        <v>612</v>
      </c>
      <c r="E823" s="4" t="s">
        <v>66</v>
      </c>
      <c r="F823" s="5" t="s">
        <v>3355</v>
      </c>
      <c r="G823" s="5" t="s">
        <v>3356</v>
      </c>
      <c r="H823" t="s">
        <v>47</v>
      </c>
      <c r="I823" s="3">
        <v>42826</v>
      </c>
      <c r="J823" s="5" t="s">
        <v>50</v>
      </c>
      <c r="K823" t="s">
        <v>47</v>
      </c>
      <c r="L823" s="5" t="s">
        <v>60</v>
      </c>
      <c r="M823" s="3">
        <v>42826</v>
      </c>
      <c r="N823" s="5" t="s">
        <v>50</v>
      </c>
      <c r="O823" t="s">
        <v>47</v>
      </c>
      <c r="P823" s="3">
        <v>42826</v>
      </c>
      <c r="Q823" s="5" t="s">
        <v>50</v>
      </c>
      <c r="R823" t="s">
        <v>47</v>
      </c>
      <c r="S823" t="s">
        <v>47</v>
      </c>
      <c r="T823" t="s">
        <v>47</v>
      </c>
      <c r="U823" t="s">
        <v>47</v>
      </c>
      <c r="V823" t="s">
        <v>47</v>
      </c>
      <c r="W823" s="3">
        <v>42826</v>
      </c>
      <c r="X823" s="5" t="s">
        <v>50</v>
      </c>
      <c r="Y823" t="s">
        <v>47</v>
      </c>
      <c r="Z823" s="3">
        <v>42826</v>
      </c>
      <c r="AA823" s="5" t="s">
        <v>50</v>
      </c>
      <c r="AB823" t="s">
        <v>47</v>
      </c>
      <c r="AC823" s="3">
        <v>42826</v>
      </c>
      <c r="AD823" s="5" t="s">
        <v>50</v>
      </c>
      <c r="AE823" t="s">
        <v>47</v>
      </c>
      <c r="AF823" t="s">
        <v>47</v>
      </c>
      <c r="AG823" t="s">
        <v>47</v>
      </c>
      <c r="AH823" t="s">
        <v>47</v>
      </c>
      <c r="AI823" t="s">
        <v>47</v>
      </c>
      <c r="AJ823" t="s">
        <v>47</v>
      </c>
      <c r="AK823" t="s">
        <v>47</v>
      </c>
      <c r="AL823" t="s">
        <v>47</v>
      </c>
      <c r="AM823" t="s">
        <v>47</v>
      </c>
      <c r="AN823" t="s">
        <v>47</v>
      </c>
      <c r="AO823" s="5" t="s">
        <v>51</v>
      </c>
      <c r="AP823" s="4" t="s">
        <v>61</v>
      </c>
      <c r="AQ823" s="4" t="s">
        <v>53</v>
      </c>
      <c r="AR823" s="4" t="s">
        <v>3357</v>
      </c>
      <c r="AS823" s="5">
        <v>2046287</v>
      </c>
      <c r="AT823" t="s">
        <v>47</v>
      </c>
    </row>
    <row r="824" spans="1:46" ht="13" x14ac:dyDescent="0.3">
      <c r="A824" s="4" t="s">
        <v>3358</v>
      </c>
      <c r="B824" t="s">
        <v>47</v>
      </c>
      <c r="C824" s="4" t="s">
        <v>3359</v>
      </c>
      <c r="D824" s="4" t="s">
        <v>3360</v>
      </c>
      <c r="E824" s="4" t="s">
        <v>49</v>
      </c>
      <c r="F824" s="5" t="s">
        <v>3361</v>
      </c>
      <c r="G824" s="5" t="s">
        <v>3362</v>
      </c>
      <c r="H824" t="s">
        <v>47</v>
      </c>
      <c r="I824" s="3">
        <v>38169</v>
      </c>
      <c r="J824" s="3">
        <v>44927</v>
      </c>
      <c r="K824" t="s">
        <v>47</v>
      </c>
      <c r="L824" s="5" t="s">
        <v>60</v>
      </c>
      <c r="M824" s="3">
        <v>38169</v>
      </c>
      <c r="N824" s="3">
        <v>38687</v>
      </c>
      <c r="O824" t="s">
        <v>47</v>
      </c>
      <c r="P824" s="3">
        <v>38169</v>
      </c>
      <c r="Q824" s="3">
        <v>44927</v>
      </c>
      <c r="R824" t="s">
        <v>47</v>
      </c>
      <c r="S824" t="s">
        <v>47</v>
      </c>
      <c r="T824" t="s">
        <v>47</v>
      </c>
      <c r="U824" t="s">
        <v>47</v>
      </c>
      <c r="V824" t="s">
        <v>47</v>
      </c>
      <c r="W824" s="3">
        <v>38169</v>
      </c>
      <c r="X824" s="3">
        <v>44927</v>
      </c>
      <c r="Y824" t="s">
        <v>47</v>
      </c>
      <c r="Z824" s="3">
        <v>38169</v>
      </c>
      <c r="AA824" s="3">
        <v>44927</v>
      </c>
      <c r="AB824" t="s">
        <v>47</v>
      </c>
      <c r="AC824" s="3">
        <v>38169</v>
      </c>
      <c r="AD824" s="3">
        <v>44927</v>
      </c>
      <c r="AE824" t="s">
        <v>47</v>
      </c>
      <c r="AF824" t="s">
        <v>47</v>
      </c>
      <c r="AG824" t="s">
        <v>47</v>
      </c>
      <c r="AH824" t="s">
        <v>47</v>
      </c>
      <c r="AI824" t="s">
        <v>47</v>
      </c>
      <c r="AJ824" t="s">
        <v>47</v>
      </c>
      <c r="AK824" t="s">
        <v>47</v>
      </c>
      <c r="AL824" t="s">
        <v>47</v>
      </c>
      <c r="AM824" t="s">
        <v>47</v>
      </c>
      <c r="AN824" t="s">
        <v>47</v>
      </c>
      <c r="AO824" s="5" t="s">
        <v>60</v>
      </c>
      <c r="AP824" s="4" t="s">
        <v>61</v>
      </c>
      <c r="AQ824" s="4" t="s">
        <v>53</v>
      </c>
      <c r="AR824" s="4" t="s">
        <v>54</v>
      </c>
      <c r="AS824" s="5">
        <v>48326</v>
      </c>
      <c r="AT824" t="s">
        <v>47</v>
      </c>
    </row>
    <row r="825" spans="1:46" ht="52" x14ac:dyDescent="0.3">
      <c r="A825" s="4" t="s">
        <v>3363</v>
      </c>
      <c r="B825" t="s">
        <v>47</v>
      </c>
      <c r="C825" s="4" t="s">
        <v>1952</v>
      </c>
      <c r="D825" s="4" t="s">
        <v>319</v>
      </c>
      <c r="E825" s="4" t="s">
        <v>66</v>
      </c>
      <c r="F825" s="5" t="s">
        <v>3364</v>
      </c>
      <c r="G825" s="5" t="s">
        <v>3365</v>
      </c>
      <c r="H825" t="s">
        <v>47</v>
      </c>
      <c r="I825" t="s">
        <v>47</v>
      </c>
      <c r="J825" t="s">
        <v>47</v>
      </c>
      <c r="K825" t="s">
        <v>47</v>
      </c>
      <c r="L825" s="5" t="s">
        <v>60</v>
      </c>
      <c r="M825" t="s">
        <v>47</v>
      </c>
      <c r="N825" t="s">
        <v>47</v>
      </c>
      <c r="O825" t="s">
        <v>47</v>
      </c>
      <c r="P825" t="s">
        <v>47</v>
      </c>
      <c r="Q825" t="s">
        <v>47</v>
      </c>
      <c r="R825" t="s">
        <v>47</v>
      </c>
      <c r="S825" t="s">
        <v>47</v>
      </c>
      <c r="T825" t="s">
        <v>47</v>
      </c>
      <c r="U825" t="s">
        <v>47</v>
      </c>
      <c r="V825" t="s">
        <v>47</v>
      </c>
      <c r="W825" s="3">
        <v>32568</v>
      </c>
      <c r="X825" s="5" t="s">
        <v>50</v>
      </c>
      <c r="Y825" t="s">
        <v>47</v>
      </c>
      <c r="Z825" s="3">
        <v>32568</v>
      </c>
      <c r="AA825" s="5" t="s">
        <v>50</v>
      </c>
      <c r="AB825" t="s">
        <v>47</v>
      </c>
      <c r="AC825" s="3">
        <v>32568</v>
      </c>
      <c r="AD825" s="5" t="s">
        <v>50</v>
      </c>
      <c r="AE825" t="s">
        <v>47</v>
      </c>
      <c r="AF825" t="s">
        <v>47</v>
      </c>
      <c r="AG825" t="s">
        <v>47</v>
      </c>
      <c r="AH825" t="s">
        <v>47</v>
      </c>
      <c r="AI825" t="s">
        <v>47</v>
      </c>
      <c r="AJ825" t="s">
        <v>47</v>
      </c>
      <c r="AK825" t="s">
        <v>47</v>
      </c>
      <c r="AL825" t="s">
        <v>47</v>
      </c>
      <c r="AM825" t="s">
        <v>47</v>
      </c>
      <c r="AN825" t="s">
        <v>47</v>
      </c>
      <c r="AO825" s="5" t="s">
        <v>60</v>
      </c>
      <c r="AP825" s="4" t="s">
        <v>61</v>
      </c>
      <c r="AQ825" s="4" t="s">
        <v>53</v>
      </c>
      <c r="AR825" s="4" t="s">
        <v>1093</v>
      </c>
      <c r="AS825" s="5">
        <v>25716</v>
      </c>
      <c r="AT825" t="s">
        <v>47</v>
      </c>
    </row>
    <row r="826" spans="1:46" ht="26" x14ac:dyDescent="0.3">
      <c r="A826" s="4" t="s">
        <v>3366</v>
      </c>
      <c r="B826" t="s">
        <v>47</v>
      </c>
      <c r="C826" s="4" t="s">
        <v>169</v>
      </c>
      <c r="D826" s="4" t="s">
        <v>319</v>
      </c>
      <c r="E826" s="4" t="s">
        <v>66</v>
      </c>
      <c r="F826" s="5" t="s">
        <v>3367</v>
      </c>
      <c r="G826" s="5" t="s">
        <v>3368</v>
      </c>
      <c r="H826" t="s">
        <v>47</v>
      </c>
      <c r="I826" t="s">
        <v>47</v>
      </c>
      <c r="J826" t="s">
        <v>47</v>
      </c>
      <c r="K826" t="s">
        <v>47</v>
      </c>
      <c r="L826" s="5" t="s">
        <v>60</v>
      </c>
      <c r="M826" t="s">
        <v>47</v>
      </c>
      <c r="N826" t="s">
        <v>47</v>
      </c>
      <c r="O826" t="s">
        <v>47</v>
      </c>
      <c r="P826" t="s">
        <v>47</v>
      </c>
      <c r="Q826" t="s">
        <v>47</v>
      </c>
      <c r="R826" t="s">
        <v>47</v>
      </c>
      <c r="S826" t="s">
        <v>47</v>
      </c>
      <c r="T826" t="s">
        <v>47</v>
      </c>
      <c r="U826" t="s">
        <v>47</v>
      </c>
      <c r="V826" t="s">
        <v>47</v>
      </c>
      <c r="W826" s="3">
        <v>38353</v>
      </c>
      <c r="X826" s="5" t="s">
        <v>50</v>
      </c>
      <c r="Y826" t="s">
        <v>47</v>
      </c>
      <c r="Z826" s="3">
        <v>38353</v>
      </c>
      <c r="AA826" s="5" t="s">
        <v>50</v>
      </c>
      <c r="AB826" t="s">
        <v>47</v>
      </c>
      <c r="AC826" s="3">
        <v>38353</v>
      </c>
      <c r="AD826" s="5" t="s">
        <v>50</v>
      </c>
      <c r="AE826" t="s">
        <v>47</v>
      </c>
      <c r="AF826" t="s">
        <v>47</v>
      </c>
      <c r="AG826" t="s">
        <v>47</v>
      </c>
      <c r="AH826" t="s">
        <v>47</v>
      </c>
      <c r="AI826" t="s">
        <v>47</v>
      </c>
      <c r="AJ826" t="s">
        <v>47</v>
      </c>
      <c r="AK826" t="s">
        <v>47</v>
      </c>
      <c r="AL826" t="s">
        <v>47</v>
      </c>
      <c r="AM826" t="s">
        <v>47</v>
      </c>
      <c r="AN826" t="s">
        <v>47</v>
      </c>
      <c r="AO826" s="5" t="s">
        <v>60</v>
      </c>
      <c r="AP826" s="4" t="s">
        <v>61</v>
      </c>
      <c r="AQ826" s="4" t="s">
        <v>53</v>
      </c>
      <c r="AR826" s="4" t="s">
        <v>483</v>
      </c>
      <c r="AS826" s="5">
        <v>25338</v>
      </c>
      <c r="AT826" t="s">
        <v>47</v>
      </c>
    </row>
    <row r="827" spans="1:46" ht="78" x14ac:dyDescent="0.3">
      <c r="A827" s="4" t="s">
        <v>3369</v>
      </c>
      <c r="B827" t="s">
        <v>47</v>
      </c>
      <c r="C827" s="4" t="s">
        <v>3370</v>
      </c>
      <c r="D827" s="4" t="s">
        <v>70</v>
      </c>
      <c r="E827" s="4" t="s">
        <v>49</v>
      </c>
      <c r="F827" s="5" t="s">
        <v>3371</v>
      </c>
      <c r="G827" s="5" t="s">
        <v>3372</v>
      </c>
      <c r="H827" t="s">
        <v>47</v>
      </c>
      <c r="I827" s="3">
        <v>40544</v>
      </c>
      <c r="J827" s="3">
        <v>42736</v>
      </c>
      <c r="K827" t="s">
        <v>47</v>
      </c>
      <c r="L827" s="5" t="s">
        <v>60</v>
      </c>
      <c r="M827" s="3">
        <v>40544</v>
      </c>
      <c r="N827" s="3">
        <v>42736</v>
      </c>
      <c r="O827" t="s">
        <v>47</v>
      </c>
      <c r="P827" s="3">
        <v>40544</v>
      </c>
      <c r="Q827" s="3">
        <v>42736</v>
      </c>
      <c r="R827" t="s">
        <v>47</v>
      </c>
      <c r="S827" t="s">
        <v>47</v>
      </c>
      <c r="T827" t="s">
        <v>47</v>
      </c>
      <c r="U827" t="s">
        <v>47</v>
      </c>
      <c r="V827" t="s">
        <v>47</v>
      </c>
      <c r="W827" s="3">
        <v>40544</v>
      </c>
      <c r="X827" s="3">
        <v>42979</v>
      </c>
      <c r="Y827" t="s">
        <v>47</v>
      </c>
      <c r="Z827" s="3">
        <v>40544</v>
      </c>
      <c r="AA827" s="3">
        <v>42979</v>
      </c>
      <c r="AB827" t="s">
        <v>47</v>
      </c>
      <c r="AC827" s="3">
        <v>40544</v>
      </c>
      <c r="AD827" s="3">
        <v>42979</v>
      </c>
      <c r="AE827" t="s">
        <v>47</v>
      </c>
      <c r="AF827" t="s">
        <v>47</v>
      </c>
      <c r="AG827" t="s">
        <v>47</v>
      </c>
      <c r="AH827" t="s">
        <v>47</v>
      </c>
      <c r="AI827" t="s">
        <v>47</v>
      </c>
      <c r="AJ827" t="s">
        <v>47</v>
      </c>
      <c r="AK827" t="s">
        <v>47</v>
      </c>
      <c r="AL827" t="s">
        <v>47</v>
      </c>
      <c r="AM827" t="s">
        <v>47</v>
      </c>
      <c r="AN827" t="s">
        <v>47</v>
      </c>
      <c r="AO827" s="5" t="s">
        <v>60</v>
      </c>
      <c r="AP827" s="4" t="s">
        <v>61</v>
      </c>
      <c r="AQ827" s="4" t="s">
        <v>53</v>
      </c>
      <c r="AR827" s="4" t="s">
        <v>3373</v>
      </c>
      <c r="AS827" s="5">
        <v>646503</v>
      </c>
      <c r="AT827" t="s">
        <v>47</v>
      </c>
    </row>
    <row r="828" spans="1:46" ht="117" x14ac:dyDescent="0.3">
      <c r="A828" s="4" t="s">
        <v>3374</v>
      </c>
      <c r="B828" t="s">
        <v>47</v>
      </c>
      <c r="C828" s="4" t="s">
        <v>3375</v>
      </c>
      <c r="D828" s="4" t="s">
        <v>526</v>
      </c>
      <c r="E828" s="4" t="s">
        <v>49</v>
      </c>
      <c r="F828" s="5" t="s">
        <v>3376</v>
      </c>
      <c r="G828" t="s">
        <v>47</v>
      </c>
      <c r="H828" t="s">
        <v>47</v>
      </c>
      <c r="I828" s="3">
        <v>36342</v>
      </c>
      <c r="J828" s="3">
        <v>41365</v>
      </c>
      <c r="K828" t="s">
        <v>47</v>
      </c>
      <c r="L828" s="5" t="s">
        <v>60</v>
      </c>
      <c r="M828" s="3">
        <v>36342</v>
      </c>
      <c r="N828" s="3">
        <v>41365</v>
      </c>
      <c r="O828" t="s">
        <v>47</v>
      </c>
      <c r="P828" s="3">
        <v>36342</v>
      </c>
      <c r="Q828" s="3">
        <v>41365</v>
      </c>
      <c r="R828" t="s">
        <v>47</v>
      </c>
      <c r="S828" t="s">
        <v>47</v>
      </c>
      <c r="T828" t="s">
        <v>47</v>
      </c>
      <c r="U828" t="s">
        <v>47</v>
      </c>
      <c r="V828" t="s">
        <v>47</v>
      </c>
      <c r="W828" s="3">
        <v>36342</v>
      </c>
      <c r="X828" s="5" t="s">
        <v>50</v>
      </c>
      <c r="Y828" t="s">
        <v>47</v>
      </c>
      <c r="Z828" s="3">
        <v>36342</v>
      </c>
      <c r="AA828" s="5" t="s">
        <v>50</v>
      </c>
      <c r="AB828" t="s">
        <v>47</v>
      </c>
      <c r="AC828" s="3">
        <v>37712</v>
      </c>
      <c r="AD828" s="5" t="s">
        <v>50</v>
      </c>
      <c r="AE828" t="s">
        <v>47</v>
      </c>
      <c r="AF828" t="s">
        <v>47</v>
      </c>
      <c r="AG828" t="s">
        <v>47</v>
      </c>
      <c r="AH828" t="s">
        <v>47</v>
      </c>
      <c r="AI828" t="s">
        <v>47</v>
      </c>
      <c r="AJ828" t="s">
        <v>47</v>
      </c>
      <c r="AK828" t="s">
        <v>47</v>
      </c>
      <c r="AL828" t="s">
        <v>47</v>
      </c>
      <c r="AM828" t="s">
        <v>47</v>
      </c>
      <c r="AN828" t="s">
        <v>47</v>
      </c>
      <c r="AO828" s="5" t="s">
        <v>60</v>
      </c>
      <c r="AP828" s="4" t="s">
        <v>85</v>
      </c>
      <c r="AQ828" s="4" t="s">
        <v>53</v>
      </c>
      <c r="AR828" s="4" t="s">
        <v>1314</v>
      </c>
      <c r="AS828" s="5">
        <v>37099</v>
      </c>
      <c r="AT828" t="s">
        <v>47</v>
      </c>
    </row>
    <row r="829" spans="1:46" ht="52" x14ac:dyDescent="0.3">
      <c r="A829" s="4" t="s">
        <v>3377</v>
      </c>
      <c r="B829" t="s">
        <v>47</v>
      </c>
      <c r="C829" s="4" t="s">
        <v>200</v>
      </c>
      <c r="D829" s="4" t="s">
        <v>201</v>
      </c>
      <c r="E829" s="4" t="s">
        <v>66</v>
      </c>
      <c r="F829" s="5" t="s">
        <v>3378</v>
      </c>
      <c r="G829" s="5" t="s">
        <v>3379</v>
      </c>
      <c r="H829" t="s">
        <v>47</v>
      </c>
      <c r="I829" s="3">
        <v>37712</v>
      </c>
      <c r="J829" s="3">
        <v>41548</v>
      </c>
      <c r="K829" t="s">
        <v>47</v>
      </c>
      <c r="L829" s="5" t="s">
        <v>60</v>
      </c>
      <c r="M829" s="3">
        <v>37712</v>
      </c>
      <c r="N829" s="3">
        <v>38808</v>
      </c>
      <c r="O829" t="s">
        <v>47</v>
      </c>
      <c r="P829" s="3">
        <v>37712</v>
      </c>
      <c r="Q829" s="3">
        <v>41548</v>
      </c>
      <c r="R829" t="s">
        <v>47</v>
      </c>
      <c r="S829" t="s">
        <v>47</v>
      </c>
      <c r="T829" t="s">
        <v>47</v>
      </c>
      <c r="U829" t="s">
        <v>47</v>
      </c>
      <c r="V829" t="s">
        <v>47</v>
      </c>
      <c r="W829" s="3">
        <v>37712</v>
      </c>
      <c r="X829" s="3">
        <v>41548</v>
      </c>
      <c r="Y829" t="s">
        <v>47</v>
      </c>
      <c r="Z829" s="3">
        <v>37712</v>
      </c>
      <c r="AA829" s="3">
        <v>41548</v>
      </c>
      <c r="AB829" t="s">
        <v>47</v>
      </c>
      <c r="AC829" t="s">
        <v>47</v>
      </c>
      <c r="AD829" t="s">
        <v>47</v>
      </c>
      <c r="AE829" t="s">
        <v>47</v>
      </c>
      <c r="AF829" t="s">
        <v>47</v>
      </c>
      <c r="AG829" t="s">
        <v>47</v>
      </c>
      <c r="AH829" t="s">
        <v>47</v>
      </c>
      <c r="AI829" t="s">
        <v>47</v>
      </c>
      <c r="AJ829" t="s">
        <v>47</v>
      </c>
      <c r="AK829" t="s">
        <v>47</v>
      </c>
      <c r="AL829" t="s">
        <v>47</v>
      </c>
      <c r="AM829" t="s">
        <v>47</v>
      </c>
      <c r="AN829" t="s">
        <v>47</v>
      </c>
      <c r="AO829" s="5" t="s">
        <v>60</v>
      </c>
      <c r="AP829" s="4" t="s">
        <v>61</v>
      </c>
      <c r="AQ829" s="4" t="s">
        <v>53</v>
      </c>
      <c r="AR829" s="4" t="s">
        <v>3380</v>
      </c>
      <c r="AS829" s="5">
        <v>45906</v>
      </c>
      <c r="AT829" t="s">
        <v>47</v>
      </c>
    </row>
    <row r="830" spans="1:46" ht="39" x14ac:dyDescent="0.3">
      <c r="A830" s="4" t="s">
        <v>3381</v>
      </c>
      <c r="B830" t="s">
        <v>47</v>
      </c>
      <c r="C830" s="4" t="s">
        <v>169</v>
      </c>
      <c r="D830" s="4" t="s">
        <v>3382</v>
      </c>
      <c r="E830" s="4" t="s">
        <v>66</v>
      </c>
      <c r="F830" s="5" t="s">
        <v>3383</v>
      </c>
      <c r="G830" t="s">
        <v>47</v>
      </c>
      <c r="H830" t="s">
        <v>47</v>
      </c>
      <c r="I830" s="3">
        <v>39722</v>
      </c>
      <c r="J830" s="3">
        <v>42370</v>
      </c>
      <c r="K830" t="s">
        <v>47</v>
      </c>
      <c r="L830" s="5" t="s">
        <v>60</v>
      </c>
      <c r="M830" s="3">
        <v>39722</v>
      </c>
      <c r="N830" s="3">
        <v>42370</v>
      </c>
      <c r="O830" t="s">
        <v>47</v>
      </c>
      <c r="P830" s="3">
        <v>39722</v>
      </c>
      <c r="Q830" s="3">
        <v>42370</v>
      </c>
      <c r="R830" t="s">
        <v>47</v>
      </c>
      <c r="S830" t="s">
        <v>47</v>
      </c>
      <c r="T830" t="s">
        <v>47</v>
      </c>
      <c r="U830" t="s">
        <v>47</v>
      </c>
      <c r="V830" t="s">
        <v>47</v>
      </c>
      <c r="W830" s="3">
        <v>35521</v>
      </c>
      <c r="X830" s="5" t="s">
        <v>50</v>
      </c>
      <c r="Y830" s="5" t="s">
        <v>3384</v>
      </c>
      <c r="Z830" s="3">
        <v>35521</v>
      </c>
      <c r="AA830" s="5" t="s">
        <v>50</v>
      </c>
      <c r="AB830" s="5" t="s">
        <v>3384</v>
      </c>
      <c r="AC830" s="3">
        <v>39539</v>
      </c>
      <c r="AD830" s="5" t="s">
        <v>50</v>
      </c>
      <c r="AE830" s="5" t="s">
        <v>811</v>
      </c>
      <c r="AF830" t="s">
        <v>47</v>
      </c>
      <c r="AG830" t="s">
        <v>47</v>
      </c>
      <c r="AH830" t="s">
        <v>47</v>
      </c>
      <c r="AI830" t="s">
        <v>47</v>
      </c>
      <c r="AJ830" t="s">
        <v>47</v>
      </c>
      <c r="AK830" t="s">
        <v>47</v>
      </c>
      <c r="AL830" t="s">
        <v>47</v>
      </c>
      <c r="AM830" t="s">
        <v>47</v>
      </c>
      <c r="AN830" t="s">
        <v>47</v>
      </c>
      <c r="AO830" s="5" t="s">
        <v>60</v>
      </c>
      <c r="AP830" s="4" t="s">
        <v>61</v>
      </c>
      <c r="AQ830" s="4" t="s">
        <v>53</v>
      </c>
      <c r="AR830" s="4" t="s">
        <v>62</v>
      </c>
      <c r="AS830" s="5">
        <v>42504</v>
      </c>
      <c r="AT830" t="s">
        <v>47</v>
      </c>
    </row>
    <row r="831" spans="1:46" ht="78" x14ac:dyDescent="0.3">
      <c r="A831" s="4" t="s">
        <v>3385</v>
      </c>
      <c r="B831" t="s">
        <v>47</v>
      </c>
      <c r="C831" s="4" t="s">
        <v>3386</v>
      </c>
      <c r="D831" s="4" t="s">
        <v>88</v>
      </c>
      <c r="E831" s="4" t="s">
        <v>49</v>
      </c>
      <c r="F831" s="5" t="s">
        <v>3387</v>
      </c>
      <c r="G831" s="5" t="s">
        <v>3388</v>
      </c>
      <c r="H831" t="s">
        <v>47</v>
      </c>
      <c r="I831" s="3">
        <v>35490</v>
      </c>
      <c r="J831" s="5" t="s">
        <v>50</v>
      </c>
      <c r="K831" t="s">
        <v>47</v>
      </c>
      <c r="L831" s="5" t="s">
        <v>60</v>
      </c>
      <c r="M831" s="3">
        <v>42917</v>
      </c>
      <c r="N831" s="5" t="s">
        <v>50</v>
      </c>
      <c r="O831" t="s">
        <v>47</v>
      </c>
      <c r="P831" s="3">
        <v>35490</v>
      </c>
      <c r="Q831" s="5" t="s">
        <v>50</v>
      </c>
      <c r="R831" t="s">
        <v>47</v>
      </c>
      <c r="S831" t="s">
        <v>47</v>
      </c>
      <c r="T831" t="s">
        <v>47</v>
      </c>
      <c r="U831" t="s">
        <v>47</v>
      </c>
      <c r="V831" t="s">
        <v>47</v>
      </c>
      <c r="W831" s="3">
        <v>33573</v>
      </c>
      <c r="X831" s="5" t="s">
        <v>50</v>
      </c>
      <c r="Y831" t="s">
        <v>47</v>
      </c>
      <c r="Z831" s="3">
        <v>33573</v>
      </c>
      <c r="AA831" s="5" t="s">
        <v>50</v>
      </c>
      <c r="AB831" t="s">
        <v>47</v>
      </c>
      <c r="AC831" s="3">
        <v>33573</v>
      </c>
      <c r="AD831" s="5" t="s">
        <v>50</v>
      </c>
      <c r="AE831" t="s">
        <v>47</v>
      </c>
      <c r="AF831" t="s">
        <v>47</v>
      </c>
      <c r="AG831" t="s">
        <v>47</v>
      </c>
      <c r="AH831" t="s">
        <v>47</v>
      </c>
      <c r="AI831" t="s">
        <v>47</v>
      </c>
      <c r="AJ831" t="s">
        <v>47</v>
      </c>
      <c r="AK831" t="s">
        <v>47</v>
      </c>
      <c r="AL831" t="s">
        <v>47</v>
      </c>
      <c r="AM831" t="s">
        <v>47</v>
      </c>
      <c r="AN831" t="s">
        <v>47</v>
      </c>
      <c r="AO831" s="5" t="s">
        <v>60</v>
      </c>
      <c r="AP831" s="4" t="s">
        <v>61</v>
      </c>
      <c r="AQ831" s="4" t="s">
        <v>53</v>
      </c>
      <c r="AR831" s="4" t="s">
        <v>1072</v>
      </c>
      <c r="AS831" s="5">
        <v>49226</v>
      </c>
      <c r="AT831" t="s">
        <v>47</v>
      </c>
    </row>
    <row r="832" spans="1:46" ht="39" x14ac:dyDescent="0.3">
      <c r="A832" s="4" t="s">
        <v>3389</v>
      </c>
      <c r="B832" t="s">
        <v>47</v>
      </c>
      <c r="C832" s="4" t="s">
        <v>884</v>
      </c>
      <c r="D832" s="4" t="s">
        <v>885</v>
      </c>
      <c r="E832" s="4" t="s">
        <v>49</v>
      </c>
      <c r="F832" s="5" t="s">
        <v>3390</v>
      </c>
      <c r="G832" s="5" t="s">
        <v>3391</v>
      </c>
      <c r="H832" t="s">
        <v>47</v>
      </c>
      <c r="I832" s="3">
        <v>35490</v>
      </c>
      <c r="J832" s="5" t="s">
        <v>50</v>
      </c>
      <c r="K832" t="s">
        <v>47</v>
      </c>
      <c r="L832" s="5" t="s">
        <v>60</v>
      </c>
      <c r="M832" s="3">
        <v>35490</v>
      </c>
      <c r="N832" s="5" t="s">
        <v>50</v>
      </c>
      <c r="O832" t="s">
        <v>47</v>
      </c>
      <c r="P832" s="3">
        <v>35490</v>
      </c>
      <c r="Q832" s="5" t="s">
        <v>50</v>
      </c>
      <c r="R832" t="s">
        <v>47</v>
      </c>
      <c r="S832" t="s">
        <v>47</v>
      </c>
      <c r="T832" t="s">
        <v>47</v>
      </c>
      <c r="U832" t="s">
        <v>47</v>
      </c>
      <c r="V832" s="5">
        <v>365</v>
      </c>
      <c r="W832" s="3">
        <v>35490</v>
      </c>
      <c r="X832" s="5" t="s">
        <v>50</v>
      </c>
      <c r="Y832" t="s">
        <v>47</v>
      </c>
      <c r="Z832" s="3">
        <v>35490</v>
      </c>
      <c r="AA832" s="5" t="s">
        <v>50</v>
      </c>
      <c r="AB832" t="s">
        <v>47</v>
      </c>
      <c r="AC832" s="3">
        <v>35490</v>
      </c>
      <c r="AD832" s="5" t="s">
        <v>50</v>
      </c>
      <c r="AE832" t="s">
        <v>47</v>
      </c>
      <c r="AF832" t="s">
        <v>47</v>
      </c>
      <c r="AG832" t="s">
        <v>47</v>
      </c>
      <c r="AH832" t="s">
        <v>47</v>
      </c>
      <c r="AI832" t="s">
        <v>47</v>
      </c>
      <c r="AJ832" t="s">
        <v>47</v>
      </c>
      <c r="AK832" t="s">
        <v>47</v>
      </c>
      <c r="AL832" t="s">
        <v>47</v>
      </c>
      <c r="AM832" t="s">
        <v>47</v>
      </c>
      <c r="AN832" t="s">
        <v>47</v>
      </c>
      <c r="AO832" s="5" t="s">
        <v>60</v>
      </c>
      <c r="AP832" s="4" t="s">
        <v>61</v>
      </c>
      <c r="AQ832" s="4" t="s">
        <v>53</v>
      </c>
      <c r="AR832" s="4" t="s">
        <v>62</v>
      </c>
      <c r="AS832" s="5">
        <v>34426</v>
      </c>
      <c r="AT832" t="s">
        <v>47</v>
      </c>
    </row>
    <row r="833" spans="1:46" ht="39" x14ac:dyDescent="0.3">
      <c r="A833" s="4" t="s">
        <v>3392</v>
      </c>
      <c r="B833" t="s">
        <v>47</v>
      </c>
      <c r="C833" s="4" t="s">
        <v>64</v>
      </c>
      <c r="D833" s="4" t="s">
        <v>139</v>
      </c>
      <c r="E833" s="4" t="s">
        <v>66</v>
      </c>
      <c r="F833" s="5" t="s">
        <v>3393</v>
      </c>
      <c r="G833" s="5" t="s">
        <v>3394</v>
      </c>
      <c r="H833" t="s">
        <v>47</v>
      </c>
      <c r="I833" s="3">
        <v>36342</v>
      </c>
      <c r="J833" s="3">
        <v>39722</v>
      </c>
      <c r="K833" t="s">
        <v>47</v>
      </c>
      <c r="L833" s="5" t="s">
        <v>60</v>
      </c>
      <c r="M833" t="s">
        <v>47</v>
      </c>
      <c r="N833" t="s">
        <v>47</v>
      </c>
      <c r="O833" t="s">
        <v>47</v>
      </c>
      <c r="P833" s="3">
        <v>36342</v>
      </c>
      <c r="Q833" s="3">
        <v>39722</v>
      </c>
      <c r="R833" t="s">
        <v>47</v>
      </c>
      <c r="S833" t="s">
        <v>47</v>
      </c>
      <c r="T833" t="s">
        <v>47</v>
      </c>
      <c r="U833" t="s">
        <v>47</v>
      </c>
      <c r="V833" t="s">
        <v>47</v>
      </c>
      <c r="W833" s="3">
        <v>36342</v>
      </c>
      <c r="X833" s="3">
        <v>40817</v>
      </c>
      <c r="Y833" t="s">
        <v>47</v>
      </c>
      <c r="Z833" s="3">
        <v>36342</v>
      </c>
      <c r="AA833" s="3">
        <v>40817</v>
      </c>
      <c r="AB833" t="s">
        <v>47</v>
      </c>
      <c r="AC833" s="3">
        <v>36342</v>
      </c>
      <c r="AD833" s="3">
        <v>40817</v>
      </c>
      <c r="AE833" t="s">
        <v>47</v>
      </c>
      <c r="AF833" t="s">
        <v>47</v>
      </c>
      <c r="AG833" t="s">
        <v>47</v>
      </c>
      <c r="AH833" t="s">
        <v>47</v>
      </c>
      <c r="AI833" t="s">
        <v>47</v>
      </c>
      <c r="AJ833" t="s">
        <v>47</v>
      </c>
      <c r="AK833" t="s">
        <v>47</v>
      </c>
      <c r="AL833" t="s">
        <v>47</v>
      </c>
      <c r="AM833" t="s">
        <v>47</v>
      </c>
      <c r="AN833" t="s">
        <v>47</v>
      </c>
      <c r="AO833" s="5" t="s">
        <v>60</v>
      </c>
      <c r="AP833" s="4" t="s">
        <v>61</v>
      </c>
      <c r="AQ833" s="4" t="s">
        <v>53</v>
      </c>
      <c r="AR833" s="4" t="s">
        <v>62</v>
      </c>
      <c r="AS833" s="5">
        <v>42506</v>
      </c>
      <c r="AT833" t="s">
        <v>47</v>
      </c>
    </row>
    <row r="834" spans="1:46" ht="39" x14ac:dyDescent="0.3">
      <c r="A834" s="4" t="s">
        <v>3395</v>
      </c>
      <c r="B834" t="s">
        <v>47</v>
      </c>
      <c r="C834" s="4" t="s">
        <v>312</v>
      </c>
      <c r="D834" s="4" t="s">
        <v>313</v>
      </c>
      <c r="E834" s="4" t="s">
        <v>49</v>
      </c>
      <c r="F834" t="s">
        <v>47</v>
      </c>
      <c r="G834" s="5" t="s">
        <v>3396</v>
      </c>
      <c r="H834" t="s">
        <v>47</v>
      </c>
      <c r="I834" s="3">
        <v>40848</v>
      </c>
      <c r="J834" s="3">
        <v>43831</v>
      </c>
      <c r="K834" t="s">
        <v>47</v>
      </c>
      <c r="L834" s="5" t="s">
        <v>60</v>
      </c>
      <c r="M834" t="s">
        <v>47</v>
      </c>
      <c r="N834" t="s">
        <v>47</v>
      </c>
      <c r="O834" t="s">
        <v>47</v>
      </c>
      <c r="P834" s="3">
        <v>40848</v>
      </c>
      <c r="Q834" s="3">
        <v>43831</v>
      </c>
      <c r="R834" t="s">
        <v>47</v>
      </c>
      <c r="S834" t="s">
        <v>47</v>
      </c>
      <c r="T834" t="s">
        <v>47</v>
      </c>
      <c r="U834" t="s">
        <v>47</v>
      </c>
      <c r="V834" t="s">
        <v>47</v>
      </c>
      <c r="W834" s="3">
        <v>40848</v>
      </c>
      <c r="X834" s="3">
        <v>43831</v>
      </c>
      <c r="Y834" t="s">
        <v>47</v>
      </c>
      <c r="Z834" s="3">
        <v>40848</v>
      </c>
      <c r="AA834" s="3">
        <v>43831</v>
      </c>
      <c r="AB834" t="s">
        <v>47</v>
      </c>
      <c r="AC834" s="3">
        <v>40848</v>
      </c>
      <c r="AD834" s="3">
        <v>43831</v>
      </c>
      <c r="AE834" t="s">
        <v>47</v>
      </c>
      <c r="AF834" t="s">
        <v>47</v>
      </c>
      <c r="AG834" t="s">
        <v>47</v>
      </c>
      <c r="AH834" t="s">
        <v>47</v>
      </c>
      <c r="AI834" t="s">
        <v>47</v>
      </c>
      <c r="AJ834" t="s">
        <v>47</v>
      </c>
      <c r="AK834" t="s">
        <v>47</v>
      </c>
      <c r="AL834" t="s">
        <v>47</v>
      </c>
      <c r="AM834" t="s">
        <v>47</v>
      </c>
      <c r="AN834" t="s">
        <v>47</v>
      </c>
      <c r="AO834" s="5" t="s">
        <v>60</v>
      </c>
      <c r="AP834" s="4" t="s">
        <v>61</v>
      </c>
      <c r="AQ834" s="4" t="s">
        <v>53</v>
      </c>
      <c r="AR834" s="4" t="s">
        <v>62</v>
      </c>
      <c r="AS834" s="5">
        <v>2026890</v>
      </c>
      <c r="AT834" t="s">
        <v>47</v>
      </c>
    </row>
    <row r="835" spans="1:46" ht="39" x14ac:dyDescent="0.3">
      <c r="A835" s="4" t="s">
        <v>3397</v>
      </c>
      <c r="B835" t="s">
        <v>47</v>
      </c>
      <c r="C835" s="4" t="s">
        <v>312</v>
      </c>
      <c r="D835" s="4" t="s">
        <v>313</v>
      </c>
      <c r="E835" s="4" t="s">
        <v>49</v>
      </c>
      <c r="F835" s="5" t="s">
        <v>3398</v>
      </c>
      <c r="G835" t="s">
        <v>47</v>
      </c>
      <c r="H835" t="s">
        <v>47</v>
      </c>
      <c r="I835" s="3">
        <v>40087</v>
      </c>
      <c r="J835" s="3">
        <v>40817</v>
      </c>
      <c r="K835" t="s">
        <v>47</v>
      </c>
      <c r="L835" s="5" t="s">
        <v>60</v>
      </c>
      <c r="M835" s="3">
        <v>40087</v>
      </c>
      <c r="N835" s="3">
        <v>40817</v>
      </c>
      <c r="O835" t="s">
        <v>47</v>
      </c>
      <c r="P835" s="3">
        <v>40087</v>
      </c>
      <c r="Q835" s="3">
        <v>40817</v>
      </c>
      <c r="R835" t="s">
        <v>47</v>
      </c>
      <c r="S835" t="s">
        <v>47</v>
      </c>
      <c r="T835" t="s">
        <v>47</v>
      </c>
      <c r="U835" t="s">
        <v>47</v>
      </c>
      <c r="V835" t="s">
        <v>47</v>
      </c>
      <c r="W835" s="3">
        <v>40087</v>
      </c>
      <c r="X835" s="3">
        <v>40817</v>
      </c>
      <c r="Y835" t="s">
        <v>47</v>
      </c>
      <c r="Z835" s="3">
        <v>40087</v>
      </c>
      <c r="AA835" s="3">
        <v>40817</v>
      </c>
      <c r="AB835" t="s">
        <v>47</v>
      </c>
      <c r="AC835" s="3">
        <v>40087</v>
      </c>
      <c r="AD835" s="3">
        <v>40817</v>
      </c>
      <c r="AE835" t="s">
        <v>47</v>
      </c>
      <c r="AF835" t="s">
        <v>47</v>
      </c>
      <c r="AG835" t="s">
        <v>47</v>
      </c>
      <c r="AH835" t="s">
        <v>47</v>
      </c>
      <c r="AI835" t="s">
        <v>47</v>
      </c>
      <c r="AJ835" t="s">
        <v>47</v>
      </c>
      <c r="AK835" t="s">
        <v>47</v>
      </c>
      <c r="AL835" t="s">
        <v>47</v>
      </c>
      <c r="AM835" t="s">
        <v>47</v>
      </c>
      <c r="AN835" t="s">
        <v>47</v>
      </c>
      <c r="AO835" s="5" t="s">
        <v>60</v>
      </c>
      <c r="AP835" s="4" t="s">
        <v>61</v>
      </c>
      <c r="AQ835" s="4" t="s">
        <v>53</v>
      </c>
      <c r="AR835" s="4" t="s">
        <v>62</v>
      </c>
      <c r="AS835" s="5">
        <v>60280</v>
      </c>
      <c r="AT835" t="s">
        <v>47</v>
      </c>
    </row>
    <row r="836" spans="1:46" ht="39" x14ac:dyDescent="0.3">
      <c r="A836" s="4" t="s">
        <v>3399</v>
      </c>
      <c r="B836" t="s">
        <v>47</v>
      </c>
      <c r="C836" s="4" t="s">
        <v>169</v>
      </c>
      <c r="D836" s="4" t="s">
        <v>2925</v>
      </c>
      <c r="E836" s="4" t="s">
        <v>66</v>
      </c>
      <c r="F836" s="5" t="s">
        <v>3400</v>
      </c>
      <c r="G836" s="5" t="s">
        <v>3401</v>
      </c>
      <c r="H836" t="s">
        <v>47</v>
      </c>
      <c r="I836" s="3">
        <v>41275</v>
      </c>
      <c r="J836" s="3">
        <v>42644</v>
      </c>
      <c r="K836" t="s">
        <v>47</v>
      </c>
      <c r="L836" s="5" t="s">
        <v>60</v>
      </c>
      <c r="M836" t="s">
        <v>47</v>
      </c>
      <c r="N836" t="s">
        <v>47</v>
      </c>
      <c r="O836" t="s">
        <v>47</v>
      </c>
      <c r="P836" s="3">
        <v>41275</v>
      </c>
      <c r="Q836" s="3">
        <v>42644</v>
      </c>
      <c r="R836" t="s">
        <v>47</v>
      </c>
      <c r="S836" t="s">
        <v>47</v>
      </c>
      <c r="T836" t="s">
        <v>47</v>
      </c>
      <c r="U836" t="s">
        <v>47</v>
      </c>
      <c r="V836" t="s">
        <v>47</v>
      </c>
      <c r="W836" s="3">
        <v>41275</v>
      </c>
      <c r="X836" s="5" t="s">
        <v>50</v>
      </c>
      <c r="Y836" t="s">
        <v>47</v>
      </c>
      <c r="Z836" s="3">
        <v>41275</v>
      </c>
      <c r="AA836" s="5" t="s">
        <v>50</v>
      </c>
      <c r="AB836" t="s">
        <v>47</v>
      </c>
      <c r="AC836" s="3">
        <v>41275</v>
      </c>
      <c r="AD836" s="5" t="s">
        <v>50</v>
      </c>
      <c r="AE836" t="s">
        <v>47</v>
      </c>
      <c r="AF836" t="s">
        <v>47</v>
      </c>
      <c r="AG836" t="s">
        <v>47</v>
      </c>
      <c r="AH836" t="s">
        <v>47</v>
      </c>
      <c r="AI836" t="s">
        <v>47</v>
      </c>
      <c r="AJ836" t="s">
        <v>47</v>
      </c>
      <c r="AK836" t="s">
        <v>47</v>
      </c>
      <c r="AL836" t="s">
        <v>47</v>
      </c>
      <c r="AM836" t="s">
        <v>47</v>
      </c>
      <c r="AN836" t="s">
        <v>47</v>
      </c>
      <c r="AO836" s="5" t="s">
        <v>60</v>
      </c>
      <c r="AP836" s="4" t="s">
        <v>61</v>
      </c>
      <c r="AQ836" s="4" t="s">
        <v>53</v>
      </c>
      <c r="AR836" s="4" t="s">
        <v>62</v>
      </c>
      <c r="AS836" s="5">
        <v>2031334</v>
      </c>
      <c r="AT836" t="s">
        <v>47</v>
      </c>
    </row>
    <row r="837" spans="1:46" ht="91" x14ac:dyDescent="0.3">
      <c r="A837" s="4" t="s">
        <v>3402</v>
      </c>
      <c r="B837" t="s">
        <v>47</v>
      </c>
      <c r="C837" s="4" t="s">
        <v>747</v>
      </c>
      <c r="D837" s="4" t="s">
        <v>748</v>
      </c>
      <c r="E837" s="4" t="s">
        <v>66</v>
      </c>
      <c r="F837" s="5" t="s">
        <v>3403</v>
      </c>
      <c r="G837" s="5" t="s">
        <v>3404</v>
      </c>
      <c r="H837" t="s">
        <v>47</v>
      </c>
      <c r="I837" t="s">
        <v>47</v>
      </c>
      <c r="J837" t="s">
        <v>47</v>
      </c>
      <c r="K837" t="s">
        <v>47</v>
      </c>
      <c r="L837" s="5" t="s">
        <v>60</v>
      </c>
      <c r="M837" t="s">
        <v>47</v>
      </c>
      <c r="N837" t="s">
        <v>47</v>
      </c>
      <c r="O837" t="s">
        <v>47</v>
      </c>
      <c r="P837" t="s">
        <v>47</v>
      </c>
      <c r="Q837" t="s">
        <v>47</v>
      </c>
      <c r="R837" t="s">
        <v>47</v>
      </c>
      <c r="S837" t="s">
        <v>47</v>
      </c>
      <c r="T837" t="s">
        <v>47</v>
      </c>
      <c r="U837" t="s">
        <v>47</v>
      </c>
      <c r="V837" t="s">
        <v>47</v>
      </c>
      <c r="W837" s="3">
        <v>32143</v>
      </c>
      <c r="X837" s="3">
        <v>43070</v>
      </c>
      <c r="Y837" t="s">
        <v>47</v>
      </c>
      <c r="Z837" s="3">
        <v>32143</v>
      </c>
      <c r="AA837" s="3">
        <v>43070</v>
      </c>
      <c r="AB837" t="s">
        <v>47</v>
      </c>
      <c r="AC837" s="3">
        <v>32143</v>
      </c>
      <c r="AD837" s="3">
        <v>43070</v>
      </c>
      <c r="AE837" t="s">
        <v>47</v>
      </c>
      <c r="AF837" t="s">
        <v>47</v>
      </c>
      <c r="AG837" t="s">
        <v>47</v>
      </c>
      <c r="AH837" t="s">
        <v>47</v>
      </c>
      <c r="AI837" t="s">
        <v>47</v>
      </c>
      <c r="AJ837" t="s">
        <v>47</v>
      </c>
      <c r="AK837" t="s">
        <v>47</v>
      </c>
      <c r="AL837" t="s">
        <v>47</v>
      </c>
      <c r="AM837" t="s">
        <v>47</v>
      </c>
      <c r="AN837" t="s">
        <v>47</v>
      </c>
      <c r="AO837" s="5" t="s">
        <v>60</v>
      </c>
      <c r="AP837" s="4" t="s">
        <v>61</v>
      </c>
      <c r="AQ837" s="4" t="s">
        <v>53</v>
      </c>
      <c r="AR837" s="4" t="s">
        <v>3405</v>
      </c>
      <c r="AS837" s="5">
        <v>47293</v>
      </c>
      <c r="AT837" t="s">
        <v>47</v>
      </c>
    </row>
    <row r="838" spans="1:46" ht="26" x14ac:dyDescent="0.3">
      <c r="A838" s="4" t="s">
        <v>3406</v>
      </c>
      <c r="B838" t="s">
        <v>47</v>
      </c>
      <c r="C838" s="4" t="s">
        <v>3407</v>
      </c>
      <c r="D838" s="4" t="s">
        <v>3408</v>
      </c>
      <c r="E838" s="4" t="s">
        <v>49</v>
      </c>
      <c r="F838" s="5" t="s">
        <v>3409</v>
      </c>
      <c r="G838" t="s">
        <v>47</v>
      </c>
      <c r="H838" t="s">
        <v>47</v>
      </c>
      <c r="I838" s="3">
        <v>39722</v>
      </c>
      <c r="J838" s="3">
        <v>43101</v>
      </c>
      <c r="K838" t="s">
        <v>47</v>
      </c>
      <c r="L838" s="5" t="s">
        <v>60</v>
      </c>
      <c r="M838" s="3">
        <v>39722</v>
      </c>
      <c r="N838" s="3">
        <v>43101</v>
      </c>
      <c r="O838" t="s">
        <v>47</v>
      </c>
      <c r="P838" s="3">
        <v>39722</v>
      </c>
      <c r="Q838" s="3">
        <v>43101</v>
      </c>
      <c r="R838" t="s">
        <v>47</v>
      </c>
      <c r="S838" t="s">
        <v>47</v>
      </c>
      <c r="T838" t="s">
        <v>47</v>
      </c>
      <c r="U838" t="s">
        <v>47</v>
      </c>
      <c r="V838" t="s">
        <v>47</v>
      </c>
      <c r="W838" s="3">
        <v>39722</v>
      </c>
      <c r="X838" s="3">
        <v>43101</v>
      </c>
      <c r="Y838" t="s">
        <v>47</v>
      </c>
      <c r="Z838" s="3">
        <v>39722</v>
      </c>
      <c r="AA838" s="3">
        <v>43101</v>
      </c>
      <c r="AB838" t="s">
        <v>47</v>
      </c>
      <c r="AC838" s="3">
        <v>39722</v>
      </c>
      <c r="AD838" s="3">
        <v>43101</v>
      </c>
      <c r="AE838" t="s">
        <v>47</v>
      </c>
      <c r="AF838" t="s">
        <v>47</v>
      </c>
      <c r="AG838" t="s">
        <v>47</v>
      </c>
      <c r="AH838" t="s">
        <v>47</v>
      </c>
      <c r="AI838" t="s">
        <v>47</v>
      </c>
      <c r="AJ838" t="s">
        <v>47</v>
      </c>
      <c r="AK838" t="s">
        <v>47</v>
      </c>
      <c r="AL838" t="s">
        <v>47</v>
      </c>
      <c r="AM838" t="s">
        <v>47</v>
      </c>
      <c r="AN838" t="s">
        <v>47</v>
      </c>
      <c r="AO838" s="5" t="s">
        <v>60</v>
      </c>
      <c r="AP838" s="4" t="s">
        <v>61</v>
      </c>
      <c r="AQ838" s="4" t="s">
        <v>53</v>
      </c>
      <c r="AR838" s="4" t="s">
        <v>54</v>
      </c>
      <c r="AS838" s="5">
        <v>53167</v>
      </c>
      <c r="AT838" t="s">
        <v>47</v>
      </c>
    </row>
    <row r="839" spans="1:46" ht="91" x14ac:dyDescent="0.3">
      <c r="A839" s="4" t="s">
        <v>3410</v>
      </c>
      <c r="B839" t="s">
        <v>47</v>
      </c>
      <c r="C839" s="4" t="s">
        <v>122</v>
      </c>
      <c r="D839" s="4" t="s">
        <v>70</v>
      </c>
      <c r="E839" s="4" t="s">
        <v>123</v>
      </c>
      <c r="F839" s="5" t="s">
        <v>3411</v>
      </c>
      <c r="G839" s="5" t="s">
        <v>3412</v>
      </c>
      <c r="H839" t="s">
        <v>47</v>
      </c>
      <c r="I839" s="3">
        <v>33270</v>
      </c>
      <c r="J839" s="5" t="s">
        <v>50</v>
      </c>
      <c r="K839" t="s">
        <v>47</v>
      </c>
      <c r="L839" s="5" t="s">
        <v>60</v>
      </c>
      <c r="M839" s="3">
        <v>34790</v>
      </c>
      <c r="N839" s="3">
        <v>42887</v>
      </c>
      <c r="O839" t="s">
        <v>47</v>
      </c>
      <c r="P839" s="3">
        <v>33270</v>
      </c>
      <c r="Q839" s="5" t="s">
        <v>50</v>
      </c>
      <c r="R839" t="s">
        <v>47</v>
      </c>
      <c r="S839" t="s">
        <v>47</v>
      </c>
      <c r="T839" t="s">
        <v>47</v>
      </c>
      <c r="U839" t="s">
        <v>47</v>
      </c>
      <c r="V839" s="5">
        <v>365</v>
      </c>
      <c r="W839" s="3">
        <v>31778</v>
      </c>
      <c r="X839" s="5" t="s">
        <v>50</v>
      </c>
      <c r="Y839" t="s">
        <v>47</v>
      </c>
      <c r="Z839" s="3">
        <v>31778</v>
      </c>
      <c r="AA839" s="5" t="s">
        <v>50</v>
      </c>
      <c r="AB839" t="s">
        <v>47</v>
      </c>
      <c r="AC839" s="3">
        <v>31778</v>
      </c>
      <c r="AD839" s="5" t="s">
        <v>50</v>
      </c>
      <c r="AE839" t="s">
        <v>47</v>
      </c>
      <c r="AF839" t="s">
        <v>47</v>
      </c>
      <c r="AG839" t="s">
        <v>47</v>
      </c>
      <c r="AH839" t="s">
        <v>47</v>
      </c>
      <c r="AI839" t="s">
        <v>47</v>
      </c>
      <c r="AJ839" t="s">
        <v>47</v>
      </c>
      <c r="AK839" t="s">
        <v>47</v>
      </c>
      <c r="AL839" t="s">
        <v>47</v>
      </c>
      <c r="AM839" t="s">
        <v>47</v>
      </c>
      <c r="AN839" t="s">
        <v>47</v>
      </c>
      <c r="AO839" s="5" t="s">
        <v>60</v>
      </c>
      <c r="AP839" s="4" t="s">
        <v>61</v>
      </c>
      <c r="AQ839" s="4" t="s">
        <v>53</v>
      </c>
      <c r="AR839" s="4" t="s">
        <v>3413</v>
      </c>
      <c r="AS839" s="5">
        <v>48530</v>
      </c>
      <c r="AT839" t="s">
        <v>47</v>
      </c>
    </row>
    <row r="840" spans="1:46" ht="91" x14ac:dyDescent="0.3">
      <c r="A840" s="4" t="s">
        <v>3414</v>
      </c>
      <c r="B840" t="s">
        <v>47</v>
      </c>
      <c r="C840" s="4" t="s">
        <v>93</v>
      </c>
      <c r="D840" s="4" t="s">
        <v>748</v>
      </c>
      <c r="E840" s="4" t="s">
        <v>49</v>
      </c>
      <c r="F840" s="5" t="s">
        <v>3415</v>
      </c>
      <c r="G840" s="5" t="s">
        <v>3416</v>
      </c>
      <c r="H840" t="s">
        <v>47</v>
      </c>
      <c r="I840" t="s">
        <v>47</v>
      </c>
      <c r="J840" t="s">
        <v>47</v>
      </c>
      <c r="K840" t="s">
        <v>47</v>
      </c>
      <c r="L840" s="5" t="s">
        <v>60</v>
      </c>
      <c r="M840" t="s">
        <v>47</v>
      </c>
      <c r="N840" t="s">
        <v>47</v>
      </c>
      <c r="O840" t="s">
        <v>47</v>
      </c>
      <c r="P840" t="s">
        <v>47</v>
      </c>
      <c r="Q840" t="s">
        <v>47</v>
      </c>
      <c r="R840" t="s">
        <v>47</v>
      </c>
      <c r="S840" t="s">
        <v>47</v>
      </c>
      <c r="T840" t="s">
        <v>47</v>
      </c>
      <c r="U840" t="s">
        <v>47</v>
      </c>
      <c r="V840" t="s">
        <v>47</v>
      </c>
      <c r="W840" s="3">
        <v>36130</v>
      </c>
      <c r="X840" s="5" t="s">
        <v>50</v>
      </c>
      <c r="Y840" s="5" t="s">
        <v>3417</v>
      </c>
      <c r="Z840" s="3">
        <v>36130</v>
      </c>
      <c r="AA840" s="5" t="s">
        <v>50</v>
      </c>
      <c r="AB840" s="5" t="s">
        <v>3417</v>
      </c>
      <c r="AC840" s="3">
        <v>40210</v>
      </c>
      <c r="AD840" s="5" t="s">
        <v>50</v>
      </c>
      <c r="AE840" t="s">
        <v>47</v>
      </c>
      <c r="AF840" t="s">
        <v>47</v>
      </c>
      <c r="AG840" t="s">
        <v>47</v>
      </c>
      <c r="AH840" t="s">
        <v>47</v>
      </c>
      <c r="AI840" t="s">
        <v>47</v>
      </c>
      <c r="AJ840" t="s">
        <v>47</v>
      </c>
      <c r="AK840" t="s">
        <v>47</v>
      </c>
      <c r="AL840" t="s">
        <v>47</v>
      </c>
      <c r="AM840" t="s">
        <v>47</v>
      </c>
      <c r="AN840" t="s">
        <v>47</v>
      </c>
      <c r="AO840" s="5" t="s">
        <v>60</v>
      </c>
      <c r="AP840" s="4" t="s">
        <v>61</v>
      </c>
      <c r="AQ840" s="4" t="s">
        <v>53</v>
      </c>
      <c r="AR840" s="4" t="s">
        <v>2513</v>
      </c>
      <c r="AS840" s="5">
        <v>37794</v>
      </c>
      <c r="AT840" t="s">
        <v>47</v>
      </c>
    </row>
    <row r="841" spans="1:46" ht="117" x14ac:dyDescent="0.3">
      <c r="A841" s="4" t="s">
        <v>3418</v>
      </c>
      <c r="B841" t="s">
        <v>47</v>
      </c>
      <c r="C841" s="4" t="s">
        <v>122</v>
      </c>
      <c r="D841" s="4" t="s">
        <v>575</v>
      </c>
      <c r="E841" s="4" t="s">
        <v>123</v>
      </c>
      <c r="F841" s="5" t="s">
        <v>3419</v>
      </c>
      <c r="G841" s="5" t="s">
        <v>3420</v>
      </c>
      <c r="H841" t="s">
        <v>47</v>
      </c>
      <c r="I841" s="3">
        <v>41699</v>
      </c>
      <c r="J841" s="5" t="s">
        <v>50</v>
      </c>
      <c r="K841" t="s">
        <v>47</v>
      </c>
      <c r="L841" s="5" t="s">
        <v>60</v>
      </c>
      <c r="M841" s="3">
        <v>41699</v>
      </c>
      <c r="N841" s="5" t="s">
        <v>50</v>
      </c>
      <c r="O841" t="s">
        <v>47</v>
      </c>
      <c r="P841" s="3">
        <v>41699</v>
      </c>
      <c r="Q841" s="5" t="s">
        <v>50</v>
      </c>
      <c r="R841" t="s">
        <v>47</v>
      </c>
      <c r="S841" t="s">
        <v>47</v>
      </c>
      <c r="T841" t="s">
        <v>47</v>
      </c>
      <c r="U841" t="s">
        <v>47</v>
      </c>
      <c r="V841" s="5">
        <v>365</v>
      </c>
      <c r="W841" s="3">
        <v>41699</v>
      </c>
      <c r="X841" s="5" t="s">
        <v>50</v>
      </c>
      <c r="Y841" t="s">
        <v>47</v>
      </c>
      <c r="Z841" s="3">
        <v>41699</v>
      </c>
      <c r="AA841" s="5" t="s">
        <v>50</v>
      </c>
      <c r="AB841" t="s">
        <v>47</v>
      </c>
      <c r="AC841" s="3">
        <v>41699</v>
      </c>
      <c r="AD841" s="5" t="s">
        <v>50</v>
      </c>
      <c r="AE841" t="s">
        <v>47</v>
      </c>
      <c r="AF841" t="s">
        <v>47</v>
      </c>
      <c r="AG841" t="s">
        <v>47</v>
      </c>
      <c r="AH841" t="s">
        <v>47</v>
      </c>
      <c r="AI841" t="s">
        <v>47</v>
      </c>
      <c r="AJ841" t="s">
        <v>47</v>
      </c>
      <c r="AK841" t="s">
        <v>47</v>
      </c>
      <c r="AL841" t="s">
        <v>47</v>
      </c>
      <c r="AM841" t="s">
        <v>47</v>
      </c>
      <c r="AN841" t="s">
        <v>47</v>
      </c>
      <c r="AO841" s="5" t="s">
        <v>60</v>
      </c>
      <c r="AP841" s="4" t="s">
        <v>61</v>
      </c>
      <c r="AQ841" s="4" t="s">
        <v>53</v>
      </c>
      <c r="AR841" s="4" t="s">
        <v>1581</v>
      </c>
      <c r="AS841" s="5">
        <v>2044305</v>
      </c>
      <c r="AT841" t="s">
        <v>47</v>
      </c>
    </row>
    <row r="842" spans="1:46" ht="91" x14ac:dyDescent="0.3">
      <c r="A842" s="4" t="s">
        <v>3421</v>
      </c>
      <c r="B842" t="s">
        <v>47</v>
      </c>
      <c r="C842" s="4" t="s">
        <v>2995</v>
      </c>
      <c r="D842" s="4" t="s">
        <v>597</v>
      </c>
      <c r="E842" s="4" t="s">
        <v>49</v>
      </c>
      <c r="F842" s="5" t="s">
        <v>3422</v>
      </c>
      <c r="G842" s="5" t="s">
        <v>3423</v>
      </c>
      <c r="H842" t="s">
        <v>47</v>
      </c>
      <c r="I842" s="3">
        <v>38261</v>
      </c>
      <c r="J842" s="3">
        <v>39722</v>
      </c>
      <c r="K842" t="s">
        <v>47</v>
      </c>
      <c r="L842" s="5" t="s">
        <v>60</v>
      </c>
      <c r="M842" s="3">
        <v>38261</v>
      </c>
      <c r="N842" s="3">
        <v>39722</v>
      </c>
      <c r="O842" t="s">
        <v>47</v>
      </c>
      <c r="P842" s="3">
        <v>38261</v>
      </c>
      <c r="Q842" s="3">
        <v>39722</v>
      </c>
      <c r="R842" t="s">
        <v>47</v>
      </c>
      <c r="S842" t="s">
        <v>47</v>
      </c>
      <c r="T842" t="s">
        <v>47</v>
      </c>
      <c r="U842" t="s">
        <v>47</v>
      </c>
      <c r="V842" t="s">
        <v>47</v>
      </c>
      <c r="W842" s="3">
        <v>38261</v>
      </c>
      <c r="X842" s="5" t="s">
        <v>50</v>
      </c>
      <c r="Y842" t="s">
        <v>47</v>
      </c>
      <c r="Z842" s="3">
        <v>38261</v>
      </c>
      <c r="AA842" s="5" t="s">
        <v>50</v>
      </c>
      <c r="AB842" t="s">
        <v>47</v>
      </c>
      <c r="AC842" s="3">
        <v>38261</v>
      </c>
      <c r="AD842" s="5" t="s">
        <v>50</v>
      </c>
      <c r="AE842" t="s">
        <v>47</v>
      </c>
      <c r="AF842" t="s">
        <v>47</v>
      </c>
      <c r="AG842" t="s">
        <v>47</v>
      </c>
      <c r="AH842" t="s">
        <v>47</v>
      </c>
      <c r="AI842" t="s">
        <v>47</v>
      </c>
      <c r="AJ842" t="s">
        <v>47</v>
      </c>
      <c r="AK842" t="s">
        <v>47</v>
      </c>
      <c r="AL842" t="s">
        <v>47</v>
      </c>
      <c r="AM842" t="s">
        <v>47</v>
      </c>
      <c r="AN842" t="s">
        <v>47</v>
      </c>
      <c r="AO842" s="5" t="s">
        <v>60</v>
      </c>
      <c r="AP842" s="4" t="s">
        <v>61</v>
      </c>
      <c r="AQ842" s="4" t="s">
        <v>53</v>
      </c>
      <c r="AR842" s="4" t="s">
        <v>3424</v>
      </c>
      <c r="AS842" s="5">
        <v>23124</v>
      </c>
      <c r="AT842" t="s">
        <v>47</v>
      </c>
    </row>
    <row r="843" spans="1:46" ht="78" x14ac:dyDescent="0.3">
      <c r="A843" s="4" t="s">
        <v>3425</v>
      </c>
      <c r="B843" t="s">
        <v>47</v>
      </c>
      <c r="C843" s="4" t="s">
        <v>122</v>
      </c>
      <c r="D843" s="4" t="s">
        <v>206</v>
      </c>
      <c r="E843" s="4" t="s">
        <v>123</v>
      </c>
      <c r="F843" s="5" t="s">
        <v>3426</v>
      </c>
      <c r="G843" s="5" t="s">
        <v>3427</v>
      </c>
      <c r="H843" t="s">
        <v>47</v>
      </c>
      <c r="I843" s="3">
        <v>35521</v>
      </c>
      <c r="J843" s="5" t="s">
        <v>50</v>
      </c>
      <c r="K843" t="s">
        <v>47</v>
      </c>
      <c r="L843" s="5" t="s">
        <v>60</v>
      </c>
      <c r="M843" s="3">
        <v>38078</v>
      </c>
      <c r="N843" s="3">
        <v>42826</v>
      </c>
      <c r="O843" t="s">
        <v>47</v>
      </c>
      <c r="P843" s="3">
        <v>35521</v>
      </c>
      <c r="Q843" s="5" t="s">
        <v>50</v>
      </c>
      <c r="R843" t="s">
        <v>47</v>
      </c>
      <c r="S843" t="s">
        <v>47</v>
      </c>
      <c r="T843" t="s">
        <v>47</v>
      </c>
      <c r="U843" t="s">
        <v>47</v>
      </c>
      <c r="V843" s="5">
        <v>365</v>
      </c>
      <c r="W843" s="3">
        <v>35521</v>
      </c>
      <c r="X843" s="5" t="s">
        <v>50</v>
      </c>
      <c r="Y843" t="s">
        <v>47</v>
      </c>
      <c r="Z843" s="3">
        <v>35521</v>
      </c>
      <c r="AA843" s="5" t="s">
        <v>50</v>
      </c>
      <c r="AB843" t="s">
        <v>47</v>
      </c>
      <c r="AC843" s="3">
        <v>35521</v>
      </c>
      <c r="AD843" s="5" t="s">
        <v>50</v>
      </c>
      <c r="AE843" t="s">
        <v>47</v>
      </c>
      <c r="AF843" t="s">
        <v>47</v>
      </c>
      <c r="AG843" t="s">
        <v>47</v>
      </c>
      <c r="AH843" t="s">
        <v>47</v>
      </c>
      <c r="AI843" t="s">
        <v>47</v>
      </c>
      <c r="AJ843" t="s">
        <v>47</v>
      </c>
      <c r="AK843" t="s">
        <v>47</v>
      </c>
      <c r="AL843" t="s">
        <v>47</v>
      </c>
      <c r="AM843" t="s">
        <v>47</v>
      </c>
      <c r="AN843" t="s">
        <v>47</v>
      </c>
      <c r="AO843" s="5" t="s">
        <v>60</v>
      </c>
      <c r="AP843" s="4" t="s">
        <v>61</v>
      </c>
      <c r="AQ843" s="4" t="s">
        <v>53</v>
      </c>
      <c r="AR843" s="4" t="s">
        <v>3428</v>
      </c>
      <c r="AS843" s="5">
        <v>54488</v>
      </c>
      <c r="AT843" t="s">
        <v>47</v>
      </c>
    </row>
    <row r="844" spans="1:46" ht="130" x14ac:dyDescent="0.3">
      <c r="A844" s="4" t="s">
        <v>3429</v>
      </c>
      <c r="B844" t="s">
        <v>47</v>
      </c>
      <c r="C844" s="4" t="s">
        <v>183</v>
      </c>
      <c r="D844" s="4" t="s">
        <v>1297</v>
      </c>
      <c r="E844" s="4" t="s">
        <v>49</v>
      </c>
      <c r="F844" s="5" t="s">
        <v>3430</v>
      </c>
      <c r="G844" s="5" t="s">
        <v>3431</v>
      </c>
      <c r="H844" t="s">
        <v>47</v>
      </c>
      <c r="I844" s="3">
        <v>31472</v>
      </c>
      <c r="J844" s="3">
        <v>34669</v>
      </c>
      <c r="K844" t="s">
        <v>47</v>
      </c>
      <c r="L844" s="5" t="s">
        <v>60</v>
      </c>
      <c r="M844" t="s">
        <v>47</v>
      </c>
      <c r="N844" t="s">
        <v>47</v>
      </c>
      <c r="O844" t="s">
        <v>47</v>
      </c>
      <c r="P844" s="3">
        <v>31472</v>
      </c>
      <c r="Q844" s="3">
        <v>34669</v>
      </c>
      <c r="R844" t="s">
        <v>47</v>
      </c>
      <c r="S844" t="s">
        <v>47</v>
      </c>
      <c r="T844" t="s">
        <v>47</v>
      </c>
      <c r="U844" t="s">
        <v>47</v>
      </c>
      <c r="V844" t="s">
        <v>47</v>
      </c>
      <c r="W844" s="3">
        <v>31472</v>
      </c>
      <c r="X844" s="3">
        <v>34669</v>
      </c>
      <c r="Y844" t="s">
        <v>47</v>
      </c>
      <c r="Z844" s="3">
        <v>31472</v>
      </c>
      <c r="AA844" s="3">
        <v>34669</v>
      </c>
      <c r="AB844" t="s">
        <v>47</v>
      </c>
      <c r="AC844" s="3">
        <v>31472</v>
      </c>
      <c r="AD844" s="3">
        <v>34669</v>
      </c>
      <c r="AE844" t="s">
        <v>47</v>
      </c>
      <c r="AF844" t="s">
        <v>47</v>
      </c>
      <c r="AG844" t="s">
        <v>47</v>
      </c>
      <c r="AH844" t="s">
        <v>47</v>
      </c>
      <c r="AI844" t="s">
        <v>47</v>
      </c>
      <c r="AJ844" t="s">
        <v>47</v>
      </c>
      <c r="AK844" t="s">
        <v>47</v>
      </c>
      <c r="AL844" t="s">
        <v>47</v>
      </c>
      <c r="AM844" t="s">
        <v>47</v>
      </c>
      <c r="AN844" t="s">
        <v>47</v>
      </c>
      <c r="AO844" s="5" t="s">
        <v>60</v>
      </c>
      <c r="AP844" s="4" t="s">
        <v>61</v>
      </c>
      <c r="AQ844" s="4" t="s">
        <v>53</v>
      </c>
      <c r="AR844" s="4" t="s">
        <v>3432</v>
      </c>
      <c r="AS844" s="5">
        <v>34887</v>
      </c>
      <c r="AT844" t="s">
        <v>47</v>
      </c>
    </row>
    <row r="845" spans="1:46" ht="130" x14ac:dyDescent="0.3">
      <c r="A845" s="4" t="s">
        <v>3433</v>
      </c>
      <c r="B845" t="s">
        <v>47</v>
      </c>
      <c r="C845" s="4" t="s">
        <v>183</v>
      </c>
      <c r="D845" s="4" t="s">
        <v>1297</v>
      </c>
      <c r="E845" s="4" t="s">
        <v>49</v>
      </c>
      <c r="F845" s="5" t="s">
        <v>3430</v>
      </c>
      <c r="G845" s="5" t="s">
        <v>3431</v>
      </c>
      <c r="H845" t="s">
        <v>47</v>
      </c>
      <c r="I845" s="3">
        <v>20821</v>
      </c>
      <c r="J845" s="3">
        <v>31382</v>
      </c>
      <c r="K845" t="s">
        <v>47</v>
      </c>
      <c r="L845" s="5" t="s">
        <v>60</v>
      </c>
      <c r="M845" t="s">
        <v>47</v>
      </c>
      <c r="N845" t="s">
        <v>47</v>
      </c>
      <c r="O845" t="s">
        <v>47</v>
      </c>
      <c r="P845" s="3">
        <v>20821</v>
      </c>
      <c r="Q845" s="3">
        <v>31382</v>
      </c>
      <c r="R845" t="s">
        <v>47</v>
      </c>
      <c r="S845" t="s">
        <v>47</v>
      </c>
      <c r="T845" t="s">
        <v>47</v>
      </c>
      <c r="U845" t="s">
        <v>47</v>
      </c>
      <c r="V845" t="s">
        <v>47</v>
      </c>
      <c r="W845" s="3">
        <v>20821</v>
      </c>
      <c r="X845" s="3">
        <v>31382</v>
      </c>
      <c r="Y845" t="s">
        <v>47</v>
      </c>
      <c r="Z845" s="3">
        <v>20821</v>
      </c>
      <c r="AA845" s="3">
        <v>31382</v>
      </c>
      <c r="AB845" t="s">
        <v>47</v>
      </c>
      <c r="AC845" s="3">
        <v>20880</v>
      </c>
      <c r="AD845" s="3">
        <v>31382</v>
      </c>
      <c r="AE845" t="s">
        <v>47</v>
      </c>
      <c r="AF845" t="s">
        <v>47</v>
      </c>
      <c r="AG845" t="s">
        <v>47</v>
      </c>
      <c r="AH845" t="s">
        <v>47</v>
      </c>
      <c r="AI845" t="s">
        <v>47</v>
      </c>
      <c r="AJ845" t="s">
        <v>47</v>
      </c>
      <c r="AK845" t="s">
        <v>47</v>
      </c>
      <c r="AL845" t="s">
        <v>47</v>
      </c>
      <c r="AM845" t="s">
        <v>47</v>
      </c>
      <c r="AN845" t="s">
        <v>47</v>
      </c>
      <c r="AO845" s="5" t="s">
        <v>60</v>
      </c>
      <c r="AP845" s="4" t="s">
        <v>61</v>
      </c>
      <c r="AQ845" s="4" t="s">
        <v>53</v>
      </c>
      <c r="AR845" s="4" t="s">
        <v>3432</v>
      </c>
      <c r="AS845" s="5">
        <v>34886</v>
      </c>
      <c r="AT845" t="s">
        <v>47</v>
      </c>
    </row>
    <row r="846" spans="1:46" ht="130" x14ac:dyDescent="0.3">
      <c r="A846" s="4" t="s">
        <v>3434</v>
      </c>
      <c r="B846" t="s">
        <v>47</v>
      </c>
      <c r="C846" s="4" t="s">
        <v>183</v>
      </c>
      <c r="D846" s="4" t="s">
        <v>1297</v>
      </c>
      <c r="E846" s="4" t="s">
        <v>49</v>
      </c>
      <c r="F846" s="5" t="s">
        <v>3430</v>
      </c>
      <c r="G846" s="5" t="s">
        <v>3431</v>
      </c>
      <c r="H846" t="s">
        <v>47</v>
      </c>
      <c r="I846" s="3">
        <v>34943</v>
      </c>
      <c r="J846" s="3">
        <v>39417</v>
      </c>
      <c r="K846" t="s">
        <v>47</v>
      </c>
      <c r="L846" s="5" t="s">
        <v>60</v>
      </c>
      <c r="M846" s="3">
        <v>35462</v>
      </c>
      <c r="N846" s="3">
        <v>39417</v>
      </c>
      <c r="O846" t="s">
        <v>47</v>
      </c>
      <c r="P846" s="3">
        <v>34943</v>
      </c>
      <c r="Q846" s="3">
        <v>39417</v>
      </c>
      <c r="R846" t="s">
        <v>47</v>
      </c>
      <c r="S846" t="s">
        <v>47</v>
      </c>
      <c r="T846" t="s">
        <v>47</v>
      </c>
      <c r="U846" t="s">
        <v>47</v>
      </c>
      <c r="V846" t="s">
        <v>47</v>
      </c>
      <c r="W846" s="3">
        <v>32568</v>
      </c>
      <c r="X846" s="5" t="s">
        <v>50</v>
      </c>
      <c r="Y846" t="s">
        <v>47</v>
      </c>
      <c r="Z846" s="3">
        <v>32568</v>
      </c>
      <c r="AA846" s="5" t="s">
        <v>50</v>
      </c>
      <c r="AB846" t="s">
        <v>47</v>
      </c>
      <c r="AC846" s="3">
        <v>32568</v>
      </c>
      <c r="AD846" s="5" t="s">
        <v>50</v>
      </c>
      <c r="AE846" t="s">
        <v>47</v>
      </c>
      <c r="AF846" t="s">
        <v>47</v>
      </c>
      <c r="AG846" t="s">
        <v>47</v>
      </c>
      <c r="AH846" t="s">
        <v>47</v>
      </c>
      <c r="AI846" t="s">
        <v>47</v>
      </c>
      <c r="AJ846" t="s">
        <v>47</v>
      </c>
      <c r="AK846" t="s">
        <v>47</v>
      </c>
      <c r="AL846" t="s">
        <v>47</v>
      </c>
      <c r="AM846" t="s">
        <v>47</v>
      </c>
      <c r="AN846" t="s">
        <v>47</v>
      </c>
      <c r="AO846" s="5" t="s">
        <v>60</v>
      </c>
      <c r="AP846" s="4" t="s">
        <v>61</v>
      </c>
      <c r="AQ846" s="4" t="s">
        <v>53</v>
      </c>
      <c r="AR846" s="4" t="s">
        <v>3432</v>
      </c>
      <c r="AS846" s="5">
        <v>2004</v>
      </c>
      <c r="AT846" t="s">
        <v>47</v>
      </c>
    </row>
    <row r="847" spans="1:46" ht="78" x14ac:dyDescent="0.3">
      <c r="A847" s="4" t="s">
        <v>3435</v>
      </c>
      <c r="B847" t="s">
        <v>47</v>
      </c>
      <c r="C847" s="4" t="s">
        <v>200</v>
      </c>
      <c r="D847" s="4" t="s">
        <v>3095</v>
      </c>
      <c r="E847" s="4" t="s">
        <v>66</v>
      </c>
      <c r="F847" s="5" t="s">
        <v>3436</v>
      </c>
      <c r="G847" s="5" t="s">
        <v>3437</v>
      </c>
      <c r="H847" t="s">
        <v>47</v>
      </c>
      <c r="I847" s="3">
        <v>32112</v>
      </c>
      <c r="J847" s="3">
        <v>40087</v>
      </c>
      <c r="K847" t="s">
        <v>47</v>
      </c>
      <c r="L847" s="5" t="s">
        <v>60</v>
      </c>
      <c r="M847" s="3">
        <v>33786</v>
      </c>
      <c r="N847" s="3">
        <v>40087</v>
      </c>
      <c r="O847" t="s">
        <v>47</v>
      </c>
      <c r="P847" s="3">
        <v>32112</v>
      </c>
      <c r="Q847" s="3">
        <v>40087</v>
      </c>
      <c r="R847" t="s">
        <v>47</v>
      </c>
      <c r="S847" t="s">
        <v>47</v>
      </c>
      <c r="T847" t="s">
        <v>47</v>
      </c>
      <c r="U847" t="s">
        <v>47</v>
      </c>
      <c r="V847" t="s">
        <v>47</v>
      </c>
      <c r="W847" s="3">
        <v>26634</v>
      </c>
      <c r="X847" s="5" t="s">
        <v>50</v>
      </c>
      <c r="Y847" s="5" t="s">
        <v>3438</v>
      </c>
      <c r="Z847" s="3">
        <v>26634</v>
      </c>
      <c r="AA847" s="5" t="s">
        <v>50</v>
      </c>
      <c r="AB847" s="5" t="s">
        <v>3438</v>
      </c>
      <c r="AC847" s="3">
        <v>26634</v>
      </c>
      <c r="AD847" s="5" t="s">
        <v>50</v>
      </c>
      <c r="AE847" s="5" t="s">
        <v>3438</v>
      </c>
      <c r="AF847" t="s">
        <v>47</v>
      </c>
      <c r="AG847" t="s">
        <v>47</v>
      </c>
      <c r="AH847" t="s">
        <v>47</v>
      </c>
      <c r="AI847" t="s">
        <v>47</v>
      </c>
      <c r="AJ847" t="s">
        <v>47</v>
      </c>
      <c r="AK847" t="s">
        <v>47</v>
      </c>
      <c r="AL847" t="s">
        <v>47</v>
      </c>
      <c r="AM847" t="s">
        <v>47</v>
      </c>
      <c r="AN847" t="s">
        <v>47</v>
      </c>
      <c r="AO847" s="5" t="s">
        <v>60</v>
      </c>
      <c r="AP847" s="4" t="s">
        <v>61</v>
      </c>
      <c r="AQ847" s="4" t="s">
        <v>53</v>
      </c>
      <c r="AR847" s="4" t="s">
        <v>3439</v>
      </c>
      <c r="AS847" s="5">
        <v>35935</v>
      </c>
      <c r="AT847" t="s">
        <v>47</v>
      </c>
    </row>
    <row r="848" spans="1:46" ht="91" x14ac:dyDescent="0.3">
      <c r="A848" s="4" t="s">
        <v>3440</v>
      </c>
      <c r="B848" t="s">
        <v>47</v>
      </c>
      <c r="C848" s="4" t="s">
        <v>3441</v>
      </c>
      <c r="D848" s="4" t="s">
        <v>3442</v>
      </c>
      <c r="E848" s="4" t="s">
        <v>49</v>
      </c>
      <c r="F848" s="5" t="s">
        <v>3443</v>
      </c>
      <c r="G848" t="s">
        <v>47</v>
      </c>
      <c r="H848" t="s">
        <v>47</v>
      </c>
      <c r="I848" s="3">
        <v>40179</v>
      </c>
      <c r="J848" s="3">
        <v>43556</v>
      </c>
      <c r="K848" t="s">
        <v>47</v>
      </c>
      <c r="L848" s="5" t="s">
        <v>60</v>
      </c>
      <c r="M848" s="3">
        <v>40179</v>
      </c>
      <c r="N848" s="3">
        <v>43556</v>
      </c>
      <c r="O848" t="s">
        <v>47</v>
      </c>
      <c r="P848" s="3">
        <v>40179</v>
      </c>
      <c r="Q848" s="3">
        <v>43556</v>
      </c>
      <c r="R848" t="s">
        <v>47</v>
      </c>
      <c r="S848" t="s">
        <v>47</v>
      </c>
      <c r="T848" t="s">
        <v>47</v>
      </c>
      <c r="U848" t="s">
        <v>47</v>
      </c>
      <c r="V848" t="s">
        <v>47</v>
      </c>
      <c r="W848" s="3">
        <v>40179</v>
      </c>
      <c r="X848" s="3">
        <v>43556</v>
      </c>
      <c r="Y848" t="s">
        <v>47</v>
      </c>
      <c r="Z848" s="3">
        <v>40179</v>
      </c>
      <c r="AA848" s="3">
        <v>43556</v>
      </c>
      <c r="AB848" t="s">
        <v>47</v>
      </c>
      <c r="AC848" s="3">
        <v>42948</v>
      </c>
      <c r="AD848" s="3">
        <v>43556</v>
      </c>
      <c r="AE848" t="s">
        <v>47</v>
      </c>
      <c r="AF848" t="s">
        <v>47</v>
      </c>
      <c r="AG848" t="s">
        <v>47</v>
      </c>
      <c r="AH848" t="s">
        <v>47</v>
      </c>
      <c r="AI848" t="s">
        <v>47</v>
      </c>
      <c r="AJ848" t="s">
        <v>47</v>
      </c>
      <c r="AK848" t="s">
        <v>47</v>
      </c>
      <c r="AL848" t="s">
        <v>47</v>
      </c>
      <c r="AM848" t="s">
        <v>47</v>
      </c>
      <c r="AN848" t="s">
        <v>47</v>
      </c>
      <c r="AO848" s="5" t="s">
        <v>60</v>
      </c>
      <c r="AP848" s="4" t="s">
        <v>61</v>
      </c>
      <c r="AQ848" s="4" t="s">
        <v>53</v>
      </c>
      <c r="AR848" s="4" t="s">
        <v>3444</v>
      </c>
      <c r="AS848" s="5">
        <v>136112</v>
      </c>
      <c r="AT848" t="s">
        <v>47</v>
      </c>
    </row>
    <row r="849" spans="1:46" ht="65" x14ac:dyDescent="0.3">
      <c r="A849" s="4" t="s">
        <v>3445</v>
      </c>
      <c r="B849" t="s">
        <v>47</v>
      </c>
      <c r="C849" s="4" t="s">
        <v>3446</v>
      </c>
      <c r="D849" s="4" t="s">
        <v>3447</v>
      </c>
      <c r="E849" s="4" t="s">
        <v>49</v>
      </c>
      <c r="F849" s="5" t="s">
        <v>3448</v>
      </c>
      <c r="G849" s="5" t="s">
        <v>3449</v>
      </c>
      <c r="H849" t="s">
        <v>47</v>
      </c>
      <c r="I849" s="3">
        <v>25750</v>
      </c>
      <c r="J849" s="5" t="s">
        <v>50</v>
      </c>
      <c r="K849" t="s">
        <v>47</v>
      </c>
      <c r="L849" s="5" t="s">
        <v>60</v>
      </c>
      <c r="M849" s="3">
        <v>25750</v>
      </c>
      <c r="N849" s="5" t="s">
        <v>50</v>
      </c>
      <c r="O849" t="s">
        <v>47</v>
      </c>
      <c r="P849" s="3">
        <v>25750</v>
      </c>
      <c r="Q849" s="5" t="s">
        <v>50</v>
      </c>
      <c r="R849" t="s">
        <v>47</v>
      </c>
      <c r="S849" t="s">
        <v>47</v>
      </c>
      <c r="T849" t="s">
        <v>47</v>
      </c>
      <c r="U849" t="s">
        <v>47</v>
      </c>
      <c r="V849" t="s">
        <v>47</v>
      </c>
      <c r="W849" s="3">
        <v>25750</v>
      </c>
      <c r="X849" s="5" t="s">
        <v>50</v>
      </c>
      <c r="Y849" t="s">
        <v>47</v>
      </c>
      <c r="Z849" s="3">
        <v>25750</v>
      </c>
      <c r="AA849" s="5" t="s">
        <v>50</v>
      </c>
      <c r="AB849" t="s">
        <v>47</v>
      </c>
      <c r="AC849" s="3">
        <v>25750</v>
      </c>
      <c r="AD849" s="5" t="s">
        <v>50</v>
      </c>
      <c r="AE849" t="s">
        <v>47</v>
      </c>
      <c r="AF849" t="s">
        <v>47</v>
      </c>
      <c r="AG849" t="s">
        <v>47</v>
      </c>
      <c r="AH849" t="s">
        <v>47</v>
      </c>
      <c r="AI849" t="s">
        <v>47</v>
      </c>
      <c r="AJ849" t="s">
        <v>47</v>
      </c>
      <c r="AK849" t="s">
        <v>47</v>
      </c>
      <c r="AL849" t="s">
        <v>47</v>
      </c>
      <c r="AM849" t="s">
        <v>47</v>
      </c>
      <c r="AN849" t="s">
        <v>47</v>
      </c>
      <c r="AO849" s="5" t="s">
        <v>60</v>
      </c>
      <c r="AP849" s="4" t="s">
        <v>61</v>
      </c>
      <c r="AQ849" s="4" t="s">
        <v>53</v>
      </c>
      <c r="AR849" s="4" t="s">
        <v>2929</v>
      </c>
      <c r="AS849" s="5">
        <v>35533</v>
      </c>
      <c r="AT849" t="s">
        <v>47</v>
      </c>
    </row>
    <row r="850" spans="1:46" ht="78" x14ac:dyDescent="0.3">
      <c r="A850" s="4" t="s">
        <v>3450</v>
      </c>
      <c r="B850" t="s">
        <v>47</v>
      </c>
      <c r="C850" s="4" t="s">
        <v>2551</v>
      </c>
      <c r="D850" s="4" t="s">
        <v>324</v>
      </c>
      <c r="E850" s="4" t="s">
        <v>49</v>
      </c>
      <c r="F850" s="5" t="s">
        <v>3451</v>
      </c>
      <c r="G850" s="5" t="s">
        <v>3452</v>
      </c>
      <c r="H850" t="s">
        <v>47</v>
      </c>
      <c r="I850" s="3">
        <v>35886</v>
      </c>
      <c r="J850" s="3">
        <v>37165</v>
      </c>
      <c r="K850" t="s">
        <v>47</v>
      </c>
      <c r="L850" s="5" t="s">
        <v>60</v>
      </c>
      <c r="M850" s="3">
        <v>35886</v>
      </c>
      <c r="N850" s="3">
        <v>37165</v>
      </c>
      <c r="O850" t="s">
        <v>47</v>
      </c>
      <c r="P850" s="3">
        <v>35886</v>
      </c>
      <c r="Q850" s="3">
        <v>37165</v>
      </c>
      <c r="R850" t="s">
        <v>47</v>
      </c>
      <c r="S850" t="s">
        <v>47</v>
      </c>
      <c r="T850" t="s">
        <v>47</v>
      </c>
      <c r="U850" t="s">
        <v>47</v>
      </c>
      <c r="V850" t="s">
        <v>47</v>
      </c>
      <c r="W850" s="3">
        <v>35886</v>
      </c>
      <c r="X850" s="3">
        <v>37165</v>
      </c>
      <c r="Y850" t="s">
        <v>47</v>
      </c>
      <c r="Z850" s="3">
        <v>35886</v>
      </c>
      <c r="AA850" s="3">
        <v>37165</v>
      </c>
      <c r="AB850" t="s">
        <v>47</v>
      </c>
      <c r="AC850" t="s">
        <v>47</v>
      </c>
      <c r="AD850" t="s">
        <v>47</v>
      </c>
      <c r="AE850" t="s">
        <v>47</v>
      </c>
      <c r="AF850" t="s">
        <v>47</v>
      </c>
      <c r="AG850" t="s">
        <v>47</v>
      </c>
      <c r="AH850" t="s">
        <v>47</v>
      </c>
      <c r="AI850" t="s">
        <v>47</v>
      </c>
      <c r="AJ850" t="s">
        <v>47</v>
      </c>
      <c r="AK850" t="s">
        <v>47</v>
      </c>
      <c r="AL850" t="s">
        <v>47</v>
      </c>
      <c r="AM850" t="s">
        <v>47</v>
      </c>
      <c r="AN850" t="s">
        <v>47</v>
      </c>
      <c r="AO850" s="5" t="s">
        <v>60</v>
      </c>
      <c r="AP850" s="4" t="s">
        <v>61</v>
      </c>
      <c r="AQ850" s="4" t="s">
        <v>53</v>
      </c>
      <c r="AR850" s="4" t="s">
        <v>3453</v>
      </c>
      <c r="AS850" s="5">
        <v>37746</v>
      </c>
      <c r="AT850" t="s">
        <v>47</v>
      </c>
    </row>
    <row r="851" spans="1:46" ht="13" x14ac:dyDescent="0.3">
      <c r="A851" s="4" t="s">
        <v>3454</v>
      </c>
      <c r="B851" t="s">
        <v>47</v>
      </c>
      <c r="C851" s="4" t="s">
        <v>3455</v>
      </c>
      <c r="D851" s="4" t="s">
        <v>3456</v>
      </c>
      <c r="E851" s="4" t="s">
        <v>49</v>
      </c>
      <c r="F851" s="5" t="s">
        <v>3457</v>
      </c>
      <c r="G851" t="s">
        <v>47</v>
      </c>
      <c r="H851" t="s">
        <v>47</v>
      </c>
      <c r="I851" s="3">
        <v>35886</v>
      </c>
      <c r="J851" s="3">
        <v>36892</v>
      </c>
      <c r="K851" t="s">
        <v>47</v>
      </c>
      <c r="L851" s="5" t="s">
        <v>60</v>
      </c>
      <c r="M851" s="3">
        <v>35886</v>
      </c>
      <c r="N851" s="3">
        <v>36892</v>
      </c>
      <c r="O851" t="s">
        <v>47</v>
      </c>
      <c r="P851" s="3">
        <v>35886</v>
      </c>
      <c r="Q851" s="3">
        <v>36892</v>
      </c>
      <c r="R851" t="s">
        <v>47</v>
      </c>
      <c r="S851" t="s">
        <v>47</v>
      </c>
      <c r="T851" t="s">
        <v>47</v>
      </c>
      <c r="U851" t="s">
        <v>47</v>
      </c>
      <c r="V851" t="s">
        <v>47</v>
      </c>
      <c r="W851" s="3">
        <v>35886</v>
      </c>
      <c r="X851" s="3">
        <v>36892</v>
      </c>
      <c r="Y851" t="s">
        <v>47</v>
      </c>
      <c r="Z851" s="3">
        <v>35886</v>
      </c>
      <c r="AA851" s="3">
        <v>36892</v>
      </c>
      <c r="AB851" t="s">
        <v>47</v>
      </c>
      <c r="AC851" s="3">
        <v>36892</v>
      </c>
      <c r="AD851" s="3">
        <v>36892</v>
      </c>
      <c r="AE851" t="s">
        <v>47</v>
      </c>
      <c r="AF851" t="s">
        <v>47</v>
      </c>
      <c r="AG851" t="s">
        <v>47</v>
      </c>
      <c r="AH851" t="s">
        <v>47</v>
      </c>
      <c r="AI851" t="s">
        <v>47</v>
      </c>
      <c r="AJ851" t="s">
        <v>47</v>
      </c>
      <c r="AK851" t="s">
        <v>47</v>
      </c>
      <c r="AL851" t="s">
        <v>47</v>
      </c>
      <c r="AM851" t="s">
        <v>47</v>
      </c>
      <c r="AN851" t="s">
        <v>47</v>
      </c>
      <c r="AO851" s="5" t="s">
        <v>60</v>
      </c>
      <c r="AP851" s="4" t="s">
        <v>61</v>
      </c>
      <c r="AQ851" s="4" t="s">
        <v>53</v>
      </c>
      <c r="AR851" s="4" t="s">
        <v>54</v>
      </c>
      <c r="AS851" s="5">
        <v>48056</v>
      </c>
      <c r="AT851" t="s">
        <v>47</v>
      </c>
    </row>
    <row r="852" spans="1:46" ht="182" x14ac:dyDescent="0.3">
      <c r="A852" s="4" t="s">
        <v>3458</v>
      </c>
      <c r="B852" t="s">
        <v>47</v>
      </c>
      <c r="C852" s="4" t="s">
        <v>3459</v>
      </c>
      <c r="D852" s="4" t="s">
        <v>3460</v>
      </c>
      <c r="E852" s="4" t="s">
        <v>49</v>
      </c>
      <c r="F852" s="5" t="s">
        <v>3461</v>
      </c>
      <c r="G852" t="s">
        <v>47</v>
      </c>
      <c r="H852" t="s">
        <v>47</v>
      </c>
      <c r="I852" s="3">
        <v>37773</v>
      </c>
      <c r="J852" s="5" t="s">
        <v>50</v>
      </c>
      <c r="K852" t="s">
        <v>47</v>
      </c>
      <c r="L852" s="5" t="s">
        <v>60</v>
      </c>
      <c r="M852" s="3">
        <v>37773</v>
      </c>
      <c r="N852" s="5" t="s">
        <v>50</v>
      </c>
      <c r="O852" t="s">
        <v>47</v>
      </c>
      <c r="P852" s="3">
        <v>37773</v>
      </c>
      <c r="Q852" s="5" t="s">
        <v>50</v>
      </c>
      <c r="R852" t="s">
        <v>47</v>
      </c>
      <c r="S852" t="s">
        <v>47</v>
      </c>
      <c r="T852" t="s">
        <v>47</v>
      </c>
      <c r="U852" t="s">
        <v>47</v>
      </c>
      <c r="V852" t="s">
        <v>47</v>
      </c>
      <c r="W852" s="3">
        <v>30651</v>
      </c>
      <c r="X852" s="5" t="s">
        <v>50</v>
      </c>
      <c r="Y852" t="s">
        <v>47</v>
      </c>
      <c r="Z852" s="3">
        <v>30651</v>
      </c>
      <c r="AA852" s="5" t="s">
        <v>50</v>
      </c>
      <c r="AB852" t="s">
        <v>47</v>
      </c>
      <c r="AC852" s="3">
        <v>36130</v>
      </c>
      <c r="AD852" s="5" t="s">
        <v>50</v>
      </c>
      <c r="AE852" t="s">
        <v>47</v>
      </c>
      <c r="AF852" t="s">
        <v>47</v>
      </c>
      <c r="AG852" t="s">
        <v>47</v>
      </c>
      <c r="AH852" t="s">
        <v>47</v>
      </c>
      <c r="AI852" t="s">
        <v>47</v>
      </c>
      <c r="AJ852" t="s">
        <v>47</v>
      </c>
      <c r="AK852" t="s">
        <v>47</v>
      </c>
      <c r="AL852" t="s">
        <v>47</v>
      </c>
      <c r="AM852" t="s">
        <v>47</v>
      </c>
      <c r="AN852" t="s">
        <v>47</v>
      </c>
      <c r="AO852" s="5" t="s">
        <v>60</v>
      </c>
      <c r="AP852" s="4" t="s">
        <v>61</v>
      </c>
      <c r="AQ852" s="4" t="s">
        <v>53</v>
      </c>
      <c r="AR852" s="4" t="s">
        <v>3462</v>
      </c>
      <c r="AS852" s="5">
        <v>41370</v>
      </c>
      <c r="AT852" t="s">
        <v>47</v>
      </c>
    </row>
    <row r="853" spans="1:46" ht="13" x14ac:dyDescent="0.3">
      <c r="A853" s="4" t="s">
        <v>3463</v>
      </c>
      <c r="B853" t="s">
        <v>47</v>
      </c>
      <c r="C853" s="4" t="s">
        <v>1529</v>
      </c>
      <c r="D853" s="4" t="s">
        <v>88</v>
      </c>
      <c r="E853" s="4" t="s">
        <v>49</v>
      </c>
      <c r="F853" s="5" t="s">
        <v>3464</v>
      </c>
      <c r="G853" s="5" t="s">
        <v>3465</v>
      </c>
      <c r="H853" t="s">
        <v>47</v>
      </c>
      <c r="I853" t="s">
        <v>47</v>
      </c>
      <c r="J853" t="s">
        <v>47</v>
      </c>
      <c r="K853" t="s">
        <v>47</v>
      </c>
      <c r="L853" s="5" t="s">
        <v>60</v>
      </c>
      <c r="M853" t="s">
        <v>47</v>
      </c>
      <c r="N853" t="s">
        <v>47</v>
      </c>
      <c r="O853" t="s">
        <v>47</v>
      </c>
      <c r="P853" t="s">
        <v>47</v>
      </c>
      <c r="Q853" t="s">
        <v>47</v>
      </c>
      <c r="R853" t="s">
        <v>47</v>
      </c>
      <c r="S853" t="s">
        <v>47</v>
      </c>
      <c r="T853" t="s">
        <v>47</v>
      </c>
      <c r="U853" t="s">
        <v>47</v>
      </c>
      <c r="V853" t="s">
        <v>47</v>
      </c>
      <c r="W853" s="3">
        <v>31413</v>
      </c>
      <c r="X853" s="5" t="s">
        <v>50</v>
      </c>
      <c r="Y853" t="s">
        <v>47</v>
      </c>
      <c r="Z853" s="3">
        <v>31413</v>
      </c>
      <c r="AA853" s="5" t="s">
        <v>50</v>
      </c>
      <c r="AB853" t="s">
        <v>47</v>
      </c>
      <c r="AC853" s="3">
        <v>31413</v>
      </c>
      <c r="AD853" s="5" t="s">
        <v>50</v>
      </c>
      <c r="AE853" t="s">
        <v>47</v>
      </c>
      <c r="AF853" t="s">
        <v>47</v>
      </c>
      <c r="AG853" t="s">
        <v>47</v>
      </c>
      <c r="AH853" t="s">
        <v>47</v>
      </c>
      <c r="AI853" t="s">
        <v>47</v>
      </c>
      <c r="AJ853" t="s">
        <v>47</v>
      </c>
      <c r="AK853" t="s">
        <v>47</v>
      </c>
      <c r="AL853" t="s">
        <v>47</v>
      </c>
      <c r="AM853" t="s">
        <v>47</v>
      </c>
      <c r="AN853" t="s">
        <v>47</v>
      </c>
      <c r="AO853" s="5" t="s">
        <v>60</v>
      </c>
      <c r="AP853" s="4" t="s">
        <v>61</v>
      </c>
      <c r="AQ853" s="4" t="s">
        <v>53</v>
      </c>
      <c r="AR853" s="4" t="s">
        <v>483</v>
      </c>
      <c r="AS853" s="5">
        <v>41013</v>
      </c>
      <c r="AT853" t="s">
        <v>47</v>
      </c>
    </row>
    <row r="854" spans="1:46" ht="65" x14ac:dyDescent="0.3">
      <c r="A854" s="4" t="s">
        <v>3466</v>
      </c>
      <c r="B854" t="s">
        <v>47</v>
      </c>
      <c r="C854" s="4" t="s">
        <v>200</v>
      </c>
      <c r="D854" s="4" t="s">
        <v>201</v>
      </c>
      <c r="E854" s="4" t="s">
        <v>66</v>
      </c>
      <c r="F854" s="5" t="s">
        <v>3467</v>
      </c>
      <c r="G854" s="5" t="s">
        <v>3468</v>
      </c>
      <c r="H854" t="s">
        <v>47</v>
      </c>
      <c r="I854" s="3">
        <v>32143</v>
      </c>
      <c r="J854" s="3">
        <v>41548</v>
      </c>
      <c r="K854" t="s">
        <v>47</v>
      </c>
      <c r="L854" s="5" t="s">
        <v>60</v>
      </c>
      <c r="M854" s="3">
        <v>34335</v>
      </c>
      <c r="N854" s="3">
        <v>41548</v>
      </c>
      <c r="O854" t="s">
        <v>47</v>
      </c>
      <c r="P854" s="3">
        <v>32143</v>
      </c>
      <c r="Q854" s="3">
        <v>41548</v>
      </c>
      <c r="R854" t="s">
        <v>47</v>
      </c>
      <c r="S854" t="s">
        <v>47</v>
      </c>
      <c r="T854" t="s">
        <v>47</v>
      </c>
      <c r="U854" t="s">
        <v>47</v>
      </c>
      <c r="V854" t="s">
        <v>47</v>
      </c>
      <c r="W854" s="3">
        <v>31413</v>
      </c>
      <c r="X854" s="5" t="s">
        <v>50</v>
      </c>
      <c r="Y854" t="s">
        <v>47</v>
      </c>
      <c r="Z854" s="3">
        <v>31413</v>
      </c>
      <c r="AA854" s="5" t="s">
        <v>50</v>
      </c>
      <c r="AB854" t="s">
        <v>47</v>
      </c>
      <c r="AC854" s="3">
        <v>31413</v>
      </c>
      <c r="AD854" s="5" t="s">
        <v>50</v>
      </c>
      <c r="AE854" t="s">
        <v>47</v>
      </c>
      <c r="AF854" t="s">
        <v>47</v>
      </c>
      <c r="AG854" t="s">
        <v>47</v>
      </c>
      <c r="AH854" t="s">
        <v>47</v>
      </c>
      <c r="AI854" t="s">
        <v>47</v>
      </c>
      <c r="AJ854" t="s">
        <v>47</v>
      </c>
      <c r="AK854" t="s">
        <v>47</v>
      </c>
      <c r="AL854" t="s">
        <v>47</v>
      </c>
      <c r="AM854" t="s">
        <v>47</v>
      </c>
      <c r="AN854" t="s">
        <v>47</v>
      </c>
      <c r="AO854" s="5" t="s">
        <v>60</v>
      </c>
      <c r="AP854" s="4" t="s">
        <v>61</v>
      </c>
      <c r="AQ854" s="4" t="s">
        <v>53</v>
      </c>
      <c r="AR854" s="4" t="s">
        <v>3469</v>
      </c>
      <c r="AS854" s="5">
        <v>25041</v>
      </c>
      <c r="AT854" t="s">
        <v>47</v>
      </c>
    </row>
    <row r="855" spans="1:46" ht="39" x14ac:dyDescent="0.3">
      <c r="A855" s="4" t="s">
        <v>3470</v>
      </c>
      <c r="B855" t="s">
        <v>47</v>
      </c>
      <c r="C855" s="4" t="s">
        <v>3471</v>
      </c>
      <c r="D855" s="4" t="s">
        <v>3472</v>
      </c>
      <c r="E855" s="4" t="s">
        <v>49</v>
      </c>
      <c r="F855" t="s">
        <v>47</v>
      </c>
      <c r="G855" s="5" t="s">
        <v>3473</v>
      </c>
      <c r="H855" t="s">
        <v>47</v>
      </c>
      <c r="I855" s="3">
        <v>39814</v>
      </c>
      <c r="J855" s="5" t="s">
        <v>50</v>
      </c>
      <c r="K855" t="s">
        <v>47</v>
      </c>
      <c r="L855" s="5" t="s">
        <v>60</v>
      </c>
      <c r="M855" t="s">
        <v>47</v>
      </c>
      <c r="N855" t="s">
        <v>47</v>
      </c>
      <c r="O855" t="s">
        <v>47</v>
      </c>
      <c r="P855" s="3">
        <v>39814</v>
      </c>
      <c r="Q855" s="5" t="s">
        <v>50</v>
      </c>
      <c r="R855" t="s">
        <v>47</v>
      </c>
      <c r="S855" t="s">
        <v>47</v>
      </c>
      <c r="T855" t="s">
        <v>47</v>
      </c>
      <c r="U855" t="s">
        <v>47</v>
      </c>
      <c r="V855" t="s">
        <v>47</v>
      </c>
      <c r="W855" s="3">
        <v>39814</v>
      </c>
      <c r="X855" s="5" t="s">
        <v>50</v>
      </c>
      <c r="Y855" t="s">
        <v>47</v>
      </c>
      <c r="Z855" s="3">
        <v>39814</v>
      </c>
      <c r="AA855" s="5" t="s">
        <v>50</v>
      </c>
      <c r="AB855" t="s">
        <v>47</v>
      </c>
      <c r="AC855" s="3">
        <v>39814</v>
      </c>
      <c r="AD855" s="5" t="s">
        <v>50</v>
      </c>
      <c r="AE855" t="s">
        <v>47</v>
      </c>
      <c r="AF855" t="s">
        <v>47</v>
      </c>
      <c r="AG855" t="s">
        <v>47</v>
      </c>
      <c r="AH855" t="s">
        <v>47</v>
      </c>
      <c r="AI855" t="s">
        <v>47</v>
      </c>
      <c r="AJ855" t="s">
        <v>47</v>
      </c>
      <c r="AK855" t="s">
        <v>47</v>
      </c>
      <c r="AL855" t="s">
        <v>47</v>
      </c>
      <c r="AM855" t="s">
        <v>47</v>
      </c>
      <c r="AN855" t="s">
        <v>47</v>
      </c>
      <c r="AO855" s="5" t="s">
        <v>60</v>
      </c>
      <c r="AP855" s="4" t="s">
        <v>61</v>
      </c>
      <c r="AQ855" s="4" t="s">
        <v>53</v>
      </c>
      <c r="AR855" s="4" t="s">
        <v>54</v>
      </c>
      <c r="AS855" s="5">
        <v>2027398</v>
      </c>
      <c r="AT855" t="s">
        <v>47</v>
      </c>
    </row>
    <row r="856" spans="1:46" ht="26" x14ac:dyDescent="0.3">
      <c r="A856" s="4" t="s">
        <v>3474</v>
      </c>
      <c r="B856" t="s">
        <v>47</v>
      </c>
      <c r="C856" s="4" t="s">
        <v>183</v>
      </c>
      <c r="D856" s="4" t="s">
        <v>333</v>
      </c>
      <c r="E856" s="4" t="s">
        <v>49</v>
      </c>
      <c r="F856" s="5" t="s">
        <v>3475</v>
      </c>
      <c r="G856" s="5" t="s">
        <v>3476</v>
      </c>
      <c r="H856" t="s">
        <v>47</v>
      </c>
      <c r="I856" t="s">
        <v>47</v>
      </c>
      <c r="J856" t="s">
        <v>47</v>
      </c>
      <c r="K856" t="s">
        <v>47</v>
      </c>
      <c r="L856" s="5" t="s">
        <v>60</v>
      </c>
      <c r="M856" t="s">
        <v>47</v>
      </c>
      <c r="N856" t="s">
        <v>47</v>
      </c>
      <c r="O856" t="s">
        <v>47</v>
      </c>
      <c r="P856" t="s">
        <v>47</v>
      </c>
      <c r="Q856" t="s">
        <v>47</v>
      </c>
      <c r="R856" t="s">
        <v>47</v>
      </c>
      <c r="S856" t="s">
        <v>47</v>
      </c>
      <c r="T856" t="s">
        <v>47</v>
      </c>
      <c r="U856" t="s">
        <v>47</v>
      </c>
      <c r="V856" t="s">
        <v>47</v>
      </c>
      <c r="W856" s="3">
        <v>33664</v>
      </c>
      <c r="X856" s="5" t="s">
        <v>50</v>
      </c>
      <c r="Y856" t="s">
        <v>47</v>
      </c>
      <c r="Z856" s="3">
        <v>33664</v>
      </c>
      <c r="AA856" s="5" t="s">
        <v>50</v>
      </c>
      <c r="AB856" t="s">
        <v>47</v>
      </c>
      <c r="AC856" s="3">
        <v>33664</v>
      </c>
      <c r="AD856" s="5" t="s">
        <v>50</v>
      </c>
      <c r="AE856" t="s">
        <v>47</v>
      </c>
      <c r="AF856" t="s">
        <v>47</v>
      </c>
      <c r="AG856" t="s">
        <v>47</v>
      </c>
      <c r="AH856" t="s">
        <v>47</v>
      </c>
      <c r="AI856" t="s">
        <v>47</v>
      </c>
      <c r="AJ856" t="s">
        <v>47</v>
      </c>
      <c r="AK856" t="s">
        <v>47</v>
      </c>
      <c r="AL856" t="s">
        <v>47</v>
      </c>
      <c r="AM856" t="s">
        <v>47</v>
      </c>
      <c r="AN856" t="s">
        <v>47</v>
      </c>
      <c r="AO856" s="5" t="s">
        <v>60</v>
      </c>
      <c r="AP856" s="4" t="s">
        <v>61</v>
      </c>
      <c r="AQ856" s="4" t="s">
        <v>53</v>
      </c>
      <c r="AR856" s="4" t="s">
        <v>342</v>
      </c>
      <c r="AS856" s="5">
        <v>48985</v>
      </c>
      <c r="AT856" t="s">
        <v>47</v>
      </c>
    </row>
    <row r="857" spans="1:46" ht="26" x14ac:dyDescent="0.3">
      <c r="A857" s="4" t="s">
        <v>3477</v>
      </c>
      <c r="B857" t="s">
        <v>47</v>
      </c>
      <c r="C857" s="4" t="s">
        <v>3478</v>
      </c>
      <c r="D857" s="4" t="s">
        <v>3479</v>
      </c>
      <c r="E857" s="4" t="s">
        <v>49</v>
      </c>
      <c r="F857" s="5" t="s">
        <v>3480</v>
      </c>
      <c r="G857" t="s">
        <v>47</v>
      </c>
      <c r="H857" t="s">
        <v>47</v>
      </c>
      <c r="I857" s="3">
        <v>30590</v>
      </c>
      <c r="J857" s="3">
        <v>40544</v>
      </c>
      <c r="K857" t="s">
        <v>47</v>
      </c>
      <c r="L857" s="5" t="s">
        <v>60</v>
      </c>
      <c r="M857" s="3">
        <v>30590</v>
      </c>
      <c r="N857" s="3">
        <v>40544</v>
      </c>
      <c r="O857" t="s">
        <v>47</v>
      </c>
      <c r="P857" s="3">
        <v>30590</v>
      </c>
      <c r="Q857" s="3">
        <v>40544</v>
      </c>
      <c r="R857" t="s">
        <v>47</v>
      </c>
      <c r="S857" t="s">
        <v>47</v>
      </c>
      <c r="T857" t="s">
        <v>47</v>
      </c>
      <c r="U857" t="s">
        <v>47</v>
      </c>
      <c r="V857" t="s">
        <v>47</v>
      </c>
      <c r="W857" s="3">
        <v>30590</v>
      </c>
      <c r="X857" s="3">
        <v>40544</v>
      </c>
      <c r="Y857" t="s">
        <v>47</v>
      </c>
      <c r="Z857" s="3">
        <v>30590</v>
      </c>
      <c r="AA857" s="3">
        <v>40544</v>
      </c>
      <c r="AB857" t="s">
        <v>47</v>
      </c>
      <c r="AC857" s="3">
        <v>30590</v>
      </c>
      <c r="AD857" s="3">
        <v>40544</v>
      </c>
      <c r="AE857" t="s">
        <v>47</v>
      </c>
      <c r="AF857" t="s">
        <v>47</v>
      </c>
      <c r="AG857" t="s">
        <v>47</v>
      </c>
      <c r="AH857" t="s">
        <v>47</v>
      </c>
      <c r="AI857" t="s">
        <v>47</v>
      </c>
      <c r="AJ857" t="s">
        <v>47</v>
      </c>
      <c r="AK857" t="s">
        <v>47</v>
      </c>
      <c r="AL857" t="s">
        <v>47</v>
      </c>
      <c r="AM857" t="s">
        <v>47</v>
      </c>
      <c r="AN857" t="s">
        <v>47</v>
      </c>
      <c r="AO857" s="5" t="s">
        <v>60</v>
      </c>
      <c r="AP857" s="4" t="s">
        <v>61</v>
      </c>
      <c r="AQ857" s="4" t="s">
        <v>53</v>
      </c>
      <c r="AR857" s="4" t="s">
        <v>516</v>
      </c>
      <c r="AS857" s="5">
        <v>40077</v>
      </c>
      <c r="AT857" t="s">
        <v>47</v>
      </c>
    </row>
    <row r="858" spans="1:46" ht="26" x14ac:dyDescent="0.3">
      <c r="A858" s="4" t="s">
        <v>3481</v>
      </c>
      <c r="B858" t="s">
        <v>47</v>
      </c>
      <c r="C858" s="4" t="s">
        <v>3478</v>
      </c>
      <c r="D858" s="4" t="s">
        <v>3101</v>
      </c>
      <c r="E858" s="4" t="s">
        <v>49</v>
      </c>
      <c r="F858" t="s">
        <v>47</v>
      </c>
      <c r="G858" t="s">
        <v>47</v>
      </c>
      <c r="H858" t="s">
        <v>47</v>
      </c>
      <c r="I858" s="3">
        <v>40909</v>
      </c>
      <c r="J858" s="5" t="s">
        <v>50</v>
      </c>
      <c r="K858" t="s">
        <v>47</v>
      </c>
      <c r="L858" s="5" t="s">
        <v>60</v>
      </c>
      <c r="M858" s="3">
        <v>40909</v>
      </c>
      <c r="N858" s="5" t="s">
        <v>50</v>
      </c>
      <c r="O858" t="s">
        <v>47</v>
      </c>
      <c r="P858" s="3">
        <v>40909</v>
      </c>
      <c r="Q858" s="5" t="s">
        <v>50</v>
      </c>
      <c r="R858" t="s">
        <v>47</v>
      </c>
      <c r="S858" t="s">
        <v>47</v>
      </c>
      <c r="T858" t="s">
        <v>47</v>
      </c>
      <c r="U858" t="s">
        <v>47</v>
      </c>
      <c r="V858" t="s">
        <v>47</v>
      </c>
      <c r="W858" s="3">
        <v>40909</v>
      </c>
      <c r="X858" s="5" t="s">
        <v>50</v>
      </c>
      <c r="Y858" t="s">
        <v>47</v>
      </c>
      <c r="Z858" s="3">
        <v>40909</v>
      </c>
      <c r="AA858" s="5" t="s">
        <v>50</v>
      </c>
      <c r="AB858" t="s">
        <v>47</v>
      </c>
      <c r="AC858" s="3">
        <v>40909</v>
      </c>
      <c r="AD858" s="5" t="s">
        <v>50</v>
      </c>
      <c r="AE858" t="s">
        <v>47</v>
      </c>
      <c r="AF858" t="s">
        <v>47</v>
      </c>
      <c r="AG858" t="s">
        <v>47</v>
      </c>
      <c r="AH858" t="s">
        <v>47</v>
      </c>
      <c r="AI858" t="s">
        <v>47</v>
      </c>
      <c r="AJ858" t="s">
        <v>47</v>
      </c>
      <c r="AK858" t="s">
        <v>47</v>
      </c>
      <c r="AL858" t="s">
        <v>47</v>
      </c>
      <c r="AM858" t="s">
        <v>47</v>
      </c>
      <c r="AN858" t="s">
        <v>47</v>
      </c>
      <c r="AO858" s="5" t="s">
        <v>60</v>
      </c>
      <c r="AP858" s="4" t="s">
        <v>61</v>
      </c>
      <c r="AQ858" s="4" t="s">
        <v>53</v>
      </c>
      <c r="AR858" s="4" t="s">
        <v>516</v>
      </c>
      <c r="AS858" s="5">
        <v>2031815</v>
      </c>
      <c r="AT858" t="s">
        <v>47</v>
      </c>
    </row>
    <row r="859" spans="1:46" ht="65" x14ac:dyDescent="0.3">
      <c r="A859" s="4" t="s">
        <v>3482</v>
      </c>
      <c r="B859" t="s">
        <v>47</v>
      </c>
      <c r="C859" s="4" t="s">
        <v>169</v>
      </c>
      <c r="D859" s="4" t="s">
        <v>139</v>
      </c>
      <c r="E859" s="4" t="s">
        <v>66</v>
      </c>
      <c r="F859" s="5" t="s">
        <v>3483</v>
      </c>
      <c r="G859" s="5" t="s">
        <v>3484</v>
      </c>
      <c r="H859" t="s">
        <v>47</v>
      </c>
      <c r="I859" t="s">
        <v>47</v>
      </c>
      <c r="J859" t="s">
        <v>47</v>
      </c>
      <c r="K859" t="s">
        <v>47</v>
      </c>
      <c r="L859" s="5" t="s">
        <v>60</v>
      </c>
      <c r="M859" t="s">
        <v>47</v>
      </c>
      <c r="N859" t="s">
        <v>47</v>
      </c>
      <c r="O859" t="s">
        <v>47</v>
      </c>
      <c r="P859" t="s">
        <v>47</v>
      </c>
      <c r="Q859" t="s">
        <v>47</v>
      </c>
      <c r="R859" t="s">
        <v>47</v>
      </c>
      <c r="S859" t="s">
        <v>47</v>
      </c>
      <c r="T859" t="s">
        <v>47</v>
      </c>
      <c r="U859" t="s">
        <v>47</v>
      </c>
      <c r="V859" t="s">
        <v>47</v>
      </c>
      <c r="W859" s="3">
        <v>40179</v>
      </c>
      <c r="X859" s="5" t="s">
        <v>50</v>
      </c>
      <c r="Y859" s="5" t="s">
        <v>946</v>
      </c>
      <c r="Z859" s="3">
        <v>40179</v>
      </c>
      <c r="AA859" s="5" t="s">
        <v>50</v>
      </c>
      <c r="AB859" s="5" t="s">
        <v>946</v>
      </c>
      <c r="AC859" s="3">
        <v>40179</v>
      </c>
      <c r="AD859" s="5" t="s">
        <v>50</v>
      </c>
      <c r="AE859" s="5" t="s">
        <v>946</v>
      </c>
      <c r="AF859" t="s">
        <v>47</v>
      </c>
      <c r="AG859" t="s">
        <v>47</v>
      </c>
      <c r="AH859" t="s">
        <v>47</v>
      </c>
      <c r="AI859" t="s">
        <v>47</v>
      </c>
      <c r="AJ859" t="s">
        <v>47</v>
      </c>
      <c r="AK859" t="s">
        <v>47</v>
      </c>
      <c r="AL859" t="s">
        <v>47</v>
      </c>
      <c r="AM859" t="s">
        <v>47</v>
      </c>
      <c r="AN859" t="s">
        <v>47</v>
      </c>
      <c r="AO859" s="5" t="s">
        <v>60</v>
      </c>
      <c r="AP859" s="4" t="s">
        <v>61</v>
      </c>
      <c r="AQ859" s="4" t="s">
        <v>53</v>
      </c>
      <c r="AR859" s="4" t="s">
        <v>543</v>
      </c>
      <c r="AS859" s="5">
        <v>536295</v>
      </c>
      <c r="AT859" t="s">
        <v>47</v>
      </c>
    </row>
    <row r="860" spans="1:46" ht="39" x14ac:dyDescent="0.3">
      <c r="A860" s="4" t="s">
        <v>3482</v>
      </c>
      <c r="B860" t="s">
        <v>47</v>
      </c>
      <c r="C860" s="4" t="s">
        <v>3485</v>
      </c>
      <c r="D860" s="4" t="s">
        <v>873</v>
      </c>
      <c r="E860" s="4" t="s">
        <v>874</v>
      </c>
      <c r="F860" s="5" t="s">
        <v>3486</v>
      </c>
      <c r="G860" s="5" t="s">
        <v>3487</v>
      </c>
      <c r="H860" t="s">
        <v>47</v>
      </c>
      <c r="I860" s="3">
        <v>38596</v>
      </c>
      <c r="J860" s="5" t="s">
        <v>50</v>
      </c>
      <c r="K860" t="s">
        <v>47</v>
      </c>
      <c r="L860" s="5" t="s">
        <v>60</v>
      </c>
      <c r="M860" t="s">
        <v>47</v>
      </c>
      <c r="N860" t="s">
        <v>47</v>
      </c>
      <c r="O860" t="s">
        <v>47</v>
      </c>
      <c r="P860" s="3">
        <v>38596</v>
      </c>
      <c r="Q860" s="5" t="s">
        <v>50</v>
      </c>
      <c r="R860" t="s">
        <v>47</v>
      </c>
      <c r="S860" t="s">
        <v>47</v>
      </c>
      <c r="T860" t="s">
        <v>47</v>
      </c>
      <c r="U860" t="s">
        <v>47</v>
      </c>
      <c r="V860" t="s">
        <v>47</v>
      </c>
      <c r="W860" s="3">
        <v>38596</v>
      </c>
      <c r="X860" s="5" t="s">
        <v>50</v>
      </c>
      <c r="Y860" t="s">
        <v>47</v>
      </c>
      <c r="Z860" s="3">
        <v>38596</v>
      </c>
      <c r="AA860" s="5" t="s">
        <v>50</v>
      </c>
      <c r="AB860" t="s">
        <v>47</v>
      </c>
      <c r="AC860" s="3">
        <v>38596</v>
      </c>
      <c r="AD860" s="5" t="s">
        <v>50</v>
      </c>
      <c r="AE860" t="s">
        <v>47</v>
      </c>
      <c r="AF860" t="s">
        <v>47</v>
      </c>
      <c r="AG860" t="s">
        <v>47</v>
      </c>
      <c r="AH860" t="s">
        <v>47</v>
      </c>
      <c r="AI860" t="s">
        <v>47</v>
      </c>
      <c r="AJ860" t="s">
        <v>47</v>
      </c>
      <c r="AK860" t="s">
        <v>47</v>
      </c>
      <c r="AL860" t="s">
        <v>47</v>
      </c>
      <c r="AM860" t="s">
        <v>47</v>
      </c>
      <c r="AN860" t="s">
        <v>47</v>
      </c>
      <c r="AO860" s="5" t="s">
        <v>60</v>
      </c>
      <c r="AP860" s="4" t="s">
        <v>61</v>
      </c>
      <c r="AQ860" s="4" t="s">
        <v>876</v>
      </c>
      <c r="AR860" s="4" t="s">
        <v>62</v>
      </c>
      <c r="AS860" s="5">
        <v>2036188</v>
      </c>
      <c r="AT860" t="s">
        <v>47</v>
      </c>
    </row>
    <row r="861" spans="1:46" ht="65" x14ac:dyDescent="0.3">
      <c r="A861" s="4" t="s">
        <v>3488</v>
      </c>
      <c r="B861" t="s">
        <v>47</v>
      </c>
      <c r="C861" s="4" t="s">
        <v>169</v>
      </c>
      <c r="D861" s="4" t="s">
        <v>319</v>
      </c>
      <c r="E861" s="4" t="s">
        <v>66</v>
      </c>
      <c r="F861" s="5" t="s">
        <v>3489</v>
      </c>
      <c r="G861" s="5" t="s">
        <v>3490</v>
      </c>
      <c r="H861" t="s">
        <v>47</v>
      </c>
      <c r="I861" t="s">
        <v>47</v>
      </c>
      <c r="J861" t="s">
        <v>47</v>
      </c>
      <c r="K861" t="s">
        <v>47</v>
      </c>
      <c r="L861" s="5" t="s">
        <v>60</v>
      </c>
      <c r="M861" t="s">
        <v>47</v>
      </c>
      <c r="N861" t="s">
        <v>47</v>
      </c>
      <c r="O861" t="s">
        <v>47</v>
      </c>
      <c r="P861" t="s">
        <v>47</v>
      </c>
      <c r="Q861" t="s">
        <v>47</v>
      </c>
      <c r="R861" t="s">
        <v>47</v>
      </c>
      <c r="S861" t="s">
        <v>47</v>
      </c>
      <c r="T861" t="s">
        <v>47</v>
      </c>
      <c r="U861" t="s">
        <v>47</v>
      </c>
      <c r="V861" t="s">
        <v>47</v>
      </c>
      <c r="W861" s="3">
        <v>42826</v>
      </c>
      <c r="X861" s="5" t="s">
        <v>50</v>
      </c>
      <c r="Y861" t="s">
        <v>47</v>
      </c>
      <c r="Z861" s="3">
        <v>42826</v>
      </c>
      <c r="AA861" s="5" t="s">
        <v>50</v>
      </c>
      <c r="AB861" t="s">
        <v>47</v>
      </c>
      <c r="AC861" s="3">
        <v>42826</v>
      </c>
      <c r="AD861" s="5" t="s">
        <v>50</v>
      </c>
      <c r="AE861" t="s">
        <v>47</v>
      </c>
      <c r="AF861" t="s">
        <v>47</v>
      </c>
      <c r="AG861" t="s">
        <v>47</v>
      </c>
      <c r="AH861" t="s">
        <v>47</v>
      </c>
      <c r="AI861" t="s">
        <v>47</v>
      </c>
      <c r="AJ861" t="s">
        <v>47</v>
      </c>
      <c r="AK861" t="s">
        <v>47</v>
      </c>
      <c r="AL861" t="s">
        <v>47</v>
      </c>
      <c r="AM861" t="s">
        <v>47</v>
      </c>
      <c r="AN861" t="s">
        <v>47</v>
      </c>
      <c r="AO861" s="5" t="s">
        <v>60</v>
      </c>
      <c r="AP861" s="4" t="s">
        <v>61</v>
      </c>
      <c r="AQ861" s="4" t="s">
        <v>53</v>
      </c>
      <c r="AR861" s="4" t="s">
        <v>543</v>
      </c>
      <c r="AS861" s="5">
        <v>4451208</v>
      </c>
      <c r="AT861" t="s">
        <v>47</v>
      </c>
    </row>
    <row r="862" spans="1:46" ht="65" x14ac:dyDescent="0.3">
      <c r="A862" s="4" t="s">
        <v>3491</v>
      </c>
      <c r="B862" t="s">
        <v>47</v>
      </c>
      <c r="C862" s="4" t="s">
        <v>593</v>
      </c>
      <c r="D862" s="4" t="s">
        <v>201</v>
      </c>
      <c r="E862" s="4" t="s">
        <v>49</v>
      </c>
      <c r="F862" s="5" t="s">
        <v>3492</v>
      </c>
      <c r="G862" t="s">
        <v>47</v>
      </c>
      <c r="H862" t="s">
        <v>47</v>
      </c>
      <c r="I862" s="3">
        <v>35521</v>
      </c>
      <c r="J862" s="3">
        <v>36434</v>
      </c>
      <c r="K862" t="s">
        <v>47</v>
      </c>
      <c r="L862" s="5" t="s">
        <v>60</v>
      </c>
      <c r="M862" s="3">
        <v>35521</v>
      </c>
      <c r="N862" s="3">
        <v>36434</v>
      </c>
      <c r="O862" t="s">
        <v>47</v>
      </c>
      <c r="P862" s="3">
        <v>35521</v>
      </c>
      <c r="Q862" s="3">
        <v>36434</v>
      </c>
      <c r="R862" t="s">
        <v>47</v>
      </c>
      <c r="S862" t="s">
        <v>47</v>
      </c>
      <c r="T862" t="s">
        <v>47</v>
      </c>
      <c r="U862" t="s">
        <v>47</v>
      </c>
      <c r="V862" t="s">
        <v>47</v>
      </c>
      <c r="W862" s="3">
        <v>35521</v>
      </c>
      <c r="X862" s="3">
        <v>36526</v>
      </c>
      <c r="Y862" t="s">
        <v>47</v>
      </c>
      <c r="Z862" s="3">
        <v>35521</v>
      </c>
      <c r="AA862" s="3">
        <v>36526</v>
      </c>
      <c r="AB862" t="s">
        <v>47</v>
      </c>
      <c r="AC862" s="3">
        <v>35521</v>
      </c>
      <c r="AD862" s="3">
        <v>36434</v>
      </c>
      <c r="AE862" t="s">
        <v>47</v>
      </c>
      <c r="AF862" t="s">
        <v>47</v>
      </c>
      <c r="AG862" t="s">
        <v>47</v>
      </c>
      <c r="AH862" t="s">
        <v>47</v>
      </c>
      <c r="AI862" t="s">
        <v>47</v>
      </c>
      <c r="AJ862" t="s">
        <v>47</v>
      </c>
      <c r="AK862" t="s">
        <v>47</v>
      </c>
      <c r="AL862" t="s">
        <v>47</v>
      </c>
      <c r="AM862" t="s">
        <v>47</v>
      </c>
      <c r="AN862" t="s">
        <v>47</v>
      </c>
      <c r="AO862" s="5" t="s">
        <v>60</v>
      </c>
      <c r="AP862" s="4" t="s">
        <v>61</v>
      </c>
      <c r="AQ862" s="4" t="s">
        <v>53</v>
      </c>
      <c r="AR862" s="4" t="s">
        <v>543</v>
      </c>
      <c r="AS862" s="5">
        <v>35996</v>
      </c>
      <c r="AT862" t="s">
        <v>47</v>
      </c>
    </row>
    <row r="863" spans="1:46" ht="130" x14ac:dyDescent="0.3">
      <c r="A863" s="4" t="s">
        <v>3493</v>
      </c>
      <c r="B863" t="s">
        <v>47</v>
      </c>
      <c r="C863" s="4" t="s">
        <v>470</v>
      </c>
      <c r="D863" s="4" t="s">
        <v>330</v>
      </c>
      <c r="E863" s="4" t="s">
        <v>66</v>
      </c>
      <c r="F863" s="5" t="s">
        <v>3494</v>
      </c>
      <c r="G863" s="5" t="s">
        <v>3495</v>
      </c>
      <c r="H863" t="s">
        <v>47</v>
      </c>
      <c r="I863" t="s">
        <v>47</v>
      </c>
      <c r="J863" t="s">
        <v>47</v>
      </c>
      <c r="K863" t="s">
        <v>47</v>
      </c>
      <c r="L863" s="5" t="s">
        <v>60</v>
      </c>
      <c r="M863" t="s">
        <v>47</v>
      </c>
      <c r="N863" t="s">
        <v>47</v>
      </c>
      <c r="O863" t="s">
        <v>47</v>
      </c>
      <c r="P863" t="s">
        <v>47</v>
      </c>
      <c r="Q863" t="s">
        <v>47</v>
      </c>
      <c r="R863" t="s">
        <v>47</v>
      </c>
      <c r="S863" t="s">
        <v>47</v>
      </c>
      <c r="T863" t="s">
        <v>47</v>
      </c>
      <c r="U863" t="s">
        <v>47</v>
      </c>
      <c r="V863" t="s">
        <v>47</v>
      </c>
      <c r="W863" s="3">
        <v>36161</v>
      </c>
      <c r="X863" s="3">
        <v>42461</v>
      </c>
      <c r="Y863" t="s">
        <v>47</v>
      </c>
      <c r="Z863" s="3">
        <v>36161</v>
      </c>
      <c r="AA863" s="3">
        <v>42461</v>
      </c>
      <c r="AB863" t="s">
        <v>47</v>
      </c>
      <c r="AC863" s="3">
        <v>36161</v>
      </c>
      <c r="AD863" s="3">
        <v>42461</v>
      </c>
      <c r="AE863" t="s">
        <v>47</v>
      </c>
      <c r="AF863" t="s">
        <v>47</v>
      </c>
      <c r="AG863" t="s">
        <v>47</v>
      </c>
      <c r="AH863" t="s">
        <v>47</v>
      </c>
      <c r="AI863" t="s">
        <v>47</v>
      </c>
      <c r="AJ863" t="s">
        <v>47</v>
      </c>
      <c r="AK863" t="s">
        <v>47</v>
      </c>
      <c r="AL863" t="s">
        <v>47</v>
      </c>
      <c r="AM863" t="s">
        <v>47</v>
      </c>
      <c r="AN863" t="s">
        <v>47</v>
      </c>
      <c r="AO863" s="5" t="s">
        <v>60</v>
      </c>
      <c r="AP863" s="4" t="s">
        <v>61</v>
      </c>
      <c r="AQ863" s="4" t="s">
        <v>53</v>
      </c>
      <c r="AR863" s="4" t="s">
        <v>267</v>
      </c>
      <c r="AS863" s="5">
        <v>33804</v>
      </c>
      <c r="AT863" t="s">
        <v>47</v>
      </c>
    </row>
    <row r="864" spans="1:46" ht="78" x14ac:dyDescent="0.3">
      <c r="A864" s="4" t="s">
        <v>3496</v>
      </c>
      <c r="B864" t="s">
        <v>47</v>
      </c>
      <c r="C864" s="4" t="s">
        <v>3497</v>
      </c>
      <c r="D864" s="4" t="s">
        <v>3498</v>
      </c>
      <c r="E864" s="4" t="s">
        <v>49</v>
      </c>
      <c r="F864" s="5" t="s">
        <v>3499</v>
      </c>
      <c r="G864" t="s">
        <v>47</v>
      </c>
      <c r="H864" t="s">
        <v>47</v>
      </c>
      <c r="I864" s="3">
        <v>36130</v>
      </c>
      <c r="J864" s="3">
        <v>44287</v>
      </c>
      <c r="K864" t="s">
        <v>47</v>
      </c>
      <c r="L864" s="5" t="s">
        <v>60</v>
      </c>
      <c r="M864" s="3">
        <v>36130</v>
      </c>
      <c r="N864" s="3">
        <v>44287</v>
      </c>
      <c r="O864" t="s">
        <v>47</v>
      </c>
      <c r="P864" s="3">
        <v>36130</v>
      </c>
      <c r="Q864" s="3">
        <v>44287</v>
      </c>
      <c r="R864" t="s">
        <v>47</v>
      </c>
      <c r="S864" t="s">
        <v>47</v>
      </c>
      <c r="T864" t="s">
        <v>47</v>
      </c>
      <c r="U864" t="s">
        <v>47</v>
      </c>
      <c r="V864" t="s">
        <v>47</v>
      </c>
      <c r="W864" s="3">
        <v>36130</v>
      </c>
      <c r="X864" s="3">
        <v>44287</v>
      </c>
      <c r="Y864" t="s">
        <v>47</v>
      </c>
      <c r="Z864" s="3">
        <v>36130</v>
      </c>
      <c r="AA864" s="3">
        <v>44287</v>
      </c>
      <c r="AB864" t="s">
        <v>47</v>
      </c>
      <c r="AC864" s="3">
        <v>36130</v>
      </c>
      <c r="AD864" s="3">
        <v>44287</v>
      </c>
      <c r="AE864" t="s">
        <v>47</v>
      </c>
      <c r="AF864" t="s">
        <v>47</v>
      </c>
      <c r="AG864" t="s">
        <v>47</v>
      </c>
      <c r="AH864" t="s">
        <v>47</v>
      </c>
      <c r="AI864" t="s">
        <v>47</v>
      </c>
      <c r="AJ864" t="s">
        <v>47</v>
      </c>
      <c r="AK864" t="s">
        <v>47</v>
      </c>
      <c r="AL864" t="s">
        <v>47</v>
      </c>
      <c r="AM864" t="s">
        <v>47</v>
      </c>
      <c r="AN864" t="s">
        <v>47</v>
      </c>
      <c r="AO864" s="5" t="s">
        <v>60</v>
      </c>
      <c r="AP864" s="4" t="s">
        <v>61</v>
      </c>
      <c r="AQ864" s="4" t="s">
        <v>53</v>
      </c>
      <c r="AR864" s="4" t="s">
        <v>436</v>
      </c>
      <c r="AS864" s="5">
        <v>47765</v>
      </c>
      <c r="AT864" t="s">
        <v>47</v>
      </c>
    </row>
    <row r="865" spans="1:46" ht="104" x14ac:dyDescent="0.3">
      <c r="A865" s="4" t="s">
        <v>3500</v>
      </c>
      <c r="B865" t="s">
        <v>47</v>
      </c>
      <c r="C865" s="4" t="s">
        <v>122</v>
      </c>
      <c r="D865" s="4" t="s">
        <v>70</v>
      </c>
      <c r="E865" s="4" t="s">
        <v>123</v>
      </c>
      <c r="F865" s="5" t="s">
        <v>3501</v>
      </c>
      <c r="G865" s="5" t="s">
        <v>3502</v>
      </c>
      <c r="H865" t="s">
        <v>47</v>
      </c>
      <c r="I865" s="3">
        <v>35490</v>
      </c>
      <c r="J865" s="5" t="s">
        <v>50</v>
      </c>
      <c r="K865" t="s">
        <v>47</v>
      </c>
      <c r="L865" s="5" t="s">
        <v>60</v>
      </c>
      <c r="M865" t="s">
        <v>47</v>
      </c>
      <c r="N865" t="s">
        <v>47</v>
      </c>
      <c r="O865" t="s">
        <v>47</v>
      </c>
      <c r="P865" s="3">
        <v>35490</v>
      </c>
      <c r="Q865" s="5" t="s">
        <v>50</v>
      </c>
      <c r="R865" t="s">
        <v>47</v>
      </c>
      <c r="S865" t="s">
        <v>47</v>
      </c>
      <c r="T865" t="s">
        <v>47</v>
      </c>
      <c r="U865" t="s">
        <v>47</v>
      </c>
      <c r="V865" s="5">
        <v>365</v>
      </c>
      <c r="W865" s="3">
        <v>35490</v>
      </c>
      <c r="X865" s="5" t="s">
        <v>50</v>
      </c>
      <c r="Y865" t="s">
        <v>47</v>
      </c>
      <c r="Z865" s="3">
        <v>35490</v>
      </c>
      <c r="AA865" s="5" t="s">
        <v>50</v>
      </c>
      <c r="AB865" t="s">
        <v>47</v>
      </c>
      <c r="AC865" s="3">
        <v>35490</v>
      </c>
      <c r="AD865" s="5" t="s">
        <v>50</v>
      </c>
      <c r="AE865" t="s">
        <v>47</v>
      </c>
      <c r="AF865" t="s">
        <v>47</v>
      </c>
      <c r="AG865" t="s">
        <v>47</v>
      </c>
      <c r="AH865" t="s">
        <v>47</v>
      </c>
      <c r="AI865" t="s">
        <v>47</v>
      </c>
      <c r="AJ865" t="s">
        <v>47</v>
      </c>
      <c r="AK865" t="s">
        <v>47</v>
      </c>
      <c r="AL865" t="s">
        <v>47</v>
      </c>
      <c r="AM865" t="s">
        <v>47</v>
      </c>
      <c r="AN865" t="s">
        <v>47</v>
      </c>
      <c r="AO865" s="5" t="s">
        <v>60</v>
      </c>
      <c r="AP865" s="4" t="s">
        <v>61</v>
      </c>
      <c r="AQ865" s="4" t="s">
        <v>53</v>
      </c>
      <c r="AR865" s="4" t="s">
        <v>3503</v>
      </c>
      <c r="AS865" s="5">
        <v>2038057</v>
      </c>
      <c r="AT865" t="s">
        <v>47</v>
      </c>
    </row>
    <row r="866" spans="1:46" ht="39" x14ac:dyDescent="0.3">
      <c r="A866" s="4" t="s">
        <v>3504</v>
      </c>
      <c r="B866" t="s">
        <v>47</v>
      </c>
      <c r="C866" s="4" t="s">
        <v>183</v>
      </c>
      <c r="D866" s="4" t="s">
        <v>597</v>
      </c>
      <c r="E866" s="4" t="s">
        <v>49</v>
      </c>
      <c r="F866" s="5" t="s">
        <v>3505</v>
      </c>
      <c r="G866" s="5" t="s">
        <v>3506</v>
      </c>
      <c r="H866" t="s">
        <v>47</v>
      </c>
      <c r="I866" s="3">
        <v>37073</v>
      </c>
      <c r="J866" s="3">
        <v>40238</v>
      </c>
      <c r="K866" t="s">
        <v>47</v>
      </c>
      <c r="L866" s="5" t="s">
        <v>60</v>
      </c>
      <c r="M866" s="3">
        <v>37073</v>
      </c>
      <c r="N866" s="3">
        <v>39783</v>
      </c>
      <c r="O866" t="s">
        <v>47</v>
      </c>
      <c r="P866" s="3">
        <v>37073</v>
      </c>
      <c r="Q866" s="3">
        <v>40238</v>
      </c>
      <c r="R866" t="s">
        <v>47</v>
      </c>
      <c r="S866" t="s">
        <v>47</v>
      </c>
      <c r="T866" t="s">
        <v>47</v>
      </c>
      <c r="U866" t="s">
        <v>47</v>
      </c>
      <c r="V866" t="s">
        <v>47</v>
      </c>
      <c r="W866" s="3">
        <v>32964</v>
      </c>
      <c r="X866" s="5" t="s">
        <v>50</v>
      </c>
      <c r="Y866" t="s">
        <v>47</v>
      </c>
      <c r="Z866" s="3">
        <v>32964</v>
      </c>
      <c r="AA866" s="5" t="s">
        <v>50</v>
      </c>
      <c r="AB866" t="s">
        <v>47</v>
      </c>
      <c r="AC866" s="3">
        <v>37347</v>
      </c>
      <c r="AD866" s="5" t="s">
        <v>50</v>
      </c>
      <c r="AE866" t="s">
        <v>47</v>
      </c>
      <c r="AF866" t="s">
        <v>47</v>
      </c>
      <c r="AG866" t="s">
        <v>47</v>
      </c>
      <c r="AH866" t="s">
        <v>47</v>
      </c>
      <c r="AI866" t="s">
        <v>47</v>
      </c>
      <c r="AJ866" t="s">
        <v>47</v>
      </c>
      <c r="AK866" t="s">
        <v>47</v>
      </c>
      <c r="AL866" t="s">
        <v>47</v>
      </c>
      <c r="AM866" t="s">
        <v>47</v>
      </c>
      <c r="AN866" t="s">
        <v>47</v>
      </c>
      <c r="AO866" s="5" t="s">
        <v>60</v>
      </c>
      <c r="AP866" s="4" t="s">
        <v>61</v>
      </c>
      <c r="AQ866" s="4" t="s">
        <v>53</v>
      </c>
      <c r="AR866" s="4" t="s">
        <v>3507</v>
      </c>
      <c r="AS866" s="5">
        <v>26334</v>
      </c>
      <c r="AT866" t="s">
        <v>47</v>
      </c>
    </row>
    <row r="867" spans="1:46" ht="26" x14ac:dyDescent="0.3">
      <c r="A867" s="4" t="s">
        <v>3508</v>
      </c>
      <c r="B867" t="s">
        <v>47</v>
      </c>
      <c r="C867" s="4" t="s">
        <v>2786</v>
      </c>
      <c r="D867" s="4" t="s">
        <v>914</v>
      </c>
      <c r="E867" s="4" t="s">
        <v>100</v>
      </c>
      <c r="F867" s="5" t="s">
        <v>3509</v>
      </c>
      <c r="G867" t="s">
        <v>47</v>
      </c>
      <c r="H867" t="s">
        <v>47</v>
      </c>
      <c r="I867" s="3">
        <v>38078</v>
      </c>
      <c r="J867" s="3">
        <v>39722</v>
      </c>
      <c r="K867" t="s">
        <v>47</v>
      </c>
      <c r="L867" s="5" t="s">
        <v>60</v>
      </c>
      <c r="M867" s="3">
        <v>38078</v>
      </c>
      <c r="N867" s="3">
        <v>38626</v>
      </c>
      <c r="O867" t="s">
        <v>47</v>
      </c>
      <c r="P867" s="3">
        <v>38078</v>
      </c>
      <c r="Q867" s="3">
        <v>39722</v>
      </c>
      <c r="R867" t="s">
        <v>47</v>
      </c>
      <c r="S867" t="s">
        <v>47</v>
      </c>
      <c r="T867" t="s">
        <v>47</v>
      </c>
      <c r="U867" t="s">
        <v>47</v>
      </c>
      <c r="V867" t="s">
        <v>47</v>
      </c>
      <c r="W867" s="3">
        <v>33695</v>
      </c>
      <c r="X867" s="3">
        <v>39722</v>
      </c>
      <c r="Y867" t="s">
        <v>47</v>
      </c>
      <c r="Z867" s="3">
        <v>33695</v>
      </c>
      <c r="AA867" s="3">
        <v>39722</v>
      </c>
      <c r="AB867" t="s">
        <v>47</v>
      </c>
      <c r="AC867" s="3">
        <v>38078</v>
      </c>
      <c r="AD867" s="3">
        <v>39722</v>
      </c>
      <c r="AE867" t="s">
        <v>47</v>
      </c>
      <c r="AF867" t="s">
        <v>47</v>
      </c>
      <c r="AG867" t="s">
        <v>47</v>
      </c>
      <c r="AH867" t="s">
        <v>47</v>
      </c>
      <c r="AI867" t="s">
        <v>47</v>
      </c>
      <c r="AJ867" t="s">
        <v>47</v>
      </c>
      <c r="AK867" t="s">
        <v>47</v>
      </c>
      <c r="AL867" t="s">
        <v>47</v>
      </c>
      <c r="AM867" t="s">
        <v>47</v>
      </c>
      <c r="AN867" t="s">
        <v>47</v>
      </c>
      <c r="AO867" s="5" t="s">
        <v>60</v>
      </c>
      <c r="AP867" s="4" t="s">
        <v>61</v>
      </c>
      <c r="AQ867" s="4" t="s">
        <v>198</v>
      </c>
      <c r="AR867" s="4" t="s">
        <v>54</v>
      </c>
      <c r="AS867" s="5">
        <v>25998</v>
      </c>
      <c r="AT867" t="s">
        <v>47</v>
      </c>
    </row>
    <row r="868" spans="1:46" ht="104" x14ac:dyDescent="0.3">
      <c r="A868" s="4" t="s">
        <v>3510</v>
      </c>
      <c r="B868" t="s">
        <v>47</v>
      </c>
      <c r="C868" s="4" t="s">
        <v>115</v>
      </c>
      <c r="D868" s="4" t="s">
        <v>1019</v>
      </c>
      <c r="E868" s="4" t="s">
        <v>66</v>
      </c>
      <c r="F868" s="5" t="s">
        <v>3511</v>
      </c>
      <c r="G868" s="5" t="s">
        <v>3512</v>
      </c>
      <c r="H868" t="s">
        <v>47</v>
      </c>
      <c r="I868" s="3">
        <v>36951</v>
      </c>
      <c r="J868" s="5" t="s">
        <v>50</v>
      </c>
      <c r="K868" t="s">
        <v>47</v>
      </c>
      <c r="L868" s="5" t="s">
        <v>60</v>
      </c>
      <c r="M868" s="3">
        <v>36951</v>
      </c>
      <c r="N868" s="5" t="s">
        <v>50</v>
      </c>
      <c r="O868" t="s">
        <v>47</v>
      </c>
      <c r="P868" s="3">
        <v>36951</v>
      </c>
      <c r="Q868" s="5" t="s">
        <v>50</v>
      </c>
      <c r="R868" t="s">
        <v>47</v>
      </c>
      <c r="S868" t="s">
        <v>47</v>
      </c>
      <c r="T868" t="s">
        <v>47</v>
      </c>
      <c r="U868" t="s">
        <v>47</v>
      </c>
      <c r="V868" s="5">
        <v>365</v>
      </c>
      <c r="W868" s="3">
        <v>36951</v>
      </c>
      <c r="X868" s="5" t="s">
        <v>50</v>
      </c>
      <c r="Y868" t="s">
        <v>47</v>
      </c>
      <c r="Z868" s="3">
        <v>36951</v>
      </c>
      <c r="AA868" s="5" t="s">
        <v>50</v>
      </c>
      <c r="AB868" t="s">
        <v>47</v>
      </c>
      <c r="AC868" s="3">
        <v>37987</v>
      </c>
      <c r="AD868" s="5" t="s">
        <v>50</v>
      </c>
      <c r="AE868" t="s">
        <v>47</v>
      </c>
      <c r="AF868" t="s">
        <v>47</v>
      </c>
      <c r="AG868" t="s">
        <v>47</v>
      </c>
      <c r="AH868" t="s">
        <v>47</v>
      </c>
      <c r="AI868" t="s">
        <v>47</v>
      </c>
      <c r="AJ868" t="s">
        <v>47</v>
      </c>
      <c r="AK868" t="s">
        <v>47</v>
      </c>
      <c r="AL868" t="s">
        <v>47</v>
      </c>
      <c r="AM868" t="s">
        <v>47</v>
      </c>
      <c r="AN868" t="s">
        <v>47</v>
      </c>
      <c r="AO868" s="5" t="s">
        <v>60</v>
      </c>
      <c r="AP868" s="4" t="s">
        <v>61</v>
      </c>
      <c r="AQ868" s="4" t="s">
        <v>53</v>
      </c>
      <c r="AR868" s="4" t="s">
        <v>3513</v>
      </c>
      <c r="AS868" s="5">
        <v>33225</v>
      </c>
      <c r="AT868" t="s">
        <v>47</v>
      </c>
    </row>
    <row r="869" spans="1:46" ht="52" x14ac:dyDescent="0.3">
      <c r="A869" s="4" t="s">
        <v>3514</v>
      </c>
      <c r="B869" t="s">
        <v>47</v>
      </c>
      <c r="C869" s="4" t="s">
        <v>64</v>
      </c>
      <c r="D869" s="4" t="s">
        <v>139</v>
      </c>
      <c r="E869" s="4" t="s">
        <v>66</v>
      </c>
      <c r="F869" s="5" t="s">
        <v>3515</v>
      </c>
      <c r="G869" s="5" t="s">
        <v>3516</v>
      </c>
      <c r="H869" t="s">
        <v>47</v>
      </c>
      <c r="I869" t="s">
        <v>47</v>
      </c>
      <c r="J869" t="s">
        <v>47</v>
      </c>
      <c r="K869" t="s">
        <v>47</v>
      </c>
      <c r="L869" s="5" t="s">
        <v>60</v>
      </c>
      <c r="M869" t="s">
        <v>47</v>
      </c>
      <c r="N869" t="s">
        <v>47</v>
      </c>
      <c r="O869" t="s">
        <v>47</v>
      </c>
      <c r="P869" t="s">
        <v>47</v>
      </c>
      <c r="Q869" t="s">
        <v>47</v>
      </c>
      <c r="R869" t="s">
        <v>47</v>
      </c>
      <c r="S869" t="s">
        <v>47</v>
      </c>
      <c r="T869" t="s">
        <v>47</v>
      </c>
      <c r="U869" t="s">
        <v>47</v>
      </c>
      <c r="V869" t="s">
        <v>47</v>
      </c>
      <c r="W869" s="3">
        <v>25993</v>
      </c>
      <c r="X869" s="5" t="s">
        <v>50</v>
      </c>
      <c r="Y869" s="5" t="s">
        <v>3148</v>
      </c>
      <c r="Z869" s="3">
        <v>25993</v>
      </c>
      <c r="AA869" s="5" t="s">
        <v>50</v>
      </c>
      <c r="AB869" s="5" t="s">
        <v>3148</v>
      </c>
      <c r="AC869" s="3">
        <v>25993</v>
      </c>
      <c r="AD869" s="5" t="s">
        <v>50</v>
      </c>
      <c r="AE869" s="5" t="s">
        <v>3148</v>
      </c>
      <c r="AF869" t="s">
        <v>47</v>
      </c>
      <c r="AG869" t="s">
        <v>47</v>
      </c>
      <c r="AH869" t="s">
        <v>47</v>
      </c>
      <c r="AI869" t="s">
        <v>47</v>
      </c>
      <c r="AJ869" t="s">
        <v>47</v>
      </c>
      <c r="AK869" t="s">
        <v>47</v>
      </c>
      <c r="AL869" t="s">
        <v>47</v>
      </c>
      <c r="AM869" t="s">
        <v>47</v>
      </c>
      <c r="AN869" t="s">
        <v>47</v>
      </c>
      <c r="AO869" s="5" t="s">
        <v>60</v>
      </c>
      <c r="AP869" s="4" t="s">
        <v>61</v>
      </c>
      <c r="AQ869" s="4" t="s">
        <v>53</v>
      </c>
      <c r="AR869" s="4" t="s">
        <v>1591</v>
      </c>
      <c r="AS869" s="5">
        <v>105520</v>
      </c>
      <c r="AT869" t="s">
        <v>47</v>
      </c>
    </row>
    <row r="870" spans="1:46" ht="13" x14ac:dyDescent="0.3">
      <c r="A870" s="4" t="s">
        <v>3517</v>
      </c>
      <c r="B870" t="s">
        <v>47</v>
      </c>
      <c r="C870" s="4" t="s">
        <v>183</v>
      </c>
      <c r="D870" s="4" t="s">
        <v>333</v>
      </c>
      <c r="E870" s="4" t="s">
        <v>49</v>
      </c>
      <c r="F870" s="5" t="s">
        <v>3518</v>
      </c>
      <c r="G870" s="5" t="s">
        <v>3519</v>
      </c>
      <c r="H870" t="s">
        <v>47</v>
      </c>
      <c r="I870" t="s">
        <v>47</v>
      </c>
      <c r="J870" t="s">
        <v>47</v>
      </c>
      <c r="K870" t="s">
        <v>47</v>
      </c>
      <c r="L870" s="5" t="s">
        <v>60</v>
      </c>
      <c r="M870" t="s">
        <v>47</v>
      </c>
      <c r="N870" t="s">
        <v>47</v>
      </c>
      <c r="O870" t="s">
        <v>47</v>
      </c>
      <c r="P870" t="s">
        <v>47</v>
      </c>
      <c r="Q870" t="s">
        <v>47</v>
      </c>
      <c r="R870" t="s">
        <v>47</v>
      </c>
      <c r="S870" t="s">
        <v>47</v>
      </c>
      <c r="T870" t="s">
        <v>47</v>
      </c>
      <c r="U870" t="s">
        <v>47</v>
      </c>
      <c r="V870" t="s">
        <v>47</v>
      </c>
      <c r="W870" s="3">
        <v>35096</v>
      </c>
      <c r="X870" s="5" t="s">
        <v>50</v>
      </c>
      <c r="Y870" t="s">
        <v>47</v>
      </c>
      <c r="Z870" s="3">
        <v>35096</v>
      </c>
      <c r="AA870" s="5" t="s">
        <v>50</v>
      </c>
      <c r="AB870" t="s">
        <v>47</v>
      </c>
      <c r="AC870" s="3">
        <v>35096</v>
      </c>
      <c r="AD870" s="5" t="s">
        <v>50</v>
      </c>
      <c r="AE870" t="s">
        <v>47</v>
      </c>
      <c r="AF870" t="s">
        <v>47</v>
      </c>
      <c r="AG870" t="s">
        <v>47</v>
      </c>
      <c r="AH870" t="s">
        <v>47</v>
      </c>
      <c r="AI870" t="s">
        <v>47</v>
      </c>
      <c r="AJ870" t="s">
        <v>47</v>
      </c>
      <c r="AK870" t="s">
        <v>47</v>
      </c>
      <c r="AL870" t="s">
        <v>47</v>
      </c>
      <c r="AM870" t="s">
        <v>47</v>
      </c>
      <c r="AN870" t="s">
        <v>47</v>
      </c>
      <c r="AO870" s="5" t="s">
        <v>60</v>
      </c>
      <c r="AP870" s="4" t="s">
        <v>61</v>
      </c>
      <c r="AQ870" s="4" t="s">
        <v>53</v>
      </c>
      <c r="AR870" s="4" t="s">
        <v>483</v>
      </c>
      <c r="AS870" s="5">
        <v>38160</v>
      </c>
      <c r="AT870" t="s">
        <v>47</v>
      </c>
    </row>
    <row r="871" spans="1:46" ht="26" x14ac:dyDescent="0.3">
      <c r="A871" s="4" t="s">
        <v>3520</v>
      </c>
      <c r="B871" t="s">
        <v>47</v>
      </c>
      <c r="C871" s="4" t="s">
        <v>3521</v>
      </c>
      <c r="D871" s="4" t="s">
        <v>3522</v>
      </c>
      <c r="E871" s="4" t="s">
        <v>869</v>
      </c>
      <c r="F871" s="5" t="s">
        <v>3523</v>
      </c>
      <c r="G871" s="5" t="s">
        <v>3524</v>
      </c>
      <c r="H871" t="s">
        <v>47</v>
      </c>
      <c r="I871" s="3">
        <v>42736</v>
      </c>
      <c r="J871" s="5" t="s">
        <v>50</v>
      </c>
      <c r="K871" t="s">
        <v>47</v>
      </c>
      <c r="L871" s="5" t="s">
        <v>60</v>
      </c>
      <c r="M871" t="s">
        <v>47</v>
      </c>
      <c r="N871" t="s">
        <v>47</v>
      </c>
      <c r="O871" t="s">
        <v>47</v>
      </c>
      <c r="P871" s="3">
        <v>42736</v>
      </c>
      <c r="Q871" s="5" t="s">
        <v>50</v>
      </c>
      <c r="R871" t="s">
        <v>47</v>
      </c>
      <c r="S871" t="s">
        <v>47</v>
      </c>
      <c r="T871" t="s">
        <v>47</v>
      </c>
      <c r="U871" t="s">
        <v>47</v>
      </c>
      <c r="V871" t="s">
        <v>47</v>
      </c>
      <c r="W871" s="3">
        <v>42736</v>
      </c>
      <c r="X871" s="5" t="s">
        <v>50</v>
      </c>
      <c r="Y871" t="s">
        <v>47</v>
      </c>
      <c r="Z871" s="3">
        <v>42736</v>
      </c>
      <c r="AA871" s="5" t="s">
        <v>50</v>
      </c>
      <c r="AB871" t="s">
        <v>47</v>
      </c>
      <c r="AC871" s="3">
        <v>42736</v>
      </c>
      <c r="AD871" s="5" t="s">
        <v>50</v>
      </c>
      <c r="AE871" t="s">
        <v>47</v>
      </c>
      <c r="AF871" t="s">
        <v>47</v>
      </c>
      <c r="AG871" t="s">
        <v>47</v>
      </c>
      <c r="AH871" t="s">
        <v>47</v>
      </c>
      <c r="AI871" t="s">
        <v>47</v>
      </c>
      <c r="AJ871" t="s">
        <v>47</v>
      </c>
      <c r="AK871" t="s">
        <v>47</v>
      </c>
      <c r="AL871" t="s">
        <v>47</v>
      </c>
      <c r="AM871" t="s">
        <v>47</v>
      </c>
      <c r="AN871" t="s">
        <v>47</v>
      </c>
      <c r="AO871" s="5" t="s">
        <v>60</v>
      </c>
      <c r="AP871" s="4" t="s">
        <v>61</v>
      </c>
      <c r="AQ871" s="4" t="s">
        <v>53</v>
      </c>
      <c r="AR871" s="4" t="s">
        <v>54</v>
      </c>
      <c r="AS871" s="5">
        <v>4543194</v>
      </c>
      <c r="AT871" t="s">
        <v>47</v>
      </c>
    </row>
    <row r="872" spans="1:46" ht="52" x14ac:dyDescent="0.3">
      <c r="A872" s="4" t="s">
        <v>3525</v>
      </c>
      <c r="B872" t="s">
        <v>47</v>
      </c>
      <c r="C872" s="4" t="s">
        <v>169</v>
      </c>
      <c r="D872" s="4" t="s">
        <v>392</v>
      </c>
      <c r="E872" s="4" t="s">
        <v>66</v>
      </c>
      <c r="F872" s="5" t="s">
        <v>3526</v>
      </c>
      <c r="G872" s="5" t="s">
        <v>3527</v>
      </c>
      <c r="H872" t="s">
        <v>47</v>
      </c>
      <c r="I872" t="s">
        <v>47</v>
      </c>
      <c r="J872" t="s">
        <v>47</v>
      </c>
      <c r="K872" t="s">
        <v>47</v>
      </c>
      <c r="L872" s="5" t="s">
        <v>60</v>
      </c>
      <c r="M872" t="s">
        <v>47</v>
      </c>
      <c r="N872" t="s">
        <v>47</v>
      </c>
      <c r="O872" t="s">
        <v>47</v>
      </c>
      <c r="P872" t="s">
        <v>47</v>
      </c>
      <c r="Q872" t="s">
        <v>47</v>
      </c>
      <c r="R872" t="s">
        <v>47</v>
      </c>
      <c r="S872" t="s">
        <v>47</v>
      </c>
      <c r="T872" t="s">
        <v>47</v>
      </c>
      <c r="U872" t="s">
        <v>47</v>
      </c>
      <c r="V872" t="s">
        <v>47</v>
      </c>
      <c r="W872" s="3">
        <v>40179</v>
      </c>
      <c r="X872" s="5" t="s">
        <v>50</v>
      </c>
      <c r="Y872" t="s">
        <v>47</v>
      </c>
      <c r="Z872" s="3">
        <v>40179</v>
      </c>
      <c r="AA872" s="5" t="s">
        <v>50</v>
      </c>
      <c r="AB872" t="s">
        <v>47</v>
      </c>
      <c r="AC872" s="3">
        <v>40179</v>
      </c>
      <c r="AD872" s="5" t="s">
        <v>50</v>
      </c>
      <c r="AE872" t="s">
        <v>47</v>
      </c>
      <c r="AF872" t="s">
        <v>47</v>
      </c>
      <c r="AG872" t="s">
        <v>47</v>
      </c>
      <c r="AH872" t="s">
        <v>47</v>
      </c>
      <c r="AI872" t="s">
        <v>47</v>
      </c>
      <c r="AJ872" t="s">
        <v>47</v>
      </c>
      <c r="AK872" t="s">
        <v>47</v>
      </c>
      <c r="AL872" t="s">
        <v>47</v>
      </c>
      <c r="AM872" t="s">
        <v>47</v>
      </c>
      <c r="AN872" t="s">
        <v>47</v>
      </c>
      <c r="AO872" s="5" t="s">
        <v>60</v>
      </c>
      <c r="AP872" s="4" t="s">
        <v>61</v>
      </c>
      <c r="AQ872" s="4" t="s">
        <v>53</v>
      </c>
      <c r="AR872" s="4" t="s">
        <v>588</v>
      </c>
      <c r="AS872" s="5">
        <v>426759</v>
      </c>
      <c r="AT872" t="s">
        <v>47</v>
      </c>
    </row>
    <row r="873" spans="1:46" ht="156" x14ac:dyDescent="0.3">
      <c r="A873" s="4" t="s">
        <v>3528</v>
      </c>
      <c r="B873" t="s">
        <v>47</v>
      </c>
      <c r="C873" s="4" t="s">
        <v>183</v>
      </c>
      <c r="D873" s="4" t="s">
        <v>333</v>
      </c>
      <c r="E873" s="4" t="s">
        <v>49</v>
      </c>
      <c r="F873" s="5" t="s">
        <v>3529</v>
      </c>
      <c r="G873" s="5" t="s">
        <v>3530</v>
      </c>
      <c r="H873" t="s">
        <v>47</v>
      </c>
      <c r="I873" s="3">
        <v>36526</v>
      </c>
      <c r="J873" s="3">
        <v>43070</v>
      </c>
      <c r="K873" t="s">
        <v>47</v>
      </c>
      <c r="L873" s="5" t="s">
        <v>60</v>
      </c>
      <c r="M873" s="3">
        <v>36526</v>
      </c>
      <c r="N873" s="3">
        <v>43070</v>
      </c>
      <c r="O873" t="s">
        <v>47</v>
      </c>
      <c r="P873" s="3">
        <v>36526</v>
      </c>
      <c r="Q873" s="3">
        <v>43070</v>
      </c>
      <c r="R873" t="s">
        <v>47</v>
      </c>
      <c r="S873" t="s">
        <v>47</v>
      </c>
      <c r="T873" t="s">
        <v>47</v>
      </c>
      <c r="U873" t="s">
        <v>47</v>
      </c>
      <c r="V873" t="s">
        <v>47</v>
      </c>
      <c r="W873" s="3">
        <v>29768</v>
      </c>
      <c r="X873" s="5" t="s">
        <v>50</v>
      </c>
      <c r="Y873" t="s">
        <v>47</v>
      </c>
      <c r="Z873" s="3">
        <v>29768</v>
      </c>
      <c r="AA873" s="5" t="s">
        <v>50</v>
      </c>
      <c r="AB873" t="s">
        <v>47</v>
      </c>
      <c r="AC873" s="3">
        <v>39508</v>
      </c>
      <c r="AD873" s="5" t="s">
        <v>50</v>
      </c>
      <c r="AE873" t="s">
        <v>47</v>
      </c>
      <c r="AF873" t="s">
        <v>47</v>
      </c>
      <c r="AG873" t="s">
        <v>47</v>
      </c>
      <c r="AH873" t="s">
        <v>47</v>
      </c>
      <c r="AI873" t="s">
        <v>47</v>
      </c>
      <c r="AJ873" t="s">
        <v>47</v>
      </c>
      <c r="AK873" t="s">
        <v>47</v>
      </c>
      <c r="AL873" t="s">
        <v>47</v>
      </c>
      <c r="AM873" t="s">
        <v>47</v>
      </c>
      <c r="AN873" t="s">
        <v>47</v>
      </c>
      <c r="AO873" s="5" t="s">
        <v>60</v>
      </c>
      <c r="AP873" s="4" t="s">
        <v>61</v>
      </c>
      <c r="AQ873" s="4" t="s">
        <v>53</v>
      </c>
      <c r="AR873" s="4" t="s">
        <v>3531</v>
      </c>
      <c r="AS873" s="5">
        <v>32947</v>
      </c>
      <c r="AT873" t="s">
        <v>47</v>
      </c>
    </row>
    <row r="874" spans="1:46" ht="39" x14ac:dyDescent="0.3">
      <c r="A874" s="4" t="s">
        <v>3532</v>
      </c>
      <c r="B874" t="s">
        <v>47</v>
      </c>
      <c r="C874" s="4" t="s">
        <v>2455</v>
      </c>
      <c r="D874" s="4" t="s">
        <v>3101</v>
      </c>
      <c r="E874" s="4" t="s">
        <v>49</v>
      </c>
      <c r="F874" t="s">
        <v>47</v>
      </c>
      <c r="G874" s="5" t="s">
        <v>3533</v>
      </c>
      <c r="H874" t="s">
        <v>47</v>
      </c>
      <c r="I874" s="3">
        <v>43466</v>
      </c>
      <c r="J874" s="3">
        <v>43831</v>
      </c>
      <c r="K874" t="s">
        <v>47</v>
      </c>
      <c r="L874" s="5" t="s">
        <v>60</v>
      </c>
      <c r="M874" t="s">
        <v>47</v>
      </c>
      <c r="N874" t="s">
        <v>47</v>
      </c>
      <c r="O874" t="s">
        <v>47</v>
      </c>
      <c r="P874" s="3">
        <v>43466</v>
      </c>
      <c r="Q874" s="3">
        <v>43831</v>
      </c>
      <c r="R874" t="s">
        <v>47</v>
      </c>
      <c r="S874" t="s">
        <v>47</v>
      </c>
      <c r="T874" t="s">
        <v>47</v>
      </c>
      <c r="U874" t="s">
        <v>47</v>
      </c>
      <c r="V874" t="s">
        <v>47</v>
      </c>
      <c r="W874" s="3">
        <v>43466</v>
      </c>
      <c r="X874" s="3">
        <v>43831</v>
      </c>
      <c r="Y874" t="s">
        <v>47</v>
      </c>
      <c r="Z874" s="3">
        <v>43466</v>
      </c>
      <c r="AA874" s="3">
        <v>43831</v>
      </c>
      <c r="AB874" t="s">
        <v>47</v>
      </c>
      <c r="AC874" s="3">
        <v>43466</v>
      </c>
      <c r="AD874" s="3">
        <v>43831</v>
      </c>
      <c r="AE874" t="s">
        <v>47</v>
      </c>
      <c r="AF874" t="s">
        <v>47</v>
      </c>
      <c r="AG874" t="s">
        <v>47</v>
      </c>
      <c r="AH874" t="s">
        <v>47</v>
      </c>
      <c r="AI874" t="s">
        <v>47</v>
      </c>
      <c r="AJ874" t="s">
        <v>47</v>
      </c>
      <c r="AK874" t="s">
        <v>47</v>
      </c>
      <c r="AL874" t="s">
        <v>47</v>
      </c>
      <c r="AM874" t="s">
        <v>47</v>
      </c>
      <c r="AN874" t="s">
        <v>47</v>
      </c>
      <c r="AO874" s="5" t="s">
        <v>60</v>
      </c>
      <c r="AP874" s="4" t="s">
        <v>61</v>
      </c>
      <c r="AQ874" s="4" t="s">
        <v>53</v>
      </c>
      <c r="AR874" s="4" t="s">
        <v>62</v>
      </c>
      <c r="AS874" s="5">
        <v>4661819</v>
      </c>
      <c r="AT874" t="s">
        <v>47</v>
      </c>
    </row>
    <row r="875" spans="1:46" ht="91" x14ac:dyDescent="0.3">
      <c r="A875" s="4" t="s">
        <v>3534</v>
      </c>
      <c r="B875" t="s">
        <v>47</v>
      </c>
      <c r="C875" s="4" t="s">
        <v>519</v>
      </c>
      <c r="D875" s="4" t="s">
        <v>88</v>
      </c>
      <c r="E875" s="4" t="s">
        <v>49</v>
      </c>
      <c r="F875" s="5" t="s">
        <v>3535</v>
      </c>
      <c r="G875" s="5" t="s">
        <v>3536</v>
      </c>
      <c r="H875" t="s">
        <v>47</v>
      </c>
      <c r="I875" s="3">
        <v>35431</v>
      </c>
      <c r="J875" s="3">
        <v>40452</v>
      </c>
      <c r="K875" t="s">
        <v>47</v>
      </c>
      <c r="L875" s="5" t="s">
        <v>60</v>
      </c>
      <c r="M875" s="3">
        <v>35431</v>
      </c>
      <c r="N875" s="3">
        <v>40452</v>
      </c>
      <c r="O875" t="s">
        <v>47</v>
      </c>
      <c r="P875" s="3">
        <v>35431</v>
      </c>
      <c r="Q875" s="3">
        <v>40452</v>
      </c>
      <c r="R875" t="s">
        <v>47</v>
      </c>
      <c r="S875" t="s">
        <v>47</v>
      </c>
      <c r="T875" t="s">
        <v>47</v>
      </c>
      <c r="U875" t="s">
        <v>47</v>
      </c>
      <c r="V875" t="s">
        <v>47</v>
      </c>
      <c r="W875" s="3">
        <v>35431</v>
      </c>
      <c r="X875" s="5" t="s">
        <v>50</v>
      </c>
      <c r="Y875" t="s">
        <v>47</v>
      </c>
      <c r="Z875" s="3">
        <v>35431</v>
      </c>
      <c r="AA875" s="5" t="s">
        <v>50</v>
      </c>
      <c r="AB875" t="s">
        <v>47</v>
      </c>
      <c r="AC875" s="3">
        <v>37622</v>
      </c>
      <c r="AD875" s="5" t="s">
        <v>50</v>
      </c>
      <c r="AE875" t="s">
        <v>47</v>
      </c>
      <c r="AF875" t="s">
        <v>47</v>
      </c>
      <c r="AG875" t="s">
        <v>47</v>
      </c>
      <c r="AH875" t="s">
        <v>47</v>
      </c>
      <c r="AI875" t="s">
        <v>47</v>
      </c>
      <c r="AJ875" t="s">
        <v>47</v>
      </c>
      <c r="AK875" t="s">
        <v>47</v>
      </c>
      <c r="AL875" t="s">
        <v>47</v>
      </c>
      <c r="AM875" t="s">
        <v>47</v>
      </c>
      <c r="AN875" t="s">
        <v>47</v>
      </c>
      <c r="AO875" s="5" t="s">
        <v>60</v>
      </c>
      <c r="AP875" s="4" t="s">
        <v>61</v>
      </c>
      <c r="AQ875" s="4" t="s">
        <v>53</v>
      </c>
      <c r="AR875" s="4" t="s">
        <v>316</v>
      </c>
      <c r="AS875" s="5">
        <v>47601</v>
      </c>
      <c r="AT875" t="s">
        <v>47</v>
      </c>
    </row>
    <row r="876" spans="1:46" ht="91" x14ac:dyDescent="0.3">
      <c r="A876" s="4" t="s">
        <v>3537</v>
      </c>
      <c r="B876" t="s">
        <v>47</v>
      </c>
      <c r="C876" s="4" t="s">
        <v>519</v>
      </c>
      <c r="D876" s="4" t="s">
        <v>88</v>
      </c>
      <c r="E876" s="4" t="s">
        <v>49</v>
      </c>
      <c r="F876" s="5" t="s">
        <v>3535</v>
      </c>
      <c r="G876" s="5" t="s">
        <v>3536</v>
      </c>
      <c r="H876" t="s">
        <v>47</v>
      </c>
      <c r="I876" s="3">
        <v>31413</v>
      </c>
      <c r="J876" s="3">
        <v>35339</v>
      </c>
      <c r="K876" t="s">
        <v>47</v>
      </c>
      <c r="L876" s="5" t="s">
        <v>60</v>
      </c>
      <c r="M876" t="s">
        <v>47</v>
      </c>
      <c r="N876" t="s">
        <v>47</v>
      </c>
      <c r="O876" t="s">
        <v>47</v>
      </c>
      <c r="P876" s="3">
        <v>31413</v>
      </c>
      <c r="Q876" s="3">
        <v>35339</v>
      </c>
      <c r="R876" t="s">
        <v>47</v>
      </c>
      <c r="S876" t="s">
        <v>47</v>
      </c>
      <c r="T876" t="s">
        <v>47</v>
      </c>
      <c r="U876" t="s">
        <v>47</v>
      </c>
      <c r="V876" t="s">
        <v>47</v>
      </c>
      <c r="W876" s="3">
        <v>31413</v>
      </c>
      <c r="X876" s="3">
        <v>35339</v>
      </c>
      <c r="Y876" t="s">
        <v>47</v>
      </c>
      <c r="Z876" s="3">
        <v>31413</v>
      </c>
      <c r="AA876" s="3">
        <v>35339</v>
      </c>
      <c r="AB876" t="s">
        <v>47</v>
      </c>
      <c r="AC876" s="3">
        <v>31413</v>
      </c>
      <c r="AD876" s="3">
        <v>35339</v>
      </c>
      <c r="AE876" t="s">
        <v>47</v>
      </c>
      <c r="AF876" t="s">
        <v>47</v>
      </c>
      <c r="AG876" t="s">
        <v>47</v>
      </c>
      <c r="AH876" t="s">
        <v>47</v>
      </c>
      <c r="AI876" t="s">
        <v>47</v>
      </c>
      <c r="AJ876" t="s">
        <v>47</v>
      </c>
      <c r="AK876" t="s">
        <v>47</v>
      </c>
      <c r="AL876" t="s">
        <v>47</v>
      </c>
      <c r="AM876" t="s">
        <v>47</v>
      </c>
      <c r="AN876" t="s">
        <v>47</v>
      </c>
      <c r="AO876" s="5" t="s">
        <v>60</v>
      </c>
      <c r="AP876" s="4" t="s">
        <v>61</v>
      </c>
      <c r="AQ876" s="4" t="s">
        <v>53</v>
      </c>
      <c r="AR876" s="4" t="s">
        <v>316</v>
      </c>
      <c r="AS876" s="5">
        <v>47604</v>
      </c>
      <c r="AT876" t="s">
        <v>47</v>
      </c>
    </row>
    <row r="877" spans="1:46" ht="91" x14ac:dyDescent="0.3">
      <c r="A877" s="4" t="s">
        <v>3538</v>
      </c>
      <c r="B877" t="s">
        <v>47</v>
      </c>
      <c r="C877" s="4" t="s">
        <v>519</v>
      </c>
      <c r="D877" s="4" t="s">
        <v>88</v>
      </c>
      <c r="E877" s="4" t="s">
        <v>49</v>
      </c>
      <c r="F877" s="5" t="s">
        <v>3535</v>
      </c>
      <c r="G877" s="5" t="s">
        <v>3536</v>
      </c>
      <c r="H877" t="s">
        <v>47</v>
      </c>
      <c r="I877" s="3">
        <v>25477</v>
      </c>
      <c r="J877" s="3">
        <v>31321</v>
      </c>
      <c r="K877" t="s">
        <v>47</v>
      </c>
      <c r="L877" s="5" t="s">
        <v>60</v>
      </c>
      <c r="M877" t="s">
        <v>47</v>
      </c>
      <c r="N877" t="s">
        <v>47</v>
      </c>
      <c r="O877" t="s">
        <v>47</v>
      </c>
      <c r="P877" s="3">
        <v>25477</v>
      </c>
      <c r="Q877" s="3">
        <v>31321</v>
      </c>
      <c r="R877" t="s">
        <v>47</v>
      </c>
      <c r="S877" t="s">
        <v>47</v>
      </c>
      <c r="T877" t="s">
        <v>47</v>
      </c>
      <c r="U877" t="s">
        <v>47</v>
      </c>
      <c r="V877" t="s">
        <v>47</v>
      </c>
      <c r="W877" s="3">
        <v>25477</v>
      </c>
      <c r="X877" s="3">
        <v>31321</v>
      </c>
      <c r="Y877" t="s">
        <v>47</v>
      </c>
      <c r="Z877" s="3">
        <v>25477</v>
      </c>
      <c r="AA877" s="3">
        <v>31321</v>
      </c>
      <c r="AB877" t="s">
        <v>47</v>
      </c>
      <c r="AC877" s="3">
        <v>25477</v>
      </c>
      <c r="AD877" s="3">
        <v>31321</v>
      </c>
      <c r="AE877" t="s">
        <v>47</v>
      </c>
      <c r="AF877" t="s">
        <v>47</v>
      </c>
      <c r="AG877" t="s">
        <v>47</v>
      </c>
      <c r="AH877" t="s">
        <v>47</v>
      </c>
      <c r="AI877" t="s">
        <v>47</v>
      </c>
      <c r="AJ877" t="s">
        <v>47</v>
      </c>
      <c r="AK877" t="s">
        <v>47</v>
      </c>
      <c r="AL877" t="s">
        <v>47</v>
      </c>
      <c r="AM877" t="s">
        <v>47</v>
      </c>
      <c r="AN877" t="s">
        <v>47</v>
      </c>
      <c r="AO877" s="5" t="s">
        <v>60</v>
      </c>
      <c r="AP877" s="4" t="s">
        <v>61</v>
      </c>
      <c r="AQ877" s="4" t="s">
        <v>53</v>
      </c>
      <c r="AR877" s="4" t="s">
        <v>316</v>
      </c>
      <c r="AS877" s="5">
        <v>47603</v>
      </c>
      <c r="AT877" t="s">
        <v>47</v>
      </c>
    </row>
    <row r="878" spans="1:46" ht="39" x14ac:dyDescent="0.3">
      <c r="A878" s="4" t="s">
        <v>3539</v>
      </c>
      <c r="B878" t="s">
        <v>47</v>
      </c>
      <c r="C878" s="4" t="s">
        <v>253</v>
      </c>
      <c r="D878" s="4" t="s">
        <v>139</v>
      </c>
      <c r="E878" s="4" t="s">
        <v>49</v>
      </c>
      <c r="F878" s="5" t="s">
        <v>3540</v>
      </c>
      <c r="G878" s="5" t="s">
        <v>3541</v>
      </c>
      <c r="H878" t="s">
        <v>47</v>
      </c>
      <c r="I878" s="3">
        <v>38353</v>
      </c>
      <c r="J878" s="3">
        <v>44440</v>
      </c>
      <c r="K878" t="s">
        <v>47</v>
      </c>
      <c r="L878" s="5" t="s">
        <v>60</v>
      </c>
      <c r="M878" s="3">
        <v>38353</v>
      </c>
      <c r="N878" s="3">
        <v>44440</v>
      </c>
      <c r="O878" t="s">
        <v>47</v>
      </c>
      <c r="P878" s="3">
        <v>38353</v>
      </c>
      <c r="Q878" s="3">
        <v>44440</v>
      </c>
      <c r="R878" t="s">
        <v>47</v>
      </c>
      <c r="S878" t="s">
        <v>47</v>
      </c>
      <c r="T878" t="s">
        <v>47</v>
      </c>
      <c r="U878" t="s">
        <v>47</v>
      </c>
      <c r="V878" t="s">
        <v>47</v>
      </c>
      <c r="W878" s="3">
        <v>38353</v>
      </c>
      <c r="X878" s="3">
        <v>44440</v>
      </c>
      <c r="Y878" t="s">
        <v>47</v>
      </c>
      <c r="Z878" s="3">
        <v>38353</v>
      </c>
      <c r="AA878" s="3">
        <v>44440</v>
      </c>
      <c r="AB878" t="s">
        <v>47</v>
      </c>
      <c r="AC878" s="3">
        <v>38353</v>
      </c>
      <c r="AD878" s="3">
        <v>44440</v>
      </c>
      <c r="AE878" t="s">
        <v>47</v>
      </c>
      <c r="AF878" t="s">
        <v>47</v>
      </c>
      <c r="AG878" t="s">
        <v>47</v>
      </c>
      <c r="AH878" t="s">
        <v>47</v>
      </c>
      <c r="AI878" t="s">
        <v>47</v>
      </c>
      <c r="AJ878" t="s">
        <v>47</v>
      </c>
      <c r="AK878" t="s">
        <v>47</v>
      </c>
      <c r="AL878" t="s">
        <v>47</v>
      </c>
      <c r="AM878" t="s">
        <v>47</v>
      </c>
      <c r="AN878" t="s">
        <v>47</v>
      </c>
      <c r="AO878" s="5" t="s">
        <v>60</v>
      </c>
      <c r="AP878" s="4" t="s">
        <v>61</v>
      </c>
      <c r="AQ878" s="4" t="s">
        <v>53</v>
      </c>
      <c r="AR878" s="4" t="s">
        <v>1830</v>
      </c>
      <c r="AS878" s="5">
        <v>38746</v>
      </c>
      <c r="AT878" t="s">
        <v>47</v>
      </c>
    </row>
    <row r="879" spans="1:46" ht="13" x14ac:dyDescent="0.3">
      <c r="A879" s="4" t="s">
        <v>3542</v>
      </c>
      <c r="B879" t="s">
        <v>47</v>
      </c>
      <c r="C879" s="4" t="s">
        <v>64</v>
      </c>
      <c r="D879" s="4" t="s">
        <v>1420</v>
      </c>
      <c r="E879" s="4" t="s">
        <v>66</v>
      </c>
      <c r="F879" s="5" t="s">
        <v>3543</v>
      </c>
      <c r="G879" s="5" t="s">
        <v>3544</v>
      </c>
      <c r="H879" t="s">
        <v>47</v>
      </c>
      <c r="I879" t="s">
        <v>47</v>
      </c>
      <c r="J879" t="s">
        <v>47</v>
      </c>
      <c r="K879" t="s">
        <v>47</v>
      </c>
      <c r="L879" s="5" t="s">
        <v>60</v>
      </c>
      <c r="M879" t="s">
        <v>47</v>
      </c>
      <c r="N879" t="s">
        <v>47</v>
      </c>
      <c r="O879" t="s">
        <v>47</v>
      </c>
      <c r="P879" t="s">
        <v>47</v>
      </c>
      <c r="Q879" t="s">
        <v>47</v>
      </c>
      <c r="R879" t="s">
        <v>47</v>
      </c>
      <c r="S879" t="s">
        <v>47</v>
      </c>
      <c r="T879" t="s">
        <v>47</v>
      </c>
      <c r="U879" t="s">
        <v>47</v>
      </c>
      <c r="V879" t="s">
        <v>47</v>
      </c>
      <c r="W879" s="3">
        <v>32509</v>
      </c>
      <c r="X879" s="5" t="s">
        <v>50</v>
      </c>
      <c r="Y879" t="s">
        <v>47</v>
      </c>
      <c r="Z879" s="3">
        <v>32509</v>
      </c>
      <c r="AA879" s="5" t="s">
        <v>50</v>
      </c>
      <c r="AB879" t="s">
        <v>47</v>
      </c>
      <c r="AC879" s="3">
        <v>32509</v>
      </c>
      <c r="AD879" s="5" t="s">
        <v>50</v>
      </c>
      <c r="AE879" t="s">
        <v>47</v>
      </c>
      <c r="AF879" t="s">
        <v>47</v>
      </c>
      <c r="AG879" t="s">
        <v>47</v>
      </c>
      <c r="AH879" t="s">
        <v>47</v>
      </c>
      <c r="AI879" t="s">
        <v>47</v>
      </c>
      <c r="AJ879" t="s">
        <v>47</v>
      </c>
      <c r="AK879" t="s">
        <v>47</v>
      </c>
      <c r="AL879" t="s">
        <v>47</v>
      </c>
      <c r="AM879" t="s">
        <v>47</v>
      </c>
      <c r="AN879" t="s">
        <v>47</v>
      </c>
      <c r="AO879" s="5" t="s">
        <v>60</v>
      </c>
      <c r="AP879" s="4" t="s">
        <v>61</v>
      </c>
      <c r="AQ879" s="4" t="s">
        <v>53</v>
      </c>
      <c r="AR879" s="4" t="s">
        <v>54</v>
      </c>
      <c r="AS879" s="5">
        <v>41432</v>
      </c>
      <c r="AT879" t="s">
        <v>47</v>
      </c>
    </row>
    <row r="880" spans="1:46" ht="39" x14ac:dyDescent="0.3">
      <c r="A880" s="4" t="s">
        <v>3545</v>
      </c>
      <c r="B880" t="s">
        <v>47</v>
      </c>
      <c r="C880" s="4" t="s">
        <v>3546</v>
      </c>
      <c r="D880" s="4" t="s">
        <v>873</v>
      </c>
      <c r="E880" s="4" t="s">
        <v>874</v>
      </c>
      <c r="F880" s="5" t="s">
        <v>3547</v>
      </c>
      <c r="G880" t="s">
        <v>47</v>
      </c>
      <c r="H880" t="s">
        <v>47</v>
      </c>
      <c r="I880" s="3">
        <v>42083</v>
      </c>
      <c r="J880" s="5" t="s">
        <v>50</v>
      </c>
      <c r="K880" t="s">
        <v>47</v>
      </c>
      <c r="L880" s="5" t="s">
        <v>60</v>
      </c>
      <c r="M880" t="s">
        <v>47</v>
      </c>
      <c r="N880" t="s">
        <v>47</v>
      </c>
      <c r="O880" t="s">
        <v>47</v>
      </c>
      <c r="P880" s="3">
        <v>42083</v>
      </c>
      <c r="Q880" s="5" t="s">
        <v>50</v>
      </c>
      <c r="R880" t="s">
        <v>47</v>
      </c>
      <c r="S880" t="s">
        <v>47</v>
      </c>
      <c r="T880" t="s">
        <v>47</v>
      </c>
      <c r="U880" t="s">
        <v>47</v>
      </c>
      <c r="V880" t="s">
        <v>47</v>
      </c>
      <c r="W880" s="3">
        <v>42083</v>
      </c>
      <c r="X880" s="5" t="s">
        <v>50</v>
      </c>
      <c r="Y880" t="s">
        <v>47</v>
      </c>
      <c r="Z880" s="3">
        <v>42083</v>
      </c>
      <c r="AA880" s="5" t="s">
        <v>50</v>
      </c>
      <c r="AB880" t="s">
        <v>47</v>
      </c>
      <c r="AC880" s="3">
        <v>42083</v>
      </c>
      <c r="AD880" s="5" t="s">
        <v>50</v>
      </c>
      <c r="AE880" t="s">
        <v>47</v>
      </c>
      <c r="AF880" t="s">
        <v>47</v>
      </c>
      <c r="AG880" t="s">
        <v>47</v>
      </c>
      <c r="AH880" t="s">
        <v>47</v>
      </c>
      <c r="AI880" t="s">
        <v>47</v>
      </c>
      <c r="AJ880" t="s">
        <v>47</v>
      </c>
      <c r="AK880" t="s">
        <v>47</v>
      </c>
      <c r="AL880" t="s">
        <v>47</v>
      </c>
      <c r="AM880" t="s">
        <v>47</v>
      </c>
      <c r="AN880" t="s">
        <v>47</v>
      </c>
      <c r="AO880" s="5" t="s">
        <v>60</v>
      </c>
      <c r="AP880" s="4" t="s">
        <v>61</v>
      </c>
      <c r="AQ880" s="4" t="s">
        <v>876</v>
      </c>
      <c r="AR880" s="4" t="s">
        <v>54</v>
      </c>
      <c r="AS880" s="5">
        <v>2043106</v>
      </c>
      <c r="AT880" t="s">
        <v>47</v>
      </c>
    </row>
    <row r="881" spans="1:46" ht="39" x14ac:dyDescent="0.3">
      <c r="A881" s="4" t="s">
        <v>3548</v>
      </c>
      <c r="B881" t="s">
        <v>47</v>
      </c>
      <c r="C881" s="4" t="s">
        <v>716</v>
      </c>
      <c r="D881" s="4" t="s">
        <v>3549</v>
      </c>
      <c r="E881" s="4" t="s">
        <v>49</v>
      </c>
      <c r="F881" t="s">
        <v>47</v>
      </c>
      <c r="G881" s="5" t="s">
        <v>3550</v>
      </c>
      <c r="H881" t="s">
        <v>47</v>
      </c>
      <c r="I881" s="3">
        <v>43466</v>
      </c>
      <c r="J881" s="5" t="s">
        <v>50</v>
      </c>
      <c r="K881" t="s">
        <v>47</v>
      </c>
      <c r="L881" s="5" t="s">
        <v>60</v>
      </c>
      <c r="M881" t="s">
        <v>47</v>
      </c>
      <c r="N881" t="s">
        <v>47</v>
      </c>
      <c r="O881" t="s">
        <v>47</v>
      </c>
      <c r="P881" s="3">
        <v>43466</v>
      </c>
      <c r="Q881" s="5" t="s">
        <v>50</v>
      </c>
      <c r="R881" t="s">
        <v>47</v>
      </c>
      <c r="S881" t="s">
        <v>47</v>
      </c>
      <c r="T881" t="s">
        <v>47</v>
      </c>
      <c r="U881" t="s">
        <v>47</v>
      </c>
      <c r="V881" t="s">
        <v>47</v>
      </c>
      <c r="W881" s="3">
        <v>43466</v>
      </c>
      <c r="X881" s="5" t="s">
        <v>50</v>
      </c>
      <c r="Y881" t="s">
        <v>47</v>
      </c>
      <c r="Z881" s="3">
        <v>43466</v>
      </c>
      <c r="AA881" s="5" t="s">
        <v>50</v>
      </c>
      <c r="AB881" t="s">
        <v>47</v>
      </c>
      <c r="AC881" s="3">
        <v>44197</v>
      </c>
      <c r="AD881" s="3">
        <v>44197</v>
      </c>
      <c r="AE881" t="s">
        <v>47</v>
      </c>
      <c r="AF881" t="s">
        <v>47</v>
      </c>
      <c r="AG881" t="s">
        <v>47</v>
      </c>
      <c r="AH881" t="s">
        <v>47</v>
      </c>
      <c r="AI881" t="s">
        <v>47</v>
      </c>
      <c r="AJ881" t="s">
        <v>47</v>
      </c>
      <c r="AK881" t="s">
        <v>47</v>
      </c>
      <c r="AL881" t="s">
        <v>47</v>
      </c>
      <c r="AM881" t="s">
        <v>47</v>
      </c>
      <c r="AN881" t="s">
        <v>47</v>
      </c>
      <c r="AO881" s="5" t="s">
        <v>60</v>
      </c>
      <c r="AP881" s="4" t="s">
        <v>61</v>
      </c>
      <c r="AQ881" s="4" t="s">
        <v>53</v>
      </c>
      <c r="AR881" s="4" t="s">
        <v>1815</v>
      </c>
      <c r="AS881" s="5">
        <v>4397042</v>
      </c>
      <c r="AT881" t="s">
        <v>47</v>
      </c>
    </row>
    <row r="882" spans="1:46" ht="39" x14ac:dyDescent="0.3">
      <c r="A882" s="4" t="s">
        <v>3551</v>
      </c>
      <c r="B882" t="s">
        <v>47</v>
      </c>
      <c r="C882" s="4" t="s">
        <v>3485</v>
      </c>
      <c r="D882" s="4" t="s">
        <v>873</v>
      </c>
      <c r="E882" s="4" t="s">
        <v>874</v>
      </c>
      <c r="F882" s="5" t="s">
        <v>3552</v>
      </c>
      <c r="G882" t="s">
        <v>47</v>
      </c>
      <c r="H882" t="s">
        <v>47</v>
      </c>
      <c r="I882" s="3">
        <v>41640</v>
      </c>
      <c r="J882" s="5" t="s">
        <v>50</v>
      </c>
      <c r="K882" t="s">
        <v>47</v>
      </c>
      <c r="L882" s="5" t="s">
        <v>60</v>
      </c>
      <c r="M882" s="3">
        <v>44197</v>
      </c>
      <c r="N882" s="3">
        <v>44197</v>
      </c>
      <c r="O882" t="s">
        <v>47</v>
      </c>
      <c r="P882" s="3">
        <v>41640</v>
      </c>
      <c r="Q882" s="5" t="s">
        <v>50</v>
      </c>
      <c r="R882" t="s">
        <v>47</v>
      </c>
      <c r="S882" t="s">
        <v>47</v>
      </c>
      <c r="T882" t="s">
        <v>47</v>
      </c>
      <c r="U882" t="s">
        <v>47</v>
      </c>
      <c r="V882" t="s">
        <v>47</v>
      </c>
      <c r="W882" s="3">
        <v>41640</v>
      </c>
      <c r="X882" s="5" t="s">
        <v>50</v>
      </c>
      <c r="Y882" t="s">
        <v>47</v>
      </c>
      <c r="Z882" s="3">
        <v>41640</v>
      </c>
      <c r="AA882" s="5" t="s">
        <v>50</v>
      </c>
      <c r="AB882" t="s">
        <v>47</v>
      </c>
      <c r="AC882" s="3">
        <v>41640</v>
      </c>
      <c r="AD882" s="5" t="s">
        <v>50</v>
      </c>
      <c r="AE882" t="s">
        <v>47</v>
      </c>
      <c r="AF882" t="s">
        <v>47</v>
      </c>
      <c r="AG882" t="s">
        <v>47</v>
      </c>
      <c r="AH882" t="s">
        <v>47</v>
      </c>
      <c r="AI882" t="s">
        <v>47</v>
      </c>
      <c r="AJ882" t="s">
        <v>47</v>
      </c>
      <c r="AK882" t="s">
        <v>47</v>
      </c>
      <c r="AL882" t="s">
        <v>47</v>
      </c>
      <c r="AM882" t="s">
        <v>47</v>
      </c>
      <c r="AN882" t="s">
        <v>47</v>
      </c>
      <c r="AO882" s="5" t="s">
        <v>60</v>
      </c>
      <c r="AP882" s="4" t="s">
        <v>61</v>
      </c>
      <c r="AQ882" s="4" t="s">
        <v>876</v>
      </c>
      <c r="AR882" s="4" t="s">
        <v>62</v>
      </c>
      <c r="AS882" s="5">
        <v>2036185</v>
      </c>
      <c r="AT882" t="s">
        <v>47</v>
      </c>
    </row>
    <row r="883" spans="1:46" ht="26" x14ac:dyDescent="0.3">
      <c r="A883" s="4" t="s">
        <v>3553</v>
      </c>
      <c r="B883" t="s">
        <v>47</v>
      </c>
      <c r="C883" s="4" t="s">
        <v>3554</v>
      </c>
      <c r="D883" s="4" t="s">
        <v>3555</v>
      </c>
      <c r="E883" s="4" t="s">
        <v>869</v>
      </c>
      <c r="F883" s="5" t="s">
        <v>3556</v>
      </c>
      <c r="G883" s="5" t="s">
        <v>3557</v>
      </c>
      <c r="H883" t="s">
        <v>47</v>
      </c>
      <c r="I883" s="3">
        <v>41640</v>
      </c>
      <c r="J883" s="3">
        <v>43831</v>
      </c>
      <c r="K883" t="s">
        <v>47</v>
      </c>
      <c r="L883" s="5" t="s">
        <v>60</v>
      </c>
      <c r="M883" t="s">
        <v>47</v>
      </c>
      <c r="N883" t="s">
        <v>47</v>
      </c>
      <c r="O883" t="s">
        <v>47</v>
      </c>
      <c r="P883" s="3">
        <v>41640</v>
      </c>
      <c r="Q883" s="3">
        <v>43831</v>
      </c>
      <c r="R883" t="s">
        <v>47</v>
      </c>
      <c r="S883" t="s">
        <v>47</v>
      </c>
      <c r="T883" t="s">
        <v>47</v>
      </c>
      <c r="U883" t="s">
        <v>47</v>
      </c>
      <c r="V883" t="s">
        <v>47</v>
      </c>
      <c r="W883" s="3">
        <v>41640</v>
      </c>
      <c r="X883" s="3">
        <v>43831</v>
      </c>
      <c r="Y883" t="s">
        <v>47</v>
      </c>
      <c r="Z883" s="3">
        <v>41640</v>
      </c>
      <c r="AA883" s="3">
        <v>43831</v>
      </c>
      <c r="AB883" t="s">
        <v>47</v>
      </c>
      <c r="AC883" s="3">
        <v>41640</v>
      </c>
      <c r="AD883" s="3">
        <v>43831</v>
      </c>
      <c r="AE883" t="s">
        <v>47</v>
      </c>
      <c r="AF883" t="s">
        <v>47</v>
      </c>
      <c r="AG883" t="s">
        <v>47</v>
      </c>
      <c r="AH883" t="s">
        <v>47</v>
      </c>
      <c r="AI883" t="s">
        <v>47</v>
      </c>
      <c r="AJ883" t="s">
        <v>47</v>
      </c>
      <c r="AK883" t="s">
        <v>47</v>
      </c>
      <c r="AL883" t="s">
        <v>47</v>
      </c>
      <c r="AM883" t="s">
        <v>47</v>
      </c>
      <c r="AN883" t="s">
        <v>47</v>
      </c>
      <c r="AO883" s="5" t="s">
        <v>60</v>
      </c>
      <c r="AP883" s="4" t="s">
        <v>61</v>
      </c>
      <c r="AQ883" s="4" t="s">
        <v>53</v>
      </c>
      <c r="AR883" s="4" t="s">
        <v>54</v>
      </c>
      <c r="AS883" s="5">
        <v>4450591</v>
      </c>
      <c r="AT883" t="s">
        <v>47</v>
      </c>
    </row>
    <row r="884" spans="1:46" ht="13" x14ac:dyDescent="0.3">
      <c r="A884" s="4" t="s">
        <v>3558</v>
      </c>
      <c r="B884" t="s">
        <v>47</v>
      </c>
      <c r="C884" s="4" t="s">
        <v>3559</v>
      </c>
      <c r="D884" s="4" t="s">
        <v>1990</v>
      </c>
      <c r="E884" s="4" t="s">
        <v>701</v>
      </c>
      <c r="F884" s="5" t="s">
        <v>3560</v>
      </c>
      <c r="G884" t="s">
        <v>47</v>
      </c>
      <c r="H884" t="s">
        <v>47</v>
      </c>
      <c r="I884" s="3">
        <v>40909</v>
      </c>
      <c r="J884" s="5" t="s">
        <v>50</v>
      </c>
      <c r="K884" t="s">
        <v>47</v>
      </c>
      <c r="L884" s="5" t="s">
        <v>60</v>
      </c>
      <c r="M884" t="s">
        <v>47</v>
      </c>
      <c r="N884" t="s">
        <v>47</v>
      </c>
      <c r="O884" t="s">
        <v>47</v>
      </c>
      <c r="P884" s="3">
        <v>40909</v>
      </c>
      <c r="Q884" s="5" t="s">
        <v>50</v>
      </c>
      <c r="R884" t="s">
        <v>47</v>
      </c>
      <c r="S884" t="s">
        <v>47</v>
      </c>
      <c r="T884" t="s">
        <v>47</v>
      </c>
      <c r="U884" t="s">
        <v>47</v>
      </c>
      <c r="V884" t="s">
        <v>47</v>
      </c>
      <c r="W884" s="3">
        <v>40909</v>
      </c>
      <c r="X884" s="5" t="s">
        <v>50</v>
      </c>
      <c r="Y884" t="s">
        <v>47</v>
      </c>
      <c r="Z884" s="3">
        <v>40909</v>
      </c>
      <c r="AA884" s="5" t="s">
        <v>50</v>
      </c>
      <c r="AB884" t="s">
        <v>47</v>
      </c>
      <c r="AC884" s="3">
        <v>40909</v>
      </c>
      <c r="AD884" s="5" t="s">
        <v>50</v>
      </c>
      <c r="AE884" t="s">
        <v>47</v>
      </c>
      <c r="AF884" t="s">
        <v>47</v>
      </c>
      <c r="AG884" t="s">
        <v>47</v>
      </c>
      <c r="AH884" t="s">
        <v>47</v>
      </c>
      <c r="AI884" t="s">
        <v>47</v>
      </c>
      <c r="AJ884" t="s">
        <v>47</v>
      </c>
      <c r="AK884" t="s">
        <v>47</v>
      </c>
      <c r="AL884" t="s">
        <v>47</v>
      </c>
      <c r="AM884" t="s">
        <v>47</v>
      </c>
      <c r="AN884" t="s">
        <v>47</v>
      </c>
      <c r="AO884" s="5" t="s">
        <v>60</v>
      </c>
      <c r="AP884" s="4" t="s">
        <v>61</v>
      </c>
      <c r="AQ884" s="4" t="s">
        <v>53</v>
      </c>
      <c r="AR884" s="4" t="s">
        <v>54</v>
      </c>
      <c r="AS884" s="5">
        <v>2030900</v>
      </c>
      <c r="AT884" t="s">
        <v>47</v>
      </c>
    </row>
    <row r="885" spans="1:46" ht="65" x14ac:dyDescent="0.3">
      <c r="A885" s="4" t="s">
        <v>3561</v>
      </c>
      <c r="B885" t="s">
        <v>47</v>
      </c>
      <c r="C885" s="4" t="s">
        <v>519</v>
      </c>
      <c r="D885" s="4" t="s">
        <v>88</v>
      </c>
      <c r="E885" s="4" t="s">
        <v>49</v>
      </c>
      <c r="F885" s="5" t="s">
        <v>3562</v>
      </c>
      <c r="G885" s="5" t="s">
        <v>3563</v>
      </c>
      <c r="H885" t="s">
        <v>47</v>
      </c>
      <c r="I885" s="3">
        <v>34335</v>
      </c>
      <c r="J885" s="3">
        <v>40483</v>
      </c>
      <c r="K885" t="s">
        <v>47</v>
      </c>
      <c r="L885" s="5" t="s">
        <v>60</v>
      </c>
      <c r="M885" s="3">
        <v>34335</v>
      </c>
      <c r="N885" s="3">
        <v>40483</v>
      </c>
      <c r="O885" t="s">
        <v>47</v>
      </c>
      <c r="P885" s="3">
        <v>35186</v>
      </c>
      <c r="Q885" s="3">
        <v>40483</v>
      </c>
      <c r="R885" t="s">
        <v>47</v>
      </c>
      <c r="S885" t="s">
        <v>47</v>
      </c>
      <c r="T885" t="s">
        <v>47</v>
      </c>
      <c r="U885" t="s">
        <v>47</v>
      </c>
      <c r="V885" t="s">
        <v>47</v>
      </c>
      <c r="W885" s="3">
        <v>33604</v>
      </c>
      <c r="X885" s="5" t="s">
        <v>50</v>
      </c>
      <c r="Y885" t="s">
        <v>47</v>
      </c>
      <c r="Z885" s="3">
        <v>33604</v>
      </c>
      <c r="AA885" s="5" t="s">
        <v>50</v>
      </c>
      <c r="AB885" t="s">
        <v>47</v>
      </c>
      <c r="AC885" s="3">
        <v>33604</v>
      </c>
      <c r="AD885" s="5" t="s">
        <v>50</v>
      </c>
      <c r="AE885" t="s">
        <v>47</v>
      </c>
      <c r="AF885" t="s">
        <v>47</v>
      </c>
      <c r="AG885" t="s">
        <v>47</v>
      </c>
      <c r="AH885" t="s">
        <v>47</v>
      </c>
      <c r="AI885" t="s">
        <v>47</v>
      </c>
      <c r="AJ885" t="s">
        <v>47</v>
      </c>
      <c r="AK885" t="s">
        <v>47</v>
      </c>
      <c r="AL885" t="s">
        <v>47</v>
      </c>
      <c r="AM885" t="s">
        <v>47</v>
      </c>
      <c r="AN885" t="s">
        <v>47</v>
      </c>
      <c r="AO885" s="5" t="s">
        <v>60</v>
      </c>
      <c r="AP885" s="4" t="s">
        <v>61</v>
      </c>
      <c r="AQ885" s="4" t="s">
        <v>53</v>
      </c>
      <c r="AR885" s="4" t="s">
        <v>3564</v>
      </c>
      <c r="AS885" s="5">
        <v>41304</v>
      </c>
      <c r="AT885" t="s">
        <v>47</v>
      </c>
    </row>
    <row r="886" spans="1:46" ht="104" x14ac:dyDescent="0.3">
      <c r="A886" s="4" t="s">
        <v>3565</v>
      </c>
      <c r="B886" t="s">
        <v>47</v>
      </c>
      <c r="C886" s="4" t="s">
        <v>977</v>
      </c>
      <c r="D886" s="4" t="s">
        <v>1015</v>
      </c>
      <c r="E886" s="4" t="s">
        <v>100</v>
      </c>
      <c r="F886" s="5" t="s">
        <v>3566</v>
      </c>
      <c r="G886" s="5" t="s">
        <v>3567</v>
      </c>
      <c r="H886" t="s">
        <v>47</v>
      </c>
      <c r="I886" s="3">
        <v>38718</v>
      </c>
      <c r="J886" s="5" t="s">
        <v>50</v>
      </c>
      <c r="K886" t="s">
        <v>47</v>
      </c>
      <c r="L886" s="5" t="s">
        <v>60</v>
      </c>
      <c r="M886" s="3">
        <v>38718</v>
      </c>
      <c r="N886" s="5" t="s">
        <v>50</v>
      </c>
      <c r="O886" t="s">
        <v>47</v>
      </c>
      <c r="P886" s="3">
        <v>38718</v>
      </c>
      <c r="Q886" s="5" t="s">
        <v>50</v>
      </c>
      <c r="R886" t="s">
        <v>47</v>
      </c>
      <c r="S886" t="s">
        <v>47</v>
      </c>
      <c r="T886" t="s">
        <v>47</v>
      </c>
      <c r="U886" t="s">
        <v>47</v>
      </c>
      <c r="V886" t="s">
        <v>47</v>
      </c>
      <c r="W886" s="3">
        <v>38718</v>
      </c>
      <c r="X886" s="5" t="s">
        <v>50</v>
      </c>
      <c r="Y886" t="s">
        <v>47</v>
      </c>
      <c r="Z886" s="3">
        <v>38718</v>
      </c>
      <c r="AA886" s="5" t="s">
        <v>50</v>
      </c>
      <c r="AB886" t="s">
        <v>47</v>
      </c>
      <c r="AC886" s="3">
        <v>38718</v>
      </c>
      <c r="AD886" s="5" t="s">
        <v>50</v>
      </c>
      <c r="AE886" t="s">
        <v>47</v>
      </c>
      <c r="AF886" t="s">
        <v>47</v>
      </c>
      <c r="AG886" t="s">
        <v>47</v>
      </c>
      <c r="AH886" t="s">
        <v>47</v>
      </c>
      <c r="AI886" t="s">
        <v>47</v>
      </c>
      <c r="AJ886" t="s">
        <v>47</v>
      </c>
      <c r="AK886" t="s">
        <v>47</v>
      </c>
      <c r="AL886" t="s">
        <v>47</v>
      </c>
      <c r="AM886" t="s">
        <v>47</v>
      </c>
      <c r="AN886" t="s">
        <v>47</v>
      </c>
      <c r="AO886" s="5" t="s">
        <v>60</v>
      </c>
      <c r="AP886" s="4" t="s">
        <v>61</v>
      </c>
      <c r="AQ886" s="4" t="s">
        <v>53</v>
      </c>
      <c r="AR886" s="4" t="s">
        <v>3568</v>
      </c>
      <c r="AS886" s="5">
        <v>34491</v>
      </c>
      <c r="AT886" t="s">
        <v>47</v>
      </c>
    </row>
    <row r="887" spans="1:46" ht="65" x14ac:dyDescent="0.3">
      <c r="A887" s="4" t="s">
        <v>3569</v>
      </c>
      <c r="B887" t="s">
        <v>47</v>
      </c>
      <c r="C887" s="4" t="s">
        <v>169</v>
      </c>
      <c r="D887" s="4" t="s">
        <v>319</v>
      </c>
      <c r="E887" s="4" t="s">
        <v>66</v>
      </c>
      <c r="F887" s="5" t="s">
        <v>3570</v>
      </c>
      <c r="G887" s="5" t="s">
        <v>3571</v>
      </c>
      <c r="H887" t="s">
        <v>47</v>
      </c>
      <c r="I887" t="s">
        <v>47</v>
      </c>
      <c r="J887" t="s">
        <v>47</v>
      </c>
      <c r="K887" t="s">
        <v>47</v>
      </c>
      <c r="L887" s="5" t="s">
        <v>60</v>
      </c>
      <c r="M887" t="s">
        <v>47</v>
      </c>
      <c r="N887" t="s">
        <v>47</v>
      </c>
      <c r="O887" t="s">
        <v>47</v>
      </c>
      <c r="P887" t="s">
        <v>47</v>
      </c>
      <c r="Q887" t="s">
        <v>47</v>
      </c>
      <c r="R887" t="s">
        <v>47</v>
      </c>
      <c r="S887" t="s">
        <v>47</v>
      </c>
      <c r="T887" t="s">
        <v>47</v>
      </c>
      <c r="U887" t="s">
        <v>47</v>
      </c>
      <c r="V887" t="s">
        <v>47</v>
      </c>
      <c r="W887" s="3">
        <v>37987</v>
      </c>
      <c r="X887" s="5" t="s">
        <v>50</v>
      </c>
      <c r="Y887" t="s">
        <v>47</v>
      </c>
      <c r="Z887" s="3">
        <v>37987</v>
      </c>
      <c r="AA887" s="5" t="s">
        <v>50</v>
      </c>
      <c r="AB887" t="s">
        <v>47</v>
      </c>
      <c r="AC887" s="3">
        <v>37987</v>
      </c>
      <c r="AD887" s="5" t="s">
        <v>50</v>
      </c>
      <c r="AE887" t="s">
        <v>47</v>
      </c>
      <c r="AF887" t="s">
        <v>47</v>
      </c>
      <c r="AG887" t="s">
        <v>47</v>
      </c>
      <c r="AH887" t="s">
        <v>47</v>
      </c>
      <c r="AI887" t="s">
        <v>47</v>
      </c>
      <c r="AJ887" t="s">
        <v>47</v>
      </c>
      <c r="AK887" t="s">
        <v>47</v>
      </c>
      <c r="AL887" t="s">
        <v>47</v>
      </c>
      <c r="AM887" t="s">
        <v>47</v>
      </c>
      <c r="AN887" t="s">
        <v>47</v>
      </c>
      <c r="AO887" s="5" t="s">
        <v>60</v>
      </c>
      <c r="AP887" s="4" t="s">
        <v>61</v>
      </c>
      <c r="AQ887" s="4" t="s">
        <v>53</v>
      </c>
      <c r="AR887" s="4" t="s">
        <v>543</v>
      </c>
      <c r="AS887" s="5">
        <v>46400</v>
      </c>
      <c r="AT887" t="s">
        <v>47</v>
      </c>
    </row>
    <row r="888" spans="1:46" ht="13" x14ac:dyDescent="0.3">
      <c r="A888" s="4" t="s">
        <v>3572</v>
      </c>
      <c r="B888" t="s">
        <v>47</v>
      </c>
      <c r="C888" s="4" t="s">
        <v>169</v>
      </c>
      <c r="D888" s="4" t="s">
        <v>339</v>
      </c>
      <c r="E888" s="4" t="s">
        <v>66</v>
      </c>
      <c r="F888" s="5" t="s">
        <v>3573</v>
      </c>
      <c r="G888" s="5" t="s">
        <v>3574</v>
      </c>
      <c r="H888" t="s">
        <v>47</v>
      </c>
      <c r="I888" s="3">
        <v>35339</v>
      </c>
      <c r="J888" s="3">
        <v>36831</v>
      </c>
      <c r="K888" t="s">
        <v>47</v>
      </c>
      <c r="L888" s="5" t="s">
        <v>60</v>
      </c>
      <c r="M888" s="3">
        <v>35339</v>
      </c>
      <c r="N888" s="3">
        <v>36831</v>
      </c>
      <c r="O888" t="s">
        <v>47</v>
      </c>
      <c r="P888" s="3">
        <v>35339</v>
      </c>
      <c r="Q888" s="3">
        <v>36831</v>
      </c>
      <c r="R888" t="s">
        <v>47</v>
      </c>
      <c r="S888" t="s">
        <v>47</v>
      </c>
      <c r="T888" t="s">
        <v>47</v>
      </c>
      <c r="U888" t="s">
        <v>47</v>
      </c>
      <c r="V888" t="s">
        <v>47</v>
      </c>
      <c r="W888" s="3">
        <v>35339</v>
      </c>
      <c r="X888" s="5" t="s">
        <v>50</v>
      </c>
      <c r="Y888" t="s">
        <v>47</v>
      </c>
      <c r="Z888" s="3">
        <v>35339</v>
      </c>
      <c r="AA888" s="5" t="s">
        <v>50</v>
      </c>
      <c r="AB888" t="s">
        <v>47</v>
      </c>
      <c r="AC888" s="3">
        <v>35339</v>
      </c>
      <c r="AD888" s="5" t="s">
        <v>50</v>
      </c>
      <c r="AE888" t="s">
        <v>47</v>
      </c>
      <c r="AF888" t="s">
        <v>47</v>
      </c>
      <c r="AG888" t="s">
        <v>47</v>
      </c>
      <c r="AH888" t="s">
        <v>47</v>
      </c>
      <c r="AI888" t="s">
        <v>47</v>
      </c>
      <c r="AJ888" t="s">
        <v>47</v>
      </c>
      <c r="AK888" t="s">
        <v>47</v>
      </c>
      <c r="AL888" t="s">
        <v>47</v>
      </c>
      <c r="AM888" t="s">
        <v>47</v>
      </c>
      <c r="AN888" t="s">
        <v>47</v>
      </c>
      <c r="AO888" s="5" t="s">
        <v>60</v>
      </c>
      <c r="AP888" s="4" t="s">
        <v>61</v>
      </c>
      <c r="AQ888" s="4" t="s">
        <v>53</v>
      </c>
      <c r="AR888" s="4" t="s">
        <v>54</v>
      </c>
      <c r="AS888" s="5">
        <v>37641</v>
      </c>
      <c r="AT888" t="s">
        <v>47</v>
      </c>
    </row>
    <row r="889" spans="1:46" ht="52" x14ac:dyDescent="0.3">
      <c r="A889" s="4" t="s">
        <v>3575</v>
      </c>
      <c r="B889" t="s">
        <v>47</v>
      </c>
      <c r="C889" s="4" t="s">
        <v>2455</v>
      </c>
      <c r="D889" s="4" t="s">
        <v>3101</v>
      </c>
      <c r="E889" s="4" t="s">
        <v>49</v>
      </c>
      <c r="F889" s="5" t="s">
        <v>3576</v>
      </c>
      <c r="G889" s="5" t="s">
        <v>3577</v>
      </c>
      <c r="H889" t="s">
        <v>47</v>
      </c>
      <c r="I889" s="3">
        <v>43739</v>
      </c>
      <c r="J889" s="5" t="s">
        <v>50</v>
      </c>
      <c r="K889" t="s">
        <v>47</v>
      </c>
      <c r="L889" s="5" t="s">
        <v>60</v>
      </c>
      <c r="M889" s="3">
        <v>43739</v>
      </c>
      <c r="N889" s="5" t="s">
        <v>50</v>
      </c>
      <c r="O889" t="s">
        <v>47</v>
      </c>
      <c r="P889" s="3">
        <v>43739</v>
      </c>
      <c r="Q889" s="5" t="s">
        <v>50</v>
      </c>
      <c r="R889" t="s">
        <v>47</v>
      </c>
      <c r="S889" t="s">
        <v>47</v>
      </c>
      <c r="T889" t="s">
        <v>47</v>
      </c>
      <c r="U889" t="s">
        <v>47</v>
      </c>
      <c r="V889" t="s">
        <v>47</v>
      </c>
      <c r="W889" s="3">
        <v>43739</v>
      </c>
      <c r="X889" s="5" t="s">
        <v>50</v>
      </c>
      <c r="Y889" t="s">
        <v>47</v>
      </c>
      <c r="Z889" s="3">
        <v>43739</v>
      </c>
      <c r="AA889" s="5" t="s">
        <v>50</v>
      </c>
      <c r="AB889" t="s">
        <v>47</v>
      </c>
      <c r="AC889" s="3">
        <v>43739</v>
      </c>
      <c r="AD889" s="5" t="s">
        <v>50</v>
      </c>
      <c r="AE889" t="s">
        <v>47</v>
      </c>
      <c r="AF889" t="s">
        <v>47</v>
      </c>
      <c r="AG889" t="s">
        <v>47</v>
      </c>
      <c r="AH889" t="s">
        <v>47</v>
      </c>
      <c r="AI889" t="s">
        <v>47</v>
      </c>
      <c r="AJ889" t="s">
        <v>47</v>
      </c>
      <c r="AK889" t="s">
        <v>47</v>
      </c>
      <c r="AL889" t="s">
        <v>47</v>
      </c>
      <c r="AM889" t="s">
        <v>47</v>
      </c>
      <c r="AN889" t="s">
        <v>47</v>
      </c>
      <c r="AO889" s="5" t="s">
        <v>60</v>
      </c>
      <c r="AP889" s="4" t="s">
        <v>61</v>
      </c>
      <c r="AQ889" t="s">
        <v>47</v>
      </c>
      <c r="AR889" s="4" t="s">
        <v>3578</v>
      </c>
      <c r="AS889" s="5">
        <v>4589208</v>
      </c>
      <c r="AT889" t="s">
        <v>47</v>
      </c>
    </row>
    <row r="890" spans="1:46" ht="26" x14ac:dyDescent="0.3">
      <c r="A890" s="4" t="s">
        <v>3579</v>
      </c>
      <c r="B890" t="s">
        <v>47</v>
      </c>
      <c r="C890" s="4" t="s">
        <v>1952</v>
      </c>
      <c r="D890" s="4" t="s">
        <v>319</v>
      </c>
      <c r="E890" s="4" t="s">
        <v>66</v>
      </c>
      <c r="F890" s="5" t="s">
        <v>3580</v>
      </c>
      <c r="G890" s="5" t="s">
        <v>3581</v>
      </c>
      <c r="H890" t="s">
        <v>47</v>
      </c>
      <c r="I890" t="s">
        <v>47</v>
      </c>
      <c r="J890" t="s">
        <v>47</v>
      </c>
      <c r="K890" t="s">
        <v>47</v>
      </c>
      <c r="L890" s="5" t="s">
        <v>60</v>
      </c>
      <c r="M890" t="s">
        <v>47</v>
      </c>
      <c r="N890" t="s">
        <v>47</v>
      </c>
      <c r="O890" t="s">
        <v>47</v>
      </c>
      <c r="P890" t="s">
        <v>47</v>
      </c>
      <c r="Q890" t="s">
        <v>47</v>
      </c>
      <c r="R890" t="s">
        <v>47</v>
      </c>
      <c r="S890" t="s">
        <v>47</v>
      </c>
      <c r="T890" t="s">
        <v>47</v>
      </c>
      <c r="U890" t="s">
        <v>47</v>
      </c>
      <c r="V890" t="s">
        <v>47</v>
      </c>
      <c r="W890" s="3">
        <v>37622</v>
      </c>
      <c r="X890" s="5" t="s">
        <v>50</v>
      </c>
      <c r="Y890" t="s">
        <v>47</v>
      </c>
      <c r="Z890" s="3">
        <v>37622</v>
      </c>
      <c r="AA890" s="5" t="s">
        <v>50</v>
      </c>
      <c r="AB890" t="s">
        <v>47</v>
      </c>
      <c r="AC890" s="3">
        <v>37622</v>
      </c>
      <c r="AD890" s="5" t="s">
        <v>50</v>
      </c>
      <c r="AE890" t="s">
        <v>47</v>
      </c>
      <c r="AF890" t="s">
        <v>47</v>
      </c>
      <c r="AG890" t="s">
        <v>47</v>
      </c>
      <c r="AH890" t="s">
        <v>47</v>
      </c>
      <c r="AI890" t="s">
        <v>47</v>
      </c>
      <c r="AJ890" t="s">
        <v>47</v>
      </c>
      <c r="AK890" t="s">
        <v>47</v>
      </c>
      <c r="AL890" t="s">
        <v>47</v>
      </c>
      <c r="AM890" t="s">
        <v>47</v>
      </c>
      <c r="AN890" t="s">
        <v>47</v>
      </c>
      <c r="AO890" s="5" t="s">
        <v>60</v>
      </c>
      <c r="AP890" s="4" t="s">
        <v>61</v>
      </c>
      <c r="AQ890" s="4" t="s">
        <v>53</v>
      </c>
      <c r="AR890" s="4" t="s">
        <v>807</v>
      </c>
      <c r="AS890" s="5">
        <v>46263</v>
      </c>
      <c r="AT890" t="s">
        <v>47</v>
      </c>
    </row>
    <row r="891" spans="1:46" ht="26" x14ac:dyDescent="0.3">
      <c r="A891" s="4" t="s">
        <v>3582</v>
      </c>
      <c r="B891" t="s">
        <v>47</v>
      </c>
      <c r="C891" s="4" t="s">
        <v>115</v>
      </c>
      <c r="D891" s="4" t="s">
        <v>3583</v>
      </c>
      <c r="E891" s="4" t="s">
        <v>66</v>
      </c>
      <c r="F891" s="5" t="s">
        <v>3584</v>
      </c>
      <c r="G891" s="5" t="s">
        <v>3585</v>
      </c>
      <c r="H891" t="s">
        <v>47</v>
      </c>
      <c r="I891" s="3">
        <v>33604</v>
      </c>
      <c r="J891" s="5" t="s">
        <v>50</v>
      </c>
      <c r="K891" t="s">
        <v>47</v>
      </c>
      <c r="L891" s="5" t="s">
        <v>60</v>
      </c>
      <c r="M891" s="3">
        <v>33604</v>
      </c>
      <c r="N891" s="5" t="s">
        <v>50</v>
      </c>
      <c r="O891" t="s">
        <v>47</v>
      </c>
      <c r="P891" s="3">
        <v>36892</v>
      </c>
      <c r="Q891" s="5" t="s">
        <v>50</v>
      </c>
      <c r="R891" t="s">
        <v>47</v>
      </c>
      <c r="S891" t="s">
        <v>47</v>
      </c>
      <c r="T891" t="s">
        <v>47</v>
      </c>
      <c r="U891" t="s">
        <v>47</v>
      </c>
      <c r="V891" s="5">
        <v>365</v>
      </c>
      <c r="W891" s="3">
        <v>33604</v>
      </c>
      <c r="X891" s="5" t="s">
        <v>50</v>
      </c>
      <c r="Y891" t="s">
        <v>47</v>
      </c>
      <c r="Z891" s="3">
        <v>33604</v>
      </c>
      <c r="AA891" s="5" t="s">
        <v>50</v>
      </c>
      <c r="AB891" t="s">
        <v>47</v>
      </c>
      <c r="AC891" s="3">
        <v>33604</v>
      </c>
      <c r="AD891" s="5" t="s">
        <v>50</v>
      </c>
      <c r="AE891" t="s">
        <v>47</v>
      </c>
      <c r="AF891" t="s">
        <v>47</v>
      </c>
      <c r="AG891" t="s">
        <v>47</v>
      </c>
      <c r="AH891" t="s">
        <v>47</v>
      </c>
      <c r="AI891" t="s">
        <v>47</v>
      </c>
      <c r="AJ891" t="s">
        <v>47</v>
      </c>
      <c r="AK891" t="s">
        <v>47</v>
      </c>
      <c r="AL891" t="s">
        <v>47</v>
      </c>
      <c r="AM891" t="s">
        <v>47</v>
      </c>
      <c r="AN891" t="s">
        <v>47</v>
      </c>
      <c r="AO891" s="5" t="s">
        <v>60</v>
      </c>
      <c r="AP891" s="4" t="s">
        <v>61</v>
      </c>
      <c r="AQ891" s="4" t="s">
        <v>53</v>
      </c>
      <c r="AR891" s="4" t="s">
        <v>54</v>
      </c>
      <c r="AS891" s="5">
        <v>49119</v>
      </c>
      <c r="AT891" t="s">
        <v>47</v>
      </c>
    </row>
    <row r="892" spans="1:46" ht="78" x14ac:dyDescent="0.3">
      <c r="A892" s="4" t="s">
        <v>3586</v>
      </c>
      <c r="B892" t="s">
        <v>47</v>
      </c>
      <c r="C892" s="4" t="s">
        <v>169</v>
      </c>
      <c r="D892" s="4" t="s">
        <v>3587</v>
      </c>
      <c r="E892" s="4" t="s">
        <v>66</v>
      </c>
      <c r="F892" s="5" t="s">
        <v>3588</v>
      </c>
      <c r="G892" s="5" t="s">
        <v>3589</v>
      </c>
      <c r="H892" t="s">
        <v>47</v>
      </c>
      <c r="I892" t="s">
        <v>47</v>
      </c>
      <c r="J892" t="s">
        <v>47</v>
      </c>
      <c r="K892" t="s">
        <v>47</v>
      </c>
      <c r="L892" s="5" t="s">
        <v>60</v>
      </c>
      <c r="M892" t="s">
        <v>47</v>
      </c>
      <c r="N892" t="s">
        <v>47</v>
      </c>
      <c r="O892" t="s">
        <v>47</v>
      </c>
      <c r="P892" t="s">
        <v>47</v>
      </c>
      <c r="Q892" t="s">
        <v>47</v>
      </c>
      <c r="R892" t="s">
        <v>47</v>
      </c>
      <c r="S892" t="s">
        <v>47</v>
      </c>
      <c r="T892" t="s">
        <v>47</v>
      </c>
      <c r="U892" t="s">
        <v>47</v>
      </c>
      <c r="V892" t="s">
        <v>47</v>
      </c>
      <c r="W892" s="3">
        <v>40179</v>
      </c>
      <c r="X892" s="5" t="s">
        <v>50</v>
      </c>
      <c r="Y892" s="5" t="s">
        <v>946</v>
      </c>
      <c r="Z892" s="3">
        <v>40179</v>
      </c>
      <c r="AA892" s="5" t="s">
        <v>50</v>
      </c>
      <c r="AB892" s="5" t="s">
        <v>946</v>
      </c>
      <c r="AC892" s="3">
        <v>40179</v>
      </c>
      <c r="AD892" s="5" t="s">
        <v>50</v>
      </c>
      <c r="AE892" s="5" t="s">
        <v>946</v>
      </c>
      <c r="AF892" t="s">
        <v>47</v>
      </c>
      <c r="AG892" t="s">
        <v>47</v>
      </c>
      <c r="AH892" t="s">
        <v>47</v>
      </c>
      <c r="AI892" t="s">
        <v>47</v>
      </c>
      <c r="AJ892" t="s">
        <v>47</v>
      </c>
      <c r="AK892" t="s">
        <v>47</v>
      </c>
      <c r="AL892" t="s">
        <v>47</v>
      </c>
      <c r="AM892" t="s">
        <v>47</v>
      </c>
      <c r="AN892" t="s">
        <v>47</v>
      </c>
      <c r="AO892" s="5" t="s">
        <v>60</v>
      </c>
      <c r="AP892" s="4" t="s">
        <v>61</v>
      </c>
      <c r="AQ892" s="4" t="s">
        <v>53</v>
      </c>
      <c r="AR892" s="4" t="s">
        <v>3590</v>
      </c>
      <c r="AS892" s="5">
        <v>426757</v>
      </c>
      <c r="AT892" t="s">
        <v>47</v>
      </c>
    </row>
    <row r="893" spans="1:46" ht="13" x14ac:dyDescent="0.3">
      <c r="A893" s="4" t="s">
        <v>3591</v>
      </c>
      <c r="B893" t="s">
        <v>47</v>
      </c>
      <c r="C893" s="4" t="s">
        <v>122</v>
      </c>
      <c r="D893" s="4" t="s">
        <v>206</v>
      </c>
      <c r="E893" s="4" t="s">
        <v>123</v>
      </c>
      <c r="F893" s="5" t="s">
        <v>3592</v>
      </c>
      <c r="G893" s="5" t="s">
        <v>3593</v>
      </c>
      <c r="H893" t="s">
        <v>47</v>
      </c>
      <c r="I893" s="3">
        <v>36526</v>
      </c>
      <c r="J893" s="5" t="s">
        <v>50</v>
      </c>
      <c r="K893" t="s">
        <v>47</v>
      </c>
      <c r="L893" s="5" t="s">
        <v>60</v>
      </c>
      <c r="M893" s="3">
        <v>37987</v>
      </c>
      <c r="N893" s="3">
        <v>42856</v>
      </c>
      <c r="O893" s="5" t="s">
        <v>3594</v>
      </c>
      <c r="P893" s="3">
        <v>36526</v>
      </c>
      <c r="Q893" s="5" t="s">
        <v>50</v>
      </c>
      <c r="R893" t="s">
        <v>47</v>
      </c>
      <c r="S893" t="s">
        <v>47</v>
      </c>
      <c r="T893" t="s">
        <v>47</v>
      </c>
      <c r="U893" t="s">
        <v>47</v>
      </c>
      <c r="V893" s="5">
        <v>365</v>
      </c>
      <c r="W893" s="3">
        <v>36526</v>
      </c>
      <c r="X893" s="5" t="s">
        <v>50</v>
      </c>
      <c r="Y893" t="s">
        <v>47</v>
      </c>
      <c r="Z893" s="3">
        <v>36526</v>
      </c>
      <c r="AA893" s="5" t="s">
        <v>50</v>
      </c>
      <c r="AB893" t="s">
        <v>47</v>
      </c>
      <c r="AC893" s="3">
        <v>36526</v>
      </c>
      <c r="AD893" s="5" t="s">
        <v>50</v>
      </c>
      <c r="AE893" t="s">
        <v>47</v>
      </c>
      <c r="AF893" t="s">
        <v>47</v>
      </c>
      <c r="AG893" t="s">
        <v>47</v>
      </c>
      <c r="AH893" t="s">
        <v>47</v>
      </c>
      <c r="AI893" t="s">
        <v>47</v>
      </c>
      <c r="AJ893" t="s">
        <v>47</v>
      </c>
      <c r="AK893" t="s">
        <v>47</v>
      </c>
      <c r="AL893" t="s">
        <v>47</v>
      </c>
      <c r="AM893" t="s">
        <v>47</v>
      </c>
      <c r="AN893" t="s">
        <v>47</v>
      </c>
      <c r="AO893" s="5" t="s">
        <v>60</v>
      </c>
      <c r="AP893" s="4" t="s">
        <v>61</v>
      </c>
      <c r="AQ893" s="4" t="s">
        <v>53</v>
      </c>
      <c r="AR893" s="4" t="s">
        <v>54</v>
      </c>
      <c r="AS893" s="5">
        <v>2034535</v>
      </c>
      <c r="AT893" t="s">
        <v>47</v>
      </c>
    </row>
    <row r="894" spans="1:46" ht="65" x14ac:dyDescent="0.3">
      <c r="A894" s="4" t="s">
        <v>3595</v>
      </c>
      <c r="B894" t="s">
        <v>47</v>
      </c>
      <c r="C894" s="4" t="s">
        <v>1867</v>
      </c>
      <c r="D894" s="4" t="s">
        <v>1103</v>
      </c>
      <c r="E894" s="4" t="s">
        <v>49</v>
      </c>
      <c r="F894" s="5" t="s">
        <v>3596</v>
      </c>
      <c r="G894" t="s">
        <v>47</v>
      </c>
      <c r="H894" t="s">
        <v>47</v>
      </c>
      <c r="I894" s="3">
        <v>36434</v>
      </c>
      <c r="J894" s="5" t="s">
        <v>50</v>
      </c>
      <c r="K894" t="s">
        <v>47</v>
      </c>
      <c r="L894" s="5" t="s">
        <v>60</v>
      </c>
      <c r="M894" s="3">
        <v>36434</v>
      </c>
      <c r="N894" s="5" t="s">
        <v>50</v>
      </c>
      <c r="O894" t="s">
        <v>47</v>
      </c>
      <c r="P894" s="3">
        <v>36434</v>
      </c>
      <c r="Q894" s="5" t="s">
        <v>50</v>
      </c>
      <c r="R894" s="5" t="s">
        <v>653</v>
      </c>
      <c r="S894" t="s">
        <v>47</v>
      </c>
      <c r="T894" t="s">
        <v>47</v>
      </c>
      <c r="U894" t="s">
        <v>47</v>
      </c>
      <c r="V894" t="s">
        <v>47</v>
      </c>
      <c r="W894" s="3">
        <v>36434</v>
      </c>
      <c r="X894" s="5" t="s">
        <v>50</v>
      </c>
      <c r="Y894" t="s">
        <v>47</v>
      </c>
      <c r="Z894" s="3">
        <v>36434</v>
      </c>
      <c r="AA894" s="5" t="s">
        <v>50</v>
      </c>
      <c r="AB894" t="s">
        <v>47</v>
      </c>
      <c r="AC894" s="3">
        <v>37987</v>
      </c>
      <c r="AD894" s="5" t="s">
        <v>50</v>
      </c>
      <c r="AE894" t="s">
        <v>47</v>
      </c>
      <c r="AF894" t="s">
        <v>47</v>
      </c>
      <c r="AG894" t="s">
        <v>47</v>
      </c>
      <c r="AH894" t="s">
        <v>47</v>
      </c>
      <c r="AI894" t="s">
        <v>47</v>
      </c>
      <c r="AJ894" t="s">
        <v>47</v>
      </c>
      <c r="AK894" t="s">
        <v>47</v>
      </c>
      <c r="AL894" t="s">
        <v>47</v>
      </c>
      <c r="AM894" t="s">
        <v>47</v>
      </c>
      <c r="AN894" t="s">
        <v>47</v>
      </c>
      <c r="AO894" s="5" t="s">
        <v>60</v>
      </c>
      <c r="AP894" s="4" t="s">
        <v>61</v>
      </c>
      <c r="AQ894" s="4" t="s">
        <v>53</v>
      </c>
      <c r="AR894" s="4" t="s">
        <v>543</v>
      </c>
      <c r="AS894" s="5">
        <v>31133</v>
      </c>
      <c r="AT894" t="s">
        <v>47</v>
      </c>
    </row>
    <row r="895" spans="1:46" ht="65" x14ac:dyDescent="0.3">
      <c r="A895" s="4" t="s">
        <v>3597</v>
      </c>
      <c r="B895" t="s">
        <v>47</v>
      </c>
      <c r="C895" s="4" t="s">
        <v>3598</v>
      </c>
      <c r="D895" s="4" t="s">
        <v>748</v>
      </c>
      <c r="E895" s="4" t="s">
        <v>49</v>
      </c>
      <c r="F895" s="5" t="s">
        <v>3599</v>
      </c>
      <c r="G895" s="5" t="s">
        <v>3600</v>
      </c>
      <c r="H895" t="s">
        <v>47</v>
      </c>
      <c r="I895" s="3">
        <v>40634</v>
      </c>
      <c r="J895" s="5" t="s">
        <v>50</v>
      </c>
      <c r="K895" t="s">
        <v>47</v>
      </c>
      <c r="L895" s="5" t="s">
        <v>60</v>
      </c>
      <c r="M895" t="s">
        <v>47</v>
      </c>
      <c r="N895" t="s">
        <v>47</v>
      </c>
      <c r="O895" t="s">
        <v>47</v>
      </c>
      <c r="P895" s="3">
        <v>40634</v>
      </c>
      <c r="Q895" s="5" t="s">
        <v>50</v>
      </c>
      <c r="R895" t="s">
        <v>47</v>
      </c>
      <c r="S895" t="s">
        <v>47</v>
      </c>
      <c r="T895" t="s">
        <v>47</v>
      </c>
      <c r="U895" t="s">
        <v>47</v>
      </c>
      <c r="V895" s="5">
        <v>365</v>
      </c>
      <c r="W895" s="3">
        <v>40634</v>
      </c>
      <c r="X895" s="5" t="s">
        <v>50</v>
      </c>
      <c r="Y895" t="s">
        <v>47</v>
      </c>
      <c r="Z895" s="3">
        <v>40634</v>
      </c>
      <c r="AA895" s="5" t="s">
        <v>50</v>
      </c>
      <c r="AB895" t="s">
        <v>47</v>
      </c>
      <c r="AC895" s="3">
        <v>40634</v>
      </c>
      <c r="AD895" s="5" t="s">
        <v>50</v>
      </c>
      <c r="AE895" t="s">
        <v>47</v>
      </c>
      <c r="AF895" t="s">
        <v>47</v>
      </c>
      <c r="AG895" t="s">
        <v>47</v>
      </c>
      <c r="AH895" t="s">
        <v>47</v>
      </c>
      <c r="AI895" t="s">
        <v>47</v>
      </c>
      <c r="AJ895" t="s">
        <v>47</v>
      </c>
      <c r="AK895" t="s">
        <v>47</v>
      </c>
      <c r="AL895" t="s">
        <v>47</v>
      </c>
      <c r="AM895" t="s">
        <v>47</v>
      </c>
      <c r="AN895" t="s">
        <v>47</v>
      </c>
      <c r="AO895" s="5" t="s">
        <v>60</v>
      </c>
      <c r="AP895" s="4" t="s">
        <v>61</v>
      </c>
      <c r="AQ895" s="4" t="s">
        <v>53</v>
      </c>
      <c r="AR895" s="4" t="s">
        <v>543</v>
      </c>
      <c r="AS895" s="5">
        <v>2037561</v>
      </c>
      <c r="AT895" t="s">
        <v>47</v>
      </c>
    </row>
    <row r="896" spans="1:46" ht="156" x14ac:dyDescent="0.3">
      <c r="A896" s="4" t="s">
        <v>3601</v>
      </c>
      <c r="B896" t="s">
        <v>47</v>
      </c>
      <c r="C896" s="4" t="s">
        <v>2995</v>
      </c>
      <c r="D896" s="4" t="s">
        <v>2405</v>
      </c>
      <c r="E896" s="4" t="s">
        <v>49</v>
      </c>
      <c r="F896" s="5" t="s">
        <v>3602</v>
      </c>
      <c r="G896" s="5" t="s">
        <v>3603</v>
      </c>
      <c r="H896" t="s">
        <v>47</v>
      </c>
      <c r="I896" s="3">
        <v>37987</v>
      </c>
      <c r="J896" s="3">
        <v>40087</v>
      </c>
      <c r="K896" t="s">
        <v>47</v>
      </c>
      <c r="L896" s="5" t="s">
        <v>60</v>
      </c>
      <c r="M896" s="3">
        <v>37987</v>
      </c>
      <c r="N896" s="3">
        <v>40087</v>
      </c>
      <c r="O896" t="s">
        <v>47</v>
      </c>
      <c r="P896" s="3">
        <v>37987</v>
      </c>
      <c r="Q896" s="3">
        <v>40087</v>
      </c>
      <c r="R896" t="s">
        <v>47</v>
      </c>
      <c r="S896" t="s">
        <v>47</v>
      </c>
      <c r="T896" t="s">
        <v>47</v>
      </c>
      <c r="U896" t="s">
        <v>47</v>
      </c>
      <c r="V896" t="s">
        <v>47</v>
      </c>
      <c r="W896" s="3">
        <v>37987</v>
      </c>
      <c r="X896" s="5" t="s">
        <v>50</v>
      </c>
      <c r="Y896" t="s">
        <v>47</v>
      </c>
      <c r="Z896" s="3">
        <v>37987</v>
      </c>
      <c r="AA896" s="5" t="s">
        <v>50</v>
      </c>
      <c r="AB896" t="s">
        <v>47</v>
      </c>
      <c r="AC896" s="3">
        <v>37987</v>
      </c>
      <c r="AD896" s="5" t="s">
        <v>50</v>
      </c>
      <c r="AE896" t="s">
        <v>47</v>
      </c>
      <c r="AF896" t="s">
        <v>47</v>
      </c>
      <c r="AG896" t="s">
        <v>47</v>
      </c>
      <c r="AH896" t="s">
        <v>47</v>
      </c>
      <c r="AI896" t="s">
        <v>47</v>
      </c>
      <c r="AJ896" t="s">
        <v>47</v>
      </c>
      <c r="AK896" t="s">
        <v>47</v>
      </c>
      <c r="AL896" t="s">
        <v>47</v>
      </c>
      <c r="AM896" t="s">
        <v>47</v>
      </c>
      <c r="AN896" t="s">
        <v>47</v>
      </c>
      <c r="AO896" s="5" t="s">
        <v>60</v>
      </c>
      <c r="AP896" s="4" t="s">
        <v>61</v>
      </c>
      <c r="AQ896" s="4" t="s">
        <v>53</v>
      </c>
      <c r="AR896" s="4" t="s">
        <v>2001</v>
      </c>
      <c r="AS896" s="5">
        <v>34242</v>
      </c>
      <c r="AT896" t="s">
        <v>47</v>
      </c>
    </row>
    <row r="897" spans="1:46" ht="26" x14ac:dyDescent="0.3">
      <c r="A897" s="4" t="s">
        <v>3604</v>
      </c>
      <c r="B897" t="s">
        <v>47</v>
      </c>
      <c r="C897" s="4" t="s">
        <v>3605</v>
      </c>
      <c r="D897" s="4" t="s">
        <v>873</v>
      </c>
      <c r="E897" s="4" t="s">
        <v>874</v>
      </c>
      <c r="F897" s="5" t="s">
        <v>3606</v>
      </c>
      <c r="G897" t="s">
        <v>47</v>
      </c>
      <c r="H897" t="s">
        <v>47</v>
      </c>
      <c r="I897" s="3">
        <v>41791</v>
      </c>
      <c r="J897" s="5" t="s">
        <v>50</v>
      </c>
      <c r="K897" t="s">
        <v>47</v>
      </c>
      <c r="L897" s="5" t="s">
        <v>60</v>
      </c>
      <c r="M897" t="s">
        <v>47</v>
      </c>
      <c r="N897" t="s">
        <v>47</v>
      </c>
      <c r="O897" t="s">
        <v>47</v>
      </c>
      <c r="P897" s="3">
        <v>41791</v>
      </c>
      <c r="Q897" s="5" t="s">
        <v>50</v>
      </c>
      <c r="R897" t="s">
        <v>47</v>
      </c>
      <c r="S897" t="s">
        <v>47</v>
      </c>
      <c r="T897" t="s">
        <v>47</v>
      </c>
      <c r="U897" t="s">
        <v>47</v>
      </c>
      <c r="V897" t="s">
        <v>47</v>
      </c>
      <c r="W897" s="3">
        <v>41791</v>
      </c>
      <c r="X897" s="5" t="s">
        <v>50</v>
      </c>
      <c r="Y897" t="s">
        <v>47</v>
      </c>
      <c r="Z897" s="3">
        <v>41791</v>
      </c>
      <c r="AA897" s="5" t="s">
        <v>50</v>
      </c>
      <c r="AB897" t="s">
        <v>47</v>
      </c>
      <c r="AC897" s="3">
        <v>41791</v>
      </c>
      <c r="AD897" s="5" t="s">
        <v>50</v>
      </c>
      <c r="AE897" t="s">
        <v>47</v>
      </c>
      <c r="AF897" t="s">
        <v>47</v>
      </c>
      <c r="AG897" t="s">
        <v>47</v>
      </c>
      <c r="AH897" t="s">
        <v>47</v>
      </c>
      <c r="AI897" t="s">
        <v>47</v>
      </c>
      <c r="AJ897" t="s">
        <v>47</v>
      </c>
      <c r="AK897" t="s">
        <v>47</v>
      </c>
      <c r="AL897" t="s">
        <v>47</v>
      </c>
      <c r="AM897" t="s">
        <v>47</v>
      </c>
      <c r="AN897" t="s">
        <v>47</v>
      </c>
      <c r="AO897" s="5" t="s">
        <v>60</v>
      </c>
      <c r="AP897" s="4" t="s">
        <v>61</v>
      </c>
      <c r="AQ897" s="4" t="s">
        <v>538</v>
      </c>
      <c r="AR897" s="4" t="s">
        <v>54</v>
      </c>
      <c r="AS897" s="5">
        <v>2041167</v>
      </c>
      <c r="AT897" t="s">
        <v>47</v>
      </c>
    </row>
    <row r="898" spans="1:46" ht="26" x14ac:dyDescent="0.3">
      <c r="A898" s="4" t="s">
        <v>3607</v>
      </c>
      <c r="B898" t="s">
        <v>47</v>
      </c>
      <c r="C898" s="4" t="s">
        <v>1529</v>
      </c>
      <c r="D898" s="4" t="s">
        <v>88</v>
      </c>
      <c r="E898" s="4" t="s">
        <v>49</v>
      </c>
      <c r="F898" s="5" t="s">
        <v>3608</v>
      </c>
      <c r="G898" s="5" t="s">
        <v>3609</v>
      </c>
      <c r="H898" t="s">
        <v>47</v>
      </c>
      <c r="I898" t="s">
        <v>47</v>
      </c>
      <c r="J898" t="s">
        <v>47</v>
      </c>
      <c r="K898" t="s">
        <v>47</v>
      </c>
      <c r="L898" s="5" t="s">
        <v>60</v>
      </c>
      <c r="M898" t="s">
        <v>47</v>
      </c>
      <c r="N898" t="s">
        <v>47</v>
      </c>
      <c r="O898" t="s">
        <v>47</v>
      </c>
      <c r="P898" t="s">
        <v>47</v>
      </c>
      <c r="Q898" t="s">
        <v>47</v>
      </c>
      <c r="R898" t="s">
        <v>47</v>
      </c>
      <c r="S898" t="s">
        <v>47</v>
      </c>
      <c r="T898" t="s">
        <v>47</v>
      </c>
      <c r="U898" t="s">
        <v>47</v>
      </c>
      <c r="V898" t="s">
        <v>47</v>
      </c>
      <c r="W898" s="3">
        <v>31444</v>
      </c>
      <c r="X898" s="5" t="s">
        <v>50</v>
      </c>
      <c r="Y898" t="s">
        <v>47</v>
      </c>
      <c r="Z898" s="3">
        <v>31444</v>
      </c>
      <c r="AA898" s="5" t="s">
        <v>50</v>
      </c>
      <c r="AB898" t="s">
        <v>47</v>
      </c>
      <c r="AC898" s="3">
        <v>31444</v>
      </c>
      <c r="AD898" s="5" t="s">
        <v>50</v>
      </c>
      <c r="AE898" t="s">
        <v>47</v>
      </c>
      <c r="AF898" t="s">
        <v>47</v>
      </c>
      <c r="AG898" t="s">
        <v>47</v>
      </c>
      <c r="AH898" t="s">
        <v>47</v>
      </c>
      <c r="AI898" t="s">
        <v>47</v>
      </c>
      <c r="AJ898" t="s">
        <v>47</v>
      </c>
      <c r="AK898" t="s">
        <v>47</v>
      </c>
      <c r="AL898" t="s">
        <v>47</v>
      </c>
      <c r="AM898" t="s">
        <v>47</v>
      </c>
      <c r="AN898" t="s">
        <v>47</v>
      </c>
      <c r="AO898" s="5" t="s">
        <v>60</v>
      </c>
      <c r="AP898" s="4" t="s">
        <v>61</v>
      </c>
      <c r="AQ898" s="4" t="s">
        <v>53</v>
      </c>
      <c r="AR898" s="4" t="s">
        <v>807</v>
      </c>
      <c r="AS898" s="5">
        <v>42319</v>
      </c>
      <c r="AT898" t="s">
        <v>47</v>
      </c>
    </row>
    <row r="899" spans="1:46" ht="13" x14ac:dyDescent="0.3">
      <c r="A899" s="4" t="s">
        <v>3610</v>
      </c>
      <c r="B899" t="s">
        <v>47</v>
      </c>
      <c r="C899" s="4" t="s">
        <v>867</v>
      </c>
      <c r="D899" s="4" t="s">
        <v>3611</v>
      </c>
      <c r="E899" s="4" t="s">
        <v>869</v>
      </c>
      <c r="F899" s="5" t="s">
        <v>3612</v>
      </c>
      <c r="G899" s="5" t="s">
        <v>3613</v>
      </c>
      <c r="H899" t="s">
        <v>47</v>
      </c>
      <c r="I899" s="3">
        <v>40725</v>
      </c>
      <c r="J899" s="3">
        <v>44197</v>
      </c>
      <c r="K899" t="s">
        <v>47</v>
      </c>
      <c r="L899" s="5" t="s">
        <v>60</v>
      </c>
      <c r="M899" s="3">
        <v>40725</v>
      </c>
      <c r="N899" s="3">
        <v>44197</v>
      </c>
      <c r="O899" t="s">
        <v>47</v>
      </c>
      <c r="P899" s="3">
        <v>40725</v>
      </c>
      <c r="Q899" s="3">
        <v>44197</v>
      </c>
      <c r="R899" s="5" t="s">
        <v>3614</v>
      </c>
      <c r="S899" t="s">
        <v>47</v>
      </c>
      <c r="T899" t="s">
        <v>47</v>
      </c>
      <c r="U899" t="s">
        <v>47</v>
      </c>
      <c r="V899" t="s">
        <v>47</v>
      </c>
      <c r="W899" s="3">
        <v>40725</v>
      </c>
      <c r="X899" s="3">
        <v>44197</v>
      </c>
      <c r="Y899" t="s">
        <v>47</v>
      </c>
      <c r="Z899" s="3">
        <v>40725</v>
      </c>
      <c r="AA899" s="3">
        <v>44197</v>
      </c>
      <c r="AB899" t="s">
        <v>47</v>
      </c>
      <c r="AC899" s="3">
        <v>40725</v>
      </c>
      <c r="AD899" s="3">
        <v>44197</v>
      </c>
      <c r="AE899" t="s">
        <v>47</v>
      </c>
      <c r="AF899" t="s">
        <v>47</v>
      </c>
      <c r="AG899" t="s">
        <v>47</v>
      </c>
      <c r="AH899" t="s">
        <v>47</v>
      </c>
      <c r="AI899" t="s">
        <v>47</v>
      </c>
      <c r="AJ899" t="s">
        <v>47</v>
      </c>
      <c r="AK899" t="s">
        <v>47</v>
      </c>
      <c r="AL899" t="s">
        <v>47</v>
      </c>
      <c r="AM899" t="s">
        <v>47</v>
      </c>
      <c r="AN899" t="s">
        <v>47</v>
      </c>
      <c r="AO899" s="5" t="s">
        <v>60</v>
      </c>
      <c r="AP899" s="4" t="s">
        <v>61</v>
      </c>
      <c r="AQ899" s="4" t="s">
        <v>53</v>
      </c>
      <c r="AR899" s="4" t="s">
        <v>54</v>
      </c>
      <c r="AS899" s="5">
        <v>1616349</v>
      </c>
      <c r="AT899" t="s">
        <v>47</v>
      </c>
    </row>
    <row r="900" spans="1:46" ht="26" x14ac:dyDescent="0.3">
      <c r="A900" s="4" t="s">
        <v>3615</v>
      </c>
      <c r="B900" t="s">
        <v>47</v>
      </c>
      <c r="C900" s="4" t="s">
        <v>519</v>
      </c>
      <c r="D900" s="4" t="s">
        <v>3101</v>
      </c>
      <c r="E900" s="4" t="s">
        <v>49</v>
      </c>
      <c r="F900" s="5" t="s">
        <v>3616</v>
      </c>
      <c r="G900" s="5" t="s">
        <v>3617</v>
      </c>
      <c r="H900" t="s">
        <v>47</v>
      </c>
      <c r="I900" s="3">
        <v>35186</v>
      </c>
      <c r="J900" s="3">
        <v>40483</v>
      </c>
      <c r="K900" t="s">
        <v>47</v>
      </c>
      <c r="L900" s="5" t="s">
        <v>60</v>
      </c>
      <c r="M900" s="3">
        <v>35186</v>
      </c>
      <c r="N900" s="3">
        <v>40483</v>
      </c>
      <c r="O900" t="s">
        <v>47</v>
      </c>
      <c r="P900" s="3">
        <v>35186</v>
      </c>
      <c r="Q900" s="3">
        <v>40483</v>
      </c>
      <c r="R900" t="s">
        <v>47</v>
      </c>
      <c r="S900" t="s">
        <v>47</v>
      </c>
      <c r="T900" t="s">
        <v>47</v>
      </c>
      <c r="U900" t="s">
        <v>47</v>
      </c>
      <c r="V900" t="s">
        <v>47</v>
      </c>
      <c r="W900" s="3">
        <v>35186</v>
      </c>
      <c r="X900" s="5" t="s">
        <v>50</v>
      </c>
      <c r="Y900" t="s">
        <v>47</v>
      </c>
      <c r="Z900" s="3">
        <v>35186</v>
      </c>
      <c r="AA900" s="5" t="s">
        <v>50</v>
      </c>
      <c r="AB900" t="s">
        <v>47</v>
      </c>
      <c r="AC900" s="3">
        <v>35186</v>
      </c>
      <c r="AD900" s="5" t="s">
        <v>50</v>
      </c>
      <c r="AE900" t="s">
        <v>47</v>
      </c>
      <c r="AF900" t="s">
        <v>47</v>
      </c>
      <c r="AG900" t="s">
        <v>47</v>
      </c>
      <c r="AH900" t="s">
        <v>47</v>
      </c>
      <c r="AI900" t="s">
        <v>47</v>
      </c>
      <c r="AJ900" t="s">
        <v>47</v>
      </c>
      <c r="AK900" t="s">
        <v>47</v>
      </c>
      <c r="AL900" t="s">
        <v>47</v>
      </c>
      <c r="AM900" t="s">
        <v>47</v>
      </c>
      <c r="AN900" t="s">
        <v>47</v>
      </c>
      <c r="AO900" s="5" t="s">
        <v>60</v>
      </c>
      <c r="AP900" s="4" t="s">
        <v>61</v>
      </c>
      <c r="AQ900" s="4" t="s">
        <v>53</v>
      </c>
      <c r="AR900" s="4" t="s">
        <v>807</v>
      </c>
      <c r="AS900" s="5">
        <v>40761</v>
      </c>
      <c r="AT900" t="s">
        <v>47</v>
      </c>
    </row>
    <row r="901" spans="1:46" ht="26" x14ac:dyDescent="0.3">
      <c r="A901" s="4" t="s">
        <v>3618</v>
      </c>
      <c r="B901" t="s">
        <v>47</v>
      </c>
      <c r="C901" s="4" t="s">
        <v>3619</v>
      </c>
      <c r="D901" s="4" t="s">
        <v>2186</v>
      </c>
      <c r="E901" s="4" t="s">
        <v>49</v>
      </c>
      <c r="F901" t="s">
        <v>47</v>
      </c>
      <c r="G901" t="s">
        <v>47</v>
      </c>
      <c r="H901" t="s">
        <v>47</v>
      </c>
      <c r="I901" s="3">
        <v>40909</v>
      </c>
      <c r="J901" s="5" t="s">
        <v>50</v>
      </c>
      <c r="K901" t="s">
        <v>47</v>
      </c>
      <c r="L901" s="5" t="s">
        <v>60</v>
      </c>
      <c r="M901" t="s">
        <v>47</v>
      </c>
      <c r="N901" t="s">
        <v>47</v>
      </c>
      <c r="O901" t="s">
        <v>47</v>
      </c>
      <c r="P901" s="3">
        <v>40909</v>
      </c>
      <c r="Q901" s="5" t="s">
        <v>50</v>
      </c>
      <c r="R901" t="s">
        <v>47</v>
      </c>
      <c r="S901" t="s">
        <v>47</v>
      </c>
      <c r="T901" t="s">
        <v>47</v>
      </c>
      <c r="U901" t="s">
        <v>47</v>
      </c>
      <c r="V901" t="s">
        <v>47</v>
      </c>
      <c r="W901" s="3">
        <v>40909</v>
      </c>
      <c r="X901" s="5" t="s">
        <v>50</v>
      </c>
      <c r="Y901" t="s">
        <v>47</v>
      </c>
      <c r="Z901" s="3">
        <v>40909</v>
      </c>
      <c r="AA901" s="5" t="s">
        <v>50</v>
      </c>
      <c r="AB901" t="s">
        <v>47</v>
      </c>
      <c r="AC901" s="3">
        <v>40909</v>
      </c>
      <c r="AD901" s="5" t="s">
        <v>50</v>
      </c>
      <c r="AE901" t="s">
        <v>47</v>
      </c>
      <c r="AF901" t="s">
        <v>47</v>
      </c>
      <c r="AG901" t="s">
        <v>47</v>
      </c>
      <c r="AH901" t="s">
        <v>47</v>
      </c>
      <c r="AI901" t="s">
        <v>47</v>
      </c>
      <c r="AJ901" t="s">
        <v>47</v>
      </c>
      <c r="AK901" t="s">
        <v>47</v>
      </c>
      <c r="AL901" t="s">
        <v>47</v>
      </c>
      <c r="AM901" t="s">
        <v>47</v>
      </c>
      <c r="AN901" t="s">
        <v>47</v>
      </c>
      <c r="AO901" s="5" t="s">
        <v>60</v>
      </c>
      <c r="AP901" s="4" t="s">
        <v>61</v>
      </c>
      <c r="AQ901" s="4" t="s">
        <v>53</v>
      </c>
      <c r="AR901" s="4" t="s">
        <v>54</v>
      </c>
      <c r="AS901" s="5">
        <v>2044062</v>
      </c>
      <c r="AT901" t="s">
        <v>47</v>
      </c>
    </row>
    <row r="902" spans="1:46" ht="13" x14ac:dyDescent="0.3">
      <c r="A902" s="4" t="s">
        <v>3620</v>
      </c>
      <c r="B902" t="s">
        <v>47</v>
      </c>
      <c r="C902" s="4" t="s">
        <v>3621</v>
      </c>
      <c r="D902" s="4" t="s">
        <v>3622</v>
      </c>
      <c r="E902" s="4" t="s">
        <v>3623</v>
      </c>
      <c r="F902" s="5" t="s">
        <v>3624</v>
      </c>
      <c r="G902" s="5" t="s">
        <v>3625</v>
      </c>
      <c r="H902" t="s">
        <v>47</v>
      </c>
      <c r="I902" s="3">
        <v>37257</v>
      </c>
      <c r="J902" s="5" t="s">
        <v>50</v>
      </c>
      <c r="K902" s="5" t="s">
        <v>3626</v>
      </c>
      <c r="L902" s="5" t="s">
        <v>60</v>
      </c>
      <c r="M902" t="s">
        <v>47</v>
      </c>
      <c r="N902" t="s">
        <v>47</v>
      </c>
      <c r="O902" t="s">
        <v>47</v>
      </c>
      <c r="P902" s="3">
        <v>37257</v>
      </c>
      <c r="Q902" s="5" t="s">
        <v>50</v>
      </c>
      <c r="R902" s="5" t="s">
        <v>3626</v>
      </c>
      <c r="S902" t="s">
        <v>47</v>
      </c>
      <c r="T902" t="s">
        <v>47</v>
      </c>
      <c r="U902" t="s">
        <v>47</v>
      </c>
      <c r="V902" t="s">
        <v>47</v>
      </c>
      <c r="W902" s="3">
        <v>37257</v>
      </c>
      <c r="X902" s="5" t="s">
        <v>50</v>
      </c>
      <c r="Y902" s="5" t="s">
        <v>3626</v>
      </c>
      <c r="Z902" s="3">
        <v>37257</v>
      </c>
      <c r="AA902" s="5" t="s">
        <v>50</v>
      </c>
      <c r="AB902" s="5" t="s">
        <v>3626</v>
      </c>
      <c r="AC902" s="3">
        <v>37257</v>
      </c>
      <c r="AD902" s="5" t="s">
        <v>50</v>
      </c>
      <c r="AE902" s="5" t="s">
        <v>3626</v>
      </c>
      <c r="AF902" t="s">
        <v>47</v>
      </c>
      <c r="AG902" t="s">
        <v>47</v>
      </c>
      <c r="AH902" t="s">
        <v>47</v>
      </c>
      <c r="AI902" t="s">
        <v>47</v>
      </c>
      <c r="AJ902" t="s">
        <v>47</v>
      </c>
      <c r="AK902" t="s">
        <v>47</v>
      </c>
      <c r="AL902" t="s">
        <v>47</v>
      </c>
      <c r="AM902" t="s">
        <v>47</v>
      </c>
      <c r="AN902" t="s">
        <v>47</v>
      </c>
      <c r="AO902" s="5" t="s">
        <v>60</v>
      </c>
      <c r="AP902" s="4" t="s">
        <v>61</v>
      </c>
      <c r="AQ902" s="4" t="s">
        <v>3627</v>
      </c>
      <c r="AR902" s="4" t="s">
        <v>54</v>
      </c>
      <c r="AS902" s="5">
        <v>6480294</v>
      </c>
      <c r="AT902" t="s">
        <v>47</v>
      </c>
    </row>
    <row r="903" spans="1:46" ht="65" x14ac:dyDescent="0.3">
      <c r="A903" s="4" t="s">
        <v>3628</v>
      </c>
      <c r="B903" t="s">
        <v>47</v>
      </c>
      <c r="C903" s="4" t="s">
        <v>3629</v>
      </c>
      <c r="D903" s="4" t="s">
        <v>3630</v>
      </c>
      <c r="E903" s="4" t="s">
        <v>151</v>
      </c>
      <c r="F903" s="5" t="s">
        <v>3631</v>
      </c>
      <c r="G903" s="5" t="s">
        <v>3632</v>
      </c>
      <c r="H903" t="s">
        <v>47</v>
      </c>
      <c r="I903" s="3">
        <v>40544</v>
      </c>
      <c r="J903" s="3">
        <v>43647</v>
      </c>
      <c r="K903" t="s">
        <v>47</v>
      </c>
      <c r="L903" s="5" t="s">
        <v>60</v>
      </c>
      <c r="M903" t="s">
        <v>47</v>
      </c>
      <c r="N903" t="s">
        <v>47</v>
      </c>
      <c r="O903" t="s">
        <v>47</v>
      </c>
      <c r="P903" s="3">
        <v>40544</v>
      </c>
      <c r="Q903" s="3">
        <v>43647</v>
      </c>
      <c r="R903" t="s">
        <v>47</v>
      </c>
      <c r="S903" t="s">
        <v>47</v>
      </c>
      <c r="T903" t="s">
        <v>47</v>
      </c>
      <c r="U903" t="s">
        <v>47</v>
      </c>
      <c r="V903" t="s">
        <v>47</v>
      </c>
      <c r="W903" s="3">
        <v>40544</v>
      </c>
      <c r="X903" s="3">
        <v>43647</v>
      </c>
      <c r="Y903" t="s">
        <v>47</v>
      </c>
      <c r="Z903" s="3">
        <v>40544</v>
      </c>
      <c r="AA903" s="3">
        <v>43647</v>
      </c>
      <c r="AB903" t="s">
        <v>47</v>
      </c>
      <c r="AC903" s="3">
        <v>40544</v>
      </c>
      <c r="AD903" s="3">
        <v>43647</v>
      </c>
      <c r="AE903" t="s">
        <v>47</v>
      </c>
      <c r="AF903" t="s">
        <v>47</v>
      </c>
      <c r="AG903" t="s">
        <v>47</v>
      </c>
      <c r="AH903" t="s">
        <v>47</v>
      </c>
      <c r="AI903" t="s">
        <v>47</v>
      </c>
      <c r="AJ903" t="s">
        <v>47</v>
      </c>
      <c r="AK903" t="s">
        <v>47</v>
      </c>
      <c r="AL903" t="s">
        <v>47</v>
      </c>
      <c r="AM903" t="s">
        <v>47</v>
      </c>
      <c r="AN903" t="s">
        <v>47</v>
      </c>
      <c r="AO903" s="5" t="s">
        <v>60</v>
      </c>
      <c r="AP903" s="4" t="s">
        <v>61</v>
      </c>
      <c r="AQ903" s="4" t="s">
        <v>53</v>
      </c>
      <c r="AR903" s="4" t="s">
        <v>543</v>
      </c>
      <c r="AS903" s="5">
        <v>786381</v>
      </c>
      <c r="AT903" t="s">
        <v>47</v>
      </c>
    </row>
    <row r="904" spans="1:46" ht="104" x14ac:dyDescent="0.3">
      <c r="A904" s="4" t="s">
        <v>3633</v>
      </c>
      <c r="B904" t="s">
        <v>47</v>
      </c>
      <c r="C904" s="4" t="s">
        <v>3634</v>
      </c>
      <c r="D904" s="4" t="s">
        <v>3635</v>
      </c>
      <c r="E904" s="4" t="s">
        <v>100</v>
      </c>
      <c r="F904" s="5" t="s">
        <v>3636</v>
      </c>
      <c r="G904" s="5" t="s">
        <v>3637</v>
      </c>
      <c r="H904" t="s">
        <v>47</v>
      </c>
      <c r="I904" s="3">
        <v>37987</v>
      </c>
      <c r="J904" s="5" t="s">
        <v>50</v>
      </c>
      <c r="K904" t="s">
        <v>47</v>
      </c>
      <c r="L904" s="5" t="s">
        <v>60</v>
      </c>
      <c r="M904" t="s">
        <v>47</v>
      </c>
      <c r="N904" t="s">
        <v>47</v>
      </c>
      <c r="O904" t="s">
        <v>47</v>
      </c>
      <c r="P904" s="3">
        <v>37987</v>
      </c>
      <c r="Q904" s="5" t="s">
        <v>50</v>
      </c>
      <c r="R904" t="s">
        <v>47</v>
      </c>
      <c r="S904" t="s">
        <v>47</v>
      </c>
      <c r="T904" t="s">
        <v>47</v>
      </c>
      <c r="U904" t="s">
        <v>47</v>
      </c>
      <c r="V904" t="s">
        <v>47</v>
      </c>
      <c r="W904" s="3">
        <v>37987</v>
      </c>
      <c r="X904" s="5" t="s">
        <v>50</v>
      </c>
      <c r="Y904" t="s">
        <v>47</v>
      </c>
      <c r="Z904" s="3">
        <v>37987</v>
      </c>
      <c r="AA904" s="5" t="s">
        <v>50</v>
      </c>
      <c r="AB904" t="s">
        <v>47</v>
      </c>
      <c r="AC904" s="3">
        <v>37987</v>
      </c>
      <c r="AD904" s="5" t="s">
        <v>50</v>
      </c>
      <c r="AE904" t="s">
        <v>47</v>
      </c>
      <c r="AF904" t="s">
        <v>47</v>
      </c>
      <c r="AG904" t="s">
        <v>47</v>
      </c>
      <c r="AH904" t="s">
        <v>47</v>
      </c>
      <c r="AI904" t="s">
        <v>47</v>
      </c>
      <c r="AJ904" t="s">
        <v>47</v>
      </c>
      <c r="AK904" t="s">
        <v>47</v>
      </c>
      <c r="AL904" t="s">
        <v>47</v>
      </c>
      <c r="AM904" t="s">
        <v>47</v>
      </c>
      <c r="AN904" t="s">
        <v>47</v>
      </c>
      <c r="AO904" s="5" t="s">
        <v>60</v>
      </c>
      <c r="AP904" s="4" t="s">
        <v>61</v>
      </c>
      <c r="AQ904" s="4" t="s">
        <v>53</v>
      </c>
      <c r="AR904" s="4" t="s">
        <v>1999</v>
      </c>
      <c r="AS904" s="5">
        <v>1586335</v>
      </c>
      <c r="AT904" t="s">
        <v>47</v>
      </c>
    </row>
    <row r="905" spans="1:46" ht="26" x14ac:dyDescent="0.3">
      <c r="A905" s="4" t="s">
        <v>3638</v>
      </c>
      <c r="B905" t="s">
        <v>47</v>
      </c>
      <c r="C905" s="4" t="s">
        <v>3639</v>
      </c>
      <c r="D905" s="4" t="s">
        <v>3640</v>
      </c>
      <c r="E905" s="4" t="s">
        <v>701</v>
      </c>
      <c r="F905" s="5" t="s">
        <v>3641</v>
      </c>
      <c r="G905" t="s">
        <v>47</v>
      </c>
      <c r="H905" t="s">
        <v>47</v>
      </c>
      <c r="I905" s="3">
        <v>43101</v>
      </c>
      <c r="J905" s="5" t="s">
        <v>50</v>
      </c>
      <c r="K905" t="s">
        <v>47</v>
      </c>
      <c r="L905" s="5" t="s">
        <v>60</v>
      </c>
      <c r="M905" t="s">
        <v>47</v>
      </c>
      <c r="N905" t="s">
        <v>47</v>
      </c>
      <c r="O905" t="s">
        <v>47</v>
      </c>
      <c r="P905" s="3">
        <v>43101</v>
      </c>
      <c r="Q905" s="5" t="s">
        <v>50</v>
      </c>
      <c r="R905" t="s">
        <v>47</v>
      </c>
      <c r="S905" t="s">
        <v>47</v>
      </c>
      <c r="T905" t="s">
        <v>47</v>
      </c>
      <c r="U905" t="s">
        <v>47</v>
      </c>
      <c r="V905" t="s">
        <v>47</v>
      </c>
      <c r="W905" s="3">
        <v>43101</v>
      </c>
      <c r="X905" s="5" t="s">
        <v>50</v>
      </c>
      <c r="Y905" t="s">
        <v>47</v>
      </c>
      <c r="Z905" s="3">
        <v>43101</v>
      </c>
      <c r="AA905" s="5" t="s">
        <v>50</v>
      </c>
      <c r="AB905" t="s">
        <v>47</v>
      </c>
      <c r="AC905" s="3">
        <v>43101</v>
      </c>
      <c r="AD905" s="5" t="s">
        <v>50</v>
      </c>
      <c r="AE905" t="s">
        <v>47</v>
      </c>
      <c r="AF905" t="s">
        <v>47</v>
      </c>
      <c r="AG905" t="s">
        <v>47</v>
      </c>
      <c r="AH905" t="s">
        <v>47</v>
      </c>
      <c r="AI905" t="s">
        <v>47</v>
      </c>
      <c r="AJ905" t="s">
        <v>47</v>
      </c>
      <c r="AK905" t="s">
        <v>47</v>
      </c>
      <c r="AL905" t="s">
        <v>47</v>
      </c>
      <c r="AM905" t="s">
        <v>47</v>
      </c>
      <c r="AN905" t="s">
        <v>47</v>
      </c>
      <c r="AO905" s="5" t="s">
        <v>60</v>
      </c>
      <c r="AP905" s="4" t="s">
        <v>61</v>
      </c>
      <c r="AQ905" s="4" t="s">
        <v>427</v>
      </c>
      <c r="AR905" s="4" t="s">
        <v>54</v>
      </c>
      <c r="AS905" s="5">
        <v>4414562</v>
      </c>
      <c r="AT905" t="s">
        <v>47</v>
      </c>
    </row>
    <row r="906" spans="1:46" ht="78" x14ac:dyDescent="0.3">
      <c r="A906" s="4" t="s">
        <v>3642</v>
      </c>
      <c r="B906" t="s">
        <v>47</v>
      </c>
      <c r="C906" s="4" t="s">
        <v>3643</v>
      </c>
      <c r="D906" s="4" t="s">
        <v>742</v>
      </c>
      <c r="E906" s="4" t="s">
        <v>100</v>
      </c>
      <c r="F906" s="5" t="s">
        <v>3644</v>
      </c>
      <c r="G906" s="5" t="s">
        <v>3645</v>
      </c>
      <c r="H906" t="s">
        <v>47</v>
      </c>
      <c r="I906" s="3">
        <v>38322</v>
      </c>
      <c r="J906" s="3">
        <v>40878</v>
      </c>
      <c r="K906" t="s">
        <v>47</v>
      </c>
      <c r="L906" s="5" t="s">
        <v>60</v>
      </c>
      <c r="M906" s="3">
        <v>38322</v>
      </c>
      <c r="N906" s="3">
        <v>40878</v>
      </c>
      <c r="O906" t="s">
        <v>47</v>
      </c>
      <c r="P906" s="3">
        <v>38322</v>
      </c>
      <c r="Q906" s="3">
        <v>40878</v>
      </c>
      <c r="R906" t="s">
        <v>47</v>
      </c>
      <c r="S906" t="s">
        <v>47</v>
      </c>
      <c r="T906" t="s">
        <v>47</v>
      </c>
      <c r="U906" t="s">
        <v>47</v>
      </c>
      <c r="V906" t="s">
        <v>47</v>
      </c>
      <c r="W906" s="3">
        <v>33817</v>
      </c>
      <c r="X906" s="5" t="s">
        <v>50</v>
      </c>
      <c r="Y906" t="s">
        <v>47</v>
      </c>
      <c r="Z906" s="3">
        <v>33817</v>
      </c>
      <c r="AA906" s="5" t="s">
        <v>50</v>
      </c>
      <c r="AB906" t="s">
        <v>47</v>
      </c>
      <c r="AC906" s="3">
        <v>38078</v>
      </c>
      <c r="AD906" s="5" t="s">
        <v>50</v>
      </c>
      <c r="AE906" t="s">
        <v>47</v>
      </c>
      <c r="AF906" t="s">
        <v>47</v>
      </c>
      <c r="AG906" t="s">
        <v>47</v>
      </c>
      <c r="AH906" t="s">
        <v>47</v>
      </c>
      <c r="AI906" t="s">
        <v>47</v>
      </c>
      <c r="AJ906" t="s">
        <v>47</v>
      </c>
      <c r="AK906" t="s">
        <v>47</v>
      </c>
      <c r="AL906" t="s">
        <v>47</v>
      </c>
      <c r="AM906" t="s">
        <v>47</v>
      </c>
      <c r="AN906" t="s">
        <v>47</v>
      </c>
      <c r="AO906" s="5" t="s">
        <v>60</v>
      </c>
      <c r="AP906" s="4" t="s">
        <v>61</v>
      </c>
      <c r="AQ906" s="4" t="s">
        <v>53</v>
      </c>
      <c r="AR906" s="4" t="s">
        <v>136</v>
      </c>
      <c r="AS906" s="5">
        <v>41372</v>
      </c>
      <c r="AT906" t="s">
        <v>47</v>
      </c>
    </row>
    <row r="907" spans="1:46" ht="26" x14ac:dyDescent="0.3">
      <c r="A907" s="4" t="s">
        <v>3646</v>
      </c>
      <c r="B907" t="s">
        <v>47</v>
      </c>
      <c r="C907" s="4" t="s">
        <v>279</v>
      </c>
      <c r="D907" s="4" t="s">
        <v>88</v>
      </c>
      <c r="E907" s="4" t="s">
        <v>49</v>
      </c>
      <c r="F907" s="5" t="s">
        <v>3647</v>
      </c>
      <c r="G907" s="5" t="s">
        <v>3648</v>
      </c>
      <c r="H907" t="s">
        <v>47</v>
      </c>
      <c r="I907" s="3">
        <v>37073</v>
      </c>
      <c r="J907" s="3">
        <v>40148</v>
      </c>
      <c r="K907" t="s">
        <v>47</v>
      </c>
      <c r="L907" s="5" t="s">
        <v>60</v>
      </c>
      <c r="M907" s="3">
        <v>37073</v>
      </c>
      <c r="N907" s="3">
        <v>40148</v>
      </c>
      <c r="O907" t="s">
        <v>47</v>
      </c>
      <c r="P907" s="3">
        <v>37073</v>
      </c>
      <c r="Q907" s="3">
        <v>40148</v>
      </c>
      <c r="R907" t="s">
        <v>47</v>
      </c>
      <c r="S907" t="s">
        <v>47</v>
      </c>
      <c r="T907" t="s">
        <v>47</v>
      </c>
      <c r="U907" t="s">
        <v>47</v>
      </c>
      <c r="V907" t="s">
        <v>47</v>
      </c>
      <c r="W907" s="3">
        <v>28185</v>
      </c>
      <c r="X907" s="5" t="s">
        <v>50</v>
      </c>
      <c r="Y907" t="s">
        <v>47</v>
      </c>
      <c r="Z907" s="3">
        <v>28185</v>
      </c>
      <c r="AA907" s="5" t="s">
        <v>50</v>
      </c>
      <c r="AB907" t="s">
        <v>47</v>
      </c>
      <c r="AC907" s="3">
        <v>28185</v>
      </c>
      <c r="AD907" s="5" t="s">
        <v>50</v>
      </c>
      <c r="AE907" s="5" t="s">
        <v>3649</v>
      </c>
      <c r="AF907" t="s">
        <v>47</v>
      </c>
      <c r="AG907" t="s">
        <v>47</v>
      </c>
      <c r="AH907" t="s">
        <v>47</v>
      </c>
      <c r="AI907" t="s">
        <v>47</v>
      </c>
      <c r="AJ907" t="s">
        <v>47</v>
      </c>
      <c r="AK907" t="s">
        <v>47</v>
      </c>
      <c r="AL907" t="s">
        <v>47</v>
      </c>
      <c r="AM907" t="s">
        <v>47</v>
      </c>
      <c r="AN907" t="s">
        <v>47</v>
      </c>
      <c r="AO907" s="5" t="s">
        <v>60</v>
      </c>
      <c r="AP907" s="4" t="s">
        <v>61</v>
      </c>
      <c r="AQ907" s="4" t="s">
        <v>53</v>
      </c>
      <c r="AR907" s="4" t="s">
        <v>3650</v>
      </c>
      <c r="AS907" s="5">
        <v>6204</v>
      </c>
      <c r="AT907" t="s">
        <v>47</v>
      </c>
    </row>
    <row r="908" spans="1:46" ht="156" x14ac:dyDescent="0.3">
      <c r="A908" s="4" t="s">
        <v>3651</v>
      </c>
      <c r="B908" t="s">
        <v>47</v>
      </c>
      <c r="C908" s="4" t="s">
        <v>183</v>
      </c>
      <c r="D908" s="4" t="s">
        <v>597</v>
      </c>
      <c r="E908" s="4" t="s">
        <v>49</v>
      </c>
      <c r="F908" s="5" t="s">
        <v>3652</v>
      </c>
      <c r="G908" s="5" t="s">
        <v>3653</v>
      </c>
      <c r="H908" t="s">
        <v>47</v>
      </c>
      <c r="I908" s="3">
        <v>35886</v>
      </c>
      <c r="J908" s="3">
        <v>40238</v>
      </c>
      <c r="K908" t="s">
        <v>47</v>
      </c>
      <c r="L908" s="5" t="s">
        <v>60</v>
      </c>
      <c r="M908" s="3">
        <v>35886</v>
      </c>
      <c r="N908" s="3">
        <v>39783</v>
      </c>
      <c r="O908" t="s">
        <v>47</v>
      </c>
      <c r="P908" s="3">
        <v>35886</v>
      </c>
      <c r="Q908" s="3">
        <v>40238</v>
      </c>
      <c r="R908" t="s">
        <v>47</v>
      </c>
      <c r="S908" t="s">
        <v>47</v>
      </c>
      <c r="T908" t="s">
        <v>47</v>
      </c>
      <c r="U908" t="s">
        <v>47</v>
      </c>
      <c r="V908" t="s">
        <v>47</v>
      </c>
      <c r="W908" s="3">
        <v>33970</v>
      </c>
      <c r="X908" s="5" t="s">
        <v>50</v>
      </c>
      <c r="Y908" t="s">
        <v>47</v>
      </c>
      <c r="Z908" s="3">
        <v>33970</v>
      </c>
      <c r="AA908" s="5" t="s">
        <v>50</v>
      </c>
      <c r="AB908" t="s">
        <v>47</v>
      </c>
      <c r="AC908" s="3">
        <v>36800</v>
      </c>
      <c r="AD908" s="5" t="s">
        <v>50</v>
      </c>
      <c r="AE908" t="s">
        <v>47</v>
      </c>
      <c r="AF908" t="s">
        <v>47</v>
      </c>
      <c r="AG908" t="s">
        <v>47</v>
      </c>
      <c r="AH908" t="s">
        <v>47</v>
      </c>
      <c r="AI908" t="s">
        <v>47</v>
      </c>
      <c r="AJ908" t="s">
        <v>47</v>
      </c>
      <c r="AK908" t="s">
        <v>47</v>
      </c>
      <c r="AL908" t="s">
        <v>47</v>
      </c>
      <c r="AM908" t="s">
        <v>47</v>
      </c>
      <c r="AN908" t="s">
        <v>47</v>
      </c>
      <c r="AO908" s="5" t="s">
        <v>60</v>
      </c>
      <c r="AP908" s="4" t="s">
        <v>61</v>
      </c>
      <c r="AQ908" s="4" t="s">
        <v>53</v>
      </c>
      <c r="AR908" s="4" t="s">
        <v>3654</v>
      </c>
      <c r="AS908" s="5">
        <v>31756</v>
      </c>
      <c r="AT908" t="s">
        <v>47</v>
      </c>
    </row>
    <row r="909" spans="1:46" ht="65" x14ac:dyDescent="0.3">
      <c r="A909" s="4" t="s">
        <v>3655</v>
      </c>
      <c r="B909" t="s">
        <v>47</v>
      </c>
      <c r="C909" s="4" t="s">
        <v>200</v>
      </c>
      <c r="D909" s="4" t="s">
        <v>201</v>
      </c>
      <c r="E909" s="4" t="s">
        <v>66</v>
      </c>
      <c r="F909" s="5" t="s">
        <v>3656</v>
      </c>
      <c r="G909" s="5" t="s">
        <v>3657</v>
      </c>
      <c r="H909" t="s">
        <v>47</v>
      </c>
      <c r="I909" s="3">
        <v>35855</v>
      </c>
      <c r="J909" s="3">
        <v>41609</v>
      </c>
      <c r="K909" t="s">
        <v>47</v>
      </c>
      <c r="L909" s="5" t="s">
        <v>60</v>
      </c>
      <c r="M909" s="3">
        <v>35855</v>
      </c>
      <c r="N909" s="3">
        <v>38869</v>
      </c>
      <c r="O909" t="s">
        <v>47</v>
      </c>
      <c r="P909" s="3">
        <v>35855</v>
      </c>
      <c r="Q909" s="3">
        <v>41609</v>
      </c>
      <c r="R909" t="s">
        <v>47</v>
      </c>
      <c r="S909" t="s">
        <v>47</v>
      </c>
      <c r="T909" t="s">
        <v>47</v>
      </c>
      <c r="U909" t="s">
        <v>47</v>
      </c>
      <c r="V909" t="s">
        <v>47</v>
      </c>
      <c r="W909" s="3">
        <v>35855</v>
      </c>
      <c r="X909" s="5" t="s">
        <v>50</v>
      </c>
      <c r="Y909" t="s">
        <v>47</v>
      </c>
      <c r="Z909" s="3">
        <v>35855</v>
      </c>
      <c r="AA909" s="5" t="s">
        <v>50</v>
      </c>
      <c r="AB909" t="s">
        <v>47</v>
      </c>
      <c r="AC909" s="3">
        <v>35855</v>
      </c>
      <c r="AD909" s="5" t="s">
        <v>50</v>
      </c>
      <c r="AE909" t="s">
        <v>47</v>
      </c>
      <c r="AF909" t="s">
        <v>47</v>
      </c>
      <c r="AG909" t="s">
        <v>47</v>
      </c>
      <c r="AH909" t="s">
        <v>47</v>
      </c>
      <c r="AI909" t="s">
        <v>47</v>
      </c>
      <c r="AJ909" t="s">
        <v>47</v>
      </c>
      <c r="AK909" t="s">
        <v>47</v>
      </c>
      <c r="AL909" t="s">
        <v>47</v>
      </c>
      <c r="AM909" t="s">
        <v>47</v>
      </c>
      <c r="AN909" t="s">
        <v>47</v>
      </c>
      <c r="AO909" s="5" t="s">
        <v>60</v>
      </c>
      <c r="AP909" s="4" t="s">
        <v>61</v>
      </c>
      <c r="AQ909" s="4" t="s">
        <v>53</v>
      </c>
      <c r="AR909" s="4" t="s">
        <v>3469</v>
      </c>
      <c r="AS909" s="5">
        <v>2350</v>
      </c>
      <c r="AT909" t="s">
        <v>47</v>
      </c>
    </row>
    <row r="910" spans="1:46" ht="52" x14ac:dyDescent="0.3">
      <c r="A910" s="4" t="s">
        <v>3658</v>
      </c>
      <c r="B910" t="s">
        <v>47</v>
      </c>
      <c r="C910" s="4" t="s">
        <v>200</v>
      </c>
      <c r="D910" s="4" t="s">
        <v>88</v>
      </c>
      <c r="E910" s="4" t="s">
        <v>66</v>
      </c>
      <c r="F910" s="5" t="s">
        <v>3659</v>
      </c>
      <c r="G910" t="s">
        <v>47</v>
      </c>
      <c r="H910" t="s">
        <v>47</v>
      </c>
      <c r="I910" s="3">
        <v>35886</v>
      </c>
      <c r="J910" s="3">
        <v>41913</v>
      </c>
      <c r="K910" t="s">
        <v>47</v>
      </c>
      <c r="L910" s="5" t="s">
        <v>60</v>
      </c>
      <c r="M910" s="3">
        <v>35886</v>
      </c>
      <c r="N910" s="3">
        <v>41913</v>
      </c>
      <c r="O910" t="s">
        <v>47</v>
      </c>
      <c r="P910" s="3">
        <v>35886</v>
      </c>
      <c r="Q910" s="3">
        <v>41913</v>
      </c>
      <c r="R910" t="s">
        <v>47</v>
      </c>
      <c r="S910" t="s">
        <v>47</v>
      </c>
      <c r="T910" t="s">
        <v>47</v>
      </c>
      <c r="U910" t="s">
        <v>47</v>
      </c>
      <c r="V910" t="s">
        <v>47</v>
      </c>
      <c r="W910" s="3">
        <v>35886</v>
      </c>
      <c r="X910" s="5" t="s">
        <v>50</v>
      </c>
      <c r="Y910" t="s">
        <v>47</v>
      </c>
      <c r="Z910" s="3">
        <v>35886</v>
      </c>
      <c r="AA910" s="5" t="s">
        <v>50</v>
      </c>
      <c r="AB910" t="s">
        <v>47</v>
      </c>
      <c r="AC910" s="3">
        <v>37987</v>
      </c>
      <c r="AD910" s="5" t="s">
        <v>50</v>
      </c>
      <c r="AE910" s="5" t="s">
        <v>1484</v>
      </c>
      <c r="AF910" t="s">
        <v>47</v>
      </c>
      <c r="AG910" t="s">
        <v>47</v>
      </c>
      <c r="AH910" t="s">
        <v>47</v>
      </c>
      <c r="AI910" t="s">
        <v>47</v>
      </c>
      <c r="AJ910" t="s">
        <v>47</v>
      </c>
      <c r="AK910" t="s">
        <v>47</v>
      </c>
      <c r="AL910" t="s">
        <v>47</v>
      </c>
      <c r="AM910" t="s">
        <v>47</v>
      </c>
      <c r="AN910" t="s">
        <v>47</v>
      </c>
      <c r="AO910" s="5" t="s">
        <v>60</v>
      </c>
      <c r="AP910" s="4" t="s">
        <v>61</v>
      </c>
      <c r="AQ910" s="4" t="s">
        <v>53</v>
      </c>
      <c r="AR910" s="4" t="s">
        <v>91</v>
      </c>
      <c r="AS910" s="5">
        <v>42405</v>
      </c>
      <c r="AT910" t="s">
        <v>47</v>
      </c>
    </row>
    <row r="911" spans="1:46" ht="78" x14ac:dyDescent="0.3">
      <c r="A911" s="4" t="s">
        <v>3660</v>
      </c>
      <c r="B911" t="s">
        <v>47</v>
      </c>
      <c r="C911" s="4" t="s">
        <v>138</v>
      </c>
      <c r="D911" s="4" t="s">
        <v>139</v>
      </c>
      <c r="E911" s="4" t="s">
        <v>66</v>
      </c>
      <c r="F911" s="5" t="s">
        <v>3661</v>
      </c>
      <c r="G911" s="5" t="s">
        <v>3662</v>
      </c>
      <c r="H911" t="s">
        <v>47</v>
      </c>
      <c r="I911" s="3">
        <v>36526</v>
      </c>
      <c r="J911" s="5" t="s">
        <v>50</v>
      </c>
      <c r="K911" s="5" t="s">
        <v>3663</v>
      </c>
      <c r="L911" s="5" t="s">
        <v>60</v>
      </c>
      <c r="M911" s="3">
        <v>36526</v>
      </c>
      <c r="N911" s="5" t="s">
        <v>50</v>
      </c>
      <c r="O911" s="5" t="s">
        <v>3663</v>
      </c>
      <c r="P911" s="3">
        <v>36526</v>
      </c>
      <c r="Q911" s="5" t="s">
        <v>50</v>
      </c>
      <c r="R911" s="5" t="s">
        <v>3663</v>
      </c>
      <c r="S911" t="s">
        <v>47</v>
      </c>
      <c r="T911" t="s">
        <v>47</v>
      </c>
      <c r="U911" t="s">
        <v>47</v>
      </c>
      <c r="V911" t="s">
        <v>47</v>
      </c>
      <c r="W911" s="3">
        <v>36526</v>
      </c>
      <c r="X911" s="5" t="s">
        <v>50</v>
      </c>
      <c r="Y911" s="5" t="s">
        <v>3663</v>
      </c>
      <c r="Z911" s="3">
        <v>36526</v>
      </c>
      <c r="AA911" s="5" t="s">
        <v>50</v>
      </c>
      <c r="AB911" s="5" t="s">
        <v>3663</v>
      </c>
      <c r="AC911" s="3">
        <v>36526</v>
      </c>
      <c r="AD911" s="5" t="s">
        <v>50</v>
      </c>
      <c r="AE911" s="5" t="s">
        <v>3663</v>
      </c>
      <c r="AF911" t="s">
        <v>47</v>
      </c>
      <c r="AG911" t="s">
        <v>47</v>
      </c>
      <c r="AH911" t="s">
        <v>47</v>
      </c>
      <c r="AI911" t="s">
        <v>47</v>
      </c>
      <c r="AJ911" t="s">
        <v>47</v>
      </c>
      <c r="AK911" t="s">
        <v>47</v>
      </c>
      <c r="AL911" t="s">
        <v>47</v>
      </c>
      <c r="AM911" t="s">
        <v>47</v>
      </c>
      <c r="AN911" t="s">
        <v>47</v>
      </c>
      <c r="AO911" s="5" t="s">
        <v>60</v>
      </c>
      <c r="AP911" s="4" t="s">
        <v>61</v>
      </c>
      <c r="AQ911" s="4" t="s">
        <v>53</v>
      </c>
      <c r="AR911" s="4" t="s">
        <v>3664</v>
      </c>
      <c r="AS911" s="5">
        <v>28224</v>
      </c>
      <c r="AT911" t="s">
        <v>47</v>
      </c>
    </row>
    <row r="912" spans="1:46" ht="26" x14ac:dyDescent="0.3">
      <c r="A912" s="4" t="s">
        <v>3665</v>
      </c>
      <c r="B912" t="s">
        <v>47</v>
      </c>
      <c r="C912" s="4" t="s">
        <v>519</v>
      </c>
      <c r="D912" s="4" t="s">
        <v>3095</v>
      </c>
      <c r="E912" s="4" t="s">
        <v>49</v>
      </c>
      <c r="F912" s="5" t="s">
        <v>3666</v>
      </c>
      <c r="G912" s="5" t="s">
        <v>3667</v>
      </c>
      <c r="H912" t="s">
        <v>47</v>
      </c>
      <c r="I912" s="3">
        <v>35521</v>
      </c>
      <c r="J912" s="3">
        <v>40452</v>
      </c>
      <c r="K912" t="s">
        <v>47</v>
      </c>
      <c r="L912" s="5" t="s">
        <v>60</v>
      </c>
      <c r="M912" s="3">
        <v>35521</v>
      </c>
      <c r="N912" s="3">
        <v>40452</v>
      </c>
      <c r="O912" t="s">
        <v>47</v>
      </c>
      <c r="P912" s="3">
        <v>35521</v>
      </c>
      <c r="Q912" s="3">
        <v>40452</v>
      </c>
      <c r="R912" t="s">
        <v>47</v>
      </c>
      <c r="S912" t="s">
        <v>47</v>
      </c>
      <c r="T912" t="s">
        <v>47</v>
      </c>
      <c r="U912" t="s">
        <v>47</v>
      </c>
      <c r="V912" t="s">
        <v>47</v>
      </c>
      <c r="W912" s="3">
        <v>35521</v>
      </c>
      <c r="X912" s="5" t="s">
        <v>50</v>
      </c>
      <c r="Y912" t="s">
        <v>47</v>
      </c>
      <c r="Z912" s="3">
        <v>35521</v>
      </c>
      <c r="AA912" s="5" t="s">
        <v>50</v>
      </c>
      <c r="AB912" t="s">
        <v>47</v>
      </c>
      <c r="AC912" s="3">
        <v>37987</v>
      </c>
      <c r="AD912" s="5" t="s">
        <v>50</v>
      </c>
      <c r="AE912" t="s">
        <v>47</v>
      </c>
      <c r="AF912" t="s">
        <v>47</v>
      </c>
      <c r="AG912" t="s">
        <v>47</v>
      </c>
      <c r="AH912" t="s">
        <v>47</v>
      </c>
      <c r="AI912" t="s">
        <v>47</v>
      </c>
      <c r="AJ912" t="s">
        <v>47</v>
      </c>
      <c r="AK912" t="s">
        <v>47</v>
      </c>
      <c r="AL912" t="s">
        <v>47</v>
      </c>
      <c r="AM912" t="s">
        <v>47</v>
      </c>
      <c r="AN912" t="s">
        <v>47</v>
      </c>
      <c r="AO912" s="5" t="s">
        <v>60</v>
      </c>
      <c r="AP912" s="4" t="s">
        <v>61</v>
      </c>
      <c r="AQ912" s="4" t="s">
        <v>53</v>
      </c>
      <c r="AR912" s="4" t="s">
        <v>3668</v>
      </c>
      <c r="AS912" s="5">
        <v>34493</v>
      </c>
      <c r="AT912" t="s">
        <v>47</v>
      </c>
    </row>
    <row r="913" spans="1:46" ht="26" x14ac:dyDescent="0.3">
      <c r="A913" s="4" t="s">
        <v>3669</v>
      </c>
      <c r="B913" t="s">
        <v>47</v>
      </c>
      <c r="C913" s="4" t="s">
        <v>3670</v>
      </c>
      <c r="D913" s="4" t="s">
        <v>1614</v>
      </c>
      <c r="E913" s="4" t="s">
        <v>49</v>
      </c>
      <c r="F913" s="5" t="s">
        <v>3671</v>
      </c>
      <c r="G913" s="5" t="s">
        <v>3672</v>
      </c>
      <c r="H913" t="s">
        <v>47</v>
      </c>
      <c r="I913" s="3">
        <v>35916</v>
      </c>
      <c r="J913" s="3">
        <v>41275</v>
      </c>
      <c r="K913" t="s">
        <v>47</v>
      </c>
      <c r="L913" s="5" t="s">
        <v>60</v>
      </c>
      <c r="M913" s="3">
        <v>35916</v>
      </c>
      <c r="N913" s="3">
        <v>41275</v>
      </c>
      <c r="O913" t="s">
        <v>47</v>
      </c>
      <c r="P913" s="3">
        <v>35916</v>
      </c>
      <c r="Q913" s="3">
        <v>41275</v>
      </c>
      <c r="R913" t="s">
        <v>47</v>
      </c>
      <c r="S913" t="s">
        <v>47</v>
      </c>
      <c r="T913" t="s">
        <v>47</v>
      </c>
      <c r="U913" t="s">
        <v>47</v>
      </c>
      <c r="V913" t="s">
        <v>47</v>
      </c>
      <c r="W913" s="3">
        <v>28611</v>
      </c>
      <c r="X913" s="5" t="s">
        <v>50</v>
      </c>
      <c r="Y913" t="s">
        <v>47</v>
      </c>
      <c r="Z913" s="3">
        <v>28611</v>
      </c>
      <c r="AA913" s="5" t="s">
        <v>50</v>
      </c>
      <c r="AB913" t="s">
        <v>47</v>
      </c>
      <c r="AC913" s="3">
        <v>35916</v>
      </c>
      <c r="AD913" s="5" t="s">
        <v>50</v>
      </c>
      <c r="AE913" t="s">
        <v>47</v>
      </c>
      <c r="AF913" t="s">
        <v>47</v>
      </c>
      <c r="AG913" t="s">
        <v>47</v>
      </c>
      <c r="AH913" t="s">
        <v>47</v>
      </c>
      <c r="AI913" t="s">
        <v>47</v>
      </c>
      <c r="AJ913" t="s">
        <v>47</v>
      </c>
      <c r="AK913" t="s">
        <v>47</v>
      </c>
      <c r="AL913" t="s">
        <v>47</v>
      </c>
      <c r="AM913" t="s">
        <v>47</v>
      </c>
      <c r="AN913" t="s">
        <v>47</v>
      </c>
      <c r="AO913" s="5" t="s">
        <v>60</v>
      </c>
      <c r="AP913" s="4" t="s">
        <v>61</v>
      </c>
      <c r="AQ913" s="4" t="s">
        <v>53</v>
      </c>
      <c r="AR913" s="4" t="s">
        <v>54</v>
      </c>
      <c r="AS913" s="5">
        <v>47692</v>
      </c>
      <c r="AT913" t="s">
        <v>47</v>
      </c>
    </row>
    <row r="914" spans="1:46" ht="52" x14ac:dyDescent="0.3">
      <c r="A914" s="4" t="s">
        <v>3673</v>
      </c>
      <c r="B914" t="s">
        <v>47</v>
      </c>
      <c r="C914" s="4" t="s">
        <v>1394</v>
      </c>
      <c r="D914" s="4" t="s">
        <v>70</v>
      </c>
      <c r="E914" s="4" t="s">
        <v>123</v>
      </c>
      <c r="F914" s="5" t="s">
        <v>3674</v>
      </c>
      <c r="G914" s="5" t="s">
        <v>3675</v>
      </c>
      <c r="H914" t="s">
        <v>47</v>
      </c>
      <c r="I914" t="s">
        <v>47</v>
      </c>
      <c r="J914" t="s">
        <v>47</v>
      </c>
      <c r="K914" t="s">
        <v>47</v>
      </c>
      <c r="L914" s="5" t="s">
        <v>60</v>
      </c>
      <c r="M914" t="s">
        <v>47</v>
      </c>
      <c r="N914" t="s">
        <v>47</v>
      </c>
      <c r="O914" t="s">
        <v>47</v>
      </c>
      <c r="P914" t="s">
        <v>47</v>
      </c>
      <c r="Q914" t="s">
        <v>47</v>
      </c>
      <c r="R914" t="s">
        <v>47</v>
      </c>
      <c r="S914" t="s">
        <v>47</v>
      </c>
      <c r="T914" t="s">
        <v>47</v>
      </c>
      <c r="U914" t="s">
        <v>47</v>
      </c>
      <c r="V914" t="s">
        <v>47</v>
      </c>
      <c r="W914" s="3">
        <v>32540</v>
      </c>
      <c r="X914" s="3">
        <v>42795</v>
      </c>
      <c r="Y914" s="5" t="s">
        <v>3676</v>
      </c>
      <c r="Z914" s="3">
        <v>32540</v>
      </c>
      <c r="AA914" s="3">
        <v>42795</v>
      </c>
      <c r="AB914" s="5" t="s">
        <v>3676</v>
      </c>
      <c r="AC914" s="3">
        <v>32540</v>
      </c>
      <c r="AD914" s="3">
        <v>42795</v>
      </c>
      <c r="AE914" s="5" t="s">
        <v>3676</v>
      </c>
      <c r="AF914" t="s">
        <v>47</v>
      </c>
      <c r="AG914" t="s">
        <v>47</v>
      </c>
      <c r="AH914" t="s">
        <v>47</v>
      </c>
      <c r="AI914" t="s">
        <v>47</v>
      </c>
      <c r="AJ914" t="s">
        <v>47</v>
      </c>
      <c r="AK914" t="s">
        <v>47</v>
      </c>
      <c r="AL914" t="s">
        <v>47</v>
      </c>
      <c r="AM914" t="s">
        <v>47</v>
      </c>
      <c r="AN914" t="s">
        <v>47</v>
      </c>
      <c r="AO914" s="5" t="s">
        <v>60</v>
      </c>
      <c r="AP914" s="4" t="s">
        <v>61</v>
      </c>
      <c r="AQ914" s="4" t="s">
        <v>53</v>
      </c>
      <c r="AR914" s="4" t="s">
        <v>1093</v>
      </c>
      <c r="AS914" s="5">
        <v>29837</v>
      </c>
      <c r="AT914" t="s">
        <v>47</v>
      </c>
    </row>
    <row r="915" spans="1:46" ht="65" x14ac:dyDescent="0.3">
      <c r="A915" s="4" t="s">
        <v>3677</v>
      </c>
      <c r="B915" t="s">
        <v>47</v>
      </c>
      <c r="C915" s="4" t="s">
        <v>519</v>
      </c>
      <c r="D915" s="4" t="s">
        <v>88</v>
      </c>
      <c r="E915" s="4" t="s">
        <v>49</v>
      </c>
      <c r="F915" s="5" t="s">
        <v>3678</v>
      </c>
      <c r="G915" s="5" t="s">
        <v>3679</v>
      </c>
      <c r="H915" t="s">
        <v>47</v>
      </c>
      <c r="I915" s="3">
        <v>35431</v>
      </c>
      <c r="J915" s="3">
        <v>40452</v>
      </c>
      <c r="K915" t="s">
        <v>47</v>
      </c>
      <c r="L915" s="5" t="s">
        <v>60</v>
      </c>
      <c r="M915" s="3">
        <v>35431</v>
      </c>
      <c r="N915" s="3">
        <v>40452</v>
      </c>
      <c r="O915" t="s">
        <v>47</v>
      </c>
      <c r="P915" s="3">
        <v>35431</v>
      </c>
      <c r="Q915" s="3">
        <v>40452</v>
      </c>
      <c r="R915" t="s">
        <v>47</v>
      </c>
      <c r="S915" t="s">
        <v>47</v>
      </c>
      <c r="T915" t="s">
        <v>47</v>
      </c>
      <c r="U915" t="s">
        <v>47</v>
      </c>
      <c r="V915" t="s">
        <v>47</v>
      </c>
      <c r="W915" s="3">
        <v>35431</v>
      </c>
      <c r="X915" s="5" t="s">
        <v>50</v>
      </c>
      <c r="Y915" t="s">
        <v>47</v>
      </c>
      <c r="Z915" s="3">
        <v>35431</v>
      </c>
      <c r="AA915" s="5" t="s">
        <v>50</v>
      </c>
      <c r="AB915" t="s">
        <v>47</v>
      </c>
      <c r="AC915" s="3">
        <v>35431</v>
      </c>
      <c r="AD915" s="5" t="s">
        <v>50</v>
      </c>
      <c r="AE915" t="s">
        <v>47</v>
      </c>
      <c r="AF915" t="s">
        <v>47</v>
      </c>
      <c r="AG915" t="s">
        <v>47</v>
      </c>
      <c r="AH915" t="s">
        <v>47</v>
      </c>
      <c r="AI915" t="s">
        <v>47</v>
      </c>
      <c r="AJ915" t="s">
        <v>47</v>
      </c>
      <c r="AK915" t="s">
        <v>47</v>
      </c>
      <c r="AL915" t="s">
        <v>47</v>
      </c>
      <c r="AM915" t="s">
        <v>47</v>
      </c>
      <c r="AN915" t="s">
        <v>47</v>
      </c>
      <c r="AO915" s="5" t="s">
        <v>60</v>
      </c>
      <c r="AP915" s="4" t="s">
        <v>61</v>
      </c>
      <c r="AQ915" s="4" t="s">
        <v>53</v>
      </c>
      <c r="AR915" s="4" t="s">
        <v>543</v>
      </c>
      <c r="AS915" s="5">
        <v>40928</v>
      </c>
      <c r="AT915" t="s">
        <v>47</v>
      </c>
    </row>
    <row r="916" spans="1:46" ht="39" x14ac:dyDescent="0.3">
      <c r="A916" s="4" t="s">
        <v>3680</v>
      </c>
      <c r="B916" t="s">
        <v>47</v>
      </c>
      <c r="C916" s="4" t="s">
        <v>3681</v>
      </c>
      <c r="D916" s="4" t="s">
        <v>3095</v>
      </c>
      <c r="E916" s="4" t="s">
        <v>49</v>
      </c>
      <c r="F916" s="5" t="s">
        <v>3682</v>
      </c>
      <c r="G916" s="5" t="s">
        <v>3683</v>
      </c>
      <c r="H916" t="s">
        <v>47</v>
      </c>
      <c r="I916" s="3">
        <v>39569</v>
      </c>
      <c r="J916" s="5" t="s">
        <v>50</v>
      </c>
      <c r="K916" t="s">
        <v>47</v>
      </c>
      <c r="L916" s="5" t="s">
        <v>60</v>
      </c>
      <c r="M916" s="3">
        <v>39569</v>
      </c>
      <c r="N916" s="5" t="s">
        <v>50</v>
      </c>
      <c r="O916" t="s">
        <v>47</v>
      </c>
      <c r="P916" s="3">
        <v>39569</v>
      </c>
      <c r="Q916" s="5" t="s">
        <v>50</v>
      </c>
      <c r="R916" t="s">
        <v>47</v>
      </c>
      <c r="S916" t="s">
        <v>47</v>
      </c>
      <c r="T916" t="s">
        <v>47</v>
      </c>
      <c r="U916" t="s">
        <v>47</v>
      </c>
      <c r="V916" t="s">
        <v>47</v>
      </c>
      <c r="W916" s="3">
        <v>39569</v>
      </c>
      <c r="X916" s="5" t="s">
        <v>50</v>
      </c>
      <c r="Y916" t="s">
        <v>47</v>
      </c>
      <c r="Z916" s="3">
        <v>39569</v>
      </c>
      <c r="AA916" s="5" t="s">
        <v>50</v>
      </c>
      <c r="AB916" t="s">
        <v>47</v>
      </c>
      <c r="AC916" s="3">
        <v>39569</v>
      </c>
      <c r="AD916" s="5" t="s">
        <v>50</v>
      </c>
      <c r="AE916" t="s">
        <v>47</v>
      </c>
      <c r="AF916" t="s">
        <v>47</v>
      </c>
      <c r="AG916" t="s">
        <v>47</v>
      </c>
      <c r="AH916" t="s">
        <v>47</v>
      </c>
      <c r="AI916" t="s">
        <v>47</v>
      </c>
      <c r="AJ916" t="s">
        <v>47</v>
      </c>
      <c r="AK916" t="s">
        <v>47</v>
      </c>
      <c r="AL916" t="s">
        <v>47</v>
      </c>
      <c r="AM916" t="s">
        <v>47</v>
      </c>
      <c r="AN916" t="s">
        <v>47</v>
      </c>
      <c r="AO916" s="5" t="s">
        <v>60</v>
      </c>
      <c r="AP916" s="4" t="s">
        <v>61</v>
      </c>
      <c r="AQ916" s="4" t="s">
        <v>53</v>
      </c>
      <c r="AR916" s="4" t="s">
        <v>62</v>
      </c>
      <c r="AS916" s="5">
        <v>39886</v>
      </c>
      <c r="AT916" t="s">
        <v>47</v>
      </c>
    </row>
    <row r="917" spans="1:46" ht="13" x14ac:dyDescent="0.3">
      <c r="A917" s="4" t="s">
        <v>3684</v>
      </c>
      <c r="B917" t="s">
        <v>47</v>
      </c>
      <c r="C917" s="4" t="s">
        <v>183</v>
      </c>
      <c r="D917" s="4" t="s">
        <v>333</v>
      </c>
      <c r="E917" s="4" t="s">
        <v>49</v>
      </c>
      <c r="F917" s="5" t="s">
        <v>3685</v>
      </c>
      <c r="G917" s="5" t="s">
        <v>3686</v>
      </c>
      <c r="H917" t="s">
        <v>47</v>
      </c>
      <c r="I917" t="s">
        <v>47</v>
      </c>
      <c r="J917" t="s">
        <v>47</v>
      </c>
      <c r="K917" t="s">
        <v>47</v>
      </c>
      <c r="L917" s="5" t="s">
        <v>60</v>
      </c>
      <c r="M917" t="s">
        <v>47</v>
      </c>
      <c r="N917" t="s">
        <v>47</v>
      </c>
      <c r="O917" t="s">
        <v>47</v>
      </c>
      <c r="P917" t="s">
        <v>47</v>
      </c>
      <c r="Q917" t="s">
        <v>47</v>
      </c>
      <c r="R917" t="s">
        <v>47</v>
      </c>
      <c r="S917" t="s">
        <v>47</v>
      </c>
      <c r="T917" t="s">
        <v>47</v>
      </c>
      <c r="U917" t="s">
        <v>47</v>
      </c>
      <c r="V917" t="s">
        <v>47</v>
      </c>
      <c r="W917" s="3">
        <v>29281</v>
      </c>
      <c r="X917" s="5" t="s">
        <v>50</v>
      </c>
      <c r="Y917" t="s">
        <v>47</v>
      </c>
      <c r="Z917" s="3">
        <v>29281</v>
      </c>
      <c r="AA917" s="5" t="s">
        <v>50</v>
      </c>
      <c r="AB917" t="s">
        <v>47</v>
      </c>
      <c r="AC917" s="3">
        <v>29373</v>
      </c>
      <c r="AD917" s="5" t="s">
        <v>50</v>
      </c>
      <c r="AE917" t="s">
        <v>47</v>
      </c>
      <c r="AF917" t="s">
        <v>47</v>
      </c>
      <c r="AG917" t="s">
        <v>47</v>
      </c>
      <c r="AH917" t="s">
        <v>47</v>
      </c>
      <c r="AI917" t="s">
        <v>47</v>
      </c>
      <c r="AJ917" t="s">
        <v>47</v>
      </c>
      <c r="AK917" t="s">
        <v>47</v>
      </c>
      <c r="AL917" t="s">
        <v>47</v>
      </c>
      <c r="AM917" t="s">
        <v>47</v>
      </c>
      <c r="AN917" t="s">
        <v>47</v>
      </c>
      <c r="AO917" s="5" t="s">
        <v>60</v>
      </c>
      <c r="AP917" s="4" t="s">
        <v>61</v>
      </c>
      <c r="AQ917" s="4" t="s">
        <v>53</v>
      </c>
      <c r="AR917" s="4" t="s">
        <v>371</v>
      </c>
      <c r="AS917" s="5">
        <v>37704</v>
      </c>
      <c r="AT917" t="s">
        <v>47</v>
      </c>
    </row>
    <row r="918" spans="1:46" ht="78" x14ac:dyDescent="0.3">
      <c r="A918" s="4" t="s">
        <v>3687</v>
      </c>
      <c r="B918" t="s">
        <v>47</v>
      </c>
      <c r="C918" s="4" t="s">
        <v>3688</v>
      </c>
      <c r="D918" s="4" t="s">
        <v>201</v>
      </c>
      <c r="E918" s="4" t="s">
        <v>49</v>
      </c>
      <c r="F918" s="5" t="s">
        <v>3689</v>
      </c>
      <c r="G918" s="5" t="s">
        <v>3690</v>
      </c>
      <c r="H918" t="s">
        <v>47</v>
      </c>
      <c r="I918" s="3">
        <v>35431</v>
      </c>
      <c r="J918" s="5" t="s">
        <v>50</v>
      </c>
      <c r="K918" t="s">
        <v>47</v>
      </c>
      <c r="L918" s="5" t="s">
        <v>60</v>
      </c>
      <c r="M918" s="3">
        <v>35431</v>
      </c>
      <c r="N918" s="3">
        <v>44652</v>
      </c>
      <c r="O918" t="s">
        <v>47</v>
      </c>
      <c r="P918" s="3">
        <v>35431</v>
      </c>
      <c r="Q918" s="5" t="s">
        <v>50</v>
      </c>
      <c r="R918" t="s">
        <v>47</v>
      </c>
      <c r="S918" t="s">
        <v>47</v>
      </c>
      <c r="T918" t="s">
        <v>47</v>
      </c>
      <c r="U918" t="s">
        <v>47</v>
      </c>
      <c r="V918" t="s">
        <v>47</v>
      </c>
      <c r="W918" s="3">
        <v>33604</v>
      </c>
      <c r="X918" s="5" t="s">
        <v>50</v>
      </c>
      <c r="Y918" t="s">
        <v>47</v>
      </c>
      <c r="Z918" s="3">
        <v>33604</v>
      </c>
      <c r="AA918" s="5" t="s">
        <v>50</v>
      </c>
      <c r="AB918" t="s">
        <v>47</v>
      </c>
      <c r="AC918" s="3">
        <v>33604</v>
      </c>
      <c r="AD918" s="5" t="s">
        <v>50</v>
      </c>
      <c r="AE918" t="s">
        <v>47</v>
      </c>
      <c r="AF918" t="s">
        <v>47</v>
      </c>
      <c r="AG918" t="s">
        <v>47</v>
      </c>
      <c r="AH918" t="s">
        <v>47</v>
      </c>
      <c r="AI918" t="s">
        <v>47</v>
      </c>
      <c r="AJ918" t="s">
        <v>47</v>
      </c>
      <c r="AK918" t="s">
        <v>47</v>
      </c>
      <c r="AL918" t="s">
        <v>47</v>
      </c>
      <c r="AM918" t="s">
        <v>47</v>
      </c>
      <c r="AN918" t="s">
        <v>47</v>
      </c>
      <c r="AO918" s="5" t="s">
        <v>60</v>
      </c>
      <c r="AP918" s="4" t="s">
        <v>61</v>
      </c>
      <c r="AQ918" s="4" t="s">
        <v>53</v>
      </c>
      <c r="AR918" s="4" t="s">
        <v>3691</v>
      </c>
      <c r="AS918" s="5">
        <v>41036</v>
      </c>
      <c r="AT918" t="s">
        <v>47</v>
      </c>
    </row>
    <row r="919" spans="1:46" ht="52" x14ac:dyDescent="0.3">
      <c r="A919" s="4" t="s">
        <v>3692</v>
      </c>
      <c r="B919" t="s">
        <v>47</v>
      </c>
      <c r="C919" s="4" t="s">
        <v>3693</v>
      </c>
      <c r="D919" s="4" t="s">
        <v>780</v>
      </c>
      <c r="E919" s="4" t="s">
        <v>49</v>
      </c>
      <c r="F919" s="5" t="s">
        <v>3694</v>
      </c>
      <c r="G919" t="s">
        <v>47</v>
      </c>
      <c r="H919" t="s">
        <v>47</v>
      </c>
      <c r="I919" s="3">
        <v>34700</v>
      </c>
      <c r="J919" s="5" t="s">
        <v>50</v>
      </c>
      <c r="K919" t="s">
        <v>47</v>
      </c>
      <c r="L919" s="5" t="s">
        <v>60</v>
      </c>
      <c r="M919" s="3">
        <v>34700</v>
      </c>
      <c r="N919" s="5" t="s">
        <v>50</v>
      </c>
      <c r="O919" t="s">
        <v>47</v>
      </c>
      <c r="P919" s="3">
        <v>34700</v>
      </c>
      <c r="Q919" s="5" t="s">
        <v>50</v>
      </c>
      <c r="R919" t="s">
        <v>47</v>
      </c>
      <c r="S919" t="s">
        <v>47</v>
      </c>
      <c r="T919" t="s">
        <v>47</v>
      </c>
      <c r="U919" t="s">
        <v>47</v>
      </c>
      <c r="V919" t="s">
        <v>47</v>
      </c>
      <c r="W919" s="3">
        <v>34700</v>
      </c>
      <c r="X919" s="5" t="s">
        <v>50</v>
      </c>
      <c r="Y919" t="s">
        <v>47</v>
      </c>
      <c r="Z919" s="3">
        <v>34700</v>
      </c>
      <c r="AA919" s="5" t="s">
        <v>50</v>
      </c>
      <c r="AB919" t="s">
        <v>47</v>
      </c>
      <c r="AC919" s="3">
        <v>34700</v>
      </c>
      <c r="AD919" s="5" t="s">
        <v>50</v>
      </c>
      <c r="AE919" t="s">
        <v>47</v>
      </c>
      <c r="AF919" t="s">
        <v>47</v>
      </c>
      <c r="AG919" t="s">
        <v>47</v>
      </c>
      <c r="AH919" t="s">
        <v>47</v>
      </c>
      <c r="AI919" t="s">
        <v>47</v>
      </c>
      <c r="AJ919" t="s">
        <v>47</v>
      </c>
      <c r="AK919" t="s">
        <v>47</v>
      </c>
      <c r="AL919" t="s">
        <v>47</v>
      </c>
      <c r="AM919" t="s">
        <v>47</v>
      </c>
      <c r="AN919" t="s">
        <v>47</v>
      </c>
      <c r="AO919" s="5" t="s">
        <v>60</v>
      </c>
      <c r="AP919" s="4" t="s">
        <v>61</v>
      </c>
      <c r="AQ919" s="4" t="s">
        <v>53</v>
      </c>
      <c r="AR919" s="4" t="s">
        <v>3695</v>
      </c>
      <c r="AS919" s="5">
        <v>38873</v>
      </c>
      <c r="AT919" t="s">
        <v>47</v>
      </c>
    </row>
    <row r="920" spans="1:46" ht="39" x14ac:dyDescent="0.3">
      <c r="A920" s="4" t="s">
        <v>3696</v>
      </c>
      <c r="B920" t="s">
        <v>47</v>
      </c>
      <c r="C920" s="4" t="s">
        <v>93</v>
      </c>
      <c r="D920" s="4" t="s">
        <v>324</v>
      </c>
      <c r="E920" s="4" t="s">
        <v>49</v>
      </c>
      <c r="F920" t="s">
        <v>47</v>
      </c>
      <c r="G920" s="5" t="s">
        <v>3697</v>
      </c>
      <c r="H920" t="s">
        <v>47</v>
      </c>
      <c r="I920" t="s">
        <v>47</v>
      </c>
      <c r="J920" t="s">
        <v>47</v>
      </c>
      <c r="K920" t="s">
        <v>47</v>
      </c>
      <c r="L920" s="5" t="s">
        <v>60</v>
      </c>
      <c r="M920" t="s">
        <v>47</v>
      </c>
      <c r="N920" t="s">
        <v>47</v>
      </c>
      <c r="O920" t="s">
        <v>47</v>
      </c>
      <c r="P920" t="s">
        <v>47</v>
      </c>
      <c r="Q920" t="s">
        <v>47</v>
      </c>
      <c r="R920" t="s">
        <v>47</v>
      </c>
      <c r="S920" t="s">
        <v>47</v>
      </c>
      <c r="T920" t="s">
        <v>47</v>
      </c>
      <c r="U920" t="s">
        <v>47</v>
      </c>
      <c r="V920" t="s">
        <v>47</v>
      </c>
      <c r="W920" s="3">
        <v>40909</v>
      </c>
      <c r="X920" s="3">
        <v>44470</v>
      </c>
      <c r="Y920" t="s">
        <v>47</v>
      </c>
      <c r="Z920" s="3">
        <v>40909</v>
      </c>
      <c r="AA920" s="3">
        <v>44470</v>
      </c>
      <c r="AB920" t="s">
        <v>47</v>
      </c>
      <c r="AC920" s="3">
        <v>40909</v>
      </c>
      <c r="AD920" s="3">
        <v>44470</v>
      </c>
      <c r="AE920" t="s">
        <v>47</v>
      </c>
      <c r="AF920" t="s">
        <v>47</v>
      </c>
      <c r="AG920" t="s">
        <v>47</v>
      </c>
      <c r="AH920" t="s">
        <v>47</v>
      </c>
      <c r="AI920" t="s">
        <v>47</v>
      </c>
      <c r="AJ920" t="s">
        <v>47</v>
      </c>
      <c r="AK920" t="s">
        <v>47</v>
      </c>
      <c r="AL920" t="s">
        <v>47</v>
      </c>
      <c r="AM920" t="s">
        <v>47</v>
      </c>
      <c r="AN920" t="s">
        <v>47</v>
      </c>
      <c r="AO920" s="5" t="s">
        <v>60</v>
      </c>
      <c r="AP920" s="4" t="s">
        <v>61</v>
      </c>
      <c r="AQ920" s="4" t="s">
        <v>53</v>
      </c>
      <c r="AR920" s="4" t="s">
        <v>3698</v>
      </c>
      <c r="AS920" s="5">
        <v>1006408</v>
      </c>
      <c r="AT920" t="s">
        <v>47</v>
      </c>
    </row>
    <row r="921" spans="1:46" ht="26" x14ac:dyDescent="0.3">
      <c r="A921" s="4" t="s">
        <v>3699</v>
      </c>
      <c r="B921" t="s">
        <v>47</v>
      </c>
      <c r="C921" s="4" t="s">
        <v>122</v>
      </c>
      <c r="D921" s="4" t="s">
        <v>3700</v>
      </c>
      <c r="E921" s="4" t="s">
        <v>123</v>
      </c>
      <c r="F921" t="s">
        <v>47</v>
      </c>
      <c r="G921" s="5" t="s">
        <v>3701</v>
      </c>
      <c r="H921" t="s">
        <v>47</v>
      </c>
      <c r="I921" s="3">
        <v>42887</v>
      </c>
      <c r="J921" s="5" t="s">
        <v>50</v>
      </c>
      <c r="K921" t="s">
        <v>47</v>
      </c>
      <c r="L921" s="5" t="s">
        <v>60</v>
      </c>
      <c r="M921" s="3">
        <v>42887</v>
      </c>
      <c r="N921" s="5" t="s">
        <v>50</v>
      </c>
      <c r="O921" t="s">
        <v>47</v>
      </c>
      <c r="P921" s="3">
        <v>42887</v>
      </c>
      <c r="Q921" s="5" t="s">
        <v>50</v>
      </c>
      <c r="R921" t="s">
        <v>47</v>
      </c>
      <c r="S921" t="s">
        <v>47</v>
      </c>
      <c r="T921" t="s">
        <v>47</v>
      </c>
      <c r="U921" t="s">
        <v>47</v>
      </c>
      <c r="V921" s="5">
        <v>365</v>
      </c>
      <c r="W921" s="3">
        <v>42887</v>
      </c>
      <c r="X921" s="5" t="s">
        <v>50</v>
      </c>
      <c r="Y921" t="s">
        <v>47</v>
      </c>
      <c r="Z921" s="3">
        <v>42887</v>
      </c>
      <c r="AA921" s="5" t="s">
        <v>50</v>
      </c>
      <c r="AB921" t="s">
        <v>47</v>
      </c>
      <c r="AC921" s="3">
        <v>42887</v>
      </c>
      <c r="AD921" s="5" t="s">
        <v>50</v>
      </c>
      <c r="AE921" t="s">
        <v>47</v>
      </c>
      <c r="AF921" t="s">
        <v>47</v>
      </c>
      <c r="AG921" t="s">
        <v>47</v>
      </c>
      <c r="AH921" t="s">
        <v>47</v>
      </c>
      <c r="AI921" t="s">
        <v>47</v>
      </c>
      <c r="AJ921" t="s">
        <v>47</v>
      </c>
      <c r="AK921" t="s">
        <v>47</v>
      </c>
      <c r="AL921" t="s">
        <v>47</v>
      </c>
      <c r="AM921" t="s">
        <v>47</v>
      </c>
      <c r="AN921" t="s">
        <v>47</v>
      </c>
      <c r="AO921" s="5" t="s">
        <v>60</v>
      </c>
      <c r="AP921" s="4" t="s">
        <v>61</v>
      </c>
      <c r="AQ921" s="4" t="s">
        <v>53</v>
      </c>
      <c r="AR921" s="4" t="s">
        <v>54</v>
      </c>
      <c r="AS921" s="5">
        <v>6587172</v>
      </c>
      <c r="AT921" t="s">
        <v>47</v>
      </c>
    </row>
    <row r="922" spans="1:46" ht="39" x14ac:dyDescent="0.3">
      <c r="A922" s="4" t="s">
        <v>3702</v>
      </c>
      <c r="B922" t="s">
        <v>47</v>
      </c>
      <c r="C922" s="4" t="s">
        <v>169</v>
      </c>
      <c r="D922" s="4" t="s">
        <v>339</v>
      </c>
      <c r="E922" s="4" t="s">
        <v>66</v>
      </c>
      <c r="F922" s="5" t="s">
        <v>3703</v>
      </c>
      <c r="G922" s="5" t="s">
        <v>3704</v>
      </c>
      <c r="H922" t="s">
        <v>47</v>
      </c>
      <c r="I922" t="s">
        <v>47</v>
      </c>
      <c r="J922" t="s">
        <v>47</v>
      </c>
      <c r="K922" t="s">
        <v>47</v>
      </c>
      <c r="L922" s="5" t="s">
        <v>60</v>
      </c>
      <c r="M922" t="s">
        <v>47</v>
      </c>
      <c r="N922" t="s">
        <v>47</v>
      </c>
      <c r="O922" t="s">
        <v>47</v>
      </c>
      <c r="P922" t="s">
        <v>47</v>
      </c>
      <c r="Q922" t="s">
        <v>47</v>
      </c>
      <c r="R922" t="s">
        <v>47</v>
      </c>
      <c r="S922" t="s">
        <v>47</v>
      </c>
      <c r="T922" t="s">
        <v>47</v>
      </c>
      <c r="U922" t="s">
        <v>47</v>
      </c>
      <c r="V922" t="s">
        <v>47</v>
      </c>
      <c r="W922" s="3">
        <v>40179</v>
      </c>
      <c r="X922" s="5" t="s">
        <v>50</v>
      </c>
      <c r="Y922" t="s">
        <v>47</v>
      </c>
      <c r="Z922" s="3">
        <v>40179</v>
      </c>
      <c r="AA922" s="5" t="s">
        <v>50</v>
      </c>
      <c r="AB922" t="s">
        <v>47</v>
      </c>
      <c r="AC922" s="3">
        <v>40179</v>
      </c>
      <c r="AD922" s="5" t="s">
        <v>50</v>
      </c>
      <c r="AE922" t="s">
        <v>47</v>
      </c>
      <c r="AF922" t="s">
        <v>47</v>
      </c>
      <c r="AG922" t="s">
        <v>47</v>
      </c>
      <c r="AH922" t="s">
        <v>47</v>
      </c>
      <c r="AI922" t="s">
        <v>47</v>
      </c>
      <c r="AJ922" t="s">
        <v>47</v>
      </c>
      <c r="AK922" t="s">
        <v>47</v>
      </c>
      <c r="AL922" t="s">
        <v>47</v>
      </c>
      <c r="AM922" t="s">
        <v>47</v>
      </c>
      <c r="AN922" t="s">
        <v>47</v>
      </c>
      <c r="AO922" s="5" t="s">
        <v>60</v>
      </c>
      <c r="AP922" s="4" t="s">
        <v>61</v>
      </c>
      <c r="AQ922" s="4" t="s">
        <v>53</v>
      </c>
      <c r="AR922" s="4" t="s">
        <v>62</v>
      </c>
      <c r="AS922" s="5">
        <v>456310</v>
      </c>
      <c r="AT922" t="s">
        <v>47</v>
      </c>
    </row>
    <row r="923" spans="1:46" ht="39" x14ac:dyDescent="0.3">
      <c r="A923" s="4" t="s">
        <v>3705</v>
      </c>
      <c r="B923" t="s">
        <v>47</v>
      </c>
      <c r="C923" s="4" t="s">
        <v>519</v>
      </c>
      <c r="D923" s="4" t="s">
        <v>70</v>
      </c>
      <c r="E923" s="4" t="s">
        <v>49</v>
      </c>
      <c r="F923" s="5" t="s">
        <v>3706</v>
      </c>
      <c r="G923" s="5" t="s">
        <v>3707</v>
      </c>
      <c r="H923" t="s">
        <v>47</v>
      </c>
      <c r="I923" s="3">
        <v>34394</v>
      </c>
      <c r="J923" s="3">
        <v>40452</v>
      </c>
      <c r="K923" t="s">
        <v>47</v>
      </c>
      <c r="L923" s="5" t="s">
        <v>60</v>
      </c>
      <c r="M923" s="3">
        <v>34394</v>
      </c>
      <c r="N923" s="3">
        <v>40452</v>
      </c>
      <c r="O923" t="s">
        <v>47</v>
      </c>
      <c r="P923" s="3">
        <v>35309</v>
      </c>
      <c r="Q923" s="3">
        <v>40452</v>
      </c>
      <c r="R923" t="s">
        <v>47</v>
      </c>
      <c r="S923" t="s">
        <v>47</v>
      </c>
      <c r="T923" t="s">
        <v>47</v>
      </c>
      <c r="U923" t="s">
        <v>47</v>
      </c>
      <c r="V923" t="s">
        <v>47</v>
      </c>
      <c r="W923" s="3">
        <v>32568</v>
      </c>
      <c r="X923" s="5" t="s">
        <v>50</v>
      </c>
      <c r="Y923" t="s">
        <v>47</v>
      </c>
      <c r="Z923" s="3">
        <v>32568</v>
      </c>
      <c r="AA923" s="5" t="s">
        <v>50</v>
      </c>
      <c r="AB923" t="s">
        <v>47</v>
      </c>
      <c r="AC923" s="3">
        <v>32568</v>
      </c>
      <c r="AD923" s="5" t="s">
        <v>50</v>
      </c>
      <c r="AE923" t="s">
        <v>47</v>
      </c>
      <c r="AF923" t="s">
        <v>47</v>
      </c>
      <c r="AG923" t="s">
        <v>47</v>
      </c>
      <c r="AH923" t="s">
        <v>47</v>
      </c>
      <c r="AI923" t="s">
        <v>47</v>
      </c>
      <c r="AJ923" t="s">
        <v>47</v>
      </c>
      <c r="AK923" t="s">
        <v>47</v>
      </c>
      <c r="AL923" t="s">
        <v>47</v>
      </c>
      <c r="AM923" t="s">
        <v>47</v>
      </c>
      <c r="AN923" t="s">
        <v>47</v>
      </c>
      <c r="AO923" s="5" t="s">
        <v>60</v>
      </c>
      <c r="AP923" s="4" t="s">
        <v>61</v>
      </c>
      <c r="AQ923" s="4" t="s">
        <v>53</v>
      </c>
      <c r="AR923" s="4" t="s">
        <v>3708</v>
      </c>
      <c r="AS923" s="5">
        <v>34448</v>
      </c>
      <c r="AT923" t="s">
        <v>47</v>
      </c>
    </row>
    <row r="924" spans="1:46" ht="26" x14ac:dyDescent="0.3">
      <c r="A924" s="4" t="s">
        <v>3709</v>
      </c>
      <c r="B924" t="s">
        <v>47</v>
      </c>
      <c r="C924" s="4" t="s">
        <v>169</v>
      </c>
      <c r="D924" s="4" t="s">
        <v>1185</v>
      </c>
      <c r="E924" s="4" t="s">
        <v>66</v>
      </c>
      <c r="F924" s="5" t="s">
        <v>3710</v>
      </c>
      <c r="G924" s="5" t="s">
        <v>3711</v>
      </c>
      <c r="H924" t="s">
        <v>47</v>
      </c>
      <c r="I924" s="3">
        <v>36161</v>
      </c>
      <c r="J924" s="3">
        <v>39326</v>
      </c>
      <c r="K924" t="s">
        <v>47</v>
      </c>
      <c r="L924" s="5" t="s">
        <v>60</v>
      </c>
      <c r="M924" s="3">
        <v>36161</v>
      </c>
      <c r="N924" s="3">
        <v>39326</v>
      </c>
      <c r="O924" t="s">
        <v>47</v>
      </c>
      <c r="P924" s="3">
        <v>36161</v>
      </c>
      <c r="Q924" s="3">
        <v>39326</v>
      </c>
      <c r="R924" t="s">
        <v>47</v>
      </c>
      <c r="S924" t="s">
        <v>47</v>
      </c>
      <c r="T924" t="s">
        <v>47</v>
      </c>
      <c r="U924" t="s">
        <v>47</v>
      </c>
      <c r="V924" t="s">
        <v>47</v>
      </c>
      <c r="W924" s="3">
        <v>36161</v>
      </c>
      <c r="X924" s="5" t="s">
        <v>50</v>
      </c>
      <c r="Y924" t="s">
        <v>47</v>
      </c>
      <c r="Z924" s="3">
        <v>36161</v>
      </c>
      <c r="AA924" s="5" t="s">
        <v>50</v>
      </c>
      <c r="AB924" t="s">
        <v>47</v>
      </c>
      <c r="AC924" s="3">
        <v>36161</v>
      </c>
      <c r="AD924" s="5" t="s">
        <v>50</v>
      </c>
      <c r="AE924" t="s">
        <v>47</v>
      </c>
      <c r="AF924" t="s">
        <v>47</v>
      </c>
      <c r="AG924" t="s">
        <v>47</v>
      </c>
      <c r="AH924" t="s">
        <v>47</v>
      </c>
      <c r="AI924" t="s">
        <v>47</v>
      </c>
      <c r="AJ924" t="s">
        <v>47</v>
      </c>
      <c r="AK924" t="s">
        <v>47</v>
      </c>
      <c r="AL924" t="s">
        <v>47</v>
      </c>
      <c r="AM924" t="s">
        <v>47</v>
      </c>
      <c r="AN924" t="s">
        <v>47</v>
      </c>
      <c r="AO924" s="5" t="s">
        <v>60</v>
      </c>
      <c r="AP924" s="4" t="s">
        <v>61</v>
      </c>
      <c r="AQ924" s="4" t="s">
        <v>53</v>
      </c>
      <c r="AR924" s="4" t="s">
        <v>2261</v>
      </c>
      <c r="AS924" s="5">
        <v>41958</v>
      </c>
      <c r="AT924" t="s">
        <v>47</v>
      </c>
    </row>
    <row r="925" spans="1:46" ht="52" x14ac:dyDescent="0.3">
      <c r="A925" s="4" t="s">
        <v>3712</v>
      </c>
      <c r="B925" t="s">
        <v>47</v>
      </c>
      <c r="C925" s="4" t="s">
        <v>169</v>
      </c>
      <c r="D925" s="4" t="s">
        <v>748</v>
      </c>
      <c r="E925" s="4" t="s">
        <v>66</v>
      </c>
      <c r="F925" s="5" t="s">
        <v>3713</v>
      </c>
      <c r="G925" s="5" t="s">
        <v>3714</v>
      </c>
      <c r="H925" t="s">
        <v>47</v>
      </c>
      <c r="I925" s="3">
        <v>35612</v>
      </c>
      <c r="J925" s="3">
        <v>36831</v>
      </c>
      <c r="K925" t="s">
        <v>47</v>
      </c>
      <c r="L925" s="5" t="s">
        <v>60</v>
      </c>
      <c r="M925" s="3">
        <v>35612</v>
      </c>
      <c r="N925" s="3">
        <v>36831</v>
      </c>
      <c r="O925" t="s">
        <v>47</v>
      </c>
      <c r="P925" s="3">
        <v>35612</v>
      </c>
      <c r="Q925" s="3">
        <v>36831</v>
      </c>
      <c r="R925" t="s">
        <v>47</v>
      </c>
      <c r="S925" t="s">
        <v>47</v>
      </c>
      <c r="T925" t="s">
        <v>47</v>
      </c>
      <c r="U925" t="s">
        <v>47</v>
      </c>
      <c r="V925" t="s">
        <v>47</v>
      </c>
      <c r="W925" s="3">
        <v>35612</v>
      </c>
      <c r="X925" s="5" t="s">
        <v>50</v>
      </c>
      <c r="Y925" t="s">
        <v>47</v>
      </c>
      <c r="Z925" s="3">
        <v>35612</v>
      </c>
      <c r="AA925" s="5" t="s">
        <v>50</v>
      </c>
      <c r="AB925" t="s">
        <v>47</v>
      </c>
      <c r="AC925" s="3">
        <v>35612</v>
      </c>
      <c r="AD925" s="5" t="s">
        <v>50</v>
      </c>
      <c r="AE925" t="s">
        <v>47</v>
      </c>
      <c r="AF925" t="s">
        <v>47</v>
      </c>
      <c r="AG925" t="s">
        <v>47</v>
      </c>
      <c r="AH925" t="s">
        <v>47</v>
      </c>
      <c r="AI925" t="s">
        <v>47</v>
      </c>
      <c r="AJ925" t="s">
        <v>47</v>
      </c>
      <c r="AK925" t="s">
        <v>47</v>
      </c>
      <c r="AL925" t="s">
        <v>47</v>
      </c>
      <c r="AM925" t="s">
        <v>47</v>
      </c>
      <c r="AN925" t="s">
        <v>47</v>
      </c>
      <c r="AO925" s="5" t="s">
        <v>60</v>
      </c>
      <c r="AP925" s="4" t="s">
        <v>61</v>
      </c>
      <c r="AQ925" s="4" t="s">
        <v>53</v>
      </c>
      <c r="AR925" s="4" t="s">
        <v>3715</v>
      </c>
      <c r="AS925" s="5">
        <v>33232</v>
      </c>
      <c r="AT925" t="s">
        <v>47</v>
      </c>
    </row>
    <row r="926" spans="1:46" ht="65" x14ac:dyDescent="0.3">
      <c r="A926" s="4" t="s">
        <v>3716</v>
      </c>
      <c r="B926" t="s">
        <v>47</v>
      </c>
      <c r="C926" s="4" t="s">
        <v>169</v>
      </c>
      <c r="D926" s="4" t="s">
        <v>3717</v>
      </c>
      <c r="E926" s="4" t="s">
        <v>66</v>
      </c>
      <c r="F926" s="5" t="s">
        <v>3718</v>
      </c>
      <c r="G926" s="5" t="s">
        <v>3719</v>
      </c>
      <c r="H926" t="s">
        <v>47</v>
      </c>
      <c r="I926" s="3">
        <v>37681</v>
      </c>
      <c r="J926" s="3">
        <v>44136</v>
      </c>
      <c r="K926" t="s">
        <v>47</v>
      </c>
      <c r="L926" s="5" t="s">
        <v>60</v>
      </c>
      <c r="M926" s="3">
        <v>37681</v>
      </c>
      <c r="N926" s="3">
        <v>44136</v>
      </c>
      <c r="O926" t="s">
        <v>47</v>
      </c>
      <c r="P926" s="3">
        <v>37681</v>
      </c>
      <c r="Q926" s="3">
        <v>44136</v>
      </c>
      <c r="R926" t="s">
        <v>47</v>
      </c>
      <c r="S926" t="s">
        <v>47</v>
      </c>
      <c r="T926" t="s">
        <v>47</v>
      </c>
      <c r="U926" t="s">
        <v>47</v>
      </c>
      <c r="V926" t="s">
        <v>47</v>
      </c>
      <c r="W926" s="3">
        <v>37681</v>
      </c>
      <c r="X926" s="5" t="s">
        <v>50</v>
      </c>
      <c r="Y926" t="s">
        <v>47</v>
      </c>
      <c r="Z926" s="3">
        <v>37681</v>
      </c>
      <c r="AA926" s="5" t="s">
        <v>50</v>
      </c>
      <c r="AB926" t="s">
        <v>47</v>
      </c>
      <c r="AC926" s="3">
        <v>37987</v>
      </c>
      <c r="AD926" s="5" t="s">
        <v>50</v>
      </c>
      <c r="AE926" t="s">
        <v>47</v>
      </c>
      <c r="AF926" t="s">
        <v>47</v>
      </c>
      <c r="AG926" t="s">
        <v>47</v>
      </c>
      <c r="AH926" t="s">
        <v>47</v>
      </c>
      <c r="AI926" t="s">
        <v>47</v>
      </c>
      <c r="AJ926" t="s">
        <v>47</v>
      </c>
      <c r="AK926" t="s">
        <v>47</v>
      </c>
      <c r="AL926" t="s">
        <v>47</v>
      </c>
      <c r="AM926" t="s">
        <v>47</v>
      </c>
      <c r="AN926" t="s">
        <v>47</v>
      </c>
      <c r="AO926" s="5" t="s">
        <v>60</v>
      </c>
      <c r="AP926" s="4" t="s">
        <v>61</v>
      </c>
      <c r="AQ926" s="4" t="s">
        <v>53</v>
      </c>
      <c r="AR926" s="4" t="s">
        <v>3720</v>
      </c>
      <c r="AS926" s="5">
        <v>34533</v>
      </c>
      <c r="AT926" t="s">
        <v>47</v>
      </c>
    </row>
    <row r="927" spans="1:46" ht="39" x14ac:dyDescent="0.3">
      <c r="A927" s="4" t="s">
        <v>3721</v>
      </c>
      <c r="B927" t="s">
        <v>47</v>
      </c>
      <c r="C927" s="4" t="s">
        <v>115</v>
      </c>
      <c r="D927" s="4" t="s">
        <v>559</v>
      </c>
      <c r="E927" s="4" t="s">
        <v>66</v>
      </c>
      <c r="F927" s="5" t="s">
        <v>3722</v>
      </c>
      <c r="G927" s="5" t="s">
        <v>3723</v>
      </c>
      <c r="H927" t="s">
        <v>47</v>
      </c>
      <c r="I927" s="3">
        <v>40179</v>
      </c>
      <c r="J927" s="5" t="s">
        <v>50</v>
      </c>
      <c r="K927" t="s">
        <v>47</v>
      </c>
      <c r="L927" s="5" t="s">
        <v>60</v>
      </c>
      <c r="M927" s="3">
        <v>40179</v>
      </c>
      <c r="N927" s="5" t="s">
        <v>50</v>
      </c>
      <c r="O927" t="s">
        <v>47</v>
      </c>
      <c r="P927" s="3">
        <v>40179</v>
      </c>
      <c r="Q927" s="5" t="s">
        <v>50</v>
      </c>
      <c r="R927" t="s">
        <v>47</v>
      </c>
      <c r="S927" t="s">
        <v>47</v>
      </c>
      <c r="T927" t="s">
        <v>47</v>
      </c>
      <c r="U927" t="s">
        <v>47</v>
      </c>
      <c r="V927" s="5">
        <v>365</v>
      </c>
      <c r="W927" s="3">
        <v>40179</v>
      </c>
      <c r="X927" s="5" t="s">
        <v>50</v>
      </c>
      <c r="Y927" t="s">
        <v>47</v>
      </c>
      <c r="Z927" s="3">
        <v>40179</v>
      </c>
      <c r="AA927" s="5" t="s">
        <v>50</v>
      </c>
      <c r="AB927" t="s">
        <v>47</v>
      </c>
      <c r="AC927" s="3">
        <v>40179</v>
      </c>
      <c r="AD927" s="5" t="s">
        <v>50</v>
      </c>
      <c r="AE927" t="s">
        <v>47</v>
      </c>
      <c r="AF927" t="s">
        <v>47</v>
      </c>
      <c r="AG927" t="s">
        <v>47</v>
      </c>
      <c r="AH927" t="s">
        <v>47</v>
      </c>
      <c r="AI927" t="s">
        <v>47</v>
      </c>
      <c r="AJ927" t="s">
        <v>47</v>
      </c>
      <c r="AK927" t="s">
        <v>47</v>
      </c>
      <c r="AL927" t="s">
        <v>47</v>
      </c>
      <c r="AM927" t="s">
        <v>47</v>
      </c>
      <c r="AN927" t="s">
        <v>47</v>
      </c>
      <c r="AO927" s="5" t="s">
        <v>60</v>
      </c>
      <c r="AP927" s="4" t="s">
        <v>61</v>
      </c>
      <c r="AQ927" s="4" t="s">
        <v>53</v>
      </c>
      <c r="AR927" s="4" t="s">
        <v>147</v>
      </c>
      <c r="AS927" s="5">
        <v>106027</v>
      </c>
      <c r="AT927" t="s">
        <v>47</v>
      </c>
    </row>
    <row r="928" spans="1:46" ht="91" x14ac:dyDescent="0.3">
      <c r="A928" s="4" t="s">
        <v>3724</v>
      </c>
      <c r="B928" t="s">
        <v>47</v>
      </c>
      <c r="C928" s="4" t="s">
        <v>3725</v>
      </c>
      <c r="D928" s="4" t="s">
        <v>1129</v>
      </c>
      <c r="E928" s="4" t="s">
        <v>49</v>
      </c>
      <c r="F928" s="5" t="s">
        <v>3726</v>
      </c>
      <c r="G928" s="5" t="s">
        <v>3727</v>
      </c>
      <c r="H928" t="s">
        <v>47</v>
      </c>
      <c r="I928" s="3">
        <v>39083</v>
      </c>
      <c r="J928" s="5" t="s">
        <v>50</v>
      </c>
      <c r="K928" t="s">
        <v>47</v>
      </c>
      <c r="L928" s="5" t="s">
        <v>60</v>
      </c>
      <c r="M928" t="s">
        <v>47</v>
      </c>
      <c r="N928" t="s">
        <v>47</v>
      </c>
      <c r="O928" t="s">
        <v>47</v>
      </c>
      <c r="P928" s="3">
        <v>39083</v>
      </c>
      <c r="Q928" s="5" t="s">
        <v>50</v>
      </c>
      <c r="R928" t="s">
        <v>47</v>
      </c>
      <c r="S928" t="s">
        <v>47</v>
      </c>
      <c r="T928" t="s">
        <v>47</v>
      </c>
      <c r="U928" t="s">
        <v>47</v>
      </c>
      <c r="V928" t="s">
        <v>47</v>
      </c>
      <c r="W928" s="3">
        <v>39083</v>
      </c>
      <c r="X928" s="5" t="s">
        <v>50</v>
      </c>
      <c r="Y928" t="s">
        <v>47</v>
      </c>
      <c r="Z928" s="3">
        <v>39083</v>
      </c>
      <c r="AA928" s="5" t="s">
        <v>50</v>
      </c>
      <c r="AB928" t="s">
        <v>47</v>
      </c>
      <c r="AC928" s="3">
        <v>39083</v>
      </c>
      <c r="AD928" s="5" t="s">
        <v>50</v>
      </c>
      <c r="AE928" t="s">
        <v>47</v>
      </c>
      <c r="AF928" t="s">
        <v>47</v>
      </c>
      <c r="AG928" t="s">
        <v>47</v>
      </c>
      <c r="AH928" t="s">
        <v>47</v>
      </c>
      <c r="AI928" t="s">
        <v>47</v>
      </c>
      <c r="AJ928" t="s">
        <v>47</v>
      </c>
      <c r="AK928" t="s">
        <v>47</v>
      </c>
      <c r="AL928" t="s">
        <v>47</v>
      </c>
      <c r="AM928" t="s">
        <v>47</v>
      </c>
      <c r="AN928" t="s">
        <v>47</v>
      </c>
      <c r="AO928" s="5" t="s">
        <v>60</v>
      </c>
      <c r="AP928" s="4" t="s">
        <v>61</v>
      </c>
      <c r="AQ928" s="4" t="s">
        <v>53</v>
      </c>
      <c r="AR928" s="4" t="s">
        <v>3728</v>
      </c>
      <c r="AS928" s="5">
        <v>105455</v>
      </c>
      <c r="AT928" t="s">
        <v>47</v>
      </c>
    </row>
    <row r="929" spans="1:46" ht="91" x14ac:dyDescent="0.3">
      <c r="A929" s="4" t="s">
        <v>3729</v>
      </c>
      <c r="B929" t="s">
        <v>47</v>
      </c>
      <c r="C929" s="4" t="s">
        <v>3730</v>
      </c>
      <c r="D929" s="4" t="s">
        <v>1241</v>
      </c>
      <c r="E929" s="4" t="s">
        <v>3731</v>
      </c>
      <c r="F929" s="5" t="s">
        <v>3732</v>
      </c>
      <c r="G929" s="5" t="s">
        <v>3733</v>
      </c>
      <c r="H929" t="s">
        <v>47</v>
      </c>
      <c r="I929" s="3">
        <v>41640</v>
      </c>
      <c r="J929" s="3">
        <v>42005</v>
      </c>
      <c r="K929" t="s">
        <v>47</v>
      </c>
      <c r="L929" s="5" t="s">
        <v>60</v>
      </c>
      <c r="M929" t="s">
        <v>47</v>
      </c>
      <c r="N929" t="s">
        <v>47</v>
      </c>
      <c r="O929" t="s">
        <v>47</v>
      </c>
      <c r="P929" s="3">
        <v>41640</v>
      </c>
      <c r="Q929" s="3">
        <v>42005</v>
      </c>
      <c r="R929" t="s">
        <v>47</v>
      </c>
      <c r="S929" t="s">
        <v>47</v>
      </c>
      <c r="T929" t="s">
        <v>47</v>
      </c>
      <c r="U929" t="s">
        <v>47</v>
      </c>
      <c r="V929" t="s">
        <v>47</v>
      </c>
      <c r="W929" s="3">
        <v>41640</v>
      </c>
      <c r="X929" s="3">
        <v>42005</v>
      </c>
      <c r="Y929" t="s">
        <v>47</v>
      </c>
      <c r="Z929" s="3">
        <v>41640</v>
      </c>
      <c r="AA929" s="3">
        <v>42005</v>
      </c>
      <c r="AB929" t="s">
        <v>47</v>
      </c>
      <c r="AC929" s="3">
        <v>41640</v>
      </c>
      <c r="AD929" s="3">
        <v>42005</v>
      </c>
      <c r="AE929" t="s">
        <v>47</v>
      </c>
      <c r="AF929" t="s">
        <v>47</v>
      </c>
      <c r="AG929" t="s">
        <v>47</v>
      </c>
      <c r="AH929" t="s">
        <v>47</v>
      </c>
      <c r="AI929" t="s">
        <v>47</v>
      </c>
      <c r="AJ929" t="s">
        <v>47</v>
      </c>
      <c r="AK929" t="s">
        <v>47</v>
      </c>
      <c r="AL929" t="s">
        <v>47</v>
      </c>
      <c r="AM929" t="s">
        <v>47</v>
      </c>
      <c r="AN929" t="s">
        <v>47</v>
      </c>
      <c r="AO929" s="5" t="s">
        <v>60</v>
      </c>
      <c r="AP929" s="4" t="s">
        <v>61</v>
      </c>
      <c r="AQ929" s="4" t="s">
        <v>53</v>
      </c>
      <c r="AR929" s="4" t="s">
        <v>3734</v>
      </c>
      <c r="AS929" s="5">
        <v>2037368</v>
      </c>
      <c r="AT929" t="s">
        <v>47</v>
      </c>
    </row>
    <row r="930" spans="1:46" ht="13" x14ac:dyDescent="0.3">
      <c r="A930" s="4" t="s">
        <v>3735</v>
      </c>
      <c r="B930" t="s">
        <v>47</v>
      </c>
      <c r="C930" s="4" t="s">
        <v>411</v>
      </c>
      <c r="D930" s="4" t="s">
        <v>88</v>
      </c>
      <c r="E930" s="4" t="s">
        <v>49</v>
      </c>
      <c r="F930" s="5" t="s">
        <v>3736</v>
      </c>
      <c r="G930" s="5" t="s">
        <v>3737</v>
      </c>
      <c r="H930" t="s">
        <v>47</v>
      </c>
      <c r="I930" s="3">
        <v>33664</v>
      </c>
      <c r="J930" s="3">
        <v>41426</v>
      </c>
      <c r="K930" t="s">
        <v>47</v>
      </c>
      <c r="L930" s="5" t="s">
        <v>60</v>
      </c>
      <c r="M930" s="3">
        <v>34394</v>
      </c>
      <c r="N930" s="3">
        <v>41426</v>
      </c>
      <c r="O930" t="s">
        <v>47</v>
      </c>
      <c r="P930" s="3">
        <v>33664</v>
      </c>
      <c r="Q930" s="3">
        <v>41426</v>
      </c>
      <c r="R930" t="s">
        <v>47</v>
      </c>
      <c r="S930" t="s">
        <v>47</v>
      </c>
      <c r="T930" t="s">
        <v>47</v>
      </c>
      <c r="U930" t="s">
        <v>47</v>
      </c>
      <c r="V930" t="s">
        <v>47</v>
      </c>
      <c r="W930" s="3">
        <v>32568</v>
      </c>
      <c r="X930" s="5" t="s">
        <v>50</v>
      </c>
      <c r="Y930" t="s">
        <v>47</v>
      </c>
      <c r="Z930" s="3">
        <v>32568</v>
      </c>
      <c r="AA930" s="5" t="s">
        <v>50</v>
      </c>
      <c r="AB930" t="s">
        <v>47</v>
      </c>
      <c r="AC930" s="3">
        <v>32568</v>
      </c>
      <c r="AD930" s="5" t="s">
        <v>50</v>
      </c>
      <c r="AE930" t="s">
        <v>47</v>
      </c>
      <c r="AF930" t="s">
        <v>47</v>
      </c>
      <c r="AG930" t="s">
        <v>47</v>
      </c>
      <c r="AH930" t="s">
        <v>47</v>
      </c>
      <c r="AI930" t="s">
        <v>47</v>
      </c>
      <c r="AJ930" t="s">
        <v>47</v>
      </c>
      <c r="AK930" t="s">
        <v>47</v>
      </c>
      <c r="AL930" t="s">
        <v>47</v>
      </c>
      <c r="AM930" t="s">
        <v>47</v>
      </c>
      <c r="AN930" t="s">
        <v>47</v>
      </c>
      <c r="AO930" s="5" t="s">
        <v>60</v>
      </c>
      <c r="AP930" s="4" t="s">
        <v>61</v>
      </c>
      <c r="AQ930" s="4" t="s">
        <v>53</v>
      </c>
      <c r="AR930" s="4" t="s">
        <v>371</v>
      </c>
      <c r="AS930" s="5">
        <v>25061</v>
      </c>
      <c r="AT930" t="s">
        <v>47</v>
      </c>
    </row>
    <row r="931" spans="1:46" ht="117" x14ac:dyDescent="0.3">
      <c r="A931" s="4" t="s">
        <v>3738</v>
      </c>
      <c r="B931" t="s">
        <v>47</v>
      </c>
      <c r="C931" s="4" t="s">
        <v>169</v>
      </c>
      <c r="D931" s="4" t="s">
        <v>339</v>
      </c>
      <c r="E931" s="4" t="s">
        <v>66</v>
      </c>
      <c r="F931" s="5" t="s">
        <v>3739</v>
      </c>
      <c r="G931" s="5" t="s">
        <v>3740</v>
      </c>
      <c r="H931" t="s">
        <v>47</v>
      </c>
      <c r="I931" s="3">
        <v>36100</v>
      </c>
      <c r="J931" s="3">
        <v>36831</v>
      </c>
      <c r="K931" t="s">
        <v>47</v>
      </c>
      <c r="L931" s="5" t="s">
        <v>60</v>
      </c>
      <c r="M931" s="3">
        <v>36100</v>
      </c>
      <c r="N931" s="3">
        <v>36831</v>
      </c>
      <c r="O931" t="s">
        <v>47</v>
      </c>
      <c r="P931" s="3">
        <v>36100</v>
      </c>
      <c r="Q931" s="3">
        <v>36831</v>
      </c>
      <c r="R931" t="s">
        <v>47</v>
      </c>
      <c r="S931" t="s">
        <v>47</v>
      </c>
      <c r="T931" t="s">
        <v>47</v>
      </c>
      <c r="U931" t="s">
        <v>47</v>
      </c>
      <c r="V931" t="s">
        <v>47</v>
      </c>
      <c r="W931" s="3">
        <v>36100</v>
      </c>
      <c r="X931" s="5" t="s">
        <v>50</v>
      </c>
      <c r="Y931" s="5" t="s">
        <v>2144</v>
      </c>
      <c r="Z931" s="3">
        <v>36100</v>
      </c>
      <c r="AA931" s="5" t="s">
        <v>50</v>
      </c>
      <c r="AB931" s="5" t="s">
        <v>2144</v>
      </c>
      <c r="AC931" s="3">
        <v>40940</v>
      </c>
      <c r="AD931" s="5" t="s">
        <v>50</v>
      </c>
      <c r="AE931" t="s">
        <v>47</v>
      </c>
      <c r="AF931" t="s">
        <v>47</v>
      </c>
      <c r="AG931" t="s">
        <v>47</v>
      </c>
      <c r="AH931" t="s">
        <v>47</v>
      </c>
      <c r="AI931" t="s">
        <v>47</v>
      </c>
      <c r="AJ931" t="s">
        <v>47</v>
      </c>
      <c r="AK931" t="s">
        <v>47</v>
      </c>
      <c r="AL931" t="s">
        <v>47</v>
      </c>
      <c r="AM931" t="s">
        <v>47</v>
      </c>
      <c r="AN931" t="s">
        <v>47</v>
      </c>
      <c r="AO931" s="5" t="s">
        <v>60</v>
      </c>
      <c r="AP931" s="4" t="s">
        <v>61</v>
      </c>
      <c r="AQ931" s="4" t="s">
        <v>53</v>
      </c>
      <c r="AR931" s="4" t="s">
        <v>1314</v>
      </c>
      <c r="AS931" s="5">
        <v>36007</v>
      </c>
      <c r="AT931" t="s">
        <v>47</v>
      </c>
    </row>
    <row r="932" spans="1:46" ht="39" x14ac:dyDescent="0.3">
      <c r="A932" s="4" t="s">
        <v>3741</v>
      </c>
      <c r="B932" t="s">
        <v>47</v>
      </c>
      <c r="C932" s="4" t="s">
        <v>169</v>
      </c>
      <c r="D932" s="4" t="s">
        <v>780</v>
      </c>
      <c r="E932" s="4" t="s">
        <v>66</v>
      </c>
      <c r="F932" s="5" t="s">
        <v>3742</v>
      </c>
      <c r="G932" s="5" t="s">
        <v>3743</v>
      </c>
      <c r="H932" t="s">
        <v>47</v>
      </c>
      <c r="I932" s="3">
        <v>32509</v>
      </c>
      <c r="J932" s="3">
        <v>37926</v>
      </c>
      <c r="K932" t="s">
        <v>47</v>
      </c>
      <c r="L932" s="5" t="s">
        <v>60</v>
      </c>
      <c r="M932" s="3">
        <v>34335</v>
      </c>
      <c r="N932" s="3">
        <v>37926</v>
      </c>
      <c r="O932" t="s">
        <v>47</v>
      </c>
      <c r="P932" s="3">
        <v>32509</v>
      </c>
      <c r="Q932" s="3">
        <v>37926</v>
      </c>
      <c r="R932" t="s">
        <v>47</v>
      </c>
      <c r="S932" t="s">
        <v>47</v>
      </c>
      <c r="T932" t="s">
        <v>47</v>
      </c>
      <c r="U932" t="s">
        <v>47</v>
      </c>
      <c r="V932" t="s">
        <v>47</v>
      </c>
      <c r="W932" s="3">
        <v>32509</v>
      </c>
      <c r="X932" s="5" t="s">
        <v>50</v>
      </c>
      <c r="Y932" t="s">
        <v>47</v>
      </c>
      <c r="Z932" s="3">
        <v>32509</v>
      </c>
      <c r="AA932" s="5" t="s">
        <v>50</v>
      </c>
      <c r="AB932" t="s">
        <v>47</v>
      </c>
      <c r="AC932" s="3">
        <v>32509</v>
      </c>
      <c r="AD932" s="5" t="s">
        <v>50</v>
      </c>
      <c r="AE932" t="s">
        <v>47</v>
      </c>
      <c r="AF932" t="s">
        <v>47</v>
      </c>
      <c r="AG932" t="s">
        <v>47</v>
      </c>
      <c r="AH932" t="s">
        <v>47</v>
      </c>
      <c r="AI932" t="s">
        <v>47</v>
      </c>
      <c r="AJ932" t="s">
        <v>47</v>
      </c>
      <c r="AK932" t="s">
        <v>47</v>
      </c>
      <c r="AL932" t="s">
        <v>47</v>
      </c>
      <c r="AM932" t="s">
        <v>47</v>
      </c>
      <c r="AN932" t="s">
        <v>47</v>
      </c>
      <c r="AO932" s="5" t="s">
        <v>60</v>
      </c>
      <c r="AP932" s="4" t="s">
        <v>61</v>
      </c>
      <c r="AQ932" s="4" t="s">
        <v>53</v>
      </c>
      <c r="AR932" s="4" t="s">
        <v>62</v>
      </c>
      <c r="AS932" s="5">
        <v>41328</v>
      </c>
      <c r="AT932" t="s">
        <v>47</v>
      </c>
    </row>
    <row r="933" spans="1:46" ht="39" x14ac:dyDescent="0.3">
      <c r="A933" s="4" t="s">
        <v>3744</v>
      </c>
      <c r="B933" t="s">
        <v>47</v>
      </c>
      <c r="C933" s="4" t="s">
        <v>3745</v>
      </c>
      <c r="D933" s="4" t="s">
        <v>3746</v>
      </c>
      <c r="E933" s="4" t="s">
        <v>49</v>
      </c>
      <c r="F933" s="5" t="s">
        <v>3747</v>
      </c>
      <c r="G933" t="s">
        <v>47</v>
      </c>
      <c r="H933" t="s">
        <v>47</v>
      </c>
      <c r="I933" s="3">
        <v>40634</v>
      </c>
      <c r="J933" s="5" t="s">
        <v>50</v>
      </c>
      <c r="K933" t="s">
        <v>47</v>
      </c>
      <c r="L933" s="5" t="s">
        <v>60</v>
      </c>
      <c r="M933" s="3">
        <v>40634</v>
      </c>
      <c r="N933" s="5" t="s">
        <v>50</v>
      </c>
      <c r="O933" t="s">
        <v>47</v>
      </c>
      <c r="P933" s="3">
        <v>40634</v>
      </c>
      <c r="Q933" s="5" t="s">
        <v>50</v>
      </c>
      <c r="R933" t="s">
        <v>47</v>
      </c>
      <c r="S933" t="s">
        <v>47</v>
      </c>
      <c r="T933" t="s">
        <v>47</v>
      </c>
      <c r="U933" t="s">
        <v>47</v>
      </c>
      <c r="V933" t="s">
        <v>47</v>
      </c>
      <c r="W933" s="3">
        <v>40634</v>
      </c>
      <c r="X933" s="5" t="s">
        <v>50</v>
      </c>
      <c r="Y933" t="s">
        <v>47</v>
      </c>
      <c r="Z933" s="3">
        <v>40634</v>
      </c>
      <c r="AA933" s="5" t="s">
        <v>50</v>
      </c>
      <c r="AB933" t="s">
        <v>47</v>
      </c>
      <c r="AC933" s="3">
        <v>40634</v>
      </c>
      <c r="AD933" s="5" t="s">
        <v>50</v>
      </c>
      <c r="AE933" t="s">
        <v>47</v>
      </c>
      <c r="AF933" t="s">
        <v>47</v>
      </c>
      <c r="AG933" t="s">
        <v>47</v>
      </c>
      <c r="AH933" t="s">
        <v>47</v>
      </c>
      <c r="AI933" t="s">
        <v>47</v>
      </c>
      <c r="AJ933" t="s">
        <v>47</v>
      </c>
      <c r="AK933" t="s">
        <v>47</v>
      </c>
      <c r="AL933" t="s">
        <v>47</v>
      </c>
      <c r="AM933" t="s">
        <v>47</v>
      </c>
      <c r="AN933" t="s">
        <v>47</v>
      </c>
      <c r="AO933" s="5" t="s">
        <v>60</v>
      </c>
      <c r="AP933" s="4" t="s">
        <v>61</v>
      </c>
      <c r="AQ933" s="4" t="s">
        <v>53</v>
      </c>
      <c r="AR933" s="4" t="s">
        <v>62</v>
      </c>
      <c r="AS933" s="5">
        <v>766331</v>
      </c>
      <c r="AT933" t="s">
        <v>47</v>
      </c>
    </row>
    <row r="934" spans="1:46" ht="26" x14ac:dyDescent="0.3">
      <c r="A934" s="4" t="s">
        <v>3748</v>
      </c>
      <c r="B934" t="s">
        <v>47</v>
      </c>
      <c r="C934" s="4" t="s">
        <v>3749</v>
      </c>
      <c r="D934" s="4" t="s">
        <v>748</v>
      </c>
      <c r="E934" s="4" t="s">
        <v>66</v>
      </c>
      <c r="F934" s="5" t="s">
        <v>3750</v>
      </c>
      <c r="G934" t="s">
        <v>47</v>
      </c>
      <c r="H934" t="s">
        <v>47</v>
      </c>
      <c r="I934" s="3">
        <v>42522</v>
      </c>
      <c r="J934" s="3">
        <v>44501</v>
      </c>
      <c r="K934" t="s">
        <v>47</v>
      </c>
      <c r="L934" s="5" t="s">
        <v>60</v>
      </c>
      <c r="M934" s="3">
        <v>42522</v>
      </c>
      <c r="N934" s="3">
        <v>44501</v>
      </c>
      <c r="O934" t="s">
        <v>47</v>
      </c>
      <c r="P934" s="3">
        <v>42522</v>
      </c>
      <c r="Q934" s="3">
        <v>44501</v>
      </c>
      <c r="R934" t="s">
        <v>47</v>
      </c>
      <c r="S934" t="s">
        <v>47</v>
      </c>
      <c r="T934" t="s">
        <v>47</v>
      </c>
      <c r="U934" t="s">
        <v>47</v>
      </c>
      <c r="V934" t="s">
        <v>47</v>
      </c>
      <c r="W934" s="3">
        <v>42522</v>
      </c>
      <c r="X934" s="3">
        <v>44501</v>
      </c>
      <c r="Y934" t="s">
        <v>47</v>
      </c>
      <c r="Z934" s="3">
        <v>42522</v>
      </c>
      <c r="AA934" s="3">
        <v>44501</v>
      </c>
      <c r="AB934" t="s">
        <v>47</v>
      </c>
      <c r="AC934" s="3">
        <v>42522</v>
      </c>
      <c r="AD934" s="3">
        <v>44501</v>
      </c>
      <c r="AE934" t="s">
        <v>47</v>
      </c>
      <c r="AF934" t="s">
        <v>47</v>
      </c>
      <c r="AG934" t="s">
        <v>47</v>
      </c>
      <c r="AH934" t="s">
        <v>47</v>
      </c>
      <c r="AI934" t="s">
        <v>47</v>
      </c>
      <c r="AJ934" t="s">
        <v>47</v>
      </c>
      <c r="AK934" t="s">
        <v>47</v>
      </c>
      <c r="AL934" t="s">
        <v>47</v>
      </c>
      <c r="AM934" t="s">
        <v>47</v>
      </c>
      <c r="AN934" t="s">
        <v>47</v>
      </c>
      <c r="AO934" s="5" t="s">
        <v>60</v>
      </c>
      <c r="AP934" s="4" t="s">
        <v>61</v>
      </c>
      <c r="AQ934" s="4" t="s">
        <v>53</v>
      </c>
      <c r="AR934" s="4" t="s">
        <v>54</v>
      </c>
      <c r="AS934" s="5">
        <v>2031003</v>
      </c>
      <c r="AT934" t="s">
        <v>47</v>
      </c>
    </row>
    <row r="935" spans="1:46" ht="26" x14ac:dyDescent="0.3">
      <c r="A935" s="4" t="s">
        <v>3751</v>
      </c>
      <c r="B935" t="s">
        <v>47</v>
      </c>
      <c r="C935" s="4" t="s">
        <v>3749</v>
      </c>
      <c r="D935" s="4" t="s">
        <v>748</v>
      </c>
      <c r="E935" s="4" t="s">
        <v>66</v>
      </c>
      <c r="F935" s="5" t="s">
        <v>3750</v>
      </c>
      <c r="G935" t="s">
        <v>47</v>
      </c>
      <c r="H935" t="s">
        <v>47</v>
      </c>
      <c r="I935" s="3">
        <v>39539</v>
      </c>
      <c r="J935" s="3">
        <v>40817</v>
      </c>
      <c r="K935" t="s">
        <v>47</v>
      </c>
      <c r="L935" s="5" t="s">
        <v>60</v>
      </c>
      <c r="M935" s="3">
        <v>39539</v>
      </c>
      <c r="N935" s="3">
        <v>40817</v>
      </c>
      <c r="O935" t="s">
        <v>47</v>
      </c>
      <c r="P935" s="3">
        <v>39539</v>
      </c>
      <c r="Q935" s="3">
        <v>40817</v>
      </c>
      <c r="R935" t="s">
        <v>47</v>
      </c>
      <c r="S935" t="s">
        <v>47</v>
      </c>
      <c r="T935" t="s">
        <v>47</v>
      </c>
      <c r="U935" t="s">
        <v>47</v>
      </c>
      <c r="V935" t="s">
        <v>47</v>
      </c>
      <c r="W935" s="3">
        <v>39539</v>
      </c>
      <c r="X935" s="3">
        <v>40817</v>
      </c>
      <c r="Y935" t="s">
        <v>47</v>
      </c>
      <c r="Z935" s="3">
        <v>39539</v>
      </c>
      <c r="AA935" s="3">
        <v>40817</v>
      </c>
      <c r="AB935" t="s">
        <v>47</v>
      </c>
      <c r="AC935" s="3">
        <v>39539</v>
      </c>
      <c r="AD935" s="3">
        <v>40817</v>
      </c>
      <c r="AE935" t="s">
        <v>47</v>
      </c>
      <c r="AF935" t="s">
        <v>47</v>
      </c>
      <c r="AG935" t="s">
        <v>47</v>
      </c>
      <c r="AH935" t="s">
        <v>47</v>
      </c>
      <c r="AI935" t="s">
        <v>47</v>
      </c>
      <c r="AJ935" t="s">
        <v>47</v>
      </c>
      <c r="AK935" t="s">
        <v>47</v>
      </c>
      <c r="AL935" t="s">
        <v>47</v>
      </c>
      <c r="AM935" t="s">
        <v>47</v>
      </c>
      <c r="AN935" t="s">
        <v>47</v>
      </c>
      <c r="AO935" s="5" t="s">
        <v>60</v>
      </c>
      <c r="AP935" s="4" t="s">
        <v>61</v>
      </c>
      <c r="AQ935" s="4" t="s">
        <v>53</v>
      </c>
      <c r="AR935" s="4" t="s">
        <v>54</v>
      </c>
      <c r="AS935" s="5">
        <v>40023</v>
      </c>
      <c r="AT935" t="s">
        <v>47</v>
      </c>
    </row>
    <row r="936" spans="1:46" ht="39" x14ac:dyDescent="0.3">
      <c r="A936" s="4" t="s">
        <v>3752</v>
      </c>
      <c r="B936" t="s">
        <v>47</v>
      </c>
      <c r="C936" s="4" t="s">
        <v>3753</v>
      </c>
      <c r="D936" s="4" t="s">
        <v>3754</v>
      </c>
      <c r="E936" s="4" t="s">
        <v>49</v>
      </c>
      <c r="F936" s="5" t="s">
        <v>3755</v>
      </c>
      <c r="G936" t="s">
        <v>47</v>
      </c>
      <c r="H936" t="s">
        <v>47</v>
      </c>
      <c r="I936" s="3">
        <v>39083</v>
      </c>
      <c r="J936" s="5" t="s">
        <v>50</v>
      </c>
      <c r="K936" t="s">
        <v>47</v>
      </c>
      <c r="L936" s="5" t="s">
        <v>60</v>
      </c>
      <c r="M936" t="s">
        <v>47</v>
      </c>
      <c r="N936" t="s">
        <v>47</v>
      </c>
      <c r="O936" t="s">
        <v>47</v>
      </c>
      <c r="P936" s="3">
        <v>39083</v>
      </c>
      <c r="Q936" s="5" t="s">
        <v>50</v>
      </c>
      <c r="R936" t="s">
        <v>47</v>
      </c>
      <c r="S936" t="s">
        <v>47</v>
      </c>
      <c r="T936" t="s">
        <v>47</v>
      </c>
      <c r="U936" t="s">
        <v>47</v>
      </c>
      <c r="V936" t="s">
        <v>47</v>
      </c>
      <c r="W936" s="3">
        <v>39083</v>
      </c>
      <c r="X936" s="5" t="s">
        <v>50</v>
      </c>
      <c r="Y936" t="s">
        <v>47</v>
      </c>
      <c r="Z936" s="3">
        <v>39083</v>
      </c>
      <c r="AA936" s="5" t="s">
        <v>50</v>
      </c>
      <c r="AB936" t="s">
        <v>47</v>
      </c>
      <c r="AC936" s="3">
        <v>39083</v>
      </c>
      <c r="AD936" s="5" t="s">
        <v>50</v>
      </c>
      <c r="AE936" t="s">
        <v>47</v>
      </c>
      <c r="AF936" t="s">
        <v>47</v>
      </c>
      <c r="AG936" t="s">
        <v>47</v>
      </c>
      <c r="AH936" t="s">
        <v>47</v>
      </c>
      <c r="AI936" t="s">
        <v>47</v>
      </c>
      <c r="AJ936" t="s">
        <v>47</v>
      </c>
      <c r="AK936" t="s">
        <v>47</v>
      </c>
      <c r="AL936" t="s">
        <v>47</v>
      </c>
      <c r="AM936" t="s">
        <v>47</v>
      </c>
      <c r="AN936" t="s">
        <v>47</v>
      </c>
      <c r="AO936" s="5" t="s">
        <v>60</v>
      </c>
      <c r="AP936" s="4" t="s">
        <v>61</v>
      </c>
      <c r="AQ936" s="4" t="s">
        <v>53</v>
      </c>
      <c r="AR936" s="4" t="s">
        <v>1830</v>
      </c>
      <c r="AS936" s="5">
        <v>5483412</v>
      </c>
      <c r="AT936" t="s">
        <v>47</v>
      </c>
    </row>
    <row r="937" spans="1:46" ht="78" x14ac:dyDescent="0.3">
      <c r="A937" s="4" t="s">
        <v>3756</v>
      </c>
      <c r="B937" t="s">
        <v>47</v>
      </c>
      <c r="C937" s="4" t="s">
        <v>3757</v>
      </c>
      <c r="D937" s="4" t="s">
        <v>3095</v>
      </c>
      <c r="E937" s="4" t="s">
        <v>49</v>
      </c>
      <c r="F937" s="5" t="s">
        <v>3758</v>
      </c>
      <c r="G937" s="5" t="s">
        <v>3759</v>
      </c>
      <c r="H937" t="s">
        <v>47</v>
      </c>
      <c r="I937" s="3">
        <v>32051</v>
      </c>
      <c r="J937" s="3">
        <v>36069</v>
      </c>
      <c r="K937" t="s">
        <v>47</v>
      </c>
      <c r="L937" s="5" t="s">
        <v>60</v>
      </c>
      <c r="M937" s="3">
        <v>34700</v>
      </c>
      <c r="N937" s="3">
        <v>36069</v>
      </c>
      <c r="O937" t="s">
        <v>47</v>
      </c>
      <c r="P937" s="3">
        <v>32051</v>
      </c>
      <c r="Q937" s="3">
        <v>36069</v>
      </c>
      <c r="R937" t="s">
        <v>47</v>
      </c>
      <c r="S937" t="s">
        <v>47</v>
      </c>
      <c r="T937" t="s">
        <v>47</v>
      </c>
      <c r="U937" t="s">
        <v>47</v>
      </c>
      <c r="V937" t="s">
        <v>47</v>
      </c>
      <c r="W937" s="3">
        <v>26207</v>
      </c>
      <c r="X937" s="5" t="s">
        <v>50</v>
      </c>
      <c r="Y937" t="s">
        <v>47</v>
      </c>
      <c r="Z937" s="3">
        <v>26207</v>
      </c>
      <c r="AA937" s="5" t="s">
        <v>50</v>
      </c>
      <c r="AB937" t="s">
        <v>47</v>
      </c>
      <c r="AC937" s="3">
        <v>26207</v>
      </c>
      <c r="AD937" s="5" t="s">
        <v>50</v>
      </c>
      <c r="AE937" t="s">
        <v>47</v>
      </c>
      <c r="AF937" t="s">
        <v>47</v>
      </c>
      <c r="AG937" t="s">
        <v>47</v>
      </c>
      <c r="AH937" t="s">
        <v>47</v>
      </c>
      <c r="AI937" t="s">
        <v>47</v>
      </c>
      <c r="AJ937" t="s">
        <v>47</v>
      </c>
      <c r="AK937" t="s">
        <v>47</v>
      </c>
      <c r="AL937" t="s">
        <v>47</v>
      </c>
      <c r="AM937" t="s">
        <v>47</v>
      </c>
      <c r="AN937" t="s">
        <v>47</v>
      </c>
      <c r="AO937" s="5" t="s">
        <v>60</v>
      </c>
      <c r="AP937" s="4" t="s">
        <v>61</v>
      </c>
      <c r="AQ937" s="4" t="s">
        <v>53</v>
      </c>
      <c r="AR937" s="4" t="s">
        <v>3760</v>
      </c>
      <c r="AS937" s="5">
        <v>35922</v>
      </c>
      <c r="AT937" t="s">
        <v>47</v>
      </c>
    </row>
    <row r="938" spans="1:46" ht="26" x14ac:dyDescent="0.3">
      <c r="A938" s="4" t="s">
        <v>3761</v>
      </c>
      <c r="B938" t="s">
        <v>47</v>
      </c>
      <c r="C938" s="4" t="s">
        <v>200</v>
      </c>
      <c r="D938" s="4" t="s">
        <v>201</v>
      </c>
      <c r="E938" s="4" t="s">
        <v>66</v>
      </c>
      <c r="F938" s="5" t="s">
        <v>3762</v>
      </c>
      <c r="G938" s="5" t="s">
        <v>3763</v>
      </c>
      <c r="H938" t="s">
        <v>47</v>
      </c>
      <c r="I938" s="3">
        <v>35855</v>
      </c>
      <c r="J938" s="3">
        <v>41548</v>
      </c>
      <c r="K938" t="s">
        <v>47</v>
      </c>
      <c r="L938" s="5" t="s">
        <v>60</v>
      </c>
      <c r="M938" s="3">
        <v>35855</v>
      </c>
      <c r="N938" s="3">
        <v>41548</v>
      </c>
      <c r="O938" t="s">
        <v>47</v>
      </c>
      <c r="P938" s="3">
        <v>35855</v>
      </c>
      <c r="Q938" s="3">
        <v>41548</v>
      </c>
      <c r="R938" t="s">
        <v>47</v>
      </c>
      <c r="S938" t="s">
        <v>47</v>
      </c>
      <c r="T938" t="s">
        <v>47</v>
      </c>
      <c r="U938" t="s">
        <v>47</v>
      </c>
      <c r="V938" t="s">
        <v>47</v>
      </c>
      <c r="W938" s="3">
        <v>35855</v>
      </c>
      <c r="X938" s="5" t="s">
        <v>50</v>
      </c>
      <c r="Y938" t="s">
        <v>47</v>
      </c>
      <c r="Z938" s="3">
        <v>35855</v>
      </c>
      <c r="AA938" s="5" t="s">
        <v>50</v>
      </c>
      <c r="AB938" t="s">
        <v>47</v>
      </c>
      <c r="AC938" s="3">
        <v>35947</v>
      </c>
      <c r="AD938" s="5" t="s">
        <v>50</v>
      </c>
      <c r="AE938" s="5" t="s">
        <v>3764</v>
      </c>
      <c r="AF938" t="s">
        <v>47</v>
      </c>
      <c r="AG938" t="s">
        <v>47</v>
      </c>
      <c r="AH938" t="s">
        <v>47</v>
      </c>
      <c r="AI938" t="s">
        <v>47</v>
      </c>
      <c r="AJ938" t="s">
        <v>47</v>
      </c>
      <c r="AK938" t="s">
        <v>47</v>
      </c>
      <c r="AL938" t="s">
        <v>47</v>
      </c>
      <c r="AM938" t="s">
        <v>47</v>
      </c>
      <c r="AN938" t="s">
        <v>47</v>
      </c>
      <c r="AO938" s="5" t="s">
        <v>60</v>
      </c>
      <c r="AP938" s="4" t="s">
        <v>61</v>
      </c>
      <c r="AQ938" s="4" t="s">
        <v>53</v>
      </c>
      <c r="AR938" s="4" t="s">
        <v>807</v>
      </c>
      <c r="AS938" s="5">
        <v>46224</v>
      </c>
      <c r="AT938" t="s">
        <v>47</v>
      </c>
    </row>
    <row r="939" spans="1:46" ht="91" x14ac:dyDescent="0.3">
      <c r="A939" s="4" t="s">
        <v>3765</v>
      </c>
      <c r="B939" t="s">
        <v>47</v>
      </c>
      <c r="C939" s="4" t="s">
        <v>3766</v>
      </c>
      <c r="D939" s="4" t="s">
        <v>1303</v>
      </c>
      <c r="E939" s="4" t="s">
        <v>49</v>
      </c>
      <c r="F939" s="5" t="s">
        <v>3767</v>
      </c>
      <c r="G939" s="5" t="s">
        <v>3768</v>
      </c>
      <c r="H939" t="s">
        <v>47</v>
      </c>
      <c r="I939" s="3">
        <v>37257</v>
      </c>
      <c r="J939" s="5" t="s">
        <v>50</v>
      </c>
      <c r="K939" t="s">
        <v>47</v>
      </c>
      <c r="L939" s="5" t="s">
        <v>60</v>
      </c>
      <c r="M939" s="3">
        <v>37257</v>
      </c>
      <c r="N939" s="5" t="s">
        <v>50</v>
      </c>
      <c r="O939" t="s">
        <v>47</v>
      </c>
      <c r="P939" s="3">
        <v>37257</v>
      </c>
      <c r="Q939" s="5" t="s">
        <v>50</v>
      </c>
      <c r="R939" t="s">
        <v>47</v>
      </c>
      <c r="S939" t="s">
        <v>47</v>
      </c>
      <c r="T939" t="s">
        <v>47</v>
      </c>
      <c r="U939" t="s">
        <v>47</v>
      </c>
      <c r="V939" t="s">
        <v>47</v>
      </c>
      <c r="W939" s="3">
        <v>37257</v>
      </c>
      <c r="X939" s="5" t="s">
        <v>50</v>
      </c>
      <c r="Y939" t="s">
        <v>47</v>
      </c>
      <c r="Z939" s="3">
        <v>37257</v>
      </c>
      <c r="AA939" s="5" t="s">
        <v>50</v>
      </c>
      <c r="AB939" t="s">
        <v>47</v>
      </c>
      <c r="AC939" s="3">
        <v>37257</v>
      </c>
      <c r="AD939" s="5" t="s">
        <v>50</v>
      </c>
      <c r="AE939" t="s">
        <v>47</v>
      </c>
      <c r="AF939" t="s">
        <v>47</v>
      </c>
      <c r="AG939" t="s">
        <v>47</v>
      </c>
      <c r="AH939" t="s">
        <v>47</v>
      </c>
      <c r="AI939" t="s">
        <v>47</v>
      </c>
      <c r="AJ939" t="s">
        <v>47</v>
      </c>
      <c r="AK939" t="s">
        <v>47</v>
      </c>
      <c r="AL939" t="s">
        <v>47</v>
      </c>
      <c r="AM939" t="s">
        <v>47</v>
      </c>
      <c r="AN939" t="s">
        <v>47</v>
      </c>
      <c r="AO939" s="5" t="s">
        <v>60</v>
      </c>
      <c r="AP939" s="4" t="s">
        <v>61</v>
      </c>
      <c r="AQ939" s="4" t="s">
        <v>53</v>
      </c>
      <c r="AR939" s="4" t="s">
        <v>3769</v>
      </c>
      <c r="AS939" s="5">
        <v>25848</v>
      </c>
      <c r="AT939" t="s">
        <v>47</v>
      </c>
    </row>
    <row r="940" spans="1:46" ht="130" x14ac:dyDescent="0.3">
      <c r="A940" s="4" t="s">
        <v>3770</v>
      </c>
      <c r="B940" t="s">
        <v>47</v>
      </c>
      <c r="C940" s="4" t="s">
        <v>2781</v>
      </c>
      <c r="D940" s="4" t="s">
        <v>2782</v>
      </c>
      <c r="E940" s="4" t="s">
        <v>49</v>
      </c>
      <c r="F940" s="5" t="s">
        <v>3771</v>
      </c>
      <c r="G940" s="5" t="s">
        <v>3772</v>
      </c>
      <c r="H940" t="s">
        <v>47</v>
      </c>
      <c r="I940" s="3">
        <v>39448</v>
      </c>
      <c r="J940" s="5" t="s">
        <v>50</v>
      </c>
      <c r="K940" t="s">
        <v>47</v>
      </c>
      <c r="L940" s="5" t="s">
        <v>60</v>
      </c>
      <c r="M940" t="s">
        <v>47</v>
      </c>
      <c r="N940" t="s">
        <v>47</v>
      </c>
      <c r="O940" t="s">
        <v>47</v>
      </c>
      <c r="P940" s="3">
        <v>39448</v>
      </c>
      <c r="Q940" s="5" t="s">
        <v>50</v>
      </c>
      <c r="R940" t="s">
        <v>47</v>
      </c>
      <c r="S940" t="s">
        <v>47</v>
      </c>
      <c r="T940" t="s">
        <v>47</v>
      </c>
      <c r="U940" t="s">
        <v>47</v>
      </c>
      <c r="V940" t="s">
        <v>47</v>
      </c>
      <c r="W940" s="3">
        <v>39448</v>
      </c>
      <c r="X940" s="5" t="s">
        <v>50</v>
      </c>
      <c r="Y940" t="s">
        <v>47</v>
      </c>
      <c r="Z940" s="3">
        <v>39448</v>
      </c>
      <c r="AA940" s="5" t="s">
        <v>50</v>
      </c>
      <c r="AB940" t="s">
        <v>47</v>
      </c>
      <c r="AC940" s="3">
        <v>42005</v>
      </c>
      <c r="AD940" s="5" t="s">
        <v>50</v>
      </c>
      <c r="AE940" t="s">
        <v>47</v>
      </c>
      <c r="AF940" t="s">
        <v>47</v>
      </c>
      <c r="AG940" t="s">
        <v>47</v>
      </c>
      <c r="AH940" t="s">
        <v>47</v>
      </c>
      <c r="AI940" t="s">
        <v>47</v>
      </c>
      <c r="AJ940" t="s">
        <v>47</v>
      </c>
      <c r="AK940" t="s">
        <v>47</v>
      </c>
      <c r="AL940" t="s">
        <v>47</v>
      </c>
      <c r="AM940" t="s">
        <v>47</v>
      </c>
      <c r="AN940" t="s">
        <v>47</v>
      </c>
      <c r="AO940" s="5" t="s">
        <v>60</v>
      </c>
      <c r="AP940" s="4" t="s">
        <v>61</v>
      </c>
      <c r="AQ940" s="4" t="s">
        <v>53</v>
      </c>
      <c r="AR940" s="4" t="s">
        <v>1793</v>
      </c>
      <c r="AS940" s="5">
        <v>5324111</v>
      </c>
      <c r="AT940" t="s">
        <v>47</v>
      </c>
    </row>
    <row r="941" spans="1:46" ht="130" x14ac:dyDescent="0.3">
      <c r="A941" s="4" t="s">
        <v>3773</v>
      </c>
      <c r="B941" t="s">
        <v>47</v>
      </c>
      <c r="C941" s="4" t="s">
        <v>2781</v>
      </c>
      <c r="D941" s="4" t="s">
        <v>2782</v>
      </c>
      <c r="E941" s="4" t="s">
        <v>49</v>
      </c>
      <c r="F941" s="5" t="s">
        <v>3774</v>
      </c>
      <c r="G941" s="5" t="s">
        <v>3775</v>
      </c>
      <c r="H941" t="s">
        <v>47</v>
      </c>
      <c r="I941" s="3">
        <v>37257</v>
      </c>
      <c r="J941" s="5" t="s">
        <v>50</v>
      </c>
      <c r="K941" t="s">
        <v>47</v>
      </c>
      <c r="L941" s="5" t="s">
        <v>60</v>
      </c>
      <c r="M941" t="s">
        <v>47</v>
      </c>
      <c r="N941" t="s">
        <v>47</v>
      </c>
      <c r="O941" t="s">
        <v>47</v>
      </c>
      <c r="P941" s="3">
        <v>37257</v>
      </c>
      <c r="Q941" s="5" t="s">
        <v>50</v>
      </c>
      <c r="R941" t="s">
        <v>47</v>
      </c>
      <c r="S941" t="s">
        <v>47</v>
      </c>
      <c r="T941" t="s">
        <v>47</v>
      </c>
      <c r="U941" t="s">
        <v>47</v>
      </c>
      <c r="V941" t="s">
        <v>47</v>
      </c>
      <c r="W941" s="3">
        <v>37257</v>
      </c>
      <c r="X941" s="5" t="s">
        <v>50</v>
      </c>
      <c r="Y941" t="s">
        <v>47</v>
      </c>
      <c r="Z941" s="3">
        <v>37257</v>
      </c>
      <c r="AA941" s="5" t="s">
        <v>50</v>
      </c>
      <c r="AB941" t="s">
        <v>47</v>
      </c>
      <c r="AC941" s="3">
        <v>42005</v>
      </c>
      <c r="AD941" s="5" t="s">
        <v>50</v>
      </c>
      <c r="AE941" t="s">
        <v>47</v>
      </c>
      <c r="AF941" t="s">
        <v>47</v>
      </c>
      <c r="AG941" t="s">
        <v>47</v>
      </c>
      <c r="AH941" t="s">
        <v>47</v>
      </c>
      <c r="AI941" t="s">
        <v>47</v>
      </c>
      <c r="AJ941" t="s">
        <v>47</v>
      </c>
      <c r="AK941" t="s">
        <v>47</v>
      </c>
      <c r="AL941" t="s">
        <v>47</v>
      </c>
      <c r="AM941" t="s">
        <v>47</v>
      </c>
      <c r="AN941" t="s">
        <v>47</v>
      </c>
      <c r="AO941" s="5" t="s">
        <v>51</v>
      </c>
      <c r="AP941" s="4" t="s">
        <v>61</v>
      </c>
      <c r="AQ941" s="4" t="s">
        <v>53</v>
      </c>
      <c r="AR941" s="4" t="s">
        <v>1793</v>
      </c>
      <c r="AS941" s="5">
        <v>5324456</v>
      </c>
      <c r="AT941" t="s">
        <v>47</v>
      </c>
    </row>
    <row r="942" spans="1:46" ht="65" x14ac:dyDescent="0.3">
      <c r="A942" s="4" t="s">
        <v>3776</v>
      </c>
      <c r="B942" t="s">
        <v>47</v>
      </c>
      <c r="C942" s="4" t="s">
        <v>64</v>
      </c>
      <c r="D942" s="4" t="s">
        <v>139</v>
      </c>
      <c r="E942" s="4" t="s">
        <v>66</v>
      </c>
      <c r="F942" t="s">
        <v>47</v>
      </c>
      <c r="G942" s="5" t="s">
        <v>3777</v>
      </c>
      <c r="H942" t="s">
        <v>47</v>
      </c>
      <c r="I942" s="3">
        <v>40603</v>
      </c>
      <c r="J942" s="3">
        <v>43952</v>
      </c>
      <c r="K942" t="s">
        <v>47</v>
      </c>
      <c r="L942" s="5" t="s">
        <v>60</v>
      </c>
      <c r="M942" s="3">
        <v>40603</v>
      </c>
      <c r="N942" s="3">
        <v>42491</v>
      </c>
      <c r="O942" t="s">
        <v>47</v>
      </c>
      <c r="P942" s="3">
        <v>40603</v>
      </c>
      <c r="Q942" s="3">
        <v>43952</v>
      </c>
      <c r="R942" t="s">
        <v>47</v>
      </c>
      <c r="S942" t="s">
        <v>47</v>
      </c>
      <c r="T942" t="s">
        <v>47</v>
      </c>
      <c r="U942" t="s">
        <v>47</v>
      </c>
      <c r="V942" t="s">
        <v>47</v>
      </c>
      <c r="W942" s="3">
        <v>40603</v>
      </c>
      <c r="X942" s="5" t="s">
        <v>50</v>
      </c>
      <c r="Y942" t="s">
        <v>47</v>
      </c>
      <c r="Z942" s="3">
        <v>40603</v>
      </c>
      <c r="AA942" s="5" t="s">
        <v>50</v>
      </c>
      <c r="AB942" t="s">
        <v>47</v>
      </c>
      <c r="AC942" s="3">
        <v>40603</v>
      </c>
      <c r="AD942" s="5" t="s">
        <v>50</v>
      </c>
      <c r="AE942" t="s">
        <v>47</v>
      </c>
      <c r="AF942" t="s">
        <v>47</v>
      </c>
      <c r="AG942" t="s">
        <v>47</v>
      </c>
      <c r="AH942" t="s">
        <v>47</v>
      </c>
      <c r="AI942" t="s">
        <v>47</v>
      </c>
      <c r="AJ942" t="s">
        <v>47</v>
      </c>
      <c r="AK942" t="s">
        <v>47</v>
      </c>
      <c r="AL942" t="s">
        <v>47</v>
      </c>
      <c r="AM942" t="s">
        <v>47</v>
      </c>
      <c r="AN942" t="s">
        <v>47</v>
      </c>
      <c r="AO942" s="5" t="s">
        <v>60</v>
      </c>
      <c r="AP942" s="4" t="s">
        <v>61</v>
      </c>
      <c r="AQ942" s="4" t="s">
        <v>53</v>
      </c>
      <c r="AR942" s="4" t="s">
        <v>543</v>
      </c>
      <c r="AS942" s="5">
        <v>756339</v>
      </c>
      <c r="AT942" t="s">
        <v>47</v>
      </c>
    </row>
    <row r="943" spans="1:46" ht="39" x14ac:dyDescent="0.3">
      <c r="A943" s="4" t="s">
        <v>3778</v>
      </c>
      <c r="B943" t="s">
        <v>47</v>
      </c>
      <c r="C943" s="4" t="s">
        <v>3779</v>
      </c>
      <c r="D943" s="4" t="s">
        <v>3780</v>
      </c>
      <c r="E943" s="4" t="s">
        <v>151</v>
      </c>
      <c r="F943" s="5" t="s">
        <v>3781</v>
      </c>
      <c r="G943" s="5" t="s">
        <v>3782</v>
      </c>
      <c r="H943" t="s">
        <v>47</v>
      </c>
      <c r="I943" s="3">
        <v>40544</v>
      </c>
      <c r="J943" s="5" t="s">
        <v>50</v>
      </c>
      <c r="K943" t="s">
        <v>47</v>
      </c>
      <c r="L943" s="5" t="s">
        <v>60</v>
      </c>
      <c r="M943" s="3">
        <v>40544</v>
      </c>
      <c r="N943" s="5" t="s">
        <v>50</v>
      </c>
      <c r="O943" t="s">
        <v>47</v>
      </c>
      <c r="P943" s="3">
        <v>40544</v>
      </c>
      <c r="Q943" s="5" t="s">
        <v>50</v>
      </c>
      <c r="R943" t="s">
        <v>47</v>
      </c>
      <c r="S943" t="s">
        <v>47</v>
      </c>
      <c r="T943" t="s">
        <v>47</v>
      </c>
      <c r="U943" t="s">
        <v>47</v>
      </c>
      <c r="V943" t="s">
        <v>47</v>
      </c>
      <c r="W943" s="3">
        <v>40544</v>
      </c>
      <c r="X943" s="5" t="s">
        <v>50</v>
      </c>
      <c r="Y943" t="s">
        <v>47</v>
      </c>
      <c r="Z943" s="3">
        <v>40544</v>
      </c>
      <c r="AA943" s="5" t="s">
        <v>50</v>
      </c>
      <c r="AB943" t="s">
        <v>47</v>
      </c>
      <c r="AC943" s="3">
        <v>40544</v>
      </c>
      <c r="AD943" s="5" t="s">
        <v>50</v>
      </c>
      <c r="AE943" t="s">
        <v>47</v>
      </c>
      <c r="AF943" t="s">
        <v>47</v>
      </c>
      <c r="AG943" t="s">
        <v>47</v>
      </c>
      <c r="AH943" t="s">
        <v>47</v>
      </c>
      <c r="AI943" t="s">
        <v>47</v>
      </c>
      <c r="AJ943" t="s">
        <v>47</v>
      </c>
      <c r="AK943" t="s">
        <v>47</v>
      </c>
      <c r="AL943" t="s">
        <v>47</v>
      </c>
      <c r="AM943" t="s">
        <v>47</v>
      </c>
      <c r="AN943" t="s">
        <v>47</v>
      </c>
      <c r="AO943" s="5" t="s">
        <v>60</v>
      </c>
      <c r="AP943" s="4" t="s">
        <v>61</v>
      </c>
      <c r="AQ943" s="4" t="s">
        <v>53</v>
      </c>
      <c r="AR943" s="4" t="s">
        <v>807</v>
      </c>
      <c r="AS943" s="5">
        <v>2055403</v>
      </c>
      <c r="AT943" t="s">
        <v>47</v>
      </c>
    </row>
    <row r="944" spans="1:46" ht="26" x14ac:dyDescent="0.3">
      <c r="A944" s="4" t="s">
        <v>3783</v>
      </c>
      <c r="B944" t="s">
        <v>47</v>
      </c>
      <c r="C944" s="4" t="s">
        <v>3783</v>
      </c>
      <c r="D944" s="4" t="s">
        <v>3784</v>
      </c>
      <c r="E944" s="4" t="s">
        <v>49</v>
      </c>
      <c r="F944" s="5" t="s">
        <v>3785</v>
      </c>
      <c r="G944" t="s">
        <v>47</v>
      </c>
      <c r="H944" t="s">
        <v>47</v>
      </c>
      <c r="I944" s="3">
        <v>37681</v>
      </c>
      <c r="J944" s="3">
        <v>41609</v>
      </c>
      <c r="K944" t="s">
        <v>47</v>
      </c>
      <c r="L944" s="5" t="s">
        <v>60</v>
      </c>
      <c r="M944" s="3">
        <v>37681</v>
      </c>
      <c r="N944" s="3">
        <v>41609</v>
      </c>
      <c r="O944" t="s">
        <v>47</v>
      </c>
      <c r="P944" s="3">
        <v>37681</v>
      </c>
      <c r="Q944" s="3">
        <v>41609</v>
      </c>
      <c r="R944" t="s">
        <v>47</v>
      </c>
      <c r="S944" t="s">
        <v>47</v>
      </c>
      <c r="T944" t="s">
        <v>47</v>
      </c>
      <c r="U944" t="s">
        <v>47</v>
      </c>
      <c r="V944" t="s">
        <v>47</v>
      </c>
      <c r="W944" s="3">
        <v>37681</v>
      </c>
      <c r="X944" s="3">
        <v>41609</v>
      </c>
      <c r="Y944" t="s">
        <v>47</v>
      </c>
      <c r="Z944" s="3">
        <v>37681</v>
      </c>
      <c r="AA944" s="3">
        <v>41609</v>
      </c>
      <c r="AB944" t="s">
        <v>47</v>
      </c>
      <c r="AC944" s="3">
        <v>40969</v>
      </c>
      <c r="AD944" s="3">
        <v>41609</v>
      </c>
      <c r="AE944" t="s">
        <v>47</v>
      </c>
      <c r="AF944" t="s">
        <v>47</v>
      </c>
      <c r="AG944" t="s">
        <v>47</v>
      </c>
      <c r="AH944" t="s">
        <v>47</v>
      </c>
      <c r="AI944" t="s">
        <v>47</v>
      </c>
      <c r="AJ944" t="s">
        <v>47</v>
      </c>
      <c r="AK944" t="s">
        <v>47</v>
      </c>
      <c r="AL944" t="s">
        <v>47</v>
      </c>
      <c r="AM944" t="s">
        <v>47</v>
      </c>
      <c r="AN944" t="s">
        <v>47</v>
      </c>
      <c r="AO944" s="5" t="s">
        <v>60</v>
      </c>
      <c r="AP944" s="4" t="s">
        <v>61</v>
      </c>
      <c r="AQ944" s="4" t="s">
        <v>53</v>
      </c>
      <c r="AR944" s="4" t="s">
        <v>807</v>
      </c>
      <c r="AS944" s="5">
        <v>48173</v>
      </c>
      <c r="AT944" t="s">
        <v>47</v>
      </c>
    </row>
    <row r="945" spans="1:46" ht="78" x14ac:dyDescent="0.3">
      <c r="A945" s="4" t="s">
        <v>3786</v>
      </c>
      <c r="B945" t="s">
        <v>47</v>
      </c>
      <c r="C945" s="4" t="s">
        <v>169</v>
      </c>
      <c r="D945" s="4" t="s">
        <v>339</v>
      </c>
      <c r="E945" s="4" t="s">
        <v>66</v>
      </c>
      <c r="F945" s="5" t="s">
        <v>3787</v>
      </c>
      <c r="G945" s="5" t="s">
        <v>3788</v>
      </c>
      <c r="H945" t="s">
        <v>47</v>
      </c>
      <c r="I945" s="3">
        <v>35674</v>
      </c>
      <c r="J945" s="3">
        <v>36770</v>
      </c>
      <c r="K945" t="s">
        <v>47</v>
      </c>
      <c r="L945" s="5" t="s">
        <v>60</v>
      </c>
      <c r="M945" s="3">
        <v>35674</v>
      </c>
      <c r="N945" s="3">
        <v>36770</v>
      </c>
      <c r="O945" t="s">
        <v>47</v>
      </c>
      <c r="P945" s="3">
        <v>35674</v>
      </c>
      <c r="Q945" s="3">
        <v>36770</v>
      </c>
      <c r="R945" t="s">
        <v>47</v>
      </c>
      <c r="S945" t="s">
        <v>47</v>
      </c>
      <c r="T945" t="s">
        <v>47</v>
      </c>
      <c r="U945" t="s">
        <v>47</v>
      </c>
      <c r="V945" t="s">
        <v>47</v>
      </c>
      <c r="W945" s="3">
        <v>35674</v>
      </c>
      <c r="X945" s="5" t="s">
        <v>50</v>
      </c>
      <c r="Y945" t="s">
        <v>47</v>
      </c>
      <c r="Z945" s="3">
        <v>35674</v>
      </c>
      <c r="AA945" s="5" t="s">
        <v>50</v>
      </c>
      <c r="AB945" t="s">
        <v>47</v>
      </c>
      <c r="AC945" s="3">
        <v>35674</v>
      </c>
      <c r="AD945" s="5" t="s">
        <v>50</v>
      </c>
      <c r="AE945" t="s">
        <v>47</v>
      </c>
      <c r="AF945" t="s">
        <v>47</v>
      </c>
      <c r="AG945" t="s">
        <v>47</v>
      </c>
      <c r="AH945" t="s">
        <v>47</v>
      </c>
      <c r="AI945" t="s">
        <v>47</v>
      </c>
      <c r="AJ945" t="s">
        <v>47</v>
      </c>
      <c r="AK945" t="s">
        <v>47</v>
      </c>
      <c r="AL945" t="s">
        <v>47</v>
      </c>
      <c r="AM945" t="s">
        <v>47</v>
      </c>
      <c r="AN945" t="s">
        <v>47</v>
      </c>
      <c r="AO945" s="5" t="s">
        <v>60</v>
      </c>
      <c r="AP945" s="4" t="s">
        <v>61</v>
      </c>
      <c r="AQ945" s="4" t="s">
        <v>53</v>
      </c>
      <c r="AR945" s="4" t="s">
        <v>714</v>
      </c>
      <c r="AS945" s="5">
        <v>48383</v>
      </c>
      <c r="AT945" t="s">
        <v>47</v>
      </c>
    </row>
    <row r="946" spans="1:46" ht="117" x14ac:dyDescent="0.3">
      <c r="A946" s="4" t="s">
        <v>3789</v>
      </c>
      <c r="B946" t="s">
        <v>47</v>
      </c>
      <c r="C946" s="4" t="s">
        <v>115</v>
      </c>
      <c r="D946" s="4" t="s">
        <v>559</v>
      </c>
      <c r="E946" s="4" t="s">
        <v>66</v>
      </c>
      <c r="F946" s="5" t="s">
        <v>3790</v>
      </c>
      <c r="G946" s="5" t="s">
        <v>3791</v>
      </c>
      <c r="H946" t="s">
        <v>47</v>
      </c>
      <c r="I946" s="3">
        <v>40179</v>
      </c>
      <c r="J946" s="5" t="s">
        <v>50</v>
      </c>
      <c r="K946" t="s">
        <v>47</v>
      </c>
      <c r="L946" s="5" t="s">
        <v>60</v>
      </c>
      <c r="M946" s="3">
        <v>40634</v>
      </c>
      <c r="N946" s="5" t="s">
        <v>50</v>
      </c>
      <c r="O946" t="s">
        <v>47</v>
      </c>
      <c r="P946" s="3">
        <v>40179</v>
      </c>
      <c r="Q946" s="5" t="s">
        <v>50</v>
      </c>
      <c r="R946" t="s">
        <v>47</v>
      </c>
      <c r="S946" t="s">
        <v>47</v>
      </c>
      <c r="T946" t="s">
        <v>47</v>
      </c>
      <c r="U946" t="s">
        <v>47</v>
      </c>
      <c r="V946" s="5">
        <v>365</v>
      </c>
      <c r="W946" s="3">
        <v>40179</v>
      </c>
      <c r="X946" s="5" t="s">
        <v>50</v>
      </c>
      <c r="Y946" t="s">
        <v>47</v>
      </c>
      <c r="Z946" s="3">
        <v>40179</v>
      </c>
      <c r="AA946" s="5" t="s">
        <v>50</v>
      </c>
      <c r="AB946" t="s">
        <v>47</v>
      </c>
      <c r="AC946" s="3">
        <v>40179</v>
      </c>
      <c r="AD946" s="5" t="s">
        <v>50</v>
      </c>
      <c r="AE946" t="s">
        <v>47</v>
      </c>
      <c r="AF946" t="s">
        <v>47</v>
      </c>
      <c r="AG946" t="s">
        <v>47</v>
      </c>
      <c r="AH946" t="s">
        <v>47</v>
      </c>
      <c r="AI946" t="s">
        <v>47</v>
      </c>
      <c r="AJ946" t="s">
        <v>47</v>
      </c>
      <c r="AK946" t="s">
        <v>47</v>
      </c>
      <c r="AL946" t="s">
        <v>47</v>
      </c>
      <c r="AM946" t="s">
        <v>47</v>
      </c>
      <c r="AN946" t="s">
        <v>47</v>
      </c>
      <c r="AO946" s="5" t="s">
        <v>60</v>
      </c>
      <c r="AP946" s="4" t="s">
        <v>61</v>
      </c>
      <c r="AQ946" s="4" t="s">
        <v>53</v>
      </c>
      <c r="AR946" s="4" t="s">
        <v>3792</v>
      </c>
      <c r="AS946" s="5">
        <v>1006505</v>
      </c>
      <c r="AT946" t="s">
        <v>47</v>
      </c>
    </row>
    <row r="947" spans="1:46" ht="91" x14ac:dyDescent="0.3">
      <c r="A947" s="4" t="s">
        <v>3793</v>
      </c>
      <c r="B947" t="s">
        <v>47</v>
      </c>
      <c r="C947" s="4" t="s">
        <v>93</v>
      </c>
      <c r="D947" s="4" t="s">
        <v>748</v>
      </c>
      <c r="E947" s="4" t="s">
        <v>49</v>
      </c>
      <c r="F947" s="5" t="s">
        <v>3794</v>
      </c>
      <c r="G947" s="5" t="s">
        <v>3795</v>
      </c>
      <c r="H947" t="s">
        <v>47</v>
      </c>
      <c r="I947" t="s">
        <v>47</v>
      </c>
      <c r="J947" t="s">
        <v>47</v>
      </c>
      <c r="K947" t="s">
        <v>47</v>
      </c>
      <c r="L947" s="5" t="s">
        <v>60</v>
      </c>
      <c r="M947" t="s">
        <v>47</v>
      </c>
      <c r="N947" t="s">
        <v>47</v>
      </c>
      <c r="O947" t="s">
        <v>47</v>
      </c>
      <c r="P947" t="s">
        <v>47</v>
      </c>
      <c r="Q947" t="s">
        <v>47</v>
      </c>
      <c r="R947" t="s">
        <v>47</v>
      </c>
      <c r="S947" t="s">
        <v>47</v>
      </c>
      <c r="T947" t="s">
        <v>47</v>
      </c>
      <c r="U947" t="s">
        <v>47</v>
      </c>
      <c r="V947" t="s">
        <v>47</v>
      </c>
      <c r="W947" s="3">
        <v>36130</v>
      </c>
      <c r="X947" s="5" t="s">
        <v>50</v>
      </c>
      <c r="Y947" t="s">
        <v>47</v>
      </c>
      <c r="Z947" s="3">
        <v>36130</v>
      </c>
      <c r="AA947" s="5" t="s">
        <v>50</v>
      </c>
      <c r="AB947" t="s">
        <v>47</v>
      </c>
      <c r="AC947" s="3">
        <v>38353</v>
      </c>
      <c r="AD947" s="5" t="s">
        <v>50</v>
      </c>
      <c r="AE947" t="s">
        <v>47</v>
      </c>
      <c r="AF947" t="s">
        <v>47</v>
      </c>
      <c r="AG947" t="s">
        <v>47</v>
      </c>
      <c r="AH947" t="s">
        <v>47</v>
      </c>
      <c r="AI947" t="s">
        <v>47</v>
      </c>
      <c r="AJ947" t="s">
        <v>47</v>
      </c>
      <c r="AK947" t="s">
        <v>47</v>
      </c>
      <c r="AL947" t="s">
        <v>47</v>
      </c>
      <c r="AM947" t="s">
        <v>47</v>
      </c>
      <c r="AN947" t="s">
        <v>47</v>
      </c>
      <c r="AO947" s="5" t="s">
        <v>60</v>
      </c>
      <c r="AP947" s="4" t="s">
        <v>61</v>
      </c>
      <c r="AQ947" s="4" t="s">
        <v>53</v>
      </c>
      <c r="AR947" s="4" t="s">
        <v>3796</v>
      </c>
      <c r="AS947" s="5">
        <v>48635</v>
      </c>
      <c r="AT947" t="s">
        <v>47</v>
      </c>
    </row>
    <row r="948" spans="1:46" ht="52" x14ac:dyDescent="0.3">
      <c r="A948" s="4" t="s">
        <v>3797</v>
      </c>
      <c r="B948" t="s">
        <v>47</v>
      </c>
      <c r="C948" s="4" t="s">
        <v>2995</v>
      </c>
      <c r="D948" s="4" t="s">
        <v>3798</v>
      </c>
      <c r="E948" s="4" t="s">
        <v>49</v>
      </c>
      <c r="F948" s="5" t="s">
        <v>3799</v>
      </c>
      <c r="G948" t="s">
        <v>47</v>
      </c>
      <c r="H948" t="s">
        <v>47</v>
      </c>
      <c r="I948" s="3">
        <v>38169</v>
      </c>
      <c r="J948" s="3">
        <v>40087</v>
      </c>
      <c r="K948" t="s">
        <v>47</v>
      </c>
      <c r="L948" s="5" t="s">
        <v>60</v>
      </c>
      <c r="M948" s="3">
        <v>38169</v>
      </c>
      <c r="N948" s="3">
        <v>40087</v>
      </c>
      <c r="O948" t="s">
        <v>47</v>
      </c>
      <c r="P948" s="3">
        <v>38169</v>
      </c>
      <c r="Q948" s="3">
        <v>40087</v>
      </c>
      <c r="R948" t="s">
        <v>47</v>
      </c>
      <c r="S948" t="s">
        <v>47</v>
      </c>
      <c r="T948" t="s">
        <v>47</v>
      </c>
      <c r="U948" t="s">
        <v>47</v>
      </c>
      <c r="V948" t="s">
        <v>47</v>
      </c>
      <c r="W948" s="3">
        <v>38169</v>
      </c>
      <c r="X948" s="5" t="s">
        <v>50</v>
      </c>
      <c r="Y948" t="s">
        <v>47</v>
      </c>
      <c r="Z948" s="3">
        <v>38169</v>
      </c>
      <c r="AA948" s="5" t="s">
        <v>50</v>
      </c>
      <c r="AB948" t="s">
        <v>47</v>
      </c>
      <c r="AC948" s="3">
        <v>38169</v>
      </c>
      <c r="AD948" s="5" t="s">
        <v>50</v>
      </c>
      <c r="AE948" t="s">
        <v>47</v>
      </c>
      <c r="AF948" t="s">
        <v>47</v>
      </c>
      <c r="AG948" t="s">
        <v>47</v>
      </c>
      <c r="AH948" t="s">
        <v>47</v>
      </c>
      <c r="AI948" t="s">
        <v>47</v>
      </c>
      <c r="AJ948" t="s">
        <v>47</v>
      </c>
      <c r="AK948" t="s">
        <v>47</v>
      </c>
      <c r="AL948" t="s">
        <v>47</v>
      </c>
      <c r="AM948" t="s">
        <v>47</v>
      </c>
      <c r="AN948" t="s">
        <v>47</v>
      </c>
      <c r="AO948" s="5" t="s">
        <v>60</v>
      </c>
      <c r="AP948" s="4" t="s">
        <v>61</v>
      </c>
      <c r="AQ948" s="4" t="s">
        <v>53</v>
      </c>
      <c r="AR948" s="4" t="s">
        <v>3800</v>
      </c>
      <c r="AS948" s="5">
        <v>32024</v>
      </c>
      <c r="AT948" t="s">
        <v>47</v>
      </c>
    </row>
    <row r="949" spans="1:46" ht="26" x14ac:dyDescent="0.3">
      <c r="A949" s="4" t="s">
        <v>3801</v>
      </c>
      <c r="B949" t="s">
        <v>47</v>
      </c>
      <c r="C949" s="4" t="s">
        <v>3801</v>
      </c>
      <c r="D949" s="4" t="s">
        <v>3802</v>
      </c>
      <c r="E949" s="4" t="s">
        <v>49</v>
      </c>
      <c r="F949" t="s">
        <v>47</v>
      </c>
      <c r="G949" s="5" t="s">
        <v>3803</v>
      </c>
      <c r="H949" t="s">
        <v>47</v>
      </c>
      <c r="I949" s="3">
        <v>40909</v>
      </c>
      <c r="J949" s="3">
        <v>43586</v>
      </c>
      <c r="K949" t="s">
        <v>47</v>
      </c>
      <c r="L949" s="5" t="s">
        <v>60</v>
      </c>
      <c r="M949" t="s">
        <v>47</v>
      </c>
      <c r="N949" t="s">
        <v>47</v>
      </c>
      <c r="O949" t="s">
        <v>47</v>
      </c>
      <c r="P949" s="3">
        <v>40909</v>
      </c>
      <c r="Q949" s="3">
        <v>43586</v>
      </c>
      <c r="R949" t="s">
        <v>47</v>
      </c>
      <c r="S949" t="s">
        <v>47</v>
      </c>
      <c r="T949" t="s">
        <v>47</v>
      </c>
      <c r="U949" t="s">
        <v>47</v>
      </c>
      <c r="V949" t="s">
        <v>47</v>
      </c>
      <c r="W949" s="3">
        <v>40909</v>
      </c>
      <c r="X949" s="3">
        <v>43586</v>
      </c>
      <c r="Y949" t="s">
        <v>47</v>
      </c>
      <c r="Z949" s="3">
        <v>40909</v>
      </c>
      <c r="AA949" s="3">
        <v>43586</v>
      </c>
      <c r="AB949" t="s">
        <v>47</v>
      </c>
      <c r="AC949" s="3">
        <v>40909</v>
      </c>
      <c r="AD949" s="3">
        <v>43586</v>
      </c>
      <c r="AE949" t="s">
        <v>47</v>
      </c>
      <c r="AF949" t="s">
        <v>47</v>
      </c>
      <c r="AG949" t="s">
        <v>47</v>
      </c>
      <c r="AH949" t="s">
        <v>47</v>
      </c>
      <c r="AI949" t="s">
        <v>47</v>
      </c>
      <c r="AJ949" t="s">
        <v>47</v>
      </c>
      <c r="AK949" t="s">
        <v>47</v>
      </c>
      <c r="AL949" t="s">
        <v>47</v>
      </c>
      <c r="AM949" t="s">
        <v>47</v>
      </c>
      <c r="AN949" t="s">
        <v>47</v>
      </c>
      <c r="AO949" s="5" t="s">
        <v>60</v>
      </c>
      <c r="AP949" s="4" t="s">
        <v>61</v>
      </c>
      <c r="AQ949" s="4" t="s">
        <v>53</v>
      </c>
      <c r="AR949" s="4" t="s">
        <v>54</v>
      </c>
      <c r="AS949" s="5">
        <v>2029209</v>
      </c>
      <c r="AT949" t="s">
        <v>47</v>
      </c>
    </row>
    <row r="950" spans="1:46" ht="26" x14ac:dyDescent="0.3">
      <c r="A950" s="4" t="s">
        <v>3804</v>
      </c>
      <c r="B950" t="s">
        <v>47</v>
      </c>
      <c r="C950" s="4" t="s">
        <v>3288</v>
      </c>
      <c r="D950" s="4" t="s">
        <v>3289</v>
      </c>
      <c r="E950" s="4" t="s">
        <v>66</v>
      </c>
      <c r="F950" s="5" t="s">
        <v>3805</v>
      </c>
      <c r="G950" s="5" t="s">
        <v>3806</v>
      </c>
      <c r="H950" t="s">
        <v>47</v>
      </c>
      <c r="I950" s="3">
        <v>39814</v>
      </c>
      <c r="J950" s="3">
        <v>40544</v>
      </c>
      <c r="K950" t="s">
        <v>47</v>
      </c>
      <c r="L950" s="5" t="s">
        <v>60</v>
      </c>
      <c r="M950" s="3">
        <v>39814</v>
      </c>
      <c r="N950" s="3">
        <v>40544</v>
      </c>
      <c r="O950" t="s">
        <v>47</v>
      </c>
      <c r="P950" s="3">
        <v>39814</v>
      </c>
      <c r="Q950" s="3">
        <v>40544</v>
      </c>
      <c r="R950" t="s">
        <v>47</v>
      </c>
      <c r="S950" t="s">
        <v>47</v>
      </c>
      <c r="T950" t="s">
        <v>47</v>
      </c>
      <c r="U950" t="s">
        <v>47</v>
      </c>
      <c r="V950" t="s">
        <v>47</v>
      </c>
      <c r="W950" s="3">
        <v>39814</v>
      </c>
      <c r="X950" s="3">
        <v>40544</v>
      </c>
      <c r="Y950" t="s">
        <v>47</v>
      </c>
      <c r="Z950" s="3">
        <v>39814</v>
      </c>
      <c r="AA950" s="3">
        <v>40544</v>
      </c>
      <c r="AB950" t="s">
        <v>47</v>
      </c>
      <c r="AC950" s="3">
        <v>39814</v>
      </c>
      <c r="AD950" s="3">
        <v>40544</v>
      </c>
      <c r="AE950" t="s">
        <v>47</v>
      </c>
      <c r="AF950" t="s">
        <v>47</v>
      </c>
      <c r="AG950" t="s">
        <v>47</v>
      </c>
      <c r="AH950" t="s">
        <v>47</v>
      </c>
      <c r="AI950" t="s">
        <v>47</v>
      </c>
      <c r="AJ950" t="s">
        <v>47</v>
      </c>
      <c r="AK950" t="s">
        <v>47</v>
      </c>
      <c r="AL950" t="s">
        <v>47</v>
      </c>
      <c r="AM950" t="s">
        <v>47</v>
      </c>
      <c r="AN950" t="s">
        <v>47</v>
      </c>
      <c r="AO950" s="5" t="s">
        <v>60</v>
      </c>
      <c r="AP950" s="4" t="s">
        <v>61</v>
      </c>
      <c r="AQ950" s="4" t="s">
        <v>53</v>
      </c>
      <c r="AR950" s="4" t="s">
        <v>3807</v>
      </c>
      <c r="AS950" s="5">
        <v>307109</v>
      </c>
      <c r="AT950" t="s">
        <v>47</v>
      </c>
    </row>
    <row r="951" spans="1:46" ht="104" x14ac:dyDescent="0.3">
      <c r="A951" s="4" t="s">
        <v>3808</v>
      </c>
      <c r="B951" t="s">
        <v>47</v>
      </c>
      <c r="C951" s="4" t="s">
        <v>312</v>
      </c>
      <c r="D951" s="4" t="s">
        <v>313</v>
      </c>
      <c r="E951" s="4" t="s">
        <v>49</v>
      </c>
      <c r="F951" s="5" t="s">
        <v>3809</v>
      </c>
      <c r="G951" s="5" t="s">
        <v>3810</v>
      </c>
      <c r="H951" t="s">
        <v>47</v>
      </c>
      <c r="I951" s="3">
        <v>40544</v>
      </c>
      <c r="J951" s="3">
        <v>43174</v>
      </c>
      <c r="K951" t="s">
        <v>47</v>
      </c>
      <c r="L951" s="5" t="s">
        <v>60</v>
      </c>
      <c r="M951" t="s">
        <v>47</v>
      </c>
      <c r="N951" t="s">
        <v>47</v>
      </c>
      <c r="O951" t="s">
        <v>47</v>
      </c>
      <c r="P951" s="3">
        <v>40544</v>
      </c>
      <c r="Q951" s="3">
        <v>43174</v>
      </c>
      <c r="R951" t="s">
        <v>47</v>
      </c>
      <c r="S951" t="s">
        <v>47</v>
      </c>
      <c r="T951" t="s">
        <v>47</v>
      </c>
      <c r="U951" t="s">
        <v>47</v>
      </c>
      <c r="V951" t="s">
        <v>47</v>
      </c>
      <c r="W951" s="3">
        <v>40544</v>
      </c>
      <c r="X951" s="3">
        <v>43174</v>
      </c>
      <c r="Y951" t="s">
        <v>47</v>
      </c>
      <c r="Z951" s="3">
        <v>40544</v>
      </c>
      <c r="AA951" s="3">
        <v>43174</v>
      </c>
      <c r="AB951" t="s">
        <v>47</v>
      </c>
      <c r="AC951" s="3">
        <v>40544</v>
      </c>
      <c r="AD951" s="3">
        <v>43174</v>
      </c>
      <c r="AE951" t="s">
        <v>47</v>
      </c>
      <c r="AF951" t="s">
        <v>47</v>
      </c>
      <c r="AG951" t="s">
        <v>47</v>
      </c>
      <c r="AH951" t="s">
        <v>47</v>
      </c>
      <c r="AI951" t="s">
        <v>47</v>
      </c>
      <c r="AJ951" t="s">
        <v>47</v>
      </c>
      <c r="AK951" t="s">
        <v>47</v>
      </c>
      <c r="AL951" t="s">
        <v>47</v>
      </c>
      <c r="AM951" t="s">
        <v>47</v>
      </c>
      <c r="AN951" t="s">
        <v>47</v>
      </c>
      <c r="AO951" s="5" t="s">
        <v>60</v>
      </c>
      <c r="AP951" s="4" t="s">
        <v>61</v>
      </c>
      <c r="AQ951" s="4" t="s">
        <v>53</v>
      </c>
      <c r="AR951" s="4" t="s">
        <v>3811</v>
      </c>
      <c r="AS951" s="5">
        <v>2026732</v>
      </c>
      <c r="AT951" t="s">
        <v>47</v>
      </c>
    </row>
    <row r="952" spans="1:46" ht="39" x14ac:dyDescent="0.3">
      <c r="A952" s="4" t="s">
        <v>3812</v>
      </c>
      <c r="B952" t="s">
        <v>47</v>
      </c>
      <c r="C952" s="4" t="s">
        <v>115</v>
      </c>
      <c r="D952" s="4" t="s">
        <v>3813</v>
      </c>
      <c r="E952" s="4" t="s">
        <v>66</v>
      </c>
      <c r="F952" s="5" t="s">
        <v>3814</v>
      </c>
      <c r="G952" s="5" t="s">
        <v>3815</v>
      </c>
      <c r="H952" t="s">
        <v>47</v>
      </c>
      <c r="I952" s="3">
        <v>39448</v>
      </c>
      <c r="J952" s="5" t="s">
        <v>50</v>
      </c>
      <c r="K952" t="s">
        <v>47</v>
      </c>
      <c r="L952" s="5" t="s">
        <v>60</v>
      </c>
      <c r="M952" s="3">
        <v>40179</v>
      </c>
      <c r="N952" s="5" t="s">
        <v>50</v>
      </c>
      <c r="O952" t="s">
        <v>47</v>
      </c>
      <c r="P952" s="3">
        <v>39448</v>
      </c>
      <c r="Q952" s="5" t="s">
        <v>50</v>
      </c>
      <c r="R952" t="s">
        <v>47</v>
      </c>
      <c r="S952" t="s">
        <v>47</v>
      </c>
      <c r="T952" t="s">
        <v>47</v>
      </c>
      <c r="U952" t="s">
        <v>47</v>
      </c>
      <c r="V952" s="5">
        <v>365</v>
      </c>
      <c r="W952" s="3">
        <v>39448</v>
      </c>
      <c r="X952" s="5" t="s">
        <v>50</v>
      </c>
      <c r="Y952" t="s">
        <v>47</v>
      </c>
      <c r="Z952" s="3">
        <v>39448</v>
      </c>
      <c r="AA952" s="5" t="s">
        <v>50</v>
      </c>
      <c r="AB952" t="s">
        <v>47</v>
      </c>
      <c r="AC952" s="3">
        <v>39448</v>
      </c>
      <c r="AD952" s="5" t="s">
        <v>50</v>
      </c>
      <c r="AE952" t="s">
        <v>47</v>
      </c>
      <c r="AF952" t="s">
        <v>47</v>
      </c>
      <c r="AG952" t="s">
        <v>47</v>
      </c>
      <c r="AH952" t="s">
        <v>47</v>
      </c>
      <c r="AI952" t="s">
        <v>47</v>
      </c>
      <c r="AJ952" t="s">
        <v>47</v>
      </c>
      <c r="AK952" t="s">
        <v>47</v>
      </c>
      <c r="AL952" t="s">
        <v>47</v>
      </c>
      <c r="AM952" t="s">
        <v>47</v>
      </c>
      <c r="AN952" t="s">
        <v>47</v>
      </c>
      <c r="AO952" s="5" t="s">
        <v>60</v>
      </c>
      <c r="AP952" s="4" t="s">
        <v>61</v>
      </c>
      <c r="AQ952" s="4" t="s">
        <v>53</v>
      </c>
      <c r="AR952" s="4" t="s">
        <v>1830</v>
      </c>
      <c r="AS952" s="5">
        <v>1386337</v>
      </c>
      <c r="AT952" t="s">
        <v>47</v>
      </c>
    </row>
    <row r="953" spans="1:46" ht="39" x14ac:dyDescent="0.3">
      <c r="A953" s="4" t="s">
        <v>3816</v>
      </c>
      <c r="B953" t="s">
        <v>47</v>
      </c>
      <c r="C953" s="4" t="s">
        <v>3817</v>
      </c>
      <c r="D953" s="4" t="s">
        <v>3802</v>
      </c>
      <c r="E953" s="4" t="s">
        <v>49</v>
      </c>
      <c r="F953" s="5" t="s">
        <v>3818</v>
      </c>
      <c r="G953" s="5" t="s">
        <v>3819</v>
      </c>
      <c r="H953" t="s">
        <v>47</v>
      </c>
      <c r="I953" s="3">
        <v>40817</v>
      </c>
      <c r="J953" s="5" t="s">
        <v>50</v>
      </c>
      <c r="K953" t="s">
        <v>47</v>
      </c>
      <c r="L953" s="5" t="s">
        <v>60</v>
      </c>
      <c r="M953" s="3">
        <v>40817</v>
      </c>
      <c r="N953" s="5" t="s">
        <v>50</v>
      </c>
      <c r="O953" t="s">
        <v>47</v>
      </c>
      <c r="P953" s="3">
        <v>40817</v>
      </c>
      <c r="Q953" s="5" t="s">
        <v>50</v>
      </c>
      <c r="R953" t="s">
        <v>47</v>
      </c>
      <c r="S953" t="s">
        <v>47</v>
      </c>
      <c r="T953" t="s">
        <v>47</v>
      </c>
      <c r="U953" t="s">
        <v>47</v>
      </c>
      <c r="V953" t="s">
        <v>47</v>
      </c>
      <c r="W953" s="3">
        <v>40817</v>
      </c>
      <c r="X953" s="5" t="s">
        <v>50</v>
      </c>
      <c r="Y953" t="s">
        <v>47</v>
      </c>
      <c r="Z953" s="3">
        <v>40817</v>
      </c>
      <c r="AA953" s="5" t="s">
        <v>50</v>
      </c>
      <c r="AB953" t="s">
        <v>47</v>
      </c>
      <c r="AC953" s="3">
        <v>40817</v>
      </c>
      <c r="AD953" s="5" t="s">
        <v>50</v>
      </c>
      <c r="AE953" t="s">
        <v>47</v>
      </c>
      <c r="AF953" t="s">
        <v>47</v>
      </c>
      <c r="AG953" t="s">
        <v>47</v>
      </c>
      <c r="AH953" t="s">
        <v>47</v>
      </c>
      <c r="AI953" t="s">
        <v>47</v>
      </c>
      <c r="AJ953" t="s">
        <v>47</v>
      </c>
      <c r="AK953" t="s">
        <v>47</v>
      </c>
      <c r="AL953" t="s">
        <v>47</v>
      </c>
      <c r="AM953" t="s">
        <v>47</v>
      </c>
      <c r="AN953" t="s">
        <v>47</v>
      </c>
      <c r="AO953" s="5" t="s">
        <v>60</v>
      </c>
      <c r="AP953" s="4" t="s">
        <v>61</v>
      </c>
      <c r="AQ953" s="4" t="s">
        <v>53</v>
      </c>
      <c r="AR953" s="4" t="s">
        <v>62</v>
      </c>
      <c r="AS953" s="5">
        <v>2028787</v>
      </c>
      <c r="AT953" t="s">
        <v>47</v>
      </c>
    </row>
    <row r="954" spans="1:46" ht="65" x14ac:dyDescent="0.3">
      <c r="A954" s="4" t="s">
        <v>3820</v>
      </c>
      <c r="B954" t="s">
        <v>47</v>
      </c>
      <c r="C954" s="4" t="s">
        <v>183</v>
      </c>
      <c r="D954" s="4" t="s">
        <v>333</v>
      </c>
      <c r="E954" s="4" t="s">
        <v>49</v>
      </c>
      <c r="F954" s="5" t="s">
        <v>3821</v>
      </c>
      <c r="G954" s="5" t="s">
        <v>3822</v>
      </c>
      <c r="H954" t="s">
        <v>47</v>
      </c>
      <c r="I954" t="s">
        <v>47</v>
      </c>
      <c r="J954" t="s">
        <v>47</v>
      </c>
      <c r="K954" t="s">
        <v>47</v>
      </c>
      <c r="L954" s="5" t="s">
        <v>60</v>
      </c>
      <c r="M954" t="s">
        <v>47</v>
      </c>
      <c r="N954" t="s">
        <v>47</v>
      </c>
      <c r="O954" t="s">
        <v>47</v>
      </c>
      <c r="P954" t="s">
        <v>47</v>
      </c>
      <c r="Q954" t="s">
        <v>47</v>
      </c>
      <c r="R954" t="s">
        <v>47</v>
      </c>
      <c r="S954" t="s">
        <v>47</v>
      </c>
      <c r="T954" t="s">
        <v>47</v>
      </c>
      <c r="U954" t="s">
        <v>47</v>
      </c>
      <c r="V954" t="s">
        <v>47</v>
      </c>
      <c r="W954" s="3">
        <v>32933</v>
      </c>
      <c r="X954" s="5" t="s">
        <v>50</v>
      </c>
      <c r="Y954" t="s">
        <v>47</v>
      </c>
      <c r="Z954" s="3">
        <v>32933</v>
      </c>
      <c r="AA954" s="5" t="s">
        <v>50</v>
      </c>
      <c r="AB954" t="s">
        <v>47</v>
      </c>
      <c r="AC954" s="3">
        <v>33664</v>
      </c>
      <c r="AD954" s="5" t="s">
        <v>50</v>
      </c>
      <c r="AE954" t="s">
        <v>47</v>
      </c>
      <c r="AF954" t="s">
        <v>47</v>
      </c>
      <c r="AG954" t="s">
        <v>47</v>
      </c>
      <c r="AH954" t="s">
        <v>47</v>
      </c>
      <c r="AI954" t="s">
        <v>47</v>
      </c>
      <c r="AJ954" t="s">
        <v>47</v>
      </c>
      <c r="AK954" t="s">
        <v>47</v>
      </c>
      <c r="AL954" t="s">
        <v>47</v>
      </c>
      <c r="AM954" t="s">
        <v>47</v>
      </c>
      <c r="AN954" t="s">
        <v>47</v>
      </c>
      <c r="AO954" s="5" t="s">
        <v>60</v>
      </c>
      <c r="AP954" s="4" t="s">
        <v>61</v>
      </c>
      <c r="AQ954" s="4" t="s">
        <v>53</v>
      </c>
      <c r="AR954" s="4" t="s">
        <v>3823</v>
      </c>
      <c r="AS954" s="5">
        <v>30963</v>
      </c>
      <c r="AT954" t="s">
        <v>47</v>
      </c>
    </row>
    <row r="955" spans="1:46" ht="52" x14ac:dyDescent="0.3">
      <c r="A955" s="4" t="s">
        <v>3824</v>
      </c>
      <c r="B955" t="s">
        <v>47</v>
      </c>
      <c r="C955" s="4" t="s">
        <v>169</v>
      </c>
      <c r="D955" s="4" t="s">
        <v>70</v>
      </c>
      <c r="E955" s="4" t="s">
        <v>66</v>
      </c>
      <c r="F955" s="5" t="s">
        <v>3825</v>
      </c>
      <c r="G955" s="5" t="s">
        <v>3826</v>
      </c>
      <c r="H955" t="s">
        <v>47</v>
      </c>
      <c r="I955" t="s">
        <v>47</v>
      </c>
      <c r="J955" t="s">
        <v>47</v>
      </c>
      <c r="K955" t="s">
        <v>47</v>
      </c>
      <c r="L955" s="5" t="s">
        <v>60</v>
      </c>
      <c r="M955" t="s">
        <v>47</v>
      </c>
      <c r="N955" t="s">
        <v>47</v>
      </c>
      <c r="O955" t="s">
        <v>47</v>
      </c>
      <c r="P955" t="s">
        <v>47</v>
      </c>
      <c r="Q955" t="s">
        <v>47</v>
      </c>
      <c r="R955" t="s">
        <v>47</v>
      </c>
      <c r="S955" t="s">
        <v>47</v>
      </c>
      <c r="T955" t="s">
        <v>47</v>
      </c>
      <c r="U955" t="s">
        <v>47</v>
      </c>
      <c r="V955" t="s">
        <v>47</v>
      </c>
      <c r="W955" s="3">
        <v>40179</v>
      </c>
      <c r="X955" s="5" t="s">
        <v>50</v>
      </c>
      <c r="Y955" t="s">
        <v>47</v>
      </c>
      <c r="Z955" s="3">
        <v>40179</v>
      </c>
      <c r="AA955" s="5" t="s">
        <v>50</v>
      </c>
      <c r="AB955" t="s">
        <v>47</v>
      </c>
      <c r="AC955" s="3">
        <v>40179</v>
      </c>
      <c r="AD955" s="5" t="s">
        <v>50</v>
      </c>
      <c r="AE955" t="s">
        <v>47</v>
      </c>
      <c r="AF955" t="s">
        <v>47</v>
      </c>
      <c r="AG955" t="s">
        <v>47</v>
      </c>
      <c r="AH955" t="s">
        <v>47</v>
      </c>
      <c r="AI955" t="s">
        <v>47</v>
      </c>
      <c r="AJ955" t="s">
        <v>47</v>
      </c>
      <c r="AK955" t="s">
        <v>47</v>
      </c>
      <c r="AL955" t="s">
        <v>47</v>
      </c>
      <c r="AM955" t="s">
        <v>47</v>
      </c>
      <c r="AN955" t="s">
        <v>47</v>
      </c>
      <c r="AO955" s="5" t="s">
        <v>60</v>
      </c>
      <c r="AP955" s="4" t="s">
        <v>61</v>
      </c>
      <c r="AQ955" s="4" t="s">
        <v>53</v>
      </c>
      <c r="AR955" s="4" t="s">
        <v>3827</v>
      </c>
      <c r="AS955" s="5">
        <v>186337</v>
      </c>
      <c r="AT955" t="s">
        <v>47</v>
      </c>
    </row>
    <row r="956" spans="1:46" ht="26" x14ac:dyDescent="0.3">
      <c r="A956" s="4" t="s">
        <v>3828</v>
      </c>
      <c r="B956" t="s">
        <v>47</v>
      </c>
      <c r="C956" s="4" t="s">
        <v>1952</v>
      </c>
      <c r="D956" s="4" t="s">
        <v>319</v>
      </c>
      <c r="E956" s="4" t="s">
        <v>66</v>
      </c>
      <c r="F956" s="5" t="s">
        <v>3829</v>
      </c>
      <c r="G956" s="5" t="s">
        <v>3830</v>
      </c>
      <c r="H956" t="s">
        <v>47</v>
      </c>
      <c r="I956" t="s">
        <v>47</v>
      </c>
      <c r="J956" t="s">
        <v>47</v>
      </c>
      <c r="K956" t="s">
        <v>47</v>
      </c>
      <c r="L956" s="5" t="s">
        <v>60</v>
      </c>
      <c r="M956" t="s">
        <v>47</v>
      </c>
      <c r="N956" t="s">
        <v>47</v>
      </c>
      <c r="O956" t="s">
        <v>47</v>
      </c>
      <c r="P956" t="s">
        <v>47</v>
      </c>
      <c r="Q956" t="s">
        <v>47</v>
      </c>
      <c r="R956" t="s">
        <v>47</v>
      </c>
      <c r="S956" t="s">
        <v>47</v>
      </c>
      <c r="T956" t="s">
        <v>47</v>
      </c>
      <c r="U956" t="s">
        <v>47</v>
      </c>
      <c r="V956" t="s">
        <v>47</v>
      </c>
      <c r="W956" s="3">
        <v>37987</v>
      </c>
      <c r="X956" s="5" t="s">
        <v>50</v>
      </c>
      <c r="Y956" t="s">
        <v>47</v>
      </c>
      <c r="Z956" s="3">
        <v>37987</v>
      </c>
      <c r="AA956" s="5" t="s">
        <v>50</v>
      </c>
      <c r="AB956" t="s">
        <v>47</v>
      </c>
      <c r="AC956" s="3">
        <v>37987</v>
      </c>
      <c r="AD956" s="5" t="s">
        <v>50</v>
      </c>
      <c r="AE956" t="s">
        <v>47</v>
      </c>
      <c r="AF956" t="s">
        <v>47</v>
      </c>
      <c r="AG956" t="s">
        <v>47</v>
      </c>
      <c r="AH956" t="s">
        <v>47</v>
      </c>
      <c r="AI956" t="s">
        <v>47</v>
      </c>
      <c r="AJ956" t="s">
        <v>47</v>
      </c>
      <c r="AK956" t="s">
        <v>47</v>
      </c>
      <c r="AL956" t="s">
        <v>47</v>
      </c>
      <c r="AM956" t="s">
        <v>47</v>
      </c>
      <c r="AN956" t="s">
        <v>47</v>
      </c>
      <c r="AO956" s="5" t="s">
        <v>60</v>
      </c>
      <c r="AP956" s="4" t="s">
        <v>61</v>
      </c>
      <c r="AQ956" s="4" t="s">
        <v>53</v>
      </c>
      <c r="AR956" s="4" t="s">
        <v>737</v>
      </c>
      <c r="AS956" s="5">
        <v>25341</v>
      </c>
      <c r="AT956" t="s">
        <v>47</v>
      </c>
    </row>
    <row r="957" spans="1:46" ht="26" x14ac:dyDescent="0.3">
      <c r="A957" s="4" t="s">
        <v>3831</v>
      </c>
      <c r="B957" t="s">
        <v>47</v>
      </c>
      <c r="C957" s="4" t="s">
        <v>169</v>
      </c>
      <c r="D957" s="4" t="s">
        <v>319</v>
      </c>
      <c r="E957" s="4" t="s">
        <v>66</v>
      </c>
      <c r="F957" s="5" t="s">
        <v>3832</v>
      </c>
      <c r="G957" s="5" t="s">
        <v>3833</v>
      </c>
      <c r="H957" t="s">
        <v>47</v>
      </c>
      <c r="I957" t="s">
        <v>47</v>
      </c>
      <c r="J957" t="s">
        <v>47</v>
      </c>
      <c r="K957" t="s">
        <v>47</v>
      </c>
      <c r="L957" s="5" t="s">
        <v>60</v>
      </c>
      <c r="M957" t="s">
        <v>47</v>
      </c>
      <c r="N957" t="s">
        <v>47</v>
      </c>
      <c r="O957" t="s">
        <v>47</v>
      </c>
      <c r="P957" t="s">
        <v>47</v>
      </c>
      <c r="Q957" t="s">
        <v>47</v>
      </c>
      <c r="R957" t="s">
        <v>47</v>
      </c>
      <c r="S957" t="s">
        <v>47</v>
      </c>
      <c r="T957" t="s">
        <v>47</v>
      </c>
      <c r="U957" t="s">
        <v>47</v>
      </c>
      <c r="V957" t="s">
        <v>47</v>
      </c>
      <c r="W957" s="3">
        <v>37987</v>
      </c>
      <c r="X957" s="5" t="s">
        <v>50</v>
      </c>
      <c r="Y957" t="s">
        <v>47</v>
      </c>
      <c r="Z957" s="3">
        <v>37987</v>
      </c>
      <c r="AA957" s="5" t="s">
        <v>50</v>
      </c>
      <c r="AB957" t="s">
        <v>47</v>
      </c>
      <c r="AC957" s="3">
        <v>37987</v>
      </c>
      <c r="AD957" s="5" t="s">
        <v>50</v>
      </c>
      <c r="AE957" t="s">
        <v>47</v>
      </c>
      <c r="AF957" t="s">
        <v>47</v>
      </c>
      <c r="AG957" t="s">
        <v>47</v>
      </c>
      <c r="AH957" t="s">
        <v>47</v>
      </c>
      <c r="AI957" t="s">
        <v>47</v>
      </c>
      <c r="AJ957" t="s">
        <v>47</v>
      </c>
      <c r="AK957" t="s">
        <v>47</v>
      </c>
      <c r="AL957" t="s">
        <v>47</v>
      </c>
      <c r="AM957" t="s">
        <v>47</v>
      </c>
      <c r="AN957" t="s">
        <v>47</v>
      </c>
      <c r="AO957" s="5" t="s">
        <v>60</v>
      </c>
      <c r="AP957" s="4" t="s">
        <v>61</v>
      </c>
      <c r="AQ957" s="4" t="s">
        <v>53</v>
      </c>
      <c r="AR957" s="4" t="s">
        <v>3834</v>
      </c>
      <c r="AS957" s="5">
        <v>25476</v>
      </c>
      <c r="AT957" t="s">
        <v>47</v>
      </c>
    </row>
    <row r="958" spans="1:46" ht="26" x14ac:dyDescent="0.3">
      <c r="A958" s="4" t="s">
        <v>3835</v>
      </c>
      <c r="B958" t="s">
        <v>47</v>
      </c>
      <c r="C958" s="4" t="s">
        <v>3836</v>
      </c>
      <c r="D958" s="4" t="s">
        <v>3189</v>
      </c>
      <c r="E958" s="4" t="s">
        <v>49</v>
      </c>
      <c r="F958" s="5" t="s">
        <v>3837</v>
      </c>
      <c r="G958" t="s">
        <v>47</v>
      </c>
      <c r="H958" t="s">
        <v>47</v>
      </c>
      <c r="I958" s="3">
        <v>36800</v>
      </c>
      <c r="J958" s="5" t="s">
        <v>50</v>
      </c>
      <c r="K958" t="s">
        <v>47</v>
      </c>
      <c r="L958" s="5" t="s">
        <v>60</v>
      </c>
      <c r="M958" s="3">
        <v>36800</v>
      </c>
      <c r="N958" s="5" t="s">
        <v>50</v>
      </c>
      <c r="O958" t="s">
        <v>47</v>
      </c>
      <c r="P958" s="3">
        <v>36800</v>
      </c>
      <c r="Q958" s="5" t="s">
        <v>50</v>
      </c>
      <c r="R958" t="s">
        <v>47</v>
      </c>
      <c r="S958" t="s">
        <v>47</v>
      </c>
      <c r="T958" t="s">
        <v>47</v>
      </c>
      <c r="U958" t="s">
        <v>47</v>
      </c>
      <c r="V958" t="s">
        <v>47</v>
      </c>
      <c r="W958" s="3">
        <v>29860</v>
      </c>
      <c r="X958" s="5" t="s">
        <v>50</v>
      </c>
      <c r="Y958" t="s">
        <v>47</v>
      </c>
      <c r="Z958" s="3">
        <v>29860</v>
      </c>
      <c r="AA958" s="5" t="s">
        <v>50</v>
      </c>
      <c r="AB958" t="s">
        <v>47</v>
      </c>
      <c r="AC958" s="3">
        <v>35431</v>
      </c>
      <c r="AD958" s="5" t="s">
        <v>50</v>
      </c>
      <c r="AE958" t="s">
        <v>47</v>
      </c>
      <c r="AF958" t="s">
        <v>47</v>
      </c>
      <c r="AG958" t="s">
        <v>47</v>
      </c>
      <c r="AH958" t="s">
        <v>47</v>
      </c>
      <c r="AI958" t="s">
        <v>47</v>
      </c>
      <c r="AJ958" t="s">
        <v>47</v>
      </c>
      <c r="AK958" t="s">
        <v>47</v>
      </c>
      <c r="AL958" t="s">
        <v>47</v>
      </c>
      <c r="AM958" t="s">
        <v>47</v>
      </c>
      <c r="AN958" t="s">
        <v>47</v>
      </c>
      <c r="AO958" s="5" t="s">
        <v>51</v>
      </c>
      <c r="AP958" s="4" t="s">
        <v>61</v>
      </c>
      <c r="AQ958" s="4" t="s">
        <v>53</v>
      </c>
      <c r="AR958" s="4" t="s">
        <v>1702</v>
      </c>
      <c r="AS958" s="5">
        <v>47861</v>
      </c>
      <c r="AT958" t="s">
        <v>47</v>
      </c>
    </row>
    <row r="959" spans="1:46" ht="39" x14ac:dyDescent="0.3">
      <c r="A959" s="4" t="s">
        <v>3838</v>
      </c>
      <c r="B959" t="s">
        <v>47</v>
      </c>
      <c r="C959" s="4" t="s">
        <v>64</v>
      </c>
      <c r="D959" s="4" t="s">
        <v>3839</v>
      </c>
      <c r="E959" s="4" t="s">
        <v>66</v>
      </c>
      <c r="F959" s="5" t="s">
        <v>3840</v>
      </c>
      <c r="G959" s="5" t="s">
        <v>3841</v>
      </c>
      <c r="H959" t="s">
        <v>47</v>
      </c>
      <c r="I959" s="3">
        <v>35796</v>
      </c>
      <c r="J959" s="3">
        <v>39173</v>
      </c>
      <c r="K959" t="s">
        <v>47</v>
      </c>
      <c r="L959" s="5" t="s">
        <v>60</v>
      </c>
      <c r="M959" s="3">
        <v>37257</v>
      </c>
      <c r="N959" s="3">
        <v>39173</v>
      </c>
      <c r="O959" t="s">
        <v>47</v>
      </c>
      <c r="P959" s="3">
        <v>35796</v>
      </c>
      <c r="Q959" s="3">
        <v>39173</v>
      </c>
      <c r="R959" t="s">
        <v>47</v>
      </c>
      <c r="S959" t="s">
        <v>47</v>
      </c>
      <c r="T959" t="s">
        <v>47</v>
      </c>
      <c r="U959" t="s">
        <v>47</v>
      </c>
      <c r="V959" t="s">
        <v>47</v>
      </c>
      <c r="W959" s="3">
        <v>34394</v>
      </c>
      <c r="X959" s="5" t="s">
        <v>50</v>
      </c>
      <c r="Y959" t="s">
        <v>47</v>
      </c>
      <c r="Z959" s="3">
        <v>34394</v>
      </c>
      <c r="AA959" s="5" t="s">
        <v>50</v>
      </c>
      <c r="AB959" t="s">
        <v>47</v>
      </c>
      <c r="AC959" s="3">
        <v>34394</v>
      </c>
      <c r="AD959" s="5" t="s">
        <v>50</v>
      </c>
      <c r="AE959" t="s">
        <v>47</v>
      </c>
      <c r="AF959" t="s">
        <v>47</v>
      </c>
      <c r="AG959" t="s">
        <v>47</v>
      </c>
      <c r="AH959" t="s">
        <v>47</v>
      </c>
      <c r="AI959" t="s">
        <v>47</v>
      </c>
      <c r="AJ959" t="s">
        <v>47</v>
      </c>
      <c r="AK959" t="s">
        <v>47</v>
      </c>
      <c r="AL959" t="s">
        <v>47</v>
      </c>
      <c r="AM959" t="s">
        <v>47</v>
      </c>
      <c r="AN959" t="s">
        <v>47</v>
      </c>
      <c r="AO959" s="5" t="s">
        <v>60</v>
      </c>
      <c r="AP959" s="4" t="s">
        <v>61</v>
      </c>
      <c r="AQ959" s="4" t="s">
        <v>53</v>
      </c>
      <c r="AR959" s="4" t="s">
        <v>147</v>
      </c>
      <c r="AS959" s="5">
        <v>27332</v>
      </c>
      <c r="AT959" t="s">
        <v>47</v>
      </c>
    </row>
    <row r="960" spans="1:46" ht="104" x14ac:dyDescent="0.3">
      <c r="A960" s="4" t="s">
        <v>3842</v>
      </c>
      <c r="B960" t="s">
        <v>47</v>
      </c>
      <c r="C960" s="4" t="s">
        <v>183</v>
      </c>
      <c r="D960" s="4" t="s">
        <v>597</v>
      </c>
      <c r="E960" s="4" t="s">
        <v>49</v>
      </c>
      <c r="F960" s="5" t="s">
        <v>3843</v>
      </c>
      <c r="G960" s="5" t="s">
        <v>3844</v>
      </c>
      <c r="H960" t="s">
        <v>47</v>
      </c>
      <c r="I960" s="3">
        <v>35551</v>
      </c>
      <c r="J960" s="3">
        <v>40299</v>
      </c>
      <c r="K960" t="s">
        <v>47</v>
      </c>
      <c r="L960" s="5" t="s">
        <v>60</v>
      </c>
      <c r="M960" s="3">
        <v>35551</v>
      </c>
      <c r="N960" s="3">
        <v>39753</v>
      </c>
      <c r="O960" t="s">
        <v>47</v>
      </c>
      <c r="P960" s="3">
        <v>35551</v>
      </c>
      <c r="Q960" s="3">
        <v>40299</v>
      </c>
      <c r="R960" t="s">
        <v>47</v>
      </c>
      <c r="S960" t="s">
        <v>47</v>
      </c>
      <c r="T960" t="s">
        <v>47</v>
      </c>
      <c r="U960" t="s">
        <v>47</v>
      </c>
      <c r="V960" t="s">
        <v>47</v>
      </c>
      <c r="W960" s="3">
        <v>27791</v>
      </c>
      <c r="X960" s="5" t="s">
        <v>50</v>
      </c>
      <c r="Y960" t="s">
        <v>47</v>
      </c>
      <c r="Z960" s="3">
        <v>27791</v>
      </c>
      <c r="AA960" s="5" t="s">
        <v>50</v>
      </c>
      <c r="AB960" t="s">
        <v>47</v>
      </c>
      <c r="AC960" s="3">
        <v>35551</v>
      </c>
      <c r="AD960" s="5" t="s">
        <v>50</v>
      </c>
      <c r="AE960" t="s">
        <v>47</v>
      </c>
      <c r="AF960" t="s">
        <v>47</v>
      </c>
      <c r="AG960" t="s">
        <v>47</v>
      </c>
      <c r="AH960" t="s">
        <v>47</v>
      </c>
      <c r="AI960" t="s">
        <v>47</v>
      </c>
      <c r="AJ960" t="s">
        <v>47</v>
      </c>
      <c r="AK960" t="s">
        <v>47</v>
      </c>
      <c r="AL960" t="s">
        <v>47</v>
      </c>
      <c r="AM960" t="s">
        <v>47</v>
      </c>
      <c r="AN960" t="s">
        <v>47</v>
      </c>
      <c r="AO960" s="5" t="s">
        <v>60</v>
      </c>
      <c r="AP960" s="4" t="s">
        <v>61</v>
      </c>
      <c r="AQ960" s="4" t="s">
        <v>53</v>
      </c>
      <c r="AR960" s="4" t="s">
        <v>3845</v>
      </c>
      <c r="AS960" s="5">
        <v>36290</v>
      </c>
      <c r="AT960" t="s">
        <v>47</v>
      </c>
    </row>
    <row r="961" spans="1:46" ht="26" x14ac:dyDescent="0.3">
      <c r="A961" s="4" t="s">
        <v>3846</v>
      </c>
      <c r="B961" t="s">
        <v>47</v>
      </c>
      <c r="C961" s="4" t="s">
        <v>3847</v>
      </c>
      <c r="D961" s="4" t="s">
        <v>3101</v>
      </c>
      <c r="E961" s="4" t="s">
        <v>49</v>
      </c>
      <c r="F961" s="5" t="s">
        <v>3848</v>
      </c>
      <c r="G961" s="5" t="s">
        <v>3849</v>
      </c>
      <c r="H961" t="s">
        <v>47</v>
      </c>
      <c r="I961" s="3">
        <v>37257</v>
      </c>
      <c r="J961" s="3">
        <v>39264</v>
      </c>
      <c r="K961" t="s">
        <v>47</v>
      </c>
      <c r="L961" s="5" t="s">
        <v>60</v>
      </c>
      <c r="M961" s="3">
        <v>37257</v>
      </c>
      <c r="N961" s="3">
        <v>39264</v>
      </c>
      <c r="O961" t="s">
        <v>47</v>
      </c>
      <c r="P961" s="3">
        <v>37257</v>
      </c>
      <c r="Q961" s="3">
        <v>39264</v>
      </c>
      <c r="R961" t="s">
        <v>47</v>
      </c>
      <c r="S961" t="s">
        <v>47</v>
      </c>
      <c r="T961" t="s">
        <v>47</v>
      </c>
      <c r="U961" t="s">
        <v>47</v>
      </c>
      <c r="V961" t="s">
        <v>47</v>
      </c>
      <c r="W961" s="3">
        <v>37257</v>
      </c>
      <c r="X961" s="3">
        <v>39264</v>
      </c>
      <c r="Y961" t="s">
        <v>47</v>
      </c>
      <c r="Z961" s="3">
        <v>37257</v>
      </c>
      <c r="AA961" s="3">
        <v>39264</v>
      </c>
      <c r="AB961" t="s">
        <v>47</v>
      </c>
      <c r="AC961" t="s">
        <v>47</v>
      </c>
      <c r="AD961" t="s">
        <v>47</v>
      </c>
      <c r="AE961" t="s">
        <v>47</v>
      </c>
      <c r="AF961" t="s">
        <v>47</v>
      </c>
      <c r="AG961" t="s">
        <v>47</v>
      </c>
      <c r="AH961" t="s">
        <v>47</v>
      </c>
      <c r="AI961" t="s">
        <v>47</v>
      </c>
      <c r="AJ961" t="s">
        <v>47</v>
      </c>
      <c r="AK961" t="s">
        <v>47</v>
      </c>
      <c r="AL961" t="s">
        <v>47</v>
      </c>
      <c r="AM961" t="s">
        <v>47</v>
      </c>
      <c r="AN961" t="s">
        <v>47</v>
      </c>
      <c r="AO961" s="5" t="s">
        <v>60</v>
      </c>
      <c r="AP961" s="4" t="s">
        <v>61</v>
      </c>
      <c r="AQ961" s="4" t="s">
        <v>53</v>
      </c>
      <c r="AR961" s="4" t="s">
        <v>1702</v>
      </c>
      <c r="AS961" s="5">
        <v>44422</v>
      </c>
      <c r="AT961" t="s">
        <v>47</v>
      </c>
    </row>
    <row r="962" spans="1:46" ht="78" x14ac:dyDescent="0.3">
      <c r="A962" s="4" t="s">
        <v>3850</v>
      </c>
      <c r="B962" t="s">
        <v>47</v>
      </c>
      <c r="C962" s="4" t="s">
        <v>169</v>
      </c>
      <c r="D962" s="4" t="s">
        <v>1241</v>
      </c>
      <c r="E962" s="4" t="s">
        <v>66</v>
      </c>
      <c r="F962" s="5" t="s">
        <v>3851</v>
      </c>
      <c r="G962" s="5" t="s">
        <v>3852</v>
      </c>
      <c r="H962" t="s">
        <v>47</v>
      </c>
      <c r="I962" s="3">
        <v>34335</v>
      </c>
      <c r="J962" s="3">
        <v>44124</v>
      </c>
      <c r="K962" s="5" t="s">
        <v>946</v>
      </c>
      <c r="L962" s="5" t="s">
        <v>60</v>
      </c>
      <c r="M962" s="3">
        <v>34335</v>
      </c>
      <c r="N962" s="3">
        <v>44124</v>
      </c>
      <c r="O962" s="5" t="s">
        <v>946</v>
      </c>
      <c r="P962" s="3">
        <v>35065</v>
      </c>
      <c r="Q962" s="3">
        <v>44124</v>
      </c>
      <c r="R962" s="5" t="s">
        <v>946</v>
      </c>
      <c r="S962" t="s">
        <v>47</v>
      </c>
      <c r="T962" t="s">
        <v>47</v>
      </c>
      <c r="U962" t="s">
        <v>47</v>
      </c>
      <c r="V962" t="s">
        <v>47</v>
      </c>
      <c r="W962" s="3">
        <v>32509</v>
      </c>
      <c r="X962" s="5" t="s">
        <v>50</v>
      </c>
      <c r="Y962" s="5" t="s">
        <v>946</v>
      </c>
      <c r="Z962" s="3">
        <v>32509</v>
      </c>
      <c r="AA962" s="5" t="s">
        <v>50</v>
      </c>
      <c r="AB962" s="5" t="s">
        <v>946</v>
      </c>
      <c r="AC962" s="3">
        <v>32509</v>
      </c>
      <c r="AD962" s="5" t="s">
        <v>50</v>
      </c>
      <c r="AE962" s="5" t="s">
        <v>946</v>
      </c>
      <c r="AF962" t="s">
        <v>47</v>
      </c>
      <c r="AG962" t="s">
        <v>47</v>
      </c>
      <c r="AH962" t="s">
        <v>47</v>
      </c>
      <c r="AI962" t="s">
        <v>47</v>
      </c>
      <c r="AJ962" t="s">
        <v>47</v>
      </c>
      <c r="AK962" t="s">
        <v>47</v>
      </c>
      <c r="AL962" t="s">
        <v>47</v>
      </c>
      <c r="AM962" t="s">
        <v>47</v>
      </c>
      <c r="AN962" t="s">
        <v>47</v>
      </c>
      <c r="AO962" s="5" t="s">
        <v>60</v>
      </c>
      <c r="AP962" s="4" t="s">
        <v>61</v>
      </c>
      <c r="AQ962" s="4" t="s">
        <v>53</v>
      </c>
      <c r="AR962" s="4" t="s">
        <v>3853</v>
      </c>
      <c r="AS962" s="5">
        <v>34631</v>
      </c>
      <c r="AT962" t="s">
        <v>47</v>
      </c>
    </row>
    <row r="963" spans="1:46" ht="26" x14ac:dyDescent="0.3">
      <c r="A963" s="4" t="s">
        <v>3854</v>
      </c>
      <c r="B963" t="s">
        <v>47</v>
      </c>
      <c r="C963" s="4" t="s">
        <v>3855</v>
      </c>
      <c r="D963" s="4" t="s">
        <v>873</v>
      </c>
      <c r="E963" s="4" t="s">
        <v>874</v>
      </c>
      <c r="F963" s="5" t="s">
        <v>3856</v>
      </c>
      <c r="G963" t="s">
        <v>47</v>
      </c>
      <c r="H963" t="s">
        <v>47</v>
      </c>
      <c r="I963" s="3">
        <v>42156</v>
      </c>
      <c r="J963" s="5" t="s">
        <v>50</v>
      </c>
      <c r="K963" t="s">
        <v>47</v>
      </c>
      <c r="L963" s="5" t="s">
        <v>60</v>
      </c>
      <c r="M963" t="s">
        <v>47</v>
      </c>
      <c r="N963" t="s">
        <v>47</v>
      </c>
      <c r="O963" t="s">
        <v>47</v>
      </c>
      <c r="P963" s="3">
        <v>42156</v>
      </c>
      <c r="Q963" s="5" t="s">
        <v>50</v>
      </c>
      <c r="R963" t="s">
        <v>47</v>
      </c>
      <c r="S963" t="s">
        <v>47</v>
      </c>
      <c r="T963" t="s">
        <v>47</v>
      </c>
      <c r="U963" t="s">
        <v>47</v>
      </c>
      <c r="V963" t="s">
        <v>47</v>
      </c>
      <c r="W963" s="3">
        <v>42156</v>
      </c>
      <c r="X963" s="5" t="s">
        <v>50</v>
      </c>
      <c r="Y963" t="s">
        <v>47</v>
      </c>
      <c r="Z963" s="3">
        <v>42156</v>
      </c>
      <c r="AA963" s="5" t="s">
        <v>50</v>
      </c>
      <c r="AB963" t="s">
        <v>47</v>
      </c>
      <c r="AC963" s="3">
        <v>42156</v>
      </c>
      <c r="AD963" s="5" t="s">
        <v>50</v>
      </c>
      <c r="AE963" t="s">
        <v>47</v>
      </c>
      <c r="AF963" t="s">
        <v>47</v>
      </c>
      <c r="AG963" t="s">
        <v>47</v>
      </c>
      <c r="AH963" t="s">
        <v>47</v>
      </c>
      <c r="AI963" t="s">
        <v>47</v>
      </c>
      <c r="AJ963" t="s">
        <v>47</v>
      </c>
      <c r="AK963" t="s">
        <v>47</v>
      </c>
      <c r="AL963" t="s">
        <v>47</v>
      </c>
      <c r="AM963" t="s">
        <v>47</v>
      </c>
      <c r="AN963" t="s">
        <v>47</v>
      </c>
      <c r="AO963" s="5" t="s">
        <v>60</v>
      </c>
      <c r="AP963" s="4" t="s">
        <v>61</v>
      </c>
      <c r="AQ963" s="4" t="s">
        <v>876</v>
      </c>
      <c r="AR963" s="4" t="s">
        <v>54</v>
      </c>
      <c r="AS963" s="5">
        <v>2043101</v>
      </c>
      <c r="AT963" t="s">
        <v>47</v>
      </c>
    </row>
    <row r="964" spans="1:46" ht="52" x14ac:dyDescent="0.3">
      <c r="A964" s="4" t="s">
        <v>3857</v>
      </c>
      <c r="B964" t="s">
        <v>47</v>
      </c>
      <c r="C964" s="4" t="s">
        <v>3858</v>
      </c>
      <c r="D964" s="4" t="s">
        <v>3859</v>
      </c>
      <c r="E964" s="4" t="s">
        <v>151</v>
      </c>
      <c r="F964" s="5" t="s">
        <v>3860</v>
      </c>
      <c r="G964" t="s">
        <v>47</v>
      </c>
      <c r="H964" t="s">
        <v>47</v>
      </c>
      <c r="I964" s="3">
        <v>40179</v>
      </c>
      <c r="J964" s="3">
        <v>43466</v>
      </c>
      <c r="K964" t="s">
        <v>47</v>
      </c>
      <c r="L964" s="5" t="s">
        <v>60</v>
      </c>
      <c r="M964" s="3">
        <v>40179</v>
      </c>
      <c r="N964" s="3">
        <v>43466</v>
      </c>
      <c r="O964" t="s">
        <v>47</v>
      </c>
      <c r="P964" s="3">
        <v>40179</v>
      </c>
      <c r="Q964" s="3">
        <v>43466</v>
      </c>
      <c r="R964" t="s">
        <v>47</v>
      </c>
      <c r="S964" t="s">
        <v>47</v>
      </c>
      <c r="T964" t="s">
        <v>47</v>
      </c>
      <c r="U964" t="s">
        <v>47</v>
      </c>
      <c r="V964" t="s">
        <v>47</v>
      </c>
      <c r="W964" s="3">
        <v>40179</v>
      </c>
      <c r="X964" s="3">
        <v>43466</v>
      </c>
      <c r="Y964" t="s">
        <v>47</v>
      </c>
      <c r="Z964" s="3">
        <v>40179</v>
      </c>
      <c r="AA964" s="3">
        <v>43466</v>
      </c>
      <c r="AB964" t="s">
        <v>47</v>
      </c>
      <c r="AC964" s="3">
        <v>40179</v>
      </c>
      <c r="AD964" s="3">
        <v>43466</v>
      </c>
      <c r="AE964" t="s">
        <v>47</v>
      </c>
      <c r="AF964" t="s">
        <v>47</v>
      </c>
      <c r="AG964" t="s">
        <v>47</v>
      </c>
      <c r="AH964" t="s">
        <v>47</v>
      </c>
      <c r="AI964" t="s">
        <v>47</v>
      </c>
      <c r="AJ964" t="s">
        <v>47</v>
      </c>
      <c r="AK964" t="s">
        <v>47</v>
      </c>
      <c r="AL964" t="s">
        <v>47</v>
      </c>
      <c r="AM964" t="s">
        <v>47</v>
      </c>
      <c r="AN964" t="s">
        <v>47</v>
      </c>
      <c r="AO964" s="5" t="s">
        <v>60</v>
      </c>
      <c r="AP964" s="4" t="s">
        <v>61</v>
      </c>
      <c r="AQ964" s="4" t="s">
        <v>3861</v>
      </c>
      <c r="AR964" s="4" t="s">
        <v>737</v>
      </c>
      <c r="AS964" s="5">
        <v>756357</v>
      </c>
      <c r="AT964" t="s">
        <v>47</v>
      </c>
    </row>
    <row r="965" spans="1:46" ht="91" x14ac:dyDescent="0.3">
      <c r="A965" s="4" t="s">
        <v>3862</v>
      </c>
      <c r="B965" t="s">
        <v>47</v>
      </c>
      <c r="C965" s="4" t="s">
        <v>183</v>
      </c>
      <c r="D965" s="4" t="s">
        <v>333</v>
      </c>
      <c r="E965" s="4" t="s">
        <v>49</v>
      </c>
      <c r="F965" s="5" t="s">
        <v>3863</v>
      </c>
      <c r="G965" s="5" t="s">
        <v>3864</v>
      </c>
      <c r="H965" t="s">
        <v>47</v>
      </c>
      <c r="I965" t="s">
        <v>47</v>
      </c>
      <c r="J965" t="s">
        <v>47</v>
      </c>
      <c r="K965" t="s">
        <v>47</v>
      </c>
      <c r="L965" s="5" t="s">
        <v>60</v>
      </c>
      <c r="M965" t="s">
        <v>47</v>
      </c>
      <c r="N965" t="s">
        <v>47</v>
      </c>
      <c r="O965" t="s">
        <v>47</v>
      </c>
      <c r="P965" t="s">
        <v>47</v>
      </c>
      <c r="Q965" t="s">
        <v>47</v>
      </c>
      <c r="R965" t="s">
        <v>47</v>
      </c>
      <c r="S965" t="s">
        <v>47</v>
      </c>
      <c r="T965" t="s">
        <v>47</v>
      </c>
      <c r="U965" t="s">
        <v>47</v>
      </c>
      <c r="V965" t="s">
        <v>47</v>
      </c>
      <c r="W965" s="3">
        <v>35855</v>
      </c>
      <c r="X965" s="5" t="s">
        <v>50</v>
      </c>
      <c r="Y965" t="s">
        <v>47</v>
      </c>
      <c r="Z965" s="3">
        <v>35855</v>
      </c>
      <c r="AA965" s="5" t="s">
        <v>50</v>
      </c>
      <c r="AB965" t="s">
        <v>47</v>
      </c>
      <c r="AC965" s="3">
        <v>35855</v>
      </c>
      <c r="AD965" s="5" t="s">
        <v>50</v>
      </c>
      <c r="AE965" t="s">
        <v>47</v>
      </c>
      <c r="AF965" t="s">
        <v>47</v>
      </c>
      <c r="AG965" t="s">
        <v>47</v>
      </c>
      <c r="AH965" t="s">
        <v>47</v>
      </c>
      <c r="AI965" t="s">
        <v>47</v>
      </c>
      <c r="AJ965" t="s">
        <v>47</v>
      </c>
      <c r="AK965" t="s">
        <v>47</v>
      </c>
      <c r="AL965" t="s">
        <v>47</v>
      </c>
      <c r="AM965" t="s">
        <v>47</v>
      </c>
      <c r="AN965" t="s">
        <v>47</v>
      </c>
      <c r="AO965" s="5" t="s">
        <v>60</v>
      </c>
      <c r="AP965" s="4" t="s">
        <v>61</v>
      </c>
      <c r="AQ965" s="4" t="s">
        <v>53</v>
      </c>
      <c r="AR965" s="4" t="s">
        <v>730</v>
      </c>
      <c r="AS965" s="5">
        <v>6034</v>
      </c>
      <c r="AT965" t="s">
        <v>47</v>
      </c>
    </row>
    <row r="966" spans="1:46" ht="78" x14ac:dyDescent="0.3">
      <c r="A966" s="4" t="s">
        <v>3865</v>
      </c>
      <c r="B966" t="s">
        <v>47</v>
      </c>
      <c r="C966" s="4" t="s">
        <v>2131</v>
      </c>
      <c r="D966" s="4" t="s">
        <v>2132</v>
      </c>
      <c r="E966" s="4" t="s">
        <v>66</v>
      </c>
      <c r="F966" s="5" t="s">
        <v>3866</v>
      </c>
      <c r="G966" s="5" t="s">
        <v>3867</v>
      </c>
      <c r="H966" t="s">
        <v>47</v>
      </c>
      <c r="I966" t="s">
        <v>47</v>
      </c>
      <c r="J966" t="s">
        <v>47</v>
      </c>
      <c r="K966" t="s">
        <v>47</v>
      </c>
      <c r="L966" s="5" t="s">
        <v>60</v>
      </c>
      <c r="M966" t="s">
        <v>47</v>
      </c>
      <c r="N966" t="s">
        <v>47</v>
      </c>
      <c r="O966" t="s">
        <v>47</v>
      </c>
      <c r="P966" t="s">
        <v>47</v>
      </c>
      <c r="Q966" t="s">
        <v>47</v>
      </c>
      <c r="R966" t="s">
        <v>47</v>
      </c>
      <c r="S966" t="s">
        <v>47</v>
      </c>
      <c r="T966" t="s">
        <v>47</v>
      </c>
      <c r="U966" t="s">
        <v>47</v>
      </c>
      <c r="V966" t="s">
        <v>47</v>
      </c>
      <c r="W966" s="3">
        <v>39203</v>
      </c>
      <c r="X966" s="5" t="s">
        <v>50</v>
      </c>
      <c r="Y966" t="s">
        <v>47</v>
      </c>
      <c r="Z966" s="3">
        <v>39203</v>
      </c>
      <c r="AA966" s="5" t="s">
        <v>50</v>
      </c>
      <c r="AB966" t="s">
        <v>47</v>
      </c>
      <c r="AC966" s="3">
        <v>39203</v>
      </c>
      <c r="AD966" s="5" t="s">
        <v>50</v>
      </c>
      <c r="AE966" t="s">
        <v>47</v>
      </c>
      <c r="AF966" t="s">
        <v>47</v>
      </c>
      <c r="AG966" t="s">
        <v>47</v>
      </c>
      <c r="AH966" t="s">
        <v>47</v>
      </c>
      <c r="AI966" t="s">
        <v>47</v>
      </c>
      <c r="AJ966" t="s">
        <v>47</v>
      </c>
      <c r="AK966" t="s">
        <v>47</v>
      </c>
      <c r="AL966" t="s">
        <v>47</v>
      </c>
      <c r="AM966" t="s">
        <v>47</v>
      </c>
      <c r="AN966" t="s">
        <v>47</v>
      </c>
      <c r="AO966" s="5" t="s">
        <v>60</v>
      </c>
      <c r="AP966" s="4" t="s">
        <v>61</v>
      </c>
      <c r="AQ966" s="4" t="s">
        <v>53</v>
      </c>
      <c r="AR966" s="4" t="s">
        <v>436</v>
      </c>
      <c r="AS966" s="5">
        <v>76074</v>
      </c>
      <c r="AT966" t="s">
        <v>47</v>
      </c>
    </row>
    <row r="967" spans="1:46" ht="39" x14ac:dyDescent="0.3">
      <c r="A967" s="4" t="s">
        <v>3868</v>
      </c>
      <c r="B967" t="s">
        <v>47</v>
      </c>
      <c r="C967" s="4" t="s">
        <v>115</v>
      </c>
      <c r="D967" s="4" t="s">
        <v>1019</v>
      </c>
      <c r="E967" s="4" t="s">
        <v>66</v>
      </c>
      <c r="F967" s="5" t="s">
        <v>3869</v>
      </c>
      <c r="G967" s="5" t="s">
        <v>3870</v>
      </c>
      <c r="H967" t="s">
        <v>47</v>
      </c>
      <c r="I967" s="3">
        <v>33604</v>
      </c>
      <c r="J967" s="5" t="s">
        <v>50</v>
      </c>
      <c r="K967" t="s">
        <v>47</v>
      </c>
      <c r="L967" s="5" t="s">
        <v>60</v>
      </c>
      <c r="M967" s="3">
        <v>33604</v>
      </c>
      <c r="N967" s="5" t="s">
        <v>50</v>
      </c>
      <c r="O967" t="s">
        <v>47</v>
      </c>
      <c r="P967" s="3">
        <v>36526</v>
      </c>
      <c r="Q967" s="5" t="s">
        <v>50</v>
      </c>
      <c r="R967" t="s">
        <v>47</v>
      </c>
      <c r="S967" t="s">
        <v>47</v>
      </c>
      <c r="T967" t="s">
        <v>47</v>
      </c>
      <c r="U967" t="s">
        <v>47</v>
      </c>
      <c r="V967" s="5">
        <v>365</v>
      </c>
      <c r="W967" s="3">
        <v>30317</v>
      </c>
      <c r="X967" s="5" t="s">
        <v>50</v>
      </c>
      <c r="Y967" t="s">
        <v>47</v>
      </c>
      <c r="Z967" s="3">
        <v>30317</v>
      </c>
      <c r="AA967" s="5" t="s">
        <v>50</v>
      </c>
      <c r="AB967" t="s">
        <v>47</v>
      </c>
      <c r="AC967" s="3">
        <v>30317</v>
      </c>
      <c r="AD967" s="5" t="s">
        <v>50</v>
      </c>
      <c r="AE967" t="s">
        <v>47</v>
      </c>
      <c r="AF967" t="s">
        <v>47</v>
      </c>
      <c r="AG967" t="s">
        <v>47</v>
      </c>
      <c r="AH967" t="s">
        <v>47</v>
      </c>
      <c r="AI967" t="s">
        <v>47</v>
      </c>
      <c r="AJ967" t="s">
        <v>47</v>
      </c>
      <c r="AK967" t="s">
        <v>47</v>
      </c>
      <c r="AL967" t="s">
        <v>47</v>
      </c>
      <c r="AM967" t="s">
        <v>47</v>
      </c>
      <c r="AN967" t="s">
        <v>47</v>
      </c>
      <c r="AO967" s="5" t="s">
        <v>60</v>
      </c>
      <c r="AP967" s="4" t="s">
        <v>61</v>
      </c>
      <c r="AQ967" s="4" t="s">
        <v>53</v>
      </c>
      <c r="AR967" s="4" t="s">
        <v>147</v>
      </c>
      <c r="AS967" s="5">
        <v>37225</v>
      </c>
      <c r="AT967" t="s">
        <v>47</v>
      </c>
    </row>
    <row r="968" spans="1:46" ht="65" x14ac:dyDescent="0.3">
      <c r="A968" s="4" t="s">
        <v>3871</v>
      </c>
      <c r="B968" t="s">
        <v>47</v>
      </c>
      <c r="C968" s="4" t="s">
        <v>183</v>
      </c>
      <c r="D968" s="4" t="s">
        <v>333</v>
      </c>
      <c r="E968" s="4" t="s">
        <v>49</v>
      </c>
      <c r="F968" s="5" t="s">
        <v>3872</v>
      </c>
      <c r="G968" s="5" t="s">
        <v>3873</v>
      </c>
      <c r="H968" t="s">
        <v>47</v>
      </c>
      <c r="I968" s="3">
        <v>35096</v>
      </c>
      <c r="J968" s="3">
        <v>39417</v>
      </c>
      <c r="K968" t="s">
        <v>47</v>
      </c>
      <c r="L968" s="5" t="s">
        <v>60</v>
      </c>
      <c r="M968" s="3">
        <v>35096</v>
      </c>
      <c r="N968" s="3">
        <v>39417</v>
      </c>
      <c r="O968" t="s">
        <v>47</v>
      </c>
      <c r="P968" s="3">
        <v>35096</v>
      </c>
      <c r="Q968" s="3">
        <v>39417</v>
      </c>
      <c r="R968" t="s">
        <v>47</v>
      </c>
      <c r="S968" t="s">
        <v>47</v>
      </c>
      <c r="T968" t="s">
        <v>47</v>
      </c>
      <c r="U968" t="s">
        <v>47</v>
      </c>
      <c r="V968" t="s">
        <v>47</v>
      </c>
      <c r="W968" s="3">
        <v>29891</v>
      </c>
      <c r="X968" s="5" t="s">
        <v>50</v>
      </c>
      <c r="Y968" t="s">
        <v>47</v>
      </c>
      <c r="Z968" s="3">
        <v>29891</v>
      </c>
      <c r="AA968" s="5" t="s">
        <v>50</v>
      </c>
      <c r="AB968" t="s">
        <v>47</v>
      </c>
      <c r="AC968" s="3">
        <v>35096</v>
      </c>
      <c r="AD968" s="5" t="s">
        <v>50</v>
      </c>
      <c r="AE968" t="s">
        <v>47</v>
      </c>
      <c r="AF968" t="s">
        <v>47</v>
      </c>
      <c r="AG968" t="s">
        <v>47</v>
      </c>
      <c r="AH968" t="s">
        <v>47</v>
      </c>
      <c r="AI968" t="s">
        <v>47</v>
      </c>
      <c r="AJ968" t="s">
        <v>47</v>
      </c>
      <c r="AK968" t="s">
        <v>47</v>
      </c>
      <c r="AL968" t="s">
        <v>47</v>
      </c>
      <c r="AM968" t="s">
        <v>47</v>
      </c>
      <c r="AN968" t="s">
        <v>47</v>
      </c>
      <c r="AO968" s="5" t="s">
        <v>60</v>
      </c>
      <c r="AP968" s="4" t="s">
        <v>61</v>
      </c>
      <c r="AQ968" s="4" t="s">
        <v>53</v>
      </c>
      <c r="AR968" s="4" t="s">
        <v>543</v>
      </c>
      <c r="AS968" s="5">
        <v>12196</v>
      </c>
      <c r="AT968" t="s">
        <v>47</v>
      </c>
    </row>
    <row r="969" spans="1:46" ht="78" x14ac:dyDescent="0.3">
      <c r="A969" s="4" t="s">
        <v>3874</v>
      </c>
      <c r="B969" t="s">
        <v>47</v>
      </c>
      <c r="C969" s="4" t="s">
        <v>200</v>
      </c>
      <c r="D969" s="4" t="s">
        <v>1168</v>
      </c>
      <c r="E969" s="4" t="s">
        <v>66</v>
      </c>
      <c r="F969" s="5" t="s">
        <v>3875</v>
      </c>
      <c r="G969" s="5" t="s">
        <v>3876</v>
      </c>
      <c r="H969" t="s">
        <v>47</v>
      </c>
      <c r="I969" s="3">
        <v>34335</v>
      </c>
      <c r="J969" s="5" t="s">
        <v>50</v>
      </c>
      <c r="K969" t="s">
        <v>47</v>
      </c>
      <c r="L969" s="5" t="s">
        <v>60</v>
      </c>
      <c r="M969" s="3">
        <v>34335</v>
      </c>
      <c r="N969" s="5" t="s">
        <v>50</v>
      </c>
      <c r="O969" t="s">
        <v>47</v>
      </c>
      <c r="P969" s="3">
        <v>35247</v>
      </c>
      <c r="Q969" s="5" t="s">
        <v>50</v>
      </c>
      <c r="R969" t="s">
        <v>47</v>
      </c>
      <c r="S969" t="s">
        <v>47</v>
      </c>
      <c r="T969" t="s">
        <v>47</v>
      </c>
      <c r="U969" t="s">
        <v>47</v>
      </c>
      <c r="V969" t="s">
        <v>47</v>
      </c>
      <c r="W969" s="3">
        <v>32509</v>
      </c>
      <c r="X969" s="5" t="s">
        <v>50</v>
      </c>
      <c r="Y969" t="s">
        <v>47</v>
      </c>
      <c r="Z969" s="3">
        <v>32509</v>
      </c>
      <c r="AA969" s="5" t="s">
        <v>50</v>
      </c>
      <c r="AB969" t="s">
        <v>47</v>
      </c>
      <c r="AC969" s="3">
        <v>32509</v>
      </c>
      <c r="AD969" s="5" t="s">
        <v>50</v>
      </c>
      <c r="AE969" t="s">
        <v>47</v>
      </c>
      <c r="AF969" t="s">
        <v>47</v>
      </c>
      <c r="AG969" t="s">
        <v>47</v>
      </c>
      <c r="AH969" t="s">
        <v>47</v>
      </c>
      <c r="AI969" t="s">
        <v>47</v>
      </c>
      <c r="AJ969" t="s">
        <v>47</v>
      </c>
      <c r="AK969" t="s">
        <v>47</v>
      </c>
      <c r="AL969" t="s">
        <v>47</v>
      </c>
      <c r="AM969" t="s">
        <v>47</v>
      </c>
      <c r="AN969" t="s">
        <v>47</v>
      </c>
      <c r="AO969" s="5" t="s">
        <v>60</v>
      </c>
      <c r="AP969" s="4" t="s">
        <v>61</v>
      </c>
      <c r="AQ969" s="4" t="s">
        <v>53</v>
      </c>
      <c r="AR969" s="4" t="s">
        <v>3877</v>
      </c>
      <c r="AS969" s="5">
        <v>47664</v>
      </c>
      <c r="AT969" t="s">
        <v>47</v>
      </c>
    </row>
    <row r="970" spans="1:46" ht="130" x14ac:dyDescent="0.3">
      <c r="A970" s="4" t="s">
        <v>3878</v>
      </c>
      <c r="B970" t="s">
        <v>47</v>
      </c>
      <c r="C970" s="4" t="s">
        <v>183</v>
      </c>
      <c r="D970" s="4" t="s">
        <v>1614</v>
      </c>
      <c r="E970" s="4" t="s">
        <v>49</v>
      </c>
      <c r="F970" s="5" t="s">
        <v>3879</v>
      </c>
      <c r="G970" s="5" t="s">
        <v>3880</v>
      </c>
      <c r="H970" t="s">
        <v>47</v>
      </c>
      <c r="I970" s="3">
        <v>36495</v>
      </c>
      <c r="J970" s="3">
        <v>39417</v>
      </c>
      <c r="K970" t="s">
        <v>47</v>
      </c>
      <c r="L970" s="5" t="s">
        <v>60</v>
      </c>
      <c r="M970" s="3">
        <v>36495</v>
      </c>
      <c r="N970" s="3">
        <v>39417</v>
      </c>
      <c r="O970" t="s">
        <v>47</v>
      </c>
      <c r="P970" s="3">
        <v>36495</v>
      </c>
      <c r="Q970" s="3">
        <v>39417</v>
      </c>
      <c r="R970" t="s">
        <v>47</v>
      </c>
      <c r="S970" t="s">
        <v>47</v>
      </c>
      <c r="T970" t="s">
        <v>47</v>
      </c>
      <c r="U970" t="s">
        <v>47</v>
      </c>
      <c r="V970" t="s">
        <v>47</v>
      </c>
      <c r="W970" s="3">
        <v>28946</v>
      </c>
      <c r="X970" s="5" t="s">
        <v>50</v>
      </c>
      <c r="Y970" t="s">
        <v>47</v>
      </c>
      <c r="Z970" s="3">
        <v>28946</v>
      </c>
      <c r="AA970" s="5" t="s">
        <v>50</v>
      </c>
      <c r="AB970" t="s">
        <v>47</v>
      </c>
      <c r="AC970" s="3">
        <v>36495</v>
      </c>
      <c r="AD970" s="5" t="s">
        <v>50</v>
      </c>
      <c r="AE970" t="s">
        <v>47</v>
      </c>
      <c r="AF970" t="s">
        <v>47</v>
      </c>
      <c r="AG970" t="s">
        <v>47</v>
      </c>
      <c r="AH970" t="s">
        <v>47</v>
      </c>
      <c r="AI970" t="s">
        <v>47</v>
      </c>
      <c r="AJ970" t="s">
        <v>47</v>
      </c>
      <c r="AK970" t="s">
        <v>47</v>
      </c>
      <c r="AL970" t="s">
        <v>47</v>
      </c>
      <c r="AM970" t="s">
        <v>47</v>
      </c>
      <c r="AN970" t="s">
        <v>47</v>
      </c>
      <c r="AO970" s="5" t="s">
        <v>60</v>
      </c>
      <c r="AP970" s="4" t="s">
        <v>61</v>
      </c>
      <c r="AQ970" s="4" t="s">
        <v>53</v>
      </c>
      <c r="AR970" s="4" t="s">
        <v>3881</v>
      </c>
      <c r="AS970" s="5">
        <v>30245</v>
      </c>
      <c r="AT970" t="s">
        <v>47</v>
      </c>
    </row>
    <row r="971" spans="1:46" ht="39" x14ac:dyDescent="0.3">
      <c r="A971" s="4" t="s">
        <v>3882</v>
      </c>
      <c r="B971" t="s">
        <v>47</v>
      </c>
      <c r="C971" s="4" t="s">
        <v>169</v>
      </c>
      <c r="D971" s="4" t="s">
        <v>70</v>
      </c>
      <c r="E971" s="4" t="s">
        <v>66</v>
      </c>
      <c r="F971" s="5" t="s">
        <v>3883</v>
      </c>
      <c r="G971" s="5" t="s">
        <v>3884</v>
      </c>
      <c r="H971" t="s">
        <v>47</v>
      </c>
      <c r="I971" t="s">
        <v>47</v>
      </c>
      <c r="J971" t="s">
        <v>47</v>
      </c>
      <c r="K971" t="s">
        <v>47</v>
      </c>
      <c r="L971" s="5" t="s">
        <v>60</v>
      </c>
      <c r="M971" t="s">
        <v>47</v>
      </c>
      <c r="N971" t="s">
        <v>47</v>
      </c>
      <c r="O971" t="s">
        <v>47</v>
      </c>
      <c r="P971" t="s">
        <v>47</v>
      </c>
      <c r="Q971" t="s">
        <v>47</v>
      </c>
      <c r="R971" t="s">
        <v>47</v>
      </c>
      <c r="S971" t="s">
        <v>47</v>
      </c>
      <c r="T971" t="s">
        <v>47</v>
      </c>
      <c r="U971" t="s">
        <v>47</v>
      </c>
      <c r="V971" t="s">
        <v>47</v>
      </c>
      <c r="W971" s="3">
        <v>40179</v>
      </c>
      <c r="X971" s="5" t="s">
        <v>50</v>
      </c>
      <c r="Y971" s="5" t="s">
        <v>811</v>
      </c>
      <c r="Z971" s="3">
        <v>40179</v>
      </c>
      <c r="AA971" s="5" t="s">
        <v>50</v>
      </c>
      <c r="AB971" s="5" t="s">
        <v>811</v>
      </c>
      <c r="AC971" s="3">
        <v>40179</v>
      </c>
      <c r="AD971" s="5" t="s">
        <v>50</v>
      </c>
      <c r="AE971" s="5" t="s">
        <v>811</v>
      </c>
      <c r="AF971" t="s">
        <v>47</v>
      </c>
      <c r="AG971" t="s">
        <v>47</v>
      </c>
      <c r="AH971" t="s">
        <v>47</v>
      </c>
      <c r="AI971" t="s">
        <v>47</v>
      </c>
      <c r="AJ971" t="s">
        <v>47</v>
      </c>
      <c r="AK971" t="s">
        <v>47</v>
      </c>
      <c r="AL971" t="s">
        <v>47</v>
      </c>
      <c r="AM971" t="s">
        <v>47</v>
      </c>
      <c r="AN971" t="s">
        <v>47</v>
      </c>
      <c r="AO971" s="5" t="s">
        <v>60</v>
      </c>
      <c r="AP971" s="4" t="s">
        <v>61</v>
      </c>
      <c r="AQ971" s="4" t="s">
        <v>53</v>
      </c>
      <c r="AR971" s="4" t="s">
        <v>62</v>
      </c>
      <c r="AS971" s="5">
        <v>466394</v>
      </c>
      <c r="AT971" t="s">
        <v>47</v>
      </c>
    </row>
    <row r="972" spans="1:46" ht="104" x14ac:dyDescent="0.3">
      <c r="A972" s="4" t="s">
        <v>3885</v>
      </c>
      <c r="B972" t="s">
        <v>47</v>
      </c>
      <c r="C972" s="4" t="s">
        <v>200</v>
      </c>
      <c r="D972" s="4" t="s">
        <v>2186</v>
      </c>
      <c r="E972" s="4" t="s">
        <v>66</v>
      </c>
      <c r="F972" s="5" t="s">
        <v>3886</v>
      </c>
      <c r="G972" s="5" t="s">
        <v>3887</v>
      </c>
      <c r="H972" t="s">
        <v>47</v>
      </c>
      <c r="I972" s="3">
        <v>32174</v>
      </c>
      <c r="J972" s="5" t="s">
        <v>50</v>
      </c>
      <c r="K972" t="s">
        <v>47</v>
      </c>
      <c r="L972" s="5" t="s">
        <v>60</v>
      </c>
      <c r="M972" s="3">
        <v>34366</v>
      </c>
      <c r="N972" s="5" t="s">
        <v>50</v>
      </c>
      <c r="O972" t="s">
        <v>47</v>
      </c>
      <c r="P972" s="3">
        <v>32174</v>
      </c>
      <c r="Q972" s="5" t="s">
        <v>50</v>
      </c>
      <c r="R972" t="s">
        <v>47</v>
      </c>
      <c r="S972" t="s">
        <v>47</v>
      </c>
      <c r="T972" t="s">
        <v>47</v>
      </c>
      <c r="U972" t="s">
        <v>47</v>
      </c>
      <c r="V972" s="5">
        <v>365</v>
      </c>
      <c r="W972" s="3">
        <v>31444</v>
      </c>
      <c r="X972" s="5" t="s">
        <v>50</v>
      </c>
      <c r="Y972" t="s">
        <v>47</v>
      </c>
      <c r="Z972" s="3">
        <v>31444</v>
      </c>
      <c r="AA972" s="5" t="s">
        <v>50</v>
      </c>
      <c r="AB972" t="s">
        <v>47</v>
      </c>
      <c r="AC972" s="3">
        <v>31444</v>
      </c>
      <c r="AD972" s="5" t="s">
        <v>50</v>
      </c>
      <c r="AE972" t="s">
        <v>47</v>
      </c>
      <c r="AF972" t="s">
        <v>47</v>
      </c>
      <c r="AG972" t="s">
        <v>47</v>
      </c>
      <c r="AH972" t="s">
        <v>47</v>
      </c>
      <c r="AI972" t="s">
        <v>47</v>
      </c>
      <c r="AJ972" t="s">
        <v>47</v>
      </c>
      <c r="AK972" t="s">
        <v>47</v>
      </c>
      <c r="AL972" t="s">
        <v>47</v>
      </c>
      <c r="AM972" t="s">
        <v>47</v>
      </c>
      <c r="AN972" t="s">
        <v>47</v>
      </c>
      <c r="AO972" s="5" t="s">
        <v>60</v>
      </c>
      <c r="AP972" s="4" t="s">
        <v>61</v>
      </c>
      <c r="AQ972" s="4" t="s">
        <v>53</v>
      </c>
      <c r="AR972" s="4" t="s">
        <v>3888</v>
      </c>
      <c r="AS972" s="5">
        <v>25922</v>
      </c>
      <c r="AT972" t="s">
        <v>47</v>
      </c>
    </row>
    <row r="973" spans="1:46" ht="39" x14ac:dyDescent="0.3">
      <c r="A973" s="4" t="s">
        <v>3889</v>
      </c>
      <c r="B973" t="s">
        <v>47</v>
      </c>
      <c r="C973" s="4" t="s">
        <v>64</v>
      </c>
      <c r="D973" s="4" t="s">
        <v>333</v>
      </c>
      <c r="E973" s="4" t="s">
        <v>66</v>
      </c>
      <c r="F973" t="s">
        <v>47</v>
      </c>
      <c r="G973" s="5" t="s">
        <v>3890</v>
      </c>
      <c r="H973" t="s">
        <v>47</v>
      </c>
      <c r="I973" s="3">
        <v>42370</v>
      </c>
      <c r="J973" s="5" t="s">
        <v>50</v>
      </c>
      <c r="K973" t="s">
        <v>47</v>
      </c>
      <c r="L973" s="5" t="s">
        <v>60</v>
      </c>
      <c r="M973" t="s">
        <v>47</v>
      </c>
      <c r="N973" t="s">
        <v>47</v>
      </c>
      <c r="O973" t="s">
        <v>47</v>
      </c>
      <c r="P973" t="s">
        <v>47</v>
      </c>
      <c r="Q973" t="s">
        <v>47</v>
      </c>
      <c r="R973" t="s">
        <v>47</v>
      </c>
      <c r="S973" s="3">
        <v>42370</v>
      </c>
      <c r="T973" s="5" t="s">
        <v>50</v>
      </c>
      <c r="U973" t="s">
        <v>47</v>
      </c>
      <c r="V973" t="s">
        <v>47</v>
      </c>
      <c r="W973" s="3">
        <v>42370</v>
      </c>
      <c r="X973" s="5" t="s">
        <v>50</v>
      </c>
      <c r="Y973" t="s">
        <v>47</v>
      </c>
      <c r="Z973" s="3">
        <v>42370</v>
      </c>
      <c r="AA973" s="5" t="s">
        <v>50</v>
      </c>
      <c r="AB973" t="s">
        <v>47</v>
      </c>
      <c r="AC973" s="3">
        <v>42370</v>
      </c>
      <c r="AD973" s="5" t="s">
        <v>50</v>
      </c>
      <c r="AE973" t="s">
        <v>47</v>
      </c>
      <c r="AF973" t="s">
        <v>47</v>
      </c>
      <c r="AG973" t="s">
        <v>47</v>
      </c>
      <c r="AH973" t="s">
        <v>47</v>
      </c>
      <c r="AI973" t="s">
        <v>47</v>
      </c>
      <c r="AJ973" t="s">
        <v>47</v>
      </c>
      <c r="AK973" t="s">
        <v>47</v>
      </c>
      <c r="AL973" t="s">
        <v>47</v>
      </c>
      <c r="AM973" t="s">
        <v>47</v>
      </c>
      <c r="AN973" t="s">
        <v>47</v>
      </c>
      <c r="AO973" s="5" t="s">
        <v>60</v>
      </c>
      <c r="AP973" s="4" t="s">
        <v>61</v>
      </c>
      <c r="AQ973" s="4" t="s">
        <v>53</v>
      </c>
      <c r="AR973" s="4" t="s">
        <v>1815</v>
      </c>
      <c r="AS973" s="5">
        <v>4451105</v>
      </c>
      <c r="AT973" t="s">
        <v>47</v>
      </c>
    </row>
    <row r="974" spans="1:46" ht="39" x14ac:dyDescent="0.3">
      <c r="A974" s="4" t="s">
        <v>3891</v>
      </c>
      <c r="B974" t="s">
        <v>47</v>
      </c>
      <c r="C974" s="4" t="s">
        <v>1394</v>
      </c>
      <c r="D974" s="4" t="s">
        <v>70</v>
      </c>
      <c r="E974" s="4" t="s">
        <v>123</v>
      </c>
      <c r="F974" s="5" t="s">
        <v>3892</v>
      </c>
      <c r="G974" s="5" t="s">
        <v>3893</v>
      </c>
      <c r="H974" t="s">
        <v>47</v>
      </c>
      <c r="I974" t="s">
        <v>47</v>
      </c>
      <c r="J974" t="s">
        <v>47</v>
      </c>
      <c r="K974" t="s">
        <v>47</v>
      </c>
      <c r="L974" s="5" t="s">
        <v>60</v>
      </c>
      <c r="M974" t="s">
        <v>47</v>
      </c>
      <c r="N974" t="s">
        <v>47</v>
      </c>
      <c r="O974" t="s">
        <v>47</v>
      </c>
      <c r="P974" t="s">
        <v>47</v>
      </c>
      <c r="Q974" t="s">
        <v>47</v>
      </c>
      <c r="R974" t="s">
        <v>47</v>
      </c>
      <c r="S974" t="s">
        <v>47</v>
      </c>
      <c r="T974" t="s">
        <v>47</v>
      </c>
      <c r="U974" t="s">
        <v>47</v>
      </c>
      <c r="V974" t="s">
        <v>47</v>
      </c>
      <c r="W974" s="3">
        <v>33635</v>
      </c>
      <c r="X974" s="3">
        <v>42826</v>
      </c>
      <c r="Y974" s="5" t="s">
        <v>3894</v>
      </c>
      <c r="Z974" s="3">
        <v>33635</v>
      </c>
      <c r="AA974" s="3">
        <v>42826</v>
      </c>
      <c r="AB974" s="5" t="s">
        <v>3894</v>
      </c>
      <c r="AC974" s="3">
        <v>33635</v>
      </c>
      <c r="AD974" s="3">
        <v>42767</v>
      </c>
      <c r="AE974" s="5" t="s">
        <v>3894</v>
      </c>
      <c r="AF974" t="s">
        <v>47</v>
      </c>
      <c r="AG974" t="s">
        <v>47</v>
      </c>
      <c r="AH974" t="s">
        <v>47</v>
      </c>
      <c r="AI974" t="s">
        <v>47</v>
      </c>
      <c r="AJ974" t="s">
        <v>47</v>
      </c>
      <c r="AK974" t="s">
        <v>47</v>
      </c>
      <c r="AL974" t="s">
        <v>47</v>
      </c>
      <c r="AM974" t="s">
        <v>47</v>
      </c>
      <c r="AN974" t="s">
        <v>47</v>
      </c>
      <c r="AO974" s="5" t="s">
        <v>60</v>
      </c>
      <c r="AP974" s="4" t="s">
        <v>61</v>
      </c>
      <c r="AQ974" s="4" t="s">
        <v>53</v>
      </c>
      <c r="AR974" s="4" t="s">
        <v>3895</v>
      </c>
      <c r="AS974" s="5">
        <v>29955</v>
      </c>
      <c r="AT974" t="s">
        <v>47</v>
      </c>
    </row>
    <row r="975" spans="1:46" ht="26" x14ac:dyDescent="0.3">
      <c r="A975" s="4" t="s">
        <v>3896</v>
      </c>
      <c r="B975" t="s">
        <v>47</v>
      </c>
      <c r="C975" s="4" t="s">
        <v>3897</v>
      </c>
      <c r="D975" s="4" t="s">
        <v>201</v>
      </c>
      <c r="E975" s="4" t="s">
        <v>49</v>
      </c>
      <c r="F975" s="5" t="s">
        <v>3898</v>
      </c>
      <c r="G975" s="5" t="s">
        <v>3899</v>
      </c>
      <c r="H975" t="s">
        <v>47</v>
      </c>
      <c r="I975" s="3">
        <v>35704</v>
      </c>
      <c r="J975" s="5" t="s">
        <v>50</v>
      </c>
      <c r="K975" t="s">
        <v>47</v>
      </c>
      <c r="L975" s="5" t="s">
        <v>60</v>
      </c>
      <c r="M975" s="3">
        <v>35704</v>
      </c>
      <c r="N975" s="5" t="s">
        <v>50</v>
      </c>
      <c r="O975" s="5" t="s">
        <v>3900</v>
      </c>
      <c r="P975" s="3">
        <v>35704</v>
      </c>
      <c r="Q975" s="5" t="s">
        <v>50</v>
      </c>
      <c r="R975" t="s">
        <v>47</v>
      </c>
      <c r="S975" t="s">
        <v>47</v>
      </c>
      <c r="T975" t="s">
        <v>47</v>
      </c>
      <c r="U975" t="s">
        <v>47</v>
      </c>
      <c r="V975" t="s">
        <v>47</v>
      </c>
      <c r="W975" s="3">
        <v>35704</v>
      </c>
      <c r="X975" s="5" t="s">
        <v>50</v>
      </c>
      <c r="Y975" t="s">
        <v>47</v>
      </c>
      <c r="Z975" s="3">
        <v>35704</v>
      </c>
      <c r="AA975" s="5" t="s">
        <v>50</v>
      </c>
      <c r="AB975" t="s">
        <v>47</v>
      </c>
      <c r="AC975" s="3">
        <v>35704</v>
      </c>
      <c r="AD975" s="5" t="s">
        <v>50</v>
      </c>
      <c r="AE975" t="s">
        <v>47</v>
      </c>
      <c r="AF975" t="s">
        <v>47</v>
      </c>
      <c r="AG975" t="s">
        <v>47</v>
      </c>
      <c r="AH975" t="s">
        <v>47</v>
      </c>
      <c r="AI975" t="s">
        <v>47</v>
      </c>
      <c r="AJ975" t="s">
        <v>47</v>
      </c>
      <c r="AK975" t="s">
        <v>47</v>
      </c>
      <c r="AL975" t="s">
        <v>47</v>
      </c>
      <c r="AM975" t="s">
        <v>47</v>
      </c>
      <c r="AN975" t="s">
        <v>47</v>
      </c>
      <c r="AO975" s="5" t="s">
        <v>60</v>
      </c>
      <c r="AP975" s="4" t="s">
        <v>61</v>
      </c>
      <c r="AQ975" s="4" t="s">
        <v>53</v>
      </c>
      <c r="AR975" s="4" t="s">
        <v>807</v>
      </c>
      <c r="AS975" s="5">
        <v>47399</v>
      </c>
      <c r="AT975" t="s">
        <v>47</v>
      </c>
    </row>
    <row r="976" spans="1:46" ht="65" x14ac:dyDescent="0.3">
      <c r="A976" s="4" t="s">
        <v>3901</v>
      </c>
      <c r="B976" t="s">
        <v>47</v>
      </c>
      <c r="C976" s="4" t="s">
        <v>169</v>
      </c>
      <c r="D976" s="4" t="s">
        <v>319</v>
      </c>
      <c r="E976" s="4" t="s">
        <v>66</v>
      </c>
      <c r="F976" s="5" t="s">
        <v>3902</v>
      </c>
      <c r="G976" s="5" t="s">
        <v>3903</v>
      </c>
      <c r="H976" t="s">
        <v>47</v>
      </c>
      <c r="I976" t="s">
        <v>47</v>
      </c>
      <c r="J976" t="s">
        <v>47</v>
      </c>
      <c r="K976" t="s">
        <v>47</v>
      </c>
      <c r="L976" s="5" t="s">
        <v>60</v>
      </c>
      <c r="M976" t="s">
        <v>47</v>
      </c>
      <c r="N976" t="s">
        <v>47</v>
      </c>
      <c r="O976" t="s">
        <v>47</v>
      </c>
      <c r="P976" t="s">
        <v>47</v>
      </c>
      <c r="Q976" t="s">
        <v>47</v>
      </c>
      <c r="R976" t="s">
        <v>47</v>
      </c>
      <c r="S976" t="s">
        <v>47</v>
      </c>
      <c r="T976" t="s">
        <v>47</v>
      </c>
      <c r="U976" t="s">
        <v>47</v>
      </c>
      <c r="V976" t="s">
        <v>47</v>
      </c>
      <c r="W976" s="3">
        <v>40179</v>
      </c>
      <c r="X976" s="5" t="s">
        <v>50</v>
      </c>
      <c r="Y976" t="s">
        <v>47</v>
      </c>
      <c r="Z976" s="3">
        <v>40179</v>
      </c>
      <c r="AA976" s="5" t="s">
        <v>50</v>
      </c>
      <c r="AB976" t="s">
        <v>47</v>
      </c>
      <c r="AC976" s="3">
        <v>40179</v>
      </c>
      <c r="AD976" s="5" t="s">
        <v>50</v>
      </c>
      <c r="AE976" t="s">
        <v>47</v>
      </c>
      <c r="AF976" t="s">
        <v>47</v>
      </c>
      <c r="AG976" t="s">
        <v>47</v>
      </c>
      <c r="AH976" t="s">
        <v>47</v>
      </c>
      <c r="AI976" t="s">
        <v>47</v>
      </c>
      <c r="AJ976" t="s">
        <v>47</v>
      </c>
      <c r="AK976" t="s">
        <v>47</v>
      </c>
      <c r="AL976" t="s">
        <v>47</v>
      </c>
      <c r="AM976" t="s">
        <v>47</v>
      </c>
      <c r="AN976" t="s">
        <v>47</v>
      </c>
      <c r="AO976" s="5" t="s">
        <v>60</v>
      </c>
      <c r="AP976" s="4" t="s">
        <v>61</v>
      </c>
      <c r="AQ976" s="4" t="s">
        <v>53</v>
      </c>
      <c r="AR976" s="4" t="s">
        <v>297</v>
      </c>
      <c r="AS976" s="5">
        <v>196165</v>
      </c>
      <c r="AT976" t="s">
        <v>47</v>
      </c>
    </row>
    <row r="977" spans="1:46" ht="104" x14ac:dyDescent="0.3">
      <c r="A977" s="4" t="s">
        <v>3904</v>
      </c>
      <c r="B977" t="s">
        <v>47</v>
      </c>
      <c r="C977" s="4" t="s">
        <v>115</v>
      </c>
      <c r="D977" s="4" t="s">
        <v>3905</v>
      </c>
      <c r="E977" s="4" t="s">
        <v>66</v>
      </c>
      <c r="F977" s="5" t="s">
        <v>3906</v>
      </c>
      <c r="G977" s="5" t="s">
        <v>3907</v>
      </c>
      <c r="H977" t="s">
        <v>47</v>
      </c>
      <c r="I977" s="3">
        <v>38718</v>
      </c>
      <c r="J977" s="5" t="s">
        <v>50</v>
      </c>
      <c r="K977" t="s">
        <v>47</v>
      </c>
      <c r="L977" s="5" t="s">
        <v>60</v>
      </c>
      <c r="M977" s="3">
        <v>40544</v>
      </c>
      <c r="N977" s="5" t="s">
        <v>50</v>
      </c>
      <c r="O977" t="s">
        <v>47</v>
      </c>
      <c r="P977" s="3">
        <v>38718</v>
      </c>
      <c r="Q977" s="5" t="s">
        <v>50</v>
      </c>
      <c r="R977" t="s">
        <v>47</v>
      </c>
      <c r="S977" t="s">
        <v>47</v>
      </c>
      <c r="T977" t="s">
        <v>47</v>
      </c>
      <c r="U977" t="s">
        <v>47</v>
      </c>
      <c r="V977" s="5">
        <v>365</v>
      </c>
      <c r="W977" s="3">
        <v>38718</v>
      </c>
      <c r="X977" s="5" t="s">
        <v>50</v>
      </c>
      <c r="Y977" t="s">
        <v>47</v>
      </c>
      <c r="Z977" s="3">
        <v>38718</v>
      </c>
      <c r="AA977" s="5" t="s">
        <v>50</v>
      </c>
      <c r="AB977" t="s">
        <v>47</v>
      </c>
      <c r="AC977" s="3">
        <v>38718</v>
      </c>
      <c r="AD977" s="5" t="s">
        <v>50</v>
      </c>
      <c r="AE977" t="s">
        <v>47</v>
      </c>
      <c r="AF977" t="s">
        <v>47</v>
      </c>
      <c r="AG977" t="s">
        <v>47</v>
      </c>
      <c r="AH977" t="s">
        <v>47</v>
      </c>
      <c r="AI977" t="s">
        <v>47</v>
      </c>
      <c r="AJ977" t="s">
        <v>47</v>
      </c>
      <c r="AK977" t="s">
        <v>47</v>
      </c>
      <c r="AL977" t="s">
        <v>47</v>
      </c>
      <c r="AM977" t="s">
        <v>47</v>
      </c>
      <c r="AN977" t="s">
        <v>47</v>
      </c>
      <c r="AO977" s="5" t="s">
        <v>60</v>
      </c>
      <c r="AP977" s="4" t="s">
        <v>61</v>
      </c>
      <c r="AQ977" s="4" t="s">
        <v>53</v>
      </c>
      <c r="AR977" s="4" t="s">
        <v>3908</v>
      </c>
      <c r="AS977" s="5">
        <v>1006506</v>
      </c>
      <c r="AT977" t="s">
        <v>47</v>
      </c>
    </row>
    <row r="978" spans="1:46" ht="52" x14ac:dyDescent="0.3">
      <c r="A978" s="4" t="s">
        <v>3909</v>
      </c>
      <c r="B978" t="s">
        <v>47</v>
      </c>
      <c r="C978" s="4" t="s">
        <v>169</v>
      </c>
      <c r="D978" s="4" t="s">
        <v>339</v>
      </c>
      <c r="E978" s="4" t="s">
        <v>66</v>
      </c>
      <c r="F978" s="5" t="s">
        <v>3910</v>
      </c>
      <c r="G978" s="5" t="s">
        <v>3911</v>
      </c>
      <c r="H978" t="s">
        <v>47</v>
      </c>
      <c r="I978" s="3">
        <v>35490</v>
      </c>
      <c r="J978" s="3">
        <v>36770</v>
      </c>
      <c r="K978" t="s">
        <v>47</v>
      </c>
      <c r="L978" s="5" t="s">
        <v>60</v>
      </c>
      <c r="M978" s="3">
        <v>35490</v>
      </c>
      <c r="N978" s="3">
        <v>36770</v>
      </c>
      <c r="O978" t="s">
        <v>47</v>
      </c>
      <c r="P978" s="3">
        <v>35490</v>
      </c>
      <c r="Q978" s="3">
        <v>36770</v>
      </c>
      <c r="R978" t="s">
        <v>47</v>
      </c>
      <c r="S978" t="s">
        <v>47</v>
      </c>
      <c r="T978" t="s">
        <v>47</v>
      </c>
      <c r="U978" t="s">
        <v>47</v>
      </c>
      <c r="V978" t="s">
        <v>47</v>
      </c>
      <c r="W978" s="3">
        <v>35490</v>
      </c>
      <c r="X978" s="5" t="s">
        <v>50</v>
      </c>
      <c r="Y978" t="s">
        <v>47</v>
      </c>
      <c r="Z978" s="3">
        <v>35490</v>
      </c>
      <c r="AA978" s="5" t="s">
        <v>50</v>
      </c>
      <c r="AB978" t="s">
        <v>47</v>
      </c>
      <c r="AC978" s="3">
        <v>35674</v>
      </c>
      <c r="AD978" s="5" t="s">
        <v>50</v>
      </c>
      <c r="AE978" t="s">
        <v>47</v>
      </c>
      <c r="AF978" t="s">
        <v>47</v>
      </c>
      <c r="AG978" t="s">
        <v>47</v>
      </c>
      <c r="AH978" t="s">
        <v>47</v>
      </c>
      <c r="AI978" t="s">
        <v>47</v>
      </c>
      <c r="AJ978" t="s">
        <v>47</v>
      </c>
      <c r="AK978" t="s">
        <v>47</v>
      </c>
      <c r="AL978" t="s">
        <v>47</v>
      </c>
      <c r="AM978" t="s">
        <v>47</v>
      </c>
      <c r="AN978" t="s">
        <v>47</v>
      </c>
      <c r="AO978" s="5" t="s">
        <v>60</v>
      </c>
      <c r="AP978" s="4" t="s">
        <v>61</v>
      </c>
      <c r="AQ978" s="4" t="s">
        <v>53</v>
      </c>
      <c r="AR978" s="4" t="s">
        <v>1959</v>
      </c>
      <c r="AS978" s="5">
        <v>47401</v>
      </c>
      <c r="AT978" t="s">
        <v>47</v>
      </c>
    </row>
    <row r="979" spans="1:46" ht="26" x14ac:dyDescent="0.3">
      <c r="A979" s="4" t="s">
        <v>3912</v>
      </c>
      <c r="B979" t="s">
        <v>47</v>
      </c>
      <c r="C979" s="4" t="s">
        <v>519</v>
      </c>
      <c r="D979" s="4" t="s">
        <v>88</v>
      </c>
      <c r="E979" s="4" t="s">
        <v>49</v>
      </c>
      <c r="F979" s="5" t="s">
        <v>3913</v>
      </c>
      <c r="G979" s="5" t="s">
        <v>3914</v>
      </c>
      <c r="H979" t="s">
        <v>47</v>
      </c>
      <c r="I979" s="3">
        <v>35855</v>
      </c>
      <c r="J979" s="3">
        <v>40483</v>
      </c>
      <c r="K979" t="s">
        <v>47</v>
      </c>
      <c r="L979" s="5" t="s">
        <v>60</v>
      </c>
      <c r="M979" s="3">
        <v>35855</v>
      </c>
      <c r="N979" s="3">
        <v>40483</v>
      </c>
      <c r="O979" t="s">
        <v>47</v>
      </c>
      <c r="P979" s="3">
        <v>35855</v>
      </c>
      <c r="Q979" s="3">
        <v>40483</v>
      </c>
      <c r="R979" t="s">
        <v>47</v>
      </c>
      <c r="S979" t="s">
        <v>47</v>
      </c>
      <c r="T979" t="s">
        <v>47</v>
      </c>
      <c r="U979" t="s">
        <v>47</v>
      </c>
      <c r="V979" t="s">
        <v>47</v>
      </c>
      <c r="W979" s="3">
        <v>35855</v>
      </c>
      <c r="X979" s="5" t="s">
        <v>50</v>
      </c>
      <c r="Y979" t="s">
        <v>47</v>
      </c>
      <c r="Z979" s="3">
        <v>35855</v>
      </c>
      <c r="AA979" s="5" t="s">
        <v>50</v>
      </c>
      <c r="AB979" t="s">
        <v>47</v>
      </c>
      <c r="AC979" s="3">
        <v>35855</v>
      </c>
      <c r="AD979" s="5" t="s">
        <v>50</v>
      </c>
      <c r="AE979" t="s">
        <v>47</v>
      </c>
      <c r="AF979" t="s">
        <v>47</v>
      </c>
      <c r="AG979" t="s">
        <v>47</v>
      </c>
      <c r="AH979" t="s">
        <v>47</v>
      </c>
      <c r="AI979" t="s">
        <v>47</v>
      </c>
      <c r="AJ979" t="s">
        <v>47</v>
      </c>
      <c r="AK979" t="s">
        <v>47</v>
      </c>
      <c r="AL979" t="s">
        <v>47</v>
      </c>
      <c r="AM979" t="s">
        <v>47</v>
      </c>
      <c r="AN979" t="s">
        <v>47</v>
      </c>
      <c r="AO979" s="5" t="s">
        <v>60</v>
      </c>
      <c r="AP979" s="4" t="s">
        <v>61</v>
      </c>
      <c r="AQ979" s="4" t="s">
        <v>53</v>
      </c>
      <c r="AR979" s="4" t="s">
        <v>807</v>
      </c>
      <c r="AS979" s="5">
        <v>35941</v>
      </c>
      <c r="AT979" t="s">
        <v>47</v>
      </c>
    </row>
    <row r="980" spans="1:46" ht="65" x14ac:dyDescent="0.3">
      <c r="A980" s="4" t="s">
        <v>3915</v>
      </c>
      <c r="B980" t="s">
        <v>47</v>
      </c>
      <c r="C980" s="4" t="s">
        <v>200</v>
      </c>
      <c r="D980" s="4" t="s">
        <v>88</v>
      </c>
      <c r="E980" s="4" t="s">
        <v>66</v>
      </c>
      <c r="F980" s="5" t="s">
        <v>3916</v>
      </c>
      <c r="G980" s="5" t="s">
        <v>3917</v>
      </c>
      <c r="H980" t="s">
        <v>47</v>
      </c>
      <c r="I980" s="3">
        <v>35431</v>
      </c>
      <c r="J980" s="3">
        <v>41548</v>
      </c>
      <c r="K980" t="s">
        <v>47</v>
      </c>
      <c r="L980" s="5" t="s">
        <v>60</v>
      </c>
      <c r="M980" s="3">
        <v>35431</v>
      </c>
      <c r="N980" s="3">
        <v>41548</v>
      </c>
      <c r="O980" t="s">
        <v>47</v>
      </c>
      <c r="P980" s="3">
        <v>35431</v>
      </c>
      <c r="Q980" s="3">
        <v>41548</v>
      </c>
      <c r="R980" t="s">
        <v>47</v>
      </c>
      <c r="S980" t="s">
        <v>47</v>
      </c>
      <c r="T980" t="s">
        <v>47</v>
      </c>
      <c r="U980" t="s">
        <v>47</v>
      </c>
      <c r="V980" t="s">
        <v>47</v>
      </c>
      <c r="W980" s="3">
        <v>35431</v>
      </c>
      <c r="X980" s="5" t="s">
        <v>50</v>
      </c>
      <c r="Y980" t="s">
        <v>47</v>
      </c>
      <c r="Z980" s="3">
        <v>35431</v>
      </c>
      <c r="AA980" s="5" t="s">
        <v>50</v>
      </c>
      <c r="AB980" t="s">
        <v>47</v>
      </c>
      <c r="AC980" s="3">
        <v>37987</v>
      </c>
      <c r="AD980" s="5" t="s">
        <v>50</v>
      </c>
      <c r="AE980" t="s">
        <v>47</v>
      </c>
      <c r="AF980" t="s">
        <v>47</v>
      </c>
      <c r="AG980" t="s">
        <v>47</v>
      </c>
      <c r="AH980" t="s">
        <v>47</v>
      </c>
      <c r="AI980" t="s">
        <v>47</v>
      </c>
      <c r="AJ980" t="s">
        <v>47</v>
      </c>
      <c r="AK980" t="s">
        <v>47</v>
      </c>
      <c r="AL980" t="s">
        <v>47</v>
      </c>
      <c r="AM980" t="s">
        <v>47</v>
      </c>
      <c r="AN980" t="s">
        <v>47</v>
      </c>
      <c r="AO980" s="5" t="s">
        <v>60</v>
      </c>
      <c r="AP980" s="4" t="s">
        <v>61</v>
      </c>
      <c r="AQ980" s="4" t="s">
        <v>53</v>
      </c>
      <c r="AR980" s="4" t="s">
        <v>3918</v>
      </c>
      <c r="AS980" s="5">
        <v>35948</v>
      </c>
      <c r="AT980" t="s">
        <v>47</v>
      </c>
    </row>
    <row r="981" spans="1:46" ht="26" x14ac:dyDescent="0.3">
      <c r="A981" s="4" t="s">
        <v>3919</v>
      </c>
      <c r="B981" t="s">
        <v>47</v>
      </c>
      <c r="C981" s="4" t="s">
        <v>2271</v>
      </c>
      <c r="D981" s="4" t="s">
        <v>223</v>
      </c>
      <c r="E981" s="4" t="s">
        <v>49</v>
      </c>
      <c r="F981" s="5" t="s">
        <v>3920</v>
      </c>
      <c r="G981" t="s">
        <v>47</v>
      </c>
      <c r="H981" t="s">
        <v>47</v>
      </c>
      <c r="I981" s="3">
        <v>36251</v>
      </c>
      <c r="J981" s="3">
        <v>37347</v>
      </c>
      <c r="K981" t="s">
        <v>47</v>
      </c>
      <c r="L981" s="5" t="s">
        <v>60</v>
      </c>
      <c r="M981" s="3">
        <v>36251</v>
      </c>
      <c r="N981" s="3">
        <v>37347</v>
      </c>
      <c r="O981" t="s">
        <v>47</v>
      </c>
      <c r="P981" s="3">
        <v>36251</v>
      </c>
      <c r="Q981" s="3">
        <v>37347</v>
      </c>
      <c r="R981" t="s">
        <v>47</v>
      </c>
      <c r="S981" t="s">
        <v>47</v>
      </c>
      <c r="T981" t="s">
        <v>47</v>
      </c>
      <c r="U981" t="s">
        <v>47</v>
      </c>
      <c r="V981" t="s">
        <v>47</v>
      </c>
      <c r="W981" s="3">
        <v>36251</v>
      </c>
      <c r="X981" s="3">
        <v>37347</v>
      </c>
      <c r="Y981" t="s">
        <v>47</v>
      </c>
      <c r="Z981" s="3">
        <v>36251</v>
      </c>
      <c r="AA981" s="3">
        <v>37347</v>
      </c>
      <c r="AB981" t="s">
        <v>47</v>
      </c>
      <c r="AC981" s="3">
        <v>36434</v>
      </c>
      <c r="AD981" s="3">
        <v>37347</v>
      </c>
      <c r="AE981" t="s">
        <v>47</v>
      </c>
      <c r="AF981" t="s">
        <v>47</v>
      </c>
      <c r="AG981" t="s">
        <v>47</v>
      </c>
      <c r="AH981" t="s">
        <v>47</v>
      </c>
      <c r="AI981" t="s">
        <v>47</v>
      </c>
      <c r="AJ981" t="s">
        <v>47</v>
      </c>
      <c r="AK981" t="s">
        <v>47</v>
      </c>
      <c r="AL981" t="s">
        <v>47</v>
      </c>
      <c r="AM981" t="s">
        <v>47</v>
      </c>
      <c r="AN981" t="s">
        <v>47</v>
      </c>
      <c r="AO981" s="5" t="s">
        <v>51</v>
      </c>
      <c r="AP981" s="4" t="s">
        <v>61</v>
      </c>
      <c r="AQ981" s="4" t="s">
        <v>53</v>
      </c>
      <c r="AR981" s="4" t="s">
        <v>395</v>
      </c>
      <c r="AS981" s="5">
        <v>45376</v>
      </c>
      <c r="AT981" t="s">
        <v>47</v>
      </c>
    </row>
    <row r="982" spans="1:46" ht="78" x14ac:dyDescent="0.3">
      <c r="A982" s="4" t="s">
        <v>3921</v>
      </c>
      <c r="B982" t="s">
        <v>47</v>
      </c>
      <c r="C982" s="4" t="s">
        <v>747</v>
      </c>
      <c r="D982" s="4" t="s">
        <v>879</v>
      </c>
      <c r="E982" s="4" t="s">
        <v>66</v>
      </c>
      <c r="F982" s="5" t="s">
        <v>3922</v>
      </c>
      <c r="G982" s="5" t="s">
        <v>3923</v>
      </c>
      <c r="H982" t="s">
        <v>47</v>
      </c>
      <c r="I982" s="3">
        <v>37591</v>
      </c>
      <c r="J982" s="3">
        <v>42705</v>
      </c>
      <c r="K982" t="s">
        <v>47</v>
      </c>
      <c r="L982" s="5" t="s">
        <v>60</v>
      </c>
      <c r="M982" s="3">
        <v>37591</v>
      </c>
      <c r="N982" s="3">
        <v>42705</v>
      </c>
      <c r="O982" t="s">
        <v>47</v>
      </c>
      <c r="P982" s="3">
        <v>37591</v>
      </c>
      <c r="Q982" s="3">
        <v>42705</v>
      </c>
      <c r="R982" t="s">
        <v>47</v>
      </c>
      <c r="S982" t="s">
        <v>47</v>
      </c>
      <c r="T982" t="s">
        <v>47</v>
      </c>
      <c r="U982" t="s">
        <v>47</v>
      </c>
      <c r="V982" t="s">
        <v>47</v>
      </c>
      <c r="W982" s="3">
        <v>32874</v>
      </c>
      <c r="X982" s="5" t="s">
        <v>50</v>
      </c>
      <c r="Y982" s="5" t="s">
        <v>894</v>
      </c>
      <c r="Z982" s="3">
        <v>32874</v>
      </c>
      <c r="AA982" s="5" t="s">
        <v>50</v>
      </c>
      <c r="AB982" s="5" t="s">
        <v>894</v>
      </c>
      <c r="AC982" s="3">
        <v>35065</v>
      </c>
      <c r="AD982" s="5" t="s">
        <v>50</v>
      </c>
      <c r="AE982" s="5" t="s">
        <v>894</v>
      </c>
      <c r="AF982" t="s">
        <v>47</v>
      </c>
      <c r="AG982" t="s">
        <v>47</v>
      </c>
      <c r="AH982" t="s">
        <v>47</v>
      </c>
      <c r="AI982" t="s">
        <v>47</v>
      </c>
      <c r="AJ982" t="s">
        <v>47</v>
      </c>
      <c r="AK982" t="s">
        <v>47</v>
      </c>
      <c r="AL982" t="s">
        <v>47</v>
      </c>
      <c r="AM982" t="s">
        <v>47</v>
      </c>
      <c r="AN982" t="s">
        <v>47</v>
      </c>
      <c r="AO982" s="5" t="s">
        <v>60</v>
      </c>
      <c r="AP982" s="4" t="s">
        <v>61</v>
      </c>
      <c r="AQ982" s="4" t="s">
        <v>53</v>
      </c>
      <c r="AR982" s="4" t="s">
        <v>3924</v>
      </c>
      <c r="AS982" s="5">
        <v>47718</v>
      </c>
      <c r="AT982" t="s">
        <v>47</v>
      </c>
    </row>
    <row r="983" spans="1:46" ht="117" x14ac:dyDescent="0.3">
      <c r="A983" s="4" t="s">
        <v>3925</v>
      </c>
      <c r="B983" t="s">
        <v>47</v>
      </c>
      <c r="C983" s="4" t="s">
        <v>3926</v>
      </c>
      <c r="D983" s="4" t="s">
        <v>3095</v>
      </c>
      <c r="E983" s="4" t="s">
        <v>49</v>
      </c>
      <c r="F983" s="5" t="s">
        <v>3927</v>
      </c>
      <c r="G983" s="5" t="s">
        <v>3928</v>
      </c>
      <c r="H983" t="s">
        <v>47</v>
      </c>
      <c r="I983" s="3">
        <v>36892</v>
      </c>
      <c r="J983" s="3">
        <v>40909</v>
      </c>
      <c r="K983" t="s">
        <v>47</v>
      </c>
      <c r="L983" s="5" t="s">
        <v>60</v>
      </c>
      <c r="M983" s="3">
        <v>36892</v>
      </c>
      <c r="N983" s="3">
        <v>40909</v>
      </c>
      <c r="O983" t="s">
        <v>47</v>
      </c>
      <c r="P983" s="3">
        <v>36892</v>
      </c>
      <c r="Q983" s="3">
        <v>40909</v>
      </c>
      <c r="R983" t="s">
        <v>47</v>
      </c>
      <c r="S983" t="s">
        <v>47</v>
      </c>
      <c r="T983" t="s">
        <v>47</v>
      </c>
      <c r="U983" t="s">
        <v>47</v>
      </c>
      <c r="V983" t="s">
        <v>47</v>
      </c>
      <c r="W983" s="3">
        <v>36892</v>
      </c>
      <c r="X983" s="3">
        <v>40909</v>
      </c>
      <c r="Y983" t="s">
        <v>47</v>
      </c>
      <c r="Z983" s="3">
        <v>36892</v>
      </c>
      <c r="AA983" s="3">
        <v>40909</v>
      </c>
      <c r="AB983" t="s">
        <v>47</v>
      </c>
      <c r="AC983" s="3">
        <v>37622</v>
      </c>
      <c r="AD983" s="3">
        <v>40909</v>
      </c>
      <c r="AE983" t="s">
        <v>47</v>
      </c>
      <c r="AF983" t="s">
        <v>47</v>
      </c>
      <c r="AG983" t="s">
        <v>47</v>
      </c>
      <c r="AH983" t="s">
        <v>47</v>
      </c>
      <c r="AI983" t="s">
        <v>47</v>
      </c>
      <c r="AJ983" t="s">
        <v>47</v>
      </c>
      <c r="AK983" t="s">
        <v>47</v>
      </c>
      <c r="AL983" t="s">
        <v>47</v>
      </c>
      <c r="AM983" t="s">
        <v>47</v>
      </c>
      <c r="AN983" t="s">
        <v>47</v>
      </c>
      <c r="AO983" s="5" t="s">
        <v>60</v>
      </c>
      <c r="AP983" s="4" t="s">
        <v>61</v>
      </c>
      <c r="AQ983" s="4" t="s">
        <v>53</v>
      </c>
      <c r="AR983" s="4" t="s">
        <v>3929</v>
      </c>
      <c r="AS983" s="5">
        <v>33242</v>
      </c>
      <c r="AT983" t="s">
        <v>47</v>
      </c>
    </row>
    <row r="984" spans="1:46" ht="26" x14ac:dyDescent="0.3">
      <c r="A984" s="4" t="s">
        <v>3930</v>
      </c>
      <c r="B984" t="s">
        <v>47</v>
      </c>
      <c r="C984" s="4" t="s">
        <v>3931</v>
      </c>
      <c r="D984" s="4" t="s">
        <v>88</v>
      </c>
      <c r="E984" s="4" t="s">
        <v>49</v>
      </c>
      <c r="F984" s="5" t="s">
        <v>3932</v>
      </c>
      <c r="G984" s="5" t="s">
        <v>3933</v>
      </c>
      <c r="H984" t="s">
        <v>47</v>
      </c>
      <c r="I984" s="3">
        <v>34335</v>
      </c>
      <c r="J984" s="3">
        <v>44287</v>
      </c>
      <c r="K984" t="s">
        <v>47</v>
      </c>
      <c r="L984" s="5" t="s">
        <v>60</v>
      </c>
      <c r="M984" s="3">
        <v>34335</v>
      </c>
      <c r="N984" s="3">
        <v>44287</v>
      </c>
      <c r="O984" t="s">
        <v>47</v>
      </c>
      <c r="P984" s="3">
        <v>34881</v>
      </c>
      <c r="Q984" s="3">
        <v>44287</v>
      </c>
      <c r="R984" t="s">
        <v>47</v>
      </c>
      <c r="S984" t="s">
        <v>47</v>
      </c>
      <c r="T984" t="s">
        <v>47</v>
      </c>
      <c r="U984" t="s">
        <v>47</v>
      </c>
      <c r="V984" t="s">
        <v>47</v>
      </c>
      <c r="W984" s="3">
        <v>33604</v>
      </c>
      <c r="X984" s="3">
        <v>44287</v>
      </c>
      <c r="Y984" t="s">
        <v>47</v>
      </c>
      <c r="Z984" s="3">
        <v>33604</v>
      </c>
      <c r="AA984" s="3">
        <v>44287</v>
      </c>
      <c r="AB984" t="s">
        <v>47</v>
      </c>
      <c r="AC984" s="3">
        <v>33604</v>
      </c>
      <c r="AD984" s="3">
        <v>44287</v>
      </c>
      <c r="AE984" t="s">
        <v>47</v>
      </c>
      <c r="AF984" t="s">
        <v>47</v>
      </c>
      <c r="AG984" t="s">
        <v>47</v>
      </c>
      <c r="AH984" t="s">
        <v>47</v>
      </c>
      <c r="AI984" t="s">
        <v>47</v>
      </c>
      <c r="AJ984" t="s">
        <v>47</v>
      </c>
      <c r="AK984" t="s">
        <v>47</v>
      </c>
      <c r="AL984" t="s">
        <v>47</v>
      </c>
      <c r="AM984" t="s">
        <v>47</v>
      </c>
      <c r="AN984" t="s">
        <v>47</v>
      </c>
      <c r="AO984" s="5" t="s">
        <v>60</v>
      </c>
      <c r="AP984" s="4" t="s">
        <v>61</v>
      </c>
      <c r="AQ984" s="4" t="s">
        <v>53</v>
      </c>
      <c r="AR984" s="4" t="s">
        <v>3834</v>
      </c>
      <c r="AS984" s="5">
        <v>47655</v>
      </c>
      <c r="AT984" t="s">
        <v>47</v>
      </c>
    </row>
    <row r="985" spans="1:46" ht="26" x14ac:dyDescent="0.3">
      <c r="A985" s="4" t="s">
        <v>3934</v>
      </c>
      <c r="B985" t="s">
        <v>47</v>
      </c>
      <c r="C985" s="4" t="s">
        <v>3935</v>
      </c>
      <c r="D985" s="4" t="s">
        <v>3936</v>
      </c>
      <c r="E985" s="4" t="s">
        <v>603</v>
      </c>
      <c r="F985" t="s">
        <v>47</v>
      </c>
      <c r="G985" s="5" t="s">
        <v>3937</v>
      </c>
      <c r="H985" t="s">
        <v>47</v>
      </c>
      <c r="I985" s="3">
        <v>41091</v>
      </c>
      <c r="J985" s="5" t="s">
        <v>50</v>
      </c>
      <c r="K985" t="s">
        <v>47</v>
      </c>
      <c r="L985" s="5" t="s">
        <v>60</v>
      </c>
      <c r="M985" s="3">
        <v>41091</v>
      </c>
      <c r="N985" s="5" t="s">
        <v>50</v>
      </c>
      <c r="O985" t="s">
        <v>47</v>
      </c>
      <c r="P985" s="3">
        <v>41091</v>
      </c>
      <c r="Q985" s="5" t="s">
        <v>50</v>
      </c>
      <c r="R985" t="s">
        <v>47</v>
      </c>
      <c r="S985" t="s">
        <v>47</v>
      </c>
      <c r="T985" t="s">
        <v>47</v>
      </c>
      <c r="U985" t="s">
        <v>47</v>
      </c>
      <c r="V985" t="s">
        <v>47</v>
      </c>
      <c r="W985" s="3">
        <v>41091</v>
      </c>
      <c r="X985" s="5" t="s">
        <v>50</v>
      </c>
      <c r="Y985" t="s">
        <v>47</v>
      </c>
      <c r="Z985" s="3">
        <v>41091</v>
      </c>
      <c r="AA985" s="5" t="s">
        <v>50</v>
      </c>
      <c r="AB985" t="s">
        <v>47</v>
      </c>
      <c r="AC985" s="3">
        <v>41091</v>
      </c>
      <c r="AD985" s="5" t="s">
        <v>50</v>
      </c>
      <c r="AE985" t="s">
        <v>47</v>
      </c>
      <c r="AF985" t="s">
        <v>47</v>
      </c>
      <c r="AG985" t="s">
        <v>47</v>
      </c>
      <c r="AH985" t="s">
        <v>47</v>
      </c>
      <c r="AI985" t="s">
        <v>47</v>
      </c>
      <c r="AJ985" t="s">
        <v>47</v>
      </c>
      <c r="AK985" t="s">
        <v>47</v>
      </c>
      <c r="AL985" t="s">
        <v>47</v>
      </c>
      <c r="AM985" t="s">
        <v>47</v>
      </c>
      <c r="AN985" t="s">
        <v>47</v>
      </c>
      <c r="AO985" s="5" t="s">
        <v>60</v>
      </c>
      <c r="AP985" s="4" t="s">
        <v>61</v>
      </c>
      <c r="AQ985" s="4" t="s">
        <v>261</v>
      </c>
      <c r="AR985" s="4" t="s">
        <v>54</v>
      </c>
      <c r="AS985" s="5">
        <v>2031847</v>
      </c>
      <c r="AT985" t="s">
        <v>47</v>
      </c>
    </row>
    <row r="986" spans="1:46" ht="91" x14ac:dyDescent="0.3">
      <c r="A986" s="4" t="s">
        <v>3938</v>
      </c>
      <c r="B986" t="s">
        <v>47</v>
      </c>
      <c r="C986" s="4" t="s">
        <v>3446</v>
      </c>
      <c r="D986" s="4" t="s">
        <v>3447</v>
      </c>
      <c r="E986" s="4" t="s">
        <v>49</v>
      </c>
      <c r="F986" s="5" t="s">
        <v>3939</v>
      </c>
      <c r="G986" s="5" t="s">
        <v>3940</v>
      </c>
      <c r="H986" t="s">
        <v>47</v>
      </c>
      <c r="I986" s="3">
        <v>22981</v>
      </c>
      <c r="J986" s="5" t="s">
        <v>50</v>
      </c>
      <c r="K986" s="5" t="s">
        <v>3941</v>
      </c>
      <c r="L986" s="5" t="s">
        <v>60</v>
      </c>
      <c r="M986" s="3">
        <v>22981</v>
      </c>
      <c r="N986" s="5" t="s">
        <v>50</v>
      </c>
      <c r="O986" s="5" t="s">
        <v>3941</v>
      </c>
      <c r="P986" s="3">
        <v>22981</v>
      </c>
      <c r="Q986" s="5" t="s">
        <v>50</v>
      </c>
      <c r="R986" s="5" t="s">
        <v>3941</v>
      </c>
      <c r="S986" t="s">
        <v>47</v>
      </c>
      <c r="T986" t="s">
        <v>47</v>
      </c>
      <c r="U986" t="s">
        <v>47</v>
      </c>
      <c r="V986" t="s">
        <v>47</v>
      </c>
      <c r="W986" s="3">
        <v>22981</v>
      </c>
      <c r="X986" s="5" t="s">
        <v>50</v>
      </c>
      <c r="Y986" s="5" t="s">
        <v>3941</v>
      </c>
      <c r="Z986" s="3">
        <v>22981</v>
      </c>
      <c r="AA986" s="5" t="s">
        <v>50</v>
      </c>
      <c r="AB986" s="5" t="s">
        <v>3941</v>
      </c>
      <c r="AC986" s="3">
        <v>35125</v>
      </c>
      <c r="AD986" s="5" t="s">
        <v>50</v>
      </c>
      <c r="AE986" t="s">
        <v>47</v>
      </c>
      <c r="AF986" t="s">
        <v>47</v>
      </c>
      <c r="AG986" t="s">
        <v>47</v>
      </c>
      <c r="AH986" t="s">
        <v>47</v>
      </c>
      <c r="AI986" t="s">
        <v>47</v>
      </c>
      <c r="AJ986" t="s">
        <v>47</v>
      </c>
      <c r="AK986" t="s">
        <v>47</v>
      </c>
      <c r="AL986" t="s">
        <v>47</v>
      </c>
      <c r="AM986" t="s">
        <v>47</v>
      </c>
      <c r="AN986" t="s">
        <v>47</v>
      </c>
      <c r="AO986" s="5" t="s">
        <v>60</v>
      </c>
      <c r="AP986" s="4" t="s">
        <v>61</v>
      </c>
      <c r="AQ986" s="4" t="s">
        <v>53</v>
      </c>
      <c r="AR986" s="4" t="s">
        <v>3942</v>
      </c>
      <c r="AS986" s="5">
        <v>47628</v>
      </c>
      <c r="AT986" t="s">
        <v>47</v>
      </c>
    </row>
    <row r="987" spans="1:46" ht="26" x14ac:dyDescent="0.3">
      <c r="A987" s="4" t="s">
        <v>3943</v>
      </c>
      <c r="B987" t="s">
        <v>47</v>
      </c>
      <c r="C987" s="4" t="s">
        <v>3749</v>
      </c>
      <c r="D987" s="4" t="s">
        <v>319</v>
      </c>
      <c r="E987" s="4" t="s">
        <v>66</v>
      </c>
      <c r="F987" s="5" t="s">
        <v>3944</v>
      </c>
      <c r="G987" s="5" t="s">
        <v>3945</v>
      </c>
      <c r="H987" t="s">
        <v>47</v>
      </c>
      <c r="I987" s="3">
        <v>35490</v>
      </c>
      <c r="J987" s="3">
        <v>37196</v>
      </c>
      <c r="K987" t="s">
        <v>47</v>
      </c>
      <c r="L987" s="5" t="s">
        <v>60</v>
      </c>
      <c r="M987" s="3">
        <v>35490</v>
      </c>
      <c r="N987" s="3">
        <v>37196</v>
      </c>
      <c r="O987" t="s">
        <v>47</v>
      </c>
      <c r="P987" s="3">
        <v>35490</v>
      </c>
      <c r="Q987" s="3">
        <v>37196</v>
      </c>
      <c r="R987" t="s">
        <v>47</v>
      </c>
      <c r="S987" t="s">
        <v>47</v>
      </c>
      <c r="T987" t="s">
        <v>47</v>
      </c>
      <c r="U987" t="s">
        <v>47</v>
      </c>
      <c r="V987" t="s">
        <v>47</v>
      </c>
      <c r="W987" s="3">
        <v>32509</v>
      </c>
      <c r="X987" s="3">
        <v>42675</v>
      </c>
      <c r="Y987" t="s">
        <v>47</v>
      </c>
      <c r="Z987" s="3">
        <v>32509</v>
      </c>
      <c r="AA987" s="3">
        <v>42675</v>
      </c>
      <c r="AB987" t="s">
        <v>47</v>
      </c>
      <c r="AC987" s="3">
        <v>32509</v>
      </c>
      <c r="AD987" s="3">
        <v>42675</v>
      </c>
      <c r="AE987" t="s">
        <v>47</v>
      </c>
      <c r="AF987" t="s">
        <v>47</v>
      </c>
      <c r="AG987" t="s">
        <v>47</v>
      </c>
      <c r="AH987" t="s">
        <v>47</v>
      </c>
      <c r="AI987" t="s">
        <v>47</v>
      </c>
      <c r="AJ987" t="s">
        <v>47</v>
      </c>
      <c r="AK987" t="s">
        <v>47</v>
      </c>
      <c r="AL987" t="s">
        <v>47</v>
      </c>
      <c r="AM987" t="s">
        <v>47</v>
      </c>
      <c r="AN987" t="s">
        <v>47</v>
      </c>
      <c r="AO987" s="5" t="s">
        <v>60</v>
      </c>
      <c r="AP987" s="4" t="s">
        <v>61</v>
      </c>
      <c r="AQ987" s="4" t="s">
        <v>53</v>
      </c>
      <c r="AR987" s="4" t="s">
        <v>3946</v>
      </c>
      <c r="AS987" s="5">
        <v>8794</v>
      </c>
      <c r="AT987" t="s">
        <v>47</v>
      </c>
    </row>
    <row r="988" spans="1:46" ht="78" x14ac:dyDescent="0.3">
      <c r="A988" s="4" t="s">
        <v>3947</v>
      </c>
      <c r="B988" t="s">
        <v>47</v>
      </c>
      <c r="C988" s="4" t="s">
        <v>1502</v>
      </c>
      <c r="D988" s="4" t="s">
        <v>139</v>
      </c>
      <c r="E988" s="4" t="s">
        <v>66</v>
      </c>
      <c r="F988" s="5" t="s">
        <v>3948</v>
      </c>
      <c r="G988" s="5" t="s">
        <v>3949</v>
      </c>
      <c r="H988" t="s">
        <v>47</v>
      </c>
      <c r="I988" t="s">
        <v>47</v>
      </c>
      <c r="J988" t="s">
        <v>47</v>
      </c>
      <c r="K988" t="s">
        <v>47</v>
      </c>
      <c r="L988" s="5" t="s">
        <v>60</v>
      </c>
      <c r="M988" t="s">
        <v>47</v>
      </c>
      <c r="N988" t="s">
        <v>47</v>
      </c>
      <c r="O988" t="s">
        <v>47</v>
      </c>
      <c r="P988" t="s">
        <v>47</v>
      </c>
      <c r="Q988" t="s">
        <v>47</v>
      </c>
      <c r="R988" t="s">
        <v>47</v>
      </c>
      <c r="S988" t="s">
        <v>47</v>
      </c>
      <c r="T988" t="s">
        <v>47</v>
      </c>
      <c r="U988" t="s">
        <v>47</v>
      </c>
      <c r="V988" t="s">
        <v>47</v>
      </c>
      <c r="W988" s="3">
        <v>29221</v>
      </c>
      <c r="X988" s="5" t="s">
        <v>50</v>
      </c>
      <c r="Y988" s="5" t="s">
        <v>3950</v>
      </c>
      <c r="Z988" s="3">
        <v>29221</v>
      </c>
      <c r="AA988" s="5" t="s">
        <v>50</v>
      </c>
      <c r="AB988" s="5" t="s">
        <v>3950</v>
      </c>
      <c r="AC988" s="3">
        <v>36161</v>
      </c>
      <c r="AD988" s="5" t="s">
        <v>50</v>
      </c>
      <c r="AE988" t="s">
        <v>47</v>
      </c>
      <c r="AF988" t="s">
        <v>47</v>
      </c>
      <c r="AG988" t="s">
        <v>47</v>
      </c>
      <c r="AH988" t="s">
        <v>47</v>
      </c>
      <c r="AI988" t="s">
        <v>47</v>
      </c>
      <c r="AJ988" t="s">
        <v>47</v>
      </c>
      <c r="AK988" t="s">
        <v>47</v>
      </c>
      <c r="AL988" t="s">
        <v>47</v>
      </c>
      <c r="AM988" t="s">
        <v>47</v>
      </c>
      <c r="AN988" t="s">
        <v>47</v>
      </c>
      <c r="AO988" s="5" t="s">
        <v>60</v>
      </c>
      <c r="AP988" s="4" t="s">
        <v>61</v>
      </c>
      <c r="AQ988" s="4" t="s">
        <v>53</v>
      </c>
      <c r="AR988" s="4" t="s">
        <v>3951</v>
      </c>
      <c r="AS988" s="5">
        <v>47163</v>
      </c>
      <c r="AT988" t="s">
        <v>47</v>
      </c>
    </row>
    <row r="989" spans="1:46" ht="39" x14ac:dyDescent="0.3">
      <c r="A989" s="4" t="s">
        <v>3952</v>
      </c>
      <c r="B989" t="s">
        <v>47</v>
      </c>
      <c r="C989" s="4" t="s">
        <v>3953</v>
      </c>
      <c r="D989" s="4" t="s">
        <v>3954</v>
      </c>
      <c r="E989" s="4" t="s">
        <v>49</v>
      </c>
      <c r="F989" t="s">
        <v>47</v>
      </c>
      <c r="G989" s="5" t="s">
        <v>3955</v>
      </c>
      <c r="H989" t="s">
        <v>47</v>
      </c>
      <c r="I989" s="3">
        <v>39873</v>
      </c>
      <c r="J989" s="3">
        <v>42064</v>
      </c>
      <c r="K989" t="s">
        <v>47</v>
      </c>
      <c r="L989" s="5" t="s">
        <v>60</v>
      </c>
      <c r="M989" s="3">
        <v>39873</v>
      </c>
      <c r="N989" s="3">
        <v>41518</v>
      </c>
      <c r="O989" t="s">
        <v>47</v>
      </c>
      <c r="P989" s="3">
        <v>40969</v>
      </c>
      <c r="Q989" s="3">
        <v>42064</v>
      </c>
      <c r="R989" t="s">
        <v>47</v>
      </c>
      <c r="S989" t="s">
        <v>47</v>
      </c>
      <c r="T989" t="s">
        <v>47</v>
      </c>
      <c r="U989" t="s">
        <v>47</v>
      </c>
      <c r="V989" t="s">
        <v>47</v>
      </c>
      <c r="W989" s="3">
        <v>39873</v>
      </c>
      <c r="X989" s="3">
        <v>42064</v>
      </c>
      <c r="Y989" t="s">
        <v>47</v>
      </c>
      <c r="Z989" s="3">
        <v>39873</v>
      </c>
      <c r="AA989" s="3">
        <v>42064</v>
      </c>
      <c r="AB989" t="s">
        <v>47</v>
      </c>
      <c r="AC989" s="3">
        <v>39873</v>
      </c>
      <c r="AD989" s="3">
        <v>42064</v>
      </c>
      <c r="AE989" t="s">
        <v>47</v>
      </c>
      <c r="AF989" t="s">
        <v>47</v>
      </c>
      <c r="AG989" t="s">
        <v>47</v>
      </c>
      <c r="AH989" t="s">
        <v>47</v>
      </c>
      <c r="AI989" t="s">
        <v>47</v>
      </c>
      <c r="AJ989" t="s">
        <v>47</v>
      </c>
      <c r="AK989" t="s">
        <v>47</v>
      </c>
      <c r="AL989" t="s">
        <v>47</v>
      </c>
      <c r="AM989" t="s">
        <v>47</v>
      </c>
      <c r="AN989" t="s">
        <v>47</v>
      </c>
      <c r="AO989" s="5" t="s">
        <v>60</v>
      </c>
      <c r="AP989" s="4" t="s">
        <v>61</v>
      </c>
      <c r="AQ989" s="4" t="s">
        <v>53</v>
      </c>
      <c r="AR989" s="4" t="s">
        <v>62</v>
      </c>
      <c r="AS989" s="5">
        <v>2030650</v>
      </c>
      <c r="AT989" t="s">
        <v>47</v>
      </c>
    </row>
    <row r="990" spans="1:46" ht="26" x14ac:dyDescent="0.3">
      <c r="A990" s="4" t="s">
        <v>3956</v>
      </c>
      <c r="B990" t="s">
        <v>47</v>
      </c>
      <c r="C990" s="4" t="s">
        <v>3288</v>
      </c>
      <c r="D990" s="4" t="s">
        <v>3289</v>
      </c>
      <c r="E990" s="4" t="s">
        <v>66</v>
      </c>
      <c r="F990" s="5" t="s">
        <v>3957</v>
      </c>
      <c r="G990" s="5" t="s">
        <v>3958</v>
      </c>
      <c r="H990" t="s">
        <v>47</v>
      </c>
      <c r="I990" s="3">
        <v>39814</v>
      </c>
      <c r="J990" s="3">
        <v>40544</v>
      </c>
      <c r="K990" t="s">
        <v>47</v>
      </c>
      <c r="L990" s="5" t="s">
        <v>60</v>
      </c>
      <c r="M990" s="3">
        <v>39814</v>
      </c>
      <c r="N990" s="3">
        <v>40544</v>
      </c>
      <c r="O990" t="s">
        <v>47</v>
      </c>
      <c r="P990" s="3">
        <v>39814</v>
      </c>
      <c r="Q990" s="3">
        <v>40544</v>
      </c>
      <c r="R990" t="s">
        <v>47</v>
      </c>
      <c r="S990" t="s">
        <v>47</v>
      </c>
      <c r="T990" t="s">
        <v>47</v>
      </c>
      <c r="U990" t="s">
        <v>47</v>
      </c>
      <c r="V990" t="s">
        <v>47</v>
      </c>
      <c r="W990" s="3">
        <v>39814</v>
      </c>
      <c r="X990" s="3">
        <v>40544</v>
      </c>
      <c r="Y990" t="s">
        <v>47</v>
      </c>
      <c r="Z990" s="3">
        <v>39814</v>
      </c>
      <c r="AA990" s="3">
        <v>40544</v>
      </c>
      <c r="AB990" t="s">
        <v>47</v>
      </c>
      <c r="AC990" s="3">
        <v>39814</v>
      </c>
      <c r="AD990" s="3">
        <v>40544</v>
      </c>
      <c r="AE990" t="s">
        <v>47</v>
      </c>
      <c r="AF990" t="s">
        <v>47</v>
      </c>
      <c r="AG990" t="s">
        <v>47</v>
      </c>
      <c r="AH990" t="s">
        <v>47</v>
      </c>
      <c r="AI990" t="s">
        <v>47</v>
      </c>
      <c r="AJ990" t="s">
        <v>47</v>
      </c>
      <c r="AK990" t="s">
        <v>47</v>
      </c>
      <c r="AL990" t="s">
        <v>47</v>
      </c>
      <c r="AM990" t="s">
        <v>47</v>
      </c>
      <c r="AN990" t="s">
        <v>47</v>
      </c>
      <c r="AO990" s="5" t="s">
        <v>60</v>
      </c>
      <c r="AP990" s="4" t="s">
        <v>61</v>
      </c>
      <c r="AQ990" s="4" t="s">
        <v>53</v>
      </c>
      <c r="AR990" s="4" t="s">
        <v>371</v>
      </c>
      <c r="AS990" s="5">
        <v>307107</v>
      </c>
      <c r="AT990" t="s">
        <v>47</v>
      </c>
    </row>
    <row r="991" spans="1:46" ht="26" x14ac:dyDescent="0.3">
      <c r="A991" s="4" t="s">
        <v>3959</v>
      </c>
      <c r="B991" t="s">
        <v>47</v>
      </c>
      <c r="C991" s="4" t="s">
        <v>169</v>
      </c>
      <c r="D991" s="4" t="s">
        <v>70</v>
      </c>
      <c r="E991" s="4" t="s">
        <v>66</v>
      </c>
      <c r="F991" s="5" t="s">
        <v>3960</v>
      </c>
      <c r="G991" s="5" t="s">
        <v>3961</v>
      </c>
      <c r="H991" t="s">
        <v>47</v>
      </c>
      <c r="I991" s="3">
        <v>34700</v>
      </c>
      <c r="J991" s="3">
        <v>35431</v>
      </c>
      <c r="K991" t="s">
        <v>47</v>
      </c>
      <c r="L991" s="5" t="s">
        <v>60</v>
      </c>
      <c r="M991" s="3">
        <v>34700</v>
      </c>
      <c r="N991" s="3">
        <v>35431</v>
      </c>
      <c r="O991" t="s">
        <v>47</v>
      </c>
      <c r="P991" s="3">
        <v>34700</v>
      </c>
      <c r="Q991" s="3">
        <v>35431</v>
      </c>
      <c r="R991" t="s">
        <v>47</v>
      </c>
      <c r="S991" t="s">
        <v>47</v>
      </c>
      <c r="T991" t="s">
        <v>47</v>
      </c>
      <c r="U991" t="s">
        <v>47</v>
      </c>
      <c r="V991" t="s">
        <v>47</v>
      </c>
      <c r="W991" s="3">
        <v>29587</v>
      </c>
      <c r="X991" s="5" t="s">
        <v>50</v>
      </c>
      <c r="Y991" s="5" t="s">
        <v>3168</v>
      </c>
      <c r="Z991" s="3">
        <v>29587</v>
      </c>
      <c r="AA991" s="5" t="s">
        <v>50</v>
      </c>
      <c r="AB991" s="5" t="s">
        <v>3168</v>
      </c>
      <c r="AC991" s="3">
        <v>29587</v>
      </c>
      <c r="AD991" s="5" t="s">
        <v>50</v>
      </c>
      <c r="AE991" s="5" t="s">
        <v>3168</v>
      </c>
      <c r="AF991" t="s">
        <v>47</v>
      </c>
      <c r="AG991" t="s">
        <v>47</v>
      </c>
      <c r="AH991" t="s">
        <v>47</v>
      </c>
      <c r="AI991" t="s">
        <v>47</v>
      </c>
      <c r="AJ991" t="s">
        <v>47</v>
      </c>
      <c r="AK991" t="s">
        <v>47</v>
      </c>
      <c r="AL991" t="s">
        <v>47</v>
      </c>
      <c r="AM991" t="s">
        <v>47</v>
      </c>
      <c r="AN991" t="s">
        <v>47</v>
      </c>
      <c r="AO991" s="5" t="s">
        <v>60</v>
      </c>
      <c r="AP991" s="4" t="s">
        <v>61</v>
      </c>
      <c r="AQ991" s="4" t="s">
        <v>53</v>
      </c>
      <c r="AR991" s="4" t="s">
        <v>483</v>
      </c>
      <c r="AS991" s="5">
        <v>47142</v>
      </c>
      <c r="AT991" t="s">
        <v>47</v>
      </c>
    </row>
    <row r="992" spans="1:46" ht="78" x14ac:dyDescent="0.3">
      <c r="A992" s="4" t="s">
        <v>3962</v>
      </c>
      <c r="B992" t="s">
        <v>47</v>
      </c>
      <c r="C992" s="4" t="s">
        <v>3963</v>
      </c>
      <c r="D992" s="4" t="s">
        <v>3964</v>
      </c>
      <c r="E992" s="4" t="s">
        <v>49</v>
      </c>
      <c r="F992" t="s">
        <v>47</v>
      </c>
      <c r="G992" s="5" t="s">
        <v>3965</v>
      </c>
      <c r="H992" t="s">
        <v>47</v>
      </c>
      <c r="I992" s="3">
        <v>42005</v>
      </c>
      <c r="J992" s="5" t="s">
        <v>50</v>
      </c>
      <c r="K992" t="s">
        <v>47</v>
      </c>
      <c r="L992" s="5" t="s">
        <v>60</v>
      </c>
      <c r="M992" t="s">
        <v>47</v>
      </c>
      <c r="N992" t="s">
        <v>47</v>
      </c>
      <c r="O992" t="s">
        <v>47</v>
      </c>
      <c r="P992" s="3">
        <v>42005</v>
      </c>
      <c r="Q992" s="5" t="s">
        <v>50</v>
      </c>
      <c r="R992" t="s">
        <v>47</v>
      </c>
      <c r="S992" t="s">
        <v>47</v>
      </c>
      <c r="T992" t="s">
        <v>47</v>
      </c>
      <c r="U992" t="s">
        <v>47</v>
      </c>
      <c r="V992" t="s">
        <v>47</v>
      </c>
      <c r="W992" s="3">
        <v>42005</v>
      </c>
      <c r="X992" s="5" t="s">
        <v>50</v>
      </c>
      <c r="Y992" t="s">
        <v>47</v>
      </c>
      <c r="Z992" s="3">
        <v>42005</v>
      </c>
      <c r="AA992" s="5" t="s">
        <v>50</v>
      </c>
      <c r="AB992" t="s">
        <v>47</v>
      </c>
      <c r="AC992" s="3">
        <v>42005</v>
      </c>
      <c r="AD992" s="5" t="s">
        <v>50</v>
      </c>
      <c r="AE992" t="s">
        <v>47</v>
      </c>
      <c r="AF992" t="s">
        <v>47</v>
      </c>
      <c r="AG992" t="s">
        <v>47</v>
      </c>
      <c r="AH992" t="s">
        <v>47</v>
      </c>
      <c r="AI992" t="s">
        <v>47</v>
      </c>
      <c r="AJ992" t="s">
        <v>47</v>
      </c>
      <c r="AK992" t="s">
        <v>47</v>
      </c>
      <c r="AL992" t="s">
        <v>47</v>
      </c>
      <c r="AM992" t="s">
        <v>47</v>
      </c>
      <c r="AN992" t="s">
        <v>47</v>
      </c>
      <c r="AO992" s="5" t="s">
        <v>60</v>
      </c>
      <c r="AP992" s="4" t="s">
        <v>61</v>
      </c>
      <c r="AQ992" s="4" t="s">
        <v>53</v>
      </c>
      <c r="AR992" s="4" t="s">
        <v>136</v>
      </c>
      <c r="AS992" s="5">
        <v>2043068</v>
      </c>
      <c r="AT992" t="s">
        <v>47</v>
      </c>
    </row>
    <row r="993" spans="1:46" ht="52" x14ac:dyDescent="0.3">
      <c r="A993" s="4" t="s">
        <v>3966</v>
      </c>
      <c r="B993" t="s">
        <v>47</v>
      </c>
      <c r="C993" s="4" t="s">
        <v>122</v>
      </c>
      <c r="D993" s="4" t="s">
        <v>3967</v>
      </c>
      <c r="E993" s="4" t="s">
        <v>123</v>
      </c>
      <c r="F993" s="5" t="s">
        <v>3968</v>
      </c>
      <c r="G993" s="5" t="s">
        <v>3969</v>
      </c>
      <c r="H993" t="s">
        <v>47</v>
      </c>
      <c r="I993" s="3">
        <v>36342</v>
      </c>
      <c r="J993" s="3">
        <v>42736</v>
      </c>
      <c r="K993" t="s">
        <v>47</v>
      </c>
      <c r="L993" s="5" t="s">
        <v>60</v>
      </c>
      <c r="M993" s="3">
        <v>36342</v>
      </c>
      <c r="N993" s="3">
        <v>42736</v>
      </c>
      <c r="O993" t="s">
        <v>47</v>
      </c>
      <c r="P993" s="3">
        <v>36342</v>
      </c>
      <c r="Q993" s="3">
        <v>42736</v>
      </c>
      <c r="R993" t="s">
        <v>47</v>
      </c>
      <c r="S993" t="s">
        <v>47</v>
      </c>
      <c r="T993" t="s">
        <v>47</v>
      </c>
      <c r="U993" t="s">
        <v>47</v>
      </c>
      <c r="V993" t="s">
        <v>47</v>
      </c>
      <c r="W993" s="3">
        <v>36342</v>
      </c>
      <c r="X993" s="5" t="s">
        <v>50</v>
      </c>
      <c r="Y993" t="s">
        <v>47</v>
      </c>
      <c r="Z993" s="3">
        <v>36342</v>
      </c>
      <c r="AA993" s="5" t="s">
        <v>50</v>
      </c>
      <c r="AB993" t="s">
        <v>47</v>
      </c>
      <c r="AC993" s="3">
        <v>36342</v>
      </c>
      <c r="AD993" s="5" t="s">
        <v>50</v>
      </c>
      <c r="AE993" t="s">
        <v>47</v>
      </c>
      <c r="AF993" t="s">
        <v>47</v>
      </c>
      <c r="AG993" t="s">
        <v>47</v>
      </c>
      <c r="AH993" t="s">
        <v>47</v>
      </c>
      <c r="AI993" t="s">
        <v>47</v>
      </c>
      <c r="AJ993" t="s">
        <v>47</v>
      </c>
      <c r="AK993" t="s">
        <v>47</v>
      </c>
      <c r="AL993" t="s">
        <v>47</v>
      </c>
      <c r="AM993" t="s">
        <v>47</v>
      </c>
      <c r="AN993" t="s">
        <v>47</v>
      </c>
      <c r="AO993" s="5" t="s">
        <v>60</v>
      </c>
      <c r="AP993" s="4" t="s">
        <v>61</v>
      </c>
      <c r="AQ993" s="4" t="s">
        <v>53</v>
      </c>
      <c r="AR993" s="4" t="s">
        <v>3187</v>
      </c>
      <c r="AS993" s="5">
        <v>29628</v>
      </c>
      <c r="AT993" t="s">
        <v>47</v>
      </c>
    </row>
    <row r="994" spans="1:46" ht="52" x14ac:dyDescent="0.3">
      <c r="A994" s="4" t="s">
        <v>3970</v>
      </c>
      <c r="B994" t="s">
        <v>47</v>
      </c>
      <c r="C994" s="4" t="s">
        <v>169</v>
      </c>
      <c r="D994" s="4" t="s">
        <v>339</v>
      </c>
      <c r="E994" s="4" t="s">
        <v>66</v>
      </c>
      <c r="F994" s="5" t="s">
        <v>3971</v>
      </c>
      <c r="G994" s="5" t="s">
        <v>3972</v>
      </c>
      <c r="H994" t="s">
        <v>47</v>
      </c>
      <c r="I994" t="s">
        <v>47</v>
      </c>
      <c r="J994" t="s">
        <v>47</v>
      </c>
      <c r="K994" t="s">
        <v>47</v>
      </c>
      <c r="L994" s="5" t="s">
        <v>60</v>
      </c>
      <c r="M994" t="s">
        <v>47</v>
      </c>
      <c r="N994" t="s">
        <v>47</v>
      </c>
      <c r="O994" t="s">
        <v>47</v>
      </c>
      <c r="P994" t="s">
        <v>47</v>
      </c>
      <c r="Q994" t="s">
        <v>47</v>
      </c>
      <c r="R994" t="s">
        <v>47</v>
      </c>
      <c r="S994" t="s">
        <v>47</v>
      </c>
      <c r="T994" t="s">
        <v>47</v>
      </c>
      <c r="U994" t="s">
        <v>47</v>
      </c>
      <c r="V994" t="s">
        <v>47</v>
      </c>
      <c r="W994" s="3">
        <v>40179</v>
      </c>
      <c r="X994" s="5" t="s">
        <v>50</v>
      </c>
      <c r="Y994" s="5" t="s">
        <v>811</v>
      </c>
      <c r="Z994" s="3">
        <v>40179</v>
      </c>
      <c r="AA994" s="5" t="s">
        <v>50</v>
      </c>
      <c r="AB994" s="5" t="s">
        <v>811</v>
      </c>
      <c r="AC994" s="3">
        <v>40179</v>
      </c>
      <c r="AD994" s="5" t="s">
        <v>50</v>
      </c>
      <c r="AE994" s="5" t="s">
        <v>811</v>
      </c>
      <c r="AF994" t="s">
        <v>47</v>
      </c>
      <c r="AG994" t="s">
        <v>47</v>
      </c>
      <c r="AH994" t="s">
        <v>47</v>
      </c>
      <c r="AI994" t="s">
        <v>47</v>
      </c>
      <c r="AJ994" t="s">
        <v>47</v>
      </c>
      <c r="AK994" t="s">
        <v>47</v>
      </c>
      <c r="AL994" t="s">
        <v>47</v>
      </c>
      <c r="AM994" t="s">
        <v>47</v>
      </c>
      <c r="AN994" t="s">
        <v>47</v>
      </c>
      <c r="AO994" s="5" t="s">
        <v>60</v>
      </c>
      <c r="AP994" s="4" t="s">
        <v>61</v>
      </c>
      <c r="AQ994" s="4" t="s">
        <v>53</v>
      </c>
      <c r="AR994" s="4" t="s">
        <v>3973</v>
      </c>
      <c r="AS994" s="5">
        <v>466395</v>
      </c>
      <c r="AT994" t="s">
        <v>47</v>
      </c>
    </row>
    <row r="995" spans="1:46" ht="13" x14ac:dyDescent="0.3">
      <c r="A995" s="4" t="s">
        <v>3974</v>
      </c>
      <c r="B995" t="s">
        <v>47</v>
      </c>
      <c r="C995" s="4" t="s">
        <v>3974</v>
      </c>
      <c r="D995" s="4" t="s">
        <v>424</v>
      </c>
      <c r="E995" s="4" t="s">
        <v>701</v>
      </c>
      <c r="F995" t="s">
        <v>47</v>
      </c>
      <c r="G995" s="5" t="s">
        <v>3975</v>
      </c>
      <c r="H995" t="s">
        <v>47</v>
      </c>
      <c r="I995" s="3">
        <v>42736</v>
      </c>
      <c r="J995" s="5" t="s">
        <v>50</v>
      </c>
      <c r="K995" t="s">
        <v>47</v>
      </c>
      <c r="L995" s="5" t="s">
        <v>60</v>
      </c>
      <c r="M995" t="s">
        <v>47</v>
      </c>
      <c r="N995" t="s">
        <v>47</v>
      </c>
      <c r="O995" t="s">
        <v>47</v>
      </c>
      <c r="P995" s="3">
        <v>42736</v>
      </c>
      <c r="Q995" s="5" t="s">
        <v>50</v>
      </c>
      <c r="R995" t="s">
        <v>47</v>
      </c>
      <c r="S995" t="s">
        <v>47</v>
      </c>
      <c r="T995" t="s">
        <v>47</v>
      </c>
      <c r="U995" t="s">
        <v>47</v>
      </c>
      <c r="V995" t="s">
        <v>47</v>
      </c>
      <c r="W995" s="3">
        <v>42736</v>
      </c>
      <c r="X995" s="5" t="s">
        <v>50</v>
      </c>
      <c r="Y995" t="s">
        <v>47</v>
      </c>
      <c r="Z995" s="3">
        <v>42736</v>
      </c>
      <c r="AA995" s="5" t="s">
        <v>50</v>
      </c>
      <c r="AB995" t="s">
        <v>47</v>
      </c>
      <c r="AC995" s="3">
        <v>42736</v>
      </c>
      <c r="AD995" s="5" t="s">
        <v>50</v>
      </c>
      <c r="AE995" t="s">
        <v>47</v>
      </c>
      <c r="AF995" t="s">
        <v>47</v>
      </c>
      <c r="AG995" t="s">
        <v>47</v>
      </c>
      <c r="AH995" t="s">
        <v>47</v>
      </c>
      <c r="AI995" t="s">
        <v>47</v>
      </c>
      <c r="AJ995" t="s">
        <v>47</v>
      </c>
      <c r="AK995" t="s">
        <v>47</v>
      </c>
      <c r="AL995" t="s">
        <v>47</v>
      </c>
      <c r="AM995" t="s">
        <v>47</v>
      </c>
      <c r="AN995" t="s">
        <v>47</v>
      </c>
      <c r="AO995" s="5" t="s">
        <v>60</v>
      </c>
      <c r="AP995" s="4" t="s">
        <v>61</v>
      </c>
      <c r="AQ995" s="4" t="s">
        <v>53</v>
      </c>
      <c r="AR995" s="4" t="s">
        <v>54</v>
      </c>
      <c r="AS995" s="5">
        <v>4421849</v>
      </c>
      <c r="AT995" t="s">
        <v>47</v>
      </c>
    </row>
    <row r="996" spans="1:46" ht="13" x14ac:dyDescent="0.3">
      <c r="A996" s="4" t="s">
        <v>3976</v>
      </c>
      <c r="B996" t="s">
        <v>47</v>
      </c>
      <c r="C996" s="4" t="s">
        <v>1571</v>
      </c>
      <c r="D996" s="4" t="s">
        <v>3977</v>
      </c>
      <c r="E996" s="4" t="s">
        <v>163</v>
      </c>
      <c r="F996" s="5" t="s">
        <v>3978</v>
      </c>
      <c r="G996" s="5" t="s">
        <v>3979</v>
      </c>
      <c r="H996" t="s">
        <v>47</v>
      </c>
      <c r="I996" s="3">
        <v>40179</v>
      </c>
      <c r="J996" s="5" t="s">
        <v>50</v>
      </c>
      <c r="K996" s="5" t="s">
        <v>1602</v>
      </c>
      <c r="L996" s="5" t="s">
        <v>60</v>
      </c>
      <c r="M996" t="s">
        <v>47</v>
      </c>
      <c r="N996" t="s">
        <v>47</v>
      </c>
      <c r="O996" t="s">
        <v>47</v>
      </c>
      <c r="P996" s="3">
        <v>40179</v>
      </c>
      <c r="Q996" s="5" t="s">
        <v>50</v>
      </c>
      <c r="R996" s="5" t="s">
        <v>1602</v>
      </c>
      <c r="S996" t="s">
        <v>47</v>
      </c>
      <c r="T996" t="s">
        <v>47</v>
      </c>
      <c r="U996" t="s">
        <v>47</v>
      </c>
      <c r="V996" t="s">
        <v>47</v>
      </c>
      <c r="W996" s="3">
        <v>40179</v>
      </c>
      <c r="X996" s="5" t="s">
        <v>50</v>
      </c>
      <c r="Y996" s="5" t="s">
        <v>1602</v>
      </c>
      <c r="Z996" s="3">
        <v>40179</v>
      </c>
      <c r="AA996" s="5" t="s">
        <v>50</v>
      </c>
      <c r="AB996" s="5" t="s">
        <v>1602</v>
      </c>
      <c r="AC996" s="3">
        <v>40179</v>
      </c>
      <c r="AD996" s="5" t="s">
        <v>50</v>
      </c>
      <c r="AE996" s="5" t="s">
        <v>1602</v>
      </c>
      <c r="AF996" t="s">
        <v>47</v>
      </c>
      <c r="AG996" t="s">
        <v>47</v>
      </c>
      <c r="AH996" t="s">
        <v>47</v>
      </c>
      <c r="AI996" t="s">
        <v>47</v>
      </c>
      <c r="AJ996" t="s">
        <v>47</v>
      </c>
      <c r="AK996" t="s">
        <v>47</v>
      </c>
      <c r="AL996" t="s">
        <v>47</v>
      </c>
      <c r="AM996" t="s">
        <v>47</v>
      </c>
      <c r="AN996" t="s">
        <v>47</v>
      </c>
      <c r="AO996" s="5" t="s">
        <v>60</v>
      </c>
      <c r="AP996" s="4" t="s">
        <v>61</v>
      </c>
      <c r="AQ996" s="4" t="s">
        <v>3980</v>
      </c>
      <c r="AR996" s="4" t="s">
        <v>54</v>
      </c>
      <c r="AS996" s="5">
        <v>2026547</v>
      </c>
      <c r="AT996" t="s">
        <v>47</v>
      </c>
    </row>
    <row r="997" spans="1:46" ht="65" x14ac:dyDescent="0.3">
      <c r="A997" s="4" t="s">
        <v>3981</v>
      </c>
      <c r="B997" t="s">
        <v>47</v>
      </c>
      <c r="C997" s="4" t="s">
        <v>3982</v>
      </c>
      <c r="D997" s="4" t="s">
        <v>3983</v>
      </c>
      <c r="E997" s="4" t="s">
        <v>49</v>
      </c>
      <c r="F997" s="5" t="s">
        <v>3984</v>
      </c>
      <c r="G997" t="s">
        <v>47</v>
      </c>
      <c r="H997" t="s">
        <v>47</v>
      </c>
      <c r="I997" t="s">
        <v>47</v>
      </c>
      <c r="J997" t="s">
        <v>47</v>
      </c>
      <c r="K997" t="s">
        <v>47</v>
      </c>
      <c r="L997" s="5" t="s">
        <v>60</v>
      </c>
      <c r="M997" t="s">
        <v>47</v>
      </c>
      <c r="N997" t="s">
        <v>47</v>
      </c>
      <c r="O997" t="s">
        <v>47</v>
      </c>
      <c r="P997" t="s">
        <v>47</v>
      </c>
      <c r="Q997" t="s">
        <v>47</v>
      </c>
      <c r="R997" t="s">
        <v>47</v>
      </c>
      <c r="S997" t="s">
        <v>47</v>
      </c>
      <c r="T997" t="s">
        <v>47</v>
      </c>
      <c r="U997" t="s">
        <v>47</v>
      </c>
      <c r="V997" t="s">
        <v>47</v>
      </c>
      <c r="W997" s="3">
        <v>35855</v>
      </c>
      <c r="X997" s="3">
        <v>36281</v>
      </c>
      <c r="Y997" t="s">
        <v>47</v>
      </c>
      <c r="Z997" s="3">
        <v>35855</v>
      </c>
      <c r="AA997" s="3">
        <v>36281</v>
      </c>
      <c r="AB997" t="s">
        <v>47</v>
      </c>
      <c r="AC997" t="s">
        <v>47</v>
      </c>
      <c r="AD997" t="s">
        <v>47</v>
      </c>
      <c r="AE997" t="s">
        <v>47</v>
      </c>
      <c r="AF997" t="s">
        <v>47</v>
      </c>
      <c r="AG997" t="s">
        <v>47</v>
      </c>
      <c r="AH997" t="s">
        <v>47</v>
      </c>
      <c r="AI997" t="s">
        <v>47</v>
      </c>
      <c r="AJ997" t="s">
        <v>47</v>
      </c>
      <c r="AK997" t="s">
        <v>47</v>
      </c>
      <c r="AL997" t="s">
        <v>47</v>
      </c>
      <c r="AM997" t="s">
        <v>47</v>
      </c>
      <c r="AN997" t="s">
        <v>47</v>
      </c>
      <c r="AO997" s="5" t="s">
        <v>60</v>
      </c>
      <c r="AP997" s="4" t="s">
        <v>61</v>
      </c>
      <c r="AQ997" s="4" t="s">
        <v>53</v>
      </c>
      <c r="AR997" s="4" t="s">
        <v>3985</v>
      </c>
      <c r="AS997" s="5">
        <v>41348</v>
      </c>
      <c r="AT997" t="s">
        <v>47</v>
      </c>
    </row>
    <row r="998" spans="1:46" ht="13" x14ac:dyDescent="0.3">
      <c r="A998" s="4" t="s">
        <v>3986</v>
      </c>
      <c r="B998" t="s">
        <v>47</v>
      </c>
      <c r="C998" s="4" t="s">
        <v>69</v>
      </c>
      <c r="D998" s="4" t="s">
        <v>70</v>
      </c>
      <c r="E998" s="4" t="s">
        <v>49</v>
      </c>
      <c r="F998" s="5" t="s">
        <v>3987</v>
      </c>
      <c r="G998" s="5" t="s">
        <v>3988</v>
      </c>
      <c r="H998" t="s">
        <v>47</v>
      </c>
      <c r="I998" s="3">
        <v>31837</v>
      </c>
      <c r="J998" s="3">
        <v>43070</v>
      </c>
      <c r="K998" t="s">
        <v>47</v>
      </c>
      <c r="L998" s="5" t="s">
        <v>60</v>
      </c>
      <c r="M998" s="3">
        <v>31837</v>
      </c>
      <c r="N998" s="3">
        <v>40269</v>
      </c>
      <c r="O998" t="s">
        <v>47</v>
      </c>
      <c r="P998" s="3">
        <v>31837</v>
      </c>
      <c r="Q998" s="3">
        <v>43070</v>
      </c>
      <c r="R998" t="s">
        <v>47</v>
      </c>
      <c r="S998" t="s">
        <v>47</v>
      </c>
      <c r="T998" t="s">
        <v>47</v>
      </c>
      <c r="U998" t="s">
        <v>47</v>
      </c>
      <c r="V998" t="s">
        <v>47</v>
      </c>
      <c r="W998" s="3">
        <v>31837</v>
      </c>
      <c r="X998" s="5" t="s">
        <v>50</v>
      </c>
      <c r="Y998" t="s">
        <v>47</v>
      </c>
      <c r="Z998" s="3">
        <v>31837</v>
      </c>
      <c r="AA998" s="5" t="s">
        <v>50</v>
      </c>
      <c r="AB998" t="s">
        <v>47</v>
      </c>
      <c r="AC998" s="3">
        <v>31837</v>
      </c>
      <c r="AD998" s="5" t="s">
        <v>50</v>
      </c>
      <c r="AE998" t="s">
        <v>47</v>
      </c>
      <c r="AF998" t="s">
        <v>47</v>
      </c>
      <c r="AG998" t="s">
        <v>47</v>
      </c>
      <c r="AH998" t="s">
        <v>47</v>
      </c>
      <c r="AI998" t="s">
        <v>47</v>
      </c>
      <c r="AJ998" t="s">
        <v>47</v>
      </c>
      <c r="AK998" t="s">
        <v>47</v>
      </c>
      <c r="AL998" t="s">
        <v>47</v>
      </c>
      <c r="AM998" t="s">
        <v>47</v>
      </c>
      <c r="AN998" t="s">
        <v>47</v>
      </c>
      <c r="AO998" s="5" t="s">
        <v>60</v>
      </c>
      <c r="AP998" s="4" t="s">
        <v>61</v>
      </c>
      <c r="AQ998" s="4" t="s">
        <v>53</v>
      </c>
      <c r="AR998" s="4" t="s">
        <v>483</v>
      </c>
      <c r="AS998" s="5">
        <v>32723</v>
      </c>
      <c r="AT998" t="s">
        <v>47</v>
      </c>
    </row>
    <row r="999" spans="1:46" ht="39" x14ac:dyDescent="0.3">
      <c r="A999" s="4" t="s">
        <v>3989</v>
      </c>
      <c r="B999" t="s">
        <v>47</v>
      </c>
      <c r="C999" s="4" t="s">
        <v>3990</v>
      </c>
      <c r="D999" s="4" t="s">
        <v>3991</v>
      </c>
      <c r="E999" s="4" t="s">
        <v>570</v>
      </c>
      <c r="F999" s="5" t="s">
        <v>3992</v>
      </c>
      <c r="G999" s="5" t="s">
        <v>3993</v>
      </c>
      <c r="H999" t="s">
        <v>47</v>
      </c>
      <c r="I999" s="3">
        <v>40330</v>
      </c>
      <c r="J999" s="3">
        <v>41426</v>
      </c>
      <c r="K999" t="s">
        <v>47</v>
      </c>
      <c r="L999" s="5" t="s">
        <v>60</v>
      </c>
      <c r="M999" s="3">
        <v>40330</v>
      </c>
      <c r="N999" s="3">
        <v>41426</v>
      </c>
      <c r="O999" t="s">
        <v>47</v>
      </c>
      <c r="P999" s="3">
        <v>40330</v>
      </c>
      <c r="Q999" s="3">
        <v>41426</v>
      </c>
      <c r="R999" t="s">
        <v>47</v>
      </c>
      <c r="S999" t="s">
        <v>47</v>
      </c>
      <c r="T999" t="s">
        <v>47</v>
      </c>
      <c r="U999" t="s">
        <v>47</v>
      </c>
      <c r="V999" t="s">
        <v>47</v>
      </c>
      <c r="W999" s="3">
        <v>40330</v>
      </c>
      <c r="X999" s="3">
        <v>41426</v>
      </c>
      <c r="Y999" t="s">
        <v>47</v>
      </c>
      <c r="Z999" s="3">
        <v>40330</v>
      </c>
      <c r="AA999" s="3">
        <v>41426</v>
      </c>
      <c r="AB999" t="s">
        <v>47</v>
      </c>
      <c r="AC999" s="3">
        <v>40330</v>
      </c>
      <c r="AD999" s="3">
        <v>41426</v>
      </c>
      <c r="AE999" t="s">
        <v>47</v>
      </c>
      <c r="AF999" t="s">
        <v>47</v>
      </c>
      <c r="AG999" t="s">
        <v>47</v>
      </c>
      <c r="AH999" t="s">
        <v>47</v>
      </c>
      <c r="AI999" t="s">
        <v>47</v>
      </c>
      <c r="AJ999" t="s">
        <v>47</v>
      </c>
      <c r="AK999" t="s">
        <v>47</v>
      </c>
      <c r="AL999" t="s">
        <v>47</v>
      </c>
      <c r="AM999" t="s">
        <v>47</v>
      </c>
      <c r="AN999" t="s">
        <v>47</v>
      </c>
      <c r="AO999" s="5" t="s">
        <v>60</v>
      </c>
      <c r="AP999" s="4" t="s">
        <v>61</v>
      </c>
      <c r="AQ999" s="4" t="s">
        <v>53</v>
      </c>
      <c r="AR999" s="4" t="s">
        <v>3994</v>
      </c>
      <c r="AS999" s="5">
        <v>276246</v>
      </c>
      <c r="AT999" t="s">
        <v>47</v>
      </c>
    </row>
    <row r="1000" spans="1:46" ht="26" x14ac:dyDescent="0.3">
      <c r="A1000" s="4" t="s">
        <v>3995</v>
      </c>
      <c r="B1000" t="s">
        <v>47</v>
      </c>
      <c r="C1000" s="4" t="s">
        <v>747</v>
      </c>
      <c r="D1000" s="4" t="s">
        <v>748</v>
      </c>
      <c r="E1000" s="4" t="s">
        <v>66</v>
      </c>
      <c r="F1000" s="5" t="s">
        <v>3996</v>
      </c>
      <c r="G1000" s="5" t="s">
        <v>3997</v>
      </c>
      <c r="H1000" t="s">
        <v>47</v>
      </c>
      <c r="I1000" t="s">
        <v>47</v>
      </c>
      <c r="J1000" t="s">
        <v>47</v>
      </c>
      <c r="K1000" t="s">
        <v>47</v>
      </c>
      <c r="L1000" s="5" t="s">
        <v>60</v>
      </c>
      <c r="M1000" t="s">
        <v>47</v>
      </c>
      <c r="N1000" t="s">
        <v>47</v>
      </c>
      <c r="O1000" t="s">
        <v>47</v>
      </c>
      <c r="P1000" t="s">
        <v>47</v>
      </c>
      <c r="Q1000" t="s">
        <v>47</v>
      </c>
      <c r="R1000" t="s">
        <v>47</v>
      </c>
      <c r="S1000" t="s">
        <v>47</v>
      </c>
      <c r="T1000" t="s">
        <v>47</v>
      </c>
      <c r="U1000" t="s">
        <v>47</v>
      </c>
      <c r="V1000" t="s">
        <v>47</v>
      </c>
      <c r="W1000" s="3">
        <v>39203</v>
      </c>
      <c r="X1000" s="5" t="s">
        <v>50</v>
      </c>
      <c r="Y1000" t="s">
        <v>47</v>
      </c>
      <c r="Z1000" s="3">
        <v>39203</v>
      </c>
      <c r="AA1000" s="5" t="s">
        <v>50</v>
      </c>
      <c r="AB1000" t="s">
        <v>47</v>
      </c>
      <c r="AC1000" s="3">
        <v>39203</v>
      </c>
      <c r="AD1000" s="5" t="s">
        <v>50</v>
      </c>
      <c r="AE1000" t="s">
        <v>47</v>
      </c>
      <c r="AF1000" t="s">
        <v>47</v>
      </c>
      <c r="AG1000" t="s">
        <v>47</v>
      </c>
      <c r="AH1000" t="s">
        <v>47</v>
      </c>
      <c r="AI1000" t="s">
        <v>47</v>
      </c>
      <c r="AJ1000" t="s">
        <v>47</v>
      </c>
      <c r="AK1000" t="s">
        <v>47</v>
      </c>
      <c r="AL1000" t="s">
        <v>47</v>
      </c>
      <c r="AM1000" t="s">
        <v>47</v>
      </c>
      <c r="AN1000" t="s">
        <v>47</v>
      </c>
      <c r="AO1000" s="5" t="s">
        <v>60</v>
      </c>
      <c r="AP1000" s="4" t="s">
        <v>61</v>
      </c>
      <c r="AQ1000" s="4" t="s">
        <v>53</v>
      </c>
      <c r="AR1000" s="4" t="s">
        <v>3998</v>
      </c>
      <c r="AS1000" s="5">
        <v>31212</v>
      </c>
      <c r="AT1000" t="s">
        <v>47</v>
      </c>
    </row>
    <row r="1001" spans="1:46" ht="52" x14ac:dyDescent="0.3">
      <c r="A1001" s="4" t="s">
        <v>3999</v>
      </c>
      <c r="B1001" t="s">
        <v>47</v>
      </c>
      <c r="C1001" s="4" t="s">
        <v>4000</v>
      </c>
      <c r="D1001" s="4" t="s">
        <v>4001</v>
      </c>
      <c r="E1001" s="4" t="s">
        <v>151</v>
      </c>
      <c r="F1001" s="5" t="s">
        <v>4002</v>
      </c>
      <c r="G1001" s="5" t="s">
        <v>4003</v>
      </c>
      <c r="H1001" t="s">
        <v>47</v>
      </c>
      <c r="I1001" s="3">
        <v>40603</v>
      </c>
      <c r="J1001" s="5" t="s">
        <v>50</v>
      </c>
      <c r="K1001" t="s">
        <v>47</v>
      </c>
      <c r="L1001" s="5" t="s">
        <v>60</v>
      </c>
      <c r="M1001" s="3">
        <v>40603</v>
      </c>
      <c r="N1001" s="5" t="s">
        <v>50</v>
      </c>
      <c r="O1001" t="s">
        <v>47</v>
      </c>
      <c r="P1001" s="3">
        <v>40603</v>
      </c>
      <c r="Q1001" s="5" t="s">
        <v>50</v>
      </c>
      <c r="R1001" t="s">
        <v>47</v>
      </c>
      <c r="S1001" t="s">
        <v>47</v>
      </c>
      <c r="T1001" t="s">
        <v>47</v>
      </c>
      <c r="U1001" t="s">
        <v>47</v>
      </c>
      <c r="V1001" t="s">
        <v>47</v>
      </c>
      <c r="W1001" s="3">
        <v>40603</v>
      </c>
      <c r="X1001" s="5" t="s">
        <v>50</v>
      </c>
      <c r="Y1001" t="s">
        <v>47</v>
      </c>
      <c r="Z1001" s="3">
        <v>40603</v>
      </c>
      <c r="AA1001" s="5" t="s">
        <v>50</v>
      </c>
      <c r="AB1001" t="s">
        <v>47</v>
      </c>
      <c r="AC1001" s="3">
        <v>40603</v>
      </c>
      <c r="AD1001" s="5" t="s">
        <v>50</v>
      </c>
      <c r="AE1001" t="s">
        <v>47</v>
      </c>
      <c r="AF1001" t="s">
        <v>47</v>
      </c>
      <c r="AG1001" t="s">
        <v>47</v>
      </c>
      <c r="AH1001" t="s">
        <v>47</v>
      </c>
      <c r="AI1001" t="s">
        <v>47</v>
      </c>
      <c r="AJ1001" t="s">
        <v>47</v>
      </c>
      <c r="AK1001" t="s">
        <v>47</v>
      </c>
      <c r="AL1001" t="s">
        <v>47</v>
      </c>
      <c r="AM1001" t="s">
        <v>47</v>
      </c>
      <c r="AN1001" t="s">
        <v>47</v>
      </c>
      <c r="AO1001" s="5" t="s">
        <v>60</v>
      </c>
      <c r="AP1001" s="4" t="s">
        <v>61</v>
      </c>
      <c r="AQ1001" s="4" t="s">
        <v>53</v>
      </c>
      <c r="AR1001" s="4" t="s">
        <v>4004</v>
      </c>
      <c r="AS1001" s="5">
        <v>1006394</v>
      </c>
      <c r="AT1001" t="s">
        <v>47</v>
      </c>
    </row>
    <row r="1002" spans="1:46" ht="143" x14ac:dyDescent="0.3">
      <c r="A1002" s="4" t="s">
        <v>4005</v>
      </c>
      <c r="B1002" t="s">
        <v>47</v>
      </c>
      <c r="C1002" s="4" t="s">
        <v>169</v>
      </c>
      <c r="D1002" s="4" t="s">
        <v>223</v>
      </c>
      <c r="E1002" s="4" t="s">
        <v>66</v>
      </c>
      <c r="F1002" s="5" t="s">
        <v>4006</v>
      </c>
      <c r="G1002" s="5" t="s">
        <v>4007</v>
      </c>
      <c r="H1002" t="s">
        <v>47</v>
      </c>
      <c r="I1002" s="3">
        <v>32143</v>
      </c>
      <c r="J1002" s="3">
        <v>42675</v>
      </c>
      <c r="K1002" t="s">
        <v>47</v>
      </c>
      <c r="L1002" s="5" t="s">
        <v>60</v>
      </c>
      <c r="M1002" s="3">
        <v>34335</v>
      </c>
      <c r="N1002" s="3">
        <v>42675</v>
      </c>
      <c r="O1002" t="s">
        <v>47</v>
      </c>
      <c r="P1002" s="3">
        <v>32143</v>
      </c>
      <c r="Q1002" s="3">
        <v>42675</v>
      </c>
      <c r="R1002" t="s">
        <v>47</v>
      </c>
      <c r="S1002" t="s">
        <v>47</v>
      </c>
      <c r="T1002" t="s">
        <v>47</v>
      </c>
      <c r="U1002" t="s">
        <v>47</v>
      </c>
      <c r="V1002" t="s">
        <v>47</v>
      </c>
      <c r="W1002" s="3">
        <v>31413</v>
      </c>
      <c r="X1002" s="5" t="s">
        <v>50</v>
      </c>
      <c r="Y1002" t="s">
        <v>47</v>
      </c>
      <c r="Z1002" s="3">
        <v>31413</v>
      </c>
      <c r="AA1002" s="5" t="s">
        <v>50</v>
      </c>
      <c r="AB1002" t="s">
        <v>47</v>
      </c>
      <c r="AC1002" s="3">
        <v>31413</v>
      </c>
      <c r="AD1002" s="5" t="s">
        <v>50</v>
      </c>
      <c r="AE1002" t="s">
        <v>47</v>
      </c>
      <c r="AF1002" t="s">
        <v>47</v>
      </c>
      <c r="AG1002" t="s">
        <v>47</v>
      </c>
      <c r="AH1002" t="s">
        <v>47</v>
      </c>
      <c r="AI1002" t="s">
        <v>47</v>
      </c>
      <c r="AJ1002" t="s">
        <v>47</v>
      </c>
      <c r="AK1002" t="s">
        <v>47</v>
      </c>
      <c r="AL1002" t="s">
        <v>47</v>
      </c>
      <c r="AM1002" t="s">
        <v>47</v>
      </c>
      <c r="AN1002" t="s">
        <v>47</v>
      </c>
      <c r="AO1002" s="5" t="s">
        <v>60</v>
      </c>
      <c r="AP1002" s="4" t="s">
        <v>61</v>
      </c>
      <c r="AQ1002" s="4" t="s">
        <v>53</v>
      </c>
      <c r="AR1002" s="4" t="s">
        <v>4008</v>
      </c>
      <c r="AS1002" s="5">
        <v>40789</v>
      </c>
      <c r="AT1002" t="s">
        <v>47</v>
      </c>
    </row>
    <row r="1003" spans="1:46" ht="65" x14ac:dyDescent="0.3">
      <c r="A1003" s="4" t="s">
        <v>4009</v>
      </c>
      <c r="B1003" t="s">
        <v>47</v>
      </c>
      <c r="C1003" s="4" t="s">
        <v>4009</v>
      </c>
      <c r="D1003" s="4" t="s">
        <v>3983</v>
      </c>
      <c r="E1003" s="4" t="s">
        <v>49</v>
      </c>
      <c r="F1003" s="5" t="s">
        <v>4010</v>
      </c>
      <c r="G1003" s="5" t="s">
        <v>4011</v>
      </c>
      <c r="H1003" t="s">
        <v>47</v>
      </c>
      <c r="I1003" s="3">
        <v>36161</v>
      </c>
      <c r="J1003" s="3">
        <v>42736</v>
      </c>
      <c r="K1003" t="s">
        <v>47</v>
      </c>
      <c r="L1003" s="5" t="s">
        <v>60</v>
      </c>
      <c r="M1003" s="3">
        <v>36161</v>
      </c>
      <c r="N1003" s="3">
        <v>42736</v>
      </c>
      <c r="O1003" t="s">
        <v>47</v>
      </c>
      <c r="P1003" s="3">
        <v>36161</v>
      </c>
      <c r="Q1003" s="3">
        <v>42736</v>
      </c>
      <c r="R1003" t="s">
        <v>47</v>
      </c>
      <c r="S1003" t="s">
        <v>47</v>
      </c>
      <c r="T1003" t="s">
        <v>47</v>
      </c>
      <c r="U1003" t="s">
        <v>47</v>
      </c>
      <c r="V1003" t="s">
        <v>47</v>
      </c>
      <c r="W1003" s="3">
        <v>36161</v>
      </c>
      <c r="X1003" s="3">
        <v>42736</v>
      </c>
      <c r="Y1003" t="s">
        <v>47</v>
      </c>
      <c r="Z1003" s="3">
        <v>36161</v>
      </c>
      <c r="AA1003" s="3">
        <v>42736</v>
      </c>
      <c r="AB1003" t="s">
        <v>47</v>
      </c>
      <c r="AC1003" s="3">
        <v>38808</v>
      </c>
      <c r="AD1003" s="3">
        <v>42736</v>
      </c>
      <c r="AE1003" t="s">
        <v>47</v>
      </c>
      <c r="AF1003" t="s">
        <v>47</v>
      </c>
      <c r="AG1003" t="s">
        <v>47</v>
      </c>
      <c r="AH1003" t="s">
        <v>47</v>
      </c>
      <c r="AI1003" t="s">
        <v>47</v>
      </c>
      <c r="AJ1003" t="s">
        <v>47</v>
      </c>
      <c r="AK1003" t="s">
        <v>47</v>
      </c>
      <c r="AL1003" t="s">
        <v>47</v>
      </c>
      <c r="AM1003" t="s">
        <v>47</v>
      </c>
      <c r="AN1003" t="s">
        <v>47</v>
      </c>
      <c r="AO1003" s="5" t="s">
        <v>60</v>
      </c>
      <c r="AP1003" s="4" t="s">
        <v>61</v>
      </c>
      <c r="AQ1003" s="4" t="s">
        <v>53</v>
      </c>
      <c r="AR1003" s="4" t="s">
        <v>4012</v>
      </c>
      <c r="AS1003" s="5">
        <v>26719</v>
      </c>
      <c r="AT1003" t="s">
        <v>47</v>
      </c>
    </row>
    <row r="1004" spans="1:46" ht="39" x14ac:dyDescent="0.3">
      <c r="A1004" s="4" t="s">
        <v>4013</v>
      </c>
      <c r="B1004" t="s">
        <v>47</v>
      </c>
      <c r="C1004" s="4" t="s">
        <v>64</v>
      </c>
      <c r="D1004" s="4" t="s">
        <v>333</v>
      </c>
      <c r="E1004" s="4" t="s">
        <v>66</v>
      </c>
      <c r="F1004" s="5" t="s">
        <v>4014</v>
      </c>
      <c r="G1004" s="5" t="s">
        <v>4015</v>
      </c>
      <c r="H1004" t="s">
        <v>47</v>
      </c>
      <c r="I1004" t="s">
        <v>47</v>
      </c>
      <c r="J1004" t="s">
        <v>47</v>
      </c>
      <c r="K1004" t="s">
        <v>47</v>
      </c>
      <c r="L1004" s="5" t="s">
        <v>60</v>
      </c>
      <c r="M1004" t="s">
        <v>47</v>
      </c>
      <c r="N1004" t="s">
        <v>47</v>
      </c>
      <c r="O1004" t="s">
        <v>47</v>
      </c>
      <c r="P1004" t="s">
        <v>47</v>
      </c>
      <c r="Q1004" t="s">
        <v>47</v>
      </c>
      <c r="R1004" t="s">
        <v>47</v>
      </c>
      <c r="S1004" t="s">
        <v>47</v>
      </c>
      <c r="T1004" t="s">
        <v>47</v>
      </c>
      <c r="U1004" t="s">
        <v>47</v>
      </c>
      <c r="V1004" t="s">
        <v>47</v>
      </c>
      <c r="W1004" s="3">
        <v>38078</v>
      </c>
      <c r="X1004" s="5" t="s">
        <v>50</v>
      </c>
      <c r="Y1004" t="s">
        <v>47</v>
      </c>
      <c r="Z1004" s="3">
        <v>38078</v>
      </c>
      <c r="AA1004" s="5" t="s">
        <v>50</v>
      </c>
      <c r="AB1004" t="s">
        <v>47</v>
      </c>
      <c r="AC1004" s="3">
        <v>38078</v>
      </c>
      <c r="AD1004" s="5" t="s">
        <v>50</v>
      </c>
      <c r="AE1004" t="s">
        <v>47</v>
      </c>
      <c r="AF1004" t="s">
        <v>47</v>
      </c>
      <c r="AG1004" t="s">
        <v>47</v>
      </c>
      <c r="AH1004" t="s">
        <v>47</v>
      </c>
      <c r="AI1004" t="s">
        <v>47</v>
      </c>
      <c r="AJ1004" t="s">
        <v>47</v>
      </c>
      <c r="AK1004" t="s">
        <v>47</v>
      </c>
      <c r="AL1004" t="s">
        <v>47</v>
      </c>
      <c r="AM1004" t="s">
        <v>47</v>
      </c>
      <c r="AN1004" t="s">
        <v>47</v>
      </c>
      <c r="AO1004" s="5" t="s">
        <v>60</v>
      </c>
      <c r="AP1004" s="4" t="s">
        <v>61</v>
      </c>
      <c r="AQ1004" s="4" t="s">
        <v>53</v>
      </c>
      <c r="AR1004" s="4" t="s">
        <v>4016</v>
      </c>
      <c r="AS1004" s="5">
        <v>43228</v>
      </c>
      <c r="AT1004" t="s">
        <v>47</v>
      </c>
    </row>
    <row r="1005" spans="1:46" ht="65" x14ac:dyDescent="0.3">
      <c r="A1005" s="4" t="s">
        <v>4017</v>
      </c>
      <c r="B1005" t="s">
        <v>47</v>
      </c>
      <c r="C1005" s="4" t="s">
        <v>2478</v>
      </c>
      <c r="D1005" s="4" t="s">
        <v>1168</v>
      </c>
      <c r="E1005" s="4" t="s">
        <v>49</v>
      </c>
      <c r="F1005" s="5" t="s">
        <v>4018</v>
      </c>
      <c r="G1005" s="5" t="s">
        <v>4019</v>
      </c>
      <c r="H1005" t="s">
        <v>47</v>
      </c>
      <c r="I1005" s="3">
        <v>36161</v>
      </c>
      <c r="J1005" s="3">
        <v>38534</v>
      </c>
      <c r="K1005" t="s">
        <v>47</v>
      </c>
      <c r="L1005" s="5" t="s">
        <v>60</v>
      </c>
      <c r="M1005" s="3">
        <v>36161</v>
      </c>
      <c r="N1005" s="3">
        <v>38169</v>
      </c>
      <c r="O1005" t="s">
        <v>47</v>
      </c>
      <c r="P1005" s="3">
        <v>36161</v>
      </c>
      <c r="Q1005" s="3">
        <v>38534</v>
      </c>
      <c r="R1005" t="s">
        <v>47</v>
      </c>
      <c r="S1005" t="s">
        <v>47</v>
      </c>
      <c r="T1005" t="s">
        <v>47</v>
      </c>
      <c r="U1005" t="s">
        <v>47</v>
      </c>
      <c r="V1005" t="s">
        <v>47</v>
      </c>
      <c r="W1005" s="3">
        <v>32509</v>
      </c>
      <c r="X1005" s="5" t="s">
        <v>50</v>
      </c>
      <c r="Y1005" t="s">
        <v>47</v>
      </c>
      <c r="Z1005" s="3">
        <v>32509</v>
      </c>
      <c r="AA1005" s="5" t="s">
        <v>50</v>
      </c>
      <c r="AB1005" t="s">
        <v>47</v>
      </c>
      <c r="AC1005" s="3">
        <v>32509</v>
      </c>
      <c r="AD1005" s="5" t="s">
        <v>50</v>
      </c>
      <c r="AE1005" t="s">
        <v>47</v>
      </c>
      <c r="AF1005" t="s">
        <v>47</v>
      </c>
      <c r="AG1005" t="s">
        <v>47</v>
      </c>
      <c r="AH1005" t="s">
        <v>47</v>
      </c>
      <c r="AI1005" t="s">
        <v>47</v>
      </c>
      <c r="AJ1005" t="s">
        <v>47</v>
      </c>
      <c r="AK1005" t="s">
        <v>47</v>
      </c>
      <c r="AL1005" t="s">
        <v>47</v>
      </c>
      <c r="AM1005" t="s">
        <v>47</v>
      </c>
      <c r="AN1005" t="s">
        <v>47</v>
      </c>
      <c r="AO1005" s="5" t="s">
        <v>60</v>
      </c>
      <c r="AP1005" s="4" t="s">
        <v>61</v>
      </c>
      <c r="AQ1005" s="4" t="s">
        <v>53</v>
      </c>
      <c r="AR1005" s="4" t="s">
        <v>400</v>
      </c>
      <c r="AS1005" s="5">
        <v>48213</v>
      </c>
      <c r="AT1005" t="s">
        <v>47</v>
      </c>
    </row>
    <row r="1006" spans="1:46" ht="26" x14ac:dyDescent="0.3">
      <c r="A1006" s="4" t="s">
        <v>4020</v>
      </c>
      <c r="B1006" t="s">
        <v>47</v>
      </c>
      <c r="C1006" s="4" t="s">
        <v>183</v>
      </c>
      <c r="D1006" s="4" t="s">
        <v>597</v>
      </c>
      <c r="E1006" s="4" t="s">
        <v>49</v>
      </c>
      <c r="F1006" s="5" t="s">
        <v>4021</v>
      </c>
      <c r="G1006" s="5" t="s">
        <v>4022</v>
      </c>
      <c r="H1006" t="s">
        <v>47</v>
      </c>
      <c r="I1006" s="3">
        <v>36161</v>
      </c>
      <c r="J1006" s="3">
        <v>40269</v>
      </c>
      <c r="K1006" t="s">
        <v>47</v>
      </c>
      <c r="L1006" s="5" t="s">
        <v>60</v>
      </c>
      <c r="M1006" s="3">
        <v>36161</v>
      </c>
      <c r="N1006" s="3">
        <v>39722</v>
      </c>
      <c r="O1006" t="s">
        <v>47</v>
      </c>
      <c r="P1006" s="3">
        <v>36161</v>
      </c>
      <c r="Q1006" s="3">
        <v>40269</v>
      </c>
      <c r="R1006" t="s">
        <v>47</v>
      </c>
      <c r="S1006" t="s">
        <v>47</v>
      </c>
      <c r="T1006" t="s">
        <v>47</v>
      </c>
      <c r="U1006" t="s">
        <v>47</v>
      </c>
      <c r="V1006" t="s">
        <v>47</v>
      </c>
      <c r="W1006" s="3">
        <v>36161</v>
      </c>
      <c r="X1006" s="5" t="s">
        <v>50</v>
      </c>
      <c r="Y1006" t="s">
        <v>47</v>
      </c>
      <c r="Z1006" s="3">
        <v>36161</v>
      </c>
      <c r="AA1006" s="5" t="s">
        <v>50</v>
      </c>
      <c r="AB1006" t="s">
        <v>47</v>
      </c>
      <c r="AC1006" s="3">
        <v>37987</v>
      </c>
      <c r="AD1006" s="5" t="s">
        <v>50</v>
      </c>
      <c r="AE1006" t="s">
        <v>47</v>
      </c>
      <c r="AF1006" t="s">
        <v>47</v>
      </c>
      <c r="AG1006" t="s">
        <v>47</v>
      </c>
      <c r="AH1006" t="s">
        <v>47</v>
      </c>
      <c r="AI1006" t="s">
        <v>47</v>
      </c>
      <c r="AJ1006" t="s">
        <v>47</v>
      </c>
      <c r="AK1006" t="s">
        <v>47</v>
      </c>
      <c r="AL1006" t="s">
        <v>47</v>
      </c>
      <c r="AM1006" t="s">
        <v>47</v>
      </c>
      <c r="AN1006" t="s">
        <v>47</v>
      </c>
      <c r="AO1006" s="5" t="s">
        <v>60</v>
      </c>
      <c r="AP1006" s="4" t="s">
        <v>61</v>
      </c>
      <c r="AQ1006" s="4" t="s">
        <v>53</v>
      </c>
      <c r="AR1006" s="4" t="s">
        <v>483</v>
      </c>
      <c r="AS1006" s="5">
        <v>46877</v>
      </c>
      <c r="AT1006" t="s">
        <v>47</v>
      </c>
    </row>
    <row r="1007" spans="1:46" ht="52" x14ac:dyDescent="0.3">
      <c r="A1007" s="4" t="s">
        <v>4023</v>
      </c>
      <c r="B1007" t="s">
        <v>47</v>
      </c>
      <c r="C1007" s="4" t="s">
        <v>4024</v>
      </c>
      <c r="D1007" s="4" t="s">
        <v>1303</v>
      </c>
      <c r="E1007" s="4" t="s">
        <v>49</v>
      </c>
      <c r="F1007" t="s">
        <v>47</v>
      </c>
      <c r="G1007" s="5" t="s">
        <v>4025</v>
      </c>
      <c r="H1007" t="s">
        <v>47</v>
      </c>
      <c r="I1007" s="3">
        <v>40544</v>
      </c>
      <c r="J1007" s="5" t="s">
        <v>50</v>
      </c>
      <c r="K1007" t="s">
        <v>47</v>
      </c>
      <c r="L1007" s="5" t="s">
        <v>60</v>
      </c>
      <c r="M1007" t="s">
        <v>47</v>
      </c>
      <c r="N1007" t="s">
        <v>47</v>
      </c>
      <c r="O1007" t="s">
        <v>47</v>
      </c>
      <c r="P1007" s="3">
        <v>40544</v>
      </c>
      <c r="Q1007" s="5" t="s">
        <v>50</v>
      </c>
      <c r="R1007" t="s">
        <v>47</v>
      </c>
      <c r="S1007" t="s">
        <v>47</v>
      </c>
      <c r="T1007" t="s">
        <v>47</v>
      </c>
      <c r="U1007" t="s">
        <v>47</v>
      </c>
      <c r="V1007" t="s">
        <v>47</v>
      </c>
      <c r="W1007" s="3">
        <v>40544</v>
      </c>
      <c r="X1007" s="5" t="s">
        <v>50</v>
      </c>
      <c r="Y1007" t="s">
        <v>47</v>
      </c>
      <c r="Z1007" s="3">
        <v>40544</v>
      </c>
      <c r="AA1007" s="5" t="s">
        <v>50</v>
      </c>
      <c r="AB1007" t="s">
        <v>47</v>
      </c>
      <c r="AC1007" s="3">
        <v>40544</v>
      </c>
      <c r="AD1007" s="5" t="s">
        <v>50</v>
      </c>
      <c r="AE1007" t="s">
        <v>47</v>
      </c>
      <c r="AF1007" t="s">
        <v>47</v>
      </c>
      <c r="AG1007" t="s">
        <v>47</v>
      </c>
      <c r="AH1007" t="s">
        <v>47</v>
      </c>
      <c r="AI1007" t="s">
        <v>47</v>
      </c>
      <c r="AJ1007" t="s">
        <v>47</v>
      </c>
      <c r="AK1007" t="s">
        <v>47</v>
      </c>
      <c r="AL1007" t="s">
        <v>47</v>
      </c>
      <c r="AM1007" t="s">
        <v>47</v>
      </c>
      <c r="AN1007" t="s">
        <v>47</v>
      </c>
      <c r="AO1007" s="5" t="s">
        <v>60</v>
      </c>
      <c r="AP1007" s="4" t="s">
        <v>61</v>
      </c>
      <c r="AQ1007" s="4" t="s">
        <v>53</v>
      </c>
      <c r="AR1007" s="4" t="s">
        <v>91</v>
      </c>
      <c r="AS1007" s="5">
        <v>4896736</v>
      </c>
      <c r="AT1007" t="s">
        <v>47</v>
      </c>
    </row>
    <row r="1008" spans="1:46" ht="117" x14ac:dyDescent="0.3">
      <c r="A1008" s="4" t="s">
        <v>4026</v>
      </c>
      <c r="B1008" t="s">
        <v>47</v>
      </c>
      <c r="C1008" s="4" t="s">
        <v>122</v>
      </c>
      <c r="D1008" s="4" t="s">
        <v>70</v>
      </c>
      <c r="E1008" s="4" t="s">
        <v>123</v>
      </c>
      <c r="F1008" s="5" t="s">
        <v>4027</v>
      </c>
      <c r="G1008" s="5" t="s">
        <v>4028</v>
      </c>
      <c r="H1008" t="s">
        <v>47</v>
      </c>
      <c r="I1008" s="3">
        <v>35582</v>
      </c>
      <c r="J1008" s="5" t="s">
        <v>50</v>
      </c>
      <c r="K1008" t="s">
        <v>47</v>
      </c>
      <c r="L1008" s="5" t="s">
        <v>60</v>
      </c>
      <c r="M1008" s="3">
        <v>38078</v>
      </c>
      <c r="N1008" s="3">
        <v>42826</v>
      </c>
      <c r="O1008" t="s">
        <v>47</v>
      </c>
      <c r="P1008" s="3">
        <v>35582</v>
      </c>
      <c r="Q1008" s="5" t="s">
        <v>50</v>
      </c>
      <c r="R1008" t="s">
        <v>47</v>
      </c>
      <c r="S1008" t="s">
        <v>47</v>
      </c>
      <c r="T1008" t="s">
        <v>47</v>
      </c>
      <c r="U1008" t="s">
        <v>47</v>
      </c>
      <c r="V1008" s="5">
        <v>365</v>
      </c>
      <c r="W1008" s="3">
        <v>35582</v>
      </c>
      <c r="X1008" s="5" t="s">
        <v>50</v>
      </c>
      <c r="Y1008" t="s">
        <v>47</v>
      </c>
      <c r="Z1008" s="3">
        <v>35582</v>
      </c>
      <c r="AA1008" s="5" t="s">
        <v>50</v>
      </c>
      <c r="AB1008" t="s">
        <v>47</v>
      </c>
      <c r="AC1008" s="3">
        <v>35582</v>
      </c>
      <c r="AD1008" s="3">
        <v>38169</v>
      </c>
      <c r="AE1008" t="s">
        <v>47</v>
      </c>
      <c r="AF1008" t="s">
        <v>47</v>
      </c>
      <c r="AG1008" t="s">
        <v>47</v>
      </c>
      <c r="AH1008" t="s">
        <v>47</v>
      </c>
      <c r="AI1008" t="s">
        <v>47</v>
      </c>
      <c r="AJ1008" t="s">
        <v>47</v>
      </c>
      <c r="AK1008" t="s">
        <v>47</v>
      </c>
      <c r="AL1008" t="s">
        <v>47</v>
      </c>
      <c r="AM1008" t="s">
        <v>47</v>
      </c>
      <c r="AN1008" t="s">
        <v>47</v>
      </c>
      <c r="AO1008" s="5" t="s">
        <v>60</v>
      </c>
      <c r="AP1008" s="4" t="s">
        <v>61</v>
      </c>
      <c r="AQ1008" s="4" t="s">
        <v>53</v>
      </c>
      <c r="AR1008" s="4" t="s">
        <v>4029</v>
      </c>
      <c r="AS1008" s="5">
        <v>48283</v>
      </c>
      <c r="AT1008" t="s">
        <v>47</v>
      </c>
    </row>
    <row r="1009" spans="1:46" ht="26" x14ac:dyDescent="0.3">
      <c r="A1009" s="4" t="s">
        <v>4030</v>
      </c>
      <c r="B1009" t="s">
        <v>47</v>
      </c>
      <c r="C1009" s="4" t="s">
        <v>115</v>
      </c>
      <c r="D1009" s="4" t="s">
        <v>559</v>
      </c>
      <c r="E1009" s="4" t="s">
        <v>66</v>
      </c>
      <c r="F1009" s="5" t="s">
        <v>4031</v>
      </c>
      <c r="G1009" s="5" t="s">
        <v>4032</v>
      </c>
      <c r="H1009" t="s">
        <v>47</v>
      </c>
      <c r="I1009" s="3">
        <v>42370</v>
      </c>
      <c r="J1009" s="5" t="s">
        <v>50</v>
      </c>
      <c r="K1009" t="s">
        <v>47</v>
      </c>
      <c r="L1009" s="5" t="s">
        <v>60</v>
      </c>
      <c r="M1009" s="3">
        <v>42370</v>
      </c>
      <c r="N1009" s="5" t="s">
        <v>50</v>
      </c>
      <c r="O1009" t="s">
        <v>47</v>
      </c>
      <c r="P1009" s="3">
        <v>42370</v>
      </c>
      <c r="Q1009" s="5" t="s">
        <v>50</v>
      </c>
      <c r="R1009" t="s">
        <v>47</v>
      </c>
      <c r="S1009" t="s">
        <v>47</v>
      </c>
      <c r="T1009" t="s">
        <v>47</v>
      </c>
      <c r="U1009" t="s">
        <v>47</v>
      </c>
      <c r="V1009" s="5">
        <v>365</v>
      </c>
      <c r="W1009" s="3">
        <v>42370</v>
      </c>
      <c r="X1009" s="5" t="s">
        <v>50</v>
      </c>
      <c r="Y1009" t="s">
        <v>47</v>
      </c>
      <c r="Z1009" s="3">
        <v>42370</v>
      </c>
      <c r="AA1009" s="5" t="s">
        <v>50</v>
      </c>
      <c r="AB1009" t="s">
        <v>47</v>
      </c>
      <c r="AC1009" s="3">
        <v>42370</v>
      </c>
      <c r="AD1009" s="5" t="s">
        <v>50</v>
      </c>
      <c r="AE1009" t="s">
        <v>47</v>
      </c>
      <c r="AF1009" t="s">
        <v>47</v>
      </c>
      <c r="AG1009" t="s">
        <v>47</v>
      </c>
      <c r="AH1009" t="s">
        <v>47</v>
      </c>
      <c r="AI1009" t="s">
        <v>47</v>
      </c>
      <c r="AJ1009" t="s">
        <v>47</v>
      </c>
      <c r="AK1009" t="s">
        <v>47</v>
      </c>
      <c r="AL1009" t="s">
        <v>47</v>
      </c>
      <c r="AM1009" t="s">
        <v>47</v>
      </c>
      <c r="AN1009" t="s">
        <v>47</v>
      </c>
      <c r="AO1009" s="5" t="s">
        <v>51</v>
      </c>
      <c r="AP1009" s="4" t="s">
        <v>61</v>
      </c>
      <c r="AQ1009" s="4" t="s">
        <v>53</v>
      </c>
      <c r="AR1009" s="4" t="s">
        <v>54</v>
      </c>
      <c r="AS1009" s="5">
        <v>2061781</v>
      </c>
      <c r="AT1009" t="s">
        <v>47</v>
      </c>
    </row>
    <row r="1010" spans="1:46" ht="26" x14ac:dyDescent="0.3">
      <c r="A1010" s="4" t="s">
        <v>4033</v>
      </c>
      <c r="B1010" t="s">
        <v>47</v>
      </c>
      <c r="C1010" s="4" t="s">
        <v>169</v>
      </c>
      <c r="D1010" s="4" t="s">
        <v>597</v>
      </c>
      <c r="E1010" s="4" t="s">
        <v>66</v>
      </c>
      <c r="F1010" s="5" t="s">
        <v>4034</v>
      </c>
      <c r="G1010" s="5" t="s">
        <v>4035</v>
      </c>
      <c r="H1010" t="s">
        <v>47</v>
      </c>
      <c r="I1010" s="3">
        <v>35886</v>
      </c>
      <c r="J1010" s="3">
        <v>42552</v>
      </c>
      <c r="K1010" t="s">
        <v>47</v>
      </c>
      <c r="L1010" s="5" t="s">
        <v>60</v>
      </c>
      <c r="M1010" s="3">
        <v>35886</v>
      </c>
      <c r="N1010" s="3">
        <v>42552</v>
      </c>
      <c r="O1010" t="s">
        <v>47</v>
      </c>
      <c r="P1010" s="3">
        <v>35886</v>
      </c>
      <c r="Q1010" s="3">
        <v>42552</v>
      </c>
      <c r="R1010" t="s">
        <v>47</v>
      </c>
      <c r="S1010" t="s">
        <v>47</v>
      </c>
      <c r="T1010" t="s">
        <v>47</v>
      </c>
      <c r="U1010" t="s">
        <v>47</v>
      </c>
      <c r="V1010" t="s">
        <v>47</v>
      </c>
      <c r="W1010" s="3">
        <v>35886</v>
      </c>
      <c r="X1010" s="5" t="s">
        <v>50</v>
      </c>
      <c r="Y1010" t="s">
        <v>47</v>
      </c>
      <c r="Z1010" s="3">
        <v>35886</v>
      </c>
      <c r="AA1010" s="5" t="s">
        <v>50</v>
      </c>
      <c r="AB1010" t="s">
        <v>47</v>
      </c>
      <c r="AC1010" s="3">
        <v>36982</v>
      </c>
      <c r="AD1010" s="5" t="s">
        <v>50</v>
      </c>
      <c r="AE1010" t="s">
        <v>47</v>
      </c>
      <c r="AF1010" t="s">
        <v>47</v>
      </c>
      <c r="AG1010" t="s">
        <v>47</v>
      </c>
      <c r="AH1010" t="s">
        <v>47</v>
      </c>
      <c r="AI1010" t="s">
        <v>47</v>
      </c>
      <c r="AJ1010" t="s">
        <v>47</v>
      </c>
      <c r="AK1010" t="s">
        <v>47</v>
      </c>
      <c r="AL1010" t="s">
        <v>47</v>
      </c>
      <c r="AM1010" t="s">
        <v>47</v>
      </c>
      <c r="AN1010" t="s">
        <v>47</v>
      </c>
      <c r="AO1010" s="5" t="s">
        <v>60</v>
      </c>
      <c r="AP1010" s="4" t="s">
        <v>61</v>
      </c>
      <c r="AQ1010" s="4" t="s">
        <v>53</v>
      </c>
      <c r="AR1010" s="4" t="s">
        <v>54</v>
      </c>
      <c r="AS1010" s="5">
        <v>21999</v>
      </c>
      <c r="AT1010" t="s">
        <v>47</v>
      </c>
    </row>
    <row r="1011" spans="1:46" ht="26" x14ac:dyDescent="0.3">
      <c r="A1011" s="4" t="s">
        <v>4036</v>
      </c>
      <c r="B1011" t="s">
        <v>47</v>
      </c>
      <c r="C1011" s="4" t="s">
        <v>122</v>
      </c>
      <c r="D1011" s="4" t="s">
        <v>70</v>
      </c>
      <c r="E1011" s="4" t="s">
        <v>123</v>
      </c>
      <c r="F1011" s="5" t="s">
        <v>4037</v>
      </c>
      <c r="G1011" s="5" t="s">
        <v>4038</v>
      </c>
      <c r="H1011" t="s">
        <v>47</v>
      </c>
      <c r="I1011" s="3">
        <v>35431</v>
      </c>
      <c r="J1011" s="5" t="s">
        <v>50</v>
      </c>
      <c r="K1011" t="s">
        <v>47</v>
      </c>
      <c r="L1011" s="5" t="s">
        <v>60</v>
      </c>
      <c r="M1011" s="3">
        <v>38108</v>
      </c>
      <c r="N1011" s="3">
        <v>42826</v>
      </c>
      <c r="O1011" t="s">
        <v>47</v>
      </c>
      <c r="P1011" s="3">
        <v>35431</v>
      </c>
      <c r="Q1011" s="5" t="s">
        <v>50</v>
      </c>
      <c r="R1011" t="s">
        <v>47</v>
      </c>
      <c r="S1011" t="s">
        <v>47</v>
      </c>
      <c r="T1011" t="s">
        <v>47</v>
      </c>
      <c r="U1011" t="s">
        <v>47</v>
      </c>
      <c r="V1011" s="5">
        <v>365</v>
      </c>
      <c r="W1011" s="3">
        <v>35431</v>
      </c>
      <c r="X1011" s="5" t="s">
        <v>50</v>
      </c>
      <c r="Y1011" t="s">
        <v>47</v>
      </c>
      <c r="Z1011" s="3">
        <v>35431</v>
      </c>
      <c r="AA1011" s="5" t="s">
        <v>50</v>
      </c>
      <c r="AB1011" t="s">
        <v>47</v>
      </c>
      <c r="AC1011" s="3">
        <v>35431</v>
      </c>
      <c r="AD1011" s="5" t="s">
        <v>50</v>
      </c>
      <c r="AE1011" t="s">
        <v>47</v>
      </c>
      <c r="AF1011" t="s">
        <v>47</v>
      </c>
      <c r="AG1011" t="s">
        <v>47</v>
      </c>
      <c r="AH1011" t="s">
        <v>47</v>
      </c>
      <c r="AI1011" t="s">
        <v>47</v>
      </c>
      <c r="AJ1011" t="s">
        <v>47</v>
      </c>
      <c r="AK1011" t="s">
        <v>47</v>
      </c>
      <c r="AL1011" t="s">
        <v>47</v>
      </c>
      <c r="AM1011" t="s">
        <v>47</v>
      </c>
      <c r="AN1011" t="s">
        <v>47</v>
      </c>
      <c r="AO1011" s="5" t="s">
        <v>60</v>
      </c>
      <c r="AP1011" s="4" t="s">
        <v>61</v>
      </c>
      <c r="AQ1011" s="4" t="s">
        <v>53</v>
      </c>
      <c r="AR1011" s="4" t="s">
        <v>4039</v>
      </c>
      <c r="AS1011" s="5">
        <v>48386</v>
      </c>
      <c r="AT1011" t="s">
        <v>47</v>
      </c>
    </row>
    <row r="1012" spans="1:46" ht="26" x14ac:dyDescent="0.3">
      <c r="A1012" s="4" t="s">
        <v>4040</v>
      </c>
      <c r="B1012" t="s">
        <v>47</v>
      </c>
      <c r="C1012" s="4" t="s">
        <v>4041</v>
      </c>
      <c r="D1012" s="4" t="s">
        <v>2809</v>
      </c>
      <c r="E1012" s="4" t="s">
        <v>151</v>
      </c>
      <c r="F1012" s="5" t="s">
        <v>4042</v>
      </c>
      <c r="G1012" t="s">
        <v>47</v>
      </c>
      <c r="H1012" t="s">
        <v>47</v>
      </c>
      <c r="I1012" s="3">
        <v>40664</v>
      </c>
      <c r="J1012" s="5" t="s">
        <v>50</v>
      </c>
      <c r="K1012" t="s">
        <v>47</v>
      </c>
      <c r="L1012" s="5" t="s">
        <v>60</v>
      </c>
      <c r="M1012" s="3">
        <v>40664</v>
      </c>
      <c r="N1012" s="5" t="s">
        <v>50</v>
      </c>
      <c r="O1012" t="s">
        <v>47</v>
      </c>
      <c r="P1012" s="3">
        <v>40664</v>
      </c>
      <c r="Q1012" s="5" t="s">
        <v>50</v>
      </c>
      <c r="R1012" t="s">
        <v>47</v>
      </c>
      <c r="S1012" t="s">
        <v>47</v>
      </c>
      <c r="T1012" t="s">
        <v>47</v>
      </c>
      <c r="U1012" t="s">
        <v>47</v>
      </c>
      <c r="V1012" t="s">
        <v>47</v>
      </c>
      <c r="W1012" s="3">
        <v>40664</v>
      </c>
      <c r="X1012" s="5" t="s">
        <v>50</v>
      </c>
      <c r="Y1012" t="s">
        <v>47</v>
      </c>
      <c r="Z1012" s="3">
        <v>40664</v>
      </c>
      <c r="AA1012" s="5" t="s">
        <v>50</v>
      </c>
      <c r="AB1012" t="s">
        <v>47</v>
      </c>
      <c r="AC1012" s="3">
        <v>40664</v>
      </c>
      <c r="AD1012" s="5" t="s">
        <v>50</v>
      </c>
      <c r="AE1012" t="s">
        <v>47</v>
      </c>
      <c r="AF1012" t="s">
        <v>47</v>
      </c>
      <c r="AG1012" t="s">
        <v>47</v>
      </c>
      <c r="AH1012" t="s">
        <v>47</v>
      </c>
      <c r="AI1012" t="s">
        <v>47</v>
      </c>
      <c r="AJ1012" t="s">
        <v>47</v>
      </c>
      <c r="AK1012" t="s">
        <v>47</v>
      </c>
      <c r="AL1012" t="s">
        <v>47</v>
      </c>
      <c r="AM1012" t="s">
        <v>47</v>
      </c>
      <c r="AN1012" t="s">
        <v>47</v>
      </c>
      <c r="AO1012" s="5" t="s">
        <v>60</v>
      </c>
      <c r="AP1012" s="4" t="s">
        <v>61</v>
      </c>
      <c r="AQ1012" s="4" t="s">
        <v>53</v>
      </c>
      <c r="AR1012" s="4" t="s">
        <v>483</v>
      </c>
      <c r="AS1012" s="5">
        <v>736344</v>
      </c>
      <c r="AT1012" t="s">
        <v>47</v>
      </c>
    </row>
    <row r="1013" spans="1:46" ht="26" x14ac:dyDescent="0.3">
      <c r="A1013" s="4" t="s">
        <v>4043</v>
      </c>
      <c r="B1013" t="s">
        <v>47</v>
      </c>
      <c r="C1013" s="4" t="s">
        <v>397</v>
      </c>
      <c r="D1013" s="4" t="s">
        <v>4044</v>
      </c>
      <c r="E1013" s="4" t="s">
        <v>66</v>
      </c>
      <c r="F1013" s="5" t="s">
        <v>4045</v>
      </c>
      <c r="G1013" s="5" t="s">
        <v>4046</v>
      </c>
      <c r="H1013" t="s">
        <v>47</v>
      </c>
      <c r="I1013" s="3">
        <v>42522</v>
      </c>
      <c r="J1013" s="5" t="s">
        <v>50</v>
      </c>
      <c r="K1013" t="s">
        <v>47</v>
      </c>
      <c r="L1013" s="5" t="s">
        <v>60</v>
      </c>
      <c r="M1013" s="3">
        <v>42522</v>
      </c>
      <c r="N1013" s="5" t="s">
        <v>50</v>
      </c>
      <c r="O1013" t="s">
        <v>47</v>
      </c>
      <c r="P1013" s="3">
        <v>42522</v>
      </c>
      <c r="Q1013" s="5" t="s">
        <v>50</v>
      </c>
      <c r="R1013" t="s">
        <v>47</v>
      </c>
      <c r="S1013" t="s">
        <v>47</v>
      </c>
      <c r="T1013" t="s">
        <v>47</v>
      </c>
      <c r="U1013" t="s">
        <v>47</v>
      </c>
      <c r="V1013" s="5">
        <v>365</v>
      </c>
      <c r="W1013" s="3">
        <v>42522</v>
      </c>
      <c r="X1013" s="5" t="s">
        <v>50</v>
      </c>
      <c r="Y1013" t="s">
        <v>47</v>
      </c>
      <c r="Z1013" s="3">
        <v>42522</v>
      </c>
      <c r="AA1013" s="5" t="s">
        <v>50</v>
      </c>
      <c r="AB1013" t="s">
        <v>47</v>
      </c>
      <c r="AC1013" s="3">
        <v>42522</v>
      </c>
      <c r="AD1013" s="5" t="s">
        <v>50</v>
      </c>
      <c r="AE1013" t="s">
        <v>47</v>
      </c>
      <c r="AF1013" t="s">
        <v>47</v>
      </c>
      <c r="AG1013" t="s">
        <v>47</v>
      </c>
      <c r="AH1013" t="s">
        <v>47</v>
      </c>
      <c r="AI1013" t="s">
        <v>47</v>
      </c>
      <c r="AJ1013" t="s">
        <v>47</v>
      </c>
      <c r="AK1013" t="s">
        <v>47</v>
      </c>
      <c r="AL1013" t="s">
        <v>47</v>
      </c>
      <c r="AM1013" t="s">
        <v>47</v>
      </c>
      <c r="AN1013" t="s">
        <v>47</v>
      </c>
      <c r="AO1013" s="5" t="s">
        <v>60</v>
      </c>
      <c r="AP1013" s="4" t="s">
        <v>61</v>
      </c>
      <c r="AQ1013" s="4" t="s">
        <v>53</v>
      </c>
      <c r="AR1013" s="4" t="s">
        <v>807</v>
      </c>
      <c r="AS1013" s="5">
        <v>2046273</v>
      </c>
      <c r="AT1013" t="s">
        <v>47</v>
      </c>
    </row>
    <row r="1014" spans="1:46" ht="26" x14ac:dyDescent="0.3">
      <c r="A1014" s="4" t="s">
        <v>4047</v>
      </c>
      <c r="B1014" t="s">
        <v>47</v>
      </c>
      <c r="C1014" s="4" t="s">
        <v>169</v>
      </c>
      <c r="D1014" s="4" t="s">
        <v>4048</v>
      </c>
      <c r="E1014" s="4" t="s">
        <v>66</v>
      </c>
      <c r="F1014" s="5" t="s">
        <v>4049</v>
      </c>
      <c r="G1014" s="5" t="s">
        <v>4050</v>
      </c>
      <c r="H1014" t="s">
        <v>47</v>
      </c>
      <c r="I1014" s="3">
        <v>37257</v>
      </c>
      <c r="J1014" s="3">
        <v>44197</v>
      </c>
      <c r="K1014" s="5" t="s">
        <v>3148</v>
      </c>
      <c r="L1014" s="5" t="s">
        <v>60</v>
      </c>
      <c r="M1014" s="3">
        <v>37257</v>
      </c>
      <c r="N1014" s="3">
        <v>38353</v>
      </c>
      <c r="O1014" t="s">
        <v>47</v>
      </c>
      <c r="P1014" s="3">
        <v>37257</v>
      </c>
      <c r="Q1014" s="3">
        <v>44197</v>
      </c>
      <c r="R1014" s="5" t="s">
        <v>3148</v>
      </c>
      <c r="S1014" t="s">
        <v>47</v>
      </c>
      <c r="T1014" t="s">
        <v>47</v>
      </c>
      <c r="U1014" t="s">
        <v>47</v>
      </c>
      <c r="V1014" t="s">
        <v>47</v>
      </c>
      <c r="W1014" s="3">
        <v>37257</v>
      </c>
      <c r="X1014" s="5" t="s">
        <v>50</v>
      </c>
      <c r="Y1014" s="5" t="s">
        <v>3148</v>
      </c>
      <c r="Z1014" s="3">
        <v>37257</v>
      </c>
      <c r="AA1014" s="5" t="s">
        <v>50</v>
      </c>
      <c r="AB1014" s="5" t="s">
        <v>3148</v>
      </c>
      <c r="AC1014" s="3">
        <v>37257</v>
      </c>
      <c r="AD1014" s="5" t="s">
        <v>50</v>
      </c>
      <c r="AE1014" s="5" t="s">
        <v>3148</v>
      </c>
      <c r="AF1014" t="s">
        <v>47</v>
      </c>
      <c r="AG1014" t="s">
        <v>47</v>
      </c>
      <c r="AH1014" t="s">
        <v>47</v>
      </c>
      <c r="AI1014" t="s">
        <v>47</v>
      </c>
      <c r="AJ1014" t="s">
        <v>47</v>
      </c>
      <c r="AK1014" t="s">
        <v>47</v>
      </c>
      <c r="AL1014" t="s">
        <v>47</v>
      </c>
      <c r="AM1014" t="s">
        <v>47</v>
      </c>
      <c r="AN1014" t="s">
        <v>47</v>
      </c>
      <c r="AO1014" s="5" t="s">
        <v>60</v>
      </c>
      <c r="AP1014" s="4" t="s">
        <v>61</v>
      </c>
      <c r="AQ1014" s="4" t="s">
        <v>53</v>
      </c>
      <c r="AR1014" s="4" t="s">
        <v>4051</v>
      </c>
      <c r="AS1014" s="5">
        <v>26619</v>
      </c>
      <c r="AT1014" t="s">
        <v>47</v>
      </c>
    </row>
    <row r="1015" spans="1:46" ht="39" x14ac:dyDescent="0.3">
      <c r="A1015" s="4" t="s">
        <v>4052</v>
      </c>
      <c r="B1015" t="s">
        <v>47</v>
      </c>
      <c r="C1015" s="4" t="s">
        <v>4053</v>
      </c>
      <c r="D1015" s="4" t="s">
        <v>88</v>
      </c>
      <c r="E1015" s="4" t="s">
        <v>49</v>
      </c>
      <c r="F1015" s="5" t="s">
        <v>4054</v>
      </c>
      <c r="G1015" s="5" t="s">
        <v>4055</v>
      </c>
      <c r="H1015" t="s">
        <v>47</v>
      </c>
      <c r="I1015" s="3">
        <v>36526</v>
      </c>
      <c r="J1015" s="5" t="s">
        <v>50</v>
      </c>
      <c r="K1015" t="s">
        <v>47</v>
      </c>
      <c r="L1015" s="5" t="s">
        <v>60</v>
      </c>
      <c r="M1015" s="3">
        <v>36526</v>
      </c>
      <c r="N1015" s="5" t="s">
        <v>50</v>
      </c>
      <c r="O1015" t="s">
        <v>47</v>
      </c>
      <c r="P1015" s="3">
        <v>36526</v>
      </c>
      <c r="Q1015" s="5" t="s">
        <v>50</v>
      </c>
      <c r="R1015" t="s">
        <v>47</v>
      </c>
      <c r="S1015" t="s">
        <v>47</v>
      </c>
      <c r="T1015" t="s">
        <v>47</v>
      </c>
      <c r="U1015" t="s">
        <v>47</v>
      </c>
      <c r="V1015" t="s">
        <v>47</v>
      </c>
      <c r="W1015" s="3">
        <v>36526</v>
      </c>
      <c r="X1015" s="5" t="s">
        <v>50</v>
      </c>
      <c r="Y1015" t="s">
        <v>47</v>
      </c>
      <c r="Z1015" s="3">
        <v>36526</v>
      </c>
      <c r="AA1015" s="5" t="s">
        <v>50</v>
      </c>
      <c r="AB1015" t="s">
        <v>47</v>
      </c>
      <c r="AC1015" s="3">
        <v>36526</v>
      </c>
      <c r="AD1015" s="5" t="s">
        <v>50</v>
      </c>
      <c r="AE1015" t="s">
        <v>47</v>
      </c>
      <c r="AF1015" t="s">
        <v>47</v>
      </c>
      <c r="AG1015" t="s">
        <v>47</v>
      </c>
      <c r="AH1015" t="s">
        <v>47</v>
      </c>
      <c r="AI1015" t="s">
        <v>47</v>
      </c>
      <c r="AJ1015" t="s">
        <v>47</v>
      </c>
      <c r="AK1015" t="s">
        <v>47</v>
      </c>
      <c r="AL1015" t="s">
        <v>47</v>
      </c>
      <c r="AM1015" t="s">
        <v>47</v>
      </c>
      <c r="AN1015" t="s">
        <v>47</v>
      </c>
      <c r="AO1015" s="5" t="s">
        <v>60</v>
      </c>
      <c r="AP1015" s="4" t="s">
        <v>61</v>
      </c>
      <c r="AQ1015" s="4" t="s">
        <v>53</v>
      </c>
      <c r="AR1015" s="4" t="s">
        <v>147</v>
      </c>
      <c r="AS1015" s="5">
        <v>27175</v>
      </c>
      <c r="AT1015" t="s">
        <v>47</v>
      </c>
    </row>
    <row r="1016" spans="1:46" ht="65" x14ac:dyDescent="0.3">
      <c r="A1016" s="4" t="s">
        <v>4056</v>
      </c>
      <c r="B1016" t="s">
        <v>47</v>
      </c>
      <c r="C1016" s="4" t="s">
        <v>3227</v>
      </c>
      <c r="D1016" s="4" t="s">
        <v>223</v>
      </c>
      <c r="E1016" s="4" t="s">
        <v>49</v>
      </c>
      <c r="F1016" t="s">
        <v>47</v>
      </c>
      <c r="G1016" t="s">
        <v>47</v>
      </c>
      <c r="H1016" t="s">
        <v>47</v>
      </c>
      <c r="I1016" s="3">
        <v>39448</v>
      </c>
      <c r="J1016" s="3">
        <v>42736</v>
      </c>
      <c r="K1016" t="s">
        <v>47</v>
      </c>
      <c r="L1016" s="5" t="s">
        <v>60</v>
      </c>
      <c r="M1016" s="3">
        <v>39448</v>
      </c>
      <c r="N1016" s="3">
        <v>42736</v>
      </c>
      <c r="O1016" t="s">
        <v>47</v>
      </c>
      <c r="P1016" s="3">
        <v>39448</v>
      </c>
      <c r="Q1016" s="3">
        <v>42736</v>
      </c>
      <c r="R1016" t="s">
        <v>47</v>
      </c>
      <c r="S1016" t="s">
        <v>47</v>
      </c>
      <c r="T1016" t="s">
        <v>47</v>
      </c>
      <c r="U1016" t="s">
        <v>47</v>
      </c>
      <c r="V1016" t="s">
        <v>47</v>
      </c>
      <c r="W1016" s="3">
        <v>39448</v>
      </c>
      <c r="X1016" s="3">
        <v>42736</v>
      </c>
      <c r="Y1016" t="s">
        <v>47</v>
      </c>
      <c r="Z1016" s="3">
        <v>39448</v>
      </c>
      <c r="AA1016" s="3">
        <v>42736</v>
      </c>
      <c r="AB1016" t="s">
        <v>47</v>
      </c>
      <c r="AC1016" s="3">
        <v>39448</v>
      </c>
      <c r="AD1016" s="3">
        <v>42736</v>
      </c>
      <c r="AE1016" t="s">
        <v>47</v>
      </c>
      <c r="AF1016" t="s">
        <v>47</v>
      </c>
      <c r="AG1016" t="s">
        <v>47</v>
      </c>
      <c r="AH1016" t="s">
        <v>47</v>
      </c>
      <c r="AI1016" t="s">
        <v>47</v>
      </c>
      <c r="AJ1016" t="s">
        <v>47</v>
      </c>
      <c r="AK1016" t="s">
        <v>47</v>
      </c>
      <c r="AL1016" t="s">
        <v>47</v>
      </c>
      <c r="AM1016" t="s">
        <v>47</v>
      </c>
      <c r="AN1016" t="s">
        <v>47</v>
      </c>
      <c r="AO1016" s="5" t="s">
        <v>60</v>
      </c>
      <c r="AP1016" s="4" t="s">
        <v>61</v>
      </c>
      <c r="AQ1016" s="4" t="s">
        <v>53</v>
      </c>
      <c r="AR1016" s="4" t="s">
        <v>3564</v>
      </c>
      <c r="AS1016" s="5">
        <v>34490</v>
      </c>
      <c r="AT1016" t="s">
        <v>47</v>
      </c>
    </row>
    <row r="1017" spans="1:46" ht="26" x14ac:dyDescent="0.3">
      <c r="A1017" s="4" t="s">
        <v>4057</v>
      </c>
      <c r="B1017" t="s">
        <v>47</v>
      </c>
      <c r="C1017" s="4" t="s">
        <v>519</v>
      </c>
      <c r="D1017" s="4" t="s">
        <v>1138</v>
      </c>
      <c r="E1017" s="4" t="s">
        <v>49</v>
      </c>
      <c r="F1017" s="5" t="s">
        <v>4058</v>
      </c>
      <c r="G1017" s="5" t="s">
        <v>4059</v>
      </c>
      <c r="H1017" t="s">
        <v>47</v>
      </c>
      <c r="I1017" s="3">
        <v>35521</v>
      </c>
      <c r="J1017" s="3">
        <v>39995</v>
      </c>
      <c r="K1017" t="s">
        <v>47</v>
      </c>
      <c r="L1017" s="5" t="s">
        <v>60</v>
      </c>
      <c r="M1017" s="3">
        <v>35521</v>
      </c>
      <c r="N1017" s="3">
        <v>39995</v>
      </c>
      <c r="O1017" t="s">
        <v>47</v>
      </c>
      <c r="P1017" s="3">
        <v>35521</v>
      </c>
      <c r="Q1017" s="3">
        <v>39995</v>
      </c>
      <c r="R1017" t="s">
        <v>47</v>
      </c>
      <c r="S1017" t="s">
        <v>47</v>
      </c>
      <c r="T1017" t="s">
        <v>47</v>
      </c>
      <c r="U1017" t="s">
        <v>47</v>
      </c>
      <c r="V1017" t="s">
        <v>47</v>
      </c>
      <c r="W1017" s="3">
        <v>35521</v>
      </c>
      <c r="X1017" s="5" t="s">
        <v>50</v>
      </c>
      <c r="Y1017" s="5" t="s">
        <v>811</v>
      </c>
      <c r="Z1017" s="3">
        <v>35521</v>
      </c>
      <c r="AA1017" s="5" t="s">
        <v>50</v>
      </c>
      <c r="AB1017" s="5" t="s">
        <v>811</v>
      </c>
      <c r="AC1017" s="3">
        <v>36617</v>
      </c>
      <c r="AD1017" s="5" t="s">
        <v>50</v>
      </c>
      <c r="AE1017" s="5" t="s">
        <v>811</v>
      </c>
      <c r="AF1017" t="s">
        <v>47</v>
      </c>
      <c r="AG1017" t="s">
        <v>47</v>
      </c>
      <c r="AH1017" t="s">
        <v>47</v>
      </c>
      <c r="AI1017" t="s">
        <v>47</v>
      </c>
      <c r="AJ1017" t="s">
        <v>47</v>
      </c>
      <c r="AK1017" t="s">
        <v>47</v>
      </c>
      <c r="AL1017" t="s">
        <v>47</v>
      </c>
      <c r="AM1017" t="s">
        <v>47</v>
      </c>
      <c r="AN1017" t="s">
        <v>47</v>
      </c>
      <c r="AO1017" s="5" t="s">
        <v>60</v>
      </c>
      <c r="AP1017" s="4" t="s">
        <v>61</v>
      </c>
      <c r="AQ1017" s="4" t="s">
        <v>53</v>
      </c>
      <c r="AR1017" s="4" t="s">
        <v>54</v>
      </c>
      <c r="AS1017" s="5">
        <v>15507</v>
      </c>
      <c r="AT1017" t="s">
        <v>47</v>
      </c>
    </row>
    <row r="1018" spans="1:46" ht="39" x14ac:dyDescent="0.3">
      <c r="A1018" s="4" t="s">
        <v>4060</v>
      </c>
      <c r="B1018" t="s">
        <v>47</v>
      </c>
      <c r="C1018" s="4" t="s">
        <v>183</v>
      </c>
      <c r="D1018" s="4" t="s">
        <v>333</v>
      </c>
      <c r="E1018" s="4" t="s">
        <v>49</v>
      </c>
      <c r="F1018" s="5" t="s">
        <v>4061</v>
      </c>
      <c r="G1018" s="5" t="s">
        <v>4062</v>
      </c>
      <c r="H1018" t="s">
        <v>47</v>
      </c>
      <c r="I1018" t="s">
        <v>47</v>
      </c>
      <c r="J1018" t="s">
        <v>47</v>
      </c>
      <c r="K1018" t="s">
        <v>47</v>
      </c>
      <c r="L1018" s="5" t="s">
        <v>60</v>
      </c>
      <c r="M1018" t="s">
        <v>47</v>
      </c>
      <c r="N1018" t="s">
        <v>47</v>
      </c>
      <c r="O1018" t="s">
        <v>47</v>
      </c>
      <c r="P1018" t="s">
        <v>47</v>
      </c>
      <c r="Q1018" t="s">
        <v>47</v>
      </c>
      <c r="R1018" t="s">
        <v>47</v>
      </c>
      <c r="S1018" t="s">
        <v>47</v>
      </c>
      <c r="T1018" t="s">
        <v>47</v>
      </c>
      <c r="U1018" t="s">
        <v>47</v>
      </c>
      <c r="V1018" t="s">
        <v>47</v>
      </c>
      <c r="W1018" s="3">
        <v>23408</v>
      </c>
      <c r="X1018" s="5" t="s">
        <v>50</v>
      </c>
      <c r="Y1018" s="5" t="s">
        <v>3438</v>
      </c>
      <c r="Z1018" s="3">
        <v>23408</v>
      </c>
      <c r="AA1018" s="5" t="s">
        <v>50</v>
      </c>
      <c r="AB1018" s="5" t="s">
        <v>3438</v>
      </c>
      <c r="AC1018" s="3">
        <v>23408</v>
      </c>
      <c r="AD1018" s="5" t="s">
        <v>50</v>
      </c>
      <c r="AE1018" s="5" t="s">
        <v>3438</v>
      </c>
      <c r="AF1018" t="s">
        <v>47</v>
      </c>
      <c r="AG1018" t="s">
        <v>47</v>
      </c>
      <c r="AH1018" t="s">
        <v>47</v>
      </c>
      <c r="AI1018" t="s">
        <v>47</v>
      </c>
      <c r="AJ1018" t="s">
        <v>47</v>
      </c>
      <c r="AK1018" t="s">
        <v>47</v>
      </c>
      <c r="AL1018" t="s">
        <v>47</v>
      </c>
      <c r="AM1018" t="s">
        <v>47</v>
      </c>
      <c r="AN1018" t="s">
        <v>47</v>
      </c>
      <c r="AO1018" s="5" t="s">
        <v>60</v>
      </c>
      <c r="AP1018" s="4" t="s">
        <v>61</v>
      </c>
      <c r="AQ1018" s="4" t="s">
        <v>53</v>
      </c>
      <c r="AR1018" s="4" t="s">
        <v>941</v>
      </c>
      <c r="AS1018" s="5">
        <v>40963</v>
      </c>
      <c r="AT1018" t="s">
        <v>47</v>
      </c>
    </row>
    <row r="1019" spans="1:46" ht="26" x14ac:dyDescent="0.3">
      <c r="A1019" s="4" t="s">
        <v>4063</v>
      </c>
      <c r="B1019" t="s">
        <v>47</v>
      </c>
      <c r="C1019" s="4" t="s">
        <v>872</v>
      </c>
      <c r="D1019" s="4" t="s">
        <v>873</v>
      </c>
      <c r="E1019" s="4" t="s">
        <v>874</v>
      </c>
      <c r="F1019" s="5" t="s">
        <v>4064</v>
      </c>
      <c r="G1019" t="s">
        <v>47</v>
      </c>
      <c r="H1019" t="s">
        <v>47</v>
      </c>
      <c r="I1019" s="3">
        <v>39173</v>
      </c>
      <c r="J1019" s="5" t="s">
        <v>50</v>
      </c>
      <c r="K1019" t="s">
        <v>47</v>
      </c>
      <c r="L1019" s="5" t="s">
        <v>60</v>
      </c>
      <c r="M1019" t="s">
        <v>47</v>
      </c>
      <c r="N1019" t="s">
        <v>47</v>
      </c>
      <c r="O1019" t="s">
        <v>47</v>
      </c>
      <c r="P1019" s="3">
        <v>39173</v>
      </c>
      <c r="Q1019" s="5" t="s">
        <v>50</v>
      </c>
      <c r="R1019" t="s">
        <v>47</v>
      </c>
      <c r="S1019" t="s">
        <v>47</v>
      </c>
      <c r="T1019" t="s">
        <v>47</v>
      </c>
      <c r="U1019" t="s">
        <v>47</v>
      </c>
      <c r="V1019" t="s">
        <v>47</v>
      </c>
      <c r="W1019" s="3">
        <v>39173</v>
      </c>
      <c r="X1019" s="5" t="s">
        <v>50</v>
      </c>
      <c r="Y1019" t="s">
        <v>47</v>
      </c>
      <c r="Z1019" s="3">
        <v>39173</v>
      </c>
      <c r="AA1019" s="5" t="s">
        <v>50</v>
      </c>
      <c r="AB1019" t="s">
        <v>47</v>
      </c>
      <c r="AC1019" s="3">
        <v>39173</v>
      </c>
      <c r="AD1019" s="5" t="s">
        <v>50</v>
      </c>
      <c r="AE1019" t="s">
        <v>47</v>
      </c>
      <c r="AF1019" t="s">
        <v>47</v>
      </c>
      <c r="AG1019" t="s">
        <v>47</v>
      </c>
      <c r="AH1019" t="s">
        <v>47</v>
      </c>
      <c r="AI1019" t="s">
        <v>47</v>
      </c>
      <c r="AJ1019" t="s">
        <v>47</v>
      </c>
      <c r="AK1019" t="s">
        <v>47</v>
      </c>
      <c r="AL1019" t="s">
        <v>47</v>
      </c>
      <c r="AM1019" t="s">
        <v>47</v>
      </c>
      <c r="AN1019" t="s">
        <v>47</v>
      </c>
      <c r="AO1019" s="5" t="s">
        <v>60</v>
      </c>
      <c r="AP1019" s="4" t="s">
        <v>61</v>
      </c>
      <c r="AQ1019" s="4" t="s">
        <v>876</v>
      </c>
      <c r="AR1019" s="4" t="s">
        <v>54</v>
      </c>
      <c r="AS1019" s="5">
        <v>4438509</v>
      </c>
      <c r="AT1019" t="s">
        <v>47</v>
      </c>
    </row>
    <row r="1020" spans="1:46" ht="26" x14ac:dyDescent="0.3">
      <c r="A1020" s="4" t="s">
        <v>4065</v>
      </c>
      <c r="B1020" t="s">
        <v>47</v>
      </c>
      <c r="C1020" s="4" t="s">
        <v>4066</v>
      </c>
      <c r="D1020" s="4" t="s">
        <v>4067</v>
      </c>
      <c r="E1020" s="4" t="s">
        <v>151</v>
      </c>
      <c r="F1020" s="5" t="s">
        <v>4068</v>
      </c>
      <c r="G1020" t="s">
        <v>47</v>
      </c>
      <c r="H1020" t="s">
        <v>47</v>
      </c>
      <c r="I1020" s="3">
        <v>40360</v>
      </c>
      <c r="J1020" s="5" t="s">
        <v>50</v>
      </c>
      <c r="K1020" t="s">
        <v>47</v>
      </c>
      <c r="L1020" s="5" t="s">
        <v>60</v>
      </c>
      <c r="M1020" s="3">
        <v>40360</v>
      </c>
      <c r="N1020" s="5" t="s">
        <v>50</v>
      </c>
      <c r="O1020" t="s">
        <v>47</v>
      </c>
      <c r="P1020" s="3">
        <v>40360</v>
      </c>
      <c r="Q1020" s="5" t="s">
        <v>50</v>
      </c>
      <c r="R1020" t="s">
        <v>47</v>
      </c>
      <c r="S1020" t="s">
        <v>47</v>
      </c>
      <c r="T1020" t="s">
        <v>47</v>
      </c>
      <c r="U1020" t="s">
        <v>47</v>
      </c>
      <c r="V1020" t="s">
        <v>47</v>
      </c>
      <c r="W1020" s="3">
        <v>40360</v>
      </c>
      <c r="X1020" s="5" t="s">
        <v>50</v>
      </c>
      <c r="Y1020" t="s">
        <v>47</v>
      </c>
      <c r="Z1020" s="3">
        <v>40360</v>
      </c>
      <c r="AA1020" s="5" t="s">
        <v>50</v>
      </c>
      <c r="AB1020" t="s">
        <v>47</v>
      </c>
      <c r="AC1020" s="3">
        <v>40360</v>
      </c>
      <c r="AD1020" s="5" t="s">
        <v>50</v>
      </c>
      <c r="AE1020" t="s">
        <v>47</v>
      </c>
      <c r="AF1020" t="s">
        <v>47</v>
      </c>
      <c r="AG1020" t="s">
        <v>47</v>
      </c>
      <c r="AH1020" t="s">
        <v>47</v>
      </c>
      <c r="AI1020" t="s">
        <v>47</v>
      </c>
      <c r="AJ1020" t="s">
        <v>47</v>
      </c>
      <c r="AK1020" t="s">
        <v>47</v>
      </c>
      <c r="AL1020" t="s">
        <v>47</v>
      </c>
      <c r="AM1020" t="s">
        <v>47</v>
      </c>
      <c r="AN1020" t="s">
        <v>47</v>
      </c>
      <c r="AO1020" s="5" t="s">
        <v>60</v>
      </c>
      <c r="AP1020" s="4" t="s">
        <v>61</v>
      </c>
      <c r="AQ1020" s="4" t="s">
        <v>53</v>
      </c>
      <c r="AR1020" s="4" t="s">
        <v>54</v>
      </c>
      <c r="AS1020" s="5">
        <v>486536</v>
      </c>
      <c r="AT1020" t="s">
        <v>47</v>
      </c>
    </row>
    <row r="1021" spans="1:46" ht="65" x14ac:dyDescent="0.3">
      <c r="A1021" s="4" t="s">
        <v>4069</v>
      </c>
      <c r="B1021" t="s">
        <v>47</v>
      </c>
      <c r="C1021" s="4" t="s">
        <v>115</v>
      </c>
      <c r="D1021" s="4" t="s">
        <v>559</v>
      </c>
      <c r="E1021" s="4" t="s">
        <v>66</v>
      </c>
      <c r="F1021" t="s">
        <v>47</v>
      </c>
      <c r="G1021" s="5" t="s">
        <v>4070</v>
      </c>
      <c r="H1021" t="s">
        <v>47</v>
      </c>
      <c r="I1021" s="3">
        <v>42736</v>
      </c>
      <c r="J1021" s="5" t="s">
        <v>50</v>
      </c>
      <c r="K1021" t="s">
        <v>47</v>
      </c>
      <c r="L1021" s="5" t="s">
        <v>60</v>
      </c>
      <c r="M1021" s="3">
        <v>42736</v>
      </c>
      <c r="N1021" s="5" t="s">
        <v>50</v>
      </c>
      <c r="O1021" t="s">
        <v>47</v>
      </c>
      <c r="P1021" s="3">
        <v>42736</v>
      </c>
      <c r="Q1021" s="5" t="s">
        <v>50</v>
      </c>
      <c r="R1021" t="s">
        <v>47</v>
      </c>
      <c r="S1021" t="s">
        <v>47</v>
      </c>
      <c r="T1021" t="s">
        <v>47</v>
      </c>
      <c r="U1021" t="s">
        <v>47</v>
      </c>
      <c r="V1021" t="s">
        <v>47</v>
      </c>
      <c r="W1021" s="3">
        <v>42736</v>
      </c>
      <c r="X1021" s="5" t="s">
        <v>50</v>
      </c>
      <c r="Y1021" t="s">
        <v>47</v>
      </c>
      <c r="Z1021" s="3">
        <v>42736</v>
      </c>
      <c r="AA1021" s="5" t="s">
        <v>50</v>
      </c>
      <c r="AB1021" t="s">
        <v>47</v>
      </c>
      <c r="AC1021" s="3">
        <v>42736</v>
      </c>
      <c r="AD1021" s="5" t="s">
        <v>50</v>
      </c>
      <c r="AE1021" t="s">
        <v>47</v>
      </c>
      <c r="AF1021" t="s">
        <v>47</v>
      </c>
      <c r="AG1021" t="s">
        <v>47</v>
      </c>
      <c r="AH1021" t="s">
        <v>47</v>
      </c>
      <c r="AI1021" t="s">
        <v>47</v>
      </c>
      <c r="AJ1021" t="s">
        <v>47</v>
      </c>
      <c r="AK1021" t="s">
        <v>47</v>
      </c>
      <c r="AL1021" t="s">
        <v>47</v>
      </c>
      <c r="AM1021" t="s">
        <v>47</v>
      </c>
      <c r="AN1021" t="s">
        <v>47</v>
      </c>
      <c r="AO1021" s="5" t="s">
        <v>60</v>
      </c>
      <c r="AP1021" s="4" t="s">
        <v>61</v>
      </c>
      <c r="AQ1021" s="4" t="s">
        <v>53</v>
      </c>
      <c r="AR1021" s="4" t="s">
        <v>543</v>
      </c>
      <c r="AS1021" s="5">
        <v>4931664</v>
      </c>
      <c r="AT1021" t="s">
        <v>47</v>
      </c>
    </row>
    <row r="1022" spans="1:46" ht="26" x14ac:dyDescent="0.3">
      <c r="A1022" s="4" t="s">
        <v>4071</v>
      </c>
      <c r="B1022" t="s">
        <v>47</v>
      </c>
      <c r="C1022" s="4" t="s">
        <v>2271</v>
      </c>
      <c r="D1022" s="4" t="s">
        <v>223</v>
      </c>
      <c r="E1022" s="4" t="s">
        <v>49</v>
      </c>
      <c r="F1022" s="5" t="s">
        <v>4072</v>
      </c>
      <c r="G1022" s="5" t="s">
        <v>4073</v>
      </c>
      <c r="H1022" t="s">
        <v>47</v>
      </c>
      <c r="I1022" s="3">
        <v>36251</v>
      </c>
      <c r="J1022" s="3">
        <v>40360</v>
      </c>
      <c r="K1022" t="s">
        <v>47</v>
      </c>
      <c r="L1022" s="5" t="s">
        <v>60</v>
      </c>
      <c r="M1022" s="3">
        <v>36251</v>
      </c>
      <c r="N1022" s="3">
        <v>40360</v>
      </c>
      <c r="O1022" t="s">
        <v>47</v>
      </c>
      <c r="P1022" s="3">
        <v>36251</v>
      </c>
      <c r="Q1022" s="3">
        <v>40360</v>
      </c>
      <c r="R1022" t="s">
        <v>47</v>
      </c>
      <c r="S1022" t="s">
        <v>47</v>
      </c>
      <c r="T1022" t="s">
        <v>47</v>
      </c>
      <c r="U1022" t="s">
        <v>47</v>
      </c>
      <c r="V1022" t="s">
        <v>47</v>
      </c>
      <c r="W1022" s="3">
        <v>19450</v>
      </c>
      <c r="X1022" s="5" t="s">
        <v>50</v>
      </c>
      <c r="Y1022" t="s">
        <v>47</v>
      </c>
      <c r="Z1022" s="3">
        <v>19450</v>
      </c>
      <c r="AA1022" s="5" t="s">
        <v>50</v>
      </c>
      <c r="AB1022" t="s">
        <v>47</v>
      </c>
      <c r="AC1022" s="3">
        <v>36251</v>
      </c>
      <c r="AD1022" s="5" t="s">
        <v>50</v>
      </c>
      <c r="AE1022" t="s">
        <v>47</v>
      </c>
      <c r="AF1022" t="s">
        <v>47</v>
      </c>
      <c r="AG1022" t="s">
        <v>47</v>
      </c>
      <c r="AH1022" t="s">
        <v>47</v>
      </c>
      <c r="AI1022" t="s">
        <v>47</v>
      </c>
      <c r="AJ1022" t="s">
        <v>47</v>
      </c>
      <c r="AK1022" t="s">
        <v>47</v>
      </c>
      <c r="AL1022" t="s">
        <v>47</v>
      </c>
      <c r="AM1022" t="s">
        <v>47</v>
      </c>
      <c r="AN1022" t="s">
        <v>47</v>
      </c>
      <c r="AO1022" s="5" t="s">
        <v>60</v>
      </c>
      <c r="AP1022" s="4" t="s">
        <v>61</v>
      </c>
      <c r="AQ1022" s="4" t="s">
        <v>53</v>
      </c>
      <c r="AR1022" s="4" t="s">
        <v>395</v>
      </c>
      <c r="AS1022" s="5">
        <v>42361</v>
      </c>
      <c r="AT1022" t="s">
        <v>47</v>
      </c>
    </row>
    <row r="1023" spans="1:46" ht="13" x14ac:dyDescent="0.3">
      <c r="A1023" s="4" t="s">
        <v>4074</v>
      </c>
      <c r="B1023" t="s">
        <v>47</v>
      </c>
      <c r="C1023" s="4" t="s">
        <v>93</v>
      </c>
      <c r="D1023" s="4" t="s">
        <v>748</v>
      </c>
      <c r="E1023" s="4" t="s">
        <v>49</v>
      </c>
      <c r="F1023" s="5" t="s">
        <v>4075</v>
      </c>
      <c r="G1023" s="5" t="s">
        <v>4076</v>
      </c>
      <c r="H1023" t="s">
        <v>47</v>
      </c>
      <c r="I1023" t="s">
        <v>47</v>
      </c>
      <c r="J1023" t="s">
        <v>47</v>
      </c>
      <c r="K1023" t="s">
        <v>47</v>
      </c>
      <c r="L1023" s="5" t="s">
        <v>60</v>
      </c>
      <c r="M1023" t="s">
        <v>47</v>
      </c>
      <c r="N1023" t="s">
        <v>47</v>
      </c>
      <c r="O1023" t="s">
        <v>47</v>
      </c>
      <c r="P1023" t="s">
        <v>47</v>
      </c>
      <c r="Q1023" t="s">
        <v>47</v>
      </c>
      <c r="R1023" t="s">
        <v>47</v>
      </c>
      <c r="S1023" t="s">
        <v>47</v>
      </c>
      <c r="T1023" t="s">
        <v>47</v>
      </c>
      <c r="U1023" t="s">
        <v>47</v>
      </c>
      <c r="V1023" t="s">
        <v>47</v>
      </c>
      <c r="W1023" s="3">
        <v>42036</v>
      </c>
      <c r="X1023" s="5" t="s">
        <v>50</v>
      </c>
      <c r="Y1023" t="s">
        <v>47</v>
      </c>
      <c r="Z1023" s="3">
        <v>42036</v>
      </c>
      <c r="AA1023" s="5" t="s">
        <v>50</v>
      </c>
      <c r="AB1023" t="s">
        <v>47</v>
      </c>
      <c r="AC1023" s="3">
        <v>42036</v>
      </c>
      <c r="AD1023" s="5" t="s">
        <v>50</v>
      </c>
      <c r="AE1023" t="s">
        <v>47</v>
      </c>
      <c r="AF1023" t="s">
        <v>47</v>
      </c>
      <c r="AG1023" t="s">
        <v>47</v>
      </c>
      <c r="AH1023" t="s">
        <v>47</v>
      </c>
      <c r="AI1023" t="s">
        <v>47</v>
      </c>
      <c r="AJ1023" t="s">
        <v>47</v>
      </c>
      <c r="AK1023" t="s">
        <v>47</v>
      </c>
      <c r="AL1023" t="s">
        <v>47</v>
      </c>
      <c r="AM1023" t="s">
        <v>47</v>
      </c>
      <c r="AN1023" t="s">
        <v>47</v>
      </c>
      <c r="AO1023" s="5" t="s">
        <v>60</v>
      </c>
      <c r="AP1023" s="4" t="s">
        <v>61</v>
      </c>
      <c r="AQ1023" s="4" t="s">
        <v>198</v>
      </c>
      <c r="AR1023" s="4" t="s">
        <v>54</v>
      </c>
      <c r="AS1023" s="5">
        <v>2037979</v>
      </c>
      <c r="AT1023" t="s">
        <v>47</v>
      </c>
    </row>
    <row r="1024" spans="1:46" ht="26" x14ac:dyDescent="0.3">
      <c r="A1024" s="4" t="s">
        <v>4077</v>
      </c>
      <c r="B1024" t="s">
        <v>47</v>
      </c>
      <c r="C1024" s="4" t="s">
        <v>4078</v>
      </c>
      <c r="D1024" s="4" t="s">
        <v>1288</v>
      </c>
      <c r="E1024" s="4" t="s">
        <v>49</v>
      </c>
      <c r="F1024" t="s">
        <v>47</v>
      </c>
      <c r="G1024" s="5" t="s">
        <v>4079</v>
      </c>
      <c r="H1024" t="s">
        <v>47</v>
      </c>
      <c r="I1024" s="3">
        <v>39448</v>
      </c>
      <c r="J1024" s="5" t="s">
        <v>50</v>
      </c>
      <c r="K1024" t="s">
        <v>47</v>
      </c>
      <c r="L1024" s="5" t="s">
        <v>60</v>
      </c>
      <c r="M1024" s="3">
        <v>39448</v>
      </c>
      <c r="N1024" s="5" t="s">
        <v>50</v>
      </c>
      <c r="O1024" t="s">
        <v>47</v>
      </c>
      <c r="P1024" s="3">
        <v>39448</v>
      </c>
      <c r="Q1024" s="5" t="s">
        <v>50</v>
      </c>
      <c r="R1024" t="s">
        <v>47</v>
      </c>
      <c r="S1024" t="s">
        <v>47</v>
      </c>
      <c r="T1024" t="s">
        <v>47</v>
      </c>
      <c r="U1024" t="s">
        <v>47</v>
      </c>
      <c r="V1024" t="s">
        <v>47</v>
      </c>
      <c r="W1024" s="3">
        <v>39448</v>
      </c>
      <c r="X1024" s="5" t="s">
        <v>50</v>
      </c>
      <c r="Y1024" t="s">
        <v>47</v>
      </c>
      <c r="Z1024" s="3">
        <v>39448</v>
      </c>
      <c r="AA1024" s="5" t="s">
        <v>50</v>
      </c>
      <c r="AB1024" t="s">
        <v>47</v>
      </c>
      <c r="AC1024" s="3">
        <v>39448</v>
      </c>
      <c r="AD1024" s="5" t="s">
        <v>50</v>
      </c>
      <c r="AE1024" t="s">
        <v>47</v>
      </c>
      <c r="AF1024" t="s">
        <v>47</v>
      </c>
      <c r="AG1024" t="s">
        <v>47</v>
      </c>
      <c r="AH1024" t="s">
        <v>47</v>
      </c>
      <c r="AI1024" t="s">
        <v>47</v>
      </c>
      <c r="AJ1024" t="s">
        <v>47</v>
      </c>
      <c r="AK1024" t="s">
        <v>47</v>
      </c>
      <c r="AL1024" t="s">
        <v>47</v>
      </c>
      <c r="AM1024" t="s">
        <v>47</v>
      </c>
      <c r="AN1024" t="s">
        <v>47</v>
      </c>
      <c r="AO1024" s="5" t="s">
        <v>60</v>
      </c>
      <c r="AP1024" s="4" t="s">
        <v>61</v>
      </c>
      <c r="AQ1024" s="4" t="s">
        <v>53</v>
      </c>
      <c r="AR1024" s="4" t="s">
        <v>54</v>
      </c>
      <c r="AS1024" s="5">
        <v>39788</v>
      </c>
      <c r="AT1024" t="s">
        <v>47</v>
      </c>
    </row>
    <row r="1025" spans="1:46" ht="52" x14ac:dyDescent="0.3">
      <c r="A1025" s="4" t="s">
        <v>4080</v>
      </c>
      <c r="B1025" t="s">
        <v>47</v>
      </c>
      <c r="C1025" s="4" t="s">
        <v>93</v>
      </c>
      <c r="D1025" s="4" t="s">
        <v>223</v>
      </c>
      <c r="E1025" s="4" t="s">
        <v>49</v>
      </c>
      <c r="F1025" s="5" t="s">
        <v>4081</v>
      </c>
      <c r="G1025" s="5" t="s">
        <v>4082</v>
      </c>
      <c r="H1025" t="s">
        <v>47</v>
      </c>
      <c r="I1025" t="s">
        <v>47</v>
      </c>
      <c r="J1025" t="s">
        <v>47</v>
      </c>
      <c r="K1025" t="s">
        <v>47</v>
      </c>
      <c r="L1025" s="5" t="s">
        <v>60</v>
      </c>
      <c r="M1025" t="s">
        <v>47</v>
      </c>
      <c r="N1025" t="s">
        <v>47</v>
      </c>
      <c r="O1025" t="s">
        <v>47</v>
      </c>
      <c r="P1025" t="s">
        <v>47</v>
      </c>
      <c r="Q1025" t="s">
        <v>47</v>
      </c>
      <c r="R1025" t="s">
        <v>47</v>
      </c>
      <c r="S1025" t="s">
        <v>47</v>
      </c>
      <c r="T1025" t="s">
        <v>47</v>
      </c>
      <c r="U1025" t="s">
        <v>47</v>
      </c>
      <c r="V1025" t="s">
        <v>47</v>
      </c>
      <c r="W1025" s="3">
        <v>41640</v>
      </c>
      <c r="X1025" s="5" t="s">
        <v>50</v>
      </c>
      <c r="Y1025" t="s">
        <v>47</v>
      </c>
      <c r="Z1025" s="3">
        <v>41640</v>
      </c>
      <c r="AA1025" s="5" t="s">
        <v>50</v>
      </c>
      <c r="AB1025" t="s">
        <v>47</v>
      </c>
      <c r="AC1025" s="3">
        <v>41640</v>
      </c>
      <c r="AD1025" s="5" t="s">
        <v>50</v>
      </c>
      <c r="AE1025" t="s">
        <v>47</v>
      </c>
      <c r="AF1025" t="s">
        <v>47</v>
      </c>
      <c r="AG1025" t="s">
        <v>47</v>
      </c>
      <c r="AH1025" t="s">
        <v>47</v>
      </c>
      <c r="AI1025" t="s">
        <v>47</v>
      </c>
      <c r="AJ1025" t="s">
        <v>47</v>
      </c>
      <c r="AK1025" t="s">
        <v>47</v>
      </c>
      <c r="AL1025" t="s">
        <v>47</v>
      </c>
      <c r="AM1025" t="s">
        <v>47</v>
      </c>
      <c r="AN1025" t="s">
        <v>47</v>
      </c>
      <c r="AO1025" s="5" t="s">
        <v>60</v>
      </c>
      <c r="AP1025" s="4" t="s">
        <v>61</v>
      </c>
      <c r="AQ1025" s="4" t="s">
        <v>53</v>
      </c>
      <c r="AR1025" s="4" t="s">
        <v>539</v>
      </c>
      <c r="AS1025" s="5">
        <v>2033090</v>
      </c>
      <c r="AT1025" t="s">
        <v>47</v>
      </c>
    </row>
    <row r="1026" spans="1:46" ht="78" x14ac:dyDescent="0.3">
      <c r="A1026" s="4" t="s">
        <v>4083</v>
      </c>
      <c r="B1026" t="s">
        <v>47</v>
      </c>
      <c r="C1026" s="4" t="s">
        <v>200</v>
      </c>
      <c r="D1026" s="4" t="s">
        <v>748</v>
      </c>
      <c r="E1026" s="4" t="s">
        <v>66</v>
      </c>
      <c r="F1026" t="s">
        <v>47</v>
      </c>
      <c r="G1026" s="5" t="s">
        <v>4084</v>
      </c>
      <c r="H1026" t="s">
        <v>47</v>
      </c>
      <c r="I1026" t="s">
        <v>47</v>
      </c>
      <c r="J1026" t="s">
        <v>47</v>
      </c>
      <c r="K1026" t="s">
        <v>47</v>
      </c>
      <c r="L1026" s="5" t="s">
        <v>60</v>
      </c>
      <c r="M1026" t="s">
        <v>47</v>
      </c>
      <c r="N1026" t="s">
        <v>47</v>
      </c>
      <c r="O1026" t="s">
        <v>47</v>
      </c>
      <c r="P1026" t="s">
        <v>47</v>
      </c>
      <c r="Q1026" t="s">
        <v>47</v>
      </c>
      <c r="R1026" t="s">
        <v>47</v>
      </c>
      <c r="S1026" t="s">
        <v>47</v>
      </c>
      <c r="T1026" t="s">
        <v>47</v>
      </c>
      <c r="U1026" t="s">
        <v>47</v>
      </c>
      <c r="V1026" t="s">
        <v>47</v>
      </c>
      <c r="W1026" s="3">
        <v>38412</v>
      </c>
      <c r="X1026" s="5" t="s">
        <v>50</v>
      </c>
      <c r="Y1026" t="s">
        <v>47</v>
      </c>
      <c r="Z1026" s="3">
        <v>38412</v>
      </c>
      <c r="AA1026" s="5" t="s">
        <v>50</v>
      </c>
      <c r="AB1026" t="s">
        <v>47</v>
      </c>
      <c r="AC1026" s="3">
        <v>38412</v>
      </c>
      <c r="AD1026" s="5" t="s">
        <v>50</v>
      </c>
      <c r="AE1026" t="s">
        <v>47</v>
      </c>
      <c r="AF1026" t="s">
        <v>47</v>
      </c>
      <c r="AG1026" t="s">
        <v>47</v>
      </c>
      <c r="AH1026" t="s">
        <v>47</v>
      </c>
      <c r="AI1026" t="s">
        <v>47</v>
      </c>
      <c r="AJ1026" t="s">
        <v>47</v>
      </c>
      <c r="AK1026" t="s">
        <v>47</v>
      </c>
      <c r="AL1026" t="s">
        <v>47</v>
      </c>
      <c r="AM1026" t="s">
        <v>47</v>
      </c>
      <c r="AN1026" t="s">
        <v>47</v>
      </c>
      <c r="AO1026" s="5" t="s">
        <v>60</v>
      </c>
      <c r="AP1026" s="4" t="s">
        <v>61</v>
      </c>
      <c r="AQ1026" s="4" t="s">
        <v>53</v>
      </c>
      <c r="AR1026" s="4" t="s">
        <v>436</v>
      </c>
      <c r="AS1026" s="5">
        <v>29298</v>
      </c>
      <c r="AT1026" t="s">
        <v>47</v>
      </c>
    </row>
    <row r="1027" spans="1:46" ht="39" x14ac:dyDescent="0.3">
      <c r="A1027" s="4" t="s">
        <v>4085</v>
      </c>
      <c r="B1027" t="s">
        <v>47</v>
      </c>
      <c r="C1027" s="4" t="s">
        <v>169</v>
      </c>
      <c r="D1027" s="4" t="s">
        <v>319</v>
      </c>
      <c r="E1027" s="4" t="s">
        <v>66</v>
      </c>
      <c r="F1027" s="5" t="s">
        <v>4086</v>
      </c>
      <c r="G1027" s="5" t="s">
        <v>4087</v>
      </c>
      <c r="H1027" t="s">
        <v>47</v>
      </c>
      <c r="I1027" s="3">
        <v>37712</v>
      </c>
      <c r="J1027" s="3">
        <v>40057</v>
      </c>
      <c r="K1027" t="s">
        <v>47</v>
      </c>
      <c r="L1027" s="5" t="s">
        <v>60</v>
      </c>
      <c r="M1027" s="3">
        <v>37712</v>
      </c>
      <c r="N1027" s="3">
        <v>40057</v>
      </c>
      <c r="O1027" t="s">
        <v>47</v>
      </c>
      <c r="P1027" s="3">
        <v>37895</v>
      </c>
      <c r="Q1027" s="3">
        <v>39083</v>
      </c>
      <c r="R1027" s="5" t="s">
        <v>547</v>
      </c>
      <c r="S1027" t="s">
        <v>47</v>
      </c>
      <c r="T1027" t="s">
        <v>47</v>
      </c>
      <c r="U1027" t="s">
        <v>47</v>
      </c>
      <c r="V1027" t="s">
        <v>47</v>
      </c>
      <c r="W1027" s="3">
        <v>37712</v>
      </c>
      <c r="X1027" s="5" t="s">
        <v>50</v>
      </c>
      <c r="Y1027" t="s">
        <v>47</v>
      </c>
      <c r="Z1027" s="3">
        <v>37712</v>
      </c>
      <c r="AA1027" s="5" t="s">
        <v>50</v>
      </c>
      <c r="AB1027" t="s">
        <v>47</v>
      </c>
      <c r="AC1027" s="3">
        <v>37712</v>
      </c>
      <c r="AD1027" s="5" t="s">
        <v>50</v>
      </c>
      <c r="AE1027" t="s">
        <v>47</v>
      </c>
      <c r="AF1027" t="s">
        <v>47</v>
      </c>
      <c r="AG1027" t="s">
        <v>47</v>
      </c>
      <c r="AH1027" t="s">
        <v>47</v>
      </c>
      <c r="AI1027" t="s">
        <v>47</v>
      </c>
      <c r="AJ1027" t="s">
        <v>47</v>
      </c>
      <c r="AK1027" t="s">
        <v>47</v>
      </c>
      <c r="AL1027" t="s">
        <v>47</v>
      </c>
      <c r="AM1027" t="s">
        <v>47</v>
      </c>
      <c r="AN1027" t="s">
        <v>47</v>
      </c>
      <c r="AO1027" s="5" t="s">
        <v>60</v>
      </c>
      <c r="AP1027" s="4" t="s">
        <v>61</v>
      </c>
      <c r="AQ1027" s="4" t="s">
        <v>53</v>
      </c>
      <c r="AR1027" s="4" t="s">
        <v>3271</v>
      </c>
      <c r="AS1027" s="5">
        <v>46146</v>
      </c>
      <c r="AT1027" t="s">
        <v>47</v>
      </c>
    </row>
    <row r="1028" spans="1:46" ht="65" x14ac:dyDescent="0.3">
      <c r="A1028" s="4" t="s">
        <v>4088</v>
      </c>
      <c r="B1028" t="s">
        <v>47</v>
      </c>
      <c r="C1028" s="4" t="s">
        <v>169</v>
      </c>
      <c r="D1028" s="4" t="s">
        <v>319</v>
      </c>
      <c r="E1028" s="4" t="s">
        <v>66</v>
      </c>
      <c r="F1028" s="5" t="s">
        <v>4089</v>
      </c>
      <c r="G1028" s="5" t="s">
        <v>4090</v>
      </c>
      <c r="H1028" t="s">
        <v>47</v>
      </c>
      <c r="I1028" t="s">
        <v>47</v>
      </c>
      <c r="J1028" t="s">
        <v>47</v>
      </c>
      <c r="K1028" t="s">
        <v>47</v>
      </c>
      <c r="L1028" s="5" t="s">
        <v>60</v>
      </c>
      <c r="M1028" t="s">
        <v>47</v>
      </c>
      <c r="N1028" t="s">
        <v>47</v>
      </c>
      <c r="O1028" t="s">
        <v>47</v>
      </c>
      <c r="P1028" t="s">
        <v>47</v>
      </c>
      <c r="Q1028" t="s">
        <v>47</v>
      </c>
      <c r="R1028" t="s">
        <v>47</v>
      </c>
      <c r="S1028" t="s">
        <v>47</v>
      </c>
      <c r="T1028" t="s">
        <v>47</v>
      </c>
      <c r="U1028" t="s">
        <v>47</v>
      </c>
      <c r="V1028" t="s">
        <v>47</v>
      </c>
      <c r="W1028" s="3">
        <v>40179</v>
      </c>
      <c r="X1028" s="5" t="s">
        <v>50</v>
      </c>
      <c r="Y1028" t="s">
        <v>47</v>
      </c>
      <c r="Z1028" s="3">
        <v>40179</v>
      </c>
      <c r="AA1028" s="5" t="s">
        <v>50</v>
      </c>
      <c r="AB1028" t="s">
        <v>47</v>
      </c>
      <c r="AC1028" s="3">
        <v>40179</v>
      </c>
      <c r="AD1028" s="5" t="s">
        <v>50</v>
      </c>
      <c r="AE1028" t="s">
        <v>47</v>
      </c>
      <c r="AF1028" t="s">
        <v>47</v>
      </c>
      <c r="AG1028" t="s">
        <v>47</v>
      </c>
      <c r="AH1028" t="s">
        <v>47</v>
      </c>
      <c r="AI1028" t="s">
        <v>47</v>
      </c>
      <c r="AJ1028" t="s">
        <v>47</v>
      </c>
      <c r="AK1028" t="s">
        <v>47</v>
      </c>
      <c r="AL1028" t="s">
        <v>47</v>
      </c>
      <c r="AM1028" t="s">
        <v>47</v>
      </c>
      <c r="AN1028" t="s">
        <v>47</v>
      </c>
      <c r="AO1028" s="5" t="s">
        <v>60</v>
      </c>
      <c r="AP1028" s="4" t="s">
        <v>61</v>
      </c>
      <c r="AQ1028" s="4" t="s">
        <v>53</v>
      </c>
      <c r="AR1028" s="4" t="s">
        <v>543</v>
      </c>
      <c r="AS1028" s="5">
        <v>466392</v>
      </c>
      <c r="AT1028" t="s">
        <v>47</v>
      </c>
    </row>
    <row r="1029" spans="1:46" ht="104" x14ac:dyDescent="0.3">
      <c r="A1029" s="4" t="s">
        <v>4091</v>
      </c>
      <c r="B1029" t="s">
        <v>47</v>
      </c>
      <c r="C1029" s="4" t="s">
        <v>169</v>
      </c>
      <c r="D1029" s="4" t="s">
        <v>4092</v>
      </c>
      <c r="E1029" s="4" t="s">
        <v>66</v>
      </c>
      <c r="F1029" s="5" t="s">
        <v>4093</v>
      </c>
      <c r="G1029" s="5" t="s">
        <v>4094</v>
      </c>
      <c r="H1029" t="s">
        <v>47</v>
      </c>
      <c r="I1029" s="3">
        <v>35431</v>
      </c>
      <c r="J1029" s="3">
        <v>41821</v>
      </c>
      <c r="K1029" t="s">
        <v>47</v>
      </c>
      <c r="L1029" s="5" t="s">
        <v>60</v>
      </c>
      <c r="M1029" s="3">
        <v>35431</v>
      </c>
      <c r="N1029" s="3">
        <v>41821</v>
      </c>
      <c r="O1029" t="s">
        <v>47</v>
      </c>
      <c r="P1029" s="3">
        <v>35431</v>
      </c>
      <c r="Q1029" s="3">
        <v>41821</v>
      </c>
      <c r="R1029" t="s">
        <v>47</v>
      </c>
      <c r="S1029" t="s">
        <v>47</v>
      </c>
      <c r="T1029" t="s">
        <v>47</v>
      </c>
      <c r="U1029" t="s">
        <v>47</v>
      </c>
      <c r="V1029" t="s">
        <v>47</v>
      </c>
      <c r="W1029" s="3">
        <v>35431</v>
      </c>
      <c r="X1029" s="5" t="s">
        <v>50</v>
      </c>
      <c r="Y1029" t="s">
        <v>47</v>
      </c>
      <c r="Z1029" s="3">
        <v>35431</v>
      </c>
      <c r="AA1029" s="5" t="s">
        <v>50</v>
      </c>
      <c r="AB1029" t="s">
        <v>47</v>
      </c>
      <c r="AC1029" s="3">
        <v>36982</v>
      </c>
      <c r="AD1029" s="5" t="s">
        <v>50</v>
      </c>
      <c r="AE1029" t="s">
        <v>47</v>
      </c>
      <c r="AF1029" t="s">
        <v>47</v>
      </c>
      <c r="AG1029" t="s">
        <v>47</v>
      </c>
      <c r="AH1029" t="s">
        <v>47</v>
      </c>
      <c r="AI1029" t="s">
        <v>47</v>
      </c>
      <c r="AJ1029" t="s">
        <v>47</v>
      </c>
      <c r="AK1029" t="s">
        <v>47</v>
      </c>
      <c r="AL1029" t="s">
        <v>47</v>
      </c>
      <c r="AM1029" t="s">
        <v>47</v>
      </c>
      <c r="AN1029" t="s">
        <v>47</v>
      </c>
      <c r="AO1029" s="5" t="s">
        <v>60</v>
      </c>
      <c r="AP1029" s="4" t="s">
        <v>61</v>
      </c>
      <c r="AQ1029" s="4" t="s">
        <v>53</v>
      </c>
      <c r="AR1029" s="4" t="s">
        <v>4095</v>
      </c>
      <c r="AS1029" s="5">
        <v>26842</v>
      </c>
      <c r="AT1029" t="s">
        <v>47</v>
      </c>
    </row>
    <row r="1030" spans="1:46" ht="52" x14ac:dyDescent="0.3">
      <c r="A1030" s="4" t="s">
        <v>4096</v>
      </c>
      <c r="B1030" t="s">
        <v>47</v>
      </c>
      <c r="C1030" s="4" t="s">
        <v>4097</v>
      </c>
      <c r="D1030" s="4" t="s">
        <v>4098</v>
      </c>
      <c r="E1030" s="4" t="s">
        <v>49</v>
      </c>
      <c r="F1030" s="5" t="s">
        <v>4099</v>
      </c>
      <c r="G1030" t="s">
        <v>47</v>
      </c>
      <c r="H1030" t="s">
        <v>47</v>
      </c>
      <c r="I1030" s="3">
        <v>37438</v>
      </c>
      <c r="J1030" s="5" t="s">
        <v>50</v>
      </c>
      <c r="K1030" t="s">
        <v>47</v>
      </c>
      <c r="L1030" s="5" t="s">
        <v>60</v>
      </c>
      <c r="M1030" s="3">
        <v>37438</v>
      </c>
      <c r="N1030" s="5" t="s">
        <v>50</v>
      </c>
      <c r="O1030" t="s">
        <v>47</v>
      </c>
      <c r="P1030" s="3">
        <v>37438</v>
      </c>
      <c r="Q1030" s="5" t="s">
        <v>50</v>
      </c>
      <c r="R1030" t="s">
        <v>47</v>
      </c>
      <c r="S1030" t="s">
        <v>47</v>
      </c>
      <c r="T1030" t="s">
        <v>47</v>
      </c>
      <c r="U1030" t="s">
        <v>47</v>
      </c>
      <c r="V1030" t="s">
        <v>47</v>
      </c>
      <c r="W1030" s="3">
        <v>37438</v>
      </c>
      <c r="X1030" s="5" t="s">
        <v>50</v>
      </c>
      <c r="Y1030" t="s">
        <v>47</v>
      </c>
      <c r="Z1030" s="3">
        <v>37438</v>
      </c>
      <c r="AA1030" s="5" t="s">
        <v>50</v>
      </c>
      <c r="AB1030" t="s">
        <v>47</v>
      </c>
      <c r="AC1030" s="3">
        <v>37438</v>
      </c>
      <c r="AD1030" s="5" t="s">
        <v>50</v>
      </c>
      <c r="AE1030" t="s">
        <v>47</v>
      </c>
      <c r="AF1030" t="s">
        <v>47</v>
      </c>
      <c r="AG1030" t="s">
        <v>47</v>
      </c>
      <c r="AH1030" t="s">
        <v>47</v>
      </c>
      <c r="AI1030" t="s">
        <v>47</v>
      </c>
      <c r="AJ1030" t="s">
        <v>47</v>
      </c>
      <c r="AK1030" t="s">
        <v>47</v>
      </c>
      <c r="AL1030" t="s">
        <v>47</v>
      </c>
      <c r="AM1030" t="s">
        <v>47</v>
      </c>
      <c r="AN1030" t="s">
        <v>47</v>
      </c>
      <c r="AO1030" s="5" t="s">
        <v>60</v>
      </c>
      <c r="AP1030" s="4" t="s">
        <v>61</v>
      </c>
      <c r="AQ1030" s="4" t="s">
        <v>53</v>
      </c>
      <c r="AR1030" s="4" t="s">
        <v>4100</v>
      </c>
      <c r="AS1030" s="5">
        <v>27549</v>
      </c>
      <c r="AT1030" t="s">
        <v>47</v>
      </c>
    </row>
    <row r="1031" spans="1:46" ht="78" x14ac:dyDescent="0.3">
      <c r="A1031" s="4" t="s">
        <v>4101</v>
      </c>
      <c r="B1031" t="s">
        <v>47</v>
      </c>
      <c r="C1031" s="4" t="s">
        <v>200</v>
      </c>
      <c r="D1031" s="4" t="s">
        <v>4102</v>
      </c>
      <c r="E1031" s="4" t="s">
        <v>66</v>
      </c>
      <c r="F1031" s="5" t="s">
        <v>4103</v>
      </c>
      <c r="G1031" s="5" t="s">
        <v>4104</v>
      </c>
      <c r="H1031" t="s">
        <v>47</v>
      </c>
      <c r="I1031" s="3">
        <v>33604</v>
      </c>
      <c r="J1031" s="3">
        <v>39783</v>
      </c>
      <c r="K1031" t="s">
        <v>47</v>
      </c>
      <c r="L1031" s="5" t="s">
        <v>60</v>
      </c>
      <c r="M1031" s="3">
        <v>34335</v>
      </c>
      <c r="N1031" s="3">
        <v>39783</v>
      </c>
      <c r="O1031" t="s">
        <v>47</v>
      </c>
      <c r="P1031" s="3">
        <v>33604</v>
      </c>
      <c r="Q1031" s="3">
        <v>39783</v>
      </c>
      <c r="R1031" t="s">
        <v>47</v>
      </c>
      <c r="S1031" t="s">
        <v>47</v>
      </c>
      <c r="T1031" t="s">
        <v>47</v>
      </c>
      <c r="U1031" t="s">
        <v>47</v>
      </c>
      <c r="V1031" t="s">
        <v>47</v>
      </c>
      <c r="W1031" s="3">
        <v>32509</v>
      </c>
      <c r="X1031" s="5" t="s">
        <v>50</v>
      </c>
      <c r="Y1031" t="s">
        <v>47</v>
      </c>
      <c r="Z1031" s="3">
        <v>32509</v>
      </c>
      <c r="AA1031" s="5" t="s">
        <v>50</v>
      </c>
      <c r="AB1031" t="s">
        <v>47</v>
      </c>
      <c r="AC1031" s="3">
        <v>32509</v>
      </c>
      <c r="AD1031" s="5" t="s">
        <v>50</v>
      </c>
      <c r="AE1031" t="s">
        <v>47</v>
      </c>
      <c r="AF1031" t="s">
        <v>47</v>
      </c>
      <c r="AG1031" t="s">
        <v>47</v>
      </c>
      <c r="AH1031" t="s">
        <v>47</v>
      </c>
      <c r="AI1031" t="s">
        <v>47</v>
      </c>
      <c r="AJ1031" t="s">
        <v>47</v>
      </c>
      <c r="AK1031" t="s">
        <v>47</v>
      </c>
      <c r="AL1031" t="s">
        <v>47</v>
      </c>
      <c r="AM1031" t="s">
        <v>47</v>
      </c>
      <c r="AN1031" t="s">
        <v>47</v>
      </c>
      <c r="AO1031" s="5" t="s">
        <v>60</v>
      </c>
      <c r="AP1031" s="4" t="s">
        <v>61</v>
      </c>
      <c r="AQ1031" s="4" t="s">
        <v>53</v>
      </c>
      <c r="AR1031" s="4" t="s">
        <v>4105</v>
      </c>
      <c r="AS1031" s="5">
        <v>2368</v>
      </c>
      <c r="AT1031" t="s">
        <v>47</v>
      </c>
    </row>
    <row r="1032" spans="1:46" ht="65" x14ac:dyDescent="0.3">
      <c r="A1032" s="4" t="s">
        <v>4106</v>
      </c>
      <c r="B1032" t="s">
        <v>47</v>
      </c>
      <c r="C1032" s="4" t="s">
        <v>183</v>
      </c>
      <c r="D1032" s="4" t="s">
        <v>333</v>
      </c>
      <c r="E1032" s="4" t="s">
        <v>49</v>
      </c>
      <c r="F1032" s="5" t="s">
        <v>4107</v>
      </c>
      <c r="G1032" s="5" t="s">
        <v>4108</v>
      </c>
      <c r="H1032" t="s">
        <v>47</v>
      </c>
      <c r="I1032" s="3">
        <v>38504</v>
      </c>
      <c r="J1032" s="3">
        <v>42401</v>
      </c>
      <c r="K1032" t="s">
        <v>47</v>
      </c>
      <c r="L1032" s="5" t="s">
        <v>60</v>
      </c>
      <c r="M1032" s="3">
        <v>38504</v>
      </c>
      <c r="N1032" s="3">
        <v>41306</v>
      </c>
      <c r="O1032" t="s">
        <v>47</v>
      </c>
      <c r="P1032" s="3">
        <v>38504</v>
      </c>
      <c r="Q1032" s="3">
        <v>42401</v>
      </c>
      <c r="R1032" t="s">
        <v>47</v>
      </c>
      <c r="S1032" t="s">
        <v>47</v>
      </c>
      <c r="T1032" t="s">
        <v>47</v>
      </c>
      <c r="U1032" t="s">
        <v>47</v>
      </c>
      <c r="V1032" t="s">
        <v>47</v>
      </c>
      <c r="W1032" s="3">
        <v>38504</v>
      </c>
      <c r="X1032" s="3">
        <v>42401</v>
      </c>
      <c r="Y1032" t="s">
        <v>47</v>
      </c>
      <c r="Z1032" s="3">
        <v>38504</v>
      </c>
      <c r="AA1032" s="3">
        <v>42401</v>
      </c>
      <c r="AB1032" t="s">
        <v>47</v>
      </c>
      <c r="AC1032" s="3">
        <v>38504</v>
      </c>
      <c r="AD1032" s="3">
        <v>42401</v>
      </c>
      <c r="AE1032" t="s">
        <v>47</v>
      </c>
      <c r="AF1032" t="s">
        <v>47</v>
      </c>
      <c r="AG1032" t="s">
        <v>47</v>
      </c>
      <c r="AH1032" t="s">
        <v>47</v>
      </c>
      <c r="AI1032" t="s">
        <v>47</v>
      </c>
      <c r="AJ1032" t="s">
        <v>47</v>
      </c>
      <c r="AK1032" t="s">
        <v>47</v>
      </c>
      <c r="AL1032" t="s">
        <v>47</v>
      </c>
      <c r="AM1032" t="s">
        <v>47</v>
      </c>
      <c r="AN1032" t="s">
        <v>47</v>
      </c>
      <c r="AO1032" s="5" t="s">
        <v>60</v>
      </c>
      <c r="AP1032" s="4" t="s">
        <v>61</v>
      </c>
      <c r="AQ1032" s="4" t="s">
        <v>53</v>
      </c>
      <c r="AR1032" s="4" t="s">
        <v>2929</v>
      </c>
      <c r="AS1032" s="5">
        <v>32800</v>
      </c>
      <c r="AT1032" t="s">
        <v>47</v>
      </c>
    </row>
    <row r="1033" spans="1:46" ht="13" x14ac:dyDescent="0.3">
      <c r="A1033" s="4" t="s">
        <v>4109</v>
      </c>
      <c r="B1033" t="s">
        <v>47</v>
      </c>
      <c r="C1033" s="4" t="s">
        <v>1502</v>
      </c>
      <c r="D1033" s="4" t="s">
        <v>139</v>
      </c>
      <c r="E1033" s="4" t="s">
        <v>66</v>
      </c>
      <c r="F1033" s="5" t="s">
        <v>4110</v>
      </c>
      <c r="G1033" s="5" t="s">
        <v>4111</v>
      </c>
      <c r="H1033" t="s">
        <v>47</v>
      </c>
      <c r="I1033" t="s">
        <v>47</v>
      </c>
      <c r="J1033" t="s">
        <v>47</v>
      </c>
      <c r="K1033" t="s">
        <v>47</v>
      </c>
      <c r="L1033" s="5" t="s">
        <v>60</v>
      </c>
      <c r="M1033" t="s">
        <v>47</v>
      </c>
      <c r="N1033" t="s">
        <v>47</v>
      </c>
      <c r="O1033" t="s">
        <v>47</v>
      </c>
      <c r="P1033" t="s">
        <v>47</v>
      </c>
      <c r="Q1033" t="s">
        <v>47</v>
      </c>
      <c r="R1033" t="s">
        <v>47</v>
      </c>
      <c r="S1033" t="s">
        <v>47</v>
      </c>
      <c r="T1033" t="s">
        <v>47</v>
      </c>
      <c r="U1033" t="s">
        <v>47</v>
      </c>
      <c r="V1033" t="s">
        <v>47</v>
      </c>
      <c r="W1033" s="3">
        <v>37987</v>
      </c>
      <c r="X1033" s="5" t="s">
        <v>50</v>
      </c>
      <c r="Y1033" t="s">
        <v>47</v>
      </c>
      <c r="Z1033" s="3">
        <v>37987</v>
      </c>
      <c r="AA1033" s="5" t="s">
        <v>50</v>
      </c>
      <c r="AB1033" t="s">
        <v>47</v>
      </c>
      <c r="AC1033" s="3">
        <v>37987</v>
      </c>
      <c r="AD1033" s="5" t="s">
        <v>50</v>
      </c>
      <c r="AE1033" t="s">
        <v>47</v>
      </c>
      <c r="AF1033" t="s">
        <v>47</v>
      </c>
      <c r="AG1033" t="s">
        <v>47</v>
      </c>
      <c r="AH1033" t="s">
        <v>47</v>
      </c>
      <c r="AI1033" t="s">
        <v>47</v>
      </c>
      <c r="AJ1033" t="s">
        <v>47</v>
      </c>
      <c r="AK1033" t="s">
        <v>47</v>
      </c>
      <c r="AL1033" t="s">
        <v>47</v>
      </c>
      <c r="AM1033" t="s">
        <v>47</v>
      </c>
      <c r="AN1033" t="s">
        <v>47</v>
      </c>
      <c r="AO1033" s="5" t="s">
        <v>60</v>
      </c>
      <c r="AP1033" s="4" t="s">
        <v>61</v>
      </c>
      <c r="AQ1033" s="4" t="s">
        <v>53</v>
      </c>
      <c r="AR1033" s="4" t="s">
        <v>54</v>
      </c>
      <c r="AS1033" s="5">
        <v>26633</v>
      </c>
      <c r="AT1033" t="s">
        <v>47</v>
      </c>
    </row>
    <row r="1034" spans="1:46" ht="39" x14ac:dyDescent="0.3">
      <c r="A1034" s="4" t="s">
        <v>4112</v>
      </c>
      <c r="B1034" t="s">
        <v>47</v>
      </c>
      <c r="C1034" s="4" t="s">
        <v>4112</v>
      </c>
      <c r="D1034" s="4" t="s">
        <v>116</v>
      </c>
      <c r="E1034" s="4" t="s">
        <v>1448</v>
      </c>
      <c r="F1034" s="5" t="s">
        <v>4113</v>
      </c>
      <c r="G1034" t="s">
        <v>47</v>
      </c>
      <c r="H1034" t="s">
        <v>47</v>
      </c>
      <c r="I1034" s="3">
        <v>36526</v>
      </c>
      <c r="J1034" s="3">
        <v>39448</v>
      </c>
      <c r="K1034" t="s">
        <v>47</v>
      </c>
      <c r="L1034" s="5" t="s">
        <v>60</v>
      </c>
      <c r="M1034" s="3">
        <v>36526</v>
      </c>
      <c r="N1034" s="3">
        <v>39448</v>
      </c>
      <c r="O1034" t="s">
        <v>47</v>
      </c>
      <c r="P1034" s="3">
        <v>36526</v>
      </c>
      <c r="Q1034" s="3">
        <v>39448</v>
      </c>
      <c r="R1034" t="s">
        <v>47</v>
      </c>
      <c r="S1034" t="s">
        <v>47</v>
      </c>
      <c r="T1034" t="s">
        <v>47</v>
      </c>
      <c r="U1034" t="s">
        <v>47</v>
      </c>
      <c r="V1034" t="s">
        <v>47</v>
      </c>
      <c r="W1034" s="3">
        <v>36526</v>
      </c>
      <c r="X1034" s="3">
        <v>39448</v>
      </c>
      <c r="Y1034" t="s">
        <v>47</v>
      </c>
      <c r="Z1034" s="3">
        <v>36526</v>
      </c>
      <c r="AA1034" s="3">
        <v>39448</v>
      </c>
      <c r="AB1034" t="s">
        <v>47</v>
      </c>
      <c r="AC1034" s="3">
        <v>36526</v>
      </c>
      <c r="AD1034" s="3">
        <v>39448</v>
      </c>
      <c r="AE1034" t="s">
        <v>47</v>
      </c>
      <c r="AF1034" t="s">
        <v>47</v>
      </c>
      <c r="AG1034" t="s">
        <v>47</v>
      </c>
      <c r="AH1034" t="s">
        <v>47</v>
      </c>
      <c r="AI1034" t="s">
        <v>47</v>
      </c>
      <c r="AJ1034" t="s">
        <v>47</v>
      </c>
      <c r="AK1034" t="s">
        <v>47</v>
      </c>
      <c r="AL1034" t="s">
        <v>47</v>
      </c>
      <c r="AM1034" t="s">
        <v>47</v>
      </c>
      <c r="AN1034" t="s">
        <v>47</v>
      </c>
      <c r="AO1034" s="5" t="s">
        <v>60</v>
      </c>
      <c r="AP1034" s="4" t="s">
        <v>61</v>
      </c>
      <c r="AQ1034" s="4" t="s">
        <v>261</v>
      </c>
      <c r="AR1034" s="4" t="s">
        <v>619</v>
      </c>
      <c r="AS1034" s="5">
        <v>28899</v>
      </c>
      <c r="AT1034" t="s">
        <v>47</v>
      </c>
    </row>
    <row r="1035" spans="1:46" ht="52" x14ac:dyDescent="0.3">
      <c r="A1035" s="4" t="s">
        <v>4114</v>
      </c>
      <c r="B1035" t="s">
        <v>47</v>
      </c>
      <c r="C1035" s="4" t="s">
        <v>169</v>
      </c>
      <c r="D1035" s="4" t="s">
        <v>339</v>
      </c>
      <c r="E1035" s="4" t="s">
        <v>66</v>
      </c>
      <c r="F1035" s="5" t="s">
        <v>4115</v>
      </c>
      <c r="G1035" s="5" t="s">
        <v>4116</v>
      </c>
      <c r="H1035" t="s">
        <v>47</v>
      </c>
      <c r="I1035" s="3">
        <v>35462</v>
      </c>
      <c r="J1035" s="3">
        <v>42705</v>
      </c>
      <c r="K1035" t="s">
        <v>47</v>
      </c>
      <c r="L1035" s="5" t="s">
        <v>60</v>
      </c>
      <c r="M1035" t="s">
        <v>47</v>
      </c>
      <c r="N1035" t="s">
        <v>47</v>
      </c>
      <c r="O1035" t="s">
        <v>47</v>
      </c>
      <c r="P1035" s="3">
        <v>35462</v>
      </c>
      <c r="Q1035" s="3">
        <v>42705</v>
      </c>
      <c r="R1035" t="s">
        <v>47</v>
      </c>
      <c r="S1035" t="s">
        <v>47</v>
      </c>
      <c r="T1035" t="s">
        <v>47</v>
      </c>
      <c r="U1035" t="s">
        <v>47</v>
      </c>
      <c r="V1035" t="s">
        <v>47</v>
      </c>
      <c r="W1035" s="3">
        <v>35462</v>
      </c>
      <c r="X1035" s="3">
        <v>42705</v>
      </c>
      <c r="Y1035" t="s">
        <v>47</v>
      </c>
      <c r="Z1035" s="3">
        <v>35462</v>
      </c>
      <c r="AA1035" s="3">
        <v>42705</v>
      </c>
      <c r="AB1035" t="s">
        <v>47</v>
      </c>
      <c r="AC1035" s="3">
        <v>38018</v>
      </c>
      <c r="AD1035" s="3">
        <v>42705</v>
      </c>
      <c r="AE1035" t="s">
        <v>47</v>
      </c>
      <c r="AF1035" t="s">
        <v>47</v>
      </c>
      <c r="AG1035" t="s">
        <v>47</v>
      </c>
      <c r="AH1035" t="s">
        <v>47</v>
      </c>
      <c r="AI1035" t="s">
        <v>47</v>
      </c>
      <c r="AJ1035" t="s">
        <v>47</v>
      </c>
      <c r="AK1035" t="s">
        <v>47</v>
      </c>
      <c r="AL1035" t="s">
        <v>47</v>
      </c>
      <c r="AM1035" t="s">
        <v>47</v>
      </c>
      <c r="AN1035" t="s">
        <v>47</v>
      </c>
      <c r="AO1035" s="5" t="s">
        <v>60</v>
      </c>
      <c r="AP1035" s="4" t="s">
        <v>61</v>
      </c>
      <c r="AQ1035" s="4" t="s">
        <v>53</v>
      </c>
      <c r="AR1035" s="4" t="s">
        <v>539</v>
      </c>
      <c r="AS1035" s="5">
        <v>55373</v>
      </c>
      <c r="AT1035" t="s">
        <v>47</v>
      </c>
    </row>
    <row r="1036" spans="1:46" ht="13" x14ac:dyDescent="0.3">
      <c r="A1036" s="4" t="s">
        <v>4117</v>
      </c>
      <c r="B1036" t="s">
        <v>47</v>
      </c>
      <c r="C1036" s="4" t="s">
        <v>519</v>
      </c>
      <c r="D1036" s="4" t="s">
        <v>319</v>
      </c>
      <c r="E1036" s="4" t="s">
        <v>49</v>
      </c>
      <c r="F1036" s="5" t="s">
        <v>4118</v>
      </c>
      <c r="G1036" s="5" t="s">
        <v>4119</v>
      </c>
      <c r="H1036" t="s">
        <v>47</v>
      </c>
      <c r="I1036" s="3">
        <v>34366</v>
      </c>
      <c r="J1036" s="3">
        <v>40483</v>
      </c>
      <c r="K1036" t="s">
        <v>47</v>
      </c>
      <c r="L1036" s="5" t="s">
        <v>60</v>
      </c>
      <c r="M1036" s="3">
        <v>34366</v>
      </c>
      <c r="N1036" s="3">
        <v>40483</v>
      </c>
      <c r="O1036" t="s">
        <v>47</v>
      </c>
      <c r="P1036" s="3">
        <v>34973</v>
      </c>
      <c r="Q1036" s="3">
        <v>40483</v>
      </c>
      <c r="R1036" t="s">
        <v>47</v>
      </c>
      <c r="S1036" t="s">
        <v>47</v>
      </c>
      <c r="T1036" t="s">
        <v>47</v>
      </c>
      <c r="U1036" t="s">
        <v>47</v>
      </c>
      <c r="V1036" t="s">
        <v>47</v>
      </c>
      <c r="W1036" s="3">
        <v>32540</v>
      </c>
      <c r="X1036" s="5" t="s">
        <v>50</v>
      </c>
      <c r="Y1036" t="s">
        <v>47</v>
      </c>
      <c r="Z1036" s="3">
        <v>32540</v>
      </c>
      <c r="AA1036" s="5" t="s">
        <v>50</v>
      </c>
      <c r="AB1036" t="s">
        <v>47</v>
      </c>
      <c r="AC1036" s="3">
        <v>32540</v>
      </c>
      <c r="AD1036" s="5" t="s">
        <v>50</v>
      </c>
      <c r="AE1036" t="s">
        <v>47</v>
      </c>
      <c r="AF1036" t="s">
        <v>47</v>
      </c>
      <c r="AG1036" t="s">
        <v>47</v>
      </c>
      <c r="AH1036" t="s">
        <v>47</v>
      </c>
      <c r="AI1036" t="s">
        <v>47</v>
      </c>
      <c r="AJ1036" t="s">
        <v>47</v>
      </c>
      <c r="AK1036" t="s">
        <v>47</v>
      </c>
      <c r="AL1036" t="s">
        <v>47</v>
      </c>
      <c r="AM1036" t="s">
        <v>47</v>
      </c>
      <c r="AN1036" t="s">
        <v>47</v>
      </c>
      <c r="AO1036" s="5" t="s">
        <v>60</v>
      </c>
      <c r="AP1036" s="4" t="s">
        <v>61</v>
      </c>
      <c r="AQ1036" s="4" t="s">
        <v>53</v>
      </c>
      <c r="AR1036" s="4" t="s">
        <v>483</v>
      </c>
      <c r="AS1036" s="5">
        <v>36145</v>
      </c>
      <c r="AT1036" t="s">
        <v>47</v>
      </c>
    </row>
    <row r="1037" spans="1:46" ht="13" x14ac:dyDescent="0.3">
      <c r="A1037" s="4" t="s">
        <v>4120</v>
      </c>
      <c r="B1037" t="s">
        <v>47</v>
      </c>
      <c r="C1037" s="4" t="s">
        <v>4120</v>
      </c>
      <c r="D1037" s="4" t="s">
        <v>4121</v>
      </c>
      <c r="E1037" t="s">
        <v>47</v>
      </c>
      <c r="F1037" s="5" t="s">
        <v>4122</v>
      </c>
      <c r="G1037" s="5" t="s">
        <v>4123</v>
      </c>
      <c r="H1037" t="s">
        <v>47</v>
      </c>
      <c r="I1037" s="3">
        <v>35704</v>
      </c>
      <c r="J1037" s="3">
        <v>40634</v>
      </c>
      <c r="K1037" t="s">
        <v>47</v>
      </c>
      <c r="L1037" s="5" t="s">
        <v>60</v>
      </c>
      <c r="M1037" s="3">
        <v>35704</v>
      </c>
      <c r="N1037" s="3">
        <v>40634</v>
      </c>
      <c r="O1037" t="s">
        <v>47</v>
      </c>
      <c r="P1037" s="3">
        <v>35704</v>
      </c>
      <c r="Q1037" s="3">
        <v>40634</v>
      </c>
      <c r="R1037" t="s">
        <v>47</v>
      </c>
      <c r="S1037" t="s">
        <v>47</v>
      </c>
      <c r="T1037" t="s">
        <v>47</v>
      </c>
      <c r="U1037" t="s">
        <v>47</v>
      </c>
      <c r="V1037" t="s">
        <v>47</v>
      </c>
      <c r="W1037" s="3">
        <v>35704</v>
      </c>
      <c r="X1037" s="3">
        <v>42644</v>
      </c>
      <c r="Y1037" t="s">
        <v>47</v>
      </c>
      <c r="Z1037" s="3">
        <v>35704</v>
      </c>
      <c r="AA1037" s="3">
        <v>42644</v>
      </c>
      <c r="AB1037" t="s">
        <v>47</v>
      </c>
      <c r="AC1037" s="3">
        <v>38078</v>
      </c>
      <c r="AD1037" s="3">
        <v>42644</v>
      </c>
      <c r="AE1037" t="s">
        <v>47</v>
      </c>
      <c r="AF1037" t="s">
        <v>47</v>
      </c>
      <c r="AG1037" t="s">
        <v>47</v>
      </c>
      <c r="AH1037" t="s">
        <v>47</v>
      </c>
      <c r="AI1037" t="s">
        <v>47</v>
      </c>
      <c r="AJ1037" t="s">
        <v>47</v>
      </c>
      <c r="AK1037" t="s">
        <v>47</v>
      </c>
      <c r="AL1037" t="s">
        <v>47</v>
      </c>
      <c r="AM1037" t="s">
        <v>47</v>
      </c>
      <c r="AN1037" t="s">
        <v>47</v>
      </c>
      <c r="AO1037" s="5" t="s">
        <v>60</v>
      </c>
      <c r="AP1037" s="4" t="s">
        <v>61</v>
      </c>
      <c r="AQ1037" s="4" t="s">
        <v>53</v>
      </c>
      <c r="AR1037" s="4" t="s">
        <v>54</v>
      </c>
      <c r="AS1037" s="5">
        <v>48205</v>
      </c>
      <c r="AT1037" t="s">
        <v>47</v>
      </c>
    </row>
    <row r="1038" spans="1:46" ht="65" x14ac:dyDescent="0.3">
      <c r="A1038" s="4" t="s">
        <v>4124</v>
      </c>
      <c r="B1038" t="s">
        <v>47</v>
      </c>
      <c r="C1038" s="4" t="s">
        <v>4125</v>
      </c>
      <c r="D1038" s="4" t="s">
        <v>223</v>
      </c>
      <c r="E1038" s="4" t="s">
        <v>49</v>
      </c>
      <c r="F1038" t="s">
        <v>47</v>
      </c>
      <c r="G1038" t="s">
        <v>47</v>
      </c>
      <c r="H1038" t="s">
        <v>47</v>
      </c>
      <c r="I1038" s="3">
        <v>40179</v>
      </c>
      <c r="J1038" s="5" t="s">
        <v>50</v>
      </c>
      <c r="K1038" s="5" t="s">
        <v>450</v>
      </c>
      <c r="L1038" s="5" t="s">
        <v>60</v>
      </c>
      <c r="M1038" s="3">
        <v>40179</v>
      </c>
      <c r="N1038" s="5" t="s">
        <v>50</v>
      </c>
      <c r="O1038" s="5" t="s">
        <v>450</v>
      </c>
      <c r="P1038" s="3">
        <v>40179</v>
      </c>
      <c r="Q1038" s="5" t="s">
        <v>50</v>
      </c>
      <c r="R1038" s="5" t="s">
        <v>450</v>
      </c>
      <c r="S1038" t="s">
        <v>47</v>
      </c>
      <c r="T1038" t="s">
        <v>47</v>
      </c>
      <c r="U1038" t="s">
        <v>47</v>
      </c>
      <c r="V1038" t="s">
        <v>47</v>
      </c>
      <c r="W1038" s="3">
        <v>40179</v>
      </c>
      <c r="X1038" s="5" t="s">
        <v>50</v>
      </c>
      <c r="Y1038" s="5" t="s">
        <v>450</v>
      </c>
      <c r="Z1038" s="3">
        <v>40179</v>
      </c>
      <c r="AA1038" s="5" t="s">
        <v>50</v>
      </c>
      <c r="AB1038" s="5" t="s">
        <v>450</v>
      </c>
      <c r="AC1038" s="3">
        <v>40179</v>
      </c>
      <c r="AD1038" s="5" t="s">
        <v>50</v>
      </c>
      <c r="AE1038" s="5" t="s">
        <v>450</v>
      </c>
      <c r="AF1038" t="s">
        <v>47</v>
      </c>
      <c r="AG1038" t="s">
        <v>47</v>
      </c>
      <c r="AH1038" t="s">
        <v>47</v>
      </c>
      <c r="AI1038" t="s">
        <v>47</v>
      </c>
      <c r="AJ1038" t="s">
        <v>47</v>
      </c>
      <c r="AK1038" t="s">
        <v>47</v>
      </c>
      <c r="AL1038" t="s">
        <v>47</v>
      </c>
      <c r="AM1038" t="s">
        <v>47</v>
      </c>
      <c r="AN1038" t="s">
        <v>47</v>
      </c>
      <c r="AO1038" s="5" t="s">
        <v>60</v>
      </c>
      <c r="AP1038" s="4" t="s">
        <v>61</v>
      </c>
      <c r="AQ1038" s="4" t="s">
        <v>53</v>
      </c>
      <c r="AR1038" s="4" t="s">
        <v>4126</v>
      </c>
      <c r="AS1038" s="5">
        <v>2026819</v>
      </c>
      <c r="AT1038" t="s">
        <v>47</v>
      </c>
    </row>
    <row r="1039" spans="1:46" ht="117" x14ac:dyDescent="0.3">
      <c r="A1039" s="4" t="s">
        <v>4127</v>
      </c>
      <c r="B1039" t="s">
        <v>47</v>
      </c>
      <c r="C1039" s="4" t="s">
        <v>4125</v>
      </c>
      <c r="D1039" t="s">
        <v>47</v>
      </c>
      <c r="E1039" s="4" t="s">
        <v>49</v>
      </c>
      <c r="F1039" s="5" t="s">
        <v>4128</v>
      </c>
      <c r="G1039" t="s">
        <v>47</v>
      </c>
      <c r="H1039" t="s">
        <v>47</v>
      </c>
      <c r="I1039" s="3">
        <v>38353</v>
      </c>
      <c r="J1039" s="3">
        <v>39814</v>
      </c>
      <c r="K1039" t="s">
        <v>47</v>
      </c>
      <c r="L1039" s="5" t="s">
        <v>60</v>
      </c>
      <c r="M1039" s="3">
        <v>38353</v>
      </c>
      <c r="N1039" s="3">
        <v>39814</v>
      </c>
      <c r="O1039" t="s">
        <v>47</v>
      </c>
      <c r="P1039" s="3">
        <v>38353</v>
      </c>
      <c r="Q1039" s="3">
        <v>39814</v>
      </c>
      <c r="R1039" t="s">
        <v>47</v>
      </c>
      <c r="S1039" t="s">
        <v>47</v>
      </c>
      <c r="T1039" t="s">
        <v>47</v>
      </c>
      <c r="U1039" t="s">
        <v>47</v>
      </c>
      <c r="V1039" t="s">
        <v>47</v>
      </c>
      <c r="W1039" s="3">
        <v>38353</v>
      </c>
      <c r="X1039" s="3">
        <v>39814</v>
      </c>
      <c r="Y1039" t="s">
        <v>47</v>
      </c>
      <c r="Z1039" s="3">
        <v>38353</v>
      </c>
      <c r="AA1039" s="3">
        <v>39814</v>
      </c>
      <c r="AB1039" t="s">
        <v>47</v>
      </c>
      <c r="AC1039" s="3">
        <v>38353</v>
      </c>
      <c r="AD1039" s="3">
        <v>39814</v>
      </c>
      <c r="AE1039" t="s">
        <v>47</v>
      </c>
      <c r="AF1039" t="s">
        <v>47</v>
      </c>
      <c r="AG1039" t="s">
        <v>47</v>
      </c>
      <c r="AH1039" t="s">
        <v>47</v>
      </c>
      <c r="AI1039" t="s">
        <v>47</v>
      </c>
      <c r="AJ1039" t="s">
        <v>47</v>
      </c>
      <c r="AK1039" t="s">
        <v>47</v>
      </c>
      <c r="AL1039" t="s">
        <v>47</v>
      </c>
      <c r="AM1039" t="s">
        <v>47</v>
      </c>
      <c r="AN1039" t="s">
        <v>47</v>
      </c>
      <c r="AO1039" s="5" t="s">
        <v>60</v>
      </c>
      <c r="AP1039" s="4" t="s">
        <v>61</v>
      </c>
      <c r="AQ1039" s="4" t="s">
        <v>53</v>
      </c>
      <c r="AR1039" s="4" t="s">
        <v>4129</v>
      </c>
      <c r="AS1039" s="5">
        <v>28713</v>
      </c>
      <c r="AT1039" t="s">
        <v>47</v>
      </c>
    </row>
    <row r="1040" spans="1:46" ht="39" x14ac:dyDescent="0.3">
      <c r="A1040" s="4" t="s">
        <v>4130</v>
      </c>
      <c r="B1040" t="s">
        <v>47</v>
      </c>
      <c r="C1040" s="4" t="s">
        <v>169</v>
      </c>
      <c r="D1040" s="4" t="s">
        <v>88</v>
      </c>
      <c r="E1040" s="4" t="s">
        <v>66</v>
      </c>
      <c r="F1040" s="5" t="s">
        <v>4131</v>
      </c>
      <c r="G1040" s="5" t="s">
        <v>4132</v>
      </c>
      <c r="H1040" t="s">
        <v>47</v>
      </c>
      <c r="I1040" s="3">
        <v>35431</v>
      </c>
      <c r="J1040" s="3">
        <v>41183</v>
      </c>
      <c r="K1040" t="s">
        <v>47</v>
      </c>
      <c r="L1040" s="5" t="s">
        <v>60</v>
      </c>
      <c r="M1040" s="3">
        <v>35431</v>
      </c>
      <c r="N1040" s="3">
        <v>41183</v>
      </c>
      <c r="O1040" t="s">
        <v>47</v>
      </c>
      <c r="P1040" s="3">
        <v>35431</v>
      </c>
      <c r="Q1040" s="3">
        <v>41183</v>
      </c>
      <c r="R1040" t="s">
        <v>47</v>
      </c>
      <c r="S1040" t="s">
        <v>47</v>
      </c>
      <c r="T1040" t="s">
        <v>47</v>
      </c>
      <c r="U1040" t="s">
        <v>47</v>
      </c>
      <c r="V1040" t="s">
        <v>47</v>
      </c>
      <c r="W1040" s="3">
        <v>35431</v>
      </c>
      <c r="X1040" s="5" t="s">
        <v>50</v>
      </c>
      <c r="Y1040" t="s">
        <v>47</v>
      </c>
      <c r="Z1040" s="3">
        <v>35431</v>
      </c>
      <c r="AA1040" s="5" t="s">
        <v>50</v>
      </c>
      <c r="AB1040" t="s">
        <v>47</v>
      </c>
      <c r="AC1040" s="3">
        <v>37987</v>
      </c>
      <c r="AD1040" s="5" t="s">
        <v>50</v>
      </c>
      <c r="AE1040" t="s">
        <v>47</v>
      </c>
      <c r="AF1040" t="s">
        <v>47</v>
      </c>
      <c r="AG1040" t="s">
        <v>47</v>
      </c>
      <c r="AH1040" t="s">
        <v>47</v>
      </c>
      <c r="AI1040" t="s">
        <v>47</v>
      </c>
      <c r="AJ1040" t="s">
        <v>47</v>
      </c>
      <c r="AK1040" t="s">
        <v>47</v>
      </c>
      <c r="AL1040" t="s">
        <v>47</v>
      </c>
      <c r="AM1040" t="s">
        <v>47</v>
      </c>
      <c r="AN1040" t="s">
        <v>47</v>
      </c>
      <c r="AO1040" s="5" t="s">
        <v>60</v>
      </c>
      <c r="AP1040" s="4" t="s">
        <v>61</v>
      </c>
      <c r="AQ1040" s="4" t="s">
        <v>53</v>
      </c>
      <c r="AR1040" s="4" t="s">
        <v>1148</v>
      </c>
      <c r="AS1040" s="5">
        <v>48631</v>
      </c>
      <c r="AT1040" t="s">
        <v>47</v>
      </c>
    </row>
    <row r="1041" spans="1:46" ht="78" x14ac:dyDescent="0.3">
      <c r="A1041" s="4" t="s">
        <v>4133</v>
      </c>
      <c r="B1041" t="s">
        <v>47</v>
      </c>
      <c r="C1041" s="4" t="s">
        <v>183</v>
      </c>
      <c r="D1041" s="4" t="s">
        <v>4134</v>
      </c>
      <c r="E1041" s="4" t="s">
        <v>49</v>
      </c>
      <c r="F1041" s="5" t="s">
        <v>4135</v>
      </c>
      <c r="G1041" s="5" t="s">
        <v>4136</v>
      </c>
      <c r="H1041" t="s">
        <v>47</v>
      </c>
      <c r="I1041" s="3">
        <v>36161</v>
      </c>
      <c r="J1041" s="3">
        <v>40725</v>
      </c>
      <c r="K1041" t="s">
        <v>47</v>
      </c>
      <c r="L1041" s="5" t="s">
        <v>60</v>
      </c>
      <c r="M1041" s="3">
        <v>36161</v>
      </c>
      <c r="N1041" s="3">
        <v>40725</v>
      </c>
      <c r="O1041" t="s">
        <v>47</v>
      </c>
      <c r="P1041" s="3">
        <v>36161</v>
      </c>
      <c r="Q1041" s="3">
        <v>40725</v>
      </c>
      <c r="R1041" t="s">
        <v>47</v>
      </c>
      <c r="S1041" t="s">
        <v>47</v>
      </c>
      <c r="T1041" t="s">
        <v>47</v>
      </c>
      <c r="U1041" t="s">
        <v>47</v>
      </c>
      <c r="V1041" t="s">
        <v>47</v>
      </c>
      <c r="W1041" s="3">
        <v>28550</v>
      </c>
      <c r="X1041" s="5" t="s">
        <v>50</v>
      </c>
      <c r="Y1041" t="s">
        <v>47</v>
      </c>
      <c r="Z1041" s="3">
        <v>28550</v>
      </c>
      <c r="AA1041" s="5" t="s">
        <v>50</v>
      </c>
      <c r="AB1041" t="s">
        <v>47</v>
      </c>
      <c r="AC1041" s="3">
        <v>36404</v>
      </c>
      <c r="AD1041" s="5" t="s">
        <v>50</v>
      </c>
      <c r="AE1041" s="5" t="s">
        <v>4137</v>
      </c>
      <c r="AF1041" t="s">
        <v>47</v>
      </c>
      <c r="AG1041" t="s">
        <v>47</v>
      </c>
      <c r="AH1041" t="s">
        <v>47</v>
      </c>
      <c r="AI1041" t="s">
        <v>47</v>
      </c>
      <c r="AJ1041" t="s">
        <v>47</v>
      </c>
      <c r="AK1041" t="s">
        <v>47</v>
      </c>
      <c r="AL1041" t="s">
        <v>47</v>
      </c>
      <c r="AM1041" t="s">
        <v>47</v>
      </c>
      <c r="AN1041" t="s">
        <v>47</v>
      </c>
      <c r="AO1041" s="5" t="s">
        <v>60</v>
      </c>
      <c r="AP1041" s="4" t="s">
        <v>61</v>
      </c>
      <c r="AQ1041" s="4" t="s">
        <v>53</v>
      </c>
      <c r="AR1041" s="4" t="s">
        <v>436</v>
      </c>
      <c r="AS1041" s="5">
        <v>6091</v>
      </c>
      <c r="AT1041" t="s">
        <v>47</v>
      </c>
    </row>
    <row r="1042" spans="1:46" ht="78" x14ac:dyDescent="0.3">
      <c r="A1042" s="4" t="s">
        <v>4138</v>
      </c>
      <c r="B1042" t="s">
        <v>47</v>
      </c>
      <c r="C1042" s="4" t="s">
        <v>183</v>
      </c>
      <c r="D1042" s="4" t="s">
        <v>4139</v>
      </c>
      <c r="E1042" s="4" t="s">
        <v>49</v>
      </c>
      <c r="F1042" s="5" t="s">
        <v>4140</v>
      </c>
      <c r="G1042" s="5" t="s">
        <v>4141</v>
      </c>
      <c r="H1042" t="s">
        <v>47</v>
      </c>
      <c r="I1042" s="3">
        <v>35521</v>
      </c>
      <c r="J1042" s="3">
        <v>40299</v>
      </c>
      <c r="K1042" t="s">
        <v>47</v>
      </c>
      <c r="L1042" s="5" t="s">
        <v>60</v>
      </c>
      <c r="M1042" s="3">
        <v>35521</v>
      </c>
      <c r="N1042" s="3">
        <v>39753</v>
      </c>
      <c r="O1042" t="s">
        <v>47</v>
      </c>
      <c r="P1042" s="3">
        <v>35521</v>
      </c>
      <c r="Q1042" s="3">
        <v>40299</v>
      </c>
      <c r="R1042" t="s">
        <v>47</v>
      </c>
      <c r="S1042" t="s">
        <v>47</v>
      </c>
      <c r="T1042" t="s">
        <v>47</v>
      </c>
      <c r="U1042" t="s">
        <v>47</v>
      </c>
      <c r="V1042" t="s">
        <v>47</v>
      </c>
      <c r="W1042" s="3">
        <v>26451</v>
      </c>
      <c r="X1042" s="5" t="s">
        <v>50</v>
      </c>
      <c r="Y1042" t="s">
        <v>47</v>
      </c>
      <c r="Z1042" s="3">
        <v>26451</v>
      </c>
      <c r="AA1042" s="5" t="s">
        <v>50</v>
      </c>
      <c r="AB1042" t="s">
        <v>47</v>
      </c>
      <c r="AC1042" s="3">
        <v>36708</v>
      </c>
      <c r="AD1042" s="5" t="s">
        <v>50</v>
      </c>
      <c r="AE1042" t="s">
        <v>47</v>
      </c>
      <c r="AF1042" t="s">
        <v>47</v>
      </c>
      <c r="AG1042" t="s">
        <v>47</v>
      </c>
      <c r="AH1042" t="s">
        <v>47</v>
      </c>
      <c r="AI1042" t="s">
        <v>47</v>
      </c>
      <c r="AJ1042" t="s">
        <v>47</v>
      </c>
      <c r="AK1042" t="s">
        <v>47</v>
      </c>
      <c r="AL1042" t="s">
        <v>47</v>
      </c>
      <c r="AM1042" t="s">
        <v>47</v>
      </c>
      <c r="AN1042" t="s">
        <v>47</v>
      </c>
      <c r="AO1042" s="5" t="s">
        <v>60</v>
      </c>
      <c r="AP1042" s="4" t="s">
        <v>61</v>
      </c>
      <c r="AQ1042" s="4" t="s">
        <v>53</v>
      </c>
      <c r="AR1042" s="4" t="s">
        <v>436</v>
      </c>
      <c r="AS1042" s="5">
        <v>3223</v>
      </c>
      <c r="AT1042" t="s">
        <v>47</v>
      </c>
    </row>
    <row r="1043" spans="1:46" ht="104" x14ac:dyDescent="0.3">
      <c r="A1043" s="4" t="s">
        <v>4142</v>
      </c>
      <c r="B1043" t="s">
        <v>47</v>
      </c>
      <c r="C1043" s="4" t="s">
        <v>4143</v>
      </c>
      <c r="D1043" s="4" t="s">
        <v>4144</v>
      </c>
      <c r="E1043" s="4" t="s">
        <v>4145</v>
      </c>
      <c r="F1043" s="5" t="s">
        <v>4146</v>
      </c>
      <c r="G1043" s="5" t="s">
        <v>4147</v>
      </c>
      <c r="H1043" t="s">
        <v>47</v>
      </c>
      <c r="I1043" s="3">
        <v>39448</v>
      </c>
      <c r="J1043" s="3">
        <v>43466</v>
      </c>
      <c r="K1043" t="s">
        <v>47</v>
      </c>
      <c r="L1043" s="5" t="s">
        <v>60</v>
      </c>
      <c r="M1043" s="3">
        <v>39448</v>
      </c>
      <c r="N1043" s="3">
        <v>43466</v>
      </c>
      <c r="O1043" t="s">
        <v>47</v>
      </c>
      <c r="P1043" s="3">
        <v>39448</v>
      </c>
      <c r="Q1043" s="3">
        <v>43466</v>
      </c>
      <c r="R1043" t="s">
        <v>47</v>
      </c>
      <c r="S1043" t="s">
        <v>47</v>
      </c>
      <c r="T1043" t="s">
        <v>47</v>
      </c>
      <c r="U1043" t="s">
        <v>47</v>
      </c>
      <c r="V1043" t="s">
        <v>47</v>
      </c>
      <c r="W1043" s="3">
        <v>39448</v>
      </c>
      <c r="X1043" s="3">
        <v>43466</v>
      </c>
      <c r="Y1043" t="s">
        <v>47</v>
      </c>
      <c r="Z1043" s="3">
        <v>39448</v>
      </c>
      <c r="AA1043" s="3">
        <v>43466</v>
      </c>
      <c r="AB1043" t="s">
        <v>47</v>
      </c>
      <c r="AC1043" s="3">
        <v>39448</v>
      </c>
      <c r="AD1043" s="3">
        <v>43466</v>
      </c>
      <c r="AE1043" t="s">
        <v>47</v>
      </c>
      <c r="AF1043" t="s">
        <v>47</v>
      </c>
      <c r="AG1043" t="s">
        <v>47</v>
      </c>
      <c r="AH1043" t="s">
        <v>47</v>
      </c>
      <c r="AI1043" t="s">
        <v>47</v>
      </c>
      <c r="AJ1043" t="s">
        <v>47</v>
      </c>
      <c r="AK1043" t="s">
        <v>47</v>
      </c>
      <c r="AL1043" t="s">
        <v>47</v>
      </c>
      <c r="AM1043" t="s">
        <v>47</v>
      </c>
      <c r="AN1043" t="s">
        <v>47</v>
      </c>
      <c r="AO1043" s="5" t="s">
        <v>60</v>
      </c>
      <c r="AP1043" s="4" t="s">
        <v>61</v>
      </c>
      <c r="AQ1043" s="4" t="s">
        <v>4148</v>
      </c>
      <c r="AR1043" s="4" t="s">
        <v>4149</v>
      </c>
      <c r="AS1043" s="5">
        <v>52199</v>
      </c>
      <c r="AT1043" t="s">
        <v>47</v>
      </c>
    </row>
    <row r="1044" spans="1:46" ht="104" x14ac:dyDescent="0.3">
      <c r="A1044" s="4" t="s">
        <v>4150</v>
      </c>
      <c r="B1044" t="s">
        <v>47</v>
      </c>
      <c r="C1044" s="4" t="s">
        <v>305</v>
      </c>
      <c r="D1044" s="4" t="s">
        <v>306</v>
      </c>
      <c r="E1044" s="4" t="s">
        <v>49</v>
      </c>
      <c r="F1044" t="s">
        <v>47</v>
      </c>
      <c r="G1044" s="5" t="s">
        <v>4151</v>
      </c>
      <c r="H1044" t="s">
        <v>47</v>
      </c>
      <c r="I1044" s="3">
        <v>40210</v>
      </c>
      <c r="J1044" s="3">
        <v>44805</v>
      </c>
      <c r="K1044" t="s">
        <v>47</v>
      </c>
      <c r="L1044" s="5" t="s">
        <v>60</v>
      </c>
      <c r="M1044" s="3">
        <v>40210</v>
      </c>
      <c r="N1044" s="3">
        <v>44805</v>
      </c>
      <c r="O1044" t="s">
        <v>47</v>
      </c>
      <c r="P1044" s="3">
        <v>40210</v>
      </c>
      <c r="Q1044" s="3">
        <v>44805</v>
      </c>
      <c r="R1044" t="s">
        <v>47</v>
      </c>
      <c r="S1044" t="s">
        <v>47</v>
      </c>
      <c r="T1044" t="s">
        <v>47</v>
      </c>
      <c r="U1044" t="s">
        <v>47</v>
      </c>
      <c r="V1044" t="s">
        <v>47</v>
      </c>
      <c r="W1044" s="3">
        <v>40210</v>
      </c>
      <c r="X1044" s="3">
        <v>44805</v>
      </c>
      <c r="Y1044" t="s">
        <v>47</v>
      </c>
      <c r="Z1044" s="3">
        <v>40210</v>
      </c>
      <c r="AA1044" s="3">
        <v>44805</v>
      </c>
      <c r="AB1044" t="s">
        <v>47</v>
      </c>
      <c r="AC1044" s="3">
        <v>40210</v>
      </c>
      <c r="AD1044" s="3">
        <v>44805</v>
      </c>
      <c r="AE1044" t="s">
        <v>47</v>
      </c>
      <c r="AF1044" t="s">
        <v>47</v>
      </c>
      <c r="AG1044" t="s">
        <v>47</v>
      </c>
      <c r="AH1044" t="s">
        <v>47</v>
      </c>
      <c r="AI1044" t="s">
        <v>47</v>
      </c>
      <c r="AJ1044" t="s">
        <v>47</v>
      </c>
      <c r="AK1044" t="s">
        <v>47</v>
      </c>
      <c r="AL1044" t="s">
        <v>47</v>
      </c>
      <c r="AM1044" t="s">
        <v>47</v>
      </c>
      <c r="AN1044" t="s">
        <v>47</v>
      </c>
      <c r="AO1044" s="5" t="s">
        <v>51</v>
      </c>
      <c r="AP1044" s="4" t="s">
        <v>61</v>
      </c>
      <c r="AQ1044" s="4" t="s">
        <v>53</v>
      </c>
      <c r="AR1044" s="4" t="s">
        <v>4152</v>
      </c>
      <c r="AS1044" s="5">
        <v>135351</v>
      </c>
      <c r="AT1044" t="s">
        <v>47</v>
      </c>
    </row>
    <row r="1045" spans="1:46" ht="117" x14ac:dyDescent="0.3">
      <c r="A1045" s="4" t="s">
        <v>4153</v>
      </c>
      <c r="B1045" t="s">
        <v>47</v>
      </c>
      <c r="C1045" s="4" t="s">
        <v>305</v>
      </c>
      <c r="D1045" s="4" t="s">
        <v>306</v>
      </c>
      <c r="E1045" s="4" t="s">
        <v>49</v>
      </c>
      <c r="F1045" s="5" t="s">
        <v>4154</v>
      </c>
      <c r="G1045" s="5" t="s">
        <v>4151</v>
      </c>
      <c r="H1045" t="s">
        <v>47</v>
      </c>
      <c r="I1045" s="3">
        <v>35521</v>
      </c>
      <c r="J1045" s="3">
        <v>40148</v>
      </c>
      <c r="K1045" t="s">
        <v>47</v>
      </c>
      <c r="L1045" s="5" t="s">
        <v>60</v>
      </c>
      <c r="M1045" s="3">
        <v>35521</v>
      </c>
      <c r="N1045" s="3">
        <v>40148</v>
      </c>
      <c r="O1045" t="s">
        <v>47</v>
      </c>
      <c r="P1045" s="3">
        <v>35521</v>
      </c>
      <c r="Q1045" s="3">
        <v>40148</v>
      </c>
      <c r="R1045" t="s">
        <v>47</v>
      </c>
      <c r="S1045" t="s">
        <v>47</v>
      </c>
      <c r="T1045" t="s">
        <v>47</v>
      </c>
      <c r="U1045" t="s">
        <v>47</v>
      </c>
      <c r="V1045" t="s">
        <v>47</v>
      </c>
      <c r="W1045" s="3">
        <v>33635</v>
      </c>
      <c r="X1045" s="3">
        <v>40148</v>
      </c>
      <c r="Y1045" t="s">
        <v>47</v>
      </c>
      <c r="Z1045" s="3">
        <v>33635</v>
      </c>
      <c r="AA1045" s="3">
        <v>40148</v>
      </c>
      <c r="AB1045" t="s">
        <v>47</v>
      </c>
      <c r="AC1045" s="3">
        <v>33635</v>
      </c>
      <c r="AD1045" s="3">
        <v>40148</v>
      </c>
      <c r="AE1045" t="s">
        <v>47</v>
      </c>
      <c r="AF1045" t="s">
        <v>47</v>
      </c>
      <c r="AG1045" t="s">
        <v>47</v>
      </c>
      <c r="AH1045" t="s">
        <v>47</v>
      </c>
      <c r="AI1045" t="s">
        <v>47</v>
      </c>
      <c r="AJ1045" t="s">
        <v>47</v>
      </c>
      <c r="AK1045" t="s">
        <v>47</v>
      </c>
      <c r="AL1045" t="s">
        <v>47</v>
      </c>
      <c r="AM1045" t="s">
        <v>47</v>
      </c>
      <c r="AN1045" t="s">
        <v>47</v>
      </c>
      <c r="AO1045" s="5" t="s">
        <v>60</v>
      </c>
      <c r="AP1045" s="4" t="s">
        <v>61</v>
      </c>
      <c r="AQ1045" s="4" t="s">
        <v>53</v>
      </c>
      <c r="AR1045" s="4" t="s">
        <v>4155</v>
      </c>
      <c r="AS1045" s="5">
        <v>7051</v>
      </c>
      <c r="AT1045" t="s">
        <v>47</v>
      </c>
    </row>
    <row r="1046" spans="1:46" ht="39" x14ac:dyDescent="0.3">
      <c r="A1046" s="4" t="s">
        <v>4156</v>
      </c>
      <c r="B1046" t="s">
        <v>47</v>
      </c>
      <c r="C1046" s="4" t="s">
        <v>4157</v>
      </c>
      <c r="D1046" s="4" t="s">
        <v>2200</v>
      </c>
      <c r="E1046" s="4" t="s">
        <v>49</v>
      </c>
      <c r="F1046" s="5" t="s">
        <v>4158</v>
      </c>
      <c r="G1046" s="5" t="s">
        <v>4159</v>
      </c>
      <c r="H1046" t="s">
        <v>47</v>
      </c>
      <c r="I1046" t="s">
        <v>47</v>
      </c>
      <c r="J1046" t="s">
        <v>47</v>
      </c>
      <c r="K1046" t="s">
        <v>47</v>
      </c>
      <c r="L1046" s="5" t="s">
        <v>60</v>
      </c>
      <c r="M1046" t="s">
        <v>47</v>
      </c>
      <c r="N1046" t="s">
        <v>47</v>
      </c>
      <c r="O1046" t="s">
        <v>47</v>
      </c>
      <c r="P1046" t="s">
        <v>47</v>
      </c>
      <c r="Q1046" t="s">
        <v>47</v>
      </c>
      <c r="R1046" t="s">
        <v>47</v>
      </c>
      <c r="S1046" t="s">
        <v>47</v>
      </c>
      <c r="T1046" t="s">
        <v>47</v>
      </c>
      <c r="U1046" t="s">
        <v>47</v>
      </c>
      <c r="V1046" t="s">
        <v>47</v>
      </c>
      <c r="W1046" s="3">
        <v>33604</v>
      </c>
      <c r="X1046" s="5" t="s">
        <v>50</v>
      </c>
      <c r="Y1046" t="s">
        <v>47</v>
      </c>
      <c r="Z1046" s="3">
        <v>33604</v>
      </c>
      <c r="AA1046" s="5" t="s">
        <v>50</v>
      </c>
      <c r="AB1046" t="s">
        <v>47</v>
      </c>
      <c r="AC1046" s="3">
        <v>33604</v>
      </c>
      <c r="AD1046" s="5" t="s">
        <v>50</v>
      </c>
      <c r="AE1046" t="s">
        <v>47</v>
      </c>
      <c r="AF1046" t="s">
        <v>47</v>
      </c>
      <c r="AG1046" t="s">
        <v>47</v>
      </c>
      <c r="AH1046" t="s">
        <v>47</v>
      </c>
      <c r="AI1046" t="s">
        <v>47</v>
      </c>
      <c r="AJ1046" t="s">
        <v>47</v>
      </c>
      <c r="AK1046" t="s">
        <v>47</v>
      </c>
      <c r="AL1046" t="s">
        <v>47</v>
      </c>
      <c r="AM1046" t="s">
        <v>47</v>
      </c>
      <c r="AN1046" t="s">
        <v>47</v>
      </c>
      <c r="AO1046" s="5" t="s">
        <v>60</v>
      </c>
      <c r="AP1046" s="4" t="s">
        <v>61</v>
      </c>
      <c r="AQ1046" s="4" t="s">
        <v>53</v>
      </c>
      <c r="AR1046" s="4" t="s">
        <v>4160</v>
      </c>
      <c r="AS1046" s="5">
        <v>15077</v>
      </c>
      <c r="AT1046" t="s">
        <v>47</v>
      </c>
    </row>
    <row r="1047" spans="1:46" ht="39" x14ac:dyDescent="0.3">
      <c r="A1047" s="4" t="s">
        <v>4161</v>
      </c>
      <c r="B1047" t="s">
        <v>47</v>
      </c>
      <c r="C1047" s="4" t="s">
        <v>4162</v>
      </c>
      <c r="D1047" s="4" t="s">
        <v>4163</v>
      </c>
      <c r="E1047" s="4" t="s">
        <v>454</v>
      </c>
      <c r="F1047" s="5" t="s">
        <v>4164</v>
      </c>
      <c r="G1047" s="5" t="s">
        <v>4165</v>
      </c>
      <c r="H1047" t="s">
        <v>47</v>
      </c>
      <c r="I1047" s="3">
        <v>36220</v>
      </c>
      <c r="J1047" s="3">
        <v>40238</v>
      </c>
      <c r="K1047" t="s">
        <v>47</v>
      </c>
      <c r="L1047" s="5" t="s">
        <v>60</v>
      </c>
      <c r="M1047" s="3">
        <v>36220</v>
      </c>
      <c r="N1047" s="3">
        <v>40238</v>
      </c>
      <c r="O1047" t="s">
        <v>47</v>
      </c>
      <c r="P1047" s="3">
        <v>36220</v>
      </c>
      <c r="Q1047" s="3">
        <v>40238</v>
      </c>
      <c r="R1047" t="s">
        <v>47</v>
      </c>
      <c r="S1047" t="s">
        <v>47</v>
      </c>
      <c r="T1047" t="s">
        <v>47</v>
      </c>
      <c r="U1047" t="s">
        <v>47</v>
      </c>
      <c r="V1047" t="s">
        <v>47</v>
      </c>
      <c r="W1047" s="3">
        <v>35855</v>
      </c>
      <c r="X1047" s="5" t="s">
        <v>50</v>
      </c>
      <c r="Y1047" t="s">
        <v>47</v>
      </c>
      <c r="Z1047" s="3">
        <v>35855</v>
      </c>
      <c r="AA1047" s="5" t="s">
        <v>50</v>
      </c>
      <c r="AB1047" t="s">
        <v>47</v>
      </c>
      <c r="AC1047" s="3">
        <v>35855</v>
      </c>
      <c r="AD1047" s="5" t="s">
        <v>50</v>
      </c>
      <c r="AE1047" t="s">
        <v>47</v>
      </c>
      <c r="AF1047" t="s">
        <v>47</v>
      </c>
      <c r="AG1047" t="s">
        <v>47</v>
      </c>
      <c r="AH1047" t="s">
        <v>47</v>
      </c>
      <c r="AI1047" t="s">
        <v>47</v>
      </c>
      <c r="AJ1047" t="s">
        <v>47</v>
      </c>
      <c r="AK1047" t="s">
        <v>47</v>
      </c>
      <c r="AL1047" t="s">
        <v>47</v>
      </c>
      <c r="AM1047" t="s">
        <v>47</v>
      </c>
      <c r="AN1047" t="s">
        <v>47</v>
      </c>
      <c r="AO1047" s="5" t="s">
        <v>60</v>
      </c>
      <c r="AP1047" s="4" t="s">
        <v>61</v>
      </c>
      <c r="AQ1047" s="4" t="s">
        <v>53</v>
      </c>
      <c r="AR1047" s="4" t="s">
        <v>348</v>
      </c>
      <c r="AS1047" s="5">
        <v>4718</v>
      </c>
      <c r="AT1047" t="s">
        <v>47</v>
      </c>
    </row>
    <row r="1048" spans="1:46" ht="52" x14ac:dyDescent="0.3">
      <c r="A1048" s="4" t="s">
        <v>4166</v>
      </c>
      <c r="B1048" t="s">
        <v>47</v>
      </c>
      <c r="C1048" s="4" t="s">
        <v>4167</v>
      </c>
      <c r="D1048" s="4" t="s">
        <v>2723</v>
      </c>
      <c r="E1048" s="4" t="s">
        <v>4168</v>
      </c>
      <c r="F1048" s="5" t="s">
        <v>4169</v>
      </c>
      <c r="G1048" t="s">
        <v>47</v>
      </c>
      <c r="H1048" t="s">
        <v>47</v>
      </c>
      <c r="I1048" t="s">
        <v>47</v>
      </c>
      <c r="J1048" t="s">
        <v>47</v>
      </c>
      <c r="K1048" t="s">
        <v>47</v>
      </c>
      <c r="L1048" s="5" t="s">
        <v>60</v>
      </c>
      <c r="M1048" t="s">
        <v>47</v>
      </c>
      <c r="N1048" t="s">
        <v>47</v>
      </c>
      <c r="O1048" t="s">
        <v>47</v>
      </c>
      <c r="P1048" t="s">
        <v>47</v>
      </c>
      <c r="Q1048" t="s">
        <v>47</v>
      </c>
      <c r="R1048" t="s">
        <v>47</v>
      </c>
      <c r="S1048" t="s">
        <v>47</v>
      </c>
      <c r="T1048" t="s">
        <v>47</v>
      </c>
      <c r="U1048" t="s">
        <v>47</v>
      </c>
      <c r="V1048" t="s">
        <v>47</v>
      </c>
      <c r="W1048" s="3">
        <v>37622</v>
      </c>
      <c r="X1048" s="3">
        <v>44197</v>
      </c>
      <c r="Y1048" t="s">
        <v>47</v>
      </c>
      <c r="Z1048" s="3">
        <v>37622</v>
      </c>
      <c r="AA1048" s="3">
        <v>44197</v>
      </c>
      <c r="AB1048" t="s">
        <v>47</v>
      </c>
      <c r="AC1048" s="3">
        <v>37622</v>
      </c>
      <c r="AD1048" s="3">
        <v>44197</v>
      </c>
      <c r="AE1048" t="s">
        <v>47</v>
      </c>
      <c r="AF1048" t="s">
        <v>47</v>
      </c>
      <c r="AG1048" t="s">
        <v>47</v>
      </c>
      <c r="AH1048" t="s">
        <v>47</v>
      </c>
      <c r="AI1048" t="s">
        <v>47</v>
      </c>
      <c r="AJ1048" t="s">
        <v>47</v>
      </c>
      <c r="AK1048" t="s">
        <v>47</v>
      </c>
      <c r="AL1048" t="s">
        <v>47</v>
      </c>
      <c r="AM1048" t="s">
        <v>47</v>
      </c>
      <c r="AN1048" t="s">
        <v>47</v>
      </c>
      <c r="AO1048" s="5" t="s">
        <v>60</v>
      </c>
      <c r="AP1048" s="4" t="s">
        <v>61</v>
      </c>
      <c r="AQ1048" s="4" t="s">
        <v>53</v>
      </c>
      <c r="AR1048" s="4" t="s">
        <v>120</v>
      </c>
      <c r="AS1048" s="5">
        <v>38546</v>
      </c>
      <c r="AT1048" t="s">
        <v>47</v>
      </c>
    </row>
    <row r="1049" spans="1:46" ht="39" x14ac:dyDescent="0.3">
      <c r="A1049" s="4" t="s">
        <v>4170</v>
      </c>
      <c r="B1049" t="s">
        <v>47</v>
      </c>
      <c r="C1049" s="4" t="s">
        <v>169</v>
      </c>
      <c r="D1049" s="4" t="s">
        <v>748</v>
      </c>
      <c r="E1049" s="4" t="s">
        <v>66</v>
      </c>
      <c r="F1049" s="5" t="s">
        <v>4171</v>
      </c>
      <c r="G1049" s="5" t="s">
        <v>4172</v>
      </c>
      <c r="H1049" t="s">
        <v>47</v>
      </c>
      <c r="I1049" s="3">
        <v>41275</v>
      </c>
      <c r="J1049" s="3">
        <v>43009</v>
      </c>
      <c r="K1049" t="s">
        <v>47</v>
      </c>
      <c r="L1049" s="5" t="s">
        <v>60</v>
      </c>
      <c r="M1049" t="s">
        <v>47</v>
      </c>
      <c r="N1049" t="s">
        <v>47</v>
      </c>
      <c r="O1049" t="s">
        <v>47</v>
      </c>
      <c r="P1049" s="3">
        <v>41275</v>
      </c>
      <c r="Q1049" s="3">
        <v>43009</v>
      </c>
      <c r="R1049" t="s">
        <v>47</v>
      </c>
      <c r="S1049" t="s">
        <v>47</v>
      </c>
      <c r="T1049" t="s">
        <v>47</v>
      </c>
      <c r="U1049" t="s">
        <v>47</v>
      </c>
      <c r="V1049" t="s">
        <v>47</v>
      </c>
      <c r="W1049" s="3">
        <v>41275</v>
      </c>
      <c r="X1049" s="5" t="s">
        <v>50</v>
      </c>
      <c r="Y1049" t="s">
        <v>47</v>
      </c>
      <c r="Z1049" s="3">
        <v>41275</v>
      </c>
      <c r="AA1049" s="5" t="s">
        <v>50</v>
      </c>
      <c r="AB1049" t="s">
        <v>47</v>
      </c>
      <c r="AC1049" s="3">
        <v>41275</v>
      </c>
      <c r="AD1049" s="5" t="s">
        <v>50</v>
      </c>
      <c r="AE1049" s="5" t="s">
        <v>4173</v>
      </c>
      <c r="AF1049" t="s">
        <v>47</v>
      </c>
      <c r="AG1049" t="s">
        <v>47</v>
      </c>
      <c r="AH1049" t="s">
        <v>47</v>
      </c>
      <c r="AI1049" t="s">
        <v>47</v>
      </c>
      <c r="AJ1049" t="s">
        <v>47</v>
      </c>
      <c r="AK1049" t="s">
        <v>47</v>
      </c>
      <c r="AL1049" t="s">
        <v>47</v>
      </c>
      <c r="AM1049" t="s">
        <v>47</v>
      </c>
      <c r="AN1049" t="s">
        <v>47</v>
      </c>
      <c r="AO1049" s="5" t="s">
        <v>60</v>
      </c>
      <c r="AP1049" s="4" t="s">
        <v>61</v>
      </c>
      <c r="AQ1049" s="4" t="s">
        <v>53</v>
      </c>
      <c r="AR1049" s="4" t="s">
        <v>62</v>
      </c>
      <c r="AS1049" s="5">
        <v>2031326</v>
      </c>
      <c r="AT1049" t="s">
        <v>47</v>
      </c>
    </row>
    <row r="1050" spans="1:46" ht="39" x14ac:dyDescent="0.3">
      <c r="A1050" s="4" t="s">
        <v>4174</v>
      </c>
      <c r="B1050" t="s">
        <v>47</v>
      </c>
      <c r="C1050" s="4" t="s">
        <v>4175</v>
      </c>
      <c r="D1050" s="4" t="s">
        <v>4176</v>
      </c>
      <c r="E1050" s="4" t="s">
        <v>1933</v>
      </c>
      <c r="F1050" s="5" t="s">
        <v>4177</v>
      </c>
      <c r="G1050" s="5" t="s">
        <v>4178</v>
      </c>
      <c r="H1050" t="s">
        <v>47</v>
      </c>
      <c r="I1050" s="3">
        <v>41275</v>
      </c>
      <c r="J1050" s="5" t="s">
        <v>50</v>
      </c>
      <c r="K1050" t="s">
        <v>47</v>
      </c>
      <c r="L1050" s="5" t="s">
        <v>60</v>
      </c>
      <c r="M1050" t="s">
        <v>47</v>
      </c>
      <c r="N1050" t="s">
        <v>47</v>
      </c>
      <c r="O1050" t="s">
        <v>47</v>
      </c>
      <c r="P1050" s="3">
        <v>41275</v>
      </c>
      <c r="Q1050" s="5" t="s">
        <v>50</v>
      </c>
      <c r="R1050" t="s">
        <v>47</v>
      </c>
      <c r="S1050" t="s">
        <v>47</v>
      </c>
      <c r="T1050" t="s">
        <v>47</v>
      </c>
      <c r="U1050" t="s">
        <v>47</v>
      </c>
      <c r="V1050" t="s">
        <v>47</v>
      </c>
      <c r="W1050" s="3">
        <v>41275</v>
      </c>
      <c r="X1050" s="5" t="s">
        <v>50</v>
      </c>
      <c r="Y1050" t="s">
        <v>47</v>
      </c>
      <c r="Z1050" s="3">
        <v>41275</v>
      </c>
      <c r="AA1050" s="5" t="s">
        <v>50</v>
      </c>
      <c r="AB1050" t="s">
        <v>47</v>
      </c>
      <c r="AC1050" s="3">
        <v>41275</v>
      </c>
      <c r="AD1050" s="5" t="s">
        <v>50</v>
      </c>
      <c r="AE1050" t="s">
        <v>47</v>
      </c>
      <c r="AF1050" t="s">
        <v>47</v>
      </c>
      <c r="AG1050" t="s">
        <v>47</v>
      </c>
      <c r="AH1050" t="s">
        <v>47</v>
      </c>
      <c r="AI1050" t="s">
        <v>47</v>
      </c>
      <c r="AJ1050" t="s">
        <v>47</v>
      </c>
      <c r="AK1050" t="s">
        <v>47</v>
      </c>
      <c r="AL1050" t="s">
        <v>47</v>
      </c>
      <c r="AM1050" t="s">
        <v>47</v>
      </c>
      <c r="AN1050" t="s">
        <v>47</v>
      </c>
      <c r="AO1050" s="5" t="s">
        <v>60</v>
      </c>
      <c r="AP1050" s="4" t="s">
        <v>61</v>
      </c>
      <c r="AQ1050" s="4" t="s">
        <v>53</v>
      </c>
      <c r="AR1050" s="4" t="s">
        <v>62</v>
      </c>
      <c r="AS1050" s="5">
        <v>4331778</v>
      </c>
      <c r="AT1050" t="s">
        <v>47</v>
      </c>
    </row>
    <row r="1051" spans="1:46" ht="39" x14ac:dyDescent="0.3">
      <c r="A1051" s="4" t="s">
        <v>4179</v>
      </c>
      <c r="B1051" t="s">
        <v>47</v>
      </c>
      <c r="C1051" s="4" t="s">
        <v>183</v>
      </c>
      <c r="D1051" s="4" t="s">
        <v>88</v>
      </c>
      <c r="E1051" s="4" t="s">
        <v>49</v>
      </c>
      <c r="F1051" s="5" t="s">
        <v>4180</v>
      </c>
      <c r="G1051" s="5" t="s">
        <v>4181</v>
      </c>
      <c r="H1051" t="s">
        <v>47</v>
      </c>
      <c r="I1051" t="s">
        <v>47</v>
      </c>
      <c r="J1051" t="s">
        <v>47</v>
      </c>
      <c r="K1051" t="s">
        <v>47</v>
      </c>
      <c r="L1051" s="5" t="s">
        <v>60</v>
      </c>
      <c r="M1051" t="s">
        <v>47</v>
      </c>
      <c r="N1051" t="s">
        <v>47</v>
      </c>
      <c r="O1051" t="s">
        <v>47</v>
      </c>
      <c r="P1051" t="s">
        <v>47</v>
      </c>
      <c r="Q1051" t="s">
        <v>47</v>
      </c>
      <c r="R1051" t="s">
        <v>47</v>
      </c>
      <c r="S1051" t="s">
        <v>47</v>
      </c>
      <c r="T1051" t="s">
        <v>47</v>
      </c>
      <c r="U1051" t="s">
        <v>47</v>
      </c>
      <c r="V1051" t="s">
        <v>47</v>
      </c>
      <c r="W1051" s="3">
        <v>31413</v>
      </c>
      <c r="X1051" s="5" t="s">
        <v>50</v>
      </c>
      <c r="Y1051" t="s">
        <v>47</v>
      </c>
      <c r="Z1051" s="3">
        <v>31413</v>
      </c>
      <c r="AA1051" s="5" t="s">
        <v>50</v>
      </c>
      <c r="AB1051" t="s">
        <v>47</v>
      </c>
      <c r="AC1051" s="3">
        <v>31413</v>
      </c>
      <c r="AD1051" s="5" t="s">
        <v>50</v>
      </c>
      <c r="AE1051" t="s">
        <v>47</v>
      </c>
      <c r="AF1051" t="s">
        <v>47</v>
      </c>
      <c r="AG1051" t="s">
        <v>47</v>
      </c>
      <c r="AH1051" t="s">
        <v>47</v>
      </c>
      <c r="AI1051" t="s">
        <v>47</v>
      </c>
      <c r="AJ1051" t="s">
        <v>47</v>
      </c>
      <c r="AK1051" t="s">
        <v>47</v>
      </c>
      <c r="AL1051" t="s">
        <v>47</v>
      </c>
      <c r="AM1051" t="s">
        <v>47</v>
      </c>
      <c r="AN1051" t="s">
        <v>47</v>
      </c>
      <c r="AO1051" s="5" t="s">
        <v>60</v>
      </c>
      <c r="AP1051" s="4" t="s">
        <v>61</v>
      </c>
      <c r="AQ1051" s="4" t="s">
        <v>53</v>
      </c>
      <c r="AR1051" s="4" t="s">
        <v>62</v>
      </c>
      <c r="AS1051" s="5">
        <v>1067</v>
      </c>
      <c r="AT1051" t="s">
        <v>47</v>
      </c>
    </row>
    <row r="1052" spans="1:46" ht="65" x14ac:dyDescent="0.3">
      <c r="A1052" s="4" t="s">
        <v>4182</v>
      </c>
      <c r="B1052" t="s">
        <v>47</v>
      </c>
      <c r="C1052" s="4" t="s">
        <v>4183</v>
      </c>
      <c r="D1052" s="4" t="s">
        <v>874</v>
      </c>
      <c r="E1052" s="4" t="s">
        <v>874</v>
      </c>
      <c r="F1052" s="5" t="s">
        <v>4184</v>
      </c>
      <c r="G1052" t="s">
        <v>47</v>
      </c>
      <c r="H1052" t="s">
        <v>47</v>
      </c>
      <c r="I1052" s="3">
        <v>42370</v>
      </c>
      <c r="J1052" s="5" t="s">
        <v>50</v>
      </c>
      <c r="K1052" s="5" t="s">
        <v>3148</v>
      </c>
      <c r="L1052" s="5" t="s">
        <v>60</v>
      </c>
      <c r="M1052" s="3">
        <v>42370</v>
      </c>
      <c r="N1052" s="3">
        <v>44197</v>
      </c>
      <c r="O1052" s="5" t="s">
        <v>3186</v>
      </c>
      <c r="P1052" s="3">
        <v>42370</v>
      </c>
      <c r="Q1052" s="5" t="s">
        <v>50</v>
      </c>
      <c r="R1052" s="5" t="s">
        <v>3148</v>
      </c>
      <c r="S1052" t="s">
        <v>47</v>
      </c>
      <c r="T1052" t="s">
        <v>47</v>
      </c>
      <c r="U1052" t="s">
        <v>47</v>
      </c>
      <c r="V1052" t="s">
        <v>47</v>
      </c>
      <c r="W1052" s="3">
        <v>42370</v>
      </c>
      <c r="X1052" s="5" t="s">
        <v>50</v>
      </c>
      <c r="Y1052" s="5" t="s">
        <v>3148</v>
      </c>
      <c r="Z1052" s="3">
        <v>42370</v>
      </c>
      <c r="AA1052" s="5" t="s">
        <v>50</v>
      </c>
      <c r="AB1052" s="5" t="s">
        <v>3148</v>
      </c>
      <c r="AC1052" s="3">
        <v>42370</v>
      </c>
      <c r="AD1052" s="5" t="s">
        <v>50</v>
      </c>
      <c r="AE1052" s="5" t="s">
        <v>3148</v>
      </c>
      <c r="AF1052" t="s">
        <v>47</v>
      </c>
      <c r="AG1052" t="s">
        <v>47</v>
      </c>
      <c r="AH1052" t="s">
        <v>47</v>
      </c>
      <c r="AI1052" t="s">
        <v>47</v>
      </c>
      <c r="AJ1052" t="s">
        <v>47</v>
      </c>
      <c r="AK1052" t="s">
        <v>47</v>
      </c>
      <c r="AL1052" t="s">
        <v>47</v>
      </c>
      <c r="AM1052" t="s">
        <v>47</v>
      </c>
      <c r="AN1052" t="s">
        <v>47</v>
      </c>
      <c r="AO1052" s="5" t="s">
        <v>60</v>
      </c>
      <c r="AP1052" s="4" t="s">
        <v>61</v>
      </c>
      <c r="AQ1052" s="4" t="s">
        <v>538</v>
      </c>
      <c r="AR1052" s="4" t="s">
        <v>543</v>
      </c>
      <c r="AS1052" s="5">
        <v>2050703</v>
      </c>
      <c r="AT1052" t="s">
        <v>47</v>
      </c>
    </row>
    <row r="1053" spans="1:46" ht="26" x14ac:dyDescent="0.3">
      <c r="A1053" s="4" t="s">
        <v>4185</v>
      </c>
      <c r="B1053" t="s">
        <v>47</v>
      </c>
      <c r="C1053" s="4" t="s">
        <v>1571</v>
      </c>
      <c r="D1053" s="4" t="s">
        <v>1572</v>
      </c>
      <c r="E1053" s="4" t="s">
        <v>163</v>
      </c>
      <c r="F1053" s="5" t="s">
        <v>4186</v>
      </c>
      <c r="G1053" s="5" t="s">
        <v>4187</v>
      </c>
      <c r="H1053" t="s">
        <v>47</v>
      </c>
      <c r="I1053" s="3">
        <v>39083</v>
      </c>
      <c r="J1053" s="5" t="s">
        <v>50</v>
      </c>
      <c r="K1053" s="5" t="s">
        <v>1602</v>
      </c>
      <c r="L1053" s="5" t="s">
        <v>60</v>
      </c>
      <c r="M1053" t="s">
        <v>47</v>
      </c>
      <c r="N1053" t="s">
        <v>47</v>
      </c>
      <c r="O1053" t="s">
        <v>47</v>
      </c>
      <c r="P1053" s="3">
        <v>39083</v>
      </c>
      <c r="Q1053" s="5" t="s">
        <v>50</v>
      </c>
      <c r="R1053" s="5" t="s">
        <v>1602</v>
      </c>
      <c r="S1053" t="s">
        <v>47</v>
      </c>
      <c r="T1053" t="s">
        <v>47</v>
      </c>
      <c r="U1053" t="s">
        <v>47</v>
      </c>
      <c r="V1053" t="s">
        <v>47</v>
      </c>
      <c r="W1053" s="3">
        <v>39083</v>
      </c>
      <c r="X1053" s="5" t="s">
        <v>50</v>
      </c>
      <c r="Y1053" s="5" t="s">
        <v>1602</v>
      </c>
      <c r="Z1053" s="3">
        <v>39083</v>
      </c>
      <c r="AA1053" s="5" t="s">
        <v>50</v>
      </c>
      <c r="AB1053" s="5" t="s">
        <v>1602</v>
      </c>
      <c r="AC1053" s="3">
        <v>39083</v>
      </c>
      <c r="AD1053" s="5" t="s">
        <v>50</v>
      </c>
      <c r="AE1053" s="5" t="s">
        <v>1602</v>
      </c>
      <c r="AF1053" t="s">
        <v>47</v>
      </c>
      <c r="AG1053" t="s">
        <v>47</v>
      </c>
      <c r="AH1053" t="s">
        <v>47</v>
      </c>
      <c r="AI1053" t="s">
        <v>47</v>
      </c>
      <c r="AJ1053" t="s">
        <v>47</v>
      </c>
      <c r="AK1053" t="s">
        <v>47</v>
      </c>
      <c r="AL1053" t="s">
        <v>47</v>
      </c>
      <c r="AM1053" t="s">
        <v>47</v>
      </c>
      <c r="AN1053" t="s">
        <v>47</v>
      </c>
      <c r="AO1053" s="5" t="s">
        <v>60</v>
      </c>
      <c r="AP1053" s="4" t="s">
        <v>61</v>
      </c>
      <c r="AQ1053" s="4" t="s">
        <v>53</v>
      </c>
      <c r="AR1053" s="4" t="s">
        <v>54</v>
      </c>
      <c r="AS1053" s="5">
        <v>2026544</v>
      </c>
      <c r="AT1053" t="s">
        <v>47</v>
      </c>
    </row>
    <row r="1054" spans="1:46" ht="52" x14ac:dyDescent="0.3">
      <c r="A1054" s="4" t="s">
        <v>4188</v>
      </c>
      <c r="B1054" t="s">
        <v>47</v>
      </c>
      <c r="C1054" s="4" t="s">
        <v>2455</v>
      </c>
      <c r="D1054" s="4" t="s">
        <v>2022</v>
      </c>
      <c r="E1054" s="4" t="s">
        <v>49</v>
      </c>
      <c r="F1054" t="s">
        <v>47</v>
      </c>
      <c r="G1054" s="5" t="s">
        <v>4189</v>
      </c>
      <c r="H1054" t="s">
        <v>47</v>
      </c>
      <c r="I1054" s="3">
        <v>40909</v>
      </c>
      <c r="J1054" s="5" t="s">
        <v>50</v>
      </c>
      <c r="K1054" t="s">
        <v>47</v>
      </c>
      <c r="L1054" s="5" t="s">
        <v>60</v>
      </c>
      <c r="M1054" t="s">
        <v>47</v>
      </c>
      <c r="N1054" t="s">
        <v>47</v>
      </c>
      <c r="O1054" t="s">
        <v>47</v>
      </c>
      <c r="P1054" s="3">
        <v>40909</v>
      </c>
      <c r="Q1054" s="5" t="s">
        <v>50</v>
      </c>
      <c r="R1054" t="s">
        <v>47</v>
      </c>
      <c r="S1054" t="s">
        <v>47</v>
      </c>
      <c r="T1054" t="s">
        <v>47</v>
      </c>
      <c r="U1054" t="s">
        <v>47</v>
      </c>
      <c r="V1054" t="s">
        <v>47</v>
      </c>
      <c r="W1054" s="3">
        <v>40909</v>
      </c>
      <c r="X1054" s="5" t="s">
        <v>50</v>
      </c>
      <c r="Y1054" t="s">
        <v>47</v>
      </c>
      <c r="Z1054" s="3">
        <v>40909</v>
      </c>
      <c r="AA1054" s="5" t="s">
        <v>50</v>
      </c>
      <c r="AB1054" t="s">
        <v>47</v>
      </c>
      <c r="AC1054" s="3">
        <v>40909</v>
      </c>
      <c r="AD1054" s="5" t="s">
        <v>50</v>
      </c>
      <c r="AE1054" t="s">
        <v>47</v>
      </c>
      <c r="AF1054" t="s">
        <v>47</v>
      </c>
      <c r="AG1054" t="s">
        <v>47</v>
      </c>
      <c r="AH1054" t="s">
        <v>47</v>
      </c>
      <c r="AI1054" t="s">
        <v>47</v>
      </c>
      <c r="AJ1054" t="s">
        <v>47</v>
      </c>
      <c r="AK1054" t="s">
        <v>47</v>
      </c>
      <c r="AL1054" t="s">
        <v>47</v>
      </c>
      <c r="AM1054" t="s">
        <v>47</v>
      </c>
      <c r="AN1054" t="s">
        <v>47</v>
      </c>
      <c r="AO1054" s="5" t="s">
        <v>60</v>
      </c>
      <c r="AP1054" s="4" t="s">
        <v>61</v>
      </c>
      <c r="AQ1054" s="4" t="s">
        <v>53</v>
      </c>
      <c r="AR1054" s="4" t="s">
        <v>1706</v>
      </c>
      <c r="AS1054" s="5">
        <v>4661810</v>
      </c>
      <c r="AT1054" t="s">
        <v>47</v>
      </c>
    </row>
    <row r="1055" spans="1:46" ht="65" x14ac:dyDescent="0.3">
      <c r="A1055" s="4" t="s">
        <v>4190</v>
      </c>
      <c r="B1055" t="s">
        <v>47</v>
      </c>
      <c r="C1055" s="4" t="s">
        <v>1502</v>
      </c>
      <c r="D1055" s="4" t="s">
        <v>70</v>
      </c>
      <c r="E1055" s="4" t="s">
        <v>66</v>
      </c>
      <c r="F1055" s="5" t="s">
        <v>4191</v>
      </c>
      <c r="G1055" s="5" t="s">
        <v>4192</v>
      </c>
      <c r="H1055" t="s">
        <v>47</v>
      </c>
      <c r="I1055" t="s">
        <v>47</v>
      </c>
      <c r="J1055" t="s">
        <v>47</v>
      </c>
      <c r="K1055" t="s">
        <v>47</v>
      </c>
      <c r="L1055" s="5" t="s">
        <v>60</v>
      </c>
      <c r="M1055" t="s">
        <v>47</v>
      </c>
      <c r="N1055" t="s">
        <v>47</v>
      </c>
      <c r="O1055" t="s">
        <v>47</v>
      </c>
      <c r="P1055" t="s">
        <v>47</v>
      </c>
      <c r="Q1055" t="s">
        <v>47</v>
      </c>
      <c r="R1055" t="s">
        <v>47</v>
      </c>
      <c r="S1055" t="s">
        <v>47</v>
      </c>
      <c r="T1055" t="s">
        <v>47</v>
      </c>
      <c r="U1055" t="s">
        <v>47</v>
      </c>
      <c r="V1055" t="s">
        <v>47</v>
      </c>
      <c r="W1055" s="3">
        <v>36892</v>
      </c>
      <c r="X1055" s="5" t="s">
        <v>50</v>
      </c>
      <c r="Y1055" t="s">
        <v>47</v>
      </c>
      <c r="Z1055" s="3">
        <v>36892</v>
      </c>
      <c r="AA1055" s="5" t="s">
        <v>50</v>
      </c>
      <c r="AB1055" t="s">
        <v>47</v>
      </c>
      <c r="AC1055" s="3">
        <v>36892</v>
      </c>
      <c r="AD1055" s="5" t="s">
        <v>50</v>
      </c>
      <c r="AE1055" t="s">
        <v>47</v>
      </c>
      <c r="AF1055" t="s">
        <v>47</v>
      </c>
      <c r="AG1055" t="s">
        <v>47</v>
      </c>
      <c r="AH1055" t="s">
        <v>47</v>
      </c>
      <c r="AI1055" t="s">
        <v>47</v>
      </c>
      <c r="AJ1055" t="s">
        <v>47</v>
      </c>
      <c r="AK1055" t="s">
        <v>47</v>
      </c>
      <c r="AL1055" t="s">
        <v>47</v>
      </c>
      <c r="AM1055" t="s">
        <v>47</v>
      </c>
      <c r="AN1055" t="s">
        <v>47</v>
      </c>
      <c r="AO1055" s="5" t="s">
        <v>60</v>
      </c>
      <c r="AP1055" s="4" t="s">
        <v>61</v>
      </c>
      <c r="AQ1055" s="4" t="s">
        <v>53</v>
      </c>
      <c r="AR1055" s="4" t="s">
        <v>4193</v>
      </c>
      <c r="AS1055" s="5">
        <v>46989</v>
      </c>
      <c r="AT1055" t="s">
        <v>47</v>
      </c>
    </row>
    <row r="1056" spans="1:46" ht="26" x14ac:dyDescent="0.3">
      <c r="A1056" s="4" t="s">
        <v>4194</v>
      </c>
      <c r="B1056" t="s">
        <v>47</v>
      </c>
      <c r="C1056" s="4" t="s">
        <v>169</v>
      </c>
      <c r="D1056" s="4" t="s">
        <v>3334</v>
      </c>
      <c r="E1056" s="4" t="s">
        <v>66</v>
      </c>
      <c r="F1056" s="5" t="s">
        <v>4195</v>
      </c>
      <c r="G1056" s="5" t="s">
        <v>4196</v>
      </c>
      <c r="H1056" t="s">
        <v>47</v>
      </c>
      <c r="I1056" t="s">
        <v>47</v>
      </c>
      <c r="J1056" t="s">
        <v>47</v>
      </c>
      <c r="K1056" t="s">
        <v>47</v>
      </c>
      <c r="L1056" s="5" t="s">
        <v>60</v>
      </c>
      <c r="M1056" t="s">
        <v>47</v>
      </c>
      <c r="N1056" t="s">
        <v>47</v>
      </c>
      <c r="O1056" t="s">
        <v>47</v>
      </c>
      <c r="P1056" t="s">
        <v>47</v>
      </c>
      <c r="Q1056" t="s">
        <v>47</v>
      </c>
      <c r="R1056" t="s">
        <v>47</v>
      </c>
      <c r="S1056" t="s">
        <v>47</v>
      </c>
      <c r="T1056" t="s">
        <v>47</v>
      </c>
      <c r="U1056" t="s">
        <v>47</v>
      </c>
      <c r="V1056" t="s">
        <v>47</v>
      </c>
      <c r="W1056" s="3">
        <v>40179</v>
      </c>
      <c r="X1056" s="5" t="s">
        <v>50</v>
      </c>
      <c r="Y1056" s="5" t="s">
        <v>4197</v>
      </c>
      <c r="Z1056" s="3">
        <v>40179</v>
      </c>
      <c r="AA1056" s="5" t="s">
        <v>50</v>
      </c>
      <c r="AB1056" s="5" t="s">
        <v>4197</v>
      </c>
      <c r="AC1056" s="3">
        <v>40179</v>
      </c>
      <c r="AD1056" s="5" t="s">
        <v>50</v>
      </c>
      <c r="AE1056" s="5" t="s">
        <v>4197</v>
      </c>
      <c r="AF1056" t="s">
        <v>47</v>
      </c>
      <c r="AG1056" t="s">
        <v>47</v>
      </c>
      <c r="AH1056" t="s">
        <v>47</v>
      </c>
      <c r="AI1056" t="s">
        <v>47</v>
      </c>
      <c r="AJ1056" t="s">
        <v>47</v>
      </c>
      <c r="AK1056" t="s">
        <v>47</v>
      </c>
      <c r="AL1056" t="s">
        <v>47</v>
      </c>
      <c r="AM1056" t="s">
        <v>47</v>
      </c>
      <c r="AN1056" t="s">
        <v>47</v>
      </c>
      <c r="AO1056" s="5" t="s">
        <v>60</v>
      </c>
      <c r="AP1056" s="4" t="s">
        <v>61</v>
      </c>
      <c r="AQ1056" s="4" t="s">
        <v>53</v>
      </c>
      <c r="AR1056" s="4" t="s">
        <v>4198</v>
      </c>
      <c r="AS1056" s="5">
        <v>466391</v>
      </c>
      <c r="AT1056" t="s">
        <v>47</v>
      </c>
    </row>
    <row r="1057" spans="1:46" ht="26" x14ac:dyDescent="0.3">
      <c r="A1057" s="4" t="s">
        <v>4199</v>
      </c>
      <c r="B1057" t="s">
        <v>47</v>
      </c>
      <c r="C1057" s="4" t="s">
        <v>64</v>
      </c>
      <c r="D1057" s="4" t="s">
        <v>139</v>
      </c>
      <c r="E1057" s="4" t="s">
        <v>66</v>
      </c>
      <c r="F1057" s="5" t="s">
        <v>4200</v>
      </c>
      <c r="G1057" s="5" t="s">
        <v>4201</v>
      </c>
      <c r="H1057" t="s">
        <v>47</v>
      </c>
      <c r="I1057" t="s">
        <v>47</v>
      </c>
      <c r="J1057" t="s">
        <v>47</v>
      </c>
      <c r="K1057" t="s">
        <v>47</v>
      </c>
      <c r="L1057" s="5" t="s">
        <v>60</v>
      </c>
      <c r="M1057" t="s">
        <v>47</v>
      </c>
      <c r="N1057" t="s">
        <v>47</v>
      </c>
      <c r="O1057" t="s">
        <v>47</v>
      </c>
      <c r="P1057" t="s">
        <v>47</v>
      </c>
      <c r="Q1057" t="s">
        <v>47</v>
      </c>
      <c r="R1057" t="s">
        <v>47</v>
      </c>
      <c r="S1057" t="s">
        <v>47</v>
      </c>
      <c r="T1057" t="s">
        <v>47</v>
      </c>
      <c r="U1057" t="s">
        <v>47</v>
      </c>
      <c r="V1057" t="s">
        <v>47</v>
      </c>
      <c r="W1057" s="3">
        <v>25934</v>
      </c>
      <c r="X1057" s="5" t="s">
        <v>50</v>
      </c>
      <c r="Y1057" t="s">
        <v>47</v>
      </c>
      <c r="Z1057" s="3">
        <v>25934</v>
      </c>
      <c r="AA1057" s="5" t="s">
        <v>50</v>
      </c>
      <c r="AB1057" t="s">
        <v>47</v>
      </c>
      <c r="AC1057" s="3">
        <v>25934</v>
      </c>
      <c r="AD1057" s="5" t="s">
        <v>50</v>
      </c>
      <c r="AE1057" t="s">
        <v>47</v>
      </c>
      <c r="AF1057" t="s">
        <v>47</v>
      </c>
      <c r="AG1057" t="s">
        <v>47</v>
      </c>
      <c r="AH1057" t="s">
        <v>47</v>
      </c>
      <c r="AI1057" t="s">
        <v>47</v>
      </c>
      <c r="AJ1057" t="s">
        <v>47</v>
      </c>
      <c r="AK1057" t="s">
        <v>47</v>
      </c>
      <c r="AL1057" t="s">
        <v>47</v>
      </c>
      <c r="AM1057" t="s">
        <v>47</v>
      </c>
      <c r="AN1057" t="s">
        <v>47</v>
      </c>
      <c r="AO1057" s="5" t="s">
        <v>60</v>
      </c>
      <c r="AP1057" s="4" t="s">
        <v>61</v>
      </c>
      <c r="AQ1057" s="4" t="s">
        <v>53</v>
      </c>
      <c r="AR1057" s="4" t="s">
        <v>2129</v>
      </c>
      <c r="AS1057" s="5">
        <v>31202</v>
      </c>
      <c r="AT1057" t="s">
        <v>47</v>
      </c>
    </row>
    <row r="1058" spans="1:46" ht="78" x14ac:dyDescent="0.3">
      <c r="A1058" s="4" t="s">
        <v>4202</v>
      </c>
      <c r="B1058" t="s">
        <v>47</v>
      </c>
      <c r="C1058" s="4" t="s">
        <v>4203</v>
      </c>
      <c r="D1058" s="4" t="s">
        <v>407</v>
      </c>
      <c r="E1058" s="4" t="s">
        <v>49</v>
      </c>
      <c r="F1058" s="5" t="s">
        <v>4204</v>
      </c>
      <c r="G1058" s="5" t="s">
        <v>4205</v>
      </c>
      <c r="H1058" t="s">
        <v>47</v>
      </c>
      <c r="I1058" s="3">
        <v>37257</v>
      </c>
      <c r="J1058" s="5" t="s">
        <v>50</v>
      </c>
      <c r="K1058" t="s">
        <v>47</v>
      </c>
      <c r="L1058" s="5" t="s">
        <v>60</v>
      </c>
      <c r="M1058" s="3">
        <v>37257</v>
      </c>
      <c r="N1058" s="5" t="s">
        <v>50</v>
      </c>
      <c r="O1058" t="s">
        <v>47</v>
      </c>
      <c r="P1058" s="3">
        <v>37257</v>
      </c>
      <c r="Q1058" s="5" t="s">
        <v>50</v>
      </c>
      <c r="R1058" t="s">
        <v>47</v>
      </c>
      <c r="S1058" t="s">
        <v>47</v>
      </c>
      <c r="T1058" t="s">
        <v>47</v>
      </c>
      <c r="U1058" t="s">
        <v>47</v>
      </c>
      <c r="V1058" t="s">
        <v>47</v>
      </c>
      <c r="W1058" s="3">
        <v>37257</v>
      </c>
      <c r="X1058" s="5" t="s">
        <v>50</v>
      </c>
      <c r="Y1058" t="s">
        <v>47</v>
      </c>
      <c r="Z1058" s="3">
        <v>37257</v>
      </c>
      <c r="AA1058" s="5" t="s">
        <v>50</v>
      </c>
      <c r="AB1058" t="s">
        <v>47</v>
      </c>
      <c r="AC1058" s="3">
        <v>42095</v>
      </c>
      <c r="AD1058" s="5" t="s">
        <v>50</v>
      </c>
      <c r="AE1058" t="s">
        <v>47</v>
      </c>
      <c r="AF1058" t="s">
        <v>47</v>
      </c>
      <c r="AG1058" t="s">
        <v>47</v>
      </c>
      <c r="AH1058" t="s">
        <v>47</v>
      </c>
      <c r="AI1058" t="s">
        <v>47</v>
      </c>
      <c r="AJ1058" t="s">
        <v>47</v>
      </c>
      <c r="AK1058" t="s">
        <v>47</v>
      </c>
      <c r="AL1058" t="s">
        <v>47</v>
      </c>
      <c r="AM1058" t="s">
        <v>47</v>
      </c>
      <c r="AN1058" t="s">
        <v>47</v>
      </c>
      <c r="AO1058" s="5" t="s">
        <v>60</v>
      </c>
      <c r="AP1058" s="4" t="s">
        <v>61</v>
      </c>
      <c r="AQ1058" s="4" t="s">
        <v>53</v>
      </c>
      <c r="AR1058" s="4" t="s">
        <v>4206</v>
      </c>
      <c r="AS1058" s="5">
        <v>49258</v>
      </c>
      <c r="AT1058" t="s">
        <v>47</v>
      </c>
    </row>
    <row r="1059" spans="1:46" ht="39" x14ac:dyDescent="0.3">
      <c r="A1059" s="4" t="s">
        <v>4207</v>
      </c>
      <c r="B1059" t="s">
        <v>47</v>
      </c>
      <c r="C1059" s="4" t="s">
        <v>4208</v>
      </c>
      <c r="D1059" s="4" t="s">
        <v>4209</v>
      </c>
      <c r="E1059" s="4" t="s">
        <v>1797</v>
      </c>
      <c r="F1059" s="5" t="s">
        <v>4210</v>
      </c>
      <c r="G1059" s="5" t="s">
        <v>4211</v>
      </c>
      <c r="H1059" t="s">
        <v>47</v>
      </c>
      <c r="I1059" s="3">
        <v>39814</v>
      </c>
      <c r="J1059" s="3">
        <v>43831</v>
      </c>
      <c r="K1059" t="s">
        <v>47</v>
      </c>
      <c r="L1059" s="5" t="s">
        <v>60</v>
      </c>
      <c r="M1059" t="s">
        <v>47</v>
      </c>
      <c r="N1059" t="s">
        <v>47</v>
      </c>
      <c r="O1059" t="s">
        <v>47</v>
      </c>
      <c r="P1059" s="3">
        <v>39814</v>
      </c>
      <c r="Q1059" s="3">
        <v>43831</v>
      </c>
      <c r="R1059" t="s">
        <v>47</v>
      </c>
      <c r="S1059" t="s">
        <v>47</v>
      </c>
      <c r="T1059" t="s">
        <v>47</v>
      </c>
      <c r="U1059" t="s">
        <v>47</v>
      </c>
      <c r="V1059" t="s">
        <v>47</v>
      </c>
      <c r="W1059" s="3">
        <v>39814</v>
      </c>
      <c r="X1059" s="3">
        <v>43831</v>
      </c>
      <c r="Y1059" t="s">
        <v>47</v>
      </c>
      <c r="Z1059" s="3">
        <v>39814</v>
      </c>
      <c r="AA1059" s="3">
        <v>43831</v>
      </c>
      <c r="AB1059" t="s">
        <v>47</v>
      </c>
      <c r="AC1059" s="3">
        <v>39814</v>
      </c>
      <c r="AD1059" s="3">
        <v>43831</v>
      </c>
      <c r="AE1059" t="s">
        <v>47</v>
      </c>
      <c r="AF1059" t="s">
        <v>47</v>
      </c>
      <c r="AG1059" t="s">
        <v>47</v>
      </c>
      <c r="AH1059" t="s">
        <v>47</v>
      </c>
      <c r="AI1059" t="s">
        <v>47</v>
      </c>
      <c r="AJ1059" t="s">
        <v>47</v>
      </c>
      <c r="AK1059" t="s">
        <v>47</v>
      </c>
      <c r="AL1059" t="s">
        <v>47</v>
      </c>
      <c r="AM1059" t="s">
        <v>47</v>
      </c>
      <c r="AN1059" t="s">
        <v>47</v>
      </c>
      <c r="AO1059" s="5" t="s">
        <v>60</v>
      </c>
      <c r="AP1059" s="4" t="s">
        <v>61</v>
      </c>
      <c r="AQ1059" s="4" t="s">
        <v>4212</v>
      </c>
      <c r="AR1059" s="4" t="s">
        <v>1543</v>
      </c>
      <c r="AS1059" s="5">
        <v>326367</v>
      </c>
      <c r="AT1059" t="s">
        <v>47</v>
      </c>
    </row>
    <row r="1060" spans="1:46" ht="39" x14ac:dyDescent="0.3">
      <c r="A1060" s="4" t="s">
        <v>4213</v>
      </c>
      <c r="B1060" t="s">
        <v>47</v>
      </c>
      <c r="C1060" s="4" t="s">
        <v>2995</v>
      </c>
      <c r="D1060" s="4" t="s">
        <v>2405</v>
      </c>
      <c r="E1060" s="4" t="s">
        <v>49</v>
      </c>
      <c r="F1060" s="5" t="s">
        <v>4214</v>
      </c>
      <c r="G1060" s="5" t="s">
        <v>4215</v>
      </c>
      <c r="H1060" t="s">
        <v>47</v>
      </c>
      <c r="I1060" s="3">
        <v>37987</v>
      </c>
      <c r="J1060" s="3">
        <v>39722</v>
      </c>
      <c r="K1060" t="s">
        <v>47</v>
      </c>
      <c r="L1060" s="5" t="s">
        <v>60</v>
      </c>
      <c r="M1060" s="3">
        <v>37987</v>
      </c>
      <c r="N1060" s="3">
        <v>39722</v>
      </c>
      <c r="O1060" t="s">
        <v>47</v>
      </c>
      <c r="P1060" s="3">
        <v>37987</v>
      </c>
      <c r="Q1060" s="3">
        <v>39722</v>
      </c>
      <c r="R1060" t="s">
        <v>47</v>
      </c>
      <c r="S1060" t="s">
        <v>47</v>
      </c>
      <c r="T1060" t="s">
        <v>47</v>
      </c>
      <c r="U1060" t="s">
        <v>47</v>
      </c>
      <c r="V1060" t="s">
        <v>47</v>
      </c>
      <c r="W1060" s="3">
        <v>37987</v>
      </c>
      <c r="X1060" s="5" t="s">
        <v>50</v>
      </c>
      <c r="Y1060" t="s">
        <v>47</v>
      </c>
      <c r="Z1060" s="3">
        <v>37987</v>
      </c>
      <c r="AA1060" s="5" t="s">
        <v>50</v>
      </c>
      <c r="AB1060" t="s">
        <v>47</v>
      </c>
      <c r="AC1060" s="3">
        <v>37987</v>
      </c>
      <c r="AD1060" s="5" t="s">
        <v>50</v>
      </c>
      <c r="AE1060" t="s">
        <v>47</v>
      </c>
      <c r="AF1060" t="s">
        <v>47</v>
      </c>
      <c r="AG1060" t="s">
        <v>47</v>
      </c>
      <c r="AH1060" t="s">
        <v>47</v>
      </c>
      <c r="AI1060" t="s">
        <v>47</v>
      </c>
      <c r="AJ1060" t="s">
        <v>47</v>
      </c>
      <c r="AK1060" t="s">
        <v>47</v>
      </c>
      <c r="AL1060" t="s">
        <v>47</v>
      </c>
      <c r="AM1060" t="s">
        <v>47</v>
      </c>
      <c r="AN1060" t="s">
        <v>47</v>
      </c>
      <c r="AO1060" s="5" t="s">
        <v>60</v>
      </c>
      <c r="AP1060" s="4" t="s">
        <v>61</v>
      </c>
      <c r="AQ1060" s="4" t="s">
        <v>53</v>
      </c>
      <c r="AR1060" s="4" t="s">
        <v>1543</v>
      </c>
      <c r="AS1060" s="5">
        <v>34359</v>
      </c>
      <c r="AT1060" t="s">
        <v>47</v>
      </c>
    </row>
    <row r="1061" spans="1:46" ht="26" x14ac:dyDescent="0.3">
      <c r="A1061" s="4" t="s">
        <v>4216</v>
      </c>
      <c r="B1061" t="s">
        <v>47</v>
      </c>
      <c r="C1061" s="4" t="s">
        <v>4217</v>
      </c>
      <c r="D1061" s="4" t="s">
        <v>873</v>
      </c>
      <c r="E1061" s="4" t="s">
        <v>874</v>
      </c>
      <c r="F1061" s="5" t="s">
        <v>4218</v>
      </c>
      <c r="G1061" s="5" t="s">
        <v>4219</v>
      </c>
      <c r="H1061" t="s">
        <v>47</v>
      </c>
      <c r="I1061" s="3">
        <v>39600</v>
      </c>
      <c r="J1061" s="5" t="s">
        <v>50</v>
      </c>
      <c r="K1061" t="s">
        <v>47</v>
      </c>
      <c r="L1061" s="5" t="s">
        <v>60</v>
      </c>
      <c r="M1061" t="s">
        <v>47</v>
      </c>
      <c r="N1061" t="s">
        <v>47</v>
      </c>
      <c r="O1061" t="s">
        <v>47</v>
      </c>
      <c r="P1061" s="3">
        <v>39600</v>
      </c>
      <c r="Q1061" s="5" t="s">
        <v>50</v>
      </c>
      <c r="R1061" t="s">
        <v>47</v>
      </c>
      <c r="S1061" t="s">
        <v>47</v>
      </c>
      <c r="T1061" t="s">
        <v>47</v>
      </c>
      <c r="U1061" t="s">
        <v>47</v>
      </c>
      <c r="V1061" t="s">
        <v>47</v>
      </c>
      <c r="W1061" s="3">
        <v>39600</v>
      </c>
      <c r="X1061" s="5" t="s">
        <v>50</v>
      </c>
      <c r="Y1061" t="s">
        <v>47</v>
      </c>
      <c r="Z1061" s="3">
        <v>39600</v>
      </c>
      <c r="AA1061" s="5" t="s">
        <v>50</v>
      </c>
      <c r="AB1061" t="s">
        <v>47</v>
      </c>
      <c r="AC1061" s="3">
        <v>39600</v>
      </c>
      <c r="AD1061" s="5" t="s">
        <v>50</v>
      </c>
      <c r="AE1061" t="s">
        <v>47</v>
      </c>
      <c r="AF1061" t="s">
        <v>47</v>
      </c>
      <c r="AG1061" t="s">
        <v>47</v>
      </c>
      <c r="AH1061" t="s">
        <v>47</v>
      </c>
      <c r="AI1061" t="s">
        <v>47</v>
      </c>
      <c r="AJ1061" t="s">
        <v>47</v>
      </c>
      <c r="AK1061" t="s">
        <v>47</v>
      </c>
      <c r="AL1061" t="s">
        <v>47</v>
      </c>
      <c r="AM1061" t="s">
        <v>47</v>
      </c>
      <c r="AN1061" t="s">
        <v>47</v>
      </c>
      <c r="AO1061" s="5" t="s">
        <v>51</v>
      </c>
      <c r="AP1061" s="4" t="s">
        <v>61</v>
      </c>
      <c r="AQ1061" s="4" t="s">
        <v>538</v>
      </c>
      <c r="AR1061" s="4" t="s">
        <v>54</v>
      </c>
      <c r="AS1061" s="5">
        <v>4661187</v>
      </c>
      <c r="AT1061" t="s">
        <v>47</v>
      </c>
    </row>
    <row r="1062" spans="1:46" ht="91" x14ac:dyDescent="0.3">
      <c r="A1062" s="4" t="s">
        <v>4220</v>
      </c>
      <c r="B1062" t="s">
        <v>47</v>
      </c>
      <c r="C1062" s="4" t="s">
        <v>1867</v>
      </c>
      <c r="D1062" s="4" t="s">
        <v>765</v>
      </c>
      <c r="E1062" s="4" t="s">
        <v>49</v>
      </c>
      <c r="F1062" s="5" t="s">
        <v>4221</v>
      </c>
      <c r="G1062" s="5" t="s">
        <v>4222</v>
      </c>
      <c r="H1062" t="s">
        <v>47</v>
      </c>
      <c r="I1062" s="3">
        <v>38443</v>
      </c>
      <c r="J1062" s="5" t="s">
        <v>50</v>
      </c>
      <c r="K1062" t="s">
        <v>47</v>
      </c>
      <c r="L1062" s="5" t="s">
        <v>60</v>
      </c>
      <c r="M1062" s="3">
        <v>38443</v>
      </c>
      <c r="N1062" s="5" t="s">
        <v>50</v>
      </c>
      <c r="O1062" t="s">
        <v>47</v>
      </c>
      <c r="P1062" s="3">
        <v>38443</v>
      </c>
      <c r="Q1062" s="5" t="s">
        <v>50</v>
      </c>
      <c r="R1062" t="s">
        <v>47</v>
      </c>
      <c r="S1062" t="s">
        <v>47</v>
      </c>
      <c r="T1062" t="s">
        <v>47</v>
      </c>
      <c r="U1062" t="s">
        <v>47</v>
      </c>
      <c r="V1062" t="s">
        <v>47</v>
      </c>
      <c r="W1062" s="3">
        <v>38443</v>
      </c>
      <c r="X1062" s="5" t="s">
        <v>50</v>
      </c>
      <c r="Y1062" t="s">
        <v>47</v>
      </c>
      <c r="Z1062" s="3">
        <v>38443</v>
      </c>
      <c r="AA1062" s="5" t="s">
        <v>50</v>
      </c>
      <c r="AB1062" t="s">
        <v>47</v>
      </c>
      <c r="AC1062" s="3">
        <v>38443</v>
      </c>
      <c r="AD1062" s="5" t="s">
        <v>50</v>
      </c>
      <c r="AE1062" t="s">
        <v>47</v>
      </c>
      <c r="AF1062" t="s">
        <v>47</v>
      </c>
      <c r="AG1062" t="s">
        <v>47</v>
      </c>
      <c r="AH1062" t="s">
        <v>47</v>
      </c>
      <c r="AI1062" t="s">
        <v>47</v>
      </c>
      <c r="AJ1062" t="s">
        <v>47</v>
      </c>
      <c r="AK1062" t="s">
        <v>47</v>
      </c>
      <c r="AL1062" t="s">
        <v>47</v>
      </c>
      <c r="AM1062" t="s">
        <v>47</v>
      </c>
      <c r="AN1062" t="s">
        <v>47</v>
      </c>
      <c r="AO1062" s="5" t="s">
        <v>60</v>
      </c>
      <c r="AP1062" s="4" t="s">
        <v>61</v>
      </c>
      <c r="AQ1062" s="4" t="s">
        <v>53</v>
      </c>
      <c r="AR1062" s="4" t="s">
        <v>4223</v>
      </c>
      <c r="AS1062" s="5">
        <v>48333</v>
      </c>
      <c r="AT1062" t="s">
        <v>47</v>
      </c>
    </row>
    <row r="1063" spans="1:46" ht="39" x14ac:dyDescent="0.3">
      <c r="A1063" s="4" t="s">
        <v>4224</v>
      </c>
      <c r="B1063" t="s">
        <v>47</v>
      </c>
      <c r="C1063" s="4" t="s">
        <v>4225</v>
      </c>
      <c r="D1063" s="4" t="s">
        <v>4226</v>
      </c>
      <c r="E1063" s="4" t="s">
        <v>49</v>
      </c>
      <c r="F1063" s="5" t="s">
        <v>4227</v>
      </c>
      <c r="G1063" s="5" t="s">
        <v>4228</v>
      </c>
      <c r="H1063" t="s">
        <v>47</v>
      </c>
      <c r="I1063" s="3">
        <v>42005</v>
      </c>
      <c r="J1063" s="3">
        <v>43466</v>
      </c>
      <c r="K1063" t="s">
        <v>47</v>
      </c>
      <c r="L1063" s="5" t="s">
        <v>60</v>
      </c>
      <c r="M1063" t="s">
        <v>47</v>
      </c>
      <c r="N1063" t="s">
        <v>47</v>
      </c>
      <c r="O1063" t="s">
        <v>47</v>
      </c>
      <c r="P1063" s="3">
        <v>42005</v>
      </c>
      <c r="Q1063" s="3">
        <v>43466</v>
      </c>
      <c r="R1063" t="s">
        <v>47</v>
      </c>
      <c r="S1063" t="s">
        <v>47</v>
      </c>
      <c r="T1063" t="s">
        <v>47</v>
      </c>
      <c r="U1063" t="s">
        <v>47</v>
      </c>
      <c r="V1063" t="s">
        <v>47</v>
      </c>
      <c r="W1063" s="3">
        <v>42005</v>
      </c>
      <c r="X1063" s="3">
        <v>43466</v>
      </c>
      <c r="Y1063" t="s">
        <v>47</v>
      </c>
      <c r="Z1063" s="3">
        <v>42005</v>
      </c>
      <c r="AA1063" s="3">
        <v>43466</v>
      </c>
      <c r="AB1063" t="s">
        <v>47</v>
      </c>
      <c r="AC1063" s="3">
        <v>42005</v>
      </c>
      <c r="AD1063" s="3">
        <v>43466</v>
      </c>
      <c r="AE1063" t="s">
        <v>47</v>
      </c>
      <c r="AF1063" t="s">
        <v>47</v>
      </c>
      <c r="AG1063" t="s">
        <v>47</v>
      </c>
      <c r="AH1063" t="s">
        <v>47</v>
      </c>
      <c r="AI1063" t="s">
        <v>47</v>
      </c>
      <c r="AJ1063" t="s">
        <v>47</v>
      </c>
      <c r="AK1063" t="s">
        <v>47</v>
      </c>
      <c r="AL1063" t="s">
        <v>47</v>
      </c>
      <c r="AM1063" t="s">
        <v>47</v>
      </c>
      <c r="AN1063" t="s">
        <v>47</v>
      </c>
      <c r="AO1063" s="5" t="s">
        <v>60</v>
      </c>
      <c r="AP1063" s="4" t="s">
        <v>61</v>
      </c>
      <c r="AQ1063" s="4" t="s">
        <v>53</v>
      </c>
      <c r="AR1063" s="4" t="s">
        <v>54</v>
      </c>
      <c r="AS1063" s="5">
        <v>4326714</v>
      </c>
      <c r="AT1063" t="s">
        <v>47</v>
      </c>
    </row>
    <row r="1064" spans="1:46" ht="104" x14ac:dyDescent="0.3">
      <c r="A1064" s="4" t="s">
        <v>4229</v>
      </c>
      <c r="B1064" t="s">
        <v>47</v>
      </c>
      <c r="C1064" s="4" t="s">
        <v>4230</v>
      </c>
      <c r="D1064" s="4" t="s">
        <v>4231</v>
      </c>
      <c r="E1064" s="4" t="s">
        <v>701</v>
      </c>
      <c r="F1064" t="s">
        <v>47</v>
      </c>
      <c r="G1064" s="5" t="s">
        <v>4232</v>
      </c>
      <c r="H1064" t="s">
        <v>47</v>
      </c>
      <c r="I1064" s="3">
        <v>38169</v>
      </c>
      <c r="J1064" s="5" t="s">
        <v>50</v>
      </c>
      <c r="K1064" t="s">
        <v>47</v>
      </c>
      <c r="L1064" s="5" t="s">
        <v>60</v>
      </c>
      <c r="M1064" t="s">
        <v>47</v>
      </c>
      <c r="N1064" t="s">
        <v>47</v>
      </c>
      <c r="O1064" t="s">
        <v>47</v>
      </c>
      <c r="P1064" s="3">
        <v>38169</v>
      </c>
      <c r="Q1064" s="5" t="s">
        <v>50</v>
      </c>
      <c r="R1064" t="s">
        <v>47</v>
      </c>
      <c r="S1064" t="s">
        <v>47</v>
      </c>
      <c r="T1064" t="s">
        <v>47</v>
      </c>
      <c r="U1064" t="s">
        <v>47</v>
      </c>
      <c r="V1064" t="s">
        <v>47</v>
      </c>
      <c r="W1064" s="3">
        <v>38169</v>
      </c>
      <c r="X1064" s="5" t="s">
        <v>50</v>
      </c>
      <c r="Y1064" t="s">
        <v>47</v>
      </c>
      <c r="Z1064" s="3">
        <v>38169</v>
      </c>
      <c r="AA1064" s="5" t="s">
        <v>50</v>
      </c>
      <c r="AB1064" t="s">
        <v>47</v>
      </c>
      <c r="AC1064" s="3">
        <v>39203</v>
      </c>
      <c r="AD1064" s="5" t="s">
        <v>50</v>
      </c>
      <c r="AE1064" t="s">
        <v>47</v>
      </c>
      <c r="AF1064" t="s">
        <v>47</v>
      </c>
      <c r="AG1064" t="s">
        <v>47</v>
      </c>
      <c r="AH1064" t="s">
        <v>47</v>
      </c>
      <c r="AI1064" t="s">
        <v>47</v>
      </c>
      <c r="AJ1064" t="s">
        <v>47</v>
      </c>
      <c r="AK1064" t="s">
        <v>47</v>
      </c>
      <c r="AL1064" t="s">
        <v>47</v>
      </c>
      <c r="AM1064" t="s">
        <v>47</v>
      </c>
      <c r="AN1064" t="s">
        <v>47</v>
      </c>
      <c r="AO1064" s="5" t="s">
        <v>60</v>
      </c>
      <c r="AP1064" s="4" t="s">
        <v>61</v>
      </c>
      <c r="AQ1064" s="4" t="s">
        <v>427</v>
      </c>
      <c r="AR1064" s="4" t="s">
        <v>557</v>
      </c>
      <c r="AS1064" s="5">
        <v>2032192</v>
      </c>
      <c r="AT1064" t="s">
        <v>47</v>
      </c>
    </row>
    <row r="1065" spans="1:46" ht="65" x14ac:dyDescent="0.3">
      <c r="A1065" s="4" t="s">
        <v>4233</v>
      </c>
      <c r="B1065" t="s">
        <v>47</v>
      </c>
      <c r="C1065" s="4" t="s">
        <v>183</v>
      </c>
      <c r="D1065" s="4" t="s">
        <v>70</v>
      </c>
      <c r="E1065" s="4" t="s">
        <v>49</v>
      </c>
      <c r="F1065" s="5" t="s">
        <v>4234</v>
      </c>
      <c r="G1065" t="s">
        <v>47</v>
      </c>
      <c r="H1065" t="s">
        <v>47</v>
      </c>
      <c r="I1065" s="3">
        <v>38353</v>
      </c>
      <c r="J1065" s="3">
        <v>41244</v>
      </c>
      <c r="K1065" t="s">
        <v>47</v>
      </c>
      <c r="L1065" s="5" t="s">
        <v>60</v>
      </c>
      <c r="M1065" s="3">
        <v>38353</v>
      </c>
      <c r="N1065" s="3">
        <v>41244</v>
      </c>
      <c r="O1065" t="s">
        <v>47</v>
      </c>
      <c r="P1065" s="3">
        <v>38353</v>
      </c>
      <c r="Q1065" s="3">
        <v>41244</v>
      </c>
      <c r="R1065" t="s">
        <v>47</v>
      </c>
      <c r="S1065" t="s">
        <v>47</v>
      </c>
      <c r="T1065" t="s">
        <v>47</v>
      </c>
      <c r="U1065" t="s">
        <v>47</v>
      </c>
      <c r="V1065" t="s">
        <v>47</v>
      </c>
      <c r="W1065" s="3">
        <v>38353</v>
      </c>
      <c r="X1065" s="3">
        <v>41244</v>
      </c>
      <c r="Y1065" t="s">
        <v>47</v>
      </c>
      <c r="Z1065" s="3">
        <v>38353</v>
      </c>
      <c r="AA1065" s="3">
        <v>41244</v>
      </c>
      <c r="AB1065" t="s">
        <v>47</v>
      </c>
      <c r="AC1065" s="3">
        <v>38353</v>
      </c>
      <c r="AD1065" s="3">
        <v>41244</v>
      </c>
      <c r="AE1065" t="s">
        <v>47</v>
      </c>
      <c r="AF1065" t="s">
        <v>47</v>
      </c>
      <c r="AG1065" t="s">
        <v>47</v>
      </c>
      <c r="AH1065" t="s">
        <v>47</v>
      </c>
      <c r="AI1065" t="s">
        <v>47</v>
      </c>
      <c r="AJ1065" t="s">
        <v>47</v>
      </c>
      <c r="AK1065" t="s">
        <v>47</v>
      </c>
      <c r="AL1065" t="s">
        <v>47</v>
      </c>
      <c r="AM1065" t="s">
        <v>47</v>
      </c>
      <c r="AN1065" t="s">
        <v>47</v>
      </c>
      <c r="AO1065" s="5" t="s">
        <v>60</v>
      </c>
      <c r="AP1065" s="4" t="s">
        <v>61</v>
      </c>
      <c r="AQ1065" s="4" t="s">
        <v>53</v>
      </c>
      <c r="AR1065" s="4" t="s">
        <v>4235</v>
      </c>
      <c r="AS1065" s="5">
        <v>48011</v>
      </c>
      <c r="AT1065" t="s">
        <v>47</v>
      </c>
    </row>
    <row r="1066" spans="1:46" ht="52" x14ac:dyDescent="0.3">
      <c r="A1066" s="4" t="s">
        <v>4236</v>
      </c>
      <c r="B1066" t="s">
        <v>47</v>
      </c>
      <c r="C1066" s="4" t="s">
        <v>183</v>
      </c>
      <c r="D1066" s="4" t="s">
        <v>4237</v>
      </c>
      <c r="E1066" s="4" t="s">
        <v>49</v>
      </c>
      <c r="F1066" t="s">
        <v>47</v>
      </c>
      <c r="G1066" s="5" t="s">
        <v>4238</v>
      </c>
      <c r="H1066" t="s">
        <v>47</v>
      </c>
      <c r="I1066" s="3">
        <v>41275</v>
      </c>
      <c r="J1066" s="3">
        <v>43770</v>
      </c>
      <c r="K1066" t="s">
        <v>47</v>
      </c>
      <c r="L1066" s="5" t="s">
        <v>60</v>
      </c>
      <c r="M1066" s="3">
        <v>41275</v>
      </c>
      <c r="N1066" s="3">
        <v>43770</v>
      </c>
      <c r="O1066" t="s">
        <v>47</v>
      </c>
      <c r="P1066" s="3">
        <v>42064</v>
      </c>
      <c r="Q1066" s="3">
        <v>43770</v>
      </c>
      <c r="R1066" s="5" t="s">
        <v>4239</v>
      </c>
      <c r="S1066" t="s">
        <v>47</v>
      </c>
      <c r="T1066" t="s">
        <v>47</v>
      </c>
      <c r="U1066" t="s">
        <v>47</v>
      </c>
      <c r="V1066" t="s">
        <v>47</v>
      </c>
      <c r="W1066" s="3">
        <v>2648</v>
      </c>
      <c r="X1066" s="5" t="s">
        <v>50</v>
      </c>
      <c r="Y1066" s="5" t="s">
        <v>4240</v>
      </c>
      <c r="Z1066" s="3">
        <v>2648</v>
      </c>
      <c r="AA1066" s="5" t="s">
        <v>50</v>
      </c>
      <c r="AB1066" s="5" t="s">
        <v>4240</v>
      </c>
      <c r="AC1066" s="3">
        <v>3197</v>
      </c>
      <c r="AD1066" s="5" t="s">
        <v>50</v>
      </c>
      <c r="AE1066" s="5" t="s">
        <v>4241</v>
      </c>
      <c r="AF1066" t="s">
        <v>47</v>
      </c>
      <c r="AG1066" t="s">
        <v>47</v>
      </c>
      <c r="AH1066" t="s">
        <v>47</v>
      </c>
      <c r="AI1066" t="s">
        <v>47</v>
      </c>
      <c r="AJ1066" t="s">
        <v>47</v>
      </c>
      <c r="AK1066" t="s">
        <v>47</v>
      </c>
      <c r="AL1066" t="s">
        <v>47</v>
      </c>
      <c r="AM1066" t="s">
        <v>47</v>
      </c>
      <c r="AN1066" t="s">
        <v>47</v>
      </c>
      <c r="AO1066" s="5" t="s">
        <v>60</v>
      </c>
      <c r="AP1066" s="4" t="s">
        <v>61</v>
      </c>
      <c r="AQ1066" s="4" t="s">
        <v>53</v>
      </c>
      <c r="AR1066" s="4" t="s">
        <v>4242</v>
      </c>
      <c r="AS1066" s="5">
        <v>2027465</v>
      </c>
      <c r="AT1066" t="s">
        <v>47</v>
      </c>
    </row>
    <row r="1067" spans="1:46" ht="26" x14ac:dyDescent="0.3">
      <c r="A1067" s="4" t="s">
        <v>4243</v>
      </c>
      <c r="B1067" t="s">
        <v>47</v>
      </c>
      <c r="C1067" s="4" t="s">
        <v>4244</v>
      </c>
      <c r="D1067" s="4" t="s">
        <v>4245</v>
      </c>
      <c r="E1067" s="4" t="s">
        <v>2746</v>
      </c>
      <c r="F1067" s="5" t="s">
        <v>4246</v>
      </c>
      <c r="G1067" s="5" t="s">
        <v>4247</v>
      </c>
      <c r="H1067" t="s">
        <v>47</v>
      </c>
      <c r="I1067" t="s">
        <v>47</v>
      </c>
      <c r="J1067" t="s">
        <v>47</v>
      </c>
      <c r="K1067" t="s">
        <v>47</v>
      </c>
      <c r="L1067" s="5" t="s">
        <v>60</v>
      </c>
      <c r="M1067" t="s">
        <v>47</v>
      </c>
      <c r="N1067" t="s">
        <v>47</v>
      </c>
      <c r="O1067" t="s">
        <v>47</v>
      </c>
      <c r="P1067" t="s">
        <v>47</v>
      </c>
      <c r="Q1067" t="s">
        <v>47</v>
      </c>
      <c r="R1067" t="s">
        <v>47</v>
      </c>
      <c r="S1067" t="s">
        <v>47</v>
      </c>
      <c r="T1067" t="s">
        <v>47</v>
      </c>
      <c r="U1067" t="s">
        <v>47</v>
      </c>
      <c r="V1067" t="s">
        <v>47</v>
      </c>
      <c r="W1067" s="3">
        <v>39814</v>
      </c>
      <c r="X1067" s="3">
        <v>41275</v>
      </c>
      <c r="Y1067" t="s">
        <v>47</v>
      </c>
      <c r="Z1067" s="3">
        <v>39814</v>
      </c>
      <c r="AA1067" s="3">
        <v>41275</v>
      </c>
      <c r="AB1067" t="s">
        <v>47</v>
      </c>
      <c r="AC1067" s="3">
        <v>39814</v>
      </c>
      <c r="AD1067" s="3">
        <v>41275</v>
      </c>
      <c r="AE1067" t="s">
        <v>47</v>
      </c>
      <c r="AF1067" t="s">
        <v>47</v>
      </c>
      <c r="AG1067" t="s">
        <v>47</v>
      </c>
      <c r="AH1067" t="s">
        <v>47</v>
      </c>
      <c r="AI1067" t="s">
        <v>47</v>
      </c>
      <c r="AJ1067" t="s">
        <v>47</v>
      </c>
      <c r="AK1067" t="s">
        <v>47</v>
      </c>
      <c r="AL1067" t="s">
        <v>47</v>
      </c>
      <c r="AM1067" t="s">
        <v>47</v>
      </c>
      <c r="AN1067" t="s">
        <v>47</v>
      </c>
      <c r="AO1067" s="5" t="s">
        <v>60</v>
      </c>
      <c r="AP1067" s="4" t="s">
        <v>61</v>
      </c>
      <c r="AQ1067" s="4" t="s">
        <v>53</v>
      </c>
      <c r="AR1067" s="4" t="s">
        <v>3807</v>
      </c>
      <c r="AS1067" s="5">
        <v>1176341</v>
      </c>
      <c r="AT1067" t="s">
        <v>47</v>
      </c>
    </row>
    <row r="1068" spans="1:46" ht="117" x14ac:dyDescent="0.3">
      <c r="A1068" s="4" t="s">
        <v>4248</v>
      </c>
      <c r="B1068" t="s">
        <v>47</v>
      </c>
      <c r="C1068" s="4" t="s">
        <v>115</v>
      </c>
      <c r="D1068" s="4" t="s">
        <v>1019</v>
      </c>
      <c r="E1068" s="4" t="s">
        <v>66</v>
      </c>
      <c r="F1068" s="5" t="s">
        <v>4249</v>
      </c>
      <c r="G1068" s="5" t="s">
        <v>4250</v>
      </c>
      <c r="H1068" t="s">
        <v>47</v>
      </c>
      <c r="I1068" s="3">
        <v>33604</v>
      </c>
      <c r="J1068" s="5" t="s">
        <v>50</v>
      </c>
      <c r="K1068" t="s">
        <v>47</v>
      </c>
      <c r="L1068" s="5" t="s">
        <v>60</v>
      </c>
      <c r="M1068" s="3">
        <v>33604</v>
      </c>
      <c r="N1068" s="5" t="s">
        <v>50</v>
      </c>
      <c r="O1068" t="s">
        <v>47</v>
      </c>
      <c r="P1068" s="3">
        <v>34700</v>
      </c>
      <c r="Q1068" s="5" t="s">
        <v>50</v>
      </c>
      <c r="R1068" s="5" t="s">
        <v>4251</v>
      </c>
      <c r="S1068" t="s">
        <v>47</v>
      </c>
      <c r="T1068" t="s">
        <v>47</v>
      </c>
      <c r="U1068" t="s">
        <v>47</v>
      </c>
      <c r="V1068" s="5">
        <v>365</v>
      </c>
      <c r="W1068" s="3">
        <v>33604</v>
      </c>
      <c r="X1068" s="5" t="s">
        <v>50</v>
      </c>
      <c r="Y1068" t="s">
        <v>47</v>
      </c>
      <c r="Z1068" s="3">
        <v>33604</v>
      </c>
      <c r="AA1068" s="5" t="s">
        <v>50</v>
      </c>
      <c r="AB1068" t="s">
        <v>47</v>
      </c>
      <c r="AC1068" s="3">
        <v>33604</v>
      </c>
      <c r="AD1068" s="5" t="s">
        <v>50</v>
      </c>
      <c r="AE1068" t="s">
        <v>47</v>
      </c>
      <c r="AF1068" t="s">
        <v>47</v>
      </c>
      <c r="AG1068" t="s">
        <v>47</v>
      </c>
      <c r="AH1068" t="s">
        <v>47</v>
      </c>
      <c r="AI1068" t="s">
        <v>47</v>
      </c>
      <c r="AJ1068" t="s">
        <v>47</v>
      </c>
      <c r="AK1068" t="s">
        <v>47</v>
      </c>
      <c r="AL1068" t="s">
        <v>47</v>
      </c>
      <c r="AM1068" t="s">
        <v>47</v>
      </c>
      <c r="AN1068" t="s">
        <v>47</v>
      </c>
      <c r="AO1068" s="5" t="s">
        <v>60</v>
      </c>
      <c r="AP1068" s="4" t="s">
        <v>61</v>
      </c>
      <c r="AQ1068" s="4" t="s">
        <v>53</v>
      </c>
      <c r="AR1068" s="4" t="s">
        <v>4252</v>
      </c>
      <c r="AS1068" s="5">
        <v>25612</v>
      </c>
      <c r="AT1068" t="s">
        <v>47</v>
      </c>
    </row>
    <row r="1069" spans="1:46" ht="26" x14ac:dyDescent="0.3">
      <c r="A1069" s="4" t="s">
        <v>4253</v>
      </c>
      <c r="B1069" t="s">
        <v>47</v>
      </c>
      <c r="C1069" s="4" t="s">
        <v>1533</v>
      </c>
      <c r="D1069" s="4" t="s">
        <v>1534</v>
      </c>
      <c r="E1069" s="4" t="s">
        <v>49</v>
      </c>
      <c r="F1069" s="5" t="s">
        <v>4254</v>
      </c>
      <c r="G1069" s="5" t="s">
        <v>4255</v>
      </c>
      <c r="H1069" t="s">
        <v>47</v>
      </c>
      <c r="I1069" s="3">
        <v>42736</v>
      </c>
      <c r="J1069" s="5" t="s">
        <v>50</v>
      </c>
      <c r="K1069" t="s">
        <v>47</v>
      </c>
      <c r="L1069" s="5" t="s">
        <v>60</v>
      </c>
      <c r="M1069" t="s">
        <v>47</v>
      </c>
      <c r="N1069" t="s">
        <v>47</v>
      </c>
      <c r="O1069" t="s">
        <v>47</v>
      </c>
      <c r="P1069" s="3">
        <v>42736</v>
      </c>
      <c r="Q1069" s="5" t="s">
        <v>50</v>
      </c>
      <c r="R1069" t="s">
        <v>47</v>
      </c>
      <c r="S1069" t="s">
        <v>47</v>
      </c>
      <c r="T1069" t="s">
        <v>47</v>
      </c>
      <c r="U1069" t="s">
        <v>47</v>
      </c>
      <c r="V1069" t="s">
        <v>47</v>
      </c>
      <c r="W1069" s="3">
        <v>42736</v>
      </c>
      <c r="X1069" s="5" t="s">
        <v>50</v>
      </c>
      <c r="Y1069" t="s">
        <v>47</v>
      </c>
      <c r="Z1069" s="3">
        <v>42736</v>
      </c>
      <c r="AA1069" s="5" t="s">
        <v>50</v>
      </c>
      <c r="AB1069" t="s">
        <v>47</v>
      </c>
      <c r="AC1069" s="3">
        <v>42736</v>
      </c>
      <c r="AD1069" s="5" t="s">
        <v>50</v>
      </c>
      <c r="AE1069" t="s">
        <v>47</v>
      </c>
      <c r="AF1069" t="s">
        <v>47</v>
      </c>
      <c r="AG1069" t="s">
        <v>47</v>
      </c>
      <c r="AH1069" t="s">
        <v>47</v>
      </c>
      <c r="AI1069" t="s">
        <v>47</v>
      </c>
      <c r="AJ1069" t="s">
        <v>47</v>
      </c>
      <c r="AK1069" t="s">
        <v>47</v>
      </c>
      <c r="AL1069" t="s">
        <v>47</v>
      </c>
      <c r="AM1069" t="s">
        <v>47</v>
      </c>
      <c r="AN1069" t="s">
        <v>47</v>
      </c>
      <c r="AO1069" s="5" t="s">
        <v>60</v>
      </c>
      <c r="AP1069" s="4" t="s">
        <v>61</v>
      </c>
      <c r="AQ1069" s="4" t="s">
        <v>53</v>
      </c>
      <c r="AR1069" s="4" t="s">
        <v>697</v>
      </c>
      <c r="AS1069" s="5">
        <v>2045003</v>
      </c>
      <c r="AT1069" t="s">
        <v>47</v>
      </c>
    </row>
    <row r="1070" spans="1:46" ht="52" x14ac:dyDescent="0.3">
      <c r="A1070" s="4" t="s">
        <v>4256</v>
      </c>
      <c r="B1070" t="s">
        <v>47</v>
      </c>
      <c r="C1070" s="4" t="s">
        <v>122</v>
      </c>
      <c r="D1070" s="4" t="s">
        <v>70</v>
      </c>
      <c r="E1070" s="4" t="s">
        <v>123</v>
      </c>
      <c r="F1070" s="5" t="s">
        <v>4257</v>
      </c>
      <c r="G1070" s="5" t="s">
        <v>4258</v>
      </c>
      <c r="H1070" t="s">
        <v>47</v>
      </c>
      <c r="I1070" s="3">
        <v>33635</v>
      </c>
      <c r="J1070" s="5" t="s">
        <v>50</v>
      </c>
      <c r="K1070" t="s">
        <v>47</v>
      </c>
      <c r="L1070" s="5" t="s">
        <v>60</v>
      </c>
      <c r="M1070" s="3">
        <v>34973</v>
      </c>
      <c r="N1070" s="3">
        <v>42856</v>
      </c>
      <c r="O1070" t="s">
        <v>47</v>
      </c>
      <c r="P1070" s="3">
        <v>33635</v>
      </c>
      <c r="Q1070" s="5" t="s">
        <v>50</v>
      </c>
      <c r="R1070" t="s">
        <v>47</v>
      </c>
      <c r="S1070" t="s">
        <v>47</v>
      </c>
      <c r="T1070" t="s">
        <v>47</v>
      </c>
      <c r="U1070" t="s">
        <v>47</v>
      </c>
      <c r="V1070" s="5">
        <v>365</v>
      </c>
      <c r="W1070" s="3">
        <v>32540</v>
      </c>
      <c r="X1070" s="5" t="s">
        <v>50</v>
      </c>
      <c r="Y1070" t="s">
        <v>47</v>
      </c>
      <c r="Z1070" s="3">
        <v>32540</v>
      </c>
      <c r="AA1070" s="5" t="s">
        <v>50</v>
      </c>
      <c r="AB1070" t="s">
        <v>47</v>
      </c>
      <c r="AC1070" s="3">
        <v>32540</v>
      </c>
      <c r="AD1070" s="5" t="s">
        <v>50</v>
      </c>
      <c r="AE1070" t="s">
        <v>47</v>
      </c>
      <c r="AF1070" t="s">
        <v>47</v>
      </c>
      <c r="AG1070" t="s">
        <v>47</v>
      </c>
      <c r="AH1070" t="s">
        <v>47</v>
      </c>
      <c r="AI1070" t="s">
        <v>47</v>
      </c>
      <c r="AJ1070" t="s">
        <v>47</v>
      </c>
      <c r="AK1070" t="s">
        <v>47</v>
      </c>
      <c r="AL1070" t="s">
        <v>47</v>
      </c>
      <c r="AM1070" t="s">
        <v>47</v>
      </c>
      <c r="AN1070" t="s">
        <v>47</v>
      </c>
      <c r="AO1070" s="5" t="s">
        <v>60</v>
      </c>
      <c r="AP1070" s="4" t="s">
        <v>61</v>
      </c>
      <c r="AQ1070" s="4" t="s">
        <v>53</v>
      </c>
      <c r="AR1070" s="4" t="s">
        <v>1093</v>
      </c>
      <c r="AS1070" s="5">
        <v>48391</v>
      </c>
      <c r="AT1070" t="s">
        <v>47</v>
      </c>
    </row>
    <row r="1071" spans="1:46" ht="91" x14ac:dyDescent="0.3">
      <c r="A1071" s="4" t="s">
        <v>4259</v>
      </c>
      <c r="B1071" t="s">
        <v>47</v>
      </c>
      <c r="C1071" s="4" t="s">
        <v>1394</v>
      </c>
      <c r="D1071" s="4" t="s">
        <v>885</v>
      </c>
      <c r="E1071" s="4" t="s">
        <v>123</v>
      </c>
      <c r="F1071" s="5" t="s">
        <v>4260</v>
      </c>
      <c r="G1071" s="5" t="s">
        <v>4261</v>
      </c>
      <c r="H1071" t="s">
        <v>47</v>
      </c>
      <c r="I1071" t="s">
        <v>47</v>
      </c>
      <c r="J1071" t="s">
        <v>47</v>
      </c>
      <c r="K1071" t="s">
        <v>47</v>
      </c>
      <c r="L1071" s="5" t="s">
        <v>60</v>
      </c>
      <c r="M1071" t="s">
        <v>47</v>
      </c>
      <c r="N1071" t="s">
        <v>47</v>
      </c>
      <c r="O1071" t="s">
        <v>47</v>
      </c>
      <c r="P1071" t="s">
        <v>47</v>
      </c>
      <c r="Q1071" t="s">
        <v>47</v>
      </c>
      <c r="R1071" t="s">
        <v>47</v>
      </c>
      <c r="S1071" t="s">
        <v>47</v>
      </c>
      <c r="T1071" t="s">
        <v>47</v>
      </c>
      <c r="U1071" t="s">
        <v>47</v>
      </c>
      <c r="V1071" t="s">
        <v>47</v>
      </c>
      <c r="W1071" s="3">
        <v>32509</v>
      </c>
      <c r="X1071" s="5" t="s">
        <v>50</v>
      </c>
      <c r="Y1071" s="5" t="s">
        <v>3168</v>
      </c>
      <c r="Z1071" s="3">
        <v>32509</v>
      </c>
      <c r="AA1071" s="5" t="s">
        <v>50</v>
      </c>
      <c r="AB1071" s="5" t="s">
        <v>3168</v>
      </c>
      <c r="AC1071" s="3">
        <v>32509</v>
      </c>
      <c r="AD1071" s="5" t="s">
        <v>50</v>
      </c>
      <c r="AE1071" s="5" t="s">
        <v>3168</v>
      </c>
      <c r="AF1071" t="s">
        <v>47</v>
      </c>
      <c r="AG1071" t="s">
        <v>47</v>
      </c>
      <c r="AH1071" t="s">
        <v>47</v>
      </c>
      <c r="AI1071" t="s">
        <v>47</v>
      </c>
      <c r="AJ1071" t="s">
        <v>47</v>
      </c>
      <c r="AK1071" t="s">
        <v>47</v>
      </c>
      <c r="AL1071" t="s">
        <v>47</v>
      </c>
      <c r="AM1071" t="s">
        <v>47</v>
      </c>
      <c r="AN1071" t="s">
        <v>47</v>
      </c>
      <c r="AO1071" s="5" t="s">
        <v>60</v>
      </c>
      <c r="AP1071" s="4" t="s">
        <v>61</v>
      </c>
      <c r="AQ1071" s="4" t="s">
        <v>53</v>
      </c>
      <c r="AR1071" s="4" t="s">
        <v>4262</v>
      </c>
      <c r="AS1071" s="5">
        <v>32006</v>
      </c>
      <c r="AT1071" t="s">
        <v>47</v>
      </c>
    </row>
    <row r="1072" spans="1:46" ht="104" x14ac:dyDescent="0.3">
      <c r="A1072" s="4" t="s">
        <v>4263</v>
      </c>
      <c r="B1072" t="s">
        <v>47</v>
      </c>
      <c r="C1072" s="4" t="s">
        <v>2478</v>
      </c>
      <c r="D1072" s="4" t="s">
        <v>1168</v>
      </c>
      <c r="E1072" s="4" t="s">
        <v>49</v>
      </c>
      <c r="F1072" s="5" t="s">
        <v>4264</v>
      </c>
      <c r="G1072" s="5" t="s">
        <v>4265</v>
      </c>
      <c r="H1072" t="s">
        <v>47</v>
      </c>
      <c r="I1072" s="3">
        <v>36161</v>
      </c>
      <c r="J1072" s="3">
        <v>38565</v>
      </c>
      <c r="K1072" t="s">
        <v>47</v>
      </c>
      <c r="L1072" s="5" t="s">
        <v>60</v>
      </c>
      <c r="M1072" t="s">
        <v>47</v>
      </c>
      <c r="N1072" t="s">
        <v>47</v>
      </c>
      <c r="O1072" t="s">
        <v>47</v>
      </c>
      <c r="P1072" s="3">
        <v>36161</v>
      </c>
      <c r="Q1072" s="3">
        <v>38565</v>
      </c>
      <c r="R1072" t="s">
        <v>47</v>
      </c>
      <c r="S1072" t="s">
        <v>47</v>
      </c>
      <c r="T1072" t="s">
        <v>47</v>
      </c>
      <c r="U1072" t="s">
        <v>47</v>
      </c>
      <c r="V1072" t="s">
        <v>47</v>
      </c>
      <c r="W1072" s="3">
        <v>27211</v>
      </c>
      <c r="X1072" s="5" t="s">
        <v>50</v>
      </c>
      <c r="Y1072" t="s">
        <v>47</v>
      </c>
      <c r="Z1072" s="3">
        <v>27211</v>
      </c>
      <c r="AA1072" s="5" t="s">
        <v>50</v>
      </c>
      <c r="AB1072" t="s">
        <v>47</v>
      </c>
      <c r="AC1072" s="3">
        <v>27211</v>
      </c>
      <c r="AD1072" s="5" t="s">
        <v>50</v>
      </c>
      <c r="AE1072" t="s">
        <v>47</v>
      </c>
      <c r="AF1072" t="s">
        <v>47</v>
      </c>
      <c r="AG1072" t="s">
        <v>47</v>
      </c>
      <c r="AH1072" t="s">
        <v>47</v>
      </c>
      <c r="AI1072" t="s">
        <v>47</v>
      </c>
      <c r="AJ1072" t="s">
        <v>47</v>
      </c>
      <c r="AK1072" t="s">
        <v>47</v>
      </c>
      <c r="AL1072" t="s">
        <v>47</v>
      </c>
      <c r="AM1072" t="s">
        <v>47</v>
      </c>
      <c r="AN1072" t="s">
        <v>47</v>
      </c>
      <c r="AO1072" s="5" t="s">
        <v>60</v>
      </c>
      <c r="AP1072" s="4" t="s">
        <v>61</v>
      </c>
      <c r="AQ1072" s="4" t="s">
        <v>53</v>
      </c>
      <c r="AR1072" s="4" t="s">
        <v>4266</v>
      </c>
      <c r="AS1072" s="5">
        <v>26268</v>
      </c>
      <c r="AT1072" t="s">
        <v>47</v>
      </c>
    </row>
    <row r="1073" spans="1:46" ht="26" x14ac:dyDescent="0.3">
      <c r="A1073" s="4" t="s">
        <v>4267</v>
      </c>
      <c r="B1073" t="s">
        <v>47</v>
      </c>
      <c r="C1073" s="4" t="s">
        <v>4268</v>
      </c>
      <c r="D1073" s="4" t="s">
        <v>901</v>
      </c>
      <c r="E1073" s="4" t="s">
        <v>100</v>
      </c>
      <c r="F1073" t="s">
        <v>47</v>
      </c>
      <c r="G1073" s="5" t="s">
        <v>4269</v>
      </c>
      <c r="H1073" t="s">
        <v>47</v>
      </c>
      <c r="I1073" s="3">
        <v>37622</v>
      </c>
      <c r="J1073" s="3">
        <v>42736</v>
      </c>
      <c r="K1073" t="s">
        <v>47</v>
      </c>
      <c r="L1073" s="5" t="s">
        <v>60</v>
      </c>
      <c r="M1073" t="s">
        <v>47</v>
      </c>
      <c r="N1073" t="s">
        <v>47</v>
      </c>
      <c r="O1073" t="s">
        <v>47</v>
      </c>
      <c r="P1073" s="3">
        <v>37622</v>
      </c>
      <c r="Q1073" s="3">
        <v>42736</v>
      </c>
      <c r="R1073" t="s">
        <v>47</v>
      </c>
      <c r="S1073" t="s">
        <v>47</v>
      </c>
      <c r="T1073" t="s">
        <v>47</v>
      </c>
      <c r="U1073" t="s">
        <v>47</v>
      </c>
      <c r="V1073" t="s">
        <v>47</v>
      </c>
      <c r="W1073" s="3">
        <v>37622</v>
      </c>
      <c r="X1073" s="3">
        <v>42736</v>
      </c>
      <c r="Y1073" t="s">
        <v>47</v>
      </c>
      <c r="Z1073" s="3">
        <v>37622</v>
      </c>
      <c r="AA1073" s="3">
        <v>42736</v>
      </c>
      <c r="AB1073" t="s">
        <v>47</v>
      </c>
      <c r="AC1073" s="3">
        <v>39814</v>
      </c>
      <c r="AD1073" s="3">
        <v>42736</v>
      </c>
      <c r="AE1073" t="s">
        <v>47</v>
      </c>
      <c r="AF1073" t="s">
        <v>47</v>
      </c>
      <c r="AG1073" t="s">
        <v>47</v>
      </c>
      <c r="AH1073" t="s">
        <v>47</v>
      </c>
      <c r="AI1073" t="s">
        <v>47</v>
      </c>
      <c r="AJ1073" t="s">
        <v>47</v>
      </c>
      <c r="AK1073" t="s">
        <v>47</v>
      </c>
      <c r="AL1073" t="s">
        <v>47</v>
      </c>
      <c r="AM1073" t="s">
        <v>47</v>
      </c>
      <c r="AN1073" t="s">
        <v>47</v>
      </c>
      <c r="AO1073" s="5" t="s">
        <v>60</v>
      </c>
      <c r="AP1073" s="4" t="s">
        <v>61</v>
      </c>
      <c r="AQ1073" s="4" t="s">
        <v>198</v>
      </c>
      <c r="AR1073" s="4" t="s">
        <v>54</v>
      </c>
      <c r="AS1073" s="5">
        <v>1966354</v>
      </c>
      <c r="AT1073" t="s">
        <v>47</v>
      </c>
    </row>
    <row r="1074" spans="1:46" ht="26" x14ac:dyDescent="0.3">
      <c r="A1074" s="4" t="s">
        <v>4270</v>
      </c>
      <c r="B1074" t="s">
        <v>47</v>
      </c>
      <c r="C1074" s="4" t="s">
        <v>200</v>
      </c>
      <c r="D1074" s="4" t="s">
        <v>2541</v>
      </c>
      <c r="E1074" s="4" t="s">
        <v>66</v>
      </c>
      <c r="F1074" s="5" t="s">
        <v>4271</v>
      </c>
      <c r="G1074" s="5" t="s">
        <v>4272</v>
      </c>
      <c r="H1074" t="s">
        <v>47</v>
      </c>
      <c r="I1074" s="3">
        <v>38534</v>
      </c>
      <c r="J1074" s="3">
        <v>41699</v>
      </c>
      <c r="K1074" t="s">
        <v>47</v>
      </c>
      <c r="L1074" s="5" t="s">
        <v>60</v>
      </c>
      <c r="M1074" s="3">
        <v>38534</v>
      </c>
      <c r="N1074" s="3">
        <v>41699</v>
      </c>
      <c r="O1074" t="s">
        <v>47</v>
      </c>
      <c r="P1074" s="3">
        <v>38534</v>
      </c>
      <c r="Q1074" s="3">
        <v>41699</v>
      </c>
      <c r="R1074" t="s">
        <v>47</v>
      </c>
      <c r="S1074" t="s">
        <v>47</v>
      </c>
      <c r="T1074" t="s">
        <v>47</v>
      </c>
      <c r="U1074" t="s">
        <v>47</v>
      </c>
      <c r="V1074" t="s">
        <v>47</v>
      </c>
      <c r="W1074" s="3">
        <v>32509</v>
      </c>
      <c r="X1074" s="5" t="s">
        <v>50</v>
      </c>
      <c r="Y1074" t="s">
        <v>47</v>
      </c>
      <c r="Z1074" s="3">
        <v>32509</v>
      </c>
      <c r="AA1074" s="5" t="s">
        <v>50</v>
      </c>
      <c r="AB1074" t="s">
        <v>47</v>
      </c>
      <c r="AC1074" s="3">
        <v>32509</v>
      </c>
      <c r="AD1074" s="5" t="s">
        <v>50</v>
      </c>
      <c r="AE1074" t="s">
        <v>47</v>
      </c>
      <c r="AF1074" t="s">
        <v>47</v>
      </c>
      <c r="AG1074" t="s">
        <v>47</v>
      </c>
      <c r="AH1074" t="s">
        <v>47</v>
      </c>
      <c r="AI1074" t="s">
        <v>47</v>
      </c>
      <c r="AJ1074" t="s">
        <v>47</v>
      </c>
      <c r="AK1074" t="s">
        <v>47</v>
      </c>
      <c r="AL1074" t="s">
        <v>47</v>
      </c>
      <c r="AM1074" t="s">
        <v>47</v>
      </c>
      <c r="AN1074" t="s">
        <v>47</v>
      </c>
      <c r="AO1074" s="5" t="s">
        <v>60</v>
      </c>
      <c r="AP1074" s="4" t="s">
        <v>61</v>
      </c>
      <c r="AQ1074" s="4" t="s">
        <v>53</v>
      </c>
      <c r="AR1074" s="4" t="s">
        <v>483</v>
      </c>
      <c r="AS1074" s="5">
        <v>29953</v>
      </c>
      <c r="AT1074" t="s">
        <v>47</v>
      </c>
    </row>
    <row r="1075" spans="1:46" ht="26" x14ac:dyDescent="0.3">
      <c r="A1075" s="4" t="s">
        <v>4273</v>
      </c>
      <c r="B1075" t="s">
        <v>47</v>
      </c>
      <c r="C1075" s="4" t="s">
        <v>169</v>
      </c>
      <c r="D1075" s="4" t="s">
        <v>319</v>
      </c>
      <c r="E1075" s="4" t="s">
        <v>66</v>
      </c>
      <c r="F1075" s="5" t="s">
        <v>4274</v>
      </c>
      <c r="G1075" s="5" t="s">
        <v>4275</v>
      </c>
      <c r="H1075" t="s">
        <v>47</v>
      </c>
      <c r="I1075" t="s">
        <v>47</v>
      </c>
      <c r="J1075" t="s">
        <v>47</v>
      </c>
      <c r="K1075" t="s">
        <v>47</v>
      </c>
      <c r="L1075" s="5" t="s">
        <v>60</v>
      </c>
      <c r="M1075" t="s">
        <v>47</v>
      </c>
      <c r="N1075" t="s">
        <v>47</v>
      </c>
      <c r="O1075" t="s">
        <v>47</v>
      </c>
      <c r="P1075" t="s">
        <v>47</v>
      </c>
      <c r="Q1075" t="s">
        <v>47</v>
      </c>
      <c r="R1075" t="s">
        <v>47</v>
      </c>
      <c r="S1075" t="s">
        <v>47</v>
      </c>
      <c r="T1075" t="s">
        <v>47</v>
      </c>
      <c r="U1075" t="s">
        <v>47</v>
      </c>
      <c r="V1075" t="s">
        <v>47</v>
      </c>
      <c r="W1075" s="3">
        <v>37987</v>
      </c>
      <c r="X1075" s="5" t="s">
        <v>50</v>
      </c>
      <c r="Y1075" s="5" t="s">
        <v>788</v>
      </c>
      <c r="Z1075" s="3">
        <v>37987</v>
      </c>
      <c r="AA1075" s="5" t="s">
        <v>50</v>
      </c>
      <c r="AB1075" s="5" t="s">
        <v>788</v>
      </c>
      <c r="AC1075" s="3">
        <v>37987</v>
      </c>
      <c r="AD1075" s="5" t="s">
        <v>50</v>
      </c>
      <c r="AE1075" s="5" t="s">
        <v>788</v>
      </c>
      <c r="AF1075" t="s">
        <v>47</v>
      </c>
      <c r="AG1075" t="s">
        <v>47</v>
      </c>
      <c r="AH1075" t="s">
        <v>47</v>
      </c>
      <c r="AI1075" t="s">
        <v>47</v>
      </c>
      <c r="AJ1075" t="s">
        <v>47</v>
      </c>
      <c r="AK1075" t="s">
        <v>47</v>
      </c>
      <c r="AL1075" t="s">
        <v>47</v>
      </c>
      <c r="AM1075" t="s">
        <v>47</v>
      </c>
      <c r="AN1075" t="s">
        <v>47</v>
      </c>
      <c r="AO1075" s="5" t="s">
        <v>60</v>
      </c>
      <c r="AP1075" s="4" t="s">
        <v>61</v>
      </c>
      <c r="AQ1075" s="4" t="s">
        <v>53</v>
      </c>
      <c r="AR1075" s="4" t="s">
        <v>807</v>
      </c>
      <c r="AS1075" s="5">
        <v>46398</v>
      </c>
      <c r="AT1075" t="s">
        <v>47</v>
      </c>
    </row>
    <row r="1076" spans="1:46" ht="26" x14ac:dyDescent="0.3">
      <c r="A1076" s="4" t="s">
        <v>4276</v>
      </c>
      <c r="B1076" t="s">
        <v>47</v>
      </c>
      <c r="C1076" s="4" t="s">
        <v>2455</v>
      </c>
      <c r="D1076" s="4" t="s">
        <v>2022</v>
      </c>
      <c r="E1076" s="4" t="s">
        <v>49</v>
      </c>
      <c r="F1076" s="5" t="s">
        <v>4277</v>
      </c>
      <c r="G1076" t="s">
        <v>47</v>
      </c>
      <c r="H1076" t="s">
        <v>47</v>
      </c>
      <c r="I1076" s="3">
        <v>36892</v>
      </c>
      <c r="J1076" s="5" t="s">
        <v>50</v>
      </c>
      <c r="K1076" s="5" t="s">
        <v>537</v>
      </c>
      <c r="L1076" s="5" t="s">
        <v>60</v>
      </c>
      <c r="M1076" t="s">
        <v>47</v>
      </c>
      <c r="N1076" t="s">
        <v>47</v>
      </c>
      <c r="O1076" t="s">
        <v>47</v>
      </c>
      <c r="P1076" s="3">
        <v>36892</v>
      </c>
      <c r="Q1076" s="5" t="s">
        <v>50</v>
      </c>
      <c r="R1076" s="5" t="s">
        <v>537</v>
      </c>
      <c r="S1076" t="s">
        <v>47</v>
      </c>
      <c r="T1076" t="s">
        <v>47</v>
      </c>
      <c r="U1076" t="s">
        <v>47</v>
      </c>
      <c r="V1076" t="s">
        <v>47</v>
      </c>
      <c r="W1076" s="3">
        <v>36892</v>
      </c>
      <c r="X1076" s="5" t="s">
        <v>50</v>
      </c>
      <c r="Y1076" t="s">
        <v>47</v>
      </c>
      <c r="Z1076" s="3">
        <v>36892</v>
      </c>
      <c r="AA1076" s="5" t="s">
        <v>50</v>
      </c>
      <c r="AB1076" t="s">
        <v>47</v>
      </c>
      <c r="AC1076" s="3">
        <v>39814</v>
      </c>
      <c r="AD1076" s="5" t="s">
        <v>50</v>
      </c>
      <c r="AE1076" s="5" t="s">
        <v>4278</v>
      </c>
      <c r="AF1076" t="s">
        <v>47</v>
      </c>
      <c r="AG1076" t="s">
        <v>47</v>
      </c>
      <c r="AH1076" t="s">
        <v>47</v>
      </c>
      <c r="AI1076" t="s">
        <v>47</v>
      </c>
      <c r="AJ1076" t="s">
        <v>47</v>
      </c>
      <c r="AK1076" t="s">
        <v>47</v>
      </c>
      <c r="AL1076" t="s">
        <v>47</v>
      </c>
      <c r="AM1076" t="s">
        <v>47</v>
      </c>
      <c r="AN1076" t="s">
        <v>47</v>
      </c>
      <c r="AO1076" s="5" t="s">
        <v>60</v>
      </c>
      <c r="AP1076" s="4" t="s">
        <v>61</v>
      </c>
      <c r="AQ1076" s="4" t="s">
        <v>53</v>
      </c>
      <c r="AR1076" s="4" t="s">
        <v>54</v>
      </c>
      <c r="AS1076" s="5">
        <v>4661811</v>
      </c>
      <c r="AT1076" t="s">
        <v>47</v>
      </c>
    </row>
    <row r="1077" spans="1:46" ht="52" x14ac:dyDescent="0.3">
      <c r="A1077" s="4" t="s">
        <v>4279</v>
      </c>
      <c r="B1077" t="s">
        <v>47</v>
      </c>
      <c r="C1077" s="4" t="s">
        <v>183</v>
      </c>
      <c r="D1077" s="4" t="s">
        <v>333</v>
      </c>
      <c r="E1077" s="4" t="s">
        <v>49</v>
      </c>
      <c r="F1077" s="5" t="s">
        <v>4280</v>
      </c>
      <c r="G1077" s="5" t="s">
        <v>4281</v>
      </c>
      <c r="H1077" t="s">
        <v>47</v>
      </c>
      <c r="I1077" s="3">
        <v>34335</v>
      </c>
      <c r="J1077" s="3">
        <v>43070</v>
      </c>
      <c r="K1077" t="s">
        <v>47</v>
      </c>
      <c r="L1077" s="5" t="s">
        <v>60</v>
      </c>
      <c r="M1077" s="3">
        <v>34335</v>
      </c>
      <c r="N1077" s="3">
        <v>43070</v>
      </c>
      <c r="O1077" t="s">
        <v>47</v>
      </c>
      <c r="P1077" s="3">
        <v>35247</v>
      </c>
      <c r="Q1077" s="3">
        <v>43070</v>
      </c>
      <c r="R1077" t="s">
        <v>47</v>
      </c>
      <c r="S1077" t="s">
        <v>47</v>
      </c>
      <c r="T1077" t="s">
        <v>47</v>
      </c>
      <c r="U1077" t="s">
        <v>47</v>
      </c>
      <c r="V1077" t="s">
        <v>47</v>
      </c>
      <c r="W1077" s="3">
        <v>33695</v>
      </c>
      <c r="X1077" s="5" t="s">
        <v>50</v>
      </c>
      <c r="Y1077" t="s">
        <v>47</v>
      </c>
      <c r="Z1077" s="3">
        <v>33695</v>
      </c>
      <c r="AA1077" s="5" t="s">
        <v>50</v>
      </c>
      <c r="AB1077" t="s">
        <v>47</v>
      </c>
      <c r="AC1077" s="3">
        <v>33695</v>
      </c>
      <c r="AD1077" s="5" t="s">
        <v>50</v>
      </c>
      <c r="AE1077" t="s">
        <v>47</v>
      </c>
      <c r="AF1077" t="s">
        <v>47</v>
      </c>
      <c r="AG1077" t="s">
        <v>47</v>
      </c>
      <c r="AH1077" t="s">
        <v>47</v>
      </c>
      <c r="AI1077" t="s">
        <v>47</v>
      </c>
      <c r="AJ1077" t="s">
        <v>47</v>
      </c>
      <c r="AK1077" t="s">
        <v>47</v>
      </c>
      <c r="AL1077" t="s">
        <v>47</v>
      </c>
      <c r="AM1077" t="s">
        <v>47</v>
      </c>
      <c r="AN1077" t="s">
        <v>47</v>
      </c>
      <c r="AO1077" s="5" t="s">
        <v>60</v>
      </c>
      <c r="AP1077" s="4" t="s">
        <v>61</v>
      </c>
      <c r="AQ1077" s="4" t="s">
        <v>53</v>
      </c>
      <c r="AR1077" s="4" t="s">
        <v>3087</v>
      </c>
      <c r="AS1077" s="5">
        <v>34564</v>
      </c>
      <c r="AT1077" t="s">
        <v>47</v>
      </c>
    </row>
    <row r="1078" spans="1:46" ht="26" x14ac:dyDescent="0.3">
      <c r="A1078" s="4" t="s">
        <v>4282</v>
      </c>
      <c r="B1078" t="s">
        <v>47</v>
      </c>
      <c r="C1078" s="4" t="s">
        <v>183</v>
      </c>
      <c r="D1078" s="4" t="s">
        <v>333</v>
      </c>
      <c r="E1078" s="4" t="s">
        <v>49</v>
      </c>
      <c r="F1078" s="5" t="s">
        <v>4283</v>
      </c>
      <c r="G1078" s="5" t="s">
        <v>4284</v>
      </c>
      <c r="H1078" t="s">
        <v>47</v>
      </c>
      <c r="I1078" s="3">
        <v>35339</v>
      </c>
      <c r="J1078" s="3">
        <v>43070</v>
      </c>
      <c r="K1078" t="s">
        <v>47</v>
      </c>
      <c r="L1078" s="5" t="s">
        <v>60</v>
      </c>
      <c r="M1078" s="3">
        <v>36069</v>
      </c>
      <c r="N1078" s="3">
        <v>43070</v>
      </c>
      <c r="O1078" s="5" t="s">
        <v>894</v>
      </c>
      <c r="P1078" s="3">
        <v>35339</v>
      </c>
      <c r="Q1078" s="3">
        <v>43070</v>
      </c>
      <c r="R1078" t="s">
        <v>47</v>
      </c>
      <c r="S1078" t="s">
        <v>47</v>
      </c>
      <c r="T1078" t="s">
        <v>47</v>
      </c>
      <c r="U1078" t="s">
        <v>47</v>
      </c>
      <c r="V1078" t="s">
        <v>47</v>
      </c>
      <c r="W1078" s="3">
        <v>31503</v>
      </c>
      <c r="X1078" s="5" t="s">
        <v>50</v>
      </c>
      <c r="Y1078" t="s">
        <v>47</v>
      </c>
      <c r="Z1078" s="3">
        <v>31503</v>
      </c>
      <c r="AA1078" s="5" t="s">
        <v>50</v>
      </c>
      <c r="AB1078" t="s">
        <v>47</v>
      </c>
      <c r="AC1078" s="3">
        <v>35339</v>
      </c>
      <c r="AD1078" s="5" t="s">
        <v>50</v>
      </c>
      <c r="AE1078" t="s">
        <v>47</v>
      </c>
      <c r="AF1078" t="s">
        <v>47</v>
      </c>
      <c r="AG1078" t="s">
        <v>47</v>
      </c>
      <c r="AH1078" t="s">
        <v>47</v>
      </c>
      <c r="AI1078" t="s">
        <v>47</v>
      </c>
      <c r="AJ1078" t="s">
        <v>47</v>
      </c>
      <c r="AK1078" t="s">
        <v>47</v>
      </c>
      <c r="AL1078" t="s">
        <v>47</v>
      </c>
      <c r="AM1078" t="s">
        <v>47</v>
      </c>
      <c r="AN1078" t="s">
        <v>47</v>
      </c>
      <c r="AO1078" s="5" t="s">
        <v>60</v>
      </c>
      <c r="AP1078" s="4" t="s">
        <v>61</v>
      </c>
      <c r="AQ1078" s="4" t="s">
        <v>53</v>
      </c>
      <c r="AR1078" s="4" t="s">
        <v>4285</v>
      </c>
      <c r="AS1078" s="5">
        <v>15546</v>
      </c>
      <c r="AT1078" t="s">
        <v>47</v>
      </c>
    </row>
    <row r="1079" spans="1:46" ht="52" x14ac:dyDescent="0.3">
      <c r="A1079" s="4" t="s">
        <v>4286</v>
      </c>
      <c r="B1079" t="s">
        <v>47</v>
      </c>
      <c r="C1079" s="4" t="s">
        <v>1036</v>
      </c>
      <c r="D1079" s="4" t="s">
        <v>70</v>
      </c>
      <c r="E1079" s="4" t="s">
        <v>49</v>
      </c>
      <c r="F1079" s="5" t="s">
        <v>4287</v>
      </c>
      <c r="G1079" t="s">
        <v>47</v>
      </c>
      <c r="H1079" t="s">
        <v>47</v>
      </c>
      <c r="I1079" t="s">
        <v>47</v>
      </c>
      <c r="J1079" t="s">
        <v>47</v>
      </c>
      <c r="K1079" t="s">
        <v>47</v>
      </c>
      <c r="L1079" s="5" t="s">
        <v>51</v>
      </c>
      <c r="M1079" t="s">
        <v>47</v>
      </c>
      <c r="N1079" t="s">
        <v>47</v>
      </c>
      <c r="O1079" t="s">
        <v>47</v>
      </c>
      <c r="P1079" t="s">
        <v>47</v>
      </c>
      <c r="Q1079" t="s">
        <v>47</v>
      </c>
      <c r="R1079" t="s">
        <v>47</v>
      </c>
      <c r="S1079" t="s">
        <v>47</v>
      </c>
      <c r="T1079" t="s">
        <v>47</v>
      </c>
      <c r="U1079" t="s">
        <v>47</v>
      </c>
      <c r="V1079" t="s">
        <v>47</v>
      </c>
      <c r="W1079" s="3">
        <v>35863</v>
      </c>
      <c r="X1079" s="3">
        <v>42135</v>
      </c>
      <c r="Y1079" t="s">
        <v>47</v>
      </c>
      <c r="Z1079" s="3">
        <v>35863</v>
      </c>
      <c r="AA1079" s="3">
        <v>42135</v>
      </c>
      <c r="AB1079" t="s">
        <v>47</v>
      </c>
      <c r="AC1079" s="3">
        <v>35863</v>
      </c>
      <c r="AD1079" s="3">
        <v>42135</v>
      </c>
      <c r="AE1079" t="s">
        <v>47</v>
      </c>
      <c r="AF1079" t="s">
        <v>47</v>
      </c>
      <c r="AG1079" t="s">
        <v>47</v>
      </c>
      <c r="AH1079" t="s">
        <v>47</v>
      </c>
      <c r="AI1079" t="s">
        <v>47</v>
      </c>
      <c r="AJ1079" t="s">
        <v>47</v>
      </c>
      <c r="AK1079" t="s">
        <v>47</v>
      </c>
      <c r="AL1079" t="s">
        <v>47</v>
      </c>
      <c r="AM1079" t="s">
        <v>47</v>
      </c>
      <c r="AN1079" t="s">
        <v>47</v>
      </c>
      <c r="AO1079" s="5" t="s">
        <v>51</v>
      </c>
      <c r="AP1079" s="4" t="s">
        <v>135</v>
      </c>
      <c r="AQ1079" s="4" t="s">
        <v>53</v>
      </c>
      <c r="AR1079" s="4" t="s">
        <v>4288</v>
      </c>
      <c r="AS1079" s="5">
        <v>41925</v>
      </c>
      <c r="AT1079" t="s">
        <v>47</v>
      </c>
    </row>
    <row r="1080" spans="1:46" ht="26" x14ac:dyDescent="0.3">
      <c r="A1080" s="4" t="s">
        <v>4289</v>
      </c>
      <c r="B1080" t="s">
        <v>47</v>
      </c>
      <c r="C1080" s="4" t="s">
        <v>4290</v>
      </c>
      <c r="D1080" s="4" t="s">
        <v>2731</v>
      </c>
      <c r="E1080" s="4" t="s">
        <v>2918</v>
      </c>
      <c r="F1080" s="5" t="s">
        <v>4291</v>
      </c>
      <c r="G1080" t="s">
        <v>47</v>
      </c>
      <c r="H1080" t="s">
        <v>47</v>
      </c>
      <c r="I1080" s="3">
        <v>37987</v>
      </c>
      <c r="J1080" s="5" t="s">
        <v>50</v>
      </c>
      <c r="K1080" t="s">
        <v>47</v>
      </c>
      <c r="L1080" s="5" t="s">
        <v>60</v>
      </c>
      <c r="M1080" t="s">
        <v>47</v>
      </c>
      <c r="N1080" t="s">
        <v>47</v>
      </c>
      <c r="O1080" t="s">
        <v>47</v>
      </c>
      <c r="P1080" s="3">
        <v>37987</v>
      </c>
      <c r="Q1080" s="5" t="s">
        <v>50</v>
      </c>
      <c r="R1080" t="s">
        <v>47</v>
      </c>
      <c r="S1080" t="s">
        <v>47</v>
      </c>
      <c r="T1080" t="s">
        <v>47</v>
      </c>
      <c r="U1080" t="s">
        <v>47</v>
      </c>
      <c r="V1080" t="s">
        <v>47</v>
      </c>
      <c r="W1080" s="3">
        <v>37987</v>
      </c>
      <c r="X1080" s="5" t="s">
        <v>50</v>
      </c>
      <c r="Y1080" t="s">
        <v>47</v>
      </c>
      <c r="Z1080" s="3">
        <v>37987</v>
      </c>
      <c r="AA1080" s="5" t="s">
        <v>50</v>
      </c>
      <c r="AB1080" t="s">
        <v>47</v>
      </c>
      <c r="AC1080" s="3">
        <v>37987</v>
      </c>
      <c r="AD1080" s="5" t="s">
        <v>50</v>
      </c>
      <c r="AE1080" t="s">
        <v>47</v>
      </c>
      <c r="AF1080" t="s">
        <v>47</v>
      </c>
      <c r="AG1080" t="s">
        <v>47</v>
      </c>
      <c r="AH1080" t="s">
        <v>47</v>
      </c>
      <c r="AI1080" t="s">
        <v>47</v>
      </c>
      <c r="AJ1080" t="s">
        <v>47</v>
      </c>
      <c r="AK1080" t="s">
        <v>47</v>
      </c>
      <c r="AL1080" t="s">
        <v>47</v>
      </c>
      <c r="AM1080" t="s">
        <v>47</v>
      </c>
      <c r="AN1080" t="s">
        <v>47</v>
      </c>
      <c r="AO1080" s="5" t="s">
        <v>60</v>
      </c>
      <c r="AP1080" s="4" t="s">
        <v>61</v>
      </c>
      <c r="AQ1080" s="4" t="s">
        <v>53</v>
      </c>
      <c r="AR1080" s="4" t="s">
        <v>54</v>
      </c>
      <c r="AS1080" s="5">
        <v>946348</v>
      </c>
      <c r="AT1080" t="s">
        <v>47</v>
      </c>
    </row>
    <row r="1081" spans="1:46" ht="13" x14ac:dyDescent="0.3">
      <c r="A1081" s="4" t="s">
        <v>4292</v>
      </c>
      <c r="B1081" t="s">
        <v>47</v>
      </c>
      <c r="C1081" s="4" t="s">
        <v>169</v>
      </c>
      <c r="D1081" s="4" t="s">
        <v>2022</v>
      </c>
      <c r="E1081" s="4" t="s">
        <v>66</v>
      </c>
      <c r="F1081" s="5" t="s">
        <v>4293</v>
      </c>
      <c r="G1081" s="5" t="s">
        <v>4294</v>
      </c>
      <c r="H1081" t="s">
        <v>47</v>
      </c>
      <c r="I1081" s="3">
        <v>36982</v>
      </c>
      <c r="J1081" s="3">
        <v>40817</v>
      </c>
      <c r="K1081" t="s">
        <v>47</v>
      </c>
      <c r="L1081" s="5" t="s">
        <v>60</v>
      </c>
      <c r="M1081" s="3">
        <v>36982</v>
      </c>
      <c r="N1081" s="3">
        <v>40817</v>
      </c>
      <c r="O1081" t="s">
        <v>47</v>
      </c>
      <c r="P1081" s="3">
        <v>36982</v>
      </c>
      <c r="Q1081" s="3">
        <v>40817</v>
      </c>
      <c r="R1081" t="s">
        <v>47</v>
      </c>
      <c r="S1081" t="s">
        <v>47</v>
      </c>
      <c r="T1081" t="s">
        <v>47</v>
      </c>
      <c r="U1081" t="s">
        <v>47</v>
      </c>
      <c r="V1081" t="s">
        <v>47</v>
      </c>
      <c r="W1081" s="3">
        <v>36982</v>
      </c>
      <c r="X1081" s="5" t="s">
        <v>50</v>
      </c>
      <c r="Y1081" s="5" t="s">
        <v>4295</v>
      </c>
      <c r="Z1081" s="3">
        <v>36982</v>
      </c>
      <c r="AA1081" s="5" t="s">
        <v>50</v>
      </c>
      <c r="AB1081" s="5" t="s">
        <v>4295</v>
      </c>
      <c r="AC1081" s="3">
        <v>37987</v>
      </c>
      <c r="AD1081" s="5" t="s">
        <v>50</v>
      </c>
      <c r="AE1081" s="5" t="s">
        <v>4295</v>
      </c>
      <c r="AF1081" t="s">
        <v>47</v>
      </c>
      <c r="AG1081" t="s">
        <v>47</v>
      </c>
      <c r="AH1081" t="s">
        <v>47</v>
      </c>
      <c r="AI1081" t="s">
        <v>47</v>
      </c>
      <c r="AJ1081" t="s">
        <v>47</v>
      </c>
      <c r="AK1081" t="s">
        <v>47</v>
      </c>
      <c r="AL1081" t="s">
        <v>47</v>
      </c>
      <c r="AM1081" t="s">
        <v>47</v>
      </c>
      <c r="AN1081" t="s">
        <v>47</v>
      </c>
      <c r="AO1081" s="5" t="s">
        <v>60</v>
      </c>
      <c r="AP1081" s="4" t="s">
        <v>61</v>
      </c>
      <c r="AQ1081" s="4" t="s">
        <v>53</v>
      </c>
      <c r="AR1081" s="4" t="s">
        <v>54</v>
      </c>
      <c r="AS1081" s="5">
        <v>35728</v>
      </c>
      <c r="AT1081" t="s">
        <v>47</v>
      </c>
    </row>
    <row r="1082" spans="1:46" ht="104" x14ac:dyDescent="0.3">
      <c r="A1082" s="4" t="s">
        <v>4296</v>
      </c>
      <c r="B1082" t="s">
        <v>47</v>
      </c>
      <c r="C1082" s="4" t="s">
        <v>4297</v>
      </c>
      <c r="D1082" s="4" t="s">
        <v>597</v>
      </c>
      <c r="E1082" s="4" t="s">
        <v>49</v>
      </c>
      <c r="F1082" s="5" t="s">
        <v>4298</v>
      </c>
      <c r="G1082" t="s">
        <v>47</v>
      </c>
      <c r="H1082" t="s">
        <v>47</v>
      </c>
      <c r="I1082" s="3">
        <v>33298</v>
      </c>
      <c r="J1082" s="5" t="s">
        <v>50</v>
      </c>
      <c r="K1082" t="s">
        <v>47</v>
      </c>
      <c r="L1082" s="5" t="s">
        <v>51</v>
      </c>
      <c r="M1082" s="3">
        <v>33298</v>
      </c>
      <c r="N1082" s="5" t="s">
        <v>50</v>
      </c>
      <c r="O1082" t="s">
        <v>47</v>
      </c>
      <c r="P1082" t="s">
        <v>47</v>
      </c>
      <c r="Q1082" t="s">
        <v>47</v>
      </c>
      <c r="R1082" t="s">
        <v>47</v>
      </c>
      <c r="S1082" t="s">
        <v>47</v>
      </c>
      <c r="T1082" t="s">
        <v>47</v>
      </c>
      <c r="U1082" t="s">
        <v>47</v>
      </c>
      <c r="V1082" t="s">
        <v>47</v>
      </c>
      <c r="W1082" s="3">
        <v>33298</v>
      </c>
      <c r="X1082" s="5" t="s">
        <v>50</v>
      </c>
      <c r="Y1082" t="s">
        <v>47</v>
      </c>
      <c r="Z1082" s="3">
        <v>33298</v>
      </c>
      <c r="AA1082" s="5" t="s">
        <v>50</v>
      </c>
      <c r="AB1082" t="s">
        <v>47</v>
      </c>
      <c r="AC1082" s="3">
        <v>33298</v>
      </c>
      <c r="AD1082" s="5" t="s">
        <v>50</v>
      </c>
      <c r="AE1082" t="s">
        <v>47</v>
      </c>
      <c r="AF1082" t="s">
        <v>47</v>
      </c>
      <c r="AG1082" t="s">
        <v>47</v>
      </c>
      <c r="AH1082" t="s">
        <v>47</v>
      </c>
      <c r="AI1082" t="s">
        <v>47</v>
      </c>
      <c r="AJ1082" t="s">
        <v>47</v>
      </c>
      <c r="AK1082" t="s">
        <v>47</v>
      </c>
      <c r="AL1082" t="s">
        <v>47</v>
      </c>
      <c r="AM1082" t="s">
        <v>47</v>
      </c>
      <c r="AN1082" t="s">
        <v>47</v>
      </c>
      <c r="AO1082" s="5" t="s">
        <v>51</v>
      </c>
      <c r="AP1082" s="4" t="s">
        <v>85</v>
      </c>
      <c r="AQ1082" s="4" t="s">
        <v>53</v>
      </c>
      <c r="AR1082" s="4" t="s">
        <v>4299</v>
      </c>
      <c r="AS1082" s="5">
        <v>756406</v>
      </c>
      <c r="AT1082" t="s">
        <v>47</v>
      </c>
    </row>
    <row r="1083" spans="1:46" ht="65" x14ac:dyDescent="0.3">
      <c r="A1083" s="4" t="s">
        <v>4300</v>
      </c>
      <c r="B1083" t="s">
        <v>47</v>
      </c>
      <c r="C1083" s="4" t="s">
        <v>1036</v>
      </c>
      <c r="D1083" s="4" t="s">
        <v>1037</v>
      </c>
      <c r="E1083" s="4" t="s">
        <v>49</v>
      </c>
      <c r="F1083" s="5" t="s">
        <v>4301</v>
      </c>
      <c r="G1083" t="s">
        <v>47</v>
      </c>
      <c r="H1083" t="s">
        <v>47</v>
      </c>
      <c r="I1083" s="3">
        <v>35796</v>
      </c>
      <c r="J1083" s="3">
        <v>39556</v>
      </c>
      <c r="K1083" t="s">
        <v>47</v>
      </c>
      <c r="L1083" s="5" t="s">
        <v>51</v>
      </c>
      <c r="M1083" s="3">
        <v>35796</v>
      </c>
      <c r="N1083" s="3">
        <v>39556</v>
      </c>
      <c r="O1083" t="s">
        <v>47</v>
      </c>
      <c r="P1083" s="3">
        <v>35796</v>
      </c>
      <c r="Q1083" s="3">
        <v>39556</v>
      </c>
      <c r="R1083" s="5" t="s">
        <v>4302</v>
      </c>
      <c r="S1083" t="s">
        <v>47</v>
      </c>
      <c r="T1083" t="s">
        <v>47</v>
      </c>
      <c r="U1083" t="s">
        <v>47</v>
      </c>
      <c r="V1083" t="s">
        <v>47</v>
      </c>
      <c r="W1083" s="3">
        <v>35796</v>
      </c>
      <c r="X1083" s="3">
        <v>39556</v>
      </c>
      <c r="Y1083" t="s">
        <v>47</v>
      </c>
      <c r="Z1083" s="3">
        <v>35796</v>
      </c>
      <c r="AA1083" s="3">
        <v>39556</v>
      </c>
      <c r="AB1083" t="s">
        <v>47</v>
      </c>
      <c r="AC1083" s="3">
        <v>35916</v>
      </c>
      <c r="AD1083" s="3">
        <v>39556</v>
      </c>
      <c r="AE1083" t="s">
        <v>47</v>
      </c>
      <c r="AF1083" t="s">
        <v>47</v>
      </c>
      <c r="AG1083" t="s">
        <v>47</v>
      </c>
      <c r="AH1083" t="s">
        <v>47</v>
      </c>
      <c r="AI1083" t="s">
        <v>47</v>
      </c>
      <c r="AJ1083" t="s">
        <v>47</v>
      </c>
      <c r="AK1083" t="s">
        <v>47</v>
      </c>
      <c r="AL1083" t="s">
        <v>47</v>
      </c>
      <c r="AM1083" t="s">
        <v>47</v>
      </c>
      <c r="AN1083" t="s">
        <v>47</v>
      </c>
      <c r="AO1083" s="5" t="s">
        <v>51</v>
      </c>
      <c r="AP1083" s="4" t="s">
        <v>135</v>
      </c>
      <c r="AQ1083" s="4" t="s">
        <v>53</v>
      </c>
      <c r="AR1083" s="4" t="s">
        <v>4303</v>
      </c>
      <c r="AS1083" s="5">
        <v>41274</v>
      </c>
      <c r="AT1083" t="s">
        <v>47</v>
      </c>
    </row>
    <row r="1084" spans="1:46" ht="52" x14ac:dyDescent="0.3">
      <c r="A1084" s="4" t="s">
        <v>4304</v>
      </c>
      <c r="B1084" t="s">
        <v>47</v>
      </c>
      <c r="C1084" s="4" t="s">
        <v>382</v>
      </c>
      <c r="D1084" s="4" t="s">
        <v>324</v>
      </c>
      <c r="E1084" s="4" t="s">
        <v>49</v>
      </c>
      <c r="F1084" s="5" t="s">
        <v>4305</v>
      </c>
      <c r="G1084" s="5" t="s">
        <v>4306</v>
      </c>
      <c r="H1084" t="s">
        <v>47</v>
      </c>
      <c r="I1084" s="3">
        <v>35735</v>
      </c>
      <c r="J1084" s="5" t="s">
        <v>50</v>
      </c>
      <c r="K1084" t="s">
        <v>47</v>
      </c>
      <c r="L1084" s="5" t="s">
        <v>60</v>
      </c>
      <c r="M1084" s="3">
        <v>35735</v>
      </c>
      <c r="N1084" s="5" t="s">
        <v>50</v>
      </c>
      <c r="O1084" t="s">
        <v>47</v>
      </c>
      <c r="P1084" s="3">
        <v>35735</v>
      </c>
      <c r="Q1084" s="5" t="s">
        <v>50</v>
      </c>
      <c r="R1084" t="s">
        <v>47</v>
      </c>
      <c r="S1084" t="s">
        <v>47</v>
      </c>
      <c r="T1084" t="s">
        <v>47</v>
      </c>
      <c r="U1084" t="s">
        <v>47</v>
      </c>
      <c r="V1084" t="s">
        <v>47</v>
      </c>
      <c r="W1084" s="3">
        <v>35431</v>
      </c>
      <c r="X1084" s="5" t="s">
        <v>50</v>
      </c>
      <c r="Y1084" t="s">
        <v>47</v>
      </c>
      <c r="Z1084" s="3">
        <v>35431</v>
      </c>
      <c r="AA1084" s="5" t="s">
        <v>50</v>
      </c>
      <c r="AB1084" t="s">
        <v>47</v>
      </c>
      <c r="AC1084" s="3">
        <v>37987</v>
      </c>
      <c r="AD1084" s="5" t="s">
        <v>50</v>
      </c>
      <c r="AE1084" t="s">
        <v>47</v>
      </c>
      <c r="AF1084" t="s">
        <v>47</v>
      </c>
      <c r="AG1084" t="s">
        <v>47</v>
      </c>
      <c r="AH1084" t="s">
        <v>47</v>
      </c>
      <c r="AI1084" t="s">
        <v>47</v>
      </c>
      <c r="AJ1084" t="s">
        <v>47</v>
      </c>
      <c r="AK1084" t="s">
        <v>47</v>
      </c>
      <c r="AL1084" t="s">
        <v>47</v>
      </c>
      <c r="AM1084" t="s">
        <v>47</v>
      </c>
      <c r="AN1084" t="s">
        <v>47</v>
      </c>
      <c r="AO1084" s="5" t="s">
        <v>60</v>
      </c>
      <c r="AP1084" s="4" t="s">
        <v>61</v>
      </c>
      <c r="AQ1084" s="4" t="s">
        <v>53</v>
      </c>
      <c r="AR1084" s="4" t="s">
        <v>1745</v>
      </c>
      <c r="AS1084" s="5">
        <v>6154</v>
      </c>
      <c r="AT1084" t="s">
        <v>47</v>
      </c>
    </row>
    <row r="1085" spans="1:46" ht="26" x14ac:dyDescent="0.3">
      <c r="A1085" s="4" t="s">
        <v>4307</v>
      </c>
      <c r="B1085" t="s">
        <v>47</v>
      </c>
      <c r="C1085" s="4" t="s">
        <v>4308</v>
      </c>
      <c r="D1085" s="4" t="s">
        <v>2349</v>
      </c>
      <c r="E1085" s="4" t="s">
        <v>701</v>
      </c>
      <c r="F1085" s="5" t="s">
        <v>4309</v>
      </c>
      <c r="G1085" t="s">
        <v>47</v>
      </c>
      <c r="H1085" t="s">
        <v>47</v>
      </c>
      <c r="I1085" s="3">
        <v>38108</v>
      </c>
      <c r="J1085" s="5" t="s">
        <v>50</v>
      </c>
      <c r="K1085" t="s">
        <v>47</v>
      </c>
      <c r="L1085" s="5" t="s">
        <v>60</v>
      </c>
      <c r="M1085" s="3">
        <v>38473</v>
      </c>
      <c r="N1085" s="5" t="s">
        <v>50</v>
      </c>
      <c r="O1085" t="s">
        <v>47</v>
      </c>
      <c r="P1085" s="3">
        <v>38108</v>
      </c>
      <c r="Q1085" s="5" t="s">
        <v>50</v>
      </c>
      <c r="R1085" t="s">
        <v>47</v>
      </c>
      <c r="S1085" t="s">
        <v>47</v>
      </c>
      <c r="T1085" t="s">
        <v>47</v>
      </c>
      <c r="U1085" t="s">
        <v>47</v>
      </c>
      <c r="V1085" t="s">
        <v>47</v>
      </c>
      <c r="W1085" s="3">
        <v>38108</v>
      </c>
      <c r="X1085" s="5" t="s">
        <v>50</v>
      </c>
      <c r="Y1085" t="s">
        <v>47</v>
      </c>
      <c r="Z1085" s="3">
        <v>38108</v>
      </c>
      <c r="AA1085" s="5" t="s">
        <v>50</v>
      </c>
      <c r="AB1085" t="s">
        <v>47</v>
      </c>
      <c r="AC1085" s="3">
        <v>42887</v>
      </c>
      <c r="AD1085" s="5" t="s">
        <v>50</v>
      </c>
      <c r="AE1085" t="s">
        <v>47</v>
      </c>
      <c r="AF1085" t="s">
        <v>47</v>
      </c>
      <c r="AG1085" t="s">
        <v>47</v>
      </c>
      <c r="AH1085" t="s">
        <v>47</v>
      </c>
      <c r="AI1085" t="s">
        <v>47</v>
      </c>
      <c r="AJ1085" t="s">
        <v>47</v>
      </c>
      <c r="AK1085" t="s">
        <v>47</v>
      </c>
      <c r="AL1085" t="s">
        <v>47</v>
      </c>
      <c r="AM1085" t="s">
        <v>47</v>
      </c>
      <c r="AN1085" t="s">
        <v>47</v>
      </c>
      <c r="AO1085" s="5" t="s">
        <v>60</v>
      </c>
      <c r="AP1085" s="4" t="s">
        <v>61</v>
      </c>
      <c r="AQ1085" s="4" t="s">
        <v>53</v>
      </c>
      <c r="AR1085" s="4" t="s">
        <v>54</v>
      </c>
      <c r="AS1085" s="5">
        <v>28575</v>
      </c>
      <c r="AT1085" t="s">
        <v>47</v>
      </c>
    </row>
    <row r="1086" spans="1:46" ht="26" x14ac:dyDescent="0.3">
      <c r="A1086" s="4" t="s">
        <v>4310</v>
      </c>
      <c r="B1086" t="s">
        <v>47</v>
      </c>
      <c r="C1086" s="4" t="s">
        <v>716</v>
      </c>
      <c r="D1086" s="4" t="s">
        <v>717</v>
      </c>
      <c r="E1086" s="4" t="s">
        <v>49</v>
      </c>
      <c r="F1086" t="s">
        <v>47</v>
      </c>
      <c r="G1086" s="5" t="s">
        <v>4311</v>
      </c>
      <c r="H1086" t="s">
        <v>47</v>
      </c>
      <c r="I1086" t="s">
        <v>47</v>
      </c>
      <c r="J1086" t="s">
        <v>47</v>
      </c>
      <c r="K1086" t="s">
        <v>47</v>
      </c>
      <c r="L1086" s="5" t="s">
        <v>60</v>
      </c>
      <c r="M1086" t="s">
        <v>47</v>
      </c>
      <c r="N1086" t="s">
        <v>47</v>
      </c>
      <c r="O1086" t="s">
        <v>47</v>
      </c>
      <c r="P1086" t="s">
        <v>47</v>
      </c>
      <c r="Q1086" t="s">
        <v>47</v>
      </c>
      <c r="R1086" t="s">
        <v>47</v>
      </c>
      <c r="S1086" t="s">
        <v>47</v>
      </c>
      <c r="T1086" t="s">
        <v>47</v>
      </c>
      <c r="U1086" t="s">
        <v>47</v>
      </c>
      <c r="V1086" t="s">
        <v>47</v>
      </c>
      <c r="W1086" s="3">
        <v>42005</v>
      </c>
      <c r="X1086" s="5" t="s">
        <v>50</v>
      </c>
      <c r="Y1086" t="s">
        <v>47</v>
      </c>
      <c r="Z1086" s="3">
        <v>42005</v>
      </c>
      <c r="AA1086" s="5" t="s">
        <v>50</v>
      </c>
      <c r="AB1086" t="s">
        <v>47</v>
      </c>
      <c r="AC1086" s="3">
        <v>42005</v>
      </c>
      <c r="AD1086" s="5" t="s">
        <v>50</v>
      </c>
      <c r="AE1086" t="s">
        <v>47</v>
      </c>
      <c r="AF1086" t="s">
        <v>47</v>
      </c>
      <c r="AG1086" t="s">
        <v>47</v>
      </c>
      <c r="AH1086" t="s">
        <v>47</v>
      </c>
      <c r="AI1086" t="s">
        <v>47</v>
      </c>
      <c r="AJ1086" t="s">
        <v>47</v>
      </c>
      <c r="AK1086" t="s">
        <v>47</v>
      </c>
      <c r="AL1086" t="s">
        <v>47</v>
      </c>
      <c r="AM1086" t="s">
        <v>47</v>
      </c>
      <c r="AN1086" t="s">
        <v>47</v>
      </c>
      <c r="AO1086" s="5" t="s">
        <v>60</v>
      </c>
      <c r="AP1086" s="4" t="s">
        <v>61</v>
      </c>
      <c r="AQ1086" s="4" t="s">
        <v>53</v>
      </c>
      <c r="AR1086" s="4" t="s">
        <v>167</v>
      </c>
      <c r="AS1086" s="5">
        <v>2037734</v>
      </c>
      <c r="AT1086" t="s">
        <v>47</v>
      </c>
    </row>
    <row r="1087" spans="1:46" ht="104" x14ac:dyDescent="0.3">
      <c r="A1087" s="4" t="s">
        <v>4312</v>
      </c>
      <c r="B1087" t="s">
        <v>47</v>
      </c>
      <c r="C1087" s="4" t="s">
        <v>1240</v>
      </c>
      <c r="D1087" s="4" t="s">
        <v>1241</v>
      </c>
      <c r="E1087" s="4" t="s">
        <v>49</v>
      </c>
      <c r="F1087" s="5" t="s">
        <v>4313</v>
      </c>
      <c r="G1087" s="5" t="s">
        <v>4314</v>
      </c>
      <c r="H1087" t="s">
        <v>47</v>
      </c>
      <c r="I1087" s="3">
        <v>32509</v>
      </c>
      <c r="J1087" s="5" t="s">
        <v>50</v>
      </c>
      <c r="K1087" t="s">
        <v>47</v>
      </c>
      <c r="L1087" s="5" t="s">
        <v>60</v>
      </c>
      <c r="M1087" s="3">
        <v>34335</v>
      </c>
      <c r="N1087" s="5" t="s">
        <v>50</v>
      </c>
      <c r="O1087" t="s">
        <v>47</v>
      </c>
      <c r="P1087" s="3">
        <v>32509</v>
      </c>
      <c r="Q1087" s="5" t="s">
        <v>50</v>
      </c>
      <c r="R1087" t="s">
        <v>47</v>
      </c>
      <c r="S1087" t="s">
        <v>47</v>
      </c>
      <c r="T1087" t="s">
        <v>47</v>
      </c>
      <c r="U1087" t="s">
        <v>47</v>
      </c>
      <c r="V1087" t="s">
        <v>47</v>
      </c>
      <c r="W1087" s="3">
        <v>32509</v>
      </c>
      <c r="X1087" s="5" t="s">
        <v>50</v>
      </c>
      <c r="Y1087" t="s">
        <v>47</v>
      </c>
      <c r="Z1087" s="3">
        <v>32509</v>
      </c>
      <c r="AA1087" s="5" t="s">
        <v>50</v>
      </c>
      <c r="AB1087" t="s">
        <v>47</v>
      </c>
      <c r="AC1087" s="3">
        <v>32509</v>
      </c>
      <c r="AD1087" s="5" t="s">
        <v>50</v>
      </c>
      <c r="AE1087" t="s">
        <v>47</v>
      </c>
      <c r="AF1087" t="s">
        <v>47</v>
      </c>
      <c r="AG1087" t="s">
        <v>47</v>
      </c>
      <c r="AH1087" t="s">
        <v>47</v>
      </c>
      <c r="AI1087" t="s">
        <v>47</v>
      </c>
      <c r="AJ1087" t="s">
        <v>47</v>
      </c>
      <c r="AK1087" t="s">
        <v>47</v>
      </c>
      <c r="AL1087" t="s">
        <v>47</v>
      </c>
      <c r="AM1087" t="s">
        <v>47</v>
      </c>
      <c r="AN1087" t="s">
        <v>47</v>
      </c>
      <c r="AO1087" s="5" t="s">
        <v>60</v>
      </c>
      <c r="AP1087" s="4" t="s">
        <v>61</v>
      </c>
      <c r="AQ1087" s="4" t="s">
        <v>53</v>
      </c>
      <c r="AR1087" s="4" t="s">
        <v>4315</v>
      </c>
      <c r="AS1087" s="5">
        <v>41436</v>
      </c>
      <c r="AT1087" t="s">
        <v>47</v>
      </c>
    </row>
    <row r="1088" spans="1:46" ht="13" x14ac:dyDescent="0.3">
      <c r="A1088" s="4" t="s">
        <v>4316</v>
      </c>
      <c r="B1088" t="s">
        <v>47</v>
      </c>
      <c r="C1088" s="4" t="s">
        <v>1952</v>
      </c>
      <c r="D1088" s="4" t="s">
        <v>319</v>
      </c>
      <c r="E1088" s="4" t="s">
        <v>66</v>
      </c>
      <c r="F1088" s="5" t="s">
        <v>4317</v>
      </c>
      <c r="G1088" s="5" t="s">
        <v>4318</v>
      </c>
      <c r="H1088" t="s">
        <v>47</v>
      </c>
      <c r="I1088" t="s">
        <v>47</v>
      </c>
      <c r="J1088" t="s">
        <v>47</v>
      </c>
      <c r="K1088" t="s">
        <v>47</v>
      </c>
      <c r="L1088" s="5" t="s">
        <v>60</v>
      </c>
      <c r="M1088" t="s">
        <v>47</v>
      </c>
      <c r="N1088" t="s">
        <v>47</v>
      </c>
      <c r="O1088" t="s">
        <v>47</v>
      </c>
      <c r="P1088" t="s">
        <v>47</v>
      </c>
      <c r="Q1088" t="s">
        <v>47</v>
      </c>
      <c r="R1088" t="s">
        <v>47</v>
      </c>
      <c r="S1088" t="s">
        <v>47</v>
      </c>
      <c r="T1088" t="s">
        <v>47</v>
      </c>
      <c r="U1088" t="s">
        <v>47</v>
      </c>
      <c r="V1088" t="s">
        <v>47</v>
      </c>
      <c r="W1088" s="3">
        <v>37987</v>
      </c>
      <c r="X1088" s="5" t="s">
        <v>50</v>
      </c>
      <c r="Y1088" t="s">
        <v>47</v>
      </c>
      <c r="Z1088" s="3">
        <v>37987</v>
      </c>
      <c r="AA1088" s="5" t="s">
        <v>50</v>
      </c>
      <c r="AB1088" t="s">
        <v>47</v>
      </c>
      <c r="AC1088" s="3">
        <v>37987</v>
      </c>
      <c r="AD1088" s="5" t="s">
        <v>50</v>
      </c>
      <c r="AE1088" t="s">
        <v>47</v>
      </c>
      <c r="AF1088" t="s">
        <v>47</v>
      </c>
      <c r="AG1088" t="s">
        <v>47</v>
      </c>
      <c r="AH1088" t="s">
        <v>47</v>
      </c>
      <c r="AI1088" t="s">
        <v>47</v>
      </c>
      <c r="AJ1088" t="s">
        <v>47</v>
      </c>
      <c r="AK1088" t="s">
        <v>47</v>
      </c>
      <c r="AL1088" t="s">
        <v>47</v>
      </c>
      <c r="AM1088" t="s">
        <v>47</v>
      </c>
      <c r="AN1088" t="s">
        <v>47</v>
      </c>
      <c r="AO1088" s="5" t="s">
        <v>60</v>
      </c>
      <c r="AP1088" s="4" t="s">
        <v>61</v>
      </c>
      <c r="AQ1088" s="4" t="s">
        <v>53</v>
      </c>
      <c r="AR1088" s="4" t="s">
        <v>167</v>
      </c>
      <c r="AS1088" s="5">
        <v>44519</v>
      </c>
      <c r="AT1088" t="s">
        <v>47</v>
      </c>
    </row>
    <row r="1089" spans="1:46" ht="39" x14ac:dyDescent="0.3">
      <c r="A1089" s="4" t="s">
        <v>4319</v>
      </c>
      <c r="B1089" t="s">
        <v>47</v>
      </c>
      <c r="C1089" s="4" t="s">
        <v>93</v>
      </c>
      <c r="D1089" s="4" t="s">
        <v>1168</v>
      </c>
      <c r="E1089" s="4" t="s">
        <v>49</v>
      </c>
      <c r="F1089" s="5" t="s">
        <v>4320</v>
      </c>
      <c r="G1089" s="5" t="s">
        <v>4321</v>
      </c>
      <c r="H1089" t="s">
        <v>47</v>
      </c>
      <c r="I1089" t="s">
        <v>47</v>
      </c>
      <c r="J1089" t="s">
        <v>47</v>
      </c>
      <c r="K1089" t="s">
        <v>47</v>
      </c>
      <c r="L1089" s="5" t="s">
        <v>60</v>
      </c>
      <c r="M1089" t="s">
        <v>47</v>
      </c>
      <c r="N1089" t="s">
        <v>47</v>
      </c>
      <c r="O1089" t="s">
        <v>47</v>
      </c>
      <c r="P1089" t="s">
        <v>47</v>
      </c>
      <c r="Q1089" t="s">
        <v>47</v>
      </c>
      <c r="R1089" t="s">
        <v>47</v>
      </c>
      <c r="S1089" t="s">
        <v>47</v>
      </c>
      <c r="T1089" t="s">
        <v>47</v>
      </c>
      <c r="U1089" t="s">
        <v>47</v>
      </c>
      <c r="V1089" t="s">
        <v>47</v>
      </c>
      <c r="W1089" s="3">
        <v>38412</v>
      </c>
      <c r="X1089" s="5" t="s">
        <v>50</v>
      </c>
      <c r="Y1089" t="s">
        <v>47</v>
      </c>
      <c r="Z1089" s="3">
        <v>38412</v>
      </c>
      <c r="AA1089" s="5" t="s">
        <v>50</v>
      </c>
      <c r="AB1089" t="s">
        <v>47</v>
      </c>
      <c r="AC1089" s="3">
        <v>38412</v>
      </c>
      <c r="AD1089" s="5" t="s">
        <v>50</v>
      </c>
      <c r="AE1089" t="s">
        <v>47</v>
      </c>
      <c r="AF1089" t="s">
        <v>47</v>
      </c>
      <c r="AG1089" t="s">
        <v>47</v>
      </c>
      <c r="AH1089" t="s">
        <v>47</v>
      </c>
      <c r="AI1089" t="s">
        <v>47</v>
      </c>
      <c r="AJ1089" t="s">
        <v>47</v>
      </c>
      <c r="AK1089" t="s">
        <v>47</v>
      </c>
      <c r="AL1089" t="s">
        <v>47</v>
      </c>
      <c r="AM1089" t="s">
        <v>47</v>
      </c>
      <c r="AN1089" t="s">
        <v>47</v>
      </c>
      <c r="AO1089" s="5" t="s">
        <v>60</v>
      </c>
      <c r="AP1089" s="4" t="s">
        <v>61</v>
      </c>
      <c r="AQ1089" s="4" t="s">
        <v>53</v>
      </c>
      <c r="AR1089" s="4" t="s">
        <v>4322</v>
      </c>
      <c r="AS1089" s="5">
        <v>41731</v>
      </c>
      <c r="AT1089" t="s">
        <v>47</v>
      </c>
    </row>
    <row r="1090" spans="1:46" ht="13" x14ac:dyDescent="0.3">
      <c r="A1090" s="4" t="s">
        <v>4323</v>
      </c>
      <c r="B1090" t="s">
        <v>47</v>
      </c>
      <c r="C1090" s="4" t="s">
        <v>4324</v>
      </c>
      <c r="D1090" s="4" t="s">
        <v>4325</v>
      </c>
      <c r="E1090" s="4" t="s">
        <v>66</v>
      </c>
      <c r="F1090" s="5" t="s">
        <v>4326</v>
      </c>
      <c r="G1090" s="5" t="s">
        <v>4327</v>
      </c>
      <c r="H1090" t="s">
        <v>47</v>
      </c>
      <c r="I1090" t="s">
        <v>47</v>
      </c>
      <c r="J1090" t="s">
        <v>47</v>
      </c>
      <c r="K1090" t="s">
        <v>47</v>
      </c>
      <c r="L1090" s="5" t="s">
        <v>60</v>
      </c>
      <c r="M1090" t="s">
        <v>47</v>
      </c>
      <c r="N1090" t="s">
        <v>47</v>
      </c>
      <c r="O1090" t="s">
        <v>47</v>
      </c>
      <c r="P1090" t="s">
        <v>47</v>
      </c>
      <c r="Q1090" t="s">
        <v>47</v>
      </c>
      <c r="R1090" t="s">
        <v>47</v>
      </c>
      <c r="S1090" t="s">
        <v>47</v>
      </c>
      <c r="T1090" t="s">
        <v>47</v>
      </c>
      <c r="U1090" t="s">
        <v>47</v>
      </c>
      <c r="V1090" t="s">
        <v>47</v>
      </c>
      <c r="W1090" s="3">
        <v>38353</v>
      </c>
      <c r="X1090" s="5" t="s">
        <v>50</v>
      </c>
      <c r="Y1090" t="s">
        <v>47</v>
      </c>
      <c r="Z1090" s="3">
        <v>38353</v>
      </c>
      <c r="AA1090" s="5" t="s">
        <v>50</v>
      </c>
      <c r="AB1090" t="s">
        <v>47</v>
      </c>
      <c r="AC1090" s="3">
        <v>38353</v>
      </c>
      <c r="AD1090" s="5" t="s">
        <v>50</v>
      </c>
      <c r="AE1090" t="s">
        <v>47</v>
      </c>
      <c r="AF1090" t="s">
        <v>47</v>
      </c>
      <c r="AG1090" t="s">
        <v>47</v>
      </c>
      <c r="AH1090" t="s">
        <v>47</v>
      </c>
      <c r="AI1090" t="s">
        <v>47</v>
      </c>
      <c r="AJ1090" t="s">
        <v>47</v>
      </c>
      <c r="AK1090" t="s">
        <v>47</v>
      </c>
      <c r="AL1090" t="s">
        <v>47</v>
      </c>
      <c r="AM1090" t="s">
        <v>47</v>
      </c>
      <c r="AN1090" t="s">
        <v>47</v>
      </c>
      <c r="AO1090" s="5" t="s">
        <v>60</v>
      </c>
      <c r="AP1090" s="4" t="s">
        <v>61</v>
      </c>
      <c r="AQ1090" s="4" t="s">
        <v>53</v>
      </c>
      <c r="AR1090" s="4" t="s">
        <v>167</v>
      </c>
      <c r="AS1090" s="5">
        <v>27867</v>
      </c>
      <c r="AT1090" t="s">
        <v>47</v>
      </c>
    </row>
    <row r="1091" spans="1:46" ht="52" x14ac:dyDescent="0.3">
      <c r="A1091" s="4" t="s">
        <v>4328</v>
      </c>
      <c r="B1091" t="s">
        <v>47</v>
      </c>
      <c r="C1091" s="4" t="s">
        <v>2515</v>
      </c>
      <c r="D1091" s="4" t="s">
        <v>2925</v>
      </c>
      <c r="E1091" s="4" t="s">
        <v>723</v>
      </c>
      <c r="F1091" s="5" t="s">
        <v>4329</v>
      </c>
      <c r="G1091" s="5" t="s">
        <v>4330</v>
      </c>
      <c r="H1091" t="s">
        <v>47</v>
      </c>
      <c r="I1091" s="3">
        <v>40909</v>
      </c>
      <c r="J1091" s="5" t="s">
        <v>50</v>
      </c>
      <c r="K1091" t="s">
        <v>47</v>
      </c>
      <c r="L1091" s="5" t="s">
        <v>60</v>
      </c>
      <c r="M1091" t="s">
        <v>47</v>
      </c>
      <c r="N1091" t="s">
        <v>47</v>
      </c>
      <c r="O1091" t="s">
        <v>47</v>
      </c>
      <c r="P1091" s="3">
        <v>40909</v>
      </c>
      <c r="Q1091" s="5" t="s">
        <v>50</v>
      </c>
      <c r="R1091" t="s">
        <v>47</v>
      </c>
      <c r="S1091" t="s">
        <v>47</v>
      </c>
      <c r="T1091" t="s">
        <v>47</v>
      </c>
      <c r="U1091" t="s">
        <v>47</v>
      </c>
      <c r="V1091" s="5">
        <v>180</v>
      </c>
      <c r="W1091" s="3">
        <v>40909</v>
      </c>
      <c r="X1091" s="5" t="s">
        <v>50</v>
      </c>
      <c r="Y1091" t="s">
        <v>47</v>
      </c>
      <c r="Z1091" s="3">
        <v>40909</v>
      </c>
      <c r="AA1091" s="5" t="s">
        <v>50</v>
      </c>
      <c r="AB1091" t="s">
        <v>47</v>
      </c>
      <c r="AC1091" s="3">
        <v>40909</v>
      </c>
      <c r="AD1091" s="5" t="s">
        <v>50</v>
      </c>
      <c r="AE1091" t="s">
        <v>47</v>
      </c>
      <c r="AF1091" t="s">
        <v>47</v>
      </c>
      <c r="AG1091" t="s">
        <v>47</v>
      </c>
      <c r="AH1091" t="s">
        <v>47</v>
      </c>
      <c r="AI1091" t="s">
        <v>47</v>
      </c>
      <c r="AJ1091" t="s">
        <v>47</v>
      </c>
      <c r="AK1091" t="s">
        <v>47</v>
      </c>
      <c r="AL1091" t="s">
        <v>47</v>
      </c>
      <c r="AM1091" t="s">
        <v>47</v>
      </c>
      <c r="AN1091" t="s">
        <v>47</v>
      </c>
      <c r="AO1091" s="5" t="s">
        <v>51</v>
      </c>
      <c r="AP1091" s="4" t="s">
        <v>61</v>
      </c>
      <c r="AQ1091" s="4" t="s">
        <v>53</v>
      </c>
      <c r="AR1091" s="4" t="s">
        <v>4331</v>
      </c>
      <c r="AS1091" s="5">
        <v>2031323</v>
      </c>
      <c r="AT1091" t="s">
        <v>47</v>
      </c>
    </row>
    <row r="1092" spans="1:46" ht="156" x14ac:dyDescent="0.3">
      <c r="A1092" s="4" t="s">
        <v>4332</v>
      </c>
      <c r="B1092" t="s">
        <v>47</v>
      </c>
      <c r="C1092" s="4" t="s">
        <v>397</v>
      </c>
      <c r="D1092" s="4" t="s">
        <v>612</v>
      </c>
      <c r="E1092" s="4" t="s">
        <v>66</v>
      </c>
      <c r="F1092" s="5" t="s">
        <v>4333</v>
      </c>
      <c r="G1092" s="5" t="s">
        <v>4334</v>
      </c>
      <c r="H1092" t="s">
        <v>47</v>
      </c>
      <c r="I1092" s="3">
        <v>37257</v>
      </c>
      <c r="J1092" s="5" t="s">
        <v>50</v>
      </c>
      <c r="K1092" t="s">
        <v>47</v>
      </c>
      <c r="L1092" s="5" t="s">
        <v>60</v>
      </c>
      <c r="M1092" s="3">
        <v>39539</v>
      </c>
      <c r="N1092" s="5" t="s">
        <v>50</v>
      </c>
      <c r="O1092" t="s">
        <v>47</v>
      </c>
      <c r="P1092" s="3">
        <v>37257</v>
      </c>
      <c r="Q1092" s="5" t="s">
        <v>50</v>
      </c>
      <c r="R1092" t="s">
        <v>47</v>
      </c>
      <c r="S1092" t="s">
        <v>47</v>
      </c>
      <c r="T1092" t="s">
        <v>47</v>
      </c>
      <c r="U1092" t="s">
        <v>47</v>
      </c>
      <c r="V1092" s="5">
        <v>365</v>
      </c>
      <c r="W1092" s="3">
        <v>37257</v>
      </c>
      <c r="X1092" s="5" t="s">
        <v>50</v>
      </c>
      <c r="Y1092" t="s">
        <v>47</v>
      </c>
      <c r="Z1092" s="3">
        <v>37257</v>
      </c>
      <c r="AA1092" s="5" t="s">
        <v>50</v>
      </c>
      <c r="AB1092" t="s">
        <v>47</v>
      </c>
      <c r="AC1092" s="3">
        <v>37257</v>
      </c>
      <c r="AD1092" s="5" t="s">
        <v>50</v>
      </c>
      <c r="AE1092" t="s">
        <v>47</v>
      </c>
      <c r="AF1092" t="s">
        <v>47</v>
      </c>
      <c r="AG1092" t="s">
        <v>47</v>
      </c>
      <c r="AH1092" t="s">
        <v>47</v>
      </c>
      <c r="AI1092" t="s">
        <v>47</v>
      </c>
      <c r="AJ1092" t="s">
        <v>47</v>
      </c>
      <c r="AK1092" t="s">
        <v>47</v>
      </c>
      <c r="AL1092" t="s">
        <v>47</v>
      </c>
      <c r="AM1092" t="s">
        <v>47</v>
      </c>
      <c r="AN1092" t="s">
        <v>47</v>
      </c>
      <c r="AO1092" s="5" t="s">
        <v>60</v>
      </c>
      <c r="AP1092" s="4" t="s">
        <v>61</v>
      </c>
      <c r="AQ1092" s="4" t="s">
        <v>53</v>
      </c>
      <c r="AR1092" s="4" t="s">
        <v>4335</v>
      </c>
      <c r="AS1092" s="5">
        <v>47776</v>
      </c>
      <c r="AT1092" t="s">
        <v>47</v>
      </c>
    </row>
    <row r="1093" spans="1:46" ht="78" x14ac:dyDescent="0.3">
      <c r="A1093" s="4" t="s">
        <v>4336</v>
      </c>
      <c r="B1093" t="s">
        <v>47</v>
      </c>
      <c r="C1093" s="4" t="s">
        <v>64</v>
      </c>
      <c r="D1093" s="4" t="s">
        <v>139</v>
      </c>
      <c r="E1093" s="4" t="s">
        <v>66</v>
      </c>
      <c r="F1093" s="5" t="s">
        <v>4337</v>
      </c>
      <c r="G1093" s="5" t="s">
        <v>4338</v>
      </c>
      <c r="H1093" t="s">
        <v>47</v>
      </c>
      <c r="I1093" s="3">
        <v>35796</v>
      </c>
      <c r="J1093" s="3">
        <v>42248</v>
      </c>
      <c r="K1093" t="s">
        <v>47</v>
      </c>
      <c r="L1093" s="5" t="s">
        <v>60</v>
      </c>
      <c r="M1093" t="s">
        <v>47</v>
      </c>
      <c r="N1093" t="s">
        <v>47</v>
      </c>
      <c r="O1093" t="s">
        <v>47</v>
      </c>
      <c r="P1093" s="3">
        <v>35796</v>
      </c>
      <c r="Q1093" s="3">
        <v>42248</v>
      </c>
      <c r="R1093" t="s">
        <v>47</v>
      </c>
      <c r="S1093" t="s">
        <v>47</v>
      </c>
      <c r="T1093" t="s">
        <v>47</v>
      </c>
      <c r="U1093" t="s">
        <v>47</v>
      </c>
      <c r="V1093" t="s">
        <v>47</v>
      </c>
      <c r="W1093" s="3">
        <v>35431</v>
      </c>
      <c r="X1093" s="5" t="s">
        <v>50</v>
      </c>
      <c r="Y1093" t="s">
        <v>47</v>
      </c>
      <c r="Z1093" s="3">
        <v>35431</v>
      </c>
      <c r="AA1093" s="5" t="s">
        <v>50</v>
      </c>
      <c r="AB1093" t="s">
        <v>47</v>
      </c>
      <c r="AC1093" s="3">
        <v>35431</v>
      </c>
      <c r="AD1093" s="5" t="s">
        <v>50</v>
      </c>
      <c r="AE1093" t="s">
        <v>47</v>
      </c>
      <c r="AF1093" t="s">
        <v>47</v>
      </c>
      <c r="AG1093" t="s">
        <v>47</v>
      </c>
      <c r="AH1093" t="s">
        <v>47</v>
      </c>
      <c r="AI1093" t="s">
        <v>47</v>
      </c>
      <c r="AJ1093" t="s">
        <v>47</v>
      </c>
      <c r="AK1093" t="s">
        <v>47</v>
      </c>
      <c r="AL1093" t="s">
        <v>47</v>
      </c>
      <c r="AM1093" t="s">
        <v>47</v>
      </c>
      <c r="AN1093" t="s">
        <v>47</v>
      </c>
      <c r="AO1093" s="5" t="s">
        <v>60</v>
      </c>
      <c r="AP1093" s="4" t="s">
        <v>61</v>
      </c>
      <c r="AQ1093" s="4" t="s">
        <v>53</v>
      </c>
      <c r="AR1093" s="4" t="s">
        <v>577</v>
      </c>
      <c r="AS1093" s="5">
        <v>40373</v>
      </c>
      <c r="AT1093" t="s">
        <v>47</v>
      </c>
    </row>
    <row r="1094" spans="1:46" ht="13" x14ac:dyDescent="0.3">
      <c r="A1094" s="4" t="s">
        <v>4339</v>
      </c>
      <c r="B1094" t="s">
        <v>47</v>
      </c>
      <c r="C1094" s="4" t="s">
        <v>64</v>
      </c>
      <c r="D1094" s="4" t="s">
        <v>139</v>
      </c>
      <c r="E1094" s="4" t="s">
        <v>66</v>
      </c>
      <c r="F1094" s="5" t="s">
        <v>4340</v>
      </c>
      <c r="G1094" s="5" t="s">
        <v>4341</v>
      </c>
      <c r="H1094" t="s">
        <v>47</v>
      </c>
      <c r="I1094" s="3">
        <v>35855</v>
      </c>
      <c r="J1094" s="3">
        <v>42278</v>
      </c>
      <c r="K1094" t="s">
        <v>47</v>
      </c>
      <c r="L1094" s="5" t="s">
        <v>60</v>
      </c>
      <c r="M1094" t="s">
        <v>47</v>
      </c>
      <c r="N1094" t="s">
        <v>47</v>
      </c>
      <c r="O1094" t="s">
        <v>47</v>
      </c>
      <c r="P1094" s="3">
        <v>35855</v>
      </c>
      <c r="Q1094" s="3">
        <v>42278</v>
      </c>
      <c r="R1094" t="s">
        <v>47</v>
      </c>
      <c r="S1094" t="s">
        <v>47</v>
      </c>
      <c r="T1094" t="s">
        <v>47</v>
      </c>
      <c r="U1094" t="s">
        <v>47</v>
      </c>
      <c r="V1094" t="s">
        <v>47</v>
      </c>
      <c r="W1094" s="3">
        <v>31017</v>
      </c>
      <c r="X1094" s="5" t="s">
        <v>50</v>
      </c>
      <c r="Y1094" t="s">
        <v>47</v>
      </c>
      <c r="Z1094" s="3">
        <v>31017</v>
      </c>
      <c r="AA1094" s="5" t="s">
        <v>50</v>
      </c>
      <c r="AB1094" t="s">
        <v>47</v>
      </c>
      <c r="AC1094" s="3">
        <v>31017</v>
      </c>
      <c r="AD1094" s="5" t="s">
        <v>50</v>
      </c>
      <c r="AE1094" t="s">
        <v>47</v>
      </c>
      <c r="AF1094" t="s">
        <v>47</v>
      </c>
      <c r="AG1094" t="s">
        <v>47</v>
      </c>
      <c r="AH1094" t="s">
        <v>47</v>
      </c>
      <c r="AI1094" t="s">
        <v>47</v>
      </c>
      <c r="AJ1094" t="s">
        <v>47</v>
      </c>
      <c r="AK1094" t="s">
        <v>47</v>
      </c>
      <c r="AL1094" t="s">
        <v>47</v>
      </c>
      <c r="AM1094" t="s">
        <v>47</v>
      </c>
      <c r="AN1094" t="s">
        <v>47</v>
      </c>
      <c r="AO1094" s="5" t="s">
        <v>60</v>
      </c>
      <c r="AP1094" s="4" t="s">
        <v>61</v>
      </c>
      <c r="AQ1094" s="4" t="s">
        <v>53</v>
      </c>
      <c r="AR1094" s="4" t="s">
        <v>167</v>
      </c>
      <c r="AS1094" s="5">
        <v>37135</v>
      </c>
      <c r="AT1094" t="s">
        <v>47</v>
      </c>
    </row>
    <row r="1095" spans="1:46" ht="26" x14ac:dyDescent="0.3">
      <c r="A1095" s="4" t="s">
        <v>4342</v>
      </c>
      <c r="B1095" t="s">
        <v>47</v>
      </c>
      <c r="C1095" s="4" t="s">
        <v>122</v>
      </c>
      <c r="D1095" s="4" t="s">
        <v>575</v>
      </c>
      <c r="E1095" s="4" t="s">
        <v>123</v>
      </c>
      <c r="F1095" t="s">
        <v>47</v>
      </c>
      <c r="G1095" s="5" t="s">
        <v>4343</v>
      </c>
      <c r="H1095" t="s">
        <v>47</v>
      </c>
      <c r="I1095" s="3">
        <v>41365</v>
      </c>
      <c r="J1095" s="5" t="s">
        <v>50</v>
      </c>
      <c r="K1095" t="s">
        <v>47</v>
      </c>
      <c r="L1095" s="5" t="s">
        <v>60</v>
      </c>
      <c r="M1095" s="3">
        <v>41365</v>
      </c>
      <c r="N1095" s="3">
        <v>42736</v>
      </c>
      <c r="O1095" t="s">
        <v>47</v>
      </c>
      <c r="P1095" s="3">
        <v>41365</v>
      </c>
      <c r="Q1095" s="5" t="s">
        <v>50</v>
      </c>
      <c r="R1095" t="s">
        <v>47</v>
      </c>
      <c r="S1095" t="s">
        <v>47</v>
      </c>
      <c r="T1095" t="s">
        <v>47</v>
      </c>
      <c r="U1095" t="s">
        <v>47</v>
      </c>
      <c r="V1095" t="s">
        <v>47</v>
      </c>
      <c r="W1095" s="3">
        <v>41365</v>
      </c>
      <c r="X1095" s="5" t="s">
        <v>50</v>
      </c>
      <c r="Y1095" t="s">
        <v>47</v>
      </c>
      <c r="Z1095" s="3">
        <v>41365</v>
      </c>
      <c r="AA1095" s="5" t="s">
        <v>50</v>
      </c>
      <c r="AB1095" t="s">
        <v>47</v>
      </c>
      <c r="AC1095" s="3">
        <v>41365</v>
      </c>
      <c r="AD1095" s="5" t="s">
        <v>50</v>
      </c>
      <c r="AE1095" t="s">
        <v>47</v>
      </c>
      <c r="AF1095" t="s">
        <v>47</v>
      </c>
      <c r="AG1095" t="s">
        <v>47</v>
      </c>
      <c r="AH1095" t="s">
        <v>47</v>
      </c>
      <c r="AI1095" t="s">
        <v>47</v>
      </c>
      <c r="AJ1095" t="s">
        <v>47</v>
      </c>
      <c r="AK1095" t="s">
        <v>47</v>
      </c>
      <c r="AL1095" t="s">
        <v>47</v>
      </c>
      <c r="AM1095" t="s">
        <v>47</v>
      </c>
      <c r="AN1095" t="s">
        <v>47</v>
      </c>
      <c r="AO1095" s="5" t="s">
        <v>60</v>
      </c>
      <c r="AP1095" s="4" t="s">
        <v>61</v>
      </c>
      <c r="AQ1095" s="4" t="s">
        <v>53</v>
      </c>
      <c r="AR1095" s="4" t="s">
        <v>737</v>
      </c>
      <c r="AS1095" s="5">
        <v>2034697</v>
      </c>
      <c r="AT1095" t="s">
        <v>47</v>
      </c>
    </row>
    <row r="1096" spans="1:46" ht="26" x14ac:dyDescent="0.3">
      <c r="A1096" s="4" t="s">
        <v>4344</v>
      </c>
      <c r="B1096" t="s">
        <v>47</v>
      </c>
      <c r="C1096" s="4" t="s">
        <v>4345</v>
      </c>
      <c r="D1096" s="4" t="s">
        <v>901</v>
      </c>
      <c r="E1096" s="4" t="s">
        <v>100</v>
      </c>
      <c r="F1096" t="s">
        <v>47</v>
      </c>
      <c r="G1096" s="5" t="s">
        <v>4346</v>
      </c>
      <c r="H1096" t="s">
        <v>47</v>
      </c>
      <c r="I1096" s="3">
        <v>36161</v>
      </c>
      <c r="J1096" s="5" t="s">
        <v>50</v>
      </c>
      <c r="K1096" t="s">
        <v>47</v>
      </c>
      <c r="L1096" s="5" t="s">
        <v>60</v>
      </c>
      <c r="M1096" t="s">
        <v>47</v>
      </c>
      <c r="N1096" t="s">
        <v>47</v>
      </c>
      <c r="O1096" t="s">
        <v>47</v>
      </c>
      <c r="P1096" s="3">
        <v>36161</v>
      </c>
      <c r="Q1096" s="5" t="s">
        <v>50</v>
      </c>
      <c r="R1096" t="s">
        <v>47</v>
      </c>
      <c r="S1096" t="s">
        <v>47</v>
      </c>
      <c r="T1096" t="s">
        <v>47</v>
      </c>
      <c r="U1096" t="s">
        <v>47</v>
      </c>
      <c r="V1096" t="s">
        <v>47</v>
      </c>
      <c r="W1096" s="3">
        <v>36161</v>
      </c>
      <c r="X1096" s="5" t="s">
        <v>50</v>
      </c>
      <c r="Y1096" t="s">
        <v>47</v>
      </c>
      <c r="Z1096" s="3">
        <v>36161</v>
      </c>
      <c r="AA1096" s="5" t="s">
        <v>50</v>
      </c>
      <c r="AB1096" t="s">
        <v>47</v>
      </c>
      <c r="AC1096" s="3">
        <v>36161</v>
      </c>
      <c r="AD1096" s="5" t="s">
        <v>50</v>
      </c>
      <c r="AE1096" s="5" t="s">
        <v>4347</v>
      </c>
      <c r="AF1096" t="s">
        <v>47</v>
      </c>
      <c r="AG1096" t="s">
        <v>47</v>
      </c>
      <c r="AH1096" t="s">
        <v>47</v>
      </c>
      <c r="AI1096" t="s">
        <v>47</v>
      </c>
      <c r="AJ1096" t="s">
        <v>47</v>
      </c>
      <c r="AK1096" t="s">
        <v>47</v>
      </c>
      <c r="AL1096" t="s">
        <v>47</v>
      </c>
      <c r="AM1096" t="s">
        <v>47</v>
      </c>
      <c r="AN1096" t="s">
        <v>47</v>
      </c>
      <c r="AO1096" s="5" t="s">
        <v>60</v>
      </c>
      <c r="AP1096" s="4" t="s">
        <v>61</v>
      </c>
      <c r="AQ1096" s="4" t="s">
        <v>53</v>
      </c>
      <c r="AR1096" s="4" t="s">
        <v>54</v>
      </c>
      <c r="AS1096" s="5">
        <v>28315</v>
      </c>
      <c r="AT1096" t="s">
        <v>47</v>
      </c>
    </row>
    <row r="1097" spans="1:46" ht="117" x14ac:dyDescent="0.3">
      <c r="A1097" s="4" t="s">
        <v>4348</v>
      </c>
      <c r="B1097" t="s">
        <v>47</v>
      </c>
      <c r="C1097" s="4" t="s">
        <v>64</v>
      </c>
      <c r="D1097" s="4" t="s">
        <v>139</v>
      </c>
      <c r="E1097" s="4" t="s">
        <v>66</v>
      </c>
      <c r="F1097" s="5" t="s">
        <v>4349</v>
      </c>
      <c r="G1097" s="5" t="s">
        <v>4350</v>
      </c>
      <c r="H1097" t="s">
        <v>47</v>
      </c>
      <c r="I1097" s="3">
        <v>35886</v>
      </c>
      <c r="J1097" s="3">
        <v>42614</v>
      </c>
      <c r="K1097" t="s">
        <v>47</v>
      </c>
      <c r="L1097" s="5" t="s">
        <v>60</v>
      </c>
      <c r="M1097" s="3">
        <v>35886</v>
      </c>
      <c r="N1097" s="3">
        <v>42614</v>
      </c>
      <c r="O1097" t="s">
        <v>47</v>
      </c>
      <c r="P1097" s="3">
        <v>36617</v>
      </c>
      <c r="Q1097" s="3">
        <v>42614</v>
      </c>
      <c r="R1097" t="s">
        <v>47</v>
      </c>
      <c r="S1097" t="s">
        <v>47</v>
      </c>
      <c r="T1097" t="s">
        <v>47</v>
      </c>
      <c r="U1097" t="s">
        <v>47</v>
      </c>
      <c r="V1097" t="s">
        <v>47</v>
      </c>
      <c r="W1097" s="3">
        <v>22463</v>
      </c>
      <c r="X1097" s="5" t="s">
        <v>50</v>
      </c>
      <c r="Y1097" t="s">
        <v>47</v>
      </c>
      <c r="Z1097" s="3">
        <v>22463</v>
      </c>
      <c r="AA1097" s="5" t="s">
        <v>50</v>
      </c>
      <c r="AB1097" t="s">
        <v>47</v>
      </c>
      <c r="AC1097" s="3">
        <v>35886</v>
      </c>
      <c r="AD1097" s="5" t="s">
        <v>50</v>
      </c>
      <c r="AE1097" t="s">
        <v>47</v>
      </c>
      <c r="AF1097" t="s">
        <v>47</v>
      </c>
      <c r="AG1097" t="s">
        <v>47</v>
      </c>
      <c r="AH1097" t="s">
        <v>47</v>
      </c>
      <c r="AI1097" t="s">
        <v>47</v>
      </c>
      <c r="AJ1097" t="s">
        <v>47</v>
      </c>
      <c r="AK1097" t="s">
        <v>47</v>
      </c>
      <c r="AL1097" t="s">
        <v>47</v>
      </c>
      <c r="AM1097" t="s">
        <v>47</v>
      </c>
      <c r="AN1097" t="s">
        <v>47</v>
      </c>
      <c r="AO1097" s="5" t="s">
        <v>60</v>
      </c>
      <c r="AP1097" s="4" t="s">
        <v>61</v>
      </c>
      <c r="AQ1097" s="4" t="s">
        <v>53</v>
      </c>
      <c r="AR1097" s="4" t="s">
        <v>4351</v>
      </c>
      <c r="AS1097" s="5">
        <v>2000</v>
      </c>
      <c r="AT1097" t="s">
        <v>47</v>
      </c>
    </row>
    <row r="1098" spans="1:46" ht="169" x14ac:dyDescent="0.3">
      <c r="A1098" s="4" t="s">
        <v>4352</v>
      </c>
      <c r="B1098" t="s">
        <v>47</v>
      </c>
      <c r="C1098" s="4" t="s">
        <v>305</v>
      </c>
      <c r="D1098" s="4" t="s">
        <v>306</v>
      </c>
      <c r="E1098" s="4" t="s">
        <v>49</v>
      </c>
      <c r="F1098" s="5" t="s">
        <v>4353</v>
      </c>
      <c r="G1098" s="5" t="s">
        <v>4354</v>
      </c>
      <c r="H1098" t="s">
        <v>47</v>
      </c>
      <c r="I1098" s="3">
        <v>35521</v>
      </c>
      <c r="J1098" s="3">
        <v>40087</v>
      </c>
      <c r="K1098" t="s">
        <v>47</v>
      </c>
      <c r="L1098" s="5" t="s">
        <v>60</v>
      </c>
      <c r="M1098" s="3">
        <v>35521</v>
      </c>
      <c r="N1098" s="3">
        <v>40087</v>
      </c>
      <c r="O1098" t="s">
        <v>47</v>
      </c>
      <c r="P1098" s="3">
        <v>35521</v>
      </c>
      <c r="Q1098" s="3">
        <v>40087</v>
      </c>
      <c r="R1098" t="s">
        <v>47</v>
      </c>
      <c r="S1098" t="s">
        <v>47</v>
      </c>
      <c r="T1098" t="s">
        <v>47</v>
      </c>
      <c r="U1098" t="s">
        <v>47</v>
      </c>
      <c r="V1098" t="s">
        <v>47</v>
      </c>
      <c r="W1098" s="3">
        <v>35521</v>
      </c>
      <c r="X1098" s="3">
        <v>40087</v>
      </c>
      <c r="Y1098" t="s">
        <v>47</v>
      </c>
      <c r="Z1098" s="3">
        <v>35521</v>
      </c>
      <c r="AA1098" s="3">
        <v>40087</v>
      </c>
      <c r="AB1098" t="s">
        <v>47</v>
      </c>
      <c r="AC1098" s="3">
        <v>35521</v>
      </c>
      <c r="AD1098" s="3">
        <v>40087</v>
      </c>
      <c r="AE1098" t="s">
        <v>47</v>
      </c>
      <c r="AF1098" t="s">
        <v>47</v>
      </c>
      <c r="AG1098" t="s">
        <v>47</v>
      </c>
      <c r="AH1098" t="s">
        <v>47</v>
      </c>
      <c r="AI1098" t="s">
        <v>47</v>
      </c>
      <c r="AJ1098" t="s">
        <v>47</v>
      </c>
      <c r="AK1098" t="s">
        <v>47</v>
      </c>
      <c r="AL1098" t="s">
        <v>47</v>
      </c>
      <c r="AM1098" t="s">
        <v>47</v>
      </c>
      <c r="AN1098" t="s">
        <v>47</v>
      </c>
      <c r="AO1098" s="5" t="s">
        <v>60</v>
      </c>
      <c r="AP1098" s="4" t="s">
        <v>61</v>
      </c>
      <c r="AQ1098" s="4" t="s">
        <v>53</v>
      </c>
      <c r="AR1098" s="4" t="s">
        <v>4355</v>
      </c>
      <c r="AS1098" s="5">
        <v>37587</v>
      </c>
      <c r="AT1098" t="s">
        <v>47</v>
      </c>
    </row>
    <row r="1099" spans="1:46" ht="52" x14ac:dyDescent="0.3">
      <c r="A1099" s="4" t="s">
        <v>4356</v>
      </c>
      <c r="B1099" t="s">
        <v>47</v>
      </c>
      <c r="C1099" s="4" t="s">
        <v>305</v>
      </c>
      <c r="D1099" s="4" t="s">
        <v>88</v>
      </c>
      <c r="E1099" s="4" t="s">
        <v>49</v>
      </c>
      <c r="F1099" t="s">
        <v>47</v>
      </c>
      <c r="G1099" s="5" t="s">
        <v>4354</v>
      </c>
      <c r="H1099" t="s">
        <v>47</v>
      </c>
      <c r="I1099" s="3">
        <v>40179</v>
      </c>
      <c r="J1099" s="3">
        <v>44743</v>
      </c>
      <c r="K1099" t="s">
        <v>47</v>
      </c>
      <c r="L1099" s="5" t="s">
        <v>60</v>
      </c>
      <c r="M1099" s="3">
        <v>40179</v>
      </c>
      <c r="N1099" s="3">
        <v>44743</v>
      </c>
      <c r="O1099" t="s">
        <v>47</v>
      </c>
      <c r="P1099" s="3">
        <v>40179</v>
      </c>
      <c r="Q1099" s="3">
        <v>44743</v>
      </c>
      <c r="R1099" t="s">
        <v>47</v>
      </c>
      <c r="S1099" t="s">
        <v>47</v>
      </c>
      <c r="T1099" t="s">
        <v>47</v>
      </c>
      <c r="U1099" t="s">
        <v>47</v>
      </c>
      <c r="V1099" t="s">
        <v>47</v>
      </c>
      <c r="W1099" s="3">
        <v>40179</v>
      </c>
      <c r="X1099" s="3">
        <v>44743</v>
      </c>
      <c r="Y1099" t="s">
        <v>47</v>
      </c>
      <c r="Z1099" s="3">
        <v>40179</v>
      </c>
      <c r="AA1099" s="3">
        <v>44743</v>
      </c>
      <c r="AB1099" t="s">
        <v>47</v>
      </c>
      <c r="AC1099" s="3">
        <v>40179</v>
      </c>
      <c r="AD1099" s="3">
        <v>44743</v>
      </c>
      <c r="AE1099" t="s">
        <v>47</v>
      </c>
      <c r="AF1099" t="s">
        <v>47</v>
      </c>
      <c r="AG1099" t="s">
        <v>47</v>
      </c>
      <c r="AH1099" t="s">
        <v>47</v>
      </c>
      <c r="AI1099" t="s">
        <v>47</v>
      </c>
      <c r="AJ1099" t="s">
        <v>47</v>
      </c>
      <c r="AK1099" t="s">
        <v>47</v>
      </c>
      <c r="AL1099" t="s">
        <v>47</v>
      </c>
      <c r="AM1099" t="s">
        <v>47</v>
      </c>
      <c r="AN1099" t="s">
        <v>47</v>
      </c>
      <c r="AO1099" s="5" t="s">
        <v>60</v>
      </c>
      <c r="AP1099" s="4" t="s">
        <v>61</v>
      </c>
      <c r="AQ1099" s="4" t="s">
        <v>53</v>
      </c>
      <c r="AR1099" s="4" t="s">
        <v>309</v>
      </c>
      <c r="AS1099" s="5">
        <v>135350</v>
      </c>
      <c r="AT1099" t="s">
        <v>47</v>
      </c>
    </row>
    <row r="1100" spans="1:46" ht="13" x14ac:dyDescent="0.3">
      <c r="A1100" s="4" t="s">
        <v>4357</v>
      </c>
      <c r="B1100" t="s">
        <v>47</v>
      </c>
      <c r="C1100" s="4" t="s">
        <v>122</v>
      </c>
      <c r="D1100" s="4" t="s">
        <v>575</v>
      </c>
      <c r="E1100" s="4" t="s">
        <v>123</v>
      </c>
      <c r="F1100" t="s">
        <v>47</v>
      </c>
      <c r="G1100" s="5" t="s">
        <v>4358</v>
      </c>
      <c r="H1100" t="s">
        <v>47</v>
      </c>
      <c r="I1100" s="3">
        <v>41456</v>
      </c>
      <c r="J1100" s="5" t="s">
        <v>50</v>
      </c>
      <c r="K1100" t="s">
        <v>47</v>
      </c>
      <c r="L1100" s="5" t="s">
        <v>60</v>
      </c>
      <c r="M1100" s="3">
        <v>41456</v>
      </c>
      <c r="N1100" s="3">
        <v>42736</v>
      </c>
      <c r="O1100" t="s">
        <v>47</v>
      </c>
      <c r="P1100" s="3">
        <v>41456</v>
      </c>
      <c r="Q1100" s="5" t="s">
        <v>50</v>
      </c>
      <c r="R1100" t="s">
        <v>47</v>
      </c>
      <c r="S1100" t="s">
        <v>47</v>
      </c>
      <c r="T1100" t="s">
        <v>47</v>
      </c>
      <c r="U1100" t="s">
        <v>47</v>
      </c>
      <c r="V1100" t="s">
        <v>47</v>
      </c>
      <c r="W1100" s="3">
        <v>41456</v>
      </c>
      <c r="X1100" s="5" t="s">
        <v>50</v>
      </c>
      <c r="Y1100" t="s">
        <v>47</v>
      </c>
      <c r="Z1100" s="3">
        <v>41456</v>
      </c>
      <c r="AA1100" s="5" t="s">
        <v>50</v>
      </c>
      <c r="AB1100" t="s">
        <v>47</v>
      </c>
      <c r="AC1100" s="3">
        <v>41456</v>
      </c>
      <c r="AD1100" s="5" t="s">
        <v>50</v>
      </c>
      <c r="AE1100" t="s">
        <v>47</v>
      </c>
      <c r="AF1100" t="s">
        <v>47</v>
      </c>
      <c r="AG1100" t="s">
        <v>47</v>
      </c>
      <c r="AH1100" t="s">
        <v>47</v>
      </c>
      <c r="AI1100" t="s">
        <v>47</v>
      </c>
      <c r="AJ1100" t="s">
        <v>47</v>
      </c>
      <c r="AK1100" t="s">
        <v>47</v>
      </c>
      <c r="AL1100" t="s">
        <v>47</v>
      </c>
      <c r="AM1100" t="s">
        <v>47</v>
      </c>
      <c r="AN1100" t="s">
        <v>47</v>
      </c>
      <c r="AO1100" s="5" t="s">
        <v>60</v>
      </c>
      <c r="AP1100" s="4" t="s">
        <v>61</v>
      </c>
      <c r="AQ1100" s="4" t="s">
        <v>53</v>
      </c>
      <c r="AR1100" s="4" t="s">
        <v>54</v>
      </c>
      <c r="AS1100" s="5">
        <v>2034696</v>
      </c>
      <c r="AT1100" t="s">
        <v>47</v>
      </c>
    </row>
    <row r="1101" spans="1:46" ht="52" x14ac:dyDescent="0.3">
      <c r="A1101" s="4" t="s">
        <v>4359</v>
      </c>
      <c r="B1101" t="s">
        <v>47</v>
      </c>
      <c r="C1101" s="4" t="s">
        <v>4360</v>
      </c>
      <c r="D1101" s="4" t="s">
        <v>2533</v>
      </c>
      <c r="E1101" s="4" t="s">
        <v>1448</v>
      </c>
      <c r="F1101" s="5" t="s">
        <v>4361</v>
      </c>
      <c r="G1101" s="5" t="s">
        <v>4362</v>
      </c>
      <c r="H1101" t="s">
        <v>47</v>
      </c>
      <c r="I1101" s="3">
        <v>41640</v>
      </c>
      <c r="J1101" s="5" t="s">
        <v>50</v>
      </c>
      <c r="K1101" t="s">
        <v>47</v>
      </c>
      <c r="L1101" s="5" t="s">
        <v>60</v>
      </c>
      <c r="M1101" s="3">
        <v>41640</v>
      </c>
      <c r="N1101" s="5" t="s">
        <v>50</v>
      </c>
      <c r="O1101" t="s">
        <v>47</v>
      </c>
      <c r="P1101" s="3">
        <v>41640</v>
      </c>
      <c r="Q1101" s="5" t="s">
        <v>50</v>
      </c>
      <c r="R1101" t="s">
        <v>47</v>
      </c>
      <c r="S1101" t="s">
        <v>47</v>
      </c>
      <c r="T1101" t="s">
        <v>47</v>
      </c>
      <c r="U1101" t="s">
        <v>47</v>
      </c>
      <c r="V1101" t="s">
        <v>47</v>
      </c>
      <c r="W1101" s="3">
        <v>41640</v>
      </c>
      <c r="X1101" s="5" t="s">
        <v>50</v>
      </c>
      <c r="Y1101" t="s">
        <v>47</v>
      </c>
      <c r="Z1101" s="3">
        <v>41640</v>
      </c>
      <c r="AA1101" s="5" t="s">
        <v>50</v>
      </c>
      <c r="AB1101" t="s">
        <v>47</v>
      </c>
      <c r="AC1101" s="3">
        <v>41640</v>
      </c>
      <c r="AD1101" s="5" t="s">
        <v>50</v>
      </c>
      <c r="AE1101" t="s">
        <v>47</v>
      </c>
      <c r="AF1101" t="s">
        <v>47</v>
      </c>
      <c r="AG1101" t="s">
        <v>47</v>
      </c>
      <c r="AH1101" t="s">
        <v>47</v>
      </c>
      <c r="AI1101" t="s">
        <v>47</v>
      </c>
      <c r="AJ1101" t="s">
        <v>47</v>
      </c>
      <c r="AK1101" t="s">
        <v>47</v>
      </c>
      <c r="AL1101" t="s">
        <v>47</v>
      </c>
      <c r="AM1101" t="s">
        <v>47</v>
      </c>
      <c r="AN1101" t="s">
        <v>47</v>
      </c>
      <c r="AO1101" s="5" t="s">
        <v>60</v>
      </c>
      <c r="AP1101" s="4" t="s">
        <v>61</v>
      </c>
      <c r="AQ1101" s="4" t="s">
        <v>261</v>
      </c>
      <c r="AR1101" s="4" t="s">
        <v>2073</v>
      </c>
      <c r="AS1101" s="5">
        <v>2034565</v>
      </c>
      <c r="AT1101" t="s">
        <v>47</v>
      </c>
    </row>
    <row r="1102" spans="1:46" ht="39" x14ac:dyDescent="0.3">
      <c r="A1102" s="4" t="s">
        <v>4363</v>
      </c>
      <c r="B1102" t="s">
        <v>47</v>
      </c>
      <c r="C1102" s="4" t="s">
        <v>4364</v>
      </c>
      <c r="D1102" s="4" t="s">
        <v>4365</v>
      </c>
      <c r="E1102" s="4" t="s">
        <v>49</v>
      </c>
      <c r="F1102" s="5" t="s">
        <v>4366</v>
      </c>
      <c r="G1102" t="s">
        <v>47</v>
      </c>
      <c r="H1102" t="s">
        <v>47</v>
      </c>
      <c r="I1102" s="3">
        <v>36069</v>
      </c>
      <c r="J1102" s="3">
        <v>42644</v>
      </c>
      <c r="K1102" t="s">
        <v>47</v>
      </c>
      <c r="L1102" s="5" t="s">
        <v>51</v>
      </c>
      <c r="M1102" s="3">
        <v>36069</v>
      </c>
      <c r="N1102" s="3">
        <v>42644</v>
      </c>
      <c r="O1102" t="s">
        <v>47</v>
      </c>
      <c r="P1102" s="3">
        <v>36069</v>
      </c>
      <c r="Q1102" s="3">
        <v>42644</v>
      </c>
      <c r="R1102" t="s">
        <v>47</v>
      </c>
      <c r="S1102" t="s">
        <v>47</v>
      </c>
      <c r="T1102" t="s">
        <v>47</v>
      </c>
      <c r="U1102" t="s">
        <v>47</v>
      </c>
      <c r="V1102" t="s">
        <v>47</v>
      </c>
      <c r="W1102" s="3">
        <v>29952</v>
      </c>
      <c r="X1102" s="3">
        <v>42644</v>
      </c>
      <c r="Y1102" t="s">
        <v>47</v>
      </c>
      <c r="Z1102" s="3">
        <v>29952</v>
      </c>
      <c r="AA1102" s="3">
        <v>42644</v>
      </c>
      <c r="AB1102" t="s">
        <v>47</v>
      </c>
      <c r="AC1102" s="3">
        <v>36069</v>
      </c>
      <c r="AD1102" s="3">
        <v>42644</v>
      </c>
      <c r="AE1102" t="s">
        <v>47</v>
      </c>
      <c r="AF1102" t="s">
        <v>47</v>
      </c>
      <c r="AG1102" t="s">
        <v>47</v>
      </c>
      <c r="AH1102" t="s">
        <v>47</v>
      </c>
      <c r="AI1102" t="s">
        <v>47</v>
      </c>
      <c r="AJ1102" t="s">
        <v>47</v>
      </c>
      <c r="AK1102" t="s">
        <v>47</v>
      </c>
      <c r="AL1102" t="s">
        <v>47</v>
      </c>
      <c r="AM1102" t="s">
        <v>47</v>
      </c>
      <c r="AN1102" t="s">
        <v>47</v>
      </c>
      <c r="AO1102" s="5" t="s">
        <v>51</v>
      </c>
      <c r="AP1102" s="4" t="s">
        <v>85</v>
      </c>
      <c r="AQ1102" s="4" t="s">
        <v>53</v>
      </c>
      <c r="AR1102" s="4" t="s">
        <v>941</v>
      </c>
      <c r="AS1102" s="5">
        <v>47396</v>
      </c>
      <c r="AT1102" t="s">
        <v>47</v>
      </c>
    </row>
    <row r="1103" spans="1:46" ht="26" x14ac:dyDescent="0.3">
      <c r="A1103" s="4" t="s">
        <v>4367</v>
      </c>
      <c r="B1103" t="s">
        <v>47</v>
      </c>
      <c r="C1103" s="4" t="s">
        <v>4368</v>
      </c>
      <c r="D1103" s="4" t="s">
        <v>4369</v>
      </c>
      <c r="E1103" s="4" t="s">
        <v>49</v>
      </c>
      <c r="F1103" s="5" t="s">
        <v>4370</v>
      </c>
      <c r="G1103" t="s">
        <v>47</v>
      </c>
      <c r="H1103" t="s">
        <v>47</v>
      </c>
      <c r="I1103" s="3">
        <v>37012</v>
      </c>
      <c r="J1103" s="3">
        <v>43586</v>
      </c>
      <c r="K1103" t="s">
        <v>47</v>
      </c>
      <c r="L1103" s="5" t="s">
        <v>51</v>
      </c>
      <c r="M1103" s="3">
        <v>37012</v>
      </c>
      <c r="N1103" s="3">
        <v>43586</v>
      </c>
      <c r="O1103" t="s">
        <v>47</v>
      </c>
      <c r="P1103" s="3">
        <v>37012</v>
      </c>
      <c r="Q1103" s="3">
        <v>43586</v>
      </c>
      <c r="R1103" t="s">
        <v>47</v>
      </c>
      <c r="S1103" t="s">
        <v>47</v>
      </c>
      <c r="T1103" t="s">
        <v>47</v>
      </c>
      <c r="U1103" t="s">
        <v>47</v>
      </c>
      <c r="V1103" t="s">
        <v>47</v>
      </c>
      <c r="W1103" s="3">
        <v>37012</v>
      </c>
      <c r="X1103" s="3">
        <v>43586</v>
      </c>
      <c r="Y1103" t="s">
        <v>47</v>
      </c>
      <c r="Z1103" s="3">
        <v>37012</v>
      </c>
      <c r="AA1103" s="3">
        <v>43586</v>
      </c>
      <c r="AB1103" t="s">
        <v>47</v>
      </c>
      <c r="AC1103" s="3">
        <v>37987</v>
      </c>
      <c r="AD1103" s="3">
        <v>43586</v>
      </c>
      <c r="AE1103" t="s">
        <v>47</v>
      </c>
      <c r="AF1103" t="s">
        <v>47</v>
      </c>
      <c r="AG1103" t="s">
        <v>47</v>
      </c>
      <c r="AH1103" t="s">
        <v>47</v>
      </c>
      <c r="AI1103" t="s">
        <v>47</v>
      </c>
      <c r="AJ1103" t="s">
        <v>47</v>
      </c>
      <c r="AK1103" t="s">
        <v>47</v>
      </c>
      <c r="AL1103" t="s">
        <v>47</v>
      </c>
      <c r="AM1103" t="s">
        <v>47</v>
      </c>
      <c r="AN1103" t="s">
        <v>47</v>
      </c>
      <c r="AO1103" s="5" t="s">
        <v>51</v>
      </c>
      <c r="AP1103" s="4" t="s">
        <v>85</v>
      </c>
      <c r="AQ1103" s="4" t="s">
        <v>53</v>
      </c>
      <c r="AR1103" s="4" t="s">
        <v>54</v>
      </c>
      <c r="AS1103" s="5">
        <v>22257</v>
      </c>
      <c r="AT1103" t="s">
        <v>47</v>
      </c>
    </row>
    <row r="1104" spans="1:46" ht="78" x14ac:dyDescent="0.3">
      <c r="A1104" s="4" t="s">
        <v>4371</v>
      </c>
      <c r="B1104" t="s">
        <v>47</v>
      </c>
      <c r="C1104" s="4" t="s">
        <v>169</v>
      </c>
      <c r="D1104" s="4" t="s">
        <v>319</v>
      </c>
      <c r="E1104" s="4" t="s">
        <v>66</v>
      </c>
      <c r="F1104" s="5" t="s">
        <v>4372</v>
      </c>
      <c r="G1104" s="5" t="s">
        <v>4373</v>
      </c>
      <c r="H1104" t="s">
        <v>47</v>
      </c>
      <c r="I1104" t="s">
        <v>47</v>
      </c>
      <c r="J1104" t="s">
        <v>47</v>
      </c>
      <c r="K1104" t="s">
        <v>47</v>
      </c>
      <c r="L1104" s="5" t="s">
        <v>60</v>
      </c>
      <c r="M1104" t="s">
        <v>47</v>
      </c>
      <c r="N1104" t="s">
        <v>47</v>
      </c>
      <c r="O1104" t="s">
        <v>47</v>
      </c>
      <c r="P1104" t="s">
        <v>47</v>
      </c>
      <c r="Q1104" t="s">
        <v>47</v>
      </c>
      <c r="R1104" t="s">
        <v>47</v>
      </c>
      <c r="S1104" t="s">
        <v>47</v>
      </c>
      <c r="T1104" t="s">
        <v>47</v>
      </c>
      <c r="U1104" t="s">
        <v>47</v>
      </c>
      <c r="V1104" t="s">
        <v>47</v>
      </c>
      <c r="W1104" s="3">
        <v>40179</v>
      </c>
      <c r="X1104" s="5" t="s">
        <v>50</v>
      </c>
      <c r="Y1104" t="s">
        <v>47</v>
      </c>
      <c r="Z1104" s="3">
        <v>40179</v>
      </c>
      <c r="AA1104" s="5" t="s">
        <v>50</v>
      </c>
      <c r="AB1104" t="s">
        <v>47</v>
      </c>
      <c r="AC1104" s="3">
        <v>40179</v>
      </c>
      <c r="AD1104" s="5" t="s">
        <v>50</v>
      </c>
      <c r="AE1104" t="s">
        <v>47</v>
      </c>
      <c r="AF1104" t="s">
        <v>47</v>
      </c>
      <c r="AG1104" t="s">
        <v>47</v>
      </c>
      <c r="AH1104" t="s">
        <v>47</v>
      </c>
      <c r="AI1104" t="s">
        <v>47</v>
      </c>
      <c r="AJ1104" t="s">
        <v>47</v>
      </c>
      <c r="AK1104" t="s">
        <v>47</v>
      </c>
      <c r="AL1104" t="s">
        <v>47</v>
      </c>
      <c r="AM1104" t="s">
        <v>47</v>
      </c>
      <c r="AN1104" t="s">
        <v>47</v>
      </c>
      <c r="AO1104" s="5" t="s">
        <v>60</v>
      </c>
      <c r="AP1104" s="4" t="s">
        <v>61</v>
      </c>
      <c r="AQ1104" s="4" t="s">
        <v>53</v>
      </c>
      <c r="AR1104" s="4" t="s">
        <v>136</v>
      </c>
      <c r="AS1104" s="5">
        <v>426720</v>
      </c>
      <c r="AT1104" t="s">
        <v>47</v>
      </c>
    </row>
    <row r="1105" spans="1:46" ht="26" x14ac:dyDescent="0.3">
      <c r="A1105" s="4" t="s">
        <v>4374</v>
      </c>
      <c r="B1105" t="s">
        <v>47</v>
      </c>
      <c r="C1105" s="4" t="s">
        <v>48</v>
      </c>
      <c r="D1105" s="4" t="s">
        <v>4375</v>
      </c>
      <c r="E1105" s="4" t="s">
        <v>49</v>
      </c>
      <c r="F1105" t="s">
        <v>47</v>
      </c>
      <c r="G1105" t="s">
        <v>47</v>
      </c>
      <c r="H1105" t="s">
        <v>47</v>
      </c>
      <c r="I1105" s="3">
        <v>43321</v>
      </c>
      <c r="J1105" s="3">
        <v>44370</v>
      </c>
      <c r="K1105" t="s">
        <v>47</v>
      </c>
      <c r="L1105" s="5" t="s">
        <v>51</v>
      </c>
      <c r="M1105" s="3">
        <v>43321</v>
      </c>
      <c r="N1105" s="3">
        <v>44370</v>
      </c>
      <c r="O1105" t="s">
        <v>47</v>
      </c>
      <c r="P1105" t="s">
        <v>47</v>
      </c>
      <c r="Q1105" t="s">
        <v>47</v>
      </c>
      <c r="R1105" t="s">
        <v>47</v>
      </c>
      <c r="S1105" t="s">
        <v>47</v>
      </c>
      <c r="T1105" t="s">
        <v>47</v>
      </c>
      <c r="U1105" t="s">
        <v>47</v>
      </c>
      <c r="V1105" t="s">
        <v>47</v>
      </c>
      <c r="W1105" s="3">
        <v>43321</v>
      </c>
      <c r="X1105" s="3">
        <v>44370</v>
      </c>
      <c r="Y1105" t="s">
        <v>47</v>
      </c>
      <c r="Z1105" s="3">
        <v>43321</v>
      </c>
      <c r="AA1105" s="3">
        <v>44370</v>
      </c>
      <c r="AB1105" t="s">
        <v>47</v>
      </c>
      <c r="AC1105" s="3">
        <v>43593</v>
      </c>
      <c r="AD1105" s="3">
        <v>43621</v>
      </c>
      <c r="AE1105" t="s">
        <v>47</v>
      </c>
      <c r="AF1105" t="s">
        <v>47</v>
      </c>
      <c r="AG1105" t="s">
        <v>47</v>
      </c>
      <c r="AH1105" t="s">
        <v>47</v>
      </c>
      <c r="AI1105" t="s">
        <v>47</v>
      </c>
      <c r="AJ1105" t="s">
        <v>47</v>
      </c>
      <c r="AK1105" t="s">
        <v>47</v>
      </c>
      <c r="AL1105" t="s">
        <v>47</v>
      </c>
      <c r="AM1105" t="s">
        <v>47</v>
      </c>
      <c r="AN1105" t="s">
        <v>47</v>
      </c>
      <c r="AO1105" s="5" t="s">
        <v>51</v>
      </c>
      <c r="AP1105" s="4" t="s">
        <v>52</v>
      </c>
      <c r="AQ1105" s="4" t="s">
        <v>53</v>
      </c>
      <c r="AR1105" s="4" t="s">
        <v>839</v>
      </c>
      <c r="AS1105" s="5">
        <v>4396041</v>
      </c>
      <c r="AT1105" t="s">
        <v>47</v>
      </c>
    </row>
    <row r="1106" spans="1:46" ht="52" x14ac:dyDescent="0.3">
      <c r="A1106" s="4" t="s">
        <v>4376</v>
      </c>
      <c r="B1106" t="s">
        <v>47</v>
      </c>
      <c r="C1106" s="4" t="s">
        <v>4377</v>
      </c>
      <c r="D1106" s="4" t="s">
        <v>4378</v>
      </c>
      <c r="E1106" s="4" t="s">
        <v>49</v>
      </c>
      <c r="F1106" s="5" t="s">
        <v>4379</v>
      </c>
      <c r="G1106" t="s">
        <v>47</v>
      </c>
      <c r="H1106" t="s">
        <v>47</v>
      </c>
      <c r="I1106" t="s">
        <v>47</v>
      </c>
      <c r="J1106" t="s">
        <v>47</v>
      </c>
      <c r="K1106" t="s">
        <v>47</v>
      </c>
      <c r="L1106" s="5" t="s">
        <v>51</v>
      </c>
      <c r="M1106" t="s">
        <v>47</v>
      </c>
      <c r="N1106" t="s">
        <v>47</v>
      </c>
      <c r="O1106" t="s">
        <v>47</v>
      </c>
      <c r="P1106" t="s">
        <v>47</v>
      </c>
      <c r="Q1106" t="s">
        <v>47</v>
      </c>
      <c r="R1106" t="s">
        <v>47</v>
      </c>
      <c r="S1106" t="s">
        <v>47</v>
      </c>
      <c r="T1106" t="s">
        <v>47</v>
      </c>
      <c r="U1106" t="s">
        <v>47</v>
      </c>
      <c r="V1106" t="s">
        <v>47</v>
      </c>
      <c r="W1106" s="3">
        <v>37316</v>
      </c>
      <c r="X1106" s="3">
        <v>37926</v>
      </c>
      <c r="Y1106" t="s">
        <v>47</v>
      </c>
      <c r="Z1106" s="3">
        <v>37316</v>
      </c>
      <c r="AA1106" s="3">
        <v>37926</v>
      </c>
      <c r="AB1106" t="s">
        <v>47</v>
      </c>
      <c r="AC1106" s="3">
        <v>37469</v>
      </c>
      <c r="AD1106" s="3">
        <v>37926</v>
      </c>
      <c r="AE1106" t="s">
        <v>47</v>
      </c>
      <c r="AF1106" t="s">
        <v>47</v>
      </c>
      <c r="AG1106" t="s">
        <v>47</v>
      </c>
      <c r="AH1106" t="s">
        <v>47</v>
      </c>
      <c r="AI1106" t="s">
        <v>47</v>
      </c>
      <c r="AJ1106" t="s">
        <v>47</v>
      </c>
      <c r="AK1106" t="s">
        <v>47</v>
      </c>
      <c r="AL1106" t="s">
        <v>47</v>
      </c>
      <c r="AM1106" t="s">
        <v>47</v>
      </c>
      <c r="AN1106" t="s">
        <v>47</v>
      </c>
      <c r="AO1106" s="5" t="s">
        <v>51</v>
      </c>
      <c r="AP1106" s="4" t="s">
        <v>85</v>
      </c>
      <c r="AQ1106" s="4" t="s">
        <v>53</v>
      </c>
      <c r="AR1106" s="4" t="s">
        <v>4380</v>
      </c>
      <c r="AS1106" s="5">
        <v>43668</v>
      </c>
      <c r="AT1106" t="s">
        <v>47</v>
      </c>
    </row>
    <row r="1107" spans="1:46" ht="78" x14ac:dyDescent="0.3">
      <c r="A1107" s="4" t="s">
        <v>4381</v>
      </c>
      <c r="B1107" t="s">
        <v>47</v>
      </c>
      <c r="C1107" s="4" t="s">
        <v>4382</v>
      </c>
      <c r="D1107" s="4" t="s">
        <v>139</v>
      </c>
      <c r="E1107" s="4" t="s">
        <v>66</v>
      </c>
      <c r="F1107" s="5" t="s">
        <v>4383</v>
      </c>
      <c r="G1107" s="5" t="s">
        <v>4384</v>
      </c>
      <c r="H1107" t="s">
        <v>47</v>
      </c>
      <c r="I1107" s="3">
        <v>41671</v>
      </c>
      <c r="J1107" s="3">
        <v>44287</v>
      </c>
      <c r="K1107" t="s">
        <v>47</v>
      </c>
      <c r="L1107" s="5" t="s">
        <v>60</v>
      </c>
      <c r="M1107" s="3">
        <v>41671</v>
      </c>
      <c r="N1107" s="3">
        <v>44287</v>
      </c>
      <c r="O1107" t="s">
        <v>47</v>
      </c>
      <c r="P1107" s="3">
        <v>41671</v>
      </c>
      <c r="Q1107" s="3">
        <v>44287</v>
      </c>
      <c r="R1107" t="s">
        <v>47</v>
      </c>
      <c r="S1107" t="s">
        <v>47</v>
      </c>
      <c r="T1107" t="s">
        <v>47</v>
      </c>
      <c r="U1107" t="s">
        <v>47</v>
      </c>
      <c r="V1107" t="s">
        <v>47</v>
      </c>
      <c r="W1107" s="3">
        <v>41579</v>
      </c>
      <c r="X1107" s="5" t="s">
        <v>50</v>
      </c>
      <c r="Y1107" t="s">
        <v>47</v>
      </c>
      <c r="Z1107" s="3">
        <v>41579</v>
      </c>
      <c r="AA1107" s="5" t="s">
        <v>50</v>
      </c>
      <c r="AB1107" t="s">
        <v>47</v>
      </c>
      <c r="AC1107" s="3">
        <v>41671</v>
      </c>
      <c r="AD1107" s="5" t="s">
        <v>50</v>
      </c>
      <c r="AE1107" t="s">
        <v>47</v>
      </c>
      <c r="AF1107" t="s">
        <v>47</v>
      </c>
      <c r="AG1107" t="s">
        <v>47</v>
      </c>
      <c r="AH1107" t="s">
        <v>47</v>
      </c>
      <c r="AI1107" t="s">
        <v>47</v>
      </c>
      <c r="AJ1107" t="s">
        <v>47</v>
      </c>
      <c r="AK1107" t="s">
        <v>47</v>
      </c>
      <c r="AL1107" t="s">
        <v>47</v>
      </c>
      <c r="AM1107" t="s">
        <v>47</v>
      </c>
      <c r="AN1107" t="s">
        <v>47</v>
      </c>
      <c r="AO1107" s="5" t="s">
        <v>60</v>
      </c>
      <c r="AP1107" s="4" t="s">
        <v>61</v>
      </c>
      <c r="AQ1107" s="4" t="s">
        <v>53</v>
      </c>
      <c r="AR1107" s="4" t="s">
        <v>3040</v>
      </c>
      <c r="AS1107" s="5">
        <v>2042235</v>
      </c>
      <c r="AT1107" t="s">
        <v>47</v>
      </c>
    </row>
    <row r="1108" spans="1:46" ht="78" x14ac:dyDescent="0.3">
      <c r="A1108" s="4" t="s">
        <v>4385</v>
      </c>
      <c r="B1108" t="s">
        <v>47</v>
      </c>
      <c r="C1108" s="4" t="s">
        <v>4382</v>
      </c>
      <c r="D1108" s="4" t="s">
        <v>139</v>
      </c>
      <c r="E1108" s="4" t="s">
        <v>66</v>
      </c>
      <c r="F1108" s="5" t="s">
        <v>4383</v>
      </c>
      <c r="G1108" s="5" t="s">
        <v>4384</v>
      </c>
      <c r="H1108" t="s">
        <v>47</v>
      </c>
      <c r="I1108" s="3">
        <v>39052</v>
      </c>
      <c r="J1108" s="3">
        <v>41579</v>
      </c>
      <c r="K1108" t="s">
        <v>47</v>
      </c>
      <c r="L1108" s="5" t="s">
        <v>60</v>
      </c>
      <c r="M1108" s="3">
        <v>39052</v>
      </c>
      <c r="N1108" s="3">
        <v>41579</v>
      </c>
      <c r="O1108" t="s">
        <v>47</v>
      </c>
      <c r="P1108" s="3">
        <v>39052</v>
      </c>
      <c r="Q1108" s="3">
        <v>41579</v>
      </c>
      <c r="R1108" t="s">
        <v>47</v>
      </c>
      <c r="S1108" t="s">
        <v>47</v>
      </c>
      <c r="T1108" t="s">
        <v>47</v>
      </c>
      <c r="U1108" t="s">
        <v>47</v>
      </c>
      <c r="V1108" t="s">
        <v>47</v>
      </c>
      <c r="W1108" s="3">
        <v>35886</v>
      </c>
      <c r="X1108" s="3">
        <v>41579</v>
      </c>
      <c r="Y1108" t="s">
        <v>47</v>
      </c>
      <c r="Z1108" s="3">
        <v>35886</v>
      </c>
      <c r="AA1108" s="3">
        <v>41579</v>
      </c>
      <c r="AB1108" t="s">
        <v>47</v>
      </c>
      <c r="AC1108" s="3">
        <v>41548</v>
      </c>
      <c r="AD1108" s="3">
        <v>41579</v>
      </c>
      <c r="AE1108" t="s">
        <v>47</v>
      </c>
      <c r="AF1108" t="s">
        <v>47</v>
      </c>
      <c r="AG1108" t="s">
        <v>47</v>
      </c>
      <c r="AH1108" t="s">
        <v>47</v>
      </c>
      <c r="AI1108" t="s">
        <v>47</v>
      </c>
      <c r="AJ1108" t="s">
        <v>47</v>
      </c>
      <c r="AK1108" t="s">
        <v>47</v>
      </c>
      <c r="AL1108" t="s">
        <v>47</v>
      </c>
      <c r="AM1108" t="s">
        <v>47</v>
      </c>
      <c r="AN1108" t="s">
        <v>47</v>
      </c>
      <c r="AO1108" s="5" t="s">
        <v>60</v>
      </c>
      <c r="AP1108" s="4" t="s">
        <v>61</v>
      </c>
      <c r="AQ1108" s="4" t="s">
        <v>53</v>
      </c>
      <c r="AR1108" s="4" t="s">
        <v>3040</v>
      </c>
      <c r="AS1108" s="5">
        <v>44392</v>
      </c>
      <c r="AT1108" t="s">
        <v>47</v>
      </c>
    </row>
    <row r="1109" spans="1:46" ht="78" x14ac:dyDescent="0.3">
      <c r="A1109" s="4" t="s">
        <v>4386</v>
      </c>
      <c r="B1109" t="s">
        <v>47</v>
      </c>
      <c r="C1109" s="4" t="s">
        <v>183</v>
      </c>
      <c r="D1109" s="4" t="s">
        <v>4387</v>
      </c>
      <c r="E1109" s="4" t="s">
        <v>49</v>
      </c>
      <c r="F1109" s="5" t="s">
        <v>4388</v>
      </c>
      <c r="G1109" s="5" t="s">
        <v>4389</v>
      </c>
      <c r="H1109" t="s">
        <v>47</v>
      </c>
      <c r="I1109" s="3">
        <v>37622</v>
      </c>
      <c r="J1109" s="3">
        <v>40452</v>
      </c>
      <c r="K1109" t="s">
        <v>47</v>
      </c>
      <c r="L1109" s="5" t="s">
        <v>60</v>
      </c>
      <c r="M1109" s="3">
        <v>37622</v>
      </c>
      <c r="N1109" s="3">
        <v>40452</v>
      </c>
      <c r="O1109" t="s">
        <v>47</v>
      </c>
      <c r="P1109" s="3">
        <v>37622</v>
      </c>
      <c r="Q1109" s="3">
        <v>40452</v>
      </c>
      <c r="R1109" t="s">
        <v>47</v>
      </c>
      <c r="S1109" t="s">
        <v>47</v>
      </c>
      <c r="T1109" t="s">
        <v>47</v>
      </c>
      <c r="U1109" t="s">
        <v>47</v>
      </c>
      <c r="V1109" t="s">
        <v>47</v>
      </c>
      <c r="W1109" s="3">
        <v>28887</v>
      </c>
      <c r="X1109" s="5" t="s">
        <v>50</v>
      </c>
      <c r="Y1109" t="s">
        <v>47</v>
      </c>
      <c r="Z1109" s="3">
        <v>28887</v>
      </c>
      <c r="AA1109" s="5" t="s">
        <v>50</v>
      </c>
      <c r="AB1109" t="s">
        <v>47</v>
      </c>
      <c r="AC1109" s="3">
        <v>37622</v>
      </c>
      <c r="AD1109" s="5" t="s">
        <v>50</v>
      </c>
      <c r="AE1109" t="s">
        <v>47</v>
      </c>
      <c r="AF1109" t="s">
        <v>47</v>
      </c>
      <c r="AG1109" t="s">
        <v>47</v>
      </c>
      <c r="AH1109" t="s">
        <v>47</v>
      </c>
      <c r="AI1109" t="s">
        <v>47</v>
      </c>
      <c r="AJ1109" t="s">
        <v>47</v>
      </c>
      <c r="AK1109" t="s">
        <v>47</v>
      </c>
      <c r="AL1109" t="s">
        <v>47</v>
      </c>
      <c r="AM1109" t="s">
        <v>47</v>
      </c>
      <c r="AN1109" t="s">
        <v>47</v>
      </c>
      <c r="AO1109" s="5" t="s">
        <v>60</v>
      </c>
      <c r="AP1109" s="4" t="s">
        <v>61</v>
      </c>
      <c r="AQ1109" s="4" t="s">
        <v>53</v>
      </c>
      <c r="AR1109" s="4" t="s">
        <v>436</v>
      </c>
      <c r="AS1109" s="5">
        <v>47969</v>
      </c>
      <c r="AT1109" t="s">
        <v>47</v>
      </c>
    </row>
    <row r="1110" spans="1:46" ht="13" x14ac:dyDescent="0.3">
      <c r="A1110" s="4" t="s">
        <v>4390</v>
      </c>
      <c r="B1110" t="s">
        <v>47</v>
      </c>
      <c r="C1110" s="4" t="s">
        <v>122</v>
      </c>
      <c r="D1110" s="4" t="s">
        <v>206</v>
      </c>
      <c r="E1110" s="4" t="s">
        <v>123</v>
      </c>
      <c r="F1110" s="5" t="s">
        <v>4391</v>
      </c>
      <c r="G1110" s="5" t="s">
        <v>4392</v>
      </c>
      <c r="H1110" t="s">
        <v>47</v>
      </c>
      <c r="I1110" s="3">
        <v>35796</v>
      </c>
      <c r="J1110" s="5" t="s">
        <v>50</v>
      </c>
      <c r="K1110" t="s">
        <v>47</v>
      </c>
      <c r="L1110" s="5" t="s">
        <v>60</v>
      </c>
      <c r="M1110" s="3">
        <v>37987</v>
      </c>
      <c r="N1110" s="3">
        <v>42826</v>
      </c>
      <c r="O1110" t="s">
        <v>47</v>
      </c>
      <c r="P1110" s="3">
        <v>35796</v>
      </c>
      <c r="Q1110" s="5" t="s">
        <v>50</v>
      </c>
      <c r="R1110" t="s">
        <v>47</v>
      </c>
      <c r="S1110" t="s">
        <v>47</v>
      </c>
      <c r="T1110" t="s">
        <v>47</v>
      </c>
      <c r="U1110" t="s">
        <v>47</v>
      </c>
      <c r="V1110" s="5">
        <v>365</v>
      </c>
      <c r="W1110" s="3">
        <v>35796</v>
      </c>
      <c r="X1110" s="5" t="s">
        <v>50</v>
      </c>
      <c r="Y1110" t="s">
        <v>47</v>
      </c>
      <c r="Z1110" s="3">
        <v>35796</v>
      </c>
      <c r="AA1110" s="5" t="s">
        <v>50</v>
      </c>
      <c r="AB1110" t="s">
        <v>47</v>
      </c>
      <c r="AC1110" s="3">
        <v>35796</v>
      </c>
      <c r="AD1110" s="5" t="s">
        <v>50</v>
      </c>
      <c r="AE1110" t="s">
        <v>47</v>
      </c>
      <c r="AF1110" t="s">
        <v>47</v>
      </c>
      <c r="AG1110" t="s">
        <v>47</v>
      </c>
      <c r="AH1110" t="s">
        <v>47</v>
      </c>
      <c r="AI1110" t="s">
        <v>47</v>
      </c>
      <c r="AJ1110" t="s">
        <v>47</v>
      </c>
      <c r="AK1110" t="s">
        <v>47</v>
      </c>
      <c r="AL1110" t="s">
        <v>47</v>
      </c>
      <c r="AM1110" t="s">
        <v>47</v>
      </c>
      <c r="AN1110" t="s">
        <v>47</v>
      </c>
      <c r="AO1110" s="5" t="s">
        <v>60</v>
      </c>
      <c r="AP1110" s="4" t="s">
        <v>61</v>
      </c>
      <c r="AQ1110" s="4" t="s">
        <v>53</v>
      </c>
      <c r="AR1110" s="4" t="s">
        <v>54</v>
      </c>
      <c r="AS1110" s="5">
        <v>54618</v>
      </c>
      <c r="AT1110" t="s">
        <v>47</v>
      </c>
    </row>
    <row r="1111" spans="1:46" ht="13" x14ac:dyDescent="0.3">
      <c r="A1111" s="4" t="s">
        <v>4393</v>
      </c>
      <c r="B1111" t="s">
        <v>47</v>
      </c>
      <c r="C1111" s="4" t="s">
        <v>122</v>
      </c>
      <c r="D1111" s="4" t="s">
        <v>70</v>
      </c>
      <c r="E1111" s="4" t="s">
        <v>123</v>
      </c>
      <c r="F1111" s="5" t="s">
        <v>4394</v>
      </c>
      <c r="G1111" s="5" t="s">
        <v>4395</v>
      </c>
      <c r="H1111" t="s">
        <v>47</v>
      </c>
      <c r="I1111" s="3">
        <v>39173</v>
      </c>
      <c r="J1111" s="3">
        <v>40148</v>
      </c>
      <c r="K1111" t="s">
        <v>47</v>
      </c>
      <c r="L1111" s="5" t="s">
        <v>60</v>
      </c>
      <c r="M1111" t="s">
        <v>47</v>
      </c>
      <c r="N1111" t="s">
        <v>47</v>
      </c>
      <c r="O1111" t="s">
        <v>47</v>
      </c>
      <c r="P1111" s="3">
        <v>39173</v>
      </c>
      <c r="Q1111" s="3">
        <v>40148</v>
      </c>
      <c r="R1111" t="s">
        <v>47</v>
      </c>
      <c r="S1111" t="s">
        <v>47</v>
      </c>
      <c r="T1111" t="s">
        <v>47</v>
      </c>
      <c r="U1111" t="s">
        <v>47</v>
      </c>
      <c r="V1111" t="s">
        <v>47</v>
      </c>
      <c r="W1111" s="3">
        <v>39173</v>
      </c>
      <c r="X1111" s="3">
        <v>40148</v>
      </c>
      <c r="Y1111" t="s">
        <v>47</v>
      </c>
      <c r="Z1111" s="3">
        <v>39173</v>
      </c>
      <c r="AA1111" s="3">
        <v>40148</v>
      </c>
      <c r="AB1111" t="s">
        <v>47</v>
      </c>
      <c r="AC1111" s="3">
        <v>39173</v>
      </c>
      <c r="AD1111" s="3">
        <v>40148</v>
      </c>
      <c r="AE1111" t="s">
        <v>47</v>
      </c>
      <c r="AF1111" t="s">
        <v>47</v>
      </c>
      <c r="AG1111" t="s">
        <v>47</v>
      </c>
      <c r="AH1111" t="s">
        <v>47</v>
      </c>
      <c r="AI1111" t="s">
        <v>47</v>
      </c>
      <c r="AJ1111" t="s">
        <v>47</v>
      </c>
      <c r="AK1111" t="s">
        <v>47</v>
      </c>
      <c r="AL1111" t="s">
        <v>47</v>
      </c>
      <c r="AM1111" t="s">
        <v>47</v>
      </c>
      <c r="AN1111" t="s">
        <v>47</v>
      </c>
      <c r="AO1111" s="5" t="s">
        <v>60</v>
      </c>
      <c r="AP1111" s="4" t="s">
        <v>61</v>
      </c>
      <c r="AQ1111" s="4" t="s">
        <v>53</v>
      </c>
      <c r="AR1111" s="4" t="s">
        <v>54</v>
      </c>
      <c r="AS1111" s="5">
        <v>54605</v>
      </c>
      <c r="AT1111" t="s">
        <v>47</v>
      </c>
    </row>
    <row r="1112" spans="1:46" ht="104" x14ac:dyDescent="0.3">
      <c r="A1112" s="4" t="s">
        <v>4396</v>
      </c>
      <c r="B1112" t="s">
        <v>47</v>
      </c>
      <c r="C1112" s="4" t="s">
        <v>115</v>
      </c>
      <c r="D1112" s="4" t="s">
        <v>1019</v>
      </c>
      <c r="E1112" s="4" t="s">
        <v>66</v>
      </c>
      <c r="F1112" s="5" t="s">
        <v>4397</v>
      </c>
      <c r="G1112" s="5" t="s">
        <v>4398</v>
      </c>
      <c r="H1112" t="s">
        <v>47</v>
      </c>
      <c r="I1112" s="3">
        <v>34700</v>
      </c>
      <c r="J1112" s="5" t="s">
        <v>50</v>
      </c>
      <c r="K1112" t="s">
        <v>47</v>
      </c>
      <c r="L1112" s="5" t="s">
        <v>60</v>
      </c>
      <c r="M1112" s="3">
        <v>34700</v>
      </c>
      <c r="N1112" s="5" t="s">
        <v>50</v>
      </c>
      <c r="O1112" t="s">
        <v>47</v>
      </c>
      <c r="P1112" s="3">
        <v>36965</v>
      </c>
      <c r="Q1112" s="5" t="s">
        <v>50</v>
      </c>
      <c r="R1112" t="s">
        <v>47</v>
      </c>
      <c r="S1112" t="s">
        <v>47</v>
      </c>
      <c r="T1112" t="s">
        <v>47</v>
      </c>
      <c r="U1112" t="s">
        <v>47</v>
      </c>
      <c r="V1112" s="5">
        <v>365</v>
      </c>
      <c r="W1112" s="3">
        <v>34700</v>
      </c>
      <c r="X1112" s="5" t="s">
        <v>50</v>
      </c>
      <c r="Y1112" t="s">
        <v>47</v>
      </c>
      <c r="Z1112" s="3">
        <v>34700</v>
      </c>
      <c r="AA1112" s="5" t="s">
        <v>50</v>
      </c>
      <c r="AB1112" t="s">
        <v>47</v>
      </c>
      <c r="AC1112" s="3">
        <v>34700</v>
      </c>
      <c r="AD1112" s="5" t="s">
        <v>50</v>
      </c>
      <c r="AE1112" t="s">
        <v>47</v>
      </c>
      <c r="AF1112" t="s">
        <v>47</v>
      </c>
      <c r="AG1112" t="s">
        <v>47</v>
      </c>
      <c r="AH1112" t="s">
        <v>47</v>
      </c>
      <c r="AI1112" t="s">
        <v>47</v>
      </c>
      <c r="AJ1112" t="s">
        <v>47</v>
      </c>
      <c r="AK1112" t="s">
        <v>47</v>
      </c>
      <c r="AL1112" t="s">
        <v>47</v>
      </c>
      <c r="AM1112" t="s">
        <v>47</v>
      </c>
      <c r="AN1112" t="s">
        <v>47</v>
      </c>
      <c r="AO1112" s="5" t="s">
        <v>60</v>
      </c>
      <c r="AP1112" s="4" t="s">
        <v>61</v>
      </c>
      <c r="AQ1112" s="4" t="s">
        <v>53</v>
      </c>
      <c r="AR1112" s="4" t="s">
        <v>2482</v>
      </c>
      <c r="AS1112" s="5">
        <v>25905</v>
      </c>
      <c r="AT1112" t="s">
        <v>47</v>
      </c>
    </row>
    <row r="1113" spans="1:46" ht="91" x14ac:dyDescent="0.3">
      <c r="A1113" s="4" t="s">
        <v>4399</v>
      </c>
      <c r="B1113" t="s">
        <v>47</v>
      </c>
      <c r="C1113" s="4" t="s">
        <v>4400</v>
      </c>
      <c r="D1113" s="4" t="s">
        <v>748</v>
      </c>
      <c r="E1113" s="4" t="s">
        <v>49</v>
      </c>
      <c r="F1113" s="5" t="s">
        <v>4401</v>
      </c>
      <c r="G1113" t="s">
        <v>47</v>
      </c>
      <c r="H1113" t="s">
        <v>47</v>
      </c>
      <c r="I1113" s="3">
        <v>37622</v>
      </c>
      <c r="J1113" s="5" t="s">
        <v>50</v>
      </c>
      <c r="K1113" t="s">
        <v>47</v>
      </c>
      <c r="L1113" s="5" t="s">
        <v>60</v>
      </c>
      <c r="M1113" s="3">
        <v>37622</v>
      </c>
      <c r="N1113" s="5" t="s">
        <v>50</v>
      </c>
      <c r="O1113" t="s">
        <v>47</v>
      </c>
      <c r="P1113" s="3">
        <v>37622</v>
      </c>
      <c r="Q1113" s="5" t="s">
        <v>50</v>
      </c>
      <c r="R1113" t="s">
        <v>47</v>
      </c>
      <c r="S1113" t="s">
        <v>47</v>
      </c>
      <c r="T1113" t="s">
        <v>47</v>
      </c>
      <c r="U1113" t="s">
        <v>47</v>
      </c>
      <c r="V1113" t="s">
        <v>47</v>
      </c>
      <c r="W1113" s="3">
        <v>37622</v>
      </c>
      <c r="X1113" s="5" t="s">
        <v>50</v>
      </c>
      <c r="Y1113" t="s">
        <v>47</v>
      </c>
      <c r="Z1113" s="3">
        <v>37622</v>
      </c>
      <c r="AA1113" s="5" t="s">
        <v>50</v>
      </c>
      <c r="AB1113" t="s">
        <v>47</v>
      </c>
      <c r="AC1113" s="3">
        <v>42461</v>
      </c>
      <c r="AD1113" s="5" t="s">
        <v>50</v>
      </c>
      <c r="AE1113" t="s">
        <v>47</v>
      </c>
      <c r="AF1113" t="s">
        <v>47</v>
      </c>
      <c r="AG1113" t="s">
        <v>47</v>
      </c>
      <c r="AH1113" t="s">
        <v>47</v>
      </c>
      <c r="AI1113" t="s">
        <v>47</v>
      </c>
      <c r="AJ1113" t="s">
        <v>47</v>
      </c>
      <c r="AK1113" t="s">
        <v>47</v>
      </c>
      <c r="AL1113" t="s">
        <v>47</v>
      </c>
      <c r="AM1113" t="s">
        <v>47</v>
      </c>
      <c r="AN1113" t="s">
        <v>47</v>
      </c>
      <c r="AO1113" s="5" t="s">
        <v>51</v>
      </c>
      <c r="AP1113" s="4" t="s">
        <v>61</v>
      </c>
      <c r="AQ1113" t="s">
        <v>47</v>
      </c>
      <c r="AR1113" s="4" t="s">
        <v>4402</v>
      </c>
      <c r="AS1113" s="5">
        <v>47961</v>
      </c>
      <c r="AT1113" t="s">
        <v>47</v>
      </c>
    </row>
    <row r="1114" spans="1:46" ht="26" x14ac:dyDescent="0.3">
      <c r="A1114" s="4" t="s">
        <v>4403</v>
      </c>
      <c r="B1114" t="s">
        <v>47</v>
      </c>
      <c r="C1114" s="4" t="s">
        <v>1095</v>
      </c>
      <c r="D1114" s="4" t="s">
        <v>3070</v>
      </c>
      <c r="E1114" s="4" t="s">
        <v>66</v>
      </c>
      <c r="F1114" s="5" t="s">
        <v>4404</v>
      </c>
      <c r="G1114" s="5" t="s">
        <v>4405</v>
      </c>
      <c r="H1114" t="s">
        <v>47</v>
      </c>
      <c r="I1114" t="s">
        <v>47</v>
      </c>
      <c r="J1114" t="s">
        <v>47</v>
      </c>
      <c r="K1114" t="s">
        <v>47</v>
      </c>
      <c r="L1114" s="5" t="s">
        <v>60</v>
      </c>
      <c r="M1114" t="s">
        <v>47</v>
      </c>
      <c r="N1114" t="s">
        <v>47</v>
      </c>
      <c r="O1114" t="s">
        <v>47</v>
      </c>
      <c r="P1114" t="s">
        <v>47</v>
      </c>
      <c r="Q1114" t="s">
        <v>47</v>
      </c>
      <c r="R1114" t="s">
        <v>47</v>
      </c>
      <c r="S1114" t="s">
        <v>47</v>
      </c>
      <c r="T1114" t="s">
        <v>47</v>
      </c>
      <c r="U1114" t="s">
        <v>47</v>
      </c>
      <c r="V1114" t="s">
        <v>47</v>
      </c>
      <c r="W1114" s="3">
        <v>35796</v>
      </c>
      <c r="X1114" s="3">
        <v>35796</v>
      </c>
      <c r="Y1114" t="s">
        <v>47</v>
      </c>
      <c r="Z1114" s="3">
        <v>35796</v>
      </c>
      <c r="AA1114" s="3">
        <v>35796</v>
      </c>
      <c r="AB1114" t="s">
        <v>47</v>
      </c>
      <c r="AC1114" t="s">
        <v>47</v>
      </c>
      <c r="AD1114" t="s">
        <v>47</v>
      </c>
      <c r="AE1114" t="s">
        <v>47</v>
      </c>
      <c r="AF1114" t="s">
        <v>47</v>
      </c>
      <c r="AG1114" t="s">
        <v>47</v>
      </c>
      <c r="AH1114" t="s">
        <v>47</v>
      </c>
      <c r="AI1114" t="s">
        <v>47</v>
      </c>
      <c r="AJ1114" t="s">
        <v>47</v>
      </c>
      <c r="AK1114" t="s">
        <v>47</v>
      </c>
      <c r="AL1114" t="s">
        <v>47</v>
      </c>
      <c r="AM1114" t="s">
        <v>47</v>
      </c>
      <c r="AN1114" t="s">
        <v>47</v>
      </c>
      <c r="AO1114" s="5" t="s">
        <v>60</v>
      </c>
      <c r="AP1114" s="4" t="s">
        <v>61</v>
      </c>
      <c r="AQ1114" s="4" t="s">
        <v>53</v>
      </c>
      <c r="AR1114" s="4" t="s">
        <v>807</v>
      </c>
      <c r="AS1114" s="5">
        <v>31733</v>
      </c>
      <c r="AT1114" t="s">
        <v>47</v>
      </c>
    </row>
    <row r="1115" spans="1:46" ht="26" x14ac:dyDescent="0.3">
      <c r="A1115" s="4" t="s">
        <v>4406</v>
      </c>
      <c r="B1115" t="s">
        <v>47</v>
      </c>
      <c r="C1115" s="4" t="s">
        <v>3749</v>
      </c>
      <c r="D1115" s="4" t="s">
        <v>319</v>
      </c>
      <c r="E1115" s="4" t="s">
        <v>66</v>
      </c>
      <c r="F1115" s="5" t="s">
        <v>4407</v>
      </c>
      <c r="G1115" s="5" t="s">
        <v>4408</v>
      </c>
      <c r="H1115" t="s">
        <v>47</v>
      </c>
      <c r="I1115" t="s">
        <v>47</v>
      </c>
      <c r="J1115" t="s">
        <v>47</v>
      </c>
      <c r="K1115" t="s">
        <v>47</v>
      </c>
      <c r="L1115" s="5" t="s">
        <v>60</v>
      </c>
      <c r="M1115" t="s">
        <v>47</v>
      </c>
      <c r="N1115" t="s">
        <v>47</v>
      </c>
      <c r="O1115" t="s">
        <v>47</v>
      </c>
      <c r="P1115" t="s">
        <v>47</v>
      </c>
      <c r="Q1115" t="s">
        <v>47</v>
      </c>
      <c r="R1115" t="s">
        <v>47</v>
      </c>
      <c r="S1115" t="s">
        <v>47</v>
      </c>
      <c r="T1115" t="s">
        <v>47</v>
      </c>
      <c r="U1115" t="s">
        <v>47</v>
      </c>
      <c r="V1115" t="s">
        <v>47</v>
      </c>
      <c r="W1115" s="3">
        <v>32540</v>
      </c>
      <c r="X1115" s="3">
        <v>44682</v>
      </c>
      <c r="Y1115" t="s">
        <v>47</v>
      </c>
      <c r="Z1115" s="3">
        <v>32540</v>
      </c>
      <c r="AA1115" s="3">
        <v>44682</v>
      </c>
      <c r="AB1115" t="s">
        <v>47</v>
      </c>
      <c r="AC1115" s="3">
        <v>32540</v>
      </c>
      <c r="AD1115" s="3">
        <v>44682</v>
      </c>
      <c r="AE1115" t="s">
        <v>47</v>
      </c>
      <c r="AF1115" t="s">
        <v>47</v>
      </c>
      <c r="AG1115" t="s">
        <v>47</v>
      </c>
      <c r="AH1115" t="s">
        <v>47</v>
      </c>
      <c r="AI1115" t="s">
        <v>47</v>
      </c>
      <c r="AJ1115" t="s">
        <v>47</v>
      </c>
      <c r="AK1115" t="s">
        <v>47</v>
      </c>
      <c r="AL1115" t="s">
        <v>47</v>
      </c>
      <c r="AM1115" t="s">
        <v>47</v>
      </c>
      <c r="AN1115" t="s">
        <v>47</v>
      </c>
      <c r="AO1115" s="5" t="s">
        <v>60</v>
      </c>
      <c r="AP1115" s="4" t="s">
        <v>61</v>
      </c>
      <c r="AQ1115" s="4" t="s">
        <v>53</v>
      </c>
      <c r="AR1115" s="4" t="s">
        <v>807</v>
      </c>
      <c r="AS1115" s="5">
        <v>29957</v>
      </c>
      <c r="AT1115" t="s">
        <v>47</v>
      </c>
    </row>
    <row r="1116" spans="1:46" ht="78" x14ac:dyDescent="0.3">
      <c r="A1116" s="4" t="s">
        <v>4409</v>
      </c>
      <c r="B1116" t="s">
        <v>47</v>
      </c>
      <c r="C1116" s="4" t="s">
        <v>3598</v>
      </c>
      <c r="D1116" s="4" t="s">
        <v>748</v>
      </c>
      <c r="E1116" s="4" t="s">
        <v>49</v>
      </c>
      <c r="F1116" s="5" t="s">
        <v>4410</v>
      </c>
      <c r="G1116" s="5" t="s">
        <v>4411</v>
      </c>
      <c r="H1116" t="s">
        <v>47</v>
      </c>
      <c r="I1116" s="3">
        <v>40634</v>
      </c>
      <c r="J1116" s="5" t="s">
        <v>50</v>
      </c>
      <c r="K1116" t="s">
        <v>47</v>
      </c>
      <c r="L1116" s="5" t="s">
        <v>60</v>
      </c>
      <c r="M1116" t="s">
        <v>47</v>
      </c>
      <c r="N1116" t="s">
        <v>47</v>
      </c>
      <c r="O1116" t="s">
        <v>47</v>
      </c>
      <c r="P1116" s="3">
        <v>40634</v>
      </c>
      <c r="Q1116" s="5" t="s">
        <v>50</v>
      </c>
      <c r="R1116" t="s">
        <v>47</v>
      </c>
      <c r="S1116" t="s">
        <v>47</v>
      </c>
      <c r="T1116" t="s">
        <v>47</v>
      </c>
      <c r="U1116" t="s">
        <v>47</v>
      </c>
      <c r="V1116" s="5">
        <v>365</v>
      </c>
      <c r="W1116" s="3">
        <v>40634</v>
      </c>
      <c r="X1116" s="5" t="s">
        <v>50</v>
      </c>
      <c r="Y1116" t="s">
        <v>47</v>
      </c>
      <c r="Z1116" s="3">
        <v>40634</v>
      </c>
      <c r="AA1116" s="5" t="s">
        <v>50</v>
      </c>
      <c r="AB1116" t="s">
        <v>47</v>
      </c>
      <c r="AC1116" s="3">
        <v>40634</v>
      </c>
      <c r="AD1116" s="5" t="s">
        <v>50</v>
      </c>
      <c r="AE1116" t="s">
        <v>47</v>
      </c>
      <c r="AF1116" t="s">
        <v>47</v>
      </c>
      <c r="AG1116" t="s">
        <v>47</v>
      </c>
      <c r="AH1116" t="s">
        <v>47</v>
      </c>
      <c r="AI1116" t="s">
        <v>47</v>
      </c>
      <c r="AJ1116" t="s">
        <v>47</v>
      </c>
      <c r="AK1116" t="s">
        <v>47</v>
      </c>
      <c r="AL1116" t="s">
        <v>47</v>
      </c>
      <c r="AM1116" t="s">
        <v>47</v>
      </c>
      <c r="AN1116" t="s">
        <v>47</v>
      </c>
      <c r="AO1116" s="5" t="s">
        <v>60</v>
      </c>
      <c r="AP1116" s="4" t="s">
        <v>61</v>
      </c>
      <c r="AQ1116" s="4" t="s">
        <v>53</v>
      </c>
      <c r="AR1116" s="4" t="s">
        <v>4412</v>
      </c>
      <c r="AS1116" s="5">
        <v>2037558</v>
      </c>
      <c r="AT1116" t="s">
        <v>47</v>
      </c>
    </row>
    <row r="1117" spans="1:46" ht="26" x14ac:dyDescent="0.3">
      <c r="A1117" s="4" t="s">
        <v>4413</v>
      </c>
      <c r="B1117" t="s">
        <v>47</v>
      </c>
      <c r="C1117" s="4" t="s">
        <v>115</v>
      </c>
      <c r="D1117" s="4" t="s">
        <v>4414</v>
      </c>
      <c r="E1117" s="4" t="s">
        <v>66</v>
      </c>
      <c r="F1117" t="s">
        <v>47</v>
      </c>
      <c r="G1117" s="5" t="s">
        <v>4415</v>
      </c>
      <c r="H1117" t="s">
        <v>47</v>
      </c>
      <c r="I1117" s="3">
        <v>37987</v>
      </c>
      <c r="J1117" s="5" t="s">
        <v>50</v>
      </c>
      <c r="K1117" s="5" t="s">
        <v>537</v>
      </c>
      <c r="L1117" s="5" t="s">
        <v>60</v>
      </c>
      <c r="M1117" t="s">
        <v>47</v>
      </c>
      <c r="N1117" t="s">
        <v>47</v>
      </c>
      <c r="O1117" t="s">
        <v>47</v>
      </c>
      <c r="P1117" s="3">
        <v>37987</v>
      </c>
      <c r="Q1117" s="5" t="s">
        <v>50</v>
      </c>
      <c r="R1117" s="5" t="s">
        <v>537</v>
      </c>
      <c r="S1117" t="s">
        <v>47</v>
      </c>
      <c r="T1117" t="s">
        <v>47</v>
      </c>
      <c r="U1117" t="s">
        <v>47</v>
      </c>
      <c r="V1117" t="s">
        <v>47</v>
      </c>
      <c r="W1117" s="3">
        <v>37987</v>
      </c>
      <c r="X1117" s="5" t="s">
        <v>50</v>
      </c>
      <c r="Y1117" s="5" t="s">
        <v>537</v>
      </c>
      <c r="Z1117" s="3">
        <v>37987</v>
      </c>
      <c r="AA1117" s="5" t="s">
        <v>50</v>
      </c>
      <c r="AB1117" s="5" t="s">
        <v>537</v>
      </c>
      <c r="AC1117" s="3">
        <v>37987</v>
      </c>
      <c r="AD1117" s="5" t="s">
        <v>50</v>
      </c>
      <c r="AE1117" s="5" t="s">
        <v>4416</v>
      </c>
      <c r="AF1117" t="s">
        <v>47</v>
      </c>
      <c r="AG1117" t="s">
        <v>47</v>
      </c>
      <c r="AH1117" t="s">
        <v>47</v>
      </c>
      <c r="AI1117" t="s">
        <v>47</v>
      </c>
      <c r="AJ1117" t="s">
        <v>47</v>
      </c>
      <c r="AK1117" t="s">
        <v>47</v>
      </c>
      <c r="AL1117" t="s">
        <v>47</v>
      </c>
      <c r="AM1117" t="s">
        <v>47</v>
      </c>
      <c r="AN1117" t="s">
        <v>47</v>
      </c>
      <c r="AO1117" s="5" t="s">
        <v>60</v>
      </c>
      <c r="AP1117" s="4" t="s">
        <v>61</v>
      </c>
      <c r="AQ1117" s="4" t="s">
        <v>53</v>
      </c>
      <c r="AR1117" s="4" t="s">
        <v>54</v>
      </c>
      <c r="AS1117" s="5">
        <v>5315478</v>
      </c>
      <c r="AT1117" t="s">
        <v>47</v>
      </c>
    </row>
    <row r="1118" spans="1:46" ht="26" x14ac:dyDescent="0.3">
      <c r="A1118" s="4" t="s">
        <v>4417</v>
      </c>
      <c r="B1118" t="s">
        <v>47</v>
      </c>
      <c r="C1118" s="4" t="s">
        <v>48</v>
      </c>
      <c r="D1118" s="4" t="s">
        <v>139</v>
      </c>
      <c r="E1118" s="4" t="s">
        <v>49</v>
      </c>
      <c r="F1118" t="s">
        <v>47</v>
      </c>
      <c r="G1118" t="s">
        <v>47</v>
      </c>
      <c r="H1118" t="s">
        <v>47</v>
      </c>
      <c r="I1118" s="3">
        <v>43308</v>
      </c>
      <c r="J1118" s="5" t="s">
        <v>50</v>
      </c>
      <c r="K1118" t="s">
        <v>47</v>
      </c>
      <c r="L1118" s="5" t="s">
        <v>51</v>
      </c>
      <c r="M1118" s="3">
        <v>43308</v>
      </c>
      <c r="N1118" s="5" t="s">
        <v>50</v>
      </c>
      <c r="O1118" t="s">
        <v>47</v>
      </c>
      <c r="P1118" t="s">
        <v>47</v>
      </c>
      <c r="Q1118" t="s">
        <v>47</v>
      </c>
      <c r="R1118" t="s">
        <v>47</v>
      </c>
      <c r="S1118" t="s">
        <v>47</v>
      </c>
      <c r="T1118" t="s">
        <v>47</v>
      </c>
      <c r="U1118" t="s">
        <v>47</v>
      </c>
      <c r="V1118" t="s">
        <v>47</v>
      </c>
      <c r="W1118" s="3">
        <v>43308</v>
      </c>
      <c r="X1118" s="5" t="s">
        <v>50</v>
      </c>
      <c r="Y1118" t="s">
        <v>47</v>
      </c>
      <c r="Z1118" s="3">
        <v>43308</v>
      </c>
      <c r="AA1118" s="5" t="s">
        <v>50</v>
      </c>
      <c r="AB1118" t="s">
        <v>47</v>
      </c>
      <c r="AC1118" s="3">
        <v>43620</v>
      </c>
      <c r="AD1118" s="3">
        <v>43620</v>
      </c>
      <c r="AE1118" t="s">
        <v>47</v>
      </c>
      <c r="AF1118" t="s">
        <v>47</v>
      </c>
      <c r="AG1118" t="s">
        <v>47</v>
      </c>
      <c r="AH1118" t="s">
        <v>47</v>
      </c>
      <c r="AI1118" t="s">
        <v>47</v>
      </c>
      <c r="AJ1118" t="s">
        <v>47</v>
      </c>
      <c r="AK1118" t="s">
        <v>47</v>
      </c>
      <c r="AL1118" t="s">
        <v>47</v>
      </c>
      <c r="AM1118" t="s">
        <v>47</v>
      </c>
      <c r="AN1118" t="s">
        <v>47</v>
      </c>
      <c r="AO1118" s="5" t="s">
        <v>51</v>
      </c>
      <c r="AP1118" s="4" t="s">
        <v>52</v>
      </c>
      <c r="AQ1118" s="4" t="s">
        <v>53</v>
      </c>
      <c r="AR1118" s="4" t="s">
        <v>54</v>
      </c>
      <c r="AS1118" s="5">
        <v>4396032</v>
      </c>
      <c r="AT1118" t="s">
        <v>47</v>
      </c>
    </row>
    <row r="1119" spans="1:46" ht="65" x14ac:dyDescent="0.3">
      <c r="A1119" s="4" t="s">
        <v>4418</v>
      </c>
      <c r="B1119" t="s">
        <v>47</v>
      </c>
      <c r="C1119" s="4" t="s">
        <v>169</v>
      </c>
      <c r="D1119" s="4" t="s">
        <v>2812</v>
      </c>
      <c r="E1119" s="4" t="s">
        <v>66</v>
      </c>
      <c r="F1119" s="5" t="s">
        <v>4419</v>
      </c>
      <c r="G1119" s="5" t="s">
        <v>4420</v>
      </c>
      <c r="H1119" t="s">
        <v>47</v>
      </c>
      <c r="I1119" s="3">
        <v>35339</v>
      </c>
      <c r="J1119" s="3">
        <v>36708</v>
      </c>
      <c r="K1119" t="s">
        <v>47</v>
      </c>
      <c r="L1119" s="5" t="s">
        <v>60</v>
      </c>
      <c r="M1119" s="3">
        <v>35339</v>
      </c>
      <c r="N1119" s="3">
        <v>36708</v>
      </c>
      <c r="O1119" t="s">
        <v>47</v>
      </c>
      <c r="P1119" s="3">
        <v>35339</v>
      </c>
      <c r="Q1119" s="3">
        <v>36708</v>
      </c>
      <c r="R1119" t="s">
        <v>47</v>
      </c>
      <c r="S1119" t="s">
        <v>47</v>
      </c>
      <c r="T1119" t="s">
        <v>47</v>
      </c>
      <c r="U1119" t="s">
        <v>47</v>
      </c>
      <c r="V1119" t="s">
        <v>47</v>
      </c>
      <c r="W1119" s="3">
        <v>35339</v>
      </c>
      <c r="X1119" s="5" t="s">
        <v>50</v>
      </c>
      <c r="Y1119" t="s">
        <v>47</v>
      </c>
      <c r="Z1119" s="3">
        <v>35339</v>
      </c>
      <c r="AA1119" s="5" t="s">
        <v>50</v>
      </c>
      <c r="AB1119" t="s">
        <v>47</v>
      </c>
      <c r="AC1119" s="3">
        <v>35339</v>
      </c>
      <c r="AD1119" s="5" t="s">
        <v>50</v>
      </c>
      <c r="AE1119" t="s">
        <v>47</v>
      </c>
      <c r="AF1119" t="s">
        <v>47</v>
      </c>
      <c r="AG1119" t="s">
        <v>47</v>
      </c>
      <c r="AH1119" t="s">
        <v>47</v>
      </c>
      <c r="AI1119" t="s">
        <v>47</v>
      </c>
      <c r="AJ1119" t="s">
        <v>47</v>
      </c>
      <c r="AK1119" t="s">
        <v>47</v>
      </c>
      <c r="AL1119" t="s">
        <v>47</v>
      </c>
      <c r="AM1119" t="s">
        <v>47</v>
      </c>
      <c r="AN1119" t="s">
        <v>47</v>
      </c>
      <c r="AO1119" s="5" t="s">
        <v>60</v>
      </c>
      <c r="AP1119" s="4" t="s">
        <v>61</v>
      </c>
      <c r="AQ1119" s="4" t="s">
        <v>53</v>
      </c>
      <c r="AR1119" s="4" t="s">
        <v>543</v>
      </c>
      <c r="AS1119" s="5">
        <v>28738</v>
      </c>
      <c r="AT1119" t="s">
        <v>47</v>
      </c>
    </row>
    <row r="1120" spans="1:46" ht="78" x14ac:dyDescent="0.3">
      <c r="A1120" s="4" t="s">
        <v>4421</v>
      </c>
      <c r="B1120" t="s">
        <v>47</v>
      </c>
      <c r="C1120" s="4" t="s">
        <v>4422</v>
      </c>
      <c r="D1120" s="4" t="s">
        <v>4423</v>
      </c>
      <c r="E1120" s="4" t="s">
        <v>49</v>
      </c>
      <c r="F1120" s="5" t="s">
        <v>4424</v>
      </c>
      <c r="G1120" s="5" t="s">
        <v>4425</v>
      </c>
      <c r="H1120" t="s">
        <v>47</v>
      </c>
      <c r="I1120" s="3">
        <v>38504</v>
      </c>
      <c r="J1120" s="3">
        <v>40513</v>
      </c>
      <c r="K1120" t="s">
        <v>47</v>
      </c>
      <c r="L1120" s="5" t="s">
        <v>60</v>
      </c>
      <c r="M1120" s="3">
        <v>38504</v>
      </c>
      <c r="N1120" s="3">
        <v>40513</v>
      </c>
      <c r="O1120" t="s">
        <v>47</v>
      </c>
      <c r="P1120" s="3">
        <v>38504</v>
      </c>
      <c r="Q1120" s="3">
        <v>40513</v>
      </c>
      <c r="R1120" t="s">
        <v>47</v>
      </c>
      <c r="S1120" t="s">
        <v>47</v>
      </c>
      <c r="T1120" t="s">
        <v>47</v>
      </c>
      <c r="U1120" t="s">
        <v>47</v>
      </c>
      <c r="V1120" t="s">
        <v>47</v>
      </c>
      <c r="W1120" s="3">
        <v>38504</v>
      </c>
      <c r="X1120" s="3">
        <v>40513</v>
      </c>
      <c r="Y1120" t="s">
        <v>47</v>
      </c>
      <c r="Z1120" s="3">
        <v>38504</v>
      </c>
      <c r="AA1120" s="3">
        <v>40513</v>
      </c>
      <c r="AB1120" t="s">
        <v>47</v>
      </c>
      <c r="AC1120" t="s">
        <v>47</v>
      </c>
      <c r="AD1120" t="s">
        <v>47</v>
      </c>
      <c r="AE1120" t="s">
        <v>47</v>
      </c>
      <c r="AF1120" t="s">
        <v>47</v>
      </c>
      <c r="AG1120" t="s">
        <v>47</v>
      </c>
      <c r="AH1120" t="s">
        <v>47</v>
      </c>
      <c r="AI1120" t="s">
        <v>47</v>
      </c>
      <c r="AJ1120" t="s">
        <v>47</v>
      </c>
      <c r="AK1120" t="s">
        <v>47</v>
      </c>
      <c r="AL1120" t="s">
        <v>47</v>
      </c>
      <c r="AM1120" t="s">
        <v>47</v>
      </c>
      <c r="AN1120" t="s">
        <v>47</v>
      </c>
      <c r="AO1120" s="5" t="s">
        <v>60</v>
      </c>
      <c r="AP1120" s="4" t="s">
        <v>61</v>
      </c>
      <c r="AQ1120" s="4" t="s">
        <v>53</v>
      </c>
      <c r="AR1120" s="4" t="s">
        <v>577</v>
      </c>
      <c r="AS1120" s="5">
        <v>49177</v>
      </c>
      <c r="AT1120" t="s">
        <v>47</v>
      </c>
    </row>
    <row r="1121" spans="1:46" ht="39" x14ac:dyDescent="0.3">
      <c r="A1121" s="4" t="s">
        <v>4426</v>
      </c>
      <c r="B1121" t="s">
        <v>47</v>
      </c>
      <c r="C1121" s="4" t="s">
        <v>4427</v>
      </c>
      <c r="D1121" s="4" t="s">
        <v>88</v>
      </c>
      <c r="E1121" s="4" t="s">
        <v>49</v>
      </c>
      <c r="F1121" s="5" t="s">
        <v>4428</v>
      </c>
      <c r="G1121" t="s">
        <v>47</v>
      </c>
      <c r="H1121" t="s">
        <v>47</v>
      </c>
      <c r="I1121" s="3">
        <v>35796</v>
      </c>
      <c r="J1121" s="5" t="s">
        <v>50</v>
      </c>
      <c r="K1121" t="s">
        <v>47</v>
      </c>
      <c r="L1121" s="5" t="s">
        <v>51</v>
      </c>
      <c r="M1121" s="3">
        <v>35796</v>
      </c>
      <c r="N1121" s="5" t="s">
        <v>50</v>
      </c>
      <c r="O1121" t="s">
        <v>47</v>
      </c>
      <c r="P1121" s="3">
        <v>38078</v>
      </c>
      <c r="Q1121" s="5" t="s">
        <v>50</v>
      </c>
      <c r="R1121" t="s">
        <v>47</v>
      </c>
      <c r="S1121" t="s">
        <v>47</v>
      </c>
      <c r="T1121" t="s">
        <v>47</v>
      </c>
      <c r="U1121" t="s">
        <v>47</v>
      </c>
      <c r="V1121" t="s">
        <v>47</v>
      </c>
      <c r="W1121" s="3">
        <v>35796</v>
      </c>
      <c r="X1121" s="5" t="s">
        <v>50</v>
      </c>
      <c r="Y1121" t="s">
        <v>47</v>
      </c>
      <c r="Z1121" s="3">
        <v>35796</v>
      </c>
      <c r="AA1121" s="5" t="s">
        <v>50</v>
      </c>
      <c r="AB1121" t="s">
        <v>47</v>
      </c>
      <c r="AC1121" s="3">
        <v>35796</v>
      </c>
      <c r="AD1121" s="5" t="s">
        <v>50</v>
      </c>
      <c r="AE1121" t="s">
        <v>47</v>
      </c>
      <c r="AF1121" t="s">
        <v>47</v>
      </c>
      <c r="AG1121" t="s">
        <v>47</v>
      </c>
      <c r="AH1121" t="s">
        <v>47</v>
      </c>
      <c r="AI1121" t="s">
        <v>47</v>
      </c>
      <c r="AJ1121" t="s">
        <v>47</v>
      </c>
      <c r="AK1121" t="s">
        <v>47</v>
      </c>
      <c r="AL1121" t="s">
        <v>47</v>
      </c>
      <c r="AM1121" t="s">
        <v>47</v>
      </c>
      <c r="AN1121" t="s">
        <v>47</v>
      </c>
      <c r="AO1121" s="5" t="s">
        <v>51</v>
      </c>
      <c r="AP1121" s="4" t="s">
        <v>85</v>
      </c>
      <c r="AQ1121" s="4" t="s">
        <v>53</v>
      </c>
      <c r="AR1121" s="4" t="s">
        <v>62</v>
      </c>
      <c r="AS1121" s="5">
        <v>41170</v>
      </c>
      <c r="AT1121" t="s">
        <v>47</v>
      </c>
    </row>
    <row r="1122" spans="1:46" ht="169" x14ac:dyDescent="0.3">
      <c r="A1122" s="4" t="s">
        <v>4429</v>
      </c>
      <c r="B1122" t="s">
        <v>47</v>
      </c>
      <c r="C1122" s="4" t="s">
        <v>4430</v>
      </c>
      <c r="D1122" s="4" t="s">
        <v>4431</v>
      </c>
      <c r="E1122" s="4" t="s">
        <v>49</v>
      </c>
      <c r="F1122" s="5" t="s">
        <v>4432</v>
      </c>
      <c r="G1122" t="s">
        <v>47</v>
      </c>
      <c r="H1122" t="s">
        <v>47</v>
      </c>
      <c r="I1122" s="3">
        <v>35827</v>
      </c>
      <c r="J1122" s="3">
        <v>43252</v>
      </c>
      <c r="K1122" t="s">
        <v>47</v>
      </c>
      <c r="L1122" s="5" t="s">
        <v>51</v>
      </c>
      <c r="M1122" s="3">
        <v>35827</v>
      </c>
      <c r="N1122" s="3">
        <v>43252</v>
      </c>
      <c r="O1122" t="s">
        <v>47</v>
      </c>
      <c r="P1122" s="3">
        <v>35827</v>
      </c>
      <c r="Q1122" s="3">
        <v>43252</v>
      </c>
      <c r="R1122" t="s">
        <v>47</v>
      </c>
      <c r="S1122" t="s">
        <v>47</v>
      </c>
      <c r="T1122" t="s">
        <v>47</v>
      </c>
      <c r="U1122" t="s">
        <v>47</v>
      </c>
      <c r="V1122" t="s">
        <v>47</v>
      </c>
      <c r="W1122" s="3">
        <v>35827</v>
      </c>
      <c r="X1122" s="3">
        <v>43252</v>
      </c>
      <c r="Y1122" t="s">
        <v>47</v>
      </c>
      <c r="Z1122" s="3">
        <v>35827</v>
      </c>
      <c r="AA1122" s="3">
        <v>43252</v>
      </c>
      <c r="AB1122" t="s">
        <v>47</v>
      </c>
      <c r="AC1122" s="3">
        <v>37987</v>
      </c>
      <c r="AD1122" s="3">
        <v>43252</v>
      </c>
      <c r="AE1122" t="s">
        <v>47</v>
      </c>
      <c r="AF1122" t="s">
        <v>47</v>
      </c>
      <c r="AG1122" t="s">
        <v>47</v>
      </c>
      <c r="AH1122" t="s">
        <v>47</v>
      </c>
      <c r="AI1122" t="s">
        <v>47</v>
      </c>
      <c r="AJ1122" t="s">
        <v>47</v>
      </c>
      <c r="AK1122" t="s">
        <v>47</v>
      </c>
      <c r="AL1122" t="s">
        <v>47</v>
      </c>
      <c r="AM1122" t="s">
        <v>47</v>
      </c>
      <c r="AN1122" t="s">
        <v>47</v>
      </c>
      <c r="AO1122" s="5" t="s">
        <v>51</v>
      </c>
      <c r="AP1122" s="4" t="s">
        <v>85</v>
      </c>
      <c r="AQ1122" s="4" t="s">
        <v>53</v>
      </c>
      <c r="AR1122" s="4" t="s">
        <v>4433</v>
      </c>
      <c r="AS1122" s="5">
        <v>35512</v>
      </c>
      <c r="AT1122" t="s">
        <v>47</v>
      </c>
    </row>
    <row r="1123" spans="1:46" ht="169" x14ac:dyDescent="0.3">
      <c r="A1123" s="4" t="s">
        <v>4434</v>
      </c>
      <c r="B1123" t="s">
        <v>47</v>
      </c>
      <c r="C1123" s="4" t="s">
        <v>115</v>
      </c>
      <c r="D1123" s="4" t="s">
        <v>1366</v>
      </c>
      <c r="E1123" s="4" t="s">
        <v>66</v>
      </c>
      <c r="F1123" s="5" t="s">
        <v>4435</v>
      </c>
      <c r="G1123" t="s">
        <v>47</v>
      </c>
      <c r="H1123" t="s">
        <v>47</v>
      </c>
      <c r="I1123" s="3">
        <v>34425</v>
      </c>
      <c r="J1123" s="3">
        <v>36526</v>
      </c>
      <c r="K1123" s="5" t="s">
        <v>1136</v>
      </c>
      <c r="L1123" s="5" t="s">
        <v>60</v>
      </c>
      <c r="M1123" s="3">
        <v>34425</v>
      </c>
      <c r="N1123" s="3">
        <v>36526</v>
      </c>
      <c r="O1123" s="5" t="s">
        <v>1136</v>
      </c>
      <c r="P1123" s="3">
        <v>35065</v>
      </c>
      <c r="Q1123" s="3">
        <v>36526</v>
      </c>
      <c r="R1123" t="s">
        <v>47</v>
      </c>
      <c r="S1123" t="s">
        <v>47</v>
      </c>
      <c r="T1123" t="s">
        <v>47</v>
      </c>
      <c r="U1123" t="s">
        <v>47</v>
      </c>
      <c r="V1123" t="s">
        <v>47</v>
      </c>
      <c r="W1123" s="3">
        <v>34425</v>
      </c>
      <c r="X1123" s="3">
        <v>36526</v>
      </c>
      <c r="Y1123" s="5" t="s">
        <v>1136</v>
      </c>
      <c r="Z1123" s="3">
        <v>34425</v>
      </c>
      <c r="AA1123" s="3">
        <v>36526</v>
      </c>
      <c r="AB1123" s="5" t="s">
        <v>1136</v>
      </c>
      <c r="AC1123" s="3">
        <v>34425</v>
      </c>
      <c r="AD1123" s="3">
        <v>36526</v>
      </c>
      <c r="AE1123" s="5" t="s">
        <v>1136</v>
      </c>
      <c r="AF1123" t="s">
        <v>47</v>
      </c>
      <c r="AG1123" t="s">
        <v>47</v>
      </c>
      <c r="AH1123" t="s">
        <v>47</v>
      </c>
      <c r="AI1123" t="s">
        <v>47</v>
      </c>
      <c r="AJ1123" t="s">
        <v>47</v>
      </c>
      <c r="AK1123" t="s">
        <v>47</v>
      </c>
      <c r="AL1123" t="s">
        <v>47</v>
      </c>
      <c r="AM1123" t="s">
        <v>47</v>
      </c>
      <c r="AN1123" t="s">
        <v>47</v>
      </c>
      <c r="AO1123" s="5" t="s">
        <v>60</v>
      </c>
      <c r="AP1123" s="4" t="s">
        <v>61</v>
      </c>
      <c r="AQ1123" s="4" t="s">
        <v>53</v>
      </c>
      <c r="AR1123" s="4" t="s">
        <v>4436</v>
      </c>
      <c r="AS1123" s="5">
        <v>36747</v>
      </c>
      <c r="AT1123" t="s">
        <v>47</v>
      </c>
    </row>
    <row r="1124" spans="1:46" ht="65" x14ac:dyDescent="0.3">
      <c r="A1124" s="4" t="s">
        <v>4437</v>
      </c>
      <c r="B1124" t="s">
        <v>47</v>
      </c>
      <c r="C1124" s="4" t="s">
        <v>2461</v>
      </c>
      <c r="D1124" s="4" t="s">
        <v>70</v>
      </c>
      <c r="E1124" s="4" t="s">
        <v>49</v>
      </c>
      <c r="F1124" s="5" t="s">
        <v>4438</v>
      </c>
      <c r="G1124" t="s">
        <v>47</v>
      </c>
      <c r="H1124" t="s">
        <v>47</v>
      </c>
      <c r="I1124" s="3">
        <v>35065</v>
      </c>
      <c r="J1124" s="5" t="s">
        <v>50</v>
      </c>
      <c r="K1124" t="s">
        <v>47</v>
      </c>
      <c r="L1124" s="5" t="s">
        <v>51</v>
      </c>
      <c r="M1124" s="3">
        <v>35247</v>
      </c>
      <c r="N1124" s="5" t="s">
        <v>50</v>
      </c>
      <c r="O1124" t="s">
        <v>47</v>
      </c>
      <c r="P1124" s="3">
        <v>35065</v>
      </c>
      <c r="Q1124" s="3">
        <v>38899</v>
      </c>
      <c r="R1124" t="s">
        <v>47</v>
      </c>
      <c r="S1124" t="s">
        <v>47</v>
      </c>
      <c r="T1124" t="s">
        <v>47</v>
      </c>
      <c r="U1124" t="s">
        <v>47</v>
      </c>
      <c r="V1124" t="s">
        <v>47</v>
      </c>
      <c r="W1124" s="3">
        <v>32509</v>
      </c>
      <c r="X1124" s="5" t="s">
        <v>50</v>
      </c>
      <c r="Y1124" t="s">
        <v>47</v>
      </c>
      <c r="Z1124" s="3">
        <v>32509</v>
      </c>
      <c r="AA1124" s="5" t="s">
        <v>50</v>
      </c>
      <c r="AB1124" t="s">
        <v>47</v>
      </c>
      <c r="AC1124" s="3">
        <v>32509</v>
      </c>
      <c r="AD1124" s="5" t="s">
        <v>50</v>
      </c>
      <c r="AE1124" t="s">
        <v>47</v>
      </c>
      <c r="AF1124" t="s">
        <v>47</v>
      </c>
      <c r="AG1124" t="s">
        <v>47</v>
      </c>
      <c r="AH1124" t="s">
        <v>47</v>
      </c>
      <c r="AI1124" t="s">
        <v>47</v>
      </c>
      <c r="AJ1124" t="s">
        <v>47</v>
      </c>
      <c r="AK1124" t="s">
        <v>47</v>
      </c>
      <c r="AL1124" t="s">
        <v>47</v>
      </c>
      <c r="AM1124" t="s">
        <v>47</v>
      </c>
      <c r="AN1124" t="s">
        <v>47</v>
      </c>
      <c r="AO1124" s="5" t="s">
        <v>51</v>
      </c>
      <c r="AP1124" s="4" t="s">
        <v>85</v>
      </c>
      <c r="AQ1124" s="4" t="s">
        <v>53</v>
      </c>
      <c r="AR1124" s="4" t="s">
        <v>4439</v>
      </c>
      <c r="AS1124" s="5">
        <v>40955</v>
      </c>
      <c r="AT1124" t="s">
        <v>47</v>
      </c>
    </row>
    <row r="1125" spans="1:46" ht="39" x14ac:dyDescent="0.3">
      <c r="A1125" s="4" t="s">
        <v>4440</v>
      </c>
      <c r="B1125" t="s">
        <v>47</v>
      </c>
      <c r="C1125" s="4" t="s">
        <v>779</v>
      </c>
      <c r="D1125" s="4" t="s">
        <v>4441</v>
      </c>
      <c r="E1125" s="4" t="s">
        <v>49</v>
      </c>
      <c r="F1125" s="5" t="s">
        <v>4442</v>
      </c>
      <c r="G1125" t="s">
        <v>47</v>
      </c>
      <c r="H1125" t="s">
        <v>47</v>
      </c>
      <c r="I1125" t="s">
        <v>47</v>
      </c>
      <c r="J1125" t="s">
        <v>47</v>
      </c>
      <c r="K1125" t="s">
        <v>47</v>
      </c>
      <c r="L1125" s="5" t="s">
        <v>51</v>
      </c>
      <c r="M1125" t="s">
        <v>47</v>
      </c>
      <c r="N1125" t="s">
        <v>47</v>
      </c>
      <c r="O1125" t="s">
        <v>47</v>
      </c>
      <c r="P1125" t="s">
        <v>47</v>
      </c>
      <c r="Q1125" t="s">
        <v>47</v>
      </c>
      <c r="R1125" t="s">
        <v>47</v>
      </c>
      <c r="S1125" t="s">
        <v>47</v>
      </c>
      <c r="T1125" t="s">
        <v>47</v>
      </c>
      <c r="U1125" t="s">
        <v>47</v>
      </c>
      <c r="V1125" t="s">
        <v>47</v>
      </c>
      <c r="W1125" s="3">
        <v>37622</v>
      </c>
      <c r="X1125" s="3">
        <v>42125</v>
      </c>
      <c r="Y1125" t="s">
        <v>47</v>
      </c>
      <c r="Z1125" s="3">
        <v>37622</v>
      </c>
      <c r="AA1125" s="3">
        <v>42125</v>
      </c>
      <c r="AB1125" t="s">
        <v>47</v>
      </c>
      <c r="AC1125" s="3">
        <v>37622</v>
      </c>
      <c r="AD1125" s="3">
        <v>42125</v>
      </c>
      <c r="AE1125" t="s">
        <v>47</v>
      </c>
      <c r="AF1125" t="s">
        <v>47</v>
      </c>
      <c r="AG1125" t="s">
        <v>47</v>
      </c>
      <c r="AH1125" t="s">
        <v>47</v>
      </c>
      <c r="AI1125" t="s">
        <v>47</v>
      </c>
      <c r="AJ1125" t="s">
        <v>47</v>
      </c>
      <c r="AK1125" t="s">
        <v>47</v>
      </c>
      <c r="AL1125" t="s">
        <v>47</v>
      </c>
      <c r="AM1125" t="s">
        <v>47</v>
      </c>
      <c r="AN1125" t="s">
        <v>47</v>
      </c>
      <c r="AO1125" s="5" t="s">
        <v>51</v>
      </c>
      <c r="AP1125" s="4" t="s">
        <v>85</v>
      </c>
      <c r="AQ1125" s="4" t="s">
        <v>53</v>
      </c>
      <c r="AR1125" s="4" t="s">
        <v>385</v>
      </c>
      <c r="AS1125" s="5">
        <v>44635</v>
      </c>
      <c r="AT1125" t="s">
        <v>47</v>
      </c>
    </row>
    <row r="1126" spans="1:46" ht="39" x14ac:dyDescent="0.3">
      <c r="A1126" s="4" t="s">
        <v>4443</v>
      </c>
      <c r="B1126" t="s">
        <v>47</v>
      </c>
      <c r="C1126" s="4" t="s">
        <v>323</v>
      </c>
      <c r="D1126" s="4" t="s">
        <v>324</v>
      </c>
      <c r="E1126" s="4" t="s">
        <v>49</v>
      </c>
      <c r="F1126" s="5" t="s">
        <v>4444</v>
      </c>
      <c r="G1126" s="5" t="s">
        <v>4445</v>
      </c>
      <c r="H1126" t="s">
        <v>47</v>
      </c>
      <c r="I1126" t="s">
        <v>47</v>
      </c>
      <c r="J1126" t="s">
        <v>47</v>
      </c>
      <c r="K1126" t="s">
        <v>47</v>
      </c>
      <c r="L1126" s="5" t="s">
        <v>60</v>
      </c>
      <c r="M1126" t="s">
        <v>47</v>
      </c>
      <c r="N1126" t="s">
        <v>47</v>
      </c>
      <c r="O1126" t="s">
        <v>47</v>
      </c>
      <c r="P1126" t="s">
        <v>47</v>
      </c>
      <c r="Q1126" t="s">
        <v>47</v>
      </c>
      <c r="R1126" t="s">
        <v>47</v>
      </c>
      <c r="S1126" t="s">
        <v>47</v>
      </c>
      <c r="T1126" t="s">
        <v>47</v>
      </c>
      <c r="U1126" t="s">
        <v>47</v>
      </c>
      <c r="V1126" t="s">
        <v>47</v>
      </c>
      <c r="W1126" s="3">
        <v>27030</v>
      </c>
      <c r="X1126" s="5" t="s">
        <v>50</v>
      </c>
      <c r="Y1126" t="s">
        <v>47</v>
      </c>
      <c r="Z1126" s="3">
        <v>27030</v>
      </c>
      <c r="AA1126" s="5" t="s">
        <v>50</v>
      </c>
      <c r="AB1126" t="s">
        <v>47</v>
      </c>
      <c r="AC1126" s="3">
        <v>32143</v>
      </c>
      <c r="AD1126" s="5" t="s">
        <v>50</v>
      </c>
      <c r="AE1126" t="s">
        <v>47</v>
      </c>
      <c r="AF1126" t="s">
        <v>47</v>
      </c>
      <c r="AG1126" t="s">
        <v>47</v>
      </c>
      <c r="AH1126" t="s">
        <v>47</v>
      </c>
      <c r="AI1126" t="s">
        <v>47</v>
      </c>
      <c r="AJ1126" t="s">
        <v>47</v>
      </c>
      <c r="AK1126" t="s">
        <v>47</v>
      </c>
      <c r="AL1126" t="s">
        <v>47</v>
      </c>
      <c r="AM1126" t="s">
        <v>47</v>
      </c>
      <c r="AN1126" t="s">
        <v>47</v>
      </c>
      <c r="AO1126" s="5" t="s">
        <v>60</v>
      </c>
      <c r="AP1126" s="4" t="s">
        <v>61</v>
      </c>
      <c r="AQ1126" s="4" t="s">
        <v>53</v>
      </c>
      <c r="AR1126" s="4" t="s">
        <v>385</v>
      </c>
      <c r="AS1126" s="5">
        <v>42052</v>
      </c>
      <c r="AT1126" t="s">
        <v>47</v>
      </c>
    </row>
    <row r="1127" spans="1:46" ht="39" x14ac:dyDescent="0.3">
      <c r="A1127" s="4" t="s">
        <v>4446</v>
      </c>
      <c r="B1127" t="s">
        <v>47</v>
      </c>
      <c r="C1127" s="4" t="s">
        <v>382</v>
      </c>
      <c r="D1127" s="4" t="s">
        <v>324</v>
      </c>
      <c r="E1127" s="4" t="s">
        <v>49</v>
      </c>
      <c r="F1127" s="5" t="s">
        <v>4447</v>
      </c>
      <c r="G1127" s="5" t="s">
        <v>4448</v>
      </c>
      <c r="H1127" t="s">
        <v>47</v>
      </c>
      <c r="I1127" s="3">
        <v>35855</v>
      </c>
      <c r="J1127" s="5" t="s">
        <v>50</v>
      </c>
      <c r="K1127" s="5" t="s">
        <v>4449</v>
      </c>
      <c r="L1127" s="5" t="s">
        <v>60</v>
      </c>
      <c r="M1127" s="3">
        <v>35855</v>
      </c>
      <c r="N1127" s="5" t="s">
        <v>50</v>
      </c>
      <c r="O1127" s="5" t="s">
        <v>4449</v>
      </c>
      <c r="P1127" s="3">
        <v>35855</v>
      </c>
      <c r="Q1127" s="5" t="s">
        <v>50</v>
      </c>
      <c r="R1127" s="5" t="s">
        <v>4449</v>
      </c>
      <c r="S1127" t="s">
        <v>47</v>
      </c>
      <c r="T1127" t="s">
        <v>47</v>
      </c>
      <c r="U1127" t="s">
        <v>47</v>
      </c>
      <c r="V1127" t="s">
        <v>47</v>
      </c>
      <c r="W1127" s="3">
        <v>32509</v>
      </c>
      <c r="X1127" s="5" t="s">
        <v>50</v>
      </c>
      <c r="Y1127" t="s">
        <v>47</v>
      </c>
      <c r="Z1127" s="3">
        <v>32509</v>
      </c>
      <c r="AA1127" s="5" t="s">
        <v>50</v>
      </c>
      <c r="AB1127" t="s">
        <v>47</v>
      </c>
      <c r="AC1127" s="3">
        <v>32509</v>
      </c>
      <c r="AD1127" s="5" t="s">
        <v>50</v>
      </c>
      <c r="AE1127" t="s">
        <v>47</v>
      </c>
      <c r="AF1127" t="s">
        <v>47</v>
      </c>
      <c r="AG1127" t="s">
        <v>47</v>
      </c>
      <c r="AH1127" t="s">
        <v>47</v>
      </c>
      <c r="AI1127" t="s">
        <v>47</v>
      </c>
      <c r="AJ1127" t="s">
        <v>47</v>
      </c>
      <c r="AK1127" t="s">
        <v>47</v>
      </c>
      <c r="AL1127" t="s">
        <v>47</v>
      </c>
      <c r="AM1127" t="s">
        <v>47</v>
      </c>
      <c r="AN1127" t="s">
        <v>47</v>
      </c>
      <c r="AO1127" s="5" t="s">
        <v>60</v>
      </c>
      <c r="AP1127" s="4" t="s">
        <v>61</v>
      </c>
      <c r="AQ1127" s="4" t="s">
        <v>53</v>
      </c>
      <c r="AR1127" s="4" t="s">
        <v>385</v>
      </c>
      <c r="AS1127" s="5">
        <v>37743</v>
      </c>
      <c r="AT1127" t="s">
        <v>47</v>
      </c>
    </row>
    <row r="1128" spans="1:46" ht="39" x14ac:dyDescent="0.3">
      <c r="A1128" s="4" t="s">
        <v>4450</v>
      </c>
      <c r="B1128" t="s">
        <v>47</v>
      </c>
      <c r="C1128" s="4" t="s">
        <v>884</v>
      </c>
      <c r="D1128" s="4" t="s">
        <v>885</v>
      </c>
      <c r="E1128" s="4" t="s">
        <v>49</v>
      </c>
      <c r="F1128" s="5" t="s">
        <v>4451</v>
      </c>
      <c r="G1128" s="5" t="s">
        <v>4452</v>
      </c>
      <c r="H1128" t="s">
        <v>47</v>
      </c>
      <c r="I1128" s="3">
        <v>35612</v>
      </c>
      <c r="J1128" s="5" t="s">
        <v>50</v>
      </c>
      <c r="K1128" t="s">
        <v>47</v>
      </c>
      <c r="L1128" s="5" t="s">
        <v>60</v>
      </c>
      <c r="M1128" s="3">
        <v>35612</v>
      </c>
      <c r="N1128" s="5" t="s">
        <v>50</v>
      </c>
      <c r="O1128" t="s">
        <v>47</v>
      </c>
      <c r="P1128" s="3">
        <v>35612</v>
      </c>
      <c r="Q1128" s="5" t="s">
        <v>50</v>
      </c>
      <c r="R1128" t="s">
        <v>47</v>
      </c>
      <c r="S1128" t="s">
        <v>47</v>
      </c>
      <c r="T1128" t="s">
        <v>47</v>
      </c>
      <c r="U1128" t="s">
        <v>47</v>
      </c>
      <c r="V1128" s="5">
        <v>365</v>
      </c>
      <c r="W1128" s="3">
        <v>32143</v>
      </c>
      <c r="X1128" s="5" t="s">
        <v>50</v>
      </c>
      <c r="Y1128" t="s">
        <v>47</v>
      </c>
      <c r="Z1128" s="3">
        <v>32143</v>
      </c>
      <c r="AA1128" s="5" t="s">
        <v>50</v>
      </c>
      <c r="AB1128" t="s">
        <v>47</v>
      </c>
      <c r="AC1128" s="3">
        <v>32143</v>
      </c>
      <c r="AD1128" s="5" t="s">
        <v>50</v>
      </c>
      <c r="AE1128" t="s">
        <v>47</v>
      </c>
      <c r="AF1128" t="s">
        <v>47</v>
      </c>
      <c r="AG1128" t="s">
        <v>47</v>
      </c>
      <c r="AH1128" t="s">
        <v>47</v>
      </c>
      <c r="AI1128" t="s">
        <v>47</v>
      </c>
      <c r="AJ1128" t="s">
        <v>47</v>
      </c>
      <c r="AK1128" t="s">
        <v>47</v>
      </c>
      <c r="AL1128" t="s">
        <v>47</v>
      </c>
      <c r="AM1128" t="s">
        <v>47</v>
      </c>
      <c r="AN1128" t="s">
        <v>47</v>
      </c>
      <c r="AO1128" s="5" t="s">
        <v>60</v>
      </c>
      <c r="AP1128" s="4" t="s">
        <v>61</v>
      </c>
      <c r="AQ1128" s="4" t="s">
        <v>53</v>
      </c>
      <c r="AR1128" s="4" t="s">
        <v>385</v>
      </c>
      <c r="AS1128" s="5">
        <v>34778</v>
      </c>
      <c r="AT1128" t="s">
        <v>47</v>
      </c>
    </row>
    <row r="1129" spans="1:46" ht="143" x14ac:dyDescent="0.3">
      <c r="A1129" s="4" t="s">
        <v>4453</v>
      </c>
      <c r="B1129" t="s">
        <v>47</v>
      </c>
      <c r="C1129" s="4" t="s">
        <v>1365</v>
      </c>
      <c r="D1129" s="4" t="s">
        <v>3034</v>
      </c>
      <c r="E1129" s="4" t="s">
        <v>49</v>
      </c>
      <c r="F1129" s="5" t="s">
        <v>4454</v>
      </c>
      <c r="G1129" t="s">
        <v>47</v>
      </c>
      <c r="H1129" t="s">
        <v>47</v>
      </c>
      <c r="I1129" s="3">
        <v>32021</v>
      </c>
      <c r="J1129" s="3">
        <v>37438</v>
      </c>
      <c r="K1129" t="s">
        <v>47</v>
      </c>
      <c r="L1129" s="5" t="s">
        <v>51</v>
      </c>
      <c r="M1129" s="3">
        <v>33848</v>
      </c>
      <c r="N1129" s="3">
        <v>37438</v>
      </c>
      <c r="O1129" t="s">
        <v>47</v>
      </c>
      <c r="P1129" s="3">
        <v>32021</v>
      </c>
      <c r="Q1129" s="3">
        <v>37438</v>
      </c>
      <c r="R1129" t="s">
        <v>47</v>
      </c>
      <c r="S1129" t="s">
        <v>47</v>
      </c>
      <c r="T1129" t="s">
        <v>47</v>
      </c>
      <c r="U1129" t="s">
        <v>47</v>
      </c>
      <c r="V1129" t="s">
        <v>47</v>
      </c>
      <c r="W1129" s="3">
        <v>32021</v>
      </c>
      <c r="X1129" s="3">
        <v>37438</v>
      </c>
      <c r="Y1129" t="s">
        <v>47</v>
      </c>
      <c r="Z1129" s="3">
        <v>32021</v>
      </c>
      <c r="AA1129" s="3">
        <v>37438</v>
      </c>
      <c r="AB1129" t="s">
        <v>47</v>
      </c>
      <c r="AC1129" s="3">
        <v>32021</v>
      </c>
      <c r="AD1129" s="3">
        <v>37438</v>
      </c>
      <c r="AE1129" t="s">
        <v>47</v>
      </c>
      <c r="AF1129" t="s">
        <v>47</v>
      </c>
      <c r="AG1129" t="s">
        <v>47</v>
      </c>
      <c r="AH1129" t="s">
        <v>47</v>
      </c>
      <c r="AI1129" t="s">
        <v>47</v>
      </c>
      <c r="AJ1129" t="s">
        <v>47</v>
      </c>
      <c r="AK1129" t="s">
        <v>47</v>
      </c>
      <c r="AL1129" t="s">
        <v>47</v>
      </c>
      <c r="AM1129" t="s">
        <v>47</v>
      </c>
      <c r="AN1129" t="s">
        <v>47</v>
      </c>
      <c r="AO1129" s="5" t="s">
        <v>51</v>
      </c>
      <c r="AP1129" s="4" t="s">
        <v>135</v>
      </c>
      <c r="AQ1129" s="4" t="s">
        <v>53</v>
      </c>
      <c r="AR1129" s="4" t="s">
        <v>4455</v>
      </c>
      <c r="AS1129" s="5">
        <v>36586</v>
      </c>
      <c r="AT1129" t="s">
        <v>47</v>
      </c>
    </row>
    <row r="1130" spans="1:46" ht="13" x14ac:dyDescent="0.3">
      <c r="A1130" s="4" t="s">
        <v>4456</v>
      </c>
      <c r="B1130" t="s">
        <v>47</v>
      </c>
      <c r="C1130" s="4" t="s">
        <v>200</v>
      </c>
      <c r="D1130" s="4" t="s">
        <v>748</v>
      </c>
      <c r="E1130" s="4" t="s">
        <v>66</v>
      </c>
      <c r="F1130" s="5" t="s">
        <v>4457</v>
      </c>
      <c r="G1130" s="5" t="s">
        <v>4458</v>
      </c>
      <c r="H1130" t="s">
        <v>47</v>
      </c>
      <c r="I1130" t="s">
        <v>47</v>
      </c>
      <c r="J1130" t="s">
        <v>47</v>
      </c>
      <c r="K1130" t="s">
        <v>47</v>
      </c>
      <c r="L1130" s="5" t="s">
        <v>60</v>
      </c>
      <c r="M1130" t="s">
        <v>47</v>
      </c>
      <c r="N1130" t="s">
        <v>47</v>
      </c>
      <c r="O1130" t="s">
        <v>47</v>
      </c>
      <c r="P1130" t="s">
        <v>47</v>
      </c>
      <c r="Q1130" t="s">
        <v>47</v>
      </c>
      <c r="R1130" t="s">
        <v>47</v>
      </c>
      <c r="S1130" t="s">
        <v>47</v>
      </c>
      <c r="T1130" t="s">
        <v>47</v>
      </c>
      <c r="U1130" t="s">
        <v>47</v>
      </c>
      <c r="V1130" t="s">
        <v>47</v>
      </c>
      <c r="W1130" s="3">
        <v>38292</v>
      </c>
      <c r="X1130" s="5" t="s">
        <v>50</v>
      </c>
      <c r="Y1130" t="s">
        <v>47</v>
      </c>
      <c r="Z1130" s="3">
        <v>38292</v>
      </c>
      <c r="AA1130" s="5" t="s">
        <v>50</v>
      </c>
      <c r="AB1130" t="s">
        <v>47</v>
      </c>
      <c r="AC1130" s="3">
        <v>38292</v>
      </c>
      <c r="AD1130" s="5" t="s">
        <v>50</v>
      </c>
      <c r="AE1130" t="s">
        <v>47</v>
      </c>
      <c r="AF1130" t="s">
        <v>47</v>
      </c>
      <c r="AG1130" t="s">
        <v>47</v>
      </c>
      <c r="AH1130" t="s">
        <v>47</v>
      </c>
      <c r="AI1130" t="s">
        <v>47</v>
      </c>
      <c r="AJ1130" t="s">
        <v>47</v>
      </c>
      <c r="AK1130" t="s">
        <v>47</v>
      </c>
      <c r="AL1130" t="s">
        <v>47</v>
      </c>
      <c r="AM1130" t="s">
        <v>47</v>
      </c>
      <c r="AN1130" t="s">
        <v>47</v>
      </c>
      <c r="AO1130" s="5" t="s">
        <v>60</v>
      </c>
      <c r="AP1130" s="4" t="s">
        <v>61</v>
      </c>
      <c r="AQ1130" s="4" t="s">
        <v>53</v>
      </c>
      <c r="AR1130" s="4" t="s">
        <v>54</v>
      </c>
      <c r="AS1130" s="5">
        <v>51543</v>
      </c>
      <c r="AT1130" t="s">
        <v>47</v>
      </c>
    </row>
    <row r="1131" spans="1:46" ht="65" x14ac:dyDescent="0.3">
      <c r="A1131" s="4" t="s">
        <v>4459</v>
      </c>
      <c r="B1131" t="s">
        <v>47</v>
      </c>
      <c r="C1131" s="4" t="s">
        <v>169</v>
      </c>
      <c r="D1131" s="4" t="s">
        <v>4460</v>
      </c>
      <c r="E1131" s="4" t="s">
        <v>66</v>
      </c>
      <c r="F1131" s="5" t="s">
        <v>4461</v>
      </c>
      <c r="G1131" s="5" t="s">
        <v>4462</v>
      </c>
      <c r="H1131" t="s">
        <v>47</v>
      </c>
      <c r="I1131" s="3">
        <v>37165</v>
      </c>
      <c r="J1131" s="3">
        <v>41183</v>
      </c>
      <c r="K1131" t="s">
        <v>47</v>
      </c>
      <c r="L1131" s="5" t="s">
        <v>60</v>
      </c>
      <c r="M1131" s="3">
        <v>37165</v>
      </c>
      <c r="N1131" s="3">
        <v>41183</v>
      </c>
      <c r="O1131" t="s">
        <v>47</v>
      </c>
      <c r="P1131" s="3">
        <v>37165</v>
      </c>
      <c r="Q1131" s="3">
        <v>41183</v>
      </c>
      <c r="R1131" t="s">
        <v>47</v>
      </c>
      <c r="S1131" t="s">
        <v>47</v>
      </c>
      <c r="T1131" t="s">
        <v>47</v>
      </c>
      <c r="U1131" t="s">
        <v>47</v>
      </c>
      <c r="V1131" t="s">
        <v>47</v>
      </c>
      <c r="W1131" s="3">
        <v>37073</v>
      </c>
      <c r="X1131" s="5" t="s">
        <v>50</v>
      </c>
      <c r="Y1131" s="5" t="s">
        <v>788</v>
      </c>
      <c r="Z1131" s="3">
        <v>37073</v>
      </c>
      <c r="AA1131" s="5" t="s">
        <v>50</v>
      </c>
      <c r="AB1131" s="5" t="s">
        <v>788</v>
      </c>
      <c r="AC1131" s="3">
        <v>37073</v>
      </c>
      <c r="AD1131" s="5" t="s">
        <v>50</v>
      </c>
      <c r="AE1131" s="5" t="s">
        <v>788</v>
      </c>
      <c r="AF1131" t="s">
        <v>47</v>
      </c>
      <c r="AG1131" t="s">
        <v>47</v>
      </c>
      <c r="AH1131" t="s">
        <v>47</v>
      </c>
      <c r="AI1131" t="s">
        <v>47</v>
      </c>
      <c r="AJ1131" t="s">
        <v>47</v>
      </c>
      <c r="AK1131" t="s">
        <v>47</v>
      </c>
      <c r="AL1131" t="s">
        <v>47</v>
      </c>
      <c r="AM1131" t="s">
        <v>47</v>
      </c>
      <c r="AN1131" t="s">
        <v>47</v>
      </c>
      <c r="AO1131" s="5" t="s">
        <v>60</v>
      </c>
      <c r="AP1131" s="4" t="s">
        <v>61</v>
      </c>
      <c r="AQ1131" s="4" t="s">
        <v>53</v>
      </c>
      <c r="AR1131" s="4" t="s">
        <v>543</v>
      </c>
      <c r="AS1131" s="5">
        <v>40338</v>
      </c>
      <c r="AT1131" t="s">
        <v>47</v>
      </c>
    </row>
    <row r="1132" spans="1:46" ht="13" x14ac:dyDescent="0.3">
      <c r="A1132" s="4" t="s">
        <v>4463</v>
      </c>
      <c r="B1132" t="s">
        <v>47</v>
      </c>
      <c r="C1132" s="4" t="s">
        <v>4422</v>
      </c>
      <c r="D1132" s="4" t="s">
        <v>4423</v>
      </c>
      <c r="E1132" s="4" t="s">
        <v>49</v>
      </c>
      <c r="F1132" s="5" t="s">
        <v>4464</v>
      </c>
      <c r="G1132" s="5" t="s">
        <v>4465</v>
      </c>
      <c r="H1132" t="s">
        <v>47</v>
      </c>
      <c r="I1132" s="3">
        <v>35704</v>
      </c>
      <c r="J1132" s="5" t="s">
        <v>50</v>
      </c>
      <c r="K1132" t="s">
        <v>47</v>
      </c>
      <c r="L1132" s="5" t="s">
        <v>51</v>
      </c>
      <c r="M1132" s="3">
        <v>35704</v>
      </c>
      <c r="N1132" s="5" t="s">
        <v>50</v>
      </c>
      <c r="O1132" t="s">
        <v>47</v>
      </c>
      <c r="P1132" s="3">
        <v>35704</v>
      </c>
      <c r="Q1132" s="5" t="s">
        <v>50</v>
      </c>
      <c r="R1132" t="s">
        <v>47</v>
      </c>
      <c r="S1132" t="s">
        <v>47</v>
      </c>
      <c r="T1132" t="s">
        <v>47</v>
      </c>
      <c r="U1132" t="s">
        <v>47</v>
      </c>
      <c r="V1132" s="5">
        <v>365</v>
      </c>
      <c r="W1132" s="3">
        <v>33756</v>
      </c>
      <c r="X1132" s="5" t="s">
        <v>50</v>
      </c>
      <c r="Y1132" t="s">
        <v>47</v>
      </c>
      <c r="Z1132" s="3">
        <v>33756</v>
      </c>
      <c r="AA1132" s="5" t="s">
        <v>50</v>
      </c>
      <c r="AB1132" t="s">
        <v>47</v>
      </c>
      <c r="AC1132" s="3">
        <v>33756</v>
      </c>
      <c r="AD1132" s="5" t="s">
        <v>50</v>
      </c>
      <c r="AE1132" t="s">
        <v>47</v>
      </c>
      <c r="AF1132" t="s">
        <v>47</v>
      </c>
      <c r="AG1132" t="s">
        <v>47</v>
      </c>
      <c r="AH1132" t="s">
        <v>47</v>
      </c>
      <c r="AI1132" t="s">
        <v>47</v>
      </c>
      <c r="AJ1132" t="s">
        <v>47</v>
      </c>
      <c r="AK1132" t="s">
        <v>47</v>
      </c>
      <c r="AL1132" t="s">
        <v>47</v>
      </c>
      <c r="AM1132" t="s">
        <v>47</v>
      </c>
      <c r="AN1132" t="s">
        <v>47</v>
      </c>
      <c r="AO1132" s="5" t="s">
        <v>51</v>
      </c>
      <c r="AP1132" s="4" t="s">
        <v>85</v>
      </c>
      <c r="AQ1132" s="4" t="s">
        <v>53</v>
      </c>
      <c r="AR1132" s="4" t="s">
        <v>54</v>
      </c>
      <c r="AS1132" s="5">
        <v>31199</v>
      </c>
      <c r="AT1132" t="s">
        <v>47</v>
      </c>
    </row>
    <row r="1133" spans="1:46" ht="65" x14ac:dyDescent="0.3">
      <c r="A1133" s="4" t="s">
        <v>4466</v>
      </c>
      <c r="B1133" t="s">
        <v>47</v>
      </c>
      <c r="C1133" s="4" t="s">
        <v>4467</v>
      </c>
      <c r="D1133" s="4" t="s">
        <v>4441</v>
      </c>
      <c r="E1133" s="4" t="s">
        <v>49</v>
      </c>
      <c r="F1133" s="5" t="s">
        <v>4468</v>
      </c>
      <c r="G1133" t="s">
        <v>47</v>
      </c>
      <c r="H1133" t="s">
        <v>47</v>
      </c>
      <c r="I1133" s="3">
        <v>34608</v>
      </c>
      <c r="J1133" s="3">
        <v>40360</v>
      </c>
      <c r="K1133" t="s">
        <v>47</v>
      </c>
      <c r="L1133" s="5" t="s">
        <v>60</v>
      </c>
      <c r="M1133" s="3">
        <v>34608</v>
      </c>
      <c r="N1133" s="3">
        <v>40360</v>
      </c>
      <c r="O1133" t="s">
        <v>47</v>
      </c>
      <c r="P1133" s="3">
        <v>34608</v>
      </c>
      <c r="Q1133" s="3">
        <v>40360</v>
      </c>
      <c r="R1133" t="s">
        <v>47</v>
      </c>
      <c r="S1133" t="s">
        <v>47</v>
      </c>
      <c r="T1133" t="s">
        <v>47</v>
      </c>
      <c r="U1133" t="s">
        <v>47</v>
      </c>
      <c r="V1133" t="s">
        <v>47</v>
      </c>
      <c r="W1133" s="3">
        <v>34608</v>
      </c>
      <c r="X1133" s="3">
        <v>40360</v>
      </c>
      <c r="Y1133" t="s">
        <v>47</v>
      </c>
      <c r="Z1133" s="3">
        <v>34608</v>
      </c>
      <c r="AA1133" s="3">
        <v>40360</v>
      </c>
      <c r="AB1133" t="s">
        <v>47</v>
      </c>
      <c r="AC1133" s="3">
        <v>34608</v>
      </c>
      <c r="AD1133" s="3">
        <v>40360</v>
      </c>
      <c r="AE1133" t="s">
        <v>47</v>
      </c>
      <c r="AF1133" t="s">
        <v>47</v>
      </c>
      <c r="AG1133" t="s">
        <v>47</v>
      </c>
      <c r="AH1133" t="s">
        <v>47</v>
      </c>
      <c r="AI1133" t="s">
        <v>47</v>
      </c>
      <c r="AJ1133" t="s">
        <v>47</v>
      </c>
      <c r="AK1133" t="s">
        <v>47</v>
      </c>
      <c r="AL1133" t="s">
        <v>47</v>
      </c>
      <c r="AM1133" t="s">
        <v>47</v>
      </c>
      <c r="AN1133" t="s">
        <v>47</v>
      </c>
      <c r="AO1133" s="5" t="s">
        <v>51</v>
      </c>
      <c r="AP1133" s="4" t="s">
        <v>61</v>
      </c>
      <c r="AQ1133" s="4" t="s">
        <v>53</v>
      </c>
      <c r="AR1133" s="4" t="s">
        <v>543</v>
      </c>
      <c r="AS1133" s="5">
        <v>39178</v>
      </c>
      <c r="AT1133" t="s">
        <v>47</v>
      </c>
    </row>
    <row r="1134" spans="1:46" ht="13" x14ac:dyDescent="0.3">
      <c r="A1134" s="4" t="s">
        <v>4469</v>
      </c>
      <c r="B1134" t="s">
        <v>47</v>
      </c>
      <c r="C1134" s="4" t="s">
        <v>4469</v>
      </c>
      <c r="D1134" s="4" t="s">
        <v>70</v>
      </c>
      <c r="E1134" s="4" t="s">
        <v>49</v>
      </c>
      <c r="F1134" s="5" t="s">
        <v>4470</v>
      </c>
      <c r="G1134" t="s">
        <v>47</v>
      </c>
      <c r="H1134" t="s">
        <v>47</v>
      </c>
      <c r="I1134" s="3">
        <v>35916</v>
      </c>
      <c r="J1134" s="3">
        <v>37895</v>
      </c>
      <c r="K1134" t="s">
        <v>47</v>
      </c>
      <c r="L1134" s="5" t="s">
        <v>51</v>
      </c>
      <c r="M1134" s="3">
        <v>35916</v>
      </c>
      <c r="N1134" s="3">
        <v>37895</v>
      </c>
      <c r="O1134" t="s">
        <v>47</v>
      </c>
      <c r="P1134" s="3">
        <v>35916</v>
      </c>
      <c r="Q1134" s="3">
        <v>37895</v>
      </c>
      <c r="R1134" t="s">
        <v>47</v>
      </c>
      <c r="S1134" t="s">
        <v>47</v>
      </c>
      <c r="T1134" t="s">
        <v>47</v>
      </c>
      <c r="U1134" t="s">
        <v>47</v>
      </c>
      <c r="V1134" t="s">
        <v>47</v>
      </c>
      <c r="W1134" s="3">
        <v>35916</v>
      </c>
      <c r="X1134" s="3">
        <v>37895</v>
      </c>
      <c r="Y1134" t="s">
        <v>47</v>
      </c>
      <c r="Z1134" s="3">
        <v>35916</v>
      </c>
      <c r="AA1134" s="3">
        <v>37895</v>
      </c>
      <c r="AB1134" t="s">
        <v>47</v>
      </c>
      <c r="AC1134" s="3">
        <v>36892</v>
      </c>
      <c r="AD1134" s="3">
        <v>37895</v>
      </c>
      <c r="AE1134" t="s">
        <v>47</v>
      </c>
      <c r="AF1134" t="s">
        <v>47</v>
      </c>
      <c r="AG1134" t="s">
        <v>47</v>
      </c>
      <c r="AH1134" t="s">
        <v>47</v>
      </c>
      <c r="AI1134" t="s">
        <v>47</v>
      </c>
      <c r="AJ1134" t="s">
        <v>47</v>
      </c>
      <c r="AK1134" t="s">
        <v>47</v>
      </c>
      <c r="AL1134" t="s">
        <v>47</v>
      </c>
      <c r="AM1134" t="s">
        <v>47</v>
      </c>
      <c r="AN1134" t="s">
        <v>47</v>
      </c>
      <c r="AO1134" s="5" t="s">
        <v>51</v>
      </c>
      <c r="AP1134" s="4" t="s">
        <v>135</v>
      </c>
      <c r="AQ1134" s="4" t="s">
        <v>53</v>
      </c>
      <c r="AR1134" s="4" t="s">
        <v>1166</v>
      </c>
      <c r="AS1134" s="5">
        <v>32347</v>
      </c>
      <c r="AT1134" t="s">
        <v>47</v>
      </c>
    </row>
    <row r="1135" spans="1:46" ht="91" x14ac:dyDescent="0.3">
      <c r="A1135" s="4" t="s">
        <v>4471</v>
      </c>
      <c r="B1135" t="s">
        <v>47</v>
      </c>
      <c r="C1135" s="4" t="s">
        <v>1036</v>
      </c>
      <c r="D1135" s="4" t="s">
        <v>70</v>
      </c>
      <c r="E1135" s="4" t="s">
        <v>49</v>
      </c>
      <c r="F1135" s="5" t="s">
        <v>4472</v>
      </c>
      <c r="G1135" t="s">
        <v>47</v>
      </c>
      <c r="H1135" t="s">
        <v>47</v>
      </c>
      <c r="I1135" t="s">
        <v>47</v>
      </c>
      <c r="J1135" t="s">
        <v>47</v>
      </c>
      <c r="K1135" t="s">
        <v>47</v>
      </c>
      <c r="L1135" s="5" t="s">
        <v>51</v>
      </c>
      <c r="M1135" t="s">
        <v>47</v>
      </c>
      <c r="N1135" t="s">
        <v>47</v>
      </c>
      <c r="O1135" t="s">
        <v>47</v>
      </c>
      <c r="P1135" t="s">
        <v>47</v>
      </c>
      <c r="Q1135" t="s">
        <v>47</v>
      </c>
      <c r="R1135" t="s">
        <v>47</v>
      </c>
      <c r="S1135" t="s">
        <v>47</v>
      </c>
      <c r="T1135" t="s">
        <v>47</v>
      </c>
      <c r="U1135" t="s">
        <v>47</v>
      </c>
      <c r="V1135" t="s">
        <v>47</v>
      </c>
      <c r="W1135" s="3">
        <v>35827</v>
      </c>
      <c r="X1135" s="3">
        <v>38473</v>
      </c>
      <c r="Y1135" t="s">
        <v>47</v>
      </c>
      <c r="Z1135" s="3">
        <v>35827</v>
      </c>
      <c r="AA1135" s="3">
        <v>38473</v>
      </c>
      <c r="AB1135" t="s">
        <v>47</v>
      </c>
      <c r="AC1135" s="3">
        <v>35827</v>
      </c>
      <c r="AD1135" s="3">
        <v>38473</v>
      </c>
      <c r="AE1135" t="s">
        <v>47</v>
      </c>
      <c r="AF1135" t="s">
        <v>47</v>
      </c>
      <c r="AG1135" t="s">
        <v>47</v>
      </c>
      <c r="AH1135" t="s">
        <v>47</v>
      </c>
      <c r="AI1135" t="s">
        <v>47</v>
      </c>
      <c r="AJ1135" t="s">
        <v>47</v>
      </c>
      <c r="AK1135" t="s">
        <v>47</v>
      </c>
      <c r="AL1135" t="s">
        <v>47</v>
      </c>
      <c r="AM1135" t="s">
        <v>47</v>
      </c>
      <c r="AN1135" t="s">
        <v>47</v>
      </c>
      <c r="AO1135" s="5" t="s">
        <v>51</v>
      </c>
      <c r="AP1135" s="4" t="s">
        <v>135</v>
      </c>
      <c r="AQ1135" s="4" t="s">
        <v>53</v>
      </c>
      <c r="AR1135" s="4" t="s">
        <v>4473</v>
      </c>
      <c r="AS1135" s="5">
        <v>322</v>
      </c>
      <c r="AT1135" t="s">
        <v>47</v>
      </c>
    </row>
    <row r="1136" spans="1:46" ht="13" x14ac:dyDescent="0.3">
      <c r="A1136" s="4" t="s">
        <v>4474</v>
      </c>
      <c r="B1136" t="s">
        <v>47</v>
      </c>
      <c r="C1136" s="4" t="s">
        <v>4475</v>
      </c>
      <c r="D1136" s="4" t="s">
        <v>139</v>
      </c>
      <c r="E1136" s="4" t="s">
        <v>66</v>
      </c>
      <c r="F1136" s="5" t="s">
        <v>4476</v>
      </c>
      <c r="G1136" s="5" t="s">
        <v>4477</v>
      </c>
      <c r="H1136" t="s">
        <v>47</v>
      </c>
      <c r="I1136" t="s">
        <v>47</v>
      </c>
      <c r="J1136" t="s">
        <v>47</v>
      </c>
      <c r="K1136" t="s">
        <v>47</v>
      </c>
      <c r="L1136" s="5" t="s">
        <v>60</v>
      </c>
      <c r="M1136" t="s">
        <v>47</v>
      </c>
      <c r="N1136" t="s">
        <v>47</v>
      </c>
      <c r="O1136" t="s">
        <v>47</v>
      </c>
      <c r="P1136" t="s">
        <v>47</v>
      </c>
      <c r="Q1136" t="s">
        <v>47</v>
      </c>
      <c r="R1136" t="s">
        <v>47</v>
      </c>
      <c r="S1136" t="s">
        <v>47</v>
      </c>
      <c r="T1136" t="s">
        <v>47</v>
      </c>
      <c r="U1136" t="s">
        <v>47</v>
      </c>
      <c r="V1136" t="s">
        <v>47</v>
      </c>
      <c r="W1136" s="3">
        <v>40179</v>
      </c>
      <c r="X1136" s="3">
        <v>43770</v>
      </c>
      <c r="Y1136" t="s">
        <v>47</v>
      </c>
      <c r="Z1136" s="3">
        <v>40179</v>
      </c>
      <c r="AA1136" s="3">
        <v>43770</v>
      </c>
      <c r="AB1136" t="s">
        <v>47</v>
      </c>
      <c r="AC1136" s="3">
        <v>40179</v>
      </c>
      <c r="AD1136" s="3">
        <v>43770</v>
      </c>
      <c r="AE1136" t="s">
        <v>47</v>
      </c>
      <c r="AF1136" t="s">
        <v>47</v>
      </c>
      <c r="AG1136" t="s">
        <v>47</v>
      </c>
      <c r="AH1136" t="s">
        <v>47</v>
      </c>
      <c r="AI1136" t="s">
        <v>47</v>
      </c>
      <c r="AJ1136" t="s">
        <v>47</v>
      </c>
      <c r="AK1136" t="s">
        <v>47</v>
      </c>
      <c r="AL1136" t="s">
        <v>47</v>
      </c>
      <c r="AM1136" t="s">
        <v>47</v>
      </c>
      <c r="AN1136" t="s">
        <v>47</v>
      </c>
      <c r="AO1136" s="5" t="s">
        <v>60</v>
      </c>
      <c r="AP1136" s="4" t="s">
        <v>61</v>
      </c>
      <c r="AQ1136" s="4" t="s">
        <v>53</v>
      </c>
      <c r="AR1136" s="4" t="s">
        <v>54</v>
      </c>
      <c r="AS1136" s="5">
        <v>426719</v>
      </c>
      <c r="AT1136" t="s">
        <v>47</v>
      </c>
    </row>
    <row r="1137" spans="1:46" ht="39" x14ac:dyDescent="0.3">
      <c r="A1137" s="4" t="s">
        <v>4478</v>
      </c>
      <c r="B1137" t="s">
        <v>47</v>
      </c>
      <c r="C1137" s="4" t="s">
        <v>4479</v>
      </c>
      <c r="D1137" s="4" t="s">
        <v>70</v>
      </c>
      <c r="E1137" s="4" t="s">
        <v>49</v>
      </c>
      <c r="F1137" s="5" t="s">
        <v>4480</v>
      </c>
      <c r="G1137" t="s">
        <v>47</v>
      </c>
      <c r="H1137" t="s">
        <v>47</v>
      </c>
      <c r="I1137" t="s">
        <v>47</v>
      </c>
      <c r="J1137" t="s">
        <v>47</v>
      </c>
      <c r="K1137" t="s">
        <v>47</v>
      </c>
      <c r="L1137" s="5" t="s">
        <v>51</v>
      </c>
      <c r="M1137" t="s">
        <v>47</v>
      </c>
      <c r="N1137" t="s">
        <v>47</v>
      </c>
      <c r="O1137" t="s">
        <v>47</v>
      </c>
      <c r="P1137" t="s">
        <v>47</v>
      </c>
      <c r="Q1137" t="s">
        <v>47</v>
      </c>
      <c r="R1137" t="s">
        <v>47</v>
      </c>
      <c r="S1137" t="s">
        <v>47</v>
      </c>
      <c r="T1137" t="s">
        <v>47</v>
      </c>
      <c r="U1137" t="s">
        <v>47</v>
      </c>
      <c r="V1137" t="s">
        <v>47</v>
      </c>
      <c r="W1137" s="3">
        <v>32509</v>
      </c>
      <c r="X1137" s="3">
        <v>35704</v>
      </c>
      <c r="Y1137" t="s">
        <v>47</v>
      </c>
      <c r="Z1137" s="3">
        <v>32509</v>
      </c>
      <c r="AA1137" s="3">
        <v>35704</v>
      </c>
      <c r="AB1137" t="s">
        <v>47</v>
      </c>
      <c r="AC1137" s="3">
        <v>32509</v>
      </c>
      <c r="AD1137" s="3">
        <v>35704</v>
      </c>
      <c r="AE1137" t="s">
        <v>47</v>
      </c>
      <c r="AF1137" t="s">
        <v>47</v>
      </c>
      <c r="AG1137" t="s">
        <v>47</v>
      </c>
      <c r="AH1137" t="s">
        <v>47</v>
      </c>
      <c r="AI1137" t="s">
        <v>47</v>
      </c>
      <c r="AJ1137" t="s">
        <v>47</v>
      </c>
      <c r="AK1137" t="s">
        <v>47</v>
      </c>
      <c r="AL1137" t="s">
        <v>47</v>
      </c>
      <c r="AM1137" t="s">
        <v>47</v>
      </c>
      <c r="AN1137" t="s">
        <v>47</v>
      </c>
      <c r="AO1137" s="5" t="s">
        <v>51</v>
      </c>
      <c r="AP1137" s="4" t="s">
        <v>135</v>
      </c>
      <c r="AQ1137" s="4" t="s">
        <v>53</v>
      </c>
      <c r="AR1137" s="4" t="s">
        <v>4481</v>
      </c>
      <c r="AS1137" s="5">
        <v>30387</v>
      </c>
      <c r="AT1137" t="s">
        <v>47</v>
      </c>
    </row>
    <row r="1138" spans="1:46" ht="65" x14ac:dyDescent="0.3">
      <c r="A1138" s="4" t="s">
        <v>4482</v>
      </c>
      <c r="B1138" t="s">
        <v>47</v>
      </c>
      <c r="C1138" s="4" t="s">
        <v>4483</v>
      </c>
      <c r="D1138" s="4" t="s">
        <v>765</v>
      </c>
      <c r="E1138" s="4" t="s">
        <v>49</v>
      </c>
      <c r="F1138" s="5" t="s">
        <v>4484</v>
      </c>
      <c r="G1138" t="s">
        <v>47</v>
      </c>
      <c r="H1138" t="s">
        <v>47</v>
      </c>
      <c r="I1138" t="s">
        <v>47</v>
      </c>
      <c r="J1138" t="s">
        <v>47</v>
      </c>
      <c r="K1138" t="s">
        <v>47</v>
      </c>
      <c r="L1138" s="5" t="s">
        <v>51</v>
      </c>
      <c r="M1138" t="s">
        <v>47</v>
      </c>
      <c r="N1138" t="s">
        <v>47</v>
      </c>
      <c r="O1138" t="s">
        <v>47</v>
      </c>
      <c r="P1138" t="s">
        <v>47</v>
      </c>
      <c r="Q1138" t="s">
        <v>47</v>
      </c>
      <c r="R1138" t="s">
        <v>47</v>
      </c>
      <c r="S1138" t="s">
        <v>47</v>
      </c>
      <c r="T1138" t="s">
        <v>47</v>
      </c>
      <c r="U1138" t="s">
        <v>47</v>
      </c>
      <c r="V1138" t="s">
        <v>47</v>
      </c>
      <c r="W1138" s="3">
        <v>32143</v>
      </c>
      <c r="X1138" s="3">
        <v>42430</v>
      </c>
      <c r="Y1138" t="s">
        <v>47</v>
      </c>
      <c r="Z1138" s="3">
        <v>32143</v>
      </c>
      <c r="AA1138" s="3">
        <v>42430</v>
      </c>
      <c r="AB1138" t="s">
        <v>47</v>
      </c>
      <c r="AC1138" s="3">
        <v>32143</v>
      </c>
      <c r="AD1138" s="3">
        <v>42430</v>
      </c>
      <c r="AE1138" t="s">
        <v>47</v>
      </c>
      <c r="AF1138" t="s">
        <v>47</v>
      </c>
      <c r="AG1138" t="s">
        <v>47</v>
      </c>
      <c r="AH1138" t="s">
        <v>47</v>
      </c>
      <c r="AI1138" t="s">
        <v>47</v>
      </c>
      <c r="AJ1138" t="s">
        <v>47</v>
      </c>
      <c r="AK1138" t="s">
        <v>47</v>
      </c>
      <c r="AL1138" t="s">
        <v>47</v>
      </c>
      <c r="AM1138" t="s">
        <v>47</v>
      </c>
      <c r="AN1138" t="s">
        <v>47</v>
      </c>
      <c r="AO1138" s="5" t="s">
        <v>51</v>
      </c>
      <c r="AP1138" s="4" t="s">
        <v>135</v>
      </c>
      <c r="AQ1138" s="4" t="s">
        <v>53</v>
      </c>
      <c r="AR1138" s="4" t="s">
        <v>4485</v>
      </c>
      <c r="AS1138" s="5">
        <v>36147</v>
      </c>
      <c r="AT1138" t="s">
        <v>47</v>
      </c>
    </row>
    <row r="1139" spans="1:46" ht="13" x14ac:dyDescent="0.3">
      <c r="A1139" s="4" t="s">
        <v>4486</v>
      </c>
      <c r="B1139" t="s">
        <v>47</v>
      </c>
      <c r="C1139" s="4" t="s">
        <v>4487</v>
      </c>
      <c r="D1139" s="4" t="s">
        <v>3101</v>
      </c>
      <c r="E1139" s="4" t="s">
        <v>49</v>
      </c>
      <c r="F1139" s="5" t="s">
        <v>4488</v>
      </c>
      <c r="G1139" s="5" t="s">
        <v>4489</v>
      </c>
      <c r="H1139" t="s">
        <v>47</v>
      </c>
      <c r="I1139" s="3">
        <v>35886</v>
      </c>
      <c r="J1139" s="3">
        <v>40909</v>
      </c>
      <c r="K1139" t="s">
        <v>47</v>
      </c>
      <c r="L1139" s="5" t="s">
        <v>60</v>
      </c>
      <c r="M1139" s="3">
        <v>35886</v>
      </c>
      <c r="N1139" s="3">
        <v>40909</v>
      </c>
      <c r="O1139" t="s">
        <v>47</v>
      </c>
      <c r="P1139" s="3">
        <v>35886</v>
      </c>
      <c r="Q1139" s="3">
        <v>40909</v>
      </c>
      <c r="R1139" t="s">
        <v>47</v>
      </c>
      <c r="S1139" t="s">
        <v>47</v>
      </c>
      <c r="T1139" t="s">
        <v>47</v>
      </c>
      <c r="U1139" t="s">
        <v>47</v>
      </c>
      <c r="V1139" t="s">
        <v>47</v>
      </c>
      <c r="W1139" s="3">
        <v>35886</v>
      </c>
      <c r="X1139" s="3">
        <v>41548</v>
      </c>
      <c r="Y1139" t="s">
        <v>47</v>
      </c>
      <c r="Z1139" s="3">
        <v>35886</v>
      </c>
      <c r="AA1139" s="3">
        <v>41548</v>
      </c>
      <c r="AB1139" t="s">
        <v>47</v>
      </c>
      <c r="AC1139" s="3">
        <v>36708</v>
      </c>
      <c r="AD1139" s="3">
        <v>41548</v>
      </c>
      <c r="AE1139" t="s">
        <v>47</v>
      </c>
      <c r="AF1139" t="s">
        <v>47</v>
      </c>
      <c r="AG1139" t="s">
        <v>47</v>
      </c>
      <c r="AH1139" t="s">
        <v>47</v>
      </c>
      <c r="AI1139" t="s">
        <v>47</v>
      </c>
      <c r="AJ1139" t="s">
        <v>47</v>
      </c>
      <c r="AK1139" t="s">
        <v>47</v>
      </c>
      <c r="AL1139" t="s">
        <v>47</v>
      </c>
      <c r="AM1139" t="s">
        <v>47</v>
      </c>
      <c r="AN1139" t="s">
        <v>47</v>
      </c>
      <c r="AO1139" s="5" t="s">
        <v>60</v>
      </c>
      <c r="AP1139" s="4" t="s">
        <v>61</v>
      </c>
      <c r="AQ1139" s="4" t="s">
        <v>53</v>
      </c>
      <c r="AR1139" s="4" t="s">
        <v>4490</v>
      </c>
      <c r="AS1139" s="5">
        <v>29812</v>
      </c>
      <c r="AT1139" t="s">
        <v>47</v>
      </c>
    </row>
    <row r="1140" spans="1:46" ht="26" x14ac:dyDescent="0.3">
      <c r="A1140" s="4" t="s">
        <v>4491</v>
      </c>
      <c r="B1140" t="s">
        <v>47</v>
      </c>
      <c r="C1140" s="4" t="s">
        <v>1447</v>
      </c>
      <c r="D1140" s="4" t="s">
        <v>116</v>
      </c>
      <c r="E1140" s="4" t="s">
        <v>1448</v>
      </c>
      <c r="F1140" s="5" t="s">
        <v>4492</v>
      </c>
      <c r="G1140" s="5" t="s">
        <v>4493</v>
      </c>
      <c r="H1140" t="s">
        <v>47</v>
      </c>
      <c r="I1140" s="3">
        <v>40544</v>
      </c>
      <c r="J1140" s="3">
        <v>44197</v>
      </c>
      <c r="K1140" t="s">
        <v>47</v>
      </c>
      <c r="L1140" s="5" t="s">
        <v>60</v>
      </c>
      <c r="M1140" t="s">
        <v>47</v>
      </c>
      <c r="N1140" t="s">
        <v>47</v>
      </c>
      <c r="O1140" t="s">
        <v>47</v>
      </c>
      <c r="P1140" s="3">
        <v>40544</v>
      </c>
      <c r="Q1140" s="3">
        <v>44197</v>
      </c>
      <c r="R1140" t="s">
        <v>47</v>
      </c>
      <c r="S1140" t="s">
        <v>47</v>
      </c>
      <c r="T1140" t="s">
        <v>47</v>
      </c>
      <c r="U1140" t="s">
        <v>47</v>
      </c>
      <c r="V1140" t="s">
        <v>47</v>
      </c>
      <c r="W1140" s="3">
        <v>40544</v>
      </c>
      <c r="X1140" s="3">
        <v>44197</v>
      </c>
      <c r="Y1140" t="s">
        <v>47</v>
      </c>
      <c r="Z1140" s="3">
        <v>40544</v>
      </c>
      <c r="AA1140" s="3">
        <v>44197</v>
      </c>
      <c r="AB1140" t="s">
        <v>47</v>
      </c>
      <c r="AC1140" s="3">
        <v>40544</v>
      </c>
      <c r="AD1140" s="3">
        <v>44197</v>
      </c>
      <c r="AE1140" t="s">
        <v>47</v>
      </c>
      <c r="AF1140" t="s">
        <v>47</v>
      </c>
      <c r="AG1140" t="s">
        <v>47</v>
      </c>
      <c r="AH1140" t="s">
        <v>47</v>
      </c>
      <c r="AI1140" t="s">
        <v>47</v>
      </c>
      <c r="AJ1140" t="s">
        <v>47</v>
      </c>
      <c r="AK1140" t="s">
        <v>47</v>
      </c>
      <c r="AL1140" t="s">
        <v>47</v>
      </c>
      <c r="AM1140" t="s">
        <v>47</v>
      </c>
      <c r="AN1140" t="s">
        <v>47</v>
      </c>
      <c r="AO1140" s="5" t="s">
        <v>60</v>
      </c>
      <c r="AP1140" s="4" t="s">
        <v>61</v>
      </c>
      <c r="AQ1140" s="4" t="s">
        <v>1677</v>
      </c>
      <c r="AR1140" s="4" t="s">
        <v>54</v>
      </c>
      <c r="AS1140" s="5">
        <v>2041073</v>
      </c>
      <c r="AT1140" t="s">
        <v>47</v>
      </c>
    </row>
    <row r="1141" spans="1:46" ht="13" x14ac:dyDescent="0.3">
      <c r="A1141" s="4" t="s">
        <v>4494</v>
      </c>
      <c r="B1141" t="s">
        <v>47</v>
      </c>
      <c r="C1141" s="4" t="s">
        <v>4495</v>
      </c>
      <c r="D1141" s="4" t="s">
        <v>4496</v>
      </c>
      <c r="E1141" s="4" t="s">
        <v>49</v>
      </c>
      <c r="F1141" s="5" t="s">
        <v>4497</v>
      </c>
      <c r="G1141" t="s">
        <v>47</v>
      </c>
      <c r="H1141" t="s">
        <v>47</v>
      </c>
      <c r="I1141" s="3">
        <v>35370</v>
      </c>
      <c r="J1141" s="3">
        <v>36251</v>
      </c>
      <c r="K1141" t="s">
        <v>47</v>
      </c>
      <c r="L1141" s="5" t="s">
        <v>51</v>
      </c>
      <c r="M1141" s="3">
        <v>35370</v>
      </c>
      <c r="N1141" s="3">
        <v>36251</v>
      </c>
      <c r="O1141" t="s">
        <v>47</v>
      </c>
      <c r="P1141" s="3">
        <v>35370</v>
      </c>
      <c r="Q1141" s="3">
        <v>36251</v>
      </c>
      <c r="R1141" t="s">
        <v>47</v>
      </c>
      <c r="S1141" t="s">
        <v>47</v>
      </c>
      <c r="T1141" t="s">
        <v>47</v>
      </c>
      <c r="U1141" t="s">
        <v>47</v>
      </c>
      <c r="V1141" t="s">
        <v>47</v>
      </c>
      <c r="W1141" s="3">
        <v>33604</v>
      </c>
      <c r="X1141" s="3">
        <v>36251</v>
      </c>
      <c r="Y1141" t="s">
        <v>47</v>
      </c>
      <c r="Z1141" s="3">
        <v>33604</v>
      </c>
      <c r="AA1141" s="3">
        <v>36251</v>
      </c>
      <c r="AB1141" t="s">
        <v>47</v>
      </c>
      <c r="AC1141" s="3">
        <v>33604</v>
      </c>
      <c r="AD1141" s="3">
        <v>36251</v>
      </c>
      <c r="AE1141" t="s">
        <v>47</v>
      </c>
      <c r="AF1141" t="s">
        <v>47</v>
      </c>
      <c r="AG1141" t="s">
        <v>47</v>
      </c>
      <c r="AH1141" t="s">
        <v>47</v>
      </c>
      <c r="AI1141" t="s">
        <v>47</v>
      </c>
      <c r="AJ1141" t="s">
        <v>47</v>
      </c>
      <c r="AK1141" t="s">
        <v>47</v>
      </c>
      <c r="AL1141" t="s">
        <v>47</v>
      </c>
      <c r="AM1141" t="s">
        <v>47</v>
      </c>
      <c r="AN1141" t="s">
        <v>47</v>
      </c>
      <c r="AO1141" s="5" t="s">
        <v>51</v>
      </c>
      <c r="AP1141" s="4" t="s">
        <v>85</v>
      </c>
      <c r="AQ1141" s="4" t="s">
        <v>53</v>
      </c>
      <c r="AR1141" s="4" t="s">
        <v>54</v>
      </c>
      <c r="AS1141" s="5">
        <v>48628</v>
      </c>
      <c r="AT1141" t="s">
        <v>47</v>
      </c>
    </row>
    <row r="1142" spans="1:46" ht="78" x14ac:dyDescent="0.3">
      <c r="A1142" s="4" t="s">
        <v>4498</v>
      </c>
      <c r="B1142" t="s">
        <v>47</v>
      </c>
      <c r="C1142" s="4" t="s">
        <v>4499</v>
      </c>
      <c r="D1142" s="4" t="s">
        <v>1232</v>
      </c>
      <c r="E1142" s="4" t="s">
        <v>49</v>
      </c>
      <c r="F1142" s="5" t="s">
        <v>4500</v>
      </c>
      <c r="G1142" t="s">
        <v>47</v>
      </c>
      <c r="H1142" t="s">
        <v>47</v>
      </c>
      <c r="I1142" t="s">
        <v>47</v>
      </c>
      <c r="J1142" t="s">
        <v>47</v>
      </c>
      <c r="K1142" t="s">
        <v>47</v>
      </c>
      <c r="L1142" s="5" t="s">
        <v>51</v>
      </c>
      <c r="M1142" t="s">
        <v>47</v>
      </c>
      <c r="N1142" t="s">
        <v>47</v>
      </c>
      <c r="O1142" t="s">
        <v>47</v>
      </c>
      <c r="P1142" t="s">
        <v>47</v>
      </c>
      <c r="Q1142" t="s">
        <v>47</v>
      </c>
      <c r="R1142" t="s">
        <v>47</v>
      </c>
      <c r="S1142" t="s">
        <v>47</v>
      </c>
      <c r="T1142" t="s">
        <v>47</v>
      </c>
      <c r="U1142" t="s">
        <v>47</v>
      </c>
      <c r="V1142" t="s">
        <v>47</v>
      </c>
      <c r="W1142" s="3">
        <v>34366</v>
      </c>
      <c r="X1142" s="3">
        <v>36130</v>
      </c>
      <c r="Y1142" t="s">
        <v>47</v>
      </c>
      <c r="Z1142" s="3">
        <v>34366</v>
      </c>
      <c r="AA1142" s="3">
        <v>36130</v>
      </c>
      <c r="AB1142" t="s">
        <v>47</v>
      </c>
      <c r="AC1142" s="3">
        <v>34366</v>
      </c>
      <c r="AD1142" s="3">
        <v>36130</v>
      </c>
      <c r="AE1142" t="s">
        <v>47</v>
      </c>
      <c r="AF1142" t="s">
        <v>47</v>
      </c>
      <c r="AG1142" t="s">
        <v>47</v>
      </c>
      <c r="AH1142" t="s">
        <v>47</v>
      </c>
      <c r="AI1142" t="s">
        <v>47</v>
      </c>
      <c r="AJ1142" t="s">
        <v>47</v>
      </c>
      <c r="AK1142" t="s">
        <v>47</v>
      </c>
      <c r="AL1142" t="s">
        <v>47</v>
      </c>
      <c r="AM1142" t="s">
        <v>47</v>
      </c>
      <c r="AN1142" t="s">
        <v>47</v>
      </c>
      <c r="AO1142" s="5" t="s">
        <v>51</v>
      </c>
      <c r="AP1142" s="4" t="s">
        <v>135</v>
      </c>
      <c r="AQ1142" s="4" t="s">
        <v>53</v>
      </c>
      <c r="AR1142" s="4" t="s">
        <v>436</v>
      </c>
      <c r="AS1142" s="5">
        <v>29993</v>
      </c>
      <c r="AT1142" t="s">
        <v>47</v>
      </c>
    </row>
    <row r="1143" spans="1:46" ht="26" x14ac:dyDescent="0.3">
      <c r="A1143" s="4" t="s">
        <v>4501</v>
      </c>
      <c r="B1143" t="s">
        <v>47</v>
      </c>
      <c r="C1143" s="4" t="s">
        <v>4502</v>
      </c>
      <c r="D1143" s="4" t="s">
        <v>1185</v>
      </c>
      <c r="E1143" s="4" t="s">
        <v>49</v>
      </c>
      <c r="F1143" s="5" t="s">
        <v>4503</v>
      </c>
      <c r="G1143" t="s">
        <v>47</v>
      </c>
      <c r="H1143" t="s">
        <v>47</v>
      </c>
      <c r="I1143" s="3">
        <v>40087</v>
      </c>
      <c r="J1143" s="3">
        <v>42644</v>
      </c>
      <c r="K1143" t="s">
        <v>47</v>
      </c>
      <c r="L1143" s="5" t="s">
        <v>60</v>
      </c>
      <c r="M1143" s="3">
        <v>40087</v>
      </c>
      <c r="N1143" s="3">
        <v>42644</v>
      </c>
      <c r="O1143" t="s">
        <v>47</v>
      </c>
      <c r="P1143" s="3">
        <v>40087</v>
      </c>
      <c r="Q1143" s="3">
        <v>42644</v>
      </c>
      <c r="R1143" t="s">
        <v>47</v>
      </c>
      <c r="S1143" t="s">
        <v>47</v>
      </c>
      <c r="T1143" t="s">
        <v>47</v>
      </c>
      <c r="U1143" t="s">
        <v>47</v>
      </c>
      <c r="V1143" t="s">
        <v>47</v>
      </c>
      <c r="W1143" s="3">
        <v>40087</v>
      </c>
      <c r="X1143" s="3">
        <v>42644</v>
      </c>
      <c r="Y1143" t="s">
        <v>47</v>
      </c>
      <c r="Z1143" s="3">
        <v>40087</v>
      </c>
      <c r="AA1143" s="3">
        <v>42644</v>
      </c>
      <c r="AB1143" t="s">
        <v>47</v>
      </c>
      <c r="AC1143" s="3">
        <v>40087</v>
      </c>
      <c r="AD1143" s="3">
        <v>42644</v>
      </c>
      <c r="AE1143" t="s">
        <v>47</v>
      </c>
      <c r="AF1143" t="s">
        <v>47</v>
      </c>
      <c r="AG1143" t="s">
        <v>47</v>
      </c>
      <c r="AH1143" t="s">
        <v>47</v>
      </c>
      <c r="AI1143" t="s">
        <v>47</v>
      </c>
      <c r="AJ1143" t="s">
        <v>47</v>
      </c>
      <c r="AK1143" t="s">
        <v>47</v>
      </c>
      <c r="AL1143" t="s">
        <v>47</v>
      </c>
      <c r="AM1143" t="s">
        <v>47</v>
      </c>
      <c r="AN1143" t="s">
        <v>47</v>
      </c>
      <c r="AO1143" s="5" t="s">
        <v>60</v>
      </c>
      <c r="AP1143" s="4" t="s">
        <v>61</v>
      </c>
      <c r="AQ1143" s="4" t="s">
        <v>53</v>
      </c>
      <c r="AR1143" s="4" t="s">
        <v>1205</v>
      </c>
      <c r="AS1143" s="5">
        <v>60394</v>
      </c>
      <c r="AT1143" t="s">
        <v>47</v>
      </c>
    </row>
    <row r="1144" spans="1:46" ht="26" x14ac:dyDescent="0.3">
      <c r="A1144" s="4" t="s">
        <v>4504</v>
      </c>
      <c r="B1144" t="s">
        <v>47</v>
      </c>
      <c r="C1144" s="4" t="s">
        <v>2050</v>
      </c>
      <c r="D1144" s="4" t="s">
        <v>2051</v>
      </c>
      <c r="E1144" s="4" t="s">
        <v>2052</v>
      </c>
      <c r="F1144" s="5" t="s">
        <v>4505</v>
      </c>
      <c r="G1144" t="s">
        <v>47</v>
      </c>
      <c r="H1144" t="s">
        <v>47</v>
      </c>
      <c r="I1144" s="3">
        <v>40909</v>
      </c>
      <c r="J1144" s="5" t="s">
        <v>50</v>
      </c>
      <c r="K1144" t="s">
        <v>47</v>
      </c>
      <c r="L1144" s="5" t="s">
        <v>60</v>
      </c>
      <c r="M1144" s="3">
        <v>40909</v>
      </c>
      <c r="N1144" s="5" t="s">
        <v>50</v>
      </c>
      <c r="O1144" t="s">
        <v>47</v>
      </c>
      <c r="P1144" s="3">
        <v>40909</v>
      </c>
      <c r="Q1144" s="5" t="s">
        <v>50</v>
      </c>
      <c r="R1144" t="s">
        <v>47</v>
      </c>
      <c r="S1144" t="s">
        <v>47</v>
      </c>
      <c r="T1144" t="s">
        <v>47</v>
      </c>
      <c r="U1144" t="s">
        <v>47</v>
      </c>
      <c r="V1144" t="s">
        <v>47</v>
      </c>
      <c r="W1144" s="3">
        <v>40909</v>
      </c>
      <c r="X1144" s="5" t="s">
        <v>50</v>
      </c>
      <c r="Y1144" t="s">
        <v>47</v>
      </c>
      <c r="Z1144" s="3">
        <v>40909</v>
      </c>
      <c r="AA1144" s="5" t="s">
        <v>50</v>
      </c>
      <c r="AB1144" t="s">
        <v>47</v>
      </c>
      <c r="AC1144" s="3">
        <v>40909</v>
      </c>
      <c r="AD1144" s="5" t="s">
        <v>50</v>
      </c>
      <c r="AE1144" t="s">
        <v>47</v>
      </c>
      <c r="AF1144" t="s">
        <v>47</v>
      </c>
      <c r="AG1144" t="s">
        <v>47</v>
      </c>
      <c r="AH1144" t="s">
        <v>47</v>
      </c>
      <c r="AI1144" t="s">
        <v>47</v>
      </c>
      <c r="AJ1144" t="s">
        <v>47</v>
      </c>
      <c r="AK1144" t="s">
        <v>47</v>
      </c>
      <c r="AL1144" t="s">
        <v>47</v>
      </c>
      <c r="AM1144" t="s">
        <v>47</v>
      </c>
      <c r="AN1144" t="s">
        <v>47</v>
      </c>
      <c r="AO1144" s="5" t="s">
        <v>60</v>
      </c>
      <c r="AP1144" s="4" t="s">
        <v>61</v>
      </c>
      <c r="AQ1144" s="4" t="s">
        <v>53</v>
      </c>
      <c r="AR1144" s="4" t="s">
        <v>737</v>
      </c>
      <c r="AS1144" s="5">
        <v>1306356</v>
      </c>
      <c r="AT1144" t="s">
        <v>47</v>
      </c>
    </row>
    <row r="1145" spans="1:46" ht="26" x14ac:dyDescent="0.3">
      <c r="A1145" s="4" t="s">
        <v>4506</v>
      </c>
      <c r="B1145" t="s">
        <v>47</v>
      </c>
      <c r="C1145" s="4" t="s">
        <v>4507</v>
      </c>
      <c r="D1145" s="4" t="s">
        <v>4508</v>
      </c>
      <c r="E1145" s="4" t="s">
        <v>2052</v>
      </c>
      <c r="F1145" s="5" t="s">
        <v>4509</v>
      </c>
      <c r="G1145" s="5" t="s">
        <v>4510</v>
      </c>
      <c r="H1145" t="s">
        <v>47</v>
      </c>
      <c r="I1145" s="3">
        <v>37987</v>
      </c>
      <c r="J1145" s="5" t="s">
        <v>50</v>
      </c>
      <c r="K1145" s="5" t="s">
        <v>1602</v>
      </c>
      <c r="L1145" s="5" t="s">
        <v>60</v>
      </c>
      <c r="M1145" t="s">
        <v>47</v>
      </c>
      <c r="N1145" t="s">
        <v>47</v>
      </c>
      <c r="O1145" t="s">
        <v>47</v>
      </c>
      <c r="P1145" s="3">
        <v>37987</v>
      </c>
      <c r="Q1145" s="5" t="s">
        <v>50</v>
      </c>
      <c r="R1145" s="5" t="s">
        <v>1602</v>
      </c>
      <c r="S1145" t="s">
        <v>47</v>
      </c>
      <c r="T1145" t="s">
        <v>47</v>
      </c>
      <c r="U1145" t="s">
        <v>47</v>
      </c>
      <c r="V1145" t="s">
        <v>47</v>
      </c>
      <c r="W1145" s="3">
        <v>37987</v>
      </c>
      <c r="X1145" s="5" t="s">
        <v>50</v>
      </c>
      <c r="Y1145" s="5" t="s">
        <v>1602</v>
      </c>
      <c r="Z1145" s="3">
        <v>37987</v>
      </c>
      <c r="AA1145" s="5" t="s">
        <v>50</v>
      </c>
      <c r="AB1145" s="5" t="s">
        <v>1602</v>
      </c>
      <c r="AC1145" s="3">
        <v>37987</v>
      </c>
      <c r="AD1145" s="5" t="s">
        <v>50</v>
      </c>
      <c r="AE1145" s="5" t="s">
        <v>1602</v>
      </c>
      <c r="AF1145" t="s">
        <v>47</v>
      </c>
      <c r="AG1145" t="s">
        <v>47</v>
      </c>
      <c r="AH1145" t="s">
        <v>47</v>
      </c>
      <c r="AI1145" t="s">
        <v>47</v>
      </c>
      <c r="AJ1145" t="s">
        <v>47</v>
      </c>
      <c r="AK1145" t="s">
        <v>47</v>
      </c>
      <c r="AL1145" t="s">
        <v>47</v>
      </c>
      <c r="AM1145" t="s">
        <v>47</v>
      </c>
      <c r="AN1145" t="s">
        <v>47</v>
      </c>
      <c r="AO1145" s="5" t="s">
        <v>60</v>
      </c>
      <c r="AP1145" s="4" t="s">
        <v>61</v>
      </c>
      <c r="AQ1145" s="4" t="s">
        <v>4511</v>
      </c>
      <c r="AR1145" s="4" t="s">
        <v>54</v>
      </c>
      <c r="AS1145" s="5">
        <v>5252732</v>
      </c>
      <c r="AT1145" t="s">
        <v>47</v>
      </c>
    </row>
    <row r="1146" spans="1:46" ht="39" x14ac:dyDescent="0.3">
      <c r="A1146" s="4" t="s">
        <v>4512</v>
      </c>
      <c r="B1146" t="s">
        <v>47</v>
      </c>
      <c r="C1146" s="4" t="s">
        <v>169</v>
      </c>
      <c r="D1146" s="4" t="s">
        <v>319</v>
      </c>
      <c r="E1146" s="4" t="s">
        <v>66</v>
      </c>
      <c r="F1146" s="5" t="s">
        <v>4513</v>
      </c>
      <c r="G1146" s="5" t="s">
        <v>4514</v>
      </c>
      <c r="H1146" t="s">
        <v>47</v>
      </c>
      <c r="I1146" t="s">
        <v>47</v>
      </c>
      <c r="J1146" t="s">
        <v>47</v>
      </c>
      <c r="K1146" t="s">
        <v>47</v>
      </c>
      <c r="L1146" s="5" t="s">
        <v>60</v>
      </c>
      <c r="M1146" t="s">
        <v>47</v>
      </c>
      <c r="N1146" t="s">
        <v>47</v>
      </c>
      <c r="O1146" t="s">
        <v>47</v>
      </c>
      <c r="P1146" t="s">
        <v>47</v>
      </c>
      <c r="Q1146" t="s">
        <v>47</v>
      </c>
      <c r="R1146" t="s">
        <v>47</v>
      </c>
      <c r="S1146" t="s">
        <v>47</v>
      </c>
      <c r="T1146" t="s">
        <v>47</v>
      </c>
      <c r="U1146" t="s">
        <v>47</v>
      </c>
      <c r="V1146" t="s">
        <v>47</v>
      </c>
      <c r="W1146" s="3">
        <v>37987</v>
      </c>
      <c r="X1146" s="5" t="s">
        <v>50</v>
      </c>
      <c r="Y1146" t="s">
        <v>47</v>
      </c>
      <c r="Z1146" s="3">
        <v>37987</v>
      </c>
      <c r="AA1146" s="5" t="s">
        <v>50</v>
      </c>
      <c r="AB1146" t="s">
        <v>47</v>
      </c>
      <c r="AC1146" s="3">
        <v>37987</v>
      </c>
      <c r="AD1146" s="5" t="s">
        <v>50</v>
      </c>
      <c r="AE1146" t="s">
        <v>47</v>
      </c>
      <c r="AF1146" t="s">
        <v>47</v>
      </c>
      <c r="AG1146" t="s">
        <v>47</v>
      </c>
      <c r="AH1146" t="s">
        <v>47</v>
      </c>
      <c r="AI1146" t="s">
        <v>47</v>
      </c>
      <c r="AJ1146" t="s">
        <v>47</v>
      </c>
      <c r="AK1146" t="s">
        <v>47</v>
      </c>
      <c r="AL1146" t="s">
        <v>47</v>
      </c>
      <c r="AM1146" t="s">
        <v>47</v>
      </c>
      <c r="AN1146" t="s">
        <v>47</v>
      </c>
      <c r="AO1146" s="5" t="s">
        <v>60</v>
      </c>
      <c r="AP1146" s="4" t="s">
        <v>61</v>
      </c>
      <c r="AQ1146" s="4" t="s">
        <v>53</v>
      </c>
      <c r="AR1146" s="4" t="s">
        <v>4515</v>
      </c>
      <c r="AS1146" s="5">
        <v>42534</v>
      </c>
      <c r="AT1146" t="s">
        <v>47</v>
      </c>
    </row>
    <row r="1147" spans="1:46" ht="65" x14ac:dyDescent="0.3">
      <c r="A1147" s="4" t="s">
        <v>4516</v>
      </c>
      <c r="B1147" t="s">
        <v>47</v>
      </c>
      <c r="C1147" s="4" t="s">
        <v>122</v>
      </c>
      <c r="D1147" s="4" t="s">
        <v>206</v>
      </c>
      <c r="E1147" s="4" t="s">
        <v>123</v>
      </c>
      <c r="F1147" s="5" t="s">
        <v>4517</v>
      </c>
      <c r="G1147" s="5" t="s">
        <v>4518</v>
      </c>
      <c r="H1147" t="s">
        <v>47</v>
      </c>
      <c r="I1147" s="3">
        <v>35551</v>
      </c>
      <c r="J1147" s="5" t="s">
        <v>50</v>
      </c>
      <c r="K1147" s="5" t="s">
        <v>3266</v>
      </c>
      <c r="L1147" s="5" t="s">
        <v>60</v>
      </c>
      <c r="M1147" s="3">
        <v>38018</v>
      </c>
      <c r="N1147" s="3">
        <v>42795</v>
      </c>
      <c r="O1147" t="s">
        <v>47</v>
      </c>
      <c r="P1147" s="3">
        <v>35551</v>
      </c>
      <c r="Q1147" s="5" t="s">
        <v>50</v>
      </c>
      <c r="R1147" s="5" t="s">
        <v>3266</v>
      </c>
      <c r="S1147" t="s">
        <v>47</v>
      </c>
      <c r="T1147" t="s">
        <v>47</v>
      </c>
      <c r="U1147" t="s">
        <v>47</v>
      </c>
      <c r="V1147" s="5">
        <v>365</v>
      </c>
      <c r="W1147" s="3">
        <v>35551</v>
      </c>
      <c r="X1147" s="5" t="s">
        <v>50</v>
      </c>
      <c r="Y1147" s="5" t="s">
        <v>3266</v>
      </c>
      <c r="Z1147" s="3">
        <v>35551</v>
      </c>
      <c r="AA1147" s="5" t="s">
        <v>50</v>
      </c>
      <c r="AB1147" s="5" t="s">
        <v>3266</v>
      </c>
      <c r="AC1147" s="3">
        <v>35551</v>
      </c>
      <c r="AD1147" s="5" t="s">
        <v>50</v>
      </c>
      <c r="AE1147" s="5" t="s">
        <v>3266</v>
      </c>
      <c r="AF1147" t="s">
        <v>47</v>
      </c>
      <c r="AG1147" t="s">
        <v>47</v>
      </c>
      <c r="AH1147" t="s">
        <v>47</v>
      </c>
      <c r="AI1147" t="s">
        <v>47</v>
      </c>
      <c r="AJ1147" t="s">
        <v>47</v>
      </c>
      <c r="AK1147" t="s">
        <v>47</v>
      </c>
      <c r="AL1147" t="s">
        <v>47</v>
      </c>
      <c r="AM1147" t="s">
        <v>47</v>
      </c>
      <c r="AN1147" t="s">
        <v>47</v>
      </c>
      <c r="AO1147" s="5" t="s">
        <v>60</v>
      </c>
      <c r="AP1147" s="4" t="s">
        <v>61</v>
      </c>
      <c r="AQ1147" s="4" t="s">
        <v>53</v>
      </c>
      <c r="AR1147" s="4" t="s">
        <v>543</v>
      </c>
      <c r="AS1147" s="5">
        <v>2034510</v>
      </c>
      <c r="AT1147" t="s">
        <v>47</v>
      </c>
    </row>
    <row r="1148" spans="1:46" ht="26" x14ac:dyDescent="0.3">
      <c r="A1148" s="4" t="s">
        <v>4519</v>
      </c>
      <c r="B1148" t="s">
        <v>47</v>
      </c>
      <c r="C1148" s="4" t="s">
        <v>4520</v>
      </c>
      <c r="D1148" s="4" t="s">
        <v>4521</v>
      </c>
      <c r="E1148" s="4" t="s">
        <v>49</v>
      </c>
      <c r="F1148" t="s">
        <v>47</v>
      </c>
      <c r="G1148" t="s">
        <v>47</v>
      </c>
      <c r="H1148" t="s">
        <v>47</v>
      </c>
      <c r="I1148" s="3">
        <v>40909</v>
      </c>
      <c r="J1148" s="5" t="s">
        <v>50</v>
      </c>
      <c r="K1148" t="s">
        <v>47</v>
      </c>
      <c r="L1148" s="5" t="s">
        <v>60</v>
      </c>
      <c r="M1148" s="3">
        <v>40909</v>
      </c>
      <c r="N1148" s="5" t="s">
        <v>50</v>
      </c>
      <c r="O1148" t="s">
        <v>47</v>
      </c>
      <c r="P1148" s="3">
        <v>40909</v>
      </c>
      <c r="Q1148" s="5" t="s">
        <v>50</v>
      </c>
      <c r="R1148" t="s">
        <v>47</v>
      </c>
      <c r="S1148" t="s">
        <v>47</v>
      </c>
      <c r="T1148" t="s">
        <v>47</v>
      </c>
      <c r="U1148" t="s">
        <v>47</v>
      </c>
      <c r="V1148" t="s">
        <v>47</v>
      </c>
      <c r="W1148" s="3">
        <v>40909</v>
      </c>
      <c r="X1148" s="5" t="s">
        <v>50</v>
      </c>
      <c r="Y1148" t="s">
        <v>47</v>
      </c>
      <c r="Z1148" s="3">
        <v>40909</v>
      </c>
      <c r="AA1148" s="5" t="s">
        <v>50</v>
      </c>
      <c r="AB1148" t="s">
        <v>47</v>
      </c>
      <c r="AC1148" s="3">
        <v>40909</v>
      </c>
      <c r="AD1148" s="5" t="s">
        <v>50</v>
      </c>
      <c r="AE1148" t="s">
        <v>47</v>
      </c>
      <c r="AF1148" t="s">
        <v>47</v>
      </c>
      <c r="AG1148" t="s">
        <v>47</v>
      </c>
      <c r="AH1148" t="s">
        <v>47</v>
      </c>
      <c r="AI1148" t="s">
        <v>47</v>
      </c>
      <c r="AJ1148" t="s">
        <v>47</v>
      </c>
      <c r="AK1148" t="s">
        <v>47</v>
      </c>
      <c r="AL1148" t="s">
        <v>47</v>
      </c>
      <c r="AM1148" t="s">
        <v>47</v>
      </c>
      <c r="AN1148" t="s">
        <v>47</v>
      </c>
      <c r="AO1148" s="5" t="s">
        <v>60</v>
      </c>
      <c r="AP1148" s="4" t="s">
        <v>61</v>
      </c>
      <c r="AQ1148" s="4" t="s">
        <v>53</v>
      </c>
      <c r="AR1148" s="4" t="s">
        <v>389</v>
      </c>
      <c r="AS1148" s="5">
        <v>2030106</v>
      </c>
      <c r="AT1148" t="s">
        <v>47</v>
      </c>
    </row>
    <row r="1149" spans="1:46" ht="78" x14ac:dyDescent="0.3">
      <c r="A1149" s="4" t="s">
        <v>4522</v>
      </c>
      <c r="B1149" t="s">
        <v>47</v>
      </c>
      <c r="C1149" s="4" t="s">
        <v>509</v>
      </c>
      <c r="D1149" s="4" t="s">
        <v>223</v>
      </c>
      <c r="E1149" s="4" t="s">
        <v>49</v>
      </c>
      <c r="F1149" s="5" t="s">
        <v>4523</v>
      </c>
      <c r="G1149" s="5" t="s">
        <v>4524</v>
      </c>
      <c r="H1149" t="s">
        <v>47</v>
      </c>
      <c r="I1149" s="3">
        <v>33604</v>
      </c>
      <c r="J1149" s="3">
        <v>37895</v>
      </c>
      <c r="K1149" t="s">
        <v>47</v>
      </c>
      <c r="L1149" s="5" t="s">
        <v>60</v>
      </c>
      <c r="M1149" s="3">
        <v>34973</v>
      </c>
      <c r="N1149" s="3">
        <v>37895</v>
      </c>
      <c r="O1149" t="s">
        <v>47</v>
      </c>
      <c r="P1149" s="3">
        <v>33604</v>
      </c>
      <c r="Q1149" s="3">
        <v>35034</v>
      </c>
      <c r="R1149" t="s">
        <v>47</v>
      </c>
      <c r="S1149" t="s">
        <v>47</v>
      </c>
      <c r="T1149" t="s">
        <v>47</v>
      </c>
      <c r="U1149" t="s">
        <v>47</v>
      </c>
      <c r="V1149" t="s">
        <v>47</v>
      </c>
      <c r="W1149" s="3">
        <v>33604</v>
      </c>
      <c r="X1149" s="3">
        <v>43586</v>
      </c>
      <c r="Y1149" t="s">
        <v>47</v>
      </c>
      <c r="Z1149" s="3">
        <v>33604</v>
      </c>
      <c r="AA1149" s="3">
        <v>43586</v>
      </c>
      <c r="AB1149" t="s">
        <v>47</v>
      </c>
      <c r="AC1149" s="3">
        <v>33604</v>
      </c>
      <c r="AD1149" s="3">
        <v>43586</v>
      </c>
      <c r="AE1149" t="s">
        <v>47</v>
      </c>
      <c r="AF1149" t="s">
        <v>47</v>
      </c>
      <c r="AG1149" t="s">
        <v>47</v>
      </c>
      <c r="AH1149" t="s">
        <v>47</v>
      </c>
      <c r="AI1149" t="s">
        <v>47</v>
      </c>
      <c r="AJ1149" t="s">
        <v>47</v>
      </c>
      <c r="AK1149" t="s">
        <v>47</v>
      </c>
      <c r="AL1149" t="s">
        <v>47</v>
      </c>
      <c r="AM1149" t="s">
        <v>47</v>
      </c>
      <c r="AN1149" t="s">
        <v>47</v>
      </c>
      <c r="AO1149" s="5" t="s">
        <v>60</v>
      </c>
      <c r="AP1149" s="4" t="s">
        <v>61</v>
      </c>
      <c r="AQ1149" s="4" t="s">
        <v>53</v>
      </c>
      <c r="AR1149" s="4" t="s">
        <v>512</v>
      </c>
      <c r="AS1149" s="5">
        <v>41299</v>
      </c>
      <c r="AT1149" t="s">
        <v>47</v>
      </c>
    </row>
    <row r="1150" spans="1:46" ht="78" x14ac:dyDescent="0.3">
      <c r="A1150" s="4" t="s">
        <v>4525</v>
      </c>
      <c r="B1150" t="s">
        <v>47</v>
      </c>
      <c r="C1150" s="4" t="s">
        <v>4526</v>
      </c>
      <c r="D1150" s="4" t="s">
        <v>4527</v>
      </c>
      <c r="E1150" s="4" t="s">
        <v>66</v>
      </c>
      <c r="F1150" s="5" t="s">
        <v>4528</v>
      </c>
      <c r="G1150" t="s">
        <v>47</v>
      </c>
      <c r="H1150" t="s">
        <v>47</v>
      </c>
      <c r="I1150" s="3">
        <v>38322</v>
      </c>
      <c r="J1150" s="5" t="s">
        <v>50</v>
      </c>
      <c r="K1150" t="s">
        <v>47</v>
      </c>
      <c r="L1150" s="5" t="s">
        <v>51</v>
      </c>
      <c r="M1150" s="3">
        <v>38322</v>
      </c>
      <c r="N1150" s="5" t="s">
        <v>50</v>
      </c>
      <c r="O1150" t="s">
        <v>47</v>
      </c>
      <c r="P1150" s="3">
        <v>38322</v>
      </c>
      <c r="Q1150" s="5" t="s">
        <v>50</v>
      </c>
      <c r="R1150" t="s">
        <v>47</v>
      </c>
      <c r="S1150" t="s">
        <v>47</v>
      </c>
      <c r="T1150" t="s">
        <v>47</v>
      </c>
      <c r="U1150" t="s">
        <v>47</v>
      </c>
      <c r="V1150" t="s">
        <v>47</v>
      </c>
      <c r="W1150" s="3">
        <v>38322</v>
      </c>
      <c r="X1150" s="5" t="s">
        <v>50</v>
      </c>
      <c r="Y1150" t="s">
        <v>47</v>
      </c>
      <c r="Z1150" s="3">
        <v>38322</v>
      </c>
      <c r="AA1150" s="5" t="s">
        <v>50</v>
      </c>
      <c r="AB1150" t="s">
        <v>47</v>
      </c>
      <c r="AC1150" s="3">
        <v>38322</v>
      </c>
      <c r="AD1150" s="5" t="s">
        <v>50</v>
      </c>
      <c r="AE1150" t="s">
        <v>47</v>
      </c>
      <c r="AF1150" t="s">
        <v>47</v>
      </c>
      <c r="AG1150" t="s">
        <v>47</v>
      </c>
      <c r="AH1150" t="s">
        <v>47</v>
      </c>
      <c r="AI1150" t="s">
        <v>47</v>
      </c>
      <c r="AJ1150" t="s">
        <v>47</v>
      </c>
      <c r="AK1150" t="s">
        <v>47</v>
      </c>
      <c r="AL1150" t="s">
        <v>47</v>
      </c>
      <c r="AM1150" t="s">
        <v>47</v>
      </c>
      <c r="AN1150" t="s">
        <v>47</v>
      </c>
      <c r="AO1150" s="5" t="s">
        <v>51</v>
      </c>
      <c r="AP1150" s="4" t="s">
        <v>85</v>
      </c>
      <c r="AQ1150" s="4" t="s">
        <v>53</v>
      </c>
      <c r="AR1150" s="4" t="s">
        <v>512</v>
      </c>
      <c r="AS1150" s="5">
        <v>48811</v>
      </c>
      <c r="AT1150" t="s">
        <v>47</v>
      </c>
    </row>
    <row r="1151" spans="1:46" ht="78" x14ac:dyDescent="0.3">
      <c r="A1151" s="4" t="s">
        <v>4529</v>
      </c>
      <c r="B1151" t="s">
        <v>47</v>
      </c>
      <c r="C1151" s="4" t="s">
        <v>509</v>
      </c>
      <c r="D1151" s="4" t="s">
        <v>223</v>
      </c>
      <c r="E1151" s="4" t="s">
        <v>49</v>
      </c>
      <c r="F1151" s="5" t="s">
        <v>4530</v>
      </c>
      <c r="G1151" s="5" t="s">
        <v>4531</v>
      </c>
      <c r="H1151" t="s">
        <v>47</v>
      </c>
      <c r="I1151" s="3">
        <v>35916</v>
      </c>
      <c r="J1151" s="3">
        <v>37895</v>
      </c>
      <c r="K1151" t="s">
        <v>47</v>
      </c>
      <c r="L1151" s="5" t="s">
        <v>60</v>
      </c>
      <c r="M1151" s="3">
        <v>35916</v>
      </c>
      <c r="N1151" s="3">
        <v>37895</v>
      </c>
      <c r="O1151" t="s">
        <v>47</v>
      </c>
      <c r="P1151" t="s">
        <v>47</v>
      </c>
      <c r="Q1151" t="s">
        <v>47</v>
      </c>
      <c r="R1151" t="s">
        <v>47</v>
      </c>
      <c r="S1151" t="s">
        <v>47</v>
      </c>
      <c r="T1151" t="s">
        <v>47</v>
      </c>
      <c r="U1151" t="s">
        <v>47</v>
      </c>
      <c r="V1151" t="s">
        <v>47</v>
      </c>
      <c r="W1151" s="3">
        <v>35916</v>
      </c>
      <c r="X1151" s="3">
        <v>43586</v>
      </c>
      <c r="Y1151" t="s">
        <v>47</v>
      </c>
      <c r="Z1151" s="3">
        <v>35916</v>
      </c>
      <c r="AA1151" s="3">
        <v>43586</v>
      </c>
      <c r="AB1151" t="s">
        <v>47</v>
      </c>
      <c r="AC1151" s="3">
        <v>35916</v>
      </c>
      <c r="AD1151" s="3">
        <v>43586</v>
      </c>
      <c r="AE1151" t="s">
        <v>47</v>
      </c>
      <c r="AF1151" t="s">
        <v>47</v>
      </c>
      <c r="AG1151" t="s">
        <v>47</v>
      </c>
      <c r="AH1151" t="s">
        <v>47</v>
      </c>
      <c r="AI1151" t="s">
        <v>47</v>
      </c>
      <c r="AJ1151" t="s">
        <v>47</v>
      </c>
      <c r="AK1151" t="s">
        <v>47</v>
      </c>
      <c r="AL1151" t="s">
        <v>47</v>
      </c>
      <c r="AM1151" t="s">
        <v>47</v>
      </c>
      <c r="AN1151" t="s">
        <v>47</v>
      </c>
      <c r="AO1151" s="5" t="s">
        <v>60</v>
      </c>
      <c r="AP1151" s="4" t="s">
        <v>61</v>
      </c>
      <c r="AQ1151" s="4" t="s">
        <v>53</v>
      </c>
      <c r="AR1151" s="4" t="s">
        <v>512</v>
      </c>
      <c r="AS1151" s="5">
        <v>32879</v>
      </c>
      <c r="AT1151" t="s">
        <v>47</v>
      </c>
    </row>
    <row r="1152" spans="1:46" ht="26" x14ac:dyDescent="0.3">
      <c r="A1152" s="4" t="s">
        <v>4532</v>
      </c>
      <c r="B1152" t="s">
        <v>47</v>
      </c>
      <c r="C1152" s="4" t="s">
        <v>4532</v>
      </c>
      <c r="D1152" s="4" t="s">
        <v>4533</v>
      </c>
      <c r="E1152" s="4" t="s">
        <v>49</v>
      </c>
      <c r="F1152" s="5" t="s">
        <v>4534</v>
      </c>
      <c r="G1152" t="s">
        <v>47</v>
      </c>
      <c r="H1152" t="s">
        <v>47</v>
      </c>
      <c r="I1152" s="3">
        <v>36251</v>
      </c>
      <c r="J1152" s="3">
        <v>42644</v>
      </c>
      <c r="K1152" t="s">
        <v>47</v>
      </c>
      <c r="L1152" s="5" t="s">
        <v>60</v>
      </c>
      <c r="M1152" s="3">
        <v>36251</v>
      </c>
      <c r="N1152" s="3">
        <v>42644</v>
      </c>
      <c r="O1152" t="s">
        <v>47</v>
      </c>
      <c r="P1152" s="3">
        <v>36251</v>
      </c>
      <c r="Q1152" s="3">
        <v>42644</v>
      </c>
      <c r="R1152" t="s">
        <v>47</v>
      </c>
      <c r="S1152" t="s">
        <v>47</v>
      </c>
      <c r="T1152" t="s">
        <v>47</v>
      </c>
      <c r="U1152" t="s">
        <v>47</v>
      </c>
      <c r="V1152" t="s">
        <v>47</v>
      </c>
      <c r="W1152" s="3">
        <v>36251</v>
      </c>
      <c r="X1152" s="3">
        <v>42644</v>
      </c>
      <c r="Y1152" t="s">
        <v>47</v>
      </c>
      <c r="Z1152" s="3">
        <v>36251</v>
      </c>
      <c r="AA1152" s="3">
        <v>42644</v>
      </c>
      <c r="AB1152" t="s">
        <v>47</v>
      </c>
      <c r="AC1152" s="3">
        <v>36892</v>
      </c>
      <c r="AD1152" s="3">
        <v>42644</v>
      </c>
      <c r="AE1152" t="s">
        <v>47</v>
      </c>
      <c r="AF1152" t="s">
        <v>47</v>
      </c>
      <c r="AG1152" t="s">
        <v>47</v>
      </c>
      <c r="AH1152" t="s">
        <v>47</v>
      </c>
      <c r="AI1152" t="s">
        <v>47</v>
      </c>
      <c r="AJ1152" t="s">
        <v>47</v>
      </c>
      <c r="AK1152" t="s">
        <v>47</v>
      </c>
      <c r="AL1152" t="s">
        <v>47</v>
      </c>
      <c r="AM1152" t="s">
        <v>47</v>
      </c>
      <c r="AN1152" t="s">
        <v>47</v>
      </c>
      <c r="AO1152" s="5" t="s">
        <v>60</v>
      </c>
      <c r="AP1152" s="4" t="s">
        <v>61</v>
      </c>
      <c r="AQ1152" s="4" t="s">
        <v>53</v>
      </c>
      <c r="AR1152" s="4" t="s">
        <v>839</v>
      </c>
      <c r="AS1152" s="5">
        <v>35418</v>
      </c>
      <c r="AT1152" t="s">
        <v>47</v>
      </c>
    </row>
    <row r="1153" spans="1:46" ht="13" x14ac:dyDescent="0.3">
      <c r="A1153" s="4" t="s">
        <v>4535</v>
      </c>
      <c r="B1153" t="s">
        <v>47</v>
      </c>
      <c r="C1153" s="4" t="s">
        <v>4535</v>
      </c>
      <c r="D1153" s="4" t="s">
        <v>4536</v>
      </c>
      <c r="E1153" s="4" t="s">
        <v>100</v>
      </c>
      <c r="F1153" s="5" t="s">
        <v>4537</v>
      </c>
      <c r="G1153" t="s">
        <v>47</v>
      </c>
      <c r="H1153" t="s">
        <v>47</v>
      </c>
      <c r="I1153" s="3">
        <v>36251</v>
      </c>
      <c r="J1153" s="3">
        <v>38991</v>
      </c>
      <c r="K1153" t="s">
        <v>47</v>
      </c>
      <c r="L1153" s="5" t="s">
        <v>60</v>
      </c>
      <c r="M1153" s="3">
        <v>36251</v>
      </c>
      <c r="N1153" s="3">
        <v>38991</v>
      </c>
      <c r="O1153" t="s">
        <v>47</v>
      </c>
      <c r="P1153" s="3">
        <v>36526</v>
      </c>
      <c r="Q1153" s="3">
        <v>38991</v>
      </c>
      <c r="R1153" t="s">
        <v>47</v>
      </c>
      <c r="S1153" t="s">
        <v>47</v>
      </c>
      <c r="T1153" t="s">
        <v>47</v>
      </c>
      <c r="U1153" t="s">
        <v>47</v>
      </c>
      <c r="V1153" t="s">
        <v>47</v>
      </c>
      <c r="W1153" s="3">
        <v>33695</v>
      </c>
      <c r="X1153" s="3">
        <v>38991</v>
      </c>
      <c r="Y1153" t="s">
        <v>47</v>
      </c>
      <c r="Z1153" s="3">
        <v>33695</v>
      </c>
      <c r="AA1153" s="3">
        <v>38991</v>
      </c>
      <c r="AB1153" t="s">
        <v>47</v>
      </c>
      <c r="AC1153" s="3">
        <v>36251</v>
      </c>
      <c r="AD1153" s="3">
        <v>38991</v>
      </c>
      <c r="AE1153" t="s">
        <v>47</v>
      </c>
      <c r="AF1153" t="s">
        <v>47</v>
      </c>
      <c r="AG1153" t="s">
        <v>47</v>
      </c>
      <c r="AH1153" t="s">
        <v>47</v>
      </c>
      <c r="AI1153" t="s">
        <v>47</v>
      </c>
      <c r="AJ1153" t="s">
        <v>47</v>
      </c>
      <c r="AK1153" t="s">
        <v>47</v>
      </c>
      <c r="AL1153" t="s">
        <v>47</v>
      </c>
      <c r="AM1153" t="s">
        <v>47</v>
      </c>
      <c r="AN1153" t="s">
        <v>47</v>
      </c>
      <c r="AO1153" s="5" t="s">
        <v>60</v>
      </c>
      <c r="AP1153" s="4" t="s">
        <v>61</v>
      </c>
      <c r="AQ1153" s="4" t="s">
        <v>53</v>
      </c>
      <c r="AR1153" s="4" t="s">
        <v>54</v>
      </c>
      <c r="AS1153" s="5">
        <v>34515</v>
      </c>
      <c r="AT1153" t="s">
        <v>47</v>
      </c>
    </row>
    <row r="1154" spans="1:46" ht="13" x14ac:dyDescent="0.3">
      <c r="A1154" s="4" t="s">
        <v>4538</v>
      </c>
      <c r="B1154" t="s">
        <v>47</v>
      </c>
      <c r="C1154" s="4" t="s">
        <v>4535</v>
      </c>
      <c r="D1154" s="4" t="s">
        <v>4536</v>
      </c>
      <c r="E1154" s="4" t="s">
        <v>100</v>
      </c>
      <c r="F1154" t="s">
        <v>47</v>
      </c>
      <c r="G1154" s="5" t="s">
        <v>4539</v>
      </c>
      <c r="H1154" t="s">
        <v>47</v>
      </c>
      <c r="I1154" s="3">
        <v>39083</v>
      </c>
      <c r="J1154" s="5" t="s">
        <v>50</v>
      </c>
      <c r="K1154" t="s">
        <v>47</v>
      </c>
      <c r="L1154" s="5" t="s">
        <v>60</v>
      </c>
      <c r="M1154" s="3">
        <v>39083</v>
      </c>
      <c r="N1154" s="5" t="s">
        <v>50</v>
      </c>
      <c r="O1154" t="s">
        <v>47</v>
      </c>
      <c r="P1154" s="3">
        <v>39083</v>
      </c>
      <c r="Q1154" s="5" t="s">
        <v>50</v>
      </c>
      <c r="R1154" t="s">
        <v>47</v>
      </c>
      <c r="S1154" t="s">
        <v>47</v>
      </c>
      <c r="T1154" t="s">
        <v>47</v>
      </c>
      <c r="U1154" t="s">
        <v>47</v>
      </c>
      <c r="V1154" t="s">
        <v>47</v>
      </c>
      <c r="W1154" s="3">
        <v>39083</v>
      </c>
      <c r="X1154" s="5" t="s">
        <v>50</v>
      </c>
      <c r="Y1154" t="s">
        <v>47</v>
      </c>
      <c r="Z1154" s="3">
        <v>39083</v>
      </c>
      <c r="AA1154" s="5" t="s">
        <v>50</v>
      </c>
      <c r="AB1154" t="s">
        <v>47</v>
      </c>
      <c r="AC1154" s="3">
        <v>39083</v>
      </c>
      <c r="AD1154" s="5" t="s">
        <v>50</v>
      </c>
      <c r="AE1154" t="s">
        <v>47</v>
      </c>
      <c r="AF1154" t="s">
        <v>47</v>
      </c>
      <c r="AG1154" t="s">
        <v>47</v>
      </c>
      <c r="AH1154" t="s">
        <v>47</v>
      </c>
      <c r="AI1154" t="s">
        <v>47</v>
      </c>
      <c r="AJ1154" t="s">
        <v>47</v>
      </c>
      <c r="AK1154" t="s">
        <v>47</v>
      </c>
      <c r="AL1154" t="s">
        <v>47</v>
      </c>
      <c r="AM1154" t="s">
        <v>47</v>
      </c>
      <c r="AN1154" t="s">
        <v>47</v>
      </c>
      <c r="AO1154" s="5" t="s">
        <v>60</v>
      </c>
      <c r="AP1154" s="4" t="s">
        <v>61</v>
      </c>
      <c r="AQ1154" s="4" t="s">
        <v>53</v>
      </c>
      <c r="AR1154" s="4" t="s">
        <v>54</v>
      </c>
      <c r="AS1154" s="5">
        <v>38975</v>
      </c>
      <c r="AT1154" t="s">
        <v>47</v>
      </c>
    </row>
    <row r="1155" spans="1:46" ht="26" x14ac:dyDescent="0.3">
      <c r="A1155" s="4" t="s">
        <v>4540</v>
      </c>
      <c r="B1155" t="s">
        <v>47</v>
      </c>
      <c r="C1155" s="4" t="s">
        <v>169</v>
      </c>
      <c r="D1155" s="4" t="s">
        <v>201</v>
      </c>
      <c r="E1155" s="4" t="s">
        <v>66</v>
      </c>
      <c r="F1155" s="5" t="s">
        <v>4541</v>
      </c>
      <c r="G1155" s="5" t="s">
        <v>4542</v>
      </c>
      <c r="H1155" t="s">
        <v>47</v>
      </c>
      <c r="I1155" s="3">
        <v>35521</v>
      </c>
      <c r="J1155" s="3">
        <v>39814</v>
      </c>
      <c r="K1155" t="s">
        <v>47</v>
      </c>
      <c r="L1155" s="5" t="s">
        <v>60</v>
      </c>
      <c r="M1155" s="3">
        <v>35521</v>
      </c>
      <c r="N1155" s="3">
        <v>39814</v>
      </c>
      <c r="O1155" t="s">
        <v>47</v>
      </c>
      <c r="P1155" s="3">
        <v>35521</v>
      </c>
      <c r="Q1155" s="3">
        <v>39814</v>
      </c>
      <c r="R1155" t="s">
        <v>47</v>
      </c>
      <c r="S1155" t="s">
        <v>47</v>
      </c>
      <c r="T1155" t="s">
        <v>47</v>
      </c>
      <c r="U1155" t="s">
        <v>47</v>
      </c>
      <c r="V1155" t="s">
        <v>47</v>
      </c>
      <c r="W1155" s="3">
        <v>35521</v>
      </c>
      <c r="X1155" s="5" t="s">
        <v>50</v>
      </c>
      <c r="Y1155" t="s">
        <v>47</v>
      </c>
      <c r="Z1155" s="3">
        <v>35521</v>
      </c>
      <c r="AA1155" s="5" t="s">
        <v>50</v>
      </c>
      <c r="AB1155" t="s">
        <v>47</v>
      </c>
      <c r="AC1155" s="3">
        <v>37987</v>
      </c>
      <c r="AD1155" s="5" t="s">
        <v>50</v>
      </c>
      <c r="AE1155" t="s">
        <v>47</v>
      </c>
      <c r="AF1155" t="s">
        <v>47</v>
      </c>
      <c r="AG1155" t="s">
        <v>47</v>
      </c>
      <c r="AH1155" t="s">
        <v>47</v>
      </c>
      <c r="AI1155" t="s">
        <v>47</v>
      </c>
      <c r="AJ1155" t="s">
        <v>47</v>
      </c>
      <c r="AK1155" t="s">
        <v>47</v>
      </c>
      <c r="AL1155" t="s">
        <v>47</v>
      </c>
      <c r="AM1155" t="s">
        <v>47</v>
      </c>
      <c r="AN1155" t="s">
        <v>47</v>
      </c>
      <c r="AO1155" s="5" t="s">
        <v>60</v>
      </c>
      <c r="AP1155" s="4" t="s">
        <v>61</v>
      </c>
      <c r="AQ1155" s="4" t="s">
        <v>53</v>
      </c>
      <c r="AR1155" s="4" t="s">
        <v>807</v>
      </c>
      <c r="AS1155" s="5">
        <v>34423</v>
      </c>
      <c r="AT1155" t="s">
        <v>47</v>
      </c>
    </row>
    <row r="1156" spans="1:46" ht="39" x14ac:dyDescent="0.3">
      <c r="A1156" s="4" t="s">
        <v>4543</v>
      </c>
      <c r="B1156" t="s">
        <v>47</v>
      </c>
      <c r="C1156" s="4" t="s">
        <v>1952</v>
      </c>
      <c r="D1156" s="4" t="s">
        <v>319</v>
      </c>
      <c r="E1156" s="4" t="s">
        <v>66</v>
      </c>
      <c r="F1156" s="5" t="s">
        <v>4544</v>
      </c>
      <c r="G1156" s="5" t="s">
        <v>4545</v>
      </c>
      <c r="H1156" t="s">
        <v>47</v>
      </c>
      <c r="I1156" t="s">
        <v>47</v>
      </c>
      <c r="J1156" t="s">
        <v>47</v>
      </c>
      <c r="K1156" t="s">
        <v>47</v>
      </c>
      <c r="L1156" s="5" t="s">
        <v>60</v>
      </c>
      <c r="M1156" t="s">
        <v>47</v>
      </c>
      <c r="N1156" t="s">
        <v>47</v>
      </c>
      <c r="O1156" t="s">
        <v>47</v>
      </c>
      <c r="P1156" t="s">
        <v>47</v>
      </c>
      <c r="Q1156" t="s">
        <v>47</v>
      </c>
      <c r="R1156" t="s">
        <v>47</v>
      </c>
      <c r="S1156" t="s">
        <v>47</v>
      </c>
      <c r="T1156" t="s">
        <v>47</v>
      </c>
      <c r="U1156" t="s">
        <v>47</v>
      </c>
      <c r="V1156" t="s">
        <v>47</v>
      </c>
      <c r="W1156" s="3">
        <v>37987</v>
      </c>
      <c r="X1156" s="5" t="s">
        <v>50</v>
      </c>
      <c r="Y1156" t="s">
        <v>47</v>
      </c>
      <c r="Z1156" s="3">
        <v>37987</v>
      </c>
      <c r="AA1156" s="5" t="s">
        <v>50</v>
      </c>
      <c r="AB1156" t="s">
        <v>47</v>
      </c>
      <c r="AC1156" s="3">
        <v>37987</v>
      </c>
      <c r="AD1156" s="5" t="s">
        <v>50</v>
      </c>
      <c r="AE1156" t="s">
        <v>47</v>
      </c>
      <c r="AF1156" t="s">
        <v>47</v>
      </c>
      <c r="AG1156" t="s">
        <v>47</v>
      </c>
      <c r="AH1156" t="s">
        <v>47</v>
      </c>
      <c r="AI1156" t="s">
        <v>47</v>
      </c>
      <c r="AJ1156" t="s">
        <v>47</v>
      </c>
      <c r="AK1156" t="s">
        <v>47</v>
      </c>
      <c r="AL1156" t="s">
        <v>47</v>
      </c>
      <c r="AM1156" t="s">
        <v>47</v>
      </c>
      <c r="AN1156" t="s">
        <v>47</v>
      </c>
      <c r="AO1156" s="5" t="s">
        <v>60</v>
      </c>
      <c r="AP1156" s="4" t="s">
        <v>61</v>
      </c>
      <c r="AQ1156" s="4" t="s">
        <v>53</v>
      </c>
      <c r="AR1156" s="4" t="s">
        <v>348</v>
      </c>
      <c r="AS1156" s="5">
        <v>46273</v>
      </c>
      <c r="AT1156" t="s">
        <v>47</v>
      </c>
    </row>
    <row r="1157" spans="1:46" ht="65" x14ac:dyDescent="0.3">
      <c r="A1157" s="4" t="s">
        <v>4546</v>
      </c>
      <c r="B1157" t="s">
        <v>47</v>
      </c>
      <c r="C1157" s="4" t="s">
        <v>4547</v>
      </c>
      <c r="D1157" s="4" t="s">
        <v>319</v>
      </c>
      <c r="E1157" s="4" t="s">
        <v>49</v>
      </c>
      <c r="F1157" s="5" t="s">
        <v>4548</v>
      </c>
      <c r="G1157" t="s">
        <v>47</v>
      </c>
      <c r="H1157" t="s">
        <v>47</v>
      </c>
      <c r="I1157" s="3">
        <v>38047</v>
      </c>
      <c r="J1157" s="3">
        <v>38718</v>
      </c>
      <c r="K1157" t="s">
        <v>47</v>
      </c>
      <c r="L1157" s="5" t="s">
        <v>51</v>
      </c>
      <c r="M1157" s="3">
        <v>38047</v>
      </c>
      <c r="N1157" s="3">
        <v>38718</v>
      </c>
      <c r="O1157" t="s">
        <v>47</v>
      </c>
      <c r="P1157" s="3">
        <v>38047</v>
      </c>
      <c r="Q1157" s="3">
        <v>38718</v>
      </c>
      <c r="R1157" t="s">
        <v>47</v>
      </c>
      <c r="S1157" t="s">
        <v>47</v>
      </c>
      <c r="T1157" t="s">
        <v>47</v>
      </c>
      <c r="U1157" t="s">
        <v>47</v>
      </c>
      <c r="V1157" t="s">
        <v>47</v>
      </c>
      <c r="W1157" s="3">
        <v>38047</v>
      </c>
      <c r="X1157" s="3">
        <v>38718</v>
      </c>
      <c r="Y1157" t="s">
        <v>47</v>
      </c>
      <c r="Z1157" s="3">
        <v>38047</v>
      </c>
      <c r="AA1157" s="3">
        <v>38718</v>
      </c>
      <c r="AB1157" t="s">
        <v>47</v>
      </c>
      <c r="AC1157" s="3">
        <v>38047</v>
      </c>
      <c r="AD1157" s="3">
        <v>38718</v>
      </c>
      <c r="AE1157" t="s">
        <v>47</v>
      </c>
      <c r="AF1157" t="s">
        <v>47</v>
      </c>
      <c r="AG1157" t="s">
        <v>47</v>
      </c>
      <c r="AH1157" t="s">
        <v>47</v>
      </c>
      <c r="AI1157" t="s">
        <v>47</v>
      </c>
      <c r="AJ1157" t="s">
        <v>47</v>
      </c>
      <c r="AK1157" t="s">
        <v>47</v>
      </c>
      <c r="AL1157" t="s">
        <v>47</v>
      </c>
      <c r="AM1157" t="s">
        <v>47</v>
      </c>
      <c r="AN1157" t="s">
        <v>47</v>
      </c>
      <c r="AO1157" s="5" t="s">
        <v>51</v>
      </c>
      <c r="AP1157" s="4" t="s">
        <v>85</v>
      </c>
      <c r="AQ1157" s="4" t="s">
        <v>53</v>
      </c>
      <c r="AR1157" s="4" t="s">
        <v>543</v>
      </c>
      <c r="AS1157" s="5">
        <v>34789</v>
      </c>
      <c r="AT1157" t="s">
        <v>47</v>
      </c>
    </row>
    <row r="1158" spans="1:46" ht="39" x14ac:dyDescent="0.3">
      <c r="A1158" s="4" t="s">
        <v>4549</v>
      </c>
      <c r="B1158" t="s">
        <v>47</v>
      </c>
      <c r="C1158" s="4" t="s">
        <v>169</v>
      </c>
      <c r="D1158" s="4" t="s">
        <v>139</v>
      </c>
      <c r="E1158" s="4" t="s">
        <v>66</v>
      </c>
      <c r="F1158" s="5" t="s">
        <v>4550</v>
      </c>
      <c r="G1158" s="5" t="s">
        <v>4551</v>
      </c>
      <c r="H1158" t="s">
        <v>47</v>
      </c>
      <c r="I1158" s="3">
        <v>35674</v>
      </c>
      <c r="J1158" s="3">
        <v>36831</v>
      </c>
      <c r="K1158" t="s">
        <v>47</v>
      </c>
      <c r="L1158" s="5" t="s">
        <v>60</v>
      </c>
      <c r="M1158" s="3">
        <v>35674</v>
      </c>
      <c r="N1158" s="3">
        <v>36831</v>
      </c>
      <c r="O1158" t="s">
        <v>47</v>
      </c>
      <c r="P1158" s="3">
        <v>35674</v>
      </c>
      <c r="Q1158" s="3">
        <v>36831</v>
      </c>
      <c r="R1158" t="s">
        <v>47</v>
      </c>
      <c r="S1158" t="s">
        <v>47</v>
      </c>
      <c r="T1158" t="s">
        <v>47</v>
      </c>
      <c r="U1158" t="s">
        <v>47</v>
      </c>
      <c r="V1158" t="s">
        <v>47</v>
      </c>
      <c r="W1158" s="3">
        <v>35674</v>
      </c>
      <c r="X1158" s="3">
        <v>42675</v>
      </c>
      <c r="Y1158" t="s">
        <v>47</v>
      </c>
      <c r="Z1158" s="3">
        <v>35674</v>
      </c>
      <c r="AA1158" s="3">
        <v>42675</v>
      </c>
      <c r="AB1158" t="s">
        <v>47</v>
      </c>
      <c r="AC1158" s="3">
        <v>35674</v>
      </c>
      <c r="AD1158" s="3">
        <v>42675</v>
      </c>
      <c r="AE1158" t="s">
        <v>47</v>
      </c>
      <c r="AF1158" t="s">
        <v>47</v>
      </c>
      <c r="AG1158" t="s">
        <v>47</v>
      </c>
      <c r="AH1158" t="s">
        <v>47</v>
      </c>
      <c r="AI1158" t="s">
        <v>47</v>
      </c>
      <c r="AJ1158" t="s">
        <v>47</v>
      </c>
      <c r="AK1158" t="s">
        <v>47</v>
      </c>
      <c r="AL1158" t="s">
        <v>47</v>
      </c>
      <c r="AM1158" t="s">
        <v>47</v>
      </c>
      <c r="AN1158" t="s">
        <v>47</v>
      </c>
      <c r="AO1158" s="5" t="s">
        <v>60</v>
      </c>
      <c r="AP1158" s="4" t="s">
        <v>61</v>
      </c>
      <c r="AQ1158" s="4" t="s">
        <v>53</v>
      </c>
      <c r="AR1158" s="4" t="s">
        <v>1815</v>
      </c>
      <c r="AS1158" s="5">
        <v>33662</v>
      </c>
      <c r="AT1158" t="s">
        <v>47</v>
      </c>
    </row>
    <row r="1159" spans="1:46" ht="104" x14ac:dyDescent="0.3">
      <c r="A1159" s="4" t="s">
        <v>4552</v>
      </c>
      <c r="B1159" t="s">
        <v>47</v>
      </c>
      <c r="C1159" s="4" t="s">
        <v>4553</v>
      </c>
      <c r="D1159" s="4" t="s">
        <v>4554</v>
      </c>
      <c r="E1159" s="4" t="s">
        <v>100</v>
      </c>
      <c r="F1159" t="s">
        <v>47</v>
      </c>
      <c r="G1159" t="s">
        <v>47</v>
      </c>
      <c r="H1159" t="s">
        <v>47</v>
      </c>
      <c r="I1159" s="3">
        <v>41183</v>
      </c>
      <c r="J1159" s="3">
        <v>43556</v>
      </c>
      <c r="K1159" t="s">
        <v>47</v>
      </c>
      <c r="L1159" s="5" t="s">
        <v>51</v>
      </c>
      <c r="M1159" s="3">
        <v>41183</v>
      </c>
      <c r="N1159" s="3">
        <v>43556</v>
      </c>
      <c r="O1159" t="s">
        <v>47</v>
      </c>
      <c r="P1159" s="3">
        <v>41183</v>
      </c>
      <c r="Q1159" s="3">
        <v>43556</v>
      </c>
      <c r="R1159" t="s">
        <v>47</v>
      </c>
      <c r="S1159" t="s">
        <v>47</v>
      </c>
      <c r="T1159" t="s">
        <v>47</v>
      </c>
      <c r="U1159" t="s">
        <v>47</v>
      </c>
      <c r="V1159" t="s">
        <v>47</v>
      </c>
      <c r="W1159" s="3">
        <v>41183</v>
      </c>
      <c r="X1159" s="3">
        <v>43556</v>
      </c>
      <c r="Y1159" t="s">
        <v>47</v>
      </c>
      <c r="Z1159" s="3">
        <v>41183</v>
      </c>
      <c r="AA1159" s="3">
        <v>43556</v>
      </c>
      <c r="AB1159" t="s">
        <v>47</v>
      </c>
      <c r="AC1159" s="3">
        <v>41183</v>
      </c>
      <c r="AD1159" s="3">
        <v>43556</v>
      </c>
      <c r="AE1159" t="s">
        <v>47</v>
      </c>
      <c r="AF1159" t="s">
        <v>47</v>
      </c>
      <c r="AG1159" t="s">
        <v>47</v>
      </c>
      <c r="AH1159" t="s">
        <v>47</v>
      </c>
      <c r="AI1159" t="s">
        <v>47</v>
      </c>
      <c r="AJ1159" t="s">
        <v>47</v>
      </c>
      <c r="AK1159" t="s">
        <v>47</v>
      </c>
      <c r="AL1159" t="s">
        <v>47</v>
      </c>
      <c r="AM1159" t="s">
        <v>47</v>
      </c>
      <c r="AN1159" t="s">
        <v>47</v>
      </c>
      <c r="AO1159" s="5" t="s">
        <v>51</v>
      </c>
      <c r="AP1159" s="4" t="s">
        <v>85</v>
      </c>
      <c r="AQ1159" s="4" t="s">
        <v>53</v>
      </c>
      <c r="AR1159" s="4" t="s">
        <v>3568</v>
      </c>
      <c r="AS1159" s="5">
        <v>1356368</v>
      </c>
      <c r="AT1159" t="s">
        <v>47</v>
      </c>
    </row>
    <row r="1160" spans="1:46" ht="65" x14ac:dyDescent="0.3">
      <c r="A1160" s="4" t="s">
        <v>4555</v>
      </c>
      <c r="B1160" t="s">
        <v>47</v>
      </c>
      <c r="C1160" s="4" t="s">
        <v>169</v>
      </c>
      <c r="D1160" s="4" t="s">
        <v>339</v>
      </c>
      <c r="E1160" s="4" t="s">
        <v>66</v>
      </c>
      <c r="F1160" s="5" t="s">
        <v>4556</v>
      </c>
      <c r="G1160" s="5" t="s">
        <v>4557</v>
      </c>
      <c r="H1160" t="s">
        <v>47</v>
      </c>
      <c r="I1160" t="s">
        <v>47</v>
      </c>
      <c r="J1160" t="s">
        <v>47</v>
      </c>
      <c r="K1160" t="s">
        <v>47</v>
      </c>
      <c r="L1160" s="5" t="s">
        <v>60</v>
      </c>
      <c r="M1160" t="s">
        <v>47</v>
      </c>
      <c r="N1160" t="s">
        <v>47</v>
      </c>
      <c r="O1160" t="s">
        <v>47</v>
      </c>
      <c r="P1160" t="s">
        <v>47</v>
      </c>
      <c r="Q1160" t="s">
        <v>47</v>
      </c>
      <c r="R1160" t="s">
        <v>47</v>
      </c>
      <c r="S1160" t="s">
        <v>47</v>
      </c>
      <c r="T1160" t="s">
        <v>47</v>
      </c>
      <c r="U1160" t="s">
        <v>47</v>
      </c>
      <c r="V1160" t="s">
        <v>47</v>
      </c>
      <c r="W1160" s="3">
        <v>40179</v>
      </c>
      <c r="X1160" s="5" t="s">
        <v>50</v>
      </c>
      <c r="Y1160" t="s">
        <v>47</v>
      </c>
      <c r="Z1160" s="3">
        <v>40179</v>
      </c>
      <c r="AA1160" s="5" t="s">
        <v>50</v>
      </c>
      <c r="AB1160" t="s">
        <v>47</v>
      </c>
      <c r="AC1160" s="3">
        <v>40179</v>
      </c>
      <c r="AD1160" s="5" t="s">
        <v>50</v>
      </c>
      <c r="AE1160" t="s">
        <v>47</v>
      </c>
      <c r="AF1160" t="s">
        <v>47</v>
      </c>
      <c r="AG1160" t="s">
        <v>47</v>
      </c>
      <c r="AH1160" t="s">
        <v>47</v>
      </c>
      <c r="AI1160" t="s">
        <v>47</v>
      </c>
      <c r="AJ1160" t="s">
        <v>47</v>
      </c>
      <c r="AK1160" t="s">
        <v>47</v>
      </c>
      <c r="AL1160" t="s">
        <v>47</v>
      </c>
      <c r="AM1160" t="s">
        <v>47</v>
      </c>
      <c r="AN1160" t="s">
        <v>47</v>
      </c>
      <c r="AO1160" s="5" t="s">
        <v>60</v>
      </c>
      <c r="AP1160" s="4" t="s">
        <v>61</v>
      </c>
      <c r="AQ1160" s="4" t="s">
        <v>53</v>
      </c>
      <c r="AR1160" s="4" t="s">
        <v>543</v>
      </c>
      <c r="AS1160" s="5">
        <v>426717</v>
      </c>
      <c r="AT1160" t="s">
        <v>47</v>
      </c>
    </row>
    <row r="1161" spans="1:46" ht="65" x14ac:dyDescent="0.3">
      <c r="A1161" s="4" t="s">
        <v>4558</v>
      </c>
      <c r="B1161" t="s">
        <v>47</v>
      </c>
      <c r="C1161" s="4" t="s">
        <v>1563</v>
      </c>
      <c r="D1161" s="4" t="s">
        <v>1564</v>
      </c>
      <c r="E1161" s="4" t="s">
        <v>49</v>
      </c>
      <c r="F1161" s="5" t="s">
        <v>4559</v>
      </c>
      <c r="G1161" s="5" t="s">
        <v>4560</v>
      </c>
      <c r="H1161" t="s">
        <v>47</v>
      </c>
      <c r="I1161" s="3">
        <v>35431</v>
      </c>
      <c r="J1161" s="5" t="s">
        <v>50</v>
      </c>
      <c r="K1161" t="s">
        <v>47</v>
      </c>
      <c r="L1161" s="5" t="s">
        <v>60</v>
      </c>
      <c r="M1161" s="3">
        <v>35431</v>
      </c>
      <c r="N1161" s="5" t="s">
        <v>50</v>
      </c>
      <c r="O1161" t="s">
        <v>47</v>
      </c>
      <c r="P1161" s="3">
        <v>35431</v>
      </c>
      <c r="Q1161" s="5" t="s">
        <v>50</v>
      </c>
      <c r="R1161" t="s">
        <v>47</v>
      </c>
      <c r="S1161" t="s">
        <v>47</v>
      </c>
      <c r="T1161" t="s">
        <v>47</v>
      </c>
      <c r="U1161" t="s">
        <v>47</v>
      </c>
      <c r="V1161" t="s">
        <v>47</v>
      </c>
      <c r="W1161" s="3">
        <v>35431</v>
      </c>
      <c r="X1161" s="5" t="s">
        <v>50</v>
      </c>
      <c r="Y1161" t="s">
        <v>47</v>
      </c>
      <c r="Z1161" s="3">
        <v>35431</v>
      </c>
      <c r="AA1161" s="5" t="s">
        <v>50</v>
      </c>
      <c r="AB1161" t="s">
        <v>47</v>
      </c>
      <c r="AC1161" s="3">
        <v>35431</v>
      </c>
      <c r="AD1161" s="5" t="s">
        <v>50</v>
      </c>
      <c r="AE1161" t="s">
        <v>47</v>
      </c>
      <c r="AF1161" t="s">
        <v>47</v>
      </c>
      <c r="AG1161" t="s">
        <v>47</v>
      </c>
      <c r="AH1161" t="s">
        <v>47</v>
      </c>
      <c r="AI1161" t="s">
        <v>47</v>
      </c>
      <c r="AJ1161" t="s">
        <v>47</v>
      </c>
      <c r="AK1161" t="s">
        <v>47</v>
      </c>
      <c r="AL1161" t="s">
        <v>47</v>
      </c>
      <c r="AM1161" t="s">
        <v>47</v>
      </c>
      <c r="AN1161" t="s">
        <v>47</v>
      </c>
      <c r="AO1161" s="5" t="s">
        <v>60</v>
      </c>
      <c r="AP1161" s="4" t="s">
        <v>61</v>
      </c>
      <c r="AQ1161" s="4" t="s">
        <v>53</v>
      </c>
      <c r="AR1161" s="4" t="s">
        <v>2013</v>
      </c>
      <c r="AS1161" s="5">
        <v>48851</v>
      </c>
      <c r="AT1161" t="s">
        <v>47</v>
      </c>
    </row>
    <row r="1162" spans="1:46" ht="13" x14ac:dyDescent="0.3">
      <c r="A1162" s="4" t="s">
        <v>4561</v>
      </c>
      <c r="B1162" t="s">
        <v>47</v>
      </c>
      <c r="C1162" s="4" t="s">
        <v>122</v>
      </c>
      <c r="D1162" s="4" t="s">
        <v>70</v>
      </c>
      <c r="E1162" s="4" t="s">
        <v>123</v>
      </c>
      <c r="F1162" s="5" t="s">
        <v>4562</v>
      </c>
      <c r="G1162" s="5" t="s">
        <v>4563</v>
      </c>
      <c r="H1162" t="s">
        <v>47</v>
      </c>
      <c r="I1162" s="3">
        <v>38808</v>
      </c>
      <c r="J1162" s="5" t="s">
        <v>50</v>
      </c>
      <c r="K1162" t="s">
        <v>47</v>
      </c>
      <c r="L1162" s="5" t="s">
        <v>60</v>
      </c>
      <c r="M1162" s="3">
        <v>38808</v>
      </c>
      <c r="N1162" s="3">
        <v>42826</v>
      </c>
      <c r="O1162" t="s">
        <v>47</v>
      </c>
      <c r="P1162" s="3">
        <v>38808</v>
      </c>
      <c r="Q1162" s="5" t="s">
        <v>50</v>
      </c>
      <c r="R1162" t="s">
        <v>47</v>
      </c>
      <c r="S1162" t="s">
        <v>47</v>
      </c>
      <c r="T1162" t="s">
        <v>47</v>
      </c>
      <c r="U1162" t="s">
        <v>47</v>
      </c>
      <c r="V1162" s="5">
        <v>365</v>
      </c>
      <c r="W1162" s="3">
        <v>38808</v>
      </c>
      <c r="X1162" s="5" t="s">
        <v>50</v>
      </c>
      <c r="Y1162" t="s">
        <v>47</v>
      </c>
      <c r="Z1162" s="3">
        <v>38808</v>
      </c>
      <c r="AA1162" s="5" t="s">
        <v>50</v>
      </c>
      <c r="AB1162" t="s">
        <v>47</v>
      </c>
      <c r="AC1162" s="3">
        <v>38808</v>
      </c>
      <c r="AD1162" s="5" t="s">
        <v>50</v>
      </c>
      <c r="AE1162" t="s">
        <v>47</v>
      </c>
      <c r="AF1162" t="s">
        <v>47</v>
      </c>
      <c r="AG1162" t="s">
        <v>47</v>
      </c>
      <c r="AH1162" t="s">
        <v>47</v>
      </c>
      <c r="AI1162" t="s">
        <v>47</v>
      </c>
      <c r="AJ1162" t="s">
        <v>47</v>
      </c>
      <c r="AK1162" t="s">
        <v>47</v>
      </c>
      <c r="AL1162" t="s">
        <v>47</v>
      </c>
      <c r="AM1162" t="s">
        <v>47</v>
      </c>
      <c r="AN1162" t="s">
        <v>47</v>
      </c>
      <c r="AO1162" s="5" t="s">
        <v>60</v>
      </c>
      <c r="AP1162" s="4" t="s">
        <v>61</v>
      </c>
      <c r="AQ1162" s="4" t="s">
        <v>53</v>
      </c>
      <c r="AR1162" s="4" t="s">
        <v>54</v>
      </c>
      <c r="AS1162" s="5">
        <v>54207</v>
      </c>
      <c r="AT1162" t="s">
        <v>47</v>
      </c>
    </row>
    <row r="1163" spans="1:46" ht="39" x14ac:dyDescent="0.3">
      <c r="A1163" s="4" t="s">
        <v>4564</v>
      </c>
      <c r="B1163" t="s">
        <v>47</v>
      </c>
      <c r="C1163" s="4" t="s">
        <v>4565</v>
      </c>
      <c r="D1163" s="4" t="s">
        <v>4431</v>
      </c>
      <c r="E1163" s="4" t="s">
        <v>49</v>
      </c>
      <c r="F1163" s="5" t="s">
        <v>4566</v>
      </c>
      <c r="G1163" s="5" t="s">
        <v>4567</v>
      </c>
      <c r="H1163" t="s">
        <v>47</v>
      </c>
      <c r="I1163" s="3">
        <v>36892</v>
      </c>
      <c r="J1163" s="3">
        <v>37226</v>
      </c>
      <c r="K1163" t="s">
        <v>47</v>
      </c>
      <c r="L1163" s="5" t="s">
        <v>60</v>
      </c>
      <c r="M1163" s="3">
        <v>36892</v>
      </c>
      <c r="N1163" s="3">
        <v>37226</v>
      </c>
      <c r="O1163" t="s">
        <v>47</v>
      </c>
      <c r="P1163" s="3">
        <v>36892</v>
      </c>
      <c r="Q1163" s="3">
        <v>37226</v>
      </c>
      <c r="R1163" t="s">
        <v>47</v>
      </c>
      <c r="S1163" t="s">
        <v>47</v>
      </c>
      <c r="T1163" t="s">
        <v>47</v>
      </c>
      <c r="U1163" t="s">
        <v>47</v>
      </c>
      <c r="V1163" t="s">
        <v>47</v>
      </c>
      <c r="W1163" s="3">
        <v>36892</v>
      </c>
      <c r="X1163" s="3">
        <v>37226</v>
      </c>
      <c r="Y1163" t="s">
        <v>47</v>
      </c>
      <c r="Z1163" s="3">
        <v>36892</v>
      </c>
      <c r="AA1163" s="3">
        <v>37226</v>
      </c>
      <c r="AB1163" t="s">
        <v>47</v>
      </c>
      <c r="AC1163" t="s">
        <v>47</v>
      </c>
      <c r="AD1163" t="s">
        <v>47</v>
      </c>
      <c r="AE1163" t="s">
        <v>47</v>
      </c>
      <c r="AF1163" t="s">
        <v>47</v>
      </c>
      <c r="AG1163" t="s">
        <v>47</v>
      </c>
      <c r="AH1163" t="s">
        <v>47</v>
      </c>
      <c r="AI1163" t="s">
        <v>47</v>
      </c>
      <c r="AJ1163" t="s">
        <v>47</v>
      </c>
      <c r="AK1163" t="s">
        <v>47</v>
      </c>
      <c r="AL1163" t="s">
        <v>47</v>
      </c>
      <c r="AM1163" t="s">
        <v>47</v>
      </c>
      <c r="AN1163" t="s">
        <v>47</v>
      </c>
      <c r="AO1163" s="5" t="s">
        <v>60</v>
      </c>
      <c r="AP1163" s="4" t="s">
        <v>61</v>
      </c>
      <c r="AQ1163" s="4" t="s">
        <v>53</v>
      </c>
      <c r="AR1163" s="4" t="s">
        <v>62</v>
      </c>
      <c r="AS1163" s="5">
        <v>37001</v>
      </c>
      <c r="AT1163" t="s">
        <v>47</v>
      </c>
    </row>
    <row r="1164" spans="1:46" ht="39" x14ac:dyDescent="0.3">
      <c r="A1164" s="4" t="s">
        <v>4568</v>
      </c>
      <c r="B1164" t="s">
        <v>47</v>
      </c>
      <c r="C1164" s="4" t="s">
        <v>4526</v>
      </c>
      <c r="D1164" s="4" t="s">
        <v>748</v>
      </c>
      <c r="E1164" s="4" t="s">
        <v>66</v>
      </c>
      <c r="F1164" s="5" t="s">
        <v>4569</v>
      </c>
      <c r="G1164" t="s">
        <v>47</v>
      </c>
      <c r="H1164" t="s">
        <v>47</v>
      </c>
      <c r="I1164" s="3">
        <v>38078</v>
      </c>
      <c r="J1164" s="3">
        <v>38626</v>
      </c>
      <c r="K1164" t="s">
        <v>47</v>
      </c>
      <c r="L1164" s="5" t="s">
        <v>60</v>
      </c>
      <c r="M1164" s="3">
        <v>38078</v>
      </c>
      <c r="N1164" s="3">
        <v>38626</v>
      </c>
      <c r="O1164" t="s">
        <v>47</v>
      </c>
      <c r="P1164" s="3">
        <v>38078</v>
      </c>
      <c r="Q1164" s="3">
        <v>38626</v>
      </c>
      <c r="R1164" t="s">
        <v>47</v>
      </c>
      <c r="S1164" t="s">
        <v>47</v>
      </c>
      <c r="T1164" t="s">
        <v>47</v>
      </c>
      <c r="U1164" t="s">
        <v>47</v>
      </c>
      <c r="V1164" t="s">
        <v>47</v>
      </c>
      <c r="W1164" s="3">
        <v>38078</v>
      </c>
      <c r="X1164" s="3">
        <v>38626</v>
      </c>
      <c r="Y1164" t="s">
        <v>47</v>
      </c>
      <c r="Z1164" s="3">
        <v>38078</v>
      </c>
      <c r="AA1164" s="3">
        <v>38626</v>
      </c>
      <c r="AB1164" t="s">
        <v>47</v>
      </c>
      <c r="AC1164" s="3">
        <v>38078</v>
      </c>
      <c r="AD1164" s="3">
        <v>38626</v>
      </c>
      <c r="AE1164" t="s">
        <v>47</v>
      </c>
      <c r="AF1164" t="s">
        <v>47</v>
      </c>
      <c r="AG1164" t="s">
        <v>47</v>
      </c>
      <c r="AH1164" t="s">
        <v>47</v>
      </c>
      <c r="AI1164" t="s">
        <v>47</v>
      </c>
      <c r="AJ1164" t="s">
        <v>47</v>
      </c>
      <c r="AK1164" t="s">
        <v>47</v>
      </c>
      <c r="AL1164" t="s">
        <v>47</v>
      </c>
      <c r="AM1164" t="s">
        <v>47</v>
      </c>
      <c r="AN1164" t="s">
        <v>47</v>
      </c>
      <c r="AO1164" s="5" t="s">
        <v>51</v>
      </c>
      <c r="AP1164" s="4" t="s">
        <v>61</v>
      </c>
      <c r="AQ1164" s="4" t="s">
        <v>53</v>
      </c>
      <c r="AR1164" s="4" t="s">
        <v>4570</v>
      </c>
      <c r="AS1164" s="5">
        <v>32568</v>
      </c>
      <c r="AT1164" t="s">
        <v>47</v>
      </c>
    </row>
    <row r="1165" spans="1:46" ht="13" x14ac:dyDescent="0.3">
      <c r="A1165" s="4" t="s">
        <v>4571</v>
      </c>
      <c r="B1165" t="s">
        <v>47</v>
      </c>
      <c r="C1165" s="4" t="s">
        <v>274</v>
      </c>
      <c r="D1165" s="4" t="s">
        <v>275</v>
      </c>
      <c r="E1165" s="4" t="s">
        <v>49</v>
      </c>
      <c r="F1165" s="5" t="s">
        <v>4572</v>
      </c>
      <c r="G1165" s="5" t="s">
        <v>4573</v>
      </c>
      <c r="H1165" t="s">
        <v>47</v>
      </c>
      <c r="I1165" s="3">
        <v>41000</v>
      </c>
      <c r="J1165" s="5" t="s">
        <v>50</v>
      </c>
      <c r="K1165" s="5" t="s">
        <v>2524</v>
      </c>
      <c r="L1165" s="5" t="s">
        <v>60</v>
      </c>
      <c r="M1165" s="3">
        <v>41000</v>
      </c>
      <c r="N1165" s="5" t="s">
        <v>50</v>
      </c>
      <c r="O1165" s="5" t="s">
        <v>2524</v>
      </c>
      <c r="P1165" s="3">
        <v>41000</v>
      </c>
      <c r="Q1165" s="5" t="s">
        <v>50</v>
      </c>
      <c r="R1165" s="5" t="s">
        <v>2524</v>
      </c>
      <c r="S1165" t="s">
        <v>47</v>
      </c>
      <c r="T1165" t="s">
        <v>47</v>
      </c>
      <c r="U1165" t="s">
        <v>47</v>
      </c>
      <c r="V1165" t="s">
        <v>47</v>
      </c>
      <c r="W1165" s="3">
        <v>41000</v>
      </c>
      <c r="X1165" s="5" t="s">
        <v>50</v>
      </c>
      <c r="Y1165" s="5" t="s">
        <v>2524</v>
      </c>
      <c r="Z1165" s="3">
        <v>41000</v>
      </c>
      <c r="AA1165" s="5" t="s">
        <v>50</v>
      </c>
      <c r="AB1165" s="5" t="s">
        <v>2524</v>
      </c>
      <c r="AC1165" s="3">
        <v>41000</v>
      </c>
      <c r="AD1165" s="5" t="s">
        <v>50</v>
      </c>
      <c r="AE1165" s="5" t="s">
        <v>2524</v>
      </c>
      <c r="AF1165" t="s">
        <v>47</v>
      </c>
      <c r="AG1165" t="s">
        <v>47</v>
      </c>
      <c r="AH1165" t="s">
        <v>47</v>
      </c>
      <c r="AI1165" t="s">
        <v>47</v>
      </c>
      <c r="AJ1165" t="s">
        <v>47</v>
      </c>
      <c r="AK1165" t="s">
        <v>47</v>
      </c>
      <c r="AL1165" t="s">
        <v>47</v>
      </c>
      <c r="AM1165" t="s">
        <v>47</v>
      </c>
      <c r="AN1165" t="s">
        <v>47</v>
      </c>
      <c r="AO1165" s="5" t="s">
        <v>60</v>
      </c>
      <c r="AP1165" s="4" t="s">
        <v>61</v>
      </c>
      <c r="AQ1165" s="4" t="s">
        <v>53</v>
      </c>
      <c r="AR1165" s="4" t="s">
        <v>54</v>
      </c>
      <c r="AS1165" s="5">
        <v>2030107</v>
      </c>
      <c r="AT1165" t="s">
        <v>47</v>
      </c>
    </row>
    <row r="1166" spans="1:46" ht="26" x14ac:dyDescent="0.3">
      <c r="A1166" s="4" t="s">
        <v>4574</v>
      </c>
      <c r="B1166" t="s">
        <v>47</v>
      </c>
      <c r="C1166" s="4" t="s">
        <v>81</v>
      </c>
      <c r="D1166" s="4" t="s">
        <v>82</v>
      </c>
      <c r="E1166" s="4" t="s">
        <v>49</v>
      </c>
      <c r="F1166" s="5" t="s">
        <v>4575</v>
      </c>
      <c r="G1166" t="s">
        <v>47</v>
      </c>
      <c r="H1166" t="s">
        <v>47</v>
      </c>
      <c r="I1166" s="3">
        <v>39845</v>
      </c>
      <c r="J1166" s="3">
        <v>41365</v>
      </c>
      <c r="K1166" t="s">
        <v>47</v>
      </c>
      <c r="L1166" s="5" t="s">
        <v>60</v>
      </c>
      <c r="M1166" s="3">
        <v>39845</v>
      </c>
      <c r="N1166" s="3">
        <v>41365</v>
      </c>
      <c r="O1166" t="s">
        <v>47</v>
      </c>
      <c r="P1166" t="s">
        <v>47</v>
      </c>
      <c r="Q1166" t="s">
        <v>47</v>
      </c>
      <c r="R1166" t="s">
        <v>47</v>
      </c>
      <c r="S1166" t="s">
        <v>47</v>
      </c>
      <c r="T1166" t="s">
        <v>47</v>
      </c>
      <c r="U1166" t="s">
        <v>47</v>
      </c>
      <c r="V1166" t="s">
        <v>47</v>
      </c>
      <c r="W1166" s="3">
        <v>39845</v>
      </c>
      <c r="X1166" s="3">
        <v>41365</v>
      </c>
      <c r="Y1166" t="s">
        <v>47</v>
      </c>
      <c r="Z1166" s="3">
        <v>39845</v>
      </c>
      <c r="AA1166" s="3">
        <v>41365</v>
      </c>
      <c r="AB1166" t="s">
        <v>47</v>
      </c>
      <c r="AC1166" s="3">
        <v>39845</v>
      </c>
      <c r="AD1166" s="3">
        <v>41365</v>
      </c>
      <c r="AE1166" t="s">
        <v>47</v>
      </c>
      <c r="AF1166" t="s">
        <v>47</v>
      </c>
      <c r="AG1166" t="s">
        <v>47</v>
      </c>
      <c r="AH1166" t="s">
        <v>47</v>
      </c>
      <c r="AI1166" t="s">
        <v>47</v>
      </c>
      <c r="AJ1166" t="s">
        <v>47</v>
      </c>
      <c r="AK1166" t="s">
        <v>47</v>
      </c>
      <c r="AL1166" t="s">
        <v>47</v>
      </c>
      <c r="AM1166" t="s">
        <v>47</v>
      </c>
      <c r="AN1166" t="s">
        <v>47</v>
      </c>
      <c r="AO1166" s="5" t="s">
        <v>51</v>
      </c>
      <c r="AP1166" s="4" t="s">
        <v>61</v>
      </c>
      <c r="AQ1166" s="4" t="s">
        <v>53</v>
      </c>
      <c r="AR1166" s="4" t="s">
        <v>54</v>
      </c>
      <c r="AS1166" s="5">
        <v>27602</v>
      </c>
      <c r="AT1166" t="s">
        <v>47</v>
      </c>
    </row>
    <row r="1167" spans="1:46" ht="65" x14ac:dyDescent="0.3">
      <c r="A1167" s="4" t="s">
        <v>4576</v>
      </c>
      <c r="B1167" t="s">
        <v>47</v>
      </c>
      <c r="C1167" s="4" t="s">
        <v>169</v>
      </c>
      <c r="D1167" s="4" t="s">
        <v>780</v>
      </c>
      <c r="E1167" s="4" t="s">
        <v>66</v>
      </c>
      <c r="F1167" s="5" t="s">
        <v>4577</v>
      </c>
      <c r="G1167" s="5" t="s">
        <v>4578</v>
      </c>
      <c r="H1167" t="s">
        <v>47</v>
      </c>
      <c r="I1167" s="3">
        <v>39753</v>
      </c>
      <c r="J1167" s="3">
        <v>42675</v>
      </c>
      <c r="K1167" t="s">
        <v>47</v>
      </c>
      <c r="L1167" s="5" t="s">
        <v>60</v>
      </c>
      <c r="M1167" s="3">
        <v>39753</v>
      </c>
      <c r="N1167" s="3">
        <v>42675</v>
      </c>
      <c r="O1167" t="s">
        <v>47</v>
      </c>
      <c r="P1167" s="3">
        <v>39753</v>
      </c>
      <c r="Q1167" s="3">
        <v>42675</v>
      </c>
      <c r="R1167" s="5" t="s">
        <v>4579</v>
      </c>
      <c r="S1167" t="s">
        <v>47</v>
      </c>
      <c r="T1167" t="s">
        <v>47</v>
      </c>
      <c r="U1167" t="s">
        <v>47</v>
      </c>
      <c r="V1167" t="s">
        <v>47</v>
      </c>
      <c r="W1167" s="3">
        <v>39753</v>
      </c>
      <c r="X1167" s="5" t="s">
        <v>50</v>
      </c>
      <c r="Y1167" t="s">
        <v>47</v>
      </c>
      <c r="Z1167" s="3">
        <v>39753</v>
      </c>
      <c r="AA1167" s="5" t="s">
        <v>50</v>
      </c>
      <c r="AB1167" t="s">
        <v>47</v>
      </c>
      <c r="AC1167" s="3">
        <v>39753</v>
      </c>
      <c r="AD1167" s="5" t="s">
        <v>50</v>
      </c>
      <c r="AE1167" t="s">
        <v>47</v>
      </c>
      <c r="AF1167" t="s">
        <v>47</v>
      </c>
      <c r="AG1167" t="s">
        <v>47</v>
      </c>
      <c r="AH1167" t="s">
        <v>47</v>
      </c>
      <c r="AI1167" t="s">
        <v>47</v>
      </c>
      <c r="AJ1167" t="s">
        <v>47</v>
      </c>
      <c r="AK1167" t="s">
        <v>47</v>
      </c>
      <c r="AL1167" t="s">
        <v>47</v>
      </c>
      <c r="AM1167" t="s">
        <v>47</v>
      </c>
      <c r="AN1167" t="s">
        <v>47</v>
      </c>
      <c r="AO1167" s="5" t="s">
        <v>60</v>
      </c>
      <c r="AP1167" s="4" t="s">
        <v>61</v>
      </c>
      <c r="AQ1167" s="4" t="s">
        <v>53</v>
      </c>
      <c r="AR1167" s="4" t="s">
        <v>543</v>
      </c>
      <c r="AS1167" s="5">
        <v>47412</v>
      </c>
      <c r="AT1167" t="s">
        <v>47</v>
      </c>
    </row>
    <row r="1168" spans="1:46" ht="26" x14ac:dyDescent="0.3">
      <c r="A1168" s="4" t="s">
        <v>4580</v>
      </c>
      <c r="B1168" t="s">
        <v>47</v>
      </c>
      <c r="C1168" s="4" t="s">
        <v>4581</v>
      </c>
      <c r="D1168" s="4" t="s">
        <v>4582</v>
      </c>
      <c r="E1168" s="4" t="s">
        <v>49</v>
      </c>
      <c r="F1168" s="5" t="s">
        <v>4583</v>
      </c>
      <c r="G1168" t="s">
        <v>47</v>
      </c>
      <c r="H1168" t="s">
        <v>47</v>
      </c>
      <c r="I1168" s="3">
        <v>34335</v>
      </c>
      <c r="J1168" s="3">
        <v>37257</v>
      </c>
      <c r="K1168" t="s">
        <v>47</v>
      </c>
      <c r="L1168" s="5" t="s">
        <v>60</v>
      </c>
      <c r="M1168" s="3">
        <v>34335</v>
      </c>
      <c r="N1168" s="3">
        <v>37257</v>
      </c>
      <c r="O1168" t="s">
        <v>47</v>
      </c>
      <c r="P1168" s="3">
        <v>35065</v>
      </c>
      <c r="Q1168" s="3">
        <v>37257</v>
      </c>
      <c r="R1168" t="s">
        <v>47</v>
      </c>
      <c r="S1168" t="s">
        <v>47</v>
      </c>
      <c r="T1168" t="s">
        <v>47</v>
      </c>
      <c r="U1168" t="s">
        <v>47</v>
      </c>
      <c r="V1168" t="s">
        <v>47</v>
      </c>
      <c r="W1168" s="3">
        <v>33604</v>
      </c>
      <c r="X1168" s="3">
        <v>37257</v>
      </c>
      <c r="Y1168" t="s">
        <v>47</v>
      </c>
      <c r="Z1168" s="3">
        <v>33604</v>
      </c>
      <c r="AA1168" s="3">
        <v>37257</v>
      </c>
      <c r="AB1168" t="s">
        <v>47</v>
      </c>
      <c r="AC1168" s="3">
        <v>33604</v>
      </c>
      <c r="AD1168" s="3">
        <v>37257</v>
      </c>
      <c r="AE1168" t="s">
        <v>47</v>
      </c>
      <c r="AF1168" t="s">
        <v>47</v>
      </c>
      <c r="AG1168" t="s">
        <v>47</v>
      </c>
      <c r="AH1168" t="s">
        <v>47</v>
      </c>
      <c r="AI1168" t="s">
        <v>47</v>
      </c>
      <c r="AJ1168" t="s">
        <v>47</v>
      </c>
      <c r="AK1168" t="s">
        <v>47</v>
      </c>
      <c r="AL1168" t="s">
        <v>47</v>
      </c>
      <c r="AM1168" t="s">
        <v>47</v>
      </c>
      <c r="AN1168" t="s">
        <v>47</v>
      </c>
      <c r="AO1168" s="5" t="s">
        <v>51</v>
      </c>
      <c r="AP1168" s="4" t="s">
        <v>61</v>
      </c>
      <c r="AQ1168" s="4" t="s">
        <v>53</v>
      </c>
      <c r="AR1168" s="4" t="s">
        <v>4584</v>
      </c>
      <c r="AS1168" s="5">
        <v>47816</v>
      </c>
      <c r="AT1168" t="s">
        <v>47</v>
      </c>
    </row>
    <row r="1169" spans="1:46" ht="26" x14ac:dyDescent="0.3">
      <c r="A1169" s="4" t="s">
        <v>4585</v>
      </c>
      <c r="B1169" t="s">
        <v>47</v>
      </c>
      <c r="C1169" s="4" t="s">
        <v>4586</v>
      </c>
      <c r="D1169" s="4" t="s">
        <v>4587</v>
      </c>
      <c r="E1169" s="4" t="s">
        <v>156</v>
      </c>
      <c r="F1169" s="5" t="s">
        <v>4588</v>
      </c>
      <c r="G1169" t="s">
        <v>47</v>
      </c>
      <c r="H1169" t="s">
        <v>47</v>
      </c>
      <c r="I1169" s="3">
        <v>38961</v>
      </c>
      <c r="J1169" s="3">
        <v>41153</v>
      </c>
      <c r="K1169" t="s">
        <v>47</v>
      </c>
      <c r="L1169" s="5" t="s">
        <v>60</v>
      </c>
      <c r="M1169" s="3">
        <v>38961</v>
      </c>
      <c r="N1169" s="3">
        <v>41153</v>
      </c>
      <c r="O1169" t="s">
        <v>47</v>
      </c>
      <c r="P1169" s="3">
        <v>38961</v>
      </c>
      <c r="Q1169" s="3">
        <v>41153</v>
      </c>
      <c r="R1169" t="s">
        <v>47</v>
      </c>
      <c r="S1169" t="s">
        <v>47</v>
      </c>
      <c r="T1169" t="s">
        <v>47</v>
      </c>
      <c r="U1169" t="s">
        <v>47</v>
      </c>
      <c r="V1169" t="s">
        <v>47</v>
      </c>
      <c r="W1169" s="3">
        <v>38961</v>
      </c>
      <c r="X1169" s="3">
        <v>41153</v>
      </c>
      <c r="Y1169" t="s">
        <v>47</v>
      </c>
      <c r="Z1169" s="3">
        <v>38961</v>
      </c>
      <c r="AA1169" s="3">
        <v>41153</v>
      </c>
      <c r="AB1169" t="s">
        <v>47</v>
      </c>
      <c r="AC1169" t="s">
        <v>47</v>
      </c>
      <c r="AD1169" t="s">
        <v>47</v>
      </c>
      <c r="AE1169" t="s">
        <v>47</v>
      </c>
      <c r="AF1169" t="s">
        <v>47</v>
      </c>
      <c r="AG1169" t="s">
        <v>47</v>
      </c>
      <c r="AH1169" t="s">
        <v>47</v>
      </c>
      <c r="AI1169" t="s">
        <v>47</v>
      </c>
      <c r="AJ1169" t="s">
        <v>47</v>
      </c>
      <c r="AK1169" t="s">
        <v>47</v>
      </c>
      <c r="AL1169" t="s">
        <v>47</v>
      </c>
      <c r="AM1169" t="s">
        <v>47</v>
      </c>
      <c r="AN1169" t="s">
        <v>47</v>
      </c>
      <c r="AO1169" s="5" t="s">
        <v>60</v>
      </c>
      <c r="AP1169" s="4" t="s">
        <v>61</v>
      </c>
      <c r="AQ1169" s="4" t="s">
        <v>922</v>
      </c>
      <c r="AR1169" s="4" t="s">
        <v>54</v>
      </c>
      <c r="AS1169" s="5">
        <v>39701</v>
      </c>
      <c r="AT1169" t="s">
        <v>47</v>
      </c>
    </row>
    <row r="1170" spans="1:46" ht="91" x14ac:dyDescent="0.3">
      <c r="A1170" s="4" t="s">
        <v>4589</v>
      </c>
      <c r="B1170" t="s">
        <v>47</v>
      </c>
      <c r="C1170" s="4" t="s">
        <v>200</v>
      </c>
      <c r="D1170" s="4" t="s">
        <v>2541</v>
      </c>
      <c r="E1170" s="4" t="s">
        <v>66</v>
      </c>
      <c r="F1170" s="5" t="s">
        <v>4590</v>
      </c>
      <c r="G1170" s="5" t="s">
        <v>4591</v>
      </c>
      <c r="H1170" t="s">
        <v>47</v>
      </c>
      <c r="I1170" t="s">
        <v>47</v>
      </c>
      <c r="J1170" t="s">
        <v>47</v>
      </c>
      <c r="K1170" t="s">
        <v>47</v>
      </c>
      <c r="L1170" s="5" t="s">
        <v>60</v>
      </c>
      <c r="M1170" t="s">
        <v>47</v>
      </c>
      <c r="N1170" t="s">
        <v>47</v>
      </c>
      <c r="O1170" t="s">
        <v>47</v>
      </c>
      <c r="P1170" t="s">
        <v>47</v>
      </c>
      <c r="Q1170" t="s">
        <v>47</v>
      </c>
      <c r="R1170" t="s">
        <v>47</v>
      </c>
      <c r="S1170" t="s">
        <v>47</v>
      </c>
      <c r="T1170" t="s">
        <v>47</v>
      </c>
      <c r="U1170" t="s">
        <v>47</v>
      </c>
      <c r="V1170" t="s">
        <v>47</v>
      </c>
      <c r="W1170" s="3">
        <v>31503</v>
      </c>
      <c r="X1170" s="5" t="s">
        <v>50</v>
      </c>
      <c r="Y1170" t="s">
        <v>47</v>
      </c>
      <c r="Z1170" s="3">
        <v>31503</v>
      </c>
      <c r="AA1170" s="5" t="s">
        <v>50</v>
      </c>
      <c r="AB1170" t="s">
        <v>47</v>
      </c>
      <c r="AC1170" s="3">
        <v>31503</v>
      </c>
      <c r="AD1170" s="5" t="s">
        <v>50</v>
      </c>
      <c r="AE1170" t="s">
        <v>47</v>
      </c>
      <c r="AF1170" t="s">
        <v>47</v>
      </c>
      <c r="AG1170" t="s">
        <v>47</v>
      </c>
      <c r="AH1170" t="s">
        <v>47</v>
      </c>
      <c r="AI1170" t="s">
        <v>47</v>
      </c>
      <c r="AJ1170" t="s">
        <v>47</v>
      </c>
      <c r="AK1170" t="s">
        <v>47</v>
      </c>
      <c r="AL1170" t="s">
        <v>47</v>
      </c>
      <c r="AM1170" t="s">
        <v>47</v>
      </c>
      <c r="AN1170" t="s">
        <v>47</v>
      </c>
      <c r="AO1170" s="5" t="s">
        <v>60</v>
      </c>
      <c r="AP1170" s="4" t="s">
        <v>61</v>
      </c>
      <c r="AQ1170" s="4" t="s">
        <v>53</v>
      </c>
      <c r="AR1170" s="4" t="s">
        <v>2036</v>
      </c>
      <c r="AS1170" s="5">
        <v>907</v>
      </c>
      <c r="AT1170" t="s">
        <v>47</v>
      </c>
    </row>
    <row r="1171" spans="1:46" ht="26" x14ac:dyDescent="0.3">
      <c r="A1171" s="4" t="s">
        <v>4592</v>
      </c>
      <c r="B1171" t="s">
        <v>47</v>
      </c>
      <c r="C1171" s="4" t="s">
        <v>4593</v>
      </c>
      <c r="D1171" s="4" t="s">
        <v>88</v>
      </c>
      <c r="E1171" s="4" t="s">
        <v>49</v>
      </c>
      <c r="F1171" s="5" t="s">
        <v>4594</v>
      </c>
      <c r="G1171" t="s">
        <v>47</v>
      </c>
      <c r="H1171" t="s">
        <v>47</v>
      </c>
      <c r="I1171" s="3">
        <v>38384</v>
      </c>
      <c r="J1171" s="5" t="s">
        <v>50</v>
      </c>
      <c r="K1171" t="s">
        <v>47</v>
      </c>
      <c r="L1171" s="5" t="s">
        <v>51</v>
      </c>
      <c r="M1171" s="3">
        <v>38384</v>
      </c>
      <c r="N1171" s="5" t="s">
        <v>50</v>
      </c>
      <c r="O1171" t="s">
        <v>47</v>
      </c>
      <c r="P1171" s="3">
        <v>38384</v>
      </c>
      <c r="Q1171" s="5" t="s">
        <v>50</v>
      </c>
      <c r="R1171" t="s">
        <v>47</v>
      </c>
      <c r="S1171" t="s">
        <v>47</v>
      </c>
      <c r="T1171" t="s">
        <v>47</v>
      </c>
      <c r="U1171" t="s">
        <v>47</v>
      </c>
      <c r="V1171" t="s">
        <v>47</v>
      </c>
      <c r="W1171" s="3">
        <v>38384</v>
      </c>
      <c r="X1171" s="5" t="s">
        <v>50</v>
      </c>
      <c r="Y1171" t="s">
        <v>47</v>
      </c>
      <c r="Z1171" s="3">
        <v>38384</v>
      </c>
      <c r="AA1171" s="5" t="s">
        <v>50</v>
      </c>
      <c r="AB1171" t="s">
        <v>47</v>
      </c>
      <c r="AC1171" s="3">
        <v>38384</v>
      </c>
      <c r="AD1171" s="5" t="s">
        <v>50</v>
      </c>
      <c r="AE1171" t="s">
        <v>47</v>
      </c>
      <c r="AF1171" t="s">
        <v>47</v>
      </c>
      <c r="AG1171" t="s">
        <v>47</v>
      </c>
      <c r="AH1171" t="s">
        <v>47</v>
      </c>
      <c r="AI1171" t="s">
        <v>47</v>
      </c>
      <c r="AJ1171" t="s">
        <v>47</v>
      </c>
      <c r="AK1171" t="s">
        <v>47</v>
      </c>
      <c r="AL1171" t="s">
        <v>47</v>
      </c>
      <c r="AM1171" t="s">
        <v>47</v>
      </c>
      <c r="AN1171" t="s">
        <v>47</v>
      </c>
      <c r="AO1171" s="5" t="s">
        <v>51</v>
      </c>
      <c r="AP1171" s="4" t="s">
        <v>135</v>
      </c>
      <c r="AQ1171" s="4" t="s">
        <v>53</v>
      </c>
      <c r="AR1171" s="4" t="s">
        <v>54</v>
      </c>
      <c r="AS1171" s="5">
        <v>35724</v>
      </c>
      <c r="AT1171" t="s">
        <v>47</v>
      </c>
    </row>
    <row r="1172" spans="1:46" ht="65" x14ac:dyDescent="0.3">
      <c r="A1172" s="4" t="s">
        <v>4595</v>
      </c>
      <c r="B1172" t="s">
        <v>47</v>
      </c>
      <c r="C1172" s="4" t="s">
        <v>200</v>
      </c>
      <c r="D1172" s="4" t="s">
        <v>748</v>
      </c>
      <c r="E1172" s="4" t="s">
        <v>66</v>
      </c>
      <c r="F1172" s="5" t="s">
        <v>4596</v>
      </c>
      <c r="G1172" s="5" t="s">
        <v>4597</v>
      </c>
      <c r="H1172" t="s">
        <v>47</v>
      </c>
      <c r="I1172" t="s">
        <v>47</v>
      </c>
      <c r="J1172" t="s">
        <v>47</v>
      </c>
      <c r="K1172" t="s">
        <v>47</v>
      </c>
      <c r="L1172" s="5" t="s">
        <v>60</v>
      </c>
      <c r="M1172" t="s">
        <v>47</v>
      </c>
      <c r="N1172" t="s">
        <v>47</v>
      </c>
      <c r="O1172" t="s">
        <v>47</v>
      </c>
      <c r="P1172" t="s">
        <v>47</v>
      </c>
      <c r="Q1172" t="s">
        <v>47</v>
      </c>
      <c r="R1172" t="s">
        <v>47</v>
      </c>
      <c r="S1172" t="s">
        <v>47</v>
      </c>
      <c r="T1172" t="s">
        <v>47</v>
      </c>
      <c r="U1172" t="s">
        <v>47</v>
      </c>
      <c r="V1172" t="s">
        <v>47</v>
      </c>
      <c r="W1172" s="3">
        <v>38108</v>
      </c>
      <c r="X1172" s="5" t="s">
        <v>50</v>
      </c>
      <c r="Y1172" t="s">
        <v>47</v>
      </c>
      <c r="Z1172" s="3">
        <v>38108</v>
      </c>
      <c r="AA1172" s="5" t="s">
        <v>50</v>
      </c>
      <c r="AB1172" t="s">
        <v>47</v>
      </c>
      <c r="AC1172" s="3">
        <v>38596</v>
      </c>
      <c r="AD1172" s="5" t="s">
        <v>50</v>
      </c>
      <c r="AE1172" t="s">
        <v>47</v>
      </c>
      <c r="AF1172" t="s">
        <v>47</v>
      </c>
      <c r="AG1172" t="s">
        <v>47</v>
      </c>
      <c r="AH1172" t="s">
        <v>47</v>
      </c>
      <c r="AI1172" t="s">
        <v>47</v>
      </c>
      <c r="AJ1172" t="s">
        <v>47</v>
      </c>
      <c r="AK1172" t="s">
        <v>47</v>
      </c>
      <c r="AL1172" t="s">
        <v>47</v>
      </c>
      <c r="AM1172" t="s">
        <v>47</v>
      </c>
      <c r="AN1172" t="s">
        <v>47</v>
      </c>
      <c r="AO1172" s="5" t="s">
        <v>60</v>
      </c>
      <c r="AP1172" s="4" t="s">
        <v>61</v>
      </c>
      <c r="AQ1172" s="4" t="s">
        <v>53</v>
      </c>
      <c r="AR1172" s="4" t="s">
        <v>2013</v>
      </c>
      <c r="AS1172" s="5">
        <v>35187</v>
      </c>
      <c r="AT1172" t="s">
        <v>47</v>
      </c>
    </row>
    <row r="1173" spans="1:46" ht="91" x14ac:dyDescent="0.3">
      <c r="A1173" s="4" t="s">
        <v>4598</v>
      </c>
      <c r="B1173" t="s">
        <v>47</v>
      </c>
      <c r="C1173" s="4" t="s">
        <v>4599</v>
      </c>
      <c r="D1173" s="4" t="s">
        <v>70</v>
      </c>
      <c r="E1173" s="4" t="s">
        <v>49</v>
      </c>
      <c r="F1173" s="5" t="s">
        <v>4600</v>
      </c>
      <c r="G1173" t="s">
        <v>47</v>
      </c>
      <c r="H1173" t="s">
        <v>47</v>
      </c>
      <c r="I1173" s="3">
        <v>37622</v>
      </c>
      <c r="J1173" s="5" t="s">
        <v>50</v>
      </c>
      <c r="K1173" t="s">
        <v>47</v>
      </c>
      <c r="L1173" s="5" t="s">
        <v>51</v>
      </c>
      <c r="M1173" s="3">
        <v>37622</v>
      </c>
      <c r="N1173" s="5" t="s">
        <v>50</v>
      </c>
      <c r="O1173" t="s">
        <v>47</v>
      </c>
      <c r="P1173" s="3">
        <v>37622</v>
      </c>
      <c r="Q1173" s="5" t="s">
        <v>50</v>
      </c>
      <c r="R1173" t="s">
        <v>47</v>
      </c>
      <c r="S1173" t="s">
        <v>47</v>
      </c>
      <c r="T1173" t="s">
        <v>47</v>
      </c>
      <c r="U1173" t="s">
        <v>47</v>
      </c>
      <c r="V1173" t="s">
        <v>47</v>
      </c>
      <c r="W1173" s="3">
        <v>37622</v>
      </c>
      <c r="X1173" s="5" t="s">
        <v>50</v>
      </c>
      <c r="Y1173" t="s">
        <v>47</v>
      </c>
      <c r="Z1173" s="3">
        <v>37622</v>
      </c>
      <c r="AA1173" s="5" t="s">
        <v>50</v>
      </c>
      <c r="AB1173" t="s">
        <v>47</v>
      </c>
      <c r="AC1173" s="3">
        <v>41974</v>
      </c>
      <c r="AD1173" s="5" t="s">
        <v>50</v>
      </c>
      <c r="AE1173" t="s">
        <v>47</v>
      </c>
      <c r="AF1173" t="s">
        <v>47</v>
      </c>
      <c r="AG1173" t="s">
        <v>47</v>
      </c>
      <c r="AH1173" t="s">
        <v>47</v>
      </c>
      <c r="AI1173" t="s">
        <v>47</v>
      </c>
      <c r="AJ1173" t="s">
        <v>47</v>
      </c>
      <c r="AK1173" t="s">
        <v>47</v>
      </c>
      <c r="AL1173" t="s">
        <v>47</v>
      </c>
      <c r="AM1173" t="s">
        <v>47</v>
      </c>
      <c r="AN1173" t="s">
        <v>47</v>
      </c>
      <c r="AO1173" s="5" t="s">
        <v>51</v>
      </c>
      <c r="AP1173" s="4" t="s">
        <v>135</v>
      </c>
      <c r="AQ1173" s="4" t="s">
        <v>53</v>
      </c>
      <c r="AR1173" s="4" t="s">
        <v>4601</v>
      </c>
      <c r="AS1173" s="5">
        <v>33245</v>
      </c>
      <c r="AT1173" t="s">
        <v>47</v>
      </c>
    </row>
    <row r="1174" spans="1:46" ht="65" x14ac:dyDescent="0.3">
      <c r="A1174" s="4" t="s">
        <v>4602</v>
      </c>
      <c r="B1174" t="s">
        <v>47</v>
      </c>
      <c r="C1174" s="4" t="s">
        <v>1155</v>
      </c>
      <c r="D1174" s="4" t="s">
        <v>88</v>
      </c>
      <c r="E1174" s="4" t="s">
        <v>49</v>
      </c>
      <c r="F1174" s="5" t="s">
        <v>4603</v>
      </c>
      <c r="G1174" s="5" t="s">
        <v>4604</v>
      </c>
      <c r="H1174" t="s">
        <v>47</v>
      </c>
      <c r="I1174" s="3">
        <v>31778</v>
      </c>
      <c r="J1174" s="3">
        <v>44621</v>
      </c>
      <c r="K1174" t="s">
        <v>47</v>
      </c>
      <c r="L1174" s="5" t="s">
        <v>51</v>
      </c>
      <c r="M1174" s="3">
        <v>33573</v>
      </c>
      <c r="N1174" s="3">
        <v>39114</v>
      </c>
      <c r="O1174" t="s">
        <v>47</v>
      </c>
      <c r="P1174" s="3">
        <v>31778</v>
      </c>
      <c r="Q1174" s="3">
        <v>44621</v>
      </c>
      <c r="R1174" t="s">
        <v>47</v>
      </c>
      <c r="S1174" t="s">
        <v>47</v>
      </c>
      <c r="T1174" t="s">
        <v>47</v>
      </c>
      <c r="U1174" t="s">
        <v>47</v>
      </c>
      <c r="V1174" t="s">
        <v>47</v>
      </c>
      <c r="W1174" s="3">
        <v>26146</v>
      </c>
      <c r="X1174" s="3">
        <v>44621</v>
      </c>
      <c r="Y1174" t="s">
        <v>47</v>
      </c>
      <c r="Z1174" s="3">
        <v>26146</v>
      </c>
      <c r="AA1174" s="3">
        <v>44621</v>
      </c>
      <c r="AB1174" t="s">
        <v>47</v>
      </c>
      <c r="AC1174" s="3">
        <v>26146</v>
      </c>
      <c r="AD1174" s="3">
        <v>44621</v>
      </c>
      <c r="AE1174" t="s">
        <v>47</v>
      </c>
      <c r="AF1174" t="s">
        <v>47</v>
      </c>
      <c r="AG1174" t="s">
        <v>47</v>
      </c>
      <c r="AH1174" t="s">
        <v>47</v>
      </c>
      <c r="AI1174" t="s">
        <v>47</v>
      </c>
      <c r="AJ1174" t="s">
        <v>47</v>
      </c>
      <c r="AK1174" t="s">
        <v>47</v>
      </c>
      <c r="AL1174" t="s">
        <v>47</v>
      </c>
      <c r="AM1174" t="s">
        <v>47</v>
      </c>
      <c r="AN1174" t="s">
        <v>47</v>
      </c>
      <c r="AO1174" s="5" t="s">
        <v>51</v>
      </c>
      <c r="AP1174" s="4" t="s">
        <v>85</v>
      </c>
      <c r="AQ1174" s="4" t="s">
        <v>53</v>
      </c>
      <c r="AR1174" s="4" t="s">
        <v>633</v>
      </c>
      <c r="AS1174" s="5">
        <v>42306</v>
      </c>
      <c r="AT1174" t="s">
        <v>47</v>
      </c>
    </row>
    <row r="1175" spans="1:46" ht="65" x14ac:dyDescent="0.3">
      <c r="A1175" s="4" t="s">
        <v>4605</v>
      </c>
      <c r="B1175" t="s">
        <v>47</v>
      </c>
      <c r="C1175" s="4" t="s">
        <v>4605</v>
      </c>
      <c r="D1175" s="4" t="s">
        <v>4606</v>
      </c>
      <c r="E1175" s="4" t="s">
        <v>49</v>
      </c>
      <c r="F1175" s="5" t="s">
        <v>4607</v>
      </c>
      <c r="G1175" t="s">
        <v>47</v>
      </c>
      <c r="H1175" t="s">
        <v>47</v>
      </c>
      <c r="I1175" s="3">
        <v>38838</v>
      </c>
      <c r="J1175" s="3">
        <v>40483</v>
      </c>
      <c r="K1175" t="s">
        <v>47</v>
      </c>
      <c r="L1175" s="5" t="s">
        <v>51</v>
      </c>
      <c r="M1175" s="3">
        <v>38838</v>
      </c>
      <c r="N1175" s="3">
        <v>40483</v>
      </c>
      <c r="O1175" t="s">
        <v>47</v>
      </c>
      <c r="P1175" s="3">
        <v>38838</v>
      </c>
      <c r="Q1175" s="3">
        <v>40483</v>
      </c>
      <c r="R1175" t="s">
        <v>47</v>
      </c>
      <c r="S1175" t="s">
        <v>47</v>
      </c>
      <c r="T1175" t="s">
        <v>47</v>
      </c>
      <c r="U1175" t="s">
        <v>47</v>
      </c>
      <c r="V1175" t="s">
        <v>47</v>
      </c>
      <c r="W1175" s="3">
        <v>38838</v>
      </c>
      <c r="X1175" s="3">
        <v>40483</v>
      </c>
      <c r="Y1175" t="s">
        <v>47</v>
      </c>
      <c r="Z1175" s="3">
        <v>38838</v>
      </c>
      <c r="AA1175" s="3">
        <v>40483</v>
      </c>
      <c r="AB1175" t="s">
        <v>47</v>
      </c>
      <c r="AC1175" s="3">
        <v>38838</v>
      </c>
      <c r="AD1175" s="3">
        <v>40483</v>
      </c>
      <c r="AE1175" t="s">
        <v>47</v>
      </c>
      <c r="AF1175" t="s">
        <v>47</v>
      </c>
      <c r="AG1175" t="s">
        <v>47</v>
      </c>
      <c r="AH1175" t="s">
        <v>47</v>
      </c>
      <c r="AI1175" t="s">
        <v>47</v>
      </c>
      <c r="AJ1175" t="s">
        <v>47</v>
      </c>
      <c r="AK1175" t="s">
        <v>47</v>
      </c>
      <c r="AL1175" t="s">
        <v>47</v>
      </c>
      <c r="AM1175" t="s">
        <v>47</v>
      </c>
      <c r="AN1175" t="s">
        <v>47</v>
      </c>
      <c r="AO1175" s="5" t="s">
        <v>51</v>
      </c>
      <c r="AP1175" s="4" t="s">
        <v>135</v>
      </c>
      <c r="AQ1175" s="4" t="s">
        <v>53</v>
      </c>
      <c r="AR1175" s="4" t="s">
        <v>2544</v>
      </c>
      <c r="AS1175" s="5">
        <v>30700</v>
      </c>
      <c r="AT1175" t="s">
        <v>47</v>
      </c>
    </row>
    <row r="1176" spans="1:46" ht="91" x14ac:dyDescent="0.3">
      <c r="A1176" s="4" t="s">
        <v>4608</v>
      </c>
      <c r="B1176" t="s">
        <v>47</v>
      </c>
      <c r="C1176" s="4" t="s">
        <v>1867</v>
      </c>
      <c r="D1176" s="4" t="s">
        <v>765</v>
      </c>
      <c r="E1176" s="4" t="s">
        <v>49</v>
      </c>
      <c r="F1176" s="5" t="s">
        <v>4609</v>
      </c>
      <c r="G1176" t="s">
        <v>47</v>
      </c>
      <c r="H1176" t="s">
        <v>47</v>
      </c>
      <c r="I1176" s="3">
        <v>36251</v>
      </c>
      <c r="J1176" s="5" t="s">
        <v>50</v>
      </c>
      <c r="K1176" t="s">
        <v>47</v>
      </c>
      <c r="L1176" s="5" t="s">
        <v>60</v>
      </c>
      <c r="M1176" s="3">
        <v>36251</v>
      </c>
      <c r="N1176" s="5" t="s">
        <v>50</v>
      </c>
      <c r="O1176" t="s">
        <v>47</v>
      </c>
      <c r="P1176" s="3">
        <v>36251</v>
      </c>
      <c r="Q1176" s="5" t="s">
        <v>50</v>
      </c>
      <c r="R1176" t="s">
        <v>47</v>
      </c>
      <c r="S1176" t="s">
        <v>47</v>
      </c>
      <c r="T1176" t="s">
        <v>47</v>
      </c>
      <c r="U1176" t="s">
        <v>47</v>
      </c>
      <c r="V1176" t="s">
        <v>47</v>
      </c>
      <c r="W1176" s="3">
        <v>36251</v>
      </c>
      <c r="X1176" s="5" t="s">
        <v>50</v>
      </c>
      <c r="Y1176" t="s">
        <v>47</v>
      </c>
      <c r="Z1176" s="3">
        <v>36251</v>
      </c>
      <c r="AA1176" s="5" t="s">
        <v>50</v>
      </c>
      <c r="AB1176" t="s">
        <v>47</v>
      </c>
      <c r="AC1176" s="3">
        <v>36982</v>
      </c>
      <c r="AD1176" s="5" t="s">
        <v>50</v>
      </c>
      <c r="AE1176" t="s">
        <v>47</v>
      </c>
      <c r="AF1176" t="s">
        <v>47</v>
      </c>
      <c r="AG1176" t="s">
        <v>47</v>
      </c>
      <c r="AH1176" t="s">
        <v>47</v>
      </c>
      <c r="AI1176" t="s">
        <v>47</v>
      </c>
      <c r="AJ1176" t="s">
        <v>47</v>
      </c>
      <c r="AK1176" t="s">
        <v>47</v>
      </c>
      <c r="AL1176" t="s">
        <v>47</v>
      </c>
      <c r="AM1176" t="s">
        <v>47</v>
      </c>
      <c r="AN1176" t="s">
        <v>47</v>
      </c>
      <c r="AO1176" s="5" t="s">
        <v>60</v>
      </c>
      <c r="AP1176" s="4" t="s">
        <v>61</v>
      </c>
      <c r="AQ1176" s="4" t="s">
        <v>53</v>
      </c>
      <c r="AR1176" s="4" t="s">
        <v>4610</v>
      </c>
      <c r="AS1176" s="5">
        <v>33246</v>
      </c>
      <c r="AT1176" t="s">
        <v>47</v>
      </c>
    </row>
    <row r="1177" spans="1:46" ht="91" x14ac:dyDescent="0.3">
      <c r="A1177" s="4" t="s">
        <v>4611</v>
      </c>
      <c r="B1177" t="s">
        <v>47</v>
      </c>
      <c r="C1177" s="4" t="s">
        <v>169</v>
      </c>
      <c r="D1177" s="4" t="s">
        <v>339</v>
      </c>
      <c r="E1177" s="4" t="s">
        <v>66</v>
      </c>
      <c r="F1177" s="5" t="s">
        <v>4612</v>
      </c>
      <c r="G1177" s="5" t="s">
        <v>4613</v>
      </c>
      <c r="H1177" t="s">
        <v>47</v>
      </c>
      <c r="I1177" s="3">
        <v>35796</v>
      </c>
      <c r="J1177" s="3">
        <v>36526</v>
      </c>
      <c r="K1177" t="s">
        <v>47</v>
      </c>
      <c r="L1177" s="5" t="s">
        <v>60</v>
      </c>
      <c r="M1177" s="3">
        <v>35796</v>
      </c>
      <c r="N1177" s="3">
        <v>36526</v>
      </c>
      <c r="O1177" t="s">
        <v>47</v>
      </c>
      <c r="P1177" s="3">
        <v>35796</v>
      </c>
      <c r="Q1177" s="3">
        <v>36526</v>
      </c>
      <c r="R1177" t="s">
        <v>47</v>
      </c>
      <c r="S1177" t="s">
        <v>47</v>
      </c>
      <c r="T1177" t="s">
        <v>47</v>
      </c>
      <c r="U1177" t="s">
        <v>47</v>
      </c>
      <c r="V1177" t="s">
        <v>47</v>
      </c>
      <c r="W1177" s="3">
        <v>35796</v>
      </c>
      <c r="X1177" s="3">
        <v>36526</v>
      </c>
      <c r="Y1177" t="s">
        <v>47</v>
      </c>
      <c r="Z1177" s="3">
        <v>35796</v>
      </c>
      <c r="AA1177" s="3">
        <v>36526</v>
      </c>
      <c r="AB1177" t="s">
        <v>47</v>
      </c>
      <c r="AC1177" t="s">
        <v>47</v>
      </c>
      <c r="AD1177" t="s">
        <v>47</v>
      </c>
      <c r="AE1177" t="s">
        <v>47</v>
      </c>
      <c r="AF1177" t="s">
        <v>47</v>
      </c>
      <c r="AG1177" t="s">
        <v>47</v>
      </c>
      <c r="AH1177" t="s">
        <v>47</v>
      </c>
      <c r="AI1177" t="s">
        <v>47</v>
      </c>
      <c r="AJ1177" t="s">
        <v>47</v>
      </c>
      <c r="AK1177" t="s">
        <v>47</v>
      </c>
      <c r="AL1177" t="s">
        <v>47</v>
      </c>
      <c r="AM1177" t="s">
        <v>47</v>
      </c>
      <c r="AN1177" t="s">
        <v>47</v>
      </c>
      <c r="AO1177" s="5" t="s">
        <v>51</v>
      </c>
      <c r="AP1177" s="4" t="s">
        <v>61</v>
      </c>
      <c r="AQ1177" s="4" t="s">
        <v>53</v>
      </c>
      <c r="AR1177" s="4" t="s">
        <v>1874</v>
      </c>
      <c r="AS1177" s="5">
        <v>13034</v>
      </c>
      <c r="AT1177" t="s">
        <v>47</v>
      </c>
    </row>
    <row r="1178" spans="1:46" ht="13" x14ac:dyDescent="0.3">
      <c r="A1178" s="4" t="s">
        <v>4614</v>
      </c>
      <c r="B1178" t="s">
        <v>47</v>
      </c>
      <c r="C1178" s="4" t="s">
        <v>2515</v>
      </c>
      <c r="D1178" s="4" t="s">
        <v>2925</v>
      </c>
      <c r="E1178" s="4" t="s">
        <v>723</v>
      </c>
      <c r="F1178" s="5" t="s">
        <v>4615</v>
      </c>
      <c r="G1178" s="5" t="s">
        <v>4616</v>
      </c>
      <c r="H1178" t="s">
        <v>47</v>
      </c>
      <c r="I1178" s="3">
        <v>41275</v>
      </c>
      <c r="J1178" s="5" t="s">
        <v>50</v>
      </c>
      <c r="K1178" t="s">
        <v>47</v>
      </c>
      <c r="L1178" s="5" t="s">
        <v>60</v>
      </c>
      <c r="M1178" t="s">
        <v>47</v>
      </c>
      <c r="N1178" t="s">
        <v>47</v>
      </c>
      <c r="O1178" t="s">
        <v>47</v>
      </c>
      <c r="P1178" s="3">
        <v>41275</v>
      </c>
      <c r="Q1178" s="5" t="s">
        <v>50</v>
      </c>
      <c r="R1178" t="s">
        <v>47</v>
      </c>
      <c r="S1178" t="s">
        <v>47</v>
      </c>
      <c r="T1178" t="s">
        <v>47</v>
      </c>
      <c r="U1178" t="s">
        <v>47</v>
      </c>
      <c r="V1178" s="5">
        <v>180</v>
      </c>
      <c r="W1178" s="3">
        <v>41275</v>
      </c>
      <c r="X1178" s="5" t="s">
        <v>50</v>
      </c>
      <c r="Y1178" t="s">
        <v>47</v>
      </c>
      <c r="Z1178" s="3">
        <v>41275</v>
      </c>
      <c r="AA1178" s="5" t="s">
        <v>50</v>
      </c>
      <c r="AB1178" t="s">
        <v>47</v>
      </c>
      <c r="AC1178" s="3">
        <v>41275</v>
      </c>
      <c r="AD1178" s="5" t="s">
        <v>50</v>
      </c>
      <c r="AE1178" t="s">
        <v>47</v>
      </c>
      <c r="AF1178" t="s">
        <v>47</v>
      </c>
      <c r="AG1178" t="s">
        <v>47</v>
      </c>
      <c r="AH1178" t="s">
        <v>47</v>
      </c>
      <c r="AI1178" t="s">
        <v>47</v>
      </c>
      <c r="AJ1178" t="s">
        <v>47</v>
      </c>
      <c r="AK1178" t="s">
        <v>47</v>
      </c>
      <c r="AL1178" t="s">
        <v>47</v>
      </c>
      <c r="AM1178" t="s">
        <v>47</v>
      </c>
      <c r="AN1178" t="s">
        <v>47</v>
      </c>
      <c r="AO1178" s="5" t="s">
        <v>60</v>
      </c>
      <c r="AP1178" s="4" t="s">
        <v>61</v>
      </c>
      <c r="AQ1178" s="4" t="s">
        <v>53</v>
      </c>
      <c r="AR1178" s="4" t="s">
        <v>54</v>
      </c>
      <c r="AS1178" s="5">
        <v>2031321</v>
      </c>
      <c r="AT1178" t="s">
        <v>47</v>
      </c>
    </row>
    <row r="1179" spans="1:46" ht="156" x14ac:dyDescent="0.3">
      <c r="A1179" s="4" t="s">
        <v>4617</v>
      </c>
      <c r="B1179" t="s">
        <v>47</v>
      </c>
      <c r="C1179" s="4" t="s">
        <v>1952</v>
      </c>
      <c r="D1179" s="4" t="s">
        <v>319</v>
      </c>
      <c r="E1179" s="4" t="s">
        <v>66</v>
      </c>
      <c r="F1179" s="5" t="s">
        <v>4618</v>
      </c>
      <c r="G1179" s="5" t="s">
        <v>4619</v>
      </c>
      <c r="H1179" t="s">
        <v>47</v>
      </c>
      <c r="I1179" t="s">
        <v>47</v>
      </c>
      <c r="J1179" t="s">
        <v>47</v>
      </c>
      <c r="K1179" t="s">
        <v>47</v>
      </c>
      <c r="L1179" s="5" t="s">
        <v>60</v>
      </c>
      <c r="M1179" t="s">
        <v>47</v>
      </c>
      <c r="N1179" t="s">
        <v>47</v>
      </c>
      <c r="O1179" t="s">
        <v>47</v>
      </c>
      <c r="P1179" t="s">
        <v>47</v>
      </c>
      <c r="Q1179" t="s">
        <v>47</v>
      </c>
      <c r="R1179" t="s">
        <v>47</v>
      </c>
      <c r="S1179" t="s">
        <v>47</v>
      </c>
      <c r="T1179" t="s">
        <v>47</v>
      </c>
      <c r="U1179" t="s">
        <v>47</v>
      </c>
      <c r="V1179" t="s">
        <v>47</v>
      </c>
      <c r="W1179" s="3">
        <v>37987</v>
      </c>
      <c r="X1179" s="5" t="s">
        <v>50</v>
      </c>
      <c r="Y1179" t="s">
        <v>47</v>
      </c>
      <c r="Z1179" s="3">
        <v>37987</v>
      </c>
      <c r="AA1179" s="5" t="s">
        <v>50</v>
      </c>
      <c r="AB1179" t="s">
        <v>47</v>
      </c>
      <c r="AC1179" s="3">
        <v>37987</v>
      </c>
      <c r="AD1179" s="5" t="s">
        <v>50</v>
      </c>
      <c r="AE1179" t="s">
        <v>47</v>
      </c>
      <c r="AF1179" t="s">
        <v>47</v>
      </c>
      <c r="AG1179" t="s">
        <v>47</v>
      </c>
      <c r="AH1179" t="s">
        <v>47</v>
      </c>
      <c r="AI1179" t="s">
        <v>47</v>
      </c>
      <c r="AJ1179" t="s">
        <v>47</v>
      </c>
      <c r="AK1179" t="s">
        <v>47</v>
      </c>
      <c r="AL1179" t="s">
        <v>47</v>
      </c>
      <c r="AM1179" t="s">
        <v>47</v>
      </c>
      <c r="AN1179" t="s">
        <v>47</v>
      </c>
      <c r="AO1179" s="5" t="s">
        <v>60</v>
      </c>
      <c r="AP1179" s="4" t="s">
        <v>61</v>
      </c>
      <c r="AQ1179" s="4" t="s">
        <v>53</v>
      </c>
      <c r="AR1179" s="4" t="s">
        <v>4620</v>
      </c>
      <c r="AS1179" s="5">
        <v>25480</v>
      </c>
      <c r="AT1179" t="s">
        <v>47</v>
      </c>
    </row>
    <row r="1180" spans="1:46" ht="78" x14ac:dyDescent="0.3">
      <c r="A1180" s="4" t="s">
        <v>4621</v>
      </c>
      <c r="B1180" t="s">
        <v>47</v>
      </c>
      <c r="C1180" s="4" t="s">
        <v>122</v>
      </c>
      <c r="D1180" s="4" t="s">
        <v>575</v>
      </c>
      <c r="E1180" s="4" t="s">
        <v>123</v>
      </c>
      <c r="F1180" t="s">
        <v>47</v>
      </c>
      <c r="G1180" s="5" t="s">
        <v>4622</v>
      </c>
      <c r="H1180" t="s">
        <v>47</v>
      </c>
      <c r="I1180" s="3">
        <v>40878</v>
      </c>
      <c r="J1180" s="3">
        <v>42430</v>
      </c>
      <c r="K1180" t="s">
        <v>47</v>
      </c>
      <c r="L1180" s="5" t="s">
        <v>60</v>
      </c>
      <c r="M1180" t="s">
        <v>47</v>
      </c>
      <c r="N1180" t="s">
        <v>47</v>
      </c>
      <c r="O1180" t="s">
        <v>47</v>
      </c>
      <c r="P1180" s="3">
        <v>40878</v>
      </c>
      <c r="Q1180" s="3">
        <v>42430</v>
      </c>
      <c r="R1180" t="s">
        <v>47</v>
      </c>
      <c r="S1180" t="s">
        <v>47</v>
      </c>
      <c r="T1180" t="s">
        <v>47</v>
      </c>
      <c r="U1180" t="s">
        <v>47</v>
      </c>
      <c r="V1180" t="s">
        <v>47</v>
      </c>
      <c r="W1180" s="3">
        <v>40878</v>
      </c>
      <c r="X1180" s="3">
        <v>42430</v>
      </c>
      <c r="Y1180" t="s">
        <v>47</v>
      </c>
      <c r="Z1180" s="3">
        <v>40878</v>
      </c>
      <c r="AA1180" s="3">
        <v>42430</v>
      </c>
      <c r="AB1180" t="s">
        <v>47</v>
      </c>
      <c r="AC1180" s="3">
        <v>40878</v>
      </c>
      <c r="AD1180" s="3">
        <v>42430</v>
      </c>
      <c r="AE1180" t="s">
        <v>47</v>
      </c>
      <c r="AF1180" t="s">
        <v>47</v>
      </c>
      <c r="AG1180" t="s">
        <v>47</v>
      </c>
      <c r="AH1180" t="s">
        <v>47</v>
      </c>
      <c r="AI1180" t="s">
        <v>47</v>
      </c>
      <c r="AJ1180" t="s">
        <v>47</v>
      </c>
      <c r="AK1180" t="s">
        <v>47</v>
      </c>
      <c r="AL1180" t="s">
        <v>47</v>
      </c>
      <c r="AM1180" t="s">
        <v>47</v>
      </c>
      <c r="AN1180" t="s">
        <v>47</v>
      </c>
      <c r="AO1180" s="5" t="s">
        <v>60</v>
      </c>
      <c r="AP1180" s="4" t="s">
        <v>61</v>
      </c>
      <c r="AQ1180" s="4" t="s">
        <v>53</v>
      </c>
      <c r="AR1180" s="4" t="s">
        <v>577</v>
      </c>
      <c r="AS1180" s="5">
        <v>2034689</v>
      </c>
      <c r="AT1180" t="s">
        <v>47</v>
      </c>
    </row>
    <row r="1181" spans="1:46" ht="13" x14ac:dyDescent="0.3">
      <c r="A1181" s="4" t="s">
        <v>4623</v>
      </c>
      <c r="B1181" t="s">
        <v>47</v>
      </c>
      <c r="C1181" s="4" t="s">
        <v>4624</v>
      </c>
      <c r="D1181" s="4" t="s">
        <v>88</v>
      </c>
      <c r="E1181" s="4" t="s">
        <v>49</v>
      </c>
      <c r="F1181" s="5" t="s">
        <v>4625</v>
      </c>
      <c r="G1181" t="s">
        <v>47</v>
      </c>
      <c r="H1181" t="s">
        <v>47</v>
      </c>
      <c r="I1181" t="s">
        <v>47</v>
      </c>
      <c r="J1181" t="s">
        <v>47</v>
      </c>
      <c r="K1181" t="s">
        <v>47</v>
      </c>
      <c r="L1181" s="5" t="s">
        <v>51</v>
      </c>
      <c r="M1181" t="s">
        <v>47</v>
      </c>
      <c r="N1181" t="s">
        <v>47</v>
      </c>
      <c r="O1181" t="s">
        <v>47</v>
      </c>
      <c r="P1181" t="s">
        <v>47</v>
      </c>
      <c r="Q1181" t="s">
        <v>47</v>
      </c>
      <c r="R1181" t="s">
        <v>47</v>
      </c>
      <c r="S1181" t="s">
        <v>47</v>
      </c>
      <c r="T1181" t="s">
        <v>47</v>
      </c>
      <c r="U1181" t="s">
        <v>47</v>
      </c>
      <c r="V1181" t="s">
        <v>47</v>
      </c>
      <c r="W1181" s="3">
        <v>35824</v>
      </c>
      <c r="X1181" s="3">
        <v>35958</v>
      </c>
      <c r="Y1181" t="s">
        <v>47</v>
      </c>
      <c r="Z1181" s="3">
        <v>35824</v>
      </c>
      <c r="AA1181" s="3">
        <v>35958</v>
      </c>
      <c r="AB1181" t="s">
        <v>47</v>
      </c>
      <c r="AC1181" t="s">
        <v>47</v>
      </c>
      <c r="AD1181" t="s">
        <v>47</v>
      </c>
      <c r="AE1181" t="s">
        <v>47</v>
      </c>
      <c r="AF1181" t="s">
        <v>47</v>
      </c>
      <c r="AG1181" t="s">
        <v>47</v>
      </c>
      <c r="AH1181" t="s">
        <v>47</v>
      </c>
      <c r="AI1181" t="s">
        <v>47</v>
      </c>
      <c r="AJ1181" t="s">
        <v>47</v>
      </c>
      <c r="AK1181" t="s">
        <v>47</v>
      </c>
      <c r="AL1181" t="s">
        <v>47</v>
      </c>
      <c r="AM1181" t="s">
        <v>47</v>
      </c>
      <c r="AN1181" t="s">
        <v>47</v>
      </c>
      <c r="AO1181" s="5" t="s">
        <v>51</v>
      </c>
      <c r="AP1181" s="4" t="s">
        <v>85</v>
      </c>
      <c r="AQ1181" s="4" t="s">
        <v>53</v>
      </c>
      <c r="AR1181" s="4" t="s">
        <v>4626</v>
      </c>
      <c r="AS1181" s="5">
        <v>46118</v>
      </c>
      <c r="AT1181" t="s">
        <v>47</v>
      </c>
    </row>
    <row r="1182" spans="1:46" ht="39" x14ac:dyDescent="0.3">
      <c r="A1182" s="4" t="s">
        <v>4627</v>
      </c>
      <c r="B1182" t="s">
        <v>47</v>
      </c>
      <c r="C1182" s="4" t="s">
        <v>462</v>
      </c>
      <c r="D1182" s="4" t="s">
        <v>463</v>
      </c>
      <c r="E1182" s="4" t="s">
        <v>49</v>
      </c>
      <c r="F1182" s="5" t="s">
        <v>4628</v>
      </c>
      <c r="G1182" t="s">
        <v>47</v>
      </c>
      <c r="H1182" t="s">
        <v>47</v>
      </c>
      <c r="I1182" t="s">
        <v>47</v>
      </c>
      <c r="J1182" t="s">
        <v>47</v>
      </c>
      <c r="K1182" t="s">
        <v>47</v>
      </c>
      <c r="L1182" s="5" t="s">
        <v>51</v>
      </c>
      <c r="M1182" t="s">
        <v>47</v>
      </c>
      <c r="N1182" t="s">
        <v>47</v>
      </c>
      <c r="O1182" t="s">
        <v>47</v>
      </c>
      <c r="P1182" t="s">
        <v>47</v>
      </c>
      <c r="Q1182" t="s">
        <v>47</v>
      </c>
      <c r="R1182" t="s">
        <v>47</v>
      </c>
      <c r="S1182" t="s">
        <v>47</v>
      </c>
      <c r="T1182" t="s">
        <v>47</v>
      </c>
      <c r="U1182" t="s">
        <v>47</v>
      </c>
      <c r="V1182" t="s">
        <v>47</v>
      </c>
      <c r="W1182" s="3">
        <v>37926</v>
      </c>
      <c r="X1182" s="3">
        <v>42430</v>
      </c>
      <c r="Y1182" t="s">
        <v>47</v>
      </c>
      <c r="Z1182" s="3">
        <v>37926</v>
      </c>
      <c r="AA1182" s="3">
        <v>42430</v>
      </c>
      <c r="AB1182" t="s">
        <v>47</v>
      </c>
      <c r="AC1182" t="s">
        <v>47</v>
      </c>
      <c r="AD1182" t="s">
        <v>47</v>
      </c>
      <c r="AE1182" t="s">
        <v>47</v>
      </c>
      <c r="AF1182" t="s">
        <v>47</v>
      </c>
      <c r="AG1182" t="s">
        <v>47</v>
      </c>
      <c r="AH1182" t="s">
        <v>47</v>
      </c>
      <c r="AI1182" t="s">
        <v>47</v>
      </c>
      <c r="AJ1182" t="s">
        <v>47</v>
      </c>
      <c r="AK1182" t="s">
        <v>47</v>
      </c>
      <c r="AL1182" t="s">
        <v>47</v>
      </c>
      <c r="AM1182" t="s">
        <v>47</v>
      </c>
      <c r="AN1182" t="s">
        <v>47</v>
      </c>
      <c r="AO1182" s="5" t="s">
        <v>51</v>
      </c>
      <c r="AP1182" s="4" t="s">
        <v>135</v>
      </c>
      <c r="AQ1182" s="4" t="s">
        <v>53</v>
      </c>
      <c r="AR1182" s="4" t="s">
        <v>4629</v>
      </c>
      <c r="AS1182" s="5">
        <v>43306</v>
      </c>
      <c r="AT1182" t="s">
        <v>47</v>
      </c>
    </row>
    <row r="1183" spans="1:46" ht="78" x14ac:dyDescent="0.3">
      <c r="A1183" s="4" t="s">
        <v>4630</v>
      </c>
      <c r="B1183" t="s">
        <v>47</v>
      </c>
      <c r="C1183" s="4" t="s">
        <v>169</v>
      </c>
      <c r="D1183" s="4" t="s">
        <v>339</v>
      </c>
      <c r="E1183" s="4" t="s">
        <v>66</v>
      </c>
      <c r="F1183" s="5" t="s">
        <v>4631</v>
      </c>
      <c r="G1183" s="5" t="s">
        <v>4632</v>
      </c>
      <c r="H1183" t="s">
        <v>47</v>
      </c>
      <c r="I1183" t="s">
        <v>47</v>
      </c>
      <c r="J1183" t="s">
        <v>47</v>
      </c>
      <c r="K1183" t="s">
        <v>47</v>
      </c>
      <c r="L1183" s="5" t="s">
        <v>60</v>
      </c>
      <c r="M1183" t="s">
        <v>47</v>
      </c>
      <c r="N1183" t="s">
        <v>47</v>
      </c>
      <c r="O1183" t="s">
        <v>47</v>
      </c>
      <c r="P1183" t="s">
        <v>47</v>
      </c>
      <c r="Q1183" t="s">
        <v>47</v>
      </c>
      <c r="R1183" t="s">
        <v>47</v>
      </c>
      <c r="S1183" t="s">
        <v>47</v>
      </c>
      <c r="T1183" t="s">
        <v>47</v>
      </c>
      <c r="U1183" t="s">
        <v>47</v>
      </c>
      <c r="V1183" t="s">
        <v>47</v>
      </c>
      <c r="W1183" s="3">
        <v>40238</v>
      </c>
      <c r="X1183" s="5" t="s">
        <v>50</v>
      </c>
      <c r="Y1183" t="s">
        <v>47</v>
      </c>
      <c r="Z1183" s="3">
        <v>40238</v>
      </c>
      <c r="AA1183" s="5" t="s">
        <v>50</v>
      </c>
      <c r="AB1183" t="s">
        <v>47</v>
      </c>
      <c r="AC1183" s="3">
        <v>40238</v>
      </c>
      <c r="AD1183" s="5" t="s">
        <v>50</v>
      </c>
      <c r="AE1183" t="s">
        <v>47</v>
      </c>
      <c r="AF1183" t="s">
        <v>47</v>
      </c>
      <c r="AG1183" t="s">
        <v>47</v>
      </c>
      <c r="AH1183" t="s">
        <v>47</v>
      </c>
      <c r="AI1183" t="s">
        <v>47</v>
      </c>
      <c r="AJ1183" t="s">
        <v>47</v>
      </c>
      <c r="AK1183" t="s">
        <v>47</v>
      </c>
      <c r="AL1183" t="s">
        <v>47</v>
      </c>
      <c r="AM1183" t="s">
        <v>47</v>
      </c>
      <c r="AN1183" t="s">
        <v>47</v>
      </c>
      <c r="AO1183" s="5" t="s">
        <v>60</v>
      </c>
      <c r="AP1183" s="4" t="s">
        <v>61</v>
      </c>
      <c r="AQ1183" s="4" t="s">
        <v>53</v>
      </c>
      <c r="AR1183" s="4" t="s">
        <v>4633</v>
      </c>
      <c r="AS1183" s="5">
        <v>196146</v>
      </c>
      <c r="AT1183" t="s">
        <v>47</v>
      </c>
    </row>
    <row r="1184" spans="1:46" ht="65" x14ac:dyDescent="0.3">
      <c r="A1184" s="4" t="s">
        <v>4634</v>
      </c>
      <c r="B1184" t="s">
        <v>47</v>
      </c>
      <c r="C1184" s="4" t="s">
        <v>4635</v>
      </c>
      <c r="D1184" s="4" t="s">
        <v>4387</v>
      </c>
      <c r="E1184" s="4" t="s">
        <v>49</v>
      </c>
      <c r="F1184" s="5" t="s">
        <v>4636</v>
      </c>
      <c r="G1184" t="s">
        <v>47</v>
      </c>
      <c r="H1184" t="s">
        <v>47</v>
      </c>
      <c r="I1184" s="3">
        <v>38808</v>
      </c>
      <c r="J1184" s="3">
        <v>39387</v>
      </c>
      <c r="K1184" t="s">
        <v>47</v>
      </c>
      <c r="L1184" s="5" t="s">
        <v>51</v>
      </c>
      <c r="M1184" s="3">
        <v>38808</v>
      </c>
      <c r="N1184" s="3">
        <v>39387</v>
      </c>
      <c r="O1184" t="s">
        <v>47</v>
      </c>
      <c r="P1184" t="s">
        <v>47</v>
      </c>
      <c r="Q1184" t="s">
        <v>47</v>
      </c>
      <c r="R1184" t="s">
        <v>47</v>
      </c>
      <c r="S1184" t="s">
        <v>47</v>
      </c>
      <c r="T1184" t="s">
        <v>47</v>
      </c>
      <c r="U1184" t="s">
        <v>47</v>
      </c>
      <c r="V1184" t="s">
        <v>47</v>
      </c>
      <c r="W1184" s="3">
        <v>38808</v>
      </c>
      <c r="X1184" s="3">
        <v>39387</v>
      </c>
      <c r="Y1184" t="s">
        <v>47</v>
      </c>
      <c r="Z1184" s="3">
        <v>38808</v>
      </c>
      <c r="AA1184" s="3">
        <v>39387</v>
      </c>
      <c r="AB1184" t="s">
        <v>47</v>
      </c>
      <c r="AC1184" s="3">
        <v>38808</v>
      </c>
      <c r="AD1184" s="3">
        <v>39387</v>
      </c>
      <c r="AE1184" t="s">
        <v>47</v>
      </c>
      <c r="AF1184" t="s">
        <v>47</v>
      </c>
      <c r="AG1184" t="s">
        <v>47</v>
      </c>
      <c r="AH1184" t="s">
        <v>47</v>
      </c>
      <c r="AI1184" t="s">
        <v>47</v>
      </c>
      <c r="AJ1184" t="s">
        <v>47</v>
      </c>
      <c r="AK1184" t="s">
        <v>47</v>
      </c>
      <c r="AL1184" t="s">
        <v>47</v>
      </c>
      <c r="AM1184" t="s">
        <v>47</v>
      </c>
      <c r="AN1184" t="s">
        <v>47</v>
      </c>
      <c r="AO1184" s="5" t="s">
        <v>51</v>
      </c>
      <c r="AP1184" s="4" t="s">
        <v>135</v>
      </c>
      <c r="AQ1184" s="4" t="s">
        <v>53</v>
      </c>
      <c r="AR1184" s="4" t="s">
        <v>543</v>
      </c>
      <c r="AS1184" s="5">
        <v>38608</v>
      </c>
      <c r="AT1184" t="s">
        <v>47</v>
      </c>
    </row>
    <row r="1185" spans="1:46" ht="26" x14ac:dyDescent="0.3">
      <c r="A1185" s="4" t="s">
        <v>4637</v>
      </c>
      <c r="B1185" t="s">
        <v>47</v>
      </c>
      <c r="C1185" s="4" t="s">
        <v>64</v>
      </c>
      <c r="D1185" s="4" t="s">
        <v>223</v>
      </c>
      <c r="E1185" s="4" t="s">
        <v>66</v>
      </c>
      <c r="F1185" s="5" t="s">
        <v>4638</v>
      </c>
      <c r="G1185" s="5" t="s">
        <v>4639</v>
      </c>
      <c r="H1185" t="s">
        <v>47</v>
      </c>
      <c r="I1185" s="3">
        <v>36342</v>
      </c>
      <c r="J1185" s="3">
        <v>40330</v>
      </c>
      <c r="K1185" t="s">
        <v>47</v>
      </c>
      <c r="L1185" s="5" t="s">
        <v>60</v>
      </c>
      <c r="M1185" s="3">
        <v>36342</v>
      </c>
      <c r="N1185" s="3">
        <v>40330</v>
      </c>
      <c r="O1185" t="s">
        <v>47</v>
      </c>
      <c r="P1185" s="3">
        <v>36342</v>
      </c>
      <c r="Q1185" s="3">
        <v>40330</v>
      </c>
      <c r="R1185" t="s">
        <v>47</v>
      </c>
      <c r="S1185" t="s">
        <v>47</v>
      </c>
      <c r="T1185" t="s">
        <v>47</v>
      </c>
      <c r="U1185" t="s">
        <v>47</v>
      </c>
      <c r="V1185" t="s">
        <v>47</v>
      </c>
      <c r="W1185" s="3">
        <v>5358</v>
      </c>
      <c r="X1185" s="5" t="s">
        <v>50</v>
      </c>
      <c r="Y1185" t="s">
        <v>47</v>
      </c>
      <c r="Z1185" s="3">
        <v>5358</v>
      </c>
      <c r="AA1185" s="5" t="s">
        <v>50</v>
      </c>
      <c r="AB1185" t="s">
        <v>47</v>
      </c>
      <c r="AC1185" s="3">
        <v>36342</v>
      </c>
      <c r="AD1185" s="5" t="s">
        <v>50</v>
      </c>
      <c r="AE1185" t="s">
        <v>47</v>
      </c>
      <c r="AF1185" t="s">
        <v>47</v>
      </c>
      <c r="AG1185" t="s">
        <v>47</v>
      </c>
      <c r="AH1185" t="s">
        <v>47</v>
      </c>
      <c r="AI1185" t="s">
        <v>47</v>
      </c>
      <c r="AJ1185" t="s">
        <v>47</v>
      </c>
      <c r="AK1185" t="s">
        <v>47</v>
      </c>
      <c r="AL1185" t="s">
        <v>47</v>
      </c>
      <c r="AM1185" t="s">
        <v>47</v>
      </c>
      <c r="AN1185" t="s">
        <v>47</v>
      </c>
      <c r="AO1185" s="5" t="s">
        <v>60</v>
      </c>
      <c r="AP1185" s="4" t="s">
        <v>61</v>
      </c>
      <c r="AQ1185" s="4" t="s">
        <v>53</v>
      </c>
      <c r="AR1185" s="4" t="s">
        <v>395</v>
      </c>
      <c r="AS1185" s="5">
        <v>41438</v>
      </c>
      <c r="AT1185" t="s">
        <v>47</v>
      </c>
    </row>
    <row r="1186" spans="1:46" ht="104" x14ac:dyDescent="0.3">
      <c r="A1186" s="4" t="s">
        <v>4640</v>
      </c>
      <c r="B1186" t="s">
        <v>47</v>
      </c>
      <c r="C1186" s="4" t="s">
        <v>4641</v>
      </c>
      <c r="D1186" s="4" t="s">
        <v>4642</v>
      </c>
      <c r="E1186" s="4" t="s">
        <v>49</v>
      </c>
      <c r="F1186" s="5" t="s">
        <v>4643</v>
      </c>
      <c r="G1186" t="s">
        <v>47</v>
      </c>
      <c r="H1186" t="s">
        <v>47</v>
      </c>
      <c r="I1186" s="3">
        <v>34335</v>
      </c>
      <c r="J1186" s="3">
        <v>36342</v>
      </c>
      <c r="K1186" t="s">
        <v>47</v>
      </c>
      <c r="L1186" s="5" t="s">
        <v>51</v>
      </c>
      <c r="M1186" s="3">
        <v>34335</v>
      </c>
      <c r="N1186" s="3">
        <v>36342</v>
      </c>
      <c r="O1186" t="s">
        <v>47</v>
      </c>
      <c r="P1186" s="3">
        <v>35431</v>
      </c>
      <c r="Q1186" s="3">
        <v>36342</v>
      </c>
      <c r="R1186" t="s">
        <v>47</v>
      </c>
      <c r="S1186" t="s">
        <v>47</v>
      </c>
      <c r="T1186" t="s">
        <v>47</v>
      </c>
      <c r="U1186" t="s">
        <v>47</v>
      </c>
      <c r="V1186" t="s">
        <v>47</v>
      </c>
      <c r="W1186" s="3">
        <v>31321</v>
      </c>
      <c r="X1186" s="5" t="s">
        <v>50</v>
      </c>
      <c r="Y1186" t="s">
        <v>47</v>
      </c>
      <c r="Z1186" s="3">
        <v>31321</v>
      </c>
      <c r="AA1186" s="5" t="s">
        <v>50</v>
      </c>
      <c r="AB1186" t="s">
        <v>47</v>
      </c>
      <c r="AC1186" s="3">
        <v>33604</v>
      </c>
      <c r="AD1186" s="5" t="s">
        <v>50</v>
      </c>
      <c r="AE1186" t="s">
        <v>47</v>
      </c>
      <c r="AF1186" t="s">
        <v>47</v>
      </c>
      <c r="AG1186" t="s">
        <v>47</v>
      </c>
      <c r="AH1186" t="s">
        <v>47</v>
      </c>
      <c r="AI1186" t="s">
        <v>47</v>
      </c>
      <c r="AJ1186" t="s">
        <v>47</v>
      </c>
      <c r="AK1186" t="s">
        <v>47</v>
      </c>
      <c r="AL1186" t="s">
        <v>47</v>
      </c>
      <c r="AM1186" t="s">
        <v>47</v>
      </c>
      <c r="AN1186" t="s">
        <v>47</v>
      </c>
      <c r="AO1186" s="5" t="s">
        <v>51</v>
      </c>
      <c r="AP1186" s="4" t="s">
        <v>85</v>
      </c>
      <c r="AQ1186" s="4" t="s">
        <v>53</v>
      </c>
      <c r="AR1186" s="4" t="s">
        <v>4644</v>
      </c>
      <c r="AS1186" s="5">
        <v>27476</v>
      </c>
      <c r="AT1186" t="s">
        <v>47</v>
      </c>
    </row>
    <row r="1187" spans="1:46" ht="52" x14ac:dyDescent="0.3">
      <c r="A1187" s="4" t="s">
        <v>4645</v>
      </c>
      <c r="B1187" t="s">
        <v>47</v>
      </c>
      <c r="C1187" s="4" t="s">
        <v>4646</v>
      </c>
      <c r="D1187" s="4" t="s">
        <v>4647</v>
      </c>
      <c r="E1187" s="4" t="s">
        <v>49</v>
      </c>
      <c r="F1187" s="5" t="s">
        <v>4648</v>
      </c>
      <c r="G1187" t="s">
        <v>47</v>
      </c>
      <c r="H1187" t="s">
        <v>47</v>
      </c>
      <c r="I1187" s="3">
        <v>37500</v>
      </c>
      <c r="J1187" s="3">
        <v>43800</v>
      </c>
      <c r="K1187" t="s">
        <v>47</v>
      </c>
      <c r="L1187" s="5" t="s">
        <v>60</v>
      </c>
      <c r="M1187" s="3">
        <v>37500</v>
      </c>
      <c r="N1187" s="3">
        <v>43800</v>
      </c>
      <c r="O1187" t="s">
        <v>47</v>
      </c>
      <c r="P1187" s="3">
        <v>37500</v>
      </c>
      <c r="Q1187" s="3">
        <v>43800</v>
      </c>
      <c r="R1187" t="s">
        <v>47</v>
      </c>
      <c r="S1187" t="s">
        <v>47</v>
      </c>
      <c r="T1187" t="s">
        <v>47</v>
      </c>
      <c r="U1187" t="s">
        <v>47</v>
      </c>
      <c r="V1187" t="s">
        <v>47</v>
      </c>
      <c r="W1187" s="3">
        <v>37500</v>
      </c>
      <c r="X1187" s="3">
        <v>43800</v>
      </c>
      <c r="Y1187" t="s">
        <v>47</v>
      </c>
      <c r="Z1187" s="3">
        <v>37500</v>
      </c>
      <c r="AA1187" s="3">
        <v>43800</v>
      </c>
      <c r="AB1187" t="s">
        <v>47</v>
      </c>
      <c r="AC1187" s="3">
        <v>40969</v>
      </c>
      <c r="AD1187" s="3">
        <v>43800</v>
      </c>
      <c r="AE1187" t="s">
        <v>47</v>
      </c>
      <c r="AF1187" t="s">
        <v>47</v>
      </c>
      <c r="AG1187" t="s">
        <v>47</v>
      </c>
      <c r="AH1187" t="s">
        <v>47</v>
      </c>
      <c r="AI1187" t="s">
        <v>47</v>
      </c>
      <c r="AJ1187" t="s">
        <v>47</v>
      </c>
      <c r="AK1187" t="s">
        <v>47</v>
      </c>
      <c r="AL1187" t="s">
        <v>47</v>
      </c>
      <c r="AM1187" t="s">
        <v>47</v>
      </c>
      <c r="AN1187" t="s">
        <v>47</v>
      </c>
      <c r="AO1187" s="5" t="s">
        <v>60</v>
      </c>
      <c r="AP1187" s="4" t="s">
        <v>61</v>
      </c>
      <c r="AQ1187" s="4" t="s">
        <v>53</v>
      </c>
      <c r="AR1187" s="4" t="s">
        <v>3206</v>
      </c>
      <c r="AS1187" s="5">
        <v>35401</v>
      </c>
      <c r="AT1187" t="s">
        <v>47</v>
      </c>
    </row>
    <row r="1188" spans="1:46" ht="39" x14ac:dyDescent="0.3">
      <c r="A1188" s="4" t="s">
        <v>4649</v>
      </c>
      <c r="B1188" t="s">
        <v>47</v>
      </c>
      <c r="C1188" s="4" t="s">
        <v>4650</v>
      </c>
      <c r="D1188" s="4" t="s">
        <v>717</v>
      </c>
      <c r="E1188" s="4" t="s">
        <v>49</v>
      </c>
      <c r="F1188" s="5" t="s">
        <v>4651</v>
      </c>
      <c r="G1188" t="s">
        <v>47</v>
      </c>
      <c r="H1188" t="s">
        <v>47</v>
      </c>
      <c r="I1188" s="3">
        <v>36251</v>
      </c>
      <c r="J1188" s="3">
        <v>37438</v>
      </c>
      <c r="K1188" t="s">
        <v>47</v>
      </c>
      <c r="L1188" s="5" t="s">
        <v>60</v>
      </c>
      <c r="M1188" s="3">
        <v>36251</v>
      </c>
      <c r="N1188" s="3">
        <v>37438</v>
      </c>
      <c r="O1188" t="s">
        <v>47</v>
      </c>
      <c r="P1188" s="3">
        <v>36251</v>
      </c>
      <c r="Q1188" s="3">
        <v>37438</v>
      </c>
      <c r="R1188" t="s">
        <v>47</v>
      </c>
      <c r="S1188" t="s">
        <v>47</v>
      </c>
      <c r="T1188" t="s">
        <v>47</v>
      </c>
      <c r="U1188" t="s">
        <v>47</v>
      </c>
      <c r="V1188" t="s">
        <v>47</v>
      </c>
      <c r="W1188" s="3">
        <v>36251</v>
      </c>
      <c r="X1188" s="3">
        <v>37438</v>
      </c>
      <c r="Y1188" t="s">
        <v>47</v>
      </c>
      <c r="Z1188" s="3">
        <v>36251</v>
      </c>
      <c r="AA1188" s="3">
        <v>37438</v>
      </c>
      <c r="AB1188" t="s">
        <v>47</v>
      </c>
      <c r="AC1188" t="s">
        <v>47</v>
      </c>
      <c r="AD1188" t="s">
        <v>47</v>
      </c>
      <c r="AE1188" t="s">
        <v>47</v>
      </c>
      <c r="AF1188" t="s">
        <v>47</v>
      </c>
      <c r="AG1188" t="s">
        <v>47</v>
      </c>
      <c r="AH1188" t="s">
        <v>47</v>
      </c>
      <c r="AI1188" t="s">
        <v>47</v>
      </c>
      <c r="AJ1188" t="s">
        <v>47</v>
      </c>
      <c r="AK1188" t="s">
        <v>47</v>
      </c>
      <c r="AL1188" t="s">
        <v>47</v>
      </c>
      <c r="AM1188" t="s">
        <v>47</v>
      </c>
      <c r="AN1188" t="s">
        <v>47</v>
      </c>
      <c r="AO1188" s="5" t="s">
        <v>60</v>
      </c>
      <c r="AP1188" s="4" t="s">
        <v>61</v>
      </c>
      <c r="AQ1188" s="4" t="s">
        <v>53</v>
      </c>
      <c r="AR1188" s="4" t="s">
        <v>62</v>
      </c>
      <c r="AS1188" s="5">
        <v>49053</v>
      </c>
      <c r="AT1188" t="s">
        <v>47</v>
      </c>
    </row>
    <row r="1189" spans="1:46" ht="65" x14ac:dyDescent="0.3">
      <c r="A1189" s="4" t="s">
        <v>4652</v>
      </c>
      <c r="B1189" t="s">
        <v>47</v>
      </c>
      <c r="C1189" s="4" t="s">
        <v>4653</v>
      </c>
      <c r="D1189" s="4" t="s">
        <v>88</v>
      </c>
      <c r="E1189" s="4" t="s">
        <v>49</v>
      </c>
      <c r="F1189" s="5" t="s">
        <v>4654</v>
      </c>
      <c r="G1189" t="s">
        <v>47</v>
      </c>
      <c r="H1189" t="s">
        <v>47</v>
      </c>
      <c r="I1189" s="3">
        <v>34366</v>
      </c>
      <c r="J1189" s="3">
        <v>39753</v>
      </c>
      <c r="K1189" t="s">
        <v>47</v>
      </c>
      <c r="L1189" s="5" t="s">
        <v>51</v>
      </c>
      <c r="M1189" s="3">
        <v>34366</v>
      </c>
      <c r="N1189" s="3">
        <v>39753</v>
      </c>
      <c r="O1189" t="s">
        <v>47</v>
      </c>
      <c r="P1189" s="3">
        <v>35309</v>
      </c>
      <c r="Q1189" s="3">
        <v>39753</v>
      </c>
      <c r="R1189" t="s">
        <v>47</v>
      </c>
      <c r="S1189" t="s">
        <v>47</v>
      </c>
      <c r="T1189" t="s">
        <v>47</v>
      </c>
      <c r="U1189" t="s">
        <v>47</v>
      </c>
      <c r="V1189" t="s">
        <v>47</v>
      </c>
      <c r="W1189" s="3">
        <v>32509</v>
      </c>
      <c r="X1189" s="5" t="s">
        <v>50</v>
      </c>
      <c r="Y1189" t="s">
        <v>47</v>
      </c>
      <c r="Z1189" s="3">
        <v>32509</v>
      </c>
      <c r="AA1189" s="5" t="s">
        <v>50</v>
      </c>
      <c r="AB1189" t="s">
        <v>47</v>
      </c>
      <c r="AC1189" s="3">
        <v>32509</v>
      </c>
      <c r="AD1189" s="5" t="s">
        <v>50</v>
      </c>
      <c r="AE1189" t="s">
        <v>47</v>
      </c>
      <c r="AF1189" t="s">
        <v>47</v>
      </c>
      <c r="AG1189" t="s">
        <v>47</v>
      </c>
      <c r="AH1189" t="s">
        <v>47</v>
      </c>
      <c r="AI1189" t="s">
        <v>47</v>
      </c>
      <c r="AJ1189" t="s">
        <v>47</v>
      </c>
      <c r="AK1189" t="s">
        <v>47</v>
      </c>
      <c r="AL1189" t="s">
        <v>47</v>
      </c>
      <c r="AM1189" t="s">
        <v>47</v>
      </c>
      <c r="AN1189" t="s">
        <v>47</v>
      </c>
      <c r="AO1189" s="5" t="s">
        <v>51</v>
      </c>
      <c r="AP1189" s="4" t="s">
        <v>85</v>
      </c>
      <c r="AQ1189" s="4" t="s">
        <v>53</v>
      </c>
      <c r="AR1189" s="4" t="s">
        <v>543</v>
      </c>
      <c r="AS1189" s="5">
        <v>36681</v>
      </c>
      <c r="AT1189" t="s">
        <v>47</v>
      </c>
    </row>
    <row r="1190" spans="1:46" ht="104" x14ac:dyDescent="0.3">
      <c r="A1190" s="4" t="s">
        <v>4655</v>
      </c>
      <c r="B1190" t="s">
        <v>47</v>
      </c>
      <c r="C1190" s="4" t="s">
        <v>4656</v>
      </c>
      <c r="D1190" s="4" t="s">
        <v>201</v>
      </c>
      <c r="E1190" s="4" t="s">
        <v>49</v>
      </c>
      <c r="F1190" s="5" t="s">
        <v>4657</v>
      </c>
      <c r="G1190" s="5" t="s">
        <v>4658</v>
      </c>
      <c r="H1190" t="s">
        <v>47</v>
      </c>
      <c r="I1190" t="s">
        <v>47</v>
      </c>
      <c r="J1190" t="s">
        <v>47</v>
      </c>
      <c r="K1190" t="s">
        <v>47</v>
      </c>
      <c r="L1190" s="5" t="s">
        <v>60</v>
      </c>
      <c r="M1190" t="s">
        <v>47</v>
      </c>
      <c r="N1190" t="s">
        <v>47</v>
      </c>
      <c r="O1190" t="s">
        <v>47</v>
      </c>
      <c r="P1190" t="s">
        <v>47</v>
      </c>
      <c r="Q1190" t="s">
        <v>47</v>
      </c>
      <c r="R1190" t="s">
        <v>47</v>
      </c>
      <c r="S1190" t="s">
        <v>47</v>
      </c>
      <c r="T1190" t="s">
        <v>47</v>
      </c>
      <c r="U1190" t="s">
        <v>47</v>
      </c>
      <c r="V1190" t="s">
        <v>47</v>
      </c>
      <c r="W1190" s="3">
        <v>40179</v>
      </c>
      <c r="X1190" s="5" t="s">
        <v>50</v>
      </c>
      <c r="Y1190" t="s">
        <v>47</v>
      </c>
      <c r="Z1190" s="3">
        <v>40179</v>
      </c>
      <c r="AA1190" s="5" t="s">
        <v>50</v>
      </c>
      <c r="AB1190" t="s">
        <v>47</v>
      </c>
      <c r="AC1190" s="3">
        <v>40179</v>
      </c>
      <c r="AD1190" s="5" t="s">
        <v>50</v>
      </c>
      <c r="AE1190" t="s">
        <v>47</v>
      </c>
      <c r="AF1190" t="s">
        <v>47</v>
      </c>
      <c r="AG1190" t="s">
        <v>47</v>
      </c>
      <c r="AH1190" t="s">
        <v>47</v>
      </c>
      <c r="AI1190" t="s">
        <v>47</v>
      </c>
      <c r="AJ1190" t="s">
        <v>47</v>
      </c>
      <c r="AK1190" t="s">
        <v>47</v>
      </c>
      <c r="AL1190" t="s">
        <v>47</v>
      </c>
      <c r="AM1190" t="s">
        <v>47</v>
      </c>
      <c r="AN1190" t="s">
        <v>47</v>
      </c>
      <c r="AO1190" s="5" t="s">
        <v>60</v>
      </c>
      <c r="AP1190" s="4" t="s">
        <v>61</v>
      </c>
      <c r="AQ1190" s="4" t="s">
        <v>53</v>
      </c>
      <c r="AR1190" s="4" t="s">
        <v>2300</v>
      </c>
      <c r="AS1190" s="5">
        <v>426716</v>
      </c>
      <c r="AT1190" t="s">
        <v>47</v>
      </c>
    </row>
    <row r="1191" spans="1:46" ht="78" x14ac:dyDescent="0.3">
      <c r="A1191" s="4" t="s">
        <v>4659</v>
      </c>
      <c r="B1191" t="s">
        <v>47</v>
      </c>
      <c r="C1191" s="4" t="s">
        <v>3386</v>
      </c>
      <c r="D1191" s="4" t="s">
        <v>1129</v>
      </c>
      <c r="E1191" s="4" t="s">
        <v>49</v>
      </c>
      <c r="F1191" t="s">
        <v>47</v>
      </c>
      <c r="G1191" t="s">
        <v>47</v>
      </c>
      <c r="H1191" t="s">
        <v>47</v>
      </c>
      <c r="I1191" s="3">
        <v>40553</v>
      </c>
      <c r="J1191" s="3">
        <v>43992</v>
      </c>
      <c r="K1191" t="s">
        <v>47</v>
      </c>
      <c r="L1191" s="5" t="s">
        <v>51</v>
      </c>
      <c r="M1191" s="3">
        <v>40553</v>
      </c>
      <c r="N1191" s="3">
        <v>43992</v>
      </c>
      <c r="O1191" t="s">
        <v>47</v>
      </c>
      <c r="P1191" s="3">
        <v>40553</v>
      </c>
      <c r="Q1191" s="3">
        <v>43992</v>
      </c>
      <c r="R1191" t="s">
        <v>47</v>
      </c>
      <c r="S1191" t="s">
        <v>47</v>
      </c>
      <c r="T1191" t="s">
        <v>47</v>
      </c>
      <c r="U1191" t="s">
        <v>47</v>
      </c>
      <c r="V1191" t="s">
        <v>47</v>
      </c>
      <c r="W1191" s="3">
        <v>40553</v>
      </c>
      <c r="X1191" s="3">
        <v>43992</v>
      </c>
      <c r="Y1191" t="s">
        <v>47</v>
      </c>
      <c r="Z1191" s="3">
        <v>40553</v>
      </c>
      <c r="AA1191" s="3">
        <v>43992</v>
      </c>
      <c r="AB1191" t="s">
        <v>47</v>
      </c>
      <c r="AC1191" s="3">
        <v>40553</v>
      </c>
      <c r="AD1191" s="3">
        <v>43886</v>
      </c>
      <c r="AE1191" t="s">
        <v>47</v>
      </c>
      <c r="AF1191" t="s">
        <v>47</v>
      </c>
      <c r="AG1191" t="s">
        <v>47</v>
      </c>
      <c r="AH1191" t="s">
        <v>47</v>
      </c>
      <c r="AI1191" t="s">
        <v>47</v>
      </c>
      <c r="AJ1191" t="s">
        <v>47</v>
      </c>
      <c r="AK1191" t="s">
        <v>47</v>
      </c>
      <c r="AL1191" t="s">
        <v>47</v>
      </c>
      <c r="AM1191" t="s">
        <v>47</v>
      </c>
      <c r="AN1191" t="s">
        <v>47</v>
      </c>
      <c r="AO1191" s="5" t="s">
        <v>51</v>
      </c>
      <c r="AP1191" s="4" t="s">
        <v>1756</v>
      </c>
      <c r="AQ1191" s="4" t="s">
        <v>53</v>
      </c>
      <c r="AR1191" s="4" t="s">
        <v>4660</v>
      </c>
      <c r="AS1191" s="5">
        <v>396491</v>
      </c>
      <c r="AT1191" t="s">
        <v>47</v>
      </c>
    </row>
    <row r="1192" spans="1:46" ht="52" x14ac:dyDescent="0.3">
      <c r="A1192" s="4" t="s">
        <v>4661</v>
      </c>
      <c r="B1192" t="s">
        <v>47</v>
      </c>
      <c r="C1192" s="4" t="s">
        <v>3386</v>
      </c>
      <c r="D1192" s="4" t="s">
        <v>88</v>
      </c>
      <c r="E1192" s="4" t="s">
        <v>49</v>
      </c>
      <c r="F1192" t="s">
        <v>47</v>
      </c>
      <c r="G1192" t="s">
        <v>47</v>
      </c>
      <c r="H1192" t="s">
        <v>47</v>
      </c>
      <c r="I1192" s="3">
        <v>40575</v>
      </c>
      <c r="J1192" s="3">
        <v>43891</v>
      </c>
      <c r="K1192" t="s">
        <v>47</v>
      </c>
      <c r="L1192" s="5" t="s">
        <v>51</v>
      </c>
      <c r="M1192" s="3">
        <v>40575</v>
      </c>
      <c r="N1192" s="3">
        <v>43891</v>
      </c>
      <c r="O1192" t="s">
        <v>47</v>
      </c>
      <c r="P1192" s="3">
        <v>40575</v>
      </c>
      <c r="Q1192" s="3">
        <v>43891</v>
      </c>
      <c r="R1192" t="s">
        <v>47</v>
      </c>
      <c r="S1192" t="s">
        <v>47</v>
      </c>
      <c r="T1192" t="s">
        <v>47</v>
      </c>
      <c r="U1192" t="s">
        <v>47</v>
      </c>
      <c r="V1192" t="s">
        <v>47</v>
      </c>
      <c r="W1192" s="3">
        <v>40575</v>
      </c>
      <c r="X1192" s="3">
        <v>43891</v>
      </c>
      <c r="Y1192" t="s">
        <v>47</v>
      </c>
      <c r="Z1192" s="3">
        <v>40575</v>
      </c>
      <c r="AA1192" s="3">
        <v>43891</v>
      </c>
      <c r="AB1192" t="s">
        <v>47</v>
      </c>
      <c r="AC1192" s="3">
        <v>40575</v>
      </c>
      <c r="AD1192" s="3">
        <v>43891</v>
      </c>
      <c r="AE1192" t="s">
        <v>47</v>
      </c>
      <c r="AF1192" t="s">
        <v>47</v>
      </c>
      <c r="AG1192" t="s">
        <v>47</v>
      </c>
      <c r="AH1192" t="s">
        <v>47</v>
      </c>
      <c r="AI1192" t="s">
        <v>47</v>
      </c>
      <c r="AJ1192" t="s">
        <v>47</v>
      </c>
      <c r="AK1192" t="s">
        <v>47</v>
      </c>
      <c r="AL1192" t="s">
        <v>47</v>
      </c>
      <c r="AM1192" t="s">
        <v>47</v>
      </c>
      <c r="AN1192" t="s">
        <v>47</v>
      </c>
      <c r="AO1192" s="5" t="s">
        <v>51</v>
      </c>
      <c r="AP1192" s="4" t="s">
        <v>85</v>
      </c>
      <c r="AQ1192" s="4" t="s">
        <v>53</v>
      </c>
      <c r="AR1192" s="4" t="s">
        <v>539</v>
      </c>
      <c r="AS1192" s="5">
        <v>396492</v>
      </c>
      <c r="AT1192" t="s">
        <v>47</v>
      </c>
    </row>
    <row r="1193" spans="1:46" ht="26" x14ac:dyDescent="0.3">
      <c r="A1193" s="4" t="s">
        <v>4662</v>
      </c>
      <c r="B1193" t="s">
        <v>47</v>
      </c>
      <c r="C1193" s="4" t="s">
        <v>48</v>
      </c>
      <c r="D1193" t="s">
        <v>47</v>
      </c>
      <c r="E1193" s="4" t="s">
        <v>49</v>
      </c>
      <c r="F1193" t="s">
        <v>47</v>
      </c>
      <c r="G1193" t="s">
        <v>47</v>
      </c>
      <c r="H1193" t="s">
        <v>47</v>
      </c>
      <c r="I1193" s="3">
        <v>42670</v>
      </c>
      <c r="J1193" s="5" t="s">
        <v>50</v>
      </c>
      <c r="K1193" t="s">
        <v>47</v>
      </c>
      <c r="L1193" s="5" t="s">
        <v>51</v>
      </c>
      <c r="M1193" s="3">
        <v>42670</v>
      </c>
      <c r="N1193" s="5" t="s">
        <v>50</v>
      </c>
      <c r="O1193" t="s">
        <v>47</v>
      </c>
      <c r="P1193" t="s">
        <v>47</v>
      </c>
      <c r="Q1193" t="s">
        <v>47</v>
      </c>
      <c r="R1193" t="s">
        <v>47</v>
      </c>
      <c r="S1193" t="s">
        <v>47</v>
      </c>
      <c r="T1193" t="s">
        <v>47</v>
      </c>
      <c r="U1193" t="s">
        <v>47</v>
      </c>
      <c r="V1193" t="s">
        <v>47</v>
      </c>
      <c r="W1193" s="3">
        <v>42670</v>
      </c>
      <c r="X1193" s="5" t="s">
        <v>50</v>
      </c>
      <c r="Y1193" t="s">
        <v>47</v>
      </c>
      <c r="Z1193" s="3">
        <v>42670</v>
      </c>
      <c r="AA1193" s="5" t="s">
        <v>50</v>
      </c>
      <c r="AB1193" t="s">
        <v>47</v>
      </c>
      <c r="AC1193" t="s">
        <v>47</v>
      </c>
      <c r="AD1193" t="s">
        <v>47</v>
      </c>
      <c r="AE1193" t="s">
        <v>47</v>
      </c>
      <c r="AF1193" t="s">
        <v>47</v>
      </c>
      <c r="AG1193" t="s">
        <v>47</v>
      </c>
      <c r="AH1193" t="s">
        <v>47</v>
      </c>
      <c r="AI1193" t="s">
        <v>47</v>
      </c>
      <c r="AJ1193" t="s">
        <v>47</v>
      </c>
      <c r="AK1193" t="s">
        <v>47</v>
      </c>
      <c r="AL1193" t="s">
        <v>47</v>
      </c>
      <c r="AM1193" t="s">
        <v>47</v>
      </c>
      <c r="AN1193" t="s">
        <v>47</v>
      </c>
      <c r="AO1193" s="5" t="s">
        <v>51</v>
      </c>
      <c r="AP1193" s="4" t="s">
        <v>52</v>
      </c>
      <c r="AQ1193" s="4" t="s">
        <v>53</v>
      </c>
      <c r="AR1193" s="4" t="s">
        <v>54</v>
      </c>
      <c r="AS1193" s="5">
        <v>5341632</v>
      </c>
      <c r="AT1193" t="s">
        <v>47</v>
      </c>
    </row>
    <row r="1194" spans="1:46" ht="26" x14ac:dyDescent="0.3">
      <c r="A1194" s="4" t="s">
        <v>4663</v>
      </c>
      <c r="B1194" t="s">
        <v>47</v>
      </c>
      <c r="C1194" s="4" t="s">
        <v>4664</v>
      </c>
      <c r="D1194" s="4" t="s">
        <v>217</v>
      </c>
      <c r="E1194" s="4" t="s">
        <v>49</v>
      </c>
      <c r="F1194" s="5" t="s">
        <v>4665</v>
      </c>
      <c r="G1194" t="s">
        <v>47</v>
      </c>
      <c r="H1194" t="s">
        <v>47</v>
      </c>
      <c r="I1194" s="3">
        <v>39692</v>
      </c>
      <c r="J1194" s="5" t="s">
        <v>50</v>
      </c>
      <c r="K1194" t="s">
        <v>47</v>
      </c>
      <c r="L1194" s="5" t="s">
        <v>51</v>
      </c>
      <c r="M1194" s="3">
        <v>39692</v>
      </c>
      <c r="N1194" s="5" t="s">
        <v>50</v>
      </c>
      <c r="O1194" t="s">
        <v>47</v>
      </c>
      <c r="P1194" s="3">
        <v>39692</v>
      </c>
      <c r="Q1194" s="5" t="s">
        <v>50</v>
      </c>
      <c r="R1194" t="s">
        <v>47</v>
      </c>
      <c r="S1194" t="s">
        <v>47</v>
      </c>
      <c r="T1194" t="s">
        <v>47</v>
      </c>
      <c r="U1194" t="s">
        <v>47</v>
      </c>
      <c r="V1194" t="s">
        <v>47</v>
      </c>
      <c r="W1194" s="3">
        <v>39692</v>
      </c>
      <c r="X1194" s="5" t="s">
        <v>50</v>
      </c>
      <c r="Y1194" t="s">
        <v>47</v>
      </c>
      <c r="Z1194" s="3">
        <v>39692</v>
      </c>
      <c r="AA1194" s="5" t="s">
        <v>50</v>
      </c>
      <c r="AB1194" t="s">
        <v>47</v>
      </c>
      <c r="AC1194" s="3">
        <v>39692</v>
      </c>
      <c r="AD1194" s="5" t="s">
        <v>50</v>
      </c>
      <c r="AE1194" t="s">
        <v>47</v>
      </c>
      <c r="AF1194" t="s">
        <v>47</v>
      </c>
      <c r="AG1194" t="s">
        <v>47</v>
      </c>
      <c r="AH1194" t="s">
        <v>47</v>
      </c>
      <c r="AI1194" t="s">
        <v>47</v>
      </c>
      <c r="AJ1194" t="s">
        <v>47</v>
      </c>
      <c r="AK1194" t="s">
        <v>47</v>
      </c>
      <c r="AL1194" t="s">
        <v>47</v>
      </c>
      <c r="AM1194" t="s">
        <v>47</v>
      </c>
      <c r="AN1194" t="s">
        <v>47</v>
      </c>
      <c r="AO1194" s="5" t="s">
        <v>51</v>
      </c>
      <c r="AP1194" s="4" t="s">
        <v>1756</v>
      </c>
      <c r="AQ1194" s="4" t="s">
        <v>53</v>
      </c>
      <c r="AR1194" s="4" t="s">
        <v>483</v>
      </c>
      <c r="AS1194" s="5">
        <v>39884</v>
      </c>
      <c r="AT1194" t="s">
        <v>47</v>
      </c>
    </row>
    <row r="1195" spans="1:46" ht="78" x14ac:dyDescent="0.3">
      <c r="A1195" s="4" t="s">
        <v>4666</v>
      </c>
      <c r="B1195" t="s">
        <v>47</v>
      </c>
      <c r="C1195" s="4" t="s">
        <v>183</v>
      </c>
      <c r="D1195" s="4" t="s">
        <v>223</v>
      </c>
      <c r="E1195" s="4" t="s">
        <v>49</v>
      </c>
      <c r="F1195" s="5" t="s">
        <v>4667</v>
      </c>
      <c r="G1195" s="5" t="s">
        <v>4668</v>
      </c>
      <c r="H1195" t="s">
        <v>47</v>
      </c>
      <c r="I1195" s="3">
        <v>34973</v>
      </c>
      <c r="J1195" s="3">
        <v>42705</v>
      </c>
      <c r="K1195" t="s">
        <v>47</v>
      </c>
      <c r="L1195" s="5" t="s">
        <v>60</v>
      </c>
      <c r="M1195" s="3">
        <v>34973</v>
      </c>
      <c r="N1195" s="3">
        <v>42705</v>
      </c>
      <c r="O1195" t="s">
        <v>47</v>
      </c>
      <c r="P1195" s="3">
        <v>35309</v>
      </c>
      <c r="Q1195" s="3">
        <v>42705</v>
      </c>
      <c r="R1195" t="s">
        <v>47</v>
      </c>
      <c r="S1195" t="s">
        <v>47</v>
      </c>
      <c r="T1195" t="s">
        <v>47</v>
      </c>
      <c r="U1195" t="s">
        <v>47</v>
      </c>
      <c r="V1195" t="s">
        <v>47</v>
      </c>
      <c r="W1195" s="3">
        <v>32509</v>
      </c>
      <c r="X1195" s="5" t="s">
        <v>50</v>
      </c>
      <c r="Y1195" t="s">
        <v>47</v>
      </c>
      <c r="Z1195" s="3">
        <v>32509</v>
      </c>
      <c r="AA1195" s="5" t="s">
        <v>50</v>
      </c>
      <c r="AB1195" t="s">
        <v>47</v>
      </c>
      <c r="AC1195" s="3">
        <v>32509</v>
      </c>
      <c r="AD1195" s="5" t="s">
        <v>50</v>
      </c>
      <c r="AE1195" t="s">
        <v>47</v>
      </c>
      <c r="AF1195" t="s">
        <v>47</v>
      </c>
      <c r="AG1195" t="s">
        <v>47</v>
      </c>
      <c r="AH1195" t="s">
        <v>47</v>
      </c>
      <c r="AI1195" t="s">
        <v>47</v>
      </c>
      <c r="AJ1195" t="s">
        <v>47</v>
      </c>
      <c r="AK1195" t="s">
        <v>47</v>
      </c>
      <c r="AL1195" t="s">
        <v>47</v>
      </c>
      <c r="AM1195" t="s">
        <v>47</v>
      </c>
      <c r="AN1195" t="s">
        <v>47</v>
      </c>
      <c r="AO1195" s="5" t="s">
        <v>60</v>
      </c>
      <c r="AP1195" s="4" t="s">
        <v>61</v>
      </c>
      <c r="AQ1195" s="4" t="s">
        <v>53</v>
      </c>
      <c r="AR1195" s="4" t="s">
        <v>136</v>
      </c>
      <c r="AS1195" s="5">
        <v>25046</v>
      </c>
      <c r="AT1195" t="s">
        <v>47</v>
      </c>
    </row>
    <row r="1196" spans="1:46" ht="26" x14ac:dyDescent="0.3">
      <c r="A1196" s="4" t="s">
        <v>4669</v>
      </c>
      <c r="B1196" t="s">
        <v>47</v>
      </c>
      <c r="C1196" s="4" t="s">
        <v>509</v>
      </c>
      <c r="D1196" s="4" t="s">
        <v>223</v>
      </c>
      <c r="E1196" s="4" t="s">
        <v>49</v>
      </c>
      <c r="F1196" s="5" t="s">
        <v>4670</v>
      </c>
      <c r="G1196" t="s">
        <v>47</v>
      </c>
      <c r="H1196" t="s">
        <v>47</v>
      </c>
      <c r="I1196" t="s">
        <v>47</v>
      </c>
      <c r="J1196" t="s">
        <v>47</v>
      </c>
      <c r="K1196" t="s">
        <v>47</v>
      </c>
      <c r="L1196" s="5" t="s">
        <v>60</v>
      </c>
      <c r="M1196" t="s">
        <v>47</v>
      </c>
      <c r="N1196" t="s">
        <v>47</v>
      </c>
      <c r="O1196" t="s">
        <v>47</v>
      </c>
      <c r="P1196" t="s">
        <v>47</v>
      </c>
      <c r="Q1196" t="s">
        <v>47</v>
      </c>
      <c r="R1196" t="s">
        <v>47</v>
      </c>
      <c r="S1196" t="s">
        <v>47</v>
      </c>
      <c r="T1196" t="s">
        <v>47</v>
      </c>
      <c r="U1196" t="s">
        <v>47</v>
      </c>
      <c r="V1196" t="s">
        <v>47</v>
      </c>
      <c r="W1196" s="3">
        <v>35431</v>
      </c>
      <c r="X1196" s="3">
        <v>36526</v>
      </c>
      <c r="Y1196" t="s">
        <v>47</v>
      </c>
      <c r="Z1196" s="3">
        <v>35431</v>
      </c>
      <c r="AA1196" s="3">
        <v>36526</v>
      </c>
      <c r="AB1196" t="s">
        <v>47</v>
      </c>
      <c r="AC1196" t="s">
        <v>47</v>
      </c>
      <c r="AD1196" t="s">
        <v>47</v>
      </c>
      <c r="AE1196" t="s">
        <v>47</v>
      </c>
      <c r="AF1196" t="s">
        <v>47</v>
      </c>
      <c r="AG1196" t="s">
        <v>47</v>
      </c>
      <c r="AH1196" t="s">
        <v>47</v>
      </c>
      <c r="AI1196" t="s">
        <v>47</v>
      </c>
      <c r="AJ1196" t="s">
        <v>47</v>
      </c>
      <c r="AK1196" t="s">
        <v>47</v>
      </c>
      <c r="AL1196" t="s">
        <v>47</v>
      </c>
      <c r="AM1196" t="s">
        <v>47</v>
      </c>
      <c r="AN1196" t="s">
        <v>47</v>
      </c>
      <c r="AO1196" s="5" t="s">
        <v>51</v>
      </c>
      <c r="AP1196" s="4" t="s">
        <v>61</v>
      </c>
      <c r="AQ1196" s="4" t="s">
        <v>53</v>
      </c>
      <c r="AR1196" s="4" t="s">
        <v>839</v>
      </c>
      <c r="AS1196" s="5">
        <v>49262</v>
      </c>
      <c r="AT1196" t="s">
        <v>47</v>
      </c>
    </row>
    <row r="1197" spans="1:46" ht="78" x14ac:dyDescent="0.3">
      <c r="A1197" s="4" t="s">
        <v>4671</v>
      </c>
      <c r="B1197" t="s">
        <v>47</v>
      </c>
      <c r="C1197" s="4" t="s">
        <v>3926</v>
      </c>
      <c r="D1197" s="4" t="s">
        <v>3095</v>
      </c>
      <c r="E1197" s="4" t="s">
        <v>49</v>
      </c>
      <c r="F1197" s="5" t="s">
        <v>4672</v>
      </c>
      <c r="G1197" s="5" t="s">
        <v>4673</v>
      </c>
      <c r="H1197" t="s">
        <v>47</v>
      </c>
      <c r="I1197" s="3">
        <v>41275</v>
      </c>
      <c r="J1197" s="3">
        <v>42005</v>
      </c>
      <c r="K1197" t="s">
        <v>47</v>
      </c>
      <c r="L1197" s="5" t="s">
        <v>60</v>
      </c>
      <c r="M1197" s="3">
        <v>41275</v>
      </c>
      <c r="N1197" s="3">
        <v>42005</v>
      </c>
      <c r="O1197" t="s">
        <v>47</v>
      </c>
      <c r="P1197" s="3">
        <v>41275</v>
      </c>
      <c r="Q1197" s="3">
        <v>42005</v>
      </c>
      <c r="R1197" t="s">
        <v>47</v>
      </c>
      <c r="S1197" t="s">
        <v>47</v>
      </c>
      <c r="T1197" t="s">
        <v>47</v>
      </c>
      <c r="U1197" t="s">
        <v>47</v>
      </c>
      <c r="V1197" t="s">
        <v>47</v>
      </c>
      <c r="W1197" s="3">
        <v>41275</v>
      </c>
      <c r="X1197" s="3">
        <v>42005</v>
      </c>
      <c r="Y1197" t="s">
        <v>47</v>
      </c>
      <c r="Z1197" s="3">
        <v>41275</v>
      </c>
      <c r="AA1197" s="3">
        <v>42005</v>
      </c>
      <c r="AB1197" t="s">
        <v>47</v>
      </c>
      <c r="AC1197" s="3">
        <v>41275</v>
      </c>
      <c r="AD1197" s="3">
        <v>42005</v>
      </c>
      <c r="AE1197" t="s">
        <v>47</v>
      </c>
      <c r="AF1197" t="s">
        <v>47</v>
      </c>
      <c r="AG1197" t="s">
        <v>47</v>
      </c>
      <c r="AH1197" t="s">
        <v>47</v>
      </c>
      <c r="AI1197" t="s">
        <v>47</v>
      </c>
      <c r="AJ1197" t="s">
        <v>47</v>
      </c>
      <c r="AK1197" t="s">
        <v>47</v>
      </c>
      <c r="AL1197" t="s">
        <v>47</v>
      </c>
      <c r="AM1197" t="s">
        <v>47</v>
      </c>
      <c r="AN1197" t="s">
        <v>47</v>
      </c>
      <c r="AO1197" s="5" t="s">
        <v>60</v>
      </c>
      <c r="AP1197" s="4" t="s">
        <v>61</v>
      </c>
      <c r="AQ1197" s="4" t="s">
        <v>53</v>
      </c>
      <c r="AR1197" s="4" t="s">
        <v>4674</v>
      </c>
      <c r="AS1197" s="5">
        <v>2026720</v>
      </c>
      <c r="AT1197" t="s">
        <v>47</v>
      </c>
    </row>
    <row r="1198" spans="1:46" ht="39" x14ac:dyDescent="0.3">
      <c r="A1198" s="4" t="s">
        <v>4675</v>
      </c>
      <c r="B1198" t="s">
        <v>47</v>
      </c>
      <c r="C1198" s="4" t="s">
        <v>4676</v>
      </c>
      <c r="D1198" s="4" t="s">
        <v>4677</v>
      </c>
      <c r="E1198" s="4" t="s">
        <v>4678</v>
      </c>
      <c r="F1198" t="s">
        <v>47</v>
      </c>
      <c r="G1198" s="5" t="s">
        <v>4679</v>
      </c>
      <c r="H1198" t="s">
        <v>47</v>
      </c>
      <c r="I1198" s="3">
        <v>42186</v>
      </c>
      <c r="J1198" s="5" t="s">
        <v>50</v>
      </c>
      <c r="K1198" t="s">
        <v>47</v>
      </c>
      <c r="L1198" s="5" t="s">
        <v>60</v>
      </c>
      <c r="M1198" s="3">
        <v>43922</v>
      </c>
      <c r="N1198" s="5" t="s">
        <v>50</v>
      </c>
      <c r="O1198" t="s">
        <v>47</v>
      </c>
      <c r="P1198" s="3">
        <v>42186</v>
      </c>
      <c r="Q1198" s="5" t="s">
        <v>50</v>
      </c>
      <c r="R1198" t="s">
        <v>47</v>
      </c>
      <c r="S1198" t="s">
        <v>47</v>
      </c>
      <c r="T1198" t="s">
        <v>47</v>
      </c>
      <c r="U1198" t="s">
        <v>47</v>
      </c>
      <c r="V1198" t="s">
        <v>47</v>
      </c>
      <c r="W1198" s="3">
        <v>42186</v>
      </c>
      <c r="X1198" s="5" t="s">
        <v>50</v>
      </c>
      <c r="Y1198" t="s">
        <v>47</v>
      </c>
      <c r="Z1198" s="3">
        <v>42186</v>
      </c>
      <c r="AA1198" s="5" t="s">
        <v>50</v>
      </c>
      <c r="AB1198" t="s">
        <v>47</v>
      </c>
      <c r="AC1198" s="3">
        <v>42186</v>
      </c>
      <c r="AD1198" s="5" t="s">
        <v>50</v>
      </c>
      <c r="AE1198" s="5" t="s">
        <v>788</v>
      </c>
      <c r="AF1198" t="s">
        <v>47</v>
      </c>
      <c r="AG1198" t="s">
        <v>47</v>
      </c>
      <c r="AH1198" t="s">
        <v>47</v>
      </c>
      <c r="AI1198" t="s">
        <v>47</v>
      </c>
      <c r="AJ1198" t="s">
        <v>47</v>
      </c>
      <c r="AK1198" t="s">
        <v>47</v>
      </c>
      <c r="AL1198" t="s">
        <v>47</v>
      </c>
      <c r="AM1198" t="s">
        <v>47</v>
      </c>
      <c r="AN1198" t="s">
        <v>47</v>
      </c>
      <c r="AO1198" s="5" t="s">
        <v>60</v>
      </c>
      <c r="AP1198" s="4" t="s">
        <v>61</v>
      </c>
      <c r="AQ1198" s="4" t="s">
        <v>119</v>
      </c>
      <c r="AR1198" s="4" t="s">
        <v>147</v>
      </c>
      <c r="AS1198" s="5">
        <v>2045792</v>
      </c>
      <c r="AT1198" t="s">
        <v>47</v>
      </c>
    </row>
    <row r="1199" spans="1:46" ht="26" x14ac:dyDescent="0.3">
      <c r="A1199" s="4" t="s">
        <v>4680</v>
      </c>
      <c r="B1199" t="s">
        <v>47</v>
      </c>
      <c r="C1199" s="4" t="s">
        <v>4681</v>
      </c>
      <c r="D1199" s="4" t="s">
        <v>4496</v>
      </c>
      <c r="E1199" s="4" t="s">
        <v>49</v>
      </c>
      <c r="F1199" s="5" t="s">
        <v>4682</v>
      </c>
      <c r="G1199" t="s">
        <v>47</v>
      </c>
      <c r="H1199" t="s">
        <v>47</v>
      </c>
      <c r="I1199" s="3">
        <v>37987</v>
      </c>
      <c r="J1199" s="5" t="s">
        <v>50</v>
      </c>
      <c r="K1199" t="s">
        <v>47</v>
      </c>
      <c r="L1199" s="5" t="s">
        <v>60</v>
      </c>
      <c r="M1199" s="3">
        <v>37987</v>
      </c>
      <c r="N1199" s="5" t="s">
        <v>50</v>
      </c>
      <c r="O1199" t="s">
        <v>47</v>
      </c>
      <c r="P1199" s="3">
        <v>37987</v>
      </c>
      <c r="Q1199" s="5" t="s">
        <v>50</v>
      </c>
      <c r="R1199" t="s">
        <v>47</v>
      </c>
      <c r="S1199" t="s">
        <v>47</v>
      </c>
      <c r="T1199" t="s">
        <v>47</v>
      </c>
      <c r="U1199" t="s">
        <v>47</v>
      </c>
      <c r="V1199" t="s">
        <v>47</v>
      </c>
      <c r="W1199" s="3">
        <v>37987</v>
      </c>
      <c r="X1199" s="5" t="s">
        <v>50</v>
      </c>
      <c r="Y1199" t="s">
        <v>47</v>
      </c>
      <c r="Z1199" s="3">
        <v>37987</v>
      </c>
      <c r="AA1199" s="5" t="s">
        <v>50</v>
      </c>
      <c r="AB1199" t="s">
        <v>47</v>
      </c>
      <c r="AC1199" s="3">
        <v>37987</v>
      </c>
      <c r="AD1199" s="5" t="s">
        <v>50</v>
      </c>
      <c r="AE1199" t="s">
        <v>47</v>
      </c>
      <c r="AF1199" t="s">
        <v>47</v>
      </c>
      <c r="AG1199" t="s">
        <v>47</v>
      </c>
      <c r="AH1199" t="s">
        <v>47</v>
      </c>
      <c r="AI1199" t="s">
        <v>47</v>
      </c>
      <c r="AJ1199" t="s">
        <v>47</v>
      </c>
      <c r="AK1199" t="s">
        <v>47</v>
      </c>
      <c r="AL1199" t="s">
        <v>47</v>
      </c>
      <c r="AM1199" t="s">
        <v>47</v>
      </c>
      <c r="AN1199" t="s">
        <v>47</v>
      </c>
      <c r="AO1199" s="5" t="s">
        <v>60</v>
      </c>
      <c r="AP1199" s="4" t="s">
        <v>61</v>
      </c>
      <c r="AQ1199" s="4" t="s">
        <v>53</v>
      </c>
      <c r="AR1199" s="4" t="s">
        <v>3834</v>
      </c>
      <c r="AS1199" s="5">
        <v>46710</v>
      </c>
      <c r="AT1199" t="s">
        <v>47</v>
      </c>
    </row>
    <row r="1200" spans="1:46" ht="78" x14ac:dyDescent="0.3">
      <c r="A1200" s="4" t="s">
        <v>4683</v>
      </c>
      <c r="B1200" t="s">
        <v>47</v>
      </c>
      <c r="C1200" s="4" t="s">
        <v>4635</v>
      </c>
      <c r="D1200" s="4" t="s">
        <v>4684</v>
      </c>
      <c r="E1200" s="4" t="s">
        <v>49</v>
      </c>
      <c r="F1200" s="5" t="s">
        <v>4685</v>
      </c>
      <c r="G1200" t="s">
        <v>47</v>
      </c>
      <c r="H1200" t="s">
        <v>47</v>
      </c>
      <c r="I1200" s="3">
        <v>34714</v>
      </c>
      <c r="J1200" s="3">
        <v>39258</v>
      </c>
      <c r="K1200" t="s">
        <v>47</v>
      </c>
      <c r="L1200" s="5" t="s">
        <v>51</v>
      </c>
      <c r="M1200" s="3">
        <v>34714</v>
      </c>
      <c r="N1200" s="3">
        <v>39258</v>
      </c>
      <c r="O1200" t="s">
        <v>47</v>
      </c>
      <c r="P1200" s="3">
        <v>35414</v>
      </c>
      <c r="Q1200" s="3">
        <v>39258</v>
      </c>
      <c r="R1200" t="s">
        <v>47</v>
      </c>
      <c r="S1200" t="s">
        <v>47</v>
      </c>
      <c r="T1200" t="s">
        <v>47</v>
      </c>
      <c r="U1200" t="s">
        <v>47</v>
      </c>
      <c r="V1200" t="s">
        <v>47</v>
      </c>
      <c r="W1200" s="3">
        <v>34714</v>
      </c>
      <c r="X1200" s="3">
        <v>39258</v>
      </c>
      <c r="Y1200" t="s">
        <v>47</v>
      </c>
      <c r="Z1200" s="3">
        <v>34714</v>
      </c>
      <c r="AA1200" s="3">
        <v>39258</v>
      </c>
      <c r="AB1200" t="s">
        <v>47</v>
      </c>
      <c r="AC1200" s="3">
        <v>34714</v>
      </c>
      <c r="AD1200" s="3">
        <v>38918</v>
      </c>
      <c r="AE1200" s="5" t="s">
        <v>4686</v>
      </c>
      <c r="AF1200" t="s">
        <v>47</v>
      </c>
      <c r="AG1200" t="s">
        <v>47</v>
      </c>
      <c r="AH1200" t="s">
        <v>47</v>
      </c>
      <c r="AI1200" t="s">
        <v>47</v>
      </c>
      <c r="AJ1200" t="s">
        <v>47</v>
      </c>
      <c r="AK1200" t="s">
        <v>47</v>
      </c>
      <c r="AL1200" t="s">
        <v>47</v>
      </c>
      <c r="AM1200" t="s">
        <v>47</v>
      </c>
      <c r="AN1200" t="s">
        <v>47</v>
      </c>
      <c r="AO1200" s="5" t="s">
        <v>51</v>
      </c>
      <c r="AP1200" s="4" t="s">
        <v>85</v>
      </c>
      <c r="AQ1200" s="4" t="s">
        <v>53</v>
      </c>
      <c r="AR1200" s="4" t="s">
        <v>4687</v>
      </c>
      <c r="AS1200" s="5">
        <v>29866</v>
      </c>
      <c r="AT1200" t="s">
        <v>47</v>
      </c>
    </row>
    <row r="1201" spans="1:46" ht="52" x14ac:dyDescent="0.3">
      <c r="A1201" s="4" t="s">
        <v>4688</v>
      </c>
      <c r="B1201" t="s">
        <v>47</v>
      </c>
      <c r="C1201" s="4" t="s">
        <v>93</v>
      </c>
      <c r="D1201" s="4" t="s">
        <v>139</v>
      </c>
      <c r="E1201" s="4" t="s">
        <v>49</v>
      </c>
      <c r="F1201" s="5" t="s">
        <v>4689</v>
      </c>
      <c r="G1201" s="5" t="s">
        <v>4690</v>
      </c>
      <c r="H1201" t="s">
        <v>47</v>
      </c>
      <c r="I1201" t="s">
        <v>47</v>
      </c>
      <c r="J1201" t="s">
        <v>47</v>
      </c>
      <c r="K1201" t="s">
        <v>47</v>
      </c>
      <c r="L1201" s="5" t="s">
        <v>60</v>
      </c>
      <c r="M1201" t="s">
        <v>47</v>
      </c>
      <c r="N1201" t="s">
        <v>47</v>
      </c>
      <c r="O1201" t="s">
        <v>47</v>
      </c>
      <c r="P1201" t="s">
        <v>47</v>
      </c>
      <c r="Q1201" t="s">
        <v>47</v>
      </c>
      <c r="R1201" t="s">
        <v>47</v>
      </c>
      <c r="S1201" t="s">
        <v>47</v>
      </c>
      <c r="T1201" t="s">
        <v>47</v>
      </c>
      <c r="U1201" t="s">
        <v>47</v>
      </c>
      <c r="V1201" t="s">
        <v>47</v>
      </c>
      <c r="W1201" s="3">
        <v>41091</v>
      </c>
      <c r="X1201" s="5" t="s">
        <v>50</v>
      </c>
      <c r="Y1201" t="s">
        <v>47</v>
      </c>
      <c r="Z1201" s="3">
        <v>41091</v>
      </c>
      <c r="AA1201" s="5" t="s">
        <v>50</v>
      </c>
      <c r="AB1201" t="s">
        <v>47</v>
      </c>
      <c r="AC1201" s="3">
        <v>41091</v>
      </c>
      <c r="AD1201" s="5" t="s">
        <v>50</v>
      </c>
      <c r="AE1201" t="s">
        <v>47</v>
      </c>
      <c r="AF1201" t="s">
        <v>47</v>
      </c>
      <c r="AG1201" t="s">
        <v>47</v>
      </c>
      <c r="AH1201" t="s">
        <v>47</v>
      </c>
      <c r="AI1201" t="s">
        <v>47</v>
      </c>
      <c r="AJ1201" t="s">
        <v>47</v>
      </c>
      <c r="AK1201" t="s">
        <v>47</v>
      </c>
      <c r="AL1201" t="s">
        <v>47</v>
      </c>
      <c r="AM1201" t="s">
        <v>47</v>
      </c>
      <c r="AN1201" t="s">
        <v>47</v>
      </c>
      <c r="AO1201" s="5" t="s">
        <v>51</v>
      </c>
      <c r="AP1201" s="4" t="s">
        <v>61</v>
      </c>
      <c r="AQ1201" s="4" t="s">
        <v>53</v>
      </c>
      <c r="AR1201" s="4" t="s">
        <v>191</v>
      </c>
      <c r="AS1201" s="5">
        <v>2026817</v>
      </c>
      <c r="AT1201" t="s">
        <v>47</v>
      </c>
    </row>
    <row r="1202" spans="1:46" ht="26" x14ac:dyDescent="0.3">
      <c r="A1202" s="4" t="s">
        <v>4691</v>
      </c>
      <c r="B1202" t="s">
        <v>47</v>
      </c>
      <c r="C1202" s="4" t="s">
        <v>93</v>
      </c>
      <c r="D1202" s="4" t="s">
        <v>765</v>
      </c>
      <c r="E1202" s="4" t="s">
        <v>49</v>
      </c>
      <c r="F1202" s="5" t="s">
        <v>4692</v>
      </c>
      <c r="G1202" s="5" t="s">
        <v>4693</v>
      </c>
      <c r="H1202" t="s">
        <v>47</v>
      </c>
      <c r="I1202" t="s">
        <v>47</v>
      </c>
      <c r="J1202" t="s">
        <v>47</v>
      </c>
      <c r="K1202" t="s">
        <v>47</v>
      </c>
      <c r="L1202" s="5" t="s">
        <v>60</v>
      </c>
      <c r="M1202" t="s">
        <v>47</v>
      </c>
      <c r="N1202" t="s">
        <v>47</v>
      </c>
      <c r="O1202" t="s">
        <v>47</v>
      </c>
      <c r="P1202" t="s">
        <v>47</v>
      </c>
      <c r="Q1202" t="s">
        <v>47</v>
      </c>
      <c r="R1202" t="s">
        <v>47</v>
      </c>
      <c r="S1202" t="s">
        <v>47</v>
      </c>
      <c r="T1202" t="s">
        <v>47</v>
      </c>
      <c r="U1202" t="s">
        <v>47</v>
      </c>
      <c r="V1202" t="s">
        <v>47</v>
      </c>
      <c r="W1202" s="3">
        <v>41091</v>
      </c>
      <c r="X1202" s="5" t="s">
        <v>50</v>
      </c>
      <c r="Y1202" t="s">
        <v>47</v>
      </c>
      <c r="Z1202" s="3">
        <v>41091</v>
      </c>
      <c r="AA1202" s="5" t="s">
        <v>50</v>
      </c>
      <c r="AB1202" t="s">
        <v>47</v>
      </c>
      <c r="AC1202" s="3">
        <v>41091</v>
      </c>
      <c r="AD1202" s="5" t="s">
        <v>50</v>
      </c>
      <c r="AE1202" t="s">
        <v>47</v>
      </c>
      <c r="AF1202" t="s">
        <v>47</v>
      </c>
      <c r="AG1202" t="s">
        <v>47</v>
      </c>
      <c r="AH1202" t="s">
        <v>47</v>
      </c>
      <c r="AI1202" t="s">
        <v>47</v>
      </c>
      <c r="AJ1202" t="s">
        <v>47</v>
      </c>
      <c r="AK1202" t="s">
        <v>47</v>
      </c>
      <c r="AL1202" t="s">
        <v>47</v>
      </c>
      <c r="AM1202" t="s">
        <v>47</v>
      </c>
      <c r="AN1202" t="s">
        <v>47</v>
      </c>
      <c r="AO1202" s="5" t="s">
        <v>60</v>
      </c>
      <c r="AP1202" s="4" t="s">
        <v>61</v>
      </c>
      <c r="AQ1202" s="4" t="s">
        <v>53</v>
      </c>
      <c r="AR1202" s="4" t="s">
        <v>54</v>
      </c>
      <c r="AS1202" s="5">
        <v>2026816</v>
      </c>
      <c r="AT1202" t="s">
        <v>47</v>
      </c>
    </row>
    <row r="1203" spans="1:46" ht="39" x14ac:dyDescent="0.3">
      <c r="A1203" s="4" t="s">
        <v>4694</v>
      </c>
      <c r="B1203" t="s">
        <v>47</v>
      </c>
      <c r="C1203" s="4" t="s">
        <v>93</v>
      </c>
      <c r="D1203" s="4" t="s">
        <v>70</v>
      </c>
      <c r="E1203" s="4" t="s">
        <v>49</v>
      </c>
      <c r="F1203" s="5" t="s">
        <v>4695</v>
      </c>
      <c r="G1203" s="5" t="s">
        <v>4696</v>
      </c>
      <c r="H1203" t="s">
        <v>47</v>
      </c>
      <c r="I1203" t="s">
        <v>47</v>
      </c>
      <c r="J1203" t="s">
        <v>47</v>
      </c>
      <c r="K1203" t="s">
        <v>47</v>
      </c>
      <c r="L1203" s="5" t="s">
        <v>60</v>
      </c>
      <c r="M1203" t="s">
        <v>47</v>
      </c>
      <c r="N1203" t="s">
        <v>47</v>
      </c>
      <c r="O1203" t="s">
        <v>47</v>
      </c>
      <c r="P1203" t="s">
        <v>47</v>
      </c>
      <c r="Q1203" t="s">
        <v>47</v>
      </c>
      <c r="R1203" t="s">
        <v>47</v>
      </c>
      <c r="S1203" t="s">
        <v>47</v>
      </c>
      <c r="T1203" t="s">
        <v>47</v>
      </c>
      <c r="U1203" t="s">
        <v>47</v>
      </c>
      <c r="V1203" t="s">
        <v>47</v>
      </c>
      <c r="W1203" s="3">
        <v>40909</v>
      </c>
      <c r="X1203" s="5" t="s">
        <v>50</v>
      </c>
      <c r="Y1203" t="s">
        <v>47</v>
      </c>
      <c r="Z1203" s="3">
        <v>40909</v>
      </c>
      <c r="AA1203" s="5" t="s">
        <v>50</v>
      </c>
      <c r="AB1203" t="s">
        <v>47</v>
      </c>
      <c r="AC1203" s="3">
        <v>40909</v>
      </c>
      <c r="AD1203" s="5" t="s">
        <v>50</v>
      </c>
      <c r="AE1203" t="s">
        <v>47</v>
      </c>
      <c r="AF1203" t="s">
        <v>47</v>
      </c>
      <c r="AG1203" t="s">
        <v>47</v>
      </c>
      <c r="AH1203" t="s">
        <v>47</v>
      </c>
      <c r="AI1203" t="s">
        <v>47</v>
      </c>
      <c r="AJ1203" t="s">
        <v>47</v>
      </c>
      <c r="AK1203" t="s">
        <v>47</v>
      </c>
      <c r="AL1203" t="s">
        <v>47</v>
      </c>
      <c r="AM1203" t="s">
        <v>47</v>
      </c>
      <c r="AN1203" t="s">
        <v>47</v>
      </c>
      <c r="AO1203" s="5" t="s">
        <v>51</v>
      </c>
      <c r="AP1203" s="4" t="s">
        <v>61</v>
      </c>
      <c r="AQ1203" s="4" t="s">
        <v>53</v>
      </c>
      <c r="AR1203" s="4" t="s">
        <v>62</v>
      </c>
      <c r="AS1203" s="5">
        <v>1016412</v>
      </c>
      <c r="AT1203" t="s">
        <v>47</v>
      </c>
    </row>
    <row r="1204" spans="1:46" ht="39" x14ac:dyDescent="0.3">
      <c r="A1204" s="4" t="s">
        <v>4697</v>
      </c>
      <c r="B1204" t="s">
        <v>47</v>
      </c>
      <c r="C1204" s="4" t="s">
        <v>93</v>
      </c>
      <c r="D1204" s="4" t="s">
        <v>4698</v>
      </c>
      <c r="E1204" s="4" t="s">
        <v>49</v>
      </c>
      <c r="F1204" s="5" t="s">
        <v>4699</v>
      </c>
      <c r="G1204" s="5" t="s">
        <v>4700</v>
      </c>
      <c r="H1204" t="s">
        <v>47</v>
      </c>
      <c r="I1204" t="s">
        <v>47</v>
      </c>
      <c r="J1204" t="s">
        <v>47</v>
      </c>
      <c r="K1204" t="s">
        <v>47</v>
      </c>
      <c r="L1204" s="5" t="s">
        <v>60</v>
      </c>
      <c r="M1204" t="s">
        <v>47</v>
      </c>
      <c r="N1204" t="s">
        <v>47</v>
      </c>
      <c r="O1204" t="s">
        <v>47</v>
      </c>
      <c r="P1204" t="s">
        <v>47</v>
      </c>
      <c r="Q1204" t="s">
        <v>47</v>
      </c>
      <c r="R1204" t="s">
        <v>47</v>
      </c>
      <c r="S1204" t="s">
        <v>47</v>
      </c>
      <c r="T1204" t="s">
        <v>47</v>
      </c>
      <c r="U1204" t="s">
        <v>47</v>
      </c>
      <c r="V1204" t="s">
        <v>47</v>
      </c>
      <c r="W1204" s="3">
        <v>40909</v>
      </c>
      <c r="X1204" s="3">
        <v>44287</v>
      </c>
      <c r="Y1204" t="s">
        <v>47</v>
      </c>
      <c r="Z1204" s="3">
        <v>40909</v>
      </c>
      <c r="AA1204" s="3">
        <v>44287</v>
      </c>
      <c r="AB1204" t="s">
        <v>47</v>
      </c>
      <c r="AC1204" s="3">
        <v>40909</v>
      </c>
      <c r="AD1204" s="3">
        <v>44287</v>
      </c>
      <c r="AE1204" t="s">
        <v>47</v>
      </c>
      <c r="AF1204" t="s">
        <v>47</v>
      </c>
      <c r="AG1204" t="s">
        <v>47</v>
      </c>
      <c r="AH1204" t="s">
        <v>47</v>
      </c>
      <c r="AI1204" t="s">
        <v>47</v>
      </c>
      <c r="AJ1204" t="s">
        <v>47</v>
      </c>
      <c r="AK1204" t="s">
        <v>47</v>
      </c>
      <c r="AL1204" t="s">
        <v>47</v>
      </c>
      <c r="AM1204" t="s">
        <v>47</v>
      </c>
      <c r="AN1204" t="s">
        <v>47</v>
      </c>
      <c r="AO1204" s="5" t="s">
        <v>51</v>
      </c>
      <c r="AP1204" s="4" t="s">
        <v>61</v>
      </c>
      <c r="AQ1204" s="4" t="s">
        <v>53</v>
      </c>
      <c r="AR1204" s="4" t="s">
        <v>62</v>
      </c>
      <c r="AS1204" s="5">
        <v>1016411</v>
      </c>
      <c r="AT1204" t="s">
        <v>47</v>
      </c>
    </row>
    <row r="1205" spans="1:46" ht="26" x14ac:dyDescent="0.3">
      <c r="A1205" s="4" t="s">
        <v>4701</v>
      </c>
      <c r="B1205" t="s">
        <v>47</v>
      </c>
      <c r="C1205" s="4" t="s">
        <v>93</v>
      </c>
      <c r="D1205" s="4" t="s">
        <v>1168</v>
      </c>
      <c r="E1205" s="4" t="s">
        <v>49</v>
      </c>
      <c r="F1205" s="5" t="s">
        <v>4702</v>
      </c>
      <c r="G1205" s="5" t="s">
        <v>4703</v>
      </c>
      <c r="H1205" t="s">
        <v>47</v>
      </c>
      <c r="I1205" t="s">
        <v>47</v>
      </c>
      <c r="J1205" t="s">
        <v>47</v>
      </c>
      <c r="K1205" t="s">
        <v>47</v>
      </c>
      <c r="L1205" s="5" t="s">
        <v>60</v>
      </c>
      <c r="M1205" t="s">
        <v>47</v>
      </c>
      <c r="N1205" t="s">
        <v>47</v>
      </c>
      <c r="O1205" t="s">
        <v>47</v>
      </c>
      <c r="P1205" t="s">
        <v>47</v>
      </c>
      <c r="Q1205" t="s">
        <v>47</v>
      </c>
      <c r="R1205" t="s">
        <v>47</v>
      </c>
      <c r="S1205" t="s">
        <v>47</v>
      </c>
      <c r="T1205" t="s">
        <v>47</v>
      </c>
      <c r="U1205" t="s">
        <v>47</v>
      </c>
      <c r="V1205" t="s">
        <v>47</v>
      </c>
      <c r="W1205" s="3">
        <v>40544</v>
      </c>
      <c r="X1205" s="5" t="s">
        <v>50</v>
      </c>
      <c r="Y1205" t="s">
        <v>47</v>
      </c>
      <c r="Z1205" s="3">
        <v>40544</v>
      </c>
      <c r="AA1205" s="5" t="s">
        <v>50</v>
      </c>
      <c r="AB1205" t="s">
        <v>47</v>
      </c>
      <c r="AC1205" s="3">
        <v>40544</v>
      </c>
      <c r="AD1205" s="5" t="s">
        <v>50</v>
      </c>
      <c r="AE1205" t="s">
        <v>47</v>
      </c>
      <c r="AF1205" t="s">
        <v>47</v>
      </c>
      <c r="AG1205" t="s">
        <v>47</v>
      </c>
      <c r="AH1205" t="s">
        <v>47</v>
      </c>
      <c r="AI1205" t="s">
        <v>47</v>
      </c>
      <c r="AJ1205" t="s">
        <v>47</v>
      </c>
      <c r="AK1205" t="s">
        <v>47</v>
      </c>
      <c r="AL1205" t="s">
        <v>47</v>
      </c>
      <c r="AM1205" t="s">
        <v>47</v>
      </c>
      <c r="AN1205" t="s">
        <v>47</v>
      </c>
      <c r="AO1205" s="5" t="s">
        <v>51</v>
      </c>
      <c r="AP1205" s="4" t="s">
        <v>61</v>
      </c>
      <c r="AQ1205" s="4" t="s">
        <v>53</v>
      </c>
      <c r="AR1205" s="4" t="s">
        <v>697</v>
      </c>
      <c r="AS1205" s="5">
        <v>1016409</v>
      </c>
      <c r="AT1205" t="s">
        <v>47</v>
      </c>
    </row>
    <row r="1206" spans="1:46" ht="78" x14ac:dyDescent="0.3">
      <c r="A1206" s="4" t="s">
        <v>4704</v>
      </c>
      <c r="B1206" t="s">
        <v>47</v>
      </c>
      <c r="C1206" s="4" t="s">
        <v>93</v>
      </c>
      <c r="D1206" s="4" t="s">
        <v>765</v>
      </c>
      <c r="E1206" s="4" t="s">
        <v>49</v>
      </c>
      <c r="F1206" s="5" t="s">
        <v>4705</v>
      </c>
      <c r="G1206" s="5" t="s">
        <v>4706</v>
      </c>
      <c r="H1206" t="s">
        <v>47</v>
      </c>
      <c r="I1206" t="s">
        <v>47</v>
      </c>
      <c r="J1206" t="s">
        <v>47</v>
      </c>
      <c r="K1206" t="s">
        <v>47</v>
      </c>
      <c r="L1206" s="5" t="s">
        <v>60</v>
      </c>
      <c r="M1206" t="s">
        <v>47</v>
      </c>
      <c r="N1206" t="s">
        <v>47</v>
      </c>
      <c r="O1206" t="s">
        <v>47</v>
      </c>
      <c r="P1206" t="s">
        <v>47</v>
      </c>
      <c r="Q1206" t="s">
        <v>47</v>
      </c>
      <c r="R1206" t="s">
        <v>47</v>
      </c>
      <c r="S1206" t="s">
        <v>47</v>
      </c>
      <c r="T1206" t="s">
        <v>47</v>
      </c>
      <c r="U1206" t="s">
        <v>47</v>
      </c>
      <c r="V1206" t="s">
        <v>47</v>
      </c>
      <c r="W1206" s="3">
        <v>41091</v>
      </c>
      <c r="X1206" s="5" t="s">
        <v>50</v>
      </c>
      <c r="Y1206" t="s">
        <v>47</v>
      </c>
      <c r="Z1206" s="3">
        <v>41091</v>
      </c>
      <c r="AA1206" s="5" t="s">
        <v>50</v>
      </c>
      <c r="AB1206" t="s">
        <v>47</v>
      </c>
      <c r="AC1206" s="3">
        <v>41091</v>
      </c>
      <c r="AD1206" s="5" t="s">
        <v>50</v>
      </c>
      <c r="AE1206" t="s">
        <v>47</v>
      </c>
      <c r="AF1206" t="s">
        <v>47</v>
      </c>
      <c r="AG1206" t="s">
        <v>47</v>
      </c>
      <c r="AH1206" t="s">
        <v>47</v>
      </c>
      <c r="AI1206" t="s">
        <v>47</v>
      </c>
      <c r="AJ1206" t="s">
        <v>47</v>
      </c>
      <c r="AK1206" t="s">
        <v>47</v>
      </c>
      <c r="AL1206" t="s">
        <v>47</v>
      </c>
      <c r="AM1206" t="s">
        <v>47</v>
      </c>
      <c r="AN1206" t="s">
        <v>47</v>
      </c>
      <c r="AO1206" s="5" t="s">
        <v>51</v>
      </c>
      <c r="AP1206" s="4" t="s">
        <v>61</v>
      </c>
      <c r="AQ1206" s="4" t="s">
        <v>53</v>
      </c>
      <c r="AR1206" s="4" t="s">
        <v>136</v>
      </c>
      <c r="AS1206" s="5">
        <v>2026815</v>
      </c>
      <c r="AT1206" t="s">
        <v>47</v>
      </c>
    </row>
    <row r="1207" spans="1:46" ht="26" x14ac:dyDescent="0.3">
      <c r="A1207" s="4" t="s">
        <v>4707</v>
      </c>
      <c r="B1207" t="s">
        <v>47</v>
      </c>
      <c r="C1207" s="4" t="s">
        <v>4708</v>
      </c>
      <c r="D1207" s="4" t="s">
        <v>1420</v>
      </c>
      <c r="E1207" s="4" t="s">
        <v>49</v>
      </c>
      <c r="F1207" s="5" t="s">
        <v>4709</v>
      </c>
      <c r="G1207" t="s">
        <v>47</v>
      </c>
      <c r="H1207" t="s">
        <v>47</v>
      </c>
      <c r="I1207" s="3">
        <v>35886</v>
      </c>
      <c r="J1207" s="3">
        <v>40179</v>
      </c>
      <c r="K1207" t="s">
        <v>47</v>
      </c>
      <c r="L1207" s="5" t="s">
        <v>51</v>
      </c>
      <c r="M1207" s="3">
        <v>35886</v>
      </c>
      <c r="N1207" s="3">
        <v>40179</v>
      </c>
      <c r="O1207" t="s">
        <v>47</v>
      </c>
      <c r="P1207" s="3">
        <v>35886</v>
      </c>
      <c r="Q1207" s="3">
        <v>40179</v>
      </c>
      <c r="R1207" t="s">
        <v>47</v>
      </c>
      <c r="S1207" t="s">
        <v>47</v>
      </c>
      <c r="T1207" t="s">
        <v>47</v>
      </c>
      <c r="U1207" t="s">
        <v>47</v>
      </c>
      <c r="V1207" t="s">
        <v>47</v>
      </c>
      <c r="W1207" s="3">
        <v>35886</v>
      </c>
      <c r="X1207" s="3">
        <v>40179</v>
      </c>
      <c r="Y1207" t="s">
        <v>47</v>
      </c>
      <c r="Z1207" s="3">
        <v>35886</v>
      </c>
      <c r="AA1207" s="3">
        <v>40179</v>
      </c>
      <c r="AB1207" t="s">
        <v>47</v>
      </c>
      <c r="AC1207" s="3">
        <v>37987</v>
      </c>
      <c r="AD1207" s="3">
        <v>40179</v>
      </c>
      <c r="AE1207" t="s">
        <v>47</v>
      </c>
      <c r="AF1207" t="s">
        <v>47</v>
      </c>
      <c r="AG1207" t="s">
        <v>47</v>
      </c>
      <c r="AH1207" t="s">
        <v>47</v>
      </c>
      <c r="AI1207" t="s">
        <v>47</v>
      </c>
      <c r="AJ1207" t="s">
        <v>47</v>
      </c>
      <c r="AK1207" t="s">
        <v>47</v>
      </c>
      <c r="AL1207" t="s">
        <v>47</v>
      </c>
      <c r="AM1207" t="s">
        <v>47</v>
      </c>
      <c r="AN1207" t="s">
        <v>47</v>
      </c>
      <c r="AO1207" s="5" t="s">
        <v>51</v>
      </c>
      <c r="AP1207" s="4" t="s">
        <v>85</v>
      </c>
      <c r="AQ1207" s="4" t="s">
        <v>53</v>
      </c>
      <c r="AR1207" s="4" t="s">
        <v>54</v>
      </c>
      <c r="AS1207" s="5">
        <v>38832</v>
      </c>
      <c r="AT1207" t="s">
        <v>47</v>
      </c>
    </row>
    <row r="1208" spans="1:46" ht="26" x14ac:dyDescent="0.3">
      <c r="A1208" s="4" t="s">
        <v>4710</v>
      </c>
      <c r="B1208" t="s">
        <v>47</v>
      </c>
      <c r="C1208" s="4" t="s">
        <v>4711</v>
      </c>
      <c r="D1208" s="4" t="s">
        <v>4712</v>
      </c>
      <c r="E1208" s="4" t="s">
        <v>49</v>
      </c>
      <c r="F1208" s="5" t="s">
        <v>4713</v>
      </c>
      <c r="G1208" t="s">
        <v>47</v>
      </c>
      <c r="H1208" t="s">
        <v>47</v>
      </c>
      <c r="I1208" s="3">
        <v>36404</v>
      </c>
      <c r="J1208" s="3">
        <v>43101</v>
      </c>
      <c r="K1208" t="s">
        <v>47</v>
      </c>
      <c r="L1208" s="5" t="s">
        <v>60</v>
      </c>
      <c r="M1208" s="3">
        <v>36404</v>
      </c>
      <c r="N1208" s="3">
        <v>43101</v>
      </c>
      <c r="O1208" t="s">
        <v>47</v>
      </c>
      <c r="P1208" s="3">
        <v>36404</v>
      </c>
      <c r="Q1208" s="3">
        <v>43101</v>
      </c>
      <c r="R1208" t="s">
        <v>47</v>
      </c>
      <c r="S1208" t="s">
        <v>47</v>
      </c>
      <c r="T1208" t="s">
        <v>47</v>
      </c>
      <c r="U1208" t="s">
        <v>47</v>
      </c>
      <c r="V1208" t="s">
        <v>47</v>
      </c>
      <c r="W1208" s="3">
        <v>36404</v>
      </c>
      <c r="X1208" s="3">
        <v>43101</v>
      </c>
      <c r="Y1208" t="s">
        <v>47</v>
      </c>
      <c r="Z1208" s="3">
        <v>36404</v>
      </c>
      <c r="AA1208" s="3">
        <v>43101</v>
      </c>
      <c r="AB1208" t="s">
        <v>47</v>
      </c>
      <c r="AC1208" s="3">
        <v>37987</v>
      </c>
      <c r="AD1208" s="3">
        <v>43101</v>
      </c>
      <c r="AE1208" t="s">
        <v>47</v>
      </c>
      <c r="AF1208" t="s">
        <v>47</v>
      </c>
      <c r="AG1208" t="s">
        <v>47</v>
      </c>
      <c r="AH1208" t="s">
        <v>47</v>
      </c>
      <c r="AI1208" t="s">
        <v>47</v>
      </c>
      <c r="AJ1208" t="s">
        <v>47</v>
      </c>
      <c r="AK1208" t="s">
        <v>47</v>
      </c>
      <c r="AL1208" t="s">
        <v>47</v>
      </c>
      <c r="AM1208" t="s">
        <v>47</v>
      </c>
      <c r="AN1208" t="s">
        <v>47</v>
      </c>
      <c r="AO1208" s="5" t="s">
        <v>60</v>
      </c>
      <c r="AP1208" s="4" t="s">
        <v>61</v>
      </c>
      <c r="AQ1208" s="4" t="s">
        <v>53</v>
      </c>
      <c r="AR1208" s="4" t="s">
        <v>54</v>
      </c>
      <c r="AS1208" s="5">
        <v>34991</v>
      </c>
      <c r="AT1208" t="s">
        <v>47</v>
      </c>
    </row>
    <row r="1209" spans="1:46" ht="78" x14ac:dyDescent="0.3">
      <c r="A1209" s="4" t="s">
        <v>4714</v>
      </c>
      <c r="B1209" t="s">
        <v>47</v>
      </c>
      <c r="C1209" s="4" t="s">
        <v>4715</v>
      </c>
      <c r="D1209" s="4" t="s">
        <v>4716</v>
      </c>
      <c r="E1209" s="4" t="s">
        <v>4717</v>
      </c>
      <c r="F1209" s="5" t="s">
        <v>4718</v>
      </c>
      <c r="G1209" t="s">
        <v>47</v>
      </c>
      <c r="H1209" t="s">
        <v>47</v>
      </c>
      <c r="I1209" s="3">
        <v>40909</v>
      </c>
      <c r="J1209" s="5" t="s">
        <v>50</v>
      </c>
      <c r="K1209" t="s">
        <v>47</v>
      </c>
      <c r="L1209" s="5" t="s">
        <v>60</v>
      </c>
      <c r="M1209" t="s">
        <v>47</v>
      </c>
      <c r="N1209" t="s">
        <v>47</v>
      </c>
      <c r="O1209" t="s">
        <v>47</v>
      </c>
      <c r="P1209" s="3">
        <v>40909</v>
      </c>
      <c r="Q1209" s="5" t="s">
        <v>50</v>
      </c>
      <c r="R1209" t="s">
        <v>47</v>
      </c>
      <c r="S1209" t="s">
        <v>47</v>
      </c>
      <c r="T1209" t="s">
        <v>47</v>
      </c>
      <c r="U1209" t="s">
        <v>47</v>
      </c>
      <c r="V1209" t="s">
        <v>47</v>
      </c>
      <c r="W1209" s="3">
        <v>40909</v>
      </c>
      <c r="X1209" s="5" t="s">
        <v>50</v>
      </c>
      <c r="Y1209" t="s">
        <v>47</v>
      </c>
      <c r="Z1209" s="3">
        <v>40909</v>
      </c>
      <c r="AA1209" s="5" t="s">
        <v>50</v>
      </c>
      <c r="AB1209" t="s">
        <v>47</v>
      </c>
      <c r="AC1209" s="3">
        <v>41640</v>
      </c>
      <c r="AD1209" s="5" t="s">
        <v>50</v>
      </c>
      <c r="AE1209" t="s">
        <v>47</v>
      </c>
      <c r="AF1209" t="s">
        <v>47</v>
      </c>
      <c r="AG1209" t="s">
        <v>47</v>
      </c>
      <c r="AH1209" t="s">
        <v>47</v>
      </c>
      <c r="AI1209" t="s">
        <v>47</v>
      </c>
      <c r="AJ1209" t="s">
        <v>47</v>
      </c>
      <c r="AK1209" t="s">
        <v>47</v>
      </c>
      <c r="AL1209" t="s">
        <v>47</v>
      </c>
      <c r="AM1209" t="s">
        <v>47</v>
      </c>
      <c r="AN1209" t="s">
        <v>47</v>
      </c>
      <c r="AO1209" s="5" t="s">
        <v>60</v>
      </c>
      <c r="AP1209" s="4" t="s">
        <v>61</v>
      </c>
      <c r="AQ1209" s="4" t="s">
        <v>53</v>
      </c>
      <c r="AR1209" s="4" t="s">
        <v>577</v>
      </c>
      <c r="AS1209" s="5">
        <v>4531125</v>
      </c>
      <c r="AT1209" t="s">
        <v>47</v>
      </c>
    </row>
    <row r="1210" spans="1:46" ht="39" x14ac:dyDescent="0.3">
      <c r="A1210" s="4" t="s">
        <v>4719</v>
      </c>
      <c r="B1210" t="s">
        <v>47</v>
      </c>
      <c r="C1210" s="4" t="s">
        <v>200</v>
      </c>
      <c r="D1210" s="4" t="s">
        <v>4720</v>
      </c>
      <c r="E1210" s="4" t="s">
        <v>66</v>
      </c>
      <c r="F1210" t="s">
        <v>47</v>
      </c>
      <c r="G1210" s="5" t="s">
        <v>4721</v>
      </c>
      <c r="H1210" t="s">
        <v>47</v>
      </c>
      <c r="I1210" s="3">
        <v>38718</v>
      </c>
      <c r="J1210" s="3">
        <v>42278</v>
      </c>
      <c r="K1210" t="s">
        <v>47</v>
      </c>
      <c r="L1210" s="5" t="s">
        <v>60</v>
      </c>
      <c r="M1210" s="3">
        <v>38718</v>
      </c>
      <c r="N1210" s="3">
        <v>42278</v>
      </c>
      <c r="O1210" t="s">
        <v>47</v>
      </c>
      <c r="P1210" s="3">
        <v>38718</v>
      </c>
      <c r="Q1210" s="3">
        <v>42278</v>
      </c>
      <c r="R1210" t="s">
        <v>47</v>
      </c>
      <c r="S1210" t="s">
        <v>47</v>
      </c>
      <c r="T1210" t="s">
        <v>47</v>
      </c>
      <c r="U1210" t="s">
        <v>47</v>
      </c>
      <c r="V1210" t="s">
        <v>47</v>
      </c>
      <c r="W1210" s="3">
        <v>38718</v>
      </c>
      <c r="X1210" s="5" t="s">
        <v>50</v>
      </c>
      <c r="Y1210" t="s">
        <v>47</v>
      </c>
      <c r="Z1210" s="3">
        <v>38718</v>
      </c>
      <c r="AA1210" s="5" t="s">
        <v>50</v>
      </c>
      <c r="AB1210" t="s">
        <v>47</v>
      </c>
      <c r="AC1210" s="3">
        <v>38718</v>
      </c>
      <c r="AD1210" s="5" t="s">
        <v>50</v>
      </c>
      <c r="AE1210" t="s">
        <v>47</v>
      </c>
      <c r="AF1210" t="s">
        <v>47</v>
      </c>
      <c r="AG1210" t="s">
        <v>47</v>
      </c>
      <c r="AH1210" t="s">
        <v>47</v>
      </c>
      <c r="AI1210" t="s">
        <v>47</v>
      </c>
      <c r="AJ1210" t="s">
        <v>47</v>
      </c>
      <c r="AK1210" t="s">
        <v>47</v>
      </c>
      <c r="AL1210" t="s">
        <v>47</v>
      </c>
      <c r="AM1210" t="s">
        <v>47</v>
      </c>
      <c r="AN1210" t="s">
        <v>47</v>
      </c>
      <c r="AO1210" s="5" t="s">
        <v>60</v>
      </c>
      <c r="AP1210" s="4" t="s">
        <v>61</v>
      </c>
      <c r="AQ1210" s="4" t="s">
        <v>53</v>
      </c>
      <c r="AR1210" s="4" t="s">
        <v>186</v>
      </c>
      <c r="AS1210" s="5">
        <v>40225</v>
      </c>
      <c r="AT1210" t="s">
        <v>47</v>
      </c>
    </row>
    <row r="1211" spans="1:46" ht="52" x14ac:dyDescent="0.3">
      <c r="A1211" s="4" t="s">
        <v>4722</v>
      </c>
      <c r="B1211" t="s">
        <v>47</v>
      </c>
      <c r="C1211" s="4" t="s">
        <v>4723</v>
      </c>
      <c r="D1211" s="4" t="s">
        <v>4724</v>
      </c>
      <c r="E1211" s="4" t="s">
        <v>49</v>
      </c>
      <c r="F1211" s="5" t="s">
        <v>4725</v>
      </c>
      <c r="G1211" s="5" t="s">
        <v>4726</v>
      </c>
      <c r="H1211" t="s">
        <v>47</v>
      </c>
      <c r="I1211" s="3">
        <v>34089</v>
      </c>
      <c r="J1211" s="5" t="s">
        <v>50</v>
      </c>
      <c r="K1211" t="s">
        <v>47</v>
      </c>
      <c r="L1211" s="5" t="s">
        <v>51</v>
      </c>
      <c r="M1211" s="3">
        <v>34089</v>
      </c>
      <c r="N1211" s="5" t="s">
        <v>50</v>
      </c>
      <c r="O1211" t="s">
        <v>47</v>
      </c>
      <c r="P1211" s="3">
        <v>37073</v>
      </c>
      <c r="Q1211" s="5" t="s">
        <v>50</v>
      </c>
      <c r="R1211" t="s">
        <v>47</v>
      </c>
      <c r="S1211" t="s">
        <v>47</v>
      </c>
      <c r="T1211" t="s">
        <v>47</v>
      </c>
      <c r="U1211" t="s">
        <v>47</v>
      </c>
      <c r="V1211" t="s">
        <v>47</v>
      </c>
      <c r="W1211" s="3">
        <v>34089</v>
      </c>
      <c r="X1211" s="5" t="s">
        <v>50</v>
      </c>
      <c r="Y1211" t="s">
        <v>47</v>
      </c>
      <c r="Z1211" s="3">
        <v>34089</v>
      </c>
      <c r="AA1211" s="5" t="s">
        <v>50</v>
      </c>
      <c r="AB1211" t="s">
        <v>47</v>
      </c>
      <c r="AC1211" s="3">
        <v>34089</v>
      </c>
      <c r="AD1211" s="5" t="s">
        <v>50</v>
      </c>
      <c r="AE1211" t="s">
        <v>47</v>
      </c>
      <c r="AF1211" t="s">
        <v>47</v>
      </c>
      <c r="AG1211" t="s">
        <v>47</v>
      </c>
      <c r="AH1211" t="s">
        <v>47</v>
      </c>
      <c r="AI1211" t="s">
        <v>47</v>
      </c>
      <c r="AJ1211" t="s">
        <v>47</v>
      </c>
      <c r="AK1211" t="s">
        <v>47</v>
      </c>
      <c r="AL1211" t="s">
        <v>47</v>
      </c>
      <c r="AM1211" t="s">
        <v>47</v>
      </c>
      <c r="AN1211" t="s">
        <v>47</v>
      </c>
      <c r="AO1211" s="5" t="s">
        <v>51</v>
      </c>
      <c r="AP1211" s="4" t="s">
        <v>135</v>
      </c>
      <c r="AQ1211" s="4" t="s">
        <v>53</v>
      </c>
      <c r="AR1211" s="4" t="s">
        <v>4727</v>
      </c>
      <c r="AS1211" s="5">
        <v>51102</v>
      </c>
      <c r="AT1211" t="s">
        <v>47</v>
      </c>
    </row>
    <row r="1212" spans="1:46" ht="78" x14ac:dyDescent="0.3">
      <c r="A1212" s="4" t="s">
        <v>4728</v>
      </c>
      <c r="B1212" t="s">
        <v>47</v>
      </c>
      <c r="C1212" s="4" t="s">
        <v>183</v>
      </c>
      <c r="D1212" s="4" t="s">
        <v>333</v>
      </c>
      <c r="E1212" s="4" t="s">
        <v>49</v>
      </c>
      <c r="F1212" s="5" t="s">
        <v>4729</v>
      </c>
      <c r="G1212" t="s">
        <v>47</v>
      </c>
      <c r="H1212" t="s">
        <v>47</v>
      </c>
      <c r="I1212" t="s">
        <v>47</v>
      </c>
      <c r="J1212" t="s">
        <v>47</v>
      </c>
      <c r="K1212" t="s">
        <v>47</v>
      </c>
      <c r="L1212" s="5" t="s">
        <v>60</v>
      </c>
      <c r="M1212" t="s">
        <v>47</v>
      </c>
      <c r="N1212" t="s">
        <v>47</v>
      </c>
      <c r="O1212" t="s">
        <v>47</v>
      </c>
      <c r="P1212" t="s">
        <v>47</v>
      </c>
      <c r="Q1212" t="s">
        <v>47</v>
      </c>
      <c r="R1212" t="s">
        <v>47</v>
      </c>
      <c r="S1212" t="s">
        <v>47</v>
      </c>
      <c r="T1212" t="s">
        <v>47</v>
      </c>
      <c r="U1212" t="s">
        <v>47</v>
      </c>
      <c r="V1212" t="s">
        <v>47</v>
      </c>
      <c r="W1212" s="3">
        <v>35065</v>
      </c>
      <c r="X1212" s="3">
        <v>35156</v>
      </c>
      <c r="Y1212" t="s">
        <v>47</v>
      </c>
      <c r="Z1212" s="3">
        <v>35065</v>
      </c>
      <c r="AA1212" s="3">
        <v>35156</v>
      </c>
      <c r="AB1212" t="s">
        <v>47</v>
      </c>
      <c r="AC1212" s="3">
        <v>35065</v>
      </c>
      <c r="AD1212" s="3">
        <v>35065</v>
      </c>
      <c r="AE1212" t="s">
        <v>47</v>
      </c>
      <c r="AF1212" t="s">
        <v>47</v>
      </c>
      <c r="AG1212" t="s">
        <v>47</v>
      </c>
      <c r="AH1212" t="s">
        <v>47</v>
      </c>
      <c r="AI1212" t="s">
        <v>47</v>
      </c>
      <c r="AJ1212" t="s">
        <v>47</v>
      </c>
      <c r="AK1212" t="s">
        <v>47</v>
      </c>
      <c r="AL1212" t="s">
        <v>47</v>
      </c>
      <c r="AM1212" t="s">
        <v>47</v>
      </c>
      <c r="AN1212" t="s">
        <v>47</v>
      </c>
      <c r="AO1212" s="5" t="s">
        <v>51</v>
      </c>
      <c r="AP1212" s="4" t="s">
        <v>61</v>
      </c>
      <c r="AQ1212" s="4" t="s">
        <v>53</v>
      </c>
      <c r="AR1212" s="4" t="s">
        <v>136</v>
      </c>
      <c r="AS1212" s="5">
        <v>12198</v>
      </c>
      <c r="AT1212" t="s">
        <v>47</v>
      </c>
    </row>
    <row r="1213" spans="1:46" ht="39" x14ac:dyDescent="0.3">
      <c r="A1213" s="4" t="s">
        <v>4730</v>
      </c>
      <c r="B1213" t="s">
        <v>47</v>
      </c>
      <c r="C1213" s="4" t="s">
        <v>4731</v>
      </c>
      <c r="D1213" s="4" t="s">
        <v>4732</v>
      </c>
      <c r="E1213" s="4" t="s">
        <v>49</v>
      </c>
      <c r="F1213" s="5" t="s">
        <v>4733</v>
      </c>
      <c r="G1213" s="5" t="s">
        <v>4734</v>
      </c>
      <c r="H1213" t="s">
        <v>47</v>
      </c>
      <c r="I1213" s="3">
        <v>41275</v>
      </c>
      <c r="J1213" s="5" t="s">
        <v>50</v>
      </c>
      <c r="K1213" t="s">
        <v>47</v>
      </c>
      <c r="L1213" s="5" t="s">
        <v>60</v>
      </c>
      <c r="M1213" s="3">
        <v>41275</v>
      </c>
      <c r="N1213" s="5" t="s">
        <v>50</v>
      </c>
      <c r="O1213" t="s">
        <v>47</v>
      </c>
      <c r="P1213" s="3">
        <v>41275</v>
      </c>
      <c r="Q1213" s="5" t="s">
        <v>50</v>
      </c>
      <c r="R1213" t="s">
        <v>47</v>
      </c>
      <c r="S1213" t="s">
        <v>47</v>
      </c>
      <c r="T1213" t="s">
        <v>47</v>
      </c>
      <c r="U1213" t="s">
        <v>47</v>
      </c>
      <c r="V1213" t="s">
        <v>47</v>
      </c>
      <c r="W1213" s="3">
        <v>41275</v>
      </c>
      <c r="X1213" s="5" t="s">
        <v>50</v>
      </c>
      <c r="Y1213" t="s">
        <v>47</v>
      </c>
      <c r="Z1213" s="3">
        <v>41275</v>
      </c>
      <c r="AA1213" s="5" t="s">
        <v>50</v>
      </c>
      <c r="AB1213" t="s">
        <v>47</v>
      </c>
      <c r="AC1213" s="3">
        <v>41275</v>
      </c>
      <c r="AD1213" s="5" t="s">
        <v>50</v>
      </c>
      <c r="AE1213" t="s">
        <v>47</v>
      </c>
      <c r="AF1213" t="s">
        <v>47</v>
      </c>
      <c r="AG1213" t="s">
        <v>47</v>
      </c>
      <c r="AH1213" t="s">
        <v>47</v>
      </c>
      <c r="AI1213" t="s">
        <v>47</v>
      </c>
      <c r="AJ1213" t="s">
        <v>47</v>
      </c>
      <c r="AK1213" t="s">
        <v>47</v>
      </c>
      <c r="AL1213" t="s">
        <v>47</v>
      </c>
      <c r="AM1213" t="s">
        <v>47</v>
      </c>
      <c r="AN1213" t="s">
        <v>47</v>
      </c>
      <c r="AO1213" s="5" t="s">
        <v>60</v>
      </c>
      <c r="AP1213" s="4" t="s">
        <v>61</v>
      </c>
      <c r="AQ1213" s="4" t="s">
        <v>53</v>
      </c>
      <c r="AR1213" s="4" t="s">
        <v>54</v>
      </c>
      <c r="AS1213" s="5">
        <v>2032473</v>
      </c>
      <c r="AT1213" t="s">
        <v>47</v>
      </c>
    </row>
    <row r="1214" spans="1:46" ht="52" x14ac:dyDescent="0.3">
      <c r="A1214" s="4" t="s">
        <v>4735</v>
      </c>
      <c r="B1214" t="s">
        <v>47</v>
      </c>
      <c r="C1214" s="4" t="s">
        <v>1036</v>
      </c>
      <c r="D1214" s="4" t="s">
        <v>70</v>
      </c>
      <c r="E1214" s="4" t="s">
        <v>49</v>
      </c>
      <c r="F1214" s="5" t="s">
        <v>4736</v>
      </c>
      <c r="G1214" t="s">
        <v>47</v>
      </c>
      <c r="H1214" t="s">
        <v>47</v>
      </c>
      <c r="I1214" t="s">
        <v>47</v>
      </c>
      <c r="J1214" t="s">
        <v>47</v>
      </c>
      <c r="K1214" t="s">
        <v>47</v>
      </c>
      <c r="L1214" s="5" t="s">
        <v>51</v>
      </c>
      <c r="M1214" t="s">
        <v>47</v>
      </c>
      <c r="N1214" t="s">
        <v>47</v>
      </c>
      <c r="O1214" t="s">
        <v>47</v>
      </c>
      <c r="P1214" t="s">
        <v>47</v>
      </c>
      <c r="Q1214" t="s">
        <v>47</v>
      </c>
      <c r="R1214" t="s">
        <v>47</v>
      </c>
      <c r="S1214" t="s">
        <v>47</v>
      </c>
      <c r="T1214" t="s">
        <v>47</v>
      </c>
      <c r="U1214" t="s">
        <v>47</v>
      </c>
      <c r="V1214" t="s">
        <v>47</v>
      </c>
      <c r="W1214" s="3">
        <v>31422</v>
      </c>
      <c r="X1214" s="3">
        <v>42135</v>
      </c>
      <c r="Y1214" t="s">
        <v>47</v>
      </c>
      <c r="Z1214" s="3">
        <v>31422</v>
      </c>
      <c r="AA1214" s="3">
        <v>42135</v>
      </c>
      <c r="AB1214" t="s">
        <v>47</v>
      </c>
      <c r="AC1214" s="3">
        <v>31422</v>
      </c>
      <c r="AD1214" s="3">
        <v>42135</v>
      </c>
      <c r="AE1214" t="s">
        <v>47</v>
      </c>
      <c r="AF1214" t="s">
        <v>47</v>
      </c>
      <c r="AG1214" t="s">
        <v>47</v>
      </c>
      <c r="AH1214" t="s">
        <v>47</v>
      </c>
      <c r="AI1214" t="s">
        <v>47</v>
      </c>
      <c r="AJ1214" t="s">
        <v>47</v>
      </c>
      <c r="AK1214" t="s">
        <v>47</v>
      </c>
      <c r="AL1214" t="s">
        <v>47</v>
      </c>
      <c r="AM1214" t="s">
        <v>47</v>
      </c>
      <c r="AN1214" t="s">
        <v>47</v>
      </c>
      <c r="AO1214" s="5" t="s">
        <v>51</v>
      </c>
      <c r="AP1214" s="4" t="s">
        <v>135</v>
      </c>
      <c r="AQ1214" s="4" t="s">
        <v>53</v>
      </c>
      <c r="AR1214" s="4" t="s">
        <v>4288</v>
      </c>
      <c r="AS1214" s="5">
        <v>41633</v>
      </c>
      <c r="AT1214" t="s">
        <v>47</v>
      </c>
    </row>
    <row r="1215" spans="1:46" ht="26" x14ac:dyDescent="0.3">
      <c r="A1215" s="4" t="s">
        <v>4737</v>
      </c>
      <c r="B1215" t="s">
        <v>47</v>
      </c>
      <c r="C1215" s="4" t="s">
        <v>4738</v>
      </c>
      <c r="D1215" s="4" t="s">
        <v>575</v>
      </c>
      <c r="E1215" s="4" t="s">
        <v>2057</v>
      </c>
      <c r="F1215" s="5" t="s">
        <v>4739</v>
      </c>
      <c r="G1215" s="5" t="s">
        <v>4740</v>
      </c>
      <c r="H1215" t="s">
        <v>47</v>
      </c>
      <c r="I1215" s="3">
        <v>39630</v>
      </c>
      <c r="J1215" s="3">
        <v>42917</v>
      </c>
      <c r="K1215" t="s">
        <v>47</v>
      </c>
      <c r="L1215" s="5" t="s">
        <v>60</v>
      </c>
      <c r="M1215" s="3">
        <v>39630</v>
      </c>
      <c r="N1215" s="3">
        <v>42917</v>
      </c>
      <c r="O1215" t="s">
        <v>47</v>
      </c>
      <c r="P1215" s="3">
        <v>39630</v>
      </c>
      <c r="Q1215" s="3">
        <v>42917</v>
      </c>
      <c r="R1215" t="s">
        <v>47</v>
      </c>
      <c r="S1215" t="s">
        <v>47</v>
      </c>
      <c r="T1215" t="s">
        <v>47</v>
      </c>
      <c r="U1215" t="s">
        <v>47</v>
      </c>
      <c r="V1215" t="s">
        <v>47</v>
      </c>
      <c r="W1215" s="3">
        <v>39630</v>
      </c>
      <c r="X1215" s="3">
        <v>42917</v>
      </c>
      <c r="Y1215" t="s">
        <v>47</v>
      </c>
      <c r="Z1215" s="3">
        <v>39630</v>
      </c>
      <c r="AA1215" s="3">
        <v>42917</v>
      </c>
      <c r="AB1215" t="s">
        <v>47</v>
      </c>
      <c r="AC1215" s="3">
        <v>39630</v>
      </c>
      <c r="AD1215" s="3">
        <v>42917</v>
      </c>
      <c r="AE1215" t="s">
        <v>47</v>
      </c>
      <c r="AF1215" t="s">
        <v>47</v>
      </c>
      <c r="AG1215" t="s">
        <v>47</v>
      </c>
      <c r="AH1215" t="s">
        <v>47</v>
      </c>
      <c r="AI1215" t="s">
        <v>47</v>
      </c>
      <c r="AJ1215" t="s">
        <v>47</v>
      </c>
      <c r="AK1215" t="s">
        <v>47</v>
      </c>
      <c r="AL1215" t="s">
        <v>47</v>
      </c>
      <c r="AM1215" t="s">
        <v>47</v>
      </c>
      <c r="AN1215" t="s">
        <v>47</v>
      </c>
      <c r="AO1215" s="5" t="s">
        <v>60</v>
      </c>
      <c r="AP1215" s="4" t="s">
        <v>61</v>
      </c>
      <c r="AQ1215" s="4" t="s">
        <v>4741</v>
      </c>
      <c r="AR1215" s="4" t="s">
        <v>54</v>
      </c>
      <c r="AS1215" s="5">
        <v>60365</v>
      </c>
      <c r="AT1215" t="s">
        <v>47</v>
      </c>
    </row>
    <row r="1216" spans="1:46" ht="143" x14ac:dyDescent="0.3">
      <c r="A1216" s="4" t="s">
        <v>4742</v>
      </c>
      <c r="B1216" t="s">
        <v>47</v>
      </c>
      <c r="C1216" s="4" t="s">
        <v>4743</v>
      </c>
      <c r="D1216" s="4" t="s">
        <v>4744</v>
      </c>
      <c r="E1216" s="4" t="s">
        <v>2057</v>
      </c>
      <c r="F1216" s="5" t="s">
        <v>4745</v>
      </c>
      <c r="G1216" s="5" t="s">
        <v>4746</v>
      </c>
      <c r="H1216" t="s">
        <v>47</v>
      </c>
      <c r="I1216" s="3">
        <v>35796</v>
      </c>
      <c r="J1216" s="3">
        <v>43435</v>
      </c>
      <c r="K1216" t="s">
        <v>47</v>
      </c>
      <c r="L1216" s="5" t="s">
        <v>60</v>
      </c>
      <c r="M1216" s="3">
        <v>35796</v>
      </c>
      <c r="N1216" s="3">
        <v>43435</v>
      </c>
      <c r="O1216" t="s">
        <v>47</v>
      </c>
      <c r="P1216" s="3">
        <v>35796</v>
      </c>
      <c r="Q1216" s="3">
        <v>43435</v>
      </c>
      <c r="R1216" t="s">
        <v>47</v>
      </c>
      <c r="S1216" t="s">
        <v>47</v>
      </c>
      <c r="T1216" t="s">
        <v>47</v>
      </c>
      <c r="U1216" t="s">
        <v>47</v>
      </c>
      <c r="V1216" t="s">
        <v>47</v>
      </c>
      <c r="W1216" s="3">
        <v>35796</v>
      </c>
      <c r="X1216" s="3">
        <v>43435</v>
      </c>
      <c r="Y1216" t="s">
        <v>47</v>
      </c>
      <c r="Z1216" s="3">
        <v>35796</v>
      </c>
      <c r="AA1216" s="3">
        <v>43435</v>
      </c>
      <c r="AB1216" t="s">
        <v>47</v>
      </c>
      <c r="AC1216" s="3">
        <v>38200</v>
      </c>
      <c r="AD1216" s="3">
        <v>43435</v>
      </c>
      <c r="AE1216" t="s">
        <v>47</v>
      </c>
      <c r="AF1216" t="s">
        <v>47</v>
      </c>
      <c r="AG1216" t="s">
        <v>47</v>
      </c>
      <c r="AH1216" t="s">
        <v>47</v>
      </c>
      <c r="AI1216" t="s">
        <v>47</v>
      </c>
      <c r="AJ1216" t="s">
        <v>47</v>
      </c>
      <c r="AK1216" t="s">
        <v>47</v>
      </c>
      <c r="AL1216" t="s">
        <v>47</v>
      </c>
      <c r="AM1216" t="s">
        <v>47</v>
      </c>
      <c r="AN1216" t="s">
        <v>47</v>
      </c>
      <c r="AO1216" s="5" t="s">
        <v>60</v>
      </c>
      <c r="AP1216" s="4" t="s">
        <v>61</v>
      </c>
      <c r="AQ1216" s="4" t="s">
        <v>53</v>
      </c>
      <c r="AR1216" s="4" t="s">
        <v>4008</v>
      </c>
      <c r="AS1216" s="5">
        <v>39859</v>
      </c>
      <c r="AT1216" t="s">
        <v>47</v>
      </c>
    </row>
    <row r="1217" spans="1:46" ht="39" x14ac:dyDescent="0.3">
      <c r="A1217" s="4" t="s">
        <v>4747</v>
      </c>
      <c r="B1217" t="s">
        <v>47</v>
      </c>
      <c r="C1217" s="4" t="s">
        <v>4748</v>
      </c>
      <c r="D1217" s="4" t="s">
        <v>180</v>
      </c>
      <c r="E1217" s="4" t="s">
        <v>49</v>
      </c>
      <c r="F1217" s="5" t="s">
        <v>4749</v>
      </c>
      <c r="G1217" t="s">
        <v>47</v>
      </c>
      <c r="H1217" t="s">
        <v>47</v>
      </c>
      <c r="I1217" t="s">
        <v>47</v>
      </c>
      <c r="J1217" t="s">
        <v>47</v>
      </c>
      <c r="K1217" t="s">
        <v>47</v>
      </c>
      <c r="L1217" s="5" t="s">
        <v>51</v>
      </c>
      <c r="M1217" t="s">
        <v>47</v>
      </c>
      <c r="N1217" t="s">
        <v>47</v>
      </c>
      <c r="O1217" t="s">
        <v>47</v>
      </c>
      <c r="P1217" t="s">
        <v>47</v>
      </c>
      <c r="Q1217" t="s">
        <v>47</v>
      </c>
      <c r="R1217" t="s">
        <v>47</v>
      </c>
      <c r="S1217" t="s">
        <v>47</v>
      </c>
      <c r="T1217" t="s">
        <v>47</v>
      </c>
      <c r="U1217" t="s">
        <v>47</v>
      </c>
      <c r="V1217" t="s">
        <v>47</v>
      </c>
      <c r="W1217" s="3">
        <v>33744</v>
      </c>
      <c r="X1217" s="5" t="s">
        <v>50</v>
      </c>
      <c r="Y1217" t="s">
        <v>47</v>
      </c>
      <c r="Z1217" s="3">
        <v>33744</v>
      </c>
      <c r="AA1217" s="5" t="s">
        <v>50</v>
      </c>
      <c r="AB1217" t="s">
        <v>47</v>
      </c>
      <c r="AC1217" s="3">
        <v>33744</v>
      </c>
      <c r="AD1217" s="5" t="s">
        <v>50</v>
      </c>
      <c r="AE1217" t="s">
        <v>47</v>
      </c>
      <c r="AF1217" t="s">
        <v>47</v>
      </c>
      <c r="AG1217" t="s">
        <v>47</v>
      </c>
      <c r="AH1217" t="s">
        <v>47</v>
      </c>
      <c r="AI1217" t="s">
        <v>47</v>
      </c>
      <c r="AJ1217" t="s">
        <v>47</v>
      </c>
      <c r="AK1217" t="s">
        <v>47</v>
      </c>
      <c r="AL1217" t="s">
        <v>47</v>
      </c>
      <c r="AM1217" t="s">
        <v>47</v>
      </c>
      <c r="AN1217" t="s">
        <v>47</v>
      </c>
      <c r="AO1217" s="5" t="s">
        <v>51</v>
      </c>
      <c r="AP1217" s="4" t="s">
        <v>135</v>
      </c>
      <c r="AQ1217" s="4" t="s">
        <v>53</v>
      </c>
      <c r="AR1217" s="4" t="s">
        <v>186</v>
      </c>
      <c r="AS1217" s="5">
        <v>30441</v>
      </c>
      <c r="AT1217" t="s">
        <v>47</v>
      </c>
    </row>
    <row r="1218" spans="1:46" ht="52" x14ac:dyDescent="0.3">
      <c r="A1218" s="4" t="s">
        <v>4750</v>
      </c>
      <c r="B1218" t="s">
        <v>47</v>
      </c>
      <c r="C1218" s="4" t="s">
        <v>1095</v>
      </c>
      <c r="D1218" s="4" t="s">
        <v>3289</v>
      </c>
      <c r="E1218" s="4" t="s">
        <v>66</v>
      </c>
      <c r="F1218" s="5" t="s">
        <v>4751</v>
      </c>
      <c r="G1218" s="5" t="s">
        <v>4752</v>
      </c>
      <c r="H1218" t="s">
        <v>47</v>
      </c>
      <c r="I1218" t="s">
        <v>47</v>
      </c>
      <c r="J1218" t="s">
        <v>47</v>
      </c>
      <c r="K1218" t="s">
        <v>47</v>
      </c>
      <c r="L1218" s="5" t="s">
        <v>60</v>
      </c>
      <c r="M1218" t="s">
        <v>47</v>
      </c>
      <c r="N1218" t="s">
        <v>47</v>
      </c>
      <c r="O1218" t="s">
        <v>47</v>
      </c>
      <c r="P1218" t="s">
        <v>47</v>
      </c>
      <c r="Q1218" t="s">
        <v>47</v>
      </c>
      <c r="R1218" t="s">
        <v>47</v>
      </c>
      <c r="S1218" t="s">
        <v>47</v>
      </c>
      <c r="T1218" t="s">
        <v>47</v>
      </c>
      <c r="U1218" t="s">
        <v>47</v>
      </c>
      <c r="V1218" t="s">
        <v>47</v>
      </c>
      <c r="W1218" s="3">
        <v>39083</v>
      </c>
      <c r="X1218" s="3">
        <v>44774</v>
      </c>
      <c r="Y1218" t="s">
        <v>47</v>
      </c>
      <c r="Z1218" s="3">
        <v>39083</v>
      </c>
      <c r="AA1218" s="3">
        <v>44774</v>
      </c>
      <c r="AB1218" t="s">
        <v>47</v>
      </c>
      <c r="AC1218" s="3">
        <v>39083</v>
      </c>
      <c r="AD1218" s="3">
        <v>44774</v>
      </c>
      <c r="AE1218" t="s">
        <v>47</v>
      </c>
      <c r="AF1218" t="s">
        <v>47</v>
      </c>
      <c r="AG1218" t="s">
        <v>47</v>
      </c>
      <c r="AH1218" t="s">
        <v>47</v>
      </c>
      <c r="AI1218" t="s">
        <v>47</v>
      </c>
      <c r="AJ1218" t="s">
        <v>47</v>
      </c>
      <c r="AK1218" t="s">
        <v>47</v>
      </c>
      <c r="AL1218" t="s">
        <v>47</v>
      </c>
      <c r="AM1218" t="s">
        <v>47</v>
      </c>
      <c r="AN1218" t="s">
        <v>47</v>
      </c>
      <c r="AO1218" s="5" t="s">
        <v>60</v>
      </c>
      <c r="AP1218" s="4" t="s">
        <v>61</v>
      </c>
      <c r="AQ1218" s="4" t="s">
        <v>53</v>
      </c>
      <c r="AR1218" s="4" t="s">
        <v>573</v>
      </c>
      <c r="AS1218" s="5">
        <v>38005</v>
      </c>
      <c r="AT1218" t="s">
        <v>47</v>
      </c>
    </row>
    <row r="1219" spans="1:46" ht="65" x14ac:dyDescent="0.3">
      <c r="A1219" s="4" t="s">
        <v>4753</v>
      </c>
      <c r="B1219" t="s">
        <v>47</v>
      </c>
      <c r="C1219" s="4" t="s">
        <v>3749</v>
      </c>
      <c r="D1219" s="4" t="s">
        <v>4754</v>
      </c>
      <c r="E1219" s="4" t="s">
        <v>66</v>
      </c>
      <c r="F1219" s="5" t="s">
        <v>4755</v>
      </c>
      <c r="G1219" s="5" t="s">
        <v>4756</v>
      </c>
      <c r="H1219" t="s">
        <v>47</v>
      </c>
      <c r="I1219" s="3">
        <v>37681</v>
      </c>
      <c r="J1219" s="5" t="s">
        <v>50</v>
      </c>
      <c r="K1219" t="s">
        <v>47</v>
      </c>
      <c r="L1219" s="5" t="s">
        <v>60</v>
      </c>
      <c r="M1219" s="3">
        <v>37681</v>
      </c>
      <c r="N1219" s="5" t="s">
        <v>50</v>
      </c>
      <c r="O1219" t="s">
        <v>47</v>
      </c>
      <c r="P1219" s="3">
        <v>37681</v>
      </c>
      <c r="Q1219" s="5" t="s">
        <v>50</v>
      </c>
      <c r="R1219" t="s">
        <v>47</v>
      </c>
      <c r="S1219" t="s">
        <v>47</v>
      </c>
      <c r="T1219" t="s">
        <v>47</v>
      </c>
      <c r="U1219" t="s">
        <v>47</v>
      </c>
      <c r="V1219" s="5">
        <v>60</v>
      </c>
      <c r="W1219" s="3">
        <v>37681</v>
      </c>
      <c r="X1219" s="5" t="s">
        <v>50</v>
      </c>
      <c r="Y1219" t="s">
        <v>47</v>
      </c>
      <c r="Z1219" s="3">
        <v>37681</v>
      </c>
      <c r="AA1219" s="5" t="s">
        <v>50</v>
      </c>
      <c r="AB1219" t="s">
        <v>47</v>
      </c>
      <c r="AC1219" s="3">
        <v>37681</v>
      </c>
      <c r="AD1219" s="5" t="s">
        <v>50</v>
      </c>
      <c r="AE1219" t="s">
        <v>47</v>
      </c>
      <c r="AF1219" t="s">
        <v>47</v>
      </c>
      <c r="AG1219" t="s">
        <v>47</v>
      </c>
      <c r="AH1219" t="s">
        <v>47</v>
      </c>
      <c r="AI1219" t="s">
        <v>47</v>
      </c>
      <c r="AJ1219" t="s">
        <v>47</v>
      </c>
      <c r="AK1219" t="s">
        <v>47</v>
      </c>
      <c r="AL1219" t="s">
        <v>47</v>
      </c>
      <c r="AM1219" t="s">
        <v>47</v>
      </c>
      <c r="AN1219" t="s">
        <v>47</v>
      </c>
      <c r="AO1219" s="5" t="s">
        <v>60</v>
      </c>
      <c r="AP1219" s="4" t="s">
        <v>61</v>
      </c>
      <c r="AQ1219" s="4" t="s">
        <v>53</v>
      </c>
      <c r="AR1219" s="4" t="s">
        <v>2929</v>
      </c>
      <c r="AS1219" s="5">
        <v>1226339</v>
      </c>
      <c r="AT1219" t="s">
        <v>47</v>
      </c>
    </row>
    <row r="1220" spans="1:46" ht="52" x14ac:dyDescent="0.3">
      <c r="A1220" s="4" t="s">
        <v>4757</v>
      </c>
      <c r="B1220" t="s">
        <v>47</v>
      </c>
      <c r="C1220" s="4" t="s">
        <v>4758</v>
      </c>
      <c r="D1220" s="4" t="s">
        <v>70</v>
      </c>
      <c r="E1220" s="4" t="s">
        <v>49</v>
      </c>
      <c r="F1220" s="5" t="s">
        <v>4759</v>
      </c>
      <c r="G1220" s="5" t="s">
        <v>4760</v>
      </c>
      <c r="H1220" t="s">
        <v>47</v>
      </c>
      <c r="I1220" s="3">
        <v>36892</v>
      </c>
      <c r="J1220" s="3">
        <v>43405</v>
      </c>
      <c r="K1220" t="s">
        <v>47</v>
      </c>
      <c r="L1220" s="5" t="s">
        <v>60</v>
      </c>
      <c r="M1220" s="3">
        <v>36892</v>
      </c>
      <c r="N1220" s="3">
        <v>43405</v>
      </c>
      <c r="O1220" t="s">
        <v>47</v>
      </c>
      <c r="P1220" s="3">
        <v>36892</v>
      </c>
      <c r="Q1220" s="3">
        <v>43405</v>
      </c>
      <c r="R1220" t="s">
        <v>47</v>
      </c>
      <c r="S1220" t="s">
        <v>47</v>
      </c>
      <c r="T1220" t="s">
        <v>47</v>
      </c>
      <c r="U1220" t="s">
        <v>47</v>
      </c>
      <c r="V1220" t="s">
        <v>47</v>
      </c>
      <c r="W1220" s="3">
        <v>36892</v>
      </c>
      <c r="X1220" s="3">
        <v>45231</v>
      </c>
      <c r="Y1220" t="s">
        <v>47</v>
      </c>
      <c r="Z1220" s="3">
        <v>36892</v>
      </c>
      <c r="AA1220" s="3">
        <v>45231</v>
      </c>
      <c r="AB1220" t="s">
        <v>47</v>
      </c>
      <c r="AC1220" s="3">
        <v>36892</v>
      </c>
      <c r="AD1220" s="3">
        <v>38899</v>
      </c>
      <c r="AE1220" t="s">
        <v>47</v>
      </c>
      <c r="AF1220" t="s">
        <v>47</v>
      </c>
      <c r="AG1220" t="s">
        <v>47</v>
      </c>
      <c r="AH1220" t="s">
        <v>47</v>
      </c>
      <c r="AI1220" t="s">
        <v>47</v>
      </c>
      <c r="AJ1220" t="s">
        <v>47</v>
      </c>
      <c r="AK1220" t="s">
        <v>47</v>
      </c>
      <c r="AL1220" t="s">
        <v>47</v>
      </c>
      <c r="AM1220" t="s">
        <v>47</v>
      </c>
      <c r="AN1220" t="s">
        <v>47</v>
      </c>
      <c r="AO1220" s="5" t="s">
        <v>60</v>
      </c>
      <c r="AP1220" s="4" t="s">
        <v>61</v>
      </c>
      <c r="AQ1220" s="4" t="s">
        <v>53</v>
      </c>
      <c r="AR1220" s="4" t="s">
        <v>573</v>
      </c>
      <c r="AS1220" s="5">
        <v>25605</v>
      </c>
      <c r="AT1220" t="s">
        <v>47</v>
      </c>
    </row>
    <row r="1221" spans="1:46" ht="195" x14ac:dyDescent="0.3">
      <c r="A1221" s="4" t="s">
        <v>4761</v>
      </c>
      <c r="B1221" t="s">
        <v>47</v>
      </c>
      <c r="C1221" s="4" t="s">
        <v>193</v>
      </c>
      <c r="D1221" s="4" t="s">
        <v>194</v>
      </c>
      <c r="E1221" s="4" t="s">
        <v>195</v>
      </c>
      <c r="F1221" t="s">
        <v>47</v>
      </c>
      <c r="G1221" s="5" t="s">
        <v>4762</v>
      </c>
      <c r="H1221" t="s">
        <v>47</v>
      </c>
      <c r="I1221" s="3">
        <v>43859</v>
      </c>
      <c r="J1221" s="5" t="s">
        <v>50</v>
      </c>
      <c r="K1221" t="s">
        <v>47</v>
      </c>
      <c r="L1221" s="5" t="s">
        <v>51</v>
      </c>
      <c r="M1221" t="s">
        <v>47</v>
      </c>
      <c r="N1221" t="s">
        <v>47</v>
      </c>
      <c r="O1221" t="s">
        <v>47</v>
      </c>
      <c r="P1221" s="3">
        <v>43859</v>
      </c>
      <c r="Q1221" s="5" t="s">
        <v>50</v>
      </c>
      <c r="R1221" t="s">
        <v>47</v>
      </c>
      <c r="S1221" t="s">
        <v>47</v>
      </c>
      <c r="T1221" t="s">
        <v>47</v>
      </c>
      <c r="U1221" t="s">
        <v>47</v>
      </c>
      <c r="V1221" s="5">
        <v>180</v>
      </c>
      <c r="W1221" s="3">
        <v>43859</v>
      </c>
      <c r="X1221" s="5" t="s">
        <v>50</v>
      </c>
      <c r="Y1221" t="s">
        <v>47</v>
      </c>
      <c r="Z1221" s="3">
        <v>43859</v>
      </c>
      <c r="AA1221" s="5" t="s">
        <v>50</v>
      </c>
      <c r="AB1221" t="s">
        <v>47</v>
      </c>
      <c r="AC1221" s="3">
        <v>43859</v>
      </c>
      <c r="AD1221" s="5" t="s">
        <v>50</v>
      </c>
      <c r="AE1221" t="s">
        <v>47</v>
      </c>
      <c r="AF1221" t="s">
        <v>47</v>
      </c>
      <c r="AG1221" t="s">
        <v>47</v>
      </c>
      <c r="AH1221" t="s">
        <v>47</v>
      </c>
      <c r="AI1221" t="s">
        <v>47</v>
      </c>
      <c r="AJ1221" t="s">
        <v>47</v>
      </c>
      <c r="AK1221" t="s">
        <v>47</v>
      </c>
      <c r="AL1221" t="s">
        <v>47</v>
      </c>
      <c r="AM1221" t="s">
        <v>47</v>
      </c>
      <c r="AN1221" t="s">
        <v>47</v>
      </c>
      <c r="AO1221" s="5" t="s">
        <v>51</v>
      </c>
      <c r="AP1221" s="4" t="s">
        <v>197</v>
      </c>
      <c r="AQ1221" s="4" t="s">
        <v>53</v>
      </c>
      <c r="AR1221" s="4" t="s">
        <v>4763</v>
      </c>
      <c r="AS1221" s="5">
        <v>6245918</v>
      </c>
      <c r="AT1221" t="s">
        <v>47</v>
      </c>
    </row>
    <row r="1222" spans="1:46" ht="39" x14ac:dyDescent="0.3">
      <c r="A1222" s="4" t="s">
        <v>4764</v>
      </c>
      <c r="B1222" t="s">
        <v>47</v>
      </c>
      <c r="C1222" s="4" t="s">
        <v>193</v>
      </c>
      <c r="D1222" s="4" t="s">
        <v>194</v>
      </c>
      <c r="E1222" s="4" t="s">
        <v>195</v>
      </c>
      <c r="F1222" t="s">
        <v>47</v>
      </c>
      <c r="G1222" s="5" t="s">
        <v>4765</v>
      </c>
      <c r="H1222" t="s">
        <v>47</v>
      </c>
      <c r="I1222" s="3">
        <v>39167</v>
      </c>
      <c r="J1222" s="5" t="s">
        <v>50</v>
      </c>
      <c r="K1222" t="s">
        <v>47</v>
      </c>
      <c r="L1222" s="5" t="s">
        <v>51</v>
      </c>
      <c r="M1222" s="3">
        <v>39167</v>
      </c>
      <c r="N1222" s="5" t="s">
        <v>50</v>
      </c>
      <c r="O1222" t="s">
        <v>47</v>
      </c>
      <c r="P1222" s="3">
        <v>39167</v>
      </c>
      <c r="Q1222" s="5" t="s">
        <v>50</v>
      </c>
      <c r="R1222" t="s">
        <v>47</v>
      </c>
      <c r="S1222" t="s">
        <v>47</v>
      </c>
      <c r="T1222" t="s">
        <v>47</v>
      </c>
      <c r="U1222" t="s">
        <v>47</v>
      </c>
      <c r="V1222" s="5">
        <v>180</v>
      </c>
      <c r="W1222" s="3">
        <v>39167</v>
      </c>
      <c r="X1222" s="5" t="s">
        <v>50</v>
      </c>
      <c r="Y1222" t="s">
        <v>47</v>
      </c>
      <c r="Z1222" s="3">
        <v>39167</v>
      </c>
      <c r="AA1222" s="5" t="s">
        <v>50</v>
      </c>
      <c r="AB1222" t="s">
        <v>47</v>
      </c>
      <c r="AC1222" s="3">
        <v>39167</v>
      </c>
      <c r="AD1222" s="5" t="s">
        <v>50</v>
      </c>
      <c r="AE1222" t="s">
        <v>47</v>
      </c>
      <c r="AF1222" t="s">
        <v>47</v>
      </c>
      <c r="AG1222" t="s">
        <v>47</v>
      </c>
      <c r="AH1222" t="s">
        <v>47</v>
      </c>
      <c r="AI1222" t="s">
        <v>47</v>
      </c>
      <c r="AJ1222" t="s">
        <v>47</v>
      </c>
      <c r="AK1222" t="s">
        <v>47</v>
      </c>
      <c r="AL1222" t="s">
        <v>47</v>
      </c>
      <c r="AM1222" t="s">
        <v>47</v>
      </c>
      <c r="AN1222" t="s">
        <v>47</v>
      </c>
      <c r="AO1222" s="5" t="s">
        <v>51</v>
      </c>
      <c r="AP1222" s="4" t="s">
        <v>197</v>
      </c>
      <c r="AQ1222" s="4" t="s">
        <v>198</v>
      </c>
      <c r="AR1222" s="4" t="s">
        <v>54</v>
      </c>
      <c r="AS1222" s="5">
        <v>54479</v>
      </c>
      <c r="AT1222" t="s">
        <v>47</v>
      </c>
    </row>
    <row r="1223" spans="1:46" ht="78" x14ac:dyDescent="0.3">
      <c r="A1223" s="4" t="s">
        <v>4766</v>
      </c>
      <c r="B1223" t="s">
        <v>47</v>
      </c>
      <c r="C1223" s="4" t="s">
        <v>193</v>
      </c>
      <c r="D1223" s="4" t="s">
        <v>194</v>
      </c>
      <c r="E1223" s="4" t="s">
        <v>195</v>
      </c>
      <c r="F1223" t="s">
        <v>47</v>
      </c>
      <c r="G1223" s="5" t="s">
        <v>4767</v>
      </c>
      <c r="H1223" t="s">
        <v>47</v>
      </c>
      <c r="I1223" s="3">
        <v>40843</v>
      </c>
      <c r="J1223" s="5" t="s">
        <v>50</v>
      </c>
      <c r="K1223" s="5" t="s">
        <v>4768</v>
      </c>
      <c r="L1223" s="5" t="s">
        <v>51</v>
      </c>
      <c r="M1223" t="s">
        <v>47</v>
      </c>
      <c r="N1223" t="s">
        <v>47</v>
      </c>
      <c r="O1223" t="s">
        <v>47</v>
      </c>
      <c r="P1223" s="3">
        <v>40843</v>
      </c>
      <c r="Q1223" s="5" t="s">
        <v>50</v>
      </c>
      <c r="R1223" s="5" t="s">
        <v>4768</v>
      </c>
      <c r="S1223" t="s">
        <v>47</v>
      </c>
      <c r="T1223" t="s">
        <v>47</v>
      </c>
      <c r="U1223" t="s">
        <v>47</v>
      </c>
      <c r="V1223" s="5">
        <v>180</v>
      </c>
      <c r="W1223" s="3">
        <v>40843</v>
      </c>
      <c r="X1223" s="5" t="s">
        <v>50</v>
      </c>
      <c r="Y1223" s="5" t="s">
        <v>4768</v>
      </c>
      <c r="Z1223" s="3">
        <v>40843</v>
      </c>
      <c r="AA1223" s="5" t="s">
        <v>50</v>
      </c>
      <c r="AB1223" s="5" t="s">
        <v>4768</v>
      </c>
      <c r="AC1223" s="3">
        <v>40843</v>
      </c>
      <c r="AD1223" s="5" t="s">
        <v>50</v>
      </c>
      <c r="AE1223" s="5" t="s">
        <v>4768</v>
      </c>
      <c r="AF1223" t="s">
        <v>47</v>
      </c>
      <c r="AG1223" t="s">
        <v>47</v>
      </c>
      <c r="AH1223" t="s">
        <v>47</v>
      </c>
      <c r="AI1223" t="s">
        <v>47</v>
      </c>
      <c r="AJ1223" t="s">
        <v>47</v>
      </c>
      <c r="AK1223" t="s">
        <v>47</v>
      </c>
      <c r="AL1223" t="s">
        <v>47</v>
      </c>
      <c r="AM1223" t="s">
        <v>47</v>
      </c>
      <c r="AN1223" t="s">
        <v>47</v>
      </c>
      <c r="AO1223" s="5" t="s">
        <v>51</v>
      </c>
      <c r="AP1223" s="4" t="s">
        <v>1756</v>
      </c>
      <c r="AQ1223" s="4" t="s">
        <v>53</v>
      </c>
      <c r="AR1223" s="4" t="s">
        <v>595</v>
      </c>
      <c r="AS1223" s="5">
        <v>6245935</v>
      </c>
      <c r="AT1223" t="s">
        <v>47</v>
      </c>
    </row>
    <row r="1224" spans="1:46" ht="91" x14ac:dyDescent="0.3">
      <c r="A1224" s="4" t="s">
        <v>4769</v>
      </c>
      <c r="B1224" t="s">
        <v>47</v>
      </c>
      <c r="C1224" s="4" t="s">
        <v>193</v>
      </c>
      <c r="D1224" s="4" t="s">
        <v>194</v>
      </c>
      <c r="E1224" s="4" t="s">
        <v>195</v>
      </c>
      <c r="F1224" t="s">
        <v>47</v>
      </c>
      <c r="G1224" s="5" t="s">
        <v>4770</v>
      </c>
      <c r="H1224" t="s">
        <v>47</v>
      </c>
      <c r="I1224" s="3">
        <v>42299</v>
      </c>
      <c r="J1224" s="3">
        <v>43810</v>
      </c>
      <c r="K1224" t="s">
        <v>47</v>
      </c>
      <c r="L1224" s="5" t="s">
        <v>51</v>
      </c>
      <c r="M1224" t="s">
        <v>47</v>
      </c>
      <c r="N1224" t="s">
        <v>47</v>
      </c>
      <c r="O1224" t="s">
        <v>47</v>
      </c>
      <c r="P1224" s="3">
        <v>42299</v>
      </c>
      <c r="Q1224" s="3">
        <v>43810</v>
      </c>
      <c r="R1224" t="s">
        <v>47</v>
      </c>
      <c r="S1224" t="s">
        <v>47</v>
      </c>
      <c r="T1224" t="s">
        <v>47</v>
      </c>
      <c r="U1224" t="s">
        <v>47</v>
      </c>
      <c r="V1224" t="s">
        <v>47</v>
      </c>
      <c r="W1224" s="3">
        <v>42299</v>
      </c>
      <c r="X1224" s="3">
        <v>43810</v>
      </c>
      <c r="Y1224" t="s">
        <v>47</v>
      </c>
      <c r="Z1224" s="3">
        <v>42299</v>
      </c>
      <c r="AA1224" s="3">
        <v>43810</v>
      </c>
      <c r="AB1224" t="s">
        <v>47</v>
      </c>
      <c r="AC1224" s="3">
        <v>42299</v>
      </c>
      <c r="AD1224" s="3">
        <v>43810</v>
      </c>
      <c r="AE1224" t="s">
        <v>47</v>
      </c>
      <c r="AF1224" t="s">
        <v>47</v>
      </c>
      <c r="AG1224" t="s">
        <v>47</v>
      </c>
      <c r="AH1224" t="s">
        <v>47</v>
      </c>
      <c r="AI1224" t="s">
        <v>47</v>
      </c>
      <c r="AJ1224" t="s">
        <v>47</v>
      </c>
      <c r="AK1224" t="s">
        <v>47</v>
      </c>
      <c r="AL1224" t="s">
        <v>47</v>
      </c>
      <c r="AM1224" t="s">
        <v>47</v>
      </c>
      <c r="AN1224" t="s">
        <v>47</v>
      </c>
      <c r="AO1224" s="5" t="s">
        <v>51</v>
      </c>
      <c r="AP1224" s="4" t="s">
        <v>1756</v>
      </c>
      <c r="AQ1224" s="4" t="s">
        <v>53</v>
      </c>
      <c r="AR1224" s="4" t="s">
        <v>1733</v>
      </c>
      <c r="AS1224" s="5">
        <v>6245943</v>
      </c>
      <c r="AT1224" t="s">
        <v>47</v>
      </c>
    </row>
    <row r="1225" spans="1:46" ht="39" x14ac:dyDescent="0.3">
      <c r="A1225" s="4" t="s">
        <v>4771</v>
      </c>
      <c r="B1225" t="s">
        <v>47</v>
      </c>
      <c r="C1225" s="4" t="s">
        <v>193</v>
      </c>
      <c r="D1225" s="4" t="s">
        <v>194</v>
      </c>
      <c r="E1225" s="4" t="s">
        <v>195</v>
      </c>
      <c r="F1225" t="s">
        <v>47</v>
      </c>
      <c r="G1225" s="5" t="s">
        <v>4772</v>
      </c>
      <c r="H1225" t="s">
        <v>47</v>
      </c>
      <c r="I1225" s="3">
        <v>39568</v>
      </c>
      <c r="J1225" s="5" t="s">
        <v>50</v>
      </c>
      <c r="K1225" s="5" t="s">
        <v>1187</v>
      </c>
      <c r="L1225" s="5" t="s">
        <v>51</v>
      </c>
      <c r="M1225" t="s">
        <v>47</v>
      </c>
      <c r="N1225" t="s">
        <v>47</v>
      </c>
      <c r="O1225" t="s">
        <v>47</v>
      </c>
      <c r="P1225" s="3">
        <v>39568</v>
      </c>
      <c r="Q1225" s="5" t="s">
        <v>50</v>
      </c>
      <c r="R1225" s="5" t="s">
        <v>1187</v>
      </c>
      <c r="S1225" t="s">
        <v>47</v>
      </c>
      <c r="T1225" t="s">
        <v>47</v>
      </c>
      <c r="U1225" t="s">
        <v>47</v>
      </c>
      <c r="V1225" s="5">
        <v>180</v>
      </c>
      <c r="W1225" s="3">
        <v>39568</v>
      </c>
      <c r="X1225" s="5" t="s">
        <v>50</v>
      </c>
      <c r="Y1225" s="5" t="s">
        <v>1187</v>
      </c>
      <c r="Z1225" s="3">
        <v>39568</v>
      </c>
      <c r="AA1225" s="5" t="s">
        <v>50</v>
      </c>
      <c r="AB1225" s="5" t="s">
        <v>1187</v>
      </c>
      <c r="AC1225" s="3">
        <v>39568</v>
      </c>
      <c r="AD1225" s="5" t="s">
        <v>50</v>
      </c>
      <c r="AE1225" s="5" t="s">
        <v>1187</v>
      </c>
      <c r="AF1225" t="s">
        <v>47</v>
      </c>
      <c r="AG1225" t="s">
        <v>47</v>
      </c>
      <c r="AH1225" t="s">
        <v>47</v>
      </c>
      <c r="AI1225" t="s">
        <v>47</v>
      </c>
      <c r="AJ1225" t="s">
        <v>47</v>
      </c>
      <c r="AK1225" t="s">
        <v>47</v>
      </c>
      <c r="AL1225" t="s">
        <v>47</v>
      </c>
      <c r="AM1225" t="s">
        <v>47</v>
      </c>
      <c r="AN1225" t="s">
        <v>47</v>
      </c>
      <c r="AO1225" s="5" t="s">
        <v>51</v>
      </c>
      <c r="AP1225" s="4" t="s">
        <v>1756</v>
      </c>
      <c r="AQ1225" s="4" t="s">
        <v>198</v>
      </c>
      <c r="AR1225" s="4" t="s">
        <v>4773</v>
      </c>
      <c r="AS1225" s="5">
        <v>6245944</v>
      </c>
      <c r="AT1225" t="s">
        <v>47</v>
      </c>
    </row>
    <row r="1226" spans="1:46" ht="39" x14ac:dyDescent="0.3">
      <c r="A1226" s="4" t="s">
        <v>4774</v>
      </c>
      <c r="B1226" t="s">
        <v>47</v>
      </c>
      <c r="C1226" s="4" t="s">
        <v>193</v>
      </c>
      <c r="D1226" s="4" t="s">
        <v>194</v>
      </c>
      <c r="E1226" s="4" t="s">
        <v>195</v>
      </c>
      <c r="F1226" t="s">
        <v>47</v>
      </c>
      <c r="G1226" s="5" t="s">
        <v>4775</v>
      </c>
      <c r="H1226" t="s">
        <v>47</v>
      </c>
      <c r="I1226" s="3">
        <v>41446</v>
      </c>
      <c r="J1226" s="5" t="s">
        <v>50</v>
      </c>
      <c r="K1226" t="s">
        <v>47</v>
      </c>
      <c r="L1226" s="5" t="s">
        <v>51</v>
      </c>
      <c r="M1226" t="s">
        <v>47</v>
      </c>
      <c r="N1226" t="s">
        <v>47</v>
      </c>
      <c r="O1226" t="s">
        <v>47</v>
      </c>
      <c r="P1226" s="3">
        <v>41446</v>
      </c>
      <c r="Q1226" s="5" t="s">
        <v>50</v>
      </c>
      <c r="R1226" t="s">
        <v>47</v>
      </c>
      <c r="S1226" t="s">
        <v>47</v>
      </c>
      <c r="T1226" t="s">
        <v>47</v>
      </c>
      <c r="U1226" t="s">
        <v>47</v>
      </c>
      <c r="V1226" s="5">
        <v>180</v>
      </c>
      <c r="W1226" s="3">
        <v>41446</v>
      </c>
      <c r="X1226" s="5" t="s">
        <v>50</v>
      </c>
      <c r="Y1226" t="s">
        <v>47</v>
      </c>
      <c r="Z1226" s="3">
        <v>41446</v>
      </c>
      <c r="AA1226" s="5" t="s">
        <v>50</v>
      </c>
      <c r="AB1226" t="s">
        <v>47</v>
      </c>
      <c r="AC1226" s="3">
        <v>41446</v>
      </c>
      <c r="AD1226" s="5" t="s">
        <v>50</v>
      </c>
      <c r="AE1226" t="s">
        <v>47</v>
      </c>
      <c r="AF1226" t="s">
        <v>47</v>
      </c>
      <c r="AG1226" t="s">
        <v>47</v>
      </c>
      <c r="AH1226" t="s">
        <v>47</v>
      </c>
      <c r="AI1226" t="s">
        <v>47</v>
      </c>
      <c r="AJ1226" t="s">
        <v>47</v>
      </c>
      <c r="AK1226" t="s">
        <v>47</v>
      </c>
      <c r="AL1226" t="s">
        <v>47</v>
      </c>
      <c r="AM1226" t="s">
        <v>47</v>
      </c>
      <c r="AN1226" t="s">
        <v>47</v>
      </c>
      <c r="AO1226" s="5" t="s">
        <v>51</v>
      </c>
      <c r="AP1226" s="4" t="s">
        <v>1756</v>
      </c>
      <c r="AQ1226" s="4" t="s">
        <v>198</v>
      </c>
      <c r="AR1226" s="4" t="s">
        <v>54</v>
      </c>
      <c r="AS1226" s="5">
        <v>6245955</v>
      </c>
      <c r="AT1226" t="s">
        <v>47</v>
      </c>
    </row>
    <row r="1227" spans="1:46" ht="13" x14ac:dyDescent="0.3">
      <c r="A1227" s="4" t="s">
        <v>4776</v>
      </c>
      <c r="B1227" t="s">
        <v>47</v>
      </c>
      <c r="C1227" s="4" t="s">
        <v>2400</v>
      </c>
      <c r="D1227" s="4" t="s">
        <v>2812</v>
      </c>
      <c r="E1227" s="4" t="s">
        <v>66</v>
      </c>
      <c r="F1227" s="5" t="s">
        <v>4777</v>
      </c>
      <c r="G1227" s="5" t="s">
        <v>4778</v>
      </c>
      <c r="H1227" t="s">
        <v>47</v>
      </c>
      <c r="I1227" s="3">
        <v>39448</v>
      </c>
      <c r="J1227" s="3">
        <v>41609</v>
      </c>
      <c r="K1227" t="s">
        <v>47</v>
      </c>
      <c r="L1227" s="5" t="s">
        <v>60</v>
      </c>
      <c r="M1227" s="3">
        <v>39904</v>
      </c>
      <c r="N1227" s="3">
        <v>41609</v>
      </c>
      <c r="O1227" t="s">
        <v>47</v>
      </c>
      <c r="P1227" s="3">
        <v>39448</v>
      </c>
      <c r="Q1227" s="3">
        <v>41609</v>
      </c>
      <c r="R1227" t="s">
        <v>47</v>
      </c>
      <c r="S1227" t="s">
        <v>47</v>
      </c>
      <c r="T1227" t="s">
        <v>47</v>
      </c>
      <c r="U1227" t="s">
        <v>47</v>
      </c>
      <c r="V1227" t="s">
        <v>47</v>
      </c>
      <c r="W1227" s="3">
        <v>39448</v>
      </c>
      <c r="X1227" s="3">
        <v>41609</v>
      </c>
      <c r="Y1227" t="s">
        <v>47</v>
      </c>
      <c r="Z1227" s="3">
        <v>39448</v>
      </c>
      <c r="AA1227" s="3">
        <v>41609</v>
      </c>
      <c r="AB1227" t="s">
        <v>47</v>
      </c>
      <c r="AC1227" s="3">
        <v>39448</v>
      </c>
      <c r="AD1227" s="3">
        <v>41609</v>
      </c>
      <c r="AE1227" t="s">
        <v>47</v>
      </c>
      <c r="AF1227" t="s">
        <v>47</v>
      </c>
      <c r="AG1227" t="s">
        <v>47</v>
      </c>
      <c r="AH1227" t="s">
        <v>47</v>
      </c>
      <c r="AI1227" t="s">
        <v>47</v>
      </c>
      <c r="AJ1227" t="s">
        <v>47</v>
      </c>
      <c r="AK1227" t="s">
        <v>47</v>
      </c>
      <c r="AL1227" t="s">
        <v>47</v>
      </c>
      <c r="AM1227" t="s">
        <v>47</v>
      </c>
      <c r="AN1227" t="s">
        <v>47</v>
      </c>
      <c r="AO1227" s="5" t="s">
        <v>60</v>
      </c>
      <c r="AP1227" s="4" t="s">
        <v>61</v>
      </c>
      <c r="AQ1227" s="4" t="s">
        <v>53</v>
      </c>
      <c r="AR1227" s="4" t="s">
        <v>54</v>
      </c>
      <c r="AS1227" s="5">
        <v>33361</v>
      </c>
      <c r="AT1227" t="s">
        <v>47</v>
      </c>
    </row>
    <row r="1228" spans="1:46" ht="78" x14ac:dyDescent="0.3">
      <c r="A1228" s="4" t="s">
        <v>4779</v>
      </c>
      <c r="B1228" t="s">
        <v>47</v>
      </c>
      <c r="C1228" s="4" t="s">
        <v>4780</v>
      </c>
      <c r="D1228" s="4" t="s">
        <v>4712</v>
      </c>
      <c r="E1228" s="4" t="s">
        <v>49</v>
      </c>
      <c r="F1228" s="5" t="s">
        <v>4781</v>
      </c>
      <c r="G1228" t="s">
        <v>47</v>
      </c>
      <c r="H1228" t="s">
        <v>47</v>
      </c>
      <c r="I1228" s="3">
        <v>37622</v>
      </c>
      <c r="J1228" s="5" t="s">
        <v>50</v>
      </c>
      <c r="K1228" s="5" t="s">
        <v>1578</v>
      </c>
      <c r="L1228" s="5" t="s">
        <v>60</v>
      </c>
      <c r="M1228" s="3">
        <v>37622</v>
      </c>
      <c r="N1228" s="5" t="s">
        <v>50</v>
      </c>
      <c r="O1228" s="5" t="s">
        <v>1578</v>
      </c>
      <c r="P1228" s="3">
        <v>37622</v>
      </c>
      <c r="Q1228" s="5" t="s">
        <v>50</v>
      </c>
      <c r="R1228" s="5" t="s">
        <v>1578</v>
      </c>
      <c r="S1228" t="s">
        <v>47</v>
      </c>
      <c r="T1228" t="s">
        <v>47</v>
      </c>
      <c r="U1228" t="s">
        <v>47</v>
      </c>
      <c r="V1228" t="s">
        <v>47</v>
      </c>
      <c r="W1228" s="3">
        <v>37622</v>
      </c>
      <c r="X1228" s="5" t="s">
        <v>50</v>
      </c>
      <c r="Y1228" s="5" t="s">
        <v>1578</v>
      </c>
      <c r="Z1228" s="3">
        <v>37622</v>
      </c>
      <c r="AA1228" s="5" t="s">
        <v>50</v>
      </c>
      <c r="AB1228" s="5" t="s">
        <v>1578</v>
      </c>
      <c r="AC1228" s="3">
        <v>37622</v>
      </c>
      <c r="AD1228" s="5" t="s">
        <v>50</v>
      </c>
      <c r="AE1228" s="5" t="s">
        <v>1578</v>
      </c>
      <c r="AF1228" t="s">
        <v>47</v>
      </c>
      <c r="AG1228" t="s">
        <v>47</v>
      </c>
      <c r="AH1228" t="s">
        <v>47</v>
      </c>
      <c r="AI1228" t="s">
        <v>47</v>
      </c>
      <c r="AJ1228" t="s">
        <v>47</v>
      </c>
      <c r="AK1228" t="s">
        <v>47</v>
      </c>
      <c r="AL1228" t="s">
        <v>47</v>
      </c>
      <c r="AM1228" t="s">
        <v>47</v>
      </c>
      <c r="AN1228" t="s">
        <v>47</v>
      </c>
      <c r="AO1228" s="5" t="s">
        <v>60</v>
      </c>
      <c r="AP1228" s="4" t="s">
        <v>61</v>
      </c>
      <c r="AQ1228" s="4" t="s">
        <v>53</v>
      </c>
      <c r="AR1228" s="4" t="s">
        <v>577</v>
      </c>
      <c r="AS1228" s="5">
        <v>2038721</v>
      </c>
      <c r="AT1228" t="s">
        <v>47</v>
      </c>
    </row>
    <row r="1229" spans="1:46" ht="26" x14ac:dyDescent="0.3">
      <c r="A1229" s="4" t="s">
        <v>4782</v>
      </c>
      <c r="B1229" t="s">
        <v>47</v>
      </c>
      <c r="C1229" s="4" t="s">
        <v>183</v>
      </c>
      <c r="D1229" s="4" t="s">
        <v>333</v>
      </c>
      <c r="E1229" s="4" t="s">
        <v>49</v>
      </c>
      <c r="F1229" s="5" t="s">
        <v>4783</v>
      </c>
      <c r="G1229" s="5" t="s">
        <v>4784</v>
      </c>
      <c r="H1229" t="s">
        <v>47</v>
      </c>
      <c r="I1229" s="3">
        <v>29677</v>
      </c>
      <c r="J1229" s="3">
        <v>41913</v>
      </c>
      <c r="K1229" t="s">
        <v>47</v>
      </c>
      <c r="L1229" s="5" t="s">
        <v>60</v>
      </c>
      <c r="M1229" s="3">
        <v>29677</v>
      </c>
      <c r="N1229" s="3">
        <v>41913</v>
      </c>
      <c r="O1229" t="s">
        <v>47</v>
      </c>
      <c r="P1229" s="3">
        <v>29677</v>
      </c>
      <c r="Q1229" s="3">
        <v>41913</v>
      </c>
      <c r="R1229" t="s">
        <v>47</v>
      </c>
      <c r="S1229" t="s">
        <v>47</v>
      </c>
      <c r="T1229" t="s">
        <v>47</v>
      </c>
      <c r="U1229" t="s">
        <v>47</v>
      </c>
      <c r="V1229" t="s">
        <v>47</v>
      </c>
      <c r="W1229" s="3">
        <v>29677</v>
      </c>
      <c r="X1229" s="5" t="s">
        <v>50</v>
      </c>
      <c r="Y1229" t="s">
        <v>47</v>
      </c>
      <c r="Z1229" s="3">
        <v>29677</v>
      </c>
      <c r="AA1229" s="5" t="s">
        <v>50</v>
      </c>
      <c r="AB1229" t="s">
        <v>47</v>
      </c>
      <c r="AC1229" s="3">
        <v>29677</v>
      </c>
      <c r="AD1229" s="5" t="s">
        <v>50</v>
      </c>
      <c r="AE1229" s="5" t="s">
        <v>4785</v>
      </c>
      <c r="AF1229" t="s">
        <v>47</v>
      </c>
      <c r="AG1229" t="s">
        <v>47</v>
      </c>
      <c r="AH1229" t="s">
        <v>47</v>
      </c>
      <c r="AI1229" t="s">
        <v>47</v>
      </c>
      <c r="AJ1229" t="s">
        <v>47</v>
      </c>
      <c r="AK1229" t="s">
        <v>47</v>
      </c>
      <c r="AL1229" t="s">
        <v>47</v>
      </c>
      <c r="AM1229" t="s">
        <v>47</v>
      </c>
      <c r="AN1229" t="s">
        <v>47</v>
      </c>
      <c r="AO1229" s="5" t="s">
        <v>60</v>
      </c>
      <c r="AP1229" s="4" t="s">
        <v>61</v>
      </c>
      <c r="AQ1229" s="4" t="s">
        <v>53</v>
      </c>
      <c r="AR1229" s="4" t="s">
        <v>988</v>
      </c>
      <c r="AS1229" s="5">
        <v>26540</v>
      </c>
      <c r="AT1229" t="s">
        <v>47</v>
      </c>
    </row>
    <row r="1230" spans="1:46" ht="260" x14ac:dyDescent="0.3">
      <c r="A1230" s="4" t="s">
        <v>4786</v>
      </c>
      <c r="B1230" t="s">
        <v>47</v>
      </c>
      <c r="C1230" s="4" t="s">
        <v>1155</v>
      </c>
      <c r="D1230" s="4" t="s">
        <v>88</v>
      </c>
      <c r="E1230" s="4" t="s">
        <v>49</v>
      </c>
      <c r="F1230" s="5" t="s">
        <v>4787</v>
      </c>
      <c r="G1230" s="5" t="s">
        <v>4788</v>
      </c>
      <c r="H1230" t="s">
        <v>47</v>
      </c>
      <c r="I1230" s="3">
        <v>32112</v>
      </c>
      <c r="J1230" s="3">
        <v>41821</v>
      </c>
      <c r="K1230" t="s">
        <v>47</v>
      </c>
      <c r="L1230" s="5" t="s">
        <v>51</v>
      </c>
      <c r="M1230" s="3">
        <v>33573</v>
      </c>
      <c r="N1230" s="3">
        <v>41821</v>
      </c>
      <c r="O1230" t="s">
        <v>47</v>
      </c>
      <c r="P1230" s="3">
        <v>32112</v>
      </c>
      <c r="Q1230" s="3">
        <v>41821</v>
      </c>
      <c r="R1230" t="s">
        <v>47</v>
      </c>
      <c r="S1230" t="s">
        <v>47</v>
      </c>
      <c r="T1230" t="s">
        <v>47</v>
      </c>
      <c r="U1230" t="s">
        <v>47</v>
      </c>
      <c r="V1230" t="s">
        <v>47</v>
      </c>
      <c r="W1230" s="3">
        <v>30651</v>
      </c>
      <c r="X1230" s="3">
        <v>41821</v>
      </c>
      <c r="Y1230" t="s">
        <v>47</v>
      </c>
      <c r="Z1230" s="3">
        <v>30651</v>
      </c>
      <c r="AA1230" s="3">
        <v>41821</v>
      </c>
      <c r="AB1230" t="s">
        <v>47</v>
      </c>
      <c r="AC1230" s="3">
        <v>30651</v>
      </c>
      <c r="AD1230" s="3">
        <v>41821</v>
      </c>
      <c r="AE1230" t="s">
        <v>47</v>
      </c>
      <c r="AF1230" t="s">
        <v>47</v>
      </c>
      <c r="AG1230" t="s">
        <v>47</v>
      </c>
      <c r="AH1230" t="s">
        <v>47</v>
      </c>
      <c r="AI1230" t="s">
        <v>47</v>
      </c>
      <c r="AJ1230" t="s">
        <v>47</v>
      </c>
      <c r="AK1230" t="s">
        <v>47</v>
      </c>
      <c r="AL1230" t="s">
        <v>47</v>
      </c>
      <c r="AM1230" t="s">
        <v>47</v>
      </c>
      <c r="AN1230" t="s">
        <v>47</v>
      </c>
      <c r="AO1230" s="5" t="s">
        <v>51</v>
      </c>
      <c r="AP1230" s="4" t="s">
        <v>85</v>
      </c>
      <c r="AQ1230" s="4" t="s">
        <v>53</v>
      </c>
      <c r="AR1230" s="4" t="s">
        <v>4789</v>
      </c>
      <c r="AS1230" s="5">
        <v>35143</v>
      </c>
      <c r="AT1230" t="s">
        <v>47</v>
      </c>
    </row>
    <row r="1231" spans="1:46" ht="26" x14ac:dyDescent="0.3">
      <c r="A1231" s="4" t="s">
        <v>4790</v>
      </c>
      <c r="B1231" t="s">
        <v>47</v>
      </c>
      <c r="C1231" s="4" t="s">
        <v>4791</v>
      </c>
      <c r="D1231" s="4" t="s">
        <v>4792</v>
      </c>
      <c r="E1231" s="4" t="s">
        <v>49</v>
      </c>
      <c r="F1231" s="5" t="s">
        <v>4793</v>
      </c>
      <c r="G1231" t="s">
        <v>47</v>
      </c>
      <c r="H1231" t="s">
        <v>47</v>
      </c>
      <c r="I1231" s="3">
        <v>37438</v>
      </c>
      <c r="J1231" s="3">
        <v>41913</v>
      </c>
      <c r="K1231" t="s">
        <v>47</v>
      </c>
      <c r="L1231" s="5" t="s">
        <v>60</v>
      </c>
      <c r="M1231" s="3">
        <v>37438</v>
      </c>
      <c r="N1231" s="3">
        <v>41913</v>
      </c>
      <c r="O1231" t="s">
        <v>47</v>
      </c>
      <c r="P1231" s="3">
        <v>37438</v>
      </c>
      <c r="Q1231" s="3">
        <v>41913</v>
      </c>
      <c r="R1231" t="s">
        <v>47</v>
      </c>
      <c r="S1231" t="s">
        <v>47</v>
      </c>
      <c r="T1231" t="s">
        <v>47</v>
      </c>
      <c r="U1231" t="s">
        <v>47</v>
      </c>
      <c r="V1231" t="s">
        <v>47</v>
      </c>
      <c r="W1231" s="3">
        <v>37438</v>
      </c>
      <c r="X1231" s="3">
        <v>41913</v>
      </c>
      <c r="Y1231" t="s">
        <v>47</v>
      </c>
      <c r="Z1231" s="3">
        <v>37438</v>
      </c>
      <c r="AA1231" s="3">
        <v>41913</v>
      </c>
      <c r="AB1231" t="s">
        <v>47</v>
      </c>
      <c r="AC1231" t="s">
        <v>47</v>
      </c>
      <c r="AD1231" t="s">
        <v>47</v>
      </c>
      <c r="AE1231" t="s">
        <v>47</v>
      </c>
      <c r="AF1231" t="s">
        <v>47</v>
      </c>
      <c r="AG1231" t="s">
        <v>47</v>
      </c>
      <c r="AH1231" t="s">
        <v>47</v>
      </c>
      <c r="AI1231" t="s">
        <v>47</v>
      </c>
      <c r="AJ1231" t="s">
        <v>47</v>
      </c>
      <c r="AK1231" t="s">
        <v>47</v>
      </c>
      <c r="AL1231" t="s">
        <v>47</v>
      </c>
      <c r="AM1231" t="s">
        <v>47</v>
      </c>
      <c r="AN1231" t="s">
        <v>47</v>
      </c>
      <c r="AO1231" s="5" t="s">
        <v>60</v>
      </c>
      <c r="AP1231" s="4" t="s">
        <v>61</v>
      </c>
      <c r="AQ1231" s="4" t="s">
        <v>53</v>
      </c>
      <c r="AR1231" s="4" t="s">
        <v>54</v>
      </c>
      <c r="AS1231" s="5">
        <v>48027</v>
      </c>
      <c r="AT1231" t="s">
        <v>47</v>
      </c>
    </row>
    <row r="1232" spans="1:46" ht="39" x14ac:dyDescent="0.3">
      <c r="A1232" s="4" t="s">
        <v>4794</v>
      </c>
      <c r="B1232" t="s">
        <v>47</v>
      </c>
      <c r="C1232" s="4" t="s">
        <v>4427</v>
      </c>
      <c r="D1232" s="4" t="s">
        <v>88</v>
      </c>
      <c r="E1232" s="4" t="s">
        <v>49</v>
      </c>
      <c r="F1232" s="5" t="s">
        <v>4795</v>
      </c>
      <c r="G1232" t="s">
        <v>47</v>
      </c>
      <c r="H1232" t="s">
        <v>47</v>
      </c>
      <c r="I1232" s="3">
        <v>35886</v>
      </c>
      <c r="J1232" s="3">
        <v>37438</v>
      </c>
      <c r="K1232" t="s">
        <v>47</v>
      </c>
      <c r="L1232" s="5" t="s">
        <v>51</v>
      </c>
      <c r="M1232" s="3">
        <v>35886</v>
      </c>
      <c r="N1232" s="3">
        <v>37438</v>
      </c>
      <c r="O1232" t="s">
        <v>47</v>
      </c>
      <c r="P1232" s="3">
        <v>35886</v>
      </c>
      <c r="Q1232" s="3">
        <v>35977</v>
      </c>
      <c r="R1232" t="s">
        <v>47</v>
      </c>
      <c r="S1232" t="s">
        <v>47</v>
      </c>
      <c r="T1232" t="s">
        <v>47</v>
      </c>
      <c r="U1232" t="s">
        <v>47</v>
      </c>
      <c r="V1232" t="s">
        <v>47</v>
      </c>
      <c r="W1232" s="3">
        <v>35886</v>
      </c>
      <c r="X1232" s="3">
        <v>37438</v>
      </c>
      <c r="Y1232" t="s">
        <v>47</v>
      </c>
      <c r="Z1232" s="3">
        <v>35886</v>
      </c>
      <c r="AA1232" s="3">
        <v>37438</v>
      </c>
      <c r="AB1232" t="s">
        <v>47</v>
      </c>
      <c r="AC1232" t="s">
        <v>47</v>
      </c>
      <c r="AD1232" t="s">
        <v>47</v>
      </c>
      <c r="AE1232" t="s">
        <v>47</v>
      </c>
      <c r="AF1232" t="s">
        <v>47</v>
      </c>
      <c r="AG1232" t="s">
        <v>47</v>
      </c>
      <c r="AH1232" t="s">
        <v>47</v>
      </c>
      <c r="AI1232" t="s">
        <v>47</v>
      </c>
      <c r="AJ1232" t="s">
        <v>47</v>
      </c>
      <c r="AK1232" t="s">
        <v>47</v>
      </c>
      <c r="AL1232" t="s">
        <v>47</v>
      </c>
      <c r="AM1232" t="s">
        <v>47</v>
      </c>
      <c r="AN1232" t="s">
        <v>47</v>
      </c>
      <c r="AO1232" s="5" t="s">
        <v>51</v>
      </c>
      <c r="AP1232" s="4" t="s">
        <v>135</v>
      </c>
      <c r="AQ1232" s="4" t="s">
        <v>53</v>
      </c>
      <c r="AR1232" s="4" t="s">
        <v>244</v>
      </c>
      <c r="AS1232" s="5">
        <v>7784</v>
      </c>
      <c r="AT1232" t="s">
        <v>47</v>
      </c>
    </row>
    <row r="1233" spans="1:46" ht="39" x14ac:dyDescent="0.3">
      <c r="A1233" s="4" t="s">
        <v>4796</v>
      </c>
      <c r="B1233" t="s">
        <v>47</v>
      </c>
      <c r="C1233" s="4" t="s">
        <v>115</v>
      </c>
      <c r="D1233" s="4" t="s">
        <v>1019</v>
      </c>
      <c r="E1233" s="4" t="s">
        <v>66</v>
      </c>
      <c r="F1233" s="5" t="s">
        <v>4797</v>
      </c>
      <c r="G1233" s="5" t="s">
        <v>4798</v>
      </c>
      <c r="H1233" t="s">
        <v>47</v>
      </c>
      <c r="I1233" s="3">
        <v>36526</v>
      </c>
      <c r="J1233" s="5" t="s">
        <v>50</v>
      </c>
      <c r="K1233" s="5" t="s">
        <v>4799</v>
      </c>
      <c r="L1233" s="5" t="s">
        <v>60</v>
      </c>
      <c r="M1233" s="3">
        <v>38353</v>
      </c>
      <c r="N1233" s="5" t="s">
        <v>50</v>
      </c>
      <c r="O1233" t="s">
        <v>47</v>
      </c>
      <c r="P1233" s="3">
        <v>36526</v>
      </c>
      <c r="Q1233" s="5" t="s">
        <v>50</v>
      </c>
      <c r="R1233" s="5" t="s">
        <v>4799</v>
      </c>
      <c r="S1233" t="s">
        <v>47</v>
      </c>
      <c r="T1233" t="s">
        <v>47</v>
      </c>
      <c r="U1233" t="s">
        <v>47</v>
      </c>
      <c r="V1233" s="5">
        <v>365</v>
      </c>
      <c r="W1233" s="3">
        <v>36526</v>
      </c>
      <c r="X1233" s="5" t="s">
        <v>50</v>
      </c>
      <c r="Y1233" s="5" t="s">
        <v>4799</v>
      </c>
      <c r="Z1233" s="3">
        <v>36526</v>
      </c>
      <c r="AA1233" s="5" t="s">
        <v>50</v>
      </c>
      <c r="AB1233" s="5" t="s">
        <v>4799</v>
      </c>
      <c r="AC1233" s="3">
        <v>36526</v>
      </c>
      <c r="AD1233" s="5" t="s">
        <v>50</v>
      </c>
      <c r="AE1233" s="5" t="s">
        <v>4799</v>
      </c>
      <c r="AF1233" t="s">
        <v>47</v>
      </c>
      <c r="AG1233" t="s">
        <v>47</v>
      </c>
      <c r="AH1233" t="s">
        <v>47</v>
      </c>
      <c r="AI1233" t="s">
        <v>47</v>
      </c>
      <c r="AJ1233" t="s">
        <v>47</v>
      </c>
      <c r="AK1233" t="s">
        <v>47</v>
      </c>
      <c r="AL1233" t="s">
        <v>47</v>
      </c>
      <c r="AM1233" t="s">
        <v>47</v>
      </c>
      <c r="AN1233" t="s">
        <v>47</v>
      </c>
      <c r="AO1233" s="5" t="s">
        <v>60</v>
      </c>
      <c r="AP1233" s="4" t="s">
        <v>61</v>
      </c>
      <c r="AQ1233" s="4" t="s">
        <v>53</v>
      </c>
      <c r="AR1233" s="4" t="s">
        <v>62</v>
      </c>
      <c r="AS1233" s="5">
        <v>33145</v>
      </c>
      <c r="AT1233" t="s">
        <v>47</v>
      </c>
    </row>
    <row r="1234" spans="1:46" ht="78" x14ac:dyDescent="0.3">
      <c r="A1234" s="4" t="s">
        <v>4800</v>
      </c>
      <c r="B1234" t="s">
        <v>47</v>
      </c>
      <c r="C1234" s="4" t="s">
        <v>1365</v>
      </c>
      <c r="D1234" s="4" t="s">
        <v>3034</v>
      </c>
      <c r="E1234" s="4" t="s">
        <v>49</v>
      </c>
      <c r="F1234" s="5" t="s">
        <v>4801</v>
      </c>
      <c r="G1234" s="5" t="s">
        <v>4802</v>
      </c>
      <c r="H1234" t="s">
        <v>47</v>
      </c>
      <c r="I1234" s="3">
        <v>32143</v>
      </c>
      <c r="J1234" s="3">
        <v>41214</v>
      </c>
      <c r="K1234" t="s">
        <v>47</v>
      </c>
      <c r="L1234" s="5" t="s">
        <v>51</v>
      </c>
      <c r="M1234" s="3">
        <v>33604</v>
      </c>
      <c r="N1234" s="3">
        <v>41214</v>
      </c>
      <c r="O1234" t="s">
        <v>47</v>
      </c>
      <c r="P1234" s="3">
        <v>32143</v>
      </c>
      <c r="Q1234" s="3">
        <v>41214</v>
      </c>
      <c r="R1234" s="5" t="s">
        <v>1193</v>
      </c>
      <c r="S1234" t="s">
        <v>47</v>
      </c>
      <c r="T1234" t="s">
        <v>47</v>
      </c>
      <c r="U1234" t="s">
        <v>47</v>
      </c>
      <c r="V1234" t="s">
        <v>47</v>
      </c>
      <c r="W1234" s="3">
        <v>32143</v>
      </c>
      <c r="X1234" s="3">
        <v>41214</v>
      </c>
      <c r="Y1234" t="s">
        <v>47</v>
      </c>
      <c r="Z1234" s="3">
        <v>32143</v>
      </c>
      <c r="AA1234" s="3">
        <v>41214</v>
      </c>
      <c r="AB1234" t="s">
        <v>47</v>
      </c>
      <c r="AC1234" s="3">
        <v>32143</v>
      </c>
      <c r="AD1234" s="3">
        <v>41214</v>
      </c>
      <c r="AE1234" t="s">
        <v>47</v>
      </c>
      <c r="AF1234" t="s">
        <v>47</v>
      </c>
      <c r="AG1234" t="s">
        <v>47</v>
      </c>
      <c r="AH1234" t="s">
        <v>47</v>
      </c>
      <c r="AI1234" t="s">
        <v>47</v>
      </c>
      <c r="AJ1234" t="s">
        <v>47</v>
      </c>
      <c r="AK1234" t="s">
        <v>47</v>
      </c>
      <c r="AL1234" t="s">
        <v>47</v>
      </c>
      <c r="AM1234" t="s">
        <v>47</v>
      </c>
      <c r="AN1234" t="s">
        <v>47</v>
      </c>
      <c r="AO1234" s="5" t="s">
        <v>51</v>
      </c>
      <c r="AP1234" s="4" t="s">
        <v>85</v>
      </c>
      <c r="AQ1234" s="4" t="s">
        <v>53</v>
      </c>
      <c r="AR1234" s="4" t="s">
        <v>4803</v>
      </c>
      <c r="AS1234" s="5">
        <v>47708</v>
      </c>
      <c r="AT1234" t="s">
        <v>47</v>
      </c>
    </row>
    <row r="1235" spans="1:46" ht="104" x14ac:dyDescent="0.3">
      <c r="A1235" s="4" t="s">
        <v>4804</v>
      </c>
      <c r="B1235" t="s">
        <v>47</v>
      </c>
      <c r="C1235" s="4" t="s">
        <v>115</v>
      </c>
      <c r="D1235" s="4" t="s">
        <v>1019</v>
      </c>
      <c r="E1235" s="4" t="s">
        <v>66</v>
      </c>
      <c r="F1235" s="5" t="s">
        <v>4805</v>
      </c>
      <c r="G1235" s="5" t="s">
        <v>4806</v>
      </c>
      <c r="H1235" t="s">
        <v>47</v>
      </c>
      <c r="I1235" s="3">
        <v>35827</v>
      </c>
      <c r="J1235" s="5" t="s">
        <v>50</v>
      </c>
      <c r="K1235" t="s">
        <v>47</v>
      </c>
      <c r="L1235" s="5" t="s">
        <v>60</v>
      </c>
      <c r="M1235" s="3">
        <v>35827</v>
      </c>
      <c r="N1235" s="5" t="s">
        <v>50</v>
      </c>
      <c r="O1235" t="s">
        <v>47</v>
      </c>
      <c r="P1235" s="3">
        <v>35827</v>
      </c>
      <c r="Q1235" s="5" t="s">
        <v>50</v>
      </c>
      <c r="R1235" s="5" t="s">
        <v>2518</v>
      </c>
      <c r="S1235" t="s">
        <v>47</v>
      </c>
      <c r="T1235" t="s">
        <v>47</v>
      </c>
      <c r="U1235" t="s">
        <v>47</v>
      </c>
      <c r="V1235" s="5">
        <v>365</v>
      </c>
      <c r="W1235" s="3">
        <v>35827</v>
      </c>
      <c r="X1235" s="5" t="s">
        <v>50</v>
      </c>
      <c r="Y1235" t="s">
        <v>47</v>
      </c>
      <c r="Z1235" s="3">
        <v>35827</v>
      </c>
      <c r="AA1235" s="5" t="s">
        <v>50</v>
      </c>
      <c r="AB1235" t="s">
        <v>47</v>
      </c>
      <c r="AC1235" s="3">
        <v>35886</v>
      </c>
      <c r="AD1235" s="5" t="s">
        <v>50</v>
      </c>
      <c r="AE1235" t="s">
        <v>47</v>
      </c>
      <c r="AF1235" t="s">
        <v>47</v>
      </c>
      <c r="AG1235" t="s">
        <v>47</v>
      </c>
      <c r="AH1235" t="s">
        <v>47</v>
      </c>
      <c r="AI1235" t="s">
        <v>47</v>
      </c>
      <c r="AJ1235" t="s">
        <v>47</v>
      </c>
      <c r="AK1235" t="s">
        <v>47</v>
      </c>
      <c r="AL1235" t="s">
        <v>47</v>
      </c>
      <c r="AM1235" t="s">
        <v>47</v>
      </c>
      <c r="AN1235" t="s">
        <v>47</v>
      </c>
      <c r="AO1235" s="5" t="s">
        <v>60</v>
      </c>
      <c r="AP1235" s="4" t="s">
        <v>61</v>
      </c>
      <c r="AQ1235" s="4" t="s">
        <v>53</v>
      </c>
      <c r="AR1235" s="4" t="s">
        <v>4807</v>
      </c>
      <c r="AS1235" s="5">
        <v>27163</v>
      </c>
      <c r="AT1235" t="s">
        <v>47</v>
      </c>
    </row>
    <row r="1236" spans="1:46" ht="65" x14ac:dyDescent="0.3">
      <c r="A1236" s="4" t="s">
        <v>4808</v>
      </c>
      <c r="B1236" t="s">
        <v>47</v>
      </c>
      <c r="C1236" s="4" t="s">
        <v>1365</v>
      </c>
      <c r="D1236" s="4" t="s">
        <v>3034</v>
      </c>
      <c r="E1236" s="4" t="s">
        <v>49</v>
      </c>
      <c r="F1236" s="5" t="s">
        <v>4809</v>
      </c>
      <c r="G1236" t="s">
        <v>47</v>
      </c>
      <c r="H1236" t="s">
        <v>47</v>
      </c>
      <c r="I1236" s="3">
        <v>41275</v>
      </c>
      <c r="J1236" s="3">
        <v>44866</v>
      </c>
      <c r="K1236" t="s">
        <v>47</v>
      </c>
      <c r="L1236" s="5" t="s">
        <v>51</v>
      </c>
      <c r="M1236" s="3">
        <v>41275</v>
      </c>
      <c r="N1236" s="3">
        <v>44866</v>
      </c>
      <c r="O1236" t="s">
        <v>47</v>
      </c>
      <c r="P1236" s="3">
        <v>41275</v>
      </c>
      <c r="Q1236" s="3">
        <v>44866</v>
      </c>
      <c r="R1236" t="s">
        <v>47</v>
      </c>
      <c r="S1236" t="s">
        <v>47</v>
      </c>
      <c r="T1236" t="s">
        <v>47</v>
      </c>
      <c r="U1236" t="s">
        <v>47</v>
      </c>
      <c r="V1236" t="s">
        <v>47</v>
      </c>
      <c r="W1236" s="3">
        <v>41275</v>
      </c>
      <c r="X1236" s="3">
        <v>44866</v>
      </c>
      <c r="Y1236" t="s">
        <v>47</v>
      </c>
      <c r="Z1236" s="3">
        <v>41275</v>
      </c>
      <c r="AA1236" s="3">
        <v>44866</v>
      </c>
      <c r="AB1236" t="s">
        <v>47</v>
      </c>
      <c r="AC1236" s="3">
        <v>41275</v>
      </c>
      <c r="AD1236" s="3">
        <v>44866</v>
      </c>
      <c r="AE1236" t="s">
        <v>47</v>
      </c>
      <c r="AF1236" t="s">
        <v>47</v>
      </c>
      <c r="AG1236" t="s">
        <v>47</v>
      </c>
      <c r="AH1236" t="s">
        <v>47</v>
      </c>
      <c r="AI1236" t="s">
        <v>47</v>
      </c>
      <c r="AJ1236" t="s">
        <v>47</v>
      </c>
      <c r="AK1236" t="s">
        <v>47</v>
      </c>
      <c r="AL1236" t="s">
        <v>47</v>
      </c>
      <c r="AM1236" t="s">
        <v>47</v>
      </c>
      <c r="AN1236" t="s">
        <v>47</v>
      </c>
      <c r="AO1236" s="5" t="s">
        <v>51</v>
      </c>
      <c r="AP1236" s="4" t="s">
        <v>85</v>
      </c>
      <c r="AQ1236" s="4" t="s">
        <v>53</v>
      </c>
      <c r="AR1236" s="4" t="s">
        <v>4810</v>
      </c>
      <c r="AS1236" s="5">
        <v>2026504</v>
      </c>
      <c r="AT1236" t="s">
        <v>47</v>
      </c>
    </row>
    <row r="1237" spans="1:46" ht="65" x14ac:dyDescent="0.3">
      <c r="A1237" s="4" t="s">
        <v>4811</v>
      </c>
      <c r="B1237" t="s">
        <v>47</v>
      </c>
      <c r="C1237" s="4" t="s">
        <v>169</v>
      </c>
      <c r="D1237" s="4" t="s">
        <v>1911</v>
      </c>
      <c r="E1237" s="4" t="s">
        <v>66</v>
      </c>
      <c r="F1237" s="5" t="s">
        <v>4812</v>
      </c>
      <c r="G1237" s="5" t="s">
        <v>4813</v>
      </c>
      <c r="H1237" t="s">
        <v>47</v>
      </c>
      <c r="I1237" t="s">
        <v>47</v>
      </c>
      <c r="J1237" t="s">
        <v>47</v>
      </c>
      <c r="K1237" t="s">
        <v>47</v>
      </c>
      <c r="L1237" s="5" t="s">
        <v>60</v>
      </c>
      <c r="M1237" t="s">
        <v>47</v>
      </c>
      <c r="N1237" t="s">
        <v>47</v>
      </c>
      <c r="O1237" t="s">
        <v>47</v>
      </c>
      <c r="P1237" t="s">
        <v>47</v>
      </c>
      <c r="Q1237" t="s">
        <v>47</v>
      </c>
      <c r="R1237" t="s">
        <v>47</v>
      </c>
      <c r="S1237" t="s">
        <v>47</v>
      </c>
      <c r="T1237" t="s">
        <v>47</v>
      </c>
      <c r="U1237" t="s">
        <v>47</v>
      </c>
      <c r="V1237" t="s">
        <v>47</v>
      </c>
      <c r="W1237" s="3">
        <v>40179</v>
      </c>
      <c r="X1237" s="5" t="s">
        <v>50</v>
      </c>
      <c r="Y1237" t="s">
        <v>47</v>
      </c>
      <c r="Z1237" s="3">
        <v>40179</v>
      </c>
      <c r="AA1237" s="5" t="s">
        <v>50</v>
      </c>
      <c r="AB1237" t="s">
        <v>47</v>
      </c>
      <c r="AC1237" s="3">
        <v>40179</v>
      </c>
      <c r="AD1237" s="5" t="s">
        <v>50</v>
      </c>
      <c r="AE1237" t="s">
        <v>47</v>
      </c>
      <c r="AF1237" t="s">
        <v>47</v>
      </c>
      <c r="AG1237" t="s">
        <v>47</v>
      </c>
      <c r="AH1237" t="s">
        <v>47</v>
      </c>
      <c r="AI1237" t="s">
        <v>47</v>
      </c>
      <c r="AJ1237" t="s">
        <v>47</v>
      </c>
      <c r="AK1237" t="s">
        <v>47</v>
      </c>
      <c r="AL1237" t="s">
        <v>47</v>
      </c>
      <c r="AM1237" t="s">
        <v>47</v>
      </c>
      <c r="AN1237" t="s">
        <v>47</v>
      </c>
      <c r="AO1237" s="5" t="s">
        <v>60</v>
      </c>
      <c r="AP1237" s="4" t="s">
        <v>61</v>
      </c>
      <c r="AQ1237" s="4" t="s">
        <v>53</v>
      </c>
      <c r="AR1237" s="4" t="s">
        <v>543</v>
      </c>
      <c r="AS1237" s="5">
        <v>426715</v>
      </c>
      <c r="AT1237" t="s">
        <v>47</v>
      </c>
    </row>
    <row r="1238" spans="1:46" ht="39" x14ac:dyDescent="0.3">
      <c r="A1238" s="4" t="s">
        <v>4814</v>
      </c>
      <c r="B1238" t="s">
        <v>47</v>
      </c>
      <c r="C1238" s="4" t="s">
        <v>3288</v>
      </c>
      <c r="D1238" s="4" t="s">
        <v>3289</v>
      </c>
      <c r="E1238" s="4" t="s">
        <v>66</v>
      </c>
      <c r="F1238" s="5" t="s">
        <v>4815</v>
      </c>
      <c r="G1238" s="5" t="s">
        <v>4816</v>
      </c>
      <c r="H1238" t="s">
        <v>47</v>
      </c>
      <c r="I1238" s="3">
        <v>39814</v>
      </c>
      <c r="J1238" s="3">
        <v>40544</v>
      </c>
      <c r="K1238" t="s">
        <v>47</v>
      </c>
      <c r="L1238" s="5" t="s">
        <v>60</v>
      </c>
      <c r="M1238" s="3">
        <v>39814</v>
      </c>
      <c r="N1238" s="3">
        <v>40544</v>
      </c>
      <c r="O1238" t="s">
        <v>47</v>
      </c>
      <c r="P1238" s="3">
        <v>39814</v>
      </c>
      <c r="Q1238" s="3">
        <v>40544</v>
      </c>
      <c r="R1238" t="s">
        <v>47</v>
      </c>
      <c r="S1238" t="s">
        <v>47</v>
      </c>
      <c r="T1238" t="s">
        <v>47</v>
      </c>
      <c r="U1238" t="s">
        <v>47</v>
      </c>
      <c r="V1238" t="s">
        <v>47</v>
      </c>
      <c r="W1238" s="3">
        <v>39814</v>
      </c>
      <c r="X1238" s="3">
        <v>40544</v>
      </c>
      <c r="Y1238" t="s">
        <v>47</v>
      </c>
      <c r="Z1238" s="3">
        <v>39814</v>
      </c>
      <c r="AA1238" s="3">
        <v>40544</v>
      </c>
      <c r="AB1238" t="s">
        <v>47</v>
      </c>
      <c r="AC1238" s="3">
        <v>39814</v>
      </c>
      <c r="AD1238" s="3">
        <v>40544</v>
      </c>
      <c r="AE1238" t="s">
        <v>47</v>
      </c>
      <c r="AF1238" t="s">
        <v>47</v>
      </c>
      <c r="AG1238" t="s">
        <v>47</v>
      </c>
      <c r="AH1238" t="s">
        <v>47</v>
      </c>
      <c r="AI1238" t="s">
        <v>47</v>
      </c>
      <c r="AJ1238" t="s">
        <v>47</v>
      </c>
      <c r="AK1238" t="s">
        <v>47</v>
      </c>
      <c r="AL1238" t="s">
        <v>47</v>
      </c>
      <c r="AM1238" t="s">
        <v>47</v>
      </c>
      <c r="AN1238" t="s">
        <v>47</v>
      </c>
      <c r="AO1238" s="5" t="s">
        <v>60</v>
      </c>
      <c r="AP1238" s="4" t="s">
        <v>61</v>
      </c>
      <c r="AQ1238" s="4" t="s">
        <v>53</v>
      </c>
      <c r="AR1238" s="4" t="s">
        <v>186</v>
      </c>
      <c r="AS1238" s="5">
        <v>307108</v>
      </c>
      <c r="AT1238" t="s">
        <v>47</v>
      </c>
    </row>
    <row r="1239" spans="1:46" ht="26" x14ac:dyDescent="0.3">
      <c r="A1239" s="4" t="s">
        <v>4817</v>
      </c>
      <c r="B1239" t="s">
        <v>47</v>
      </c>
      <c r="C1239" s="4" t="s">
        <v>4818</v>
      </c>
      <c r="D1239" s="4" t="s">
        <v>2466</v>
      </c>
      <c r="E1239" s="4" t="s">
        <v>49</v>
      </c>
      <c r="F1239" s="5" t="s">
        <v>4819</v>
      </c>
      <c r="G1239" t="s">
        <v>47</v>
      </c>
      <c r="H1239" t="s">
        <v>47</v>
      </c>
      <c r="I1239" s="3">
        <v>37987</v>
      </c>
      <c r="J1239" s="3">
        <v>41275</v>
      </c>
      <c r="K1239" t="s">
        <v>47</v>
      </c>
      <c r="L1239" s="5" t="s">
        <v>51</v>
      </c>
      <c r="M1239" s="3">
        <v>37987</v>
      </c>
      <c r="N1239" s="3">
        <v>41275</v>
      </c>
      <c r="O1239" t="s">
        <v>47</v>
      </c>
      <c r="P1239" s="3">
        <v>37987</v>
      </c>
      <c r="Q1239" s="3">
        <v>41275</v>
      </c>
      <c r="R1239" t="s">
        <v>47</v>
      </c>
      <c r="S1239" t="s">
        <v>47</v>
      </c>
      <c r="T1239" t="s">
        <v>47</v>
      </c>
      <c r="U1239" t="s">
        <v>47</v>
      </c>
      <c r="V1239" t="s">
        <v>47</v>
      </c>
      <c r="W1239" s="3">
        <v>35065</v>
      </c>
      <c r="X1239" s="3">
        <v>41275</v>
      </c>
      <c r="Y1239" s="5" t="s">
        <v>251</v>
      </c>
      <c r="Z1239" s="3">
        <v>35065</v>
      </c>
      <c r="AA1239" s="3">
        <v>41275</v>
      </c>
      <c r="AB1239" s="5" t="s">
        <v>251</v>
      </c>
      <c r="AC1239" s="3">
        <v>35065</v>
      </c>
      <c r="AD1239" s="3">
        <v>37622</v>
      </c>
      <c r="AE1239" s="5" t="s">
        <v>251</v>
      </c>
      <c r="AF1239" t="s">
        <v>47</v>
      </c>
      <c r="AG1239" t="s">
        <v>47</v>
      </c>
      <c r="AH1239" t="s">
        <v>47</v>
      </c>
      <c r="AI1239" t="s">
        <v>47</v>
      </c>
      <c r="AJ1239" t="s">
        <v>47</v>
      </c>
      <c r="AK1239" t="s">
        <v>47</v>
      </c>
      <c r="AL1239" t="s">
        <v>47</v>
      </c>
      <c r="AM1239" t="s">
        <v>47</v>
      </c>
      <c r="AN1239" t="s">
        <v>47</v>
      </c>
      <c r="AO1239" s="5" t="s">
        <v>51</v>
      </c>
      <c r="AP1239" s="4" t="s">
        <v>853</v>
      </c>
      <c r="AQ1239" s="4" t="s">
        <v>53</v>
      </c>
      <c r="AR1239" s="4" t="s">
        <v>827</v>
      </c>
      <c r="AS1239" s="5">
        <v>38877</v>
      </c>
      <c r="AT1239" t="s">
        <v>47</v>
      </c>
    </row>
    <row r="1240" spans="1:46" ht="26" x14ac:dyDescent="0.3">
      <c r="A1240" s="4" t="s">
        <v>4820</v>
      </c>
      <c r="B1240" t="s">
        <v>47</v>
      </c>
      <c r="C1240" s="4" t="s">
        <v>4821</v>
      </c>
      <c r="D1240" s="4" t="s">
        <v>901</v>
      </c>
      <c r="E1240" s="4" t="s">
        <v>100</v>
      </c>
      <c r="F1240" s="5" t="s">
        <v>4822</v>
      </c>
      <c r="G1240" t="s">
        <v>47</v>
      </c>
      <c r="H1240" t="s">
        <v>47</v>
      </c>
      <c r="I1240" s="3">
        <v>38443</v>
      </c>
      <c r="J1240" s="3">
        <v>41091</v>
      </c>
      <c r="K1240" t="s">
        <v>47</v>
      </c>
      <c r="L1240" s="5" t="s">
        <v>51</v>
      </c>
      <c r="M1240" s="3">
        <v>38443</v>
      </c>
      <c r="N1240" s="3">
        <v>41091</v>
      </c>
      <c r="O1240" t="s">
        <v>47</v>
      </c>
      <c r="P1240" s="3">
        <v>38443</v>
      </c>
      <c r="Q1240" s="3">
        <v>41091</v>
      </c>
      <c r="R1240" t="s">
        <v>47</v>
      </c>
      <c r="S1240" t="s">
        <v>47</v>
      </c>
      <c r="T1240" t="s">
        <v>47</v>
      </c>
      <c r="U1240" t="s">
        <v>47</v>
      </c>
      <c r="V1240" t="s">
        <v>47</v>
      </c>
      <c r="W1240" s="3">
        <v>33848</v>
      </c>
      <c r="X1240" s="5" t="s">
        <v>50</v>
      </c>
      <c r="Y1240" s="5" t="s">
        <v>4823</v>
      </c>
      <c r="Z1240" s="3">
        <v>33848</v>
      </c>
      <c r="AA1240" s="5" t="s">
        <v>50</v>
      </c>
      <c r="AB1240" s="5" t="s">
        <v>4823</v>
      </c>
      <c r="AC1240" s="3">
        <v>42826</v>
      </c>
      <c r="AD1240" s="5" t="s">
        <v>50</v>
      </c>
      <c r="AE1240" s="5" t="s">
        <v>1199</v>
      </c>
      <c r="AF1240" t="s">
        <v>47</v>
      </c>
      <c r="AG1240" t="s">
        <v>47</v>
      </c>
      <c r="AH1240" t="s">
        <v>47</v>
      </c>
      <c r="AI1240" t="s">
        <v>47</v>
      </c>
      <c r="AJ1240" t="s">
        <v>47</v>
      </c>
      <c r="AK1240" t="s">
        <v>47</v>
      </c>
      <c r="AL1240" t="s">
        <v>47</v>
      </c>
      <c r="AM1240" t="s">
        <v>47</v>
      </c>
      <c r="AN1240" t="s">
        <v>47</v>
      </c>
      <c r="AO1240" s="5" t="s">
        <v>51</v>
      </c>
      <c r="AP1240" s="4" t="s">
        <v>135</v>
      </c>
      <c r="AQ1240" s="4" t="s">
        <v>53</v>
      </c>
      <c r="AR1240" s="4" t="s">
        <v>54</v>
      </c>
      <c r="AS1240" s="5">
        <v>43367</v>
      </c>
      <c r="AT1240" t="s">
        <v>47</v>
      </c>
    </row>
    <row r="1241" spans="1:46" ht="26" x14ac:dyDescent="0.3">
      <c r="A1241" s="4" t="s">
        <v>4824</v>
      </c>
      <c r="B1241" t="s">
        <v>47</v>
      </c>
      <c r="C1241" s="4" t="s">
        <v>4825</v>
      </c>
      <c r="D1241" s="4" t="s">
        <v>2434</v>
      </c>
      <c r="E1241" s="4" t="s">
        <v>49</v>
      </c>
      <c r="F1241" t="s">
        <v>47</v>
      </c>
      <c r="G1241" t="s">
        <v>47</v>
      </c>
      <c r="H1241" t="s">
        <v>47</v>
      </c>
      <c r="I1241" s="3">
        <v>42095</v>
      </c>
      <c r="J1241" s="3">
        <v>42705</v>
      </c>
      <c r="K1241" t="s">
        <v>47</v>
      </c>
      <c r="L1241" s="5" t="s">
        <v>60</v>
      </c>
      <c r="M1241" s="3">
        <v>42095</v>
      </c>
      <c r="N1241" s="3">
        <v>42705</v>
      </c>
      <c r="O1241" t="s">
        <v>47</v>
      </c>
      <c r="P1241" s="3">
        <v>42095</v>
      </c>
      <c r="Q1241" s="3">
        <v>42705</v>
      </c>
      <c r="R1241" t="s">
        <v>47</v>
      </c>
      <c r="S1241" t="s">
        <v>47</v>
      </c>
      <c r="T1241" t="s">
        <v>47</v>
      </c>
      <c r="U1241" t="s">
        <v>47</v>
      </c>
      <c r="V1241" t="s">
        <v>47</v>
      </c>
      <c r="W1241" s="3">
        <v>42095</v>
      </c>
      <c r="X1241" s="3">
        <v>42705</v>
      </c>
      <c r="Y1241" t="s">
        <v>47</v>
      </c>
      <c r="Z1241" s="3">
        <v>42095</v>
      </c>
      <c r="AA1241" s="3">
        <v>42705</v>
      </c>
      <c r="AB1241" t="s">
        <v>47</v>
      </c>
      <c r="AC1241" s="3">
        <v>42095</v>
      </c>
      <c r="AD1241" s="3">
        <v>42705</v>
      </c>
      <c r="AE1241" t="s">
        <v>47</v>
      </c>
      <c r="AF1241" t="s">
        <v>47</v>
      </c>
      <c r="AG1241" t="s">
        <v>47</v>
      </c>
      <c r="AH1241" t="s">
        <v>47</v>
      </c>
      <c r="AI1241" t="s">
        <v>47</v>
      </c>
      <c r="AJ1241" t="s">
        <v>47</v>
      </c>
      <c r="AK1241" t="s">
        <v>47</v>
      </c>
      <c r="AL1241" t="s">
        <v>47</v>
      </c>
      <c r="AM1241" t="s">
        <v>47</v>
      </c>
      <c r="AN1241" t="s">
        <v>47</v>
      </c>
      <c r="AO1241" s="5" t="s">
        <v>51</v>
      </c>
      <c r="AP1241" s="4" t="s">
        <v>61</v>
      </c>
      <c r="AQ1241" s="4" t="s">
        <v>53</v>
      </c>
      <c r="AR1241" s="4" t="s">
        <v>3834</v>
      </c>
      <c r="AS1241" s="5">
        <v>2043426</v>
      </c>
      <c r="AT1241" t="s">
        <v>47</v>
      </c>
    </row>
    <row r="1242" spans="1:46" ht="13" x14ac:dyDescent="0.3">
      <c r="A1242" s="4" t="s">
        <v>4826</v>
      </c>
      <c r="B1242" t="s">
        <v>47</v>
      </c>
      <c r="C1242" s="4" t="s">
        <v>169</v>
      </c>
      <c r="D1242" s="4" t="s">
        <v>748</v>
      </c>
      <c r="E1242" s="4" t="s">
        <v>66</v>
      </c>
      <c r="F1242" s="5" t="s">
        <v>4827</v>
      </c>
      <c r="G1242" s="5" t="s">
        <v>4828</v>
      </c>
      <c r="H1242" t="s">
        <v>47</v>
      </c>
      <c r="I1242" s="3">
        <v>35674</v>
      </c>
      <c r="J1242" s="3">
        <v>36770</v>
      </c>
      <c r="K1242" t="s">
        <v>47</v>
      </c>
      <c r="L1242" s="5" t="s">
        <v>60</v>
      </c>
      <c r="M1242" s="3">
        <v>35674</v>
      </c>
      <c r="N1242" s="3">
        <v>36770</v>
      </c>
      <c r="O1242" t="s">
        <v>47</v>
      </c>
      <c r="P1242" s="3">
        <v>35674</v>
      </c>
      <c r="Q1242" s="3">
        <v>36770</v>
      </c>
      <c r="R1242" t="s">
        <v>47</v>
      </c>
      <c r="S1242" t="s">
        <v>47</v>
      </c>
      <c r="T1242" t="s">
        <v>47</v>
      </c>
      <c r="U1242" t="s">
        <v>47</v>
      </c>
      <c r="V1242" t="s">
        <v>47</v>
      </c>
      <c r="W1242" s="3">
        <v>35674</v>
      </c>
      <c r="X1242" s="5" t="s">
        <v>50</v>
      </c>
      <c r="Y1242" t="s">
        <v>47</v>
      </c>
      <c r="Z1242" s="3">
        <v>35674</v>
      </c>
      <c r="AA1242" s="5" t="s">
        <v>50</v>
      </c>
      <c r="AB1242" t="s">
        <v>47</v>
      </c>
      <c r="AC1242" s="3">
        <v>35674</v>
      </c>
      <c r="AD1242" s="5" t="s">
        <v>50</v>
      </c>
      <c r="AE1242" t="s">
        <v>47</v>
      </c>
      <c r="AF1242" t="s">
        <v>47</v>
      </c>
      <c r="AG1242" t="s">
        <v>47</v>
      </c>
      <c r="AH1242" t="s">
        <v>47</v>
      </c>
      <c r="AI1242" t="s">
        <v>47</v>
      </c>
      <c r="AJ1242" t="s">
        <v>47</v>
      </c>
      <c r="AK1242" t="s">
        <v>47</v>
      </c>
      <c r="AL1242" t="s">
        <v>47</v>
      </c>
      <c r="AM1242" t="s">
        <v>47</v>
      </c>
      <c r="AN1242" t="s">
        <v>47</v>
      </c>
      <c r="AO1242" s="5" t="s">
        <v>60</v>
      </c>
      <c r="AP1242" s="4" t="s">
        <v>61</v>
      </c>
      <c r="AQ1242" s="4" t="s">
        <v>53</v>
      </c>
      <c r="AR1242" s="4" t="s">
        <v>54</v>
      </c>
      <c r="AS1242" s="5">
        <v>31424</v>
      </c>
      <c r="AT1242" t="s">
        <v>47</v>
      </c>
    </row>
    <row r="1243" spans="1:46" ht="78" x14ac:dyDescent="0.3">
      <c r="A1243" s="4" t="s">
        <v>4829</v>
      </c>
      <c r="B1243" t="s">
        <v>47</v>
      </c>
      <c r="C1243" s="4" t="s">
        <v>1989</v>
      </c>
      <c r="D1243" s="4" t="s">
        <v>1990</v>
      </c>
      <c r="E1243" s="4" t="s">
        <v>701</v>
      </c>
      <c r="F1243" s="5" t="s">
        <v>4830</v>
      </c>
      <c r="G1243" s="5" t="s">
        <v>4831</v>
      </c>
      <c r="H1243" t="s">
        <v>47</v>
      </c>
      <c r="I1243" s="3">
        <v>39448</v>
      </c>
      <c r="J1243" s="5" t="s">
        <v>50</v>
      </c>
      <c r="K1243" t="s">
        <v>47</v>
      </c>
      <c r="L1243" s="5" t="s">
        <v>60</v>
      </c>
      <c r="M1243" s="3">
        <v>39448</v>
      </c>
      <c r="N1243" s="5" t="s">
        <v>50</v>
      </c>
      <c r="O1243" t="s">
        <v>47</v>
      </c>
      <c r="P1243" s="3">
        <v>39448</v>
      </c>
      <c r="Q1243" s="5" t="s">
        <v>50</v>
      </c>
      <c r="R1243" t="s">
        <v>47</v>
      </c>
      <c r="S1243" t="s">
        <v>47</v>
      </c>
      <c r="T1243" t="s">
        <v>47</v>
      </c>
      <c r="U1243" t="s">
        <v>47</v>
      </c>
      <c r="V1243" t="s">
        <v>47</v>
      </c>
      <c r="W1243" s="3">
        <v>39448</v>
      </c>
      <c r="X1243" s="5" t="s">
        <v>50</v>
      </c>
      <c r="Y1243" t="s">
        <v>47</v>
      </c>
      <c r="Z1243" s="3">
        <v>39448</v>
      </c>
      <c r="AA1243" s="5" t="s">
        <v>50</v>
      </c>
      <c r="AB1243" t="s">
        <v>47</v>
      </c>
      <c r="AC1243" s="3">
        <v>42614</v>
      </c>
      <c r="AD1243" s="5" t="s">
        <v>50</v>
      </c>
      <c r="AE1243" t="s">
        <v>47</v>
      </c>
      <c r="AF1243" t="s">
        <v>47</v>
      </c>
      <c r="AG1243" t="s">
        <v>47</v>
      </c>
      <c r="AH1243" t="s">
        <v>47</v>
      </c>
      <c r="AI1243" t="s">
        <v>47</v>
      </c>
      <c r="AJ1243" t="s">
        <v>47</v>
      </c>
      <c r="AK1243" t="s">
        <v>47</v>
      </c>
      <c r="AL1243" t="s">
        <v>47</v>
      </c>
      <c r="AM1243" t="s">
        <v>47</v>
      </c>
      <c r="AN1243" t="s">
        <v>47</v>
      </c>
      <c r="AO1243" s="5" t="s">
        <v>60</v>
      </c>
      <c r="AP1243" s="4" t="s">
        <v>61</v>
      </c>
      <c r="AQ1243" s="4" t="s">
        <v>4832</v>
      </c>
      <c r="AR1243" s="4" t="s">
        <v>436</v>
      </c>
      <c r="AS1243" s="5">
        <v>75759</v>
      </c>
      <c r="AT1243" t="s">
        <v>47</v>
      </c>
    </row>
    <row r="1244" spans="1:46" ht="65" x14ac:dyDescent="0.3">
      <c r="A1244" s="4" t="s">
        <v>4833</v>
      </c>
      <c r="B1244" t="s">
        <v>47</v>
      </c>
      <c r="C1244" s="4" t="s">
        <v>4479</v>
      </c>
      <c r="D1244" s="4" t="s">
        <v>70</v>
      </c>
      <c r="E1244" s="4" t="s">
        <v>49</v>
      </c>
      <c r="F1244" s="5" t="s">
        <v>4834</v>
      </c>
      <c r="G1244" s="5" t="s">
        <v>4835</v>
      </c>
      <c r="H1244" t="s">
        <v>47</v>
      </c>
      <c r="I1244" t="s">
        <v>47</v>
      </c>
      <c r="J1244" t="s">
        <v>47</v>
      </c>
      <c r="K1244" t="s">
        <v>47</v>
      </c>
      <c r="L1244" s="5" t="s">
        <v>51</v>
      </c>
      <c r="M1244" t="s">
        <v>47</v>
      </c>
      <c r="N1244" t="s">
        <v>47</v>
      </c>
      <c r="O1244" t="s">
        <v>47</v>
      </c>
      <c r="P1244" t="s">
        <v>47</v>
      </c>
      <c r="Q1244" t="s">
        <v>47</v>
      </c>
      <c r="R1244" t="s">
        <v>47</v>
      </c>
      <c r="S1244" t="s">
        <v>47</v>
      </c>
      <c r="T1244" t="s">
        <v>47</v>
      </c>
      <c r="U1244" t="s">
        <v>47</v>
      </c>
      <c r="V1244" t="s">
        <v>47</v>
      </c>
      <c r="W1244" s="3">
        <v>32154</v>
      </c>
      <c r="X1244" s="3">
        <v>39814</v>
      </c>
      <c r="Y1244" t="s">
        <v>47</v>
      </c>
      <c r="Z1244" s="3">
        <v>32154</v>
      </c>
      <c r="AA1244" s="3">
        <v>39814</v>
      </c>
      <c r="AB1244" t="s">
        <v>47</v>
      </c>
      <c r="AC1244" s="3">
        <v>32154</v>
      </c>
      <c r="AD1244" s="3">
        <v>39814</v>
      </c>
      <c r="AE1244" t="s">
        <v>47</v>
      </c>
      <c r="AF1244" t="s">
        <v>47</v>
      </c>
      <c r="AG1244" t="s">
        <v>47</v>
      </c>
      <c r="AH1244" t="s">
        <v>47</v>
      </c>
      <c r="AI1244" t="s">
        <v>47</v>
      </c>
      <c r="AJ1244" t="s">
        <v>47</v>
      </c>
      <c r="AK1244" t="s">
        <v>47</v>
      </c>
      <c r="AL1244" t="s">
        <v>47</v>
      </c>
      <c r="AM1244" t="s">
        <v>47</v>
      </c>
      <c r="AN1244" t="s">
        <v>47</v>
      </c>
      <c r="AO1244" s="5" t="s">
        <v>51</v>
      </c>
      <c r="AP1244" s="4" t="s">
        <v>135</v>
      </c>
      <c r="AQ1244" s="4" t="s">
        <v>53</v>
      </c>
      <c r="AR1244" s="4" t="s">
        <v>4485</v>
      </c>
      <c r="AS1244" s="5">
        <v>49166</v>
      </c>
      <c r="AT1244" t="s">
        <v>47</v>
      </c>
    </row>
    <row r="1245" spans="1:46" ht="39" x14ac:dyDescent="0.3">
      <c r="A1245" s="4" t="s">
        <v>4836</v>
      </c>
      <c r="B1245" t="s">
        <v>47</v>
      </c>
      <c r="C1245" s="4" t="s">
        <v>4837</v>
      </c>
      <c r="D1245" s="4" t="s">
        <v>765</v>
      </c>
      <c r="E1245" s="4" t="s">
        <v>49</v>
      </c>
      <c r="F1245" s="5" t="s">
        <v>4838</v>
      </c>
      <c r="G1245" t="s">
        <v>47</v>
      </c>
      <c r="H1245" t="s">
        <v>47</v>
      </c>
      <c r="I1245" s="3">
        <v>35704</v>
      </c>
      <c r="J1245" s="3">
        <v>41487</v>
      </c>
      <c r="K1245" t="s">
        <v>47</v>
      </c>
      <c r="L1245" s="5" t="s">
        <v>51</v>
      </c>
      <c r="M1245" s="3">
        <v>35704</v>
      </c>
      <c r="N1245" s="3">
        <v>41487</v>
      </c>
      <c r="O1245" t="s">
        <v>47</v>
      </c>
      <c r="P1245" s="3">
        <v>35704</v>
      </c>
      <c r="Q1245" s="3">
        <v>41487</v>
      </c>
      <c r="R1245" t="s">
        <v>47</v>
      </c>
      <c r="S1245" t="s">
        <v>47</v>
      </c>
      <c r="T1245" t="s">
        <v>47</v>
      </c>
      <c r="U1245" t="s">
        <v>47</v>
      </c>
      <c r="V1245" t="s">
        <v>47</v>
      </c>
      <c r="W1245" s="3">
        <v>32143</v>
      </c>
      <c r="X1245" s="3">
        <v>41487</v>
      </c>
      <c r="Y1245" t="s">
        <v>47</v>
      </c>
      <c r="Z1245" s="3">
        <v>32143</v>
      </c>
      <c r="AA1245" s="3">
        <v>41487</v>
      </c>
      <c r="AB1245" t="s">
        <v>47</v>
      </c>
      <c r="AC1245" s="3">
        <v>32143</v>
      </c>
      <c r="AD1245" s="3">
        <v>41487</v>
      </c>
      <c r="AE1245" t="s">
        <v>47</v>
      </c>
      <c r="AF1245" t="s">
        <v>47</v>
      </c>
      <c r="AG1245" t="s">
        <v>47</v>
      </c>
      <c r="AH1245" t="s">
        <v>47</v>
      </c>
      <c r="AI1245" t="s">
        <v>47</v>
      </c>
      <c r="AJ1245" t="s">
        <v>47</v>
      </c>
      <c r="AK1245" t="s">
        <v>47</v>
      </c>
      <c r="AL1245" t="s">
        <v>47</v>
      </c>
      <c r="AM1245" t="s">
        <v>47</v>
      </c>
      <c r="AN1245" t="s">
        <v>47</v>
      </c>
      <c r="AO1245" s="5" t="s">
        <v>51</v>
      </c>
      <c r="AP1245" s="4" t="s">
        <v>135</v>
      </c>
      <c r="AQ1245" s="4" t="s">
        <v>53</v>
      </c>
      <c r="AR1245" s="4" t="s">
        <v>4481</v>
      </c>
      <c r="AS1245" s="5">
        <v>36096</v>
      </c>
      <c r="AT1245" t="s">
        <v>47</v>
      </c>
    </row>
    <row r="1246" spans="1:46" ht="39" x14ac:dyDescent="0.3">
      <c r="A1246" s="4" t="s">
        <v>4839</v>
      </c>
      <c r="B1246" t="s">
        <v>47</v>
      </c>
      <c r="C1246" s="4" t="s">
        <v>4837</v>
      </c>
      <c r="D1246" s="4" t="s">
        <v>765</v>
      </c>
      <c r="E1246" s="4" t="s">
        <v>49</v>
      </c>
      <c r="F1246" t="s">
        <v>47</v>
      </c>
      <c r="G1246" t="s">
        <v>47</v>
      </c>
      <c r="H1246" t="s">
        <v>47</v>
      </c>
      <c r="I1246" s="3">
        <v>35765</v>
      </c>
      <c r="J1246" s="3">
        <v>38960</v>
      </c>
      <c r="K1246" t="s">
        <v>47</v>
      </c>
      <c r="L1246" s="5" t="s">
        <v>51</v>
      </c>
      <c r="M1246" s="3">
        <v>35765</v>
      </c>
      <c r="N1246" s="3">
        <v>38960</v>
      </c>
      <c r="O1246" t="s">
        <v>47</v>
      </c>
      <c r="P1246" t="s">
        <v>47</v>
      </c>
      <c r="Q1246" t="s">
        <v>47</v>
      </c>
      <c r="R1246" t="s">
        <v>47</v>
      </c>
      <c r="S1246" t="s">
        <v>47</v>
      </c>
      <c r="T1246" t="s">
        <v>47</v>
      </c>
      <c r="U1246" t="s">
        <v>47</v>
      </c>
      <c r="V1246" t="s">
        <v>47</v>
      </c>
      <c r="W1246" s="3">
        <v>35765</v>
      </c>
      <c r="X1246" s="3">
        <v>38960</v>
      </c>
      <c r="Y1246" t="s">
        <v>47</v>
      </c>
      <c r="Z1246" s="3">
        <v>35765</v>
      </c>
      <c r="AA1246" s="3">
        <v>38960</v>
      </c>
      <c r="AB1246" t="s">
        <v>47</v>
      </c>
      <c r="AC1246" s="3">
        <v>36012</v>
      </c>
      <c r="AD1246" s="3">
        <v>38960</v>
      </c>
      <c r="AE1246" t="s">
        <v>47</v>
      </c>
      <c r="AF1246" t="s">
        <v>47</v>
      </c>
      <c r="AG1246" t="s">
        <v>47</v>
      </c>
      <c r="AH1246" t="s">
        <v>47</v>
      </c>
      <c r="AI1246" t="s">
        <v>47</v>
      </c>
      <c r="AJ1246" t="s">
        <v>47</v>
      </c>
      <c r="AK1246" t="s">
        <v>47</v>
      </c>
      <c r="AL1246" t="s">
        <v>47</v>
      </c>
      <c r="AM1246" t="s">
        <v>47</v>
      </c>
      <c r="AN1246" t="s">
        <v>47</v>
      </c>
      <c r="AO1246" s="5" t="s">
        <v>51</v>
      </c>
      <c r="AP1246" s="4" t="s">
        <v>85</v>
      </c>
      <c r="AQ1246" s="4" t="s">
        <v>53</v>
      </c>
      <c r="AR1246" s="4" t="s">
        <v>4481</v>
      </c>
      <c r="AS1246" s="5">
        <v>26701</v>
      </c>
      <c r="AT1246" t="s">
        <v>47</v>
      </c>
    </row>
    <row r="1247" spans="1:46" ht="13" x14ac:dyDescent="0.3">
      <c r="A1247" s="4" t="s">
        <v>4840</v>
      </c>
      <c r="B1247" t="s">
        <v>47</v>
      </c>
      <c r="C1247" s="4" t="s">
        <v>4837</v>
      </c>
      <c r="D1247" s="4" t="s">
        <v>765</v>
      </c>
      <c r="E1247" s="4" t="s">
        <v>49</v>
      </c>
      <c r="F1247" t="s">
        <v>47</v>
      </c>
      <c r="G1247" s="5" t="s">
        <v>4841</v>
      </c>
      <c r="H1247" t="s">
        <v>47</v>
      </c>
      <c r="I1247" s="3">
        <v>41640</v>
      </c>
      <c r="J1247" s="5" t="s">
        <v>50</v>
      </c>
      <c r="K1247" s="5" t="s">
        <v>4842</v>
      </c>
      <c r="L1247" s="5" t="s">
        <v>51</v>
      </c>
      <c r="M1247" s="3">
        <v>41640</v>
      </c>
      <c r="N1247" s="5" t="s">
        <v>50</v>
      </c>
      <c r="O1247" s="5" t="s">
        <v>4842</v>
      </c>
      <c r="P1247" s="3">
        <v>41640</v>
      </c>
      <c r="Q1247" s="5" t="s">
        <v>50</v>
      </c>
      <c r="R1247" s="5" t="s">
        <v>4842</v>
      </c>
      <c r="S1247" t="s">
        <v>47</v>
      </c>
      <c r="T1247" t="s">
        <v>47</v>
      </c>
      <c r="U1247" t="s">
        <v>47</v>
      </c>
      <c r="V1247" t="s">
        <v>47</v>
      </c>
      <c r="W1247" s="3">
        <v>41640</v>
      </c>
      <c r="X1247" s="5" t="s">
        <v>50</v>
      </c>
      <c r="Y1247" s="5" t="s">
        <v>4842</v>
      </c>
      <c r="Z1247" s="3">
        <v>41640</v>
      </c>
      <c r="AA1247" s="5" t="s">
        <v>50</v>
      </c>
      <c r="AB1247" s="5" t="s">
        <v>4842</v>
      </c>
      <c r="AC1247" s="3">
        <v>41640</v>
      </c>
      <c r="AD1247" s="5" t="s">
        <v>50</v>
      </c>
      <c r="AE1247" s="5" t="s">
        <v>4842</v>
      </c>
      <c r="AF1247" t="s">
        <v>47</v>
      </c>
      <c r="AG1247" t="s">
        <v>47</v>
      </c>
      <c r="AH1247" t="s">
        <v>47</v>
      </c>
      <c r="AI1247" t="s">
        <v>47</v>
      </c>
      <c r="AJ1247" t="s">
        <v>47</v>
      </c>
      <c r="AK1247" t="s">
        <v>47</v>
      </c>
      <c r="AL1247" t="s">
        <v>47</v>
      </c>
      <c r="AM1247" t="s">
        <v>47</v>
      </c>
      <c r="AN1247" t="s">
        <v>47</v>
      </c>
      <c r="AO1247" s="5" t="s">
        <v>51</v>
      </c>
      <c r="AP1247" s="4" t="s">
        <v>135</v>
      </c>
      <c r="AQ1247" s="4" t="s">
        <v>53</v>
      </c>
      <c r="AR1247" s="4" t="s">
        <v>4626</v>
      </c>
      <c r="AS1247" s="5">
        <v>2032764</v>
      </c>
      <c r="AT1247" t="s">
        <v>47</v>
      </c>
    </row>
    <row r="1248" spans="1:46" ht="13" x14ac:dyDescent="0.3">
      <c r="A1248" s="4" t="s">
        <v>4843</v>
      </c>
      <c r="B1248" t="s">
        <v>47</v>
      </c>
      <c r="C1248" s="4" t="s">
        <v>115</v>
      </c>
      <c r="D1248" s="4" t="s">
        <v>3189</v>
      </c>
      <c r="E1248" s="4" t="s">
        <v>66</v>
      </c>
      <c r="F1248" t="s">
        <v>47</v>
      </c>
      <c r="G1248" t="s">
        <v>47</v>
      </c>
      <c r="H1248" t="s">
        <v>47</v>
      </c>
      <c r="I1248" s="3">
        <v>42917</v>
      </c>
      <c r="J1248" s="5" t="s">
        <v>50</v>
      </c>
      <c r="K1248" t="s">
        <v>47</v>
      </c>
      <c r="L1248" s="5" t="s">
        <v>60</v>
      </c>
      <c r="M1248" s="3">
        <v>42917</v>
      </c>
      <c r="N1248" s="5" t="s">
        <v>50</v>
      </c>
      <c r="O1248" t="s">
        <v>47</v>
      </c>
      <c r="P1248" s="3">
        <v>42917</v>
      </c>
      <c r="Q1248" s="5" t="s">
        <v>50</v>
      </c>
      <c r="R1248" t="s">
        <v>47</v>
      </c>
      <c r="S1248" t="s">
        <v>47</v>
      </c>
      <c r="T1248" t="s">
        <v>47</v>
      </c>
      <c r="U1248" t="s">
        <v>47</v>
      </c>
      <c r="V1248" t="s">
        <v>47</v>
      </c>
      <c r="W1248" s="3">
        <v>42917</v>
      </c>
      <c r="X1248" s="5" t="s">
        <v>50</v>
      </c>
      <c r="Y1248" t="s">
        <v>47</v>
      </c>
      <c r="Z1248" s="3">
        <v>42917</v>
      </c>
      <c r="AA1248" s="5" t="s">
        <v>50</v>
      </c>
      <c r="AB1248" t="s">
        <v>47</v>
      </c>
      <c r="AC1248" s="3">
        <v>42917</v>
      </c>
      <c r="AD1248" s="5" t="s">
        <v>50</v>
      </c>
      <c r="AE1248" t="s">
        <v>47</v>
      </c>
      <c r="AF1248" t="s">
        <v>47</v>
      </c>
      <c r="AG1248" t="s">
        <v>47</v>
      </c>
      <c r="AH1248" t="s">
        <v>47</v>
      </c>
      <c r="AI1248" t="s">
        <v>47</v>
      </c>
      <c r="AJ1248" t="s">
        <v>47</v>
      </c>
      <c r="AK1248" t="s">
        <v>47</v>
      </c>
      <c r="AL1248" t="s">
        <v>47</v>
      </c>
      <c r="AM1248" t="s">
        <v>47</v>
      </c>
      <c r="AN1248" t="s">
        <v>47</v>
      </c>
      <c r="AO1248" s="5" t="s">
        <v>60</v>
      </c>
      <c r="AP1248" s="4" t="s">
        <v>61</v>
      </c>
      <c r="AQ1248" s="4" t="s">
        <v>53</v>
      </c>
      <c r="AR1248" s="4" t="s">
        <v>54</v>
      </c>
      <c r="AS1248" s="5">
        <v>5340586</v>
      </c>
      <c r="AT1248" t="s">
        <v>47</v>
      </c>
    </row>
    <row r="1249" spans="1:46" ht="104" x14ac:dyDescent="0.3">
      <c r="A1249" s="4" t="s">
        <v>4844</v>
      </c>
      <c r="B1249" t="s">
        <v>47</v>
      </c>
      <c r="C1249" s="4" t="s">
        <v>193</v>
      </c>
      <c r="D1249" s="4" t="s">
        <v>194</v>
      </c>
      <c r="E1249" s="4" t="s">
        <v>195</v>
      </c>
      <c r="F1249" s="5" t="s">
        <v>4845</v>
      </c>
      <c r="G1249" s="5" t="s">
        <v>4846</v>
      </c>
      <c r="H1249" t="s">
        <v>47</v>
      </c>
      <c r="I1249" t="s">
        <v>47</v>
      </c>
      <c r="J1249" t="s">
        <v>47</v>
      </c>
      <c r="K1249" t="s">
        <v>47</v>
      </c>
      <c r="L1249" s="5" t="s">
        <v>51</v>
      </c>
      <c r="M1249" t="s">
        <v>47</v>
      </c>
      <c r="N1249" t="s">
        <v>47</v>
      </c>
      <c r="O1249" t="s">
        <v>47</v>
      </c>
      <c r="P1249" t="s">
        <v>47</v>
      </c>
      <c r="Q1249" t="s">
        <v>47</v>
      </c>
      <c r="R1249" t="s">
        <v>47</v>
      </c>
      <c r="S1249" t="s">
        <v>47</v>
      </c>
      <c r="T1249" t="s">
        <v>47</v>
      </c>
      <c r="U1249" t="s">
        <v>47</v>
      </c>
      <c r="V1249" t="s">
        <v>47</v>
      </c>
      <c r="W1249" s="3">
        <v>39142</v>
      </c>
      <c r="X1249" s="3">
        <v>39722</v>
      </c>
      <c r="Y1249" t="s">
        <v>47</v>
      </c>
      <c r="Z1249" s="3">
        <v>39142</v>
      </c>
      <c r="AA1249" s="3">
        <v>39722</v>
      </c>
      <c r="AB1249" t="s">
        <v>47</v>
      </c>
      <c r="AC1249" s="3">
        <v>39142</v>
      </c>
      <c r="AD1249" s="3">
        <v>39722</v>
      </c>
      <c r="AE1249" t="s">
        <v>47</v>
      </c>
      <c r="AF1249" t="s">
        <v>47</v>
      </c>
      <c r="AG1249" t="s">
        <v>47</v>
      </c>
      <c r="AH1249" t="s">
        <v>47</v>
      </c>
      <c r="AI1249" t="s">
        <v>47</v>
      </c>
      <c r="AJ1249" t="s">
        <v>47</v>
      </c>
      <c r="AK1249" t="s">
        <v>47</v>
      </c>
      <c r="AL1249" t="s">
        <v>47</v>
      </c>
      <c r="AM1249" t="s">
        <v>47</v>
      </c>
      <c r="AN1249" t="s">
        <v>47</v>
      </c>
      <c r="AO1249" s="5" t="s">
        <v>51</v>
      </c>
      <c r="AP1249" s="4" t="s">
        <v>853</v>
      </c>
      <c r="AQ1249" s="4" t="s">
        <v>53</v>
      </c>
      <c r="AR1249" s="4" t="s">
        <v>4847</v>
      </c>
      <c r="AS1249" s="5">
        <v>55374</v>
      </c>
      <c r="AT1249" t="s">
        <v>47</v>
      </c>
    </row>
    <row r="1250" spans="1:46" ht="78" x14ac:dyDescent="0.3">
      <c r="A1250" s="4" t="s">
        <v>4848</v>
      </c>
      <c r="B1250" t="s">
        <v>47</v>
      </c>
      <c r="C1250" s="4" t="s">
        <v>193</v>
      </c>
      <c r="D1250" s="4" t="s">
        <v>194</v>
      </c>
      <c r="E1250" s="4" t="s">
        <v>195</v>
      </c>
      <c r="F1250" t="s">
        <v>47</v>
      </c>
      <c r="G1250" s="5" t="s">
        <v>4849</v>
      </c>
      <c r="H1250" t="s">
        <v>47</v>
      </c>
      <c r="I1250" s="3">
        <v>36672</v>
      </c>
      <c r="J1250" s="3">
        <v>43818</v>
      </c>
      <c r="K1250" s="5" t="s">
        <v>4850</v>
      </c>
      <c r="L1250" s="5" t="s">
        <v>51</v>
      </c>
      <c r="M1250" t="s">
        <v>47</v>
      </c>
      <c r="N1250" t="s">
        <v>47</v>
      </c>
      <c r="O1250" t="s">
        <v>47</v>
      </c>
      <c r="P1250" s="3">
        <v>36672</v>
      </c>
      <c r="Q1250" s="3">
        <v>43818</v>
      </c>
      <c r="R1250" s="5" t="s">
        <v>4850</v>
      </c>
      <c r="S1250" t="s">
        <v>47</v>
      </c>
      <c r="T1250" t="s">
        <v>47</v>
      </c>
      <c r="U1250" t="s">
        <v>47</v>
      </c>
      <c r="V1250" t="s">
        <v>47</v>
      </c>
      <c r="W1250" s="3">
        <v>36672</v>
      </c>
      <c r="X1250" s="3">
        <v>43818</v>
      </c>
      <c r="Y1250" s="5" t="s">
        <v>4850</v>
      </c>
      <c r="Z1250" s="3">
        <v>36672</v>
      </c>
      <c r="AA1250" s="3">
        <v>43818</v>
      </c>
      <c r="AB1250" s="5" t="s">
        <v>4850</v>
      </c>
      <c r="AC1250" s="3">
        <v>36672</v>
      </c>
      <c r="AD1250" s="3">
        <v>43818</v>
      </c>
      <c r="AE1250" s="5" t="s">
        <v>4850</v>
      </c>
      <c r="AF1250" t="s">
        <v>47</v>
      </c>
      <c r="AG1250" t="s">
        <v>47</v>
      </c>
      <c r="AH1250" t="s">
        <v>47</v>
      </c>
      <c r="AI1250" t="s">
        <v>47</v>
      </c>
      <c r="AJ1250" t="s">
        <v>47</v>
      </c>
      <c r="AK1250" t="s">
        <v>47</v>
      </c>
      <c r="AL1250" t="s">
        <v>47</v>
      </c>
      <c r="AM1250" t="s">
        <v>47</v>
      </c>
      <c r="AN1250" t="s">
        <v>47</v>
      </c>
      <c r="AO1250" s="5" t="s">
        <v>51</v>
      </c>
      <c r="AP1250" s="4" t="s">
        <v>1756</v>
      </c>
      <c r="AQ1250" s="4" t="s">
        <v>2519</v>
      </c>
      <c r="AR1250" s="4" t="s">
        <v>595</v>
      </c>
      <c r="AS1250" s="5">
        <v>6245974</v>
      </c>
      <c r="AT1250" t="s">
        <v>47</v>
      </c>
    </row>
    <row r="1251" spans="1:46" ht="52" x14ac:dyDescent="0.3">
      <c r="A1251" s="4" t="s">
        <v>4851</v>
      </c>
      <c r="B1251" t="s">
        <v>47</v>
      </c>
      <c r="C1251" s="4" t="s">
        <v>193</v>
      </c>
      <c r="D1251" s="4" t="s">
        <v>194</v>
      </c>
      <c r="E1251" s="4" t="s">
        <v>195</v>
      </c>
      <c r="F1251" t="s">
        <v>47</v>
      </c>
      <c r="G1251" s="5" t="s">
        <v>4852</v>
      </c>
      <c r="H1251" t="s">
        <v>47</v>
      </c>
      <c r="I1251" s="3">
        <v>40909</v>
      </c>
      <c r="J1251" s="5" t="s">
        <v>50</v>
      </c>
      <c r="K1251" t="s">
        <v>47</v>
      </c>
      <c r="L1251" s="5" t="s">
        <v>51</v>
      </c>
      <c r="M1251" s="3">
        <v>40909</v>
      </c>
      <c r="N1251" s="3">
        <v>44896</v>
      </c>
      <c r="O1251" t="s">
        <v>47</v>
      </c>
      <c r="P1251" s="3">
        <v>40909</v>
      </c>
      <c r="Q1251" s="5" t="s">
        <v>50</v>
      </c>
      <c r="R1251" t="s">
        <v>47</v>
      </c>
      <c r="S1251" t="s">
        <v>47</v>
      </c>
      <c r="T1251" t="s">
        <v>47</v>
      </c>
      <c r="U1251" t="s">
        <v>47</v>
      </c>
      <c r="V1251" s="5">
        <v>180</v>
      </c>
      <c r="W1251" s="3">
        <v>40909</v>
      </c>
      <c r="X1251" s="5" t="s">
        <v>50</v>
      </c>
      <c r="Y1251" t="s">
        <v>47</v>
      </c>
      <c r="Z1251" s="3">
        <v>40909</v>
      </c>
      <c r="AA1251" s="5" t="s">
        <v>50</v>
      </c>
      <c r="AB1251" t="s">
        <v>47</v>
      </c>
      <c r="AC1251" s="3">
        <v>40909</v>
      </c>
      <c r="AD1251" s="5" t="s">
        <v>50</v>
      </c>
      <c r="AE1251" t="s">
        <v>47</v>
      </c>
      <c r="AF1251" t="s">
        <v>47</v>
      </c>
      <c r="AG1251" t="s">
        <v>47</v>
      </c>
      <c r="AH1251" t="s">
        <v>47</v>
      </c>
      <c r="AI1251" t="s">
        <v>47</v>
      </c>
      <c r="AJ1251" t="s">
        <v>47</v>
      </c>
      <c r="AK1251" t="s">
        <v>47</v>
      </c>
      <c r="AL1251" t="s">
        <v>47</v>
      </c>
      <c r="AM1251" t="s">
        <v>47</v>
      </c>
      <c r="AN1251" t="s">
        <v>47</v>
      </c>
      <c r="AO1251" s="5" t="s">
        <v>51</v>
      </c>
      <c r="AP1251" s="4" t="s">
        <v>197</v>
      </c>
      <c r="AQ1251" s="4" t="s">
        <v>53</v>
      </c>
      <c r="AR1251" s="4" t="s">
        <v>1337</v>
      </c>
      <c r="AS1251" s="5">
        <v>2026456</v>
      </c>
      <c r="AT1251" t="s">
        <v>47</v>
      </c>
    </row>
    <row r="1252" spans="1:46" ht="13" x14ac:dyDescent="0.3">
      <c r="A1252" s="4" t="s">
        <v>4853</v>
      </c>
      <c r="B1252" t="s">
        <v>47</v>
      </c>
      <c r="C1252" s="4" t="s">
        <v>1952</v>
      </c>
      <c r="D1252" s="4" t="s">
        <v>319</v>
      </c>
      <c r="E1252" s="4" t="s">
        <v>66</v>
      </c>
      <c r="F1252" s="5" t="s">
        <v>4854</v>
      </c>
      <c r="G1252" s="5" t="s">
        <v>4855</v>
      </c>
      <c r="H1252" t="s">
        <v>47</v>
      </c>
      <c r="I1252" t="s">
        <v>47</v>
      </c>
      <c r="J1252" t="s">
        <v>47</v>
      </c>
      <c r="K1252" t="s">
        <v>47</v>
      </c>
      <c r="L1252" s="5" t="s">
        <v>60</v>
      </c>
      <c r="M1252" t="s">
        <v>47</v>
      </c>
      <c r="N1252" t="s">
        <v>47</v>
      </c>
      <c r="O1252" t="s">
        <v>47</v>
      </c>
      <c r="P1252" t="s">
        <v>47</v>
      </c>
      <c r="Q1252" t="s">
        <v>47</v>
      </c>
      <c r="R1252" t="s">
        <v>47</v>
      </c>
      <c r="S1252" t="s">
        <v>47</v>
      </c>
      <c r="T1252" t="s">
        <v>47</v>
      </c>
      <c r="U1252" t="s">
        <v>47</v>
      </c>
      <c r="V1252" t="s">
        <v>47</v>
      </c>
      <c r="W1252" s="3">
        <v>37987</v>
      </c>
      <c r="X1252" s="5" t="s">
        <v>50</v>
      </c>
      <c r="Y1252" t="s">
        <v>47</v>
      </c>
      <c r="Z1252" s="3">
        <v>37987</v>
      </c>
      <c r="AA1252" s="5" t="s">
        <v>50</v>
      </c>
      <c r="AB1252" t="s">
        <v>47</v>
      </c>
      <c r="AC1252" s="3">
        <v>37987</v>
      </c>
      <c r="AD1252" s="5" t="s">
        <v>50</v>
      </c>
      <c r="AE1252" t="s">
        <v>47</v>
      </c>
      <c r="AF1252" t="s">
        <v>47</v>
      </c>
      <c r="AG1252" t="s">
        <v>47</v>
      </c>
      <c r="AH1252" t="s">
        <v>47</v>
      </c>
      <c r="AI1252" t="s">
        <v>47</v>
      </c>
      <c r="AJ1252" t="s">
        <v>47</v>
      </c>
      <c r="AK1252" t="s">
        <v>47</v>
      </c>
      <c r="AL1252" t="s">
        <v>47</v>
      </c>
      <c r="AM1252" t="s">
        <v>47</v>
      </c>
      <c r="AN1252" t="s">
        <v>47</v>
      </c>
      <c r="AO1252" s="5" t="s">
        <v>60</v>
      </c>
      <c r="AP1252" s="4" t="s">
        <v>61</v>
      </c>
      <c r="AQ1252" s="4" t="s">
        <v>53</v>
      </c>
      <c r="AR1252" s="4" t="s">
        <v>54</v>
      </c>
      <c r="AS1252" s="5">
        <v>7484</v>
      </c>
      <c r="AT1252" t="s">
        <v>47</v>
      </c>
    </row>
    <row r="1253" spans="1:46" ht="26" x14ac:dyDescent="0.3">
      <c r="A1253" s="4" t="s">
        <v>4856</v>
      </c>
      <c r="B1253" t="s">
        <v>47</v>
      </c>
      <c r="C1253" s="4" t="s">
        <v>397</v>
      </c>
      <c r="D1253" s="4" t="s">
        <v>88</v>
      </c>
      <c r="E1253" s="4" t="s">
        <v>66</v>
      </c>
      <c r="F1253" s="5" t="s">
        <v>4857</v>
      </c>
      <c r="G1253" s="5" t="s">
        <v>4858</v>
      </c>
      <c r="H1253" t="s">
        <v>47</v>
      </c>
      <c r="I1253" s="3">
        <v>34394</v>
      </c>
      <c r="J1253" s="5" t="s">
        <v>50</v>
      </c>
      <c r="K1253" s="5" t="s">
        <v>1578</v>
      </c>
      <c r="L1253" s="5" t="s">
        <v>60</v>
      </c>
      <c r="M1253" s="3">
        <v>34394</v>
      </c>
      <c r="N1253" s="5" t="s">
        <v>50</v>
      </c>
      <c r="O1253" s="5" t="s">
        <v>1578</v>
      </c>
      <c r="P1253" s="3">
        <v>35309</v>
      </c>
      <c r="Q1253" s="5" t="s">
        <v>50</v>
      </c>
      <c r="R1253" s="5" t="s">
        <v>1578</v>
      </c>
      <c r="S1253" t="s">
        <v>47</v>
      </c>
      <c r="T1253" t="s">
        <v>47</v>
      </c>
      <c r="U1253" t="s">
        <v>47</v>
      </c>
      <c r="V1253" s="5">
        <v>365</v>
      </c>
      <c r="W1253" s="3">
        <v>32568</v>
      </c>
      <c r="X1253" s="5" t="s">
        <v>50</v>
      </c>
      <c r="Y1253" s="5" t="s">
        <v>1578</v>
      </c>
      <c r="Z1253" s="3">
        <v>32568</v>
      </c>
      <c r="AA1253" s="5" t="s">
        <v>50</v>
      </c>
      <c r="AB1253" s="5" t="s">
        <v>1578</v>
      </c>
      <c r="AC1253" s="3">
        <v>32568</v>
      </c>
      <c r="AD1253" s="5" t="s">
        <v>50</v>
      </c>
      <c r="AE1253" s="5" t="s">
        <v>1578</v>
      </c>
      <c r="AF1253" t="s">
        <v>47</v>
      </c>
      <c r="AG1253" t="s">
        <v>47</v>
      </c>
      <c r="AH1253" t="s">
        <v>47</v>
      </c>
      <c r="AI1253" t="s">
        <v>47</v>
      </c>
      <c r="AJ1253" t="s">
        <v>47</v>
      </c>
      <c r="AK1253" t="s">
        <v>47</v>
      </c>
      <c r="AL1253" t="s">
        <v>47</v>
      </c>
      <c r="AM1253" t="s">
        <v>47</v>
      </c>
      <c r="AN1253" t="s">
        <v>47</v>
      </c>
      <c r="AO1253" s="5" t="s">
        <v>60</v>
      </c>
      <c r="AP1253" s="4" t="s">
        <v>61</v>
      </c>
      <c r="AQ1253" s="4" t="s">
        <v>53</v>
      </c>
      <c r="AR1253" s="4" t="s">
        <v>4859</v>
      </c>
      <c r="AS1253" s="5">
        <v>34676</v>
      </c>
      <c r="AT1253" t="s">
        <v>47</v>
      </c>
    </row>
    <row r="1254" spans="1:46" ht="13" x14ac:dyDescent="0.3">
      <c r="A1254" s="4" t="s">
        <v>4860</v>
      </c>
      <c r="B1254" t="s">
        <v>47</v>
      </c>
      <c r="C1254" s="4" t="s">
        <v>169</v>
      </c>
      <c r="D1254" s="4" t="s">
        <v>339</v>
      </c>
      <c r="E1254" s="4" t="s">
        <v>66</v>
      </c>
      <c r="F1254" s="5" t="s">
        <v>4861</v>
      </c>
      <c r="G1254" s="5" t="s">
        <v>4862</v>
      </c>
      <c r="H1254" t="s">
        <v>47</v>
      </c>
      <c r="I1254" t="s">
        <v>47</v>
      </c>
      <c r="J1254" t="s">
        <v>47</v>
      </c>
      <c r="K1254" t="s">
        <v>47</v>
      </c>
      <c r="L1254" s="5" t="s">
        <v>60</v>
      </c>
      <c r="M1254" t="s">
        <v>47</v>
      </c>
      <c r="N1254" t="s">
        <v>47</v>
      </c>
      <c r="O1254" t="s">
        <v>47</v>
      </c>
      <c r="P1254" t="s">
        <v>47</v>
      </c>
      <c r="Q1254" t="s">
        <v>47</v>
      </c>
      <c r="R1254" t="s">
        <v>47</v>
      </c>
      <c r="S1254" t="s">
        <v>47</v>
      </c>
      <c r="T1254" t="s">
        <v>47</v>
      </c>
      <c r="U1254" t="s">
        <v>47</v>
      </c>
      <c r="V1254" t="s">
        <v>47</v>
      </c>
      <c r="W1254" s="3">
        <v>40179</v>
      </c>
      <c r="X1254" s="5" t="s">
        <v>50</v>
      </c>
      <c r="Y1254" t="s">
        <v>47</v>
      </c>
      <c r="Z1254" s="3">
        <v>40179</v>
      </c>
      <c r="AA1254" s="5" t="s">
        <v>50</v>
      </c>
      <c r="AB1254" t="s">
        <v>47</v>
      </c>
      <c r="AC1254" s="3">
        <v>40179</v>
      </c>
      <c r="AD1254" s="5" t="s">
        <v>50</v>
      </c>
      <c r="AE1254" t="s">
        <v>47</v>
      </c>
      <c r="AF1254" t="s">
        <v>47</v>
      </c>
      <c r="AG1254" t="s">
        <v>47</v>
      </c>
      <c r="AH1254" t="s">
        <v>47</v>
      </c>
      <c r="AI1254" t="s">
        <v>47</v>
      </c>
      <c r="AJ1254" t="s">
        <v>47</v>
      </c>
      <c r="AK1254" t="s">
        <v>47</v>
      </c>
      <c r="AL1254" t="s">
        <v>47</v>
      </c>
      <c r="AM1254" t="s">
        <v>47</v>
      </c>
      <c r="AN1254" t="s">
        <v>47</v>
      </c>
      <c r="AO1254" s="5" t="s">
        <v>60</v>
      </c>
      <c r="AP1254" s="4" t="s">
        <v>61</v>
      </c>
      <c r="AQ1254" s="4" t="s">
        <v>3107</v>
      </c>
      <c r="AR1254" s="4" t="s">
        <v>54</v>
      </c>
      <c r="AS1254" s="5">
        <v>426804</v>
      </c>
      <c r="AT1254" t="s">
        <v>47</v>
      </c>
    </row>
    <row r="1255" spans="1:46" ht="52" x14ac:dyDescent="0.3">
      <c r="A1255" s="4" t="s">
        <v>4863</v>
      </c>
      <c r="B1255" t="s">
        <v>47</v>
      </c>
      <c r="C1255" s="4" t="s">
        <v>4864</v>
      </c>
      <c r="D1255" s="4" t="s">
        <v>4587</v>
      </c>
      <c r="E1255" s="4" t="s">
        <v>156</v>
      </c>
      <c r="F1255" s="5" t="s">
        <v>4865</v>
      </c>
      <c r="G1255" s="5" t="s">
        <v>4866</v>
      </c>
      <c r="H1255" t="s">
        <v>47</v>
      </c>
      <c r="I1255" s="3">
        <v>41275</v>
      </c>
      <c r="J1255" s="5" t="s">
        <v>50</v>
      </c>
      <c r="K1255" t="s">
        <v>47</v>
      </c>
      <c r="L1255" s="5" t="s">
        <v>60</v>
      </c>
      <c r="M1255" s="3">
        <v>41275</v>
      </c>
      <c r="N1255" s="5" t="s">
        <v>50</v>
      </c>
      <c r="O1255" t="s">
        <v>47</v>
      </c>
      <c r="P1255" s="3">
        <v>41275</v>
      </c>
      <c r="Q1255" s="5" t="s">
        <v>50</v>
      </c>
      <c r="R1255" t="s">
        <v>47</v>
      </c>
      <c r="S1255" t="s">
        <v>47</v>
      </c>
      <c r="T1255" t="s">
        <v>47</v>
      </c>
      <c r="U1255" t="s">
        <v>47</v>
      </c>
      <c r="V1255" t="s">
        <v>47</v>
      </c>
      <c r="W1255" s="3">
        <v>41275</v>
      </c>
      <c r="X1255" s="5" t="s">
        <v>50</v>
      </c>
      <c r="Y1255" t="s">
        <v>47</v>
      </c>
      <c r="Z1255" s="3">
        <v>41275</v>
      </c>
      <c r="AA1255" s="5" t="s">
        <v>50</v>
      </c>
      <c r="AB1255" t="s">
        <v>47</v>
      </c>
      <c r="AC1255" s="3">
        <v>41275</v>
      </c>
      <c r="AD1255" s="5" t="s">
        <v>50</v>
      </c>
      <c r="AE1255" t="s">
        <v>47</v>
      </c>
      <c r="AF1255" t="s">
        <v>47</v>
      </c>
      <c r="AG1255" t="s">
        <v>47</v>
      </c>
      <c r="AH1255" t="s">
        <v>47</v>
      </c>
      <c r="AI1255" t="s">
        <v>47</v>
      </c>
      <c r="AJ1255" t="s">
        <v>47</v>
      </c>
      <c r="AK1255" t="s">
        <v>47</v>
      </c>
      <c r="AL1255" t="s">
        <v>47</v>
      </c>
      <c r="AM1255" t="s">
        <v>47</v>
      </c>
      <c r="AN1255" t="s">
        <v>47</v>
      </c>
      <c r="AO1255" s="5" t="s">
        <v>60</v>
      </c>
      <c r="AP1255" s="4" t="s">
        <v>61</v>
      </c>
      <c r="AQ1255" s="4" t="s">
        <v>922</v>
      </c>
      <c r="AR1255" s="4" t="s">
        <v>807</v>
      </c>
      <c r="AS1255" s="5">
        <v>2032602</v>
      </c>
      <c r="AT1255" t="s">
        <v>47</v>
      </c>
    </row>
    <row r="1256" spans="1:46" ht="13" x14ac:dyDescent="0.3">
      <c r="A1256" s="4" t="s">
        <v>4867</v>
      </c>
      <c r="B1256" t="s">
        <v>47</v>
      </c>
      <c r="C1256" s="4" t="s">
        <v>4867</v>
      </c>
      <c r="D1256" s="4" t="s">
        <v>100</v>
      </c>
      <c r="E1256" s="4" t="s">
        <v>100</v>
      </c>
      <c r="F1256" s="5" t="s">
        <v>4868</v>
      </c>
      <c r="G1256" t="s">
        <v>47</v>
      </c>
      <c r="H1256" t="s">
        <v>47</v>
      </c>
      <c r="I1256" t="s">
        <v>47</v>
      </c>
      <c r="J1256" t="s">
        <v>47</v>
      </c>
      <c r="K1256" t="s">
        <v>47</v>
      </c>
      <c r="L1256" s="5" t="s">
        <v>60</v>
      </c>
      <c r="M1256" t="s">
        <v>47</v>
      </c>
      <c r="N1256" t="s">
        <v>47</v>
      </c>
      <c r="O1256" t="s">
        <v>47</v>
      </c>
      <c r="P1256" t="s">
        <v>47</v>
      </c>
      <c r="Q1256" t="s">
        <v>47</v>
      </c>
      <c r="R1256" t="s">
        <v>47</v>
      </c>
      <c r="S1256" t="s">
        <v>47</v>
      </c>
      <c r="T1256" t="s">
        <v>47</v>
      </c>
      <c r="U1256" t="s">
        <v>47</v>
      </c>
      <c r="V1256" t="s">
        <v>47</v>
      </c>
      <c r="W1256" s="3">
        <v>33878</v>
      </c>
      <c r="X1256" s="5" t="s">
        <v>50</v>
      </c>
      <c r="Y1256" s="5" t="s">
        <v>894</v>
      </c>
      <c r="Z1256" s="3">
        <v>33878</v>
      </c>
      <c r="AA1256" s="5" t="s">
        <v>50</v>
      </c>
      <c r="AB1256" s="5" t="s">
        <v>894</v>
      </c>
      <c r="AC1256" s="3">
        <v>43101</v>
      </c>
      <c r="AD1256" s="5" t="s">
        <v>50</v>
      </c>
      <c r="AE1256" t="s">
        <v>47</v>
      </c>
      <c r="AF1256" t="s">
        <v>47</v>
      </c>
      <c r="AG1256" t="s">
        <v>47</v>
      </c>
      <c r="AH1256" t="s">
        <v>47</v>
      </c>
      <c r="AI1256" t="s">
        <v>47</v>
      </c>
      <c r="AJ1256" t="s">
        <v>47</v>
      </c>
      <c r="AK1256" t="s">
        <v>47</v>
      </c>
      <c r="AL1256" t="s">
        <v>47</v>
      </c>
      <c r="AM1256" t="s">
        <v>47</v>
      </c>
      <c r="AN1256" t="s">
        <v>47</v>
      </c>
      <c r="AO1256" s="5" t="s">
        <v>60</v>
      </c>
      <c r="AP1256" s="4" t="s">
        <v>61</v>
      </c>
      <c r="AQ1256" s="4" t="s">
        <v>53</v>
      </c>
      <c r="AR1256" s="4" t="s">
        <v>54</v>
      </c>
      <c r="AS1256" s="5">
        <v>43368</v>
      </c>
      <c r="AT1256" t="s">
        <v>47</v>
      </c>
    </row>
    <row r="1257" spans="1:46" ht="13" x14ac:dyDescent="0.3">
      <c r="A1257" s="4" t="s">
        <v>4869</v>
      </c>
      <c r="B1257" t="s">
        <v>47</v>
      </c>
      <c r="C1257" s="4" t="s">
        <v>3521</v>
      </c>
      <c r="D1257" s="4" t="s">
        <v>3522</v>
      </c>
      <c r="E1257" s="4" t="s">
        <v>869</v>
      </c>
      <c r="F1257" s="5" t="s">
        <v>4870</v>
      </c>
      <c r="G1257" s="5" t="s">
        <v>4871</v>
      </c>
      <c r="H1257" t="s">
        <v>47</v>
      </c>
      <c r="I1257" s="3">
        <v>39814</v>
      </c>
      <c r="J1257" s="5" t="s">
        <v>50</v>
      </c>
      <c r="K1257" t="s">
        <v>47</v>
      </c>
      <c r="L1257" s="5" t="s">
        <v>60</v>
      </c>
      <c r="M1257" t="s">
        <v>47</v>
      </c>
      <c r="N1257" t="s">
        <v>47</v>
      </c>
      <c r="O1257" t="s">
        <v>47</v>
      </c>
      <c r="P1257" s="3">
        <v>39814</v>
      </c>
      <c r="Q1257" s="5" t="s">
        <v>50</v>
      </c>
      <c r="R1257" t="s">
        <v>47</v>
      </c>
      <c r="S1257" t="s">
        <v>47</v>
      </c>
      <c r="T1257" t="s">
        <v>47</v>
      </c>
      <c r="U1257" t="s">
        <v>47</v>
      </c>
      <c r="V1257" t="s">
        <v>47</v>
      </c>
      <c r="W1257" s="3">
        <v>39814</v>
      </c>
      <c r="X1257" s="5" t="s">
        <v>50</v>
      </c>
      <c r="Y1257" t="s">
        <v>47</v>
      </c>
      <c r="Z1257" s="3">
        <v>39814</v>
      </c>
      <c r="AA1257" s="5" t="s">
        <v>50</v>
      </c>
      <c r="AB1257" t="s">
        <v>47</v>
      </c>
      <c r="AC1257" s="3">
        <v>40179</v>
      </c>
      <c r="AD1257" s="5" t="s">
        <v>50</v>
      </c>
      <c r="AE1257" t="s">
        <v>47</v>
      </c>
      <c r="AF1257" t="s">
        <v>47</v>
      </c>
      <c r="AG1257" t="s">
        <v>47</v>
      </c>
      <c r="AH1257" t="s">
        <v>47</v>
      </c>
      <c r="AI1257" t="s">
        <v>47</v>
      </c>
      <c r="AJ1257" t="s">
        <v>47</v>
      </c>
      <c r="AK1257" t="s">
        <v>47</v>
      </c>
      <c r="AL1257" t="s">
        <v>47</v>
      </c>
      <c r="AM1257" t="s">
        <v>47</v>
      </c>
      <c r="AN1257" t="s">
        <v>47</v>
      </c>
      <c r="AO1257" s="5" t="s">
        <v>60</v>
      </c>
      <c r="AP1257" s="4" t="s">
        <v>61</v>
      </c>
      <c r="AQ1257" s="4" t="s">
        <v>53</v>
      </c>
      <c r="AR1257" s="4" t="s">
        <v>54</v>
      </c>
      <c r="AS1257" s="5">
        <v>4543193</v>
      </c>
      <c r="AT1257" t="s">
        <v>47</v>
      </c>
    </row>
    <row r="1258" spans="1:46" ht="52" x14ac:dyDescent="0.3">
      <c r="A1258" s="4" t="s">
        <v>4872</v>
      </c>
      <c r="B1258" t="s">
        <v>47</v>
      </c>
      <c r="C1258" s="4" t="s">
        <v>397</v>
      </c>
      <c r="D1258" s="4" t="s">
        <v>139</v>
      </c>
      <c r="E1258" s="4" t="s">
        <v>66</v>
      </c>
      <c r="F1258" s="5" t="s">
        <v>4873</v>
      </c>
      <c r="G1258" s="5" t="s">
        <v>4874</v>
      </c>
      <c r="H1258" t="s">
        <v>47</v>
      </c>
      <c r="I1258" s="3">
        <v>39753</v>
      </c>
      <c r="J1258" s="5" t="s">
        <v>50</v>
      </c>
      <c r="K1258" t="s">
        <v>47</v>
      </c>
      <c r="L1258" s="5" t="s">
        <v>60</v>
      </c>
      <c r="M1258" s="3">
        <v>40848</v>
      </c>
      <c r="N1258" s="5" t="s">
        <v>50</v>
      </c>
      <c r="O1258" t="s">
        <v>47</v>
      </c>
      <c r="P1258" s="3">
        <v>39753</v>
      </c>
      <c r="Q1258" s="5" t="s">
        <v>50</v>
      </c>
      <c r="R1258" t="s">
        <v>47</v>
      </c>
      <c r="S1258" t="s">
        <v>47</v>
      </c>
      <c r="T1258" t="s">
        <v>47</v>
      </c>
      <c r="U1258" t="s">
        <v>47</v>
      </c>
      <c r="V1258" s="5">
        <v>365</v>
      </c>
      <c r="W1258" s="3">
        <v>39753</v>
      </c>
      <c r="X1258" s="5" t="s">
        <v>50</v>
      </c>
      <c r="Y1258" t="s">
        <v>47</v>
      </c>
      <c r="Z1258" s="3">
        <v>39753</v>
      </c>
      <c r="AA1258" s="5" t="s">
        <v>50</v>
      </c>
      <c r="AB1258" t="s">
        <v>47</v>
      </c>
      <c r="AC1258" s="3">
        <v>39753</v>
      </c>
      <c r="AD1258" s="5" t="s">
        <v>50</v>
      </c>
      <c r="AE1258" t="s">
        <v>47</v>
      </c>
      <c r="AF1258" t="s">
        <v>47</v>
      </c>
      <c r="AG1258" t="s">
        <v>47</v>
      </c>
      <c r="AH1258" t="s">
        <v>47</v>
      </c>
      <c r="AI1258" t="s">
        <v>47</v>
      </c>
      <c r="AJ1258" t="s">
        <v>47</v>
      </c>
      <c r="AK1258" t="s">
        <v>47</v>
      </c>
      <c r="AL1258" t="s">
        <v>47</v>
      </c>
      <c r="AM1258" t="s">
        <v>47</v>
      </c>
      <c r="AN1258" t="s">
        <v>47</v>
      </c>
      <c r="AO1258" s="5" t="s">
        <v>60</v>
      </c>
      <c r="AP1258" s="4" t="s">
        <v>61</v>
      </c>
      <c r="AQ1258" s="4" t="s">
        <v>2228</v>
      </c>
      <c r="AR1258" s="4" t="s">
        <v>4875</v>
      </c>
      <c r="AS1258" s="5">
        <v>626323</v>
      </c>
      <c r="AT1258" t="s">
        <v>47</v>
      </c>
    </row>
    <row r="1259" spans="1:46" ht="26" x14ac:dyDescent="0.3">
      <c r="A1259" s="4" t="s">
        <v>4876</v>
      </c>
      <c r="B1259" t="s">
        <v>47</v>
      </c>
      <c r="C1259" s="4" t="s">
        <v>4877</v>
      </c>
      <c r="D1259" s="4" t="s">
        <v>88</v>
      </c>
      <c r="E1259" s="4" t="s">
        <v>49</v>
      </c>
      <c r="F1259" t="s">
        <v>47</v>
      </c>
      <c r="G1259" t="s">
        <v>47</v>
      </c>
      <c r="H1259" t="s">
        <v>47</v>
      </c>
      <c r="I1259" s="3">
        <v>38047</v>
      </c>
      <c r="J1259" s="5" t="s">
        <v>50</v>
      </c>
      <c r="K1259" t="s">
        <v>47</v>
      </c>
      <c r="L1259" s="5" t="s">
        <v>60</v>
      </c>
      <c r="M1259" s="3">
        <v>38047</v>
      </c>
      <c r="N1259" s="5" t="s">
        <v>50</v>
      </c>
      <c r="O1259" t="s">
        <v>47</v>
      </c>
      <c r="P1259" s="3">
        <v>38047</v>
      </c>
      <c r="Q1259" s="5" t="s">
        <v>50</v>
      </c>
      <c r="R1259" t="s">
        <v>47</v>
      </c>
      <c r="S1259" t="s">
        <v>47</v>
      </c>
      <c r="T1259" t="s">
        <v>47</v>
      </c>
      <c r="U1259" t="s">
        <v>47</v>
      </c>
      <c r="V1259" t="s">
        <v>47</v>
      </c>
      <c r="W1259" s="3">
        <v>38047</v>
      </c>
      <c r="X1259" s="5" t="s">
        <v>50</v>
      </c>
      <c r="Y1259" t="s">
        <v>47</v>
      </c>
      <c r="Z1259" s="3">
        <v>38047</v>
      </c>
      <c r="AA1259" s="5" t="s">
        <v>50</v>
      </c>
      <c r="AB1259" t="s">
        <v>47</v>
      </c>
      <c r="AC1259" s="3">
        <v>38047</v>
      </c>
      <c r="AD1259" s="5" t="s">
        <v>50</v>
      </c>
      <c r="AE1259" t="s">
        <v>47</v>
      </c>
      <c r="AF1259" t="s">
        <v>47</v>
      </c>
      <c r="AG1259" t="s">
        <v>47</v>
      </c>
      <c r="AH1259" t="s">
        <v>47</v>
      </c>
      <c r="AI1259" t="s">
        <v>47</v>
      </c>
      <c r="AJ1259" t="s">
        <v>47</v>
      </c>
      <c r="AK1259" t="s">
        <v>47</v>
      </c>
      <c r="AL1259" t="s">
        <v>47</v>
      </c>
      <c r="AM1259" t="s">
        <v>47</v>
      </c>
      <c r="AN1259" t="s">
        <v>47</v>
      </c>
      <c r="AO1259" s="5" t="s">
        <v>51</v>
      </c>
      <c r="AP1259" s="4" t="s">
        <v>61</v>
      </c>
      <c r="AQ1259" s="4" t="s">
        <v>53</v>
      </c>
      <c r="AR1259" s="4" t="s">
        <v>697</v>
      </c>
      <c r="AS1259" s="5">
        <v>27741</v>
      </c>
      <c r="AT1259" t="s">
        <v>47</v>
      </c>
    </row>
    <row r="1260" spans="1:46" ht="13" x14ac:dyDescent="0.3">
      <c r="A1260" s="4" t="s">
        <v>4878</v>
      </c>
      <c r="B1260" t="s">
        <v>47</v>
      </c>
      <c r="C1260" s="4" t="s">
        <v>694</v>
      </c>
      <c r="D1260" s="4" t="s">
        <v>765</v>
      </c>
      <c r="E1260" s="4" t="s">
        <v>49</v>
      </c>
      <c r="F1260" s="5" t="s">
        <v>4879</v>
      </c>
      <c r="G1260" t="s">
        <v>47</v>
      </c>
      <c r="H1260" t="s">
        <v>47</v>
      </c>
      <c r="I1260" s="3">
        <v>39845</v>
      </c>
      <c r="J1260" s="3">
        <v>41456</v>
      </c>
      <c r="K1260" t="s">
        <v>47</v>
      </c>
      <c r="L1260" s="5" t="s">
        <v>51</v>
      </c>
      <c r="M1260" s="3">
        <v>39845</v>
      </c>
      <c r="N1260" s="3">
        <v>41456</v>
      </c>
      <c r="O1260" t="s">
        <v>47</v>
      </c>
      <c r="P1260" s="3">
        <v>39845</v>
      </c>
      <c r="Q1260" s="3">
        <v>41456</v>
      </c>
      <c r="R1260" t="s">
        <v>47</v>
      </c>
      <c r="S1260" t="s">
        <v>47</v>
      </c>
      <c r="T1260" t="s">
        <v>47</v>
      </c>
      <c r="U1260" t="s">
        <v>47</v>
      </c>
      <c r="V1260" t="s">
        <v>47</v>
      </c>
      <c r="W1260" s="3">
        <v>39845</v>
      </c>
      <c r="X1260" s="3">
        <v>41456</v>
      </c>
      <c r="Y1260" t="s">
        <v>47</v>
      </c>
      <c r="Z1260" s="3">
        <v>39845</v>
      </c>
      <c r="AA1260" s="3">
        <v>41456</v>
      </c>
      <c r="AB1260" t="s">
        <v>47</v>
      </c>
      <c r="AC1260" s="3">
        <v>39845</v>
      </c>
      <c r="AD1260" s="3">
        <v>41395</v>
      </c>
      <c r="AE1260" t="s">
        <v>47</v>
      </c>
      <c r="AF1260" t="s">
        <v>47</v>
      </c>
      <c r="AG1260" t="s">
        <v>47</v>
      </c>
      <c r="AH1260" t="s">
        <v>47</v>
      </c>
      <c r="AI1260" t="s">
        <v>47</v>
      </c>
      <c r="AJ1260" t="s">
        <v>47</v>
      </c>
      <c r="AK1260" t="s">
        <v>47</v>
      </c>
      <c r="AL1260" t="s">
        <v>47</v>
      </c>
      <c r="AM1260" t="s">
        <v>47</v>
      </c>
      <c r="AN1260" t="s">
        <v>47</v>
      </c>
      <c r="AO1260" s="5" t="s">
        <v>51</v>
      </c>
      <c r="AP1260" s="4" t="s">
        <v>135</v>
      </c>
      <c r="AQ1260" s="4" t="s">
        <v>53</v>
      </c>
      <c r="AR1260" s="4" t="s">
        <v>54</v>
      </c>
      <c r="AS1260" s="5">
        <v>75950</v>
      </c>
      <c r="AT1260" t="s">
        <v>47</v>
      </c>
    </row>
    <row r="1261" spans="1:46" ht="13" x14ac:dyDescent="0.3">
      <c r="A1261" s="4" t="s">
        <v>4880</v>
      </c>
      <c r="B1261" t="s">
        <v>47</v>
      </c>
      <c r="C1261" s="4" t="s">
        <v>694</v>
      </c>
      <c r="D1261" s="4" t="s">
        <v>765</v>
      </c>
      <c r="E1261" s="4" t="s">
        <v>49</v>
      </c>
      <c r="F1261" s="5" t="s">
        <v>4881</v>
      </c>
      <c r="G1261" t="s">
        <v>47</v>
      </c>
      <c r="H1261" t="s">
        <v>47</v>
      </c>
      <c r="I1261" s="3">
        <v>39845</v>
      </c>
      <c r="J1261" s="3">
        <v>41456</v>
      </c>
      <c r="K1261" t="s">
        <v>47</v>
      </c>
      <c r="L1261" s="5" t="s">
        <v>51</v>
      </c>
      <c r="M1261" s="3">
        <v>39845</v>
      </c>
      <c r="N1261" s="3">
        <v>41456</v>
      </c>
      <c r="O1261" t="s">
        <v>47</v>
      </c>
      <c r="P1261" s="3">
        <v>39845</v>
      </c>
      <c r="Q1261" s="3">
        <v>41456</v>
      </c>
      <c r="R1261" t="s">
        <v>47</v>
      </c>
      <c r="S1261" t="s">
        <v>47</v>
      </c>
      <c r="T1261" t="s">
        <v>47</v>
      </c>
      <c r="U1261" t="s">
        <v>47</v>
      </c>
      <c r="V1261" t="s">
        <v>47</v>
      </c>
      <c r="W1261" s="3">
        <v>39845</v>
      </c>
      <c r="X1261" s="3">
        <v>41456</v>
      </c>
      <c r="Y1261" t="s">
        <v>47</v>
      </c>
      <c r="Z1261" s="3">
        <v>39845</v>
      </c>
      <c r="AA1261" s="3">
        <v>41456</v>
      </c>
      <c r="AB1261" t="s">
        <v>47</v>
      </c>
      <c r="AC1261" s="3">
        <v>39845</v>
      </c>
      <c r="AD1261" s="3">
        <v>41456</v>
      </c>
      <c r="AE1261" t="s">
        <v>47</v>
      </c>
      <c r="AF1261" t="s">
        <v>47</v>
      </c>
      <c r="AG1261" t="s">
        <v>47</v>
      </c>
      <c r="AH1261" t="s">
        <v>47</v>
      </c>
      <c r="AI1261" t="s">
        <v>47</v>
      </c>
      <c r="AJ1261" t="s">
        <v>47</v>
      </c>
      <c r="AK1261" t="s">
        <v>47</v>
      </c>
      <c r="AL1261" t="s">
        <v>47</v>
      </c>
      <c r="AM1261" t="s">
        <v>47</v>
      </c>
      <c r="AN1261" t="s">
        <v>47</v>
      </c>
      <c r="AO1261" s="5" t="s">
        <v>51</v>
      </c>
      <c r="AP1261" s="4" t="s">
        <v>135</v>
      </c>
      <c r="AQ1261" s="4" t="s">
        <v>53</v>
      </c>
      <c r="AR1261" s="4" t="s">
        <v>54</v>
      </c>
      <c r="AS1261" s="5">
        <v>75951</v>
      </c>
      <c r="AT1261" t="s">
        <v>47</v>
      </c>
    </row>
    <row r="1262" spans="1:46" ht="78" x14ac:dyDescent="0.3">
      <c r="A1262" s="4" t="s">
        <v>4882</v>
      </c>
      <c r="B1262" t="s">
        <v>47</v>
      </c>
      <c r="C1262" s="4" t="s">
        <v>4883</v>
      </c>
      <c r="D1262" s="4" t="s">
        <v>1129</v>
      </c>
      <c r="E1262" s="4" t="s">
        <v>49</v>
      </c>
      <c r="F1262" s="5" t="s">
        <v>4884</v>
      </c>
      <c r="G1262" t="s">
        <v>47</v>
      </c>
      <c r="H1262" t="s">
        <v>47</v>
      </c>
      <c r="I1262" s="3">
        <v>33604</v>
      </c>
      <c r="J1262" s="5" t="s">
        <v>50</v>
      </c>
      <c r="K1262" t="s">
        <v>47</v>
      </c>
      <c r="L1262" s="5" t="s">
        <v>51</v>
      </c>
      <c r="M1262" s="3">
        <v>34700</v>
      </c>
      <c r="N1262" s="5" t="s">
        <v>50</v>
      </c>
      <c r="O1262" t="s">
        <v>47</v>
      </c>
      <c r="P1262" s="3">
        <v>33604</v>
      </c>
      <c r="Q1262" s="5" t="s">
        <v>50</v>
      </c>
      <c r="R1262" t="s">
        <v>47</v>
      </c>
      <c r="S1262" t="s">
        <v>47</v>
      </c>
      <c r="T1262" t="s">
        <v>47</v>
      </c>
      <c r="U1262" t="s">
        <v>47</v>
      </c>
      <c r="V1262" t="s">
        <v>47</v>
      </c>
      <c r="W1262" s="3">
        <v>32143</v>
      </c>
      <c r="X1262" s="5" t="s">
        <v>50</v>
      </c>
      <c r="Y1262" t="s">
        <v>47</v>
      </c>
      <c r="Z1262" s="3">
        <v>32143</v>
      </c>
      <c r="AA1262" s="5" t="s">
        <v>50</v>
      </c>
      <c r="AB1262" t="s">
        <v>47</v>
      </c>
      <c r="AC1262" s="3">
        <v>32143</v>
      </c>
      <c r="AD1262" s="5" t="s">
        <v>50</v>
      </c>
      <c r="AE1262" t="s">
        <v>47</v>
      </c>
      <c r="AF1262" t="s">
        <v>47</v>
      </c>
      <c r="AG1262" t="s">
        <v>47</v>
      </c>
      <c r="AH1262" t="s">
        <v>47</v>
      </c>
      <c r="AI1262" t="s">
        <v>47</v>
      </c>
      <c r="AJ1262" t="s">
        <v>47</v>
      </c>
      <c r="AK1262" t="s">
        <v>47</v>
      </c>
      <c r="AL1262" t="s">
        <v>47</v>
      </c>
      <c r="AM1262" t="s">
        <v>47</v>
      </c>
      <c r="AN1262" t="s">
        <v>47</v>
      </c>
      <c r="AO1262" s="5" t="s">
        <v>51</v>
      </c>
      <c r="AP1262" s="4" t="s">
        <v>135</v>
      </c>
      <c r="AQ1262" s="4" t="s">
        <v>53</v>
      </c>
      <c r="AR1262" s="4" t="s">
        <v>4885</v>
      </c>
      <c r="AS1262" s="5">
        <v>35450</v>
      </c>
      <c r="AT1262" t="s">
        <v>47</v>
      </c>
    </row>
    <row r="1263" spans="1:46" ht="26" x14ac:dyDescent="0.3">
      <c r="A1263" s="4" t="s">
        <v>4886</v>
      </c>
      <c r="B1263" t="s">
        <v>47</v>
      </c>
      <c r="C1263" s="4" t="s">
        <v>4887</v>
      </c>
      <c r="D1263" s="4" t="s">
        <v>1681</v>
      </c>
      <c r="E1263" s="4" t="s">
        <v>603</v>
      </c>
      <c r="F1263" s="5" t="s">
        <v>4888</v>
      </c>
      <c r="G1263" s="5" t="s">
        <v>4889</v>
      </c>
      <c r="H1263" t="s">
        <v>47</v>
      </c>
      <c r="I1263" s="3">
        <v>40179</v>
      </c>
      <c r="J1263" s="5" t="s">
        <v>50</v>
      </c>
      <c r="K1263" t="s">
        <v>47</v>
      </c>
      <c r="L1263" s="5" t="s">
        <v>60</v>
      </c>
      <c r="M1263" s="3">
        <v>40179</v>
      </c>
      <c r="N1263" s="5" t="s">
        <v>50</v>
      </c>
      <c r="O1263" t="s">
        <v>47</v>
      </c>
      <c r="P1263" s="3">
        <v>40179</v>
      </c>
      <c r="Q1263" s="5" t="s">
        <v>50</v>
      </c>
      <c r="R1263" t="s">
        <v>47</v>
      </c>
      <c r="S1263" t="s">
        <v>47</v>
      </c>
      <c r="T1263" t="s">
        <v>47</v>
      </c>
      <c r="U1263" t="s">
        <v>47</v>
      </c>
      <c r="V1263" t="s">
        <v>47</v>
      </c>
      <c r="W1263" s="3">
        <v>40179</v>
      </c>
      <c r="X1263" s="5" t="s">
        <v>50</v>
      </c>
      <c r="Y1263" t="s">
        <v>47</v>
      </c>
      <c r="Z1263" s="3">
        <v>40179</v>
      </c>
      <c r="AA1263" s="5" t="s">
        <v>50</v>
      </c>
      <c r="AB1263" t="s">
        <v>47</v>
      </c>
      <c r="AC1263" s="3">
        <v>40179</v>
      </c>
      <c r="AD1263" s="5" t="s">
        <v>50</v>
      </c>
      <c r="AE1263" t="s">
        <v>47</v>
      </c>
      <c r="AF1263" t="s">
        <v>47</v>
      </c>
      <c r="AG1263" t="s">
        <v>47</v>
      </c>
      <c r="AH1263" t="s">
        <v>47</v>
      </c>
      <c r="AI1263" t="s">
        <v>47</v>
      </c>
      <c r="AJ1263" t="s">
        <v>47</v>
      </c>
      <c r="AK1263" t="s">
        <v>47</v>
      </c>
      <c r="AL1263" t="s">
        <v>47</v>
      </c>
      <c r="AM1263" t="s">
        <v>47</v>
      </c>
      <c r="AN1263" t="s">
        <v>47</v>
      </c>
      <c r="AO1263" s="5" t="s">
        <v>60</v>
      </c>
      <c r="AP1263" s="4" t="s">
        <v>61</v>
      </c>
      <c r="AQ1263" s="4" t="s">
        <v>119</v>
      </c>
      <c r="AR1263" s="4" t="s">
        <v>835</v>
      </c>
      <c r="AS1263" s="5">
        <v>996330</v>
      </c>
      <c r="AT1263" t="s">
        <v>47</v>
      </c>
    </row>
    <row r="1264" spans="1:46" ht="13" x14ac:dyDescent="0.3">
      <c r="A1264" s="4" t="s">
        <v>4890</v>
      </c>
      <c r="B1264" t="s">
        <v>47</v>
      </c>
      <c r="C1264" s="4" t="s">
        <v>4891</v>
      </c>
      <c r="D1264" s="4" t="s">
        <v>4892</v>
      </c>
      <c r="E1264" s="4" t="s">
        <v>1797</v>
      </c>
      <c r="F1264" s="5" t="s">
        <v>4893</v>
      </c>
      <c r="G1264" s="5" t="s">
        <v>4894</v>
      </c>
      <c r="H1264" t="s">
        <v>47</v>
      </c>
      <c r="I1264" s="3">
        <v>41456</v>
      </c>
      <c r="J1264" s="5" t="s">
        <v>50</v>
      </c>
      <c r="K1264" t="s">
        <v>47</v>
      </c>
      <c r="L1264" s="5" t="s">
        <v>60</v>
      </c>
      <c r="M1264" s="3">
        <v>41456</v>
      </c>
      <c r="N1264" s="5" t="s">
        <v>50</v>
      </c>
      <c r="O1264" t="s">
        <v>47</v>
      </c>
      <c r="P1264" s="3">
        <v>41456</v>
      </c>
      <c r="Q1264" s="5" t="s">
        <v>50</v>
      </c>
      <c r="R1264" t="s">
        <v>47</v>
      </c>
      <c r="S1264" t="s">
        <v>47</v>
      </c>
      <c r="T1264" t="s">
        <v>47</v>
      </c>
      <c r="U1264" t="s">
        <v>47</v>
      </c>
      <c r="V1264" t="s">
        <v>47</v>
      </c>
      <c r="W1264" s="3">
        <v>41456</v>
      </c>
      <c r="X1264" s="5" t="s">
        <v>50</v>
      </c>
      <c r="Y1264" t="s">
        <v>47</v>
      </c>
      <c r="Z1264" s="3">
        <v>41456</v>
      </c>
      <c r="AA1264" s="5" t="s">
        <v>50</v>
      </c>
      <c r="AB1264" t="s">
        <v>47</v>
      </c>
      <c r="AC1264" s="3">
        <v>41456</v>
      </c>
      <c r="AD1264" s="5" t="s">
        <v>50</v>
      </c>
      <c r="AE1264" t="s">
        <v>47</v>
      </c>
      <c r="AF1264" t="s">
        <v>47</v>
      </c>
      <c r="AG1264" t="s">
        <v>47</v>
      </c>
      <c r="AH1264" t="s">
        <v>47</v>
      </c>
      <c r="AI1264" t="s">
        <v>47</v>
      </c>
      <c r="AJ1264" t="s">
        <v>47</v>
      </c>
      <c r="AK1264" t="s">
        <v>47</v>
      </c>
      <c r="AL1264" t="s">
        <v>47</v>
      </c>
      <c r="AM1264" t="s">
        <v>47</v>
      </c>
      <c r="AN1264" t="s">
        <v>47</v>
      </c>
      <c r="AO1264" s="5" t="s">
        <v>51</v>
      </c>
      <c r="AP1264" s="4" t="s">
        <v>61</v>
      </c>
      <c r="AQ1264" s="4" t="s">
        <v>4212</v>
      </c>
      <c r="AR1264" s="4" t="s">
        <v>54</v>
      </c>
      <c r="AS1264" s="5">
        <v>2032640</v>
      </c>
      <c r="AT1264" t="s">
        <v>47</v>
      </c>
    </row>
    <row r="1265" spans="1:46" ht="65" x14ac:dyDescent="0.3">
      <c r="A1265" s="4" t="s">
        <v>4895</v>
      </c>
      <c r="B1265" t="s">
        <v>47</v>
      </c>
      <c r="C1265" s="4" t="s">
        <v>169</v>
      </c>
      <c r="D1265" s="4" t="s">
        <v>319</v>
      </c>
      <c r="E1265" s="4" t="s">
        <v>66</v>
      </c>
      <c r="F1265" s="5" t="s">
        <v>4896</v>
      </c>
      <c r="G1265" s="5" t="s">
        <v>4897</v>
      </c>
      <c r="H1265" t="s">
        <v>47</v>
      </c>
      <c r="I1265" t="s">
        <v>47</v>
      </c>
      <c r="J1265" t="s">
        <v>47</v>
      </c>
      <c r="K1265" t="s">
        <v>47</v>
      </c>
      <c r="L1265" s="5" t="s">
        <v>60</v>
      </c>
      <c r="M1265" t="s">
        <v>47</v>
      </c>
      <c r="N1265" t="s">
        <v>47</v>
      </c>
      <c r="O1265" t="s">
        <v>47</v>
      </c>
      <c r="P1265" t="s">
        <v>47</v>
      </c>
      <c r="Q1265" t="s">
        <v>47</v>
      </c>
      <c r="R1265" t="s">
        <v>47</v>
      </c>
      <c r="S1265" t="s">
        <v>47</v>
      </c>
      <c r="T1265" t="s">
        <v>47</v>
      </c>
      <c r="U1265" t="s">
        <v>47</v>
      </c>
      <c r="V1265" t="s">
        <v>47</v>
      </c>
      <c r="W1265" s="3">
        <v>40179</v>
      </c>
      <c r="X1265" s="5" t="s">
        <v>50</v>
      </c>
      <c r="Y1265" s="5" t="s">
        <v>3186</v>
      </c>
      <c r="Z1265" s="3">
        <v>40179</v>
      </c>
      <c r="AA1265" s="5" t="s">
        <v>50</v>
      </c>
      <c r="AB1265" s="5" t="s">
        <v>3186</v>
      </c>
      <c r="AC1265" s="3">
        <v>40179</v>
      </c>
      <c r="AD1265" s="5" t="s">
        <v>50</v>
      </c>
      <c r="AE1265" s="5" t="s">
        <v>3186</v>
      </c>
      <c r="AF1265" t="s">
        <v>47</v>
      </c>
      <c r="AG1265" t="s">
        <v>47</v>
      </c>
      <c r="AH1265" t="s">
        <v>47</v>
      </c>
      <c r="AI1265" t="s">
        <v>47</v>
      </c>
      <c r="AJ1265" t="s">
        <v>47</v>
      </c>
      <c r="AK1265" t="s">
        <v>47</v>
      </c>
      <c r="AL1265" t="s">
        <v>47</v>
      </c>
      <c r="AM1265" t="s">
        <v>47</v>
      </c>
      <c r="AN1265" t="s">
        <v>47</v>
      </c>
      <c r="AO1265" s="5" t="s">
        <v>60</v>
      </c>
      <c r="AP1265" s="4" t="s">
        <v>61</v>
      </c>
      <c r="AQ1265" s="4" t="s">
        <v>53</v>
      </c>
      <c r="AR1265" s="4" t="s">
        <v>543</v>
      </c>
      <c r="AS1265" s="5">
        <v>426802</v>
      </c>
      <c r="AT1265" t="s">
        <v>47</v>
      </c>
    </row>
    <row r="1266" spans="1:46" ht="65" x14ac:dyDescent="0.3">
      <c r="A1266" s="4" t="s">
        <v>4898</v>
      </c>
      <c r="B1266" t="s">
        <v>47</v>
      </c>
      <c r="C1266" s="4" t="s">
        <v>169</v>
      </c>
      <c r="D1266" s="4" t="s">
        <v>339</v>
      </c>
      <c r="E1266" s="4" t="s">
        <v>66</v>
      </c>
      <c r="F1266" s="5" t="s">
        <v>4899</v>
      </c>
      <c r="G1266" s="5" t="s">
        <v>4900</v>
      </c>
      <c r="H1266" t="s">
        <v>47</v>
      </c>
      <c r="I1266" t="s">
        <v>47</v>
      </c>
      <c r="J1266" t="s">
        <v>47</v>
      </c>
      <c r="K1266" t="s">
        <v>47</v>
      </c>
      <c r="L1266" s="5" t="s">
        <v>60</v>
      </c>
      <c r="M1266" t="s">
        <v>47</v>
      </c>
      <c r="N1266" t="s">
        <v>47</v>
      </c>
      <c r="O1266" t="s">
        <v>47</v>
      </c>
      <c r="P1266" t="s">
        <v>47</v>
      </c>
      <c r="Q1266" t="s">
        <v>47</v>
      </c>
      <c r="R1266" t="s">
        <v>47</v>
      </c>
      <c r="S1266" t="s">
        <v>47</v>
      </c>
      <c r="T1266" t="s">
        <v>47</v>
      </c>
      <c r="U1266" t="s">
        <v>47</v>
      </c>
      <c r="V1266" t="s">
        <v>47</v>
      </c>
      <c r="W1266" s="3">
        <v>40179</v>
      </c>
      <c r="X1266" s="5" t="s">
        <v>50</v>
      </c>
      <c r="Y1266" t="s">
        <v>47</v>
      </c>
      <c r="Z1266" s="3">
        <v>40179</v>
      </c>
      <c r="AA1266" s="5" t="s">
        <v>50</v>
      </c>
      <c r="AB1266" t="s">
        <v>47</v>
      </c>
      <c r="AC1266" s="3">
        <v>40179</v>
      </c>
      <c r="AD1266" s="5" t="s">
        <v>50</v>
      </c>
      <c r="AE1266" t="s">
        <v>47</v>
      </c>
      <c r="AF1266" t="s">
        <v>47</v>
      </c>
      <c r="AG1266" t="s">
        <v>47</v>
      </c>
      <c r="AH1266" t="s">
        <v>47</v>
      </c>
      <c r="AI1266" t="s">
        <v>47</v>
      </c>
      <c r="AJ1266" t="s">
        <v>47</v>
      </c>
      <c r="AK1266" t="s">
        <v>47</v>
      </c>
      <c r="AL1266" t="s">
        <v>47</v>
      </c>
      <c r="AM1266" t="s">
        <v>47</v>
      </c>
      <c r="AN1266" t="s">
        <v>47</v>
      </c>
      <c r="AO1266" s="5" t="s">
        <v>60</v>
      </c>
      <c r="AP1266" s="4" t="s">
        <v>61</v>
      </c>
      <c r="AQ1266" s="4" t="s">
        <v>53</v>
      </c>
      <c r="AR1266" s="4" t="s">
        <v>543</v>
      </c>
      <c r="AS1266" s="5">
        <v>426801</v>
      </c>
      <c r="AT1266" t="s">
        <v>47</v>
      </c>
    </row>
    <row r="1267" spans="1:46" ht="39" x14ac:dyDescent="0.3">
      <c r="A1267" s="4" t="s">
        <v>4901</v>
      </c>
      <c r="B1267" t="s">
        <v>47</v>
      </c>
      <c r="C1267" s="4" t="s">
        <v>3446</v>
      </c>
      <c r="D1267" s="4" t="s">
        <v>3447</v>
      </c>
      <c r="E1267" s="4" t="s">
        <v>49</v>
      </c>
      <c r="F1267" s="5" t="s">
        <v>4902</v>
      </c>
      <c r="G1267" s="5" t="s">
        <v>4903</v>
      </c>
      <c r="H1267" t="s">
        <v>47</v>
      </c>
      <c r="I1267" s="3">
        <v>26573</v>
      </c>
      <c r="J1267" s="5" t="s">
        <v>50</v>
      </c>
      <c r="K1267" t="s">
        <v>47</v>
      </c>
      <c r="L1267" s="5" t="s">
        <v>60</v>
      </c>
      <c r="M1267" s="3">
        <v>26573</v>
      </c>
      <c r="N1267" s="5" t="s">
        <v>50</v>
      </c>
      <c r="O1267" t="s">
        <v>47</v>
      </c>
      <c r="P1267" s="3">
        <v>26573</v>
      </c>
      <c r="Q1267" s="5" t="s">
        <v>50</v>
      </c>
      <c r="R1267" t="s">
        <v>47</v>
      </c>
      <c r="S1267" t="s">
        <v>47</v>
      </c>
      <c r="T1267" t="s">
        <v>47</v>
      </c>
      <c r="U1267" t="s">
        <v>47</v>
      </c>
      <c r="V1267" t="s">
        <v>47</v>
      </c>
      <c r="W1267" s="3">
        <v>26573</v>
      </c>
      <c r="X1267" s="5" t="s">
        <v>50</v>
      </c>
      <c r="Y1267" t="s">
        <v>47</v>
      </c>
      <c r="Z1267" s="3">
        <v>26573</v>
      </c>
      <c r="AA1267" s="5" t="s">
        <v>50</v>
      </c>
      <c r="AB1267" t="s">
        <v>47</v>
      </c>
      <c r="AC1267" s="3">
        <v>28491</v>
      </c>
      <c r="AD1267" s="5" t="s">
        <v>50</v>
      </c>
      <c r="AE1267" s="5" t="s">
        <v>4904</v>
      </c>
      <c r="AF1267" t="s">
        <v>47</v>
      </c>
      <c r="AG1267" t="s">
        <v>47</v>
      </c>
      <c r="AH1267" t="s">
        <v>47</v>
      </c>
      <c r="AI1267" t="s">
        <v>47</v>
      </c>
      <c r="AJ1267" t="s">
        <v>47</v>
      </c>
      <c r="AK1267" t="s">
        <v>47</v>
      </c>
      <c r="AL1267" t="s">
        <v>47</v>
      </c>
      <c r="AM1267" t="s">
        <v>47</v>
      </c>
      <c r="AN1267" t="s">
        <v>47</v>
      </c>
      <c r="AO1267" s="5" t="s">
        <v>60</v>
      </c>
      <c r="AP1267" s="4" t="s">
        <v>61</v>
      </c>
      <c r="AQ1267" s="4" t="s">
        <v>53</v>
      </c>
      <c r="AR1267" s="4" t="s">
        <v>495</v>
      </c>
      <c r="AS1267" s="5">
        <v>34609</v>
      </c>
      <c r="AT1267" t="s">
        <v>47</v>
      </c>
    </row>
    <row r="1268" spans="1:46" ht="65" x14ac:dyDescent="0.3">
      <c r="A1268" s="4" t="s">
        <v>4905</v>
      </c>
      <c r="B1268" t="s">
        <v>47</v>
      </c>
      <c r="C1268" s="4" t="s">
        <v>4906</v>
      </c>
      <c r="D1268" s="4" t="s">
        <v>4907</v>
      </c>
      <c r="E1268" s="4" t="s">
        <v>49</v>
      </c>
      <c r="F1268" s="5" t="s">
        <v>4908</v>
      </c>
      <c r="G1268" t="s">
        <v>47</v>
      </c>
      <c r="H1268" t="s">
        <v>47</v>
      </c>
      <c r="I1268" s="3">
        <v>35735</v>
      </c>
      <c r="J1268" s="5" t="s">
        <v>50</v>
      </c>
      <c r="K1268" t="s">
        <v>47</v>
      </c>
      <c r="L1268" s="5" t="s">
        <v>60</v>
      </c>
      <c r="M1268" s="3">
        <v>35735</v>
      </c>
      <c r="N1268" s="5" t="s">
        <v>50</v>
      </c>
      <c r="O1268" t="s">
        <v>47</v>
      </c>
      <c r="P1268" s="3">
        <v>35735</v>
      </c>
      <c r="Q1268" s="5" t="s">
        <v>50</v>
      </c>
      <c r="R1268" t="s">
        <v>47</v>
      </c>
      <c r="S1268" t="s">
        <v>47</v>
      </c>
      <c r="T1268" t="s">
        <v>47</v>
      </c>
      <c r="U1268" t="s">
        <v>47</v>
      </c>
      <c r="V1268" t="s">
        <v>47</v>
      </c>
      <c r="W1268" s="3">
        <v>35735</v>
      </c>
      <c r="X1268" s="5" t="s">
        <v>50</v>
      </c>
      <c r="Y1268" t="s">
        <v>47</v>
      </c>
      <c r="Z1268" s="3">
        <v>35735</v>
      </c>
      <c r="AA1268" s="5" t="s">
        <v>50</v>
      </c>
      <c r="AB1268" t="s">
        <v>47</v>
      </c>
      <c r="AC1268" s="3">
        <v>35735</v>
      </c>
      <c r="AD1268" s="5" t="s">
        <v>50</v>
      </c>
      <c r="AE1268" t="s">
        <v>47</v>
      </c>
      <c r="AF1268" t="s">
        <v>47</v>
      </c>
      <c r="AG1268" t="s">
        <v>47</v>
      </c>
      <c r="AH1268" t="s">
        <v>47</v>
      </c>
      <c r="AI1268" t="s">
        <v>47</v>
      </c>
      <c r="AJ1268" t="s">
        <v>47</v>
      </c>
      <c r="AK1268" t="s">
        <v>47</v>
      </c>
      <c r="AL1268" t="s">
        <v>47</v>
      </c>
      <c r="AM1268" t="s">
        <v>47</v>
      </c>
      <c r="AN1268" t="s">
        <v>47</v>
      </c>
      <c r="AO1268" s="5" t="s">
        <v>60</v>
      </c>
      <c r="AP1268" s="4" t="s">
        <v>61</v>
      </c>
      <c r="AQ1268" s="4" t="s">
        <v>53</v>
      </c>
      <c r="AR1268" s="4" t="s">
        <v>4909</v>
      </c>
      <c r="AS1268" s="5">
        <v>47659</v>
      </c>
      <c r="AT1268" t="s">
        <v>47</v>
      </c>
    </row>
    <row r="1269" spans="1:46" ht="39" x14ac:dyDescent="0.3">
      <c r="A1269" s="4" t="s">
        <v>4910</v>
      </c>
      <c r="B1269" t="s">
        <v>47</v>
      </c>
      <c r="C1269" s="4" t="s">
        <v>4911</v>
      </c>
      <c r="D1269" s="4" t="s">
        <v>4912</v>
      </c>
      <c r="E1269" s="4" t="s">
        <v>49</v>
      </c>
      <c r="F1269" s="5" t="s">
        <v>4913</v>
      </c>
      <c r="G1269" t="s">
        <v>47</v>
      </c>
      <c r="H1269" t="s">
        <v>47</v>
      </c>
      <c r="I1269" s="3">
        <v>35796</v>
      </c>
      <c r="J1269" s="3">
        <v>42186</v>
      </c>
      <c r="K1269" t="s">
        <v>47</v>
      </c>
      <c r="L1269" s="5" t="s">
        <v>51</v>
      </c>
      <c r="M1269" s="3">
        <v>35796</v>
      </c>
      <c r="N1269" s="3">
        <v>42186</v>
      </c>
      <c r="O1269" t="s">
        <v>47</v>
      </c>
      <c r="P1269" s="3">
        <v>35796</v>
      </c>
      <c r="Q1269" s="3">
        <v>42186</v>
      </c>
      <c r="R1269" t="s">
        <v>47</v>
      </c>
      <c r="S1269" t="s">
        <v>47</v>
      </c>
      <c r="T1269" t="s">
        <v>47</v>
      </c>
      <c r="U1269" t="s">
        <v>47</v>
      </c>
      <c r="V1269" t="s">
        <v>47</v>
      </c>
      <c r="W1269" s="3">
        <v>35796</v>
      </c>
      <c r="X1269" s="3">
        <v>42186</v>
      </c>
      <c r="Y1269" t="s">
        <v>47</v>
      </c>
      <c r="Z1269" s="3">
        <v>35796</v>
      </c>
      <c r="AA1269" s="3">
        <v>42186</v>
      </c>
      <c r="AB1269" t="s">
        <v>47</v>
      </c>
      <c r="AC1269" s="3">
        <v>35796</v>
      </c>
      <c r="AD1269" s="3">
        <v>42186</v>
      </c>
      <c r="AE1269" t="s">
        <v>47</v>
      </c>
      <c r="AF1269" t="s">
        <v>47</v>
      </c>
      <c r="AG1269" t="s">
        <v>47</v>
      </c>
      <c r="AH1269" t="s">
        <v>47</v>
      </c>
      <c r="AI1269" t="s">
        <v>47</v>
      </c>
      <c r="AJ1269" t="s">
        <v>47</v>
      </c>
      <c r="AK1269" t="s">
        <v>47</v>
      </c>
      <c r="AL1269" t="s">
        <v>47</v>
      </c>
      <c r="AM1269" t="s">
        <v>47</v>
      </c>
      <c r="AN1269" t="s">
        <v>47</v>
      </c>
      <c r="AO1269" s="5" t="s">
        <v>51</v>
      </c>
      <c r="AP1269" s="4" t="s">
        <v>85</v>
      </c>
      <c r="AQ1269" s="4" t="s">
        <v>53</v>
      </c>
      <c r="AR1269" s="4" t="s">
        <v>495</v>
      </c>
      <c r="AS1269" s="5">
        <v>30162</v>
      </c>
      <c r="AT1269" t="s">
        <v>47</v>
      </c>
    </row>
    <row r="1270" spans="1:46" ht="39" x14ac:dyDescent="0.3">
      <c r="A1270" s="4" t="s">
        <v>4914</v>
      </c>
      <c r="B1270" t="s">
        <v>47</v>
      </c>
      <c r="C1270" s="4" t="s">
        <v>4427</v>
      </c>
      <c r="D1270" s="4" t="s">
        <v>88</v>
      </c>
      <c r="E1270" s="4" t="s">
        <v>49</v>
      </c>
      <c r="F1270" s="5" t="s">
        <v>4915</v>
      </c>
      <c r="G1270" t="s">
        <v>47</v>
      </c>
      <c r="H1270" t="s">
        <v>47</v>
      </c>
      <c r="I1270" s="3">
        <v>37865</v>
      </c>
      <c r="J1270" s="3">
        <v>43739</v>
      </c>
      <c r="K1270" t="s">
        <v>47</v>
      </c>
      <c r="L1270" s="5" t="s">
        <v>60</v>
      </c>
      <c r="M1270" s="3">
        <v>37865</v>
      </c>
      <c r="N1270" s="3">
        <v>43739</v>
      </c>
      <c r="O1270" t="s">
        <v>47</v>
      </c>
      <c r="P1270" t="s">
        <v>47</v>
      </c>
      <c r="Q1270" t="s">
        <v>47</v>
      </c>
      <c r="R1270" t="s">
        <v>47</v>
      </c>
      <c r="S1270" t="s">
        <v>47</v>
      </c>
      <c r="T1270" t="s">
        <v>47</v>
      </c>
      <c r="U1270" t="s">
        <v>47</v>
      </c>
      <c r="V1270" t="s">
        <v>47</v>
      </c>
      <c r="W1270" s="3">
        <v>37865</v>
      </c>
      <c r="X1270" s="3">
        <v>43739</v>
      </c>
      <c r="Y1270" t="s">
        <v>47</v>
      </c>
      <c r="Z1270" s="3">
        <v>37865</v>
      </c>
      <c r="AA1270" s="3">
        <v>43739</v>
      </c>
      <c r="AB1270" t="s">
        <v>47</v>
      </c>
      <c r="AC1270" s="3">
        <v>37865</v>
      </c>
      <c r="AD1270" s="3">
        <v>43739</v>
      </c>
      <c r="AE1270" t="s">
        <v>47</v>
      </c>
      <c r="AF1270" t="s">
        <v>47</v>
      </c>
      <c r="AG1270" t="s">
        <v>47</v>
      </c>
      <c r="AH1270" t="s">
        <v>47</v>
      </c>
      <c r="AI1270" t="s">
        <v>47</v>
      </c>
      <c r="AJ1270" t="s">
        <v>47</v>
      </c>
      <c r="AK1270" t="s">
        <v>47</v>
      </c>
      <c r="AL1270" t="s">
        <v>47</v>
      </c>
      <c r="AM1270" t="s">
        <v>47</v>
      </c>
      <c r="AN1270" t="s">
        <v>47</v>
      </c>
      <c r="AO1270" s="5" t="s">
        <v>51</v>
      </c>
      <c r="AP1270" s="4" t="s">
        <v>61</v>
      </c>
      <c r="AQ1270" s="4" t="s">
        <v>53</v>
      </c>
      <c r="AR1270" s="4" t="s">
        <v>62</v>
      </c>
      <c r="AS1270" s="5">
        <v>26636</v>
      </c>
      <c r="AT1270" t="s">
        <v>47</v>
      </c>
    </row>
    <row r="1271" spans="1:46" ht="39" x14ac:dyDescent="0.3">
      <c r="A1271" s="4" t="s">
        <v>4916</v>
      </c>
      <c r="B1271" t="s">
        <v>47</v>
      </c>
      <c r="C1271" s="4" t="s">
        <v>4917</v>
      </c>
      <c r="D1271" s="4" t="s">
        <v>1990</v>
      </c>
      <c r="E1271" s="4" t="s">
        <v>701</v>
      </c>
      <c r="F1271" s="5" t="s">
        <v>4918</v>
      </c>
      <c r="G1271" s="5" t="s">
        <v>4919</v>
      </c>
      <c r="H1271" t="s">
        <v>47</v>
      </c>
      <c r="I1271" s="3">
        <v>42005</v>
      </c>
      <c r="J1271" s="5" t="s">
        <v>50</v>
      </c>
      <c r="K1271" t="s">
        <v>47</v>
      </c>
      <c r="L1271" s="5" t="s">
        <v>60</v>
      </c>
      <c r="M1271" t="s">
        <v>47</v>
      </c>
      <c r="N1271" t="s">
        <v>47</v>
      </c>
      <c r="O1271" t="s">
        <v>47</v>
      </c>
      <c r="P1271" s="3">
        <v>42005</v>
      </c>
      <c r="Q1271" s="5" t="s">
        <v>50</v>
      </c>
      <c r="R1271" t="s">
        <v>47</v>
      </c>
      <c r="S1271" t="s">
        <v>47</v>
      </c>
      <c r="T1271" t="s">
        <v>47</v>
      </c>
      <c r="U1271" t="s">
        <v>47</v>
      </c>
      <c r="V1271" t="s">
        <v>47</v>
      </c>
      <c r="W1271" s="3">
        <v>42005</v>
      </c>
      <c r="X1271" s="5" t="s">
        <v>50</v>
      </c>
      <c r="Y1271" t="s">
        <v>47</v>
      </c>
      <c r="Z1271" s="3">
        <v>42005</v>
      </c>
      <c r="AA1271" s="5" t="s">
        <v>50</v>
      </c>
      <c r="AB1271" t="s">
        <v>47</v>
      </c>
      <c r="AC1271" s="3">
        <v>42005</v>
      </c>
      <c r="AD1271" s="5" t="s">
        <v>50</v>
      </c>
      <c r="AE1271" t="s">
        <v>47</v>
      </c>
      <c r="AF1271" t="s">
        <v>47</v>
      </c>
      <c r="AG1271" t="s">
        <v>47</v>
      </c>
      <c r="AH1271" t="s">
        <v>47</v>
      </c>
      <c r="AI1271" t="s">
        <v>47</v>
      </c>
      <c r="AJ1271" t="s">
        <v>47</v>
      </c>
      <c r="AK1271" t="s">
        <v>47</v>
      </c>
      <c r="AL1271" t="s">
        <v>47</v>
      </c>
      <c r="AM1271" t="s">
        <v>47</v>
      </c>
      <c r="AN1271" t="s">
        <v>47</v>
      </c>
      <c r="AO1271" s="5" t="s">
        <v>60</v>
      </c>
      <c r="AP1271" s="4" t="s">
        <v>61</v>
      </c>
      <c r="AQ1271" s="4" t="s">
        <v>4832</v>
      </c>
      <c r="AR1271" s="4" t="s">
        <v>54</v>
      </c>
      <c r="AS1271" s="5">
        <v>2040921</v>
      </c>
      <c r="AT1271" t="s">
        <v>47</v>
      </c>
    </row>
    <row r="1272" spans="1:46" ht="65" x14ac:dyDescent="0.3">
      <c r="A1272" s="4" t="s">
        <v>4920</v>
      </c>
      <c r="B1272" t="s">
        <v>47</v>
      </c>
      <c r="C1272" s="4" t="s">
        <v>4921</v>
      </c>
      <c r="D1272" s="4" t="s">
        <v>879</v>
      </c>
      <c r="E1272" s="4" t="s">
        <v>49</v>
      </c>
      <c r="F1272" s="5" t="s">
        <v>4922</v>
      </c>
      <c r="G1272" s="5" t="s">
        <v>4923</v>
      </c>
      <c r="H1272" t="s">
        <v>47</v>
      </c>
      <c r="I1272" s="3">
        <v>37987</v>
      </c>
      <c r="J1272" s="3">
        <v>40057</v>
      </c>
      <c r="K1272" t="s">
        <v>47</v>
      </c>
      <c r="L1272" s="5" t="s">
        <v>60</v>
      </c>
      <c r="M1272" s="3">
        <v>37987</v>
      </c>
      <c r="N1272" s="3">
        <v>40057</v>
      </c>
      <c r="O1272" t="s">
        <v>47</v>
      </c>
      <c r="P1272" s="3">
        <v>37987</v>
      </c>
      <c r="Q1272" s="3">
        <v>40057</v>
      </c>
      <c r="R1272" t="s">
        <v>47</v>
      </c>
      <c r="S1272" t="s">
        <v>47</v>
      </c>
      <c r="T1272" t="s">
        <v>47</v>
      </c>
      <c r="U1272" t="s">
        <v>47</v>
      </c>
      <c r="V1272" t="s">
        <v>47</v>
      </c>
      <c r="W1272" s="3">
        <v>37987</v>
      </c>
      <c r="X1272" s="3">
        <v>44470</v>
      </c>
      <c r="Y1272" t="s">
        <v>47</v>
      </c>
      <c r="Z1272" s="3">
        <v>37987</v>
      </c>
      <c r="AA1272" s="3">
        <v>44470</v>
      </c>
      <c r="AB1272" t="s">
        <v>47</v>
      </c>
      <c r="AC1272" s="3">
        <v>38292</v>
      </c>
      <c r="AD1272" s="3">
        <v>44470</v>
      </c>
      <c r="AE1272" t="s">
        <v>47</v>
      </c>
      <c r="AF1272" t="s">
        <v>47</v>
      </c>
      <c r="AG1272" t="s">
        <v>47</v>
      </c>
      <c r="AH1272" t="s">
        <v>47</v>
      </c>
      <c r="AI1272" t="s">
        <v>47</v>
      </c>
      <c r="AJ1272" t="s">
        <v>47</v>
      </c>
      <c r="AK1272" t="s">
        <v>47</v>
      </c>
      <c r="AL1272" t="s">
        <v>47</v>
      </c>
      <c r="AM1272" t="s">
        <v>47</v>
      </c>
      <c r="AN1272" t="s">
        <v>47</v>
      </c>
      <c r="AO1272" s="5" t="s">
        <v>60</v>
      </c>
      <c r="AP1272" s="4" t="s">
        <v>61</v>
      </c>
      <c r="AQ1272" s="4" t="s">
        <v>53</v>
      </c>
      <c r="AR1272" s="4" t="s">
        <v>543</v>
      </c>
      <c r="AS1272" s="5">
        <v>41476</v>
      </c>
      <c r="AT1272" t="s">
        <v>47</v>
      </c>
    </row>
    <row r="1273" spans="1:46" ht="65" x14ac:dyDescent="0.3">
      <c r="A1273" s="4" t="s">
        <v>4924</v>
      </c>
      <c r="B1273" t="s">
        <v>47</v>
      </c>
      <c r="C1273" s="4" t="s">
        <v>4921</v>
      </c>
      <c r="D1273" s="4" t="s">
        <v>879</v>
      </c>
      <c r="E1273" s="4" t="s">
        <v>49</v>
      </c>
      <c r="F1273" s="5" t="s">
        <v>4925</v>
      </c>
      <c r="G1273" s="5" t="s">
        <v>4926</v>
      </c>
      <c r="H1273" t="s">
        <v>47</v>
      </c>
      <c r="I1273" s="3">
        <v>37987</v>
      </c>
      <c r="J1273" s="3">
        <v>39995</v>
      </c>
      <c r="K1273" t="s">
        <v>47</v>
      </c>
      <c r="L1273" s="5" t="s">
        <v>60</v>
      </c>
      <c r="M1273" s="3">
        <v>37987</v>
      </c>
      <c r="N1273" s="3">
        <v>39995</v>
      </c>
      <c r="O1273" t="s">
        <v>47</v>
      </c>
      <c r="P1273" s="3">
        <v>37987</v>
      </c>
      <c r="Q1273" s="3">
        <v>39995</v>
      </c>
      <c r="R1273" t="s">
        <v>47</v>
      </c>
      <c r="S1273" t="s">
        <v>47</v>
      </c>
      <c r="T1273" t="s">
        <v>47</v>
      </c>
      <c r="U1273" t="s">
        <v>47</v>
      </c>
      <c r="V1273" t="s">
        <v>47</v>
      </c>
      <c r="W1273" s="3">
        <v>37987</v>
      </c>
      <c r="X1273" s="5" t="s">
        <v>50</v>
      </c>
      <c r="Y1273" t="s">
        <v>47</v>
      </c>
      <c r="Z1273" s="3">
        <v>37987</v>
      </c>
      <c r="AA1273" s="5" t="s">
        <v>50</v>
      </c>
      <c r="AB1273" t="s">
        <v>47</v>
      </c>
      <c r="AC1273" s="3">
        <v>38078</v>
      </c>
      <c r="AD1273" s="5" t="s">
        <v>50</v>
      </c>
      <c r="AE1273" t="s">
        <v>47</v>
      </c>
      <c r="AF1273" t="s">
        <v>47</v>
      </c>
      <c r="AG1273" t="s">
        <v>47</v>
      </c>
      <c r="AH1273" t="s">
        <v>47</v>
      </c>
      <c r="AI1273" t="s">
        <v>47</v>
      </c>
      <c r="AJ1273" t="s">
        <v>47</v>
      </c>
      <c r="AK1273" t="s">
        <v>47</v>
      </c>
      <c r="AL1273" t="s">
        <v>47</v>
      </c>
      <c r="AM1273" t="s">
        <v>47</v>
      </c>
      <c r="AN1273" t="s">
        <v>47</v>
      </c>
      <c r="AO1273" s="5" t="s">
        <v>60</v>
      </c>
      <c r="AP1273" s="4" t="s">
        <v>61</v>
      </c>
      <c r="AQ1273" s="4" t="s">
        <v>53</v>
      </c>
      <c r="AR1273" s="4" t="s">
        <v>543</v>
      </c>
      <c r="AS1273" s="5">
        <v>46412</v>
      </c>
      <c r="AT1273" t="s">
        <v>47</v>
      </c>
    </row>
    <row r="1274" spans="1:46" ht="117" x14ac:dyDescent="0.3">
      <c r="A1274" s="4" t="s">
        <v>4927</v>
      </c>
      <c r="B1274" t="s">
        <v>47</v>
      </c>
      <c r="C1274" s="4" t="s">
        <v>200</v>
      </c>
      <c r="D1274" s="4" t="s">
        <v>897</v>
      </c>
      <c r="E1274" s="4" t="s">
        <v>66</v>
      </c>
      <c r="F1274" s="5" t="s">
        <v>4928</v>
      </c>
      <c r="G1274" s="5" t="s">
        <v>4929</v>
      </c>
      <c r="H1274" t="s">
        <v>47</v>
      </c>
      <c r="I1274" s="3">
        <v>32112</v>
      </c>
      <c r="J1274" s="3">
        <v>40513</v>
      </c>
      <c r="K1274" t="s">
        <v>47</v>
      </c>
      <c r="L1274" s="5" t="s">
        <v>60</v>
      </c>
      <c r="M1274" s="3">
        <v>34060</v>
      </c>
      <c r="N1274" s="3">
        <v>40513</v>
      </c>
      <c r="O1274" t="s">
        <v>47</v>
      </c>
      <c r="P1274" s="3">
        <v>32112</v>
      </c>
      <c r="Q1274" s="3">
        <v>40513</v>
      </c>
      <c r="R1274" t="s">
        <v>47</v>
      </c>
      <c r="S1274" t="s">
        <v>47</v>
      </c>
      <c r="T1274" t="s">
        <v>47</v>
      </c>
      <c r="U1274" t="s">
        <v>47</v>
      </c>
      <c r="V1274" t="s">
        <v>47</v>
      </c>
      <c r="W1274" s="3">
        <v>26207</v>
      </c>
      <c r="X1274" s="5" t="s">
        <v>50</v>
      </c>
      <c r="Y1274" t="s">
        <v>47</v>
      </c>
      <c r="Z1274" s="3">
        <v>26207</v>
      </c>
      <c r="AA1274" s="5" t="s">
        <v>50</v>
      </c>
      <c r="AB1274" t="s">
        <v>47</v>
      </c>
      <c r="AC1274" s="3">
        <v>26207</v>
      </c>
      <c r="AD1274" s="5" t="s">
        <v>50</v>
      </c>
      <c r="AE1274" t="s">
        <v>47</v>
      </c>
      <c r="AF1274" t="s">
        <v>47</v>
      </c>
      <c r="AG1274" t="s">
        <v>47</v>
      </c>
      <c r="AH1274" t="s">
        <v>47</v>
      </c>
      <c r="AI1274" t="s">
        <v>47</v>
      </c>
      <c r="AJ1274" t="s">
        <v>47</v>
      </c>
      <c r="AK1274" t="s">
        <v>47</v>
      </c>
      <c r="AL1274" t="s">
        <v>47</v>
      </c>
      <c r="AM1274" t="s">
        <v>47</v>
      </c>
      <c r="AN1274" t="s">
        <v>47</v>
      </c>
      <c r="AO1274" s="5" t="s">
        <v>60</v>
      </c>
      <c r="AP1274" s="4" t="s">
        <v>61</v>
      </c>
      <c r="AQ1274" s="4" t="s">
        <v>53</v>
      </c>
      <c r="AR1274" s="4" t="s">
        <v>4930</v>
      </c>
      <c r="AS1274" s="5">
        <v>36693</v>
      </c>
      <c r="AT1274" t="s">
        <v>47</v>
      </c>
    </row>
    <row r="1275" spans="1:46" ht="39" x14ac:dyDescent="0.3">
      <c r="A1275" s="4" t="s">
        <v>4931</v>
      </c>
      <c r="B1275" t="s">
        <v>47</v>
      </c>
      <c r="C1275" s="4" t="s">
        <v>169</v>
      </c>
      <c r="D1275" s="4" t="s">
        <v>139</v>
      </c>
      <c r="E1275" s="4" t="s">
        <v>66</v>
      </c>
      <c r="F1275" s="5" t="s">
        <v>4932</v>
      </c>
      <c r="G1275" s="5" t="s">
        <v>4933</v>
      </c>
      <c r="H1275" t="s">
        <v>47</v>
      </c>
      <c r="I1275" t="s">
        <v>47</v>
      </c>
      <c r="J1275" t="s">
        <v>47</v>
      </c>
      <c r="K1275" t="s">
        <v>47</v>
      </c>
      <c r="L1275" s="5" t="s">
        <v>60</v>
      </c>
      <c r="M1275" t="s">
        <v>47</v>
      </c>
      <c r="N1275" t="s">
        <v>47</v>
      </c>
      <c r="O1275" t="s">
        <v>47</v>
      </c>
      <c r="P1275" t="s">
        <v>47</v>
      </c>
      <c r="Q1275" t="s">
        <v>47</v>
      </c>
      <c r="R1275" t="s">
        <v>47</v>
      </c>
      <c r="S1275" t="s">
        <v>47</v>
      </c>
      <c r="T1275" t="s">
        <v>47</v>
      </c>
      <c r="U1275" t="s">
        <v>47</v>
      </c>
      <c r="V1275" t="s">
        <v>47</v>
      </c>
      <c r="W1275" s="3">
        <v>40634</v>
      </c>
      <c r="X1275" s="5" t="s">
        <v>50</v>
      </c>
      <c r="Y1275" t="s">
        <v>47</v>
      </c>
      <c r="Z1275" s="3">
        <v>40634</v>
      </c>
      <c r="AA1275" s="5" t="s">
        <v>50</v>
      </c>
      <c r="AB1275" t="s">
        <v>47</v>
      </c>
      <c r="AC1275" s="3">
        <v>40634</v>
      </c>
      <c r="AD1275" s="5" t="s">
        <v>50</v>
      </c>
      <c r="AE1275" t="s">
        <v>47</v>
      </c>
      <c r="AF1275" t="s">
        <v>47</v>
      </c>
      <c r="AG1275" t="s">
        <v>47</v>
      </c>
      <c r="AH1275" t="s">
        <v>47</v>
      </c>
      <c r="AI1275" t="s">
        <v>47</v>
      </c>
      <c r="AJ1275" t="s">
        <v>47</v>
      </c>
      <c r="AK1275" t="s">
        <v>47</v>
      </c>
      <c r="AL1275" t="s">
        <v>47</v>
      </c>
      <c r="AM1275" t="s">
        <v>47</v>
      </c>
      <c r="AN1275" t="s">
        <v>47</v>
      </c>
      <c r="AO1275" s="5" t="s">
        <v>60</v>
      </c>
      <c r="AP1275" s="4" t="s">
        <v>61</v>
      </c>
      <c r="AQ1275" s="4" t="s">
        <v>53</v>
      </c>
      <c r="AR1275" s="4" t="s">
        <v>62</v>
      </c>
      <c r="AS1275" s="5">
        <v>426797</v>
      </c>
      <c r="AT1275" t="s">
        <v>47</v>
      </c>
    </row>
    <row r="1276" spans="1:46" ht="26" x14ac:dyDescent="0.3">
      <c r="A1276" s="4" t="s">
        <v>4934</v>
      </c>
      <c r="B1276" t="s">
        <v>47</v>
      </c>
      <c r="C1276" s="4" t="s">
        <v>4935</v>
      </c>
      <c r="D1276" s="4" t="s">
        <v>4936</v>
      </c>
      <c r="E1276" s="4" t="s">
        <v>1933</v>
      </c>
      <c r="F1276" s="5" t="s">
        <v>4937</v>
      </c>
      <c r="G1276" s="5" t="s">
        <v>4938</v>
      </c>
      <c r="H1276" t="s">
        <v>47</v>
      </c>
      <c r="I1276" s="3">
        <v>40969</v>
      </c>
      <c r="J1276" s="5" t="s">
        <v>50</v>
      </c>
      <c r="K1276" t="s">
        <v>47</v>
      </c>
      <c r="L1276" s="5" t="s">
        <v>60</v>
      </c>
      <c r="M1276" s="3">
        <v>40969</v>
      </c>
      <c r="N1276" s="5" t="s">
        <v>50</v>
      </c>
      <c r="O1276" t="s">
        <v>47</v>
      </c>
      <c r="P1276" s="3">
        <v>40969</v>
      </c>
      <c r="Q1276" s="5" t="s">
        <v>50</v>
      </c>
      <c r="R1276" t="s">
        <v>47</v>
      </c>
      <c r="S1276" t="s">
        <v>47</v>
      </c>
      <c r="T1276" t="s">
        <v>47</v>
      </c>
      <c r="U1276" t="s">
        <v>47</v>
      </c>
      <c r="V1276" t="s">
        <v>47</v>
      </c>
      <c r="W1276" s="3">
        <v>40969</v>
      </c>
      <c r="X1276" s="5" t="s">
        <v>50</v>
      </c>
      <c r="Y1276" t="s">
        <v>47</v>
      </c>
      <c r="Z1276" s="3">
        <v>40969</v>
      </c>
      <c r="AA1276" s="5" t="s">
        <v>50</v>
      </c>
      <c r="AB1276" t="s">
        <v>47</v>
      </c>
      <c r="AC1276" s="3">
        <v>40969</v>
      </c>
      <c r="AD1276" s="5" t="s">
        <v>50</v>
      </c>
      <c r="AE1276" t="s">
        <v>47</v>
      </c>
      <c r="AF1276" t="s">
        <v>47</v>
      </c>
      <c r="AG1276" t="s">
        <v>47</v>
      </c>
      <c r="AH1276" t="s">
        <v>47</v>
      </c>
      <c r="AI1276" t="s">
        <v>47</v>
      </c>
      <c r="AJ1276" t="s">
        <v>47</v>
      </c>
      <c r="AK1276" t="s">
        <v>47</v>
      </c>
      <c r="AL1276" t="s">
        <v>47</v>
      </c>
      <c r="AM1276" t="s">
        <v>47</v>
      </c>
      <c r="AN1276" t="s">
        <v>47</v>
      </c>
      <c r="AO1276" s="5" t="s">
        <v>60</v>
      </c>
      <c r="AP1276" s="4" t="s">
        <v>61</v>
      </c>
      <c r="AQ1276" s="4" t="s">
        <v>53</v>
      </c>
      <c r="AR1276" s="4" t="s">
        <v>54</v>
      </c>
      <c r="AS1276" s="5">
        <v>2031892</v>
      </c>
      <c r="AT1276" t="s">
        <v>47</v>
      </c>
    </row>
    <row r="1277" spans="1:46" ht="130" x14ac:dyDescent="0.3">
      <c r="A1277" s="4" t="s">
        <v>4939</v>
      </c>
      <c r="B1277" t="s">
        <v>47</v>
      </c>
      <c r="C1277" s="4" t="s">
        <v>4940</v>
      </c>
      <c r="D1277" s="4" t="s">
        <v>885</v>
      </c>
      <c r="E1277" s="4" t="s">
        <v>49</v>
      </c>
      <c r="F1277" s="5" t="s">
        <v>4941</v>
      </c>
      <c r="G1277" t="s">
        <v>47</v>
      </c>
      <c r="H1277" t="s">
        <v>47</v>
      </c>
      <c r="I1277" s="3">
        <v>39083</v>
      </c>
      <c r="J1277" s="5" t="s">
        <v>50</v>
      </c>
      <c r="K1277" t="s">
        <v>47</v>
      </c>
      <c r="L1277" s="5" t="s">
        <v>60</v>
      </c>
      <c r="M1277" s="3">
        <v>39083</v>
      </c>
      <c r="N1277" s="5" t="s">
        <v>50</v>
      </c>
      <c r="O1277" t="s">
        <v>47</v>
      </c>
      <c r="P1277" s="3">
        <v>39083</v>
      </c>
      <c r="Q1277" s="5" t="s">
        <v>50</v>
      </c>
      <c r="R1277" t="s">
        <v>47</v>
      </c>
      <c r="S1277" t="s">
        <v>47</v>
      </c>
      <c r="T1277" t="s">
        <v>47</v>
      </c>
      <c r="U1277" t="s">
        <v>47</v>
      </c>
      <c r="V1277" t="s">
        <v>47</v>
      </c>
      <c r="W1277" s="3">
        <v>39083</v>
      </c>
      <c r="X1277" s="5" t="s">
        <v>50</v>
      </c>
      <c r="Y1277" t="s">
        <v>47</v>
      </c>
      <c r="Z1277" s="3">
        <v>39083</v>
      </c>
      <c r="AA1277" s="5" t="s">
        <v>50</v>
      </c>
      <c r="AB1277" t="s">
        <v>47</v>
      </c>
      <c r="AC1277" s="3">
        <v>39083</v>
      </c>
      <c r="AD1277" s="5" t="s">
        <v>50</v>
      </c>
      <c r="AE1277" t="s">
        <v>47</v>
      </c>
      <c r="AF1277" t="s">
        <v>47</v>
      </c>
      <c r="AG1277" t="s">
        <v>47</v>
      </c>
      <c r="AH1277" t="s">
        <v>47</v>
      </c>
      <c r="AI1277" t="s">
        <v>47</v>
      </c>
      <c r="AJ1277" t="s">
        <v>47</v>
      </c>
      <c r="AK1277" t="s">
        <v>47</v>
      </c>
      <c r="AL1277" t="s">
        <v>47</v>
      </c>
      <c r="AM1277" t="s">
        <v>47</v>
      </c>
      <c r="AN1277" t="s">
        <v>47</v>
      </c>
      <c r="AO1277" s="5" t="s">
        <v>51</v>
      </c>
      <c r="AP1277" s="4" t="s">
        <v>61</v>
      </c>
      <c r="AQ1277" s="4" t="s">
        <v>53</v>
      </c>
      <c r="AR1277" s="4" t="s">
        <v>214</v>
      </c>
      <c r="AS1277" s="5">
        <v>28091</v>
      </c>
      <c r="AT1277" t="s">
        <v>47</v>
      </c>
    </row>
    <row r="1278" spans="1:46" ht="65" x14ac:dyDescent="0.3">
      <c r="A1278" s="4" t="s">
        <v>4942</v>
      </c>
      <c r="B1278" t="s">
        <v>47</v>
      </c>
      <c r="C1278" s="4" t="s">
        <v>4943</v>
      </c>
      <c r="D1278" s="4" t="s">
        <v>206</v>
      </c>
      <c r="E1278" s="4" t="s">
        <v>66</v>
      </c>
      <c r="F1278" s="5" t="s">
        <v>4944</v>
      </c>
      <c r="G1278" s="5" t="s">
        <v>4945</v>
      </c>
      <c r="H1278" t="s">
        <v>47</v>
      </c>
      <c r="I1278" s="3">
        <v>40969</v>
      </c>
      <c r="J1278" s="5" t="s">
        <v>50</v>
      </c>
      <c r="K1278" t="s">
        <v>47</v>
      </c>
      <c r="L1278" s="5" t="s">
        <v>60</v>
      </c>
      <c r="M1278" s="3">
        <v>42339</v>
      </c>
      <c r="N1278" s="5" t="s">
        <v>50</v>
      </c>
      <c r="O1278" s="5" t="s">
        <v>4946</v>
      </c>
      <c r="P1278" s="3">
        <v>40969</v>
      </c>
      <c r="Q1278" s="5" t="s">
        <v>50</v>
      </c>
      <c r="R1278" t="s">
        <v>47</v>
      </c>
      <c r="S1278" t="s">
        <v>47</v>
      </c>
      <c r="T1278" t="s">
        <v>47</v>
      </c>
      <c r="U1278" t="s">
        <v>47</v>
      </c>
      <c r="V1278" t="s">
        <v>47</v>
      </c>
      <c r="W1278" s="3">
        <v>40969</v>
      </c>
      <c r="X1278" s="5" t="s">
        <v>50</v>
      </c>
      <c r="Y1278" t="s">
        <v>47</v>
      </c>
      <c r="Z1278" s="3">
        <v>40969</v>
      </c>
      <c r="AA1278" s="5" t="s">
        <v>50</v>
      </c>
      <c r="AB1278" t="s">
        <v>47</v>
      </c>
      <c r="AC1278" s="3">
        <v>40969</v>
      </c>
      <c r="AD1278" s="5" t="s">
        <v>50</v>
      </c>
      <c r="AE1278" t="s">
        <v>47</v>
      </c>
      <c r="AF1278" t="s">
        <v>47</v>
      </c>
      <c r="AG1278" t="s">
        <v>47</v>
      </c>
      <c r="AH1278" t="s">
        <v>47</v>
      </c>
      <c r="AI1278" t="s">
        <v>47</v>
      </c>
      <c r="AJ1278" t="s">
        <v>47</v>
      </c>
      <c r="AK1278" t="s">
        <v>47</v>
      </c>
      <c r="AL1278" t="s">
        <v>47</v>
      </c>
      <c r="AM1278" t="s">
        <v>47</v>
      </c>
      <c r="AN1278" t="s">
        <v>47</v>
      </c>
      <c r="AO1278" s="5" t="s">
        <v>60</v>
      </c>
      <c r="AP1278" s="4" t="s">
        <v>61</v>
      </c>
      <c r="AQ1278" s="4" t="s">
        <v>53</v>
      </c>
      <c r="AR1278" s="4" t="s">
        <v>209</v>
      </c>
      <c r="AS1278" s="5">
        <v>2043812</v>
      </c>
      <c r="AT1278" t="s">
        <v>47</v>
      </c>
    </row>
    <row r="1279" spans="1:46" ht="91" x14ac:dyDescent="0.3">
      <c r="A1279" s="4" t="s">
        <v>4947</v>
      </c>
      <c r="B1279" t="s">
        <v>47</v>
      </c>
      <c r="C1279" s="4" t="s">
        <v>519</v>
      </c>
      <c r="D1279" s="4" t="s">
        <v>319</v>
      </c>
      <c r="E1279" s="4" t="s">
        <v>49</v>
      </c>
      <c r="F1279" s="5" t="s">
        <v>4948</v>
      </c>
      <c r="G1279" s="5" t="s">
        <v>4949</v>
      </c>
      <c r="H1279" t="s">
        <v>47</v>
      </c>
      <c r="I1279" s="3">
        <v>35704</v>
      </c>
      <c r="J1279" s="3">
        <v>40452</v>
      </c>
      <c r="K1279" t="s">
        <v>47</v>
      </c>
      <c r="L1279" s="5" t="s">
        <v>60</v>
      </c>
      <c r="M1279" s="3">
        <v>35704</v>
      </c>
      <c r="N1279" s="3">
        <v>40452</v>
      </c>
      <c r="O1279" t="s">
        <v>47</v>
      </c>
      <c r="P1279" s="3">
        <v>35704</v>
      </c>
      <c r="Q1279" s="3">
        <v>40452</v>
      </c>
      <c r="R1279" t="s">
        <v>47</v>
      </c>
      <c r="S1279" t="s">
        <v>47</v>
      </c>
      <c r="T1279" t="s">
        <v>47</v>
      </c>
      <c r="U1279" t="s">
        <v>47</v>
      </c>
      <c r="V1279" t="s">
        <v>47</v>
      </c>
      <c r="W1279" s="3">
        <v>35704</v>
      </c>
      <c r="X1279" s="5" t="s">
        <v>50</v>
      </c>
      <c r="Y1279" t="s">
        <v>47</v>
      </c>
      <c r="Z1279" s="3">
        <v>35704</v>
      </c>
      <c r="AA1279" s="5" t="s">
        <v>50</v>
      </c>
      <c r="AB1279" t="s">
        <v>47</v>
      </c>
      <c r="AC1279" s="3">
        <v>35704</v>
      </c>
      <c r="AD1279" s="5" t="s">
        <v>50</v>
      </c>
      <c r="AE1279" t="s">
        <v>47</v>
      </c>
      <c r="AF1279" t="s">
        <v>47</v>
      </c>
      <c r="AG1279" t="s">
        <v>47</v>
      </c>
      <c r="AH1279" t="s">
        <v>47</v>
      </c>
      <c r="AI1279" t="s">
        <v>47</v>
      </c>
      <c r="AJ1279" t="s">
        <v>47</v>
      </c>
      <c r="AK1279" t="s">
        <v>47</v>
      </c>
      <c r="AL1279" t="s">
        <v>47</v>
      </c>
      <c r="AM1279" t="s">
        <v>47</v>
      </c>
      <c r="AN1279" t="s">
        <v>47</v>
      </c>
      <c r="AO1279" s="5" t="s">
        <v>60</v>
      </c>
      <c r="AP1279" s="4" t="s">
        <v>61</v>
      </c>
      <c r="AQ1279" s="4" t="s">
        <v>53</v>
      </c>
      <c r="AR1279" s="4" t="s">
        <v>4950</v>
      </c>
      <c r="AS1279" s="5">
        <v>36825</v>
      </c>
      <c r="AT1279" t="s">
        <v>47</v>
      </c>
    </row>
    <row r="1280" spans="1:46" ht="13" x14ac:dyDescent="0.3">
      <c r="A1280" s="4" t="s">
        <v>4951</v>
      </c>
      <c r="B1280" t="s">
        <v>47</v>
      </c>
      <c r="C1280" s="4" t="s">
        <v>4952</v>
      </c>
      <c r="D1280" s="4" t="s">
        <v>3101</v>
      </c>
      <c r="E1280" s="4" t="s">
        <v>49</v>
      </c>
      <c r="F1280" s="5" t="s">
        <v>4953</v>
      </c>
      <c r="G1280" t="s">
        <v>47</v>
      </c>
      <c r="H1280" t="s">
        <v>47</v>
      </c>
      <c r="I1280" s="3">
        <v>37987</v>
      </c>
      <c r="J1280" s="3">
        <v>38353</v>
      </c>
      <c r="K1280" t="s">
        <v>47</v>
      </c>
      <c r="L1280" s="5" t="s">
        <v>60</v>
      </c>
      <c r="M1280" s="3">
        <v>37987</v>
      </c>
      <c r="N1280" s="3">
        <v>38353</v>
      </c>
      <c r="O1280" t="s">
        <v>47</v>
      </c>
      <c r="P1280" s="3">
        <v>37987</v>
      </c>
      <c r="Q1280" s="3">
        <v>38353</v>
      </c>
      <c r="R1280" t="s">
        <v>47</v>
      </c>
      <c r="S1280" t="s">
        <v>47</v>
      </c>
      <c r="T1280" t="s">
        <v>47</v>
      </c>
      <c r="U1280" t="s">
        <v>47</v>
      </c>
      <c r="V1280" t="s">
        <v>47</v>
      </c>
      <c r="W1280" s="3">
        <v>37987</v>
      </c>
      <c r="X1280" s="3">
        <v>38353</v>
      </c>
      <c r="Y1280" t="s">
        <v>47</v>
      </c>
      <c r="Z1280" s="3">
        <v>37987</v>
      </c>
      <c r="AA1280" s="3">
        <v>38353</v>
      </c>
      <c r="AB1280" t="s">
        <v>47</v>
      </c>
      <c r="AC1280" s="3">
        <v>37987</v>
      </c>
      <c r="AD1280" s="3">
        <v>38353</v>
      </c>
      <c r="AE1280" t="s">
        <v>47</v>
      </c>
      <c r="AF1280" t="s">
        <v>47</v>
      </c>
      <c r="AG1280" t="s">
        <v>47</v>
      </c>
      <c r="AH1280" t="s">
        <v>47</v>
      </c>
      <c r="AI1280" t="s">
        <v>47</v>
      </c>
      <c r="AJ1280" t="s">
        <v>47</v>
      </c>
      <c r="AK1280" t="s">
        <v>47</v>
      </c>
      <c r="AL1280" t="s">
        <v>47</v>
      </c>
      <c r="AM1280" t="s">
        <v>47</v>
      </c>
      <c r="AN1280" t="s">
        <v>47</v>
      </c>
      <c r="AO1280" s="5" t="s">
        <v>51</v>
      </c>
      <c r="AP1280" s="4" t="s">
        <v>61</v>
      </c>
      <c r="AQ1280" s="4" t="s">
        <v>53</v>
      </c>
      <c r="AR1280" s="4" t="s">
        <v>54</v>
      </c>
      <c r="AS1280" s="5">
        <v>34236</v>
      </c>
      <c r="AT1280" t="s">
        <v>47</v>
      </c>
    </row>
    <row r="1281" spans="1:46" ht="78" x14ac:dyDescent="0.3">
      <c r="A1281" s="4" t="s">
        <v>4954</v>
      </c>
      <c r="B1281" t="s">
        <v>47</v>
      </c>
      <c r="C1281" s="4" t="s">
        <v>4952</v>
      </c>
      <c r="D1281" s="4" t="s">
        <v>3101</v>
      </c>
      <c r="E1281" s="4" t="s">
        <v>49</v>
      </c>
      <c r="F1281" s="5" t="s">
        <v>4955</v>
      </c>
      <c r="G1281" s="5" t="s">
        <v>4956</v>
      </c>
      <c r="H1281" t="s">
        <v>47</v>
      </c>
      <c r="I1281" s="3">
        <v>33604</v>
      </c>
      <c r="J1281" s="3">
        <v>40269</v>
      </c>
      <c r="K1281" t="s">
        <v>47</v>
      </c>
      <c r="L1281" s="5" t="s">
        <v>60</v>
      </c>
      <c r="M1281" s="3">
        <v>33604</v>
      </c>
      <c r="N1281" s="3">
        <v>40269</v>
      </c>
      <c r="O1281" t="s">
        <v>47</v>
      </c>
      <c r="P1281" t="s">
        <v>47</v>
      </c>
      <c r="Q1281" t="s">
        <v>47</v>
      </c>
      <c r="R1281" t="s">
        <v>47</v>
      </c>
      <c r="S1281" t="s">
        <v>47</v>
      </c>
      <c r="T1281" t="s">
        <v>47</v>
      </c>
      <c r="U1281" t="s">
        <v>47</v>
      </c>
      <c r="V1281" t="s">
        <v>47</v>
      </c>
      <c r="W1281" s="3">
        <v>31413</v>
      </c>
      <c r="X1281" s="5" t="s">
        <v>50</v>
      </c>
      <c r="Y1281" t="s">
        <v>47</v>
      </c>
      <c r="Z1281" s="3">
        <v>31413</v>
      </c>
      <c r="AA1281" s="5" t="s">
        <v>50</v>
      </c>
      <c r="AB1281" t="s">
        <v>47</v>
      </c>
      <c r="AC1281" s="3">
        <v>31413</v>
      </c>
      <c r="AD1281" s="5" t="s">
        <v>50</v>
      </c>
      <c r="AE1281" t="s">
        <v>47</v>
      </c>
      <c r="AF1281" t="s">
        <v>47</v>
      </c>
      <c r="AG1281" t="s">
        <v>47</v>
      </c>
      <c r="AH1281" t="s">
        <v>47</v>
      </c>
      <c r="AI1281" t="s">
        <v>47</v>
      </c>
      <c r="AJ1281" t="s">
        <v>47</v>
      </c>
      <c r="AK1281" t="s">
        <v>47</v>
      </c>
      <c r="AL1281" t="s">
        <v>47</v>
      </c>
      <c r="AM1281" t="s">
        <v>47</v>
      </c>
      <c r="AN1281" t="s">
        <v>47</v>
      </c>
      <c r="AO1281" s="5" t="s">
        <v>51</v>
      </c>
      <c r="AP1281" s="4" t="s">
        <v>61</v>
      </c>
      <c r="AQ1281" s="4" t="s">
        <v>53</v>
      </c>
      <c r="AR1281" s="4" t="s">
        <v>4957</v>
      </c>
      <c r="AS1281" s="5">
        <v>41842</v>
      </c>
      <c r="AT1281" t="s">
        <v>47</v>
      </c>
    </row>
    <row r="1282" spans="1:46" ht="65" x14ac:dyDescent="0.3">
      <c r="A1282" s="4" t="s">
        <v>4958</v>
      </c>
      <c r="B1282" t="s">
        <v>47</v>
      </c>
      <c r="C1282" s="4" t="s">
        <v>4959</v>
      </c>
      <c r="D1282" s="4" t="s">
        <v>2874</v>
      </c>
      <c r="E1282" s="4" t="s">
        <v>49</v>
      </c>
      <c r="F1282" s="5" t="s">
        <v>4960</v>
      </c>
      <c r="G1282" t="s">
        <v>47</v>
      </c>
      <c r="H1282" t="s">
        <v>47</v>
      </c>
      <c r="I1282" s="3">
        <v>34335</v>
      </c>
      <c r="J1282" s="5" t="s">
        <v>50</v>
      </c>
      <c r="K1282" t="s">
        <v>47</v>
      </c>
      <c r="L1282" s="5" t="s">
        <v>60</v>
      </c>
      <c r="M1282" s="3">
        <v>34335</v>
      </c>
      <c r="N1282" s="5" t="s">
        <v>50</v>
      </c>
      <c r="O1282" t="s">
        <v>47</v>
      </c>
      <c r="P1282" s="3">
        <v>35247</v>
      </c>
      <c r="Q1282" s="5" t="s">
        <v>50</v>
      </c>
      <c r="R1282" t="s">
        <v>47</v>
      </c>
      <c r="S1282" t="s">
        <v>47</v>
      </c>
      <c r="T1282" t="s">
        <v>47</v>
      </c>
      <c r="U1282" t="s">
        <v>47</v>
      </c>
      <c r="V1282" t="s">
        <v>47</v>
      </c>
      <c r="W1282" s="3">
        <v>33604</v>
      </c>
      <c r="X1282" s="5" t="s">
        <v>50</v>
      </c>
      <c r="Y1282" t="s">
        <v>47</v>
      </c>
      <c r="Z1282" s="3">
        <v>33604</v>
      </c>
      <c r="AA1282" s="5" t="s">
        <v>50</v>
      </c>
      <c r="AB1282" t="s">
        <v>47</v>
      </c>
      <c r="AC1282" s="3">
        <v>33604</v>
      </c>
      <c r="AD1282" s="5" t="s">
        <v>50</v>
      </c>
      <c r="AE1282" t="s">
        <v>47</v>
      </c>
      <c r="AF1282" t="s">
        <v>47</v>
      </c>
      <c r="AG1282" t="s">
        <v>47</v>
      </c>
      <c r="AH1282" t="s">
        <v>47</v>
      </c>
      <c r="AI1282" t="s">
        <v>47</v>
      </c>
      <c r="AJ1282" t="s">
        <v>47</v>
      </c>
      <c r="AK1282" t="s">
        <v>47</v>
      </c>
      <c r="AL1282" t="s">
        <v>47</v>
      </c>
      <c r="AM1282" t="s">
        <v>47</v>
      </c>
      <c r="AN1282" t="s">
        <v>47</v>
      </c>
      <c r="AO1282" s="5" t="s">
        <v>51</v>
      </c>
      <c r="AP1282" s="4" t="s">
        <v>61</v>
      </c>
      <c r="AQ1282" s="4" t="s">
        <v>53</v>
      </c>
      <c r="AR1282" s="4" t="s">
        <v>4961</v>
      </c>
      <c r="AS1282" s="5">
        <v>25289</v>
      </c>
      <c r="AT1282" t="s">
        <v>47</v>
      </c>
    </row>
    <row r="1283" spans="1:46" ht="13" x14ac:dyDescent="0.3">
      <c r="A1283" s="4" t="s">
        <v>4962</v>
      </c>
      <c r="B1283" t="s">
        <v>47</v>
      </c>
      <c r="C1283" s="4" t="s">
        <v>2455</v>
      </c>
      <c r="D1283" s="4" t="s">
        <v>3101</v>
      </c>
      <c r="E1283" s="4" t="s">
        <v>49</v>
      </c>
      <c r="F1283" s="5" t="s">
        <v>4963</v>
      </c>
      <c r="G1283" s="5" t="s">
        <v>4964</v>
      </c>
      <c r="H1283" t="s">
        <v>47</v>
      </c>
      <c r="I1283" s="3">
        <v>43009</v>
      </c>
      <c r="J1283" s="5" t="s">
        <v>50</v>
      </c>
      <c r="K1283" t="s">
        <v>47</v>
      </c>
      <c r="L1283" s="5" t="s">
        <v>60</v>
      </c>
      <c r="M1283" s="3">
        <v>43009</v>
      </c>
      <c r="N1283" s="5" t="s">
        <v>50</v>
      </c>
      <c r="O1283" t="s">
        <v>47</v>
      </c>
      <c r="P1283" s="3">
        <v>43009</v>
      </c>
      <c r="Q1283" s="5" t="s">
        <v>50</v>
      </c>
      <c r="R1283" t="s">
        <v>47</v>
      </c>
      <c r="S1283" t="s">
        <v>47</v>
      </c>
      <c r="T1283" t="s">
        <v>47</v>
      </c>
      <c r="U1283" t="s">
        <v>47</v>
      </c>
      <c r="V1283" t="s">
        <v>47</v>
      </c>
      <c r="W1283" s="3">
        <v>43009</v>
      </c>
      <c r="X1283" s="5" t="s">
        <v>50</v>
      </c>
      <c r="Y1283" t="s">
        <v>47</v>
      </c>
      <c r="Z1283" s="3">
        <v>43009</v>
      </c>
      <c r="AA1283" s="5" t="s">
        <v>50</v>
      </c>
      <c r="AB1283" t="s">
        <v>47</v>
      </c>
      <c r="AC1283" s="3">
        <v>43009</v>
      </c>
      <c r="AD1283" s="5" t="s">
        <v>50</v>
      </c>
      <c r="AE1283" t="s">
        <v>47</v>
      </c>
      <c r="AF1283" t="s">
        <v>47</v>
      </c>
      <c r="AG1283" t="s">
        <v>47</v>
      </c>
      <c r="AH1283" t="s">
        <v>47</v>
      </c>
      <c r="AI1283" t="s">
        <v>47</v>
      </c>
      <c r="AJ1283" t="s">
        <v>47</v>
      </c>
      <c r="AK1283" t="s">
        <v>47</v>
      </c>
      <c r="AL1283" t="s">
        <v>47</v>
      </c>
      <c r="AM1283" t="s">
        <v>47</v>
      </c>
      <c r="AN1283" t="s">
        <v>47</v>
      </c>
      <c r="AO1283" s="5" t="s">
        <v>60</v>
      </c>
      <c r="AP1283" s="4" t="s">
        <v>61</v>
      </c>
      <c r="AQ1283" s="4" t="s">
        <v>53</v>
      </c>
      <c r="AR1283" s="4" t="s">
        <v>54</v>
      </c>
      <c r="AS1283" s="5">
        <v>4589204</v>
      </c>
      <c r="AT1283" t="s">
        <v>47</v>
      </c>
    </row>
    <row r="1284" spans="1:46" ht="91" x14ac:dyDescent="0.3">
      <c r="A1284" s="4" t="s">
        <v>4965</v>
      </c>
      <c r="B1284" t="s">
        <v>47</v>
      </c>
      <c r="C1284" s="4" t="s">
        <v>2455</v>
      </c>
      <c r="D1284" s="4" t="s">
        <v>3101</v>
      </c>
      <c r="E1284" s="4" t="s">
        <v>49</v>
      </c>
      <c r="F1284" s="5" t="s">
        <v>4966</v>
      </c>
      <c r="G1284" s="5" t="s">
        <v>4967</v>
      </c>
      <c r="H1284" t="s">
        <v>47</v>
      </c>
      <c r="I1284" s="3">
        <v>37712</v>
      </c>
      <c r="J1284" s="5" t="s">
        <v>50</v>
      </c>
      <c r="K1284" t="s">
        <v>47</v>
      </c>
      <c r="L1284" s="5" t="s">
        <v>60</v>
      </c>
      <c r="M1284" s="3">
        <v>37712</v>
      </c>
      <c r="N1284" s="5" t="s">
        <v>50</v>
      </c>
      <c r="O1284" t="s">
        <v>47</v>
      </c>
      <c r="P1284" s="3">
        <v>37712</v>
      </c>
      <c r="Q1284" s="5" t="s">
        <v>50</v>
      </c>
      <c r="R1284" t="s">
        <v>47</v>
      </c>
      <c r="S1284" t="s">
        <v>47</v>
      </c>
      <c r="T1284" t="s">
        <v>47</v>
      </c>
      <c r="U1284" t="s">
        <v>47</v>
      </c>
      <c r="V1284" t="s">
        <v>47</v>
      </c>
      <c r="W1284" s="3">
        <v>34973</v>
      </c>
      <c r="X1284" s="5" t="s">
        <v>50</v>
      </c>
      <c r="Y1284" t="s">
        <v>47</v>
      </c>
      <c r="Z1284" s="3">
        <v>34973</v>
      </c>
      <c r="AA1284" s="5" t="s">
        <v>50</v>
      </c>
      <c r="AB1284" t="s">
        <v>47</v>
      </c>
      <c r="AC1284" s="3">
        <v>34973</v>
      </c>
      <c r="AD1284" s="5" t="s">
        <v>50</v>
      </c>
      <c r="AE1284" t="s">
        <v>47</v>
      </c>
      <c r="AF1284" t="s">
        <v>47</v>
      </c>
      <c r="AG1284" t="s">
        <v>47</v>
      </c>
      <c r="AH1284" t="s">
        <v>47</v>
      </c>
      <c r="AI1284" t="s">
        <v>47</v>
      </c>
      <c r="AJ1284" t="s">
        <v>47</v>
      </c>
      <c r="AK1284" t="s">
        <v>47</v>
      </c>
      <c r="AL1284" t="s">
        <v>47</v>
      </c>
      <c r="AM1284" t="s">
        <v>47</v>
      </c>
      <c r="AN1284" t="s">
        <v>47</v>
      </c>
      <c r="AO1284" s="5" t="s">
        <v>60</v>
      </c>
      <c r="AP1284" s="4" t="s">
        <v>61</v>
      </c>
      <c r="AQ1284" s="4" t="s">
        <v>53</v>
      </c>
      <c r="AR1284" s="4" t="s">
        <v>4968</v>
      </c>
      <c r="AS1284" s="5">
        <v>42528</v>
      </c>
      <c r="AT1284" t="s">
        <v>47</v>
      </c>
    </row>
    <row r="1285" spans="1:46" ht="13" x14ac:dyDescent="0.3">
      <c r="A1285" s="4" t="s">
        <v>4969</v>
      </c>
      <c r="B1285" t="s">
        <v>47</v>
      </c>
      <c r="C1285" s="4" t="s">
        <v>397</v>
      </c>
      <c r="D1285" s="4" t="s">
        <v>612</v>
      </c>
      <c r="E1285" s="4" t="s">
        <v>66</v>
      </c>
      <c r="F1285" s="5" t="s">
        <v>4970</v>
      </c>
      <c r="G1285" s="5" t="s">
        <v>4971</v>
      </c>
      <c r="H1285" t="s">
        <v>47</v>
      </c>
      <c r="I1285" s="3">
        <v>37012</v>
      </c>
      <c r="J1285" s="5" t="s">
        <v>50</v>
      </c>
      <c r="K1285" t="s">
        <v>47</v>
      </c>
      <c r="L1285" s="5" t="s">
        <v>60</v>
      </c>
      <c r="M1285" t="s">
        <v>47</v>
      </c>
      <c r="N1285" t="s">
        <v>47</v>
      </c>
      <c r="O1285" t="s">
        <v>47</v>
      </c>
      <c r="P1285" s="3">
        <v>37012</v>
      </c>
      <c r="Q1285" s="5" t="s">
        <v>50</v>
      </c>
      <c r="R1285" t="s">
        <v>47</v>
      </c>
      <c r="S1285" t="s">
        <v>47</v>
      </c>
      <c r="T1285" t="s">
        <v>47</v>
      </c>
      <c r="U1285" t="s">
        <v>47</v>
      </c>
      <c r="V1285" s="5">
        <v>365</v>
      </c>
      <c r="W1285" s="3">
        <v>37012</v>
      </c>
      <c r="X1285" s="5" t="s">
        <v>50</v>
      </c>
      <c r="Y1285" t="s">
        <v>47</v>
      </c>
      <c r="Z1285" s="3">
        <v>37012</v>
      </c>
      <c r="AA1285" s="5" t="s">
        <v>50</v>
      </c>
      <c r="AB1285" t="s">
        <v>47</v>
      </c>
      <c r="AC1285" s="3">
        <v>37012</v>
      </c>
      <c r="AD1285" s="5" t="s">
        <v>50</v>
      </c>
      <c r="AE1285" t="s">
        <v>47</v>
      </c>
      <c r="AF1285" t="s">
        <v>47</v>
      </c>
      <c r="AG1285" t="s">
        <v>47</v>
      </c>
      <c r="AH1285" t="s">
        <v>47</v>
      </c>
      <c r="AI1285" t="s">
        <v>47</v>
      </c>
      <c r="AJ1285" t="s">
        <v>47</v>
      </c>
      <c r="AK1285" t="s">
        <v>47</v>
      </c>
      <c r="AL1285" t="s">
        <v>47</v>
      </c>
      <c r="AM1285" t="s">
        <v>47</v>
      </c>
      <c r="AN1285" t="s">
        <v>47</v>
      </c>
      <c r="AO1285" s="5" t="s">
        <v>60</v>
      </c>
      <c r="AP1285" s="4" t="s">
        <v>61</v>
      </c>
      <c r="AQ1285" s="4" t="s">
        <v>53</v>
      </c>
      <c r="AR1285" s="4" t="s">
        <v>167</v>
      </c>
      <c r="AS1285" s="5">
        <v>36736</v>
      </c>
      <c r="AT1285" t="s">
        <v>47</v>
      </c>
    </row>
    <row r="1286" spans="1:46" ht="39" x14ac:dyDescent="0.3">
      <c r="A1286" s="4" t="s">
        <v>4972</v>
      </c>
      <c r="B1286" t="s">
        <v>47</v>
      </c>
      <c r="C1286" s="4" t="s">
        <v>4973</v>
      </c>
      <c r="D1286" s="4" t="s">
        <v>4974</v>
      </c>
      <c r="E1286" s="4" t="s">
        <v>100</v>
      </c>
      <c r="F1286" s="5" t="s">
        <v>4975</v>
      </c>
      <c r="G1286" t="s">
        <v>47</v>
      </c>
      <c r="H1286" t="s">
        <v>47</v>
      </c>
      <c r="I1286" s="3">
        <v>35521</v>
      </c>
      <c r="J1286" s="5" t="s">
        <v>50</v>
      </c>
      <c r="K1286" t="s">
        <v>47</v>
      </c>
      <c r="L1286" s="5" t="s">
        <v>60</v>
      </c>
      <c r="M1286" s="3">
        <v>35521</v>
      </c>
      <c r="N1286" s="5" t="s">
        <v>50</v>
      </c>
      <c r="O1286" t="s">
        <v>47</v>
      </c>
      <c r="P1286" s="3">
        <v>38322</v>
      </c>
      <c r="Q1286" s="5" t="s">
        <v>50</v>
      </c>
      <c r="R1286" t="s">
        <v>47</v>
      </c>
      <c r="S1286" t="s">
        <v>47</v>
      </c>
      <c r="T1286" t="s">
        <v>47</v>
      </c>
      <c r="U1286" t="s">
        <v>47</v>
      </c>
      <c r="V1286" t="s">
        <v>47</v>
      </c>
      <c r="W1286" s="3">
        <v>31413</v>
      </c>
      <c r="X1286" s="5" t="s">
        <v>50</v>
      </c>
      <c r="Y1286" t="s">
        <v>47</v>
      </c>
      <c r="Z1286" s="3">
        <v>31413</v>
      </c>
      <c r="AA1286" s="5" t="s">
        <v>50</v>
      </c>
      <c r="AB1286" t="s">
        <v>47</v>
      </c>
      <c r="AC1286" s="3">
        <v>35521</v>
      </c>
      <c r="AD1286" s="5" t="s">
        <v>50</v>
      </c>
      <c r="AE1286" s="5" t="s">
        <v>4976</v>
      </c>
      <c r="AF1286" t="s">
        <v>47</v>
      </c>
      <c r="AG1286" t="s">
        <v>47</v>
      </c>
      <c r="AH1286" t="s">
        <v>47</v>
      </c>
      <c r="AI1286" t="s">
        <v>47</v>
      </c>
      <c r="AJ1286" t="s">
        <v>47</v>
      </c>
      <c r="AK1286" t="s">
        <v>47</v>
      </c>
      <c r="AL1286" t="s">
        <v>47</v>
      </c>
      <c r="AM1286" t="s">
        <v>47</v>
      </c>
      <c r="AN1286" t="s">
        <v>47</v>
      </c>
      <c r="AO1286" s="5" t="s">
        <v>60</v>
      </c>
      <c r="AP1286" s="4" t="s">
        <v>61</v>
      </c>
      <c r="AQ1286" s="4" t="s">
        <v>198</v>
      </c>
      <c r="AR1286" s="4" t="s">
        <v>348</v>
      </c>
      <c r="AS1286" s="5">
        <v>42913</v>
      </c>
      <c r="AT1286" t="s">
        <v>47</v>
      </c>
    </row>
    <row r="1287" spans="1:46" ht="26" x14ac:dyDescent="0.3">
      <c r="A1287" s="4" t="s">
        <v>4977</v>
      </c>
      <c r="B1287" t="s">
        <v>47</v>
      </c>
      <c r="C1287" s="4" t="s">
        <v>2455</v>
      </c>
      <c r="D1287" s="4" t="s">
        <v>1129</v>
      </c>
      <c r="E1287" s="4" t="s">
        <v>49</v>
      </c>
      <c r="F1287" s="5" t="s">
        <v>4978</v>
      </c>
      <c r="G1287" t="s">
        <v>47</v>
      </c>
      <c r="H1287" t="s">
        <v>47</v>
      </c>
      <c r="I1287" s="3">
        <v>41275</v>
      </c>
      <c r="J1287" s="3">
        <v>44197</v>
      </c>
      <c r="K1287" s="5" t="s">
        <v>537</v>
      </c>
      <c r="L1287" s="5" t="s">
        <v>60</v>
      </c>
      <c r="M1287" t="s">
        <v>47</v>
      </c>
      <c r="N1287" t="s">
        <v>47</v>
      </c>
      <c r="O1287" t="s">
        <v>47</v>
      </c>
      <c r="P1287" s="3">
        <v>41275</v>
      </c>
      <c r="Q1287" s="3">
        <v>44197</v>
      </c>
      <c r="R1287" s="5" t="s">
        <v>537</v>
      </c>
      <c r="S1287" t="s">
        <v>47</v>
      </c>
      <c r="T1287" t="s">
        <v>47</v>
      </c>
      <c r="U1287" t="s">
        <v>47</v>
      </c>
      <c r="V1287" t="s">
        <v>47</v>
      </c>
      <c r="W1287" s="3">
        <v>41275</v>
      </c>
      <c r="X1287" s="5" t="s">
        <v>50</v>
      </c>
      <c r="Y1287" s="5" t="s">
        <v>450</v>
      </c>
      <c r="Z1287" s="3">
        <v>41275</v>
      </c>
      <c r="AA1287" s="5" t="s">
        <v>50</v>
      </c>
      <c r="AB1287" s="5" t="s">
        <v>450</v>
      </c>
      <c r="AC1287" s="3">
        <v>41275</v>
      </c>
      <c r="AD1287" s="5" t="s">
        <v>50</v>
      </c>
      <c r="AE1287" s="5" t="s">
        <v>450</v>
      </c>
      <c r="AF1287" t="s">
        <v>47</v>
      </c>
      <c r="AG1287" t="s">
        <v>47</v>
      </c>
      <c r="AH1287" t="s">
        <v>47</v>
      </c>
      <c r="AI1287" t="s">
        <v>47</v>
      </c>
      <c r="AJ1287" t="s">
        <v>47</v>
      </c>
      <c r="AK1287" t="s">
        <v>47</v>
      </c>
      <c r="AL1287" t="s">
        <v>47</v>
      </c>
      <c r="AM1287" t="s">
        <v>47</v>
      </c>
      <c r="AN1287" t="s">
        <v>47</v>
      </c>
      <c r="AO1287" s="5" t="s">
        <v>60</v>
      </c>
      <c r="AP1287" s="4" t="s">
        <v>61</v>
      </c>
      <c r="AQ1287" s="4" t="s">
        <v>53</v>
      </c>
      <c r="AR1287" s="4" t="s">
        <v>4979</v>
      </c>
      <c r="AS1287" s="5">
        <v>4661808</v>
      </c>
      <c r="AT1287" t="s">
        <v>47</v>
      </c>
    </row>
    <row r="1288" spans="1:46" ht="13" x14ac:dyDescent="0.3">
      <c r="A1288" s="4" t="s">
        <v>4980</v>
      </c>
      <c r="B1288" t="s">
        <v>47</v>
      </c>
      <c r="C1288" s="4" t="s">
        <v>3730</v>
      </c>
      <c r="D1288" s="4" t="s">
        <v>1241</v>
      </c>
      <c r="E1288" s="4" t="s">
        <v>3731</v>
      </c>
      <c r="F1288" s="5" t="s">
        <v>4981</v>
      </c>
      <c r="G1288" s="5" t="s">
        <v>4982</v>
      </c>
      <c r="H1288" t="s">
        <v>47</v>
      </c>
      <c r="I1288" s="3">
        <v>35339</v>
      </c>
      <c r="J1288" s="5" t="s">
        <v>50</v>
      </c>
      <c r="K1288" t="s">
        <v>47</v>
      </c>
      <c r="L1288" s="5" t="s">
        <v>60</v>
      </c>
      <c r="M1288" s="3">
        <v>35339</v>
      </c>
      <c r="N1288" s="5" t="s">
        <v>50</v>
      </c>
      <c r="O1288" t="s">
        <v>47</v>
      </c>
      <c r="P1288" s="3">
        <v>35339</v>
      </c>
      <c r="Q1288" s="5" t="s">
        <v>50</v>
      </c>
      <c r="R1288" t="s">
        <v>47</v>
      </c>
      <c r="S1288" t="s">
        <v>47</v>
      </c>
      <c r="T1288" t="s">
        <v>47</v>
      </c>
      <c r="U1288" t="s">
        <v>47</v>
      </c>
      <c r="V1288" t="s">
        <v>47</v>
      </c>
      <c r="W1288" s="3">
        <v>35339</v>
      </c>
      <c r="X1288" s="5" t="s">
        <v>50</v>
      </c>
      <c r="Y1288" t="s">
        <v>47</v>
      </c>
      <c r="Z1288" s="3">
        <v>35339</v>
      </c>
      <c r="AA1288" s="5" t="s">
        <v>50</v>
      </c>
      <c r="AB1288" t="s">
        <v>47</v>
      </c>
      <c r="AC1288" s="3">
        <v>35400</v>
      </c>
      <c r="AD1288" s="5" t="s">
        <v>50</v>
      </c>
      <c r="AE1288" s="5" t="s">
        <v>4983</v>
      </c>
      <c r="AF1288" t="s">
        <v>47</v>
      </c>
      <c r="AG1288" t="s">
        <v>47</v>
      </c>
      <c r="AH1288" t="s">
        <v>47</v>
      </c>
      <c r="AI1288" t="s">
        <v>47</v>
      </c>
      <c r="AJ1288" t="s">
        <v>47</v>
      </c>
      <c r="AK1288" t="s">
        <v>47</v>
      </c>
      <c r="AL1288" t="s">
        <v>47</v>
      </c>
      <c r="AM1288" t="s">
        <v>47</v>
      </c>
      <c r="AN1288" t="s">
        <v>47</v>
      </c>
      <c r="AO1288" s="5" t="s">
        <v>60</v>
      </c>
      <c r="AP1288" s="4" t="s">
        <v>61</v>
      </c>
      <c r="AQ1288" s="4" t="s">
        <v>53</v>
      </c>
      <c r="AR1288" s="4" t="s">
        <v>54</v>
      </c>
      <c r="AS1288" s="5">
        <v>35035</v>
      </c>
      <c r="AT1288" t="s">
        <v>47</v>
      </c>
    </row>
    <row r="1289" spans="1:46" ht="26" x14ac:dyDescent="0.3">
      <c r="A1289" s="4" t="s">
        <v>4984</v>
      </c>
      <c r="B1289" t="s">
        <v>47</v>
      </c>
      <c r="C1289" s="4" t="s">
        <v>4985</v>
      </c>
      <c r="D1289" s="4" t="s">
        <v>1423</v>
      </c>
      <c r="E1289" s="4" t="s">
        <v>49</v>
      </c>
      <c r="F1289" t="s">
        <v>47</v>
      </c>
      <c r="G1289" s="5" t="s">
        <v>4986</v>
      </c>
      <c r="H1289" t="s">
        <v>47</v>
      </c>
      <c r="I1289" s="3">
        <v>38534</v>
      </c>
      <c r="J1289" s="5" t="s">
        <v>50</v>
      </c>
      <c r="K1289" t="s">
        <v>47</v>
      </c>
      <c r="L1289" s="5" t="s">
        <v>60</v>
      </c>
      <c r="M1289" t="s">
        <v>47</v>
      </c>
      <c r="N1289" t="s">
        <v>47</v>
      </c>
      <c r="O1289" t="s">
        <v>47</v>
      </c>
      <c r="P1289" s="3">
        <v>38534</v>
      </c>
      <c r="Q1289" s="5" t="s">
        <v>50</v>
      </c>
      <c r="R1289" t="s">
        <v>47</v>
      </c>
      <c r="S1289" t="s">
        <v>47</v>
      </c>
      <c r="T1289" t="s">
        <v>47</v>
      </c>
      <c r="U1289" t="s">
        <v>47</v>
      </c>
      <c r="V1289" t="s">
        <v>47</v>
      </c>
      <c r="W1289" s="3">
        <v>38534</v>
      </c>
      <c r="X1289" s="5" t="s">
        <v>50</v>
      </c>
      <c r="Y1289" t="s">
        <v>47</v>
      </c>
      <c r="Z1289" s="3">
        <v>38534</v>
      </c>
      <c r="AA1289" s="5" t="s">
        <v>50</v>
      </c>
      <c r="AB1289" t="s">
        <v>47</v>
      </c>
      <c r="AC1289" s="3">
        <v>38534</v>
      </c>
      <c r="AD1289" s="5" t="s">
        <v>50</v>
      </c>
      <c r="AE1289" t="s">
        <v>47</v>
      </c>
      <c r="AF1289" t="s">
        <v>47</v>
      </c>
      <c r="AG1289" t="s">
        <v>47</v>
      </c>
      <c r="AH1289" t="s">
        <v>47</v>
      </c>
      <c r="AI1289" t="s">
        <v>47</v>
      </c>
      <c r="AJ1289" t="s">
        <v>47</v>
      </c>
      <c r="AK1289" t="s">
        <v>47</v>
      </c>
      <c r="AL1289" t="s">
        <v>47</v>
      </c>
      <c r="AM1289" t="s">
        <v>47</v>
      </c>
      <c r="AN1289" t="s">
        <v>47</v>
      </c>
      <c r="AO1289" s="5" t="s">
        <v>60</v>
      </c>
      <c r="AP1289" s="4" t="s">
        <v>61</v>
      </c>
      <c r="AQ1289" s="4" t="s">
        <v>53</v>
      </c>
      <c r="AR1289" s="4" t="s">
        <v>4987</v>
      </c>
      <c r="AS1289" s="5">
        <v>5161130</v>
      </c>
      <c r="AT1289" t="s">
        <v>47</v>
      </c>
    </row>
    <row r="1290" spans="1:46" ht="39" x14ac:dyDescent="0.3">
      <c r="A1290" s="4" t="s">
        <v>4988</v>
      </c>
      <c r="B1290" t="s">
        <v>47</v>
      </c>
      <c r="C1290" s="4" t="s">
        <v>4989</v>
      </c>
      <c r="D1290" s="4" t="s">
        <v>2186</v>
      </c>
      <c r="E1290" s="4" t="s">
        <v>49</v>
      </c>
      <c r="F1290" s="5" t="s">
        <v>4990</v>
      </c>
      <c r="G1290" s="5" t="s">
        <v>4991</v>
      </c>
      <c r="H1290" t="s">
        <v>47</v>
      </c>
      <c r="I1290" t="s">
        <v>47</v>
      </c>
      <c r="J1290" t="s">
        <v>47</v>
      </c>
      <c r="K1290" t="s">
        <v>47</v>
      </c>
      <c r="L1290" s="5" t="s">
        <v>60</v>
      </c>
      <c r="M1290" t="s">
        <v>47</v>
      </c>
      <c r="N1290" t="s">
        <v>47</v>
      </c>
      <c r="O1290" t="s">
        <v>47</v>
      </c>
      <c r="P1290" t="s">
        <v>47</v>
      </c>
      <c r="Q1290" t="s">
        <v>47</v>
      </c>
      <c r="R1290" t="s">
        <v>47</v>
      </c>
      <c r="S1290" t="s">
        <v>47</v>
      </c>
      <c r="T1290" t="s">
        <v>47</v>
      </c>
      <c r="U1290" t="s">
        <v>47</v>
      </c>
      <c r="V1290" t="s">
        <v>47</v>
      </c>
      <c r="W1290" s="3">
        <v>32509</v>
      </c>
      <c r="X1290" s="3">
        <v>38626</v>
      </c>
      <c r="Y1290" t="s">
        <v>47</v>
      </c>
      <c r="Z1290" s="3">
        <v>32509</v>
      </c>
      <c r="AA1290" s="3">
        <v>38626</v>
      </c>
      <c r="AB1290" t="s">
        <v>47</v>
      </c>
      <c r="AC1290" s="3">
        <v>32509</v>
      </c>
      <c r="AD1290" s="3">
        <v>38626</v>
      </c>
      <c r="AE1290" t="s">
        <v>47</v>
      </c>
      <c r="AF1290" t="s">
        <v>47</v>
      </c>
      <c r="AG1290" t="s">
        <v>47</v>
      </c>
      <c r="AH1290" t="s">
        <v>47</v>
      </c>
      <c r="AI1290" t="s">
        <v>47</v>
      </c>
      <c r="AJ1290" t="s">
        <v>47</v>
      </c>
      <c r="AK1290" t="s">
        <v>47</v>
      </c>
      <c r="AL1290" t="s">
        <v>47</v>
      </c>
      <c r="AM1290" t="s">
        <v>47</v>
      </c>
      <c r="AN1290" t="s">
        <v>47</v>
      </c>
      <c r="AO1290" s="5" t="s">
        <v>60</v>
      </c>
      <c r="AP1290" s="4" t="s">
        <v>61</v>
      </c>
      <c r="AQ1290" s="4" t="s">
        <v>53</v>
      </c>
      <c r="AR1290" s="4" t="s">
        <v>4992</v>
      </c>
      <c r="AS1290" s="5">
        <v>48927</v>
      </c>
      <c r="AT1290" t="s">
        <v>47</v>
      </c>
    </row>
    <row r="1291" spans="1:46" ht="78" x14ac:dyDescent="0.3">
      <c r="A1291" s="4" t="s">
        <v>4993</v>
      </c>
      <c r="B1291" t="s">
        <v>47</v>
      </c>
      <c r="C1291" s="4" t="s">
        <v>4994</v>
      </c>
      <c r="D1291" s="4" t="s">
        <v>4995</v>
      </c>
      <c r="E1291" s="4" t="s">
        <v>66</v>
      </c>
      <c r="F1291" s="5" t="s">
        <v>4996</v>
      </c>
      <c r="G1291" s="5" t="s">
        <v>4997</v>
      </c>
      <c r="H1291" t="s">
        <v>47</v>
      </c>
      <c r="I1291" t="s">
        <v>47</v>
      </c>
      <c r="J1291" t="s">
        <v>47</v>
      </c>
      <c r="K1291" t="s">
        <v>47</v>
      </c>
      <c r="L1291" s="5" t="s">
        <v>60</v>
      </c>
      <c r="M1291" t="s">
        <v>47</v>
      </c>
      <c r="N1291" t="s">
        <v>47</v>
      </c>
      <c r="O1291" t="s">
        <v>47</v>
      </c>
      <c r="P1291" t="s">
        <v>47</v>
      </c>
      <c r="Q1291" t="s">
        <v>47</v>
      </c>
      <c r="R1291" t="s">
        <v>47</v>
      </c>
      <c r="S1291" t="s">
        <v>47</v>
      </c>
      <c r="T1291" t="s">
        <v>47</v>
      </c>
      <c r="U1291" t="s">
        <v>47</v>
      </c>
      <c r="V1291" t="s">
        <v>47</v>
      </c>
      <c r="W1291" s="3">
        <v>24228</v>
      </c>
      <c r="X1291" s="5" t="s">
        <v>50</v>
      </c>
      <c r="Y1291" t="s">
        <v>47</v>
      </c>
      <c r="Z1291" s="3">
        <v>24228</v>
      </c>
      <c r="AA1291" s="5" t="s">
        <v>50</v>
      </c>
      <c r="AB1291" t="s">
        <v>47</v>
      </c>
      <c r="AC1291" s="3">
        <v>24228</v>
      </c>
      <c r="AD1291" s="5" t="s">
        <v>50</v>
      </c>
      <c r="AE1291" t="s">
        <v>47</v>
      </c>
      <c r="AF1291" t="s">
        <v>47</v>
      </c>
      <c r="AG1291" t="s">
        <v>47</v>
      </c>
      <c r="AH1291" t="s">
        <v>47</v>
      </c>
      <c r="AI1291" t="s">
        <v>47</v>
      </c>
      <c r="AJ1291" t="s">
        <v>47</v>
      </c>
      <c r="AK1291" t="s">
        <v>47</v>
      </c>
      <c r="AL1291" t="s">
        <v>47</v>
      </c>
      <c r="AM1291" t="s">
        <v>47</v>
      </c>
      <c r="AN1291" t="s">
        <v>47</v>
      </c>
      <c r="AO1291" s="5" t="s">
        <v>60</v>
      </c>
      <c r="AP1291" s="4" t="s">
        <v>61</v>
      </c>
      <c r="AQ1291" s="4" t="s">
        <v>53</v>
      </c>
      <c r="AR1291" s="4" t="s">
        <v>4998</v>
      </c>
      <c r="AS1291" s="5">
        <v>6326152</v>
      </c>
      <c r="AT1291" t="s">
        <v>47</v>
      </c>
    </row>
    <row r="1292" spans="1:46" ht="78" x14ac:dyDescent="0.3">
      <c r="A1292" s="4" t="s">
        <v>4999</v>
      </c>
      <c r="B1292" t="s">
        <v>47</v>
      </c>
      <c r="C1292" s="4" t="s">
        <v>5000</v>
      </c>
      <c r="D1292" s="4" t="s">
        <v>1423</v>
      </c>
      <c r="E1292" s="4" t="s">
        <v>49</v>
      </c>
      <c r="F1292" s="5" t="s">
        <v>5001</v>
      </c>
      <c r="G1292" s="5" t="s">
        <v>5002</v>
      </c>
      <c r="H1292" t="s">
        <v>47</v>
      </c>
      <c r="I1292" t="s">
        <v>47</v>
      </c>
      <c r="J1292" t="s">
        <v>47</v>
      </c>
      <c r="K1292" t="s">
        <v>47</v>
      </c>
      <c r="L1292" s="5" t="s">
        <v>60</v>
      </c>
      <c r="M1292" t="s">
        <v>47</v>
      </c>
      <c r="N1292" t="s">
        <v>47</v>
      </c>
      <c r="O1292" t="s">
        <v>47</v>
      </c>
      <c r="P1292" t="s">
        <v>47</v>
      </c>
      <c r="Q1292" t="s">
        <v>47</v>
      </c>
      <c r="R1292" t="s">
        <v>47</v>
      </c>
      <c r="S1292" t="s">
        <v>47</v>
      </c>
      <c r="T1292" t="s">
        <v>47</v>
      </c>
      <c r="U1292" t="s">
        <v>47</v>
      </c>
      <c r="V1292" t="s">
        <v>47</v>
      </c>
      <c r="W1292" s="3">
        <v>32509</v>
      </c>
      <c r="X1292" s="3">
        <v>34304</v>
      </c>
      <c r="Y1292" t="s">
        <v>47</v>
      </c>
      <c r="Z1292" s="3">
        <v>32509</v>
      </c>
      <c r="AA1292" s="3">
        <v>34304</v>
      </c>
      <c r="AB1292" t="s">
        <v>47</v>
      </c>
      <c r="AC1292" s="3">
        <v>32509</v>
      </c>
      <c r="AD1292" s="3">
        <v>33939</v>
      </c>
      <c r="AE1292" t="s">
        <v>47</v>
      </c>
      <c r="AF1292" t="s">
        <v>47</v>
      </c>
      <c r="AG1292" t="s">
        <v>47</v>
      </c>
      <c r="AH1292" t="s">
        <v>47</v>
      </c>
      <c r="AI1292" t="s">
        <v>47</v>
      </c>
      <c r="AJ1292" t="s">
        <v>47</v>
      </c>
      <c r="AK1292" t="s">
        <v>47</v>
      </c>
      <c r="AL1292" t="s">
        <v>47</v>
      </c>
      <c r="AM1292" t="s">
        <v>47</v>
      </c>
      <c r="AN1292" t="s">
        <v>47</v>
      </c>
      <c r="AO1292" s="5" t="s">
        <v>60</v>
      </c>
      <c r="AP1292" s="4" t="s">
        <v>61</v>
      </c>
      <c r="AQ1292" s="4" t="s">
        <v>53</v>
      </c>
      <c r="AR1292" s="4" t="s">
        <v>4998</v>
      </c>
      <c r="AS1292" s="5">
        <v>41074</v>
      </c>
      <c r="AT1292" t="s">
        <v>47</v>
      </c>
    </row>
    <row r="1293" spans="1:46" ht="78" x14ac:dyDescent="0.3">
      <c r="A1293" s="4" t="s">
        <v>5003</v>
      </c>
      <c r="B1293" t="s">
        <v>47</v>
      </c>
      <c r="C1293" s="4" t="s">
        <v>5004</v>
      </c>
      <c r="D1293" s="4" t="s">
        <v>5005</v>
      </c>
      <c r="E1293" s="4" t="s">
        <v>49</v>
      </c>
      <c r="F1293" s="5" t="s">
        <v>5006</v>
      </c>
      <c r="G1293" t="s">
        <v>47</v>
      </c>
      <c r="H1293" t="s">
        <v>47</v>
      </c>
      <c r="I1293" s="3">
        <v>38078</v>
      </c>
      <c r="J1293" s="3">
        <v>43739</v>
      </c>
      <c r="K1293" s="5" t="s">
        <v>788</v>
      </c>
      <c r="L1293" s="5" t="s">
        <v>60</v>
      </c>
      <c r="M1293" s="3">
        <v>38078</v>
      </c>
      <c r="N1293" s="3">
        <v>43739</v>
      </c>
      <c r="O1293" s="5" t="s">
        <v>788</v>
      </c>
      <c r="P1293" s="3">
        <v>38078</v>
      </c>
      <c r="Q1293" s="3">
        <v>43739</v>
      </c>
      <c r="R1293" s="5" t="s">
        <v>788</v>
      </c>
      <c r="S1293" t="s">
        <v>47</v>
      </c>
      <c r="T1293" t="s">
        <v>47</v>
      </c>
      <c r="U1293" t="s">
        <v>47</v>
      </c>
      <c r="V1293" t="s">
        <v>47</v>
      </c>
      <c r="W1293" s="3">
        <v>38078</v>
      </c>
      <c r="X1293" s="3">
        <v>43739</v>
      </c>
      <c r="Y1293" s="5" t="s">
        <v>788</v>
      </c>
      <c r="Z1293" s="3">
        <v>38078</v>
      </c>
      <c r="AA1293" s="3">
        <v>43739</v>
      </c>
      <c r="AB1293" s="5" t="s">
        <v>788</v>
      </c>
      <c r="AC1293" s="3">
        <v>38078</v>
      </c>
      <c r="AD1293" s="3">
        <v>43739</v>
      </c>
      <c r="AE1293" s="5" t="s">
        <v>788</v>
      </c>
      <c r="AF1293" t="s">
        <v>47</v>
      </c>
      <c r="AG1293" t="s">
        <v>47</v>
      </c>
      <c r="AH1293" t="s">
        <v>47</v>
      </c>
      <c r="AI1293" t="s">
        <v>47</v>
      </c>
      <c r="AJ1293" t="s">
        <v>47</v>
      </c>
      <c r="AK1293" t="s">
        <v>47</v>
      </c>
      <c r="AL1293" t="s">
        <v>47</v>
      </c>
      <c r="AM1293" t="s">
        <v>47</v>
      </c>
      <c r="AN1293" t="s">
        <v>47</v>
      </c>
      <c r="AO1293" s="5" t="s">
        <v>60</v>
      </c>
      <c r="AP1293" s="4" t="s">
        <v>61</v>
      </c>
      <c r="AQ1293" s="4" t="s">
        <v>53</v>
      </c>
      <c r="AR1293" s="4" t="s">
        <v>136</v>
      </c>
      <c r="AS1293" s="5">
        <v>47169</v>
      </c>
      <c r="AT1293" t="s">
        <v>47</v>
      </c>
    </row>
    <row r="1294" spans="1:46" ht="26" x14ac:dyDescent="0.3">
      <c r="A1294" s="4" t="s">
        <v>5007</v>
      </c>
      <c r="B1294" t="s">
        <v>47</v>
      </c>
      <c r="C1294" s="4" t="s">
        <v>5008</v>
      </c>
      <c r="D1294" s="4" t="s">
        <v>1103</v>
      </c>
      <c r="E1294" s="4" t="s">
        <v>49</v>
      </c>
      <c r="F1294" s="5" t="s">
        <v>5009</v>
      </c>
      <c r="G1294" t="s">
        <v>47</v>
      </c>
      <c r="H1294" t="s">
        <v>47</v>
      </c>
      <c r="I1294" s="3">
        <v>39722</v>
      </c>
      <c r="J1294" s="5" t="s">
        <v>50</v>
      </c>
      <c r="K1294" t="s">
        <v>47</v>
      </c>
      <c r="L1294" s="5" t="s">
        <v>60</v>
      </c>
      <c r="M1294" s="3">
        <v>39722</v>
      </c>
      <c r="N1294" s="5" t="s">
        <v>50</v>
      </c>
      <c r="O1294" t="s">
        <v>47</v>
      </c>
      <c r="P1294" s="3">
        <v>39722</v>
      </c>
      <c r="Q1294" s="5" t="s">
        <v>50</v>
      </c>
      <c r="R1294" t="s">
        <v>47</v>
      </c>
      <c r="S1294" t="s">
        <v>47</v>
      </c>
      <c r="T1294" t="s">
        <v>47</v>
      </c>
      <c r="U1294" t="s">
        <v>47</v>
      </c>
      <c r="V1294" t="s">
        <v>47</v>
      </c>
      <c r="W1294" s="3">
        <v>39722</v>
      </c>
      <c r="X1294" s="5" t="s">
        <v>50</v>
      </c>
      <c r="Y1294" t="s">
        <v>47</v>
      </c>
      <c r="Z1294" s="3">
        <v>39722</v>
      </c>
      <c r="AA1294" s="5" t="s">
        <v>50</v>
      </c>
      <c r="AB1294" t="s">
        <v>47</v>
      </c>
      <c r="AC1294" s="3">
        <v>39722</v>
      </c>
      <c r="AD1294" s="5" t="s">
        <v>50</v>
      </c>
      <c r="AE1294" t="s">
        <v>47</v>
      </c>
      <c r="AF1294" t="s">
        <v>47</v>
      </c>
      <c r="AG1294" t="s">
        <v>47</v>
      </c>
      <c r="AH1294" t="s">
        <v>47</v>
      </c>
      <c r="AI1294" t="s">
        <v>47</v>
      </c>
      <c r="AJ1294" t="s">
        <v>47</v>
      </c>
      <c r="AK1294" t="s">
        <v>47</v>
      </c>
      <c r="AL1294" t="s">
        <v>47</v>
      </c>
      <c r="AM1294" t="s">
        <v>47</v>
      </c>
      <c r="AN1294" t="s">
        <v>47</v>
      </c>
      <c r="AO1294" s="5" t="s">
        <v>60</v>
      </c>
      <c r="AP1294" s="4" t="s">
        <v>61</v>
      </c>
      <c r="AQ1294" s="4" t="s">
        <v>53</v>
      </c>
      <c r="AR1294" s="4" t="s">
        <v>54</v>
      </c>
      <c r="AS1294" s="5">
        <v>47536</v>
      </c>
      <c r="AT1294" t="s">
        <v>47</v>
      </c>
    </row>
    <row r="1295" spans="1:46" ht="26" x14ac:dyDescent="0.3">
      <c r="A1295" s="4" t="s">
        <v>5010</v>
      </c>
      <c r="B1295" t="s">
        <v>47</v>
      </c>
      <c r="C1295" s="4" t="s">
        <v>5011</v>
      </c>
      <c r="D1295" s="4" t="s">
        <v>88</v>
      </c>
      <c r="E1295" s="4" t="s">
        <v>49</v>
      </c>
      <c r="F1295" s="5" t="s">
        <v>5012</v>
      </c>
      <c r="G1295" s="5" t="s">
        <v>5013</v>
      </c>
      <c r="H1295" t="s">
        <v>47</v>
      </c>
      <c r="I1295" s="3">
        <v>34335</v>
      </c>
      <c r="J1295" s="3">
        <v>41306</v>
      </c>
      <c r="K1295" t="s">
        <v>47</v>
      </c>
      <c r="L1295" s="5" t="s">
        <v>51</v>
      </c>
      <c r="M1295" s="3">
        <v>34335</v>
      </c>
      <c r="N1295" s="3">
        <v>41306</v>
      </c>
      <c r="O1295" t="s">
        <v>47</v>
      </c>
      <c r="P1295" s="3">
        <v>35186</v>
      </c>
      <c r="Q1295" s="3">
        <v>41306</v>
      </c>
      <c r="R1295" t="s">
        <v>47</v>
      </c>
      <c r="S1295" t="s">
        <v>47</v>
      </c>
      <c r="T1295" t="s">
        <v>47</v>
      </c>
      <c r="U1295" t="s">
        <v>47</v>
      </c>
      <c r="V1295" t="s">
        <v>47</v>
      </c>
      <c r="W1295" s="3">
        <v>32509</v>
      </c>
      <c r="X1295" s="3">
        <v>41306</v>
      </c>
      <c r="Y1295" t="s">
        <v>47</v>
      </c>
      <c r="Z1295" s="3">
        <v>32509</v>
      </c>
      <c r="AA1295" s="3">
        <v>41306</v>
      </c>
      <c r="AB1295" t="s">
        <v>47</v>
      </c>
      <c r="AC1295" s="3">
        <v>32509</v>
      </c>
      <c r="AD1295" s="3">
        <v>41306</v>
      </c>
      <c r="AE1295" t="s">
        <v>47</v>
      </c>
      <c r="AF1295" t="s">
        <v>47</v>
      </c>
      <c r="AG1295" t="s">
        <v>47</v>
      </c>
      <c r="AH1295" t="s">
        <v>47</v>
      </c>
      <c r="AI1295" t="s">
        <v>47</v>
      </c>
      <c r="AJ1295" t="s">
        <v>47</v>
      </c>
      <c r="AK1295" t="s">
        <v>47</v>
      </c>
      <c r="AL1295" t="s">
        <v>47</v>
      </c>
      <c r="AM1295" t="s">
        <v>47</v>
      </c>
      <c r="AN1295" t="s">
        <v>47</v>
      </c>
      <c r="AO1295" s="5" t="s">
        <v>51</v>
      </c>
      <c r="AP1295" s="4" t="s">
        <v>135</v>
      </c>
      <c r="AQ1295" s="4" t="s">
        <v>53</v>
      </c>
      <c r="AR1295" s="4" t="s">
        <v>4859</v>
      </c>
      <c r="AS1295" s="5">
        <v>47546</v>
      </c>
      <c r="AT1295" t="s">
        <v>47</v>
      </c>
    </row>
    <row r="1296" spans="1:46" ht="13" x14ac:dyDescent="0.3">
      <c r="A1296" s="4" t="s">
        <v>5014</v>
      </c>
      <c r="B1296" t="s">
        <v>47</v>
      </c>
      <c r="C1296" s="4" t="s">
        <v>2528</v>
      </c>
      <c r="D1296" s="4" t="s">
        <v>2529</v>
      </c>
      <c r="E1296" s="4" t="s">
        <v>100</v>
      </c>
      <c r="F1296" s="5" t="s">
        <v>5015</v>
      </c>
      <c r="G1296" s="5" t="s">
        <v>5016</v>
      </c>
      <c r="H1296" t="s">
        <v>47</v>
      </c>
      <c r="I1296" t="s">
        <v>47</v>
      </c>
      <c r="J1296" t="s">
        <v>47</v>
      </c>
      <c r="K1296" t="s">
        <v>47</v>
      </c>
      <c r="L1296" s="5" t="s">
        <v>60</v>
      </c>
      <c r="M1296" t="s">
        <v>47</v>
      </c>
      <c r="N1296" t="s">
        <v>47</v>
      </c>
      <c r="O1296" t="s">
        <v>47</v>
      </c>
      <c r="P1296" t="s">
        <v>47</v>
      </c>
      <c r="Q1296" t="s">
        <v>47</v>
      </c>
      <c r="R1296" t="s">
        <v>47</v>
      </c>
      <c r="S1296" t="s">
        <v>47</v>
      </c>
      <c r="T1296" t="s">
        <v>47</v>
      </c>
      <c r="U1296" t="s">
        <v>47</v>
      </c>
      <c r="V1296" t="s">
        <v>47</v>
      </c>
      <c r="W1296" s="3">
        <v>34304</v>
      </c>
      <c r="X1296" s="3">
        <v>39814</v>
      </c>
      <c r="Y1296" t="s">
        <v>47</v>
      </c>
      <c r="Z1296" s="3">
        <v>34304</v>
      </c>
      <c r="AA1296" s="3">
        <v>39814</v>
      </c>
      <c r="AB1296" t="s">
        <v>47</v>
      </c>
      <c r="AC1296" t="s">
        <v>47</v>
      </c>
      <c r="AD1296" t="s">
        <v>47</v>
      </c>
      <c r="AE1296" t="s">
        <v>47</v>
      </c>
      <c r="AF1296" t="s">
        <v>47</v>
      </c>
      <c r="AG1296" t="s">
        <v>47</v>
      </c>
      <c r="AH1296" t="s">
        <v>47</v>
      </c>
      <c r="AI1296" t="s">
        <v>47</v>
      </c>
      <c r="AJ1296" t="s">
        <v>47</v>
      </c>
      <c r="AK1296" t="s">
        <v>47</v>
      </c>
      <c r="AL1296" t="s">
        <v>47</v>
      </c>
      <c r="AM1296" t="s">
        <v>47</v>
      </c>
      <c r="AN1296" t="s">
        <v>47</v>
      </c>
      <c r="AO1296" s="5" t="s">
        <v>60</v>
      </c>
      <c r="AP1296" s="4" t="s">
        <v>61</v>
      </c>
      <c r="AQ1296" s="4" t="s">
        <v>53</v>
      </c>
      <c r="AR1296" s="4" t="s">
        <v>54</v>
      </c>
      <c r="AS1296" s="5">
        <v>38315</v>
      </c>
      <c r="AT1296" t="s">
        <v>47</v>
      </c>
    </row>
    <row r="1297" spans="1:46" ht="78" x14ac:dyDescent="0.3">
      <c r="A1297" s="4" t="s">
        <v>5017</v>
      </c>
      <c r="B1297" t="s">
        <v>47</v>
      </c>
      <c r="C1297" s="4" t="s">
        <v>5018</v>
      </c>
      <c r="D1297" s="4" t="s">
        <v>5019</v>
      </c>
      <c r="E1297" s="4" t="s">
        <v>5020</v>
      </c>
      <c r="F1297" t="s">
        <v>47</v>
      </c>
      <c r="G1297" s="5" t="s">
        <v>5021</v>
      </c>
      <c r="H1297" t="s">
        <v>47</v>
      </c>
      <c r="I1297" s="3">
        <v>42736</v>
      </c>
      <c r="J1297" s="5" t="s">
        <v>50</v>
      </c>
      <c r="K1297" s="5" t="s">
        <v>450</v>
      </c>
      <c r="L1297" s="5" t="s">
        <v>60</v>
      </c>
      <c r="M1297" t="s">
        <v>47</v>
      </c>
      <c r="N1297" t="s">
        <v>47</v>
      </c>
      <c r="O1297" t="s">
        <v>47</v>
      </c>
      <c r="P1297" s="3">
        <v>42736</v>
      </c>
      <c r="Q1297" s="5" t="s">
        <v>50</v>
      </c>
      <c r="R1297" s="5" t="s">
        <v>450</v>
      </c>
      <c r="S1297" t="s">
        <v>47</v>
      </c>
      <c r="T1297" t="s">
        <v>47</v>
      </c>
      <c r="U1297" t="s">
        <v>47</v>
      </c>
      <c r="V1297" t="s">
        <v>47</v>
      </c>
      <c r="W1297" s="3">
        <v>42736</v>
      </c>
      <c r="X1297" s="5" t="s">
        <v>50</v>
      </c>
      <c r="Y1297" s="5" t="s">
        <v>450</v>
      </c>
      <c r="Z1297" s="3">
        <v>42736</v>
      </c>
      <c r="AA1297" s="5" t="s">
        <v>50</v>
      </c>
      <c r="AB1297" s="5" t="s">
        <v>450</v>
      </c>
      <c r="AC1297" s="3">
        <v>42736</v>
      </c>
      <c r="AD1297" s="5" t="s">
        <v>50</v>
      </c>
      <c r="AE1297" s="5" t="s">
        <v>450</v>
      </c>
      <c r="AF1297" t="s">
        <v>47</v>
      </c>
      <c r="AG1297" t="s">
        <v>47</v>
      </c>
      <c r="AH1297" t="s">
        <v>47</v>
      </c>
      <c r="AI1297" t="s">
        <v>47</v>
      </c>
      <c r="AJ1297" t="s">
        <v>47</v>
      </c>
      <c r="AK1297" t="s">
        <v>47</v>
      </c>
      <c r="AL1297" t="s">
        <v>47</v>
      </c>
      <c r="AM1297" t="s">
        <v>47</v>
      </c>
      <c r="AN1297" t="s">
        <v>47</v>
      </c>
      <c r="AO1297" s="5" t="s">
        <v>60</v>
      </c>
      <c r="AP1297" s="4" t="s">
        <v>61</v>
      </c>
      <c r="AQ1297" s="4" t="s">
        <v>119</v>
      </c>
      <c r="AR1297" s="4" t="s">
        <v>5022</v>
      </c>
      <c r="AS1297" s="5">
        <v>4402079</v>
      </c>
      <c r="AT1297" t="s">
        <v>47</v>
      </c>
    </row>
    <row r="1298" spans="1:46" ht="39" x14ac:dyDescent="0.3">
      <c r="A1298" s="4" t="s">
        <v>5023</v>
      </c>
      <c r="B1298" t="s">
        <v>47</v>
      </c>
      <c r="C1298" s="4" t="s">
        <v>884</v>
      </c>
      <c r="D1298" s="4" t="s">
        <v>885</v>
      </c>
      <c r="E1298" s="4" t="s">
        <v>49</v>
      </c>
      <c r="F1298" s="5" t="s">
        <v>5024</v>
      </c>
      <c r="G1298" s="5" t="s">
        <v>5025</v>
      </c>
      <c r="H1298" t="s">
        <v>47</v>
      </c>
      <c r="I1298" s="3">
        <v>37530</v>
      </c>
      <c r="J1298" s="5" t="s">
        <v>50</v>
      </c>
      <c r="K1298" t="s">
        <v>47</v>
      </c>
      <c r="L1298" s="5" t="s">
        <v>60</v>
      </c>
      <c r="M1298" s="3">
        <v>37530</v>
      </c>
      <c r="N1298" s="5" t="s">
        <v>50</v>
      </c>
      <c r="O1298" t="s">
        <v>47</v>
      </c>
      <c r="P1298" s="3">
        <v>37530</v>
      </c>
      <c r="Q1298" s="5" t="s">
        <v>50</v>
      </c>
      <c r="R1298" t="s">
        <v>47</v>
      </c>
      <c r="S1298" t="s">
        <v>47</v>
      </c>
      <c r="T1298" t="s">
        <v>47</v>
      </c>
      <c r="U1298" t="s">
        <v>47</v>
      </c>
      <c r="V1298" s="5">
        <v>365</v>
      </c>
      <c r="W1298" s="3">
        <v>37530</v>
      </c>
      <c r="X1298" s="5" t="s">
        <v>50</v>
      </c>
      <c r="Y1298" t="s">
        <v>47</v>
      </c>
      <c r="Z1298" s="3">
        <v>37530</v>
      </c>
      <c r="AA1298" s="5" t="s">
        <v>50</v>
      </c>
      <c r="AB1298" t="s">
        <v>47</v>
      </c>
      <c r="AC1298" s="3">
        <v>37530</v>
      </c>
      <c r="AD1298" s="5" t="s">
        <v>50</v>
      </c>
      <c r="AE1298" t="s">
        <v>47</v>
      </c>
      <c r="AF1298" t="s">
        <v>47</v>
      </c>
      <c r="AG1298" t="s">
        <v>47</v>
      </c>
      <c r="AH1298" t="s">
        <v>47</v>
      </c>
      <c r="AI1298" t="s">
        <v>47</v>
      </c>
      <c r="AJ1298" t="s">
        <v>47</v>
      </c>
      <c r="AK1298" t="s">
        <v>47</v>
      </c>
      <c r="AL1298" t="s">
        <v>47</v>
      </c>
      <c r="AM1298" t="s">
        <v>47</v>
      </c>
      <c r="AN1298" t="s">
        <v>47</v>
      </c>
      <c r="AO1298" s="5" t="s">
        <v>60</v>
      </c>
      <c r="AP1298" s="4" t="s">
        <v>61</v>
      </c>
      <c r="AQ1298" s="4" t="s">
        <v>53</v>
      </c>
      <c r="AR1298" s="4" t="s">
        <v>385</v>
      </c>
      <c r="AS1298" s="5">
        <v>27340</v>
      </c>
      <c r="AT1298" t="s">
        <v>47</v>
      </c>
    </row>
    <row r="1299" spans="1:46" ht="13" x14ac:dyDescent="0.3">
      <c r="A1299" s="4" t="s">
        <v>5026</v>
      </c>
      <c r="B1299" t="s">
        <v>47</v>
      </c>
      <c r="C1299" s="4" t="s">
        <v>122</v>
      </c>
      <c r="D1299" s="4" t="s">
        <v>5027</v>
      </c>
      <c r="E1299" s="4" t="s">
        <v>123</v>
      </c>
      <c r="F1299" s="5" t="s">
        <v>5028</v>
      </c>
      <c r="G1299" s="5" t="s">
        <v>5029</v>
      </c>
      <c r="H1299" t="s">
        <v>47</v>
      </c>
      <c r="I1299" s="3">
        <v>43556</v>
      </c>
      <c r="J1299" s="5" t="s">
        <v>50</v>
      </c>
      <c r="K1299" t="s">
        <v>47</v>
      </c>
      <c r="L1299" s="5" t="s">
        <v>60</v>
      </c>
      <c r="M1299" s="3">
        <v>43556</v>
      </c>
      <c r="N1299" s="5" t="s">
        <v>50</v>
      </c>
      <c r="O1299" t="s">
        <v>47</v>
      </c>
      <c r="P1299" s="3">
        <v>43556</v>
      </c>
      <c r="Q1299" s="5" t="s">
        <v>50</v>
      </c>
      <c r="R1299" t="s">
        <v>47</v>
      </c>
      <c r="S1299" t="s">
        <v>47</v>
      </c>
      <c r="T1299" t="s">
        <v>47</v>
      </c>
      <c r="U1299" t="s">
        <v>47</v>
      </c>
      <c r="V1299" s="5">
        <v>365</v>
      </c>
      <c r="W1299" s="3">
        <v>43556</v>
      </c>
      <c r="X1299" s="5" t="s">
        <v>50</v>
      </c>
      <c r="Y1299" t="s">
        <v>47</v>
      </c>
      <c r="Z1299" s="3">
        <v>43556</v>
      </c>
      <c r="AA1299" s="5" t="s">
        <v>50</v>
      </c>
      <c r="AB1299" t="s">
        <v>47</v>
      </c>
      <c r="AC1299" s="3">
        <v>43556</v>
      </c>
      <c r="AD1299" s="5" t="s">
        <v>50</v>
      </c>
      <c r="AE1299" t="s">
        <v>47</v>
      </c>
      <c r="AF1299" t="s">
        <v>47</v>
      </c>
      <c r="AG1299" t="s">
        <v>47</v>
      </c>
      <c r="AH1299" t="s">
        <v>47</v>
      </c>
      <c r="AI1299" t="s">
        <v>47</v>
      </c>
      <c r="AJ1299" t="s">
        <v>47</v>
      </c>
      <c r="AK1299" t="s">
        <v>47</v>
      </c>
      <c r="AL1299" t="s">
        <v>47</v>
      </c>
      <c r="AM1299" t="s">
        <v>47</v>
      </c>
      <c r="AN1299" t="s">
        <v>47</v>
      </c>
      <c r="AO1299" s="5" t="s">
        <v>60</v>
      </c>
      <c r="AP1299" s="4" t="s">
        <v>61</v>
      </c>
      <c r="AQ1299" s="4" t="s">
        <v>53</v>
      </c>
      <c r="AR1299" s="4" t="s">
        <v>54</v>
      </c>
      <c r="AS1299" s="5">
        <v>6587190</v>
      </c>
      <c r="AT1299" t="s">
        <v>47</v>
      </c>
    </row>
    <row r="1300" spans="1:46" ht="26" x14ac:dyDescent="0.3">
      <c r="A1300" s="4" t="s">
        <v>5030</v>
      </c>
      <c r="B1300" t="s">
        <v>47</v>
      </c>
      <c r="C1300" s="4" t="s">
        <v>5031</v>
      </c>
      <c r="D1300" s="4" t="s">
        <v>1423</v>
      </c>
      <c r="E1300" s="4" t="s">
        <v>49</v>
      </c>
      <c r="F1300" t="s">
        <v>47</v>
      </c>
      <c r="G1300" s="5" t="s">
        <v>5032</v>
      </c>
      <c r="H1300" t="s">
        <v>47</v>
      </c>
      <c r="I1300" s="3">
        <v>37257</v>
      </c>
      <c r="J1300" s="3">
        <v>43466</v>
      </c>
      <c r="K1300" s="5" t="s">
        <v>1484</v>
      </c>
      <c r="L1300" s="5" t="s">
        <v>60</v>
      </c>
      <c r="M1300" t="s">
        <v>47</v>
      </c>
      <c r="N1300" t="s">
        <v>47</v>
      </c>
      <c r="O1300" t="s">
        <v>47</v>
      </c>
      <c r="P1300" s="3">
        <v>37257</v>
      </c>
      <c r="Q1300" s="3">
        <v>43466</v>
      </c>
      <c r="R1300" s="5" t="s">
        <v>1484</v>
      </c>
      <c r="S1300" t="s">
        <v>47</v>
      </c>
      <c r="T1300" t="s">
        <v>47</v>
      </c>
      <c r="U1300" t="s">
        <v>47</v>
      </c>
      <c r="V1300" t="s">
        <v>47</v>
      </c>
      <c r="W1300" s="3">
        <v>37257</v>
      </c>
      <c r="X1300" s="3">
        <v>43466</v>
      </c>
      <c r="Y1300" s="5" t="s">
        <v>1484</v>
      </c>
      <c r="Z1300" s="3">
        <v>37257</v>
      </c>
      <c r="AA1300" s="3">
        <v>43466</v>
      </c>
      <c r="AB1300" s="5" t="s">
        <v>1484</v>
      </c>
      <c r="AC1300" s="3">
        <v>37257</v>
      </c>
      <c r="AD1300" s="3">
        <v>43466</v>
      </c>
      <c r="AE1300" s="5" t="s">
        <v>1484</v>
      </c>
      <c r="AF1300" t="s">
        <v>47</v>
      </c>
      <c r="AG1300" t="s">
        <v>47</v>
      </c>
      <c r="AH1300" t="s">
        <v>47</v>
      </c>
      <c r="AI1300" t="s">
        <v>47</v>
      </c>
      <c r="AJ1300" t="s">
        <v>47</v>
      </c>
      <c r="AK1300" t="s">
        <v>47</v>
      </c>
      <c r="AL1300" t="s">
        <v>47</v>
      </c>
      <c r="AM1300" t="s">
        <v>47</v>
      </c>
      <c r="AN1300" t="s">
        <v>47</v>
      </c>
      <c r="AO1300" s="5" t="s">
        <v>60</v>
      </c>
      <c r="AP1300" s="4" t="s">
        <v>61</v>
      </c>
      <c r="AQ1300" s="4" t="s">
        <v>53</v>
      </c>
      <c r="AR1300" s="4" t="s">
        <v>54</v>
      </c>
      <c r="AS1300" s="5">
        <v>4582326</v>
      </c>
      <c r="AT1300" t="s">
        <v>47</v>
      </c>
    </row>
    <row r="1301" spans="1:46" ht="26" x14ac:dyDescent="0.3">
      <c r="A1301" s="4" t="s">
        <v>5033</v>
      </c>
      <c r="B1301" t="s">
        <v>47</v>
      </c>
      <c r="C1301" s="4" t="s">
        <v>5034</v>
      </c>
      <c r="D1301" s="4" t="s">
        <v>5035</v>
      </c>
      <c r="E1301" s="4" t="s">
        <v>1448</v>
      </c>
      <c r="F1301" s="5" t="s">
        <v>5036</v>
      </c>
      <c r="G1301" s="5" t="s">
        <v>5037</v>
      </c>
      <c r="H1301" t="s">
        <v>47</v>
      </c>
      <c r="I1301" s="3">
        <v>36892</v>
      </c>
      <c r="J1301" s="5" t="s">
        <v>50</v>
      </c>
      <c r="K1301" s="5" t="s">
        <v>5038</v>
      </c>
      <c r="L1301" s="5" t="s">
        <v>60</v>
      </c>
      <c r="M1301" s="3">
        <v>41640</v>
      </c>
      <c r="N1301" s="3">
        <v>43647</v>
      </c>
      <c r="O1301" t="s">
        <v>47</v>
      </c>
      <c r="P1301" s="3">
        <v>36892</v>
      </c>
      <c r="Q1301" s="5" t="s">
        <v>50</v>
      </c>
      <c r="R1301" s="5" t="s">
        <v>5038</v>
      </c>
      <c r="S1301" t="s">
        <v>47</v>
      </c>
      <c r="T1301" t="s">
        <v>47</v>
      </c>
      <c r="U1301" t="s">
        <v>47</v>
      </c>
      <c r="V1301" t="s">
        <v>47</v>
      </c>
      <c r="W1301" s="3">
        <v>36892</v>
      </c>
      <c r="X1301" s="5" t="s">
        <v>50</v>
      </c>
      <c r="Y1301" s="5" t="s">
        <v>5038</v>
      </c>
      <c r="Z1301" s="3">
        <v>36892</v>
      </c>
      <c r="AA1301" s="5" t="s">
        <v>50</v>
      </c>
      <c r="AB1301" s="5" t="s">
        <v>5038</v>
      </c>
      <c r="AC1301" s="3">
        <v>36892</v>
      </c>
      <c r="AD1301" s="5" t="s">
        <v>50</v>
      </c>
      <c r="AE1301" s="5" t="s">
        <v>5038</v>
      </c>
      <c r="AF1301" t="s">
        <v>47</v>
      </c>
      <c r="AG1301" t="s">
        <v>47</v>
      </c>
      <c r="AH1301" t="s">
        <v>47</v>
      </c>
      <c r="AI1301" t="s">
        <v>47</v>
      </c>
      <c r="AJ1301" t="s">
        <v>47</v>
      </c>
      <c r="AK1301" t="s">
        <v>47</v>
      </c>
      <c r="AL1301" t="s">
        <v>47</v>
      </c>
      <c r="AM1301" t="s">
        <v>47</v>
      </c>
      <c r="AN1301" t="s">
        <v>47</v>
      </c>
      <c r="AO1301" s="5" t="s">
        <v>60</v>
      </c>
      <c r="AP1301" s="4" t="s">
        <v>61</v>
      </c>
      <c r="AQ1301" s="4" t="s">
        <v>261</v>
      </c>
      <c r="AR1301" s="4" t="s">
        <v>54</v>
      </c>
      <c r="AS1301" s="5">
        <v>2043258</v>
      </c>
      <c r="AT1301" t="s">
        <v>47</v>
      </c>
    </row>
    <row r="1302" spans="1:46" ht="26" x14ac:dyDescent="0.3">
      <c r="A1302" s="4" t="s">
        <v>5039</v>
      </c>
      <c r="B1302" t="s">
        <v>47</v>
      </c>
      <c r="C1302" s="4" t="s">
        <v>5040</v>
      </c>
      <c r="D1302" s="4" t="s">
        <v>5041</v>
      </c>
      <c r="E1302" s="4" t="s">
        <v>1448</v>
      </c>
      <c r="F1302" s="5" t="s">
        <v>5042</v>
      </c>
      <c r="G1302" s="5" t="s">
        <v>5043</v>
      </c>
      <c r="H1302" t="s">
        <v>47</v>
      </c>
      <c r="I1302" s="3">
        <v>40179</v>
      </c>
      <c r="J1302" s="3">
        <v>43831</v>
      </c>
      <c r="K1302" t="s">
        <v>47</v>
      </c>
      <c r="L1302" s="5" t="s">
        <v>60</v>
      </c>
      <c r="M1302" t="s">
        <v>47</v>
      </c>
      <c r="N1302" t="s">
        <v>47</v>
      </c>
      <c r="O1302" t="s">
        <v>47</v>
      </c>
      <c r="P1302" s="3">
        <v>40179</v>
      </c>
      <c r="Q1302" s="3">
        <v>43831</v>
      </c>
      <c r="R1302" t="s">
        <v>47</v>
      </c>
      <c r="S1302" t="s">
        <v>47</v>
      </c>
      <c r="T1302" t="s">
        <v>47</v>
      </c>
      <c r="U1302" t="s">
        <v>47</v>
      </c>
      <c r="V1302" t="s">
        <v>47</v>
      </c>
      <c r="W1302" s="3">
        <v>40179</v>
      </c>
      <c r="X1302" s="3">
        <v>43831</v>
      </c>
      <c r="Y1302" t="s">
        <v>47</v>
      </c>
      <c r="Z1302" s="3">
        <v>40179</v>
      </c>
      <c r="AA1302" s="3">
        <v>43831</v>
      </c>
      <c r="AB1302" t="s">
        <v>47</v>
      </c>
      <c r="AC1302" s="3">
        <v>40179</v>
      </c>
      <c r="AD1302" s="3">
        <v>43831</v>
      </c>
      <c r="AE1302" t="s">
        <v>47</v>
      </c>
      <c r="AF1302" t="s">
        <v>47</v>
      </c>
      <c r="AG1302" t="s">
        <v>47</v>
      </c>
      <c r="AH1302" t="s">
        <v>47</v>
      </c>
      <c r="AI1302" t="s">
        <v>47</v>
      </c>
      <c r="AJ1302" t="s">
        <v>47</v>
      </c>
      <c r="AK1302" t="s">
        <v>47</v>
      </c>
      <c r="AL1302" t="s">
        <v>47</v>
      </c>
      <c r="AM1302" t="s">
        <v>47</v>
      </c>
      <c r="AN1302" t="s">
        <v>47</v>
      </c>
      <c r="AO1302" s="5" t="s">
        <v>60</v>
      </c>
      <c r="AP1302" s="4" t="s">
        <v>61</v>
      </c>
      <c r="AQ1302" s="4" t="s">
        <v>261</v>
      </c>
      <c r="AR1302" s="4" t="s">
        <v>54</v>
      </c>
      <c r="AS1302" s="5">
        <v>4422179</v>
      </c>
      <c r="AT1302" t="s">
        <v>47</v>
      </c>
    </row>
    <row r="1303" spans="1:46" ht="26" x14ac:dyDescent="0.3">
      <c r="A1303" s="4" t="s">
        <v>5044</v>
      </c>
      <c r="B1303" t="s">
        <v>47</v>
      </c>
      <c r="C1303" s="4" t="s">
        <v>2532</v>
      </c>
      <c r="D1303" s="4" t="s">
        <v>5045</v>
      </c>
      <c r="E1303" s="4" t="s">
        <v>1448</v>
      </c>
      <c r="F1303" s="5" t="s">
        <v>5046</v>
      </c>
      <c r="G1303" s="5" t="s">
        <v>5047</v>
      </c>
      <c r="H1303" t="s">
        <v>47</v>
      </c>
      <c r="I1303" s="3">
        <v>36342</v>
      </c>
      <c r="J1303" s="3">
        <v>44197</v>
      </c>
      <c r="K1303" s="5" t="s">
        <v>5048</v>
      </c>
      <c r="L1303" s="5" t="s">
        <v>60</v>
      </c>
      <c r="M1303" t="s">
        <v>47</v>
      </c>
      <c r="N1303" t="s">
        <v>47</v>
      </c>
      <c r="O1303" t="s">
        <v>47</v>
      </c>
      <c r="P1303" s="3">
        <v>36342</v>
      </c>
      <c r="Q1303" s="3">
        <v>44197</v>
      </c>
      <c r="R1303" s="5" t="s">
        <v>5048</v>
      </c>
      <c r="S1303" t="s">
        <v>47</v>
      </c>
      <c r="T1303" t="s">
        <v>47</v>
      </c>
      <c r="U1303" t="s">
        <v>47</v>
      </c>
      <c r="V1303" t="s">
        <v>47</v>
      </c>
      <c r="W1303" s="3">
        <v>36342</v>
      </c>
      <c r="X1303" s="3">
        <v>44197</v>
      </c>
      <c r="Y1303" s="5" t="s">
        <v>5048</v>
      </c>
      <c r="Z1303" s="3">
        <v>36342</v>
      </c>
      <c r="AA1303" s="3">
        <v>44197</v>
      </c>
      <c r="AB1303" s="5" t="s">
        <v>5048</v>
      </c>
      <c r="AC1303" s="3">
        <v>37622</v>
      </c>
      <c r="AD1303" s="3">
        <v>44197</v>
      </c>
      <c r="AE1303" s="5" t="s">
        <v>1844</v>
      </c>
      <c r="AF1303" t="s">
        <v>47</v>
      </c>
      <c r="AG1303" t="s">
        <v>47</v>
      </c>
      <c r="AH1303" t="s">
        <v>47</v>
      </c>
      <c r="AI1303" t="s">
        <v>47</v>
      </c>
      <c r="AJ1303" t="s">
        <v>47</v>
      </c>
      <c r="AK1303" t="s">
        <v>47</v>
      </c>
      <c r="AL1303" t="s">
        <v>47</v>
      </c>
      <c r="AM1303" t="s">
        <v>47</v>
      </c>
      <c r="AN1303" t="s">
        <v>47</v>
      </c>
      <c r="AO1303" s="5" t="s">
        <v>60</v>
      </c>
      <c r="AP1303" s="4" t="s">
        <v>61</v>
      </c>
      <c r="AQ1303" s="4" t="s">
        <v>119</v>
      </c>
      <c r="AR1303" s="4" t="s">
        <v>54</v>
      </c>
      <c r="AS1303" s="5">
        <v>2048929</v>
      </c>
      <c r="AT1303" t="s">
        <v>47</v>
      </c>
    </row>
    <row r="1304" spans="1:46" ht="13" x14ac:dyDescent="0.3">
      <c r="A1304" s="4" t="s">
        <v>5049</v>
      </c>
      <c r="B1304" t="s">
        <v>47</v>
      </c>
      <c r="C1304" s="4" t="s">
        <v>131</v>
      </c>
      <c r="D1304" s="4" t="s">
        <v>132</v>
      </c>
      <c r="E1304" s="4" t="s">
        <v>66</v>
      </c>
      <c r="F1304" s="5" t="s">
        <v>5050</v>
      </c>
      <c r="G1304" s="5" t="s">
        <v>5051</v>
      </c>
      <c r="H1304" t="s">
        <v>47</v>
      </c>
      <c r="I1304" s="3">
        <v>41183</v>
      </c>
      <c r="J1304" s="3">
        <v>44105</v>
      </c>
      <c r="K1304" t="s">
        <v>47</v>
      </c>
      <c r="L1304" s="5" t="s">
        <v>51</v>
      </c>
      <c r="M1304" s="3">
        <v>41183</v>
      </c>
      <c r="N1304" s="3">
        <v>44105</v>
      </c>
      <c r="O1304" t="s">
        <v>47</v>
      </c>
      <c r="P1304" s="3">
        <v>41183</v>
      </c>
      <c r="Q1304" s="3">
        <v>44105</v>
      </c>
      <c r="R1304" t="s">
        <v>47</v>
      </c>
      <c r="S1304" t="s">
        <v>47</v>
      </c>
      <c r="T1304" t="s">
        <v>47</v>
      </c>
      <c r="U1304" t="s">
        <v>47</v>
      </c>
      <c r="V1304" t="s">
        <v>47</v>
      </c>
      <c r="W1304" s="3">
        <v>41183</v>
      </c>
      <c r="X1304" s="3">
        <v>44105</v>
      </c>
      <c r="Y1304" t="s">
        <v>47</v>
      </c>
      <c r="Z1304" s="3">
        <v>41183</v>
      </c>
      <c r="AA1304" s="3">
        <v>44105</v>
      </c>
      <c r="AB1304" t="s">
        <v>47</v>
      </c>
      <c r="AC1304" s="3">
        <v>41183</v>
      </c>
      <c r="AD1304" s="3">
        <v>44105</v>
      </c>
      <c r="AE1304" t="s">
        <v>47</v>
      </c>
      <c r="AF1304" t="s">
        <v>47</v>
      </c>
      <c r="AG1304" t="s">
        <v>47</v>
      </c>
      <c r="AH1304" t="s">
        <v>47</v>
      </c>
      <c r="AI1304" t="s">
        <v>47</v>
      </c>
      <c r="AJ1304" t="s">
        <v>47</v>
      </c>
      <c r="AK1304" t="s">
        <v>47</v>
      </c>
      <c r="AL1304" t="s">
        <v>47</v>
      </c>
      <c r="AM1304" t="s">
        <v>47</v>
      </c>
      <c r="AN1304" t="s">
        <v>47</v>
      </c>
      <c r="AO1304" s="5" t="s">
        <v>51</v>
      </c>
      <c r="AP1304" s="4" t="s">
        <v>135</v>
      </c>
      <c r="AQ1304" s="4" t="s">
        <v>53</v>
      </c>
      <c r="AR1304" s="4" t="s">
        <v>54</v>
      </c>
      <c r="AS1304" s="5">
        <v>2029235</v>
      </c>
      <c r="AT1304" t="s">
        <v>47</v>
      </c>
    </row>
    <row r="1305" spans="1:46" ht="13" x14ac:dyDescent="0.3">
      <c r="A1305" s="4" t="s">
        <v>5052</v>
      </c>
      <c r="B1305" t="s">
        <v>47</v>
      </c>
      <c r="C1305" s="4" t="s">
        <v>1915</v>
      </c>
      <c r="D1305" s="4" t="s">
        <v>88</v>
      </c>
      <c r="E1305" s="4" t="s">
        <v>49</v>
      </c>
      <c r="F1305" s="5" t="s">
        <v>5053</v>
      </c>
      <c r="G1305" s="5" t="s">
        <v>5054</v>
      </c>
      <c r="H1305" t="s">
        <v>47</v>
      </c>
      <c r="I1305" s="3">
        <v>35886</v>
      </c>
      <c r="J1305" s="3">
        <v>42736</v>
      </c>
      <c r="K1305" t="s">
        <v>47</v>
      </c>
      <c r="L1305" s="5" t="s">
        <v>51</v>
      </c>
      <c r="M1305" s="3">
        <v>35886</v>
      </c>
      <c r="N1305" s="3">
        <v>42736</v>
      </c>
      <c r="O1305" t="s">
        <v>47</v>
      </c>
      <c r="P1305" s="3">
        <v>35886</v>
      </c>
      <c r="Q1305" s="3">
        <v>42736</v>
      </c>
      <c r="R1305" t="s">
        <v>47</v>
      </c>
      <c r="S1305" t="s">
        <v>47</v>
      </c>
      <c r="T1305" t="s">
        <v>47</v>
      </c>
      <c r="U1305" t="s">
        <v>47</v>
      </c>
      <c r="V1305" t="s">
        <v>47</v>
      </c>
      <c r="W1305" s="3">
        <v>35886</v>
      </c>
      <c r="X1305" s="3">
        <v>42736</v>
      </c>
      <c r="Y1305" t="s">
        <v>47</v>
      </c>
      <c r="Z1305" s="3">
        <v>35886</v>
      </c>
      <c r="AA1305" s="3">
        <v>42736</v>
      </c>
      <c r="AB1305" t="s">
        <v>47</v>
      </c>
      <c r="AC1305" s="3">
        <v>35886</v>
      </c>
      <c r="AD1305" s="3">
        <v>42736</v>
      </c>
      <c r="AE1305" t="s">
        <v>47</v>
      </c>
      <c r="AF1305" t="s">
        <v>47</v>
      </c>
      <c r="AG1305" t="s">
        <v>47</v>
      </c>
      <c r="AH1305" t="s">
        <v>47</v>
      </c>
      <c r="AI1305" t="s">
        <v>47</v>
      </c>
      <c r="AJ1305" t="s">
        <v>47</v>
      </c>
      <c r="AK1305" t="s">
        <v>47</v>
      </c>
      <c r="AL1305" t="s">
        <v>47</v>
      </c>
      <c r="AM1305" t="s">
        <v>47</v>
      </c>
      <c r="AN1305" t="s">
        <v>47</v>
      </c>
      <c r="AO1305" s="5" t="s">
        <v>51</v>
      </c>
      <c r="AP1305" s="4" t="s">
        <v>85</v>
      </c>
      <c r="AQ1305" s="4" t="s">
        <v>53</v>
      </c>
      <c r="AR1305" s="4" t="s">
        <v>54</v>
      </c>
      <c r="AS1305" s="5">
        <v>10687</v>
      </c>
      <c r="AT1305" t="s">
        <v>47</v>
      </c>
    </row>
    <row r="1306" spans="1:46" ht="104" x14ac:dyDescent="0.3">
      <c r="A1306" s="4" t="s">
        <v>5055</v>
      </c>
      <c r="B1306" t="s">
        <v>47</v>
      </c>
      <c r="C1306" s="4" t="s">
        <v>519</v>
      </c>
      <c r="D1306" s="4" t="s">
        <v>88</v>
      </c>
      <c r="E1306" s="4" t="s">
        <v>49</v>
      </c>
      <c r="F1306" s="5" t="s">
        <v>5056</v>
      </c>
      <c r="G1306" s="5" t="s">
        <v>5057</v>
      </c>
      <c r="H1306" t="s">
        <v>47</v>
      </c>
      <c r="I1306" s="3">
        <v>35431</v>
      </c>
      <c r="J1306" s="3">
        <v>40360</v>
      </c>
      <c r="K1306" t="s">
        <v>47</v>
      </c>
      <c r="L1306" s="5" t="s">
        <v>60</v>
      </c>
      <c r="M1306" s="3">
        <v>35431</v>
      </c>
      <c r="N1306" s="3">
        <v>40360</v>
      </c>
      <c r="O1306" t="s">
        <v>47</v>
      </c>
      <c r="P1306" s="3">
        <v>35431</v>
      </c>
      <c r="Q1306" s="3">
        <v>40360</v>
      </c>
      <c r="R1306" t="s">
        <v>47</v>
      </c>
      <c r="S1306" t="s">
        <v>47</v>
      </c>
      <c r="T1306" t="s">
        <v>47</v>
      </c>
      <c r="U1306" t="s">
        <v>47</v>
      </c>
      <c r="V1306" t="s">
        <v>47</v>
      </c>
      <c r="W1306" s="3">
        <v>35431</v>
      </c>
      <c r="X1306" s="5" t="s">
        <v>50</v>
      </c>
      <c r="Y1306" t="s">
        <v>47</v>
      </c>
      <c r="Z1306" s="3">
        <v>35431</v>
      </c>
      <c r="AA1306" s="5" t="s">
        <v>50</v>
      </c>
      <c r="AB1306" t="s">
        <v>47</v>
      </c>
      <c r="AC1306" s="3">
        <v>36892</v>
      </c>
      <c r="AD1306" s="5" t="s">
        <v>50</v>
      </c>
      <c r="AE1306" t="s">
        <v>47</v>
      </c>
      <c r="AF1306" t="s">
        <v>47</v>
      </c>
      <c r="AG1306" t="s">
        <v>47</v>
      </c>
      <c r="AH1306" t="s">
        <v>47</v>
      </c>
      <c r="AI1306" t="s">
        <v>47</v>
      </c>
      <c r="AJ1306" t="s">
        <v>47</v>
      </c>
      <c r="AK1306" t="s">
        <v>47</v>
      </c>
      <c r="AL1306" t="s">
        <v>47</v>
      </c>
      <c r="AM1306" t="s">
        <v>47</v>
      </c>
      <c r="AN1306" t="s">
        <v>47</v>
      </c>
      <c r="AO1306" s="5" t="s">
        <v>60</v>
      </c>
      <c r="AP1306" s="4" t="s">
        <v>61</v>
      </c>
      <c r="AQ1306" s="4" t="s">
        <v>53</v>
      </c>
      <c r="AR1306" s="4" t="s">
        <v>1277</v>
      </c>
      <c r="AS1306" s="5">
        <v>16028</v>
      </c>
      <c r="AT1306" t="s">
        <v>47</v>
      </c>
    </row>
    <row r="1307" spans="1:46" ht="78" x14ac:dyDescent="0.3">
      <c r="A1307" s="4" t="s">
        <v>5058</v>
      </c>
      <c r="B1307" t="s">
        <v>47</v>
      </c>
      <c r="C1307" s="4" t="s">
        <v>1240</v>
      </c>
      <c r="D1307" s="4" t="s">
        <v>1241</v>
      </c>
      <c r="E1307" s="4" t="s">
        <v>49</v>
      </c>
      <c r="F1307" s="5" t="s">
        <v>5059</v>
      </c>
      <c r="G1307" t="s">
        <v>47</v>
      </c>
      <c r="H1307" t="s">
        <v>47</v>
      </c>
      <c r="I1307" s="3">
        <v>35886</v>
      </c>
      <c r="J1307" s="3">
        <v>37530</v>
      </c>
      <c r="K1307" t="s">
        <v>47</v>
      </c>
      <c r="L1307" s="5" t="s">
        <v>60</v>
      </c>
      <c r="M1307" s="3">
        <v>35886</v>
      </c>
      <c r="N1307" s="3">
        <v>37530</v>
      </c>
      <c r="O1307" t="s">
        <v>47</v>
      </c>
      <c r="P1307" s="3">
        <v>35886</v>
      </c>
      <c r="Q1307" s="3">
        <v>37530</v>
      </c>
      <c r="R1307" t="s">
        <v>47</v>
      </c>
      <c r="S1307" t="s">
        <v>47</v>
      </c>
      <c r="T1307" t="s">
        <v>47</v>
      </c>
      <c r="U1307" t="s">
        <v>47</v>
      </c>
      <c r="V1307" t="s">
        <v>47</v>
      </c>
      <c r="W1307" s="3">
        <v>35886</v>
      </c>
      <c r="X1307" s="3">
        <v>37530</v>
      </c>
      <c r="Y1307" t="s">
        <v>47</v>
      </c>
      <c r="Z1307" s="3">
        <v>35886</v>
      </c>
      <c r="AA1307" s="3">
        <v>37530</v>
      </c>
      <c r="AB1307" t="s">
        <v>47</v>
      </c>
      <c r="AC1307" s="3">
        <v>35886</v>
      </c>
      <c r="AD1307" s="3">
        <v>37530</v>
      </c>
      <c r="AE1307" t="s">
        <v>47</v>
      </c>
      <c r="AF1307" t="s">
        <v>47</v>
      </c>
      <c r="AG1307" t="s">
        <v>47</v>
      </c>
      <c r="AH1307" t="s">
        <v>47</v>
      </c>
      <c r="AI1307" t="s">
        <v>47</v>
      </c>
      <c r="AJ1307" t="s">
        <v>47</v>
      </c>
      <c r="AK1307" t="s">
        <v>47</v>
      </c>
      <c r="AL1307" t="s">
        <v>47</v>
      </c>
      <c r="AM1307" t="s">
        <v>47</v>
      </c>
      <c r="AN1307" t="s">
        <v>47</v>
      </c>
      <c r="AO1307" s="5" t="s">
        <v>60</v>
      </c>
      <c r="AP1307" s="4" t="s">
        <v>61</v>
      </c>
      <c r="AQ1307" s="4" t="s">
        <v>53</v>
      </c>
      <c r="AR1307" s="4" t="s">
        <v>577</v>
      </c>
      <c r="AS1307" s="5">
        <v>30497</v>
      </c>
      <c r="AT1307" t="s">
        <v>47</v>
      </c>
    </row>
    <row r="1308" spans="1:46" ht="39" x14ac:dyDescent="0.3">
      <c r="A1308" s="4" t="s">
        <v>5060</v>
      </c>
      <c r="B1308" t="s">
        <v>47</v>
      </c>
      <c r="C1308" s="4" t="s">
        <v>169</v>
      </c>
      <c r="D1308" s="4" t="s">
        <v>319</v>
      </c>
      <c r="E1308" s="4" t="s">
        <v>66</v>
      </c>
      <c r="F1308" s="5" t="s">
        <v>5061</v>
      </c>
      <c r="G1308" s="5" t="s">
        <v>5062</v>
      </c>
      <c r="H1308" t="s">
        <v>47</v>
      </c>
      <c r="I1308" s="3">
        <v>36861</v>
      </c>
      <c r="J1308" s="3">
        <v>41608</v>
      </c>
      <c r="K1308" t="s">
        <v>47</v>
      </c>
      <c r="L1308" s="5" t="s">
        <v>60</v>
      </c>
      <c r="M1308" s="3">
        <v>36861</v>
      </c>
      <c r="N1308" s="3">
        <v>41608</v>
      </c>
      <c r="O1308" t="s">
        <v>47</v>
      </c>
      <c r="P1308" s="3">
        <v>36861</v>
      </c>
      <c r="Q1308" s="3">
        <v>41608</v>
      </c>
      <c r="R1308" t="s">
        <v>47</v>
      </c>
      <c r="S1308" t="s">
        <v>47</v>
      </c>
      <c r="T1308" t="s">
        <v>47</v>
      </c>
      <c r="U1308" t="s">
        <v>47</v>
      </c>
      <c r="V1308" t="s">
        <v>47</v>
      </c>
      <c r="W1308" s="3">
        <v>36861</v>
      </c>
      <c r="X1308" s="5" t="s">
        <v>50</v>
      </c>
      <c r="Y1308" t="s">
        <v>47</v>
      </c>
      <c r="Z1308" s="3">
        <v>36861</v>
      </c>
      <c r="AA1308" s="5" t="s">
        <v>50</v>
      </c>
      <c r="AB1308" t="s">
        <v>47</v>
      </c>
      <c r="AC1308" s="3">
        <v>38047</v>
      </c>
      <c r="AD1308" s="5" t="s">
        <v>50</v>
      </c>
      <c r="AE1308" t="s">
        <v>47</v>
      </c>
      <c r="AF1308" t="s">
        <v>47</v>
      </c>
      <c r="AG1308" t="s">
        <v>47</v>
      </c>
      <c r="AH1308" t="s">
        <v>47</v>
      </c>
      <c r="AI1308" t="s">
        <v>47</v>
      </c>
      <c r="AJ1308" t="s">
        <v>47</v>
      </c>
      <c r="AK1308" t="s">
        <v>47</v>
      </c>
      <c r="AL1308" t="s">
        <v>47</v>
      </c>
      <c r="AM1308" t="s">
        <v>47</v>
      </c>
      <c r="AN1308" t="s">
        <v>47</v>
      </c>
      <c r="AO1308" s="5" t="s">
        <v>60</v>
      </c>
      <c r="AP1308" s="4" t="s">
        <v>61</v>
      </c>
      <c r="AQ1308" s="4" t="s">
        <v>53</v>
      </c>
      <c r="AR1308" s="4" t="s">
        <v>389</v>
      </c>
      <c r="AS1308" s="5">
        <v>31565</v>
      </c>
      <c r="AT1308" t="s">
        <v>47</v>
      </c>
    </row>
    <row r="1309" spans="1:46" ht="26" x14ac:dyDescent="0.3">
      <c r="A1309" s="4" t="s">
        <v>5063</v>
      </c>
      <c r="B1309" s="4" t="s">
        <v>5064</v>
      </c>
      <c r="C1309" s="4" t="s">
        <v>222</v>
      </c>
      <c r="D1309" s="4" t="s">
        <v>223</v>
      </c>
      <c r="E1309" s="4" t="s">
        <v>49</v>
      </c>
      <c r="F1309" s="5" t="s">
        <v>5065</v>
      </c>
      <c r="G1309" t="s">
        <v>47</v>
      </c>
      <c r="H1309" t="s">
        <v>47</v>
      </c>
      <c r="I1309" s="3">
        <v>36892</v>
      </c>
      <c r="J1309" s="3">
        <v>39965</v>
      </c>
      <c r="K1309" t="s">
        <v>47</v>
      </c>
      <c r="L1309" s="5" t="s">
        <v>51</v>
      </c>
      <c r="M1309" s="3">
        <v>36892</v>
      </c>
      <c r="N1309" s="3">
        <v>39965</v>
      </c>
      <c r="O1309" t="s">
        <v>47</v>
      </c>
      <c r="P1309" s="3">
        <v>36892</v>
      </c>
      <c r="Q1309" s="3">
        <v>39965</v>
      </c>
      <c r="R1309" t="s">
        <v>47</v>
      </c>
      <c r="S1309" t="s">
        <v>47</v>
      </c>
      <c r="T1309" t="s">
        <v>47</v>
      </c>
      <c r="U1309" t="s">
        <v>47</v>
      </c>
      <c r="V1309" t="s">
        <v>47</v>
      </c>
      <c r="W1309" s="3">
        <v>36892</v>
      </c>
      <c r="X1309" s="3">
        <v>39965</v>
      </c>
      <c r="Y1309" t="s">
        <v>47</v>
      </c>
      <c r="Z1309" s="3">
        <v>36892</v>
      </c>
      <c r="AA1309" s="3">
        <v>39965</v>
      </c>
      <c r="AB1309" t="s">
        <v>47</v>
      </c>
      <c r="AC1309" s="3">
        <v>36892</v>
      </c>
      <c r="AD1309" s="3">
        <v>39965</v>
      </c>
      <c r="AE1309" t="s">
        <v>47</v>
      </c>
      <c r="AF1309" t="s">
        <v>47</v>
      </c>
      <c r="AG1309" t="s">
        <v>47</v>
      </c>
      <c r="AH1309" t="s">
        <v>47</v>
      </c>
      <c r="AI1309" t="s">
        <v>47</v>
      </c>
      <c r="AJ1309" t="s">
        <v>47</v>
      </c>
      <c r="AK1309" t="s">
        <v>47</v>
      </c>
      <c r="AL1309" t="s">
        <v>47</v>
      </c>
      <c r="AM1309" t="s">
        <v>47</v>
      </c>
      <c r="AN1309" t="s">
        <v>47</v>
      </c>
      <c r="AO1309" s="5" t="s">
        <v>51</v>
      </c>
      <c r="AP1309" s="4" t="s">
        <v>85</v>
      </c>
      <c r="AQ1309" s="4" t="s">
        <v>53</v>
      </c>
      <c r="AR1309" s="4" t="s">
        <v>54</v>
      </c>
      <c r="AS1309" s="5">
        <v>26013</v>
      </c>
      <c r="AT1309" t="s">
        <v>47</v>
      </c>
    </row>
    <row r="1310" spans="1:46" ht="26" x14ac:dyDescent="0.3">
      <c r="A1310" s="4" t="s">
        <v>5063</v>
      </c>
      <c r="B1310" s="4" t="s">
        <v>5066</v>
      </c>
      <c r="C1310" s="4" t="s">
        <v>222</v>
      </c>
      <c r="D1310" s="4" t="s">
        <v>223</v>
      </c>
      <c r="E1310" s="4" t="s">
        <v>49</v>
      </c>
      <c r="F1310" s="5" t="s">
        <v>5067</v>
      </c>
      <c r="G1310" t="s">
        <v>47</v>
      </c>
      <c r="H1310" t="s">
        <v>47</v>
      </c>
      <c r="I1310" s="3">
        <v>37377</v>
      </c>
      <c r="J1310" s="3">
        <v>39965</v>
      </c>
      <c r="K1310" t="s">
        <v>47</v>
      </c>
      <c r="L1310" s="5" t="s">
        <v>51</v>
      </c>
      <c r="M1310" s="3">
        <v>37377</v>
      </c>
      <c r="N1310" s="3">
        <v>39965</v>
      </c>
      <c r="O1310" t="s">
        <v>47</v>
      </c>
      <c r="P1310" s="3">
        <v>37377</v>
      </c>
      <c r="Q1310" s="3">
        <v>39965</v>
      </c>
      <c r="R1310" t="s">
        <v>47</v>
      </c>
      <c r="S1310" t="s">
        <v>47</v>
      </c>
      <c r="T1310" t="s">
        <v>47</v>
      </c>
      <c r="U1310" t="s">
        <v>47</v>
      </c>
      <c r="V1310" t="s">
        <v>47</v>
      </c>
      <c r="W1310" s="3">
        <v>37377</v>
      </c>
      <c r="X1310" s="3">
        <v>39965</v>
      </c>
      <c r="Y1310" t="s">
        <v>47</v>
      </c>
      <c r="Z1310" s="3">
        <v>37377</v>
      </c>
      <c r="AA1310" s="3">
        <v>39965</v>
      </c>
      <c r="AB1310" t="s">
        <v>47</v>
      </c>
      <c r="AC1310" s="3">
        <v>37377</v>
      </c>
      <c r="AD1310" s="3">
        <v>39965</v>
      </c>
      <c r="AE1310" t="s">
        <v>47</v>
      </c>
      <c r="AF1310" t="s">
        <v>47</v>
      </c>
      <c r="AG1310" t="s">
        <v>47</v>
      </c>
      <c r="AH1310" t="s">
        <v>47</v>
      </c>
      <c r="AI1310" t="s">
        <v>47</v>
      </c>
      <c r="AJ1310" t="s">
        <v>47</v>
      </c>
      <c r="AK1310" t="s">
        <v>47</v>
      </c>
      <c r="AL1310" t="s">
        <v>47</v>
      </c>
      <c r="AM1310" t="s">
        <v>47</v>
      </c>
      <c r="AN1310" t="s">
        <v>47</v>
      </c>
      <c r="AO1310" s="5" t="s">
        <v>51</v>
      </c>
      <c r="AP1310" s="4" t="s">
        <v>85</v>
      </c>
      <c r="AQ1310" s="4" t="s">
        <v>53</v>
      </c>
      <c r="AR1310" s="4" t="s">
        <v>54</v>
      </c>
      <c r="AS1310" s="5">
        <v>26018</v>
      </c>
      <c r="AT1310" t="s">
        <v>47</v>
      </c>
    </row>
    <row r="1311" spans="1:46" ht="26" x14ac:dyDescent="0.3">
      <c r="A1311" s="4" t="s">
        <v>5063</v>
      </c>
      <c r="B1311" t="s">
        <v>47</v>
      </c>
      <c r="C1311" s="4" t="s">
        <v>222</v>
      </c>
      <c r="D1311" s="4" t="s">
        <v>223</v>
      </c>
      <c r="E1311" s="4" t="s">
        <v>49</v>
      </c>
      <c r="F1311" s="5" t="s">
        <v>5068</v>
      </c>
      <c r="G1311" t="s">
        <v>47</v>
      </c>
      <c r="H1311" t="s">
        <v>47</v>
      </c>
      <c r="I1311" s="3">
        <v>39934</v>
      </c>
      <c r="J1311" s="3">
        <v>42795</v>
      </c>
      <c r="K1311" t="s">
        <v>47</v>
      </c>
      <c r="L1311" s="5" t="s">
        <v>51</v>
      </c>
      <c r="M1311" s="3">
        <v>39934</v>
      </c>
      <c r="N1311" s="3">
        <v>42795</v>
      </c>
      <c r="O1311" t="s">
        <v>47</v>
      </c>
      <c r="P1311" s="3">
        <v>39934</v>
      </c>
      <c r="Q1311" s="3">
        <v>42795</v>
      </c>
      <c r="R1311" t="s">
        <v>47</v>
      </c>
      <c r="S1311" t="s">
        <v>47</v>
      </c>
      <c r="T1311" t="s">
        <v>47</v>
      </c>
      <c r="U1311" t="s">
        <v>47</v>
      </c>
      <c r="V1311" t="s">
        <v>47</v>
      </c>
      <c r="W1311" s="3">
        <v>39934</v>
      </c>
      <c r="X1311" s="3">
        <v>42826</v>
      </c>
      <c r="Y1311" t="s">
        <v>47</v>
      </c>
      <c r="Z1311" s="3">
        <v>39934</v>
      </c>
      <c r="AA1311" s="3">
        <v>42826</v>
      </c>
      <c r="AB1311" t="s">
        <v>47</v>
      </c>
      <c r="AC1311" s="3">
        <v>39934</v>
      </c>
      <c r="AD1311" s="3">
        <v>42795</v>
      </c>
      <c r="AE1311" t="s">
        <v>47</v>
      </c>
      <c r="AF1311" t="s">
        <v>47</v>
      </c>
      <c r="AG1311" t="s">
        <v>47</v>
      </c>
      <c r="AH1311" t="s">
        <v>47</v>
      </c>
      <c r="AI1311" t="s">
        <v>47</v>
      </c>
      <c r="AJ1311" t="s">
        <v>47</v>
      </c>
      <c r="AK1311" t="s">
        <v>47</v>
      </c>
      <c r="AL1311" t="s">
        <v>47</v>
      </c>
      <c r="AM1311" t="s">
        <v>47</v>
      </c>
      <c r="AN1311" t="s">
        <v>47</v>
      </c>
      <c r="AO1311" s="5" t="s">
        <v>51</v>
      </c>
      <c r="AP1311" s="4" t="s">
        <v>85</v>
      </c>
      <c r="AQ1311" s="4" t="s">
        <v>53</v>
      </c>
      <c r="AR1311" s="4" t="s">
        <v>54</v>
      </c>
      <c r="AS1311" s="5">
        <v>55000</v>
      </c>
      <c r="AT1311" t="s">
        <v>47</v>
      </c>
    </row>
    <row r="1312" spans="1:46" ht="13" x14ac:dyDescent="0.3">
      <c r="A1312" s="4" t="s">
        <v>5069</v>
      </c>
      <c r="B1312" t="s">
        <v>47</v>
      </c>
      <c r="C1312" s="4" t="s">
        <v>5070</v>
      </c>
      <c r="D1312" s="4" t="s">
        <v>70</v>
      </c>
      <c r="E1312" s="4" t="s">
        <v>49</v>
      </c>
      <c r="F1312" s="5" t="s">
        <v>5071</v>
      </c>
      <c r="G1312" t="s">
        <v>47</v>
      </c>
      <c r="H1312" t="s">
        <v>47</v>
      </c>
      <c r="I1312" s="3">
        <v>35674</v>
      </c>
      <c r="J1312" s="3">
        <v>43009</v>
      </c>
      <c r="K1312" t="s">
        <v>47</v>
      </c>
      <c r="L1312" s="5" t="s">
        <v>51</v>
      </c>
      <c r="M1312" s="3">
        <v>35674</v>
      </c>
      <c r="N1312" s="3">
        <v>38961</v>
      </c>
      <c r="O1312" t="s">
        <v>47</v>
      </c>
      <c r="P1312" s="3">
        <v>35674</v>
      </c>
      <c r="Q1312" s="3">
        <v>43009</v>
      </c>
      <c r="R1312" t="s">
        <v>47</v>
      </c>
      <c r="S1312" t="s">
        <v>47</v>
      </c>
      <c r="T1312" t="s">
        <v>47</v>
      </c>
      <c r="U1312" t="s">
        <v>47</v>
      </c>
      <c r="V1312" t="s">
        <v>47</v>
      </c>
      <c r="W1312" s="3">
        <v>33239</v>
      </c>
      <c r="X1312" s="3">
        <v>43009</v>
      </c>
      <c r="Y1312" t="s">
        <v>47</v>
      </c>
      <c r="Z1312" s="3">
        <v>33239</v>
      </c>
      <c r="AA1312" s="3">
        <v>43009</v>
      </c>
      <c r="AB1312" t="s">
        <v>47</v>
      </c>
      <c r="AC1312" s="3">
        <v>33239</v>
      </c>
      <c r="AD1312" s="3">
        <v>43009</v>
      </c>
      <c r="AE1312" t="s">
        <v>47</v>
      </c>
      <c r="AF1312" t="s">
        <v>47</v>
      </c>
      <c r="AG1312" t="s">
        <v>47</v>
      </c>
      <c r="AH1312" t="s">
        <v>47</v>
      </c>
      <c r="AI1312" t="s">
        <v>47</v>
      </c>
      <c r="AJ1312" t="s">
        <v>47</v>
      </c>
      <c r="AK1312" t="s">
        <v>47</v>
      </c>
      <c r="AL1312" t="s">
        <v>47</v>
      </c>
      <c r="AM1312" t="s">
        <v>47</v>
      </c>
      <c r="AN1312" t="s">
        <v>47</v>
      </c>
      <c r="AO1312" s="5" t="s">
        <v>51</v>
      </c>
      <c r="AP1312" s="4" t="s">
        <v>85</v>
      </c>
      <c r="AQ1312" s="4" t="s">
        <v>53</v>
      </c>
      <c r="AR1312" s="4" t="s">
        <v>5072</v>
      </c>
      <c r="AS1312" s="5">
        <v>48717</v>
      </c>
      <c r="AT1312" t="s">
        <v>47</v>
      </c>
    </row>
    <row r="1313" spans="1:46" ht="52" x14ac:dyDescent="0.3">
      <c r="A1313" s="4" t="s">
        <v>5073</v>
      </c>
      <c r="B1313" t="s">
        <v>47</v>
      </c>
      <c r="C1313" s="4" t="s">
        <v>5074</v>
      </c>
      <c r="D1313" s="4" t="s">
        <v>1654</v>
      </c>
      <c r="E1313" s="4" t="s">
        <v>156</v>
      </c>
      <c r="F1313" s="5" t="s">
        <v>5075</v>
      </c>
      <c r="G1313" s="5" t="s">
        <v>5076</v>
      </c>
      <c r="H1313" t="s">
        <v>47</v>
      </c>
      <c r="I1313" s="3">
        <v>41640</v>
      </c>
      <c r="J1313" s="3">
        <v>43344</v>
      </c>
      <c r="K1313" t="s">
        <v>47</v>
      </c>
      <c r="L1313" s="5" t="s">
        <v>60</v>
      </c>
      <c r="M1313" s="3">
        <v>41640</v>
      </c>
      <c r="N1313" s="3">
        <v>43344</v>
      </c>
      <c r="O1313" t="s">
        <v>47</v>
      </c>
      <c r="P1313" s="3">
        <v>41640</v>
      </c>
      <c r="Q1313" s="3">
        <v>43344</v>
      </c>
      <c r="R1313" t="s">
        <v>47</v>
      </c>
      <c r="S1313" t="s">
        <v>47</v>
      </c>
      <c r="T1313" t="s">
        <v>47</v>
      </c>
      <c r="U1313" t="s">
        <v>47</v>
      </c>
      <c r="V1313" t="s">
        <v>47</v>
      </c>
      <c r="W1313" s="3">
        <v>41640</v>
      </c>
      <c r="X1313" s="3">
        <v>43344</v>
      </c>
      <c r="Y1313" t="s">
        <v>47</v>
      </c>
      <c r="Z1313" s="3">
        <v>41640</v>
      </c>
      <c r="AA1313" s="3">
        <v>43344</v>
      </c>
      <c r="AB1313" t="s">
        <v>47</v>
      </c>
      <c r="AC1313" s="3">
        <v>41640</v>
      </c>
      <c r="AD1313" s="3">
        <v>43344</v>
      </c>
      <c r="AE1313" t="s">
        <v>47</v>
      </c>
      <c r="AF1313" t="s">
        <v>47</v>
      </c>
      <c r="AG1313" t="s">
        <v>47</v>
      </c>
      <c r="AH1313" t="s">
        <v>47</v>
      </c>
      <c r="AI1313" t="s">
        <v>47</v>
      </c>
      <c r="AJ1313" t="s">
        <v>47</v>
      </c>
      <c r="AK1313" t="s">
        <v>47</v>
      </c>
      <c r="AL1313" t="s">
        <v>47</v>
      </c>
      <c r="AM1313" t="s">
        <v>47</v>
      </c>
      <c r="AN1313" t="s">
        <v>47</v>
      </c>
      <c r="AO1313" s="5" t="s">
        <v>60</v>
      </c>
      <c r="AP1313" s="4" t="s">
        <v>61</v>
      </c>
      <c r="AQ1313" s="4" t="s">
        <v>3861</v>
      </c>
      <c r="AR1313" s="4" t="s">
        <v>54</v>
      </c>
      <c r="AS1313" s="5">
        <v>2037513</v>
      </c>
      <c r="AT1313" t="s">
        <v>47</v>
      </c>
    </row>
    <row r="1314" spans="1:46" ht="26" x14ac:dyDescent="0.3">
      <c r="A1314" s="4" t="s">
        <v>5077</v>
      </c>
      <c r="B1314" t="s">
        <v>47</v>
      </c>
      <c r="C1314" s="4" t="s">
        <v>3256</v>
      </c>
      <c r="D1314" s="4" t="s">
        <v>3257</v>
      </c>
      <c r="E1314" s="4" t="s">
        <v>2558</v>
      </c>
      <c r="F1314" s="5" t="s">
        <v>5078</v>
      </c>
      <c r="G1314" s="5" t="s">
        <v>5079</v>
      </c>
      <c r="H1314" t="s">
        <v>47</v>
      </c>
      <c r="I1314" s="3">
        <v>39083</v>
      </c>
      <c r="J1314" s="5" t="s">
        <v>50</v>
      </c>
      <c r="K1314" t="s">
        <v>47</v>
      </c>
      <c r="L1314" s="5" t="s">
        <v>60</v>
      </c>
      <c r="M1314" t="s">
        <v>47</v>
      </c>
      <c r="N1314" t="s">
        <v>47</v>
      </c>
      <c r="O1314" t="s">
        <v>47</v>
      </c>
      <c r="P1314" s="3">
        <v>39083</v>
      </c>
      <c r="Q1314" s="5" t="s">
        <v>50</v>
      </c>
      <c r="R1314" t="s">
        <v>47</v>
      </c>
      <c r="S1314" t="s">
        <v>47</v>
      </c>
      <c r="T1314" t="s">
        <v>47</v>
      </c>
      <c r="U1314" t="s">
        <v>47</v>
      </c>
      <c r="V1314" t="s">
        <v>47</v>
      </c>
      <c r="W1314" s="3">
        <v>39083</v>
      </c>
      <c r="X1314" s="5" t="s">
        <v>50</v>
      </c>
      <c r="Y1314" t="s">
        <v>47</v>
      </c>
      <c r="Z1314" s="3">
        <v>39083</v>
      </c>
      <c r="AA1314" s="5" t="s">
        <v>50</v>
      </c>
      <c r="AB1314" t="s">
        <v>47</v>
      </c>
      <c r="AC1314" s="3">
        <v>39083</v>
      </c>
      <c r="AD1314" s="5" t="s">
        <v>50</v>
      </c>
      <c r="AE1314" t="s">
        <v>47</v>
      </c>
      <c r="AF1314" t="s">
        <v>47</v>
      </c>
      <c r="AG1314" t="s">
        <v>47</v>
      </c>
      <c r="AH1314" t="s">
        <v>47</v>
      </c>
      <c r="AI1314" t="s">
        <v>47</v>
      </c>
      <c r="AJ1314" t="s">
        <v>47</v>
      </c>
      <c r="AK1314" t="s">
        <v>47</v>
      </c>
      <c r="AL1314" t="s">
        <v>47</v>
      </c>
      <c r="AM1314" t="s">
        <v>47</v>
      </c>
      <c r="AN1314" t="s">
        <v>47</v>
      </c>
      <c r="AO1314" s="5" t="s">
        <v>60</v>
      </c>
      <c r="AP1314" s="4" t="s">
        <v>61</v>
      </c>
      <c r="AQ1314" s="4" t="s">
        <v>53</v>
      </c>
      <c r="AR1314" s="4" t="s">
        <v>54</v>
      </c>
      <c r="AS1314" s="5">
        <v>4477239</v>
      </c>
      <c r="AT1314" t="s">
        <v>47</v>
      </c>
    </row>
    <row r="1315" spans="1:46" ht="13" x14ac:dyDescent="0.3">
      <c r="A1315" s="4" t="s">
        <v>5080</v>
      </c>
      <c r="B1315" t="s">
        <v>47</v>
      </c>
      <c r="C1315" s="4" t="s">
        <v>5081</v>
      </c>
      <c r="D1315" s="4" t="s">
        <v>4098</v>
      </c>
      <c r="E1315" s="4" t="s">
        <v>49</v>
      </c>
      <c r="F1315" s="5" t="s">
        <v>5082</v>
      </c>
      <c r="G1315" s="5" t="s">
        <v>5083</v>
      </c>
      <c r="H1315" t="s">
        <v>47</v>
      </c>
      <c r="I1315" s="3">
        <v>39539</v>
      </c>
      <c r="J1315" s="5" t="s">
        <v>50</v>
      </c>
      <c r="K1315" s="5" t="s">
        <v>1199</v>
      </c>
      <c r="L1315" s="5" t="s">
        <v>60</v>
      </c>
      <c r="M1315" s="3">
        <v>39539</v>
      </c>
      <c r="N1315" s="5" t="s">
        <v>50</v>
      </c>
      <c r="O1315" s="5" t="s">
        <v>1199</v>
      </c>
      <c r="P1315" s="3">
        <v>39539</v>
      </c>
      <c r="Q1315" s="5" t="s">
        <v>50</v>
      </c>
      <c r="R1315" s="5" t="s">
        <v>1199</v>
      </c>
      <c r="S1315" t="s">
        <v>47</v>
      </c>
      <c r="T1315" t="s">
        <v>47</v>
      </c>
      <c r="U1315" t="s">
        <v>47</v>
      </c>
      <c r="V1315" t="s">
        <v>47</v>
      </c>
      <c r="W1315" s="3">
        <v>39539</v>
      </c>
      <c r="X1315" s="5" t="s">
        <v>50</v>
      </c>
      <c r="Y1315" s="5" t="s">
        <v>1199</v>
      </c>
      <c r="Z1315" s="3">
        <v>39539</v>
      </c>
      <c r="AA1315" s="5" t="s">
        <v>50</v>
      </c>
      <c r="AB1315" s="5" t="s">
        <v>1199</v>
      </c>
      <c r="AC1315" s="3">
        <v>39539</v>
      </c>
      <c r="AD1315" s="5" t="s">
        <v>50</v>
      </c>
      <c r="AE1315" s="5" t="s">
        <v>1199</v>
      </c>
      <c r="AF1315" t="s">
        <v>47</v>
      </c>
      <c r="AG1315" t="s">
        <v>47</v>
      </c>
      <c r="AH1315" t="s">
        <v>47</v>
      </c>
      <c r="AI1315" t="s">
        <v>47</v>
      </c>
      <c r="AJ1315" t="s">
        <v>47</v>
      </c>
      <c r="AK1315" t="s">
        <v>47</v>
      </c>
      <c r="AL1315" t="s">
        <v>47</v>
      </c>
      <c r="AM1315" t="s">
        <v>47</v>
      </c>
      <c r="AN1315" t="s">
        <v>47</v>
      </c>
      <c r="AO1315" s="5" t="s">
        <v>60</v>
      </c>
      <c r="AP1315" s="4" t="s">
        <v>61</v>
      </c>
      <c r="AQ1315" s="4" t="s">
        <v>53</v>
      </c>
      <c r="AR1315" s="4" t="s">
        <v>54</v>
      </c>
      <c r="AS1315" s="5">
        <v>39887</v>
      </c>
      <c r="AT1315" t="s">
        <v>47</v>
      </c>
    </row>
    <row r="1316" spans="1:46" ht="65" x14ac:dyDescent="0.3">
      <c r="A1316" s="4" t="s">
        <v>5084</v>
      </c>
      <c r="B1316" t="s">
        <v>47</v>
      </c>
      <c r="C1316" s="4" t="s">
        <v>183</v>
      </c>
      <c r="D1316" s="4" t="s">
        <v>201</v>
      </c>
      <c r="E1316" s="4" t="s">
        <v>49</v>
      </c>
      <c r="F1316" s="5" t="s">
        <v>5085</v>
      </c>
      <c r="G1316" s="5" t="s">
        <v>5086</v>
      </c>
      <c r="H1316" t="s">
        <v>47</v>
      </c>
      <c r="I1316" s="3">
        <v>35765</v>
      </c>
      <c r="J1316" s="3">
        <v>43525</v>
      </c>
      <c r="K1316" t="s">
        <v>47</v>
      </c>
      <c r="L1316" s="5" t="s">
        <v>60</v>
      </c>
      <c r="M1316" s="3">
        <v>35765</v>
      </c>
      <c r="N1316" s="3">
        <v>43525</v>
      </c>
      <c r="O1316" t="s">
        <v>47</v>
      </c>
      <c r="P1316" s="3">
        <v>35765</v>
      </c>
      <c r="Q1316" s="3">
        <v>43525</v>
      </c>
      <c r="R1316" t="s">
        <v>47</v>
      </c>
      <c r="S1316" t="s">
        <v>47</v>
      </c>
      <c r="T1316" t="s">
        <v>47</v>
      </c>
      <c r="U1316" t="s">
        <v>47</v>
      </c>
      <c r="V1316" t="s">
        <v>47</v>
      </c>
      <c r="W1316" s="3">
        <v>35765</v>
      </c>
      <c r="X1316" s="5" t="s">
        <v>50</v>
      </c>
      <c r="Y1316" t="s">
        <v>47</v>
      </c>
      <c r="Z1316" s="3">
        <v>35765</v>
      </c>
      <c r="AA1316" s="5" t="s">
        <v>50</v>
      </c>
      <c r="AB1316" t="s">
        <v>47</v>
      </c>
      <c r="AC1316" s="3">
        <v>38018</v>
      </c>
      <c r="AD1316" s="5" t="s">
        <v>50</v>
      </c>
      <c r="AE1316" t="s">
        <v>47</v>
      </c>
      <c r="AF1316" t="s">
        <v>47</v>
      </c>
      <c r="AG1316" t="s">
        <v>47</v>
      </c>
      <c r="AH1316" t="s">
        <v>47</v>
      </c>
      <c r="AI1316" t="s">
        <v>47</v>
      </c>
      <c r="AJ1316" t="s">
        <v>47</v>
      </c>
      <c r="AK1316" t="s">
        <v>47</v>
      </c>
      <c r="AL1316" t="s">
        <v>47</v>
      </c>
      <c r="AM1316" t="s">
        <v>47</v>
      </c>
      <c r="AN1316" t="s">
        <v>47</v>
      </c>
      <c r="AO1316" s="5" t="s">
        <v>60</v>
      </c>
      <c r="AP1316" s="4" t="s">
        <v>61</v>
      </c>
      <c r="AQ1316" s="4" t="s">
        <v>53</v>
      </c>
      <c r="AR1316" s="4" t="s">
        <v>2013</v>
      </c>
      <c r="AS1316" s="5">
        <v>11185</v>
      </c>
      <c r="AT1316" t="s">
        <v>47</v>
      </c>
    </row>
    <row r="1317" spans="1:46" ht="13" x14ac:dyDescent="0.3">
      <c r="A1317" s="4" t="s">
        <v>5087</v>
      </c>
      <c r="B1317" t="s">
        <v>47</v>
      </c>
      <c r="C1317" s="4" t="s">
        <v>122</v>
      </c>
      <c r="D1317" s="4" t="s">
        <v>194</v>
      </c>
      <c r="E1317" s="4" t="s">
        <v>123</v>
      </c>
      <c r="F1317" s="5" t="s">
        <v>5088</v>
      </c>
      <c r="G1317" s="5" t="s">
        <v>5089</v>
      </c>
      <c r="H1317" t="s">
        <v>47</v>
      </c>
      <c r="I1317" s="3">
        <v>35490</v>
      </c>
      <c r="J1317" s="5" t="s">
        <v>50</v>
      </c>
      <c r="K1317" t="s">
        <v>47</v>
      </c>
      <c r="L1317" s="5" t="s">
        <v>60</v>
      </c>
      <c r="M1317" s="3">
        <v>38412</v>
      </c>
      <c r="N1317" s="3">
        <v>42430</v>
      </c>
      <c r="O1317" s="5" t="s">
        <v>547</v>
      </c>
      <c r="P1317" s="3">
        <v>35490</v>
      </c>
      <c r="Q1317" s="5" t="s">
        <v>50</v>
      </c>
      <c r="R1317" t="s">
        <v>47</v>
      </c>
      <c r="S1317" t="s">
        <v>47</v>
      </c>
      <c r="T1317" t="s">
        <v>47</v>
      </c>
      <c r="U1317" t="s">
        <v>47</v>
      </c>
      <c r="V1317" s="5">
        <v>365</v>
      </c>
      <c r="W1317" s="3">
        <v>35490</v>
      </c>
      <c r="X1317" s="5" t="s">
        <v>50</v>
      </c>
      <c r="Y1317" t="s">
        <v>47</v>
      </c>
      <c r="Z1317" s="3">
        <v>35490</v>
      </c>
      <c r="AA1317" s="5" t="s">
        <v>50</v>
      </c>
      <c r="AB1317" t="s">
        <v>47</v>
      </c>
      <c r="AC1317" s="3">
        <v>35490</v>
      </c>
      <c r="AD1317" s="5" t="s">
        <v>50</v>
      </c>
      <c r="AE1317" s="5" t="s">
        <v>4799</v>
      </c>
      <c r="AF1317" t="s">
        <v>47</v>
      </c>
      <c r="AG1317" t="s">
        <v>47</v>
      </c>
      <c r="AH1317" t="s">
        <v>47</v>
      </c>
      <c r="AI1317" t="s">
        <v>47</v>
      </c>
      <c r="AJ1317" t="s">
        <v>47</v>
      </c>
      <c r="AK1317" t="s">
        <v>47</v>
      </c>
      <c r="AL1317" t="s">
        <v>47</v>
      </c>
      <c r="AM1317" t="s">
        <v>47</v>
      </c>
      <c r="AN1317" t="s">
        <v>47</v>
      </c>
      <c r="AO1317" s="5" t="s">
        <v>51</v>
      </c>
      <c r="AP1317" s="4" t="s">
        <v>61</v>
      </c>
      <c r="AQ1317" s="4" t="s">
        <v>53</v>
      </c>
      <c r="AR1317" s="4" t="s">
        <v>54</v>
      </c>
      <c r="AS1317" s="5">
        <v>54008</v>
      </c>
      <c r="AT1317" t="s">
        <v>47</v>
      </c>
    </row>
    <row r="1318" spans="1:46" ht="26" x14ac:dyDescent="0.3">
      <c r="A1318" s="4" t="s">
        <v>5090</v>
      </c>
      <c r="B1318" t="s">
        <v>47</v>
      </c>
      <c r="C1318" t="s">
        <v>47</v>
      </c>
      <c r="D1318" s="4" t="s">
        <v>1681</v>
      </c>
      <c r="E1318" t="s">
        <v>47</v>
      </c>
      <c r="F1318" s="5" t="s">
        <v>5091</v>
      </c>
      <c r="G1318" s="5" t="s">
        <v>5092</v>
      </c>
      <c r="H1318" t="s">
        <v>47</v>
      </c>
      <c r="I1318" s="3">
        <v>34700</v>
      </c>
      <c r="J1318" s="5" t="s">
        <v>50</v>
      </c>
      <c r="K1318" t="s">
        <v>47</v>
      </c>
      <c r="L1318" s="5" t="s">
        <v>60</v>
      </c>
      <c r="M1318" s="3">
        <v>34700</v>
      </c>
      <c r="N1318" s="5" t="s">
        <v>50</v>
      </c>
      <c r="O1318" s="5" t="s">
        <v>5093</v>
      </c>
      <c r="P1318" s="3">
        <v>35796</v>
      </c>
      <c r="Q1318" s="5" t="s">
        <v>50</v>
      </c>
      <c r="R1318" t="s">
        <v>47</v>
      </c>
      <c r="S1318" t="s">
        <v>47</v>
      </c>
      <c r="T1318" t="s">
        <v>47</v>
      </c>
      <c r="U1318" t="s">
        <v>47</v>
      </c>
      <c r="V1318" t="s">
        <v>47</v>
      </c>
      <c r="W1318" s="3">
        <v>34700</v>
      </c>
      <c r="X1318" s="5" t="s">
        <v>50</v>
      </c>
      <c r="Y1318" t="s">
        <v>47</v>
      </c>
      <c r="Z1318" s="3">
        <v>34700</v>
      </c>
      <c r="AA1318" s="5" t="s">
        <v>50</v>
      </c>
      <c r="AB1318" t="s">
        <v>47</v>
      </c>
      <c r="AC1318" s="3">
        <v>34700</v>
      </c>
      <c r="AD1318" s="5" t="s">
        <v>50</v>
      </c>
      <c r="AE1318" t="s">
        <v>47</v>
      </c>
      <c r="AF1318" t="s">
        <v>47</v>
      </c>
      <c r="AG1318" t="s">
        <v>47</v>
      </c>
      <c r="AH1318" t="s">
        <v>47</v>
      </c>
      <c r="AI1318" t="s">
        <v>47</v>
      </c>
      <c r="AJ1318" t="s">
        <v>47</v>
      </c>
      <c r="AK1318" t="s">
        <v>47</v>
      </c>
      <c r="AL1318" t="s">
        <v>47</v>
      </c>
      <c r="AM1318" t="s">
        <v>47</v>
      </c>
      <c r="AN1318" t="s">
        <v>47</v>
      </c>
      <c r="AO1318" s="5" t="s">
        <v>60</v>
      </c>
      <c r="AP1318" s="4" t="s">
        <v>61</v>
      </c>
      <c r="AQ1318" s="4" t="s">
        <v>261</v>
      </c>
      <c r="AR1318" s="4" t="s">
        <v>807</v>
      </c>
      <c r="AS1318" s="5">
        <v>4852147</v>
      </c>
      <c r="AT1318" t="s">
        <v>47</v>
      </c>
    </row>
    <row r="1319" spans="1:46" ht="13" x14ac:dyDescent="0.3">
      <c r="A1319" s="4" t="s">
        <v>5094</v>
      </c>
      <c r="B1319" t="s">
        <v>47</v>
      </c>
      <c r="C1319" s="4" t="s">
        <v>122</v>
      </c>
      <c r="D1319" s="4" t="s">
        <v>575</v>
      </c>
      <c r="E1319" s="4" t="s">
        <v>123</v>
      </c>
      <c r="F1319" s="5" t="s">
        <v>5095</v>
      </c>
      <c r="G1319" s="5" t="s">
        <v>5096</v>
      </c>
      <c r="H1319" t="s">
        <v>47</v>
      </c>
      <c r="I1319" s="3">
        <v>34335</v>
      </c>
      <c r="J1319" s="5" t="s">
        <v>50</v>
      </c>
      <c r="K1319" s="5" t="s">
        <v>5097</v>
      </c>
      <c r="L1319" s="5" t="s">
        <v>60</v>
      </c>
      <c r="M1319" s="3">
        <v>34335</v>
      </c>
      <c r="N1319" s="3">
        <v>41913</v>
      </c>
      <c r="O1319" t="s">
        <v>47</v>
      </c>
      <c r="P1319" s="3">
        <v>35065</v>
      </c>
      <c r="Q1319" s="5" t="s">
        <v>50</v>
      </c>
      <c r="R1319" s="5" t="s">
        <v>5097</v>
      </c>
      <c r="S1319" t="s">
        <v>47</v>
      </c>
      <c r="T1319" t="s">
        <v>47</v>
      </c>
      <c r="U1319" t="s">
        <v>47</v>
      </c>
      <c r="V1319" s="5">
        <v>365</v>
      </c>
      <c r="W1319" s="3">
        <v>32509</v>
      </c>
      <c r="X1319" s="5" t="s">
        <v>50</v>
      </c>
      <c r="Y1319" t="s">
        <v>47</v>
      </c>
      <c r="Z1319" s="3">
        <v>32509</v>
      </c>
      <c r="AA1319" s="5" t="s">
        <v>50</v>
      </c>
      <c r="AB1319" t="s">
        <v>47</v>
      </c>
      <c r="AC1319" s="3">
        <v>32509</v>
      </c>
      <c r="AD1319" s="5" t="s">
        <v>50</v>
      </c>
      <c r="AE1319" t="s">
        <v>47</v>
      </c>
      <c r="AF1319" t="s">
        <v>47</v>
      </c>
      <c r="AG1319" t="s">
        <v>47</v>
      </c>
      <c r="AH1319" t="s">
        <v>47</v>
      </c>
      <c r="AI1319" t="s">
        <v>47</v>
      </c>
      <c r="AJ1319" t="s">
        <v>47</v>
      </c>
      <c r="AK1319" t="s">
        <v>47</v>
      </c>
      <c r="AL1319" t="s">
        <v>47</v>
      </c>
      <c r="AM1319" t="s">
        <v>47</v>
      </c>
      <c r="AN1319" t="s">
        <v>47</v>
      </c>
      <c r="AO1319" s="5" t="s">
        <v>60</v>
      </c>
      <c r="AP1319" s="4" t="s">
        <v>61</v>
      </c>
      <c r="AQ1319" s="4" t="s">
        <v>53</v>
      </c>
      <c r="AR1319" s="4" t="s">
        <v>483</v>
      </c>
      <c r="AS1319" s="5">
        <v>41800</v>
      </c>
      <c r="AT1319" t="s">
        <v>47</v>
      </c>
    </row>
    <row r="1320" spans="1:46" ht="13" x14ac:dyDescent="0.3">
      <c r="A1320" s="4" t="s">
        <v>5098</v>
      </c>
      <c r="B1320" t="s">
        <v>47</v>
      </c>
      <c r="C1320" s="4" t="s">
        <v>122</v>
      </c>
      <c r="D1320" s="4" t="s">
        <v>5099</v>
      </c>
      <c r="E1320" s="4" t="s">
        <v>123</v>
      </c>
      <c r="F1320" s="5" t="s">
        <v>5100</v>
      </c>
      <c r="G1320" s="5" t="s">
        <v>5101</v>
      </c>
      <c r="H1320" t="s">
        <v>47</v>
      </c>
      <c r="I1320" s="3">
        <v>36678</v>
      </c>
      <c r="J1320" s="5" t="s">
        <v>50</v>
      </c>
      <c r="K1320" s="5" t="s">
        <v>5102</v>
      </c>
      <c r="L1320" s="5" t="s">
        <v>60</v>
      </c>
      <c r="M1320" s="3">
        <v>38412</v>
      </c>
      <c r="N1320" s="3">
        <v>42795</v>
      </c>
      <c r="O1320" t="s">
        <v>47</v>
      </c>
      <c r="P1320" s="3">
        <v>36678</v>
      </c>
      <c r="Q1320" s="5" t="s">
        <v>50</v>
      </c>
      <c r="R1320" s="5" t="s">
        <v>5102</v>
      </c>
      <c r="S1320" t="s">
        <v>47</v>
      </c>
      <c r="T1320" t="s">
        <v>47</v>
      </c>
      <c r="U1320" t="s">
        <v>47</v>
      </c>
      <c r="V1320" s="5">
        <v>365</v>
      </c>
      <c r="W1320" s="3">
        <v>36678</v>
      </c>
      <c r="X1320" s="5" t="s">
        <v>50</v>
      </c>
      <c r="Y1320" s="5" t="s">
        <v>5102</v>
      </c>
      <c r="Z1320" s="3">
        <v>36678</v>
      </c>
      <c r="AA1320" s="5" t="s">
        <v>50</v>
      </c>
      <c r="AB1320" s="5" t="s">
        <v>5102</v>
      </c>
      <c r="AC1320" s="3">
        <v>38412</v>
      </c>
      <c r="AD1320" s="5" t="s">
        <v>50</v>
      </c>
      <c r="AE1320" t="s">
        <v>47</v>
      </c>
      <c r="AF1320" t="s">
        <v>47</v>
      </c>
      <c r="AG1320" t="s">
        <v>47</v>
      </c>
      <c r="AH1320" t="s">
        <v>47</v>
      </c>
      <c r="AI1320" t="s">
        <v>47</v>
      </c>
      <c r="AJ1320" t="s">
        <v>47</v>
      </c>
      <c r="AK1320" t="s">
        <v>47</v>
      </c>
      <c r="AL1320" t="s">
        <v>47</v>
      </c>
      <c r="AM1320" t="s">
        <v>47</v>
      </c>
      <c r="AN1320" t="s">
        <v>47</v>
      </c>
      <c r="AO1320" s="5" t="s">
        <v>60</v>
      </c>
      <c r="AP1320" s="4" t="s">
        <v>61</v>
      </c>
      <c r="AQ1320" s="4" t="s">
        <v>53</v>
      </c>
      <c r="AR1320" s="4" t="s">
        <v>483</v>
      </c>
      <c r="AS1320" s="5">
        <v>47416</v>
      </c>
      <c r="AT1320" t="s">
        <v>47</v>
      </c>
    </row>
    <row r="1321" spans="1:46" ht="39" x14ac:dyDescent="0.3">
      <c r="A1321" s="4" t="s">
        <v>5103</v>
      </c>
      <c r="B1321" t="s">
        <v>47</v>
      </c>
      <c r="C1321" s="4" t="s">
        <v>5104</v>
      </c>
      <c r="D1321" s="4" t="s">
        <v>88</v>
      </c>
      <c r="E1321" s="4" t="s">
        <v>49</v>
      </c>
      <c r="F1321" s="5" t="s">
        <v>5105</v>
      </c>
      <c r="G1321" s="5" t="s">
        <v>5106</v>
      </c>
      <c r="H1321" t="s">
        <v>47</v>
      </c>
      <c r="I1321" s="3">
        <v>32143</v>
      </c>
      <c r="J1321" s="3">
        <v>40544</v>
      </c>
      <c r="K1321" t="s">
        <v>47</v>
      </c>
      <c r="L1321" s="5" t="s">
        <v>60</v>
      </c>
      <c r="M1321" s="3">
        <v>33239</v>
      </c>
      <c r="N1321" s="3">
        <v>40544</v>
      </c>
      <c r="O1321" t="s">
        <v>47</v>
      </c>
      <c r="P1321" s="3">
        <v>32143</v>
      </c>
      <c r="Q1321" s="3">
        <v>40544</v>
      </c>
      <c r="R1321" t="s">
        <v>47</v>
      </c>
      <c r="S1321" t="s">
        <v>47</v>
      </c>
      <c r="T1321" t="s">
        <v>47</v>
      </c>
      <c r="U1321" t="s">
        <v>47</v>
      </c>
      <c r="V1321" t="s">
        <v>47</v>
      </c>
      <c r="W1321" s="3">
        <v>26177</v>
      </c>
      <c r="X1321" s="5" t="s">
        <v>50</v>
      </c>
      <c r="Y1321" t="s">
        <v>47</v>
      </c>
      <c r="Z1321" s="3">
        <v>26177</v>
      </c>
      <c r="AA1321" s="5" t="s">
        <v>50</v>
      </c>
      <c r="AB1321" t="s">
        <v>47</v>
      </c>
      <c r="AC1321" s="3">
        <v>26177</v>
      </c>
      <c r="AD1321" s="5" t="s">
        <v>50</v>
      </c>
      <c r="AE1321" t="s">
        <v>47</v>
      </c>
      <c r="AF1321" t="s">
        <v>47</v>
      </c>
      <c r="AG1321" t="s">
        <v>47</v>
      </c>
      <c r="AH1321" t="s">
        <v>47</v>
      </c>
      <c r="AI1321" t="s">
        <v>47</v>
      </c>
      <c r="AJ1321" t="s">
        <v>47</v>
      </c>
      <c r="AK1321" t="s">
        <v>47</v>
      </c>
      <c r="AL1321" t="s">
        <v>47</v>
      </c>
      <c r="AM1321" t="s">
        <v>47</v>
      </c>
      <c r="AN1321" t="s">
        <v>47</v>
      </c>
      <c r="AO1321" s="5" t="s">
        <v>60</v>
      </c>
      <c r="AP1321" s="4" t="s">
        <v>61</v>
      </c>
      <c r="AQ1321" s="4" t="s">
        <v>53</v>
      </c>
      <c r="AR1321" s="4" t="s">
        <v>992</v>
      </c>
      <c r="AS1321" s="5">
        <v>42034</v>
      </c>
      <c r="AT1321" t="s">
        <v>47</v>
      </c>
    </row>
    <row r="1322" spans="1:46" ht="65" x14ac:dyDescent="0.3">
      <c r="A1322" s="4" t="s">
        <v>5107</v>
      </c>
      <c r="B1322" t="s">
        <v>47</v>
      </c>
      <c r="C1322" s="4" t="s">
        <v>5108</v>
      </c>
      <c r="D1322" s="4" t="s">
        <v>88</v>
      </c>
      <c r="E1322" s="4" t="s">
        <v>49</v>
      </c>
      <c r="F1322" s="5" t="s">
        <v>5109</v>
      </c>
      <c r="G1322" t="s">
        <v>47</v>
      </c>
      <c r="H1322" t="s">
        <v>47</v>
      </c>
      <c r="I1322" s="3">
        <v>32143</v>
      </c>
      <c r="J1322" s="3">
        <v>38443</v>
      </c>
      <c r="K1322" s="5" t="s">
        <v>5110</v>
      </c>
      <c r="L1322" s="5" t="s">
        <v>60</v>
      </c>
      <c r="M1322" s="3">
        <v>33683</v>
      </c>
      <c r="N1322" s="3">
        <v>38443</v>
      </c>
      <c r="O1322" t="s">
        <v>47</v>
      </c>
      <c r="P1322" s="3">
        <v>32143</v>
      </c>
      <c r="Q1322" s="3">
        <v>38443</v>
      </c>
      <c r="R1322" s="5" t="s">
        <v>5110</v>
      </c>
      <c r="S1322" t="s">
        <v>47</v>
      </c>
      <c r="T1322" t="s">
        <v>47</v>
      </c>
      <c r="U1322" t="s">
        <v>47</v>
      </c>
      <c r="V1322" t="s">
        <v>47</v>
      </c>
      <c r="W1322" s="3">
        <v>27760</v>
      </c>
      <c r="X1322" s="3">
        <v>38443</v>
      </c>
      <c r="Y1322" t="s">
        <v>47</v>
      </c>
      <c r="Z1322" s="3">
        <v>27760</v>
      </c>
      <c r="AA1322" s="3">
        <v>38443</v>
      </c>
      <c r="AB1322" t="s">
        <v>47</v>
      </c>
      <c r="AC1322" s="3">
        <v>27760</v>
      </c>
      <c r="AD1322" s="3">
        <v>38443</v>
      </c>
      <c r="AE1322" t="s">
        <v>47</v>
      </c>
      <c r="AF1322" t="s">
        <v>47</v>
      </c>
      <c r="AG1322" t="s">
        <v>47</v>
      </c>
      <c r="AH1322" t="s">
        <v>47</v>
      </c>
      <c r="AI1322" t="s">
        <v>47</v>
      </c>
      <c r="AJ1322" t="s">
        <v>47</v>
      </c>
      <c r="AK1322" t="s">
        <v>47</v>
      </c>
      <c r="AL1322" t="s">
        <v>47</v>
      </c>
      <c r="AM1322" t="s">
        <v>47</v>
      </c>
      <c r="AN1322" t="s">
        <v>47</v>
      </c>
      <c r="AO1322" s="5" t="s">
        <v>60</v>
      </c>
      <c r="AP1322" s="4" t="s">
        <v>135</v>
      </c>
      <c r="AQ1322" s="4" t="s">
        <v>53</v>
      </c>
      <c r="AR1322" s="4" t="s">
        <v>5111</v>
      </c>
      <c r="AS1322" s="5">
        <v>34750</v>
      </c>
      <c r="AT1322" t="s">
        <v>47</v>
      </c>
    </row>
    <row r="1323" spans="1:46" ht="39" x14ac:dyDescent="0.3">
      <c r="A1323" s="4" t="s">
        <v>5112</v>
      </c>
      <c r="B1323" t="s">
        <v>47</v>
      </c>
      <c r="C1323" s="4" t="s">
        <v>183</v>
      </c>
      <c r="D1323" s="4" t="s">
        <v>333</v>
      </c>
      <c r="E1323" s="4" t="s">
        <v>49</v>
      </c>
      <c r="F1323" s="5" t="s">
        <v>5113</v>
      </c>
      <c r="G1323" s="5" t="s">
        <v>5114</v>
      </c>
      <c r="H1323" t="s">
        <v>47</v>
      </c>
      <c r="I1323" s="3">
        <v>35339</v>
      </c>
      <c r="J1323" s="3">
        <v>42887</v>
      </c>
      <c r="K1323" t="s">
        <v>47</v>
      </c>
      <c r="L1323" s="5" t="s">
        <v>60</v>
      </c>
      <c r="M1323" s="3">
        <v>35339</v>
      </c>
      <c r="N1323" s="3">
        <v>42887</v>
      </c>
      <c r="O1323" t="s">
        <v>47</v>
      </c>
      <c r="P1323" s="3">
        <v>35339</v>
      </c>
      <c r="Q1323" s="3">
        <v>42887</v>
      </c>
      <c r="R1323" t="s">
        <v>47</v>
      </c>
      <c r="S1323" t="s">
        <v>47</v>
      </c>
      <c r="T1323" t="s">
        <v>47</v>
      </c>
      <c r="U1323" t="s">
        <v>47</v>
      </c>
      <c r="V1323" t="s">
        <v>47</v>
      </c>
      <c r="W1323" s="3">
        <v>26573</v>
      </c>
      <c r="X1323" s="5" t="s">
        <v>50</v>
      </c>
      <c r="Y1323" t="s">
        <v>47</v>
      </c>
      <c r="Z1323" s="3">
        <v>26573</v>
      </c>
      <c r="AA1323" s="5" t="s">
        <v>50</v>
      </c>
      <c r="AB1323" t="s">
        <v>47</v>
      </c>
      <c r="AC1323" s="3">
        <v>26785</v>
      </c>
      <c r="AD1323" s="5" t="s">
        <v>50</v>
      </c>
      <c r="AE1323" t="s">
        <v>47</v>
      </c>
      <c r="AF1323" t="s">
        <v>47</v>
      </c>
      <c r="AG1323" t="s">
        <v>47</v>
      </c>
      <c r="AH1323" t="s">
        <v>47</v>
      </c>
      <c r="AI1323" t="s">
        <v>47</v>
      </c>
      <c r="AJ1323" t="s">
        <v>47</v>
      </c>
      <c r="AK1323" t="s">
        <v>47</v>
      </c>
      <c r="AL1323" t="s">
        <v>47</v>
      </c>
      <c r="AM1323" t="s">
        <v>47</v>
      </c>
      <c r="AN1323" t="s">
        <v>47</v>
      </c>
      <c r="AO1323" s="5" t="s">
        <v>60</v>
      </c>
      <c r="AP1323" s="4" t="s">
        <v>61</v>
      </c>
      <c r="AQ1323" s="4" t="s">
        <v>53</v>
      </c>
      <c r="AR1323" s="4" t="s">
        <v>147</v>
      </c>
      <c r="AS1323" s="5">
        <v>35335</v>
      </c>
      <c r="AT1323" t="s">
        <v>47</v>
      </c>
    </row>
    <row r="1324" spans="1:46" ht="39" x14ac:dyDescent="0.3">
      <c r="A1324" s="4" t="s">
        <v>5115</v>
      </c>
      <c r="B1324" t="s">
        <v>47</v>
      </c>
      <c r="C1324" s="4" t="s">
        <v>5116</v>
      </c>
      <c r="D1324" s="4" t="s">
        <v>5117</v>
      </c>
      <c r="E1324" s="4" t="s">
        <v>603</v>
      </c>
      <c r="F1324" s="5" t="s">
        <v>5118</v>
      </c>
      <c r="G1324" s="5" t="s">
        <v>5119</v>
      </c>
      <c r="H1324" t="s">
        <v>47</v>
      </c>
      <c r="I1324" s="3">
        <v>36892</v>
      </c>
      <c r="J1324" s="3">
        <v>43466</v>
      </c>
      <c r="K1324" t="s">
        <v>47</v>
      </c>
      <c r="L1324" s="5" t="s">
        <v>60</v>
      </c>
      <c r="M1324" t="s">
        <v>47</v>
      </c>
      <c r="N1324" t="s">
        <v>47</v>
      </c>
      <c r="O1324" t="s">
        <v>47</v>
      </c>
      <c r="P1324" s="3">
        <v>36892</v>
      </c>
      <c r="Q1324" s="3">
        <v>43466</v>
      </c>
      <c r="R1324" t="s">
        <v>47</v>
      </c>
      <c r="S1324" t="s">
        <v>47</v>
      </c>
      <c r="T1324" t="s">
        <v>47</v>
      </c>
      <c r="U1324" t="s">
        <v>47</v>
      </c>
      <c r="V1324" t="s">
        <v>47</v>
      </c>
      <c r="W1324" s="3">
        <v>36892</v>
      </c>
      <c r="X1324" s="3">
        <v>43466</v>
      </c>
      <c r="Y1324" t="s">
        <v>47</v>
      </c>
      <c r="Z1324" s="3">
        <v>36892</v>
      </c>
      <c r="AA1324" s="3">
        <v>43466</v>
      </c>
      <c r="AB1324" t="s">
        <v>47</v>
      </c>
      <c r="AC1324" s="3">
        <v>36892</v>
      </c>
      <c r="AD1324" s="3">
        <v>43466</v>
      </c>
      <c r="AE1324" t="s">
        <v>47</v>
      </c>
      <c r="AF1324" t="s">
        <v>47</v>
      </c>
      <c r="AG1324" t="s">
        <v>47</v>
      </c>
      <c r="AH1324" t="s">
        <v>47</v>
      </c>
      <c r="AI1324" t="s">
        <v>47</v>
      </c>
      <c r="AJ1324" t="s">
        <v>47</v>
      </c>
      <c r="AK1324" t="s">
        <v>47</v>
      </c>
      <c r="AL1324" t="s">
        <v>47</v>
      </c>
      <c r="AM1324" t="s">
        <v>47</v>
      </c>
      <c r="AN1324" t="s">
        <v>47</v>
      </c>
      <c r="AO1324" s="5" t="s">
        <v>51</v>
      </c>
      <c r="AP1324" s="4" t="s">
        <v>61</v>
      </c>
      <c r="AQ1324" s="4" t="s">
        <v>261</v>
      </c>
      <c r="AR1324" s="4" t="s">
        <v>807</v>
      </c>
      <c r="AS1324" s="5">
        <v>4424401</v>
      </c>
      <c r="AT1324" t="s">
        <v>47</v>
      </c>
    </row>
    <row r="1325" spans="1:46" ht="52" x14ac:dyDescent="0.3">
      <c r="A1325" s="4" t="s">
        <v>5120</v>
      </c>
      <c r="B1325" t="s">
        <v>47</v>
      </c>
      <c r="C1325" s="4" t="s">
        <v>5120</v>
      </c>
      <c r="D1325" s="4" t="s">
        <v>5121</v>
      </c>
      <c r="E1325" s="4" t="s">
        <v>49</v>
      </c>
      <c r="F1325" s="5" t="s">
        <v>5122</v>
      </c>
      <c r="G1325" s="5" t="s">
        <v>5123</v>
      </c>
      <c r="H1325" t="s">
        <v>47</v>
      </c>
      <c r="I1325" s="3">
        <v>39873</v>
      </c>
      <c r="J1325" s="5" t="s">
        <v>50</v>
      </c>
      <c r="K1325" t="s">
        <v>47</v>
      </c>
      <c r="L1325" s="5" t="s">
        <v>60</v>
      </c>
      <c r="M1325" s="3">
        <v>39873</v>
      </c>
      <c r="N1325" s="5" t="s">
        <v>50</v>
      </c>
      <c r="O1325" t="s">
        <v>47</v>
      </c>
      <c r="P1325" s="3">
        <v>39873</v>
      </c>
      <c r="Q1325" s="5" t="s">
        <v>50</v>
      </c>
      <c r="R1325" t="s">
        <v>47</v>
      </c>
      <c r="S1325" t="s">
        <v>47</v>
      </c>
      <c r="T1325" t="s">
        <v>47</v>
      </c>
      <c r="U1325" t="s">
        <v>47</v>
      </c>
      <c r="V1325" t="s">
        <v>47</v>
      </c>
      <c r="W1325" s="3">
        <v>39873</v>
      </c>
      <c r="X1325" s="5" t="s">
        <v>50</v>
      </c>
      <c r="Y1325" t="s">
        <v>47</v>
      </c>
      <c r="Z1325" s="3">
        <v>39873</v>
      </c>
      <c r="AA1325" s="5" t="s">
        <v>50</v>
      </c>
      <c r="AB1325" t="s">
        <v>47</v>
      </c>
      <c r="AC1325" s="3">
        <v>39873</v>
      </c>
      <c r="AD1325" s="5" t="s">
        <v>50</v>
      </c>
      <c r="AE1325" t="s">
        <v>47</v>
      </c>
      <c r="AF1325" t="s">
        <v>47</v>
      </c>
      <c r="AG1325" t="s">
        <v>47</v>
      </c>
      <c r="AH1325" t="s">
        <v>47</v>
      </c>
      <c r="AI1325" t="s">
        <v>47</v>
      </c>
      <c r="AJ1325" t="s">
        <v>47</v>
      </c>
      <c r="AK1325" t="s">
        <v>47</v>
      </c>
      <c r="AL1325" t="s">
        <v>47</v>
      </c>
      <c r="AM1325" t="s">
        <v>47</v>
      </c>
      <c r="AN1325" t="s">
        <v>47</v>
      </c>
      <c r="AO1325" s="5" t="s">
        <v>60</v>
      </c>
      <c r="AP1325" s="4" t="s">
        <v>61</v>
      </c>
      <c r="AQ1325" s="4" t="s">
        <v>53</v>
      </c>
      <c r="AR1325" s="4" t="s">
        <v>2073</v>
      </c>
      <c r="AS1325" s="5">
        <v>55152</v>
      </c>
      <c r="AT1325" t="s">
        <v>47</v>
      </c>
    </row>
    <row r="1326" spans="1:46" ht="13" x14ac:dyDescent="0.3">
      <c r="A1326" s="4" t="s">
        <v>5124</v>
      </c>
      <c r="B1326" t="s">
        <v>47</v>
      </c>
      <c r="C1326" s="4" t="s">
        <v>115</v>
      </c>
      <c r="D1326" s="4" t="s">
        <v>1019</v>
      </c>
      <c r="E1326" s="4" t="s">
        <v>66</v>
      </c>
      <c r="F1326" s="5" t="s">
        <v>5125</v>
      </c>
      <c r="G1326" s="5" t="s">
        <v>5126</v>
      </c>
      <c r="H1326" t="s">
        <v>47</v>
      </c>
      <c r="I1326" s="3">
        <v>34700</v>
      </c>
      <c r="J1326" s="5" t="s">
        <v>50</v>
      </c>
      <c r="K1326" t="s">
        <v>47</v>
      </c>
      <c r="L1326" s="5" t="s">
        <v>60</v>
      </c>
      <c r="M1326" s="3">
        <v>34700</v>
      </c>
      <c r="N1326" s="5" t="s">
        <v>50</v>
      </c>
      <c r="O1326" t="s">
        <v>47</v>
      </c>
      <c r="P1326" s="3">
        <v>36892</v>
      </c>
      <c r="Q1326" s="5" t="s">
        <v>50</v>
      </c>
      <c r="R1326" t="s">
        <v>47</v>
      </c>
      <c r="S1326" t="s">
        <v>47</v>
      </c>
      <c r="T1326" t="s">
        <v>47</v>
      </c>
      <c r="U1326" t="s">
        <v>47</v>
      </c>
      <c r="V1326" s="5">
        <v>365</v>
      </c>
      <c r="W1326" s="3">
        <v>34700</v>
      </c>
      <c r="X1326" s="5" t="s">
        <v>50</v>
      </c>
      <c r="Y1326" t="s">
        <v>47</v>
      </c>
      <c r="Z1326" s="3">
        <v>34700</v>
      </c>
      <c r="AA1326" s="5" t="s">
        <v>50</v>
      </c>
      <c r="AB1326" t="s">
        <v>47</v>
      </c>
      <c r="AC1326" s="3">
        <v>34700</v>
      </c>
      <c r="AD1326" s="5" t="s">
        <v>50</v>
      </c>
      <c r="AE1326" t="s">
        <v>47</v>
      </c>
      <c r="AF1326" t="s">
        <v>47</v>
      </c>
      <c r="AG1326" t="s">
        <v>47</v>
      </c>
      <c r="AH1326" t="s">
        <v>47</v>
      </c>
      <c r="AI1326" t="s">
        <v>47</v>
      </c>
      <c r="AJ1326" t="s">
        <v>47</v>
      </c>
      <c r="AK1326" t="s">
        <v>47</v>
      </c>
      <c r="AL1326" t="s">
        <v>47</v>
      </c>
      <c r="AM1326" t="s">
        <v>47</v>
      </c>
      <c r="AN1326" t="s">
        <v>47</v>
      </c>
      <c r="AO1326" s="5" t="s">
        <v>60</v>
      </c>
      <c r="AP1326" s="4" t="s">
        <v>61</v>
      </c>
      <c r="AQ1326" s="4" t="s">
        <v>53</v>
      </c>
      <c r="AR1326" s="4" t="s">
        <v>54</v>
      </c>
      <c r="AS1326" s="5">
        <v>25914</v>
      </c>
      <c r="AT1326" t="s">
        <v>47</v>
      </c>
    </row>
    <row r="1327" spans="1:46" ht="39" x14ac:dyDescent="0.3">
      <c r="A1327" s="4" t="s">
        <v>5127</v>
      </c>
      <c r="B1327" t="s">
        <v>47</v>
      </c>
      <c r="C1327" s="4" t="s">
        <v>169</v>
      </c>
      <c r="D1327" s="4" t="s">
        <v>339</v>
      </c>
      <c r="E1327" s="4" t="s">
        <v>66</v>
      </c>
      <c r="F1327" s="5" t="s">
        <v>5128</v>
      </c>
      <c r="G1327" s="5" t="s">
        <v>5129</v>
      </c>
      <c r="H1327" t="s">
        <v>47</v>
      </c>
      <c r="I1327" t="s">
        <v>47</v>
      </c>
      <c r="J1327" t="s">
        <v>47</v>
      </c>
      <c r="K1327" t="s">
        <v>47</v>
      </c>
      <c r="L1327" s="5" t="s">
        <v>60</v>
      </c>
      <c r="M1327" t="s">
        <v>47</v>
      </c>
      <c r="N1327" t="s">
        <v>47</v>
      </c>
      <c r="O1327" t="s">
        <v>47</v>
      </c>
      <c r="P1327" t="s">
        <v>47</v>
      </c>
      <c r="Q1327" t="s">
        <v>47</v>
      </c>
      <c r="R1327" t="s">
        <v>47</v>
      </c>
      <c r="S1327" t="s">
        <v>47</v>
      </c>
      <c r="T1327" t="s">
        <v>47</v>
      </c>
      <c r="U1327" t="s">
        <v>47</v>
      </c>
      <c r="V1327" t="s">
        <v>47</v>
      </c>
      <c r="W1327" s="3">
        <v>40179</v>
      </c>
      <c r="X1327" s="5" t="s">
        <v>50</v>
      </c>
      <c r="Y1327" t="s">
        <v>47</v>
      </c>
      <c r="Z1327" s="3">
        <v>40179</v>
      </c>
      <c r="AA1327" s="5" t="s">
        <v>50</v>
      </c>
      <c r="AB1327" t="s">
        <v>47</v>
      </c>
      <c r="AC1327" s="3">
        <v>40179</v>
      </c>
      <c r="AD1327" s="5" t="s">
        <v>50</v>
      </c>
      <c r="AE1327" t="s">
        <v>47</v>
      </c>
      <c r="AF1327" t="s">
        <v>47</v>
      </c>
      <c r="AG1327" t="s">
        <v>47</v>
      </c>
      <c r="AH1327" t="s">
        <v>47</v>
      </c>
      <c r="AI1327" t="s">
        <v>47</v>
      </c>
      <c r="AJ1327" t="s">
        <v>47</v>
      </c>
      <c r="AK1327" t="s">
        <v>47</v>
      </c>
      <c r="AL1327" t="s">
        <v>47</v>
      </c>
      <c r="AM1327" t="s">
        <v>47</v>
      </c>
      <c r="AN1327" t="s">
        <v>47</v>
      </c>
      <c r="AO1327" s="5" t="s">
        <v>60</v>
      </c>
      <c r="AP1327" s="4" t="s">
        <v>61</v>
      </c>
      <c r="AQ1327" s="4" t="s">
        <v>53</v>
      </c>
      <c r="AR1327" s="4" t="s">
        <v>62</v>
      </c>
      <c r="AS1327" s="5">
        <v>426796</v>
      </c>
      <c r="AT1327" t="s">
        <v>47</v>
      </c>
    </row>
    <row r="1328" spans="1:46" ht="26" x14ac:dyDescent="0.3">
      <c r="A1328" s="4" t="s">
        <v>5130</v>
      </c>
      <c r="B1328" t="s">
        <v>47</v>
      </c>
      <c r="C1328" s="4" t="s">
        <v>3386</v>
      </c>
      <c r="D1328" s="4" t="s">
        <v>1129</v>
      </c>
      <c r="E1328" s="4" t="s">
        <v>49</v>
      </c>
      <c r="F1328" s="5" t="s">
        <v>5131</v>
      </c>
      <c r="G1328" t="s">
        <v>47</v>
      </c>
      <c r="H1328" t="s">
        <v>47</v>
      </c>
      <c r="I1328" s="3">
        <v>35796</v>
      </c>
      <c r="J1328" s="3">
        <v>37073</v>
      </c>
      <c r="K1328" t="s">
        <v>47</v>
      </c>
      <c r="L1328" s="5" t="s">
        <v>60</v>
      </c>
      <c r="M1328" t="s">
        <v>47</v>
      </c>
      <c r="N1328" t="s">
        <v>47</v>
      </c>
      <c r="O1328" t="s">
        <v>47</v>
      </c>
      <c r="P1328" s="3">
        <v>35796</v>
      </c>
      <c r="Q1328" s="3">
        <v>37073</v>
      </c>
      <c r="R1328" t="s">
        <v>47</v>
      </c>
      <c r="S1328" t="s">
        <v>47</v>
      </c>
      <c r="T1328" t="s">
        <v>47</v>
      </c>
      <c r="U1328" t="s">
        <v>47</v>
      </c>
      <c r="V1328" t="s">
        <v>47</v>
      </c>
      <c r="W1328" s="3">
        <v>35796</v>
      </c>
      <c r="X1328" s="3">
        <v>37073</v>
      </c>
      <c r="Y1328" t="s">
        <v>47</v>
      </c>
      <c r="Z1328" s="3">
        <v>35796</v>
      </c>
      <c r="AA1328" s="3">
        <v>37073</v>
      </c>
      <c r="AB1328" t="s">
        <v>47</v>
      </c>
      <c r="AC1328" s="3">
        <v>35796</v>
      </c>
      <c r="AD1328" s="3">
        <v>37073</v>
      </c>
      <c r="AE1328" t="s">
        <v>47</v>
      </c>
      <c r="AF1328" t="s">
        <v>47</v>
      </c>
      <c r="AG1328" t="s">
        <v>47</v>
      </c>
      <c r="AH1328" t="s">
        <v>47</v>
      </c>
      <c r="AI1328" t="s">
        <v>47</v>
      </c>
      <c r="AJ1328" t="s">
        <v>47</v>
      </c>
      <c r="AK1328" t="s">
        <v>47</v>
      </c>
      <c r="AL1328" t="s">
        <v>47</v>
      </c>
      <c r="AM1328" t="s">
        <v>47</v>
      </c>
      <c r="AN1328" t="s">
        <v>47</v>
      </c>
      <c r="AO1328" s="5" t="s">
        <v>60</v>
      </c>
      <c r="AP1328" s="4" t="s">
        <v>135</v>
      </c>
      <c r="AQ1328" s="4" t="s">
        <v>53</v>
      </c>
      <c r="AR1328" s="4" t="s">
        <v>5132</v>
      </c>
      <c r="AS1328" s="5">
        <v>32473</v>
      </c>
      <c r="AT1328" t="s">
        <v>47</v>
      </c>
    </row>
    <row r="1329" spans="1:46" ht="39" x14ac:dyDescent="0.3">
      <c r="A1329" s="4" t="s">
        <v>5133</v>
      </c>
      <c r="B1329" t="s">
        <v>47</v>
      </c>
      <c r="C1329" s="4" t="s">
        <v>169</v>
      </c>
      <c r="D1329" s="4" t="s">
        <v>319</v>
      </c>
      <c r="E1329" s="4" t="s">
        <v>66</v>
      </c>
      <c r="F1329" s="5" t="s">
        <v>5134</v>
      </c>
      <c r="G1329" s="5" t="s">
        <v>5135</v>
      </c>
      <c r="H1329" t="s">
        <v>47</v>
      </c>
      <c r="I1329" t="s">
        <v>47</v>
      </c>
      <c r="J1329" t="s">
        <v>47</v>
      </c>
      <c r="K1329" t="s">
        <v>47</v>
      </c>
      <c r="L1329" s="5" t="s">
        <v>60</v>
      </c>
      <c r="M1329" t="s">
        <v>47</v>
      </c>
      <c r="N1329" t="s">
        <v>47</v>
      </c>
      <c r="O1329" t="s">
        <v>47</v>
      </c>
      <c r="P1329" t="s">
        <v>47</v>
      </c>
      <c r="Q1329" t="s">
        <v>47</v>
      </c>
      <c r="R1329" t="s">
        <v>47</v>
      </c>
      <c r="S1329" t="s">
        <v>47</v>
      </c>
      <c r="T1329" t="s">
        <v>47</v>
      </c>
      <c r="U1329" t="s">
        <v>47</v>
      </c>
      <c r="V1329" t="s">
        <v>47</v>
      </c>
      <c r="W1329" s="3">
        <v>32174</v>
      </c>
      <c r="X1329" s="5" t="s">
        <v>50</v>
      </c>
      <c r="Y1329" t="s">
        <v>47</v>
      </c>
      <c r="Z1329" s="3">
        <v>32174</v>
      </c>
      <c r="AA1329" s="5" t="s">
        <v>50</v>
      </c>
      <c r="AB1329" t="s">
        <v>47</v>
      </c>
      <c r="AC1329" s="3">
        <v>32174</v>
      </c>
      <c r="AD1329" s="5" t="s">
        <v>50</v>
      </c>
      <c r="AE1329" t="s">
        <v>47</v>
      </c>
      <c r="AF1329" t="s">
        <v>47</v>
      </c>
      <c r="AG1329" t="s">
        <v>47</v>
      </c>
      <c r="AH1329" t="s">
        <v>47</v>
      </c>
      <c r="AI1329" t="s">
        <v>47</v>
      </c>
      <c r="AJ1329" t="s">
        <v>47</v>
      </c>
      <c r="AK1329" t="s">
        <v>47</v>
      </c>
      <c r="AL1329" t="s">
        <v>47</v>
      </c>
      <c r="AM1329" t="s">
        <v>47</v>
      </c>
      <c r="AN1329" t="s">
        <v>47</v>
      </c>
      <c r="AO1329" s="5" t="s">
        <v>60</v>
      </c>
      <c r="AP1329" s="4" t="s">
        <v>61</v>
      </c>
      <c r="AQ1329" s="4" t="s">
        <v>53</v>
      </c>
      <c r="AR1329" s="4" t="s">
        <v>1285</v>
      </c>
      <c r="AS1329" s="5">
        <v>42398</v>
      </c>
      <c r="AT1329" t="s">
        <v>47</v>
      </c>
    </row>
    <row r="1330" spans="1:46" ht="65" x14ac:dyDescent="0.3">
      <c r="A1330" s="4" t="s">
        <v>5136</v>
      </c>
      <c r="B1330" t="s">
        <v>47</v>
      </c>
      <c r="C1330" s="4" t="s">
        <v>274</v>
      </c>
      <c r="D1330" s="4" t="s">
        <v>275</v>
      </c>
      <c r="E1330" s="4" t="s">
        <v>49</v>
      </c>
      <c r="F1330" s="5" t="s">
        <v>5137</v>
      </c>
      <c r="G1330" s="5" t="s">
        <v>5138</v>
      </c>
      <c r="H1330" t="s">
        <v>47</v>
      </c>
      <c r="I1330" s="3">
        <v>37956</v>
      </c>
      <c r="J1330" s="5" t="s">
        <v>50</v>
      </c>
      <c r="K1330" t="s">
        <v>47</v>
      </c>
      <c r="L1330" s="5" t="s">
        <v>60</v>
      </c>
      <c r="M1330" s="3">
        <v>37956</v>
      </c>
      <c r="N1330" s="5" t="s">
        <v>50</v>
      </c>
      <c r="O1330" t="s">
        <v>47</v>
      </c>
      <c r="P1330" s="3">
        <v>37956</v>
      </c>
      <c r="Q1330" s="5" t="s">
        <v>50</v>
      </c>
      <c r="R1330" t="s">
        <v>47</v>
      </c>
      <c r="S1330" t="s">
        <v>47</v>
      </c>
      <c r="T1330" t="s">
        <v>47</v>
      </c>
      <c r="U1330" t="s">
        <v>47</v>
      </c>
      <c r="V1330" t="s">
        <v>47</v>
      </c>
      <c r="W1330" s="3">
        <v>37956</v>
      </c>
      <c r="X1330" s="5" t="s">
        <v>50</v>
      </c>
      <c r="Y1330" t="s">
        <v>47</v>
      </c>
      <c r="Z1330" s="3">
        <v>37956</v>
      </c>
      <c r="AA1330" s="5" t="s">
        <v>50</v>
      </c>
      <c r="AB1330" t="s">
        <v>47</v>
      </c>
      <c r="AC1330" s="3">
        <v>37956</v>
      </c>
      <c r="AD1330" s="5" t="s">
        <v>50</v>
      </c>
      <c r="AE1330" t="s">
        <v>47</v>
      </c>
      <c r="AF1330" t="s">
        <v>47</v>
      </c>
      <c r="AG1330" t="s">
        <v>47</v>
      </c>
      <c r="AH1330" t="s">
        <v>47</v>
      </c>
      <c r="AI1330" t="s">
        <v>47</v>
      </c>
      <c r="AJ1330" t="s">
        <v>47</v>
      </c>
      <c r="AK1330" t="s">
        <v>47</v>
      </c>
      <c r="AL1330" t="s">
        <v>47</v>
      </c>
      <c r="AM1330" t="s">
        <v>47</v>
      </c>
      <c r="AN1330" t="s">
        <v>47</v>
      </c>
      <c r="AO1330" s="5" t="s">
        <v>60</v>
      </c>
      <c r="AP1330" s="4" t="s">
        <v>61</v>
      </c>
      <c r="AQ1330" s="4" t="s">
        <v>53</v>
      </c>
      <c r="AR1330" s="4" t="s">
        <v>543</v>
      </c>
      <c r="AS1330" s="5">
        <v>29705</v>
      </c>
      <c r="AT1330" t="s">
        <v>47</v>
      </c>
    </row>
    <row r="1331" spans="1:46" ht="52" x14ac:dyDescent="0.3">
      <c r="A1331" s="4" t="s">
        <v>5139</v>
      </c>
      <c r="B1331" t="s">
        <v>47</v>
      </c>
      <c r="C1331" s="4" t="s">
        <v>5140</v>
      </c>
      <c r="D1331" s="4" t="s">
        <v>70</v>
      </c>
      <c r="E1331" s="4" t="s">
        <v>49</v>
      </c>
      <c r="F1331" s="5" t="s">
        <v>5141</v>
      </c>
      <c r="G1331" t="s">
        <v>47</v>
      </c>
      <c r="H1331" t="s">
        <v>47</v>
      </c>
      <c r="I1331" s="3">
        <v>36800</v>
      </c>
      <c r="J1331" s="3">
        <v>37135</v>
      </c>
      <c r="K1331" t="s">
        <v>47</v>
      </c>
      <c r="L1331" s="5" t="s">
        <v>51</v>
      </c>
      <c r="M1331" s="3">
        <v>36800</v>
      </c>
      <c r="N1331" s="3">
        <v>37135</v>
      </c>
      <c r="O1331" t="s">
        <v>47</v>
      </c>
      <c r="P1331" s="3">
        <v>36800</v>
      </c>
      <c r="Q1331" s="3">
        <v>37135</v>
      </c>
      <c r="R1331" t="s">
        <v>47</v>
      </c>
      <c r="S1331" t="s">
        <v>47</v>
      </c>
      <c r="T1331" t="s">
        <v>47</v>
      </c>
      <c r="U1331" t="s">
        <v>47</v>
      </c>
      <c r="V1331" t="s">
        <v>47</v>
      </c>
      <c r="W1331" s="3">
        <v>36800</v>
      </c>
      <c r="X1331" s="3">
        <v>37135</v>
      </c>
      <c r="Y1331" t="s">
        <v>47</v>
      </c>
      <c r="Z1331" s="3">
        <v>36800</v>
      </c>
      <c r="AA1331" s="3">
        <v>37135</v>
      </c>
      <c r="AB1331" t="s">
        <v>47</v>
      </c>
      <c r="AC1331" t="s">
        <v>47</v>
      </c>
      <c r="AD1331" t="s">
        <v>47</v>
      </c>
      <c r="AE1331" t="s">
        <v>47</v>
      </c>
      <c r="AF1331" t="s">
        <v>47</v>
      </c>
      <c r="AG1331" t="s">
        <v>47</v>
      </c>
      <c r="AH1331" t="s">
        <v>47</v>
      </c>
      <c r="AI1331" t="s">
        <v>47</v>
      </c>
      <c r="AJ1331" t="s">
        <v>47</v>
      </c>
      <c r="AK1331" t="s">
        <v>47</v>
      </c>
      <c r="AL1331" t="s">
        <v>47</v>
      </c>
      <c r="AM1331" t="s">
        <v>47</v>
      </c>
      <c r="AN1331" t="s">
        <v>47</v>
      </c>
      <c r="AO1331" s="5" t="s">
        <v>51</v>
      </c>
      <c r="AP1331" s="4" t="s">
        <v>135</v>
      </c>
      <c r="AQ1331" s="4" t="s">
        <v>53</v>
      </c>
      <c r="AR1331" s="4" t="s">
        <v>5142</v>
      </c>
      <c r="AS1331" s="5">
        <v>47042</v>
      </c>
      <c r="AT1331" t="s">
        <v>47</v>
      </c>
    </row>
    <row r="1332" spans="1:46" ht="143" x14ac:dyDescent="0.3">
      <c r="A1332" s="4" t="s">
        <v>5143</v>
      </c>
      <c r="B1332" t="s">
        <v>47</v>
      </c>
      <c r="C1332" s="4" t="s">
        <v>5144</v>
      </c>
      <c r="D1332" s="4" t="s">
        <v>88</v>
      </c>
      <c r="E1332" s="4" t="s">
        <v>49</v>
      </c>
      <c r="F1332" s="5" t="s">
        <v>5145</v>
      </c>
      <c r="G1332" s="5" t="s">
        <v>5146</v>
      </c>
      <c r="H1332" t="s">
        <v>47</v>
      </c>
      <c r="I1332" s="3">
        <v>35431</v>
      </c>
      <c r="J1332" s="3">
        <v>39448</v>
      </c>
      <c r="K1332" t="s">
        <v>47</v>
      </c>
      <c r="L1332" s="5" t="s">
        <v>60</v>
      </c>
      <c r="M1332" s="3">
        <v>35431</v>
      </c>
      <c r="N1332" s="3">
        <v>39448</v>
      </c>
      <c r="O1332" t="s">
        <v>47</v>
      </c>
      <c r="P1332" s="3">
        <v>35431</v>
      </c>
      <c r="Q1332" s="3">
        <v>39448</v>
      </c>
      <c r="R1332" t="s">
        <v>47</v>
      </c>
      <c r="S1332" t="s">
        <v>47</v>
      </c>
      <c r="T1332" t="s">
        <v>47</v>
      </c>
      <c r="U1332" t="s">
        <v>47</v>
      </c>
      <c r="V1332" t="s">
        <v>47</v>
      </c>
      <c r="W1332" s="3">
        <v>35431</v>
      </c>
      <c r="X1332" s="3">
        <v>39448</v>
      </c>
      <c r="Y1332" t="s">
        <v>47</v>
      </c>
      <c r="Z1332" s="3">
        <v>35431</v>
      </c>
      <c r="AA1332" s="3">
        <v>39448</v>
      </c>
      <c r="AB1332" t="s">
        <v>47</v>
      </c>
      <c r="AC1332" s="3">
        <v>36069</v>
      </c>
      <c r="AD1332" s="3">
        <v>39448</v>
      </c>
      <c r="AE1332" s="5" t="s">
        <v>5147</v>
      </c>
      <c r="AF1332" t="s">
        <v>47</v>
      </c>
      <c r="AG1332" t="s">
        <v>47</v>
      </c>
      <c r="AH1332" t="s">
        <v>47</v>
      </c>
      <c r="AI1332" t="s">
        <v>47</v>
      </c>
      <c r="AJ1332" t="s">
        <v>47</v>
      </c>
      <c r="AK1332" t="s">
        <v>47</v>
      </c>
      <c r="AL1332" t="s">
        <v>47</v>
      </c>
      <c r="AM1332" t="s">
        <v>47</v>
      </c>
      <c r="AN1332" t="s">
        <v>47</v>
      </c>
      <c r="AO1332" s="5" t="s">
        <v>60</v>
      </c>
      <c r="AP1332" s="4" t="s">
        <v>61</v>
      </c>
      <c r="AQ1332" s="4" t="s">
        <v>53</v>
      </c>
      <c r="AR1332" s="4" t="s">
        <v>5148</v>
      </c>
      <c r="AS1332" s="5">
        <v>48930</v>
      </c>
      <c r="AT1332" t="s">
        <v>47</v>
      </c>
    </row>
    <row r="1333" spans="1:46" ht="39" x14ac:dyDescent="0.3">
      <c r="A1333" s="4" t="s">
        <v>5149</v>
      </c>
      <c r="B1333" t="s">
        <v>47</v>
      </c>
      <c r="C1333" s="4" t="s">
        <v>2823</v>
      </c>
      <c r="D1333" s="4" t="s">
        <v>2070</v>
      </c>
      <c r="E1333" s="4" t="s">
        <v>603</v>
      </c>
      <c r="F1333" t="s">
        <v>47</v>
      </c>
      <c r="G1333" s="5" t="s">
        <v>5150</v>
      </c>
      <c r="H1333" t="s">
        <v>47</v>
      </c>
      <c r="I1333" s="3">
        <v>40830</v>
      </c>
      <c r="J1333" s="3">
        <v>44105</v>
      </c>
      <c r="K1333" t="s">
        <v>47</v>
      </c>
      <c r="L1333" s="5" t="s">
        <v>60</v>
      </c>
      <c r="M1333" t="s">
        <v>47</v>
      </c>
      <c r="N1333" t="s">
        <v>47</v>
      </c>
      <c r="O1333" t="s">
        <v>47</v>
      </c>
      <c r="P1333" s="3">
        <v>40830</v>
      </c>
      <c r="Q1333" s="3">
        <v>44105</v>
      </c>
      <c r="R1333" t="s">
        <v>47</v>
      </c>
      <c r="S1333" t="s">
        <v>47</v>
      </c>
      <c r="T1333" t="s">
        <v>47</v>
      </c>
      <c r="U1333" t="s">
        <v>47</v>
      </c>
      <c r="V1333" t="s">
        <v>47</v>
      </c>
      <c r="W1333" s="3">
        <v>40830</v>
      </c>
      <c r="X1333" s="3">
        <v>44105</v>
      </c>
      <c r="Y1333" t="s">
        <v>47</v>
      </c>
      <c r="Z1333" s="3">
        <v>40830</v>
      </c>
      <c r="AA1333" s="3">
        <v>44105</v>
      </c>
      <c r="AB1333" t="s">
        <v>47</v>
      </c>
      <c r="AC1333" s="3">
        <v>40830</v>
      </c>
      <c r="AD1333" s="3">
        <v>44105</v>
      </c>
      <c r="AE1333" t="s">
        <v>47</v>
      </c>
      <c r="AF1333" t="s">
        <v>47</v>
      </c>
      <c r="AG1333" t="s">
        <v>47</v>
      </c>
      <c r="AH1333" t="s">
        <v>47</v>
      </c>
      <c r="AI1333" t="s">
        <v>47</v>
      </c>
      <c r="AJ1333" t="s">
        <v>47</v>
      </c>
      <c r="AK1333" t="s">
        <v>47</v>
      </c>
      <c r="AL1333" t="s">
        <v>47</v>
      </c>
      <c r="AM1333" t="s">
        <v>47</v>
      </c>
      <c r="AN1333" t="s">
        <v>47</v>
      </c>
      <c r="AO1333" s="5" t="s">
        <v>60</v>
      </c>
      <c r="AP1333" s="4" t="s">
        <v>61</v>
      </c>
      <c r="AQ1333" s="4" t="s">
        <v>2827</v>
      </c>
      <c r="AR1333" s="4" t="s">
        <v>54</v>
      </c>
      <c r="AS1333" s="5">
        <v>1216360</v>
      </c>
      <c r="AT1333" t="s">
        <v>47</v>
      </c>
    </row>
    <row r="1334" spans="1:46" ht="13" x14ac:dyDescent="0.3">
      <c r="A1334" s="4" t="s">
        <v>5151</v>
      </c>
      <c r="B1334" t="s">
        <v>47</v>
      </c>
      <c r="C1334" s="4" t="s">
        <v>169</v>
      </c>
      <c r="D1334" s="4" t="s">
        <v>82</v>
      </c>
      <c r="E1334" s="4" t="s">
        <v>66</v>
      </c>
      <c r="F1334" t="s">
        <v>47</v>
      </c>
      <c r="G1334" s="5" t="s">
        <v>5152</v>
      </c>
      <c r="H1334" t="s">
        <v>47</v>
      </c>
      <c r="I1334" s="3">
        <v>39448</v>
      </c>
      <c r="J1334" s="5" t="s">
        <v>50</v>
      </c>
      <c r="K1334" s="5" t="s">
        <v>788</v>
      </c>
      <c r="L1334" s="5" t="s">
        <v>60</v>
      </c>
      <c r="M1334" s="3">
        <v>39448</v>
      </c>
      <c r="N1334" s="3">
        <v>42370</v>
      </c>
      <c r="O1334" t="s">
        <v>47</v>
      </c>
      <c r="P1334" s="3">
        <v>39448</v>
      </c>
      <c r="Q1334" s="5" t="s">
        <v>50</v>
      </c>
      <c r="R1334" s="5" t="s">
        <v>788</v>
      </c>
      <c r="S1334" t="s">
        <v>47</v>
      </c>
      <c r="T1334" t="s">
        <v>47</v>
      </c>
      <c r="U1334" t="s">
        <v>47</v>
      </c>
      <c r="V1334" t="s">
        <v>47</v>
      </c>
      <c r="W1334" s="3">
        <v>39448</v>
      </c>
      <c r="X1334" s="5" t="s">
        <v>50</v>
      </c>
      <c r="Y1334" s="5" t="s">
        <v>788</v>
      </c>
      <c r="Z1334" s="3">
        <v>39448</v>
      </c>
      <c r="AA1334" s="5" t="s">
        <v>50</v>
      </c>
      <c r="AB1334" s="5" t="s">
        <v>788</v>
      </c>
      <c r="AC1334" s="3">
        <v>39448</v>
      </c>
      <c r="AD1334" s="5" t="s">
        <v>50</v>
      </c>
      <c r="AE1334" s="5" t="s">
        <v>788</v>
      </c>
      <c r="AF1334" t="s">
        <v>47</v>
      </c>
      <c r="AG1334" t="s">
        <v>47</v>
      </c>
      <c r="AH1334" t="s">
        <v>47</v>
      </c>
      <c r="AI1334" t="s">
        <v>47</v>
      </c>
      <c r="AJ1334" t="s">
        <v>47</v>
      </c>
      <c r="AK1334" t="s">
        <v>47</v>
      </c>
      <c r="AL1334" t="s">
        <v>47</v>
      </c>
      <c r="AM1334" t="s">
        <v>47</v>
      </c>
      <c r="AN1334" t="s">
        <v>47</v>
      </c>
      <c r="AO1334" s="5" t="s">
        <v>60</v>
      </c>
      <c r="AP1334" s="4" t="s">
        <v>61</v>
      </c>
      <c r="AQ1334" s="4" t="s">
        <v>53</v>
      </c>
      <c r="AR1334" s="4" t="s">
        <v>54</v>
      </c>
      <c r="AS1334" s="5">
        <v>44154</v>
      </c>
      <c r="AT1334" t="s">
        <v>47</v>
      </c>
    </row>
    <row r="1335" spans="1:46" ht="13" x14ac:dyDescent="0.3">
      <c r="A1335" s="4" t="s">
        <v>5153</v>
      </c>
      <c r="B1335" t="s">
        <v>47</v>
      </c>
      <c r="C1335" s="4" t="s">
        <v>5154</v>
      </c>
      <c r="D1335" s="4" t="s">
        <v>5155</v>
      </c>
      <c r="E1335" s="4" t="s">
        <v>49</v>
      </c>
      <c r="F1335" s="5" t="s">
        <v>5156</v>
      </c>
      <c r="G1335" s="5" t="s">
        <v>5157</v>
      </c>
      <c r="H1335" t="s">
        <v>47</v>
      </c>
      <c r="I1335" s="3">
        <v>32050</v>
      </c>
      <c r="J1335" s="5" t="s">
        <v>50</v>
      </c>
      <c r="K1335" t="s">
        <v>47</v>
      </c>
      <c r="L1335" s="5" t="s">
        <v>60</v>
      </c>
      <c r="M1335" s="3">
        <v>32050</v>
      </c>
      <c r="N1335" s="5" t="s">
        <v>50</v>
      </c>
      <c r="O1335" t="s">
        <v>47</v>
      </c>
      <c r="P1335" t="s">
        <v>47</v>
      </c>
      <c r="Q1335" t="s">
        <v>47</v>
      </c>
      <c r="R1335" t="s">
        <v>47</v>
      </c>
      <c r="S1335" t="s">
        <v>47</v>
      </c>
      <c r="T1335" t="s">
        <v>47</v>
      </c>
      <c r="U1335" t="s">
        <v>47</v>
      </c>
      <c r="V1335" t="s">
        <v>47</v>
      </c>
      <c r="W1335" s="3">
        <v>32050</v>
      </c>
      <c r="X1335" s="5" t="s">
        <v>50</v>
      </c>
      <c r="Y1335" t="s">
        <v>47</v>
      </c>
      <c r="Z1335" s="3">
        <v>32050</v>
      </c>
      <c r="AA1335" s="5" t="s">
        <v>50</v>
      </c>
      <c r="AB1335" t="s">
        <v>47</v>
      </c>
      <c r="AC1335" s="3">
        <v>32050</v>
      </c>
      <c r="AD1335" s="5" t="s">
        <v>50</v>
      </c>
      <c r="AE1335" s="5" t="s">
        <v>5158</v>
      </c>
      <c r="AF1335" t="s">
        <v>47</v>
      </c>
      <c r="AG1335" t="s">
        <v>47</v>
      </c>
      <c r="AH1335" t="s">
        <v>47</v>
      </c>
      <c r="AI1335" t="s">
        <v>47</v>
      </c>
      <c r="AJ1335" t="s">
        <v>47</v>
      </c>
      <c r="AK1335" t="s">
        <v>47</v>
      </c>
      <c r="AL1335" t="s">
        <v>47</v>
      </c>
      <c r="AM1335" t="s">
        <v>47</v>
      </c>
      <c r="AN1335" t="s">
        <v>47</v>
      </c>
      <c r="AO1335" s="5" t="s">
        <v>60</v>
      </c>
      <c r="AP1335" s="4" t="s">
        <v>61</v>
      </c>
      <c r="AQ1335" s="4" t="s">
        <v>53</v>
      </c>
      <c r="AR1335" s="4" t="s">
        <v>54</v>
      </c>
      <c r="AS1335" s="5">
        <v>46720</v>
      </c>
      <c r="AT1335" t="s">
        <v>47</v>
      </c>
    </row>
    <row r="1336" spans="1:46" ht="91" x14ac:dyDescent="0.3">
      <c r="A1336" s="4" t="s">
        <v>5159</v>
      </c>
      <c r="B1336" t="s">
        <v>47</v>
      </c>
      <c r="C1336" s="4" t="s">
        <v>397</v>
      </c>
      <c r="D1336" s="4" t="s">
        <v>612</v>
      </c>
      <c r="E1336" s="4" t="s">
        <v>66</v>
      </c>
      <c r="F1336" s="5" t="s">
        <v>5160</v>
      </c>
      <c r="G1336" s="5" t="s">
        <v>5161</v>
      </c>
      <c r="H1336" t="s">
        <v>47</v>
      </c>
      <c r="I1336" s="3">
        <v>37012</v>
      </c>
      <c r="J1336" s="5" t="s">
        <v>50</v>
      </c>
      <c r="K1336" t="s">
        <v>47</v>
      </c>
      <c r="L1336" s="5" t="s">
        <v>60</v>
      </c>
      <c r="M1336" s="3">
        <v>39814</v>
      </c>
      <c r="N1336" s="5" t="s">
        <v>50</v>
      </c>
      <c r="O1336" t="s">
        <v>47</v>
      </c>
      <c r="P1336" s="3">
        <v>37012</v>
      </c>
      <c r="Q1336" s="5" t="s">
        <v>50</v>
      </c>
      <c r="R1336" t="s">
        <v>47</v>
      </c>
      <c r="S1336" t="s">
        <v>47</v>
      </c>
      <c r="T1336" t="s">
        <v>47</v>
      </c>
      <c r="U1336" t="s">
        <v>47</v>
      </c>
      <c r="V1336" s="5">
        <v>365</v>
      </c>
      <c r="W1336" s="3">
        <v>37012</v>
      </c>
      <c r="X1336" s="5" t="s">
        <v>50</v>
      </c>
      <c r="Y1336" t="s">
        <v>47</v>
      </c>
      <c r="Z1336" s="3">
        <v>37012</v>
      </c>
      <c r="AA1336" s="5" t="s">
        <v>50</v>
      </c>
      <c r="AB1336" t="s">
        <v>47</v>
      </c>
      <c r="AC1336" s="3">
        <v>37012</v>
      </c>
      <c r="AD1336" s="5" t="s">
        <v>50</v>
      </c>
      <c r="AE1336" t="s">
        <v>47</v>
      </c>
      <c r="AF1336" t="s">
        <v>47</v>
      </c>
      <c r="AG1336" t="s">
        <v>47</v>
      </c>
      <c r="AH1336" t="s">
        <v>47</v>
      </c>
      <c r="AI1336" t="s">
        <v>47</v>
      </c>
      <c r="AJ1336" t="s">
        <v>47</v>
      </c>
      <c r="AK1336" t="s">
        <v>47</v>
      </c>
      <c r="AL1336" t="s">
        <v>47</v>
      </c>
      <c r="AM1336" t="s">
        <v>47</v>
      </c>
      <c r="AN1336" t="s">
        <v>47</v>
      </c>
      <c r="AO1336" s="5" t="s">
        <v>60</v>
      </c>
      <c r="AP1336" s="4" t="s">
        <v>61</v>
      </c>
      <c r="AQ1336" s="4" t="s">
        <v>53</v>
      </c>
      <c r="AR1336" s="4" t="s">
        <v>5162</v>
      </c>
      <c r="AS1336" s="5">
        <v>43616</v>
      </c>
      <c r="AT1336" t="s">
        <v>47</v>
      </c>
    </row>
    <row r="1337" spans="1:46" ht="65" x14ac:dyDescent="0.3">
      <c r="A1337" s="4" t="s">
        <v>5163</v>
      </c>
      <c r="B1337" t="s">
        <v>47</v>
      </c>
      <c r="C1337" s="4" t="s">
        <v>1036</v>
      </c>
      <c r="D1337" s="4" t="s">
        <v>1037</v>
      </c>
      <c r="E1337" s="4" t="s">
        <v>49</v>
      </c>
      <c r="F1337" s="5" t="s">
        <v>5164</v>
      </c>
      <c r="G1337" t="s">
        <v>47</v>
      </c>
      <c r="H1337" t="s">
        <v>47</v>
      </c>
      <c r="I1337" t="s">
        <v>47</v>
      </c>
      <c r="J1337" t="s">
        <v>47</v>
      </c>
      <c r="K1337" t="s">
        <v>47</v>
      </c>
      <c r="L1337" s="5" t="s">
        <v>51</v>
      </c>
      <c r="M1337" t="s">
        <v>47</v>
      </c>
      <c r="N1337" t="s">
        <v>47</v>
      </c>
      <c r="O1337" t="s">
        <v>47</v>
      </c>
      <c r="P1337" t="s">
        <v>47</v>
      </c>
      <c r="Q1337" t="s">
        <v>47</v>
      </c>
      <c r="R1337" t="s">
        <v>47</v>
      </c>
      <c r="S1337" t="s">
        <v>47</v>
      </c>
      <c r="T1337" t="s">
        <v>47</v>
      </c>
      <c r="U1337" t="s">
        <v>47</v>
      </c>
      <c r="V1337" t="s">
        <v>47</v>
      </c>
      <c r="W1337" s="3">
        <v>37750</v>
      </c>
      <c r="X1337" s="3">
        <v>41030</v>
      </c>
      <c r="Y1337" t="s">
        <v>47</v>
      </c>
      <c r="Z1337" s="3">
        <v>37750</v>
      </c>
      <c r="AA1337" s="3">
        <v>41030</v>
      </c>
      <c r="AB1337" t="s">
        <v>47</v>
      </c>
      <c r="AC1337" s="3">
        <v>38954</v>
      </c>
      <c r="AD1337" s="3">
        <v>41030</v>
      </c>
      <c r="AE1337" t="s">
        <v>47</v>
      </c>
      <c r="AF1337" t="s">
        <v>47</v>
      </c>
      <c r="AG1337" t="s">
        <v>47</v>
      </c>
      <c r="AH1337" t="s">
        <v>47</v>
      </c>
      <c r="AI1337" t="s">
        <v>47</v>
      </c>
      <c r="AJ1337" t="s">
        <v>47</v>
      </c>
      <c r="AK1337" t="s">
        <v>47</v>
      </c>
      <c r="AL1337" t="s">
        <v>47</v>
      </c>
      <c r="AM1337" t="s">
        <v>47</v>
      </c>
      <c r="AN1337" t="s">
        <v>47</v>
      </c>
      <c r="AO1337" s="5" t="s">
        <v>51</v>
      </c>
      <c r="AP1337" s="4" t="s">
        <v>135</v>
      </c>
      <c r="AQ1337" s="4" t="s">
        <v>53</v>
      </c>
      <c r="AR1337" s="4" t="s">
        <v>4303</v>
      </c>
      <c r="AS1337" s="5">
        <v>41213</v>
      </c>
      <c r="AT1337" t="s">
        <v>47</v>
      </c>
    </row>
    <row r="1338" spans="1:46" ht="39" x14ac:dyDescent="0.3">
      <c r="A1338" s="4" t="s">
        <v>5165</v>
      </c>
      <c r="B1338" t="s">
        <v>47</v>
      </c>
      <c r="C1338" s="4" t="s">
        <v>5166</v>
      </c>
      <c r="D1338" s="4" t="s">
        <v>4176</v>
      </c>
      <c r="E1338" s="4" t="s">
        <v>1933</v>
      </c>
      <c r="F1338" s="5" t="s">
        <v>5167</v>
      </c>
      <c r="G1338" s="5" t="s">
        <v>5168</v>
      </c>
      <c r="H1338" t="s">
        <v>47</v>
      </c>
      <c r="I1338" s="3">
        <v>40909</v>
      </c>
      <c r="J1338" s="5" t="s">
        <v>50</v>
      </c>
      <c r="K1338" t="s">
        <v>47</v>
      </c>
      <c r="L1338" s="5" t="s">
        <v>60</v>
      </c>
      <c r="M1338" s="3">
        <v>40909</v>
      </c>
      <c r="N1338" s="5" t="s">
        <v>50</v>
      </c>
      <c r="O1338" t="s">
        <v>47</v>
      </c>
      <c r="P1338" s="3">
        <v>40909</v>
      </c>
      <c r="Q1338" s="5" t="s">
        <v>50</v>
      </c>
      <c r="R1338" t="s">
        <v>47</v>
      </c>
      <c r="S1338" t="s">
        <v>47</v>
      </c>
      <c r="T1338" t="s">
        <v>47</v>
      </c>
      <c r="U1338" t="s">
        <v>47</v>
      </c>
      <c r="V1338" t="s">
        <v>47</v>
      </c>
      <c r="W1338" s="3">
        <v>40909</v>
      </c>
      <c r="X1338" s="5" t="s">
        <v>50</v>
      </c>
      <c r="Y1338" t="s">
        <v>47</v>
      </c>
      <c r="Z1338" s="3">
        <v>40909</v>
      </c>
      <c r="AA1338" s="5" t="s">
        <v>50</v>
      </c>
      <c r="AB1338" t="s">
        <v>47</v>
      </c>
      <c r="AC1338" s="3">
        <v>40909</v>
      </c>
      <c r="AD1338" s="5" t="s">
        <v>50</v>
      </c>
      <c r="AE1338" t="s">
        <v>47</v>
      </c>
      <c r="AF1338" t="s">
        <v>47</v>
      </c>
      <c r="AG1338" t="s">
        <v>47</v>
      </c>
      <c r="AH1338" t="s">
        <v>47</v>
      </c>
      <c r="AI1338" t="s">
        <v>47</v>
      </c>
      <c r="AJ1338" t="s">
        <v>47</v>
      </c>
      <c r="AK1338" t="s">
        <v>47</v>
      </c>
      <c r="AL1338" t="s">
        <v>47</v>
      </c>
      <c r="AM1338" t="s">
        <v>47</v>
      </c>
      <c r="AN1338" t="s">
        <v>47</v>
      </c>
      <c r="AO1338" s="5" t="s">
        <v>60</v>
      </c>
      <c r="AP1338" s="4" t="s">
        <v>61</v>
      </c>
      <c r="AQ1338" s="4" t="s">
        <v>53</v>
      </c>
      <c r="AR1338" s="4" t="s">
        <v>1548</v>
      </c>
      <c r="AS1338" s="5">
        <v>1796348</v>
      </c>
      <c r="AT1338" t="s">
        <v>47</v>
      </c>
    </row>
    <row r="1339" spans="1:46" ht="104" x14ac:dyDescent="0.3">
      <c r="A1339" s="4" t="s">
        <v>5169</v>
      </c>
      <c r="B1339" t="s">
        <v>47</v>
      </c>
      <c r="C1339" s="4" t="s">
        <v>169</v>
      </c>
      <c r="D1339" s="4" t="s">
        <v>339</v>
      </c>
      <c r="E1339" s="4" t="s">
        <v>66</v>
      </c>
      <c r="F1339" s="5" t="s">
        <v>5170</v>
      </c>
      <c r="G1339" s="5" t="s">
        <v>5171</v>
      </c>
      <c r="H1339" t="s">
        <v>47</v>
      </c>
      <c r="I1339" t="s">
        <v>47</v>
      </c>
      <c r="J1339" t="s">
        <v>47</v>
      </c>
      <c r="K1339" t="s">
        <v>47</v>
      </c>
      <c r="L1339" s="5" t="s">
        <v>60</v>
      </c>
      <c r="M1339" t="s">
        <v>47</v>
      </c>
      <c r="N1339" t="s">
        <v>47</v>
      </c>
      <c r="O1339" t="s">
        <v>47</v>
      </c>
      <c r="P1339" t="s">
        <v>47</v>
      </c>
      <c r="Q1339" t="s">
        <v>47</v>
      </c>
      <c r="R1339" t="s">
        <v>47</v>
      </c>
      <c r="S1339" t="s">
        <v>47</v>
      </c>
      <c r="T1339" t="s">
        <v>47</v>
      </c>
      <c r="U1339" t="s">
        <v>47</v>
      </c>
      <c r="V1339" t="s">
        <v>47</v>
      </c>
      <c r="W1339" s="3">
        <v>40179</v>
      </c>
      <c r="X1339" s="5" t="s">
        <v>50</v>
      </c>
      <c r="Y1339" t="s">
        <v>47</v>
      </c>
      <c r="Z1339" s="3">
        <v>40179</v>
      </c>
      <c r="AA1339" s="5" t="s">
        <v>50</v>
      </c>
      <c r="AB1339" t="s">
        <v>47</v>
      </c>
      <c r="AC1339" s="3">
        <v>40179</v>
      </c>
      <c r="AD1339" s="5" t="s">
        <v>50</v>
      </c>
      <c r="AE1339" t="s">
        <v>47</v>
      </c>
      <c r="AF1339" t="s">
        <v>47</v>
      </c>
      <c r="AG1339" t="s">
        <v>47</v>
      </c>
      <c r="AH1339" t="s">
        <v>47</v>
      </c>
      <c r="AI1339" t="s">
        <v>47</v>
      </c>
      <c r="AJ1339" t="s">
        <v>47</v>
      </c>
      <c r="AK1339" t="s">
        <v>47</v>
      </c>
      <c r="AL1339" t="s">
        <v>47</v>
      </c>
      <c r="AM1339" t="s">
        <v>47</v>
      </c>
      <c r="AN1339" t="s">
        <v>47</v>
      </c>
      <c r="AO1339" s="5" t="s">
        <v>60</v>
      </c>
      <c r="AP1339" s="4" t="s">
        <v>61</v>
      </c>
      <c r="AQ1339" s="4" t="s">
        <v>53</v>
      </c>
      <c r="AR1339" s="4" t="s">
        <v>5172</v>
      </c>
      <c r="AS1339" s="5">
        <v>426794</v>
      </c>
      <c r="AT1339" t="s">
        <v>47</v>
      </c>
    </row>
    <row r="1340" spans="1:46" ht="78" x14ac:dyDescent="0.3">
      <c r="A1340" s="4" t="s">
        <v>5173</v>
      </c>
      <c r="B1340" t="s">
        <v>47</v>
      </c>
      <c r="C1340" s="4" t="s">
        <v>5174</v>
      </c>
      <c r="D1340" s="4" t="s">
        <v>5175</v>
      </c>
      <c r="E1340" s="4" t="s">
        <v>49</v>
      </c>
      <c r="F1340" s="5" t="s">
        <v>5176</v>
      </c>
      <c r="G1340" t="s">
        <v>47</v>
      </c>
      <c r="H1340" t="s">
        <v>47</v>
      </c>
      <c r="I1340" s="3">
        <v>36161</v>
      </c>
      <c r="J1340" s="3">
        <v>41365</v>
      </c>
      <c r="K1340" t="s">
        <v>47</v>
      </c>
      <c r="L1340" s="5" t="s">
        <v>60</v>
      </c>
      <c r="M1340" s="3">
        <v>36161</v>
      </c>
      <c r="N1340" s="3">
        <v>41365</v>
      </c>
      <c r="O1340" t="s">
        <v>47</v>
      </c>
      <c r="P1340" s="3">
        <v>36161</v>
      </c>
      <c r="Q1340" s="3">
        <v>41365</v>
      </c>
      <c r="R1340" t="s">
        <v>47</v>
      </c>
      <c r="S1340" t="s">
        <v>47</v>
      </c>
      <c r="T1340" t="s">
        <v>47</v>
      </c>
      <c r="U1340" t="s">
        <v>47</v>
      </c>
      <c r="V1340" t="s">
        <v>47</v>
      </c>
      <c r="W1340" s="3">
        <v>36161</v>
      </c>
      <c r="X1340" s="3">
        <v>41365</v>
      </c>
      <c r="Y1340" t="s">
        <v>47</v>
      </c>
      <c r="Z1340" s="3">
        <v>36161</v>
      </c>
      <c r="AA1340" s="3">
        <v>41365</v>
      </c>
      <c r="AB1340" t="s">
        <v>47</v>
      </c>
      <c r="AC1340" s="3">
        <v>36161</v>
      </c>
      <c r="AD1340" s="3">
        <v>41365</v>
      </c>
      <c r="AE1340" t="s">
        <v>47</v>
      </c>
      <c r="AF1340" t="s">
        <v>47</v>
      </c>
      <c r="AG1340" t="s">
        <v>47</v>
      </c>
      <c r="AH1340" t="s">
        <v>47</v>
      </c>
      <c r="AI1340" t="s">
        <v>47</v>
      </c>
      <c r="AJ1340" t="s">
        <v>47</v>
      </c>
      <c r="AK1340" t="s">
        <v>47</v>
      </c>
      <c r="AL1340" t="s">
        <v>47</v>
      </c>
      <c r="AM1340" t="s">
        <v>47</v>
      </c>
      <c r="AN1340" t="s">
        <v>47</v>
      </c>
      <c r="AO1340" s="5" t="s">
        <v>60</v>
      </c>
      <c r="AP1340" s="4" t="s">
        <v>61</v>
      </c>
      <c r="AQ1340" s="4" t="s">
        <v>53</v>
      </c>
      <c r="AR1340" s="4" t="s">
        <v>436</v>
      </c>
      <c r="AS1340" s="5">
        <v>47363</v>
      </c>
      <c r="AT1340" t="s">
        <v>47</v>
      </c>
    </row>
    <row r="1341" spans="1:46" ht="78" x14ac:dyDescent="0.3">
      <c r="A1341" s="4" t="s">
        <v>5177</v>
      </c>
      <c r="B1341" t="s">
        <v>47</v>
      </c>
      <c r="C1341" s="4" t="s">
        <v>5174</v>
      </c>
      <c r="D1341" s="4" t="s">
        <v>5175</v>
      </c>
      <c r="E1341" s="4" t="s">
        <v>49</v>
      </c>
      <c r="F1341" t="s">
        <v>47</v>
      </c>
      <c r="G1341" s="5" t="s">
        <v>5178</v>
      </c>
      <c r="H1341" t="s">
        <v>47</v>
      </c>
      <c r="I1341" s="3">
        <v>41518</v>
      </c>
      <c r="J1341" s="5" t="s">
        <v>50</v>
      </c>
      <c r="K1341" t="s">
        <v>47</v>
      </c>
      <c r="L1341" s="5" t="s">
        <v>60</v>
      </c>
      <c r="M1341" s="3">
        <v>41518</v>
      </c>
      <c r="N1341" s="3">
        <v>43831</v>
      </c>
      <c r="O1341" t="s">
        <v>47</v>
      </c>
      <c r="P1341" s="3">
        <v>41518</v>
      </c>
      <c r="Q1341" s="5" t="s">
        <v>50</v>
      </c>
      <c r="R1341" t="s">
        <v>47</v>
      </c>
      <c r="S1341" t="s">
        <v>47</v>
      </c>
      <c r="T1341" t="s">
        <v>47</v>
      </c>
      <c r="U1341" t="s">
        <v>47</v>
      </c>
      <c r="V1341" t="s">
        <v>47</v>
      </c>
      <c r="W1341" s="3">
        <v>41518</v>
      </c>
      <c r="X1341" s="5" t="s">
        <v>50</v>
      </c>
      <c r="Y1341" t="s">
        <v>47</v>
      </c>
      <c r="Z1341" s="3">
        <v>41518</v>
      </c>
      <c r="AA1341" s="5" t="s">
        <v>50</v>
      </c>
      <c r="AB1341" t="s">
        <v>47</v>
      </c>
      <c r="AC1341" s="3">
        <v>41518</v>
      </c>
      <c r="AD1341" s="5" t="s">
        <v>50</v>
      </c>
      <c r="AE1341" t="s">
        <v>47</v>
      </c>
      <c r="AF1341" t="s">
        <v>47</v>
      </c>
      <c r="AG1341" t="s">
        <v>47</v>
      </c>
      <c r="AH1341" t="s">
        <v>47</v>
      </c>
      <c r="AI1341" t="s">
        <v>47</v>
      </c>
      <c r="AJ1341" t="s">
        <v>47</v>
      </c>
      <c r="AK1341" t="s">
        <v>47</v>
      </c>
      <c r="AL1341" t="s">
        <v>47</v>
      </c>
      <c r="AM1341" t="s">
        <v>47</v>
      </c>
      <c r="AN1341" t="s">
        <v>47</v>
      </c>
      <c r="AO1341" s="5" t="s">
        <v>60</v>
      </c>
      <c r="AP1341" s="4" t="s">
        <v>61</v>
      </c>
      <c r="AQ1341" s="4" t="s">
        <v>53</v>
      </c>
      <c r="AR1341" s="4" t="s">
        <v>436</v>
      </c>
      <c r="AS1341" s="5">
        <v>2032743</v>
      </c>
      <c r="AT1341" t="s">
        <v>47</v>
      </c>
    </row>
    <row r="1342" spans="1:46" ht="26" x14ac:dyDescent="0.3">
      <c r="A1342" s="4" t="s">
        <v>5179</v>
      </c>
      <c r="B1342" t="s">
        <v>47</v>
      </c>
      <c r="C1342" s="4" t="s">
        <v>169</v>
      </c>
      <c r="D1342" s="4" t="s">
        <v>319</v>
      </c>
      <c r="E1342" s="4" t="s">
        <v>66</v>
      </c>
      <c r="F1342" s="5" t="s">
        <v>5180</v>
      </c>
      <c r="G1342" s="5" t="s">
        <v>5181</v>
      </c>
      <c r="H1342" t="s">
        <v>47</v>
      </c>
      <c r="I1342" t="s">
        <v>47</v>
      </c>
      <c r="J1342" t="s">
        <v>47</v>
      </c>
      <c r="K1342" t="s">
        <v>47</v>
      </c>
      <c r="L1342" s="5" t="s">
        <v>60</v>
      </c>
      <c r="M1342" t="s">
        <v>47</v>
      </c>
      <c r="N1342" t="s">
        <v>47</v>
      </c>
      <c r="O1342" t="s">
        <v>47</v>
      </c>
      <c r="P1342" t="s">
        <v>47</v>
      </c>
      <c r="Q1342" t="s">
        <v>47</v>
      </c>
      <c r="R1342" t="s">
        <v>47</v>
      </c>
      <c r="S1342" t="s">
        <v>47</v>
      </c>
      <c r="T1342" t="s">
        <v>47</v>
      </c>
      <c r="U1342" t="s">
        <v>47</v>
      </c>
      <c r="V1342" t="s">
        <v>47</v>
      </c>
      <c r="W1342" s="3">
        <v>42370</v>
      </c>
      <c r="X1342" s="5" t="s">
        <v>50</v>
      </c>
      <c r="Y1342" s="5" t="s">
        <v>3148</v>
      </c>
      <c r="Z1342" s="3">
        <v>42370</v>
      </c>
      <c r="AA1342" s="5" t="s">
        <v>50</v>
      </c>
      <c r="AB1342" s="5" t="s">
        <v>3148</v>
      </c>
      <c r="AC1342" s="3">
        <v>42370</v>
      </c>
      <c r="AD1342" s="5" t="s">
        <v>50</v>
      </c>
      <c r="AE1342" s="5" t="s">
        <v>3148</v>
      </c>
      <c r="AF1342" t="s">
        <v>47</v>
      </c>
      <c r="AG1342" t="s">
        <v>47</v>
      </c>
      <c r="AH1342" t="s">
        <v>47</v>
      </c>
      <c r="AI1342" t="s">
        <v>47</v>
      </c>
      <c r="AJ1342" t="s">
        <v>47</v>
      </c>
      <c r="AK1342" t="s">
        <v>47</v>
      </c>
      <c r="AL1342" t="s">
        <v>47</v>
      </c>
      <c r="AM1342" t="s">
        <v>47</v>
      </c>
      <c r="AN1342" t="s">
        <v>47</v>
      </c>
      <c r="AO1342" s="5" t="s">
        <v>60</v>
      </c>
      <c r="AP1342" s="4" t="s">
        <v>61</v>
      </c>
      <c r="AQ1342" s="4" t="s">
        <v>53</v>
      </c>
      <c r="AR1342" s="4" t="s">
        <v>807</v>
      </c>
      <c r="AS1342" s="5">
        <v>2037968</v>
      </c>
      <c r="AT1342" t="s">
        <v>47</v>
      </c>
    </row>
    <row r="1343" spans="1:46" ht="26" x14ac:dyDescent="0.3">
      <c r="A1343" s="4" t="s">
        <v>5182</v>
      </c>
      <c r="B1343" t="s">
        <v>47</v>
      </c>
      <c r="C1343" s="4" t="s">
        <v>200</v>
      </c>
      <c r="D1343" s="4" t="s">
        <v>4423</v>
      </c>
      <c r="E1343" s="4" t="s">
        <v>66</v>
      </c>
      <c r="F1343" s="5" t="s">
        <v>5183</v>
      </c>
      <c r="G1343" s="5" t="s">
        <v>5184</v>
      </c>
      <c r="H1343" t="s">
        <v>47</v>
      </c>
      <c r="I1343" s="3">
        <v>35431</v>
      </c>
      <c r="J1343" s="3">
        <v>40878</v>
      </c>
      <c r="K1343" t="s">
        <v>47</v>
      </c>
      <c r="L1343" s="5" t="s">
        <v>60</v>
      </c>
      <c r="M1343" s="3">
        <v>35431</v>
      </c>
      <c r="N1343" s="3">
        <v>40878</v>
      </c>
      <c r="O1343" t="s">
        <v>47</v>
      </c>
      <c r="P1343" s="3">
        <v>35431</v>
      </c>
      <c r="Q1343" s="3">
        <v>40878</v>
      </c>
      <c r="R1343" t="s">
        <v>47</v>
      </c>
      <c r="S1343" t="s">
        <v>47</v>
      </c>
      <c r="T1343" t="s">
        <v>47</v>
      </c>
      <c r="U1343" t="s">
        <v>47</v>
      </c>
      <c r="V1343" t="s">
        <v>47</v>
      </c>
      <c r="W1343" s="3">
        <v>35431</v>
      </c>
      <c r="X1343" s="5" t="s">
        <v>50</v>
      </c>
      <c r="Y1343" t="s">
        <v>47</v>
      </c>
      <c r="Z1343" s="3">
        <v>35431</v>
      </c>
      <c r="AA1343" s="5" t="s">
        <v>50</v>
      </c>
      <c r="AB1343" t="s">
        <v>47</v>
      </c>
      <c r="AC1343" s="3">
        <v>35431</v>
      </c>
      <c r="AD1343" s="5" t="s">
        <v>50</v>
      </c>
      <c r="AE1343" t="s">
        <v>47</v>
      </c>
      <c r="AF1343" t="s">
        <v>47</v>
      </c>
      <c r="AG1343" t="s">
        <v>47</v>
      </c>
      <c r="AH1343" t="s">
        <v>47</v>
      </c>
      <c r="AI1343" t="s">
        <v>47</v>
      </c>
      <c r="AJ1343" t="s">
        <v>47</v>
      </c>
      <c r="AK1343" t="s">
        <v>47</v>
      </c>
      <c r="AL1343" t="s">
        <v>47</v>
      </c>
      <c r="AM1343" t="s">
        <v>47</v>
      </c>
      <c r="AN1343" t="s">
        <v>47</v>
      </c>
      <c r="AO1343" s="5" t="s">
        <v>60</v>
      </c>
      <c r="AP1343" s="4" t="s">
        <v>61</v>
      </c>
      <c r="AQ1343" s="4" t="s">
        <v>53</v>
      </c>
      <c r="AR1343" s="4" t="s">
        <v>737</v>
      </c>
      <c r="AS1343" s="5">
        <v>577</v>
      </c>
      <c r="AT1343" t="s">
        <v>47</v>
      </c>
    </row>
    <row r="1344" spans="1:46" ht="91" x14ac:dyDescent="0.3">
      <c r="A1344" s="4" t="s">
        <v>5185</v>
      </c>
      <c r="B1344" t="s">
        <v>47</v>
      </c>
      <c r="C1344" s="4" t="s">
        <v>200</v>
      </c>
      <c r="D1344" s="4" t="s">
        <v>4423</v>
      </c>
      <c r="E1344" s="4" t="s">
        <v>66</v>
      </c>
      <c r="F1344" s="5" t="s">
        <v>5186</v>
      </c>
      <c r="G1344" s="5" t="s">
        <v>5187</v>
      </c>
      <c r="H1344" t="s">
        <v>47</v>
      </c>
      <c r="I1344" s="3">
        <v>32143</v>
      </c>
      <c r="J1344" s="3">
        <v>40664</v>
      </c>
      <c r="K1344" t="s">
        <v>47</v>
      </c>
      <c r="L1344" s="5" t="s">
        <v>60</v>
      </c>
      <c r="M1344" s="3">
        <v>34366</v>
      </c>
      <c r="N1344" s="3">
        <v>40664</v>
      </c>
      <c r="O1344" t="s">
        <v>47</v>
      </c>
      <c r="P1344" s="3">
        <v>32143</v>
      </c>
      <c r="Q1344" s="3">
        <v>40664</v>
      </c>
      <c r="R1344" t="s">
        <v>47</v>
      </c>
      <c r="S1344" t="s">
        <v>47</v>
      </c>
      <c r="T1344" t="s">
        <v>47</v>
      </c>
      <c r="U1344" t="s">
        <v>47</v>
      </c>
      <c r="V1344" t="s">
        <v>47</v>
      </c>
      <c r="W1344" s="3">
        <v>32143</v>
      </c>
      <c r="X1344" s="5" t="s">
        <v>50</v>
      </c>
      <c r="Y1344" t="s">
        <v>47</v>
      </c>
      <c r="Z1344" s="3">
        <v>32143</v>
      </c>
      <c r="AA1344" s="5" t="s">
        <v>50</v>
      </c>
      <c r="AB1344" t="s">
        <v>47</v>
      </c>
      <c r="AC1344" s="3">
        <v>32143</v>
      </c>
      <c r="AD1344" s="5" t="s">
        <v>50</v>
      </c>
      <c r="AE1344" t="s">
        <v>47</v>
      </c>
      <c r="AF1344" t="s">
        <v>47</v>
      </c>
      <c r="AG1344" t="s">
        <v>47</v>
      </c>
      <c r="AH1344" t="s">
        <v>47</v>
      </c>
      <c r="AI1344" t="s">
        <v>47</v>
      </c>
      <c r="AJ1344" t="s">
        <v>47</v>
      </c>
      <c r="AK1344" t="s">
        <v>47</v>
      </c>
      <c r="AL1344" t="s">
        <v>47</v>
      </c>
      <c r="AM1344" t="s">
        <v>47</v>
      </c>
      <c r="AN1344" t="s">
        <v>47</v>
      </c>
      <c r="AO1344" s="5" t="s">
        <v>60</v>
      </c>
      <c r="AP1344" s="4" t="s">
        <v>61</v>
      </c>
      <c r="AQ1344" s="4" t="s">
        <v>53</v>
      </c>
      <c r="AR1344" s="4" t="s">
        <v>2036</v>
      </c>
      <c r="AS1344" s="5">
        <v>41358</v>
      </c>
      <c r="AT1344" t="s">
        <v>47</v>
      </c>
    </row>
    <row r="1345" spans="1:46" ht="91" x14ac:dyDescent="0.3">
      <c r="A1345" s="4" t="s">
        <v>5188</v>
      </c>
      <c r="B1345" t="s">
        <v>47</v>
      </c>
      <c r="C1345" s="4" t="s">
        <v>122</v>
      </c>
      <c r="D1345" s="4" t="s">
        <v>206</v>
      </c>
      <c r="E1345" s="4" t="s">
        <v>123</v>
      </c>
      <c r="F1345" s="5" t="s">
        <v>5189</v>
      </c>
      <c r="G1345" s="5" t="s">
        <v>5190</v>
      </c>
      <c r="H1345" t="s">
        <v>47</v>
      </c>
      <c r="I1345" s="3">
        <v>35462</v>
      </c>
      <c r="J1345" s="5" t="s">
        <v>50</v>
      </c>
      <c r="K1345" t="s">
        <v>47</v>
      </c>
      <c r="L1345" s="5" t="s">
        <v>60</v>
      </c>
      <c r="M1345" s="3">
        <v>38018</v>
      </c>
      <c r="N1345" s="3">
        <v>42856</v>
      </c>
      <c r="O1345" t="s">
        <v>47</v>
      </c>
      <c r="P1345" s="3">
        <v>35462</v>
      </c>
      <c r="Q1345" s="5" t="s">
        <v>50</v>
      </c>
      <c r="R1345" t="s">
        <v>47</v>
      </c>
      <c r="S1345" t="s">
        <v>47</v>
      </c>
      <c r="T1345" t="s">
        <v>47</v>
      </c>
      <c r="U1345" t="s">
        <v>47</v>
      </c>
      <c r="V1345" s="5">
        <v>365</v>
      </c>
      <c r="W1345" s="3">
        <v>35462</v>
      </c>
      <c r="X1345" s="5" t="s">
        <v>50</v>
      </c>
      <c r="Y1345" t="s">
        <v>47</v>
      </c>
      <c r="Z1345" s="3">
        <v>35462</v>
      </c>
      <c r="AA1345" s="5" t="s">
        <v>50</v>
      </c>
      <c r="AB1345" t="s">
        <v>47</v>
      </c>
      <c r="AC1345" s="3">
        <v>35462</v>
      </c>
      <c r="AD1345" s="5" t="s">
        <v>50</v>
      </c>
      <c r="AE1345" t="s">
        <v>47</v>
      </c>
      <c r="AF1345" t="s">
        <v>47</v>
      </c>
      <c r="AG1345" t="s">
        <v>47</v>
      </c>
      <c r="AH1345" t="s">
        <v>47</v>
      </c>
      <c r="AI1345" t="s">
        <v>47</v>
      </c>
      <c r="AJ1345" t="s">
        <v>47</v>
      </c>
      <c r="AK1345" t="s">
        <v>47</v>
      </c>
      <c r="AL1345" t="s">
        <v>47</v>
      </c>
      <c r="AM1345" t="s">
        <v>47</v>
      </c>
      <c r="AN1345" t="s">
        <v>47</v>
      </c>
      <c r="AO1345" s="5" t="s">
        <v>60</v>
      </c>
      <c r="AP1345" s="4" t="s">
        <v>61</v>
      </c>
      <c r="AQ1345" s="4" t="s">
        <v>53</v>
      </c>
      <c r="AR1345" s="4" t="s">
        <v>5191</v>
      </c>
      <c r="AS1345" s="5">
        <v>326240</v>
      </c>
      <c r="AT1345" t="s">
        <v>47</v>
      </c>
    </row>
    <row r="1346" spans="1:46" ht="78" x14ac:dyDescent="0.3">
      <c r="A1346" s="4" t="s">
        <v>5192</v>
      </c>
      <c r="B1346" t="s">
        <v>47</v>
      </c>
      <c r="C1346" s="4" t="s">
        <v>5193</v>
      </c>
      <c r="D1346" s="4" t="s">
        <v>5194</v>
      </c>
      <c r="E1346" s="4" t="s">
        <v>49</v>
      </c>
      <c r="F1346" t="s">
        <v>47</v>
      </c>
      <c r="G1346" s="5" t="s">
        <v>5195</v>
      </c>
      <c r="H1346" t="s">
        <v>47</v>
      </c>
      <c r="I1346" s="3">
        <v>37347</v>
      </c>
      <c r="J1346" s="5" t="s">
        <v>50</v>
      </c>
      <c r="K1346" t="s">
        <v>47</v>
      </c>
      <c r="L1346" s="5" t="s">
        <v>60</v>
      </c>
      <c r="M1346" t="s">
        <v>47</v>
      </c>
      <c r="N1346" t="s">
        <v>47</v>
      </c>
      <c r="O1346" t="s">
        <v>47</v>
      </c>
      <c r="P1346" s="3">
        <v>37347</v>
      </c>
      <c r="Q1346" s="5" t="s">
        <v>50</v>
      </c>
      <c r="R1346" t="s">
        <v>47</v>
      </c>
      <c r="S1346" t="s">
        <v>47</v>
      </c>
      <c r="T1346" t="s">
        <v>47</v>
      </c>
      <c r="U1346" t="s">
        <v>47</v>
      </c>
      <c r="V1346" t="s">
        <v>47</v>
      </c>
      <c r="W1346" s="3">
        <v>37347</v>
      </c>
      <c r="X1346" s="5" t="s">
        <v>50</v>
      </c>
      <c r="Y1346" t="s">
        <v>47</v>
      </c>
      <c r="Z1346" s="3">
        <v>37347</v>
      </c>
      <c r="AA1346" s="5" t="s">
        <v>50</v>
      </c>
      <c r="AB1346" t="s">
        <v>47</v>
      </c>
      <c r="AC1346" s="3">
        <v>37347</v>
      </c>
      <c r="AD1346" s="5" t="s">
        <v>50</v>
      </c>
      <c r="AE1346" t="s">
        <v>47</v>
      </c>
      <c r="AF1346" t="s">
        <v>47</v>
      </c>
      <c r="AG1346" t="s">
        <v>47</v>
      </c>
      <c r="AH1346" t="s">
        <v>47</v>
      </c>
      <c r="AI1346" t="s">
        <v>47</v>
      </c>
      <c r="AJ1346" t="s">
        <v>47</v>
      </c>
      <c r="AK1346" t="s">
        <v>47</v>
      </c>
      <c r="AL1346" t="s">
        <v>47</v>
      </c>
      <c r="AM1346" t="s">
        <v>47</v>
      </c>
      <c r="AN1346" t="s">
        <v>47</v>
      </c>
      <c r="AO1346" s="5" t="s">
        <v>60</v>
      </c>
      <c r="AP1346" s="4" t="s">
        <v>61</v>
      </c>
      <c r="AQ1346" s="4" t="s">
        <v>53</v>
      </c>
      <c r="AR1346" s="4" t="s">
        <v>577</v>
      </c>
      <c r="AS1346" s="5">
        <v>2031868</v>
      </c>
      <c r="AT1346" t="s">
        <v>47</v>
      </c>
    </row>
    <row r="1347" spans="1:46" ht="52" x14ac:dyDescent="0.3">
      <c r="A1347" s="4" t="s">
        <v>5196</v>
      </c>
      <c r="B1347" t="s">
        <v>47</v>
      </c>
      <c r="C1347" s="4" t="s">
        <v>5197</v>
      </c>
      <c r="D1347" s="4" t="s">
        <v>3101</v>
      </c>
      <c r="E1347" s="4" t="s">
        <v>49</v>
      </c>
      <c r="F1347" s="5" t="s">
        <v>5198</v>
      </c>
      <c r="G1347" t="s">
        <v>47</v>
      </c>
      <c r="H1347" t="s">
        <v>47</v>
      </c>
      <c r="I1347" s="3">
        <v>35886</v>
      </c>
      <c r="J1347" s="3">
        <v>42186</v>
      </c>
      <c r="K1347" t="s">
        <v>47</v>
      </c>
      <c r="L1347" s="5" t="s">
        <v>60</v>
      </c>
      <c r="M1347" s="3">
        <v>35886</v>
      </c>
      <c r="N1347" s="3">
        <v>42186</v>
      </c>
      <c r="O1347" t="s">
        <v>47</v>
      </c>
      <c r="P1347" s="3">
        <v>35886</v>
      </c>
      <c r="Q1347" s="3">
        <v>42186</v>
      </c>
      <c r="R1347" t="s">
        <v>47</v>
      </c>
      <c r="S1347" t="s">
        <v>47</v>
      </c>
      <c r="T1347" t="s">
        <v>47</v>
      </c>
      <c r="U1347" t="s">
        <v>47</v>
      </c>
      <c r="V1347" t="s">
        <v>47</v>
      </c>
      <c r="W1347" s="3">
        <v>35886</v>
      </c>
      <c r="X1347" s="3">
        <v>42186</v>
      </c>
      <c r="Y1347" t="s">
        <v>47</v>
      </c>
      <c r="Z1347" s="3">
        <v>35886</v>
      </c>
      <c r="AA1347" s="3">
        <v>42186</v>
      </c>
      <c r="AB1347" t="s">
        <v>47</v>
      </c>
      <c r="AC1347" s="3">
        <v>36708</v>
      </c>
      <c r="AD1347" s="3">
        <v>42186</v>
      </c>
      <c r="AE1347" t="s">
        <v>47</v>
      </c>
      <c r="AF1347" t="s">
        <v>47</v>
      </c>
      <c r="AG1347" t="s">
        <v>47</v>
      </c>
      <c r="AH1347" t="s">
        <v>47</v>
      </c>
      <c r="AI1347" t="s">
        <v>47</v>
      </c>
      <c r="AJ1347" t="s">
        <v>47</v>
      </c>
      <c r="AK1347" t="s">
        <v>47</v>
      </c>
      <c r="AL1347" t="s">
        <v>47</v>
      </c>
      <c r="AM1347" t="s">
        <v>47</v>
      </c>
      <c r="AN1347" t="s">
        <v>47</v>
      </c>
      <c r="AO1347" s="5" t="s">
        <v>60</v>
      </c>
      <c r="AP1347" s="4" t="s">
        <v>61</v>
      </c>
      <c r="AQ1347" s="4" t="s">
        <v>53</v>
      </c>
      <c r="AR1347" s="4" t="s">
        <v>1093</v>
      </c>
      <c r="AS1347" s="5">
        <v>33810</v>
      </c>
      <c r="AT1347" t="s">
        <v>47</v>
      </c>
    </row>
    <row r="1348" spans="1:46" ht="39" x14ac:dyDescent="0.3">
      <c r="A1348" s="4" t="s">
        <v>5199</v>
      </c>
      <c r="B1348" t="s">
        <v>47</v>
      </c>
      <c r="C1348" s="4" t="s">
        <v>93</v>
      </c>
      <c r="D1348" s="4" t="s">
        <v>1168</v>
      </c>
      <c r="E1348" s="4" t="s">
        <v>49</v>
      </c>
      <c r="F1348" s="5" t="s">
        <v>5200</v>
      </c>
      <c r="G1348" s="5" t="s">
        <v>5201</v>
      </c>
      <c r="H1348" t="s">
        <v>47</v>
      </c>
      <c r="I1348" t="s">
        <v>47</v>
      </c>
      <c r="J1348" t="s">
        <v>47</v>
      </c>
      <c r="K1348" t="s">
        <v>47</v>
      </c>
      <c r="L1348" s="5" t="s">
        <v>60</v>
      </c>
      <c r="M1348" t="s">
        <v>47</v>
      </c>
      <c r="N1348" t="s">
        <v>47</v>
      </c>
      <c r="O1348" t="s">
        <v>47</v>
      </c>
      <c r="P1348" t="s">
        <v>47</v>
      </c>
      <c r="Q1348" t="s">
        <v>47</v>
      </c>
      <c r="R1348" t="s">
        <v>47</v>
      </c>
      <c r="S1348" t="s">
        <v>47</v>
      </c>
      <c r="T1348" t="s">
        <v>47</v>
      </c>
      <c r="U1348" t="s">
        <v>47</v>
      </c>
      <c r="V1348" t="s">
        <v>47</v>
      </c>
      <c r="W1348" s="3">
        <v>41091</v>
      </c>
      <c r="X1348" s="3">
        <v>41153</v>
      </c>
      <c r="Y1348" t="s">
        <v>47</v>
      </c>
      <c r="Z1348" s="3">
        <v>41091</v>
      </c>
      <c r="AA1348" s="3">
        <v>41153</v>
      </c>
      <c r="AB1348" t="s">
        <v>47</v>
      </c>
      <c r="AC1348" s="3">
        <v>41091</v>
      </c>
      <c r="AD1348" s="3">
        <v>41153</v>
      </c>
      <c r="AE1348" t="s">
        <v>47</v>
      </c>
      <c r="AF1348" t="s">
        <v>47</v>
      </c>
      <c r="AG1348" t="s">
        <v>47</v>
      </c>
      <c r="AH1348" t="s">
        <v>47</v>
      </c>
      <c r="AI1348" t="s">
        <v>47</v>
      </c>
      <c r="AJ1348" t="s">
        <v>47</v>
      </c>
      <c r="AK1348" t="s">
        <v>47</v>
      </c>
      <c r="AL1348" t="s">
        <v>47</v>
      </c>
      <c r="AM1348" t="s">
        <v>47</v>
      </c>
      <c r="AN1348" t="s">
        <v>47</v>
      </c>
      <c r="AO1348" s="5" t="s">
        <v>51</v>
      </c>
      <c r="AP1348" s="4" t="s">
        <v>61</v>
      </c>
      <c r="AQ1348" s="4" t="s">
        <v>53</v>
      </c>
      <c r="AR1348" s="4" t="s">
        <v>62</v>
      </c>
      <c r="AS1348" s="5">
        <v>1016427</v>
      </c>
      <c r="AT1348" t="s">
        <v>47</v>
      </c>
    </row>
    <row r="1349" spans="1:46" ht="52" x14ac:dyDescent="0.3">
      <c r="A1349" s="4" t="s">
        <v>5202</v>
      </c>
      <c r="B1349" t="s">
        <v>47</v>
      </c>
      <c r="C1349" s="4" t="s">
        <v>382</v>
      </c>
      <c r="D1349" s="4" t="s">
        <v>324</v>
      </c>
      <c r="E1349" s="4" t="s">
        <v>49</v>
      </c>
      <c r="F1349" s="5" t="s">
        <v>5203</v>
      </c>
      <c r="G1349" s="5" t="s">
        <v>5204</v>
      </c>
      <c r="H1349" t="s">
        <v>47</v>
      </c>
      <c r="I1349" s="3">
        <v>35612</v>
      </c>
      <c r="J1349" s="3">
        <v>44378</v>
      </c>
      <c r="K1349" s="5" t="s">
        <v>537</v>
      </c>
      <c r="L1349" s="5" t="s">
        <v>60</v>
      </c>
      <c r="M1349" s="3">
        <v>35612</v>
      </c>
      <c r="N1349" s="3">
        <v>44378</v>
      </c>
      <c r="O1349" s="5" t="s">
        <v>537</v>
      </c>
      <c r="P1349" s="3">
        <v>35612</v>
      </c>
      <c r="Q1349" s="3">
        <v>44378</v>
      </c>
      <c r="R1349" s="5" t="s">
        <v>537</v>
      </c>
      <c r="S1349" t="s">
        <v>47</v>
      </c>
      <c r="T1349" t="s">
        <v>47</v>
      </c>
      <c r="U1349" t="s">
        <v>47</v>
      </c>
      <c r="V1349" t="s">
        <v>47</v>
      </c>
      <c r="W1349" s="3">
        <v>32234</v>
      </c>
      <c r="X1349" s="3">
        <v>44378</v>
      </c>
      <c r="Y1349" s="5" t="s">
        <v>537</v>
      </c>
      <c r="Z1349" s="3">
        <v>32234</v>
      </c>
      <c r="AA1349" s="3">
        <v>44378</v>
      </c>
      <c r="AB1349" s="5" t="s">
        <v>537</v>
      </c>
      <c r="AC1349" s="3">
        <v>32234</v>
      </c>
      <c r="AD1349" s="3">
        <v>44378</v>
      </c>
      <c r="AE1349" s="5" t="s">
        <v>537</v>
      </c>
      <c r="AF1349" t="s">
        <v>47</v>
      </c>
      <c r="AG1349" t="s">
        <v>47</v>
      </c>
      <c r="AH1349" t="s">
        <v>47</v>
      </c>
      <c r="AI1349" t="s">
        <v>47</v>
      </c>
      <c r="AJ1349" t="s">
        <v>47</v>
      </c>
      <c r="AK1349" t="s">
        <v>47</v>
      </c>
      <c r="AL1349" t="s">
        <v>47</v>
      </c>
      <c r="AM1349" t="s">
        <v>47</v>
      </c>
      <c r="AN1349" t="s">
        <v>47</v>
      </c>
      <c r="AO1349" s="5" t="s">
        <v>60</v>
      </c>
      <c r="AP1349" s="4" t="s">
        <v>61</v>
      </c>
      <c r="AQ1349" s="4" t="s">
        <v>53</v>
      </c>
      <c r="AR1349" s="4" t="s">
        <v>5205</v>
      </c>
      <c r="AS1349" s="5">
        <v>40834</v>
      </c>
      <c r="AT1349" t="s">
        <v>47</v>
      </c>
    </row>
    <row r="1350" spans="1:46" ht="143" x14ac:dyDescent="0.3">
      <c r="A1350" s="4" t="s">
        <v>5206</v>
      </c>
      <c r="B1350" t="s">
        <v>47</v>
      </c>
      <c r="C1350" s="4" t="s">
        <v>183</v>
      </c>
      <c r="D1350" s="4" t="s">
        <v>88</v>
      </c>
      <c r="E1350" s="4" t="s">
        <v>49</v>
      </c>
      <c r="F1350" s="5" t="s">
        <v>5207</v>
      </c>
      <c r="G1350" s="5" t="s">
        <v>5208</v>
      </c>
      <c r="H1350" t="s">
        <v>47</v>
      </c>
      <c r="I1350" s="3">
        <v>36526</v>
      </c>
      <c r="J1350" s="3">
        <v>40269</v>
      </c>
      <c r="K1350" t="s">
        <v>47</v>
      </c>
      <c r="L1350" s="5" t="s">
        <v>60</v>
      </c>
      <c r="M1350" s="3">
        <v>36526</v>
      </c>
      <c r="N1350" s="3">
        <v>39722</v>
      </c>
      <c r="O1350" t="s">
        <v>47</v>
      </c>
      <c r="P1350" s="3">
        <v>36526</v>
      </c>
      <c r="Q1350" s="3">
        <v>40269</v>
      </c>
      <c r="R1350" t="s">
        <v>47</v>
      </c>
      <c r="S1350" t="s">
        <v>47</v>
      </c>
      <c r="T1350" t="s">
        <v>47</v>
      </c>
      <c r="U1350" t="s">
        <v>47</v>
      </c>
      <c r="V1350" t="s">
        <v>47</v>
      </c>
      <c r="W1350" s="3">
        <v>35490</v>
      </c>
      <c r="X1350" s="5" t="s">
        <v>50</v>
      </c>
      <c r="Y1350" t="s">
        <v>47</v>
      </c>
      <c r="Z1350" s="3">
        <v>35490</v>
      </c>
      <c r="AA1350" s="5" t="s">
        <v>50</v>
      </c>
      <c r="AB1350" t="s">
        <v>47</v>
      </c>
      <c r="AC1350" s="3">
        <v>37987</v>
      </c>
      <c r="AD1350" s="5" t="s">
        <v>50</v>
      </c>
      <c r="AE1350" t="s">
        <v>47</v>
      </c>
      <c r="AF1350" t="s">
        <v>47</v>
      </c>
      <c r="AG1350" t="s">
        <v>47</v>
      </c>
      <c r="AH1350" t="s">
        <v>47</v>
      </c>
      <c r="AI1350" t="s">
        <v>47</v>
      </c>
      <c r="AJ1350" t="s">
        <v>47</v>
      </c>
      <c r="AK1350" t="s">
        <v>47</v>
      </c>
      <c r="AL1350" t="s">
        <v>47</v>
      </c>
      <c r="AM1350" t="s">
        <v>47</v>
      </c>
      <c r="AN1350" t="s">
        <v>47</v>
      </c>
      <c r="AO1350" s="5" t="s">
        <v>60</v>
      </c>
      <c r="AP1350" s="4" t="s">
        <v>61</v>
      </c>
      <c r="AQ1350" s="4" t="s">
        <v>53</v>
      </c>
      <c r="AR1350" s="4" t="s">
        <v>5209</v>
      </c>
      <c r="AS1350" s="5">
        <v>41494</v>
      </c>
      <c r="AT1350" t="s">
        <v>47</v>
      </c>
    </row>
    <row r="1351" spans="1:46" ht="104" x14ac:dyDescent="0.3">
      <c r="A1351" s="4" t="s">
        <v>5210</v>
      </c>
      <c r="B1351" t="s">
        <v>47</v>
      </c>
      <c r="C1351" s="4" t="s">
        <v>3370</v>
      </c>
      <c r="D1351" s="4" t="s">
        <v>2376</v>
      </c>
      <c r="E1351" s="4" t="s">
        <v>49</v>
      </c>
      <c r="F1351" s="5" t="s">
        <v>5211</v>
      </c>
      <c r="G1351" s="5" t="s">
        <v>5212</v>
      </c>
      <c r="H1351" t="s">
        <v>47</v>
      </c>
      <c r="I1351" s="3">
        <v>38718</v>
      </c>
      <c r="J1351" s="3">
        <v>42552</v>
      </c>
      <c r="K1351" t="s">
        <v>47</v>
      </c>
      <c r="L1351" s="5" t="s">
        <v>60</v>
      </c>
      <c r="M1351" s="3">
        <v>38718</v>
      </c>
      <c r="N1351" s="3">
        <v>39814</v>
      </c>
      <c r="O1351" t="s">
        <v>47</v>
      </c>
      <c r="P1351" s="3">
        <v>38718</v>
      </c>
      <c r="Q1351" s="3">
        <v>42552</v>
      </c>
      <c r="R1351" t="s">
        <v>47</v>
      </c>
      <c r="S1351" t="s">
        <v>47</v>
      </c>
      <c r="T1351" t="s">
        <v>47</v>
      </c>
      <c r="U1351" t="s">
        <v>47</v>
      </c>
      <c r="V1351" t="s">
        <v>47</v>
      </c>
      <c r="W1351" s="3">
        <v>38718</v>
      </c>
      <c r="X1351" s="3">
        <v>43191</v>
      </c>
      <c r="Y1351" t="s">
        <v>47</v>
      </c>
      <c r="Z1351" s="3">
        <v>38718</v>
      </c>
      <c r="AA1351" s="3">
        <v>43191</v>
      </c>
      <c r="AB1351" t="s">
        <v>47</v>
      </c>
      <c r="AC1351" s="3">
        <v>39814</v>
      </c>
      <c r="AD1351" s="3">
        <v>43191</v>
      </c>
      <c r="AE1351" t="s">
        <v>47</v>
      </c>
      <c r="AF1351" t="s">
        <v>47</v>
      </c>
      <c r="AG1351" t="s">
        <v>47</v>
      </c>
      <c r="AH1351" t="s">
        <v>47</v>
      </c>
      <c r="AI1351" t="s">
        <v>47</v>
      </c>
      <c r="AJ1351" t="s">
        <v>47</v>
      </c>
      <c r="AK1351" t="s">
        <v>47</v>
      </c>
      <c r="AL1351" t="s">
        <v>47</v>
      </c>
      <c r="AM1351" t="s">
        <v>47</v>
      </c>
      <c r="AN1351" t="s">
        <v>47</v>
      </c>
      <c r="AO1351" s="5" t="s">
        <v>60</v>
      </c>
      <c r="AP1351" s="4" t="s">
        <v>61</v>
      </c>
      <c r="AQ1351" s="4" t="s">
        <v>53</v>
      </c>
      <c r="AR1351" s="4" t="s">
        <v>5213</v>
      </c>
      <c r="AS1351" s="5">
        <v>47137</v>
      </c>
      <c r="AT1351" t="s">
        <v>47</v>
      </c>
    </row>
    <row r="1352" spans="1:46" ht="39" x14ac:dyDescent="0.3">
      <c r="A1352" s="4" t="s">
        <v>5214</v>
      </c>
      <c r="B1352" t="s">
        <v>47</v>
      </c>
      <c r="C1352" s="4" t="s">
        <v>169</v>
      </c>
      <c r="D1352" s="4" t="s">
        <v>5215</v>
      </c>
      <c r="E1352" s="4" t="s">
        <v>66</v>
      </c>
      <c r="F1352" s="5" t="s">
        <v>5216</v>
      </c>
      <c r="G1352" s="5" t="s">
        <v>5217</v>
      </c>
      <c r="H1352" t="s">
        <v>47</v>
      </c>
      <c r="I1352" s="3">
        <v>35431</v>
      </c>
      <c r="J1352" s="3">
        <v>39083</v>
      </c>
      <c r="K1352" t="s">
        <v>47</v>
      </c>
      <c r="L1352" s="5" t="s">
        <v>60</v>
      </c>
      <c r="M1352" s="3">
        <v>35431</v>
      </c>
      <c r="N1352" s="3">
        <v>39083</v>
      </c>
      <c r="O1352" t="s">
        <v>47</v>
      </c>
      <c r="P1352" s="3">
        <v>35431</v>
      </c>
      <c r="Q1352" s="3">
        <v>39083</v>
      </c>
      <c r="R1352" t="s">
        <v>47</v>
      </c>
      <c r="S1352" t="s">
        <v>47</v>
      </c>
      <c r="T1352" t="s">
        <v>47</v>
      </c>
      <c r="U1352" t="s">
        <v>47</v>
      </c>
      <c r="V1352" t="s">
        <v>47</v>
      </c>
      <c r="W1352" s="3">
        <v>35431</v>
      </c>
      <c r="X1352" s="5" t="s">
        <v>50</v>
      </c>
      <c r="Y1352" t="s">
        <v>47</v>
      </c>
      <c r="Z1352" s="3">
        <v>35431</v>
      </c>
      <c r="AA1352" s="5" t="s">
        <v>50</v>
      </c>
      <c r="AB1352" t="s">
        <v>47</v>
      </c>
      <c r="AC1352" s="3">
        <v>37257</v>
      </c>
      <c r="AD1352" s="5" t="s">
        <v>50</v>
      </c>
      <c r="AE1352" s="5" t="s">
        <v>1484</v>
      </c>
      <c r="AF1352" t="s">
        <v>47</v>
      </c>
      <c r="AG1352" t="s">
        <v>47</v>
      </c>
      <c r="AH1352" t="s">
        <v>47</v>
      </c>
      <c r="AI1352" t="s">
        <v>47</v>
      </c>
      <c r="AJ1352" t="s">
        <v>47</v>
      </c>
      <c r="AK1352" t="s">
        <v>47</v>
      </c>
      <c r="AL1352" t="s">
        <v>47</v>
      </c>
      <c r="AM1352" t="s">
        <v>47</v>
      </c>
      <c r="AN1352" t="s">
        <v>47</v>
      </c>
      <c r="AO1352" s="5" t="s">
        <v>60</v>
      </c>
      <c r="AP1352" s="4" t="s">
        <v>61</v>
      </c>
      <c r="AQ1352" s="4" t="s">
        <v>53</v>
      </c>
      <c r="AR1352" s="4" t="s">
        <v>3271</v>
      </c>
      <c r="AS1352" s="5">
        <v>41434</v>
      </c>
      <c r="AT1352" t="s">
        <v>47</v>
      </c>
    </row>
    <row r="1353" spans="1:46" ht="78" x14ac:dyDescent="0.3">
      <c r="A1353" s="4" t="s">
        <v>5218</v>
      </c>
      <c r="B1353" t="s">
        <v>47</v>
      </c>
      <c r="C1353" s="4" t="s">
        <v>183</v>
      </c>
      <c r="D1353" s="4" t="s">
        <v>597</v>
      </c>
      <c r="E1353" s="4" t="s">
        <v>49</v>
      </c>
      <c r="F1353" s="5" t="s">
        <v>5219</v>
      </c>
      <c r="G1353" s="5" t="s">
        <v>5220</v>
      </c>
      <c r="H1353" t="s">
        <v>47</v>
      </c>
      <c r="I1353" s="3">
        <v>35490</v>
      </c>
      <c r="J1353" s="3">
        <v>40299</v>
      </c>
      <c r="K1353" t="s">
        <v>47</v>
      </c>
      <c r="L1353" s="5" t="s">
        <v>60</v>
      </c>
      <c r="M1353" s="3">
        <v>35490</v>
      </c>
      <c r="N1353" s="3">
        <v>39692</v>
      </c>
      <c r="O1353" t="s">
        <v>47</v>
      </c>
      <c r="P1353" s="3">
        <v>35490</v>
      </c>
      <c r="Q1353" s="3">
        <v>40299</v>
      </c>
      <c r="R1353" t="s">
        <v>47</v>
      </c>
      <c r="S1353" t="s">
        <v>47</v>
      </c>
      <c r="T1353" t="s">
        <v>47</v>
      </c>
      <c r="U1353" t="s">
        <v>47</v>
      </c>
      <c r="V1353" t="s">
        <v>47</v>
      </c>
      <c r="W1353" s="3">
        <v>29342</v>
      </c>
      <c r="X1353" s="5" t="s">
        <v>50</v>
      </c>
      <c r="Y1353" t="s">
        <v>47</v>
      </c>
      <c r="Z1353" s="3">
        <v>29342</v>
      </c>
      <c r="AA1353" s="5" t="s">
        <v>50</v>
      </c>
      <c r="AB1353" t="s">
        <v>47</v>
      </c>
      <c r="AC1353" s="3">
        <v>35551</v>
      </c>
      <c r="AD1353" s="5" t="s">
        <v>50</v>
      </c>
      <c r="AE1353" s="5" t="s">
        <v>710</v>
      </c>
      <c r="AF1353" t="s">
        <v>47</v>
      </c>
      <c r="AG1353" t="s">
        <v>47</v>
      </c>
      <c r="AH1353" t="s">
        <v>47</v>
      </c>
      <c r="AI1353" t="s">
        <v>47</v>
      </c>
      <c r="AJ1353" t="s">
        <v>47</v>
      </c>
      <c r="AK1353" t="s">
        <v>47</v>
      </c>
      <c r="AL1353" t="s">
        <v>47</v>
      </c>
      <c r="AM1353" t="s">
        <v>47</v>
      </c>
      <c r="AN1353" t="s">
        <v>47</v>
      </c>
      <c r="AO1353" s="5" t="s">
        <v>60</v>
      </c>
      <c r="AP1353" s="4" t="s">
        <v>61</v>
      </c>
      <c r="AQ1353" s="4" t="s">
        <v>53</v>
      </c>
      <c r="AR1353" s="4" t="s">
        <v>436</v>
      </c>
      <c r="AS1353" s="5">
        <v>48109</v>
      </c>
      <c r="AT1353" t="s">
        <v>47</v>
      </c>
    </row>
    <row r="1354" spans="1:46" ht="13" x14ac:dyDescent="0.3">
      <c r="A1354" s="4" t="s">
        <v>5221</v>
      </c>
      <c r="B1354" t="s">
        <v>47</v>
      </c>
      <c r="C1354" s="4" t="s">
        <v>5221</v>
      </c>
      <c r="D1354" s="4" t="s">
        <v>5222</v>
      </c>
      <c r="E1354" s="4" t="s">
        <v>49</v>
      </c>
      <c r="F1354" t="s">
        <v>47</v>
      </c>
      <c r="G1354" s="5" t="s">
        <v>5223</v>
      </c>
      <c r="H1354" t="s">
        <v>47</v>
      </c>
      <c r="I1354" s="3">
        <v>38718</v>
      </c>
      <c r="J1354" s="5" t="s">
        <v>50</v>
      </c>
      <c r="K1354" t="s">
        <v>47</v>
      </c>
      <c r="L1354" s="5" t="s">
        <v>60</v>
      </c>
      <c r="M1354" t="s">
        <v>47</v>
      </c>
      <c r="N1354" t="s">
        <v>47</v>
      </c>
      <c r="O1354" t="s">
        <v>47</v>
      </c>
      <c r="P1354" s="3">
        <v>38718</v>
      </c>
      <c r="Q1354" s="5" t="s">
        <v>50</v>
      </c>
      <c r="R1354" t="s">
        <v>47</v>
      </c>
      <c r="S1354" t="s">
        <v>47</v>
      </c>
      <c r="T1354" t="s">
        <v>47</v>
      </c>
      <c r="U1354" t="s">
        <v>47</v>
      </c>
      <c r="V1354" t="s">
        <v>47</v>
      </c>
      <c r="W1354" s="3">
        <v>38718</v>
      </c>
      <c r="X1354" s="5" t="s">
        <v>50</v>
      </c>
      <c r="Y1354" t="s">
        <v>47</v>
      </c>
      <c r="Z1354" s="3">
        <v>38718</v>
      </c>
      <c r="AA1354" s="5" t="s">
        <v>50</v>
      </c>
      <c r="AB1354" t="s">
        <v>47</v>
      </c>
      <c r="AC1354" s="3">
        <v>38718</v>
      </c>
      <c r="AD1354" s="5" t="s">
        <v>50</v>
      </c>
      <c r="AE1354" t="s">
        <v>47</v>
      </c>
      <c r="AF1354" t="s">
        <v>47</v>
      </c>
      <c r="AG1354" t="s">
        <v>47</v>
      </c>
      <c r="AH1354" t="s">
        <v>47</v>
      </c>
      <c r="AI1354" t="s">
        <v>47</v>
      </c>
      <c r="AJ1354" t="s">
        <v>47</v>
      </c>
      <c r="AK1354" t="s">
        <v>47</v>
      </c>
      <c r="AL1354" t="s">
        <v>47</v>
      </c>
      <c r="AM1354" t="s">
        <v>47</v>
      </c>
      <c r="AN1354" t="s">
        <v>47</v>
      </c>
      <c r="AO1354" s="5" t="s">
        <v>60</v>
      </c>
      <c r="AP1354" s="4" t="s">
        <v>61</v>
      </c>
      <c r="AQ1354" s="4" t="s">
        <v>53</v>
      </c>
      <c r="AR1354" s="4" t="s">
        <v>54</v>
      </c>
      <c r="AS1354" s="5">
        <v>1966350</v>
      </c>
      <c r="AT1354" t="s">
        <v>47</v>
      </c>
    </row>
    <row r="1355" spans="1:46" ht="39" x14ac:dyDescent="0.3">
      <c r="A1355" s="4" t="s">
        <v>5224</v>
      </c>
      <c r="B1355" t="s">
        <v>47</v>
      </c>
      <c r="C1355" s="4" t="s">
        <v>5225</v>
      </c>
      <c r="D1355" s="4" t="s">
        <v>5226</v>
      </c>
      <c r="E1355" s="4" t="s">
        <v>49</v>
      </c>
      <c r="F1355" s="5" t="s">
        <v>5227</v>
      </c>
      <c r="G1355" t="s">
        <v>47</v>
      </c>
      <c r="H1355" t="s">
        <v>47</v>
      </c>
      <c r="I1355" s="3">
        <v>37865</v>
      </c>
      <c r="J1355" s="3">
        <v>42278</v>
      </c>
      <c r="K1355" t="s">
        <v>47</v>
      </c>
      <c r="L1355" s="5" t="s">
        <v>60</v>
      </c>
      <c r="M1355" s="3">
        <v>37865</v>
      </c>
      <c r="N1355" s="3">
        <v>42278</v>
      </c>
      <c r="O1355" t="s">
        <v>47</v>
      </c>
      <c r="P1355" s="3">
        <v>37865</v>
      </c>
      <c r="Q1355" s="3">
        <v>42278</v>
      </c>
      <c r="R1355" t="s">
        <v>47</v>
      </c>
      <c r="S1355" t="s">
        <v>47</v>
      </c>
      <c r="T1355" t="s">
        <v>47</v>
      </c>
      <c r="U1355" t="s">
        <v>47</v>
      </c>
      <c r="V1355" t="s">
        <v>47</v>
      </c>
      <c r="W1355" s="3">
        <v>37865</v>
      </c>
      <c r="X1355" s="3">
        <v>42278</v>
      </c>
      <c r="Y1355" t="s">
        <v>47</v>
      </c>
      <c r="Z1355" s="3">
        <v>37865</v>
      </c>
      <c r="AA1355" s="3">
        <v>42278</v>
      </c>
      <c r="AB1355" t="s">
        <v>47</v>
      </c>
      <c r="AC1355" s="3">
        <v>37865</v>
      </c>
      <c r="AD1355" s="3">
        <v>42278</v>
      </c>
      <c r="AE1355" t="s">
        <v>47</v>
      </c>
      <c r="AF1355" t="s">
        <v>47</v>
      </c>
      <c r="AG1355" t="s">
        <v>47</v>
      </c>
      <c r="AH1355" t="s">
        <v>47</v>
      </c>
      <c r="AI1355" t="s">
        <v>47</v>
      </c>
      <c r="AJ1355" t="s">
        <v>47</v>
      </c>
      <c r="AK1355" t="s">
        <v>47</v>
      </c>
      <c r="AL1355" t="s">
        <v>47</v>
      </c>
      <c r="AM1355" t="s">
        <v>47</v>
      </c>
      <c r="AN1355" t="s">
        <v>47</v>
      </c>
      <c r="AO1355" s="5" t="s">
        <v>60</v>
      </c>
      <c r="AP1355" s="4" t="s">
        <v>61</v>
      </c>
      <c r="AQ1355" s="4" t="s">
        <v>53</v>
      </c>
      <c r="AR1355" s="4" t="s">
        <v>54</v>
      </c>
      <c r="AS1355" s="5">
        <v>26138</v>
      </c>
      <c r="AT1355" t="s">
        <v>47</v>
      </c>
    </row>
    <row r="1356" spans="1:46" ht="143" x14ac:dyDescent="0.3">
      <c r="A1356" s="4" t="s">
        <v>5228</v>
      </c>
      <c r="B1356" t="s">
        <v>47</v>
      </c>
      <c r="C1356" s="4" t="s">
        <v>169</v>
      </c>
      <c r="D1356" s="4" t="s">
        <v>88</v>
      </c>
      <c r="E1356" s="4" t="s">
        <v>66</v>
      </c>
      <c r="F1356" s="5" t="s">
        <v>5229</v>
      </c>
      <c r="G1356" s="5" t="s">
        <v>5230</v>
      </c>
      <c r="H1356" t="s">
        <v>47</v>
      </c>
      <c r="I1356" s="3">
        <v>33664</v>
      </c>
      <c r="J1356" s="3">
        <v>42705</v>
      </c>
      <c r="K1356" t="s">
        <v>47</v>
      </c>
      <c r="L1356" s="5" t="s">
        <v>60</v>
      </c>
      <c r="M1356" s="3">
        <v>34394</v>
      </c>
      <c r="N1356" s="3">
        <v>42705</v>
      </c>
      <c r="O1356" t="s">
        <v>47</v>
      </c>
      <c r="P1356" s="3">
        <v>33664</v>
      </c>
      <c r="Q1356" s="3">
        <v>42705</v>
      </c>
      <c r="R1356" t="s">
        <v>47</v>
      </c>
      <c r="S1356" t="s">
        <v>47</v>
      </c>
      <c r="T1356" t="s">
        <v>47</v>
      </c>
      <c r="U1356" t="s">
        <v>47</v>
      </c>
      <c r="V1356" t="s">
        <v>47</v>
      </c>
      <c r="W1356" s="3">
        <v>33664</v>
      </c>
      <c r="X1356" s="3">
        <v>45078</v>
      </c>
      <c r="Y1356" t="s">
        <v>47</v>
      </c>
      <c r="Z1356" s="3">
        <v>33664</v>
      </c>
      <c r="AA1356" s="3">
        <v>45078</v>
      </c>
      <c r="AB1356" t="s">
        <v>47</v>
      </c>
      <c r="AC1356" s="3">
        <v>33664</v>
      </c>
      <c r="AD1356" s="3">
        <v>42705</v>
      </c>
      <c r="AE1356" t="s">
        <v>47</v>
      </c>
      <c r="AF1356" t="s">
        <v>47</v>
      </c>
      <c r="AG1356" t="s">
        <v>47</v>
      </c>
      <c r="AH1356" t="s">
        <v>47</v>
      </c>
      <c r="AI1356" t="s">
        <v>47</v>
      </c>
      <c r="AJ1356" t="s">
        <v>47</v>
      </c>
      <c r="AK1356" t="s">
        <v>47</v>
      </c>
      <c r="AL1356" t="s">
        <v>47</v>
      </c>
      <c r="AM1356" t="s">
        <v>47</v>
      </c>
      <c r="AN1356" t="s">
        <v>47</v>
      </c>
      <c r="AO1356" s="5" t="s">
        <v>60</v>
      </c>
      <c r="AP1356" s="4" t="s">
        <v>61</v>
      </c>
      <c r="AQ1356" s="4" t="s">
        <v>53</v>
      </c>
      <c r="AR1356" s="4" t="s">
        <v>4008</v>
      </c>
      <c r="AS1356" s="5">
        <v>40785</v>
      </c>
      <c r="AT1356" t="s">
        <v>47</v>
      </c>
    </row>
    <row r="1357" spans="1:46" ht="39" x14ac:dyDescent="0.3">
      <c r="A1357" s="4" t="s">
        <v>5231</v>
      </c>
      <c r="B1357" t="s">
        <v>47</v>
      </c>
      <c r="C1357" s="4" t="s">
        <v>1095</v>
      </c>
      <c r="D1357" s="4" t="s">
        <v>1103</v>
      </c>
      <c r="E1357" s="4" t="s">
        <v>66</v>
      </c>
      <c r="F1357" s="5" t="s">
        <v>5232</v>
      </c>
      <c r="G1357" s="5" t="s">
        <v>5233</v>
      </c>
      <c r="H1357" t="s">
        <v>47</v>
      </c>
      <c r="I1357" t="s">
        <v>47</v>
      </c>
      <c r="J1357" t="s">
        <v>47</v>
      </c>
      <c r="K1357" t="s">
        <v>47</v>
      </c>
      <c r="L1357" s="5" t="s">
        <v>60</v>
      </c>
      <c r="M1357" t="s">
        <v>47</v>
      </c>
      <c r="N1357" t="s">
        <v>47</v>
      </c>
      <c r="O1357" t="s">
        <v>47</v>
      </c>
      <c r="P1357" t="s">
        <v>47</v>
      </c>
      <c r="Q1357" t="s">
        <v>47</v>
      </c>
      <c r="R1357" t="s">
        <v>47</v>
      </c>
      <c r="S1357" t="s">
        <v>47</v>
      </c>
      <c r="T1357" t="s">
        <v>47</v>
      </c>
      <c r="U1357" t="s">
        <v>47</v>
      </c>
      <c r="V1357" t="s">
        <v>47</v>
      </c>
      <c r="W1357" s="3">
        <v>35796</v>
      </c>
      <c r="X1357" s="3">
        <v>35796</v>
      </c>
      <c r="Y1357" t="s">
        <v>47</v>
      </c>
      <c r="Z1357" s="3">
        <v>35796</v>
      </c>
      <c r="AA1357" s="3">
        <v>35796</v>
      </c>
      <c r="AB1357" t="s">
        <v>47</v>
      </c>
      <c r="AC1357" t="s">
        <v>47</v>
      </c>
      <c r="AD1357" t="s">
        <v>47</v>
      </c>
      <c r="AE1357" t="s">
        <v>47</v>
      </c>
      <c r="AF1357" t="s">
        <v>47</v>
      </c>
      <c r="AG1357" t="s">
        <v>47</v>
      </c>
      <c r="AH1357" t="s">
        <v>47</v>
      </c>
      <c r="AI1357" t="s">
        <v>47</v>
      </c>
      <c r="AJ1357" t="s">
        <v>47</v>
      </c>
      <c r="AK1357" t="s">
        <v>47</v>
      </c>
      <c r="AL1357" t="s">
        <v>47</v>
      </c>
      <c r="AM1357" t="s">
        <v>47</v>
      </c>
      <c r="AN1357" t="s">
        <v>47</v>
      </c>
      <c r="AO1357" s="5" t="s">
        <v>60</v>
      </c>
      <c r="AP1357" s="4" t="s">
        <v>61</v>
      </c>
      <c r="AQ1357" s="4" t="s">
        <v>53</v>
      </c>
      <c r="AR1357" s="4" t="s">
        <v>385</v>
      </c>
      <c r="AS1357" s="5">
        <v>37752</v>
      </c>
      <c r="AT1357" t="s">
        <v>47</v>
      </c>
    </row>
    <row r="1358" spans="1:46" ht="13" x14ac:dyDescent="0.3">
      <c r="A1358" s="4" t="s">
        <v>5234</v>
      </c>
      <c r="B1358" t="s">
        <v>47</v>
      </c>
      <c r="C1358" s="4" t="s">
        <v>93</v>
      </c>
      <c r="D1358" s="4" t="s">
        <v>2549</v>
      </c>
      <c r="E1358" s="4" t="s">
        <v>49</v>
      </c>
      <c r="F1358" s="5" t="s">
        <v>5235</v>
      </c>
      <c r="G1358" s="5" t="s">
        <v>5236</v>
      </c>
      <c r="H1358" t="s">
        <v>47</v>
      </c>
      <c r="I1358" t="s">
        <v>47</v>
      </c>
      <c r="J1358" t="s">
        <v>47</v>
      </c>
      <c r="K1358" t="s">
        <v>47</v>
      </c>
      <c r="L1358" s="5" t="s">
        <v>60</v>
      </c>
      <c r="M1358" t="s">
        <v>47</v>
      </c>
      <c r="N1358" t="s">
        <v>47</v>
      </c>
      <c r="O1358" t="s">
        <v>47</v>
      </c>
      <c r="P1358" t="s">
        <v>47</v>
      </c>
      <c r="Q1358" t="s">
        <v>47</v>
      </c>
      <c r="R1358" t="s">
        <v>47</v>
      </c>
      <c r="S1358" t="s">
        <v>47</v>
      </c>
      <c r="T1358" t="s">
        <v>47</v>
      </c>
      <c r="U1358" t="s">
        <v>47</v>
      </c>
      <c r="V1358" t="s">
        <v>47</v>
      </c>
      <c r="W1358" s="3">
        <v>40878</v>
      </c>
      <c r="X1358" s="5" t="s">
        <v>50</v>
      </c>
      <c r="Y1358" t="s">
        <v>47</v>
      </c>
      <c r="Z1358" s="3">
        <v>40878</v>
      </c>
      <c r="AA1358" s="5" t="s">
        <v>50</v>
      </c>
      <c r="AB1358" t="s">
        <v>47</v>
      </c>
      <c r="AC1358" s="3">
        <v>40878</v>
      </c>
      <c r="AD1358" s="5" t="s">
        <v>50</v>
      </c>
      <c r="AE1358" t="s">
        <v>47</v>
      </c>
      <c r="AF1358" t="s">
        <v>47</v>
      </c>
      <c r="AG1358" t="s">
        <v>47</v>
      </c>
      <c r="AH1358" t="s">
        <v>47</v>
      </c>
      <c r="AI1358" t="s">
        <v>47</v>
      </c>
      <c r="AJ1358" t="s">
        <v>47</v>
      </c>
      <c r="AK1358" t="s">
        <v>47</v>
      </c>
      <c r="AL1358" t="s">
        <v>47</v>
      </c>
      <c r="AM1358" t="s">
        <v>47</v>
      </c>
      <c r="AN1358" t="s">
        <v>47</v>
      </c>
      <c r="AO1358" s="5" t="s">
        <v>60</v>
      </c>
      <c r="AP1358" s="4" t="s">
        <v>61</v>
      </c>
      <c r="AQ1358" s="4" t="s">
        <v>53</v>
      </c>
      <c r="AR1358" s="4" t="s">
        <v>54</v>
      </c>
      <c r="AS1358" s="5">
        <v>1046372</v>
      </c>
      <c r="AT1358" t="s">
        <v>47</v>
      </c>
    </row>
    <row r="1359" spans="1:46" ht="26" x14ac:dyDescent="0.3">
      <c r="A1359" s="4" t="s">
        <v>5237</v>
      </c>
      <c r="B1359" t="s">
        <v>47</v>
      </c>
      <c r="C1359" s="4" t="s">
        <v>169</v>
      </c>
      <c r="D1359" s="4" t="s">
        <v>339</v>
      </c>
      <c r="E1359" s="4" t="s">
        <v>66</v>
      </c>
      <c r="F1359" s="5" t="s">
        <v>5238</v>
      </c>
      <c r="G1359" t="s">
        <v>47</v>
      </c>
      <c r="H1359" t="s">
        <v>47</v>
      </c>
      <c r="I1359" s="3">
        <v>35674</v>
      </c>
      <c r="J1359" s="3">
        <v>36770</v>
      </c>
      <c r="K1359" t="s">
        <v>47</v>
      </c>
      <c r="L1359" s="5" t="s">
        <v>60</v>
      </c>
      <c r="M1359" s="3">
        <v>35674</v>
      </c>
      <c r="N1359" s="3">
        <v>36770</v>
      </c>
      <c r="O1359" t="s">
        <v>47</v>
      </c>
      <c r="P1359" s="3">
        <v>35674</v>
      </c>
      <c r="Q1359" s="3">
        <v>36770</v>
      </c>
      <c r="R1359" t="s">
        <v>47</v>
      </c>
      <c r="S1359" t="s">
        <v>47</v>
      </c>
      <c r="T1359" t="s">
        <v>47</v>
      </c>
      <c r="U1359" t="s">
        <v>47</v>
      </c>
      <c r="V1359" t="s">
        <v>47</v>
      </c>
      <c r="W1359" s="3">
        <v>35674</v>
      </c>
      <c r="X1359" s="5" t="s">
        <v>50</v>
      </c>
      <c r="Y1359" t="s">
        <v>47</v>
      </c>
      <c r="Z1359" s="3">
        <v>35674</v>
      </c>
      <c r="AA1359" s="5" t="s">
        <v>50</v>
      </c>
      <c r="AB1359" t="s">
        <v>47</v>
      </c>
      <c r="AC1359" s="3">
        <v>35674</v>
      </c>
      <c r="AD1359" s="5" t="s">
        <v>50</v>
      </c>
      <c r="AE1359" t="s">
        <v>47</v>
      </c>
      <c r="AF1359" t="s">
        <v>47</v>
      </c>
      <c r="AG1359" t="s">
        <v>47</v>
      </c>
      <c r="AH1359" t="s">
        <v>47</v>
      </c>
      <c r="AI1359" t="s">
        <v>47</v>
      </c>
      <c r="AJ1359" t="s">
        <v>47</v>
      </c>
      <c r="AK1359" t="s">
        <v>47</v>
      </c>
      <c r="AL1359" t="s">
        <v>47</v>
      </c>
      <c r="AM1359" t="s">
        <v>47</v>
      </c>
      <c r="AN1359" t="s">
        <v>47</v>
      </c>
      <c r="AO1359" s="5" t="s">
        <v>60</v>
      </c>
      <c r="AP1359" s="4" t="s">
        <v>61</v>
      </c>
      <c r="AQ1359" s="4" t="s">
        <v>53</v>
      </c>
      <c r="AR1359" s="4" t="s">
        <v>5239</v>
      </c>
      <c r="AS1359" s="5">
        <v>33043</v>
      </c>
      <c r="AT1359" t="s">
        <v>47</v>
      </c>
    </row>
    <row r="1360" spans="1:46" ht="13" x14ac:dyDescent="0.3">
      <c r="A1360" s="4" t="s">
        <v>5240</v>
      </c>
      <c r="B1360" t="s">
        <v>47</v>
      </c>
      <c r="C1360" s="4" t="s">
        <v>64</v>
      </c>
      <c r="D1360" s="4" t="s">
        <v>2829</v>
      </c>
      <c r="E1360" s="4" t="s">
        <v>66</v>
      </c>
      <c r="F1360" s="5" t="s">
        <v>5241</v>
      </c>
      <c r="G1360" s="5" t="s">
        <v>5242</v>
      </c>
      <c r="H1360" t="s">
        <v>47</v>
      </c>
      <c r="I1360" s="3">
        <v>35370</v>
      </c>
      <c r="J1360" s="3">
        <v>41760</v>
      </c>
      <c r="K1360" t="s">
        <v>47</v>
      </c>
      <c r="L1360" s="5" t="s">
        <v>60</v>
      </c>
      <c r="M1360" s="3">
        <v>35370</v>
      </c>
      <c r="N1360" s="3">
        <v>41760</v>
      </c>
      <c r="O1360" t="s">
        <v>47</v>
      </c>
      <c r="P1360" s="3">
        <v>35370</v>
      </c>
      <c r="Q1360" s="3">
        <v>41760</v>
      </c>
      <c r="R1360" t="s">
        <v>47</v>
      </c>
      <c r="S1360" t="s">
        <v>47</v>
      </c>
      <c r="T1360" t="s">
        <v>47</v>
      </c>
      <c r="U1360" t="s">
        <v>47</v>
      </c>
      <c r="V1360" t="s">
        <v>47</v>
      </c>
      <c r="W1360" s="3">
        <v>25324</v>
      </c>
      <c r="X1360" s="5" t="s">
        <v>50</v>
      </c>
      <c r="Y1360" t="s">
        <v>47</v>
      </c>
      <c r="Z1360" s="3">
        <v>25324</v>
      </c>
      <c r="AA1360" s="5" t="s">
        <v>50</v>
      </c>
      <c r="AB1360" t="s">
        <v>47</v>
      </c>
      <c r="AC1360" s="3">
        <v>25324</v>
      </c>
      <c r="AD1360" s="5" t="s">
        <v>50</v>
      </c>
      <c r="AE1360" t="s">
        <v>47</v>
      </c>
      <c r="AF1360" t="s">
        <v>47</v>
      </c>
      <c r="AG1360" t="s">
        <v>47</v>
      </c>
      <c r="AH1360" t="s">
        <v>47</v>
      </c>
      <c r="AI1360" t="s">
        <v>47</v>
      </c>
      <c r="AJ1360" t="s">
        <v>47</v>
      </c>
      <c r="AK1360" t="s">
        <v>47</v>
      </c>
      <c r="AL1360" t="s">
        <v>47</v>
      </c>
      <c r="AM1360" t="s">
        <v>47</v>
      </c>
      <c r="AN1360" t="s">
        <v>47</v>
      </c>
      <c r="AO1360" s="5" t="s">
        <v>60</v>
      </c>
      <c r="AP1360" s="4" t="s">
        <v>61</v>
      </c>
      <c r="AQ1360" s="4" t="s">
        <v>53</v>
      </c>
      <c r="AR1360" s="4" t="s">
        <v>54</v>
      </c>
      <c r="AS1360" s="5">
        <v>37654</v>
      </c>
      <c r="AT1360" t="s">
        <v>47</v>
      </c>
    </row>
    <row r="1361" spans="1:46" ht="65" x14ac:dyDescent="0.3">
      <c r="A1361" s="4" t="s">
        <v>5243</v>
      </c>
      <c r="B1361" t="s">
        <v>47</v>
      </c>
      <c r="C1361" s="4" t="s">
        <v>5244</v>
      </c>
      <c r="D1361" s="4" t="s">
        <v>5245</v>
      </c>
      <c r="E1361" s="4" t="s">
        <v>5246</v>
      </c>
      <c r="F1361" s="5" t="s">
        <v>5247</v>
      </c>
      <c r="G1361" s="5" t="s">
        <v>5248</v>
      </c>
      <c r="H1361" t="s">
        <v>47</v>
      </c>
      <c r="I1361" s="3">
        <v>41456</v>
      </c>
      <c r="J1361" s="5" t="s">
        <v>50</v>
      </c>
      <c r="K1361" t="s">
        <v>47</v>
      </c>
      <c r="L1361" s="5" t="s">
        <v>60</v>
      </c>
      <c r="M1361" t="s">
        <v>47</v>
      </c>
      <c r="N1361" t="s">
        <v>47</v>
      </c>
      <c r="O1361" t="s">
        <v>47</v>
      </c>
      <c r="P1361" s="3">
        <v>41456</v>
      </c>
      <c r="Q1361" s="5" t="s">
        <v>50</v>
      </c>
      <c r="R1361" t="s">
        <v>47</v>
      </c>
      <c r="S1361" t="s">
        <v>47</v>
      </c>
      <c r="T1361" t="s">
        <v>47</v>
      </c>
      <c r="U1361" t="s">
        <v>47</v>
      </c>
      <c r="V1361" t="s">
        <v>47</v>
      </c>
      <c r="W1361" s="3">
        <v>41456</v>
      </c>
      <c r="X1361" s="5" t="s">
        <v>50</v>
      </c>
      <c r="Y1361" t="s">
        <v>47</v>
      </c>
      <c r="Z1361" s="3">
        <v>41456</v>
      </c>
      <c r="AA1361" s="5" t="s">
        <v>50</v>
      </c>
      <c r="AB1361" t="s">
        <v>47</v>
      </c>
      <c r="AC1361" s="3">
        <v>41456</v>
      </c>
      <c r="AD1361" s="5" t="s">
        <v>50</v>
      </c>
      <c r="AE1361" t="s">
        <v>47</v>
      </c>
      <c r="AF1361" t="s">
        <v>47</v>
      </c>
      <c r="AG1361" t="s">
        <v>47</v>
      </c>
      <c r="AH1361" t="s">
        <v>47</v>
      </c>
      <c r="AI1361" t="s">
        <v>47</v>
      </c>
      <c r="AJ1361" t="s">
        <v>47</v>
      </c>
      <c r="AK1361" t="s">
        <v>47</v>
      </c>
      <c r="AL1361" t="s">
        <v>47</v>
      </c>
      <c r="AM1361" t="s">
        <v>47</v>
      </c>
      <c r="AN1361" t="s">
        <v>47</v>
      </c>
      <c r="AO1361" s="5" t="s">
        <v>60</v>
      </c>
      <c r="AP1361" s="4" t="s">
        <v>61</v>
      </c>
      <c r="AQ1361" s="4" t="s">
        <v>53</v>
      </c>
      <c r="AR1361" s="4" t="s">
        <v>543</v>
      </c>
      <c r="AS1361" s="5">
        <v>4445998</v>
      </c>
      <c r="AT1361" t="s">
        <v>47</v>
      </c>
    </row>
    <row r="1362" spans="1:46" ht="13" x14ac:dyDescent="0.3">
      <c r="A1362" s="4" t="s">
        <v>5249</v>
      </c>
      <c r="B1362" t="s">
        <v>47</v>
      </c>
      <c r="C1362" s="4" t="s">
        <v>122</v>
      </c>
      <c r="D1362" s="4" t="s">
        <v>70</v>
      </c>
      <c r="E1362" s="4" t="s">
        <v>123</v>
      </c>
      <c r="F1362" s="5" t="s">
        <v>5250</v>
      </c>
      <c r="G1362" s="5" t="s">
        <v>5251</v>
      </c>
      <c r="H1362" t="s">
        <v>47</v>
      </c>
      <c r="I1362" s="3">
        <v>35462</v>
      </c>
      <c r="J1362" s="5" t="s">
        <v>50</v>
      </c>
      <c r="K1362" t="s">
        <v>47</v>
      </c>
      <c r="L1362" s="5" t="s">
        <v>60</v>
      </c>
      <c r="M1362" s="3">
        <v>38018</v>
      </c>
      <c r="N1362" s="3">
        <v>42887</v>
      </c>
      <c r="O1362" t="s">
        <v>47</v>
      </c>
      <c r="P1362" s="3">
        <v>35462</v>
      </c>
      <c r="Q1362" s="5" t="s">
        <v>50</v>
      </c>
      <c r="R1362" t="s">
        <v>47</v>
      </c>
      <c r="S1362" t="s">
        <v>47</v>
      </c>
      <c r="T1362" t="s">
        <v>47</v>
      </c>
      <c r="U1362" t="s">
        <v>47</v>
      </c>
      <c r="V1362" s="5">
        <v>365</v>
      </c>
      <c r="W1362" s="3">
        <v>35462</v>
      </c>
      <c r="X1362" s="5" t="s">
        <v>50</v>
      </c>
      <c r="Y1362" t="s">
        <v>47</v>
      </c>
      <c r="Z1362" s="3">
        <v>35462</v>
      </c>
      <c r="AA1362" s="5" t="s">
        <v>50</v>
      </c>
      <c r="AB1362" t="s">
        <v>47</v>
      </c>
      <c r="AC1362" s="3">
        <v>35462</v>
      </c>
      <c r="AD1362" s="5" t="s">
        <v>50</v>
      </c>
      <c r="AE1362" t="s">
        <v>47</v>
      </c>
      <c r="AF1362" t="s">
        <v>47</v>
      </c>
      <c r="AG1362" t="s">
        <v>47</v>
      </c>
      <c r="AH1362" t="s">
        <v>47</v>
      </c>
      <c r="AI1362" t="s">
        <v>47</v>
      </c>
      <c r="AJ1362" t="s">
        <v>47</v>
      </c>
      <c r="AK1362" t="s">
        <v>47</v>
      </c>
      <c r="AL1362" t="s">
        <v>47</v>
      </c>
      <c r="AM1362" t="s">
        <v>47</v>
      </c>
      <c r="AN1362" t="s">
        <v>47</v>
      </c>
      <c r="AO1362" s="5" t="s">
        <v>60</v>
      </c>
      <c r="AP1362" s="4" t="s">
        <v>61</v>
      </c>
      <c r="AQ1362" s="4" t="s">
        <v>53</v>
      </c>
      <c r="AR1362" s="4" t="s">
        <v>54</v>
      </c>
      <c r="AS1362" s="5">
        <v>54013</v>
      </c>
      <c r="AT1362" t="s">
        <v>47</v>
      </c>
    </row>
    <row r="1363" spans="1:46" ht="78" x14ac:dyDescent="0.3">
      <c r="A1363" s="4" t="s">
        <v>5252</v>
      </c>
      <c r="B1363" t="s">
        <v>47</v>
      </c>
      <c r="C1363" s="4" t="s">
        <v>5253</v>
      </c>
      <c r="D1363" s="4" t="s">
        <v>5254</v>
      </c>
      <c r="E1363" s="4" t="s">
        <v>66</v>
      </c>
      <c r="F1363" s="5" t="s">
        <v>5255</v>
      </c>
      <c r="G1363" s="5" t="s">
        <v>5256</v>
      </c>
      <c r="H1363" t="s">
        <v>47</v>
      </c>
      <c r="I1363" s="3">
        <v>40544</v>
      </c>
      <c r="J1363" s="5" t="s">
        <v>50</v>
      </c>
      <c r="K1363" t="s">
        <v>47</v>
      </c>
      <c r="L1363" s="5" t="s">
        <v>60</v>
      </c>
      <c r="M1363" s="3">
        <v>40544</v>
      </c>
      <c r="N1363" s="5" t="s">
        <v>50</v>
      </c>
      <c r="O1363" t="s">
        <v>47</v>
      </c>
      <c r="P1363" s="3">
        <v>40544</v>
      </c>
      <c r="Q1363" s="5" t="s">
        <v>50</v>
      </c>
      <c r="R1363" t="s">
        <v>47</v>
      </c>
      <c r="S1363" t="s">
        <v>47</v>
      </c>
      <c r="T1363" t="s">
        <v>47</v>
      </c>
      <c r="U1363" t="s">
        <v>47</v>
      </c>
      <c r="V1363" t="s">
        <v>47</v>
      </c>
      <c r="W1363" s="3">
        <v>40544</v>
      </c>
      <c r="X1363" s="5" t="s">
        <v>50</v>
      </c>
      <c r="Y1363" t="s">
        <v>47</v>
      </c>
      <c r="Z1363" s="3">
        <v>40544</v>
      </c>
      <c r="AA1363" s="5" t="s">
        <v>50</v>
      </c>
      <c r="AB1363" t="s">
        <v>47</v>
      </c>
      <c r="AC1363" s="3">
        <v>40544</v>
      </c>
      <c r="AD1363" s="5" t="s">
        <v>50</v>
      </c>
      <c r="AE1363" t="s">
        <v>47</v>
      </c>
      <c r="AF1363" t="s">
        <v>47</v>
      </c>
      <c r="AG1363" t="s">
        <v>47</v>
      </c>
      <c r="AH1363" t="s">
        <v>47</v>
      </c>
      <c r="AI1363" t="s">
        <v>47</v>
      </c>
      <c r="AJ1363" t="s">
        <v>47</v>
      </c>
      <c r="AK1363" t="s">
        <v>47</v>
      </c>
      <c r="AL1363" t="s">
        <v>47</v>
      </c>
      <c r="AM1363" t="s">
        <v>47</v>
      </c>
      <c r="AN1363" t="s">
        <v>47</v>
      </c>
      <c r="AO1363" s="5" t="s">
        <v>60</v>
      </c>
      <c r="AP1363" s="4" t="s">
        <v>61</v>
      </c>
      <c r="AQ1363" s="4" t="s">
        <v>53</v>
      </c>
      <c r="AR1363" s="4" t="s">
        <v>3428</v>
      </c>
      <c r="AS1363" s="5">
        <v>456295</v>
      </c>
      <c r="AT1363" t="s">
        <v>47</v>
      </c>
    </row>
    <row r="1364" spans="1:46" ht="91" x14ac:dyDescent="0.3">
      <c r="A1364" s="4" t="s">
        <v>5257</v>
      </c>
      <c r="B1364" t="s">
        <v>47</v>
      </c>
      <c r="C1364" s="4" t="s">
        <v>5258</v>
      </c>
      <c r="D1364" s="4" t="s">
        <v>2536</v>
      </c>
      <c r="E1364" s="4" t="s">
        <v>49</v>
      </c>
      <c r="F1364" s="5" t="s">
        <v>5259</v>
      </c>
      <c r="G1364" s="5" t="s">
        <v>5260</v>
      </c>
      <c r="H1364" t="s">
        <v>47</v>
      </c>
      <c r="I1364" s="3">
        <v>41640</v>
      </c>
      <c r="J1364" s="3">
        <v>42005</v>
      </c>
      <c r="K1364" t="s">
        <v>47</v>
      </c>
      <c r="L1364" s="5" t="s">
        <v>60</v>
      </c>
      <c r="M1364" t="s">
        <v>47</v>
      </c>
      <c r="N1364" t="s">
        <v>47</v>
      </c>
      <c r="O1364" t="s">
        <v>47</v>
      </c>
      <c r="P1364" s="3">
        <v>41640</v>
      </c>
      <c r="Q1364" s="3">
        <v>42005</v>
      </c>
      <c r="R1364" t="s">
        <v>47</v>
      </c>
      <c r="S1364" t="s">
        <v>47</v>
      </c>
      <c r="T1364" t="s">
        <v>47</v>
      </c>
      <c r="U1364" t="s">
        <v>47</v>
      </c>
      <c r="V1364" t="s">
        <v>47</v>
      </c>
      <c r="W1364" s="3">
        <v>41640</v>
      </c>
      <c r="X1364" s="3">
        <v>42005</v>
      </c>
      <c r="Y1364" t="s">
        <v>47</v>
      </c>
      <c r="Z1364" s="3">
        <v>41640</v>
      </c>
      <c r="AA1364" s="3">
        <v>42005</v>
      </c>
      <c r="AB1364" t="s">
        <v>47</v>
      </c>
      <c r="AC1364" s="3">
        <v>41640</v>
      </c>
      <c r="AD1364" s="3">
        <v>42005</v>
      </c>
      <c r="AE1364" t="s">
        <v>47</v>
      </c>
      <c r="AF1364" t="s">
        <v>47</v>
      </c>
      <c r="AG1364" t="s">
        <v>47</v>
      </c>
      <c r="AH1364" t="s">
        <v>47</v>
      </c>
      <c r="AI1364" t="s">
        <v>47</v>
      </c>
      <c r="AJ1364" t="s">
        <v>47</v>
      </c>
      <c r="AK1364" t="s">
        <v>47</v>
      </c>
      <c r="AL1364" t="s">
        <v>47</v>
      </c>
      <c r="AM1364" t="s">
        <v>47</v>
      </c>
      <c r="AN1364" t="s">
        <v>47</v>
      </c>
      <c r="AO1364" s="5" t="s">
        <v>60</v>
      </c>
      <c r="AP1364" s="4" t="s">
        <v>61</v>
      </c>
      <c r="AQ1364" s="4" t="s">
        <v>53</v>
      </c>
      <c r="AR1364" s="4" t="s">
        <v>5261</v>
      </c>
      <c r="AS1364" s="5">
        <v>2037365</v>
      </c>
      <c r="AT1364" t="s">
        <v>47</v>
      </c>
    </row>
    <row r="1365" spans="1:46" ht="39" x14ac:dyDescent="0.3">
      <c r="A1365" s="4" t="s">
        <v>5262</v>
      </c>
      <c r="B1365" t="s">
        <v>47</v>
      </c>
      <c r="C1365" s="4" t="s">
        <v>169</v>
      </c>
      <c r="D1365" s="4" t="s">
        <v>339</v>
      </c>
      <c r="E1365" s="4" t="s">
        <v>66</v>
      </c>
      <c r="F1365" s="5" t="s">
        <v>5263</v>
      </c>
      <c r="G1365" s="5" t="s">
        <v>5264</v>
      </c>
      <c r="H1365" t="s">
        <v>47</v>
      </c>
      <c r="I1365" t="s">
        <v>47</v>
      </c>
      <c r="J1365" t="s">
        <v>47</v>
      </c>
      <c r="K1365" t="s">
        <v>47</v>
      </c>
      <c r="L1365" s="5" t="s">
        <v>60</v>
      </c>
      <c r="M1365" t="s">
        <v>47</v>
      </c>
      <c r="N1365" t="s">
        <v>47</v>
      </c>
      <c r="O1365" t="s">
        <v>47</v>
      </c>
      <c r="P1365" t="s">
        <v>47</v>
      </c>
      <c r="Q1365" t="s">
        <v>47</v>
      </c>
      <c r="R1365" t="s">
        <v>47</v>
      </c>
      <c r="S1365" t="s">
        <v>47</v>
      </c>
      <c r="T1365" t="s">
        <v>47</v>
      </c>
      <c r="U1365" t="s">
        <v>47</v>
      </c>
      <c r="V1365" t="s">
        <v>47</v>
      </c>
      <c r="W1365" s="3">
        <v>40179</v>
      </c>
      <c r="X1365" s="5" t="s">
        <v>50</v>
      </c>
      <c r="Y1365" t="s">
        <v>47</v>
      </c>
      <c r="Z1365" s="3">
        <v>40179</v>
      </c>
      <c r="AA1365" s="5" t="s">
        <v>50</v>
      </c>
      <c r="AB1365" t="s">
        <v>47</v>
      </c>
      <c r="AC1365" s="3">
        <v>40179</v>
      </c>
      <c r="AD1365" s="5" t="s">
        <v>50</v>
      </c>
      <c r="AE1365" t="s">
        <v>47</v>
      </c>
      <c r="AF1365" t="s">
        <v>47</v>
      </c>
      <c r="AG1365" t="s">
        <v>47</v>
      </c>
      <c r="AH1365" t="s">
        <v>47</v>
      </c>
      <c r="AI1365" t="s">
        <v>47</v>
      </c>
      <c r="AJ1365" t="s">
        <v>47</v>
      </c>
      <c r="AK1365" t="s">
        <v>47</v>
      </c>
      <c r="AL1365" t="s">
        <v>47</v>
      </c>
      <c r="AM1365" t="s">
        <v>47</v>
      </c>
      <c r="AN1365" t="s">
        <v>47</v>
      </c>
      <c r="AO1365" s="5" t="s">
        <v>60</v>
      </c>
      <c r="AP1365" s="4" t="s">
        <v>61</v>
      </c>
      <c r="AQ1365" s="4" t="s">
        <v>53</v>
      </c>
      <c r="AR1365" s="4" t="s">
        <v>62</v>
      </c>
      <c r="AS1365" s="5">
        <v>426791</v>
      </c>
      <c r="AT1365" t="s">
        <v>47</v>
      </c>
    </row>
    <row r="1366" spans="1:46" ht="26" x14ac:dyDescent="0.3">
      <c r="A1366" s="4" t="s">
        <v>5265</v>
      </c>
      <c r="B1366" t="s">
        <v>47</v>
      </c>
      <c r="C1366" s="4" t="s">
        <v>169</v>
      </c>
      <c r="D1366" s="4" t="s">
        <v>339</v>
      </c>
      <c r="E1366" s="4" t="s">
        <v>66</v>
      </c>
      <c r="F1366" s="5" t="s">
        <v>5266</v>
      </c>
      <c r="G1366" s="5" t="s">
        <v>5267</v>
      </c>
      <c r="H1366" t="s">
        <v>47</v>
      </c>
      <c r="I1366" s="3">
        <v>35735</v>
      </c>
      <c r="J1366" s="3">
        <v>36647</v>
      </c>
      <c r="K1366" t="s">
        <v>47</v>
      </c>
      <c r="L1366" s="5" t="s">
        <v>60</v>
      </c>
      <c r="M1366" s="3">
        <v>35735</v>
      </c>
      <c r="N1366" s="3">
        <v>36647</v>
      </c>
      <c r="O1366" t="s">
        <v>47</v>
      </c>
      <c r="P1366" s="3">
        <v>35735</v>
      </c>
      <c r="Q1366" s="3">
        <v>36647</v>
      </c>
      <c r="R1366" t="s">
        <v>47</v>
      </c>
      <c r="S1366" t="s">
        <v>47</v>
      </c>
      <c r="T1366" t="s">
        <v>47</v>
      </c>
      <c r="U1366" t="s">
        <v>47</v>
      </c>
      <c r="V1366" t="s">
        <v>47</v>
      </c>
      <c r="W1366" s="3">
        <v>35735</v>
      </c>
      <c r="X1366" s="5" t="s">
        <v>50</v>
      </c>
      <c r="Y1366" t="s">
        <v>47</v>
      </c>
      <c r="Z1366" s="3">
        <v>35735</v>
      </c>
      <c r="AA1366" s="5" t="s">
        <v>50</v>
      </c>
      <c r="AB1366" t="s">
        <v>47</v>
      </c>
      <c r="AC1366" s="3">
        <v>35735</v>
      </c>
      <c r="AD1366" s="5" t="s">
        <v>50</v>
      </c>
      <c r="AE1366" t="s">
        <v>47</v>
      </c>
      <c r="AF1366" t="s">
        <v>47</v>
      </c>
      <c r="AG1366" t="s">
        <v>47</v>
      </c>
      <c r="AH1366" t="s">
        <v>47</v>
      </c>
      <c r="AI1366" t="s">
        <v>47</v>
      </c>
      <c r="AJ1366" t="s">
        <v>47</v>
      </c>
      <c r="AK1366" t="s">
        <v>47</v>
      </c>
      <c r="AL1366" t="s">
        <v>47</v>
      </c>
      <c r="AM1366" t="s">
        <v>47</v>
      </c>
      <c r="AN1366" t="s">
        <v>47</v>
      </c>
      <c r="AO1366" s="5" t="s">
        <v>60</v>
      </c>
      <c r="AP1366" s="4" t="s">
        <v>61</v>
      </c>
      <c r="AQ1366" s="4" t="s">
        <v>53</v>
      </c>
      <c r="AR1366" s="4" t="s">
        <v>54</v>
      </c>
      <c r="AS1366" s="5">
        <v>33518</v>
      </c>
      <c r="AT1366" t="s">
        <v>47</v>
      </c>
    </row>
    <row r="1367" spans="1:46" ht="13" x14ac:dyDescent="0.3">
      <c r="A1367" s="4" t="s">
        <v>5268</v>
      </c>
      <c r="B1367" t="s">
        <v>47</v>
      </c>
      <c r="C1367" s="4" t="s">
        <v>5268</v>
      </c>
      <c r="D1367" s="4" t="s">
        <v>5269</v>
      </c>
      <c r="E1367" s="4" t="s">
        <v>49</v>
      </c>
      <c r="F1367" s="5" t="s">
        <v>5270</v>
      </c>
      <c r="G1367" t="s">
        <v>47</v>
      </c>
      <c r="H1367" t="s">
        <v>47</v>
      </c>
      <c r="I1367" s="3">
        <v>38808</v>
      </c>
      <c r="J1367" s="3">
        <v>44287</v>
      </c>
      <c r="K1367" s="5" t="s">
        <v>5271</v>
      </c>
      <c r="L1367" s="5" t="s">
        <v>60</v>
      </c>
      <c r="M1367" s="3">
        <v>38808</v>
      </c>
      <c r="N1367" s="3">
        <v>44287</v>
      </c>
      <c r="O1367" s="5" t="s">
        <v>5271</v>
      </c>
      <c r="P1367" s="3">
        <v>38808</v>
      </c>
      <c r="Q1367" s="3">
        <v>44287</v>
      </c>
      <c r="R1367" s="5" t="s">
        <v>5271</v>
      </c>
      <c r="S1367" t="s">
        <v>47</v>
      </c>
      <c r="T1367" t="s">
        <v>47</v>
      </c>
      <c r="U1367" t="s">
        <v>47</v>
      </c>
      <c r="V1367" t="s">
        <v>47</v>
      </c>
      <c r="W1367" s="3">
        <v>38808</v>
      </c>
      <c r="X1367" s="3">
        <v>44287</v>
      </c>
      <c r="Y1367" s="5" t="s">
        <v>5271</v>
      </c>
      <c r="Z1367" s="3">
        <v>38808</v>
      </c>
      <c r="AA1367" s="3">
        <v>44287</v>
      </c>
      <c r="AB1367" s="5" t="s">
        <v>5271</v>
      </c>
      <c r="AC1367" s="3">
        <v>38808</v>
      </c>
      <c r="AD1367" s="3">
        <v>44287</v>
      </c>
      <c r="AE1367" s="5" t="s">
        <v>5271</v>
      </c>
      <c r="AF1367" t="s">
        <v>47</v>
      </c>
      <c r="AG1367" t="s">
        <v>47</v>
      </c>
      <c r="AH1367" t="s">
        <v>47</v>
      </c>
      <c r="AI1367" t="s">
        <v>47</v>
      </c>
      <c r="AJ1367" t="s">
        <v>47</v>
      </c>
      <c r="AK1367" t="s">
        <v>47</v>
      </c>
      <c r="AL1367" t="s">
        <v>47</v>
      </c>
      <c r="AM1367" t="s">
        <v>47</v>
      </c>
      <c r="AN1367" t="s">
        <v>47</v>
      </c>
      <c r="AO1367" s="5" t="s">
        <v>60</v>
      </c>
      <c r="AP1367" s="4" t="s">
        <v>61</v>
      </c>
      <c r="AQ1367" s="4" t="s">
        <v>53</v>
      </c>
      <c r="AR1367" s="4" t="s">
        <v>54</v>
      </c>
      <c r="AS1367" s="5">
        <v>10235</v>
      </c>
      <c r="AT1367" t="s">
        <v>47</v>
      </c>
    </row>
    <row r="1368" spans="1:46" ht="78" x14ac:dyDescent="0.3">
      <c r="A1368" s="4" t="s">
        <v>5272</v>
      </c>
      <c r="B1368" t="s">
        <v>47</v>
      </c>
      <c r="C1368" s="4" t="s">
        <v>1240</v>
      </c>
      <c r="D1368" s="4" t="s">
        <v>1241</v>
      </c>
      <c r="E1368" s="4" t="s">
        <v>49</v>
      </c>
      <c r="F1368" s="5" t="s">
        <v>5273</v>
      </c>
      <c r="G1368" s="5" t="s">
        <v>5274</v>
      </c>
      <c r="H1368" t="s">
        <v>47</v>
      </c>
      <c r="I1368" s="3">
        <v>35551</v>
      </c>
      <c r="J1368" s="5" t="s">
        <v>50</v>
      </c>
      <c r="K1368" t="s">
        <v>47</v>
      </c>
      <c r="L1368" s="5" t="s">
        <v>60</v>
      </c>
      <c r="M1368" s="3">
        <v>35551</v>
      </c>
      <c r="N1368" s="5" t="s">
        <v>50</v>
      </c>
      <c r="O1368" t="s">
        <v>47</v>
      </c>
      <c r="P1368" s="3">
        <v>35551</v>
      </c>
      <c r="Q1368" s="5" t="s">
        <v>50</v>
      </c>
      <c r="R1368" t="s">
        <v>47</v>
      </c>
      <c r="S1368" t="s">
        <v>47</v>
      </c>
      <c r="T1368" t="s">
        <v>47</v>
      </c>
      <c r="U1368" t="s">
        <v>47</v>
      </c>
      <c r="V1368" t="s">
        <v>47</v>
      </c>
      <c r="W1368" s="3">
        <v>35551</v>
      </c>
      <c r="X1368" s="5" t="s">
        <v>50</v>
      </c>
      <c r="Y1368" t="s">
        <v>47</v>
      </c>
      <c r="Z1368" s="3">
        <v>35551</v>
      </c>
      <c r="AA1368" s="5" t="s">
        <v>50</v>
      </c>
      <c r="AB1368" t="s">
        <v>47</v>
      </c>
      <c r="AC1368" s="3">
        <v>35551</v>
      </c>
      <c r="AD1368" s="5" t="s">
        <v>50</v>
      </c>
      <c r="AE1368" t="s">
        <v>47</v>
      </c>
      <c r="AF1368" t="s">
        <v>47</v>
      </c>
      <c r="AG1368" t="s">
        <v>47</v>
      </c>
      <c r="AH1368" t="s">
        <v>47</v>
      </c>
      <c r="AI1368" t="s">
        <v>47</v>
      </c>
      <c r="AJ1368" t="s">
        <v>47</v>
      </c>
      <c r="AK1368" t="s">
        <v>47</v>
      </c>
      <c r="AL1368" t="s">
        <v>47</v>
      </c>
      <c r="AM1368" t="s">
        <v>47</v>
      </c>
      <c r="AN1368" t="s">
        <v>47</v>
      </c>
      <c r="AO1368" s="5" t="s">
        <v>60</v>
      </c>
      <c r="AP1368" s="4" t="s">
        <v>61</v>
      </c>
      <c r="AQ1368" s="4" t="s">
        <v>53</v>
      </c>
      <c r="AR1368" s="4" t="s">
        <v>577</v>
      </c>
      <c r="AS1368" s="5">
        <v>41411</v>
      </c>
      <c r="AT1368" t="s">
        <v>47</v>
      </c>
    </row>
    <row r="1369" spans="1:46" ht="91" x14ac:dyDescent="0.3">
      <c r="A1369" s="4" t="s">
        <v>5275</v>
      </c>
      <c r="B1369" t="s">
        <v>47</v>
      </c>
      <c r="C1369" s="4" t="s">
        <v>169</v>
      </c>
      <c r="D1369" s="4" t="s">
        <v>339</v>
      </c>
      <c r="E1369" s="4" t="s">
        <v>66</v>
      </c>
      <c r="F1369" s="5" t="s">
        <v>5276</v>
      </c>
      <c r="G1369" s="5" t="s">
        <v>5277</v>
      </c>
      <c r="H1369" t="s">
        <v>47</v>
      </c>
      <c r="I1369" s="3">
        <v>36039</v>
      </c>
      <c r="J1369" s="3">
        <v>36770</v>
      </c>
      <c r="K1369" t="s">
        <v>47</v>
      </c>
      <c r="L1369" s="5" t="s">
        <v>60</v>
      </c>
      <c r="M1369" s="3">
        <v>36039</v>
      </c>
      <c r="N1369" s="3">
        <v>36770</v>
      </c>
      <c r="O1369" t="s">
        <v>47</v>
      </c>
      <c r="P1369" s="3">
        <v>36039</v>
      </c>
      <c r="Q1369" s="3">
        <v>36770</v>
      </c>
      <c r="R1369" t="s">
        <v>47</v>
      </c>
      <c r="S1369" t="s">
        <v>47</v>
      </c>
      <c r="T1369" t="s">
        <v>47</v>
      </c>
      <c r="U1369" t="s">
        <v>47</v>
      </c>
      <c r="V1369" t="s">
        <v>47</v>
      </c>
      <c r="W1369" s="3">
        <v>36039</v>
      </c>
      <c r="X1369" s="3">
        <v>36770</v>
      </c>
      <c r="Y1369" t="s">
        <v>47</v>
      </c>
      <c r="Z1369" s="3">
        <v>36039</v>
      </c>
      <c r="AA1369" s="3">
        <v>36770</v>
      </c>
      <c r="AB1369" t="s">
        <v>47</v>
      </c>
      <c r="AC1369" t="s">
        <v>47</v>
      </c>
      <c r="AD1369" t="s">
        <v>47</v>
      </c>
      <c r="AE1369" t="s">
        <v>47</v>
      </c>
      <c r="AF1369" t="s">
        <v>47</v>
      </c>
      <c r="AG1369" t="s">
        <v>47</v>
      </c>
      <c r="AH1369" t="s">
        <v>47</v>
      </c>
      <c r="AI1369" t="s">
        <v>47</v>
      </c>
      <c r="AJ1369" t="s">
        <v>47</v>
      </c>
      <c r="AK1369" t="s">
        <v>47</v>
      </c>
      <c r="AL1369" t="s">
        <v>47</v>
      </c>
      <c r="AM1369" t="s">
        <v>47</v>
      </c>
      <c r="AN1369" t="s">
        <v>47</v>
      </c>
      <c r="AO1369" s="5" t="s">
        <v>51</v>
      </c>
      <c r="AP1369" s="4" t="s">
        <v>61</v>
      </c>
      <c r="AQ1369" s="4" t="s">
        <v>53</v>
      </c>
      <c r="AR1369" s="4" t="s">
        <v>1874</v>
      </c>
      <c r="AS1369" s="5">
        <v>33953</v>
      </c>
      <c r="AT1369" t="s">
        <v>47</v>
      </c>
    </row>
    <row r="1370" spans="1:46" ht="182" x14ac:dyDescent="0.3">
      <c r="A1370" s="4" t="s">
        <v>5278</v>
      </c>
      <c r="B1370" t="s">
        <v>47</v>
      </c>
      <c r="C1370" s="4" t="s">
        <v>122</v>
      </c>
      <c r="D1370" s="4" t="s">
        <v>70</v>
      </c>
      <c r="E1370" s="4" t="s">
        <v>123</v>
      </c>
      <c r="F1370" s="5" t="s">
        <v>5279</v>
      </c>
      <c r="G1370" s="5" t="s">
        <v>5280</v>
      </c>
      <c r="H1370" t="s">
        <v>47</v>
      </c>
      <c r="I1370" s="3">
        <v>37653</v>
      </c>
      <c r="J1370" s="5" t="s">
        <v>50</v>
      </c>
      <c r="K1370" t="s">
        <v>47</v>
      </c>
      <c r="L1370" s="5" t="s">
        <v>60</v>
      </c>
      <c r="M1370" s="3">
        <v>37653</v>
      </c>
      <c r="N1370" s="3">
        <v>42856</v>
      </c>
      <c r="O1370" t="s">
        <v>47</v>
      </c>
      <c r="P1370" s="3">
        <v>37653</v>
      </c>
      <c r="Q1370" s="5" t="s">
        <v>50</v>
      </c>
      <c r="R1370" t="s">
        <v>47</v>
      </c>
      <c r="S1370" t="s">
        <v>47</v>
      </c>
      <c r="T1370" t="s">
        <v>47</v>
      </c>
      <c r="U1370" t="s">
        <v>47</v>
      </c>
      <c r="V1370" s="5">
        <v>365</v>
      </c>
      <c r="W1370" s="3">
        <v>32540</v>
      </c>
      <c r="X1370" s="5" t="s">
        <v>50</v>
      </c>
      <c r="Y1370" t="s">
        <v>47</v>
      </c>
      <c r="Z1370" s="3">
        <v>32540</v>
      </c>
      <c r="AA1370" s="5" t="s">
        <v>50</v>
      </c>
      <c r="AB1370" t="s">
        <v>47</v>
      </c>
      <c r="AC1370" s="3">
        <v>32540</v>
      </c>
      <c r="AD1370" s="5" t="s">
        <v>50</v>
      </c>
      <c r="AE1370" t="s">
        <v>47</v>
      </c>
      <c r="AF1370" t="s">
        <v>47</v>
      </c>
      <c r="AG1370" t="s">
        <v>47</v>
      </c>
      <c r="AH1370" t="s">
        <v>47</v>
      </c>
      <c r="AI1370" t="s">
        <v>47</v>
      </c>
      <c r="AJ1370" t="s">
        <v>47</v>
      </c>
      <c r="AK1370" t="s">
        <v>47</v>
      </c>
      <c r="AL1370" t="s">
        <v>47</v>
      </c>
      <c r="AM1370" t="s">
        <v>47</v>
      </c>
      <c r="AN1370" t="s">
        <v>47</v>
      </c>
      <c r="AO1370" s="5" t="s">
        <v>60</v>
      </c>
      <c r="AP1370" s="4" t="s">
        <v>61</v>
      </c>
      <c r="AQ1370" t="s">
        <v>47</v>
      </c>
      <c r="AR1370" s="4" t="s">
        <v>5281</v>
      </c>
      <c r="AS1370" s="5">
        <v>48399</v>
      </c>
      <c r="AT1370" t="s">
        <v>47</v>
      </c>
    </row>
    <row r="1371" spans="1:46" ht="52" x14ac:dyDescent="0.3">
      <c r="A1371" s="4" t="s">
        <v>5282</v>
      </c>
      <c r="B1371" t="s">
        <v>47</v>
      </c>
      <c r="C1371" s="4" t="s">
        <v>122</v>
      </c>
      <c r="D1371" s="4" t="s">
        <v>206</v>
      </c>
      <c r="E1371" s="4" t="s">
        <v>123</v>
      </c>
      <c r="F1371" s="5" t="s">
        <v>5283</v>
      </c>
      <c r="G1371" s="5" t="s">
        <v>5284</v>
      </c>
      <c r="H1371" t="s">
        <v>47</v>
      </c>
      <c r="I1371" t="s">
        <v>47</v>
      </c>
      <c r="J1371" t="s">
        <v>47</v>
      </c>
      <c r="K1371" t="s">
        <v>47</v>
      </c>
      <c r="L1371" s="5" t="s">
        <v>60</v>
      </c>
      <c r="M1371" t="s">
        <v>47</v>
      </c>
      <c r="N1371" t="s">
        <v>47</v>
      </c>
      <c r="O1371" t="s">
        <v>47</v>
      </c>
      <c r="P1371" t="s">
        <v>47</v>
      </c>
      <c r="Q1371" t="s">
        <v>47</v>
      </c>
      <c r="R1371" t="s">
        <v>47</v>
      </c>
      <c r="S1371" t="s">
        <v>47</v>
      </c>
      <c r="T1371" t="s">
        <v>47</v>
      </c>
      <c r="U1371" t="s">
        <v>47</v>
      </c>
      <c r="V1371" t="s">
        <v>47</v>
      </c>
      <c r="W1371" s="3">
        <v>35431</v>
      </c>
      <c r="X1371" s="5" t="s">
        <v>50</v>
      </c>
      <c r="Y1371" s="5" t="s">
        <v>5285</v>
      </c>
      <c r="Z1371" s="3">
        <v>35431</v>
      </c>
      <c r="AA1371" s="5" t="s">
        <v>50</v>
      </c>
      <c r="AB1371" s="5" t="s">
        <v>5285</v>
      </c>
      <c r="AC1371" s="3">
        <v>35431</v>
      </c>
      <c r="AD1371" s="5" t="s">
        <v>50</v>
      </c>
      <c r="AE1371" s="5" t="s">
        <v>5285</v>
      </c>
      <c r="AF1371" t="s">
        <v>47</v>
      </c>
      <c r="AG1371" t="s">
        <v>47</v>
      </c>
      <c r="AH1371" t="s">
        <v>47</v>
      </c>
      <c r="AI1371" t="s">
        <v>47</v>
      </c>
      <c r="AJ1371" t="s">
        <v>47</v>
      </c>
      <c r="AK1371" t="s">
        <v>47</v>
      </c>
      <c r="AL1371" t="s">
        <v>47</v>
      </c>
      <c r="AM1371" t="s">
        <v>47</v>
      </c>
      <c r="AN1371" t="s">
        <v>47</v>
      </c>
      <c r="AO1371" s="5" t="s">
        <v>60</v>
      </c>
      <c r="AP1371" s="4" t="s">
        <v>61</v>
      </c>
      <c r="AQ1371" s="4" t="s">
        <v>53</v>
      </c>
      <c r="AR1371" s="4" t="s">
        <v>539</v>
      </c>
      <c r="AS1371" s="5">
        <v>2044181</v>
      </c>
      <c r="AT1371" t="s">
        <v>47</v>
      </c>
    </row>
    <row r="1372" spans="1:46" ht="26" x14ac:dyDescent="0.3">
      <c r="A1372" s="4" t="s">
        <v>5286</v>
      </c>
      <c r="B1372" t="s">
        <v>47</v>
      </c>
      <c r="C1372" s="4" t="s">
        <v>5286</v>
      </c>
      <c r="D1372" s="4" t="s">
        <v>5287</v>
      </c>
      <c r="E1372" s="4" t="s">
        <v>100</v>
      </c>
      <c r="F1372" s="5" t="s">
        <v>5288</v>
      </c>
      <c r="G1372" t="s">
        <v>47</v>
      </c>
      <c r="H1372" t="s">
        <v>47</v>
      </c>
      <c r="I1372" s="3">
        <v>35765</v>
      </c>
      <c r="J1372" s="3">
        <v>43800</v>
      </c>
      <c r="K1372" t="s">
        <v>47</v>
      </c>
      <c r="L1372" s="5" t="s">
        <v>51</v>
      </c>
      <c r="M1372" s="3">
        <v>35765</v>
      </c>
      <c r="N1372" s="3">
        <v>43800</v>
      </c>
      <c r="O1372" t="s">
        <v>47</v>
      </c>
      <c r="P1372" s="3">
        <v>36192</v>
      </c>
      <c r="Q1372" s="3">
        <v>43800</v>
      </c>
      <c r="R1372" t="s">
        <v>47</v>
      </c>
      <c r="S1372" t="s">
        <v>47</v>
      </c>
      <c r="T1372" t="s">
        <v>47</v>
      </c>
      <c r="U1372" t="s">
        <v>47</v>
      </c>
      <c r="V1372" t="s">
        <v>47</v>
      </c>
      <c r="W1372" s="3">
        <v>34973</v>
      </c>
      <c r="X1372" s="3">
        <v>43800</v>
      </c>
      <c r="Y1372" t="s">
        <v>47</v>
      </c>
      <c r="Z1372" s="3">
        <v>34973</v>
      </c>
      <c r="AA1372" s="3">
        <v>43800</v>
      </c>
      <c r="AB1372" t="s">
        <v>47</v>
      </c>
      <c r="AC1372" s="3">
        <v>35765</v>
      </c>
      <c r="AD1372" s="3">
        <v>43800</v>
      </c>
      <c r="AE1372" t="s">
        <v>47</v>
      </c>
      <c r="AF1372" t="s">
        <v>47</v>
      </c>
      <c r="AG1372" t="s">
        <v>47</v>
      </c>
      <c r="AH1372" t="s">
        <v>47</v>
      </c>
      <c r="AI1372" t="s">
        <v>47</v>
      </c>
      <c r="AJ1372" t="s">
        <v>47</v>
      </c>
      <c r="AK1372" t="s">
        <v>47</v>
      </c>
      <c r="AL1372" t="s">
        <v>47</v>
      </c>
      <c r="AM1372" t="s">
        <v>47</v>
      </c>
      <c r="AN1372" t="s">
        <v>47</v>
      </c>
      <c r="AO1372" s="5" t="s">
        <v>51</v>
      </c>
      <c r="AP1372" s="4" t="s">
        <v>135</v>
      </c>
      <c r="AQ1372" s="4" t="s">
        <v>53</v>
      </c>
      <c r="AR1372" s="4" t="s">
        <v>580</v>
      </c>
      <c r="AS1372" s="5">
        <v>46279</v>
      </c>
      <c r="AT1372" t="s">
        <v>47</v>
      </c>
    </row>
    <row r="1373" spans="1:46" ht="143" x14ac:dyDescent="0.3">
      <c r="A1373" s="4" t="s">
        <v>5289</v>
      </c>
      <c r="B1373" t="s">
        <v>47</v>
      </c>
      <c r="C1373" s="4" t="s">
        <v>122</v>
      </c>
      <c r="D1373" s="4" t="s">
        <v>70</v>
      </c>
      <c r="E1373" s="4" t="s">
        <v>123</v>
      </c>
      <c r="F1373" s="5" t="s">
        <v>5290</v>
      </c>
      <c r="G1373" s="5" t="s">
        <v>5291</v>
      </c>
      <c r="H1373" t="s">
        <v>47</v>
      </c>
      <c r="I1373" s="3">
        <v>41699</v>
      </c>
      <c r="J1373" s="5" t="s">
        <v>50</v>
      </c>
      <c r="K1373" t="s">
        <v>47</v>
      </c>
      <c r="L1373" s="5" t="s">
        <v>60</v>
      </c>
      <c r="M1373" s="3">
        <v>41699</v>
      </c>
      <c r="N1373" s="3">
        <v>42795</v>
      </c>
      <c r="O1373" t="s">
        <v>47</v>
      </c>
      <c r="P1373" s="3">
        <v>41699</v>
      </c>
      <c r="Q1373" s="5" t="s">
        <v>50</v>
      </c>
      <c r="R1373" t="s">
        <v>47</v>
      </c>
      <c r="S1373" t="s">
        <v>47</v>
      </c>
      <c r="T1373" t="s">
        <v>47</v>
      </c>
      <c r="U1373" t="s">
        <v>47</v>
      </c>
      <c r="V1373" s="5">
        <v>365</v>
      </c>
      <c r="W1373" s="3">
        <v>41699</v>
      </c>
      <c r="X1373" s="5" t="s">
        <v>50</v>
      </c>
      <c r="Y1373" t="s">
        <v>47</v>
      </c>
      <c r="Z1373" s="3">
        <v>41699</v>
      </c>
      <c r="AA1373" s="5" t="s">
        <v>50</v>
      </c>
      <c r="AB1373" t="s">
        <v>47</v>
      </c>
      <c r="AC1373" s="3">
        <v>41791</v>
      </c>
      <c r="AD1373" s="5" t="s">
        <v>50</v>
      </c>
      <c r="AE1373" t="s">
        <v>47</v>
      </c>
      <c r="AF1373" t="s">
        <v>47</v>
      </c>
      <c r="AG1373" t="s">
        <v>47</v>
      </c>
      <c r="AH1373" t="s">
        <v>47</v>
      </c>
      <c r="AI1373" t="s">
        <v>47</v>
      </c>
      <c r="AJ1373" t="s">
        <v>47</v>
      </c>
      <c r="AK1373" t="s">
        <v>47</v>
      </c>
      <c r="AL1373" t="s">
        <v>47</v>
      </c>
      <c r="AM1373" t="s">
        <v>47</v>
      </c>
      <c r="AN1373" t="s">
        <v>47</v>
      </c>
      <c r="AO1373" s="5" t="s">
        <v>60</v>
      </c>
      <c r="AP1373" s="4" t="s">
        <v>61</v>
      </c>
      <c r="AQ1373" s="4" t="s">
        <v>53</v>
      </c>
      <c r="AR1373" s="4" t="s">
        <v>5292</v>
      </c>
      <c r="AS1373" s="5">
        <v>2034518</v>
      </c>
      <c r="AT1373" t="s">
        <v>47</v>
      </c>
    </row>
    <row r="1374" spans="1:46" ht="39" x14ac:dyDescent="0.3">
      <c r="A1374" s="4" t="s">
        <v>5293</v>
      </c>
      <c r="B1374" t="s">
        <v>47</v>
      </c>
      <c r="C1374" s="4" t="s">
        <v>5294</v>
      </c>
      <c r="D1374" s="4" t="s">
        <v>5295</v>
      </c>
      <c r="E1374" s="4" t="s">
        <v>151</v>
      </c>
      <c r="F1374" s="5" t="s">
        <v>5296</v>
      </c>
      <c r="G1374" s="5" t="s">
        <v>5297</v>
      </c>
      <c r="H1374" t="s">
        <v>47</v>
      </c>
      <c r="I1374" s="3">
        <v>40544</v>
      </c>
      <c r="J1374" s="5" t="s">
        <v>50</v>
      </c>
      <c r="K1374" t="s">
        <v>47</v>
      </c>
      <c r="L1374" s="5" t="s">
        <v>60</v>
      </c>
      <c r="M1374" s="3">
        <v>40544</v>
      </c>
      <c r="N1374" s="5" t="s">
        <v>50</v>
      </c>
      <c r="O1374" t="s">
        <v>47</v>
      </c>
      <c r="P1374" s="3">
        <v>40544</v>
      </c>
      <c r="Q1374" s="5" t="s">
        <v>50</v>
      </c>
      <c r="R1374" t="s">
        <v>47</v>
      </c>
      <c r="S1374" t="s">
        <v>47</v>
      </c>
      <c r="T1374" t="s">
        <v>47</v>
      </c>
      <c r="U1374" t="s">
        <v>47</v>
      </c>
      <c r="V1374" t="s">
        <v>47</v>
      </c>
      <c r="W1374" s="3">
        <v>40544</v>
      </c>
      <c r="X1374" s="5" t="s">
        <v>50</v>
      </c>
      <c r="Y1374" t="s">
        <v>47</v>
      </c>
      <c r="Z1374" s="3">
        <v>40544</v>
      </c>
      <c r="AA1374" s="5" t="s">
        <v>50</v>
      </c>
      <c r="AB1374" t="s">
        <v>47</v>
      </c>
      <c r="AC1374" s="3">
        <v>40544</v>
      </c>
      <c r="AD1374" s="5" t="s">
        <v>50</v>
      </c>
      <c r="AE1374" t="s">
        <v>47</v>
      </c>
      <c r="AF1374" t="s">
        <v>47</v>
      </c>
      <c r="AG1374" t="s">
        <v>47</v>
      </c>
      <c r="AH1374" t="s">
        <v>47</v>
      </c>
      <c r="AI1374" t="s">
        <v>47</v>
      </c>
      <c r="AJ1374" t="s">
        <v>47</v>
      </c>
      <c r="AK1374" t="s">
        <v>47</v>
      </c>
      <c r="AL1374" t="s">
        <v>47</v>
      </c>
      <c r="AM1374" t="s">
        <v>47</v>
      </c>
      <c r="AN1374" t="s">
        <v>47</v>
      </c>
      <c r="AO1374" s="5" t="s">
        <v>60</v>
      </c>
      <c r="AP1374" s="4" t="s">
        <v>61</v>
      </c>
      <c r="AQ1374" s="4" t="s">
        <v>53</v>
      </c>
      <c r="AR1374" s="4" t="s">
        <v>54</v>
      </c>
      <c r="AS1374" s="5">
        <v>2032483</v>
      </c>
      <c r="AT1374" t="s">
        <v>47</v>
      </c>
    </row>
    <row r="1375" spans="1:46" ht="13" x14ac:dyDescent="0.3">
      <c r="A1375" s="4" t="s">
        <v>5298</v>
      </c>
      <c r="B1375" t="s">
        <v>47</v>
      </c>
      <c r="C1375" s="4" t="s">
        <v>93</v>
      </c>
      <c r="D1375" s="4" t="s">
        <v>139</v>
      </c>
      <c r="E1375" s="4" t="s">
        <v>49</v>
      </c>
      <c r="F1375" t="s">
        <v>47</v>
      </c>
      <c r="G1375" s="5" t="s">
        <v>5299</v>
      </c>
      <c r="H1375" t="s">
        <v>47</v>
      </c>
      <c r="I1375" t="s">
        <v>47</v>
      </c>
      <c r="J1375" t="s">
        <v>47</v>
      </c>
      <c r="K1375" t="s">
        <v>47</v>
      </c>
      <c r="L1375" s="5" t="s">
        <v>60</v>
      </c>
      <c r="M1375" t="s">
        <v>47</v>
      </c>
      <c r="N1375" t="s">
        <v>47</v>
      </c>
      <c r="O1375" t="s">
        <v>47</v>
      </c>
      <c r="P1375" t="s">
        <v>47</v>
      </c>
      <c r="Q1375" t="s">
        <v>47</v>
      </c>
      <c r="R1375" t="s">
        <v>47</v>
      </c>
      <c r="S1375" t="s">
        <v>47</v>
      </c>
      <c r="T1375" t="s">
        <v>47</v>
      </c>
      <c r="U1375" t="s">
        <v>47</v>
      </c>
      <c r="V1375" t="s">
        <v>47</v>
      </c>
      <c r="W1375" s="3">
        <v>41306</v>
      </c>
      <c r="X1375" s="5" t="s">
        <v>50</v>
      </c>
      <c r="Y1375" t="s">
        <v>47</v>
      </c>
      <c r="Z1375" s="3">
        <v>41306</v>
      </c>
      <c r="AA1375" s="5" t="s">
        <v>50</v>
      </c>
      <c r="AB1375" t="s">
        <v>47</v>
      </c>
      <c r="AC1375" s="3">
        <v>41306</v>
      </c>
      <c r="AD1375" s="5" t="s">
        <v>50</v>
      </c>
      <c r="AE1375" t="s">
        <v>47</v>
      </c>
      <c r="AF1375" t="s">
        <v>47</v>
      </c>
      <c r="AG1375" t="s">
        <v>47</v>
      </c>
      <c r="AH1375" t="s">
        <v>47</v>
      </c>
      <c r="AI1375" t="s">
        <v>47</v>
      </c>
      <c r="AJ1375" t="s">
        <v>47</v>
      </c>
      <c r="AK1375" t="s">
        <v>47</v>
      </c>
      <c r="AL1375" t="s">
        <v>47</v>
      </c>
      <c r="AM1375" t="s">
        <v>47</v>
      </c>
      <c r="AN1375" t="s">
        <v>47</v>
      </c>
      <c r="AO1375" s="5" t="s">
        <v>60</v>
      </c>
      <c r="AP1375" s="4" t="s">
        <v>61</v>
      </c>
      <c r="AQ1375" s="4" t="s">
        <v>53</v>
      </c>
      <c r="AR1375" s="4" t="s">
        <v>54</v>
      </c>
      <c r="AS1375" s="5">
        <v>2034405</v>
      </c>
      <c r="AT1375" t="s">
        <v>47</v>
      </c>
    </row>
    <row r="1376" spans="1:46" ht="65" x14ac:dyDescent="0.3">
      <c r="A1376" s="4" t="s">
        <v>5300</v>
      </c>
      <c r="B1376" t="s">
        <v>47</v>
      </c>
      <c r="C1376" s="4" t="s">
        <v>279</v>
      </c>
      <c r="D1376" s="4" t="s">
        <v>88</v>
      </c>
      <c r="E1376" s="4" t="s">
        <v>49</v>
      </c>
      <c r="F1376" s="5" t="s">
        <v>5301</v>
      </c>
      <c r="G1376" s="5" t="s">
        <v>5302</v>
      </c>
      <c r="H1376" t="s">
        <v>47</v>
      </c>
      <c r="I1376" s="3">
        <v>32234</v>
      </c>
      <c r="J1376" s="3">
        <v>40148</v>
      </c>
      <c r="K1376" t="s">
        <v>47</v>
      </c>
      <c r="L1376" s="5" t="s">
        <v>60</v>
      </c>
      <c r="M1376" s="3">
        <v>34425</v>
      </c>
      <c r="N1376" s="3">
        <v>40148</v>
      </c>
      <c r="O1376" t="s">
        <v>47</v>
      </c>
      <c r="P1376" s="3">
        <v>32234</v>
      </c>
      <c r="Q1376" s="3">
        <v>40148</v>
      </c>
      <c r="R1376" t="s">
        <v>47</v>
      </c>
      <c r="S1376" t="s">
        <v>47</v>
      </c>
      <c r="T1376" t="s">
        <v>47</v>
      </c>
      <c r="U1376" t="s">
        <v>47</v>
      </c>
      <c r="V1376" t="s">
        <v>47</v>
      </c>
      <c r="W1376" s="3">
        <v>31503</v>
      </c>
      <c r="X1376" s="5" t="s">
        <v>50</v>
      </c>
      <c r="Y1376" t="s">
        <v>47</v>
      </c>
      <c r="Z1376" s="3">
        <v>31503</v>
      </c>
      <c r="AA1376" s="5" t="s">
        <v>50</v>
      </c>
      <c r="AB1376" t="s">
        <v>47</v>
      </c>
      <c r="AC1376" s="3">
        <v>31503</v>
      </c>
      <c r="AD1376" s="5" t="s">
        <v>50</v>
      </c>
      <c r="AE1376" t="s">
        <v>47</v>
      </c>
      <c r="AF1376" t="s">
        <v>47</v>
      </c>
      <c r="AG1376" t="s">
        <v>47</v>
      </c>
      <c r="AH1376" t="s">
        <v>47</v>
      </c>
      <c r="AI1376" t="s">
        <v>47</v>
      </c>
      <c r="AJ1376" t="s">
        <v>47</v>
      </c>
      <c r="AK1376" t="s">
        <v>47</v>
      </c>
      <c r="AL1376" t="s">
        <v>47</v>
      </c>
      <c r="AM1376" t="s">
        <v>47</v>
      </c>
      <c r="AN1376" t="s">
        <v>47</v>
      </c>
      <c r="AO1376" s="5" t="s">
        <v>60</v>
      </c>
      <c r="AP1376" s="4" t="s">
        <v>61</v>
      </c>
      <c r="AQ1376" s="4" t="s">
        <v>53</v>
      </c>
      <c r="AR1376" s="4" t="s">
        <v>285</v>
      </c>
      <c r="AS1376" s="5">
        <v>42090</v>
      </c>
      <c r="AT1376" t="s">
        <v>47</v>
      </c>
    </row>
    <row r="1377" spans="1:46" ht="39" x14ac:dyDescent="0.3">
      <c r="A1377" s="4" t="s">
        <v>5303</v>
      </c>
      <c r="B1377" t="s">
        <v>47</v>
      </c>
      <c r="C1377" s="4" t="s">
        <v>884</v>
      </c>
      <c r="D1377" s="4" t="s">
        <v>885</v>
      </c>
      <c r="E1377" s="4" t="s">
        <v>49</v>
      </c>
      <c r="F1377" s="5" t="s">
        <v>5304</v>
      </c>
      <c r="G1377" s="5" t="s">
        <v>5305</v>
      </c>
      <c r="H1377" t="s">
        <v>47</v>
      </c>
      <c r="I1377" s="3">
        <v>37622</v>
      </c>
      <c r="J1377" s="5" t="s">
        <v>50</v>
      </c>
      <c r="K1377" t="s">
        <v>47</v>
      </c>
      <c r="L1377" s="5" t="s">
        <v>60</v>
      </c>
      <c r="M1377" s="3">
        <v>37622</v>
      </c>
      <c r="N1377" s="5" t="s">
        <v>50</v>
      </c>
      <c r="O1377" t="s">
        <v>47</v>
      </c>
      <c r="P1377" s="3">
        <v>37622</v>
      </c>
      <c r="Q1377" s="5" t="s">
        <v>50</v>
      </c>
      <c r="R1377" t="s">
        <v>47</v>
      </c>
      <c r="S1377" t="s">
        <v>47</v>
      </c>
      <c r="T1377" t="s">
        <v>47</v>
      </c>
      <c r="U1377" t="s">
        <v>47</v>
      </c>
      <c r="V1377" s="5">
        <v>365</v>
      </c>
      <c r="W1377" s="3">
        <v>37622</v>
      </c>
      <c r="X1377" s="5" t="s">
        <v>50</v>
      </c>
      <c r="Y1377" t="s">
        <v>47</v>
      </c>
      <c r="Z1377" s="3">
        <v>37622</v>
      </c>
      <c r="AA1377" s="5" t="s">
        <v>50</v>
      </c>
      <c r="AB1377" t="s">
        <v>47</v>
      </c>
      <c r="AC1377" s="3">
        <v>37622</v>
      </c>
      <c r="AD1377" s="5" t="s">
        <v>50</v>
      </c>
      <c r="AE1377" t="s">
        <v>47</v>
      </c>
      <c r="AF1377" t="s">
        <v>47</v>
      </c>
      <c r="AG1377" t="s">
        <v>47</v>
      </c>
      <c r="AH1377" t="s">
        <v>47</v>
      </c>
      <c r="AI1377" t="s">
        <v>47</v>
      </c>
      <c r="AJ1377" t="s">
        <v>47</v>
      </c>
      <c r="AK1377" t="s">
        <v>47</v>
      </c>
      <c r="AL1377" t="s">
        <v>47</v>
      </c>
      <c r="AM1377" t="s">
        <v>47</v>
      </c>
      <c r="AN1377" t="s">
        <v>47</v>
      </c>
      <c r="AO1377" s="5" t="s">
        <v>60</v>
      </c>
      <c r="AP1377" s="4" t="s">
        <v>61</v>
      </c>
      <c r="AQ1377" s="4" t="s">
        <v>53</v>
      </c>
      <c r="AR1377" s="4" t="s">
        <v>62</v>
      </c>
      <c r="AS1377" s="5">
        <v>37879</v>
      </c>
      <c r="AT1377" t="s">
        <v>47</v>
      </c>
    </row>
    <row r="1378" spans="1:46" ht="78" x14ac:dyDescent="0.3">
      <c r="A1378" s="4" t="s">
        <v>5306</v>
      </c>
      <c r="B1378" t="s">
        <v>47</v>
      </c>
      <c r="C1378" s="4" t="s">
        <v>193</v>
      </c>
      <c r="D1378" s="4" t="s">
        <v>194</v>
      </c>
      <c r="E1378" s="4" t="s">
        <v>195</v>
      </c>
      <c r="F1378" s="5" t="s">
        <v>5307</v>
      </c>
      <c r="G1378" s="5" t="s">
        <v>5308</v>
      </c>
      <c r="H1378" t="s">
        <v>47</v>
      </c>
      <c r="I1378" s="3">
        <v>40909</v>
      </c>
      <c r="J1378" s="5" t="s">
        <v>50</v>
      </c>
      <c r="K1378" s="5" t="s">
        <v>1923</v>
      </c>
      <c r="L1378" s="5" t="s">
        <v>51</v>
      </c>
      <c r="M1378" s="3">
        <v>40909</v>
      </c>
      <c r="N1378" s="3">
        <v>44562</v>
      </c>
      <c r="O1378" s="5" t="s">
        <v>1923</v>
      </c>
      <c r="P1378" s="3">
        <v>40909</v>
      </c>
      <c r="Q1378" s="5" t="s">
        <v>50</v>
      </c>
      <c r="R1378" s="5" t="s">
        <v>1923</v>
      </c>
      <c r="S1378" t="s">
        <v>47</v>
      </c>
      <c r="T1378" t="s">
        <v>47</v>
      </c>
      <c r="U1378" t="s">
        <v>47</v>
      </c>
      <c r="V1378" s="5">
        <v>180</v>
      </c>
      <c r="W1378" s="3">
        <v>40909</v>
      </c>
      <c r="X1378" s="5" t="s">
        <v>50</v>
      </c>
      <c r="Y1378" s="5" t="s">
        <v>1923</v>
      </c>
      <c r="Z1378" s="3">
        <v>40909</v>
      </c>
      <c r="AA1378" s="5" t="s">
        <v>50</v>
      </c>
      <c r="AB1378" s="5" t="s">
        <v>1923</v>
      </c>
      <c r="AC1378" s="3">
        <v>40909</v>
      </c>
      <c r="AD1378" s="5" t="s">
        <v>50</v>
      </c>
      <c r="AE1378" s="5" t="s">
        <v>1923</v>
      </c>
      <c r="AF1378" t="s">
        <v>47</v>
      </c>
      <c r="AG1378" t="s">
        <v>47</v>
      </c>
      <c r="AH1378" t="s">
        <v>47</v>
      </c>
      <c r="AI1378" t="s">
        <v>47</v>
      </c>
      <c r="AJ1378" t="s">
        <v>47</v>
      </c>
      <c r="AK1378" t="s">
        <v>47</v>
      </c>
      <c r="AL1378" t="s">
        <v>47</v>
      </c>
      <c r="AM1378" t="s">
        <v>47</v>
      </c>
      <c r="AN1378" t="s">
        <v>47</v>
      </c>
      <c r="AO1378" s="5" t="s">
        <v>51</v>
      </c>
      <c r="AP1378" s="4" t="s">
        <v>853</v>
      </c>
      <c r="AQ1378" s="4" t="s">
        <v>53</v>
      </c>
      <c r="AR1378" s="4" t="s">
        <v>136</v>
      </c>
      <c r="AS1378" s="5">
        <v>2026448</v>
      </c>
      <c r="AT1378" t="s">
        <v>47</v>
      </c>
    </row>
    <row r="1379" spans="1:46" ht="26" x14ac:dyDescent="0.3">
      <c r="A1379" s="4" t="s">
        <v>5309</v>
      </c>
      <c r="B1379" t="s">
        <v>47</v>
      </c>
      <c r="C1379" s="4" t="s">
        <v>5310</v>
      </c>
      <c r="D1379" s="4" t="s">
        <v>5311</v>
      </c>
      <c r="E1379" s="4" t="s">
        <v>908</v>
      </c>
      <c r="F1379" s="5" t="s">
        <v>5312</v>
      </c>
      <c r="G1379" s="5" t="s">
        <v>5313</v>
      </c>
      <c r="H1379" t="s">
        <v>47</v>
      </c>
      <c r="I1379" s="3">
        <v>41000</v>
      </c>
      <c r="J1379" s="5" t="s">
        <v>50</v>
      </c>
      <c r="K1379" t="s">
        <v>47</v>
      </c>
      <c r="L1379" s="5" t="s">
        <v>60</v>
      </c>
      <c r="M1379" t="s">
        <v>47</v>
      </c>
      <c r="N1379" t="s">
        <v>47</v>
      </c>
      <c r="O1379" t="s">
        <v>47</v>
      </c>
      <c r="P1379" s="3">
        <v>41000</v>
      </c>
      <c r="Q1379" s="5" t="s">
        <v>50</v>
      </c>
      <c r="R1379" t="s">
        <v>47</v>
      </c>
      <c r="S1379" t="s">
        <v>47</v>
      </c>
      <c r="T1379" t="s">
        <v>47</v>
      </c>
      <c r="U1379" t="s">
        <v>47</v>
      </c>
      <c r="V1379" t="s">
        <v>47</v>
      </c>
      <c r="W1379" s="3">
        <v>41000</v>
      </c>
      <c r="X1379" s="5" t="s">
        <v>50</v>
      </c>
      <c r="Y1379" t="s">
        <v>47</v>
      </c>
      <c r="Z1379" s="3">
        <v>41000</v>
      </c>
      <c r="AA1379" s="5" t="s">
        <v>50</v>
      </c>
      <c r="AB1379" t="s">
        <v>47</v>
      </c>
      <c r="AC1379" s="3">
        <v>41000</v>
      </c>
      <c r="AD1379" s="5" t="s">
        <v>50</v>
      </c>
      <c r="AE1379" t="s">
        <v>47</v>
      </c>
      <c r="AF1379" t="s">
        <v>47</v>
      </c>
      <c r="AG1379" t="s">
        <v>47</v>
      </c>
      <c r="AH1379" t="s">
        <v>47</v>
      </c>
      <c r="AI1379" t="s">
        <v>47</v>
      </c>
      <c r="AJ1379" t="s">
        <v>47</v>
      </c>
      <c r="AK1379" t="s">
        <v>47</v>
      </c>
      <c r="AL1379" t="s">
        <v>47</v>
      </c>
      <c r="AM1379" t="s">
        <v>47</v>
      </c>
      <c r="AN1379" t="s">
        <v>47</v>
      </c>
      <c r="AO1379" s="5" t="s">
        <v>60</v>
      </c>
      <c r="AP1379" s="4" t="s">
        <v>61</v>
      </c>
      <c r="AQ1379" s="4" t="s">
        <v>5314</v>
      </c>
      <c r="AR1379" s="4" t="s">
        <v>54</v>
      </c>
      <c r="AS1379" s="5">
        <v>1316364</v>
      </c>
      <c r="AT1379" t="s">
        <v>47</v>
      </c>
    </row>
    <row r="1380" spans="1:46" ht="13" x14ac:dyDescent="0.3">
      <c r="A1380" s="4" t="s">
        <v>5315</v>
      </c>
      <c r="B1380" t="s">
        <v>47</v>
      </c>
      <c r="C1380" s="4" t="s">
        <v>5316</v>
      </c>
      <c r="D1380" s="4" t="s">
        <v>2533</v>
      </c>
      <c r="E1380" s="4" t="s">
        <v>1448</v>
      </c>
      <c r="F1380" s="5" t="s">
        <v>5317</v>
      </c>
      <c r="G1380" t="s">
        <v>47</v>
      </c>
      <c r="H1380" t="s">
        <v>47</v>
      </c>
      <c r="I1380" s="3">
        <v>41275</v>
      </c>
      <c r="J1380" s="3">
        <v>43831</v>
      </c>
      <c r="K1380" t="s">
        <v>47</v>
      </c>
      <c r="L1380" s="5" t="s">
        <v>60</v>
      </c>
      <c r="M1380" s="3">
        <v>42370</v>
      </c>
      <c r="N1380" s="3">
        <v>43831</v>
      </c>
      <c r="O1380" t="s">
        <v>47</v>
      </c>
      <c r="P1380" s="3">
        <v>41275</v>
      </c>
      <c r="Q1380" s="3">
        <v>43831</v>
      </c>
      <c r="R1380" t="s">
        <v>47</v>
      </c>
      <c r="S1380" t="s">
        <v>47</v>
      </c>
      <c r="T1380" t="s">
        <v>47</v>
      </c>
      <c r="U1380" t="s">
        <v>47</v>
      </c>
      <c r="V1380" t="s">
        <v>47</v>
      </c>
      <c r="W1380" s="3">
        <v>41275</v>
      </c>
      <c r="X1380" s="3">
        <v>43831</v>
      </c>
      <c r="Y1380" t="s">
        <v>47</v>
      </c>
      <c r="Z1380" s="3">
        <v>41275</v>
      </c>
      <c r="AA1380" s="3">
        <v>43831</v>
      </c>
      <c r="AB1380" t="s">
        <v>47</v>
      </c>
      <c r="AC1380" s="3">
        <v>41275</v>
      </c>
      <c r="AD1380" s="3">
        <v>43831</v>
      </c>
      <c r="AE1380" t="s">
        <v>47</v>
      </c>
      <c r="AF1380" t="s">
        <v>47</v>
      </c>
      <c r="AG1380" t="s">
        <v>47</v>
      </c>
      <c r="AH1380" t="s">
        <v>47</v>
      </c>
      <c r="AI1380" t="s">
        <v>47</v>
      </c>
      <c r="AJ1380" t="s">
        <v>47</v>
      </c>
      <c r="AK1380" t="s">
        <v>47</v>
      </c>
      <c r="AL1380" t="s">
        <v>47</v>
      </c>
      <c r="AM1380" t="s">
        <v>47</v>
      </c>
      <c r="AN1380" t="s">
        <v>47</v>
      </c>
      <c r="AO1380" s="5" t="s">
        <v>51</v>
      </c>
      <c r="AP1380" s="4" t="s">
        <v>61</v>
      </c>
      <c r="AQ1380" s="4" t="s">
        <v>119</v>
      </c>
      <c r="AR1380" s="4" t="s">
        <v>54</v>
      </c>
      <c r="AS1380" s="5">
        <v>2042934</v>
      </c>
      <c r="AT1380" t="s">
        <v>47</v>
      </c>
    </row>
    <row r="1381" spans="1:46" ht="39" x14ac:dyDescent="0.3">
      <c r="A1381" s="4" t="s">
        <v>5318</v>
      </c>
      <c r="B1381" t="s">
        <v>47</v>
      </c>
      <c r="C1381" s="4" t="s">
        <v>5319</v>
      </c>
      <c r="D1381" s="4" t="s">
        <v>5320</v>
      </c>
      <c r="E1381" s="4" t="s">
        <v>156</v>
      </c>
      <c r="F1381" t="s">
        <v>47</v>
      </c>
      <c r="G1381" s="5" t="s">
        <v>5321</v>
      </c>
      <c r="H1381" t="s">
        <v>47</v>
      </c>
      <c r="I1381" s="3">
        <v>42370</v>
      </c>
      <c r="J1381" s="3">
        <v>43466</v>
      </c>
      <c r="K1381" t="s">
        <v>47</v>
      </c>
      <c r="L1381" s="5" t="s">
        <v>60</v>
      </c>
      <c r="M1381" t="s">
        <v>47</v>
      </c>
      <c r="N1381" t="s">
        <v>47</v>
      </c>
      <c r="O1381" t="s">
        <v>47</v>
      </c>
      <c r="P1381" s="3">
        <v>42370</v>
      </c>
      <c r="Q1381" s="3">
        <v>43466</v>
      </c>
      <c r="R1381" t="s">
        <v>47</v>
      </c>
      <c r="S1381" t="s">
        <v>47</v>
      </c>
      <c r="T1381" t="s">
        <v>47</v>
      </c>
      <c r="U1381" t="s">
        <v>47</v>
      </c>
      <c r="V1381" t="s">
        <v>47</v>
      </c>
      <c r="W1381" s="3">
        <v>42370</v>
      </c>
      <c r="X1381" s="3">
        <v>43466</v>
      </c>
      <c r="Y1381" t="s">
        <v>47</v>
      </c>
      <c r="Z1381" s="3">
        <v>42370</v>
      </c>
      <c r="AA1381" s="3">
        <v>43466</v>
      </c>
      <c r="AB1381" t="s">
        <v>47</v>
      </c>
      <c r="AC1381" s="3">
        <v>42370</v>
      </c>
      <c r="AD1381" s="3">
        <v>43466</v>
      </c>
      <c r="AE1381" t="s">
        <v>47</v>
      </c>
      <c r="AF1381" t="s">
        <v>47</v>
      </c>
      <c r="AG1381" t="s">
        <v>47</v>
      </c>
      <c r="AH1381" t="s">
        <v>47</v>
      </c>
      <c r="AI1381" t="s">
        <v>47</v>
      </c>
      <c r="AJ1381" t="s">
        <v>47</v>
      </c>
      <c r="AK1381" t="s">
        <v>47</v>
      </c>
      <c r="AL1381" t="s">
        <v>47</v>
      </c>
      <c r="AM1381" t="s">
        <v>47</v>
      </c>
      <c r="AN1381" t="s">
        <v>47</v>
      </c>
      <c r="AO1381" s="5" t="s">
        <v>60</v>
      </c>
      <c r="AP1381" s="4" t="s">
        <v>61</v>
      </c>
      <c r="AQ1381" s="4" t="s">
        <v>1677</v>
      </c>
      <c r="AR1381" s="4" t="s">
        <v>54</v>
      </c>
      <c r="AS1381" s="5">
        <v>4392949</v>
      </c>
      <c r="AT1381" t="s">
        <v>47</v>
      </c>
    </row>
    <row r="1382" spans="1:46" ht="26" x14ac:dyDescent="0.3">
      <c r="A1382" s="4" t="s">
        <v>5322</v>
      </c>
      <c r="B1382" t="s">
        <v>47</v>
      </c>
      <c r="C1382" s="4" t="s">
        <v>5323</v>
      </c>
      <c r="D1382" s="4" t="s">
        <v>5324</v>
      </c>
      <c r="E1382" s="4" t="s">
        <v>156</v>
      </c>
      <c r="F1382" s="5" t="s">
        <v>5325</v>
      </c>
      <c r="G1382" s="5" t="s">
        <v>5326</v>
      </c>
      <c r="H1382" t="s">
        <v>47</v>
      </c>
      <c r="I1382" s="3">
        <v>41640</v>
      </c>
      <c r="J1382" s="5" t="s">
        <v>50</v>
      </c>
      <c r="K1382" t="s">
        <v>47</v>
      </c>
      <c r="L1382" s="5" t="s">
        <v>60</v>
      </c>
      <c r="M1382" t="s">
        <v>47</v>
      </c>
      <c r="N1382" t="s">
        <v>47</v>
      </c>
      <c r="O1382" t="s">
        <v>47</v>
      </c>
      <c r="P1382" s="3">
        <v>41640</v>
      </c>
      <c r="Q1382" s="5" t="s">
        <v>50</v>
      </c>
      <c r="R1382" t="s">
        <v>47</v>
      </c>
      <c r="S1382" t="s">
        <v>47</v>
      </c>
      <c r="T1382" t="s">
        <v>47</v>
      </c>
      <c r="U1382" t="s">
        <v>47</v>
      </c>
      <c r="V1382" t="s">
        <v>47</v>
      </c>
      <c r="W1382" s="3">
        <v>41640</v>
      </c>
      <c r="X1382" s="5" t="s">
        <v>50</v>
      </c>
      <c r="Y1382" t="s">
        <v>47</v>
      </c>
      <c r="Z1382" s="3">
        <v>41640</v>
      </c>
      <c r="AA1382" s="5" t="s">
        <v>50</v>
      </c>
      <c r="AB1382" t="s">
        <v>47</v>
      </c>
      <c r="AC1382" s="3">
        <v>41640</v>
      </c>
      <c r="AD1382" s="5" t="s">
        <v>50</v>
      </c>
      <c r="AE1382" t="s">
        <v>47</v>
      </c>
      <c r="AF1382" t="s">
        <v>47</v>
      </c>
      <c r="AG1382" t="s">
        <v>47</v>
      </c>
      <c r="AH1382" t="s">
        <v>47</v>
      </c>
      <c r="AI1382" t="s">
        <v>47</v>
      </c>
      <c r="AJ1382" t="s">
        <v>47</v>
      </c>
      <c r="AK1382" t="s">
        <v>47</v>
      </c>
      <c r="AL1382" t="s">
        <v>47</v>
      </c>
      <c r="AM1382" t="s">
        <v>47</v>
      </c>
      <c r="AN1382" t="s">
        <v>47</v>
      </c>
      <c r="AO1382" s="5" t="s">
        <v>60</v>
      </c>
      <c r="AP1382" s="4" t="s">
        <v>61</v>
      </c>
      <c r="AQ1382" s="4" t="s">
        <v>2635</v>
      </c>
      <c r="AR1382" s="4" t="s">
        <v>54</v>
      </c>
      <c r="AS1382" s="5">
        <v>2037646</v>
      </c>
      <c r="AT1382" t="s">
        <v>47</v>
      </c>
    </row>
    <row r="1383" spans="1:46" ht="39" x14ac:dyDescent="0.3">
      <c r="A1383" s="4" t="s">
        <v>5327</v>
      </c>
      <c r="B1383" t="s">
        <v>47</v>
      </c>
      <c r="C1383" s="4" t="s">
        <v>2180</v>
      </c>
      <c r="D1383" s="4" t="s">
        <v>1681</v>
      </c>
      <c r="E1383" s="4" t="s">
        <v>603</v>
      </c>
      <c r="F1383" s="5" t="s">
        <v>5328</v>
      </c>
      <c r="G1383" s="5" t="s">
        <v>5329</v>
      </c>
      <c r="H1383" t="s">
        <v>47</v>
      </c>
      <c r="I1383" s="3">
        <v>38718</v>
      </c>
      <c r="J1383" s="5" t="s">
        <v>50</v>
      </c>
      <c r="K1383" t="s">
        <v>47</v>
      </c>
      <c r="L1383" s="5" t="s">
        <v>60</v>
      </c>
      <c r="M1383" s="3">
        <v>38718</v>
      </c>
      <c r="N1383" s="3">
        <v>42736</v>
      </c>
      <c r="O1383" t="s">
        <v>47</v>
      </c>
      <c r="P1383" s="3">
        <v>38718</v>
      </c>
      <c r="Q1383" s="5" t="s">
        <v>50</v>
      </c>
      <c r="R1383" t="s">
        <v>47</v>
      </c>
      <c r="S1383" t="s">
        <v>47</v>
      </c>
      <c r="T1383" t="s">
        <v>47</v>
      </c>
      <c r="U1383" t="s">
        <v>47</v>
      </c>
      <c r="V1383" t="s">
        <v>47</v>
      </c>
      <c r="W1383" s="3">
        <v>38718</v>
      </c>
      <c r="X1383" s="5" t="s">
        <v>50</v>
      </c>
      <c r="Y1383" t="s">
        <v>47</v>
      </c>
      <c r="Z1383" s="3">
        <v>38718</v>
      </c>
      <c r="AA1383" s="5" t="s">
        <v>50</v>
      </c>
      <c r="AB1383" t="s">
        <v>47</v>
      </c>
      <c r="AC1383" s="3">
        <v>38718</v>
      </c>
      <c r="AD1383" s="5" t="s">
        <v>50</v>
      </c>
      <c r="AE1383" t="s">
        <v>47</v>
      </c>
      <c r="AF1383" t="s">
        <v>47</v>
      </c>
      <c r="AG1383" t="s">
        <v>47</v>
      </c>
      <c r="AH1383" t="s">
        <v>47</v>
      </c>
      <c r="AI1383" t="s">
        <v>47</v>
      </c>
      <c r="AJ1383" t="s">
        <v>47</v>
      </c>
      <c r="AK1383" t="s">
        <v>47</v>
      </c>
      <c r="AL1383" t="s">
        <v>47</v>
      </c>
      <c r="AM1383" t="s">
        <v>47</v>
      </c>
      <c r="AN1383" t="s">
        <v>47</v>
      </c>
      <c r="AO1383" s="5" t="s">
        <v>60</v>
      </c>
      <c r="AP1383" s="4" t="s">
        <v>61</v>
      </c>
      <c r="AQ1383" s="4" t="s">
        <v>119</v>
      </c>
      <c r="AR1383" s="4" t="s">
        <v>62</v>
      </c>
      <c r="AS1383" s="5">
        <v>54848</v>
      </c>
      <c r="AT1383" t="s">
        <v>47</v>
      </c>
    </row>
    <row r="1384" spans="1:46" ht="13" x14ac:dyDescent="0.3">
      <c r="A1384" s="4" t="s">
        <v>5330</v>
      </c>
      <c r="B1384" t="s">
        <v>47</v>
      </c>
      <c r="C1384" s="4" t="s">
        <v>5331</v>
      </c>
      <c r="D1384" s="4" t="s">
        <v>5332</v>
      </c>
      <c r="E1384" s="4" t="s">
        <v>1448</v>
      </c>
      <c r="F1384" s="5" t="s">
        <v>5333</v>
      </c>
      <c r="G1384" t="s">
        <v>47</v>
      </c>
      <c r="H1384" t="s">
        <v>47</v>
      </c>
      <c r="I1384" s="3">
        <v>40544</v>
      </c>
      <c r="J1384" s="3">
        <v>42005</v>
      </c>
      <c r="K1384" t="s">
        <v>47</v>
      </c>
      <c r="L1384" s="5" t="s">
        <v>60</v>
      </c>
      <c r="M1384" s="3">
        <v>40544</v>
      </c>
      <c r="N1384" s="3">
        <v>42005</v>
      </c>
      <c r="O1384" t="s">
        <v>47</v>
      </c>
      <c r="P1384" s="3">
        <v>40544</v>
      </c>
      <c r="Q1384" s="3">
        <v>42005</v>
      </c>
      <c r="R1384" t="s">
        <v>47</v>
      </c>
      <c r="S1384" t="s">
        <v>47</v>
      </c>
      <c r="T1384" t="s">
        <v>47</v>
      </c>
      <c r="U1384" t="s">
        <v>47</v>
      </c>
      <c r="V1384" t="s">
        <v>47</v>
      </c>
      <c r="W1384" s="3">
        <v>40544</v>
      </c>
      <c r="X1384" s="3">
        <v>42005</v>
      </c>
      <c r="Y1384" t="s">
        <v>47</v>
      </c>
      <c r="Z1384" s="3">
        <v>40544</v>
      </c>
      <c r="AA1384" s="3">
        <v>42005</v>
      </c>
      <c r="AB1384" t="s">
        <v>47</v>
      </c>
      <c r="AC1384" s="3">
        <v>40544</v>
      </c>
      <c r="AD1384" s="3">
        <v>42005</v>
      </c>
      <c r="AE1384" t="s">
        <v>47</v>
      </c>
      <c r="AF1384" t="s">
        <v>47</v>
      </c>
      <c r="AG1384" t="s">
        <v>47</v>
      </c>
      <c r="AH1384" t="s">
        <v>47</v>
      </c>
      <c r="AI1384" t="s">
        <v>47</v>
      </c>
      <c r="AJ1384" t="s">
        <v>47</v>
      </c>
      <c r="AK1384" t="s">
        <v>47</v>
      </c>
      <c r="AL1384" t="s">
        <v>47</v>
      </c>
      <c r="AM1384" t="s">
        <v>47</v>
      </c>
      <c r="AN1384" t="s">
        <v>47</v>
      </c>
      <c r="AO1384" s="5" t="s">
        <v>60</v>
      </c>
      <c r="AP1384" s="4" t="s">
        <v>61</v>
      </c>
      <c r="AQ1384" s="4" t="s">
        <v>119</v>
      </c>
      <c r="AR1384" s="4" t="s">
        <v>54</v>
      </c>
      <c r="AS1384" s="5">
        <v>1806358</v>
      </c>
      <c r="AT1384" t="s">
        <v>47</v>
      </c>
    </row>
    <row r="1385" spans="1:46" ht="26" x14ac:dyDescent="0.3">
      <c r="A1385" s="4" t="s">
        <v>5334</v>
      </c>
      <c r="B1385" t="s">
        <v>47</v>
      </c>
      <c r="C1385" s="4" t="s">
        <v>2180</v>
      </c>
      <c r="D1385" s="4" t="s">
        <v>1681</v>
      </c>
      <c r="E1385" s="4" t="s">
        <v>603</v>
      </c>
      <c r="F1385" t="s">
        <v>47</v>
      </c>
      <c r="G1385" s="5" t="s">
        <v>5335</v>
      </c>
      <c r="H1385" t="s">
        <v>47</v>
      </c>
      <c r="I1385" s="3">
        <v>37987</v>
      </c>
      <c r="J1385" s="5" t="s">
        <v>50</v>
      </c>
      <c r="K1385" t="s">
        <v>47</v>
      </c>
      <c r="L1385" s="5" t="s">
        <v>60</v>
      </c>
      <c r="M1385" s="3">
        <v>37987</v>
      </c>
      <c r="N1385" s="3">
        <v>43101</v>
      </c>
      <c r="O1385" t="s">
        <v>47</v>
      </c>
      <c r="P1385" s="3">
        <v>37987</v>
      </c>
      <c r="Q1385" s="5" t="s">
        <v>50</v>
      </c>
      <c r="R1385" t="s">
        <v>47</v>
      </c>
      <c r="S1385" t="s">
        <v>47</v>
      </c>
      <c r="T1385" t="s">
        <v>47</v>
      </c>
      <c r="U1385" t="s">
        <v>47</v>
      </c>
      <c r="V1385" t="s">
        <v>47</v>
      </c>
      <c r="W1385" s="3">
        <v>37987</v>
      </c>
      <c r="X1385" s="5" t="s">
        <v>50</v>
      </c>
      <c r="Y1385" t="s">
        <v>47</v>
      </c>
      <c r="Z1385" s="3">
        <v>37987</v>
      </c>
      <c r="AA1385" s="5" t="s">
        <v>50</v>
      </c>
      <c r="AB1385" t="s">
        <v>47</v>
      </c>
      <c r="AC1385" s="3">
        <v>37987</v>
      </c>
      <c r="AD1385" s="5" t="s">
        <v>50</v>
      </c>
      <c r="AE1385" t="s">
        <v>47</v>
      </c>
      <c r="AF1385" t="s">
        <v>47</v>
      </c>
      <c r="AG1385" t="s">
        <v>47</v>
      </c>
      <c r="AH1385" t="s">
        <v>47</v>
      </c>
      <c r="AI1385" t="s">
        <v>47</v>
      </c>
      <c r="AJ1385" t="s">
        <v>47</v>
      </c>
      <c r="AK1385" t="s">
        <v>47</v>
      </c>
      <c r="AL1385" t="s">
        <v>47</v>
      </c>
      <c r="AM1385" t="s">
        <v>47</v>
      </c>
      <c r="AN1385" t="s">
        <v>47</v>
      </c>
      <c r="AO1385" s="5" t="s">
        <v>60</v>
      </c>
      <c r="AP1385" s="4" t="s">
        <v>61</v>
      </c>
      <c r="AQ1385" s="4" t="s">
        <v>119</v>
      </c>
      <c r="AR1385" s="4" t="s">
        <v>827</v>
      </c>
      <c r="AS1385" s="5">
        <v>54856</v>
      </c>
      <c r="AT1385" t="s">
        <v>47</v>
      </c>
    </row>
    <row r="1386" spans="1:46" ht="26" x14ac:dyDescent="0.3">
      <c r="A1386" s="4" t="s">
        <v>5336</v>
      </c>
      <c r="B1386" t="s">
        <v>47</v>
      </c>
      <c r="C1386" s="4" t="s">
        <v>1680</v>
      </c>
      <c r="D1386" s="4" t="s">
        <v>1681</v>
      </c>
      <c r="E1386" s="4" t="s">
        <v>603</v>
      </c>
      <c r="F1386" s="5" t="s">
        <v>5337</v>
      </c>
      <c r="G1386" s="5" t="s">
        <v>5338</v>
      </c>
      <c r="H1386" t="s">
        <v>47</v>
      </c>
      <c r="I1386" s="3">
        <v>34700</v>
      </c>
      <c r="J1386" s="5" t="s">
        <v>50</v>
      </c>
      <c r="K1386" t="s">
        <v>47</v>
      </c>
      <c r="L1386" s="5" t="s">
        <v>60</v>
      </c>
      <c r="M1386" s="3">
        <v>34700</v>
      </c>
      <c r="N1386" s="5" t="s">
        <v>50</v>
      </c>
      <c r="O1386" t="s">
        <v>47</v>
      </c>
      <c r="P1386" s="3">
        <v>34700</v>
      </c>
      <c r="Q1386" s="5" t="s">
        <v>50</v>
      </c>
      <c r="R1386" t="s">
        <v>47</v>
      </c>
      <c r="S1386" t="s">
        <v>47</v>
      </c>
      <c r="T1386" t="s">
        <v>47</v>
      </c>
      <c r="U1386" t="s">
        <v>47</v>
      </c>
      <c r="V1386" t="s">
        <v>47</v>
      </c>
      <c r="W1386" s="3">
        <v>34700</v>
      </c>
      <c r="X1386" s="5" t="s">
        <v>50</v>
      </c>
      <c r="Y1386" t="s">
        <v>47</v>
      </c>
      <c r="Z1386" s="3">
        <v>34700</v>
      </c>
      <c r="AA1386" s="5" t="s">
        <v>50</v>
      </c>
      <c r="AB1386" t="s">
        <v>47</v>
      </c>
      <c r="AC1386" s="3">
        <v>42736</v>
      </c>
      <c r="AD1386" s="5" t="s">
        <v>50</v>
      </c>
      <c r="AE1386" t="s">
        <v>47</v>
      </c>
      <c r="AF1386" t="s">
        <v>47</v>
      </c>
      <c r="AG1386" t="s">
        <v>47</v>
      </c>
      <c r="AH1386" t="s">
        <v>47</v>
      </c>
      <c r="AI1386" t="s">
        <v>47</v>
      </c>
      <c r="AJ1386" t="s">
        <v>47</v>
      </c>
      <c r="AK1386" t="s">
        <v>47</v>
      </c>
      <c r="AL1386" t="s">
        <v>47</v>
      </c>
      <c r="AM1386" t="s">
        <v>47</v>
      </c>
      <c r="AN1386" t="s">
        <v>47</v>
      </c>
      <c r="AO1386" s="5" t="s">
        <v>60</v>
      </c>
      <c r="AP1386" s="4" t="s">
        <v>61</v>
      </c>
      <c r="AQ1386" t="s">
        <v>47</v>
      </c>
      <c r="AR1386" s="4" t="s">
        <v>54</v>
      </c>
      <c r="AS1386" s="5">
        <v>1596350</v>
      </c>
      <c r="AT1386" t="s">
        <v>47</v>
      </c>
    </row>
    <row r="1387" spans="1:46" ht="26" x14ac:dyDescent="0.3">
      <c r="A1387" s="4" t="s">
        <v>5339</v>
      </c>
      <c r="B1387" t="s">
        <v>47</v>
      </c>
      <c r="C1387" s="4" t="s">
        <v>5340</v>
      </c>
      <c r="D1387" s="4" t="s">
        <v>1625</v>
      </c>
      <c r="E1387" s="4" t="s">
        <v>603</v>
      </c>
      <c r="F1387" s="5" t="s">
        <v>5341</v>
      </c>
      <c r="G1387" s="5" t="s">
        <v>5342</v>
      </c>
      <c r="H1387" t="s">
        <v>47</v>
      </c>
      <c r="I1387" s="3">
        <v>35796</v>
      </c>
      <c r="J1387" s="3">
        <v>44197</v>
      </c>
      <c r="K1387" s="5" t="s">
        <v>5343</v>
      </c>
      <c r="L1387" s="5" t="s">
        <v>60</v>
      </c>
      <c r="M1387" s="3">
        <v>44197</v>
      </c>
      <c r="N1387" s="3">
        <v>44197</v>
      </c>
      <c r="O1387" t="s">
        <v>47</v>
      </c>
      <c r="P1387" s="3">
        <v>35796</v>
      </c>
      <c r="Q1387" s="3">
        <v>44197</v>
      </c>
      <c r="R1387" s="5" t="s">
        <v>5343</v>
      </c>
      <c r="S1387" t="s">
        <v>47</v>
      </c>
      <c r="T1387" t="s">
        <v>47</v>
      </c>
      <c r="U1387" t="s">
        <v>47</v>
      </c>
      <c r="V1387" t="s">
        <v>47</v>
      </c>
      <c r="W1387" s="3">
        <v>35796</v>
      </c>
      <c r="X1387" s="3">
        <v>44197</v>
      </c>
      <c r="Y1387" s="5" t="s">
        <v>5343</v>
      </c>
      <c r="Z1387" s="3">
        <v>35796</v>
      </c>
      <c r="AA1387" s="3">
        <v>44197</v>
      </c>
      <c r="AB1387" s="5" t="s">
        <v>5343</v>
      </c>
      <c r="AC1387" s="3">
        <v>35796</v>
      </c>
      <c r="AD1387" s="3">
        <v>44197</v>
      </c>
      <c r="AE1387" s="5" t="s">
        <v>5343</v>
      </c>
      <c r="AF1387" t="s">
        <v>47</v>
      </c>
      <c r="AG1387" t="s">
        <v>47</v>
      </c>
      <c r="AH1387" t="s">
        <v>47</v>
      </c>
      <c r="AI1387" t="s">
        <v>47</v>
      </c>
      <c r="AJ1387" t="s">
        <v>47</v>
      </c>
      <c r="AK1387" t="s">
        <v>47</v>
      </c>
      <c r="AL1387" t="s">
        <v>47</v>
      </c>
      <c r="AM1387" t="s">
        <v>47</v>
      </c>
      <c r="AN1387" t="s">
        <v>47</v>
      </c>
      <c r="AO1387" s="5" t="s">
        <v>60</v>
      </c>
      <c r="AP1387" s="4" t="s">
        <v>61</v>
      </c>
      <c r="AQ1387" s="4" t="s">
        <v>261</v>
      </c>
      <c r="AR1387" s="4" t="s">
        <v>54</v>
      </c>
      <c r="AS1387" s="5">
        <v>5163255</v>
      </c>
      <c r="AT1387" t="s">
        <v>47</v>
      </c>
    </row>
    <row r="1388" spans="1:46" ht="26" x14ac:dyDescent="0.3">
      <c r="A1388" s="4" t="s">
        <v>5344</v>
      </c>
      <c r="B1388" t="s">
        <v>47</v>
      </c>
      <c r="C1388" s="4" t="s">
        <v>5345</v>
      </c>
      <c r="D1388" s="4" t="s">
        <v>5346</v>
      </c>
      <c r="E1388" s="4" t="s">
        <v>156</v>
      </c>
      <c r="F1388" s="5" t="s">
        <v>5347</v>
      </c>
      <c r="G1388" s="5" t="s">
        <v>5348</v>
      </c>
      <c r="H1388" t="s">
        <v>47</v>
      </c>
      <c r="I1388" s="3">
        <v>38718</v>
      </c>
      <c r="J1388" s="3">
        <v>44105</v>
      </c>
      <c r="K1388" t="s">
        <v>47</v>
      </c>
      <c r="L1388" s="5" t="s">
        <v>60</v>
      </c>
      <c r="M1388" t="s">
        <v>47</v>
      </c>
      <c r="N1388" t="s">
        <v>47</v>
      </c>
      <c r="O1388" t="s">
        <v>47</v>
      </c>
      <c r="P1388" s="3">
        <v>38718</v>
      </c>
      <c r="Q1388" s="3">
        <v>44105</v>
      </c>
      <c r="R1388" t="s">
        <v>47</v>
      </c>
      <c r="S1388" t="s">
        <v>47</v>
      </c>
      <c r="T1388" t="s">
        <v>47</v>
      </c>
      <c r="U1388" t="s">
        <v>47</v>
      </c>
      <c r="V1388" t="s">
        <v>47</v>
      </c>
      <c r="W1388" s="3">
        <v>38718</v>
      </c>
      <c r="X1388" s="3">
        <v>44105</v>
      </c>
      <c r="Y1388" t="s">
        <v>47</v>
      </c>
      <c r="Z1388" s="3">
        <v>38718</v>
      </c>
      <c r="AA1388" s="3">
        <v>44105</v>
      </c>
      <c r="AB1388" t="s">
        <v>47</v>
      </c>
      <c r="AC1388" s="3">
        <v>38718</v>
      </c>
      <c r="AD1388" s="3">
        <v>44105</v>
      </c>
      <c r="AE1388" t="s">
        <v>47</v>
      </c>
      <c r="AF1388" t="s">
        <v>47</v>
      </c>
      <c r="AG1388" t="s">
        <v>47</v>
      </c>
      <c r="AH1388" t="s">
        <v>47</v>
      </c>
      <c r="AI1388" t="s">
        <v>47</v>
      </c>
      <c r="AJ1388" t="s">
        <v>47</v>
      </c>
      <c r="AK1388" t="s">
        <v>47</v>
      </c>
      <c r="AL1388" t="s">
        <v>47</v>
      </c>
      <c r="AM1388" t="s">
        <v>47</v>
      </c>
      <c r="AN1388" t="s">
        <v>47</v>
      </c>
      <c r="AO1388" s="5" t="s">
        <v>60</v>
      </c>
      <c r="AP1388" s="4" t="s">
        <v>61</v>
      </c>
      <c r="AQ1388" s="4" t="s">
        <v>1677</v>
      </c>
      <c r="AR1388" s="4" t="s">
        <v>54</v>
      </c>
      <c r="AS1388" s="5">
        <v>4775926</v>
      </c>
      <c r="AT1388" t="s">
        <v>47</v>
      </c>
    </row>
    <row r="1389" spans="1:46" ht="91" x14ac:dyDescent="0.3">
      <c r="A1389" s="4" t="s">
        <v>5349</v>
      </c>
      <c r="B1389" t="s">
        <v>47</v>
      </c>
      <c r="C1389" s="4" t="s">
        <v>1680</v>
      </c>
      <c r="D1389" s="4" t="s">
        <v>1681</v>
      </c>
      <c r="E1389" s="4" t="s">
        <v>603</v>
      </c>
      <c r="F1389" s="5" t="s">
        <v>5350</v>
      </c>
      <c r="G1389" s="5" t="s">
        <v>5351</v>
      </c>
      <c r="H1389" t="s">
        <v>47</v>
      </c>
      <c r="I1389" s="3">
        <v>35947</v>
      </c>
      <c r="J1389" s="5" t="s">
        <v>50</v>
      </c>
      <c r="K1389" t="s">
        <v>47</v>
      </c>
      <c r="L1389" s="5" t="s">
        <v>60</v>
      </c>
      <c r="M1389" s="3">
        <v>35947</v>
      </c>
      <c r="N1389" s="5" t="s">
        <v>50</v>
      </c>
      <c r="O1389" t="s">
        <v>47</v>
      </c>
      <c r="P1389" s="3">
        <v>35947</v>
      </c>
      <c r="Q1389" s="5" t="s">
        <v>50</v>
      </c>
      <c r="R1389" t="s">
        <v>47</v>
      </c>
      <c r="S1389" t="s">
        <v>47</v>
      </c>
      <c r="T1389" t="s">
        <v>47</v>
      </c>
      <c r="U1389" t="s">
        <v>47</v>
      </c>
      <c r="V1389" t="s">
        <v>47</v>
      </c>
      <c r="W1389" s="3">
        <v>35947</v>
      </c>
      <c r="X1389" s="5" t="s">
        <v>50</v>
      </c>
      <c r="Y1389" t="s">
        <v>47</v>
      </c>
      <c r="Z1389" s="3">
        <v>35947</v>
      </c>
      <c r="AA1389" s="5" t="s">
        <v>50</v>
      </c>
      <c r="AB1389" t="s">
        <v>47</v>
      </c>
      <c r="AC1389" s="3">
        <v>35947</v>
      </c>
      <c r="AD1389" s="5" t="s">
        <v>50</v>
      </c>
      <c r="AE1389" t="s">
        <v>47</v>
      </c>
      <c r="AF1389" t="s">
        <v>47</v>
      </c>
      <c r="AG1389" t="s">
        <v>47</v>
      </c>
      <c r="AH1389" t="s">
        <v>47</v>
      </c>
      <c r="AI1389" t="s">
        <v>47</v>
      </c>
      <c r="AJ1389" t="s">
        <v>47</v>
      </c>
      <c r="AK1389" t="s">
        <v>47</v>
      </c>
      <c r="AL1389" t="s">
        <v>47</v>
      </c>
      <c r="AM1389" t="s">
        <v>47</v>
      </c>
      <c r="AN1389" t="s">
        <v>47</v>
      </c>
      <c r="AO1389" s="5" t="s">
        <v>60</v>
      </c>
      <c r="AP1389" s="4" t="s">
        <v>61</v>
      </c>
      <c r="AQ1389" t="s">
        <v>47</v>
      </c>
      <c r="AR1389" s="4" t="s">
        <v>5352</v>
      </c>
      <c r="AS1389" s="5">
        <v>1596347</v>
      </c>
      <c r="AT1389" t="s">
        <v>47</v>
      </c>
    </row>
    <row r="1390" spans="1:46" ht="26" x14ac:dyDescent="0.3">
      <c r="A1390" s="4" t="s">
        <v>5353</v>
      </c>
      <c r="B1390" t="s">
        <v>47</v>
      </c>
      <c r="C1390" s="4" t="s">
        <v>5354</v>
      </c>
      <c r="D1390" s="4" t="s">
        <v>2533</v>
      </c>
      <c r="E1390" s="4" t="s">
        <v>1448</v>
      </c>
      <c r="F1390" s="5" t="s">
        <v>5355</v>
      </c>
      <c r="G1390" s="5" t="s">
        <v>5356</v>
      </c>
      <c r="H1390" t="s">
        <v>47</v>
      </c>
      <c r="I1390" s="3">
        <v>39814</v>
      </c>
      <c r="J1390" s="5" t="s">
        <v>50</v>
      </c>
      <c r="K1390" t="s">
        <v>47</v>
      </c>
      <c r="L1390" s="5" t="s">
        <v>60</v>
      </c>
      <c r="M1390" t="s">
        <v>47</v>
      </c>
      <c r="N1390" t="s">
        <v>47</v>
      </c>
      <c r="O1390" t="s">
        <v>47</v>
      </c>
      <c r="P1390" s="3">
        <v>39814</v>
      </c>
      <c r="Q1390" s="5" t="s">
        <v>50</v>
      </c>
      <c r="R1390" t="s">
        <v>47</v>
      </c>
      <c r="S1390" t="s">
        <v>47</v>
      </c>
      <c r="T1390" t="s">
        <v>47</v>
      </c>
      <c r="U1390" t="s">
        <v>47</v>
      </c>
      <c r="V1390" t="s">
        <v>47</v>
      </c>
      <c r="W1390" s="3">
        <v>39814</v>
      </c>
      <c r="X1390" s="5" t="s">
        <v>50</v>
      </c>
      <c r="Y1390" t="s">
        <v>47</v>
      </c>
      <c r="Z1390" s="3">
        <v>39814</v>
      </c>
      <c r="AA1390" s="5" t="s">
        <v>50</v>
      </c>
      <c r="AB1390" t="s">
        <v>47</v>
      </c>
      <c r="AC1390" s="3">
        <v>39814</v>
      </c>
      <c r="AD1390" s="5" t="s">
        <v>50</v>
      </c>
      <c r="AE1390" t="s">
        <v>47</v>
      </c>
      <c r="AF1390" t="s">
        <v>47</v>
      </c>
      <c r="AG1390" t="s">
        <v>47</v>
      </c>
      <c r="AH1390" t="s">
        <v>47</v>
      </c>
      <c r="AI1390" t="s">
        <v>47</v>
      </c>
      <c r="AJ1390" t="s">
        <v>47</v>
      </c>
      <c r="AK1390" t="s">
        <v>47</v>
      </c>
      <c r="AL1390" t="s">
        <v>47</v>
      </c>
      <c r="AM1390" t="s">
        <v>47</v>
      </c>
      <c r="AN1390" t="s">
        <v>47</v>
      </c>
      <c r="AO1390" s="5" t="s">
        <v>60</v>
      </c>
      <c r="AP1390" s="4" t="s">
        <v>61</v>
      </c>
      <c r="AQ1390" s="4" t="s">
        <v>119</v>
      </c>
      <c r="AR1390" s="4" t="s">
        <v>444</v>
      </c>
      <c r="AS1390" s="5">
        <v>4896749</v>
      </c>
      <c r="AT1390" t="s">
        <v>47</v>
      </c>
    </row>
    <row r="1391" spans="1:46" ht="26" x14ac:dyDescent="0.3">
      <c r="A1391" s="4" t="s">
        <v>5357</v>
      </c>
      <c r="B1391" t="s">
        <v>47</v>
      </c>
      <c r="C1391" s="4" t="s">
        <v>64</v>
      </c>
      <c r="D1391" s="4" t="s">
        <v>139</v>
      </c>
      <c r="E1391" s="4" t="s">
        <v>66</v>
      </c>
      <c r="F1391" t="s">
        <v>47</v>
      </c>
      <c r="G1391" s="5" t="s">
        <v>5358</v>
      </c>
      <c r="H1391" t="s">
        <v>47</v>
      </c>
      <c r="I1391" s="3">
        <v>42552</v>
      </c>
      <c r="J1391" s="5" t="s">
        <v>50</v>
      </c>
      <c r="K1391" t="s">
        <v>47</v>
      </c>
      <c r="L1391" s="5" t="s">
        <v>60</v>
      </c>
      <c r="M1391" t="s">
        <v>47</v>
      </c>
      <c r="N1391" t="s">
        <v>47</v>
      </c>
      <c r="O1391" t="s">
        <v>47</v>
      </c>
      <c r="P1391" t="s">
        <v>47</v>
      </c>
      <c r="Q1391" t="s">
        <v>47</v>
      </c>
      <c r="R1391" t="s">
        <v>47</v>
      </c>
      <c r="S1391" s="3">
        <v>42552</v>
      </c>
      <c r="T1391" s="5" t="s">
        <v>50</v>
      </c>
      <c r="U1391" t="s">
        <v>47</v>
      </c>
      <c r="V1391" t="s">
        <v>47</v>
      </c>
      <c r="W1391" s="3">
        <v>42552</v>
      </c>
      <c r="X1391" s="5" t="s">
        <v>50</v>
      </c>
      <c r="Y1391" t="s">
        <v>47</v>
      </c>
      <c r="Z1391" s="3">
        <v>42552</v>
      </c>
      <c r="AA1391" s="5" t="s">
        <v>50</v>
      </c>
      <c r="AB1391" t="s">
        <v>47</v>
      </c>
      <c r="AC1391" s="3">
        <v>42552</v>
      </c>
      <c r="AD1391" s="5" t="s">
        <v>50</v>
      </c>
      <c r="AE1391" t="s">
        <v>47</v>
      </c>
      <c r="AF1391" t="s">
        <v>47</v>
      </c>
      <c r="AG1391" t="s">
        <v>47</v>
      </c>
      <c r="AH1391" t="s">
        <v>47</v>
      </c>
      <c r="AI1391" t="s">
        <v>47</v>
      </c>
      <c r="AJ1391" t="s">
        <v>47</v>
      </c>
      <c r="AK1391" t="s">
        <v>47</v>
      </c>
      <c r="AL1391" t="s">
        <v>47</v>
      </c>
      <c r="AM1391" t="s">
        <v>47</v>
      </c>
      <c r="AN1391" t="s">
        <v>47</v>
      </c>
      <c r="AO1391" s="5" t="s">
        <v>51</v>
      </c>
      <c r="AP1391" s="4" t="s">
        <v>61</v>
      </c>
      <c r="AQ1391" s="4" t="s">
        <v>119</v>
      </c>
      <c r="AR1391" s="4" t="s">
        <v>827</v>
      </c>
      <c r="AS1391" s="5">
        <v>4451071</v>
      </c>
      <c r="AT1391" t="s">
        <v>47</v>
      </c>
    </row>
    <row r="1392" spans="1:46" ht="78" x14ac:dyDescent="0.3">
      <c r="A1392" s="4" t="s">
        <v>5359</v>
      </c>
      <c r="B1392" t="s">
        <v>47</v>
      </c>
      <c r="C1392" s="4" t="s">
        <v>5360</v>
      </c>
      <c r="D1392" s="4" t="s">
        <v>5361</v>
      </c>
      <c r="E1392" s="4" t="s">
        <v>1448</v>
      </c>
      <c r="F1392" s="5" t="s">
        <v>5362</v>
      </c>
      <c r="G1392" s="5" t="s">
        <v>5363</v>
      </c>
      <c r="H1392" t="s">
        <v>47</v>
      </c>
      <c r="I1392" s="3">
        <v>40179</v>
      </c>
      <c r="J1392" s="5" t="s">
        <v>50</v>
      </c>
      <c r="K1392" t="s">
        <v>47</v>
      </c>
      <c r="L1392" s="5" t="s">
        <v>60</v>
      </c>
      <c r="M1392" s="3">
        <v>40179</v>
      </c>
      <c r="N1392" s="5" t="s">
        <v>50</v>
      </c>
      <c r="O1392" t="s">
        <v>47</v>
      </c>
      <c r="P1392" s="3">
        <v>40179</v>
      </c>
      <c r="Q1392" s="5" t="s">
        <v>50</v>
      </c>
      <c r="R1392" t="s">
        <v>47</v>
      </c>
      <c r="S1392" t="s">
        <v>47</v>
      </c>
      <c r="T1392" t="s">
        <v>47</v>
      </c>
      <c r="U1392" t="s">
        <v>47</v>
      </c>
      <c r="V1392" t="s">
        <v>47</v>
      </c>
      <c r="W1392" s="3">
        <v>40179</v>
      </c>
      <c r="X1392" s="5" t="s">
        <v>50</v>
      </c>
      <c r="Y1392" t="s">
        <v>47</v>
      </c>
      <c r="Z1392" s="3">
        <v>40179</v>
      </c>
      <c r="AA1392" s="5" t="s">
        <v>50</v>
      </c>
      <c r="AB1392" t="s">
        <v>47</v>
      </c>
      <c r="AC1392" s="3">
        <v>40909</v>
      </c>
      <c r="AD1392" s="5" t="s">
        <v>50</v>
      </c>
      <c r="AE1392" s="5" t="s">
        <v>5364</v>
      </c>
      <c r="AF1392" t="s">
        <v>47</v>
      </c>
      <c r="AG1392" t="s">
        <v>47</v>
      </c>
      <c r="AH1392" t="s">
        <v>47</v>
      </c>
      <c r="AI1392" t="s">
        <v>47</v>
      </c>
      <c r="AJ1392" t="s">
        <v>47</v>
      </c>
      <c r="AK1392" t="s">
        <v>47</v>
      </c>
      <c r="AL1392" t="s">
        <v>47</v>
      </c>
      <c r="AM1392" t="s">
        <v>47</v>
      </c>
      <c r="AN1392" t="s">
        <v>47</v>
      </c>
      <c r="AO1392" s="5" t="s">
        <v>60</v>
      </c>
      <c r="AP1392" s="4" t="s">
        <v>61</v>
      </c>
      <c r="AQ1392" s="4" t="s">
        <v>119</v>
      </c>
      <c r="AR1392" s="4" t="s">
        <v>1114</v>
      </c>
      <c r="AS1392" s="5">
        <v>236258</v>
      </c>
      <c r="AT1392" t="s">
        <v>47</v>
      </c>
    </row>
    <row r="1393" spans="1:46" ht="39" x14ac:dyDescent="0.3">
      <c r="A1393" s="4" t="s">
        <v>5365</v>
      </c>
      <c r="B1393" t="s">
        <v>47</v>
      </c>
      <c r="C1393" s="4" t="s">
        <v>5366</v>
      </c>
      <c r="D1393" s="4" t="s">
        <v>5367</v>
      </c>
      <c r="E1393" s="4" t="s">
        <v>1448</v>
      </c>
      <c r="F1393" s="5" t="s">
        <v>5368</v>
      </c>
      <c r="G1393" t="s">
        <v>47</v>
      </c>
      <c r="H1393" t="s">
        <v>47</v>
      </c>
      <c r="I1393" s="3">
        <v>41275</v>
      </c>
      <c r="J1393" s="3">
        <v>42614</v>
      </c>
      <c r="K1393" t="s">
        <v>47</v>
      </c>
      <c r="L1393" s="5" t="s">
        <v>60</v>
      </c>
      <c r="M1393" s="3">
        <v>41275</v>
      </c>
      <c r="N1393" s="3">
        <v>42614</v>
      </c>
      <c r="O1393" t="s">
        <v>47</v>
      </c>
      <c r="P1393" s="3">
        <v>41275</v>
      </c>
      <c r="Q1393" s="3">
        <v>42614</v>
      </c>
      <c r="R1393" t="s">
        <v>47</v>
      </c>
      <c r="S1393" t="s">
        <v>47</v>
      </c>
      <c r="T1393" t="s">
        <v>47</v>
      </c>
      <c r="U1393" t="s">
        <v>47</v>
      </c>
      <c r="V1393" t="s">
        <v>47</v>
      </c>
      <c r="W1393" s="3">
        <v>41275</v>
      </c>
      <c r="X1393" s="3">
        <v>42614</v>
      </c>
      <c r="Y1393" t="s">
        <v>47</v>
      </c>
      <c r="Z1393" s="3">
        <v>41275</v>
      </c>
      <c r="AA1393" s="3">
        <v>42614</v>
      </c>
      <c r="AB1393" t="s">
        <v>47</v>
      </c>
      <c r="AC1393" s="3">
        <v>41275</v>
      </c>
      <c r="AD1393" s="3">
        <v>42614</v>
      </c>
      <c r="AE1393" t="s">
        <v>47</v>
      </c>
      <c r="AF1393" t="s">
        <v>47</v>
      </c>
      <c r="AG1393" t="s">
        <v>47</v>
      </c>
      <c r="AH1393" t="s">
        <v>47</v>
      </c>
      <c r="AI1393" t="s">
        <v>47</v>
      </c>
      <c r="AJ1393" t="s">
        <v>47</v>
      </c>
      <c r="AK1393" t="s">
        <v>47</v>
      </c>
      <c r="AL1393" t="s">
        <v>47</v>
      </c>
      <c r="AM1393" t="s">
        <v>47</v>
      </c>
      <c r="AN1393" t="s">
        <v>47</v>
      </c>
      <c r="AO1393" s="5" t="s">
        <v>60</v>
      </c>
      <c r="AP1393" s="4" t="s">
        <v>61</v>
      </c>
      <c r="AQ1393" s="4" t="s">
        <v>159</v>
      </c>
      <c r="AR1393" s="4" t="s">
        <v>839</v>
      </c>
      <c r="AS1393" s="5">
        <v>2032497</v>
      </c>
      <c r="AT1393" t="s">
        <v>47</v>
      </c>
    </row>
    <row r="1394" spans="1:46" ht="52" x14ac:dyDescent="0.3">
      <c r="A1394" s="4" t="s">
        <v>5369</v>
      </c>
      <c r="B1394" t="s">
        <v>47</v>
      </c>
      <c r="C1394" s="4" t="s">
        <v>5370</v>
      </c>
      <c r="D1394" s="4" t="s">
        <v>5371</v>
      </c>
      <c r="E1394" s="4" t="s">
        <v>2259</v>
      </c>
      <c r="F1394" s="5" t="s">
        <v>5372</v>
      </c>
      <c r="G1394" s="5" t="s">
        <v>5373</v>
      </c>
      <c r="H1394" t="s">
        <v>47</v>
      </c>
      <c r="I1394" s="3">
        <v>41640</v>
      </c>
      <c r="J1394" s="3">
        <v>44197</v>
      </c>
      <c r="K1394" t="s">
        <v>47</v>
      </c>
      <c r="L1394" s="5" t="s">
        <v>60</v>
      </c>
      <c r="M1394" t="s">
        <v>47</v>
      </c>
      <c r="N1394" t="s">
        <v>47</v>
      </c>
      <c r="O1394" t="s">
        <v>47</v>
      </c>
      <c r="P1394" s="3">
        <v>41640</v>
      </c>
      <c r="Q1394" s="3">
        <v>44197</v>
      </c>
      <c r="R1394" t="s">
        <v>47</v>
      </c>
      <c r="S1394" t="s">
        <v>47</v>
      </c>
      <c r="T1394" t="s">
        <v>47</v>
      </c>
      <c r="U1394" t="s">
        <v>47</v>
      </c>
      <c r="V1394" t="s">
        <v>47</v>
      </c>
      <c r="W1394" s="3">
        <v>41640</v>
      </c>
      <c r="X1394" s="3">
        <v>44197</v>
      </c>
      <c r="Y1394" t="s">
        <v>47</v>
      </c>
      <c r="Z1394" s="3">
        <v>41640</v>
      </c>
      <c r="AA1394" s="3">
        <v>44197</v>
      </c>
      <c r="AB1394" t="s">
        <v>47</v>
      </c>
      <c r="AC1394" s="3">
        <v>41640</v>
      </c>
      <c r="AD1394" s="3">
        <v>44197</v>
      </c>
      <c r="AE1394" t="s">
        <v>47</v>
      </c>
      <c r="AF1394" t="s">
        <v>47</v>
      </c>
      <c r="AG1394" t="s">
        <v>47</v>
      </c>
      <c r="AH1394" t="s">
        <v>47</v>
      </c>
      <c r="AI1394" t="s">
        <v>47</v>
      </c>
      <c r="AJ1394" t="s">
        <v>47</v>
      </c>
      <c r="AK1394" t="s">
        <v>47</v>
      </c>
      <c r="AL1394" t="s">
        <v>47</v>
      </c>
      <c r="AM1394" t="s">
        <v>47</v>
      </c>
      <c r="AN1394" t="s">
        <v>47</v>
      </c>
      <c r="AO1394" s="5" t="s">
        <v>60</v>
      </c>
      <c r="AP1394" s="4" t="s">
        <v>61</v>
      </c>
      <c r="AQ1394" s="4" t="s">
        <v>922</v>
      </c>
      <c r="AR1394" s="4" t="s">
        <v>54</v>
      </c>
      <c r="AS1394" s="5">
        <v>2040951</v>
      </c>
      <c r="AT1394" t="s">
        <v>47</v>
      </c>
    </row>
    <row r="1395" spans="1:46" ht="26" x14ac:dyDescent="0.3">
      <c r="A1395" s="4" t="s">
        <v>5374</v>
      </c>
      <c r="B1395" t="s">
        <v>47</v>
      </c>
      <c r="C1395" s="4" t="s">
        <v>5375</v>
      </c>
      <c r="D1395" s="4" t="s">
        <v>5376</v>
      </c>
      <c r="E1395" s="4" t="s">
        <v>1552</v>
      </c>
      <c r="F1395" s="5" t="s">
        <v>5377</v>
      </c>
      <c r="G1395" t="s">
        <v>47</v>
      </c>
      <c r="H1395" t="s">
        <v>47</v>
      </c>
      <c r="I1395" s="3">
        <v>37622</v>
      </c>
      <c r="J1395" s="5" t="s">
        <v>50</v>
      </c>
      <c r="K1395" t="s">
        <v>47</v>
      </c>
      <c r="L1395" s="5" t="s">
        <v>60</v>
      </c>
      <c r="M1395" s="3">
        <v>37622</v>
      </c>
      <c r="N1395" s="5" t="s">
        <v>50</v>
      </c>
      <c r="O1395" t="s">
        <v>47</v>
      </c>
      <c r="P1395" s="3">
        <v>37622</v>
      </c>
      <c r="Q1395" s="5" t="s">
        <v>50</v>
      </c>
      <c r="R1395" t="s">
        <v>47</v>
      </c>
      <c r="S1395" t="s">
        <v>47</v>
      </c>
      <c r="T1395" t="s">
        <v>47</v>
      </c>
      <c r="U1395" t="s">
        <v>47</v>
      </c>
      <c r="V1395" t="s">
        <v>47</v>
      </c>
      <c r="W1395" s="3">
        <v>37622</v>
      </c>
      <c r="X1395" s="5" t="s">
        <v>50</v>
      </c>
      <c r="Y1395" t="s">
        <v>47</v>
      </c>
      <c r="Z1395" s="3">
        <v>37622</v>
      </c>
      <c r="AA1395" s="5" t="s">
        <v>50</v>
      </c>
      <c r="AB1395" t="s">
        <v>47</v>
      </c>
      <c r="AC1395" s="3">
        <v>41091</v>
      </c>
      <c r="AD1395" s="5" t="s">
        <v>50</v>
      </c>
      <c r="AE1395" t="s">
        <v>47</v>
      </c>
      <c r="AF1395" t="s">
        <v>47</v>
      </c>
      <c r="AG1395" t="s">
        <v>47</v>
      </c>
      <c r="AH1395" t="s">
        <v>47</v>
      </c>
      <c r="AI1395" t="s">
        <v>47</v>
      </c>
      <c r="AJ1395" t="s">
        <v>47</v>
      </c>
      <c r="AK1395" t="s">
        <v>47</v>
      </c>
      <c r="AL1395" t="s">
        <v>47</v>
      </c>
      <c r="AM1395" t="s">
        <v>47</v>
      </c>
      <c r="AN1395" t="s">
        <v>47</v>
      </c>
      <c r="AO1395" s="5" t="s">
        <v>60</v>
      </c>
      <c r="AP1395" s="4" t="s">
        <v>61</v>
      </c>
      <c r="AQ1395" s="4" t="s">
        <v>119</v>
      </c>
      <c r="AR1395" s="4" t="s">
        <v>54</v>
      </c>
      <c r="AS1395" s="5">
        <v>29479</v>
      </c>
      <c r="AT1395" t="s">
        <v>47</v>
      </c>
    </row>
    <row r="1396" spans="1:46" ht="26" x14ac:dyDescent="0.3">
      <c r="A1396" s="4" t="s">
        <v>5378</v>
      </c>
      <c r="B1396" t="s">
        <v>47</v>
      </c>
      <c r="C1396" s="4" t="s">
        <v>4676</v>
      </c>
      <c r="D1396" s="4" t="s">
        <v>4677</v>
      </c>
      <c r="E1396" s="4" t="s">
        <v>4678</v>
      </c>
      <c r="F1396" t="s">
        <v>47</v>
      </c>
      <c r="G1396" s="5" t="s">
        <v>5379</v>
      </c>
      <c r="H1396" t="s">
        <v>47</v>
      </c>
      <c r="I1396" s="3">
        <v>42186</v>
      </c>
      <c r="J1396" s="5" t="s">
        <v>50</v>
      </c>
      <c r="K1396" t="s">
        <v>47</v>
      </c>
      <c r="L1396" s="5" t="s">
        <v>60</v>
      </c>
      <c r="M1396" s="3">
        <v>43770</v>
      </c>
      <c r="N1396" s="5" t="s">
        <v>50</v>
      </c>
      <c r="O1396" t="s">
        <v>47</v>
      </c>
      <c r="P1396" s="3">
        <v>42186</v>
      </c>
      <c r="Q1396" s="5" t="s">
        <v>50</v>
      </c>
      <c r="R1396" t="s">
        <v>47</v>
      </c>
      <c r="S1396" t="s">
        <v>47</v>
      </c>
      <c r="T1396" t="s">
        <v>47</v>
      </c>
      <c r="U1396" t="s">
        <v>47</v>
      </c>
      <c r="V1396" t="s">
        <v>47</v>
      </c>
      <c r="W1396" s="3">
        <v>42186</v>
      </c>
      <c r="X1396" s="5" t="s">
        <v>50</v>
      </c>
      <c r="Y1396" t="s">
        <v>47</v>
      </c>
      <c r="Z1396" s="3">
        <v>42186</v>
      </c>
      <c r="AA1396" s="5" t="s">
        <v>50</v>
      </c>
      <c r="AB1396" t="s">
        <v>47</v>
      </c>
      <c r="AC1396" s="3">
        <v>42186</v>
      </c>
      <c r="AD1396" s="5" t="s">
        <v>50</v>
      </c>
      <c r="AE1396" s="5" t="s">
        <v>788</v>
      </c>
      <c r="AF1396" t="s">
        <v>47</v>
      </c>
      <c r="AG1396" t="s">
        <v>47</v>
      </c>
      <c r="AH1396" t="s">
        <v>47</v>
      </c>
      <c r="AI1396" t="s">
        <v>47</v>
      </c>
      <c r="AJ1396" t="s">
        <v>47</v>
      </c>
      <c r="AK1396" t="s">
        <v>47</v>
      </c>
      <c r="AL1396" t="s">
        <v>47</v>
      </c>
      <c r="AM1396" t="s">
        <v>47</v>
      </c>
      <c r="AN1396" t="s">
        <v>47</v>
      </c>
      <c r="AO1396" s="5" t="s">
        <v>60</v>
      </c>
      <c r="AP1396" s="4" t="s">
        <v>61</v>
      </c>
      <c r="AQ1396" s="4" t="s">
        <v>261</v>
      </c>
      <c r="AR1396" s="4" t="s">
        <v>54</v>
      </c>
      <c r="AS1396" s="5">
        <v>2045791</v>
      </c>
      <c r="AT1396" t="s">
        <v>47</v>
      </c>
    </row>
    <row r="1397" spans="1:46" ht="39" x14ac:dyDescent="0.3">
      <c r="A1397" s="4" t="s">
        <v>5380</v>
      </c>
      <c r="B1397" t="s">
        <v>47</v>
      </c>
      <c r="C1397" s="4" t="s">
        <v>5381</v>
      </c>
      <c r="D1397" s="4" t="s">
        <v>5332</v>
      </c>
      <c r="E1397" s="4" t="s">
        <v>1448</v>
      </c>
      <c r="F1397" s="5" t="s">
        <v>5382</v>
      </c>
      <c r="G1397" t="s">
        <v>47</v>
      </c>
      <c r="H1397" t="s">
        <v>47</v>
      </c>
      <c r="I1397" s="3">
        <v>38899</v>
      </c>
      <c r="J1397" s="3">
        <v>42370</v>
      </c>
      <c r="K1397" t="s">
        <v>47</v>
      </c>
      <c r="L1397" s="5" t="s">
        <v>60</v>
      </c>
      <c r="M1397" t="s">
        <v>47</v>
      </c>
      <c r="N1397" t="s">
        <v>47</v>
      </c>
      <c r="O1397" t="s">
        <v>47</v>
      </c>
      <c r="P1397" s="3">
        <v>38899</v>
      </c>
      <c r="Q1397" s="3">
        <v>42370</v>
      </c>
      <c r="R1397" t="s">
        <v>47</v>
      </c>
      <c r="S1397" t="s">
        <v>47</v>
      </c>
      <c r="T1397" t="s">
        <v>47</v>
      </c>
      <c r="U1397" t="s">
        <v>47</v>
      </c>
      <c r="V1397" t="s">
        <v>47</v>
      </c>
      <c r="W1397" s="3">
        <v>38899</v>
      </c>
      <c r="X1397" s="3">
        <v>42370</v>
      </c>
      <c r="Y1397" t="s">
        <v>47</v>
      </c>
      <c r="Z1397" s="3">
        <v>38899</v>
      </c>
      <c r="AA1397" s="3">
        <v>42370</v>
      </c>
      <c r="AB1397" t="s">
        <v>47</v>
      </c>
      <c r="AC1397" s="3">
        <v>38899</v>
      </c>
      <c r="AD1397" s="3">
        <v>42370</v>
      </c>
      <c r="AE1397" t="s">
        <v>47</v>
      </c>
      <c r="AF1397" t="s">
        <v>47</v>
      </c>
      <c r="AG1397" t="s">
        <v>47</v>
      </c>
      <c r="AH1397" t="s">
        <v>47</v>
      </c>
      <c r="AI1397" t="s">
        <v>47</v>
      </c>
      <c r="AJ1397" t="s">
        <v>47</v>
      </c>
      <c r="AK1397" t="s">
        <v>47</v>
      </c>
      <c r="AL1397" t="s">
        <v>47</v>
      </c>
      <c r="AM1397" t="s">
        <v>47</v>
      </c>
      <c r="AN1397" t="s">
        <v>47</v>
      </c>
      <c r="AO1397" s="5" t="s">
        <v>60</v>
      </c>
      <c r="AP1397" s="4" t="s">
        <v>61</v>
      </c>
      <c r="AQ1397" s="4" t="s">
        <v>119</v>
      </c>
      <c r="AR1397" s="4" t="s">
        <v>1309</v>
      </c>
      <c r="AS1397" s="5">
        <v>1666340</v>
      </c>
      <c r="AT1397" t="s">
        <v>47</v>
      </c>
    </row>
    <row r="1398" spans="1:46" ht="39" x14ac:dyDescent="0.3">
      <c r="A1398" s="4" t="s">
        <v>5383</v>
      </c>
      <c r="B1398" t="s">
        <v>47</v>
      </c>
      <c r="C1398" s="4" t="s">
        <v>5384</v>
      </c>
      <c r="D1398" s="4" t="s">
        <v>2070</v>
      </c>
      <c r="E1398" s="4" t="s">
        <v>603</v>
      </c>
      <c r="F1398" t="s">
        <v>47</v>
      </c>
      <c r="G1398" s="5" t="s">
        <v>5385</v>
      </c>
      <c r="H1398" t="s">
        <v>47</v>
      </c>
      <c r="I1398" s="3">
        <v>39753</v>
      </c>
      <c r="J1398" s="3">
        <v>43831</v>
      </c>
      <c r="K1398" t="s">
        <v>47</v>
      </c>
      <c r="L1398" s="5" t="s">
        <v>60</v>
      </c>
      <c r="M1398" t="s">
        <v>47</v>
      </c>
      <c r="N1398" t="s">
        <v>47</v>
      </c>
      <c r="O1398" t="s">
        <v>47</v>
      </c>
      <c r="P1398" s="3">
        <v>39753</v>
      </c>
      <c r="Q1398" s="3">
        <v>43831</v>
      </c>
      <c r="R1398" t="s">
        <v>47</v>
      </c>
      <c r="S1398" t="s">
        <v>47</v>
      </c>
      <c r="T1398" t="s">
        <v>47</v>
      </c>
      <c r="U1398" t="s">
        <v>47</v>
      </c>
      <c r="V1398" t="s">
        <v>47</v>
      </c>
      <c r="W1398" s="3">
        <v>39753</v>
      </c>
      <c r="X1398" s="3">
        <v>43831</v>
      </c>
      <c r="Y1398" t="s">
        <v>47</v>
      </c>
      <c r="Z1398" s="3">
        <v>39753</v>
      </c>
      <c r="AA1398" s="3">
        <v>43831</v>
      </c>
      <c r="AB1398" t="s">
        <v>47</v>
      </c>
      <c r="AC1398" s="3">
        <v>39753</v>
      </c>
      <c r="AD1398" s="3">
        <v>43831</v>
      </c>
      <c r="AE1398" t="s">
        <v>47</v>
      </c>
      <c r="AF1398" t="s">
        <v>47</v>
      </c>
      <c r="AG1398" t="s">
        <v>47</v>
      </c>
      <c r="AH1398" t="s">
        <v>47</v>
      </c>
      <c r="AI1398" t="s">
        <v>47</v>
      </c>
      <c r="AJ1398" t="s">
        <v>47</v>
      </c>
      <c r="AK1398" t="s">
        <v>47</v>
      </c>
      <c r="AL1398" t="s">
        <v>47</v>
      </c>
      <c r="AM1398" t="s">
        <v>47</v>
      </c>
      <c r="AN1398" t="s">
        <v>47</v>
      </c>
      <c r="AO1398" s="5" t="s">
        <v>60</v>
      </c>
      <c r="AP1398" s="4" t="s">
        <v>61</v>
      </c>
      <c r="AQ1398" s="4" t="s">
        <v>2827</v>
      </c>
      <c r="AR1398" s="4" t="s">
        <v>54</v>
      </c>
      <c r="AS1398" s="5">
        <v>2034487</v>
      </c>
      <c r="AT1398" t="s">
        <v>47</v>
      </c>
    </row>
    <row r="1399" spans="1:46" ht="26" x14ac:dyDescent="0.3">
      <c r="A1399" s="4" t="s">
        <v>5386</v>
      </c>
      <c r="B1399" t="s">
        <v>47</v>
      </c>
      <c r="C1399" s="4" t="s">
        <v>5387</v>
      </c>
      <c r="D1399" s="4" t="s">
        <v>5388</v>
      </c>
      <c r="E1399" s="4" t="s">
        <v>156</v>
      </c>
      <c r="F1399" s="5" t="s">
        <v>5389</v>
      </c>
      <c r="G1399" s="5" t="s">
        <v>5390</v>
      </c>
      <c r="H1399" t="s">
        <v>47</v>
      </c>
      <c r="I1399" s="3">
        <v>40544</v>
      </c>
      <c r="J1399" s="3">
        <v>43831</v>
      </c>
      <c r="K1399" t="s">
        <v>47</v>
      </c>
      <c r="L1399" s="5" t="s">
        <v>60</v>
      </c>
      <c r="M1399" t="s">
        <v>47</v>
      </c>
      <c r="N1399" t="s">
        <v>47</v>
      </c>
      <c r="O1399" t="s">
        <v>47</v>
      </c>
      <c r="P1399" s="3">
        <v>40544</v>
      </c>
      <c r="Q1399" s="3">
        <v>43831</v>
      </c>
      <c r="R1399" t="s">
        <v>47</v>
      </c>
      <c r="S1399" t="s">
        <v>47</v>
      </c>
      <c r="T1399" t="s">
        <v>47</v>
      </c>
      <c r="U1399" t="s">
        <v>47</v>
      </c>
      <c r="V1399" t="s">
        <v>47</v>
      </c>
      <c r="W1399" s="3">
        <v>40544</v>
      </c>
      <c r="X1399" s="3">
        <v>43831</v>
      </c>
      <c r="Y1399" t="s">
        <v>47</v>
      </c>
      <c r="Z1399" s="3">
        <v>40544</v>
      </c>
      <c r="AA1399" s="3">
        <v>43831</v>
      </c>
      <c r="AB1399" t="s">
        <v>47</v>
      </c>
      <c r="AC1399" s="3">
        <v>40544</v>
      </c>
      <c r="AD1399" s="3">
        <v>43831</v>
      </c>
      <c r="AE1399" t="s">
        <v>47</v>
      </c>
      <c r="AF1399" t="s">
        <v>47</v>
      </c>
      <c r="AG1399" t="s">
        <v>47</v>
      </c>
      <c r="AH1399" t="s">
        <v>47</v>
      </c>
      <c r="AI1399" t="s">
        <v>47</v>
      </c>
      <c r="AJ1399" t="s">
        <v>47</v>
      </c>
      <c r="AK1399" t="s">
        <v>47</v>
      </c>
      <c r="AL1399" t="s">
        <v>47</v>
      </c>
      <c r="AM1399" t="s">
        <v>47</v>
      </c>
      <c r="AN1399" t="s">
        <v>47</v>
      </c>
      <c r="AO1399" s="5" t="s">
        <v>60</v>
      </c>
      <c r="AP1399" s="4" t="s">
        <v>61</v>
      </c>
      <c r="AQ1399" s="4" t="s">
        <v>922</v>
      </c>
      <c r="AR1399" s="4" t="s">
        <v>54</v>
      </c>
      <c r="AS1399" s="5">
        <v>4156680</v>
      </c>
      <c r="AT1399" t="s">
        <v>47</v>
      </c>
    </row>
    <row r="1400" spans="1:46" ht="26" x14ac:dyDescent="0.3">
      <c r="A1400" s="4" t="s">
        <v>5391</v>
      </c>
      <c r="B1400" t="s">
        <v>47</v>
      </c>
      <c r="C1400" s="4" t="s">
        <v>5392</v>
      </c>
      <c r="D1400" s="4" t="s">
        <v>2070</v>
      </c>
      <c r="E1400" s="4" t="s">
        <v>603</v>
      </c>
      <c r="F1400" s="5" t="s">
        <v>5393</v>
      </c>
      <c r="G1400" s="5" t="s">
        <v>5394</v>
      </c>
      <c r="H1400" t="s">
        <v>47</v>
      </c>
      <c r="I1400" s="3">
        <v>39814</v>
      </c>
      <c r="J1400" s="5" t="s">
        <v>50</v>
      </c>
      <c r="K1400" t="s">
        <v>47</v>
      </c>
      <c r="L1400" s="5" t="s">
        <v>60</v>
      </c>
      <c r="M1400" t="s">
        <v>47</v>
      </c>
      <c r="N1400" t="s">
        <v>47</v>
      </c>
      <c r="O1400" t="s">
        <v>47</v>
      </c>
      <c r="P1400" s="3">
        <v>39814</v>
      </c>
      <c r="Q1400" s="5" t="s">
        <v>50</v>
      </c>
      <c r="R1400" t="s">
        <v>47</v>
      </c>
      <c r="S1400" t="s">
        <v>47</v>
      </c>
      <c r="T1400" t="s">
        <v>47</v>
      </c>
      <c r="U1400" t="s">
        <v>47</v>
      </c>
      <c r="V1400" t="s">
        <v>47</v>
      </c>
      <c r="W1400" s="3">
        <v>39814</v>
      </c>
      <c r="X1400" s="5" t="s">
        <v>50</v>
      </c>
      <c r="Y1400" t="s">
        <v>47</v>
      </c>
      <c r="Z1400" s="3">
        <v>39814</v>
      </c>
      <c r="AA1400" s="5" t="s">
        <v>50</v>
      </c>
      <c r="AB1400" t="s">
        <v>47</v>
      </c>
      <c r="AC1400" s="3">
        <v>39814</v>
      </c>
      <c r="AD1400" s="5" t="s">
        <v>50</v>
      </c>
      <c r="AE1400" s="5" t="s">
        <v>5395</v>
      </c>
      <c r="AF1400" t="s">
        <v>47</v>
      </c>
      <c r="AG1400" t="s">
        <v>47</v>
      </c>
      <c r="AH1400" t="s">
        <v>47</v>
      </c>
      <c r="AI1400" t="s">
        <v>47</v>
      </c>
      <c r="AJ1400" t="s">
        <v>47</v>
      </c>
      <c r="AK1400" t="s">
        <v>47</v>
      </c>
      <c r="AL1400" t="s">
        <v>47</v>
      </c>
      <c r="AM1400" t="s">
        <v>47</v>
      </c>
      <c r="AN1400" t="s">
        <v>47</v>
      </c>
      <c r="AO1400" s="5" t="s">
        <v>60</v>
      </c>
      <c r="AP1400" s="4" t="s">
        <v>61</v>
      </c>
      <c r="AQ1400" s="4" t="s">
        <v>119</v>
      </c>
      <c r="AR1400" s="4" t="s">
        <v>5396</v>
      </c>
      <c r="AS1400" s="5">
        <v>2032136</v>
      </c>
      <c r="AT1400" t="s">
        <v>47</v>
      </c>
    </row>
    <row r="1401" spans="1:46" ht="26" x14ac:dyDescent="0.3">
      <c r="A1401" s="4" t="s">
        <v>5397</v>
      </c>
      <c r="B1401" t="s">
        <v>47</v>
      </c>
      <c r="C1401" s="4" t="s">
        <v>5316</v>
      </c>
      <c r="D1401" s="4" t="s">
        <v>2533</v>
      </c>
      <c r="E1401" s="4" t="s">
        <v>1448</v>
      </c>
      <c r="F1401" s="5" t="s">
        <v>5398</v>
      </c>
      <c r="G1401" s="5" t="s">
        <v>5399</v>
      </c>
      <c r="H1401" t="s">
        <v>47</v>
      </c>
      <c r="I1401" s="3">
        <v>40909</v>
      </c>
      <c r="J1401" s="3">
        <v>43101</v>
      </c>
      <c r="K1401" t="s">
        <v>47</v>
      </c>
      <c r="L1401" s="5" t="s">
        <v>60</v>
      </c>
      <c r="M1401" t="s">
        <v>47</v>
      </c>
      <c r="N1401" t="s">
        <v>47</v>
      </c>
      <c r="O1401" t="s">
        <v>47</v>
      </c>
      <c r="P1401" s="3">
        <v>40909</v>
      </c>
      <c r="Q1401" s="3">
        <v>43101</v>
      </c>
      <c r="R1401" t="s">
        <v>47</v>
      </c>
      <c r="S1401" t="s">
        <v>47</v>
      </c>
      <c r="T1401" t="s">
        <v>47</v>
      </c>
      <c r="U1401" t="s">
        <v>47</v>
      </c>
      <c r="V1401" t="s">
        <v>47</v>
      </c>
      <c r="W1401" s="3">
        <v>40909</v>
      </c>
      <c r="X1401" s="3">
        <v>43101</v>
      </c>
      <c r="Y1401" t="s">
        <v>47</v>
      </c>
      <c r="Z1401" s="3">
        <v>40909</v>
      </c>
      <c r="AA1401" s="3">
        <v>43101</v>
      </c>
      <c r="AB1401" t="s">
        <v>47</v>
      </c>
      <c r="AC1401" s="3">
        <v>40909</v>
      </c>
      <c r="AD1401" s="3">
        <v>43101</v>
      </c>
      <c r="AE1401" t="s">
        <v>47</v>
      </c>
      <c r="AF1401" t="s">
        <v>47</v>
      </c>
      <c r="AG1401" t="s">
        <v>47</v>
      </c>
      <c r="AH1401" t="s">
        <v>47</v>
      </c>
      <c r="AI1401" t="s">
        <v>47</v>
      </c>
      <c r="AJ1401" t="s">
        <v>47</v>
      </c>
      <c r="AK1401" t="s">
        <v>47</v>
      </c>
      <c r="AL1401" t="s">
        <v>47</v>
      </c>
      <c r="AM1401" t="s">
        <v>47</v>
      </c>
      <c r="AN1401" t="s">
        <v>47</v>
      </c>
      <c r="AO1401" s="5" t="s">
        <v>51</v>
      </c>
      <c r="AP1401" s="4" t="s">
        <v>61</v>
      </c>
      <c r="AQ1401" s="4" t="s">
        <v>53</v>
      </c>
      <c r="AR1401" s="4" t="s">
        <v>54</v>
      </c>
      <c r="AS1401" s="5">
        <v>2042933</v>
      </c>
      <c r="AT1401" t="s">
        <v>47</v>
      </c>
    </row>
    <row r="1402" spans="1:46" ht="26" x14ac:dyDescent="0.3">
      <c r="A1402" s="4" t="s">
        <v>5400</v>
      </c>
      <c r="B1402" t="s">
        <v>47</v>
      </c>
      <c r="C1402" s="4" t="s">
        <v>5401</v>
      </c>
      <c r="D1402" s="4" t="s">
        <v>4536</v>
      </c>
      <c r="E1402" s="4" t="s">
        <v>100</v>
      </c>
      <c r="F1402" s="5" t="s">
        <v>5402</v>
      </c>
      <c r="G1402" t="s">
        <v>47</v>
      </c>
      <c r="H1402" t="s">
        <v>47</v>
      </c>
      <c r="I1402" t="s">
        <v>47</v>
      </c>
      <c r="J1402" t="s">
        <v>47</v>
      </c>
      <c r="K1402" t="s">
        <v>47</v>
      </c>
      <c r="L1402" s="5" t="s">
        <v>60</v>
      </c>
      <c r="M1402" t="s">
        <v>47</v>
      </c>
      <c r="N1402" t="s">
        <v>47</v>
      </c>
      <c r="O1402" t="s">
        <v>47</v>
      </c>
      <c r="P1402" t="s">
        <v>47</v>
      </c>
      <c r="Q1402" t="s">
        <v>47</v>
      </c>
      <c r="R1402" t="s">
        <v>47</v>
      </c>
      <c r="S1402" t="s">
        <v>47</v>
      </c>
      <c r="T1402" t="s">
        <v>47</v>
      </c>
      <c r="U1402" t="s">
        <v>47</v>
      </c>
      <c r="V1402" t="s">
        <v>47</v>
      </c>
      <c r="W1402" s="3">
        <v>33695</v>
      </c>
      <c r="X1402" s="3">
        <v>42248</v>
      </c>
      <c r="Y1402" s="5" t="s">
        <v>5403</v>
      </c>
      <c r="Z1402" s="3">
        <v>33695</v>
      </c>
      <c r="AA1402" s="3">
        <v>42248</v>
      </c>
      <c r="AB1402" s="5" t="s">
        <v>5403</v>
      </c>
      <c r="AC1402" s="3">
        <v>37865</v>
      </c>
      <c r="AD1402" s="3">
        <v>42248</v>
      </c>
      <c r="AE1402" s="5" t="s">
        <v>561</v>
      </c>
      <c r="AF1402" t="s">
        <v>47</v>
      </c>
      <c r="AG1402" t="s">
        <v>47</v>
      </c>
      <c r="AH1402" t="s">
        <v>47</v>
      </c>
      <c r="AI1402" t="s">
        <v>47</v>
      </c>
      <c r="AJ1402" t="s">
        <v>47</v>
      </c>
      <c r="AK1402" t="s">
        <v>47</v>
      </c>
      <c r="AL1402" t="s">
        <v>47</v>
      </c>
      <c r="AM1402" t="s">
        <v>47</v>
      </c>
      <c r="AN1402" t="s">
        <v>47</v>
      </c>
      <c r="AO1402" s="5" t="s">
        <v>60</v>
      </c>
      <c r="AP1402" s="4" t="s">
        <v>61</v>
      </c>
      <c r="AQ1402" s="4" t="s">
        <v>5404</v>
      </c>
      <c r="AR1402" s="4" t="s">
        <v>54</v>
      </c>
      <c r="AS1402" s="5">
        <v>43496</v>
      </c>
      <c r="AT1402" t="s">
        <v>47</v>
      </c>
    </row>
    <row r="1403" spans="1:46" ht="26" x14ac:dyDescent="0.3">
      <c r="A1403" s="4" t="s">
        <v>5405</v>
      </c>
      <c r="B1403" t="s">
        <v>47</v>
      </c>
      <c r="C1403" s="4" t="s">
        <v>2225</v>
      </c>
      <c r="D1403" s="4" t="s">
        <v>5406</v>
      </c>
      <c r="E1403" s="4" t="s">
        <v>454</v>
      </c>
      <c r="F1403" s="5" t="s">
        <v>5407</v>
      </c>
      <c r="G1403" s="5" t="s">
        <v>5408</v>
      </c>
      <c r="H1403" t="s">
        <v>47</v>
      </c>
      <c r="I1403" s="3">
        <v>40909</v>
      </c>
      <c r="J1403" s="5" t="s">
        <v>50</v>
      </c>
      <c r="K1403" t="s">
        <v>47</v>
      </c>
      <c r="L1403" s="5" t="s">
        <v>60</v>
      </c>
      <c r="M1403" t="s">
        <v>47</v>
      </c>
      <c r="N1403" t="s">
        <v>47</v>
      </c>
      <c r="O1403" t="s">
        <v>47</v>
      </c>
      <c r="P1403" s="3">
        <v>40909</v>
      </c>
      <c r="Q1403" s="5" t="s">
        <v>50</v>
      </c>
      <c r="R1403" t="s">
        <v>47</v>
      </c>
      <c r="S1403" t="s">
        <v>47</v>
      </c>
      <c r="T1403" t="s">
        <v>47</v>
      </c>
      <c r="U1403" t="s">
        <v>47</v>
      </c>
      <c r="V1403" t="s">
        <v>47</v>
      </c>
      <c r="W1403" s="3">
        <v>40909</v>
      </c>
      <c r="X1403" s="5" t="s">
        <v>50</v>
      </c>
      <c r="Y1403" t="s">
        <v>47</v>
      </c>
      <c r="Z1403" s="3">
        <v>40909</v>
      </c>
      <c r="AA1403" s="5" t="s">
        <v>50</v>
      </c>
      <c r="AB1403" t="s">
        <v>47</v>
      </c>
      <c r="AC1403" s="3">
        <v>40909</v>
      </c>
      <c r="AD1403" s="5" t="s">
        <v>50</v>
      </c>
      <c r="AE1403" t="s">
        <v>47</v>
      </c>
      <c r="AF1403" t="s">
        <v>47</v>
      </c>
      <c r="AG1403" t="s">
        <v>47</v>
      </c>
      <c r="AH1403" t="s">
        <v>47</v>
      </c>
      <c r="AI1403" t="s">
        <v>47</v>
      </c>
      <c r="AJ1403" t="s">
        <v>47</v>
      </c>
      <c r="AK1403" t="s">
        <v>47</v>
      </c>
      <c r="AL1403" t="s">
        <v>47</v>
      </c>
      <c r="AM1403" t="s">
        <v>47</v>
      </c>
      <c r="AN1403" t="s">
        <v>47</v>
      </c>
      <c r="AO1403" s="5" t="s">
        <v>60</v>
      </c>
      <c r="AP1403" s="4" t="s">
        <v>61</v>
      </c>
      <c r="AQ1403" s="4" t="s">
        <v>2228</v>
      </c>
      <c r="AR1403" s="4" t="s">
        <v>54</v>
      </c>
      <c r="AS1403" s="5">
        <v>2028927</v>
      </c>
      <c r="AT1403" t="s">
        <v>47</v>
      </c>
    </row>
    <row r="1404" spans="1:46" ht="52" x14ac:dyDescent="0.3">
      <c r="A1404" s="4" t="s">
        <v>5409</v>
      </c>
      <c r="B1404" t="s">
        <v>47</v>
      </c>
      <c r="C1404" s="4" t="s">
        <v>519</v>
      </c>
      <c r="D1404" s="4" t="s">
        <v>5410</v>
      </c>
      <c r="E1404" s="4" t="s">
        <v>49</v>
      </c>
      <c r="F1404" s="5" t="s">
        <v>5411</v>
      </c>
      <c r="G1404" s="5" t="s">
        <v>5412</v>
      </c>
      <c r="H1404" t="s">
        <v>47</v>
      </c>
      <c r="I1404" s="3">
        <v>36039</v>
      </c>
      <c r="J1404" s="3">
        <v>40817</v>
      </c>
      <c r="K1404" t="s">
        <v>47</v>
      </c>
      <c r="L1404" s="5" t="s">
        <v>60</v>
      </c>
      <c r="M1404" s="3">
        <v>36039</v>
      </c>
      <c r="N1404" s="3">
        <v>40817</v>
      </c>
      <c r="O1404" t="s">
        <v>47</v>
      </c>
      <c r="P1404" s="3">
        <v>36039</v>
      </c>
      <c r="Q1404" s="3">
        <v>40817</v>
      </c>
      <c r="R1404" t="s">
        <v>47</v>
      </c>
      <c r="S1404" t="s">
        <v>47</v>
      </c>
      <c r="T1404" t="s">
        <v>47</v>
      </c>
      <c r="U1404" t="s">
        <v>47</v>
      </c>
      <c r="V1404" t="s">
        <v>47</v>
      </c>
      <c r="W1404" s="3">
        <v>36039</v>
      </c>
      <c r="X1404" s="5" t="s">
        <v>50</v>
      </c>
      <c r="Y1404" t="s">
        <v>47</v>
      </c>
      <c r="Z1404" s="3">
        <v>36039</v>
      </c>
      <c r="AA1404" s="5" t="s">
        <v>50</v>
      </c>
      <c r="AB1404" t="s">
        <v>47</v>
      </c>
      <c r="AC1404" s="3">
        <v>36770</v>
      </c>
      <c r="AD1404" s="5" t="s">
        <v>50</v>
      </c>
      <c r="AE1404" t="s">
        <v>47</v>
      </c>
      <c r="AF1404" t="s">
        <v>47</v>
      </c>
      <c r="AG1404" t="s">
        <v>47</v>
      </c>
      <c r="AH1404" t="s">
        <v>47</v>
      </c>
      <c r="AI1404" t="s">
        <v>47</v>
      </c>
      <c r="AJ1404" t="s">
        <v>47</v>
      </c>
      <c r="AK1404" t="s">
        <v>47</v>
      </c>
      <c r="AL1404" t="s">
        <v>47</v>
      </c>
      <c r="AM1404" t="s">
        <v>47</v>
      </c>
      <c r="AN1404" t="s">
        <v>47</v>
      </c>
      <c r="AO1404" s="5" t="s">
        <v>60</v>
      </c>
      <c r="AP1404" s="4" t="s">
        <v>61</v>
      </c>
      <c r="AQ1404" s="4" t="s">
        <v>53</v>
      </c>
      <c r="AR1404" s="4" t="s">
        <v>327</v>
      </c>
      <c r="AS1404" s="5">
        <v>48207</v>
      </c>
      <c r="AT1404" t="s">
        <v>47</v>
      </c>
    </row>
    <row r="1405" spans="1:46" ht="13" x14ac:dyDescent="0.3">
      <c r="A1405" s="4" t="s">
        <v>5413</v>
      </c>
      <c r="B1405" t="s">
        <v>47</v>
      </c>
      <c r="C1405" s="4" t="s">
        <v>5414</v>
      </c>
      <c r="D1405" s="4" t="s">
        <v>4134</v>
      </c>
      <c r="E1405" s="4" t="s">
        <v>49</v>
      </c>
      <c r="F1405" s="5" t="s">
        <v>5415</v>
      </c>
      <c r="G1405" s="5" t="s">
        <v>5416</v>
      </c>
      <c r="H1405" t="s">
        <v>47</v>
      </c>
      <c r="I1405" s="3">
        <v>37895</v>
      </c>
      <c r="J1405" s="5" t="s">
        <v>50</v>
      </c>
      <c r="K1405" t="s">
        <v>47</v>
      </c>
      <c r="L1405" s="5" t="s">
        <v>60</v>
      </c>
      <c r="M1405" s="3">
        <v>37895</v>
      </c>
      <c r="N1405" s="5" t="s">
        <v>50</v>
      </c>
      <c r="O1405" t="s">
        <v>47</v>
      </c>
      <c r="P1405" s="3">
        <v>37895</v>
      </c>
      <c r="Q1405" s="5" t="s">
        <v>50</v>
      </c>
      <c r="R1405" t="s">
        <v>47</v>
      </c>
      <c r="S1405" t="s">
        <v>47</v>
      </c>
      <c r="T1405" t="s">
        <v>47</v>
      </c>
      <c r="U1405" t="s">
        <v>47</v>
      </c>
      <c r="V1405" t="s">
        <v>47</v>
      </c>
      <c r="W1405" s="3">
        <v>37895</v>
      </c>
      <c r="X1405" s="5" t="s">
        <v>50</v>
      </c>
      <c r="Y1405" t="s">
        <v>47</v>
      </c>
      <c r="Z1405" s="3">
        <v>37895</v>
      </c>
      <c r="AA1405" s="5" t="s">
        <v>50</v>
      </c>
      <c r="AB1405" t="s">
        <v>47</v>
      </c>
      <c r="AC1405" s="3">
        <v>42736</v>
      </c>
      <c r="AD1405" s="5" t="s">
        <v>50</v>
      </c>
      <c r="AE1405" t="s">
        <v>47</v>
      </c>
      <c r="AF1405" t="s">
        <v>47</v>
      </c>
      <c r="AG1405" t="s">
        <v>47</v>
      </c>
      <c r="AH1405" t="s">
        <v>47</v>
      </c>
      <c r="AI1405" t="s">
        <v>47</v>
      </c>
      <c r="AJ1405" t="s">
        <v>47</v>
      </c>
      <c r="AK1405" t="s">
        <v>47</v>
      </c>
      <c r="AL1405" t="s">
        <v>47</v>
      </c>
      <c r="AM1405" t="s">
        <v>47</v>
      </c>
      <c r="AN1405" t="s">
        <v>47</v>
      </c>
      <c r="AO1405" s="5" t="s">
        <v>60</v>
      </c>
      <c r="AP1405" s="4" t="s">
        <v>61</v>
      </c>
      <c r="AQ1405" s="4" t="s">
        <v>53</v>
      </c>
      <c r="AR1405" s="4" t="s">
        <v>54</v>
      </c>
      <c r="AS1405" s="5">
        <v>48113</v>
      </c>
      <c r="AT1405" t="s">
        <v>47</v>
      </c>
    </row>
    <row r="1406" spans="1:46" ht="78" x14ac:dyDescent="0.3">
      <c r="A1406" s="4" t="s">
        <v>5417</v>
      </c>
      <c r="B1406" t="s">
        <v>47</v>
      </c>
      <c r="C1406" s="4" t="s">
        <v>169</v>
      </c>
      <c r="D1406" s="4" t="s">
        <v>2936</v>
      </c>
      <c r="E1406" s="4" t="s">
        <v>66</v>
      </c>
      <c r="F1406" s="5" t="s">
        <v>5418</v>
      </c>
      <c r="G1406" s="5" t="s">
        <v>5419</v>
      </c>
      <c r="H1406" t="s">
        <v>47</v>
      </c>
      <c r="I1406" s="3">
        <v>38718</v>
      </c>
      <c r="J1406" s="3">
        <v>43040</v>
      </c>
      <c r="K1406" t="s">
        <v>47</v>
      </c>
      <c r="L1406" s="5" t="s">
        <v>60</v>
      </c>
      <c r="M1406" s="3">
        <v>38718</v>
      </c>
      <c r="N1406" s="3">
        <v>43040</v>
      </c>
      <c r="O1406" t="s">
        <v>47</v>
      </c>
      <c r="P1406" s="3">
        <v>38718</v>
      </c>
      <c r="Q1406" s="3">
        <v>43040</v>
      </c>
      <c r="R1406" t="s">
        <v>47</v>
      </c>
      <c r="S1406" t="s">
        <v>47</v>
      </c>
      <c r="T1406" t="s">
        <v>47</v>
      </c>
      <c r="U1406" t="s">
        <v>47</v>
      </c>
      <c r="V1406" t="s">
        <v>47</v>
      </c>
      <c r="W1406" s="3">
        <v>38718</v>
      </c>
      <c r="X1406" s="5" t="s">
        <v>50</v>
      </c>
      <c r="Y1406" t="s">
        <v>47</v>
      </c>
      <c r="Z1406" s="3">
        <v>38718</v>
      </c>
      <c r="AA1406" s="5" t="s">
        <v>50</v>
      </c>
      <c r="AB1406" t="s">
        <v>47</v>
      </c>
      <c r="AC1406" s="3">
        <v>40817</v>
      </c>
      <c r="AD1406" s="5" t="s">
        <v>50</v>
      </c>
      <c r="AE1406" t="s">
        <v>47</v>
      </c>
      <c r="AF1406" t="s">
        <v>47</v>
      </c>
      <c r="AG1406" t="s">
        <v>47</v>
      </c>
      <c r="AH1406" t="s">
        <v>47</v>
      </c>
      <c r="AI1406" t="s">
        <v>47</v>
      </c>
      <c r="AJ1406" t="s">
        <v>47</v>
      </c>
      <c r="AK1406" t="s">
        <v>47</v>
      </c>
      <c r="AL1406" t="s">
        <v>47</v>
      </c>
      <c r="AM1406" t="s">
        <v>47</v>
      </c>
      <c r="AN1406" t="s">
        <v>47</v>
      </c>
      <c r="AO1406" s="5" t="s">
        <v>60</v>
      </c>
      <c r="AP1406" s="4" t="s">
        <v>61</v>
      </c>
      <c r="AQ1406" s="4" t="s">
        <v>53</v>
      </c>
      <c r="AR1406" s="4" t="s">
        <v>5420</v>
      </c>
      <c r="AS1406" s="5">
        <v>38298</v>
      </c>
      <c r="AT1406" t="s">
        <v>47</v>
      </c>
    </row>
    <row r="1407" spans="1:46" ht="26" x14ac:dyDescent="0.3">
      <c r="A1407" s="4" t="s">
        <v>5421</v>
      </c>
      <c r="B1407" t="s">
        <v>47</v>
      </c>
      <c r="C1407" s="4" t="s">
        <v>200</v>
      </c>
      <c r="D1407" s="4" t="s">
        <v>3189</v>
      </c>
      <c r="E1407" s="4" t="s">
        <v>66</v>
      </c>
      <c r="F1407" s="5" t="s">
        <v>5422</v>
      </c>
      <c r="G1407" s="5" t="s">
        <v>5423</v>
      </c>
      <c r="H1407" t="s">
        <v>47</v>
      </c>
      <c r="I1407" s="3">
        <v>35431</v>
      </c>
      <c r="J1407" s="3">
        <v>40148</v>
      </c>
      <c r="K1407" t="s">
        <v>47</v>
      </c>
      <c r="L1407" s="5" t="s">
        <v>60</v>
      </c>
      <c r="M1407" s="3">
        <v>35431</v>
      </c>
      <c r="N1407" s="3">
        <v>40148</v>
      </c>
      <c r="O1407" t="s">
        <v>47</v>
      </c>
      <c r="P1407" s="3">
        <v>35431</v>
      </c>
      <c r="Q1407" s="3">
        <v>40148</v>
      </c>
      <c r="R1407" t="s">
        <v>47</v>
      </c>
      <c r="S1407" t="s">
        <v>47</v>
      </c>
      <c r="T1407" t="s">
        <v>47</v>
      </c>
      <c r="U1407" t="s">
        <v>47</v>
      </c>
      <c r="V1407" t="s">
        <v>47</v>
      </c>
      <c r="W1407" s="3">
        <v>32509</v>
      </c>
      <c r="X1407" s="5" t="s">
        <v>50</v>
      </c>
      <c r="Y1407" t="s">
        <v>47</v>
      </c>
      <c r="Z1407" s="3">
        <v>32509</v>
      </c>
      <c r="AA1407" s="5" t="s">
        <v>50</v>
      </c>
      <c r="AB1407" t="s">
        <v>47</v>
      </c>
      <c r="AC1407" s="3">
        <v>32509</v>
      </c>
      <c r="AD1407" s="5" t="s">
        <v>50</v>
      </c>
      <c r="AE1407" t="s">
        <v>47</v>
      </c>
      <c r="AF1407" t="s">
        <v>47</v>
      </c>
      <c r="AG1407" t="s">
        <v>47</v>
      </c>
      <c r="AH1407" t="s">
        <v>47</v>
      </c>
      <c r="AI1407" t="s">
        <v>47</v>
      </c>
      <c r="AJ1407" t="s">
        <v>47</v>
      </c>
      <c r="AK1407" t="s">
        <v>47</v>
      </c>
      <c r="AL1407" t="s">
        <v>47</v>
      </c>
      <c r="AM1407" t="s">
        <v>47</v>
      </c>
      <c r="AN1407" t="s">
        <v>47</v>
      </c>
      <c r="AO1407" s="5" t="s">
        <v>60</v>
      </c>
      <c r="AP1407" s="4" t="s">
        <v>61</v>
      </c>
      <c r="AQ1407" s="4" t="s">
        <v>53</v>
      </c>
      <c r="AR1407" s="4" t="s">
        <v>5424</v>
      </c>
      <c r="AS1407" s="5">
        <v>41903</v>
      </c>
      <c r="AT1407" t="s">
        <v>47</v>
      </c>
    </row>
    <row r="1408" spans="1:46" ht="78" x14ac:dyDescent="0.3">
      <c r="A1408" s="4" t="s">
        <v>5425</v>
      </c>
      <c r="B1408" t="s">
        <v>47</v>
      </c>
      <c r="C1408" s="4" t="s">
        <v>64</v>
      </c>
      <c r="D1408" s="4" t="s">
        <v>5426</v>
      </c>
      <c r="E1408" s="4" t="s">
        <v>66</v>
      </c>
      <c r="F1408" s="5" t="s">
        <v>5427</v>
      </c>
      <c r="G1408" s="5" t="s">
        <v>5428</v>
      </c>
      <c r="H1408" t="s">
        <v>47</v>
      </c>
      <c r="I1408" s="3">
        <v>37347</v>
      </c>
      <c r="J1408" s="3">
        <v>43435</v>
      </c>
      <c r="K1408" t="s">
        <v>47</v>
      </c>
      <c r="L1408" s="5" t="s">
        <v>60</v>
      </c>
      <c r="M1408" s="3">
        <v>37347</v>
      </c>
      <c r="N1408" s="3">
        <v>43435</v>
      </c>
      <c r="O1408" t="s">
        <v>47</v>
      </c>
      <c r="P1408" s="3">
        <v>37347</v>
      </c>
      <c r="Q1408" s="3">
        <v>43435</v>
      </c>
      <c r="R1408" t="s">
        <v>47</v>
      </c>
      <c r="S1408" t="s">
        <v>47</v>
      </c>
      <c r="T1408" t="s">
        <v>47</v>
      </c>
      <c r="U1408" t="s">
        <v>47</v>
      </c>
      <c r="V1408" t="s">
        <v>47</v>
      </c>
      <c r="W1408" s="3">
        <v>37347</v>
      </c>
      <c r="X1408" s="5" t="s">
        <v>50</v>
      </c>
      <c r="Y1408" t="s">
        <v>47</v>
      </c>
      <c r="Z1408" s="3">
        <v>37347</v>
      </c>
      <c r="AA1408" s="5" t="s">
        <v>50</v>
      </c>
      <c r="AB1408" t="s">
        <v>47</v>
      </c>
      <c r="AC1408" s="3">
        <v>37987</v>
      </c>
      <c r="AD1408" s="5" t="s">
        <v>50</v>
      </c>
      <c r="AE1408" t="s">
        <v>47</v>
      </c>
      <c r="AF1408" t="s">
        <v>47</v>
      </c>
      <c r="AG1408" t="s">
        <v>47</v>
      </c>
      <c r="AH1408" t="s">
        <v>47</v>
      </c>
      <c r="AI1408" t="s">
        <v>47</v>
      </c>
      <c r="AJ1408" t="s">
        <v>47</v>
      </c>
      <c r="AK1408" t="s">
        <v>47</v>
      </c>
      <c r="AL1408" t="s">
        <v>47</v>
      </c>
      <c r="AM1408" t="s">
        <v>47</v>
      </c>
      <c r="AN1408" t="s">
        <v>47</v>
      </c>
      <c r="AO1408" s="5" t="s">
        <v>60</v>
      </c>
      <c r="AP1408" s="4" t="s">
        <v>61</v>
      </c>
      <c r="AQ1408" s="4" t="s">
        <v>53</v>
      </c>
      <c r="AR1408" s="4" t="s">
        <v>436</v>
      </c>
      <c r="AS1408" s="5">
        <v>26876</v>
      </c>
      <c r="AT1408" t="s">
        <v>47</v>
      </c>
    </row>
    <row r="1409" spans="1:46" ht="26" x14ac:dyDescent="0.3">
      <c r="A1409" s="4" t="s">
        <v>5429</v>
      </c>
      <c r="B1409" t="s">
        <v>47</v>
      </c>
      <c r="C1409" s="4" t="s">
        <v>5430</v>
      </c>
      <c r="D1409" s="4" t="s">
        <v>70</v>
      </c>
      <c r="E1409" s="4" t="s">
        <v>49</v>
      </c>
      <c r="F1409" s="5" t="s">
        <v>5431</v>
      </c>
      <c r="G1409" t="s">
        <v>47</v>
      </c>
      <c r="H1409" t="s">
        <v>47</v>
      </c>
      <c r="I1409" s="3">
        <v>35462</v>
      </c>
      <c r="J1409" s="3">
        <v>38626</v>
      </c>
      <c r="K1409" t="s">
        <v>47</v>
      </c>
      <c r="L1409" s="5" t="s">
        <v>60</v>
      </c>
      <c r="M1409" s="3">
        <v>35462</v>
      </c>
      <c r="N1409" s="3">
        <v>38626</v>
      </c>
      <c r="O1409" t="s">
        <v>47</v>
      </c>
      <c r="P1409" s="3">
        <v>35462</v>
      </c>
      <c r="Q1409" s="3">
        <v>38626</v>
      </c>
      <c r="R1409" t="s">
        <v>47</v>
      </c>
      <c r="S1409" t="s">
        <v>47</v>
      </c>
      <c r="T1409" t="s">
        <v>47</v>
      </c>
      <c r="U1409" t="s">
        <v>47</v>
      </c>
      <c r="V1409" t="s">
        <v>47</v>
      </c>
      <c r="W1409" s="3">
        <v>33573</v>
      </c>
      <c r="X1409" s="3">
        <v>38626</v>
      </c>
      <c r="Y1409" t="s">
        <v>47</v>
      </c>
      <c r="Z1409" s="3">
        <v>33573</v>
      </c>
      <c r="AA1409" s="3">
        <v>38626</v>
      </c>
      <c r="AB1409" t="s">
        <v>47</v>
      </c>
      <c r="AC1409" s="3">
        <v>33573</v>
      </c>
      <c r="AD1409" s="3">
        <v>38626</v>
      </c>
      <c r="AE1409" t="s">
        <v>47</v>
      </c>
      <c r="AF1409" t="s">
        <v>47</v>
      </c>
      <c r="AG1409" t="s">
        <v>47</v>
      </c>
      <c r="AH1409" t="s">
        <v>47</v>
      </c>
      <c r="AI1409" t="s">
        <v>47</v>
      </c>
      <c r="AJ1409" t="s">
        <v>47</v>
      </c>
      <c r="AK1409" t="s">
        <v>47</v>
      </c>
      <c r="AL1409" t="s">
        <v>47</v>
      </c>
      <c r="AM1409" t="s">
        <v>47</v>
      </c>
      <c r="AN1409" t="s">
        <v>47</v>
      </c>
      <c r="AO1409" s="5" t="s">
        <v>51</v>
      </c>
      <c r="AP1409" s="4" t="s">
        <v>61</v>
      </c>
      <c r="AQ1409" s="4" t="s">
        <v>53</v>
      </c>
      <c r="AR1409" s="4" t="s">
        <v>835</v>
      </c>
      <c r="AS1409" s="5">
        <v>35312</v>
      </c>
      <c r="AT1409" t="s">
        <v>47</v>
      </c>
    </row>
    <row r="1410" spans="1:46" ht="39" x14ac:dyDescent="0.3">
      <c r="A1410" s="4" t="s">
        <v>5432</v>
      </c>
      <c r="B1410" t="s">
        <v>47</v>
      </c>
      <c r="C1410" s="4" t="s">
        <v>4053</v>
      </c>
      <c r="D1410" s="4" t="s">
        <v>324</v>
      </c>
      <c r="E1410" s="4" t="s">
        <v>49</v>
      </c>
      <c r="F1410" s="5" t="s">
        <v>5433</v>
      </c>
      <c r="G1410" s="5" t="s">
        <v>5434</v>
      </c>
      <c r="H1410" t="s">
        <v>47</v>
      </c>
      <c r="I1410" s="3">
        <v>32051</v>
      </c>
      <c r="J1410" s="3">
        <v>36342</v>
      </c>
      <c r="K1410" t="s">
        <v>47</v>
      </c>
      <c r="L1410" s="5" t="s">
        <v>60</v>
      </c>
      <c r="M1410" s="3">
        <v>33604</v>
      </c>
      <c r="N1410" s="3">
        <v>36342</v>
      </c>
      <c r="O1410" t="s">
        <v>47</v>
      </c>
      <c r="P1410" s="3">
        <v>32051</v>
      </c>
      <c r="Q1410" s="3">
        <v>36342</v>
      </c>
      <c r="R1410" t="s">
        <v>47</v>
      </c>
      <c r="S1410" t="s">
        <v>47</v>
      </c>
      <c r="T1410" t="s">
        <v>47</v>
      </c>
      <c r="U1410" t="s">
        <v>47</v>
      </c>
      <c r="V1410" t="s">
        <v>47</v>
      </c>
      <c r="W1410" s="3">
        <v>27760</v>
      </c>
      <c r="X1410" s="3">
        <v>36342</v>
      </c>
      <c r="Y1410" t="s">
        <v>47</v>
      </c>
      <c r="Z1410" s="3">
        <v>27760</v>
      </c>
      <c r="AA1410" s="3">
        <v>36342</v>
      </c>
      <c r="AB1410" t="s">
        <v>47</v>
      </c>
      <c r="AC1410" s="3">
        <v>27760</v>
      </c>
      <c r="AD1410" s="3">
        <v>36342</v>
      </c>
      <c r="AE1410" t="s">
        <v>47</v>
      </c>
      <c r="AF1410" t="s">
        <v>47</v>
      </c>
      <c r="AG1410" t="s">
        <v>47</v>
      </c>
      <c r="AH1410" t="s">
        <v>47</v>
      </c>
      <c r="AI1410" t="s">
        <v>47</v>
      </c>
      <c r="AJ1410" t="s">
        <v>47</v>
      </c>
      <c r="AK1410" t="s">
        <v>47</v>
      </c>
      <c r="AL1410" t="s">
        <v>47</v>
      </c>
      <c r="AM1410" t="s">
        <v>47</v>
      </c>
      <c r="AN1410" t="s">
        <v>47</v>
      </c>
      <c r="AO1410" s="5" t="s">
        <v>60</v>
      </c>
      <c r="AP1410" s="4" t="s">
        <v>61</v>
      </c>
      <c r="AQ1410" s="4" t="s">
        <v>53</v>
      </c>
      <c r="AR1410" s="4" t="s">
        <v>147</v>
      </c>
      <c r="AS1410" s="5">
        <v>47933</v>
      </c>
      <c r="AT1410" t="s">
        <v>47</v>
      </c>
    </row>
    <row r="1411" spans="1:46" ht="26" x14ac:dyDescent="0.3">
      <c r="A1411" s="4" t="s">
        <v>5435</v>
      </c>
      <c r="B1411" t="s">
        <v>47</v>
      </c>
      <c r="C1411" s="4" t="s">
        <v>169</v>
      </c>
      <c r="D1411" s="4" t="s">
        <v>339</v>
      </c>
      <c r="E1411" s="4" t="s">
        <v>66</v>
      </c>
      <c r="F1411" s="5" t="s">
        <v>5436</v>
      </c>
      <c r="G1411" s="5" t="s">
        <v>5437</v>
      </c>
      <c r="H1411" t="s">
        <v>47</v>
      </c>
      <c r="I1411" s="3">
        <v>36039</v>
      </c>
      <c r="J1411" s="3">
        <v>36678</v>
      </c>
      <c r="K1411" t="s">
        <v>47</v>
      </c>
      <c r="L1411" s="5" t="s">
        <v>60</v>
      </c>
      <c r="M1411" s="3">
        <v>36039</v>
      </c>
      <c r="N1411" s="3">
        <v>36678</v>
      </c>
      <c r="O1411" t="s">
        <v>47</v>
      </c>
      <c r="P1411" s="3">
        <v>36039</v>
      </c>
      <c r="Q1411" s="3">
        <v>36678</v>
      </c>
      <c r="R1411" t="s">
        <v>47</v>
      </c>
      <c r="S1411" t="s">
        <v>47</v>
      </c>
      <c r="T1411" t="s">
        <v>47</v>
      </c>
      <c r="U1411" t="s">
        <v>47</v>
      </c>
      <c r="V1411" t="s">
        <v>47</v>
      </c>
      <c r="W1411" s="3">
        <v>36039</v>
      </c>
      <c r="X1411" s="5" t="s">
        <v>50</v>
      </c>
      <c r="Y1411" s="5" t="s">
        <v>2144</v>
      </c>
      <c r="Z1411" s="3">
        <v>36039</v>
      </c>
      <c r="AA1411" s="5" t="s">
        <v>50</v>
      </c>
      <c r="AB1411" s="5" t="s">
        <v>2144</v>
      </c>
      <c r="AC1411" s="3">
        <v>36039</v>
      </c>
      <c r="AD1411" s="5" t="s">
        <v>50</v>
      </c>
      <c r="AE1411" s="5" t="s">
        <v>2144</v>
      </c>
      <c r="AF1411" t="s">
        <v>47</v>
      </c>
      <c r="AG1411" t="s">
        <v>47</v>
      </c>
      <c r="AH1411" t="s">
        <v>47</v>
      </c>
      <c r="AI1411" t="s">
        <v>47</v>
      </c>
      <c r="AJ1411" t="s">
        <v>47</v>
      </c>
      <c r="AK1411" t="s">
        <v>47</v>
      </c>
      <c r="AL1411" t="s">
        <v>47</v>
      </c>
      <c r="AM1411" t="s">
        <v>47</v>
      </c>
      <c r="AN1411" t="s">
        <v>47</v>
      </c>
      <c r="AO1411" s="5" t="s">
        <v>60</v>
      </c>
      <c r="AP1411" s="4" t="s">
        <v>61</v>
      </c>
      <c r="AQ1411" s="4" t="s">
        <v>53</v>
      </c>
      <c r="AR1411" s="4" t="s">
        <v>54</v>
      </c>
      <c r="AS1411" s="5">
        <v>48100</v>
      </c>
      <c r="AT1411" t="s">
        <v>47</v>
      </c>
    </row>
    <row r="1412" spans="1:46" ht="39" x14ac:dyDescent="0.3">
      <c r="A1412" s="4" t="s">
        <v>5438</v>
      </c>
      <c r="B1412" t="s">
        <v>47</v>
      </c>
      <c r="C1412" s="4" t="s">
        <v>5439</v>
      </c>
      <c r="D1412" s="4" t="s">
        <v>88</v>
      </c>
      <c r="E1412" s="4" t="s">
        <v>49</v>
      </c>
      <c r="F1412" s="5" t="s">
        <v>5440</v>
      </c>
      <c r="G1412" t="s">
        <v>47</v>
      </c>
      <c r="H1412" t="s">
        <v>47</v>
      </c>
      <c r="I1412" s="3">
        <v>42736</v>
      </c>
      <c r="J1412" s="5" t="s">
        <v>50</v>
      </c>
      <c r="K1412" t="s">
        <v>47</v>
      </c>
      <c r="L1412" s="5" t="s">
        <v>60</v>
      </c>
      <c r="M1412" s="3">
        <v>42736</v>
      </c>
      <c r="N1412" s="5" t="s">
        <v>50</v>
      </c>
      <c r="O1412" t="s">
        <v>47</v>
      </c>
      <c r="P1412" s="3">
        <v>42736</v>
      </c>
      <c r="Q1412" s="5" t="s">
        <v>50</v>
      </c>
      <c r="R1412" t="s">
        <v>47</v>
      </c>
      <c r="S1412" t="s">
        <v>47</v>
      </c>
      <c r="T1412" t="s">
        <v>47</v>
      </c>
      <c r="U1412" t="s">
        <v>47</v>
      </c>
      <c r="V1412" t="s">
        <v>47</v>
      </c>
      <c r="W1412" s="3">
        <v>42736</v>
      </c>
      <c r="X1412" s="5" t="s">
        <v>50</v>
      </c>
      <c r="Y1412" t="s">
        <v>47</v>
      </c>
      <c r="Z1412" s="3">
        <v>42736</v>
      </c>
      <c r="AA1412" s="5" t="s">
        <v>50</v>
      </c>
      <c r="AB1412" t="s">
        <v>47</v>
      </c>
      <c r="AC1412" s="3">
        <v>42736</v>
      </c>
      <c r="AD1412" s="5" t="s">
        <v>50</v>
      </c>
      <c r="AE1412" t="s">
        <v>47</v>
      </c>
      <c r="AF1412" t="s">
        <v>47</v>
      </c>
      <c r="AG1412" t="s">
        <v>47</v>
      </c>
      <c r="AH1412" t="s">
        <v>47</v>
      </c>
      <c r="AI1412" t="s">
        <v>47</v>
      </c>
      <c r="AJ1412" t="s">
        <v>47</v>
      </c>
      <c r="AK1412" t="s">
        <v>47</v>
      </c>
      <c r="AL1412" t="s">
        <v>47</v>
      </c>
      <c r="AM1412" t="s">
        <v>47</v>
      </c>
      <c r="AN1412" t="s">
        <v>47</v>
      </c>
      <c r="AO1412" s="5" t="s">
        <v>60</v>
      </c>
      <c r="AP1412" s="4" t="s">
        <v>61</v>
      </c>
      <c r="AQ1412" s="4" t="s">
        <v>53</v>
      </c>
      <c r="AR1412" s="4" t="s">
        <v>62</v>
      </c>
      <c r="AS1412" s="5">
        <v>3882659</v>
      </c>
      <c r="AT1412" t="s">
        <v>47</v>
      </c>
    </row>
    <row r="1413" spans="1:46" ht="52" x14ac:dyDescent="0.3">
      <c r="A1413" s="4" t="s">
        <v>5441</v>
      </c>
      <c r="B1413" t="s">
        <v>47</v>
      </c>
      <c r="C1413" s="4" t="s">
        <v>1036</v>
      </c>
      <c r="D1413" s="4" t="s">
        <v>70</v>
      </c>
      <c r="E1413" s="4" t="s">
        <v>49</v>
      </c>
      <c r="F1413" s="5" t="s">
        <v>5442</v>
      </c>
      <c r="G1413" s="5" t="s">
        <v>5443</v>
      </c>
      <c r="H1413" t="s">
        <v>47</v>
      </c>
      <c r="I1413" t="s">
        <v>47</v>
      </c>
      <c r="J1413" t="s">
        <v>47</v>
      </c>
      <c r="K1413" t="s">
        <v>47</v>
      </c>
      <c r="L1413" s="5" t="s">
        <v>51</v>
      </c>
      <c r="M1413" t="s">
        <v>47</v>
      </c>
      <c r="N1413" t="s">
        <v>47</v>
      </c>
      <c r="O1413" t="s">
        <v>47</v>
      </c>
      <c r="P1413" t="s">
        <v>47</v>
      </c>
      <c r="Q1413" t="s">
        <v>47</v>
      </c>
      <c r="R1413" t="s">
        <v>47</v>
      </c>
      <c r="S1413" t="s">
        <v>47</v>
      </c>
      <c r="T1413" t="s">
        <v>47</v>
      </c>
      <c r="U1413" t="s">
        <v>47</v>
      </c>
      <c r="V1413" t="s">
        <v>47</v>
      </c>
      <c r="W1413" s="3">
        <v>35821</v>
      </c>
      <c r="X1413" s="3">
        <v>42128</v>
      </c>
      <c r="Y1413" t="s">
        <v>47</v>
      </c>
      <c r="Z1413" s="3">
        <v>35821</v>
      </c>
      <c r="AA1413" s="3">
        <v>42128</v>
      </c>
      <c r="AB1413" t="s">
        <v>47</v>
      </c>
      <c r="AC1413" s="3">
        <v>35821</v>
      </c>
      <c r="AD1413" s="3">
        <v>42128</v>
      </c>
      <c r="AE1413" t="s">
        <v>47</v>
      </c>
      <c r="AF1413" t="s">
        <v>47</v>
      </c>
      <c r="AG1413" t="s">
        <v>47</v>
      </c>
      <c r="AH1413" t="s">
        <v>47</v>
      </c>
      <c r="AI1413" t="s">
        <v>47</v>
      </c>
      <c r="AJ1413" t="s">
        <v>47</v>
      </c>
      <c r="AK1413" t="s">
        <v>47</v>
      </c>
      <c r="AL1413" t="s">
        <v>47</v>
      </c>
      <c r="AM1413" t="s">
        <v>47</v>
      </c>
      <c r="AN1413" t="s">
        <v>47</v>
      </c>
      <c r="AO1413" s="5" t="s">
        <v>51</v>
      </c>
      <c r="AP1413" s="4" t="s">
        <v>135</v>
      </c>
      <c r="AQ1413" s="4" t="s">
        <v>53</v>
      </c>
      <c r="AR1413" s="4" t="s">
        <v>1469</v>
      </c>
      <c r="AS1413" s="5">
        <v>15169</v>
      </c>
      <c r="AT1413" t="s">
        <v>47</v>
      </c>
    </row>
    <row r="1414" spans="1:46" ht="78" x14ac:dyDescent="0.3">
      <c r="A1414" s="4" t="s">
        <v>5444</v>
      </c>
      <c r="B1414" t="s">
        <v>47</v>
      </c>
      <c r="C1414" s="4" t="s">
        <v>1036</v>
      </c>
      <c r="D1414" s="4" t="s">
        <v>70</v>
      </c>
      <c r="E1414" s="4" t="s">
        <v>49</v>
      </c>
      <c r="F1414" s="5" t="s">
        <v>5445</v>
      </c>
      <c r="G1414" t="s">
        <v>47</v>
      </c>
      <c r="H1414" t="s">
        <v>47</v>
      </c>
      <c r="I1414" t="s">
        <v>47</v>
      </c>
      <c r="J1414" t="s">
        <v>47</v>
      </c>
      <c r="K1414" t="s">
        <v>47</v>
      </c>
      <c r="L1414" s="5" t="s">
        <v>51</v>
      </c>
      <c r="M1414" t="s">
        <v>47</v>
      </c>
      <c r="N1414" t="s">
        <v>47</v>
      </c>
      <c r="O1414" t="s">
        <v>47</v>
      </c>
      <c r="P1414" t="s">
        <v>47</v>
      </c>
      <c r="Q1414" t="s">
        <v>47</v>
      </c>
      <c r="R1414" t="s">
        <v>47</v>
      </c>
      <c r="S1414" t="s">
        <v>47</v>
      </c>
      <c r="T1414" t="s">
        <v>47</v>
      </c>
      <c r="U1414" t="s">
        <v>47</v>
      </c>
      <c r="V1414" t="s">
        <v>47</v>
      </c>
      <c r="W1414" s="3">
        <v>38565</v>
      </c>
      <c r="X1414" s="3">
        <v>42095</v>
      </c>
      <c r="Y1414" t="s">
        <v>47</v>
      </c>
      <c r="Z1414" s="3">
        <v>38565</v>
      </c>
      <c r="AA1414" s="3">
        <v>42095</v>
      </c>
      <c r="AB1414" t="s">
        <v>47</v>
      </c>
      <c r="AC1414" s="3">
        <v>38565</v>
      </c>
      <c r="AD1414" s="3">
        <v>42095</v>
      </c>
      <c r="AE1414" t="s">
        <v>47</v>
      </c>
      <c r="AF1414" t="s">
        <v>47</v>
      </c>
      <c r="AG1414" t="s">
        <v>47</v>
      </c>
      <c r="AH1414" t="s">
        <v>47</v>
      </c>
      <c r="AI1414" t="s">
        <v>47</v>
      </c>
      <c r="AJ1414" t="s">
        <v>47</v>
      </c>
      <c r="AK1414" t="s">
        <v>47</v>
      </c>
      <c r="AL1414" t="s">
        <v>47</v>
      </c>
      <c r="AM1414" t="s">
        <v>47</v>
      </c>
      <c r="AN1414" t="s">
        <v>47</v>
      </c>
      <c r="AO1414" s="5" t="s">
        <v>51</v>
      </c>
      <c r="AP1414" s="4" t="s">
        <v>135</v>
      </c>
      <c r="AQ1414" s="4" t="s">
        <v>53</v>
      </c>
      <c r="AR1414" s="4" t="s">
        <v>136</v>
      </c>
      <c r="AS1414" s="5">
        <v>28875</v>
      </c>
      <c r="AT1414" t="s">
        <v>47</v>
      </c>
    </row>
    <row r="1415" spans="1:46" ht="65" x14ac:dyDescent="0.3">
      <c r="A1415" s="4" t="s">
        <v>5446</v>
      </c>
      <c r="B1415" t="s">
        <v>47</v>
      </c>
      <c r="C1415" s="4" t="s">
        <v>1036</v>
      </c>
      <c r="D1415" s="4" t="s">
        <v>70</v>
      </c>
      <c r="E1415" s="4" t="s">
        <v>49</v>
      </c>
      <c r="F1415" s="5" t="s">
        <v>5447</v>
      </c>
      <c r="G1415" s="5" t="s">
        <v>5448</v>
      </c>
      <c r="H1415" t="s">
        <v>47</v>
      </c>
      <c r="I1415" t="s">
        <v>47</v>
      </c>
      <c r="J1415" t="s">
        <v>47</v>
      </c>
      <c r="K1415" t="s">
        <v>47</v>
      </c>
      <c r="L1415" s="5" t="s">
        <v>51</v>
      </c>
      <c r="M1415" t="s">
        <v>47</v>
      </c>
      <c r="N1415" t="s">
        <v>47</v>
      </c>
      <c r="O1415" t="s">
        <v>47</v>
      </c>
      <c r="P1415" t="s">
        <v>47</v>
      </c>
      <c r="Q1415" t="s">
        <v>47</v>
      </c>
      <c r="R1415" t="s">
        <v>47</v>
      </c>
      <c r="S1415" t="s">
        <v>47</v>
      </c>
      <c r="T1415" t="s">
        <v>47</v>
      </c>
      <c r="U1415" t="s">
        <v>47</v>
      </c>
      <c r="V1415" t="s">
        <v>47</v>
      </c>
      <c r="W1415" s="3">
        <v>35827</v>
      </c>
      <c r="X1415" s="3">
        <v>42095</v>
      </c>
      <c r="Y1415" t="s">
        <v>47</v>
      </c>
      <c r="Z1415" s="3">
        <v>35827</v>
      </c>
      <c r="AA1415" s="3">
        <v>42095</v>
      </c>
      <c r="AB1415" t="s">
        <v>47</v>
      </c>
      <c r="AC1415" s="3">
        <v>35827</v>
      </c>
      <c r="AD1415" s="3">
        <v>42095</v>
      </c>
      <c r="AE1415" t="s">
        <v>47</v>
      </c>
      <c r="AF1415" t="s">
        <v>47</v>
      </c>
      <c r="AG1415" t="s">
        <v>47</v>
      </c>
      <c r="AH1415" t="s">
        <v>47</v>
      </c>
      <c r="AI1415" t="s">
        <v>47</v>
      </c>
      <c r="AJ1415" t="s">
        <v>47</v>
      </c>
      <c r="AK1415" t="s">
        <v>47</v>
      </c>
      <c r="AL1415" t="s">
        <v>47</v>
      </c>
      <c r="AM1415" t="s">
        <v>47</v>
      </c>
      <c r="AN1415" t="s">
        <v>47</v>
      </c>
      <c r="AO1415" s="5" t="s">
        <v>51</v>
      </c>
      <c r="AP1415" s="4" t="s">
        <v>135</v>
      </c>
      <c r="AQ1415" s="4" t="s">
        <v>53</v>
      </c>
      <c r="AR1415" s="4" t="s">
        <v>5449</v>
      </c>
      <c r="AS1415" s="5">
        <v>6022</v>
      </c>
      <c r="AT1415" t="s">
        <v>47</v>
      </c>
    </row>
    <row r="1416" spans="1:46" ht="117" x14ac:dyDescent="0.3">
      <c r="A1416" s="4" t="s">
        <v>5450</v>
      </c>
      <c r="B1416" t="s">
        <v>47</v>
      </c>
      <c r="C1416" s="4" t="s">
        <v>1036</v>
      </c>
      <c r="D1416" s="4" t="s">
        <v>70</v>
      </c>
      <c r="E1416" s="4" t="s">
        <v>49</v>
      </c>
      <c r="F1416" s="5" t="s">
        <v>5451</v>
      </c>
      <c r="G1416" s="5" t="s">
        <v>5452</v>
      </c>
      <c r="H1416" t="s">
        <v>47</v>
      </c>
      <c r="I1416" t="s">
        <v>47</v>
      </c>
      <c r="J1416" t="s">
        <v>47</v>
      </c>
      <c r="K1416" t="s">
        <v>47</v>
      </c>
      <c r="L1416" s="5" t="s">
        <v>51</v>
      </c>
      <c r="M1416" t="s">
        <v>47</v>
      </c>
      <c r="N1416" t="s">
        <v>47</v>
      </c>
      <c r="O1416" t="s">
        <v>47</v>
      </c>
      <c r="P1416" t="s">
        <v>47</v>
      </c>
      <c r="Q1416" t="s">
        <v>47</v>
      </c>
      <c r="R1416" t="s">
        <v>47</v>
      </c>
      <c r="S1416" t="s">
        <v>47</v>
      </c>
      <c r="T1416" t="s">
        <v>47</v>
      </c>
      <c r="U1416" t="s">
        <v>47</v>
      </c>
      <c r="V1416" t="s">
        <v>47</v>
      </c>
      <c r="W1416" s="3">
        <v>35886</v>
      </c>
      <c r="X1416" s="3">
        <v>42125</v>
      </c>
      <c r="Y1416" t="s">
        <v>47</v>
      </c>
      <c r="Z1416" s="3">
        <v>35886</v>
      </c>
      <c r="AA1416" s="3">
        <v>42125</v>
      </c>
      <c r="AB1416" t="s">
        <v>47</v>
      </c>
      <c r="AC1416" s="3">
        <v>35886</v>
      </c>
      <c r="AD1416" s="3">
        <v>42125</v>
      </c>
      <c r="AE1416" t="s">
        <v>47</v>
      </c>
      <c r="AF1416" t="s">
        <v>47</v>
      </c>
      <c r="AG1416" t="s">
        <v>47</v>
      </c>
      <c r="AH1416" t="s">
        <v>47</v>
      </c>
      <c r="AI1416" t="s">
        <v>47</v>
      </c>
      <c r="AJ1416" t="s">
        <v>47</v>
      </c>
      <c r="AK1416" t="s">
        <v>47</v>
      </c>
      <c r="AL1416" t="s">
        <v>47</v>
      </c>
      <c r="AM1416" t="s">
        <v>47</v>
      </c>
      <c r="AN1416" t="s">
        <v>47</v>
      </c>
      <c r="AO1416" s="5" t="s">
        <v>51</v>
      </c>
      <c r="AP1416" s="4" t="s">
        <v>135</v>
      </c>
      <c r="AQ1416" s="4" t="s">
        <v>53</v>
      </c>
      <c r="AR1416" s="4" t="s">
        <v>5453</v>
      </c>
      <c r="AS1416" s="5">
        <v>17611</v>
      </c>
      <c r="AT1416" t="s">
        <v>47</v>
      </c>
    </row>
    <row r="1417" spans="1:46" ht="52" x14ac:dyDescent="0.3">
      <c r="A1417" s="4" t="s">
        <v>5454</v>
      </c>
      <c r="B1417" t="s">
        <v>47</v>
      </c>
      <c r="C1417" s="4" t="s">
        <v>1036</v>
      </c>
      <c r="D1417" s="4" t="s">
        <v>70</v>
      </c>
      <c r="E1417" s="4" t="s">
        <v>49</v>
      </c>
      <c r="F1417" s="5" t="s">
        <v>5455</v>
      </c>
      <c r="G1417" t="s">
        <v>47</v>
      </c>
      <c r="H1417" t="s">
        <v>47</v>
      </c>
      <c r="I1417" t="s">
        <v>47</v>
      </c>
      <c r="J1417" t="s">
        <v>47</v>
      </c>
      <c r="K1417" t="s">
        <v>47</v>
      </c>
      <c r="L1417" s="5" t="s">
        <v>51</v>
      </c>
      <c r="M1417" t="s">
        <v>47</v>
      </c>
      <c r="N1417" t="s">
        <v>47</v>
      </c>
      <c r="O1417" t="s">
        <v>47</v>
      </c>
      <c r="P1417" t="s">
        <v>47</v>
      </c>
      <c r="Q1417" t="s">
        <v>47</v>
      </c>
      <c r="R1417" t="s">
        <v>47</v>
      </c>
      <c r="S1417" t="s">
        <v>47</v>
      </c>
      <c r="T1417" t="s">
        <v>47</v>
      </c>
      <c r="U1417" t="s">
        <v>47</v>
      </c>
      <c r="V1417" t="s">
        <v>47</v>
      </c>
      <c r="W1417" s="3">
        <v>35827</v>
      </c>
      <c r="X1417" s="3">
        <v>42125</v>
      </c>
      <c r="Y1417" t="s">
        <v>47</v>
      </c>
      <c r="Z1417" s="3">
        <v>35827</v>
      </c>
      <c r="AA1417" s="3">
        <v>42125</v>
      </c>
      <c r="AB1417" t="s">
        <v>47</v>
      </c>
      <c r="AC1417" s="3">
        <v>35827</v>
      </c>
      <c r="AD1417" s="3">
        <v>42125</v>
      </c>
      <c r="AE1417" t="s">
        <v>47</v>
      </c>
      <c r="AF1417" t="s">
        <v>47</v>
      </c>
      <c r="AG1417" t="s">
        <v>47</v>
      </c>
      <c r="AH1417" t="s">
        <v>47</v>
      </c>
      <c r="AI1417" t="s">
        <v>47</v>
      </c>
      <c r="AJ1417" t="s">
        <v>47</v>
      </c>
      <c r="AK1417" t="s">
        <v>47</v>
      </c>
      <c r="AL1417" t="s">
        <v>47</v>
      </c>
      <c r="AM1417" t="s">
        <v>47</v>
      </c>
      <c r="AN1417" t="s">
        <v>47</v>
      </c>
      <c r="AO1417" s="5" t="s">
        <v>51</v>
      </c>
      <c r="AP1417" s="4" t="s">
        <v>135</v>
      </c>
      <c r="AQ1417" s="4" t="s">
        <v>53</v>
      </c>
      <c r="AR1417" s="4" t="s">
        <v>5456</v>
      </c>
      <c r="AS1417" s="5">
        <v>5306</v>
      </c>
      <c r="AT1417" t="s">
        <v>47</v>
      </c>
    </row>
    <row r="1418" spans="1:46" ht="13" x14ac:dyDescent="0.3">
      <c r="A1418" s="4" t="s">
        <v>5457</v>
      </c>
      <c r="B1418" t="s">
        <v>47</v>
      </c>
      <c r="C1418" s="4" t="s">
        <v>1036</v>
      </c>
      <c r="D1418" s="4" t="s">
        <v>70</v>
      </c>
      <c r="E1418" s="4" t="s">
        <v>49</v>
      </c>
      <c r="F1418" s="5" t="s">
        <v>5458</v>
      </c>
      <c r="G1418" s="5" t="s">
        <v>5459</v>
      </c>
      <c r="H1418" t="s">
        <v>47</v>
      </c>
      <c r="I1418" t="s">
        <v>47</v>
      </c>
      <c r="J1418" t="s">
        <v>47</v>
      </c>
      <c r="K1418" t="s">
        <v>47</v>
      </c>
      <c r="L1418" s="5" t="s">
        <v>51</v>
      </c>
      <c r="M1418" t="s">
        <v>47</v>
      </c>
      <c r="N1418" t="s">
        <v>47</v>
      </c>
      <c r="O1418" t="s">
        <v>47</v>
      </c>
      <c r="P1418" t="s">
        <v>47</v>
      </c>
      <c r="Q1418" t="s">
        <v>47</v>
      </c>
      <c r="R1418" t="s">
        <v>47</v>
      </c>
      <c r="S1418" t="s">
        <v>47</v>
      </c>
      <c r="T1418" t="s">
        <v>47</v>
      </c>
      <c r="U1418" t="s">
        <v>47</v>
      </c>
      <c r="V1418" t="s">
        <v>47</v>
      </c>
      <c r="W1418" s="3">
        <v>35827</v>
      </c>
      <c r="X1418" s="3">
        <v>39264</v>
      </c>
      <c r="Y1418" t="s">
        <v>47</v>
      </c>
      <c r="Z1418" s="3">
        <v>35827</v>
      </c>
      <c r="AA1418" s="3">
        <v>39264</v>
      </c>
      <c r="AB1418" t="s">
        <v>47</v>
      </c>
      <c r="AC1418" s="3">
        <v>35827</v>
      </c>
      <c r="AD1418" s="3">
        <v>39264</v>
      </c>
      <c r="AE1418" t="s">
        <v>47</v>
      </c>
      <c r="AF1418" t="s">
        <v>47</v>
      </c>
      <c r="AG1418" t="s">
        <v>47</v>
      </c>
      <c r="AH1418" t="s">
        <v>47</v>
      </c>
      <c r="AI1418" t="s">
        <v>47</v>
      </c>
      <c r="AJ1418" t="s">
        <v>47</v>
      </c>
      <c r="AK1418" t="s">
        <v>47</v>
      </c>
      <c r="AL1418" t="s">
        <v>47</v>
      </c>
      <c r="AM1418" t="s">
        <v>47</v>
      </c>
      <c r="AN1418" t="s">
        <v>47</v>
      </c>
      <c r="AO1418" s="5" t="s">
        <v>51</v>
      </c>
      <c r="AP1418" s="4" t="s">
        <v>85</v>
      </c>
      <c r="AQ1418" s="4" t="s">
        <v>53</v>
      </c>
      <c r="AR1418" s="4" t="s">
        <v>54</v>
      </c>
      <c r="AS1418" s="5">
        <v>32344</v>
      </c>
      <c r="AT1418" t="s">
        <v>47</v>
      </c>
    </row>
    <row r="1419" spans="1:46" ht="65" x14ac:dyDescent="0.3">
      <c r="A1419" s="4" t="s">
        <v>5460</v>
      </c>
      <c r="B1419" t="s">
        <v>47</v>
      </c>
      <c r="C1419" s="4" t="s">
        <v>1036</v>
      </c>
      <c r="D1419" s="4" t="s">
        <v>70</v>
      </c>
      <c r="E1419" s="4" t="s">
        <v>49</v>
      </c>
      <c r="F1419" s="5" t="s">
        <v>5461</v>
      </c>
      <c r="G1419" t="s">
        <v>47</v>
      </c>
      <c r="H1419" t="s">
        <v>47</v>
      </c>
      <c r="I1419" t="s">
        <v>47</v>
      </c>
      <c r="J1419" t="s">
        <v>47</v>
      </c>
      <c r="K1419" t="s">
        <v>47</v>
      </c>
      <c r="L1419" s="5" t="s">
        <v>51</v>
      </c>
      <c r="M1419" t="s">
        <v>47</v>
      </c>
      <c r="N1419" t="s">
        <v>47</v>
      </c>
      <c r="O1419" t="s">
        <v>47</v>
      </c>
      <c r="P1419" t="s">
        <v>47</v>
      </c>
      <c r="Q1419" t="s">
        <v>47</v>
      </c>
      <c r="R1419" t="s">
        <v>47</v>
      </c>
      <c r="S1419" t="s">
        <v>47</v>
      </c>
      <c r="T1419" t="s">
        <v>47</v>
      </c>
      <c r="U1419" t="s">
        <v>47</v>
      </c>
      <c r="V1419" t="s">
        <v>47</v>
      </c>
      <c r="W1419" s="3">
        <v>35842</v>
      </c>
      <c r="X1419" s="3">
        <v>42128</v>
      </c>
      <c r="Y1419" t="s">
        <v>47</v>
      </c>
      <c r="Z1419" s="3">
        <v>35842</v>
      </c>
      <c r="AA1419" s="3">
        <v>42128</v>
      </c>
      <c r="AB1419" t="s">
        <v>47</v>
      </c>
      <c r="AC1419" s="3">
        <v>35842</v>
      </c>
      <c r="AD1419" s="3">
        <v>42128</v>
      </c>
      <c r="AE1419" t="s">
        <v>47</v>
      </c>
      <c r="AF1419" t="s">
        <v>47</v>
      </c>
      <c r="AG1419" t="s">
        <v>47</v>
      </c>
      <c r="AH1419" t="s">
        <v>47</v>
      </c>
      <c r="AI1419" t="s">
        <v>47</v>
      </c>
      <c r="AJ1419" t="s">
        <v>47</v>
      </c>
      <c r="AK1419" t="s">
        <v>47</v>
      </c>
      <c r="AL1419" t="s">
        <v>47</v>
      </c>
      <c r="AM1419" t="s">
        <v>47</v>
      </c>
      <c r="AN1419" t="s">
        <v>47</v>
      </c>
      <c r="AO1419" s="5" t="s">
        <v>51</v>
      </c>
      <c r="AP1419" s="4" t="s">
        <v>135</v>
      </c>
      <c r="AQ1419" s="4" t="s">
        <v>53</v>
      </c>
      <c r="AR1419" s="4" t="s">
        <v>5462</v>
      </c>
      <c r="AS1419" s="5">
        <v>8008</v>
      </c>
      <c r="AT1419" t="s">
        <v>47</v>
      </c>
    </row>
    <row r="1420" spans="1:46" ht="52" x14ac:dyDescent="0.3">
      <c r="A1420" s="4" t="s">
        <v>5463</v>
      </c>
      <c r="B1420" s="4" t="s">
        <v>5464</v>
      </c>
      <c r="C1420" s="4" t="s">
        <v>1036</v>
      </c>
      <c r="D1420" s="4" t="s">
        <v>70</v>
      </c>
      <c r="E1420" s="4" t="s">
        <v>49</v>
      </c>
      <c r="F1420" t="s">
        <v>47</v>
      </c>
      <c r="G1420" t="s">
        <v>47</v>
      </c>
      <c r="H1420" t="s">
        <v>47</v>
      </c>
      <c r="I1420" t="s">
        <v>47</v>
      </c>
      <c r="J1420" t="s">
        <v>47</v>
      </c>
      <c r="K1420" t="s">
        <v>47</v>
      </c>
      <c r="L1420" s="5" t="s">
        <v>51</v>
      </c>
      <c r="M1420" t="s">
        <v>47</v>
      </c>
      <c r="N1420" t="s">
        <v>47</v>
      </c>
      <c r="O1420" t="s">
        <v>47</v>
      </c>
      <c r="P1420" t="s">
        <v>47</v>
      </c>
      <c r="Q1420" t="s">
        <v>47</v>
      </c>
      <c r="R1420" t="s">
        <v>47</v>
      </c>
      <c r="S1420" t="s">
        <v>47</v>
      </c>
      <c r="T1420" t="s">
        <v>47</v>
      </c>
      <c r="U1420" t="s">
        <v>47</v>
      </c>
      <c r="V1420" t="s">
        <v>47</v>
      </c>
      <c r="W1420" s="3">
        <v>35827</v>
      </c>
      <c r="X1420" s="3">
        <v>42125</v>
      </c>
      <c r="Y1420" t="s">
        <v>47</v>
      </c>
      <c r="Z1420" s="3">
        <v>35827</v>
      </c>
      <c r="AA1420" s="3">
        <v>42125</v>
      </c>
      <c r="AB1420" t="s">
        <v>47</v>
      </c>
      <c r="AC1420" t="s">
        <v>47</v>
      </c>
      <c r="AD1420" t="s">
        <v>47</v>
      </c>
      <c r="AE1420" t="s">
        <v>47</v>
      </c>
      <c r="AF1420" t="s">
        <v>47</v>
      </c>
      <c r="AG1420" t="s">
        <v>47</v>
      </c>
      <c r="AH1420" t="s">
        <v>47</v>
      </c>
      <c r="AI1420" t="s">
        <v>47</v>
      </c>
      <c r="AJ1420" t="s">
        <v>47</v>
      </c>
      <c r="AK1420" t="s">
        <v>47</v>
      </c>
      <c r="AL1420" t="s">
        <v>47</v>
      </c>
      <c r="AM1420" t="s">
        <v>47</v>
      </c>
      <c r="AN1420" t="s">
        <v>47</v>
      </c>
      <c r="AO1420" s="5" t="s">
        <v>51</v>
      </c>
      <c r="AP1420" s="4" t="s">
        <v>135</v>
      </c>
      <c r="AQ1420" s="4" t="s">
        <v>53</v>
      </c>
      <c r="AR1420" s="4" t="s">
        <v>1469</v>
      </c>
      <c r="AS1420" s="5">
        <v>5822</v>
      </c>
      <c r="AT1420" t="s">
        <v>47</v>
      </c>
    </row>
    <row r="1421" spans="1:46" ht="52" x14ac:dyDescent="0.3">
      <c r="A1421" s="4" t="s">
        <v>5463</v>
      </c>
      <c r="B1421" s="4" t="s">
        <v>5465</v>
      </c>
      <c r="C1421" s="4" t="s">
        <v>1036</v>
      </c>
      <c r="D1421" s="4" t="s">
        <v>70</v>
      </c>
      <c r="E1421" s="4" t="s">
        <v>49</v>
      </c>
      <c r="F1421" t="s">
        <v>47</v>
      </c>
      <c r="G1421" t="s">
        <v>47</v>
      </c>
      <c r="H1421" t="s">
        <v>47</v>
      </c>
      <c r="I1421" t="s">
        <v>47</v>
      </c>
      <c r="J1421" t="s">
        <v>47</v>
      </c>
      <c r="K1421" t="s">
        <v>47</v>
      </c>
      <c r="L1421" s="5" t="s">
        <v>51</v>
      </c>
      <c r="M1421" t="s">
        <v>47</v>
      </c>
      <c r="N1421" t="s">
        <v>47</v>
      </c>
      <c r="O1421" t="s">
        <v>47</v>
      </c>
      <c r="P1421" t="s">
        <v>47</v>
      </c>
      <c r="Q1421" t="s">
        <v>47</v>
      </c>
      <c r="R1421" t="s">
        <v>47</v>
      </c>
      <c r="S1421" t="s">
        <v>47</v>
      </c>
      <c r="T1421" t="s">
        <v>47</v>
      </c>
      <c r="U1421" t="s">
        <v>47</v>
      </c>
      <c r="V1421" t="s">
        <v>47</v>
      </c>
      <c r="W1421" s="3">
        <v>35849</v>
      </c>
      <c r="X1421" s="3">
        <v>42135</v>
      </c>
      <c r="Y1421" t="s">
        <v>47</v>
      </c>
      <c r="Z1421" s="3">
        <v>35849</v>
      </c>
      <c r="AA1421" s="3">
        <v>42135</v>
      </c>
      <c r="AB1421" t="s">
        <v>47</v>
      </c>
      <c r="AC1421" t="s">
        <v>47</v>
      </c>
      <c r="AD1421" t="s">
        <v>47</v>
      </c>
      <c r="AE1421" t="s">
        <v>47</v>
      </c>
      <c r="AF1421" t="s">
        <v>47</v>
      </c>
      <c r="AG1421" t="s">
        <v>47</v>
      </c>
      <c r="AH1421" t="s">
        <v>47</v>
      </c>
      <c r="AI1421" t="s">
        <v>47</v>
      </c>
      <c r="AJ1421" t="s">
        <v>47</v>
      </c>
      <c r="AK1421" t="s">
        <v>47</v>
      </c>
      <c r="AL1421" t="s">
        <v>47</v>
      </c>
      <c r="AM1421" t="s">
        <v>47</v>
      </c>
      <c r="AN1421" t="s">
        <v>47</v>
      </c>
      <c r="AO1421" s="5" t="s">
        <v>51</v>
      </c>
      <c r="AP1421" s="4" t="s">
        <v>135</v>
      </c>
      <c r="AQ1421" s="4" t="s">
        <v>53</v>
      </c>
      <c r="AR1421" s="4" t="s">
        <v>1469</v>
      </c>
      <c r="AS1421" s="5">
        <v>8009</v>
      </c>
      <c r="AT1421" t="s">
        <v>47</v>
      </c>
    </row>
    <row r="1422" spans="1:46" ht="52" x14ac:dyDescent="0.3">
      <c r="A1422" s="4" t="s">
        <v>5463</v>
      </c>
      <c r="B1422" s="4" t="s">
        <v>5466</v>
      </c>
      <c r="C1422" s="4" t="s">
        <v>1036</v>
      </c>
      <c r="D1422" s="4" t="s">
        <v>70</v>
      </c>
      <c r="E1422" s="4" t="s">
        <v>49</v>
      </c>
      <c r="F1422" t="s">
        <v>47</v>
      </c>
      <c r="G1422" t="s">
        <v>47</v>
      </c>
      <c r="H1422" t="s">
        <v>47</v>
      </c>
      <c r="I1422" s="3">
        <v>35827</v>
      </c>
      <c r="J1422" s="3">
        <v>42125</v>
      </c>
      <c r="K1422" t="s">
        <v>47</v>
      </c>
      <c r="L1422" s="5" t="s">
        <v>51</v>
      </c>
      <c r="M1422" s="3">
        <v>35827</v>
      </c>
      <c r="N1422" s="3">
        <v>37742</v>
      </c>
      <c r="O1422" t="s">
        <v>47</v>
      </c>
      <c r="P1422" s="3">
        <v>35827</v>
      </c>
      <c r="Q1422" s="3">
        <v>42125</v>
      </c>
      <c r="R1422" t="s">
        <v>47</v>
      </c>
      <c r="S1422" t="s">
        <v>47</v>
      </c>
      <c r="T1422" t="s">
        <v>47</v>
      </c>
      <c r="U1422" t="s">
        <v>47</v>
      </c>
      <c r="V1422" t="s">
        <v>47</v>
      </c>
      <c r="W1422" s="3">
        <v>35827</v>
      </c>
      <c r="X1422" s="3">
        <v>42125</v>
      </c>
      <c r="Y1422" t="s">
        <v>47</v>
      </c>
      <c r="Z1422" s="3">
        <v>35827</v>
      </c>
      <c r="AA1422" s="3">
        <v>42125</v>
      </c>
      <c r="AB1422" t="s">
        <v>47</v>
      </c>
      <c r="AC1422" t="s">
        <v>47</v>
      </c>
      <c r="AD1422" t="s">
        <v>47</v>
      </c>
      <c r="AE1422" t="s">
        <v>47</v>
      </c>
      <c r="AF1422" t="s">
        <v>47</v>
      </c>
      <c r="AG1422" t="s">
        <v>47</v>
      </c>
      <c r="AH1422" t="s">
        <v>47</v>
      </c>
      <c r="AI1422" t="s">
        <v>47</v>
      </c>
      <c r="AJ1422" t="s">
        <v>47</v>
      </c>
      <c r="AK1422" t="s">
        <v>47</v>
      </c>
      <c r="AL1422" t="s">
        <v>47</v>
      </c>
      <c r="AM1422" t="s">
        <v>47</v>
      </c>
      <c r="AN1422" t="s">
        <v>47</v>
      </c>
      <c r="AO1422" s="5" t="s">
        <v>51</v>
      </c>
      <c r="AP1422" s="4" t="s">
        <v>135</v>
      </c>
      <c r="AQ1422" s="4" t="s">
        <v>53</v>
      </c>
      <c r="AR1422" s="4" t="s">
        <v>1469</v>
      </c>
      <c r="AS1422" s="5">
        <v>8010</v>
      </c>
      <c r="AT1422" t="s">
        <v>47</v>
      </c>
    </row>
    <row r="1423" spans="1:46" ht="52" x14ac:dyDescent="0.3">
      <c r="A1423" s="4" t="s">
        <v>5463</v>
      </c>
      <c r="B1423" s="4" t="s">
        <v>5467</v>
      </c>
      <c r="C1423" s="4" t="s">
        <v>1036</v>
      </c>
      <c r="D1423" s="4" t="s">
        <v>70</v>
      </c>
      <c r="E1423" s="4" t="s">
        <v>49</v>
      </c>
      <c r="F1423" t="s">
        <v>47</v>
      </c>
      <c r="G1423" t="s">
        <v>47</v>
      </c>
      <c r="H1423" t="s">
        <v>47</v>
      </c>
      <c r="I1423" t="s">
        <v>47</v>
      </c>
      <c r="J1423" t="s">
        <v>47</v>
      </c>
      <c r="K1423" t="s">
        <v>47</v>
      </c>
      <c r="L1423" s="5" t="s">
        <v>51</v>
      </c>
      <c r="M1423" t="s">
        <v>47</v>
      </c>
      <c r="N1423" t="s">
        <v>47</v>
      </c>
      <c r="O1423" t="s">
        <v>47</v>
      </c>
      <c r="P1423" t="s">
        <v>47</v>
      </c>
      <c r="Q1423" t="s">
        <v>47</v>
      </c>
      <c r="R1423" t="s">
        <v>47</v>
      </c>
      <c r="S1423" t="s">
        <v>47</v>
      </c>
      <c r="T1423" t="s">
        <v>47</v>
      </c>
      <c r="U1423" t="s">
        <v>47</v>
      </c>
      <c r="V1423" t="s">
        <v>47</v>
      </c>
      <c r="W1423" s="3">
        <v>35835</v>
      </c>
      <c r="X1423" s="3">
        <v>42135</v>
      </c>
      <c r="Y1423" t="s">
        <v>47</v>
      </c>
      <c r="Z1423" s="3">
        <v>35835</v>
      </c>
      <c r="AA1423" s="3">
        <v>42135</v>
      </c>
      <c r="AB1423" t="s">
        <v>47</v>
      </c>
      <c r="AC1423" s="3">
        <v>35835</v>
      </c>
      <c r="AD1423" s="3">
        <v>42135</v>
      </c>
      <c r="AE1423" t="s">
        <v>47</v>
      </c>
      <c r="AF1423" t="s">
        <v>47</v>
      </c>
      <c r="AG1423" t="s">
        <v>47</v>
      </c>
      <c r="AH1423" t="s">
        <v>47</v>
      </c>
      <c r="AI1423" t="s">
        <v>47</v>
      </c>
      <c r="AJ1423" t="s">
        <v>47</v>
      </c>
      <c r="AK1423" t="s">
        <v>47</v>
      </c>
      <c r="AL1423" t="s">
        <v>47</v>
      </c>
      <c r="AM1423" t="s">
        <v>47</v>
      </c>
      <c r="AN1423" t="s">
        <v>47</v>
      </c>
      <c r="AO1423" s="5" t="s">
        <v>51</v>
      </c>
      <c r="AP1423" s="4" t="s">
        <v>135</v>
      </c>
      <c r="AQ1423" s="4" t="s">
        <v>53</v>
      </c>
      <c r="AR1423" s="4" t="s">
        <v>1469</v>
      </c>
      <c r="AS1423" s="5">
        <v>8011</v>
      </c>
      <c r="AT1423" t="s">
        <v>47</v>
      </c>
    </row>
    <row r="1424" spans="1:46" ht="52" x14ac:dyDescent="0.3">
      <c r="A1424" s="4" t="s">
        <v>5463</v>
      </c>
      <c r="B1424" s="4" t="s">
        <v>5468</v>
      </c>
      <c r="C1424" s="4" t="s">
        <v>1036</v>
      </c>
      <c r="D1424" s="4" t="s">
        <v>70</v>
      </c>
      <c r="E1424" s="4" t="s">
        <v>49</v>
      </c>
      <c r="F1424" s="5" t="s">
        <v>5469</v>
      </c>
      <c r="G1424" t="s">
        <v>47</v>
      </c>
      <c r="H1424" t="s">
        <v>47</v>
      </c>
      <c r="I1424" t="s">
        <v>47</v>
      </c>
      <c r="J1424" t="s">
        <v>47</v>
      </c>
      <c r="K1424" t="s">
        <v>47</v>
      </c>
      <c r="L1424" s="5" t="s">
        <v>51</v>
      </c>
      <c r="M1424" t="s">
        <v>47</v>
      </c>
      <c r="N1424" t="s">
        <v>47</v>
      </c>
      <c r="O1424" t="s">
        <v>47</v>
      </c>
      <c r="P1424" t="s">
        <v>47</v>
      </c>
      <c r="Q1424" t="s">
        <v>47</v>
      </c>
      <c r="R1424" t="s">
        <v>47</v>
      </c>
      <c r="S1424" t="s">
        <v>47</v>
      </c>
      <c r="T1424" t="s">
        <v>47</v>
      </c>
      <c r="U1424" t="s">
        <v>47</v>
      </c>
      <c r="V1424" t="s">
        <v>47</v>
      </c>
      <c r="W1424" s="3">
        <v>35835</v>
      </c>
      <c r="X1424" s="3">
        <v>42135</v>
      </c>
      <c r="Y1424" t="s">
        <v>47</v>
      </c>
      <c r="Z1424" s="3">
        <v>35835</v>
      </c>
      <c r="AA1424" s="3">
        <v>42135</v>
      </c>
      <c r="AB1424" t="s">
        <v>47</v>
      </c>
      <c r="AC1424" s="3">
        <v>35842</v>
      </c>
      <c r="AD1424" s="3">
        <v>42135</v>
      </c>
      <c r="AE1424" t="s">
        <v>47</v>
      </c>
      <c r="AF1424" t="s">
        <v>47</v>
      </c>
      <c r="AG1424" t="s">
        <v>47</v>
      </c>
      <c r="AH1424" t="s">
        <v>47</v>
      </c>
      <c r="AI1424" t="s">
        <v>47</v>
      </c>
      <c r="AJ1424" t="s">
        <v>47</v>
      </c>
      <c r="AK1424" t="s">
        <v>47</v>
      </c>
      <c r="AL1424" t="s">
        <v>47</v>
      </c>
      <c r="AM1424" t="s">
        <v>47</v>
      </c>
      <c r="AN1424" t="s">
        <v>47</v>
      </c>
      <c r="AO1424" s="5" t="s">
        <v>51</v>
      </c>
      <c r="AP1424" s="4" t="s">
        <v>135</v>
      </c>
      <c r="AQ1424" s="4" t="s">
        <v>53</v>
      </c>
      <c r="AR1424" s="4" t="s">
        <v>1469</v>
      </c>
      <c r="AS1424" s="5">
        <v>21429</v>
      </c>
      <c r="AT1424" t="s">
        <v>47</v>
      </c>
    </row>
    <row r="1425" spans="1:46" ht="26" x14ac:dyDescent="0.3">
      <c r="A1425" s="4" t="s">
        <v>5470</v>
      </c>
      <c r="B1425" t="s">
        <v>47</v>
      </c>
      <c r="C1425" s="4" t="s">
        <v>1036</v>
      </c>
      <c r="D1425" s="4" t="s">
        <v>70</v>
      </c>
      <c r="E1425" s="4" t="s">
        <v>49</v>
      </c>
      <c r="F1425" s="5" t="s">
        <v>5471</v>
      </c>
      <c r="G1425" s="5" t="s">
        <v>5472</v>
      </c>
      <c r="H1425" t="s">
        <v>47</v>
      </c>
      <c r="I1425" t="s">
        <v>47</v>
      </c>
      <c r="J1425" t="s">
        <v>47</v>
      </c>
      <c r="K1425" t="s">
        <v>47</v>
      </c>
      <c r="L1425" s="5" t="s">
        <v>51</v>
      </c>
      <c r="M1425" t="s">
        <v>47</v>
      </c>
      <c r="N1425" t="s">
        <v>47</v>
      </c>
      <c r="O1425" t="s">
        <v>47</v>
      </c>
      <c r="P1425" t="s">
        <v>47</v>
      </c>
      <c r="Q1425" t="s">
        <v>47</v>
      </c>
      <c r="R1425" t="s">
        <v>47</v>
      </c>
      <c r="S1425" t="s">
        <v>47</v>
      </c>
      <c r="T1425" t="s">
        <v>47</v>
      </c>
      <c r="U1425" t="s">
        <v>47</v>
      </c>
      <c r="V1425" t="s">
        <v>47</v>
      </c>
      <c r="W1425" s="3">
        <v>35827</v>
      </c>
      <c r="X1425" s="3">
        <v>42125</v>
      </c>
      <c r="Y1425" t="s">
        <v>47</v>
      </c>
      <c r="Z1425" s="3">
        <v>35827</v>
      </c>
      <c r="AA1425" s="3">
        <v>42125</v>
      </c>
      <c r="AB1425" t="s">
        <v>47</v>
      </c>
      <c r="AC1425" s="3">
        <v>35827</v>
      </c>
      <c r="AD1425" s="3">
        <v>42125</v>
      </c>
      <c r="AE1425" t="s">
        <v>47</v>
      </c>
      <c r="AF1425" t="s">
        <v>47</v>
      </c>
      <c r="AG1425" t="s">
        <v>47</v>
      </c>
      <c r="AH1425" t="s">
        <v>47</v>
      </c>
      <c r="AI1425" t="s">
        <v>47</v>
      </c>
      <c r="AJ1425" t="s">
        <v>47</v>
      </c>
      <c r="AK1425" t="s">
        <v>47</v>
      </c>
      <c r="AL1425" t="s">
        <v>47</v>
      </c>
      <c r="AM1425" t="s">
        <v>47</v>
      </c>
      <c r="AN1425" t="s">
        <v>47</v>
      </c>
      <c r="AO1425" s="5" t="s">
        <v>51</v>
      </c>
      <c r="AP1425" s="4" t="s">
        <v>135</v>
      </c>
      <c r="AQ1425" s="4" t="s">
        <v>53</v>
      </c>
      <c r="AR1425" s="4" t="s">
        <v>697</v>
      </c>
      <c r="AS1425" s="5">
        <v>22070</v>
      </c>
      <c r="AT1425" t="s">
        <v>47</v>
      </c>
    </row>
    <row r="1426" spans="1:46" ht="13" x14ac:dyDescent="0.3">
      <c r="A1426" s="4" t="s">
        <v>5473</v>
      </c>
      <c r="B1426" t="s">
        <v>47</v>
      </c>
      <c r="C1426" s="4" t="s">
        <v>1036</v>
      </c>
      <c r="D1426" s="4" t="s">
        <v>70</v>
      </c>
      <c r="E1426" s="4" t="s">
        <v>49</v>
      </c>
      <c r="F1426" s="5" t="s">
        <v>5474</v>
      </c>
      <c r="G1426" s="5" t="s">
        <v>5475</v>
      </c>
      <c r="H1426" t="s">
        <v>47</v>
      </c>
      <c r="I1426" t="s">
        <v>47</v>
      </c>
      <c r="J1426" t="s">
        <v>47</v>
      </c>
      <c r="K1426" t="s">
        <v>47</v>
      </c>
      <c r="L1426" s="5" t="s">
        <v>51</v>
      </c>
      <c r="M1426" t="s">
        <v>47</v>
      </c>
      <c r="N1426" t="s">
        <v>47</v>
      </c>
      <c r="O1426" t="s">
        <v>47</v>
      </c>
      <c r="P1426" t="s">
        <v>47</v>
      </c>
      <c r="Q1426" t="s">
        <v>47</v>
      </c>
      <c r="R1426" t="s">
        <v>47</v>
      </c>
      <c r="S1426" t="s">
        <v>47</v>
      </c>
      <c r="T1426" t="s">
        <v>47</v>
      </c>
      <c r="U1426" t="s">
        <v>47</v>
      </c>
      <c r="V1426" t="s">
        <v>47</v>
      </c>
      <c r="W1426" s="3">
        <v>35870</v>
      </c>
      <c r="X1426" s="3">
        <v>42125</v>
      </c>
      <c r="Y1426" t="s">
        <v>47</v>
      </c>
      <c r="Z1426" s="3">
        <v>35870</v>
      </c>
      <c r="AA1426" s="3">
        <v>42125</v>
      </c>
      <c r="AB1426" t="s">
        <v>47</v>
      </c>
      <c r="AC1426" s="3">
        <v>35870</v>
      </c>
      <c r="AD1426" s="3">
        <v>42125</v>
      </c>
      <c r="AE1426" t="s">
        <v>47</v>
      </c>
      <c r="AF1426" t="s">
        <v>47</v>
      </c>
      <c r="AG1426" t="s">
        <v>47</v>
      </c>
      <c r="AH1426" t="s">
        <v>47</v>
      </c>
      <c r="AI1426" t="s">
        <v>47</v>
      </c>
      <c r="AJ1426" t="s">
        <v>47</v>
      </c>
      <c r="AK1426" t="s">
        <v>47</v>
      </c>
      <c r="AL1426" t="s">
        <v>47</v>
      </c>
      <c r="AM1426" t="s">
        <v>47</v>
      </c>
      <c r="AN1426" t="s">
        <v>47</v>
      </c>
      <c r="AO1426" s="5" t="s">
        <v>51</v>
      </c>
      <c r="AP1426" s="4" t="s">
        <v>135</v>
      </c>
      <c r="AQ1426" s="4" t="s">
        <v>53</v>
      </c>
      <c r="AR1426" s="4" t="s">
        <v>54</v>
      </c>
      <c r="AS1426" s="5">
        <v>6023</v>
      </c>
      <c r="AT1426" t="s">
        <v>47</v>
      </c>
    </row>
    <row r="1427" spans="1:46" ht="13" x14ac:dyDescent="0.3">
      <c r="A1427" s="4" t="s">
        <v>5476</v>
      </c>
      <c r="B1427" t="s">
        <v>47</v>
      </c>
      <c r="C1427" s="4" t="s">
        <v>1036</v>
      </c>
      <c r="D1427" s="4" t="s">
        <v>70</v>
      </c>
      <c r="E1427" s="4" t="s">
        <v>49</v>
      </c>
      <c r="F1427" s="5" t="s">
        <v>5477</v>
      </c>
      <c r="G1427" t="s">
        <v>47</v>
      </c>
      <c r="H1427" t="s">
        <v>47</v>
      </c>
      <c r="I1427" t="s">
        <v>47</v>
      </c>
      <c r="J1427" t="s">
        <v>47</v>
      </c>
      <c r="K1427" t="s">
        <v>47</v>
      </c>
      <c r="L1427" s="5" t="s">
        <v>51</v>
      </c>
      <c r="M1427" t="s">
        <v>47</v>
      </c>
      <c r="N1427" t="s">
        <v>47</v>
      </c>
      <c r="O1427" t="s">
        <v>47</v>
      </c>
      <c r="P1427" t="s">
        <v>47</v>
      </c>
      <c r="Q1427" t="s">
        <v>47</v>
      </c>
      <c r="R1427" t="s">
        <v>47</v>
      </c>
      <c r="S1427" t="s">
        <v>47</v>
      </c>
      <c r="T1427" t="s">
        <v>47</v>
      </c>
      <c r="U1427" t="s">
        <v>47</v>
      </c>
      <c r="V1427" t="s">
        <v>47</v>
      </c>
      <c r="W1427" s="3">
        <v>36281</v>
      </c>
      <c r="X1427" s="3">
        <v>43647</v>
      </c>
      <c r="Y1427" t="s">
        <v>47</v>
      </c>
      <c r="Z1427" s="3">
        <v>36281</v>
      </c>
      <c r="AA1427" s="3">
        <v>43647</v>
      </c>
      <c r="AB1427" t="s">
        <v>47</v>
      </c>
      <c r="AC1427" s="3">
        <v>36281</v>
      </c>
      <c r="AD1427" s="3">
        <v>42095</v>
      </c>
      <c r="AE1427" t="s">
        <v>47</v>
      </c>
      <c r="AF1427" t="s">
        <v>47</v>
      </c>
      <c r="AG1427" t="s">
        <v>47</v>
      </c>
      <c r="AH1427" t="s">
        <v>47</v>
      </c>
      <c r="AI1427" t="s">
        <v>47</v>
      </c>
      <c r="AJ1427" t="s">
        <v>47</v>
      </c>
      <c r="AK1427" t="s">
        <v>47</v>
      </c>
      <c r="AL1427" t="s">
        <v>47</v>
      </c>
      <c r="AM1427" t="s">
        <v>47</v>
      </c>
      <c r="AN1427" t="s">
        <v>47</v>
      </c>
      <c r="AO1427" s="5" t="s">
        <v>51</v>
      </c>
      <c r="AP1427" s="4" t="s">
        <v>85</v>
      </c>
      <c r="AQ1427" s="4" t="s">
        <v>53</v>
      </c>
      <c r="AR1427" s="4" t="s">
        <v>54</v>
      </c>
      <c r="AS1427" s="5">
        <v>46605</v>
      </c>
      <c r="AT1427" t="s">
        <v>47</v>
      </c>
    </row>
    <row r="1428" spans="1:46" ht="78" x14ac:dyDescent="0.3">
      <c r="A1428" s="4" t="s">
        <v>5478</v>
      </c>
      <c r="B1428" t="s">
        <v>47</v>
      </c>
      <c r="C1428" s="4" t="s">
        <v>169</v>
      </c>
      <c r="D1428" s="4" t="s">
        <v>5479</v>
      </c>
      <c r="E1428" s="4" t="s">
        <v>66</v>
      </c>
      <c r="F1428" s="5" t="s">
        <v>5480</v>
      </c>
      <c r="G1428" s="5" t="s">
        <v>5481</v>
      </c>
      <c r="H1428" t="s">
        <v>47</v>
      </c>
      <c r="I1428" s="3">
        <v>40179</v>
      </c>
      <c r="J1428" s="3">
        <v>42370</v>
      </c>
      <c r="K1428" t="s">
        <v>47</v>
      </c>
      <c r="L1428" s="5" t="s">
        <v>60</v>
      </c>
      <c r="M1428" t="s">
        <v>47</v>
      </c>
      <c r="N1428" t="s">
        <v>47</v>
      </c>
      <c r="O1428" t="s">
        <v>47</v>
      </c>
      <c r="P1428" s="3">
        <v>40179</v>
      </c>
      <c r="Q1428" s="3">
        <v>42370</v>
      </c>
      <c r="R1428" t="s">
        <v>47</v>
      </c>
      <c r="S1428" t="s">
        <v>47</v>
      </c>
      <c r="T1428" t="s">
        <v>47</v>
      </c>
      <c r="U1428" t="s">
        <v>47</v>
      </c>
      <c r="V1428" t="s">
        <v>47</v>
      </c>
      <c r="W1428" s="3">
        <v>40179</v>
      </c>
      <c r="X1428" s="3">
        <v>42370</v>
      </c>
      <c r="Y1428" t="s">
        <v>47</v>
      </c>
      <c r="Z1428" s="3">
        <v>40179</v>
      </c>
      <c r="AA1428" s="3">
        <v>42370</v>
      </c>
      <c r="AB1428" t="s">
        <v>47</v>
      </c>
      <c r="AC1428" s="3">
        <v>40179</v>
      </c>
      <c r="AD1428" s="3">
        <v>42370</v>
      </c>
      <c r="AE1428" t="s">
        <v>47</v>
      </c>
      <c r="AF1428" t="s">
        <v>47</v>
      </c>
      <c r="AG1428" t="s">
        <v>47</v>
      </c>
      <c r="AH1428" t="s">
        <v>47</v>
      </c>
      <c r="AI1428" t="s">
        <v>47</v>
      </c>
      <c r="AJ1428" t="s">
        <v>47</v>
      </c>
      <c r="AK1428" t="s">
        <v>47</v>
      </c>
      <c r="AL1428" t="s">
        <v>47</v>
      </c>
      <c r="AM1428" t="s">
        <v>47</v>
      </c>
      <c r="AN1428" t="s">
        <v>47</v>
      </c>
      <c r="AO1428" s="5" t="s">
        <v>60</v>
      </c>
      <c r="AP1428" s="4" t="s">
        <v>61</v>
      </c>
      <c r="AQ1428" s="4" t="s">
        <v>53</v>
      </c>
      <c r="AR1428" s="4" t="s">
        <v>5482</v>
      </c>
      <c r="AS1428" s="5">
        <v>2037366</v>
      </c>
      <c r="AT1428" t="s">
        <v>47</v>
      </c>
    </row>
    <row r="1429" spans="1:46" ht="78" x14ac:dyDescent="0.3">
      <c r="A1429" s="4" t="s">
        <v>5483</v>
      </c>
      <c r="B1429" t="s">
        <v>47</v>
      </c>
      <c r="C1429" s="4" t="s">
        <v>5484</v>
      </c>
      <c r="D1429" s="4" t="s">
        <v>1129</v>
      </c>
      <c r="E1429" s="4" t="s">
        <v>49</v>
      </c>
      <c r="F1429" s="5" t="s">
        <v>5485</v>
      </c>
      <c r="G1429" t="s">
        <v>47</v>
      </c>
      <c r="H1429" t="s">
        <v>47</v>
      </c>
      <c r="I1429" s="3">
        <v>35431</v>
      </c>
      <c r="J1429" s="5" t="s">
        <v>50</v>
      </c>
      <c r="K1429" t="s">
        <v>47</v>
      </c>
      <c r="L1429" s="5" t="s">
        <v>51</v>
      </c>
      <c r="M1429" s="3">
        <v>35431</v>
      </c>
      <c r="N1429" s="5" t="s">
        <v>50</v>
      </c>
      <c r="O1429" t="s">
        <v>47</v>
      </c>
      <c r="P1429" t="s">
        <v>47</v>
      </c>
      <c r="Q1429" t="s">
        <v>47</v>
      </c>
      <c r="R1429" t="s">
        <v>47</v>
      </c>
      <c r="S1429" t="s">
        <v>47</v>
      </c>
      <c r="T1429" t="s">
        <v>47</v>
      </c>
      <c r="U1429" t="s">
        <v>47</v>
      </c>
      <c r="V1429" t="s">
        <v>47</v>
      </c>
      <c r="W1429" s="3">
        <v>35431</v>
      </c>
      <c r="X1429" s="5" t="s">
        <v>50</v>
      </c>
      <c r="Y1429" t="s">
        <v>47</v>
      </c>
      <c r="Z1429" s="3">
        <v>35431</v>
      </c>
      <c r="AA1429" s="5" t="s">
        <v>50</v>
      </c>
      <c r="AB1429" t="s">
        <v>47</v>
      </c>
      <c r="AC1429" s="3">
        <v>35582</v>
      </c>
      <c r="AD1429" s="5" t="s">
        <v>50</v>
      </c>
      <c r="AE1429" s="5" t="s">
        <v>710</v>
      </c>
      <c r="AF1429" t="s">
        <v>47</v>
      </c>
      <c r="AG1429" t="s">
        <v>47</v>
      </c>
      <c r="AH1429" t="s">
        <v>47</v>
      </c>
      <c r="AI1429" t="s">
        <v>47</v>
      </c>
      <c r="AJ1429" t="s">
        <v>47</v>
      </c>
      <c r="AK1429" t="s">
        <v>47</v>
      </c>
      <c r="AL1429" t="s">
        <v>47</v>
      </c>
      <c r="AM1429" t="s">
        <v>47</v>
      </c>
      <c r="AN1429" t="s">
        <v>47</v>
      </c>
      <c r="AO1429" s="5" t="s">
        <v>51</v>
      </c>
      <c r="AP1429" s="4" t="s">
        <v>85</v>
      </c>
      <c r="AQ1429" s="4" t="s">
        <v>53</v>
      </c>
      <c r="AR1429" s="4" t="s">
        <v>136</v>
      </c>
      <c r="AS1429" s="5">
        <v>30039</v>
      </c>
      <c r="AT1429" t="s">
        <v>47</v>
      </c>
    </row>
    <row r="1430" spans="1:46" ht="78" x14ac:dyDescent="0.3">
      <c r="A1430" s="4" t="s">
        <v>5486</v>
      </c>
      <c r="B1430" t="s">
        <v>47</v>
      </c>
      <c r="C1430" s="4" t="s">
        <v>5487</v>
      </c>
      <c r="D1430" s="4" t="s">
        <v>873</v>
      </c>
      <c r="E1430" s="4" t="s">
        <v>874</v>
      </c>
      <c r="F1430" s="5" t="s">
        <v>5488</v>
      </c>
      <c r="G1430" t="s">
        <v>47</v>
      </c>
      <c r="H1430" t="s">
        <v>47</v>
      </c>
      <c r="I1430" s="3">
        <v>42005</v>
      </c>
      <c r="J1430" s="5" t="s">
        <v>50</v>
      </c>
      <c r="K1430" t="s">
        <v>47</v>
      </c>
      <c r="L1430" s="5" t="s">
        <v>60</v>
      </c>
      <c r="M1430" t="s">
        <v>47</v>
      </c>
      <c r="N1430" t="s">
        <v>47</v>
      </c>
      <c r="O1430" t="s">
        <v>47</v>
      </c>
      <c r="P1430" s="3">
        <v>42005</v>
      </c>
      <c r="Q1430" s="5" t="s">
        <v>50</v>
      </c>
      <c r="R1430" t="s">
        <v>47</v>
      </c>
      <c r="S1430" t="s">
        <v>47</v>
      </c>
      <c r="T1430" t="s">
        <v>47</v>
      </c>
      <c r="U1430" t="s">
        <v>47</v>
      </c>
      <c r="V1430" t="s">
        <v>47</v>
      </c>
      <c r="W1430" s="3">
        <v>42005</v>
      </c>
      <c r="X1430" s="5" t="s">
        <v>50</v>
      </c>
      <c r="Y1430" t="s">
        <v>47</v>
      </c>
      <c r="Z1430" s="3">
        <v>42005</v>
      </c>
      <c r="AA1430" s="5" t="s">
        <v>50</v>
      </c>
      <c r="AB1430" t="s">
        <v>47</v>
      </c>
      <c r="AC1430" s="3">
        <v>42005</v>
      </c>
      <c r="AD1430" s="5" t="s">
        <v>50</v>
      </c>
      <c r="AE1430" t="s">
        <v>47</v>
      </c>
      <c r="AF1430" t="s">
        <v>47</v>
      </c>
      <c r="AG1430" t="s">
        <v>47</v>
      </c>
      <c r="AH1430" t="s">
        <v>47</v>
      </c>
      <c r="AI1430" t="s">
        <v>47</v>
      </c>
      <c r="AJ1430" t="s">
        <v>47</v>
      </c>
      <c r="AK1430" t="s">
        <v>47</v>
      </c>
      <c r="AL1430" t="s">
        <v>47</v>
      </c>
      <c r="AM1430" t="s">
        <v>47</v>
      </c>
      <c r="AN1430" t="s">
        <v>47</v>
      </c>
      <c r="AO1430" s="5" t="s">
        <v>60</v>
      </c>
      <c r="AP1430" s="4" t="s">
        <v>61</v>
      </c>
      <c r="AQ1430" s="4" t="s">
        <v>876</v>
      </c>
      <c r="AR1430" s="4" t="s">
        <v>136</v>
      </c>
      <c r="AS1430" s="5">
        <v>2043102</v>
      </c>
      <c r="AT1430" t="s">
        <v>47</v>
      </c>
    </row>
    <row r="1431" spans="1:46" ht="65" x14ac:dyDescent="0.3">
      <c r="A1431" s="4" t="s">
        <v>5489</v>
      </c>
      <c r="B1431" t="s">
        <v>47</v>
      </c>
      <c r="C1431" s="4" t="s">
        <v>5490</v>
      </c>
      <c r="D1431" s="4" t="s">
        <v>5491</v>
      </c>
      <c r="E1431" s="4" t="s">
        <v>49</v>
      </c>
      <c r="F1431" s="5" t="s">
        <v>5492</v>
      </c>
      <c r="G1431" t="s">
        <v>47</v>
      </c>
      <c r="H1431" t="s">
        <v>47</v>
      </c>
      <c r="I1431" t="s">
        <v>47</v>
      </c>
      <c r="J1431" t="s">
        <v>47</v>
      </c>
      <c r="K1431" t="s">
        <v>47</v>
      </c>
      <c r="L1431" s="5" t="s">
        <v>51</v>
      </c>
      <c r="M1431" t="s">
        <v>47</v>
      </c>
      <c r="N1431" t="s">
        <v>47</v>
      </c>
      <c r="O1431" t="s">
        <v>47</v>
      </c>
      <c r="P1431" t="s">
        <v>47</v>
      </c>
      <c r="Q1431" t="s">
        <v>47</v>
      </c>
      <c r="R1431" t="s">
        <v>47</v>
      </c>
      <c r="S1431" t="s">
        <v>47</v>
      </c>
      <c r="T1431" t="s">
        <v>47</v>
      </c>
      <c r="U1431" t="s">
        <v>47</v>
      </c>
      <c r="V1431" t="s">
        <v>47</v>
      </c>
      <c r="W1431" s="3">
        <v>32143</v>
      </c>
      <c r="X1431" s="5" t="s">
        <v>50</v>
      </c>
      <c r="Y1431" t="s">
        <v>47</v>
      </c>
      <c r="Z1431" s="3">
        <v>32143</v>
      </c>
      <c r="AA1431" s="5" t="s">
        <v>50</v>
      </c>
      <c r="AB1431" t="s">
        <v>47</v>
      </c>
      <c r="AC1431" s="3">
        <v>32143</v>
      </c>
      <c r="AD1431" s="5" t="s">
        <v>50</v>
      </c>
      <c r="AE1431" t="s">
        <v>47</v>
      </c>
      <c r="AF1431" t="s">
        <v>47</v>
      </c>
      <c r="AG1431" t="s">
        <v>47</v>
      </c>
      <c r="AH1431" t="s">
        <v>47</v>
      </c>
      <c r="AI1431" t="s">
        <v>47</v>
      </c>
      <c r="AJ1431" t="s">
        <v>47</v>
      </c>
      <c r="AK1431" t="s">
        <v>47</v>
      </c>
      <c r="AL1431" t="s">
        <v>47</v>
      </c>
      <c r="AM1431" t="s">
        <v>47</v>
      </c>
      <c r="AN1431" t="s">
        <v>47</v>
      </c>
      <c r="AO1431" s="5" t="s">
        <v>51</v>
      </c>
      <c r="AP1431" s="4" t="s">
        <v>85</v>
      </c>
      <c r="AQ1431" s="4" t="s">
        <v>53</v>
      </c>
      <c r="AR1431" s="4" t="s">
        <v>523</v>
      </c>
      <c r="AS1431" s="5">
        <v>40535</v>
      </c>
      <c r="AT1431" t="s">
        <v>47</v>
      </c>
    </row>
    <row r="1432" spans="1:46" ht="13" x14ac:dyDescent="0.3">
      <c r="A1432" s="4" t="s">
        <v>5493</v>
      </c>
      <c r="B1432" t="s">
        <v>47</v>
      </c>
      <c r="C1432" s="4" t="s">
        <v>5494</v>
      </c>
      <c r="D1432" s="4" t="s">
        <v>288</v>
      </c>
      <c r="E1432" s="4" t="s">
        <v>49</v>
      </c>
      <c r="F1432" s="5" t="s">
        <v>5495</v>
      </c>
      <c r="G1432" t="s">
        <v>47</v>
      </c>
      <c r="H1432" t="s">
        <v>47</v>
      </c>
      <c r="I1432" s="3">
        <v>37347</v>
      </c>
      <c r="J1432" s="5" t="s">
        <v>50</v>
      </c>
      <c r="K1432" t="s">
        <v>47</v>
      </c>
      <c r="L1432" s="5" t="s">
        <v>60</v>
      </c>
      <c r="M1432" s="3">
        <v>37347</v>
      </c>
      <c r="N1432" s="5" t="s">
        <v>50</v>
      </c>
      <c r="O1432" t="s">
        <v>47</v>
      </c>
      <c r="P1432" s="3">
        <v>37347</v>
      </c>
      <c r="Q1432" s="5" t="s">
        <v>50</v>
      </c>
      <c r="R1432" t="s">
        <v>47</v>
      </c>
      <c r="S1432" t="s">
        <v>47</v>
      </c>
      <c r="T1432" t="s">
        <v>47</v>
      </c>
      <c r="U1432" t="s">
        <v>47</v>
      </c>
      <c r="V1432" t="s">
        <v>47</v>
      </c>
      <c r="W1432" s="3">
        <v>37347</v>
      </c>
      <c r="X1432" s="5" t="s">
        <v>50</v>
      </c>
      <c r="Y1432" t="s">
        <v>47</v>
      </c>
      <c r="Z1432" s="3">
        <v>37347</v>
      </c>
      <c r="AA1432" s="5" t="s">
        <v>50</v>
      </c>
      <c r="AB1432" t="s">
        <v>47</v>
      </c>
      <c r="AC1432" s="3">
        <v>37347</v>
      </c>
      <c r="AD1432" s="5" t="s">
        <v>50</v>
      </c>
      <c r="AE1432" t="s">
        <v>47</v>
      </c>
      <c r="AF1432" t="s">
        <v>47</v>
      </c>
      <c r="AG1432" t="s">
        <v>47</v>
      </c>
      <c r="AH1432" t="s">
        <v>47</v>
      </c>
      <c r="AI1432" t="s">
        <v>47</v>
      </c>
      <c r="AJ1432" t="s">
        <v>47</v>
      </c>
      <c r="AK1432" t="s">
        <v>47</v>
      </c>
      <c r="AL1432" t="s">
        <v>47</v>
      </c>
      <c r="AM1432" t="s">
        <v>47</v>
      </c>
      <c r="AN1432" t="s">
        <v>47</v>
      </c>
      <c r="AO1432" s="5" t="s">
        <v>60</v>
      </c>
      <c r="AP1432" s="4" t="s">
        <v>61</v>
      </c>
      <c r="AQ1432" s="4" t="s">
        <v>53</v>
      </c>
      <c r="AR1432" s="4" t="s">
        <v>54</v>
      </c>
      <c r="AS1432" s="5">
        <v>28213</v>
      </c>
      <c r="AT1432" t="s">
        <v>47</v>
      </c>
    </row>
    <row r="1433" spans="1:46" ht="91" x14ac:dyDescent="0.3">
      <c r="A1433" s="4" t="s">
        <v>5496</v>
      </c>
      <c r="B1433" t="s">
        <v>47</v>
      </c>
      <c r="C1433" s="4" t="s">
        <v>2011</v>
      </c>
      <c r="D1433" s="4" t="s">
        <v>88</v>
      </c>
      <c r="E1433" s="4" t="s">
        <v>49</v>
      </c>
      <c r="F1433" s="5" t="s">
        <v>5497</v>
      </c>
      <c r="G1433" t="s">
        <v>47</v>
      </c>
      <c r="H1433" t="s">
        <v>47</v>
      </c>
      <c r="I1433" s="3">
        <v>35490</v>
      </c>
      <c r="J1433" s="3">
        <v>35551</v>
      </c>
      <c r="K1433" t="s">
        <v>47</v>
      </c>
      <c r="L1433" s="5" t="s">
        <v>60</v>
      </c>
      <c r="M1433" s="3">
        <v>35490</v>
      </c>
      <c r="N1433" s="3">
        <v>35490</v>
      </c>
      <c r="O1433" t="s">
        <v>47</v>
      </c>
      <c r="P1433" s="3">
        <v>35490</v>
      </c>
      <c r="Q1433" s="3">
        <v>35551</v>
      </c>
      <c r="R1433" t="s">
        <v>47</v>
      </c>
      <c r="S1433" t="s">
        <v>47</v>
      </c>
      <c r="T1433" t="s">
        <v>47</v>
      </c>
      <c r="U1433" t="s">
        <v>47</v>
      </c>
      <c r="V1433" t="s">
        <v>47</v>
      </c>
      <c r="W1433" s="3">
        <v>35490</v>
      </c>
      <c r="X1433" s="3">
        <v>35551</v>
      </c>
      <c r="Y1433" t="s">
        <v>47</v>
      </c>
      <c r="Z1433" s="3">
        <v>35490</v>
      </c>
      <c r="AA1433" s="3">
        <v>35551</v>
      </c>
      <c r="AB1433" t="s">
        <v>47</v>
      </c>
      <c r="AC1433" t="s">
        <v>47</v>
      </c>
      <c r="AD1433" t="s">
        <v>47</v>
      </c>
      <c r="AE1433" t="s">
        <v>47</v>
      </c>
      <c r="AF1433" t="s">
        <v>47</v>
      </c>
      <c r="AG1433" t="s">
        <v>47</v>
      </c>
      <c r="AH1433" t="s">
        <v>47</v>
      </c>
      <c r="AI1433" t="s">
        <v>47</v>
      </c>
      <c r="AJ1433" t="s">
        <v>47</v>
      </c>
      <c r="AK1433" t="s">
        <v>47</v>
      </c>
      <c r="AL1433" t="s">
        <v>47</v>
      </c>
      <c r="AM1433" t="s">
        <v>47</v>
      </c>
      <c r="AN1433" t="s">
        <v>47</v>
      </c>
      <c r="AO1433" s="5" t="s">
        <v>60</v>
      </c>
      <c r="AP1433" s="4" t="s">
        <v>61</v>
      </c>
      <c r="AQ1433" s="4" t="s">
        <v>53</v>
      </c>
      <c r="AR1433" s="4" t="s">
        <v>5498</v>
      </c>
      <c r="AS1433" s="5">
        <v>35119</v>
      </c>
      <c r="AT1433" t="s">
        <v>47</v>
      </c>
    </row>
    <row r="1434" spans="1:46" ht="26" x14ac:dyDescent="0.3">
      <c r="A1434" s="4" t="s">
        <v>5499</v>
      </c>
      <c r="B1434" t="s">
        <v>47</v>
      </c>
      <c r="C1434" s="4" t="s">
        <v>169</v>
      </c>
      <c r="D1434" s="4" t="s">
        <v>339</v>
      </c>
      <c r="E1434" s="4" t="s">
        <v>66</v>
      </c>
      <c r="F1434" s="5" t="s">
        <v>5500</v>
      </c>
      <c r="G1434" s="5" t="s">
        <v>5501</v>
      </c>
      <c r="H1434" t="s">
        <v>47</v>
      </c>
      <c r="I1434" t="s">
        <v>47</v>
      </c>
      <c r="J1434" t="s">
        <v>47</v>
      </c>
      <c r="K1434" t="s">
        <v>47</v>
      </c>
      <c r="L1434" s="5" t="s">
        <v>60</v>
      </c>
      <c r="M1434" t="s">
        <v>47</v>
      </c>
      <c r="N1434" t="s">
        <v>47</v>
      </c>
      <c r="O1434" t="s">
        <v>47</v>
      </c>
      <c r="P1434" t="s">
        <v>47</v>
      </c>
      <c r="Q1434" t="s">
        <v>47</v>
      </c>
      <c r="R1434" t="s">
        <v>47</v>
      </c>
      <c r="S1434" t="s">
        <v>47</v>
      </c>
      <c r="T1434" t="s">
        <v>47</v>
      </c>
      <c r="U1434" t="s">
        <v>47</v>
      </c>
      <c r="V1434" t="s">
        <v>47</v>
      </c>
      <c r="W1434" s="3">
        <v>40179</v>
      </c>
      <c r="X1434" s="5" t="s">
        <v>50</v>
      </c>
      <c r="Y1434" t="s">
        <v>47</v>
      </c>
      <c r="Z1434" s="3">
        <v>40179</v>
      </c>
      <c r="AA1434" s="5" t="s">
        <v>50</v>
      </c>
      <c r="AB1434" t="s">
        <v>47</v>
      </c>
      <c r="AC1434" s="3">
        <v>40179</v>
      </c>
      <c r="AD1434" s="5" t="s">
        <v>50</v>
      </c>
      <c r="AE1434" t="s">
        <v>47</v>
      </c>
      <c r="AF1434" t="s">
        <v>47</v>
      </c>
      <c r="AG1434" t="s">
        <v>47</v>
      </c>
      <c r="AH1434" t="s">
        <v>47</v>
      </c>
      <c r="AI1434" t="s">
        <v>47</v>
      </c>
      <c r="AJ1434" t="s">
        <v>47</v>
      </c>
      <c r="AK1434" t="s">
        <v>47</v>
      </c>
      <c r="AL1434" t="s">
        <v>47</v>
      </c>
      <c r="AM1434" t="s">
        <v>47</v>
      </c>
      <c r="AN1434" t="s">
        <v>47</v>
      </c>
      <c r="AO1434" s="5" t="s">
        <v>60</v>
      </c>
      <c r="AP1434" s="4" t="s">
        <v>61</v>
      </c>
      <c r="AQ1434" s="4" t="s">
        <v>53</v>
      </c>
      <c r="AR1434" s="4" t="s">
        <v>54</v>
      </c>
      <c r="AS1434" s="5">
        <v>426731</v>
      </c>
      <c r="AT1434" t="s">
        <v>47</v>
      </c>
    </row>
    <row r="1435" spans="1:46" ht="13" x14ac:dyDescent="0.3">
      <c r="A1435" s="4" t="s">
        <v>5502</v>
      </c>
      <c r="B1435" t="s">
        <v>47</v>
      </c>
      <c r="C1435" s="4" t="s">
        <v>4547</v>
      </c>
      <c r="D1435" s="4" t="s">
        <v>319</v>
      </c>
      <c r="E1435" s="4" t="s">
        <v>49</v>
      </c>
      <c r="F1435" s="5" t="s">
        <v>5503</v>
      </c>
      <c r="G1435" t="s">
        <v>47</v>
      </c>
      <c r="H1435" t="s">
        <v>47</v>
      </c>
      <c r="I1435" s="3">
        <v>37500</v>
      </c>
      <c r="J1435" s="3">
        <v>37987</v>
      </c>
      <c r="K1435" t="s">
        <v>47</v>
      </c>
      <c r="L1435" s="5" t="s">
        <v>51</v>
      </c>
      <c r="M1435" s="3">
        <v>37500</v>
      </c>
      <c r="N1435" s="3">
        <v>37987</v>
      </c>
      <c r="O1435" t="s">
        <v>47</v>
      </c>
      <c r="P1435" s="3">
        <v>37500</v>
      </c>
      <c r="Q1435" s="3">
        <v>37987</v>
      </c>
      <c r="R1435" t="s">
        <v>47</v>
      </c>
      <c r="S1435" t="s">
        <v>47</v>
      </c>
      <c r="T1435" t="s">
        <v>47</v>
      </c>
      <c r="U1435" t="s">
        <v>47</v>
      </c>
      <c r="V1435" t="s">
        <v>47</v>
      </c>
      <c r="W1435" s="3">
        <v>37500</v>
      </c>
      <c r="X1435" s="3">
        <v>37987</v>
      </c>
      <c r="Y1435" t="s">
        <v>47</v>
      </c>
      <c r="Z1435" s="3">
        <v>37500</v>
      </c>
      <c r="AA1435" s="3">
        <v>37987</v>
      </c>
      <c r="AB1435" t="s">
        <v>47</v>
      </c>
      <c r="AC1435" t="s">
        <v>47</v>
      </c>
      <c r="AD1435" t="s">
        <v>47</v>
      </c>
      <c r="AE1435" t="s">
        <v>47</v>
      </c>
      <c r="AF1435" t="s">
        <v>47</v>
      </c>
      <c r="AG1435" t="s">
        <v>47</v>
      </c>
      <c r="AH1435" t="s">
        <v>47</v>
      </c>
      <c r="AI1435" t="s">
        <v>47</v>
      </c>
      <c r="AJ1435" t="s">
        <v>47</v>
      </c>
      <c r="AK1435" t="s">
        <v>47</v>
      </c>
      <c r="AL1435" t="s">
        <v>47</v>
      </c>
      <c r="AM1435" t="s">
        <v>47</v>
      </c>
      <c r="AN1435" t="s">
        <v>47</v>
      </c>
      <c r="AO1435" s="5" t="s">
        <v>51</v>
      </c>
      <c r="AP1435" s="4" t="s">
        <v>85</v>
      </c>
      <c r="AQ1435" s="4" t="s">
        <v>53</v>
      </c>
      <c r="AR1435" s="4" t="s">
        <v>54</v>
      </c>
      <c r="AS1435" s="5">
        <v>43553</v>
      </c>
      <c r="AT1435" t="s">
        <v>47</v>
      </c>
    </row>
    <row r="1436" spans="1:46" ht="78" x14ac:dyDescent="0.3">
      <c r="A1436" s="4" t="s">
        <v>5504</v>
      </c>
      <c r="B1436" t="s">
        <v>47</v>
      </c>
      <c r="C1436" s="4" t="s">
        <v>770</v>
      </c>
      <c r="D1436" s="4" t="s">
        <v>88</v>
      </c>
      <c r="E1436" s="4" t="s">
        <v>49</v>
      </c>
      <c r="F1436" s="5" t="s">
        <v>5505</v>
      </c>
      <c r="G1436" t="s">
        <v>47</v>
      </c>
      <c r="H1436" t="s">
        <v>47</v>
      </c>
      <c r="I1436" t="s">
        <v>47</v>
      </c>
      <c r="J1436" t="s">
        <v>47</v>
      </c>
      <c r="K1436" t="s">
        <v>47</v>
      </c>
      <c r="L1436" s="5" t="s">
        <v>51</v>
      </c>
      <c r="M1436" t="s">
        <v>47</v>
      </c>
      <c r="N1436" t="s">
        <v>47</v>
      </c>
      <c r="O1436" t="s">
        <v>47</v>
      </c>
      <c r="P1436" t="s">
        <v>47</v>
      </c>
      <c r="Q1436" t="s">
        <v>47</v>
      </c>
      <c r="R1436" t="s">
        <v>47</v>
      </c>
      <c r="S1436" t="s">
        <v>47</v>
      </c>
      <c r="T1436" t="s">
        <v>47</v>
      </c>
      <c r="U1436" t="s">
        <v>47</v>
      </c>
      <c r="V1436" t="s">
        <v>47</v>
      </c>
      <c r="W1436" s="3">
        <v>36126</v>
      </c>
      <c r="X1436" s="3">
        <v>40909</v>
      </c>
      <c r="Y1436" s="5" t="s">
        <v>5506</v>
      </c>
      <c r="Z1436" s="3">
        <v>36126</v>
      </c>
      <c r="AA1436" s="3">
        <v>40909</v>
      </c>
      <c r="AB1436" s="5" t="s">
        <v>5506</v>
      </c>
      <c r="AC1436" s="3">
        <v>37987</v>
      </c>
      <c r="AD1436" s="3">
        <v>40909</v>
      </c>
      <c r="AE1436" s="5" t="s">
        <v>5506</v>
      </c>
      <c r="AF1436" t="s">
        <v>47</v>
      </c>
      <c r="AG1436" t="s">
        <v>47</v>
      </c>
      <c r="AH1436" t="s">
        <v>47</v>
      </c>
      <c r="AI1436" t="s">
        <v>47</v>
      </c>
      <c r="AJ1436" t="s">
        <v>47</v>
      </c>
      <c r="AK1436" t="s">
        <v>47</v>
      </c>
      <c r="AL1436" t="s">
        <v>47</v>
      </c>
      <c r="AM1436" t="s">
        <v>47</v>
      </c>
      <c r="AN1436" t="s">
        <v>47</v>
      </c>
      <c r="AO1436" s="5" t="s">
        <v>51</v>
      </c>
      <c r="AP1436" s="4" t="s">
        <v>85</v>
      </c>
      <c r="AQ1436" s="4" t="s">
        <v>53</v>
      </c>
      <c r="AR1436" s="4" t="s">
        <v>136</v>
      </c>
      <c r="AS1436" s="5">
        <v>32272</v>
      </c>
      <c r="AT1436" t="s">
        <v>47</v>
      </c>
    </row>
    <row r="1437" spans="1:46" ht="13" x14ac:dyDescent="0.3">
      <c r="A1437" s="4" t="s">
        <v>5507</v>
      </c>
      <c r="B1437" t="s">
        <v>47</v>
      </c>
      <c r="C1437" s="4" t="s">
        <v>169</v>
      </c>
      <c r="D1437" s="4" t="s">
        <v>339</v>
      </c>
      <c r="E1437" s="4" t="s">
        <v>66</v>
      </c>
      <c r="F1437" s="5" t="s">
        <v>5508</v>
      </c>
      <c r="G1437" s="5" t="s">
        <v>5509</v>
      </c>
      <c r="H1437" t="s">
        <v>47</v>
      </c>
      <c r="I1437" s="3">
        <v>35704</v>
      </c>
      <c r="J1437" s="3">
        <v>36739</v>
      </c>
      <c r="K1437" t="s">
        <v>47</v>
      </c>
      <c r="L1437" s="5" t="s">
        <v>60</v>
      </c>
      <c r="M1437" s="3">
        <v>35704</v>
      </c>
      <c r="N1437" s="3">
        <v>36739</v>
      </c>
      <c r="O1437" t="s">
        <v>47</v>
      </c>
      <c r="P1437" s="3">
        <v>35704</v>
      </c>
      <c r="Q1437" s="3">
        <v>36739</v>
      </c>
      <c r="R1437" t="s">
        <v>47</v>
      </c>
      <c r="S1437" t="s">
        <v>47</v>
      </c>
      <c r="T1437" t="s">
        <v>47</v>
      </c>
      <c r="U1437" t="s">
        <v>47</v>
      </c>
      <c r="V1437" t="s">
        <v>47</v>
      </c>
      <c r="W1437" s="3">
        <v>35704</v>
      </c>
      <c r="X1437" s="5" t="s">
        <v>50</v>
      </c>
      <c r="Y1437" s="5" t="s">
        <v>788</v>
      </c>
      <c r="Z1437" s="3">
        <v>35704</v>
      </c>
      <c r="AA1437" s="5" t="s">
        <v>50</v>
      </c>
      <c r="AB1437" s="5" t="s">
        <v>788</v>
      </c>
      <c r="AC1437" s="3">
        <v>35704</v>
      </c>
      <c r="AD1437" s="5" t="s">
        <v>50</v>
      </c>
      <c r="AE1437" s="5" t="s">
        <v>788</v>
      </c>
      <c r="AF1437" t="s">
        <v>47</v>
      </c>
      <c r="AG1437" t="s">
        <v>47</v>
      </c>
      <c r="AH1437" t="s">
        <v>47</v>
      </c>
      <c r="AI1437" t="s">
        <v>47</v>
      </c>
      <c r="AJ1437" t="s">
        <v>47</v>
      </c>
      <c r="AK1437" t="s">
        <v>47</v>
      </c>
      <c r="AL1437" t="s">
        <v>47</v>
      </c>
      <c r="AM1437" t="s">
        <v>47</v>
      </c>
      <c r="AN1437" t="s">
        <v>47</v>
      </c>
      <c r="AO1437" s="5" t="s">
        <v>60</v>
      </c>
      <c r="AP1437" s="4" t="s">
        <v>61</v>
      </c>
      <c r="AQ1437" s="4" t="s">
        <v>53</v>
      </c>
      <c r="AR1437" s="4" t="s">
        <v>54</v>
      </c>
      <c r="AS1437" s="5">
        <v>32935</v>
      </c>
      <c r="AT1437" t="s">
        <v>47</v>
      </c>
    </row>
    <row r="1438" spans="1:46" ht="104" x14ac:dyDescent="0.3">
      <c r="A1438" s="4" t="s">
        <v>5510</v>
      </c>
      <c r="B1438" t="s">
        <v>47</v>
      </c>
      <c r="C1438" s="4" t="s">
        <v>5511</v>
      </c>
      <c r="D1438" s="4" t="s">
        <v>5512</v>
      </c>
      <c r="E1438" s="4" t="s">
        <v>49</v>
      </c>
      <c r="F1438" s="5" t="s">
        <v>5513</v>
      </c>
      <c r="G1438" t="s">
        <v>47</v>
      </c>
      <c r="H1438" t="s">
        <v>47</v>
      </c>
      <c r="I1438" t="s">
        <v>47</v>
      </c>
      <c r="J1438" t="s">
        <v>47</v>
      </c>
      <c r="K1438" t="s">
        <v>47</v>
      </c>
      <c r="L1438" s="5" t="s">
        <v>51</v>
      </c>
      <c r="M1438" t="s">
        <v>47</v>
      </c>
      <c r="N1438" t="s">
        <v>47</v>
      </c>
      <c r="O1438" t="s">
        <v>47</v>
      </c>
      <c r="P1438" t="s">
        <v>47</v>
      </c>
      <c r="Q1438" t="s">
        <v>47</v>
      </c>
      <c r="R1438" t="s">
        <v>47</v>
      </c>
      <c r="S1438" t="s">
        <v>47</v>
      </c>
      <c r="T1438" t="s">
        <v>47</v>
      </c>
      <c r="U1438" t="s">
        <v>47</v>
      </c>
      <c r="V1438" t="s">
        <v>47</v>
      </c>
      <c r="W1438" s="3">
        <v>34943</v>
      </c>
      <c r="X1438" s="3">
        <v>40695</v>
      </c>
      <c r="Y1438" t="s">
        <v>47</v>
      </c>
      <c r="Z1438" s="3">
        <v>34943</v>
      </c>
      <c r="AA1438" s="3">
        <v>40695</v>
      </c>
      <c r="AB1438" t="s">
        <v>47</v>
      </c>
      <c r="AC1438" s="3">
        <v>34943</v>
      </c>
      <c r="AD1438" s="3">
        <v>40695</v>
      </c>
      <c r="AE1438" t="s">
        <v>47</v>
      </c>
      <c r="AF1438" t="s">
        <v>47</v>
      </c>
      <c r="AG1438" t="s">
        <v>47</v>
      </c>
      <c r="AH1438" t="s">
        <v>47</v>
      </c>
      <c r="AI1438" t="s">
        <v>47</v>
      </c>
      <c r="AJ1438" t="s">
        <v>47</v>
      </c>
      <c r="AK1438" t="s">
        <v>47</v>
      </c>
      <c r="AL1438" t="s">
        <v>47</v>
      </c>
      <c r="AM1438" t="s">
        <v>47</v>
      </c>
      <c r="AN1438" t="s">
        <v>47</v>
      </c>
      <c r="AO1438" s="5" t="s">
        <v>51</v>
      </c>
      <c r="AP1438" s="4" t="s">
        <v>85</v>
      </c>
      <c r="AQ1438" s="4" t="s">
        <v>53</v>
      </c>
      <c r="AR1438" s="4" t="s">
        <v>3568</v>
      </c>
      <c r="AS1438" s="5">
        <v>33786</v>
      </c>
      <c r="AT1438" t="s">
        <v>47</v>
      </c>
    </row>
    <row r="1439" spans="1:46" ht="39" x14ac:dyDescent="0.3">
      <c r="A1439" s="4" t="s">
        <v>5514</v>
      </c>
      <c r="B1439" t="s">
        <v>47</v>
      </c>
      <c r="C1439" s="4" t="s">
        <v>2637</v>
      </c>
      <c r="D1439" s="4" t="s">
        <v>99</v>
      </c>
      <c r="E1439" s="4" t="s">
        <v>49</v>
      </c>
      <c r="F1439" s="5" t="s">
        <v>5515</v>
      </c>
      <c r="G1439" t="s">
        <v>47</v>
      </c>
      <c r="H1439" t="s">
        <v>47</v>
      </c>
      <c r="I1439" s="3">
        <v>36161</v>
      </c>
      <c r="J1439" s="5" t="s">
        <v>50</v>
      </c>
      <c r="K1439" s="5" t="s">
        <v>1923</v>
      </c>
      <c r="L1439" s="5" t="s">
        <v>60</v>
      </c>
      <c r="M1439" s="3">
        <v>36161</v>
      </c>
      <c r="N1439" s="5" t="s">
        <v>50</v>
      </c>
      <c r="O1439" s="5" t="s">
        <v>1923</v>
      </c>
      <c r="P1439" s="3">
        <v>36161</v>
      </c>
      <c r="Q1439" s="5" t="s">
        <v>50</v>
      </c>
      <c r="R1439" s="5" t="s">
        <v>1923</v>
      </c>
      <c r="S1439" t="s">
        <v>47</v>
      </c>
      <c r="T1439" t="s">
        <v>47</v>
      </c>
      <c r="U1439" t="s">
        <v>47</v>
      </c>
      <c r="V1439" t="s">
        <v>47</v>
      </c>
      <c r="W1439" s="3">
        <v>36161</v>
      </c>
      <c r="X1439" s="5" t="s">
        <v>50</v>
      </c>
      <c r="Y1439" s="5" t="s">
        <v>1923</v>
      </c>
      <c r="Z1439" s="3">
        <v>36161</v>
      </c>
      <c r="AA1439" s="5" t="s">
        <v>50</v>
      </c>
      <c r="AB1439" s="5" t="s">
        <v>1923</v>
      </c>
      <c r="AC1439" s="3">
        <v>37803</v>
      </c>
      <c r="AD1439" s="5" t="s">
        <v>50</v>
      </c>
      <c r="AE1439" s="5" t="s">
        <v>1923</v>
      </c>
      <c r="AF1439" t="s">
        <v>47</v>
      </c>
      <c r="AG1439" t="s">
        <v>47</v>
      </c>
      <c r="AH1439" t="s">
        <v>47</v>
      </c>
      <c r="AI1439" t="s">
        <v>47</v>
      </c>
      <c r="AJ1439" t="s">
        <v>47</v>
      </c>
      <c r="AK1439" t="s">
        <v>47</v>
      </c>
      <c r="AL1439" t="s">
        <v>47</v>
      </c>
      <c r="AM1439" t="s">
        <v>47</v>
      </c>
      <c r="AN1439" t="s">
        <v>47</v>
      </c>
      <c r="AO1439" s="5" t="s">
        <v>60</v>
      </c>
      <c r="AP1439" s="4" t="s">
        <v>61</v>
      </c>
      <c r="AQ1439" s="4" t="s">
        <v>53</v>
      </c>
      <c r="AR1439" s="4" t="s">
        <v>385</v>
      </c>
      <c r="AS1439" s="5">
        <v>45830</v>
      </c>
      <c r="AT1439" t="s">
        <v>47</v>
      </c>
    </row>
    <row r="1440" spans="1:46" ht="52" x14ac:dyDescent="0.3">
      <c r="A1440" s="4" t="s">
        <v>5516</v>
      </c>
      <c r="B1440" t="s">
        <v>47</v>
      </c>
      <c r="C1440" s="4" t="s">
        <v>5517</v>
      </c>
      <c r="D1440" s="4" t="s">
        <v>5518</v>
      </c>
      <c r="E1440" s="4" t="s">
        <v>100</v>
      </c>
      <c r="F1440" s="5" t="s">
        <v>5519</v>
      </c>
      <c r="G1440" t="s">
        <v>47</v>
      </c>
      <c r="H1440" t="s">
        <v>47</v>
      </c>
      <c r="I1440" s="3">
        <v>36161</v>
      </c>
      <c r="J1440" s="3">
        <v>38534</v>
      </c>
      <c r="K1440" t="s">
        <v>47</v>
      </c>
      <c r="L1440" s="5" t="s">
        <v>60</v>
      </c>
      <c r="M1440" s="3">
        <v>36161</v>
      </c>
      <c r="N1440" s="3">
        <v>38534</v>
      </c>
      <c r="O1440" t="s">
        <v>47</v>
      </c>
      <c r="P1440" s="3">
        <v>36161</v>
      </c>
      <c r="Q1440" s="3">
        <v>38534</v>
      </c>
      <c r="R1440" t="s">
        <v>47</v>
      </c>
      <c r="S1440" t="s">
        <v>47</v>
      </c>
      <c r="T1440" t="s">
        <v>47</v>
      </c>
      <c r="U1440" t="s">
        <v>47</v>
      </c>
      <c r="V1440" t="s">
        <v>47</v>
      </c>
      <c r="W1440" s="3">
        <v>31594</v>
      </c>
      <c r="X1440" s="3">
        <v>38534</v>
      </c>
      <c r="Y1440" t="s">
        <v>47</v>
      </c>
      <c r="Z1440" s="3">
        <v>31594</v>
      </c>
      <c r="AA1440" s="3">
        <v>38534</v>
      </c>
      <c r="AB1440" t="s">
        <v>47</v>
      </c>
      <c r="AC1440" s="3">
        <v>36892</v>
      </c>
      <c r="AD1440" s="3">
        <v>38534</v>
      </c>
      <c r="AE1440" t="s">
        <v>47</v>
      </c>
      <c r="AF1440" t="s">
        <v>47</v>
      </c>
      <c r="AG1440" t="s">
        <v>47</v>
      </c>
      <c r="AH1440" t="s">
        <v>47</v>
      </c>
      <c r="AI1440" t="s">
        <v>47</v>
      </c>
      <c r="AJ1440" t="s">
        <v>47</v>
      </c>
      <c r="AK1440" t="s">
        <v>47</v>
      </c>
      <c r="AL1440" t="s">
        <v>47</v>
      </c>
      <c r="AM1440" t="s">
        <v>47</v>
      </c>
      <c r="AN1440" t="s">
        <v>47</v>
      </c>
      <c r="AO1440" s="5" t="s">
        <v>60</v>
      </c>
      <c r="AP1440" s="4" t="s">
        <v>61</v>
      </c>
      <c r="AQ1440" s="4" t="s">
        <v>53</v>
      </c>
      <c r="AR1440" s="4" t="s">
        <v>1745</v>
      </c>
      <c r="AS1440" s="5">
        <v>32982</v>
      </c>
      <c r="AT1440" t="s">
        <v>47</v>
      </c>
    </row>
    <row r="1441" spans="1:46" ht="78" x14ac:dyDescent="0.3">
      <c r="A1441" s="4" t="s">
        <v>5520</v>
      </c>
      <c r="B1441" t="s">
        <v>47</v>
      </c>
      <c r="C1441" s="4" t="s">
        <v>2461</v>
      </c>
      <c r="D1441" s="4" t="s">
        <v>70</v>
      </c>
      <c r="E1441" s="4" t="s">
        <v>49</v>
      </c>
      <c r="F1441" s="5" t="s">
        <v>5521</v>
      </c>
      <c r="G1441" t="s">
        <v>47</v>
      </c>
      <c r="H1441" t="s">
        <v>47</v>
      </c>
      <c r="I1441" s="3">
        <v>35065</v>
      </c>
      <c r="J1441" s="5" t="s">
        <v>50</v>
      </c>
      <c r="K1441" t="s">
        <v>47</v>
      </c>
      <c r="L1441" s="5" t="s">
        <v>51</v>
      </c>
      <c r="M1441" s="3">
        <v>35156</v>
      </c>
      <c r="N1441" s="5" t="s">
        <v>50</v>
      </c>
      <c r="O1441" t="s">
        <v>47</v>
      </c>
      <c r="P1441" s="3">
        <v>35065</v>
      </c>
      <c r="Q1441" s="3">
        <v>38899</v>
      </c>
      <c r="R1441" t="s">
        <v>47</v>
      </c>
      <c r="S1441" t="s">
        <v>47</v>
      </c>
      <c r="T1441" t="s">
        <v>47</v>
      </c>
      <c r="U1441" t="s">
        <v>47</v>
      </c>
      <c r="V1441" t="s">
        <v>47</v>
      </c>
      <c r="W1441" s="3">
        <v>32143</v>
      </c>
      <c r="X1441" s="5" t="s">
        <v>50</v>
      </c>
      <c r="Y1441" t="s">
        <v>47</v>
      </c>
      <c r="Z1441" s="3">
        <v>32143</v>
      </c>
      <c r="AA1441" s="5" t="s">
        <v>50</v>
      </c>
      <c r="AB1441" t="s">
        <v>47</v>
      </c>
      <c r="AC1441" s="3">
        <v>32143</v>
      </c>
      <c r="AD1441" s="5" t="s">
        <v>50</v>
      </c>
      <c r="AE1441" t="s">
        <v>47</v>
      </c>
      <c r="AF1441" t="s">
        <v>47</v>
      </c>
      <c r="AG1441" t="s">
        <v>47</v>
      </c>
      <c r="AH1441" t="s">
        <v>47</v>
      </c>
      <c r="AI1441" t="s">
        <v>47</v>
      </c>
      <c r="AJ1441" t="s">
        <v>47</v>
      </c>
      <c r="AK1441" t="s">
        <v>47</v>
      </c>
      <c r="AL1441" t="s">
        <v>47</v>
      </c>
      <c r="AM1441" t="s">
        <v>47</v>
      </c>
      <c r="AN1441" t="s">
        <v>47</v>
      </c>
      <c r="AO1441" s="5" t="s">
        <v>51</v>
      </c>
      <c r="AP1441" s="4" t="s">
        <v>85</v>
      </c>
      <c r="AQ1441" s="4" t="s">
        <v>53</v>
      </c>
      <c r="AR1441" s="4" t="s">
        <v>5522</v>
      </c>
      <c r="AS1441" s="5">
        <v>37051</v>
      </c>
      <c r="AT1441" t="s">
        <v>47</v>
      </c>
    </row>
    <row r="1442" spans="1:46" ht="104" x14ac:dyDescent="0.3">
      <c r="A1442" s="4" t="s">
        <v>5523</v>
      </c>
      <c r="B1442" t="s">
        <v>47</v>
      </c>
      <c r="C1442" s="4" t="s">
        <v>5524</v>
      </c>
      <c r="D1442" s="4" t="s">
        <v>5525</v>
      </c>
      <c r="E1442" s="4" t="s">
        <v>49</v>
      </c>
      <c r="F1442" s="5" t="s">
        <v>5526</v>
      </c>
      <c r="G1442" t="s">
        <v>47</v>
      </c>
      <c r="H1442" t="s">
        <v>47</v>
      </c>
      <c r="I1442" s="3">
        <v>37530</v>
      </c>
      <c r="J1442" s="3">
        <v>41760</v>
      </c>
      <c r="K1442" t="s">
        <v>47</v>
      </c>
      <c r="L1442" s="5" t="s">
        <v>51</v>
      </c>
      <c r="M1442" s="3">
        <v>37530</v>
      </c>
      <c r="N1442" s="3">
        <v>41760</v>
      </c>
      <c r="O1442" t="s">
        <v>47</v>
      </c>
      <c r="P1442" s="3">
        <v>37530</v>
      </c>
      <c r="Q1442" s="3">
        <v>41760</v>
      </c>
      <c r="R1442" t="s">
        <v>47</v>
      </c>
      <c r="S1442" t="s">
        <v>47</v>
      </c>
      <c r="T1442" t="s">
        <v>47</v>
      </c>
      <c r="U1442" t="s">
        <v>47</v>
      </c>
      <c r="V1442" t="s">
        <v>47</v>
      </c>
      <c r="W1442" s="3">
        <v>35065</v>
      </c>
      <c r="X1442" s="3">
        <v>42125</v>
      </c>
      <c r="Y1442" t="s">
        <v>47</v>
      </c>
      <c r="Z1442" s="3">
        <v>35065</v>
      </c>
      <c r="AA1442" s="3">
        <v>42125</v>
      </c>
      <c r="AB1442" t="s">
        <v>47</v>
      </c>
      <c r="AC1442" s="3">
        <v>35065</v>
      </c>
      <c r="AD1442" s="3">
        <v>42125</v>
      </c>
      <c r="AE1442" t="s">
        <v>47</v>
      </c>
      <c r="AF1442" t="s">
        <v>47</v>
      </c>
      <c r="AG1442" t="s">
        <v>47</v>
      </c>
      <c r="AH1442" t="s">
        <v>47</v>
      </c>
      <c r="AI1442" t="s">
        <v>47</v>
      </c>
      <c r="AJ1442" t="s">
        <v>47</v>
      </c>
      <c r="AK1442" t="s">
        <v>47</v>
      </c>
      <c r="AL1442" t="s">
        <v>47</v>
      </c>
      <c r="AM1442" t="s">
        <v>47</v>
      </c>
      <c r="AN1442" t="s">
        <v>47</v>
      </c>
      <c r="AO1442" s="5" t="s">
        <v>51</v>
      </c>
      <c r="AP1442" s="4" t="s">
        <v>85</v>
      </c>
      <c r="AQ1442" s="4" t="s">
        <v>53</v>
      </c>
      <c r="AR1442" s="4" t="s">
        <v>3568</v>
      </c>
      <c r="AS1442" s="5">
        <v>13101</v>
      </c>
      <c r="AT1442" t="s">
        <v>47</v>
      </c>
    </row>
    <row r="1443" spans="1:46" ht="52" x14ac:dyDescent="0.3">
      <c r="A1443" s="4" t="s">
        <v>5527</v>
      </c>
      <c r="B1443" t="s">
        <v>47</v>
      </c>
      <c r="C1443" s="4" t="s">
        <v>382</v>
      </c>
      <c r="D1443" s="4" t="s">
        <v>324</v>
      </c>
      <c r="E1443" s="4" t="s">
        <v>49</v>
      </c>
      <c r="F1443" t="s">
        <v>47</v>
      </c>
      <c r="G1443" s="5" t="s">
        <v>5528</v>
      </c>
      <c r="H1443" t="s">
        <v>47</v>
      </c>
      <c r="I1443" s="3">
        <v>37622</v>
      </c>
      <c r="J1443" s="5" t="s">
        <v>50</v>
      </c>
      <c r="K1443" t="s">
        <v>47</v>
      </c>
      <c r="L1443" s="5" t="s">
        <v>60</v>
      </c>
      <c r="M1443" t="s">
        <v>47</v>
      </c>
      <c r="N1443" t="s">
        <v>47</v>
      </c>
      <c r="O1443" t="s">
        <v>47</v>
      </c>
      <c r="P1443" s="3">
        <v>37622</v>
      </c>
      <c r="Q1443" s="5" t="s">
        <v>50</v>
      </c>
      <c r="R1443" t="s">
        <v>47</v>
      </c>
      <c r="S1443" t="s">
        <v>47</v>
      </c>
      <c r="T1443" t="s">
        <v>47</v>
      </c>
      <c r="U1443" t="s">
        <v>47</v>
      </c>
      <c r="V1443" t="s">
        <v>47</v>
      </c>
      <c r="W1443" s="3">
        <v>37257</v>
      </c>
      <c r="X1443" s="5" t="s">
        <v>50</v>
      </c>
      <c r="Y1443" t="s">
        <v>47</v>
      </c>
      <c r="Z1443" s="3">
        <v>37257</v>
      </c>
      <c r="AA1443" s="5" t="s">
        <v>50</v>
      </c>
      <c r="AB1443" t="s">
        <v>47</v>
      </c>
      <c r="AC1443" s="3">
        <v>37622</v>
      </c>
      <c r="AD1443" s="3">
        <v>44197</v>
      </c>
      <c r="AE1443" t="s">
        <v>47</v>
      </c>
      <c r="AF1443" t="s">
        <v>47</v>
      </c>
      <c r="AG1443" t="s">
        <v>47</v>
      </c>
      <c r="AH1443" t="s">
        <v>47</v>
      </c>
      <c r="AI1443" t="s">
        <v>47</v>
      </c>
      <c r="AJ1443" t="s">
        <v>47</v>
      </c>
      <c r="AK1443" t="s">
        <v>47</v>
      </c>
      <c r="AL1443" t="s">
        <v>47</v>
      </c>
      <c r="AM1443" t="s">
        <v>47</v>
      </c>
      <c r="AN1443" t="s">
        <v>47</v>
      </c>
      <c r="AO1443" s="5" t="s">
        <v>60</v>
      </c>
      <c r="AP1443" s="4" t="s">
        <v>61</v>
      </c>
      <c r="AQ1443" s="4" t="s">
        <v>53</v>
      </c>
      <c r="AR1443" s="4" t="s">
        <v>1745</v>
      </c>
      <c r="AS1443" s="5">
        <v>4673912</v>
      </c>
      <c r="AT1443" t="s">
        <v>47</v>
      </c>
    </row>
    <row r="1444" spans="1:46" ht="13" x14ac:dyDescent="0.3">
      <c r="A1444" s="4" t="s">
        <v>5529</v>
      </c>
      <c r="B1444" t="s">
        <v>47</v>
      </c>
      <c r="C1444" s="4" t="s">
        <v>5530</v>
      </c>
      <c r="D1444" s="4" t="s">
        <v>5531</v>
      </c>
      <c r="E1444" s="4" t="s">
        <v>49</v>
      </c>
      <c r="F1444" s="5" t="s">
        <v>5532</v>
      </c>
      <c r="G1444" t="s">
        <v>47</v>
      </c>
      <c r="H1444" t="s">
        <v>47</v>
      </c>
      <c r="I1444" s="3">
        <v>35855</v>
      </c>
      <c r="J1444" s="3">
        <v>39114</v>
      </c>
      <c r="K1444" t="s">
        <v>47</v>
      </c>
      <c r="L1444" s="5" t="s">
        <v>51</v>
      </c>
      <c r="M1444" s="3">
        <v>35855</v>
      </c>
      <c r="N1444" s="3">
        <v>39114</v>
      </c>
      <c r="O1444" t="s">
        <v>47</v>
      </c>
      <c r="P1444" s="3">
        <v>35855</v>
      </c>
      <c r="Q1444" s="3">
        <v>39114</v>
      </c>
      <c r="R1444" t="s">
        <v>47</v>
      </c>
      <c r="S1444" t="s">
        <v>47</v>
      </c>
      <c r="T1444" t="s">
        <v>47</v>
      </c>
      <c r="U1444" t="s">
        <v>47</v>
      </c>
      <c r="V1444" t="s">
        <v>47</v>
      </c>
      <c r="W1444" s="3">
        <v>35855</v>
      </c>
      <c r="X1444" s="3">
        <v>43739</v>
      </c>
      <c r="Y1444" t="s">
        <v>47</v>
      </c>
      <c r="Z1444" s="3">
        <v>35855</v>
      </c>
      <c r="AA1444" s="3">
        <v>43739</v>
      </c>
      <c r="AB1444" t="s">
        <v>47</v>
      </c>
      <c r="AC1444" s="3">
        <v>37987</v>
      </c>
      <c r="AD1444" s="3">
        <v>43739</v>
      </c>
      <c r="AE1444" t="s">
        <v>47</v>
      </c>
      <c r="AF1444" t="s">
        <v>47</v>
      </c>
      <c r="AG1444" t="s">
        <v>47</v>
      </c>
      <c r="AH1444" t="s">
        <v>47</v>
      </c>
      <c r="AI1444" t="s">
        <v>47</v>
      </c>
      <c r="AJ1444" t="s">
        <v>47</v>
      </c>
      <c r="AK1444" t="s">
        <v>47</v>
      </c>
      <c r="AL1444" t="s">
        <v>47</v>
      </c>
      <c r="AM1444" t="s">
        <v>47</v>
      </c>
      <c r="AN1444" t="s">
        <v>47</v>
      </c>
      <c r="AO1444" s="5" t="s">
        <v>51</v>
      </c>
      <c r="AP1444" s="4" t="s">
        <v>85</v>
      </c>
      <c r="AQ1444" s="4" t="s">
        <v>53</v>
      </c>
      <c r="AR1444" s="4" t="s">
        <v>54</v>
      </c>
      <c r="AS1444" s="5">
        <v>5731</v>
      </c>
      <c r="AT1444" t="s">
        <v>47</v>
      </c>
    </row>
    <row r="1445" spans="1:46" ht="13" x14ac:dyDescent="0.3">
      <c r="A1445" s="4" t="s">
        <v>5533</v>
      </c>
      <c r="B1445" t="s">
        <v>47</v>
      </c>
      <c r="C1445" s="4" t="s">
        <v>1529</v>
      </c>
      <c r="D1445" s="4" t="s">
        <v>70</v>
      </c>
      <c r="E1445" s="4" t="s">
        <v>49</v>
      </c>
      <c r="F1445" s="5" t="s">
        <v>5534</v>
      </c>
      <c r="G1445" s="5" t="s">
        <v>5535</v>
      </c>
      <c r="H1445" t="s">
        <v>47</v>
      </c>
      <c r="I1445" t="s">
        <v>47</v>
      </c>
      <c r="J1445" t="s">
        <v>47</v>
      </c>
      <c r="K1445" t="s">
        <v>47</v>
      </c>
      <c r="L1445" s="5" t="s">
        <v>60</v>
      </c>
      <c r="M1445" t="s">
        <v>47</v>
      </c>
      <c r="N1445" t="s">
        <v>47</v>
      </c>
      <c r="O1445" t="s">
        <v>47</v>
      </c>
      <c r="P1445" t="s">
        <v>47</v>
      </c>
      <c r="Q1445" t="s">
        <v>47</v>
      </c>
      <c r="R1445" t="s">
        <v>47</v>
      </c>
      <c r="S1445" t="s">
        <v>47</v>
      </c>
      <c r="T1445" t="s">
        <v>47</v>
      </c>
      <c r="U1445" t="s">
        <v>47</v>
      </c>
      <c r="V1445" t="s">
        <v>47</v>
      </c>
      <c r="W1445" s="3">
        <v>35977</v>
      </c>
      <c r="X1445" s="3">
        <v>45170</v>
      </c>
      <c r="Y1445" t="s">
        <v>47</v>
      </c>
      <c r="Z1445" s="3">
        <v>35977</v>
      </c>
      <c r="AA1445" s="3">
        <v>45170</v>
      </c>
      <c r="AB1445" t="s">
        <v>47</v>
      </c>
      <c r="AC1445" s="3">
        <v>38078</v>
      </c>
      <c r="AD1445" s="3">
        <v>42795</v>
      </c>
      <c r="AE1445" t="s">
        <v>47</v>
      </c>
      <c r="AF1445" t="s">
        <v>47</v>
      </c>
      <c r="AG1445" t="s">
        <v>47</v>
      </c>
      <c r="AH1445" t="s">
        <v>47</v>
      </c>
      <c r="AI1445" t="s">
        <v>47</v>
      </c>
      <c r="AJ1445" t="s">
        <v>47</v>
      </c>
      <c r="AK1445" t="s">
        <v>47</v>
      </c>
      <c r="AL1445" t="s">
        <v>47</v>
      </c>
      <c r="AM1445" t="s">
        <v>47</v>
      </c>
      <c r="AN1445" t="s">
        <v>47</v>
      </c>
      <c r="AO1445" s="5" t="s">
        <v>60</v>
      </c>
      <c r="AP1445" s="4" t="s">
        <v>61</v>
      </c>
      <c r="AQ1445" s="4" t="s">
        <v>53</v>
      </c>
      <c r="AR1445" s="4" t="s">
        <v>483</v>
      </c>
      <c r="AS1445" s="5">
        <v>31230</v>
      </c>
      <c r="AT1445" t="s">
        <v>47</v>
      </c>
    </row>
    <row r="1446" spans="1:46" ht="26" x14ac:dyDescent="0.3">
      <c r="A1446" s="4" t="s">
        <v>5536</v>
      </c>
      <c r="B1446" t="s">
        <v>47</v>
      </c>
      <c r="C1446" s="4" t="s">
        <v>4664</v>
      </c>
      <c r="D1446" s="4" t="s">
        <v>217</v>
      </c>
      <c r="E1446" s="4" t="s">
        <v>49</v>
      </c>
      <c r="F1446" t="s">
        <v>47</v>
      </c>
      <c r="G1446" s="5" t="s">
        <v>5537</v>
      </c>
      <c r="H1446" t="s">
        <v>47</v>
      </c>
      <c r="I1446" s="3">
        <v>42736</v>
      </c>
      <c r="J1446" s="3">
        <v>43586</v>
      </c>
      <c r="K1446" t="s">
        <v>47</v>
      </c>
      <c r="L1446" s="5" t="s">
        <v>60</v>
      </c>
      <c r="M1446" s="3">
        <v>42736</v>
      </c>
      <c r="N1446" s="3">
        <v>43586</v>
      </c>
      <c r="O1446" t="s">
        <v>47</v>
      </c>
      <c r="P1446" s="3">
        <v>42736</v>
      </c>
      <c r="Q1446" s="3">
        <v>43586</v>
      </c>
      <c r="R1446" t="s">
        <v>47</v>
      </c>
      <c r="S1446" t="s">
        <v>47</v>
      </c>
      <c r="T1446" t="s">
        <v>47</v>
      </c>
      <c r="U1446" t="s">
        <v>47</v>
      </c>
      <c r="V1446" t="s">
        <v>47</v>
      </c>
      <c r="W1446" s="3">
        <v>42736</v>
      </c>
      <c r="X1446" s="3">
        <v>43586</v>
      </c>
      <c r="Y1446" t="s">
        <v>47</v>
      </c>
      <c r="Z1446" s="3">
        <v>42736</v>
      </c>
      <c r="AA1446" s="3">
        <v>43586</v>
      </c>
      <c r="AB1446" t="s">
        <v>47</v>
      </c>
      <c r="AC1446" s="3">
        <v>42736</v>
      </c>
      <c r="AD1446" s="3">
        <v>43586</v>
      </c>
      <c r="AE1446" t="s">
        <v>47</v>
      </c>
      <c r="AF1446" t="s">
        <v>47</v>
      </c>
      <c r="AG1446" t="s">
        <v>47</v>
      </c>
      <c r="AH1446" t="s">
        <v>47</v>
      </c>
      <c r="AI1446" t="s">
        <v>47</v>
      </c>
      <c r="AJ1446" t="s">
        <v>47</v>
      </c>
      <c r="AK1446" t="s">
        <v>47</v>
      </c>
      <c r="AL1446" t="s">
        <v>47</v>
      </c>
      <c r="AM1446" t="s">
        <v>47</v>
      </c>
      <c r="AN1446" t="s">
        <v>47</v>
      </c>
      <c r="AO1446" s="5" t="s">
        <v>60</v>
      </c>
      <c r="AP1446" s="4" t="s">
        <v>61</v>
      </c>
      <c r="AQ1446" s="4" t="s">
        <v>53</v>
      </c>
      <c r="AR1446" s="4" t="s">
        <v>807</v>
      </c>
      <c r="AS1446" s="5">
        <v>2045596</v>
      </c>
      <c r="AT1446" t="s">
        <v>47</v>
      </c>
    </row>
    <row r="1447" spans="1:46" ht="78" x14ac:dyDescent="0.3">
      <c r="A1447" s="4" t="s">
        <v>5538</v>
      </c>
      <c r="B1447" t="s">
        <v>47</v>
      </c>
      <c r="C1447" s="4" t="s">
        <v>64</v>
      </c>
      <c r="D1447" s="4" t="s">
        <v>139</v>
      </c>
      <c r="E1447" s="4" t="s">
        <v>66</v>
      </c>
      <c r="F1447" s="5" t="s">
        <v>5539</v>
      </c>
      <c r="G1447" s="5" t="s">
        <v>5540</v>
      </c>
      <c r="H1447" t="s">
        <v>47</v>
      </c>
      <c r="I1447" t="s">
        <v>47</v>
      </c>
      <c r="J1447" t="s">
        <v>47</v>
      </c>
      <c r="K1447" t="s">
        <v>47</v>
      </c>
      <c r="L1447" s="5" t="s">
        <v>60</v>
      </c>
      <c r="M1447" t="s">
        <v>47</v>
      </c>
      <c r="N1447" t="s">
        <v>47</v>
      </c>
      <c r="O1447" t="s">
        <v>47</v>
      </c>
      <c r="P1447" t="s">
        <v>47</v>
      </c>
      <c r="Q1447" t="s">
        <v>47</v>
      </c>
      <c r="R1447" t="s">
        <v>47</v>
      </c>
      <c r="S1447" t="s">
        <v>47</v>
      </c>
      <c r="T1447" t="s">
        <v>47</v>
      </c>
      <c r="U1447" t="s">
        <v>47</v>
      </c>
      <c r="V1447" t="s">
        <v>47</v>
      </c>
      <c r="W1447" s="3">
        <v>37377</v>
      </c>
      <c r="X1447" s="5" t="s">
        <v>50</v>
      </c>
      <c r="Y1447" t="s">
        <v>47</v>
      </c>
      <c r="Z1447" s="3">
        <v>37377</v>
      </c>
      <c r="AA1447" s="5" t="s">
        <v>50</v>
      </c>
      <c r="AB1447" t="s">
        <v>47</v>
      </c>
      <c r="AC1447" s="3">
        <v>37377</v>
      </c>
      <c r="AD1447" s="5" t="s">
        <v>50</v>
      </c>
      <c r="AE1447" t="s">
        <v>47</v>
      </c>
      <c r="AF1447" t="s">
        <v>47</v>
      </c>
      <c r="AG1447" t="s">
        <v>47</v>
      </c>
      <c r="AH1447" t="s">
        <v>47</v>
      </c>
      <c r="AI1447" t="s">
        <v>47</v>
      </c>
      <c r="AJ1447" t="s">
        <v>47</v>
      </c>
      <c r="AK1447" t="s">
        <v>47</v>
      </c>
      <c r="AL1447" t="s">
        <v>47</v>
      </c>
      <c r="AM1447" t="s">
        <v>47</v>
      </c>
      <c r="AN1447" t="s">
        <v>47</v>
      </c>
      <c r="AO1447" s="5" t="s">
        <v>60</v>
      </c>
      <c r="AP1447" s="4" t="s">
        <v>61</v>
      </c>
      <c r="AQ1447" s="4" t="s">
        <v>53</v>
      </c>
      <c r="AR1447" s="4" t="s">
        <v>3373</v>
      </c>
      <c r="AS1447" s="5">
        <v>32995</v>
      </c>
      <c r="AT1447" t="s">
        <v>47</v>
      </c>
    </row>
    <row r="1448" spans="1:46" ht="13" x14ac:dyDescent="0.3">
      <c r="A1448" s="4" t="s">
        <v>5541</v>
      </c>
      <c r="B1448" t="s">
        <v>47</v>
      </c>
      <c r="C1448" s="4" t="s">
        <v>169</v>
      </c>
      <c r="D1448" s="4" t="s">
        <v>217</v>
      </c>
      <c r="E1448" s="4" t="s">
        <v>66</v>
      </c>
      <c r="F1448" s="5" t="s">
        <v>5542</v>
      </c>
      <c r="G1448" s="5" t="s">
        <v>5543</v>
      </c>
      <c r="H1448" t="s">
        <v>47</v>
      </c>
      <c r="I1448" s="3">
        <v>36039</v>
      </c>
      <c r="J1448" s="3">
        <v>44562</v>
      </c>
      <c r="K1448" t="s">
        <v>47</v>
      </c>
      <c r="L1448" s="5" t="s">
        <v>60</v>
      </c>
      <c r="M1448" s="3">
        <v>36039</v>
      </c>
      <c r="N1448" s="3">
        <v>44562</v>
      </c>
      <c r="O1448" t="s">
        <v>47</v>
      </c>
      <c r="P1448" s="3">
        <v>36039</v>
      </c>
      <c r="Q1448" s="3">
        <v>44562</v>
      </c>
      <c r="R1448" t="s">
        <v>47</v>
      </c>
      <c r="S1448" t="s">
        <v>47</v>
      </c>
      <c r="T1448" t="s">
        <v>47</v>
      </c>
      <c r="U1448" t="s">
        <v>47</v>
      </c>
      <c r="V1448" t="s">
        <v>47</v>
      </c>
      <c r="W1448" s="3">
        <v>36039</v>
      </c>
      <c r="X1448" s="5" t="s">
        <v>50</v>
      </c>
      <c r="Y1448" t="s">
        <v>47</v>
      </c>
      <c r="Z1448" s="3">
        <v>36039</v>
      </c>
      <c r="AA1448" s="5" t="s">
        <v>50</v>
      </c>
      <c r="AB1448" t="s">
        <v>47</v>
      </c>
      <c r="AC1448" s="3">
        <v>38047</v>
      </c>
      <c r="AD1448" s="5" t="s">
        <v>50</v>
      </c>
      <c r="AE1448" t="s">
        <v>47</v>
      </c>
      <c r="AF1448" t="s">
        <v>47</v>
      </c>
      <c r="AG1448" t="s">
        <v>47</v>
      </c>
      <c r="AH1448" t="s">
        <v>47</v>
      </c>
      <c r="AI1448" t="s">
        <v>47</v>
      </c>
      <c r="AJ1448" t="s">
        <v>47</v>
      </c>
      <c r="AK1448" t="s">
        <v>47</v>
      </c>
      <c r="AL1448" t="s">
        <v>47</v>
      </c>
      <c r="AM1448" t="s">
        <v>47</v>
      </c>
      <c r="AN1448" t="s">
        <v>47</v>
      </c>
      <c r="AO1448" s="5" t="s">
        <v>60</v>
      </c>
      <c r="AP1448" s="4" t="s">
        <v>61</v>
      </c>
      <c r="AQ1448" s="4" t="s">
        <v>53</v>
      </c>
      <c r="AR1448" s="4" t="s">
        <v>483</v>
      </c>
      <c r="AS1448" s="5">
        <v>48217</v>
      </c>
      <c r="AT1448" t="s">
        <v>47</v>
      </c>
    </row>
    <row r="1449" spans="1:46" ht="117" x14ac:dyDescent="0.3">
      <c r="A1449" s="4" t="s">
        <v>5544</v>
      </c>
      <c r="B1449" t="s">
        <v>47</v>
      </c>
      <c r="C1449" s="4" t="s">
        <v>200</v>
      </c>
      <c r="D1449" s="4" t="s">
        <v>1168</v>
      </c>
      <c r="E1449" s="4" t="s">
        <v>66</v>
      </c>
      <c r="F1449" s="5" t="s">
        <v>5545</v>
      </c>
      <c r="G1449" s="5" t="s">
        <v>5546</v>
      </c>
      <c r="H1449" t="s">
        <v>47</v>
      </c>
      <c r="I1449" s="3">
        <v>33604</v>
      </c>
      <c r="J1449" s="3">
        <v>38687</v>
      </c>
      <c r="K1449" t="s">
        <v>47</v>
      </c>
      <c r="L1449" s="5" t="s">
        <v>60</v>
      </c>
      <c r="M1449" s="3">
        <v>34973</v>
      </c>
      <c r="N1449" s="3">
        <v>38687</v>
      </c>
      <c r="O1449" t="s">
        <v>47</v>
      </c>
      <c r="P1449" s="3">
        <v>33604</v>
      </c>
      <c r="Q1449" s="3">
        <v>38687</v>
      </c>
      <c r="R1449" t="s">
        <v>47</v>
      </c>
      <c r="S1449" t="s">
        <v>47</v>
      </c>
      <c r="T1449" t="s">
        <v>47</v>
      </c>
      <c r="U1449" t="s">
        <v>47</v>
      </c>
      <c r="V1449" t="s">
        <v>47</v>
      </c>
      <c r="W1449" s="3">
        <v>32509</v>
      </c>
      <c r="X1449" s="5" t="s">
        <v>50</v>
      </c>
      <c r="Y1449" t="s">
        <v>47</v>
      </c>
      <c r="Z1449" s="3">
        <v>32509</v>
      </c>
      <c r="AA1449" s="5" t="s">
        <v>50</v>
      </c>
      <c r="AB1449" t="s">
        <v>47</v>
      </c>
      <c r="AC1449" s="3">
        <v>32509</v>
      </c>
      <c r="AD1449" s="5" t="s">
        <v>50</v>
      </c>
      <c r="AE1449" t="s">
        <v>47</v>
      </c>
      <c r="AF1449" t="s">
        <v>47</v>
      </c>
      <c r="AG1449" t="s">
        <v>47</v>
      </c>
      <c r="AH1449" t="s">
        <v>47</v>
      </c>
      <c r="AI1449" t="s">
        <v>47</v>
      </c>
      <c r="AJ1449" t="s">
        <v>47</v>
      </c>
      <c r="AK1449" t="s">
        <v>47</v>
      </c>
      <c r="AL1449" t="s">
        <v>47</v>
      </c>
      <c r="AM1449" t="s">
        <v>47</v>
      </c>
      <c r="AN1449" t="s">
        <v>47</v>
      </c>
      <c r="AO1449" s="5" t="s">
        <v>60</v>
      </c>
      <c r="AP1449" s="4" t="s">
        <v>61</v>
      </c>
      <c r="AQ1449" s="4" t="s">
        <v>53</v>
      </c>
      <c r="AR1449" s="4" t="s">
        <v>2872</v>
      </c>
      <c r="AS1449" s="5">
        <v>41443</v>
      </c>
      <c r="AT1449" t="s">
        <v>47</v>
      </c>
    </row>
    <row r="1450" spans="1:46" ht="91" x14ac:dyDescent="0.3">
      <c r="A1450" s="4" t="s">
        <v>5547</v>
      </c>
      <c r="B1450" t="s">
        <v>47</v>
      </c>
      <c r="C1450" s="4" t="s">
        <v>1240</v>
      </c>
      <c r="D1450" s="4" t="s">
        <v>1241</v>
      </c>
      <c r="E1450" s="4" t="s">
        <v>49</v>
      </c>
      <c r="F1450" s="5" t="s">
        <v>5548</v>
      </c>
      <c r="G1450" s="5" t="s">
        <v>5549</v>
      </c>
      <c r="H1450" t="s">
        <v>47</v>
      </c>
      <c r="I1450" s="3">
        <v>35827</v>
      </c>
      <c r="J1450" s="3">
        <v>40725</v>
      </c>
      <c r="K1450" t="s">
        <v>47</v>
      </c>
      <c r="L1450" s="5" t="s">
        <v>51</v>
      </c>
      <c r="M1450" s="3">
        <v>35827</v>
      </c>
      <c r="N1450" s="3">
        <v>40725</v>
      </c>
      <c r="O1450" t="s">
        <v>47</v>
      </c>
      <c r="P1450" s="3">
        <v>35827</v>
      </c>
      <c r="Q1450" s="3">
        <v>40725</v>
      </c>
      <c r="R1450" t="s">
        <v>47</v>
      </c>
      <c r="S1450" t="s">
        <v>47</v>
      </c>
      <c r="T1450" t="s">
        <v>47</v>
      </c>
      <c r="U1450" t="s">
        <v>47</v>
      </c>
      <c r="V1450" t="s">
        <v>47</v>
      </c>
      <c r="W1450" s="3">
        <v>35827</v>
      </c>
      <c r="X1450" s="3">
        <v>40725</v>
      </c>
      <c r="Y1450" t="s">
        <v>47</v>
      </c>
      <c r="Z1450" s="3">
        <v>35827</v>
      </c>
      <c r="AA1450" s="3">
        <v>40725</v>
      </c>
      <c r="AB1450" t="s">
        <v>47</v>
      </c>
      <c r="AC1450" s="3">
        <v>35886</v>
      </c>
      <c r="AD1450" s="3">
        <v>40725</v>
      </c>
      <c r="AE1450" t="s">
        <v>47</v>
      </c>
      <c r="AF1450" t="s">
        <v>47</v>
      </c>
      <c r="AG1450" t="s">
        <v>47</v>
      </c>
      <c r="AH1450" t="s">
        <v>47</v>
      </c>
      <c r="AI1450" t="s">
        <v>47</v>
      </c>
      <c r="AJ1450" t="s">
        <v>47</v>
      </c>
      <c r="AK1450" t="s">
        <v>47</v>
      </c>
      <c r="AL1450" t="s">
        <v>47</v>
      </c>
      <c r="AM1450" t="s">
        <v>47</v>
      </c>
      <c r="AN1450" t="s">
        <v>47</v>
      </c>
      <c r="AO1450" s="5" t="s">
        <v>51</v>
      </c>
      <c r="AP1450" s="4" t="s">
        <v>85</v>
      </c>
      <c r="AQ1450" s="4" t="s">
        <v>53</v>
      </c>
      <c r="AR1450" s="4" t="s">
        <v>4601</v>
      </c>
      <c r="AS1450" s="5">
        <v>12157</v>
      </c>
      <c r="AT1450" t="s">
        <v>47</v>
      </c>
    </row>
    <row r="1451" spans="1:46" ht="13" x14ac:dyDescent="0.3">
      <c r="A1451" s="4" t="s">
        <v>5550</v>
      </c>
      <c r="B1451" t="s">
        <v>47</v>
      </c>
      <c r="C1451" s="4" t="s">
        <v>115</v>
      </c>
      <c r="D1451" s="4" t="s">
        <v>3460</v>
      </c>
      <c r="E1451" s="4" t="s">
        <v>66</v>
      </c>
      <c r="F1451" s="5" t="s">
        <v>5551</v>
      </c>
      <c r="G1451" t="s">
        <v>47</v>
      </c>
      <c r="H1451" t="s">
        <v>47</v>
      </c>
      <c r="I1451" s="3">
        <v>42826</v>
      </c>
      <c r="J1451" s="5" t="s">
        <v>50</v>
      </c>
      <c r="K1451" t="s">
        <v>47</v>
      </c>
      <c r="L1451" s="5" t="s">
        <v>60</v>
      </c>
      <c r="M1451" s="3">
        <v>42826</v>
      </c>
      <c r="N1451" s="5" t="s">
        <v>50</v>
      </c>
      <c r="O1451" t="s">
        <v>47</v>
      </c>
      <c r="P1451" s="3">
        <v>42826</v>
      </c>
      <c r="Q1451" s="5" t="s">
        <v>50</v>
      </c>
      <c r="R1451" t="s">
        <v>47</v>
      </c>
      <c r="S1451" t="s">
        <v>47</v>
      </c>
      <c r="T1451" t="s">
        <v>47</v>
      </c>
      <c r="U1451" t="s">
        <v>47</v>
      </c>
      <c r="V1451" t="s">
        <v>47</v>
      </c>
      <c r="W1451" s="3">
        <v>42826</v>
      </c>
      <c r="X1451" s="5" t="s">
        <v>50</v>
      </c>
      <c r="Y1451" t="s">
        <v>47</v>
      </c>
      <c r="Z1451" s="3">
        <v>42826</v>
      </c>
      <c r="AA1451" s="5" t="s">
        <v>50</v>
      </c>
      <c r="AB1451" t="s">
        <v>47</v>
      </c>
      <c r="AC1451" s="3">
        <v>42826</v>
      </c>
      <c r="AD1451" s="5" t="s">
        <v>50</v>
      </c>
      <c r="AE1451" t="s">
        <v>47</v>
      </c>
      <c r="AF1451" t="s">
        <v>47</v>
      </c>
      <c r="AG1451" t="s">
        <v>47</v>
      </c>
      <c r="AH1451" t="s">
        <v>47</v>
      </c>
      <c r="AI1451" t="s">
        <v>47</v>
      </c>
      <c r="AJ1451" t="s">
        <v>47</v>
      </c>
      <c r="AK1451" t="s">
        <v>47</v>
      </c>
      <c r="AL1451" t="s">
        <v>47</v>
      </c>
      <c r="AM1451" t="s">
        <v>47</v>
      </c>
      <c r="AN1451" t="s">
        <v>47</v>
      </c>
      <c r="AO1451" s="5" t="s">
        <v>51</v>
      </c>
      <c r="AP1451" s="4" t="s">
        <v>61</v>
      </c>
      <c r="AQ1451" s="4" t="s">
        <v>53</v>
      </c>
      <c r="AR1451" s="4" t="s">
        <v>54</v>
      </c>
      <c r="AS1451" s="5">
        <v>4527887</v>
      </c>
      <c r="AT1451" t="s">
        <v>47</v>
      </c>
    </row>
    <row r="1452" spans="1:46" ht="13" x14ac:dyDescent="0.3">
      <c r="A1452" s="4" t="s">
        <v>5552</v>
      </c>
      <c r="B1452" t="s">
        <v>47</v>
      </c>
      <c r="C1452" s="4" t="s">
        <v>5553</v>
      </c>
      <c r="D1452" s="4" t="s">
        <v>2328</v>
      </c>
      <c r="E1452" s="4" t="s">
        <v>49</v>
      </c>
      <c r="F1452" s="5" t="s">
        <v>5554</v>
      </c>
      <c r="G1452" t="s">
        <v>47</v>
      </c>
      <c r="H1452" t="s">
        <v>47</v>
      </c>
      <c r="I1452" t="s">
        <v>47</v>
      </c>
      <c r="J1452" t="s">
        <v>47</v>
      </c>
      <c r="K1452" t="s">
        <v>47</v>
      </c>
      <c r="L1452" s="5" t="s">
        <v>51</v>
      </c>
      <c r="M1452" t="s">
        <v>47</v>
      </c>
      <c r="N1452" t="s">
        <v>47</v>
      </c>
      <c r="O1452" t="s">
        <v>47</v>
      </c>
      <c r="P1452" t="s">
        <v>47</v>
      </c>
      <c r="Q1452" t="s">
        <v>47</v>
      </c>
      <c r="R1452" t="s">
        <v>47</v>
      </c>
      <c r="S1452" t="s">
        <v>47</v>
      </c>
      <c r="T1452" t="s">
        <v>47</v>
      </c>
      <c r="U1452" t="s">
        <v>47</v>
      </c>
      <c r="V1452" t="s">
        <v>47</v>
      </c>
      <c r="W1452" s="3">
        <v>34943</v>
      </c>
      <c r="X1452" s="3">
        <v>37377</v>
      </c>
      <c r="Y1452" t="s">
        <v>47</v>
      </c>
      <c r="Z1452" s="3">
        <v>34943</v>
      </c>
      <c r="AA1452" s="3">
        <v>37377</v>
      </c>
      <c r="AB1452" t="s">
        <v>47</v>
      </c>
      <c r="AC1452" s="3">
        <v>34943</v>
      </c>
      <c r="AD1452" s="3">
        <v>37377</v>
      </c>
      <c r="AE1452" t="s">
        <v>47</v>
      </c>
      <c r="AF1452" t="s">
        <v>47</v>
      </c>
      <c r="AG1452" t="s">
        <v>47</v>
      </c>
      <c r="AH1452" t="s">
        <v>47</v>
      </c>
      <c r="AI1452" t="s">
        <v>47</v>
      </c>
      <c r="AJ1452" t="s">
        <v>47</v>
      </c>
      <c r="AK1452" t="s">
        <v>47</v>
      </c>
      <c r="AL1452" t="s">
        <v>47</v>
      </c>
      <c r="AM1452" t="s">
        <v>47</v>
      </c>
      <c r="AN1452" t="s">
        <v>47</v>
      </c>
      <c r="AO1452" s="5" t="s">
        <v>51</v>
      </c>
      <c r="AP1452" s="4" t="s">
        <v>85</v>
      </c>
      <c r="AQ1452" s="4" t="s">
        <v>53</v>
      </c>
      <c r="AR1452" s="4" t="s">
        <v>54</v>
      </c>
      <c r="AS1452" s="5">
        <v>33335</v>
      </c>
      <c r="AT1452" t="s">
        <v>47</v>
      </c>
    </row>
    <row r="1453" spans="1:46" ht="26" x14ac:dyDescent="0.3">
      <c r="A1453" s="4" t="s">
        <v>5555</v>
      </c>
      <c r="B1453" t="s">
        <v>47</v>
      </c>
      <c r="C1453" s="4" t="s">
        <v>222</v>
      </c>
      <c r="D1453" s="4" t="s">
        <v>223</v>
      </c>
      <c r="E1453" s="4" t="s">
        <v>49</v>
      </c>
      <c r="F1453" s="5" t="s">
        <v>5556</v>
      </c>
      <c r="G1453" t="s">
        <v>47</v>
      </c>
      <c r="H1453" t="s">
        <v>47</v>
      </c>
      <c r="I1453" s="3">
        <v>36404</v>
      </c>
      <c r="J1453" s="3">
        <v>36647</v>
      </c>
      <c r="K1453" t="s">
        <v>47</v>
      </c>
      <c r="L1453" s="5" t="s">
        <v>51</v>
      </c>
      <c r="M1453" s="3">
        <v>36404</v>
      </c>
      <c r="N1453" s="3">
        <v>36647</v>
      </c>
      <c r="O1453" t="s">
        <v>47</v>
      </c>
      <c r="P1453" s="3">
        <v>36404</v>
      </c>
      <c r="Q1453" s="3">
        <v>36647</v>
      </c>
      <c r="R1453" t="s">
        <v>47</v>
      </c>
      <c r="S1453" t="s">
        <v>47</v>
      </c>
      <c r="T1453" t="s">
        <v>47</v>
      </c>
      <c r="U1453" t="s">
        <v>47</v>
      </c>
      <c r="V1453" t="s">
        <v>47</v>
      </c>
      <c r="W1453" s="3">
        <v>36404</v>
      </c>
      <c r="X1453" s="3">
        <v>36647</v>
      </c>
      <c r="Y1453" t="s">
        <v>47</v>
      </c>
      <c r="Z1453" s="3">
        <v>36404</v>
      </c>
      <c r="AA1453" s="3">
        <v>36647</v>
      </c>
      <c r="AB1453" t="s">
        <v>47</v>
      </c>
      <c r="AC1453" t="s">
        <v>47</v>
      </c>
      <c r="AD1453" t="s">
        <v>47</v>
      </c>
      <c r="AE1453" t="s">
        <v>47</v>
      </c>
      <c r="AF1453" t="s">
        <v>47</v>
      </c>
      <c r="AG1453" t="s">
        <v>47</v>
      </c>
      <c r="AH1453" t="s">
        <v>47</v>
      </c>
      <c r="AI1453" t="s">
        <v>47</v>
      </c>
      <c r="AJ1453" t="s">
        <v>47</v>
      </c>
      <c r="AK1453" t="s">
        <v>47</v>
      </c>
      <c r="AL1453" t="s">
        <v>47</v>
      </c>
      <c r="AM1453" t="s">
        <v>47</v>
      </c>
      <c r="AN1453" t="s">
        <v>47</v>
      </c>
      <c r="AO1453" s="5" t="s">
        <v>51</v>
      </c>
      <c r="AP1453" s="4" t="s">
        <v>85</v>
      </c>
      <c r="AQ1453" s="4" t="s">
        <v>53</v>
      </c>
      <c r="AR1453" s="4" t="s">
        <v>54</v>
      </c>
      <c r="AS1453" s="5">
        <v>46540</v>
      </c>
      <c r="AT1453" t="s">
        <v>47</v>
      </c>
    </row>
    <row r="1454" spans="1:46" ht="91" x14ac:dyDescent="0.3">
      <c r="A1454" s="4" t="s">
        <v>5557</v>
      </c>
      <c r="B1454" t="s">
        <v>47</v>
      </c>
      <c r="C1454" s="4" t="s">
        <v>5558</v>
      </c>
      <c r="D1454" s="4" t="s">
        <v>88</v>
      </c>
      <c r="E1454" s="4" t="s">
        <v>49</v>
      </c>
      <c r="F1454" s="5" t="s">
        <v>5559</v>
      </c>
      <c r="G1454" s="5" t="s">
        <v>5560</v>
      </c>
      <c r="H1454" t="s">
        <v>47</v>
      </c>
      <c r="I1454" s="3">
        <v>32143</v>
      </c>
      <c r="J1454" s="3">
        <v>38709</v>
      </c>
      <c r="K1454" t="s">
        <v>47</v>
      </c>
      <c r="L1454" s="5" t="s">
        <v>60</v>
      </c>
      <c r="M1454" s="3">
        <v>33606</v>
      </c>
      <c r="N1454" s="3">
        <v>38709</v>
      </c>
      <c r="O1454" t="s">
        <v>47</v>
      </c>
      <c r="P1454" s="3">
        <v>32143</v>
      </c>
      <c r="Q1454" s="3">
        <v>38709</v>
      </c>
      <c r="R1454" t="s">
        <v>47</v>
      </c>
      <c r="S1454" t="s">
        <v>47</v>
      </c>
      <c r="T1454" t="s">
        <v>47</v>
      </c>
      <c r="U1454" t="s">
        <v>47</v>
      </c>
      <c r="V1454" t="s">
        <v>47</v>
      </c>
      <c r="W1454" s="3">
        <v>31415</v>
      </c>
      <c r="X1454" s="5" t="s">
        <v>50</v>
      </c>
      <c r="Y1454" t="s">
        <v>47</v>
      </c>
      <c r="Z1454" s="3">
        <v>31415</v>
      </c>
      <c r="AA1454" s="5" t="s">
        <v>50</v>
      </c>
      <c r="AB1454" t="s">
        <v>47</v>
      </c>
      <c r="AC1454" s="3">
        <v>31415</v>
      </c>
      <c r="AD1454" s="5" t="s">
        <v>50</v>
      </c>
      <c r="AE1454" t="s">
        <v>47</v>
      </c>
      <c r="AF1454" t="s">
        <v>47</v>
      </c>
      <c r="AG1454" t="s">
        <v>47</v>
      </c>
      <c r="AH1454" t="s">
        <v>47</v>
      </c>
      <c r="AI1454" t="s">
        <v>47</v>
      </c>
      <c r="AJ1454" t="s">
        <v>47</v>
      </c>
      <c r="AK1454" t="s">
        <v>47</v>
      </c>
      <c r="AL1454" t="s">
        <v>47</v>
      </c>
      <c r="AM1454" t="s">
        <v>47</v>
      </c>
      <c r="AN1454" t="s">
        <v>47</v>
      </c>
      <c r="AO1454" s="5" t="s">
        <v>60</v>
      </c>
      <c r="AP1454" s="4" t="s">
        <v>61</v>
      </c>
      <c r="AQ1454" s="4" t="s">
        <v>53</v>
      </c>
      <c r="AR1454" s="4" t="s">
        <v>2255</v>
      </c>
      <c r="AS1454" s="5">
        <v>1256</v>
      </c>
      <c r="AT1454" t="s">
        <v>47</v>
      </c>
    </row>
    <row r="1455" spans="1:46" ht="52" x14ac:dyDescent="0.3">
      <c r="A1455" s="4" t="s">
        <v>5561</v>
      </c>
      <c r="B1455" t="s">
        <v>47</v>
      </c>
      <c r="C1455" s="4" t="s">
        <v>519</v>
      </c>
      <c r="D1455" s="4" t="s">
        <v>88</v>
      </c>
      <c r="E1455" s="4" t="s">
        <v>49</v>
      </c>
      <c r="F1455" s="5" t="s">
        <v>5562</v>
      </c>
      <c r="G1455" s="5" t="s">
        <v>5563</v>
      </c>
      <c r="H1455" t="s">
        <v>47</v>
      </c>
      <c r="I1455" s="3">
        <v>35339</v>
      </c>
      <c r="J1455" s="3">
        <v>40452</v>
      </c>
      <c r="K1455" t="s">
        <v>47</v>
      </c>
      <c r="L1455" s="5" t="s">
        <v>60</v>
      </c>
      <c r="M1455" s="3">
        <v>35339</v>
      </c>
      <c r="N1455" s="3">
        <v>40452</v>
      </c>
      <c r="O1455" t="s">
        <v>47</v>
      </c>
      <c r="P1455" s="3">
        <v>35339</v>
      </c>
      <c r="Q1455" s="3">
        <v>40452</v>
      </c>
      <c r="R1455" t="s">
        <v>47</v>
      </c>
      <c r="S1455" t="s">
        <v>47</v>
      </c>
      <c r="T1455" t="s">
        <v>47</v>
      </c>
      <c r="U1455" t="s">
        <v>47</v>
      </c>
      <c r="V1455" t="s">
        <v>47</v>
      </c>
      <c r="W1455" s="3">
        <v>35339</v>
      </c>
      <c r="X1455" s="5" t="s">
        <v>50</v>
      </c>
      <c r="Y1455" s="5" t="s">
        <v>946</v>
      </c>
      <c r="Z1455" s="3">
        <v>35339</v>
      </c>
      <c r="AA1455" s="5" t="s">
        <v>50</v>
      </c>
      <c r="AB1455" s="5" t="s">
        <v>946</v>
      </c>
      <c r="AC1455" s="3">
        <v>36617</v>
      </c>
      <c r="AD1455" s="5" t="s">
        <v>50</v>
      </c>
      <c r="AE1455" s="5" t="s">
        <v>946</v>
      </c>
      <c r="AF1455" t="s">
        <v>47</v>
      </c>
      <c r="AG1455" t="s">
        <v>47</v>
      </c>
      <c r="AH1455" t="s">
        <v>47</v>
      </c>
      <c r="AI1455" t="s">
        <v>47</v>
      </c>
      <c r="AJ1455" t="s">
        <v>47</v>
      </c>
      <c r="AK1455" t="s">
        <v>47</v>
      </c>
      <c r="AL1455" t="s">
        <v>47</v>
      </c>
      <c r="AM1455" t="s">
        <v>47</v>
      </c>
      <c r="AN1455" t="s">
        <v>47</v>
      </c>
      <c r="AO1455" s="5" t="s">
        <v>60</v>
      </c>
      <c r="AP1455" s="4" t="s">
        <v>61</v>
      </c>
      <c r="AQ1455" s="4" t="s">
        <v>53</v>
      </c>
      <c r="AR1455" s="4" t="s">
        <v>539</v>
      </c>
      <c r="AS1455" s="5">
        <v>35290</v>
      </c>
      <c r="AT1455" t="s">
        <v>47</v>
      </c>
    </row>
    <row r="1456" spans="1:46" ht="104" x14ac:dyDescent="0.3">
      <c r="A1456" s="4" t="s">
        <v>5564</v>
      </c>
      <c r="B1456" t="s">
        <v>47</v>
      </c>
      <c r="C1456" s="4" t="s">
        <v>2478</v>
      </c>
      <c r="D1456" s="4" t="s">
        <v>70</v>
      </c>
      <c r="E1456" s="4" t="s">
        <v>49</v>
      </c>
      <c r="F1456" s="5" t="s">
        <v>5565</v>
      </c>
      <c r="G1456" s="5" t="s">
        <v>5566</v>
      </c>
      <c r="H1456" t="s">
        <v>47</v>
      </c>
      <c r="I1456" t="s">
        <v>47</v>
      </c>
      <c r="J1456" t="s">
        <v>47</v>
      </c>
      <c r="K1456" t="s">
        <v>47</v>
      </c>
      <c r="L1456" s="5" t="s">
        <v>60</v>
      </c>
      <c r="M1456" t="s">
        <v>47</v>
      </c>
      <c r="N1456" t="s">
        <v>47</v>
      </c>
      <c r="O1456" t="s">
        <v>47</v>
      </c>
      <c r="P1456" t="s">
        <v>47</v>
      </c>
      <c r="Q1456" t="s">
        <v>47</v>
      </c>
      <c r="R1456" t="s">
        <v>47</v>
      </c>
      <c r="S1456" t="s">
        <v>47</v>
      </c>
      <c r="T1456" t="s">
        <v>47</v>
      </c>
      <c r="U1456" t="s">
        <v>47</v>
      </c>
      <c r="V1456" t="s">
        <v>47</v>
      </c>
      <c r="W1456" s="3">
        <v>33604</v>
      </c>
      <c r="X1456" s="5" t="s">
        <v>50</v>
      </c>
      <c r="Y1456" t="s">
        <v>47</v>
      </c>
      <c r="Z1456" s="3">
        <v>33604</v>
      </c>
      <c r="AA1456" s="5" t="s">
        <v>50</v>
      </c>
      <c r="AB1456" t="s">
        <v>47</v>
      </c>
      <c r="AC1456" s="3">
        <v>33604</v>
      </c>
      <c r="AD1456" s="5" t="s">
        <v>50</v>
      </c>
      <c r="AE1456" t="s">
        <v>47</v>
      </c>
      <c r="AF1456" t="s">
        <v>47</v>
      </c>
      <c r="AG1456" t="s">
        <v>47</v>
      </c>
      <c r="AH1456" t="s">
        <v>47</v>
      </c>
      <c r="AI1456" t="s">
        <v>47</v>
      </c>
      <c r="AJ1456" t="s">
        <v>47</v>
      </c>
      <c r="AK1456" t="s">
        <v>47</v>
      </c>
      <c r="AL1456" t="s">
        <v>47</v>
      </c>
      <c r="AM1456" t="s">
        <v>47</v>
      </c>
      <c r="AN1456" t="s">
        <v>47</v>
      </c>
      <c r="AO1456" s="5" t="s">
        <v>60</v>
      </c>
      <c r="AP1456" s="4" t="s">
        <v>61</v>
      </c>
      <c r="AQ1456" s="4" t="s">
        <v>53</v>
      </c>
      <c r="AR1456" s="4" t="s">
        <v>557</v>
      </c>
      <c r="AS1456" s="5">
        <v>48964</v>
      </c>
      <c r="AT1456" t="s">
        <v>47</v>
      </c>
    </row>
    <row r="1457" spans="1:46" ht="104" x14ac:dyDescent="0.3">
      <c r="A1457" s="4" t="s">
        <v>5567</v>
      </c>
      <c r="B1457" t="s">
        <v>47</v>
      </c>
      <c r="C1457" s="4" t="s">
        <v>5568</v>
      </c>
      <c r="D1457" s="4" t="s">
        <v>5569</v>
      </c>
      <c r="E1457" s="4" t="s">
        <v>49</v>
      </c>
      <c r="F1457" s="5" t="s">
        <v>5570</v>
      </c>
      <c r="G1457" t="s">
        <v>47</v>
      </c>
      <c r="H1457" t="s">
        <v>47</v>
      </c>
      <c r="I1457" s="3">
        <v>37347</v>
      </c>
      <c r="J1457" s="5" t="s">
        <v>50</v>
      </c>
      <c r="K1457" t="s">
        <v>47</v>
      </c>
      <c r="L1457" s="5" t="s">
        <v>60</v>
      </c>
      <c r="M1457" s="3">
        <v>37347</v>
      </c>
      <c r="N1457" s="5" t="s">
        <v>50</v>
      </c>
      <c r="O1457" t="s">
        <v>47</v>
      </c>
      <c r="P1457" s="3">
        <v>37347</v>
      </c>
      <c r="Q1457" s="5" t="s">
        <v>50</v>
      </c>
      <c r="R1457" t="s">
        <v>47</v>
      </c>
      <c r="S1457" t="s">
        <v>47</v>
      </c>
      <c r="T1457" t="s">
        <v>47</v>
      </c>
      <c r="U1457" t="s">
        <v>47</v>
      </c>
      <c r="V1457" t="s">
        <v>47</v>
      </c>
      <c r="W1457" s="3">
        <v>37347</v>
      </c>
      <c r="X1457" s="5" t="s">
        <v>50</v>
      </c>
      <c r="Y1457" t="s">
        <v>47</v>
      </c>
      <c r="Z1457" s="3">
        <v>37347</v>
      </c>
      <c r="AA1457" s="5" t="s">
        <v>50</v>
      </c>
      <c r="AB1457" t="s">
        <v>47</v>
      </c>
      <c r="AC1457" s="3">
        <v>38078</v>
      </c>
      <c r="AD1457" s="5" t="s">
        <v>50</v>
      </c>
      <c r="AE1457" t="s">
        <v>47</v>
      </c>
      <c r="AF1457" t="s">
        <v>47</v>
      </c>
      <c r="AG1457" t="s">
        <v>47</v>
      </c>
      <c r="AH1457" t="s">
        <v>47</v>
      </c>
      <c r="AI1457" t="s">
        <v>47</v>
      </c>
      <c r="AJ1457" t="s">
        <v>47</v>
      </c>
      <c r="AK1457" t="s">
        <v>47</v>
      </c>
      <c r="AL1457" t="s">
        <v>47</v>
      </c>
      <c r="AM1457" t="s">
        <v>47</v>
      </c>
      <c r="AN1457" t="s">
        <v>47</v>
      </c>
      <c r="AO1457" s="5" t="s">
        <v>60</v>
      </c>
      <c r="AP1457" s="4" t="s">
        <v>61</v>
      </c>
      <c r="AQ1457" s="4" t="s">
        <v>53</v>
      </c>
      <c r="AR1457" s="4" t="s">
        <v>557</v>
      </c>
      <c r="AS1457" s="5">
        <v>26548</v>
      </c>
      <c r="AT1457" t="s">
        <v>47</v>
      </c>
    </row>
    <row r="1458" spans="1:46" ht="39" x14ac:dyDescent="0.3">
      <c r="A1458" s="4" t="s">
        <v>5571</v>
      </c>
      <c r="B1458" t="s">
        <v>47</v>
      </c>
      <c r="C1458" s="4" t="s">
        <v>5572</v>
      </c>
      <c r="D1458" s="4" t="s">
        <v>88</v>
      </c>
      <c r="E1458" s="4" t="s">
        <v>49</v>
      </c>
      <c r="F1458" s="5" t="s">
        <v>5573</v>
      </c>
      <c r="G1458" s="5" t="s">
        <v>5574</v>
      </c>
      <c r="H1458" t="s">
        <v>47</v>
      </c>
      <c r="I1458" s="3">
        <v>33607</v>
      </c>
      <c r="J1458" s="3">
        <v>42112</v>
      </c>
      <c r="K1458" t="s">
        <v>47</v>
      </c>
      <c r="L1458" s="5" t="s">
        <v>51</v>
      </c>
      <c r="M1458" s="3">
        <v>33607</v>
      </c>
      <c r="N1458" s="3">
        <v>42112</v>
      </c>
      <c r="O1458" t="s">
        <v>47</v>
      </c>
      <c r="P1458" t="s">
        <v>47</v>
      </c>
      <c r="Q1458" t="s">
        <v>47</v>
      </c>
      <c r="R1458" t="s">
        <v>47</v>
      </c>
      <c r="S1458" t="s">
        <v>47</v>
      </c>
      <c r="T1458" t="s">
        <v>47</v>
      </c>
      <c r="U1458" t="s">
        <v>47</v>
      </c>
      <c r="V1458" t="s">
        <v>47</v>
      </c>
      <c r="W1458" s="3">
        <v>31416</v>
      </c>
      <c r="X1458" s="5" t="s">
        <v>50</v>
      </c>
      <c r="Y1458" t="s">
        <v>47</v>
      </c>
      <c r="Z1458" s="3">
        <v>31416</v>
      </c>
      <c r="AA1458" s="5" t="s">
        <v>50</v>
      </c>
      <c r="AB1458" t="s">
        <v>47</v>
      </c>
      <c r="AC1458" s="3">
        <v>31416</v>
      </c>
      <c r="AD1458" s="5" t="s">
        <v>50</v>
      </c>
      <c r="AE1458" t="s">
        <v>47</v>
      </c>
      <c r="AF1458" t="s">
        <v>47</v>
      </c>
      <c r="AG1458" t="s">
        <v>47</v>
      </c>
      <c r="AH1458" t="s">
        <v>47</v>
      </c>
      <c r="AI1458" t="s">
        <v>47</v>
      </c>
      <c r="AJ1458" t="s">
        <v>47</v>
      </c>
      <c r="AK1458" t="s">
        <v>47</v>
      </c>
      <c r="AL1458" t="s">
        <v>47</v>
      </c>
      <c r="AM1458" t="s">
        <v>47</v>
      </c>
      <c r="AN1458" t="s">
        <v>47</v>
      </c>
      <c r="AO1458" s="5" t="s">
        <v>51</v>
      </c>
      <c r="AP1458" s="4" t="s">
        <v>135</v>
      </c>
      <c r="AQ1458" s="4" t="s">
        <v>53</v>
      </c>
      <c r="AR1458" s="4" t="s">
        <v>619</v>
      </c>
      <c r="AS1458" s="5">
        <v>41423</v>
      </c>
      <c r="AT1458" t="s">
        <v>47</v>
      </c>
    </row>
    <row r="1459" spans="1:46" ht="104" x14ac:dyDescent="0.3">
      <c r="A1459" s="4" t="s">
        <v>5575</v>
      </c>
      <c r="B1459" t="s">
        <v>47</v>
      </c>
      <c r="C1459" s="4" t="s">
        <v>3386</v>
      </c>
      <c r="D1459" s="4" t="s">
        <v>88</v>
      </c>
      <c r="E1459" s="4" t="s">
        <v>49</v>
      </c>
      <c r="F1459" s="5" t="s">
        <v>5576</v>
      </c>
      <c r="G1459" s="5" t="s">
        <v>5577</v>
      </c>
      <c r="H1459" t="s">
        <v>47</v>
      </c>
      <c r="I1459" s="3">
        <v>35551</v>
      </c>
      <c r="J1459" s="5" t="s">
        <v>50</v>
      </c>
      <c r="K1459" t="s">
        <v>47</v>
      </c>
      <c r="L1459" s="5" t="s">
        <v>60</v>
      </c>
      <c r="M1459" s="3">
        <v>42979</v>
      </c>
      <c r="N1459" s="5" t="s">
        <v>50</v>
      </c>
      <c r="O1459" t="s">
        <v>47</v>
      </c>
      <c r="P1459" s="3">
        <v>35551</v>
      </c>
      <c r="Q1459" s="5" t="s">
        <v>50</v>
      </c>
      <c r="R1459" t="s">
        <v>47</v>
      </c>
      <c r="S1459" t="s">
        <v>47</v>
      </c>
      <c r="T1459" t="s">
        <v>47</v>
      </c>
      <c r="U1459" t="s">
        <v>47</v>
      </c>
      <c r="V1459" t="s">
        <v>47</v>
      </c>
      <c r="W1459" s="3">
        <v>35551</v>
      </c>
      <c r="X1459" s="5" t="s">
        <v>50</v>
      </c>
      <c r="Y1459" t="s">
        <v>47</v>
      </c>
      <c r="Z1459" s="3">
        <v>35551</v>
      </c>
      <c r="AA1459" s="5" t="s">
        <v>50</v>
      </c>
      <c r="AB1459" t="s">
        <v>47</v>
      </c>
      <c r="AC1459" s="3">
        <v>42979</v>
      </c>
      <c r="AD1459" s="5" t="s">
        <v>50</v>
      </c>
      <c r="AE1459" t="s">
        <v>47</v>
      </c>
      <c r="AF1459" t="s">
        <v>47</v>
      </c>
      <c r="AG1459" t="s">
        <v>47</v>
      </c>
      <c r="AH1459" t="s">
        <v>47</v>
      </c>
      <c r="AI1459" t="s">
        <v>47</v>
      </c>
      <c r="AJ1459" t="s">
        <v>47</v>
      </c>
      <c r="AK1459" t="s">
        <v>47</v>
      </c>
      <c r="AL1459" t="s">
        <v>47</v>
      </c>
      <c r="AM1459" t="s">
        <v>47</v>
      </c>
      <c r="AN1459" t="s">
        <v>47</v>
      </c>
      <c r="AO1459" s="5" t="s">
        <v>60</v>
      </c>
      <c r="AP1459" s="4" t="s">
        <v>61</v>
      </c>
      <c r="AQ1459" s="4" t="s">
        <v>53</v>
      </c>
      <c r="AR1459" s="4" t="s">
        <v>557</v>
      </c>
      <c r="AS1459" s="5">
        <v>36017</v>
      </c>
      <c r="AT1459" t="s">
        <v>47</v>
      </c>
    </row>
    <row r="1460" spans="1:46" ht="52" x14ac:dyDescent="0.3">
      <c r="A1460" s="4" t="s">
        <v>5578</v>
      </c>
      <c r="B1460" t="s">
        <v>47</v>
      </c>
      <c r="C1460" s="4" t="s">
        <v>3386</v>
      </c>
      <c r="D1460" s="4" t="s">
        <v>88</v>
      </c>
      <c r="E1460" s="4" t="s">
        <v>49</v>
      </c>
      <c r="F1460" s="5" t="s">
        <v>5579</v>
      </c>
      <c r="G1460" s="5" t="s">
        <v>5580</v>
      </c>
      <c r="H1460" t="s">
        <v>47</v>
      </c>
      <c r="I1460" s="3">
        <v>32568</v>
      </c>
      <c r="J1460" s="5" t="s">
        <v>50</v>
      </c>
      <c r="K1460" t="s">
        <v>47</v>
      </c>
      <c r="L1460" s="5" t="s">
        <v>60</v>
      </c>
      <c r="M1460" s="3">
        <v>35004</v>
      </c>
      <c r="N1460" s="5" t="s">
        <v>50</v>
      </c>
      <c r="O1460" s="5" t="s">
        <v>5581</v>
      </c>
      <c r="P1460" s="3">
        <v>32568</v>
      </c>
      <c r="Q1460" s="5" t="s">
        <v>50</v>
      </c>
      <c r="R1460" t="s">
        <v>47</v>
      </c>
      <c r="S1460" t="s">
        <v>47</v>
      </c>
      <c r="T1460" t="s">
        <v>47</v>
      </c>
      <c r="U1460" t="s">
        <v>47</v>
      </c>
      <c r="V1460" t="s">
        <v>47</v>
      </c>
      <c r="W1460" s="3">
        <v>32509</v>
      </c>
      <c r="X1460" s="5" t="s">
        <v>50</v>
      </c>
      <c r="Y1460" t="s">
        <v>47</v>
      </c>
      <c r="Z1460" s="3">
        <v>32509</v>
      </c>
      <c r="AA1460" s="5" t="s">
        <v>50</v>
      </c>
      <c r="AB1460" t="s">
        <v>47</v>
      </c>
      <c r="AC1460" s="3">
        <v>32509</v>
      </c>
      <c r="AD1460" s="5" t="s">
        <v>50</v>
      </c>
      <c r="AE1460" t="s">
        <v>47</v>
      </c>
      <c r="AF1460" t="s">
        <v>47</v>
      </c>
      <c r="AG1460" t="s">
        <v>47</v>
      </c>
      <c r="AH1460" t="s">
        <v>47</v>
      </c>
      <c r="AI1460" t="s">
        <v>47</v>
      </c>
      <c r="AJ1460" t="s">
        <v>47</v>
      </c>
      <c r="AK1460" t="s">
        <v>47</v>
      </c>
      <c r="AL1460" t="s">
        <v>47</v>
      </c>
      <c r="AM1460" t="s">
        <v>47</v>
      </c>
      <c r="AN1460" t="s">
        <v>47</v>
      </c>
      <c r="AO1460" s="5" t="s">
        <v>60</v>
      </c>
      <c r="AP1460" s="4" t="s">
        <v>61</v>
      </c>
      <c r="AQ1460" s="4" t="s">
        <v>53</v>
      </c>
      <c r="AR1460" s="4" t="s">
        <v>539</v>
      </c>
      <c r="AS1460" s="5">
        <v>40590</v>
      </c>
      <c r="AT1460" t="s">
        <v>47</v>
      </c>
    </row>
    <row r="1461" spans="1:46" ht="65" x14ac:dyDescent="0.3">
      <c r="A1461" s="4" t="s">
        <v>5582</v>
      </c>
      <c r="B1461" t="s">
        <v>47</v>
      </c>
      <c r="C1461" s="4" t="s">
        <v>1036</v>
      </c>
      <c r="D1461" s="4" t="s">
        <v>70</v>
      </c>
      <c r="E1461" s="4" t="s">
        <v>49</v>
      </c>
      <c r="F1461" s="5" t="s">
        <v>5583</v>
      </c>
      <c r="G1461" t="s">
        <v>47</v>
      </c>
      <c r="H1461" t="s">
        <v>47</v>
      </c>
      <c r="I1461" t="s">
        <v>47</v>
      </c>
      <c r="J1461" t="s">
        <v>47</v>
      </c>
      <c r="K1461" t="s">
        <v>47</v>
      </c>
      <c r="L1461" s="5" t="s">
        <v>51</v>
      </c>
      <c r="M1461" t="s">
        <v>47</v>
      </c>
      <c r="N1461" t="s">
        <v>47</v>
      </c>
      <c r="O1461" t="s">
        <v>47</v>
      </c>
      <c r="P1461" t="s">
        <v>47</v>
      </c>
      <c r="Q1461" t="s">
        <v>47</v>
      </c>
      <c r="R1461" t="s">
        <v>47</v>
      </c>
      <c r="S1461" t="s">
        <v>47</v>
      </c>
      <c r="T1461" t="s">
        <v>47</v>
      </c>
      <c r="U1461" t="s">
        <v>47</v>
      </c>
      <c r="V1461" t="s">
        <v>47</v>
      </c>
      <c r="W1461" s="3">
        <v>32157</v>
      </c>
      <c r="X1461" s="3">
        <v>42128</v>
      </c>
      <c r="Y1461" s="5" t="s">
        <v>5584</v>
      </c>
      <c r="Z1461" s="3">
        <v>32157</v>
      </c>
      <c r="AA1461" s="3">
        <v>42128</v>
      </c>
      <c r="AB1461" s="5" t="s">
        <v>5584</v>
      </c>
      <c r="AC1461" s="3">
        <v>32157</v>
      </c>
      <c r="AD1461" s="3">
        <v>42128</v>
      </c>
      <c r="AE1461" s="5" t="s">
        <v>5584</v>
      </c>
      <c r="AF1461" t="s">
        <v>47</v>
      </c>
      <c r="AG1461" t="s">
        <v>47</v>
      </c>
      <c r="AH1461" t="s">
        <v>47</v>
      </c>
      <c r="AI1461" t="s">
        <v>47</v>
      </c>
      <c r="AJ1461" t="s">
        <v>47</v>
      </c>
      <c r="AK1461" t="s">
        <v>47</v>
      </c>
      <c r="AL1461" t="s">
        <v>47</v>
      </c>
      <c r="AM1461" t="s">
        <v>47</v>
      </c>
      <c r="AN1461" t="s">
        <v>47</v>
      </c>
      <c r="AO1461" s="5" t="s">
        <v>51</v>
      </c>
      <c r="AP1461" s="4" t="s">
        <v>135</v>
      </c>
      <c r="AQ1461" s="4" t="s">
        <v>53</v>
      </c>
      <c r="AR1461" s="4" t="s">
        <v>5585</v>
      </c>
      <c r="AS1461" s="5">
        <v>35074</v>
      </c>
      <c r="AT1461" t="s">
        <v>47</v>
      </c>
    </row>
    <row r="1462" spans="1:46" ht="52" x14ac:dyDescent="0.3">
      <c r="A1462" s="4" t="s">
        <v>5586</v>
      </c>
      <c r="B1462" t="s">
        <v>47</v>
      </c>
      <c r="C1462" s="4" t="s">
        <v>3386</v>
      </c>
      <c r="D1462" s="4" t="s">
        <v>88</v>
      </c>
      <c r="E1462" s="4" t="s">
        <v>49</v>
      </c>
      <c r="F1462" s="5" t="s">
        <v>5587</v>
      </c>
      <c r="G1462" s="5" t="s">
        <v>5588</v>
      </c>
      <c r="H1462" t="s">
        <v>47</v>
      </c>
      <c r="I1462" s="3">
        <v>35490</v>
      </c>
      <c r="J1462" s="5" t="s">
        <v>50</v>
      </c>
      <c r="K1462" t="s">
        <v>47</v>
      </c>
      <c r="L1462" s="5" t="s">
        <v>60</v>
      </c>
      <c r="M1462" s="3">
        <v>42979</v>
      </c>
      <c r="N1462" s="5" t="s">
        <v>50</v>
      </c>
      <c r="O1462" t="s">
        <v>47</v>
      </c>
      <c r="P1462" s="3">
        <v>35490</v>
      </c>
      <c r="Q1462" s="5" t="s">
        <v>50</v>
      </c>
      <c r="R1462" t="s">
        <v>47</v>
      </c>
      <c r="S1462" t="s">
        <v>47</v>
      </c>
      <c r="T1462" t="s">
        <v>47</v>
      </c>
      <c r="U1462" t="s">
        <v>47</v>
      </c>
      <c r="V1462" t="s">
        <v>47</v>
      </c>
      <c r="W1462" s="3">
        <v>35490</v>
      </c>
      <c r="X1462" s="5" t="s">
        <v>50</v>
      </c>
      <c r="Y1462" t="s">
        <v>47</v>
      </c>
      <c r="Z1462" s="3">
        <v>35490</v>
      </c>
      <c r="AA1462" s="5" t="s">
        <v>50</v>
      </c>
      <c r="AB1462" t="s">
        <v>47</v>
      </c>
      <c r="AC1462" s="3">
        <v>35916</v>
      </c>
      <c r="AD1462" s="5" t="s">
        <v>50</v>
      </c>
      <c r="AE1462" t="s">
        <v>47</v>
      </c>
      <c r="AF1462" t="s">
        <v>47</v>
      </c>
      <c r="AG1462" t="s">
        <v>47</v>
      </c>
      <c r="AH1462" t="s">
        <v>47</v>
      </c>
      <c r="AI1462" t="s">
        <v>47</v>
      </c>
      <c r="AJ1462" t="s">
        <v>47</v>
      </c>
      <c r="AK1462" t="s">
        <v>47</v>
      </c>
      <c r="AL1462" t="s">
        <v>47</v>
      </c>
      <c r="AM1462" t="s">
        <v>47</v>
      </c>
      <c r="AN1462" t="s">
        <v>47</v>
      </c>
      <c r="AO1462" s="5" t="s">
        <v>60</v>
      </c>
      <c r="AP1462" s="4" t="s">
        <v>61</v>
      </c>
      <c r="AQ1462" s="4" t="s">
        <v>53</v>
      </c>
      <c r="AR1462" s="4" t="s">
        <v>539</v>
      </c>
      <c r="AS1462" s="5">
        <v>41736</v>
      </c>
      <c r="AT1462" t="s">
        <v>47</v>
      </c>
    </row>
    <row r="1463" spans="1:46" ht="52" x14ac:dyDescent="0.3">
      <c r="A1463" s="4" t="s">
        <v>5589</v>
      </c>
      <c r="B1463" t="s">
        <v>47</v>
      </c>
      <c r="C1463" s="4" t="s">
        <v>1036</v>
      </c>
      <c r="D1463" s="4" t="s">
        <v>70</v>
      </c>
      <c r="E1463" s="4" t="s">
        <v>49</v>
      </c>
      <c r="F1463" t="s">
        <v>47</v>
      </c>
      <c r="G1463" t="s">
        <v>47</v>
      </c>
      <c r="H1463" t="s">
        <v>47</v>
      </c>
      <c r="I1463" s="3">
        <v>39692</v>
      </c>
      <c r="J1463" s="3">
        <v>42125</v>
      </c>
      <c r="K1463" t="s">
        <v>47</v>
      </c>
      <c r="L1463" s="5" t="s">
        <v>51</v>
      </c>
      <c r="M1463" s="3">
        <v>39692</v>
      </c>
      <c r="N1463" s="3">
        <v>42125</v>
      </c>
      <c r="O1463" t="s">
        <v>47</v>
      </c>
      <c r="P1463" s="3">
        <v>39692</v>
      </c>
      <c r="Q1463" s="3">
        <v>42125</v>
      </c>
      <c r="R1463" t="s">
        <v>47</v>
      </c>
      <c r="S1463" t="s">
        <v>47</v>
      </c>
      <c r="T1463" t="s">
        <v>47</v>
      </c>
      <c r="U1463" t="s">
        <v>47</v>
      </c>
      <c r="V1463" t="s">
        <v>47</v>
      </c>
      <c r="W1463" s="3">
        <v>39692</v>
      </c>
      <c r="X1463" s="3">
        <v>42125</v>
      </c>
      <c r="Y1463" t="s">
        <v>47</v>
      </c>
      <c r="Z1463" s="3">
        <v>39692</v>
      </c>
      <c r="AA1463" s="3">
        <v>42125</v>
      </c>
      <c r="AB1463" t="s">
        <v>47</v>
      </c>
      <c r="AC1463" t="s">
        <v>47</v>
      </c>
      <c r="AD1463" t="s">
        <v>47</v>
      </c>
      <c r="AE1463" t="s">
        <v>47</v>
      </c>
      <c r="AF1463" t="s">
        <v>47</v>
      </c>
      <c r="AG1463" t="s">
        <v>47</v>
      </c>
      <c r="AH1463" t="s">
        <v>47</v>
      </c>
      <c r="AI1463" t="s">
        <v>47</v>
      </c>
      <c r="AJ1463" t="s">
        <v>47</v>
      </c>
      <c r="AK1463" t="s">
        <v>47</v>
      </c>
      <c r="AL1463" t="s">
        <v>47</v>
      </c>
      <c r="AM1463" t="s">
        <v>47</v>
      </c>
      <c r="AN1463" t="s">
        <v>47</v>
      </c>
      <c r="AO1463" s="5" t="s">
        <v>51</v>
      </c>
      <c r="AP1463" s="4" t="s">
        <v>135</v>
      </c>
      <c r="AQ1463" s="4" t="s">
        <v>53</v>
      </c>
      <c r="AR1463" s="4" t="s">
        <v>539</v>
      </c>
      <c r="AS1463" s="5">
        <v>38340</v>
      </c>
      <c r="AT1463" t="s">
        <v>47</v>
      </c>
    </row>
    <row r="1464" spans="1:46" ht="13" x14ac:dyDescent="0.3">
      <c r="A1464" s="4" t="s">
        <v>5590</v>
      </c>
      <c r="B1464" t="s">
        <v>47</v>
      </c>
      <c r="C1464" s="4" t="s">
        <v>1036</v>
      </c>
      <c r="D1464" s="4" t="s">
        <v>70</v>
      </c>
      <c r="E1464" s="4" t="s">
        <v>49</v>
      </c>
      <c r="F1464" t="s">
        <v>47</v>
      </c>
      <c r="G1464" t="s">
        <v>47</v>
      </c>
      <c r="H1464" t="s">
        <v>47</v>
      </c>
      <c r="I1464" s="3">
        <v>39722</v>
      </c>
      <c r="J1464" s="3">
        <v>42095</v>
      </c>
      <c r="K1464" t="s">
        <v>47</v>
      </c>
      <c r="L1464" s="5" t="s">
        <v>51</v>
      </c>
      <c r="M1464" s="3">
        <v>39722</v>
      </c>
      <c r="N1464" s="3">
        <v>42095</v>
      </c>
      <c r="O1464" t="s">
        <v>47</v>
      </c>
      <c r="P1464" s="3">
        <v>39722</v>
      </c>
      <c r="Q1464" s="3">
        <v>42095</v>
      </c>
      <c r="R1464" t="s">
        <v>47</v>
      </c>
      <c r="S1464" t="s">
        <v>47</v>
      </c>
      <c r="T1464" t="s">
        <v>47</v>
      </c>
      <c r="U1464" t="s">
        <v>47</v>
      </c>
      <c r="V1464" t="s">
        <v>47</v>
      </c>
      <c r="W1464" s="3">
        <v>39722</v>
      </c>
      <c r="X1464" s="3">
        <v>42095</v>
      </c>
      <c r="Y1464" t="s">
        <v>47</v>
      </c>
      <c r="Z1464" s="3">
        <v>39722</v>
      </c>
      <c r="AA1464" s="3">
        <v>42095</v>
      </c>
      <c r="AB1464" t="s">
        <v>47</v>
      </c>
      <c r="AC1464" t="s">
        <v>47</v>
      </c>
      <c r="AD1464" t="s">
        <v>47</v>
      </c>
      <c r="AE1464" t="s">
        <v>47</v>
      </c>
      <c r="AF1464" t="s">
        <v>47</v>
      </c>
      <c r="AG1464" t="s">
        <v>47</v>
      </c>
      <c r="AH1464" t="s">
        <v>47</v>
      </c>
      <c r="AI1464" t="s">
        <v>47</v>
      </c>
      <c r="AJ1464" t="s">
        <v>47</v>
      </c>
      <c r="AK1464" t="s">
        <v>47</v>
      </c>
      <c r="AL1464" t="s">
        <v>47</v>
      </c>
      <c r="AM1464" t="s">
        <v>47</v>
      </c>
      <c r="AN1464" t="s">
        <v>47</v>
      </c>
      <c r="AO1464" s="5" t="s">
        <v>51</v>
      </c>
      <c r="AP1464" s="4" t="s">
        <v>135</v>
      </c>
      <c r="AQ1464" s="4" t="s">
        <v>53</v>
      </c>
      <c r="AR1464" s="4" t="s">
        <v>54</v>
      </c>
      <c r="AS1464" s="5">
        <v>38341</v>
      </c>
      <c r="AT1464" t="s">
        <v>47</v>
      </c>
    </row>
    <row r="1465" spans="1:46" ht="91" x14ac:dyDescent="0.3">
      <c r="A1465" s="4" t="s">
        <v>5591</v>
      </c>
      <c r="B1465" t="s">
        <v>47</v>
      </c>
      <c r="C1465" s="4" t="s">
        <v>5592</v>
      </c>
      <c r="D1465" s="4" t="s">
        <v>70</v>
      </c>
      <c r="E1465" s="4" t="s">
        <v>49</v>
      </c>
      <c r="F1465" s="5" t="s">
        <v>5593</v>
      </c>
      <c r="G1465" s="5" t="s">
        <v>5594</v>
      </c>
      <c r="H1465" t="s">
        <v>47</v>
      </c>
      <c r="I1465" t="s">
        <v>47</v>
      </c>
      <c r="J1465" t="s">
        <v>47</v>
      </c>
      <c r="K1465" t="s">
        <v>47</v>
      </c>
      <c r="L1465" s="5" t="s">
        <v>51</v>
      </c>
      <c r="M1465" t="s">
        <v>47</v>
      </c>
      <c r="N1465" t="s">
        <v>47</v>
      </c>
      <c r="O1465" t="s">
        <v>47</v>
      </c>
      <c r="P1465" t="s">
        <v>47</v>
      </c>
      <c r="Q1465" t="s">
        <v>47</v>
      </c>
      <c r="R1465" t="s">
        <v>47</v>
      </c>
      <c r="S1465" t="s">
        <v>47</v>
      </c>
      <c r="T1465" t="s">
        <v>47</v>
      </c>
      <c r="U1465" t="s">
        <v>47</v>
      </c>
      <c r="V1465" t="s">
        <v>47</v>
      </c>
      <c r="W1465" s="3">
        <v>31413</v>
      </c>
      <c r="X1465" s="5" t="s">
        <v>50</v>
      </c>
      <c r="Y1465" s="5" t="s">
        <v>5595</v>
      </c>
      <c r="Z1465" s="3">
        <v>31413</v>
      </c>
      <c r="AA1465" s="5" t="s">
        <v>50</v>
      </c>
      <c r="AB1465" s="5" t="s">
        <v>5595</v>
      </c>
      <c r="AC1465" s="3">
        <v>31413</v>
      </c>
      <c r="AD1465" s="5" t="s">
        <v>50</v>
      </c>
      <c r="AE1465" t="s">
        <v>47</v>
      </c>
      <c r="AF1465" t="s">
        <v>47</v>
      </c>
      <c r="AG1465" t="s">
        <v>47</v>
      </c>
      <c r="AH1465" t="s">
        <v>47</v>
      </c>
      <c r="AI1465" t="s">
        <v>47</v>
      </c>
      <c r="AJ1465" t="s">
        <v>47</v>
      </c>
      <c r="AK1465" t="s">
        <v>47</v>
      </c>
      <c r="AL1465" t="s">
        <v>47</v>
      </c>
      <c r="AM1465" t="s">
        <v>47</v>
      </c>
      <c r="AN1465" t="s">
        <v>47</v>
      </c>
      <c r="AO1465" s="5" t="s">
        <v>51</v>
      </c>
      <c r="AP1465" s="4" t="s">
        <v>135</v>
      </c>
      <c r="AQ1465" s="4" t="s">
        <v>53</v>
      </c>
      <c r="AR1465" s="4" t="s">
        <v>5596</v>
      </c>
      <c r="AS1465" s="5">
        <v>41454</v>
      </c>
      <c r="AT1465" t="s">
        <v>47</v>
      </c>
    </row>
    <row r="1466" spans="1:46" ht="13" x14ac:dyDescent="0.3">
      <c r="A1466" s="4" t="s">
        <v>5597</v>
      </c>
      <c r="B1466" t="s">
        <v>47</v>
      </c>
      <c r="C1466" s="4" t="s">
        <v>1952</v>
      </c>
      <c r="D1466" s="4" t="s">
        <v>319</v>
      </c>
      <c r="E1466" s="4" t="s">
        <v>66</v>
      </c>
      <c r="F1466" s="5" t="s">
        <v>5598</v>
      </c>
      <c r="G1466" s="5" t="s">
        <v>5599</v>
      </c>
      <c r="H1466" t="s">
        <v>47</v>
      </c>
      <c r="I1466" t="s">
        <v>47</v>
      </c>
      <c r="J1466" t="s">
        <v>47</v>
      </c>
      <c r="K1466" t="s">
        <v>47</v>
      </c>
      <c r="L1466" s="5" t="s">
        <v>60</v>
      </c>
      <c r="M1466" t="s">
        <v>47</v>
      </c>
      <c r="N1466" t="s">
        <v>47</v>
      </c>
      <c r="O1466" t="s">
        <v>47</v>
      </c>
      <c r="P1466" t="s">
        <v>47</v>
      </c>
      <c r="Q1466" t="s">
        <v>47</v>
      </c>
      <c r="R1466" t="s">
        <v>47</v>
      </c>
      <c r="S1466" t="s">
        <v>47</v>
      </c>
      <c r="T1466" t="s">
        <v>47</v>
      </c>
      <c r="U1466" t="s">
        <v>47</v>
      </c>
      <c r="V1466" t="s">
        <v>47</v>
      </c>
      <c r="W1466" s="3">
        <v>37987</v>
      </c>
      <c r="X1466" s="5" t="s">
        <v>50</v>
      </c>
      <c r="Y1466" t="s">
        <v>47</v>
      </c>
      <c r="Z1466" s="3">
        <v>37987</v>
      </c>
      <c r="AA1466" s="5" t="s">
        <v>50</v>
      </c>
      <c r="AB1466" t="s">
        <v>47</v>
      </c>
      <c r="AC1466" s="3">
        <v>37987</v>
      </c>
      <c r="AD1466" s="5" t="s">
        <v>50</v>
      </c>
      <c r="AE1466" t="s">
        <v>47</v>
      </c>
      <c r="AF1466" t="s">
        <v>47</v>
      </c>
      <c r="AG1466" t="s">
        <v>47</v>
      </c>
      <c r="AH1466" t="s">
        <v>47</v>
      </c>
      <c r="AI1466" t="s">
        <v>47</v>
      </c>
      <c r="AJ1466" t="s">
        <v>47</v>
      </c>
      <c r="AK1466" t="s">
        <v>47</v>
      </c>
      <c r="AL1466" t="s">
        <v>47</v>
      </c>
      <c r="AM1466" t="s">
        <v>47</v>
      </c>
      <c r="AN1466" t="s">
        <v>47</v>
      </c>
      <c r="AO1466" s="5" t="s">
        <v>60</v>
      </c>
      <c r="AP1466" s="4" t="s">
        <v>61</v>
      </c>
      <c r="AQ1466" s="4" t="s">
        <v>53</v>
      </c>
      <c r="AR1466" s="4" t="s">
        <v>54</v>
      </c>
      <c r="AS1466" s="5">
        <v>46276</v>
      </c>
      <c r="AT1466" t="s">
        <v>47</v>
      </c>
    </row>
    <row r="1467" spans="1:46" ht="65" x14ac:dyDescent="0.3">
      <c r="A1467" s="4" t="s">
        <v>5600</v>
      </c>
      <c r="B1467" t="s">
        <v>47</v>
      </c>
      <c r="C1467" s="4" t="s">
        <v>5601</v>
      </c>
      <c r="D1467" s="4" t="s">
        <v>5602</v>
      </c>
      <c r="E1467" s="4" t="s">
        <v>49</v>
      </c>
      <c r="F1467" s="5" t="s">
        <v>5603</v>
      </c>
      <c r="G1467" t="s">
        <v>47</v>
      </c>
      <c r="H1467" t="s">
        <v>47</v>
      </c>
      <c r="I1467" s="3">
        <v>34881</v>
      </c>
      <c r="J1467" s="5" t="s">
        <v>50</v>
      </c>
      <c r="K1467" t="s">
        <v>47</v>
      </c>
      <c r="L1467" s="5" t="s">
        <v>51</v>
      </c>
      <c r="M1467" s="3">
        <v>34881</v>
      </c>
      <c r="N1467" s="5" t="s">
        <v>50</v>
      </c>
      <c r="O1467" t="s">
        <v>47</v>
      </c>
      <c r="P1467" s="3">
        <v>34881</v>
      </c>
      <c r="Q1467" s="5" t="s">
        <v>50</v>
      </c>
      <c r="R1467" t="s">
        <v>47</v>
      </c>
      <c r="S1467" t="s">
        <v>47</v>
      </c>
      <c r="T1467" t="s">
        <v>47</v>
      </c>
      <c r="U1467" t="s">
        <v>47</v>
      </c>
      <c r="V1467" t="s">
        <v>47</v>
      </c>
      <c r="W1467" s="3">
        <v>32143</v>
      </c>
      <c r="X1467" s="5" t="s">
        <v>50</v>
      </c>
      <c r="Y1467" t="s">
        <v>47</v>
      </c>
      <c r="Z1467" s="3">
        <v>32143</v>
      </c>
      <c r="AA1467" s="5" t="s">
        <v>50</v>
      </c>
      <c r="AB1467" t="s">
        <v>47</v>
      </c>
      <c r="AC1467" s="3">
        <v>32143</v>
      </c>
      <c r="AD1467" s="5" t="s">
        <v>50</v>
      </c>
      <c r="AE1467" t="s">
        <v>47</v>
      </c>
      <c r="AF1467" t="s">
        <v>47</v>
      </c>
      <c r="AG1467" t="s">
        <v>47</v>
      </c>
      <c r="AH1467" t="s">
        <v>47</v>
      </c>
      <c r="AI1467" t="s">
        <v>47</v>
      </c>
      <c r="AJ1467" t="s">
        <v>47</v>
      </c>
      <c r="AK1467" t="s">
        <v>47</v>
      </c>
      <c r="AL1467" t="s">
        <v>47</v>
      </c>
      <c r="AM1467" t="s">
        <v>47</v>
      </c>
      <c r="AN1467" t="s">
        <v>47</v>
      </c>
      <c r="AO1467" s="5" t="s">
        <v>51</v>
      </c>
      <c r="AP1467" s="4" t="s">
        <v>135</v>
      </c>
      <c r="AQ1467" t="s">
        <v>47</v>
      </c>
      <c r="AR1467" s="4" t="s">
        <v>5604</v>
      </c>
      <c r="AS1467" s="5">
        <v>25232</v>
      </c>
      <c r="AT1467" t="s">
        <v>47</v>
      </c>
    </row>
    <row r="1468" spans="1:46" ht="156" x14ac:dyDescent="0.3">
      <c r="A1468" s="4" t="s">
        <v>5605</v>
      </c>
      <c r="B1468" t="s">
        <v>47</v>
      </c>
      <c r="C1468" s="4" t="s">
        <v>1365</v>
      </c>
      <c r="D1468" s="4" t="s">
        <v>3034</v>
      </c>
      <c r="E1468" s="4" t="s">
        <v>49</v>
      </c>
      <c r="F1468" s="5" t="s">
        <v>5606</v>
      </c>
      <c r="G1468" t="s">
        <v>47</v>
      </c>
      <c r="H1468" t="s">
        <v>47</v>
      </c>
      <c r="I1468" s="3">
        <v>35796</v>
      </c>
      <c r="J1468" s="3">
        <v>41244</v>
      </c>
      <c r="K1468" t="s">
        <v>47</v>
      </c>
      <c r="L1468" s="5" t="s">
        <v>51</v>
      </c>
      <c r="M1468" s="3">
        <v>35796</v>
      </c>
      <c r="N1468" s="3">
        <v>41244</v>
      </c>
      <c r="O1468" t="s">
        <v>47</v>
      </c>
      <c r="P1468" s="3">
        <v>35796</v>
      </c>
      <c r="Q1468" s="3">
        <v>41244</v>
      </c>
      <c r="R1468" t="s">
        <v>47</v>
      </c>
      <c r="S1468" t="s">
        <v>47</v>
      </c>
      <c r="T1468" t="s">
        <v>47</v>
      </c>
      <c r="U1468" t="s">
        <v>47</v>
      </c>
      <c r="V1468" t="s">
        <v>47</v>
      </c>
      <c r="W1468" s="3">
        <v>35796</v>
      </c>
      <c r="X1468" s="3">
        <v>41244</v>
      </c>
      <c r="Y1468" t="s">
        <v>47</v>
      </c>
      <c r="Z1468" s="3">
        <v>35796</v>
      </c>
      <c r="AA1468" s="3">
        <v>41244</v>
      </c>
      <c r="AB1468" t="s">
        <v>47</v>
      </c>
      <c r="AC1468" s="3">
        <v>35796</v>
      </c>
      <c r="AD1468" s="3">
        <v>41244</v>
      </c>
      <c r="AE1468" t="s">
        <v>47</v>
      </c>
      <c r="AF1468" t="s">
        <v>47</v>
      </c>
      <c r="AG1468" t="s">
        <v>47</v>
      </c>
      <c r="AH1468" t="s">
        <v>47</v>
      </c>
      <c r="AI1468" t="s">
        <v>47</v>
      </c>
      <c r="AJ1468" t="s">
        <v>47</v>
      </c>
      <c r="AK1468" t="s">
        <v>47</v>
      </c>
      <c r="AL1468" t="s">
        <v>47</v>
      </c>
      <c r="AM1468" t="s">
        <v>47</v>
      </c>
      <c r="AN1468" t="s">
        <v>47</v>
      </c>
      <c r="AO1468" s="5" t="s">
        <v>51</v>
      </c>
      <c r="AP1468" s="4" t="s">
        <v>85</v>
      </c>
      <c r="AQ1468" s="4" t="s">
        <v>53</v>
      </c>
      <c r="AR1468" s="4" t="s">
        <v>5607</v>
      </c>
      <c r="AS1468" s="5">
        <v>30977</v>
      </c>
      <c r="AT1468" t="s">
        <v>47</v>
      </c>
    </row>
    <row r="1469" spans="1:46" ht="13" x14ac:dyDescent="0.3">
      <c r="A1469" s="4" t="s">
        <v>5608</v>
      </c>
      <c r="B1469" t="s">
        <v>47</v>
      </c>
      <c r="C1469" s="4" t="s">
        <v>64</v>
      </c>
      <c r="D1469" s="4" t="s">
        <v>139</v>
      </c>
      <c r="E1469" s="4" t="s">
        <v>66</v>
      </c>
      <c r="F1469" s="5" t="s">
        <v>5609</v>
      </c>
      <c r="G1469" s="5" t="s">
        <v>5610</v>
      </c>
      <c r="H1469" t="s">
        <v>47</v>
      </c>
      <c r="I1469" s="3">
        <v>35431</v>
      </c>
      <c r="J1469" s="3">
        <v>42278</v>
      </c>
      <c r="K1469" t="s">
        <v>47</v>
      </c>
      <c r="L1469" s="5" t="s">
        <v>60</v>
      </c>
      <c r="M1469" t="s">
        <v>47</v>
      </c>
      <c r="N1469" t="s">
        <v>47</v>
      </c>
      <c r="O1469" t="s">
        <v>47</v>
      </c>
      <c r="P1469" s="3">
        <v>35431</v>
      </c>
      <c r="Q1469" s="3">
        <v>42278</v>
      </c>
      <c r="R1469" t="s">
        <v>47</v>
      </c>
      <c r="S1469" t="s">
        <v>47</v>
      </c>
      <c r="T1469" t="s">
        <v>47</v>
      </c>
      <c r="U1469" t="s">
        <v>47</v>
      </c>
      <c r="V1469" t="s">
        <v>47</v>
      </c>
      <c r="W1469" s="3">
        <v>35431</v>
      </c>
      <c r="X1469" s="5" t="s">
        <v>50</v>
      </c>
      <c r="Y1469" t="s">
        <v>47</v>
      </c>
      <c r="Z1469" s="3">
        <v>35431</v>
      </c>
      <c r="AA1469" s="5" t="s">
        <v>50</v>
      </c>
      <c r="AB1469" t="s">
        <v>47</v>
      </c>
      <c r="AC1469" s="3">
        <v>35431</v>
      </c>
      <c r="AD1469" s="5" t="s">
        <v>50</v>
      </c>
      <c r="AE1469" t="s">
        <v>47</v>
      </c>
      <c r="AF1469" t="s">
        <v>47</v>
      </c>
      <c r="AG1469" t="s">
        <v>47</v>
      </c>
      <c r="AH1469" t="s">
        <v>47</v>
      </c>
      <c r="AI1469" t="s">
        <v>47</v>
      </c>
      <c r="AJ1469" t="s">
        <v>47</v>
      </c>
      <c r="AK1469" t="s">
        <v>47</v>
      </c>
      <c r="AL1469" t="s">
        <v>47</v>
      </c>
      <c r="AM1469" t="s">
        <v>47</v>
      </c>
      <c r="AN1469" t="s">
        <v>47</v>
      </c>
      <c r="AO1469" s="5" t="s">
        <v>60</v>
      </c>
      <c r="AP1469" s="4" t="s">
        <v>61</v>
      </c>
      <c r="AQ1469" s="4" t="s">
        <v>53</v>
      </c>
      <c r="AR1469" s="4" t="s">
        <v>167</v>
      </c>
      <c r="AS1469" s="5">
        <v>37141</v>
      </c>
      <c r="AT1469" t="s">
        <v>47</v>
      </c>
    </row>
    <row r="1470" spans="1:46" ht="39" x14ac:dyDescent="0.3">
      <c r="A1470" s="4" t="s">
        <v>5611</v>
      </c>
      <c r="B1470" t="s">
        <v>47</v>
      </c>
      <c r="C1470" s="4" t="s">
        <v>1095</v>
      </c>
      <c r="D1470" s="4" t="s">
        <v>3070</v>
      </c>
      <c r="E1470" s="4" t="s">
        <v>66</v>
      </c>
      <c r="F1470" s="5" t="s">
        <v>5612</v>
      </c>
      <c r="G1470" s="5" t="s">
        <v>5613</v>
      </c>
      <c r="H1470" t="s">
        <v>47</v>
      </c>
      <c r="I1470" t="s">
        <v>47</v>
      </c>
      <c r="J1470" t="s">
        <v>47</v>
      </c>
      <c r="K1470" t="s">
        <v>47</v>
      </c>
      <c r="L1470" s="5" t="s">
        <v>60</v>
      </c>
      <c r="M1470" t="s">
        <v>47</v>
      </c>
      <c r="N1470" t="s">
        <v>47</v>
      </c>
      <c r="O1470" t="s">
        <v>47</v>
      </c>
      <c r="P1470" t="s">
        <v>47</v>
      </c>
      <c r="Q1470" t="s">
        <v>47</v>
      </c>
      <c r="R1470" t="s">
        <v>47</v>
      </c>
      <c r="S1470" t="s">
        <v>47</v>
      </c>
      <c r="T1470" t="s">
        <v>47</v>
      </c>
      <c r="U1470" t="s">
        <v>47</v>
      </c>
      <c r="V1470" t="s">
        <v>47</v>
      </c>
      <c r="W1470" s="3">
        <v>35796</v>
      </c>
      <c r="X1470" s="3">
        <v>43739</v>
      </c>
      <c r="Y1470" s="5" t="s">
        <v>5614</v>
      </c>
      <c r="Z1470" s="3">
        <v>35796</v>
      </c>
      <c r="AA1470" s="3">
        <v>43739</v>
      </c>
      <c r="AB1470" s="5" t="s">
        <v>5614</v>
      </c>
      <c r="AC1470" s="3">
        <v>43191</v>
      </c>
      <c r="AD1470" s="3">
        <v>43739</v>
      </c>
      <c r="AE1470" t="s">
        <v>47</v>
      </c>
      <c r="AF1470" t="s">
        <v>47</v>
      </c>
      <c r="AG1470" t="s">
        <v>47</v>
      </c>
      <c r="AH1470" t="s">
        <v>47</v>
      </c>
      <c r="AI1470" t="s">
        <v>47</v>
      </c>
      <c r="AJ1470" t="s">
        <v>47</v>
      </c>
      <c r="AK1470" t="s">
        <v>47</v>
      </c>
      <c r="AL1470" t="s">
        <v>47</v>
      </c>
      <c r="AM1470" t="s">
        <v>47</v>
      </c>
      <c r="AN1470" t="s">
        <v>47</v>
      </c>
      <c r="AO1470" s="5" t="s">
        <v>60</v>
      </c>
      <c r="AP1470" s="4" t="s">
        <v>61</v>
      </c>
      <c r="AQ1470" s="4" t="s">
        <v>53</v>
      </c>
      <c r="AR1470" s="4" t="s">
        <v>385</v>
      </c>
      <c r="AS1470" s="5">
        <v>38191</v>
      </c>
      <c r="AT1470" t="s">
        <v>47</v>
      </c>
    </row>
    <row r="1471" spans="1:46" ht="91" x14ac:dyDescent="0.3">
      <c r="A1471" s="4" t="s">
        <v>5615</v>
      </c>
      <c r="B1471" t="s">
        <v>47</v>
      </c>
      <c r="C1471" s="4" t="s">
        <v>169</v>
      </c>
      <c r="D1471" s="4" t="s">
        <v>339</v>
      </c>
      <c r="E1471" s="4" t="s">
        <v>66</v>
      </c>
      <c r="F1471" s="5" t="s">
        <v>5616</v>
      </c>
      <c r="G1471" s="5" t="s">
        <v>5617</v>
      </c>
      <c r="H1471" t="s">
        <v>47</v>
      </c>
      <c r="I1471" t="s">
        <v>47</v>
      </c>
      <c r="J1471" t="s">
        <v>47</v>
      </c>
      <c r="K1471" t="s">
        <v>47</v>
      </c>
      <c r="L1471" s="5" t="s">
        <v>60</v>
      </c>
      <c r="M1471" t="s">
        <v>47</v>
      </c>
      <c r="N1471" t="s">
        <v>47</v>
      </c>
      <c r="O1471" t="s">
        <v>47</v>
      </c>
      <c r="P1471" t="s">
        <v>47</v>
      </c>
      <c r="Q1471" t="s">
        <v>47</v>
      </c>
      <c r="R1471" t="s">
        <v>47</v>
      </c>
      <c r="S1471" t="s">
        <v>47</v>
      </c>
      <c r="T1471" t="s">
        <v>47</v>
      </c>
      <c r="U1471" t="s">
        <v>47</v>
      </c>
      <c r="V1471" t="s">
        <v>47</v>
      </c>
      <c r="W1471" s="3">
        <v>40179</v>
      </c>
      <c r="X1471" s="5" t="s">
        <v>50</v>
      </c>
      <c r="Y1471" t="s">
        <v>47</v>
      </c>
      <c r="Z1471" s="3">
        <v>40179</v>
      </c>
      <c r="AA1471" s="5" t="s">
        <v>50</v>
      </c>
      <c r="AB1471" t="s">
        <v>47</v>
      </c>
      <c r="AC1471" s="3">
        <v>40179</v>
      </c>
      <c r="AD1471" s="5" t="s">
        <v>50</v>
      </c>
      <c r="AE1471" t="s">
        <v>47</v>
      </c>
      <c r="AF1471" t="s">
        <v>47</v>
      </c>
      <c r="AG1471" t="s">
        <v>47</v>
      </c>
      <c r="AH1471" t="s">
        <v>47</v>
      </c>
      <c r="AI1471" t="s">
        <v>47</v>
      </c>
      <c r="AJ1471" t="s">
        <v>47</v>
      </c>
      <c r="AK1471" t="s">
        <v>47</v>
      </c>
      <c r="AL1471" t="s">
        <v>47</v>
      </c>
      <c r="AM1471" t="s">
        <v>47</v>
      </c>
      <c r="AN1471" t="s">
        <v>47</v>
      </c>
      <c r="AO1471" s="5" t="s">
        <v>60</v>
      </c>
      <c r="AP1471" s="4" t="s">
        <v>61</v>
      </c>
      <c r="AQ1471" s="4" t="s">
        <v>53</v>
      </c>
      <c r="AR1471" s="4" t="s">
        <v>5618</v>
      </c>
      <c r="AS1471" s="5">
        <v>216169</v>
      </c>
      <c r="AT1471" t="s">
        <v>47</v>
      </c>
    </row>
    <row r="1472" spans="1:46" ht="26" x14ac:dyDescent="0.3">
      <c r="A1472" s="4" t="s">
        <v>5619</v>
      </c>
      <c r="B1472" t="s">
        <v>47</v>
      </c>
      <c r="C1472" s="4" t="s">
        <v>122</v>
      </c>
      <c r="D1472" s="4" t="s">
        <v>70</v>
      </c>
      <c r="E1472" s="4" t="s">
        <v>123</v>
      </c>
      <c r="F1472" s="5" t="s">
        <v>5620</v>
      </c>
      <c r="G1472" s="5" t="s">
        <v>5621</v>
      </c>
      <c r="H1472" t="s">
        <v>47</v>
      </c>
      <c r="I1472" s="3">
        <v>34912</v>
      </c>
      <c r="J1472" s="5" t="s">
        <v>50</v>
      </c>
      <c r="K1472" t="s">
        <v>47</v>
      </c>
      <c r="L1472" s="5" t="s">
        <v>60</v>
      </c>
      <c r="M1472" s="3">
        <v>35217</v>
      </c>
      <c r="N1472" s="3">
        <v>42826</v>
      </c>
      <c r="O1472" t="s">
        <v>47</v>
      </c>
      <c r="P1472" s="3">
        <v>34912</v>
      </c>
      <c r="Q1472" s="5" t="s">
        <v>50</v>
      </c>
      <c r="R1472" t="s">
        <v>47</v>
      </c>
      <c r="S1472" t="s">
        <v>47</v>
      </c>
      <c r="T1472" t="s">
        <v>47</v>
      </c>
      <c r="U1472" t="s">
        <v>47</v>
      </c>
      <c r="V1472" s="5">
        <v>365</v>
      </c>
      <c r="W1472" s="3">
        <v>32509</v>
      </c>
      <c r="X1472" s="5" t="s">
        <v>50</v>
      </c>
      <c r="Y1472" t="s">
        <v>47</v>
      </c>
      <c r="Z1472" s="3">
        <v>32509</v>
      </c>
      <c r="AA1472" s="5" t="s">
        <v>50</v>
      </c>
      <c r="AB1472" t="s">
        <v>47</v>
      </c>
      <c r="AC1472" s="3">
        <v>32509</v>
      </c>
      <c r="AD1472" s="5" t="s">
        <v>50</v>
      </c>
      <c r="AE1472" t="s">
        <v>47</v>
      </c>
      <c r="AF1472" t="s">
        <v>47</v>
      </c>
      <c r="AG1472" t="s">
        <v>47</v>
      </c>
      <c r="AH1472" t="s">
        <v>47</v>
      </c>
      <c r="AI1472" t="s">
        <v>47</v>
      </c>
      <c r="AJ1472" t="s">
        <v>47</v>
      </c>
      <c r="AK1472" t="s">
        <v>47</v>
      </c>
      <c r="AL1472" t="s">
        <v>47</v>
      </c>
      <c r="AM1472" t="s">
        <v>47</v>
      </c>
      <c r="AN1472" t="s">
        <v>47</v>
      </c>
      <c r="AO1472" s="5" t="s">
        <v>60</v>
      </c>
      <c r="AP1472" s="4" t="s">
        <v>61</v>
      </c>
      <c r="AQ1472" s="4" t="s">
        <v>53</v>
      </c>
      <c r="AR1472" s="4" t="s">
        <v>342</v>
      </c>
      <c r="AS1472" s="5">
        <v>48257</v>
      </c>
      <c r="AT1472" t="s">
        <v>47</v>
      </c>
    </row>
    <row r="1473" spans="1:46" ht="26" x14ac:dyDescent="0.3">
      <c r="A1473" s="4" t="s">
        <v>5622</v>
      </c>
      <c r="B1473" t="s">
        <v>47</v>
      </c>
      <c r="C1473" s="4" t="s">
        <v>263</v>
      </c>
      <c r="D1473" s="4" t="s">
        <v>88</v>
      </c>
      <c r="E1473" s="4" t="s">
        <v>66</v>
      </c>
      <c r="F1473" s="5" t="s">
        <v>5623</v>
      </c>
      <c r="G1473" s="5" t="s">
        <v>5624</v>
      </c>
      <c r="H1473" t="s">
        <v>47</v>
      </c>
      <c r="I1473" s="3">
        <v>37530</v>
      </c>
      <c r="J1473" s="5" t="s">
        <v>50</v>
      </c>
      <c r="K1473" t="s">
        <v>47</v>
      </c>
      <c r="L1473" s="5" t="s">
        <v>60</v>
      </c>
      <c r="M1473" s="3">
        <v>37530</v>
      </c>
      <c r="N1473" s="5" t="s">
        <v>50</v>
      </c>
      <c r="O1473" t="s">
        <v>47</v>
      </c>
      <c r="P1473" s="3">
        <v>37530</v>
      </c>
      <c r="Q1473" s="5" t="s">
        <v>50</v>
      </c>
      <c r="R1473" s="5" t="s">
        <v>266</v>
      </c>
      <c r="S1473" t="s">
        <v>47</v>
      </c>
      <c r="T1473" t="s">
        <v>47</v>
      </c>
      <c r="U1473" t="s">
        <v>47</v>
      </c>
      <c r="V1473" t="s">
        <v>47</v>
      </c>
      <c r="W1473" s="3">
        <v>37530</v>
      </c>
      <c r="X1473" s="5" t="s">
        <v>50</v>
      </c>
      <c r="Y1473" t="s">
        <v>47</v>
      </c>
      <c r="Z1473" s="3">
        <v>37530</v>
      </c>
      <c r="AA1473" s="5" t="s">
        <v>50</v>
      </c>
      <c r="AB1473" t="s">
        <v>47</v>
      </c>
      <c r="AC1473" s="3">
        <v>37530</v>
      </c>
      <c r="AD1473" s="5" t="s">
        <v>50</v>
      </c>
      <c r="AE1473" t="s">
        <v>47</v>
      </c>
      <c r="AF1473" t="s">
        <v>47</v>
      </c>
      <c r="AG1473" t="s">
        <v>47</v>
      </c>
      <c r="AH1473" t="s">
        <v>47</v>
      </c>
      <c r="AI1473" t="s">
        <v>47</v>
      </c>
      <c r="AJ1473" t="s">
        <v>47</v>
      </c>
      <c r="AK1473" t="s">
        <v>47</v>
      </c>
      <c r="AL1473" t="s">
        <v>47</v>
      </c>
      <c r="AM1473" t="s">
        <v>47</v>
      </c>
      <c r="AN1473" t="s">
        <v>47</v>
      </c>
      <c r="AO1473" s="5" t="s">
        <v>60</v>
      </c>
      <c r="AP1473" s="4" t="s">
        <v>61</v>
      </c>
      <c r="AQ1473" s="4" t="s">
        <v>53</v>
      </c>
      <c r="AR1473" s="4" t="s">
        <v>5625</v>
      </c>
      <c r="AS1473" s="5">
        <v>26077</v>
      </c>
      <c r="AT1473" t="s">
        <v>47</v>
      </c>
    </row>
    <row r="1474" spans="1:46" ht="26" x14ac:dyDescent="0.3">
      <c r="A1474" s="4" t="s">
        <v>5626</v>
      </c>
      <c r="B1474" t="s">
        <v>47</v>
      </c>
      <c r="C1474" s="4" t="s">
        <v>323</v>
      </c>
      <c r="D1474" s="4" t="s">
        <v>324</v>
      </c>
      <c r="E1474" s="4" t="s">
        <v>49</v>
      </c>
      <c r="F1474" s="5" t="s">
        <v>5627</v>
      </c>
      <c r="G1474" s="5" t="s">
        <v>5628</v>
      </c>
      <c r="H1474" t="s">
        <v>47</v>
      </c>
      <c r="I1474" t="s">
        <v>47</v>
      </c>
      <c r="J1474" t="s">
        <v>47</v>
      </c>
      <c r="K1474" t="s">
        <v>47</v>
      </c>
      <c r="L1474" s="5" t="s">
        <v>60</v>
      </c>
      <c r="M1474" t="s">
        <v>47</v>
      </c>
      <c r="N1474" t="s">
        <v>47</v>
      </c>
      <c r="O1474" t="s">
        <v>47</v>
      </c>
      <c r="P1474" t="s">
        <v>47</v>
      </c>
      <c r="Q1474" t="s">
        <v>47</v>
      </c>
      <c r="R1474" t="s">
        <v>47</v>
      </c>
      <c r="S1474" t="s">
        <v>47</v>
      </c>
      <c r="T1474" t="s">
        <v>47</v>
      </c>
      <c r="U1474" t="s">
        <v>47</v>
      </c>
      <c r="V1474" t="s">
        <v>47</v>
      </c>
      <c r="W1474" s="3">
        <v>32143</v>
      </c>
      <c r="X1474" s="5" t="s">
        <v>50</v>
      </c>
      <c r="Y1474" t="s">
        <v>47</v>
      </c>
      <c r="Z1474" s="3">
        <v>32143</v>
      </c>
      <c r="AA1474" s="5" t="s">
        <v>50</v>
      </c>
      <c r="AB1474" t="s">
        <v>47</v>
      </c>
      <c r="AC1474" s="3">
        <v>32143</v>
      </c>
      <c r="AD1474" s="5" t="s">
        <v>50</v>
      </c>
      <c r="AE1474" t="s">
        <v>47</v>
      </c>
      <c r="AF1474" t="s">
        <v>47</v>
      </c>
      <c r="AG1474" t="s">
        <v>47</v>
      </c>
      <c r="AH1474" t="s">
        <v>47</v>
      </c>
      <c r="AI1474" t="s">
        <v>47</v>
      </c>
      <c r="AJ1474" t="s">
        <v>47</v>
      </c>
      <c r="AK1474" t="s">
        <v>47</v>
      </c>
      <c r="AL1474" t="s">
        <v>47</v>
      </c>
      <c r="AM1474" t="s">
        <v>47</v>
      </c>
      <c r="AN1474" t="s">
        <v>47</v>
      </c>
      <c r="AO1474" s="5" t="s">
        <v>60</v>
      </c>
      <c r="AP1474" s="4" t="s">
        <v>61</v>
      </c>
      <c r="AQ1474" s="4" t="s">
        <v>53</v>
      </c>
      <c r="AR1474" s="4" t="s">
        <v>5629</v>
      </c>
      <c r="AS1474" s="5">
        <v>48022</v>
      </c>
      <c r="AT1474" t="s">
        <v>47</v>
      </c>
    </row>
    <row r="1475" spans="1:46" ht="78" x14ac:dyDescent="0.3">
      <c r="A1475" s="4" t="s">
        <v>5630</v>
      </c>
      <c r="B1475" t="s">
        <v>47</v>
      </c>
      <c r="C1475" s="4" t="s">
        <v>1571</v>
      </c>
      <c r="D1475" s="4" t="s">
        <v>5631</v>
      </c>
      <c r="E1475" s="4" t="s">
        <v>163</v>
      </c>
      <c r="F1475" s="5" t="s">
        <v>5632</v>
      </c>
      <c r="G1475" s="5" t="s">
        <v>5633</v>
      </c>
      <c r="H1475" t="s">
        <v>47</v>
      </c>
      <c r="I1475" s="3">
        <v>39448</v>
      </c>
      <c r="J1475" s="3">
        <v>42736</v>
      </c>
      <c r="K1475" t="s">
        <v>47</v>
      </c>
      <c r="L1475" s="5" t="s">
        <v>60</v>
      </c>
      <c r="M1475" t="s">
        <v>47</v>
      </c>
      <c r="N1475" t="s">
        <v>47</v>
      </c>
      <c r="O1475" t="s">
        <v>47</v>
      </c>
      <c r="P1475" s="3">
        <v>39448</v>
      </c>
      <c r="Q1475" s="3">
        <v>42736</v>
      </c>
      <c r="R1475" t="s">
        <v>47</v>
      </c>
      <c r="S1475" t="s">
        <v>47</v>
      </c>
      <c r="T1475" t="s">
        <v>47</v>
      </c>
      <c r="U1475" t="s">
        <v>47</v>
      </c>
      <c r="V1475" t="s">
        <v>47</v>
      </c>
      <c r="W1475" s="3">
        <v>39448</v>
      </c>
      <c r="X1475" s="3">
        <v>42736</v>
      </c>
      <c r="Y1475" t="s">
        <v>47</v>
      </c>
      <c r="Z1475" s="3">
        <v>39448</v>
      </c>
      <c r="AA1475" s="3">
        <v>42736</v>
      </c>
      <c r="AB1475" t="s">
        <v>47</v>
      </c>
      <c r="AC1475" s="3">
        <v>39448</v>
      </c>
      <c r="AD1475" s="3">
        <v>42736</v>
      </c>
      <c r="AE1475" t="s">
        <v>47</v>
      </c>
      <c r="AF1475" t="s">
        <v>47</v>
      </c>
      <c r="AG1475" t="s">
        <v>47</v>
      </c>
      <c r="AH1475" t="s">
        <v>47</v>
      </c>
      <c r="AI1475" t="s">
        <v>47</v>
      </c>
      <c r="AJ1475" t="s">
        <v>47</v>
      </c>
      <c r="AK1475" t="s">
        <v>47</v>
      </c>
      <c r="AL1475" t="s">
        <v>47</v>
      </c>
      <c r="AM1475" t="s">
        <v>47</v>
      </c>
      <c r="AN1475" t="s">
        <v>47</v>
      </c>
      <c r="AO1475" s="5" t="s">
        <v>60</v>
      </c>
      <c r="AP1475" s="4" t="s">
        <v>61</v>
      </c>
      <c r="AQ1475" s="4" t="s">
        <v>53</v>
      </c>
      <c r="AR1475" s="4" t="s">
        <v>3373</v>
      </c>
      <c r="AS1475" s="5">
        <v>2026653</v>
      </c>
      <c r="AT1475" t="s">
        <v>47</v>
      </c>
    </row>
    <row r="1476" spans="1:46" ht="117" x14ac:dyDescent="0.3">
      <c r="A1476" s="4" t="s">
        <v>5634</v>
      </c>
      <c r="B1476" t="s">
        <v>47</v>
      </c>
      <c r="C1476" s="4" t="s">
        <v>183</v>
      </c>
      <c r="D1476" s="4" t="s">
        <v>333</v>
      </c>
      <c r="E1476" s="4" t="s">
        <v>49</v>
      </c>
      <c r="F1476" s="5" t="s">
        <v>5635</v>
      </c>
      <c r="G1476" s="5" t="s">
        <v>5636</v>
      </c>
      <c r="H1476" t="s">
        <v>47</v>
      </c>
      <c r="I1476" t="s">
        <v>47</v>
      </c>
      <c r="J1476" t="s">
        <v>47</v>
      </c>
      <c r="K1476" t="s">
        <v>47</v>
      </c>
      <c r="L1476" s="5" t="s">
        <v>60</v>
      </c>
      <c r="M1476" t="s">
        <v>47</v>
      </c>
      <c r="N1476" t="s">
        <v>47</v>
      </c>
      <c r="O1476" t="s">
        <v>47</v>
      </c>
      <c r="P1476" t="s">
        <v>47</v>
      </c>
      <c r="Q1476" t="s">
        <v>47</v>
      </c>
      <c r="R1476" t="s">
        <v>47</v>
      </c>
      <c r="S1476" t="s">
        <v>47</v>
      </c>
      <c r="T1476" t="s">
        <v>47</v>
      </c>
      <c r="U1476" t="s">
        <v>47</v>
      </c>
      <c r="V1476" t="s">
        <v>47</v>
      </c>
      <c r="W1476" s="3">
        <v>32568</v>
      </c>
      <c r="X1476" s="5" t="s">
        <v>50</v>
      </c>
      <c r="Y1476" t="s">
        <v>47</v>
      </c>
      <c r="Z1476" s="3">
        <v>32568</v>
      </c>
      <c r="AA1476" s="5" t="s">
        <v>50</v>
      </c>
      <c r="AB1476" t="s">
        <v>47</v>
      </c>
      <c r="AC1476" s="3">
        <v>32568</v>
      </c>
      <c r="AD1476" s="5" t="s">
        <v>50</v>
      </c>
      <c r="AE1476" t="s">
        <v>47</v>
      </c>
      <c r="AF1476" t="s">
        <v>47</v>
      </c>
      <c r="AG1476" t="s">
        <v>47</v>
      </c>
      <c r="AH1476" t="s">
        <v>47</v>
      </c>
      <c r="AI1476" t="s">
        <v>47</v>
      </c>
      <c r="AJ1476" t="s">
        <v>47</v>
      </c>
      <c r="AK1476" t="s">
        <v>47</v>
      </c>
      <c r="AL1476" t="s">
        <v>47</v>
      </c>
      <c r="AM1476" t="s">
        <v>47</v>
      </c>
      <c r="AN1476" t="s">
        <v>47</v>
      </c>
      <c r="AO1476" s="5" t="s">
        <v>60</v>
      </c>
      <c r="AP1476" s="4" t="s">
        <v>61</v>
      </c>
      <c r="AQ1476" s="4" t="s">
        <v>53</v>
      </c>
      <c r="AR1476" s="4" t="s">
        <v>5637</v>
      </c>
      <c r="AS1476" s="5">
        <v>48987</v>
      </c>
      <c r="AT1476" t="s">
        <v>47</v>
      </c>
    </row>
    <row r="1477" spans="1:46" ht="65" x14ac:dyDescent="0.3">
      <c r="A1477" s="4" t="s">
        <v>5638</v>
      </c>
      <c r="B1477" t="s">
        <v>47</v>
      </c>
      <c r="C1477" s="4" t="s">
        <v>5639</v>
      </c>
      <c r="D1477" s="4" t="s">
        <v>5640</v>
      </c>
      <c r="E1477" s="4" t="s">
        <v>49</v>
      </c>
      <c r="F1477" s="5" t="s">
        <v>5641</v>
      </c>
      <c r="G1477" s="5" t="s">
        <v>5642</v>
      </c>
      <c r="H1477" t="s">
        <v>47</v>
      </c>
      <c r="I1477" s="3">
        <v>35796</v>
      </c>
      <c r="J1477" s="5" t="s">
        <v>50</v>
      </c>
      <c r="K1477" t="s">
        <v>47</v>
      </c>
      <c r="L1477" s="5" t="s">
        <v>51</v>
      </c>
      <c r="M1477" s="3">
        <v>35796</v>
      </c>
      <c r="N1477" s="5" t="s">
        <v>50</v>
      </c>
      <c r="O1477" t="s">
        <v>47</v>
      </c>
      <c r="P1477" s="3">
        <v>35796</v>
      </c>
      <c r="Q1477" s="5" t="s">
        <v>50</v>
      </c>
      <c r="R1477" t="s">
        <v>47</v>
      </c>
      <c r="S1477" t="s">
        <v>47</v>
      </c>
      <c r="T1477" t="s">
        <v>47</v>
      </c>
      <c r="U1477" t="s">
        <v>47</v>
      </c>
      <c r="V1477" t="s">
        <v>47</v>
      </c>
      <c r="W1477" s="3">
        <v>35796</v>
      </c>
      <c r="X1477" s="5" t="s">
        <v>50</v>
      </c>
      <c r="Y1477" t="s">
        <v>47</v>
      </c>
      <c r="Z1477" s="3">
        <v>35796</v>
      </c>
      <c r="AA1477" s="5" t="s">
        <v>50</v>
      </c>
      <c r="AB1477" t="s">
        <v>47</v>
      </c>
      <c r="AC1477" s="3">
        <v>35796</v>
      </c>
      <c r="AD1477" s="5" t="s">
        <v>50</v>
      </c>
      <c r="AE1477" t="s">
        <v>47</v>
      </c>
      <c r="AF1477" t="s">
        <v>47</v>
      </c>
      <c r="AG1477" t="s">
        <v>47</v>
      </c>
      <c r="AH1477" t="s">
        <v>47</v>
      </c>
      <c r="AI1477" t="s">
        <v>47</v>
      </c>
      <c r="AJ1477" t="s">
        <v>47</v>
      </c>
      <c r="AK1477" t="s">
        <v>47</v>
      </c>
      <c r="AL1477" t="s">
        <v>47</v>
      </c>
      <c r="AM1477" t="s">
        <v>47</v>
      </c>
      <c r="AN1477" t="s">
        <v>47</v>
      </c>
      <c r="AO1477" s="5" t="s">
        <v>51</v>
      </c>
      <c r="AP1477" s="4" t="s">
        <v>135</v>
      </c>
      <c r="AQ1477" s="4" t="s">
        <v>53</v>
      </c>
      <c r="AR1477" s="4" t="s">
        <v>5643</v>
      </c>
      <c r="AS1477" s="5">
        <v>33610</v>
      </c>
      <c r="AT1477" t="s">
        <v>47</v>
      </c>
    </row>
    <row r="1478" spans="1:46" ht="65" x14ac:dyDescent="0.3">
      <c r="A1478" s="4" t="s">
        <v>5644</v>
      </c>
      <c r="B1478" t="s">
        <v>47</v>
      </c>
      <c r="C1478" s="4" t="s">
        <v>122</v>
      </c>
      <c r="D1478" s="4" t="s">
        <v>575</v>
      </c>
      <c r="E1478" s="4" t="s">
        <v>123</v>
      </c>
      <c r="F1478" t="s">
        <v>47</v>
      </c>
      <c r="G1478" s="5" t="s">
        <v>5645</v>
      </c>
      <c r="H1478" t="s">
        <v>47</v>
      </c>
      <c r="I1478" s="3">
        <v>42005</v>
      </c>
      <c r="J1478" s="5" t="s">
        <v>50</v>
      </c>
      <c r="K1478" t="s">
        <v>47</v>
      </c>
      <c r="L1478" s="5" t="s">
        <v>60</v>
      </c>
      <c r="M1478" t="s">
        <v>47</v>
      </c>
      <c r="N1478" t="s">
        <v>47</v>
      </c>
      <c r="O1478" t="s">
        <v>47</v>
      </c>
      <c r="P1478" s="3">
        <v>42005</v>
      </c>
      <c r="Q1478" s="5" t="s">
        <v>50</v>
      </c>
      <c r="R1478" t="s">
        <v>47</v>
      </c>
      <c r="S1478" t="s">
        <v>47</v>
      </c>
      <c r="T1478" t="s">
        <v>47</v>
      </c>
      <c r="U1478" t="s">
        <v>47</v>
      </c>
      <c r="V1478" t="s">
        <v>47</v>
      </c>
      <c r="W1478" s="3">
        <v>42005</v>
      </c>
      <c r="X1478" s="5" t="s">
        <v>50</v>
      </c>
      <c r="Y1478" t="s">
        <v>47</v>
      </c>
      <c r="Z1478" s="3">
        <v>42005</v>
      </c>
      <c r="AA1478" s="5" t="s">
        <v>50</v>
      </c>
      <c r="AB1478" t="s">
        <v>47</v>
      </c>
      <c r="AC1478" s="3">
        <v>42005</v>
      </c>
      <c r="AD1478" s="5" t="s">
        <v>50</v>
      </c>
      <c r="AE1478" t="s">
        <v>47</v>
      </c>
      <c r="AF1478" t="s">
        <v>47</v>
      </c>
      <c r="AG1478" t="s">
        <v>47</v>
      </c>
      <c r="AH1478" t="s">
        <v>47</v>
      </c>
      <c r="AI1478" t="s">
        <v>47</v>
      </c>
      <c r="AJ1478" t="s">
        <v>47</v>
      </c>
      <c r="AK1478" t="s">
        <v>47</v>
      </c>
      <c r="AL1478" t="s">
        <v>47</v>
      </c>
      <c r="AM1478" t="s">
        <v>47</v>
      </c>
      <c r="AN1478" t="s">
        <v>47</v>
      </c>
      <c r="AO1478" s="5" t="s">
        <v>60</v>
      </c>
      <c r="AP1478" s="4" t="s">
        <v>61</v>
      </c>
      <c r="AQ1478" s="4" t="s">
        <v>53</v>
      </c>
      <c r="AR1478" s="4" t="s">
        <v>543</v>
      </c>
      <c r="AS1478" s="5">
        <v>2046137</v>
      </c>
      <c r="AT1478" t="s">
        <v>47</v>
      </c>
    </row>
    <row r="1479" spans="1:46" ht="52" x14ac:dyDescent="0.3">
      <c r="A1479" s="4" t="s">
        <v>5646</v>
      </c>
      <c r="B1479" t="s">
        <v>47</v>
      </c>
      <c r="C1479" s="4" t="s">
        <v>5647</v>
      </c>
      <c r="D1479" s="4" t="s">
        <v>1129</v>
      </c>
      <c r="E1479" s="4" t="s">
        <v>49</v>
      </c>
      <c r="F1479" s="5" t="s">
        <v>5648</v>
      </c>
      <c r="G1479" s="5" t="s">
        <v>5649</v>
      </c>
      <c r="H1479" t="s">
        <v>47</v>
      </c>
      <c r="I1479" s="3">
        <v>32509</v>
      </c>
      <c r="J1479" s="3">
        <v>36831</v>
      </c>
      <c r="K1479" t="s">
        <v>47</v>
      </c>
      <c r="L1479" s="5" t="s">
        <v>51</v>
      </c>
      <c r="M1479" s="3">
        <v>35339</v>
      </c>
      <c r="N1479" s="3">
        <v>36831</v>
      </c>
      <c r="O1479" t="s">
        <v>47</v>
      </c>
      <c r="P1479" s="3">
        <v>32509</v>
      </c>
      <c r="Q1479" s="3">
        <v>36831</v>
      </c>
      <c r="R1479" t="s">
        <v>47</v>
      </c>
      <c r="S1479" t="s">
        <v>47</v>
      </c>
      <c r="T1479" t="s">
        <v>47</v>
      </c>
      <c r="U1479" t="s">
        <v>47</v>
      </c>
      <c r="V1479" t="s">
        <v>47</v>
      </c>
      <c r="W1479" s="3">
        <v>32509</v>
      </c>
      <c r="X1479" s="5" t="s">
        <v>50</v>
      </c>
      <c r="Y1479" t="s">
        <v>47</v>
      </c>
      <c r="Z1479" s="3">
        <v>32509</v>
      </c>
      <c r="AA1479" s="5" t="s">
        <v>50</v>
      </c>
      <c r="AB1479" t="s">
        <v>47</v>
      </c>
      <c r="AC1479" s="3">
        <v>32509</v>
      </c>
      <c r="AD1479" s="5" t="s">
        <v>50</v>
      </c>
      <c r="AE1479" t="s">
        <v>47</v>
      </c>
      <c r="AF1479" t="s">
        <v>47</v>
      </c>
      <c r="AG1479" t="s">
        <v>47</v>
      </c>
      <c r="AH1479" t="s">
        <v>47</v>
      </c>
      <c r="AI1479" t="s">
        <v>47</v>
      </c>
      <c r="AJ1479" t="s">
        <v>47</v>
      </c>
      <c r="AK1479" t="s">
        <v>47</v>
      </c>
      <c r="AL1479" t="s">
        <v>47</v>
      </c>
      <c r="AM1479" t="s">
        <v>47</v>
      </c>
      <c r="AN1479" t="s">
        <v>47</v>
      </c>
      <c r="AO1479" s="5" t="s">
        <v>51</v>
      </c>
      <c r="AP1479" s="4" t="s">
        <v>85</v>
      </c>
      <c r="AQ1479" s="4" t="s">
        <v>53</v>
      </c>
      <c r="AR1479" s="4" t="s">
        <v>1381</v>
      </c>
      <c r="AS1479" s="5">
        <v>41058</v>
      </c>
      <c r="AT1479" t="s">
        <v>47</v>
      </c>
    </row>
    <row r="1480" spans="1:46" ht="65" x14ac:dyDescent="0.3">
      <c r="A1480" s="4" t="s">
        <v>5650</v>
      </c>
      <c r="B1480" t="s">
        <v>47</v>
      </c>
      <c r="C1480" s="4" t="s">
        <v>5651</v>
      </c>
      <c r="D1480" s="4" t="s">
        <v>5652</v>
      </c>
      <c r="E1480" s="4" t="s">
        <v>49</v>
      </c>
      <c r="F1480" t="s">
        <v>47</v>
      </c>
      <c r="G1480" t="s">
        <v>47</v>
      </c>
      <c r="H1480" t="s">
        <v>47</v>
      </c>
      <c r="I1480" s="3">
        <v>39508</v>
      </c>
      <c r="J1480" s="3">
        <v>40544</v>
      </c>
      <c r="K1480" s="5" t="s">
        <v>5653</v>
      </c>
      <c r="L1480" s="5" t="s">
        <v>51</v>
      </c>
      <c r="M1480" s="3">
        <v>39508</v>
      </c>
      <c r="N1480" s="3">
        <v>40544</v>
      </c>
      <c r="O1480" s="5" t="s">
        <v>5653</v>
      </c>
      <c r="P1480" s="3">
        <v>40544</v>
      </c>
      <c r="Q1480" s="3">
        <v>40544</v>
      </c>
      <c r="R1480" t="s">
        <v>47</v>
      </c>
      <c r="S1480" t="s">
        <v>47</v>
      </c>
      <c r="T1480" t="s">
        <v>47</v>
      </c>
      <c r="U1480" t="s">
        <v>47</v>
      </c>
      <c r="V1480" t="s">
        <v>47</v>
      </c>
      <c r="W1480" s="3">
        <v>39508</v>
      </c>
      <c r="X1480" s="3">
        <v>40544</v>
      </c>
      <c r="Y1480" s="5" t="s">
        <v>5653</v>
      </c>
      <c r="Z1480" s="3">
        <v>39508</v>
      </c>
      <c r="AA1480" s="3">
        <v>40544</v>
      </c>
      <c r="AB1480" s="5" t="s">
        <v>5653</v>
      </c>
      <c r="AC1480" s="3">
        <v>39508</v>
      </c>
      <c r="AD1480" s="3">
        <v>39508</v>
      </c>
      <c r="AE1480" t="s">
        <v>47</v>
      </c>
      <c r="AF1480" t="s">
        <v>47</v>
      </c>
      <c r="AG1480" t="s">
        <v>47</v>
      </c>
      <c r="AH1480" t="s">
        <v>47</v>
      </c>
      <c r="AI1480" t="s">
        <v>47</v>
      </c>
      <c r="AJ1480" t="s">
        <v>47</v>
      </c>
      <c r="AK1480" t="s">
        <v>47</v>
      </c>
      <c r="AL1480" t="s">
        <v>47</v>
      </c>
      <c r="AM1480" t="s">
        <v>47</v>
      </c>
      <c r="AN1480" t="s">
        <v>47</v>
      </c>
      <c r="AO1480" s="5" t="s">
        <v>51</v>
      </c>
      <c r="AP1480" s="4" t="s">
        <v>1170</v>
      </c>
      <c r="AQ1480" s="4" t="s">
        <v>53</v>
      </c>
      <c r="AR1480" s="4" t="s">
        <v>543</v>
      </c>
      <c r="AS1480" s="5">
        <v>38688</v>
      </c>
      <c r="AT1480" t="s">
        <v>47</v>
      </c>
    </row>
    <row r="1481" spans="1:46" ht="13" x14ac:dyDescent="0.3">
      <c r="A1481" s="4" t="s">
        <v>5654</v>
      </c>
      <c r="B1481" t="s">
        <v>47</v>
      </c>
      <c r="C1481" s="4" t="s">
        <v>747</v>
      </c>
      <c r="D1481" s="4" t="s">
        <v>748</v>
      </c>
      <c r="E1481" s="4" t="s">
        <v>66</v>
      </c>
      <c r="F1481" s="5" t="s">
        <v>5655</v>
      </c>
      <c r="G1481" s="5" t="s">
        <v>5656</v>
      </c>
      <c r="H1481" t="s">
        <v>47</v>
      </c>
      <c r="I1481" s="3">
        <v>32203</v>
      </c>
      <c r="J1481" s="3">
        <v>40695</v>
      </c>
      <c r="K1481" t="s">
        <v>47</v>
      </c>
      <c r="L1481" s="5" t="s">
        <v>60</v>
      </c>
      <c r="M1481" s="3">
        <v>34394</v>
      </c>
      <c r="N1481" s="3">
        <v>40695</v>
      </c>
      <c r="O1481" t="s">
        <v>47</v>
      </c>
      <c r="P1481" s="3">
        <v>32203</v>
      </c>
      <c r="Q1481" s="3">
        <v>40695</v>
      </c>
      <c r="R1481" t="s">
        <v>47</v>
      </c>
      <c r="S1481" t="s">
        <v>47</v>
      </c>
      <c r="T1481" t="s">
        <v>47</v>
      </c>
      <c r="U1481" t="s">
        <v>47</v>
      </c>
      <c r="V1481" t="s">
        <v>47</v>
      </c>
      <c r="W1481" s="3">
        <v>31472</v>
      </c>
      <c r="X1481" s="3">
        <v>44166</v>
      </c>
      <c r="Y1481" t="s">
        <v>47</v>
      </c>
      <c r="Z1481" s="3">
        <v>31472</v>
      </c>
      <c r="AA1481" s="3">
        <v>44166</v>
      </c>
      <c r="AB1481" t="s">
        <v>47</v>
      </c>
      <c r="AC1481" s="3">
        <v>31472</v>
      </c>
      <c r="AD1481" s="3">
        <v>44166</v>
      </c>
      <c r="AE1481" t="s">
        <v>47</v>
      </c>
      <c r="AF1481" t="s">
        <v>47</v>
      </c>
      <c r="AG1481" t="s">
        <v>47</v>
      </c>
      <c r="AH1481" t="s">
        <v>47</v>
      </c>
      <c r="AI1481" t="s">
        <v>47</v>
      </c>
      <c r="AJ1481" t="s">
        <v>47</v>
      </c>
      <c r="AK1481" t="s">
        <v>47</v>
      </c>
      <c r="AL1481" t="s">
        <v>47</v>
      </c>
      <c r="AM1481" t="s">
        <v>47</v>
      </c>
      <c r="AN1481" t="s">
        <v>47</v>
      </c>
      <c r="AO1481" s="5" t="s">
        <v>60</v>
      </c>
      <c r="AP1481" s="4" t="s">
        <v>61</v>
      </c>
      <c r="AQ1481" s="4" t="s">
        <v>53</v>
      </c>
      <c r="AR1481" s="4" t="s">
        <v>371</v>
      </c>
      <c r="AS1481" s="5">
        <v>40555</v>
      </c>
      <c r="AT1481" t="s">
        <v>47</v>
      </c>
    </row>
    <row r="1482" spans="1:46" ht="91" x14ac:dyDescent="0.3">
      <c r="A1482" s="4" t="s">
        <v>5657</v>
      </c>
      <c r="B1482" t="s">
        <v>47</v>
      </c>
      <c r="C1482" s="4" t="s">
        <v>122</v>
      </c>
      <c r="D1482" s="4" t="s">
        <v>206</v>
      </c>
      <c r="E1482" s="4" t="s">
        <v>123</v>
      </c>
      <c r="F1482" s="5" t="s">
        <v>5658</v>
      </c>
      <c r="G1482" s="5" t="s">
        <v>5659</v>
      </c>
      <c r="H1482" t="s">
        <v>47</v>
      </c>
      <c r="I1482" s="3">
        <v>36161</v>
      </c>
      <c r="J1482" s="5" t="s">
        <v>50</v>
      </c>
      <c r="K1482" t="s">
        <v>47</v>
      </c>
      <c r="L1482" s="5" t="s">
        <v>60</v>
      </c>
      <c r="M1482" s="3">
        <v>36161</v>
      </c>
      <c r="N1482" s="3">
        <v>38292</v>
      </c>
      <c r="O1482" t="s">
        <v>47</v>
      </c>
      <c r="P1482" s="3">
        <v>36161</v>
      </c>
      <c r="Q1482" s="5" t="s">
        <v>50</v>
      </c>
      <c r="R1482" t="s">
        <v>47</v>
      </c>
      <c r="S1482" t="s">
        <v>47</v>
      </c>
      <c r="T1482" t="s">
        <v>47</v>
      </c>
      <c r="U1482" t="s">
        <v>47</v>
      </c>
      <c r="V1482" s="5">
        <v>365</v>
      </c>
      <c r="W1482" s="3">
        <v>33635</v>
      </c>
      <c r="X1482" s="5" t="s">
        <v>50</v>
      </c>
      <c r="Y1482" t="s">
        <v>47</v>
      </c>
      <c r="Z1482" s="3">
        <v>33635</v>
      </c>
      <c r="AA1482" s="5" t="s">
        <v>50</v>
      </c>
      <c r="AB1482" t="s">
        <v>47</v>
      </c>
      <c r="AC1482" s="3">
        <v>33635</v>
      </c>
      <c r="AD1482" s="5" t="s">
        <v>50</v>
      </c>
      <c r="AE1482" t="s">
        <v>47</v>
      </c>
      <c r="AF1482" t="s">
        <v>47</v>
      </c>
      <c r="AG1482" t="s">
        <v>47</v>
      </c>
      <c r="AH1482" t="s">
        <v>47</v>
      </c>
      <c r="AI1482" t="s">
        <v>47</v>
      </c>
      <c r="AJ1482" t="s">
        <v>47</v>
      </c>
      <c r="AK1482" t="s">
        <v>47</v>
      </c>
      <c r="AL1482" t="s">
        <v>47</v>
      </c>
      <c r="AM1482" t="s">
        <v>47</v>
      </c>
      <c r="AN1482" t="s">
        <v>47</v>
      </c>
      <c r="AO1482" s="5" t="s">
        <v>60</v>
      </c>
      <c r="AP1482" s="4" t="s">
        <v>61</v>
      </c>
      <c r="AQ1482" s="4" t="s">
        <v>53</v>
      </c>
      <c r="AR1482" s="4" t="s">
        <v>5660</v>
      </c>
      <c r="AS1482" s="5">
        <v>36473</v>
      </c>
      <c r="AT1482" t="s">
        <v>47</v>
      </c>
    </row>
    <row r="1483" spans="1:46" ht="117" x14ac:dyDescent="0.3">
      <c r="A1483" s="4" t="s">
        <v>5661</v>
      </c>
      <c r="B1483" t="s">
        <v>47</v>
      </c>
      <c r="C1483" s="4" t="s">
        <v>5662</v>
      </c>
      <c r="D1483" s="4" t="s">
        <v>754</v>
      </c>
      <c r="E1483" s="4" t="s">
        <v>49</v>
      </c>
      <c r="F1483" s="5" t="s">
        <v>5663</v>
      </c>
      <c r="G1483" s="5" t="s">
        <v>5664</v>
      </c>
      <c r="H1483" t="s">
        <v>47</v>
      </c>
      <c r="I1483" t="s">
        <v>47</v>
      </c>
      <c r="J1483" t="s">
        <v>47</v>
      </c>
      <c r="K1483" t="s">
        <v>47</v>
      </c>
      <c r="L1483" s="5" t="s">
        <v>60</v>
      </c>
      <c r="M1483" t="s">
        <v>47</v>
      </c>
      <c r="N1483" t="s">
        <v>47</v>
      </c>
      <c r="O1483" t="s">
        <v>47</v>
      </c>
      <c r="P1483" t="s">
        <v>47</v>
      </c>
      <c r="Q1483" t="s">
        <v>47</v>
      </c>
      <c r="R1483" t="s">
        <v>47</v>
      </c>
      <c r="S1483" t="s">
        <v>47</v>
      </c>
      <c r="T1483" t="s">
        <v>47</v>
      </c>
      <c r="U1483" t="s">
        <v>47</v>
      </c>
      <c r="V1483" t="s">
        <v>47</v>
      </c>
      <c r="W1483" s="3">
        <v>32143</v>
      </c>
      <c r="X1483" s="5" t="s">
        <v>50</v>
      </c>
      <c r="Y1483" t="s">
        <v>47</v>
      </c>
      <c r="Z1483" s="3">
        <v>32143</v>
      </c>
      <c r="AA1483" s="5" t="s">
        <v>50</v>
      </c>
      <c r="AB1483" t="s">
        <v>47</v>
      </c>
      <c r="AC1483" s="3">
        <v>32143</v>
      </c>
      <c r="AD1483" s="5" t="s">
        <v>50</v>
      </c>
      <c r="AE1483" t="s">
        <v>47</v>
      </c>
      <c r="AF1483" t="s">
        <v>47</v>
      </c>
      <c r="AG1483" t="s">
        <v>47</v>
      </c>
      <c r="AH1483" t="s">
        <v>47</v>
      </c>
      <c r="AI1483" t="s">
        <v>47</v>
      </c>
      <c r="AJ1483" t="s">
        <v>47</v>
      </c>
      <c r="AK1483" t="s">
        <v>47</v>
      </c>
      <c r="AL1483" t="s">
        <v>47</v>
      </c>
      <c r="AM1483" t="s">
        <v>47</v>
      </c>
      <c r="AN1483" t="s">
        <v>47</v>
      </c>
      <c r="AO1483" s="5" t="s">
        <v>51</v>
      </c>
      <c r="AP1483" s="4" t="s">
        <v>61</v>
      </c>
      <c r="AQ1483" s="4" t="s">
        <v>53</v>
      </c>
      <c r="AR1483" s="4" t="s">
        <v>5665</v>
      </c>
      <c r="AS1483" s="5">
        <v>49068</v>
      </c>
      <c r="AT1483" t="s">
        <v>47</v>
      </c>
    </row>
    <row r="1484" spans="1:46" ht="26" x14ac:dyDescent="0.3">
      <c r="A1484" s="4" t="s">
        <v>5666</v>
      </c>
      <c r="B1484" t="s">
        <v>47</v>
      </c>
      <c r="C1484" s="4" t="s">
        <v>411</v>
      </c>
      <c r="D1484" s="4" t="s">
        <v>88</v>
      </c>
      <c r="E1484" s="4" t="s">
        <v>49</v>
      </c>
      <c r="F1484" s="5" t="s">
        <v>5667</v>
      </c>
      <c r="G1484" s="5" t="s">
        <v>5668</v>
      </c>
      <c r="H1484" t="s">
        <v>47</v>
      </c>
      <c r="I1484" s="3">
        <v>34943</v>
      </c>
      <c r="J1484" s="3">
        <v>41426</v>
      </c>
      <c r="K1484" t="s">
        <v>47</v>
      </c>
      <c r="L1484" s="5" t="s">
        <v>60</v>
      </c>
      <c r="M1484" s="3">
        <v>34943</v>
      </c>
      <c r="N1484" s="3">
        <v>41426</v>
      </c>
      <c r="O1484" t="s">
        <v>47</v>
      </c>
      <c r="P1484" s="3">
        <v>35034</v>
      </c>
      <c r="Q1484" s="3">
        <v>41426</v>
      </c>
      <c r="R1484" t="s">
        <v>47</v>
      </c>
      <c r="S1484" t="s">
        <v>47</v>
      </c>
      <c r="T1484" t="s">
        <v>47</v>
      </c>
      <c r="U1484" t="s">
        <v>47</v>
      </c>
      <c r="V1484" t="s">
        <v>47</v>
      </c>
      <c r="W1484" s="3">
        <v>32568</v>
      </c>
      <c r="X1484" s="5" t="s">
        <v>50</v>
      </c>
      <c r="Y1484" t="s">
        <v>47</v>
      </c>
      <c r="Z1484" s="3">
        <v>32568</v>
      </c>
      <c r="AA1484" s="5" t="s">
        <v>50</v>
      </c>
      <c r="AB1484" t="s">
        <v>47</v>
      </c>
      <c r="AC1484" s="3">
        <v>32568</v>
      </c>
      <c r="AD1484" s="5" t="s">
        <v>50</v>
      </c>
      <c r="AE1484" t="s">
        <v>47</v>
      </c>
      <c r="AF1484" t="s">
        <v>47</v>
      </c>
      <c r="AG1484" t="s">
        <v>47</v>
      </c>
      <c r="AH1484" t="s">
        <v>47</v>
      </c>
      <c r="AI1484" t="s">
        <v>47</v>
      </c>
      <c r="AJ1484" t="s">
        <v>47</v>
      </c>
      <c r="AK1484" t="s">
        <v>47</v>
      </c>
      <c r="AL1484" t="s">
        <v>47</v>
      </c>
      <c r="AM1484" t="s">
        <v>47</v>
      </c>
      <c r="AN1484" t="s">
        <v>47</v>
      </c>
      <c r="AO1484" s="5" t="s">
        <v>60</v>
      </c>
      <c r="AP1484" s="4" t="s">
        <v>61</v>
      </c>
      <c r="AQ1484" s="4" t="s">
        <v>53</v>
      </c>
      <c r="AR1484" s="4" t="s">
        <v>342</v>
      </c>
      <c r="AS1484" s="5">
        <v>42344</v>
      </c>
      <c r="AT1484" t="s">
        <v>47</v>
      </c>
    </row>
    <row r="1485" spans="1:46" ht="26" x14ac:dyDescent="0.3">
      <c r="A1485" s="4" t="s">
        <v>5669</v>
      </c>
      <c r="B1485" t="s">
        <v>47</v>
      </c>
      <c r="C1485" s="4" t="s">
        <v>122</v>
      </c>
      <c r="D1485" s="4" t="s">
        <v>206</v>
      </c>
      <c r="E1485" s="4" t="s">
        <v>123</v>
      </c>
      <c r="F1485" s="5" t="s">
        <v>5670</v>
      </c>
      <c r="G1485" s="5" t="s">
        <v>5671</v>
      </c>
      <c r="H1485" t="s">
        <v>47</v>
      </c>
      <c r="I1485" s="3">
        <v>35400</v>
      </c>
      <c r="J1485" s="5" t="s">
        <v>50</v>
      </c>
      <c r="K1485" t="s">
        <v>47</v>
      </c>
      <c r="L1485" s="5" t="s">
        <v>60</v>
      </c>
      <c r="M1485" t="s">
        <v>47</v>
      </c>
      <c r="N1485" t="s">
        <v>47</v>
      </c>
      <c r="O1485" t="s">
        <v>47</v>
      </c>
      <c r="P1485" s="3">
        <v>35400</v>
      </c>
      <c r="Q1485" s="5" t="s">
        <v>50</v>
      </c>
      <c r="R1485" t="s">
        <v>47</v>
      </c>
      <c r="S1485" t="s">
        <v>47</v>
      </c>
      <c r="T1485" t="s">
        <v>47</v>
      </c>
      <c r="U1485" t="s">
        <v>47</v>
      </c>
      <c r="V1485" s="5">
        <v>365</v>
      </c>
      <c r="W1485" s="3">
        <v>35400</v>
      </c>
      <c r="X1485" s="5" t="s">
        <v>50</v>
      </c>
      <c r="Y1485" t="s">
        <v>47</v>
      </c>
      <c r="Z1485" s="3">
        <v>35400</v>
      </c>
      <c r="AA1485" s="5" t="s">
        <v>50</v>
      </c>
      <c r="AB1485" t="s">
        <v>47</v>
      </c>
      <c r="AC1485" s="3">
        <v>35400</v>
      </c>
      <c r="AD1485" s="5" t="s">
        <v>50</v>
      </c>
      <c r="AE1485" t="s">
        <v>47</v>
      </c>
      <c r="AF1485" t="s">
        <v>47</v>
      </c>
      <c r="AG1485" t="s">
        <v>47</v>
      </c>
      <c r="AH1485" t="s">
        <v>47</v>
      </c>
      <c r="AI1485" t="s">
        <v>47</v>
      </c>
      <c r="AJ1485" t="s">
        <v>47</v>
      </c>
      <c r="AK1485" t="s">
        <v>47</v>
      </c>
      <c r="AL1485" t="s">
        <v>47</v>
      </c>
      <c r="AM1485" t="s">
        <v>47</v>
      </c>
      <c r="AN1485" t="s">
        <v>47</v>
      </c>
      <c r="AO1485" s="5" t="s">
        <v>60</v>
      </c>
      <c r="AP1485" s="4" t="s">
        <v>61</v>
      </c>
      <c r="AQ1485" s="4" t="s">
        <v>53</v>
      </c>
      <c r="AR1485" s="4" t="s">
        <v>807</v>
      </c>
      <c r="AS1485" s="5">
        <v>54640</v>
      </c>
      <c r="AT1485" t="s">
        <v>47</v>
      </c>
    </row>
    <row r="1486" spans="1:46" ht="52" x14ac:dyDescent="0.3">
      <c r="A1486" s="4" t="s">
        <v>5672</v>
      </c>
      <c r="B1486" t="s">
        <v>47</v>
      </c>
      <c r="C1486" s="4" t="s">
        <v>5673</v>
      </c>
      <c r="D1486" s="4" t="s">
        <v>597</v>
      </c>
      <c r="E1486" s="4" t="s">
        <v>49</v>
      </c>
      <c r="F1486" s="5" t="s">
        <v>5674</v>
      </c>
      <c r="G1486" s="5" t="s">
        <v>5675</v>
      </c>
      <c r="H1486" t="s">
        <v>47</v>
      </c>
      <c r="I1486" t="s">
        <v>47</v>
      </c>
      <c r="J1486" t="s">
        <v>47</v>
      </c>
      <c r="K1486" t="s">
        <v>47</v>
      </c>
      <c r="L1486" s="5" t="s">
        <v>60</v>
      </c>
      <c r="M1486" t="s">
        <v>47</v>
      </c>
      <c r="N1486" t="s">
        <v>47</v>
      </c>
      <c r="O1486" t="s">
        <v>47</v>
      </c>
      <c r="P1486" t="s">
        <v>47</v>
      </c>
      <c r="Q1486" t="s">
        <v>47</v>
      </c>
      <c r="R1486" t="s">
        <v>47</v>
      </c>
      <c r="S1486" t="s">
        <v>47</v>
      </c>
      <c r="T1486" t="s">
        <v>47</v>
      </c>
      <c r="U1486" t="s">
        <v>47</v>
      </c>
      <c r="V1486" t="s">
        <v>47</v>
      </c>
      <c r="W1486" s="3">
        <v>32568</v>
      </c>
      <c r="X1486" s="3">
        <v>36861</v>
      </c>
      <c r="Y1486" t="s">
        <v>47</v>
      </c>
      <c r="Z1486" s="3">
        <v>32568</v>
      </c>
      <c r="AA1486" s="3">
        <v>36861</v>
      </c>
      <c r="AB1486" t="s">
        <v>47</v>
      </c>
      <c r="AC1486" s="3">
        <v>32568</v>
      </c>
      <c r="AD1486" s="3">
        <v>36861</v>
      </c>
      <c r="AE1486" t="s">
        <v>47</v>
      </c>
      <c r="AF1486" t="s">
        <v>47</v>
      </c>
      <c r="AG1486" t="s">
        <v>47</v>
      </c>
      <c r="AH1486" t="s">
        <v>47</v>
      </c>
      <c r="AI1486" t="s">
        <v>47</v>
      </c>
      <c r="AJ1486" t="s">
        <v>47</v>
      </c>
      <c r="AK1486" t="s">
        <v>47</v>
      </c>
      <c r="AL1486" t="s">
        <v>47</v>
      </c>
      <c r="AM1486" t="s">
        <v>47</v>
      </c>
      <c r="AN1486" t="s">
        <v>47</v>
      </c>
      <c r="AO1486" s="5" t="s">
        <v>60</v>
      </c>
      <c r="AP1486" s="4" t="s">
        <v>61</v>
      </c>
      <c r="AQ1486" s="4" t="s">
        <v>53</v>
      </c>
      <c r="AR1486" s="4" t="s">
        <v>2073</v>
      </c>
      <c r="AS1486" s="5">
        <v>701</v>
      </c>
      <c r="AT1486" t="s">
        <v>47</v>
      </c>
    </row>
    <row r="1487" spans="1:46" ht="13" x14ac:dyDescent="0.3">
      <c r="A1487" s="4" t="s">
        <v>5676</v>
      </c>
      <c r="B1487" t="s">
        <v>47</v>
      </c>
      <c r="C1487" s="4" t="s">
        <v>115</v>
      </c>
      <c r="D1487" s="4" t="s">
        <v>559</v>
      </c>
      <c r="E1487" s="4" t="s">
        <v>66</v>
      </c>
      <c r="F1487" t="s">
        <v>47</v>
      </c>
      <c r="G1487" s="5" t="s">
        <v>5677</v>
      </c>
      <c r="H1487" t="s">
        <v>47</v>
      </c>
      <c r="I1487" s="3">
        <v>42736</v>
      </c>
      <c r="J1487" s="5" t="s">
        <v>50</v>
      </c>
      <c r="K1487" t="s">
        <v>47</v>
      </c>
      <c r="L1487" s="5" t="s">
        <v>60</v>
      </c>
      <c r="M1487" s="3">
        <v>42736</v>
      </c>
      <c r="N1487" s="5" t="s">
        <v>50</v>
      </c>
      <c r="O1487" t="s">
        <v>47</v>
      </c>
      <c r="P1487" s="3">
        <v>42736</v>
      </c>
      <c r="Q1487" s="5" t="s">
        <v>50</v>
      </c>
      <c r="R1487" t="s">
        <v>47</v>
      </c>
      <c r="S1487" t="s">
        <v>47</v>
      </c>
      <c r="T1487" t="s">
        <v>47</v>
      </c>
      <c r="U1487" t="s">
        <v>47</v>
      </c>
      <c r="V1487" s="5">
        <v>365</v>
      </c>
      <c r="W1487" s="3">
        <v>40179</v>
      </c>
      <c r="X1487" s="5" t="s">
        <v>50</v>
      </c>
      <c r="Y1487" s="5" t="s">
        <v>719</v>
      </c>
      <c r="Z1487" s="3">
        <v>40179</v>
      </c>
      <c r="AA1487" s="5" t="s">
        <v>50</v>
      </c>
      <c r="AB1487" s="5" t="s">
        <v>719</v>
      </c>
      <c r="AC1487" s="3">
        <v>40179</v>
      </c>
      <c r="AD1487" s="5" t="s">
        <v>50</v>
      </c>
      <c r="AE1487" s="5" t="s">
        <v>719</v>
      </c>
      <c r="AF1487" t="s">
        <v>47</v>
      </c>
      <c r="AG1487" t="s">
        <v>47</v>
      </c>
      <c r="AH1487" t="s">
        <v>47</v>
      </c>
      <c r="AI1487" t="s">
        <v>47</v>
      </c>
      <c r="AJ1487" t="s">
        <v>47</v>
      </c>
      <c r="AK1487" t="s">
        <v>47</v>
      </c>
      <c r="AL1487" t="s">
        <v>47</v>
      </c>
      <c r="AM1487" t="s">
        <v>47</v>
      </c>
      <c r="AN1487" t="s">
        <v>47</v>
      </c>
      <c r="AO1487" s="5" t="s">
        <v>51</v>
      </c>
      <c r="AP1487" s="4" t="s">
        <v>61</v>
      </c>
      <c r="AQ1487" s="4" t="s">
        <v>53</v>
      </c>
      <c r="AR1487" s="4" t="s">
        <v>371</v>
      </c>
      <c r="AS1487" s="5">
        <v>2061780</v>
      </c>
      <c r="AT1487" t="s">
        <v>47</v>
      </c>
    </row>
    <row r="1488" spans="1:46" ht="52" x14ac:dyDescent="0.3">
      <c r="A1488" s="4" t="s">
        <v>5678</v>
      </c>
      <c r="B1488" t="s">
        <v>47</v>
      </c>
      <c r="C1488" s="4" t="s">
        <v>5679</v>
      </c>
      <c r="D1488" s="4" t="s">
        <v>5680</v>
      </c>
      <c r="E1488" s="4" t="s">
        <v>49</v>
      </c>
      <c r="F1488" s="5" t="s">
        <v>5681</v>
      </c>
      <c r="G1488" t="s">
        <v>47</v>
      </c>
      <c r="H1488" t="s">
        <v>47</v>
      </c>
      <c r="I1488" s="3">
        <v>37165</v>
      </c>
      <c r="J1488" s="3">
        <v>43831</v>
      </c>
      <c r="K1488" t="s">
        <v>47</v>
      </c>
      <c r="L1488" s="5" t="s">
        <v>60</v>
      </c>
      <c r="M1488" s="3">
        <v>37165</v>
      </c>
      <c r="N1488" s="3">
        <v>43831</v>
      </c>
      <c r="O1488" t="s">
        <v>47</v>
      </c>
      <c r="P1488" s="3">
        <v>37165</v>
      </c>
      <c r="Q1488" s="3">
        <v>43831</v>
      </c>
      <c r="R1488" t="s">
        <v>47</v>
      </c>
      <c r="S1488" t="s">
        <v>47</v>
      </c>
      <c r="T1488" t="s">
        <v>47</v>
      </c>
      <c r="U1488" t="s">
        <v>47</v>
      </c>
      <c r="V1488" t="s">
        <v>47</v>
      </c>
      <c r="W1488" s="3">
        <v>37165</v>
      </c>
      <c r="X1488" s="3">
        <v>43831</v>
      </c>
      <c r="Y1488" t="s">
        <v>47</v>
      </c>
      <c r="Z1488" s="3">
        <v>37165</v>
      </c>
      <c r="AA1488" s="3">
        <v>43831</v>
      </c>
      <c r="AB1488" t="s">
        <v>47</v>
      </c>
      <c r="AC1488" s="3">
        <v>38078</v>
      </c>
      <c r="AD1488" s="3">
        <v>43831</v>
      </c>
      <c r="AE1488" t="s">
        <v>47</v>
      </c>
      <c r="AF1488" t="s">
        <v>47</v>
      </c>
      <c r="AG1488" t="s">
        <v>47</v>
      </c>
      <c r="AH1488" t="s">
        <v>47</v>
      </c>
      <c r="AI1488" t="s">
        <v>47</v>
      </c>
      <c r="AJ1488" t="s">
        <v>47</v>
      </c>
      <c r="AK1488" t="s">
        <v>47</v>
      </c>
      <c r="AL1488" t="s">
        <v>47</v>
      </c>
      <c r="AM1488" t="s">
        <v>47</v>
      </c>
      <c r="AN1488" t="s">
        <v>47</v>
      </c>
      <c r="AO1488" s="5" t="s">
        <v>60</v>
      </c>
      <c r="AP1488" s="4" t="s">
        <v>61</v>
      </c>
      <c r="AQ1488" s="4" t="s">
        <v>53</v>
      </c>
      <c r="AR1488" s="4" t="s">
        <v>1381</v>
      </c>
      <c r="AS1488" s="5">
        <v>48745</v>
      </c>
      <c r="AT1488" t="s">
        <v>47</v>
      </c>
    </row>
    <row r="1489" spans="1:46" ht="52" x14ac:dyDescent="0.3">
      <c r="A1489" s="4" t="s">
        <v>5682</v>
      </c>
      <c r="B1489" s="4" t="s">
        <v>5683</v>
      </c>
      <c r="C1489" s="4" t="s">
        <v>928</v>
      </c>
      <c r="D1489" s="4" t="s">
        <v>1168</v>
      </c>
      <c r="E1489" s="4" t="s">
        <v>49</v>
      </c>
      <c r="F1489" t="s">
        <v>47</v>
      </c>
      <c r="G1489" t="s">
        <v>47</v>
      </c>
      <c r="H1489" s="5" t="s">
        <v>5684</v>
      </c>
      <c r="I1489" t="s">
        <v>47</v>
      </c>
      <c r="J1489" t="s">
        <v>47</v>
      </c>
      <c r="K1489" t="s">
        <v>47</v>
      </c>
      <c r="L1489" s="5" t="s">
        <v>51</v>
      </c>
      <c r="M1489" t="s">
        <v>47</v>
      </c>
      <c r="N1489" t="s">
        <v>47</v>
      </c>
      <c r="O1489" t="s">
        <v>47</v>
      </c>
      <c r="P1489" t="s">
        <v>47</v>
      </c>
      <c r="Q1489" t="s">
        <v>47</v>
      </c>
      <c r="R1489" t="s">
        <v>47</v>
      </c>
      <c r="S1489" t="s">
        <v>47</v>
      </c>
      <c r="T1489" t="s">
        <v>47</v>
      </c>
      <c r="U1489" t="s">
        <v>47</v>
      </c>
      <c r="V1489" t="s">
        <v>47</v>
      </c>
      <c r="W1489" s="3">
        <v>37622</v>
      </c>
      <c r="X1489" s="3">
        <v>37622</v>
      </c>
      <c r="Y1489" t="s">
        <v>47</v>
      </c>
      <c r="Z1489" s="3">
        <v>37622</v>
      </c>
      <c r="AA1489" s="3">
        <v>37622</v>
      </c>
      <c r="AB1489" t="s">
        <v>47</v>
      </c>
      <c r="AC1489" t="s">
        <v>47</v>
      </c>
      <c r="AD1489" t="s">
        <v>47</v>
      </c>
      <c r="AE1489" t="s">
        <v>47</v>
      </c>
      <c r="AF1489" t="s">
        <v>47</v>
      </c>
      <c r="AG1489" t="s">
        <v>47</v>
      </c>
      <c r="AH1489" t="s">
        <v>47</v>
      </c>
      <c r="AI1489" t="s">
        <v>47</v>
      </c>
      <c r="AJ1489" t="s">
        <v>47</v>
      </c>
      <c r="AK1489" t="s">
        <v>47</v>
      </c>
      <c r="AL1489" t="s">
        <v>47</v>
      </c>
      <c r="AM1489" t="s">
        <v>47</v>
      </c>
      <c r="AN1489" t="s">
        <v>47</v>
      </c>
      <c r="AO1489" s="5" t="s">
        <v>51</v>
      </c>
      <c r="AP1489" s="4" t="s">
        <v>1170</v>
      </c>
      <c r="AQ1489" s="4" t="s">
        <v>53</v>
      </c>
      <c r="AR1489" s="4" t="s">
        <v>1381</v>
      </c>
      <c r="AS1489" s="5">
        <v>40091</v>
      </c>
      <c r="AT1489" t="s">
        <v>47</v>
      </c>
    </row>
    <row r="1490" spans="1:46" ht="104" x14ac:dyDescent="0.3">
      <c r="A1490" s="4" t="s">
        <v>5685</v>
      </c>
      <c r="B1490" t="s">
        <v>47</v>
      </c>
      <c r="C1490" s="4" t="s">
        <v>519</v>
      </c>
      <c r="D1490" s="4" t="s">
        <v>88</v>
      </c>
      <c r="E1490" s="4" t="s">
        <v>49</v>
      </c>
      <c r="F1490" s="5" t="s">
        <v>5686</v>
      </c>
      <c r="G1490" s="5" t="s">
        <v>5687</v>
      </c>
      <c r="H1490" t="s">
        <v>47</v>
      </c>
      <c r="I1490" s="3">
        <v>33604</v>
      </c>
      <c r="J1490" s="3">
        <v>40483</v>
      </c>
      <c r="K1490" t="s">
        <v>47</v>
      </c>
      <c r="L1490" s="5" t="s">
        <v>60</v>
      </c>
      <c r="M1490" s="3">
        <v>34335</v>
      </c>
      <c r="N1490" s="3">
        <v>40483</v>
      </c>
      <c r="O1490" t="s">
        <v>47</v>
      </c>
      <c r="P1490" s="3">
        <v>33604</v>
      </c>
      <c r="Q1490" s="3">
        <v>40483</v>
      </c>
      <c r="R1490" t="s">
        <v>47</v>
      </c>
      <c r="S1490" t="s">
        <v>47</v>
      </c>
      <c r="T1490" t="s">
        <v>47</v>
      </c>
      <c r="U1490" t="s">
        <v>47</v>
      </c>
      <c r="V1490" t="s">
        <v>47</v>
      </c>
      <c r="W1490" s="3">
        <v>32509</v>
      </c>
      <c r="X1490" s="5" t="s">
        <v>50</v>
      </c>
      <c r="Y1490" t="s">
        <v>47</v>
      </c>
      <c r="Z1490" s="3">
        <v>32509</v>
      </c>
      <c r="AA1490" s="5" t="s">
        <v>50</v>
      </c>
      <c r="AB1490" t="s">
        <v>47</v>
      </c>
      <c r="AC1490" s="3">
        <v>32509</v>
      </c>
      <c r="AD1490" s="5" t="s">
        <v>50</v>
      </c>
      <c r="AE1490" t="s">
        <v>47</v>
      </c>
      <c r="AF1490" t="s">
        <v>47</v>
      </c>
      <c r="AG1490" t="s">
        <v>47</v>
      </c>
      <c r="AH1490" t="s">
        <v>47</v>
      </c>
      <c r="AI1490" t="s">
        <v>47</v>
      </c>
      <c r="AJ1490" t="s">
        <v>47</v>
      </c>
      <c r="AK1490" t="s">
        <v>47</v>
      </c>
      <c r="AL1490" t="s">
        <v>47</v>
      </c>
      <c r="AM1490" t="s">
        <v>47</v>
      </c>
      <c r="AN1490" t="s">
        <v>47</v>
      </c>
      <c r="AO1490" s="5" t="s">
        <v>60</v>
      </c>
      <c r="AP1490" s="4" t="s">
        <v>61</v>
      </c>
      <c r="AQ1490" s="4" t="s">
        <v>53</v>
      </c>
      <c r="AR1490" s="4" t="s">
        <v>5688</v>
      </c>
      <c r="AS1490" s="5">
        <v>42235</v>
      </c>
      <c r="AT1490" t="s">
        <v>47</v>
      </c>
    </row>
    <row r="1491" spans="1:46" ht="39" x14ac:dyDescent="0.3">
      <c r="A1491" s="4" t="s">
        <v>5689</v>
      </c>
      <c r="B1491" t="s">
        <v>47</v>
      </c>
      <c r="C1491" s="4" t="s">
        <v>747</v>
      </c>
      <c r="D1491" s="4" t="s">
        <v>748</v>
      </c>
      <c r="E1491" s="4" t="s">
        <v>49</v>
      </c>
      <c r="F1491" s="5" t="s">
        <v>5690</v>
      </c>
      <c r="G1491" s="5" t="s">
        <v>5691</v>
      </c>
      <c r="H1491" t="s">
        <v>47</v>
      </c>
      <c r="I1491" s="3">
        <v>32143</v>
      </c>
      <c r="J1491" s="3">
        <v>41183</v>
      </c>
      <c r="K1491" t="s">
        <v>47</v>
      </c>
      <c r="L1491" s="5" t="s">
        <v>60</v>
      </c>
      <c r="M1491" s="3">
        <v>34700</v>
      </c>
      <c r="N1491" s="3">
        <v>41183</v>
      </c>
      <c r="O1491" t="s">
        <v>47</v>
      </c>
      <c r="P1491" s="3">
        <v>32143</v>
      </c>
      <c r="Q1491" s="3">
        <v>41183</v>
      </c>
      <c r="R1491" t="s">
        <v>47</v>
      </c>
      <c r="S1491" t="s">
        <v>47</v>
      </c>
      <c r="T1491" t="s">
        <v>47</v>
      </c>
      <c r="U1491" t="s">
        <v>47</v>
      </c>
      <c r="V1491" t="s">
        <v>47</v>
      </c>
      <c r="W1491" s="3">
        <v>32143</v>
      </c>
      <c r="X1491" s="5" t="s">
        <v>50</v>
      </c>
      <c r="Y1491" t="s">
        <v>47</v>
      </c>
      <c r="Z1491" s="3">
        <v>32143</v>
      </c>
      <c r="AA1491" s="5" t="s">
        <v>50</v>
      </c>
      <c r="AB1491" t="s">
        <v>47</v>
      </c>
      <c r="AC1491" s="3">
        <v>32143</v>
      </c>
      <c r="AD1491" s="5" t="s">
        <v>50</v>
      </c>
      <c r="AE1491" t="s">
        <v>47</v>
      </c>
      <c r="AF1491" t="s">
        <v>47</v>
      </c>
      <c r="AG1491" t="s">
        <v>47</v>
      </c>
      <c r="AH1491" t="s">
        <v>47</v>
      </c>
      <c r="AI1491" t="s">
        <v>47</v>
      </c>
      <c r="AJ1491" t="s">
        <v>47</v>
      </c>
      <c r="AK1491" t="s">
        <v>47</v>
      </c>
      <c r="AL1491" t="s">
        <v>47</v>
      </c>
      <c r="AM1491" t="s">
        <v>47</v>
      </c>
      <c r="AN1491" t="s">
        <v>47</v>
      </c>
      <c r="AO1491" s="5" t="s">
        <v>60</v>
      </c>
      <c r="AP1491" s="4" t="s">
        <v>61</v>
      </c>
      <c r="AQ1491" s="4" t="s">
        <v>53</v>
      </c>
      <c r="AR1491" s="4" t="s">
        <v>1153</v>
      </c>
      <c r="AS1491" s="5">
        <v>40730</v>
      </c>
      <c r="AT1491" t="s">
        <v>47</v>
      </c>
    </row>
    <row r="1492" spans="1:46" ht="91" x14ac:dyDescent="0.3">
      <c r="A1492" s="4" t="s">
        <v>5692</v>
      </c>
      <c r="B1492" t="s">
        <v>47</v>
      </c>
      <c r="C1492" s="4" t="s">
        <v>747</v>
      </c>
      <c r="D1492" s="4" t="s">
        <v>748</v>
      </c>
      <c r="E1492" s="4" t="s">
        <v>49</v>
      </c>
      <c r="F1492" s="5" t="s">
        <v>5693</v>
      </c>
      <c r="G1492" s="5" t="s">
        <v>5694</v>
      </c>
      <c r="H1492" t="s">
        <v>47</v>
      </c>
      <c r="I1492" s="3">
        <v>35765</v>
      </c>
      <c r="J1492" s="3">
        <v>41244</v>
      </c>
      <c r="K1492" t="s">
        <v>47</v>
      </c>
      <c r="L1492" s="5" t="s">
        <v>60</v>
      </c>
      <c r="M1492" s="3">
        <v>35765</v>
      </c>
      <c r="N1492" s="3">
        <v>41244</v>
      </c>
      <c r="O1492" t="s">
        <v>47</v>
      </c>
      <c r="P1492" s="3">
        <v>35765</v>
      </c>
      <c r="Q1492" s="3">
        <v>41244</v>
      </c>
      <c r="R1492" t="s">
        <v>47</v>
      </c>
      <c r="S1492" t="s">
        <v>47</v>
      </c>
      <c r="T1492" t="s">
        <v>47</v>
      </c>
      <c r="U1492" t="s">
        <v>47</v>
      </c>
      <c r="V1492" t="s">
        <v>47</v>
      </c>
      <c r="W1492" s="3">
        <v>35765</v>
      </c>
      <c r="X1492" s="3">
        <v>44075</v>
      </c>
      <c r="Y1492" s="5" t="s">
        <v>946</v>
      </c>
      <c r="Z1492" s="3">
        <v>35765</v>
      </c>
      <c r="AA1492" s="3">
        <v>44075</v>
      </c>
      <c r="AB1492" s="5" t="s">
        <v>946</v>
      </c>
      <c r="AC1492" s="3">
        <v>35765</v>
      </c>
      <c r="AD1492" s="3">
        <v>44075</v>
      </c>
      <c r="AE1492" s="5" t="s">
        <v>946</v>
      </c>
      <c r="AF1492" t="s">
        <v>47</v>
      </c>
      <c r="AG1492" t="s">
        <v>47</v>
      </c>
      <c r="AH1492" t="s">
        <v>47</v>
      </c>
      <c r="AI1492" t="s">
        <v>47</v>
      </c>
      <c r="AJ1492" t="s">
        <v>47</v>
      </c>
      <c r="AK1492" t="s">
        <v>47</v>
      </c>
      <c r="AL1492" t="s">
        <v>47</v>
      </c>
      <c r="AM1492" t="s">
        <v>47</v>
      </c>
      <c r="AN1492" t="s">
        <v>47</v>
      </c>
      <c r="AO1492" s="5" t="s">
        <v>60</v>
      </c>
      <c r="AP1492" s="4" t="s">
        <v>61</v>
      </c>
      <c r="AQ1492" s="4" t="s">
        <v>53</v>
      </c>
      <c r="AR1492" s="4" t="s">
        <v>5695</v>
      </c>
      <c r="AS1492" s="5">
        <v>34376</v>
      </c>
      <c r="AT1492" t="s">
        <v>47</v>
      </c>
    </row>
    <row r="1493" spans="1:46" ht="26" x14ac:dyDescent="0.3">
      <c r="A1493" s="4" t="s">
        <v>5696</v>
      </c>
      <c r="B1493" t="s">
        <v>47</v>
      </c>
      <c r="C1493" s="4" t="s">
        <v>5697</v>
      </c>
      <c r="D1493" s="4" t="s">
        <v>5698</v>
      </c>
      <c r="E1493" s="4" t="s">
        <v>1797</v>
      </c>
      <c r="F1493" t="s">
        <v>47</v>
      </c>
      <c r="G1493" s="5" t="s">
        <v>5699</v>
      </c>
      <c r="H1493" t="s">
        <v>47</v>
      </c>
      <c r="I1493" s="3">
        <v>41730</v>
      </c>
      <c r="J1493" s="5" t="s">
        <v>50</v>
      </c>
      <c r="K1493" t="s">
        <v>47</v>
      </c>
      <c r="L1493" s="5" t="s">
        <v>60</v>
      </c>
      <c r="M1493" s="3">
        <v>41730</v>
      </c>
      <c r="N1493" s="5" t="s">
        <v>50</v>
      </c>
      <c r="O1493" t="s">
        <v>47</v>
      </c>
      <c r="P1493" s="3">
        <v>41730</v>
      </c>
      <c r="Q1493" s="5" t="s">
        <v>50</v>
      </c>
      <c r="R1493" t="s">
        <v>47</v>
      </c>
      <c r="S1493" t="s">
        <v>47</v>
      </c>
      <c r="T1493" t="s">
        <v>47</v>
      </c>
      <c r="U1493" t="s">
        <v>47</v>
      </c>
      <c r="V1493" t="s">
        <v>47</v>
      </c>
      <c r="W1493" s="3">
        <v>41730</v>
      </c>
      <c r="X1493" s="5" t="s">
        <v>50</v>
      </c>
      <c r="Y1493" t="s">
        <v>47</v>
      </c>
      <c r="Z1493" s="3">
        <v>41730</v>
      </c>
      <c r="AA1493" s="5" t="s">
        <v>50</v>
      </c>
      <c r="AB1493" t="s">
        <v>47</v>
      </c>
      <c r="AC1493" s="3">
        <v>41730</v>
      </c>
      <c r="AD1493" s="5" t="s">
        <v>50</v>
      </c>
      <c r="AE1493" t="s">
        <v>47</v>
      </c>
      <c r="AF1493" t="s">
        <v>47</v>
      </c>
      <c r="AG1493" t="s">
        <v>47</v>
      </c>
      <c r="AH1493" t="s">
        <v>47</v>
      </c>
      <c r="AI1493" t="s">
        <v>47</v>
      </c>
      <c r="AJ1493" t="s">
        <v>47</v>
      </c>
      <c r="AK1493" t="s">
        <v>47</v>
      </c>
      <c r="AL1493" t="s">
        <v>47</v>
      </c>
      <c r="AM1493" t="s">
        <v>47</v>
      </c>
      <c r="AN1493" t="s">
        <v>47</v>
      </c>
      <c r="AO1493" s="5" t="s">
        <v>60</v>
      </c>
      <c r="AP1493" s="4" t="s">
        <v>61</v>
      </c>
      <c r="AQ1493" s="4" t="s">
        <v>5700</v>
      </c>
      <c r="AR1493" s="4" t="s">
        <v>54</v>
      </c>
      <c r="AS1493" s="5">
        <v>2034144</v>
      </c>
      <c r="AT1493" t="s">
        <v>47</v>
      </c>
    </row>
    <row r="1494" spans="1:46" ht="78" x14ac:dyDescent="0.3">
      <c r="A1494" s="4" t="s">
        <v>5701</v>
      </c>
      <c r="B1494" t="s">
        <v>47</v>
      </c>
      <c r="C1494" s="4" t="s">
        <v>122</v>
      </c>
      <c r="D1494" s="4" t="s">
        <v>70</v>
      </c>
      <c r="E1494" s="4" t="s">
        <v>123</v>
      </c>
      <c r="F1494" s="5" t="s">
        <v>5702</v>
      </c>
      <c r="G1494" s="5" t="s">
        <v>5703</v>
      </c>
      <c r="H1494" t="s">
        <v>47</v>
      </c>
      <c r="I1494" s="3">
        <v>35431</v>
      </c>
      <c r="J1494" s="5" t="s">
        <v>50</v>
      </c>
      <c r="K1494" t="s">
        <v>47</v>
      </c>
      <c r="L1494" s="5" t="s">
        <v>60</v>
      </c>
      <c r="M1494" s="3">
        <v>35735</v>
      </c>
      <c r="N1494" s="3">
        <v>42826</v>
      </c>
      <c r="O1494" s="5" t="s">
        <v>5704</v>
      </c>
      <c r="P1494" s="3">
        <v>35431</v>
      </c>
      <c r="Q1494" s="5" t="s">
        <v>50</v>
      </c>
      <c r="R1494" t="s">
        <v>47</v>
      </c>
      <c r="S1494" t="s">
        <v>47</v>
      </c>
      <c r="T1494" t="s">
        <v>47</v>
      </c>
      <c r="U1494" t="s">
        <v>47</v>
      </c>
      <c r="V1494" s="5">
        <v>365</v>
      </c>
      <c r="W1494" s="3">
        <v>32143</v>
      </c>
      <c r="X1494" s="5" t="s">
        <v>50</v>
      </c>
      <c r="Y1494" t="s">
        <v>47</v>
      </c>
      <c r="Z1494" s="3">
        <v>32143</v>
      </c>
      <c r="AA1494" s="5" t="s">
        <v>50</v>
      </c>
      <c r="AB1494" t="s">
        <v>47</v>
      </c>
      <c r="AC1494" s="3">
        <v>32143</v>
      </c>
      <c r="AD1494" s="5" t="s">
        <v>50</v>
      </c>
      <c r="AE1494" t="s">
        <v>47</v>
      </c>
      <c r="AF1494" t="s">
        <v>47</v>
      </c>
      <c r="AG1494" t="s">
        <v>47</v>
      </c>
      <c r="AH1494" t="s">
        <v>47</v>
      </c>
      <c r="AI1494" t="s">
        <v>47</v>
      </c>
      <c r="AJ1494" t="s">
        <v>47</v>
      </c>
      <c r="AK1494" t="s">
        <v>47</v>
      </c>
      <c r="AL1494" t="s">
        <v>47</v>
      </c>
      <c r="AM1494" t="s">
        <v>47</v>
      </c>
      <c r="AN1494" t="s">
        <v>47</v>
      </c>
      <c r="AO1494" s="5" t="s">
        <v>60</v>
      </c>
      <c r="AP1494" s="4" t="s">
        <v>61</v>
      </c>
      <c r="AQ1494" s="4" t="s">
        <v>53</v>
      </c>
      <c r="AR1494" s="4" t="s">
        <v>5705</v>
      </c>
      <c r="AS1494" s="5">
        <v>2823</v>
      </c>
      <c r="AT1494" t="s">
        <v>47</v>
      </c>
    </row>
    <row r="1495" spans="1:46" ht="91" x14ac:dyDescent="0.3">
      <c r="A1495" s="4" t="s">
        <v>5706</v>
      </c>
      <c r="B1495" t="s">
        <v>47</v>
      </c>
      <c r="C1495" s="4" t="s">
        <v>411</v>
      </c>
      <c r="D1495" s="4" t="s">
        <v>5707</v>
      </c>
      <c r="E1495" s="4" t="s">
        <v>49</v>
      </c>
      <c r="F1495" s="5" t="s">
        <v>5708</v>
      </c>
      <c r="G1495" s="5" t="s">
        <v>5709</v>
      </c>
      <c r="H1495" t="s">
        <v>47</v>
      </c>
      <c r="I1495" s="3">
        <v>34335</v>
      </c>
      <c r="J1495" s="3">
        <v>41365</v>
      </c>
      <c r="K1495" t="s">
        <v>47</v>
      </c>
      <c r="L1495" s="5" t="s">
        <v>60</v>
      </c>
      <c r="M1495" s="3">
        <v>34335</v>
      </c>
      <c r="N1495" s="3">
        <v>41365</v>
      </c>
      <c r="O1495" t="s">
        <v>47</v>
      </c>
      <c r="P1495" s="3">
        <v>35065</v>
      </c>
      <c r="Q1495" s="3">
        <v>41365</v>
      </c>
      <c r="R1495" t="s">
        <v>47</v>
      </c>
      <c r="S1495" t="s">
        <v>47</v>
      </c>
      <c r="T1495" t="s">
        <v>47</v>
      </c>
      <c r="U1495" t="s">
        <v>47</v>
      </c>
      <c r="V1495" t="s">
        <v>47</v>
      </c>
      <c r="W1495" s="3">
        <v>33604</v>
      </c>
      <c r="X1495" s="5" t="s">
        <v>50</v>
      </c>
      <c r="Y1495" t="s">
        <v>47</v>
      </c>
      <c r="Z1495" s="3">
        <v>33604</v>
      </c>
      <c r="AA1495" s="5" t="s">
        <v>50</v>
      </c>
      <c r="AB1495" t="s">
        <v>47</v>
      </c>
      <c r="AC1495" s="3">
        <v>33604</v>
      </c>
      <c r="AD1495" s="5" t="s">
        <v>50</v>
      </c>
      <c r="AE1495" t="s">
        <v>47</v>
      </c>
      <c r="AF1495" t="s">
        <v>47</v>
      </c>
      <c r="AG1495" t="s">
        <v>47</v>
      </c>
      <c r="AH1495" t="s">
        <v>47</v>
      </c>
      <c r="AI1495" t="s">
        <v>47</v>
      </c>
      <c r="AJ1495" t="s">
        <v>47</v>
      </c>
      <c r="AK1495" t="s">
        <v>47</v>
      </c>
      <c r="AL1495" t="s">
        <v>47</v>
      </c>
      <c r="AM1495" t="s">
        <v>47</v>
      </c>
      <c r="AN1495" t="s">
        <v>47</v>
      </c>
      <c r="AO1495" s="5" t="s">
        <v>60</v>
      </c>
      <c r="AP1495" s="4" t="s">
        <v>61</v>
      </c>
      <c r="AQ1495" s="4" t="s">
        <v>53</v>
      </c>
      <c r="AR1495" s="4" t="s">
        <v>5710</v>
      </c>
      <c r="AS1495" s="5">
        <v>42194</v>
      </c>
      <c r="AT1495" t="s">
        <v>47</v>
      </c>
    </row>
    <row r="1496" spans="1:46" ht="156" x14ac:dyDescent="0.3">
      <c r="A1496" s="4" t="s">
        <v>5711</v>
      </c>
      <c r="B1496" t="s">
        <v>47</v>
      </c>
      <c r="C1496" s="4" t="s">
        <v>169</v>
      </c>
      <c r="D1496" s="4" t="s">
        <v>339</v>
      </c>
      <c r="E1496" s="4" t="s">
        <v>66</v>
      </c>
      <c r="F1496" s="5" t="s">
        <v>5712</v>
      </c>
      <c r="G1496" s="5" t="s">
        <v>5713</v>
      </c>
      <c r="H1496" t="s">
        <v>47</v>
      </c>
      <c r="I1496" s="3">
        <v>36069</v>
      </c>
      <c r="J1496" s="3">
        <v>36708</v>
      </c>
      <c r="K1496" t="s">
        <v>47</v>
      </c>
      <c r="L1496" s="5" t="s">
        <v>60</v>
      </c>
      <c r="M1496" s="3">
        <v>36069</v>
      </c>
      <c r="N1496" s="3">
        <v>36526</v>
      </c>
      <c r="O1496" t="s">
        <v>47</v>
      </c>
      <c r="P1496" s="3">
        <v>36069</v>
      </c>
      <c r="Q1496" s="3">
        <v>36708</v>
      </c>
      <c r="R1496" t="s">
        <v>47</v>
      </c>
      <c r="S1496" t="s">
        <v>47</v>
      </c>
      <c r="T1496" t="s">
        <v>47</v>
      </c>
      <c r="U1496" t="s">
        <v>47</v>
      </c>
      <c r="V1496" t="s">
        <v>47</v>
      </c>
      <c r="W1496" s="3">
        <v>36069</v>
      </c>
      <c r="X1496" s="3">
        <v>36708</v>
      </c>
      <c r="Y1496" t="s">
        <v>47</v>
      </c>
      <c r="Z1496" s="3">
        <v>36069</v>
      </c>
      <c r="AA1496" s="3">
        <v>36708</v>
      </c>
      <c r="AB1496" t="s">
        <v>47</v>
      </c>
      <c r="AC1496" t="s">
        <v>47</v>
      </c>
      <c r="AD1496" t="s">
        <v>47</v>
      </c>
      <c r="AE1496" t="s">
        <v>47</v>
      </c>
      <c r="AF1496" t="s">
        <v>47</v>
      </c>
      <c r="AG1496" t="s">
        <v>47</v>
      </c>
      <c r="AH1496" t="s">
        <v>47</v>
      </c>
      <c r="AI1496" t="s">
        <v>47</v>
      </c>
      <c r="AJ1496" t="s">
        <v>47</v>
      </c>
      <c r="AK1496" t="s">
        <v>47</v>
      </c>
      <c r="AL1496" t="s">
        <v>47</v>
      </c>
      <c r="AM1496" t="s">
        <v>47</v>
      </c>
      <c r="AN1496" t="s">
        <v>47</v>
      </c>
      <c r="AO1496" s="5" t="s">
        <v>51</v>
      </c>
      <c r="AP1496" s="4" t="s">
        <v>61</v>
      </c>
      <c r="AQ1496" s="4" t="s">
        <v>53</v>
      </c>
      <c r="AR1496" s="4" t="s">
        <v>5714</v>
      </c>
      <c r="AS1496" s="5">
        <v>33072</v>
      </c>
      <c r="AT1496" t="s">
        <v>47</v>
      </c>
    </row>
    <row r="1497" spans="1:46" ht="26" x14ac:dyDescent="0.3">
      <c r="A1497" s="4" t="s">
        <v>5715</v>
      </c>
      <c r="B1497" t="s">
        <v>47</v>
      </c>
      <c r="C1497" s="4" t="s">
        <v>5716</v>
      </c>
      <c r="D1497" s="4" t="s">
        <v>907</v>
      </c>
      <c r="E1497" s="4" t="s">
        <v>908</v>
      </c>
      <c r="F1497" s="5" t="s">
        <v>5717</v>
      </c>
      <c r="G1497" t="s">
        <v>47</v>
      </c>
      <c r="H1497" t="s">
        <v>47</v>
      </c>
      <c r="I1497" s="3">
        <v>40634</v>
      </c>
      <c r="J1497" s="5" t="s">
        <v>50</v>
      </c>
      <c r="K1497" s="5" t="s">
        <v>946</v>
      </c>
      <c r="L1497" s="5" t="s">
        <v>60</v>
      </c>
      <c r="M1497" t="s">
        <v>47</v>
      </c>
      <c r="N1497" t="s">
        <v>47</v>
      </c>
      <c r="O1497" t="s">
        <v>47</v>
      </c>
      <c r="P1497" s="3">
        <v>40634</v>
      </c>
      <c r="Q1497" s="5" t="s">
        <v>50</v>
      </c>
      <c r="R1497" s="5" t="s">
        <v>946</v>
      </c>
      <c r="S1497" t="s">
        <v>47</v>
      </c>
      <c r="T1497" t="s">
        <v>47</v>
      </c>
      <c r="U1497" t="s">
        <v>47</v>
      </c>
      <c r="V1497" t="s">
        <v>47</v>
      </c>
      <c r="W1497" s="3">
        <v>40634</v>
      </c>
      <c r="X1497" s="5" t="s">
        <v>50</v>
      </c>
      <c r="Y1497" s="5" t="s">
        <v>946</v>
      </c>
      <c r="Z1497" s="3">
        <v>40634</v>
      </c>
      <c r="AA1497" s="5" t="s">
        <v>50</v>
      </c>
      <c r="AB1497" s="5" t="s">
        <v>946</v>
      </c>
      <c r="AC1497" s="3">
        <v>40634</v>
      </c>
      <c r="AD1497" s="5" t="s">
        <v>50</v>
      </c>
      <c r="AE1497" s="5" t="s">
        <v>946</v>
      </c>
      <c r="AF1497" t="s">
        <v>47</v>
      </c>
      <c r="AG1497" t="s">
        <v>47</v>
      </c>
      <c r="AH1497" t="s">
        <v>47</v>
      </c>
      <c r="AI1497" t="s">
        <v>47</v>
      </c>
      <c r="AJ1497" t="s">
        <v>47</v>
      </c>
      <c r="AK1497" t="s">
        <v>47</v>
      </c>
      <c r="AL1497" t="s">
        <v>47</v>
      </c>
      <c r="AM1497" t="s">
        <v>47</v>
      </c>
      <c r="AN1497" t="s">
        <v>47</v>
      </c>
      <c r="AO1497" s="5" t="s">
        <v>51</v>
      </c>
      <c r="AP1497" s="4" t="s">
        <v>61</v>
      </c>
      <c r="AQ1497" s="4" t="s">
        <v>5718</v>
      </c>
      <c r="AR1497" s="4" t="s">
        <v>54</v>
      </c>
      <c r="AS1497" s="5">
        <v>436389</v>
      </c>
      <c r="AT1497" t="s">
        <v>47</v>
      </c>
    </row>
    <row r="1498" spans="1:46" ht="26" x14ac:dyDescent="0.3">
      <c r="A1498" s="4" t="s">
        <v>5719</v>
      </c>
      <c r="B1498" t="s">
        <v>47</v>
      </c>
      <c r="C1498" s="4" t="s">
        <v>5720</v>
      </c>
      <c r="D1498" s="4" t="s">
        <v>907</v>
      </c>
      <c r="E1498" s="4" t="s">
        <v>908</v>
      </c>
      <c r="F1498" s="5" t="s">
        <v>5721</v>
      </c>
      <c r="G1498" s="5" t="s">
        <v>5722</v>
      </c>
      <c r="H1498" t="s">
        <v>47</v>
      </c>
      <c r="I1498" s="3">
        <v>40909</v>
      </c>
      <c r="J1498" s="3">
        <v>44075</v>
      </c>
      <c r="K1498" t="s">
        <v>47</v>
      </c>
      <c r="L1498" s="5" t="s">
        <v>60</v>
      </c>
      <c r="M1498" t="s">
        <v>47</v>
      </c>
      <c r="N1498" t="s">
        <v>47</v>
      </c>
      <c r="O1498" t="s">
        <v>47</v>
      </c>
      <c r="P1498" s="3">
        <v>40909</v>
      </c>
      <c r="Q1498" s="3">
        <v>44075</v>
      </c>
      <c r="R1498" t="s">
        <v>47</v>
      </c>
      <c r="S1498" t="s">
        <v>47</v>
      </c>
      <c r="T1498" t="s">
        <v>47</v>
      </c>
      <c r="U1498" t="s">
        <v>47</v>
      </c>
      <c r="V1498" t="s">
        <v>47</v>
      </c>
      <c r="W1498" s="3">
        <v>40909</v>
      </c>
      <c r="X1498" s="3">
        <v>44075</v>
      </c>
      <c r="Y1498" t="s">
        <v>47</v>
      </c>
      <c r="Z1498" s="3">
        <v>40909</v>
      </c>
      <c r="AA1498" s="3">
        <v>44075</v>
      </c>
      <c r="AB1498" t="s">
        <v>47</v>
      </c>
      <c r="AC1498" s="3">
        <v>40909</v>
      </c>
      <c r="AD1498" s="3">
        <v>44075</v>
      </c>
      <c r="AE1498" t="s">
        <v>47</v>
      </c>
      <c r="AF1498" t="s">
        <v>47</v>
      </c>
      <c r="AG1498" t="s">
        <v>47</v>
      </c>
      <c r="AH1498" t="s">
        <v>47</v>
      </c>
      <c r="AI1498" t="s">
        <v>47</v>
      </c>
      <c r="AJ1498" t="s">
        <v>47</v>
      </c>
      <c r="AK1498" t="s">
        <v>47</v>
      </c>
      <c r="AL1498" t="s">
        <v>47</v>
      </c>
      <c r="AM1498" t="s">
        <v>47</v>
      </c>
      <c r="AN1498" t="s">
        <v>47</v>
      </c>
      <c r="AO1498" s="5" t="s">
        <v>60</v>
      </c>
      <c r="AP1498" s="4" t="s">
        <v>61</v>
      </c>
      <c r="AQ1498" s="4" t="s">
        <v>5718</v>
      </c>
      <c r="AR1498" s="4" t="s">
        <v>54</v>
      </c>
      <c r="AS1498" s="5">
        <v>1376343</v>
      </c>
      <c r="AT1498" t="s">
        <v>47</v>
      </c>
    </row>
    <row r="1499" spans="1:46" ht="26" x14ac:dyDescent="0.3">
      <c r="A1499" s="4" t="s">
        <v>5723</v>
      </c>
      <c r="B1499" t="s">
        <v>47</v>
      </c>
      <c r="C1499" s="4" t="s">
        <v>5166</v>
      </c>
      <c r="D1499" s="4" t="s">
        <v>5724</v>
      </c>
      <c r="E1499" s="4" t="s">
        <v>1933</v>
      </c>
      <c r="F1499" s="5" t="s">
        <v>5725</v>
      </c>
      <c r="G1499" s="5" t="s">
        <v>5726</v>
      </c>
      <c r="H1499" t="s">
        <v>47</v>
      </c>
      <c r="I1499" s="3">
        <v>40544</v>
      </c>
      <c r="J1499" s="5" t="s">
        <v>50</v>
      </c>
      <c r="K1499" t="s">
        <v>47</v>
      </c>
      <c r="L1499" s="5" t="s">
        <v>60</v>
      </c>
      <c r="M1499" s="3">
        <v>42005</v>
      </c>
      <c r="N1499" s="5" t="s">
        <v>50</v>
      </c>
      <c r="O1499" t="s">
        <v>47</v>
      </c>
      <c r="P1499" s="3">
        <v>40544</v>
      </c>
      <c r="Q1499" s="5" t="s">
        <v>50</v>
      </c>
      <c r="R1499" t="s">
        <v>47</v>
      </c>
      <c r="S1499" t="s">
        <v>47</v>
      </c>
      <c r="T1499" t="s">
        <v>47</v>
      </c>
      <c r="U1499" t="s">
        <v>47</v>
      </c>
      <c r="V1499" t="s">
        <v>47</v>
      </c>
      <c r="W1499" s="3">
        <v>40544</v>
      </c>
      <c r="X1499" s="5" t="s">
        <v>50</v>
      </c>
      <c r="Y1499" t="s">
        <v>47</v>
      </c>
      <c r="Z1499" s="3">
        <v>40544</v>
      </c>
      <c r="AA1499" s="5" t="s">
        <v>50</v>
      </c>
      <c r="AB1499" t="s">
        <v>47</v>
      </c>
      <c r="AC1499" s="3">
        <v>40544</v>
      </c>
      <c r="AD1499" s="5" t="s">
        <v>50</v>
      </c>
      <c r="AE1499" t="s">
        <v>47</v>
      </c>
      <c r="AF1499" t="s">
        <v>47</v>
      </c>
      <c r="AG1499" t="s">
        <v>47</v>
      </c>
      <c r="AH1499" t="s">
        <v>47</v>
      </c>
      <c r="AI1499" t="s">
        <v>47</v>
      </c>
      <c r="AJ1499" t="s">
        <v>47</v>
      </c>
      <c r="AK1499" t="s">
        <v>47</v>
      </c>
      <c r="AL1499" t="s">
        <v>47</v>
      </c>
      <c r="AM1499" t="s">
        <v>47</v>
      </c>
      <c r="AN1499" t="s">
        <v>47</v>
      </c>
      <c r="AO1499" s="5" t="s">
        <v>60</v>
      </c>
      <c r="AP1499" s="4" t="s">
        <v>61</v>
      </c>
      <c r="AQ1499" s="4" t="s">
        <v>53</v>
      </c>
      <c r="AR1499" s="4" t="s">
        <v>54</v>
      </c>
      <c r="AS1499" s="5">
        <v>2044906</v>
      </c>
      <c r="AT1499" t="s">
        <v>47</v>
      </c>
    </row>
    <row r="1500" spans="1:46" ht="13" x14ac:dyDescent="0.3">
      <c r="A1500" s="4" t="s">
        <v>5727</v>
      </c>
      <c r="B1500" t="s">
        <v>47</v>
      </c>
      <c r="C1500" s="4" t="s">
        <v>770</v>
      </c>
      <c r="D1500" s="4" t="s">
        <v>201</v>
      </c>
      <c r="E1500" s="4" t="s">
        <v>49</v>
      </c>
      <c r="F1500" s="5" t="s">
        <v>5728</v>
      </c>
      <c r="G1500" t="s">
        <v>47</v>
      </c>
      <c r="H1500" t="s">
        <v>47</v>
      </c>
      <c r="I1500" t="s">
        <v>47</v>
      </c>
      <c r="J1500" t="s">
        <v>47</v>
      </c>
      <c r="K1500" t="s">
        <v>47</v>
      </c>
      <c r="L1500" s="5" t="s">
        <v>51</v>
      </c>
      <c r="M1500" t="s">
        <v>47</v>
      </c>
      <c r="N1500" t="s">
        <v>47</v>
      </c>
      <c r="O1500" t="s">
        <v>47</v>
      </c>
      <c r="P1500" t="s">
        <v>47</v>
      </c>
      <c r="Q1500" t="s">
        <v>47</v>
      </c>
      <c r="R1500" t="s">
        <v>47</v>
      </c>
      <c r="S1500" t="s">
        <v>47</v>
      </c>
      <c r="T1500" t="s">
        <v>47</v>
      </c>
      <c r="U1500" t="s">
        <v>47</v>
      </c>
      <c r="V1500" t="s">
        <v>47</v>
      </c>
      <c r="W1500" s="3">
        <v>36124</v>
      </c>
      <c r="X1500" s="3">
        <v>43221</v>
      </c>
      <c r="Y1500" s="5" t="s">
        <v>1782</v>
      </c>
      <c r="Z1500" s="3">
        <v>36124</v>
      </c>
      <c r="AA1500" s="3">
        <v>43221</v>
      </c>
      <c r="AB1500" s="5" t="s">
        <v>1782</v>
      </c>
      <c r="AC1500" s="3">
        <v>37987</v>
      </c>
      <c r="AD1500" s="3">
        <v>43221</v>
      </c>
      <c r="AE1500" s="5" t="s">
        <v>1782</v>
      </c>
      <c r="AF1500" t="s">
        <v>47</v>
      </c>
      <c r="AG1500" t="s">
        <v>47</v>
      </c>
      <c r="AH1500" t="s">
        <v>47</v>
      </c>
      <c r="AI1500" t="s">
        <v>47</v>
      </c>
      <c r="AJ1500" t="s">
        <v>47</v>
      </c>
      <c r="AK1500" t="s">
        <v>47</v>
      </c>
      <c r="AL1500" t="s">
        <v>47</v>
      </c>
      <c r="AM1500" t="s">
        <v>47</v>
      </c>
      <c r="AN1500" t="s">
        <v>47</v>
      </c>
      <c r="AO1500" s="5" t="s">
        <v>51</v>
      </c>
      <c r="AP1500" s="4" t="s">
        <v>85</v>
      </c>
      <c r="AQ1500" s="4" t="s">
        <v>53</v>
      </c>
      <c r="AR1500" s="4" t="s">
        <v>54</v>
      </c>
      <c r="AS1500" s="5">
        <v>30184</v>
      </c>
      <c r="AT1500" t="s">
        <v>47</v>
      </c>
    </row>
    <row r="1501" spans="1:46" ht="52" x14ac:dyDescent="0.3">
      <c r="A1501" s="4" t="s">
        <v>5729</v>
      </c>
      <c r="B1501" t="s">
        <v>47</v>
      </c>
      <c r="C1501" s="4" t="s">
        <v>169</v>
      </c>
      <c r="D1501" s="4" t="s">
        <v>339</v>
      </c>
      <c r="E1501" s="4" t="s">
        <v>66</v>
      </c>
      <c r="F1501" s="5" t="s">
        <v>5730</v>
      </c>
      <c r="G1501" s="5" t="s">
        <v>5731</v>
      </c>
      <c r="H1501" t="s">
        <v>47</v>
      </c>
      <c r="I1501" s="3">
        <v>35977</v>
      </c>
      <c r="J1501" s="3">
        <v>36800</v>
      </c>
      <c r="K1501" t="s">
        <v>47</v>
      </c>
      <c r="L1501" s="5" t="s">
        <v>60</v>
      </c>
      <c r="M1501" s="3">
        <v>36161</v>
      </c>
      <c r="N1501" s="3">
        <v>36800</v>
      </c>
      <c r="O1501" t="s">
        <v>47</v>
      </c>
      <c r="P1501" s="3">
        <v>35977</v>
      </c>
      <c r="Q1501" s="3">
        <v>36800</v>
      </c>
      <c r="R1501" t="s">
        <v>47</v>
      </c>
      <c r="S1501" t="s">
        <v>47</v>
      </c>
      <c r="T1501" t="s">
        <v>47</v>
      </c>
      <c r="U1501" t="s">
        <v>47</v>
      </c>
      <c r="V1501" t="s">
        <v>47</v>
      </c>
      <c r="W1501" s="3">
        <v>35977</v>
      </c>
      <c r="X1501" s="3">
        <v>36800</v>
      </c>
      <c r="Y1501" t="s">
        <v>47</v>
      </c>
      <c r="Z1501" s="3">
        <v>35977</v>
      </c>
      <c r="AA1501" s="3">
        <v>36800</v>
      </c>
      <c r="AB1501" t="s">
        <v>47</v>
      </c>
      <c r="AC1501" t="s">
        <v>47</v>
      </c>
      <c r="AD1501" t="s">
        <v>47</v>
      </c>
      <c r="AE1501" t="s">
        <v>47</v>
      </c>
      <c r="AF1501" t="s">
        <v>47</v>
      </c>
      <c r="AG1501" t="s">
        <v>47</v>
      </c>
      <c r="AH1501" t="s">
        <v>47</v>
      </c>
      <c r="AI1501" t="s">
        <v>47</v>
      </c>
      <c r="AJ1501" t="s">
        <v>47</v>
      </c>
      <c r="AK1501" t="s">
        <v>47</v>
      </c>
      <c r="AL1501" t="s">
        <v>47</v>
      </c>
      <c r="AM1501" t="s">
        <v>47</v>
      </c>
      <c r="AN1501" t="s">
        <v>47</v>
      </c>
      <c r="AO1501" s="5" t="s">
        <v>51</v>
      </c>
      <c r="AP1501" s="4" t="s">
        <v>61</v>
      </c>
      <c r="AQ1501" s="4" t="s">
        <v>53</v>
      </c>
      <c r="AR1501" s="4" t="s">
        <v>1959</v>
      </c>
      <c r="AS1501" s="5">
        <v>13050</v>
      </c>
      <c r="AT1501" t="s">
        <v>47</v>
      </c>
    </row>
    <row r="1502" spans="1:46" ht="78" x14ac:dyDescent="0.3">
      <c r="A1502" s="4" t="s">
        <v>5732</v>
      </c>
      <c r="B1502" t="s">
        <v>47</v>
      </c>
      <c r="C1502" s="4" t="s">
        <v>5733</v>
      </c>
      <c r="D1502" s="4" t="s">
        <v>907</v>
      </c>
      <c r="E1502" s="4" t="s">
        <v>908</v>
      </c>
      <c r="F1502" s="5" t="s">
        <v>5734</v>
      </c>
      <c r="G1502" t="s">
        <v>47</v>
      </c>
      <c r="H1502" t="s">
        <v>47</v>
      </c>
      <c r="I1502" s="3">
        <v>39904</v>
      </c>
      <c r="J1502" s="3">
        <v>42339</v>
      </c>
      <c r="K1502" t="s">
        <v>47</v>
      </c>
      <c r="L1502" s="5" t="s">
        <v>60</v>
      </c>
      <c r="M1502" s="3">
        <v>39904</v>
      </c>
      <c r="N1502" s="3">
        <v>42339</v>
      </c>
      <c r="O1502" s="5" t="s">
        <v>2512</v>
      </c>
      <c r="P1502" s="3">
        <v>39904</v>
      </c>
      <c r="Q1502" s="3">
        <v>42339</v>
      </c>
      <c r="R1502" t="s">
        <v>47</v>
      </c>
      <c r="S1502" t="s">
        <v>47</v>
      </c>
      <c r="T1502" t="s">
        <v>47</v>
      </c>
      <c r="U1502" t="s">
        <v>47</v>
      </c>
      <c r="V1502" t="s">
        <v>47</v>
      </c>
      <c r="W1502" s="3">
        <v>39904</v>
      </c>
      <c r="X1502" s="3">
        <v>42339</v>
      </c>
      <c r="Y1502" t="s">
        <v>47</v>
      </c>
      <c r="Z1502" s="3">
        <v>39904</v>
      </c>
      <c r="AA1502" s="3">
        <v>42339</v>
      </c>
      <c r="AB1502" t="s">
        <v>47</v>
      </c>
      <c r="AC1502" s="3">
        <v>40057</v>
      </c>
      <c r="AD1502" s="3">
        <v>42339</v>
      </c>
      <c r="AE1502" s="5" t="s">
        <v>1405</v>
      </c>
      <c r="AF1502" t="s">
        <v>47</v>
      </c>
      <c r="AG1502" t="s">
        <v>47</v>
      </c>
      <c r="AH1502" t="s">
        <v>47</v>
      </c>
      <c r="AI1502" t="s">
        <v>47</v>
      </c>
      <c r="AJ1502" t="s">
        <v>47</v>
      </c>
      <c r="AK1502" t="s">
        <v>47</v>
      </c>
      <c r="AL1502" t="s">
        <v>47</v>
      </c>
      <c r="AM1502" t="s">
        <v>47</v>
      </c>
      <c r="AN1502" t="s">
        <v>47</v>
      </c>
      <c r="AO1502" s="5" t="s">
        <v>51</v>
      </c>
      <c r="AP1502" s="4" t="s">
        <v>61</v>
      </c>
      <c r="AQ1502" s="4" t="s">
        <v>5718</v>
      </c>
      <c r="AR1502" s="4" t="s">
        <v>436</v>
      </c>
      <c r="AS1502" s="5">
        <v>2029208</v>
      </c>
      <c r="AT1502" t="s">
        <v>47</v>
      </c>
    </row>
    <row r="1503" spans="1:46" ht="65" x14ac:dyDescent="0.3">
      <c r="A1503" s="4" t="s">
        <v>5735</v>
      </c>
      <c r="B1503" t="s">
        <v>47</v>
      </c>
      <c r="C1503" s="4" t="s">
        <v>169</v>
      </c>
      <c r="D1503" s="4" t="s">
        <v>339</v>
      </c>
      <c r="E1503" s="4" t="s">
        <v>66</v>
      </c>
      <c r="F1503" s="5" t="s">
        <v>5736</v>
      </c>
      <c r="G1503" s="5" t="s">
        <v>5737</v>
      </c>
      <c r="H1503" t="s">
        <v>47</v>
      </c>
      <c r="I1503" s="3">
        <v>35855</v>
      </c>
      <c r="J1503" s="3">
        <v>36800</v>
      </c>
      <c r="K1503" t="s">
        <v>47</v>
      </c>
      <c r="L1503" s="5" t="s">
        <v>60</v>
      </c>
      <c r="M1503" s="3">
        <v>35855</v>
      </c>
      <c r="N1503" s="3">
        <v>36800</v>
      </c>
      <c r="O1503" t="s">
        <v>47</v>
      </c>
      <c r="P1503" s="3">
        <v>35855</v>
      </c>
      <c r="Q1503" s="3">
        <v>36800</v>
      </c>
      <c r="R1503" t="s">
        <v>47</v>
      </c>
      <c r="S1503" t="s">
        <v>47</v>
      </c>
      <c r="T1503" t="s">
        <v>47</v>
      </c>
      <c r="U1503" t="s">
        <v>47</v>
      </c>
      <c r="V1503" t="s">
        <v>47</v>
      </c>
      <c r="W1503" s="3">
        <v>35855</v>
      </c>
      <c r="X1503" s="3">
        <v>43862</v>
      </c>
      <c r="Y1503" s="5" t="s">
        <v>2144</v>
      </c>
      <c r="Z1503" s="3">
        <v>35855</v>
      </c>
      <c r="AA1503" s="3">
        <v>43862</v>
      </c>
      <c r="AB1503" s="5" t="s">
        <v>2144</v>
      </c>
      <c r="AC1503" s="3">
        <v>40909</v>
      </c>
      <c r="AD1503" s="3">
        <v>43862</v>
      </c>
      <c r="AE1503" t="s">
        <v>47</v>
      </c>
      <c r="AF1503" t="s">
        <v>47</v>
      </c>
      <c r="AG1503" t="s">
        <v>47</v>
      </c>
      <c r="AH1503" t="s">
        <v>47</v>
      </c>
      <c r="AI1503" t="s">
        <v>47</v>
      </c>
      <c r="AJ1503" t="s">
        <v>47</v>
      </c>
      <c r="AK1503" t="s">
        <v>47</v>
      </c>
      <c r="AL1503" t="s">
        <v>47</v>
      </c>
      <c r="AM1503" t="s">
        <v>47</v>
      </c>
      <c r="AN1503" t="s">
        <v>47</v>
      </c>
      <c r="AO1503" s="5" t="s">
        <v>60</v>
      </c>
      <c r="AP1503" s="4" t="s">
        <v>61</v>
      </c>
      <c r="AQ1503" s="4" t="s">
        <v>53</v>
      </c>
      <c r="AR1503" s="4" t="s">
        <v>5738</v>
      </c>
      <c r="AS1503" s="5">
        <v>32789</v>
      </c>
      <c r="AT1503" t="s">
        <v>47</v>
      </c>
    </row>
    <row r="1504" spans="1:46" ht="65" x14ac:dyDescent="0.3">
      <c r="A1504" s="4" t="s">
        <v>5735</v>
      </c>
      <c r="B1504" t="s">
        <v>47</v>
      </c>
      <c r="C1504" s="4" t="s">
        <v>169</v>
      </c>
      <c r="D1504" s="4" t="s">
        <v>339</v>
      </c>
      <c r="E1504" s="4" t="s">
        <v>66</v>
      </c>
      <c r="F1504" s="5" t="s">
        <v>5736</v>
      </c>
      <c r="G1504" s="5" t="s">
        <v>5737</v>
      </c>
      <c r="H1504" t="s">
        <v>47</v>
      </c>
      <c r="I1504" t="s">
        <v>47</v>
      </c>
      <c r="J1504" t="s">
        <v>47</v>
      </c>
      <c r="K1504" t="s">
        <v>47</v>
      </c>
      <c r="L1504" s="5" t="s">
        <v>60</v>
      </c>
      <c r="M1504" t="s">
        <v>47</v>
      </c>
      <c r="N1504" t="s">
        <v>47</v>
      </c>
      <c r="O1504" t="s">
        <v>47</v>
      </c>
      <c r="P1504" t="s">
        <v>47</v>
      </c>
      <c r="Q1504" t="s">
        <v>47</v>
      </c>
      <c r="R1504" t="s">
        <v>47</v>
      </c>
      <c r="S1504" t="s">
        <v>47</v>
      </c>
      <c r="T1504" t="s">
        <v>47</v>
      </c>
      <c r="U1504" t="s">
        <v>47</v>
      </c>
      <c r="V1504" t="s">
        <v>47</v>
      </c>
      <c r="W1504" s="3">
        <v>42522</v>
      </c>
      <c r="X1504" s="5" t="s">
        <v>50</v>
      </c>
      <c r="Y1504" s="5" t="s">
        <v>788</v>
      </c>
      <c r="Z1504" s="3">
        <v>42522</v>
      </c>
      <c r="AA1504" s="5" t="s">
        <v>50</v>
      </c>
      <c r="AB1504" s="5" t="s">
        <v>788</v>
      </c>
      <c r="AC1504" s="3">
        <v>42522</v>
      </c>
      <c r="AD1504" s="5" t="s">
        <v>50</v>
      </c>
      <c r="AE1504" s="5" t="s">
        <v>788</v>
      </c>
      <c r="AF1504" t="s">
        <v>47</v>
      </c>
      <c r="AG1504" t="s">
        <v>47</v>
      </c>
      <c r="AH1504" t="s">
        <v>47</v>
      </c>
      <c r="AI1504" t="s">
        <v>47</v>
      </c>
      <c r="AJ1504" t="s">
        <v>47</v>
      </c>
      <c r="AK1504" t="s">
        <v>47</v>
      </c>
      <c r="AL1504" t="s">
        <v>47</v>
      </c>
      <c r="AM1504" t="s">
        <v>47</v>
      </c>
      <c r="AN1504" t="s">
        <v>47</v>
      </c>
      <c r="AO1504" s="5" t="s">
        <v>60</v>
      </c>
      <c r="AP1504" s="4" t="s">
        <v>61</v>
      </c>
      <c r="AQ1504" s="4" t="s">
        <v>53</v>
      </c>
      <c r="AR1504" s="4" t="s">
        <v>5738</v>
      </c>
      <c r="AS1504" s="5">
        <v>2039927</v>
      </c>
      <c r="AT1504" t="s">
        <v>47</v>
      </c>
    </row>
    <row r="1505" spans="1:46" ht="78" x14ac:dyDescent="0.3">
      <c r="A1505" s="4" t="s">
        <v>5739</v>
      </c>
      <c r="B1505" t="s">
        <v>47</v>
      </c>
      <c r="C1505" s="4" t="s">
        <v>193</v>
      </c>
      <c r="D1505" s="4" t="s">
        <v>194</v>
      </c>
      <c r="E1505" s="4" t="s">
        <v>195</v>
      </c>
      <c r="F1505" t="s">
        <v>47</v>
      </c>
      <c r="G1505" s="5" t="s">
        <v>5740</v>
      </c>
      <c r="H1505" t="s">
        <v>47</v>
      </c>
      <c r="I1505" s="3">
        <v>37039</v>
      </c>
      <c r="J1505" s="5" t="s">
        <v>50</v>
      </c>
      <c r="K1505" s="5" t="s">
        <v>5741</v>
      </c>
      <c r="L1505" s="5" t="s">
        <v>51</v>
      </c>
      <c r="M1505" t="s">
        <v>47</v>
      </c>
      <c r="N1505" t="s">
        <v>47</v>
      </c>
      <c r="O1505" t="s">
        <v>47</v>
      </c>
      <c r="P1505" s="3">
        <v>37039</v>
      </c>
      <c r="Q1505" s="5" t="s">
        <v>50</v>
      </c>
      <c r="R1505" s="5" t="s">
        <v>5741</v>
      </c>
      <c r="S1505" t="s">
        <v>47</v>
      </c>
      <c r="T1505" t="s">
        <v>47</v>
      </c>
      <c r="U1505" t="s">
        <v>47</v>
      </c>
      <c r="V1505" s="5">
        <v>180</v>
      </c>
      <c r="W1505" s="3">
        <v>37039</v>
      </c>
      <c r="X1505" s="5" t="s">
        <v>50</v>
      </c>
      <c r="Y1505" s="5" t="s">
        <v>5741</v>
      </c>
      <c r="Z1505" s="3">
        <v>37039</v>
      </c>
      <c r="AA1505" s="5" t="s">
        <v>50</v>
      </c>
      <c r="AB1505" s="5" t="s">
        <v>5741</v>
      </c>
      <c r="AC1505" s="3">
        <v>37039</v>
      </c>
      <c r="AD1505" s="5" t="s">
        <v>50</v>
      </c>
      <c r="AE1505" s="5" t="s">
        <v>5742</v>
      </c>
      <c r="AF1505" t="s">
        <v>47</v>
      </c>
      <c r="AG1505" t="s">
        <v>47</v>
      </c>
      <c r="AH1505" t="s">
        <v>47</v>
      </c>
      <c r="AI1505" t="s">
        <v>47</v>
      </c>
      <c r="AJ1505" t="s">
        <v>47</v>
      </c>
      <c r="AK1505" t="s">
        <v>47</v>
      </c>
      <c r="AL1505" t="s">
        <v>47</v>
      </c>
      <c r="AM1505" t="s">
        <v>47</v>
      </c>
      <c r="AN1505" t="s">
        <v>47</v>
      </c>
      <c r="AO1505" s="5" t="s">
        <v>51</v>
      </c>
      <c r="AP1505" s="4" t="s">
        <v>1756</v>
      </c>
      <c r="AQ1505" s="4" t="s">
        <v>198</v>
      </c>
      <c r="AR1505" s="4" t="s">
        <v>595</v>
      </c>
      <c r="AS1505" s="5">
        <v>6245984</v>
      </c>
      <c r="AT1505" t="s">
        <v>47</v>
      </c>
    </row>
    <row r="1506" spans="1:46" ht="52" x14ac:dyDescent="0.3">
      <c r="A1506" s="4" t="s">
        <v>5743</v>
      </c>
      <c r="B1506" t="s">
        <v>47</v>
      </c>
      <c r="C1506" s="4" t="s">
        <v>1036</v>
      </c>
      <c r="D1506" s="4" t="s">
        <v>70</v>
      </c>
      <c r="E1506" s="4" t="s">
        <v>49</v>
      </c>
      <c r="F1506" s="5" t="s">
        <v>5744</v>
      </c>
      <c r="G1506" t="s">
        <v>47</v>
      </c>
      <c r="H1506" t="s">
        <v>47</v>
      </c>
      <c r="I1506" t="s">
        <v>47</v>
      </c>
      <c r="J1506" t="s">
        <v>47</v>
      </c>
      <c r="K1506" t="s">
        <v>47</v>
      </c>
      <c r="L1506" s="5" t="s">
        <v>51</v>
      </c>
      <c r="M1506" t="s">
        <v>47</v>
      </c>
      <c r="N1506" t="s">
        <v>47</v>
      </c>
      <c r="O1506" t="s">
        <v>47</v>
      </c>
      <c r="P1506" t="s">
        <v>47</v>
      </c>
      <c r="Q1506" t="s">
        <v>47</v>
      </c>
      <c r="R1506" t="s">
        <v>47</v>
      </c>
      <c r="S1506" t="s">
        <v>47</v>
      </c>
      <c r="T1506" t="s">
        <v>47</v>
      </c>
      <c r="U1506" t="s">
        <v>47</v>
      </c>
      <c r="V1506" t="s">
        <v>47</v>
      </c>
      <c r="W1506" s="3">
        <v>35796</v>
      </c>
      <c r="X1506" s="3">
        <v>42095</v>
      </c>
      <c r="Y1506" t="s">
        <v>47</v>
      </c>
      <c r="Z1506" s="3">
        <v>35796</v>
      </c>
      <c r="AA1506" s="3">
        <v>42095</v>
      </c>
      <c r="AB1506" t="s">
        <v>47</v>
      </c>
      <c r="AC1506" s="3">
        <v>35796</v>
      </c>
      <c r="AD1506" s="3">
        <v>42095</v>
      </c>
      <c r="AE1506" t="s">
        <v>47</v>
      </c>
      <c r="AF1506" t="s">
        <v>47</v>
      </c>
      <c r="AG1506" t="s">
        <v>47</v>
      </c>
      <c r="AH1506" t="s">
        <v>47</v>
      </c>
      <c r="AI1506" t="s">
        <v>47</v>
      </c>
      <c r="AJ1506" t="s">
        <v>47</v>
      </c>
      <c r="AK1506" t="s">
        <v>47</v>
      </c>
      <c r="AL1506" t="s">
        <v>47</v>
      </c>
      <c r="AM1506" t="s">
        <v>47</v>
      </c>
      <c r="AN1506" t="s">
        <v>47</v>
      </c>
      <c r="AO1506" s="5" t="s">
        <v>51</v>
      </c>
      <c r="AP1506" s="4" t="s">
        <v>135</v>
      </c>
      <c r="AQ1506" s="4" t="s">
        <v>53</v>
      </c>
      <c r="AR1506" s="4" t="s">
        <v>1469</v>
      </c>
      <c r="AS1506" s="5">
        <v>13859</v>
      </c>
      <c r="AT1506" t="s">
        <v>47</v>
      </c>
    </row>
    <row r="1507" spans="1:46" ht="39" x14ac:dyDescent="0.3">
      <c r="A1507" s="4" t="s">
        <v>5745</v>
      </c>
      <c r="B1507" t="s">
        <v>47</v>
      </c>
      <c r="C1507" s="4" t="s">
        <v>1272</v>
      </c>
      <c r="D1507" s="4" t="s">
        <v>1168</v>
      </c>
      <c r="E1507" s="4" t="s">
        <v>49</v>
      </c>
      <c r="F1507" t="s">
        <v>47</v>
      </c>
      <c r="G1507" s="5" t="s">
        <v>5746</v>
      </c>
      <c r="H1507" t="s">
        <v>47</v>
      </c>
      <c r="I1507" s="3">
        <v>42461</v>
      </c>
      <c r="J1507" s="5" t="s">
        <v>50</v>
      </c>
      <c r="K1507" t="s">
        <v>47</v>
      </c>
      <c r="L1507" s="5" t="s">
        <v>60</v>
      </c>
      <c r="M1507" s="3">
        <v>42461</v>
      </c>
      <c r="N1507" s="5" t="s">
        <v>50</v>
      </c>
      <c r="O1507" t="s">
        <v>47</v>
      </c>
      <c r="P1507" s="3">
        <v>42461</v>
      </c>
      <c r="Q1507" s="5" t="s">
        <v>50</v>
      </c>
      <c r="R1507" t="s">
        <v>47</v>
      </c>
      <c r="S1507" t="s">
        <v>47</v>
      </c>
      <c r="T1507" t="s">
        <v>47</v>
      </c>
      <c r="U1507" t="s">
        <v>47</v>
      </c>
      <c r="V1507" t="s">
        <v>47</v>
      </c>
      <c r="W1507" s="3">
        <v>42461</v>
      </c>
      <c r="X1507" s="5" t="s">
        <v>50</v>
      </c>
      <c r="Y1507" t="s">
        <v>47</v>
      </c>
      <c r="Z1507" s="3">
        <v>42461</v>
      </c>
      <c r="AA1507" s="5" t="s">
        <v>50</v>
      </c>
      <c r="AB1507" t="s">
        <v>47</v>
      </c>
      <c r="AC1507" s="3">
        <v>42461</v>
      </c>
      <c r="AD1507" s="5" t="s">
        <v>50</v>
      </c>
      <c r="AE1507" t="s">
        <v>47</v>
      </c>
      <c r="AF1507" t="s">
        <v>47</v>
      </c>
      <c r="AG1507" t="s">
        <v>47</v>
      </c>
      <c r="AH1507" t="s">
        <v>47</v>
      </c>
      <c r="AI1507" t="s">
        <v>47</v>
      </c>
      <c r="AJ1507" t="s">
        <v>47</v>
      </c>
      <c r="AK1507" t="s">
        <v>47</v>
      </c>
      <c r="AL1507" t="s">
        <v>47</v>
      </c>
      <c r="AM1507" t="s">
        <v>47</v>
      </c>
      <c r="AN1507" t="s">
        <v>47</v>
      </c>
      <c r="AO1507" s="5" t="s">
        <v>60</v>
      </c>
      <c r="AP1507" s="4" t="s">
        <v>61</v>
      </c>
      <c r="AQ1507" s="4" t="s">
        <v>53</v>
      </c>
      <c r="AR1507" s="4" t="s">
        <v>62</v>
      </c>
      <c r="AS1507" s="5">
        <v>5324452</v>
      </c>
      <c r="AT1507" t="s">
        <v>47</v>
      </c>
    </row>
    <row r="1508" spans="1:46" ht="65" x14ac:dyDescent="0.3">
      <c r="A1508" s="4" t="s">
        <v>5747</v>
      </c>
      <c r="B1508" t="s">
        <v>47</v>
      </c>
      <c r="C1508" s="4" t="s">
        <v>169</v>
      </c>
      <c r="D1508" s="4" t="s">
        <v>223</v>
      </c>
      <c r="E1508" s="4" t="s">
        <v>66</v>
      </c>
      <c r="F1508" s="5" t="s">
        <v>5748</v>
      </c>
      <c r="G1508" s="5" t="s">
        <v>5749</v>
      </c>
      <c r="H1508" t="s">
        <v>47</v>
      </c>
      <c r="I1508" s="3">
        <v>37438</v>
      </c>
      <c r="J1508" s="3">
        <v>42675</v>
      </c>
      <c r="K1508" t="s">
        <v>47</v>
      </c>
      <c r="L1508" s="5" t="s">
        <v>60</v>
      </c>
      <c r="M1508" s="3">
        <v>37438</v>
      </c>
      <c r="N1508" s="3">
        <v>42675</v>
      </c>
      <c r="O1508" t="s">
        <v>47</v>
      </c>
      <c r="P1508" s="3">
        <v>37438</v>
      </c>
      <c r="Q1508" s="3">
        <v>42675</v>
      </c>
      <c r="R1508" t="s">
        <v>47</v>
      </c>
      <c r="S1508" t="s">
        <v>47</v>
      </c>
      <c r="T1508" t="s">
        <v>47</v>
      </c>
      <c r="U1508" t="s">
        <v>47</v>
      </c>
      <c r="V1508" t="s">
        <v>47</v>
      </c>
      <c r="W1508" s="3">
        <v>37438</v>
      </c>
      <c r="X1508" s="3">
        <v>45352</v>
      </c>
      <c r="Y1508" t="s">
        <v>47</v>
      </c>
      <c r="Z1508" s="3">
        <v>37438</v>
      </c>
      <c r="AA1508" s="3">
        <v>45352</v>
      </c>
      <c r="AB1508" t="s">
        <v>47</v>
      </c>
      <c r="AC1508" s="3">
        <v>37987</v>
      </c>
      <c r="AD1508" s="3">
        <v>42675</v>
      </c>
      <c r="AE1508" t="s">
        <v>47</v>
      </c>
      <c r="AF1508" t="s">
        <v>47</v>
      </c>
      <c r="AG1508" t="s">
        <v>47</v>
      </c>
      <c r="AH1508" t="s">
        <v>47</v>
      </c>
      <c r="AI1508" t="s">
        <v>47</v>
      </c>
      <c r="AJ1508" t="s">
        <v>47</v>
      </c>
      <c r="AK1508" t="s">
        <v>47</v>
      </c>
      <c r="AL1508" t="s">
        <v>47</v>
      </c>
      <c r="AM1508" t="s">
        <v>47</v>
      </c>
      <c r="AN1508" t="s">
        <v>47</v>
      </c>
      <c r="AO1508" s="5" t="s">
        <v>60</v>
      </c>
      <c r="AP1508" s="4" t="s">
        <v>61</v>
      </c>
      <c r="AQ1508" s="4" t="s">
        <v>53</v>
      </c>
      <c r="AR1508" s="4" t="s">
        <v>5750</v>
      </c>
      <c r="AS1508" s="5">
        <v>30880</v>
      </c>
      <c r="AT1508" t="s">
        <v>47</v>
      </c>
    </row>
    <row r="1509" spans="1:46" ht="39" x14ac:dyDescent="0.3">
      <c r="A1509" s="4" t="s">
        <v>5751</v>
      </c>
      <c r="B1509" t="s">
        <v>47</v>
      </c>
      <c r="C1509" s="4" t="s">
        <v>93</v>
      </c>
      <c r="D1509" s="4" t="s">
        <v>1168</v>
      </c>
      <c r="E1509" s="4" t="s">
        <v>49</v>
      </c>
      <c r="F1509" s="5" t="s">
        <v>5752</v>
      </c>
      <c r="G1509" s="5" t="s">
        <v>5753</v>
      </c>
      <c r="H1509" t="s">
        <v>47</v>
      </c>
      <c r="I1509" t="s">
        <v>47</v>
      </c>
      <c r="J1509" t="s">
        <v>47</v>
      </c>
      <c r="K1509" t="s">
        <v>47</v>
      </c>
      <c r="L1509" s="5" t="s">
        <v>60</v>
      </c>
      <c r="M1509" t="s">
        <v>47</v>
      </c>
      <c r="N1509" t="s">
        <v>47</v>
      </c>
      <c r="O1509" t="s">
        <v>47</v>
      </c>
      <c r="P1509" t="s">
        <v>47</v>
      </c>
      <c r="Q1509" t="s">
        <v>47</v>
      </c>
      <c r="R1509" t="s">
        <v>47</v>
      </c>
      <c r="S1509" t="s">
        <v>47</v>
      </c>
      <c r="T1509" t="s">
        <v>47</v>
      </c>
      <c r="U1509" t="s">
        <v>47</v>
      </c>
      <c r="V1509" t="s">
        <v>47</v>
      </c>
      <c r="W1509" s="3">
        <v>41091</v>
      </c>
      <c r="X1509" s="3">
        <v>41122</v>
      </c>
      <c r="Y1509" t="s">
        <v>47</v>
      </c>
      <c r="Z1509" s="3">
        <v>41091</v>
      </c>
      <c r="AA1509" s="3">
        <v>41122</v>
      </c>
      <c r="AB1509" t="s">
        <v>47</v>
      </c>
      <c r="AC1509" s="3">
        <v>41091</v>
      </c>
      <c r="AD1509" s="3">
        <v>41122</v>
      </c>
      <c r="AE1509" t="s">
        <v>47</v>
      </c>
      <c r="AF1509" t="s">
        <v>47</v>
      </c>
      <c r="AG1509" t="s">
        <v>47</v>
      </c>
      <c r="AH1509" t="s">
        <v>47</v>
      </c>
      <c r="AI1509" t="s">
        <v>47</v>
      </c>
      <c r="AJ1509" t="s">
        <v>47</v>
      </c>
      <c r="AK1509" t="s">
        <v>47</v>
      </c>
      <c r="AL1509" t="s">
        <v>47</v>
      </c>
      <c r="AM1509" t="s">
        <v>47</v>
      </c>
      <c r="AN1509" t="s">
        <v>47</v>
      </c>
      <c r="AO1509" s="5" t="s">
        <v>51</v>
      </c>
      <c r="AP1509" s="4" t="s">
        <v>61</v>
      </c>
      <c r="AQ1509" s="4" t="s">
        <v>53</v>
      </c>
      <c r="AR1509" s="4" t="s">
        <v>62</v>
      </c>
      <c r="AS1509" s="5">
        <v>1046341</v>
      </c>
      <c r="AT1509" t="s">
        <v>47</v>
      </c>
    </row>
    <row r="1510" spans="1:46" ht="39" x14ac:dyDescent="0.3">
      <c r="A1510" s="4" t="s">
        <v>5754</v>
      </c>
      <c r="B1510" t="s">
        <v>47</v>
      </c>
      <c r="C1510" s="4" t="s">
        <v>770</v>
      </c>
      <c r="D1510" s="4" t="s">
        <v>88</v>
      </c>
      <c r="E1510" s="4" t="s">
        <v>49</v>
      </c>
      <c r="F1510" s="5" t="s">
        <v>5755</v>
      </c>
      <c r="G1510" s="5" t="s">
        <v>5756</v>
      </c>
      <c r="H1510" t="s">
        <v>47</v>
      </c>
      <c r="I1510" t="s">
        <v>47</v>
      </c>
      <c r="J1510" t="s">
        <v>47</v>
      </c>
      <c r="K1510" t="s">
        <v>47</v>
      </c>
      <c r="L1510" s="5" t="s">
        <v>51</v>
      </c>
      <c r="M1510" t="s">
        <v>47</v>
      </c>
      <c r="N1510" t="s">
        <v>47</v>
      </c>
      <c r="O1510" t="s">
        <v>47</v>
      </c>
      <c r="P1510" t="s">
        <v>47</v>
      </c>
      <c r="Q1510" t="s">
        <v>47</v>
      </c>
      <c r="R1510" t="s">
        <v>47</v>
      </c>
      <c r="S1510" t="s">
        <v>47</v>
      </c>
      <c r="T1510" t="s">
        <v>47</v>
      </c>
      <c r="U1510" t="s">
        <v>47</v>
      </c>
      <c r="V1510" t="s">
        <v>47</v>
      </c>
      <c r="W1510" s="3">
        <v>36119</v>
      </c>
      <c r="X1510" s="3">
        <v>40148</v>
      </c>
      <c r="Y1510" s="5" t="s">
        <v>1782</v>
      </c>
      <c r="Z1510" s="3">
        <v>36119</v>
      </c>
      <c r="AA1510" s="3">
        <v>40148</v>
      </c>
      <c r="AB1510" s="5" t="s">
        <v>1782</v>
      </c>
      <c r="AC1510" s="3">
        <v>37099</v>
      </c>
      <c r="AD1510" s="3">
        <v>40148</v>
      </c>
      <c r="AE1510" s="5" t="s">
        <v>1782</v>
      </c>
      <c r="AF1510" t="s">
        <v>47</v>
      </c>
      <c r="AG1510" t="s">
        <v>47</v>
      </c>
      <c r="AH1510" t="s">
        <v>47</v>
      </c>
      <c r="AI1510" t="s">
        <v>47</v>
      </c>
      <c r="AJ1510" t="s">
        <v>47</v>
      </c>
      <c r="AK1510" t="s">
        <v>47</v>
      </c>
      <c r="AL1510" t="s">
        <v>47</v>
      </c>
      <c r="AM1510" t="s">
        <v>47</v>
      </c>
      <c r="AN1510" t="s">
        <v>47</v>
      </c>
      <c r="AO1510" s="5" t="s">
        <v>51</v>
      </c>
      <c r="AP1510" s="4" t="s">
        <v>85</v>
      </c>
      <c r="AQ1510" s="4" t="s">
        <v>53</v>
      </c>
      <c r="AR1510" s="4" t="s">
        <v>62</v>
      </c>
      <c r="AS1510" s="5">
        <v>10754</v>
      </c>
      <c r="AT1510" t="s">
        <v>47</v>
      </c>
    </row>
    <row r="1511" spans="1:46" ht="13" x14ac:dyDescent="0.3">
      <c r="A1511" s="4" t="s">
        <v>5757</v>
      </c>
      <c r="B1511" t="s">
        <v>47</v>
      </c>
      <c r="C1511" s="4" t="s">
        <v>5758</v>
      </c>
      <c r="D1511" s="4" t="s">
        <v>5759</v>
      </c>
      <c r="E1511" s="4" t="s">
        <v>58</v>
      </c>
      <c r="F1511" t="s">
        <v>47</v>
      </c>
      <c r="G1511" s="5" t="s">
        <v>5760</v>
      </c>
      <c r="H1511" t="s">
        <v>47</v>
      </c>
      <c r="I1511" s="3">
        <v>40179</v>
      </c>
      <c r="J1511" s="5" t="s">
        <v>50</v>
      </c>
      <c r="K1511" t="s">
        <v>47</v>
      </c>
      <c r="L1511" s="5" t="s">
        <v>60</v>
      </c>
      <c r="M1511" t="s">
        <v>47</v>
      </c>
      <c r="N1511" t="s">
        <v>47</v>
      </c>
      <c r="O1511" t="s">
        <v>47</v>
      </c>
      <c r="P1511" s="3">
        <v>40179</v>
      </c>
      <c r="Q1511" s="5" t="s">
        <v>50</v>
      </c>
      <c r="R1511" t="s">
        <v>47</v>
      </c>
      <c r="S1511" t="s">
        <v>47</v>
      </c>
      <c r="T1511" t="s">
        <v>47</v>
      </c>
      <c r="U1511" t="s">
        <v>47</v>
      </c>
      <c r="V1511" t="s">
        <v>47</v>
      </c>
      <c r="W1511" s="3">
        <v>40179</v>
      </c>
      <c r="X1511" s="5" t="s">
        <v>50</v>
      </c>
      <c r="Y1511" t="s">
        <v>47</v>
      </c>
      <c r="Z1511" s="3">
        <v>40179</v>
      </c>
      <c r="AA1511" s="5" t="s">
        <v>50</v>
      </c>
      <c r="AB1511" t="s">
        <v>47</v>
      </c>
      <c r="AC1511" s="3">
        <v>40179</v>
      </c>
      <c r="AD1511" s="5" t="s">
        <v>50</v>
      </c>
      <c r="AE1511" t="s">
        <v>47</v>
      </c>
      <c r="AF1511" t="s">
        <v>47</v>
      </c>
      <c r="AG1511" t="s">
        <v>47</v>
      </c>
      <c r="AH1511" t="s">
        <v>47</v>
      </c>
      <c r="AI1511" t="s">
        <v>47</v>
      </c>
      <c r="AJ1511" t="s">
        <v>47</v>
      </c>
      <c r="AK1511" t="s">
        <v>47</v>
      </c>
      <c r="AL1511" t="s">
        <v>47</v>
      </c>
      <c r="AM1511" t="s">
        <v>47</v>
      </c>
      <c r="AN1511" t="s">
        <v>47</v>
      </c>
      <c r="AO1511" s="5" t="s">
        <v>60</v>
      </c>
      <c r="AP1511" s="4" t="s">
        <v>61</v>
      </c>
      <c r="AQ1511" s="4" t="s">
        <v>53</v>
      </c>
      <c r="AR1511" s="4" t="s">
        <v>54</v>
      </c>
      <c r="AS1511" s="5">
        <v>546302</v>
      </c>
      <c r="AT1511" t="s">
        <v>47</v>
      </c>
    </row>
    <row r="1512" spans="1:46" ht="13" x14ac:dyDescent="0.3">
      <c r="A1512" s="4" t="s">
        <v>5761</v>
      </c>
      <c r="B1512" t="s">
        <v>47</v>
      </c>
      <c r="C1512" s="4" t="s">
        <v>2225</v>
      </c>
      <c r="D1512" s="4" t="s">
        <v>5406</v>
      </c>
      <c r="E1512" s="4" t="s">
        <v>454</v>
      </c>
      <c r="F1512" s="5" t="s">
        <v>5762</v>
      </c>
      <c r="G1512" s="5" t="s">
        <v>5763</v>
      </c>
      <c r="H1512" t="s">
        <v>47</v>
      </c>
      <c r="I1512" s="3">
        <v>39814</v>
      </c>
      <c r="J1512" s="5" t="s">
        <v>50</v>
      </c>
      <c r="K1512" t="s">
        <v>47</v>
      </c>
      <c r="L1512" s="5" t="s">
        <v>60</v>
      </c>
      <c r="M1512" s="3">
        <v>39814</v>
      </c>
      <c r="N1512" s="5" t="s">
        <v>50</v>
      </c>
      <c r="O1512" t="s">
        <v>47</v>
      </c>
      <c r="P1512" s="3">
        <v>39814</v>
      </c>
      <c r="Q1512" s="5" t="s">
        <v>50</v>
      </c>
      <c r="R1512" t="s">
        <v>47</v>
      </c>
      <c r="S1512" t="s">
        <v>47</v>
      </c>
      <c r="T1512" t="s">
        <v>47</v>
      </c>
      <c r="U1512" t="s">
        <v>47</v>
      </c>
      <c r="V1512" t="s">
        <v>47</v>
      </c>
      <c r="W1512" s="3">
        <v>39814</v>
      </c>
      <c r="X1512" s="5" t="s">
        <v>50</v>
      </c>
      <c r="Y1512" t="s">
        <v>47</v>
      </c>
      <c r="Z1512" s="3">
        <v>39814</v>
      </c>
      <c r="AA1512" s="5" t="s">
        <v>50</v>
      </c>
      <c r="AB1512" t="s">
        <v>47</v>
      </c>
      <c r="AC1512" s="3">
        <v>39814</v>
      </c>
      <c r="AD1512" s="5" t="s">
        <v>50</v>
      </c>
      <c r="AE1512" t="s">
        <v>47</v>
      </c>
      <c r="AF1512" t="s">
        <v>47</v>
      </c>
      <c r="AG1512" t="s">
        <v>47</v>
      </c>
      <c r="AH1512" t="s">
        <v>47</v>
      </c>
      <c r="AI1512" t="s">
        <v>47</v>
      </c>
      <c r="AJ1512" t="s">
        <v>47</v>
      </c>
      <c r="AK1512" t="s">
        <v>47</v>
      </c>
      <c r="AL1512" t="s">
        <v>47</v>
      </c>
      <c r="AM1512" t="s">
        <v>47</v>
      </c>
      <c r="AN1512" t="s">
        <v>47</v>
      </c>
      <c r="AO1512" s="5" t="s">
        <v>60</v>
      </c>
      <c r="AP1512" s="4" t="s">
        <v>61</v>
      </c>
      <c r="AQ1512" s="4" t="s">
        <v>5764</v>
      </c>
      <c r="AR1512" s="4" t="s">
        <v>54</v>
      </c>
      <c r="AS1512" s="5">
        <v>226566</v>
      </c>
      <c r="AT1512" t="s">
        <v>47</v>
      </c>
    </row>
    <row r="1513" spans="1:46" ht="26" x14ac:dyDescent="0.3">
      <c r="A1513" s="4" t="s">
        <v>5765</v>
      </c>
      <c r="B1513" t="s">
        <v>47</v>
      </c>
      <c r="C1513" s="4" t="s">
        <v>5766</v>
      </c>
      <c r="D1513" s="4" t="s">
        <v>4892</v>
      </c>
      <c r="E1513" s="4" t="s">
        <v>1797</v>
      </c>
      <c r="F1513" s="5" t="s">
        <v>5767</v>
      </c>
      <c r="G1513" s="5" t="s">
        <v>5768</v>
      </c>
      <c r="H1513" t="s">
        <v>47</v>
      </c>
      <c r="I1513" s="3">
        <v>40544</v>
      </c>
      <c r="J1513" s="5" t="s">
        <v>50</v>
      </c>
      <c r="K1513" t="s">
        <v>47</v>
      </c>
      <c r="L1513" s="5" t="s">
        <v>60</v>
      </c>
      <c r="M1513" s="3">
        <v>40544</v>
      </c>
      <c r="N1513" s="5" t="s">
        <v>50</v>
      </c>
      <c r="O1513" t="s">
        <v>47</v>
      </c>
      <c r="P1513" s="3">
        <v>40544</v>
      </c>
      <c r="Q1513" s="5" t="s">
        <v>50</v>
      </c>
      <c r="R1513" t="s">
        <v>47</v>
      </c>
      <c r="S1513" t="s">
        <v>47</v>
      </c>
      <c r="T1513" t="s">
        <v>47</v>
      </c>
      <c r="U1513" t="s">
        <v>47</v>
      </c>
      <c r="V1513" t="s">
        <v>47</v>
      </c>
      <c r="W1513" s="3">
        <v>40544</v>
      </c>
      <c r="X1513" s="5" t="s">
        <v>50</v>
      </c>
      <c r="Y1513" t="s">
        <v>47</v>
      </c>
      <c r="Z1513" s="3">
        <v>40544</v>
      </c>
      <c r="AA1513" s="5" t="s">
        <v>50</v>
      </c>
      <c r="AB1513" t="s">
        <v>47</v>
      </c>
      <c r="AC1513" s="3">
        <v>40544</v>
      </c>
      <c r="AD1513" s="5" t="s">
        <v>50</v>
      </c>
      <c r="AE1513" t="s">
        <v>47</v>
      </c>
      <c r="AF1513" t="s">
        <v>47</v>
      </c>
      <c r="AG1513" t="s">
        <v>47</v>
      </c>
      <c r="AH1513" t="s">
        <v>47</v>
      </c>
      <c r="AI1513" t="s">
        <v>47</v>
      </c>
      <c r="AJ1513" t="s">
        <v>47</v>
      </c>
      <c r="AK1513" t="s">
        <v>47</v>
      </c>
      <c r="AL1513" t="s">
        <v>47</v>
      </c>
      <c r="AM1513" t="s">
        <v>47</v>
      </c>
      <c r="AN1513" t="s">
        <v>47</v>
      </c>
      <c r="AO1513" s="5" t="s">
        <v>60</v>
      </c>
      <c r="AP1513" s="4" t="s">
        <v>61</v>
      </c>
      <c r="AQ1513" s="4" t="s">
        <v>4212</v>
      </c>
      <c r="AR1513" s="4" t="s">
        <v>54</v>
      </c>
      <c r="AS1513" s="5">
        <v>2030180</v>
      </c>
      <c r="AT1513" t="s">
        <v>47</v>
      </c>
    </row>
    <row r="1514" spans="1:46" ht="39" x14ac:dyDescent="0.3">
      <c r="A1514" s="4" t="s">
        <v>5769</v>
      </c>
      <c r="B1514" t="s">
        <v>47</v>
      </c>
      <c r="C1514" s="4" t="s">
        <v>1571</v>
      </c>
      <c r="D1514" s="4" t="s">
        <v>5770</v>
      </c>
      <c r="E1514" s="4" t="s">
        <v>163</v>
      </c>
      <c r="F1514" s="5" t="s">
        <v>5771</v>
      </c>
      <c r="G1514" s="5" t="s">
        <v>5772</v>
      </c>
      <c r="H1514" t="s">
        <v>47</v>
      </c>
      <c r="I1514" s="3">
        <v>39448</v>
      </c>
      <c r="J1514" s="3">
        <v>42005</v>
      </c>
      <c r="K1514" s="5" t="s">
        <v>5364</v>
      </c>
      <c r="L1514" s="5" t="s">
        <v>60</v>
      </c>
      <c r="M1514" t="s">
        <v>47</v>
      </c>
      <c r="N1514" t="s">
        <v>47</v>
      </c>
      <c r="O1514" t="s">
        <v>47</v>
      </c>
      <c r="P1514" s="3">
        <v>39448</v>
      </c>
      <c r="Q1514" s="3">
        <v>42005</v>
      </c>
      <c r="R1514" s="5" t="s">
        <v>5364</v>
      </c>
      <c r="S1514" t="s">
        <v>47</v>
      </c>
      <c r="T1514" t="s">
        <v>47</v>
      </c>
      <c r="U1514" t="s">
        <v>47</v>
      </c>
      <c r="V1514" t="s">
        <v>47</v>
      </c>
      <c r="W1514" s="3">
        <v>39448</v>
      </c>
      <c r="X1514" s="3">
        <v>42005</v>
      </c>
      <c r="Y1514" s="5" t="s">
        <v>5364</v>
      </c>
      <c r="Z1514" s="3">
        <v>39448</v>
      </c>
      <c r="AA1514" s="3">
        <v>42005</v>
      </c>
      <c r="AB1514" s="5" t="s">
        <v>5364</v>
      </c>
      <c r="AC1514" s="3">
        <v>39448</v>
      </c>
      <c r="AD1514" s="3">
        <v>42005</v>
      </c>
      <c r="AE1514" s="5" t="s">
        <v>5364</v>
      </c>
      <c r="AF1514" t="s">
        <v>47</v>
      </c>
      <c r="AG1514" t="s">
        <v>47</v>
      </c>
      <c r="AH1514" t="s">
        <v>47</v>
      </c>
      <c r="AI1514" t="s">
        <v>47</v>
      </c>
      <c r="AJ1514" t="s">
        <v>47</v>
      </c>
      <c r="AK1514" t="s">
        <v>47</v>
      </c>
      <c r="AL1514" t="s">
        <v>47</v>
      </c>
      <c r="AM1514" t="s">
        <v>47</v>
      </c>
      <c r="AN1514" t="s">
        <v>47</v>
      </c>
      <c r="AO1514" s="5" t="s">
        <v>60</v>
      </c>
      <c r="AP1514" s="4" t="s">
        <v>61</v>
      </c>
      <c r="AQ1514" s="4" t="s">
        <v>53</v>
      </c>
      <c r="AR1514" s="4" t="s">
        <v>186</v>
      </c>
      <c r="AS1514" s="5">
        <v>2026643</v>
      </c>
      <c r="AT1514" t="s">
        <v>47</v>
      </c>
    </row>
    <row r="1515" spans="1:46" ht="26" x14ac:dyDescent="0.3">
      <c r="A1515" s="4" t="s">
        <v>5773</v>
      </c>
      <c r="B1515" t="s">
        <v>47</v>
      </c>
      <c r="C1515" s="4" t="s">
        <v>287</v>
      </c>
      <c r="D1515" s="4" t="s">
        <v>288</v>
      </c>
      <c r="E1515" s="4" t="s">
        <v>49</v>
      </c>
      <c r="F1515" s="5" t="s">
        <v>5774</v>
      </c>
      <c r="G1515" s="5" t="s">
        <v>5775</v>
      </c>
      <c r="H1515" t="s">
        <v>47</v>
      </c>
      <c r="I1515" s="3">
        <v>38261</v>
      </c>
      <c r="J1515" s="5" t="s">
        <v>50</v>
      </c>
      <c r="K1515" t="s">
        <v>47</v>
      </c>
      <c r="L1515" s="5" t="s">
        <v>60</v>
      </c>
      <c r="M1515" s="3">
        <v>38261</v>
      </c>
      <c r="N1515" s="5" t="s">
        <v>50</v>
      </c>
      <c r="O1515" t="s">
        <v>47</v>
      </c>
      <c r="P1515" s="3">
        <v>38261</v>
      </c>
      <c r="Q1515" s="5" t="s">
        <v>50</v>
      </c>
      <c r="R1515" t="s">
        <v>47</v>
      </c>
      <c r="S1515" t="s">
        <v>47</v>
      </c>
      <c r="T1515" t="s">
        <v>47</v>
      </c>
      <c r="U1515" t="s">
        <v>47</v>
      </c>
      <c r="V1515" t="s">
        <v>47</v>
      </c>
      <c r="W1515" s="3">
        <v>38261</v>
      </c>
      <c r="X1515" s="5" t="s">
        <v>50</v>
      </c>
      <c r="Y1515" t="s">
        <v>47</v>
      </c>
      <c r="Z1515" s="3">
        <v>38261</v>
      </c>
      <c r="AA1515" s="5" t="s">
        <v>50</v>
      </c>
      <c r="AB1515" t="s">
        <v>47</v>
      </c>
      <c r="AC1515" s="3">
        <v>38261</v>
      </c>
      <c r="AD1515" s="5" t="s">
        <v>50</v>
      </c>
      <c r="AE1515" t="s">
        <v>47</v>
      </c>
      <c r="AF1515" t="s">
        <v>47</v>
      </c>
      <c r="AG1515" t="s">
        <v>47</v>
      </c>
      <c r="AH1515" t="s">
        <v>47</v>
      </c>
      <c r="AI1515" t="s">
        <v>47</v>
      </c>
      <c r="AJ1515" t="s">
        <v>47</v>
      </c>
      <c r="AK1515" t="s">
        <v>47</v>
      </c>
      <c r="AL1515" t="s">
        <v>47</v>
      </c>
      <c r="AM1515" t="s">
        <v>47</v>
      </c>
      <c r="AN1515" t="s">
        <v>47</v>
      </c>
      <c r="AO1515" s="5" t="s">
        <v>60</v>
      </c>
      <c r="AP1515" s="4" t="s">
        <v>61</v>
      </c>
      <c r="AQ1515" s="4" t="s">
        <v>53</v>
      </c>
      <c r="AR1515" s="4" t="s">
        <v>1166</v>
      </c>
      <c r="AS1515" s="5">
        <v>29216</v>
      </c>
      <c r="AT1515" t="s">
        <v>47</v>
      </c>
    </row>
    <row r="1516" spans="1:46" ht="65" x14ac:dyDescent="0.3">
      <c r="A1516" s="4" t="s">
        <v>5776</v>
      </c>
      <c r="B1516" t="s">
        <v>47</v>
      </c>
      <c r="C1516" s="4" t="s">
        <v>169</v>
      </c>
      <c r="D1516" s="4" t="s">
        <v>223</v>
      </c>
      <c r="E1516" s="4" t="s">
        <v>66</v>
      </c>
      <c r="F1516" s="5" t="s">
        <v>5777</v>
      </c>
      <c r="G1516" s="5" t="s">
        <v>5778</v>
      </c>
      <c r="H1516" t="s">
        <v>47</v>
      </c>
      <c r="I1516" s="3">
        <v>35431</v>
      </c>
      <c r="J1516" s="3">
        <v>43466</v>
      </c>
      <c r="K1516" t="s">
        <v>47</v>
      </c>
      <c r="L1516" s="5" t="s">
        <v>60</v>
      </c>
      <c r="M1516" s="3">
        <v>35431</v>
      </c>
      <c r="N1516" s="3">
        <v>43466</v>
      </c>
      <c r="O1516" t="s">
        <v>47</v>
      </c>
      <c r="P1516" s="3">
        <v>35431</v>
      </c>
      <c r="Q1516" s="3">
        <v>43466</v>
      </c>
      <c r="R1516" t="s">
        <v>47</v>
      </c>
      <c r="S1516" t="s">
        <v>47</v>
      </c>
      <c r="T1516" t="s">
        <v>47</v>
      </c>
      <c r="U1516" t="s">
        <v>47</v>
      </c>
      <c r="V1516" t="s">
        <v>47</v>
      </c>
      <c r="W1516" s="3">
        <v>35431</v>
      </c>
      <c r="X1516" s="3">
        <v>43466</v>
      </c>
      <c r="Y1516" t="s">
        <v>47</v>
      </c>
      <c r="Z1516" s="3">
        <v>35431</v>
      </c>
      <c r="AA1516" s="3">
        <v>43466</v>
      </c>
      <c r="AB1516" t="s">
        <v>47</v>
      </c>
      <c r="AC1516" s="3">
        <v>36982</v>
      </c>
      <c r="AD1516" s="3">
        <v>43466</v>
      </c>
      <c r="AE1516" t="s">
        <v>47</v>
      </c>
      <c r="AF1516" t="s">
        <v>47</v>
      </c>
      <c r="AG1516" t="s">
        <v>47</v>
      </c>
      <c r="AH1516" t="s">
        <v>47</v>
      </c>
      <c r="AI1516" t="s">
        <v>47</v>
      </c>
      <c r="AJ1516" t="s">
        <v>47</v>
      </c>
      <c r="AK1516" t="s">
        <v>47</v>
      </c>
      <c r="AL1516" t="s">
        <v>47</v>
      </c>
      <c r="AM1516" t="s">
        <v>47</v>
      </c>
      <c r="AN1516" t="s">
        <v>47</v>
      </c>
      <c r="AO1516" s="5" t="s">
        <v>60</v>
      </c>
      <c r="AP1516" s="4" t="s">
        <v>61</v>
      </c>
      <c r="AQ1516" s="4" t="s">
        <v>53</v>
      </c>
      <c r="AR1516" s="4" t="s">
        <v>5779</v>
      </c>
      <c r="AS1516" s="5">
        <v>48138</v>
      </c>
      <c r="AT1516" t="s">
        <v>47</v>
      </c>
    </row>
    <row r="1517" spans="1:46" ht="78" x14ac:dyDescent="0.3">
      <c r="A1517" s="4" t="s">
        <v>5780</v>
      </c>
      <c r="B1517" t="s">
        <v>47</v>
      </c>
      <c r="C1517" s="4" t="s">
        <v>169</v>
      </c>
      <c r="D1517" s="4" t="s">
        <v>674</v>
      </c>
      <c r="E1517" s="4" t="s">
        <v>66</v>
      </c>
      <c r="F1517" s="5" t="s">
        <v>5781</v>
      </c>
      <c r="G1517" s="5" t="s">
        <v>5782</v>
      </c>
      <c r="H1517" t="s">
        <v>47</v>
      </c>
      <c r="I1517" t="s">
        <v>47</v>
      </c>
      <c r="J1517" t="s">
        <v>47</v>
      </c>
      <c r="K1517" t="s">
        <v>47</v>
      </c>
      <c r="L1517" s="5" t="s">
        <v>60</v>
      </c>
      <c r="M1517" t="s">
        <v>47</v>
      </c>
      <c r="N1517" t="s">
        <v>47</v>
      </c>
      <c r="O1517" t="s">
        <v>47</v>
      </c>
      <c r="P1517" t="s">
        <v>47</v>
      </c>
      <c r="Q1517" t="s">
        <v>47</v>
      </c>
      <c r="R1517" t="s">
        <v>47</v>
      </c>
      <c r="S1517" t="s">
        <v>47</v>
      </c>
      <c r="T1517" t="s">
        <v>47</v>
      </c>
      <c r="U1517" t="s">
        <v>47</v>
      </c>
      <c r="V1517" t="s">
        <v>47</v>
      </c>
      <c r="W1517" s="3">
        <v>40179</v>
      </c>
      <c r="X1517" s="5" t="s">
        <v>50</v>
      </c>
      <c r="Y1517" s="5" t="s">
        <v>811</v>
      </c>
      <c r="Z1517" s="3">
        <v>40179</v>
      </c>
      <c r="AA1517" s="5" t="s">
        <v>50</v>
      </c>
      <c r="AB1517" s="5" t="s">
        <v>811</v>
      </c>
      <c r="AC1517" s="3">
        <v>40179</v>
      </c>
      <c r="AD1517" s="5" t="s">
        <v>50</v>
      </c>
      <c r="AE1517" s="5" t="s">
        <v>811</v>
      </c>
      <c r="AF1517" t="s">
        <v>47</v>
      </c>
      <c r="AG1517" t="s">
        <v>47</v>
      </c>
      <c r="AH1517" t="s">
        <v>47</v>
      </c>
      <c r="AI1517" t="s">
        <v>47</v>
      </c>
      <c r="AJ1517" t="s">
        <v>47</v>
      </c>
      <c r="AK1517" t="s">
        <v>47</v>
      </c>
      <c r="AL1517" t="s">
        <v>47</v>
      </c>
      <c r="AM1517" t="s">
        <v>47</v>
      </c>
      <c r="AN1517" t="s">
        <v>47</v>
      </c>
      <c r="AO1517" s="5" t="s">
        <v>60</v>
      </c>
      <c r="AP1517" s="4" t="s">
        <v>61</v>
      </c>
      <c r="AQ1517" s="4" t="s">
        <v>53</v>
      </c>
      <c r="AR1517" s="4" t="s">
        <v>1322</v>
      </c>
      <c r="AS1517" s="5">
        <v>426729</v>
      </c>
      <c r="AT1517" t="s">
        <v>47</v>
      </c>
    </row>
    <row r="1518" spans="1:46" ht="39" x14ac:dyDescent="0.3">
      <c r="A1518" s="4" t="s">
        <v>5783</v>
      </c>
      <c r="B1518" t="s">
        <v>47</v>
      </c>
      <c r="C1518" s="4" t="s">
        <v>115</v>
      </c>
      <c r="D1518" s="4" t="s">
        <v>559</v>
      </c>
      <c r="E1518" s="4" t="s">
        <v>66</v>
      </c>
      <c r="F1518" s="5" t="s">
        <v>5784</v>
      </c>
      <c r="G1518" s="5" t="s">
        <v>5785</v>
      </c>
      <c r="H1518" t="s">
        <v>47</v>
      </c>
      <c r="I1518" s="3">
        <v>39814</v>
      </c>
      <c r="J1518" s="5" t="s">
        <v>50</v>
      </c>
      <c r="K1518" t="s">
        <v>47</v>
      </c>
      <c r="L1518" s="5" t="s">
        <v>60</v>
      </c>
      <c r="M1518" s="3">
        <v>39814</v>
      </c>
      <c r="N1518" s="5" t="s">
        <v>50</v>
      </c>
      <c r="O1518" t="s">
        <v>47</v>
      </c>
      <c r="P1518" s="3">
        <v>39814</v>
      </c>
      <c r="Q1518" s="5" t="s">
        <v>50</v>
      </c>
      <c r="R1518" t="s">
        <v>47</v>
      </c>
      <c r="S1518" t="s">
        <v>47</v>
      </c>
      <c r="T1518" t="s">
        <v>47</v>
      </c>
      <c r="U1518" t="s">
        <v>47</v>
      </c>
      <c r="V1518" s="5">
        <v>365</v>
      </c>
      <c r="W1518" s="3">
        <v>39814</v>
      </c>
      <c r="X1518" s="5" t="s">
        <v>50</v>
      </c>
      <c r="Y1518" t="s">
        <v>47</v>
      </c>
      <c r="Z1518" s="3">
        <v>39814</v>
      </c>
      <c r="AA1518" s="5" t="s">
        <v>50</v>
      </c>
      <c r="AB1518" t="s">
        <v>47</v>
      </c>
      <c r="AC1518" s="3">
        <v>39814</v>
      </c>
      <c r="AD1518" s="5" t="s">
        <v>50</v>
      </c>
      <c r="AE1518" t="s">
        <v>47</v>
      </c>
      <c r="AF1518" t="s">
        <v>47</v>
      </c>
      <c r="AG1518" t="s">
        <v>47</v>
      </c>
      <c r="AH1518" t="s">
        <v>47</v>
      </c>
      <c r="AI1518" t="s">
        <v>47</v>
      </c>
      <c r="AJ1518" t="s">
        <v>47</v>
      </c>
      <c r="AK1518" t="s">
        <v>47</v>
      </c>
      <c r="AL1518" t="s">
        <v>47</v>
      </c>
      <c r="AM1518" t="s">
        <v>47</v>
      </c>
      <c r="AN1518" t="s">
        <v>47</v>
      </c>
      <c r="AO1518" s="5" t="s">
        <v>60</v>
      </c>
      <c r="AP1518" s="4" t="s">
        <v>61</v>
      </c>
      <c r="AQ1518" t="s">
        <v>47</v>
      </c>
      <c r="AR1518" s="4" t="s">
        <v>62</v>
      </c>
      <c r="AS1518" s="5">
        <v>1386340</v>
      </c>
      <c r="AT1518" t="s">
        <v>47</v>
      </c>
    </row>
    <row r="1519" spans="1:46" ht="39" x14ac:dyDescent="0.3">
      <c r="A1519" s="4" t="s">
        <v>5786</v>
      </c>
      <c r="B1519" t="s">
        <v>47</v>
      </c>
      <c r="C1519" s="4" t="s">
        <v>169</v>
      </c>
      <c r="D1519" s="4" t="s">
        <v>339</v>
      </c>
      <c r="E1519" s="4" t="s">
        <v>66</v>
      </c>
      <c r="F1519" s="5" t="s">
        <v>5787</v>
      </c>
      <c r="G1519" s="5" t="s">
        <v>5788</v>
      </c>
      <c r="H1519" t="s">
        <v>47</v>
      </c>
      <c r="I1519" s="3">
        <v>35704</v>
      </c>
      <c r="J1519" s="3">
        <v>36800</v>
      </c>
      <c r="K1519" t="s">
        <v>47</v>
      </c>
      <c r="L1519" s="5" t="s">
        <v>60</v>
      </c>
      <c r="M1519" s="3">
        <v>35704</v>
      </c>
      <c r="N1519" s="3">
        <v>36800</v>
      </c>
      <c r="O1519" t="s">
        <v>47</v>
      </c>
      <c r="P1519" s="3">
        <v>35704</v>
      </c>
      <c r="Q1519" s="3">
        <v>36800</v>
      </c>
      <c r="R1519" t="s">
        <v>47</v>
      </c>
      <c r="S1519" t="s">
        <v>47</v>
      </c>
      <c r="T1519" t="s">
        <v>47</v>
      </c>
      <c r="U1519" t="s">
        <v>47</v>
      </c>
      <c r="V1519" t="s">
        <v>47</v>
      </c>
      <c r="W1519" s="3">
        <v>35704</v>
      </c>
      <c r="X1519" s="5" t="s">
        <v>50</v>
      </c>
      <c r="Y1519" t="s">
        <v>47</v>
      </c>
      <c r="Z1519" s="3">
        <v>35704</v>
      </c>
      <c r="AA1519" s="5" t="s">
        <v>50</v>
      </c>
      <c r="AB1519" t="s">
        <v>47</v>
      </c>
      <c r="AC1519" s="3">
        <v>35704</v>
      </c>
      <c r="AD1519" s="5" t="s">
        <v>50</v>
      </c>
      <c r="AE1519" t="s">
        <v>47</v>
      </c>
      <c r="AF1519" t="s">
        <v>47</v>
      </c>
      <c r="AG1519" t="s">
        <v>47</v>
      </c>
      <c r="AH1519" t="s">
        <v>47</v>
      </c>
      <c r="AI1519" t="s">
        <v>47</v>
      </c>
      <c r="AJ1519" t="s">
        <v>47</v>
      </c>
      <c r="AK1519" t="s">
        <v>47</v>
      </c>
      <c r="AL1519" t="s">
        <v>47</v>
      </c>
      <c r="AM1519" t="s">
        <v>47</v>
      </c>
      <c r="AN1519" t="s">
        <v>47</v>
      </c>
      <c r="AO1519" s="5" t="s">
        <v>60</v>
      </c>
      <c r="AP1519" s="4" t="s">
        <v>61</v>
      </c>
      <c r="AQ1519" s="4" t="s">
        <v>53</v>
      </c>
      <c r="AR1519" s="4" t="s">
        <v>62</v>
      </c>
      <c r="AS1519" s="5">
        <v>33234</v>
      </c>
      <c r="AT1519" t="s">
        <v>47</v>
      </c>
    </row>
    <row r="1520" spans="1:46" ht="26" x14ac:dyDescent="0.3">
      <c r="A1520" s="4" t="s">
        <v>5789</v>
      </c>
      <c r="B1520" t="s">
        <v>47</v>
      </c>
      <c r="C1520" s="4" t="s">
        <v>122</v>
      </c>
      <c r="D1520" s="4" t="s">
        <v>206</v>
      </c>
      <c r="E1520" s="4" t="s">
        <v>123</v>
      </c>
      <c r="F1520" s="5" t="s">
        <v>5790</v>
      </c>
      <c r="G1520" s="5" t="s">
        <v>5791</v>
      </c>
      <c r="H1520" t="s">
        <v>47</v>
      </c>
      <c r="I1520" s="3">
        <v>35431</v>
      </c>
      <c r="J1520" s="5" t="s">
        <v>50</v>
      </c>
      <c r="K1520" t="s">
        <v>47</v>
      </c>
      <c r="L1520" s="5" t="s">
        <v>60</v>
      </c>
      <c r="M1520" t="s">
        <v>47</v>
      </c>
      <c r="N1520" t="s">
        <v>47</v>
      </c>
      <c r="O1520" t="s">
        <v>47</v>
      </c>
      <c r="P1520" s="3">
        <v>35431</v>
      </c>
      <c r="Q1520" s="5" t="s">
        <v>50</v>
      </c>
      <c r="R1520" t="s">
        <v>47</v>
      </c>
      <c r="S1520" t="s">
        <v>47</v>
      </c>
      <c r="T1520" t="s">
        <v>47</v>
      </c>
      <c r="U1520" t="s">
        <v>47</v>
      </c>
      <c r="V1520" s="5">
        <v>365</v>
      </c>
      <c r="W1520" s="3">
        <v>35431</v>
      </c>
      <c r="X1520" s="5" t="s">
        <v>50</v>
      </c>
      <c r="Y1520" t="s">
        <v>47</v>
      </c>
      <c r="Z1520" s="3">
        <v>35431</v>
      </c>
      <c r="AA1520" s="5" t="s">
        <v>50</v>
      </c>
      <c r="AB1520" t="s">
        <v>47</v>
      </c>
      <c r="AC1520" s="3">
        <v>35431</v>
      </c>
      <c r="AD1520" s="5" t="s">
        <v>50</v>
      </c>
      <c r="AE1520" t="s">
        <v>47</v>
      </c>
      <c r="AF1520" t="s">
        <v>47</v>
      </c>
      <c r="AG1520" t="s">
        <v>47</v>
      </c>
      <c r="AH1520" t="s">
        <v>47</v>
      </c>
      <c r="AI1520" t="s">
        <v>47</v>
      </c>
      <c r="AJ1520" t="s">
        <v>47</v>
      </c>
      <c r="AK1520" t="s">
        <v>47</v>
      </c>
      <c r="AL1520" t="s">
        <v>47</v>
      </c>
      <c r="AM1520" t="s">
        <v>47</v>
      </c>
      <c r="AN1520" t="s">
        <v>47</v>
      </c>
      <c r="AO1520" s="5" t="s">
        <v>60</v>
      </c>
      <c r="AP1520" s="4" t="s">
        <v>61</v>
      </c>
      <c r="AQ1520" s="4" t="s">
        <v>53</v>
      </c>
      <c r="AR1520" s="4" t="s">
        <v>3998</v>
      </c>
      <c r="AS1520" s="5">
        <v>54197</v>
      </c>
      <c r="AT1520" t="s">
        <v>47</v>
      </c>
    </row>
    <row r="1521" spans="1:46" ht="13" x14ac:dyDescent="0.3">
      <c r="A1521" s="4" t="s">
        <v>5792</v>
      </c>
      <c r="B1521" t="s">
        <v>47</v>
      </c>
      <c r="C1521" s="4" t="s">
        <v>169</v>
      </c>
      <c r="D1521" s="4" t="s">
        <v>3587</v>
      </c>
      <c r="E1521" s="4" t="s">
        <v>66</v>
      </c>
      <c r="F1521" s="5" t="s">
        <v>5793</v>
      </c>
      <c r="G1521" s="5" t="s">
        <v>5794</v>
      </c>
      <c r="H1521" t="s">
        <v>47</v>
      </c>
      <c r="I1521" s="3">
        <v>35431</v>
      </c>
      <c r="J1521" s="3">
        <v>39692</v>
      </c>
      <c r="K1521" t="s">
        <v>47</v>
      </c>
      <c r="L1521" s="5" t="s">
        <v>60</v>
      </c>
      <c r="M1521" s="3">
        <v>35431</v>
      </c>
      <c r="N1521" s="3">
        <v>39692</v>
      </c>
      <c r="O1521" t="s">
        <v>47</v>
      </c>
      <c r="P1521" s="3">
        <v>35431</v>
      </c>
      <c r="Q1521" s="3">
        <v>39692</v>
      </c>
      <c r="R1521" t="s">
        <v>47</v>
      </c>
      <c r="S1521" t="s">
        <v>47</v>
      </c>
      <c r="T1521" t="s">
        <v>47</v>
      </c>
      <c r="U1521" t="s">
        <v>47</v>
      </c>
      <c r="V1521" t="s">
        <v>47</v>
      </c>
      <c r="W1521" s="3">
        <v>35431</v>
      </c>
      <c r="X1521" s="5" t="s">
        <v>50</v>
      </c>
      <c r="Y1521" t="s">
        <v>47</v>
      </c>
      <c r="Z1521" s="3">
        <v>35431</v>
      </c>
      <c r="AA1521" s="5" t="s">
        <v>50</v>
      </c>
      <c r="AB1521" t="s">
        <v>47</v>
      </c>
      <c r="AC1521" s="3">
        <v>37622</v>
      </c>
      <c r="AD1521" s="5" t="s">
        <v>50</v>
      </c>
      <c r="AE1521" t="s">
        <v>47</v>
      </c>
      <c r="AF1521" t="s">
        <v>47</v>
      </c>
      <c r="AG1521" t="s">
        <v>47</v>
      </c>
      <c r="AH1521" t="s">
        <v>47</v>
      </c>
      <c r="AI1521" t="s">
        <v>47</v>
      </c>
      <c r="AJ1521" t="s">
        <v>47</v>
      </c>
      <c r="AK1521" t="s">
        <v>47</v>
      </c>
      <c r="AL1521" t="s">
        <v>47</v>
      </c>
      <c r="AM1521" t="s">
        <v>47</v>
      </c>
      <c r="AN1521" t="s">
        <v>47</v>
      </c>
      <c r="AO1521" s="5" t="s">
        <v>60</v>
      </c>
      <c r="AP1521" s="4" t="s">
        <v>61</v>
      </c>
      <c r="AQ1521" s="4" t="s">
        <v>53</v>
      </c>
      <c r="AR1521" s="4" t="s">
        <v>54</v>
      </c>
      <c r="AS1521" s="5">
        <v>47277</v>
      </c>
      <c r="AT1521" t="s">
        <v>47</v>
      </c>
    </row>
    <row r="1522" spans="1:46" ht="26" x14ac:dyDescent="0.3">
      <c r="A1522" s="4" t="s">
        <v>5795</v>
      </c>
      <c r="B1522" t="s">
        <v>47</v>
      </c>
      <c r="C1522" s="4" t="s">
        <v>397</v>
      </c>
      <c r="D1522" s="4" t="s">
        <v>70</v>
      </c>
      <c r="E1522" s="4" t="s">
        <v>66</v>
      </c>
      <c r="F1522" s="5" t="s">
        <v>5796</v>
      </c>
      <c r="G1522" s="5" t="s">
        <v>5797</v>
      </c>
      <c r="H1522" t="s">
        <v>47</v>
      </c>
      <c r="I1522" s="3">
        <v>36951</v>
      </c>
      <c r="J1522" s="5" t="s">
        <v>50</v>
      </c>
      <c r="K1522" t="s">
        <v>47</v>
      </c>
      <c r="L1522" s="5" t="s">
        <v>60</v>
      </c>
      <c r="M1522" s="3">
        <v>38047</v>
      </c>
      <c r="N1522" s="5" t="s">
        <v>50</v>
      </c>
      <c r="O1522" t="s">
        <v>47</v>
      </c>
      <c r="P1522" s="3">
        <v>36951</v>
      </c>
      <c r="Q1522" s="5" t="s">
        <v>50</v>
      </c>
      <c r="R1522" t="s">
        <v>47</v>
      </c>
      <c r="S1522" t="s">
        <v>47</v>
      </c>
      <c r="T1522" t="s">
        <v>47</v>
      </c>
      <c r="U1522" t="s">
        <v>47</v>
      </c>
      <c r="V1522" s="5">
        <v>365</v>
      </c>
      <c r="W1522" s="3">
        <v>36951</v>
      </c>
      <c r="X1522" s="5" t="s">
        <v>50</v>
      </c>
      <c r="Y1522" t="s">
        <v>47</v>
      </c>
      <c r="Z1522" s="3">
        <v>36951</v>
      </c>
      <c r="AA1522" s="5" t="s">
        <v>50</v>
      </c>
      <c r="AB1522" t="s">
        <v>47</v>
      </c>
      <c r="AC1522" s="3">
        <v>36951</v>
      </c>
      <c r="AD1522" s="5" t="s">
        <v>50</v>
      </c>
      <c r="AE1522" t="s">
        <v>47</v>
      </c>
      <c r="AF1522" t="s">
        <v>47</v>
      </c>
      <c r="AG1522" t="s">
        <v>47</v>
      </c>
      <c r="AH1522" t="s">
        <v>47</v>
      </c>
      <c r="AI1522" t="s">
        <v>47</v>
      </c>
      <c r="AJ1522" t="s">
        <v>47</v>
      </c>
      <c r="AK1522" t="s">
        <v>47</v>
      </c>
      <c r="AL1522" t="s">
        <v>47</v>
      </c>
      <c r="AM1522" t="s">
        <v>47</v>
      </c>
      <c r="AN1522" t="s">
        <v>47</v>
      </c>
      <c r="AO1522" s="5" t="s">
        <v>60</v>
      </c>
      <c r="AP1522" s="4" t="s">
        <v>61</v>
      </c>
      <c r="AQ1522" s="4" t="s">
        <v>53</v>
      </c>
      <c r="AR1522" s="4" t="s">
        <v>167</v>
      </c>
      <c r="AS1522" s="5">
        <v>47701</v>
      </c>
      <c r="AT1522" t="s">
        <v>47</v>
      </c>
    </row>
    <row r="1523" spans="1:46" ht="26" x14ac:dyDescent="0.3">
      <c r="A1523" s="4" t="s">
        <v>5798</v>
      </c>
      <c r="B1523" t="s">
        <v>47</v>
      </c>
      <c r="C1523" s="4" t="s">
        <v>5799</v>
      </c>
      <c r="D1523" s="4" t="s">
        <v>5800</v>
      </c>
      <c r="E1523" s="4" t="s">
        <v>163</v>
      </c>
      <c r="F1523" t="s">
        <v>47</v>
      </c>
      <c r="G1523" s="5" t="s">
        <v>5801</v>
      </c>
      <c r="H1523" t="s">
        <v>47</v>
      </c>
      <c r="I1523" s="3">
        <v>40544</v>
      </c>
      <c r="J1523" s="5" t="s">
        <v>50</v>
      </c>
      <c r="K1523" t="s">
        <v>47</v>
      </c>
      <c r="L1523" s="5" t="s">
        <v>60</v>
      </c>
      <c r="M1523" t="s">
        <v>47</v>
      </c>
      <c r="N1523" t="s">
        <v>47</v>
      </c>
      <c r="O1523" t="s">
        <v>47</v>
      </c>
      <c r="P1523" s="3">
        <v>40544</v>
      </c>
      <c r="Q1523" s="5" t="s">
        <v>50</v>
      </c>
      <c r="R1523" t="s">
        <v>47</v>
      </c>
      <c r="S1523" t="s">
        <v>47</v>
      </c>
      <c r="T1523" t="s">
        <v>47</v>
      </c>
      <c r="U1523" t="s">
        <v>47</v>
      </c>
      <c r="V1523" t="s">
        <v>47</v>
      </c>
      <c r="W1523" s="3">
        <v>40544</v>
      </c>
      <c r="X1523" s="5" t="s">
        <v>50</v>
      </c>
      <c r="Y1523" t="s">
        <v>47</v>
      </c>
      <c r="Z1523" s="3">
        <v>40544</v>
      </c>
      <c r="AA1523" s="5" t="s">
        <v>50</v>
      </c>
      <c r="AB1523" t="s">
        <v>47</v>
      </c>
      <c r="AC1523" s="3">
        <v>40544</v>
      </c>
      <c r="AD1523" s="5" t="s">
        <v>50</v>
      </c>
      <c r="AE1523" t="s">
        <v>47</v>
      </c>
      <c r="AF1523" t="s">
        <v>47</v>
      </c>
      <c r="AG1523" t="s">
        <v>47</v>
      </c>
      <c r="AH1523" t="s">
        <v>47</v>
      </c>
      <c r="AI1523" t="s">
        <v>47</v>
      </c>
      <c r="AJ1523" t="s">
        <v>47</v>
      </c>
      <c r="AK1523" t="s">
        <v>47</v>
      </c>
      <c r="AL1523" t="s">
        <v>47</v>
      </c>
      <c r="AM1523" t="s">
        <v>47</v>
      </c>
      <c r="AN1523" t="s">
        <v>47</v>
      </c>
      <c r="AO1523" s="5" t="s">
        <v>60</v>
      </c>
      <c r="AP1523" s="4" t="s">
        <v>61</v>
      </c>
      <c r="AQ1523" t="s">
        <v>47</v>
      </c>
      <c r="AR1523" s="4" t="s">
        <v>737</v>
      </c>
      <c r="AS1523" s="5">
        <v>6362715</v>
      </c>
      <c r="AT1523" t="s">
        <v>47</v>
      </c>
    </row>
    <row r="1524" spans="1:46" ht="13" x14ac:dyDescent="0.3">
      <c r="A1524" s="4" t="s">
        <v>5802</v>
      </c>
      <c r="B1524" t="s">
        <v>47</v>
      </c>
      <c r="C1524" s="4" t="s">
        <v>169</v>
      </c>
      <c r="D1524" s="4" t="s">
        <v>339</v>
      </c>
      <c r="E1524" s="4" t="s">
        <v>66</v>
      </c>
      <c r="F1524" s="5" t="s">
        <v>5803</v>
      </c>
      <c r="G1524" s="5" t="s">
        <v>5804</v>
      </c>
      <c r="H1524" t="s">
        <v>47</v>
      </c>
      <c r="I1524" t="s">
        <v>47</v>
      </c>
      <c r="J1524" t="s">
        <v>47</v>
      </c>
      <c r="K1524" t="s">
        <v>47</v>
      </c>
      <c r="L1524" s="5" t="s">
        <v>60</v>
      </c>
      <c r="M1524" t="s">
        <v>47</v>
      </c>
      <c r="N1524" t="s">
        <v>47</v>
      </c>
      <c r="O1524" t="s">
        <v>47</v>
      </c>
      <c r="P1524" t="s">
        <v>47</v>
      </c>
      <c r="Q1524" t="s">
        <v>47</v>
      </c>
      <c r="R1524" t="s">
        <v>47</v>
      </c>
      <c r="S1524" t="s">
        <v>47</v>
      </c>
      <c r="T1524" t="s">
        <v>47</v>
      </c>
      <c r="U1524" t="s">
        <v>47</v>
      </c>
      <c r="V1524" t="s">
        <v>47</v>
      </c>
      <c r="W1524" s="3">
        <v>40179</v>
      </c>
      <c r="X1524" s="5" t="s">
        <v>50</v>
      </c>
      <c r="Y1524" t="s">
        <v>47</v>
      </c>
      <c r="Z1524" s="3">
        <v>40179</v>
      </c>
      <c r="AA1524" s="5" t="s">
        <v>50</v>
      </c>
      <c r="AB1524" t="s">
        <v>47</v>
      </c>
      <c r="AC1524" s="3">
        <v>40179</v>
      </c>
      <c r="AD1524" s="5" t="s">
        <v>50</v>
      </c>
      <c r="AE1524" t="s">
        <v>47</v>
      </c>
      <c r="AF1524" t="s">
        <v>47</v>
      </c>
      <c r="AG1524" t="s">
        <v>47</v>
      </c>
      <c r="AH1524" t="s">
        <v>47</v>
      </c>
      <c r="AI1524" t="s">
        <v>47</v>
      </c>
      <c r="AJ1524" t="s">
        <v>47</v>
      </c>
      <c r="AK1524" t="s">
        <v>47</v>
      </c>
      <c r="AL1524" t="s">
        <v>47</v>
      </c>
      <c r="AM1524" t="s">
        <v>47</v>
      </c>
      <c r="AN1524" t="s">
        <v>47</v>
      </c>
      <c r="AO1524" s="5" t="s">
        <v>60</v>
      </c>
      <c r="AP1524" s="4" t="s">
        <v>61</v>
      </c>
      <c r="AQ1524" s="4" t="s">
        <v>53</v>
      </c>
      <c r="AR1524" s="4" t="s">
        <v>54</v>
      </c>
      <c r="AS1524" s="5">
        <v>426727</v>
      </c>
      <c r="AT1524" t="s">
        <v>47</v>
      </c>
    </row>
    <row r="1525" spans="1:46" ht="52" x14ac:dyDescent="0.3">
      <c r="A1525" s="4" t="s">
        <v>5805</v>
      </c>
      <c r="B1525" t="s">
        <v>47</v>
      </c>
      <c r="C1525" s="4" t="s">
        <v>5806</v>
      </c>
      <c r="D1525" s="4" t="s">
        <v>324</v>
      </c>
      <c r="E1525" s="4" t="s">
        <v>49</v>
      </c>
      <c r="F1525" s="5" t="s">
        <v>5807</v>
      </c>
      <c r="G1525" t="s">
        <v>47</v>
      </c>
      <c r="H1525" t="s">
        <v>47</v>
      </c>
      <c r="I1525" t="s">
        <v>47</v>
      </c>
      <c r="J1525" t="s">
        <v>47</v>
      </c>
      <c r="K1525" t="s">
        <v>47</v>
      </c>
      <c r="L1525" s="5" t="s">
        <v>51</v>
      </c>
      <c r="M1525" t="s">
        <v>47</v>
      </c>
      <c r="N1525" t="s">
        <v>47</v>
      </c>
      <c r="O1525" t="s">
        <v>47</v>
      </c>
      <c r="P1525" t="s">
        <v>47</v>
      </c>
      <c r="Q1525" t="s">
        <v>47</v>
      </c>
      <c r="R1525" t="s">
        <v>47</v>
      </c>
      <c r="S1525" t="s">
        <v>47</v>
      </c>
      <c r="T1525" t="s">
        <v>47</v>
      </c>
      <c r="U1525" t="s">
        <v>47</v>
      </c>
      <c r="V1525" t="s">
        <v>47</v>
      </c>
      <c r="W1525" s="3">
        <v>32051</v>
      </c>
      <c r="X1525" s="3">
        <v>36526</v>
      </c>
      <c r="Y1525" t="s">
        <v>47</v>
      </c>
      <c r="Z1525" s="3">
        <v>32051</v>
      </c>
      <c r="AA1525" s="3">
        <v>36526</v>
      </c>
      <c r="AB1525" t="s">
        <v>47</v>
      </c>
      <c r="AC1525" s="3">
        <v>32051</v>
      </c>
      <c r="AD1525" s="3">
        <v>36526</v>
      </c>
      <c r="AE1525" t="s">
        <v>47</v>
      </c>
      <c r="AF1525" t="s">
        <v>47</v>
      </c>
      <c r="AG1525" t="s">
        <v>47</v>
      </c>
      <c r="AH1525" t="s">
        <v>47</v>
      </c>
      <c r="AI1525" t="s">
        <v>47</v>
      </c>
      <c r="AJ1525" t="s">
        <v>47</v>
      </c>
      <c r="AK1525" t="s">
        <v>47</v>
      </c>
      <c r="AL1525" t="s">
        <v>47</v>
      </c>
      <c r="AM1525" t="s">
        <v>47</v>
      </c>
      <c r="AN1525" t="s">
        <v>47</v>
      </c>
      <c r="AO1525" s="5" t="s">
        <v>51</v>
      </c>
      <c r="AP1525" s="4" t="s">
        <v>135</v>
      </c>
      <c r="AQ1525" s="4" t="s">
        <v>53</v>
      </c>
      <c r="AR1525" s="4" t="s">
        <v>819</v>
      </c>
      <c r="AS1525" s="5">
        <v>36002</v>
      </c>
      <c r="AT1525" t="s">
        <v>47</v>
      </c>
    </row>
    <row r="1526" spans="1:46" ht="78" x14ac:dyDescent="0.3">
      <c r="A1526" s="4" t="s">
        <v>5808</v>
      </c>
      <c r="B1526" t="s">
        <v>47</v>
      </c>
      <c r="C1526" s="4" t="s">
        <v>200</v>
      </c>
      <c r="D1526" s="4" t="s">
        <v>88</v>
      </c>
      <c r="E1526" s="4" t="s">
        <v>66</v>
      </c>
      <c r="F1526" s="5" t="s">
        <v>5809</v>
      </c>
      <c r="G1526" s="5" t="s">
        <v>5810</v>
      </c>
      <c r="H1526" t="s">
        <v>47</v>
      </c>
      <c r="I1526" s="3">
        <v>34425</v>
      </c>
      <c r="J1526" s="3">
        <v>40513</v>
      </c>
      <c r="K1526" t="s">
        <v>47</v>
      </c>
      <c r="L1526" s="5" t="s">
        <v>60</v>
      </c>
      <c r="M1526" s="3">
        <v>34425</v>
      </c>
      <c r="N1526" s="3">
        <v>40269</v>
      </c>
      <c r="O1526" t="s">
        <v>47</v>
      </c>
      <c r="P1526" s="3">
        <v>35034</v>
      </c>
      <c r="Q1526" s="3">
        <v>40513</v>
      </c>
      <c r="R1526" t="s">
        <v>47</v>
      </c>
      <c r="S1526" t="s">
        <v>47</v>
      </c>
      <c r="T1526" t="s">
        <v>47</v>
      </c>
      <c r="U1526" t="s">
        <v>47</v>
      </c>
      <c r="V1526" t="s">
        <v>47</v>
      </c>
      <c r="W1526" s="3">
        <v>32599</v>
      </c>
      <c r="X1526" s="5" t="s">
        <v>50</v>
      </c>
      <c r="Y1526" t="s">
        <v>47</v>
      </c>
      <c r="Z1526" s="3">
        <v>32599</v>
      </c>
      <c r="AA1526" s="5" t="s">
        <v>50</v>
      </c>
      <c r="AB1526" t="s">
        <v>47</v>
      </c>
      <c r="AC1526" s="3">
        <v>32599</v>
      </c>
      <c r="AD1526" s="5" t="s">
        <v>50</v>
      </c>
      <c r="AE1526" t="s">
        <v>47</v>
      </c>
      <c r="AF1526" t="s">
        <v>47</v>
      </c>
      <c r="AG1526" t="s">
        <v>47</v>
      </c>
      <c r="AH1526" t="s">
        <v>47</v>
      </c>
      <c r="AI1526" t="s">
        <v>47</v>
      </c>
      <c r="AJ1526" t="s">
        <v>47</v>
      </c>
      <c r="AK1526" t="s">
        <v>47</v>
      </c>
      <c r="AL1526" t="s">
        <v>47</v>
      </c>
      <c r="AM1526" t="s">
        <v>47</v>
      </c>
      <c r="AN1526" t="s">
        <v>47</v>
      </c>
      <c r="AO1526" s="5" t="s">
        <v>60</v>
      </c>
      <c r="AP1526" s="4" t="s">
        <v>61</v>
      </c>
      <c r="AQ1526" s="4" t="s">
        <v>53</v>
      </c>
      <c r="AR1526" s="4" t="s">
        <v>714</v>
      </c>
      <c r="AS1526" s="5">
        <v>6058</v>
      </c>
      <c r="AT1526" t="s">
        <v>47</v>
      </c>
    </row>
    <row r="1527" spans="1:46" ht="52" x14ac:dyDescent="0.3">
      <c r="A1527" s="4" t="s">
        <v>5811</v>
      </c>
      <c r="B1527" t="s">
        <v>47</v>
      </c>
      <c r="C1527" s="4" t="s">
        <v>1036</v>
      </c>
      <c r="D1527" s="4" t="s">
        <v>1219</v>
      </c>
      <c r="E1527" s="4" t="s">
        <v>49</v>
      </c>
      <c r="F1527" t="s">
        <v>47</v>
      </c>
      <c r="G1527" t="s">
        <v>47</v>
      </c>
      <c r="H1527" t="s">
        <v>47</v>
      </c>
      <c r="I1527" t="s">
        <v>47</v>
      </c>
      <c r="J1527" t="s">
        <v>47</v>
      </c>
      <c r="K1527" t="s">
        <v>47</v>
      </c>
      <c r="L1527" s="5" t="s">
        <v>51</v>
      </c>
      <c r="M1527" t="s">
        <v>47</v>
      </c>
      <c r="N1527" t="s">
        <v>47</v>
      </c>
      <c r="O1527" t="s">
        <v>47</v>
      </c>
      <c r="P1527" t="s">
        <v>47</v>
      </c>
      <c r="Q1527" t="s">
        <v>47</v>
      </c>
      <c r="R1527" t="s">
        <v>47</v>
      </c>
      <c r="S1527" t="s">
        <v>47</v>
      </c>
      <c r="T1527" t="s">
        <v>47</v>
      </c>
      <c r="U1527" t="s">
        <v>47</v>
      </c>
      <c r="V1527" t="s">
        <v>47</v>
      </c>
      <c r="W1527" s="3">
        <v>35855</v>
      </c>
      <c r="X1527" s="3">
        <v>42125</v>
      </c>
      <c r="Y1527" t="s">
        <v>47</v>
      </c>
      <c r="Z1527" s="3">
        <v>35855</v>
      </c>
      <c r="AA1527" s="3">
        <v>42125</v>
      </c>
      <c r="AB1527" t="s">
        <v>47</v>
      </c>
      <c r="AC1527" s="3">
        <v>35855</v>
      </c>
      <c r="AD1527" s="3">
        <v>42125</v>
      </c>
      <c r="AE1527" t="s">
        <v>47</v>
      </c>
      <c r="AF1527" t="s">
        <v>47</v>
      </c>
      <c r="AG1527" t="s">
        <v>47</v>
      </c>
      <c r="AH1527" t="s">
        <v>47</v>
      </c>
      <c r="AI1527" t="s">
        <v>47</v>
      </c>
      <c r="AJ1527" t="s">
        <v>47</v>
      </c>
      <c r="AK1527" t="s">
        <v>47</v>
      </c>
      <c r="AL1527" t="s">
        <v>47</v>
      </c>
      <c r="AM1527" t="s">
        <v>47</v>
      </c>
      <c r="AN1527" t="s">
        <v>47</v>
      </c>
      <c r="AO1527" s="5" t="s">
        <v>51</v>
      </c>
      <c r="AP1527" s="4" t="s">
        <v>135</v>
      </c>
      <c r="AQ1527" s="4" t="s">
        <v>53</v>
      </c>
      <c r="AR1527" s="4" t="s">
        <v>1469</v>
      </c>
      <c r="AS1527" s="5">
        <v>32668</v>
      </c>
      <c r="AT1527" t="s">
        <v>47</v>
      </c>
    </row>
    <row r="1528" spans="1:46" ht="78" x14ac:dyDescent="0.3">
      <c r="A1528" s="4" t="s">
        <v>5812</v>
      </c>
      <c r="B1528" t="s">
        <v>47</v>
      </c>
      <c r="C1528" s="4" t="s">
        <v>200</v>
      </c>
      <c r="D1528" s="4" t="s">
        <v>748</v>
      </c>
      <c r="E1528" s="4" t="s">
        <v>66</v>
      </c>
      <c r="F1528" s="5" t="s">
        <v>5813</v>
      </c>
      <c r="G1528" s="5" t="s">
        <v>5814</v>
      </c>
      <c r="H1528" t="s">
        <v>47</v>
      </c>
      <c r="I1528" t="s">
        <v>47</v>
      </c>
      <c r="J1528" t="s">
        <v>47</v>
      </c>
      <c r="K1528" t="s">
        <v>47</v>
      </c>
      <c r="L1528" s="5" t="s">
        <v>60</v>
      </c>
      <c r="M1528" t="s">
        <v>47</v>
      </c>
      <c r="N1528" t="s">
        <v>47</v>
      </c>
      <c r="O1528" t="s">
        <v>47</v>
      </c>
      <c r="P1528" t="s">
        <v>47</v>
      </c>
      <c r="Q1528" t="s">
        <v>47</v>
      </c>
      <c r="R1528" t="s">
        <v>47</v>
      </c>
      <c r="S1528" t="s">
        <v>47</v>
      </c>
      <c r="T1528" t="s">
        <v>47</v>
      </c>
      <c r="U1528" t="s">
        <v>47</v>
      </c>
      <c r="V1528" t="s">
        <v>47</v>
      </c>
      <c r="W1528" s="3">
        <v>38292</v>
      </c>
      <c r="X1528" s="5" t="s">
        <v>50</v>
      </c>
      <c r="Y1528" t="s">
        <v>47</v>
      </c>
      <c r="Z1528" s="3">
        <v>38292</v>
      </c>
      <c r="AA1528" s="5" t="s">
        <v>50</v>
      </c>
      <c r="AB1528" t="s">
        <v>47</v>
      </c>
      <c r="AC1528" s="3">
        <v>38292</v>
      </c>
      <c r="AD1528" s="5" t="s">
        <v>50</v>
      </c>
      <c r="AE1528" t="s">
        <v>47</v>
      </c>
      <c r="AF1528" t="s">
        <v>47</v>
      </c>
      <c r="AG1528" t="s">
        <v>47</v>
      </c>
      <c r="AH1528" t="s">
        <v>47</v>
      </c>
      <c r="AI1528" t="s">
        <v>47</v>
      </c>
      <c r="AJ1528" t="s">
        <v>47</v>
      </c>
      <c r="AK1528" t="s">
        <v>47</v>
      </c>
      <c r="AL1528" t="s">
        <v>47</v>
      </c>
      <c r="AM1528" t="s">
        <v>47</v>
      </c>
      <c r="AN1528" t="s">
        <v>47</v>
      </c>
      <c r="AO1528" s="5" t="s">
        <v>60</v>
      </c>
      <c r="AP1528" s="4" t="s">
        <v>61</v>
      </c>
      <c r="AQ1528" s="4" t="s">
        <v>53</v>
      </c>
      <c r="AR1528" s="4" t="s">
        <v>436</v>
      </c>
      <c r="AS1528" s="5">
        <v>30903</v>
      </c>
      <c r="AT1528" t="s">
        <v>47</v>
      </c>
    </row>
    <row r="1529" spans="1:46" ht="52" x14ac:dyDescent="0.3">
      <c r="A1529" s="4" t="s">
        <v>5815</v>
      </c>
      <c r="B1529" t="s">
        <v>47</v>
      </c>
      <c r="C1529" s="4" t="s">
        <v>5530</v>
      </c>
      <c r="D1529" s="4" t="s">
        <v>5816</v>
      </c>
      <c r="E1529" s="4" t="s">
        <v>49</v>
      </c>
      <c r="F1529" s="5" t="s">
        <v>5817</v>
      </c>
      <c r="G1529" s="5" t="s">
        <v>5818</v>
      </c>
      <c r="H1529" t="s">
        <v>47</v>
      </c>
      <c r="I1529" s="3">
        <v>35490</v>
      </c>
      <c r="J1529" s="3">
        <v>39783</v>
      </c>
      <c r="K1529" t="s">
        <v>47</v>
      </c>
      <c r="L1529" s="5" t="s">
        <v>51</v>
      </c>
      <c r="M1529" s="3">
        <v>35490</v>
      </c>
      <c r="N1529" s="3">
        <v>39783</v>
      </c>
      <c r="O1529" t="s">
        <v>47</v>
      </c>
      <c r="P1529" s="3">
        <v>35490</v>
      </c>
      <c r="Q1529" s="3">
        <v>39783</v>
      </c>
      <c r="R1529" t="s">
        <v>47</v>
      </c>
      <c r="S1529" t="s">
        <v>47</v>
      </c>
      <c r="T1529" t="s">
        <v>47</v>
      </c>
      <c r="U1529" t="s">
        <v>47</v>
      </c>
      <c r="V1529" t="s">
        <v>47</v>
      </c>
      <c r="W1529" s="3">
        <v>35490</v>
      </c>
      <c r="X1529" s="3">
        <v>41061</v>
      </c>
      <c r="Y1529" t="s">
        <v>47</v>
      </c>
      <c r="Z1529" s="3">
        <v>35490</v>
      </c>
      <c r="AA1529" s="3">
        <v>41061</v>
      </c>
      <c r="AB1529" t="s">
        <v>47</v>
      </c>
      <c r="AC1529" s="3">
        <v>35947</v>
      </c>
      <c r="AD1529" s="3">
        <v>41061</v>
      </c>
      <c r="AE1529" t="s">
        <v>47</v>
      </c>
      <c r="AF1529" t="s">
        <v>47</v>
      </c>
      <c r="AG1529" t="s">
        <v>47</v>
      </c>
      <c r="AH1529" t="s">
        <v>47</v>
      </c>
      <c r="AI1529" t="s">
        <v>47</v>
      </c>
      <c r="AJ1529" t="s">
        <v>47</v>
      </c>
      <c r="AK1529" t="s">
        <v>47</v>
      </c>
      <c r="AL1529" t="s">
        <v>47</v>
      </c>
      <c r="AM1529" t="s">
        <v>47</v>
      </c>
      <c r="AN1529" t="s">
        <v>47</v>
      </c>
      <c r="AO1529" s="5" t="s">
        <v>51</v>
      </c>
      <c r="AP1529" s="4" t="s">
        <v>85</v>
      </c>
      <c r="AQ1529" s="4" t="s">
        <v>53</v>
      </c>
      <c r="AR1529" s="4" t="s">
        <v>1706</v>
      </c>
      <c r="AS1529" s="5">
        <v>37492</v>
      </c>
      <c r="AT1529" t="s">
        <v>47</v>
      </c>
    </row>
    <row r="1530" spans="1:46" ht="78" x14ac:dyDescent="0.3">
      <c r="A1530" s="4" t="s">
        <v>5819</v>
      </c>
      <c r="B1530" t="s">
        <v>47</v>
      </c>
      <c r="C1530" s="4" t="s">
        <v>193</v>
      </c>
      <c r="D1530" s="4" t="s">
        <v>194</v>
      </c>
      <c r="E1530" s="4" t="s">
        <v>195</v>
      </c>
      <c r="F1530" t="s">
        <v>47</v>
      </c>
      <c r="G1530" s="5" t="s">
        <v>5820</v>
      </c>
      <c r="H1530" t="s">
        <v>47</v>
      </c>
      <c r="I1530" s="3">
        <v>40015</v>
      </c>
      <c r="J1530" s="5" t="s">
        <v>50</v>
      </c>
      <c r="K1530" s="5" t="s">
        <v>5821</v>
      </c>
      <c r="L1530" s="5" t="s">
        <v>51</v>
      </c>
      <c r="M1530" t="s">
        <v>47</v>
      </c>
      <c r="N1530" t="s">
        <v>47</v>
      </c>
      <c r="O1530" t="s">
        <v>47</v>
      </c>
      <c r="P1530" s="3">
        <v>40015</v>
      </c>
      <c r="Q1530" s="5" t="s">
        <v>50</v>
      </c>
      <c r="R1530" s="5" t="s">
        <v>5821</v>
      </c>
      <c r="S1530" t="s">
        <v>47</v>
      </c>
      <c r="T1530" t="s">
        <v>47</v>
      </c>
      <c r="U1530" t="s">
        <v>47</v>
      </c>
      <c r="V1530" s="5">
        <v>180</v>
      </c>
      <c r="W1530" s="3">
        <v>40015</v>
      </c>
      <c r="X1530" s="5" t="s">
        <v>50</v>
      </c>
      <c r="Y1530" s="5" t="s">
        <v>5821</v>
      </c>
      <c r="Z1530" s="3">
        <v>40015</v>
      </c>
      <c r="AA1530" s="5" t="s">
        <v>50</v>
      </c>
      <c r="AB1530" s="5" t="s">
        <v>5821</v>
      </c>
      <c r="AC1530" s="3">
        <v>40015</v>
      </c>
      <c r="AD1530" s="5" t="s">
        <v>50</v>
      </c>
      <c r="AE1530" s="5" t="s">
        <v>5821</v>
      </c>
      <c r="AF1530" t="s">
        <v>47</v>
      </c>
      <c r="AG1530" t="s">
        <v>47</v>
      </c>
      <c r="AH1530" t="s">
        <v>47</v>
      </c>
      <c r="AI1530" t="s">
        <v>47</v>
      </c>
      <c r="AJ1530" t="s">
        <v>47</v>
      </c>
      <c r="AK1530" t="s">
        <v>47</v>
      </c>
      <c r="AL1530" t="s">
        <v>47</v>
      </c>
      <c r="AM1530" t="s">
        <v>47</v>
      </c>
      <c r="AN1530" t="s">
        <v>47</v>
      </c>
      <c r="AO1530" s="5" t="s">
        <v>51</v>
      </c>
      <c r="AP1530" s="4" t="s">
        <v>1756</v>
      </c>
      <c r="AQ1530" s="4" t="s">
        <v>198</v>
      </c>
      <c r="AR1530" s="4" t="s">
        <v>595</v>
      </c>
      <c r="AS1530" s="5">
        <v>6245986</v>
      </c>
      <c r="AT1530" t="s">
        <v>47</v>
      </c>
    </row>
    <row r="1531" spans="1:46" ht="26" x14ac:dyDescent="0.3">
      <c r="A1531" s="4" t="s">
        <v>5822</v>
      </c>
      <c r="B1531" t="s">
        <v>47</v>
      </c>
      <c r="C1531" s="4" t="s">
        <v>5823</v>
      </c>
      <c r="D1531" s="4" t="s">
        <v>5824</v>
      </c>
      <c r="E1531" s="4" t="s">
        <v>2040</v>
      </c>
      <c r="F1531" s="5" t="s">
        <v>5825</v>
      </c>
      <c r="G1531" s="5" t="s">
        <v>5826</v>
      </c>
      <c r="H1531" t="s">
        <v>47</v>
      </c>
      <c r="I1531" s="3">
        <v>40210</v>
      </c>
      <c r="J1531" s="5" t="s">
        <v>50</v>
      </c>
      <c r="K1531" t="s">
        <v>47</v>
      </c>
      <c r="L1531" s="5" t="s">
        <v>60</v>
      </c>
      <c r="M1531" s="3">
        <v>40210</v>
      </c>
      <c r="N1531" s="5" t="s">
        <v>50</v>
      </c>
      <c r="O1531" t="s">
        <v>47</v>
      </c>
      <c r="P1531" s="3">
        <v>40210</v>
      </c>
      <c r="Q1531" s="5" t="s">
        <v>50</v>
      </c>
      <c r="R1531" t="s">
        <v>47</v>
      </c>
      <c r="S1531" t="s">
        <v>47</v>
      </c>
      <c r="T1531" t="s">
        <v>47</v>
      </c>
      <c r="U1531" t="s">
        <v>47</v>
      </c>
      <c r="V1531" t="s">
        <v>47</v>
      </c>
      <c r="W1531" s="3">
        <v>40210</v>
      </c>
      <c r="X1531" s="5" t="s">
        <v>50</v>
      </c>
      <c r="Y1531" t="s">
        <v>47</v>
      </c>
      <c r="Z1531" s="3">
        <v>40210</v>
      </c>
      <c r="AA1531" s="5" t="s">
        <v>50</v>
      </c>
      <c r="AB1531" t="s">
        <v>47</v>
      </c>
      <c r="AC1531" s="3">
        <v>40210</v>
      </c>
      <c r="AD1531" s="5" t="s">
        <v>50</v>
      </c>
      <c r="AE1531" t="s">
        <v>47</v>
      </c>
      <c r="AF1531" t="s">
        <v>47</v>
      </c>
      <c r="AG1531" t="s">
        <v>47</v>
      </c>
      <c r="AH1531" t="s">
        <v>47</v>
      </c>
      <c r="AI1531" t="s">
        <v>47</v>
      </c>
      <c r="AJ1531" t="s">
        <v>47</v>
      </c>
      <c r="AK1531" t="s">
        <v>47</v>
      </c>
      <c r="AL1531" t="s">
        <v>47</v>
      </c>
      <c r="AM1531" t="s">
        <v>47</v>
      </c>
      <c r="AN1531" t="s">
        <v>47</v>
      </c>
      <c r="AO1531" s="5" t="s">
        <v>60</v>
      </c>
      <c r="AP1531" s="4" t="s">
        <v>61</v>
      </c>
      <c r="AQ1531" s="4" t="s">
        <v>53</v>
      </c>
      <c r="AR1531" s="4" t="s">
        <v>167</v>
      </c>
      <c r="AS1531" s="5">
        <v>2034497</v>
      </c>
      <c r="AT1531" t="s">
        <v>47</v>
      </c>
    </row>
    <row r="1532" spans="1:46" ht="91" x14ac:dyDescent="0.3">
      <c r="A1532" s="4" t="s">
        <v>5827</v>
      </c>
      <c r="B1532" t="s">
        <v>47</v>
      </c>
      <c r="C1532" s="4" t="s">
        <v>93</v>
      </c>
      <c r="D1532" s="4" t="s">
        <v>2541</v>
      </c>
      <c r="E1532" s="4" t="s">
        <v>49</v>
      </c>
      <c r="F1532" s="5" t="s">
        <v>5828</v>
      </c>
      <c r="G1532" s="5" t="s">
        <v>5829</v>
      </c>
      <c r="H1532" t="s">
        <v>47</v>
      </c>
      <c r="I1532" t="s">
        <v>47</v>
      </c>
      <c r="J1532" t="s">
        <v>47</v>
      </c>
      <c r="K1532" t="s">
        <v>47</v>
      </c>
      <c r="L1532" s="5" t="s">
        <v>60</v>
      </c>
      <c r="M1532" t="s">
        <v>47</v>
      </c>
      <c r="N1532" t="s">
        <v>47</v>
      </c>
      <c r="O1532" t="s">
        <v>47</v>
      </c>
      <c r="P1532" t="s">
        <v>47</v>
      </c>
      <c r="Q1532" t="s">
        <v>47</v>
      </c>
      <c r="R1532" t="s">
        <v>47</v>
      </c>
      <c r="S1532" t="s">
        <v>47</v>
      </c>
      <c r="T1532" t="s">
        <v>47</v>
      </c>
      <c r="U1532" t="s">
        <v>47</v>
      </c>
      <c r="V1532" t="s">
        <v>47</v>
      </c>
      <c r="W1532" s="3">
        <v>40238</v>
      </c>
      <c r="X1532" s="5" t="s">
        <v>50</v>
      </c>
      <c r="Y1532" s="5" t="s">
        <v>5830</v>
      </c>
      <c r="Z1532" s="3">
        <v>40238</v>
      </c>
      <c r="AA1532" s="5" t="s">
        <v>50</v>
      </c>
      <c r="AB1532" s="5" t="s">
        <v>5830</v>
      </c>
      <c r="AC1532" s="3">
        <v>40238</v>
      </c>
      <c r="AD1532" s="5" t="s">
        <v>50</v>
      </c>
      <c r="AE1532" s="5" t="s">
        <v>5830</v>
      </c>
      <c r="AF1532" t="s">
        <v>47</v>
      </c>
      <c r="AG1532" t="s">
        <v>47</v>
      </c>
      <c r="AH1532" t="s">
        <v>47</v>
      </c>
      <c r="AI1532" t="s">
        <v>47</v>
      </c>
      <c r="AJ1532" t="s">
        <v>47</v>
      </c>
      <c r="AK1532" t="s">
        <v>47</v>
      </c>
      <c r="AL1532" t="s">
        <v>47</v>
      </c>
      <c r="AM1532" t="s">
        <v>47</v>
      </c>
      <c r="AN1532" t="s">
        <v>47</v>
      </c>
      <c r="AO1532" s="5" t="s">
        <v>60</v>
      </c>
      <c r="AP1532" s="4" t="s">
        <v>61</v>
      </c>
      <c r="AQ1532" s="4" t="s">
        <v>53</v>
      </c>
      <c r="AR1532" s="4" t="s">
        <v>2036</v>
      </c>
      <c r="AS1532" s="5">
        <v>2037945</v>
      </c>
      <c r="AT1532" t="s">
        <v>47</v>
      </c>
    </row>
    <row r="1533" spans="1:46" ht="65" x14ac:dyDescent="0.3">
      <c r="A1533" s="4" t="s">
        <v>5831</v>
      </c>
      <c r="B1533" t="s">
        <v>47</v>
      </c>
      <c r="C1533" t="s">
        <v>47</v>
      </c>
      <c r="D1533" s="4" t="s">
        <v>5832</v>
      </c>
      <c r="E1533" t="s">
        <v>47</v>
      </c>
      <c r="F1533" t="s">
        <v>47</v>
      </c>
      <c r="G1533" s="5" t="s">
        <v>5833</v>
      </c>
      <c r="H1533" t="s">
        <v>47</v>
      </c>
      <c r="I1533" s="3">
        <v>37257</v>
      </c>
      <c r="J1533" s="5" t="s">
        <v>50</v>
      </c>
      <c r="K1533" t="s">
        <v>47</v>
      </c>
      <c r="L1533" s="5" t="s">
        <v>60</v>
      </c>
      <c r="M1533" t="s">
        <v>47</v>
      </c>
      <c r="N1533" t="s">
        <v>47</v>
      </c>
      <c r="O1533" t="s">
        <v>47</v>
      </c>
      <c r="P1533" s="3">
        <v>37257</v>
      </c>
      <c r="Q1533" s="5" t="s">
        <v>50</v>
      </c>
      <c r="R1533" t="s">
        <v>47</v>
      </c>
      <c r="S1533" t="s">
        <v>47</v>
      </c>
      <c r="T1533" t="s">
        <v>47</v>
      </c>
      <c r="U1533" t="s">
        <v>47</v>
      </c>
      <c r="V1533" t="s">
        <v>47</v>
      </c>
      <c r="W1533" s="3">
        <v>37257</v>
      </c>
      <c r="X1533" s="5" t="s">
        <v>50</v>
      </c>
      <c r="Y1533" t="s">
        <v>47</v>
      </c>
      <c r="Z1533" s="3">
        <v>37257</v>
      </c>
      <c r="AA1533" s="5" t="s">
        <v>50</v>
      </c>
      <c r="AB1533" t="s">
        <v>47</v>
      </c>
      <c r="AC1533" s="3">
        <v>37257</v>
      </c>
      <c r="AD1533" s="5" t="s">
        <v>50</v>
      </c>
      <c r="AE1533" t="s">
        <v>47</v>
      </c>
      <c r="AF1533" t="s">
        <v>47</v>
      </c>
      <c r="AG1533" t="s">
        <v>47</v>
      </c>
      <c r="AH1533" t="s">
        <v>47</v>
      </c>
      <c r="AI1533" t="s">
        <v>47</v>
      </c>
      <c r="AJ1533" t="s">
        <v>47</v>
      </c>
      <c r="AK1533" t="s">
        <v>47</v>
      </c>
      <c r="AL1533" t="s">
        <v>47</v>
      </c>
      <c r="AM1533" t="s">
        <v>47</v>
      </c>
      <c r="AN1533" t="s">
        <v>47</v>
      </c>
      <c r="AO1533" s="5" t="s">
        <v>60</v>
      </c>
      <c r="AP1533" s="4" t="s">
        <v>61</v>
      </c>
      <c r="AQ1533" s="4" t="s">
        <v>53</v>
      </c>
      <c r="AR1533" s="4" t="s">
        <v>543</v>
      </c>
      <c r="AS1533" s="5">
        <v>1576361</v>
      </c>
      <c r="AT1533" t="s">
        <v>47</v>
      </c>
    </row>
    <row r="1534" spans="1:46" ht="26" x14ac:dyDescent="0.3">
      <c r="A1534" s="4" t="s">
        <v>5834</v>
      </c>
      <c r="B1534" t="s">
        <v>47</v>
      </c>
      <c r="C1534" s="4" t="s">
        <v>1867</v>
      </c>
      <c r="D1534" s="4" t="s">
        <v>70</v>
      </c>
      <c r="E1534" s="4" t="s">
        <v>49</v>
      </c>
      <c r="F1534" s="5" t="s">
        <v>5835</v>
      </c>
      <c r="G1534" s="5" t="s">
        <v>5836</v>
      </c>
      <c r="H1534" t="s">
        <v>47</v>
      </c>
      <c r="I1534" s="3">
        <v>38443</v>
      </c>
      <c r="J1534" s="5" t="s">
        <v>50</v>
      </c>
      <c r="K1534" s="5" t="s">
        <v>450</v>
      </c>
      <c r="L1534" s="5" t="s">
        <v>60</v>
      </c>
      <c r="M1534" s="3">
        <v>38443</v>
      </c>
      <c r="N1534" s="5" t="s">
        <v>50</v>
      </c>
      <c r="O1534" s="5" t="s">
        <v>450</v>
      </c>
      <c r="P1534" s="3">
        <v>38443</v>
      </c>
      <c r="Q1534" s="5" t="s">
        <v>50</v>
      </c>
      <c r="R1534" s="5" t="s">
        <v>450</v>
      </c>
      <c r="S1534" t="s">
        <v>47</v>
      </c>
      <c r="T1534" t="s">
        <v>47</v>
      </c>
      <c r="U1534" t="s">
        <v>47</v>
      </c>
      <c r="V1534" t="s">
        <v>47</v>
      </c>
      <c r="W1534" s="3">
        <v>38443</v>
      </c>
      <c r="X1534" s="5" t="s">
        <v>50</v>
      </c>
      <c r="Y1534" s="5" t="s">
        <v>450</v>
      </c>
      <c r="Z1534" s="3">
        <v>38443</v>
      </c>
      <c r="AA1534" s="5" t="s">
        <v>50</v>
      </c>
      <c r="AB1534" s="5" t="s">
        <v>450</v>
      </c>
      <c r="AC1534" s="3">
        <v>38443</v>
      </c>
      <c r="AD1534" s="5" t="s">
        <v>50</v>
      </c>
      <c r="AE1534" s="5" t="s">
        <v>450</v>
      </c>
      <c r="AF1534" t="s">
        <v>47</v>
      </c>
      <c r="AG1534" t="s">
        <v>47</v>
      </c>
      <c r="AH1534" t="s">
        <v>47</v>
      </c>
      <c r="AI1534" t="s">
        <v>47</v>
      </c>
      <c r="AJ1534" t="s">
        <v>47</v>
      </c>
      <c r="AK1534" t="s">
        <v>47</v>
      </c>
      <c r="AL1534" t="s">
        <v>47</v>
      </c>
      <c r="AM1534" t="s">
        <v>47</v>
      </c>
      <c r="AN1534" t="s">
        <v>47</v>
      </c>
      <c r="AO1534" s="5" t="s">
        <v>60</v>
      </c>
      <c r="AP1534" s="4" t="s">
        <v>61</v>
      </c>
      <c r="AQ1534" s="4" t="s">
        <v>53</v>
      </c>
      <c r="AR1534" s="4" t="s">
        <v>835</v>
      </c>
      <c r="AS1534" s="5">
        <v>28753</v>
      </c>
      <c r="AT1534" t="s">
        <v>47</v>
      </c>
    </row>
    <row r="1535" spans="1:46" ht="52" x14ac:dyDescent="0.3">
      <c r="A1535" s="4" t="s">
        <v>5837</v>
      </c>
      <c r="B1535" t="s">
        <v>47</v>
      </c>
      <c r="C1535" s="4" t="s">
        <v>5838</v>
      </c>
      <c r="D1535" s="4" t="s">
        <v>5839</v>
      </c>
      <c r="E1535" s="4" t="s">
        <v>49</v>
      </c>
      <c r="F1535" t="s">
        <v>47</v>
      </c>
      <c r="G1535" t="s">
        <v>47</v>
      </c>
      <c r="H1535" t="s">
        <v>47</v>
      </c>
      <c r="I1535" s="3">
        <v>43383</v>
      </c>
      <c r="J1535" s="5" t="s">
        <v>50</v>
      </c>
      <c r="K1535" t="s">
        <v>47</v>
      </c>
      <c r="L1535" s="5" t="s">
        <v>51</v>
      </c>
      <c r="M1535" s="3">
        <v>43383</v>
      </c>
      <c r="N1535" s="5" t="s">
        <v>50</v>
      </c>
      <c r="O1535" t="s">
        <v>47</v>
      </c>
      <c r="P1535" t="s">
        <v>47</v>
      </c>
      <c r="Q1535" t="s">
        <v>47</v>
      </c>
      <c r="R1535" t="s">
        <v>47</v>
      </c>
      <c r="S1535" t="s">
        <v>47</v>
      </c>
      <c r="T1535" t="s">
        <v>47</v>
      </c>
      <c r="U1535" t="s">
        <v>47</v>
      </c>
      <c r="V1535" t="s">
        <v>47</v>
      </c>
      <c r="W1535" s="3">
        <v>43383</v>
      </c>
      <c r="X1535" s="5" t="s">
        <v>50</v>
      </c>
      <c r="Y1535" t="s">
        <v>47</v>
      </c>
      <c r="Z1535" s="3">
        <v>43383</v>
      </c>
      <c r="AA1535" s="5" t="s">
        <v>50</v>
      </c>
      <c r="AB1535" t="s">
        <v>47</v>
      </c>
      <c r="AC1535" t="s">
        <v>47</v>
      </c>
      <c r="AD1535" t="s">
        <v>47</v>
      </c>
      <c r="AE1535" t="s">
        <v>47</v>
      </c>
      <c r="AF1535" t="s">
        <v>47</v>
      </c>
      <c r="AG1535" t="s">
        <v>47</v>
      </c>
      <c r="AH1535" t="s">
        <v>47</v>
      </c>
      <c r="AI1535" t="s">
        <v>47</v>
      </c>
      <c r="AJ1535" t="s">
        <v>47</v>
      </c>
      <c r="AK1535" t="s">
        <v>47</v>
      </c>
      <c r="AL1535" t="s">
        <v>47</v>
      </c>
      <c r="AM1535" t="s">
        <v>47</v>
      </c>
      <c r="AN1535" t="s">
        <v>47</v>
      </c>
      <c r="AO1535" s="5" t="s">
        <v>51</v>
      </c>
      <c r="AP1535" s="4" t="s">
        <v>5840</v>
      </c>
      <c r="AQ1535" s="4" t="s">
        <v>5841</v>
      </c>
      <c r="AR1535" s="4" t="s">
        <v>5842</v>
      </c>
      <c r="AS1535" s="5">
        <v>2069404</v>
      </c>
      <c r="AT1535" t="s">
        <v>47</v>
      </c>
    </row>
    <row r="1536" spans="1:46" ht="26" x14ac:dyDescent="0.3">
      <c r="A1536" s="4" t="s">
        <v>5843</v>
      </c>
      <c r="B1536" t="s">
        <v>47</v>
      </c>
      <c r="C1536" s="4" t="s">
        <v>5844</v>
      </c>
      <c r="D1536" s="4" t="s">
        <v>873</v>
      </c>
      <c r="E1536" s="4" t="s">
        <v>874</v>
      </c>
      <c r="F1536" s="5" t="s">
        <v>5845</v>
      </c>
      <c r="G1536" t="s">
        <v>47</v>
      </c>
      <c r="H1536" t="s">
        <v>47</v>
      </c>
      <c r="I1536" s="3">
        <v>42156</v>
      </c>
      <c r="J1536" s="5" t="s">
        <v>50</v>
      </c>
      <c r="K1536" s="5" t="s">
        <v>537</v>
      </c>
      <c r="L1536" s="5" t="s">
        <v>60</v>
      </c>
      <c r="M1536" t="s">
        <v>47</v>
      </c>
      <c r="N1536" t="s">
        <v>47</v>
      </c>
      <c r="O1536" t="s">
        <v>47</v>
      </c>
      <c r="P1536" s="3">
        <v>42156</v>
      </c>
      <c r="Q1536" s="5" t="s">
        <v>50</v>
      </c>
      <c r="R1536" s="5" t="s">
        <v>537</v>
      </c>
      <c r="S1536" t="s">
        <v>47</v>
      </c>
      <c r="T1536" t="s">
        <v>47</v>
      </c>
      <c r="U1536" t="s">
        <v>47</v>
      </c>
      <c r="V1536" t="s">
        <v>47</v>
      </c>
      <c r="W1536" s="3">
        <v>42156</v>
      </c>
      <c r="X1536" s="5" t="s">
        <v>50</v>
      </c>
      <c r="Y1536" s="5" t="s">
        <v>537</v>
      </c>
      <c r="Z1536" s="3">
        <v>42156</v>
      </c>
      <c r="AA1536" s="5" t="s">
        <v>50</v>
      </c>
      <c r="AB1536" s="5" t="s">
        <v>537</v>
      </c>
      <c r="AC1536" s="3">
        <v>42156</v>
      </c>
      <c r="AD1536" s="5" t="s">
        <v>50</v>
      </c>
      <c r="AE1536" s="5" t="s">
        <v>537</v>
      </c>
      <c r="AF1536" t="s">
        <v>47</v>
      </c>
      <c r="AG1536" t="s">
        <v>47</v>
      </c>
      <c r="AH1536" t="s">
        <v>47</v>
      </c>
      <c r="AI1536" t="s">
        <v>47</v>
      </c>
      <c r="AJ1536" t="s">
        <v>47</v>
      </c>
      <c r="AK1536" t="s">
        <v>47</v>
      </c>
      <c r="AL1536" t="s">
        <v>47</v>
      </c>
      <c r="AM1536" t="s">
        <v>47</v>
      </c>
      <c r="AN1536" t="s">
        <v>47</v>
      </c>
      <c r="AO1536" s="5" t="s">
        <v>51</v>
      </c>
      <c r="AP1536" s="4" t="s">
        <v>61</v>
      </c>
      <c r="AQ1536" s="4" t="s">
        <v>538</v>
      </c>
      <c r="AR1536" s="4" t="s">
        <v>835</v>
      </c>
      <c r="AS1536" s="5">
        <v>2043108</v>
      </c>
      <c r="AT1536" t="s">
        <v>47</v>
      </c>
    </row>
    <row r="1537" spans="1:46" ht="26" x14ac:dyDescent="0.3">
      <c r="A1537" s="4" t="s">
        <v>5846</v>
      </c>
      <c r="B1537" t="s">
        <v>47</v>
      </c>
      <c r="C1537" s="4" t="s">
        <v>5847</v>
      </c>
      <c r="D1537" s="4" t="s">
        <v>5848</v>
      </c>
      <c r="E1537" s="4" t="s">
        <v>701</v>
      </c>
      <c r="F1537" s="5" t="s">
        <v>5849</v>
      </c>
      <c r="G1537" t="s">
        <v>47</v>
      </c>
      <c r="H1537" t="s">
        <v>47</v>
      </c>
      <c r="I1537" s="3">
        <v>41214</v>
      </c>
      <c r="J1537" s="3">
        <v>44166</v>
      </c>
      <c r="K1537" t="s">
        <v>47</v>
      </c>
      <c r="L1537" s="5" t="s">
        <v>60</v>
      </c>
      <c r="M1537" t="s">
        <v>47</v>
      </c>
      <c r="N1537" t="s">
        <v>47</v>
      </c>
      <c r="O1537" t="s">
        <v>47</v>
      </c>
      <c r="P1537" s="3">
        <v>41214</v>
      </c>
      <c r="Q1537" s="3">
        <v>44166</v>
      </c>
      <c r="R1537" t="s">
        <v>47</v>
      </c>
      <c r="S1537" t="s">
        <v>47</v>
      </c>
      <c r="T1537" t="s">
        <v>47</v>
      </c>
      <c r="U1537" t="s">
        <v>47</v>
      </c>
      <c r="V1537" t="s">
        <v>47</v>
      </c>
      <c r="W1537" s="3">
        <v>41214</v>
      </c>
      <c r="X1537" s="3">
        <v>44166</v>
      </c>
      <c r="Y1537" t="s">
        <v>47</v>
      </c>
      <c r="Z1537" s="3">
        <v>41214</v>
      </c>
      <c r="AA1537" s="3">
        <v>44166</v>
      </c>
      <c r="AB1537" t="s">
        <v>47</v>
      </c>
      <c r="AC1537" s="3">
        <v>41214</v>
      </c>
      <c r="AD1537" s="3">
        <v>44166</v>
      </c>
      <c r="AE1537" t="s">
        <v>47</v>
      </c>
      <c r="AF1537" t="s">
        <v>47</v>
      </c>
      <c r="AG1537" t="s">
        <v>47</v>
      </c>
      <c r="AH1537" t="s">
        <v>47</v>
      </c>
      <c r="AI1537" t="s">
        <v>47</v>
      </c>
      <c r="AJ1537" t="s">
        <v>47</v>
      </c>
      <c r="AK1537" t="s">
        <v>47</v>
      </c>
      <c r="AL1537" t="s">
        <v>47</v>
      </c>
      <c r="AM1537" t="s">
        <v>47</v>
      </c>
      <c r="AN1537" t="s">
        <v>47</v>
      </c>
      <c r="AO1537" s="5" t="s">
        <v>60</v>
      </c>
      <c r="AP1537" s="4" t="s">
        <v>61</v>
      </c>
      <c r="AQ1537" t="s">
        <v>47</v>
      </c>
      <c r="AR1537" s="4" t="s">
        <v>54</v>
      </c>
      <c r="AS1537" s="5">
        <v>1946344</v>
      </c>
      <c r="AT1537" t="s">
        <v>47</v>
      </c>
    </row>
    <row r="1538" spans="1:46" ht="117" x14ac:dyDescent="0.3">
      <c r="A1538" s="4" t="s">
        <v>5850</v>
      </c>
      <c r="B1538" t="s">
        <v>47</v>
      </c>
      <c r="C1538" s="4" t="s">
        <v>5851</v>
      </c>
      <c r="D1538" s="4" t="s">
        <v>201</v>
      </c>
      <c r="E1538" s="4" t="s">
        <v>49</v>
      </c>
      <c r="F1538" s="5" t="s">
        <v>5852</v>
      </c>
      <c r="G1538" s="5" t="s">
        <v>5853</v>
      </c>
      <c r="H1538" t="s">
        <v>47</v>
      </c>
      <c r="I1538" s="3">
        <v>31778</v>
      </c>
      <c r="J1538" s="5" t="s">
        <v>50</v>
      </c>
      <c r="K1538" t="s">
        <v>47</v>
      </c>
      <c r="L1538" s="5" t="s">
        <v>51</v>
      </c>
      <c r="M1538" s="3">
        <v>33604</v>
      </c>
      <c r="N1538" s="5" t="s">
        <v>50</v>
      </c>
      <c r="O1538" t="s">
        <v>47</v>
      </c>
      <c r="P1538" s="3">
        <v>31778</v>
      </c>
      <c r="Q1538" s="5" t="s">
        <v>50</v>
      </c>
      <c r="R1538" t="s">
        <v>47</v>
      </c>
      <c r="S1538" t="s">
        <v>47</v>
      </c>
      <c r="T1538" t="s">
        <v>47</v>
      </c>
      <c r="U1538" t="s">
        <v>47</v>
      </c>
      <c r="V1538" t="s">
        <v>47</v>
      </c>
      <c r="W1538" s="3">
        <v>26177</v>
      </c>
      <c r="X1538" s="5" t="s">
        <v>50</v>
      </c>
      <c r="Y1538" t="s">
        <v>47</v>
      </c>
      <c r="Z1538" s="3">
        <v>26177</v>
      </c>
      <c r="AA1538" s="5" t="s">
        <v>50</v>
      </c>
      <c r="AB1538" t="s">
        <v>47</v>
      </c>
      <c r="AC1538" s="3">
        <v>26177</v>
      </c>
      <c r="AD1538" s="5" t="s">
        <v>50</v>
      </c>
      <c r="AE1538" t="s">
        <v>47</v>
      </c>
      <c r="AF1538" t="s">
        <v>47</v>
      </c>
      <c r="AG1538" t="s">
        <v>47</v>
      </c>
      <c r="AH1538" t="s">
        <v>47</v>
      </c>
      <c r="AI1538" t="s">
        <v>47</v>
      </c>
      <c r="AJ1538" t="s">
        <v>47</v>
      </c>
      <c r="AK1538" t="s">
        <v>47</v>
      </c>
      <c r="AL1538" t="s">
        <v>47</v>
      </c>
      <c r="AM1538" t="s">
        <v>47</v>
      </c>
      <c r="AN1538" t="s">
        <v>47</v>
      </c>
      <c r="AO1538" s="5" t="s">
        <v>51</v>
      </c>
      <c r="AP1538" s="4" t="s">
        <v>85</v>
      </c>
      <c r="AQ1538" s="4" t="s">
        <v>53</v>
      </c>
      <c r="AR1538" s="4" t="s">
        <v>5854</v>
      </c>
      <c r="AS1538" s="5">
        <v>27021</v>
      </c>
      <c r="AT1538" t="s">
        <v>47</v>
      </c>
    </row>
    <row r="1539" spans="1:46" ht="78" x14ac:dyDescent="0.3">
      <c r="A1539" s="4" t="s">
        <v>5855</v>
      </c>
      <c r="B1539" t="s">
        <v>47</v>
      </c>
      <c r="C1539" s="4" t="s">
        <v>1240</v>
      </c>
      <c r="D1539" s="4" t="s">
        <v>1241</v>
      </c>
      <c r="E1539" s="4" t="s">
        <v>49</v>
      </c>
      <c r="F1539" s="5" t="s">
        <v>5856</v>
      </c>
      <c r="G1539" s="5" t="s">
        <v>5857</v>
      </c>
      <c r="H1539" t="s">
        <v>47</v>
      </c>
      <c r="I1539" s="3">
        <v>42278</v>
      </c>
      <c r="J1539" s="5" t="s">
        <v>50</v>
      </c>
      <c r="K1539" t="s">
        <v>47</v>
      </c>
      <c r="L1539" s="5" t="s">
        <v>60</v>
      </c>
      <c r="M1539" s="3">
        <v>42278</v>
      </c>
      <c r="N1539" s="5" t="s">
        <v>50</v>
      </c>
      <c r="O1539" t="s">
        <v>47</v>
      </c>
      <c r="P1539" s="3">
        <v>42278</v>
      </c>
      <c r="Q1539" s="5" t="s">
        <v>50</v>
      </c>
      <c r="R1539" t="s">
        <v>47</v>
      </c>
      <c r="S1539" t="s">
        <v>47</v>
      </c>
      <c r="T1539" t="s">
        <v>47</v>
      </c>
      <c r="U1539" t="s">
        <v>47</v>
      </c>
      <c r="V1539" t="s">
        <v>47</v>
      </c>
      <c r="W1539" s="3">
        <v>42278</v>
      </c>
      <c r="X1539" s="5" t="s">
        <v>50</v>
      </c>
      <c r="Y1539" t="s">
        <v>47</v>
      </c>
      <c r="Z1539" s="3">
        <v>42278</v>
      </c>
      <c r="AA1539" s="5" t="s">
        <v>50</v>
      </c>
      <c r="AB1539" t="s">
        <v>47</v>
      </c>
      <c r="AC1539" s="3">
        <v>42278</v>
      </c>
      <c r="AD1539" s="5" t="s">
        <v>50</v>
      </c>
      <c r="AE1539" t="s">
        <v>47</v>
      </c>
      <c r="AF1539" t="s">
        <v>47</v>
      </c>
      <c r="AG1539" t="s">
        <v>47</v>
      </c>
      <c r="AH1539" t="s">
        <v>47</v>
      </c>
      <c r="AI1539" t="s">
        <v>47</v>
      </c>
      <c r="AJ1539" t="s">
        <v>47</v>
      </c>
      <c r="AK1539" t="s">
        <v>47</v>
      </c>
      <c r="AL1539" t="s">
        <v>47</v>
      </c>
      <c r="AM1539" t="s">
        <v>47</v>
      </c>
      <c r="AN1539" t="s">
        <v>47</v>
      </c>
      <c r="AO1539" s="5" t="s">
        <v>60</v>
      </c>
      <c r="AP1539" s="4" t="s">
        <v>61</v>
      </c>
      <c r="AQ1539" s="4" t="s">
        <v>53</v>
      </c>
      <c r="AR1539" s="4" t="s">
        <v>577</v>
      </c>
      <c r="AS1539" s="5">
        <v>2042215</v>
      </c>
      <c r="AT1539" t="s">
        <v>47</v>
      </c>
    </row>
    <row r="1540" spans="1:46" ht="65" x14ac:dyDescent="0.3">
      <c r="A1540" s="4" t="s">
        <v>5858</v>
      </c>
      <c r="B1540" t="s">
        <v>47</v>
      </c>
      <c r="C1540" s="4" t="s">
        <v>3730</v>
      </c>
      <c r="D1540" s="4" t="s">
        <v>1241</v>
      </c>
      <c r="E1540" s="4" t="s">
        <v>3731</v>
      </c>
      <c r="F1540" s="5" t="s">
        <v>5859</v>
      </c>
      <c r="G1540" s="5" t="s">
        <v>5860</v>
      </c>
      <c r="H1540" t="s">
        <v>47</v>
      </c>
      <c r="I1540" s="3">
        <v>40909</v>
      </c>
      <c r="J1540" s="3">
        <v>42005</v>
      </c>
      <c r="K1540" t="s">
        <v>47</v>
      </c>
      <c r="L1540" s="5" t="s">
        <v>60</v>
      </c>
      <c r="M1540" t="s">
        <v>47</v>
      </c>
      <c r="N1540" t="s">
        <v>47</v>
      </c>
      <c r="O1540" t="s">
        <v>47</v>
      </c>
      <c r="P1540" s="3">
        <v>40909</v>
      </c>
      <c r="Q1540" s="3">
        <v>42005</v>
      </c>
      <c r="R1540" t="s">
        <v>47</v>
      </c>
      <c r="S1540" t="s">
        <v>47</v>
      </c>
      <c r="T1540" t="s">
        <v>47</v>
      </c>
      <c r="U1540" t="s">
        <v>47</v>
      </c>
      <c r="V1540" t="s">
        <v>47</v>
      </c>
      <c r="W1540" s="3">
        <v>40909</v>
      </c>
      <c r="X1540" s="3">
        <v>42005</v>
      </c>
      <c r="Y1540" t="s">
        <v>47</v>
      </c>
      <c r="Z1540" s="3">
        <v>40909</v>
      </c>
      <c r="AA1540" s="3">
        <v>42005</v>
      </c>
      <c r="AB1540" t="s">
        <v>47</v>
      </c>
      <c r="AC1540" s="3">
        <v>40909</v>
      </c>
      <c r="AD1540" s="3">
        <v>42005</v>
      </c>
      <c r="AE1540" t="s">
        <v>47</v>
      </c>
      <c r="AF1540" t="s">
        <v>47</v>
      </c>
      <c r="AG1540" t="s">
        <v>47</v>
      </c>
      <c r="AH1540" t="s">
        <v>47</v>
      </c>
      <c r="AI1540" t="s">
        <v>47</v>
      </c>
      <c r="AJ1540" t="s">
        <v>47</v>
      </c>
      <c r="AK1540" t="s">
        <v>47</v>
      </c>
      <c r="AL1540" t="s">
        <v>47</v>
      </c>
      <c r="AM1540" t="s">
        <v>47</v>
      </c>
      <c r="AN1540" t="s">
        <v>47</v>
      </c>
      <c r="AO1540" s="5" t="s">
        <v>51</v>
      </c>
      <c r="AP1540" s="4" t="s">
        <v>61</v>
      </c>
      <c r="AQ1540" s="4" t="s">
        <v>53</v>
      </c>
      <c r="AR1540" s="4" t="s">
        <v>543</v>
      </c>
      <c r="AS1540" s="5">
        <v>2037367</v>
      </c>
      <c r="AT1540" t="s">
        <v>47</v>
      </c>
    </row>
    <row r="1541" spans="1:46" ht="26" x14ac:dyDescent="0.3">
      <c r="A1541" s="4" t="s">
        <v>5861</v>
      </c>
      <c r="B1541" t="s">
        <v>47</v>
      </c>
      <c r="C1541" s="4" t="s">
        <v>5862</v>
      </c>
      <c r="D1541" t="s">
        <v>47</v>
      </c>
      <c r="E1541" s="4" t="s">
        <v>100</v>
      </c>
      <c r="F1541" s="5" t="s">
        <v>5863</v>
      </c>
      <c r="G1541" t="s">
        <v>47</v>
      </c>
      <c r="H1541" t="s">
        <v>47</v>
      </c>
      <c r="I1541" s="3">
        <v>35431</v>
      </c>
      <c r="J1541" s="5" t="s">
        <v>50</v>
      </c>
      <c r="K1541" t="s">
        <v>47</v>
      </c>
      <c r="L1541" s="5" t="s">
        <v>51</v>
      </c>
      <c r="M1541" s="3">
        <v>35431</v>
      </c>
      <c r="N1541" s="5" t="s">
        <v>50</v>
      </c>
      <c r="O1541" t="s">
        <v>47</v>
      </c>
      <c r="P1541" s="3">
        <v>38292</v>
      </c>
      <c r="Q1541" s="5" t="s">
        <v>50</v>
      </c>
      <c r="R1541" t="s">
        <v>47</v>
      </c>
      <c r="S1541" t="s">
        <v>47</v>
      </c>
      <c r="T1541" t="s">
        <v>47</v>
      </c>
      <c r="U1541" t="s">
        <v>47</v>
      </c>
      <c r="V1541" t="s">
        <v>47</v>
      </c>
      <c r="W1541" s="3">
        <v>34001</v>
      </c>
      <c r="X1541" s="5" t="s">
        <v>50</v>
      </c>
      <c r="Y1541" t="s">
        <v>47</v>
      </c>
      <c r="Z1541" s="3">
        <v>34001</v>
      </c>
      <c r="AA1541" s="5" t="s">
        <v>50</v>
      </c>
      <c r="AB1541" t="s">
        <v>47</v>
      </c>
      <c r="AC1541" s="3">
        <v>35431</v>
      </c>
      <c r="AD1541" s="5" t="s">
        <v>50</v>
      </c>
      <c r="AE1541" t="s">
        <v>47</v>
      </c>
      <c r="AF1541" t="s">
        <v>47</v>
      </c>
      <c r="AG1541" t="s">
        <v>47</v>
      </c>
      <c r="AH1541" t="s">
        <v>47</v>
      </c>
      <c r="AI1541" t="s">
        <v>47</v>
      </c>
      <c r="AJ1541" t="s">
        <v>47</v>
      </c>
      <c r="AK1541" t="s">
        <v>47</v>
      </c>
      <c r="AL1541" t="s">
        <v>47</v>
      </c>
      <c r="AM1541" t="s">
        <v>47</v>
      </c>
      <c r="AN1541" t="s">
        <v>47</v>
      </c>
      <c r="AO1541" s="5" t="s">
        <v>51</v>
      </c>
      <c r="AP1541" s="4" t="s">
        <v>135</v>
      </c>
      <c r="AQ1541" s="4" t="s">
        <v>53</v>
      </c>
      <c r="AR1541" s="4" t="s">
        <v>54</v>
      </c>
      <c r="AS1541" s="5">
        <v>26712</v>
      </c>
      <c r="AT1541" t="s">
        <v>47</v>
      </c>
    </row>
    <row r="1542" spans="1:46" ht="65" x14ac:dyDescent="0.3">
      <c r="A1542" s="4" t="s">
        <v>5864</v>
      </c>
      <c r="B1542" t="s">
        <v>47</v>
      </c>
      <c r="C1542" s="4" t="s">
        <v>169</v>
      </c>
      <c r="D1542" s="4" t="s">
        <v>339</v>
      </c>
      <c r="E1542" s="4" t="s">
        <v>66</v>
      </c>
      <c r="F1542" s="5" t="s">
        <v>5865</v>
      </c>
      <c r="G1542" s="5" t="s">
        <v>5866</v>
      </c>
      <c r="H1542" t="s">
        <v>47</v>
      </c>
      <c r="I1542" t="s">
        <v>47</v>
      </c>
      <c r="J1542" t="s">
        <v>47</v>
      </c>
      <c r="K1542" t="s">
        <v>47</v>
      </c>
      <c r="L1542" s="5" t="s">
        <v>60</v>
      </c>
      <c r="M1542" t="s">
        <v>47</v>
      </c>
      <c r="N1542" t="s">
        <v>47</v>
      </c>
      <c r="O1542" t="s">
        <v>47</v>
      </c>
      <c r="P1542" t="s">
        <v>47</v>
      </c>
      <c r="Q1542" t="s">
        <v>47</v>
      </c>
      <c r="R1542" t="s">
        <v>47</v>
      </c>
      <c r="S1542" t="s">
        <v>47</v>
      </c>
      <c r="T1542" t="s">
        <v>47</v>
      </c>
      <c r="U1542" t="s">
        <v>47</v>
      </c>
      <c r="V1542" t="s">
        <v>47</v>
      </c>
      <c r="W1542" s="3">
        <v>40179</v>
      </c>
      <c r="X1542" s="5" t="s">
        <v>50</v>
      </c>
      <c r="Y1542" t="s">
        <v>47</v>
      </c>
      <c r="Z1542" s="3">
        <v>40179</v>
      </c>
      <c r="AA1542" s="5" t="s">
        <v>50</v>
      </c>
      <c r="AB1542" t="s">
        <v>47</v>
      </c>
      <c r="AC1542" s="3">
        <v>40179</v>
      </c>
      <c r="AD1542" s="5" t="s">
        <v>50</v>
      </c>
      <c r="AE1542" t="s">
        <v>47</v>
      </c>
      <c r="AF1542" t="s">
        <v>47</v>
      </c>
      <c r="AG1542" t="s">
        <v>47</v>
      </c>
      <c r="AH1542" t="s">
        <v>47</v>
      </c>
      <c r="AI1542" t="s">
        <v>47</v>
      </c>
      <c r="AJ1542" t="s">
        <v>47</v>
      </c>
      <c r="AK1542" t="s">
        <v>47</v>
      </c>
      <c r="AL1542" t="s">
        <v>47</v>
      </c>
      <c r="AM1542" t="s">
        <v>47</v>
      </c>
      <c r="AN1542" t="s">
        <v>47</v>
      </c>
      <c r="AO1542" s="5" t="s">
        <v>60</v>
      </c>
      <c r="AP1542" s="4" t="s">
        <v>61</v>
      </c>
      <c r="AQ1542" s="4" t="s">
        <v>53</v>
      </c>
      <c r="AR1542" s="4" t="s">
        <v>543</v>
      </c>
      <c r="AS1542" s="5">
        <v>426726</v>
      </c>
      <c r="AT1542" t="s">
        <v>47</v>
      </c>
    </row>
    <row r="1543" spans="1:46" ht="65" x14ac:dyDescent="0.3">
      <c r="A1543" s="4" t="s">
        <v>5867</v>
      </c>
      <c r="B1543" t="s">
        <v>47</v>
      </c>
      <c r="C1543" s="4" t="s">
        <v>1867</v>
      </c>
      <c r="D1543" s="4" t="s">
        <v>765</v>
      </c>
      <c r="E1543" s="4" t="s">
        <v>49</v>
      </c>
      <c r="F1543" s="5" t="s">
        <v>5868</v>
      </c>
      <c r="G1543" t="s">
        <v>47</v>
      </c>
      <c r="H1543" t="s">
        <v>47</v>
      </c>
      <c r="I1543" s="3">
        <v>36251</v>
      </c>
      <c r="J1543" s="5" t="s">
        <v>50</v>
      </c>
      <c r="K1543" t="s">
        <v>47</v>
      </c>
      <c r="L1543" s="5" t="s">
        <v>60</v>
      </c>
      <c r="M1543" s="3">
        <v>36251</v>
      </c>
      <c r="N1543" s="5" t="s">
        <v>50</v>
      </c>
      <c r="O1543" t="s">
        <v>47</v>
      </c>
      <c r="P1543" s="3">
        <v>36251</v>
      </c>
      <c r="Q1543" s="5" t="s">
        <v>50</v>
      </c>
      <c r="R1543" t="s">
        <v>47</v>
      </c>
      <c r="S1543" t="s">
        <v>47</v>
      </c>
      <c r="T1543" t="s">
        <v>47</v>
      </c>
      <c r="U1543" t="s">
        <v>47</v>
      </c>
      <c r="V1543" t="s">
        <v>47</v>
      </c>
      <c r="W1543" s="3">
        <v>36251</v>
      </c>
      <c r="X1543" s="5" t="s">
        <v>50</v>
      </c>
      <c r="Y1543" t="s">
        <v>47</v>
      </c>
      <c r="Z1543" s="3">
        <v>36251</v>
      </c>
      <c r="AA1543" s="5" t="s">
        <v>50</v>
      </c>
      <c r="AB1543" t="s">
        <v>47</v>
      </c>
      <c r="AC1543" s="3">
        <v>36251</v>
      </c>
      <c r="AD1543" s="5" t="s">
        <v>50</v>
      </c>
      <c r="AE1543" t="s">
        <v>47</v>
      </c>
      <c r="AF1543" t="s">
        <v>47</v>
      </c>
      <c r="AG1543" t="s">
        <v>47</v>
      </c>
      <c r="AH1543" t="s">
        <v>47</v>
      </c>
      <c r="AI1543" t="s">
        <v>47</v>
      </c>
      <c r="AJ1543" t="s">
        <v>47</v>
      </c>
      <c r="AK1543" t="s">
        <v>47</v>
      </c>
      <c r="AL1543" t="s">
        <v>47</v>
      </c>
      <c r="AM1543" t="s">
        <v>47</v>
      </c>
      <c r="AN1543" t="s">
        <v>47</v>
      </c>
      <c r="AO1543" s="5" t="s">
        <v>60</v>
      </c>
      <c r="AP1543" s="4" t="s">
        <v>61</v>
      </c>
      <c r="AQ1543" s="4" t="s">
        <v>53</v>
      </c>
      <c r="AR1543" s="4" t="s">
        <v>543</v>
      </c>
      <c r="AS1543" s="5">
        <v>48404</v>
      </c>
      <c r="AT1543" t="s">
        <v>47</v>
      </c>
    </row>
    <row r="1544" spans="1:46" ht="39" x14ac:dyDescent="0.3">
      <c r="A1544" s="4" t="s">
        <v>5869</v>
      </c>
      <c r="B1544" t="s">
        <v>47</v>
      </c>
      <c r="C1544" s="4" t="s">
        <v>519</v>
      </c>
      <c r="D1544" s="4" t="s">
        <v>2961</v>
      </c>
      <c r="E1544" s="4" t="s">
        <v>49</v>
      </c>
      <c r="F1544" s="5" t="s">
        <v>5870</v>
      </c>
      <c r="G1544" s="5" t="s">
        <v>5871</v>
      </c>
      <c r="H1544" t="s">
        <v>47</v>
      </c>
      <c r="I1544" s="3">
        <v>36892</v>
      </c>
      <c r="J1544" s="3">
        <v>40452</v>
      </c>
      <c r="K1544" t="s">
        <v>47</v>
      </c>
      <c r="L1544" s="5" t="s">
        <v>60</v>
      </c>
      <c r="M1544" s="3">
        <v>36892</v>
      </c>
      <c r="N1544" s="3">
        <v>40452</v>
      </c>
      <c r="O1544" t="s">
        <v>47</v>
      </c>
      <c r="P1544" s="3">
        <v>36892</v>
      </c>
      <c r="Q1544" s="3">
        <v>40452</v>
      </c>
      <c r="R1544" t="s">
        <v>47</v>
      </c>
      <c r="S1544" t="s">
        <v>47</v>
      </c>
      <c r="T1544" t="s">
        <v>47</v>
      </c>
      <c r="U1544" t="s">
        <v>47</v>
      </c>
      <c r="V1544" t="s">
        <v>47</v>
      </c>
      <c r="W1544" s="3">
        <v>36892</v>
      </c>
      <c r="X1544" s="5" t="s">
        <v>50</v>
      </c>
      <c r="Y1544" t="s">
        <v>47</v>
      </c>
      <c r="Z1544" s="3">
        <v>36892</v>
      </c>
      <c r="AA1544" s="5" t="s">
        <v>50</v>
      </c>
      <c r="AB1544" t="s">
        <v>47</v>
      </c>
      <c r="AC1544" s="3">
        <v>37987</v>
      </c>
      <c r="AD1544" s="5" t="s">
        <v>50</v>
      </c>
      <c r="AE1544" t="s">
        <v>47</v>
      </c>
      <c r="AF1544" t="s">
        <v>47</v>
      </c>
      <c r="AG1544" t="s">
        <v>47</v>
      </c>
      <c r="AH1544" t="s">
        <v>47</v>
      </c>
      <c r="AI1544" t="s">
        <v>47</v>
      </c>
      <c r="AJ1544" t="s">
        <v>47</v>
      </c>
      <c r="AK1544" t="s">
        <v>47</v>
      </c>
      <c r="AL1544" t="s">
        <v>47</v>
      </c>
      <c r="AM1544" t="s">
        <v>47</v>
      </c>
      <c r="AN1544" t="s">
        <v>47</v>
      </c>
      <c r="AO1544" s="5" t="s">
        <v>60</v>
      </c>
      <c r="AP1544" s="4" t="s">
        <v>61</v>
      </c>
      <c r="AQ1544" s="4" t="s">
        <v>53</v>
      </c>
      <c r="AR1544" s="4" t="s">
        <v>62</v>
      </c>
      <c r="AS1544" s="5">
        <v>47926</v>
      </c>
      <c r="AT1544" t="s">
        <v>47</v>
      </c>
    </row>
    <row r="1545" spans="1:46" ht="13" x14ac:dyDescent="0.3">
      <c r="A1545" s="4" t="s">
        <v>5872</v>
      </c>
      <c r="B1545" t="s">
        <v>47</v>
      </c>
      <c r="C1545" s="4" t="s">
        <v>5873</v>
      </c>
      <c r="D1545" s="4" t="s">
        <v>188</v>
      </c>
      <c r="E1545" s="4" t="s">
        <v>49</v>
      </c>
      <c r="F1545" s="5" t="s">
        <v>5874</v>
      </c>
      <c r="G1545" t="s">
        <v>47</v>
      </c>
      <c r="H1545" t="s">
        <v>47</v>
      </c>
      <c r="I1545" s="3">
        <v>35370</v>
      </c>
      <c r="J1545" s="3">
        <v>44348</v>
      </c>
      <c r="K1545" t="s">
        <v>47</v>
      </c>
      <c r="L1545" s="5" t="s">
        <v>60</v>
      </c>
      <c r="M1545" s="3">
        <v>35370</v>
      </c>
      <c r="N1545" s="3">
        <v>44348</v>
      </c>
      <c r="O1545" t="s">
        <v>47</v>
      </c>
      <c r="P1545" s="3">
        <v>35370</v>
      </c>
      <c r="Q1545" s="3">
        <v>44348</v>
      </c>
      <c r="R1545" t="s">
        <v>47</v>
      </c>
      <c r="S1545" t="s">
        <v>47</v>
      </c>
      <c r="T1545" t="s">
        <v>47</v>
      </c>
      <c r="U1545" t="s">
        <v>47</v>
      </c>
      <c r="V1545" t="s">
        <v>47</v>
      </c>
      <c r="W1545" s="3">
        <v>31656</v>
      </c>
      <c r="X1545" s="3">
        <v>44348</v>
      </c>
      <c r="Y1545" t="s">
        <v>47</v>
      </c>
      <c r="Z1545" s="3">
        <v>31656</v>
      </c>
      <c r="AA1545" s="3">
        <v>44348</v>
      </c>
      <c r="AB1545" t="s">
        <v>47</v>
      </c>
      <c r="AC1545" s="3">
        <v>34943</v>
      </c>
      <c r="AD1545" s="3">
        <v>44348</v>
      </c>
      <c r="AE1545" t="s">
        <v>47</v>
      </c>
      <c r="AF1545" t="s">
        <v>47</v>
      </c>
      <c r="AG1545" t="s">
        <v>47</v>
      </c>
      <c r="AH1545" t="s">
        <v>47</v>
      </c>
      <c r="AI1545" t="s">
        <v>47</v>
      </c>
      <c r="AJ1545" t="s">
        <v>47</v>
      </c>
      <c r="AK1545" t="s">
        <v>47</v>
      </c>
      <c r="AL1545" t="s">
        <v>47</v>
      </c>
      <c r="AM1545" t="s">
        <v>47</v>
      </c>
      <c r="AN1545" t="s">
        <v>47</v>
      </c>
      <c r="AO1545" s="5" t="s">
        <v>60</v>
      </c>
      <c r="AP1545" s="4" t="s">
        <v>135</v>
      </c>
      <c r="AQ1545" s="4" t="s">
        <v>53</v>
      </c>
      <c r="AR1545" t="s">
        <v>47</v>
      </c>
      <c r="AS1545" s="5">
        <v>38018</v>
      </c>
      <c r="AT1545" t="s">
        <v>47</v>
      </c>
    </row>
    <row r="1546" spans="1:46" ht="13" x14ac:dyDescent="0.3">
      <c r="A1546" s="4" t="s">
        <v>5875</v>
      </c>
      <c r="B1546" t="s">
        <v>47</v>
      </c>
      <c r="C1546" s="4" t="s">
        <v>1784</v>
      </c>
      <c r="D1546" s="4" t="s">
        <v>217</v>
      </c>
      <c r="E1546" s="4" t="s">
        <v>49</v>
      </c>
      <c r="F1546" s="5" t="s">
        <v>5876</v>
      </c>
      <c r="G1546" t="s">
        <v>47</v>
      </c>
      <c r="H1546" t="s">
        <v>47</v>
      </c>
      <c r="I1546" s="3">
        <v>38108</v>
      </c>
      <c r="J1546" s="3">
        <v>39203</v>
      </c>
      <c r="K1546" t="s">
        <v>47</v>
      </c>
      <c r="L1546" s="5" t="s">
        <v>51</v>
      </c>
      <c r="M1546" s="3">
        <v>38108</v>
      </c>
      <c r="N1546" s="3">
        <v>39203</v>
      </c>
      <c r="O1546" t="s">
        <v>47</v>
      </c>
      <c r="P1546" s="3">
        <v>38108</v>
      </c>
      <c r="Q1546" s="3">
        <v>39142</v>
      </c>
      <c r="R1546" t="s">
        <v>47</v>
      </c>
      <c r="S1546" t="s">
        <v>47</v>
      </c>
      <c r="T1546" t="s">
        <v>47</v>
      </c>
      <c r="U1546" t="s">
        <v>47</v>
      </c>
      <c r="V1546" t="s">
        <v>47</v>
      </c>
      <c r="W1546" s="3">
        <v>38108</v>
      </c>
      <c r="X1546" s="3">
        <v>39203</v>
      </c>
      <c r="Y1546" t="s">
        <v>47</v>
      </c>
      <c r="Z1546" s="3">
        <v>38108</v>
      </c>
      <c r="AA1546" s="3">
        <v>39203</v>
      </c>
      <c r="AB1546" t="s">
        <v>47</v>
      </c>
      <c r="AC1546" s="3">
        <v>38108</v>
      </c>
      <c r="AD1546" s="3">
        <v>39203</v>
      </c>
      <c r="AE1546" t="s">
        <v>47</v>
      </c>
      <c r="AF1546" t="s">
        <v>47</v>
      </c>
      <c r="AG1546" t="s">
        <v>47</v>
      </c>
      <c r="AH1546" t="s">
        <v>47</v>
      </c>
      <c r="AI1546" t="s">
        <v>47</v>
      </c>
      <c r="AJ1546" t="s">
        <v>47</v>
      </c>
      <c r="AK1546" t="s">
        <v>47</v>
      </c>
      <c r="AL1546" t="s">
        <v>47</v>
      </c>
      <c r="AM1546" t="s">
        <v>47</v>
      </c>
      <c r="AN1546" t="s">
        <v>47</v>
      </c>
      <c r="AO1546" s="5" t="s">
        <v>51</v>
      </c>
      <c r="AP1546" s="4" t="s">
        <v>85</v>
      </c>
      <c r="AQ1546" s="4" t="s">
        <v>53</v>
      </c>
      <c r="AR1546" s="4" t="s">
        <v>54</v>
      </c>
      <c r="AS1546" s="5">
        <v>4016</v>
      </c>
      <c r="AT1546" t="s">
        <v>47</v>
      </c>
    </row>
    <row r="1547" spans="1:46" ht="26" x14ac:dyDescent="0.3">
      <c r="A1547" s="4" t="s">
        <v>5877</v>
      </c>
      <c r="B1547" t="s">
        <v>47</v>
      </c>
      <c r="C1547" s="4" t="s">
        <v>48</v>
      </c>
      <c r="D1547" s="4" t="s">
        <v>3784</v>
      </c>
      <c r="E1547" s="4" t="s">
        <v>49</v>
      </c>
      <c r="F1547" t="s">
        <v>47</v>
      </c>
      <c r="G1547" t="s">
        <v>47</v>
      </c>
      <c r="H1547" t="s">
        <v>47</v>
      </c>
      <c r="I1547" s="3">
        <v>43322</v>
      </c>
      <c r="J1547" s="5" t="s">
        <v>50</v>
      </c>
      <c r="K1547" t="s">
        <v>47</v>
      </c>
      <c r="L1547" s="5" t="s">
        <v>51</v>
      </c>
      <c r="M1547" s="3">
        <v>43322</v>
      </c>
      <c r="N1547" s="5" t="s">
        <v>50</v>
      </c>
      <c r="O1547" t="s">
        <v>47</v>
      </c>
      <c r="P1547" t="s">
        <v>47</v>
      </c>
      <c r="Q1547" t="s">
        <v>47</v>
      </c>
      <c r="R1547" t="s">
        <v>47</v>
      </c>
      <c r="S1547" t="s">
        <v>47</v>
      </c>
      <c r="T1547" t="s">
        <v>47</v>
      </c>
      <c r="U1547" t="s">
        <v>47</v>
      </c>
      <c r="V1547" t="s">
        <v>47</v>
      </c>
      <c r="W1547" s="3">
        <v>43322</v>
      </c>
      <c r="X1547" s="5" t="s">
        <v>50</v>
      </c>
      <c r="Y1547" t="s">
        <v>47</v>
      </c>
      <c r="Z1547" s="3">
        <v>43322</v>
      </c>
      <c r="AA1547" s="5" t="s">
        <v>50</v>
      </c>
      <c r="AB1547" t="s">
        <v>47</v>
      </c>
      <c r="AC1547" t="s">
        <v>47</v>
      </c>
      <c r="AD1547" t="s">
        <v>47</v>
      </c>
      <c r="AE1547" t="s">
        <v>47</v>
      </c>
      <c r="AF1547" t="s">
        <v>47</v>
      </c>
      <c r="AG1547" t="s">
        <v>47</v>
      </c>
      <c r="AH1547" t="s">
        <v>47</v>
      </c>
      <c r="AI1547" t="s">
        <v>47</v>
      </c>
      <c r="AJ1547" t="s">
        <v>47</v>
      </c>
      <c r="AK1547" t="s">
        <v>47</v>
      </c>
      <c r="AL1547" t="s">
        <v>47</v>
      </c>
      <c r="AM1547" t="s">
        <v>47</v>
      </c>
      <c r="AN1547" t="s">
        <v>47</v>
      </c>
      <c r="AO1547" s="5" t="s">
        <v>51</v>
      </c>
      <c r="AP1547" s="4" t="s">
        <v>52</v>
      </c>
      <c r="AQ1547" s="4" t="s">
        <v>53</v>
      </c>
      <c r="AR1547" s="4" t="s">
        <v>54</v>
      </c>
      <c r="AS1547" s="5">
        <v>4396596</v>
      </c>
      <c r="AT1547" t="s">
        <v>47</v>
      </c>
    </row>
    <row r="1548" spans="1:46" ht="26" x14ac:dyDescent="0.3">
      <c r="A1548" s="4" t="s">
        <v>5878</v>
      </c>
      <c r="B1548" t="s">
        <v>47</v>
      </c>
      <c r="C1548" s="4" t="s">
        <v>5879</v>
      </c>
      <c r="D1548" s="4" t="s">
        <v>70</v>
      </c>
      <c r="E1548" s="4" t="s">
        <v>49</v>
      </c>
      <c r="F1548" s="5" t="s">
        <v>5880</v>
      </c>
      <c r="G1548" s="5" t="s">
        <v>5881</v>
      </c>
      <c r="H1548" t="s">
        <v>47</v>
      </c>
      <c r="I1548" t="s">
        <v>47</v>
      </c>
      <c r="J1548" t="s">
        <v>47</v>
      </c>
      <c r="K1548" t="s">
        <v>47</v>
      </c>
      <c r="L1548" s="5" t="s">
        <v>60</v>
      </c>
      <c r="M1548" t="s">
        <v>47</v>
      </c>
      <c r="N1548" t="s">
        <v>47</v>
      </c>
      <c r="O1548" t="s">
        <v>47</v>
      </c>
      <c r="P1548" t="s">
        <v>47</v>
      </c>
      <c r="Q1548" t="s">
        <v>47</v>
      </c>
      <c r="R1548" t="s">
        <v>47</v>
      </c>
      <c r="S1548" t="s">
        <v>47</v>
      </c>
      <c r="T1548" t="s">
        <v>47</v>
      </c>
      <c r="U1548" t="s">
        <v>47</v>
      </c>
      <c r="V1548" t="s">
        <v>47</v>
      </c>
      <c r="W1548" s="3">
        <v>32509</v>
      </c>
      <c r="X1548" s="5" t="s">
        <v>50</v>
      </c>
      <c r="Y1548" t="s">
        <v>47</v>
      </c>
      <c r="Z1548" s="3">
        <v>32509</v>
      </c>
      <c r="AA1548" s="5" t="s">
        <v>50</v>
      </c>
      <c r="AB1548" t="s">
        <v>47</v>
      </c>
      <c r="AC1548" s="3">
        <v>32509</v>
      </c>
      <c r="AD1548" s="5" t="s">
        <v>50</v>
      </c>
      <c r="AE1548" t="s">
        <v>47</v>
      </c>
      <c r="AF1548" t="s">
        <v>47</v>
      </c>
      <c r="AG1548" t="s">
        <v>47</v>
      </c>
      <c r="AH1548" t="s">
        <v>47</v>
      </c>
      <c r="AI1548" t="s">
        <v>47</v>
      </c>
      <c r="AJ1548" t="s">
        <v>47</v>
      </c>
      <c r="AK1548" t="s">
        <v>47</v>
      </c>
      <c r="AL1548" t="s">
        <v>47</v>
      </c>
      <c r="AM1548" t="s">
        <v>47</v>
      </c>
      <c r="AN1548" t="s">
        <v>47</v>
      </c>
      <c r="AO1548" s="5" t="s">
        <v>60</v>
      </c>
      <c r="AP1548" s="4" t="s">
        <v>61</v>
      </c>
      <c r="AQ1548" s="4" t="s">
        <v>53</v>
      </c>
      <c r="AR1548" s="4" t="s">
        <v>54</v>
      </c>
      <c r="AS1548" s="5">
        <v>41187</v>
      </c>
      <c r="AT1548" t="s">
        <v>47</v>
      </c>
    </row>
    <row r="1549" spans="1:46" ht="65" x14ac:dyDescent="0.3">
      <c r="A1549" s="4" t="s">
        <v>5882</v>
      </c>
      <c r="B1549" t="s">
        <v>47</v>
      </c>
      <c r="C1549" s="4" t="s">
        <v>169</v>
      </c>
      <c r="D1549" s="4" t="s">
        <v>339</v>
      </c>
      <c r="E1549" s="4" t="s">
        <v>66</v>
      </c>
      <c r="F1549" s="5" t="s">
        <v>5883</v>
      </c>
      <c r="G1549" s="5" t="s">
        <v>5884</v>
      </c>
      <c r="H1549" t="s">
        <v>47</v>
      </c>
      <c r="I1549" t="s">
        <v>47</v>
      </c>
      <c r="J1549" t="s">
        <v>47</v>
      </c>
      <c r="K1549" t="s">
        <v>47</v>
      </c>
      <c r="L1549" s="5" t="s">
        <v>60</v>
      </c>
      <c r="M1549" t="s">
        <v>47</v>
      </c>
      <c r="N1549" t="s">
        <v>47</v>
      </c>
      <c r="O1549" t="s">
        <v>47</v>
      </c>
      <c r="P1549" t="s">
        <v>47</v>
      </c>
      <c r="Q1549" t="s">
        <v>47</v>
      </c>
      <c r="R1549" t="s">
        <v>47</v>
      </c>
      <c r="S1549" t="s">
        <v>47</v>
      </c>
      <c r="T1549" t="s">
        <v>47</v>
      </c>
      <c r="U1549" t="s">
        <v>47</v>
      </c>
      <c r="V1549" t="s">
        <v>47</v>
      </c>
      <c r="W1549" s="3">
        <v>40179</v>
      </c>
      <c r="X1549" s="5" t="s">
        <v>50</v>
      </c>
      <c r="Y1549" t="s">
        <v>47</v>
      </c>
      <c r="Z1549" s="3">
        <v>40179</v>
      </c>
      <c r="AA1549" s="5" t="s">
        <v>50</v>
      </c>
      <c r="AB1549" t="s">
        <v>47</v>
      </c>
      <c r="AC1549" s="3">
        <v>40179</v>
      </c>
      <c r="AD1549" s="5" t="s">
        <v>50</v>
      </c>
      <c r="AE1549" t="s">
        <v>47</v>
      </c>
      <c r="AF1549" t="s">
        <v>47</v>
      </c>
      <c r="AG1549" t="s">
        <v>47</v>
      </c>
      <c r="AH1549" t="s">
        <v>47</v>
      </c>
      <c r="AI1549" t="s">
        <v>47</v>
      </c>
      <c r="AJ1549" t="s">
        <v>47</v>
      </c>
      <c r="AK1549" t="s">
        <v>47</v>
      </c>
      <c r="AL1549" t="s">
        <v>47</v>
      </c>
      <c r="AM1549" t="s">
        <v>47</v>
      </c>
      <c r="AN1549" t="s">
        <v>47</v>
      </c>
      <c r="AO1549" s="5" t="s">
        <v>60</v>
      </c>
      <c r="AP1549" s="4" t="s">
        <v>61</v>
      </c>
      <c r="AQ1549" s="4" t="s">
        <v>53</v>
      </c>
      <c r="AR1549" s="4" t="s">
        <v>543</v>
      </c>
      <c r="AS1549" s="5">
        <v>426725</v>
      </c>
      <c r="AT1549" t="s">
        <v>47</v>
      </c>
    </row>
    <row r="1550" spans="1:46" ht="26" x14ac:dyDescent="0.3">
      <c r="A1550" s="4" t="s">
        <v>5885</v>
      </c>
      <c r="B1550" t="s">
        <v>47</v>
      </c>
      <c r="C1550" s="4" t="s">
        <v>48</v>
      </c>
      <c r="D1550" t="s">
        <v>47</v>
      </c>
      <c r="E1550" s="4" t="s">
        <v>49</v>
      </c>
      <c r="F1550" t="s">
        <v>47</v>
      </c>
      <c r="G1550" t="s">
        <v>47</v>
      </c>
      <c r="H1550" t="s">
        <v>47</v>
      </c>
      <c r="I1550" s="3">
        <v>43304</v>
      </c>
      <c r="J1550" s="5" t="s">
        <v>50</v>
      </c>
      <c r="K1550" t="s">
        <v>47</v>
      </c>
      <c r="L1550" s="5" t="s">
        <v>51</v>
      </c>
      <c r="M1550" s="3">
        <v>43304</v>
      </c>
      <c r="N1550" s="5" t="s">
        <v>50</v>
      </c>
      <c r="O1550" t="s">
        <v>47</v>
      </c>
      <c r="P1550" t="s">
        <v>47</v>
      </c>
      <c r="Q1550" t="s">
        <v>47</v>
      </c>
      <c r="R1550" t="s">
        <v>47</v>
      </c>
      <c r="S1550" t="s">
        <v>47</v>
      </c>
      <c r="T1550" t="s">
        <v>47</v>
      </c>
      <c r="U1550" t="s">
        <v>47</v>
      </c>
      <c r="V1550" t="s">
        <v>47</v>
      </c>
      <c r="W1550" s="3">
        <v>43304</v>
      </c>
      <c r="X1550" s="5" t="s">
        <v>50</v>
      </c>
      <c r="Y1550" t="s">
        <v>47</v>
      </c>
      <c r="Z1550" s="3">
        <v>43304</v>
      </c>
      <c r="AA1550" s="5" t="s">
        <v>50</v>
      </c>
      <c r="AB1550" t="s">
        <v>47</v>
      </c>
      <c r="AC1550" t="s">
        <v>47</v>
      </c>
      <c r="AD1550" t="s">
        <v>47</v>
      </c>
      <c r="AE1550" t="s">
        <v>47</v>
      </c>
      <c r="AF1550" t="s">
        <v>47</v>
      </c>
      <c r="AG1550" t="s">
        <v>47</v>
      </c>
      <c r="AH1550" t="s">
        <v>47</v>
      </c>
      <c r="AI1550" t="s">
        <v>47</v>
      </c>
      <c r="AJ1550" t="s">
        <v>47</v>
      </c>
      <c r="AK1550" t="s">
        <v>47</v>
      </c>
      <c r="AL1550" t="s">
        <v>47</v>
      </c>
      <c r="AM1550" t="s">
        <v>47</v>
      </c>
      <c r="AN1550" t="s">
        <v>47</v>
      </c>
      <c r="AO1550" s="5" t="s">
        <v>51</v>
      </c>
      <c r="AP1550" s="4" t="s">
        <v>52</v>
      </c>
      <c r="AQ1550" s="4" t="s">
        <v>53</v>
      </c>
      <c r="AR1550" s="4" t="s">
        <v>54</v>
      </c>
      <c r="AS1550" s="5">
        <v>4396595</v>
      </c>
      <c r="AT1550" t="s">
        <v>47</v>
      </c>
    </row>
    <row r="1551" spans="1:46" ht="39" x14ac:dyDescent="0.3">
      <c r="A1551" s="4" t="s">
        <v>5886</v>
      </c>
      <c r="B1551" t="s">
        <v>47</v>
      </c>
      <c r="C1551" s="4" t="s">
        <v>5887</v>
      </c>
      <c r="D1551" s="4" t="s">
        <v>742</v>
      </c>
      <c r="E1551" s="4" t="s">
        <v>100</v>
      </c>
      <c r="F1551" s="5" t="s">
        <v>5888</v>
      </c>
      <c r="G1551" s="5" t="s">
        <v>5889</v>
      </c>
      <c r="H1551" t="s">
        <v>47</v>
      </c>
      <c r="I1551" s="3">
        <v>41275</v>
      </c>
      <c r="J1551" s="5" t="s">
        <v>50</v>
      </c>
      <c r="K1551" t="s">
        <v>47</v>
      </c>
      <c r="L1551" s="5" t="s">
        <v>60</v>
      </c>
      <c r="M1551" s="3">
        <v>41275</v>
      </c>
      <c r="N1551" s="5" t="s">
        <v>50</v>
      </c>
      <c r="O1551" t="s">
        <v>47</v>
      </c>
      <c r="P1551" s="3">
        <v>41275</v>
      </c>
      <c r="Q1551" s="5" t="s">
        <v>50</v>
      </c>
      <c r="R1551" t="s">
        <v>47</v>
      </c>
      <c r="S1551" t="s">
        <v>47</v>
      </c>
      <c r="T1551" t="s">
        <v>47</v>
      </c>
      <c r="U1551" t="s">
        <v>47</v>
      </c>
      <c r="V1551" t="s">
        <v>47</v>
      </c>
      <c r="W1551" s="3">
        <v>41275</v>
      </c>
      <c r="X1551" s="5" t="s">
        <v>50</v>
      </c>
      <c r="Y1551" t="s">
        <v>47</v>
      </c>
      <c r="Z1551" s="3">
        <v>41275</v>
      </c>
      <c r="AA1551" s="5" t="s">
        <v>50</v>
      </c>
      <c r="AB1551" t="s">
        <v>47</v>
      </c>
      <c r="AC1551" s="3">
        <v>41275</v>
      </c>
      <c r="AD1551" s="5" t="s">
        <v>50</v>
      </c>
      <c r="AE1551" t="s">
        <v>47</v>
      </c>
      <c r="AF1551" t="s">
        <v>47</v>
      </c>
      <c r="AG1551" t="s">
        <v>47</v>
      </c>
      <c r="AH1551" t="s">
        <v>47</v>
      </c>
      <c r="AI1551" t="s">
        <v>47</v>
      </c>
      <c r="AJ1551" t="s">
        <v>47</v>
      </c>
      <c r="AK1551" t="s">
        <v>47</v>
      </c>
      <c r="AL1551" t="s">
        <v>47</v>
      </c>
      <c r="AM1551" t="s">
        <v>47</v>
      </c>
      <c r="AN1551" t="s">
        <v>47</v>
      </c>
      <c r="AO1551" s="5" t="s">
        <v>60</v>
      </c>
      <c r="AP1551" s="4" t="s">
        <v>61</v>
      </c>
      <c r="AQ1551" s="4" t="s">
        <v>53</v>
      </c>
      <c r="AR1551" s="4" t="s">
        <v>62</v>
      </c>
      <c r="AS1551" s="5">
        <v>2069120</v>
      </c>
      <c r="AT1551" t="s">
        <v>47</v>
      </c>
    </row>
    <row r="1552" spans="1:46" ht="26" x14ac:dyDescent="0.3">
      <c r="A1552" s="4" t="s">
        <v>5890</v>
      </c>
      <c r="B1552" t="s">
        <v>47</v>
      </c>
      <c r="C1552" s="4" t="s">
        <v>169</v>
      </c>
      <c r="D1552" s="4" t="s">
        <v>319</v>
      </c>
      <c r="E1552" s="4" t="s">
        <v>66</v>
      </c>
      <c r="F1552" s="5" t="s">
        <v>5891</v>
      </c>
      <c r="G1552" s="5" t="s">
        <v>5892</v>
      </c>
      <c r="H1552" t="s">
        <v>47</v>
      </c>
      <c r="I1552" t="s">
        <v>47</v>
      </c>
      <c r="J1552" t="s">
        <v>47</v>
      </c>
      <c r="K1552" t="s">
        <v>47</v>
      </c>
      <c r="L1552" s="5" t="s">
        <v>60</v>
      </c>
      <c r="M1552" t="s">
        <v>47</v>
      </c>
      <c r="N1552" t="s">
        <v>47</v>
      </c>
      <c r="O1552" t="s">
        <v>47</v>
      </c>
      <c r="P1552" t="s">
        <v>47</v>
      </c>
      <c r="Q1552" t="s">
        <v>47</v>
      </c>
      <c r="R1552" t="s">
        <v>47</v>
      </c>
      <c r="S1552" t="s">
        <v>47</v>
      </c>
      <c r="T1552" t="s">
        <v>47</v>
      </c>
      <c r="U1552" t="s">
        <v>47</v>
      </c>
      <c r="V1552" t="s">
        <v>47</v>
      </c>
      <c r="W1552" s="3">
        <v>37987</v>
      </c>
      <c r="X1552" s="5" t="s">
        <v>50</v>
      </c>
      <c r="Y1552" t="s">
        <v>47</v>
      </c>
      <c r="Z1552" s="3">
        <v>37987</v>
      </c>
      <c r="AA1552" s="5" t="s">
        <v>50</v>
      </c>
      <c r="AB1552" t="s">
        <v>47</v>
      </c>
      <c r="AC1552" s="3">
        <v>37987</v>
      </c>
      <c r="AD1552" s="5" t="s">
        <v>50</v>
      </c>
      <c r="AE1552" t="s">
        <v>47</v>
      </c>
      <c r="AF1552" t="s">
        <v>47</v>
      </c>
      <c r="AG1552" t="s">
        <v>47</v>
      </c>
      <c r="AH1552" t="s">
        <v>47</v>
      </c>
      <c r="AI1552" t="s">
        <v>47</v>
      </c>
      <c r="AJ1552" t="s">
        <v>47</v>
      </c>
      <c r="AK1552" t="s">
        <v>47</v>
      </c>
      <c r="AL1552" t="s">
        <v>47</v>
      </c>
      <c r="AM1552" t="s">
        <v>47</v>
      </c>
      <c r="AN1552" t="s">
        <v>47</v>
      </c>
      <c r="AO1552" s="5" t="s">
        <v>60</v>
      </c>
      <c r="AP1552" s="4" t="s">
        <v>61</v>
      </c>
      <c r="AQ1552" s="4" t="s">
        <v>53</v>
      </c>
      <c r="AR1552" s="4" t="s">
        <v>516</v>
      </c>
      <c r="AS1552" s="5">
        <v>44804</v>
      </c>
      <c r="AT1552" t="s">
        <v>47</v>
      </c>
    </row>
    <row r="1553" spans="1:46" ht="39" x14ac:dyDescent="0.3">
      <c r="A1553" s="4" t="s">
        <v>5893</v>
      </c>
      <c r="B1553" t="s">
        <v>47</v>
      </c>
      <c r="C1553" s="4" t="s">
        <v>5894</v>
      </c>
      <c r="D1553" s="4" t="s">
        <v>5895</v>
      </c>
      <c r="E1553" s="4" t="s">
        <v>66</v>
      </c>
      <c r="F1553" s="5" t="s">
        <v>5896</v>
      </c>
      <c r="G1553" s="5" t="s">
        <v>5897</v>
      </c>
      <c r="H1553" t="s">
        <v>47</v>
      </c>
      <c r="I1553" s="3">
        <v>35977</v>
      </c>
      <c r="J1553" s="5" t="s">
        <v>50</v>
      </c>
      <c r="K1553" t="s">
        <v>47</v>
      </c>
      <c r="L1553" s="5" t="s">
        <v>60</v>
      </c>
      <c r="M1553" s="3">
        <v>35977</v>
      </c>
      <c r="N1553" s="5" t="s">
        <v>50</v>
      </c>
      <c r="O1553" t="s">
        <v>47</v>
      </c>
      <c r="P1553" s="3">
        <v>35977</v>
      </c>
      <c r="Q1553" s="5" t="s">
        <v>50</v>
      </c>
      <c r="R1553" t="s">
        <v>47</v>
      </c>
      <c r="S1553" t="s">
        <v>47</v>
      </c>
      <c r="T1553" t="s">
        <v>47</v>
      </c>
      <c r="U1553" t="s">
        <v>47</v>
      </c>
      <c r="V1553" t="s">
        <v>47</v>
      </c>
      <c r="W1553" s="3">
        <v>35977</v>
      </c>
      <c r="X1553" s="5" t="s">
        <v>50</v>
      </c>
      <c r="Y1553" t="s">
        <v>47</v>
      </c>
      <c r="Z1553" s="3">
        <v>35977</v>
      </c>
      <c r="AA1553" s="5" t="s">
        <v>50</v>
      </c>
      <c r="AB1553" t="s">
        <v>47</v>
      </c>
      <c r="AC1553" s="3">
        <v>38078</v>
      </c>
      <c r="AD1553" s="5" t="s">
        <v>50</v>
      </c>
      <c r="AE1553" t="s">
        <v>47</v>
      </c>
      <c r="AF1553" t="s">
        <v>47</v>
      </c>
      <c r="AG1553" t="s">
        <v>47</v>
      </c>
      <c r="AH1553" t="s">
        <v>47</v>
      </c>
      <c r="AI1553" t="s">
        <v>47</v>
      </c>
      <c r="AJ1553" t="s">
        <v>47</v>
      </c>
      <c r="AK1553" t="s">
        <v>47</v>
      </c>
      <c r="AL1553" t="s">
        <v>47</v>
      </c>
      <c r="AM1553" t="s">
        <v>47</v>
      </c>
      <c r="AN1553" t="s">
        <v>47</v>
      </c>
      <c r="AO1553" s="5" t="s">
        <v>51</v>
      </c>
      <c r="AP1553" s="4" t="s">
        <v>61</v>
      </c>
      <c r="AQ1553" s="4" t="s">
        <v>53</v>
      </c>
      <c r="AR1553" s="4" t="s">
        <v>1830</v>
      </c>
      <c r="AS1553" s="5">
        <v>33585</v>
      </c>
      <c r="AT1553" t="s">
        <v>47</v>
      </c>
    </row>
    <row r="1554" spans="1:46" ht="78" x14ac:dyDescent="0.3">
      <c r="A1554" s="4" t="s">
        <v>5898</v>
      </c>
      <c r="B1554" t="s">
        <v>47</v>
      </c>
      <c r="C1554" s="4" t="s">
        <v>509</v>
      </c>
      <c r="D1554" s="4" t="s">
        <v>223</v>
      </c>
      <c r="E1554" s="4" t="s">
        <v>49</v>
      </c>
      <c r="F1554" s="5" t="s">
        <v>5899</v>
      </c>
      <c r="G1554" s="5" t="s">
        <v>5900</v>
      </c>
      <c r="H1554" t="s">
        <v>47</v>
      </c>
      <c r="I1554" s="3">
        <v>35551</v>
      </c>
      <c r="J1554" s="3">
        <v>37895</v>
      </c>
      <c r="K1554" t="s">
        <v>47</v>
      </c>
      <c r="L1554" s="5" t="s">
        <v>60</v>
      </c>
      <c r="M1554" s="3">
        <v>35551</v>
      </c>
      <c r="N1554" s="3">
        <v>37895</v>
      </c>
      <c r="O1554" t="s">
        <v>47</v>
      </c>
      <c r="P1554" t="s">
        <v>47</v>
      </c>
      <c r="Q1554" t="s">
        <v>47</v>
      </c>
      <c r="R1554" t="s">
        <v>47</v>
      </c>
      <c r="S1554" t="s">
        <v>47</v>
      </c>
      <c r="T1554" t="s">
        <v>47</v>
      </c>
      <c r="U1554" t="s">
        <v>47</v>
      </c>
      <c r="V1554" t="s">
        <v>47</v>
      </c>
      <c r="W1554" s="3">
        <v>35551</v>
      </c>
      <c r="X1554" s="3">
        <v>43586</v>
      </c>
      <c r="Y1554" t="s">
        <v>47</v>
      </c>
      <c r="Z1554" s="3">
        <v>35551</v>
      </c>
      <c r="AA1554" s="3">
        <v>43586</v>
      </c>
      <c r="AB1554" t="s">
        <v>47</v>
      </c>
      <c r="AC1554" s="3">
        <v>36982</v>
      </c>
      <c r="AD1554" s="3">
        <v>43586</v>
      </c>
      <c r="AE1554" t="s">
        <v>47</v>
      </c>
      <c r="AF1554" t="s">
        <v>47</v>
      </c>
      <c r="AG1554" t="s">
        <v>47</v>
      </c>
      <c r="AH1554" t="s">
        <v>47</v>
      </c>
      <c r="AI1554" t="s">
        <v>47</v>
      </c>
      <c r="AJ1554" t="s">
        <v>47</v>
      </c>
      <c r="AK1554" t="s">
        <v>47</v>
      </c>
      <c r="AL1554" t="s">
        <v>47</v>
      </c>
      <c r="AM1554" t="s">
        <v>47</v>
      </c>
      <c r="AN1554" t="s">
        <v>47</v>
      </c>
      <c r="AO1554" s="5" t="s">
        <v>60</v>
      </c>
      <c r="AP1554" s="4" t="s">
        <v>61</v>
      </c>
      <c r="AQ1554" s="4" t="s">
        <v>53</v>
      </c>
      <c r="AR1554" s="4" t="s">
        <v>512</v>
      </c>
      <c r="AS1554" s="5">
        <v>32876</v>
      </c>
      <c r="AT1554" t="s">
        <v>47</v>
      </c>
    </row>
    <row r="1555" spans="1:46" ht="13" x14ac:dyDescent="0.3">
      <c r="A1555" s="4" t="s">
        <v>5901</v>
      </c>
      <c r="B1555" t="s">
        <v>47</v>
      </c>
      <c r="C1555" s="4" t="s">
        <v>169</v>
      </c>
      <c r="D1555" s="4" t="s">
        <v>5759</v>
      </c>
      <c r="E1555" s="4" t="s">
        <v>66</v>
      </c>
      <c r="F1555" s="5" t="s">
        <v>5902</v>
      </c>
      <c r="G1555" s="5" t="s">
        <v>5903</v>
      </c>
      <c r="H1555" t="s">
        <v>47</v>
      </c>
      <c r="I1555" t="s">
        <v>47</v>
      </c>
      <c r="J1555" t="s">
        <v>47</v>
      </c>
      <c r="K1555" t="s">
        <v>47</v>
      </c>
      <c r="L1555" s="5" t="s">
        <v>60</v>
      </c>
      <c r="M1555" t="s">
        <v>47</v>
      </c>
      <c r="N1555" t="s">
        <v>47</v>
      </c>
      <c r="O1555" t="s">
        <v>47</v>
      </c>
      <c r="P1555" t="s">
        <v>47</v>
      </c>
      <c r="Q1555" t="s">
        <v>47</v>
      </c>
      <c r="R1555" t="s">
        <v>47</v>
      </c>
      <c r="S1555" t="s">
        <v>47</v>
      </c>
      <c r="T1555" t="s">
        <v>47</v>
      </c>
      <c r="U1555" t="s">
        <v>47</v>
      </c>
      <c r="V1555" t="s">
        <v>47</v>
      </c>
      <c r="W1555" s="3">
        <v>40179</v>
      </c>
      <c r="X1555" s="5" t="s">
        <v>50</v>
      </c>
      <c r="Y1555" s="5" t="s">
        <v>1199</v>
      </c>
      <c r="Z1555" s="3">
        <v>40179</v>
      </c>
      <c r="AA1555" s="5" t="s">
        <v>50</v>
      </c>
      <c r="AB1555" s="5" t="s">
        <v>1199</v>
      </c>
      <c r="AC1555" s="3">
        <v>40179</v>
      </c>
      <c r="AD1555" s="5" t="s">
        <v>50</v>
      </c>
      <c r="AE1555" s="5" t="s">
        <v>1199</v>
      </c>
      <c r="AF1555" t="s">
        <v>47</v>
      </c>
      <c r="AG1555" t="s">
        <v>47</v>
      </c>
      <c r="AH1555" t="s">
        <v>47</v>
      </c>
      <c r="AI1555" t="s">
        <v>47</v>
      </c>
      <c r="AJ1555" t="s">
        <v>47</v>
      </c>
      <c r="AK1555" t="s">
        <v>47</v>
      </c>
      <c r="AL1555" t="s">
        <v>47</v>
      </c>
      <c r="AM1555" t="s">
        <v>47</v>
      </c>
      <c r="AN1555" t="s">
        <v>47</v>
      </c>
      <c r="AO1555" s="5" t="s">
        <v>60</v>
      </c>
      <c r="AP1555" s="4" t="s">
        <v>61</v>
      </c>
      <c r="AQ1555" s="4" t="s">
        <v>53</v>
      </c>
      <c r="AR1555" s="4" t="s">
        <v>54</v>
      </c>
      <c r="AS1555" s="5">
        <v>506322</v>
      </c>
      <c r="AT1555" t="s">
        <v>47</v>
      </c>
    </row>
    <row r="1556" spans="1:46" ht="65" x14ac:dyDescent="0.3">
      <c r="A1556" s="4" t="s">
        <v>5904</v>
      </c>
      <c r="B1556" t="s">
        <v>47</v>
      </c>
      <c r="C1556" s="4" t="s">
        <v>1240</v>
      </c>
      <c r="D1556" s="4" t="s">
        <v>1241</v>
      </c>
      <c r="E1556" s="4" t="s">
        <v>49</v>
      </c>
      <c r="F1556" s="5" t="s">
        <v>5905</v>
      </c>
      <c r="G1556" s="5" t="s">
        <v>5906</v>
      </c>
      <c r="H1556" t="s">
        <v>47</v>
      </c>
      <c r="I1556" s="3">
        <v>35462</v>
      </c>
      <c r="J1556" s="5" t="s">
        <v>50</v>
      </c>
      <c r="K1556" t="s">
        <v>47</v>
      </c>
      <c r="L1556" s="5" t="s">
        <v>60</v>
      </c>
      <c r="M1556" s="3">
        <v>35462</v>
      </c>
      <c r="N1556" s="5" t="s">
        <v>50</v>
      </c>
      <c r="O1556" t="s">
        <v>47</v>
      </c>
      <c r="P1556" s="3">
        <v>35462</v>
      </c>
      <c r="Q1556" s="5" t="s">
        <v>50</v>
      </c>
      <c r="R1556" t="s">
        <v>47</v>
      </c>
      <c r="S1556" t="s">
        <v>47</v>
      </c>
      <c r="T1556" t="s">
        <v>47</v>
      </c>
      <c r="U1556" t="s">
        <v>47</v>
      </c>
      <c r="V1556" t="s">
        <v>47</v>
      </c>
      <c r="W1556" s="3">
        <v>35462</v>
      </c>
      <c r="X1556" s="5" t="s">
        <v>50</v>
      </c>
      <c r="Y1556" t="s">
        <v>47</v>
      </c>
      <c r="Z1556" s="3">
        <v>35462</v>
      </c>
      <c r="AA1556" s="5" t="s">
        <v>50</v>
      </c>
      <c r="AB1556" t="s">
        <v>47</v>
      </c>
      <c r="AC1556" s="3">
        <v>35462</v>
      </c>
      <c r="AD1556" s="5" t="s">
        <v>50</v>
      </c>
      <c r="AE1556" t="s">
        <v>47</v>
      </c>
      <c r="AF1556" t="s">
        <v>47</v>
      </c>
      <c r="AG1556" t="s">
        <v>47</v>
      </c>
      <c r="AH1556" t="s">
        <v>47</v>
      </c>
      <c r="AI1556" t="s">
        <v>47</v>
      </c>
      <c r="AJ1556" t="s">
        <v>47</v>
      </c>
      <c r="AK1556" t="s">
        <v>47</v>
      </c>
      <c r="AL1556" t="s">
        <v>47</v>
      </c>
      <c r="AM1556" t="s">
        <v>47</v>
      </c>
      <c r="AN1556" t="s">
        <v>47</v>
      </c>
      <c r="AO1556" s="5" t="s">
        <v>51</v>
      </c>
      <c r="AP1556" s="4" t="s">
        <v>61</v>
      </c>
      <c r="AQ1556" s="4" t="s">
        <v>53</v>
      </c>
      <c r="AR1556" s="4" t="s">
        <v>543</v>
      </c>
      <c r="AS1556" s="5">
        <v>47668</v>
      </c>
      <c r="AT1556" t="s">
        <v>47</v>
      </c>
    </row>
    <row r="1557" spans="1:46" ht="78" x14ac:dyDescent="0.3">
      <c r="A1557" s="4" t="s">
        <v>5907</v>
      </c>
      <c r="B1557" t="s">
        <v>47</v>
      </c>
      <c r="C1557" s="4" t="s">
        <v>183</v>
      </c>
      <c r="D1557" s="4" t="s">
        <v>223</v>
      </c>
      <c r="E1557" s="4" t="s">
        <v>49</v>
      </c>
      <c r="F1557" s="5" t="s">
        <v>5908</v>
      </c>
      <c r="G1557" s="5" t="s">
        <v>5909</v>
      </c>
      <c r="H1557" t="s">
        <v>47</v>
      </c>
      <c r="I1557" s="3">
        <v>35431</v>
      </c>
      <c r="J1557" s="3">
        <v>42917</v>
      </c>
      <c r="K1557" t="s">
        <v>47</v>
      </c>
      <c r="L1557" s="5" t="s">
        <v>60</v>
      </c>
      <c r="M1557" s="3">
        <v>35431</v>
      </c>
      <c r="N1557" s="3">
        <v>42917</v>
      </c>
      <c r="O1557" t="s">
        <v>47</v>
      </c>
      <c r="P1557" s="3">
        <v>35431</v>
      </c>
      <c r="Q1557" s="3">
        <v>42917</v>
      </c>
      <c r="R1557" t="s">
        <v>47</v>
      </c>
      <c r="S1557" t="s">
        <v>47</v>
      </c>
      <c r="T1557" t="s">
        <v>47</v>
      </c>
      <c r="U1557" t="s">
        <v>47</v>
      </c>
      <c r="V1557" t="s">
        <v>47</v>
      </c>
      <c r="W1557" s="3">
        <v>25082</v>
      </c>
      <c r="X1557" s="5" t="s">
        <v>50</v>
      </c>
      <c r="Y1557" t="s">
        <v>47</v>
      </c>
      <c r="Z1557" s="3">
        <v>25082</v>
      </c>
      <c r="AA1557" s="5" t="s">
        <v>50</v>
      </c>
      <c r="AB1557" t="s">
        <v>47</v>
      </c>
      <c r="AC1557" t="s">
        <v>47</v>
      </c>
      <c r="AD1557" t="s">
        <v>47</v>
      </c>
      <c r="AE1557" t="s">
        <v>47</v>
      </c>
      <c r="AF1557" t="s">
        <v>47</v>
      </c>
      <c r="AG1557" t="s">
        <v>47</v>
      </c>
      <c r="AH1557" t="s">
        <v>47</v>
      </c>
      <c r="AI1557" t="s">
        <v>47</v>
      </c>
      <c r="AJ1557" t="s">
        <v>47</v>
      </c>
      <c r="AK1557" t="s">
        <v>47</v>
      </c>
      <c r="AL1557" t="s">
        <v>47</v>
      </c>
      <c r="AM1557" t="s">
        <v>47</v>
      </c>
      <c r="AN1557" t="s">
        <v>47</v>
      </c>
      <c r="AO1557" s="5" t="s">
        <v>60</v>
      </c>
      <c r="AP1557" s="4" t="s">
        <v>61</v>
      </c>
      <c r="AQ1557" s="4" t="s">
        <v>53</v>
      </c>
      <c r="AR1557" s="4" t="s">
        <v>436</v>
      </c>
      <c r="AS1557" s="5">
        <v>7737</v>
      </c>
      <c r="AT1557" t="s">
        <v>47</v>
      </c>
    </row>
    <row r="1558" spans="1:46" ht="26" x14ac:dyDescent="0.3">
      <c r="A1558" s="4" t="s">
        <v>5910</v>
      </c>
      <c r="B1558" t="s">
        <v>47</v>
      </c>
      <c r="C1558" s="4" t="s">
        <v>5911</v>
      </c>
      <c r="D1558" s="4" t="s">
        <v>139</v>
      </c>
      <c r="E1558" s="4" t="s">
        <v>66</v>
      </c>
      <c r="F1558" s="5" t="s">
        <v>5912</v>
      </c>
      <c r="G1558" s="5" t="s">
        <v>5913</v>
      </c>
      <c r="H1558" t="s">
        <v>47</v>
      </c>
      <c r="I1558" s="3">
        <v>35916</v>
      </c>
      <c r="J1558" s="3">
        <v>42979</v>
      </c>
      <c r="K1558" t="s">
        <v>47</v>
      </c>
      <c r="L1558" s="5" t="s">
        <v>60</v>
      </c>
      <c r="M1558" s="3">
        <v>35916</v>
      </c>
      <c r="N1558" s="3">
        <v>42979</v>
      </c>
      <c r="O1558" t="s">
        <v>47</v>
      </c>
      <c r="P1558" s="3">
        <v>35916</v>
      </c>
      <c r="Q1558" s="3">
        <v>42979</v>
      </c>
      <c r="R1558" t="s">
        <v>47</v>
      </c>
      <c r="S1558" t="s">
        <v>47</v>
      </c>
      <c r="T1558" t="s">
        <v>47</v>
      </c>
      <c r="U1558" t="s">
        <v>47</v>
      </c>
      <c r="V1558" t="s">
        <v>47</v>
      </c>
      <c r="W1558" s="3">
        <v>35916</v>
      </c>
      <c r="X1558" s="5" t="s">
        <v>50</v>
      </c>
      <c r="Y1558" t="s">
        <v>47</v>
      </c>
      <c r="Z1558" s="3">
        <v>35916</v>
      </c>
      <c r="AA1558" s="5" t="s">
        <v>50</v>
      </c>
      <c r="AB1558" t="s">
        <v>47</v>
      </c>
      <c r="AC1558" s="3">
        <v>36923</v>
      </c>
      <c r="AD1558" s="5" t="s">
        <v>50</v>
      </c>
      <c r="AE1558" t="s">
        <v>47</v>
      </c>
      <c r="AF1558" t="s">
        <v>47</v>
      </c>
      <c r="AG1558" t="s">
        <v>47</v>
      </c>
      <c r="AH1558" t="s">
        <v>47</v>
      </c>
      <c r="AI1558" t="s">
        <v>47</v>
      </c>
      <c r="AJ1558" t="s">
        <v>47</v>
      </c>
      <c r="AK1558" t="s">
        <v>47</v>
      </c>
      <c r="AL1558" t="s">
        <v>47</v>
      </c>
      <c r="AM1558" t="s">
        <v>47</v>
      </c>
      <c r="AN1558" t="s">
        <v>47</v>
      </c>
      <c r="AO1558" s="5" t="s">
        <v>60</v>
      </c>
      <c r="AP1558" s="4" t="s">
        <v>61</v>
      </c>
      <c r="AQ1558" s="4" t="s">
        <v>53</v>
      </c>
      <c r="AR1558" s="4" t="s">
        <v>2294</v>
      </c>
      <c r="AS1558" s="5">
        <v>48308</v>
      </c>
      <c r="AT1558" t="s">
        <v>47</v>
      </c>
    </row>
    <row r="1559" spans="1:46" ht="39" x14ac:dyDescent="0.3">
      <c r="A1559" s="4" t="s">
        <v>5914</v>
      </c>
      <c r="B1559" t="s">
        <v>47</v>
      </c>
      <c r="C1559" s="4" t="s">
        <v>169</v>
      </c>
      <c r="D1559" s="4" t="s">
        <v>339</v>
      </c>
      <c r="E1559" s="4" t="s">
        <v>66</v>
      </c>
      <c r="F1559" s="5" t="s">
        <v>5915</v>
      </c>
      <c r="G1559" s="5" t="s">
        <v>5916</v>
      </c>
      <c r="H1559" t="s">
        <v>47</v>
      </c>
      <c r="I1559" s="3">
        <v>35796</v>
      </c>
      <c r="J1559" s="3">
        <v>36800</v>
      </c>
      <c r="K1559" t="s">
        <v>47</v>
      </c>
      <c r="L1559" s="5" t="s">
        <v>60</v>
      </c>
      <c r="M1559" s="3">
        <v>35796</v>
      </c>
      <c r="N1559" s="3">
        <v>36800</v>
      </c>
      <c r="O1559" t="s">
        <v>47</v>
      </c>
      <c r="P1559" s="3">
        <v>35796</v>
      </c>
      <c r="Q1559" s="3">
        <v>36800</v>
      </c>
      <c r="R1559" t="s">
        <v>47</v>
      </c>
      <c r="S1559" t="s">
        <v>47</v>
      </c>
      <c r="T1559" t="s">
        <v>47</v>
      </c>
      <c r="U1559" t="s">
        <v>47</v>
      </c>
      <c r="V1559" t="s">
        <v>47</v>
      </c>
      <c r="W1559" s="3">
        <v>35796</v>
      </c>
      <c r="X1559" s="5" t="s">
        <v>50</v>
      </c>
      <c r="Y1559" s="5" t="s">
        <v>2144</v>
      </c>
      <c r="Z1559" s="3">
        <v>35796</v>
      </c>
      <c r="AA1559" s="5" t="s">
        <v>50</v>
      </c>
      <c r="AB1559" s="5" t="s">
        <v>2144</v>
      </c>
      <c r="AC1559" s="3">
        <v>40940</v>
      </c>
      <c r="AD1559" s="5" t="s">
        <v>50</v>
      </c>
      <c r="AE1559" t="s">
        <v>47</v>
      </c>
      <c r="AF1559" t="s">
        <v>47</v>
      </c>
      <c r="AG1559" t="s">
        <v>47</v>
      </c>
      <c r="AH1559" t="s">
        <v>47</v>
      </c>
      <c r="AI1559" t="s">
        <v>47</v>
      </c>
      <c r="AJ1559" t="s">
        <v>47</v>
      </c>
      <c r="AK1559" t="s">
        <v>47</v>
      </c>
      <c r="AL1559" t="s">
        <v>47</v>
      </c>
      <c r="AM1559" t="s">
        <v>47</v>
      </c>
      <c r="AN1559" t="s">
        <v>47</v>
      </c>
      <c r="AO1559" s="5" t="s">
        <v>60</v>
      </c>
      <c r="AP1559" s="4" t="s">
        <v>61</v>
      </c>
      <c r="AQ1559" s="4" t="s">
        <v>53</v>
      </c>
      <c r="AR1559" s="4" t="s">
        <v>62</v>
      </c>
      <c r="AS1559" s="5">
        <v>33819</v>
      </c>
      <c r="AT1559" t="s">
        <v>47</v>
      </c>
    </row>
    <row r="1560" spans="1:46" ht="52" x14ac:dyDescent="0.3">
      <c r="A1560" s="4" t="s">
        <v>5917</v>
      </c>
      <c r="B1560" t="s">
        <v>47</v>
      </c>
      <c r="C1560" s="4" t="s">
        <v>5918</v>
      </c>
      <c r="D1560" s="4" t="s">
        <v>3189</v>
      </c>
      <c r="E1560" s="4" t="s">
        <v>49</v>
      </c>
      <c r="F1560" t="s">
        <v>47</v>
      </c>
      <c r="G1560" s="5" t="s">
        <v>5919</v>
      </c>
      <c r="H1560" t="s">
        <v>47</v>
      </c>
      <c r="I1560" s="3">
        <v>40817</v>
      </c>
      <c r="J1560" s="5" t="s">
        <v>50</v>
      </c>
      <c r="K1560" t="s">
        <v>47</v>
      </c>
      <c r="L1560" s="5" t="s">
        <v>60</v>
      </c>
      <c r="M1560" s="3">
        <v>40817</v>
      </c>
      <c r="N1560" s="5" t="s">
        <v>50</v>
      </c>
      <c r="O1560" t="s">
        <v>47</v>
      </c>
      <c r="P1560" s="3">
        <v>40817</v>
      </c>
      <c r="Q1560" s="5" t="s">
        <v>50</v>
      </c>
      <c r="R1560" t="s">
        <v>47</v>
      </c>
      <c r="S1560" t="s">
        <v>47</v>
      </c>
      <c r="T1560" t="s">
        <v>47</v>
      </c>
      <c r="U1560" t="s">
        <v>47</v>
      </c>
      <c r="V1560" t="s">
        <v>47</v>
      </c>
      <c r="W1560" s="3">
        <v>40817</v>
      </c>
      <c r="X1560" s="5" t="s">
        <v>50</v>
      </c>
      <c r="Y1560" t="s">
        <v>47</v>
      </c>
      <c r="Z1560" s="3">
        <v>40817</v>
      </c>
      <c r="AA1560" s="5" t="s">
        <v>50</v>
      </c>
      <c r="AB1560" t="s">
        <v>47</v>
      </c>
      <c r="AC1560" s="3">
        <v>40817</v>
      </c>
      <c r="AD1560" s="5" t="s">
        <v>50</v>
      </c>
      <c r="AE1560" t="s">
        <v>47</v>
      </c>
      <c r="AF1560" t="s">
        <v>47</v>
      </c>
      <c r="AG1560" t="s">
        <v>47</v>
      </c>
      <c r="AH1560" t="s">
        <v>47</v>
      </c>
      <c r="AI1560" t="s">
        <v>47</v>
      </c>
      <c r="AJ1560" t="s">
        <v>47</v>
      </c>
      <c r="AK1560" t="s">
        <v>47</v>
      </c>
      <c r="AL1560" t="s">
        <v>47</v>
      </c>
      <c r="AM1560" t="s">
        <v>47</v>
      </c>
      <c r="AN1560" t="s">
        <v>47</v>
      </c>
      <c r="AO1560" s="5" t="s">
        <v>60</v>
      </c>
      <c r="AP1560" s="4" t="s">
        <v>61</v>
      </c>
      <c r="AQ1560" s="4" t="s">
        <v>53</v>
      </c>
      <c r="AR1560" s="4" t="s">
        <v>5920</v>
      </c>
      <c r="AS1560" s="5">
        <v>2026709</v>
      </c>
      <c r="AT1560" t="s">
        <v>47</v>
      </c>
    </row>
    <row r="1561" spans="1:46" ht="78" x14ac:dyDescent="0.3">
      <c r="A1561" s="4" t="s">
        <v>5921</v>
      </c>
      <c r="B1561" t="s">
        <v>47</v>
      </c>
      <c r="C1561" s="4" t="s">
        <v>1064</v>
      </c>
      <c r="D1561" s="4" t="s">
        <v>1065</v>
      </c>
      <c r="E1561" s="4" t="s">
        <v>1066</v>
      </c>
      <c r="F1561" s="5" t="s">
        <v>5922</v>
      </c>
      <c r="G1561" s="5" t="s">
        <v>5923</v>
      </c>
      <c r="H1561" t="s">
        <v>47</v>
      </c>
      <c r="I1561" s="3">
        <v>43466</v>
      </c>
      <c r="J1561" s="5" t="s">
        <v>50</v>
      </c>
      <c r="K1561" t="s">
        <v>47</v>
      </c>
      <c r="L1561" s="5" t="s">
        <v>60</v>
      </c>
      <c r="M1561" s="3">
        <v>43466</v>
      </c>
      <c r="N1561" s="5" t="s">
        <v>50</v>
      </c>
      <c r="O1561" t="s">
        <v>47</v>
      </c>
      <c r="P1561" s="3">
        <v>43466</v>
      </c>
      <c r="Q1561" s="5" t="s">
        <v>50</v>
      </c>
      <c r="R1561" t="s">
        <v>47</v>
      </c>
      <c r="S1561" t="s">
        <v>47</v>
      </c>
      <c r="T1561" t="s">
        <v>47</v>
      </c>
      <c r="U1561" t="s">
        <v>47</v>
      </c>
      <c r="V1561" t="s">
        <v>47</v>
      </c>
      <c r="W1561" s="3">
        <v>43466</v>
      </c>
      <c r="X1561" s="5" t="s">
        <v>50</v>
      </c>
      <c r="Y1561" t="s">
        <v>47</v>
      </c>
      <c r="Z1561" s="3">
        <v>43466</v>
      </c>
      <c r="AA1561" s="5" t="s">
        <v>50</v>
      </c>
      <c r="AB1561" t="s">
        <v>47</v>
      </c>
      <c r="AC1561" s="3">
        <v>43466</v>
      </c>
      <c r="AD1561" s="5" t="s">
        <v>50</v>
      </c>
      <c r="AE1561" t="s">
        <v>47</v>
      </c>
      <c r="AF1561" t="s">
        <v>47</v>
      </c>
      <c r="AG1561" t="s">
        <v>47</v>
      </c>
      <c r="AH1561" t="s">
        <v>47</v>
      </c>
      <c r="AI1561" t="s">
        <v>47</v>
      </c>
      <c r="AJ1561" t="s">
        <v>47</v>
      </c>
      <c r="AK1561" t="s">
        <v>47</v>
      </c>
      <c r="AL1561" t="s">
        <v>47</v>
      </c>
      <c r="AM1561" t="s">
        <v>47</v>
      </c>
      <c r="AN1561" t="s">
        <v>47</v>
      </c>
      <c r="AO1561" s="5" t="s">
        <v>60</v>
      </c>
      <c r="AP1561" s="4" t="s">
        <v>61</v>
      </c>
      <c r="AQ1561" s="4" t="s">
        <v>726</v>
      </c>
      <c r="AR1561" s="4" t="s">
        <v>512</v>
      </c>
      <c r="AS1561" s="5">
        <v>5083799</v>
      </c>
      <c r="AT1561" t="s">
        <v>47</v>
      </c>
    </row>
    <row r="1562" spans="1:46" ht="26" x14ac:dyDescent="0.3">
      <c r="A1562" s="4" t="s">
        <v>5924</v>
      </c>
      <c r="B1562" t="s">
        <v>47</v>
      </c>
      <c r="C1562" s="4" t="s">
        <v>470</v>
      </c>
      <c r="D1562" s="4" t="s">
        <v>748</v>
      </c>
      <c r="E1562" s="4" t="s">
        <v>66</v>
      </c>
      <c r="F1562" s="5" t="s">
        <v>5925</v>
      </c>
      <c r="G1562" s="5" t="s">
        <v>5926</v>
      </c>
      <c r="H1562" t="s">
        <v>47</v>
      </c>
      <c r="I1562" t="s">
        <v>47</v>
      </c>
      <c r="J1562" t="s">
        <v>47</v>
      </c>
      <c r="K1562" t="s">
        <v>47</v>
      </c>
      <c r="L1562" s="5" t="s">
        <v>60</v>
      </c>
      <c r="M1562" t="s">
        <v>47</v>
      </c>
      <c r="N1562" t="s">
        <v>47</v>
      </c>
      <c r="O1562" t="s">
        <v>47</v>
      </c>
      <c r="P1562" t="s">
        <v>47</v>
      </c>
      <c r="Q1562" t="s">
        <v>47</v>
      </c>
      <c r="R1562" t="s">
        <v>47</v>
      </c>
      <c r="S1562" t="s">
        <v>47</v>
      </c>
      <c r="T1562" t="s">
        <v>47</v>
      </c>
      <c r="U1562" t="s">
        <v>47</v>
      </c>
      <c r="V1562" t="s">
        <v>47</v>
      </c>
      <c r="W1562" s="3">
        <v>36586</v>
      </c>
      <c r="X1562" s="3">
        <v>40057</v>
      </c>
      <c r="Y1562" t="s">
        <v>47</v>
      </c>
      <c r="Z1562" s="3">
        <v>36586</v>
      </c>
      <c r="AA1562" s="3">
        <v>40057</v>
      </c>
      <c r="AB1562" t="s">
        <v>47</v>
      </c>
      <c r="AC1562" s="3">
        <v>36586</v>
      </c>
      <c r="AD1562" s="3">
        <v>40057</v>
      </c>
      <c r="AE1562" t="s">
        <v>47</v>
      </c>
      <c r="AF1562" t="s">
        <v>47</v>
      </c>
      <c r="AG1562" t="s">
        <v>47</v>
      </c>
      <c r="AH1562" t="s">
        <v>47</v>
      </c>
      <c r="AI1562" t="s">
        <v>47</v>
      </c>
      <c r="AJ1562" t="s">
        <v>47</v>
      </c>
      <c r="AK1562" t="s">
        <v>47</v>
      </c>
      <c r="AL1562" t="s">
        <v>47</v>
      </c>
      <c r="AM1562" t="s">
        <v>47</v>
      </c>
      <c r="AN1562" t="s">
        <v>47</v>
      </c>
      <c r="AO1562" s="5" t="s">
        <v>60</v>
      </c>
      <c r="AP1562" s="4" t="s">
        <v>61</v>
      </c>
      <c r="AQ1562" s="4" t="s">
        <v>53</v>
      </c>
      <c r="AR1562" s="4" t="s">
        <v>389</v>
      </c>
      <c r="AS1562" s="5">
        <v>36883</v>
      </c>
      <c r="AT1562" t="s">
        <v>47</v>
      </c>
    </row>
    <row r="1563" spans="1:46" ht="26" x14ac:dyDescent="0.3">
      <c r="A1563" s="4" t="s">
        <v>5927</v>
      </c>
      <c r="B1563" t="s">
        <v>47</v>
      </c>
      <c r="C1563" s="4" t="s">
        <v>2271</v>
      </c>
      <c r="D1563" s="4" t="s">
        <v>223</v>
      </c>
      <c r="E1563" s="4" t="s">
        <v>49</v>
      </c>
      <c r="F1563" s="5" t="s">
        <v>5928</v>
      </c>
      <c r="G1563" t="s">
        <v>47</v>
      </c>
      <c r="H1563" t="s">
        <v>47</v>
      </c>
      <c r="I1563" s="3">
        <v>36312</v>
      </c>
      <c r="J1563" s="3">
        <v>40269</v>
      </c>
      <c r="K1563" t="s">
        <v>47</v>
      </c>
      <c r="L1563" s="5" t="s">
        <v>51</v>
      </c>
      <c r="M1563" s="3">
        <v>36312</v>
      </c>
      <c r="N1563" s="3">
        <v>40269</v>
      </c>
      <c r="O1563" t="s">
        <v>47</v>
      </c>
      <c r="P1563" s="3">
        <v>36312</v>
      </c>
      <c r="Q1563" s="3">
        <v>40269</v>
      </c>
      <c r="R1563" t="s">
        <v>47</v>
      </c>
      <c r="S1563" t="s">
        <v>47</v>
      </c>
      <c r="T1563" t="s">
        <v>47</v>
      </c>
      <c r="U1563" t="s">
        <v>47</v>
      </c>
      <c r="V1563" t="s">
        <v>47</v>
      </c>
      <c r="W1563" s="3">
        <v>35034</v>
      </c>
      <c r="X1563" s="5" t="s">
        <v>50</v>
      </c>
      <c r="Y1563" t="s">
        <v>47</v>
      </c>
      <c r="Z1563" s="3">
        <v>35034</v>
      </c>
      <c r="AA1563" s="5" t="s">
        <v>50</v>
      </c>
      <c r="AB1563" t="s">
        <v>47</v>
      </c>
      <c r="AC1563" s="3">
        <v>36739</v>
      </c>
      <c r="AD1563" s="5" t="s">
        <v>50</v>
      </c>
      <c r="AE1563" t="s">
        <v>47</v>
      </c>
      <c r="AF1563" t="s">
        <v>47</v>
      </c>
      <c r="AG1563" t="s">
        <v>47</v>
      </c>
      <c r="AH1563" t="s">
        <v>47</v>
      </c>
      <c r="AI1563" t="s">
        <v>47</v>
      </c>
      <c r="AJ1563" t="s">
        <v>47</v>
      </c>
      <c r="AK1563" t="s">
        <v>47</v>
      </c>
      <c r="AL1563" t="s">
        <v>47</v>
      </c>
      <c r="AM1563" t="s">
        <v>47</v>
      </c>
      <c r="AN1563" t="s">
        <v>47</v>
      </c>
      <c r="AO1563" s="5" t="s">
        <v>51</v>
      </c>
      <c r="AP1563" s="4" t="s">
        <v>85</v>
      </c>
      <c r="AQ1563" s="4" t="s">
        <v>53</v>
      </c>
      <c r="AR1563" s="4" t="s">
        <v>395</v>
      </c>
      <c r="AS1563" s="5">
        <v>33887</v>
      </c>
      <c r="AT1563" t="s">
        <v>47</v>
      </c>
    </row>
    <row r="1564" spans="1:46" ht="65" x14ac:dyDescent="0.3">
      <c r="A1564" s="4" t="s">
        <v>5929</v>
      </c>
      <c r="B1564" t="s">
        <v>47</v>
      </c>
      <c r="C1564" s="4" t="s">
        <v>5930</v>
      </c>
      <c r="D1564" s="4" t="s">
        <v>5931</v>
      </c>
      <c r="E1564" s="4" t="s">
        <v>49</v>
      </c>
      <c r="F1564" s="5" t="s">
        <v>5932</v>
      </c>
      <c r="G1564" t="s">
        <v>47</v>
      </c>
      <c r="H1564" t="s">
        <v>47</v>
      </c>
      <c r="I1564" s="3">
        <v>34335</v>
      </c>
      <c r="J1564" s="3">
        <v>39203</v>
      </c>
      <c r="K1564" t="s">
        <v>47</v>
      </c>
      <c r="L1564" s="5" t="s">
        <v>51</v>
      </c>
      <c r="M1564" s="3">
        <v>34335</v>
      </c>
      <c r="N1564" s="3">
        <v>39203</v>
      </c>
      <c r="O1564" t="s">
        <v>47</v>
      </c>
      <c r="P1564" s="3">
        <v>34759</v>
      </c>
      <c r="Q1564" s="3">
        <v>39203</v>
      </c>
      <c r="R1564" t="s">
        <v>47</v>
      </c>
      <c r="S1564" t="s">
        <v>47</v>
      </c>
      <c r="T1564" t="s">
        <v>47</v>
      </c>
      <c r="U1564" t="s">
        <v>47</v>
      </c>
      <c r="V1564" t="s">
        <v>47</v>
      </c>
      <c r="W1564" s="3">
        <v>33604</v>
      </c>
      <c r="X1564" s="3">
        <v>39203</v>
      </c>
      <c r="Y1564" t="s">
        <v>47</v>
      </c>
      <c r="Z1564" s="3">
        <v>33604</v>
      </c>
      <c r="AA1564" s="3">
        <v>39203</v>
      </c>
      <c r="AB1564" t="s">
        <v>47</v>
      </c>
      <c r="AC1564" s="3">
        <v>33604</v>
      </c>
      <c r="AD1564" s="3">
        <v>39203</v>
      </c>
      <c r="AE1564" t="s">
        <v>47</v>
      </c>
      <c r="AF1564" t="s">
        <v>47</v>
      </c>
      <c r="AG1564" t="s">
        <v>47</v>
      </c>
      <c r="AH1564" t="s">
        <v>47</v>
      </c>
      <c r="AI1564" t="s">
        <v>47</v>
      </c>
      <c r="AJ1564" t="s">
        <v>47</v>
      </c>
      <c r="AK1564" t="s">
        <v>47</v>
      </c>
      <c r="AL1564" t="s">
        <v>47</v>
      </c>
      <c r="AM1564" t="s">
        <v>47</v>
      </c>
      <c r="AN1564" t="s">
        <v>47</v>
      </c>
      <c r="AO1564" s="5" t="s">
        <v>51</v>
      </c>
      <c r="AP1564" s="4" t="s">
        <v>85</v>
      </c>
      <c r="AQ1564" s="4" t="s">
        <v>53</v>
      </c>
      <c r="AR1564" s="4" t="s">
        <v>543</v>
      </c>
      <c r="AS1564" s="5">
        <v>48786</v>
      </c>
      <c r="AT1564" t="s">
        <v>47</v>
      </c>
    </row>
    <row r="1565" spans="1:46" ht="65" x14ac:dyDescent="0.3">
      <c r="A1565" s="4" t="s">
        <v>5933</v>
      </c>
      <c r="B1565" t="s">
        <v>47</v>
      </c>
      <c r="C1565" s="4" t="s">
        <v>682</v>
      </c>
      <c r="D1565" s="4" t="s">
        <v>5934</v>
      </c>
      <c r="E1565" s="4" t="s">
        <v>58</v>
      </c>
      <c r="F1565" s="5" t="s">
        <v>5935</v>
      </c>
      <c r="G1565" s="5" t="s">
        <v>5936</v>
      </c>
      <c r="H1565" t="s">
        <v>47</v>
      </c>
      <c r="I1565" s="3">
        <v>38322</v>
      </c>
      <c r="J1565" s="5" t="s">
        <v>50</v>
      </c>
      <c r="K1565" t="s">
        <v>47</v>
      </c>
      <c r="L1565" s="5" t="s">
        <v>60</v>
      </c>
      <c r="M1565" s="3">
        <v>38322</v>
      </c>
      <c r="N1565" s="3">
        <v>38899</v>
      </c>
      <c r="O1565" t="s">
        <v>47</v>
      </c>
      <c r="P1565" s="3">
        <v>38322</v>
      </c>
      <c r="Q1565" s="5" t="s">
        <v>50</v>
      </c>
      <c r="R1565" t="s">
        <v>47</v>
      </c>
      <c r="S1565" t="s">
        <v>47</v>
      </c>
      <c r="T1565" t="s">
        <v>47</v>
      </c>
      <c r="U1565" t="s">
        <v>47</v>
      </c>
      <c r="V1565" t="s">
        <v>47</v>
      </c>
      <c r="W1565" s="3">
        <v>38322</v>
      </c>
      <c r="X1565" s="5" t="s">
        <v>50</v>
      </c>
      <c r="Y1565" t="s">
        <v>47</v>
      </c>
      <c r="Z1565" s="3">
        <v>38322</v>
      </c>
      <c r="AA1565" s="5" t="s">
        <v>50</v>
      </c>
      <c r="AB1565" t="s">
        <v>47</v>
      </c>
      <c r="AC1565" s="3">
        <v>43891</v>
      </c>
      <c r="AD1565" s="5" t="s">
        <v>50</v>
      </c>
      <c r="AE1565" t="s">
        <v>47</v>
      </c>
      <c r="AF1565" t="s">
        <v>47</v>
      </c>
      <c r="AG1565" t="s">
        <v>47</v>
      </c>
      <c r="AH1565" t="s">
        <v>47</v>
      </c>
      <c r="AI1565" t="s">
        <v>47</v>
      </c>
      <c r="AJ1565" t="s">
        <v>47</v>
      </c>
      <c r="AK1565" t="s">
        <v>47</v>
      </c>
      <c r="AL1565" t="s">
        <v>47</v>
      </c>
      <c r="AM1565" t="s">
        <v>47</v>
      </c>
      <c r="AN1565" t="s">
        <v>47</v>
      </c>
      <c r="AO1565" s="5" t="s">
        <v>60</v>
      </c>
      <c r="AP1565" s="4" t="s">
        <v>61</v>
      </c>
      <c r="AQ1565" s="4" t="s">
        <v>53</v>
      </c>
      <c r="AR1565" s="4" t="s">
        <v>543</v>
      </c>
      <c r="AS1565" s="5">
        <v>29558</v>
      </c>
      <c r="AT1565" t="s">
        <v>47</v>
      </c>
    </row>
    <row r="1566" spans="1:46" ht="78" x14ac:dyDescent="0.3">
      <c r="A1566" s="4" t="s">
        <v>5937</v>
      </c>
      <c r="B1566" t="s">
        <v>47</v>
      </c>
      <c r="C1566" s="4" t="s">
        <v>411</v>
      </c>
      <c r="D1566" s="4" t="s">
        <v>1297</v>
      </c>
      <c r="E1566" s="4" t="s">
        <v>49</v>
      </c>
      <c r="F1566" s="5" t="s">
        <v>5938</v>
      </c>
      <c r="G1566" s="5" t="s">
        <v>5939</v>
      </c>
      <c r="H1566" t="s">
        <v>47</v>
      </c>
      <c r="I1566" s="3">
        <v>35521</v>
      </c>
      <c r="J1566" s="3">
        <v>41365</v>
      </c>
      <c r="K1566" t="s">
        <v>47</v>
      </c>
      <c r="L1566" s="5" t="s">
        <v>60</v>
      </c>
      <c r="M1566" s="3">
        <v>35521</v>
      </c>
      <c r="N1566" s="3">
        <v>41365</v>
      </c>
      <c r="O1566" t="s">
        <v>47</v>
      </c>
      <c r="P1566" s="3">
        <v>35521</v>
      </c>
      <c r="Q1566" s="3">
        <v>41365</v>
      </c>
      <c r="R1566" t="s">
        <v>47</v>
      </c>
      <c r="S1566" t="s">
        <v>47</v>
      </c>
      <c r="T1566" t="s">
        <v>47</v>
      </c>
      <c r="U1566" t="s">
        <v>47</v>
      </c>
      <c r="V1566" t="s">
        <v>47</v>
      </c>
      <c r="W1566" s="3">
        <v>35521</v>
      </c>
      <c r="X1566" s="5" t="s">
        <v>50</v>
      </c>
      <c r="Y1566" t="s">
        <v>47</v>
      </c>
      <c r="Z1566" s="3">
        <v>35521</v>
      </c>
      <c r="AA1566" s="5" t="s">
        <v>50</v>
      </c>
      <c r="AB1566" t="s">
        <v>47</v>
      </c>
      <c r="AC1566" s="3">
        <v>35521</v>
      </c>
      <c r="AD1566" s="5" t="s">
        <v>50</v>
      </c>
      <c r="AE1566" t="s">
        <v>47</v>
      </c>
      <c r="AF1566" t="s">
        <v>47</v>
      </c>
      <c r="AG1566" t="s">
        <v>47</v>
      </c>
      <c r="AH1566" t="s">
        <v>47</v>
      </c>
      <c r="AI1566" t="s">
        <v>47</v>
      </c>
      <c r="AJ1566" t="s">
        <v>47</v>
      </c>
      <c r="AK1566" t="s">
        <v>47</v>
      </c>
      <c r="AL1566" t="s">
        <v>47</v>
      </c>
      <c r="AM1566" t="s">
        <v>47</v>
      </c>
      <c r="AN1566" t="s">
        <v>47</v>
      </c>
      <c r="AO1566" s="5" t="s">
        <v>60</v>
      </c>
      <c r="AP1566" s="4" t="s">
        <v>61</v>
      </c>
      <c r="AQ1566" s="4" t="s">
        <v>53</v>
      </c>
      <c r="AR1566" s="4" t="s">
        <v>5940</v>
      </c>
      <c r="AS1566" s="5">
        <v>37846</v>
      </c>
      <c r="AT1566" t="s">
        <v>47</v>
      </c>
    </row>
    <row r="1567" spans="1:46" ht="91" x14ac:dyDescent="0.3">
      <c r="A1567" s="4" t="s">
        <v>5941</v>
      </c>
      <c r="B1567" t="s">
        <v>47</v>
      </c>
      <c r="C1567" s="4" t="s">
        <v>93</v>
      </c>
      <c r="D1567" s="4" t="s">
        <v>748</v>
      </c>
      <c r="E1567" s="4" t="s">
        <v>49</v>
      </c>
      <c r="F1567" s="5" t="s">
        <v>5942</v>
      </c>
      <c r="G1567" s="5" t="s">
        <v>5943</v>
      </c>
      <c r="H1567" t="s">
        <v>47</v>
      </c>
      <c r="I1567" t="s">
        <v>47</v>
      </c>
      <c r="J1567" t="s">
        <v>47</v>
      </c>
      <c r="K1567" t="s">
        <v>47</v>
      </c>
      <c r="L1567" s="5" t="s">
        <v>60</v>
      </c>
      <c r="M1567" t="s">
        <v>47</v>
      </c>
      <c r="N1567" t="s">
        <v>47</v>
      </c>
      <c r="O1567" t="s">
        <v>47</v>
      </c>
      <c r="P1567" t="s">
        <v>47</v>
      </c>
      <c r="Q1567" t="s">
        <v>47</v>
      </c>
      <c r="R1567" t="s">
        <v>47</v>
      </c>
      <c r="S1567" t="s">
        <v>47</v>
      </c>
      <c r="T1567" t="s">
        <v>47</v>
      </c>
      <c r="U1567" t="s">
        <v>47</v>
      </c>
      <c r="V1567" t="s">
        <v>47</v>
      </c>
      <c r="W1567" s="3">
        <v>41000</v>
      </c>
      <c r="X1567" s="5" t="s">
        <v>50</v>
      </c>
      <c r="Y1567" t="s">
        <v>47</v>
      </c>
      <c r="Z1567" s="3">
        <v>41000</v>
      </c>
      <c r="AA1567" s="5" t="s">
        <v>50</v>
      </c>
      <c r="AB1567" t="s">
        <v>47</v>
      </c>
      <c r="AC1567" s="3">
        <v>41000</v>
      </c>
      <c r="AD1567" s="5" t="s">
        <v>50</v>
      </c>
      <c r="AE1567" t="s">
        <v>47</v>
      </c>
      <c r="AF1567" t="s">
        <v>47</v>
      </c>
      <c r="AG1567" t="s">
        <v>47</v>
      </c>
      <c r="AH1567" t="s">
        <v>47</v>
      </c>
      <c r="AI1567" t="s">
        <v>47</v>
      </c>
      <c r="AJ1567" t="s">
        <v>47</v>
      </c>
      <c r="AK1567" t="s">
        <v>47</v>
      </c>
      <c r="AL1567" t="s">
        <v>47</v>
      </c>
      <c r="AM1567" t="s">
        <v>47</v>
      </c>
      <c r="AN1567" t="s">
        <v>47</v>
      </c>
      <c r="AO1567" s="5" t="s">
        <v>60</v>
      </c>
      <c r="AP1567" s="4" t="s">
        <v>61</v>
      </c>
      <c r="AQ1567" s="4" t="s">
        <v>53</v>
      </c>
      <c r="AR1567" s="4" t="s">
        <v>5944</v>
      </c>
      <c r="AS1567" s="5">
        <v>1096373</v>
      </c>
      <c r="AT1567" t="s">
        <v>47</v>
      </c>
    </row>
    <row r="1568" spans="1:46" ht="130" x14ac:dyDescent="0.3">
      <c r="A1568" s="4" t="s">
        <v>5945</v>
      </c>
      <c r="B1568" t="s">
        <v>47</v>
      </c>
      <c r="C1568" s="4" t="s">
        <v>200</v>
      </c>
      <c r="D1568" s="4" t="s">
        <v>748</v>
      </c>
      <c r="E1568" s="4" t="s">
        <v>66</v>
      </c>
      <c r="F1568" s="5" t="s">
        <v>5946</v>
      </c>
      <c r="G1568" s="5" t="s">
        <v>5947</v>
      </c>
      <c r="H1568" t="s">
        <v>47</v>
      </c>
      <c r="I1568" t="s">
        <v>47</v>
      </c>
      <c r="J1568" t="s">
        <v>47</v>
      </c>
      <c r="K1568" t="s">
        <v>47</v>
      </c>
      <c r="L1568" s="5" t="s">
        <v>60</v>
      </c>
      <c r="M1568" t="s">
        <v>47</v>
      </c>
      <c r="N1568" t="s">
        <v>47</v>
      </c>
      <c r="O1568" t="s">
        <v>47</v>
      </c>
      <c r="P1568" t="s">
        <v>47</v>
      </c>
      <c r="Q1568" t="s">
        <v>47</v>
      </c>
      <c r="R1568" t="s">
        <v>47</v>
      </c>
      <c r="S1568" t="s">
        <v>47</v>
      </c>
      <c r="T1568" t="s">
        <v>47</v>
      </c>
      <c r="U1568" t="s">
        <v>47</v>
      </c>
      <c r="V1568" t="s">
        <v>47</v>
      </c>
      <c r="W1568" s="3">
        <v>38261</v>
      </c>
      <c r="X1568" s="5" t="s">
        <v>50</v>
      </c>
      <c r="Y1568" t="s">
        <v>47</v>
      </c>
      <c r="Z1568" s="3">
        <v>38261</v>
      </c>
      <c r="AA1568" s="5" t="s">
        <v>50</v>
      </c>
      <c r="AB1568" t="s">
        <v>47</v>
      </c>
      <c r="AC1568" s="3">
        <v>38261</v>
      </c>
      <c r="AD1568" s="5" t="s">
        <v>50</v>
      </c>
      <c r="AE1568" t="s">
        <v>47</v>
      </c>
      <c r="AF1568" t="s">
        <v>47</v>
      </c>
      <c r="AG1568" t="s">
        <v>47</v>
      </c>
      <c r="AH1568" t="s">
        <v>47</v>
      </c>
      <c r="AI1568" t="s">
        <v>47</v>
      </c>
      <c r="AJ1568" t="s">
        <v>47</v>
      </c>
      <c r="AK1568" t="s">
        <v>47</v>
      </c>
      <c r="AL1568" t="s">
        <v>47</v>
      </c>
      <c r="AM1568" t="s">
        <v>47</v>
      </c>
      <c r="AN1568" t="s">
        <v>47</v>
      </c>
      <c r="AO1568" s="5" t="s">
        <v>60</v>
      </c>
      <c r="AP1568" s="4" t="s">
        <v>61</v>
      </c>
      <c r="AQ1568" s="4" t="s">
        <v>53</v>
      </c>
      <c r="AR1568" s="4" t="s">
        <v>5948</v>
      </c>
      <c r="AS1568" s="5">
        <v>33141</v>
      </c>
      <c r="AT1568" t="s">
        <v>47</v>
      </c>
    </row>
    <row r="1569" spans="1:46" ht="26" x14ac:dyDescent="0.3">
      <c r="A1569" s="4" t="s">
        <v>5949</v>
      </c>
      <c r="B1569" t="s">
        <v>47</v>
      </c>
      <c r="C1569" s="4" t="s">
        <v>5950</v>
      </c>
      <c r="D1569" s="4" t="s">
        <v>88</v>
      </c>
      <c r="E1569" s="4" t="s">
        <v>49</v>
      </c>
      <c r="F1569" s="5" t="s">
        <v>5951</v>
      </c>
      <c r="G1569" t="s">
        <v>47</v>
      </c>
      <c r="H1569" t="s">
        <v>47</v>
      </c>
      <c r="I1569" s="3">
        <v>40817</v>
      </c>
      <c r="J1569" s="5" t="s">
        <v>50</v>
      </c>
      <c r="K1569" t="s">
        <v>47</v>
      </c>
      <c r="L1569" s="5" t="s">
        <v>51</v>
      </c>
      <c r="M1569" s="3">
        <v>40817</v>
      </c>
      <c r="N1569" s="5" t="s">
        <v>50</v>
      </c>
      <c r="O1569" t="s">
        <v>47</v>
      </c>
      <c r="P1569" s="3">
        <v>40817</v>
      </c>
      <c r="Q1569" s="5" t="s">
        <v>50</v>
      </c>
      <c r="R1569" t="s">
        <v>47</v>
      </c>
      <c r="S1569" t="s">
        <v>47</v>
      </c>
      <c r="T1569" t="s">
        <v>47</v>
      </c>
      <c r="U1569" t="s">
        <v>47</v>
      </c>
      <c r="V1569" t="s">
        <v>47</v>
      </c>
      <c r="W1569" s="3">
        <v>40817</v>
      </c>
      <c r="X1569" s="5" t="s">
        <v>50</v>
      </c>
      <c r="Y1569" t="s">
        <v>47</v>
      </c>
      <c r="Z1569" s="3">
        <v>40817</v>
      </c>
      <c r="AA1569" s="5" t="s">
        <v>50</v>
      </c>
      <c r="AB1569" t="s">
        <v>47</v>
      </c>
      <c r="AC1569" s="3">
        <v>40817</v>
      </c>
      <c r="AD1569" s="5" t="s">
        <v>50</v>
      </c>
      <c r="AE1569" t="s">
        <v>47</v>
      </c>
      <c r="AF1569" t="s">
        <v>47</v>
      </c>
      <c r="AG1569" t="s">
        <v>47</v>
      </c>
      <c r="AH1569" t="s">
        <v>47</v>
      </c>
      <c r="AI1569" t="s">
        <v>47</v>
      </c>
      <c r="AJ1569" t="s">
        <v>47</v>
      </c>
      <c r="AK1569" t="s">
        <v>47</v>
      </c>
      <c r="AL1569" t="s">
        <v>47</v>
      </c>
      <c r="AM1569" t="s">
        <v>47</v>
      </c>
      <c r="AN1569" t="s">
        <v>47</v>
      </c>
      <c r="AO1569" s="5" t="s">
        <v>51</v>
      </c>
      <c r="AP1569" s="4" t="s">
        <v>85</v>
      </c>
      <c r="AQ1569" s="4" t="s">
        <v>53</v>
      </c>
      <c r="AR1569" s="4" t="s">
        <v>54</v>
      </c>
      <c r="AS1569" s="5">
        <v>2027470</v>
      </c>
      <c r="AT1569" t="s">
        <v>47</v>
      </c>
    </row>
    <row r="1570" spans="1:46" ht="65" x14ac:dyDescent="0.3">
      <c r="A1570" s="4" t="s">
        <v>5952</v>
      </c>
      <c r="B1570" t="s">
        <v>47</v>
      </c>
      <c r="C1570" s="4" t="s">
        <v>183</v>
      </c>
      <c r="D1570" s="4" t="s">
        <v>333</v>
      </c>
      <c r="E1570" s="4" t="s">
        <v>49</v>
      </c>
      <c r="F1570" s="5" t="s">
        <v>5953</v>
      </c>
      <c r="G1570" t="s">
        <v>47</v>
      </c>
      <c r="H1570" t="s">
        <v>47</v>
      </c>
      <c r="I1570" t="s">
        <v>47</v>
      </c>
      <c r="J1570" t="s">
        <v>47</v>
      </c>
      <c r="K1570" t="s">
        <v>47</v>
      </c>
      <c r="L1570" s="5" t="s">
        <v>60</v>
      </c>
      <c r="M1570" t="s">
        <v>47</v>
      </c>
      <c r="N1570" t="s">
        <v>47</v>
      </c>
      <c r="O1570" t="s">
        <v>47</v>
      </c>
      <c r="P1570" t="s">
        <v>47</v>
      </c>
      <c r="Q1570" t="s">
        <v>47</v>
      </c>
      <c r="R1570" t="s">
        <v>47</v>
      </c>
      <c r="S1570" t="s">
        <v>47</v>
      </c>
      <c r="T1570" t="s">
        <v>47</v>
      </c>
      <c r="U1570" t="s">
        <v>47</v>
      </c>
      <c r="V1570" t="s">
        <v>47</v>
      </c>
      <c r="W1570" s="3">
        <v>35156</v>
      </c>
      <c r="X1570" s="3">
        <v>37073</v>
      </c>
      <c r="Y1570" t="s">
        <v>47</v>
      </c>
      <c r="Z1570" s="3">
        <v>35156</v>
      </c>
      <c r="AA1570" s="3">
        <v>37073</v>
      </c>
      <c r="AB1570" t="s">
        <v>47</v>
      </c>
      <c r="AC1570" s="3">
        <v>35156</v>
      </c>
      <c r="AD1570" s="3">
        <v>37073</v>
      </c>
      <c r="AE1570" t="s">
        <v>47</v>
      </c>
      <c r="AF1570" t="s">
        <v>47</v>
      </c>
      <c r="AG1570" t="s">
        <v>47</v>
      </c>
      <c r="AH1570" t="s">
        <v>47</v>
      </c>
      <c r="AI1570" t="s">
        <v>47</v>
      </c>
      <c r="AJ1570" t="s">
        <v>47</v>
      </c>
      <c r="AK1570" t="s">
        <v>47</v>
      </c>
      <c r="AL1570" t="s">
        <v>47</v>
      </c>
      <c r="AM1570" t="s">
        <v>47</v>
      </c>
      <c r="AN1570" t="s">
        <v>47</v>
      </c>
      <c r="AO1570" s="5" t="s">
        <v>51</v>
      </c>
      <c r="AP1570" s="4" t="s">
        <v>61</v>
      </c>
      <c r="AQ1570" s="4" t="s">
        <v>53</v>
      </c>
      <c r="AR1570" s="4" t="s">
        <v>543</v>
      </c>
      <c r="AS1570" s="5">
        <v>12195</v>
      </c>
      <c r="AT1570" t="s">
        <v>47</v>
      </c>
    </row>
    <row r="1571" spans="1:46" ht="78" x14ac:dyDescent="0.3">
      <c r="A1571" s="4" t="s">
        <v>5954</v>
      </c>
      <c r="B1571" t="s">
        <v>47</v>
      </c>
      <c r="C1571" s="4" t="s">
        <v>5955</v>
      </c>
      <c r="D1571" s="4" t="s">
        <v>88</v>
      </c>
      <c r="E1571" s="4" t="s">
        <v>66</v>
      </c>
      <c r="F1571" s="5" t="s">
        <v>5956</v>
      </c>
      <c r="G1571" t="s">
        <v>47</v>
      </c>
      <c r="H1571" t="s">
        <v>47</v>
      </c>
      <c r="I1571" s="3">
        <v>44228</v>
      </c>
      <c r="J1571" s="5" t="s">
        <v>50</v>
      </c>
      <c r="K1571" t="s">
        <v>47</v>
      </c>
      <c r="L1571" s="5" t="s">
        <v>60</v>
      </c>
      <c r="M1571" s="3">
        <v>44228</v>
      </c>
      <c r="N1571" s="5" t="s">
        <v>50</v>
      </c>
      <c r="O1571" t="s">
        <v>47</v>
      </c>
      <c r="P1571" s="3">
        <v>44228</v>
      </c>
      <c r="Q1571" s="5" t="s">
        <v>50</v>
      </c>
      <c r="R1571" t="s">
        <v>47</v>
      </c>
      <c r="S1571" t="s">
        <v>47</v>
      </c>
      <c r="T1571" t="s">
        <v>47</v>
      </c>
      <c r="U1571" t="s">
        <v>47</v>
      </c>
      <c r="V1571" t="s">
        <v>47</v>
      </c>
      <c r="W1571" s="3">
        <v>44228</v>
      </c>
      <c r="X1571" s="5" t="s">
        <v>50</v>
      </c>
      <c r="Y1571" t="s">
        <v>47</v>
      </c>
      <c r="Z1571" s="3">
        <v>44228</v>
      </c>
      <c r="AA1571" s="5" t="s">
        <v>50</v>
      </c>
      <c r="AB1571" t="s">
        <v>47</v>
      </c>
      <c r="AC1571" t="s">
        <v>47</v>
      </c>
      <c r="AD1571" t="s">
        <v>47</v>
      </c>
      <c r="AE1571" t="s">
        <v>47</v>
      </c>
      <c r="AF1571" t="s">
        <v>47</v>
      </c>
      <c r="AG1571" t="s">
        <v>47</v>
      </c>
      <c r="AH1571" t="s">
        <v>47</v>
      </c>
      <c r="AI1571" t="s">
        <v>47</v>
      </c>
      <c r="AJ1571" t="s">
        <v>47</v>
      </c>
      <c r="AK1571" t="s">
        <v>47</v>
      </c>
      <c r="AL1571" t="s">
        <v>47</v>
      </c>
      <c r="AM1571" t="s">
        <v>47</v>
      </c>
      <c r="AN1571" t="s">
        <v>47</v>
      </c>
      <c r="AO1571" s="5" t="s">
        <v>51</v>
      </c>
      <c r="AP1571" s="4" t="s">
        <v>61</v>
      </c>
      <c r="AQ1571" s="4" t="s">
        <v>53</v>
      </c>
      <c r="AR1571" s="4" t="s">
        <v>436</v>
      </c>
      <c r="AS1571" s="5">
        <v>6693395</v>
      </c>
      <c r="AT1571" t="s">
        <v>47</v>
      </c>
    </row>
    <row r="1572" spans="1:46" ht="78" x14ac:dyDescent="0.3">
      <c r="A1572" s="4" t="s">
        <v>5957</v>
      </c>
      <c r="B1572" t="s">
        <v>47</v>
      </c>
      <c r="C1572" s="4" t="s">
        <v>193</v>
      </c>
      <c r="D1572" s="4" t="s">
        <v>194</v>
      </c>
      <c r="E1572" s="4" t="s">
        <v>195</v>
      </c>
      <c r="F1572" t="s">
        <v>47</v>
      </c>
      <c r="G1572" s="5" t="s">
        <v>5958</v>
      </c>
      <c r="H1572" t="s">
        <v>47</v>
      </c>
      <c r="I1572" s="3">
        <v>42412</v>
      </c>
      <c r="J1572" s="5" t="s">
        <v>50</v>
      </c>
      <c r="K1572" t="s">
        <v>47</v>
      </c>
      <c r="L1572" s="5" t="s">
        <v>51</v>
      </c>
      <c r="M1572" t="s">
        <v>47</v>
      </c>
      <c r="N1572" t="s">
        <v>47</v>
      </c>
      <c r="O1572" t="s">
        <v>47</v>
      </c>
      <c r="P1572" s="3">
        <v>42412</v>
      </c>
      <c r="Q1572" s="5" t="s">
        <v>50</v>
      </c>
      <c r="R1572" t="s">
        <v>47</v>
      </c>
      <c r="S1572" t="s">
        <v>47</v>
      </c>
      <c r="T1572" t="s">
        <v>47</v>
      </c>
      <c r="U1572" t="s">
        <v>47</v>
      </c>
      <c r="V1572" s="5">
        <v>180</v>
      </c>
      <c r="W1572" s="3">
        <v>42412</v>
      </c>
      <c r="X1572" s="5" t="s">
        <v>50</v>
      </c>
      <c r="Y1572" t="s">
        <v>47</v>
      </c>
      <c r="Z1572" s="3">
        <v>42412</v>
      </c>
      <c r="AA1572" s="5" t="s">
        <v>50</v>
      </c>
      <c r="AB1572" t="s">
        <v>47</v>
      </c>
      <c r="AC1572" s="3">
        <v>42412</v>
      </c>
      <c r="AD1572" s="5" t="s">
        <v>50</v>
      </c>
      <c r="AE1572" t="s">
        <v>47</v>
      </c>
      <c r="AF1572" t="s">
        <v>47</v>
      </c>
      <c r="AG1572" t="s">
        <v>47</v>
      </c>
      <c r="AH1572" t="s">
        <v>47</v>
      </c>
      <c r="AI1572" t="s">
        <v>47</v>
      </c>
      <c r="AJ1572" t="s">
        <v>47</v>
      </c>
      <c r="AK1572" t="s">
        <v>47</v>
      </c>
      <c r="AL1572" t="s">
        <v>47</v>
      </c>
      <c r="AM1572" t="s">
        <v>47</v>
      </c>
      <c r="AN1572" t="s">
        <v>47</v>
      </c>
      <c r="AO1572" s="5" t="s">
        <v>51</v>
      </c>
      <c r="AP1572" s="4" t="s">
        <v>197</v>
      </c>
      <c r="AQ1572" s="4" t="s">
        <v>198</v>
      </c>
      <c r="AR1572" s="4" t="s">
        <v>595</v>
      </c>
      <c r="AS1572" s="5">
        <v>6245991</v>
      </c>
      <c r="AT1572" t="s">
        <v>47</v>
      </c>
    </row>
    <row r="1573" spans="1:46" ht="78" x14ac:dyDescent="0.3">
      <c r="A1573" s="4" t="s">
        <v>5959</v>
      </c>
      <c r="B1573" t="s">
        <v>47</v>
      </c>
      <c r="C1573" s="4" t="s">
        <v>169</v>
      </c>
      <c r="D1573" s="4" t="s">
        <v>319</v>
      </c>
      <c r="E1573" s="4" t="s">
        <v>66</v>
      </c>
      <c r="F1573" s="5" t="s">
        <v>5960</v>
      </c>
      <c r="G1573" s="5" t="s">
        <v>5961</v>
      </c>
      <c r="H1573" t="s">
        <v>47</v>
      </c>
      <c r="I1573" t="s">
        <v>47</v>
      </c>
      <c r="J1573" t="s">
        <v>47</v>
      </c>
      <c r="K1573" t="s">
        <v>47</v>
      </c>
      <c r="L1573" s="5" t="s">
        <v>60</v>
      </c>
      <c r="M1573" t="s">
        <v>47</v>
      </c>
      <c r="N1573" t="s">
        <v>47</v>
      </c>
      <c r="O1573" t="s">
        <v>47</v>
      </c>
      <c r="P1573" t="s">
        <v>47</v>
      </c>
      <c r="Q1573" t="s">
        <v>47</v>
      </c>
      <c r="R1573" t="s">
        <v>47</v>
      </c>
      <c r="S1573" t="s">
        <v>47</v>
      </c>
      <c r="T1573" t="s">
        <v>47</v>
      </c>
      <c r="U1573" t="s">
        <v>47</v>
      </c>
      <c r="V1573" t="s">
        <v>47</v>
      </c>
      <c r="W1573" s="3">
        <v>36161</v>
      </c>
      <c r="X1573" s="5" t="s">
        <v>50</v>
      </c>
      <c r="Y1573" t="s">
        <v>47</v>
      </c>
      <c r="Z1573" s="3">
        <v>36161</v>
      </c>
      <c r="AA1573" s="5" t="s">
        <v>50</v>
      </c>
      <c r="AB1573" t="s">
        <v>47</v>
      </c>
      <c r="AC1573" s="3">
        <v>36161</v>
      </c>
      <c r="AD1573" s="5" t="s">
        <v>50</v>
      </c>
      <c r="AE1573" t="s">
        <v>47</v>
      </c>
      <c r="AF1573" t="s">
        <v>47</v>
      </c>
      <c r="AG1573" t="s">
        <v>47</v>
      </c>
      <c r="AH1573" t="s">
        <v>47</v>
      </c>
      <c r="AI1573" t="s">
        <v>47</v>
      </c>
      <c r="AJ1573" t="s">
        <v>47</v>
      </c>
      <c r="AK1573" t="s">
        <v>47</v>
      </c>
      <c r="AL1573" t="s">
        <v>47</v>
      </c>
      <c r="AM1573" t="s">
        <v>47</v>
      </c>
      <c r="AN1573" t="s">
        <v>47</v>
      </c>
      <c r="AO1573" s="5" t="s">
        <v>60</v>
      </c>
      <c r="AP1573" s="4" t="s">
        <v>61</v>
      </c>
      <c r="AQ1573" s="4" t="s">
        <v>53</v>
      </c>
      <c r="AR1573" s="4" t="s">
        <v>3373</v>
      </c>
      <c r="AS1573" s="5">
        <v>48406</v>
      </c>
      <c r="AT1573" t="s">
        <v>47</v>
      </c>
    </row>
    <row r="1574" spans="1:46" ht="156" x14ac:dyDescent="0.3">
      <c r="A1574" s="4" t="s">
        <v>5962</v>
      </c>
      <c r="B1574" t="s">
        <v>47</v>
      </c>
      <c r="C1574" s="4" t="s">
        <v>5963</v>
      </c>
      <c r="D1574" s="4" t="s">
        <v>5964</v>
      </c>
      <c r="E1574" s="4" t="s">
        <v>66</v>
      </c>
      <c r="F1574" s="5" t="s">
        <v>5965</v>
      </c>
      <c r="G1574" t="s">
        <v>47</v>
      </c>
      <c r="H1574" t="s">
        <v>47</v>
      </c>
      <c r="I1574" s="3">
        <v>32143</v>
      </c>
      <c r="J1574" s="3">
        <v>43922</v>
      </c>
      <c r="K1574" s="5" t="s">
        <v>5966</v>
      </c>
      <c r="L1574" s="5" t="s">
        <v>51</v>
      </c>
      <c r="M1574" s="3">
        <v>34335</v>
      </c>
      <c r="N1574" s="3">
        <v>43922</v>
      </c>
      <c r="O1574" s="5" t="s">
        <v>5966</v>
      </c>
      <c r="P1574" s="3">
        <v>32143</v>
      </c>
      <c r="Q1574" s="3">
        <v>43922</v>
      </c>
      <c r="R1574" s="5" t="s">
        <v>5967</v>
      </c>
      <c r="S1574" t="s">
        <v>47</v>
      </c>
      <c r="T1574" t="s">
        <v>47</v>
      </c>
      <c r="U1574" t="s">
        <v>47</v>
      </c>
      <c r="V1574" t="s">
        <v>47</v>
      </c>
      <c r="W1574" s="3">
        <v>32143</v>
      </c>
      <c r="X1574" s="3">
        <v>43922</v>
      </c>
      <c r="Y1574" t="s">
        <v>47</v>
      </c>
      <c r="Z1574" s="3">
        <v>32143</v>
      </c>
      <c r="AA1574" s="3">
        <v>43922</v>
      </c>
      <c r="AB1574" t="s">
        <v>47</v>
      </c>
      <c r="AC1574" s="3">
        <v>32143</v>
      </c>
      <c r="AD1574" s="3">
        <v>43922</v>
      </c>
      <c r="AE1574" t="s">
        <v>47</v>
      </c>
      <c r="AF1574" t="s">
        <v>47</v>
      </c>
      <c r="AG1574" t="s">
        <v>47</v>
      </c>
      <c r="AH1574" t="s">
        <v>47</v>
      </c>
      <c r="AI1574" t="s">
        <v>47</v>
      </c>
      <c r="AJ1574" t="s">
        <v>47</v>
      </c>
      <c r="AK1574" t="s">
        <v>47</v>
      </c>
      <c r="AL1574" t="s">
        <v>47</v>
      </c>
      <c r="AM1574" t="s">
        <v>47</v>
      </c>
      <c r="AN1574" t="s">
        <v>47</v>
      </c>
      <c r="AO1574" s="5" t="s">
        <v>51</v>
      </c>
      <c r="AP1574" s="4" t="s">
        <v>85</v>
      </c>
      <c r="AQ1574" s="4" t="s">
        <v>53</v>
      </c>
      <c r="AR1574" s="4" t="s">
        <v>2001</v>
      </c>
      <c r="AS1574" s="5">
        <v>52306</v>
      </c>
      <c r="AT1574" t="s">
        <v>47</v>
      </c>
    </row>
    <row r="1575" spans="1:46" ht="130" x14ac:dyDescent="0.3">
      <c r="A1575" s="4" t="s">
        <v>5968</v>
      </c>
      <c r="B1575" t="s">
        <v>47</v>
      </c>
      <c r="C1575" s="4" t="s">
        <v>1727</v>
      </c>
      <c r="D1575" s="4" t="s">
        <v>1103</v>
      </c>
      <c r="E1575" s="4" t="s">
        <v>49</v>
      </c>
      <c r="F1575" s="5" t="s">
        <v>5969</v>
      </c>
      <c r="G1575" s="5" t="s">
        <v>5970</v>
      </c>
      <c r="H1575" t="s">
        <v>47</v>
      </c>
      <c r="I1575" s="3">
        <v>36008</v>
      </c>
      <c r="J1575" s="3">
        <v>43891</v>
      </c>
      <c r="K1575" t="s">
        <v>47</v>
      </c>
      <c r="L1575" s="5" t="s">
        <v>51</v>
      </c>
      <c r="M1575" s="3">
        <v>36008</v>
      </c>
      <c r="N1575" s="3">
        <v>43891</v>
      </c>
      <c r="O1575" t="s">
        <v>47</v>
      </c>
      <c r="P1575" s="3">
        <v>36008</v>
      </c>
      <c r="Q1575" s="3">
        <v>43891</v>
      </c>
      <c r="R1575" t="s">
        <v>47</v>
      </c>
      <c r="S1575" t="s">
        <v>47</v>
      </c>
      <c r="T1575" t="s">
        <v>47</v>
      </c>
      <c r="U1575" t="s">
        <v>47</v>
      </c>
      <c r="V1575" t="s">
        <v>47</v>
      </c>
      <c r="W1575" s="3">
        <v>36008</v>
      </c>
      <c r="X1575" s="3">
        <v>43891</v>
      </c>
      <c r="Y1575" t="s">
        <v>47</v>
      </c>
      <c r="Z1575" s="3">
        <v>36008</v>
      </c>
      <c r="AA1575" s="3">
        <v>43891</v>
      </c>
      <c r="AB1575" t="s">
        <v>47</v>
      </c>
      <c r="AC1575" s="3">
        <v>36739</v>
      </c>
      <c r="AD1575" s="3">
        <v>43891</v>
      </c>
      <c r="AE1575" t="s">
        <v>47</v>
      </c>
      <c r="AF1575" t="s">
        <v>47</v>
      </c>
      <c r="AG1575" t="s">
        <v>47</v>
      </c>
      <c r="AH1575" t="s">
        <v>47</v>
      </c>
      <c r="AI1575" t="s">
        <v>47</v>
      </c>
      <c r="AJ1575" t="s">
        <v>47</v>
      </c>
      <c r="AK1575" t="s">
        <v>47</v>
      </c>
      <c r="AL1575" t="s">
        <v>47</v>
      </c>
      <c r="AM1575" t="s">
        <v>47</v>
      </c>
      <c r="AN1575" t="s">
        <v>47</v>
      </c>
      <c r="AO1575" s="5" t="s">
        <v>51</v>
      </c>
      <c r="AP1575" s="4" t="s">
        <v>135</v>
      </c>
      <c r="AQ1575" s="4" t="s">
        <v>53</v>
      </c>
      <c r="AR1575" s="4" t="s">
        <v>5971</v>
      </c>
      <c r="AS1575" s="5">
        <v>182</v>
      </c>
      <c r="AT1575" t="s">
        <v>47</v>
      </c>
    </row>
    <row r="1576" spans="1:46" ht="130" x14ac:dyDescent="0.3">
      <c r="A1576" s="4" t="s">
        <v>5972</v>
      </c>
      <c r="B1576" t="s">
        <v>47</v>
      </c>
      <c r="C1576" s="4" t="s">
        <v>122</v>
      </c>
      <c r="D1576" s="4" t="s">
        <v>88</v>
      </c>
      <c r="E1576" s="4" t="s">
        <v>123</v>
      </c>
      <c r="F1576" s="5" t="s">
        <v>5973</v>
      </c>
      <c r="G1576" s="5" t="s">
        <v>5974</v>
      </c>
      <c r="H1576" t="s">
        <v>47</v>
      </c>
      <c r="I1576" s="3">
        <v>35431</v>
      </c>
      <c r="J1576" s="5" t="s">
        <v>50</v>
      </c>
      <c r="K1576" t="s">
        <v>47</v>
      </c>
      <c r="L1576" s="5" t="s">
        <v>60</v>
      </c>
      <c r="M1576" s="3">
        <v>35796</v>
      </c>
      <c r="N1576" s="3">
        <v>42856</v>
      </c>
      <c r="O1576" t="s">
        <v>47</v>
      </c>
      <c r="P1576" s="3">
        <v>35431</v>
      </c>
      <c r="Q1576" s="5" t="s">
        <v>50</v>
      </c>
      <c r="R1576" t="s">
        <v>47</v>
      </c>
      <c r="S1576" t="s">
        <v>47</v>
      </c>
      <c r="T1576" t="s">
        <v>47</v>
      </c>
      <c r="U1576" t="s">
        <v>47</v>
      </c>
      <c r="V1576" s="5">
        <v>365</v>
      </c>
      <c r="W1576" s="3">
        <v>35431</v>
      </c>
      <c r="X1576" s="5" t="s">
        <v>50</v>
      </c>
      <c r="Y1576" t="s">
        <v>47</v>
      </c>
      <c r="Z1576" s="3">
        <v>35431</v>
      </c>
      <c r="AA1576" s="5" t="s">
        <v>50</v>
      </c>
      <c r="AB1576" t="s">
        <v>47</v>
      </c>
      <c r="AC1576" s="3">
        <v>35674</v>
      </c>
      <c r="AD1576" s="5" t="s">
        <v>50</v>
      </c>
      <c r="AE1576" s="5" t="s">
        <v>547</v>
      </c>
      <c r="AF1576" t="s">
        <v>47</v>
      </c>
      <c r="AG1576" t="s">
        <v>47</v>
      </c>
      <c r="AH1576" t="s">
        <v>47</v>
      </c>
      <c r="AI1576" t="s">
        <v>47</v>
      </c>
      <c r="AJ1576" t="s">
        <v>47</v>
      </c>
      <c r="AK1576" t="s">
        <v>47</v>
      </c>
      <c r="AL1576" t="s">
        <v>47</v>
      </c>
      <c r="AM1576" t="s">
        <v>47</v>
      </c>
      <c r="AN1576" t="s">
        <v>47</v>
      </c>
      <c r="AO1576" s="5" t="s">
        <v>60</v>
      </c>
      <c r="AP1576" s="4" t="s">
        <v>61</v>
      </c>
      <c r="AQ1576" s="4" t="s">
        <v>53</v>
      </c>
      <c r="AR1576" s="4" t="s">
        <v>5975</v>
      </c>
      <c r="AS1576" s="5">
        <v>40581</v>
      </c>
      <c r="AT1576" t="s">
        <v>47</v>
      </c>
    </row>
    <row r="1577" spans="1:46" ht="39" x14ac:dyDescent="0.3">
      <c r="A1577" s="4" t="s">
        <v>5976</v>
      </c>
      <c r="B1577" t="s">
        <v>47</v>
      </c>
      <c r="C1577" s="4" t="s">
        <v>5977</v>
      </c>
      <c r="D1577" s="4" t="s">
        <v>88</v>
      </c>
      <c r="E1577" s="4" t="s">
        <v>49</v>
      </c>
      <c r="F1577" s="5" t="s">
        <v>5978</v>
      </c>
      <c r="G1577" s="5" t="s">
        <v>5979</v>
      </c>
      <c r="H1577" t="s">
        <v>47</v>
      </c>
      <c r="I1577" s="3">
        <v>34366</v>
      </c>
      <c r="J1577" s="3">
        <v>38657</v>
      </c>
      <c r="K1577" t="s">
        <v>47</v>
      </c>
      <c r="L1577" s="5" t="s">
        <v>60</v>
      </c>
      <c r="M1577" s="3">
        <v>34366</v>
      </c>
      <c r="N1577" s="3">
        <v>38657</v>
      </c>
      <c r="O1577" t="s">
        <v>47</v>
      </c>
      <c r="P1577" s="3">
        <v>35278</v>
      </c>
      <c r="Q1577" s="3">
        <v>38657</v>
      </c>
      <c r="R1577" t="s">
        <v>47</v>
      </c>
      <c r="S1577" t="s">
        <v>47</v>
      </c>
      <c r="T1577" t="s">
        <v>47</v>
      </c>
      <c r="U1577" t="s">
        <v>47</v>
      </c>
      <c r="V1577" t="s">
        <v>47</v>
      </c>
      <c r="W1577" s="3">
        <v>32174</v>
      </c>
      <c r="X1577" s="5" t="s">
        <v>50</v>
      </c>
      <c r="Y1577" t="s">
        <v>47</v>
      </c>
      <c r="Z1577" s="3">
        <v>32174</v>
      </c>
      <c r="AA1577" s="5" t="s">
        <v>50</v>
      </c>
      <c r="AB1577" t="s">
        <v>47</v>
      </c>
      <c r="AC1577" s="3">
        <v>32174</v>
      </c>
      <c r="AD1577" s="5" t="s">
        <v>50</v>
      </c>
      <c r="AE1577" t="s">
        <v>47</v>
      </c>
      <c r="AF1577" t="s">
        <v>47</v>
      </c>
      <c r="AG1577" t="s">
        <v>47</v>
      </c>
      <c r="AH1577" t="s">
        <v>47</v>
      </c>
      <c r="AI1577" t="s">
        <v>47</v>
      </c>
      <c r="AJ1577" t="s">
        <v>47</v>
      </c>
      <c r="AK1577" t="s">
        <v>47</v>
      </c>
      <c r="AL1577" t="s">
        <v>47</v>
      </c>
      <c r="AM1577" t="s">
        <v>47</v>
      </c>
      <c r="AN1577" t="s">
        <v>47</v>
      </c>
      <c r="AO1577" s="5" t="s">
        <v>60</v>
      </c>
      <c r="AP1577" s="4" t="s">
        <v>61</v>
      </c>
      <c r="AQ1577" s="4" t="s">
        <v>53</v>
      </c>
      <c r="AR1577" s="4" t="s">
        <v>5980</v>
      </c>
      <c r="AS1577" s="5">
        <v>49110</v>
      </c>
      <c r="AT1577" t="s">
        <v>47</v>
      </c>
    </row>
    <row r="1578" spans="1:46" ht="156" x14ac:dyDescent="0.3">
      <c r="A1578" s="4" t="s">
        <v>5981</v>
      </c>
      <c r="B1578" t="s">
        <v>47</v>
      </c>
      <c r="C1578" s="4" t="s">
        <v>169</v>
      </c>
      <c r="D1578" s="4" t="s">
        <v>748</v>
      </c>
      <c r="E1578" s="4" t="s">
        <v>66</v>
      </c>
      <c r="F1578" s="5" t="s">
        <v>5982</v>
      </c>
      <c r="G1578" s="5" t="s">
        <v>5983</v>
      </c>
      <c r="H1578" t="s">
        <v>47</v>
      </c>
      <c r="I1578" s="3">
        <v>35431</v>
      </c>
      <c r="J1578" s="3">
        <v>41000</v>
      </c>
      <c r="K1578" s="5" t="s">
        <v>1405</v>
      </c>
      <c r="L1578" s="5" t="s">
        <v>60</v>
      </c>
      <c r="M1578" s="3">
        <v>35431</v>
      </c>
      <c r="N1578" s="3">
        <v>41000</v>
      </c>
      <c r="O1578" s="5" t="s">
        <v>1405</v>
      </c>
      <c r="P1578" s="3">
        <v>35431</v>
      </c>
      <c r="Q1578" s="3">
        <v>41000</v>
      </c>
      <c r="R1578" s="5" t="s">
        <v>1405</v>
      </c>
      <c r="S1578" t="s">
        <v>47</v>
      </c>
      <c r="T1578" t="s">
        <v>47</v>
      </c>
      <c r="U1578" t="s">
        <v>47</v>
      </c>
      <c r="V1578" t="s">
        <v>47</v>
      </c>
      <c r="W1578" s="3">
        <v>35431</v>
      </c>
      <c r="X1578" s="5" t="s">
        <v>50</v>
      </c>
      <c r="Y1578" s="5" t="s">
        <v>1405</v>
      </c>
      <c r="Z1578" s="3">
        <v>35431</v>
      </c>
      <c r="AA1578" s="5" t="s">
        <v>50</v>
      </c>
      <c r="AB1578" s="5" t="s">
        <v>1405</v>
      </c>
      <c r="AC1578" s="3">
        <v>35431</v>
      </c>
      <c r="AD1578" s="5" t="s">
        <v>50</v>
      </c>
      <c r="AE1578" s="5" t="s">
        <v>1405</v>
      </c>
      <c r="AF1578" t="s">
        <v>47</v>
      </c>
      <c r="AG1578" t="s">
        <v>47</v>
      </c>
      <c r="AH1578" t="s">
        <v>47</v>
      </c>
      <c r="AI1578" t="s">
        <v>47</v>
      </c>
      <c r="AJ1578" t="s">
        <v>47</v>
      </c>
      <c r="AK1578" t="s">
        <v>47</v>
      </c>
      <c r="AL1578" t="s">
        <v>47</v>
      </c>
      <c r="AM1578" t="s">
        <v>47</v>
      </c>
      <c r="AN1578" t="s">
        <v>47</v>
      </c>
      <c r="AO1578" s="5" t="s">
        <v>60</v>
      </c>
      <c r="AP1578" s="4" t="s">
        <v>61</v>
      </c>
      <c r="AQ1578" s="4" t="s">
        <v>53</v>
      </c>
      <c r="AR1578" s="4" t="s">
        <v>3129</v>
      </c>
      <c r="AS1578" s="5">
        <v>29861</v>
      </c>
      <c r="AT1578" t="s">
        <v>47</v>
      </c>
    </row>
    <row r="1579" spans="1:46" ht="182" x14ac:dyDescent="0.3">
      <c r="A1579" s="4" t="s">
        <v>5984</v>
      </c>
      <c r="B1579" t="s">
        <v>47</v>
      </c>
      <c r="C1579" s="4" t="s">
        <v>169</v>
      </c>
      <c r="D1579" s="4" t="s">
        <v>339</v>
      </c>
      <c r="E1579" s="4" t="s">
        <v>66</v>
      </c>
      <c r="F1579" s="5" t="s">
        <v>5985</v>
      </c>
      <c r="G1579" s="5" t="s">
        <v>5986</v>
      </c>
      <c r="H1579" t="s">
        <v>47</v>
      </c>
      <c r="I1579" s="3">
        <v>35796</v>
      </c>
      <c r="J1579" s="3">
        <v>36708</v>
      </c>
      <c r="K1579" t="s">
        <v>47</v>
      </c>
      <c r="L1579" s="5" t="s">
        <v>60</v>
      </c>
      <c r="M1579" s="3">
        <v>35796</v>
      </c>
      <c r="N1579" s="3">
        <v>36708</v>
      </c>
      <c r="O1579" t="s">
        <v>47</v>
      </c>
      <c r="P1579" s="3">
        <v>35796</v>
      </c>
      <c r="Q1579" s="3">
        <v>36708</v>
      </c>
      <c r="R1579" t="s">
        <v>47</v>
      </c>
      <c r="S1579" t="s">
        <v>47</v>
      </c>
      <c r="T1579" t="s">
        <v>47</v>
      </c>
      <c r="U1579" t="s">
        <v>47</v>
      </c>
      <c r="V1579" t="s">
        <v>47</v>
      </c>
      <c r="W1579" s="3">
        <v>35796</v>
      </c>
      <c r="X1579" s="3">
        <v>36708</v>
      </c>
      <c r="Y1579" t="s">
        <v>47</v>
      </c>
      <c r="Z1579" s="3">
        <v>35796</v>
      </c>
      <c r="AA1579" s="3">
        <v>36708</v>
      </c>
      <c r="AB1579" t="s">
        <v>47</v>
      </c>
      <c r="AC1579" t="s">
        <v>47</v>
      </c>
      <c r="AD1579" t="s">
        <v>47</v>
      </c>
      <c r="AE1579" t="s">
        <v>47</v>
      </c>
      <c r="AF1579" t="s">
        <v>47</v>
      </c>
      <c r="AG1579" t="s">
        <v>47</v>
      </c>
      <c r="AH1579" t="s">
        <v>47</v>
      </c>
      <c r="AI1579" t="s">
        <v>47</v>
      </c>
      <c r="AJ1579" t="s">
        <v>47</v>
      </c>
      <c r="AK1579" t="s">
        <v>47</v>
      </c>
      <c r="AL1579" t="s">
        <v>47</v>
      </c>
      <c r="AM1579" t="s">
        <v>47</v>
      </c>
      <c r="AN1579" t="s">
        <v>47</v>
      </c>
      <c r="AO1579" s="5" t="s">
        <v>51</v>
      </c>
      <c r="AP1579" s="4" t="s">
        <v>61</v>
      </c>
      <c r="AQ1579" s="4" t="s">
        <v>53</v>
      </c>
      <c r="AR1579" s="4" t="s">
        <v>5987</v>
      </c>
      <c r="AS1579" s="5">
        <v>33510</v>
      </c>
      <c r="AT1579" t="s">
        <v>47</v>
      </c>
    </row>
    <row r="1580" spans="1:46" ht="65" x14ac:dyDescent="0.3">
      <c r="A1580" s="4" t="s">
        <v>5988</v>
      </c>
      <c r="B1580" t="s">
        <v>47</v>
      </c>
      <c r="C1580" s="4" t="s">
        <v>5989</v>
      </c>
      <c r="D1580" s="4" t="s">
        <v>201</v>
      </c>
      <c r="E1580" s="4" t="s">
        <v>49</v>
      </c>
      <c r="F1580" s="5" t="s">
        <v>5990</v>
      </c>
      <c r="G1580" t="s">
        <v>47</v>
      </c>
      <c r="H1580" t="s">
        <v>47</v>
      </c>
      <c r="I1580" s="3">
        <v>33604</v>
      </c>
      <c r="J1580" s="3">
        <v>44501</v>
      </c>
      <c r="K1580" t="s">
        <v>47</v>
      </c>
      <c r="L1580" s="5" t="s">
        <v>51</v>
      </c>
      <c r="M1580" s="3">
        <v>34335</v>
      </c>
      <c r="N1580" s="3">
        <v>44501</v>
      </c>
      <c r="O1580" t="s">
        <v>47</v>
      </c>
      <c r="P1580" s="3">
        <v>33604</v>
      </c>
      <c r="Q1580" s="3">
        <v>44501</v>
      </c>
      <c r="R1580" t="s">
        <v>47</v>
      </c>
      <c r="S1580" t="s">
        <v>47</v>
      </c>
      <c r="T1580" t="s">
        <v>47</v>
      </c>
      <c r="U1580" t="s">
        <v>47</v>
      </c>
      <c r="V1580" t="s">
        <v>47</v>
      </c>
      <c r="W1580" s="3">
        <v>32509</v>
      </c>
      <c r="X1580" s="3">
        <v>44501</v>
      </c>
      <c r="Y1580" t="s">
        <v>47</v>
      </c>
      <c r="Z1580" s="3">
        <v>32509</v>
      </c>
      <c r="AA1580" s="3">
        <v>44501</v>
      </c>
      <c r="AB1580" t="s">
        <v>47</v>
      </c>
      <c r="AC1580" s="3">
        <v>32509</v>
      </c>
      <c r="AD1580" s="3">
        <v>44501</v>
      </c>
      <c r="AE1580" t="s">
        <v>47</v>
      </c>
      <c r="AF1580" t="s">
        <v>47</v>
      </c>
      <c r="AG1580" t="s">
        <v>47</v>
      </c>
      <c r="AH1580" t="s">
        <v>47</v>
      </c>
      <c r="AI1580" t="s">
        <v>47</v>
      </c>
      <c r="AJ1580" t="s">
        <v>47</v>
      </c>
      <c r="AK1580" t="s">
        <v>47</v>
      </c>
      <c r="AL1580" t="s">
        <v>47</v>
      </c>
      <c r="AM1580" t="s">
        <v>47</v>
      </c>
      <c r="AN1580" t="s">
        <v>47</v>
      </c>
      <c r="AO1580" s="5" t="s">
        <v>51</v>
      </c>
      <c r="AP1580" s="4" t="s">
        <v>85</v>
      </c>
      <c r="AQ1580" s="4" t="s">
        <v>53</v>
      </c>
      <c r="AR1580" s="4" t="s">
        <v>1034</v>
      </c>
      <c r="AS1580" s="5">
        <v>24966</v>
      </c>
      <c r="AT1580" t="s">
        <v>47</v>
      </c>
    </row>
    <row r="1581" spans="1:46" ht="13" x14ac:dyDescent="0.3">
      <c r="A1581" s="4" t="s">
        <v>5991</v>
      </c>
      <c r="B1581" t="s">
        <v>47</v>
      </c>
      <c r="C1581" s="4" t="s">
        <v>5992</v>
      </c>
      <c r="D1581" s="4" t="s">
        <v>5993</v>
      </c>
      <c r="E1581" s="4" t="s">
        <v>1606</v>
      </c>
      <c r="F1581" s="5" t="s">
        <v>5994</v>
      </c>
      <c r="G1581" s="5" t="s">
        <v>5995</v>
      </c>
      <c r="H1581" t="s">
        <v>47</v>
      </c>
      <c r="I1581" s="3">
        <v>40452</v>
      </c>
      <c r="J1581" s="3">
        <v>41579</v>
      </c>
      <c r="K1581" t="s">
        <v>47</v>
      </c>
      <c r="L1581" s="5" t="s">
        <v>60</v>
      </c>
      <c r="M1581" s="3">
        <v>40452</v>
      </c>
      <c r="N1581" s="3">
        <v>41579</v>
      </c>
      <c r="O1581" t="s">
        <v>47</v>
      </c>
      <c r="P1581" s="3">
        <v>40452</v>
      </c>
      <c r="Q1581" s="3">
        <v>41579</v>
      </c>
      <c r="R1581" t="s">
        <v>47</v>
      </c>
      <c r="S1581" t="s">
        <v>47</v>
      </c>
      <c r="T1581" t="s">
        <v>47</v>
      </c>
      <c r="U1581" t="s">
        <v>47</v>
      </c>
      <c r="V1581" t="s">
        <v>47</v>
      </c>
      <c r="W1581" s="3">
        <v>40452</v>
      </c>
      <c r="X1581" s="3">
        <v>41579</v>
      </c>
      <c r="Y1581" t="s">
        <v>47</v>
      </c>
      <c r="Z1581" s="3">
        <v>40452</v>
      </c>
      <c r="AA1581" s="3">
        <v>41579</v>
      </c>
      <c r="AB1581" t="s">
        <v>47</v>
      </c>
      <c r="AC1581" s="3">
        <v>40909</v>
      </c>
      <c r="AD1581" s="3">
        <v>41579</v>
      </c>
      <c r="AE1581" t="s">
        <v>47</v>
      </c>
      <c r="AF1581" t="s">
        <v>47</v>
      </c>
      <c r="AG1581" t="s">
        <v>47</v>
      </c>
      <c r="AH1581" t="s">
        <v>47</v>
      </c>
      <c r="AI1581" t="s">
        <v>47</v>
      </c>
      <c r="AJ1581" t="s">
        <v>47</v>
      </c>
      <c r="AK1581" t="s">
        <v>47</v>
      </c>
      <c r="AL1581" t="s">
        <v>47</v>
      </c>
      <c r="AM1581" t="s">
        <v>47</v>
      </c>
      <c r="AN1581" t="s">
        <v>47</v>
      </c>
      <c r="AO1581" s="5" t="s">
        <v>51</v>
      </c>
      <c r="AP1581" s="4" t="s">
        <v>61</v>
      </c>
      <c r="AQ1581" s="4" t="s">
        <v>5996</v>
      </c>
      <c r="AR1581" s="4" t="s">
        <v>54</v>
      </c>
      <c r="AS1581" s="5">
        <v>376295</v>
      </c>
      <c r="AT1581" t="s">
        <v>47</v>
      </c>
    </row>
    <row r="1582" spans="1:46" ht="78" x14ac:dyDescent="0.3">
      <c r="A1582" s="4" t="s">
        <v>5997</v>
      </c>
      <c r="B1582" t="s">
        <v>47</v>
      </c>
      <c r="C1582" s="4" t="s">
        <v>716</v>
      </c>
      <c r="D1582" s="4" t="s">
        <v>3061</v>
      </c>
      <c r="E1582" s="4" t="s">
        <v>49</v>
      </c>
      <c r="F1582" t="s">
        <v>47</v>
      </c>
      <c r="G1582" s="5" t="s">
        <v>5998</v>
      </c>
      <c r="H1582" t="s">
        <v>47</v>
      </c>
      <c r="I1582" s="3">
        <v>43101</v>
      </c>
      <c r="J1582" s="5" t="s">
        <v>50</v>
      </c>
      <c r="K1582" s="5" t="s">
        <v>537</v>
      </c>
      <c r="L1582" s="5" t="s">
        <v>60</v>
      </c>
      <c r="M1582" t="s">
        <v>47</v>
      </c>
      <c r="N1582" t="s">
        <v>47</v>
      </c>
      <c r="O1582" t="s">
        <v>47</v>
      </c>
      <c r="P1582" t="s">
        <v>47</v>
      </c>
      <c r="Q1582" t="s">
        <v>47</v>
      </c>
      <c r="R1582" t="s">
        <v>47</v>
      </c>
      <c r="S1582" s="3">
        <v>43101</v>
      </c>
      <c r="T1582" s="5" t="s">
        <v>50</v>
      </c>
      <c r="U1582" s="5" t="s">
        <v>537</v>
      </c>
      <c r="V1582" t="s">
        <v>47</v>
      </c>
      <c r="W1582" s="3">
        <v>43101</v>
      </c>
      <c r="X1582" s="5" t="s">
        <v>50</v>
      </c>
      <c r="Y1582" s="5" t="s">
        <v>537</v>
      </c>
      <c r="Z1582" s="3">
        <v>43101</v>
      </c>
      <c r="AA1582" s="5" t="s">
        <v>50</v>
      </c>
      <c r="AB1582" s="5" t="s">
        <v>537</v>
      </c>
      <c r="AC1582" s="3">
        <v>43101</v>
      </c>
      <c r="AD1582" s="5" t="s">
        <v>50</v>
      </c>
      <c r="AE1582" s="5" t="s">
        <v>537</v>
      </c>
      <c r="AF1582" t="s">
        <v>47</v>
      </c>
      <c r="AG1582" t="s">
        <v>47</v>
      </c>
      <c r="AH1582" t="s">
        <v>47</v>
      </c>
      <c r="AI1582" t="s">
        <v>47</v>
      </c>
      <c r="AJ1582" t="s">
        <v>47</v>
      </c>
      <c r="AK1582" t="s">
        <v>47</v>
      </c>
      <c r="AL1582" t="s">
        <v>47</v>
      </c>
      <c r="AM1582" t="s">
        <v>47</v>
      </c>
      <c r="AN1582" t="s">
        <v>47</v>
      </c>
      <c r="AO1582" s="5" t="s">
        <v>60</v>
      </c>
      <c r="AP1582" s="4" t="s">
        <v>61</v>
      </c>
      <c r="AQ1582" s="4" t="s">
        <v>53</v>
      </c>
      <c r="AR1582" s="4" t="s">
        <v>5999</v>
      </c>
      <c r="AS1582" s="5">
        <v>4380414</v>
      </c>
      <c r="AT1582" t="s">
        <v>47</v>
      </c>
    </row>
    <row r="1583" spans="1:46" ht="91" x14ac:dyDescent="0.3">
      <c r="A1583" s="4" t="s">
        <v>6000</v>
      </c>
      <c r="B1583" t="s">
        <v>47</v>
      </c>
      <c r="C1583" s="4" t="s">
        <v>2006</v>
      </c>
      <c r="D1583" s="4" t="s">
        <v>223</v>
      </c>
      <c r="E1583" s="4" t="s">
        <v>49</v>
      </c>
      <c r="F1583" t="s">
        <v>47</v>
      </c>
      <c r="G1583" s="5" t="s">
        <v>6001</v>
      </c>
      <c r="H1583" t="s">
        <v>47</v>
      </c>
      <c r="I1583" s="3">
        <v>35855</v>
      </c>
      <c r="J1583" s="3">
        <v>45047</v>
      </c>
      <c r="K1583" t="s">
        <v>47</v>
      </c>
      <c r="L1583" s="5" t="s">
        <v>60</v>
      </c>
      <c r="M1583" s="3">
        <v>35855</v>
      </c>
      <c r="N1583" s="3">
        <v>45047</v>
      </c>
      <c r="O1583" t="s">
        <v>47</v>
      </c>
      <c r="P1583" s="3">
        <v>35855</v>
      </c>
      <c r="Q1583" s="3">
        <v>45047</v>
      </c>
      <c r="R1583" t="s">
        <v>47</v>
      </c>
      <c r="S1583" t="s">
        <v>47</v>
      </c>
      <c r="T1583" t="s">
        <v>47</v>
      </c>
      <c r="U1583" t="s">
        <v>47</v>
      </c>
      <c r="V1583" t="s">
        <v>47</v>
      </c>
      <c r="W1583" s="3">
        <v>35855</v>
      </c>
      <c r="X1583" s="3">
        <v>45047</v>
      </c>
      <c r="Y1583" t="s">
        <v>47</v>
      </c>
      <c r="Z1583" s="3">
        <v>35855</v>
      </c>
      <c r="AA1583" s="3">
        <v>45047</v>
      </c>
      <c r="AB1583" t="s">
        <v>47</v>
      </c>
      <c r="AC1583" s="3">
        <v>38018</v>
      </c>
      <c r="AD1583" s="3">
        <v>45047</v>
      </c>
      <c r="AE1583" t="s">
        <v>47</v>
      </c>
      <c r="AF1583" t="s">
        <v>47</v>
      </c>
      <c r="AG1583" t="s">
        <v>47</v>
      </c>
      <c r="AH1583" t="s">
        <v>47</v>
      </c>
      <c r="AI1583" t="s">
        <v>47</v>
      </c>
      <c r="AJ1583" t="s">
        <v>47</v>
      </c>
      <c r="AK1583" t="s">
        <v>47</v>
      </c>
      <c r="AL1583" t="s">
        <v>47</v>
      </c>
      <c r="AM1583" t="s">
        <v>47</v>
      </c>
      <c r="AN1583" t="s">
        <v>47</v>
      </c>
      <c r="AO1583" s="5" t="s">
        <v>60</v>
      </c>
      <c r="AP1583" s="4" t="s">
        <v>61</v>
      </c>
      <c r="AQ1583" s="4" t="s">
        <v>53</v>
      </c>
      <c r="AR1583" s="4" t="s">
        <v>6002</v>
      </c>
      <c r="AS1583" s="5">
        <v>34845</v>
      </c>
      <c r="AT1583" s="4" t="s">
        <v>2009</v>
      </c>
    </row>
    <row r="1584" spans="1:46" ht="91" x14ac:dyDescent="0.3">
      <c r="A1584" s="4" t="s">
        <v>6003</v>
      </c>
      <c r="B1584" t="s">
        <v>47</v>
      </c>
      <c r="C1584" s="4" t="s">
        <v>122</v>
      </c>
      <c r="D1584" s="4" t="s">
        <v>206</v>
      </c>
      <c r="E1584" s="4" t="s">
        <v>123</v>
      </c>
      <c r="F1584" s="5" t="s">
        <v>6004</v>
      </c>
      <c r="G1584" s="5" t="s">
        <v>6005</v>
      </c>
      <c r="H1584" t="s">
        <v>47</v>
      </c>
      <c r="I1584" s="3">
        <v>35551</v>
      </c>
      <c r="J1584" s="5" t="s">
        <v>50</v>
      </c>
      <c r="K1584" t="s">
        <v>47</v>
      </c>
      <c r="L1584" s="5" t="s">
        <v>60</v>
      </c>
      <c r="M1584" s="3">
        <v>35551</v>
      </c>
      <c r="N1584" s="3">
        <v>42826</v>
      </c>
      <c r="O1584" t="s">
        <v>47</v>
      </c>
      <c r="P1584" s="3">
        <v>35551</v>
      </c>
      <c r="Q1584" s="5" t="s">
        <v>50</v>
      </c>
      <c r="R1584" t="s">
        <v>47</v>
      </c>
      <c r="S1584" t="s">
        <v>47</v>
      </c>
      <c r="T1584" t="s">
        <v>47</v>
      </c>
      <c r="U1584" t="s">
        <v>47</v>
      </c>
      <c r="V1584" s="5">
        <v>365</v>
      </c>
      <c r="W1584" s="3">
        <v>35551</v>
      </c>
      <c r="X1584" s="5" t="s">
        <v>50</v>
      </c>
      <c r="Y1584" t="s">
        <v>47</v>
      </c>
      <c r="Z1584" s="3">
        <v>35551</v>
      </c>
      <c r="AA1584" s="5" t="s">
        <v>50</v>
      </c>
      <c r="AB1584" t="s">
        <v>47</v>
      </c>
      <c r="AC1584" s="3">
        <v>35551</v>
      </c>
      <c r="AD1584" s="5" t="s">
        <v>50</v>
      </c>
      <c r="AE1584" t="s">
        <v>47</v>
      </c>
      <c r="AF1584" t="s">
        <v>47</v>
      </c>
      <c r="AG1584" t="s">
        <v>47</v>
      </c>
      <c r="AH1584" t="s">
        <v>47</v>
      </c>
      <c r="AI1584" t="s">
        <v>47</v>
      </c>
      <c r="AJ1584" t="s">
        <v>47</v>
      </c>
      <c r="AK1584" t="s">
        <v>47</v>
      </c>
      <c r="AL1584" t="s">
        <v>47</v>
      </c>
      <c r="AM1584" t="s">
        <v>47</v>
      </c>
      <c r="AN1584" t="s">
        <v>47</v>
      </c>
      <c r="AO1584" s="5" t="s">
        <v>60</v>
      </c>
      <c r="AP1584" s="4" t="s">
        <v>61</v>
      </c>
      <c r="AQ1584" s="4" t="s">
        <v>53</v>
      </c>
      <c r="AR1584" s="4" t="s">
        <v>2677</v>
      </c>
      <c r="AS1584" s="5">
        <v>1496342</v>
      </c>
      <c r="AT1584" t="s">
        <v>47</v>
      </c>
    </row>
    <row r="1585" spans="1:46" ht="26" x14ac:dyDescent="0.3">
      <c r="A1585" s="4" t="s">
        <v>6006</v>
      </c>
      <c r="B1585" t="s">
        <v>47</v>
      </c>
      <c r="C1585" s="4" t="s">
        <v>2069</v>
      </c>
      <c r="D1585" s="4" t="s">
        <v>2070</v>
      </c>
      <c r="E1585" s="4" t="s">
        <v>603</v>
      </c>
      <c r="F1585" s="5" t="s">
        <v>6007</v>
      </c>
      <c r="G1585" s="5" t="s">
        <v>6008</v>
      </c>
      <c r="H1585" t="s">
        <v>47</v>
      </c>
      <c r="I1585" s="3">
        <v>41275</v>
      </c>
      <c r="J1585" s="5" t="s">
        <v>50</v>
      </c>
      <c r="K1585" t="s">
        <v>47</v>
      </c>
      <c r="L1585" s="5" t="s">
        <v>60</v>
      </c>
      <c r="M1585" t="s">
        <v>47</v>
      </c>
      <c r="N1585" t="s">
        <v>47</v>
      </c>
      <c r="O1585" t="s">
        <v>47</v>
      </c>
      <c r="P1585" s="3">
        <v>41275</v>
      </c>
      <c r="Q1585" s="5" t="s">
        <v>50</v>
      </c>
      <c r="R1585" t="s">
        <v>47</v>
      </c>
      <c r="S1585" t="s">
        <v>47</v>
      </c>
      <c r="T1585" t="s">
        <v>47</v>
      </c>
      <c r="U1585" t="s">
        <v>47</v>
      </c>
      <c r="V1585" t="s">
        <v>47</v>
      </c>
      <c r="W1585" s="3">
        <v>41275</v>
      </c>
      <c r="X1585" s="5" t="s">
        <v>50</v>
      </c>
      <c r="Y1585" t="s">
        <v>47</v>
      </c>
      <c r="Z1585" s="3">
        <v>41275</v>
      </c>
      <c r="AA1585" s="5" t="s">
        <v>50</v>
      </c>
      <c r="AB1585" t="s">
        <v>47</v>
      </c>
      <c r="AC1585" s="3">
        <v>41275</v>
      </c>
      <c r="AD1585" s="5" t="s">
        <v>50</v>
      </c>
      <c r="AE1585" t="s">
        <v>47</v>
      </c>
      <c r="AF1585" t="s">
        <v>47</v>
      </c>
      <c r="AG1585" t="s">
        <v>47</v>
      </c>
      <c r="AH1585" t="s">
        <v>47</v>
      </c>
      <c r="AI1585" t="s">
        <v>47</v>
      </c>
      <c r="AJ1585" t="s">
        <v>47</v>
      </c>
      <c r="AK1585" t="s">
        <v>47</v>
      </c>
      <c r="AL1585" t="s">
        <v>47</v>
      </c>
      <c r="AM1585" t="s">
        <v>47</v>
      </c>
      <c r="AN1585" t="s">
        <v>47</v>
      </c>
      <c r="AO1585" s="5" t="s">
        <v>60</v>
      </c>
      <c r="AP1585" s="4" t="s">
        <v>61</v>
      </c>
      <c r="AQ1585" s="4" t="s">
        <v>6009</v>
      </c>
      <c r="AR1585" s="4" t="s">
        <v>54</v>
      </c>
      <c r="AS1585" s="5">
        <v>2034898</v>
      </c>
      <c r="AT1585" t="s">
        <v>47</v>
      </c>
    </row>
    <row r="1586" spans="1:46" ht="26" x14ac:dyDescent="0.3">
      <c r="A1586" s="4" t="s">
        <v>6010</v>
      </c>
      <c r="B1586" t="s">
        <v>47</v>
      </c>
      <c r="C1586" s="4" t="s">
        <v>601</v>
      </c>
      <c r="D1586" s="4" t="s">
        <v>602</v>
      </c>
      <c r="E1586" s="4" t="s">
        <v>603</v>
      </c>
      <c r="F1586" s="5" t="s">
        <v>6011</v>
      </c>
      <c r="G1586" s="5" t="s">
        <v>6012</v>
      </c>
      <c r="H1586" t="s">
        <v>47</v>
      </c>
      <c r="I1586" s="3">
        <v>41275</v>
      </c>
      <c r="J1586" s="5" t="s">
        <v>50</v>
      </c>
      <c r="K1586" t="s">
        <v>47</v>
      </c>
      <c r="L1586" s="5" t="s">
        <v>60</v>
      </c>
      <c r="M1586" s="3">
        <v>41275</v>
      </c>
      <c r="N1586" s="3">
        <v>43647</v>
      </c>
      <c r="O1586" t="s">
        <v>47</v>
      </c>
      <c r="P1586" s="3">
        <v>41275</v>
      </c>
      <c r="Q1586" s="5" t="s">
        <v>50</v>
      </c>
      <c r="R1586" t="s">
        <v>47</v>
      </c>
      <c r="S1586" t="s">
        <v>47</v>
      </c>
      <c r="T1586" t="s">
        <v>47</v>
      </c>
      <c r="U1586" t="s">
        <v>47</v>
      </c>
      <c r="V1586" t="s">
        <v>47</v>
      </c>
      <c r="W1586" s="3">
        <v>41275</v>
      </c>
      <c r="X1586" s="5" t="s">
        <v>50</v>
      </c>
      <c r="Y1586" t="s">
        <v>47</v>
      </c>
      <c r="Z1586" s="3">
        <v>41275</v>
      </c>
      <c r="AA1586" s="5" t="s">
        <v>50</v>
      </c>
      <c r="AB1586" t="s">
        <v>47</v>
      </c>
      <c r="AC1586" s="3">
        <v>41275</v>
      </c>
      <c r="AD1586" s="5" t="s">
        <v>50</v>
      </c>
      <c r="AE1586" t="s">
        <v>47</v>
      </c>
      <c r="AF1586" t="s">
        <v>47</v>
      </c>
      <c r="AG1586" t="s">
        <v>47</v>
      </c>
      <c r="AH1586" t="s">
        <v>47</v>
      </c>
      <c r="AI1586" t="s">
        <v>47</v>
      </c>
      <c r="AJ1586" t="s">
        <v>47</v>
      </c>
      <c r="AK1586" t="s">
        <v>47</v>
      </c>
      <c r="AL1586" t="s">
        <v>47</v>
      </c>
      <c r="AM1586" t="s">
        <v>47</v>
      </c>
      <c r="AN1586" t="s">
        <v>47</v>
      </c>
      <c r="AO1586" s="5" t="s">
        <v>60</v>
      </c>
      <c r="AP1586" s="4" t="s">
        <v>61</v>
      </c>
      <c r="AQ1586" s="4" t="s">
        <v>119</v>
      </c>
      <c r="AR1586" s="4" t="s">
        <v>54</v>
      </c>
      <c r="AS1586" s="5">
        <v>2032105</v>
      </c>
      <c r="AT1586" t="s">
        <v>47</v>
      </c>
    </row>
    <row r="1587" spans="1:46" ht="39" x14ac:dyDescent="0.3">
      <c r="A1587" s="4" t="s">
        <v>6013</v>
      </c>
      <c r="B1587" t="s">
        <v>47</v>
      </c>
      <c r="C1587" s="4" t="s">
        <v>122</v>
      </c>
      <c r="D1587" s="4" t="s">
        <v>206</v>
      </c>
      <c r="E1587" s="4" t="s">
        <v>123</v>
      </c>
      <c r="F1587" s="5" t="s">
        <v>6014</v>
      </c>
      <c r="G1587" s="5" t="s">
        <v>6015</v>
      </c>
      <c r="H1587" t="s">
        <v>47</v>
      </c>
      <c r="I1587" s="3">
        <v>36161</v>
      </c>
      <c r="J1587" s="3">
        <v>39052</v>
      </c>
      <c r="K1587" t="s">
        <v>47</v>
      </c>
      <c r="L1587" s="5" t="s">
        <v>60</v>
      </c>
      <c r="M1587" t="s">
        <v>47</v>
      </c>
      <c r="N1587" t="s">
        <v>47</v>
      </c>
      <c r="O1587" t="s">
        <v>47</v>
      </c>
      <c r="P1587" s="3">
        <v>36161</v>
      </c>
      <c r="Q1587" s="3">
        <v>39052</v>
      </c>
      <c r="R1587" t="s">
        <v>47</v>
      </c>
      <c r="S1587" t="s">
        <v>47</v>
      </c>
      <c r="T1587" t="s">
        <v>47</v>
      </c>
      <c r="U1587" t="s">
        <v>47</v>
      </c>
      <c r="V1587" t="s">
        <v>47</v>
      </c>
      <c r="W1587" s="3">
        <v>36161</v>
      </c>
      <c r="X1587" s="3">
        <v>39052</v>
      </c>
      <c r="Y1587" t="s">
        <v>47</v>
      </c>
      <c r="Z1587" s="3">
        <v>36161</v>
      </c>
      <c r="AA1587" s="3">
        <v>39052</v>
      </c>
      <c r="AB1587" t="s">
        <v>47</v>
      </c>
      <c r="AC1587" s="3">
        <v>36161</v>
      </c>
      <c r="AD1587" s="3">
        <v>39052</v>
      </c>
      <c r="AE1587" t="s">
        <v>47</v>
      </c>
      <c r="AF1587" t="s">
        <v>47</v>
      </c>
      <c r="AG1587" t="s">
        <v>47</v>
      </c>
      <c r="AH1587" t="s">
        <v>47</v>
      </c>
      <c r="AI1587" t="s">
        <v>47</v>
      </c>
      <c r="AJ1587" t="s">
        <v>47</v>
      </c>
      <c r="AK1587" t="s">
        <v>47</v>
      </c>
      <c r="AL1587" t="s">
        <v>47</v>
      </c>
      <c r="AM1587" t="s">
        <v>47</v>
      </c>
      <c r="AN1587" t="s">
        <v>47</v>
      </c>
      <c r="AO1587" s="5" t="s">
        <v>60</v>
      </c>
      <c r="AP1587" s="4" t="s">
        <v>61</v>
      </c>
      <c r="AQ1587" s="4" t="s">
        <v>53</v>
      </c>
      <c r="AR1587" s="4" t="s">
        <v>62</v>
      </c>
      <c r="AS1587" s="5">
        <v>26125</v>
      </c>
      <c r="AT1587" t="s">
        <v>47</v>
      </c>
    </row>
    <row r="1588" spans="1:46" ht="52" x14ac:dyDescent="0.3">
      <c r="A1588" s="4" t="s">
        <v>6016</v>
      </c>
      <c r="B1588" t="s">
        <v>47</v>
      </c>
      <c r="C1588" s="4" t="s">
        <v>1516</v>
      </c>
      <c r="D1588" s="4" t="s">
        <v>1517</v>
      </c>
      <c r="E1588" s="4" t="s">
        <v>723</v>
      </c>
      <c r="F1588" s="5" t="s">
        <v>6017</v>
      </c>
      <c r="G1588" s="5" t="s">
        <v>6018</v>
      </c>
      <c r="H1588" t="s">
        <v>47</v>
      </c>
      <c r="I1588" s="3">
        <v>40360</v>
      </c>
      <c r="J1588" s="5" t="s">
        <v>50</v>
      </c>
      <c r="K1588" t="s">
        <v>47</v>
      </c>
      <c r="L1588" s="5" t="s">
        <v>60</v>
      </c>
      <c r="M1588" s="3">
        <v>40360</v>
      </c>
      <c r="N1588" s="5" t="s">
        <v>50</v>
      </c>
      <c r="O1588" t="s">
        <v>47</v>
      </c>
      <c r="P1588" s="3">
        <v>40360</v>
      </c>
      <c r="Q1588" s="5" t="s">
        <v>50</v>
      </c>
      <c r="R1588" t="s">
        <v>47</v>
      </c>
      <c r="S1588" t="s">
        <v>47</v>
      </c>
      <c r="T1588" t="s">
        <v>47</v>
      </c>
      <c r="U1588" t="s">
        <v>47</v>
      </c>
      <c r="V1588" t="s">
        <v>47</v>
      </c>
      <c r="W1588" s="3">
        <v>40360</v>
      </c>
      <c r="X1588" s="5" t="s">
        <v>50</v>
      </c>
      <c r="Y1588" t="s">
        <v>47</v>
      </c>
      <c r="Z1588" s="3">
        <v>40360</v>
      </c>
      <c r="AA1588" s="5" t="s">
        <v>50</v>
      </c>
      <c r="AB1588" t="s">
        <v>47</v>
      </c>
      <c r="AC1588" s="3">
        <v>40360</v>
      </c>
      <c r="AD1588" s="5" t="s">
        <v>50</v>
      </c>
      <c r="AE1588" t="s">
        <v>47</v>
      </c>
      <c r="AF1588" t="s">
        <v>47</v>
      </c>
      <c r="AG1588" t="s">
        <v>47</v>
      </c>
      <c r="AH1588" t="s">
        <v>47</v>
      </c>
      <c r="AI1588" t="s">
        <v>47</v>
      </c>
      <c r="AJ1588" t="s">
        <v>47</v>
      </c>
      <c r="AK1588" t="s">
        <v>47</v>
      </c>
      <c r="AL1588" t="s">
        <v>47</v>
      </c>
      <c r="AM1588" t="s">
        <v>47</v>
      </c>
      <c r="AN1588" t="s">
        <v>47</v>
      </c>
      <c r="AO1588" s="5" t="s">
        <v>60</v>
      </c>
      <c r="AP1588" s="4" t="s">
        <v>61</v>
      </c>
      <c r="AQ1588" s="4" t="s">
        <v>726</v>
      </c>
      <c r="AR1588" s="4" t="s">
        <v>1337</v>
      </c>
      <c r="AS1588" s="5">
        <v>1066346</v>
      </c>
      <c r="AT1588" t="s">
        <v>47</v>
      </c>
    </row>
    <row r="1589" spans="1:46" ht="78" x14ac:dyDescent="0.3">
      <c r="A1589" s="4" t="s">
        <v>6019</v>
      </c>
      <c r="B1589" t="s">
        <v>47</v>
      </c>
      <c r="C1589" s="4" t="s">
        <v>6020</v>
      </c>
      <c r="D1589" s="4" t="s">
        <v>597</v>
      </c>
      <c r="E1589" s="4" t="s">
        <v>49</v>
      </c>
      <c r="F1589" s="5" t="s">
        <v>6021</v>
      </c>
      <c r="G1589" t="s">
        <v>47</v>
      </c>
      <c r="H1589" t="s">
        <v>47</v>
      </c>
      <c r="I1589" s="3">
        <v>36526</v>
      </c>
      <c r="J1589" s="5" t="s">
        <v>50</v>
      </c>
      <c r="K1589" t="s">
        <v>47</v>
      </c>
      <c r="L1589" s="5" t="s">
        <v>60</v>
      </c>
      <c r="M1589" s="3">
        <v>36526</v>
      </c>
      <c r="N1589" s="5" t="s">
        <v>50</v>
      </c>
      <c r="O1589" t="s">
        <v>47</v>
      </c>
      <c r="P1589" s="3">
        <v>36526</v>
      </c>
      <c r="Q1589" s="5" t="s">
        <v>50</v>
      </c>
      <c r="R1589" t="s">
        <v>47</v>
      </c>
      <c r="S1589" t="s">
        <v>47</v>
      </c>
      <c r="T1589" t="s">
        <v>47</v>
      </c>
      <c r="U1589" t="s">
        <v>47</v>
      </c>
      <c r="V1589" t="s">
        <v>47</v>
      </c>
      <c r="W1589" s="3">
        <v>36526</v>
      </c>
      <c r="X1589" s="5" t="s">
        <v>50</v>
      </c>
      <c r="Y1589" t="s">
        <v>47</v>
      </c>
      <c r="Z1589" s="3">
        <v>36526</v>
      </c>
      <c r="AA1589" s="5" t="s">
        <v>50</v>
      </c>
      <c r="AB1589" t="s">
        <v>47</v>
      </c>
      <c r="AC1589" s="3">
        <v>38078</v>
      </c>
      <c r="AD1589" s="5" t="s">
        <v>50</v>
      </c>
      <c r="AE1589" t="s">
        <v>47</v>
      </c>
      <c r="AF1589" t="s">
        <v>47</v>
      </c>
      <c r="AG1589" t="s">
        <v>47</v>
      </c>
      <c r="AH1589" t="s">
        <v>47</v>
      </c>
      <c r="AI1589" t="s">
        <v>47</v>
      </c>
      <c r="AJ1589" t="s">
        <v>47</v>
      </c>
      <c r="AK1589" t="s">
        <v>47</v>
      </c>
      <c r="AL1589" t="s">
        <v>47</v>
      </c>
      <c r="AM1589" t="s">
        <v>47</v>
      </c>
      <c r="AN1589" t="s">
        <v>47</v>
      </c>
      <c r="AO1589" s="5" t="s">
        <v>51</v>
      </c>
      <c r="AP1589" s="4" t="s">
        <v>61</v>
      </c>
      <c r="AQ1589" s="4" t="s">
        <v>53</v>
      </c>
      <c r="AR1589" s="4" t="s">
        <v>6022</v>
      </c>
      <c r="AS1589" s="5">
        <v>29246</v>
      </c>
      <c r="AT1589" t="s">
        <v>47</v>
      </c>
    </row>
    <row r="1590" spans="1:46" ht="26" x14ac:dyDescent="0.3">
      <c r="A1590" s="4" t="s">
        <v>6023</v>
      </c>
      <c r="B1590" t="s">
        <v>47</v>
      </c>
      <c r="C1590" s="4" t="s">
        <v>6024</v>
      </c>
      <c r="D1590" s="4" t="s">
        <v>6025</v>
      </c>
      <c r="E1590" s="4" t="s">
        <v>49</v>
      </c>
      <c r="F1590" t="s">
        <v>47</v>
      </c>
      <c r="G1590" t="s">
        <v>47</v>
      </c>
      <c r="H1590" t="s">
        <v>47</v>
      </c>
      <c r="I1590" s="3">
        <v>36039</v>
      </c>
      <c r="J1590" s="3">
        <v>37165</v>
      </c>
      <c r="K1590" t="s">
        <v>47</v>
      </c>
      <c r="L1590" s="5" t="s">
        <v>51</v>
      </c>
      <c r="M1590" s="3">
        <v>36039</v>
      </c>
      <c r="N1590" s="3">
        <v>37165</v>
      </c>
      <c r="O1590" t="s">
        <v>47</v>
      </c>
      <c r="P1590" s="3">
        <v>36039</v>
      </c>
      <c r="Q1590" s="3">
        <v>37165</v>
      </c>
      <c r="R1590" t="s">
        <v>47</v>
      </c>
      <c r="S1590" t="s">
        <v>47</v>
      </c>
      <c r="T1590" t="s">
        <v>47</v>
      </c>
      <c r="U1590" t="s">
        <v>47</v>
      </c>
      <c r="V1590" t="s">
        <v>47</v>
      </c>
      <c r="W1590" s="3">
        <v>36039</v>
      </c>
      <c r="X1590" s="3">
        <v>37165</v>
      </c>
      <c r="Y1590" t="s">
        <v>47</v>
      </c>
      <c r="Z1590" s="3">
        <v>36039</v>
      </c>
      <c r="AA1590" s="3">
        <v>37165</v>
      </c>
      <c r="AB1590" t="s">
        <v>47</v>
      </c>
      <c r="AC1590" t="s">
        <v>47</v>
      </c>
      <c r="AD1590" t="s">
        <v>47</v>
      </c>
      <c r="AE1590" t="s">
        <v>47</v>
      </c>
      <c r="AF1590" t="s">
        <v>47</v>
      </c>
      <c r="AG1590" t="s">
        <v>47</v>
      </c>
      <c r="AH1590" t="s">
        <v>47</v>
      </c>
      <c r="AI1590" t="s">
        <v>47</v>
      </c>
      <c r="AJ1590" t="s">
        <v>47</v>
      </c>
      <c r="AK1590" t="s">
        <v>47</v>
      </c>
      <c r="AL1590" t="s">
        <v>47</v>
      </c>
      <c r="AM1590" t="s">
        <v>47</v>
      </c>
      <c r="AN1590" t="s">
        <v>47</v>
      </c>
      <c r="AO1590" s="5" t="s">
        <v>51</v>
      </c>
      <c r="AP1590" s="4" t="s">
        <v>85</v>
      </c>
      <c r="AQ1590" s="4" t="s">
        <v>53</v>
      </c>
      <c r="AR1590" s="4" t="s">
        <v>54</v>
      </c>
      <c r="AS1590" s="5">
        <v>33401</v>
      </c>
      <c r="AT1590" t="s">
        <v>47</v>
      </c>
    </row>
    <row r="1591" spans="1:46" ht="26" x14ac:dyDescent="0.3">
      <c r="A1591" s="4" t="s">
        <v>6026</v>
      </c>
      <c r="B1591" t="s">
        <v>47</v>
      </c>
      <c r="C1591" s="4" t="s">
        <v>3730</v>
      </c>
      <c r="D1591" s="4" t="s">
        <v>1241</v>
      </c>
      <c r="E1591" s="4" t="s">
        <v>3731</v>
      </c>
      <c r="F1591" s="5" t="s">
        <v>6027</v>
      </c>
      <c r="G1591" s="5" t="s">
        <v>6028</v>
      </c>
      <c r="H1591" t="s">
        <v>47</v>
      </c>
      <c r="I1591" s="3">
        <v>40179</v>
      </c>
      <c r="J1591" s="5" t="s">
        <v>50</v>
      </c>
      <c r="K1591" t="s">
        <v>47</v>
      </c>
      <c r="L1591" s="5" t="s">
        <v>60</v>
      </c>
      <c r="M1591" t="s">
        <v>47</v>
      </c>
      <c r="N1591" t="s">
        <v>47</v>
      </c>
      <c r="O1591" t="s">
        <v>47</v>
      </c>
      <c r="P1591" s="3">
        <v>40179</v>
      </c>
      <c r="Q1591" s="5" t="s">
        <v>50</v>
      </c>
      <c r="R1591" t="s">
        <v>47</v>
      </c>
      <c r="S1591" t="s">
        <v>47</v>
      </c>
      <c r="T1591" t="s">
        <v>47</v>
      </c>
      <c r="U1591" t="s">
        <v>47</v>
      </c>
      <c r="V1591" t="s">
        <v>47</v>
      </c>
      <c r="W1591" s="3">
        <v>40179</v>
      </c>
      <c r="X1591" s="5" t="s">
        <v>50</v>
      </c>
      <c r="Y1591" t="s">
        <v>47</v>
      </c>
      <c r="Z1591" s="3">
        <v>40179</v>
      </c>
      <c r="AA1591" s="5" t="s">
        <v>50</v>
      </c>
      <c r="AB1591" t="s">
        <v>47</v>
      </c>
      <c r="AC1591" s="3">
        <v>40179</v>
      </c>
      <c r="AD1591" s="5" t="s">
        <v>50</v>
      </c>
      <c r="AE1591" t="s">
        <v>47</v>
      </c>
      <c r="AF1591" t="s">
        <v>47</v>
      </c>
      <c r="AG1591" t="s">
        <v>47</v>
      </c>
      <c r="AH1591" t="s">
        <v>47</v>
      </c>
      <c r="AI1591" t="s">
        <v>47</v>
      </c>
      <c r="AJ1591" t="s">
        <v>47</v>
      </c>
      <c r="AK1591" t="s">
        <v>47</v>
      </c>
      <c r="AL1591" t="s">
        <v>47</v>
      </c>
      <c r="AM1591" t="s">
        <v>47</v>
      </c>
      <c r="AN1591" t="s">
        <v>47</v>
      </c>
      <c r="AO1591" s="5" t="s">
        <v>60</v>
      </c>
      <c r="AP1591" s="4" t="s">
        <v>61</v>
      </c>
      <c r="AQ1591" s="4" t="s">
        <v>53</v>
      </c>
      <c r="AR1591" s="4" t="s">
        <v>54</v>
      </c>
      <c r="AS1591" s="5">
        <v>2037378</v>
      </c>
      <c r="AT1591" t="s">
        <v>47</v>
      </c>
    </row>
    <row r="1592" spans="1:46" ht="13" x14ac:dyDescent="0.3">
      <c r="A1592" s="4" t="s">
        <v>6029</v>
      </c>
      <c r="B1592" t="s">
        <v>47</v>
      </c>
      <c r="C1592" s="4" t="s">
        <v>884</v>
      </c>
      <c r="D1592" s="4" t="s">
        <v>885</v>
      </c>
      <c r="E1592" s="4" t="s">
        <v>49</v>
      </c>
      <c r="F1592" s="5" t="s">
        <v>6030</v>
      </c>
      <c r="G1592" s="5" t="s">
        <v>6031</v>
      </c>
      <c r="H1592" t="s">
        <v>47</v>
      </c>
      <c r="I1592" s="3">
        <v>37681</v>
      </c>
      <c r="J1592" s="5" t="s">
        <v>50</v>
      </c>
      <c r="K1592" t="s">
        <v>47</v>
      </c>
      <c r="L1592" s="5" t="s">
        <v>60</v>
      </c>
      <c r="M1592" s="3">
        <v>37681</v>
      </c>
      <c r="N1592" s="5" t="s">
        <v>50</v>
      </c>
      <c r="O1592" t="s">
        <v>47</v>
      </c>
      <c r="P1592" s="3">
        <v>37681</v>
      </c>
      <c r="Q1592" s="5" t="s">
        <v>50</v>
      </c>
      <c r="R1592" t="s">
        <v>47</v>
      </c>
      <c r="S1592" t="s">
        <v>47</v>
      </c>
      <c r="T1592" t="s">
        <v>47</v>
      </c>
      <c r="U1592" t="s">
        <v>47</v>
      </c>
      <c r="V1592" s="5">
        <v>365</v>
      </c>
      <c r="W1592" s="3">
        <v>35125</v>
      </c>
      <c r="X1592" s="5" t="s">
        <v>50</v>
      </c>
      <c r="Y1592" t="s">
        <v>47</v>
      </c>
      <c r="Z1592" s="3">
        <v>35125</v>
      </c>
      <c r="AA1592" s="5" t="s">
        <v>50</v>
      </c>
      <c r="AB1592" t="s">
        <v>47</v>
      </c>
      <c r="AC1592" s="3">
        <v>35125</v>
      </c>
      <c r="AD1592" s="5" t="s">
        <v>50</v>
      </c>
      <c r="AE1592" t="s">
        <v>47</v>
      </c>
      <c r="AF1592" t="s">
        <v>47</v>
      </c>
      <c r="AG1592" t="s">
        <v>47</v>
      </c>
      <c r="AH1592" t="s">
        <v>47</v>
      </c>
      <c r="AI1592" t="s">
        <v>47</v>
      </c>
      <c r="AJ1592" t="s">
        <v>47</v>
      </c>
      <c r="AK1592" t="s">
        <v>47</v>
      </c>
      <c r="AL1592" t="s">
        <v>47</v>
      </c>
      <c r="AM1592" t="s">
        <v>47</v>
      </c>
      <c r="AN1592" t="s">
        <v>47</v>
      </c>
      <c r="AO1592" s="5" t="s">
        <v>60</v>
      </c>
      <c r="AP1592" s="4" t="s">
        <v>61</v>
      </c>
      <c r="AQ1592" s="4" t="s">
        <v>53</v>
      </c>
      <c r="AR1592" s="4" t="s">
        <v>6032</v>
      </c>
      <c r="AS1592" s="5">
        <v>33249</v>
      </c>
      <c r="AT1592" t="s">
        <v>47</v>
      </c>
    </row>
    <row r="1593" spans="1:46" ht="26" x14ac:dyDescent="0.3">
      <c r="A1593" s="4" t="s">
        <v>6033</v>
      </c>
      <c r="B1593" t="s">
        <v>47</v>
      </c>
      <c r="C1593" s="4" t="s">
        <v>6034</v>
      </c>
      <c r="D1593" s="4" t="s">
        <v>139</v>
      </c>
      <c r="E1593" s="4" t="s">
        <v>49</v>
      </c>
      <c r="F1593" s="5" t="s">
        <v>6035</v>
      </c>
      <c r="G1593" s="5" t="s">
        <v>6036</v>
      </c>
      <c r="H1593" t="s">
        <v>47</v>
      </c>
      <c r="I1593" s="3">
        <v>40909</v>
      </c>
      <c r="J1593" s="5" t="s">
        <v>50</v>
      </c>
      <c r="K1593" t="s">
        <v>47</v>
      </c>
      <c r="L1593" s="5" t="s">
        <v>60</v>
      </c>
      <c r="M1593" s="3">
        <v>40909</v>
      </c>
      <c r="N1593" s="5" t="s">
        <v>50</v>
      </c>
      <c r="O1593" t="s">
        <v>47</v>
      </c>
      <c r="P1593" s="3">
        <v>40909</v>
      </c>
      <c r="Q1593" s="5" t="s">
        <v>50</v>
      </c>
      <c r="R1593" t="s">
        <v>47</v>
      </c>
      <c r="S1593" t="s">
        <v>47</v>
      </c>
      <c r="T1593" t="s">
        <v>47</v>
      </c>
      <c r="U1593" t="s">
        <v>47</v>
      </c>
      <c r="V1593" t="s">
        <v>47</v>
      </c>
      <c r="W1593" s="3">
        <v>40909</v>
      </c>
      <c r="X1593" s="5" t="s">
        <v>50</v>
      </c>
      <c r="Y1593" t="s">
        <v>47</v>
      </c>
      <c r="Z1593" s="3">
        <v>40909</v>
      </c>
      <c r="AA1593" s="5" t="s">
        <v>50</v>
      </c>
      <c r="AB1593" t="s">
        <v>47</v>
      </c>
      <c r="AC1593" s="3">
        <v>40909</v>
      </c>
      <c r="AD1593" s="5" t="s">
        <v>50</v>
      </c>
      <c r="AE1593" t="s">
        <v>47</v>
      </c>
      <c r="AF1593" t="s">
        <v>47</v>
      </c>
      <c r="AG1593" t="s">
        <v>47</v>
      </c>
      <c r="AH1593" t="s">
        <v>47</v>
      </c>
      <c r="AI1593" t="s">
        <v>47</v>
      </c>
      <c r="AJ1593" t="s">
        <v>47</v>
      </c>
      <c r="AK1593" t="s">
        <v>47</v>
      </c>
      <c r="AL1593" t="s">
        <v>47</v>
      </c>
      <c r="AM1593" t="s">
        <v>47</v>
      </c>
      <c r="AN1593" t="s">
        <v>47</v>
      </c>
      <c r="AO1593" s="5" t="s">
        <v>60</v>
      </c>
      <c r="AP1593" s="4" t="s">
        <v>61</v>
      </c>
      <c r="AQ1593" s="4" t="s">
        <v>53</v>
      </c>
      <c r="AR1593" s="4" t="s">
        <v>737</v>
      </c>
      <c r="AS1593" s="5">
        <v>2026476</v>
      </c>
      <c r="AT1593" t="s">
        <v>47</v>
      </c>
    </row>
    <row r="1594" spans="1:46" ht="26" x14ac:dyDescent="0.3">
      <c r="A1594" s="4" t="s">
        <v>6037</v>
      </c>
      <c r="B1594" t="s">
        <v>47</v>
      </c>
      <c r="C1594" s="4" t="s">
        <v>6038</v>
      </c>
      <c r="D1594" s="4" t="s">
        <v>780</v>
      </c>
      <c r="E1594" s="4" t="s">
        <v>49</v>
      </c>
      <c r="F1594" s="5" t="s">
        <v>6039</v>
      </c>
      <c r="G1594" s="5" t="s">
        <v>6040</v>
      </c>
      <c r="H1594" t="s">
        <v>47</v>
      </c>
      <c r="I1594" s="3">
        <v>36161</v>
      </c>
      <c r="J1594" s="3">
        <v>38626</v>
      </c>
      <c r="K1594" t="s">
        <v>47</v>
      </c>
      <c r="L1594" s="5" t="s">
        <v>60</v>
      </c>
      <c r="M1594" s="3">
        <v>36161</v>
      </c>
      <c r="N1594" s="3">
        <v>38626</v>
      </c>
      <c r="O1594" t="s">
        <v>47</v>
      </c>
      <c r="P1594" s="3">
        <v>36161</v>
      </c>
      <c r="Q1594" s="3">
        <v>38626</v>
      </c>
      <c r="R1594" t="s">
        <v>47</v>
      </c>
      <c r="S1594" t="s">
        <v>47</v>
      </c>
      <c r="T1594" t="s">
        <v>47</v>
      </c>
      <c r="U1594" t="s">
        <v>47</v>
      </c>
      <c r="V1594" t="s">
        <v>47</v>
      </c>
      <c r="W1594" s="3">
        <v>36161</v>
      </c>
      <c r="X1594" s="5" t="s">
        <v>50</v>
      </c>
      <c r="Y1594" t="s">
        <v>47</v>
      </c>
      <c r="Z1594" s="3">
        <v>36161</v>
      </c>
      <c r="AA1594" s="5" t="s">
        <v>50</v>
      </c>
      <c r="AB1594" t="s">
        <v>47</v>
      </c>
      <c r="AC1594" s="3">
        <v>36161</v>
      </c>
      <c r="AD1594" s="5" t="s">
        <v>50</v>
      </c>
      <c r="AE1594" t="s">
        <v>47</v>
      </c>
      <c r="AF1594" t="s">
        <v>47</v>
      </c>
      <c r="AG1594" t="s">
        <v>47</v>
      </c>
      <c r="AH1594" t="s">
        <v>47</v>
      </c>
      <c r="AI1594" t="s">
        <v>47</v>
      </c>
      <c r="AJ1594" t="s">
        <v>47</v>
      </c>
      <c r="AK1594" t="s">
        <v>47</v>
      </c>
      <c r="AL1594" t="s">
        <v>47</v>
      </c>
      <c r="AM1594" t="s">
        <v>47</v>
      </c>
      <c r="AN1594" t="s">
        <v>47</v>
      </c>
      <c r="AO1594" s="5" t="s">
        <v>60</v>
      </c>
      <c r="AP1594" s="4" t="s">
        <v>61</v>
      </c>
      <c r="AQ1594" s="4" t="s">
        <v>53</v>
      </c>
      <c r="AR1594" s="4" t="s">
        <v>807</v>
      </c>
      <c r="AS1594" s="5">
        <v>798</v>
      </c>
      <c r="AT1594" t="s">
        <v>47</v>
      </c>
    </row>
    <row r="1595" spans="1:46" ht="91" x14ac:dyDescent="0.3">
      <c r="A1595" s="4" t="s">
        <v>6041</v>
      </c>
      <c r="B1595" t="s">
        <v>47</v>
      </c>
      <c r="C1595" s="4" t="s">
        <v>3730</v>
      </c>
      <c r="D1595" s="4" t="s">
        <v>1241</v>
      </c>
      <c r="E1595" s="4" t="s">
        <v>3731</v>
      </c>
      <c r="F1595" s="5" t="s">
        <v>6042</v>
      </c>
      <c r="G1595" s="5" t="s">
        <v>6043</v>
      </c>
      <c r="H1595" t="s">
        <v>47</v>
      </c>
      <c r="I1595" s="3">
        <v>35796</v>
      </c>
      <c r="J1595" s="5" t="s">
        <v>50</v>
      </c>
      <c r="K1595" t="s">
        <v>47</v>
      </c>
      <c r="L1595" s="5" t="s">
        <v>60</v>
      </c>
      <c r="M1595" s="3">
        <v>35796</v>
      </c>
      <c r="N1595" s="5" t="s">
        <v>50</v>
      </c>
      <c r="O1595" t="s">
        <v>47</v>
      </c>
      <c r="P1595" s="3">
        <v>35796</v>
      </c>
      <c r="Q1595" s="5" t="s">
        <v>50</v>
      </c>
      <c r="R1595" t="s">
        <v>47</v>
      </c>
      <c r="S1595" t="s">
        <v>47</v>
      </c>
      <c r="T1595" t="s">
        <v>47</v>
      </c>
      <c r="U1595" t="s">
        <v>47</v>
      </c>
      <c r="V1595" t="s">
        <v>47</v>
      </c>
      <c r="W1595" s="3">
        <v>35796</v>
      </c>
      <c r="X1595" s="5" t="s">
        <v>50</v>
      </c>
      <c r="Y1595" t="s">
        <v>47</v>
      </c>
      <c r="Z1595" s="3">
        <v>35796</v>
      </c>
      <c r="AA1595" s="5" t="s">
        <v>50</v>
      </c>
      <c r="AB1595" t="s">
        <v>47</v>
      </c>
      <c r="AC1595" s="3">
        <v>36800</v>
      </c>
      <c r="AD1595" s="5" t="s">
        <v>50</v>
      </c>
      <c r="AE1595" s="5" t="s">
        <v>3649</v>
      </c>
      <c r="AF1595" t="s">
        <v>47</v>
      </c>
      <c r="AG1595" t="s">
        <v>47</v>
      </c>
      <c r="AH1595" t="s">
        <v>47</v>
      </c>
      <c r="AI1595" t="s">
        <v>47</v>
      </c>
      <c r="AJ1595" t="s">
        <v>47</v>
      </c>
      <c r="AK1595" t="s">
        <v>47</v>
      </c>
      <c r="AL1595" t="s">
        <v>47</v>
      </c>
      <c r="AM1595" t="s">
        <v>47</v>
      </c>
      <c r="AN1595" t="s">
        <v>47</v>
      </c>
      <c r="AO1595" s="5" t="s">
        <v>60</v>
      </c>
      <c r="AP1595" s="4" t="s">
        <v>61</v>
      </c>
      <c r="AQ1595" s="4" t="s">
        <v>53</v>
      </c>
      <c r="AR1595" s="4" t="s">
        <v>6044</v>
      </c>
      <c r="AS1595" s="5">
        <v>5997</v>
      </c>
      <c r="AT1595" t="s">
        <v>47</v>
      </c>
    </row>
    <row r="1596" spans="1:46" ht="65" x14ac:dyDescent="0.3">
      <c r="A1596" s="4" t="s">
        <v>6045</v>
      </c>
      <c r="B1596" t="s">
        <v>47</v>
      </c>
      <c r="C1596" s="4" t="s">
        <v>6046</v>
      </c>
      <c r="D1596" s="4" t="s">
        <v>88</v>
      </c>
      <c r="E1596" s="4" t="s">
        <v>151</v>
      </c>
      <c r="F1596" s="5" t="s">
        <v>6047</v>
      </c>
      <c r="G1596" t="s">
        <v>47</v>
      </c>
      <c r="H1596" t="s">
        <v>47</v>
      </c>
      <c r="I1596" s="3">
        <v>38261</v>
      </c>
      <c r="J1596" s="3">
        <v>39173</v>
      </c>
      <c r="K1596" t="s">
        <v>47</v>
      </c>
      <c r="L1596" s="5" t="s">
        <v>60</v>
      </c>
      <c r="M1596" s="3">
        <v>38261</v>
      </c>
      <c r="N1596" s="3">
        <v>39173</v>
      </c>
      <c r="O1596" t="s">
        <v>47</v>
      </c>
      <c r="P1596" s="3">
        <v>38261</v>
      </c>
      <c r="Q1596" s="3">
        <v>39173</v>
      </c>
      <c r="R1596" t="s">
        <v>47</v>
      </c>
      <c r="S1596" t="s">
        <v>47</v>
      </c>
      <c r="T1596" t="s">
        <v>47</v>
      </c>
      <c r="U1596" t="s">
        <v>47</v>
      </c>
      <c r="V1596" t="s">
        <v>47</v>
      </c>
      <c r="W1596" s="3">
        <v>38261</v>
      </c>
      <c r="X1596" s="3">
        <v>39173</v>
      </c>
      <c r="Y1596" t="s">
        <v>47</v>
      </c>
      <c r="Z1596" s="3">
        <v>38261</v>
      </c>
      <c r="AA1596" s="3">
        <v>39173</v>
      </c>
      <c r="AB1596" t="s">
        <v>47</v>
      </c>
      <c r="AC1596" s="3">
        <v>38261</v>
      </c>
      <c r="AD1596" s="3">
        <v>39173</v>
      </c>
      <c r="AE1596" t="s">
        <v>47</v>
      </c>
      <c r="AF1596" t="s">
        <v>47</v>
      </c>
      <c r="AG1596" t="s">
        <v>47</v>
      </c>
      <c r="AH1596" t="s">
        <v>47</v>
      </c>
      <c r="AI1596" t="s">
        <v>47</v>
      </c>
      <c r="AJ1596" t="s">
        <v>47</v>
      </c>
      <c r="AK1596" t="s">
        <v>47</v>
      </c>
      <c r="AL1596" t="s">
        <v>47</v>
      </c>
      <c r="AM1596" t="s">
        <v>47</v>
      </c>
      <c r="AN1596" t="s">
        <v>47</v>
      </c>
      <c r="AO1596" s="5" t="s">
        <v>51</v>
      </c>
      <c r="AP1596" s="4" t="s">
        <v>61</v>
      </c>
      <c r="AQ1596" s="4" t="s">
        <v>53</v>
      </c>
      <c r="AR1596" s="4" t="s">
        <v>543</v>
      </c>
      <c r="AS1596" s="5">
        <v>26303</v>
      </c>
      <c r="AT1596" t="s">
        <v>47</v>
      </c>
    </row>
    <row r="1597" spans="1:46" ht="26" x14ac:dyDescent="0.3">
      <c r="A1597" s="4" t="s">
        <v>6048</v>
      </c>
      <c r="B1597" t="s">
        <v>47</v>
      </c>
      <c r="C1597" s="4" t="s">
        <v>6049</v>
      </c>
      <c r="D1597" s="4" t="s">
        <v>139</v>
      </c>
      <c r="E1597" s="4" t="s">
        <v>66</v>
      </c>
      <c r="F1597" s="5" t="s">
        <v>6050</v>
      </c>
      <c r="G1597" t="s">
        <v>47</v>
      </c>
      <c r="H1597" t="s">
        <v>47</v>
      </c>
      <c r="I1597" s="3">
        <v>40459</v>
      </c>
      <c r="J1597" s="3">
        <v>40795</v>
      </c>
      <c r="K1597" t="s">
        <v>47</v>
      </c>
      <c r="L1597" s="5" t="s">
        <v>60</v>
      </c>
      <c r="M1597" s="3">
        <v>40459</v>
      </c>
      <c r="N1597" s="3">
        <v>40795</v>
      </c>
      <c r="O1597" t="s">
        <v>47</v>
      </c>
      <c r="P1597" t="s">
        <v>47</v>
      </c>
      <c r="Q1597" t="s">
        <v>47</v>
      </c>
      <c r="R1597" t="s">
        <v>47</v>
      </c>
      <c r="S1597" t="s">
        <v>47</v>
      </c>
      <c r="T1597" t="s">
        <v>47</v>
      </c>
      <c r="U1597" t="s">
        <v>47</v>
      </c>
      <c r="V1597" t="s">
        <v>47</v>
      </c>
      <c r="W1597" s="3">
        <v>40459</v>
      </c>
      <c r="X1597" s="3">
        <v>40795</v>
      </c>
      <c r="Y1597" t="s">
        <v>47</v>
      </c>
      <c r="Z1597" s="3">
        <v>40459</v>
      </c>
      <c r="AA1597" s="3">
        <v>40795</v>
      </c>
      <c r="AB1597" t="s">
        <v>47</v>
      </c>
      <c r="AC1597" s="3">
        <v>40459</v>
      </c>
      <c r="AD1597" s="3">
        <v>40795</v>
      </c>
      <c r="AE1597" t="s">
        <v>47</v>
      </c>
      <c r="AF1597" t="s">
        <v>47</v>
      </c>
      <c r="AG1597" t="s">
        <v>47</v>
      </c>
      <c r="AH1597" t="s">
        <v>47</v>
      </c>
      <c r="AI1597" t="s">
        <v>47</v>
      </c>
      <c r="AJ1597" t="s">
        <v>47</v>
      </c>
      <c r="AK1597" t="s">
        <v>47</v>
      </c>
      <c r="AL1597" t="s">
        <v>47</v>
      </c>
      <c r="AM1597" t="s">
        <v>47</v>
      </c>
      <c r="AN1597" t="s">
        <v>47</v>
      </c>
      <c r="AO1597" s="5" t="s">
        <v>51</v>
      </c>
      <c r="AP1597" s="4" t="s">
        <v>61</v>
      </c>
      <c r="AQ1597" s="4" t="s">
        <v>53</v>
      </c>
      <c r="AR1597" s="4" t="s">
        <v>54</v>
      </c>
      <c r="AS1597" s="5">
        <v>366362</v>
      </c>
      <c r="AT1597" t="s">
        <v>47</v>
      </c>
    </row>
    <row r="1598" spans="1:46" ht="26" x14ac:dyDescent="0.3">
      <c r="A1598" s="4" t="s">
        <v>6051</v>
      </c>
      <c r="B1598" t="s">
        <v>47</v>
      </c>
      <c r="C1598" s="4" t="s">
        <v>6049</v>
      </c>
      <c r="D1598" s="4" t="s">
        <v>139</v>
      </c>
      <c r="E1598" s="4" t="s">
        <v>66</v>
      </c>
      <c r="F1598" s="5" t="s">
        <v>6052</v>
      </c>
      <c r="G1598" t="s">
        <v>47</v>
      </c>
      <c r="H1598" t="s">
        <v>47</v>
      </c>
      <c r="I1598" s="3">
        <v>40459</v>
      </c>
      <c r="J1598" s="3">
        <v>41726</v>
      </c>
      <c r="K1598" t="s">
        <v>47</v>
      </c>
      <c r="L1598" s="5" t="s">
        <v>51</v>
      </c>
      <c r="M1598" s="3">
        <v>40459</v>
      </c>
      <c r="N1598" s="3">
        <v>41726</v>
      </c>
      <c r="O1598" t="s">
        <v>47</v>
      </c>
      <c r="P1598" t="s">
        <v>47</v>
      </c>
      <c r="Q1598" t="s">
        <v>47</v>
      </c>
      <c r="R1598" t="s">
        <v>47</v>
      </c>
      <c r="S1598" t="s">
        <v>47</v>
      </c>
      <c r="T1598" t="s">
        <v>47</v>
      </c>
      <c r="U1598" t="s">
        <v>47</v>
      </c>
      <c r="V1598" t="s">
        <v>47</v>
      </c>
      <c r="W1598" s="3">
        <v>40459</v>
      </c>
      <c r="X1598" s="3">
        <v>43238</v>
      </c>
      <c r="Y1598" t="s">
        <v>47</v>
      </c>
      <c r="Z1598" s="3">
        <v>40459</v>
      </c>
      <c r="AA1598" s="3">
        <v>43238</v>
      </c>
      <c r="AB1598" t="s">
        <v>47</v>
      </c>
      <c r="AC1598" s="3">
        <v>40459</v>
      </c>
      <c r="AD1598" s="3">
        <v>41726</v>
      </c>
      <c r="AE1598" t="s">
        <v>47</v>
      </c>
      <c r="AF1598" t="s">
        <v>47</v>
      </c>
      <c r="AG1598" t="s">
        <v>47</v>
      </c>
      <c r="AH1598" t="s">
        <v>47</v>
      </c>
      <c r="AI1598" t="s">
        <v>47</v>
      </c>
      <c r="AJ1598" t="s">
        <v>47</v>
      </c>
      <c r="AK1598" t="s">
        <v>47</v>
      </c>
      <c r="AL1598" t="s">
        <v>47</v>
      </c>
      <c r="AM1598" t="s">
        <v>47</v>
      </c>
      <c r="AN1598" t="s">
        <v>47</v>
      </c>
      <c r="AO1598" s="5" t="s">
        <v>51</v>
      </c>
      <c r="AP1598" s="4" t="s">
        <v>1421</v>
      </c>
      <c r="AQ1598" s="4" t="s">
        <v>53</v>
      </c>
      <c r="AR1598" s="4" t="s">
        <v>54</v>
      </c>
      <c r="AS1598" s="5">
        <v>366363</v>
      </c>
      <c r="AT1598" t="s">
        <v>47</v>
      </c>
    </row>
    <row r="1599" spans="1:46" ht="13" x14ac:dyDescent="0.3">
      <c r="A1599" s="4" t="s">
        <v>6053</v>
      </c>
      <c r="B1599" t="s">
        <v>47</v>
      </c>
      <c r="C1599" s="4" t="s">
        <v>6049</v>
      </c>
      <c r="D1599" s="4" t="s">
        <v>139</v>
      </c>
      <c r="E1599" s="4" t="s">
        <v>66</v>
      </c>
      <c r="F1599" s="5" t="s">
        <v>6054</v>
      </c>
      <c r="G1599" t="s">
        <v>47</v>
      </c>
      <c r="H1599" t="s">
        <v>47</v>
      </c>
      <c r="I1599" s="3">
        <v>39451</v>
      </c>
      <c r="J1599" s="3">
        <v>44533</v>
      </c>
      <c r="K1599" t="s">
        <v>47</v>
      </c>
      <c r="L1599" s="5" t="s">
        <v>51</v>
      </c>
      <c r="M1599" s="3">
        <v>39451</v>
      </c>
      <c r="N1599" s="3">
        <v>44533</v>
      </c>
      <c r="O1599" t="s">
        <v>47</v>
      </c>
      <c r="P1599" s="3">
        <v>42321</v>
      </c>
      <c r="Q1599" s="3">
        <v>42321</v>
      </c>
      <c r="R1599" t="s">
        <v>47</v>
      </c>
      <c r="S1599" t="s">
        <v>47</v>
      </c>
      <c r="T1599" t="s">
        <v>47</v>
      </c>
      <c r="U1599" t="s">
        <v>47</v>
      </c>
      <c r="V1599" t="s">
        <v>47</v>
      </c>
      <c r="W1599" s="3">
        <v>32514</v>
      </c>
      <c r="X1599" s="3">
        <v>44533</v>
      </c>
      <c r="Y1599" t="s">
        <v>47</v>
      </c>
      <c r="Z1599" s="3">
        <v>32514</v>
      </c>
      <c r="AA1599" s="3">
        <v>44533</v>
      </c>
      <c r="AB1599" t="s">
        <v>47</v>
      </c>
      <c r="AC1599" s="3">
        <v>32514</v>
      </c>
      <c r="AD1599" s="3">
        <v>44533</v>
      </c>
      <c r="AE1599" t="s">
        <v>47</v>
      </c>
      <c r="AF1599" t="s">
        <v>47</v>
      </c>
      <c r="AG1599" t="s">
        <v>47</v>
      </c>
      <c r="AH1599" t="s">
        <v>47</v>
      </c>
      <c r="AI1599" t="s">
        <v>47</v>
      </c>
      <c r="AJ1599" t="s">
        <v>47</v>
      </c>
      <c r="AK1599" t="s">
        <v>47</v>
      </c>
      <c r="AL1599" t="s">
        <v>47</v>
      </c>
      <c r="AM1599" t="s">
        <v>47</v>
      </c>
      <c r="AN1599" t="s">
        <v>47</v>
      </c>
      <c r="AO1599" s="5" t="s">
        <v>51</v>
      </c>
      <c r="AP1599" s="4" t="s">
        <v>85</v>
      </c>
      <c r="AQ1599" s="4" t="s">
        <v>53</v>
      </c>
      <c r="AR1599" s="4" t="s">
        <v>54</v>
      </c>
      <c r="AS1599" s="5">
        <v>30534</v>
      </c>
      <c r="AT1599" t="s">
        <v>47</v>
      </c>
    </row>
    <row r="1600" spans="1:46" ht="39" x14ac:dyDescent="0.3">
      <c r="A1600" s="4" t="s">
        <v>6055</v>
      </c>
      <c r="B1600" t="s">
        <v>47</v>
      </c>
      <c r="C1600" s="4" t="s">
        <v>6056</v>
      </c>
      <c r="D1600" s="4" t="s">
        <v>139</v>
      </c>
      <c r="E1600" s="4" t="s">
        <v>66</v>
      </c>
      <c r="F1600" s="5" t="s">
        <v>6057</v>
      </c>
      <c r="G1600" t="s">
        <v>47</v>
      </c>
      <c r="H1600" t="s">
        <v>47</v>
      </c>
      <c r="I1600" s="3">
        <v>39451</v>
      </c>
      <c r="J1600" s="5" t="s">
        <v>50</v>
      </c>
      <c r="K1600" t="s">
        <v>47</v>
      </c>
      <c r="L1600" s="5" t="s">
        <v>51</v>
      </c>
      <c r="M1600" s="3">
        <v>39451</v>
      </c>
      <c r="N1600" s="5" t="s">
        <v>50</v>
      </c>
      <c r="O1600" t="s">
        <v>47</v>
      </c>
      <c r="P1600" s="3">
        <v>42215</v>
      </c>
      <c r="Q1600" s="3">
        <v>42215</v>
      </c>
      <c r="R1600" t="s">
        <v>47</v>
      </c>
      <c r="S1600" t="s">
        <v>47</v>
      </c>
      <c r="T1600" t="s">
        <v>47</v>
      </c>
      <c r="U1600" t="s">
        <v>47</v>
      </c>
      <c r="V1600" s="5">
        <v>180</v>
      </c>
      <c r="W1600" s="3">
        <v>39451</v>
      </c>
      <c r="X1600" s="5" t="s">
        <v>50</v>
      </c>
      <c r="Y1600" t="s">
        <v>47</v>
      </c>
      <c r="Z1600" s="3">
        <v>39451</v>
      </c>
      <c r="AA1600" s="5" t="s">
        <v>50</v>
      </c>
      <c r="AB1600" t="s">
        <v>47</v>
      </c>
      <c r="AC1600" s="3">
        <v>39451</v>
      </c>
      <c r="AD1600" s="5" t="s">
        <v>50</v>
      </c>
      <c r="AE1600" t="s">
        <v>47</v>
      </c>
      <c r="AF1600" t="s">
        <v>47</v>
      </c>
      <c r="AG1600" t="s">
        <v>47</v>
      </c>
      <c r="AH1600" t="s">
        <v>47</v>
      </c>
      <c r="AI1600" t="s">
        <v>47</v>
      </c>
      <c r="AJ1600" t="s">
        <v>47</v>
      </c>
      <c r="AK1600" t="s">
        <v>47</v>
      </c>
      <c r="AL1600" t="s">
        <v>47</v>
      </c>
      <c r="AM1600" t="s">
        <v>47</v>
      </c>
      <c r="AN1600" t="s">
        <v>47</v>
      </c>
      <c r="AO1600" s="5" t="s">
        <v>51</v>
      </c>
      <c r="AP1600" s="4" t="s">
        <v>85</v>
      </c>
      <c r="AQ1600" t="s">
        <v>47</v>
      </c>
      <c r="AR1600" s="4" t="s">
        <v>62</v>
      </c>
      <c r="AS1600" s="5">
        <v>236250</v>
      </c>
      <c r="AT1600" t="s">
        <v>47</v>
      </c>
    </row>
    <row r="1601" spans="1:46" ht="52" x14ac:dyDescent="0.3">
      <c r="A1601" s="4" t="s">
        <v>6058</v>
      </c>
      <c r="B1601" t="s">
        <v>47</v>
      </c>
      <c r="C1601" s="4" t="s">
        <v>6059</v>
      </c>
      <c r="D1601" s="4" t="s">
        <v>6060</v>
      </c>
      <c r="E1601" s="4" t="s">
        <v>151</v>
      </c>
      <c r="F1601" s="5" t="s">
        <v>6061</v>
      </c>
      <c r="G1601" s="5" t="s">
        <v>6062</v>
      </c>
      <c r="H1601" t="s">
        <v>47</v>
      </c>
      <c r="I1601" s="3">
        <v>39448</v>
      </c>
      <c r="J1601" s="5" t="s">
        <v>50</v>
      </c>
      <c r="K1601" t="s">
        <v>47</v>
      </c>
      <c r="L1601" s="5" t="s">
        <v>60</v>
      </c>
      <c r="M1601" s="3">
        <v>39448</v>
      </c>
      <c r="N1601" s="5" t="s">
        <v>50</v>
      </c>
      <c r="O1601" t="s">
        <v>47</v>
      </c>
      <c r="P1601" s="3">
        <v>39448</v>
      </c>
      <c r="Q1601" s="5" t="s">
        <v>50</v>
      </c>
      <c r="R1601" t="s">
        <v>47</v>
      </c>
      <c r="S1601" t="s">
        <v>47</v>
      </c>
      <c r="T1601" t="s">
        <v>47</v>
      </c>
      <c r="U1601" t="s">
        <v>47</v>
      </c>
      <c r="V1601" t="s">
        <v>47</v>
      </c>
      <c r="W1601" s="3">
        <v>39448</v>
      </c>
      <c r="X1601" s="5" t="s">
        <v>50</v>
      </c>
      <c r="Y1601" t="s">
        <v>47</v>
      </c>
      <c r="Z1601" s="3">
        <v>39448</v>
      </c>
      <c r="AA1601" s="5" t="s">
        <v>50</v>
      </c>
      <c r="AB1601" t="s">
        <v>47</v>
      </c>
      <c r="AC1601" s="3">
        <v>39448</v>
      </c>
      <c r="AD1601" s="5" t="s">
        <v>50</v>
      </c>
      <c r="AE1601" t="s">
        <v>47</v>
      </c>
      <c r="AF1601" t="s">
        <v>47</v>
      </c>
      <c r="AG1601" t="s">
        <v>47</v>
      </c>
      <c r="AH1601" t="s">
        <v>47</v>
      </c>
      <c r="AI1601" t="s">
        <v>47</v>
      </c>
      <c r="AJ1601" t="s">
        <v>47</v>
      </c>
      <c r="AK1601" t="s">
        <v>47</v>
      </c>
      <c r="AL1601" t="s">
        <v>47</v>
      </c>
      <c r="AM1601" t="s">
        <v>47</v>
      </c>
      <c r="AN1601" t="s">
        <v>47</v>
      </c>
      <c r="AO1601" s="5" t="s">
        <v>60</v>
      </c>
      <c r="AP1601" s="4" t="s">
        <v>61</v>
      </c>
      <c r="AQ1601" s="4" t="s">
        <v>53</v>
      </c>
      <c r="AR1601" s="4" t="s">
        <v>4004</v>
      </c>
      <c r="AS1601" s="5">
        <v>136212</v>
      </c>
      <c r="AT1601" t="s">
        <v>47</v>
      </c>
    </row>
    <row r="1602" spans="1:46" ht="39" x14ac:dyDescent="0.3">
      <c r="A1602" s="4" t="s">
        <v>6063</v>
      </c>
      <c r="B1602" t="s">
        <v>47</v>
      </c>
      <c r="C1602" s="4" t="s">
        <v>115</v>
      </c>
      <c r="D1602" s="4" t="s">
        <v>3905</v>
      </c>
      <c r="E1602" s="4" t="s">
        <v>66</v>
      </c>
      <c r="F1602" s="5" t="s">
        <v>6064</v>
      </c>
      <c r="G1602" s="5" t="s">
        <v>6065</v>
      </c>
      <c r="H1602" t="s">
        <v>47</v>
      </c>
      <c r="I1602" s="3">
        <v>37895</v>
      </c>
      <c r="J1602" s="5" t="s">
        <v>50</v>
      </c>
      <c r="K1602" t="s">
        <v>47</v>
      </c>
      <c r="L1602" s="5" t="s">
        <v>60</v>
      </c>
      <c r="M1602" s="3">
        <v>37895</v>
      </c>
      <c r="N1602" s="5" t="s">
        <v>50</v>
      </c>
      <c r="O1602" s="5" t="s">
        <v>5653</v>
      </c>
      <c r="P1602" s="3">
        <v>37895</v>
      </c>
      <c r="Q1602" s="5" t="s">
        <v>50</v>
      </c>
      <c r="R1602" t="s">
        <v>47</v>
      </c>
      <c r="S1602" t="s">
        <v>47</v>
      </c>
      <c r="T1602" t="s">
        <v>47</v>
      </c>
      <c r="U1602" t="s">
        <v>47</v>
      </c>
      <c r="V1602" s="5">
        <v>365</v>
      </c>
      <c r="W1602" s="3">
        <v>37895</v>
      </c>
      <c r="X1602" s="5" t="s">
        <v>50</v>
      </c>
      <c r="Y1602" t="s">
        <v>47</v>
      </c>
      <c r="Z1602" s="3">
        <v>37895</v>
      </c>
      <c r="AA1602" s="5" t="s">
        <v>50</v>
      </c>
      <c r="AB1602" t="s">
        <v>47</v>
      </c>
      <c r="AC1602" s="3">
        <v>37895</v>
      </c>
      <c r="AD1602" s="5" t="s">
        <v>50</v>
      </c>
      <c r="AE1602" t="s">
        <v>47</v>
      </c>
      <c r="AF1602" t="s">
        <v>47</v>
      </c>
      <c r="AG1602" t="s">
        <v>47</v>
      </c>
      <c r="AH1602" t="s">
        <v>47</v>
      </c>
      <c r="AI1602" t="s">
        <v>47</v>
      </c>
      <c r="AJ1602" t="s">
        <v>47</v>
      </c>
      <c r="AK1602" t="s">
        <v>47</v>
      </c>
      <c r="AL1602" t="s">
        <v>47</v>
      </c>
      <c r="AM1602" t="s">
        <v>47</v>
      </c>
      <c r="AN1602" t="s">
        <v>47</v>
      </c>
      <c r="AO1602" s="5" t="s">
        <v>60</v>
      </c>
      <c r="AP1602" s="4" t="s">
        <v>61</v>
      </c>
      <c r="AQ1602" s="4" t="s">
        <v>53</v>
      </c>
      <c r="AR1602" s="4" t="s">
        <v>1153</v>
      </c>
      <c r="AS1602" s="5">
        <v>44208</v>
      </c>
      <c r="AT1602" t="s">
        <v>47</v>
      </c>
    </row>
    <row r="1603" spans="1:46" ht="65" x14ac:dyDescent="0.3">
      <c r="A1603" s="4" t="s">
        <v>6066</v>
      </c>
      <c r="B1603" t="s">
        <v>47</v>
      </c>
      <c r="C1603" s="4" t="s">
        <v>1060</v>
      </c>
      <c r="D1603" s="4" t="s">
        <v>1061</v>
      </c>
      <c r="E1603" s="4" t="s">
        <v>49</v>
      </c>
      <c r="F1603" s="5" t="s">
        <v>6067</v>
      </c>
      <c r="G1603" t="s">
        <v>47</v>
      </c>
      <c r="H1603" t="s">
        <v>47</v>
      </c>
      <c r="I1603" s="3">
        <v>36008</v>
      </c>
      <c r="J1603" s="3">
        <v>38930</v>
      </c>
      <c r="K1603" t="s">
        <v>47</v>
      </c>
      <c r="L1603" s="5" t="s">
        <v>51</v>
      </c>
      <c r="M1603" s="3">
        <v>36008</v>
      </c>
      <c r="N1603" s="3">
        <v>38930</v>
      </c>
      <c r="O1603" t="s">
        <v>47</v>
      </c>
      <c r="P1603" s="3">
        <v>36008</v>
      </c>
      <c r="Q1603" s="3">
        <v>38930</v>
      </c>
      <c r="R1603" t="s">
        <v>47</v>
      </c>
      <c r="S1603" t="s">
        <v>47</v>
      </c>
      <c r="T1603" t="s">
        <v>47</v>
      </c>
      <c r="U1603" t="s">
        <v>47</v>
      </c>
      <c r="V1603" t="s">
        <v>47</v>
      </c>
      <c r="W1603" s="3">
        <v>36008</v>
      </c>
      <c r="X1603" s="3">
        <v>43922</v>
      </c>
      <c r="Y1603" t="s">
        <v>47</v>
      </c>
      <c r="Z1603" s="3">
        <v>36008</v>
      </c>
      <c r="AA1603" s="3">
        <v>43922</v>
      </c>
      <c r="AB1603" t="s">
        <v>47</v>
      </c>
      <c r="AC1603" s="3">
        <v>37987</v>
      </c>
      <c r="AD1603" s="3">
        <v>43922</v>
      </c>
      <c r="AE1603" t="s">
        <v>47</v>
      </c>
      <c r="AF1603" t="s">
        <v>47</v>
      </c>
      <c r="AG1603" t="s">
        <v>47</v>
      </c>
      <c r="AH1603" t="s">
        <v>47</v>
      </c>
      <c r="AI1603" t="s">
        <v>47</v>
      </c>
      <c r="AJ1603" t="s">
        <v>47</v>
      </c>
      <c r="AK1603" t="s">
        <v>47</v>
      </c>
      <c r="AL1603" t="s">
        <v>47</v>
      </c>
      <c r="AM1603" t="s">
        <v>47</v>
      </c>
      <c r="AN1603" t="s">
        <v>47</v>
      </c>
      <c r="AO1603" s="5" t="s">
        <v>51</v>
      </c>
      <c r="AP1603" s="4" t="s">
        <v>85</v>
      </c>
      <c r="AQ1603" s="4" t="s">
        <v>53</v>
      </c>
      <c r="AR1603" s="4" t="s">
        <v>6068</v>
      </c>
      <c r="AS1603" s="5">
        <v>47262</v>
      </c>
      <c r="AT1603" t="s">
        <v>47</v>
      </c>
    </row>
    <row r="1604" spans="1:46" ht="78" x14ac:dyDescent="0.3">
      <c r="A1604" s="4" t="s">
        <v>6069</v>
      </c>
      <c r="B1604" t="s">
        <v>47</v>
      </c>
      <c r="C1604" s="4" t="s">
        <v>183</v>
      </c>
      <c r="D1604" s="4" t="s">
        <v>597</v>
      </c>
      <c r="E1604" s="4" t="s">
        <v>49</v>
      </c>
      <c r="F1604" s="5" t="s">
        <v>6070</v>
      </c>
      <c r="G1604" s="5" t="s">
        <v>6071</v>
      </c>
      <c r="H1604" t="s">
        <v>47</v>
      </c>
      <c r="I1604" s="3">
        <v>35521</v>
      </c>
      <c r="J1604" s="3">
        <v>40299</v>
      </c>
      <c r="K1604" t="s">
        <v>47</v>
      </c>
      <c r="L1604" s="5" t="s">
        <v>60</v>
      </c>
      <c r="M1604" s="3">
        <v>35521</v>
      </c>
      <c r="N1604" s="3">
        <v>39753</v>
      </c>
      <c r="O1604" t="s">
        <v>47</v>
      </c>
      <c r="P1604" s="3">
        <v>35521</v>
      </c>
      <c r="Q1604" s="3">
        <v>40299</v>
      </c>
      <c r="R1604" t="s">
        <v>47</v>
      </c>
      <c r="S1604" t="s">
        <v>47</v>
      </c>
      <c r="T1604" t="s">
        <v>47</v>
      </c>
      <c r="U1604" t="s">
        <v>47</v>
      </c>
      <c r="V1604" t="s">
        <v>47</v>
      </c>
      <c r="W1604" s="3">
        <v>29677</v>
      </c>
      <c r="X1604" s="5" t="s">
        <v>50</v>
      </c>
      <c r="Y1604" t="s">
        <v>47</v>
      </c>
      <c r="Z1604" s="3">
        <v>29677</v>
      </c>
      <c r="AA1604" s="5" t="s">
        <v>50</v>
      </c>
      <c r="AB1604" t="s">
        <v>47</v>
      </c>
      <c r="AC1604" s="3">
        <v>37591</v>
      </c>
      <c r="AD1604" s="5" t="s">
        <v>50</v>
      </c>
      <c r="AE1604" s="5" t="s">
        <v>1484</v>
      </c>
      <c r="AF1604" t="s">
        <v>47</v>
      </c>
      <c r="AG1604" t="s">
        <v>47</v>
      </c>
      <c r="AH1604" t="s">
        <v>47</v>
      </c>
      <c r="AI1604" t="s">
        <v>47</v>
      </c>
      <c r="AJ1604" t="s">
        <v>47</v>
      </c>
      <c r="AK1604" t="s">
        <v>47</v>
      </c>
      <c r="AL1604" t="s">
        <v>47</v>
      </c>
      <c r="AM1604" t="s">
        <v>47</v>
      </c>
      <c r="AN1604" t="s">
        <v>47</v>
      </c>
      <c r="AO1604" s="5" t="s">
        <v>60</v>
      </c>
      <c r="AP1604" s="4" t="s">
        <v>61</v>
      </c>
      <c r="AQ1604" s="4" t="s">
        <v>53</v>
      </c>
      <c r="AR1604" s="4" t="s">
        <v>436</v>
      </c>
      <c r="AS1604" s="5">
        <v>48505</v>
      </c>
      <c r="AT1604" t="s">
        <v>47</v>
      </c>
    </row>
    <row r="1605" spans="1:46" ht="104" x14ac:dyDescent="0.3">
      <c r="A1605" s="4" t="s">
        <v>6072</v>
      </c>
      <c r="B1605" t="s">
        <v>47</v>
      </c>
      <c r="C1605" s="4" t="s">
        <v>2551</v>
      </c>
      <c r="D1605" s="4" t="s">
        <v>885</v>
      </c>
      <c r="E1605" s="4" t="s">
        <v>49</v>
      </c>
      <c r="F1605" s="5" t="s">
        <v>6073</v>
      </c>
      <c r="G1605" s="5" t="s">
        <v>6074</v>
      </c>
      <c r="H1605" t="s">
        <v>47</v>
      </c>
      <c r="I1605" t="s">
        <v>47</v>
      </c>
      <c r="J1605" t="s">
        <v>47</v>
      </c>
      <c r="K1605" t="s">
        <v>47</v>
      </c>
      <c r="L1605" s="5" t="s">
        <v>60</v>
      </c>
      <c r="M1605" t="s">
        <v>47</v>
      </c>
      <c r="N1605" t="s">
        <v>47</v>
      </c>
      <c r="O1605" t="s">
        <v>47</v>
      </c>
      <c r="P1605" t="s">
        <v>47</v>
      </c>
      <c r="Q1605" t="s">
        <v>47</v>
      </c>
      <c r="R1605" t="s">
        <v>47</v>
      </c>
      <c r="S1605" t="s">
        <v>47</v>
      </c>
      <c r="T1605" t="s">
        <v>47</v>
      </c>
      <c r="U1605" t="s">
        <v>47</v>
      </c>
      <c r="V1605" t="s">
        <v>47</v>
      </c>
      <c r="W1605" s="3">
        <v>35370</v>
      </c>
      <c r="X1605" s="3">
        <v>38169</v>
      </c>
      <c r="Y1605" t="s">
        <v>47</v>
      </c>
      <c r="Z1605" s="3">
        <v>35370</v>
      </c>
      <c r="AA1605" s="3">
        <v>38169</v>
      </c>
      <c r="AB1605" t="s">
        <v>47</v>
      </c>
      <c r="AC1605" t="s">
        <v>47</v>
      </c>
      <c r="AD1605" t="s">
        <v>47</v>
      </c>
      <c r="AE1605" t="s">
        <v>47</v>
      </c>
      <c r="AF1605" t="s">
        <v>47</v>
      </c>
      <c r="AG1605" t="s">
        <v>47</v>
      </c>
      <c r="AH1605" t="s">
        <v>47</v>
      </c>
      <c r="AI1605" t="s">
        <v>47</v>
      </c>
      <c r="AJ1605" t="s">
        <v>47</v>
      </c>
      <c r="AK1605" t="s">
        <v>47</v>
      </c>
      <c r="AL1605" t="s">
        <v>47</v>
      </c>
      <c r="AM1605" t="s">
        <v>47</v>
      </c>
      <c r="AN1605" t="s">
        <v>47</v>
      </c>
      <c r="AO1605" s="5" t="s">
        <v>60</v>
      </c>
      <c r="AP1605" s="4" t="s">
        <v>61</v>
      </c>
      <c r="AQ1605" s="4" t="s">
        <v>53</v>
      </c>
      <c r="AR1605" s="4" t="s">
        <v>6075</v>
      </c>
      <c r="AS1605" s="5">
        <v>48517</v>
      </c>
      <c r="AT1605" t="s">
        <v>47</v>
      </c>
    </row>
    <row r="1606" spans="1:46" ht="13" x14ac:dyDescent="0.3">
      <c r="A1606" s="4" t="s">
        <v>6076</v>
      </c>
      <c r="B1606" t="s">
        <v>47</v>
      </c>
      <c r="C1606" s="4" t="s">
        <v>6077</v>
      </c>
      <c r="D1606" s="4" t="s">
        <v>3498</v>
      </c>
      <c r="E1606" s="4" t="s">
        <v>49</v>
      </c>
      <c r="F1606" s="5" t="s">
        <v>6078</v>
      </c>
      <c r="G1606" t="s">
        <v>47</v>
      </c>
      <c r="H1606" t="s">
        <v>47</v>
      </c>
      <c r="I1606" s="3">
        <v>42461</v>
      </c>
      <c r="J1606" s="3">
        <v>43009</v>
      </c>
      <c r="K1606" t="s">
        <v>47</v>
      </c>
      <c r="L1606" s="5" t="s">
        <v>60</v>
      </c>
      <c r="M1606" s="3">
        <v>42461</v>
      </c>
      <c r="N1606" s="3">
        <v>43009</v>
      </c>
      <c r="O1606" t="s">
        <v>47</v>
      </c>
      <c r="P1606" s="3">
        <v>42461</v>
      </c>
      <c r="Q1606" s="3">
        <v>43009</v>
      </c>
      <c r="R1606" t="s">
        <v>47</v>
      </c>
      <c r="S1606" t="s">
        <v>47</v>
      </c>
      <c r="T1606" t="s">
        <v>47</v>
      </c>
      <c r="U1606" t="s">
        <v>47</v>
      </c>
      <c r="V1606" t="s">
        <v>47</v>
      </c>
      <c r="W1606" s="3">
        <v>42461</v>
      </c>
      <c r="X1606" s="3">
        <v>43009</v>
      </c>
      <c r="Y1606" t="s">
        <v>47</v>
      </c>
      <c r="Z1606" s="3">
        <v>42461</v>
      </c>
      <c r="AA1606" s="3">
        <v>43009</v>
      </c>
      <c r="AB1606" t="s">
        <v>47</v>
      </c>
      <c r="AC1606" s="3">
        <v>42461</v>
      </c>
      <c r="AD1606" s="3">
        <v>43009</v>
      </c>
      <c r="AE1606" t="s">
        <v>47</v>
      </c>
      <c r="AF1606" t="s">
        <v>47</v>
      </c>
      <c r="AG1606" t="s">
        <v>47</v>
      </c>
      <c r="AH1606" t="s">
        <v>47</v>
      </c>
      <c r="AI1606" t="s">
        <v>47</v>
      </c>
      <c r="AJ1606" t="s">
        <v>47</v>
      </c>
      <c r="AK1606" t="s">
        <v>47</v>
      </c>
      <c r="AL1606" t="s">
        <v>47</v>
      </c>
      <c r="AM1606" t="s">
        <v>47</v>
      </c>
      <c r="AN1606" t="s">
        <v>47</v>
      </c>
      <c r="AO1606" s="5" t="s">
        <v>60</v>
      </c>
      <c r="AP1606" s="4" t="s">
        <v>61</v>
      </c>
      <c r="AQ1606" s="4" t="s">
        <v>53</v>
      </c>
      <c r="AR1606" s="4" t="s">
        <v>483</v>
      </c>
      <c r="AS1606" s="5">
        <v>2049213</v>
      </c>
      <c r="AT1606" t="s">
        <v>47</v>
      </c>
    </row>
    <row r="1607" spans="1:46" ht="39" x14ac:dyDescent="0.3">
      <c r="A1607" s="4" t="s">
        <v>6079</v>
      </c>
      <c r="B1607" t="s">
        <v>47</v>
      </c>
      <c r="C1607" s="4" t="s">
        <v>6080</v>
      </c>
      <c r="D1607" s="4" t="s">
        <v>2186</v>
      </c>
      <c r="E1607" s="4" t="s">
        <v>49</v>
      </c>
      <c r="F1607" s="5" t="s">
        <v>6081</v>
      </c>
      <c r="G1607" t="s">
        <v>47</v>
      </c>
      <c r="H1607" t="s">
        <v>47</v>
      </c>
      <c r="I1607" s="3">
        <v>31778</v>
      </c>
      <c r="J1607" s="5" t="s">
        <v>50</v>
      </c>
      <c r="K1607" t="s">
        <v>47</v>
      </c>
      <c r="L1607" s="5" t="s">
        <v>51</v>
      </c>
      <c r="M1607" s="3">
        <v>33239</v>
      </c>
      <c r="N1607" s="5" t="s">
        <v>50</v>
      </c>
      <c r="O1607" s="5" t="s">
        <v>6082</v>
      </c>
      <c r="P1607" s="3">
        <v>31778</v>
      </c>
      <c r="Q1607" s="5" t="s">
        <v>50</v>
      </c>
      <c r="R1607" t="s">
        <v>47</v>
      </c>
      <c r="S1607" t="s">
        <v>47</v>
      </c>
      <c r="T1607" t="s">
        <v>47</v>
      </c>
      <c r="U1607" t="s">
        <v>47</v>
      </c>
      <c r="V1607" t="s">
        <v>47</v>
      </c>
      <c r="W1607" s="3">
        <v>26877</v>
      </c>
      <c r="X1607" s="5" t="s">
        <v>50</v>
      </c>
      <c r="Y1607" t="s">
        <v>47</v>
      </c>
      <c r="Z1607" s="3">
        <v>26877</v>
      </c>
      <c r="AA1607" s="5" t="s">
        <v>50</v>
      </c>
      <c r="AB1607" t="s">
        <v>47</v>
      </c>
      <c r="AC1607" s="3">
        <v>26877</v>
      </c>
      <c r="AD1607" s="5" t="s">
        <v>50</v>
      </c>
      <c r="AE1607" t="s">
        <v>47</v>
      </c>
      <c r="AF1607" t="s">
        <v>47</v>
      </c>
      <c r="AG1607" t="s">
        <v>47</v>
      </c>
      <c r="AH1607" t="s">
        <v>47</v>
      </c>
      <c r="AI1607" t="s">
        <v>47</v>
      </c>
      <c r="AJ1607" t="s">
        <v>47</v>
      </c>
      <c r="AK1607" t="s">
        <v>47</v>
      </c>
      <c r="AL1607" t="s">
        <v>47</v>
      </c>
      <c r="AM1607" t="s">
        <v>47</v>
      </c>
      <c r="AN1607" t="s">
        <v>47</v>
      </c>
      <c r="AO1607" s="5" t="s">
        <v>51</v>
      </c>
      <c r="AP1607" s="4" t="s">
        <v>85</v>
      </c>
      <c r="AQ1607" s="4" t="s">
        <v>53</v>
      </c>
      <c r="AR1607" s="4" t="s">
        <v>147</v>
      </c>
      <c r="AS1607" s="5">
        <v>24602</v>
      </c>
      <c r="AT1607" t="s">
        <v>47</v>
      </c>
    </row>
    <row r="1608" spans="1:46" ht="13" x14ac:dyDescent="0.3">
      <c r="A1608" s="4" t="s">
        <v>6083</v>
      </c>
      <c r="B1608" t="s">
        <v>47</v>
      </c>
      <c r="C1608" s="4" t="s">
        <v>5166</v>
      </c>
      <c r="D1608" s="4" t="s">
        <v>4176</v>
      </c>
      <c r="E1608" s="4" t="s">
        <v>1933</v>
      </c>
      <c r="F1608" s="5" t="s">
        <v>6084</v>
      </c>
      <c r="G1608" s="5" t="s">
        <v>6085</v>
      </c>
      <c r="H1608" t="s">
        <v>47</v>
      </c>
      <c r="I1608" s="3">
        <v>42370</v>
      </c>
      <c r="J1608" s="5" t="s">
        <v>50</v>
      </c>
      <c r="K1608" t="s">
        <v>47</v>
      </c>
      <c r="L1608" s="5" t="s">
        <v>60</v>
      </c>
      <c r="M1608" s="3">
        <v>42370</v>
      </c>
      <c r="N1608" s="5" t="s">
        <v>50</v>
      </c>
      <c r="O1608" t="s">
        <v>47</v>
      </c>
      <c r="P1608" s="3">
        <v>42370</v>
      </c>
      <c r="Q1608" s="5" t="s">
        <v>50</v>
      </c>
      <c r="R1608" t="s">
        <v>47</v>
      </c>
      <c r="S1608" t="s">
        <v>47</v>
      </c>
      <c r="T1608" t="s">
        <v>47</v>
      </c>
      <c r="U1608" t="s">
        <v>47</v>
      </c>
      <c r="V1608" t="s">
        <v>47</v>
      </c>
      <c r="W1608" s="3">
        <v>42370</v>
      </c>
      <c r="X1608" s="5" t="s">
        <v>50</v>
      </c>
      <c r="Y1608" t="s">
        <v>47</v>
      </c>
      <c r="Z1608" s="3">
        <v>42370</v>
      </c>
      <c r="AA1608" s="5" t="s">
        <v>50</v>
      </c>
      <c r="AB1608" t="s">
        <v>47</v>
      </c>
      <c r="AC1608" s="3">
        <v>42370</v>
      </c>
      <c r="AD1608" s="5" t="s">
        <v>50</v>
      </c>
      <c r="AE1608" t="s">
        <v>47</v>
      </c>
      <c r="AF1608" t="s">
        <v>47</v>
      </c>
      <c r="AG1608" t="s">
        <v>47</v>
      </c>
      <c r="AH1608" t="s">
        <v>47</v>
      </c>
      <c r="AI1608" t="s">
        <v>47</v>
      </c>
      <c r="AJ1608" t="s">
        <v>47</v>
      </c>
      <c r="AK1608" t="s">
        <v>47</v>
      </c>
      <c r="AL1608" t="s">
        <v>47</v>
      </c>
      <c r="AM1608" t="s">
        <v>47</v>
      </c>
      <c r="AN1608" t="s">
        <v>47</v>
      </c>
      <c r="AO1608" s="5" t="s">
        <v>60</v>
      </c>
      <c r="AP1608" s="4" t="s">
        <v>61</v>
      </c>
      <c r="AQ1608" s="4" t="s">
        <v>53</v>
      </c>
      <c r="AR1608" s="4" t="s">
        <v>54</v>
      </c>
      <c r="AS1608" s="5">
        <v>2044902</v>
      </c>
      <c r="AT1608" t="s">
        <v>47</v>
      </c>
    </row>
    <row r="1609" spans="1:46" ht="13" x14ac:dyDescent="0.3">
      <c r="A1609" s="4" t="s">
        <v>6086</v>
      </c>
      <c r="B1609" t="s">
        <v>47</v>
      </c>
      <c r="C1609" s="4" t="s">
        <v>6087</v>
      </c>
      <c r="D1609" s="4" t="s">
        <v>1288</v>
      </c>
      <c r="E1609" s="4" t="s">
        <v>49</v>
      </c>
      <c r="F1609" s="5" t="s">
        <v>6088</v>
      </c>
      <c r="G1609" s="5" t="s">
        <v>6089</v>
      </c>
      <c r="H1609" t="s">
        <v>47</v>
      </c>
      <c r="I1609" s="3">
        <v>33269</v>
      </c>
      <c r="J1609" s="3">
        <v>41183</v>
      </c>
      <c r="K1609" t="s">
        <v>47</v>
      </c>
      <c r="L1609" s="5" t="s">
        <v>60</v>
      </c>
      <c r="M1609" s="3">
        <v>33269</v>
      </c>
      <c r="N1609" s="3">
        <v>41183</v>
      </c>
      <c r="O1609" t="s">
        <v>47</v>
      </c>
      <c r="P1609" s="3">
        <v>38808</v>
      </c>
      <c r="Q1609" s="3">
        <v>41183</v>
      </c>
      <c r="R1609" t="s">
        <v>47</v>
      </c>
      <c r="S1609" t="s">
        <v>47</v>
      </c>
      <c r="T1609" t="s">
        <v>47</v>
      </c>
      <c r="U1609" t="s">
        <v>47</v>
      </c>
      <c r="V1609" t="s">
        <v>47</v>
      </c>
      <c r="W1609" s="3">
        <v>33269</v>
      </c>
      <c r="X1609" s="3">
        <v>43466</v>
      </c>
      <c r="Y1609" t="s">
        <v>47</v>
      </c>
      <c r="Z1609" s="3">
        <v>33269</v>
      </c>
      <c r="AA1609" s="3">
        <v>43466</v>
      </c>
      <c r="AB1609" t="s">
        <v>47</v>
      </c>
      <c r="AC1609" s="3">
        <v>33269</v>
      </c>
      <c r="AD1609" s="3">
        <v>43466</v>
      </c>
      <c r="AE1609" t="s">
        <v>47</v>
      </c>
      <c r="AF1609" t="s">
        <v>47</v>
      </c>
      <c r="AG1609" t="s">
        <v>47</v>
      </c>
      <c r="AH1609" t="s">
        <v>47</v>
      </c>
      <c r="AI1609" t="s">
        <v>47</v>
      </c>
      <c r="AJ1609" t="s">
        <v>47</v>
      </c>
      <c r="AK1609" t="s">
        <v>47</v>
      </c>
      <c r="AL1609" t="s">
        <v>47</v>
      </c>
      <c r="AM1609" t="s">
        <v>47</v>
      </c>
      <c r="AN1609" t="s">
        <v>47</v>
      </c>
      <c r="AO1609" s="5" t="s">
        <v>60</v>
      </c>
      <c r="AP1609" s="4" t="s">
        <v>61</v>
      </c>
      <c r="AQ1609" s="4" t="s">
        <v>53</v>
      </c>
      <c r="AR1609" s="4" t="s">
        <v>54</v>
      </c>
      <c r="AS1609" s="5">
        <v>25791</v>
      </c>
      <c r="AT1609" t="s">
        <v>47</v>
      </c>
    </row>
    <row r="1610" spans="1:46" ht="234" x14ac:dyDescent="0.3">
      <c r="A1610" s="4" t="s">
        <v>6090</v>
      </c>
      <c r="B1610" t="s">
        <v>47</v>
      </c>
      <c r="C1610" s="4" t="s">
        <v>193</v>
      </c>
      <c r="D1610" s="4" t="s">
        <v>194</v>
      </c>
      <c r="E1610" s="4" t="s">
        <v>195</v>
      </c>
      <c r="F1610" t="s">
        <v>47</v>
      </c>
      <c r="G1610" s="5" t="s">
        <v>6091</v>
      </c>
      <c r="H1610" t="s">
        <v>47</v>
      </c>
      <c r="I1610" s="3">
        <v>39693</v>
      </c>
      <c r="J1610" s="5" t="s">
        <v>50</v>
      </c>
      <c r="K1610" s="5" t="s">
        <v>6092</v>
      </c>
      <c r="L1610" s="5" t="s">
        <v>51</v>
      </c>
      <c r="M1610" t="s">
        <v>47</v>
      </c>
      <c r="N1610" t="s">
        <v>47</v>
      </c>
      <c r="O1610" t="s">
        <v>47</v>
      </c>
      <c r="P1610" s="3">
        <v>39693</v>
      </c>
      <c r="Q1610" s="5" t="s">
        <v>50</v>
      </c>
      <c r="R1610" s="5" t="s">
        <v>6092</v>
      </c>
      <c r="S1610" t="s">
        <v>47</v>
      </c>
      <c r="T1610" t="s">
        <v>47</v>
      </c>
      <c r="U1610" t="s">
        <v>47</v>
      </c>
      <c r="V1610" s="5">
        <v>180</v>
      </c>
      <c r="W1610" s="3">
        <v>39693</v>
      </c>
      <c r="X1610" s="5" t="s">
        <v>50</v>
      </c>
      <c r="Y1610" s="5" t="s">
        <v>6092</v>
      </c>
      <c r="Z1610" s="3">
        <v>39693</v>
      </c>
      <c r="AA1610" s="5" t="s">
        <v>50</v>
      </c>
      <c r="AB1610" s="5" t="s">
        <v>6092</v>
      </c>
      <c r="AC1610" s="3">
        <v>39693</v>
      </c>
      <c r="AD1610" s="5" t="s">
        <v>50</v>
      </c>
      <c r="AE1610" s="5" t="s">
        <v>6092</v>
      </c>
      <c r="AF1610" t="s">
        <v>47</v>
      </c>
      <c r="AG1610" t="s">
        <v>47</v>
      </c>
      <c r="AH1610" t="s">
        <v>47</v>
      </c>
      <c r="AI1610" t="s">
        <v>47</v>
      </c>
      <c r="AJ1610" t="s">
        <v>47</v>
      </c>
      <c r="AK1610" t="s">
        <v>47</v>
      </c>
      <c r="AL1610" t="s">
        <v>47</v>
      </c>
      <c r="AM1610" t="s">
        <v>47</v>
      </c>
      <c r="AN1610" t="s">
        <v>47</v>
      </c>
      <c r="AO1610" s="5" t="s">
        <v>51</v>
      </c>
      <c r="AP1610" s="4" t="s">
        <v>1756</v>
      </c>
      <c r="AQ1610" s="4" t="s">
        <v>198</v>
      </c>
      <c r="AR1610" s="4" t="s">
        <v>6093</v>
      </c>
      <c r="AS1610" s="5">
        <v>6245998</v>
      </c>
      <c r="AT1610" t="s">
        <v>47</v>
      </c>
    </row>
    <row r="1611" spans="1:46" ht="78" x14ac:dyDescent="0.3">
      <c r="A1611" s="4" t="s">
        <v>6094</v>
      </c>
      <c r="B1611" t="s">
        <v>47</v>
      </c>
      <c r="C1611" s="4" t="s">
        <v>193</v>
      </c>
      <c r="D1611" s="4" t="s">
        <v>194</v>
      </c>
      <c r="E1611" s="4" t="s">
        <v>195</v>
      </c>
      <c r="F1611" t="s">
        <v>47</v>
      </c>
      <c r="G1611" s="5" t="s">
        <v>6095</v>
      </c>
      <c r="H1611" t="s">
        <v>47</v>
      </c>
      <c r="I1611" s="3">
        <v>41298</v>
      </c>
      <c r="J1611" s="3">
        <v>44530</v>
      </c>
      <c r="K1611" s="5" t="s">
        <v>2503</v>
      </c>
      <c r="L1611" s="5" t="s">
        <v>51</v>
      </c>
      <c r="M1611" t="s">
        <v>47</v>
      </c>
      <c r="N1611" t="s">
        <v>47</v>
      </c>
      <c r="O1611" t="s">
        <v>47</v>
      </c>
      <c r="P1611" s="3">
        <v>41298</v>
      </c>
      <c r="Q1611" s="3">
        <v>44530</v>
      </c>
      <c r="R1611" s="5" t="s">
        <v>2503</v>
      </c>
      <c r="S1611" t="s">
        <v>47</v>
      </c>
      <c r="T1611" t="s">
        <v>47</v>
      </c>
      <c r="U1611" t="s">
        <v>47</v>
      </c>
      <c r="V1611" t="s">
        <v>47</v>
      </c>
      <c r="W1611" s="3">
        <v>41298</v>
      </c>
      <c r="X1611" s="3">
        <v>44530</v>
      </c>
      <c r="Y1611" s="5" t="s">
        <v>2503</v>
      </c>
      <c r="Z1611" s="3">
        <v>41298</v>
      </c>
      <c r="AA1611" s="3">
        <v>44530</v>
      </c>
      <c r="AB1611" s="5" t="s">
        <v>2503</v>
      </c>
      <c r="AC1611" s="3">
        <v>41298</v>
      </c>
      <c r="AD1611" s="3">
        <v>44530</v>
      </c>
      <c r="AE1611" s="5" t="s">
        <v>2503</v>
      </c>
      <c r="AF1611" t="s">
        <v>47</v>
      </c>
      <c r="AG1611" t="s">
        <v>47</v>
      </c>
      <c r="AH1611" t="s">
        <v>47</v>
      </c>
      <c r="AI1611" t="s">
        <v>47</v>
      </c>
      <c r="AJ1611" t="s">
        <v>47</v>
      </c>
      <c r="AK1611" t="s">
        <v>47</v>
      </c>
      <c r="AL1611" t="s">
        <v>47</v>
      </c>
      <c r="AM1611" t="s">
        <v>47</v>
      </c>
      <c r="AN1611" t="s">
        <v>47</v>
      </c>
      <c r="AO1611" s="5" t="s">
        <v>51</v>
      </c>
      <c r="AP1611" s="4" t="s">
        <v>197</v>
      </c>
      <c r="AQ1611" s="4" t="s">
        <v>53</v>
      </c>
      <c r="AR1611" s="4" t="s">
        <v>595</v>
      </c>
      <c r="AS1611" s="5">
        <v>6246000</v>
      </c>
      <c r="AT1611" t="s">
        <v>47</v>
      </c>
    </row>
    <row r="1612" spans="1:46" ht="52" x14ac:dyDescent="0.3">
      <c r="A1612" s="4" t="s">
        <v>6096</v>
      </c>
      <c r="B1612" t="s">
        <v>47</v>
      </c>
      <c r="C1612" s="4" t="s">
        <v>6097</v>
      </c>
      <c r="D1612" s="4" t="s">
        <v>6098</v>
      </c>
      <c r="E1612" s="4" t="s">
        <v>49</v>
      </c>
      <c r="F1612" s="5" t="s">
        <v>6099</v>
      </c>
      <c r="G1612" t="s">
        <v>47</v>
      </c>
      <c r="H1612" t="s">
        <v>47</v>
      </c>
      <c r="I1612" s="3">
        <v>32904</v>
      </c>
      <c r="J1612" s="3">
        <v>44105</v>
      </c>
      <c r="K1612" t="s">
        <v>47</v>
      </c>
      <c r="L1612" s="5" t="s">
        <v>60</v>
      </c>
      <c r="M1612" s="3">
        <v>32904</v>
      </c>
      <c r="N1612" s="3">
        <v>44105</v>
      </c>
      <c r="O1612" t="s">
        <v>47</v>
      </c>
      <c r="P1612" t="s">
        <v>47</v>
      </c>
      <c r="Q1612" t="s">
        <v>47</v>
      </c>
      <c r="R1612" t="s">
        <v>47</v>
      </c>
      <c r="S1612" t="s">
        <v>47</v>
      </c>
      <c r="T1612" t="s">
        <v>47</v>
      </c>
      <c r="U1612" t="s">
        <v>47</v>
      </c>
      <c r="V1612" t="s">
        <v>47</v>
      </c>
      <c r="W1612" s="3">
        <v>32904</v>
      </c>
      <c r="X1612" s="3">
        <v>44105</v>
      </c>
      <c r="Y1612" t="s">
        <v>47</v>
      </c>
      <c r="Z1612" s="3">
        <v>32904</v>
      </c>
      <c r="AA1612" s="3">
        <v>44105</v>
      </c>
      <c r="AB1612" t="s">
        <v>47</v>
      </c>
      <c r="AC1612" s="3">
        <v>32904</v>
      </c>
      <c r="AD1612" s="3">
        <v>44105</v>
      </c>
      <c r="AE1612" t="s">
        <v>47</v>
      </c>
      <c r="AF1612" t="s">
        <v>47</v>
      </c>
      <c r="AG1612" t="s">
        <v>47</v>
      </c>
      <c r="AH1612" t="s">
        <v>47</v>
      </c>
      <c r="AI1612" t="s">
        <v>47</v>
      </c>
      <c r="AJ1612" t="s">
        <v>47</v>
      </c>
      <c r="AK1612" t="s">
        <v>47</v>
      </c>
      <c r="AL1612" t="s">
        <v>47</v>
      </c>
      <c r="AM1612" t="s">
        <v>47</v>
      </c>
      <c r="AN1612" t="s">
        <v>47</v>
      </c>
      <c r="AO1612" s="5" t="s">
        <v>51</v>
      </c>
      <c r="AP1612" s="4" t="s">
        <v>61</v>
      </c>
      <c r="AQ1612" s="4" t="s">
        <v>53</v>
      </c>
      <c r="AR1612" s="4" t="s">
        <v>6100</v>
      </c>
      <c r="AS1612" s="5">
        <v>42653</v>
      </c>
      <c r="AT1612" t="s">
        <v>47</v>
      </c>
    </row>
    <row r="1613" spans="1:46" ht="52" x14ac:dyDescent="0.3">
      <c r="A1613" s="4" t="s">
        <v>6101</v>
      </c>
      <c r="B1613" t="s">
        <v>47</v>
      </c>
      <c r="C1613" s="4" t="s">
        <v>6097</v>
      </c>
      <c r="D1613" s="4" t="s">
        <v>6098</v>
      </c>
      <c r="E1613" s="4" t="s">
        <v>49</v>
      </c>
      <c r="F1613" s="5" t="s">
        <v>6099</v>
      </c>
      <c r="G1613" t="s">
        <v>47</v>
      </c>
      <c r="H1613" t="s">
        <v>47</v>
      </c>
      <c r="I1613" s="3">
        <v>32720</v>
      </c>
      <c r="J1613" s="3">
        <v>32812</v>
      </c>
      <c r="K1613" t="s">
        <v>47</v>
      </c>
      <c r="L1613" s="5" t="s">
        <v>60</v>
      </c>
      <c r="M1613" s="3">
        <v>32720</v>
      </c>
      <c r="N1613" s="3">
        <v>32812</v>
      </c>
      <c r="O1613" t="s">
        <v>47</v>
      </c>
      <c r="P1613" t="s">
        <v>47</v>
      </c>
      <c r="Q1613" t="s">
        <v>47</v>
      </c>
      <c r="R1613" t="s">
        <v>47</v>
      </c>
      <c r="S1613" t="s">
        <v>47</v>
      </c>
      <c r="T1613" t="s">
        <v>47</v>
      </c>
      <c r="U1613" t="s">
        <v>47</v>
      </c>
      <c r="V1613" t="s">
        <v>47</v>
      </c>
      <c r="W1613" s="3">
        <v>32720</v>
      </c>
      <c r="X1613" s="3">
        <v>32812</v>
      </c>
      <c r="Y1613" t="s">
        <v>47</v>
      </c>
      <c r="Z1613" s="3">
        <v>32720</v>
      </c>
      <c r="AA1613" s="3">
        <v>32812</v>
      </c>
      <c r="AB1613" t="s">
        <v>47</v>
      </c>
      <c r="AC1613" s="3">
        <v>32720</v>
      </c>
      <c r="AD1613" s="3">
        <v>32812</v>
      </c>
      <c r="AE1613" t="s">
        <v>47</v>
      </c>
      <c r="AF1613" t="s">
        <v>47</v>
      </c>
      <c r="AG1613" t="s">
        <v>47</v>
      </c>
      <c r="AH1613" t="s">
        <v>47</v>
      </c>
      <c r="AI1613" t="s">
        <v>47</v>
      </c>
      <c r="AJ1613" t="s">
        <v>47</v>
      </c>
      <c r="AK1613" t="s">
        <v>47</v>
      </c>
      <c r="AL1613" t="s">
        <v>47</v>
      </c>
      <c r="AM1613" t="s">
        <v>47</v>
      </c>
      <c r="AN1613" t="s">
        <v>47</v>
      </c>
      <c r="AO1613" s="5" t="s">
        <v>51</v>
      </c>
      <c r="AP1613" s="4" t="s">
        <v>61</v>
      </c>
      <c r="AQ1613" s="4" t="s">
        <v>53</v>
      </c>
      <c r="AR1613" s="4" t="s">
        <v>6100</v>
      </c>
      <c r="AS1613" s="5">
        <v>42652</v>
      </c>
      <c r="AT1613" t="s">
        <v>47</v>
      </c>
    </row>
    <row r="1614" spans="1:46" ht="39" x14ac:dyDescent="0.3">
      <c r="A1614" s="4" t="s">
        <v>6102</v>
      </c>
      <c r="B1614" t="s">
        <v>47</v>
      </c>
      <c r="C1614" s="4" t="s">
        <v>6103</v>
      </c>
      <c r="D1614" s="4" t="s">
        <v>4231</v>
      </c>
      <c r="E1614" s="4" t="s">
        <v>701</v>
      </c>
      <c r="F1614" t="s">
        <v>47</v>
      </c>
      <c r="G1614" s="5" t="s">
        <v>6104</v>
      </c>
      <c r="H1614" t="s">
        <v>47</v>
      </c>
      <c r="I1614" s="3">
        <v>42370</v>
      </c>
      <c r="J1614" s="5" t="s">
        <v>50</v>
      </c>
      <c r="K1614" t="s">
        <v>47</v>
      </c>
      <c r="L1614" s="5" t="s">
        <v>60</v>
      </c>
      <c r="M1614" t="s">
        <v>47</v>
      </c>
      <c r="N1614" t="s">
        <v>47</v>
      </c>
      <c r="O1614" t="s">
        <v>47</v>
      </c>
      <c r="P1614" s="3">
        <v>42370</v>
      </c>
      <c r="Q1614" s="5" t="s">
        <v>50</v>
      </c>
      <c r="R1614" t="s">
        <v>47</v>
      </c>
      <c r="S1614" t="s">
        <v>47</v>
      </c>
      <c r="T1614" t="s">
        <v>47</v>
      </c>
      <c r="U1614" t="s">
        <v>47</v>
      </c>
      <c r="V1614" t="s">
        <v>47</v>
      </c>
      <c r="W1614" s="3">
        <v>42370</v>
      </c>
      <c r="X1614" s="5" t="s">
        <v>50</v>
      </c>
      <c r="Y1614" t="s">
        <v>47</v>
      </c>
      <c r="Z1614" s="3">
        <v>42370</v>
      </c>
      <c r="AA1614" s="5" t="s">
        <v>50</v>
      </c>
      <c r="AB1614" t="s">
        <v>47</v>
      </c>
      <c r="AC1614" s="3">
        <v>42370</v>
      </c>
      <c r="AD1614" s="5" t="s">
        <v>50</v>
      </c>
      <c r="AE1614" t="s">
        <v>47</v>
      </c>
      <c r="AF1614" t="s">
        <v>47</v>
      </c>
      <c r="AG1614" t="s">
        <v>47</v>
      </c>
      <c r="AH1614" t="s">
        <v>47</v>
      </c>
      <c r="AI1614" t="s">
        <v>47</v>
      </c>
      <c r="AJ1614" t="s">
        <v>47</v>
      </c>
      <c r="AK1614" t="s">
        <v>47</v>
      </c>
      <c r="AL1614" t="s">
        <v>47</v>
      </c>
      <c r="AM1614" t="s">
        <v>47</v>
      </c>
      <c r="AN1614" t="s">
        <v>47</v>
      </c>
      <c r="AO1614" s="5" t="s">
        <v>60</v>
      </c>
      <c r="AP1614" s="4" t="s">
        <v>61</v>
      </c>
      <c r="AQ1614" s="4" t="s">
        <v>427</v>
      </c>
      <c r="AR1614" s="4" t="s">
        <v>6105</v>
      </c>
      <c r="AS1614" s="5">
        <v>2045096</v>
      </c>
      <c r="AT1614" t="s">
        <v>47</v>
      </c>
    </row>
    <row r="1615" spans="1:46" ht="26" x14ac:dyDescent="0.3">
      <c r="A1615" s="4" t="s">
        <v>6106</v>
      </c>
      <c r="B1615" t="s">
        <v>47</v>
      </c>
      <c r="C1615" s="4" t="s">
        <v>2492</v>
      </c>
      <c r="D1615" s="4" t="s">
        <v>2022</v>
      </c>
      <c r="E1615" s="4" t="s">
        <v>49</v>
      </c>
      <c r="F1615" s="5" t="s">
        <v>6107</v>
      </c>
      <c r="G1615" t="s">
        <v>47</v>
      </c>
      <c r="H1615" t="s">
        <v>47</v>
      </c>
      <c r="I1615" s="3">
        <v>35947</v>
      </c>
      <c r="J1615" s="3">
        <v>41640</v>
      </c>
      <c r="K1615" t="s">
        <v>47</v>
      </c>
      <c r="L1615" s="5" t="s">
        <v>51</v>
      </c>
      <c r="M1615" s="3">
        <v>35947</v>
      </c>
      <c r="N1615" s="3">
        <v>41640</v>
      </c>
      <c r="O1615" t="s">
        <v>47</v>
      </c>
      <c r="P1615" s="3">
        <v>35947</v>
      </c>
      <c r="Q1615" s="3">
        <v>41640</v>
      </c>
      <c r="R1615" t="s">
        <v>47</v>
      </c>
      <c r="S1615" t="s">
        <v>47</v>
      </c>
      <c r="T1615" t="s">
        <v>47</v>
      </c>
      <c r="U1615" t="s">
        <v>47</v>
      </c>
      <c r="V1615" t="s">
        <v>47</v>
      </c>
      <c r="W1615" s="3">
        <v>35947</v>
      </c>
      <c r="X1615" s="3">
        <v>41640</v>
      </c>
      <c r="Y1615" t="s">
        <v>47</v>
      </c>
      <c r="Z1615" s="3">
        <v>35947</v>
      </c>
      <c r="AA1615" s="3">
        <v>41640</v>
      </c>
      <c r="AB1615" t="s">
        <v>47</v>
      </c>
      <c r="AC1615" s="3">
        <v>35947</v>
      </c>
      <c r="AD1615" s="3">
        <v>41640</v>
      </c>
      <c r="AE1615" t="s">
        <v>47</v>
      </c>
      <c r="AF1615" t="s">
        <v>47</v>
      </c>
      <c r="AG1615" t="s">
        <v>47</v>
      </c>
      <c r="AH1615" t="s">
        <v>47</v>
      </c>
      <c r="AI1615" t="s">
        <v>47</v>
      </c>
      <c r="AJ1615" t="s">
        <v>47</v>
      </c>
      <c r="AK1615" t="s">
        <v>47</v>
      </c>
      <c r="AL1615" t="s">
        <v>47</v>
      </c>
      <c r="AM1615" t="s">
        <v>47</v>
      </c>
      <c r="AN1615" t="s">
        <v>47</v>
      </c>
      <c r="AO1615" s="5" t="s">
        <v>51</v>
      </c>
      <c r="AP1615" s="4" t="s">
        <v>135</v>
      </c>
      <c r="AQ1615" s="4" t="s">
        <v>53</v>
      </c>
      <c r="AR1615" s="4" t="s">
        <v>580</v>
      </c>
      <c r="AS1615" s="5">
        <v>46532</v>
      </c>
      <c r="AT1615" t="s">
        <v>47</v>
      </c>
    </row>
    <row r="1616" spans="1:46" ht="26" x14ac:dyDescent="0.3">
      <c r="A1616" s="4" t="s">
        <v>6108</v>
      </c>
      <c r="B1616" t="s">
        <v>47</v>
      </c>
      <c r="C1616" s="4" t="s">
        <v>6109</v>
      </c>
      <c r="D1616" s="4" t="s">
        <v>6110</v>
      </c>
      <c r="E1616" s="4" t="s">
        <v>49</v>
      </c>
      <c r="F1616" s="5" t="s">
        <v>6111</v>
      </c>
      <c r="G1616" s="5" t="s">
        <v>6112</v>
      </c>
      <c r="H1616" t="s">
        <v>47</v>
      </c>
      <c r="I1616" s="3">
        <v>32143</v>
      </c>
      <c r="J1616" s="3">
        <v>44896</v>
      </c>
      <c r="K1616" t="s">
        <v>47</v>
      </c>
      <c r="L1616" s="5" t="s">
        <v>51</v>
      </c>
      <c r="M1616" s="3">
        <v>33604</v>
      </c>
      <c r="N1616" s="3">
        <v>44896</v>
      </c>
      <c r="O1616" t="s">
        <v>47</v>
      </c>
      <c r="P1616" s="3">
        <v>32143</v>
      </c>
      <c r="Q1616" s="3">
        <v>44896</v>
      </c>
      <c r="R1616" t="s">
        <v>47</v>
      </c>
      <c r="S1616" t="s">
        <v>47</v>
      </c>
      <c r="T1616" t="s">
        <v>47</v>
      </c>
      <c r="U1616" t="s">
        <v>47</v>
      </c>
      <c r="V1616" t="s">
        <v>47</v>
      </c>
      <c r="W1616" s="3">
        <v>32143</v>
      </c>
      <c r="X1616" s="3">
        <v>44896</v>
      </c>
      <c r="Y1616" t="s">
        <v>47</v>
      </c>
      <c r="Z1616" s="3">
        <v>32143</v>
      </c>
      <c r="AA1616" s="3">
        <v>44896</v>
      </c>
      <c r="AB1616" t="s">
        <v>47</v>
      </c>
      <c r="AC1616" s="3">
        <v>32143</v>
      </c>
      <c r="AD1616" s="3">
        <v>44896</v>
      </c>
      <c r="AE1616" t="s">
        <v>47</v>
      </c>
      <c r="AF1616" t="s">
        <v>47</v>
      </c>
      <c r="AG1616" t="s">
        <v>47</v>
      </c>
      <c r="AH1616" t="s">
        <v>47</v>
      </c>
      <c r="AI1616" t="s">
        <v>47</v>
      </c>
      <c r="AJ1616" t="s">
        <v>47</v>
      </c>
      <c r="AK1616" t="s">
        <v>47</v>
      </c>
      <c r="AL1616" t="s">
        <v>47</v>
      </c>
      <c r="AM1616" t="s">
        <v>47</v>
      </c>
      <c r="AN1616" t="s">
        <v>47</v>
      </c>
      <c r="AO1616" s="5" t="s">
        <v>51</v>
      </c>
      <c r="AP1616" s="4" t="s">
        <v>135</v>
      </c>
      <c r="AQ1616" s="4" t="s">
        <v>53</v>
      </c>
      <c r="AR1616" s="4" t="s">
        <v>6113</v>
      </c>
      <c r="AS1616" s="5">
        <v>41043</v>
      </c>
      <c r="AT1616" t="s">
        <v>47</v>
      </c>
    </row>
    <row r="1617" spans="1:46" ht="130" x14ac:dyDescent="0.3">
      <c r="A1617" s="4" t="s">
        <v>6114</v>
      </c>
      <c r="B1617" t="s">
        <v>47</v>
      </c>
      <c r="C1617" s="4" t="s">
        <v>2689</v>
      </c>
      <c r="D1617" s="4" t="s">
        <v>2200</v>
      </c>
      <c r="E1617" s="4" t="s">
        <v>49</v>
      </c>
      <c r="F1617" s="5" t="s">
        <v>6115</v>
      </c>
      <c r="G1617" s="5" t="s">
        <v>6116</v>
      </c>
      <c r="H1617" t="s">
        <v>47</v>
      </c>
      <c r="I1617" s="3">
        <v>39814</v>
      </c>
      <c r="J1617" s="5" t="s">
        <v>50</v>
      </c>
      <c r="K1617" t="s">
        <v>47</v>
      </c>
      <c r="L1617" s="5" t="s">
        <v>60</v>
      </c>
      <c r="M1617" t="s">
        <v>47</v>
      </c>
      <c r="N1617" t="s">
        <v>47</v>
      </c>
      <c r="O1617" t="s">
        <v>47</v>
      </c>
      <c r="P1617" s="3">
        <v>39814</v>
      </c>
      <c r="Q1617" s="5" t="s">
        <v>50</v>
      </c>
      <c r="R1617" t="s">
        <v>47</v>
      </c>
      <c r="S1617" t="s">
        <v>47</v>
      </c>
      <c r="T1617" t="s">
        <v>47</v>
      </c>
      <c r="U1617" t="s">
        <v>47</v>
      </c>
      <c r="V1617" t="s">
        <v>47</v>
      </c>
      <c r="W1617" s="3">
        <v>39814</v>
      </c>
      <c r="X1617" s="5" t="s">
        <v>50</v>
      </c>
      <c r="Y1617" t="s">
        <v>47</v>
      </c>
      <c r="Z1617" s="3">
        <v>39814</v>
      </c>
      <c r="AA1617" s="5" t="s">
        <v>50</v>
      </c>
      <c r="AB1617" t="s">
        <v>47</v>
      </c>
      <c r="AC1617" s="3">
        <v>39814</v>
      </c>
      <c r="AD1617" s="5" t="s">
        <v>50</v>
      </c>
      <c r="AE1617" t="s">
        <v>47</v>
      </c>
      <c r="AF1617" t="s">
        <v>47</v>
      </c>
      <c r="AG1617" t="s">
        <v>47</v>
      </c>
      <c r="AH1617" t="s">
        <v>47</v>
      </c>
      <c r="AI1617" t="s">
        <v>47</v>
      </c>
      <c r="AJ1617" t="s">
        <v>47</v>
      </c>
      <c r="AK1617" t="s">
        <v>47</v>
      </c>
      <c r="AL1617" t="s">
        <v>47</v>
      </c>
      <c r="AM1617" t="s">
        <v>47</v>
      </c>
      <c r="AN1617" t="s">
        <v>47</v>
      </c>
      <c r="AO1617" s="5" t="s">
        <v>60</v>
      </c>
      <c r="AP1617" s="4" t="s">
        <v>61</v>
      </c>
      <c r="AQ1617" s="4" t="s">
        <v>53</v>
      </c>
      <c r="AR1617" s="4" t="s">
        <v>1793</v>
      </c>
      <c r="AS1617" s="5">
        <v>5531550</v>
      </c>
      <c r="AT1617" t="s">
        <v>47</v>
      </c>
    </row>
    <row r="1618" spans="1:46" ht="13" x14ac:dyDescent="0.3">
      <c r="A1618" s="4" t="s">
        <v>6117</v>
      </c>
      <c r="B1618" t="s">
        <v>47</v>
      </c>
      <c r="C1618" s="4" t="s">
        <v>6118</v>
      </c>
      <c r="D1618" s="4" t="s">
        <v>139</v>
      </c>
      <c r="E1618" s="4" t="s">
        <v>66</v>
      </c>
      <c r="F1618" t="s">
        <v>47</v>
      </c>
      <c r="G1618" t="s">
        <v>47</v>
      </c>
      <c r="H1618" s="5" t="s">
        <v>6119</v>
      </c>
      <c r="I1618" s="3">
        <v>39083</v>
      </c>
      <c r="J1618" s="3">
        <v>39083</v>
      </c>
      <c r="K1618" t="s">
        <v>47</v>
      </c>
      <c r="L1618" s="5" t="s">
        <v>51</v>
      </c>
      <c r="M1618" s="3">
        <v>39083</v>
      </c>
      <c r="N1618" s="3">
        <v>39083</v>
      </c>
      <c r="O1618" t="s">
        <v>47</v>
      </c>
      <c r="P1618" s="3">
        <v>39083</v>
      </c>
      <c r="Q1618" s="3">
        <v>39083</v>
      </c>
      <c r="R1618" t="s">
        <v>47</v>
      </c>
      <c r="S1618" t="s">
        <v>47</v>
      </c>
      <c r="T1618" t="s">
        <v>47</v>
      </c>
      <c r="U1618" t="s">
        <v>47</v>
      </c>
      <c r="V1618" t="s">
        <v>47</v>
      </c>
      <c r="W1618" s="3">
        <v>39083</v>
      </c>
      <c r="X1618" s="3">
        <v>39083</v>
      </c>
      <c r="Y1618" t="s">
        <v>47</v>
      </c>
      <c r="Z1618" s="3">
        <v>39083</v>
      </c>
      <c r="AA1618" s="3">
        <v>39083</v>
      </c>
      <c r="AB1618" t="s">
        <v>47</v>
      </c>
      <c r="AC1618" s="3">
        <v>39083</v>
      </c>
      <c r="AD1618" s="3">
        <v>39083</v>
      </c>
      <c r="AE1618" t="s">
        <v>47</v>
      </c>
      <c r="AF1618" t="s">
        <v>47</v>
      </c>
      <c r="AG1618" t="s">
        <v>47</v>
      </c>
      <c r="AH1618" t="s">
        <v>47</v>
      </c>
      <c r="AI1618" t="s">
        <v>47</v>
      </c>
      <c r="AJ1618" t="s">
        <v>47</v>
      </c>
      <c r="AK1618" t="s">
        <v>47</v>
      </c>
      <c r="AL1618" t="s">
        <v>47</v>
      </c>
      <c r="AM1618" t="s">
        <v>47</v>
      </c>
      <c r="AN1618" t="s">
        <v>47</v>
      </c>
      <c r="AO1618" s="5" t="s">
        <v>51</v>
      </c>
      <c r="AP1618" s="4" t="s">
        <v>1170</v>
      </c>
      <c r="AQ1618" s="4" t="s">
        <v>53</v>
      </c>
      <c r="AR1618" s="4" t="s">
        <v>54</v>
      </c>
      <c r="AS1618" s="5">
        <v>105869</v>
      </c>
      <c r="AT1618" t="s">
        <v>47</v>
      </c>
    </row>
    <row r="1619" spans="1:46" ht="13" x14ac:dyDescent="0.3">
      <c r="A1619" s="4" t="s">
        <v>6120</v>
      </c>
      <c r="B1619" t="s">
        <v>47</v>
      </c>
      <c r="C1619" s="4" t="s">
        <v>5331</v>
      </c>
      <c r="D1619" s="4" t="s">
        <v>5332</v>
      </c>
      <c r="E1619" s="4" t="s">
        <v>1448</v>
      </c>
      <c r="F1619" s="5" t="s">
        <v>6121</v>
      </c>
      <c r="G1619" s="5" t="s">
        <v>6122</v>
      </c>
      <c r="H1619" t="s">
        <v>47</v>
      </c>
      <c r="I1619" s="3">
        <v>40909</v>
      </c>
      <c r="J1619" s="5" t="s">
        <v>50</v>
      </c>
      <c r="K1619" t="s">
        <v>47</v>
      </c>
      <c r="L1619" s="5" t="s">
        <v>60</v>
      </c>
      <c r="M1619" s="3">
        <v>40909</v>
      </c>
      <c r="N1619" s="3">
        <v>42370</v>
      </c>
      <c r="O1619" t="s">
        <v>47</v>
      </c>
      <c r="P1619" s="3">
        <v>40909</v>
      </c>
      <c r="Q1619" s="5" t="s">
        <v>50</v>
      </c>
      <c r="R1619" t="s">
        <v>47</v>
      </c>
      <c r="S1619" t="s">
        <v>47</v>
      </c>
      <c r="T1619" t="s">
        <v>47</v>
      </c>
      <c r="U1619" t="s">
        <v>47</v>
      </c>
      <c r="V1619" t="s">
        <v>47</v>
      </c>
      <c r="W1619" s="3">
        <v>40909</v>
      </c>
      <c r="X1619" s="5" t="s">
        <v>50</v>
      </c>
      <c r="Y1619" t="s">
        <v>47</v>
      </c>
      <c r="Z1619" s="3">
        <v>40909</v>
      </c>
      <c r="AA1619" s="5" t="s">
        <v>50</v>
      </c>
      <c r="AB1619" t="s">
        <v>47</v>
      </c>
      <c r="AC1619" s="3">
        <v>40909</v>
      </c>
      <c r="AD1619" s="5" t="s">
        <v>50</v>
      </c>
      <c r="AE1619" t="s">
        <v>47</v>
      </c>
      <c r="AF1619" t="s">
        <v>47</v>
      </c>
      <c r="AG1619" t="s">
        <v>47</v>
      </c>
      <c r="AH1619" t="s">
        <v>47</v>
      </c>
      <c r="AI1619" t="s">
        <v>47</v>
      </c>
      <c r="AJ1619" t="s">
        <v>47</v>
      </c>
      <c r="AK1619" t="s">
        <v>47</v>
      </c>
      <c r="AL1619" t="s">
        <v>47</v>
      </c>
      <c r="AM1619" t="s">
        <v>47</v>
      </c>
      <c r="AN1619" t="s">
        <v>47</v>
      </c>
      <c r="AO1619" s="5" t="s">
        <v>60</v>
      </c>
      <c r="AP1619" s="4" t="s">
        <v>61</v>
      </c>
      <c r="AQ1619" s="4" t="s">
        <v>119</v>
      </c>
      <c r="AR1619" s="4" t="s">
        <v>54</v>
      </c>
      <c r="AS1619" s="5">
        <v>1806347</v>
      </c>
      <c r="AT1619" t="s">
        <v>47</v>
      </c>
    </row>
    <row r="1620" spans="1:46" ht="26" x14ac:dyDescent="0.3">
      <c r="A1620" s="4" t="s">
        <v>6123</v>
      </c>
      <c r="B1620" t="s">
        <v>47</v>
      </c>
      <c r="C1620" s="4" t="s">
        <v>6124</v>
      </c>
      <c r="D1620" s="4" t="s">
        <v>6125</v>
      </c>
      <c r="E1620" s="4" t="s">
        <v>156</v>
      </c>
      <c r="F1620" s="5" t="s">
        <v>6126</v>
      </c>
      <c r="G1620" s="5" t="s">
        <v>6127</v>
      </c>
      <c r="H1620" t="s">
        <v>47</v>
      </c>
      <c r="I1620" s="3">
        <v>39814</v>
      </c>
      <c r="J1620" s="3">
        <v>43831</v>
      </c>
      <c r="K1620" s="5" t="s">
        <v>6128</v>
      </c>
      <c r="L1620" s="5" t="s">
        <v>60</v>
      </c>
      <c r="M1620" t="s">
        <v>47</v>
      </c>
      <c r="N1620" t="s">
        <v>47</v>
      </c>
      <c r="O1620" t="s">
        <v>47</v>
      </c>
      <c r="P1620" s="3">
        <v>39814</v>
      </c>
      <c r="Q1620" s="3">
        <v>43831</v>
      </c>
      <c r="R1620" s="5" t="s">
        <v>6128</v>
      </c>
      <c r="S1620" t="s">
        <v>47</v>
      </c>
      <c r="T1620" t="s">
        <v>47</v>
      </c>
      <c r="U1620" t="s">
        <v>47</v>
      </c>
      <c r="V1620" t="s">
        <v>47</v>
      </c>
      <c r="W1620" s="3">
        <v>39814</v>
      </c>
      <c r="X1620" s="3">
        <v>43831</v>
      </c>
      <c r="Y1620" s="5" t="s">
        <v>6128</v>
      </c>
      <c r="Z1620" s="3">
        <v>39814</v>
      </c>
      <c r="AA1620" s="3">
        <v>43831</v>
      </c>
      <c r="AB1620" s="5" t="s">
        <v>6128</v>
      </c>
      <c r="AC1620" s="3">
        <v>39814</v>
      </c>
      <c r="AD1620" s="3">
        <v>43831</v>
      </c>
      <c r="AE1620" s="5" t="s">
        <v>6128</v>
      </c>
      <c r="AF1620" t="s">
        <v>47</v>
      </c>
      <c r="AG1620" t="s">
        <v>47</v>
      </c>
      <c r="AH1620" t="s">
        <v>47</v>
      </c>
      <c r="AI1620" t="s">
        <v>47</v>
      </c>
      <c r="AJ1620" t="s">
        <v>47</v>
      </c>
      <c r="AK1620" t="s">
        <v>47</v>
      </c>
      <c r="AL1620" t="s">
        <v>47</v>
      </c>
      <c r="AM1620" t="s">
        <v>47</v>
      </c>
      <c r="AN1620" t="s">
        <v>47</v>
      </c>
      <c r="AO1620" s="5" t="s">
        <v>60</v>
      </c>
      <c r="AP1620" s="4" t="s">
        <v>61</v>
      </c>
      <c r="AQ1620" s="4" t="s">
        <v>922</v>
      </c>
      <c r="AR1620" s="4" t="s">
        <v>54</v>
      </c>
      <c r="AS1620" s="5">
        <v>4514812</v>
      </c>
      <c r="AT1620" t="s">
        <v>47</v>
      </c>
    </row>
    <row r="1621" spans="1:46" ht="39" x14ac:dyDescent="0.3">
      <c r="A1621" s="4" t="s">
        <v>6129</v>
      </c>
      <c r="B1621" t="s">
        <v>47</v>
      </c>
      <c r="C1621" s="4" t="s">
        <v>6130</v>
      </c>
      <c r="D1621" s="4" t="s">
        <v>914</v>
      </c>
      <c r="E1621" s="4" t="s">
        <v>100</v>
      </c>
      <c r="F1621" s="5" t="s">
        <v>6131</v>
      </c>
      <c r="G1621" t="s">
        <v>47</v>
      </c>
      <c r="H1621" t="s">
        <v>47</v>
      </c>
      <c r="I1621" s="3">
        <v>38718</v>
      </c>
      <c r="J1621" s="3">
        <v>40664</v>
      </c>
      <c r="K1621" t="s">
        <v>47</v>
      </c>
      <c r="L1621" s="5" t="s">
        <v>51</v>
      </c>
      <c r="M1621" s="3">
        <v>38718</v>
      </c>
      <c r="N1621" s="3">
        <v>40664</v>
      </c>
      <c r="O1621" t="s">
        <v>47</v>
      </c>
      <c r="P1621" t="s">
        <v>47</v>
      </c>
      <c r="Q1621" t="s">
        <v>47</v>
      </c>
      <c r="R1621" t="s">
        <v>47</v>
      </c>
      <c r="S1621" t="s">
        <v>47</v>
      </c>
      <c r="T1621" t="s">
        <v>47</v>
      </c>
      <c r="U1621" t="s">
        <v>47</v>
      </c>
      <c r="V1621" t="s">
        <v>47</v>
      </c>
      <c r="W1621" s="3">
        <v>32264</v>
      </c>
      <c r="X1621" s="5" t="s">
        <v>50</v>
      </c>
      <c r="Y1621" s="5" t="s">
        <v>6132</v>
      </c>
      <c r="Z1621" s="3">
        <v>32264</v>
      </c>
      <c r="AA1621" s="5" t="s">
        <v>50</v>
      </c>
      <c r="AB1621" s="5" t="s">
        <v>6132</v>
      </c>
      <c r="AC1621" s="3">
        <v>42736</v>
      </c>
      <c r="AD1621" s="5" t="s">
        <v>50</v>
      </c>
      <c r="AE1621" t="s">
        <v>47</v>
      </c>
      <c r="AF1621" t="s">
        <v>47</v>
      </c>
      <c r="AG1621" t="s">
        <v>47</v>
      </c>
      <c r="AH1621" t="s">
        <v>47</v>
      </c>
      <c r="AI1621" t="s">
        <v>47</v>
      </c>
      <c r="AJ1621" t="s">
        <v>47</v>
      </c>
      <c r="AK1621" t="s">
        <v>47</v>
      </c>
      <c r="AL1621" t="s">
        <v>47</v>
      </c>
      <c r="AM1621" t="s">
        <v>47</v>
      </c>
      <c r="AN1621" t="s">
        <v>47</v>
      </c>
      <c r="AO1621" s="5" t="s">
        <v>51</v>
      </c>
      <c r="AP1621" s="4" t="s">
        <v>85</v>
      </c>
      <c r="AQ1621" s="4" t="s">
        <v>53</v>
      </c>
      <c r="AR1621" s="4" t="s">
        <v>62</v>
      </c>
      <c r="AS1621" s="5">
        <v>45149</v>
      </c>
      <c r="AT1621" t="s">
        <v>47</v>
      </c>
    </row>
    <row r="1622" spans="1:46" ht="52" x14ac:dyDescent="0.3">
      <c r="A1622" s="4" t="s">
        <v>6133</v>
      </c>
      <c r="B1622" t="s">
        <v>47</v>
      </c>
      <c r="C1622" s="4" t="s">
        <v>6134</v>
      </c>
      <c r="D1622" s="4" t="s">
        <v>1055</v>
      </c>
      <c r="E1622" s="4" t="s">
        <v>49</v>
      </c>
      <c r="F1622" t="s">
        <v>47</v>
      </c>
      <c r="G1622" t="s">
        <v>47</v>
      </c>
      <c r="H1622" t="s">
        <v>47</v>
      </c>
      <c r="I1622" s="3">
        <v>34234</v>
      </c>
      <c r="J1622" s="5" t="s">
        <v>50</v>
      </c>
      <c r="K1622" t="s">
        <v>47</v>
      </c>
      <c r="L1622" s="5" t="s">
        <v>51</v>
      </c>
      <c r="M1622" s="3">
        <v>34234</v>
      </c>
      <c r="N1622" s="5" t="s">
        <v>50</v>
      </c>
      <c r="O1622" t="s">
        <v>47</v>
      </c>
      <c r="P1622" t="s">
        <v>47</v>
      </c>
      <c r="Q1622" t="s">
        <v>47</v>
      </c>
      <c r="R1622" t="s">
        <v>47</v>
      </c>
      <c r="S1622" t="s">
        <v>47</v>
      </c>
      <c r="T1622" t="s">
        <v>47</v>
      </c>
      <c r="U1622" t="s">
        <v>47</v>
      </c>
      <c r="V1622" t="s">
        <v>47</v>
      </c>
      <c r="W1622" s="3">
        <v>34234</v>
      </c>
      <c r="X1622" s="5" t="s">
        <v>50</v>
      </c>
      <c r="Y1622" t="s">
        <v>47</v>
      </c>
      <c r="Z1622" s="3">
        <v>34234</v>
      </c>
      <c r="AA1622" s="5" t="s">
        <v>50</v>
      </c>
      <c r="AB1622" t="s">
        <v>47</v>
      </c>
      <c r="AC1622" s="3">
        <v>36782</v>
      </c>
      <c r="AD1622" s="3">
        <v>42811</v>
      </c>
      <c r="AE1622" t="s">
        <v>47</v>
      </c>
      <c r="AF1622" t="s">
        <v>47</v>
      </c>
      <c r="AG1622" t="s">
        <v>47</v>
      </c>
      <c r="AH1622" t="s">
        <v>47</v>
      </c>
      <c r="AI1622" t="s">
        <v>47</v>
      </c>
      <c r="AJ1622" t="s">
        <v>47</v>
      </c>
      <c r="AK1622" t="s">
        <v>47</v>
      </c>
      <c r="AL1622" t="s">
        <v>47</v>
      </c>
      <c r="AM1622" t="s">
        <v>47</v>
      </c>
      <c r="AN1622" t="s">
        <v>47</v>
      </c>
      <c r="AO1622" s="5" t="s">
        <v>51</v>
      </c>
      <c r="AP1622" s="4" t="s">
        <v>5840</v>
      </c>
      <c r="AQ1622" s="4" t="s">
        <v>53</v>
      </c>
      <c r="AR1622" s="4" t="s">
        <v>5142</v>
      </c>
      <c r="AS1622" s="5">
        <v>2029205</v>
      </c>
      <c r="AT1622" t="s">
        <v>47</v>
      </c>
    </row>
    <row r="1623" spans="1:46" ht="39" x14ac:dyDescent="0.3">
      <c r="A1623" s="4" t="s">
        <v>6135</v>
      </c>
      <c r="B1623" t="s">
        <v>47</v>
      </c>
      <c r="C1623" s="4" t="s">
        <v>2281</v>
      </c>
      <c r="D1623" s="4" t="s">
        <v>2282</v>
      </c>
      <c r="E1623" s="4" t="s">
        <v>49</v>
      </c>
      <c r="F1623" s="5" t="s">
        <v>6136</v>
      </c>
      <c r="G1623" s="5" t="s">
        <v>6137</v>
      </c>
      <c r="H1623" t="s">
        <v>47</v>
      </c>
      <c r="I1623" s="3">
        <v>39539</v>
      </c>
      <c r="J1623" s="5" t="s">
        <v>50</v>
      </c>
      <c r="K1623" t="s">
        <v>47</v>
      </c>
      <c r="L1623" s="5" t="s">
        <v>60</v>
      </c>
      <c r="M1623" s="3">
        <v>39539</v>
      </c>
      <c r="N1623" s="5" t="s">
        <v>50</v>
      </c>
      <c r="O1623" t="s">
        <v>47</v>
      </c>
      <c r="P1623" s="3">
        <v>39539</v>
      </c>
      <c r="Q1623" s="5" t="s">
        <v>50</v>
      </c>
      <c r="R1623" t="s">
        <v>47</v>
      </c>
      <c r="S1623" t="s">
        <v>47</v>
      </c>
      <c r="T1623" t="s">
        <v>47</v>
      </c>
      <c r="U1623" t="s">
        <v>47</v>
      </c>
      <c r="V1623" t="s">
        <v>47</v>
      </c>
      <c r="W1623" s="3">
        <v>39539</v>
      </c>
      <c r="X1623" s="5" t="s">
        <v>50</v>
      </c>
      <c r="Y1623" t="s">
        <v>47</v>
      </c>
      <c r="Z1623" s="3">
        <v>39539</v>
      </c>
      <c r="AA1623" s="5" t="s">
        <v>50</v>
      </c>
      <c r="AB1623" t="s">
        <v>47</v>
      </c>
      <c r="AC1623" s="3">
        <v>39539</v>
      </c>
      <c r="AD1623" s="5" t="s">
        <v>50</v>
      </c>
      <c r="AE1623" t="s">
        <v>47</v>
      </c>
      <c r="AF1623" t="s">
        <v>47</v>
      </c>
      <c r="AG1623" t="s">
        <v>47</v>
      </c>
      <c r="AH1623" t="s">
        <v>47</v>
      </c>
      <c r="AI1623" t="s">
        <v>47</v>
      </c>
      <c r="AJ1623" t="s">
        <v>47</v>
      </c>
      <c r="AK1623" t="s">
        <v>47</v>
      </c>
      <c r="AL1623" t="s">
        <v>47</v>
      </c>
      <c r="AM1623" t="s">
        <v>47</v>
      </c>
      <c r="AN1623" t="s">
        <v>47</v>
      </c>
      <c r="AO1623" s="5" t="s">
        <v>60</v>
      </c>
      <c r="AP1623" s="4" t="s">
        <v>61</v>
      </c>
      <c r="AQ1623" s="4" t="s">
        <v>726</v>
      </c>
      <c r="AR1623" s="4" t="s">
        <v>1548</v>
      </c>
      <c r="AS1623" s="5">
        <v>48238</v>
      </c>
      <c r="AT1623" t="s">
        <v>47</v>
      </c>
    </row>
    <row r="1624" spans="1:46" ht="26" x14ac:dyDescent="0.3">
      <c r="A1624" s="4" t="s">
        <v>6138</v>
      </c>
      <c r="B1624" t="s">
        <v>47</v>
      </c>
      <c r="C1624" s="4" t="s">
        <v>1735</v>
      </c>
      <c r="D1624" s="4" t="s">
        <v>901</v>
      </c>
      <c r="E1624" s="4" t="s">
        <v>100</v>
      </c>
      <c r="F1624" s="5" t="s">
        <v>6139</v>
      </c>
      <c r="G1624" t="s">
        <v>47</v>
      </c>
      <c r="H1624" t="s">
        <v>47</v>
      </c>
      <c r="I1624" s="3">
        <v>36161</v>
      </c>
      <c r="J1624" s="3">
        <v>43831</v>
      </c>
      <c r="K1624" t="s">
        <v>47</v>
      </c>
      <c r="L1624" s="5" t="s">
        <v>51</v>
      </c>
      <c r="M1624" s="3">
        <v>36161</v>
      </c>
      <c r="N1624" s="3">
        <v>43831</v>
      </c>
      <c r="O1624" t="s">
        <v>47</v>
      </c>
      <c r="P1624" s="3">
        <v>38308</v>
      </c>
      <c r="Q1624" s="3">
        <v>43831</v>
      </c>
      <c r="R1624" t="s">
        <v>47</v>
      </c>
      <c r="S1624" t="s">
        <v>47</v>
      </c>
      <c r="T1624" t="s">
        <v>47</v>
      </c>
      <c r="U1624" t="s">
        <v>47</v>
      </c>
      <c r="V1624" t="s">
        <v>47</v>
      </c>
      <c r="W1624" s="3">
        <v>36161</v>
      </c>
      <c r="X1624" s="3">
        <v>43831</v>
      </c>
      <c r="Y1624" t="s">
        <v>47</v>
      </c>
      <c r="Z1624" s="3">
        <v>36161</v>
      </c>
      <c r="AA1624" s="3">
        <v>43831</v>
      </c>
      <c r="AB1624" t="s">
        <v>47</v>
      </c>
      <c r="AC1624" s="3">
        <v>36161</v>
      </c>
      <c r="AD1624" s="3">
        <v>43831</v>
      </c>
      <c r="AE1624" t="s">
        <v>47</v>
      </c>
      <c r="AF1624" t="s">
        <v>47</v>
      </c>
      <c r="AG1624" t="s">
        <v>47</v>
      </c>
      <c r="AH1624" t="s">
        <v>47</v>
      </c>
      <c r="AI1624" t="s">
        <v>47</v>
      </c>
      <c r="AJ1624" t="s">
        <v>47</v>
      </c>
      <c r="AK1624" t="s">
        <v>47</v>
      </c>
      <c r="AL1624" t="s">
        <v>47</v>
      </c>
      <c r="AM1624" t="s">
        <v>47</v>
      </c>
      <c r="AN1624" t="s">
        <v>47</v>
      </c>
      <c r="AO1624" s="5" t="s">
        <v>51</v>
      </c>
      <c r="AP1624" s="4" t="s">
        <v>85</v>
      </c>
      <c r="AQ1624" s="4" t="s">
        <v>53</v>
      </c>
      <c r="AR1624" s="4" t="s">
        <v>54</v>
      </c>
      <c r="AS1624" s="5">
        <v>44856</v>
      </c>
      <c r="AT1624" t="s">
        <v>47</v>
      </c>
    </row>
    <row r="1625" spans="1:46" ht="78" x14ac:dyDescent="0.3">
      <c r="A1625" s="4" t="s">
        <v>6140</v>
      </c>
      <c r="B1625" t="s">
        <v>47</v>
      </c>
      <c r="C1625" s="4" t="s">
        <v>2271</v>
      </c>
      <c r="D1625" s="4" t="s">
        <v>223</v>
      </c>
      <c r="E1625" s="4" t="s">
        <v>49</v>
      </c>
      <c r="F1625" s="5" t="s">
        <v>6141</v>
      </c>
      <c r="G1625" s="5" t="s">
        <v>6142</v>
      </c>
      <c r="H1625" t="s">
        <v>47</v>
      </c>
      <c r="I1625" s="3">
        <v>36069</v>
      </c>
      <c r="J1625" s="3">
        <v>37347</v>
      </c>
      <c r="K1625" t="s">
        <v>47</v>
      </c>
      <c r="L1625" s="5" t="s">
        <v>60</v>
      </c>
      <c r="M1625" s="3">
        <v>36069</v>
      </c>
      <c r="N1625" s="3">
        <v>37347</v>
      </c>
      <c r="O1625" t="s">
        <v>47</v>
      </c>
      <c r="P1625" s="3">
        <v>36069</v>
      </c>
      <c r="Q1625" s="3">
        <v>37347</v>
      </c>
      <c r="R1625" t="s">
        <v>47</v>
      </c>
      <c r="S1625" t="s">
        <v>47</v>
      </c>
      <c r="T1625" t="s">
        <v>47</v>
      </c>
      <c r="U1625" t="s">
        <v>47</v>
      </c>
      <c r="V1625" t="s">
        <v>47</v>
      </c>
      <c r="W1625" s="3">
        <v>36069</v>
      </c>
      <c r="X1625" s="3">
        <v>37347</v>
      </c>
      <c r="Y1625" t="s">
        <v>47</v>
      </c>
      <c r="Z1625" s="3">
        <v>36069</v>
      </c>
      <c r="AA1625" s="3">
        <v>37347</v>
      </c>
      <c r="AB1625" t="s">
        <v>47</v>
      </c>
      <c r="AC1625" s="3">
        <v>36069</v>
      </c>
      <c r="AD1625" s="3">
        <v>37347</v>
      </c>
      <c r="AE1625" t="s">
        <v>47</v>
      </c>
      <c r="AF1625" t="s">
        <v>47</v>
      </c>
      <c r="AG1625" t="s">
        <v>47</v>
      </c>
      <c r="AH1625" t="s">
        <v>47</v>
      </c>
      <c r="AI1625" t="s">
        <v>47</v>
      </c>
      <c r="AJ1625" t="s">
        <v>47</v>
      </c>
      <c r="AK1625" t="s">
        <v>47</v>
      </c>
      <c r="AL1625" t="s">
        <v>47</v>
      </c>
      <c r="AM1625" t="s">
        <v>47</v>
      </c>
      <c r="AN1625" t="s">
        <v>47</v>
      </c>
      <c r="AO1625" s="5" t="s">
        <v>60</v>
      </c>
      <c r="AP1625" s="4" t="s">
        <v>61</v>
      </c>
      <c r="AQ1625" s="4" t="s">
        <v>53</v>
      </c>
      <c r="AR1625" s="4" t="s">
        <v>4633</v>
      </c>
      <c r="AS1625" s="5">
        <v>45516</v>
      </c>
      <c r="AT1625" t="s">
        <v>47</v>
      </c>
    </row>
    <row r="1626" spans="1:46" ht="13" x14ac:dyDescent="0.3">
      <c r="A1626" s="4" t="s">
        <v>6143</v>
      </c>
      <c r="B1626" t="s">
        <v>47</v>
      </c>
      <c r="C1626" s="4" t="s">
        <v>183</v>
      </c>
      <c r="D1626" s="4" t="s">
        <v>333</v>
      </c>
      <c r="E1626" s="4" t="s">
        <v>49</v>
      </c>
      <c r="F1626" s="5" t="s">
        <v>6144</v>
      </c>
      <c r="G1626" s="5" t="s">
        <v>6145</v>
      </c>
      <c r="H1626" t="s">
        <v>47</v>
      </c>
      <c r="I1626" t="s">
        <v>47</v>
      </c>
      <c r="J1626" t="s">
        <v>47</v>
      </c>
      <c r="K1626" t="s">
        <v>47</v>
      </c>
      <c r="L1626" s="5" t="s">
        <v>60</v>
      </c>
      <c r="M1626" t="s">
        <v>47</v>
      </c>
      <c r="N1626" t="s">
        <v>47</v>
      </c>
      <c r="O1626" t="s">
        <v>47</v>
      </c>
      <c r="P1626" t="s">
        <v>47</v>
      </c>
      <c r="Q1626" t="s">
        <v>47</v>
      </c>
      <c r="R1626" t="s">
        <v>47</v>
      </c>
      <c r="S1626" t="s">
        <v>47</v>
      </c>
      <c r="T1626" t="s">
        <v>47</v>
      </c>
      <c r="U1626" t="s">
        <v>47</v>
      </c>
      <c r="V1626" t="s">
        <v>47</v>
      </c>
      <c r="W1626" s="3">
        <v>27820</v>
      </c>
      <c r="X1626" s="5" t="s">
        <v>50</v>
      </c>
      <c r="Y1626" t="s">
        <v>47</v>
      </c>
      <c r="Z1626" s="3">
        <v>27820</v>
      </c>
      <c r="AA1626" s="5" t="s">
        <v>50</v>
      </c>
      <c r="AB1626" t="s">
        <v>47</v>
      </c>
      <c r="AC1626" s="3">
        <v>27820</v>
      </c>
      <c r="AD1626" s="5" t="s">
        <v>50</v>
      </c>
      <c r="AE1626" t="s">
        <v>47</v>
      </c>
      <c r="AF1626" t="s">
        <v>47</v>
      </c>
      <c r="AG1626" t="s">
        <v>47</v>
      </c>
      <c r="AH1626" t="s">
        <v>47</v>
      </c>
      <c r="AI1626" t="s">
        <v>47</v>
      </c>
      <c r="AJ1626" t="s">
        <v>47</v>
      </c>
      <c r="AK1626" t="s">
        <v>47</v>
      </c>
      <c r="AL1626" t="s">
        <v>47</v>
      </c>
      <c r="AM1626" t="s">
        <v>47</v>
      </c>
      <c r="AN1626" t="s">
        <v>47</v>
      </c>
      <c r="AO1626" s="5" t="s">
        <v>60</v>
      </c>
      <c r="AP1626" s="4" t="s">
        <v>61</v>
      </c>
      <c r="AQ1626" s="4" t="s">
        <v>53</v>
      </c>
      <c r="AR1626" s="4" t="s">
        <v>54</v>
      </c>
      <c r="AS1626" s="5">
        <v>47855</v>
      </c>
      <c r="AT1626" t="s">
        <v>47</v>
      </c>
    </row>
    <row r="1627" spans="1:46" ht="91" x14ac:dyDescent="0.3">
      <c r="A1627" s="4" t="s">
        <v>6146</v>
      </c>
      <c r="B1627" t="s">
        <v>47</v>
      </c>
      <c r="C1627" s="4" t="s">
        <v>122</v>
      </c>
      <c r="D1627" s="4" t="s">
        <v>206</v>
      </c>
      <c r="E1627" s="4" t="s">
        <v>123</v>
      </c>
      <c r="F1627" s="5" t="s">
        <v>6147</v>
      </c>
      <c r="G1627" s="5" t="s">
        <v>6148</v>
      </c>
      <c r="H1627" t="s">
        <v>47</v>
      </c>
      <c r="I1627" s="3">
        <v>35490</v>
      </c>
      <c r="J1627" s="5" t="s">
        <v>50</v>
      </c>
      <c r="K1627" t="s">
        <v>47</v>
      </c>
      <c r="L1627" s="5" t="s">
        <v>60</v>
      </c>
      <c r="M1627" s="3">
        <v>38047</v>
      </c>
      <c r="N1627" s="3">
        <v>42795</v>
      </c>
      <c r="O1627" t="s">
        <v>47</v>
      </c>
      <c r="P1627" s="3">
        <v>35490</v>
      </c>
      <c r="Q1627" s="5" t="s">
        <v>50</v>
      </c>
      <c r="R1627" t="s">
        <v>47</v>
      </c>
      <c r="S1627" t="s">
        <v>47</v>
      </c>
      <c r="T1627" t="s">
        <v>47</v>
      </c>
      <c r="U1627" t="s">
        <v>47</v>
      </c>
      <c r="V1627" s="5">
        <v>365</v>
      </c>
      <c r="W1627" s="3">
        <v>35490</v>
      </c>
      <c r="X1627" s="5" t="s">
        <v>50</v>
      </c>
      <c r="Y1627" t="s">
        <v>47</v>
      </c>
      <c r="Z1627" s="3">
        <v>35490</v>
      </c>
      <c r="AA1627" s="5" t="s">
        <v>50</v>
      </c>
      <c r="AB1627" t="s">
        <v>47</v>
      </c>
      <c r="AC1627" s="3">
        <v>35490</v>
      </c>
      <c r="AD1627" s="5" t="s">
        <v>50</v>
      </c>
      <c r="AE1627" t="s">
        <v>47</v>
      </c>
      <c r="AF1627" t="s">
        <v>47</v>
      </c>
      <c r="AG1627" t="s">
        <v>47</v>
      </c>
      <c r="AH1627" t="s">
        <v>47</v>
      </c>
      <c r="AI1627" t="s">
        <v>47</v>
      </c>
      <c r="AJ1627" t="s">
        <v>47</v>
      </c>
      <c r="AK1627" t="s">
        <v>47</v>
      </c>
      <c r="AL1627" t="s">
        <v>47</v>
      </c>
      <c r="AM1627" t="s">
        <v>47</v>
      </c>
      <c r="AN1627" t="s">
        <v>47</v>
      </c>
      <c r="AO1627" s="5" t="s">
        <v>60</v>
      </c>
      <c r="AP1627" s="4" t="s">
        <v>61</v>
      </c>
      <c r="AQ1627" s="4" t="s">
        <v>53</v>
      </c>
      <c r="AR1627" s="4" t="s">
        <v>6149</v>
      </c>
      <c r="AS1627" s="5">
        <v>54076</v>
      </c>
      <c r="AT1627" t="s">
        <v>47</v>
      </c>
    </row>
    <row r="1628" spans="1:46" ht="26" x14ac:dyDescent="0.3">
      <c r="A1628" s="4" t="s">
        <v>6150</v>
      </c>
      <c r="B1628" t="s">
        <v>47</v>
      </c>
      <c r="C1628" s="4" t="s">
        <v>48</v>
      </c>
      <c r="D1628" s="4" t="s">
        <v>2564</v>
      </c>
      <c r="E1628" s="4" t="s">
        <v>49</v>
      </c>
      <c r="F1628" t="s">
        <v>47</v>
      </c>
      <c r="G1628" t="s">
        <v>47</v>
      </c>
      <c r="H1628" t="s">
        <v>47</v>
      </c>
      <c r="I1628" s="3">
        <v>43305</v>
      </c>
      <c r="J1628" s="3">
        <v>44139</v>
      </c>
      <c r="K1628" t="s">
        <v>47</v>
      </c>
      <c r="L1628" s="5" t="s">
        <v>51</v>
      </c>
      <c r="M1628" s="3">
        <v>43305</v>
      </c>
      <c r="N1628" s="3">
        <v>44139</v>
      </c>
      <c r="O1628" t="s">
        <v>47</v>
      </c>
      <c r="P1628" t="s">
        <v>47</v>
      </c>
      <c r="Q1628" t="s">
        <v>47</v>
      </c>
      <c r="R1628" t="s">
        <v>47</v>
      </c>
      <c r="S1628" t="s">
        <v>47</v>
      </c>
      <c r="T1628" t="s">
        <v>47</v>
      </c>
      <c r="U1628" t="s">
        <v>47</v>
      </c>
      <c r="V1628" t="s">
        <v>47</v>
      </c>
      <c r="W1628" s="3">
        <v>43305</v>
      </c>
      <c r="X1628" s="3">
        <v>44139</v>
      </c>
      <c r="Y1628" t="s">
        <v>47</v>
      </c>
      <c r="Z1628" s="3">
        <v>43305</v>
      </c>
      <c r="AA1628" s="3">
        <v>44139</v>
      </c>
      <c r="AB1628" t="s">
        <v>47</v>
      </c>
      <c r="AC1628" s="3">
        <v>43609</v>
      </c>
      <c r="AD1628" s="3">
        <v>43609</v>
      </c>
      <c r="AE1628" t="s">
        <v>47</v>
      </c>
      <c r="AF1628" t="s">
        <v>47</v>
      </c>
      <c r="AG1628" t="s">
        <v>47</v>
      </c>
      <c r="AH1628" t="s">
        <v>47</v>
      </c>
      <c r="AI1628" t="s">
        <v>47</v>
      </c>
      <c r="AJ1628" t="s">
        <v>47</v>
      </c>
      <c r="AK1628" t="s">
        <v>47</v>
      </c>
      <c r="AL1628" t="s">
        <v>47</v>
      </c>
      <c r="AM1628" t="s">
        <v>47</v>
      </c>
      <c r="AN1628" t="s">
        <v>47</v>
      </c>
      <c r="AO1628" s="5" t="s">
        <v>51</v>
      </c>
      <c r="AP1628" s="4" t="s">
        <v>52</v>
      </c>
      <c r="AQ1628" s="4" t="s">
        <v>53</v>
      </c>
      <c r="AR1628" s="4" t="s">
        <v>54</v>
      </c>
      <c r="AS1628" s="5">
        <v>4396523</v>
      </c>
      <c r="AT1628" t="s">
        <v>47</v>
      </c>
    </row>
    <row r="1629" spans="1:46" ht="78" x14ac:dyDescent="0.3">
      <c r="A1629" s="4" t="s">
        <v>6151</v>
      </c>
      <c r="B1629" t="s">
        <v>47</v>
      </c>
      <c r="C1629" s="4" t="s">
        <v>6152</v>
      </c>
      <c r="D1629" s="4" t="s">
        <v>6153</v>
      </c>
      <c r="E1629" s="4" t="s">
        <v>49</v>
      </c>
      <c r="F1629" s="5" t="s">
        <v>6154</v>
      </c>
      <c r="G1629" s="5" t="s">
        <v>6155</v>
      </c>
      <c r="H1629" t="s">
        <v>47</v>
      </c>
      <c r="I1629" s="3">
        <v>36281</v>
      </c>
      <c r="J1629" s="3">
        <v>44531</v>
      </c>
      <c r="K1629" s="5" t="s">
        <v>6156</v>
      </c>
      <c r="L1629" s="5" t="s">
        <v>51</v>
      </c>
      <c r="M1629" s="3">
        <v>36281</v>
      </c>
      <c r="N1629" s="3">
        <v>44531</v>
      </c>
      <c r="O1629" s="5" t="s">
        <v>6156</v>
      </c>
      <c r="P1629" t="s">
        <v>47</v>
      </c>
      <c r="Q1629" t="s">
        <v>47</v>
      </c>
      <c r="R1629" t="s">
        <v>47</v>
      </c>
      <c r="S1629" t="s">
        <v>47</v>
      </c>
      <c r="T1629" t="s">
        <v>47</v>
      </c>
      <c r="U1629" t="s">
        <v>47</v>
      </c>
      <c r="V1629" t="s">
        <v>47</v>
      </c>
      <c r="W1629" s="3">
        <v>36281</v>
      </c>
      <c r="X1629" s="3">
        <v>44531</v>
      </c>
      <c r="Y1629" s="5" t="s">
        <v>6156</v>
      </c>
      <c r="Z1629" s="3">
        <v>36281</v>
      </c>
      <c r="AA1629" s="3">
        <v>44531</v>
      </c>
      <c r="AB1629" s="5" t="s">
        <v>6156</v>
      </c>
      <c r="AC1629" t="s">
        <v>47</v>
      </c>
      <c r="AD1629" t="s">
        <v>47</v>
      </c>
      <c r="AE1629" t="s">
        <v>47</v>
      </c>
      <c r="AF1629" t="s">
        <v>47</v>
      </c>
      <c r="AG1629" t="s">
        <v>47</v>
      </c>
      <c r="AH1629" t="s">
        <v>47</v>
      </c>
      <c r="AI1629" t="s">
        <v>47</v>
      </c>
      <c r="AJ1629" t="s">
        <v>47</v>
      </c>
      <c r="AK1629" t="s">
        <v>47</v>
      </c>
      <c r="AL1629" t="s">
        <v>47</v>
      </c>
      <c r="AM1629" t="s">
        <v>47</v>
      </c>
      <c r="AN1629" t="s">
        <v>47</v>
      </c>
      <c r="AO1629" s="5" t="s">
        <v>51</v>
      </c>
      <c r="AP1629" s="4" t="s">
        <v>135</v>
      </c>
      <c r="AQ1629" s="4" t="s">
        <v>53</v>
      </c>
      <c r="AR1629" s="4" t="s">
        <v>6157</v>
      </c>
      <c r="AS1629" s="5">
        <v>2045008</v>
      </c>
      <c r="AT1629" t="s">
        <v>47</v>
      </c>
    </row>
    <row r="1630" spans="1:46" ht="39" x14ac:dyDescent="0.3">
      <c r="A1630" s="4" t="s">
        <v>6158</v>
      </c>
      <c r="B1630" t="s">
        <v>47</v>
      </c>
      <c r="C1630" s="4" t="s">
        <v>183</v>
      </c>
      <c r="D1630" s="4" t="s">
        <v>333</v>
      </c>
      <c r="E1630" s="4" t="s">
        <v>49</v>
      </c>
      <c r="F1630" s="5" t="s">
        <v>6159</v>
      </c>
      <c r="G1630" s="5" t="s">
        <v>6160</v>
      </c>
      <c r="H1630" t="s">
        <v>47</v>
      </c>
      <c r="I1630" t="s">
        <v>47</v>
      </c>
      <c r="J1630" t="s">
        <v>47</v>
      </c>
      <c r="K1630" t="s">
        <v>47</v>
      </c>
      <c r="L1630" s="5" t="s">
        <v>60</v>
      </c>
      <c r="M1630" t="s">
        <v>47</v>
      </c>
      <c r="N1630" t="s">
        <v>47</v>
      </c>
      <c r="O1630" t="s">
        <v>47</v>
      </c>
      <c r="P1630" t="s">
        <v>47</v>
      </c>
      <c r="Q1630" t="s">
        <v>47</v>
      </c>
      <c r="R1630" t="s">
        <v>47</v>
      </c>
      <c r="S1630" t="s">
        <v>47</v>
      </c>
      <c r="T1630" t="s">
        <v>47</v>
      </c>
      <c r="U1630" t="s">
        <v>47</v>
      </c>
      <c r="V1630" t="s">
        <v>47</v>
      </c>
      <c r="W1630" s="3">
        <v>35977</v>
      </c>
      <c r="X1630" s="3">
        <v>37803</v>
      </c>
      <c r="Y1630" t="s">
        <v>47</v>
      </c>
      <c r="Z1630" s="3">
        <v>35977</v>
      </c>
      <c r="AA1630" s="3">
        <v>37803</v>
      </c>
      <c r="AB1630" t="s">
        <v>47</v>
      </c>
      <c r="AC1630" t="s">
        <v>47</v>
      </c>
      <c r="AD1630" t="s">
        <v>47</v>
      </c>
      <c r="AE1630" t="s">
        <v>47</v>
      </c>
      <c r="AF1630" t="s">
        <v>47</v>
      </c>
      <c r="AG1630" t="s">
        <v>47</v>
      </c>
      <c r="AH1630" t="s">
        <v>47</v>
      </c>
      <c r="AI1630" t="s">
        <v>47</v>
      </c>
      <c r="AJ1630" t="s">
        <v>47</v>
      </c>
      <c r="AK1630" t="s">
        <v>47</v>
      </c>
      <c r="AL1630" t="s">
        <v>47</v>
      </c>
      <c r="AM1630" t="s">
        <v>47</v>
      </c>
      <c r="AN1630" t="s">
        <v>47</v>
      </c>
      <c r="AO1630" s="5" t="s">
        <v>60</v>
      </c>
      <c r="AP1630" s="4" t="s">
        <v>61</v>
      </c>
      <c r="AQ1630" s="4" t="s">
        <v>53</v>
      </c>
      <c r="AR1630" s="4" t="s">
        <v>6161</v>
      </c>
      <c r="AS1630" s="5">
        <v>31054</v>
      </c>
      <c r="AT1630" t="s">
        <v>47</v>
      </c>
    </row>
    <row r="1631" spans="1:46" ht="104" x14ac:dyDescent="0.3">
      <c r="A1631" s="4" t="s">
        <v>6162</v>
      </c>
      <c r="B1631" t="s">
        <v>47</v>
      </c>
      <c r="C1631" s="4" t="s">
        <v>6163</v>
      </c>
      <c r="D1631" s="4" t="s">
        <v>392</v>
      </c>
      <c r="E1631" s="4" t="s">
        <v>49</v>
      </c>
      <c r="F1631" s="5" t="s">
        <v>6164</v>
      </c>
      <c r="G1631" t="s">
        <v>47</v>
      </c>
      <c r="H1631" t="s">
        <v>47</v>
      </c>
      <c r="I1631" s="3">
        <v>36770</v>
      </c>
      <c r="J1631" s="5" t="s">
        <v>50</v>
      </c>
      <c r="K1631" t="s">
        <v>47</v>
      </c>
      <c r="L1631" s="5" t="s">
        <v>60</v>
      </c>
      <c r="M1631" s="3">
        <v>36770</v>
      </c>
      <c r="N1631" s="5" t="s">
        <v>50</v>
      </c>
      <c r="O1631" t="s">
        <v>47</v>
      </c>
      <c r="P1631" s="3">
        <v>36770</v>
      </c>
      <c r="Q1631" s="5" t="s">
        <v>50</v>
      </c>
      <c r="R1631" s="5" t="s">
        <v>6165</v>
      </c>
      <c r="S1631" t="s">
        <v>47</v>
      </c>
      <c r="T1631" t="s">
        <v>47</v>
      </c>
      <c r="U1631" t="s">
        <v>47</v>
      </c>
      <c r="V1631" t="s">
        <v>47</v>
      </c>
      <c r="W1631" s="3">
        <v>36770</v>
      </c>
      <c r="X1631" s="5" t="s">
        <v>50</v>
      </c>
      <c r="Y1631" t="s">
        <v>47</v>
      </c>
      <c r="Z1631" s="3">
        <v>36770</v>
      </c>
      <c r="AA1631" s="5" t="s">
        <v>50</v>
      </c>
      <c r="AB1631" t="s">
        <v>47</v>
      </c>
      <c r="AC1631" s="3">
        <v>36770</v>
      </c>
      <c r="AD1631" s="5" t="s">
        <v>50</v>
      </c>
      <c r="AE1631" t="s">
        <v>47</v>
      </c>
      <c r="AF1631" t="s">
        <v>47</v>
      </c>
      <c r="AG1631" t="s">
        <v>47</v>
      </c>
      <c r="AH1631" t="s">
        <v>47</v>
      </c>
      <c r="AI1631" t="s">
        <v>47</v>
      </c>
      <c r="AJ1631" t="s">
        <v>47</v>
      </c>
      <c r="AK1631" t="s">
        <v>47</v>
      </c>
      <c r="AL1631" t="s">
        <v>47</v>
      </c>
      <c r="AM1631" t="s">
        <v>47</v>
      </c>
      <c r="AN1631" t="s">
        <v>47</v>
      </c>
      <c r="AO1631" s="5" t="s">
        <v>60</v>
      </c>
      <c r="AP1631" s="4" t="s">
        <v>61</v>
      </c>
      <c r="AQ1631" s="4" t="s">
        <v>53</v>
      </c>
      <c r="AR1631" s="4" t="s">
        <v>6166</v>
      </c>
      <c r="AS1631" s="5">
        <v>48566</v>
      </c>
      <c r="AT1631" t="s">
        <v>47</v>
      </c>
    </row>
    <row r="1632" spans="1:46" ht="13" x14ac:dyDescent="0.3">
      <c r="A1632" s="4" t="s">
        <v>6167</v>
      </c>
      <c r="B1632" t="s">
        <v>47</v>
      </c>
      <c r="C1632" s="4" t="s">
        <v>6168</v>
      </c>
      <c r="D1632" s="4" t="s">
        <v>6169</v>
      </c>
      <c r="E1632" s="4" t="s">
        <v>1552</v>
      </c>
      <c r="F1632" s="5" t="s">
        <v>6170</v>
      </c>
      <c r="G1632" s="5" t="s">
        <v>6171</v>
      </c>
      <c r="H1632" t="s">
        <v>47</v>
      </c>
      <c r="I1632" s="3">
        <v>42370</v>
      </c>
      <c r="J1632" s="3">
        <v>43101</v>
      </c>
      <c r="K1632" t="s">
        <v>47</v>
      </c>
      <c r="L1632" s="5" t="s">
        <v>60</v>
      </c>
      <c r="M1632" t="s">
        <v>47</v>
      </c>
      <c r="N1632" t="s">
        <v>47</v>
      </c>
      <c r="O1632" t="s">
        <v>47</v>
      </c>
      <c r="P1632" s="3">
        <v>42370</v>
      </c>
      <c r="Q1632" s="3">
        <v>43101</v>
      </c>
      <c r="R1632" t="s">
        <v>47</v>
      </c>
      <c r="S1632" t="s">
        <v>47</v>
      </c>
      <c r="T1632" t="s">
        <v>47</v>
      </c>
      <c r="U1632" t="s">
        <v>47</v>
      </c>
      <c r="V1632" t="s">
        <v>47</v>
      </c>
      <c r="W1632" s="3">
        <v>42370</v>
      </c>
      <c r="X1632" s="3">
        <v>43101</v>
      </c>
      <c r="Y1632" t="s">
        <v>47</v>
      </c>
      <c r="Z1632" s="3">
        <v>42370</v>
      </c>
      <c r="AA1632" s="3">
        <v>43101</v>
      </c>
      <c r="AB1632" t="s">
        <v>47</v>
      </c>
      <c r="AC1632" s="3">
        <v>42370</v>
      </c>
      <c r="AD1632" s="3">
        <v>43101</v>
      </c>
      <c r="AE1632" t="s">
        <v>47</v>
      </c>
      <c r="AF1632" t="s">
        <v>47</v>
      </c>
      <c r="AG1632" t="s">
        <v>47</v>
      </c>
      <c r="AH1632" t="s">
        <v>47</v>
      </c>
      <c r="AI1632" t="s">
        <v>47</v>
      </c>
      <c r="AJ1632" t="s">
        <v>47</v>
      </c>
      <c r="AK1632" t="s">
        <v>47</v>
      </c>
      <c r="AL1632" t="s">
        <v>47</v>
      </c>
      <c r="AM1632" t="s">
        <v>47</v>
      </c>
      <c r="AN1632" t="s">
        <v>47</v>
      </c>
      <c r="AO1632" s="5" t="s">
        <v>60</v>
      </c>
      <c r="AP1632" s="4" t="s">
        <v>61</v>
      </c>
      <c r="AQ1632" s="4" t="s">
        <v>119</v>
      </c>
      <c r="AR1632" s="4" t="s">
        <v>54</v>
      </c>
      <c r="AS1632" s="5">
        <v>4311501</v>
      </c>
      <c r="AT1632" t="s">
        <v>47</v>
      </c>
    </row>
    <row r="1633" spans="1:46" ht="39" x14ac:dyDescent="0.3">
      <c r="A1633" s="4" t="s">
        <v>6172</v>
      </c>
      <c r="B1633" t="s">
        <v>47</v>
      </c>
      <c r="C1633" s="4" t="s">
        <v>6173</v>
      </c>
      <c r="D1633" s="4" t="s">
        <v>116</v>
      </c>
      <c r="E1633" s="4" t="s">
        <v>1448</v>
      </c>
      <c r="F1633" t="s">
        <v>47</v>
      </c>
      <c r="G1633" s="5" t="s">
        <v>6174</v>
      </c>
      <c r="H1633" t="s">
        <v>47</v>
      </c>
      <c r="I1633" s="3">
        <v>40179</v>
      </c>
      <c r="J1633" s="5" t="s">
        <v>50</v>
      </c>
      <c r="K1633" t="s">
        <v>47</v>
      </c>
      <c r="L1633" s="5" t="s">
        <v>60</v>
      </c>
      <c r="M1633" s="3">
        <v>40179</v>
      </c>
      <c r="N1633" s="5" t="s">
        <v>50</v>
      </c>
      <c r="O1633" t="s">
        <v>47</v>
      </c>
      <c r="P1633" s="3">
        <v>40179</v>
      </c>
      <c r="Q1633" s="5" t="s">
        <v>50</v>
      </c>
      <c r="R1633" t="s">
        <v>47</v>
      </c>
      <c r="S1633" t="s">
        <v>47</v>
      </c>
      <c r="T1633" t="s">
        <v>47</v>
      </c>
      <c r="U1633" t="s">
        <v>47</v>
      </c>
      <c r="V1633" t="s">
        <v>47</v>
      </c>
      <c r="W1633" s="3">
        <v>40179</v>
      </c>
      <c r="X1633" s="5" t="s">
        <v>50</v>
      </c>
      <c r="Y1633" t="s">
        <v>47</v>
      </c>
      <c r="Z1633" s="3">
        <v>40179</v>
      </c>
      <c r="AA1633" s="5" t="s">
        <v>50</v>
      </c>
      <c r="AB1633" t="s">
        <v>47</v>
      </c>
      <c r="AC1633" s="3">
        <v>40179</v>
      </c>
      <c r="AD1633" s="5" t="s">
        <v>50</v>
      </c>
      <c r="AE1633" t="s">
        <v>47</v>
      </c>
      <c r="AF1633" t="s">
        <v>47</v>
      </c>
      <c r="AG1633" t="s">
        <v>47</v>
      </c>
      <c r="AH1633" t="s">
        <v>47</v>
      </c>
      <c r="AI1633" t="s">
        <v>47</v>
      </c>
      <c r="AJ1633" t="s">
        <v>47</v>
      </c>
      <c r="AK1633" t="s">
        <v>47</v>
      </c>
      <c r="AL1633" t="s">
        <v>47</v>
      </c>
      <c r="AM1633" t="s">
        <v>47</v>
      </c>
      <c r="AN1633" t="s">
        <v>47</v>
      </c>
      <c r="AO1633" s="5" t="s">
        <v>60</v>
      </c>
      <c r="AP1633" s="4" t="s">
        <v>61</v>
      </c>
      <c r="AQ1633" s="4" t="s">
        <v>119</v>
      </c>
      <c r="AR1633" s="4" t="s">
        <v>54</v>
      </c>
      <c r="AS1633" s="5">
        <v>2040124</v>
      </c>
      <c r="AT1633" t="s">
        <v>47</v>
      </c>
    </row>
    <row r="1634" spans="1:46" ht="91" x14ac:dyDescent="0.3">
      <c r="A1634" s="4" t="s">
        <v>6175</v>
      </c>
      <c r="B1634" t="s">
        <v>47</v>
      </c>
      <c r="C1634" s="4" t="s">
        <v>1240</v>
      </c>
      <c r="D1634" s="4" t="s">
        <v>1241</v>
      </c>
      <c r="E1634" s="4" t="s">
        <v>49</v>
      </c>
      <c r="F1634" s="5" t="s">
        <v>6176</v>
      </c>
      <c r="G1634" s="5" t="s">
        <v>6177</v>
      </c>
      <c r="H1634" t="s">
        <v>47</v>
      </c>
      <c r="I1634" s="3">
        <v>35462</v>
      </c>
      <c r="J1634" s="5" t="s">
        <v>50</v>
      </c>
      <c r="K1634" t="s">
        <v>47</v>
      </c>
      <c r="L1634" s="5" t="s">
        <v>60</v>
      </c>
      <c r="M1634" s="3">
        <v>35462</v>
      </c>
      <c r="N1634" s="5" t="s">
        <v>50</v>
      </c>
      <c r="O1634" t="s">
        <v>47</v>
      </c>
      <c r="P1634" s="3">
        <v>35462</v>
      </c>
      <c r="Q1634" s="5" t="s">
        <v>50</v>
      </c>
      <c r="R1634" t="s">
        <v>47</v>
      </c>
      <c r="S1634" t="s">
        <v>47</v>
      </c>
      <c r="T1634" t="s">
        <v>47</v>
      </c>
      <c r="U1634" t="s">
        <v>47</v>
      </c>
      <c r="V1634" t="s">
        <v>47</v>
      </c>
      <c r="W1634" s="3">
        <v>35462</v>
      </c>
      <c r="X1634" s="5" t="s">
        <v>50</v>
      </c>
      <c r="Y1634" t="s">
        <v>47</v>
      </c>
      <c r="Z1634" s="3">
        <v>35462</v>
      </c>
      <c r="AA1634" s="5" t="s">
        <v>50</v>
      </c>
      <c r="AB1634" t="s">
        <v>47</v>
      </c>
      <c r="AC1634" s="3">
        <v>35521</v>
      </c>
      <c r="AD1634" s="5" t="s">
        <v>50</v>
      </c>
      <c r="AE1634" t="s">
        <v>47</v>
      </c>
      <c r="AF1634" t="s">
        <v>47</v>
      </c>
      <c r="AG1634" t="s">
        <v>47</v>
      </c>
      <c r="AH1634" t="s">
        <v>47</v>
      </c>
      <c r="AI1634" t="s">
        <v>47</v>
      </c>
      <c r="AJ1634" t="s">
        <v>47</v>
      </c>
      <c r="AK1634" t="s">
        <v>47</v>
      </c>
      <c r="AL1634" t="s">
        <v>47</v>
      </c>
      <c r="AM1634" t="s">
        <v>47</v>
      </c>
      <c r="AN1634" t="s">
        <v>47</v>
      </c>
      <c r="AO1634" s="5" t="s">
        <v>60</v>
      </c>
      <c r="AP1634" s="4" t="s">
        <v>61</v>
      </c>
      <c r="AQ1634" s="4" t="s">
        <v>53</v>
      </c>
      <c r="AR1634" s="4" t="s">
        <v>4601</v>
      </c>
      <c r="AS1634" s="5">
        <v>33274</v>
      </c>
      <c r="AT1634" t="s">
        <v>47</v>
      </c>
    </row>
    <row r="1635" spans="1:46" ht="26" x14ac:dyDescent="0.3">
      <c r="A1635" s="4" t="s">
        <v>6178</v>
      </c>
      <c r="B1635" t="s">
        <v>47</v>
      </c>
      <c r="C1635" s="4" t="s">
        <v>5950</v>
      </c>
      <c r="D1635" s="4" t="s">
        <v>88</v>
      </c>
      <c r="E1635" s="4" t="s">
        <v>49</v>
      </c>
      <c r="F1635" t="s">
        <v>47</v>
      </c>
      <c r="G1635" s="5" t="s">
        <v>6179</v>
      </c>
      <c r="H1635" t="s">
        <v>47</v>
      </c>
      <c r="I1635" s="3">
        <v>41030</v>
      </c>
      <c r="J1635" s="3">
        <v>44105</v>
      </c>
      <c r="K1635" t="s">
        <v>47</v>
      </c>
      <c r="L1635" s="5" t="s">
        <v>60</v>
      </c>
      <c r="M1635" s="3">
        <v>41030</v>
      </c>
      <c r="N1635" s="3">
        <v>44105</v>
      </c>
      <c r="O1635" t="s">
        <v>47</v>
      </c>
      <c r="P1635" s="3">
        <v>41030</v>
      </c>
      <c r="Q1635" s="3">
        <v>44105</v>
      </c>
      <c r="R1635" t="s">
        <v>47</v>
      </c>
      <c r="S1635" t="s">
        <v>47</v>
      </c>
      <c r="T1635" t="s">
        <v>47</v>
      </c>
      <c r="U1635" t="s">
        <v>47</v>
      </c>
      <c r="V1635" t="s">
        <v>47</v>
      </c>
      <c r="W1635" s="3">
        <v>41030</v>
      </c>
      <c r="X1635" s="3">
        <v>44105</v>
      </c>
      <c r="Y1635" t="s">
        <v>47</v>
      </c>
      <c r="Z1635" s="3">
        <v>41030</v>
      </c>
      <c r="AA1635" s="3">
        <v>44105</v>
      </c>
      <c r="AB1635" t="s">
        <v>47</v>
      </c>
      <c r="AC1635" s="3">
        <v>41030</v>
      </c>
      <c r="AD1635" s="3">
        <v>44105</v>
      </c>
      <c r="AE1635" t="s">
        <v>47</v>
      </c>
      <c r="AF1635" t="s">
        <v>47</v>
      </c>
      <c r="AG1635" t="s">
        <v>47</v>
      </c>
      <c r="AH1635" t="s">
        <v>47</v>
      </c>
      <c r="AI1635" t="s">
        <v>47</v>
      </c>
      <c r="AJ1635" t="s">
        <v>47</v>
      </c>
      <c r="AK1635" t="s">
        <v>47</v>
      </c>
      <c r="AL1635" t="s">
        <v>47</v>
      </c>
      <c r="AM1635" t="s">
        <v>47</v>
      </c>
      <c r="AN1635" t="s">
        <v>47</v>
      </c>
      <c r="AO1635" s="5" t="s">
        <v>60</v>
      </c>
      <c r="AP1635" s="4" t="s">
        <v>61</v>
      </c>
      <c r="AQ1635" s="4" t="s">
        <v>53</v>
      </c>
      <c r="AR1635" s="4" t="s">
        <v>54</v>
      </c>
      <c r="AS1635" s="5">
        <v>2027469</v>
      </c>
      <c r="AT1635" t="s">
        <v>47</v>
      </c>
    </row>
    <row r="1636" spans="1:46" ht="208" x14ac:dyDescent="0.3">
      <c r="A1636" s="4" t="s">
        <v>6180</v>
      </c>
      <c r="B1636" t="s">
        <v>47</v>
      </c>
      <c r="C1636" s="4" t="s">
        <v>6181</v>
      </c>
      <c r="D1636" s="4" t="s">
        <v>88</v>
      </c>
      <c r="E1636" s="4" t="s">
        <v>49</v>
      </c>
      <c r="F1636" s="5" t="s">
        <v>6182</v>
      </c>
      <c r="G1636" s="5" t="s">
        <v>6183</v>
      </c>
      <c r="H1636" t="s">
        <v>47</v>
      </c>
      <c r="I1636" s="3">
        <v>38169</v>
      </c>
      <c r="J1636" s="5" t="s">
        <v>50</v>
      </c>
      <c r="K1636" s="5" t="s">
        <v>4239</v>
      </c>
      <c r="L1636" s="5" t="s">
        <v>60</v>
      </c>
      <c r="M1636" s="3">
        <v>38169</v>
      </c>
      <c r="N1636" s="5" t="s">
        <v>50</v>
      </c>
      <c r="O1636" s="5" t="s">
        <v>4239</v>
      </c>
      <c r="P1636" s="3">
        <v>38169</v>
      </c>
      <c r="Q1636" s="5" t="s">
        <v>50</v>
      </c>
      <c r="R1636" s="5" t="s">
        <v>4239</v>
      </c>
      <c r="S1636" t="s">
        <v>47</v>
      </c>
      <c r="T1636" t="s">
        <v>47</v>
      </c>
      <c r="U1636" t="s">
        <v>47</v>
      </c>
      <c r="V1636" t="s">
        <v>47</v>
      </c>
      <c r="W1636" s="3">
        <v>38169</v>
      </c>
      <c r="X1636" s="5" t="s">
        <v>50</v>
      </c>
      <c r="Y1636" s="5" t="s">
        <v>4239</v>
      </c>
      <c r="Z1636" s="3">
        <v>38169</v>
      </c>
      <c r="AA1636" s="5" t="s">
        <v>50</v>
      </c>
      <c r="AB1636" s="5" t="s">
        <v>4239</v>
      </c>
      <c r="AC1636" s="3">
        <v>38169</v>
      </c>
      <c r="AD1636" s="5" t="s">
        <v>50</v>
      </c>
      <c r="AE1636" s="5" t="s">
        <v>4239</v>
      </c>
      <c r="AF1636" t="s">
        <v>47</v>
      </c>
      <c r="AG1636" t="s">
        <v>47</v>
      </c>
      <c r="AH1636" t="s">
        <v>47</v>
      </c>
      <c r="AI1636" t="s">
        <v>47</v>
      </c>
      <c r="AJ1636" t="s">
        <v>47</v>
      </c>
      <c r="AK1636" t="s">
        <v>47</v>
      </c>
      <c r="AL1636" t="s">
        <v>47</v>
      </c>
      <c r="AM1636" t="s">
        <v>47</v>
      </c>
      <c r="AN1636" t="s">
        <v>47</v>
      </c>
      <c r="AO1636" s="5" t="s">
        <v>60</v>
      </c>
      <c r="AP1636" s="4" t="s">
        <v>61</v>
      </c>
      <c r="AQ1636" s="4" t="s">
        <v>53</v>
      </c>
      <c r="AR1636" s="4" t="s">
        <v>6184</v>
      </c>
      <c r="AS1636" s="5">
        <v>41448</v>
      </c>
      <c r="AT1636" t="s">
        <v>47</v>
      </c>
    </row>
    <row r="1637" spans="1:46" ht="26" x14ac:dyDescent="0.3">
      <c r="A1637" s="4" t="s">
        <v>6185</v>
      </c>
      <c r="B1637" t="s">
        <v>47</v>
      </c>
      <c r="C1637" s="4" t="s">
        <v>6186</v>
      </c>
      <c r="D1637" s="4" t="s">
        <v>70</v>
      </c>
      <c r="E1637" s="4" t="s">
        <v>49</v>
      </c>
      <c r="F1637" t="s">
        <v>47</v>
      </c>
      <c r="G1637" t="s">
        <v>47</v>
      </c>
      <c r="H1637" t="s">
        <v>47</v>
      </c>
      <c r="I1637" s="3">
        <v>40940</v>
      </c>
      <c r="J1637" s="5" t="s">
        <v>50</v>
      </c>
      <c r="K1637" s="5" t="s">
        <v>1923</v>
      </c>
      <c r="L1637" s="5" t="s">
        <v>51</v>
      </c>
      <c r="M1637" s="3">
        <v>40940</v>
      </c>
      <c r="N1637" s="5" t="s">
        <v>50</v>
      </c>
      <c r="O1637" s="5" t="s">
        <v>1923</v>
      </c>
      <c r="P1637" s="3">
        <v>40940</v>
      </c>
      <c r="Q1637" s="5" t="s">
        <v>50</v>
      </c>
      <c r="R1637" s="5" t="s">
        <v>1923</v>
      </c>
      <c r="S1637" t="s">
        <v>47</v>
      </c>
      <c r="T1637" t="s">
        <v>47</v>
      </c>
      <c r="U1637" t="s">
        <v>47</v>
      </c>
      <c r="V1637" t="s">
        <v>47</v>
      </c>
      <c r="W1637" s="3">
        <v>40940</v>
      </c>
      <c r="X1637" s="5" t="s">
        <v>50</v>
      </c>
      <c r="Y1637" s="5" t="s">
        <v>1923</v>
      </c>
      <c r="Z1637" s="3">
        <v>40940</v>
      </c>
      <c r="AA1637" s="5" t="s">
        <v>50</v>
      </c>
      <c r="AB1637" s="5" t="s">
        <v>1923</v>
      </c>
      <c r="AC1637" s="3">
        <v>40940</v>
      </c>
      <c r="AD1637" s="5" t="s">
        <v>50</v>
      </c>
      <c r="AE1637" s="5" t="s">
        <v>1923</v>
      </c>
      <c r="AF1637" t="s">
        <v>47</v>
      </c>
      <c r="AG1637" t="s">
        <v>47</v>
      </c>
      <c r="AH1637" t="s">
        <v>47</v>
      </c>
      <c r="AI1637" t="s">
        <v>47</v>
      </c>
      <c r="AJ1637" t="s">
        <v>47</v>
      </c>
      <c r="AK1637" t="s">
        <v>47</v>
      </c>
      <c r="AL1637" t="s">
        <v>47</v>
      </c>
      <c r="AM1637" t="s">
        <v>47</v>
      </c>
      <c r="AN1637" t="s">
        <v>47</v>
      </c>
      <c r="AO1637" s="5" t="s">
        <v>51</v>
      </c>
      <c r="AP1637" s="4" t="s">
        <v>1756</v>
      </c>
      <c r="AQ1637" s="4" t="s">
        <v>53</v>
      </c>
      <c r="AR1637" s="4" t="s">
        <v>54</v>
      </c>
      <c r="AS1637" s="5">
        <v>2036313</v>
      </c>
      <c r="AT1637" t="s">
        <v>47</v>
      </c>
    </row>
    <row r="1638" spans="1:46" ht="52" x14ac:dyDescent="0.3">
      <c r="A1638" s="4" t="s">
        <v>6187</v>
      </c>
      <c r="B1638" t="s">
        <v>47</v>
      </c>
      <c r="C1638" s="4" t="s">
        <v>1036</v>
      </c>
      <c r="D1638" s="4" t="s">
        <v>70</v>
      </c>
      <c r="E1638" s="4" t="s">
        <v>49</v>
      </c>
      <c r="F1638" s="5" t="s">
        <v>6188</v>
      </c>
      <c r="G1638" t="s">
        <v>47</v>
      </c>
      <c r="H1638" t="s">
        <v>47</v>
      </c>
      <c r="I1638" s="3">
        <v>39672</v>
      </c>
      <c r="J1638" s="3">
        <v>41033</v>
      </c>
      <c r="K1638" t="s">
        <v>47</v>
      </c>
      <c r="L1638" s="5" t="s">
        <v>51</v>
      </c>
      <c r="M1638" s="3">
        <v>39672</v>
      </c>
      <c r="N1638" s="3">
        <v>41033</v>
      </c>
      <c r="O1638" t="s">
        <v>47</v>
      </c>
      <c r="P1638" s="3">
        <v>39672</v>
      </c>
      <c r="Q1638" s="3">
        <v>41033</v>
      </c>
      <c r="R1638" t="s">
        <v>47</v>
      </c>
      <c r="S1638" t="s">
        <v>47</v>
      </c>
      <c r="T1638" t="s">
        <v>47</v>
      </c>
      <c r="U1638" t="s">
        <v>47</v>
      </c>
      <c r="V1638" t="s">
        <v>47</v>
      </c>
      <c r="W1638" s="3">
        <v>39672</v>
      </c>
      <c r="X1638" s="3">
        <v>41033</v>
      </c>
      <c r="Y1638" t="s">
        <v>47</v>
      </c>
      <c r="Z1638" s="3">
        <v>39672</v>
      </c>
      <c r="AA1638" s="3">
        <v>41033</v>
      </c>
      <c r="AB1638" t="s">
        <v>47</v>
      </c>
      <c r="AC1638" t="s">
        <v>47</v>
      </c>
      <c r="AD1638" t="s">
        <v>47</v>
      </c>
      <c r="AE1638" t="s">
        <v>47</v>
      </c>
      <c r="AF1638" t="s">
        <v>47</v>
      </c>
      <c r="AG1638" t="s">
        <v>47</v>
      </c>
      <c r="AH1638" t="s">
        <v>47</v>
      </c>
      <c r="AI1638" t="s">
        <v>47</v>
      </c>
      <c r="AJ1638" t="s">
        <v>47</v>
      </c>
      <c r="AK1638" t="s">
        <v>47</v>
      </c>
      <c r="AL1638" t="s">
        <v>47</v>
      </c>
      <c r="AM1638" t="s">
        <v>47</v>
      </c>
      <c r="AN1638" t="s">
        <v>47</v>
      </c>
      <c r="AO1638" s="5" t="s">
        <v>51</v>
      </c>
      <c r="AP1638" s="4" t="s">
        <v>135</v>
      </c>
      <c r="AQ1638" s="4" t="s">
        <v>53</v>
      </c>
      <c r="AR1638" s="4" t="s">
        <v>4288</v>
      </c>
      <c r="AS1638" s="5">
        <v>52518</v>
      </c>
      <c r="AT1638" t="s">
        <v>47</v>
      </c>
    </row>
    <row r="1639" spans="1:46" ht="78" x14ac:dyDescent="0.3">
      <c r="A1639" s="4" t="s">
        <v>6189</v>
      </c>
      <c r="B1639" t="s">
        <v>47</v>
      </c>
      <c r="C1639" s="4" t="s">
        <v>6190</v>
      </c>
      <c r="D1639" s="4" t="s">
        <v>70</v>
      </c>
      <c r="E1639" s="4" t="s">
        <v>49</v>
      </c>
      <c r="F1639" t="s">
        <v>47</v>
      </c>
      <c r="G1639" t="s">
        <v>47</v>
      </c>
      <c r="H1639" t="s">
        <v>47</v>
      </c>
      <c r="I1639" s="3">
        <v>36039</v>
      </c>
      <c r="J1639" s="3">
        <v>37135</v>
      </c>
      <c r="K1639" t="s">
        <v>47</v>
      </c>
      <c r="L1639" s="5" t="s">
        <v>51</v>
      </c>
      <c r="M1639" s="3">
        <v>36039</v>
      </c>
      <c r="N1639" s="3">
        <v>37135</v>
      </c>
      <c r="O1639" t="s">
        <v>47</v>
      </c>
      <c r="P1639" s="3">
        <v>36039</v>
      </c>
      <c r="Q1639" s="3">
        <v>37135</v>
      </c>
      <c r="R1639" t="s">
        <v>47</v>
      </c>
      <c r="S1639" t="s">
        <v>47</v>
      </c>
      <c r="T1639" t="s">
        <v>47</v>
      </c>
      <c r="U1639" t="s">
        <v>47</v>
      </c>
      <c r="V1639" t="s">
        <v>47</v>
      </c>
      <c r="W1639" s="3">
        <v>36039</v>
      </c>
      <c r="X1639" s="3">
        <v>37135</v>
      </c>
      <c r="Y1639" t="s">
        <v>47</v>
      </c>
      <c r="Z1639" s="3">
        <v>36039</v>
      </c>
      <c r="AA1639" s="3">
        <v>37135</v>
      </c>
      <c r="AB1639" t="s">
        <v>47</v>
      </c>
      <c r="AC1639" t="s">
        <v>47</v>
      </c>
      <c r="AD1639" t="s">
        <v>47</v>
      </c>
      <c r="AE1639" t="s">
        <v>47</v>
      </c>
      <c r="AF1639" t="s">
        <v>47</v>
      </c>
      <c r="AG1639" t="s">
        <v>47</v>
      </c>
      <c r="AH1639" t="s">
        <v>47</v>
      </c>
      <c r="AI1639" t="s">
        <v>47</v>
      </c>
      <c r="AJ1639" t="s">
        <v>47</v>
      </c>
      <c r="AK1639" t="s">
        <v>47</v>
      </c>
      <c r="AL1639" t="s">
        <v>47</v>
      </c>
      <c r="AM1639" t="s">
        <v>47</v>
      </c>
      <c r="AN1639" t="s">
        <v>47</v>
      </c>
      <c r="AO1639" s="5" t="s">
        <v>51</v>
      </c>
      <c r="AP1639" s="4" t="s">
        <v>85</v>
      </c>
      <c r="AQ1639" s="4" t="s">
        <v>53</v>
      </c>
      <c r="AR1639" s="4" t="s">
        <v>436</v>
      </c>
      <c r="AS1639" s="5">
        <v>45481</v>
      </c>
      <c r="AT1639" t="s">
        <v>47</v>
      </c>
    </row>
    <row r="1640" spans="1:46" ht="52" x14ac:dyDescent="0.3">
      <c r="A1640" s="4" t="s">
        <v>6191</v>
      </c>
      <c r="B1640" t="s">
        <v>47</v>
      </c>
      <c r="C1640" s="4" t="s">
        <v>1036</v>
      </c>
      <c r="D1640" s="4" t="s">
        <v>70</v>
      </c>
      <c r="E1640" s="4" t="s">
        <v>49</v>
      </c>
      <c r="F1640" s="5" t="s">
        <v>6192</v>
      </c>
      <c r="G1640" t="s">
        <v>47</v>
      </c>
      <c r="H1640" t="s">
        <v>47</v>
      </c>
      <c r="I1640" s="3">
        <v>39692</v>
      </c>
      <c r="J1640" s="3">
        <v>41030</v>
      </c>
      <c r="K1640" t="s">
        <v>47</v>
      </c>
      <c r="L1640" s="5" t="s">
        <v>51</v>
      </c>
      <c r="M1640" s="3">
        <v>39692</v>
      </c>
      <c r="N1640" s="3">
        <v>41030</v>
      </c>
      <c r="O1640" t="s">
        <v>47</v>
      </c>
      <c r="P1640" s="3">
        <v>39692</v>
      </c>
      <c r="Q1640" s="3">
        <v>41030</v>
      </c>
      <c r="R1640" t="s">
        <v>47</v>
      </c>
      <c r="S1640" t="s">
        <v>47</v>
      </c>
      <c r="T1640" t="s">
        <v>47</v>
      </c>
      <c r="U1640" t="s">
        <v>47</v>
      </c>
      <c r="V1640" t="s">
        <v>47</v>
      </c>
      <c r="W1640" s="3">
        <v>39692</v>
      </c>
      <c r="X1640" s="3">
        <v>41030</v>
      </c>
      <c r="Y1640" t="s">
        <v>47</v>
      </c>
      <c r="Z1640" s="3">
        <v>39692</v>
      </c>
      <c r="AA1640" s="3">
        <v>41030</v>
      </c>
      <c r="AB1640" t="s">
        <v>47</v>
      </c>
      <c r="AC1640" t="s">
        <v>47</v>
      </c>
      <c r="AD1640" t="s">
        <v>47</v>
      </c>
      <c r="AE1640" t="s">
        <v>47</v>
      </c>
      <c r="AF1640" t="s">
        <v>47</v>
      </c>
      <c r="AG1640" t="s">
        <v>47</v>
      </c>
      <c r="AH1640" t="s">
        <v>47</v>
      </c>
      <c r="AI1640" t="s">
        <v>47</v>
      </c>
      <c r="AJ1640" t="s">
        <v>47</v>
      </c>
      <c r="AK1640" t="s">
        <v>47</v>
      </c>
      <c r="AL1640" t="s">
        <v>47</v>
      </c>
      <c r="AM1640" t="s">
        <v>47</v>
      </c>
      <c r="AN1640" t="s">
        <v>47</v>
      </c>
      <c r="AO1640" s="5" t="s">
        <v>51</v>
      </c>
      <c r="AP1640" s="4" t="s">
        <v>135</v>
      </c>
      <c r="AQ1640" s="4" t="s">
        <v>53</v>
      </c>
      <c r="AR1640" s="4" t="s">
        <v>6193</v>
      </c>
      <c r="AS1640" s="5">
        <v>38342</v>
      </c>
      <c r="AT1640" t="s">
        <v>47</v>
      </c>
    </row>
    <row r="1641" spans="1:46" ht="65" x14ac:dyDescent="0.3">
      <c r="A1641" s="4" t="s">
        <v>6194</v>
      </c>
      <c r="B1641" t="s">
        <v>47</v>
      </c>
      <c r="C1641" s="4" t="s">
        <v>1036</v>
      </c>
      <c r="D1641" s="4" t="s">
        <v>70</v>
      </c>
      <c r="E1641" s="4" t="s">
        <v>49</v>
      </c>
      <c r="F1641" s="5" t="s">
        <v>6195</v>
      </c>
      <c r="G1641" t="s">
        <v>47</v>
      </c>
      <c r="H1641" t="s">
        <v>47</v>
      </c>
      <c r="I1641" s="3">
        <v>39692</v>
      </c>
      <c r="J1641" s="3">
        <v>41030</v>
      </c>
      <c r="K1641" t="s">
        <v>47</v>
      </c>
      <c r="L1641" s="5" t="s">
        <v>51</v>
      </c>
      <c r="M1641" s="3">
        <v>39692</v>
      </c>
      <c r="N1641" s="3">
        <v>41030</v>
      </c>
      <c r="O1641" t="s">
        <v>47</v>
      </c>
      <c r="P1641" s="3">
        <v>39692</v>
      </c>
      <c r="Q1641" s="3">
        <v>41030</v>
      </c>
      <c r="R1641" t="s">
        <v>47</v>
      </c>
      <c r="S1641" t="s">
        <v>47</v>
      </c>
      <c r="T1641" t="s">
        <v>47</v>
      </c>
      <c r="U1641" t="s">
        <v>47</v>
      </c>
      <c r="V1641" t="s">
        <v>47</v>
      </c>
      <c r="W1641" s="3">
        <v>39692</v>
      </c>
      <c r="X1641" s="3">
        <v>41030</v>
      </c>
      <c r="Y1641" t="s">
        <v>47</v>
      </c>
      <c r="Z1641" s="3">
        <v>39692</v>
      </c>
      <c r="AA1641" s="3">
        <v>41030</v>
      </c>
      <c r="AB1641" t="s">
        <v>47</v>
      </c>
      <c r="AC1641" t="s">
        <v>47</v>
      </c>
      <c r="AD1641" t="s">
        <v>47</v>
      </c>
      <c r="AE1641" t="s">
        <v>47</v>
      </c>
      <c r="AF1641" t="s">
        <v>47</v>
      </c>
      <c r="AG1641" t="s">
        <v>47</v>
      </c>
      <c r="AH1641" t="s">
        <v>47</v>
      </c>
      <c r="AI1641" t="s">
        <v>47</v>
      </c>
      <c r="AJ1641" t="s">
        <v>47</v>
      </c>
      <c r="AK1641" t="s">
        <v>47</v>
      </c>
      <c r="AL1641" t="s">
        <v>47</v>
      </c>
      <c r="AM1641" t="s">
        <v>47</v>
      </c>
      <c r="AN1641" t="s">
        <v>47</v>
      </c>
      <c r="AO1641" s="5" t="s">
        <v>51</v>
      </c>
      <c r="AP1641" s="4" t="s">
        <v>135</v>
      </c>
      <c r="AQ1641" s="4" t="s">
        <v>53</v>
      </c>
      <c r="AR1641" s="4" t="s">
        <v>4303</v>
      </c>
      <c r="AS1641" s="5">
        <v>46062</v>
      </c>
      <c r="AT1641" t="s">
        <v>47</v>
      </c>
    </row>
    <row r="1642" spans="1:46" ht="26" x14ac:dyDescent="0.3">
      <c r="A1642" s="4" t="s">
        <v>6196</v>
      </c>
      <c r="B1642" t="s">
        <v>47</v>
      </c>
      <c r="C1642" s="4" t="s">
        <v>6197</v>
      </c>
      <c r="D1642" s="4" t="s">
        <v>6198</v>
      </c>
      <c r="E1642" s="4" t="s">
        <v>49</v>
      </c>
      <c r="F1642" s="5" t="s">
        <v>6199</v>
      </c>
      <c r="G1642" t="s">
        <v>47</v>
      </c>
      <c r="H1642" t="s">
        <v>47</v>
      </c>
      <c r="I1642" s="3">
        <v>35886</v>
      </c>
      <c r="J1642" s="3">
        <v>44166</v>
      </c>
      <c r="K1642" t="s">
        <v>47</v>
      </c>
      <c r="L1642" s="5" t="s">
        <v>60</v>
      </c>
      <c r="M1642" s="3">
        <v>35886</v>
      </c>
      <c r="N1642" s="3">
        <v>44166</v>
      </c>
      <c r="O1642" t="s">
        <v>47</v>
      </c>
      <c r="P1642" s="3">
        <v>35886</v>
      </c>
      <c r="Q1642" s="3">
        <v>44166</v>
      </c>
      <c r="R1642" t="s">
        <v>47</v>
      </c>
      <c r="S1642" t="s">
        <v>47</v>
      </c>
      <c r="T1642" t="s">
        <v>47</v>
      </c>
      <c r="U1642" t="s">
        <v>47</v>
      </c>
      <c r="V1642" t="s">
        <v>47</v>
      </c>
      <c r="W1642" s="3">
        <v>33695</v>
      </c>
      <c r="X1642" s="3">
        <v>44166</v>
      </c>
      <c r="Y1642" t="s">
        <v>47</v>
      </c>
      <c r="Z1642" s="3">
        <v>33695</v>
      </c>
      <c r="AA1642" s="3">
        <v>44166</v>
      </c>
      <c r="AB1642" t="s">
        <v>47</v>
      </c>
      <c r="AC1642" s="3">
        <v>33695</v>
      </c>
      <c r="AD1642" s="3">
        <v>44166</v>
      </c>
      <c r="AE1642" t="s">
        <v>47</v>
      </c>
      <c r="AF1642" t="s">
        <v>47</v>
      </c>
      <c r="AG1642" t="s">
        <v>47</v>
      </c>
      <c r="AH1642" t="s">
        <v>47</v>
      </c>
      <c r="AI1642" t="s">
        <v>47</v>
      </c>
      <c r="AJ1642" t="s">
        <v>47</v>
      </c>
      <c r="AK1642" t="s">
        <v>47</v>
      </c>
      <c r="AL1642" t="s">
        <v>47</v>
      </c>
      <c r="AM1642" t="s">
        <v>47</v>
      </c>
      <c r="AN1642" t="s">
        <v>47</v>
      </c>
      <c r="AO1642" s="5" t="s">
        <v>60</v>
      </c>
      <c r="AP1642" s="4" t="s">
        <v>61</v>
      </c>
      <c r="AQ1642" s="4" t="s">
        <v>53</v>
      </c>
      <c r="AR1642" s="4" t="s">
        <v>6200</v>
      </c>
      <c r="AS1642" s="5">
        <v>47709</v>
      </c>
      <c r="AT1642" t="s">
        <v>47</v>
      </c>
    </row>
    <row r="1643" spans="1:46" ht="26" x14ac:dyDescent="0.3">
      <c r="A1643" s="4" t="s">
        <v>6201</v>
      </c>
      <c r="B1643" t="s">
        <v>47</v>
      </c>
      <c r="C1643" s="4" t="s">
        <v>169</v>
      </c>
      <c r="D1643" s="4" t="s">
        <v>1293</v>
      </c>
      <c r="E1643" s="4" t="s">
        <v>66</v>
      </c>
      <c r="F1643" s="5" t="s">
        <v>6202</v>
      </c>
      <c r="G1643" s="5" t="s">
        <v>6203</v>
      </c>
      <c r="H1643" t="s">
        <v>47</v>
      </c>
      <c r="I1643" s="3">
        <v>34335</v>
      </c>
      <c r="J1643" s="3">
        <v>38626</v>
      </c>
      <c r="K1643" s="5" t="s">
        <v>1136</v>
      </c>
      <c r="L1643" s="5" t="s">
        <v>60</v>
      </c>
      <c r="M1643" s="3">
        <v>34335</v>
      </c>
      <c r="N1643" s="3">
        <v>38626</v>
      </c>
      <c r="O1643" s="5" t="s">
        <v>1136</v>
      </c>
      <c r="P1643" s="3">
        <v>34759</v>
      </c>
      <c r="Q1643" s="3">
        <v>38626</v>
      </c>
      <c r="R1643" t="s">
        <v>47</v>
      </c>
      <c r="S1643" t="s">
        <v>47</v>
      </c>
      <c r="T1643" t="s">
        <v>47</v>
      </c>
      <c r="U1643" t="s">
        <v>47</v>
      </c>
      <c r="V1643" t="s">
        <v>47</v>
      </c>
      <c r="W1643" s="3">
        <v>33604</v>
      </c>
      <c r="X1643" s="5" t="s">
        <v>50</v>
      </c>
      <c r="Y1643" t="s">
        <v>47</v>
      </c>
      <c r="Z1643" s="3">
        <v>33604</v>
      </c>
      <c r="AA1643" s="5" t="s">
        <v>50</v>
      </c>
      <c r="AB1643" t="s">
        <v>47</v>
      </c>
      <c r="AC1643" s="3">
        <v>33604</v>
      </c>
      <c r="AD1643" s="5" t="s">
        <v>50</v>
      </c>
      <c r="AE1643" t="s">
        <v>47</v>
      </c>
      <c r="AF1643" t="s">
        <v>47</v>
      </c>
      <c r="AG1643" t="s">
        <v>47</v>
      </c>
      <c r="AH1643" t="s">
        <v>47</v>
      </c>
      <c r="AI1643" t="s">
        <v>47</v>
      </c>
      <c r="AJ1643" t="s">
        <v>47</v>
      </c>
      <c r="AK1643" t="s">
        <v>47</v>
      </c>
      <c r="AL1643" t="s">
        <v>47</v>
      </c>
      <c r="AM1643" t="s">
        <v>47</v>
      </c>
      <c r="AN1643" t="s">
        <v>47</v>
      </c>
      <c r="AO1643" s="5" t="s">
        <v>60</v>
      </c>
      <c r="AP1643" s="4" t="s">
        <v>61</v>
      </c>
      <c r="AQ1643" s="4" t="s">
        <v>53</v>
      </c>
      <c r="AR1643" s="4" t="s">
        <v>6204</v>
      </c>
      <c r="AS1643" s="5">
        <v>47214</v>
      </c>
      <c r="AT1643" t="s">
        <v>47</v>
      </c>
    </row>
    <row r="1644" spans="1:46" ht="130" x14ac:dyDescent="0.3">
      <c r="A1644" s="4" t="s">
        <v>6205</v>
      </c>
      <c r="B1644" t="s">
        <v>47</v>
      </c>
      <c r="C1644" s="4" t="s">
        <v>770</v>
      </c>
      <c r="D1644" s="4" t="s">
        <v>201</v>
      </c>
      <c r="E1644" s="4" t="s">
        <v>49</v>
      </c>
      <c r="F1644" s="5" t="s">
        <v>6206</v>
      </c>
      <c r="G1644" t="s">
        <v>47</v>
      </c>
      <c r="H1644" t="s">
        <v>47</v>
      </c>
      <c r="I1644" t="s">
        <v>47</v>
      </c>
      <c r="J1644" t="s">
        <v>47</v>
      </c>
      <c r="K1644" t="s">
        <v>47</v>
      </c>
      <c r="L1644" s="5" t="s">
        <v>51</v>
      </c>
      <c r="M1644" t="s">
        <v>47</v>
      </c>
      <c r="N1644" t="s">
        <v>47</v>
      </c>
      <c r="O1644" t="s">
        <v>47</v>
      </c>
      <c r="P1644" t="s">
        <v>47</v>
      </c>
      <c r="Q1644" t="s">
        <v>47</v>
      </c>
      <c r="R1644" t="s">
        <v>47</v>
      </c>
      <c r="S1644" t="s">
        <v>47</v>
      </c>
      <c r="T1644" t="s">
        <v>47</v>
      </c>
      <c r="U1644" t="s">
        <v>47</v>
      </c>
      <c r="V1644" t="s">
        <v>47</v>
      </c>
      <c r="W1644" s="3">
        <v>36117</v>
      </c>
      <c r="X1644" s="3">
        <v>39814</v>
      </c>
      <c r="Y1644" s="5" t="s">
        <v>1782</v>
      </c>
      <c r="Z1644" s="3">
        <v>36117</v>
      </c>
      <c r="AA1644" s="3">
        <v>39814</v>
      </c>
      <c r="AB1644" s="5" t="s">
        <v>1782</v>
      </c>
      <c r="AC1644" s="3">
        <v>37096</v>
      </c>
      <c r="AD1644" s="3">
        <v>39814</v>
      </c>
      <c r="AE1644" s="5" t="s">
        <v>1782</v>
      </c>
      <c r="AF1644" t="s">
        <v>47</v>
      </c>
      <c r="AG1644" t="s">
        <v>47</v>
      </c>
      <c r="AH1644" t="s">
        <v>47</v>
      </c>
      <c r="AI1644" t="s">
        <v>47</v>
      </c>
      <c r="AJ1644" t="s">
        <v>47</v>
      </c>
      <c r="AK1644" t="s">
        <v>47</v>
      </c>
      <c r="AL1644" t="s">
        <v>47</v>
      </c>
      <c r="AM1644" t="s">
        <v>47</v>
      </c>
      <c r="AN1644" t="s">
        <v>47</v>
      </c>
      <c r="AO1644" s="5" t="s">
        <v>51</v>
      </c>
      <c r="AP1644" s="4" t="s">
        <v>85</v>
      </c>
      <c r="AQ1644" s="4" t="s">
        <v>53</v>
      </c>
      <c r="AR1644" s="4" t="s">
        <v>6207</v>
      </c>
      <c r="AS1644" s="5">
        <v>32257</v>
      </c>
      <c r="AT1644" t="s">
        <v>47</v>
      </c>
    </row>
    <row r="1645" spans="1:46" ht="13" x14ac:dyDescent="0.3">
      <c r="A1645" s="4" t="s">
        <v>6208</v>
      </c>
      <c r="B1645" t="s">
        <v>47</v>
      </c>
      <c r="C1645" s="4" t="s">
        <v>770</v>
      </c>
      <c r="D1645" s="4" t="s">
        <v>6209</v>
      </c>
      <c r="E1645" s="4" t="s">
        <v>49</v>
      </c>
      <c r="F1645" t="s">
        <v>47</v>
      </c>
      <c r="G1645" t="s">
        <v>47</v>
      </c>
      <c r="H1645" t="s">
        <v>47</v>
      </c>
      <c r="I1645" t="s">
        <v>47</v>
      </c>
      <c r="J1645" t="s">
        <v>47</v>
      </c>
      <c r="K1645" t="s">
        <v>47</v>
      </c>
      <c r="L1645" s="5" t="s">
        <v>51</v>
      </c>
      <c r="M1645" t="s">
        <v>47</v>
      </c>
      <c r="N1645" t="s">
        <v>47</v>
      </c>
      <c r="O1645" t="s">
        <v>47</v>
      </c>
      <c r="P1645" t="s">
        <v>47</v>
      </c>
      <c r="Q1645" t="s">
        <v>47</v>
      </c>
      <c r="R1645" t="s">
        <v>47</v>
      </c>
      <c r="S1645" t="s">
        <v>47</v>
      </c>
      <c r="T1645" t="s">
        <v>47</v>
      </c>
      <c r="U1645" t="s">
        <v>47</v>
      </c>
      <c r="V1645" t="s">
        <v>47</v>
      </c>
      <c r="W1645" s="3">
        <v>39845</v>
      </c>
      <c r="X1645" s="3">
        <v>41244</v>
      </c>
      <c r="Y1645" t="s">
        <v>47</v>
      </c>
      <c r="Z1645" s="3">
        <v>39845</v>
      </c>
      <c r="AA1645" s="3">
        <v>41244</v>
      </c>
      <c r="AB1645" t="s">
        <v>47</v>
      </c>
      <c r="AC1645" s="3">
        <v>39845</v>
      </c>
      <c r="AD1645" s="3">
        <v>41244</v>
      </c>
      <c r="AE1645" t="s">
        <v>47</v>
      </c>
      <c r="AF1645" t="s">
        <v>47</v>
      </c>
      <c r="AG1645" t="s">
        <v>47</v>
      </c>
      <c r="AH1645" t="s">
        <v>47</v>
      </c>
      <c r="AI1645" t="s">
        <v>47</v>
      </c>
      <c r="AJ1645" t="s">
        <v>47</v>
      </c>
      <c r="AK1645" t="s">
        <v>47</v>
      </c>
      <c r="AL1645" t="s">
        <v>47</v>
      </c>
      <c r="AM1645" t="s">
        <v>47</v>
      </c>
      <c r="AN1645" t="s">
        <v>47</v>
      </c>
      <c r="AO1645" s="5" t="s">
        <v>51</v>
      </c>
      <c r="AP1645" s="4" t="s">
        <v>85</v>
      </c>
      <c r="AQ1645" s="4" t="s">
        <v>53</v>
      </c>
      <c r="AR1645" s="4" t="s">
        <v>54</v>
      </c>
      <c r="AS1645" s="5">
        <v>55019</v>
      </c>
      <c r="AT1645" t="s">
        <v>47</v>
      </c>
    </row>
    <row r="1646" spans="1:46" ht="39" x14ac:dyDescent="0.3">
      <c r="A1646" s="4" t="s">
        <v>6210</v>
      </c>
      <c r="B1646" t="s">
        <v>47</v>
      </c>
      <c r="C1646" s="4" t="s">
        <v>6211</v>
      </c>
      <c r="D1646" s="4" t="s">
        <v>6212</v>
      </c>
      <c r="E1646" s="4" t="s">
        <v>49</v>
      </c>
      <c r="F1646" s="5" t="s">
        <v>6213</v>
      </c>
      <c r="G1646" t="s">
        <v>47</v>
      </c>
      <c r="H1646" t="s">
        <v>47</v>
      </c>
      <c r="I1646" t="s">
        <v>47</v>
      </c>
      <c r="J1646" t="s">
        <v>47</v>
      </c>
      <c r="K1646" t="s">
        <v>47</v>
      </c>
      <c r="L1646" s="5" t="s">
        <v>51</v>
      </c>
      <c r="M1646" t="s">
        <v>47</v>
      </c>
      <c r="N1646" t="s">
        <v>47</v>
      </c>
      <c r="O1646" t="s">
        <v>47</v>
      </c>
      <c r="P1646" t="s">
        <v>47</v>
      </c>
      <c r="Q1646" t="s">
        <v>47</v>
      </c>
      <c r="R1646" t="s">
        <v>47</v>
      </c>
      <c r="S1646" t="s">
        <v>47</v>
      </c>
      <c r="T1646" t="s">
        <v>47</v>
      </c>
      <c r="U1646" t="s">
        <v>47</v>
      </c>
      <c r="V1646" t="s">
        <v>47</v>
      </c>
      <c r="W1646" s="3">
        <v>32509</v>
      </c>
      <c r="X1646" s="3">
        <v>34851</v>
      </c>
      <c r="Y1646" t="s">
        <v>47</v>
      </c>
      <c r="Z1646" s="3">
        <v>32509</v>
      </c>
      <c r="AA1646" s="3">
        <v>34851</v>
      </c>
      <c r="AB1646" t="s">
        <v>47</v>
      </c>
      <c r="AC1646" s="3">
        <v>32509</v>
      </c>
      <c r="AD1646" s="3">
        <v>34851</v>
      </c>
      <c r="AE1646" t="s">
        <v>47</v>
      </c>
      <c r="AF1646" t="s">
        <v>47</v>
      </c>
      <c r="AG1646" t="s">
        <v>47</v>
      </c>
      <c r="AH1646" t="s">
        <v>47</v>
      </c>
      <c r="AI1646" t="s">
        <v>47</v>
      </c>
      <c r="AJ1646" t="s">
        <v>47</v>
      </c>
      <c r="AK1646" t="s">
        <v>47</v>
      </c>
      <c r="AL1646" t="s">
        <v>47</v>
      </c>
      <c r="AM1646" t="s">
        <v>47</v>
      </c>
      <c r="AN1646" t="s">
        <v>47</v>
      </c>
      <c r="AO1646" s="5" t="s">
        <v>51</v>
      </c>
      <c r="AP1646" s="4" t="s">
        <v>85</v>
      </c>
      <c r="AQ1646" s="4" t="s">
        <v>53</v>
      </c>
      <c r="AR1646" s="4" t="s">
        <v>385</v>
      </c>
      <c r="AS1646" s="5">
        <v>42300</v>
      </c>
      <c r="AT1646" t="s">
        <v>47</v>
      </c>
    </row>
    <row r="1647" spans="1:46" ht="65" x14ac:dyDescent="0.3">
      <c r="A1647" s="4" t="s">
        <v>6214</v>
      </c>
      <c r="B1647" t="s">
        <v>47</v>
      </c>
      <c r="C1647" s="4" t="s">
        <v>200</v>
      </c>
      <c r="D1647" s="4" t="s">
        <v>339</v>
      </c>
      <c r="E1647" s="4" t="s">
        <v>66</v>
      </c>
      <c r="F1647" s="5" t="s">
        <v>6215</v>
      </c>
      <c r="G1647" s="5" t="s">
        <v>6216</v>
      </c>
      <c r="H1647" t="s">
        <v>47</v>
      </c>
      <c r="I1647" s="3">
        <v>39083</v>
      </c>
      <c r="J1647" s="3">
        <v>42339</v>
      </c>
      <c r="K1647" t="s">
        <v>47</v>
      </c>
      <c r="L1647" s="5" t="s">
        <v>51</v>
      </c>
      <c r="M1647" s="3">
        <v>39083</v>
      </c>
      <c r="N1647" s="3">
        <v>42339</v>
      </c>
      <c r="O1647" t="s">
        <v>47</v>
      </c>
      <c r="P1647" s="3">
        <v>39083</v>
      </c>
      <c r="Q1647" s="3">
        <v>42339</v>
      </c>
      <c r="R1647" t="s">
        <v>47</v>
      </c>
      <c r="S1647" t="s">
        <v>47</v>
      </c>
      <c r="T1647" t="s">
        <v>47</v>
      </c>
      <c r="U1647" t="s">
        <v>47</v>
      </c>
      <c r="V1647" t="s">
        <v>47</v>
      </c>
      <c r="W1647" s="3">
        <v>39083</v>
      </c>
      <c r="X1647" s="5" t="s">
        <v>50</v>
      </c>
      <c r="Y1647" t="s">
        <v>47</v>
      </c>
      <c r="Z1647" s="3">
        <v>39083</v>
      </c>
      <c r="AA1647" s="5" t="s">
        <v>50</v>
      </c>
      <c r="AB1647" t="s">
        <v>47</v>
      </c>
      <c r="AC1647" s="3">
        <v>39083</v>
      </c>
      <c r="AD1647" s="3">
        <v>44287</v>
      </c>
      <c r="AE1647" s="5" t="s">
        <v>3186</v>
      </c>
      <c r="AF1647" t="s">
        <v>47</v>
      </c>
      <c r="AG1647" t="s">
        <v>47</v>
      </c>
      <c r="AH1647" t="s">
        <v>47</v>
      </c>
      <c r="AI1647" t="s">
        <v>47</v>
      </c>
      <c r="AJ1647" t="s">
        <v>47</v>
      </c>
      <c r="AK1647" t="s">
        <v>47</v>
      </c>
      <c r="AL1647" t="s">
        <v>47</v>
      </c>
      <c r="AM1647" t="s">
        <v>47</v>
      </c>
      <c r="AN1647" t="s">
        <v>47</v>
      </c>
      <c r="AO1647" s="5" t="s">
        <v>51</v>
      </c>
      <c r="AP1647" s="4" t="s">
        <v>135</v>
      </c>
      <c r="AQ1647" s="4" t="s">
        <v>53</v>
      </c>
      <c r="AR1647" s="4" t="s">
        <v>1514</v>
      </c>
      <c r="AS1647" s="5">
        <v>28948</v>
      </c>
      <c r="AT1647" t="s">
        <v>47</v>
      </c>
    </row>
    <row r="1648" spans="1:46" ht="52" x14ac:dyDescent="0.3">
      <c r="A1648" s="4" t="s">
        <v>6217</v>
      </c>
      <c r="B1648" t="s">
        <v>47</v>
      </c>
      <c r="C1648" s="4" t="s">
        <v>6218</v>
      </c>
      <c r="D1648" s="4" t="s">
        <v>674</v>
      </c>
      <c r="E1648" s="4" t="s">
        <v>58</v>
      </c>
      <c r="F1648" t="s">
        <v>47</v>
      </c>
      <c r="G1648" s="5" t="s">
        <v>6219</v>
      </c>
      <c r="H1648" t="s">
        <v>47</v>
      </c>
      <c r="I1648" s="3">
        <v>40210</v>
      </c>
      <c r="J1648" s="3">
        <v>40878</v>
      </c>
      <c r="K1648" t="s">
        <v>47</v>
      </c>
      <c r="L1648" s="5" t="s">
        <v>60</v>
      </c>
      <c r="M1648" s="3">
        <v>40210</v>
      </c>
      <c r="N1648" s="3">
        <v>40878</v>
      </c>
      <c r="O1648" t="s">
        <v>47</v>
      </c>
      <c r="P1648" s="3">
        <v>40210</v>
      </c>
      <c r="Q1648" s="3">
        <v>40878</v>
      </c>
      <c r="R1648" t="s">
        <v>47</v>
      </c>
      <c r="S1648" t="s">
        <v>47</v>
      </c>
      <c r="T1648" t="s">
        <v>47</v>
      </c>
      <c r="U1648" t="s">
        <v>47</v>
      </c>
      <c r="V1648" t="s">
        <v>47</v>
      </c>
      <c r="W1648" s="3">
        <v>40210</v>
      </c>
      <c r="X1648" s="3">
        <v>40878</v>
      </c>
      <c r="Y1648" t="s">
        <v>47</v>
      </c>
      <c r="Z1648" s="3">
        <v>40210</v>
      </c>
      <c r="AA1648" s="3">
        <v>40878</v>
      </c>
      <c r="AB1648" t="s">
        <v>47</v>
      </c>
      <c r="AC1648" s="3">
        <v>40210</v>
      </c>
      <c r="AD1648" s="3">
        <v>40878</v>
      </c>
      <c r="AE1648" t="s">
        <v>47</v>
      </c>
      <c r="AF1648" t="s">
        <v>47</v>
      </c>
      <c r="AG1648" t="s">
        <v>47</v>
      </c>
      <c r="AH1648" t="s">
        <v>47</v>
      </c>
      <c r="AI1648" t="s">
        <v>47</v>
      </c>
      <c r="AJ1648" t="s">
        <v>47</v>
      </c>
      <c r="AK1648" t="s">
        <v>47</v>
      </c>
      <c r="AL1648" t="s">
        <v>47</v>
      </c>
      <c r="AM1648" t="s">
        <v>47</v>
      </c>
      <c r="AN1648" t="s">
        <v>47</v>
      </c>
      <c r="AO1648" s="5" t="s">
        <v>60</v>
      </c>
      <c r="AP1648" s="4" t="s">
        <v>61</v>
      </c>
      <c r="AQ1648" s="4" t="s">
        <v>53</v>
      </c>
      <c r="AR1648" s="4" t="s">
        <v>6220</v>
      </c>
      <c r="AS1648" s="5">
        <v>556345</v>
      </c>
      <c r="AT1648" t="s">
        <v>47</v>
      </c>
    </row>
    <row r="1649" spans="1:46" ht="39" x14ac:dyDescent="0.3">
      <c r="A1649" s="4" t="s">
        <v>6221</v>
      </c>
      <c r="B1649" t="s">
        <v>47</v>
      </c>
      <c r="C1649" s="4" t="s">
        <v>6222</v>
      </c>
      <c r="D1649" s="4" t="s">
        <v>70</v>
      </c>
      <c r="E1649" s="4" t="s">
        <v>49</v>
      </c>
      <c r="F1649" s="5" t="s">
        <v>6223</v>
      </c>
      <c r="G1649" s="5" t="s">
        <v>6224</v>
      </c>
      <c r="H1649" t="s">
        <v>47</v>
      </c>
      <c r="I1649" s="3">
        <v>36982</v>
      </c>
      <c r="J1649" s="5" t="s">
        <v>50</v>
      </c>
      <c r="K1649" t="s">
        <v>47</v>
      </c>
      <c r="L1649" s="5" t="s">
        <v>60</v>
      </c>
      <c r="M1649" s="3">
        <v>36982</v>
      </c>
      <c r="N1649" s="5" t="s">
        <v>50</v>
      </c>
      <c r="O1649" t="s">
        <v>47</v>
      </c>
      <c r="P1649" s="3">
        <v>36982</v>
      </c>
      <c r="Q1649" s="5" t="s">
        <v>50</v>
      </c>
      <c r="R1649" t="s">
        <v>47</v>
      </c>
      <c r="S1649" t="s">
        <v>47</v>
      </c>
      <c r="T1649" t="s">
        <v>47</v>
      </c>
      <c r="U1649" t="s">
        <v>47</v>
      </c>
      <c r="V1649" s="5">
        <v>180</v>
      </c>
      <c r="W1649" s="3">
        <v>32599</v>
      </c>
      <c r="X1649" s="5" t="s">
        <v>50</v>
      </c>
      <c r="Y1649" t="s">
        <v>47</v>
      </c>
      <c r="Z1649" s="3">
        <v>32599</v>
      </c>
      <c r="AA1649" s="5" t="s">
        <v>50</v>
      </c>
      <c r="AB1649" t="s">
        <v>47</v>
      </c>
      <c r="AC1649" s="3">
        <v>32599</v>
      </c>
      <c r="AD1649" s="5" t="s">
        <v>50</v>
      </c>
      <c r="AE1649" t="s">
        <v>47</v>
      </c>
      <c r="AF1649" t="s">
        <v>47</v>
      </c>
      <c r="AG1649" t="s">
        <v>47</v>
      </c>
      <c r="AH1649" t="s">
        <v>47</v>
      </c>
      <c r="AI1649" t="s">
        <v>47</v>
      </c>
      <c r="AJ1649" t="s">
        <v>47</v>
      </c>
      <c r="AK1649" t="s">
        <v>47</v>
      </c>
      <c r="AL1649" t="s">
        <v>47</v>
      </c>
      <c r="AM1649" t="s">
        <v>47</v>
      </c>
      <c r="AN1649" t="s">
        <v>47</v>
      </c>
      <c r="AO1649" s="5" t="s">
        <v>60</v>
      </c>
      <c r="AP1649" s="4" t="s">
        <v>61</v>
      </c>
      <c r="AQ1649" s="4" t="s">
        <v>53</v>
      </c>
      <c r="AR1649" s="4" t="s">
        <v>6225</v>
      </c>
      <c r="AS1649" s="5">
        <v>30280</v>
      </c>
      <c r="AT1649" t="s">
        <v>47</v>
      </c>
    </row>
    <row r="1650" spans="1:46" ht="26" x14ac:dyDescent="0.3">
      <c r="A1650" s="4" t="s">
        <v>6226</v>
      </c>
      <c r="B1650" t="s">
        <v>47</v>
      </c>
      <c r="C1650" s="4" t="s">
        <v>183</v>
      </c>
      <c r="D1650" s="4" t="s">
        <v>333</v>
      </c>
      <c r="E1650" s="4" t="s">
        <v>49</v>
      </c>
      <c r="F1650" s="5" t="s">
        <v>6227</v>
      </c>
      <c r="G1650" s="5" t="s">
        <v>6228</v>
      </c>
      <c r="H1650" t="s">
        <v>47</v>
      </c>
      <c r="I1650" t="s">
        <v>47</v>
      </c>
      <c r="J1650" t="s">
        <v>47</v>
      </c>
      <c r="K1650" t="s">
        <v>47</v>
      </c>
      <c r="L1650" s="5" t="s">
        <v>60</v>
      </c>
      <c r="M1650" t="s">
        <v>47</v>
      </c>
      <c r="N1650" t="s">
        <v>47</v>
      </c>
      <c r="O1650" t="s">
        <v>47</v>
      </c>
      <c r="P1650" t="s">
        <v>47</v>
      </c>
      <c r="Q1650" t="s">
        <v>47</v>
      </c>
      <c r="R1650" t="s">
        <v>47</v>
      </c>
      <c r="S1650" t="s">
        <v>47</v>
      </c>
      <c r="T1650" t="s">
        <v>47</v>
      </c>
      <c r="U1650" t="s">
        <v>47</v>
      </c>
      <c r="V1650" t="s">
        <v>47</v>
      </c>
      <c r="W1650" s="3">
        <v>27061</v>
      </c>
      <c r="X1650" s="5" t="s">
        <v>50</v>
      </c>
      <c r="Y1650" t="s">
        <v>47</v>
      </c>
      <c r="Z1650" s="3">
        <v>27061</v>
      </c>
      <c r="AA1650" s="5" t="s">
        <v>50</v>
      </c>
      <c r="AB1650" t="s">
        <v>47</v>
      </c>
      <c r="AC1650" s="3">
        <v>27426</v>
      </c>
      <c r="AD1650" s="5" t="s">
        <v>50</v>
      </c>
      <c r="AE1650" t="s">
        <v>47</v>
      </c>
      <c r="AF1650" t="s">
        <v>47</v>
      </c>
      <c r="AG1650" t="s">
        <v>47</v>
      </c>
      <c r="AH1650" t="s">
        <v>47</v>
      </c>
      <c r="AI1650" t="s">
        <v>47</v>
      </c>
      <c r="AJ1650" t="s">
        <v>47</v>
      </c>
      <c r="AK1650" t="s">
        <v>47</v>
      </c>
      <c r="AL1650" t="s">
        <v>47</v>
      </c>
      <c r="AM1650" t="s">
        <v>47</v>
      </c>
      <c r="AN1650" t="s">
        <v>47</v>
      </c>
      <c r="AO1650" s="5" t="s">
        <v>60</v>
      </c>
      <c r="AP1650" s="4" t="s">
        <v>61</v>
      </c>
      <c r="AQ1650" s="4" t="s">
        <v>53</v>
      </c>
      <c r="AR1650" s="4" t="s">
        <v>342</v>
      </c>
      <c r="AS1650" s="5">
        <v>37882</v>
      </c>
      <c r="AT1650" t="s">
        <v>47</v>
      </c>
    </row>
    <row r="1651" spans="1:46" ht="91" x14ac:dyDescent="0.3">
      <c r="A1651" s="4" t="s">
        <v>6229</v>
      </c>
      <c r="B1651" t="s">
        <v>47</v>
      </c>
      <c r="C1651" s="4" t="s">
        <v>6230</v>
      </c>
      <c r="D1651" s="4" t="s">
        <v>313</v>
      </c>
      <c r="E1651" s="4" t="s">
        <v>49</v>
      </c>
      <c r="F1651" s="5" t="s">
        <v>6231</v>
      </c>
      <c r="G1651" t="s">
        <v>47</v>
      </c>
      <c r="H1651" t="s">
        <v>47</v>
      </c>
      <c r="I1651" s="3">
        <v>36100</v>
      </c>
      <c r="J1651" s="3">
        <v>36678</v>
      </c>
      <c r="K1651" t="s">
        <v>47</v>
      </c>
      <c r="L1651" s="5" t="s">
        <v>51</v>
      </c>
      <c r="M1651" s="3">
        <v>36100</v>
      </c>
      <c r="N1651" s="3">
        <v>36678</v>
      </c>
      <c r="O1651" t="s">
        <v>47</v>
      </c>
      <c r="P1651" s="3">
        <v>36100</v>
      </c>
      <c r="Q1651" s="3">
        <v>36678</v>
      </c>
      <c r="R1651" t="s">
        <v>47</v>
      </c>
      <c r="S1651" t="s">
        <v>47</v>
      </c>
      <c r="T1651" t="s">
        <v>47</v>
      </c>
      <c r="U1651" t="s">
        <v>47</v>
      </c>
      <c r="V1651" t="s">
        <v>47</v>
      </c>
      <c r="W1651" s="3">
        <v>36100</v>
      </c>
      <c r="X1651" s="3">
        <v>36678</v>
      </c>
      <c r="Y1651" t="s">
        <v>47</v>
      </c>
      <c r="Z1651" s="3">
        <v>36100</v>
      </c>
      <c r="AA1651" s="3">
        <v>36678</v>
      </c>
      <c r="AB1651" t="s">
        <v>47</v>
      </c>
      <c r="AC1651" t="s">
        <v>47</v>
      </c>
      <c r="AD1651" t="s">
        <v>47</v>
      </c>
      <c r="AE1651" t="s">
        <v>47</v>
      </c>
      <c r="AF1651" t="s">
        <v>47</v>
      </c>
      <c r="AG1651" t="s">
        <v>47</v>
      </c>
      <c r="AH1651" t="s">
        <v>47</v>
      </c>
      <c r="AI1651" t="s">
        <v>47</v>
      </c>
      <c r="AJ1651" t="s">
        <v>47</v>
      </c>
      <c r="AK1651" t="s">
        <v>47</v>
      </c>
      <c r="AL1651" t="s">
        <v>47</v>
      </c>
      <c r="AM1651" t="s">
        <v>47</v>
      </c>
      <c r="AN1651" t="s">
        <v>47</v>
      </c>
      <c r="AO1651" s="5" t="s">
        <v>51</v>
      </c>
      <c r="AP1651" s="4" t="s">
        <v>135</v>
      </c>
      <c r="AQ1651" s="4" t="s">
        <v>53</v>
      </c>
      <c r="AR1651" s="4" t="s">
        <v>6232</v>
      </c>
      <c r="AS1651" s="5">
        <v>11081</v>
      </c>
      <c r="AT1651" t="s">
        <v>47</v>
      </c>
    </row>
    <row r="1652" spans="1:46" ht="26" x14ac:dyDescent="0.3">
      <c r="A1652" s="4" t="s">
        <v>6233</v>
      </c>
      <c r="B1652" t="s">
        <v>47</v>
      </c>
      <c r="C1652" s="4" t="s">
        <v>6186</v>
      </c>
      <c r="D1652" s="4" t="s">
        <v>70</v>
      </c>
      <c r="E1652" s="4" t="s">
        <v>49</v>
      </c>
      <c r="F1652" t="s">
        <v>47</v>
      </c>
      <c r="G1652" t="s">
        <v>47</v>
      </c>
      <c r="H1652" t="s">
        <v>47</v>
      </c>
      <c r="I1652" s="3">
        <v>41760</v>
      </c>
      <c r="J1652" s="5" t="s">
        <v>50</v>
      </c>
      <c r="K1652" t="s">
        <v>47</v>
      </c>
      <c r="L1652" s="5" t="s">
        <v>51</v>
      </c>
      <c r="M1652" s="3">
        <v>41760</v>
      </c>
      <c r="N1652" s="5" t="s">
        <v>50</v>
      </c>
      <c r="O1652" t="s">
        <v>47</v>
      </c>
      <c r="P1652" s="3">
        <v>41760</v>
      </c>
      <c r="Q1652" s="5" t="s">
        <v>50</v>
      </c>
      <c r="R1652" t="s">
        <v>47</v>
      </c>
      <c r="S1652" t="s">
        <v>47</v>
      </c>
      <c r="T1652" t="s">
        <v>47</v>
      </c>
      <c r="U1652" t="s">
        <v>47</v>
      </c>
      <c r="V1652" t="s">
        <v>47</v>
      </c>
      <c r="W1652" s="3">
        <v>41760</v>
      </c>
      <c r="X1652" s="5" t="s">
        <v>50</v>
      </c>
      <c r="Y1652" t="s">
        <v>47</v>
      </c>
      <c r="Z1652" s="3">
        <v>41760</v>
      </c>
      <c r="AA1652" s="5" t="s">
        <v>50</v>
      </c>
      <c r="AB1652" t="s">
        <v>47</v>
      </c>
      <c r="AC1652" s="3">
        <v>41760</v>
      </c>
      <c r="AD1652" s="5" t="s">
        <v>50</v>
      </c>
      <c r="AE1652" t="s">
        <v>47</v>
      </c>
      <c r="AF1652" t="s">
        <v>47</v>
      </c>
      <c r="AG1652" t="s">
        <v>47</v>
      </c>
      <c r="AH1652" t="s">
        <v>47</v>
      </c>
      <c r="AI1652" t="s">
        <v>47</v>
      </c>
      <c r="AJ1652" t="s">
        <v>47</v>
      </c>
      <c r="AK1652" t="s">
        <v>47</v>
      </c>
      <c r="AL1652" t="s">
        <v>47</v>
      </c>
      <c r="AM1652" t="s">
        <v>47</v>
      </c>
      <c r="AN1652" t="s">
        <v>47</v>
      </c>
      <c r="AO1652" s="5" t="s">
        <v>51</v>
      </c>
      <c r="AP1652" s="4" t="s">
        <v>1756</v>
      </c>
      <c r="AQ1652" s="4" t="s">
        <v>53</v>
      </c>
      <c r="AR1652" s="4" t="s">
        <v>54</v>
      </c>
      <c r="AS1652" s="5">
        <v>2037332</v>
      </c>
      <c r="AT1652" t="s">
        <v>47</v>
      </c>
    </row>
    <row r="1653" spans="1:46" ht="26" x14ac:dyDescent="0.3">
      <c r="A1653" s="4" t="s">
        <v>6234</v>
      </c>
      <c r="B1653" t="s">
        <v>47</v>
      </c>
      <c r="C1653" s="4" t="s">
        <v>200</v>
      </c>
      <c r="D1653" s="4" t="s">
        <v>748</v>
      </c>
      <c r="E1653" s="4" t="s">
        <v>66</v>
      </c>
      <c r="F1653" s="5" t="s">
        <v>6235</v>
      </c>
      <c r="G1653" s="5" t="s">
        <v>6236</v>
      </c>
      <c r="H1653" t="s">
        <v>47</v>
      </c>
      <c r="I1653" t="s">
        <v>47</v>
      </c>
      <c r="J1653" t="s">
        <v>47</v>
      </c>
      <c r="K1653" t="s">
        <v>47</v>
      </c>
      <c r="L1653" s="5" t="s">
        <v>60</v>
      </c>
      <c r="M1653" t="s">
        <v>47</v>
      </c>
      <c r="N1653" t="s">
        <v>47</v>
      </c>
      <c r="O1653" t="s">
        <v>47</v>
      </c>
      <c r="P1653" t="s">
        <v>47</v>
      </c>
      <c r="Q1653" t="s">
        <v>47</v>
      </c>
      <c r="R1653" t="s">
        <v>47</v>
      </c>
      <c r="S1653" t="s">
        <v>47</v>
      </c>
      <c r="T1653" t="s">
        <v>47</v>
      </c>
      <c r="U1653" t="s">
        <v>47</v>
      </c>
      <c r="V1653" t="s">
        <v>47</v>
      </c>
      <c r="W1653" s="3">
        <v>38749</v>
      </c>
      <c r="X1653" s="5" t="s">
        <v>50</v>
      </c>
      <c r="Y1653" t="s">
        <v>47</v>
      </c>
      <c r="Z1653" s="3">
        <v>38749</v>
      </c>
      <c r="AA1653" s="5" t="s">
        <v>50</v>
      </c>
      <c r="AB1653" t="s">
        <v>47</v>
      </c>
      <c r="AC1653" s="3">
        <v>38749</v>
      </c>
      <c r="AD1653" s="5" t="s">
        <v>50</v>
      </c>
      <c r="AE1653" t="s">
        <v>47</v>
      </c>
      <c r="AF1653" t="s">
        <v>47</v>
      </c>
      <c r="AG1653" t="s">
        <v>47</v>
      </c>
      <c r="AH1653" t="s">
        <v>47</v>
      </c>
      <c r="AI1653" t="s">
        <v>47</v>
      </c>
      <c r="AJ1653" t="s">
        <v>47</v>
      </c>
      <c r="AK1653" t="s">
        <v>47</v>
      </c>
      <c r="AL1653" t="s">
        <v>47</v>
      </c>
      <c r="AM1653" t="s">
        <v>47</v>
      </c>
      <c r="AN1653" t="s">
        <v>47</v>
      </c>
      <c r="AO1653" s="5" t="s">
        <v>60</v>
      </c>
      <c r="AP1653" s="4" t="s">
        <v>61</v>
      </c>
      <c r="AQ1653" s="4" t="s">
        <v>53</v>
      </c>
      <c r="AR1653" s="4" t="s">
        <v>737</v>
      </c>
      <c r="AS1653" s="5">
        <v>31021</v>
      </c>
      <c r="AT1653" t="s">
        <v>47</v>
      </c>
    </row>
    <row r="1654" spans="1:46" ht="91" x14ac:dyDescent="0.3">
      <c r="A1654" s="4" t="s">
        <v>6237</v>
      </c>
      <c r="B1654" t="s">
        <v>47</v>
      </c>
      <c r="C1654" s="4" t="s">
        <v>6238</v>
      </c>
      <c r="D1654" s="4" t="s">
        <v>88</v>
      </c>
      <c r="E1654" s="4" t="s">
        <v>49</v>
      </c>
      <c r="F1654" s="5" t="s">
        <v>6239</v>
      </c>
      <c r="G1654" t="s">
        <v>47</v>
      </c>
      <c r="H1654" t="s">
        <v>47</v>
      </c>
      <c r="I1654" s="3">
        <v>34335</v>
      </c>
      <c r="J1654" s="3">
        <v>40360</v>
      </c>
      <c r="K1654" t="s">
        <v>47</v>
      </c>
      <c r="L1654" s="5" t="s">
        <v>51</v>
      </c>
      <c r="M1654" s="3">
        <v>34335</v>
      </c>
      <c r="N1654" s="3">
        <v>40360</v>
      </c>
      <c r="O1654" t="s">
        <v>47</v>
      </c>
      <c r="P1654" s="3">
        <v>35247</v>
      </c>
      <c r="Q1654" s="3">
        <v>40360</v>
      </c>
      <c r="R1654" t="s">
        <v>47</v>
      </c>
      <c r="S1654" t="s">
        <v>47</v>
      </c>
      <c r="T1654" t="s">
        <v>47</v>
      </c>
      <c r="U1654" t="s">
        <v>47</v>
      </c>
      <c r="V1654" t="s">
        <v>47</v>
      </c>
      <c r="W1654" s="3">
        <v>33786</v>
      </c>
      <c r="X1654" s="3">
        <v>40360</v>
      </c>
      <c r="Y1654" t="s">
        <v>47</v>
      </c>
      <c r="Z1654" s="3">
        <v>33786</v>
      </c>
      <c r="AA1654" s="3">
        <v>40360</v>
      </c>
      <c r="AB1654" t="s">
        <v>47</v>
      </c>
      <c r="AC1654" s="3">
        <v>33786</v>
      </c>
      <c r="AD1654" s="3">
        <v>40360</v>
      </c>
      <c r="AE1654" t="s">
        <v>47</v>
      </c>
      <c r="AF1654" t="s">
        <v>47</v>
      </c>
      <c r="AG1654" t="s">
        <v>47</v>
      </c>
      <c r="AH1654" t="s">
        <v>47</v>
      </c>
      <c r="AI1654" t="s">
        <v>47</v>
      </c>
      <c r="AJ1654" t="s">
        <v>47</v>
      </c>
      <c r="AK1654" t="s">
        <v>47</v>
      </c>
      <c r="AL1654" t="s">
        <v>47</v>
      </c>
      <c r="AM1654" t="s">
        <v>47</v>
      </c>
      <c r="AN1654" t="s">
        <v>47</v>
      </c>
      <c r="AO1654" s="5" t="s">
        <v>51</v>
      </c>
      <c r="AP1654" s="4" t="s">
        <v>135</v>
      </c>
      <c r="AQ1654" s="4" t="s">
        <v>53</v>
      </c>
      <c r="AR1654" s="4" t="s">
        <v>6240</v>
      </c>
      <c r="AS1654" s="5">
        <v>5058</v>
      </c>
      <c r="AT1654" t="s">
        <v>47</v>
      </c>
    </row>
    <row r="1655" spans="1:46" ht="26" x14ac:dyDescent="0.3">
      <c r="A1655" s="4" t="s">
        <v>6241</v>
      </c>
      <c r="B1655" t="s">
        <v>47</v>
      </c>
      <c r="C1655" s="4" t="s">
        <v>1036</v>
      </c>
      <c r="D1655" s="4" t="s">
        <v>1037</v>
      </c>
      <c r="E1655" s="4" t="s">
        <v>49</v>
      </c>
      <c r="F1655" s="5" t="s">
        <v>6242</v>
      </c>
      <c r="G1655" t="s">
        <v>47</v>
      </c>
      <c r="H1655" t="s">
        <v>47</v>
      </c>
      <c r="I1655" s="3">
        <v>36069</v>
      </c>
      <c r="J1655" s="3">
        <v>39539</v>
      </c>
      <c r="K1655" t="s">
        <v>47</v>
      </c>
      <c r="L1655" s="5" t="s">
        <v>51</v>
      </c>
      <c r="M1655" s="3">
        <v>36069</v>
      </c>
      <c r="N1655" s="3">
        <v>39539</v>
      </c>
      <c r="O1655" t="s">
        <v>47</v>
      </c>
      <c r="P1655" s="3">
        <v>36069</v>
      </c>
      <c r="Q1655" s="3">
        <v>39539</v>
      </c>
      <c r="R1655" s="5" t="s">
        <v>1475</v>
      </c>
      <c r="S1655" t="s">
        <v>47</v>
      </c>
      <c r="T1655" t="s">
        <v>47</v>
      </c>
      <c r="U1655" t="s">
        <v>47</v>
      </c>
      <c r="V1655" t="s">
        <v>47</v>
      </c>
      <c r="W1655" s="3">
        <v>36069</v>
      </c>
      <c r="X1655" s="3">
        <v>39539</v>
      </c>
      <c r="Y1655" t="s">
        <v>47</v>
      </c>
      <c r="Z1655" s="3">
        <v>36069</v>
      </c>
      <c r="AA1655" s="3">
        <v>39539</v>
      </c>
      <c r="AB1655" t="s">
        <v>47</v>
      </c>
      <c r="AC1655" s="3">
        <v>36069</v>
      </c>
      <c r="AD1655" s="3">
        <v>39539</v>
      </c>
      <c r="AE1655" t="s">
        <v>47</v>
      </c>
      <c r="AF1655" t="s">
        <v>47</v>
      </c>
      <c r="AG1655" t="s">
        <v>47</v>
      </c>
      <c r="AH1655" t="s">
        <v>47</v>
      </c>
      <c r="AI1655" t="s">
        <v>47</v>
      </c>
      <c r="AJ1655" t="s">
        <v>47</v>
      </c>
      <c r="AK1655" t="s">
        <v>47</v>
      </c>
      <c r="AL1655" t="s">
        <v>47</v>
      </c>
      <c r="AM1655" t="s">
        <v>47</v>
      </c>
      <c r="AN1655" t="s">
        <v>47</v>
      </c>
      <c r="AO1655" s="5" t="s">
        <v>51</v>
      </c>
      <c r="AP1655" s="4" t="s">
        <v>135</v>
      </c>
      <c r="AQ1655" s="4" t="s">
        <v>53</v>
      </c>
      <c r="AR1655" s="4" t="s">
        <v>6243</v>
      </c>
      <c r="AS1655" s="5">
        <v>48185</v>
      </c>
      <c r="AT1655" t="s">
        <v>47</v>
      </c>
    </row>
    <row r="1656" spans="1:46" ht="13" x14ac:dyDescent="0.3">
      <c r="A1656" s="4" t="s">
        <v>6244</v>
      </c>
      <c r="B1656" t="s">
        <v>47</v>
      </c>
      <c r="C1656" s="4" t="s">
        <v>6244</v>
      </c>
      <c r="D1656" s="4" t="s">
        <v>3061</v>
      </c>
      <c r="E1656" s="4" t="s">
        <v>49</v>
      </c>
      <c r="F1656" s="5" t="s">
        <v>6245</v>
      </c>
      <c r="G1656" t="s">
        <v>47</v>
      </c>
      <c r="H1656" t="s">
        <v>47</v>
      </c>
      <c r="I1656" s="3">
        <v>35156</v>
      </c>
      <c r="J1656" s="3">
        <v>35521</v>
      </c>
      <c r="K1656" t="s">
        <v>47</v>
      </c>
      <c r="L1656" s="5" t="s">
        <v>60</v>
      </c>
      <c r="M1656" s="3">
        <v>35156</v>
      </c>
      <c r="N1656" s="3">
        <v>35521</v>
      </c>
      <c r="O1656" t="s">
        <v>47</v>
      </c>
      <c r="P1656" s="3">
        <v>35156</v>
      </c>
      <c r="Q1656" s="3">
        <v>35521</v>
      </c>
      <c r="R1656" t="s">
        <v>47</v>
      </c>
      <c r="S1656" t="s">
        <v>47</v>
      </c>
      <c r="T1656" t="s">
        <v>47</v>
      </c>
      <c r="U1656" t="s">
        <v>47</v>
      </c>
      <c r="V1656" t="s">
        <v>47</v>
      </c>
      <c r="W1656" s="3">
        <v>35156</v>
      </c>
      <c r="X1656" s="3">
        <v>35521</v>
      </c>
      <c r="Y1656" t="s">
        <v>47</v>
      </c>
      <c r="Z1656" s="3">
        <v>35156</v>
      </c>
      <c r="AA1656" s="3">
        <v>35521</v>
      </c>
      <c r="AB1656" t="s">
        <v>47</v>
      </c>
      <c r="AC1656" s="3">
        <v>35156</v>
      </c>
      <c r="AD1656" s="3">
        <v>35521</v>
      </c>
      <c r="AE1656" t="s">
        <v>47</v>
      </c>
      <c r="AF1656" t="s">
        <v>47</v>
      </c>
      <c r="AG1656" t="s">
        <v>47</v>
      </c>
      <c r="AH1656" t="s">
        <v>47</v>
      </c>
      <c r="AI1656" t="s">
        <v>47</v>
      </c>
      <c r="AJ1656" t="s">
        <v>47</v>
      </c>
      <c r="AK1656" t="s">
        <v>47</v>
      </c>
      <c r="AL1656" t="s">
        <v>47</v>
      </c>
      <c r="AM1656" t="s">
        <v>47</v>
      </c>
      <c r="AN1656" t="s">
        <v>47</v>
      </c>
      <c r="AO1656" s="5" t="s">
        <v>60</v>
      </c>
      <c r="AP1656" s="4" t="s">
        <v>61</v>
      </c>
      <c r="AQ1656" s="4" t="s">
        <v>53</v>
      </c>
      <c r="AR1656" s="4" t="s">
        <v>54</v>
      </c>
      <c r="AS1656" s="5">
        <v>31279</v>
      </c>
      <c r="AT1656" t="s">
        <v>47</v>
      </c>
    </row>
    <row r="1657" spans="1:46" ht="39" x14ac:dyDescent="0.3">
      <c r="A1657" s="4" t="s">
        <v>6246</v>
      </c>
      <c r="B1657" t="s">
        <v>47</v>
      </c>
      <c r="C1657" s="4" t="s">
        <v>183</v>
      </c>
      <c r="D1657" s="4" t="s">
        <v>333</v>
      </c>
      <c r="E1657" s="4" t="s">
        <v>49</v>
      </c>
      <c r="F1657" s="5" t="s">
        <v>6247</v>
      </c>
      <c r="G1657" s="5" t="s">
        <v>6248</v>
      </c>
      <c r="H1657" t="s">
        <v>47</v>
      </c>
      <c r="I1657" t="s">
        <v>47</v>
      </c>
      <c r="J1657" t="s">
        <v>47</v>
      </c>
      <c r="K1657" t="s">
        <v>47</v>
      </c>
      <c r="L1657" s="5" t="s">
        <v>60</v>
      </c>
      <c r="M1657" t="s">
        <v>47</v>
      </c>
      <c r="N1657" t="s">
        <v>47</v>
      </c>
      <c r="O1657" t="s">
        <v>47</v>
      </c>
      <c r="P1657" t="s">
        <v>47</v>
      </c>
      <c r="Q1657" t="s">
        <v>47</v>
      </c>
      <c r="R1657" t="s">
        <v>47</v>
      </c>
      <c r="S1657" t="s">
        <v>47</v>
      </c>
      <c r="T1657" t="s">
        <v>47</v>
      </c>
      <c r="U1657" t="s">
        <v>47</v>
      </c>
      <c r="V1657" t="s">
        <v>47</v>
      </c>
      <c r="W1657" s="3">
        <v>35065</v>
      </c>
      <c r="X1657" s="5" t="s">
        <v>50</v>
      </c>
      <c r="Y1657" t="s">
        <v>47</v>
      </c>
      <c r="Z1657" s="3">
        <v>35065</v>
      </c>
      <c r="AA1657" s="5" t="s">
        <v>50</v>
      </c>
      <c r="AB1657" t="s">
        <v>47</v>
      </c>
      <c r="AC1657" s="3">
        <v>35065</v>
      </c>
      <c r="AD1657" s="5" t="s">
        <v>50</v>
      </c>
      <c r="AE1657" t="s">
        <v>47</v>
      </c>
      <c r="AF1657" t="s">
        <v>47</v>
      </c>
      <c r="AG1657" t="s">
        <v>47</v>
      </c>
      <c r="AH1657" t="s">
        <v>47</v>
      </c>
      <c r="AI1657" t="s">
        <v>47</v>
      </c>
      <c r="AJ1657" t="s">
        <v>47</v>
      </c>
      <c r="AK1657" t="s">
        <v>47</v>
      </c>
      <c r="AL1657" t="s">
        <v>47</v>
      </c>
      <c r="AM1657" t="s">
        <v>47</v>
      </c>
      <c r="AN1657" t="s">
        <v>47</v>
      </c>
      <c r="AO1657" s="5" t="s">
        <v>60</v>
      </c>
      <c r="AP1657" s="4" t="s">
        <v>61</v>
      </c>
      <c r="AQ1657" s="4" t="s">
        <v>53</v>
      </c>
      <c r="AR1657" s="4" t="s">
        <v>6249</v>
      </c>
      <c r="AS1657" s="5">
        <v>30465</v>
      </c>
      <c r="AT1657" t="s">
        <v>47</v>
      </c>
    </row>
    <row r="1658" spans="1:46" ht="26" x14ac:dyDescent="0.3">
      <c r="A1658" s="4" t="s">
        <v>6250</v>
      </c>
      <c r="B1658" t="s">
        <v>47</v>
      </c>
      <c r="C1658" s="4" t="s">
        <v>5950</v>
      </c>
      <c r="D1658" s="4" t="s">
        <v>88</v>
      </c>
      <c r="E1658" s="4" t="s">
        <v>49</v>
      </c>
      <c r="F1658" s="5" t="s">
        <v>6251</v>
      </c>
      <c r="G1658" s="5" t="s">
        <v>6252</v>
      </c>
      <c r="H1658" t="s">
        <v>47</v>
      </c>
      <c r="I1658" s="3">
        <v>37987</v>
      </c>
      <c r="J1658" s="5" t="s">
        <v>50</v>
      </c>
      <c r="K1658" t="s">
        <v>47</v>
      </c>
      <c r="L1658" s="5" t="s">
        <v>60</v>
      </c>
      <c r="M1658" s="3">
        <v>37987</v>
      </c>
      <c r="N1658" s="5" t="s">
        <v>50</v>
      </c>
      <c r="O1658" t="s">
        <v>47</v>
      </c>
      <c r="P1658" s="3">
        <v>37987</v>
      </c>
      <c r="Q1658" s="5" t="s">
        <v>50</v>
      </c>
      <c r="R1658" t="s">
        <v>47</v>
      </c>
      <c r="S1658" t="s">
        <v>47</v>
      </c>
      <c r="T1658" t="s">
        <v>47</v>
      </c>
      <c r="U1658" t="s">
        <v>47</v>
      </c>
      <c r="V1658" t="s">
        <v>47</v>
      </c>
      <c r="W1658" s="3">
        <v>37987</v>
      </c>
      <c r="X1658" s="5" t="s">
        <v>50</v>
      </c>
      <c r="Y1658" t="s">
        <v>47</v>
      </c>
      <c r="Z1658" s="3">
        <v>37987</v>
      </c>
      <c r="AA1658" s="5" t="s">
        <v>50</v>
      </c>
      <c r="AB1658" t="s">
        <v>47</v>
      </c>
      <c r="AC1658" s="3">
        <v>37987</v>
      </c>
      <c r="AD1658" s="5" t="s">
        <v>50</v>
      </c>
      <c r="AE1658" t="s">
        <v>47</v>
      </c>
      <c r="AF1658" t="s">
        <v>47</v>
      </c>
      <c r="AG1658" t="s">
        <v>47</v>
      </c>
      <c r="AH1658" t="s">
        <v>47</v>
      </c>
      <c r="AI1658" t="s">
        <v>47</v>
      </c>
      <c r="AJ1658" t="s">
        <v>47</v>
      </c>
      <c r="AK1658" t="s">
        <v>47</v>
      </c>
      <c r="AL1658" t="s">
        <v>47</v>
      </c>
      <c r="AM1658" t="s">
        <v>47</v>
      </c>
      <c r="AN1658" t="s">
        <v>47</v>
      </c>
      <c r="AO1658" s="5" t="s">
        <v>60</v>
      </c>
      <c r="AP1658" s="4" t="s">
        <v>61</v>
      </c>
      <c r="AQ1658" s="4" t="s">
        <v>53</v>
      </c>
      <c r="AR1658" s="4" t="s">
        <v>54</v>
      </c>
      <c r="AS1658" s="5">
        <v>27755</v>
      </c>
      <c r="AT1658" t="s">
        <v>47</v>
      </c>
    </row>
    <row r="1659" spans="1:46" ht="26" x14ac:dyDescent="0.3">
      <c r="A1659" s="4" t="s">
        <v>6253</v>
      </c>
      <c r="B1659" t="s">
        <v>47</v>
      </c>
      <c r="C1659" s="4" t="s">
        <v>1453</v>
      </c>
      <c r="D1659" s="4" t="s">
        <v>1990</v>
      </c>
      <c r="E1659" s="4" t="s">
        <v>701</v>
      </c>
      <c r="F1659" s="5" t="s">
        <v>6254</v>
      </c>
      <c r="G1659" s="5" t="s">
        <v>6255</v>
      </c>
      <c r="H1659" t="s">
        <v>47</v>
      </c>
      <c r="I1659" s="3">
        <v>42186</v>
      </c>
      <c r="J1659" s="5" t="s">
        <v>50</v>
      </c>
      <c r="K1659" t="s">
        <v>47</v>
      </c>
      <c r="L1659" s="5" t="s">
        <v>60</v>
      </c>
      <c r="M1659" t="s">
        <v>47</v>
      </c>
      <c r="N1659" t="s">
        <v>47</v>
      </c>
      <c r="O1659" t="s">
        <v>47</v>
      </c>
      <c r="P1659" s="3">
        <v>42186</v>
      </c>
      <c r="Q1659" s="5" t="s">
        <v>50</v>
      </c>
      <c r="R1659" t="s">
        <v>47</v>
      </c>
      <c r="S1659" t="s">
        <v>47</v>
      </c>
      <c r="T1659" t="s">
        <v>47</v>
      </c>
      <c r="U1659" t="s">
        <v>47</v>
      </c>
      <c r="V1659" t="s">
        <v>47</v>
      </c>
      <c r="W1659" s="3">
        <v>42186</v>
      </c>
      <c r="X1659" s="5" t="s">
        <v>50</v>
      </c>
      <c r="Y1659" t="s">
        <v>47</v>
      </c>
      <c r="Z1659" s="3">
        <v>42186</v>
      </c>
      <c r="AA1659" s="5" t="s">
        <v>50</v>
      </c>
      <c r="AB1659" t="s">
        <v>47</v>
      </c>
      <c r="AC1659" s="3">
        <v>42186</v>
      </c>
      <c r="AD1659" s="5" t="s">
        <v>50</v>
      </c>
      <c r="AE1659" t="s">
        <v>47</v>
      </c>
      <c r="AF1659" t="s">
        <v>47</v>
      </c>
      <c r="AG1659" t="s">
        <v>47</v>
      </c>
      <c r="AH1659" t="s">
        <v>47</v>
      </c>
      <c r="AI1659" t="s">
        <v>47</v>
      </c>
      <c r="AJ1659" t="s">
        <v>47</v>
      </c>
      <c r="AK1659" t="s">
        <v>47</v>
      </c>
      <c r="AL1659" t="s">
        <v>47</v>
      </c>
      <c r="AM1659" t="s">
        <v>47</v>
      </c>
      <c r="AN1659" t="s">
        <v>47</v>
      </c>
      <c r="AO1659" s="5" t="s">
        <v>60</v>
      </c>
      <c r="AP1659" s="4" t="s">
        <v>61</v>
      </c>
      <c r="AQ1659" s="4" t="s">
        <v>4832</v>
      </c>
      <c r="AR1659" s="4" t="s">
        <v>6032</v>
      </c>
      <c r="AS1659" s="5">
        <v>2043491</v>
      </c>
      <c r="AT1659" t="s">
        <v>47</v>
      </c>
    </row>
    <row r="1660" spans="1:46" ht="78" x14ac:dyDescent="0.3">
      <c r="A1660" s="4" t="s">
        <v>6256</v>
      </c>
      <c r="B1660" t="s">
        <v>47</v>
      </c>
      <c r="C1660" s="4" t="s">
        <v>183</v>
      </c>
      <c r="D1660" s="4" t="s">
        <v>333</v>
      </c>
      <c r="E1660" s="4" t="s">
        <v>49</v>
      </c>
      <c r="F1660" s="5" t="s">
        <v>6257</v>
      </c>
      <c r="G1660" s="5" t="s">
        <v>6258</v>
      </c>
      <c r="H1660" t="s">
        <v>47</v>
      </c>
      <c r="I1660" t="s">
        <v>47</v>
      </c>
      <c r="J1660" t="s">
        <v>47</v>
      </c>
      <c r="K1660" t="s">
        <v>47</v>
      </c>
      <c r="L1660" s="5" t="s">
        <v>60</v>
      </c>
      <c r="M1660" t="s">
        <v>47</v>
      </c>
      <c r="N1660" t="s">
        <v>47</v>
      </c>
      <c r="O1660" t="s">
        <v>47</v>
      </c>
      <c r="P1660" t="s">
        <v>47</v>
      </c>
      <c r="Q1660" t="s">
        <v>47</v>
      </c>
      <c r="R1660" t="s">
        <v>47</v>
      </c>
      <c r="S1660" t="s">
        <v>47</v>
      </c>
      <c r="T1660" t="s">
        <v>47</v>
      </c>
      <c r="U1660" t="s">
        <v>47</v>
      </c>
      <c r="V1660" t="s">
        <v>47</v>
      </c>
      <c r="W1660" s="3">
        <v>32568</v>
      </c>
      <c r="X1660" s="5" t="s">
        <v>50</v>
      </c>
      <c r="Y1660" t="s">
        <v>47</v>
      </c>
      <c r="Z1660" s="3">
        <v>32568</v>
      </c>
      <c r="AA1660" s="5" t="s">
        <v>50</v>
      </c>
      <c r="AB1660" t="s">
        <v>47</v>
      </c>
      <c r="AC1660" s="3">
        <v>32568</v>
      </c>
      <c r="AD1660" s="5" t="s">
        <v>50</v>
      </c>
      <c r="AE1660" t="s">
        <v>47</v>
      </c>
      <c r="AF1660" t="s">
        <v>47</v>
      </c>
      <c r="AG1660" t="s">
        <v>47</v>
      </c>
      <c r="AH1660" t="s">
        <v>47</v>
      </c>
      <c r="AI1660" t="s">
        <v>47</v>
      </c>
      <c r="AJ1660" t="s">
        <v>47</v>
      </c>
      <c r="AK1660" t="s">
        <v>47</v>
      </c>
      <c r="AL1660" t="s">
        <v>47</v>
      </c>
      <c r="AM1660" t="s">
        <v>47</v>
      </c>
      <c r="AN1660" t="s">
        <v>47</v>
      </c>
      <c r="AO1660" s="5" t="s">
        <v>60</v>
      </c>
      <c r="AP1660" s="4" t="s">
        <v>61</v>
      </c>
      <c r="AQ1660" s="4" t="s">
        <v>53</v>
      </c>
      <c r="AR1660" s="4" t="s">
        <v>6259</v>
      </c>
      <c r="AS1660" s="5">
        <v>48994</v>
      </c>
      <c r="AT1660" t="s">
        <v>47</v>
      </c>
    </row>
    <row r="1661" spans="1:46" ht="78" x14ac:dyDescent="0.3">
      <c r="A1661" s="4" t="s">
        <v>6260</v>
      </c>
      <c r="B1661" t="s">
        <v>47</v>
      </c>
      <c r="C1661" s="4" t="s">
        <v>122</v>
      </c>
      <c r="D1661" s="4" t="s">
        <v>575</v>
      </c>
      <c r="E1661" s="4" t="s">
        <v>123</v>
      </c>
      <c r="F1661" s="5" t="s">
        <v>6261</v>
      </c>
      <c r="G1661" s="5" t="s">
        <v>6262</v>
      </c>
      <c r="H1661" t="s">
        <v>47</v>
      </c>
      <c r="I1661" s="3">
        <v>35462</v>
      </c>
      <c r="J1661" s="5" t="s">
        <v>50</v>
      </c>
      <c r="K1661" t="s">
        <v>47</v>
      </c>
      <c r="L1661" s="5" t="s">
        <v>60</v>
      </c>
      <c r="M1661" s="3">
        <v>38687</v>
      </c>
      <c r="N1661" s="5" t="s">
        <v>50</v>
      </c>
      <c r="O1661" t="s">
        <v>47</v>
      </c>
      <c r="P1661" s="3">
        <v>35462</v>
      </c>
      <c r="Q1661" s="5" t="s">
        <v>50</v>
      </c>
      <c r="R1661" t="s">
        <v>47</v>
      </c>
      <c r="S1661" t="s">
        <v>47</v>
      </c>
      <c r="T1661" t="s">
        <v>47</v>
      </c>
      <c r="U1661" t="s">
        <v>47</v>
      </c>
      <c r="V1661" s="5">
        <v>365</v>
      </c>
      <c r="W1661" s="3">
        <v>35462</v>
      </c>
      <c r="X1661" s="5" t="s">
        <v>50</v>
      </c>
      <c r="Y1661" t="s">
        <v>47</v>
      </c>
      <c r="Z1661" s="3">
        <v>35462</v>
      </c>
      <c r="AA1661" s="5" t="s">
        <v>50</v>
      </c>
      <c r="AB1661" t="s">
        <v>47</v>
      </c>
      <c r="AC1661" s="3">
        <v>35462</v>
      </c>
      <c r="AD1661" s="5" t="s">
        <v>50</v>
      </c>
      <c r="AE1661" t="s">
        <v>47</v>
      </c>
      <c r="AF1661" t="s">
        <v>47</v>
      </c>
      <c r="AG1661" t="s">
        <v>47</v>
      </c>
      <c r="AH1661" t="s">
        <v>47</v>
      </c>
      <c r="AI1661" t="s">
        <v>47</v>
      </c>
      <c r="AJ1661" t="s">
        <v>47</v>
      </c>
      <c r="AK1661" t="s">
        <v>47</v>
      </c>
      <c r="AL1661" t="s">
        <v>47</v>
      </c>
      <c r="AM1661" t="s">
        <v>47</v>
      </c>
      <c r="AN1661" t="s">
        <v>47</v>
      </c>
      <c r="AO1661" s="5" t="s">
        <v>60</v>
      </c>
      <c r="AP1661" s="4" t="s">
        <v>61</v>
      </c>
      <c r="AQ1661" s="4" t="s">
        <v>1519</v>
      </c>
      <c r="AR1661" s="4" t="s">
        <v>512</v>
      </c>
      <c r="AS1661" s="5">
        <v>6623256</v>
      </c>
      <c r="AT1661" t="s">
        <v>47</v>
      </c>
    </row>
    <row r="1662" spans="1:46" ht="39" x14ac:dyDescent="0.3">
      <c r="A1662" s="4" t="s">
        <v>6263</v>
      </c>
      <c r="B1662" t="s">
        <v>47</v>
      </c>
      <c r="C1662" s="4" t="s">
        <v>1516</v>
      </c>
      <c r="D1662" s="4" t="s">
        <v>1517</v>
      </c>
      <c r="E1662" s="4" t="s">
        <v>723</v>
      </c>
      <c r="F1662" s="5" t="s">
        <v>6264</v>
      </c>
      <c r="G1662" t="s">
        <v>47</v>
      </c>
      <c r="H1662" t="s">
        <v>47</v>
      </c>
      <c r="I1662" s="3">
        <v>41183</v>
      </c>
      <c r="J1662" s="5" t="s">
        <v>50</v>
      </c>
      <c r="K1662" t="s">
        <v>47</v>
      </c>
      <c r="L1662" s="5" t="s">
        <v>60</v>
      </c>
      <c r="M1662" s="3">
        <v>41183</v>
      </c>
      <c r="N1662" s="5" t="s">
        <v>50</v>
      </c>
      <c r="O1662" t="s">
        <v>47</v>
      </c>
      <c r="P1662" s="3">
        <v>41183</v>
      </c>
      <c r="Q1662" s="5" t="s">
        <v>50</v>
      </c>
      <c r="R1662" t="s">
        <v>47</v>
      </c>
      <c r="S1662" t="s">
        <v>47</v>
      </c>
      <c r="T1662" t="s">
        <v>47</v>
      </c>
      <c r="U1662" t="s">
        <v>47</v>
      </c>
      <c r="V1662" t="s">
        <v>47</v>
      </c>
      <c r="W1662" s="3">
        <v>41183</v>
      </c>
      <c r="X1662" s="5" t="s">
        <v>50</v>
      </c>
      <c r="Y1662" t="s">
        <v>47</v>
      </c>
      <c r="Z1662" s="3">
        <v>41183</v>
      </c>
      <c r="AA1662" s="5" t="s">
        <v>50</v>
      </c>
      <c r="AB1662" t="s">
        <v>47</v>
      </c>
      <c r="AC1662" s="3">
        <v>41183</v>
      </c>
      <c r="AD1662" s="5" t="s">
        <v>50</v>
      </c>
      <c r="AE1662" t="s">
        <v>47</v>
      </c>
      <c r="AF1662" t="s">
        <v>47</v>
      </c>
      <c r="AG1662" t="s">
        <v>47</v>
      </c>
      <c r="AH1662" t="s">
        <v>47</v>
      </c>
      <c r="AI1662" t="s">
        <v>47</v>
      </c>
      <c r="AJ1662" t="s">
        <v>47</v>
      </c>
      <c r="AK1662" t="s">
        <v>47</v>
      </c>
      <c r="AL1662" t="s">
        <v>47</v>
      </c>
      <c r="AM1662" t="s">
        <v>47</v>
      </c>
      <c r="AN1662" t="s">
        <v>47</v>
      </c>
      <c r="AO1662" s="5" t="s">
        <v>51</v>
      </c>
      <c r="AP1662" s="4" t="s">
        <v>61</v>
      </c>
      <c r="AQ1662" s="4" t="s">
        <v>1519</v>
      </c>
      <c r="AR1662" s="4" t="s">
        <v>54</v>
      </c>
      <c r="AS1662" s="5">
        <v>1656335</v>
      </c>
      <c r="AT1662" t="s">
        <v>47</v>
      </c>
    </row>
    <row r="1663" spans="1:46" ht="65" x14ac:dyDescent="0.3">
      <c r="A1663" s="4" t="s">
        <v>6265</v>
      </c>
      <c r="B1663" t="s">
        <v>47</v>
      </c>
      <c r="C1663" s="4" t="s">
        <v>6266</v>
      </c>
      <c r="D1663" s="4" t="s">
        <v>2841</v>
      </c>
      <c r="E1663" s="4" t="s">
        <v>723</v>
      </c>
      <c r="F1663" t="s">
        <v>47</v>
      </c>
      <c r="G1663" t="s">
        <v>47</v>
      </c>
      <c r="H1663" t="s">
        <v>47</v>
      </c>
      <c r="I1663" t="s">
        <v>47</v>
      </c>
      <c r="J1663" t="s">
        <v>47</v>
      </c>
      <c r="K1663" t="s">
        <v>47</v>
      </c>
      <c r="L1663" s="5" t="s">
        <v>51</v>
      </c>
      <c r="M1663" t="s">
        <v>47</v>
      </c>
      <c r="N1663" t="s">
        <v>47</v>
      </c>
      <c r="O1663" t="s">
        <v>47</v>
      </c>
      <c r="P1663" t="s">
        <v>47</v>
      </c>
      <c r="Q1663" t="s">
        <v>47</v>
      </c>
      <c r="R1663" t="s">
        <v>47</v>
      </c>
      <c r="S1663" t="s">
        <v>47</v>
      </c>
      <c r="T1663" t="s">
        <v>47</v>
      </c>
      <c r="U1663" t="s">
        <v>47</v>
      </c>
      <c r="V1663" t="s">
        <v>47</v>
      </c>
      <c r="W1663" s="3">
        <v>39785</v>
      </c>
      <c r="X1663" s="3">
        <v>41359</v>
      </c>
      <c r="Y1663" t="s">
        <v>47</v>
      </c>
      <c r="Z1663" s="3">
        <v>39785</v>
      </c>
      <c r="AA1663" s="3">
        <v>41359</v>
      </c>
      <c r="AB1663" t="s">
        <v>47</v>
      </c>
      <c r="AC1663" t="s">
        <v>47</v>
      </c>
      <c r="AD1663" t="s">
        <v>47</v>
      </c>
      <c r="AE1663" t="s">
        <v>47</v>
      </c>
      <c r="AF1663" t="s">
        <v>47</v>
      </c>
      <c r="AG1663" t="s">
        <v>47</v>
      </c>
      <c r="AH1663" t="s">
        <v>47</v>
      </c>
      <c r="AI1663" t="s">
        <v>47</v>
      </c>
      <c r="AJ1663" t="s">
        <v>47</v>
      </c>
      <c r="AK1663" t="s">
        <v>47</v>
      </c>
      <c r="AL1663" t="s">
        <v>47</v>
      </c>
      <c r="AM1663" t="s">
        <v>47</v>
      </c>
      <c r="AN1663" t="s">
        <v>47</v>
      </c>
      <c r="AO1663" s="5" t="s">
        <v>51</v>
      </c>
      <c r="AP1663" s="4" t="s">
        <v>1421</v>
      </c>
      <c r="AQ1663" s="4" t="s">
        <v>1519</v>
      </c>
      <c r="AR1663" s="4" t="s">
        <v>6267</v>
      </c>
      <c r="AS1663" s="5">
        <v>54232</v>
      </c>
      <c r="AT1663" t="s">
        <v>47</v>
      </c>
    </row>
    <row r="1664" spans="1:46" ht="39" x14ac:dyDescent="0.3">
      <c r="A1664" s="4" t="s">
        <v>6268</v>
      </c>
      <c r="B1664" t="s">
        <v>47</v>
      </c>
      <c r="C1664" s="4" t="s">
        <v>122</v>
      </c>
      <c r="D1664" s="4" t="s">
        <v>575</v>
      </c>
      <c r="E1664" s="4" t="s">
        <v>123</v>
      </c>
      <c r="F1664" s="5" t="s">
        <v>6269</v>
      </c>
      <c r="G1664" s="5" t="s">
        <v>6270</v>
      </c>
      <c r="H1664" t="s">
        <v>47</v>
      </c>
      <c r="I1664" s="3">
        <v>42095</v>
      </c>
      <c r="J1664" s="5" t="s">
        <v>50</v>
      </c>
      <c r="K1664" t="s">
        <v>47</v>
      </c>
      <c r="L1664" s="5" t="s">
        <v>60</v>
      </c>
      <c r="M1664" t="s">
        <v>47</v>
      </c>
      <c r="N1664" t="s">
        <v>47</v>
      </c>
      <c r="O1664" t="s">
        <v>47</v>
      </c>
      <c r="P1664" s="3">
        <v>42095</v>
      </c>
      <c r="Q1664" s="5" t="s">
        <v>50</v>
      </c>
      <c r="R1664" t="s">
        <v>47</v>
      </c>
      <c r="S1664" t="s">
        <v>47</v>
      </c>
      <c r="T1664" t="s">
        <v>47</v>
      </c>
      <c r="U1664" t="s">
        <v>47</v>
      </c>
      <c r="V1664" t="s">
        <v>47</v>
      </c>
      <c r="W1664" s="3">
        <v>42095</v>
      </c>
      <c r="X1664" s="5" t="s">
        <v>50</v>
      </c>
      <c r="Y1664" t="s">
        <v>47</v>
      </c>
      <c r="Z1664" s="3">
        <v>42095</v>
      </c>
      <c r="AA1664" s="5" t="s">
        <v>50</v>
      </c>
      <c r="AB1664" t="s">
        <v>47</v>
      </c>
      <c r="AC1664" s="3">
        <v>42095</v>
      </c>
      <c r="AD1664" s="5" t="s">
        <v>50</v>
      </c>
      <c r="AE1664" t="s">
        <v>47</v>
      </c>
      <c r="AF1664" t="s">
        <v>47</v>
      </c>
      <c r="AG1664" t="s">
        <v>47</v>
      </c>
      <c r="AH1664" t="s">
        <v>47</v>
      </c>
      <c r="AI1664" t="s">
        <v>47</v>
      </c>
      <c r="AJ1664" t="s">
        <v>47</v>
      </c>
      <c r="AK1664" t="s">
        <v>47</v>
      </c>
      <c r="AL1664" t="s">
        <v>47</v>
      </c>
      <c r="AM1664" t="s">
        <v>47</v>
      </c>
      <c r="AN1664" t="s">
        <v>47</v>
      </c>
      <c r="AO1664" s="5" t="s">
        <v>60</v>
      </c>
      <c r="AP1664" s="4" t="s">
        <v>61</v>
      </c>
      <c r="AQ1664" s="4" t="s">
        <v>726</v>
      </c>
      <c r="AR1664" s="4" t="s">
        <v>62</v>
      </c>
      <c r="AS1664" s="5">
        <v>4402909</v>
      </c>
      <c r="AT1664" t="s">
        <v>47</v>
      </c>
    </row>
    <row r="1665" spans="1:46" ht="13" x14ac:dyDescent="0.3">
      <c r="A1665" s="4" t="s">
        <v>6271</v>
      </c>
      <c r="B1665" t="s">
        <v>47</v>
      </c>
      <c r="C1665" s="4" t="s">
        <v>122</v>
      </c>
      <c r="D1665" s="4" t="s">
        <v>575</v>
      </c>
      <c r="E1665" s="4" t="s">
        <v>123</v>
      </c>
      <c r="F1665" s="5" t="s">
        <v>6272</v>
      </c>
      <c r="G1665" s="5" t="s">
        <v>6273</v>
      </c>
      <c r="H1665" t="s">
        <v>47</v>
      </c>
      <c r="I1665" t="s">
        <v>47</v>
      </c>
      <c r="J1665" t="s">
        <v>47</v>
      </c>
      <c r="K1665" t="s">
        <v>47</v>
      </c>
      <c r="L1665" s="5" t="s">
        <v>60</v>
      </c>
      <c r="M1665" t="s">
        <v>47</v>
      </c>
      <c r="N1665" t="s">
        <v>47</v>
      </c>
      <c r="O1665" t="s">
        <v>47</v>
      </c>
      <c r="P1665" t="s">
        <v>47</v>
      </c>
      <c r="Q1665" t="s">
        <v>47</v>
      </c>
      <c r="R1665" t="s">
        <v>47</v>
      </c>
      <c r="S1665" t="s">
        <v>47</v>
      </c>
      <c r="T1665" t="s">
        <v>47</v>
      </c>
      <c r="U1665" t="s">
        <v>47</v>
      </c>
      <c r="V1665" t="s">
        <v>47</v>
      </c>
      <c r="W1665" s="3">
        <v>42370</v>
      </c>
      <c r="X1665" s="5" t="s">
        <v>50</v>
      </c>
      <c r="Y1665" t="s">
        <v>47</v>
      </c>
      <c r="Z1665" s="3">
        <v>42370</v>
      </c>
      <c r="AA1665" s="5" t="s">
        <v>50</v>
      </c>
      <c r="AB1665" t="s">
        <v>47</v>
      </c>
      <c r="AC1665" s="3">
        <v>42370</v>
      </c>
      <c r="AD1665" s="5" t="s">
        <v>50</v>
      </c>
      <c r="AE1665" t="s">
        <v>47</v>
      </c>
      <c r="AF1665" t="s">
        <v>47</v>
      </c>
      <c r="AG1665" t="s">
        <v>47</v>
      </c>
      <c r="AH1665" t="s">
        <v>47</v>
      </c>
      <c r="AI1665" t="s">
        <v>47</v>
      </c>
      <c r="AJ1665" t="s">
        <v>47</v>
      </c>
      <c r="AK1665" t="s">
        <v>47</v>
      </c>
      <c r="AL1665" t="s">
        <v>47</v>
      </c>
      <c r="AM1665" t="s">
        <v>47</v>
      </c>
      <c r="AN1665" t="s">
        <v>47</v>
      </c>
      <c r="AO1665" s="5" t="s">
        <v>60</v>
      </c>
      <c r="AP1665" s="4" t="s">
        <v>61</v>
      </c>
      <c r="AQ1665" s="4" t="s">
        <v>1519</v>
      </c>
      <c r="AR1665" s="4" t="s">
        <v>54</v>
      </c>
      <c r="AS1665" s="5">
        <v>2044089</v>
      </c>
      <c r="AT1665" t="s">
        <v>47</v>
      </c>
    </row>
    <row r="1666" spans="1:46" ht="13" x14ac:dyDescent="0.3">
      <c r="A1666" s="4" t="s">
        <v>6274</v>
      </c>
      <c r="B1666" t="s">
        <v>47</v>
      </c>
      <c r="C1666" s="4" t="s">
        <v>1516</v>
      </c>
      <c r="D1666" s="4" t="s">
        <v>1517</v>
      </c>
      <c r="E1666" s="4" t="s">
        <v>723</v>
      </c>
      <c r="F1666" s="5" t="s">
        <v>6275</v>
      </c>
      <c r="G1666" t="s">
        <v>47</v>
      </c>
      <c r="H1666" t="s">
        <v>47</v>
      </c>
      <c r="I1666" s="3">
        <v>40817</v>
      </c>
      <c r="J1666" s="5" t="s">
        <v>50</v>
      </c>
      <c r="K1666" t="s">
        <v>47</v>
      </c>
      <c r="L1666" s="5" t="s">
        <v>60</v>
      </c>
      <c r="M1666" s="3">
        <v>40817</v>
      </c>
      <c r="N1666" s="5" t="s">
        <v>50</v>
      </c>
      <c r="O1666" t="s">
        <v>47</v>
      </c>
      <c r="P1666" s="3">
        <v>40817</v>
      </c>
      <c r="Q1666" s="5" t="s">
        <v>50</v>
      </c>
      <c r="R1666" t="s">
        <v>47</v>
      </c>
      <c r="S1666" t="s">
        <v>47</v>
      </c>
      <c r="T1666" t="s">
        <v>47</v>
      </c>
      <c r="U1666" t="s">
        <v>47</v>
      </c>
      <c r="V1666" t="s">
        <v>47</v>
      </c>
      <c r="W1666" s="3">
        <v>40817</v>
      </c>
      <c r="X1666" s="5" t="s">
        <v>50</v>
      </c>
      <c r="Y1666" t="s">
        <v>47</v>
      </c>
      <c r="Z1666" s="3">
        <v>40817</v>
      </c>
      <c r="AA1666" s="5" t="s">
        <v>50</v>
      </c>
      <c r="AB1666" t="s">
        <v>47</v>
      </c>
      <c r="AC1666" s="3">
        <v>40817</v>
      </c>
      <c r="AD1666" s="5" t="s">
        <v>50</v>
      </c>
      <c r="AE1666" t="s">
        <v>47</v>
      </c>
      <c r="AF1666" t="s">
        <v>47</v>
      </c>
      <c r="AG1666" t="s">
        <v>47</v>
      </c>
      <c r="AH1666" t="s">
        <v>47</v>
      </c>
      <c r="AI1666" t="s">
        <v>47</v>
      </c>
      <c r="AJ1666" t="s">
        <v>47</v>
      </c>
      <c r="AK1666" t="s">
        <v>47</v>
      </c>
      <c r="AL1666" t="s">
        <v>47</v>
      </c>
      <c r="AM1666" t="s">
        <v>47</v>
      </c>
      <c r="AN1666" t="s">
        <v>47</v>
      </c>
      <c r="AO1666" s="5" t="s">
        <v>60</v>
      </c>
      <c r="AP1666" s="4" t="s">
        <v>61</v>
      </c>
      <c r="AQ1666" s="4" t="s">
        <v>1519</v>
      </c>
      <c r="AR1666" s="4" t="s">
        <v>483</v>
      </c>
      <c r="AS1666" s="5">
        <v>1066345</v>
      </c>
      <c r="AT1666" t="s">
        <v>47</v>
      </c>
    </row>
    <row r="1667" spans="1:46" ht="26" x14ac:dyDescent="0.3">
      <c r="A1667" s="4" t="s">
        <v>6276</v>
      </c>
      <c r="B1667" t="s">
        <v>47</v>
      </c>
      <c r="C1667" s="4" t="s">
        <v>6277</v>
      </c>
      <c r="D1667" s="4" t="s">
        <v>6278</v>
      </c>
      <c r="E1667" s="4" t="s">
        <v>1448</v>
      </c>
      <c r="F1667" s="5" t="s">
        <v>6279</v>
      </c>
      <c r="G1667" s="5" t="s">
        <v>6280</v>
      </c>
      <c r="H1667" t="s">
        <v>47</v>
      </c>
      <c r="I1667" s="3">
        <v>36526</v>
      </c>
      <c r="J1667" s="5" t="s">
        <v>50</v>
      </c>
      <c r="K1667" t="s">
        <v>47</v>
      </c>
      <c r="L1667" s="5" t="s">
        <v>60</v>
      </c>
      <c r="M1667" t="s">
        <v>47</v>
      </c>
      <c r="N1667" t="s">
        <v>47</v>
      </c>
      <c r="O1667" t="s">
        <v>47</v>
      </c>
      <c r="P1667" s="3">
        <v>36526</v>
      </c>
      <c r="Q1667" s="5" t="s">
        <v>50</v>
      </c>
      <c r="R1667" t="s">
        <v>47</v>
      </c>
      <c r="S1667" t="s">
        <v>47</v>
      </c>
      <c r="T1667" t="s">
        <v>47</v>
      </c>
      <c r="U1667" t="s">
        <v>47</v>
      </c>
      <c r="V1667" t="s">
        <v>47</v>
      </c>
      <c r="W1667" s="3">
        <v>36526</v>
      </c>
      <c r="X1667" s="5" t="s">
        <v>50</v>
      </c>
      <c r="Y1667" t="s">
        <v>47</v>
      </c>
      <c r="Z1667" s="3">
        <v>36526</v>
      </c>
      <c r="AA1667" s="5" t="s">
        <v>50</v>
      </c>
      <c r="AB1667" t="s">
        <v>47</v>
      </c>
      <c r="AC1667" s="3">
        <v>36526</v>
      </c>
      <c r="AD1667" s="5" t="s">
        <v>50</v>
      </c>
      <c r="AE1667" t="s">
        <v>47</v>
      </c>
      <c r="AF1667" t="s">
        <v>47</v>
      </c>
      <c r="AG1667" t="s">
        <v>47</v>
      </c>
      <c r="AH1667" t="s">
        <v>47</v>
      </c>
      <c r="AI1667" t="s">
        <v>47</v>
      </c>
      <c r="AJ1667" t="s">
        <v>47</v>
      </c>
      <c r="AK1667" t="s">
        <v>47</v>
      </c>
      <c r="AL1667" t="s">
        <v>47</v>
      </c>
      <c r="AM1667" t="s">
        <v>47</v>
      </c>
      <c r="AN1667" t="s">
        <v>47</v>
      </c>
      <c r="AO1667" s="5" t="s">
        <v>60</v>
      </c>
      <c r="AP1667" s="4" t="s">
        <v>61</v>
      </c>
      <c r="AQ1667" s="4" t="s">
        <v>2028</v>
      </c>
      <c r="AR1667" s="4" t="s">
        <v>54</v>
      </c>
      <c r="AS1667" s="5">
        <v>2027435</v>
      </c>
      <c r="AT1667" t="s">
        <v>47</v>
      </c>
    </row>
    <row r="1668" spans="1:46" ht="52" x14ac:dyDescent="0.3">
      <c r="A1668" s="4" t="s">
        <v>6281</v>
      </c>
      <c r="B1668" t="s">
        <v>47</v>
      </c>
      <c r="C1668" s="4" t="s">
        <v>6282</v>
      </c>
      <c r="D1668" s="4" t="s">
        <v>6283</v>
      </c>
      <c r="E1668" s="4" t="s">
        <v>49</v>
      </c>
      <c r="F1668" s="5" t="s">
        <v>6284</v>
      </c>
      <c r="G1668" s="5" t="s">
        <v>6285</v>
      </c>
      <c r="H1668" t="s">
        <v>47</v>
      </c>
      <c r="I1668" s="3">
        <v>41487</v>
      </c>
      <c r="J1668" s="3">
        <v>44470</v>
      </c>
      <c r="K1668" t="s">
        <v>47</v>
      </c>
      <c r="L1668" s="5" t="s">
        <v>51</v>
      </c>
      <c r="M1668" s="3">
        <v>41487</v>
      </c>
      <c r="N1668" s="3">
        <v>44470</v>
      </c>
      <c r="O1668" t="s">
        <v>47</v>
      </c>
      <c r="P1668" t="s">
        <v>47</v>
      </c>
      <c r="Q1668" t="s">
        <v>47</v>
      </c>
      <c r="R1668" t="s">
        <v>47</v>
      </c>
      <c r="S1668" t="s">
        <v>47</v>
      </c>
      <c r="T1668" t="s">
        <v>47</v>
      </c>
      <c r="U1668" t="s">
        <v>47</v>
      </c>
      <c r="V1668" t="s">
        <v>47</v>
      </c>
      <c r="W1668" s="3">
        <v>41487</v>
      </c>
      <c r="X1668" s="3">
        <v>44470</v>
      </c>
      <c r="Y1668" t="s">
        <v>47</v>
      </c>
      <c r="Z1668" s="3">
        <v>41487</v>
      </c>
      <c r="AA1668" s="3">
        <v>44470</v>
      </c>
      <c r="AB1668" t="s">
        <v>47</v>
      </c>
      <c r="AC1668" s="3">
        <v>41487</v>
      </c>
      <c r="AD1668" s="3">
        <v>44470</v>
      </c>
      <c r="AE1668" t="s">
        <v>47</v>
      </c>
      <c r="AF1668" t="s">
        <v>47</v>
      </c>
      <c r="AG1668" t="s">
        <v>47</v>
      </c>
      <c r="AH1668" t="s">
        <v>47</v>
      </c>
      <c r="AI1668" t="s">
        <v>47</v>
      </c>
      <c r="AJ1668" t="s">
        <v>47</v>
      </c>
      <c r="AK1668" t="s">
        <v>47</v>
      </c>
      <c r="AL1668" t="s">
        <v>47</v>
      </c>
      <c r="AM1668" t="s">
        <v>47</v>
      </c>
      <c r="AN1668" t="s">
        <v>47</v>
      </c>
      <c r="AO1668" s="5" t="s">
        <v>51</v>
      </c>
      <c r="AP1668" s="4" t="s">
        <v>135</v>
      </c>
      <c r="AQ1668" s="4" t="s">
        <v>53</v>
      </c>
      <c r="AR1668" s="4" t="s">
        <v>6286</v>
      </c>
      <c r="AS1668" s="5">
        <v>4496847</v>
      </c>
      <c r="AT1668" t="s">
        <v>47</v>
      </c>
    </row>
    <row r="1669" spans="1:46" ht="39" x14ac:dyDescent="0.3">
      <c r="A1669" s="4" t="s">
        <v>6287</v>
      </c>
      <c r="B1669" t="s">
        <v>47</v>
      </c>
      <c r="C1669" s="4" t="s">
        <v>6288</v>
      </c>
      <c r="D1669" s="4" t="s">
        <v>6289</v>
      </c>
      <c r="E1669" s="4" t="s">
        <v>58</v>
      </c>
      <c r="F1669" t="s">
        <v>47</v>
      </c>
      <c r="G1669" s="5" t="s">
        <v>6290</v>
      </c>
      <c r="H1669" t="s">
        <v>47</v>
      </c>
      <c r="I1669" s="3">
        <v>40909</v>
      </c>
      <c r="J1669" s="5" t="s">
        <v>50</v>
      </c>
      <c r="K1669" t="s">
        <v>47</v>
      </c>
      <c r="L1669" s="5" t="s">
        <v>60</v>
      </c>
      <c r="M1669" s="3">
        <v>40909</v>
      </c>
      <c r="N1669" s="5" t="s">
        <v>50</v>
      </c>
      <c r="O1669" t="s">
        <v>47</v>
      </c>
      <c r="P1669" s="3">
        <v>40909</v>
      </c>
      <c r="Q1669" s="5" t="s">
        <v>50</v>
      </c>
      <c r="R1669" t="s">
        <v>47</v>
      </c>
      <c r="S1669" t="s">
        <v>47</v>
      </c>
      <c r="T1669" t="s">
        <v>47</v>
      </c>
      <c r="U1669" t="s">
        <v>47</v>
      </c>
      <c r="V1669" t="s">
        <v>47</v>
      </c>
      <c r="W1669" s="3">
        <v>40909</v>
      </c>
      <c r="X1669" s="5" t="s">
        <v>50</v>
      </c>
      <c r="Y1669" t="s">
        <v>47</v>
      </c>
      <c r="Z1669" s="3">
        <v>40909</v>
      </c>
      <c r="AA1669" s="5" t="s">
        <v>50</v>
      </c>
      <c r="AB1669" t="s">
        <v>47</v>
      </c>
      <c r="AC1669" s="3">
        <v>40909</v>
      </c>
      <c r="AD1669" s="5" t="s">
        <v>50</v>
      </c>
      <c r="AE1669" t="s">
        <v>47</v>
      </c>
      <c r="AF1669" t="s">
        <v>47</v>
      </c>
      <c r="AG1669" t="s">
        <v>47</v>
      </c>
      <c r="AH1669" t="s">
        <v>47</v>
      </c>
      <c r="AI1669" t="s">
        <v>47</v>
      </c>
      <c r="AJ1669" t="s">
        <v>47</v>
      </c>
      <c r="AK1669" t="s">
        <v>47</v>
      </c>
      <c r="AL1669" t="s">
        <v>47</v>
      </c>
      <c r="AM1669" t="s">
        <v>47</v>
      </c>
      <c r="AN1669" t="s">
        <v>47</v>
      </c>
      <c r="AO1669" s="5" t="s">
        <v>60</v>
      </c>
      <c r="AP1669" s="4" t="s">
        <v>61</v>
      </c>
      <c r="AQ1669" s="4" t="s">
        <v>53</v>
      </c>
      <c r="AR1669" s="4" t="s">
        <v>1830</v>
      </c>
      <c r="AS1669" s="5">
        <v>1456364</v>
      </c>
      <c r="AT1669" t="s">
        <v>47</v>
      </c>
    </row>
    <row r="1670" spans="1:46" ht="26" x14ac:dyDescent="0.3">
      <c r="A1670" s="4" t="s">
        <v>6291</v>
      </c>
      <c r="B1670" t="s">
        <v>47</v>
      </c>
      <c r="C1670" s="4" t="s">
        <v>6292</v>
      </c>
      <c r="D1670" s="4" t="s">
        <v>6293</v>
      </c>
      <c r="E1670" s="4" t="s">
        <v>49</v>
      </c>
      <c r="F1670" s="5" t="s">
        <v>6294</v>
      </c>
      <c r="G1670" s="5" t="s">
        <v>6295</v>
      </c>
      <c r="H1670" t="s">
        <v>47</v>
      </c>
      <c r="I1670" s="3">
        <v>34335</v>
      </c>
      <c r="J1670" s="5" t="s">
        <v>50</v>
      </c>
      <c r="K1670" t="s">
        <v>47</v>
      </c>
      <c r="L1670" s="5" t="s">
        <v>60</v>
      </c>
      <c r="M1670" s="3">
        <v>34335</v>
      </c>
      <c r="N1670" s="5" t="s">
        <v>50</v>
      </c>
      <c r="O1670" t="s">
        <v>47</v>
      </c>
      <c r="P1670" s="3">
        <v>35247</v>
      </c>
      <c r="Q1670" s="5" t="s">
        <v>50</v>
      </c>
      <c r="R1670" t="s">
        <v>47</v>
      </c>
      <c r="S1670" t="s">
        <v>47</v>
      </c>
      <c r="T1670" t="s">
        <v>47</v>
      </c>
      <c r="U1670" t="s">
        <v>47</v>
      </c>
      <c r="V1670" t="s">
        <v>47</v>
      </c>
      <c r="W1670" s="3">
        <v>32509</v>
      </c>
      <c r="X1670" s="5" t="s">
        <v>50</v>
      </c>
      <c r="Y1670" t="s">
        <v>47</v>
      </c>
      <c r="Z1670" s="3">
        <v>32509</v>
      </c>
      <c r="AA1670" s="5" t="s">
        <v>50</v>
      </c>
      <c r="AB1670" t="s">
        <v>47</v>
      </c>
      <c r="AC1670" s="3">
        <v>32509</v>
      </c>
      <c r="AD1670" s="5" t="s">
        <v>50</v>
      </c>
      <c r="AE1670" t="s">
        <v>47</v>
      </c>
      <c r="AF1670" t="s">
        <v>47</v>
      </c>
      <c r="AG1670" t="s">
        <v>47</v>
      </c>
      <c r="AH1670" t="s">
        <v>47</v>
      </c>
      <c r="AI1670" t="s">
        <v>47</v>
      </c>
      <c r="AJ1670" t="s">
        <v>47</v>
      </c>
      <c r="AK1670" t="s">
        <v>47</v>
      </c>
      <c r="AL1670" t="s">
        <v>47</v>
      </c>
      <c r="AM1670" t="s">
        <v>47</v>
      </c>
      <c r="AN1670" t="s">
        <v>47</v>
      </c>
      <c r="AO1670" s="5" t="s">
        <v>60</v>
      </c>
      <c r="AP1670" s="4" t="s">
        <v>61</v>
      </c>
      <c r="AQ1670" s="4" t="s">
        <v>53</v>
      </c>
      <c r="AR1670" s="4" t="s">
        <v>2846</v>
      </c>
      <c r="AS1670" s="5">
        <v>40631</v>
      </c>
      <c r="AT1670" t="s">
        <v>47</v>
      </c>
    </row>
  </sheetData>
  <autoFilter ref="A2:AT1670" xr:uid="{00000000-0009-0000-0000-000000000000}"/>
  <mergeCells count="1">
    <mergeCell ref="A1:AT1"/>
  </mergeCells>
  <printOptions gridLines="1" gridLinesSet="0"/>
  <pageMargins left="0.4" right="0.4" top="0.75" bottom="0.75" header="0.5" footer="0.5"/>
  <pageSetup orientation="landscape"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2870"/>
  <sheetViews>
    <sheetView workbookViewId="0"/>
  </sheetViews>
  <sheetFormatPr defaultRowHeight="12.5" x14ac:dyDescent="0.25"/>
  <cols>
    <col min="1" max="1" width="86"/>
    <col min="2" max="2" width="21.6328125" customWidth="1"/>
    <col min="3" max="3" width="22.1796875" customWidth="1"/>
    <col min="4" max="4" width="40.1796875" customWidth="1"/>
    <col min="5" max="5" width="35.6328125" customWidth="1"/>
    <col min="6" max="6" width="27.08984375" customWidth="1"/>
    <col min="7" max="7" width="24.90625" customWidth="1"/>
    <col min="8" max="8" width="21.6328125" customWidth="1"/>
    <col min="9" max="9" width="16.1796875" customWidth="1"/>
    <col min="10" max="10" width="31.26953125" customWidth="1"/>
    <col min="11" max="11" width="16.54296875" customWidth="1"/>
    <col min="13" max="13" width="8.81640625" bestFit="1" customWidth="1"/>
    <col min="15" max="15" width="8.81640625" bestFit="1" customWidth="1"/>
    <col min="16" max="16" width="10.81640625" bestFit="1" customWidth="1"/>
    <col min="17" max="17" width="8.81640625" bestFit="1" customWidth="1"/>
    <col min="20" max="20" width="71" bestFit="1" customWidth="1"/>
  </cols>
  <sheetData>
    <row r="1" spans="1:21" ht="14.5" x14ac:dyDescent="0.35">
      <c r="A1" s="6" t="s">
        <v>0</v>
      </c>
      <c r="B1" s="6" t="s">
        <v>6297</v>
      </c>
      <c r="C1" s="6" t="s">
        <v>6298</v>
      </c>
      <c r="D1" s="6" t="s">
        <v>6299</v>
      </c>
      <c r="E1" s="6" t="s">
        <v>2</v>
      </c>
      <c r="F1" s="6" t="s">
        <v>6300</v>
      </c>
      <c r="G1" s="6" t="s">
        <v>4</v>
      </c>
      <c r="H1" s="6" t="s">
        <v>6301</v>
      </c>
      <c r="I1" s="6" t="s">
        <v>6302</v>
      </c>
      <c r="J1" s="6" t="s">
        <v>6303</v>
      </c>
      <c r="K1" s="6" t="s">
        <v>6304</v>
      </c>
      <c r="L1" s="6" t="s">
        <v>6305</v>
      </c>
      <c r="M1" s="6" t="s">
        <v>6306</v>
      </c>
      <c r="N1" s="6" t="s">
        <v>6307</v>
      </c>
      <c r="O1" s="6" t="s">
        <v>6308</v>
      </c>
      <c r="P1" s="6" t="s">
        <v>6309</v>
      </c>
      <c r="Q1" s="6" t="s">
        <v>6310</v>
      </c>
      <c r="R1" s="6" t="s">
        <v>6311</v>
      </c>
      <c r="S1" s="6" t="s">
        <v>6312</v>
      </c>
      <c r="T1" s="6" t="s">
        <v>6313</v>
      </c>
    </row>
    <row r="2" spans="1:21" ht="14.5" x14ac:dyDescent="0.35">
      <c r="A2" s="8" t="s">
        <v>6314</v>
      </c>
      <c r="B2" s="8" t="str">
        <f>""</f>
        <v/>
      </c>
      <c r="C2" s="8" t="str">
        <f>"9781889057620"</f>
        <v>9781889057620</v>
      </c>
      <c r="D2" s="8" t="s">
        <v>6315</v>
      </c>
      <c r="E2" s="8" t="s">
        <v>6315</v>
      </c>
      <c r="F2" s="8" t="s">
        <v>6316</v>
      </c>
      <c r="G2" s="8" t="s">
        <v>6317</v>
      </c>
      <c r="H2" s="8">
        <v>41579</v>
      </c>
      <c r="I2" s="8">
        <v>2015</v>
      </c>
      <c r="J2" s="8" t="s">
        <v>6315</v>
      </c>
      <c r="K2" s="8">
        <v>342</v>
      </c>
      <c r="L2" s="8" t="s">
        <v>6318</v>
      </c>
      <c r="M2" s="8">
        <v>1</v>
      </c>
      <c r="N2" s="8"/>
      <c r="O2" s="8"/>
      <c r="P2" s="8" t="s">
        <v>6319</v>
      </c>
      <c r="Q2" s="8">
        <v>340</v>
      </c>
      <c r="R2" s="8" t="s">
        <v>6320</v>
      </c>
      <c r="S2" s="8" t="s">
        <v>53</v>
      </c>
      <c r="T2" s="8" t="s">
        <v>5396</v>
      </c>
      <c r="U2" s="9"/>
    </row>
    <row r="3" spans="1:21" ht="14.5" x14ac:dyDescent="0.35">
      <c r="A3" s="8" t="s">
        <v>6321</v>
      </c>
      <c r="B3" s="8" t="str">
        <f>"9780787972233"</f>
        <v>9780787972233</v>
      </c>
      <c r="C3" s="8" t="str">
        <f>"9780787959258"</f>
        <v>9780787959258</v>
      </c>
      <c r="D3" s="8" t="s">
        <v>6322</v>
      </c>
      <c r="E3" s="8" t="s">
        <v>6323</v>
      </c>
      <c r="F3" s="8" t="s">
        <v>765</v>
      </c>
      <c r="G3" s="8" t="s">
        <v>6317</v>
      </c>
      <c r="H3" s="8">
        <v>36956</v>
      </c>
      <c r="I3" s="8">
        <v>2001</v>
      </c>
      <c r="J3" s="8" t="s">
        <v>6324</v>
      </c>
      <c r="K3" s="8">
        <v>273</v>
      </c>
      <c r="L3" s="8" t="s">
        <v>6325</v>
      </c>
      <c r="M3" s="8">
        <v>1</v>
      </c>
      <c r="N3" s="8"/>
      <c r="O3" s="8"/>
      <c r="P3" s="8" t="s">
        <v>6326</v>
      </c>
      <c r="Q3" s="8">
        <v>371.10199999999998</v>
      </c>
      <c r="R3" s="8" t="s">
        <v>6327</v>
      </c>
      <c r="S3" s="8" t="s">
        <v>53</v>
      </c>
      <c r="T3" s="8" t="s">
        <v>54</v>
      </c>
      <c r="U3" s="9"/>
    </row>
    <row r="4" spans="1:21" ht="14.5" x14ac:dyDescent="0.35">
      <c r="A4" s="8" t="s">
        <v>6328</v>
      </c>
      <c r="B4" s="8" t="str">
        <f>"9780787961176"</f>
        <v>9780787961176</v>
      </c>
      <c r="C4" s="8" t="str">
        <f>"9780787959302"</f>
        <v>9780787959302</v>
      </c>
      <c r="D4" s="8" t="s">
        <v>6322</v>
      </c>
      <c r="E4" s="8" t="s">
        <v>6323</v>
      </c>
      <c r="F4" s="8" t="s">
        <v>765</v>
      </c>
      <c r="G4" s="8" t="s">
        <v>6317</v>
      </c>
      <c r="H4" s="8">
        <v>36965</v>
      </c>
      <c r="I4" s="8">
        <v>2001</v>
      </c>
      <c r="J4" s="8" t="s">
        <v>6324</v>
      </c>
      <c r="K4" s="8">
        <v>364</v>
      </c>
      <c r="L4" s="8" t="s">
        <v>6329</v>
      </c>
      <c r="M4" s="8">
        <v>1</v>
      </c>
      <c r="N4" s="8"/>
      <c r="O4" s="8"/>
      <c r="P4" s="8" t="s">
        <v>6330</v>
      </c>
      <c r="Q4" s="8" t="s">
        <v>6331</v>
      </c>
      <c r="R4" s="8" t="s">
        <v>6332</v>
      </c>
      <c r="S4" s="8" t="s">
        <v>53</v>
      </c>
      <c r="T4" s="8" t="s">
        <v>54</v>
      </c>
      <c r="U4" s="9"/>
    </row>
    <row r="5" spans="1:21" ht="14.5" x14ac:dyDescent="0.35">
      <c r="A5" s="8" t="s">
        <v>6333</v>
      </c>
      <c r="B5" s="8" t="str">
        <f>"9780470623053"</f>
        <v>9780470623053</v>
      </c>
      <c r="C5" s="8" t="str">
        <f>"9780787959951"</f>
        <v>9780787959951</v>
      </c>
      <c r="D5" s="8" t="s">
        <v>6322</v>
      </c>
      <c r="E5" s="8" t="s">
        <v>6323</v>
      </c>
      <c r="F5" s="8" t="s">
        <v>4423</v>
      </c>
      <c r="G5" s="8" t="s">
        <v>6317</v>
      </c>
      <c r="H5" s="8">
        <v>36969</v>
      </c>
      <c r="I5" s="8">
        <v>2001</v>
      </c>
      <c r="J5" s="8" t="s">
        <v>6324</v>
      </c>
      <c r="K5" s="8">
        <v>321</v>
      </c>
      <c r="L5" s="8" t="s">
        <v>6334</v>
      </c>
      <c r="M5" s="8">
        <v>1</v>
      </c>
      <c r="N5" s="8" t="s">
        <v>6335</v>
      </c>
      <c r="O5" s="8">
        <v>3</v>
      </c>
      <c r="P5" s="8" t="s">
        <v>6336</v>
      </c>
      <c r="Q5" s="8"/>
      <c r="R5" s="8" t="s">
        <v>6337</v>
      </c>
      <c r="S5" s="8" t="s">
        <v>53</v>
      </c>
      <c r="T5" s="8" t="s">
        <v>54</v>
      </c>
      <c r="U5" s="9"/>
    </row>
    <row r="6" spans="1:21" ht="14.5" x14ac:dyDescent="0.35">
      <c r="A6" s="8" t="s">
        <v>6338</v>
      </c>
      <c r="B6" s="8" t="str">
        <f>"9780787955199"</f>
        <v>9780787955199</v>
      </c>
      <c r="C6" s="8" t="str">
        <f>"9780787959968"</f>
        <v>9780787959968</v>
      </c>
      <c r="D6" s="8" t="s">
        <v>6322</v>
      </c>
      <c r="E6" s="8" t="s">
        <v>6323</v>
      </c>
      <c r="F6" s="8" t="s">
        <v>6339</v>
      </c>
      <c r="G6" s="8" t="s">
        <v>6317</v>
      </c>
      <c r="H6" s="8">
        <v>36962</v>
      </c>
      <c r="I6" s="8">
        <v>2001</v>
      </c>
      <c r="J6" s="8" t="s">
        <v>6324</v>
      </c>
      <c r="K6" s="8">
        <v>227</v>
      </c>
      <c r="L6" s="8" t="s">
        <v>6340</v>
      </c>
      <c r="M6" s="8">
        <v>2</v>
      </c>
      <c r="N6" s="8"/>
      <c r="O6" s="8"/>
      <c r="P6" s="8" t="s">
        <v>6341</v>
      </c>
      <c r="Q6" s="8" t="s">
        <v>6342</v>
      </c>
      <c r="R6" s="8" t="s">
        <v>6343</v>
      </c>
      <c r="S6" s="8" t="s">
        <v>53</v>
      </c>
      <c r="T6" s="8" t="s">
        <v>54</v>
      </c>
      <c r="U6" s="9"/>
    </row>
    <row r="7" spans="1:21" ht="14.5" x14ac:dyDescent="0.35">
      <c r="A7" s="8" t="s">
        <v>6344</v>
      </c>
      <c r="B7" s="8" t="str">
        <f>"9780787952846"</f>
        <v>9780787952846</v>
      </c>
      <c r="C7" s="8" t="str">
        <f>"9780787959982"</f>
        <v>9780787959982</v>
      </c>
      <c r="D7" s="8" t="s">
        <v>6322</v>
      </c>
      <c r="E7" s="8" t="s">
        <v>6323</v>
      </c>
      <c r="F7" s="8" t="s">
        <v>4423</v>
      </c>
      <c r="G7" s="8" t="s">
        <v>6317</v>
      </c>
      <c r="H7" s="8">
        <v>36979</v>
      </c>
      <c r="I7" s="8">
        <v>2000</v>
      </c>
      <c r="J7" s="8" t="s">
        <v>6324</v>
      </c>
      <c r="K7" s="8">
        <v>335</v>
      </c>
      <c r="L7" s="8" t="s">
        <v>6345</v>
      </c>
      <c r="M7" s="8">
        <v>1</v>
      </c>
      <c r="N7" s="8"/>
      <c r="O7" s="8"/>
      <c r="P7" s="8" t="s">
        <v>6346</v>
      </c>
      <c r="Q7" s="8" t="s">
        <v>6347</v>
      </c>
      <c r="R7" s="8" t="s">
        <v>6348</v>
      </c>
      <c r="S7" s="8" t="s">
        <v>53</v>
      </c>
      <c r="T7" s="8" t="s">
        <v>54</v>
      </c>
      <c r="U7" s="9"/>
    </row>
    <row r="8" spans="1:21" ht="14.5" x14ac:dyDescent="0.35">
      <c r="A8" s="8" t="s">
        <v>6349</v>
      </c>
      <c r="B8" s="8" t="str">
        <f>"9780415338172"</f>
        <v>9780415338172</v>
      </c>
      <c r="C8" s="8" t="str">
        <f>"9780203338940"</f>
        <v>9780203338940</v>
      </c>
      <c r="D8" s="8" t="s">
        <v>6350</v>
      </c>
      <c r="E8" s="8" t="s">
        <v>6351</v>
      </c>
      <c r="F8" s="8" t="s">
        <v>139</v>
      </c>
      <c r="G8" s="8" t="s">
        <v>6352</v>
      </c>
      <c r="H8" s="8">
        <v>38362</v>
      </c>
      <c r="I8" s="8">
        <v>1996</v>
      </c>
      <c r="J8" s="8" t="s">
        <v>6353</v>
      </c>
      <c r="K8" s="8">
        <v>309</v>
      </c>
      <c r="L8" s="8" t="s">
        <v>6354</v>
      </c>
      <c r="M8" s="8">
        <v>2</v>
      </c>
      <c r="N8" s="8"/>
      <c r="O8" s="8"/>
      <c r="P8" s="8" t="s">
        <v>6355</v>
      </c>
      <c r="Q8" s="8">
        <v>373.11020000000002</v>
      </c>
      <c r="R8" s="8" t="s">
        <v>6356</v>
      </c>
      <c r="S8" s="8" t="s">
        <v>53</v>
      </c>
      <c r="T8" s="8" t="s">
        <v>54</v>
      </c>
      <c r="U8" s="9"/>
    </row>
    <row r="9" spans="1:21" ht="14.5" x14ac:dyDescent="0.35">
      <c r="A9" s="8" t="s">
        <v>6357</v>
      </c>
      <c r="B9" s="8" t="str">
        <f>"9780253340856"</f>
        <v>9780253340856</v>
      </c>
      <c r="C9" s="8" t="str">
        <f>"9780253109330"</f>
        <v>9780253109330</v>
      </c>
      <c r="D9" s="8" t="s">
        <v>6358</v>
      </c>
      <c r="E9" s="8" t="s">
        <v>2455</v>
      </c>
      <c r="F9" s="8" t="s">
        <v>3101</v>
      </c>
      <c r="G9" s="8" t="s">
        <v>6317</v>
      </c>
      <c r="H9" s="8">
        <v>37487</v>
      </c>
      <c r="I9" s="8">
        <v>2002</v>
      </c>
      <c r="J9" s="8" t="s">
        <v>2455</v>
      </c>
      <c r="K9" s="8">
        <v>343</v>
      </c>
      <c r="L9" s="8" t="s">
        <v>6359</v>
      </c>
      <c r="M9" s="8">
        <v>1</v>
      </c>
      <c r="N9" s="8"/>
      <c r="O9" s="8"/>
      <c r="P9" s="8" t="s">
        <v>6360</v>
      </c>
      <c r="Q9" s="8" t="s">
        <v>6361</v>
      </c>
      <c r="R9" s="8" t="s">
        <v>6362</v>
      </c>
      <c r="S9" s="8" t="s">
        <v>53</v>
      </c>
      <c r="T9" s="8" t="s">
        <v>6363</v>
      </c>
      <c r="U9" s="9"/>
    </row>
    <row r="10" spans="1:21" ht="14.5" x14ac:dyDescent="0.35">
      <c r="A10" s="8" t="s">
        <v>6364</v>
      </c>
      <c r="B10" s="8" t="str">
        <f>"9780253341181"</f>
        <v>9780253341181</v>
      </c>
      <c r="C10" s="8" t="str">
        <f>"9780253109422"</f>
        <v>9780253109422</v>
      </c>
      <c r="D10" s="8" t="s">
        <v>2455</v>
      </c>
      <c r="E10" s="8" t="s">
        <v>2455</v>
      </c>
      <c r="F10" s="8" t="s">
        <v>3101</v>
      </c>
      <c r="G10" s="8" t="s">
        <v>6317</v>
      </c>
      <c r="H10" s="8">
        <v>37516</v>
      </c>
      <c r="I10" s="8">
        <v>2002</v>
      </c>
      <c r="J10" s="8" t="s">
        <v>2455</v>
      </c>
      <c r="K10" s="8">
        <v>230</v>
      </c>
      <c r="L10" s="8" t="s">
        <v>6365</v>
      </c>
      <c r="M10" s="8">
        <v>1</v>
      </c>
      <c r="N10" s="8"/>
      <c r="O10" s="8"/>
      <c r="P10" s="8" t="s">
        <v>6366</v>
      </c>
      <c r="Q10" s="8" t="s">
        <v>6367</v>
      </c>
      <c r="R10" s="8" t="s">
        <v>6368</v>
      </c>
      <c r="S10" s="8" t="s">
        <v>53</v>
      </c>
      <c r="T10" s="8" t="s">
        <v>54</v>
      </c>
      <c r="U10" s="9"/>
    </row>
    <row r="11" spans="1:21" ht="14.5" x14ac:dyDescent="0.35">
      <c r="A11" s="8" t="s">
        <v>6369</v>
      </c>
      <c r="B11" s="8" t="str">
        <f>"9781889057101"</f>
        <v>9781889057101</v>
      </c>
      <c r="C11" s="8" t="str">
        <f>"9781889057224"</f>
        <v>9781889057224</v>
      </c>
      <c r="D11" s="8" t="s">
        <v>6315</v>
      </c>
      <c r="E11" s="8" t="s">
        <v>6315</v>
      </c>
      <c r="F11" s="8" t="s">
        <v>3061</v>
      </c>
      <c r="G11" s="8" t="s">
        <v>6317</v>
      </c>
      <c r="H11" s="8">
        <v>37653</v>
      </c>
      <c r="I11" s="8">
        <v>2004</v>
      </c>
      <c r="J11" s="8" t="s">
        <v>6315</v>
      </c>
      <c r="K11" s="8">
        <v>611</v>
      </c>
      <c r="L11" s="8" t="s">
        <v>6370</v>
      </c>
      <c r="M11" s="8">
        <v>1</v>
      </c>
      <c r="N11" s="8"/>
      <c r="O11" s="8"/>
      <c r="P11" s="8" t="s">
        <v>6371</v>
      </c>
      <c r="Q11" s="8">
        <v>378.1662</v>
      </c>
      <c r="R11" s="8" t="s">
        <v>6372</v>
      </c>
      <c r="S11" s="8" t="s">
        <v>53</v>
      </c>
      <c r="T11" s="8" t="s">
        <v>54</v>
      </c>
      <c r="U11" s="9"/>
    </row>
    <row r="12" spans="1:21" ht="14.5" x14ac:dyDescent="0.35">
      <c r="A12" s="8" t="s">
        <v>6373</v>
      </c>
      <c r="B12" s="8" t="str">
        <f>"9780521642125"</f>
        <v>9780521642125</v>
      </c>
      <c r="C12" s="8" t="str">
        <f>"9780511149368"</f>
        <v>9780511149368</v>
      </c>
      <c r="D12" s="8" t="s">
        <v>397</v>
      </c>
      <c r="E12" s="8" t="s">
        <v>397</v>
      </c>
      <c r="F12" s="8" t="s">
        <v>612</v>
      </c>
      <c r="G12" s="8" t="s">
        <v>6352</v>
      </c>
      <c r="H12" s="8">
        <v>36244</v>
      </c>
      <c r="I12" s="8">
        <v>1999</v>
      </c>
      <c r="J12" s="8" t="s">
        <v>397</v>
      </c>
      <c r="K12" s="8">
        <v>309</v>
      </c>
      <c r="L12" s="8" t="s">
        <v>6374</v>
      </c>
      <c r="M12" s="8">
        <v>1</v>
      </c>
      <c r="N12" s="8" t="s">
        <v>6375</v>
      </c>
      <c r="O12" s="8" t="s">
        <v>6376</v>
      </c>
      <c r="P12" s="8" t="s">
        <v>6377</v>
      </c>
      <c r="Q12" s="8">
        <v>378.44360999999998</v>
      </c>
      <c r="R12" s="8" t="s">
        <v>6378</v>
      </c>
      <c r="S12" s="8" t="s">
        <v>53</v>
      </c>
      <c r="T12" s="8" t="s">
        <v>54</v>
      </c>
      <c r="U12" s="9"/>
    </row>
    <row r="13" spans="1:21" ht="14.5" x14ac:dyDescent="0.35">
      <c r="A13" s="8" t="s">
        <v>6379</v>
      </c>
      <c r="B13" s="8" t="str">
        <f>"9780253341723"</f>
        <v>9780253341723</v>
      </c>
      <c r="C13" s="8" t="str">
        <f>"9780253109583"</f>
        <v>9780253109583</v>
      </c>
      <c r="D13" s="8" t="s">
        <v>2455</v>
      </c>
      <c r="E13" s="8" t="s">
        <v>2455</v>
      </c>
      <c r="F13" s="8" t="s">
        <v>3101</v>
      </c>
      <c r="G13" s="8" t="s">
        <v>6317</v>
      </c>
      <c r="H13" s="8">
        <v>36913</v>
      </c>
      <c r="I13" s="8">
        <v>2003</v>
      </c>
      <c r="J13" s="8" t="s">
        <v>2455</v>
      </c>
      <c r="K13" s="8">
        <v>210</v>
      </c>
      <c r="L13" s="8" t="s">
        <v>6380</v>
      </c>
      <c r="M13" s="8">
        <v>1</v>
      </c>
      <c r="N13" s="8"/>
      <c r="O13" s="8"/>
      <c r="P13" s="8" t="s">
        <v>6381</v>
      </c>
      <c r="Q13" s="8" t="s">
        <v>6382</v>
      </c>
      <c r="R13" s="8" t="s">
        <v>6383</v>
      </c>
      <c r="S13" s="8" t="s">
        <v>53</v>
      </c>
      <c r="T13" s="8" t="s">
        <v>6384</v>
      </c>
      <c r="U13" s="9"/>
    </row>
    <row r="14" spans="1:21" ht="14.5" x14ac:dyDescent="0.35">
      <c r="A14" s="8" t="s">
        <v>6385</v>
      </c>
      <c r="B14" s="8" t="str">
        <f>"9780521652322"</f>
        <v>9780521652322</v>
      </c>
      <c r="C14" s="8" t="str">
        <f>"9780511153396"</f>
        <v>9780511153396</v>
      </c>
      <c r="D14" s="8" t="s">
        <v>397</v>
      </c>
      <c r="E14" s="8" t="s">
        <v>397</v>
      </c>
      <c r="F14" s="8" t="s">
        <v>612</v>
      </c>
      <c r="G14" s="8" t="s">
        <v>6352</v>
      </c>
      <c r="H14" s="8">
        <v>37018</v>
      </c>
      <c r="I14" s="8">
        <v>2001</v>
      </c>
      <c r="J14" s="8" t="s">
        <v>397</v>
      </c>
      <c r="K14" s="8">
        <v>262</v>
      </c>
      <c r="L14" s="8" t="s">
        <v>6386</v>
      </c>
      <c r="M14" s="8">
        <v>1</v>
      </c>
      <c r="N14" s="8"/>
      <c r="O14" s="8"/>
      <c r="P14" s="8" t="s">
        <v>6387</v>
      </c>
      <c r="Q14" s="8">
        <v>370.11399999999998</v>
      </c>
      <c r="R14" s="8" t="s">
        <v>6388</v>
      </c>
      <c r="S14" s="8" t="s">
        <v>53</v>
      </c>
      <c r="T14" s="8" t="s">
        <v>54</v>
      </c>
      <c r="U14" s="9"/>
    </row>
    <row r="15" spans="1:21" ht="14.5" x14ac:dyDescent="0.35">
      <c r="A15" s="8" t="s">
        <v>6389</v>
      </c>
      <c r="B15" s="8" t="str">
        <f>"9780415164627"</f>
        <v>9780415164627</v>
      </c>
      <c r="C15" s="8" t="str">
        <f>"9780203445570"</f>
        <v>9780203445570</v>
      </c>
      <c r="D15" s="8" t="s">
        <v>6350</v>
      </c>
      <c r="E15" s="8" t="s">
        <v>6351</v>
      </c>
      <c r="F15" s="8" t="s">
        <v>748</v>
      </c>
      <c r="G15" s="8" t="s">
        <v>6352</v>
      </c>
      <c r="H15" s="8">
        <v>35650</v>
      </c>
      <c r="I15" s="8">
        <v>1997</v>
      </c>
      <c r="J15" s="8" t="s">
        <v>6351</v>
      </c>
      <c r="K15" s="8">
        <v>187</v>
      </c>
      <c r="L15" s="8" t="s">
        <v>6390</v>
      </c>
      <c r="M15" s="8">
        <v>1</v>
      </c>
      <c r="N15" s="8"/>
      <c r="O15" s="8"/>
      <c r="P15" s="8" t="s">
        <v>6391</v>
      </c>
      <c r="Q15" s="8"/>
      <c r="R15" s="8" t="s">
        <v>6392</v>
      </c>
      <c r="S15" s="8" t="s">
        <v>53</v>
      </c>
      <c r="T15" s="8" t="s">
        <v>389</v>
      </c>
      <c r="U15" s="9"/>
    </row>
    <row r="16" spans="1:21" ht="14.5" x14ac:dyDescent="0.35">
      <c r="A16" s="8" t="s">
        <v>6393</v>
      </c>
      <c r="B16" s="8" t="str">
        <f>"9780750709583"</f>
        <v>9780750709583</v>
      </c>
      <c r="C16" s="8" t="str">
        <f>"9780203183403"</f>
        <v>9780203183403</v>
      </c>
      <c r="D16" s="8" t="s">
        <v>6350</v>
      </c>
      <c r="E16" s="8" t="s">
        <v>6351</v>
      </c>
      <c r="F16" s="8" t="s">
        <v>139</v>
      </c>
      <c r="G16" s="8" t="s">
        <v>6352</v>
      </c>
      <c r="H16" s="8">
        <v>36816</v>
      </c>
      <c r="I16" s="8">
        <v>2000</v>
      </c>
      <c r="J16" s="8" t="s">
        <v>6353</v>
      </c>
      <c r="K16" s="8">
        <v>184</v>
      </c>
      <c r="L16" s="8" t="s">
        <v>6394</v>
      </c>
      <c r="M16" s="8">
        <v>1</v>
      </c>
      <c r="N16" s="8"/>
      <c r="O16" s="8"/>
      <c r="P16" s="8" t="s">
        <v>6395</v>
      </c>
      <c r="Q16" s="8">
        <v>379.68</v>
      </c>
      <c r="R16" s="8" t="s">
        <v>6396</v>
      </c>
      <c r="S16" s="8" t="s">
        <v>53</v>
      </c>
      <c r="T16" s="8" t="s">
        <v>54</v>
      </c>
      <c r="U16" s="9"/>
    </row>
    <row r="17" spans="1:21" ht="14.5" x14ac:dyDescent="0.35">
      <c r="A17" s="8" t="s">
        <v>6397</v>
      </c>
      <c r="B17" s="8" t="str">
        <f>"9780750709132"</f>
        <v>9780750709132</v>
      </c>
      <c r="C17" s="8" t="str">
        <f>"9780203185896"</f>
        <v>9780203185896</v>
      </c>
      <c r="D17" s="8" t="s">
        <v>6350</v>
      </c>
      <c r="E17" s="8" t="s">
        <v>6351</v>
      </c>
      <c r="F17" s="8" t="s">
        <v>139</v>
      </c>
      <c r="G17" s="8" t="s">
        <v>6352</v>
      </c>
      <c r="H17" s="8">
        <v>36888</v>
      </c>
      <c r="I17" s="8">
        <v>2000</v>
      </c>
      <c r="J17" s="8" t="s">
        <v>6353</v>
      </c>
      <c r="K17" s="8">
        <v>313</v>
      </c>
      <c r="L17" s="8" t="s">
        <v>6398</v>
      </c>
      <c r="M17" s="8">
        <v>1</v>
      </c>
      <c r="N17" s="8" t="s">
        <v>6399</v>
      </c>
      <c r="O17" s="8">
        <v>15</v>
      </c>
      <c r="P17" s="8" t="s">
        <v>6400</v>
      </c>
      <c r="Q17" s="8">
        <v>510.71</v>
      </c>
      <c r="R17" s="8" t="s">
        <v>6401</v>
      </c>
      <c r="S17" s="8" t="s">
        <v>53</v>
      </c>
      <c r="T17" s="8" t="s">
        <v>389</v>
      </c>
      <c r="U17" s="9"/>
    </row>
    <row r="18" spans="1:21" ht="14.5" x14ac:dyDescent="0.35">
      <c r="A18" s="8" t="s">
        <v>6402</v>
      </c>
      <c r="B18" s="8" t="str">
        <f>"9780415224130"</f>
        <v>9780415224130</v>
      </c>
      <c r="C18" s="8" t="str">
        <f>"9780203186299"</f>
        <v>9780203186299</v>
      </c>
      <c r="D18" s="8" t="s">
        <v>6350</v>
      </c>
      <c r="E18" s="8" t="s">
        <v>6351</v>
      </c>
      <c r="F18" s="8" t="s">
        <v>748</v>
      </c>
      <c r="G18" s="8" t="s">
        <v>6352</v>
      </c>
      <c r="H18" s="8">
        <v>36902</v>
      </c>
      <c r="I18" s="8">
        <v>2000</v>
      </c>
      <c r="J18" s="8" t="s">
        <v>6351</v>
      </c>
      <c r="K18" s="8">
        <v>233</v>
      </c>
      <c r="L18" s="8" t="s">
        <v>6403</v>
      </c>
      <c r="M18" s="8">
        <v>1</v>
      </c>
      <c r="N18" s="8"/>
      <c r="O18" s="8"/>
      <c r="P18" s="8" t="s">
        <v>6404</v>
      </c>
      <c r="Q18" s="8">
        <v>372.64</v>
      </c>
      <c r="R18" s="8" t="s">
        <v>4456</v>
      </c>
      <c r="S18" s="8" t="s">
        <v>53</v>
      </c>
      <c r="T18" s="8" t="s">
        <v>54</v>
      </c>
      <c r="U18" s="9"/>
    </row>
    <row r="19" spans="1:21" ht="14.5" x14ac:dyDescent="0.35">
      <c r="A19" s="8" t="s">
        <v>6405</v>
      </c>
      <c r="B19" s="8" t="str">
        <f>"9780415097758"</f>
        <v>9780415097758</v>
      </c>
      <c r="C19" s="8" t="str">
        <f>"9780203028322"</f>
        <v>9780203028322</v>
      </c>
      <c r="D19" s="8" t="s">
        <v>6350</v>
      </c>
      <c r="E19" s="8" t="s">
        <v>6351</v>
      </c>
      <c r="F19" s="8" t="s">
        <v>139</v>
      </c>
      <c r="G19" s="8" t="s">
        <v>6352</v>
      </c>
      <c r="H19" s="8">
        <v>35866</v>
      </c>
      <c r="I19" s="8">
        <v>1998</v>
      </c>
      <c r="J19" s="8" t="s">
        <v>6353</v>
      </c>
      <c r="K19" s="8">
        <v>214</v>
      </c>
      <c r="L19" s="8" t="s">
        <v>6406</v>
      </c>
      <c r="M19" s="8">
        <v>1</v>
      </c>
      <c r="N19" s="8" t="s">
        <v>6407</v>
      </c>
      <c r="O19" s="8"/>
      <c r="P19" s="8" t="s">
        <v>6408</v>
      </c>
      <c r="Q19" s="8">
        <v>69</v>
      </c>
      <c r="R19" s="8" t="s">
        <v>6409</v>
      </c>
      <c r="S19" s="8" t="s">
        <v>53</v>
      </c>
      <c r="T19" s="8" t="s">
        <v>6410</v>
      </c>
      <c r="U19" s="9"/>
    </row>
    <row r="20" spans="1:21" ht="14.5" x14ac:dyDescent="0.35">
      <c r="A20" s="8" t="s">
        <v>6411</v>
      </c>
      <c r="B20" s="8" t="str">
        <f>"9780415214049"</f>
        <v>9780415214049</v>
      </c>
      <c r="C20" s="8" t="str">
        <f>"9780203186190"</f>
        <v>9780203186190</v>
      </c>
      <c r="D20" s="8" t="s">
        <v>6350</v>
      </c>
      <c r="E20" s="8" t="s">
        <v>6351</v>
      </c>
      <c r="F20" s="8" t="s">
        <v>139</v>
      </c>
      <c r="G20" s="8" t="s">
        <v>6352</v>
      </c>
      <c r="H20" s="8">
        <v>36832</v>
      </c>
      <c r="I20" s="8">
        <v>2000</v>
      </c>
      <c r="J20" s="8" t="s">
        <v>6353</v>
      </c>
      <c r="K20" s="8">
        <v>371</v>
      </c>
      <c r="L20" s="8" t="s">
        <v>6412</v>
      </c>
      <c r="M20" s="8">
        <v>1</v>
      </c>
      <c r="N20" s="8"/>
      <c r="O20" s="8"/>
      <c r="P20" s="8" t="s">
        <v>6413</v>
      </c>
      <c r="Q20" s="8" t="s">
        <v>6414</v>
      </c>
      <c r="R20" s="8" t="s">
        <v>6415</v>
      </c>
      <c r="S20" s="8" t="s">
        <v>53</v>
      </c>
      <c r="T20" s="8" t="s">
        <v>54</v>
      </c>
      <c r="U20" s="9"/>
    </row>
    <row r="21" spans="1:21" ht="14.5" x14ac:dyDescent="0.35">
      <c r="A21" s="8" t="s">
        <v>6416</v>
      </c>
      <c r="B21" s="8" t="str">
        <f>"9780415204347"</f>
        <v>9780415204347</v>
      </c>
      <c r="C21" s="8" t="str">
        <f>"9780203183274"</f>
        <v>9780203183274</v>
      </c>
      <c r="D21" s="8" t="s">
        <v>6350</v>
      </c>
      <c r="E21" s="8" t="s">
        <v>6351</v>
      </c>
      <c r="F21" s="8" t="s">
        <v>3967</v>
      </c>
      <c r="G21" s="8" t="s">
        <v>6352</v>
      </c>
      <c r="H21" s="8">
        <v>36832</v>
      </c>
      <c r="I21" s="8">
        <v>2000</v>
      </c>
      <c r="J21" s="8" t="s">
        <v>6353</v>
      </c>
      <c r="K21" s="8">
        <v>231</v>
      </c>
      <c r="L21" s="8" t="s">
        <v>6417</v>
      </c>
      <c r="M21" s="8">
        <v>1</v>
      </c>
      <c r="N21" s="8"/>
      <c r="O21" s="8"/>
      <c r="P21" s="8" t="s">
        <v>6418</v>
      </c>
      <c r="Q21" s="8" t="s">
        <v>6419</v>
      </c>
      <c r="R21" s="8" t="s">
        <v>6420</v>
      </c>
      <c r="S21" s="8" t="s">
        <v>53</v>
      </c>
      <c r="T21" s="8" t="s">
        <v>54</v>
      </c>
      <c r="U21" s="9"/>
    </row>
    <row r="22" spans="1:21" ht="14.5" x14ac:dyDescent="0.35">
      <c r="A22" s="8" t="s">
        <v>6421</v>
      </c>
      <c r="B22" s="8" t="str">
        <f>"9780415038638"</f>
        <v>9780415038638</v>
      </c>
      <c r="C22" s="8" t="str">
        <f>"9780203132425"</f>
        <v>9780203132425</v>
      </c>
      <c r="D22" s="8" t="s">
        <v>6350</v>
      </c>
      <c r="E22" s="8" t="s">
        <v>6351</v>
      </c>
      <c r="F22" s="8" t="s">
        <v>139</v>
      </c>
      <c r="G22" s="8" t="s">
        <v>6352</v>
      </c>
      <c r="H22" s="8">
        <v>34435</v>
      </c>
      <c r="I22" s="8">
        <v>1994</v>
      </c>
      <c r="J22" s="8" t="s">
        <v>6353</v>
      </c>
      <c r="K22" s="8">
        <v>144</v>
      </c>
      <c r="L22" s="8" t="s">
        <v>6422</v>
      </c>
      <c r="M22" s="8">
        <v>1</v>
      </c>
      <c r="N22" s="8"/>
      <c r="O22" s="8"/>
      <c r="P22" s="8" t="s">
        <v>6423</v>
      </c>
      <c r="Q22" s="8">
        <v>371.9</v>
      </c>
      <c r="R22" s="8" t="s">
        <v>6424</v>
      </c>
      <c r="S22" s="8" t="s">
        <v>53</v>
      </c>
      <c r="T22" s="8" t="s">
        <v>54</v>
      </c>
      <c r="U22" s="9"/>
    </row>
    <row r="23" spans="1:21" ht="14.5" x14ac:dyDescent="0.35">
      <c r="A23" s="8" t="s">
        <v>6425</v>
      </c>
      <c r="B23" s="8" t="str">
        <f>"9780415069694"</f>
        <v>9780415069694</v>
      </c>
      <c r="C23" s="8" t="str">
        <f>"9780203135099"</f>
        <v>9780203135099</v>
      </c>
      <c r="D23" s="8" t="s">
        <v>6350</v>
      </c>
      <c r="E23" s="8" t="s">
        <v>6351</v>
      </c>
      <c r="F23" s="8" t="s">
        <v>3967</v>
      </c>
      <c r="G23" s="8" t="s">
        <v>6352</v>
      </c>
      <c r="H23" s="8">
        <v>33238</v>
      </c>
      <c r="I23" s="8">
        <v>1992</v>
      </c>
      <c r="J23" s="8" t="s">
        <v>6353</v>
      </c>
      <c r="K23" s="8">
        <v>239</v>
      </c>
      <c r="L23" s="8" t="s">
        <v>6426</v>
      </c>
      <c r="M23" s="8">
        <v>1</v>
      </c>
      <c r="N23" s="8"/>
      <c r="O23" s="8"/>
      <c r="P23" s="8" t="s">
        <v>6427</v>
      </c>
      <c r="Q23" s="8" t="s">
        <v>6428</v>
      </c>
      <c r="R23" s="8" t="s">
        <v>6429</v>
      </c>
      <c r="S23" s="8" t="s">
        <v>53</v>
      </c>
      <c r="T23" s="8" t="s">
        <v>54</v>
      </c>
      <c r="U23" s="9"/>
    </row>
    <row r="24" spans="1:21" ht="14.5" x14ac:dyDescent="0.35">
      <c r="A24" s="8" t="s">
        <v>6430</v>
      </c>
      <c r="B24" s="8" t="str">
        <f>"9780415087711"</f>
        <v>9780415087711</v>
      </c>
      <c r="C24" s="8" t="str">
        <f>"9780203132869"</f>
        <v>9780203132869</v>
      </c>
      <c r="D24" s="8" t="s">
        <v>6350</v>
      </c>
      <c r="E24" s="8" t="s">
        <v>6351</v>
      </c>
      <c r="F24" s="8" t="s">
        <v>139</v>
      </c>
      <c r="G24" s="8" t="s">
        <v>6317</v>
      </c>
      <c r="H24" s="8">
        <v>34298</v>
      </c>
      <c r="I24" s="8">
        <v>2002</v>
      </c>
      <c r="J24" s="8" t="s">
        <v>6353</v>
      </c>
      <c r="K24" s="8">
        <v>273</v>
      </c>
      <c r="L24" s="8" t="s">
        <v>6431</v>
      </c>
      <c r="M24" s="8">
        <v>2</v>
      </c>
      <c r="N24" s="8"/>
      <c r="O24" s="8"/>
      <c r="P24" s="8" t="s">
        <v>6432</v>
      </c>
      <c r="Q24" s="8">
        <v>373.12</v>
      </c>
      <c r="R24" s="8" t="s">
        <v>6433</v>
      </c>
      <c r="S24" s="8" t="s">
        <v>53</v>
      </c>
      <c r="T24" s="8" t="s">
        <v>54</v>
      </c>
      <c r="U24" s="9"/>
    </row>
    <row r="25" spans="1:21" ht="14.5" x14ac:dyDescent="0.35">
      <c r="A25" s="8" t="s">
        <v>6434</v>
      </c>
      <c r="B25" s="8" t="str">
        <f>"9780415090162"</f>
        <v>9780415090162</v>
      </c>
      <c r="C25" s="8" t="str">
        <f>"9780203037225"</f>
        <v>9780203037225</v>
      </c>
      <c r="D25" s="8" t="s">
        <v>6350</v>
      </c>
      <c r="E25" s="8" t="s">
        <v>6351</v>
      </c>
      <c r="F25" s="8" t="s">
        <v>139</v>
      </c>
      <c r="G25" s="8" t="s">
        <v>6317</v>
      </c>
      <c r="H25" s="8">
        <v>34298</v>
      </c>
      <c r="I25" s="8">
        <v>2002</v>
      </c>
      <c r="J25" s="8" t="s">
        <v>6353</v>
      </c>
      <c r="K25" s="8">
        <v>192</v>
      </c>
      <c r="L25" s="8" t="s">
        <v>6435</v>
      </c>
      <c r="M25" s="8">
        <v>1</v>
      </c>
      <c r="N25" s="8" t="s">
        <v>6436</v>
      </c>
      <c r="O25" s="8"/>
      <c r="P25" s="8" t="s">
        <v>6437</v>
      </c>
      <c r="Q25" s="8">
        <v>374.01309409999999</v>
      </c>
      <c r="R25" s="8" t="s">
        <v>6438</v>
      </c>
      <c r="S25" s="8" t="s">
        <v>53</v>
      </c>
      <c r="T25" s="8" t="s">
        <v>54</v>
      </c>
      <c r="U25" s="9"/>
    </row>
    <row r="26" spans="1:21" ht="14.5" x14ac:dyDescent="0.35">
      <c r="A26" s="8" t="s">
        <v>6439</v>
      </c>
      <c r="B26" s="8" t="str">
        <f>"9780415092449"</f>
        <v>9780415092449</v>
      </c>
      <c r="C26" s="8" t="str">
        <f>"9780203136683"</f>
        <v>9780203136683</v>
      </c>
      <c r="D26" s="8" t="s">
        <v>6350</v>
      </c>
      <c r="E26" s="8" t="s">
        <v>6351</v>
      </c>
      <c r="F26" s="8" t="s">
        <v>139</v>
      </c>
      <c r="G26" s="8" t="s">
        <v>6317</v>
      </c>
      <c r="H26" s="8">
        <v>34064</v>
      </c>
      <c r="I26" s="8">
        <v>2002</v>
      </c>
      <c r="J26" s="8" t="s">
        <v>6353</v>
      </c>
      <c r="K26" s="8">
        <v>172</v>
      </c>
      <c r="L26" s="8" t="s">
        <v>6440</v>
      </c>
      <c r="M26" s="8">
        <v>1</v>
      </c>
      <c r="N26" s="8" t="s">
        <v>6436</v>
      </c>
      <c r="O26" s="8"/>
      <c r="P26" s="8" t="s">
        <v>6441</v>
      </c>
      <c r="Q26" s="8">
        <v>378.16809410000002</v>
      </c>
      <c r="R26" s="8" t="s">
        <v>6442</v>
      </c>
      <c r="S26" s="8" t="s">
        <v>53</v>
      </c>
      <c r="T26" s="8" t="s">
        <v>54</v>
      </c>
      <c r="U26" s="9"/>
    </row>
    <row r="27" spans="1:21" ht="14.5" x14ac:dyDescent="0.35">
      <c r="A27" s="8" t="s">
        <v>6443</v>
      </c>
      <c r="B27" s="8" t="str">
        <f>"9780415096287"</f>
        <v>9780415096287</v>
      </c>
      <c r="C27" s="8" t="str">
        <f>"9780203133675"</f>
        <v>9780203133675</v>
      </c>
      <c r="D27" s="8" t="s">
        <v>6350</v>
      </c>
      <c r="E27" s="8" t="s">
        <v>6351</v>
      </c>
      <c r="F27" s="8" t="s">
        <v>5406</v>
      </c>
      <c r="G27" s="8" t="s">
        <v>6317</v>
      </c>
      <c r="H27" s="8">
        <v>34592</v>
      </c>
      <c r="I27" s="8">
        <v>2002</v>
      </c>
      <c r="J27" s="8" t="s">
        <v>6353</v>
      </c>
      <c r="K27" s="8">
        <v>238</v>
      </c>
      <c r="L27" s="8" t="s">
        <v>6444</v>
      </c>
      <c r="M27" s="8">
        <v>1</v>
      </c>
      <c r="N27" s="8"/>
      <c r="O27" s="8"/>
      <c r="P27" s="8" t="s">
        <v>6445</v>
      </c>
      <c r="Q27" s="8" t="s">
        <v>6446</v>
      </c>
      <c r="R27" s="8" t="s">
        <v>6447</v>
      </c>
      <c r="S27" s="8" t="s">
        <v>53</v>
      </c>
      <c r="T27" s="8" t="s">
        <v>6448</v>
      </c>
      <c r="U27" s="9"/>
    </row>
    <row r="28" spans="1:21" ht="14.5" x14ac:dyDescent="0.35">
      <c r="A28" s="8" t="s">
        <v>6449</v>
      </c>
      <c r="B28" s="8" t="str">
        <f>"9780415097574"</f>
        <v>9780415097574</v>
      </c>
      <c r="C28" s="8" t="str">
        <f>"9780203130155"</f>
        <v>9780203130155</v>
      </c>
      <c r="D28" s="8" t="s">
        <v>6350</v>
      </c>
      <c r="E28" s="8" t="s">
        <v>6351</v>
      </c>
      <c r="F28" s="8" t="s">
        <v>3967</v>
      </c>
      <c r="G28" s="8" t="s">
        <v>6352</v>
      </c>
      <c r="H28" s="8">
        <v>35096</v>
      </c>
      <c r="I28" s="8">
        <v>1995</v>
      </c>
      <c r="J28" s="8" t="s">
        <v>6353</v>
      </c>
      <c r="K28" s="8">
        <v>227</v>
      </c>
      <c r="L28" s="8" t="s">
        <v>6450</v>
      </c>
      <c r="M28" s="8">
        <v>1</v>
      </c>
      <c r="N28" s="8"/>
      <c r="O28" s="8"/>
      <c r="P28" s="8" t="s">
        <v>6451</v>
      </c>
      <c r="Q28" s="8"/>
      <c r="R28" s="8" t="s">
        <v>6452</v>
      </c>
      <c r="S28" s="8" t="s">
        <v>53</v>
      </c>
      <c r="T28" s="8" t="s">
        <v>54</v>
      </c>
      <c r="U28" s="9"/>
    </row>
    <row r="29" spans="1:21" ht="14.5" x14ac:dyDescent="0.35">
      <c r="A29" s="8" t="s">
        <v>6453</v>
      </c>
      <c r="B29" s="8" t="str">
        <f>"9780415104210"</f>
        <v>9780415104210</v>
      </c>
      <c r="C29" s="8" t="str">
        <f>"9780203138281"</f>
        <v>9780203138281</v>
      </c>
      <c r="D29" s="8" t="s">
        <v>6350</v>
      </c>
      <c r="E29" s="8" t="s">
        <v>6351</v>
      </c>
      <c r="F29" s="8" t="s">
        <v>139</v>
      </c>
      <c r="G29" s="8" t="s">
        <v>6317</v>
      </c>
      <c r="H29" s="8">
        <v>34653</v>
      </c>
      <c r="I29" s="8">
        <v>1994</v>
      </c>
      <c r="J29" s="8" t="s">
        <v>6353</v>
      </c>
      <c r="K29" s="8">
        <v>239</v>
      </c>
      <c r="L29" s="8" t="s">
        <v>6454</v>
      </c>
      <c r="M29" s="8">
        <v>1</v>
      </c>
      <c r="N29" s="8" t="s">
        <v>6436</v>
      </c>
      <c r="O29" s="8"/>
      <c r="P29" s="8" t="s">
        <v>6455</v>
      </c>
      <c r="Q29" s="8">
        <v>371.97009409999998</v>
      </c>
      <c r="R29" s="8" t="s">
        <v>6456</v>
      </c>
      <c r="S29" s="8" t="s">
        <v>53</v>
      </c>
      <c r="T29" s="8" t="s">
        <v>54</v>
      </c>
      <c r="U29" s="9"/>
    </row>
    <row r="30" spans="1:21" ht="14.5" x14ac:dyDescent="0.35">
      <c r="A30" s="8" t="s">
        <v>6457</v>
      </c>
      <c r="B30" s="8" t="str">
        <f>"9780415128391"</f>
        <v>9780415128391</v>
      </c>
      <c r="C30" s="8" t="str">
        <f>"9780203035184"</f>
        <v>9780203035184</v>
      </c>
      <c r="D30" s="8" t="s">
        <v>6350</v>
      </c>
      <c r="E30" s="8" t="s">
        <v>6351</v>
      </c>
      <c r="F30" s="8" t="s">
        <v>139</v>
      </c>
      <c r="G30" s="8" t="s">
        <v>6352</v>
      </c>
      <c r="H30" s="8">
        <v>35564</v>
      </c>
      <c r="I30" s="8">
        <v>1997</v>
      </c>
      <c r="J30" s="8" t="s">
        <v>6353</v>
      </c>
      <c r="K30" s="8">
        <v>283</v>
      </c>
      <c r="L30" s="8" t="s">
        <v>6458</v>
      </c>
      <c r="M30" s="8">
        <v>1</v>
      </c>
      <c r="N30" s="8"/>
      <c r="O30" s="8"/>
      <c r="P30" s="8" t="s">
        <v>6459</v>
      </c>
      <c r="Q30" s="8">
        <v>370.15</v>
      </c>
      <c r="R30" s="8" t="s">
        <v>6460</v>
      </c>
      <c r="S30" s="8" t="s">
        <v>53</v>
      </c>
      <c r="T30" s="8" t="s">
        <v>54</v>
      </c>
      <c r="U30" s="9"/>
    </row>
    <row r="31" spans="1:21" ht="14.5" x14ac:dyDescent="0.35">
      <c r="A31" s="8" t="s">
        <v>6461</v>
      </c>
      <c r="B31" s="8" t="str">
        <f>"9780415153393"</f>
        <v>9780415153393</v>
      </c>
      <c r="C31" s="8" t="str">
        <f>"9780203132029"</f>
        <v>9780203132029</v>
      </c>
      <c r="D31" s="8" t="s">
        <v>6350</v>
      </c>
      <c r="E31" s="8" t="s">
        <v>6351</v>
      </c>
      <c r="F31" s="8" t="s">
        <v>139</v>
      </c>
      <c r="G31" s="8" t="s">
        <v>6352</v>
      </c>
      <c r="H31" s="8">
        <v>35654</v>
      </c>
      <c r="I31" s="8">
        <v>1997</v>
      </c>
      <c r="J31" s="8" t="s">
        <v>6353</v>
      </c>
      <c r="K31" s="8">
        <v>225</v>
      </c>
      <c r="L31" s="8" t="s">
        <v>6462</v>
      </c>
      <c r="M31" s="8">
        <v>1</v>
      </c>
      <c r="N31" s="8"/>
      <c r="O31" s="8"/>
      <c r="P31" s="8" t="s">
        <v>6463</v>
      </c>
      <c r="Q31" s="8">
        <v>374</v>
      </c>
      <c r="R31" s="8" t="s">
        <v>6401</v>
      </c>
      <c r="S31" s="8" t="s">
        <v>53</v>
      </c>
      <c r="T31" s="8" t="s">
        <v>54</v>
      </c>
      <c r="U31" s="9"/>
    </row>
    <row r="32" spans="1:21" ht="14.5" x14ac:dyDescent="0.35">
      <c r="A32" s="8" t="s">
        <v>6464</v>
      </c>
      <c r="B32" s="8" t="str">
        <f>"9780415155595"</f>
        <v>9780415155595</v>
      </c>
      <c r="C32" s="8" t="str">
        <f>"9780203135198"</f>
        <v>9780203135198</v>
      </c>
      <c r="D32" s="8" t="s">
        <v>6350</v>
      </c>
      <c r="E32" s="8" t="s">
        <v>6351</v>
      </c>
      <c r="F32" s="8" t="s">
        <v>139</v>
      </c>
      <c r="G32" s="8" t="s">
        <v>6352</v>
      </c>
      <c r="H32" s="8">
        <v>35779</v>
      </c>
      <c r="I32" s="8">
        <v>1997</v>
      </c>
      <c r="J32" s="8" t="s">
        <v>6353</v>
      </c>
      <c r="K32" s="8">
        <v>249</v>
      </c>
      <c r="L32" s="8" t="s">
        <v>6465</v>
      </c>
      <c r="M32" s="8">
        <v>1</v>
      </c>
      <c r="N32" s="8"/>
      <c r="O32" s="8"/>
      <c r="P32" s="8" t="s">
        <v>6466</v>
      </c>
      <c r="Q32" s="8">
        <v>371.90460000000002</v>
      </c>
      <c r="R32" s="8" t="s">
        <v>6467</v>
      </c>
      <c r="S32" s="8" t="s">
        <v>53</v>
      </c>
      <c r="T32" s="8" t="s">
        <v>54</v>
      </c>
      <c r="U32" s="9"/>
    </row>
    <row r="33" spans="1:21" ht="14.5" x14ac:dyDescent="0.35">
      <c r="A33" s="8" t="s">
        <v>6468</v>
      </c>
      <c r="B33" s="8" t="str">
        <f>"9780415208840"</f>
        <v>9780415208840</v>
      </c>
      <c r="C33" s="8" t="str">
        <f>"9780203134818"</f>
        <v>9780203134818</v>
      </c>
      <c r="D33" s="8" t="s">
        <v>6350</v>
      </c>
      <c r="E33" s="8" t="s">
        <v>6351</v>
      </c>
      <c r="F33" s="8" t="s">
        <v>3967</v>
      </c>
      <c r="G33" s="8" t="s">
        <v>6352</v>
      </c>
      <c r="H33" s="8">
        <v>36549</v>
      </c>
      <c r="I33" s="8">
        <v>2000</v>
      </c>
      <c r="J33" s="8" t="s">
        <v>6353</v>
      </c>
      <c r="K33" s="8">
        <v>279</v>
      </c>
      <c r="L33" s="8" t="s">
        <v>6469</v>
      </c>
      <c r="M33" s="8">
        <v>1</v>
      </c>
      <c r="N33" s="8"/>
      <c r="O33" s="8"/>
      <c r="P33" s="8" t="s">
        <v>6470</v>
      </c>
      <c r="Q33" s="8">
        <v>305.23</v>
      </c>
      <c r="R33" s="8" t="s">
        <v>6471</v>
      </c>
      <c r="S33" s="8" t="s">
        <v>53</v>
      </c>
      <c r="T33" s="8" t="s">
        <v>6472</v>
      </c>
      <c r="U33" s="9"/>
    </row>
    <row r="34" spans="1:21" ht="14.5" x14ac:dyDescent="0.35">
      <c r="A34" s="8" t="s">
        <v>6473</v>
      </c>
      <c r="B34" s="8" t="str">
        <f>"9780415222822"</f>
        <v>9780415222822</v>
      </c>
      <c r="C34" s="8" t="str">
        <f>"9780203137895"</f>
        <v>9780203137895</v>
      </c>
      <c r="D34" s="8" t="s">
        <v>6350</v>
      </c>
      <c r="E34" s="8" t="s">
        <v>6351</v>
      </c>
      <c r="F34" s="8" t="s">
        <v>5406</v>
      </c>
      <c r="G34" s="8" t="s">
        <v>6317</v>
      </c>
      <c r="H34" s="8">
        <v>36816</v>
      </c>
      <c r="I34" s="8">
        <v>2000</v>
      </c>
      <c r="J34" s="8" t="s">
        <v>6353</v>
      </c>
      <c r="K34" s="8">
        <v>111</v>
      </c>
      <c r="L34" s="8" t="s">
        <v>6474</v>
      </c>
      <c r="M34" s="8">
        <v>1</v>
      </c>
      <c r="N34" s="8"/>
      <c r="O34" s="8"/>
      <c r="P34" s="8" t="s">
        <v>6475</v>
      </c>
      <c r="Q34" s="8">
        <v>371.952</v>
      </c>
      <c r="R34" s="8" t="s">
        <v>6476</v>
      </c>
      <c r="S34" s="8" t="s">
        <v>53</v>
      </c>
      <c r="T34" s="8" t="s">
        <v>54</v>
      </c>
      <c r="U34" s="9"/>
    </row>
    <row r="35" spans="1:21" ht="14.5" x14ac:dyDescent="0.35">
      <c r="A35" s="8" t="s">
        <v>6477</v>
      </c>
      <c r="B35" s="8" t="str">
        <f>"9780415230544"</f>
        <v>9780415230544</v>
      </c>
      <c r="C35" s="8" t="str">
        <f>"9780203134276"</f>
        <v>9780203134276</v>
      </c>
      <c r="D35" s="8" t="s">
        <v>6350</v>
      </c>
      <c r="E35" s="8" t="s">
        <v>6351</v>
      </c>
      <c r="F35" s="8" t="s">
        <v>139</v>
      </c>
      <c r="G35" s="8" t="s">
        <v>6352</v>
      </c>
      <c r="H35" s="8">
        <v>36837</v>
      </c>
      <c r="I35" s="8">
        <v>2000</v>
      </c>
      <c r="J35" s="8" t="s">
        <v>6353</v>
      </c>
      <c r="K35" s="8">
        <v>142</v>
      </c>
      <c r="L35" s="8" t="s">
        <v>6478</v>
      </c>
      <c r="M35" s="8">
        <v>1</v>
      </c>
      <c r="N35" s="8"/>
      <c r="O35" s="8"/>
      <c r="P35" s="8" t="s">
        <v>6479</v>
      </c>
      <c r="Q35" s="8">
        <v>371.82996072999998</v>
      </c>
      <c r="R35" s="8" t="s">
        <v>6480</v>
      </c>
      <c r="S35" s="8" t="s">
        <v>53</v>
      </c>
      <c r="T35" s="8" t="s">
        <v>54</v>
      </c>
      <c r="U35" s="9"/>
    </row>
    <row r="36" spans="1:21" ht="14.5" x14ac:dyDescent="0.35">
      <c r="A36" s="8" t="s">
        <v>6481</v>
      </c>
      <c r="B36" s="8" t="str">
        <f>"9780415230964"</f>
        <v>9780415230964</v>
      </c>
      <c r="C36" s="8" t="str">
        <f>"9780203134023"</f>
        <v>9780203134023</v>
      </c>
      <c r="D36" s="8" t="s">
        <v>6350</v>
      </c>
      <c r="E36" s="8" t="s">
        <v>6351</v>
      </c>
      <c r="F36" s="8" t="s">
        <v>139</v>
      </c>
      <c r="G36" s="8" t="s">
        <v>6352</v>
      </c>
      <c r="H36" s="8">
        <v>36788</v>
      </c>
      <c r="I36" s="8">
        <v>2000</v>
      </c>
      <c r="J36" s="8" t="s">
        <v>6353</v>
      </c>
      <c r="K36" s="8">
        <v>193</v>
      </c>
      <c r="L36" s="8" t="s">
        <v>6482</v>
      </c>
      <c r="M36" s="8">
        <v>1</v>
      </c>
      <c r="N36" s="8"/>
      <c r="O36" s="8"/>
      <c r="P36" s="8" t="s">
        <v>6483</v>
      </c>
      <c r="Q36" s="8">
        <v>371.10199999999998</v>
      </c>
      <c r="R36" s="8" t="s">
        <v>6484</v>
      </c>
      <c r="S36" s="8" t="s">
        <v>53</v>
      </c>
      <c r="T36" s="8" t="s">
        <v>54</v>
      </c>
      <c r="U36" s="9"/>
    </row>
    <row r="37" spans="1:21" ht="14.5" x14ac:dyDescent="0.35">
      <c r="A37" s="8" t="s">
        <v>6485</v>
      </c>
      <c r="B37" s="8" t="str">
        <f>"9780415235129"</f>
        <v>9780415235129</v>
      </c>
      <c r="C37" s="8" t="str">
        <f>"9780203132227"</f>
        <v>9780203132227</v>
      </c>
      <c r="D37" s="8" t="s">
        <v>6350</v>
      </c>
      <c r="E37" s="8" t="s">
        <v>6351</v>
      </c>
      <c r="F37" s="8" t="s">
        <v>139</v>
      </c>
      <c r="G37" s="8" t="s">
        <v>6352</v>
      </c>
      <c r="H37" s="8">
        <v>36860</v>
      </c>
      <c r="I37" s="8">
        <v>2000</v>
      </c>
      <c r="J37" s="8" t="s">
        <v>6353</v>
      </c>
      <c r="K37" s="8">
        <v>201</v>
      </c>
      <c r="L37" s="8" t="s">
        <v>6486</v>
      </c>
      <c r="M37" s="8">
        <v>1</v>
      </c>
      <c r="N37" s="8"/>
      <c r="O37" s="8"/>
      <c r="P37" s="8" t="s">
        <v>6487</v>
      </c>
      <c r="Q37" s="8">
        <v>371.22399999999999</v>
      </c>
      <c r="R37" s="8" t="s">
        <v>6392</v>
      </c>
      <c r="S37" s="8" t="s">
        <v>53</v>
      </c>
      <c r="T37" s="8" t="s">
        <v>54</v>
      </c>
      <c r="U37" s="9"/>
    </row>
    <row r="38" spans="1:21" ht="14.5" x14ac:dyDescent="0.35">
      <c r="A38" s="8" t="s">
        <v>6488</v>
      </c>
      <c r="B38" s="8" t="str">
        <f>"9780750707305"</f>
        <v>9780750707305</v>
      </c>
      <c r="C38" s="8" t="str">
        <f>"9780203137581"</f>
        <v>9780203137581</v>
      </c>
      <c r="D38" s="8" t="s">
        <v>6350</v>
      </c>
      <c r="E38" s="8" t="s">
        <v>6351</v>
      </c>
      <c r="F38" s="8" t="s">
        <v>139</v>
      </c>
      <c r="G38" s="8" t="s">
        <v>6352</v>
      </c>
      <c r="H38" s="8">
        <v>35674</v>
      </c>
      <c r="I38" s="8">
        <v>1997</v>
      </c>
      <c r="J38" s="8" t="s">
        <v>6353</v>
      </c>
      <c r="K38" s="8">
        <v>134</v>
      </c>
      <c r="L38" s="8" t="s">
        <v>6489</v>
      </c>
      <c r="M38" s="8">
        <v>1</v>
      </c>
      <c r="N38" s="8"/>
      <c r="O38" s="8"/>
      <c r="P38" s="8" t="s">
        <v>6490</v>
      </c>
      <c r="Q38" s="8">
        <v>373.18234999999999</v>
      </c>
      <c r="R38" s="8" t="s">
        <v>6491</v>
      </c>
      <c r="S38" s="8" t="s">
        <v>53</v>
      </c>
      <c r="T38" s="8" t="s">
        <v>6492</v>
      </c>
      <c r="U38" s="9"/>
    </row>
    <row r="39" spans="1:21" ht="14.5" x14ac:dyDescent="0.35">
      <c r="A39" s="8" t="s">
        <v>6493</v>
      </c>
      <c r="B39" s="8" t="str">
        <f>"9780415142472"</f>
        <v>9780415142472</v>
      </c>
      <c r="C39" s="8" t="str">
        <f>"9780203034323"</f>
        <v>9780203034323</v>
      </c>
      <c r="D39" s="8" t="s">
        <v>6350</v>
      </c>
      <c r="E39" s="8" t="s">
        <v>6351</v>
      </c>
      <c r="F39" s="8" t="s">
        <v>139</v>
      </c>
      <c r="G39" s="8" t="s">
        <v>6352</v>
      </c>
      <c r="H39" s="8">
        <v>35607</v>
      </c>
      <c r="I39" s="8">
        <v>2002</v>
      </c>
      <c r="J39" s="8" t="s">
        <v>6353</v>
      </c>
      <c r="K39" s="8">
        <v>230</v>
      </c>
      <c r="L39" s="8" t="s">
        <v>6494</v>
      </c>
      <c r="M39" s="8">
        <v>1</v>
      </c>
      <c r="N39" s="8"/>
      <c r="O39" s="8"/>
      <c r="P39" s="8" t="s">
        <v>6495</v>
      </c>
      <c r="Q39" s="8" t="s">
        <v>6496</v>
      </c>
      <c r="R39" s="8" t="s">
        <v>6497</v>
      </c>
      <c r="S39" s="8" t="s">
        <v>53</v>
      </c>
      <c r="T39" s="8" t="s">
        <v>6498</v>
      </c>
      <c r="U39" s="9"/>
    </row>
    <row r="40" spans="1:21" ht="14.5" x14ac:dyDescent="0.35">
      <c r="A40" s="8" t="s">
        <v>6499</v>
      </c>
      <c r="B40" s="8" t="str">
        <f>"9780415229579"</f>
        <v>9780415229579</v>
      </c>
      <c r="C40" s="8" t="str">
        <f>"9780203133545"</f>
        <v>9780203133545</v>
      </c>
      <c r="D40" s="8" t="s">
        <v>6350</v>
      </c>
      <c r="E40" s="8" t="s">
        <v>6351</v>
      </c>
      <c r="F40" s="8" t="s">
        <v>139</v>
      </c>
      <c r="G40" s="8" t="s">
        <v>6352</v>
      </c>
      <c r="H40" s="8">
        <v>36747</v>
      </c>
      <c r="I40" s="8">
        <v>2000</v>
      </c>
      <c r="J40" s="8" t="s">
        <v>6353</v>
      </c>
      <c r="K40" s="8">
        <v>158</v>
      </c>
      <c r="L40" s="8" t="s">
        <v>6500</v>
      </c>
      <c r="M40" s="8">
        <v>1</v>
      </c>
      <c r="N40" s="8"/>
      <c r="O40" s="8"/>
      <c r="P40" s="8" t="s">
        <v>6501</v>
      </c>
      <c r="Q40" s="8">
        <v>371.20609409999997</v>
      </c>
      <c r="R40" s="8" t="s">
        <v>6502</v>
      </c>
      <c r="S40" s="8" t="s">
        <v>53</v>
      </c>
      <c r="T40" s="8" t="s">
        <v>54</v>
      </c>
      <c r="U40" s="9"/>
    </row>
    <row r="41" spans="1:21" ht="14.5" x14ac:dyDescent="0.35">
      <c r="A41" s="8" t="s">
        <v>6503</v>
      </c>
      <c r="B41" s="8" t="str">
        <f>"9780415177757"</f>
        <v>9780415177757</v>
      </c>
      <c r="C41" s="8" t="str">
        <f>"9781134684434"</f>
        <v>9781134684434</v>
      </c>
      <c r="D41" s="8" t="s">
        <v>6350</v>
      </c>
      <c r="E41" s="8" t="s">
        <v>6351</v>
      </c>
      <c r="F41" s="8" t="s">
        <v>139</v>
      </c>
      <c r="G41" s="8" t="s">
        <v>6352</v>
      </c>
      <c r="H41" s="8">
        <v>37652</v>
      </c>
      <c r="I41" s="8">
        <v>2002</v>
      </c>
      <c r="J41" s="8" t="s">
        <v>6353</v>
      </c>
      <c r="K41" s="8">
        <v>178</v>
      </c>
      <c r="L41" s="8" t="s">
        <v>6504</v>
      </c>
      <c r="M41" s="8">
        <v>1</v>
      </c>
      <c r="N41" s="8" t="s">
        <v>6505</v>
      </c>
      <c r="O41" s="8"/>
      <c r="P41" s="8" t="s">
        <v>6506</v>
      </c>
      <c r="Q41" s="8">
        <v>373.42</v>
      </c>
      <c r="R41" s="8" t="s">
        <v>6507</v>
      </c>
      <c r="S41" s="8" t="s">
        <v>53</v>
      </c>
      <c r="T41" s="8" t="s">
        <v>54</v>
      </c>
      <c r="U41" s="9"/>
    </row>
    <row r="42" spans="1:21" ht="14.5" x14ac:dyDescent="0.35">
      <c r="A42" s="8" t="s">
        <v>6508</v>
      </c>
      <c r="B42" s="8" t="str">
        <f>"9780415177610"</f>
        <v>9780415177610</v>
      </c>
      <c r="C42" s="8" t="str">
        <f>"9780203000014"</f>
        <v>9780203000014</v>
      </c>
      <c r="D42" s="8" t="s">
        <v>6350</v>
      </c>
      <c r="E42" s="8" t="s">
        <v>6351</v>
      </c>
      <c r="F42" s="8" t="s">
        <v>5406</v>
      </c>
      <c r="G42" s="8" t="s">
        <v>6317</v>
      </c>
      <c r="H42" s="8">
        <v>37652</v>
      </c>
      <c r="I42" s="8">
        <v>1998</v>
      </c>
      <c r="J42" s="8" t="s">
        <v>6353</v>
      </c>
      <c r="K42" s="8">
        <v>321</v>
      </c>
      <c r="L42" s="8" t="s">
        <v>6509</v>
      </c>
      <c r="M42" s="8">
        <v>1</v>
      </c>
      <c r="N42" s="8" t="s">
        <v>6505</v>
      </c>
      <c r="O42" s="8"/>
      <c r="P42" s="8" t="s">
        <v>6510</v>
      </c>
      <c r="Q42" s="8">
        <v>370.92</v>
      </c>
      <c r="R42" s="8" t="s">
        <v>6511</v>
      </c>
      <c r="S42" s="8" t="s">
        <v>53</v>
      </c>
      <c r="T42" s="8" t="s">
        <v>54</v>
      </c>
      <c r="U42" s="9"/>
    </row>
    <row r="43" spans="1:21" ht="14.5" x14ac:dyDescent="0.35">
      <c r="A43" s="8" t="s">
        <v>6512</v>
      </c>
      <c r="B43" s="8" t="str">
        <f>"9780415176330"</f>
        <v>9780415176330</v>
      </c>
      <c r="C43" s="8" t="str">
        <f>"9780203001295"</f>
        <v>9780203001295</v>
      </c>
      <c r="D43" s="8" t="s">
        <v>6350</v>
      </c>
      <c r="E43" s="8" t="s">
        <v>6351</v>
      </c>
      <c r="F43" s="8" t="s">
        <v>5406</v>
      </c>
      <c r="G43" s="8" t="s">
        <v>6317</v>
      </c>
      <c r="H43" s="8">
        <v>37652</v>
      </c>
      <c r="I43" s="8">
        <v>2002</v>
      </c>
      <c r="J43" s="8" t="s">
        <v>6353</v>
      </c>
      <c r="K43" s="8">
        <v>192</v>
      </c>
      <c r="L43" s="8" t="s">
        <v>6513</v>
      </c>
      <c r="M43" s="8">
        <v>1</v>
      </c>
      <c r="N43" s="8" t="s">
        <v>6505</v>
      </c>
      <c r="O43" s="8"/>
      <c r="P43" s="8" t="s">
        <v>6514</v>
      </c>
      <c r="Q43" s="8">
        <v>370.11099999999999</v>
      </c>
      <c r="R43" s="8" t="s">
        <v>6515</v>
      </c>
      <c r="S43" s="8" t="s">
        <v>53</v>
      </c>
      <c r="T43" s="8" t="s">
        <v>54</v>
      </c>
      <c r="U43" s="9"/>
    </row>
    <row r="44" spans="1:21" ht="14.5" x14ac:dyDescent="0.35">
      <c r="A44" s="8" t="s">
        <v>6516</v>
      </c>
      <c r="B44" s="8" t="str">
        <f>"9780415180979"</f>
        <v>9780415180979</v>
      </c>
      <c r="C44" s="8" t="str">
        <f>"9780203029886"</f>
        <v>9780203029886</v>
      </c>
      <c r="D44" s="8" t="s">
        <v>6350</v>
      </c>
      <c r="E44" s="8" t="s">
        <v>6351</v>
      </c>
      <c r="F44" s="8" t="s">
        <v>139</v>
      </c>
      <c r="G44" s="8" t="s">
        <v>6352</v>
      </c>
      <c r="H44" s="8">
        <v>36203</v>
      </c>
      <c r="I44" s="8">
        <v>1998</v>
      </c>
      <c r="J44" s="8" t="s">
        <v>6353</v>
      </c>
      <c r="K44" s="8">
        <v>281</v>
      </c>
      <c r="L44" s="8" t="s">
        <v>6517</v>
      </c>
      <c r="M44" s="8">
        <v>1</v>
      </c>
      <c r="N44" s="8" t="s">
        <v>6518</v>
      </c>
      <c r="O44" s="8"/>
      <c r="P44" s="8" t="s">
        <v>6519</v>
      </c>
      <c r="Q44" s="8">
        <v>174.93700000000001</v>
      </c>
      <c r="R44" s="8" t="s">
        <v>6520</v>
      </c>
      <c r="S44" s="8" t="s">
        <v>53</v>
      </c>
      <c r="T44" s="8" t="s">
        <v>6521</v>
      </c>
      <c r="U44" s="9"/>
    </row>
    <row r="45" spans="1:21" ht="14.5" x14ac:dyDescent="0.35">
      <c r="A45" s="8" t="s">
        <v>6522</v>
      </c>
      <c r="B45" s="8" t="str">
        <f>"9781857287929"</f>
        <v>9781857287929</v>
      </c>
      <c r="C45" s="8" t="str">
        <f>"9780203007068"</f>
        <v>9780203007068</v>
      </c>
      <c r="D45" s="8" t="s">
        <v>6350</v>
      </c>
      <c r="E45" s="8" t="s">
        <v>6351</v>
      </c>
      <c r="F45" s="8" t="s">
        <v>748</v>
      </c>
      <c r="G45" s="8" t="s">
        <v>6352</v>
      </c>
      <c r="H45" s="8">
        <v>35827</v>
      </c>
      <c r="I45" s="8">
        <v>1998</v>
      </c>
      <c r="J45" s="8" t="s">
        <v>6351</v>
      </c>
      <c r="K45" s="8">
        <v>214</v>
      </c>
      <c r="L45" s="8" t="s">
        <v>6523</v>
      </c>
      <c r="M45" s="8">
        <v>1</v>
      </c>
      <c r="N45" s="8" t="s">
        <v>6524</v>
      </c>
      <c r="O45" s="8"/>
      <c r="P45" s="8" t="s">
        <v>6525</v>
      </c>
      <c r="Q45" s="8">
        <v>306.07100000000003</v>
      </c>
      <c r="R45" s="8" t="s">
        <v>6392</v>
      </c>
      <c r="S45" s="8" t="s">
        <v>53</v>
      </c>
      <c r="T45" s="8" t="s">
        <v>6526</v>
      </c>
      <c r="U45" s="9"/>
    </row>
    <row r="46" spans="1:21" ht="14.5" x14ac:dyDescent="0.35">
      <c r="A46" s="8" t="s">
        <v>6527</v>
      </c>
      <c r="B46" s="8" t="str">
        <f>"9781857285178"</f>
        <v>9781857285178</v>
      </c>
      <c r="C46" s="8" t="str">
        <f>"9780203006511"</f>
        <v>9780203006511</v>
      </c>
      <c r="D46" s="8" t="s">
        <v>6350</v>
      </c>
      <c r="E46" s="8" t="s">
        <v>6351</v>
      </c>
      <c r="F46" s="8" t="s">
        <v>139</v>
      </c>
      <c r="G46" s="8" t="s">
        <v>6317</v>
      </c>
      <c r="H46" s="8">
        <v>36251</v>
      </c>
      <c r="I46" s="8">
        <v>1999</v>
      </c>
      <c r="J46" s="8" t="s">
        <v>6353</v>
      </c>
      <c r="K46" s="8">
        <v>281</v>
      </c>
      <c r="L46" s="8" t="s">
        <v>6528</v>
      </c>
      <c r="M46" s="8">
        <v>1</v>
      </c>
      <c r="N46" s="8"/>
      <c r="O46" s="8"/>
      <c r="P46" s="8" t="s">
        <v>6529</v>
      </c>
      <c r="Q46" s="8">
        <v>378.42</v>
      </c>
      <c r="R46" s="8" t="s">
        <v>6530</v>
      </c>
      <c r="S46" s="8" t="s">
        <v>53</v>
      </c>
      <c r="T46" s="8" t="s">
        <v>54</v>
      </c>
      <c r="U46" s="9"/>
    </row>
    <row r="47" spans="1:21" ht="14.5" x14ac:dyDescent="0.35">
      <c r="A47" s="8" t="s">
        <v>6531</v>
      </c>
      <c r="B47" s="8" t="str">
        <f>"9780750710084"</f>
        <v>9780750710084</v>
      </c>
      <c r="C47" s="8" t="str">
        <f>"9780203016466"</f>
        <v>9780203016466</v>
      </c>
      <c r="D47" s="8" t="s">
        <v>6350</v>
      </c>
      <c r="E47" s="8" t="s">
        <v>6351</v>
      </c>
      <c r="F47" s="8" t="s">
        <v>139</v>
      </c>
      <c r="G47" s="8" t="s">
        <v>6352</v>
      </c>
      <c r="H47" s="8">
        <v>36434</v>
      </c>
      <c r="I47" s="8">
        <v>1999</v>
      </c>
      <c r="J47" s="8" t="s">
        <v>6353</v>
      </c>
      <c r="K47" s="8">
        <v>280</v>
      </c>
      <c r="L47" s="8" t="s">
        <v>6532</v>
      </c>
      <c r="M47" s="8">
        <v>1</v>
      </c>
      <c r="N47" s="8"/>
      <c r="O47" s="8"/>
      <c r="P47" s="8" t="s">
        <v>6533</v>
      </c>
      <c r="Q47" s="8">
        <v>510.71</v>
      </c>
      <c r="R47" s="8" t="s">
        <v>6534</v>
      </c>
      <c r="S47" s="8" t="s">
        <v>53</v>
      </c>
      <c r="T47" s="8" t="s">
        <v>389</v>
      </c>
      <c r="U47" s="9"/>
    </row>
    <row r="48" spans="1:21" ht="14.5" x14ac:dyDescent="0.35">
      <c r="A48" s="8" t="s">
        <v>6535</v>
      </c>
      <c r="B48" s="8" t="str">
        <f>"9780750709392"</f>
        <v>9780750709392</v>
      </c>
      <c r="C48" s="8" t="str">
        <f>"9780203022894"</f>
        <v>9780203022894</v>
      </c>
      <c r="D48" s="8" t="s">
        <v>6350</v>
      </c>
      <c r="E48" s="8" t="s">
        <v>6351</v>
      </c>
      <c r="F48" s="8" t="s">
        <v>139</v>
      </c>
      <c r="G48" s="8" t="s">
        <v>6352</v>
      </c>
      <c r="H48" s="8">
        <v>36130</v>
      </c>
      <c r="I48" s="8">
        <v>1998</v>
      </c>
      <c r="J48" s="8" t="s">
        <v>6353</v>
      </c>
      <c r="K48" s="8">
        <v>273</v>
      </c>
      <c r="L48" s="8" t="s">
        <v>6536</v>
      </c>
      <c r="M48" s="8">
        <v>1</v>
      </c>
      <c r="N48" s="8"/>
      <c r="O48" s="8"/>
      <c r="P48" s="8" t="s">
        <v>6537</v>
      </c>
      <c r="Q48" s="8" t="s">
        <v>6538</v>
      </c>
      <c r="R48" s="8" t="s">
        <v>6539</v>
      </c>
      <c r="S48" s="8" t="s">
        <v>53</v>
      </c>
      <c r="T48" s="8" t="s">
        <v>389</v>
      </c>
      <c r="U48" s="9"/>
    </row>
    <row r="49" spans="1:21" ht="14.5" x14ac:dyDescent="0.35">
      <c r="A49" s="8" t="s">
        <v>6540</v>
      </c>
      <c r="B49" s="8" t="str">
        <f>"9780750709019"</f>
        <v>9780750709019</v>
      </c>
      <c r="C49" s="8" t="str">
        <f>"9780203009833"</f>
        <v>9780203009833</v>
      </c>
      <c r="D49" s="8" t="s">
        <v>6350</v>
      </c>
      <c r="E49" s="8" t="s">
        <v>6351</v>
      </c>
      <c r="F49" s="8" t="s">
        <v>748</v>
      </c>
      <c r="G49" s="8" t="s">
        <v>6352</v>
      </c>
      <c r="H49" s="8">
        <v>36434</v>
      </c>
      <c r="I49" s="8">
        <v>2000</v>
      </c>
      <c r="J49" s="8" t="s">
        <v>6351</v>
      </c>
      <c r="K49" s="8">
        <v>305</v>
      </c>
      <c r="L49" s="8" t="s">
        <v>6541</v>
      </c>
      <c r="M49" s="8">
        <v>1</v>
      </c>
      <c r="N49" s="8"/>
      <c r="O49" s="8"/>
      <c r="P49" s="8" t="s">
        <v>6542</v>
      </c>
      <c r="Q49" s="8">
        <v>371.9</v>
      </c>
      <c r="R49" s="8" t="s">
        <v>6543</v>
      </c>
      <c r="S49" s="8" t="s">
        <v>53</v>
      </c>
      <c r="T49" s="8" t="s">
        <v>54</v>
      </c>
      <c r="U49" s="9"/>
    </row>
    <row r="50" spans="1:21" ht="14.5" x14ac:dyDescent="0.35">
      <c r="A50" s="8" t="s">
        <v>6544</v>
      </c>
      <c r="B50" s="8" t="str">
        <f>"9780750708937"</f>
        <v>9780750708937</v>
      </c>
      <c r="C50" s="8" t="str">
        <f>"9780203030400"</f>
        <v>9780203030400</v>
      </c>
      <c r="D50" s="8" t="s">
        <v>6350</v>
      </c>
      <c r="E50" s="8" t="s">
        <v>6351</v>
      </c>
      <c r="F50" s="8" t="s">
        <v>748</v>
      </c>
      <c r="G50" s="8" t="s">
        <v>6352</v>
      </c>
      <c r="H50" s="8">
        <v>36495</v>
      </c>
      <c r="I50" s="8">
        <v>2000</v>
      </c>
      <c r="J50" s="8" t="s">
        <v>6351</v>
      </c>
      <c r="K50" s="8">
        <v>305</v>
      </c>
      <c r="L50" s="8" t="s">
        <v>6545</v>
      </c>
      <c r="M50" s="8">
        <v>1</v>
      </c>
      <c r="N50" s="8"/>
      <c r="O50" s="8"/>
      <c r="P50" s="8" t="s">
        <v>6546</v>
      </c>
      <c r="Q50" s="8">
        <v>371.9</v>
      </c>
      <c r="R50" s="8" t="s">
        <v>6547</v>
      </c>
      <c r="S50" s="8" t="s">
        <v>53</v>
      </c>
      <c r="T50" s="8" t="s">
        <v>54</v>
      </c>
      <c r="U50" s="9"/>
    </row>
    <row r="51" spans="1:21" ht="14.5" x14ac:dyDescent="0.35">
      <c r="A51" s="8" t="s">
        <v>6548</v>
      </c>
      <c r="B51" s="8" t="str">
        <f>"9780750708678"</f>
        <v>9780750708678</v>
      </c>
      <c r="C51" s="8" t="str">
        <f>"9780203011737"</f>
        <v>9780203011737</v>
      </c>
      <c r="D51" s="8" t="s">
        <v>6350</v>
      </c>
      <c r="E51" s="8" t="s">
        <v>6351</v>
      </c>
      <c r="F51" s="8" t="s">
        <v>139</v>
      </c>
      <c r="G51" s="8" t="s">
        <v>6352</v>
      </c>
      <c r="H51" s="8">
        <v>36391</v>
      </c>
      <c r="I51" s="8">
        <v>1999</v>
      </c>
      <c r="J51" s="8" t="s">
        <v>6353</v>
      </c>
      <c r="K51" s="8">
        <v>127</v>
      </c>
      <c r="L51" s="8" t="s">
        <v>6549</v>
      </c>
      <c r="M51" s="8">
        <v>1</v>
      </c>
      <c r="N51" s="8"/>
      <c r="O51" s="8"/>
      <c r="P51" s="8" t="s">
        <v>6550</v>
      </c>
      <c r="Q51" s="8">
        <v>373.18235099999998</v>
      </c>
      <c r="R51" s="8" t="s">
        <v>54</v>
      </c>
      <c r="S51" s="8" t="s">
        <v>53</v>
      </c>
      <c r="T51" s="8" t="s">
        <v>54</v>
      </c>
      <c r="U51" s="9"/>
    </row>
    <row r="52" spans="1:21" ht="14.5" x14ac:dyDescent="0.35">
      <c r="A52" s="8" t="s">
        <v>6551</v>
      </c>
      <c r="B52" s="8" t="str">
        <f>"9780750708012"</f>
        <v>9780750708012</v>
      </c>
      <c r="C52" s="8" t="str">
        <f>"9781135709822"</f>
        <v>9781135709822</v>
      </c>
      <c r="D52" s="8" t="s">
        <v>6350</v>
      </c>
      <c r="E52" s="8" t="s">
        <v>6351</v>
      </c>
      <c r="F52" s="8" t="s">
        <v>5406</v>
      </c>
      <c r="G52" s="8" t="s">
        <v>6317</v>
      </c>
      <c r="H52" s="8">
        <v>36312</v>
      </c>
      <c r="I52" s="8">
        <v>1999</v>
      </c>
      <c r="J52" s="8" t="s">
        <v>6353</v>
      </c>
      <c r="K52" s="8">
        <v>249</v>
      </c>
      <c r="L52" s="8" t="s">
        <v>6552</v>
      </c>
      <c r="M52" s="8">
        <v>1</v>
      </c>
      <c r="N52" s="8" t="s">
        <v>6553</v>
      </c>
      <c r="O52" s="8"/>
      <c r="P52" s="8" t="s">
        <v>6554</v>
      </c>
      <c r="Q52" s="8">
        <v>370</v>
      </c>
      <c r="R52" s="8" t="s">
        <v>6555</v>
      </c>
      <c r="S52" s="8" t="s">
        <v>53</v>
      </c>
      <c r="T52" s="8" t="s">
        <v>54</v>
      </c>
      <c r="U52" s="9"/>
    </row>
    <row r="53" spans="1:21" ht="14.5" x14ac:dyDescent="0.35">
      <c r="A53" s="8" t="s">
        <v>6556</v>
      </c>
      <c r="B53" s="8" t="str">
        <f>"9780750707893"</f>
        <v>9780750707893</v>
      </c>
      <c r="C53" s="8" t="str">
        <f>"9780203019191"</f>
        <v>9780203019191</v>
      </c>
      <c r="D53" s="8" t="s">
        <v>6350</v>
      </c>
      <c r="E53" s="8" t="s">
        <v>6351</v>
      </c>
      <c r="F53" s="8" t="s">
        <v>139</v>
      </c>
      <c r="G53" s="8" t="s">
        <v>6352</v>
      </c>
      <c r="H53" s="8">
        <v>36008</v>
      </c>
      <c r="I53" s="8">
        <v>1998</v>
      </c>
      <c r="J53" s="8" t="s">
        <v>6353</v>
      </c>
      <c r="K53" s="8">
        <v>215</v>
      </c>
      <c r="L53" s="8" t="s">
        <v>6557</v>
      </c>
      <c r="M53" s="8">
        <v>1</v>
      </c>
      <c r="N53" s="8"/>
      <c r="O53" s="8"/>
      <c r="P53" s="8">
        <v>99168709</v>
      </c>
      <c r="Q53" s="8">
        <v>375.00599999999997</v>
      </c>
      <c r="R53" s="8" t="s">
        <v>6558</v>
      </c>
      <c r="S53" s="8" t="s">
        <v>53</v>
      </c>
      <c r="T53" s="8" t="s">
        <v>54</v>
      </c>
      <c r="U53" s="9"/>
    </row>
    <row r="54" spans="1:21" ht="14.5" x14ac:dyDescent="0.35">
      <c r="A54" s="8" t="s">
        <v>6559</v>
      </c>
      <c r="B54" s="8" t="str">
        <f>"9780750707480"</f>
        <v>9780750707480</v>
      </c>
      <c r="C54" s="8" t="str">
        <f>"9780203021316"</f>
        <v>9780203021316</v>
      </c>
      <c r="D54" s="8" t="s">
        <v>6350</v>
      </c>
      <c r="E54" s="8" t="s">
        <v>6351</v>
      </c>
      <c r="F54" s="8" t="s">
        <v>139</v>
      </c>
      <c r="G54" s="8" t="s">
        <v>6352</v>
      </c>
      <c r="H54" s="8">
        <v>36251</v>
      </c>
      <c r="I54" s="8">
        <v>1999</v>
      </c>
      <c r="J54" s="8" t="s">
        <v>6353</v>
      </c>
      <c r="K54" s="8">
        <v>262</v>
      </c>
      <c r="L54" s="8" t="s">
        <v>6560</v>
      </c>
      <c r="M54" s="8">
        <v>1</v>
      </c>
      <c r="N54" s="8" t="s">
        <v>6561</v>
      </c>
      <c r="O54" s="8"/>
      <c r="P54" s="8" t="s">
        <v>6562</v>
      </c>
      <c r="Q54" s="8">
        <v>370.71499999999997</v>
      </c>
      <c r="R54" s="8" t="s">
        <v>6563</v>
      </c>
      <c r="S54" s="8" t="s">
        <v>53</v>
      </c>
      <c r="T54" s="8" t="s">
        <v>54</v>
      </c>
      <c r="U54" s="9"/>
    </row>
    <row r="55" spans="1:21" ht="14.5" x14ac:dyDescent="0.35">
      <c r="A55" s="8" t="s">
        <v>6564</v>
      </c>
      <c r="B55" s="8" t="str">
        <f>"9780750707442"</f>
        <v>9780750707442</v>
      </c>
      <c r="C55" s="8" t="str">
        <f>"9780203024577"</f>
        <v>9780203024577</v>
      </c>
      <c r="D55" s="8" t="s">
        <v>6350</v>
      </c>
      <c r="E55" s="8" t="s">
        <v>6351</v>
      </c>
      <c r="F55" s="8" t="s">
        <v>5406</v>
      </c>
      <c r="G55" s="8" t="s">
        <v>6317</v>
      </c>
      <c r="H55" s="8">
        <v>36495</v>
      </c>
      <c r="I55" s="8">
        <v>1999</v>
      </c>
      <c r="J55" s="8" t="s">
        <v>6353</v>
      </c>
      <c r="K55" s="8">
        <v>181</v>
      </c>
      <c r="L55" s="8" t="s">
        <v>6565</v>
      </c>
      <c r="M55" s="8">
        <v>1</v>
      </c>
      <c r="N55" s="8"/>
      <c r="O55" s="8"/>
      <c r="P55" s="8" t="s">
        <v>6566</v>
      </c>
      <c r="Q55" s="8">
        <v>808.06637799999999</v>
      </c>
      <c r="R55" s="8" t="s">
        <v>6567</v>
      </c>
      <c r="S55" s="8" t="s">
        <v>53</v>
      </c>
      <c r="T55" s="8" t="s">
        <v>6568</v>
      </c>
      <c r="U55" s="9"/>
    </row>
    <row r="56" spans="1:21" ht="14.5" x14ac:dyDescent="0.35">
      <c r="A56" s="8" t="s">
        <v>6569</v>
      </c>
      <c r="B56" s="8" t="str">
        <f>"9780750707411"</f>
        <v>9780750707411</v>
      </c>
      <c r="C56" s="8" t="str">
        <f>"9780203019771"</f>
        <v>9780203019771</v>
      </c>
      <c r="D56" s="8" t="s">
        <v>6350</v>
      </c>
      <c r="E56" s="8" t="s">
        <v>6351</v>
      </c>
      <c r="F56" s="8" t="s">
        <v>748</v>
      </c>
      <c r="G56" s="8" t="s">
        <v>6352</v>
      </c>
      <c r="H56" s="8">
        <v>36404</v>
      </c>
      <c r="I56" s="8">
        <v>1999</v>
      </c>
      <c r="J56" s="8" t="s">
        <v>6351</v>
      </c>
      <c r="K56" s="8">
        <v>209</v>
      </c>
      <c r="L56" s="8" t="s">
        <v>6570</v>
      </c>
      <c r="M56" s="8">
        <v>1</v>
      </c>
      <c r="N56" s="8"/>
      <c r="O56" s="8"/>
      <c r="P56" s="8" t="s">
        <v>6571</v>
      </c>
      <c r="Q56" s="8">
        <v>371.10094099999998</v>
      </c>
      <c r="R56" s="8" t="s">
        <v>6572</v>
      </c>
      <c r="S56" s="8" t="s">
        <v>53</v>
      </c>
      <c r="T56" s="8" t="s">
        <v>54</v>
      </c>
      <c r="U56" s="9"/>
    </row>
    <row r="57" spans="1:21" ht="14.5" x14ac:dyDescent="0.35">
      <c r="A57" s="8" t="s">
        <v>6573</v>
      </c>
      <c r="B57" s="8" t="str">
        <f>"9780750707350"</f>
        <v>9780750707350</v>
      </c>
      <c r="C57" s="8" t="str">
        <f>"9780203016619"</f>
        <v>9780203016619</v>
      </c>
      <c r="D57" s="8" t="s">
        <v>6350</v>
      </c>
      <c r="E57" s="8" t="s">
        <v>6351</v>
      </c>
      <c r="F57" s="8" t="s">
        <v>139</v>
      </c>
      <c r="G57" s="8" t="s">
        <v>6352</v>
      </c>
      <c r="H57" s="8">
        <v>36251</v>
      </c>
      <c r="I57" s="8">
        <v>1999</v>
      </c>
      <c r="J57" s="8" t="s">
        <v>6353</v>
      </c>
      <c r="K57" s="8">
        <v>255</v>
      </c>
      <c r="L57" s="8" t="s">
        <v>6574</v>
      </c>
      <c r="M57" s="8">
        <v>1</v>
      </c>
      <c r="N57" s="8"/>
      <c r="O57" s="8"/>
      <c r="P57" s="8" t="s">
        <v>6575</v>
      </c>
      <c r="Q57" s="8" t="s">
        <v>6576</v>
      </c>
      <c r="R57" s="8" t="s">
        <v>6577</v>
      </c>
      <c r="S57" s="8" t="s">
        <v>53</v>
      </c>
      <c r="T57" s="8" t="s">
        <v>54</v>
      </c>
      <c r="U57" s="9"/>
    </row>
    <row r="58" spans="1:21" ht="14.5" x14ac:dyDescent="0.35">
      <c r="A58" s="8" t="s">
        <v>6578</v>
      </c>
      <c r="B58" s="8" t="str">
        <f>"9780750706902"</f>
        <v>9780750706902</v>
      </c>
      <c r="C58" s="8" t="str">
        <f>"9780203030318"</f>
        <v>9780203030318</v>
      </c>
      <c r="D58" s="8" t="s">
        <v>6350</v>
      </c>
      <c r="E58" s="8" t="s">
        <v>6351</v>
      </c>
      <c r="F58" s="8" t="s">
        <v>748</v>
      </c>
      <c r="G58" s="8" t="s">
        <v>6352</v>
      </c>
      <c r="H58" s="8">
        <v>36039</v>
      </c>
      <c r="I58" s="8">
        <v>1998</v>
      </c>
      <c r="J58" s="8" t="s">
        <v>6351</v>
      </c>
      <c r="K58" s="8">
        <v>241</v>
      </c>
      <c r="L58" s="8" t="s">
        <v>6579</v>
      </c>
      <c r="M58" s="8">
        <v>1</v>
      </c>
      <c r="N58" s="8" t="s">
        <v>6580</v>
      </c>
      <c r="O58" s="8"/>
      <c r="P58" s="8" t="s">
        <v>6581</v>
      </c>
      <c r="Q58" s="8">
        <v>372.34</v>
      </c>
      <c r="R58" s="8" t="s">
        <v>6582</v>
      </c>
      <c r="S58" s="8" t="s">
        <v>53</v>
      </c>
      <c r="T58" s="8" t="s">
        <v>54</v>
      </c>
      <c r="U58" s="9"/>
    </row>
    <row r="59" spans="1:21" ht="14.5" x14ac:dyDescent="0.35">
      <c r="A59" s="8" t="s">
        <v>6583</v>
      </c>
      <c r="B59" s="8" t="str">
        <f>"9780750706308"</f>
        <v>9780750706308</v>
      </c>
      <c r="C59" s="8" t="str">
        <f>"9780203006450"</f>
        <v>9780203006450</v>
      </c>
      <c r="D59" s="8" t="s">
        <v>6350</v>
      </c>
      <c r="E59" s="8" t="s">
        <v>6351</v>
      </c>
      <c r="F59" s="8" t="s">
        <v>139</v>
      </c>
      <c r="G59" s="8" t="s">
        <v>6352</v>
      </c>
      <c r="H59" s="8">
        <v>35886</v>
      </c>
      <c r="I59" s="8">
        <v>1998</v>
      </c>
      <c r="J59" s="8" t="s">
        <v>6353</v>
      </c>
      <c r="K59" s="8">
        <v>262</v>
      </c>
      <c r="L59" s="8" t="s">
        <v>6584</v>
      </c>
      <c r="M59" s="8">
        <v>1</v>
      </c>
      <c r="N59" s="8" t="s">
        <v>6585</v>
      </c>
      <c r="O59" s="8"/>
      <c r="P59" s="8" t="s">
        <v>6586</v>
      </c>
      <c r="Q59" s="8">
        <v>371.3</v>
      </c>
      <c r="R59" s="8" t="s">
        <v>6587</v>
      </c>
      <c r="S59" s="8" t="s">
        <v>53</v>
      </c>
      <c r="T59" s="8" t="s">
        <v>54</v>
      </c>
      <c r="U59" s="9"/>
    </row>
    <row r="60" spans="1:21" ht="14.5" x14ac:dyDescent="0.35">
      <c r="A60" s="8" t="s">
        <v>6588</v>
      </c>
      <c r="B60" s="8" t="str">
        <f>"9780415213721"</f>
        <v>9780415213721</v>
      </c>
      <c r="C60" s="8" t="str">
        <f>"9780203019108"</f>
        <v>9780203019108</v>
      </c>
      <c r="D60" s="8" t="s">
        <v>6350</v>
      </c>
      <c r="E60" s="8" t="s">
        <v>6351</v>
      </c>
      <c r="F60" s="8" t="s">
        <v>139</v>
      </c>
      <c r="G60" s="8" t="s">
        <v>6352</v>
      </c>
      <c r="H60" s="8">
        <v>36438</v>
      </c>
      <c r="I60" s="8">
        <v>1999</v>
      </c>
      <c r="J60" s="8" t="s">
        <v>6353</v>
      </c>
      <c r="K60" s="8">
        <v>190</v>
      </c>
      <c r="L60" s="8" t="s">
        <v>6589</v>
      </c>
      <c r="M60" s="8">
        <v>1</v>
      </c>
      <c r="N60" s="8"/>
      <c r="O60" s="8"/>
      <c r="P60" s="8" t="s">
        <v>6590</v>
      </c>
      <c r="Q60" s="8">
        <v>373.15800000000002</v>
      </c>
      <c r="R60" s="8" t="s">
        <v>6591</v>
      </c>
      <c r="S60" s="8" t="s">
        <v>53</v>
      </c>
      <c r="T60" s="8" t="s">
        <v>54</v>
      </c>
      <c r="U60" s="9"/>
    </row>
    <row r="61" spans="1:21" ht="14.5" x14ac:dyDescent="0.35">
      <c r="A61" s="8" t="s">
        <v>6592</v>
      </c>
      <c r="B61" s="8" t="str">
        <f>"9780415191128"</f>
        <v>9780415191128</v>
      </c>
      <c r="C61" s="8" t="str">
        <f>"9780203020296"</f>
        <v>9780203020296</v>
      </c>
      <c r="D61" s="8" t="s">
        <v>6350</v>
      </c>
      <c r="E61" s="8" t="s">
        <v>6351</v>
      </c>
      <c r="F61" s="8" t="s">
        <v>5406</v>
      </c>
      <c r="G61" s="8" t="s">
        <v>6317</v>
      </c>
      <c r="H61" s="8">
        <v>36480</v>
      </c>
      <c r="I61" s="8">
        <v>1999</v>
      </c>
      <c r="J61" s="8" t="s">
        <v>6353</v>
      </c>
      <c r="K61" s="8">
        <v>214</v>
      </c>
      <c r="L61" s="8" t="s">
        <v>6593</v>
      </c>
      <c r="M61" s="8">
        <v>1</v>
      </c>
      <c r="N61" s="8"/>
      <c r="O61" s="8"/>
      <c r="P61" s="8" t="s">
        <v>6594</v>
      </c>
      <c r="Q61" s="8">
        <v>370.71</v>
      </c>
      <c r="R61" s="8" t="s">
        <v>6595</v>
      </c>
      <c r="S61" s="8" t="s">
        <v>53</v>
      </c>
      <c r="T61" s="8" t="s">
        <v>54</v>
      </c>
      <c r="U61" s="9"/>
    </row>
    <row r="62" spans="1:21" ht="14.5" x14ac:dyDescent="0.35">
      <c r="A62" s="8" t="s">
        <v>6596</v>
      </c>
      <c r="B62" s="8" t="str">
        <f>"9780415183871"</f>
        <v>9780415183871</v>
      </c>
      <c r="C62" s="8" t="str">
        <f>"9780203019849"</f>
        <v>9780203019849</v>
      </c>
      <c r="D62" s="8" t="s">
        <v>6350</v>
      </c>
      <c r="E62" s="8" t="s">
        <v>6351</v>
      </c>
      <c r="F62" s="8" t="s">
        <v>139</v>
      </c>
      <c r="G62" s="8" t="s">
        <v>6317</v>
      </c>
      <c r="H62" s="8">
        <v>36339</v>
      </c>
      <c r="I62" s="8">
        <v>1999</v>
      </c>
      <c r="J62" s="8" t="s">
        <v>6353</v>
      </c>
      <c r="K62" s="8">
        <v>203</v>
      </c>
      <c r="L62" s="8" t="s">
        <v>6597</v>
      </c>
      <c r="M62" s="8">
        <v>1</v>
      </c>
      <c r="N62" s="8"/>
      <c r="O62" s="8"/>
      <c r="P62" s="8" t="s">
        <v>6598</v>
      </c>
      <c r="Q62" s="8" t="s">
        <v>6599</v>
      </c>
      <c r="R62" s="8" t="s">
        <v>6600</v>
      </c>
      <c r="S62" s="8" t="s">
        <v>53</v>
      </c>
      <c r="T62" s="8" t="s">
        <v>6601</v>
      </c>
      <c r="U62" s="9"/>
    </row>
    <row r="63" spans="1:21" ht="14.5" x14ac:dyDescent="0.35">
      <c r="A63" s="8" t="s">
        <v>6602</v>
      </c>
      <c r="B63" s="8" t="str">
        <f>"9780415183192"</f>
        <v>9780415183192</v>
      </c>
      <c r="C63" s="8" t="str">
        <f>"9780203026878"</f>
        <v>9780203026878</v>
      </c>
      <c r="D63" s="8" t="s">
        <v>6350</v>
      </c>
      <c r="E63" s="8" t="s">
        <v>6351</v>
      </c>
      <c r="F63" s="8" t="s">
        <v>139</v>
      </c>
      <c r="G63" s="8" t="s">
        <v>6352</v>
      </c>
      <c r="H63" s="8">
        <v>35894</v>
      </c>
      <c r="I63" s="8">
        <v>1998</v>
      </c>
      <c r="J63" s="8" t="s">
        <v>6353</v>
      </c>
      <c r="K63" s="8">
        <v>225</v>
      </c>
      <c r="L63" s="8" t="s">
        <v>6603</v>
      </c>
      <c r="M63" s="8">
        <v>1</v>
      </c>
      <c r="N63" s="8"/>
      <c r="O63" s="8"/>
      <c r="P63" s="8">
        <v>98018322</v>
      </c>
      <c r="Q63" s="8">
        <v>305.80083400000001</v>
      </c>
      <c r="R63" s="8" t="s">
        <v>6604</v>
      </c>
      <c r="S63" s="8" t="s">
        <v>53</v>
      </c>
      <c r="T63" s="8" t="s">
        <v>6363</v>
      </c>
      <c r="U63" s="9"/>
    </row>
    <row r="64" spans="1:21" ht="14.5" x14ac:dyDescent="0.35">
      <c r="A64" s="8" t="s">
        <v>6605</v>
      </c>
      <c r="B64" s="8" t="str">
        <f>"9780415182621"</f>
        <v>9780415182621</v>
      </c>
      <c r="C64" s="8" t="str">
        <f>"9780203003541"</f>
        <v>9780203003541</v>
      </c>
      <c r="D64" s="8" t="s">
        <v>6350</v>
      </c>
      <c r="E64" s="8" t="s">
        <v>6351</v>
      </c>
      <c r="F64" s="8" t="s">
        <v>748</v>
      </c>
      <c r="G64" s="8" t="s">
        <v>6352</v>
      </c>
      <c r="H64" s="8">
        <v>36195</v>
      </c>
      <c r="I64" s="8">
        <v>1999</v>
      </c>
      <c r="J64" s="8" t="s">
        <v>6351</v>
      </c>
      <c r="K64" s="8">
        <v>225</v>
      </c>
      <c r="L64" s="8" t="s">
        <v>6606</v>
      </c>
      <c r="M64" s="8">
        <v>1</v>
      </c>
      <c r="N64" s="8"/>
      <c r="O64" s="8"/>
      <c r="P64" s="8" t="s">
        <v>6607</v>
      </c>
      <c r="Q64" s="8">
        <v>372.94099999999997</v>
      </c>
      <c r="R64" s="8" t="s">
        <v>6608</v>
      </c>
      <c r="S64" s="8" t="s">
        <v>53</v>
      </c>
      <c r="T64" s="8" t="s">
        <v>54</v>
      </c>
      <c r="U64" s="9"/>
    </row>
    <row r="65" spans="1:21" ht="14.5" x14ac:dyDescent="0.35">
      <c r="A65" s="8" t="s">
        <v>6609</v>
      </c>
      <c r="B65" s="8" t="str">
        <f>"9780415178716"</f>
        <v>9780415178716</v>
      </c>
      <c r="C65" s="8" t="str">
        <f>"9780203013342"</f>
        <v>9780203013342</v>
      </c>
      <c r="D65" s="8" t="s">
        <v>6350</v>
      </c>
      <c r="E65" s="8" t="s">
        <v>6351</v>
      </c>
      <c r="F65" s="8" t="s">
        <v>139</v>
      </c>
      <c r="G65" s="8" t="s">
        <v>6352</v>
      </c>
      <c r="H65" s="8">
        <v>36285</v>
      </c>
      <c r="I65" s="8">
        <v>1999</v>
      </c>
      <c r="J65" s="8" t="s">
        <v>6353</v>
      </c>
      <c r="K65" s="8">
        <v>213</v>
      </c>
      <c r="L65" s="8" t="s">
        <v>6610</v>
      </c>
      <c r="M65" s="8">
        <v>1</v>
      </c>
      <c r="N65" s="8"/>
      <c r="O65" s="8"/>
      <c r="P65" s="8" t="s">
        <v>6611</v>
      </c>
      <c r="Q65" s="8" t="s">
        <v>6612</v>
      </c>
      <c r="R65" s="8" t="s">
        <v>6547</v>
      </c>
      <c r="S65" s="8" t="s">
        <v>53</v>
      </c>
      <c r="T65" s="8" t="s">
        <v>54</v>
      </c>
      <c r="U65" s="9"/>
    </row>
    <row r="66" spans="1:21" ht="14.5" x14ac:dyDescent="0.35">
      <c r="A66" s="8" t="s">
        <v>6613</v>
      </c>
      <c r="B66" s="8" t="str">
        <f>"9780415213400"</f>
        <v>9780415213400</v>
      </c>
      <c r="C66" s="8" t="str">
        <f>"9780203013823"</f>
        <v>9780203013823</v>
      </c>
      <c r="D66" s="8" t="s">
        <v>6350</v>
      </c>
      <c r="E66" s="8" t="s">
        <v>6351</v>
      </c>
      <c r="F66" s="8" t="s">
        <v>139</v>
      </c>
      <c r="G66" s="8" t="s">
        <v>6352</v>
      </c>
      <c r="H66" s="8">
        <v>36466</v>
      </c>
      <c r="I66" s="8">
        <v>1999</v>
      </c>
      <c r="J66" s="8" t="s">
        <v>6353</v>
      </c>
      <c r="K66" s="8">
        <v>176</v>
      </c>
      <c r="L66" s="8" t="s">
        <v>6614</v>
      </c>
      <c r="M66" s="8">
        <v>1</v>
      </c>
      <c r="N66" s="8"/>
      <c r="O66" s="8"/>
      <c r="P66" s="8" t="s">
        <v>6615</v>
      </c>
      <c r="Q66" s="8">
        <v>418.00709999999998</v>
      </c>
      <c r="R66" s="8" t="s">
        <v>6392</v>
      </c>
      <c r="S66" s="8" t="s">
        <v>53</v>
      </c>
      <c r="T66" s="8" t="s">
        <v>6616</v>
      </c>
      <c r="U66" s="9"/>
    </row>
    <row r="67" spans="1:21" ht="14.5" x14ac:dyDescent="0.35">
      <c r="A67" s="8" t="s">
        <v>6617</v>
      </c>
      <c r="B67" s="8" t="str">
        <f>"9780415172011"</f>
        <v>9780415172011</v>
      </c>
      <c r="C67" s="8" t="str">
        <f>"9780203012161"</f>
        <v>9780203012161</v>
      </c>
      <c r="D67" s="8" t="s">
        <v>6350</v>
      </c>
      <c r="E67" s="8" t="s">
        <v>6351</v>
      </c>
      <c r="F67" s="8" t="s">
        <v>139</v>
      </c>
      <c r="G67" s="8" t="s">
        <v>6352</v>
      </c>
      <c r="H67" s="8">
        <v>35864</v>
      </c>
      <c r="I67" s="8">
        <v>1998</v>
      </c>
      <c r="J67" s="8" t="s">
        <v>6353</v>
      </c>
      <c r="K67" s="8">
        <v>216</v>
      </c>
      <c r="L67" s="8" t="s">
        <v>6618</v>
      </c>
      <c r="M67" s="8">
        <v>1</v>
      </c>
      <c r="N67" s="8"/>
      <c r="O67" s="8"/>
      <c r="P67" s="8" t="s">
        <v>6619</v>
      </c>
      <c r="Q67" s="8">
        <v>370.15199999999999</v>
      </c>
      <c r="R67" s="8" t="s">
        <v>6620</v>
      </c>
      <c r="S67" s="8" t="s">
        <v>53</v>
      </c>
      <c r="T67" s="8" t="s">
        <v>54</v>
      </c>
      <c r="U67" s="9"/>
    </row>
    <row r="68" spans="1:21" ht="14.5" x14ac:dyDescent="0.35">
      <c r="A68" s="8" t="s">
        <v>6621</v>
      </c>
      <c r="B68" s="8" t="str">
        <f>"9780415168960"</f>
        <v>9780415168960</v>
      </c>
      <c r="C68" s="8" t="str">
        <f>"9780203003534"</f>
        <v>9780203003534</v>
      </c>
      <c r="D68" s="8" t="s">
        <v>6350</v>
      </c>
      <c r="E68" s="8" t="s">
        <v>6351</v>
      </c>
      <c r="F68" s="8" t="s">
        <v>139</v>
      </c>
      <c r="G68" s="8" t="s">
        <v>6317</v>
      </c>
      <c r="H68" s="8">
        <v>36504</v>
      </c>
      <c r="I68" s="8">
        <v>1999</v>
      </c>
      <c r="J68" s="8" t="s">
        <v>6353</v>
      </c>
      <c r="K68" s="8">
        <v>197</v>
      </c>
      <c r="L68" s="8" t="s">
        <v>6622</v>
      </c>
      <c r="M68" s="8">
        <v>1</v>
      </c>
      <c r="N68" s="8" t="s">
        <v>6623</v>
      </c>
      <c r="O68" s="8"/>
      <c r="P68" s="8" t="s">
        <v>6624</v>
      </c>
      <c r="Q68" s="8">
        <v>372.11020000000002</v>
      </c>
      <c r="R68" s="8" t="s">
        <v>6625</v>
      </c>
      <c r="S68" s="8" t="s">
        <v>53</v>
      </c>
      <c r="T68" s="8" t="s">
        <v>54</v>
      </c>
      <c r="U68" s="9"/>
    </row>
    <row r="69" spans="1:21" ht="14.5" x14ac:dyDescent="0.35">
      <c r="A69" s="8" t="s">
        <v>6626</v>
      </c>
      <c r="B69" s="8" t="str">
        <f>"9780415168823"</f>
        <v>9780415168823</v>
      </c>
      <c r="C69" s="8" t="str">
        <f>"9780203015339"</f>
        <v>9780203015339</v>
      </c>
      <c r="D69" s="8" t="s">
        <v>6350</v>
      </c>
      <c r="E69" s="8" t="s">
        <v>6351</v>
      </c>
      <c r="F69" s="8" t="s">
        <v>748</v>
      </c>
      <c r="G69" s="8" t="s">
        <v>6352</v>
      </c>
      <c r="H69" s="8">
        <v>35951</v>
      </c>
      <c r="I69" s="8">
        <v>1998</v>
      </c>
      <c r="J69" s="8" t="s">
        <v>6351</v>
      </c>
      <c r="K69" s="8">
        <v>214</v>
      </c>
      <c r="L69" s="8" t="s">
        <v>6627</v>
      </c>
      <c r="M69" s="8">
        <v>1</v>
      </c>
      <c r="N69" s="8"/>
      <c r="O69" s="8"/>
      <c r="P69" s="8" t="s">
        <v>6628</v>
      </c>
      <c r="Q69" s="8" t="s">
        <v>6629</v>
      </c>
      <c r="R69" s="8" t="s">
        <v>6392</v>
      </c>
      <c r="S69" s="8" t="s">
        <v>53</v>
      </c>
      <c r="T69" s="8" t="s">
        <v>6384</v>
      </c>
      <c r="U69" s="9"/>
    </row>
    <row r="70" spans="1:21" ht="14.5" x14ac:dyDescent="0.35">
      <c r="A70" s="8" t="s">
        <v>6630</v>
      </c>
      <c r="B70" s="8" t="str">
        <f>"9780415165167"</f>
        <v>9780415165167</v>
      </c>
      <c r="C70" s="8" t="str">
        <f>"9780203018545"</f>
        <v>9780203018545</v>
      </c>
      <c r="D70" s="8" t="s">
        <v>6350</v>
      </c>
      <c r="E70" s="8" t="s">
        <v>6351</v>
      </c>
      <c r="F70" s="8" t="s">
        <v>139</v>
      </c>
      <c r="G70" s="8" t="s">
        <v>6317</v>
      </c>
      <c r="H70" s="8">
        <v>36202</v>
      </c>
      <c r="I70" s="8">
        <v>2002</v>
      </c>
      <c r="J70" s="8" t="s">
        <v>6353</v>
      </c>
      <c r="K70" s="8">
        <v>289</v>
      </c>
      <c r="L70" s="8" t="s">
        <v>6631</v>
      </c>
      <c r="M70" s="8">
        <v>1</v>
      </c>
      <c r="N70" s="8"/>
      <c r="O70" s="8"/>
      <c r="P70" s="8" t="s">
        <v>6632</v>
      </c>
      <c r="Q70" s="8">
        <v>428.0071241</v>
      </c>
      <c r="R70" s="8" t="s">
        <v>6633</v>
      </c>
      <c r="S70" s="8" t="s">
        <v>53</v>
      </c>
      <c r="T70" s="8" t="s">
        <v>6634</v>
      </c>
      <c r="U70" s="9"/>
    </row>
    <row r="71" spans="1:21" ht="14.5" x14ac:dyDescent="0.35">
      <c r="A71" s="8" t="s">
        <v>6635</v>
      </c>
      <c r="B71" s="8" t="str">
        <f>"9780415161909"</f>
        <v>9780415161909</v>
      </c>
      <c r="C71" s="8" t="str">
        <f>"9780203030103"</f>
        <v>9780203030103</v>
      </c>
      <c r="D71" s="8" t="s">
        <v>6350</v>
      </c>
      <c r="E71" s="8" t="s">
        <v>6351</v>
      </c>
      <c r="F71" s="8" t="s">
        <v>748</v>
      </c>
      <c r="G71" s="8" t="s">
        <v>6352</v>
      </c>
      <c r="H71" s="8">
        <v>35872</v>
      </c>
      <c r="I71" s="8">
        <v>1998</v>
      </c>
      <c r="J71" s="8" t="s">
        <v>6351</v>
      </c>
      <c r="K71" s="8">
        <v>200</v>
      </c>
      <c r="L71" s="8" t="s">
        <v>6417</v>
      </c>
      <c r="M71" s="8">
        <v>1</v>
      </c>
      <c r="N71" s="8" t="s">
        <v>6636</v>
      </c>
      <c r="O71" s="8"/>
      <c r="P71" s="8" t="s">
        <v>6637</v>
      </c>
      <c r="Q71" s="8" t="s">
        <v>6638</v>
      </c>
      <c r="R71" s="8" t="s">
        <v>6639</v>
      </c>
      <c r="S71" s="8" t="s">
        <v>53</v>
      </c>
      <c r="T71" s="8" t="s">
        <v>6640</v>
      </c>
      <c r="U71" s="9"/>
    </row>
    <row r="72" spans="1:21" ht="14.5" x14ac:dyDescent="0.35">
      <c r="A72" s="8" t="s">
        <v>6641</v>
      </c>
      <c r="B72" s="8" t="str">
        <f>"9780415158510"</f>
        <v>9780415158510</v>
      </c>
      <c r="C72" s="8" t="str">
        <f>"9780203013588"</f>
        <v>9780203013588</v>
      </c>
      <c r="D72" s="8" t="s">
        <v>6350</v>
      </c>
      <c r="E72" s="8" t="s">
        <v>6351</v>
      </c>
      <c r="F72" s="8" t="s">
        <v>5406</v>
      </c>
      <c r="G72" s="8" t="s">
        <v>6317</v>
      </c>
      <c r="H72" s="8">
        <v>35982</v>
      </c>
      <c r="I72" s="8">
        <v>2002</v>
      </c>
      <c r="J72" s="8" t="s">
        <v>6353</v>
      </c>
      <c r="K72" s="8">
        <v>301</v>
      </c>
      <c r="L72" s="8" t="s">
        <v>6631</v>
      </c>
      <c r="M72" s="8">
        <v>1</v>
      </c>
      <c r="N72" s="8"/>
      <c r="O72" s="8"/>
      <c r="P72" s="8" t="s">
        <v>6642</v>
      </c>
      <c r="Q72" s="8">
        <v>372.6044</v>
      </c>
      <c r="R72" s="8" t="s">
        <v>6643</v>
      </c>
      <c r="S72" s="8" t="s">
        <v>53</v>
      </c>
      <c r="T72" s="8" t="s">
        <v>54</v>
      </c>
      <c r="U72" s="9"/>
    </row>
    <row r="73" spans="1:21" ht="14.5" x14ac:dyDescent="0.35">
      <c r="A73" s="8" t="s">
        <v>6644</v>
      </c>
      <c r="B73" s="8" t="str">
        <f>"9780415148955"</f>
        <v>9780415148955</v>
      </c>
      <c r="C73" s="8" t="str">
        <f>"9780203024270"</f>
        <v>9780203024270</v>
      </c>
      <c r="D73" s="8" t="s">
        <v>6350</v>
      </c>
      <c r="E73" s="8" t="s">
        <v>6351</v>
      </c>
      <c r="F73" s="8" t="s">
        <v>748</v>
      </c>
      <c r="G73" s="8" t="s">
        <v>6352</v>
      </c>
      <c r="H73" s="8">
        <v>35905</v>
      </c>
      <c r="I73" s="8">
        <v>1998</v>
      </c>
      <c r="J73" s="8" t="s">
        <v>6351</v>
      </c>
      <c r="K73" s="8">
        <v>201</v>
      </c>
      <c r="L73" s="8" t="s">
        <v>6645</v>
      </c>
      <c r="M73" s="8">
        <v>1</v>
      </c>
      <c r="N73" s="8"/>
      <c r="O73" s="8"/>
      <c r="P73" s="8" t="s">
        <v>6646</v>
      </c>
      <c r="Q73" s="8">
        <v>428.4076</v>
      </c>
      <c r="R73" s="8" t="s">
        <v>6647</v>
      </c>
      <c r="S73" s="8" t="s">
        <v>53</v>
      </c>
      <c r="T73" s="8" t="s">
        <v>6634</v>
      </c>
      <c r="U73" s="9"/>
    </row>
    <row r="74" spans="1:21" ht="14.5" x14ac:dyDescent="0.35">
      <c r="A74" s="8" t="s">
        <v>6648</v>
      </c>
      <c r="B74" s="8" t="str">
        <f>"9780415148931"</f>
        <v>9780415148931</v>
      </c>
      <c r="C74" s="8" t="str">
        <f>"9780203019641"</f>
        <v>9780203019641</v>
      </c>
      <c r="D74" s="8" t="s">
        <v>6350</v>
      </c>
      <c r="E74" s="8" t="s">
        <v>6351</v>
      </c>
      <c r="F74" s="8" t="s">
        <v>139</v>
      </c>
      <c r="G74" s="8" t="s">
        <v>6352</v>
      </c>
      <c r="H74" s="8">
        <v>35864</v>
      </c>
      <c r="I74" s="8">
        <v>1998</v>
      </c>
      <c r="J74" s="8" t="s">
        <v>6353</v>
      </c>
      <c r="K74" s="8">
        <v>225</v>
      </c>
      <c r="L74" s="8" t="s">
        <v>6649</v>
      </c>
      <c r="M74" s="8">
        <v>1</v>
      </c>
      <c r="N74" s="8" t="s">
        <v>6650</v>
      </c>
      <c r="O74" s="8"/>
      <c r="P74" s="8" t="s">
        <v>6646</v>
      </c>
      <c r="Q74" s="8">
        <v>372.41</v>
      </c>
      <c r="R74" s="8" t="s">
        <v>6647</v>
      </c>
      <c r="S74" s="8" t="s">
        <v>53</v>
      </c>
      <c r="T74" s="8" t="s">
        <v>54</v>
      </c>
      <c r="U74" s="9"/>
    </row>
    <row r="75" spans="1:21" ht="14.5" x14ac:dyDescent="0.35">
      <c r="A75" s="8" t="s">
        <v>6651</v>
      </c>
      <c r="B75" s="8" t="str">
        <f>"9780415141857"</f>
        <v>9780415141857</v>
      </c>
      <c r="C75" s="8" t="str">
        <f>"9780203010464"</f>
        <v>9780203010464</v>
      </c>
      <c r="D75" s="8" t="s">
        <v>6350</v>
      </c>
      <c r="E75" s="8" t="s">
        <v>6351</v>
      </c>
      <c r="F75" s="8" t="s">
        <v>139</v>
      </c>
      <c r="G75" s="8" t="s">
        <v>6317</v>
      </c>
      <c r="H75" s="8">
        <v>35823</v>
      </c>
      <c r="I75" s="8">
        <v>1998</v>
      </c>
      <c r="J75" s="8" t="s">
        <v>6353</v>
      </c>
      <c r="K75" s="8">
        <v>224</v>
      </c>
      <c r="L75" s="8" t="s">
        <v>6652</v>
      </c>
      <c r="M75" s="8">
        <v>1</v>
      </c>
      <c r="N75" s="8"/>
      <c r="O75" s="8"/>
      <c r="P75" s="8" t="s">
        <v>6653</v>
      </c>
      <c r="Q75" s="8" t="s">
        <v>6654</v>
      </c>
      <c r="R75" s="8" t="s">
        <v>6655</v>
      </c>
      <c r="S75" s="8" t="s">
        <v>53</v>
      </c>
      <c r="T75" s="8" t="s">
        <v>6521</v>
      </c>
      <c r="U75" s="9"/>
    </row>
    <row r="76" spans="1:21" ht="14.5" x14ac:dyDescent="0.35">
      <c r="A76" s="8" t="s">
        <v>6656</v>
      </c>
      <c r="B76" s="8" t="str">
        <f>"9780415185271"</f>
        <v>9780415185271</v>
      </c>
      <c r="C76" s="8" t="str">
        <f>"9780203028926"</f>
        <v>9780203028926</v>
      </c>
      <c r="D76" s="8" t="s">
        <v>6350</v>
      </c>
      <c r="E76" s="8" t="s">
        <v>6351</v>
      </c>
      <c r="F76" s="8" t="s">
        <v>748</v>
      </c>
      <c r="G76" s="8" t="s">
        <v>6352</v>
      </c>
      <c r="H76" s="8">
        <v>36083</v>
      </c>
      <c r="I76" s="8">
        <v>1998</v>
      </c>
      <c r="J76" s="8" t="s">
        <v>6351</v>
      </c>
      <c r="K76" s="8">
        <v>225</v>
      </c>
      <c r="L76" s="8" t="s">
        <v>6657</v>
      </c>
      <c r="M76" s="8">
        <v>1</v>
      </c>
      <c r="N76" s="8"/>
      <c r="O76" s="8"/>
      <c r="P76" s="8" t="s">
        <v>6658</v>
      </c>
      <c r="Q76" s="8">
        <v>658.31240000000003</v>
      </c>
      <c r="R76" s="8" t="s">
        <v>6659</v>
      </c>
      <c r="S76" s="8" t="s">
        <v>53</v>
      </c>
      <c r="T76" s="8" t="s">
        <v>6660</v>
      </c>
      <c r="U76" s="9"/>
    </row>
    <row r="77" spans="1:21" ht="14.5" x14ac:dyDescent="0.35">
      <c r="A77" s="8" t="s">
        <v>6661</v>
      </c>
      <c r="B77" s="8" t="str">
        <f>"9780415154390"</f>
        <v>9780415154390</v>
      </c>
      <c r="C77" s="8" t="str">
        <f>"9780203013601"</f>
        <v>9780203013601</v>
      </c>
      <c r="D77" s="8" t="s">
        <v>6350</v>
      </c>
      <c r="E77" s="8" t="s">
        <v>6351</v>
      </c>
      <c r="F77" s="8" t="s">
        <v>139</v>
      </c>
      <c r="G77" s="8" t="s">
        <v>6352</v>
      </c>
      <c r="H77" s="8">
        <v>36375</v>
      </c>
      <c r="I77" s="8">
        <v>1999</v>
      </c>
      <c r="J77" s="8" t="s">
        <v>6353</v>
      </c>
      <c r="K77" s="8">
        <v>309</v>
      </c>
      <c r="L77" s="8" t="s">
        <v>6662</v>
      </c>
      <c r="M77" s="8">
        <v>1</v>
      </c>
      <c r="N77" s="8" t="s">
        <v>6663</v>
      </c>
      <c r="O77" s="8"/>
      <c r="P77" s="8" t="s">
        <v>6664</v>
      </c>
      <c r="Q77" s="8">
        <v>373.52</v>
      </c>
      <c r="R77" s="8" t="s">
        <v>6665</v>
      </c>
      <c r="S77" s="8" t="s">
        <v>53</v>
      </c>
      <c r="T77" s="8" t="s">
        <v>54</v>
      </c>
      <c r="U77" s="9"/>
    </row>
    <row r="78" spans="1:21" ht="14.5" x14ac:dyDescent="0.35">
      <c r="A78" s="8" t="s">
        <v>6666</v>
      </c>
      <c r="B78" s="8" t="str">
        <f>"9780415194334"</f>
        <v>9780415194334</v>
      </c>
      <c r="C78" s="8" t="str">
        <f>"9780203200056"</f>
        <v>9780203200056</v>
      </c>
      <c r="D78" s="8" t="s">
        <v>6350</v>
      </c>
      <c r="E78" s="8" t="s">
        <v>6351</v>
      </c>
      <c r="F78" s="8" t="s">
        <v>748</v>
      </c>
      <c r="G78" s="8" t="s">
        <v>6352</v>
      </c>
      <c r="H78" s="8">
        <v>36523</v>
      </c>
      <c r="I78" s="8">
        <v>2000</v>
      </c>
      <c r="J78" s="8" t="s">
        <v>6351</v>
      </c>
      <c r="K78" s="8">
        <v>338</v>
      </c>
      <c r="L78" s="8" t="s">
        <v>6667</v>
      </c>
      <c r="M78" s="8">
        <v>1</v>
      </c>
      <c r="N78" s="8"/>
      <c r="O78" s="8"/>
      <c r="P78" s="8" t="s">
        <v>6668</v>
      </c>
      <c r="Q78" s="8">
        <v>379.26</v>
      </c>
      <c r="R78" s="8" t="s">
        <v>6669</v>
      </c>
      <c r="S78" s="8" t="s">
        <v>53</v>
      </c>
      <c r="T78" s="8" t="s">
        <v>54</v>
      </c>
      <c r="U78" s="9"/>
    </row>
    <row r="79" spans="1:21" ht="14.5" x14ac:dyDescent="0.35">
      <c r="A79" s="8" t="s">
        <v>6670</v>
      </c>
      <c r="B79" s="8" t="str">
        <f>"9780415186568"</f>
        <v>9780415186568</v>
      </c>
      <c r="C79" s="8" t="str">
        <f>"9780203132975"</f>
        <v>9780203132975</v>
      </c>
      <c r="D79" s="8" t="s">
        <v>6350</v>
      </c>
      <c r="E79" s="8" t="s">
        <v>6351</v>
      </c>
      <c r="F79" s="8" t="s">
        <v>139</v>
      </c>
      <c r="G79" s="8" t="s">
        <v>6352</v>
      </c>
      <c r="H79" s="8">
        <v>36434</v>
      </c>
      <c r="I79" s="8">
        <v>1999</v>
      </c>
      <c r="J79" s="8" t="s">
        <v>6353</v>
      </c>
      <c r="K79" s="8">
        <v>191</v>
      </c>
      <c r="L79" s="8" t="s">
        <v>6671</v>
      </c>
      <c r="M79" s="8">
        <v>1</v>
      </c>
      <c r="N79" s="8" t="s">
        <v>6672</v>
      </c>
      <c r="O79" s="8"/>
      <c r="P79" s="8" t="s">
        <v>6673</v>
      </c>
      <c r="Q79" s="8">
        <v>303.32</v>
      </c>
      <c r="R79" s="8" t="s">
        <v>6674</v>
      </c>
      <c r="S79" s="8" t="s">
        <v>53</v>
      </c>
      <c r="T79" s="8" t="s">
        <v>6363</v>
      </c>
      <c r="U79" s="9"/>
    </row>
    <row r="80" spans="1:21" ht="14.5" x14ac:dyDescent="0.35">
      <c r="A80" s="8" t="s">
        <v>6675</v>
      </c>
      <c r="B80" s="8" t="str">
        <f>"9780415182591"</f>
        <v>9780415182591</v>
      </c>
      <c r="C80" s="8" t="str">
        <f>"9780203201756"</f>
        <v>9780203201756</v>
      </c>
      <c r="D80" s="8" t="s">
        <v>6350</v>
      </c>
      <c r="E80" s="8" t="s">
        <v>6351</v>
      </c>
      <c r="F80" s="8" t="s">
        <v>139</v>
      </c>
      <c r="G80" s="8" t="s">
        <v>6352</v>
      </c>
      <c r="H80" s="8">
        <v>36123</v>
      </c>
      <c r="I80" s="8">
        <v>2003</v>
      </c>
      <c r="J80" s="8" t="s">
        <v>6353</v>
      </c>
      <c r="K80" s="8">
        <v>213</v>
      </c>
      <c r="L80" s="8" t="s">
        <v>6676</v>
      </c>
      <c r="M80" s="8">
        <v>1</v>
      </c>
      <c r="N80" s="8"/>
      <c r="O80" s="8"/>
      <c r="P80" s="8" t="s">
        <v>6677</v>
      </c>
      <c r="Q80" s="8">
        <v>370.1</v>
      </c>
      <c r="R80" s="8" t="s">
        <v>6543</v>
      </c>
      <c r="S80" s="8" t="s">
        <v>53</v>
      </c>
      <c r="T80" s="8" t="s">
        <v>54</v>
      </c>
      <c r="U80" s="9"/>
    </row>
    <row r="81" spans="1:21" ht="14.5" x14ac:dyDescent="0.35">
      <c r="A81" s="8" t="s">
        <v>6678</v>
      </c>
      <c r="B81" s="8" t="str">
        <f>"9780415083126"</f>
        <v>9780415083126</v>
      </c>
      <c r="C81" s="8" t="str">
        <f>"9780203133958"</f>
        <v>9780203133958</v>
      </c>
      <c r="D81" s="8" t="s">
        <v>6350</v>
      </c>
      <c r="E81" s="8" t="s">
        <v>6351</v>
      </c>
      <c r="F81" s="8" t="s">
        <v>139</v>
      </c>
      <c r="G81" s="8" t="s">
        <v>6317</v>
      </c>
      <c r="H81" s="8">
        <v>34298</v>
      </c>
      <c r="I81" s="8">
        <v>1993</v>
      </c>
      <c r="J81" s="8" t="s">
        <v>6353</v>
      </c>
      <c r="K81" s="8">
        <v>176</v>
      </c>
      <c r="L81" s="8" t="s">
        <v>6679</v>
      </c>
      <c r="M81" s="8">
        <v>1</v>
      </c>
      <c r="N81" s="8"/>
      <c r="O81" s="8"/>
      <c r="P81" s="8" t="s">
        <v>6680</v>
      </c>
      <c r="Q81" s="8">
        <v>372.13</v>
      </c>
      <c r="R81" s="8" t="s">
        <v>6681</v>
      </c>
      <c r="S81" s="8" t="s">
        <v>53</v>
      </c>
      <c r="T81" s="8" t="s">
        <v>54</v>
      </c>
      <c r="U81" s="9"/>
    </row>
    <row r="82" spans="1:21" ht="14.5" x14ac:dyDescent="0.35">
      <c r="A82" s="8" t="s">
        <v>6682</v>
      </c>
      <c r="B82" s="8" t="str">
        <f>"9780415088619"</f>
        <v>9780415088619</v>
      </c>
      <c r="C82" s="8" t="str">
        <f>"9780203134870"</f>
        <v>9780203134870</v>
      </c>
      <c r="D82" s="8" t="s">
        <v>6350</v>
      </c>
      <c r="E82" s="8" t="s">
        <v>6351</v>
      </c>
      <c r="F82" s="8" t="s">
        <v>748</v>
      </c>
      <c r="G82" s="8" t="s">
        <v>6352</v>
      </c>
      <c r="H82" s="8">
        <v>34102</v>
      </c>
      <c r="I82" s="8">
        <v>1993</v>
      </c>
      <c r="J82" s="8" t="s">
        <v>6351</v>
      </c>
      <c r="K82" s="8">
        <v>175</v>
      </c>
      <c r="L82" s="8" t="s">
        <v>6683</v>
      </c>
      <c r="M82" s="8">
        <v>1</v>
      </c>
      <c r="N82" s="8"/>
      <c r="O82" s="8"/>
      <c r="P82" s="8" t="s">
        <v>6684</v>
      </c>
      <c r="Q82" s="8">
        <v>370.11750941000003</v>
      </c>
      <c r="R82" s="8" t="s">
        <v>6685</v>
      </c>
      <c r="S82" s="8" t="s">
        <v>53</v>
      </c>
      <c r="T82" s="8" t="s">
        <v>54</v>
      </c>
      <c r="U82" s="9"/>
    </row>
    <row r="83" spans="1:21" ht="14.5" x14ac:dyDescent="0.35">
      <c r="A83" s="8" t="s">
        <v>6686</v>
      </c>
      <c r="B83" s="8" t="str">
        <f>"9780415101325"</f>
        <v>9780415101325</v>
      </c>
      <c r="C83" s="8" t="str">
        <f>"9780203132593"</f>
        <v>9780203132593</v>
      </c>
      <c r="D83" s="8" t="s">
        <v>6350</v>
      </c>
      <c r="E83" s="8" t="s">
        <v>6351</v>
      </c>
      <c r="F83" s="8" t="s">
        <v>139</v>
      </c>
      <c r="G83" s="8" t="s">
        <v>6317</v>
      </c>
      <c r="H83" s="8">
        <v>34845</v>
      </c>
      <c r="I83" s="8">
        <v>2002</v>
      </c>
      <c r="J83" s="8" t="s">
        <v>6353</v>
      </c>
      <c r="K83" s="8">
        <v>216</v>
      </c>
      <c r="L83" s="8" t="s">
        <v>6687</v>
      </c>
      <c r="M83" s="8">
        <v>1</v>
      </c>
      <c r="N83" s="8"/>
      <c r="O83" s="8"/>
      <c r="P83" s="8" t="s">
        <v>6688</v>
      </c>
      <c r="Q83" s="8" t="s">
        <v>6576</v>
      </c>
      <c r="R83" s="8" t="s">
        <v>6689</v>
      </c>
      <c r="S83" s="8" t="s">
        <v>53</v>
      </c>
      <c r="T83" s="8" t="s">
        <v>54</v>
      </c>
      <c r="U83" s="9"/>
    </row>
    <row r="84" spans="1:21" ht="14.5" x14ac:dyDescent="0.35">
      <c r="A84" s="8" t="s">
        <v>6690</v>
      </c>
      <c r="B84" s="8" t="str">
        <f>"9780415112932"</f>
        <v>9780415112932</v>
      </c>
      <c r="C84" s="8" t="str">
        <f>"9780203138113"</f>
        <v>9780203138113</v>
      </c>
      <c r="D84" s="8" t="s">
        <v>6350</v>
      </c>
      <c r="E84" s="8" t="s">
        <v>6351</v>
      </c>
      <c r="F84" s="8" t="s">
        <v>748</v>
      </c>
      <c r="G84" s="8" t="s">
        <v>6352</v>
      </c>
      <c r="H84" s="8">
        <v>34681</v>
      </c>
      <c r="I84" s="8">
        <v>1995</v>
      </c>
      <c r="J84" s="8" t="s">
        <v>6351</v>
      </c>
      <c r="K84" s="8">
        <v>261</v>
      </c>
      <c r="L84" s="8" t="s">
        <v>6622</v>
      </c>
      <c r="M84" s="8">
        <v>2</v>
      </c>
      <c r="N84" s="8"/>
      <c r="O84" s="8"/>
      <c r="P84" s="8" t="s">
        <v>6691</v>
      </c>
      <c r="Q84" s="8" t="s">
        <v>6692</v>
      </c>
      <c r="R84" s="8" t="s">
        <v>6693</v>
      </c>
      <c r="S84" s="8" t="s">
        <v>53</v>
      </c>
      <c r="T84" s="8" t="s">
        <v>54</v>
      </c>
      <c r="U84" s="9"/>
    </row>
    <row r="85" spans="1:21" ht="14.5" x14ac:dyDescent="0.35">
      <c r="A85" s="8" t="s">
        <v>6694</v>
      </c>
      <c r="B85" s="8" t="str">
        <f>"9780415113601"</f>
        <v>9780415113601</v>
      </c>
      <c r="C85" s="8" t="str">
        <f>"9780203132821"</f>
        <v>9780203132821</v>
      </c>
      <c r="D85" s="8" t="s">
        <v>6350</v>
      </c>
      <c r="E85" s="8" t="s">
        <v>6351</v>
      </c>
      <c r="F85" s="8" t="s">
        <v>748</v>
      </c>
      <c r="G85" s="8" t="s">
        <v>6352</v>
      </c>
      <c r="H85" s="8">
        <v>34845</v>
      </c>
      <c r="I85" s="8">
        <v>1995</v>
      </c>
      <c r="J85" s="8" t="s">
        <v>6351</v>
      </c>
      <c r="K85" s="8">
        <v>251</v>
      </c>
      <c r="L85" s="8" t="s">
        <v>6695</v>
      </c>
      <c r="M85" s="8">
        <v>2</v>
      </c>
      <c r="N85" s="8"/>
      <c r="O85" s="8"/>
      <c r="P85" s="8" t="s">
        <v>6696</v>
      </c>
      <c r="Q85" s="8">
        <v>371.10239999999999</v>
      </c>
      <c r="R85" s="8" t="s">
        <v>6697</v>
      </c>
      <c r="S85" s="8" t="s">
        <v>53</v>
      </c>
      <c r="T85" s="8" t="s">
        <v>54</v>
      </c>
      <c r="U85" s="9"/>
    </row>
    <row r="86" spans="1:21" ht="14.5" x14ac:dyDescent="0.35">
      <c r="A86" s="8" t="s">
        <v>6698</v>
      </c>
      <c r="B86" s="8" t="str">
        <f>"9780415125826"</f>
        <v>9780415125826</v>
      </c>
      <c r="C86" s="8" t="str">
        <f>"9780203137239"</f>
        <v>9780203137239</v>
      </c>
      <c r="D86" s="8" t="s">
        <v>6350</v>
      </c>
      <c r="E86" s="8" t="s">
        <v>6351</v>
      </c>
      <c r="F86" s="8" t="s">
        <v>748</v>
      </c>
      <c r="G86" s="8" t="s">
        <v>6352</v>
      </c>
      <c r="H86" s="8">
        <v>35010</v>
      </c>
      <c r="I86" s="8">
        <v>1996</v>
      </c>
      <c r="J86" s="8" t="s">
        <v>6351</v>
      </c>
      <c r="K86" s="8">
        <v>230</v>
      </c>
      <c r="L86" s="8" t="s">
        <v>6687</v>
      </c>
      <c r="M86" s="8">
        <v>2</v>
      </c>
      <c r="N86" s="8"/>
      <c r="O86" s="8"/>
      <c r="P86" s="8" t="s">
        <v>6699</v>
      </c>
      <c r="Q86" s="8" t="s">
        <v>6700</v>
      </c>
      <c r="R86" s="8" t="s">
        <v>6577</v>
      </c>
      <c r="S86" s="8" t="s">
        <v>53</v>
      </c>
      <c r="T86" s="8" t="s">
        <v>54</v>
      </c>
      <c r="U86" s="9"/>
    </row>
    <row r="87" spans="1:21" ht="14.5" x14ac:dyDescent="0.35">
      <c r="A87" s="8" t="s">
        <v>6701</v>
      </c>
      <c r="B87" s="8" t="str">
        <f>"9780415139014"</f>
        <v>9780415139014</v>
      </c>
      <c r="C87" s="8" t="str">
        <f>"9780203136584"</f>
        <v>9780203136584</v>
      </c>
      <c r="D87" s="8" t="s">
        <v>6350</v>
      </c>
      <c r="E87" s="8" t="s">
        <v>6351</v>
      </c>
      <c r="F87" s="8" t="s">
        <v>139</v>
      </c>
      <c r="G87" s="8" t="s">
        <v>6317</v>
      </c>
      <c r="H87" s="8">
        <v>35376</v>
      </c>
      <c r="I87" s="8">
        <v>1996</v>
      </c>
      <c r="J87" s="8" t="s">
        <v>6353</v>
      </c>
      <c r="K87" s="8">
        <v>173</v>
      </c>
      <c r="L87" s="8" t="s">
        <v>6702</v>
      </c>
      <c r="M87" s="8">
        <v>1</v>
      </c>
      <c r="N87" s="8"/>
      <c r="O87" s="8"/>
      <c r="P87" s="8" t="s">
        <v>6703</v>
      </c>
      <c r="Q87" s="8" t="s">
        <v>6704</v>
      </c>
      <c r="R87" s="8" t="s">
        <v>6705</v>
      </c>
      <c r="S87" s="8" t="s">
        <v>53</v>
      </c>
      <c r="T87" s="8" t="s">
        <v>54</v>
      </c>
      <c r="U87" s="9"/>
    </row>
    <row r="88" spans="1:21" ht="14.5" x14ac:dyDescent="0.35">
      <c r="A88" s="8" t="s">
        <v>6706</v>
      </c>
      <c r="B88" s="8" t="str">
        <f>"9780415139762"</f>
        <v>9780415139762</v>
      </c>
      <c r="C88" s="8" t="str">
        <f>"9780203131763"</f>
        <v>9780203131763</v>
      </c>
      <c r="D88" s="8" t="s">
        <v>6350</v>
      </c>
      <c r="E88" s="8" t="s">
        <v>6351</v>
      </c>
      <c r="F88" s="8" t="s">
        <v>139</v>
      </c>
      <c r="G88" s="8" t="s">
        <v>6352</v>
      </c>
      <c r="H88" s="8">
        <v>35775</v>
      </c>
      <c r="I88" s="8">
        <v>2002</v>
      </c>
      <c r="J88" s="8" t="s">
        <v>6353</v>
      </c>
      <c r="K88" s="8">
        <v>224</v>
      </c>
      <c r="L88" s="8" t="s">
        <v>6707</v>
      </c>
      <c r="M88" s="8">
        <v>2</v>
      </c>
      <c r="N88" s="8"/>
      <c r="O88" s="8"/>
      <c r="P88" s="8" t="s">
        <v>6708</v>
      </c>
      <c r="Q88" s="8">
        <v>372.21</v>
      </c>
      <c r="R88" s="8" t="s">
        <v>6709</v>
      </c>
      <c r="S88" s="8" t="s">
        <v>53</v>
      </c>
      <c r="T88" s="8" t="s">
        <v>54</v>
      </c>
      <c r="U88" s="9"/>
    </row>
    <row r="89" spans="1:21" ht="14.5" x14ac:dyDescent="0.35">
      <c r="A89" s="8" t="s">
        <v>6710</v>
      </c>
      <c r="B89" s="8" t="str">
        <f>"9780415023979"</f>
        <v>9780415023979</v>
      </c>
      <c r="C89" s="8" t="str">
        <f>"9780203035436"</f>
        <v>9780203035436</v>
      </c>
      <c r="D89" s="8" t="s">
        <v>6350</v>
      </c>
      <c r="E89" s="8" t="s">
        <v>6351</v>
      </c>
      <c r="F89" s="8" t="s">
        <v>139</v>
      </c>
      <c r="G89" s="8" t="s">
        <v>6352</v>
      </c>
      <c r="H89" s="8">
        <v>35654</v>
      </c>
      <c r="I89" s="8">
        <v>1997</v>
      </c>
      <c r="J89" s="8" t="s">
        <v>6353</v>
      </c>
      <c r="K89" s="8">
        <v>204</v>
      </c>
      <c r="L89" s="8" t="s">
        <v>6711</v>
      </c>
      <c r="M89" s="8">
        <v>1</v>
      </c>
      <c r="N89" s="8"/>
      <c r="O89" s="8"/>
      <c r="P89" s="8" t="s">
        <v>6712</v>
      </c>
      <c r="Q89" s="8">
        <v>306.43200000000002</v>
      </c>
      <c r="R89" s="8" t="s">
        <v>6362</v>
      </c>
      <c r="S89" s="8" t="s">
        <v>53</v>
      </c>
      <c r="T89" s="8" t="s">
        <v>6526</v>
      </c>
      <c r="U89" s="9"/>
    </row>
    <row r="90" spans="1:21" ht="14.5" x14ac:dyDescent="0.35">
      <c r="A90" s="8" t="s">
        <v>6713</v>
      </c>
      <c r="B90" s="8" t="str">
        <f>"9780415178693"</f>
        <v>9780415178693</v>
      </c>
      <c r="C90" s="8" t="str">
        <f>"9780203135709"</f>
        <v>9780203135709</v>
      </c>
      <c r="D90" s="8" t="s">
        <v>6350</v>
      </c>
      <c r="E90" s="8" t="s">
        <v>6351</v>
      </c>
      <c r="F90" s="8" t="s">
        <v>139</v>
      </c>
      <c r="G90" s="8" t="s">
        <v>6352</v>
      </c>
      <c r="H90" s="8">
        <v>36650</v>
      </c>
      <c r="I90" s="8">
        <v>2000</v>
      </c>
      <c r="J90" s="8" t="s">
        <v>6353</v>
      </c>
      <c r="K90" s="8">
        <v>201</v>
      </c>
      <c r="L90" s="8" t="s">
        <v>6714</v>
      </c>
      <c r="M90" s="8">
        <v>1</v>
      </c>
      <c r="N90" s="8"/>
      <c r="O90" s="8"/>
      <c r="P90" s="8" t="s">
        <v>6715</v>
      </c>
      <c r="Q90" s="8" t="s">
        <v>6716</v>
      </c>
      <c r="R90" s="8" t="s">
        <v>6717</v>
      </c>
      <c r="S90" s="8" t="s">
        <v>53</v>
      </c>
      <c r="T90" s="8" t="s">
        <v>54</v>
      </c>
      <c r="U90" s="9"/>
    </row>
    <row r="91" spans="1:21" ht="14.5" x14ac:dyDescent="0.35">
      <c r="A91" s="8" t="s">
        <v>6718</v>
      </c>
      <c r="B91" s="8" t="str">
        <f>"9780415230889"</f>
        <v>9780415230889</v>
      </c>
      <c r="C91" s="8" t="str">
        <f>"9780203136140"</f>
        <v>9780203136140</v>
      </c>
      <c r="D91" s="8" t="s">
        <v>6350</v>
      </c>
      <c r="E91" s="8" t="s">
        <v>6351</v>
      </c>
      <c r="F91" s="8" t="s">
        <v>139</v>
      </c>
      <c r="G91" s="8" t="s">
        <v>6352</v>
      </c>
      <c r="H91" s="8">
        <v>36804</v>
      </c>
      <c r="I91" s="8">
        <v>2000</v>
      </c>
      <c r="J91" s="8" t="s">
        <v>6353</v>
      </c>
      <c r="K91" s="8">
        <v>142</v>
      </c>
      <c r="L91" s="8" t="s">
        <v>6719</v>
      </c>
      <c r="M91" s="8">
        <v>1</v>
      </c>
      <c r="N91" s="8" t="s">
        <v>6720</v>
      </c>
      <c r="O91" s="8"/>
      <c r="P91" s="8" t="s">
        <v>6721</v>
      </c>
      <c r="Q91" s="8">
        <v>371.54300000000001</v>
      </c>
      <c r="R91" s="8" t="s">
        <v>6722</v>
      </c>
      <c r="S91" s="8" t="s">
        <v>53</v>
      </c>
      <c r="T91" s="8" t="s">
        <v>6526</v>
      </c>
      <c r="U91" s="9"/>
    </row>
    <row r="92" spans="1:21" ht="14.5" x14ac:dyDescent="0.35">
      <c r="A92" s="8" t="s">
        <v>6723</v>
      </c>
      <c r="B92" s="8" t="str">
        <f>"9780415231626"</f>
        <v>9780415231626</v>
      </c>
      <c r="C92" s="8" t="str">
        <f>"9780203136454"</f>
        <v>9780203136454</v>
      </c>
      <c r="D92" s="8" t="s">
        <v>6350</v>
      </c>
      <c r="E92" s="8" t="s">
        <v>6351</v>
      </c>
      <c r="F92" s="8" t="s">
        <v>748</v>
      </c>
      <c r="G92" s="8" t="s">
        <v>6352</v>
      </c>
      <c r="H92" s="8">
        <v>36768</v>
      </c>
      <c r="I92" s="8">
        <v>2000</v>
      </c>
      <c r="J92" s="8" t="s">
        <v>6351</v>
      </c>
      <c r="K92" s="8">
        <v>177</v>
      </c>
      <c r="L92" s="8" t="s">
        <v>6724</v>
      </c>
      <c r="M92" s="8">
        <v>1</v>
      </c>
      <c r="N92" s="8"/>
      <c r="O92" s="8"/>
      <c r="P92" s="8" t="s">
        <v>6725</v>
      </c>
      <c r="Q92" s="8">
        <v>306.43</v>
      </c>
      <c r="R92" s="8" t="s">
        <v>6471</v>
      </c>
      <c r="S92" s="8" t="s">
        <v>53</v>
      </c>
      <c r="T92" s="8" t="s">
        <v>6526</v>
      </c>
      <c r="U92" s="9"/>
    </row>
    <row r="93" spans="1:21" ht="14.5" x14ac:dyDescent="0.35">
      <c r="A93" s="8" t="s">
        <v>6726</v>
      </c>
      <c r="B93" s="8" t="str">
        <f>"9780415238687"</f>
        <v>9780415238687</v>
      </c>
      <c r="C93" s="8" t="str">
        <f>"9780203132074"</f>
        <v>9780203132074</v>
      </c>
      <c r="D93" s="8" t="s">
        <v>6350</v>
      </c>
      <c r="E93" s="8" t="s">
        <v>6351</v>
      </c>
      <c r="F93" s="8" t="s">
        <v>139</v>
      </c>
      <c r="G93" s="8" t="s">
        <v>6352</v>
      </c>
      <c r="H93" s="8">
        <v>36836</v>
      </c>
      <c r="I93" s="8">
        <v>2000</v>
      </c>
      <c r="J93" s="8" t="s">
        <v>6353</v>
      </c>
      <c r="K93" s="8">
        <v>223</v>
      </c>
      <c r="L93" s="8" t="s">
        <v>6727</v>
      </c>
      <c r="M93" s="8">
        <v>1</v>
      </c>
      <c r="N93" s="8" t="s">
        <v>6728</v>
      </c>
      <c r="O93" s="8"/>
      <c r="P93" s="8" t="s">
        <v>6729</v>
      </c>
      <c r="Q93" s="8" t="s">
        <v>6730</v>
      </c>
      <c r="R93" s="8" t="s">
        <v>6480</v>
      </c>
      <c r="S93" s="8" t="s">
        <v>53</v>
      </c>
      <c r="T93" s="8" t="s">
        <v>54</v>
      </c>
      <c r="U93" s="9"/>
    </row>
    <row r="94" spans="1:21" ht="14.5" x14ac:dyDescent="0.35">
      <c r="A94" s="8" t="s">
        <v>6731</v>
      </c>
      <c r="B94" s="8" t="str">
        <f>"9780415121729"</f>
        <v>9780415121729</v>
      </c>
      <c r="C94" s="8" t="str">
        <f>"9780203136423"</f>
        <v>9780203136423</v>
      </c>
      <c r="D94" s="8" t="s">
        <v>6350</v>
      </c>
      <c r="E94" s="8" t="s">
        <v>6351</v>
      </c>
      <c r="F94" s="8" t="s">
        <v>5406</v>
      </c>
      <c r="G94" s="8" t="s">
        <v>6317</v>
      </c>
      <c r="H94" s="8">
        <v>35325</v>
      </c>
      <c r="I94" s="8">
        <v>1996</v>
      </c>
      <c r="J94" s="8" t="s">
        <v>6353</v>
      </c>
      <c r="K94" s="8">
        <v>205</v>
      </c>
      <c r="L94" s="8" t="s">
        <v>6714</v>
      </c>
      <c r="M94" s="8">
        <v>1</v>
      </c>
      <c r="N94" s="8"/>
      <c r="O94" s="8"/>
      <c r="P94" s="8" t="s">
        <v>6732</v>
      </c>
      <c r="Q94" s="8">
        <v>158.6</v>
      </c>
      <c r="R94" s="8" t="s">
        <v>6733</v>
      </c>
      <c r="S94" s="8" t="s">
        <v>53</v>
      </c>
      <c r="T94" s="8" t="s">
        <v>6734</v>
      </c>
      <c r="U94" s="9"/>
    </row>
    <row r="95" spans="1:21" ht="14.5" x14ac:dyDescent="0.35">
      <c r="A95" s="8" t="s">
        <v>6735</v>
      </c>
      <c r="B95" s="8" t="str">
        <f>"9780750706698"</f>
        <v>9780750706698</v>
      </c>
      <c r="C95" s="8" t="str">
        <f>"9780203209257"</f>
        <v>9780203209257</v>
      </c>
      <c r="D95" s="8" t="s">
        <v>6350</v>
      </c>
      <c r="E95" s="8" t="s">
        <v>6351</v>
      </c>
      <c r="F95" s="8" t="s">
        <v>139</v>
      </c>
      <c r="G95" s="8" t="s">
        <v>6352</v>
      </c>
      <c r="H95" s="8">
        <v>35886</v>
      </c>
      <c r="I95" s="8">
        <v>1998</v>
      </c>
      <c r="J95" s="8" t="s">
        <v>6353</v>
      </c>
      <c r="K95" s="8">
        <v>204</v>
      </c>
      <c r="L95" s="8" t="s">
        <v>6736</v>
      </c>
      <c r="M95" s="8">
        <v>1</v>
      </c>
      <c r="N95" s="8"/>
      <c r="O95" s="8"/>
      <c r="P95" s="8" t="s">
        <v>6737</v>
      </c>
      <c r="Q95" s="8">
        <v>371.200941</v>
      </c>
      <c r="R95" s="8" t="s">
        <v>6738</v>
      </c>
      <c r="S95" s="8" t="s">
        <v>53</v>
      </c>
      <c r="T95" s="8" t="s">
        <v>54</v>
      </c>
      <c r="U95" s="9"/>
    </row>
    <row r="96" spans="1:21" ht="14.5" x14ac:dyDescent="0.35">
      <c r="A96" s="8" t="s">
        <v>6739</v>
      </c>
      <c r="B96" s="8" t="str">
        <f>"9780750708326"</f>
        <v>9780750708326</v>
      </c>
      <c r="C96" s="8" t="str">
        <f>"9780203130049"</f>
        <v>9780203130049</v>
      </c>
      <c r="D96" s="8" t="s">
        <v>6350</v>
      </c>
      <c r="E96" s="8" t="s">
        <v>6351</v>
      </c>
      <c r="F96" s="8" t="s">
        <v>748</v>
      </c>
      <c r="G96" s="8" t="s">
        <v>6352</v>
      </c>
      <c r="H96" s="8">
        <v>36699</v>
      </c>
      <c r="I96" s="8">
        <v>2000</v>
      </c>
      <c r="J96" s="8" t="s">
        <v>6351</v>
      </c>
      <c r="K96" s="8">
        <v>141</v>
      </c>
      <c r="L96" s="8" t="s">
        <v>6740</v>
      </c>
      <c r="M96" s="8">
        <v>1</v>
      </c>
      <c r="N96" s="8"/>
      <c r="O96" s="8"/>
      <c r="P96" s="8" t="s">
        <v>6741</v>
      </c>
      <c r="Q96" s="8" t="s">
        <v>6742</v>
      </c>
      <c r="R96" s="8" t="s">
        <v>4456</v>
      </c>
      <c r="S96" s="8" t="s">
        <v>53</v>
      </c>
      <c r="T96" s="8" t="s">
        <v>54</v>
      </c>
      <c r="U96" s="9"/>
    </row>
    <row r="97" spans="1:21" ht="14.5" x14ac:dyDescent="0.35">
      <c r="A97" s="8" t="s">
        <v>6743</v>
      </c>
      <c r="B97" s="8" t="str">
        <f>"9780750709736"</f>
        <v>9780750709736</v>
      </c>
      <c r="C97" s="8" t="str">
        <f>"9780203132197"</f>
        <v>9780203132197</v>
      </c>
      <c r="D97" s="8" t="s">
        <v>6350</v>
      </c>
      <c r="E97" s="8" t="s">
        <v>6351</v>
      </c>
      <c r="F97" s="8" t="s">
        <v>139</v>
      </c>
      <c r="G97" s="8" t="s">
        <v>6352</v>
      </c>
      <c r="H97" s="8">
        <v>36777</v>
      </c>
      <c r="I97" s="8">
        <v>2000</v>
      </c>
      <c r="J97" s="8" t="s">
        <v>6353</v>
      </c>
      <c r="K97" s="8">
        <v>145</v>
      </c>
      <c r="L97" s="8" t="s">
        <v>6744</v>
      </c>
      <c r="M97" s="8">
        <v>1</v>
      </c>
      <c r="N97" s="8" t="s">
        <v>6720</v>
      </c>
      <c r="O97" s="8"/>
      <c r="P97" s="8" t="s">
        <v>6745</v>
      </c>
      <c r="Q97" s="8">
        <v>375.00094000000001</v>
      </c>
      <c r="R97" s="8" t="s">
        <v>6746</v>
      </c>
      <c r="S97" s="8" t="s">
        <v>53</v>
      </c>
      <c r="T97" s="8" t="s">
        <v>54</v>
      </c>
      <c r="U97" s="9"/>
    </row>
    <row r="98" spans="1:21" ht="14.5" x14ac:dyDescent="0.35">
      <c r="A98" s="8" t="s">
        <v>6747</v>
      </c>
      <c r="B98" s="8" t="str">
        <f>"9780750709316"</f>
        <v>9780750709316</v>
      </c>
      <c r="C98" s="8" t="str">
        <f>"9780203135792"</f>
        <v>9780203135792</v>
      </c>
      <c r="D98" s="8" t="s">
        <v>6350</v>
      </c>
      <c r="E98" s="8" t="s">
        <v>6351</v>
      </c>
      <c r="F98" s="8" t="s">
        <v>139</v>
      </c>
      <c r="G98" s="8" t="s">
        <v>6352</v>
      </c>
      <c r="H98" s="8">
        <v>36690</v>
      </c>
      <c r="I98" s="8">
        <v>2000</v>
      </c>
      <c r="J98" s="8" t="s">
        <v>6353</v>
      </c>
      <c r="K98" s="8">
        <v>142</v>
      </c>
      <c r="L98" s="8" t="s">
        <v>6748</v>
      </c>
      <c r="M98" s="8">
        <v>1</v>
      </c>
      <c r="N98" s="8"/>
      <c r="O98" s="8"/>
      <c r="P98" s="8" t="s">
        <v>6749</v>
      </c>
      <c r="Q98" s="8" t="s">
        <v>6750</v>
      </c>
      <c r="R98" s="8" t="s">
        <v>6751</v>
      </c>
      <c r="S98" s="8" t="s">
        <v>53</v>
      </c>
      <c r="T98" s="8" t="s">
        <v>6752</v>
      </c>
      <c r="U98" s="9"/>
    </row>
    <row r="99" spans="1:21" ht="14.5" x14ac:dyDescent="0.35">
      <c r="A99" s="8" t="s">
        <v>6753</v>
      </c>
      <c r="B99" s="8" t="str">
        <f>"9780750707299"</f>
        <v>9780750707299</v>
      </c>
      <c r="C99" s="8" t="str">
        <f>"9780203137840"</f>
        <v>9780203137840</v>
      </c>
      <c r="D99" s="8" t="s">
        <v>6350</v>
      </c>
      <c r="E99" s="8" t="s">
        <v>6351</v>
      </c>
      <c r="F99" s="8" t="s">
        <v>3967</v>
      </c>
      <c r="G99" s="8" t="s">
        <v>6352</v>
      </c>
      <c r="H99" s="8">
        <v>35735</v>
      </c>
      <c r="I99" s="8">
        <v>1997</v>
      </c>
      <c r="J99" s="8" t="s">
        <v>6353</v>
      </c>
      <c r="K99" s="8">
        <v>184</v>
      </c>
      <c r="L99" s="8" t="s">
        <v>6754</v>
      </c>
      <c r="M99" s="8">
        <v>1</v>
      </c>
      <c r="N99" s="8"/>
      <c r="O99" s="8"/>
      <c r="P99" s="8">
        <v>98107696</v>
      </c>
      <c r="Q99" s="8"/>
      <c r="R99" s="8" t="s">
        <v>6755</v>
      </c>
      <c r="S99" s="8" t="s">
        <v>53</v>
      </c>
      <c r="T99" s="8" t="s">
        <v>54</v>
      </c>
      <c r="U99" s="9"/>
    </row>
    <row r="100" spans="1:21" ht="14.5" x14ac:dyDescent="0.35">
      <c r="A100" s="8" t="s">
        <v>6756</v>
      </c>
      <c r="B100" s="8" t="str">
        <f>"9780750704243"</f>
        <v>9780750704243</v>
      </c>
      <c r="C100" s="8" t="str">
        <f>"9780203138021"</f>
        <v>9780203138021</v>
      </c>
      <c r="D100" s="8" t="s">
        <v>6350</v>
      </c>
      <c r="E100" s="8" t="s">
        <v>6351</v>
      </c>
      <c r="F100" s="8" t="s">
        <v>139</v>
      </c>
      <c r="G100" s="8" t="s">
        <v>6352</v>
      </c>
      <c r="H100" s="8">
        <v>34912</v>
      </c>
      <c r="I100" s="8">
        <v>1995</v>
      </c>
      <c r="J100" s="8" t="s">
        <v>6353</v>
      </c>
      <c r="K100" s="8">
        <v>232</v>
      </c>
      <c r="L100" s="8" t="s">
        <v>6579</v>
      </c>
      <c r="M100" s="8">
        <v>1</v>
      </c>
      <c r="N100" s="8"/>
      <c r="O100" s="8"/>
      <c r="P100" s="8">
        <v>95007262</v>
      </c>
      <c r="Q100" s="8">
        <v>372.11020000000002</v>
      </c>
      <c r="R100" s="8" t="s">
        <v>6396</v>
      </c>
      <c r="S100" s="8" t="s">
        <v>53</v>
      </c>
      <c r="T100" s="8" t="s">
        <v>54</v>
      </c>
      <c r="U100" s="9"/>
    </row>
    <row r="101" spans="1:21" ht="14.5" x14ac:dyDescent="0.35">
      <c r="A101" s="8" t="s">
        <v>6757</v>
      </c>
      <c r="B101" s="8" t="str">
        <f>"9780750706858"</f>
        <v>9780750706858</v>
      </c>
      <c r="C101" s="8" t="str">
        <f>"9780203138427"</f>
        <v>9780203138427</v>
      </c>
      <c r="D101" s="8" t="s">
        <v>6350</v>
      </c>
      <c r="E101" s="8" t="s">
        <v>6351</v>
      </c>
      <c r="F101" s="8" t="s">
        <v>748</v>
      </c>
      <c r="G101" s="8" t="s">
        <v>6352</v>
      </c>
      <c r="H101" s="8">
        <v>36557</v>
      </c>
      <c r="I101" s="8">
        <v>2000</v>
      </c>
      <c r="J101" s="8" t="s">
        <v>6351</v>
      </c>
      <c r="K101" s="8">
        <v>209</v>
      </c>
      <c r="L101" s="8" t="s">
        <v>6758</v>
      </c>
      <c r="M101" s="8">
        <v>1</v>
      </c>
      <c r="N101" s="8" t="s">
        <v>6580</v>
      </c>
      <c r="O101" s="8"/>
      <c r="P101" s="8" t="s">
        <v>6759</v>
      </c>
      <c r="Q101" s="8">
        <v>372.60941000000003</v>
      </c>
      <c r="R101" s="8" t="s">
        <v>6643</v>
      </c>
      <c r="S101" s="8" t="s">
        <v>53</v>
      </c>
      <c r="T101" s="8" t="s">
        <v>54</v>
      </c>
      <c r="U101" s="9"/>
    </row>
    <row r="102" spans="1:21" ht="14.5" x14ac:dyDescent="0.35">
      <c r="A102" s="8" t="s">
        <v>6760</v>
      </c>
      <c r="B102" s="8" t="str">
        <f>"9780415118668"</f>
        <v>9780415118668</v>
      </c>
      <c r="C102" s="8" t="str">
        <f>"9780203034026"</f>
        <v>9780203034026</v>
      </c>
      <c r="D102" s="8" t="s">
        <v>6350</v>
      </c>
      <c r="E102" s="8" t="s">
        <v>6351</v>
      </c>
      <c r="F102" s="8" t="s">
        <v>139</v>
      </c>
      <c r="G102" s="8" t="s">
        <v>6352</v>
      </c>
      <c r="H102" s="8">
        <v>35375</v>
      </c>
      <c r="I102" s="8">
        <v>1997</v>
      </c>
      <c r="J102" s="8" t="s">
        <v>6353</v>
      </c>
      <c r="K102" s="8">
        <v>263</v>
      </c>
      <c r="L102" s="8" t="s">
        <v>6761</v>
      </c>
      <c r="M102" s="8">
        <v>1</v>
      </c>
      <c r="N102" s="8"/>
      <c r="O102" s="8"/>
      <c r="P102" s="8">
        <v>96007568</v>
      </c>
      <c r="Q102" s="8">
        <v>371.93094100000002</v>
      </c>
      <c r="R102" s="8" t="s">
        <v>54</v>
      </c>
      <c r="S102" s="8" t="s">
        <v>53</v>
      </c>
      <c r="T102" s="8" t="s">
        <v>54</v>
      </c>
      <c r="U102" s="9"/>
    </row>
    <row r="103" spans="1:21" ht="14.5" x14ac:dyDescent="0.35">
      <c r="A103" s="8" t="s">
        <v>6762</v>
      </c>
      <c r="B103" s="8" t="str">
        <f>"9780415131995"</f>
        <v>9780415131995</v>
      </c>
      <c r="C103" s="8" t="str">
        <f>"9780203040065"</f>
        <v>9780203040065</v>
      </c>
      <c r="D103" s="8" t="s">
        <v>6350</v>
      </c>
      <c r="E103" s="8" t="s">
        <v>6351</v>
      </c>
      <c r="F103" s="8" t="s">
        <v>139</v>
      </c>
      <c r="G103" s="8" t="s">
        <v>6352</v>
      </c>
      <c r="H103" s="8">
        <v>35454</v>
      </c>
      <c r="I103" s="8">
        <v>2002</v>
      </c>
      <c r="J103" s="8" t="s">
        <v>6353</v>
      </c>
      <c r="K103" s="8">
        <v>241</v>
      </c>
      <c r="L103" s="8" t="s">
        <v>6763</v>
      </c>
      <c r="M103" s="8">
        <v>1</v>
      </c>
      <c r="N103" s="8"/>
      <c r="O103" s="8"/>
      <c r="P103" s="8" t="s">
        <v>6764</v>
      </c>
      <c r="Q103" s="8">
        <v>378.19828999999999</v>
      </c>
      <c r="R103" s="8" t="s">
        <v>6765</v>
      </c>
      <c r="S103" s="8" t="s">
        <v>53</v>
      </c>
      <c r="T103" s="8" t="s">
        <v>54</v>
      </c>
      <c r="U103" s="9"/>
    </row>
    <row r="104" spans="1:21" ht="14.5" x14ac:dyDescent="0.35">
      <c r="A104" s="8" t="s">
        <v>6766</v>
      </c>
      <c r="B104" s="8" t="str">
        <f>"9780415131308"</f>
        <v>9780415131308</v>
      </c>
      <c r="C104" s="8" t="str">
        <f>"9780203131923"</f>
        <v>9780203131923</v>
      </c>
      <c r="D104" s="8" t="s">
        <v>6350</v>
      </c>
      <c r="E104" s="8" t="s">
        <v>6351</v>
      </c>
      <c r="F104" s="8" t="s">
        <v>5406</v>
      </c>
      <c r="G104" s="8" t="s">
        <v>6317</v>
      </c>
      <c r="H104" s="8">
        <v>35279</v>
      </c>
      <c r="I104" s="8">
        <v>1996</v>
      </c>
      <c r="J104" s="8" t="s">
        <v>6353</v>
      </c>
      <c r="K104" s="8">
        <v>198</v>
      </c>
      <c r="L104" s="8" t="s">
        <v>6767</v>
      </c>
      <c r="M104" s="8">
        <v>1</v>
      </c>
      <c r="N104" s="8"/>
      <c r="O104" s="8"/>
      <c r="P104" s="8" t="s">
        <v>6768</v>
      </c>
      <c r="Q104" s="8">
        <v>370.78</v>
      </c>
      <c r="R104" s="8" t="s">
        <v>6769</v>
      </c>
      <c r="S104" s="8" t="s">
        <v>53</v>
      </c>
      <c r="T104" s="8" t="s">
        <v>54</v>
      </c>
      <c r="U104" s="9"/>
    </row>
    <row r="105" spans="1:21" ht="14.5" x14ac:dyDescent="0.35">
      <c r="A105" s="8" t="s">
        <v>6770</v>
      </c>
      <c r="B105" s="8" t="str">
        <f>"9780415222846"</f>
        <v>9780415222846</v>
      </c>
      <c r="C105" s="8" t="str">
        <f>"9780203132524"</f>
        <v>9780203132524</v>
      </c>
      <c r="D105" s="8" t="s">
        <v>6350</v>
      </c>
      <c r="E105" s="8" t="s">
        <v>6351</v>
      </c>
      <c r="F105" s="8" t="s">
        <v>3967</v>
      </c>
      <c r="G105" s="8" t="s">
        <v>6352</v>
      </c>
      <c r="H105" s="8">
        <v>36837</v>
      </c>
      <c r="I105" s="8">
        <v>2000</v>
      </c>
      <c r="J105" s="8" t="s">
        <v>6353</v>
      </c>
      <c r="K105" s="8">
        <v>177</v>
      </c>
      <c r="L105" s="8" t="s">
        <v>6771</v>
      </c>
      <c r="M105" s="8">
        <v>1</v>
      </c>
      <c r="N105" s="8"/>
      <c r="O105" s="8"/>
      <c r="P105" s="8" t="s">
        <v>6772</v>
      </c>
      <c r="Q105" s="8"/>
      <c r="R105" s="8" t="s">
        <v>6773</v>
      </c>
      <c r="S105" s="8" t="s">
        <v>53</v>
      </c>
      <c r="T105" s="8" t="s">
        <v>54</v>
      </c>
      <c r="U105" s="9"/>
    </row>
    <row r="106" spans="1:21" ht="14.5" x14ac:dyDescent="0.35">
      <c r="A106" s="8" t="s">
        <v>6774</v>
      </c>
      <c r="B106" s="8" t="str">
        <f>"9780415124096"</f>
        <v>9780415124096</v>
      </c>
      <c r="C106" s="8" t="str">
        <f>"9780203132784"</f>
        <v>9780203132784</v>
      </c>
      <c r="D106" s="8" t="s">
        <v>6350</v>
      </c>
      <c r="E106" s="8" t="s">
        <v>6351</v>
      </c>
      <c r="F106" s="8" t="s">
        <v>5406</v>
      </c>
      <c r="G106" s="8" t="s">
        <v>6317</v>
      </c>
      <c r="H106" s="8">
        <v>35241</v>
      </c>
      <c r="I106" s="8">
        <v>1996</v>
      </c>
      <c r="J106" s="8" t="s">
        <v>6353</v>
      </c>
      <c r="K106" s="8">
        <v>243</v>
      </c>
      <c r="L106" s="8" t="s">
        <v>6775</v>
      </c>
      <c r="M106" s="8">
        <v>1</v>
      </c>
      <c r="N106" s="8"/>
      <c r="O106" s="8"/>
      <c r="P106" s="8" t="s">
        <v>6776</v>
      </c>
      <c r="Q106" s="8">
        <v>372.19</v>
      </c>
      <c r="R106" s="8" t="s">
        <v>6777</v>
      </c>
      <c r="S106" s="8" t="s">
        <v>53</v>
      </c>
      <c r="T106" s="8" t="s">
        <v>54</v>
      </c>
      <c r="U106" s="9"/>
    </row>
    <row r="107" spans="1:21" ht="14.5" x14ac:dyDescent="0.35">
      <c r="A107" s="8" t="s">
        <v>6778</v>
      </c>
      <c r="B107" s="8" t="str">
        <f>"9780415191173"</f>
        <v>9780415191173</v>
      </c>
      <c r="C107" s="8" t="str">
        <f>"9780203133101"</f>
        <v>9780203133101</v>
      </c>
      <c r="D107" s="8" t="s">
        <v>6350</v>
      </c>
      <c r="E107" s="8" t="s">
        <v>6351</v>
      </c>
      <c r="F107" s="8" t="s">
        <v>139</v>
      </c>
      <c r="G107" s="8" t="s">
        <v>6352</v>
      </c>
      <c r="H107" s="8">
        <v>36811</v>
      </c>
      <c r="I107" s="8">
        <v>2000</v>
      </c>
      <c r="J107" s="8" t="s">
        <v>6353</v>
      </c>
      <c r="K107" s="8">
        <v>145</v>
      </c>
      <c r="L107" s="8" t="s">
        <v>6779</v>
      </c>
      <c r="M107" s="8">
        <v>1</v>
      </c>
      <c r="N107" s="8"/>
      <c r="O107" s="8"/>
      <c r="P107" s="8" t="s">
        <v>6780</v>
      </c>
      <c r="Q107" s="8">
        <v>372.21</v>
      </c>
      <c r="R107" s="8" t="s">
        <v>6781</v>
      </c>
      <c r="S107" s="8" t="s">
        <v>53</v>
      </c>
      <c r="T107" s="8" t="s">
        <v>54</v>
      </c>
      <c r="U107" s="9"/>
    </row>
    <row r="108" spans="1:21" ht="14.5" x14ac:dyDescent="0.35">
      <c r="A108" s="8" t="s">
        <v>6782</v>
      </c>
      <c r="B108" s="8" t="str">
        <f>"9780415213882"</f>
        <v>9780415213882</v>
      </c>
      <c r="C108" s="8" t="str">
        <f>"9780203134429"</f>
        <v>9780203134429</v>
      </c>
      <c r="D108" s="8" t="s">
        <v>6350</v>
      </c>
      <c r="E108" s="8" t="s">
        <v>6351</v>
      </c>
      <c r="F108" s="8" t="s">
        <v>139</v>
      </c>
      <c r="G108" s="8" t="s">
        <v>6352</v>
      </c>
      <c r="H108" s="8">
        <v>36668</v>
      </c>
      <c r="I108" s="8">
        <v>2000</v>
      </c>
      <c r="J108" s="8" t="s">
        <v>6353</v>
      </c>
      <c r="K108" s="8">
        <v>157</v>
      </c>
      <c r="L108" s="8" t="s">
        <v>6783</v>
      </c>
      <c r="M108" s="8">
        <v>1</v>
      </c>
      <c r="N108" s="8"/>
      <c r="O108" s="8"/>
      <c r="P108" s="8" t="s">
        <v>6784</v>
      </c>
      <c r="Q108" s="8" t="s">
        <v>6785</v>
      </c>
      <c r="R108" s="8" t="s">
        <v>6577</v>
      </c>
      <c r="S108" s="8" t="s">
        <v>53</v>
      </c>
      <c r="T108" s="8" t="s">
        <v>54</v>
      </c>
      <c r="U108" s="9"/>
    </row>
    <row r="109" spans="1:21" ht="14.5" x14ac:dyDescent="0.35">
      <c r="A109" s="8" t="s">
        <v>6786</v>
      </c>
      <c r="B109" s="8" t="str">
        <f>"9780415237161"</f>
        <v>9780415237161</v>
      </c>
      <c r="C109" s="8" t="str">
        <f>"9780203135716"</f>
        <v>9780203135716</v>
      </c>
      <c r="D109" s="8" t="s">
        <v>6350</v>
      </c>
      <c r="E109" s="8" t="s">
        <v>6351</v>
      </c>
      <c r="F109" s="8" t="s">
        <v>139</v>
      </c>
      <c r="G109" s="8" t="s">
        <v>6352</v>
      </c>
      <c r="H109" s="8">
        <v>36816</v>
      </c>
      <c r="I109" s="8">
        <v>2000</v>
      </c>
      <c r="J109" s="8" t="s">
        <v>6353</v>
      </c>
      <c r="K109" s="8">
        <v>288</v>
      </c>
      <c r="L109" s="8" t="s">
        <v>6787</v>
      </c>
      <c r="M109" s="8">
        <v>1</v>
      </c>
      <c r="N109" s="8" t="s">
        <v>6788</v>
      </c>
      <c r="O109" s="8"/>
      <c r="P109" s="8" t="s">
        <v>6789</v>
      </c>
      <c r="Q109" s="8">
        <v>613.70699999999999</v>
      </c>
      <c r="R109" s="8" t="s">
        <v>6790</v>
      </c>
      <c r="S109" s="8" t="s">
        <v>53</v>
      </c>
      <c r="T109" s="8" t="s">
        <v>6791</v>
      </c>
      <c r="U109" s="9"/>
    </row>
    <row r="110" spans="1:21" ht="14.5" x14ac:dyDescent="0.35">
      <c r="A110" s="8" t="s">
        <v>6792</v>
      </c>
      <c r="B110" s="8" t="str">
        <f>"9780415148146"</f>
        <v>9780415148146</v>
      </c>
      <c r="C110" s="8" t="str">
        <f>"9780203137154"</f>
        <v>9780203137154</v>
      </c>
      <c r="D110" s="8" t="s">
        <v>6350</v>
      </c>
      <c r="E110" s="8" t="s">
        <v>6351</v>
      </c>
      <c r="F110" s="8" t="s">
        <v>3967</v>
      </c>
      <c r="G110" s="8" t="s">
        <v>6352</v>
      </c>
      <c r="H110" s="8">
        <v>35490</v>
      </c>
      <c r="I110" s="8">
        <v>1997</v>
      </c>
      <c r="J110" s="8" t="s">
        <v>6353</v>
      </c>
      <c r="K110" s="8">
        <v>204</v>
      </c>
      <c r="L110" s="8" t="s">
        <v>6793</v>
      </c>
      <c r="M110" s="8">
        <v>1</v>
      </c>
      <c r="N110" s="8"/>
      <c r="O110" s="8"/>
      <c r="P110" s="8" t="s">
        <v>6794</v>
      </c>
      <c r="Q110" s="8">
        <v>372.11020000000002</v>
      </c>
      <c r="R110" s="8" t="s">
        <v>6795</v>
      </c>
      <c r="S110" s="8" t="s">
        <v>53</v>
      </c>
      <c r="T110" s="8" t="s">
        <v>54</v>
      </c>
      <c r="U110" s="9"/>
    </row>
    <row r="111" spans="1:21" ht="14.5" x14ac:dyDescent="0.35">
      <c r="A111" s="8" t="s">
        <v>6796</v>
      </c>
      <c r="B111" s="8" t="str">
        <f>"9780415227865"</f>
        <v>9780415227865</v>
      </c>
      <c r="C111" s="8" t="str">
        <f>"9780203137499"</f>
        <v>9780203137499</v>
      </c>
      <c r="D111" s="8" t="s">
        <v>6350</v>
      </c>
      <c r="E111" s="8" t="s">
        <v>6351</v>
      </c>
      <c r="F111" s="8" t="s">
        <v>5406</v>
      </c>
      <c r="G111" s="8" t="s">
        <v>6352</v>
      </c>
      <c r="H111" s="8">
        <v>36608</v>
      </c>
      <c r="I111" s="8">
        <v>2000</v>
      </c>
      <c r="J111" s="8" t="s">
        <v>6353</v>
      </c>
      <c r="K111" s="8">
        <v>157</v>
      </c>
      <c r="L111" s="8" t="s">
        <v>6797</v>
      </c>
      <c r="M111" s="8">
        <v>1</v>
      </c>
      <c r="N111" s="8"/>
      <c r="O111" s="8"/>
      <c r="P111" s="8" t="s">
        <v>6798</v>
      </c>
      <c r="Q111" s="8">
        <v>507.12040999999999</v>
      </c>
      <c r="R111" s="8" t="s">
        <v>6799</v>
      </c>
      <c r="S111" s="8" t="s">
        <v>53</v>
      </c>
      <c r="T111" s="8" t="s">
        <v>6800</v>
      </c>
      <c r="U111" s="9"/>
    </row>
    <row r="112" spans="1:21" ht="14.5" x14ac:dyDescent="0.35">
      <c r="A112" s="8" t="s">
        <v>6801</v>
      </c>
      <c r="B112" s="8" t="str">
        <f>"9780415131988"</f>
        <v>9780415131988</v>
      </c>
      <c r="C112" s="8" t="str">
        <f>"9780203137833"</f>
        <v>9780203137833</v>
      </c>
      <c r="D112" s="8" t="s">
        <v>6350</v>
      </c>
      <c r="E112" s="8" t="s">
        <v>6351</v>
      </c>
      <c r="F112" s="8" t="s">
        <v>5406</v>
      </c>
      <c r="G112" s="8" t="s">
        <v>6317</v>
      </c>
      <c r="H112" s="8">
        <v>35241</v>
      </c>
      <c r="I112" s="8">
        <v>2002</v>
      </c>
      <c r="J112" s="8" t="s">
        <v>6353</v>
      </c>
      <c r="K112" s="8">
        <v>285</v>
      </c>
      <c r="L112" s="8" t="s">
        <v>6631</v>
      </c>
      <c r="M112" s="8">
        <v>1</v>
      </c>
      <c r="N112" s="8"/>
      <c r="O112" s="8"/>
      <c r="P112" s="8" t="s">
        <v>6802</v>
      </c>
      <c r="Q112" s="8">
        <v>371.39499999999998</v>
      </c>
      <c r="R112" s="8" t="s">
        <v>6803</v>
      </c>
      <c r="S112" s="8" t="s">
        <v>53</v>
      </c>
      <c r="T112" s="8" t="s">
        <v>54</v>
      </c>
      <c r="U112" s="9"/>
    </row>
    <row r="113" spans="1:21" ht="14.5" x14ac:dyDescent="0.35">
      <c r="A113" s="8" t="s">
        <v>6804</v>
      </c>
      <c r="B113" s="8" t="str">
        <f>"9780415191159"</f>
        <v>9780415191159</v>
      </c>
      <c r="C113" s="8" t="str">
        <f>"9780203138069"</f>
        <v>9780203138069</v>
      </c>
      <c r="D113" s="8" t="s">
        <v>6350</v>
      </c>
      <c r="E113" s="8" t="s">
        <v>6351</v>
      </c>
      <c r="F113" s="8" t="s">
        <v>3967</v>
      </c>
      <c r="G113" s="8" t="s">
        <v>6352</v>
      </c>
      <c r="H113" s="8">
        <v>36796</v>
      </c>
      <c r="I113" s="8">
        <v>2000</v>
      </c>
      <c r="J113" s="8" t="s">
        <v>6353</v>
      </c>
      <c r="K113" s="8">
        <v>253</v>
      </c>
      <c r="L113" s="8" t="s">
        <v>6805</v>
      </c>
      <c r="M113" s="8">
        <v>1</v>
      </c>
      <c r="N113" s="8" t="s">
        <v>6806</v>
      </c>
      <c r="O113" s="8"/>
      <c r="P113" s="8" t="s">
        <v>6807</v>
      </c>
      <c r="Q113" s="8" t="s">
        <v>6808</v>
      </c>
      <c r="R113" s="8" t="s">
        <v>6809</v>
      </c>
      <c r="S113" s="8" t="s">
        <v>53</v>
      </c>
      <c r="T113" s="8" t="s">
        <v>6472</v>
      </c>
      <c r="U113" s="9"/>
    </row>
    <row r="114" spans="1:21" ht="14.5" x14ac:dyDescent="0.35">
      <c r="A114" s="8" t="s">
        <v>6810</v>
      </c>
      <c r="B114" s="8" t="str">
        <f>"9780415141840"</f>
        <v>9780415141840</v>
      </c>
      <c r="C114" s="8" t="str">
        <f>"9780203138380"</f>
        <v>9780203138380</v>
      </c>
      <c r="D114" s="8" t="s">
        <v>6350</v>
      </c>
      <c r="E114" s="8" t="s">
        <v>6351</v>
      </c>
      <c r="F114" s="8" t="s">
        <v>5406</v>
      </c>
      <c r="G114" s="8" t="s">
        <v>6317</v>
      </c>
      <c r="H114" s="8">
        <v>35551</v>
      </c>
      <c r="I114" s="8">
        <v>1997</v>
      </c>
      <c r="J114" s="8" t="s">
        <v>6353</v>
      </c>
      <c r="K114" s="8">
        <v>121</v>
      </c>
      <c r="L114" s="8" t="s">
        <v>6811</v>
      </c>
      <c r="M114" s="8">
        <v>1</v>
      </c>
      <c r="N114" s="8" t="s">
        <v>6812</v>
      </c>
      <c r="O114" s="8"/>
      <c r="P114" s="8" t="s">
        <v>6813</v>
      </c>
      <c r="Q114" s="8">
        <v>372.66044094099999</v>
      </c>
      <c r="R114" s="8" t="s">
        <v>6814</v>
      </c>
      <c r="S114" s="8" t="s">
        <v>53</v>
      </c>
      <c r="T114" s="8" t="s">
        <v>6815</v>
      </c>
      <c r="U114" s="9"/>
    </row>
    <row r="115" spans="1:21" ht="14.5" x14ac:dyDescent="0.35">
      <c r="A115" s="8" t="s">
        <v>6816</v>
      </c>
      <c r="B115" s="8" t="str">
        <f>"9780415223485"</f>
        <v>9780415223485</v>
      </c>
      <c r="C115" s="8" t="str">
        <f>"9780203187784"</f>
        <v>9780203187784</v>
      </c>
      <c r="D115" s="8" t="s">
        <v>6350</v>
      </c>
      <c r="E115" s="8" t="s">
        <v>6351</v>
      </c>
      <c r="F115" s="8" t="s">
        <v>139</v>
      </c>
      <c r="G115" s="8" t="s">
        <v>6352</v>
      </c>
      <c r="H115" s="8">
        <v>36818</v>
      </c>
      <c r="I115" s="8">
        <v>2000</v>
      </c>
      <c r="J115" s="8" t="s">
        <v>6353</v>
      </c>
      <c r="K115" s="8">
        <v>105</v>
      </c>
      <c r="L115" s="8" t="s">
        <v>6817</v>
      </c>
      <c r="M115" s="8">
        <v>1</v>
      </c>
      <c r="N115" s="8"/>
      <c r="O115" s="8"/>
      <c r="P115" s="8" t="s">
        <v>6818</v>
      </c>
      <c r="Q115" s="8">
        <v>372.07150000000001</v>
      </c>
      <c r="R115" s="8" t="s">
        <v>6819</v>
      </c>
      <c r="S115" s="8" t="s">
        <v>53</v>
      </c>
      <c r="T115" s="8" t="s">
        <v>54</v>
      </c>
      <c r="U115" s="9"/>
    </row>
    <row r="116" spans="1:21" ht="14.5" x14ac:dyDescent="0.35">
      <c r="A116" s="8" t="s">
        <v>6820</v>
      </c>
      <c r="B116" s="8" t="str">
        <f>"9780415237734"</f>
        <v>9780415237734</v>
      </c>
      <c r="C116" s="8" t="str">
        <f>"9780203187623"</f>
        <v>9780203187623</v>
      </c>
      <c r="D116" s="8" t="s">
        <v>6350</v>
      </c>
      <c r="E116" s="8" t="s">
        <v>6351</v>
      </c>
      <c r="F116" s="8" t="s">
        <v>139</v>
      </c>
      <c r="G116" s="8" t="s">
        <v>6352</v>
      </c>
      <c r="H116" s="8">
        <v>36845</v>
      </c>
      <c r="I116" s="8">
        <v>2000</v>
      </c>
      <c r="J116" s="8" t="s">
        <v>6353</v>
      </c>
      <c r="K116" s="8">
        <v>273</v>
      </c>
      <c r="L116" s="8" t="s">
        <v>6821</v>
      </c>
      <c r="M116" s="8">
        <v>1</v>
      </c>
      <c r="N116" s="8" t="s">
        <v>6822</v>
      </c>
      <c r="O116" s="8">
        <v>2</v>
      </c>
      <c r="P116" s="8" t="s">
        <v>6823</v>
      </c>
      <c r="Q116" s="8">
        <v>371.35</v>
      </c>
      <c r="R116" s="8" t="s">
        <v>4456</v>
      </c>
      <c r="S116" s="8" t="s">
        <v>53</v>
      </c>
      <c r="T116" s="8" t="s">
        <v>54</v>
      </c>
      <c r="U116" s="9"/>
    </row>
    <row r="117" spans="1:21" ht="14.5" x14ac:dyDescent="0.35">
      <c r="A117" s="8" t="s">
        <v>6824</v>
      </c>
      <c r="B117" s="8" t="str">
        <f>"9780415171977"</f>
        <v>9780415171977</v>
      </c>
      <c r="C117" s="8" t="str">
        <f>"9780203137512"</f>
        <v>9780203137512</v>
      </c>
      <c r="D117" s="8" t="s">
        <v>6350</v>
      </c>
      <c r="E117" s="8" t="s">
        <v>6351</v>
      </c>
      <c r="F117" s="8" t="s">
        <v>139</v>
      </c>
      <c r="G117" s="8" t="s">
        <v>6352</v>
      </c>
      <c r="H117" s="8">
        <v>36235</v>
      </c>
      <c r="I117" s="8">
        <v>1999</v>
      </c>
      <c r="J117" s="8" t="s">
        <v>6353</v>
      </c>
      <c r="K117" s="8">
        <v>252</v>
      </c>
      <c r="L117" s="8" t="s">
        <v>6825</v>
      </c>
      <c r="M117" s="8">
        <v>1</v>
      </c>
      <c r="N117" s="8"/>
      <c r="O117" s="8"/>
      <c r="P117" s="8" t="s">
        <v>6826</v>
      </c>
      <c r="Q117" s="8">
        <v>362.7</v>
      </c>
      <c r="R117" s="8" t="s">
        <v>6827</v>
      </c>
      <c r="S117" s="8" t="s">
        <v>53</v>
      </c>
      <c r="T117" s="8" t="s">
        <v>6363</v>
      </c>
      <c r="U117" s="9"/>
    </row>
    <row r="118" spans="1:21" ht="14.5" x14ac:dyDescent="0.35">
      <c r="A118" s="8" t="s">
        <v>6828</v>
      </c>
      <c r="B118" s="8" t="str">
        <f>"9780415133296"</f>
        <v>9780415133296</v>
      </c>
      <c r="C118" s="8" t="str">
        <f>"9780203130988"</f>
        <v>9780203130988</v>
      </c>
      <c r="D118" s="8" t="s">
        <v>6350</v>
      </c>
      <c r="E118" s="8" t="s">
        <v>6351</v>
      </c>
      <c r="F118" s="8" t="s">
        <v>139</v>
      </c>
      <c r="G118" s="8" t="s">
        <v>6352</v>
      </c>
      <c r="H118" s="8">
        <v>35585</v>
      </c>
      <c r="I118" s="8">
        <v>1997</v>
      </c>
      <c r="J118" s="8" t="s">
        <v>6353</v>
      </c>
      <c r="K118" s="8">
        <v>245</v>
      </c>
      <c r="L118" s="8" t="s">
        <v>6829</v>
      </c>
      <c r="M118" s="8">
        <v>1</v>
      </c>
      <c r="N118" s="8"/>
      <c r="O118" s="8"/>
      <c r="P118" s="8" t="s">
        <v>6830</v>
      </c>
      <c r="Q118" s="8" t="s">
        <v>6831</v>
      </c>
      <c r="R118" s="8" t="s">
        <v>6832</v>
      </c>
      <c r="S118" s="8" t="s">
        <v>53</v>
      </c>
      <c r="T118" s="8" t="s">
        <v>54</v>
      </c>
      <c r="U118" s="9"/>
    </row>
    <row r="119" spans="1:21" ht="14.5" x14ac:dyDescent="0.35">
      <c r="A119" s="8" t="s">
        <v>6833</v>
      </c>
      <c r="B119" s="8" t="str">
        <f>"9780415142854"</f>
        <v>9780415142854</v>
      </c>
      <c r="C119" s="8" t="str">
        <f>"9780203135785"</f>
        <v>9780203135785</v>
      </c>
      <c r="D119" s="8" t="s">
        <v>6350</v>
      </c>
      <c r="E119" s="8" t="s">
        <v>6351</v>
      </c>
      <c r="F119" s="8" t="s">
        <v>5406</v>
      </c>
      <c r="G119" s="8" t="s">
        <v>6317</v>
      </c>
      <c r="H119" s="8">
        <v>36167</v>
      </c>
      <c r="I119" s="8">
        <v>1999</v>
      </c>
      <c r="J119" s="8" t="s">
        <v>6353</v>
      </c>
      <c r="K119" s="8">
        <v>216</v>
      </c>
      <c r="L119" s="8" t="s">
        <v>6834</v>
      </c>
      <c r="M119" s="8">
        <v>1</v>
      </c>
      <c r="N119" s="8"/>
      <c r="O119" s="8"/>
      <c r="P119" s="8" t="s">
        <v>6835</v>
      </c>
      <c r="Q119" s="8">
        <v>371.334</v>
      </c>
      <c r="R119" s="8" t="s">
        <v>6836</v>
      </c>
      <c r="S119" s="8" t="s">
        <v>53</v>
      </c>
      <c r="T119" s="8" t="s">
        <v>54</v>
      </c>
      <c r="U119" s="9"/>
    </row>
    <row r="120" spans="1:21" ht="14.5" x14ac:dyDescent="0.35">
      <c r="A120" s="8" t="s">
        <v>6837</v>
      </c>
      <c r="B120" s="8" t="str">
        <f>"9780415921640"</f>
        <v>9780415921640</v>
      </c>
      <c r="C120" s="8" t="str">
        <f>"9780203900857"</f>
        <v>9780203900857</v>
      </c>
      <c r="D120" s="8" t="s">
        <v>6350</v>
      </c>
      <c r="E120" s="8" t="s">
        <v>6351</v>
      </c>
      <c r="F120" s="8" t="s">
        <v>139</v>
      </c>
      <c r="G120" s="8" t="s">
        <v>6352</v>
      </c>
      <c r="H120" s="8">
        <v>36221</v>
      </c>
      <c r="I120" s="8">
        <v>1999</v>
      </c>
      <c r="J120" s="8" t="s">
        <v>6353</v>
      </c>
      <c r="K120" s="8">
        <v>405</v>
      </c>
      <c r="L120" s="8" t="s">
        <v>6838</v>
      </c>
      <c r="M120" s="8">
        <v>1</v>
      </c>
      <c r="N120" s="8"/>
      <c r="O120" s="8"/>
      <c r="P120" s="8" t="s">
        <v>6839</v>
      </c>
      <c r="Q120" s="8">
        <v>378.125</v>
      </c>
      <c r="R120" s="8" t="s">
        <v>6840</v>
      </c>
      <c r="S120" s="8" t="s">
        <v>53</v>
      </c>
      <c r="T120" s="8" t="s">
        <v>54</v>
      </c>
      <c r="U120" s="9"/>
    </row>
    <row r="121" spans="1:21" ht="14.5" x14ac:dyDescent="0.35">
      <c r="A121" s="8" t="s">
        <v>6841</v>
      </c>
      <c r="B121" s="8" t="str">
        <f>"9780415922029"</f>
        <v>9780415922029</v>
      </c>
      <c r="C121" s="8" t="str">
        <f>"9780203902356"</f>
        <v>9780203902356</v>
      </c>
      <c r="D121" s="8" t="s">
        <v>6350</v>
      </c>
      <c r="E121" s="8" t="s">
        <v>6351</v>
      </c>
      <c r="F121" s="8" t="s">
        <v>139</v>
      </c>
      <c r="G121" s="8" t="s">
        <v>6317</v>
      </c>
      <c r="H121" s="8">
        <v>36208</v>
      </c>
      <c r="I121" s="8">
        <v>1999</v>
      </c>
      <c r="J121" s="8" t="s">
        <v>6353</v>
      </c>
      <c r="K121" s="8">
        <v>351</v>
      </c>
      <c r="L121" s="8" t="s">
        <v>6842</v>
      </c>
      <c r="M121" s="8">
        <v>1</v>
      </c>
      <c r="N121" s="8"/>
      <c r="O121" s="8"/>
      <c r="P121" s="8" t="s">
        <v>6843</v>
      </c>
      <c r="Q121" s="8" t="s">
        <v>6844</v>
      </c>
      <c r="R121" s="8" t="s">
        <v>6845</v>
      </c>
      <c r="S121" s="8" t="s">
        <v>53</v>
      </c>
      <c r="T121" s="8" t="s">
        <v>54</v>
      </c>
      <c r="U121" s="9"/>
    </row>
    <row r="122" spans="1:21" ht="14.5" x14ac:dyDescent="0.35">
      <c r="A122" s="8" t="s">
        <v>6846</v>
      </c>
      <c r="B122" s="8" t="str">
        <f>"9780415181914"</f>
        <v>9780415181914</v>
      </c>
      <c r="C122" s="8" t="str">
        <f>"9781134675531"</f>
        <v>9781134675531</v>
      </c>
      <c r="D122" s="8" t="s">
        <v>6350</v>
      </c>
      <c r="E122" s="8" t="s">
        <v>6351</v>
      </c>
      <c r="F122" s="8" t="s">
        <v>3967</v>
      </c>
      <c r="G122" s="8" t="s">
        <v>6352</v>
      </c>
      <c r="H122" s="8">
        <v>35796</v>
      </c>
      <c r="I122" s="8">
        <v>2004</v>
      </c>
      <c r="J122" s="8" t="s">
        <v>6353</v>
      </c>
      <c r="K122" s="8">
        <v>248</v>
      </c>
      <c r="L122" s="8" t="s">
        <v>6847</v>
      </c>
      <c r="M122" s="8">
        <v>1</v>
      </c>
      <c r="N122" s="8"/>
      <c r="O122" s="8"/>
      <c r="P122" s="8" t="s">
        <v>6848</v>
      </c>
      <c r="Q122" s="8"/>
      <c r="R122" s="8" t="s">
        <v>6849</v>
      </c>
      <c r="S122" s="8" t="s">
        <v>53</v>
      </c>
      <c r="T122" s="8" t="s">
        <v>54</v>
      </c>
      <c r="U122" s="9"/>
    </row>
    <row r="123" spans="1:21" ht="14.5" x14ac:dyDescent="0.35">
      <c r="A123" s="8" t="s">
        <v>6850</v>
      </c>
      <c r="B123" s="8" t="str">
        <f>"9780415214759"</f>
        <v>9780415214759</v>
      </c>
      <c r="C123" s="8" t="str">
        <f>"9780203165027"</f>
        <v>9780203165027</v>
      </c>
      <c r="D123" s="8" t="s">
        <v>6350</v>
      </c>
      <c r="E123" s="8" t="s">
        <v>6351</v>
      </c>
      <c r="F123" s="8" t="s">
        <v>139</v>
      </c>
      <c r="G123" s="8" t="s">
        <v>6352</v>
      </c>
      <c r="H123" s="8">
        <v>36832</v>
      </c>
      <c r="I123" s="8">
        <v>2001</v>
      </c>
      <c r="J123" s="8" t="s">
        <v>6353</v>
      </c>
      <c r="K123" s="8">
        <v>221</v>
      </c>
      <c r="L123" s="8" t="s">
        <v>6851</v>
      </c>
      <c r="M123" s="8">
        <v>1</v>
      </c>
      <c r="N123" s="8" t="s">
        <v>6852</v>
      </c>
      <c r="O123" s="8"/>
      <c r="P123" s="8" t="s">
        <v>6853</v>
      </c>
      <c r="Q123" s="8">
        <v>370.71108199999998</v>
      </c>
      <c r="R123" s="8" t="s">
        <v>6854</v>
      </c>
      <c r="S123" s="8" t="s">
        <v>53</v>
      </c>
      <c r="T123" s="8" t="s">
        <v>54</v>
      </c>
      <c r="U123" s="9"/>
    </row>
    <row r="124" spans="1:21" ht="14.5" x14ac:dyDescent="0.35">
      <c r="A124" s="8" t="s">
        <v>6855</v>
      </c>
      <c r="B124" s="8" t="str">
        <f>"9780415102582"</f>
        <v>9780415102582</v>
      </c>
      <c r="C124" s="8" t="str">
        <f>"9780203425114"</f>
        <v>9780203425114</v>
      </c>
      <c r="D124" s="8" t="s">
        <v>6350</v>
      </c>
      <c r="E124" s="8" t="s">
        <v>6351</v>
      </c>
      <c r="F124" s="8" t="s">
        <v>139</v>
      </c>
      <c r="G124" s="8" t="s">
        <v>6352</v>
      </c>
      <c r="H124" s="8">
        <v>34298</v>
      </c>
      <c r="I124" s="8">
        <v>1993</v>
      </c>
      <c r="J124" s="8" t="s">
        <v>6353</v>
      </c>
      <c r="K124" s="8">
        <v>337</v>
      </c>
      <c r="L124" s="8" t="s">
        <v>6856</v>
      </c>
      <c r="M124" s="8">
        <v>1</v>
      </c>
      <c r="N124" s="8"/>
      <c r="O124" s="8"/>
      <c r="P124" s="8" t="s">
        <v>6857</v>
      </c>
      <c r="Q124" s="8">
        <v>372.94099999999997</v>
      </c>
      <c r="R124" s="8" t="s">
        <v>6858</v>
      </c>
      <c r="S124" s="8" t="s">
        <v>53</v>
      </c>
      <c r="T124" s="8" t="s">
        <v>54</v>
      </c>
      <c r="U124" s="9"/>
    </row>
    <row r="125" spans="1:21" ht="14.5" x14ac:dyDescent="0.35">
      <c r="A125" s="8" t="s">
        <v>6859</v>
      </c>
      <c r="B125" s="8" t="str">
        <f>"9780415153942"</f>
        <v>9780415153942</v>
      </c>
      <c r="C125" s="8" t="str">
        <f>"9780203443118"</f>
        <v>9780203443118</v>
      </c>
      <c r="D125" s="8" t="s">
        <v>6350</v>
      </c>
      <c r="E125" s="8" t="s">
        <v>6351</v>
      </c>
      <c r="F125" s="8" t="s">
        <v>139</v>
      </c>
      <c r="G125" s="8" t="s">
        <v>6352</v>
      </c>
      <c r="H125" s="8">
        <v>35937</v>
      </c>
      <c r="I125" s="8">
        <v>1998</v>
      </c>
      <c r="J125" s="8" t="s">
        <v>6353</v>
      </c>
      <c r="K125" s="8">
        <v>208</v>
      </c>
      <c r="L125" s="8" t="s">
        <v>6860</v>
      </c>
      <c r="M125" s="8">
        <v>1</v>
      </c>
      <c r="N125" s="8"/>
      <c r="O125" s="8"/>
      <c r="P125" s="8" t="s">
        <v>6861</v>
      </c>
      <c r="Q125" s="8" t="s">
        <v>6862</v>
      </c>
      <c r="R125" s="8" t="s">
        <v>6863</v>
      </c>
      <c r="S125" s="8" t="s">
        <v>53</v>
      </c>
      <c r="T125" s="8" t="s">
        <v>6363</v>
      </c>
      <c r="U125" s="9"/>
    </row>
    <row r="126" spans="1:21" ht="14.5" x14ac:dyDescent="0.35">
      <c r="A126" s="8" t="s">
        <v>6864</v>
      </c>
      <c r="B126" s="8" t="str">
        <f>"9780750706605"</f>
        <v>9780750706605</v>
      </c>
      <c r="C126" s="8" t="str">
        <f>"9780203486375"</f>
        <v>9780203486375</v>
      </c>
      <c r="D126" s="8" t="s">
        <v>6350</v>
      </c>
      <c r="E126" s="8" t="s">
        <v>6351</v>
      </c>
      <c r="F126" s="8" t="s">
        <v>3967</v>
      </c>
      <c r="G126" s="8" t="s">
        <v>6352</v>
      </c>
      <c r="H126" s="8">
        <v>35490</v>
      </c>
      <c r="I126" s="8">
        <v>1997</v>
      </c>
      <c r="J126" s="8" t="s">
        <v>6353</v>
      </c>
      <c r="K126" s="8">
        <v>224</v>
      </c>
      <c r="L126" s="8" t="s">
        <v>6865</v>
      </c>
      <c r="M126" s="8">
        <v>1</v>
      </c>
      <c r="N126" s="8"/>
      <c r="O126" s="8"/>
      <c r="P126" s="8" t="s">
        <v>6866</v>
      </c>
      <c r="Q126" s="8" t="s">
        <v>6867</v>
      </c>
      <c r="R126" s="8" t="s">
        <v>6868</v>
      </c>
      <c r="S126" s="8" t="s">
        <v>53</v>
      </c>
      <c r="T126" s="8" t="s">
        <v>54</v>
      </c>
      <c r="U126" s="9"/>
    </row>
    <row r="127" spans="1:21" ht="14.5" x14ac:dyDescent="0.35">
      <c r="A127" s="8" t="s">
        <v>6869</v>
      </c>
      <c r="B127" s="8" t="str">
        <f>"9780415035095"</f>
        <v>9780415035095</v>
      </c>
      <c r="C127" s="8" t="str">
        <f>"9780203415177"</f>
        <v>9780203415177</v>
      </c>
      <c r="D127" s="8" t="s">
        <v>6350</v>
      </c>
      <c r="E127" s="8" t="s">
        <v>6351</v>
      </c>
      <c r="F127" s="8" t="s">
        <v>748</v>
      </c>
      <c r="G127" s="8" t="s">
        <v>6352</v>
      </c>
      <c r="H127" s="8">
        <v>33640</v>
      </c>
      <c r="I127" s="8">
        <v>1992</v>
      </c>
      <c r="J127" s="8" t="s">
        <v>6351</v>
      </c>
      <c r="K127" s="8">
        <v>267</v>
      </c>
      <c r="L127" s="8" t="s">
        <v>6870</v>
      </c>
      <c r="M127" s="8">
        <v>1</v>
      </c>
      <c r="N127" s="8" t="s">
        <v>6871</v>
      </c>
      <c r="O127" s="8"/>
      <c r="P127" s="8" t="s">
        <v>6872</v>
      </c>
      <c r="Q127" s="8">
        <v>371.1</v>
      </c>
      <c r="R127" s="8" t="s">
        <v>6873</v>
      </c>
      <c r="S127" s="8" t="s">
        <v>53</v>
      </c>
      <c r="T127" s="8" t="s">
        <v>54</v>
      </c>
      <c r="U127" s="9"/>
    </row>
    <row r="128" spans="1:21" ht="14.5" x14ac:dyDescent="0.35">
      <c r="A128" s="8" t="s">
        <v>6874</v>
      </c>
      <c r="B128" s="8" t="str">
        <f>"9780415035729"</f>
        <v>9780415035729</v>
      </c>
      <c r="C128" s="8" t="str">
        <f>"9780203405529"</f>
        <v>9780203405529</v>
      </c>
      <c r="D128" s="8" t="s">
        <v>6350</v>
      </c>
      <c r="E128" s="8" t="s">
        <v>6351</v>
      </c>
      <c r="F128" s="8" t="s">
        <v>139</v>
      </c>
      <c r="G128" s="8" t="s">
        <v>6352</v>
      </c>
      <c r="H128" s="8">
        <v>33434</v>
      </c>
      <c r="I128" s="8">
        <v>2004</v>
      </c>
      <c r="J128" s="8" t="s">
        <v>6353</v>
      </c>
      <c r="K128" s="8">
        <v>294</v>
      </c>
      <c r="L128" s="8" t="s">
        <v>6875</v>
      </c>
      <c r="M128" s="8">
        <v>1</v>
      </c>
      <c r="N128" s="8"/>
      <c r="O128" s="8"/>
      <c r="P128" s="8">
        <v>90024541</v>
      </c>
      <c r="Q128" s="8">
        <v>373.42090339999999</v>
      </c>
      <c r="R128" s="8" t="s">
        <v>4490</v>
      </c>
      <c r="S128" s="8" t="s">
        <v>53</v>
      </c>
      <c r="T128" s="8" t="s">
        <v>54</v>
      </c>
      <c r="U128" s="9"/>
    </row>
    <row r="129" spans="1:21" ht="14.5" x14ac:dyDescent="0.35">
      <c r="A129" s="8" t="s">
        <v>6876</v>
      </c>
      <c r="B129" s="8" t="str">
        <f>"9780415042420"</f>
        <v>9780415042420</v>
      </c>
      <c r="C129" s="8" t="str">
        <f>"9780203407035"</f>
        <v>9780203407035</v>
      </c>
      <c r="D129" s="8" t="s">
        <v>6350</v>
      </c>
      <c r="E129" s="8" t="s">
        <v>6351</v>
      </c>
      <c r="F129" s="8" t="s">
        <v>3967</v>
      </c>
      <c r="G129" s="8" t="s">
        <v>6352</v>
      </c>
      <c r="H129" s="8">
        <v>32996</v>
      </c>
      <c r="I129" s="8">
        <v>1990</v>
      </c>
      <c r="J129" s="8" t="s">
        <v>6353</v>
      </c>
      <c r="K129" s="8">
        <v>161</v>
      </c>
      <c r="L129" s="8" t="s">
        <v>6877</v>
      </c>
      <c r="M129" s="8">
        <v>1</v>
      </c>
      <c r="N129" s="8" t="s">
        <v>6878</v>
      </c>
      <c r="O129" s="8"/>
      <c r="P129" s="8" t="s">
        <v>6879</v>
      </c>
      <c r="Q129" s="8">
        <v>372.50439999999998</v>
      </c>
      <c r="R129" s="8" t="s">
        <v>6880</v>
      </c>
      <c r="S129" s="8" t="s">
        <v>53</v>
      </c>
      <c r="T129" s="8" t="s">
        <v>6881</v>
      </c>
      <c r="U129" s="9"/>
    </row>
    <row r="130" spans="1:21" ht="14.5" x14ac:dyDescent="0.35">
      <c r="A130" s="8" t="s">
        <v>6882</v>
      </c>
      <c r="B130" s="8" t="str">
        <f>"9780415049443"</f>
        <v>9780415049443</v>
      </c>
      <c r="C130" s="8" t="str">
        <f>"9780203408520"</f>
        <v>9780203408520</v>
      </c>
      <c r="D130" s="8" t="s">
        <v>6350</v>
      </c>
      <c r="E130" s="8" t="s">
        <v>6351</v>
      </c>
      <c r="F130" s="8" t="s">
        <v>748</v>
      </c>
      <c r="G130" s="8" t="s">
        <v>6352</v>
      </c>
      <c r="H130" s="8">
        <v>32201</v>
      </c>
      <c r="I130" s="8">
        <v>1985</v>
      </c>
      <c r="J130" s="8" t="s">
        <v>6351</v>
      </c>
      <c r="K130" s="8">
        <v>271</v>
      </c>
      <c r="L130" s="8" t="s">
        <v>6883</v>
      </c>
      <c r="M130" s="8">
        <v>1</v>
      </c>
      <c r="N130" s="8"/>
      <c r="O130" s="8"/>
      <c r="P130" s="8" t="s">
        <v>6884</v>
      </c>
      <c r="Q130" s="8">
        <v>376.94099999999997</v>
      </c>
      <c r="R130" s="8" t="s">
        <v>6885</v>
      </c>
      <c r="S130" s="8" t="s">
        <v>53</v>
      </c>
      <c r="T130" s="8" t="s">
        <v>54</v>
      </c>
      <c r="U130" s="9"/>
    </row>
    <row r="131" spans="1:21" ht="14.5" x14ac:dyDescent="0.35">
      <c r="A131" s="8" t="s">
        <v>6886</v>
      </c>
      <c r="B131" s="8" t="str">
        <f>"9780415053952"</f>
        <v>9780415053952</v>
      </c>
      <c r="C131" s="8" t="str">
        <f>"9780203409770"</f>
        <v>9780203409770</v>
      </c>
      <c r="D131" s="8" t="s">
        <v>6350</v>
      </c>
      <c r="E131" s="8" t="s">
        <v>6351</v>
      </c>
      <c r="F131" s="8" t="s">
        <v>139</v>
      </c>
      <c r="G131" s="8" t="s">
        <v>6352</v>
      </c>
      <c r="H131" s="8">
        <v>33150</v>
      </c>
      <c r="I131" s="8">
        <v>2004</v>
      </c>
      <c r="J131" s="8" t="s">
        <v>6353</v>
      </c>
      <c r="K131" s="8">
        <v>235</v>
      </c>
      <c r="L131" s="8" t="s">
        <v>6887</v>
      </c>
      <c r="M131" s="8">
        <v>1</v>
      </c>
      <c r="N131" s="8"/>
      <c r="O131" s="8"/>
      <c r="P131" s="8" t="s">
        <v>6888</v>
      </c>
      <c r="Q131" s="8">
        <v>371.90942000000001</v>
      </c>
      <c r="R131" s="8" t="s">
        <v>6889</v>
      </c>
      <c r="S131" s="8" t="s">
        <v>53</v>
      </c>
      <c r="T131" s="8" t="s">
        <v>54</v>
      </c>
      <c r="U131" s="9"/>
    </row>
    <row r="132" spans="1:21" ht="14.5" x14ac:dyDescent="0.35">
      <c r="A132" s="8" t="s">
        <v>6890</v>
      </c>
      <c r="B132" s="8" t="str">
        <f>"9780415068338"</f>
        <v>9780415068338</v>
      </c>
      <c r="C132" s="8" t="str">
        <f>"9780203415146"</f>
        <v>9780203415146</v>
      </c>
      <c r="D132" s="8" t="s">
        <v>6350</v>
      </c>
      <c r="E132" s="8" t="s">
        <v>6351</v>
      </c>
      <c r="F132" s="8" t="s">
        <v>748</v>
      </c>
      <c r="G132" s="8" t="s">
        <v>6352</v>
      </c>
      <c r="H132" s="8">
        <v>33941</v>
      </c>
      <c r="I132" s="8">
        <v>1992</v>
      </c>
      <c r="J132" s="8" t="s">
        <v>6351</v>
      </c>
      <c r="K132" s="8">
        <v>249</v>
      </c>
      <c r="L132" s="8" t="s">
        <v>6891</v>
      </c>
      <c r="M132" s="8">
        <v>1</v>
      </c>
      <c r="N132" s="8"/>
      <c r="O132" s="8"/>
      <c r="P132" s="8" t="s">
        <v>6892</v>
      </c>
      <c r="Q132" s="8">
        <v>371.2</v>
      </c>
      <c r="R132" s="8" t="s">
        <v>6893</v>
      </c>
      <c r="S132" s="8" t="s">
        <v>53</v>
      </c>
      <c r="T132" s="8" t="s">
        <v>54</v>
      </c>
      <c r="U132" s="9"/>
    </row>
    <row r="133" spans="1:21" ht="14.5" x14ac:dyDescent="0.35">
      <c r="A133" s="8" t="s">
        <v>6894</v>
      </c>
      <c r="B133" s="8" t="str">
        <f>"9780415080415"</f>
        <v>9780415080415</v>
      </c>
      <c r="C133" s="8" t="str">
        <f>"9780203410516"</f>
        <v>9780203410516</v>
      </c>
      <c r="D133" s="8" t="s">
        <v>6350</v>
      </c>
      <c r="E133" s="8" t="s">
        <v>6351</v>
      </c>
      <c r="F133" s="8" t="s">
        <v>748</v>
      </c>
      <c r="G133" s="8" t="s">
        <v>6352</v>
      </c>
      <c r="H133" s="8">
        <v>34207</v>
      </c>
      <c r="I133" s="8">
        <v>1993</v>
      </c>
      <c r="J133" s="8" t="s">
        <v>6351</v>
      </c>
      <c r="K133" s="8">
        <v>183</v>
      </c>
      <c r="L133" s="8" t="s">
        <v>6895</v>
      </c>
      <c r="M133" s="8">
        <v>1</v>
      </c>
      <c r="N133" s="8"/>
      <c r="O133" s="8"/>
      <c r="P133" s="8">
        <v>92047344</v>
      </c>
      <c r="Q133" s="8">
        <v>372.1360942</v>
      </c>
      <c r="R133" s="8" t="s">
        <v>6547</v>
      </c>
      <c r="S133" s="8" t="s">
        <v>53</v>
      </c>
      <c r="T133" s="8" t="s">
        <v>54</v>
      </c>
      <c r="U133" s="9"/>
    </row>
    <row r="134" spans="1:21" ht="14.5" x14ac:dyDescent="0.35">
      <c r="A134" s="8" t="s">
        <v>6896</v>
      </c>
      <c r="B134" s="8" t="str">
        <f>"9780415087926"</f>
        <v>9780415087926</v>
      </c>
      <c r="C134" s="8" t="str">
        <f>"9780203420263"</f>
        <v>9780203420263</v>
      </c>
      <c r="D134" s="8" t="s">
        <v>6350</v>
      </c>
      <c r="E134" s="8" t="s">
        <v>6351</v>
      </c>
      <c r="F134" s="8" t="s">
        <v>748</v>
      </c>
      <c r="G134" s="8" t="s">
        <v>6352</v>
      </c>
      <c r="H134" s="8">
        <v>33950</v>
      </c>
      <c r="I134" s="8">
        <v>1993</v>
      </c>
      <c r="J134" s="8" t="s">
        <v>6351</v>
      </c>
      <c r="K134" s="8">
        <v>207</v>
      </c>
      <c r="L134" s="8" t="s">
        <v>6897</v>
      </c>
      <c r="M134" s="8">
        <v>1</v>
      </c>
      <c r="N134" s="8"/>
      <c r="O134" s="8"/>
      <c r="P134" s="8" t="s">
        <v>6898</v>
      </c>
      <c r="Q134" s="8">
        <v>370.19</v>
      </c>
      <c r="R134" s="8" t="s">
        <v>6899</v>
      </c>
      <c r="S134" s="8" t="s">
        <v>53</v>
      </c>
      <c r="T134" s="8" t="s">
        <v>54</v>
      </c>
      <c r="U134" s="9"/>
    </row>
    <row r="135" spans="1:21" ht="14.5" x14ac:dyDescent="0.35">
      <c r="A135" s="8" t="s">
        <v>6900</v>
      </c>
      <c r="B135" s="8" t="str">
        <f>"9780415088640"</f>
        <v>9780415088640</v>
      </c>
      <c r="C135" s="8" t="str">
        <f>"9780203420553"</f>
        <v>9780203420553</v>
      </c>
      <c r="D135" s="8" t="s">
        <v>6350</v>
      </c>
      <c r="E135" s="8" t="s">
        <v>6351</v>
      </c>
      <c r="F135" s="8" t="s">
        <v>748</v>
      </c>
      <c r="G135" s="8" t="s">
        <v>6352</v>
      </c>
      <c r="H135" s="8">
        <v>34564</v>
      </c>
      <c r="I135" s="8">
        <v>1994</v>
      </c>
      <c r="J135" s="8" t="s">
        <v>6351</v>
      </c>
      <c r="K135" s="8">
        <v>204</v>
      </c>
      <c r="L135" s="8" t="s">
        <v>6901</v>
      </c>
      <c r="M135" s="8">
        <v>1</v>
      </c>
      <c r="N135" s="8" t="s">
        <v>6902</v>
      </c>
      <c r="O135" s="8"/>
      <c r="P135" s="8" t="s">
        <v>6903</v>
      </c>
      <c r="Q135" s="8" t="s">
        <v>6904</v>
      </c>
      <c r="R135" s="8" t="s">
        <v>6905</v>
      </c>
      <c r="S135" s="8" t="s">
        <v>53</v>
      </c>
      <c r="T135" s="8" t="s">
        <v>54</v>
      </c>
      <c r="U135" s="9"/>
    </row>
    <row r="136" spans="1:21" ht="14.5" x14ac:dyDescent="0.35">
      <c r="A136" s="8" t="s">
        <v>6906</v>
      </c>
      <c r="B136" s="8" t="str">
        <f>"9780415094436"</f>
        <v>9780415094436</v>
      </c>
      <c r="C136" s="8" t="str">
        <f>"9780203422434"</f>
        <v>9780203422434</v>
      </c>
      <c r="D136" s="8" t="s">
        <v>6350</v>
      </c>
      <c r="E136" s="8" t="s">
        <v>6351</v>
      </c>
      <c r="F136" s="8" t="s">
        <v>139</v>
      </c>
      <c r="G136" s="8" t="s">
        <v>6352</v>
      </c>
      <c r="H136" s="8">
        <v>28856</v>
      </c>
      <c r="I136" s="8">
        <v>1979</v>
      </c>
      <c r="J136" s="8" t="s">
        <v>6353</v>
      </c>
      <c r="K136" s="8">
        <v>133</v>
      </c>
      <c r="L136" s="8" t="s">
        <v>6907</v>
      </c>
      <c r="M136" s="8">
        <v>1</v>
      </c>
      <c r="N136" s="8"/>
      <c r="O136" s="8"/>
      <c r="P136" s="8" t="s">
        <v>6908</v>
      </c>
      <c r="Q136" s="8">
        <v>780.71</v>
      </c>
      <c r="R136" s="8" t="s">
        <v>6909</v>
      </c>
      <c r="S136" s="8" t="s">
        <v>53</v>
      </c>
      <c r="T136" s="8" t="s">
        <v>6384</v>
      </c>
      <c r="U136" s="9"/>
    </row>
    <row r="137" spans="1:21" ht="14.5" x14ac:dyDescent="0.35">
      <c r="A137" s="8" t="s">
        <v>6910</v>
      </c>
      <c r="B137" s="8" t="str">
        <f>"9780415098311"</f>
        <v>9780415098311</v>
      </c>
      <c r="C137" s="8" t="str">
        <f>"9780203423684"</f>
        <v>9780203423684</v>
      </c>
      <c r="D137" s="8" t="s">
        <v>6350</v>
      </c>
      <c r="E137" s="8" t="s">
        <v>6351</v>
      </c>
      <c r="F137" s="8" t="s">
        <v>139</v>
      </c>
      <c r="G137" s="8" t="s">
        <v>6352</v>
      </c>
      <c r="H137" s="8">
        <v>34543</v>
      </c>
      <c r="I137" s="8">
        <v>2004</v>
      </c>
      <c r="J137" s="8" t="s">
        <v>6353</v>
      </c>
      <c r="K137" s="8">
        <v>224</v>
      </c>
      <c r="L137" s="8" t="s">
        <v>6911</v>
      </c>
      <c r="M137" s="8">
        <v>1</v>
      </c>
      <c r="N137" s="8"/>
      <c r="O137" s="8"/>
      <c r="P137" s="8" t="s">
        <v>6912</v>
      </c>
      <c r="Q137" s="8" t="s">
        <v>6913</v>
      </c>
      <c r="R137" s="8" t="s">
        <v>6914</v>
      </c>
      <c r="S137" s="8" t="s">
        <v>53</v>
      </c>
      <c r="T137" s="8" t="s">
        <v>54</v>
      </c>
      <c r="U137" s="9"/>
    </row>
    <row r="138" spans="1:21" ht="14.5" x14ac:dyDescent="0.35">
      <c r="A138" s="8" t="s">
        <v>6915</v>
      </c>
      <c r="B138" s="8" t="str">
        <f>"9780415101349"</f>
        <v>9780415101349</v>
      </c>
      <c r="C138" s="8" t="str">
        <f>"9780203424681"</f>
        <v>9780203424681</v>
      </c>
      <c r="D138" s="8" t="s">
        <v>6350</v>
      </c>
      <c r="E138" s="8" t="s">
        <v>6351</v>
      </c>
      <c r="F138" s="8" t="s">
        <v>748</v>
      </c>
      <c r="G138" s="8" t="s">
        <v>6352</v>
      </c>
      <c r="H138" s="8">
        <v>34437</v>
      </c>
      <c r="I138" s="8">
        <v>1994</v>
      </c>
      <c r="J138" s="8" t="s">
        <v>6351</v>
      </c>
      <c r="K138" s="8">
        <v>346</v>
      </c>
      <c r="L138" s="8" t="s">
        <v>6916</v>
      </c>
      <c r="M138" s="8">
        <v>1</v>
      </c>
      <c r="N138" s="8"/>
      <c r="O138" s="8"/>
      <c r="P138" s="8" t="s">
        <v>6917</v>
      </c>
      <c r="Q138" s="8">
        <v>370.15300000000002</v>
      </c>
      <c r="R138" s="8" t="s">
        <v>6832</v>
      </c>
      <c r="S138" s="8" t="s">
        <v>53</v>
      </c>
      <c r="T138" s="8" t="s">
        <v>54</v>
      </c>
      <c r="U138" s="9"/>
    </row>
    <row r="139" spans="1:21" ht="14.5" x14ac:dyDescent="0.35">
      <c r="A139" s="8" t="s">
        <v>6918</v>
      </c>
      <c r="B139" s="8" t="str">
        <f>"9780415103749"</f>
        <v>9780415103749</v>
      </c>
      <c r="C139" s="8" t="str">
        <f>"9780203425503"</f>
        <v>9780203425503</v>
      </c>
      <c r="D139" s="8" t="s">
        <v>6350</v>
      </c>
      <c r="E139" s="8" t="s">
        <v>6351</v>
      </c>
      <c r="F139" s="8" t="s">
        <v>139</v>
      </c>
      <c r="G139" s="8" t="s">
        <v>6352</v>
      </c>
      <c r="H139" s="8">
        <v>34646</v>
      </c>
      <c r="I139" s="8">
        <v>1994</v>
      </c>
      <c r="J139" s="8" t="s">
        <v>6353</v>
      </c>
      <c r="K139" s="8">
        <v>201</v>
      </c>
      <c r="L139" s="8" t="s">
        <v>6919</v>
      </c>
      <c r="M139" s="8">
        <v>1</v>
      </c>
      <c r="N139" s="8"/>
      <c r="O139" s="8"/>
      <c r="P139" s="8">
        <v>93047626</v>
      </c>
      <c r="Q139" s="8" t="s">
        <v>6920</v>
      </c>
      <c r="R139" s="8" t="s">
        <v>6921</v>
      </c>
      <c r="S139" s="8" t="s">
        <v>53</v>
      </c>
      <c r="T139" s="8" t="s">
        <v>54</v>
      </c>
      <c r="U139" s="9"/>
    </row>
    <row r="140" spans="1:21" ht="14.5" x14ac:dyDescent="0.35">
      <c r="A140" s="8" t="s">
        <v>6922</v>
      </c>
      <c r="B140" s="8" t="str">
        <f>"9780415104180"</f>
        <v>9780415104180</v>
      </c>
      <c r="C140" s="8" t="str">
        <f>"9780203425688"</f>
        <v>9780203425688</v>
      </c>
      <c r="D140" s="8" t="s">
        <v>6350</v>
      </c>
      <c r="E140" s="8" t="s">
        <v>6351</v>
      </c>
      <c r="F140" s="8" t="s">
        <v>748</v>
      </c>
      <c r="G140" s="8" t="s">
        <v>6352</v>
      </c>
      <c r="H140" s="8">
        <v>34319</v>
      </c>
      <c r="I140" s="8">
        <v>1994</v>
      </c>
      <c r="J140" s="8" t="s">
        <v>6351</v>
      </c>
      <c r="K140" s="8">
        <v>255</v>
      </c>
      <c r="L140" s="8" t="s">
        <v>6923</v>
      </c>
      <c r="M140" s="8">
        <v>1</v>
      </c>
      <c r="N140" s="8"/>
      <c r="O140" s="8"/>
      <c r="P140" s="8" t="s">
        <v>6924</v>
      </c>
      <c r="Q140" s="8">
        <v>370.19310000000002</v>
      </c>
      <c r="R140" s="8" t="s">
        <v>6925</v>
      </c>
      <c r="S140" s="8" t="s">
        <v>53</v>
      </c>
      <c r="T140" s="8" t="s">
        <v>54</v>
      </c>
      <c r="U140" s="9"/>
    </row>
    <row r="141" spans="1:21" ht="14.5" x14ac:dyDescent="0.35">
      <c r="A141" s="8" t="s">
        <v>6926</v>
      </c>
      <c r="B141" s="8" t="str">
        <f>"9780415119870"</f>
        <v>9780415119870</v>
      </c>
      <c r="C141" s="8" t="str">
        <f>"9780203430798"</f>
        <v>9780203430798</v>
      </c>
      <c r="D141" s="8" t="s">
        <v>6350</v>
      </c>
      <c r="E141" s="8" t="s">
        <v>6351</v>
      </c>
      <c r="F141" s="8" t="s">
        <v>3967</v>
      </c>
      <c r="G141" s="8" t="s">
        <v>6352</v>
      </c>
      <c r="H141" s="8">
        <v>34639</v>
      </c>
      <c r="I141" s="8">
        <v>1994</v>
      </c>
      <c r="J141" s="8" t="s">
        <v>6353</v>
      </c>
      <c r="K141" s="8">
        <v>347</v>
      </c>
      <c r="L141" s="8" t="s">
        <v>6927</v>
      </c>
      <c r="M141" s="8">
        <v>1</v>
      </c>
      <c r="N141" s="8"/>
      <c r="O141" s="8"/>
      <c r="P141" s="8">
        <v>94017231</v>
      </c>
      <c r="Q141" s="8">
        <v>371.3</v>
      </c>
      <c r="R141" s="8" t="s">
        <v>6928</v>
      </c>
      <c r="S141" s="8" t="s">
        <v>53</v>
      </c>
      <c r="T141" s="8" t="s">
        <v>54</v>
      </c>
      <c r="U141" s="9"/>
    </row>
    <row r="142" spans="1:21" ht="14.5" x14ac:dyDescent="0.35">
      <c r="A142" s="8" t="s">
        <v>6929</v>
      </c>
      <c r="B142" s="8" t="str">
        <f>"9780415129107"</f>
        <v>9780415129107</v>
      </c>
      <c r="C142" s="8" t="str">
        <f>"9780203434383"</f>
        <v>9780203434383</v>
      </c>
      <c r="D142" s="8" t="s">
        <v>6350</v>
      </c>
      <c r="E142" s="8" t="s">
        <v>6351</v>
      </c>
      <c r="F142" s="8" t="s">
        <v>3967</v>
      </c>
      <c r="G142" s="8" t="s">
        <v>6352</v>
      </c>
      <c r="H142" s="8">
        <v>35241</v>
      </c>
      <c r="I142" s="8">
        <v>2004</v>
      </c>
      <c r="J142" s="8" t="s">
        <v>6353</v>
      </c>
      <c r="K142" s="8">
        <v>219</v>
      </c>
      <c r="L142" s="8" t="s">
        <v>6930</v>
      </c>
      <c r="M142" s="8">
        <v>1</v>
      </c>
      <c r="N142" s="8"/>
      <c r="O142" s="8"/>
      <c r="P142" s="8" t="s">
        <v>6931</v>
      </c>
      <c r="Q142" s="8">
        <v>371.20600000000002</v>
      </c>
      <c r="R142" s="8" t="s">
        <v>6932</v>
      </c>
      <c r="S142" s="8" t="s">
        <v>53</v>
      </c>
      <c r="T142" s="8" t="s">
        <v>54</v>
      </c>
      <c r="U142" s="9"/>
    </row>
    <row r="143" spans="1:21" ht="14.5" x14ac:dyDescent="0.35">
      <c r="A143" s="8" t="s">
        <v>6933</v>
      </c>
      <c r="B143" s="8" t="str">
        <f>"9780415129114"</f>
        <v>9780415129114</v>
      </c>
      <c r="C143" s="8" t="str">
        <f>"9780203434390"</f>
        <v>9780203434390</v>
      </c>
      <c r="D143" s="8" t="s">
        <v>6350</v>
      </c>
      <c r="E143" s="8" t="s">
        <v>6351</v>
      </c>
      <c r="F143" s="8" t="s">
        <v>3967</v>
      </c>
      <c r="G143" s="8" t="s">
        <v>6352</v>
      </c>
      <c r="H143" s="8">
        <v>35515</v>
      </c>
      <c r="I143" s="8">
        <v>2004</v>
      </c>
      <c r="J143" s="8" t="s">
        <v>6353</v>
      </c>
      <c r="K143" s="8">
        <v>248</v>
      </c>
      <c r="L143" s="8" t="s">
        <v>6934</v>
      </c>
      <c r="M143" s="8">
        <v>1</v>
      </c>
      <c r="N143" s="8"/>
      <c r="O143" s="8"/>
      <c r="P143" s="8">
        <v>96026284</v>
      </c>
      <c r="Q143" s="8">
        <v>379.15350000000001</v>
      </c>
      <c r="R143" s="8" t="s">
        <v>6935</v>
      </c>
      <c r="S143" s="8" t="s">
        <v>53</v>
      </c>
      <c r="T143" s="8" t="s">
        <v>54</v>
      </c>
      <c r="U143" s="9"/>
    </row>
    <row r="144" spans="1:21" ht="14.5" x14ac:dyDescent="0.35">
      <c r="A144" s="8" t="s">
        <v>6936</v>
      </c>
      <c r="B144" s="8" t="str">
        <f>"9780415133388"</f>
        <v>9780415133388</v>
      </c>
      <c r="C144" s="8" t="str">
        <f>"9780203435922"</f>
        <v>9780203435922</v>
      </c>
      <c r="D144" s="8" t="s">
        <v>6350</v>
      </c>
      <c r="E144" s="8" t="s">
        <v>6351</v>
      </c>
      <c r="F144" s="8" t="s">
        <v>139</v>
      </c>
      <c r="G144" s="8" t="s">
        <v>6352</v>
      </c>
      <c r="H144" s="8">
        <v>35606</v>
      </c>
      <c r="I144" s="8">
        <v>2004</v>
      </c>
      <c r="J144" s="8" t="s">
        <v>6353</v>
      </c>
      <c r="K144" s="8">
        <v>258</v>
      </c>
      <c r="L144" s="8" t="s">
        <v>6923</v>
      </c>
      <c r="M144" s="8">
        <v>1</v>
      </c>
      <c r="N144" s="8"/>
      <c r="O144" s="8"/>
      <c r="P144" s="8" t="s">
        <v>6937</v>
      </c>
      <c r="Q144" s="8">
        <v>371.2</v>
      </c>
      <c r="R144" s="8" t="s">
        <v>6938</v>
      </c>
      <c r="S144" s="8" t="s">
        <v>53</v>
      </c>
      <c r="T144" s="8" t="s">
        <v>54</v>
      </c>
      <c r="U144" s="9"/>
    </row>
    <row r="145" spans="1:21" ht="14.5" x14ac:dyDescent="0.35">
      <c r="A145" s="8" t="s">
        <v>6939</v>
      </c>
      <c r="B145" s="8" t="str">
        <f>"9780415142458"</f>
        <v>9780415142458</v>
      </c>
      <c r="C145" s="8" t="str">
        <f>"9780203439067"</f>
        <v>9780203439067</v>
      </c>
      <c r="D145" s="8" t="s">
        <v>6350</v>
      </c>
      <c r="E145" s="8" t="s">
        <v>6351</v>
      </c>
      <c r="F145" s="8" t="s">
        <v>139</v>
      </c>
      <c r="G145" s="8" t="s">
        <v>6352</v>
      </c>
      <c r="H145" s="8">
        <v>35425</v>
      </c>
      <c r="I145" s="8">
        <v>1997</v>
      </c>
      <c r="J145" s="8" t="s">
        <v>6353</v>
      </c>
      <c r="K145" s="8">
        <v>230</v>
      </c>
      <c r="L145" s="8" t="s">
        <v>6940</v>
      </c>
      <c r="M145" s="8">
        <v>1</v>
      </c>
      <c r="N145" s="8"/>
      <c r="O145" s="8"/>
      <c r="P145" s="8" t="s">
        <v>6941</v>
      </c>
      <c r="Q145" s="8" t="s">
        <v>6942</v>
      </c>
      <c r="R145" s="8" t="s">
        <v>6943</v>
      </c>
      <c r="S145" s="8" t="s">
        <v>53</v>
      </c>
      <c r="T145" s="8" t="s">
        <v>54</v>
      </c>
      <c r="U145" s="9"/>
    </row>
    <row r="146" spans="1:21" ht="14.5" x14ac:dyDescent="0.35">
      <c r="A146" s="8" t="s">
        <v>6944</v>
      </c>
      <c r="B146" s="8" t="str">
        <f>"9780415148153"</f>
        <v>9780415148153</v>
      </c>
      <c r="C146" s="8" t="str">
        <f>"9780203440971"</f>
        <v>9780203440971</v>
      </c>
      <c r="D146" s="8" t="s">
        <v>6350</v>
      </c>
      <c r="E146" s="8" t="s">
        <v>6351</v>
      </c>
      <c r="F146" s="8" t="s">
        <v>139</v>
      </c>
      <c r="G146" s="8" t="s">
        <v>6352</v>
      </c>
      <c r="H146" s="8">
        <v>35775</v>
      </c>
      <c r="I146" s="8">
        <v>2004</v>
      </c>
      <c r="J146" s="8" t="s">
        <v>6353</v>
      </c>
      <c r="K146" s="8">
        <v>249</v>
      </c>
      <c r="L146" s="8" t="s">
        <v>6945</v>
      </c>
      <c r="M146" s="8">
        <v>1</v>
      </c>
      <c r="N146" s="8"/>
      <c r="O146" s="8"/>
      <c r="P146" s="8" t="s">
        <v>6946</v>
      </c>
      <c r="Q146" s="8">
        <v>371.911</v>
      </c>
      <c r="R146" s="8" t="s">
        <v>54</v>
      </c>
      <c r="S146" s="8" t="s">
        <v>53</v>
      </c>
      <c r="T146" s="8" t="s">
        <v>6526</v>
      </c>
      <c r="U146" s="9"/>
    </row>
    <row r="147" spans="1:21" ht="14.5" x14ac:dyDescent="0.35">
      <c r="A147" s="8" t="s">
        <v>6947</v>
      </c>
      <c r="B147" s="8" t="str">
        <f>"9780415203142"</f>
        <v>9780415203142</v>
      </c>
      <c r="C147" s="8" t="str">
        <f>"9780203458013"</f>
        <v>9780203458013</v>
      </c>
      <c r="D147" s="8" t="s">
        <v>6350</v>
      </c>
      <c r="E147" s="8" t="s">
        <v>6351</v>
      </c>
      <c r="F147" s="8" t="s">
        <v>748</v>
      </c>
      <c r="G147" s="8" t="s">
        <v>6352</v>
      </c>
      <c r="H147" s="8">
        <v>36476</v>
      </c>
      <c r="I147" s="8">
        <v>1999</v>
      </c>
      <c r="J147" s="8" t="s">
        <v>6351</v>
      </c>
      <c r="K147" s="8">
        <v>376</v>
      </c>
      <c r="L147" s="8" t="s">
        <v>6948</v>
      </c>
      <c r="M147" s="8">
        <v>1</v>
      </c>
      <c r="N147" s="8"/>
      <c r="O147" s="8"/>
      <c r="P147" s="8" t="s">
        <v>6949</v>
      </c>
      <c r="Q147" s="8" t="s">
        <v>6950</v>
      </c>
      <c r="R147" s="8" t="s">
        <v>6951</v>
      </c>
      <c r="S147" s="8" t="s">
        <v>53</v>
      </c>
      <c r="T147" s="8" t="s">
        <v>6616</v>
      </c>
      <c r="U147" s="9"/>
    </row>
    <row r="148" spans="1:21" ht="14.5" x14ac:dyDescent="0.35">
      <c r="A148" s="8" t="s">
        <v>6952</v>
      </c>
      <c r="B148" s="8" t="str">
        <f>"9780415213479"</f>
        <v>9780415213479</v>
      </c>
      <c r="C148" s="8" t="str">
        <f>"9780203461372"</f>
        <v>9780203461372</v>
      </c>
      <c r="D148" s="8" t="s">
        <v>6350</v>
      </c>
      <c r="E148" s="8" t="s">
        <v>6351</v>
      </c>
      <c r="F148" s="8" t="s">
        <v>139</v>
      </c>
      <c r="G148" s="8" t="s">
        <v>6317</v>
      </c>
      <c r="H148" s="8">
        <v>36697</v>
      </c>
      <c r="I148" s="8">
        <v>2004</v>
      </c>
      <c r="J148" s="8" t="s">
        <v>6353</v>
      </c>
      <c r="K148" s="8">
        <v>185</v>
      </c>
      <c r="L148" s="8" t="s">
        <v>6953</v>
      </c>
      <c r="M148" s="8">
        <v>1</v>
      </c>
      <c r="N148" s="8" t="s">
        <v>6954</v>
      </c>
      <c r="O148" s="8"/>
      <c r="P148" s="8" t="s">
        <v>6955</v>
      </c>
      <c r="Q148" s="8">
        <v>371.10094099999998</v>
      </c>
      <c r="R148" s="8" t="s">
        <v>6956</v>
      </c>
      <c r="S148" s="8" t="s">
        <v>53</v>
      </c>
      <c r="T148" s="8" t="s">
        <v>54</v>
      </c>
      <c r="U148" s="9"/>
    </row>
    <row r="149" spans="1:21" ht="14.5" x14ac:dyDescent="0.35">
      <c r="A149" s="8" t="s">
        <v>6957</v>
      </c>
      <c r="B149" s="8" t="str">
        <f>"9780415227827"</f>
        <v>9780415227827</v>
      </c>
      <c r="C149" s="8" t="str">
        <f>"9780203465844"</f>
        <v>9780203465844</v>
      </c>
      <c r="D149" s="8" t="s">
        <v>6350</v>
      </c>
      <c r="E149" s="8" t="s">
        <v>6351</v>
      </c>
      <c r="F149" s="8" t="s">
        <v>748</v>
      </c>
      <c r="G149" s="8" t="s">
        <v>6352</v>
      </c>
      <c r="H149" s="8">
        <v>36746</v>
      </c>
      <c r="I149" s="8">
        <v>2000</v>
      </c>
      <c r="J149" s="8" t="s">
        <v>6351</v>
      </c>
      <c r="K149" s="8">
        <v>236</v>
      </c>
      <c r="L149" s="8" t="s">
        <v>6958</v>
      </c>
      <c r="M149" s="8">
        <v>1</v>
      </c>
      <c r="N149" s="8"/>
      <c r="O149" s="8"/>
      <c r="P149" s="8" t="s">
        <v>6959</v>
      </c>
      <c r="Q149" s="8">
        <v>371.26097299999998</v>
      </c>
      <c r="R149" s="8" t="s">
        <v>6960</v>
      </c>
      <c r="S149" s="8" t="s">
        <v>53</v>
      </c>
      <c r="T149" s="8" t="s">
        <v>54</v>
      </c>
      <c r="U149" s="9"/>
    </row>
    <row r="150" spans="1:21" ht="14.5" x14ac:dyDescent="0.35">
      <c r="A150" s="8" t="s">
        <v>6961</v>
      </c>
      <c r="B150" s="8" t="str">
        <f>"9780415227926"</f>
        <v>9780415227926</v>
      </c>
      <c r="C150" s="8" t="str">
        <f>"9780203465882"</f>
        <v>9780203465882</v>
      </c>
      <c r="D150" s="8" t="s">
        <v>6350</v>
      </c>
      <c r="E150" s="8" t="s">
        <v>6351</v>
      </c>
      <c r="F150" s="8" t="s">
        <v>139</v>
      </c>
      <c r="G150" s="8" t="s">
        <v>6352</v>
      </c>
      <c r="H150" s="8">
        <v>36832</v>
      </c>
      <c r="I150" s="8">
        <v>2000</v>
      </c>
      <c r="J150" s="8" t="s">
        <v>6353</v>
      </c>
      <c r="K150" s="8">
        <v>240</v>
      </c>
      <c r="L150" s="8" t="s">
        <v>6962</v>
      </c>
      <c r="M150" s="8">
        <v>1</v>
      </c>
      <c r="N150" s="8"/>
      <c r="O150" s="8"/>
      <c r="P150" s="8" t="s">
        <v>6963</v>
      </c>
      <c r="Q150" s="8">
        <v>370.9</v>
      </c>
      <c r="R150" s="8" t="s">
        <v>6543</v>
      </c>
      <c r="S150" s="8" t="s">
        <v>53</v>
      </c>
      <c r="T150" s="8" t="s">
        <v>54</v>
      </c>
      <c r="U150" s="9"/>
    </row>
    <row r="151" spans="1:21" ht="14.5" x14ac:dyDescent="0.35">
      <c r="A151" s="8" t="s">
        <v>6964</v>
      </c>
      <c r="B151" s="8" t="str">
        <f>"9780415242608"</f>
        <v>9780415242608</v>
      </c>
      <c r="C151" s="8" t="str">
        <f>"9780203471128"</f>
        <v>9780203471128</v>
      </c>
      <c r="D151" s="8" t="s">
        <v>6350</v>
      </c>
      <c r="E151" s="8" t="s">
        <v>6351</v>
      </c>
      <c r="F151" s="8" t="s">
        <v>139</v>
      </c>
      <c r="G151" s="8" t="s">
        <v>6317</v>
      </c>
      <c r="H151" s="8">
        <v>37111</v>
      </c>
      <c r="I151" s="8">
        <v>2001</v>
      </c>
      <c r="J151" s="8" t="s">
        <v>6353</v>
      </c>
      <c r="K151" s="8">
        <v>198</v>
      </c>
      <c r="L151" s="8" t="s">
        <v>6965</v>
      </c>
      <c r="M151" s="8">
        <v>1</v>
      </c>
      <c r="N151" s="8" t="s">
        <v>6636</v>
      </c>
      <c r="O151" s="8"/>
      <c r="P151" s="8" t="s">
        <v>6966</v>
      </c>
      <c r="Q151" s="8">
        <v>370.1</v>
      </c>
      <c r="R151" s="8" t="s">
        <v>6967</v>
      </c>
      <c r="S151" s="8" t="s">
        <v>53</v>
      </c>
      <c r="T151" s="8" t="s">
        <v>54</v>
      </c>
      <c r="U151" s="9"/>
    </row>
    <row r="152" spans="1:21" ht="14.5" x14ac:dyDescent="0.35">
      <c r="A152" s="8" t="s">
        <v>6968</v>
      </c>
      <c r="B152" s="8" t="str">
        <f>"9780415276399"</f>
        <v>9780415276399</v>
      </c>
      <c r="C152" s="8" t="str">
        <f>"9780203519851"</f>
        <v>9780203519851</v>
      </c>
      <c r="D152" s="8" t="s">
        <v>6350</v>
      </c>
      <c r="E152" s="8" t="s">
        <v>6351</v>
      </c>
      <c r="F152" s="8" t="s">
        <v>139</v>
      </c>
      <c r="G152" s="8" t="s">
        <v>6352</v>
      </c>
      <c r="H152" s="8">
        <v>37557</v>
      </c>
      <c r="I152" s="8">
        <v>2002</v>
      </c>
      <c r="J152" s="8" t="s">
        <v>6353</v>
      </c>
      <c r="K152" s="8">
        <v>187</v>
      </c>
      <c r="L152" s="8" t="s">
        <v>6969</v>
      </c>
      <c r="M152" s="8">
        <v>1</v>
      </c>
      <c r="N152" s="8"/>
      <c r="O152" s="8"/>
      <c r="P152" s="8" t="s">
        <v>6970</v>
      </c>
      <c r="Q152" s="8">
        <v>372.21</v>
      </c>
      <c r="R152" s="8" t="s">
        <v>6832</v>
      </c>
      <c r="S152" s="8" t="s">
        <v>53</v>
      </c>
      <c r="T152" s="8" t="s">
        <v>54</v>
      </c>
      <c r="U152" s="9"/>
    </row>
    <row r="153" spans="1:21" ht="14.5" x14ac:dyDescent="0.35">
      <c r="A153" s="8" t="s">
        <v>6971</v>
      </c>
      <c r="B153" s="8" t="str">
        <f>"9780416092622"</f>
        <v>9780416092622</v>
      </c>
      <c r="C153" s="8" t="str">
        <f>"9780203472514"</f>
        <v>9780203472514</v>
      </c>
      <c r="D153" s="8" t="s">
        <v>6350</v>
      </c>
      <c r="E153" s="8" t="s">
        <v>6351</v>
      </c>
      <c r="F153" s="8" t="s">
        <v>3967</v>
      </c>
      <c r="G153" s="8" t="s">
        <v>6352</v>
      </c>
      <c r="H153" s="8">
        <v>32247</v>
      </c>
      <c r="I153" s="8">
        <v>2004</v>
      </c>
      <c r="J153" s="8" t="s">
        <v>6353</v>
      </c>
      <c r="K153" s="8">
        <v>284</v>
      </c>
      <c r="L153" s="8" t="s">
        <v>6972</v>
      </c>
      <c r="M153" s="8">
        <v>1</v>
      </c>
      <c r="N153" s="8"/>
      <c r="O153" s="8"/>
      <c r="P153" s="8">
        <v>87023072</v>
      </c>
      <c r="Q153" s="8"/>
      <c r="R153" s="8" t="s">
        <v>6973</v>
      </c>
      <c r="S153" s="8" t="s">
        <v>53</v>
      </c>
      <c r="T153" s="8" t="s">
        <v>54</v>
      </c>
      <c r="U153" s="9"/>
    </row>
    <row r="154" spans="1:21" ht="14.5" x14ac:dyDescent="0.35">
      <c r="A154" s="8" t="s">
        <v>6974</v>
      </c>
      <c r="B154" s="8" t="str">
        <f>"9780416349900"</f>
        <v>9780416349900</v>
      </c>
      <c r="C154" s="8" t="str">
        <f>"9780203472583"</f>
        <v>9780203472583</v>
      </c>
      <c r="D154" s="8" t="s">
        <v>6350</v>
      </c>
      <c r="E154" s="8" t="s">
        <v>6351</v>
      </c>
      <c r="F154" s="8" t="s">
        <v>139</v>
      </c>
      <c r="G154" s="8" t="s">
        <v>6352</v>
      </c>
      <c r="H154" s="8">
        <v>30863</v>
      </c>
      <c r="I154" s="8">
        <v>2004</v>
      </c>
      <c r="J154" s="8" t="s">
        <v>6353</v>
      </c>
      <c r="K154" s="8">
        <v>174</v>
      </c>
      <c r="L154" s="8" t="s">
        <v>6975</v>
      </c>
      <c r="M154" s="8">
        <v>1</v>
      </c>
      <c r="N154" s="8"/>
      <c r="O154" s="8"/>
      <c r="P154" s="8">
        <v>83021934</v>
      </c>
      <c r="Q154" s="8">
        <v>370.71100000000001</v>
      </c>
      <c r="R154" s="8" t="s">
        <v>6976</v>
      </c>
      <c r="S154" s="8" t="s">
        <v>53</v>
      </c>
      <c r="T154" s="8" t="s">
        <v>54</v>
      </c>
      <c r="U154" s="9"/>
    </row>
    <row r="155" spans="1:21" ht="14.5" x14ac:dyDescent="0.35">
      <c r="A155" s="8" t="s">
        <v>6977</v>
      </c>
      <c r="B155" s="8" t="str">
        <f>"9780416369700"</f>
        <v>9780416369700</v>
      </c>
      <c r="C155" s="8" t="str">
        <f>"9780203472637"</f>
        <v>9780203472637</v>
      </c>
      <c r="D155" s="8" t="s">
        <v>6350</v>
      </c>
      <c r="E155" s="8" t="s">
        <v>6351</v>
      </c>
      <c r="F155" s="8" t="s">
        <v>139</v>
      </c>
      <c r="G155" s="8" t="s">
        <v>6352</v>
      </c>
      <c r="H155" s="8">
        <v>31541</v>
      </c>
      <c r="I155" s="8">
        <v>1985</v>
      </c>
      <c r="J155" s="8" t="s">
        <v>6353</v>
      </c>
      <c r="K155" s="8">
        <v>212</v>
      </c>
      <c r="L155" s="8" t="s">
        <v>6978</v>
      </c>
      <c r="M155" s="8">
        <v>1</v>
      </c>
      <c r="N155" s="8"/>
      <c r="O155" s="8"/>
      <c r="P155" s="8">
        <v>85222504</v>
      </c>
      <c r="Q155" s="8">
        <v>370.19</v>
      </c>
      <c r="R155" s="8" t="s">
        <v>6979</v>
      </c>
      <c r="S155" s="8" t="s">
        <v>53</v>
      </c>
      <c r="T155" s="8" t="s">
        <v>54</v>
      </c>
      <c r="U155" s="9"/>
    </row>
    <row r="156" spans="1:21" ht="14.5" x14ac:dyDescent="0.35">
      <c r="A156" s="8" t="s">
        <v>6980</v>
      </c>
      <c r="B156" s="8" t="str">
        <f>"9780700512638"</f>
        <v>9780700512638</v>
      </c>
      <c r="C156" s="8" t="str">
        <f>"9780203480335"</f>
        <v>9780203480335</v>
      </c>
      <c r="D156" s="8" t="s">
        <v>6350</v>
      </c>
      <c r="E156" s="8" t="s">
        <v>6351</v>
      </c>
      <c r="F156" s="8" t="s">
        <v>3967</v>
      </c>
      <c r="G156" s="8" t="s">
        <v>6352</v>
      </c>
      <c r="H156" s="8">
        <v>33419</v>
      </c>
      <c r="I156" s="8">
        <v>2004</v>
      </c>
      <c r="J156" s="8" t="s">
        <v>6353</v>
      </c>
      <c r="K156" s="8">
        <v>253</v>
      </c>
      <c r="L156" s="8" t="s">
        <v>6981</v>
      </c>
      <c r="M156" s="8">
        <v>1</v>
      </c>
      <c r="N156" s="8"/>
      <c r="O156" s="8"/>
      <c r="P156" s="8">
        <v>91195351</v>
      </c>
      <c r="Q156" s="8"/>
      <c r="R156" s="8" t="s">
        <v>6982</v>
      </c>
      <c r="S156" s="8" t="s">
        <v>53</v>
      </c>
      <c r="T156" s="8" t="s">
        <v>54</v>
      </c>
      <c r="U156" s="9"/>
    </row>
    <row r="157" spans="1:21" ht="14.5" x14ac:dyDescent="0.35">
      <c r="A157" s="8" t="s">
        <v>6983</v>
      </c>
      <c r="B157" s="8" t="str">
        <f>"9780709945666"</f>
        <v>9780709945666</v>
      </c>
      <c r="C157" s="8" t="str">
        <f>"9780203480496"</f>
        <v>9780203480496</v>
      </c>
      <c r="D157" s="8" t="s">
        <v>6350</v>
      </c>
      <c r="E157" s="8" t="s">
        <v>6351</v>
      </c>
      <c r="F157" s="8" t="s">
        <v>139</v>
      </c>
      <c r="G157" s="8" t="s">
        <v>6317</v>
      </c>
      <c r="H157" s="8">
        <v>32064</v>
      </c>
      <c r="I157" s="8">
        <v>2004</v>
      </c>
      <c r="J157" s="8" t="s">
        <v>6353</v>
      </c>
      <c r="K157" s="8">
        <v>248</v>
      </c>
      <c r="L157" s="8" t="s">
        <v>6984</v>
      </c>
      <c r="M157" s="8">
        <v>1</v>
      </c>
      <c r="N157" s="8"/>
      <c r="O157" s="8"/>
      <c r="P157" s="8" t="s">
        <v>6985</v>
      </c>
      <c r="Q157" s="8" t="s">
        <v>6986</v>
      </c>
      <c r="R157" s="8" t="s">
        <v>6987</v>
      </c>
      <c r="S157" s="8" t="s">
        <v>53</v>
      </c>
      <c r="T157" s="8" t="s">
        <v>6363</v>
      </c>
      <c r="U157" s="9"/>
    </row>
    <row r="158" spans="1:21" ht="14.5" x14ac:dyDescent="0.35">
      <c r="A158" s="8" t="s">
        <v>6988</v>
      </c>
      <c r="B158" s="8" t="str">
        <f>"9780750700122"</f>
        <v>9780750700122</v>
      </c>
      <c r="C158" s="8" t="str">
        <f>"9780203485187"</f>
        <v>9780203485187</v>
      </c>
      <c r="D158" s="8" t="s">
        <v>6350</v>
      </c>
      <c r="E158" s="8" t="s">
        <v>6351</v>
      </c>
      <c r="F158" s="8" t="s">
        <v>139</v>
      </c>
      <c r="G158" s="8" t="s">
        <v>6352</v>
      </c>
      <c r="H158" s="8">
        <v>33695</v>
      </c>
      <c r="I158" s="8">
        <v>2004</v>
      </c>
      <c r="J158" s="8" t="s">
        <v>6353</v>
      </c>
      <c r="K158" s="8">
        <v>215</v>
      </c>
      <c r="L158" s="8" t="s">
        <v>6565</v>
      </c>
      <c r="M158" s="8">
        <v>1</v>
      </c>
      <c r="N158" s="8"/>
      <c r="O158" s="8"/>
      <c r="P158" s="8" t="s">
        <v>6989</v>
      </c>
      <c r="Q158" s="8">
        <v>370.11</v>
      </c>
      <c r="R158" s="8" t="s">
        <v>6990</v>
      </c>
      <c r="S158" s="8" t="s">
        <v>53</v>
      </c>
      <c r="T158" s="8" t="s">
        <v>54</v>
      </c>
      <c r="U158" s="9"/>
    </row>
    <row r="159" spans="1:21" ht="14.5" x14ac:dyDescent="0.35">
      <c r="A159" s="8" t="s">
        <v>6991</v>
      </c>
      <c r="B159" s="8" t="str">
        <f>"9780750702065"</f>
        <v>9780750702065</v>
      </c>
      <c r="C159" s="8" t="str">
        <f>"9780203485644"</f>
        <v>9780203485644</v>
      </c>
      <c r="D159" s="8" t="s">
        <v>6350</v>
      </c>
      <c r="E159" s="8" t="s">
        <v>6351</v>
      </c>
      <c r="F159" s="8" t="s">
        <v>3967</v>
      </c>
      <c r="G159" s="8" t="s">
        <v>6352</v>
      </c>
      <c r="H159" s="8">
        <v>34335</v>
      </c>
      <c r="I159" s="8">
        <v>2004</v>
      </c>
      <c r="J159" s="8" t="s">
        <v>6353</v>
      </c>
      <c r="K159" s="8">
        <v>201</v>
      </c>
      <c r="L159" s="8" t="s">
        <v>6992</v>
      </c>
      <c r="M159" s="8">
        <v>1</v>
      </c>
      <c r="N159" s="8"/>
      <c r="O159" s="8"/>
      <c r="P159" s="8" t="s">
        <v>6993</v>
      </c>
      <c r="Q159" s="8"/>
      <c r="R159" s="8" t="s">
        <v>6994</v>
      </c>
      <c r="S159" s="8" t="s">
        <v>53</v>
      </c>
      <c r="T159" s="8" t="s">
        <v>54</v>
      </c>
      <c r="U159" s="9"/>
    </row>
    <row r="160" spans="1:21" ht="14.5" x14ac:dyDescent="0.35">
      <c r="A160" s="8" t="s">
        <v>6995</v>
      </c>
      <c r="B160" s="8" t="str">
        <f>"9780750702225"</f>
        <v>9780750702225</v>
      </c>
      <c r="C160" s="8" t="str">
        <f>"9780203485682"</f>
        <v>9780203485682</v>
      </c>
      <c r="D160" s="8" t="s">
        <v>6350</v>
      </c>
      <c r="E160" s="8" t="s">
        <v>6351</v>
      </c>
      <c r="F160" s="8" t="s">
        <v>139</v>
      </c>
      <c r="G160" s="8" t="s">
        <v>6352</v>
      </c>
      <c r="H160" s="8">
        <v>34425</v>
      </c>
      <c r="I160" s="8">
        <v>1994</v>
      </c>
      <c r="J160" s="8" t="s">
        <v>6353</v>
      </c>
      <c r="K160" s="8">
        <v>221</v>
      </c>
      <c r="L160" s="8" t="s">
        <v>6996</v>
      </c>
      <c r="M160" s="8">
        <v>1</v>
      </c>
      <c r="N160" s="8"/>
      <c r="O160" s="8"/>
      <c r="P160" s="8" t="s">
        <v>6997</v>
      </c>
      <c r="Q160" s="8">
        <v>379</v>
      </c>
      <c r="R160" s="8" t="s">
        <v>6998</v>
      </c>
      <c r="S160" s="8" t="s">
        <v>53</v>
      </c>
      <c r="T160" s="8" t="s">
        <v>54</v>
      </c>
      <c r="U160" s="9"/>
    </row>
    <row r="161" spans="1:21" ht="14.5" x14ac:dyDescent="0.35">
      <c r="A161" s="8" t="s">
        <v>6999</v>
      </c>
      <c r="B161" s="8" t="str">
        <f>"9780750702881"</f>
        <v>9780750702881</v>
      </c>
      <c r="C161" s="8" t="str">
        <f>"9780203485835"</f>
        <v>9780203485835</v>
      </c>
      <c r="D161" s="8" t="s">
        <v>6350</v>
      </c>
      <c r="E161" s="8" t="s">
        <v>6351</v>
      </c>
      <c r="F161" s="8" t="s">
        <v>139</v>
      </c>
      <c r="G161" s="8" t="s">
        <v>6352</v>
      </c>
      <c r="H161" s="8">
        <v>34731</v>
      </c>
      <c r="I161" s="8">
        <v>2004</v>
      </c>
      <c r="J161" s="8" t="s">
        <v>6353</v>
      </c>
      <c r="K161" s="8">
        <v>354</v>
      </c>
      <c r="L161" s="8" t="s">
        <v>7000</v>
      </c>
      <c r="M161" s="8">
        <v>1</v>
      </c>
      <c r="N161" s="8"/>
      <c r="O161" s="8"/>
      <c r="P161" s="8" t="s">
        <v>7001</v>
      </c>
      <c r="Q161" s="8">
        <v>370.113</v>
      </c>
      <c r="R161" s="8" t="s">
        <v>7002</v>
      </c>
      <c r="S161" s="8" t="s">
        <v>53</v>
      </c>
      <c r="T161" s="8" t="s">
        <v>54</v>
      </c>
      <c r="U161" s="9"/>
    </row>
    <row r="162" spans="1:21" ht="14.5" x14ac:dyDescent="0.35">
      <c r="A162" s="8" t="s">
        <v>7003</v>
      </c>
      <c r="B162" s="8" t="str">
        <f>"9780750703697"</f>
        <v>9780750703697</v>
      </c>
      <c r="C162" s="8" t="str">
        <f>"9780203486184"</f>
        <v>9780203486184</v>
      </c>
      <c r="D162" s="8" t="s">
        <v>6350</v>
      </c>
      <c r="E162" s="8" t="s">
        <v>6351</v>
      </c>
      <c r="F162" s="8" t="s">
        <v>139</v>
      </c>
      <c r="G162" s="8" t="s">
        <v>6352</v>
      </c>
      <c r="H162" s="8">
        <v>34700</v>
      </c>
      <c r="I162" s="8">
        <v>2004</v>
      </c>
      <c r="J162" s="8" t="s">
        <v>6353</v>
      </c>
      <c r="K162" s="8">
        <v>191</v>
      </c>
      <c r="L162" s="8" t="s">
        <v>7004</v>
      </c>
      <c r="M162" s="8">
        <v>1</v>
      </c>
      <c r="N162" s="8"/>
      <c r="O162" s="8"/>
      <c r="P162" s="8" t="s">
        <v>7005</v>
      </c>
      <c r="Q162" s="8">
        <v>305.23</v>
      </c>
      <c r="R162" s="8" t="s">
        <v>7006</v>
      </c>
      <c r="S162" s="8" t="s">
        <v>53</v>
      </c>
      <c r="T162" s="8" t="s">
        <v>6363</v>
      </c>
      <c r="U162" s="9"/>
    </row>
    <row r="163" spans="1:21" ht="14.5" x14ac:dyDescent="0.35">
      <c r="A163" s="8" t="s">
        <v>7007</v>
      </c>
      <c r="B163" s="8" t="str">
        <f>"9780750704793"</f>
        <v>9780750704793</v>
      </c>
      <c r="C163" s="8" t="str">
        <f>"9780203453827"</f>
        <v>9780203453827</v>
      </c>
      <c r="D163" s="8" t="s">
        <v>6350</v>
      </c>
      <c r="E163" s="8" t="s">
        <v>6351</v>
      </c>
      <c r="F163" s="8" t="s">
        <v>139</v>
      </c>
      <c r="G163" s="8" t="s">
        <v>6352</v>
      </c>
      <c r="H163" s="8">
        <v>35490</v>
      </c>
      <c r="I163" s="8">
        <v>2004</v>
      </c>
      <c r="J163" s="8" t="s">
        <v>6353</v>
      </c>
      <c r="K163" s="8">
        <v>268</v>
      </c>
      <c r="L163" s="8" t="s">
        <v>7008</v>
      </c>
      <c r="M163" s="8">
        <v>1</v>
      </c>
      <c r="N163" s="8" t="s">
        <v>7009</v>
      </c>
      <c r="O163" s="8"/>
      <c r="P163" s="8">
        <v>97147780</v>
      </c>
      <c r="Q163" s="8">
        <v>371.10199999999998</v>
      </c>
      <c r="R163" s="8" t="s">
        <v>7010</v>
      </c>
      <c r="S163" s="8" t="s">
        <v>53</v>
      </c>
      <c r="T163" s="8" t="s">
        <v>54</v>
      </c>
      <c r="U163" s="9"/>
    </row>
    <row r="164" spans="1:21" ht="14.5" x14ac:dyDescent="0.35">
      <c r="A164" s="8" t="s">
        <v>7011</v>
      </c>
      <c r="B164" s="8" t="str">
        <f>"9780750704915"</f>
        <v>9780750704915</v>
      </c>
      <c r="C164" s="8" t="str">
        <f>"9780203453889"</f>
        <v>9780203453889</v>
      </c>
      <c r="D164" s="8" t="s">
        <v>6350</v>
      </c>
      <c r="E164" s="8" t="s">
        <v>6351</v>
      </c>
      <c r="F164" s="8" t="s">
        <v>748</v>
      </c>
      <c r="G164" s="8" t="s">
        <v>6352</v>
      </c>
      <c r="H164" s="8">
        <v>35125</v>
      </c>
      <c r="I164" s="8">
        <v>1996</v>
      </c>
      <c r="J164" s="8" t="s">
        <v>6351</v>
      </c>
      <c r="K164" s="8">
        <v>183</v>
      </c>
      <c r="L164" s="8" t="s">
        <v>7012</v>
      </c>
      <c r="M164" s="8">
        <v>1</v>
      </c>
      <c r="N164" s="8"/>
      <c r="O164" s="8"/>
      <c r="P164" s="8" t="s">
        <v>7013</v>
      </c>
      <c r="Q164" s="8">
        <v>372.19094100000001</v>
      </c>
      <c r="R164" s="8" t="s">
        <v>6396</v>
      </c>
      <c r="S164" s="8" t="s">
        <v>53</v>
      </c>
      <c r="T164" s="8" t="s">
        <v>54</v>
      </c>
      <c r="U164" s="9"/>
    </row>
    <row r="165" spans="1:21" ht="14.5" x14ac:dyDescent="0.35">
      <c r="A165" s="8" t="s">
        <v>7014</v>
      </c>
      <c r="B165" s="8" t="str">
        <f>"9780750705264"</f>
        <v>9780750705264</v>
      </c>
      <c r="C165" s="8" t="str">
        <f>"9780203454039"</f>
        <v>9780203454039</v>
      </c>
      <c r="D165" s="8" t="s">
        <v>6350</v>
      </c>
      <c r="E165" s="8" t="s">
        <v>6351</v>
      </c>
      <c r="F165" s="8" t="s">
        <v>748</v>
      </c>
      <c r="G165" s="8" t="s">
        <v>6352</v>
      </c>
      <c r="H165" s="8">
        <v>35309</v>
      </c>
      <c r="I165" s="8">
        <v>1996</v>
      </c>
      <c r="J165" s="8" t="s">
        <v>6351</v>
      </c>
      <c r="K165" s="8">
        <v>213</v>
      </c>
      <c r="L165" s="8" t="s">
        <v>7015</v>
      </c>
      <c r="M165" s="8">
        <v>1</v>
      </c>
      <c r="N165" s="8"/>
      <c r="O165" s="8"/>
      <c r="P165" s="8" t="s">
        <v>7016</v>
      </c>
      <c r="Q165" s="8" t="s">
        <v>6692</v>
      </c>
      <c r="R165" s="8" t="s">
        <v>7017</v>
      </c>
      <c r="S165" s="8" t="s">
        <v>53</v>
      </c>
      <c r="T165" s="8" t="s">
        <v>54</v>
      </c>
      <c r="U165" s="9"/>
    </row>
    <row r="166" spans="1:21" ht="14.5" x14ac:dyDescent="0.35">
      <c r="A166" s="8" t="s">
        <v>7018</v>
      </c>
      <c r="B166" s="8" t="str">
        <f>"9780750705646"</f>
        <v>9780750705646</v>
      </c>
      <c r="C166" s="8" t="str">
        <f>"9780203454169"</f>
        <v>9780203454169</v>
      </c>
      <c r="D166" s="8" t="s">
        <v>6350</v>
      </c>
      <c r="E166" s="8" t="s">
        <v>6351</v>
      </c>
      <c r="F166" s="8" t="s">
        <v>748</v>
      </c>
      <c r="G166" s="8" t="s">
        <v>6352</v>
      </c>
      <c r="H166" s="8">
        <v>35278</v>
      </c>
      <c r="I166" s="8">
        <v>1996</v>
      </c>
      <c r="J166" s="8" t="s">
        <v>6351</v>
      </c>
      <c r="K166" s="8">
        <v>254</v>
      </c>
      <c r="L166" s="8" t="s">
        <v>7019</v>
      </c>
      <c r="M166" s="8">
        <v>1</v>
      </c>
      <c r="N166" s="8"/>
      <c r="O166" s="8"/>
      <c r="P166" s="8" t="s">
        <v>7020</v>
      </c>
      <c r="Q166" s="8" t="s">
        <v>7021</v>
      </c>
      <c r="R166" s="8" t="s">
        <v>7022</v>
      </c>
      <c r="S166" s="8" t="s">
        <v>53</v>
      </c>
      <c r="T166" s="8" t="s">
        <v>7023</v>
      </c>
      <c r="U166" s="9"/>
    </row>
    <row r="167" spans="1:21" ht="14.5" x14ac:dyDescent="0.35">
      <c r="A167" s="8" t="s">
        <v>7024</v>
      </c>
      <c r="B167" s="8" t="str">
        <f>"9780750705660"</f>
        <v>9780750705660</v>
      </c>
      <c r="C167" s="8" t="str">
        <f>"9780203454176"</f>
        <v>9780203454176</v>
      </c>
      <c r="D167" s="8" t="s">
        <v>6350</v>
      </c>
      <c r="E167" s="8" t="s">
        <v>6351</v>
      </c>
      <c r="F167" s="8" t="s">
        <v>139</v>
      </c>
      <c r="G167" s="8" t="s">
        <v>6352</v>
      </c>
      <c r="H167" s="8">
        <v>35370</v>
      </c>
      <c r="I167" s="8">
        <v>1996</v>
      </c>
      <c r="J167" s="8" t="s">
        <v>6353</v>
      </c>
      <c r="K167" s="8">
        <v>166</v>
      </c>
      <c r="L167" s="8" t="s">
        <v>7025</v>
      </c>
      <c r="M167" s="8">
        <v>1</v>
      </c>
      <c r="N167" s="8"/>
      <c r="O167" s="8"/>
      <c r="P167" s="8" t="s">
        <v>7026</v>
      </c>
      <c r="Q167" s="8">
        <v>371.20110993999998</v>
      </c>
      <c r="R167" s="8" t="s">
        <v>6932</v>
      </c>
      <c r="S167" s="8" t="s">
        <v>53</v>
      </c>
      <c r="T167" s="8" t="s">
        <v>54</v>
      </c>
      <c r="U167" s="9"/>
    </row>
    <row r="168" spans="1:21" ht="14.5" x14ac:dyDescent="0.35">
      <c r="A168" s="8" t="s">
        <v>7027</v>
      </c>
      <c r="B168" s="8" t="str">
        <f>"9780750706070"</f>
        <v>9780750706070</v>
      </c>
      <c r="C168" s="8" t="str">
        <f>"9780203454404"</f>
        <v>9780203454404</v>
      </c>
      <c r="D168" s="8" t="s">
        <v>6350</v>
      </c>
      <c r="E168" s="8" t="s">
        <v>6351</v>
      </c>
      <c r="F168" s="8" t="s">
        <v>139</v>
      </c>
      <c r="G168" s="8" t="s">
        <v>6352</v>
      </c>
      <c r="H168" s="8">
        <v>36495</v>
      </c>
      <c r="I168" s="8">
        <v>2004</v>
      </c>
      <c r="J168" s="8" t="s">
        <v>6353</v>
      </c>
      <c r="K168" s="8">
        <v>426</v>
      </c>
      <c r="L168" s="8" t="s">
        <v>7028</v>
      </c>
      <c r="M168" s="8">
        <v>1</v>
      </c>
      <c r="N168" s="8"/>
      <c r="O168" s="8"/>
      <c r="P168" s="8" t="s">
        <v>7029</v>
      </c>
      <c r="Q168" s="8">
        <v>379.15800000000002</v>
      </c>
      <c r="R168" s="8" t="s">
        <v>7030</v>
      </c>
      <c r="S168" s="8" t="s">
        <v>53</v>
      </c>
      <c r="T168" s="8" t="s">
        <v>54</v>
      </c>
      <c r="U168" s="9"/>
    </row>
    <row r="169" spans="1:21" ht="14.5" x14ac:dyDescent="0.35">
      <c r="A169" s="8" t="s">
        <v>7031</v>
      </c>
      <c r="B169" s="8" t="str">
        <f>"9780750706797"</f>
        <v>9780750706797</v>
      </c>
      <c r="C169" s="8" t="str">
        <f>"9780203486443"</f>
        <v>9780203486443</v>
      </c>
      <c r="D169" s="8" t="s">
        <v>6350</v>
      </c>
      <c r="E169" s="8" t="s">
        <v>6351</v>
      </c>
      <c r="F169" s="8" t="s">
        <v>3967</v>
      </c>
      <c r="G169" s="8" t="s">
        <v>6352</v>
      </c>
      <c r="H169" s="8">
        <v>35612</v>
      </c>
      <c r="I169" s="8">
        <v>2004</v>
      </c>
      <c r="J169" s="8" t="s">
        <v>6353</v>
      </c>
      <c r="K169" s="8">
        <v>189</v>
      </c>
      <c r="L169" s="8" t="s">
        <v>7032</v>
      </c>
      <c r="M169" s="8">
        <v>1</v>
      </c>
      <c r="N169" s="8"/>
      <c r="O169" s="8"/>
      <c r="P169" s="8" t="s">
        <v>7033</v>
      </c>
      <c r="Q169" s="8"/>
      <c r="R169" s="8" t="s">
        <v>7034</v>
      </c>
      <c r="S169" s="8" t="s">
        <v>53</v>
      </c>
      <c r="T169" s="8" t="s">
        <v>54</v>
      </c>
      <c r="U169" s="9"/>
    </row>
    <row r="170" spans="1:21" ht="14.5" x14ac:dyDescent="0.35">
      <c r="A170" s="8" t="s">
        <v>7035</v>
      </c>
      <c r="B170" s="8" t="str">
        <f>"9780750707053"</f>
        <v>9780750707053</v>
      </c>
      <c r="C170" s="8" t="str">
        <f>"9780203454503"</f>
        <v>9780203454503</v>
      </c>
      <c r="D170" s="8" t="s">
        <v>6350</v>
      </c>
      <c r="E170" s="8" t="s">
        <v>6351</v>
      </c>
      <c r="F170" s="8" t="s">
        <v>748</v>
      </c>
      <c r="G170" s="8" t="s">
        <v>6352</v>
      </c>
      <c r="H170" s="8">
        <v>35796</v>
      </c>
      <c r="I170" s="8">
        <v>1998</v>
      </c>
      <c r="J170" s="8" t="s">
        <v>6351</v>
      </c>
      <c r="K170" s="8">
        <v>168</v>
      </c>
      <c r="L170" s="8" t="s">
        <v>7036</v>
      </c>
      <c r="M170" s="8">
        <v>1</v>
      </c>
      <c r="N170" s="8"/>
      <c r="O170" s="8"/>
      <c r="P170" s="8" t="s">
        <v>7037</v>
      </c>
      <c r="Q170" s="8">
        <v>306.43</v>
      </c>
      <c r="R170" s="8" t="s">
        <v>6543</v>
      </c>
      <c r="S170" s="8" t="s">
        <v>53</v>
      </c>
      <c r="T170" s="8" t="s">
        <v>6526</v>
      </c>
      <c r="U170" s="9"/>
    </row>
    <row r="171" spans="1:21" ht="14.5" x14ac:dyDescent="0.35">
      <c r="A171" s="8" t="s">
        <v>7038</v>
      </c>
      <c r="B171" s="8" t="str">
        <f>"9780750707084"</f>
        <v>9780750707084</v>
      </c>
      <c r="C171" s="8" t="str">
        <f>"9780203454473"</f>
        <v>9780203454473</v>
      </c>
      <c r="D171" s="8" t="s">
        <v>6350</v>
      </c>
      <c r="E171" s="8" t="s">
        <v>6351</v>
      </c>
      <c r="F171" s="8" t="s">
        <v>139</v>
      </c>
      <c r="G171" s="8" t="s">
        <v>6352</v>
      </c>
      <c r="H171" s="8">
        <v>35521</v>
      </c>
      <c r="I171" s="8">
        <v>1997</v>
      </c>
      <c r="J171" s="8" t="s">
        <v>6353</v>
      </c>
      <c r="K171" s="8">
        <v>259</v>
      </c>
      <c r="L171" s="8" t="s">
        <v>7039</v>
      </c>
      <c r="M171" s="8">
        <v>1</v>
      </c>
      <c r="N171" s="8"/>
      <c r="O171" s="8"/>
      <c r="P171" s="8" t="s">
        <v>7040</v>
      </c>
      <c r="Q171" s="8" t="s">
        <v>7041</v>
      </c>
      <c r="R171" s="8" t="s">
        <v>6484</v>
      </c>
      <c r="S171" s="8" t="s">
        <v>53</v>
      </c>
      <c r="T171" s="8" t="s">
        <v>54</v>
      </c>
      <c r="U171" s="9"/>
    </row>
    <row r="172" spans="1:21" ht="14.5" x14ac:dyDescent="0.35">
      <c r="A172" s="8" t="s">
        <v>7042</v>
      </c>
      <c r="B172" s="8" t="str">
        <f>"9780750707145"</f>
        <v>9780750707145</v>
      </c>
      <c r="C172" s="8" t="str">
        <f>"9780203486412"</f>
        <v>9780203486412</v>
      </c>
      <c r="D172" s="8" t="s">
        <v>6350</v>
      </c>
      <c r="E172" s="8" t="s">
        <v>6351</v>
      </c>
      <c r="F172" s="8" t="s">
        <v>748</v>
      </c>
      <c r="G172" s="8" t="s">
        <v>6352</v>
      </c>
      <c r="H172" s="8">
        <v>35765</v>
      </c>
      <c r="I172" s="8">
        <v>1998</v>
      </c>
      <c r="J172" s="8" t="s">
        <v>6351</v>
      </c>
      <c r="K172" s="8">
        <v>264</v>
      </c>
      <c r="L172" s="8" t="s">
        <v>7043</v>
      </c>
      <c r="M172" s="8">
        <v>1</v>
      </c>
      <c r="N172" s="8"/>
      <c r="O172" s="8"/>
      <c r="P172" s="8" t="s">
        <v>7044</v>
      </c>
      <c r="Q172" s="8">
        <v>371.2</v>
      </c>
      <c r="R172" s="8" t="s">
        <v>6932</v>
      </c>
      <c r="S172" s="8" t="s">
        <v>53</v>
      </c>
      <c r="T172" s="8" t="s">
        <v>54</v>
      </c>
      <c r="U172" s="9"/>
    </row>
    <row r="173" spans="1:21" ht="14.5" x14ac:dyDescent="0.35">
      <c r="A173" s="8" t="s">
        <v>7045</v>
      </c>
      <c r="B173" s="8" t="str">
        <f>"9780750707268"</f>
        <v>9780750707268</v>
      </c>
      <c r="C173" s="8" t="str">
        <f>"9780203486665"</f>
        <v>9780203486665</v>
      </c>
      <c r="D173" s="8" t="s">
        <v>6350</v>
      </c>
      <c r="E173" s="8" t="s">
        <v>6351</v>
      </c>
      <c r="F173" s="8" t="s">
        <v>139</v>
      </c>
      <c r="G173" s="8" t="s">
        <v>6352</v>
      </c>
      <c r="H173" s="8">
        <v>35704</v>
      </c>
      <c r="I173" s="8">
        <v>1997</v>
      </c>
      <c r="J173" s="8" t="s">
        <v>6353</v>
      </c>
      <c r="K173" s="8">
        <v>177</v>
      </c>
      <c r="L173" s="8" t="s">
        <v>7046</v>
      </c>
      <c r="M173" s="8">
        <v>1</v>
      </c>
      <c r="N173" s="8" t="s">
        <v>6585</v>
      </c>
      <c r="O173" s="8"/>
      <c r="P173" s="8" t="s">
        <v>7047</v>
      </c>
      <c r="Q173" s="8">
        <v>375.00094200000001</v>
      </c>
      <c r="R173" s="8" t="s">
        <v>6539</v>
      </c>
      <c r="S173" s="8" t="s">
        <v>53</v>
      </c>
      <c r="T173" s="8" t="s">
        <v>54</v>
      </c>
      <c r="U173" s="9"/>
    </row>
    <row r="174" spans="1:21" ht="14.5" x14ac:dyDescent="0.35">
      <c r="A174" s="8" t="s">
        <v>7048</v>
      </c>
      <c r="B174" s="8" t="str">
        <f>"9780750707503"</f>
        <v>9780750707503</v>
      </c>
      <c r="C174" s="8" t="str">
        <f>"9780203486719"</f>
        <v>9780203486719</v>
      </c>
      <c r="D174" s="8" t="s">
        <v>6350</v>
      </c>
      <c r="E174" s="8" t="s">
        <v>6351</v>
      </c>
      <c r="F174" s="8" t="s">
        <v>139</v>
      </c>
      <c r="G174" s="8" t="s">
        <v>6352</v>
      </c>
      <c r="H174" s="8">
        <v>36586</v>
      </c>
      <c r="I174" s="8">
        <v>2000</v>
      </c>
      <c r="J174" s="8" t="s">
        <v>6353</v>
      </c>
      <c r="K174" s="8">
        <v>189</v>
      </c>
      <c r="L174" s="8" t="s">
        <v>7049</v>
      </c>
      <c r="M174" s="8">
        <v>1</v>
      </c>
      <c r="N174" s="8"/>
      <c r="O174" s="8"/>
      <c r="P174" s="8" t="s">
        <v>7050</v>
      </c>
      <c r="Q174" s="8">
        <v>371.1</v>
      </c>
      <c r="R174" s="8" t="s">
        <v>7051</v>
      </c>
      <c r="S174" s="8" t="s">
        <v>53</v>
      </c>
      <c r="T174" s="8" t="s">
        <v>54</v>
      </c>
      <c r="U174" s="9"/>
    </row>
    <row r="175" spans="1:21" ht="14.5" x14ac:dyDescent="0.35">
      <c r="A175" s="8" t="s">
        <v>7052</v>
      </c>
      <c r="B175" s="8" t="str">
        <f>"9780750708180"</f>
        <v>9780750708180</v>
      </c>
      <c r="C175" s="8" t="str">
        <f>"9780203486948"</f>
        <v>9780203486948</v>
      </c>
      <c r="D175" s="8" t="s">
        <v>6350</v>
      </c>
      <c r="E175" s="8" t="s">
        <v>6351</v>
      </c>
      <c r="F175" s="8" t="s">
        <v>139</v>
      </c>
      <c r="G175" s="8" t="s">
        <v>6352</v>
      </c>
      <c r="H175" s="8">
        <v>35886</v>
      </c>
      <c r="I175" s="8">
        <v>2004</v>
      </c>
      <c r="J175" s="8" t="s">
        <v>6353</v>
      </c>
      <c r="K175" s="8">
        <v>161</v>
      </c>
      <c r="L175" s="8" t="s">
        <v>7053</v>
      </c>
      <c r="M175" s="8">
        <v>1</v>
      </c>
      <c r="N175" s="8"/>
      <c r="O175" s="8"/>
      <c r="P175" s="8">
        <v>98185973</v>
      </c>
      <c r="Q175" s="8">
        <v>613.70710410000004</v>
      </c>
      <c r="R175" s="8" t="s">
        <v>6976</v>
      </c>
      <c r="S175" s="8" t="s">
        <v>53</v>
      </c>
      <c r="T175" s="8" t="s">
        <v>7054</v>
      </c>
      <c r="U175" s="9"/>
    </row>
    <row r="176" spans="1:21" ht="14.5" x14ac:dyDescent="0.35">
      <c r="A176" s="8" t="s">
        <v>7055</v>
      </c>
      <c r="B176" s="8" t="str">
        <f>"9780750708302"</f>
        <v>9780750708302</v>
      </c>
      <c r="C176" s="8" t="str">
        <f>"9780203486986"</f>
        <v>9780203486986</v>
      </c>
      <c r="D176" s="8" t="s">
        <v>6350</v>
      </c>
      <c r="E176" s="8" t="s">
        <v>6351</v>
      </c>
      <c r="F176" s="8" t="s">
        <v>139</v>
      </c>
      <c r="G176" s="8" t="s">
        <v>6352</v>
      </c>
      <c r="H176" s="8">
        <v>36008</v>
      </c>
      <c r="I176" s="8">
        <v>1998</v>
      </c>
      <c r="J176" s="8" t="s">
        <v>6353</v>
      </c>
      <c r="K176" s="8">
        <v>175</v>
      </c>
      <c r="L176" s="8" t="s">
        <v>7056</v>
      </c>
      <c r="M176" s="8">
        <v>1</v>
      </c>
      <c r="N176" s="8"/>
      <c r="O176" s="8"/>
      <c r="P176" s="8" t="s">
        <v>7057</v>
      </c>
      <c r="Q176" s="8" t="s">
        <v>7058</v>
      </c>
      <c r="R176" s="8" t="s">
        <v>7059</v>
      </c>
      <c r="S176" s="8" t="s">
        <v>53</v>
      </c>
      <c r="T176" s="8" t="s">
        <v>54</v>
      </c>
      <c r="U176" s="9"/>
    </row>
    <row r="177" spans="1:21" ht="14.5" x14ac:dyDescent="0.35">
      <c r="A177" s="8" t="s">
        <v>7060</v>
      </c>
      <c r="B177" s="8" t="str">
        <f>"9780750708425"</f>
        <v>9780750708425</v>
      </c>
      <c r="C177" s="8" t="str">
        <f>"9780203487020"</f>
        <v>9780203487020</v>
      </c>
      <c r="D177" s="8" t="s">
        <v>6350</v>
      </c>
      <c r="E177" s="8" t="s">
        <v>6351</v>
      </c>
      <c r="F177" s="8" t="s">
        <v>139</v>
      </c>
      <c r="G177" s="8" t="s">
        <v>6352</v>
      </c>
      <c r="H177" s="8">
        <v>36607</v>
      </c>
      <c r="I177" s="8">
        <v>1999</v>
      </c>
      <c r="J177" s="8" t="s">
        <v>6353</v>
      </c>
      <c r="K177" s="8">
        <v>158</v>
      </c>
      <c r="L177" s="8" t="s">
        <v>7061</v>
      </c>
      <c r="M177" s="8">
        <v>1</v>
      </c>
      <c r="N177" s="8"/>
      <c r="O177" s="8"/>
      <c r="P177" s="8" t="s">
        <v>7062</v>
      </c>
      <c r="Q177" s="8">
        <v>306.43</v>
      </c>
      <c r="R177" s="8" t="s">
        <v>6547</v>
      </c>
      <c r="S177" s="8" t="s">
        <v>53</v>
      </c>
      <c r="T177" s="8" t="s">
        <v>6472</v>
      </c>
      <c r="U177" s="9"/>
    </row>
    <row r="178" spans="1:21" ht="14.5" x14ac:dyDescent="0.35">
      <c r="A178" s="8" t="s">
        <v>7063</v>
      </c>
      <c r="B178" s="8" t="str">
        <f>"9780750708449"</f>
        <v>9780750708449</v>
      </c>
      <c r="C178" s="8" t="str">
        <f>"9780203487037"</f>
        <v>9780203487037</v>
      </c>
      <c r="D178" s="8" t="s">
        <v>6350</v>
      </c>
      <c r="E178" s="8" t="s">
        <v>6351</v>
      </c>
      <c r="F178" s="8" t="s">
        <v>139</v>
      </c>
      <c r="G178" s="8" t="s">
        <v>6352</v>
      </c>
      <c r="H178" s="8">
        <v>36373</v>
      </c>
      <c r="I178" s="8">
        <v>1999</v>
      </c>
      <c r="J178" s="8" t="s">
        <v>6353</v>
      </c>
      <c r="K178" s="8">
        <v>230</v>
      </c>
      <c r="L178" s="8" t="s">
        <v>7064</v>
      </c>
      <c r="M178" s="8">
        <v>1</v>
      </c>
      <c r="N178" s="8"/>
      <c r="O178" s="8"/>
      <c r="P178" s="8" t="s">
        <v>7065</v>
      </c>
      <c r="Q178" s="8">
        <v>372.21</v>
      </c>
      <c r="R178" s="8" t="s">
        <v>6547</v>
      </c>
      <c r="S178" s="8" t="s">
        <v>53</v>
      </c>
      <c r="T178" s="8" t="s">
        <v>54</v>
      </c>
      <c r="U178" s="9"/>
    </row>
    <row r="179" spans="1:21" ht="14.5" x14ac:dyDescent="0.35">
      <c r="A179" s="8" t="s">
        <v>7066</v>
      </c>
      <c r="B179" s="8" t="str">
        <f>"9780750708487"</f>
        <v>9780750708487</v>
      </c>
      <c r="C179" s="8" t="str">
        <f>"9780203487051"</f>
        <v>9780203487051</v>
      </c>
      <c r="D179" s="8" t="s">
        <v>6350</v>
      </c>
      <c r="E179" s="8" t="s">
        <v>6351</v>
      </c>
      <c r="F179" s="8" t="s">
        <v>748</v>
      </c>
      <c r="G179" s="8" t="s">
        <v>6352</v>
      </c>
      <c r="H179" s="8">
        <v>36373</v>
      </c>
      <c r="I179" s="8">
        <v>1999</v>
      </c>
      <c r="J179" s="8" t="s">
        <v>6351</v>
      </c>
      <c r="K179" s="8">
        <v>164</v>
      </c>
      <c r="L179" s="8" t="s">
        <v>7067</v>
      </c>
      <c r="M179" s="8">
        <v>1</v>
      </c>
      <c r="N179" s="8"/>
      <c r="O179" s="8"/>
      <c r="P179" s="8" t="s">
        <v>7068</v>
      </c>
      <c r="Q179" s="8" t="s">
        <v>7069</v>
      </c>
      <c r="R179" s="8" t="s">
        <v>7070</v>
      </c>
      <c r="S179" s="8" t="s">
        <v>53</v>
      </c>
      <c r="T179" s="8" t="s">
        <v>54</v>
      </c>
      <c r="U179" s="9"/>
    </row>
    <row r="180" spans="1:21" ht="14.5" x14ac:dyDescent="0.35">
      <c r="A180" s="8" t="s">
        <v>7071</v>
      </c>
      <c r="B180" s="8" t="str">
        <f>"9780750708715"</f>
        <v>9780750708715</v>
      </c>
      <c r="C180" s="8" t="str">
        <f>"9780203487143"</f>
        <v>9780203487143</v>
      </c>
      <c r="D180" s="8" t="s">
        <v>6350</v>
      </c>
      <c r="E180" s="8" t="s">
        <v>6351</v>
      </c>
      <c r="F180" s="8" t="s">
        <v>139</v>
      </c>
      <c r="G180" s="8" t="s">
        <v>6352</v>
      </c>
      <c r="H180" s="8">
        <v>36749</v>
      </c>
      <c r="I180" s="8">
        <v>2000</v>
      </c>
      <c r="J180" s="8" t="s">
        <v>6353</v>
      </c>
      <c r="K180" s="8">
        <v>185</v>
      </c>
      <c r="L180" s="8" t="s">
        <v>7072</v>
      </c>
      <c r="M180" s="8">
        <v>1</v>
      </c>
      <c r="N180" s="8"/>
      <c r="O180" s="8"/>
      <c r="P180" s="8" t="s">
        <v>7073</v>
      </c>
      <c r="Q180" s="8">
        <v>370.71100000000001</v>
      </c>
      <c r="R180" s="8" t="s">
        <v>6928</v>
      </c>
      <c r="S180" s="8" t="s">
        <v>53</v>
      </c>
      <c r="T180" s="8" t="s">
        <v>54</v>
      </c>
      <c r="U180" s="9"/>
    </row>
    <row r="181" spans="1:21" ht="14.5" x14ac:dyDescent="0.35">
      <c r="A181" s="8" t="s">
        <v>7074</v>
      </c>
      <c r="B181" s="8" t="str">
        <f>"9780750708753"</f>
        <v>9780750708753</v>
      </c>
      <c r="C181" s="8" t="str">
        <f>"9780203487150"</f>
        <v>9780203487150</v>
      </c>
      <c r="D181" s="8" t="s">
        <v>6350</v>
      </c>
      <c r="E181" s="8" t="s">
        <v>6351</v>
      </c>
      <c r="F181" s="8" t="s">
        <v>748</v>
      </c>
      <c r="G181" s="8" t="s">
        <v>6352</v>
      </c>
      <c r="H181" s="8">
        <v>36281</v>
      </c>
      <c r="I181" s="8">
        <v>1999</v>
      </c>
      <c r="J181" s="8" t="s">
        <v>6351</v>
      </c>
      <c r="K181" s="8">
        <v>249</v>
      </c>
      <c r="L181" s="8" t="s">
        <v>7075</v>
      </c>
      <c r="M181" s="8">
        <v>1</v>
      </c>
      <c r="N181" s="8"/>
      <c r="O181" s="8"/>
      <c r="P181" s="8" t="s">
        <v>7076</v>
      </c>
      <c r="Q181" s="8">
        <v>613.70000000000005</v>
      </c>
      <c r="R181" s="8" t="s">
        <v>7077</v>
      </c>
      <c r="S181" s="8" t="s">
        <v>53</v>
      </c>
      <c r="T181" s="8" t="s">
        <v>6791</v>
      </c>
      <c r="U181" s="9"/>
    </row>
    <row r="182" spans="1:21" ht="14.5" x14ac:dyDescent="0.35">
      <c r="A182" s="8" t="s">
        <v>7078</v>
      </c>
      <c r="B182" s="8" t="str">
        <f>"9780750709231"</f>
        <v>9780750709231</v>
      </c>
      <c r="C182" s="8" t="str">
        <f>"9780203487280"</f>
        <v>9780203487280</v>
      </c>
      <c r="D182" s="8" t="s">
        <v>6350</v>
      </c>
      <c r="E182" s="8" t="s">
        <v>6351</v>
      </c>
      <c r="F182" s="8" t="s">
        <v>139</v>
      </c>
      <c r="G182" s="8" t="s">
        <v>6317</v>
      </c>
      <c r="H182" s="8">
        <v>36251</v>
      </c>
      <c r="I182" s="8">
        <v>2004</v>
      </c>
      <c r="J182" s="8" t="s">
        <v>6353</v>
      </c>
      <c r="K182" s="8">
        <v>172</v>
      </c>
      <c r="L182" s="8" t="s">
        <v>7079</v>
      </c>
      <c r="M182" s="8">
        <v>1</v>
      </c>
      <c r="N182" s="8"/>
      <c r="O182" s="8"/>
      <c r="P182" s="8" t="s">
        <v>7080</v>
      </c>
      <c r="Q182" s="8">
        <v>371.10199999999998</v>
      </c>
      <c r="R182" s="8" t="s">
        <v>7081</v>
      </c>
      <c r="S182" s="8" t="s">
        <v>53</v>
      </c>
      <c r="T182" s="8" t="s">
        <v>54</v>
      </c>
      <c r="U182" s="9"/>
    </row>
    <row r="183" spans="1:21" ht="14.5" x14ac:dyDescent="0.35">
      <c r="A183" s="8" t="s">
        <v>7082</v>
      </c>
      <c r="B183" s="8" t="str">
        <f>"9780750709484"</f>
        <v>9780750709484</v>
      </c>
      <c r="C183" s="8" t="str">
        <f>"9780203487365"</f>
        <v>9780203487365</v>
      </c>
      <c r="D183" s="8" t="s">
        <v>6350</v>
      </c>
      <c r="E183" s="8" t="s">
        <v>6351</v>
      </c>
      <c r="F183" s="8" t="s">
        <v>748</v>
      </c>
      <c r="G183" s="8" t="s">
        <v>6352</v>
      </c>
      <c r="H183" s="8">
        <v>36251</v>
      </c>
      <c r="I183" s="8">
        <v>1999</v>
      </c>
      <c r="J183" s="8" t="s">
        <v>6351</v>
      </c>
      <c r="K183" s="8">
        <v>265</v>
      </c>
      <c r="L183" s="8" t="s">
        <v>7083</v>
      </c>
      <c r="M183" s="8">
        <v>1</v>
      </c>
      <c r="N183" s="8"/>
      <c r="O183" s="8"/>
      <c r="P183" s="8">
        <v>99218180</v>
      </c>
      <c r="Q183" s="8">
        <v>371.10072000000002</v>
      </c>
      <c r="R183" s="8" t="s">
        <v>7084</v>
      </c>
      <c r="S183" s="8" t="s">
        <v>53</v>
      </c>
      <c r="T183" s="8" t="s">
        <v>54</v>
      </c>
      <c r="U183" s="9"/>
    </row>
    <row r="184" spans="1:21" ht="14.5" x14ac:dyDescent="0.35">
      <c r="A184" s="8" t="s">
        <v>7085</v>
      </c>
      <c r="B184" s="8" t="str">
        <f>"9780750709552"</f>
        <v>9780750709552</v>
      </c>
      <c r="C184" s="8" t="str">
        <f>"9780203487389"</f>
        <v>9780203487389</v>
      </c>
      <c r="D184" s="8" t="s">
        <v>6350</v>
      </c>
      <c r="E184" s="8" t="s">
        <v>6351</v>
      </c>
      <c r="F184" s="8" t="s">
        <v>139</v>
      </c>
      <c r="G184" s="8" t="s">
        <v>6352</v>
      </c>
      <c r="H184" s="8">
        <v>36465</v>
      </c>
      <c r="I184" s="8">
        <v>1999</v>
      </c>
      <c r="J184" s="8" t="s">
        <v>6353</v>
      </c>
      <c r="K184" s="8">
        <v>176</v>
      </c>
      <c r="L184" s="8" t="s">
        <v>7086</v>
      </c>
      <c r="M184" s="8">
        <v>1</v>
      </c>
      <c r="N184" s="8"/>
      <c r="O184" s="8"/>
      <c r="P184" s="8" t="s">
        <v>7087</v>
      </c>
      <c r="Q184" s="8">
        <v>371.19</v>
      </c>
      <c r="R184" s="8" t="s">
        <v>6998</v>
      </c>
      <c r="S184" s="8" t="s">
        <v>53</v>
      </c>
      <c r="T184" s="8" t="s">
        <v>54</v>
      </c>
      <c r="U184" s="9"/>
    </row>
    <row r="185" spans="1:21" ht="14.5" x14ac:dyDescent="0.35">
      <c r="A185" s="8" t="s">
        <v>7088</v>
      </c>
      <c r="B185" s="8" t="str">
        <f>"9780750709606"</f>
        <v>9780750709606</v>
      </c>
      <c r="C185" s="8" t="str">
        <f>"9780203487402"</f>
        <v>9780203487402</v>
      </c>
      <c r="D185" s="8" t="s">
        <v>6350</v>
      </c>
      <c r="E185" s="8" t="s">
        <v>6351</v>
      </c>
      <c r="F185" s="8" t="s">
        <v>3967</v>
      </c>
      <c r="G185" s="8" t="s">
        <v>6352</v>
      </c>
      <c r="H185" s="8">
        <v>36426</v>
      </c>
      <c r="I185" s="8">
        <v>1999</v>
      </c>
      <c r="J185" s="8" t="s">
        <v>6353</v>
      </c>
      <c r="K185" s="8">
        <v>161</v>
      </c>
      <c r="L185" s="8" t="s">
        <v>7089</v>
      </c>
      <c r="M185" s="8">
        <v>1</v>
      </c>
      <c r="N185" s="8"/>
      <c r="O185" s="8"/>
      <c r="P185" s="8">
        <v>99028038</v>
      </c>
      <c r="Q185" s="8">
        <v>372.83199999999999</v>
      </c>
      <c r="R185" s="8" t="s">
        <v>6751</v>
      </c>
      <c r="S185" s="8" t="s">
        <v>53</v>
      </c>
      <c r="T185" s="8" t="s">
        <v>54</v>
      </c>
      <c r="U185" s="9"/>
    </row>
    <row r="186" spans="1:21" ht="14.5" x14ac:dyDescent="0.35">
      <c r="A186" s="8" t="s">
        <v>7090</v>
      </c>
      <c r="B186" s="8" t="str">
        <f>"9780750709699"</f>
        <v>9780750709699</v>
      </c>
      <c r="C186" s="8" t="str">
        <f>"9780203487440"</f>
        <v>9780203487440</v>
      </c>
      <c r="D186" s="8" t="s">
        <v>6350</v>
      </c>
      <c r="E186" s="8" t="s">
        <v>6351</v>
      </c>
      <c r="F186" s="8" t="s">
        <v>3967</v>
      </c>
      <c r="G186" s="8" t="s">
        <v>6352</v>
      </c>
      <c r="H186" s="8">
        <v>36281</v>
      </c>
      <c r="I186" s="8">
        <v>1999</v>
      </c>
      <c r="J186" s="8" t="s">
        <v>6353</v>
      </c>
      <c r="K186" s="8">
        <v>186</v>
      </c>
      <c r="L186" s="8" t="s">
        <v>7091</v>
      </c>
      <c r="M186" s="8">
        <v>1</v>
      </c>
      <c r="N186" s="8"/>
      <c r="O186" s="8"/>
      <c r="P186" s="8" t="s">
        <v>7092</v>
      </c>
      <c r="Q186" s="8"/>
      <c r="R186" s="8" t="s">
        <v>7093</v>
      </c>
      <c r="S186" s="8" t="s">
        <v>53</v>
      </c>
      <c r="T186" s="8" t="s">
        <v>54</v>
      </c>
      <c r="U186" s="9"/>
    </row>
    <row r="187" spans="1:21" ht="14.5" x14ac:dyDescent="0.35">
      <c r="A187" s="8" t="s">
        <v>7094</v>
      </c>
      <c r="B187" s="8" t="str">
        <f>"9780750709767"</f>
        <v>9780750709767</v>
      </c>
      <c r="C187" s="8" t="str">
        <f>"9780203487464"</f>
        <v>9780203487464</v>
      </c>
      <c r="D187" s="8" t="s">
        <v>6350</v>
      </c>
      <c r="E187" s="8" t="s">
        <v>6351</v>
      </c>
      <c r="F187" s="8" t="s">
        <v>3967</v>
      </c>
      <c r="G187" s="8" t="s">
        <v>6352</v>
      </c>
      <c r="H187" s="8">
        <v>36251</v>
      </c>
      <c r="I187" s="8">
        <v>2004</v>
      </c>
      <c r="J187" s="8" t="s">
        <v>6353</v>
      </c>
      <c r="K187" s="8">
        <v>216</v>
      </c>
      <c r="L187" s="8" t="s">
        <v>7095</v>
      </c>
      <c r="M187" s="8">
        <v>1</v>
      </c>
      <c r="N187" s="8"/>
      <c r="O187" s="8"/>
      <c r="P187" s="8" t="s">
        <v>7096</v>
      </c>
      <c r="Q187" s="8">
        <v>613.70710410000004</v>
      </c>
      <c r="R187" s="8" t="s">
        <v>7097</v>
      </c>
      <c r="S187" s="8" t="s">
        <v>53</v>
      </c>
      <c r="T187" s="8" t="s">
        <v>6791</v>
      </c>
      <c r="U187" s="9"/>
    </row>
    <row r="188" spans="1:21" ht="14.5" x14ac:dyDescent="0.35">
      <c r="A188" s="8" t="s">
        <v>7098</v>
      </c>
      <c r="B188" s="8" t="str">
        <f>"9780750710107"</f>
        <v>9780750710107</v>
      </c>
      <c r="C188" s="8" t="str">
        <f>"9780203487624"</f>
        <v>9780203487624</v>
      </c>
      <c r="D188" s="8" t="s">
        <v>6350</v>
      </c>
      <c r="E188" s="8" t="s">
        <v>6351</v>
      </c>
      <c r="F188" s="8" t="s">
        <v>748</v>
      </c>
      <c r="G188" s="8" t="s">
        <v>6352</v>
      </c>
      <c r="H188" s="8">
        <v>36495</v>
      </c>
      <c r="I188" s="8">
        <v>1999</v>
      </c>
      <c r="J188" s="8" t="s">
        <v>6351</v>
      </c>
      <c r="K188" s="8">
        <v>288</v>
      </c>
      <c r="L188" s="8" t="s">
        <v>7099</v>
      </c>
      <c r="M188" s="8">
        <v>1</v>
      </c>
      <c r="N188" s="8"/>
      <c r="O188" s="8"/>
      <c r="P188" s="8" t="s">
        <v>7100</v>
      </c>
      <c r="Q188" s="8">
        <v>371.10199999999998</v>
      </c>
      <c r="R188" s="8" t="s">
        <v>7101</v>
      </c>
      <c r="S188" s="8" t="s">
        <v>53</v>
      </c>
      <c r="T188" s="8" t="s">
        <v>54</v>
      </c>
      <c r="U188" s="9"/>
    </row>
    <row r="189" spans="1:21" ht="14.5" x14ac:dyDescent="0.35">
      <c r="A189" s="8" t="s">
        <v>7102</v>
      </c>
      <c r="B189" s="8" t="str">
        <f>"9781850006671"</f>
        <v>9781850006671</v>
      </c>
      <c r="C189" s="8" t="str">
        <f>"9780203497012"</f>
        <v>9780203497012</v>
      </c>
      <c r="D189" s="8" t="s">
        <v>6350</v>
      </c>
      <c r="E189" s="8" t="s">
        <v>6351</v>
      </c>
      <c r="F189" s="8" t="s">
        <v>139</v>
      </c>
      <c r="G189" s="8" t="s">
        <v>6352</v>
      </c>
      <c r="H189" s="8">
        <v>33239</v>
      </c>
      <c r="I189" s="8">
        <v>1991</v>
      </c>
      <c r="J189" s="8" t="s">
        <v>6353</v>
      </c>
      <c r="K189" s="8">
        <v>344</v>
      </c>
      <c r="L189" s="8" t="s">
        <v>7103</v>
      </c>
      <c r="M189" s="8">
        <v>1</v>
      </c>
      <c r="N189" s="8"/>
      <c r="O189" s="8"/>
      <c r="P189" s="8" t="s">
        <v>7104</v>
      </c>
      <c r="Q189" s="8">
        <v>510.71</v>
      </c>
      <c r="R189" s="8" t="s">
        <v>7105</v>
      </c>
      <c r="S189" s="8" t="s">
        <v>53</v>
      </c>
      <c r="T189" s="8" t="s">
        <v>389</v>
      </c>
      <c r="U189" s="9"/>
    </row>
    <row r="190" spans="1:21" ht="14.5" x14ac:dyDescent="0.35">
      <c r="A190" s="8" t="s">
        <v>7106</v>
      </c>
      <c r="B190" s="8" t="str">
        <f>"9780415276450"</f>
        <v>9780415276450</v>
      </c>
      <c r="C190" s="8" t="str">
        <f>"9780203497319"</f>
        <v>9780203497319</v>
      </c>
      <c r="D190" s="8" t="s">
        <v>6350</v>
      </c>
      <c r="E190" s="8" t="s">
        <v>6351</v>
      </c>
      <c r="F190" s="8" t="s">
        <v>139</v>
      </c>
      <c r="G190" s="8" t="s">
        <v>6317</v>
      </c>
      <c r="H190" s="8">
        <v>37596</v>
      </c>
      <c r="I190" s="8">
        <v>2003</v>
      </c>
      <c r="J190" s="8" t="s">
        <v>6353</v>
      </c>
      <c r="K190" s="8">
        <v>303</v>
      </c>
      <c r="L190" s="8" t="s">
        <v>7107</v>
      </c>
      <c r="M190" s="8">
        <v>2</v>
      </c>
      <c r="N190" s="8" t="s">
        <v>6585</v>
      </c>
      <c r="O190" s="8"/>
      <c r="P190" s="8" t="s">
        <v>7108</v>
      </c>
      <c r="Q190" s="8">
        <v>370.72073</v>
      </c>
      <c r="R190" s="8" t="s">
        <v>7109</v>
      </c>
      <c r="S190" s="8" t="s">
        <v>53</v>
      </c>
      <c r="T190" s="8" t="s">
        <v>54</v>
      </c>
      <c r="U190" s="9"/>
    </row>
    <row r="191" spans="1:21" ht="14.5" x14ac:dyDescent="0.35">
      <c r="A191" s="8" t="s">
        <v>7110</v>
      </c>
      <c r="B191" s="8" t="str">
        <f>"9780415174947"</f>
        <v>9780415174947</v>
      </c>
      <c r="C191" s="8" t="str">
        <f>"9780203201237"</f>
        <v>9780203201237</v>
      </c>
      <c r="D191" s="8" t="s">
        <v>6350</v>
      </c>
      <c r="E191" s="8" t="s">
        <v>6351</v>
      </c>
      <c r="F191" s="8" t="s">
        <v>139</v>
      </c>
      <c r="G191" s="8" t="s">
        <v>6352</v>
      </c>
      <c r="H191" s="8">
        <v>36332</v>
      </c>
      <c r="I191" s="8">
        <v>1999</v>
      </c>
      <c r="J191" s="8" t="s">
        <v>6353</v>
      </c>
      <c r="K191" s="8">
        <v>190</v>
      </c>
      <c r="L191" s="8" t="s">
        <v>7111</v>
      </c>
      <c r="M191" s="8">
        <v>1</v>
      </c>
      <c r="N191" s="8"/>
      <c r="O191" s="8"/>
      <c r="P191" s="8" t="s">
        <v>7112</v>
      </c>
      <c r="Q191" s="8">
        <v>302.22440829999999</v>
      </c>
      <c r="R191" s="8" t="s">
        <v>7113</v>
      </c>
      <c r="S191" s="8" t="s">
        <v>53</v>
      </c>
      <c r="T191" s="8" t="s">
        <v>6526</v>
      </c>
      <c r="U191" s="9"/>
    </row>
    <row r="192" spans="1:21" ht="14.5" x14ac:dyDescent="0.35">
      <c r="A192" s="8" t="s">
        <v>7114</v>
      </c>
      <c r="B192" s="8" t="str">
        <f>"9780415251587"</f>
        <v>9780415251587</v>
      </c>
      <c r="C192" s="8" t="str">
        <f>"9780203164846"</f>
        <v>9780203164846</v>
      </c>
      <c r="D192" s="8" t="s">
        <v>6350</v>
      </c>
      <c r="E192" s="8" t="s">
        <v>6351</v>
      </c>
      <c r="F192" s="8" t="s">
        <v>7115</v>
      </c>
      <c r="G192" s="8" t="s">
        <v>6317</v>
      </c>
      <c r="H192" s="8">
        <v>37232</v>
      </c>
      <c r="I192" s="8">
        <v>2001</v>
      </c>
      <c r="J192" s="8" t="s">
        <v>6353</v>
      </c>
      <c r="K192" s="8">
        <v>180</v>
      </c>
      <c r="L192" s="8" t="s">
        <v>7116</v>
      </c>
      <c r="M192" s="8">
        <v>1</v>
      </c>
      <c r="N192" s="8"/>
      <c r="O192" s="8"/>
      <c r="P192" s="8" t="s">
        <v>7117</v>
      </c>
      <c r="Q192" s="8" t="s">
        <v>7118</v>
      </c>
      <c r="R192" s="8" t="s">
        <v>7119</v>
      </c>
      <c r="S192" s="8" t="s">
        <v>53</v>
      </c>
      <c r="T192" s="8" t="s">
        <v>1166</v>
      </c>
      <c r="U192" s="9"/>
    </row>
    <row r="193" spans="1:21" ht="14.5" x14ac:dyDescent="0.35">
      <c r="A193" s="8" t="s">
        <v>7120</v>
      </c>
      <c r="B193" s="8" t="str">
        <f>"9780750707794"</f>
        <v>9780750707794</v>
      </c>
      <c r="C193" s="8" t="str">
        <f>"9780203209172"</f>
        <v>9780203209172</v>
      </c>
      <c r="D193" s="8" t="s">
        <v>6350</v>
      </c>
      <c r="E193" s="8" t="s">
        <v>6351</v>
      </c>
      <c r="F193" s="8" t="s">
        <v>748</v>
      </c>
      <c r="G193" s="8" t="s">
        <v>6352</v>
      </c>
      <c r="H193" s="8">
        <v>36816</v>
      </c>
      <c r="I193" s="8">
        <v>2000</v>
      </c>
      <c r="J193" s="8" t="s">
        <v>6351</v>
      </c>
      <c r="K193" s="8">
        <v>153</v>
      </c>
      <c r="L193" s="8" t="s">
        <v>7121</v>
      </c>
      <c r="M193" s="8">
        <v>1</v>
      </c>
      <c r="N193" s="8"/>
      <c r="O193" s="8"/>
      <c r="P193" s="8" t="s">
        <v>7122</v>
      </c>
      <c r="Q193" s="8">
        <v>371.399</v>
      </c>
      <c r="R193" s="8" t="s">
        <v>7123</v>
      </c>
      <c r="S193" s="8" t="s">
        <v>53</v>
      </c>
      <c r="T193" s="8" t="s">
        <v>6881</v>
      </c>
      <c r="U193" s="9"/>
    </row>
    <row r="194" spans="1:21" ht="14.5" x14ac:dyDescent="0.35">
      <c r="A194" s="8" t="s">
        <v>7124</v>
      </c>
      <c r="B194" s="8" t="str">
        <f>"9780415025577"</f>
        <v>9780415025577</v>
      </c>
      <c r="C194" s="8" t="str">
        <f>"9780203168974"</f>
        <v>9780203168974</v>
      </c>
      <c r="D194" s="8" t="s">
        <v>6350</v>
      </c>
      <c r="E194" s="8" t="s">
        <v>6351</v>
      </c>
      <c r="F194" s="8" t="s">
        <v>3967</v>
      </c>
      <c r="G194" s="8" t="s">
        <v>6352</v>
      </c>
      <c r="H194" s="8">
        <v>32086</v>
      </c>
      <c r="I194" s="8">
        <v>1987</v>
      </c>
      <c r="J194" s="8" t="s">
        <v>6353</v>
      </c>
      <c r="K194" s="8">
        <v>136</v>
      </c>
      <c r="L194" s="8" t="s">
        <v>7125</v>
      </c>
      <c r="M194" s="8">
        <v>2</v>
      </c>
      <c r="N194" s="8"/>
      <c r="O194" s="8"/>
      <c r="P194" s="8" t="s">
        <v>7126</v>
      </c>
      <c r="Q194" s="8" t="s">
        <v>7127</v>
      </c>
      <c r="R194" s="8" t="s">
        <v>7128</v>
      </c>
      <c r="S194" s="8" t="s">
        <v>53</v>
      </c>
      <c r="T194" s="8" t="s">
        <v>54</v>
      </c>
      <c r="U194" s="9"/>
    </row>
    <row r="195" spans="1:21" ht="14.5" x14ac:dyDescent="0.35">
      <c r="A195" s="8" t="s">
        <v>7129</v>
      </c>
      <c r="B195" s="8" t="str">
        <f>"9780415206624"</f>
        <v>9780415206624</v>
      </c>
      <c r="C195" s="8" t="str">
        <f>"9780203023334"</f>
        <v>9780203023334</v>
      </c>
      <c r="D195" s="8" t="s">
        <v>6350</v>
      </c>
      <c r="E195" s="8" t="s">
        <v>6351</v>
      </c>
      <c r="F195" s="8" t="s">
        <v>139</v>
      </c>
      <c r="G195" s="8" t="s">
        <v>6352</v>
      </c>
      <c r="H195" s="8">
        <v>36579</v>
      </c>
      <c r="I195" s="8">
        <v>1999</v>
      </c>
      <c r="J195" s="8" t="s">
        <v>6353</v>
      </c>
      <c r="K195" s="8">
        <v>241</v>
      </c>
      <c r="L195" s="8" t="s">
        <v>7130</v>
      </c>
      <c r="M195" s="8">
        <v>1</v>
      </c>
      <c r="N195" s="8"/>
      <c r="O195" s="8"/>
      <c r="P195" s="8" t="s">
        <v>7131</v>
      </c>
      <c r="Q195" s="8" t="s">
        <v>7132</v>
      </c>
      <c r="R195" s="8" t="s">
        <v>7133</v>
      </c>
      <c r="S195" s="8" t="s">
        <v>53</v>
      </c>
      <c r="T195" s="8" t="s">
        <v>1166</v>
      </c>
      <c r="U195" s="9"/>
    </row>
    <row r="196" spans="1:21" ht="14.5" x14ac:dyDescent="0.35">
      <c r="A196" s="8" t="s">
        <v>7134</v>
      </c>
      <c r="B196" s="8" t="str">
        <f>"9780415080897"</f>
        <v>9780415080897</v>
      </c>
      <c r="C196" s="8" t="str">
        <f>"9780203035986"</f>
        <v>9780203035986</v>
      </c>
      <c r="D196" s="8" t="s">
        <v>6350</v>
      </c>
      <c r="E196" s="8" t="s">
        <v>6351</v>
      </c>
      <c r="F196" s="8" t="s">
        <v>748</v>
      </c>
      <c r="G196" s="8" t="s">
        <v>6352</v>
      </c>
      <c r="H196" s="8">
        <v>33976</v>
      </c>
      <c r="I196" s="8">
        <v>1992</v>
      </c>
      <c r="J196" s="8" t="s">
        <v>6351</v>
      </c>
      <c r="K196" s="8">
        <v>161</v>
      </c>
      <c r="L196" s="8" t="s">
        <v>7135</v>
      </c>
      <c r="M196" s="8">
        <v>1</v>
      </c>
      <c r="N196" s="8" t="s">
        <v>6878</v>
      </c>
      <c r="O196" s="8"/>
      <c r="P196" s="8" t="s">
        <v>7136</v>
      </c>
      <c r="Q196" s="8">
        <v>372.35809410000002</v>
      </c>
      <c r="R196" s="8" t="s">
        <v>7137</v>
      </c>
      <c r="S196" s="8" t="s">
        <v>53</v>
      </c>
      <c r="T196" s="8" t="s">
        <v>7138</v>
      </c>
      <c r="U196" s="9"/>
    </row>
    <row r="197" spans="1:21" ht="14.5" x14ac:dyDescent="0.35">
      <c r="A197" s="8" t="s">
        <v>7139</v>
      </c>
      <c r="B197" s="8" t="str">
        <f>"9780415231558"</f>
        <v>9780415231558</v>
      </c>
      <c r="C197" s="8" t="str">
        <f>"9780203186121"</f>
        <v>9780203186121</v>
      </c>
      <c r="D197" s="8" t="s">
        <v>6350</v>
      </c>
      <c r="E197" s="8" t="s">
        <v>6351</v>
      </c>
      <c r="F197" s="8" t="s">
        <v>5406</v>
      </c>
      <c r="G197" s="8" t="s">
        <v>6317</v>
      </c>
      <c r="H197" s="8">
        <v>36817</v>
      </c>
      <c r="I197" s="8">
        <v>2000</v>
      </c>
      <c r="J197" s="8" t="s">
        <v>6353</v>
      </c>
      <c r="K197" s="8">
        <v>225</v>
      </c>
      <c r="L197" s="8" t="s">
        <v>7140</v>
      </c>
      <c r="M197" s="8">
        <v>1</v>
      </c>
      <c r="N197" s="8"/>
      <c r="O197" s="8"/>
      <c r="P197" s="8" t="s">
        <v>7141</v>
      </c>
      <c r="Q197" s="8" t="s">
        <v>7142</v>
      </c>
      <c r="R197" s="8" t="s">
        <v>7143</v>
      </c>
      <c r="S197" s="8" t="s">
        <v>53</v>
      </c>
      <c r="T197" s="8" t="s">
        <v>54</v>
      </c>
      <c r="U197" s="9"/>
    </row>
    <row r="198" spans="1:21" ht="14.5" x14ac:dyDescent="0.35">
      <c r="A198" s="8" t="s">
        <v>7144</v>
      </c>
      <c r="B198" s="8" t="str">
        <f>"9780750709194"</f>
        <v>9780750709194</v>
      </c>
      <c r="C198" s="8" t="str">
        <f>"9780203186213"</f>
        <v>9780203186213</v>
      </c>
      <c r="D198" s="8" t="s">
        <v>6350</v>
      </c>
      <c r="E198" s="8" t="s">
        <v>6351</v>
      </c>
      <c r="F198" s="8" t="s">
        <v>139</v>
      </c>
      <c r="G198" s="8" t="s">
        <v>6317</v>
      </c>
      <c r="H198" s="8">
        <v>36769</v>
      </c>
      <c r="I198" s="8">
        <v>2000</v>
      </c>
      <c r="J198" s="8" t="s">
        <v>6353</v>
      </c>
      <c r="K198" s="8">
        <v>174</v>
      </c>
      <c r="L198" s="8" t="s">
        <v>7145</v>
      </c>
      <c r="M198" s="8">
        <v>1</v>
      </c>
      <c r="N198" s="8"/>
      <c r="O198" s="8"/>
      <c r="P198" s="8" t="s">
        <v>7146</v>
      </c>
      <c r="Q198" s="8" t="s">
        <v>7147</v>
      </c>
      <c r="R198" s="8" t="s">
        <v>7148</v>
      </c>
      <c r="S198" s="8" t="s">
        <v>53</v>
      </c>
      <c r="T198" s="8" t="s">
        <v>54</v>
      </c>
      <c r="U198" s="9"/>
    </row>
    <row r="199" spans="1:21" ht="14.5" x14ac:dyDescent="0.35">
      <c r="A199" s="8" t="s">
        <v>7149</v>
      </c>
      <c r="B199" s="8" t="str">
        <f>"9780750709903"</f>
        <v>9780750709903</v>
      </c>
      <c r="C199" s="8" t="str">
        <f>"9780203183328"</f>
        <v>9780203183328</v>
      </c>
      <c r="D199" s="8" t="s">
        <v>6350</v>
      </c>
      <c r="E199" s="8" t="s">
        <v>6351</v>
      </c>
      <c r="F199" s="8" t="s">
        <v>5406</v>
      </c>
      <c r="G199" s="8" t="s">
        <v>6317</v>
      </c>
      <c r="H199" s="8">
        <v>36896</v>
      </c>
      <c r="I199" s="8">
        <v>2001</v>
      </c>
      <c r="J199" s="8" t="s">
        <v>6353</v>
      </c>
      <c r="K199" s="8">
        <v>343</v>
      </c>
      <c r="L199" s="8" t="s">
        <v>7150</v>
      </c>
      <c r="M199" s="8">
        <v>1</v>
      </c>
      <c r="N199" s="8"/>
      <c r="O199" s="8"/>
      <c r="P199" s="8" t="s">
        <v>7151</v>
      </c>
      <c r="Q199" s="8">
        <v>374</v>
      </c>
      <c r="R199" s="8" t="s">
        <v>7152</v>
      </c>
      <c r="S199" s="8" t="s">
        <v>53</v>
      </c>
      <c r="T199" s="8" t="s">
        <v>54</v>
      </c>
      <c r="U199" s="9"/>
    </row>
    <row r="200" spans="1:21" ht="14.5" x14ac:dyDescent="0.35">
      <c r="A200" s="8" t="s">
        <v>7153</v>
      </c>
      <c r="B200" s="8" t="str">
        <f>"9780750709910"</f>
        <v>9780750709910</v>
      </c>
      <c r="C200" s="8" t="str">
        <f>"9780203183335"</f>
        <v>9780203183335</v>
      </c>
      <c r="D200" s="8" t="s">
        <v>6350</v>
      </c>
      <c r="E200" s="8" t="s">
        <v>6351</v>
      </c>
      <c r="F200" s="8" t="s">
        <v>139</v>
      </c>
      <c r="G200" s="8" t="s">
        <v>6317</v>
      </c>
      <c r="H200" s="8">
        <v>36789</v>
      </c>
      <c r="I200" s="8">
        <v>2000</v>
      </c>
      <c r="J200" s="8" t="s">
        <v>6353</v>
      </c>
      <c r="K200" s="8">
        <v>329</v>
      </c>
      <c r="L200" s="8" t="s">
        <v>7154</v>
      </c>
      <c r="M200" s="8">
        <v>1</v>
      </c>
      <c r="N200" s="8"/>
      <c r="O200" s="8"/>
      <c r="P200" s="8" t="s">
        <v>7155</v>
      </c>
      <c r="Q200" s="8" t="s">
        <v>7156</v>
      </c>
      <c r="R200" s="8" t="s">
        <v>7157</v>
      </c>
      <c r="S200" s="8" t="s">
        <v>53</v>
      </c>
      <c r="T200" s="8" t="s">
        <v>54</v>
      </c>
      <c r="U200" s="9"/>
    </row>
    <row r="201" spans="1:21" ht="14.5" x14ac:dyDescent="0.35">
      <c r="A201" s="8" t="s">
        <v>7158</v>
      </c>
      <c r="B201" s="8" t="str">
        <f>"9781857289428"</f>
        <v>9781857289428</v>
      </c>
      <c r="C201" s="8" t="str">
        <f>"9780203184707"</f>
        <v>9780203184707</v>
      </c>
      <c r="D201" s="8" t="s">
        <v>6350</v>
      </c>
      <c r="E201" s="8" t="s">
        <v>6351</v>
      </c>
      <c r="F201" s="8" t="s">
        <v>139</v>
      </c>
      <c r="G201" s="8" t="s">
        <v>6352</v>
      </c>
      <c r="H201" s="8">
        <v>36837</v>
      </c>
      <c r="I201" s="8">
        <v>2000</v>
      </c>
      <c r="J201" s="8" t="s">
        <v>6353</v>
      </c>
      <c r="K201" s="8">
        <v>207</v>
      </c>
      <c r="L201" s="8" t="s">
        <v>7159</v>
      </c>
      <c r="M201" s="8">
        <v>1</v>
      </c>
      <c r="N201" s="8"/>
      <c r="O201" s="8"/>
      <c r="P201" s="8" t="s">
        <v>7160</v>
      </c>
      <c r="Q201" s="8" t="s">
        <v>7161</v>
      </c>
      <c r="R201" s="8" t="s">
        <v>7162</v>
      </c>
      <c r="S201" s="8" t="s">
        <v>53</v>
      </c>
      <c r="T201" s="8" t="s">
        <v>54</v>
      </c>
      <c r="U201" s="9"/>
    </row>
    <row r="202" spans="1:21" ht="14.5" x14ac:dyDescent="0.35">
      <c r="A202" s="8" t="s">
        <v>7163</v>
      </c>
      <c r="B202" s="8" t="str">
        <f>"9780415235938"</f>
        <v>9780415235938</v>
      </c>
      <c r="C202" s="8" t="str">
        <f>"9780203194119"</f>
        <v>9780203194119</v>
      </c>
      <c r="D202" s="8" t="s">
        <v>6350</v>
      </c>
      <c r="E202" s="8" t="s">
        <v>6351</v>
      </c>
      <c r="F202" s="8" t="s">
        <v>748</v>
      </c>
      <c r="G202" s="8" t="s">
        <v>6352</v>
      </c>
      <c r="H202" s="8">
        <v>37232</v>
      </c>
      <c r="I202" s="8">
        <v>2002</v>
      </c>
      <c r="J202" s="8" t="s">
        <v>6351</v>
      </c>
      <c r="K202" s="8">
        <v>257</v>
      </c>
      <c r="L202" s="8" t="s">
        <v>6748</v>
      </c>
      <c r="M202" s="8">
        <v>1</v>
      </c>
      <c r="N202" s="8"/>
      <c r="O202" s="8"/>
      <c r="P202" s="8" t="s">
        <v>7164</v>
      </c>
      <c r="Q202" s="8">
        <v>306.483</v>
      </c>
      <c r="R202" s="8" t="s">
        <v>7165</v>
      </c>
      <c r="S202" s="8" t="s">
        <v>53</v>
      </c>
      <c r="T202" s="8" t="s">
        <v>7166</v>
      </c>
      <c r="U202" s="9"/>
    </row>
    <row r="203" spans="1:21" ht="14.5" x14ac:dyDescent="0.35">
      <c r="A203" s="8" t="s">
        <v>7167</v>
      </c>
      <c r="B203" s="8" t="str">
        <f>"9780415143431"</f>
        <v>9780415143431</v>
      </c>
      <c r="C203" s="8" t="str">
        <f>"9780203439395"</f>
        <v>9780203439395</v>
      </c>
      <c r="D203" s="8" t="s">
        <v>6350</v>
      </c>
      <c r="E203" s="8" t="s">
        <v>6351</v>
      </c>
      <c r="F203" s="8" t="s">
        <v>139</v>
      </c>
      <c r="G203" s="8" t="s">
        <v>6317</v>
      </c>
      <c r="H203" s="8">
        <v>35551</v>
      </c>
      <c r="I203" s="8">
        <v>1997</v>
      </c>
      <c r="J203" s="8" t="s">
        <v>6353</v>
      </c>
      <c r="K203" s="8">
        <v>206</v>
      </c>
      <c r="L203" s="8" t="s">
        <v>6403</v>
      </c>
      <c r="M203" s="8">
        <v>1</v>
      </c>
      <c r="N203" s="8"/>
      <c r="O203" s="8"/>
      <c r="P203" s="8" t="s">
        <v>7168</v>
      </c>
      <c r="Q203" s="8">
        <v>372.64</v>
      </c>
      <c r="R203" s="8" t="s">
        <v>7169</v>
      </c>
      <c r="S203" s="8" t="s">
        <v>53</v>
      </c>
      <c r="T203" s="8" t="s">
        <v>54</v>
      </c>
      <c r="U203" s="9"/>
    </row>
    <row r="204" spans="1:21" ht="14.5" x14ac:dyDescent="0.35">
      <c r="A204" s="8" t="s">
        <v>7170</v>
      </c>
      <c r="B204" s="8" t="str">
        <f>"9780415157391"</f>
        <v>9780415157391</v>
      </c>
      <c r="C204" s="8" t="str">
        <f>"9780203003985"</f>
        <v>9780203003985</v>
      </c>
      <c r="D204" s="8" t="s">
        <v>6350</v>
      </c>
      <c r="E204" s="8" t="s">
        <v>6351</v>
      </c>
      <c r="F204" s="8" t="s">
        <v>139</v>
      </c>
      <c r="G204" s="8" t="s">
        <v>6317</v>
      </c>
      <c r="H204" s="8">
        <v>36496</v>
      </c>
      <c r="I204" s="8">
        <v>2002</v>
      </c>
      <c r="J204" s="8" t="s">
        <v>6353</v>
      </c>
      <c r="K204" s="8">
        <v>224</v>
      </c>
      <c r="L204" s="8" t="s">
        <v>7171</v>
      </c>
      <c r="M204" s="8">
        <v>1</v>
      </c>
      <c r="N204" s="8" t="s">
        <v>6636</v>
      </c>
      <c r="O204" s="8"/>
      <c r="P204" s="8" t="s">
        <v>7172</v>
      </c>
      <c r="Q204" s="8">
        <v>370.1</v>
      </c>
      <c r="R204" s="8" t="s">
        <v>7173</v>
      </c>
      <c r="S204" s="8" t="s">
        <v>53</v>
      </c>
      <c r="T204" s="8" t="s">
        <v>54</v>
      </c>
      <c r="U204" s="9"/>
    </row>
    <row r="205" spans="1:21" ht="14.5" x14ac:dyDescent="0.35">
      <c r="A205" s="8" t="s">
        <v>7174</v>
      </c>
      <c r="B205" s="8" t="str">
        <f>"9780415174985"</f>
        <v>9780415174985</v>
      </c>
      <c r="C205" s="8" t="str">
        <f>"9780203026755"</f>
        <v>9780203026755</v>
      </c>
      <c r="D205" s="8" t="s">
        <v>6350</v>
      </c>
      <c r="E205" s="8" t="s">
        <v>6351</v>
      </c>
      <c r="F205" s="8" t="s">
        <v>139</v>
      </c>
      <c r="G205" s="8" t="s">
        <v>6352</v>
      </c>
      <c r="H205" s="8">
        <v>36332</v>
      </c>
      <c r="I205" s="8">
        <v>1999</v>
      </c>
      <c r="J205" s="8" t="s">
        <v>6353</v>
      </c>
      <c r="K205" s="8">
        <v>305</v>
      </c>
      <c r="L205" s="8" t="s">
        <v>7175</v>
      </c>
      <c r="M205" s="8">
        <v>1</v>
      </c>
      <c r="N205" s="8"/>
      <c r="O205" s="8"/>
      <c r="P205" s="8" t="s">
        <v>7176</v>
      </c>
      <c r="Q205" s="8">
        <v>371.82995041999999</v>
      </c>
      <c r="R205" s="8" t="s">
        <v>6491</v>
      </c>
      <c r="S205" s="8" t="s">
        <v>53</v>
      </c>
      <c r="T205" s="8" t="s">
        <v>54</v>
      </c>
      <c r="U205" s="9"/>
    </row>
    <row r="206" spans="1:21" ht="14.5" x14ac:dyDescent="0.35">
      <c r="A206" s="8" t="s">
        <v>7177</v>
      </c>
      <c r="B206" s="8" t="str">
        <f>"9780415146562"</f>
        <v>9780415146562</v>
      </c>
      <c r="C206" s="8" t="str">
        <f>"9780203063408"</f>
        <v>9780203063408</v>
      </c>
      <c r="D206" s="8" t="s">
        <v>6350</v>
      </c>
      <c r="E206" s="8" t="s">
        <v>6351</v>
      </c>
      <c r="F206" s="8" t="s">
        <v>748</v>
      </c>
      <c r="G206" s="8" t="s">
        <v>6352</v>
      </c>
      <c r="H206" s="8">
        <v>36020</v>
      </c>
      <c r="I206" s="8">
        <v>1999</v>
      </c>
      <c r="J206" s="8" t="s">
        <v>6351</v>
      </c>
      <c r="K206" s="8">
        <v>284</v>
      </c>
      <c r="L206" s="8" t="s">
        <v>6923</v>
      </c>
      <c r="M206" s="8">
        <v>1</v>
      </c>
      <c r="N206" s="8"/>
      <c r="O206" s="8"/>
      <c r="P206" s="8" t="s">
        <v>7178</v>
      </c>
      <c r="Q206" s="8">
        <v>363.11937294000001</v>
      </c>
      <c r="R206" s="8" t="s">
        <v>7179</v>
      </c>
      <c r="S206" s="8" t="s">
        <v>53</v>
      </c>
      <c r="T206" s="8" t="s">
        <v>6472</v>
      </c>
      <c r="U206" s="9"/>
    </row>
    <row r="207" spans="1:21" ht="14.5" x14ac:dyDescent="0.35">
      <c r="A207" s="8" t="s">
        <v>7180</v>
      </c>
      <c r="B207" s="8" t="str">
        <f>"9780415147484"</f>
        <v>9780415147484</v>
      </c>
      <c r="C207" s="8" t="str">
        <f>"9780203015728"</f>
        <v>9780203015728</v>
      </c>
      <c r="D207" s="8" t="s">
        <v>6350</v>
      </c>
      <c r="E207" s="8" t="s">
        <v>6351</v>
      </c>
      <c r="F207" s="8" t="s">
        <v>139</v>
      </c>
      <c r="G207" s="8" t="s">
        <v>6352</v>
      </c>
      <c r="H207" s="8">
        <v>35425</v>
      </c>
      <c r="I207" s="8">
        <v>1996</v>
      </c>
      <c r="J207" s="8" t="s">
        <v>6353</v>
      </c>
      <c r="K207" s="8">
        <v>193</v>
      </c>
      <c r="L207" s="8" t="s">
        <v>7181</v>
      </c>
      <c r="M207" s="8">
        <v>1</v>
      </c>
      <c r="N207" s="8"/>
      <c r="O207" s="8"/>
      <c r="P207" s="8" t="s">
        <v>7182</v>
      </c>
      <c r="Q207" s="8">
        <v>371.90460000000002</v>
      </c>
      <c r="R207" s="8" t="s">
        <v>6577</v>
      </c>
      <c r="S207" s="8" t="s">
        <v>53</v>
      </c>
      <c r="T207" s="8" t="s">
        <v>54</v>
      </c>
      <c r="U207" s="9"/>
    </row>
    <row r="208" spans="1:21" ht="14.5" x14ac:dyDescent="0.35">
      <c r="A208" s="8" t="s">
        <v>7183</v>
      </c>
      <c r="B208" s="8" t="str">
        <f>"9780415148818"</f>
        <v>9780415148818</v>
      </c>
      <c r="C208" s="8" t="str">
        <f>"9780203015759"</f>
        <v>9780203015759</v>
      </c>
      <c r="D208" s="8" t="s">
        <v>6350</v>
      </c>
      <c r="E208" s="8" t="s">
        <v>6351</v>
      </c>
      <c r="F208" s="8" t="s">
        <v>139</v>
      </c>
      <c r="G208" s="8" t="s">
        <v>6352</v>
      </c>
      <c r="H208" s="8">
        <v>36059</v>
      </c>
      <c r="I208" s="8">
        <v>1998</v>
      </c>
      <c r="J208" s="8" t="s">
        <v>6353</v>
      </c>
      <c r="K208" s="8">
        <v>211</v>
      </c>
      <c r="L208" s="8" t="s">
        <v>7184</v>
      </c>
      <c r="M208" s="8">
        <v>2</v>
      </c>
      <c r="N208" s="8" t="s">
        <v>6663</v>
      </c>
      <c r="O208" s="8"/>
      <c r="P208" s="8" t="s">
        <v>7185</v>
      </c>
      <c r="Q208" s="8">
        <v>370.11309519999998</v>
      </c>
      <c r="R208" s="8" t="s">
        <v>7186</v>
      </c>
      <c r="S208" s="8" t="s">
        <v>53</v>
      </c>
      <c r="T208" s="8" t="s">
        <v>54</v>
      </c>
      <c r="U208" s="9"/>
    </row>
    <row r="209" spans="1:21" ht="14.5" x14ac:dyDescent="0.35">
      <c r="A209" s="8" t="s">
        <v>7187</v>
      </c>
      <c r="B209" s="8" t="str">
        <f>"9780415174664"</f>
        <v>9780415174664</v>
      </c>
      <c r="C209" s="8" t="str">
        <f>"9780203048191"</f>
        <v>9780203048191</v>
      </c>
      <c r="D209" s="8" t="s">
        <v>6350</v>
      </c>
      <c r="E209" s="8" t="s">
        <v>6351</v>
      </c>
      <c r="F209" s="8" t="s">
        <v>748</v>
      </c>
      <c r="G209" s="8" t="s">
        <v>6352</v>
      </c>
      <c r="H209" s="8">
        <v>36151</v>
      </c>
      <c r="I209" s="8">
        <v>1999</v>
      </c>
      <c r="J209" s="8" t="s">
        <v>6351</v>
      </c>
      <c r="K209" s="8">
        <v>122</v>
      </c>
      <c r="L209" s="8" t="s">
        <v>7188</v>
      </c>
      <c r="M209" s="8">
        <v>1</v>
      </c>
      <c r="N209" s="8"/>
      <c r="O209" s="8"/>
      <c r="P209" s="8" t="s">
        <v>7189</v>
      </c>
      <c r="Q209" s="8"/>
      <c r="R209" s="8" t="s">
        <v>6591</v>
      </c>
      <c r="S209" s="8" t="s">
        <v>53</v>
      </c>
      <c r="T209" s="8" t="s">
        <v>54</v>
      </c>
      <c r="U209" s="9"/>
    </row>
    <row r="210" spans="1:21" ht="14.5" x14ac:dyDescent="0.35">
      <c r="A210" s="8" t="s">
        <v>7190</v>
      </c>
      <c r="B210" s="8" t="str">
        <f>"9780415174923"</f>
        <v>9780415174923</v>
      </c>
      <c r="C210" s="8" t="str">
        <f>"9780203062487"</f>
        <v>9780203062487</v>
      </c>
      <c r="D210" s="8" t="s">
        <v>6350</v>
      </c>
      <c r="E210" s="8" t="s">
        <v>6351</v>
      </c>
      <c r="F210" s="8" t="s">
        <v>139</v>
      </c>
      <c r="G210" s="8" t="s">
        <v>6352</v>
      </c>
      <c r="H210" s="8">
        <v>36069</v>
      </c>
      <c r="I210" s="8">
        <v>1999</v>
      </c>
      <c r="J210" s="8" t="s">
        <v>6353</v>
      </c>
      <c r="K210" s="8">
        <v>310</v>
      </c>
      <c r="L210" s="8" t="s">
        <v>7191</v>
      </c>
      <c r="M210" s="8">
        <v>1</v>
      </c>
      <c r="N210" s="8"/>
      <c r="O210" s="8"/>
      <c r="P210" s="8" t="s">
        <v>7192</v>
      </c>
      <c r="Q210" s="8">
        <v>507.8</v>
      </c>
      <c r="R210" s="8" t="s">
        <v>6392</v>
      </c>
      <c r="S210" s="8" t="s">
        <v>53</v>
      </c>
      <c r="T210" s="8" t="s">
        <v>7193</v>
      </c>
      <c r="U210" s="9"/>
    </row>
    <row r="211" spans="1:21" ht="14.5" x14ac:dyDescent="0.35">
      <c r="A211" s="8" t="s">
        <v>7194</v>
      </c>
      <c r="B211" s="8" t="str">
        <f>"9780415197571"</f>
        <v>9780415197571</v>
      </c>
      <c r="C211" s="8" t="str">
        <f>"9780203057476"</f>
        <v>9780203057476</v>
      </c>
      <c r="D211" s="8" t="s">
        <v>6350</v>
      </c>
      <c r="E211" s="8" t="s">
        <v>6351</v>
      </c>
      <c r="F211" s="8" t="s">
        <v>139</v>
      </c>
      <c r="G211" s="8" t="s">
        <v>6317</v>
      </c>
      <c r="H211" s="8">
        <v>36476</v>
      </c>
      <c r="I211" s="8">
        <v>1999</v>
      </c>
      <c r="J211" s="8" t="s">
        <v>6353</v>
      </c>
      <c r="K211" s="8">
        <v>216</v>
      </c>
      <c r="L211" s="8" t="s">
        <v>7195</v>
      </c>
      <c r="M211" s="8">
        <v>1</v>
      </c>
      <c r="N211" s="8"/>
      <c r="O211" s="8"/>
      <c r="P211" s="8" t="s">
        <v>7196</v>
      </c>
      <c r="Q211" s="8">
        <v>371.90940999999998</v>
      </c>
      <c r="R211" s="8" t="s">
        <v>7197</v>
      </c>
      <c r="S211" s="8" t="s">
        <v>53</v>
      </c>
      <c r="T211" s="8" t="s">
        <v>54</v>
      </c>
      <c r="U211" s="9"/>
    </row>
    <row r="212" spans="1:21" ht="14.5" x14ac:dyDescent="0.35">
      <c r="A212" s="8" t="s">
        <v>7198</v>
      </c>
      <c r="B212" s="8" t="str">
        <f>"9780415205092"</f>
        <v>9780415205092</v>
      </c>
      <c r="C212" s="8" t="str">
        <f>"9780203072141"</f>
        <v>9780203072141</v>
      </c>
      <c r="D212" s="8" t="s">
        <v>6350</v>
      </c>
      <c r="E212" s="8" t="s">
        <v>6351</v>
      </c>
      <c r="F212" s="8" t="s">
        <v>139</v>
      </c>
      <c r="G212" s="8" t="s">
        <v>6317</v>
      </c>
      <c r="H212" s="8">
        <v>36480</v>
      </c>
      <c r="I212" s="8">
        <v>1999</v>
      </c>
      <c r="J212" s="8" t="s">
        <v>6353</v>
      </c>
      <c r="K212" s="8">
        <v>351</v>
      </c>
      <c r="L212" s="8" t="s">
        <v>7199</v>
      </c>
      <c r="M212" s="8">
        <v>1</v>
      </c>
      <c r="N212" s="8"/>
      <c r="O212" s="8"/>
      <c r="P212" s="8" t="s">
        <v>7200</v>
      </c>
      <c r="Q212" s="8">
        <v>371.29509409999997</v>
      </c>
      <c r="R212" s="8" t="s">
        <v>7201</v>
      </c>
      <c r="S212" s="8" t="s">
        <v>53</v>
      </c>
      <c r="T212" s="8" t="s">
        <v>54</v>
      </c>
      <c r="U212" s="9"/>
    </row>
    <row r="213" spans="1:21" ht="14.5" x14ac:dyDescent="0.35">
      <c r="A213" s="8" t="s">
        <v>7202</v>
      </c>
      <c r="B213" s="8" t="str">
        <f>"9780415228183"</f>
        <v>9780415228183</v>
      </c>
      <c r="C213" s="8" t="str">
        <f>"9780203208441"</f>
        <v>9780203208441</v>
      </c>
      <c r="D213" s="8" t="s">
        <v>6350</v>
      </c>
      <c r="E213" s="8" t="s">
        <v>6351</v>
      </c>
      <c r="F213" s="8" t="s">
        <v>748</v>
      </c>
      <c r="G213" s="8" t="s">
        <v>6352</v>
      </c>
      <c r="H213" s="8">
        <v>36860</v>
      </c>
      <c r="I213" s="8">
        <v>2001</v>
      </c>
      <c r="J213" s="8" t="s">
        <v>6351</v>
      </c>
      <c r="K213" s="8">
        <v>103</v>
      </c>
      <c r="L213" s="8" t="s">
        <v>7203</v>
      </c>
      <c r="M213" s="8">
        <v>1</v>
      </c>
      <c r="N213" s="8"/>
      <c r="O213" s="8"/>
      <c r="P213" s="8" t="s">
        <v>7204</v>
      </c>
      <c r="Q213" s="8" t="s">
        <v>7205</v>
      </c>
      <c r="R213" s="8" t="s">
        <v>7206</v>
      </c>
      <c r="S213" s="8" t="s">
        <v>53</v>
      </c>
      <c r="T213" s="8" t="s">
        <v>54</v>
      </c>
      <c r="U213" s="9"/>
    </row>
    <row r="214" spans="1:21" ht="14.5" x14ac:dyDescent="0.35">
      <c r="A214" s="8" t="s">
        <v>7207</v>
      </c>
      <c r="B214" s="8" t="str">
        <f>"9780415036757"</f>
        <v>9780415036757</v>
      </c>
      <c r="C214" s="8" t="str">
        <f>"9780203221365"</f>
        <v>9780203221365</v>
      </c>
      <c r="D214" s="8" t="s">
        <v>6350</v>
      </c>
      <c r="E214" s="8" t="s">
        <v>6351</v>
      </c>
      <c r="F214" s="8" t="s">
        <v>3967</v>
      </c>
      <c r="G214" s="8" t="s">
        <v>6352</v>
      </c>
      <c r="H214" s="8">
        <v>32247</v>
      </c>
      <c r="I214" s="8">
        <v>1988</v>
      </c>
      <c r="J214" s="8" t="s">
        <v>6353</v>
      </c>
      <c r="K214" s="8">
        <v>254</v>
      </c>
      <c r="L214" s="8" t="s">
        <v>7208</v>
      </c>
      <c r="M214" s="8">
        <v>1</v>
      </c>
      <c r="N214" s="8"/>
      <c r="O214" s="8"/>
      <c r="P214" s="8" t="s">
        <v>7209</v>
      </c>
      <c r="Q214" s="8">
        <v>378.125</v>
      </c>
      <c r="R214" s="8" t="s">
        <v>7210</v>
      </c>
      <c r="S214" s="8" t="s">
        <v>53</v>
      </c>
      <c r="T214" s="8" t="s">
        <v>54</v>
      </c>
      <c r="U214" s="9"/>
    </row>
    <row r="215" spans="1:21" ht="14.5" x14ac:dyDescent="0.35">
      <c r="A215" s="8" t="s">
        <v>7211</v>
      </c>
      <c r="B215" s="8" t="str">
        <f>"9780415083102"</f>
        <v>9780415083102</v>
      </c>
      <c r="C215" s="8" t="str">
        <f>"9780203136904"</f>
        <v>9780203136904</v>
      </c>
      <c r="D215" s="8" t="s">
        <v>6350</v>
      </c>
      <c r="E215" s="8" t="s">
        <v>6351</v>
      </c>
      <c r="F215" s="8" t="s">
        <v>748</v>
      </c>
      <c r="G215" s="8" t="s">
        <v>6352</v>
      </c>
      <c r="H215" s="8">
        <v>34221</v>
      </c>
      <c r="I215" s="8">
        <v>1993</v>
      </c>
      <c r="J215" s="8" t="s">
        <v>6351</v>
      </c>
      <c r="K215" s="8">
        <v>257</v>
      </c>
      <c r="L215" s="8" t="s">
        <v>7212</v>
      </c>
      <c r="M215" s="8">
        <v>1</v>
      </c>
      <c r="N215" s="8"/>
      <c r="O215" s="8"/>
      <c r="P215" s="8" t="s">
        <v>7213</v>
      </c>
      <c r="Q215" s="8">
        <v>370.71094099999999</v>
      </c>
      <c r="R215" s="8" t="s">
        <v>7214</v>
      </c>
      <c r="S215" s="8" t="s">
        <v>53</v>
      </c>
      <c r="T215" s="8" t="s">
        <v>54</v>
      </c>
      <c r="U215" s="9"/>
    </row>
    <row r="216" spans="1:21" ht="14.5" x14ac:dyDescent="0.35">
      <c r="A216" s="8" t="s">
        <v>7215</v>
      </c>
      <c r="B216" s="8" t="str">
        <f>"9780415180672"</f>
        <v>9780415180672</v>
      </c>
      <c r="C216" s="8" t="str">
        <f>"9780203005620"</f>
        <v>9780203005620</v>
      </c>
      <c r="D216" s="8" t="s">
        <v>6350</v>
      </c>
      <c r="E216" s="8" t="s">
        <v>6351</v>
      </c>
      <c r="F216" s="8" t="s">
        <v>748</v>
      </c>
      <c r="G216" s="8" t="s">
        <v>6352</v>
      </c>
      <c r="H216" s="8">
        <v>36069</v>
      </c>
      <c r="I216" s="8">
        <v>1998</v>
      </c>
      <c r="J216" s="8" t="s">
        <v>6351</v>
      </c>
      <c r="K216" s="8">
        <v>302</v>
      </c>
      <c r="L216" s="8" t="s">
        <v>7216</v>
      </c>
      <c r="M216" s="8">
        <v>1</v>
      </c>
      <c r="N216" s="8"/>
      <c r="O216" s="8"/>
      <c r="P216" s="8" t="s">
        <v>7217</v>
      </c>
      <c r="Q216" s="8">
        <v>371.90460000000002</v>
      </c>
      <c r="R216" s="8" t="s">
        <v>7218</v>
      </c>
      <c r="S216" s="8" t="s">
        <v>53</v>
      </c>
      <c r="T216" s="8" t="s">
        <v>54</v>
      </c>
      <c r="U216" s="9"/>
    </row>
    <row r="217" spans="1:21" ht="14.5" x14ac:dyDescent="0.35">
      <c r="A217" s="8" t="s">
        <v>7219</v>
      </c>
      <c r="B217" s="8" t="str">
        <f>"9780415186902"</f>
        <v>9780415186902</v>
      </c>
      <c r="C217" s="8" t="str">
        <f>"9780203071601"</f>
        <v>9780203071601</v>
      </c>
      <c r="D217" s="8" t="s">
        <v>6350</v>
      </c>
      <c r="E217" s="8" t="s">
        <v>6351</v>
      </c>
      <c r="F217" s="8" t="s">
        <v>139</v>
      </c>
      <c r="G217" s="8" t="s">
        <v>6352</v>
      </c>
      <c r="H217" s="8">
        <v>36083</v>
      </c>
      <c r="I217" s="8">
        <v>1998</v>
      </c>
      <c r="J217" s="8" t="s">
        <v>6353</v>
      </c>
      <c r="K217" s="8">
        <v>232</v>
      </c>
      <c r="L217" s="8" t="s">
        <v>7220</v>
      </c>
      <c r="M217" s="8">
        <v>1</v>
      </c>
      <c r="N217" s="8"/>
      <c r="O217" s="8"/>
      <c r="P217" s="8" t="s">
        <v>7221</v>
      </c>
      <c r="Q217" s="8">
        <v>371.1</v>
      </c>
      <c r="R217" s="8" t="s">
        <v>58</v>
      </c>
      <c r="S217" s="8" t="s">
        <v>53</v>
      </c>
      <c r="T217" s="8" t="s">
        <v>54</v>
      </c>
      <c r="U217" s="9"/>
    </row>
    <row r="218" spans="1:21" ht="14.5" x14ac:dyDescent="0.35">
      <c r="A218" s="8" t="s">
        <v>7222</v>
      </c>
      <c r="B218" s="8" t="str">
        <f>"9780415216814"</f>
        <v>9780415216814</v>
      </c>
      <c r="C218" s="8" t="str">
        <f>"9780203132777"</f>
        <v>9780203132777</v>
      </c>
      <c r="D218" s="8" t="s">
        <v>6350</v>
      </c>
      <c r="E218" s="8" t="s">
        <v>6351</v>
      </c>
      <c r="F218" s="8" t="s">
        <v>748</v>
      </c>
      <c r="G218" s="8" t="s">
        <v>6352</v>
      </c>
      <c r="H218" s="8">
        <v>36747</v>
      </c>
      <c r="I218" s="8">
        <v>2000</v>
      </c>
      <c r="J218" s="8" t="s">
        <v>6351</v>
      </c>
      <c r="K218" s="8">
        <v>215</v>
      </c>
      <c r="L218" s="8" t="s">
        <v>7223</v>
      </c>
      <c r="M218" s="8">
        <v>1</v>
      </c>
      <c r="N218" s="8"/>
      <c r="O218" s="8"/>
      <c r="P218" s="8" t="s">
        <v>7224</v>
      </c>
      <c r="Q218" s="8">
        <v>370.71</v>
      </c>
      <c r="R218" s="8" t="s">
        <v>7133</v>
      </c>
      <c r="S218" s="8" t="s">
        <v>53</v>
      </c>
      <c r="T218" s="8" t="s">
        <v>54</v>
      </c>
      <c r="U218" s="9"/>
    </row>
    <row r="219" spans="1:21" ht="14.5" x14ac:dyDescent="0.35">
      <c r="A219" s="8" t="s">
        <v>7225</v>
      </c>
      <c r="B219" s="8" t="str">
        <f>"9780415240673"</f>
        <v>9780415240673</v>
      </c>
      <c r="C219" s="8" t="str">
        <f>"9780203215128"</f>
        <v>9780203215128</v>
      </c>
      <c r="D219" s="8" t="s">
        <v>6350</v>
      </c>
      <c r="E219" s="8" t="s">
        <v>6351</v>
      </c>
      <c r="F219" s="8" t="s">
        <v>139</v>
      </c>
      <c r="G219" s="8" t="s">
        <v>6352</v>
      </c>
      <c r="H219" s="8">
        <v>37330</v>
      </c>
      <c r="I219" s="8">
        <v>2002</v>
      </c>
      <c r="J219" s="8" t="s">
        <v>6353</v>
      </c>
      <c r="K219" s="8">
        <v>192</v>
      </c>
      <c r="L219" s="8" t="s">
        <v>7226</v>
      </c>
      <c r="M219" s="8">
        <v>1</v>
      </c>
      <c r="N219" s="8"/>
      <c r="O219" s="8"/>
      <c r="P219" s="8" t="s">
        <v>7227</v>
      </c>
      <c r="Q219" s="8">
        <v>371.10199999999998</v>
      </c>
      <c r="R219" s="8" t="s">
        <v>6840</v>
      </c>
      <c r="S219" s="8" t="s">
        <v>53</v>
      </c>
      <c r="T219" s="8" t="s">
        <v>54</v>
      </c>
      <c r="U219" s="9"/>
    </row>
    <row r="220" spans="1:21" ht="14.5" x14ac:dyDescent="0.35">
      <c r="A220" s="8" t="s">
        <v>7228</v>
      </c>
      <c r="B220" s="8" t="str">
        <f>"9780415032179"</f>
        <v>9780415032179</v>
      </c>
      <c r="C220" s="8" t="str">
        <f>"9780203035566"</f>
        <v>9780203035566</v>
      </c>
      <c r="D220" s="8" t="s">
        <v>6350</v>
      </c>
      <c r="E220" s="8" t="s">
        <v>6351</v>
      </c>
      <c r="F220" s="8" t="s">
        <v>748</v>
      </c>
      <c r="G220" s="8" t="s">
        <v>6352</v>
      </c>
      <c r="H220" s="8">
        <v>33878</v>
      </c>
      <c r="I220" s="8">
        <v>1992</v>
      </c>
      <c r="J220" s="8" t="s">
        <v>6351</v>
      </c>
      <c r="K220" s="8">
        <v>187</v>
      </c>
      <c r="L220" s="8" t="s">
        <v>7229</v>
      </c>
      <c r="M220" s="8">
        <v>1</v>
      </c>
      <c r="N220" s="8"/>
      <c r="O220" s="8"/>
      <c r="P220" s="8" t="s">
        <v>7230</v>
      </c>
      <c r="Q220" s="8">
        <v>373.12</v>
      </c>
      <c r="R220" s="8" t="s">
        <v>7231</v>
      </c>
      <c r="S220" s="8" t="s">
        <v>53</v>
      </c>
      <c r="T220" s="8" t="s">
        <v>54</v>
      </c>
      <c r="U220" s="9"/>
    </row>
    <row r="221" spans="1:21" ht="14.5" x14ac:dyDescent="0.35">
      <c r="A221" s="8" t="s">
        <v>7232</v>
      </c>
      <c r="B221" s="8" t="str">
        <f>"9780415058810"</f>
        <v>9780415058810</v>
      </c>
      <c r="C221" s="8" t="str">
        <f>"9780203076705"</f>
        <v>9780203076705</v>
      </c>
      <c r="D221" s="8" t="s">
        <v>6350</v>
      </c>
      <c r="E221" s="8" t="s">
        <v>6351</v>
      </c>
      <c r="F221" s="8" t="s">
        <v>748</v>
      </c>
      <c r="G221" s="8" t="s">
        <v>6352</v>
      </c>
      <c r="H221" s="8">
        <v>31376</v>
      </c>
      <c r="I221" s="8">
        <v>1985</v>
      </c>
      <c r="J221" s="8" t="s">
        <v>6351</v>
      </c>
      <c r="K221" s="8">
        <v>173</v>
      </c>
      <c r="L221" s="8" t="s">
        <v>7233</v>
      </c>
      <c r="M221" s="8">
        <v>1</v>
      </c>
      <c r="N221" s="8"/>
      <c r="O221" s="8"/>
      <c r="P221" s="8" t="s">
        <v>7234</v>
      </c>
      <c r="Q221" s="8" t="s">
        <v>7235</v>
      </c>
      <c r="R221" s="8" t="s">
        <v>7236</v>
      </c>
      <c r="S221" s="8" t="s">
        <v>53</v>
      </c>
      <c r="T221" s="8" t="s">
        <v>54</v>
      </c>
      <c r="U221" s="9"/>
    </row>
    <row r="222" spans="1:21" ht="14.5" x14ac:dyDescent="0.35">
      <c r="A222" s="8" t="s">
        <v>7237</v>
      </c>
      <c r="B222" s="8" t="str">
        <f>"9780415109154"</f>
        <v>9780415109154</v>
      </c>
      <c r="C222" s="8" t="str">
        <f>"9780203075791"</f>
        <v>9780203075791</v>
      </c>
      <c r="D222" s="8" t="s">
        <v>6350</v>
      </c>
      <c r="E222" s="8" t="s">
        <v>6351</v>
      </c>
      <c r="F222" s="8" t="s">
        <v>139</v>
      </c>
      <c r="G222" s="8" t="s">
        <v>6317</v>
      </c>
      <c r="H222" s="8">
        <v>34576</v>
      </c>
      <c r="I222" s="8">
        <v>1994</v>
      </c>
      <c r="J222" s="8" t="s">
        <v>6353</v>
      </c>
      <c r="K222" s="8">
        <v>285</v>
      </c>
      <c r="L222" s="8" t="s">
        <v>7238</v>
      </c>
      <c r="M222" s="8">
        <v>1</v>
      </c>
      <c r="N222" s="8"/>
      <c r="O222" s="8"/>
      <c r="P222" s="8" t="s">
        <v>7239</v>
      </c>
      <c r="Q222" s="8">
        <v>374.94099999999997</v>
      </c>
      <c r="R222" s="8" t="s">
        <v>7240</v>
      </c>
      <c r="S222" s="8" t="s">
        <v>53</v>
      </c>
      <c r="T222" s="8" t="s">
        <v>54</v>
      </c>
      <c r="U222" s="9"/>
    </row>
    <row r="223" spans="1:21" ht="14.5" x14ac:dyDescent="0.35">
      <c r="A223" s="8" t="s">
        <v>7241</v>
      </c>
      <c r="B223" s="8" t="str">
        <f>"9780415158329"</f>
        <v>9780415158329</v>
      </c>
      <c r="C223" s="8" t="str">
        <f>"9780203058022"</f>
        <v>9780203058022</v>
      </c>
      <c r="D223" s="8" t="s">
        <v>6350</v>
      </c>
      <c r="E223" s="8" t="s">
        <v>6351</v>
      </c>
      <c r="F223" s="8" t="s">
        <v>139</v>
      </c>
      <c r="G223" s="8" t="s">
        <v>6352</v>
      </c>
      <c r="H223" s="8">
        <v>35846</v>
      </c>
      <c r="I223" s="8">
        <v>1998</v>
      </c>
      <c r="J223" s="8" t="s">
        <v>6353</v>
      </c>
      <c r="K223" s="8">
        <v>241</v>
      </c>
      <c r="L223" s="8" t="s">
        <v>7242</v>
      </c>
      <c r="M223" s="8">
        <v>1</v>
      </c>
      <c r="N223" s="8"/>
      <c r="O223" s="8"/>
      <c r="P223" s="8">
        <v>97017424</v>
      </c>
      <c r="Q223" s="8">
        <v>372.19</v>
      </c>
      <c r="R223" s="8" t="s">
        <v>6396</v>
      </c>
      <c r="S223" s="8" t="s">
        <v>53</v>
      </c>
      <c r="T223" s="8" t="s">
        <v>54</v>
      </c>
      <c r="U223" s="9"/>
    </row>
    <row r="224" spans="1:21" ht="14.5" x14ac:dyDescent="0.35">
      <c r="A224" s="8" t="s">
        <v>7243</v>
      </c>
      <c r="B224" s="8" t="str">
        <f>"9780415168755"</f>
        <v>9780415168755</v>
      </c>
      <c r="C224" s="8" t="str">
        <f>"9780203048610"</f>
        <v>9780203048610</v>
      </c>
      <c r="D224" s="8" t="s">
        <v>6350</v>
      </c>
      <c r="E224" s="8" t="s">
        <v>6351</v>
      </c>
      <c r="F224" s="8" t="s">
        <v>139</v>
      </c>
      <c r="G224" s="8" t="s">
        <v>6352</v>
      </c>
      <c r="H224" s="8">
        <v>36600</v>
      </c>
      <c r="I224" s="8">
        <v>1999</v>
      </c>
      <c r="J224" s="8" t="s">
        <v>6353</v>
      </c>
      <c r="K224" s="8">
        <v>173</v>
      </c>
      <c r="L224" s="8" t="s">
        <v>7244</v>
      </c>
      <c r="M224" s="8">
        <v>1</v>
      </c>
      <c r="N224" s="8"/>
      <c r="O224" s="8"/>
      <c r="P224" s="8" t="s">
        <v>7245</v>
      </c>
      <c r="Q224" s="8" t="s">
        <v>7246</v>
      </c>
      <c r="R224" s="8" t="s">
        <v>7165</v>
      </c>
      <c r="S224" s="8" t="s">
        <v>53</v>
      </c>
      <c r="T224" s="8" t="s">
        <v>54</v>
      </c>
      <c r="U224" s="9"/>
    </row>
    <row r="225" spans="1:21" ht="14.5" x14ac:dyDescent="0.35">
      <c r="A225" s="8" t="s">
        <v>7247</v>
      </c>
      <c r="B225" s="8" t="str">
        <f>"9780415170192"</f>
        <v>9780415170192</v>
      </c>
      <c r="C225" s="8" t="str">
        <f>"9780203161272"</f>
        <v>9780203161272</v>
      </c>
      <c r="D225" s="8" t="s">
        <v>6350</v>
      </c>
      <c r="E225" s="8" t="s">
        <v>6351</v>
      </c>
      <c r="F225" s="8" t="s">
        <v>748</v>
      </c>
      <c r="G225" s="8" t="s">
        <v>6352</v>
      </c>
      <c r="H225" s="8">
        <v>36202</v>
      </c>
      <c r="I225" s="8">
        <v>1999</v>
      </c>
      <c r="J225" s="8" t="s">
        <v>6351</v>
      </c>
      <c r="K225" s="8">
        <v>272</v>
      </c>
      <c r="L225" s="8" t="s">
        <v>7248</v>
      </c>
      <c r="M225" s="8">
        <v>1</v>
      </c>
      <c r="N225" s="8"/>
      <c r="O225" s="8"/>
      <c r="P225" s="8" t="s">
        <v>7249</v>
      </c>
      <c r="Q225" s="8">
        <v>372.13094100000001</v>
      </c>
      <c r="R225" s="8" t="s">
        <v>6520</v>
      </c>
      <c r="S225" s="8" t="s">
        <v>53</v>
      </c>
      <c r="T225" s="8" t="s">
        <v>54</v>
      </c>
      <c r="U225" s="9"/>
    </row>
    <row r="226" spans="1:21" ht="14.5" x14ac:dyDescent="0.35">
      <c r="A226" s="8" t="s">
        <v>7250</v>
      </c>
      <c r="B226" s="8" t="str">
        <f>"9780415195423"</f>
        <v>9780415195423</v>
      </c>
      <c r="C226" s="8" t="str">
        <f>"9780203062296"</f>
        <v>9780203062296</v>
      </c>
      <c r="D226" s="8" t="s">
        <v>6350</v>
      </c>
      <c r="E226" s="8" t="s">
        <v>6351</v>
      </c>
      <c r="F226" s="8" t="s">
        <v>139</v>
      </c>
      <c r="G226" s="8" t="s">
        <v>6352</v>
      </c>
      <c r="H226" s="8">
        <v>36454</v>
      </c>
      <c r="I226" s="8">
        <v>1999</v>
      </c>
      <c r="J226" s="8" t="s">
        <v>6353</v>
      </c>
      <c r="K226" s="8">
        <v>251</v>
      </c>
      <c r="L226" s="8" t="s">
        <v>7251</v>
      </c>
      <c r="M226" s="8">
        <v>1</v>
      </c>
      <c r="N226" s="8"/>
      <c r="O226" s="8"/>
      <c r="P226" s="8" t="s">
        <v>7252</v>
      </c>
      <c r="Q226" s="8">
        <v>808.06600000000003</v>
      </c>
      <c r="R226" s="8" t="s">
        <v>7253</v>
      </c>
      <c r="S226" s="8" t="s">
        <v>53</v>
      </c>
      <c r="T226" s="8" t="s">
        <v>6568</v>
      </c>
      <c r="U226" s="9"/>
    </row>
    <row r="227" spans="1:21" ht="14.5" x14ac:dyDescent="0.35">
      <c r="A227" s="8" t="s">
        <v>7254</v>
      </c>
      <c r="B227" s="8" t="str">
        <f>"9780415202930"</f>
        <v>9780415202930</v>
      </c>
      <c r="C227" s="8" t="str">
        <f>"9780203054048"</f>
        <v>9780203054048</v>
      </c>
      <c r="D227" s="8" t="s">
        <v>6350</v>
      </c>
      <c r="E227" s="8" t="s">
        <v>6351</v>
      </c>
      <c r="F227" s="8" t="s">
        <v>139</v>
      </c>
      <c r="G227" s="8" t="s">
        <v>6352</v>
      </c>
      <c r="H227" s="8">
        <v>36377</v>
      </c>
      <c r="I227" s="8">
        <v>1999</v>
      </c>
      <c r="J227" s="8" t="s">
        <v>6353</v>
      </c>
      <c r="K227" s="8">
        <v>155</v>
      </c>
      <c r="L227" s="8" t="s">
        <v>7255</v>
      </c>
      <c r="M227" s="8">
        <v>2</v>
      </c>
      <c r="N227" s="8"/>
      <c r="O227" s="8"/>
      <c r="P227" s="8">
        <v>99013192</v>
      </c>
      <c r="Q227" s="8">
        <v>371.90940999999998</v>
      </c>
      <c r="R227" s="8" t="s">
        <v>6577</v>
      </c>
      <c r="S227" s="8" t="s">
        <v>53</v>
      </c>
      <c r="T227" s="8" t="s">
        <v>54</v>
      </c>
      <c r="U227" s="9"/>
    </row>
    <row r="228" spans="1:21" ht="14.5" x14ac:dyDescent="0.35">
      <c r="A228" s="8" t="s">
        <v>7256</v>
      </c>
      <c r="B228" s="8" t="str">
        <f>"9780415203128"</f>
        <v>9780415203128</v>
      </c>
      <c r="C228" s="8" t="str">
        <f>"9780203070819"</f>
        <v>9780203070819</v>
      </c>
      <c r="D228" s="8" t="s">
        <v>6350</v>
      </c>
      <c r="E228" s="8" t="s">
        <v>6351</v>
      </c>
      <c r="F228" s="8" t="s">
        <v>139</v>
      </c>
      <c r="G228" s="8" t="s">
        <v>6352</v>
      </c>
      <c r="H228" s="8">
        <v>36368</v>
      </c>
      <c r="I228" s="8">
        <v>1999</v>
      </c>
      <c r="J228" s="8" t="s">
        <v>6353</v>
      </c>
      <c r="K228" s="8">
        <v>186</v>
      </c>
      <c r="L228" s="8" t="s">
        <v>7257</v>
      </c>
      <c r="M228" s="8">
        <v>1</v>
      </c>
      <c r="N228" s="8"/>
      <c r="O228" s="8"/>
      <c r="P228" s="8" t="s">
        <v>7258</v>
      </c>
      <c r="Q228" s="8">
        <v>371.334</v>
      </c>
      <c r="R228" s="8" t="s">
        <v>7259</v>
      </c>
      <c r="S228" s="8" t="s">
        <v>53</v>
      </c>
      <c r="T228" s="8" t="s">
        <v>54</v>
      </c>
      <c r="U228" s="9"/>
    </row>
    <row r="229" spans="1:21" ht="14.5" x14ac:dyDescent="0.35">
      <c r="A229" s="8" t="s">
        <v>7260</v>
      </c>
      <c r="B229" s="8" t="str">
        <f>"9780415080484"</f>
        <v>9780415080484</v>
      </c>
      <c r="C229" s="8" t="str">
        <f>"9780203038147"</f>
        <v>9780203038147</v>
      </c>
      <c r="D229" s="8" t="s">
        <v>6350</v>
      </c>
      <c r="E229" s="8" t="s">
        <v>6351</v>
      </c>
      <c r="F229" s="8" t="s">
        <v>139</v>
      </c>
      <c r="G229" s="8" t="s">
        <v>6317</v>
      </c>
      <c r="H229" s="8">
        <v>33836</v>
      </c>
      <c r="I229" s="8">
        <v>1992</v>
      </c>
      <c r="J229" s="8" t="s">
        <v>6353</v>
      </c>
      <c r="K229" s="8">
        <v>257</v>
      </c>
      <c r="L229" s="8" t="s">
        <v>7261</v>
      </c>
      <c r="M229" s="8">
        <v>1</v>
      </c>
      <c r="N229" s="8"/>
      <c r="O229" s="8"/>
      <c r="P229" s="8" t="s">
        <v>7262</v>
      </c>
      <c r="Q229" s="8">
        <v>371.14800000000002</v>
      </c>
      <c r="R229" s="8" t="s">
        <v>7263</v>
      </c>
      <c r="S229" s="8" t="s">
        <v>53</v>
      </c>
      <c r="T229" s="8" t="s">
        <v>54</v>
      </c>
      <c r="U229" s="9"/>
    </row>
    <row r="230" spans="1:21" ht="14.5" x14ac:dyDescent="0.35">
      <c r="A230" s="8" t="s">
        <v>7264</v>
      </c>
      <c r="B230" s="8" t="str">
        <f>"9780415112383"</f>
        <v>9780415112383</v>
      </c>
      <c r="C230" s="8" t="str">
        <f>"9780203035689"</f>
        <v>9780203035689</v>
      </c>
      <c r="D230" s="8" t="s">
        <v>6350</v>
      </c>
      <c r="E230" s="8" t="s">
        <v>6351</v>
      </c>
      <c r="F230" s="8" t="s">
        <v>748</v>
      </c>
      <c r="G230" s="8" t="s">
        <v>6352</v>
      </c>
      <c r="H230" s="8">
        <v>35187</v>
      </c>
      <c r="I230" s="8">
        <v>1996</v>
      </c>
      <c r="J230" s="8" t="s">
        <v>6351</v>
      </c>
      <c r="K230" s="8">
        <v>427</v>
      </c>
      <c r="L230" s="8" t="s">
        <v>7265</v>
      </c>
      <c r="M230" s="8">
        <v>1</v>
      </c>
      <c r="N230" s="8"/>
      <c r="O230" s="8"/>
      <c r="P230" s="8" t="s">
        <v>7266</v>
      </c>
      <c r="Q230" s="8">
        <v>379.15409440000002</v>
      </c>
      <c r="R230" s="8" t="s">
        <v>7267</v>
      </c>
      <c r="S230" s="8" t="s">
        <v>53</v>
      </c>
      <c r="T230" s="8" t="s">
        <v>54</v>
      </c>
      <c r="U230" s="9"/>
    </row>
    <row r="231" spans="1:21" ht="14.5" x14ac:dyDescent="0.35">
      <c r="A231" s="8" t="s">
        <v>7268</v>
      </c>
      <c r="B231" s="8" t="str">
        <f>"9780415120227"</f>
        <v>9780415120227</v>
      </c>
      <c r="C231" s="8" t="str">
        <f>"9780203203439"</f>
        <v>9780203203439</v>
      </c>
      <c r="D231" s="8" t="s">
        <v>6350</v>
      </c>
      <c r="E231" s="8" t="s">
        <v>6351</v>
      </c>
      <c r="F231" s="8" t="s">
        <v>139</v>
      </c>
      <c r="G231" s="8" t="s">
        <v>6317</v>
      </c>
      <c r="H231" s="8">
        <v>35740</v>
      </c>
      <c r="I231" s="8">
        <v>1997</v>
      </c>
      <c r="J231" s="8" t="s">
        <v>6353</v>
      </c>
      <c r="K231" s="8">
        <v>235</v>
      </c>
      <c r="L231" s="8" t="s">
        <v>7269</v>
      </c>
      <c r="M231" s="8">
        <v>1</v>
      </c>
      <c r="N231" s="8"/>
      <c r="O231" s="8"/>
      <c r="P231" s="8" t="s">
        <v>7270</v>
      </c>
      <c r="Q231" s="8">
        <v>373.19</v>
      </c>
      <c r="R231" s="8" t="s">
        <v>7271</v>
      </c>
      <c r="S231" s="8" t="s">
        <v>53</v>
      </c>
      <c r="T231" s="8" t="s">
        <v>54</v>
      </c>
      <c r="U231" s="9"/>
    </row>
    <row r="232" spans="1:21" ht="14.5" x14ac:dyDescent="0.35">
      <c r="A232" s="8" t="s">
        <v>7272</v>
      </c>
      <c r="B232" s="8" t="str">
        <f>"9780415158343"</f>
        <v>9780415158343</v>
      </c>
      <c r="C232" s="8" t="str">
        <f>"9780203182772"</f>
        <v>9780203182772</v>
      </c>
      <c r="D232" s="8" t="s">
        <v>6350</v>
      </c>
      <c r="E232" s="8" t="s">
        <v>6351</v>
      </c>
      <c r="F232" s="8" t="s">
        <v>748</v>
      </c>
      <c r="G232" s="8" t="s">
        <v>6352</v>
      </c>
      <c r="H232" s="8">
        <v>37610</v>
      </c>
      <c r="I232" s="8">
        <v>2003</v>
      </c>
      <c r="J232" s="8" t="s">
        <v>6351</v>
      </c>
      <c r="K232" s="8">
        <v>192</v>
      </c>
      <c r="L232" s="8" t="s">
        <v>7273</v>
      </c>
      <c r="M232" s="8">
        <v>1</v>
      </c>
      <c r="N232" s="8"/>
      <c r="O232" s="8"/>
      <c r="P232" s="8" t="s">
        <v>7274</v>
      </c>
      <c r="Q232" s="8">
        <v>371.46</v>
      </c>
      <c r="R232" s="8" t="s">
        <v>7275</v>
      </c>
      <c r="S232" s="8" t="s">
        <v>53</v>
      </c>
      <c r="T232" s="8" t="s">
        <v>54</v>
      </c>
      <c r="U232" s="9"/>
    </row>
    <row r="233" spans="1:21" ht="14.5" x14ac:dyDescent="0.35">
      <c r="A233" s="8" t="s">
        <v>7276</v>
      </c>
      <c r="B233" s="8" t="str">
        <f>"9780415164405"</f>
        <v>9780415164405</v>
      </c>
      <c r="C233" s="8" t="str">
        <f>"9780203005842"</f>
        <v>9780203005842</v>
      </c>
      <c r="D233" s="8" t="s">
        <v>6350</v>
      </c>
      <c r="E233" s="8" t="s">
        <v>6351</v>
      </c>
      <c r="F233" s="8" t="s">
        <v>748</v>
      </c>
      <c r="G233" s="8" t="s">
        <v>6352</v>
      </c>
      <c r="H233" s="8">
        <v>36579</v>
      </c>
      <c r="I233" s="8">
        <v>2000</v>
      </c>
      <c r="J233" s="8" t="s">
        <v>6351</v>
      </c>
      <c r="K233" s="8">
        <v>427</v>
      </c>
      <c r="L233" s="8" t="s">
        <v>7277</v>
      </c>
      <c r="M233" s="8">
        <v>2</v>
      </c>
      <c r="N233" s="8"/>
      <c r="O233" s="8"/>
      <c r="P233" s="8" t="s">
        <v>7278</v>
      </c>
      <c r="Q233" s="8">
        <v>370.94</v>
      </c>
      <c r="R233" s="8" t="s">
        <v>7279</v>
      </c>
      <c r="S233" s="8" t="s">
        <v>53</v>
      </c>
      <c r="T233" s="8" t="s">
        <v>54</v>
      </c>
      <c r="U233" s="9"/>
    </row>
    <row r="234" spans="1:21" ht="14.5" x14ac:dyDescent="0.35">
      <c r="A234" s="8" t="s">
        <v>7280</v>
      </c>
      <c r="B234" s="8" t="str">
        <f>"9780415171519"</f>
        <v>9780415171519</v>
      </c>
      <c r="C234" s="8" t="str">
        <f>"9780203024478"</f>
        <v>9780203024478</v>
      </c>
      <c r="D234" s="8" t="s">
        <v>6350</v>
      </c>
      <c r="E234" s="8" t="s">
        <v>6351</v>
      </c>
      <c r="F234" s="8" t="s">
        <v>139</v>
      </c>
      <c r="G234" s="8" t="s">
        <v>6352</v>
      </c>
      <c r="H234" s="8">
        <v>35851</v>
      </c>
      <c r="I234" s="8">
        <v>1998</v>
      </c>
      <c r="J234" s="8" t="s">
        <v>6353</v>
      </c>
      <c r="K234" s="8">
        <v>377</v>
      </c>
      <c r="L234" s="8" t="s">
        <v>7281</v>
      </c>
      <c r="M234" s="8">
        <v>1</v>
      </c>
      <c r="N234" s="8"/>
      <c r="O234" s="8"/>
      <c r="P234" s="8" t="s">
        <v>7282</v>
      </c>
      <c r="Q234" s="8">
        <v>371.2</v>
      </c>
      <c r="R234" s="8" t="s">
        <v>7283</v>
      </c>
      <c r="S234" s="8" t="s">
        <v>53</v>
      </c>
      <c r="T234" s="8" t="s">
        <v>54</v>
      </c>
      <c r="U234" s="9"/>
    </row>
    <row r="235" spans="1:21" ht="14.5" x14ac:dyDescent="0.35">
      <c r="A235" s="8" t="s">
        <v>7284</v>
      </c>
      <c r="B235" s="8" t="str">
        <f>"9780415172844"</f>
        <v>9780415172844</v>
      </c>
      <c r="C235" s="8" t="str">
        <f>"9780203025567"</f>
        <v>9780203025567</v>
      </c>
      <c r="D235" s="8" t="s">
        <v>6350</v>
      </c>
      <c r="E235" s="8" t="s">
        <v>6351</v>
      </c>
      <c r="F235" s="8" t="s">
        <v>748</v>
      </c>
      <c r="G235" s="8" t="s">
        <v>6352</v>
      </c>
      <c r="H235" s="8">
        <v>35905</v>
      </c>
      <c r="I235" s="8">
        <v>1998</v>
      </c>
      <c r="J235" s="8" t="s">
        <v>6351</v>
      </c>
      <c r="K235" s="8">
        <v>248</v>
      </c>
      <c r="L235" s="8" t="s">
        <v>7285</v>
      </c>
      <c r="M235" s="8">
        <v>1</v>
      </c>
      <c r="N235" s="8"/>
      <c r="O235" s="8"/>
      <c r="P235" s="8" t="s">
        <v>7286</v>
      </c>
      <c r="Q235" s="8" t="s">
        <v>7287</v>
      </c>
      <c r="R235" s="8" t="s">
        <v>7288</v>
      </c>
      <c r="S235" s="8" t="s">
        <v>53</v>
      </c>
      <c r="T235" s="8" t="s">
        <v>6616</v>
      </c>
      <c r="U235" s="9"/>
    </row>
    <row r="236" spans="1:21" ht="14.5" x14ac:dyDescent="0.35">
      <c r="A236" s="8" t="s">
        <v>7289</v>
      </c>
      <c r="B236" s="8" t="str">
        <f>"9780415174961"</f>
        <v>9780415174961</v>
      </c>
      <c r="C236" s="8" t="str">
        <f>"9780203016329"</f>
        <v>9780203016329</v>
      </c>
      <c r="D236" s="8" t="s">
        <v>6350</v>
      </c>
      <c r="E236" s="8" t="s">
        <v>6351</v>
      </c>
      <c r="F236" s="8" t="s">
        <v>139</v>
      </c>
      <c r="G236" s="8" t="s">
        <v>6352</v>
      </c>
      <c r="H236" s="8">
        <v>36285</v>
      </c>
      <c r="I236" s="8">
        <v>1999</v>
      </c>
      <c r="J236" s="8" t="s">
        <v>6353</v>
      </c>
      <c r="K236" s="8">
        <v>224</v>
      </c>
      <c r="L236" s="8" t="s">
        <v>7290</v>
      </c>
      <c r="M236" s="8">
        <v>1</v>
      </c>
      <c r="N236" s="8"/>
      <c r="O236" s="8"/>
      <c r="P236" s="8" t="s">
        <v>7291</v>
      </c>
      <c r="Q236" s="8">
        <v>362.76</v>
      </c>
      <c r="R236" s="8" t="s">
        <v>54</v>
      </c>
      <c r="S236" s="8" t="s">
        <v>53</v>
      </c>
      <c r="T236" s="8" t="s">
        <v>6472</v>
      </c>
      <c r="U236" s="9"/>
    </row>
    <row r="237" spans="1:21" ht="14.5" x14ac:dyDescent="0.35">
      <c r="A237" s="8" t="s">
        <v>7292</v>
      </c>
      <c r="B237" s="8" t="str">
        <f>"9780415194273"</f>
        <v>9780415194273</v>
      </c>
      <c r="C237" s="8" t="str">
        <f>"9780203016862"</f>
        <v>9780203016862</v>
      </c>
      <c r="D237" s="8" t="s">
        <v>6350</v>
      </c>
      <c r="E237" s="8" t="s">
        <v>6351</v>
      </c>
      <c r="F237" s="8" t="s">
        <v>748</v>
      </c>
      <c r="G237" s="8" t="s">
        <v>6352</v>
      </c>
      <c r="H237" s="8">
        <v>36269</v>
      </c>
      <c r="I237" s="8">
        <v>1999</v>
      </c>
      <c r="J237" s="8" t="s">
        <v>6351</v>
      </c>
      <c r="K237" s="8">
        <v>205</v>
      </c>
      <c r="L237" s="8" t="s">
        <v>7293</v>
      </c>
      <c r="M237" s="8">
        <v>1</v>
      </c>
      <c r="N237" s="8"/>
      <c r="O237" s="8"/>
      <c r="P237" s="8" t="s">
        <v>7294</v>
      </c>
      <c r="Q237" s="8">
        <v>371.3</v>
      </c>
      <c r="R237" s="8" t="s">
        <v>7295</v>
      </c>
      <c r="S237" s="8" t="s">
        <v>53</v>
      </c>
      <c r="T237" s="8" t="s">
        <v>54</v>
      </c>
      <c r="U237" s="9"/>
    </row>
    <row r="238" spans="1:21" ht="14.5" x14ac:dyDescent="0.35">
      <c r="A238" s="8" t="s">
        <v>7296</v>
      </c>
      <c r="B238" s="8" t="str">
        <f>"9780415194402"</f>
        <v>9780415194402</v>
      </c>
      <c r="C238" s="8" t="str">
        <f>"9780203018958"</f>
        <v>9780203018958</v>
      </c>
      <c r="D238" s="8" t="s">
        <v>6350</v>
      </c>
      <c r="E238" s="8" t="s">
        <v>6351</v>
      </c>
      <c r="F238" s="8" t="s">
        <v>748</v>
      </c>
      <c r="G238" s="8" t="s">
        <v>6352</v>
      </c>
      <c r="H238" s="8">
        <v>36294</v>
      </c>
      <c r="I238" s="8">
        <v>2002</v>
      </c>
      <c r="J238" s="8" t="s">
        <v>6351</v>
      </c>
      <c r="K238" s="8">
        <v>171</v>
      </c>
      <c r="L238" s="8" t="s">
        <v>7297</v>
      </c>
      <c r="M238" s="8">
        <v>3</v>
      </c>
      <c r="N238" s="8"/>
      <c r="O238" s="8"/>
      <c r="P238" s="8" t="s">
        <v>7298</v>
      </c>
      <c r="Q238" s="8" t="s">
        <v>7299</v>
      </c>
      <c r="R238" s="8" t="s">
        <v>7300</v>
      </c>
      <c r="S238" s="8" t="s">
        <v>53</v>
      </c>
      <c r="T238" s="8" t="s">
        <v>54</v>
      </c>
      <c r="U238" s="9"/>
    </row>
    <row r="239" spans="1:21" ht="14.5" x14ac:dyDescent="0.35">
      <c r="A239" s="8" t="s">
        <v>7301</v>
      </c>
      <c r="B239" s="8" t="str">
        <f>"9780415203036"</f>
        <v>9780415203036</v>
      </c>
      <c r="C239" s="8" t="str">
        <f>"9780203011867"</f>
        <v>9780203011867</v>
      </c>
      <c r="D239" s="8" t="s">
        <v>6350</v>
      </c>
      <c r="E239" s="8" t="s">
        <v>6351</v>
      </c>
      <c r="F239" s="8" t="s">
        <v>139</v>
      </c>
      <c r="G239" s="8" t="s">
        <v>6352</v>
      </c>
      <c r="H239" s="8">
        <v>36557</v>
      </c>
      <c r="I239" s="8">
        <v>1999</v>
      </c>
      <c r="J239" s="8" t="s">
        <v>6353</v>
      </c>
      <c r="K239" s="8">
        <v>302</v>
      </c>
      <c r="L239" s="8" t="s">
        <v>7302</v>
      </c>
      <c r="M239" s="8">
        <v>1</v>
      </c>
      <c r="N239" s="8"/>
      <c r="O239" s="8"/>
      <c r="P239" s="8" t="s">
        <v>7303</v>
      </c>
      <c r="Q239" s="8">
        <v>371.2</v>
      </c>
      <c r="R239" s="8" t="s">
        <v>6738</v>
      </c>
      <c r="S239" s="8" t="s">
        <v>53</v>
      </c>
      <c r="T239" s="8" t="s">
        <v>54</v>
      </c>
      <c r="U239" s="9"/>
    </row>
    <row r="240" spans="1:21" ht="14.5" x14ac:dyDescent="0.35">
      <c r="A240" s="8" t="s">
        <v>7304</v>
      </c>
      <c r="B240" s="8" t="str">
        <f>"9780415151993"</f>
        <v>9780415151993</v>
      </c>
      <c r="C240" s="8" t="str">
        <f>"9780203029220"</f>
        <v>9780203029220</v>
      </c>
      <c r="D240" s="8" t="s">
        <v>6350</v>
      </c>
      <c r="E240" s="8" t="s">
        <v>6351</v>
      </c>
      <c r="F240" s="8" t="s">
        <v>748</v>
      </c>
      <c r="G240" s="8" t="s">
        <v>6352</v>
      </c>
      <c r="H240" s="8">
        <v>35846</v>
      </c>
      <c r="I240" s="8">
        <v>1998</v>
      </c>
      <c r="J240" s="8" t="s">
        <v>6351</v>
      </c>
      <c r="K240" s="8">
        <v>477</v>
      </c>
      <c r="L240" s="8" t="s">
        <v>7305</v>
      </c>
      <c r="M240" s="8">
        <v>1</v>
      </c>
      <c r="N240" s="8"/>
      <c r="O240" s="8"/>
      <c r="P240" s="8" t="s">
        <v>7306</v>
      </c>
      <c r="Q240" s="8" t="s">
        <v>7307</v>
      </c>
      <c r="R240" s="8" t="s">
        <v>7034</v>
      </c>
      <c r="S240" s="8" t="s">
        <v>53</v>
      </c>
      <c r="T240" s="8" t="s">
        <v>54</v>
      </c>
      <c r="U240" s="9"/>
    </row>
    <row r="241" spans="1:21" ht="14.5" x14ac:dyDescent="0.35">
      <c r="A241" s="8" t="s">
        <v>7308</v>
      </c>
      <c r="B241" s="8" t="str">
        <f>"9780415206648"</f>
        <v>9780415206648</v>
      </c>
      <c r="C241" s="8" t="str">
        <f>"9780203021514"</f>
        <v>9780203021514</v>
      </c>
      <c r="D241" s="8" t="s">
        <v>6350</v>
      </c>
      <c r="E241" s="8" t="s">
        <v>6351</v>
      </c>
      <c r="F241" s="8" t="s">
        <v>139</v>
      </c>
      <c r="G241" s="8" t="s">
        <v>6352</v>
      </c>
      <c r="H241" s="8">
        <v>36557</v>
      </c>
      <c r="I241" s="8">
        <v>1999</v>
      </c>
      <c r="J241" s="8" t="s">
        <v>6353</v>
      </c>
      <c r="K241" s="8">
        <v>303</v>
      </c>
      <c r="L241" s="8" t="s">
        <v>7309</v>
      </c>
      <c r="M241" s="8">
        <v>1</v>
      </c>
      <c r="N241" s="8" t="s">
        <v>6788</v>
      </c>
      <c r="O241" s="8"/>
      <c r="P241" s="8">
        <v>99041105</v>
      </c>
      <c r="Q241" s="8" t="s">
        <v>7310</v>
      </c>
      <c r="R241" s="8" t="s">
        <v>7311</v>
      </c>
      <c r="S241" s="8" t="s">
        <v>53</v>
      </c>
      <c r="T241" s="8" t="s">
        <v>6616</v>
      </c>
      <c r="U241" s="9"/>
    </row>
    <row r="242" spans="1:21" ht="14.5" x14ac:dyDescent="0.35">
      <c r="A242" s="8" t="s">
        <v>7312</v>
      </c>
      <c r="B242" s="8" t="str">
        <f>"9780415163170"</f>
        <v>9780415163170</v>
      </c>
      <c r="C242" s="8" t="str">
        <f>"9780203299128"</f>
        <v>9780203299128</v>
      </c>
      <c r="D242" s="8" t="s">
        <v>6350</v>
      </c>
      <c r="E242" s="8" t="s">
        <v>6351</v>
      </c>
      <c r="F242" s="8" t="s">
        <v>5406</v>
      </c>
      <c r="G242" s="8" t="s">
        <v>6317</v>
      </c>
      <c r="H242" s="8">
        <v>36123</v>
      </c>
      <c r="I242" s="8">
        <v>2004</v>
      </c>
      <c r="J242" s="8" t="s">
        <v>6353</v>
      </c>
      <c r="K242" s="8">
        <v>263</v>
      </c>
      <c r="L242" s="8" t="s">
        <v>7313</v>
      </c>
      <c r="M242" s="8">
        <v>1</v>
      </c>
      <c r="N242" s="8" t="s">
        <v>6636</v>
      </c>
      <c r="O242" s="8"/>
      <c r="P242" s="8" t="s">
        <v>7314</v>
      </c>
      <c r="Q242" s="8">
        <v>370.1</v>
      </c>
      <c r="R242" s="8" t="s">
        <v>7315</v>
      </c>
      <c r="S242" s="8" t="s">
        <v>53</v>
      </c>
      <c r="T242" s="8" t="s">
        <v>54</v>
      </c>
      <c r="U242" s="9"/>
    </row>
    <row r="243" spans="1:21" ht="14.5" x14ac:dyDescent="0.35">
      <c r="A243" s="8" t="s">
        <v>7316</v>
      </c>
      <c r="B243" s="8" t="str">
        <f>"9780415227629"</f>
        <v>9780415227629</v>
      </c>
      <c r="C243" s="8" t="str">
        <f>"9780203465714"</f>
        <v>9780203465714</v>
      </c>
      <c r="D243" s="8" t="s">
        <v>6350</v>
      </c>
      <c r="E243" s="8" t="s">
        <v>6351</v>
      </c>
      <c r="F243" s="8" t="s">
        <v>139</v>
      </c>
      <c r="G243" s="8" t="s">
        <v>6352</v>
      </c>
      <c r="H243" s="8">
        <v>37407</v>
      </c>
      <c r="I243" s="8">
        <v>2002</v>
      </c>
      <c r="J243" s="8" t="s">
        <v>6353</v>
      </c>
      <c r="K243" s="8">
        <v>220</v>
      </c>
      <c r="L243" s="8" t="s">
        <v>7317</v>
      </c>
      <c r="M243" s="8">
        <v>1</v>
      </c>
      <c r="N243" s="8" t="s">
        <v>6672</v>
      </c>
      <c r="O243" s="8"/>
      <c r="P243" s="8" t="s">
        <v>7318</v>
      </c>
      <c r="Q243" s="8">
        <v>370.15</v>
      </c>
      <c r="R243" s="8" t="s">
        <v>6415</v>
      </c>
      <c r="S243" s="8" t="s">
        <v>53</v>
      </c>
      <c r="T243" s="8" t="s">
        <v>54</v>
      </c>
      <c r="U243" s="9"/>
    </row>
    <row r="244" spans="1:21" ht="14.5" x14ac:dyDescent="0.35">
      <c r="A244" s="8" t="s">
        <v>7319</v>
      </c>
      <c r="B244" s="8" t="str">
        <f>"9780415132770"</f>
        <v>9780415132770</v>
      </c>
      <c r="C244" s="8" t="str">
        <f>"9780203435694"</f>
        <v>9780203435694</v>
      </c>
      <c r="D244" s="8" t="s">
        <v>6350</v>
      </c>
      <c r="E244" s="8" t="s">
        <v>6351</v>
      </c>
      <c r="F244" s="8" t="s">
        <v>139</v>
      </c>
      <c r="G244" s="8" t="s">
        <v>6352</v>
      </c>
      <c r="H244" s="8">
        <v>35276</v>
      </c>
      <c r="I244" s="8">
        <v>1996</v>
      </c>
      <c r="J244" s="8" t="s">
        <v>6353</v>
      </c>
      <c r="K244" s="8">
        <v>313</v>
      </c>
      <c r="L244" s="8" t="s">
        <v>6610</v>
      </c>
      <c r="M244" s="8">
        <v>1</v>
      </c>
      <c r="N244" s="8"/>
      <c r="O244" s="8"/>
      <c r="P244" s="8" t="s">
        <v>7320</v>
      </c>
      <c r="Q244" s="8" t="s">
        <v>7321</v>
      </c>
      <c r="R244" s="8" t="s">
        <v>7322</v>
      </c>
      <c r="S244" s="8" t="s">
        <v>53</v>
      </c>
      <c r="T244" s="8" t="s">
        <v>54</v>
      </c>
      <c r="U244" s="9"/>
    </row>
    <row r="245" spans="1:21" ht="14.5" x14ac:dyDescent="0.35">
      <c r="A245" s="8" t="s">
        <v>7323</v>
      </c>
      <c r="B245" s="8" t="str">
        <f>"9780415135276"</f>
        <v>9780415135276</v>
      </c>
      <c r="C245" s="8" t="str">
        <f>"9780203436455"</f>
        <v>9780203436455</v>
      </c>
      <c r="D245" s="8" t="s">
        <v>6350</v>
      </c>
      <c r="E245" s="8" t="s">
        <v>6351</v>
      </c>
      <c r="F245" s="8" t="s">
        <v>139</v>
      </c>
      <c r="G245" s="8" t="s">
        <v>6352</v>
      </c>
      <c r="H245" s="8">
        <v>35096</v>
      </c>
      <c r="I245" s="8">
        <v>1995</v>
      </c>
      <c r="J245" s="8" t="s">
        <v>6353</v>
      </c>
      <c r="K245" s="8">
        <v>297</v>
      </c>
      <c r="L245" s="8" t="s">
        <v>7324</v>
      </c>
      <c r="M245" s="8">
        <v>1</v>
      </c>
      <c r="N245" s="8"/>
      <c r="O245" s="8"/>
      <c r="P245" s="8" t="s">
        <v>7325</v>
      </c>
      <c r="Q245" s="8">
        <v>372.1</v>
      </c>
      <c r="R245" s="8" t="s">
        <v>7326</v>
      </c>
      <c r="S245" s="8" t="s">
        <v>53</v>
      </c>
      <c r="T245" s="8" t="s">
        <v>54</v>
      </c>
      <c r="U245" s="9"/>
    </row>
    <row r="246" spans="1:21" ht="14.5" x14ac:dyDescent="0.35">
      <c r="A246" s="8" t="s">
        <v>7327</v>
      </c>
      <c r="B246" s="8" t="str">
        <f>"9780415148979"</f>
        <v>9780415148979</v>
      </c>
      <c r="C246" s="8" t="str">
        <f>"9780203441305"</f>
        <v>9780203441305</v>
      </c>
      <c r="D246" s="8" t="s">
        <v>6350</v>
      </c>
      <c r="E246" s="8" t="s">
        <v>6351</v>
      </c>
      <c r="F246" s="8" t="s">
        <v>139</v>
      </c>
      <c r="G246" s="8" t="s">
        <v>6317</v>
      </c>
      <c r="H246" s="8">
        <v>35764</v>
      </c>
      <c r="I246" s="8">
        <v>1997</v>
      </c>
      <c r="J246" s="8" t="s">
        <v>6353</v>
      </c>
      <c r="K246" s="8">
        <v>161</v>
      </c>
      <c r="L246" s="8" t="s">
        <v>7328</v>
      </c>
      <c r="M246" s="8">
        <v>1</v>
      </c>
      <c r="N246" s="8"/>
      <c r="O246" s="8"/>
      <c r="P246" s="8" t="s">
        <v>7329</v>
      </c>
      <c r="Q246" s="8" t="s">
        <v>7330</v>
      </c>
      <c r="R246" s="8" t="s">
        <v>7331</v>
      </c>
      <c r="S246" s="8" t="s">
        <v>53</v>
      </c>
      <c r="T246" s="8" t="s">
        <v>54</v>
      </c>
      <c r="U246" s="9"/>
    </row>
    <row r="247" spans="1:21" ht="14.5" x14ac:dyDescent="0.35">
      <c r="A247" s="8" t="s">
        <v>7332</v>
      </c>
      <c r="B247" s="8" t="str">
        <f>"9780415922753"</f>
        <v>9780415922753</v>
      </c>
      <c r="C247" s="8" t="str">
        <f>"9780203902257"</f>
        <v>9780203902257</v>
      </c>
      <c r="D247" s="8" t="s">
        <v>6350</v>
      </c>
      <c r="E247" s="8" t="s">
        <v>6351</v>
      </c>
      <c r="F247" s="8" t="s">
        <v>139</v>
      </c>
      <c r="G247" s="8" t="s">
        <v>6352</v>
      </c>
      <c r="H247" s="8">
        <v>36516</v>
      </c>
      <c r="I247" s="8">
        <v>2000</v>
      </c>
      <c r="J247" s="8" t="s">
        <v>6353</v>
      </c>
      <c r="K247" s="8">
        <v>329</v>
      </c>
      <c r="L247" s="8" t="s">
        <v>7333</v>
      </c>
      <c r="M247" s="8">
        <v>1</v>
      </c>
      <c r="N247" s="8"/>
      <c r="O247" s="8"/>
      <c r="P247" s="8" t="s">
        <v>7334</v>
      </c>
      <c r="Q247" s="8" t="s">
        <v>7335</v>
      </c>
      <c r="R247" s="8" t="s">
        <v>7051</v>
      </c>
      <c r="S247" s="8" t="s">
        <v>53</v>
      </c>
      <c r="T247" s="8" t="s">
        <v>54</v>
      </c>
      <c r="U247" s="9"/>
    </row>
    <row r="248" spans="1:21" ht="14.5" x14ac:dyDescent="0.35">
      <c r="A248" s="8" t="s">
        <v>7336</v>
      </c>
      <c r="B248" s="8" t="str">
        <f>"9780419182504"</f>
        <v>9780419182504</v>
      </c>
      <c r="C248" s="8" t="str">
        <f>"9780203474471"</f>
        <v>9780203474471</v>
      </c>
      <c r="D248" s="8" t="s">
        <v>6350</v>
      </c>
      <c r="E248" s="8" t="s">
        <v>6351</v>
      </c>
      <c r="F248" s="8" t="s">
        <v>139</v>
      </c>
      <c r="G248" s="8" t="s">
        <v>6352</v>
      </c>
      <c r="H248" s="8">
        <v>34034</v>
      </c>
      <c r="I248" s="8">
        <v>1993</v>
      </c>
      <c r="J248" s="8" t="s">
        <v>6353</v>
      </c>
      <c r="K248" s="8">
        <v>328</v>
      </c>
      <c r="L248" s="8" t="s">
        <v>7337</v>
      </c>
      <c r="M248" s="8">
        <v>1</v>
      </c>
      <c r="N248" s="8"/>
      <c r="O248" s="8"/>
      <c r="P248" s="8" t="s">
        <v>7338</v>
      </c>
      <c r="Q248" s="8">
        <v>796.077</v>
      </c>
      <c r="R248" s="8" t="s">
        <v>7339</v>
      </c>
      <c r="S248" s="8" t="s">
        <v>53</v>
      </c>
      <c r="T248" s="8" t="s">
        <v>7340</v>
      </c>
      <c r="U248" s="9"/>
    </row>
    <row r="249" spans="1:21" ht="14.5" x14ac:dyDescent="0.35">
      <c r="A249" s="8" t="s">
        <v>7341</v>
      </c>
      <c r="B249" s="8" t="str">
        <f>"9780419219507"</f>
        <v>9780419219507</v>
      </c>
      <c r="C249" s="8" t="str">
        <f>"9780203476932"</f>
        <v>9780203476932</v>
      </c>
      <c r="D249" s="8" t="s">
        <v>6350</v>
      </c>
      <c r="E249" s="8" t="s">
        <v>6351</v>
      </c>
      <c r="F249" s="8" t="s">
        <v>139</v>
      </c>
      <c r="G249" s="8" t="s">
        <v>6352</v>
      </c>
      <c r="H249" s="8">
        <v>36588</v>
      </c>
      <c r="I249" s="8">
        <v>1999</v>
      </c>
      <c r="J249" s="8" t="s">
        <v>6353</v>
      </c>
      <c r="K249" s="8">
        <v>171</v>
      </c>
      <c r="L249" s="8" t="s">
        <v>7342</v>
      </c>
      <c r="M249" s="8">
        <v>1</v>
      </c>
      <c r="N249" s="8"/>
      <c r="O249" s="8"/>
      <c r="P249" s="8" t="s">
        <v>7343</v>
      </c>
      <c r="Q249" s="8">
        <v>613.71071099999995</v>
      </c>
      <c r="R249" s="8" t="s">
        <v>7344</v>
      </c>
      <c r="S249" s="8" t="s">
        <v>53</v>
      </c>
      <c r="T249" s="8" t="s">
        <v>7023</v>
      </c>
      <c r="U249" s="9"/>
    </row>
    <row r="250" spans="1:21" ht="14.5" x14ac:dyDescent="0.35">
      <c r="A250" s="8" t="s">
        <v>7345</v>
      </c>
      <c r="B250" s="8" t="str">
        <f>"9780419220305"</f>
        <v>9780419220305</v>
      </c>
      <c r="C250" s="8" t="str">
        <f>"9780203476994"</f>
        <v>9780203476994</v>
      </c>
      <c r="D250" s="8" t="s">
        <v>6350</v>
      </c>
      <c r="E250" s="8" t="s">
        <v>6351</v>
      </c>
      <c r="F250" s="8" t="s">
        <v>139</v>
      </c>
      <c r="G250" s="8" t="s">
        <v>6352</v>
      </c>
      <c r="H250" s="8">
        <v>36493</v>
      </c>
      <c r="I250" s="8">
        <v>1999</v>
      </c>
      <c r="J250" s="8" t="s">
        <v>6353</v>
      </c>
      <c r="K250" s="8">
        <v>299</v>
      </c>
      <c r="L250" s="8" t="s">
        <v>7346</v>
      </c>
      <c r="M250" s="8">
        <v>1</v>
      </c>
      <c r="N250" s="8"/>
      <c r="O250" s="8"/>
      <c r="P250" s="8">
        <v>98051481</v>
      </c>
      <c r="Q250" s="8">
        <v>306.483</v>
      </c>
      <c r="R250" s="8" t="s">
        <v>7347</v>
      </c>
      <c r="S250" s="8" t="s">
        <v>53</v>
      </c>
      <c r="T250" s="8" t="s">
        <v>6363</v>
      </c>
      <c r="U250" s="9"/>
    </row>
    <row r="251" spans="1:21" ht="14.5" x14ac:dyDescent="0.35">
      <c r="A251" s="8" t="s">
        <v>7348</v>
      </c>
      <c r="B251" s="8" t="str">
        <f>"9780750701556"</f>
        <v>9780750701556</v>
      </c>
      <c r="C251" s="8" t="str">
        <f>"9780203485538"</f>
        <v>9780203485538</v>
      </c>
      <c r="D251" s="8" t="s">
        <v>6350</v>
      </c>
      <c r="E251" s="8" t="s">
        <v>6351</v>
      </c>
      <c r="F251" s="8" t="s">
        <v>139</v>
      </c>
      <c r="G251" s="8" t="s">
        <v>6317</v>
      </c>
      <c r="H251" s="8">
        <v>34090</v>
      </c>
      <c r="I251" s="8">
        <v>1993</v>
      </c>
      <c r="J251" s="8" t="s">
        <v>6353</v>
      </c>
      <c r="K251" s="8">
        <v>262</v>
      </c>
      <c r="L251" s="8" t="s">
        <v>7349</v>
      </c>
      <c r="M251" s="8">
        <v>1</v>
      </c>
      <c r="N251" s="8"/>
      <c r="O251" s="8"/>
      <c r="P251" s="8" t="s">
        <v>7350</v>
      </c>
      <c r="Q251" s="8">
        <v>372.7</v>
      </c>
      <c r="R251" s="8" t="s">
        <v>7351</v>
      </c>
      <c r="S251" s="8" t="s">
        <v>53</v>
      </c>
      <c r="T251" s="8" t="s">
        <v>6448</v>
      </c>
      <c r="U251" s="9"/>
    </row>
    <row r="252" spans="1:21" ht="14.5" x14ac:dyDescent="0.35">
      <c r="A252" s="8" t="s">
        <v>7352</v>
      </c>
      <c r="B252" s="8" t="str">
        <f>"9780750704670"</f>
        <v>9780750704670</v>
      </c>
      <c r="C252" s="8" t="str">
        <f>"9780203453766"</f>
        <v>9780203453766</v>
      </c>
      <c r="D252" s="8" t="s">
        <v>6350</v>
      </c>
      <c r="E252" s="8" t="s">
        <v>6351</v>
      </c>
      <c r="F252" s="8" t="s">
        <v>748</v>
      </c>
      <c r="G252" s="8" t="s">
        <v>6352</v>
      </c>
      <c r="H252" s="8">
        <v>34943</v>
      </c>
      <c r="I252" s="8">
        <v>1995</v>
      </c>
      <c r="J252" s="8" t="s">
        <v>6351</v>
      </c>
      <c r="K252" s="8">
        <v>241</v>
      </c>
      <c r="L252" s="8" t="s">
        <v>7353</v>
      </c>
      <c r="M252" s="8">
        <v>1</v>
      </c>
      <c r="N252" s="8"/>
      <c r="O252" s="8"/>
      <c r="P252" s="8" t="s">
        <v>7354</v>
      </c>
      <c r="Q252" s="8">
        <v>372.19094100000001</v>
      </c>
      <c r="R252" s="8" t="s">
        <v>7355</v>
      </c>
      <c r="S252" s="8" t="s">
        <v>53</v>
      </c>
      <c r="T252" s="8" t="s">
        <v>54</v>
      </c>
      <c r="U252" s="9"/>
    </row>
    <row r="253" spans="1:21" ht="14.5" x14ac:dyDescent="0.35">
      <c r="A253" s="8" t="s">
        <v>7356</v>
      </c>
      <c r="B253" s="8" t="str">
        <f>"9780815313946"</f>
        <v>9780815313946</v>
      </c>
      <c r="C253" s="8" t="str">
        <f>"9780203905081"</f>
        <v>9780203905081</v>
      </c>
      <c r="D253" s="8" t="s">
        <v>6350</v>
      </c>
      <c r="E253" s="8" t="s">
        <v>6351</v>
      </c>
      <c r="F253" s="8" t="s">
        <v>748</v>
      </c>
      <c r="G253" s="8" t="s">
        <v>6352</v>
      </c>
      <c r="H253" s="8">
        <v>35125</v>
      </c>
      <c r="I253" s="8">
        <v>2000</v>
      </c>
      <c r="J253" s="8" t="s">
        <v>6351</v>
      </c>
      <c r="K253" s="8">
        <v>325</v>
      </c>
      <c r="L253" s="8" t="s">
        <v>7357</v>
      </c>
      <c r="M253" s="8">
        <v>1</v>
      </c>
      <c r="N253" s="8" t="s">
        <v>7358</v>
      </c>
      <c r="O253" s="8"/>
      <c r="P253" s="8" t="s">
        <v>7359</v>
      </c>
      <c r="Q253" s="8">
        <v>370.91723999999999</v>
      </c>
      <c r="R253" s="8" t="s">
        <v>7360</v>
      </c>
      <c r="S253" s="8" t="s">
        <v>53</v>
      </c>
      <c r="T253" s="8" t="s">
        <v>54</v>
      </c>
      <c r="U253" s="9"/>
    </row>
    <row r="254" spans="1:21" ht="14.5" x14ac:dyDescent="0.35">
      <c r="A254" s="8" t="s">
        <v>7361</v>
      </c>
      <c r="B254" s="8" t="str">
        <f>"9780815319573"</f>
        <v>9780815319573</v>
      </c>
      <c r="C254" s="8" t="str">
        <f>"9780203905074"</f>
        <v>9780203905074</v>
      </c>
      <c r="D254" s="8" t="s">
        <v>6350</v>
      </c>
      <c r="E254" s="8" t="s">
        <v>6351</v>
      </c>
      <c r="F254" s="8" t="s">
        <v>139</v>
      </c>
      <c r="G254" s="8" t="s">
        <v>6317</v>
      </c>
      <c r="H254" s="8">
        <v>36495</v>
      </c>
      <c r="I254" s="8">
        <v>2000</v>
      </c>
      <c r="J254" s="8" t="s">
        <v>6353</v>
      </c>
      <c r="K254" s="8">
        <v>277</v>
      </c>
      <c r="L254" s="8" t="s">
        <v>7362</v>
      </c>
      <c r="M254" s="8">
        <v>1</v>
      </c>
      <c r="N254" s="8" t="s">
        <v>7363</v>
      </c>
      <c r="O254" s="8">
        <v>17</v>
      </c>
      <c r="P254" s="8" t="s">
        <v>7364</v>
      </c>
      <c r="Q254" s="8">
        <v>378.51949999999999</v>
      </c>
      <c r="R254" s="8" t="s">
        <v>7365</v>
      </c>
      <c r="S254" s="8" t="s">
        <v>53</v>
      </c>
      <c r="T254" s="8" t="s">
        <v>54</v>
      </c>
      <c r="U254" s="9"/>
    </row>
    <row r="255" spans="1:21" ht="14.5" x14ac:dyDescent="0.35">
      <c r="A255" s="8" t="s">
        <v>7366</v>
      </c>
      <c r="B255" s="8" t="str">
        <f>"9780815324676"</f>
        <v>9780815324676</v>
      </c>
      <c r="C255" s="8" t="str">
        <f>"9780203905067"</f>
        <v>9780203905067</v>
      </c>
      <c r="D255" s="8" t="s">
        <v>6350</v>
      </c>
      <c r="E255" s="8" t="s">
        <v>6351</v>
      </c>
      <c r="F255" s="8" t="s">
        <v>139</v>
      </c>
      <c r="G255" s="8" t="s">
        <v>6317</v>
      </c>
      <c r="H255" s="8">
        <v>36251</v>
      </c>
      <c r="I255" s="8">
        <v>1999</v>
      </c>
      <c r="J255" s="8" t="s">
        <v>6353</v>
      </c>
      <c r="K255" s="8">
        <v>277</v>
      </c>
      <c r="L255" s="8" t="s">
        <v>7367</v>
      </c>
      <c r="M255" s="8">
        <v>1</v>
      </c>
      <c r="N255" s="8" t="s">
        <v>7368</v>
      </c>
      <c r="O255" s="8"/>
      <c r="P255" s="8" t="s">
        <v>7369</v>
      </c>
      <c r="Q255" s="8">
        <v>371.822</v>
      </c>
      <c r="R255" s="8" t="s">
        <v>7370</v>
      </c>
      <c r="S255" s="8" t="s">
        <v>53</v>
      </c>
      <c r="T255" s="8" t="s">
        <v>54</v>
      </c>
      <c r="U255" s="9"/>
    </row>
    <row r="256" spans="1:21" ht="14.5" x14ac:dyDescent="0.35">
      <c r="A256" s="8" t="s">
        <v>7371</v>
      </c>
      <c r="B256" s="8" t="str">
        <f>"9780815325727"</f>
        <v>9780815325727</v>
      </c>
      <c r="C256" s="8" t="str">
        <f>"9780203904909"</f>
        <v>9780203904909</v>
      </c>
      <c r="D256" s="8" t="s">
        <v>6350</v>
      </c>
      <c r="E256" s="8" t="s">
        <v>6351</v>
      </c>
      <c r="F256" s="8" t="s">
        <v>139</v>
      </c>
      <c r="G256" s="8" t="s">
        <v>6317</v>
      </c>
      <c r="H256" s="8">
        <v>36846</v>
      </c>
      <c r="I256" s="8">
        <v>2001</v>
      </c>
      <c r="J256" s="8" t="s">
        <v>6353</v>
      </c>
      <c r="K256" s="8">
        <v>281</v>
      </c>
      <c r="L256" s="8" t="s">
        <v>7372</v>
      </c>
      <c r="M256" s="8">
        <v>1</v>
      </c>
      <c r="N256" s="8" t="s">
        <v>7373</v>
      </c>
      <c r="O256" s="8"/>
      <c r="P256" s="8" t="s">
        <v>7374</v>
      </c>
      <c r="Q256" s="8" t="s">
        <v>7375</v>
      </c>
      <c r="R256" s="8" t="s">
        <v>7376</v>
      </c>
      <c r="S256" s="8" t="s">
        <v>53</v>
      </c>
      <c r="T256" s="8" t="s">
        <v>54</v>
      </c>
      <c r="U256" s="9"/>
    </row>
    <row r="257" spans="1:21" ht="14.5" x14ac:dyDescent="0.35">
      <c r="A257" s="8" t="s">
        <v>7377</v>
      </c>
      <c r="B257" s="8" t="str">
        <f>"9780815325956"</f>
        <v>9780815325956</v>
      </c>
      <c r="C257" s="8" t="str">
        <f>"9780203905050"</f>
        <v>9780203905050</v>
      </c>
      <c r="D257" s="8" t="s">
        <v>6350</v>
      </c>
      <c r="E257" s="8" t="s">
        <v>6351</v>
      </c>
      <c r="F257" s="8" t="s">
        <v>139</v>
      </c>
      <c r="G257" s="8" t="s">
        <v>6317</v>
      </c>
      <c r="H257" s="8">
        <v>36312</v>
      </c>
      <c r="I257" s="8">
        <v>1999</v>
      </c>
      <c r="J257" s="8" t="s">
        <v>6353</v>
      </c>
      <c r="K257" s="8">
        <v>139</v>
      </c>
      <c r="L257" s="8" t="s">
        <v>7378</v>
      </c>
      <c r="M257" s="8">
        <v>1</v>
      </c>
      <c r="N257" s="8" t="s">
        <v>7379</v>
      </c>
      <c r="O257" s="8"/>
      <c r="P257" s="8" t="s">
        <v>7380</v>
      </c>
      <c r="Q257" s="8" t="s">
        <v>7381</v>
      </c>
      <c r="R257" s="8" t="s">
        <v>7382</v>
      </c>
      <c r="S257" s="8" t="s">
        <v>53</v>
      </c>
      <c r="T257" s="8" t="s">
        <v>7383</v>
      </c>
      <c r="U257" s="9"/>
    </row>
    <row r="258" spans="1:21" ht="14.5" x14ac:dyDescent="0.35">
      <c r="A258" s="8" t="s">
        <v>7384</v>
      </c>
      <c r="B258" s="8" t="str">
        <f>"9780815331520"</f>
        <v>9780815331520</v>
      </c>
      <c r="C258" s="8" t="str">
        <f>"9780203905029"</f>
        <v>9780203905029</v>
      </c>
      <c r="D258" s="8" t="s">
        <v>6350</v>
      </c>
      <c r="E258" s="8" t="s">
        <v>6351</v>
      </c>
      <c r="F258" s="8" t="s">
        <v>7385</v>
      </c>
      <c r="G258" s="8" t="s">
        <v>6317</v>
      </c>
      <c r="H258" s="8">
        <v>36434</v>
      </c>
      <c r="I258" s="8">
        <v>2000</v>
      </c>
      <c r="J258" s="8" t="s">
        <v>6353</v>
      </c>
      <c r="K258" s="8">
        <v>385</v>
      </c>
      <c r="L258" s="8" t="s">
        <v>7386</v>
      </c>
      <c r="M258" s="8">
        <v>1</v>
      </c>
      <c r="N258" s="8" t="s">
        <v>7387</v>
      </c>
      <c r="O258" s="8"/>
      <c r="P258" s="8">
        <v>99032108</v>
      </c>
      <c r="Q258" s="8">
        <v>808.04206999999997</v>
      </c>
      <c r="R258" s="8" t="s">
        <v>6539</v>
      </c>
      <c r="S258" s="8" t="s">
        <v>53</v>
      </c>
      <c r="T258" s="8" t="s">
        <v>1166</v>
      </c>
      <c r="U258" s="9"/>
    </row>
    <row r="259" spans="1:21" ht="14.5" x14ac:dyDescent="0.35">
      <c r="A259" s="8" t="s">
        <v>7388</v>
      </c>
      <c r="B259" s="8" t="str">
        <f>"9780415197915"</f>
        <v>9780415197915</v>
      </c>
      <c r="C259" s="8" t="str">
        <f>"9780203018569"</f>
        <v>9780203018569</v>
      </c>
      <c r="D259" s="8" t="s">
        <v>6350</v>
      </c>
      <c r="E259" s="8" t="s">
        <v>6351</v>
      </c>
      <c r="F259" s="8" t="s">
        <v>748</v>
      </c>
      <c r="G259" s="8" t="s">
        <v>6352</v>
      </c>
      <c r="H259" s="8">
        <v>36266</v>
      </c>
      <c r="I259" s="8">
        <v>1999</v>
      </c>
      <c r="J259" s="8" t="s">
        <v>6351</v>
      </c>
      <c r="K259" s="8">
        <v>328</v>
      </c>
      <c r="L259" s="8" t="s">
        <v>7389</v>
      </c>
      <c r="M259" s="8">
        <v>1</v>
      </c>
      <c r="N259" s="8"/>
      <c r="O259" s="8"/>
      <c r="P259" s="8" t="s">
        <v>7390</v>
      </c>
      <c r="Q259" s="8" t="s">
        <v>7391</v>
      </c>
      <c r="R259" s="8" t="s">
        <v>7392</v>
      </c>
      <c r="S259" s="8" t="s">
        <v>53</v>
      </c>
      <c r="T259" s="8" t="s">
        <v>54</v>
      </c>
      <c r="U259" s="9"/>
    </row>
    <row r="260" spans="1:21" ht="14.5" x14ac:dyDescent="0.35">
      <c r="A260" s="8" t="s">
        <v>7393</v>
      </c>
      <c r="B260" s="8" t="str">
        <f>"9780815331575"</f>
        <v>9780815331575</v>
      </c>
      <c r="C260" s="8" t="str">
        <f>"9780203906804"</f>
        <v>9780203906804</v>
      </c>
      <c r="D260" s="8" t="s">
        <v>6350</v>
      </c>
      <c r="E260" s="8" t="s">
        <v>6351</v>
      </c>
      <c r="F260" s="8" t="s">
        <v>7385</v>
      </c>
      <c r="G260" s="8" t="s">
        <v>6317</v>
      </c>
      <c r="H260" s="8">
        <v>36342</v>
      </c>
      <c r="I260" s="8">
        <v>1999</v>
      </c>
      <c r="J260" s="8" t="s">
        <v>6353</v>
      </c>
      <c r="K260" s="8">
        <v>399</v>
      </c>
      <c r="L260" s="8" t="s">
        <v>7394</v>
      </c>
      <c r="M260" s="8">
        <v>1</v>
      </c>
      <c r="N260" s="8" t="s">
        <v>7395</v>
      </c>
      <c r="O260" s="8"/>
      <c r="P260" s="8" t="s">
        <v>7396</v>
      </c>
      <c r="Q260" s="8" t="s">
        <v>7397</v>
      </c>
      <c r="R260" s="8" t="s">
        <v>7398</v>
      </c>
      <c r="S260" s="8" t="s">
        <v>53</v>
      </c>
      <c r="T260" s="8" t="s">
        <v>6363</v>
      </c>
      <c r="U260" s="9"/>
    </row>
    <row r="261" spans="1:21" ht="14.5" x14ac:dyDescent="0.35">
      <c r="A261" s="8" t="s">
        <v>7399</v>
      </c>
      <c r="B261" s="8" t="str">
        <f>"9780415230148"</f>
        <v>9780415230148</v>
      </c>
      <c r="C261" s="8" t="str">
        <f>"9780203165850"</f>
        <v>9780203165850</v>
      </c>
      <c r="D261" s="8" t="s">
        <v>6350</v>
      </c>
      <c r="E261" s="8" t="s">
        <v>6351</v>
      </c>
      <c r="F261" s="8" t="s">
        <v>139</v>
      </c>
      <c r="G261" s="8" t="s">
        <v>6352</v>
      </c>
      <c r="H261" s="8">
        <v>36832</v>
      </c>
      <c r="I261" s="8">
        <v>2000</v>
      </c>
      <c r="J261" s="8" t="s">
        <v>6353</v>
      </c>
      <c r="K261" s="8">
        <v>215</v>
      </c>
      <c r="L261" s="8" t="s">
        <v>7400</v>
      </c>
      <c r="M261" s="8">
        <v>1</v>
      </c>
      <c r="N261" s="8"/>
      <c r="O261" s="8"/>
      <c r="P261" s="8" t="s">
        <v>7401</v>
      </c>
      <c r="Q261" s="8">
        <v>379.15809400000001</v>
      </c>
      <c r="R261" s="8" t="s">
        <v>7070</v>
      </c>
      <c r="S261" s="8" t="s">
        <v>53</v>
      </c>
      <c r="T261" s="8" t="s">
        <v>54</v>
      </c>
      <c r="U261" s="9"/>
    </row>
    <row r="262" spans="1:21" ht="14.5" x14ac:dyDescent="0.35">
      <c r="A262" s="8" t="s">
        <v>7402</v>
      </c>
      <c r="B262" s="8" t="str">
        <f>"9780415230841"</f>
        <v>9780415230841</v>
      </c>
      <c r="C262" s="8" t="str">
        <f>"9780203165805"</f>
        <v>9780203165805</v>
      </c>
      <c r="D262" s="8" t="s">
        <v>6350</v>
      </c>
      <c r="E262" s="8" t="s">
        <v>6351</v>
      </c>
      <c r="F262" s="8" t="s">
        <v>139</v>
      </c>
      <c r="G262" s="8" t="s">
        <v>6352</v>
      </c>
      <c r="H262" s="8">
        <v>37643</v>
      </c>
      <c r="I262" s="8">
        <v>2003</v>
      </c>
      <c r="J262" s="8" t="s">
        <v>6353</v>
      </c>
      <c r="K262" s="8">
        <v>128</v>
      </c>
      <c r="L262" s="8" t="s">
        <v>7403</v>
      </c>
      <c r="M262" s="8">
        <v>1</v>
      </c>
      <c r="N262" s="8"/>
      <c r="O262" s="8"/>
      <c r="P262" s="8" t="s">
        <v>7404</v>
      </c>
      <c r="Q262" s="8">
        <v>370.1</v>
      </c>
      <c r="R262" s="8" t="s">
        <v>7405</v>
      </c>
      <c r="S262" s="8" t="s">
        <v>53</v>
      </c>
      <c r="T262" s="8" t="s">
        <v>54</v>
      </c>
      <c r="U262" s="9"/>
    </row>
    <row r="263" spans="1:21" ht="14.5" x14ac:dyDescent="0.35">
      <c r="A263" s="8" t="s">
        <v>7406</v>
      </c>
      <c r="B263" s="8" t="str">
        <f>"9780415268394"</f>
        <v>9780415268394</v>
      </c>
      <c r="C263" s="8" t="str">
        <f>"9780203166536"</f>
        <v>9780203166536</v>
      </c>
      <c r="D263" s="8" t="s">
        <v>6350</v>
      </c>
      <c r="E263" s="8" t="s">
        <v>6351</v>
      </c>
      <c r="F263" s="8" t="s">
        <v>339</v>
      </c>
      <c r="G263" s="8" t="s">
        <v>6352</v>
      </c>
      <c r="H263" s="8">
        <v>37351</v>
      </c>
      <c r="I263" s="8">
        <v>2002</v>
      </c>
      <c r="J263" s="8" t="s">
        <v>6353</v>
      </c>
      <c r="K263" s="8">
        <v>267</v>
      </c>
      <c r="L263" s="8" t="s">
        <v>7407</v>
      </c>
      <c r="M263" s="8">
        <v>1</v>
      </c>
      <c r="N263" s="8" t="s">
        <v>7408</v>
      </c>
      <c r="O263" s="8">
        <v>3</v>
      </c>
      <c r="P263" s="8" t="s">
        <v>7409</v>
      </c>
      <c r="Q263" s="8">
        <v>306.43</v>
      </c>
      <c r="R263" s="8" t="s">
        <v>6558</v>
      </c>
      <c r="S263" s="8" t="s">
        <v>53</v>
      </c>
      <c r="T263" s="8" t="s">
        <v>6472</v>
      </c>
      <c r="U263" s="9"/>
    </row>
    <row r="264" spans="1:21" ht="14.5" x14ac:dyDescent="0.35">
      <c r="A264" s="8" t="s">
        <v>7410</v>
      </c>
      <c r="B264" s="8" t="str">
        <f>"9780415276726"</f>
        <v>9780415276726</v>
      </c>
      <c r="C264" s="8" t="str">
        <f>"9780203219331"</f>
        <v>9780203219331</v>
      </c>
      <c r="D264" s="8" t="s">
        <v>6350</v>
      </c>
      <c r="E264" s="8" t="s">
        <v>6351</v>
      </c>
      <c r="F264" s="8" t="s">
        <v>748</v>
      </c>
      <c r="G264" s="8" t="s">
        <v>6352</v>
      </c>
      <c r="H264" s="8">
        <v>37392</v>
      </c>
      <c r="I264" s="8">
        <v>2002</v>
      </c>
      <c r="J264" s="8" t="s">
        <v>6351</v>
      </c>
      <c r="K264" s="8">
        <v>164</v>
      </c>
      <c r="L264" s="8" t="s">
        <v>7411</v>
      </c>
      <c r="M264" s="8">
        <v>1</v>
      </c>
      <c r="N264" s="8"/>
      <c r="O264" s="8"/>
      <c r="P264" s="8" t="s">
        <v>7412</v>
      </c>
      <c r="Q264" s="8">
        <v>370.11</v>
      </c>
      <c r="R264" s="8" t="s">
        <v>7413</v>
      </c>
      <c r="S264" s="8" t="s">
        <v>53</v>
      </c>
      <c r="T264" s="8" t="s">
        <v>54</v>
      </c>
      <c r="U264" s="9"/>
    </row>
    <row r="265" spans="1:21" ht="14.5" x14ac:dyDescent="0.35">
      <c r="A265" s="8" t="s">
        <v>7414</v>
      </c>
      <c r="B265" s="8" t="str">
        <f>"9780700512669"</f>
        <v>9780700512669</v>
      </c>
      <c r="C265" s="8" t="str">
        <f>"9780203220795"</f>
        <v>9780203220795</v>
      </c>
      <c r="D265" s="8" t="s">
        <v>6350</v>
      </c>
      <c r="E265" s="8" t="s">
        <v>6351</v>
      </c>
      <c r="F265" s="8" t="s">
        <v>748</v>
      </c>
      <c r="G265" s="8" t="s">
        <v>6352</v>
      </c>
      <c r="H265" s="8">
        <v>33471</v>
      </c>
      <c r="I265" s="8">
        <v>1991</v>
      </c>
      <c r="J265" s="8" t="s">
        <v>6351</v>
      </c>
      <c r="K265" s="8">
        <v>185</v>
      </c>
      <c r="L265" s="8" t="s">
        <v>7415</v>
      </c>
      <c r="M265" s="8">
        <v>1</v>
      </c>
      <c r="N265" s="8"/>
      <c r="O265" s="8"/>
      <c r="P265" s="8">
        <v>92120361</v>
      </c>
      <c r="Q265" s="8">
        <v>371.90940999999998</v>
      </c>
      <c r="R265" s="8" t="s">
        <v>7416</v>
      </c>
      <c r="S265" s="8" t="s">
        <v>53</v>
      </c>
      <c r="T265" s="8" t="s">
        <v>54</v>
      </c>
      <c r="U265" s="9"/>
    </row>
    <row r="266" spans="1:21" ht="14.5" x14ac:dyDescent="0.35">
      <c r="A266" s="8" t="s">
        <v>7417</v>
      </c>
      <c r="B266" s="8" t="str">
        <f>"9780710213181"</f>
        <v>9780710213181</v>
      </c>
      <c r="C266" s="8" t="str">
        <f>"9780203222034"</f>
        <v>9780203222034</v>
      </c>
      <c r="D266" s="8" t="s">
        <v>6350</v>
      </c>
      <c r="E266" s="8" t="s">
        <v>6351</v>
      </c>
      <c r="F266" s="8" t="s">
        <v>139</v>
      </c>
      <c r="G266" s="8" t="s">
        <v>6352</v>
      </c>
      <c r="H266" s="8">
        <v>32058</v>
      </c>
      <c r="I266" s="8">
        <v>1987</v>
      </c>
      <c r="J266" s="8" t="s">
        <v>6353</v>
      </c>
      <c r="K266" s="8">
        <v>257</v>
      </c>
      <c r="L266" s="8" t="s">
        <v>7418</v>
      </c>
      <c r="M266" s="8">
        <v>1</v>
      </c>
      <c r="N266" s="8"/>
      <c r="O266" s="8"/>
      <c r="P266" s="8" t="s">
        <v>7419</v>
      </c>
      <c r="Q266" s="8" t="s">
        <v>7420</v>
      </c>
      <c r="R266" s="8" t="s">
        <v>7421</v>
      </c>
      <c r="S266" s="8" t="s">
        <v>53</v>
      </c>
      <c r="T266" s="8" t="s">
        <v>54</v>
      </c>
      <c r="U266" s="9"/>
    </row>
    <row r="267" spans="1:21" ht="14.5" x14ac:dyDescent="0.35">
      <c r="A267" s="8" t="s">
        <v>7422</v>
      </c>
      <c r="B267" s="8" t="str">
        <f>"9780750706872"</f>
        <v>9780750706872</v>
      </c>
      <c r="C267" s="8" t="str">
        <f>"9780203486467"</f>
        <v>9780203486467</v>
      </c>
      <c r="D267" s="8" t="s">
        <v>6350</v>
      </c>
      <c r="E267" s="8" t="s">
        <v>6351</v>
      </c>
      <c r="F267" s="8" t="s">
        <v>748</v>
      </c>
      <c r="G267" s="8" t="s">
        <v>6352</v>
      </c>
      <c r="H267" s="8">
        <v>35855</v>
      </c>
      <c r="I267" s="8">
        <v>1998</v>
      </c>
      <c r="J267" s="8" t="s">
        <v>6351</v>
      </c>
      <c r="K267" s="8">
        <v>251</v>
      </c>
      <c r="L267" s="8" t="s">
        <v>7423</v>
      </c>
      <c r="M267" s="8">
        <v>1</v>
      </c>
      <c r="N267" s="8" t="s">
        <v>6580</v>
      </c>
      <c r="O267" s="8"/>
      <c r="P267" s="8" t="s">
        <v>7424</v>
      </c>
      <c r="Q267" s="8">
        <v>372.70940999999999</v>
      </c>
      <c r="R267" s="8" t="s">
        <v>6547</v>
      </c>
      <c r="S267" s="8" t="s">
        <v>53</v>
      </c>
      <c r="T267" s="8" t="s">
        <v>7425</v>
      </c>
      <c r="U267" s="9"/>
    </row>
    <row r="268" spans="1:21" ht="14.5" x14ac:dyDescent="0.35">
      <c r="A268" s="8" t="s">
        <v>7426</v>
      </c>
      <c r="B268" s="8" t="str">
        <f>"9780750706889"</f>
        <v>9780750706889</v>
      </c>
      <c r="C268" s="8" t="str">
        <f>"9780203486474"</f>
        <v>9780203486474</v>
      </c>
      <c r="D268" s="8" t="s">
        <v>6350</v>
      </c>
      <c r="E268" s="8" t="s">
        <v>6351</v>
      </c>
      <c r="F268" s="8" t="s">
        <v>139</v>
      </c>
      <c r="G268" s="8" t="s">
        <v>6352</v>
      </c>
      <c r="H268" s="8">
        <v>35886</v>
      </c>
      <c r="I268" s="8">
        <v>2004</v>
      </c>
      <c r="J268" s="8" t="s">
        <v>6353</v>
      </c>
      <c r="K268" s="8">
        <v>227</v>
      </c>
      <c r="L268" s="8" t="s">
        <v>7427</v>
      </c>
      <c r="M268" s="8">
        <v>1</v>
      </c>
      <c r="N268" s="8" t="s">
        <v>6580</v>
      </c>
      <c r="O268" s="8"/>
      <c r="P268" s="8">
        <v>98206920</v>
      </c>
      <c r="Q268" s="8" t="s">
        <v>7428</v>
      </c>
      <c r="R268" s="8" t="s">
        <v>7429</v>
      </c>
      <c r="S268" s="8" t="s">
        <v>53</v>
      </c>
      <c r="T268" s="8" t="s">
        <v>54</v>
      </c>
      <c r="U268" s="9"/>
    </row>
    <row r="269" spans="1:21" ht="14.5" x14ac:dyDescent="0.35">
      <c r="A269" s="8" t="s">
        <v>7430</v>
      </c>
      <c r="B269" s="8" t="str">
        <f>"9780750701181"</f>
        <v>9780750701181</v>
      </c>
      <c r="C269" s="8" t="str">
        <f>"9780203209790"</f>
        <v>9780203209790</v>
      </c>
      <c r="D269" s="8" t="s">
        <v>6350</v>
      </c>
      <c r="E269" s="8" t="s">
        <v>6351</v>
      </c>
      <c r="F269" s="8" t="s">
        <v>139</v>
      </c>
      <c r="G269" s="8" t="s">
        <v>6352</v>
      </c>
      <c r="H269" s="8">
        <v>33939</v>
      </c>
      <c r="I269" s="8">
        <v>1993</v>
      </c>
      <c r="J269" s="8" t="s">
        <v>6353</v>
      </c>
      <c r="K269" s="8">
        <v>214</v>
      </c>
      <c r="L269" s="8" t="s">
        <v>7431</v>
      </c>
      <c r="M269" s="8">
        <v>1</v>
      </c>
      <c r="N269" s="8"/>
      <c r="O269" s="8"/>
      <c r="P269" s="8">
        <v>92027883</v>
      </c>
      <c r="Q269" s="8">
        <v>374.94099999999997</v>
      </c>
      <c r="R269" s="8" t="s">
        <v>6337</v>
      </c>
      <c r="S269" s="8" t="s">
        <v>53</v>
      </c>
      <c r="T269" s="8" t="s">
        <v>54</v>
      </c>
      <c r="U269" s="9"/>
    </row>
    <row r="270" spans="1:21" ht="14.5" x14ac:dyDescent="0.35">
      <c r="A270" s="8" t="s">
        <v>7432</v>
      </c>
      <c r="B270" s="8" t="str">
        <f>"9780750704182"</f>
        <v>9780750704182</v>
      </c>
      <c r="C270" s="8" t="str">
        <f>"9780203209301"</f>
        <v>9780203209301</v>
      </c>
      <c r="D270" s="8" t="s">
        <v>6350</v>
      </c>
      <c r="E270" s="8" t="s">
        <v>6351</v>
      </c>
      <c r="F270" s="8" t="s">
        <v>139</v>
      </c>
      <c r="G270" s="8" t="s">
        <v>6317</v>
      </c>
      <c r="H270" s="8">
        <v>34790</v>
      </c>
      <c r="I270" s="8">
        <v>1995</v>
      </c>
      <c r="J270" s="8" t="s">
        <v>6353</v>
      </c>
      <c r="K270" s="8">
        <v>234</v>
      </c>
      <c r="L270" s="8" t="s">
        <v>7433</v>
      </c>
      <c r="M270" s="8">
        <v>1</v>
      </c>
      <c r="N270" s="8"/>
      <c r="O270" s="8"/>
      <c r="P270" s="8" t="s">
        <v>7434</v>
      </c>
      <c r="Q270" s="8">
        <v>379.73</v>
      </c>
      <c r="R270" s="8" t="s">
        <v>7435</v>
      </c>
      <c r="S270" s="8" t="s">
        <v>53</v>
      </c>
      <c r="T270" s="8" t="s">
        <v>54</v>
      </c>
      <c r="U270" s="9"/>
    </row>
    <row r="271" spans="1:21" ht="14.5" x14ac:dyDescent="0.35">
      <c r="A271" s="8" t="s">
        <v>7436</v>
      </c>
      <c r="B271" s="8" t="str">
        <f>"9780750704892"</f>
        <v>9780750704892</v>
      </c>
      <c r="C271" s="8" t="str">
        <f>"9780203453872"</f>
        <v>9780203453872</v>
      </c>
      <c r="D271" s="8" t="s">
        <v>6350</v>
      </c>
      <c r="E271" s="8" t="s">
        <v>6351</v>
      </c>
      <c r="F271" s="8" t="s">
        <v>139</v>
      </c>
      <c r="G271" s="8" t="s">
        <v>6352</v>
      </c>
      <c r="H271" s="8">
        <v>35156</v>
      </c>
      <c r="I271" s="8">
        <v>1996</v>
      </c>
      <c r="J271" s="8" t="s">
        <v>6353</v>
      </c>
      <c r="K271" s="8">
        <v>223</v>
      </c>
      <c r="L271" s="8" t="s">
        <v>7437</v>
      </c>
      <c r="M271" s="8">
        <v>1</v>
      </c>
      <c r="N271" s="8" t="s">
        <v>6585</v>
      </c>
      <c r="O271" s="8"/>
      <c r="P271" s="8" t="s">
        <v>7438</v>
      </c>
      <c r="Q271" s="8">
        <v>373.23599999999999</v>
      </c>
      <c r="R271" s="8" t="s">
        <v>6591</v>
      </c>
      <c r="S271" s="8" t="s">
        <v>53</v>
      </c>
      <c r="T271" s="8" t="s">
        <v>54</v>
      </c>
      <c r="U271" s="9"/>
    </row>
    <row r="272" spans="1:21" ht="14.5" x14ac:dyDescent="0.35">
      <c r="A272" s="8" t="s">
        <v>7439</v>
      </c>
      <c r="B272" s="8" t="str">
        <f>"9780750706254"</f>
        <v>9780750706254</v>
      </c>
      <c r="C272" s="8" t="str">
        <f>"9780203454497"</f>
        <v>9780203454497</v>
      </c>
      <c r="D272" s="8" t="s">
        <v>6350</v>
      </c>
      <c r="E272" s="8" t="s">
        <v>6351</v>
      </c>
      <c r="F272" s="8" t="s">
        <v>748</v>
      </c>
      <c r="G272" s="8" t="s">
        <v>6352</v>
      </c>
      <c r="H272" s="8">
        <v>36069</v>
      </c>
      <c r="I272" s="8">
        <v>1999</v>
      </c>
      <c r="J272" s="8" t="s">
        <v>6351</v>
      </c>
      <c r="K272" s="8">
        <v>262</v>
      </c>
      <c r="L272" s="8" t="s">
        <v>7440</v>
      </c>
      <c r="M272" s="8">
        <v>1</v>
      </c>
      <c r="N272" s="8"/>
      <c r="O272" s="8"/>
      <c r="P272" s="8" t="s">
        <v>7441</v>
      </c>
      <c r="Q272" s="8">
        <v>371.1</v>
      </c>
      <c r="R272" s="8" t="s">
        <v>6484</v>
      </c>
      <c r="S272" s="8" t="s">
        <v>53</v>
      </c>
      <c r="T272" s="8" t="s">
        <v>54</v>
      </c>
      <c r="U272" s="9"/>
    </row>
    <row r="273" spans="1:21" ht="14.5" x14ac:dyDescent="0.35">
      <c r="A273" s="8" t="s">
        <v>7442</v>
      </c>
      <c r="B273" s="8" t="str">
        <f>"9780750707138"</f>
        <v>9780750707138</v>
      </c>
      <c r="C273" s="8" t="str">
        <f>"9780203209271"</f>
        <v>9780203209271</v>
      </c>
      <c r="D273" s="8" t="s">
        <v>6350</v>
      </c>
      <c r="E273" s="8" t="s">
        <v>6351</v>
      </c>
      <c r="F273" s="8" t="s">
        <v>139</v>
      </c>
      <c r="G273" s="8" t="s">
        <v>6352</v>
      </c>
      <c r="H273" s="8">
        <v>35855</v>
      </c>
      <c r="I273" s="8">
        <v>1998</v>
      </c>
      <c r="J273" s="8" t="s">
        <v>6353</v>
      </c>
      <c r="K273" s="8">
        <v>169</v>
      </c>
      <c r="L273" s="8" t="s">
        <v>7443</v>
      </c>
      <c r="M273" s="8">
        <v>1</v>
      </c>
      <c r="N273" s="8"/>
      <c r="O273" s="8"/>
      <c r="P273" s="8" t="s">
        <v>7444</v>
      </c>
      <c r="Q273" s="8">
        <v>379.4109047</v>
      </c>
      <c r="R273" s="8" t="s">
        <v>6362</v>
      </c>
      <c r="S273" s="8" t="s">
        <v>53</v>
      </c>
      <c r="T273" s="8" t="s">
        <v>54</v>
      </c>
      <c r="U273" s="9"/>
    </row>
    <row r="274" spans="1:21" ht="14.5" x14ac:dyDescent="0.35">
      <c r="A274" s="8" t="s">
        <v>7445</v>
      </c>
      <c r="B274" s="8" t="str">
        <f>"9780750706988"</f>
        <v>9780750706988</v>
      </c>
      <c r="C274" s="8" t="str">
        <f>"9780203486559"</f>
        <v>9780203486559</v>
      </c>
      <c r="D274" s="8" t="s">
        <v>6350</v>
      </c>
      <c r="E274" s="8" t="s">
        <v>6351</v>
      </c>
      <c r="F274" s="8" t="s">
        <v>139</v>
      </c>
      <c r="G274" s="8" t="s">
        <v>6317</v>
      </c>
      <c r="H274" s="8">
        <v>36312</v>
      </c>
      <c r="I274" s="8">
        <v>1999</v>
      </c>
      <c r="J274" s="8" t="s">
        <v>6353</v>
      </c>
      <c r="K274" s="8">
        <v>216</v>
      </c>
      <c r="L274" s="8" t="s">
        <v>7446</v>
      </c>
      <c r="M274" s="8">
        <v>1</v>
      </c>
      <c r="N274" s="8" t="s">
        <v>6580</v>
      </c>
      <c r="O274" s="8"/>
      <c r="P274" s="8" t="s">
        <v>7447</v>
      </c>
      <c r="Q274" s="8">
        <v>372.1</v>
      </c>
      <c r="R274" s="8" t="s">
        <v>7448</v>
      </c>
      <c r="S274" s="8" t="s">
        <v>53</v>
      </c>
      <c r="T274" s="8" t="s">
        <v>54</v>
      </c>
      <c r="U274" s="9"/>
    </row>
    <row r="275" spans="1:21" ht="14.5" x14ac:dyDescent="0.35">
      <c r="A275" s="8" t="s">
        <v>7449</v>
      </c>
      <c r="B275" s="8" t="str">
        <f>"9780750707008"</f>
        <v>9780750707008</v>
      </c>
      <c r="C275" s="8" t="str">
        <f>"9780203486573"</f>
        <v>9780203486573</v>
      </c>
      <c r="D275" s="8" t="s">
        <v>6350</v>
      </c>
      <c r="E275" s="8" t="s">
        <v>6351</v>
      </c>
      <c r="F275" s="8" t="s">
        <v>748</v>
      </c>
      <c r="G275" s="8" t="s">
        <v>6352</v>
      </c>
      <c r="H275" s="8">
        <v>36465</v>
      </c>
      <c r="I275" s="8">
        <v>1999</v>
      </c>
      <c r="J275" s="8" t="s">
        <v>6351</v>
      </c>
      <c r="K275" s="8">
        <v>171</v>
      </c>
      <c r="L275" s="8" t="s">
        <v>7450</v>
      </c>
      <c r="M275" s="8">
        <v>1</v>
      </c>
      <c r="N275" s="8" t="s">
        <v>6580</v>
      </c>
      <c r="O275" s="8"/>
      <c r="P275" s="8" t="s">
        <v>7451</v>
      </c>
      <c r="Q275" s="8"/>
      <c r="R275" s="8" t="s">
        <v>7452</v>
      </c>
      <c r="S275" s="8" t="s">
        <v>53</v>
      </c>
      <c r="T275" s="8" t="s">
        <v>54</v>
      </c>
      <c r="U275" s="9"/>
    </row>
    <row r="276" spans="1:21" ht="14.5" x14ac:dyDescent="0.35">
      <c r="A276" s="8" t="s">
        <v>7453</v>
      </c>
      <c r="B276" s="8" t="str">
        <f>"9780750707855"</f>
        <v>9780750707855</v>
      </c>
      <c r="C276" s="8" t="str">
        <f>"9780203209370"</f>
        <v>9780203209370</v>
      </c>
      <c r="D276" s="8" t="s">
        <v>6350</v>
      </c>
      <c r="E276" s="8" t="s">
        <v>6351</v>
      </c>
      <c r="F276" s="8" t="s">
        <v>139</v>
      </c>
      <c r="G276" s="8" t="s">
        <v>6352</v>
      </c>
      <c r="H276" s="8">
        <v>35886</v>
      </c>
      <c r="I276" s="8">
        <v>1998</v>
      </c>
      <c r="J276" s="8" t="s">
        <v>6353</v>
      </c>
      <c r="K276" s="8">
        <v>195</v>
      </c>
      <c r="L276" s="8" t="s">
        <v>7454</v>
      </c>
      <c r="M276" s="8">
        <v>1</v>
      </c>
      <c r="N276" s="8"/>
      <c r="O276" s="8"/>
      <c r="P276" s="8" t="s">
        <v>7455</v>
      </c>
      <c r="Q276" s="8">
        <v>378.41</v>
      </c>
      <c r="R276" s="8" t="s">
        <v>7456</v>
      </c>
      <c r="S276" s="8" t="s">
        <v>53</v>
      </c>
      <c r="T276" s="8" t="s">
        <v>54</v>
      </c>
      <c r="U276" s="9"/>
    </row>
    <row r="277" spans="1:21" ht="14.5" x14ac:dyDescent="0.35">
      <c r="A277" s="8" t="s">
        <v>7457</v>
      </c>
      <c r="B277" s="8" t="str">
        <f>"9780750708265"</f>
        <v>9780750708265</v>
      </c>
      <c r="C277" s="8" t="str">
        <f>"9780203486979"</f>
        <v>9780203486979</v>
      </c>
      <c r="D277" s="8" t="s">
        <v>6350</v>
      </c>
      <c r="E277" s="8" t="s">
        <v>6351</v>
      </c>
      <c r="F277" s="8" t="s">
        <v>3967</v>
      </c>
      <c r="G277" s="8" t="s">
        <v>6352</v>
      </c>
      <c r="H277" s="8">
        <v>36404</v>
      </c>
      <c r="I277" s="8">
        <v>2004</v>
      </c>
      <c r="J277" s="8" t="s">
        <v>6353</v>
      </c>
      <c r="K277" s="8">
        <v>216</v>
      </c>
      <c r="L277" s="8" t="s">
        <v>7458</v>
      </c>
      <c r="M277" s="8">
        <v>1</v>
      </c>
      <c r="N277" s="8"/>
      <c r="O277" s="8"/>
      <c r="P277" s="8" t="s">
        <v>7459</v>
      </c>
      <c r="Q277" s="8"/>
      <c r="R277" s="8" t="s">
        <v>7460</v>
      </c>
      <c r="S277" s="8" t="s">
        <v>53</v>
      </c>
      <c r="T277" s="8" t="s">
        <v>54</v>
      </c>
      <c r="U277" s="9"/>
    </row>
    <row r="278" spans="1:21" ht="14.5" x14ac:dyDescent="0.35">
      <c r="A278" s="8" t="s">
        <v>7461</v>
      </c>
      <c r="B278" s="8" t="str">
        <f>"9780750709354"</f>
        <v>9780750709354</v>
      </c>
      <c r="C278" s="8" t="str">
        <f>"9780203487310"</f>
        <v>9780203487310</v>
      </c>
      <c r="D278" s="8" t="s">
        <v>6350</v>
      </c>
      <c r="E278" s="8" t="s">
        <v>6351</v>
      </c>
      <c r="F278" s="8" t="s">
        <v>139</v>
      </c>
      <c r="G278" s="8" t="s">
        <v>6352</v>
      </c>
      <c r="H278" s="8">
        <v>36251</v>
      </c>
      <c r="I278" s="8">
        <v>2004</v>
      </c>
      <c r="J278" s="8" t="s">
        <v>6353</v>
      </c>
      <c r="K278" s="8">
        <v>210</v>
      </c>
      <c r="L278" s="8" t="s">
        <v>7462</v>
      </c>
      <c r="M278" s="8">
        <v>1</v>
      </c>
      <c r="N278" s="8" t="s">
        <v>7463</v>
      </c>
      <c r="O278" s="8"/>
      <c r="P278" s="8">
        <v>99211191</v>
      </c>
      <c r="Q278" s="8" t="s">
        <v>6576</v>
      </c>
      <c r="R278" s="8" t="s">
        <v>6467</v>
      </c>
      <c r="S278" s="8" t="s">
        <v>53</v>
      </c>
      <c r="T278" s="8" t="s">
        <v>54</v>
      </c>
      <c r="U278" s="9"/>
    </row>
    <row r="279" spans="1:21" ht="14.5" x14ac:dyDescent="0.35">
      <c r="A279" s="8" t="s">
        <v>7464</v>
      </c>
      <c r="B279" s="8" t="str">
        <f>"9781850007142"</f>
        <v>9781850007142</v>
      </c>
      <c r="C279" s="8" t="str">
        <f>"9780203214879"</f>
        <v>9780203214879</v>
      </c>
      <c r="D279" s="8" t="s">
        <v>6350</v>
      </c>
      <c r="E279" s="8" t="s">
        <v>6351</v>
      </c>
      <c r="F279" s="8" t="s">
        <v>139</v>
      </c>
      <c r="G279" s="8" t="s">
        <v>6317</v>
      </c>
      <c r="H279" s="8">
        <v>32994</v>
      </c>
      <c r="I279" s="8">
        <v>1990</v>
      </c>
      <c r="J279" s="8" t="s">
        <v>6353</v>
      </c>
      <c r="K279" s="8">
        <v>193</v>
      </c>
      <c r="L279" s="8" t="s">
        <v>7465</v>
      </c>
      <c r="M279" s="8">
        <v>1</v>
      </c>
      <c r="N279" s="8"/>
      <c r="O279" s="8"/>
      <c r="P279" s="8" t="s">
        <v>7466</v>
      </c>
      <c r="Q279" s="8">
        <v>371.33499999999998</v>
      </c>
      <c r="R279" s="8" t="s">
        <v>7467</v>
      </c>
      <c r="S279" s="8" t="s">
        <v>53</v>
      </c>
      <c r="T279" s="8" t="s">
        <v>6815</v>
      </c>
      <c r="U279" s="9"/>
    </row>
    <row r="280" spans="1:21" ht="14.5" x14ac:dyDescent="0.35">
      <c r="A280" s="8" t="s">
        <v>7468</v>
      </c>
      <c r="B280" s="8" t="str">
        <f>"9781850007340"</f>
        <v>9781850007340</v>
      </c>
      <c r="C280" s="8" t="str">
        <f>"9780203489185"</f>
        <v>9780203489185</v>
      </c>
      <c r="D280" s="8" t="s">
        <v>6350</v>
      </c>
      <c r="E280" s="8" t="s">
        <v>6351</v>
      </c>
      <c r="F280" s="8" t="s">
        <v>3967</v>
      </c>
      <c r="G280" s="8" t="s">
        <v>6352</v>
      </c>
      <c r="H280" s="8">
        <v>33147</v>
      </c>
      <c r="I280" s="8">
        <v>2004</v>
      </c>
      <c r="J280" s="8" t="s">
        <v>6353</v>
      </c>
      <c r="K280" s="8">
        <v>456</v>
      </c>
      <c r="L280" s="8" t="s">
        <v>7469</v>
      </c>
      <c r="M280" s="8">
        <v>1</v>
      </c>
      <c r="N280" s="8"/>
      <c r="O280" s="8"/>
      <c r="P280" s="8" t="s">
        <v>7470</v>
      </c>
      <c r="Q280" s="8"/>
      <c r="R280" s="8" t="s">
        <v>7471</v>
      </c>
      <c r="S280" s="8" t="s">
        <v>53</v>
      </c>
      <c r="T280" s="8" t="s">
        <v>54</v>
      </c>
      <c r="U280" s="9"/>
    </row>
    <row r="281" spans="1:21" ht="14.5" x14ac:dyDescent="0.35">
      <c r="A281" s="8" t="s">
        <v>7472</v>
      </c>
      <c r="B281" s="8" t="str">
        <f>"9780415250412"</f>
        <v>9780415250412</v>
      </c>
      <c r="C281" s="8" t="str">
        <f>"9780203422915"</f>
        <v>9780203422915</v>
      </c>
      <c r="D281" s="8" t="s">
        <v>6350</v>
      </c>
      <c r="E281" s="8" t="s">
        <v>6351</v>
      </c>
      <c r="F281" s="8" t="s">
        <v>139</v>
      </c>
      <c r="G281" s="8" t="s">
        <v>6352</v>
      </c>
      <c r="H281" s="8">
        <v>37764</v>
      </c>
      <c r="I281" s="8">
        <v>2003</v>
      </c>
      <c r="J281" s="8" t="s">
        <v>6353</v>
      </c>
      <c r="K281" s="8">
        <v>278</v>
      </c>
      <c r="L281" s="8" t="s">
        <v>7473</v>
      </c>
      <c r="M281" s="8">
        <v>1</v>
      </c>
      <c r="N281" s="8" t="s">
        <v>7474</v>
      </c>
      <c r="O281" s="8"/>
      <c r="P281" s="8" t="s">
        <v>7475</v>
      </c>
      <c r="Q281" s="8">
        <v>370.11509410000002</v>
      </c>
      <c r="R281" s="8" t="s">
        <v>7429</v>
      </c>
      <c r="S281" s="8" t="s">
        <v>53</v>
      </c>
      <c r="T281" s="8" t="s">
        <v>54</v>
      </c>
      <c r="U281" s="9"/>
    </row>
    <row r="282" spans="1:21" ht="14.5" x14ac:dyDescent="0.35">
      <c r="A282" s="8" t="s">
        <v>7476</v>
      </c>
      <c r="B282" s="8" t="str">
        <f>"9780415085755"</f>
        <v>9780415085755</v>
      </c>
      <c r="C282" s="8" t="str">
        <f>"9780203419632"</f>
        <v>9780203419632</v>
      </c>
      <c r="D282" s="8" t="s">
        <v>6350</v>
      </c>
      <c r="E282" s="8" t="s">
        <v>6351</v>
      </c>
      <c r="F282" s="8" t="s">
        <v>3967</v>
      </c>
      <c r="G282" s="8" t="s">
        <v>6352</v>
      </c>
      <c r="H282" s="8">
        <v>34178</v>
      </c>
      <c r="I282" s="8">
        <v>1993</v>
      </c>
      <c r="J282" s="8" t="s">
        <v>6353</v>
      </c>
      <c r="K282" s="8">
        <v>208</v>
      </c>
      <c r="L282" s="8" t="s">
        <v>7477</v>
      </c>
      <c r="M282" s="8">
        <v>1</v>
      </c>
      <c r="N282" s="8"/>
      <c r="O282" s="8"/>
      <c r="P282" s="8" t="s">
        <v>7478</v>
      </c>
      <c r="Q282" s="8">
        <v>428.00779999999997</v>
      </c>
      <c r="R282" s="8" t="s">
        <v>7479</v>
      </c>
      <c r="S282" s="8" t="s">
        <v>53</v>
      </c>
      <c r="T282" s="8" t="s">
        <v>6634</v>
      </c>
      <c r="U282" s="9"/>
    </row>
    <row r="283" spans="1:21" ht="14.5" x14ac:dyDescent="0.35">
      <c r="A283" s="8" t="s">
        <v>7480</v>
      </c>
      <c r="B283" s="8" t="str">
        <f>"9780415071529"</f>
        <v>9780415071529</v>
      </c>
      <c r="C283" s="8" t="str">
        <f>"9780203130087"</f>
        <v>9780203130087</v>
      </c>
      <c r="D283" s="8" t="s">
        <v>6350</v>
      </c>
      <c r="E283" s="8" t="s">
        <v>6351</v>
      </c>
      <c r="F283" s="8" t="s">
        <v>5406</v>
      </c>
      <c r="G283" s="8" t="s">
        <v>6317</v>
      </c>
      <c r="H283" s="8">
        <v>33950</v>
      </c>
      <c r="I283" s="8">
        <v>1992</v>
      </c>
      <c r="J283" s="8" t="s">
        <v>6353</v>
      </c>
      <c r="K283" s="8">
        <v>164</v>
      </c>
      <c r="L283" s="8" t="s">
        <v>7481</v>
      </c>
      <c r="M283" s="8">
        <v>2</v>
      </c>
      <c r="N283" s="8"/>
      <c r="O283" s="8"/>
      <c r="P283" s="8" t="s">
        <v>7482</v>
      </c>
      <c r="Q283" s="8">
        <v>371.10199999999998</v>
      </c>
      <c r="R283" s="8" t="s">
        <v>7483</v>
      </c>
      <c r="S283" s="8" t="s">
        <v>53</v>
      </c>
      <c r="T283" s="8" t="s">
        <v>54</v>
      </c>
      <c r="U283" s="9"/>
    </row>
    <row r="284" spans="1:21" ht="14.5" x14ac:dyDescent="0.35">
      <c r="A284" s="8" t="s">
        <v>7484</v>
      </c>
      <c r="B284" s="8" t="str">
        <f>"9780415090155"</f>
        <v>9780415090155</v>
      </c>
      <c r="C284" s="8" t="str">
        <f>"9780203137185"</f>
        <v>9780203137185</v>
      </c>
      <c r="D284" s="8" t="s">
        <v>6350</v>
      </c>
      <c r="E284" s="8" t="s">
        <v>6351</v>
      </c>
      <c r="F284" s="8" t="s">
        <v>5406</v>
      </c>
      <c r="G284" s="8" t="s">
        <v>6317</v>
      </c>
      <c r="H284" s="8">
        <v>34064</v>
      </c>
      <c r="I284" s="8">
        <v>2002</v>
      </c>
      <c r="J284" s="8" t="s">
        <v>6353</v>
      </c>
      <c r="K284" s="8">
        <v>148</v>
      </c>
      <c r="L284" s="8" t="s">
        <v>7485</v>
      </c>
      <c r="M284" s="8">
        <v>1</v>
      </c>
      <c r="N284" s="8" t="s">
        <v>6436</v>
      </c>
      <c r="O284" s="8"/>
      <c r="P284" s="8" t="s">
        <v>7486</v>
      </c>
      <c r="Q284" s="8">
        <v>370.15230000000003</v>
      </c>
      <c r="R284" s="8" t="s">
        <v>7487</v>
      </c>
      <c r="S284" s="8" t="s">
        <v>53</v>
      </c>
      <c r="T284" s="8" t="s">
        <v>54</v>
      </c>
      <c r="U284" s="9"/>
    </row>
    <row r="285" spans="1:21" ht="14.5" x14ac:dyDescent="0.35">
      <c r="A285" s="8" t="s">
        <v>7488</v>
      </c>
      <c r="B285" s="8" t="str">
        <f>"9780415177726"</f>
        <v>9780415177726</v>
      </c>
      <c r="C285" s="8" t="str">
        <f>"9780203001684"</f>
        <v>9780203001684</v>
      </c>
      <c r="D285" s="8" t="s">
        <v>6350</v>
      </c>
      <c r="E285" s="8" t="s">
        <v>6351</v>
      </c>
      <c r="F285" s="8" t="s">
        <v>5406</v>
      </c>
      <c r="G285" s="8" t="s">
        <v>6317</v>
      </c>
      <c r="H285" s="8">
        <v>37652</v>
      </c>
      <c r="I285" s="8">
        <v>1969</v>
      </c>
      <c r="J285" s="8" t="s">
        <v>6353</v>
      </c>
      <c r="K285" s="8">
        <v>140</v>
      </c>
      <c r="L285" s="8" t="s">
        <v>7489</v>
      </c>
      <c r="M285" s="8">
        <v>1</v>
      </c>
      <c r="N285" s="8" t="s">
        <v>6505</v>
      </c>
      <c r="O285" s="8"/>
      <c r="P285" s="8" t="s">
        <v>7490</v>
      </c>
      <c r="Q285" s="8" t="s">
        <v>7491</v>
      </c>
      <c r="R285" s="8" t="s">
        <v>7492</v>
      </c>
      <c r="S285" s="8" t="s">
        <v>53</v>
      </c>
      <c r="T285" s="8" t="s">
        <v>54</v>
      </c>
      <c r="U285" s="9"/>
    </row>
    <row r="286" spans="1:21" ht="14.5" x14ac:dyDescent="0.35">
      <c r="A286" s="8" t="s">
        <v>7493</v>
      </c>
      <c r="B286" s="8" t="str">
        <f>"9780415308960"</f>
        <v>9780415308960</v>
      </c>
      <c r="C286" s="8" t="str">
        <f>"9780203180433"</f>
        <v>9780203180433</v>
      </c>
      <c r="D286" s="8" t="s">
        <v>6350</v>
      </c>
      <c r="E286" s="8" t="s">
        <v>6351</v>
      </c>
      <c r="F286" s="8" t="s">
        <v>7115</v>
      </c>
      <c r="G286" s="8" t="s">
        <v>6352</v>
      </c>
      <c r="H286" s="8">
        <v>38072</v>
      </c>
      <c r="I286" s="8">
        <v>2004</v>
      </c>
      <c r="J286" s="8" t="s">
        <v>6353</v>
      </c>
      <c r="K286" s="8">
        <v>348</v>
      </c>
      <c r="L286" s="8" t="s">
        <v>7494</v>
      </c>
      <c r="M286" s="8">
        <v>1</v>
      </c>
      <c r="N286" s="8" t="s">
        <v>7495</v>
      </c>
      <c r="O286" s="8">
        <v>12</v>
      </c>
      <c r="P286" s="8" t="s">
        <v>7496</v>
      </c>
      <c r="Q286" s="8">
        <v>371.19200000000001</v>
      </c>
      <c r="R286" s="8" t="s">
        <v>7497</v>
      </c>
      <c r="S286" s="8" t="s">
        <v>53</v>
      </c>
      <c r="T286" s="8" t="s">
        <v>54</v>
      </c>
      <c r="U286" s="9"/>
    </row>
    <row r="287" spans="1:21" ht="14.5" x14ac:dyDescent="0.35">
      <c r="A287" s="8" t="s">
        <v>7498</v>
      </c>
      <c r="B287" s="8" t="str">
        <f>"9780415101455"</f>
        <v>9780415101455</v>
      </c>
      <c r="C287" s="8" t="str">
        <f>"9780203137284"</f>
        <v>9780203137284</v>
      </c>
      <c r="D287" s="8" t="s">
        <v>6350</v>
      </c>
      <c r="E287" s="8" t="s">
        <v>6351</v>
      </c>
      <c r="F287" s="8" t="s">
        <v>748</v>
      </c>
      <c r="G287" s="8" t="s">
        <v>6352</v>
      </c>
      <c r="H287" s="8">
        <v>34459</v>
      </c>
      <c r="I287" s="8">
        <v>1994</v>
      </c>
      <c r="J287" s="8" t="s">
        <v>6351</v>
      </c>
      <c r="K287" s="8">
        <v>222</v>
      </c>
      <c r="L287" s="8" t="s">
        <v>7499</v>
      </c>
      <c r="M287" s="8">
        <v>1</v>
      </c>
      <c r="N287" s="8"/>
      <c r="O287" s="8"/>
      <c r="P287" s="8" t="s">
        <v>7500</v>
      </c>
      <c r="Q287" s="8">
        <v>371.3</v>
      </c>
      <c r="R287" s="8" t="s">
        <v>6832</v>
      </c>
      <c r="S287" s="8" t="s">
        <v>53</v>
      </c>
      <c r="T287" s="8" t="s">
        <v>54</v>
      </c>
      <c r="U287" s="9"/>
    </row>
    <row r="288" spans="1:21" ht="14.5" x14ac:dyDescent="0.35">
      <c r="A288" s="8" t="s">
        <v>7501</v>
      </c>
      <c r="B288" s="8" t="str">
        <f>"9780415297943"</f>
        <v>9780415297943</v>
      </c>
      <c r="C288" s="8" t="str">
        <f>"9780203417669"</f>
        <v>9780203417669</v>
      </c>
      <c r="D288" s="8" t="s">
        <v>6350</v>
      </c>
      <c r="E288" s="8" t="s">
        <v>6351</v>
      </c>
      <c r="F288" s="8" t="s">
        <v>139</v>
      </c>
      <c r="G288" s="8" t="s">
        <v>6352</v>
      </c>
      <c r="H288" s="8">
        <v>37701</v>
      </c>
      <c r="I288" s="8">
        <v>2003</v>
      </c>
      <c r="J288" s="8" t="s">
        <v>6353</v>
      </c>
      <c r="K288" s="8">
        <v>266</v>
      </c>
      <c r="L288" s="8" t="s">
        <v>7502</v>
      </c>
      <c r="M288" s="8">
        <v>1</v>
      </c>
      <c r="N288" s="8"/>
      <c r="O288" s="8"/>
      <c r="P288" s="8" t="s">
        <v>7503</v>
      </c>
      <c r="Q288" s="8" t="s">
        <v>7504</v>
      </c>
      <c r="R288" s="8" t="s">
        <v>7505</v>
      </c>
      <c r="S288" s="8" t="s">
        <v>53</v>
      </c>
      <c r="T288" s="8" t="s">
        <v>54</v>
      </c>
      <c r="U288" s="9"/>
    </row>
    <row r="289" spans="1:21" ht="14.5" x14ac:dyDescent="0.35">
      <c r="A289" s="8" t="s">
        <v>7506</v>
      </c>
      <c r="B289" s="8" t="str">
        <f>"9780333496190"</f>
        <v>9780333496190</v>
      </c>
      <c r="C289" s="8" t="str">
        <f>"9780203032206"</f>
        <v>9780203032206</v>
      </c>
      <c r="D289" s="8" t="s">
        <v>6350</v>
      </c>
      <c r="E289" s="8" t="s">
        <v>6351</v>
      </c>
      <c r="F289" s="8" t="s">
        <v>748</v>
      </c>
      <c r="G289" s="8" t="s">
        <v>6352</v>
      </c>
      <c r="H289" s="8">
        <v>33269</v>
      </c>
      <c r="I289" s="8">
        <v>1991</v>
      </c>
      <c r="J289" s="8" t="s">
        <v>6351</v>
      </c>
      <c r="K289" s="8">
        <v>143</v>
      </c>
      <c r="L289" s="8" t="s">
        <v>7507</v>
      </c>
      <c r="M289" s="8">
        <v>1</v>
      </c>
      <c r="N289" s="8"/>
      <c r="O289" s="8"/>
      <c r="P289" s="8" t="s">
        <v>7508</v>
      </c>
      <c r="Q289" s="8">
        <v>371.93</v>
      </c>
      <c r="R289" s="8" t="s">
        <v>7509</v>
      </c>
      <c r="S289" s="8" t="s">
        <v>53</v>
      </c>
      <c r="T289" s="8" t="s">
        <v>54</v>
      </c>
      <c r="U289" s="9"/>
    </row>
    <row r="290" spans="1:21" ht="14.5" x14ac:dyDescent="0.35">
      <c r="A290" s="8" t="s">
        <v>7510</v>
      </c>
      <c r="B290" s="8" t="str">
        <f>"9780415080446"</f>
        <v>9780415080446</v>
      </c>
      <c r="C290" s="8" t="str">
        <f>"9780203032510"</f>
        <v>9780203032510</v>
      </c>
      <c r="D290" s="8" t="s">
        <v>6350</v>
      </c>
      <c r="E290" s="8" t="s">
        <v>6351</v>
      </c>
      <c r="F290" s="8" t="s">
        <v>748</v>
      </c>
      <c r="G290" s="8" t="s">
        <v>6352</v>
      </c>
      <c r="H290" s="8">
        <v>33774</v>
      </c>
      <c r="I290" s="8">
        <v>1992</v>
      </c>
      <c r="J290" s="8" t="s">
        <v>6351</v>
      </c>
      <c r="K290" s="8">
        <v>191</v>
      </c>
      <c r="L290" s="8" t="s">
        <v>7511</v>
      </c>
      <c r="M290" s="8">
        <v>1</v>
      </c>
      <c r="N290" s="8"/>
      <c r="O290" s="8"/>
      <c r="P290" s="8" t="s">
        <v>7512</v>
      </c>
      <c r="Q290" s="8">
        <v>374.012</v>
      </c>
      <c r="R290" s="8" t="s">
        <v>7513</v>
      </c>
      <c r="S290" s="8" t="s">
        <v>53</v>
      </c>
      <c r="T290" s="8" t="s">
        <v>54</v>
      </c>
      <c r="U290" s="9"/>
    </row>
    <row r="291" spans="1:21" ht="14.5" x14ac:dyDescent="0.35">
      <c r="A291" s="8" t="s">
        <v>7514</v>
      </c>
      <c r="B291" s="8" t="str">
        <f>"9781850005827"</f>
        <v>9781850005827</v>
      </c>
      <c r="C291" s="8" t="str">
        <f>"9780203137611"</f>
        <v>9780203137611</v>
      </c>
      <c r="D291" s="8" t="s">
        <v>6350</v>
      </c>
      <c r="E291" s="8" t="s">
        <v>6351</v>
      </c>
      <c r="F291" s="8" t="s">
        <v>748</v>
      </c>
      <c r="G291" s="8" t="s">
        <v>6352</v>
      </c>
      <c r="H291" s="8">
        <v>32905</v>
      </c>
      <c r="I291" s="8">
        <v>1990</v>
      </c>
      <c r="J291" s="8" t="s">
        <v>6351</v>
      </c>
      <c r="K291" s="8">
        <v>170</v>
      </c>
      <c r="L291" s="8" t="s">
        <v>7515</v>
      </c>
      <c r="M291" s="8">
        <v>1</v>
      </c>
      <c r="N291" s="8"/>
      <c r="O291" s="8"/>
      <c r="P291" s="8" t="s">
        <v>7516</v>
      </c>
      <c r="Q291" s="8">
        <v>372.35</v>
      </c>
      <c r="R291" s="8" t="s">
        <v>7517</v>
      </c>
      <c r="S291" s="8" t="s">
        <v>53</v>
      </c>
      <c r="T291" s="8" t="s">
        <v>54</v>
      </c>
      <c r="U291" s="9"/>
    </row>
    <row r="292" spans="1:21" ht="14.5" x14ac:dyDescent="0.35">
      <c r="A292" s="8" t="s">
        <v>7518</v>
      </c>
      <c r="B292" s="8" t="str">
        <f>"9780415071246"</f>
        <v>9780415071246</v>
      </c>
      <c r="C292" s="8" t="str">
        <f>"9780203033777"</f>
        <v>9780203033777</v>
      </c>
      <c r="D292" s="8" t="s">
        <v>6350</v>
      </c>
      <c r="E292" s="8" t="s">
        <v>6351</v>
      </c>
      <c r="F292" s="8" t="s">
        <v>139</v>
      </c>
      <c r="G292" s="8" t="s">
        <v>6352</v>
      </c>
      <c r="H292" s="8">
        <v>33843</v>
      </c>
      <c r="I292" s="8">
        <v>1992</v>
      </c>
      <c r="J292" s="8" t="s">
        <v>6353</v>
      </c>
      <c r="K292" s="8">
        <v>221</v>
      </c>
      <c r="L292" s="8" t="s">
        <v>7519</v>
      </c>
      <c r="M292" s="8">
        <v>2</v>
      </c>
      <c r="N292" s="8"/>
      <c r="O292" s="8"/>
      <c r="P292" s="8" t="s">
        <v>7520</v>
      </c>
      <c r="Q292" s="8">
        <v>371.9</v>
      </c>
      <c r="R292" s="8" t="s">
        <v>7521</v>
      </c>
      <c r="S292" s="8" t="s">
        <v>53</v>
      </c>
      <c r="T292" s="8" t="s">
        <v>54</v>
      </c>
      <c r="U292" s="9"/>
    </row>
    <row r="293" spans="1:21" ht="14.5" x14ac:dyDescent="0.35">
      <c r="A293" s="8" t="s">
        <v>7522</v>
      </c>
      <c r="B293" s="8" t="str">
        <f>"9780415008952"</f>
        <v>9780415008952</v>
      </c>
      <c r="C293" s="8" t="str">
        <f>"9780203135990"</f>
        <v>9780203135990</v>
      </c>
      <c r="D293" s="8" t="s">
        <v>6350</v>
      </c>
      <c r="E293" s="8" t="s">
        <v>6351</v>
      </c>
      <c r="F293" s="8" t="s">
        <v>748</v>
      </c>
      <c r="G293" s="8" t="s">
        <v>6352</v>
      </c>
      <c r="H293" s="8">
        <v>32933</v>
      </c>
      <c r="I293" s="8">
        <v>1988</v>
      </c>
      <c r="J293" s="8" t="s">
        <v>6351</v>
      </c>
      <c r="K293" s="8">
        <v>338</v>
      </c>
      <c r="L293" s="8" t="s">
        <v>7523</v>
      </c>
      <c r="M293" s="8">
        <v>1</v>
      </c>
      <c r="N293" s="8"/>
      <c r="O293" s="8"/>
      <c r="P293" s="8" t="s">
        <v>7524</v>
      </c>
      <c r="Q293" s="8">
        <v>306.430994</v>
      </c>
      <c r="R293" s="8" t="s">
        <v>7525</v>
      </c>
      <c r="S293" s="8" t="s">
        <v>53</v>
      </c>
      <c r="T293" s="8" t="s">
        <v>6526</v>
      </c>
      <c r="U293" s="9"/>
    </row>
    <row r="294" spans="1:21" ht="14.5" x14ac:dyDescent="0.35">
      <c r="A294" s="8" t="s">
        <v>7526</v>
      </c>
      <c r="B294" s="8" t="str">
        <f>"9780415055109"</f>
        <v>9780415055109</v>
      </c>
      <c r="C294" s="8" t="str">
        <f>"9780203133019"</f>
        <v>9780203133019</v>
      </c>
      <c r="D294" s="8" t="s">
        <v>6350</v>
      </c>
      <c r="E294" s="8" t="s">
        <v>6351</v>
      </c>
      <c r="F294" s="8" t="s">
        <v>748</v>
      </c>
      <c r="G294" s="8" t="s">
        <v>6352</v>
      </c>
      <c r="H294" s="8">
        <v>33988</v>
      </c>
      <c r="I294" s="8">
        <v>1993</v>
      </c>
      <c r="J294" s="8" t="s">
        <v>6351</v>
      </c>
      <c r="K294" s="8">
        <v>253</v>
      </c>
      <c r="L294" s="8" t="s">
        <v>6545</v>
      </c>
      <c r="M294" s="8">
        <v>1</v>
      </c>
      <c r="N294" s="8"/>
      <c r="O294" s="8"/>
      <c r="P294" s="8" t="s">
        <v>7527</v>
      </c>
      <c r="Q294" s="8">
        <v>370.15</v>
      </c>
      <c r="R294" s="8" t="s">
        <v>7528</v>
      </c>
      <c r="S294" s="8" t="s">
        <v>53</v>
      </c>
      <c r="T294" s="8" t="s">
        <v>54</v>
      </c>
      <c r="U294" s="9"/>
    </row>
    <row r="295" spans="1:21" ht="14.5" x14ac:dyDescent="0.35">
      <c r="A295" s="8" t="s">
        <v>7529</v>
      </c>
      <c r="B295" s="8" t="str">
        <f>"9780415925686"</f>
        <v>9780415925686</v>
      </c>
      <c r="C295" s="8" t="str">
        <f>"9780203901557"</f>
        <v>9780203901557</v>
      </c>
      <c r="D295" s="8" t="s">
        <v>6350</v>
      </c>
      <c r="E295" s="8" t="s">
        <v>6351</v>
      </c>
      <c r="F295" s="8" t="s">
        <v>139</v>
      </c>
      <c r="G295" s="8" t="s">
        <v>6317</v>
      </c>
      <c r="H295" s="8">
        <v>36703</v>
      </c>
      <c r="I295" s="8">
        <v>2000</v>
      </c>
      <c r="J295" s="8" t="s">
        <v>6353</v>
      </c>
      <c r="K295" s="8">
        <v>385</v>
      </c>
      <c r="L295" s="8" t="s">
        <v>7530</v>
      </c>
      <c r="M295" s="8">
        <v>1</v>
      </c>
      <c r="N295" s="8"/>
      <c r="O295" s="8"/>
      <c r="P295" s="8" t="s">
        <v>7531</v>
      </c>
      <c r="Q295" s="8" t="s">
        <v>7335</v>
      </c>
      <c r="R295" s="8" t="s">
        <v>7532</v>
      </c>
      <c r="S295" s="8" t="s">
        <v>53</v>
      </c>
      <c r="T295" s="8" t="s">
        <v>54</v>
      </c>
      <c r="U295" s="9"/>
    </row>
    <row r="296" spans="1:21" ht="14.5" x14ac:dyDescent="0.35">
      <c r="A296" s="8" t="s">
        <v>7533</v>
      </c>
      <c r="B296" s="8" t="str">
        <f>"9780415925822"</f>
        <v>9780415925822</v>
      </c>
      <c r="C296" s="8" t="str">
        <f>"9780203901052"</f>
        <v>9780203901052</v>
      </c>
      <c r="D296" s="8" t="s">
        <v>6350</v>
      </c>
      <c r="E296" s="8" t="s">
        <v>6351</v>
      </c>
      <c r="F296" s="8" t="s">
        <v>139</v>
      </c>
      <c r="G296" s="8" t="s">
        <v>6352</v>
      </c>
      <c r="H296" s="8">
        <v>36636</v>
      </c>
      <c r="I296" s="8">
        <v>2000</v>
      </c>
      <c r="J296" s="8" t="s">
        <v>6353</v>
      </c>
      <c r="K296" s="8">
        <v>216</v>
      </c>
      <c r="L296" s="8" t="s">
        <v>7534</v>
      </c>
      <c r="M296" s="8">
        <v>1</v>
      </c>
      <c r="N296" s="8"/>
      <c r="O296" s="8"/>
      <c r="P296" s="8" t="s">
        <v>7535</v>
      </c>
      <c r="Q296" s="8">
        <v>306.43209678260001</v>
      </c>
      <c r="R296" s="8" t="s">
        <v>7536</v>
      </c>
      <c r="S296" s="8" t="s">
        <v>53</v>
      </c>
      <c r="T296" s="8" t="s">
        <v>6526</v>
      </c>
      <c r="U296" s="9"/>
    </row>
    <row r="297" spans="1:21" ht="14.5" x14ac:dyDescent="0.35">
      <c r="A297" s="8" t="s">
        <v>7537</v>
      </c>
      <c r="B297" s="8" t="str">
        <f>"9780815334781"</f>
        <v>9780815334781</v>
      </c>
      <c r="C297" s="8" t="str">
        <f>"9780203903650"</f>
        <v>9780203903650</v>
      </c>
      <c r="D297" s="8" t="s">
        <v>6350</v>
      </c>
      <c r="E297" s="8" t="s">
        <v>6351</v>
      </c>
      <c r="F297" s="8" t="s">
        <v>7385</v>
      </c>
      <c r="G297" s="8" t="s">
        <v>6317</v>
      </c>
      <c r="H297" s="8">
        <v>36557</v>
      </c>
      <c r="I297" s="8">
        <v>2000</v>
      </c>
      <c r="J297" s="8" t="s">
        <v>6353</v>
      </c>
      <c r="K297" s="8">
        <v>371</v>
      </c>
      <c r="L297" s="8" t="s">
        <v>7538</v>
      </c>
      <c r="M297" s="8">
        <v>1</v>
      </c>
      <c r="N297" s="8" t="s">
        <v>7539</v>
      </c>
      <c r="O297" s="8"/>
      <c r="P297" s="8" t="s">
        <v>7540</v>
      </c>
      <c r="Q297" s="8">
        <v>370.96</v>
      </c>
      <c r="R297" s="8" t="s">
        <v>6938</v>
      </c>
      <c r="S297" s="8" t="s">
        <v>53</v>
      </c>
      <c r="T297" s="8" t="s">
        <v>54</v>
      </c>
      <c r="U297" s="9"/>
    </row>
    <row r="298" spans="1:21" ht="14.5" x14ac:dyDescent="0.35">
      <c r="A298" s="8" t="s">
        <v>7541</v>
      </c>
      <c r="B298" s="8" t="str">
        <f>"9780415038744"</f>
        <v>9780415038744</v>
      </c>
      <c r="C298" s="8" t="str">
        <f>"9780203406175"</f>
        <v>9780203406175</v>
      </c>
      <c r="D298" s="8" t="s">
        <v>6350</v>
      </c>
      <c r="E298" s="8" t="s">
        <v>6351</v>
      </c>
      <c r="F298" s="8" t="s">
        <v>748</v>
      </c>
      <c r="G298" s="8" t="s">
        <v>6352</v>
      </c>
      <c r="H298" s="8">
        <v>34221</v>
      </c>
      <c r="I298" s="8">
        <v>1993</v>
      </c>
      <c r="J298" s="8" t="s">
        <v>6351</v>
      </c>
      <c r="K298" s="8">
        <v>267</v>
      </c>
      <c r="L298" s="8" t="s">
        <v>7542</v>
      </c>
      <c r="M298" s="8">
        <v>1</v>
      </c>
      <c r="N298" s="8"/>
      <c r="O298" s="8"/>
      <c r="P298" s="8" t="s">
        <v>7543</v>
      </c>
      <c r="Q298" s="8">
        <v>330.07114100000001</v>
      </c>
      <c r="R298" s="8" t="s">
        <v>7544</v>
      </c>
      <c r="S298" s="8" t="s">
        <v>53</v>
      </c>
      <c r="T298" s="8" t="s">
        <v>7545</v>
      </c>
      <c r="U298" s="9"/>
    </row>
    <row r="299" spans="1:21" ht="14.5" x14ac:dyDescent="0.35">
      <c r="A299" s="8" t="s">
        <v>7546</v>
      </c>
      <c r="B299" s="8" t="str">
        <f>"9780415052900"</f>
        <v>9780415052900</v>
      </c>
      <c r="C299" s="8" t="str">
        <f>"9780203409480"</f>
        <v>9780203409480</v>
      </c>
      <c r="D299" s="8" t="s">
        <v>6350</v>
      </c>
      <c r="E299" s="8" t="s">
        <v>6351</v>
      </c>
      <c r="F299" s="8" t="s">
        <v>139</v>
      </c>
      <c r="G299" s="8" t="s">
        <v>6317</v>
      </c>
      <c r="H299" s="8">
        <v>33443</v>
      </c>
      <c r="I299" s="8">
        <v>1991</v>
      </c>
      <c r="J299" s="8" t="s">
        <v>6353</v>
      </c>
      <c r="K299" s="8">
        <v>250</v>
      </c>
      <c r="L299" s="8" t="s">
        <v>7547</v>
      </c>
      <c r="M299" s="8">
        <v>1</v>
      </c>
      <c r="N299" s="8"/>
      <c r="O299" s="8"/>
      <c r="P299" s="8" t="s">
        <v>7548</v>
      </c>
      <c r="Q299" s="8" t="s">
        <v>7549</v>
      </c>
      <c r="R299" s="8" t="s">
        <v>7550</v>
      </c>
      <c r="S299" s="8" t="s">
        <v>53</v>
      </c>
      <c r="T299" s="8" t="s">
        <v>54</v>
      </c>
      <c r="U299" s="9"/>
    </row>
    <row r="300" spans="1:21" ht="14.5" x14ac:dyDescent="0.35">
      <c r="A300" s="8" t="s">
        <v>7551</v>
      </c>
      <c r="B300" s="8" t="str">
        <f>"9780415056113"</f>
        <v>9780415056113</v>
      </c>
      <c r="C300" s="8" t="str">
        <f>"9780203411919"</f>
        <v>9780203411919</v>
      </c>
      <c r="D300" s="8" t="s">
        <v>6350</v>
      </c>
      <c r="E300" s="8" t="s">
        <v>6351</v>
      </c>
      <c r="F300" s="8" t="s">
        <v>748</v>
      </c>
      <c r="G300" s="8" t="s">
        <v>6352</v>
      </c>
      <c r="H300" s="8">
        <v>34064</v>
      </c>
      <c r="I300" s="8">
        <v>1992</v>
      </c>
      <c r="J300" s="8" t="s">
        <v>6351</v>
      </c>
      <c r="K300" s="8">
        <v>253</v>
      </c>
      <c r="L300" s="8" t="s">
        <v>6622</v>
      </c>
      <c r="M300" s="8">
        <v>1</v>
      </c>
      <c r="N300" s="8"/>
      <c r="O300" s="8"/>
      <c r="P300" s="8">
        <v>93231879</v>
      </c>
      <c r="Q300" s="8">
        <v>371.2</v>
      </c>
      <c r="R300" s="8" t="s">
        <v>6932</v>
      </c>
      <c r="S300" s="8" t="s">
        <v>53</v>
      </c>
      <c r="T300" s="8" t="s">
        <v>54</v>
      </c>
      <c r="U300" s="9"/>
    </row>
    <row r="301" spans="1:21" ht="14.5" x14ac:dyDescent="0.35">
      <c r="A301" s="8" t="s">
        <v>7552</v>
      </c>
      <c r="B301" s="8" t="str">
        <f>"9780415071994"</f>
        <v>9780415071994</v>
      </c>
      <c r="C301" s="8" t="str">
        <f>"9780203416297"</f>
        <v>9780203416297</v>
      </c>
      <c r="D301" s="8" t="s">
        <v>6350</v>
      </c>
      <c r="E301" s="8" t="s">
        <v>6351</v>
      </c>
      <c r="F301" s="8" t="s">
        <v>3967</v>
      </c>
      <c r="G301" s="8" t="s">
        <v>6352</v>
      </c>
      <c r="H301" s="8">
        <v>34542</v>
      </c>
      <c r="I301" s="8">
        <v>1994</v>
      </c>
      <c r="J301" s="8" t="s">
        <v>6353</v>
      </c>
      <c r="K301" s="8">
        <v>217</v>
      </c>
      <c r="L301" s="8" t="s">
        <v>7553</v>
      </c>
      <c r="M301" s="8">
        <v>1</v>
      </c>
      <c r="N301" s="8"/>
      <c r="O301" s="8"/>
      <c r="P301" s="8" t="s">
        <v>7554</v>
      </c>
      <c r="Q301" s="8">
        <v>371.94</v>
      </c>
      <c r="R301" s="8" t="s">
        <v>7555</v>
      </c>
      <c r="S301" s="8" t="s">
        <v>53</v>
      </c>
      <c r="T301" s="8" t="s">
        <v>54</v>
      </c>
      <c r="U301" s="9"/>
    </row>
    <row r="302" spans="1:21" ht="14.5" x14ac:dyDescent="0.35">
      <c r="A302" s="8" t="s">
        <v>7556</v>
      </c>
      <c r="B302" s="8" t="str">
        <f>"9780415091480"</f>
        <v>9780415091480</v>
      </c>
      <c r="C302" s="8" t="str">
        <f>"9780203421420"</f>
        <v>9780203421420</v>
      </c>
      <c r="D302" s="8" t="s">
        <v>6350</v>
      </c>
      <c r="E302" s="8" t="s">
        <v>6351</v>
      </c>
      <c r="F302" s="8" t="s">
        <v>139</v>
      </c>
      <c r="G302" s="8" t="s">
        <v>6317</v>
      </c>
      <c r="H302" s="8">
        <v>35055</v>
      </c>
      <c r="I302" s="8">
        <v>2004</v>
      </c>
      <c r="J302" s="8" t="s">
        <v>6353</v>
      </c>
      <c r="K302" s="8">
        <v>276</v>
      </c>
      <c r="L302" s="8" t="s">
        <v>7557</v>
      </c>
      <c r="M302" s="8">
        <v>1</v>
      </c>
      <c r="N302" s="8" t="s">
        <v>7558</v>
      </c>
      <c r="O302" s="8"/>
      <c r="P302" s="8" t="s">
        <v>7559</v>
      </c>
      <c r="Q302" s="8">
        <v>379.46</v>
      </c>
      <c r="R302" s="8" t="s">
        <v>7560</v>
      </c>
      <c r="S302" s="8" t="s">
        <v>53</v>
      </c>
      <c r="T302" s="8" t="s">
        <v>54</v>
      </c>
      <c r="U302" s="9"/>
    </row>
    <row r="303" spans="1:21" ht="14.5" x14ac:dyDescent="0.35">
      <c r="A303" s="8" t="s">
        <v>7561</v>
      </c>
      <c r="B303" s="8" t="str">
        <f>"9780415092876"</f>
        <v>9780415092876</v>
      </c>
      <c r="C303" s="8" t="str">
        <f>"9780203421901"</f>
        <v>9780203421901</v>
      </c>
      <c r="D303" s="8" t="s">
        <v>6350</v>
      </c>
      <c r="E303" s="8" t="s">
        <v>6351</v>
      </c>
      <c r="F303" s="8" t="s">
        <v>139</v>
      </c>
      <c r="G303" s="8" t="s">
        <v>6352</v>
      </c>
      <c r="H303" s="8">
        <v>34309</v>
      </c>
      <c r="I303" s="8">
        <v>1993</v>
      </c>
      <c r="J303" s="8" t="s">
        <v>6353</v>
      </c>
      <c r="K303" s="8">
        <v>265</v>
      </c>
      <c r="L303" s="8" t="s">
        <v>7562</v>
      </c>
      <c r="M303" s="8">
        <v>2</v>
      </c>
      <c r="N303" s="8"/>
      <c r="O303" s="8"/>
      <c r="P303" s="8" t="s">
        <v>7563</v>
      </c>
      <c r="Q303" s="8">
        <v>371.81094100000001</v>
      </c>
      <c r="R303" s="8" t="s">
        <v>7564</v>
      </c>
      <c r="S303" s="8" t="s">
        <v>53</v>
      </c>
      <c r="T303" s="8" t="s">
        <v>54</v>
      </c>
      <c r="U303" s="9"/>
    </row>
    <row r="304" spans="1:21" ht="14.5" x14ac:dyDescent="0.35">
      <c r="A304" s="8" t="s">
        <v>7565</v>
      </c>
      <c r="B304" s="8" t="str">
        <f>"9780415101028"</f>
        <v>9780415101028</v>
      </c>
      <c r="C304" s="8" t="str">
        <f>"9780203424605"</f>
        <v>9780203424605</v>
      </c>
      <c r="D304" s="8" t="s">
        <v>6350</v>
      </c>
      <c r="E304" s="8" t="s">
        <v>6351</v>
      </c>
      <c r="F304" s="8" t="s">
        <v>748</v>
      </c>
      <c r="G304" s="8" t="s">
        <v>6352</v>
      </c>
      <c r="H304" s="8">
        <v>35055</v>
      </c>
      <c r="I304" s="8">
        <v>1995</v>
      </c>
      <c r="J304" s="8" t="s">
        <v>6351</v>
      </c>
      <c r="K304" s="8">
        <v>385</v>
      </c>
      <c r="L304" s="8" t="s">
        <v>7566</v>
      </c>
      <c r="M304" s="8">
        <v>2</v>
      </c>
      <c r="N304" s="8"/>
      <c r="O304" s="8"/>
      <c r="P304" s="8">
        <v>95014757</v>
      </c>
      <c r="Q304" s="8">
        <v>370.72</v>
      </c>
      <c r="R304" s="8" t="s">
        <v>6520</v>
      </c>
      <c r="S304" s="8" t="s">
        <v>53</v>
      </c>
      <c r="T304" s="8" t="s">
        <v>54</v>
      </c>
      <c r="U304" s="9"/>
    </row>
    <row r="305" spans="1:21" ht="14.5" x14ac:dyDescent="0.35">
      <c r="A305" s="8" t="s">
        <v>7567</v>
      </c>
      <c r="B305" s="8" t="str">
        <f>"9780415103725"</f>
        <v>9780415103725</v>
      </c>
      <c r="C305" s="8" t="str">
        <f>"9780203425497"</f>
        <v>9780203425497</v>
      </c>
      <c r="D305" s="8" t="s">
        <v>6350</v>
      </c>
      <c r="E305" s="8" t="s">
        <v>6351</v>
      </c>
      <c r="F305" s="8" t="s">
        <v>139</v>
      </c>
      <c r="G305" s="8" t="s">
        <v>6352</v>
      </c>
      <c r="H305" s="8">
        <v>34646</v>
      </c>
      <c r="I305" s="8">
        <v>1994</v>
      </c>
      <c r="J305" s="8" t="s">
        <v>6353</v>
      </c>
      <c r="K305" s="8">
        <v>276</v>
      </c>
      <c r="L305" s="8" t="s">
        <v>6919</v>
      </c>
      <c r="M305" s="8">
        <v>1</v>
      </c>
      <c r="N305" s="8"/>
      <c r="O305" s="8"/>
      <c r="P305" s="8" t="s">
        <v>7568</v>
      </c>
      <c r="Q305" s="8">
        <v>371.58</v>
      </c>
      <c r="R305" s="8" t="s">
        <v>7569</v>
      </c>
      <c r="S305" s="8" t="s">
        <v>53</v>
      </c>
      <c r="T305" s="8" t="s">
        <v>54</v>
      </c>
      <c r="U305" s="9"/>
    </row>
    <row r="306" spans="1:21" ht="14.5" x14ac:dyDescent="0.35">
      <c r="A306" s="8" t="s">
        <v>7570</v>
      </c>
      <c r="B306" s="8" t="str">
        <f>"9780415113854"</f>
        <v>9780415113854</v>
      </c>
      <c r="C306" s="8" t="str">
        <f>"9780203428610"</f>
        <v>9780203428610</v>
      </c>
      <c r="D306" s="8" t="s">
        <v>6350</v>
      </c>
      <c r="E306" s="8" t="s">
        <v>6351</v>
      </c>
      <c r="F306" s="8" t="s">
        <v>139</v>
      </c>
      <c r="G306" s="8" t="s">
        <v>6352</v>
      </c>
      <c r="H306" s="8">
        <v>34845</v>
      </c>
      <c r="I306" s="8">
        <v>1995</v>
      </c>
      <c r="J306" s="8" t="s">
        <v>6353</v>
      </c>
      <c r="K306" s="8">
        <v>235</v>
      </c>
      <c r="L306" s="8" t="s">
        <v>7571</v>
      </c>
      <c r="M306" s="8">
        <v>1</v>
      </c>
      <c r="N306" s="8"/>
      <c r="O306" s="8"/>
      <c r="P306" s="8" t="s">
        <v>7572</v>
      </c>
      <c r="Q306" s="8">
        <v>510.71</v>
      </c>
      <c r="R306" s="8" t="s">
        <v>7573</v>
      </c>
      <c r="S306" s="8" t="s">
        <v>53</v>
      </c>
      <c r="T306" s="8" t="s">
        <v>389</v>
      </c>
      <c r="U306" s="9"/>
    </row>
    <row r="307" spans="1:21" ht="14.5" x14ac:dyDescent="0.35">
      <c r="A307" s="8" t="s">
        <v>7574</v>
      </c>
      <c r="B307" s="8" t="str">
        <f>"9780415127073"</f>
        <v>9780415127073</v>
      </c>
      <c r="C307" s="8" t="str">
        <f>"9780203433560"</f>
        <v>9780203433560</v>
      </c>
      <c r="D307" s="8" t="s">
        <v>6350</v>
      </c>
      <c r="E307" s="8" t="s">
        <v>6351</v>
      </c>
      <c r="F307" s="8" t="s">
        <v>139</v>
      </c>
      <c r="G307" s="8" t="s">
        <v>6352</v>
      </c>
      <c r="H307" s="8">
        <v>34940</v>
      </c>
      <c r="I307" s="8">
        <v>1995</v>
      </c>
      <c r="J307" s="8" t="s">
        <v>6353</v>
      </c>
      <c r="K307" s="8">
        <v>188</v>
      </c>
      <c r="L307" s="8" t="s">
        <v>7575</v>
      </c>
      <c r="M307" s="8">
        <v>3</v>
      </c>
      <c r="N307" s="8"/>
      <c r="O307" s="8"/>
      <c r="P307" s="8" t="s">
        <v>7576</v>
      </c>
      <c r="Q307" s="8">
        <v>379.15310941000001</v>
      </c>
      <c r="R307" s="8" t="s">
        <v>7577</v>
      </c>
      <c r="S307" s="8" t="s">
        <v>53</v>
      </c>
      <c r="T307" s="8" t="s">
        <v>54</v>
      </c>
      <c r="U307" s="9"/>
    </row>
    <row r="308" spans="1:21" ht="14.5" x14ac:dyDescent="0.35">
      <c r="A308" s="8" t="s">
        <v>7578</v>
      </c>
      <c r="B308" s="8" t="str">
        <f>"9780415143417"</f>
        <v>9780415143417</v>
      </c>
      <c r="C308" s="8" t="str">
        <f>"9780203439371"</f>
        <v>9780203439371</v>
      </c>
      <c r="D308" s="8" t="s">
        <v>6350</v>
      </c>
      <c r="E308" s="8" t="s">
        <v>6351</v>
      </c>
      <c r="F308" s="8" t="s">
        <v>139</v>
      </c>
      <c r="G308" s="8" t="s">
        <v>6352</v>
      </c>
      <c r="H308" s="8">
        <v>35591</v>
      </c>
      <c r="I308" s="8">
        <v>1997</v>
      </c>
      <c r="J308" s="8" t="s">
        <v>6353</v>
      </c>
      <c r="K308" s="8">
        <v>132</v>
      </c>
      <c r="L308" s="8" t="s">
        <v>7579</v>
      </c>
      <c r="M308" s="8">
        <v>1</v>
      </c>
      <c r="N308" s="8"/>
      <c r="O308" s="8"/>
      <c r="P308" s="8" t="s">
        <v>7580</v>
      </c>
      <c r="Q308" s="8">
        <v>375.00099999999998</v>
      </c>
      <c r="R308" s="8" t="s">
        <v>6620</v>
      </c>
      <c r="S308" s="8" t="s">
        <v>53</v>
      </c>
      <c r="T308" s="8" t="s">
        <v>54</v>
      </c>
      <c r="U308" s="9"/>
    </row>
    <row r="309" spans="1:21" ht="14.5" x14ac:dyDescent="0.35">
      <c r="A309" s="8" t="s">
        <v>7581</v>
      </c>
      <c r="B309" s="8" t="str">
        <f>"9780415148924"</f>
        <v>9780415148924</v>
      </c>
      <c r="C309" s="8" t="str">
        <f>"9780203441299"</f>
        <v>9780203441299</v>
      </c>
      <c r="D309" s="8" t="s">
        <v>6350</v>
      </c>
      <c r="E309" s="8" t="s">
        <v>6351</v>
      </c>
      <c r="F309" s="8" t="s">
        <v>139</v>
      </c>
      <c r="G309" s="8" t="s">
        <v>6317</v>
      </c>
      <c r="H309" s="8">
        <v>35764</v>
      </c>
      <c r="I309" s="8">
        <v>1997</v>
      </c>
      <c r="J309" s="8" t="s">
        <v>6353</v>
      </c>
      <c r="K309" s="8">
        <v>184</v>
      </c>
      <c r="L309" s="8" t="s">
        <v>7582</v>
      </c>
      <c r="M309" s="8">
        <v>1</v>
      </c>
      <c r="N309" s="8"/>
      <c r="O309" s="8"/>
      <c r="P309" s="8" t="s">
        <v>7583</v>
      </c>
      <c r="Q309" s="8">
        <v>371.10199999999998</v>
      </c>
      <c r="R309" s="8" t="s">
        <v>7584</v>
      </c>
      <c r="S309" s="8" t="s">
        <v>53</v>
      </c>
      <c r="T309" s="8" t="s">
        <v>54</v>
      </c>
      <c r="U309" s="9"/>
    </row>
    <row r="310" spans="1:21" ht="14.5" x14ac:dyDescent="0.35">
      <c r="A310" s="8" t="s">
        <v>7585</v>
      </c>
      <c r="B310" s="8" t="str">
        <f>"9780415153348"</f>
        <v>9780415153348</v>
      </c>
      <c r="C310" s="8" t="str">
        <f>"9780203442777"</f>
        <v>9780203442777</v>
      </c>
      <c r="D310" s="8" t="s">
        <v>6350</v>
      </c>
      <c r="E310" s="8" t="s">
        <v>6351</v>
      </c>
      <c r="F310" s="8" t="s">
        <v>139</v>
      </c>
      <c r="G310" s="8" t="s">
        <v>6317</v>
      </c>
      <c r="H310" s="8">
        <v>35786</v>
      </c>
      <c r="I310" s="8">
        <v>2004</v>
      </c>
      <c r="J310" s="8" t="s">
        <v>6353</v>
      </c>
      <c r="K310" s="8">
        <v>295</v>
      </c>
      <c r="L310" s="8" t="s">
        <v>7586</v>
      </c>
      <c r="M310" s="8">
        <v>1</v>
      </c>
      <c r="N310" s="8" t="s">
        <v>6636</v>
      </c>
      <c r="O310" s="8"/>
      <c r="P310" s="8" t="s">
        <v>7587</v>
      </c>
      <c r="Q310" s="8" t="s">
        <v>7335</v>
      </c>
      <c r="R310" s="8" t="s">
        <v>7588</v>
      </c>
      <c r="S310" s="8" t="s">
        <v>53</v>
      </c>
      <c r="T310" s="8" t="s">
        <v>54</v>
      </c>
      <c r="U310" s="9"/>
    </row>
    <row r="311" spans="1:21" ht="14.5" x14ac:dyDescent="0.35">
      <c r="A311" s="8" t="s">
        <v>7589</v>
      </c>
      <c r="B311" s="8" t="str">
        <f>"9780415198585"</f>
        <v>9780415198585</v>
      </c>
      <c r="C311" s="8" t="str">
        <f>"9780203456620"</f>
        <v>9780203456620</v>
      </c>
      <c r="D311" s="8" t="s">
        <v>6350</v>
      </c>
      <c r="E311" s="8" t="s">
        <v>6351</v>
      </c>
      <c r="F311" s="8" t="s">
        <v>748</v>
      </c>
      <c r="G311" s="8" t="s">
        <v>6352</v>
      </c>
      <c r="H311" s="8">
        <v>36865</v>
      </c>
      <c r="I311" s="8">
        <v>2001</v>
      </c>
      <c r="J311" s="8" t="s">
        <v>6351</v>
      </c>
      <c r="K311" s="8">
        <v>225</v>
      </c>
      <c r="L311" s="8" t="s">
        <v>7590</v>
      </c>
      <c r="M311" s="8">
        <v>1</v>
      </c>
      <c r="N311" s="8" t="s">
        <v>7591</v>
      </c>
      <c r="O311" s="8"/>
      <c r="P311" s="8" t="s">
        <v>7592</v>
      </c>
      <c r="Q311" s="8">
        <v>371.82209419999998</v>
      </c>
      <c r="R311" s="8" t="s">
        <v>7593</v>
      </c>
      <c r="S311" s="8" t="s">
        <v>53</v>
      </c>
      <c r="T311" s="8" t="s">
        <v>54</v>
      </c>
      <c r="U311" s="9"/>
    </row>
    <row r="312" spans="1:21" ht="14.5" x14ac:dyDescent="0.35">
      <c r="A312" s="8" t="s">
        <v>7594</v>
      </c>
      <c r="B312" s="8" t="str">
        <f>"9780415224314"</f>
        <v>9780415224314</v>
      </c>
      <c r="C312" s="8" t="str">
        <f>"9780203464793"</f>
        <v>9780203464793</v>
      </c>
      <c r="D312" s="8" t="s">
        <v>6350</v>
      </c>
      <c r="E312" s="8" t="s">
        <v>6351</v>
      </c>
      <c r="F312" s="8" t="s">
        <v>139</v>
      </c>
      <c r="G312" s="8" t="s">
        <v>6317</v>
      </c>
      <c r="H312" s="8">
        <v>36623</v>
      </c>
      <c r="I312" s="8">
        <v>2004</v>
      </c>
      <c r="J312" s="8" t="s">
        <v>6353</v>
      </c>
      <c r="K312" s="8">
        <v>270</v>
      </c>
      <c r="L312" s="8" t="s">
        <v>7595</v>
      </c>
      <c r="M312" s="8">
        <v>1</v>
      </c>
      <c r="N312" s="8" t="s">
        <v>6954</v>
      </c>
      <c r="O312" s="8"/>
      <c r="P312" s="8" t="s">
        <v>7596</v>
      </c>
      <c r="Q312" s="8">
        <v>370.15</v>
      </c>
      <c r="R312" s="8" t="s">
        <v>7597</v>
      </c>
      <c r="S312" s="8" t="s">
        <v>53</v>
      </c>
      <c r="T312" s="8" t="s">
        <v>54</v>
      </c>
      <c r="U312" s="9"/>
    </row>
    <row r="313" spans="1:21" ht="14.5" x14ac:dyDescent="0.35">
      <c r="A313" s="8" t="s">
        <v>7598</v>
      </c>
      <c r="B313" s="8" t="str">
        <f>"9780415233675"</f>
        <v>9780415233675</v>
      </c>
      <c r="C313" s="8" t="str">
        <f>"9780203468012"</f>
        <v>9780203468012</v>
      </c>
      <c r="D313" s="8" t="s">
        <v>6350</v>
      </c>
      <c r="E313" s="8" t="s">
        <v>6351</v>
      </c>
      <c r="F313" s="8" t="s">
        <v>139</v>
      </c>
      <c r="G313" s="8" t="s">
        <v>6352</v>
      </c>
      <c r="H313" s="8">
        <v>37862</v>
      </c>
      <c r="I313" s="8">
        <v>2002</v>
      </c>
      <c r="J313" s="8" t="s">
        <v>6353</v>
      </c>
      <c r="K313" s="8">
        <v>158</v>
      </c>
      <c r="L313" s="8" t="s">
        <v>7599</v>
      </c>
      <c r="M313" s="8">
        <v>1</v>
      </c>
      <c r="N313" s="8"/>
      <c r="O313" s="8"/>
      <c r="P313" s="8">
        <v>2002027547</v>
      </c>
      <c r="Q313" s="8" t="s">
        <v>7600</v>
      </c>
      <c r="R313" s="8" t="s">
        <v>6534</v>
      </c>
      <c r="S313" s="8" t="s">
        <v>53</v>
      </c>
      <c r="T313" s="8" t="s">
        <v>54</v>
      </c>
      <c r="U313" s="9"/>
    </row>
    <row r="314" spans="1:21" ht="14.5" x14ac:dyDescent="0.35">
      <c r="A314" s="8" t="s">
        <v>7601</v>
      </c>
      <c r="B314" s="8" t="str">
        <f>"9780415234276"</f>
        <v>9780415234276</v>
      </c>
      <c r="C314" s="8" t="str">
        <f>"9780203468241"</f>
        <v>9780203468241</v>
      </c>
      <c r="D314" s="8" t="s">
        <v>6350</v>
      </c>
      <c r="E314" s="8" t="s">
        <v>6351</v>
      </c>
      <c r="F314" s="8" t="s">
        <v>139</v>
      </c>
      <c r="G314" s="8" t="s">
        <v>6352</v>
      </c>
      <c r="H314" s="8">
        <v>36917</v>
      </c>
      <c r="I314" s="8">
        <v>2000</v>
      </c>
      <c r="J314" s="8" t="s">
        <v>6353</v>
      </c>
      <c r="K314" s="8">
        <v>192</v>
      </c>
      <c r="L314" s="8" t="s">
        <v>7602</v>
      </c>
      <c r="M314" s="8">
        <v>1</v>
      </c>
      <c r="N314" s="8"/>
      <c r="O314" s="8"/>
      <c r="P314" s="8" t="s">
        <v>7603</v>
      </c>
      <c r="Q314" s="8">
        <v>371</v>
      </c>
      <c r="R314" s="8" t="s">
        <v>6543</v>
      </c>
      <c r="S314" s="8" t="s">
        <v>53</v>
      </c>
      <c r="T314" s="8" t="s">
        <v>54</v>
      </c>
      <c r="U314" s="9"/>
    </row>
    <row r="315" spans="1:21" ht="14.5" x14ac:dyDescent="0.35">
      <c r="A315" s="8" t="s">
        <v>7604</v>
      </c>
      <c r="B315" s="8" t="str">
        <f>"9780750701761"</f>
        <v>9780750701761</v>
      </c>
      <c r="C315" s="8" t="str">
        <f>"9780203485989"</f>
        <v>9780203485989</v>
      </c>
      <c r="D315" s="8" t="s">
        <v>6350</v>
      </c>
      <c r="E315" s="8" t="s">
        <v>6351</v>
      </c>
      <c r="F315" s="8" t="s">
        <v>139</v>
      </c>
      <c r="G315" s="8" t="s">
        <v>6317</v>
      </c>
      <c r="H315" s="8">
        <v>34304</v>
      </c>
      <c r="I315" s="8">
        <v>2004</v>
      </c>
      <c r="J315" s="8" t="s">
        <v>6353</v>
      </c>
      <c r="K315" s="8">
        <v>237</v>
      </c>
      <c r="L315" s="8" t="s">
        <v>7605</v>
      </c>
      <c r="M315" s="8">
        <v>1</v>
      </c>
      <c r="N315" s="8"/>
      <c r="O315" s="8"/>
      <c r="P315" s="8" t="s">
        <v>7606</v>
      </c>
      <c r="Q315" s="8">
        <v>371.82097299999998</v>
      </c>
      <c r="R315" s="8" t="s">
        <v>7607</v>
      </c>
      <c r="S315" s="8" t="s">
        <v>53</v>
      </c>
      <c r="T315" s="8" t="s">
        <v>54</v>
      </c>
      <c r="U315" s="9"/>
    </row>
    <row r="316" spans="1:21" ht="14.5" x14ac:dyDescent="0.35">
      <c r="A316" s="8" t="s">
        <v>7608</v>
      </c>
      <c r="B316" s="8" t="str">
        <f>"9780750703208"</f>
        <v>9780750703208</v>
      </c>
      <c r="C316" s="8" t="str">
        <f>"9780203485958"</f>
        <v>9780203485958</v>
      </c>
      <c r="D316" s="8" t="s">
        <v>6350</v>
      </c>
      <c r="E316" s="8" t="s">
        <v>6351</v>
      </c>
      <c r="F316" s="8" t="s">
        <v>748</v>
      </c>
      <c r="G316" s="8" t="s">
        <v>6352</v>
      </c>
      <c r="H316" s="8">
        <v>34820</v>
      </c>
      <c r="I316" s="8">
        <v>1988</v>
      </c>
      <c r="J316" s="8" t="s">
        <v>6351</v>
      </c>
      <c r="K316" s="8">
        <v>241</v>
      </c>
      <c r="L316" s="8" t="s">
        <v>7609</v>
      </c>
      <c r="M316" s="8">
        <v>2</v>
      </c>
      <c r="N316" s="8"/>
      <c r="O316" s="8"/>
      <c r="P316" s="8" t="s">
        <v>7610</v>
      </c>
      <c r="Q316" s="8">
        <v>373.19</v>
      </c>
      <c r="R316" s="8" t="s">
        <v>7611</v>
      </c>
      <c r="S316" s="8" t="s">
        <v>53</v>
      </c>
      <c r="T316" s="8" t="s">
        <v>54</v>
      </c>
      <c r="U316" s="9"/>
    </row>
    <row r="317" spans="1:21" ht="14.5" x14ac:dyDescent="0.35">
      <c r="A317" s="8" t="s">
        <v>7612</v>
      </c>
      <c r="B317" s="8" t="str">
        <f>"9780750703710"</f>
        <v>9780750703710</v>
      </c>
      <c r="C317" s="8" t="str">
        <f>"9780203486191"</f>
        <v>9780203486191</v>
      </c>
      <c r="D317" s="8" t="s">
        <v>6350</v>
      </c>
      <c r="E317" s="8" t="s">
        <v>6351</v>
      </c>
      <c r="F317" s="8" t="s">
        <v>139</v>
      </c>
      <c r="G317" s="8" t="s">
        <v>6352</v>
      </c>
      <c r="H317" s="8">
        <v>34700</v>
      </c>
      <c r="I317" s="8">
        <v>2004</v>
      </c>
      <c r="J317" s="8" t="s">
        <v>6353</v>
      </c>
      <c r="K317" s="8">
        <v>260</v>
      </c>
      <c r="L317" s="8" t="s">
        <v>7056</v>
      </c>
      <c r="M317" s="8">
        <v>1</v>
      </c>
      <c r="N317" s="8"/>
      <c r="O317" s="8"/>
      <c r="P317" s="8">
        <v>94036872</v>
      </c>
      <c r="Q317" s="8" t="s">
        <v>7613</v>
      </c>
      <c r="R317" s="8" t="s">
        <v>6547</v>
      </c>
      <c r="S317" s="8" t="s">
        <v>53</v>
      </c>
      <c r="T317" s="8" t="s">
        <v>54</v>
      </c>
      <c r="U317" s="9"/>
    </row>
    <row r="318" spans="1:21" ht="14.5" x14ac:dyDescent="0.35">
      <c r="A318" s="8" t="s">
        <v>7614</v>
      </c>
      <c r="B318" s="8" t="str">
        <f>"9780750704120"</f>
        <v>9780750704120</v>
      </c>
      <c r="C318" s="8" t="str">
        <f>"9780203453568"</f>
        <v>9780203453568</v>
      </c>
      <c r="D318" s="8" t="s">
        <v>6350</v>
      </c>
      <c r="E318" s="8" t="s">
        <v>6351</v>
      </c>
      <c r="F318" s="8" t="s">
        <v>3967</v>
      </c>
      <c r="G318" s="8" t="s">
        <v>6352</v>
      </c>
      <c r="H318" s="8">
        <v>34820</v>
      </c>
      <c r="I318" s="8">
        <v>2004</v>
      </c>
      <c r="J318" s="8" t="s">
        <v>6353</v>
      </c>
      <c r="K318" s="8">
        <v>177</v>
      </c>
      <c r="L318" s="8" t="s">
        <v>7615</v>
      </c>
      <c r="M318" s="8">
        <v>1</v>
      </c>
      <c r="N318" s="8"/>
      <c r="O318" s="8"/>
      <c r="P318" s="8" t="s">
        <v>7616</v>
      </c>
      <c r="Q318" s="8"/>
      <c r="R318" s="8" t="s">
        <v>7617</v>
      </c>
      <c r="S318" s="8" t="s">
        <v>53</v>
      </c>
      <c r="T318" s="8" t="s">
        <v>54</v>
      </c>
      <c r="U318" s="9"/>
    </row>
    <row r="319" spans="1:21" ht="14.5" x14ac:dyDescent="0.35">
      <c r="A319" s="8" t="s">
        <v>7618</v>
      </c>
      <c r="B319" s="8" t="str">
        <f>"9780750704854"</f>
        <v>9780750704854</v>
      </c>
      <c r="C319" s="8" t="str">
        <f>"9780203453858"</f>
        <v>9780203453858</v>
      </c>
      <c r="D319" s="8" t="s">
        <v>6350</v>
      </c>
      <c r="E319" s="8" t="s">
        <v>6351</v>
      </c>
      <c r="F319" s="8" t="s">
        <v>139</v>
      </c>
      <c r="G319" s="8" t="s">
        <v>6352</v>
      </c>
      <c r="H319" s="8">
        <v>35156</v>
      </c>
      <c r="I319" s="8">
        <v>2004</v>
      </c>
      <c r="J319" s="8" t="s">
        <v>6353</v>
      </c>
      <c r="K319" s="8">
        <v>248</v>
      </c>
      <c r="L319" s="8" t="s">
        <v>7619</v>
      </c>
      <c r="M319" s="8">
        <v>1</v>
      </c>
      <c r="N319" s="8" t="s">
        <v>7009</v>
      </c>
      <c r="O319" s="8">
        <v>4</v>
      </c>
      <c r="P319" s="8" t="s">
        <v>7620</v>
      </c>
      <c r="Q319" s="8">
        <v>370.19</v>
      </c>
      <c r="R319" s="8" t="s">
        <v>7621</v>
      </c>
      <c r="S319" s="8" t="s">
        <v>53</v>
      </c>
      <c r="T319" s="8" t="s">
        <v>54</v>
      </c>
      <c r="U319" s="9"/>
    </row>
    <row r="320" spans="1:21" ht="14.5" x14ac:dyDescent="0.35">
      <c r="A320" s="8" t="s">
        <v>7622</v>
      </c>
      <c r="B320" s="8" t="str">
        <f>"9780750705448"</f>
        <v>9780750705448</v>
      </c>
      <c r="C320" s="8" t="str">
        <f>"9780203454084"</f>
        <v>9780203454084</v>
      </c>
      <c r="D320" s="8" t="s">
        <v>6350</v>
      </c>
      <c r="E320" s="8" t="s">
        <v>6351</v>
      </c>
      <c r="F320" s="8" t="s">
        <v>748</v>
      </c>
      <c r="G320" s="8" t="s">
        <v>6352</v>
      </c>
      <c r="H320" s="8">
        <v>35370</v>
      </c>
      <c r="I320" s="8">
        <v>1997</v>
      </c>
      <c r="J320" s="8" t="s">
        <v>6351</v>
      </c>
      <c r="K320" s="8">
        <v>300</v>
      </c>
      <c r="L320" s="8" t="s">
        <v>7623</v>
      </c>
      <c r="M320" s="8">
        <v>1</v>
      </c>
      <c r="N320" s="8"/>
      <c r="O320" s="8"/>
      <c r="P320" s="8" t="s">
        <v>7624</v>
      </c>
      <c r="Q320" s="8">
        <v>372.17109420000003</v>
      </c>
      <c r="R320" s="8" t="s">
        <v>7625</v>
      </c>
      <c r="S320" s="8" t="s">
        <v>53</v>
      </c>
      <c r="T320" s="8" t="s">
        <v>54</v>
      </c>
      <c r="U320" s="9"/>
    </row>
    <row r="321" spans="1:21" ht="14.5" x14ac:dyDescent="0.35">
      <c r="A321" s="8" t="s">
        <v>7626</v>
      </c>
      <c r="B321" s="8" t="str">
        <f>"9780750705509"</f>
        <v>9780750705509</v>
      </c>
      <c r="C321" s="8" t="str">
        <f>"9780203454107"</f>
        <v>9780203454107</v>
      </c>
      <c r="D321" s="8" t="s">
        <v>6350</v>
      </c>
      <c r="E321" s="8" t="s">
        <v>6351</v>
      </c>
      <c r="F321" s="8" t="s">
        <v>748</v>
      </c>
      <c r="G321" s="8" t="s">
        <v>6352</v>
      </c>
      <c r="H321" s="8">
        <v>35125</v>
      </c>
      <c r="I321" s="8">
        <v>1996</v>
      </c>
      <c r="J321" s="8" t="s">
        <v>6351</v>
      </c>
      <c r="K321" s="8">
        <v>151</v>
      </c>
      <c r="L321" s="8" t="s">
        <v>7627</v>
      </c>
      <c r="M321" s="8">
        <v>1</v>
      </c>
      <c r="N321" s="8"/>
      <c r="O321" s="8"/>
      <c r="P321" s="8" t="s">
        <v>7628</v>
      </c>
      <c r="Q321" s="8">
        <v>300.72000000000003</v>
      </c>
      <c r="R321" s="8" t="s">
        <v>7629</v>
      </c>
      <c r="S321" s="8" t="s">
        <v>53</v>
      </c>
      <c r="T321" s="8" t="s">
        <v>6526</v>
      </c>
      <c r="U321" s="9"/>
    </row>
    <row r="322" spans="1:21" ht="14.5" x14ac:dyDescent="0.35">
      <c r="A322" s="8" t="s">
        <v>7630</v>
      </c>
      <c r="B322" s="8" t="str">
        <f>"9780750705943"</f>
        <v>9780750705943</v>
      </c>
      <c r="C322" s="8" t="str">
        <f>"9780203454329"</f>
        <v>9780203454329</v>
      </c>
      <c r="D322" s="8" t="s">
        <v>6350</v>
      </c>
      <c r="E322" s="8" t="s">
        <v>6351</v>
      </c>
      <c r="F322" s="8" t="s">
        <v>139</v>
      </c>
      <c r="G322" s="8" t="s">
        <v>6317</v>
      </c>
      <c r="H322" s="8">
        <v>35400</v>
      </c>
      <c r="I322" s="8">
        <v>1997</v>
      </c>
      <c r="J322" s="8" t="s">
        <v>6353</v>
      </c>
      <c r="K322" s="8">
        <v>215</v>
      </c>
      <c r="L322" s="8" t="s">
        <v>7631</v>
      </c>
      <c r="M322" s="8">
        <v>1</v>
      </c>
      <c r="N322" s="8"/>
      <c r="O322" s="8"/>
      <c r="P322" s="8" t="s">
        <v>7632</v>
      </c>
      <c r="Q322" s="8">
        <v>372.19</v>
      </c>
      <c r="R322" s="8" t="s">
        <v>7633</v>
      </c>
      <c r="S322" s="8" t="s">
        <v>53</v>
      </c>
      <c r="T322" s="8" t="s">
        <v>54</v>
      </c>
      <c r="U322" s="9"/>
    </row>
    <row r="323" spans="1:21" ht="14.5" x14ac:dyDescent="0.35">
      <c r="A323" s="8" t="s">
        <v>7634</v>
      </c>
      <c r="B323" s="8" t="str">
        <f>"9780750707244"</f>
        <v>9780750707244</v>
      </c>
      <c r="C323" s="8" t="str">
        <f>"9780203486641"</f>
        <v>9780203486641</v>
      </c>
      <c r="D323" s="8" t="s">
        <v>6350</v>
      </c>
      <c r="E323" s="8" t="s">
        <v>6351</v>
      </c>
      <c r="F323" s="8" t="s">
        <v>3967</v>
      </c>
      <c r="G323" s="8" t="s">
        <v>6352</v>
      </c>
      <c r="H323" s="8">
        <v>35674</v>
      </c>
      <c r="I323" s="8">
        <v>1998</v>
      </c>
      <c r="J323" s="8" t="s">
        <v>6353</v>
      </c>
      <c r="K323" s="8">
        <v>200</v>
      </c>
      <c r="L323" s="8" t="s">
        <v>7635</v>
      </c>
      <c r="M323" s="8">
        <v>1</v>
      </c>
      <c r="N323" s="8"/>
      <c r="O323" s="8"/>
      <c r="P323" s="8" t="s">
        <v>7636</v>
      </c>
      <c r="Q323" s="8"/>
      <c r="R323" s="8" t="s">
        <v>6932</v>
      </c>
      <c r="S323" s="8" t="s">
        <v>53</v>
      </c>
      <c r="T323" s="8" t="s">
        <v>54</v>
      </c>
      <c r="U323" s="9"/>
    </row>
    <row r="324" spans="1:21" ht="14.5" x14ac:dyDescent="0.35">
      <c r="A324" s="8" t="s">
        <v>7637</v>
      </c>
      <c r="B324" s="8" t="str">
        <f>"9780750708340"</f>
        <v>9780750708340</v>
      </c>
      <c r="C324" s="8" t="str">
        <f>"9780203486993"</f>
        <v>9780203486993</v>
      </c>
      <c r="D324" s="8" t="s">
        <v>6350</v>
      </c>
      <c r="E324" s="8" t="s">
        <v>6351</v>
      </c>
      <c r="F324" s="8" t="s">
        <v>748</v>
      </c>
      <c r="G324" s="8" t="s">
        <v>6352</v>
      </c>
      <c r="H324" s="8">
        <v>36280</v>
      </c>
      <c r="I324" s="8">
        <v>1999</v>
      </c>
      <c r="J324" s="8" t="s">
        <v>6351</v>
      </c>
      <c r="K324" s="8">
        <v>148</v>
      </c>
      <c r="L324" s="8" t="s">
        <v>7638</v>
      </c>
      <c r="M324" s="8">
        <v>1</v>
      </c>
      <c r="N324" s="8"/>
      <c r="O324" s="8"/>
      <c r="P324" s="8">
        <v>552181</v>
      </c>
      <c r="Q324" s="8">
        <v>372.12009419999998</v>
      </c>
      <c r="R324" s="8" t="s">
        <v>7639</v>
      </c>
      <c r="S324" s="8" t="s">
        <v>53</v>
      </c>
      <c r="T324" s="8" t="s">
        <v>54</v>
      </c>
      <c r="U324" s="9"/>
    </row>
    <row r="325" spans="1:21" ht="14.5" x14ac:dyDescent="0.35">
      <c r="A325" s="8" t="s">
        <v>7640</v>
      </c>
      <c r="B325" s="8" t="str">
        <f>"9780750709866"</f>
        <v>9780750709866</v>
      </c>
      <c r="C325" s="8" t="str">
        <f>"9780203487501"</f>
        <v>9780203487501</v>
      </c>
      <c r="D325" s="8" t="s">
        <v>6350</v>
      </c>
      <c r="E325" s="8" t="s">
        <v>6351</v>
      </c>
      <c r="F325" s="8" t="s">
        <v>3967</v>
      </c>
      <c r="G325" s="8" t="s">
        <v>6352</v>
      </c>
      <c r="H325" s="8">
        <v>36312</v>
      </c>
      <c r="I325" s="8">
        <v>1999</v>
      </c>
      <c r="J325" s="8" t="s">
        <v>6353</v>
      </c>
      <c r="K325" s="8">
        <v>159</v>
      </c>
      <c r="L325" s="8" t="s">
        <v>7641</v>
      </c>
      <c r="M325" s="8">
        <v>1</v>
      </c>
      <c r="N325" s="8"/>
      <c r="O325" s="8"/>
      <c r="P325" s="8" t="s">
        <v>7642</v>
      </c>
      <c r="Q325" s="8"/>
      <c r="R325" s="8" t="s">
        <v>7326</v>
      </c>
      <c r="S325" s="8" t="s">
        <v>53</v>
      </c>
      <c r="T325" s="8" t="s">
        <v>54</v>
      </c>
      <c r="U325" s="9"/>
    </row>
    <row r="326" spans="1:21" ht="14.5" x14ac:dyDescent="0.35">
      <c r="A326" s="8" t="s">
        <v>7643</v>
      </c>
      <c r="B326" s="8" t="str">
        <f>"9780415927635"</f>
        <v>9780415927635</v>
      </c>
      <c r="C326" s="8" t="str">
        <f>"9780203800171"</f>
        <v>9780203800171</v>
      </c>
      <c r="D326" s="8" t="s">
        <v>6350</v>
      </c>
      <c r="E326" s="8" t="s">
        <v>6351</v>
      </c>
      <c r="F326" s="8" t="s">
        <v>70</v>
      </c>
      <c r="G326" s="8" t="s">
        <v>6317</v>
      </c>
      <c r="H326" s="8">
        <v>36843</v>
      </c>
      <c r="I326" s="8">
        <v>2001</v>
      </c>
      <c r="J326" s="8" t="s">
        <v>6353</v>
      </c>
      <c r="K326" s="8">
        <v>352</v>
      </c>
      <c r="L326" s="8" t="s">
        <v>7644</v>
      </c>
      <c r="M326" s="8">
        <v>2</v>
      </c>
      <c r="N326" s="8"/>
      <c r="O326" s="8"/>
      <c r="P326" s="8" t="s">
        <v>7645</v>
      </c>
      <c r="Q326" s="8">
        <v>373.73</v>
      </c>
      <c r="R326" s="8" t="s">
        <v>6543</v>
      </c>
      <c r="S326" s="8" t="s">
        <v>53</v>
      </c>
      <c r="T326" s="8" t="s">
        <v>54</v>
      </c>
      <c r="U326" s="9"/>
    </row>
    <row r="327" spans="1:21" ht="14.5" x14ac:dyDescent="0.35">
      <c r="A327" s="8" t="s">
        <v>7646</v>
      </c>
      <c r="B327" s="8" t="str">
        <f>"9780815311799"</f>
        <v>9780815311799</v>
      </c>
      <c r="C327" s="8" t="str">
        <f>"9780203800072"</f>
        <v>9780203800072</v>
      </c>
      <c r="D327" s="8" t="s">
        <v>6350</v>
      </c>
      <c r="E327" s="8" t="s">
        <v>6351</v>
      </c>
      <c r="F327" s="8" t="s">
        <v>7385</v>
      </c>
      <c r="G327" s="8" t="s">
        <v>6317</v>
      </c>
      <c r="H327" s="8">
        <v>36130</v>
      </c>
      <c r="I327" s="8">
        <v>2000</v>
      </c>
      <c r="J327" s="8" t="s">
        <v>6353</v>
      </c>
      <c r="K327" s="8">
        <v>562</v>
      </c>
      <c r="L327" s="8" t="s">
        <v>7647</v>
      </c>
      <c r="M327" s="8">
        <v>1</v>
      </c>
      <c r="N327" s="8" t="s">
        <v>7648</v>
      </c>
      <c r="O327" s="8"/>
      <c r="P327" s="8" t="s">
        <v>7649</v>
      </c>
      <c r="Q327" s="8">
        <v>371.90460000000002</v>
      </c>
      <c r="R327" s="8" t="s">
        <v>7650</v>
      </c>
      <c r="S327" s="8" t="s">
        <v>53</v>
      </c>
      <c r="T327" s="8" t="s">
        <v>54</v>
      </c>
      <c r="U327" s="9"/>
    </row>
    <row r="328" spans="1:21" ht="14.5" x14ac:dyDescent="0.35">
      <c r="A328" s="8" t="s">
        <v>7651</v>
      </c>
      <c r="B328" s="8" t="str">
        <f>"9780815324447"</f>
        <v>9780815324447</v>
      </c>
      <c r="C328" s="8" t="str">
        <f>"9780203800010"</f>
        <v>9780203800010</v>
      </c>
      <c r="D328" s="8" t="s">
        <v>6350</v>
      </c>
      <c r="E328" s="8" t="s">
        <v>6351</v>
      </c>
      <c r="F328" s="8" t="s">
        <v>748</v>
      </c>
      <c r="G328" s="8" t="s">
        <v>6352</v>
      </c>
      <c r="H328" s="8">
        <v>35886</v>
      </c>
      <c r="I328" s="8">
        <v>1999</v>
      </c>
      <c r="J328" s="8" t="s">
        <v>6351</v>
      </c>
      <c r="K328" s="8">
        <v>356</v>
      </c>
      <c r="L328" s="8" t="s">
        <v>7652</v>
      </c>
      <c r="M328" s="8">
        <v>1</v>
      </c>
      <c r="N328" s="8" t="s">
        <v>7653</v>
      </c>
      <c r="O328" s="8"/>
      <c r="P328" s="8">
        <v>99016472</v>
      </c>
      <c r="Q328" s="8">
        <v>372.21</v>
      </c>
      <c r="R328" s="8" t="s">
        <v>7654</v>
      </c>
      <c r="S328" s="8" t="s">
        <v>53</v>
      </c>
      <c r="T328" s="8" t="s">
        <v>54</v>
      </c>
      <c r="U328" s="9"/>
    </row>
    <row r="329" spans="1:21" ht="14.5" x14ac:dyDescent="0.35">
      <c r="A329" s="8" t="s">
        <v>7655</v>
      </c>
      <c r="B329" s="8" t="str">
        <f>"9780815334644"</f>
        <v>9780815334644</v>
      </c>
      <c r="C329" s="8" t="str">
        <f>"9780203800126"</f>
        <v>9780203800126</v>
      </c>
      <c r="D329" s="8" t="s">
        <v>6350</v>
      </c>
      <c r="E329" s="8" t="s">
        <v>6351</v>
      </c>
      <c r="F329" s="8" t="s">
        <v>7385</v>
      </c>
      <c r="G329" s="8" t="s">
        <v>6317</v>
      </c>
      <c r="H329" s="8">
        <v>36495</v>
      </c>
      <c r="I329" s="8">
        <v>2000</v>
      </c>
      <c r="J329" s="8" t="s">
        <v>6353</v>
      </c>
      <c r="K329" s="8">
        <v>280</v>
      </c>
      <c r="L329" s="8" t="s">
        <v>7656</v>
      </c>
      <c r="M329" s="8">
        <v>1</v>
      </c>
      <c r="N329" s="8" t="s">
        <v>7395</v>
      </c>
      <c r="O329" s="8">
        <v>3</v>
      </c>
      <c r="P329" s="8" t="s">
        <v>7657</v>
      </c>
      <c r="Q329" s="8" t="s">
        <v>7658</v>
      </c>
      <c r="R329" s="8" t="s">
        <v>7659</v>
      </c>
      <c r="S329" s="8" t="s">
        <v>53</v>
      </c>
      <c r="T329" s="8" t="s">
        <v>6472</v>
      </c>
      <c r="U329" s="9"/>
    </row>
    <row r="330" spans="1:21" ht="14.5" x14ac:dyDescent="0.35">
      <c r="A330" s="8" t="s">
        <v>7660</v>
      </c>
      <c r="B330" s="8" t="str">
        <f>"9780415093149"</f>
        <v>9780415093149</v>
      </c>
      <c r="C330" s="8" t="str">
        <f>"9780203422021"</f>
        <v>9780203422021</v>
      </c>
      <c r="D330" s="8" t="s">
        <v>6350</v>
      </c>
      <c r="E330" s="8" t="s">
        <v>6351</v>
      </c>
      <c r="F330" s="8" t="s">
        <v>139</v>
      </c>
      <c r="G330" s="8" t="s">
        <v>6352</v>
      </c>
      <c r="H330" s="8">
        <v>34509</v>
      </c>
      <c r="I330" s="8">
        <v>2004</v>
      </c>
      <c r="J330" s="8" t="s">
        <v>6353</v>
      </c>
      <c r="K330" s="8">
        <v>278</v>
      </c>
      <c r="L330" s="8" t="s">
        <v>7661</v>
      </c>
      <c r="M330" s="8">
        <v>1</v>
      </c>
      <c r="N330" s="8"/>
      <c r="O330" s="8"/>
      <c r="P330" s="8" t="s">
        <v>7662</v>
      </c>
      <c r="Q330" s="8" t="s">
        <v>7663</v>
      </c>
      <c r="R330" s="8" t="s">
        <v>6396</v>
      </c>
      <c r="S330" s="8" t="s">
        <v>53</v>
      </c>
      <c r="T330" s="8" t="s">
        <v>7664</v>
      </c>
      <c r="U330" s="9"/>
    </row>
    <row r="331" spans="1:21" ht="14.5" x14ac:dyDescent="0.35">
      <c r="A331" s="8" t="s">
        <v>7665</v>
      </c>
      <c r="B331" s="8" t="str">
        <f>"9780415071970"</f>
        <v>9780415071970</v>
      </c>
      <c r="C331" s="8" t="str">
        <f>"9780203193839"</f>
        <v>9780203193839</v>
      </c>
      <c r="D331" s="8" t="s">
        <v>6350</v>
      </c>
      <c r="E331" s="8" t="s">
        <v>6351</v>
      </c>
      <c r="F331" s="8" t="s">
        <v>139</v>
      </c>
      <c r="G331" s="8" t="s">
        <v>6352</v>
      </c>
      <c r="H331" s="8">
        <v>33770</v>
      </c>
      <c r="I331" s="8">
        <v>1990</v>
      </c>
      <c r="J331" s="8" t="s">
        <v>6353</v>
      </c>
      <c r="K331" s="8">
        <v>272</v>
      </c>
      <c r="L331" s="8" t="s">
        <v>7666</v>
      </c>
      <c r="M331" s="8">
        <v>1</v>
      </c>
      <c r="N331" s="8"/>
      <c r="O331" s="8"/>
      <c r="P331" s="8" t="s">
        <v>7667</v>
      </c>
      <c r="Q331" s="8">
        <v>370.19</v>
      </c>
      <c r="R331" s="8" t="s">
        <v>7668</v>
      </c>
      <c r="S331" s="8" t="s">
        <v>53</v>
      </c>
      <c r="T331" s="8" t="s">
        <v>54</v>
      </c>
      <c r="U331" s="9"/>
    </row>
    <row r="332" spans="1:21" ht="14.5" x14ac:dyDescent="0.35">
      <c r="A332" s="8" t="s">
        <v>7669</v>
      </c>
      <c r="B332" s="8" t="str">
        <f>"9780415011150"</f>
        <v>9780415011150</v>
      </c>
      <c r="C332" s="8" t="str">
        <f>"9780203032527"</f>
        <v>9780203032527</v>
      </c>
      <c r="D332" s="8" t="s">
        <v>6350</v>
      </c>
      <c r="E332" s="8" t="s">
        <v>6351</v>
      </c>
      <c r="F332" s="8" t="s">
        <v>748</v>
      </c>
      <c r="G332" s="8" t="s">
        <v>6352</v>
      </c>
      <c r="H332" s="8">
        <v>32764</v>
      </c>
      <c r="I332" s="8">
        <v>1989</v>
      </c>
      <c r="J332" s="8" t="s">
        <v>6351</v>
      </c>
      <c r="K332" s="8">
        <v>241</v>
      </c>
      <c r="L332" s="8" t="s">
        <v>7670</v>
      </c>
      <c r="M332" s="8">
        <v>1</v>
      </c>
      <c r="N332" s="8"/>
      <c r="O332" s="8"/>
      <c r="P332" s="8" t="s">
        <v>7671</v>
      </c>
      <c r="Q332" s="8">
        <v>372.11020000000002</v>
      </c>
      <c r="R332" s="8" t="s">
        <v>7672</v>
      </c>
      <c r="S332" s="8" t="s">
        <v>53</v>
      </c>
      <c r="T332" s="8" t="s">
        <v>54</v>
      </c>
      <c r="U332" s="9"/>
    </row>
    <row r="333" spans="1:21" ht="14.5" x14ac:dyDescent="0.35">
      <c r="A333" s="8" t="s">
        <v>7673</v>
      </c>
      <c r="B333" s="8" t="str">
        <f>"9780415005739"</f>
        <v>9780415005739</v>
      </c>
      <c r="C333" s="8" t="str">
        <f>"9780203039526"</f>
        <v>9780203039526</v>
      </c>
      <c r="D333" s="8" t="s">
        <v>6350</v>
      </c>
      <c r="E333" s="8" t="s">
        <v>6351</v>
      </c>
      <c r="F333" s="8" t="s">
        <v>139</v>
      </c>
      <c r="G333" s="8" t="s">
        <v>6317</v>
      </c>
      <c r="H333" s="8">
        <v>33141</v>
      </c>
      <c r="I333" s="8">
        <v>2002</v>
      </c>
      <c r="J333" s="8" t="s">
        <v>6353</v>
      </c>
      <c r="K333" s="8">
        <v>265</v>
      </c>
      <c r="L333" s="8" t="s">
        <v>7674</v>
      </c>
      <c r="M333" s="8">
        <v>1</v>
      </c>
      <c r="N333" s="8"/>
      <c r="O333" s="8"/>
      <c r="P333" s="8" t="s">
        <v>7675</v>
      </c>
      <c r="Q333" s="8">
        <v>374</v>
      </c>
      <c r="R333" s="8" t="s">
        <v>7676</v>
      </c>
      <c r="S333" s="8" t="s">
        <v>53</v>
      </c>
      <c r="T333" s="8" t="s">
        <v>54</v>
      </c>
      <c r="U333" s="9"/>
    </row>
    <row r="334" spans="1:21" ht="14.5" x14ac:dyDescent="0.35">
      <c r="A334" s="8" t="s">
        <v>7677</v>
      </c>
      <c r="B334" s="8" t="str">
        <f>"9780415170178"</f>
        <v>9780415170178</v>
      </c>
      <c r="C334" s="8" t="str">
        <f>"9780203019559"</f>
        <v>9780203019559</v>
      </c>
      <c r="D334" s="8" t="s">
        <v>6350</v>
      </c>
      <c r="E334" s="8" t="s">
        <v>6351</v>
      </c>
      <c r="F334" s="8" t="s">
        <v>139</v>
      </c>
      <c r="G334" s="8" t="s">
        <v>6317</v>
      </c>
      <c r="H334" s="8">
        <v>36013</v>
      </c>
      <c r="I334" s="8">
        <v>1999</v>
      </c>
      <c r="J334" s="8" t="s">
        <v>6353</v>
      </c>
      <c r="K334" s="8">
        <v>195</v>
      </c>
      <c r="L334" s="8" t="s">
        <v>7678</v>
      </c>
      <c r="M334" s="8">
        <v>1</v>
      </c>
      <c r="N334" s="8"/>
      <c r="O334" s="8"/>
      <c r="P334" s="8" t="s">
        <v>7679</v>
      </c>
      <c r="Q334" s="8">
        <v>372.4</v>
      </c>
      <c r="R334" s="8" t="s">
        <v>7680</v>
      </c>
      <c r="S334" s="8" t="s">
        <v>53</v>
      </c>
      <c r="T334" s="8" t="s">
        <v>54</v>
      </c>
      <c r="U334" s="9"/>
    </row>
    <row r="335" spans="1:21" ht="14.5" x14ac:dyDescent="0.35">
      <c r="A335" s="8" t="s">
        <v>7681</v>
      </c>
      <c r="B335" s="8" t="str">
        <f>"9780415210034"</f>
        <v>9780415210034</v>
      </c>
      <c r="C335" s="8" t="str">
        <f>"9780203207260"</f>
        <v>9780203207260</v>
      </c>
      <c r="D335" s="8" t="s">
        <v>6350</v>
      </c>
      <c r="E335" s="8" t="s">
        <v>6351</v>
      </c>
      <c r="F335" s="8" t="s">
        <v>139</v>
      </c>
      <c r="G335" s="8" t="s">
        <v>6317</v>
      </c>
      <c r="H335" s="8">
        <v>36372</v>
      </c>
      <c r="I335" s="8">
        <v>2002</v>
      </c>
      <c r="J335" s="8" t="s">
        <v>6353</v>
      </c>
      <c r="K335" s="8">
        <v>269</v>
      </c>
      <c r="L335" s="8" t="s">
        <v>7682</v>
      </c>
      <c r="M335" s="8">
        <v>1</v>
      </c>
      <c r="N335" s="8"/>
      <c r="O335" s="8"/>
      <c r="P335" s="8" t="s">
        <v>7683</v>
      </c>
      <c r="Q335" s="8">
        <v>155.41300000000001</v>
      </c>
      <c r="R335" s="8" t="s">
        <v>7684</v>
      </c>
      <c r="S335" s="8" t="s">
        <v>53</v>
      </c>
      <c r="T335" s="8" t="s">
        <v>483</v>
      </c>
      <c r="U335" s="9"/>
    </row>
    <row r="336" spans="1:21" ht="14.5" x14ac:dyDescent="0.35">
      <c r="A336" s="8" t="s">
        <v>7685</v>
      </c>
      <c r="B336" s="8" t="str">
        <f>"9780415194419"</f>
        <v>9780415194419</v>
      </c>
      <c r="C336" s="8" t="str">
        <f>"9780203072240"</f>
        <v>9780203072240</v>
      </c>
      <c r="D336" s="8" t="s">
        <v>6350</v>
      </c>
      <c r="E336" s="8" t="s">
        <v>6351</v>
      </c>
      <c r="F336" s="8" t="s">
        <v>139</v>
      </c>
      <c r="G336" s="8" t="s">
        <v>6352</v>
      </c>
      <c r="H336" s="8">
        <v>36266</v>
      </c>
      <c r="I336" s="8">
        <v>1999</v>
      </c>
      <c r="J336" s="8" t="s">
        <v>6353</v>
      </c>
      <c r="K336" s="8">
        <v>234</v>
      </c>
      <c r="L336" s="8" t="s">
        <v>7686</v>
      </c>
      <c r="M336" s="8">
        <v>1</v>
      </c>
      <c r="N336" s="8"/>
      <c r="O336" s="8"/>
      <c r="P336" s="8" t="s">
        <v>7687</v>
      </c>
      <c r="Q336" s="8">
        <v>371.40460000000002</v>
      </c>
      <c r="R336" s="8" t="s">
        <v>7275</v>
      </c>
      <c r="S336" s="8" t="s">
        <v>53</v>
      </c>
      <c r="T336" s="8" t="s">
        <v>54</v>
      </c>
      <c r="U336" s="9"/>
    </row>
    <row r="337" spans="1:21" ht="14.5" x14ac:dyDescent="0.35">
      <c r="A337" s="8" t="s">
        <v>7688</v>
      </c>
      <c r="B337" s="8" t="str">
        <f>"9780415196864"</f>
        <v>9780415196864</v>
      </c>
      <c r="C337" s="8" t="str">
        <f>"9780203071113"</f>
        <v>9780203071113</v>
      </c>
      <c r="D337" s="8" t="s">
        <v>6350</v>
      </c>
      <c r="E337" s="8" t="s">
        <v>6351</v>
      </c>
      <c r="F337" s="8" t="s">
        <v>748</v>
      </c>
      <c r="G337" s="8" t="s">
        <v>6352</v>
      </c>
      <c r="H337" s="8">
        <v>36332</v>
      </c>
      <c r="I337" s="8">
        <v>1999</v>
      </c>
      <c r="J337" s="8" t="s">
        <v>6351</v>
      </c>
      <c r="K337" s="8">
        <v>101</v>
      </c>
      <c r="L337" s="8" t="s">
        <v>7689</v>
      </c>
      <c r="M337" s="8">
        <v>1</v>
      </c>
      <c r="N337" s="8"/>
      <c r="O337" s="8"/>
      <c r="P337" s="8" t="s">
        <v>7690</v>
      </c>
      <c r="Q337" s="8">
        <v>371.260941</v>
      </c>
      <c r="R337" s="8" t="s">
        <v>7691</v>
      </c>
      <c r="S337" s="8" t="s">
        <v>53</v>
      </c>
      <c r="T337" s="8" t="s">
        <v>54</v>
      </c>
      <c r="U337" s="9"/>
    </row>
    <row r="338" spans="1:21" ht="14.5" x14ac:dyDescent="0.35">
      <c r="A338" s="8" t="s">
        <v>7692</v>
      </c>
      <c r="B338" s="8" t="str">
        <f>"9781850008552"</f>
        <v>9781850008552</v>
      </c>
      <c r="C338" s="8" t="str">
        <f>"9780203141960"</f>
        <v>9780203141960</v>
      </c>
      <c r="D338" s="8" t="s">
        <v>6350</v>
      </c>
      <c r="E338" s="8" t="s">
        <v>6351</v>
      </c>
      <c r="F338" s="8" t="s">
        <v>139</v>
      </c>
      <c r="G338" s="8" t="s">
        <v>6352</v>
      </c>
      <c r="H338" s="8">
        <v>33329</v>
      </c>
      <c r="I338" s="8">
        <v>1991</v>
      </c>
      <c r="J338" s="8" t="s">
        <v>6353</v>
      </c>
      <c r="K338" s="8">
        <v>229</v>
      </c>
      <c r="L338" s="8" t="s">
        <v>7693</v>
      </c>
      <c r="M338" s="8">
        <v>1</v>
      </c>
      <c r="N338" s="8" t="s">
        <v>6585</v>
      </c>
      <c r="O338" s="8"/>
      <c r="P338" s="8">
        <v>90048863</v>
      </c>
      <c r="Q338" s="8" t="s">
        <v>7694</v>
      </c>
      <c r="R338" s="8" t="s">
        <v>6520</v>
      </c>
      <c r="S338" s="8" t="s">
        <v>53</v>
      </c>
      <c r="T338" s="8" t="s">
        <v>54</v>
      </c>
      <c r="U338" s="9"/>
    </row>
    <row r="339" spans="1:21" ht="14.5" x14ac:dyDescent="0.35">
      <c r="A339" s="8" t="s">
        <v>7695</v>
      </c>
      <c r="B339" s="8" t="str">
        <f>"9780415065498"</f>
        <v>9780415065498</v>
      </c>
      <c r="C339" s="8" t="str">
        <f>"9780203035382"</f>
        <v>9780203035382</v>
      </c>
      <c r="D339" s="8" t="s">
        <v>6350</v>
      </c>
      <c r="E339" s="8" t="s">
        <v>6351</v>
      </c>
      <c r="F339" s="8" t="s">
        <v>748</v>
      </c>
      <c r="G339" s="8" t="s">
        <v>6352</v>
      </c>
      <c r="H339" s="8">
        <v>33908</v>
      </c>
      <c r="I339" s="8">
        <v>1992</v>
      </c>
      <c r="J339" s="8" t="s">
        <v>6351</v>
      </c>
      <c r="K339" s="8">
        <v>546</v>
      </c>
      <c r="L339" s="8" t="s">
        <v>7696</v>
      </c>
      <c r="M339" s="8">
        <v>1</v>
      </c>
      <c r="N339" s="8"/>
      <c r="O339" s="8"/>
      <c r="P339" s="8" t="s">
        <v>7697</v>
      </c>
      <c r="Q339" s="8">
        <v>371.2</v>
      </c>
      <c r="R339" s="8" t="s">
        <v>7698</v>
      </c>
      <c r="S339" s="8" t="s">
        <v>53</v>
      </c>
      <c r="T339" s="8" t="s">
        <v>54</v>
      </c>
      <c r="U339" s="9"/>
    </row>
    <row r="340" spans="1:21" ht="14.5" x14ac:dyDescent="0.35">
      <c r="A340" s="8" t="s">
        <v>7699</v>
      </c>
      <c r="B340" s="8" t="str">
        <f>"9780415216579"</f>
        <v>9780415216579</v>
      </c>
      <c r="C340" s="8" t="str">
        <f>"9780203053058"</f>
        <v>9780203053058</v>
      </c>
      <c r="D340" s="8" t="s">
        <v>6350</v>
      </c>
      <c r="E340" s="8" t="s">
        <v>6351</v>
      </c>
      <c r="F340" s="8" t="s">
        <v>139</v>
      </c>
      <c r="G340" s="8" t="s">
        <v>6317</v>
      </c>
      <c r="H340" s="8">
        <v>36363</v>
      </c>
      <c r="I340" s="8">
        <v>1999</v>
      </c>
      <c r="J340" s="8" t="s">
        <v>6353</v>
      </c>
      <c r="K340" s="8">
        <v>213</v>
      </c>
      <c r="L340" s="8" t="s">
        <v>7700</v>
      </c>
      <c r="M340" s="8">
        <v>1</v>
      </c>
      <c r="N340" s="8"/>
      <c r="O340" s="8"/>
      <c r="P340" s="8" t="s">
        <v>7701</v>
      </c>
      <c r="Q340" s="8">
        <v>372.6</v>
      </c>
      <c r="R340" s="8" t="s">
        <v>7702</v>
      </c>
      <c r="S340" s="8" t="s">
        <v>53</v>
      </c>
      <c r="T340" s="8" t="s">
        <v>54</v>
      </c>
      <c r="U340" s="9"/>
    </row>
    <row r="341" spans="1:21" ht="14.5" x14ac:dyDescent="0.35">
      <c r="A341" s="8" t="s">
        <v>7703</v>
      </c>
      <c r="B341" s="8" t="str">
        <f>"9780415203067"</f>
        <v>9780415203067</v>
      </c>
      <c r="C341" s="8" t="str">
        <f>"9780203161760"</f>
        <v>9780203161760</v>
      </c>
      <c r="D341" s="8" t="s">
        <v>6350</v>
      </c>
      <c r="E341" s="8" t="s">
        <v>6351</v>
      </c>
      <c r="F341" s="8" t="s">
        <v>3967</v>
      </c>
      <c r="G341" s="8" t="s">
        <v>6352</v>
      </c>
      <c r="H341" s="8">
        <v>36509</v>
      </c>
      <c r="I341" s="8">
        <v>1999</v>
      </c>
      <c r="J341" s="8" t="s">
        <v>6353</v>
      </c>
      <c r="K341" s="8">
        <v>182</v>
      </c>
      <c r="L341" s="8" t="s">
        <v>7704</v>
      </c>
      <c r="M341" s="8">
        <v>1</v>
      </c>
      <c r="N341" s="8"/>
      <c r="O341" s="8"/>
      <c r="P341" s="8">
        <v>99028349</v>
      </c>
      <c r="Q341" s="8" t="s">
        <v>7705</v>
      </c>
      <c r="R341" s="8" t="s">
        <v>7706</v>
      </c>
      <c r="S341" s="8" t="s">
        <v>53</v>
      </c>
      <c r="T341" s="8" t="s">
        <v>54</v>
      </c>
      <c r="U341" s="9"/>
    </row>
    <row r="342" spans="1:21" ht="14.5" x14ac:dyDescent="0.35">
      <c r="A342" s="8" t="s">
        <v>7707</v>
      </c>
      <c r="B342" s="8" t="str">
        <f>"9780415206686"</f>
        <v>9780415206686</v>
      </c>
      <c r="C342" s="8" t="str">
        <f>"9780203024041"</f>
        <v>9780203024041</v>
      </c>
      <c r="D342" s="8" t="s">
        <v>6350</v>
      </c>
      <c r="E342" s="8" t="s">
        <v>6351</v>
      </c>
      <c r="F342" s="8" t="s">
        <v>139</v>
      </c>
      <c r="G342" s="8" t="s">
        <v>6352</v>
      </c>
      <c r="H342" s="8">
        <v>36579</v>
      </c>
      <c r="I342" s="8">
        <v>1999</v>
      </c>
      <c r="J342" s="8" t="s">
        <v>6353</v>
      </c>
      <c r="K342" s="8">
        <v>260</v>
      </c>
      <c r="L342" s="8" t="s">
        <v>7708</v>
      </c>
      <c r="M342" s="8">
        <v>1</v>
      </c>
      <c r="N342" s="8" t="s">
        <v>6788</v>
      </c>
      <c r="O342" s="8"/>
      <c r="P342" s="8" t="s">
        <v>7709</v>
      </c>
      <c r="Q342" s="8" t="s">
        <v>7710</v>
      </c>
      <c r="R342" s="8" t="s">
        <v>6790</v>
      </c>
      <c r="S342" s="8" t="s">
        <v>53</v>
      </c>
      <c r="T342" s="8" t="s">
        <v>7711</v>
      </c>
      <c r="U342" s="9"/>
    </row>
    <row r="343" spans="1:21" ht="14.5" x14ac:dyDescent="0.35">
      <c r="A343" s="8" t="s">
        <v>7712</v>
      </c>
      <c r="B343" s="8" t="str">
        <f>"9780415064835"</f>
        <v>9780415064835</v>
      </c>
      <c r="C343" s="8" t="str">
        <f>"9780203032442"</f>
        <v>9780203032442</v>
      </c>
      <c r="D343" s="8" t="s">
        <v>6350</v>
      </c>
      <c r="E343" s="8" t="s">
        <v>6351</v>
      </c>
      <c r="F343" s="8" t="s">
        <v>748</v>
      </c>
      <c r="G343" s="8" t="s">
        <v>6352</v>
      </c>
      <c r="H343" s="8">
        <v>33991</v>
      </c>
      <c r="I343" s="8">
        <v>1993</v>
      </c>
      <c r="J343" s="8" t="s">
        <v>6351</v>
      </c>
      <c r="K343" s="8">
        <v>278</v>
      </c>
      <c r="L343" s="8" t="s">
        <v>7713</v>
      </c>
      <c r="M343" s="8">
        <v>1</v>
      </c>
      <c r="N343" s="8"/>
      <c r="O343" s="8"/>
      <c r="P343" s="8" t="s">
        <v>7714</v>
      </c>
      <c r="Q343" s="8">
        <v>371.93</v>
      </c>
      <c r="R343" s="8" t="s">
        <v>7715</v>
      </c>
      <c r="S343" s="8" t="s">
        <v>53</v>
      </c>
      <c r="T343" s="8" t="s">
        <v>54</v>
      </c>
      <c r="U343" s="9"/>
    </row>
    <row r="344" spans="1:21" ht="14.5" x14ac:dyDescent="0.35">
      <c r="A344" s="8" t="s">
        <v>7716</v>
      </c>
      <c r="B344" s="8" t="str">
        <f>"9780415092944"</f>
        <v>9780415092944</v>
      </c>
      <c r="C344" s="8" t="str">
        <f>"9780203031780"</f>
        <v>9780203031780</v>
      </c>
      <c r="D344" s="8" t="s">
        <v>6350</v>
      </c>
      <c r="E344" s="8" t="s">
        <v>6351</v>
      </c>
      <c r="F344" s="8" t="s">
        <v>139</v>
      </c>
      <c r="G344" s="8" t="s">
        <v>6317</v>
      </c>
      <c r="H344" s="8">
        <v>34319</v>
      </c>
      <c r="I344" s="8">
        <v>2002</v>
      </c>
      <c r="J344" s="8" t="s">
        <v>6353</v>
      </c>
      <c r="K344" s="8">
        <v>225</v>
      </c>
      <c r="L344" s="8" t="s">
        <v>7717</v>
      </c>
      <c r="M344" s="8">
        <v>1</v>
      </c>
      <c r="N344" s="8"/>
      <c r="O344" s="8"/>
      <c r="P344" s="8" t="s">
        <v>7718</v>
      </c>
      <c r="Q344" s="8">
        <v>370.1</v>
      </c>
      <c r="R344" s="8" t="s">
        <v>7719</v>
      </c>
      <c r="S344" s="8" t="s">
        <v>53</v>
      </c>
      <c r="T344" s="8" t="s">
        <v>54</v>
      </c>
      <c r="U344" s="9"/>
    </row>
    <row r="345" spans="1:21" ht="14.5" x14ac:dyDescent="0.35">
      <c r="A345" s="8" t="s">
        <v>7720</v>
      </c>
      <c r="B345" s="8" t="str">
        <f>"9780750700986"</f>
        <v>9780750700986</v>
      </c>
      <c r="C345" s="8" t="str">
        <f>"9780203083222"</f>
        <v>9780203083222</v>
      </c>
      <c r="D345" s="8" t="s">
        <v>6350</v>
      </c>
      <c r="E345" s="8" t="s">
        <v>6351</v>
      </c>
      <c r="F345" s="8" t="s">
        <v>139</v>
      </c>
      <c r="G345" s="8" t="s">
        <v>6317</v>
      </c>
      <c r="H345" s="8">
        <v>34001</v>
      </c>
      <c r="I345" s="8">
        <v>1993</v>
      </c>
      <c r="J345" s="8" t="s">
        <v>6353</v>
      </c>
      <c r="K345" s="8">
        <v>251</v>
      </c>
      <c r="L345" s="8" t="s">
        <v>7721</v>
      </c>
      <c r="M345" s="8">
        <v>3</v>
      </c>
      <c r="N345" s="8"/>
      <c r="O345" s="8"/>
      <c r="P345" s="8" t="s">
        <v>7722</v>
      </c>
      <c r="Q345" s="8">
        <v>375.00109420000001</v>
      </c>
      <c r="R345" s="8" t="s">
        <v>7723</v>
      </c>
      <c r="S345" s="8" t="s">
        <v>53</v>
      </c>
      <c r="T345" s="8" t="s">
        <v>54</v>
      </c>
      <c r="U345" s="9"/>
    </row>
    <row r="346" spans="1:21" ht="14.5" x14ac:dyDescent="0.35">
      <c r="A346" s="8" t="s">
        <v>7724</v>
      </c>
      <c r="B346" s="8" t="str">
        <f>"9780415125802"</f>
        <v>9780415125802</v>
      </c>
      <c r="C346" s="8" t="str">
        <f>"9780203432914"</f>
        <v>9780203432914</v>
      </c>
      <c r="D346" s="8" t="s">
        <v>6350</v>
      </c>
      <c r="E346" s="8" t="s">
        <v>6351</v>
      </c>
      <c r="F346" s="8" t="s">
        <v>3967</v>
      </c>
      <c r="G346" s="8" t="s">
        <v>6352</v>
      </c>
      <c r="H346" s="8">
        <v>35241</v>
      </c>
      <c r="I346" s="8">
        <v>1996</v>
      </c>
      <c r="J346" s="8" t="s">
        <v>6353</v>
      </c>
      <c r="K346" s="8">
        <v>220</v>
      </c>
      <c r="L346" s="8" t="s">
        <v>7725</v>
      </c>
      <c r="M346" s="8">
        <v>1</v>
      </c>
      <c r="N346" s="8"/>
      <c r="O346" s="8"/>
      <c r="P346" s="8" t="s">
        <v>7726</v>
      </c>
      <c r="Q346" s="8"/>
      <c r="R346" s="8" t="s">
        <v>7727</v>
      </c>
      <c r="S346" s="8" t="s">
        <v>53</v>
      </c>
      <c r="T346" s="8" t="s">
        <v>54</v>
      </c>
      <c r="U346" s="9"/>
    </row>
    <row r="347" spans="1:21" ht="14.5" x14ac:dyDescent="0.35">
      <c r="A347" s="8" t="s">
        <v>7728</v>
      </c>
      <c r="B347" s="8" t="str">
        <f>"9780415158183"</f>
        <v>9780415158183</v>
      </c>
      <c r="C347" s="8" t="str">
        <f>"9780203444399"</f>
        <v>9780203444399</v>
      </c>
      <c r="D347" s="8" t="s">
        <v>6350</v>
      </c>
      <c r="E347" s="8" t="s">
        <v>6351</v>
      </c>
      <c r="F347" s="8" t="s">
        <v>139</v>
      </c>
      <c r="G347" s="8" t="s">
        <v>6317</v>
      </c>
      <c r="H347" s="8">
        <v>35741</v>
      </c>
      <c r="I347" s="8">
        <v>2002</v>
      </c>
      <c r="J347" s="8" t="s">
        <v>6353</v>
      </c>
      <c r="K347" s="8">
        <v>272</v>
      </c>
      <c r="L347" s="8" t="s">
        <v>7729</v>
      </c>
      <c r="M347" s="8">
        <v>1</v>
      </c>
      <c r="N347" s="8" t="s">
        <v>7730</v>
      </c>
      <c r="O347" s="8"/>
      <c r="P347" s="8" t="s">
        <v>7731</v>
      </c>
      <c r="Q347" s="8">
        <v>153.83000000000001</v>
      </c>
      <c r="R347" s="8" t="s">
        <v>7732</v>
      </c>
      <c r="S347" s="8" t="s">
        <v>53</v>
      </c>
      <c r="T347" s="8" t="s">
        <v>483</v>
      </c>
      <c r="U347" s="9"/>
    </row>
    <row r="348" spans="1:21" ht="14.5" x14ac:dyDescent="0.35">
      <c r="A348" s="8" t="s">
        <v>7733</v>
      </c>
      <c r="B348" s="8" t="str">
        <f>"9780415920735"</f>
        <v>9780415920735</v>
      </c>
      <c r="C348" s="8" t="str">
        <f>"9780203900451"</f>
        <v>9780203900451</v>
      </c>
      <c r="D348" s="8" t="s">
        <v>6350</v>
      </c>
      <c r="E348" s="8" t="s">
        <v>6351</v>
      </c>
      <c r="F348" s="8" t="s">
        <v>139</v>
      </c>
      <c r="G348" s="8" t="s">
        <v>6352</v>
      </c>
      <c r="H348" s="8">
        <v>36650</v>
      </c>
      <c r="I348" s="8">
        <v>2000</v>
      </c>
      <c r="J348" s="8" t="s">
        <v>6353</v>
      </c>
      <c r="K348" s="8">
        <v>337</v>
      </c>
      <c r="L348" s="8" t="s">
        <v>7734</v>
      </c>
      <c r="M348" s="8">
        <v>1</v>
      </c>
      <c r="N348" s="8" t="s">
        <v>7735</v>
      </c>
      <c r="O348" s="8"/>
      <c r="P348" s="8" t="s">
        <v>7736</v>
      </c>
      <c r="Q348" s="8" t="s">
        <v>7737</v>
      </c>
      <c r="R348" s="8" t="s">
        <v>6755</v>
      </c>
      <c r="S348" s="8" t="s">
        <v>53</v>
      </c>
      <c r="T348" s="8" t="s">
        <v>54</v>
      </c>
      <c r="U348" s="9"/>
    </row>
    <row r="349" spans="1:21" ht="14.5" x14ac:dyDescent="0.35">
      <c r="A349" s="8" t="s">
        <v>7738</v>
      </c>
      <c r="B349" s="8" t="str">
        <f>"9780815333081"</f>
        <v>9780815333081</v>
      </c>
      <c r="C349" s="8" t="str">
        <f>"9780203903506"</f>
        <v>9780203903506</v>
      </c>
      <c r="D349" s="8" t="s">
        <v>6350</v>
      </c>
      <c r="E349" s="8" t="s">
        <v>6351</v>
      </c>
      <c r="F349" s="8" t="s">
        <v>139</v>
      </c>
      <c r="G349" s="8" t="s">
        <v>6317</v>
      </c>
      <c r="H349" s="8">
        <v>36734</v>
      </c>
      <c r="I349" s="8">
        <v>2000</v>
      </c>
      <c r="J349" s="8" t="s">
        <v>6353</v>
      </c>
      <c r="K349" s="8">
        <v>203</v>
      </c>
      <c r="L349" s="8" t="s">
        <v>7739</v>
      </c>
      <c r="M349" s="8">
        <v>1</v>
      </c>
      <c r="N349" s="8" t="s">
        <v>7363</v>
      </c>
      <c r="O349" s="8"/>
      <c r="P349" s="8" t="s">
        <v>7740</v>
      </c>
      <c r="Q349" s="8">
        <v>397.26309680000003</v>
      </c>
      <c r="R349" s="8" t="s">
        <v>7741</v>
      </c>
      <c r="S349" s="8" t="s">
        <v>53</v>
      </c>
      <c r="T349" s="8" t="s">
        <v>6526</v>
      </c>
      <c r="U349" s="9"/>
    </row>
    <row r="350" spans="1:21" ht="14.5" x14ac:dyDescent="0.35">
      <c r="A350" s="8" t="s">
        <v>7742</v>
      </c>
      <c r="B350" s="8" t="str">
        <f>"9780415191210"</f>
        <v>9780415191210</v>
      </c>
      <c r="C350" s="8" t="str">
        <f>"9780203452745"</f>
        <v>9780203452745</v>
      </c>
      <c r="D350" s="8" t="s">
        <v>6350</v>
      </c>
      <c r="E350" s="8" t="s">
        <v>6351</v>
      </c>
      <c r="F350" s="8" t="s">
        <v>748</v>
      </c>
      <c r="G350" s="8" t="s">
        <v>6352</v>
      </c>
      <c r="H350" s="8">
        <v>37750</v>
      </c>
      <c r="I350" s="8">
        <v>2003</v>
      </c>
      <c r="J350" s="8" t="s">
        <v>6351</v>
      </c>
      <c r="K350" s="8">
        <v>192</v>
      </c>
      <c r="L350" s="8" t="s">
        <v>7743</v>
      </c>
      <c r="M350" s="8">
        <v>1</v>
      </c>
      <c r="N350" s="8"/>
      <c r="O350" s="8"/>
      <c r="P350" s="8" t="s">
        <v>7503</v>
      </c>
      <c r="Q350" s="8">
        <v>370.72</v>
      </c>
      <c r="R350" s="8" t="s">
        <v>7744</v>
      </c>
      <c r="S350" s="8" t="s">
        <v>53</v>
      </c>
      <c r="T350" s="8" t="s">
        <v>54</v>
      </c>
      <c r="U350" s="9"/>
    </row>
    <row r="351" spans="1:21" ht="14.5" x14ac:dyDescent="0.35">
      <c r="A351" s="8" t="s">
        <v>7745</v>
      </c>
      <c r="B351" s="8" t="str">
        <f>"9780815316169"</f>
        <v>9780815316169</v>
      </c>
      <c r="C351" s="8" t="str">
        <f>"9780203906729"</f>
        <v>9780203906729</v>
      </c>
      <c r="D351" s="8" t="s">
        <v>6350</v>
      </c>
      <c r="E351" s="8" t="s">
        <v>6351</v>
      </c>
      <c r="F351" s="8" t="s">
        <v>139</v>
      </c>
      <c r="G351" s="8" t="s">
        <v>6317</v>
      </c>
      <c r="H351" s="8">
        <v>36434</v>
      </c>
      <c r="I351" s="8">
        <v>2000</v>
      </c>
      <c r="J351" s="8" t="s">
        <v>6353</v>
      </c>
      <c r="K351" s="8">
        <v>313</v>
      </c>
      <c r="L351" s="8" t="s">
        <v>7746</v>
      </c>
      <c r="M351" s="8">
        <v>1</v>
      </c>
      <c r="N351" s="8" t="s">
        <v>7539</v>
      </c>
      <c r="O351" s="8"/>
      <c r="P351" s="8" t="s">
        <v>7747</v>
      </c>
      <c r="Q351" s="8">
        <v>379.56939999999997</v>
      </c>
      <c r="R351" s="8" t="s">
        <v>7748</v>
      </c>
      <c r="S351" s="8" t="s">
        <v>53</v>
      </c>
      <c r="T351" s="8" t="s">
        <v>54</v>
      </c>
      <c r="U351" s="9"/>
    </row>
    <row r="352" spans="1:21" ht="14.5" x14ac:dyDescent="0.35">
      <c r="A352" s="8" t="s">
        <v>7749</v>
      </c>
      <c r="B352" s="8" t="str">
        <f>"9780815309314"</f>
        <v>9780815309314</v>
      </c>
      <c r="C352" s="8" t="str">
        <f>"9780203906750"</f>
        <v>9780203906750</v>
      </c>
      <c r="D352" s="8" t="s">
        <v>6350</v>
      </c>
      <c r="E352" s="8" t="s">
        <v>6351</v>
      </c>
      <c r="F352" s="8" t="s">
        <v>3967</v>
      </c>
      <c r="G352" s="8" t="s">
        <v>6352</v>
      </c>
      <c r="H352" s="8">
        <v>36526</v>
      </c>
      <c r="I352" s="8">
        <v>2000</v>
      </c>
      <c r="J352" s="8" t="s">
        <v>6353</v>
      </c>
      <c r="K352" s="8">
        <v>202</v>
      </c>
      <c r="L352" s="8" t="s">
        <v>7750</v>
      </c>
      <c r="M352" s="8">
        <v>1</v>
      </c>
      <c r="N352" s="8" t="s">
        <v>7648</v>
      </c>
      <c r="O352" s="8"/>
      <c r="P352" s="8" t="s">
        <v>7751</v>
      </c>
      <c r="Q352" s="8" t="s">
        <v>7752</v>
      </c>
      <c r="R352" s="8" t="s">
        <v>7753</v>
      </c>
      <c r="S352" s="8" t="s">
        <v>53</v>
      </c>
      <c r="T352" s="8" t="s">
        <v>6881</v>
      </c>
      <c r="U352" s="9"/>
    </row>
    <row r="353" spans="1:21" ht="14.5" x14ac:dyDescent="0.35">
      <c r="A353" s="8" t="s">
        <v>7754</v>
      </c>
      <c r="B353" s="8" t="str">
        <f>"9780415205085"</f>
        <v>9780415205085</v>
      </c>
      <c r="C353" s="8" t="str">
        <f>"9780203066447"</f>
        <v>9780203066447</v>
      </c>
      <c r="D353" s="8" t="s">
        <v>6350</v>
      </c>
      <c r="E353" s="8" t="s">
        <v>6351</v>
      </c>
      <c r="F353" s="8" t="s">
        <v>139</v>
      </c>
      <c r="G353" s="8" t="s">
        <v>6317</v>
      </c>
      <c r="H353" s="8">
        <v>36549</v>
      </c>
      <c r="I353" s="8">
        <v>2000</v>
      </c>
      <c r="J353" s="8" t="s">
        <v>6353</v>
      </c>
      <c r="K353" s="8">
        <v>361</v>
      </c>
      <c r="L353" s="8" t="s">
        <v>7199</v>
      </c>
      <c r="M353" s="8">
        <v>1</v>
      </c>
      <c r="N353" s="8"/>
      <c r="O353" s="8"/>
      <c r="P353" s="8" t="s">
        <v>7755</v>
      </c>
      <c r="Q353" s="8" t="s">
        <v>7756</v>
      </c>
      <c r="R353" s="8" t="s">
        <v>7757</v>
      </c>
      <c r="S353" s="8" t="s">
        <v>53</v>
      </c>
      <c r="T353" s="8" t="s">
        <v>54</v>
      </c>
      <c r="U353" s="9"/>
    </row>
    <row r="354" spans="1:21" ht="14.5" x14ac:dyDescent="0.35">
      <c r="A354" s="8" t="s">
        <v>7758</v>
      </c>
      <c r="B354" s="8" t="str">
        <f>"9780415230650"</f>
        <v>9780415230650</v>
      </c>
      <c r="C354" s="8" t="str">
        <f>"9780203165782"</f>
        <v>9780203165782</v>
      </c>
      <c r="D354" s="8" t="s">
        <v>6350</v>
      </c>
      <c r="E354" s="8" t="s">
        <v>6351</v>
      </c>
      <c r="F354" s="8" t="s">
        <v>139</v>
      </c>
      <c r="G354" s="8" t="s">
        <v>6352</v>
      </c>
      <c r="H354" s="8">
        <v>36819</v>
      </c>
      <c r="I354" s="8">
        <v>2000</v>
      </c>
      <c r="J354" s="8" t="s">
        <v>6353</v>
      </c>
      <c r="K354" s="8">
        <v>161</v>
      </c>
      <c r="L354" s="8" t="s">
        <v>7759</v>
      </c>
      <c r="M354" s="8">
        <v>1</v>
      </c>
      <c r="N354" s="8" t="s">
        <v>7760</v>
      </c>
      <c r="O354" s="8"/>
      <c r="P354" s="8" t="s">
        <v>7761</v>
      </c>
      <c r="Q354" s="8" t="s">
        <v>7762</v>
      </c>
      <c r="R354" s="8" t="s">
        <v>7763</v>
      </c>
      <c r="S354" s="8" t="s">
        <v>53</v>
      </c>
      <c r="T354" s="8" t="s">
        <v>54</v>
      </c>
      <c r="U354" s="9"/>
    </row>
    <row r="355" spans="1:21" ht="14.5" x14ac:dyDescent="0.35">
      <c r="A355" s="8" t="s">
        <v>7764</v>
      </c>
      <c r="B355" s="8" t="str">
        <f>"9780415253338"</f>
        <v>9780415253338</v>
      </c>
      <c r="C355" s="8" t="str">
        <f>"9780203164853"</f>
        <v>9780203164853</v>
      </c>
      <c r="D355" s="8" t="s">
        <v>6350</v>
      </c>
      <c r="E355" s="8" t="s">
        <v>6351</v>
      </c>
      <c r="F355" s="8" t="s">
        <v>748</v>
      </c>
      <c r="G355" s="8" t="s">
        <v>6352</v>
      </c>
      <c r="H355" s="8">
        <v>37309</v>
      </c>
      <c r="I355" s="8">
        <v>2002</v>
      </c>
      <c r="J355" s="8" t="s">
        <v>6351</v>
      </c>
      <c r="K355" s="8">
        <v>264</v>
      </c>
      <c r="L355" s="8" t="s">
        <v>7765</v>
      </c>
      <c r="M355" s="8">
        <v>1</v>
      </c>
      <c r="N355" s="8" t="s">
        <v>6954</v>
      </c>
      <c r="O355" s="8"/>
      <c r="P355" s="8" t="s">
        <v>7766</v>
      </c>
      <c r="Q355" s="8" t="s">
        <v>7767</v>
      </c>
      <c r="R355" s="8" t="s">
        <v>7768</v>
      </c>
      <c r="S355" s="8" t="s">
        <v>53</v>
      </c>
      <c r="T355" s="8" t="s">
        <v>7769</v>
      </c>
      <c r="U355" s="9"/>
    </row>
    <row r="356" spans="1:21" ht="14.5" x14ac:dyDescent="0.35">
      <c r="A356" s="8" t="s">
        <v>7770</v>
      </c>
      <c r="B356" s="8" t="str">
        <f>"9780415253482"</f>
        <v>9780415253482</v>
      </c>
      <c r="C356" s="8" t="str">
        <f>"9780203164624"</f>
        <v>9780203164624</v>
      </c>
      <c r="D356" s="8" t="s">
        <v>6350</v>
      </c>
      <c r="E356" s="8" t="s">
        <v>6351</v>
      </c>
      <c r="F356" s="8" t="s">
        <v>7115</v>
      </c>
      <c r="G356" s="8" t="s">
        <v>6317</v>
      </c>
      <c r="H356" s="8">
        <v>37386</v>
      </c>
      <c r="I356" s="8">
        <v>2002</v>
      </c>
      <c r="J356" s="8" t="s">
        <v>6353</v>
      </c>
      <c r="K356" s="8">
        <v>321</v>
      </c>
      <c r="L356" s="8" t="s">
        <v>7771</v>
      </c>
      <c r="M356" s="8">
        <v>1</v>
      </c>
      <c r="N356" s="8"/>
      <c r="O356" s="8"/>
      <c r="P356" s="8" t="s">
        <v>7772</v>
      </c>
      <c r="Q356" s="8">
        <v>379.15800000000002</v>
      </c>
      <c r="R356" s="8" t="s">
        <v>7773</v>
      </c>
      <c r="S356" s="8" t="s">
        <v>53</v>
      </c>
      <c r="T356" s="8" t="s">
        <v>54</v>
      </c>
      <c r="U356" s="9"/>
    </row>
    <row r="357" spans="1:21" ht="14.5" x14ac:dyDescent="0.35">
      <c r="A357" s="8" t="s">
        <v>7774</v>
      </c>
      <c r="B357" s="8" t="str">
        <f>"9780415258258"</f>
        <v>9780415258258</v>
      </c>
      <c r="C357" s="8" t="str">
        <f>"9780203167588"</f>
        <v>9780203167588</v>
      </c>
      <c r="D357" s="8" t="s">
        <v>6350</v>
      </c>
      <c r="E357" s="8" t="s">
        <v>6351</v>
      </c>
      <c r="F357" s="8" t="s">
        <v>748</v>
      </c>
      <c r="G357" s="8" t="s">
        <v>6352</v>
      </c>
      <c r="H357" s="8">
        <v>37722</v>
      </c>
      <c r="I357" s="8">
        <v>2003</v>
      </c>
      <c r="J357" s="8" t="s">
        <v>6351</v>
      </c>
      <c r="K357" s="8">
        <v>254</v>
      </c>
      <c r="L357" s="8" t="s">
        <v>7775</v>
      </c>
      <c r="M357" s="8">
        <v>1</v>
      </c>
      <c r="N357" s="8"/>
      <c r="O357" s="8"/>
      <c r="P357" s="8" t="s">
        <v>7776</v>
      </c>
      <c r="Q357" s="8" t="s">
        <v>7069</v>
      </c>
      <c r="R357" s="8" t="s">
        <v>7777</v>
      </c>
      <c r="S357" s="8" t="s">
        <v>53</v>
      </c>
      <c r="T357" s="8" t="s">
        <v>54</v>
      </c>
      <c r="U357" s="9"/>
    </row>
    <row r="358" spans="1:21" ht="14.5" x14ac:dyDescent="0.35">
      <c r="A358" s="8" t="s">
        <v>7778</v>
      </c>
      <c r="B358" s="8" t="str">
        <f>"9780415263504"</f>
        <v>9780415263504</v>
      </c>
      <c r="C358" s="8" t="str">
        <f>"9780203166222"</f>
        <v>9780203166222</v>
      </c>
      <c r="D358" s="8" t="s">
        <v>6350</v>
      </c>
      <c r="E358" s="8" t="s">
        <v>6351</v>
      </c>
      <c r="F358" s="8" t="s">
        <v>7115</v>
      </c>
      <c r="G358" s="8" t="s">
        <v>6317</v>
      </c>
      <c r="H358" s="8">
        <v>37407</v>
      </c>
      <c r="I358" s="8">
        <v>2002</v>
      </c>
      <c r="J358" s="8" t="s">
        <v>6353</v>
      </c>
      <c r="K358" s="8">
        <v>288</v>
      </c>
      <c r="L358" s="8" t="s">
        <v>7779</v>
      </c>
      <c r="M358" s="8">
        <v>1</v>
      </c>
      <c r="N358" s="8" t="s">
        <v>7780</v>
      </c>
      <c r="O358" s="8"/>
      <c r="P358" s="8" t="s">
        <v>7781</v>
      </c>
      <c r="Q358" s="8">
        <v>372.6</v>
      </c>
      <c r="R358" s="8" t="s">
        <v>7782</v>
      </c>
      <c r="S358" s="8" t="s">
        <v>53</v>
      </c>
      <c r="T358" s="8" t="s">
        <v>54</v>
      </c>
      <c r="U358" s="9"/>
    </row>
    <row r="359" spans="1:21" ht="14.5" x14ac:dyDescent="0.35">
      <c r="A359" s="8" t="s">
        <v>7783</v>
      </c>
      <c r="B359" s="8" t="str">
        <f>"9780415268820"</f>
        <v>9780415268820</v>
      </c>
      <c r="C359" s="8" t="str">
        <f>"9780203166550"</f>
        <v>9780203166550</v>
      </c>
      <c r="D359" s="8" t="s">
        <v>6350</v>
      </c>
      <c r="E359" s="8" t="s">
        <v>6351</v>
      </c>
      <c r="F359" s="8" t="s">
        <v>7115</v>
      </c>
      <c r="G359" s="8" t="s">
        <v>6317</v>
      </c>
      <c r="H359" s="8">
        <v>37603</v>
      </c>
      <c r="I359" s="8">
        <v>2002</v>
      </c>
      <c r="J359" s="8" t="s">
        <v>6353</v>
      </c>
      <c r="K359" s="8">
        <v>193</v>
      </c>
      <c r="L359" s="8" t="s">
        <v>7784</v>
      </c>
      <c r="M359" s="8">
        <v>1</v>
      </c>
      <c r="N359" s="8" t="s">
        <v>6806</v>
      </c>
      <c r="O359" s="8"/>
      <c r="P359" s="8" t="s">
        <v>7785</v>
      </c>
      <c r="Q359" s="8" t="s">
        <v>7786</v>
      </c>
      <c r="R359" s="8" t="s">
        <v>7787</v>
      </c>
      <c r="S359" s="8" t="s">
        <v>53</v>
      </c>
      <c r="T359" s="8" t="s">
        <v>54</v>
      </c>
      <c r="U359" s="9"/>
    </row>
    <row r="360" spans="1:21" ht="14.5" x14ac:dyDescent="0.35">
      <c r="A360" s="8" t="s">
        <v>7788</v>
      </c>
      <c r="B360" s="8" t="str">
        <f>"9780415274975"</f>
        <v>9780415274975</v>
      </c>
      <c r="C360" s="8" t="str">
        <f>"9780203218297"</f>
        <v>9780203218297</v>
      </c>
      <c r="D360" s="8" t="s">
        <v>6350</v>
      </c>
      <c r="E360" s="8" t="s">
        <v>6351</v>
      </c>
      <c r="F360" s="8" t="s">
        <v>139</v>
      </c>
      <c r="G360" s="8" t="s">
        <v>6352</v>
      </c>
      <c r="H360" s="8">
        <v>37519</v>
      </c>
      <c r="I360" s="8">
        <v>2002</v>
      </c>
      <c r="J360" s="8" t="s">
        <v>6353</v>
      </c>
      <c r="K360" s="8">
        <v>168</v>
      </c>
      <c r="L360" s="8" t="s">
        <v>6622</v>
      </c>
      <c r="M360" s="8">
        <v>1</v>
      </c>
      <c r="N360" s="8"/>
      <c r="O360" s="8"/>
      <c r="P360" s="8" t="s">
        <v>7789</v>
      </c>
      <c r="Q360" s="8">
        <v>371.2</v>
      </c>
      <c r="R360" s="8" t="s">
        <v>7790</v>
      </c>
      <c r="S360" s="8" t="s">
        <v>53</v>
      </c>
      <c r="T360" s="8" t="s">
        <v>54</v>
      </c>
      <c r="U360" s="9"/>
    </row>
    <row r="361" spans="1:21" ht="14.5" x14ac:dyDescent="0.35">
      <c r="A361" s="8" t="s">
        <v>7791</v>
      </c>
      <c r="B361" s="8" t="str">
        <f>"9780415304184"</f>
        <v>9780415304184</v>
      </c>
      <c r="C361" s="8" t="str">
        <f>"9780203329108"</f>
        <v>9780203329108</v>
      </c>
      <c r="D361" s="8" t="s">
        <v>6350</v>
      </c>
      <c r="E361" s="8" t="s">
        <v>6351</v>
      </c>
      <c r="F361" s="8" t="s">
        <v>7115</v>
      </c>
      <c r="G361" s="8" t="s">
        <v>6317</v>
      </c>
      <c r="H361" s="8">
        <v>37909</v>
      </c>
      <c r="I361" s="8">
        <v>2003</v>
      </c>
      <c r="J361" s="8" t="s">
        <v>6353</v>
      </c>
      <c r="K361" s="8">
        <v>232</v>
      </c>
      <c r="L361" s="8" t="s">
        <v>7792</v>
      </c>
      <c r="M361" s="8">
        <v>1</v>
      </c>
      <c r="N361" s="8"/>
      <c r="O361" s="8"/>
      <c r="P361" s="8" t="s">
        <v>7793</v>
      </c>
      <c r="Q361" s="8">
        <v>370.15230000000003</v>
      </c>
      <c r="R361" s="8" t="s">
        <v>7794</v>
      </c>
      <c r="S361" s="8" t="s">
        <v>53</v>
      </c>
      <c r="T361" s="8" t="s">
        <v>54</v>
      </c>
      <c r="U361" s="9"/>
    </row>
    <row r="362" spans="1:21" ht="14.5" x14ac:dyDescent="0.35">
      <c r="A362" s="8" t="s">
        <v>7795</v>
      </c>
      <c r="B362" s="8" t="str">
        <f>"9780415304191"</f>
        <v>9780415304191</v>
      </c>
      <c r="C362" s="8" t="str">
        <f>"9780203403563"</f>
        <v>9780203403563</v>
      </c>
      <c r="D362" s="8" t="s">
        <v>6350</v>
      </c>
      <c r="E362" s="8" t="s">
        <v>6351</v>
      </c>
      <c r="F362" s="8" t="s">
        <v>7115</v>
      </c>
      <c r="G362" s="8" t="s">
        <v>6317</v>
      </c>
      <c r="H362" s="8">
        <v>38170</v>
      </c>
      <c r="I362" s="8">
        <v>2004</v>
      </c>
      <c r="J362" s="8" t="s">
        <v>6353</v>
      </c>
      <c r="K362" s="8">
        <v>241</v>
      </c>
      <c r="L362" s="8" t="s">
        <v>7796</v>
      </c>
      <c r="M362" s="8">
        <v>1</v>
      </c>
      <c r="N362" s="8"/>
      <c r="O362" s="8"/>
      <c r="P362" s="8" t="s">
        <v>7797</v>
      </c>
      <c r="Q362" s="8">
        <v>379.15800000000002</v>
      </c>
      <c r="R362" s="8" t="s">
        <v>7798</v>
      </c>
      <c r="S362" s="8" t="s">
        <v>53</v>
      </c>
      <c r="T362" s="8" t="s">
        <v>54</v>
      </c>
      <c r="U362" s="9"/>
    </row>
    <row r="363" spans="1:21" ht="14.5" x14ac:dyDescent="0.35">
      <c r="A363" s="8" t="s">
        <v>7799</v>
      </c>
      <c r="B363" s="8" t="str">
        <f>"9780415304702"</f>
        <v>9780415304702</v>
      </c>
      <c r="C363" s="8" t="str">
        <f>"9780203328989"</f>
        <v>9780203328989</v>
      </c>
      <c r="D363" s="8" t="s">
        <v>6350</v>
      </c>
      <c r="E363" s="8" t="s">
        <v>6351</v>
      </c>
      <c r="F363" s="8" t="s">
        <v>139</v>
      </c>
      <c r="G363" s="8" t="s">
        <v>6352</v>
      </c>
      <c r="H363" s="8">
        <v>37602</v>
      </c>
      <c r="I363" s="8">
        <v>2002</v>
      </c>
      <c r="J363" s="8" t="s">
        <v>6353</v>
      </c>
      <c r="K363" s="8">
        <v>350</v>
      </c>
      <c r="L363" s="8" t="s">
        <v>7800</v>
      </c>
      <c r="M363" s="8">
        <v>1</v>
      </c>
      <c r="N363" s="8"/>
      <c r="O363" s="8"/>
      <c r="P363" s="8" t="s">
        <v>7801</v>
      </c>
      <c r="Q363" s="8">
        <v>371.9144</v>
      </c>
      <c r="R363" s="8" t="s">
        <v>7802</v>
      </c>
      <c r="S363" s="8" t="s">
        <v>53</v>
      </c>
      <c r="T363" s="8" t="s">
        <v>54</v>
      </c>
      <c r="U363" s="9"/>
    </row>
    <row r="364" spans="1:21" ht="14.5" x14ac:dyDescent="0.35">
      <c r="A364" s="8" t="s">
        <v>7803</v>
      </c>
      <c r="B364" s="8" t="str">
        <f>"9780415304771"</f>
        <v>9780415304771</v>
      </c>
      <c r="C364" s="8" t="str">
        <f>"9780203609187"</f>
        <v>9780203609187</v>
      </c>
      <c r="D364" s="8" t="s">
        <v>6350</v>
      </c>
      <c r="E364" s="8" t="s">
        <v>6351</v>
      </c>
      <c r="F364" s="8" t="s">
        <v>139</v>
      </c>
      <c r="G364" s="8" t="s">
        <v>6317</v>
      </c>
      <c r="H364" s="8">
        <v>37974</v>
      </c>
      <c r="I364" s="8">
        <v>2003</v>
      </c>
      <c r="J364" s="8" t="s">
        <v>6353</v>
      </c>
      <c r="K364" s="8">
        <v>264</v>
      </c>
      <c r="L364" s="8" t="s">
        <v>7804</v>
      </c>
      <c r="M364" s="8">
        <v>1</v>
      </c>
      <c r="N364" s="8"/>
      <c r="O364" s="8"/>
      <c r="P364" s="8" t="s">
        <v>7805</v>
      </c>
      <c r="Q364" s="8">
        <v>323.6071</v>
      </c>
      <c r="R364" s="8" t="s">
        <v>7806</v>
      </c>
      <c r="S364" s="8" t="s">
        <v>53</v>
      </c>
      <c r="T364" s="8" t="s">
        <v>7807</v>
      </c>
      <c r="U364" s="9"/>
    </row>
    <row r="365" spans="1:21" ht="14.5" x14ac:dyDescent="0.35">
      <c r="A365" s="8" t="s">
        <v>7808</v>
      </c>
      <c r="B365" s="8" t="str">
        <f>"9780750701587"</f>
        <v>9780750701587</v>
      </c>
      <c r="C365" s="8" t="str">
        <f>"9780203209899"</f>
        <v>9780203209899</v>
      </c>
      <c r="D365" s="8" t="s">
        <v>6350</v>
      </c>
      <c r="E365" s="8" t="s">
        <v>6351</v>
      </c>
      <c r="F365" s="8" t="s">
        <v>139</v>
      </c>
      <c r="G365" s="8" t="s">
        <v>6352</v>
      </c>
      <c r="H365" s="8">
        <v>34001</v>
      </c>
      <c r="I365" s="8">
        <v>1993</v>
      </c>
      <c r="J365" s="8" t="s">
        <v>6353</v>
      </c>
      <c r="K365" s="8">
        <v>219</v>
      </c>
      <c r="L365" s="8" t="s">
        <v>7809</v>
      </c>
      <c r="M365" s="8">
        <v>1</v>
      </c>
      <c r="N365" s="8"/>
      <c r="O365" s="8"/>
      <c r="P365" s="8" t="s">
        <v>7810</v>
      </c>
      <c r="Q365" s="8">
        <v>158.69999999999999</v>
      </c>
      <c r="R365" s="8" t="s">
        <v>7811</v>
      </c>
      <c r="S365" s="8" t="s">
        <v>53</v>
      </c>
      <c r="T365" s="8" t="s">
        <v>6492</v>
      </c>
      <c r="U365" s="9"/>
    </row>
    <row r="366" spans="1:21" ht="14.5" x14ac:dyDescent="0.35">
      <c r="A366" s="8" t="s">
        <v>7812</v>
      </c>
      <c r="B366" s="8" t="str">
        <f>"9780750702980"</f>
        <v>9780750702980</v>
      </c>
      <c r="C366" s="8" t="str">
        <f>"9780203392553"</f>
        <v>9780203392553</v>
      </c>
      <c r="D366" s="8" t="s">
        <v>6350</v>
      </c>
      <c r="E366" s="8" t="s">
        <v>6351</v>
      </c>
      <c r="F366" s="8" t="s">
        <v>139</v>
      </c>
      <c r="G366" s="8" t="s">
        <v>6352</v>
      </c>
      <c r="H366" s="8">
        <v>34366</v>
      </c>
      <c r="I366" s="8">
        <v>1993</v>
      </c>
      <c r="J366" s="8" t="s">
        <v>6353</v>
      </c>
      <c r="K366" s="8">
        <v>164</v>
      </c>
      <c r="L366" s="8" t="s">
        <v>7813</v>
      </c>
      <c r="M366" s="8">
        <v>1</v>
      </c>
      <c r="N366" s="8"/>
      <c r="O366" s="8"/>
      <c r="P366" s="8">
        <v>93027227</v>
      </c>
      <c r="Q366" s="8">
        <v>613.707041</v>
      </c>
      <c r="R366" s="8" t="s">
        <v>7814</v>
      </c>
      <c r="S366" s="8" t="s">
        <v>53</v>
      </c>
      <c r="T366" s="8" t="s">
        <v>7054</v>
      </c>
      <c r="U366" s="9"/>
    </row>
    <row r="367" spans="1:21" ht="14.5" x14ac:dyDescent="0.35">
      <c r="A367" s="8" t="s">
        <v>7815</v>
      </c>
      <c r="B367" s="8" t="str">
        <f>"9780750703611"</f>
        <v>9780750703611</v>
      </c>
      <c r="C367" s="8" t="str">
        <f>"9780203392874"</f>
        <v>9780203392874</v>
      </c>
      <c r="D367" s="8" t="s">
        <v>6350</v>
      </c>
      <c r="E367" s="8" t="s">
        <v>6351</v>
      </c>
      <c r="F367" s="8" t="s">
        <v>139</v>
      </c>
      <c r="G367" s="8" t="s">
        <v>6352</v>
      </c>
      <c r="H367" s="8">
        <v>34669</v>
      </c>
      <c r="I367" s="8">
        <v>1994</v>
      </c>
      <c r="J367" s="8" t="s">
        <v>6353</v>
      </c>
      <c r="K367" s="8">
        <v>166</v>
      </c>
      <c r="L367" s="8" t="s">
        <v>7816</v>
      </c>
      <c r="M367" s="8">
        <v>1</v>
      </c>
      <c r="N367" s="8"/>
      <c r="O367" s="8"/>
      <c r="P367" s="8">
        <v>94024339</v>
      </c>
      <c r="Q367" s="8" t="s">
        <v>7817</v>
      </c>
      <c r="R367" s="8" t="s">
        <v>7818</v>
      </c>
      <c r="S367" s="8" t="s">
        <v>53</v>
      </c>
      <c r="T367" s="8" t="s">
        <v>54</v>
      </c>
      <c r="U367" s="9"/>
    </row>
    <row r="368" spans="1:21" ht="14.5" x14ac:dyDescent="0.35">
      <c r="A368" s="8" t="s">
        <v>7819</v>
      </c>
      <c r="B368" s="8" t="str">
        <f>"9780750704175"</f>
        <v>9780750704175</v>
      </c>
      <c r="C368" s="8" t="str">
        <f>"9780203453582"</f>
        <v>9780203453582</v>
      </c>
      <c r="D368" s="8" t="s">
        <v>6350</v>
      </c>
      <c r="E368" s="8" t="s">
        <v>6351</v>
      </c>
      <c r="F368" s="8" t="s">
        <v>3967</v>
      </c>
      <c r="G368" s="8" t="s">
        <v>6352</v>
      </c>
      <c r="H368" s="8">
        <v>34881</v>
      </c>
      <c r="I368" s="8">
        <v>2004</v>
      </c>
      <c r="J368" s="8" t="s">
        <v>6353</v>
      </c>
      <c r="K368" s="8">
        <v>149</v>
      </c>
      <c r="L368" s="8" t="s">
        <v>7820</v>
      </c>
      <c r="M368" s="8">
        <v>1</v>
      </c>
      <c r="N368" s="8"/>
      <c r="O368" s="8"/>
      <c r="P368" s="8" t="s">
        <v>7821</v>
      </c>
      <c r="Q368" s="8">
        <v>372.86044094099998</v>
      </c>
      <c r="R368" s="8" t="s">
        <v>7822</v>
      </c>
      <c r="S368" s="8" t="s">
        <v>53</v>
      </c>
      <c r="T368" s="8" t="s">
        <v>6752</v>
      </c>
      <c r="U368" s="9"/>
    </row>
    <row r="369" spans="1:21" ht="14.5" x14ac:dyDescent="0.35">
      <c r="A369" s="8" t="s">
        <v>7823</v>
      </c>
      <c r="B369" s="8" t="str">
        <f>"9780750704328"</f>
        <v>9780750704328</v>
      </c>
      <c r="C369" s="8" t="str">
        <f>"9780203453636"</f>
        <v>9780203453636</v>
      </c>
      <c r="D369" s="8" t="s">
        <v>6350</v>
      </c>
      <c r="E369" s="8" t="s">
        <v>6351</v>
      </c>
      <c r="F369" s="8" t="s">
        <v>748</v>
      </c>
      <c r="G369" s="8" t="s">
        <v>6352</v>
      </c>
      <c r="H369" s="8">
        <v>34759</v>
      </c>
      <c r="I369" s="8">
        <v>1995</v>
      </c>
      <c r="J369" s="8" t="s">
        <v>6351</v>
      </c>
      <c r="K369" s="8">
        <v>208</v>
      </c>
      <c r="L369" s="8" t="s">
        <v>7824</v>
      </c>
      <c r="M369" s="8">
        <v>1</v>
      </c>
      <c r="N369" s="8"/>
      <c r="O369" s="8"/>
      <c r="P369" s="8">
        <v>94023561</v>
      </c>
      <c r="Q369" s="8">
        <v>370.78</v>
      </c>
      <c r="R369" s="8" t="s">
        <v>6928</v>
      </c>
      <c r="S369" s="8" t="s">
        <v>53</v>
      </c>
      <c r="T369" s="8" t="s">
        <v>54</v>
      </c>
      <c r="U369" s="9"/>
    </row>
    <row r="370" spans="1:21" ht="14.5" x14ac:dyDescent="0.35">
      <c r="A370" s="8" t="s">
        <v>7825</v>
      </c>
      <c r="B370" s="8" t="str">
        <f>"9780750704472"</f>
        <v>9780750704472</v>
      </c>
      <c r="C370" s="8" t="str">
        <f>"9780203397435"</f>
        <v>9780203397435</v>
      </c>
      <c r="D370" s="8" t="s">
        <v>6350</v>
      </c>
      <c r="E370" s="8" t="s">
        <v>6351</v>
      </c>
      <c r="F370" s="8" t="s">
        <v>3967</v>
      </c>
      <c r="G370" s="8" t="s">
        <v>6352</v>
      </c>
      <c r="H370" s="8">
        <v>36008</v>
      </c>
      <c r="I370" s="8">
        <v>1999</v>
      </c>
      <c r="J370" s="8" t="s">
        <v>6353</v>
      </c>
      <c r="K370" s="8">
        <v>256</v>
      </c>
      <c r="L370" s="8" t="s">
        <v>7826</v>
      </c>
      <c r="M370" s="8">
        <v>1</v>
      </c>
      <c r="N370" s="8"/>
      <c r="O370" s="8"/>
      <c r="P370" s="8" t="s">
        <v>7827</v>
      </c>
      <c r="Q370" s="8">
        <v>371.20099399999998</v>
      </c>
      <c r="R370" s="8" t="s">
        <v>6547</v>
      </c>
      <c r="S370" s="8" t="s">
        <v>53</v>
      </c>
      <c r="T370" s="8" t="s">
        <v>54</v>
      </c>
      <c r="U370" s="9"/>
    </row>
    <row r="371" spans="1:21" ht="14.5" x14ac:dyDescent="0.35">
      <c r="A371" s="8" t="s">
        <v>7828</v>
      </c>
      <c r="B371" s="8" t="str">
        <f>"9780750704830"</f>
        <v>9780750704830</v>
      </c>
      <c r="C371" s="8" t="str">
        <f>"9780203397428"</f>
        <v>9780203397428</v>
      </c>
      <c r="D371" s="8" t="s">
        <v>6350</v>
      </c>
      <c r="E371" s="8" t="s">
        <v>6351</v>
      </c>
      <c r="F371" s="8" t="s">
        <v>748</v>
      </c>
      <c r="G371" s="8" t="s">
        <v>6352</v>
      </c>
      <c r="H371" s="8">
        <v>35096</v>
      </c>
      <c r="I371" s="8">
        <v>1996</v>
      </c>
      <c r="J371" s="8" t="s">
        <v>6351</v>
      </c>
      <c r="K371" s="8">
        <v>315</v>
      </c>
      <c r="L371" s="8" t="s">
        <v>7829</v>
      </c>
      <c r="M371" s="8">
        <v>1</v>
      </c>
      <c r="N371" s="8"/>
      <c r="O371" s="8"/>
      <c r="P371" s="8" t="s">
        <v>7830</v>
      </c>
      <c r="Q371" s="8">
        <v>373.18235099999998</v>
      </c>
      <c r="R371" s="8" t="s">
        <v>7831</v>
      </c>
      <c r="S371" s="8" t="s">
        <v>53</v>
      </c>
      <c r="T371" s="8" t="s">
        <v>6526</v>
      </c>
      <c r="U371" s="9"/>
    </row>
    <row r="372" spans="1:21" ht="14.5" x14ac:dyDescent="0.35">
      <c r="A372" s="8" t="s">
        <v>7832</v>
      </c>
      <c r="B372" s="8" t="str">
        <f>"9780750705400"</f>
        <v>9780750705400</v>
      </c>
      <c r="C372" s="8" t="str">
        <f>"9780203209714"</f>
        <v>9780203209714</v>
      </c>
      <c r="D372" s="8" t="s">
        <v>6350</v>
      </c>
      <c r="E372" s="8" t="s">
        <v>6351</v>
      </c>
      <c r="F372" s="8" t="s">
        <v>139</v>
      </c>
      <c r="G372" s="8" t="s">
        <v>6352</v>
      </c>
      <c r="H372" s="8">
        <v>35400</v>
      </c>
      <c r="I372" s="8">
        <v>1996</v>
      </c>
      <c r="J372" s="8" t="s">
        <v>6353</v>
      </c>
      <c r="K372" s="8">
        <v>291</v>
      </c>
      <c r="L372" s="8" t="s">
        <v>7833</v>
      </c>
      <c r="M372" s="8">
        <v>1</v>
      </c>
      <c r="N372" s="8"/>
      <c r="O372" s="8"/>
      <c r="P372" s="8" t="s">
        <v>7834</v>
      </c>
      <c r="Q372" s="8">
        <v>379.26</v>
      </c>
      <c r="R372" s="8" t="s">
        <v>7835</v>
      </c>
      <c r="S372" s="8" t="s">
        <v>53</v>
      </c>
      <c r="T372" s="8" t="s">
        <v>54</v>
      </c>
      <c r="U372" s="9"/>
    </row>
    <row r="373" spans="1:21" ht="14.5" x14ac:dyDescent="0.35">
      <c r="A373" s="8" t="s">
        <v>7836</v>
      </c>
      <c r="B373" s="8" t="str">
        <f>"9780750705776"</f>
        <v>9780750705776</v>
      </c>
      <c r="C373" s="8" t="str">
        <f>"9780203209202"</f>
        <v>9780203209202</v>
      </c>
      <c r="D373" s="8" t="s">
        <v>6350</v>
      </c>
      <c r="E373" s="8" t="s">
        <v>6351</v>
      </c>
      <c r="F373" s="8" t="s">
        <v>139</v>
      </c>
      <c r="G373" s="8" t="s">
        <v>6352</v>
      </c>
      <c r="H373" s="8">
        <v>35278</v>
      </c>
      <c r="I373" s="8">
        <v>2004</v>
      </c>
      <c r="J373" s="8" t="s">
        <v>6353</v>
      </c>
      <c r="K373" s="8">
        <v>145</v>
      </c>
      <c r="L373" s="8" t="s">
        <v>7837</v>
      </c>
      <c r="M373" s="8">
        <v>1</v>
      </c>
      <c r="N373" s="8"/>
      <c r="O373" s="8"/>
      <c r="P373" s="8" t="s">
        <v>7838</v>
      </c>
      <c r="Q373" s="8">
        <v>378.00704200000001</v>
      </c>
      <c r="R373" s="8" t="s">
        <v>6765</v>
      </c>
      <c r="S373" s="8" t="s">
        <v>53</v>
      </c>
      <c r="T373" s="8" t="s">
        <v>54</v>
      </c>
      <c r="U373" s="9"/>
    </row>
    <row r="374" spans="1:21" ht="14.5" x14ac:dyDescent="0.35">
      <c r="A374" s="8" t="s">
        <v>7839</v>
      </c>
      <c r="B374" s="8" t="str">
        <f>"9780750705929"</f>
        <v>9780750705929</v>
      </c>
      <c r="C374" s="8" t="str">
        <f>"9780203454312"</f>
        <v>9780203454312</v>
      </c>
      <c r="D374" s="8" t="s">
        <v>6350</v>
      </c>
      <c r="E374" s="8" t="s">
        <v>6351</v>
      </c>
      <c r="F374" s="8" t="s">
        <v>3967</v>
      </c>
      <c r="G374" s="8" t="s">
        <v>6352</v>
      </c>
      <c r="H374" s="8">
        <v>35594</v>
      </c>
      <c r="I374" s="8">
        <v>2004</v>
      </c>
      <c r="J374" s="8" t="s">
        <v>6353</v>
      </c>
      <c r="K374" s="8">
        <v>264</v>
      </c>
      <c r="L374" s="8" t="s">
        <v>7840</v>
      </c>
      <c r="M374" s="8">
        <v>1</v>
      </c>
      <c r="N374" s="8"/>
      <c r="O374" s="8"/>
      <c r="P374" s="8" t="s">
        <v>7841</v>
      </c>
      <c r="Q374" s="8">
        <v>372.19</v>
      </c>
      <c r="R374" s="8" t="s">
        <v>6620</v>
      </c>
      <c r="S374" s="8" t="s">
        <v>53</v>
      </c>
      <c r="T374" s="8" t="s">
        <v>54</v>
      </c>
      <c r="U374" s="9"/>
    </row>
    <row r="375" spans="1:21" ht="14.5" x14ac:dyDescent="0.35">
      <c r="A375" s="8" t="s">
        <v>7842</v>
      </c>
      <c r="B375" s="8" t="str">
        <f>"9780750707978"</f>
        <v>9780750707978</v>
      </c>
      <c r="C375" s="8" t="str">
        <f>"9780203209219"</f>
        <v>9780203209219</v>
      </c>
      <c r="D375" s="8" t="s">
        <v>6350</v>
      </c>
      <c r="E375" s="8" t="s">
        <v>6351</v>
      </c>
      <c r="F375" s="8" t="s">
        <v>139</v>
      </c>
      <c r="G375" s="8" t="s">
        <v>6352</v>
      </c>
      <c r="H375" s="8">
        <v>36795</v>
      </c>
      <c r="I375" s="8">
        <v>1999</v>
      </c>
      <c r="J375" s="8" t="s">
        <v>6353</v>
      </c>
      <c r="K375" s="8">
        <v>220</v>
      </c>
      <c r="L375" s="8" t="s">
        <v>7843</v>
      </c>
      <c r="M375" s="8">
        <v>1</v>
      </c>
      <c r="N375" s="8" t="s">
        <v>6720</v>
      </c>
      <c r="O375" s="8"/>
      <c r="P375" s="8" t="s">
        <v>7844</v>
      </c>
      <c r="Q375" s="8">
        <v>375.00109409999999</v>
      </c>
      <c r="R375" s="8" t="s">
        <v>6620</v>
      </c>
      <c r="S375" s="8" t="s">
        <v>53</v>
      </c>
      <c r="T375" s="8" t="s">
        <v>54</v>
      </c>
      <c r="U375" s="9"/>
    </row>
    <row r="376" spans="1:21" ht="14.5" x14ac:dyDescent="0.35">
      <c r="A376" s="8" t="s">
        <v>7845</v>
      </c>
      <c r="B376" s="8" t="str">
        <f>"9780750707374"</f>
        <v>9780750707374</v>
      </c>
      <c r="C376" s="8" t="str">
        <f>"9780203486689"</f>
        <v>9780203486689</v>
      </c>
      <c r="D376" s="8" t="s">
        <v>6350</v>
      </c>
      <c r="E376" s="8" t="s">
        <v>6351</v>
      </c>
      <c r="F376" s="8" t="s">
        <v>5406</v>
      </c>
      <c r="G376" s="8" t="s">
        <v>6317</v>
      </c>
      <c r="H376" s="8">
        <v>36251</v>
      </c>
      <c r="I376" s="8">
        <v>1999</v>
      </c>
      <c r="J376" s="8" t="s">
        <v>6353</v>
      </c>
      <c r="K376" s="8">
        <v>152</v>
      </c>
      <c r="L376" s="8" t="s">
        <v>7846</v>
      </c>
      <c r="M376" s="8">
        <v>1</v>
      </c>
      <c r="N376" s="8" t="s">
        <v>7463</v>
      </c>
      <c r="O376" s="8"/>
      <c r="P376" s="8" t="s">
        <v>7847</v>
      </c>
      <c r="Q376" s="8" t="s">
        <v>6576</v>
      </c>
      <c r="R376" s="8" t="s">
        <v>7848</v>
      </c>
      <c r="S376" s="8" t="s">
        <v>53</v>
      </c>
      <c r="T376" s="8" t="s">
        <v>54</v>
      </c>
      <c r="U376" s="9"/>
    </row>
    <row r="377" spans="1:21" ht="14.5" x14ac:dyDescent="0.35">
      <c r="A377" s="8" t="s">
        <v>7849</v>
      </c>
      <c r="B377" s="8" t="str">
        <f>"9780750707831"</f>
        <v>9780750707831</v>
      </c>
      <c r="C377" s="8" t="str">
        <f>"9780203209356"</f>
        <v>9780203209356</v>
      </c>
      <c r="D377" s="8" t="s">
        <v>6350</v>
      </c>
      <c r="E377" s="8" t="s">
        <v>6351</v>
      </c>
      <c r="F377" s="8" t="s">
        <v>139</v>
      </c>
      <c r="G377" s="8" t="s">
        <v>6352</v>
      </c>
      <c r="H377" s="8">
        <v>35947</v>
      </c>
      <c r="I377" s="8">
        <v>1998</v>
      </c>
      <c r="J377" s="8" t="s">
        <v>6353</v>
      </c>
      <c r="K377" s="8">
        <v>217</v>
      </c>
      <c r="L377" s="8" t="s">
        <v>7547</v>
      </c>
      <c r="M377" s="8">
        <v>1</v>
      </c>
      <c r="N377" s="8" t="s">
        <v>7850</v>
      </c>
      <c r="O377" s="8"/>
      <c r="P377" s="8" t="s">
        <v>7851</v>
      </c>
      <c r="Q377" s="8">
        <v>378.41</v>
      </c>
      <c r="R377" s="8" t="s">
        <v>7852</v>
      </c>
      <c r="S377" s="8" t="s">
        <v>53</v>
      </c>
      <c r="T377" s="8" t="s">
        <v>54</v>
      </c>
      <c r="U377" s="9"/>
    </row>
    <row r="378" spans="1:21" ht="14.5" x14ac:dyDescent="0.35">
      <c r="A378" s="8" t="s">
        <v>7853</v>
      </c>
      <c r="B378" s="8" t="str">
        <f>"9780750708098"</f>
        <v>9780750708098</v>
      </c>
      <c r="C378" s="8" t="str">
        <f>"9780203486924"</f>
        <v>9780203486924</v>
      </c>
      <c r="D378" s="8" t="s">
        <v>6350</v>
      </c>
      <c r="E378" s="8" t="s">
        <v>6351</v>
      </c>
      <c r="F378" s="8" t="s">
        <v>139</v>
      </c>
      <c r="G378" s="8" t="s">
        <v>6352</v>
      </c>
      <c r="H378" s="8">
        <v>36251</v>
      </c>
      <c r="I378" s="8">
        <v>1999</v>
      </c>
      <c r="J378" s="8" t="s">
        <v>6353</v>
      </c>
      <c r="K378" s="8">
        <v>232</v>
      </c>
      <c r="L378" s="8" t="s">
        <v>7854</v>
      </c>
      <c r="M378" s="8">
        <v>1</v>
      </c>
      <c r="N378" s="8"/>
      <c r="O378" s="8"/>
      <c r="P378" s="8">
        <v>99220444</v>
      </c>
      <c r="Q378" s="8">
        <v>510.7</v>
      </c>
      <c r="R378" s="8" t="s">
        <v>6563</v>
      </c>
      <c r="S378" s="8" t="s">
        <v>53</v>
      </c>
      <c r="T378" s="8" t="s">
        <v>389</v>
      </c>
      <c r="U378" s="9"/>
    </row>
    <row r="379" spans="1:21" ht="14.5" x14ac:dyDescent="0.35">
      <c r="A379" s="8" t="s">
        <v>7855</v>
      </c>
      <c r="B379" s="8" t="str">
        <f>"9780750708876"</f>
        <v>9780750708876</v>
      </c>
      <c r="C379" s="8" t="str">
        <f>"9781135707514"</f>
        <v>9781135707514</v>
      </c>
      <c r="D379" s="8" t="s">
        <v>6350</v>
      </c>
      <c r="E379" s="8" t="s">
        <v>6351</v>
      </c>
      <c r="F379" s="8" t="s">
        <v>139</v>
      </c>
      <c r="G379" s="8" t="s">
        <v>6352</v>
      </c>
      <c r="H379" s="8">
        <v>35947</v>
      </c>
      <c r="I379" s="8">
        <v>1998</v>
      </c>
      <c r="J379" s="8" t="s">
        <v>6353</v>
      </c>
      <c r="K379" s="8">
        <v>208</v>
      </c>
      <c r="L379" s="8" t="s">
        <v>7856</v>
      </c>
      <c r="M379" s="8">
        <v>1</v>
      </c>
      <c r="N379" s="8"/>
      <c r="O379" s="8"/>
      <c r="P379" s="8">
        <v>99167781</v>
      </c>
      <c r="Q379" s="8" t="s">
        <v>7857</v>
      </c>
      <c r="R379" s="8" t="s">
        <v>6534</v>
      </c>
      <c r="S379" s="8" t="s">
        <v>53</v>
      </c>
      <c r="T379" s="8" t="s">
        <v>6363</v>
      </c>
      <c r="U379" s="9"/>
    </row>
    <row r="380" spans="1:21" ht="14.5" x14ac:dyDescent="0.35">
      <c r="A380" s="8" t="s">
        <v>7858</v>
      </c>
      <c r="B380" s="8" t="str">
        <f>"9780750709095"</f>
        <v>9780750709095</v>
      </c>
      <c r="C380" s="8" t="str">
        <f>"9780203209493"</f>
        <v>9780203209493</v>
      </c>
      <c r="D380" s="8" t="s">
        <v>6350</v>
      </c>
      <c r="E380" s="8" t="s">
        <v>6351</v>
      </c>
      <c r="F380" s="8" t="s">
        <v>5406</v>
      </c>
      <c r="G380" s="8" t="s">
        <v>6317</v>
      </c>
      <c r="H380" s="8">
        <v>36839</v>
      </c>
      <c r="I380" s="8">
        <v>2000</v>
      </c>
      <c r="J380" s="8" t="s">
        <v>6353</v>
      </c>
      <c r="K380" s="8">
        <v>168</v>
      </c>
      <c r="L380" s="8" t="s">
        <v>7859</v>
      </c>
      <c r="M380" s="8">
        <v>1</v>
      </c>
      <c r="N380" s="8"/>
      <c r="O380" s="8"/>
      <c r="P380" s="8" t="s">
        <v>7860</v>
      </c>
      <c r="Q380" s="8" t="s">
        <v>7861</v>
      </c>
      <c r="R380" s="8" t="s">
        <v>7862</v>
      </c>
      <c r="S380" s="8" t="s">
        <v>53</v>
      </c>
      <c r="T380" s="8" t="s">
        <v>7863</v>
      </c>
      <c r="U380" s="9"/>
    </row>
    <row r="381" spans="1:21" ht="14.5" x14ac:dyDescent="0.35">
      <c r="A381" s="8" t="s">
        <v>7864</v>
      </c>
      <c r="B381" s="8" t="str">
        <f>"9780750709255"</f>
        <v>9780750709255</v>
      </c>
      <c r="C381" s="8" t="str">
        <f>"9780203210130"</f>
        <v>9780203210130</v>
      </c>
      <c r="D381" s="8" t="s">
        <v>6350</v>
      </c>
      <c r="E381" s="8" t="s">
        <v>6351</v>
      </c>
      <c r="F381" s="8" t="s">
        <v>3967</v>
      </c>
      <c r="G381" s="8" t="s">
        <v>6352</v>
      </c>
      <c r="H381" s="8">
        <v>36100</v>
      </c>
      <c r="I381" s="8">
        <v>1999</v>
      </c>
      <c r="J381" s="8" t="s">
        <v>6353</v>
      </c>
      <c r="K381" s="8">
        <v>176</v>
      </c>
      <c r="L381" s="8" t="s">
        <v>7865</v>
      </c>
      <c r="M381" s="8">
        <v>1</v>
      </c>
      <c r="N381" s="8"/>
      <c r="O381" s="8"/>
      <c r="P381" s="8" t="s">
        <v>7866</v>
      </c>
      <c r="Q381" s="8" t="s">
        <v>7867</v>
      </c>
      <c r="R381" s="8" t="s">
        <v>7868</v>
      </c>
      <c r="S381" s="8" t="s">
        <v>53</v>
      </c>
      <c r="T381" s="8" t="s">
        <v>54</v>
      </c>
      <c r="U381" s="9"/>
    </row>
    <row r="382" spans="1:21" ht="14.5" x14ac:dyDescent="0.35">
      <c r="A382" s="8" t="s">
        <v>7869</v>
      </c>
      <c r="B382" s="8" t="str">
        <f>"9780750709668"</f>
        <v>9780750709668</v>
      </c>
      <c r="C382" s="8" t="str">
        <f>"9780203210475"</f>
        <v>9780203210475</v>
      </c>
      <c r="D382" s="8" t="s">
        <v>6350</v>
      </c>
      <c r="E382" s="8" t="s">
        <v>6351</v>
      </c>
      <c r="F382" s="8" t="s">
        <v>139</v>
      </c>
      <c r="G382" s="8" t="s">
        <v>6352</v>
      </c>
      <c r="H382" s="8">
        <v>36161</v>
      </c>
      <c r="I382" s="8">
        <v>1998</v>
      </c>
      <c r="J382" s="8" t="s">
        <v>6353</v>
      </c>
      <c r="K382" s="8">
        <v>58</v>
      </c>
      <c r="L382" s="8" t="s">
        <v>7870</v>
      </c>
      <c r="M382" s="8">
        <v>1</v>
      </c>
      <c r="N382" s="8"/>
      <c r="O382" s="8"/>
      <c r="P382" s="8">
        <v>698715</v>
      </c>
      <c r="Q382" s="8">
        <v>378.19600000000003</v>
      </c>
      <c r="R382" s="8" t="s">
        <v>7871</v>
      </c>
      <c r="S382" s="8" t="s">
        <v>53</v>
      </c>
      <c r="T382" s="8" t="s">
        <v>54</v>
      </c>
      <c r="U382" s="9"/>
    </row>
    <row r="383" spans="1:21" ht="14.5" x14ac:dyDescent="0.35">
      <c r="A383" s="8" t="s">
        <v>7872</v>
      </c>
      <c r="B383" s="8" t="str">
        <f>"9780750710121"</f>
        <v>9780750710121</v>
      </c>
      <c r="C383" s="8" t="str">
        <f>"9780203487631"</f>
        <v>9780203487631</v>
      </c>
      <c r="D383" s="8" t="s">
        <v>6350</v>
      </c>
      <c r="E383" s="8" t="s">
        <v>6351</v>
      </c>
      <c r="F383" s="8" t="s">
        <v>748</v>
      </c>
      <c r="G383" s="8" t="s">
        <v>6352</v>
      </c>
      <c r="H383" s="8">
        <v>36426</v>
      </c>
      <c r="I383" s="8">
        <v>2000</v>
      </c>
      <c r="J383" s="8" t="s">
        <v>6351</v>
      </c>
      <c r="K383" s="8">
        <v>265</v>
      </c>
      <c r="L383" s="8" t="s">
        <v>7873</v>
      </c>
      <c r="M383" s="8">
        <v>1</v>
      </c>
      <c r="N383" s="8"/>
      <c r="O383" s="8"/>
      <c r="P383" s="8" t="s">
        <v>7874</v>
      </c>
      <c r="Q383" s="8">
        <v>510.71</v>
      </c>
      <c r="R383" s="8" t="s">
        <v>54</v>
      </c>
      <c r="S383" s="8" t="s">
        <v>53</v>
      </c>
      <c r="T383" s="8" t="s">
        <v>389</v>
      </c>
      <c r="U383" s="9"/>
    </row>
    <row r="384" spans="1:21" ht="14.5" x14ac:dyDescent="0.35">
      <c r="A384" s="8" t="s">
        <v>7875</v>
      </c>
      <c r="B384" s="8" t="str">
        <f>"9781850000211"</f>
        <v>9781850000211</v>
      </c>
      <c r="C384" s="8" t="str">
        <f>"9780203299449"</f>
        <v>9780203299449</v>
      </c>
      <c r="D384" s="8" t="s">
        <v>6350</v>
      </c>
      <c r="E384" s="8" t="s">
        <v>6351</v>
      </c>
      <c r="F384" s="8" t="s">
        <v>3967</v>
      </c>
      <c r="G384" s="8" t="s">
        <v>6352</v>
      </c>
      <c r="H384" s="8">
        <v>31564</v>
      </c>
      <c r="I384" s="8">
        <v>1986</v>
      </c>
      <c r="J384" s="8" t="s">
        <v>6353</v>
      </c>
      <c r="K384" s="8">
        <v>444</v>
      </c>
      <c r="L384" s="8" t="s">
        <v>7876</v>
      </c>
      <c r="M384" s="8">
        <v>1</v>
      </c>
      <c r="N384" s="8"/>
      <c r="O384" s="8"/>
      <c r="P384" s="8" t="s">
        <v>7877</v>
      </c>
      <c r="Q384" s="8">
        <v>150.91999999999999</v>
      </c>
      <c r="R384" s="8" t="s">
        <v>7878</v>
      </c>
      <c r="S384" s="8" t="s">
        <v>53</v>
      </c>
      <c r="T384" s="8" t="s">
        <v>483</v>
      </c>
      <c r="U384" s="9"/>
    </row>
    <row r="385" spans="1:21" ht="14.5" x14ac:dyDescent="0.35">
      <c r="A385" s="8" t="s">
        <v>7879</v>
      </c>
      <c r="B385" s="8" t="str">
        <f>"9780749435332"</f>
        <v>9780749435332</v>
      </c>
      <c r="C385" s="8" t="str">
        <f>"9780203417041"</f>
        <v>9780203417041</v>
      </c>
      <c r="D385" s="8" t="s">
        <v>6350</v>
      </c>
      <c r="E385" s="8" t="s">
        <v>6351</v>
      </c>
      <c r="F385" s="8" t="s">
        <v>139</v>
      </c>
      <c r="G385" s="8" t="s">
        <v>6352</v>
      </c>
      <c r="H385" s="8">
        <v>37347</v>
      </c>
      <c r="I385" s="8">
        <v>2002</v>
      </c>
      <c r="J385" s="8" t="s">
        <v>6353</v>
      </c>
      <c r="K385" s="8">
        <v>254</v>
      </c>
      <c r="L385" s="8" t="s">
        <v>7880</v>
      </c>
      <c r="M385" s="8">
        <v>1</v>
      </c>
      <c r="N385" s="8" t="s">
        <v>7881</v>
      </c>
      <c r="O385" s="8"/>
      <c r="P385" s="8">
        <v>2002442655</v>
      </c>
      <c r="Q385" s="8">
        <v>378.1</v>
      </c>
      <c r="R385" s="8" t="s">
        <v>6543</v>
      </c>
      <c r="S385" s="8" t="s">
        <v>53</v>
      </c>
      <c r="T385" s="8" t="s">
        <v>54</v>
      </c>
      <c r="U385" s="9"/>
    </row>
    <row r="386" spans="1:21" ht="14.5" x14ac:dyDescent="0.35">
      <c r="A386" s="10" t="s">
        <v>7882</v>
      </c>
      <c r="B386" s="10" t="str">
        <f>"9780749438357"</f>
        <v>9780749438357</v>
      </c>
      <c r="C386" s="10" t="str">
        <f>"9780203416983"</f>
        <v>9780203416983</v>
      </c>
      <c r="D386" s="10" t="s">
        <v>6350</v>
      </c>
      <c r="E386" s="10" t="s">
        <v>6351</v>
      </c>
      <c r="F386" s="10" t="s">
        <v>748</v>
      </c>
      <c r="G386" s="10" t="s">
        <v>6352</v>
      </c>
      <c r="H386" s="11">
        <v>37377</v>
      </c>
      <c r="I386" s="10">
        <v>2002</v>
      </c>
      <c r="J386" s="10" t="s">
        <v>6351</v>
      </c>
      <c r="K386" s="10">
        <v>200</v>
      </c>
      <c r="L386" s="10" t="s">
        <v>7883</v>
      </c>
      <c r="M386" s="10">
        <v>1</v>
      </c>
      <c r="N386" s="10"/>
      <c r="O386" s="10"/>
      <c r="P386" s="10">
        <v>2002512631</v>
      </c>
      <c r="Q386" s="10">
        <v>370.11599999999999</v>
      </c>
      <c r="R386" s="10" t="s">
        <v>7884</v>
      </c>
      <c r="S386" s="10" t="s">
        <v>53</v>
      </c>
      <c r="T386" s="10" t="s">
        <v>54</v>
      </c>
    </row>
    <row r="387" spans="1:21" ht="14.5" x14ac:dyDescent="0.35">
      <c r="A387" s="10" t="s">
        <v>7885</v>
      </c>
      <c r="B387" s="10" t="str">
        <f>"9780815317449"</f>
        <v>9780815317449</v>
      </c>
      <c r="C387" s="10" t="str">
        <f>"9780203428634"</f>
        <v>9780203428634</v>
      </c>
      <c r="D387" s="10" t="s">
        <v>6350</v>
      </c>
      <c r="E387" s="10" t="s">
        <v>6351</v>
      </c>
      <c r="F387" s="10" t="s">
        <v>7115</v>
      </c>
      <c r="G387" s="10" t="s">
        <v>6317</v>
      </c>
      <c r="H387" s="11">
        <v>37568</v>
      </c>
      <c r="I387" s="10">
        <v>2003</v>
      </c>
      <c r="J387" s="10" t="s">
        <v>6353</v>
      </c>
      <c r="K387" s="10">
        <v>310</v>
      </c>
      <c r="L387" s="10" t="s">
        <v>7886</v>
      </c>
      <c r="M387" s="10">
        <v>2</v>
      </c>
      <c r="N387" s="10" t="s">
        <v>7887</v>
      </c>
      <c r="O387" s="10"/>
      <c r="P387" s="10" t="s">
        <v>7888</v>
      </c>
      <c r="Q387" s="10">
        <v>370.1</v>
      </c>
      <c r="R387" s="10" t="s">
        <v>7889</v>
      </c>
      <c r="S387" s="10" t="s">
        <v>53</v>
      </c>
      <c r="T387" s="10" t="s">
        <v>54</v>
      </c>
    </row>
    <row r="388" spans="1:21" ht="14.5" x14ac:dyDescent="0.35">
      <c r="A388" s="10" t="s">
        <v>7890</v>
      </c>
      <c r="B388" s="10" t="str">
        <f>"9780415263474"</f>
        <v>9780415263474</v>
      </c>
      <c r="C388" s="10" t="str">
        <f>"9780203464410"</f>
        <v>9780203464410</v>
      </c>
      <c r="D388" s="10" t="s">
        <v>6350</v>
      </c>
      <c r="E388" s="10" t="s">
        <v>6351</v>
      </c>
      <c r="F388" s="10" t="s">
        <v>139</v>
      </c>
      <c r="G388" s="10" t="s">
        <v>6352</v>
      </c>
      <c r="H388" s="11">
        <v>37944</v>
      </c>
      <c r="I388" s="10">
        <v>2003</v>
      </c>
      <c r="J388" s="10" t="s">
        <v>6353</v>
      </c>
      <c r="K388" s="10">
        <v>205</v>
      </c>
      <c r="L388" s="10" t="s">
        <v>7891</v>
      </c>
      <c r="M388" s="10">
        <v>1</v>
      </c>
      <c r="N388" s="10"/>
      <c r="O388" s="10"/>
      <c r="P388" s="10">
        <v>2003046675</v>
      </c>
      <c r="Q388" s="10">
        <v>374.00099999999998</v>
      </c>
      <c r="R388" s="10" t="s">
        <v>7456</v>
      </c>
      <c r="S388" s="10" t="s">
        <v>53</v>
      </c>
      <c r="T388" s="10" t="s">
        <v>54</v>
      </c>
    </row>
    <row r="389" spans="1:21" ht="14.5" x14ac:dyDescent="0.35">
      <c r="A389" s="10" t="s">
        <v>7892</v>
      </c>
      <c r="B389" s="10" t="str">
        <f>"9780415274982"</f>
        <v>9780415274982</v>
      </c>
      <c r="C389" s="10" t="str">
        <f>"9780203422731"</f>
        <v>9780203422731</v>
      </c>
      <c r="D389" s="10" t="s">
        <v>6350</v>
      </c>
      <c r="E389" s="10" t="s">
        <v>6351</v>
      </c>
      <c r="F389" s="10" t="s">
        <v>748</v>
      </c>
      <c r="G389" s="10" t="s">
        <v>6352</v>
      </c>
      <c r="H389" s="11">
        <v>37750</v>
      </c>
      <c r="I389" s="10">
        <v>2003</v>
      </c>
      <c r="J389" s="10" t="s">
        <v>6351</v>
      </c>
      <c r="K389" s="10">
        <v>145</v>
      </c>
      <c r="L389" s="10" t="s">
        <v>7893</v>
      </c>
      <c r="M389" s="10">
        <v>1</v>
      </c>
      <c r="N389" s="10"/>
      <c r="O389" s="10"/>
      <c r="P389" s="10" t="s">
        <v>7894</v>
      </c>
      <c r="Q389" s="10">
        <v>371.2</v>
      </c>
      <c r="R389" s="10" t="s">
        <v>6932</v>
      </c>
      <c r="S389" s="10" t="s">
        <v>53</v>
      </c>
      <c r="T389" s="10" t="s">
        <v>54</v>
      </c>
    </row>
    <row r="390" spans="1:21" ht="14.5" x14ac:dyDescent="0.35">
      <c r="A390" s="10" t="s">
        <v>7895</v>
      </c>
      <c r="B390" s="10" t="str">
        <f>"9780415266178"</f>
        <v>9780415266178</v>
      </c>
      <c r="C390" s="10" t="str">
        <f>"9780203464434"</f>
        <v>9780203464434</v>
      </c>
      <c r="D390" s="10" t="s">
        <v>6350</v>
      </c>
      <c r="E390" s="10" t="s">
        <v>6351</v>
      </c>
      <c r="F390" s="10" t="s">
        <v>139</v>
      </c>
      <c r="G390" s="10" t="s">
        <v>6352</v>
      </c>
      <c r="H390" s="11">
        <v>37971</v>
      </c>
      <c r="I390" s="10">
        <v>2003</v>
      </c>
      <c r="J390" s="10" t="s">
        <v>6353</v>
      </c>
      <c r="K390" s="10">
        <v>240</v>
      </c>
      <c r="L390" s="10" t="s">
        <v>7896</v>
      </c>
      <c r="M390" s="10">
        <v>1</v>
      </c>
      <c r="N390" s="10"/>
      <c r="O390" s="10"/>
      <c r="P390" s="10">
        <v>2003013095</v>
      </c>
      <c r="Q390" s="10">
        <v>374</v>
      </c>
      <c r="R390" s="10" t="s">
        <v>6401</v>
      </c>
      <c r="S390" s="10" t="s">
        <v>53</v>
      </c>
      <c r="T390" s="10" t="s">
        <v>54</v>
      </c>
    </row>
    <row r="391" spans="1:21" ht="14.5" x14ac:dyDescent="0.35">
      <c r="A391" s="10" t="s">
        <v>7897</v>
      </c>
      <c r="B391" s="10" t="str">
        <f>"9780415267724"</f>
        <v>9780415267724</v>
      </c>
      <c r="C391" s="10" t="str">
        <f>"9780203422793"</f>
        <v>9780203422793</v>
      </c>
      <c r="D391" s="10" t="s">
        <v>6350</v>
      </c>
      <c r="E391" s="10" t="s">
        <v>6351</v>
      </c>
      <c r="F391" s="10" t="s">
        <v>3967</v>
      </c>
      <c r="G391" s="10" t="s">
        <v>6352</v>
      </c>
      <c r="H391" s="11">
        <v>37757</v>
      </c>
      <c r="I391" s="10">
        <v>2003</v>
      </c>
      <c r="J391" s="10" t="s">
        <v>6353</v>
      </c>
      <c r="K391" s="10">
        <v>273</v>
      </c>
      <c r="L391" s="10" t="s">
        <v>7898</v>
      </c>
      <c r="M391" s="10">
        <v>1</v>
      </c>
      <c r="N391" s="10"/>
      <c r="O391" s="10"/>
      <c r="P391" s="10" t="s">
        <v>7899</v>
      </c>
      <c r="Q391" s="10">
        <v>338.94</v>
      </c>
      <c r="R391" s="10" t="s">
        <v>7900</v>
      </c>
      <c r="S391" s="10" t="s">
        <v>53</v>
      </c>
      <c r="T391" s="10" t="s">
        <v>7901</v>
      </c>
    </row>
    <row r="392" spans="1:21" ht="14.5" x14ac:dyDescent="0.35">
      <c r="A392" s="10" t="s">
        <v>7902</v>
      </c>
      <c r="B392" s="10" t="str">
        <f>"9780415276733"</f>
        <v>9780415276733</v>
      </c>
      <c r="C392" s="10" t="str">
        <f>"9780203426388"</f>
        <v>9780203426388</v>
      </c>
      <c r="D392" s="10" t="s">
        <v>6350</v>
      </c>
      <c r="E392" s="10" t="s">
        <v>6351</v>
      </c>
      <c r="F392" s="10" t="s">
        <v>139</v>
      </c>
      <c r="G392" s="10" t="s">
        <v>6352</v>
      </c>
      <c r="H392" s="11">
        <v>37958</v>
      </c>
      <c r="I392" s="10">
        <v>2003</v>
      </c>
      <c r="J392" s="10" t="s">
        <v>6353</v>
      </c>
      <c r="K392" s="10">
        <v>257</v>
      </c>
      <c r="L392" s="10" t="s">
        <v>7903</v>
      </c>
      <c r="M392" s="10">
        <v>2</v>
      </c>
      <c r="N392" s="10"/>
      <c r="O392" s="10"/>
      <c r="P392" s="10" t="s">
        <v>7904</v>
      </c>
      <c r="Q392" s="10">
        <v>372.35094099999998</v>
      </c>
      <c r="R392" s="10" t="s">
        <v>7905</v>
      </c>
      <c r="S392" s="10" t="s">
        <v>53</v>
      </c>
      <c r="T392" s="10" t="s">
        <v>54</v>
      </c>
    </row>
    <row r="393" spans="1:21" ht="14.5" x14ac:dyDescent="0.35">
      <c r="A393" s="10" t="s">
        <v>7906</v>
      </c>
      <c r="B393" s="10" t="str">
        <f>"9780415280419"</f>
        <v>9780415280419</v>
      </c>
      <c r="C393" s="10" t="str">
        <f>"9781134464289"</f>
        <v>9781134464289</v>
      </c>
      <c r="D393" s="10" t="s">
        <v>6350</v>
      </c>
      <c r="E393" s="10" t="s">
        <v>6351</v>
      </c>
      <c r="F393" s="10" t="s">
        <v>139</v>
      </c>
      <c r="G393" s="10" t="s">
        <v>6352</v>
      </c>
      <c r="H393" s="11">
        <v>38393</v>
      </c>
      <c r="I393" s="10">
        <v>2004</v>
      </c>
      <c r="J393" s="10" t="s">
        <v>6353</v>
      </c>
      <c r="K393" s="10">
        <v>219</v>
      </c>
      <c r="L393" s="10" t="s">
        <v>7907</v>
      </c>
      <c r="M393" s="10">
        <v>1</v>
      </c>
      <c r="N393" s="10" t="s">
        <v>7908</v>
      </c>
      <c r="O393" s="10"/>
      <c r="P393" s="10" t="s">
        <v>7909</v>
      </c>
      <c r="Q393" s="10">
        <v>372.21</v>
      </c>
      <c r="R393" s="10" t="s">
        <v>7910</v>
      </c>
      <c r="S393" s="10" t="s">
        <v>53</v>
      </c>
      <c r="T393" s="10" t="s">
        <v>54</v>
      </c>
    </row>
    <row r="394" spans="1:21" ht="14.5" x14ac:dyDescent="0.35">
      <c r="A394" s="10" t="s">
        <v>7911</v>
      </c>
      <c r="B394" s="10" t="str">
        <f>"9780415280457"</f>
        <v>9780415280457</v>
      </c>
      <c r="C394" s="10" t="str">
        <f>"9780203464724"</f>
        <v>9780203464724</v>
      </c>
      <c r="D394" s="10" t="s">
        <v>6350</v>
      </c>
      <c r="E394" s="10" t="s">
        <v>6351</v>
      </c>
      <c r="F394" s="10" t="s">
        <v>748</v>
      </c>
      <c r="G394" s="10" t="s">
        <v>6352</v>
      </c>
      <c r="H394" s="11">
        <v>37931</v>
      </c>
      <c r="I394" s="10">
        <v>2004</v>
      </c>
      <c r="J394" s="10" t="s">
        <v>6351</v>
      </c>
      <c r="K394" s="10">
        <v>125</v>
      </c>
      <c r="L394" s="10" t="s">
        <v>7912</v>
      </c>
      <c r="M394" s="10">
        <v>1</v>
      </c>
      <c r="N394" s="10"/>
      <c r="O394" s="10"/>
      <c r="P394" s="10" t="s">
        <v>7913</v>
      </c>
      <c r="Q394" s="10">
        <v>371.91</v>
      </c>
      <c r="R394" s="10" t="s">
        <v>7914</v>
      </c>
      <c r="S394" s="10" t="s">
        <v>53</v>
      </c>
      <c r="T394" s="10" t="s">
        <v>54</v>
      </c>
    </row>
    <row r="395" spans="1:21" ht="14.5" x14ac:dyDescent="0.35">
      <c r="A395" s="10" t="s">
        <v>7915</v>
      </c>
      <c r="B395" s="10" t="str">
        <f>"9780415282468"</f>
        <v>9780415282468</v>
      </c>
      <c r="C395" s="10" t="str">
        <f>"9780203426333"</f>
        <v>9780203426333</v>
      </c>
      <c r="D395" s="10" t="s">
        <v>6350</v>
      </c>
      <c r="E395" s="10" t="s">
        <v>6351</v>
      </c>
      <c r="F395" s="10" t="s">
        <v>7115</v>
      </c>
      <c r="G395" s="10" t="s">
        <v>6317</v>
      </c>
      <c r="H395" s="11">
        <v>37894</v>
      </c>
      <c r="I395" s="10">
        <v>2003</v>
      </c>
      <c r="J395" s="10" t="s">
        <v>6353</v>
      </c>
      <c r="K395" s="10">
        <v>177</v>
      </c>
      <c r="L395" s="10" t="s">
        <v>7916</v>
      </c>
      <c r="M395" s="10">
        <v>1</v>
      </c>
      <c r="N395" s="10"/>
      <c r="O395" s="10"/>
      <c r="P395" s="10" t="s">
        <v>7917</v>
      </c>
      <c r="Q395" s="10">
        <v>371.2</v>
      </c>
      <c r="R395" s="10" t="s">
        <v>7918</v>
      </c>
      <c r="S395" s="10" t="s">
        <v>53</v>
      </c>
      <c r="T395" s="10" t="s">
        <v>54</v>
      </c>
    </row>
    <row r="396" spans="1:21" ht="14.5" x14ac:dyDescent="0.35">
      <c r="A396" s="10" t="s">
        <v>7919</v>
      </c>
      <c r="B396" s="10" t="str">
        <f>"9780415286978"</f>
        <v>9780415286978</v>
      </c>
      <c r="C396" s="10" t="str">
        <f>"9780203464656"</f>
        <v>9780203464656</v>
      </c>
      <c r="D396" s="10" t="s">
        <v>6350</v>
      </c>
      <c r="E396" s="10" t="s">
        <v>6351</v>
      </c>
      <c r="F396" s="10" t="s">
        <v>748</v>
      </c>
      <c r="G396" s="10" t="s">
        <v>6352</v>
      </c>
      <c r="H396" s="11">
        <v>38519</v>
      </c>
      <c r="I396" s="10">
        <v>2005</v>
      </c>
      <c r="J396" s="10" t="s">
        <v>6351</v>
      </c>
      <c r="K396" s="10">
        <v>167</v>
      </c>
      <c r="L396" s="10" t="s">
        <v>7920</v>
      </c>
      <c r="M396" s="10">
        <v>1</v>
      </c>
      <c r="N396" s="10"/>
      <c r="O396" s="10"/>
      <c r="P396" s="10">
        <v>2004014084</v>
      </c>
      <c r="Q396" s="10">
        <v>371.93</v>
      </c>
      <c r="R396" s="10" t="s">
        <v>7818</v>
      </c>
      <c r="S396" s="10" t="s">
        <v>53</v>
      </c>
      <c r="T396" s="10" t="s">
        <v>54</v>
      </c>
    </row>
    <row r="397" spans="1:21" ht="14.5" x14ac:dyDescent="0.35">
      <c r="A397" s="10" t="s">
        <v>7921</v>
      </c>
      <c r="B397" s="10" t="str">
        <f>"9780415296694"</f>
        <v>9780415296694</v>
      </c>
      <c r="C397" s="10" t="str">
        <f>"9780203464908"</f>
        <v>9780203464908</v>
      </c>
      <c r="D397" s="10" t="s">
        <v>6350</v>
      </c>
      <c r="E397" s="10" t="s">
        <v>6351</v>
      </c>
      <c r="F397" s="10" t="s">
        <v>139</v>
      </c>
      <c r="G397" s="10" t="s">
        <v>6317</v>
      </c>
      <c r="H397" s="11">
        <v>37875</v>
      </c>
      <c r="I397" s="10">
        <v>2003</v>
      </c>
      <c r="J397" s="10" t="s">
        <v>6353</v>
      </c>
      <c r="K397" s="10">
        <v>236</v>
      </c>
      <c r="L397" s="10" t="s">
        <v>7922</v>
      </c>
      <c r="M397" s="10">
        <v>1</v>
      </c>
      <c r="N397" s="10"/>
      <c r="O397" s="10"/>
      <c r="P397" s="10" t="s">
        <v>7923</v>
      </c>
      <c r="Q397" s="10">
        <v>370.11399999999998</v>
      </c>
      <c r="R397" s="10" t="s">
        <v>7924</v>
      </c>
      <c r="S397" s="10" t="s">
        <v>53</v>
      </c>
      <c r="T397" s="10" t="s">
        <v>54</v>
      </c>
    </row>
    <row r="398" spans="1:21" ht="14.5" x14ac:dyDescent="0.35">
      <c r="A398" s="10" t="s">
        <v>7925</v>
      </c>
      <c r="B398" s="10" t="str">
        <f>"9780415296953"</f>
        <v>9780415296953</v>
      </c>
      <c r="C398" s="10" t="str">
        <f>"9780203464939"</f>
        <v>9780203464939</v>
      </c>
      <c r="D398" s="10" t="s">
        <v>6350</v>
      </c>
      <c r="E398" s="10" t="s">
        <v>6351</v>
      </c>
      <c r="F398" s="10" t="s">
        <v>139</v>
      </c>
      <c r="G398" s="10" t="s">
        <v>6352</v>
      </c>
      <c r="H398" s="11">
        <v>37894</v>
      </c>
      <c r="I398" s="10">
        <v>2003</v>
      </c>
      <c r="J398" s="10" t="s">
        <v>6353</v>
      </c>
      <c r="K398" s="10">
        <v>238</v>
      </c>
      <c r="L398" s="10" t="s">
        <v>7926</v>
      </c>
      <c r="M398" s="10">
        <v>1</v>
      </c>
      <c r="N398" s="10"/>
      <c r="O398" s="10"/>
      <c r="P398" s="10" t="s">
        <v>7927</v>
      </c>
      <c r="Q398" s="10">
        <v>370.11500000000001</v>
      </c>
      <c r="R398" s="10" t="s">
        <v>6558</v>
      </c>
      <c r="S398" s="10" t="s">
        <v>53</v>
      </c>
      <c r="T398" s="10" t="s">
        <v>54</v>
      </c>
    </row>
    <row r="399" spans="1:21" ht="14.5" x14ac:dyDescent="0.35">
      <c r="A399" s="10" t="s">
        <v>7928</v>
      </c>
      <c r="B399" s="10" t="str">
        <f>"9780415303392"</f>
        <v>9780415303392</v>
      </c>
      <c r="C399" s="10" t="str">
        <f>"9780203465257"</f>
        <v>9780203465257</v>
      </c>
      <c r="D399" s="10" t="s">
        <v>6350</v>
      </c>
      <c r="E399" s="10" t="s">
        <v>6351</v>
      </c>
      <c r="F399" s="10" t="s">
        <v>748</v>
      </c>
      <c r="G399" s="10" t="s">
        <v>6352</v>
      </c>
      <c r="H399" s="11">
        <v>37938</v>
      </c>
      <c r="I399" s="10">
        <v>2003</v>
      </c>
      <c r="J399" s="10" t="s">
        <v>6351</v>
      </c>
      <c r="K399" s="10">
        <v>153</v>
      </c>
      <c r="L399" s="10" t="s">
        <v>7929</v>
      </c>
      <c r="M399" s="10">
        <v>1</v>
      </c>
      <c r="N399" s="10"/>
      <c r="O399" s="10"/>
      <c r="P399" s="10" t="s">
        <v>7930</v>
      </c>
      <c r="Q399" s="10" t="s">
        <v>7931</v>
      </c>
      <c r="R399" s="10" t="s">
        <v>7932</v>
      </c>
      <c r="S399" s="10" t="s">
        <v>53</v>
      </c>
      <c r="T399" s="10" t="s">
        <v>6492</v>
      </c>
    </row>
    <row r="400" spans="1:21" ht="14.5" x14ac:dyDescent="0.35">
      <c r="A400" s="10" t="s">
        <v>7933</v>
      </c>
      <c r="B400" s="10" t="str">
        <f>"9780415303408"</f>
        <v>9780415303408</v>
      </c>
      <c r="C400" s="10" t="str">
        <f>"9780203465264"</f>
        <v>9780203465264</v>
      </c>
      <c r="D400" s="10" t="s">
        <v>6350</v>
      </c>
      <c r="E400" s="10" t="s">
        <v>6351</v>
      </c>
      <c r="F400" s="10" t="s">
        <v>139</v>
      </c>
      <c r="G400" s="10" t="s">
        <v>6352</v>
      </c>
      <c r="H400" s="11">
        <v>37889</v>
      </c>
      <c r="I400" s="10">
        <v>2003</v>
      </c>
      <c r="J400" s="10" t="s">
        <v>6353</v>
      </c>
      <c r="K400" s="10">
        <v>257</v>
      </c>
      <c r="L400" s="10" t="s">
        <v>7934</v>
      </c>
      <c r="M400" s="10">
        <v>1</v>
      </c>
      <c r="N400" s="10"/>
      <c r="O400" s="10"/>
      <c r="P400" s="10" t="s">
        <v>7935</v>
      </c>
      <c r="Q400" s="10">
        <v>371.36</v>
      </c>
      <c r="R400" s="10" t="s">
        <v>7936</v>
      </c>
      <c r="S400" s="10" t="s">
        <v>53</v>
      </c>
      <c r="T400" s="10" t="s">
        <v>54</v>
      </c>
    </row>
    <row r="401" spans="1:20" ht="14.5" x14ac:dyDescent="0.35">
      <c r="A401" s="10" t="s">
        <v>7937</v>
      </c>
      <c r="B401" s="10" t="str">
        <f>"9780415297936"</f>
        <v>9780415297936</v>
      </c>
      <c r="C401" s="10" t="str">
        <f>"9780203711804"</f>
        <v>9780203711804</v>
      </c>
      <c r="D401" s="10" t="s">
        <v>6350</v>
      </c>
      <c r="E401" s="10" t="s">
        <v>6351</v>
      </c>
      <c r="F401" s="10" t="s">
        <v>139</v>
      </c>
      <c r="G401" s="10" t="s">
        <v>6352</v>
      </c>
      <c r="H401" s="11">
        <v>37973</v>
      </c>
      <c r="I401" s="10">
        <v>2003</v>
      </c>
      <c r="J401" s="10" t="s">
        <v>6353</v>
      </c>
      <c r="K401" s="10">
        <v>261</v>
      </c>
      <c r="L401" s="10" t="s">
        <v>7938</v>
      </c>
      <c r="M401" s="10">
        <v>1</v>
      </c>
      <c r="N401" s="10"/>
      <c r="O401" s="10"/>
      <c r="P401" s="10">
        <v>2003046906</v>
      </c>
      <c r="Q401" s="10">
        <v>306.43</v>
      </c>
      <c r="R401" s="10" t="s">
        <v>6558</v>
      </c>
      <c r="S401" s="10" t="s">
        <v>53</v>
      </c>
      <c r="T401" s="10" t="s">
        <v>6363</v>
      </c>
    </row>
    <row r="402" spans="1:20" ht="14.5" x14ac:dyDescent="0.35">
      <c r="A402" s="10" t="s">
        <v>7939</v>
      </c>
      <c r="B402" s="10" t="str">
        <f>"9780415304788"</f>
        <v>9780415304788</v>
      </c>
      <c r="C402" s="10" t="str">
        <f>"9780203403709"</f>
        <v>9780203403709</v>
      </c>
      <c r="D402" s="10" t="s">
        <v>6350</v>
      </c>
      <c r="E402" s="10" t="s">
        <v>6351</v>
      </c>
      <c r="F402" s="10" t="s">
        <v>139</v>
      </c>
      <c r="G402" s="10" t="s">
        <v>6352</v>
      </c>
      <c r="H402" s="11">
        <v>38008</v>
      </c>
      <c r="I402" s="10">
        <v>2004</v>
      </c>
      <c r="J402" s="10" t="s">
        <v>6353</v>
      </c>
      <c r="K402" s="10">
        <v>241</v>
      </c>
      <c r="L402" s="10" t="s">
        <v>7940</v>
      </c>
      <c r="M402" s="10">
        <v>1</v>
      </c>
      <c r="N402" s="10"/>
      <c r="O402" s="10"/>
      <c r="P402" s="10">
        <v>2003014226</v>
      </c>
      <c r="Q402" s="10">
        <v>371.14400000000001</v>
      </c>
      <c r="R402" s="10" t="s">
        <v>7941</v>
      </c>
      <c r="S402" s="10" t="s">
        <v>53</v>
      </c>
      <c r="T402" s="10" t="s">
        <v>54</v>
      </c>
    </row>
    <row r="403" spans="1:20" ht="14.5" x14ac:dyDescent="0.35">
      <c r="A403" s="10" t="s">
        <v>7942</v>
      </c>
      <c r="B403" s="10" t="str">
        <f>"9780415306591"</f>
        <v>9780415306591</v>
      </c>
      <c r="C403" s="10" t="str">
        <f>"9780203426500"</f>
        <v>9780203426500</v>
      </c>
      <c r="D403" s="10" t="s">
        <v>6350</v>
      </c>
      <c r="E403" s="10" t="s">
        <v>6351</v>
      </c>
      <c r="F403" s="10" t="s">
        <v>7115</v>
      </c>
      <c r="G403" s="10" t="s">
        <v>6317</v>
      </c>
      <c r="H403" s="11">
        <v>37831</v>
      </c>
      <c r="I403" s="10">
        <v>2003</v>
      </c>
      <c r="J403" s="10" t="s">
        <v>6353</v>
      </c>
      <c r="K403" s="10">
        <v>144</v>
      </c>
      <c r="L403" s="10" t="s">
        <v>7943</v>
      </c>
      <c r="M403" s="10">
        <v>1</v>
      </c>
      <c r="N403" s="10"/>
      <c r="O403" s="10"/>
      <c r="P403" s="10" t="s">
        <v>7944</v>
      </c>
      <c r="Q403" s="10">
        <v>370.947</v>
      </c>
      <c r="R403" s="10" t="s">
        <v>7945</v>
      </c>
      <c r="S403" s="10" t="s">
        <v>53</v>
      </c>
      <c r="T403" s="10" t="s">
        <v>54</v>
      </c>
    </row>
    <row r="404" spans="1:20" ht="14.5" x14ac:dyDescent="0.35">
      <c r="A404" s="10" t="s">
        <v>7946</v>
      </c>
      <c r="B404" s="10" t="str">
        <f>"9780415308205"</f>
        <v>9780415308205</v>
      </c>
      <c r="C404" s="10" t="str">
        <f>"9780203220993"</f>
        <v>9780203220993</v>
      </c>
      <c r="D404" s="10" t="s">
        <v>6350</v>
      </c>
      <c r="E404" s="10" t="s">
        <v>6351</v>
      </c>
      <c r="F404" s="10" t="s">
        <v>139</v>
      </c>
      <c r="G404" s="10" t="s">
        <v>6352</v>
      </c>
      <c r="H404" s="11">
        <v>38363</v>
      </c>
      <c r="I404" s="10">
        <v>2004</v>
      </c>
      <c r="J404" s="10" t="s">
        <v>6353</v>
      </c>
      <c r="K404" s="10">
        <v>305</v>
      </c>
      <c r="L404" s="10" t="s">
        <v>7947</v>
      </c>
      <c r="M404" s="10">
        <v>1</v>
      </c>
      <c r="N404" s="10"/>
      <c r="O404" s="10"/>
      <c r="P404" s="10" t="s">
        <v>7948</v>
      </c>
      <c r="Q404" s="10">
        <v>371.26</v>
      </c>
      <c r="R404" s="10" t="s">
        <v>7949</v>
      </c>
      <c r="S404" s="10" t="s">
        <v>53</v>
      </c>
      <c r="T404" s="10" t="s">
        <v>54</v>
      </c>
    </row>
    <row r="405" spans="1:20" ht="14.5" x14ac:dyDescent="0.35">
      <c r="A405" s="10" t="s">
        <v>7950</v>
      </c>
      <c r="B405" s="10" t="str">
        <f>"9780415308243"</f>
        <v>9780415308243</v>
      </c>
      <c r="C405" s="10" t="str">
        <f>"9780203687550"</f>
        <v>9780203687550</v>
      </c>
      <c r="D405" s="10" t="s">
        <v>6350</v>
      </c>
      <c r="E405" s="10" t="s">
        <v>6351</v>
      </c>
      <c r="F405" s="10" t="s">
        <v>139</v>
      </c>
      <c r="G405" s="10" t="s">
        <v>6352</v>
      </c>
      <c r="H405" s="11">
        <v>37938</v>
      </c>
      <c r="I405" s="10">
        <v>2004</v>
      </c>
      <c r="J405" s="10" t="s">
        <v>6353</v>
      </c>
      <c r="K405" s="10">
        <v>159</v>
      </c>
      <c r="L405" s="10" t="s">
        <v>7951</v>
      </c>
      <c r="M405" s="10">
        <v>1</v>
      </c>
      <c r="N405" s="10"/>
      <c r="O405" s="10"/>
      <c r="P405" s="10" t="s">
        <v>7952</v>
      </c>
      <c r="Q405" s="10">
        <v>371.82691399999999</v>
      </c>
      <c r="R405" s="10" t="s">
        <v>7953</v>
      </c>
      <c r="S405" s="10" t="s">
        <v>53</v>
      </c>
      <c r="T405" s="10" t="s">
        <v>54</v>
      </c>
    </row>
    <row r="406" spans="1:20" ht="14.5" x14ac:dyDescent="0.35">
      <c r="A406" s="10" t="s">
        <v>7954</v>
      </c>
      <c r="B406" s="10" t="str">
        <f>"9780415322034"</f>
        <v>9780415322034</v>
      </c>
      <c r="C406" s="10" t="str">
        <f>"9780203299760"</f>
        <v>9780203299760</v>
      </c>
      <c r="D406" s="10" t="s">
        <v>6350</v>
      </c>
      <c r="E406" s="10" t="s">
        <v>6351</v>
      </c>
      <c r="F406" s="10" t="s">
        <v>139</v>
      </c>
      <c r="G406" s="10" t="s">
        <v>6352</v>
      </c>
      <c r="H406" s="11">
        <v>38231</v>
      </c>
      <c r="I406" s="10">
        <v>2004</v>
      </c>
      <c r="J406" s="10" t="s">
        <v>6353</v>
      </c>
      <c r="K406" s="10">
        <v>231</v>
      </c>
      <c r="L406" s="10" t="s">
        <v>7955</v>
      </c>
      <c r="M406" s="10">
        <v>1</v>
      </c>
      <c r="N406" s="10" t="s">
        <v>6954</v>
      </c>
      <c r="O406" s="10"/>
      <c r="P406" s="10">
        <v>27</v>
      </c>
      <c r="Q406" s="10" t="s">
        <v>7956</v>
      </c>
      <c r="R406" s="10" t="s">
        <v>7957</v>
      </c>
      <c r="S406" s="10" t="s">
        <v>53</v>
      </c>
      <c r="T406" s="10" t="s">
        <v>54</v>
      </c>
    </row>
    <row r="407" spans="1:20" ht="14.5" x14ac:dyDescent="0.35">
      <c r="A407" s="10" t="s">
        <v>7958</v>
      </c>
      <c r="B407" s="10" t="str">
        <f>"9780415331685"</f>
        <v>9780415331685</v>
      </c>
      <c r="C407" s="10" t="str">
        <f>"9780203397305"</f>
        <v>9780203397305</v>
      </c>
      <c r="D407" s="10" t="s">
        <v>6350</v>
      </c>
      <c r="E407" s="10" t="s">
        <v>6351</v>
      </c>
      <c r="F407" s="10" t="s">
        <v>7115</v>
      </c>
      <c r="G407" s="10" t="s">
        <v>6317</v>
      </c>
      <c r="H407" s="11">
        <v>38351</v>
      </c>
      <c r="I407" s="10">
        <v>2005</v>
      </c>
      <c r="J407" s="10" t="s">
        <v>6353</v>
      </c>
      <c r="K407" s="10">
        <v>197</v>
      </c>
      <c r="L407" s="10" t="s">
        <v>7959</v>
      </c>
      <c r="M407" s="10">
        <v>2</v>
      </c>
      <c r="N407" s="10"/>
      <c r="O407" s="10"/>
      <c r="P407" s="10" t="s">
        <v>7960</v>
      </c>
      <c r="Q407" s="10">
        <v>428.00711999999999</v>
      </c>
      <c r="R407" s="10" t="s">
        <v>7961</v>
      </c>
      <c r="S407" s="10" t="s">
        <v>53</v>
      </c>
      <c r="T407" s="10" t="s">
        <v>6498</v>
      </c>
    </row>
    <row r="408" spans="1:20" ht="14.5" x14ac:dyDescent="0.35">
      <c r="A408" s="10" t="s">
        <v>7962</v>
      </c>
      <c r="B408" s="10" t="str">
        <f>"9780415333740"</f>
        <v>9780415333740</v>
      </c>
      <c r="C408" s="10" t="str">
        <f>"9780203413982"</f>
        <v>9780203413982</v>
      </c>
      <c r="D408" s="10" t="s">
        <v>6350</v>
      </c>
      <c r="E408" s="10" t="s">
        <v>6351</v>
      </c>
      <c r="F408" s="10" t="s">
        <v>7115</v>
      </c>
      <c r="G408" s="10" t="s">
        <v>6317</v>
      </c>
      <c r="H408" s="11">
        <v>38545</v>
      </c>
      <c r="I408" s="10">
        <v>2004</v>
      </c>
      <c r="J408" s="10" t="s">
        <v>6353</v>
      </c>
      <c r="K408" s="10">
        <v>211</v>
      </c>
      <c r="L408" s="10" t="s">
        <v>7963</v>
      </c>
      <c r="M408" s="10">
        <v>1</v>
      </c>
      <c r="N408" s="10" t="s">
        <v>7964</v>
      </c>
      <c r="O408" s="10"/>
      <c r="P408" s="10" t="s">
        <v>7965</v>
      </c>
      <c r="Q408" s="10" t="s">
        <v>7600</v>
      </c>
      <c r="R408" s="10" t="s">
        <v>7966</v>
      </c>
      <c r="S408" s="10" t="s">
        <v>53</v>
      </c>
      <c r="T408" s="10" t="s">
        <v>54</v>
      </c>
    </row>
    <row r="409" spans="1:20" ht="14.5" x14ac:dyDescent="0.35">
      <c r="A409" s="10" t="s">
        <v>7967</v>
      </c>
      <c r="B409" s="10" t="str">
        <f>"9780415335119"</f>
        <v>9780415335119</v>
      </c>
      <c r="C409" s="10" t="str">
        <f>"9780203416334"</f>
        <v>9780203416334</v>
      </c>
      <c r="D409" s="10" t="s">
        <v>6350</v>
      </c>
      <c r="E409" s="10" t="s">
        <v>6351</v>
      </c>
      <c r="F409" s="10" t="s">
        <v>139</v>
      </c>
      <c r="G409" s="10" t="s">
        <v>6352</v>
      </c>
      <c r="H409" s="11">
        <v>37742</v>
      </c>
      <c r="I409" s="10">
        <v>2003</v>
      </c>
      <c r="J409" s="10" t="s">
        <v>6353</v>
      </c>
      <c r="K409" s="10">
        <v>292</v>
      </c>
      <c r="L409" s="10" t="s">
        <v>7968</v>
      </c>
      <c r="M409" s="10">
        <v>1</v>
      </c>
      <c r="N409" s="10"/>
      <c r="O409" s="10"/>
      <c r="P409" s="10" t="s">
        <v>7969</v>
      </c>
      <c r="Q409" s="10">
        <v>370.15230000000003</v>
      </c>
      <c r="R409" s="10" t="s">
        <v>7970</v>
      </c>
      <c r="S409" s="10" t="s">
        <v>53</v>
      </c>
      <c r="T409" s="10" t="s">
        <v>54</v>
      </c>
    </row>
    <row r="410" spans="1:20" ht="14.5" x14ac:dyDescent="0.35">
      <c r="A410" s="10" t="s">
        <v>7971</v>
      </c>
      <c r="B410" s="10" t="str">
        <f>"9780415335225"</f>
        <v>9780415335225</v>
      </c>
      <c r="C410" s="10" t="str">
        <f>"9780203416402"</f>
        <v>9780203416402</v>
      </c>
      <c r="D410" s="10" t="s">
        <v>6350</v>
      </c>
      <c r="E410" s="10" t="s">
        <v>6351</v>
      </c>
      <c r="F410" s="10" t="s">
        <v>139</v>
      </c>
      <c r="G410" s="10" t="s">
        <v>6352</v>
      </c>
      <c r="H410" s="11">
        <v>38125</v>
      </c>
      <c r="I410" s="10">
        <v>2004</v>
      </c>
      <c r="J410" s="10" t="s">
        <v>6353</v>
      </c>
      <c r="K410" s="10">
        <v>178</v>
      </c>
      <c r="L410" s="10" t="s">
        <v>7972</v>
      </c>
      <c r="M410" s="10">
        <v>1</v>
      </c>
      <c r="N410" s="10"/>
      <c r="O410" s="10"/>
      <c r="P410" s="10" t="s">
        <v>7973</v>
      </c>
      <c r="Q410" s="10">
        <v>371.1</v>
      </c>
      <c r="R410" s="10" t="s">
        <v>7974</v>
      </c>
      <c r="S410" s="10" t="s">
        <v>53</v>
      </c>
      <c r="T410" s="10" t="s">
        <v>54</v>
      </c>
    </row>
    <row r="411" spans="1:20" ht="14.5" x14ac:dyDescent="0.35">
      <c r="A411" s="10" t="s">
        <v>7975</v>
      </c>
      <c r="B411" s="10" t="str">
        <f>"9780415369572"</f>
        <v>9780415369572</v>
      </c>
      <c r="C411" s="10" t="str">
        <f>"9780203465431"</f>
        <v>9780203465431</v>
      </c>
      <c r="D411" s="10" t="s">
        <v>6350</v>
      </c>
      <c r="E411" s="10" t="s">
        <v>6351</v>
      </c>
      <c r="F411" s="10" t="s">
        <v>139</v>
      </c>
      <c r="G411" s="10" t="s">
        <v>6352</v>
      </c>
      <c r="H411" s="11">
        <v>38324</v>
      </c>
      <c r="I411" s="10">
        <v>2004</v>
      </c>
      <c r="J411" s="10" t="s">
        <v>6353</v>
      </c>
      <c r="K411" s="10">
        <v>176</v>
      </c>
      <c r="L411" s="10" t="s">
        <v>7976</v>
      </c>
      <c r="M411" s="10">
        <v>1</v>
      </c>
      <c r="N411" s="10"/>
      <c r="O411" s="10"/>
      <c r="P411" s="10" t="s">
        <v>7977</v>
      </c>
      <c r="Q411" s="10">
        <v>370.1</v>
      </c>
      <c r="R411" s="10" t="s">
        <v>7978</v>
      </c>
      <c r="S411" s="10" t="s">
        <v>53</v>
      </c>
      <c r="T411" s="10" t="s">
        <v>54</v>
      </c>
    </row>
    <row r="412" spans="1:20" ht="14.5" x14ac:dyDescent="0.35">
      <c r="A412" s="10" t="s">
        <v>7979</v>
      </c>
      <c r="B412" s="10" t="str">
        <f>"9780415700054"</f>
        <v>9780415700054</v>
      </c>
      <c r="C412" s="10" t="str">
        <f>"9780203353455"</f>
        <v>9780203353455</v>
      </c>
      <c r="D412" s="10" t="s">
        <v>6350</v>
      </c>
      <c r="E412" s="10" t="s">
        <v>6351</v>
      </c>
      <c r="F412" s="10" t="s">
        <v>748</v>
      </c>
      <c r="G412" s="10" t="s">
        <v>6352</v>
      </c>
      <c r="H412" s="11">
        <v>38043</v>
      </c>
      <c r="I412" s="10">
        <v>2004</v>
      </c>
      <c r="J412" s="10" t="s">
        <v>6351</v>
      </c>
      <c r="K412" s="10">
        <v>233</v>
      </c>
      <c r="L412" s="10" t="s">
        <v>7980</v>
      </c>
      <c r="M412" s="10">
        <v>1</v>
      </c>
      <c r="N412" s="10"/>
      <c r="O412" s="10"/>
      <c r="P412" s="10" t="s">
        <v>7981</v>
      </c>
      <c r="Q412" s="10">
        <v>371.33446780000003</v>
      </c>
      <c r="R412" s="10" t="s">
        <v>7982</v>
      </c>
      <c r="S412" s="10" t="s">
        <v>53</v>
      </c>
      <c r="T412" s="10" t="s">
        <v>54</v>
      </c>
    </row>
    <row r="413" spans="1:20" ht="14.5" x14ac:dyDescent="0.35">
      <c r="A413" s="10" t="s">
        <v>7983</v>
      </c>
      <c r="B413" s="10" t="str">
        <f>"9780415933469"</f>
        <v>9780415933469</v>
      </c>
      <c r="C413" s="10" t="str">
        <f>"9780203463536"</f>
        <v>9780203463536</v>
      </c>
      <c r="D413" s="10" t="s">
        <v>6350</v>
      </c>
      <c r="E413" s="10" t="s">
        <v>6351</v>
      </c>
      <c r="F413" s="10" t="s">
        <v>139</v>
      </c>
      <c r="G413" s="10" t="s">
        <v>6352</v>
      </c>
      <c r="H413" s="11">
        <v>38071</v>
      </c>
      <c r="I413" s="10">
        <v>2004</v>
      </c>
      <c r="J413" s="10" t="s">
        <v>6353</v>
      </c>
      <c r="K413" s="10">
        <v>159</v>
      </c>
      <c r="L413" s="10" t="s">
        <v>7984</v>
      </c>
      <c r="M413" s="10">
        <v>1</v>
      </c>
      <c r="N413" s="10" t="s">
        <v>7985</v>
      </c>
      <c r="O413" s="10"/>
      <c r="P413" s="10" t="s">
        <v>7986</v>
      </c>
      <c r="Q413" s="10">
        <v>372.21</v>
      </c>
      <c r="R413" s="10" t="s">
        <v>7987</v>
      </c>
      <c r="S413" s="10" t="s">
        <v>53</v>
      </c>
      <c r="T413" s="10" t="s">
        <v>54</v>
      </c>
    </row>
    <row r="414" spans="1:20" ht="14.5" x14ac:dyDescent="0.35">
      <c r="A414" s="10" t="s">
        <v>7988</v>
      </c>
      <c r="B414" s="10" t="str">
        <f>"9780415934367"</f>
        <v>9780415934367</v>
      </c>
      <c r="C414" s="10" t="str">
        <f>"9780203463840"</f>
        <v>9780203463840</v>
      </c>
      <c r="D414" s="10" t="s">
        <v>6350</v>
      </c>
      <c r="E414" s="10" t="s">
        <v>6351</v>
      </c>
      <c r="F414" s="10" t="s">
        <v>748</v>
      </c>
      <c r="G414" s="10" t="s">
        <v>6352</v>
      </c>
      <c r="H414" s="11">
        <v>37750</v>
      </c>
      <c r="I414" s="10">
        <v>2003</v>
      </c>
      <c r="J414" s="10" t="s">
        <v>6351</v>
      </c>
      <c r="K414" s="10">
        <v>250</v>
      </c>
      <c r="L414" s="10" t="s">
        <v>7989</v>
      </c>
      <c r="M414" s="10">
        <v>1</v>
      </c>
      <c r="N414" s="10" t="s">
        <v>7358</v>
      </c>
      <c r="O414" s="10"/>
      <c r="P414" s="10" t="s">
        <v>7990</v>
      </c>
      <c r="Q414" s="10" t="s">
        <v>7991</v>
      </c>
      <c r="R414" s="10" t="s">
        <v>7992</v>
      </c>
      <c r="S414" s="10" t="s">
        <v>53</v>
      </c>
      <c r="T414" s="10" t="s">
        <v>54</v>
      </c>
    </row>
    <row r="415" spans="1:20" ht="14.5" x14ac:dyDescent="0.35">
      <c r="A415" s="10" t="s">
        <v>7993</v>
      </c>
      <c r="B415" s="10" t="str">
        <f>"9780415934671"</f>
        <v>9780415934671</v>
      </c>
      <c r="C415" s="10" t="str">
        <f>"9780203463833"</f>
        <v>9780203463833</v>
      </c>
      <c r="D415" s="10" t="s">
        <v>6350</v>
      </c>
      <c r="E415" s="10" t="s">
        <v>6351</v>
      </c>
      <c r="F415" s="10" t="s">
        <v>748</v>
      </c>
      <c r="G415" s="10" t="s">
        <v>6352</v>
      </c>
      <c r="H415" s="11">
        <v>37741</v>
      </c>
      <c r="I415" s="10">
        <v>2003</v>
      </c>
      <c r="J415" s="10" t="s">
        <v>6351</v>
      </c>
      <c r="K415" s="10">
        <v>213</v>
      </c>
      <c r="L415" s="10" t="s">
        <v>7994</v>
      </c>
      <c r="M415" s="10">
        <v>1</v>
      </c>
      <c r="N415" s="10" t="s">
        <v>7358</v>
      </c>
      <c r="O415" s="10"/>
      <c r="P415" s="10" t="s">
        <v>7995</v>
      </c>
      <c r="Q415" s="10" t="s">
        <v>7996</v>
      </c>
      <c r="R415" s="10" t="s">
        <v>7997</v>
      </c>
      <c r="S415" s="10" t="s">
        <v>53</v>
      </c>
      <c r="T415" s="10" t="s">
        <v>54</v>
      </c>
    </row>
    <row r="416" spans="1:20" ht="14.5" x14ac:dyDescent="0.35">
      <c r="A416" s="10" t="s">
        <v>7998</v>
      </c>
      <c r="B416" s="10" t="str">
        <f>"9780415934831"</f>
        <v>9780415934831</v>
      </c>
      <c r="C416" s="10" t="str">
        <f>"9780203465493"</f>
        <v>9780203465493</v>
      </c>
      <c r="D416" s="10" t="s">
        <v>6350</v>
      </c>
      <c r="E416" s="10" t="s">
        <v>6351</v>
      </c>
      <c r="F416" s="10" t="s">
        <v>70</v>
      </c>
      <c r="G416" s="10" t="s">
        <v>6317</v>
      </c>
      <c r="H416" s="11">
        <v>37652</v>
      </c>
      <c r="I416" s="10">
        <v>2003</v>
      </c>
      <c r="J416" s="10" t="s">
        <v>6353</v>
      </c>
      <c r="K416" s="10">
        <v>272</v>
      </c>
      <c r="L416" s="10" t="s">
        <v>7999</v>
      </c>
      <c r="M416" s="10">
        <v>1</v>
      </c>
      <c r="N416" s="10"/>
      <c r="O416" s="10"/>
      <c r="P416" s="10" t="s">
        <v>8000</v>
      </c>
      <c r="Q416" s="10" t="s">
        <v>8001</v>
      </c>
      <c r="R416" s="10" t="s">
        <v>8002</v>
      </c>
      <c r="S416" s="10" t="s">
        <v>53</v>
      </c>
      <c r="T416" s="10" t="s">
        <v>8003</v>
      </c>
    </row>
    <row r="417" spans="1:20" ht="14.5" x14ac:dyDescent="0.35">
      <c r="A417" s="10" t="s">
        <v>8004</v>
      </c>
      <c r="B417" s="10" t="str">
        <f>"9780415934978"</f>
        <v>9780415934978</v>
      </c>
      <c r="C417" s="10" t="str">
        <f>"9780203463888"</f>
        <v>9780203463888</v>
      </c>
      <c r="D417" s="10" t="s">
        <v>6350</v>
      </c>
      <c r="E417" s="10" t="s">
        <v>6351</v>
      </c>
      <c r="F417" s="10" t="s">
        <v>139</v>
      </c>
      <c r="G417" s="10" t="s">
        <v>6317</v>
      </c>
      <c r="H417" s="11">
        <v>38042</v>
      </c>
      <c r="I417" s="10">
        <v>2004</v>
      </c>
      <c r="J417" s="10" t="s">
        <v>6353</v>
      </c>
      <c r="K417" s="10">
        <v>185</v>
      </c>
      <c r="L417" s="10" t="s">
        <v>8005</v>
      </c>
      <c r="M417" s="10">
        <v>1</v>
      </c>
      <c r="N417" s="10"/>
      <c r="O417" s="10"/>
      <c r="P417" s="10" t="s">
        <v>8006</v>
      </c>
      <c r="Q417" s="10">
        <v>378.44</v>
      </c>
      <c r="R417" s="10" t="s">
        <v>8007</v>
      </c>
      <c r="S417" s="10" t="s">
        <v>53</v>
      </c>
      <c r="T417" s="10" t="s">
        <v>54</v>
      </c>
    </row>
    <row r="418" spans="1:20" ht="14.5" x14ac:dyDescent="0.35">
      <c r="A418" s="10" t="s">
        <v>8008</v>
      </c>
      <c r="B418" s="10" t="str">
        <f>"9780415929363"</f>
        <v>9780415929363</v>
      </c>
      <c r="C418" s="10" t="str">
        <f>"9780203112908"</f>
        <v>9780203112908</v>
      </c>
      <c r="D418" s="10" t="s">
        <v>6350</v>
      </c>
      <c r="E418" s="10" t="s">
        <v>6351</v>
      </c>
      <c r="F418" s="10" t="s">
        <v>139</v>
      </c>
      <c r="G418" s="10" t="s">
        <v>6317</v>
      </c>
      <c r="H418" s="11">
        <v>38292</v>
      </c>
      <c r="I418" s="10">
        <v>2005</v>
      </c>
      <c r="J418" s="10" t="s">
        <v>6353</v>
      </c>
      <c r="K418" s="10">
        <v>296</v>
      </c>
      <c r="L418" s="10" t="s">
        <v>8009</v>
      </c>
      <c r="M418" s="10">
        <v>1</v>
      </c>
      <c r="N418" s="10"/>
      <c r="O418" s="10"/>
      <c r="P418" s="10" t="s">
        <v>8010</v>
      </c>
      <c r="Q418" s="10" t="s">
        <v>8011</v>
      </c>
      <c r="R418" s="10" t="s">
        <v>8012</v>
      </c>
      <c r="S418" s="10" t="s">
        <v>53</v>
      </c>
      <c r="T418" s="10" t="s">
        <v>6526</v>
      </c>
    </row>
    <row r="419" spans="1:20" ht="14.5" x14ac:dyDescent="0.35">
      <c r="A419" s="10" t="s">
        <v>8013</v>
      </c>
      <c r="B419" s="10" t="str">
        <f>"9780415931489"</f>
        <v>9780415931489</v>
      </c>
      <c r="C419" s="10" t="str">
        <f>"9780203465547"</f>
        <v>9780203465547</v>
      </c>
      <c r="D419" s="10" t="s">
        <v>6350</v>
      </c>
      <c r="E419" s="10" t="s">
        <v>6351</v>
      </c>
      <c r="F419" s="10" t="s">
        <v>748</v>
      </c>
      <c r="G419" s="10" t="s">
        <v>6352</v>
      </c>
      <c r="H419" s="11">
        <v>37610</v>
      </c>
      <c r="I419" s="10">
        <v>2003</v>
      </c>
      <c r="J419" s="10" t="s">
        <v>6351</v>
      </c>
      <c r="K419" s="10">
        <v>248</v>
      </c>
      <c r="L419" s="10" t="s">
        <v>8014</v>
      </c>
      <c r="M419" s="10">
        <v>1</v>
      </c>
      <c r="N419" s="10"/>
      <c r="O419" s="10"/>
      <c r="P419" s="10" t="s">
        <v>8015</v>
      </c>
      <c r="Q419" s="10">
        <v>370.11500000000001</v>
      </c>
      <c r="R419" s="10" t="s">
        <v>6809</v>
      </c>
      <c r="S419" s="10" t="s">
        <v>53</v>
      </c>
      <c r="T419" s="10" t="s">
        <v>54</v>
      </c>
    </row>
    <row r="420" spans="1:20" ht="14.5" x14ac:dyDescent="0.35">
      <c r="A420" s="10" t="s">
        <v>8016</v>
      </c>
      <c r="B420" s="10" t="str">
        <f>"9780415932004"</f>
        <v>9780415932004</v>
      </c>
      <c r="C420" s="10" t="str">
        <f>"9780203465554"</f>
        <v>9780203465554</v>
      </c>
      <c r="D420" s="10" t="s">
        <v>6350</v>
      </c>
      <c r="E420" s="10" t="s">
        <v>6351</v>
      </c>
      <c r="F420" s="10" t="s">
        <v>139</v>
      </c>
      <c r="G420" s="10" t="s">
        <v>6352</v>
      </c>
      <c r="H420" s="11">
        <v>37917</v>
      </c>
      <c r="I420" s="10">
        <v>2004</v>
      </c>
      <c r="J420" s="10" t="s">
        <v>6353</v>
      </c>
      <c r="K420" s="10">
        <v>296</v>
      </c>
      <c r="L420" s="10" t="s">
        <v>8017</v>
      </c>
      <c r="M420" s="10">
        <v>1</v>
      </c>
      <c r="N420" s="10" t="s">
        <v>7735</v>
      </c>
      <c r="O420" s="10"/>
      <c r="P420" s="10" t="s">
        <v>8018</v>
      </c>
      <c r="Q420" s="10">
        <v>379.73</v>
      </c>
      <c r="R420" s="10" t="s">
        <v>8019</v>
      </c>
      <c r="S420" s="10" t="s">
        <v>53</v>
      </c>
      <c r="T420" s="10" t="s">
        <v>54</v>
      </c>
    </row>
    <row r="421" spans="1:20" ht="14.5" x14ac:dyDescent="0.35">
      <c r="A421" s="10" t="s">
        <v>8020</v>
      </c>
      <c r="B421" s="10" t="str">
        <f>"9780415932974"</f>
        <v>9780415932974</v>
      </c>
      <c r="C421" s="10" t="str">
        <f>"9780203112892"</f>
        <v>9780203112892</v>
      </c>
      <c r="D421" s="10" t="s">
        <v>6350</v>
      </c>
      <c r="E421" s="10" t="s">
        <v>6351</v>
      </c>
      <c r="F421" s="10" t="s">
        <v>139</v>
      </c>
      <c r="G421" s="10" t="s">
        <v>6352</v>
      </c>
      <c r="H421" s="11">
        <v>37701</v>
      </c>
      <c r="I421" s="10">
        <v>2003</v>
      </c>
      <c r="J421" s="10" t="s">
        <v>6353</v>
      </c>
      <c r="K421" s="10">
        <v>263</v>
      </c>
      <c r="L421" s="10" t="s">
        <v>8021</v>
      </c>
      <c r="M421" s="10">
        <v>1</v>
      </c>
      <c r="N421" s="10"/>
      <c r="O421" s="10"/>
      <c r="P421" s="10" t="s">
        <v>8022</v>
      </c>
      <c r="Q421" s="10">
        <v>371.00099999999998</v>
      </c>
      <c r="R421" s="10" t="s">
        <v>8023</v>
      </c>
      <c r="S421" s="10" t="s">
        <v>53</v>
      </c>
      <c r="T421" s="10" t="s">
        <v>54</v>
      </c>
    </row>
    <row r="422" spans="1:20" ht="14.5" x14ac:dyDescent="0.35">
      <c r="A422" s="10" t="s">
        <v>8024</v>
      </c>
      <c r="B422" s="10" t="str">
        <f>"9780415935074"</f>
        <v>9780415935074</v>
      </c>
      <c r="C422" s="10" t="str">
        <f>"9780203465509"</f>
        <v>9780203465509</v>
      </c>
      <c r="D422" s="10" t="s">
        <v>6350</v>
      </c>
      <c r="E422" s="10" t="s">
        <v>6351</v>
      </c>
      <c r="F422" s="10" t="s">
        <v>139</v>
      </c>
      <c r="G422" s="10" t="s">
        <v>6352</v>
      </c>
      <c r="H422" s="11">
        <v>37971</v>
      </c>
      <c r="I422" s="10">
        <v>2004</v>
      </c>
      <c r="J422" s="10" t="s">
        <v>6353</v>
      </c>
      <c r="K422" s="10">
        <v>240</v>
      </c>
      <c r="L422" s="10" t="s">
        <v>8025</v>
      </c>
      <c r="M422" s="10">
        <v>1</v>
      </c>
      <c r="N422" s="10" t="s">
        <v>7735</v>
      </c>
      <c r="O422" s="10"/>
      <c r="P422" s="10" t="s">
        <v>8026</v>
      </c>
      <c r="Q422" s="10" t="s">
        <v>8027</v>
      </c>
      <c r="R422" s="10" t="s">
        <v>8028</v>
      </c>
      <c r="S422" s="10" t="s">
        <v>53</v>
      </c>
      <c r="T422" s="10" t="s">
        <v>6472</v>
      </c>
    </row>
    <row r="423" spans="1:20" ht="14.5" x14ac:dyDescent="0.35">
      <c r="A423" s="10" t="s">
        <v>8029</v>
      </c>
      <c r="B423" s="10" t="str">
        <f>"9780415935098"</f>
        <v>9780415935098</v>
      </c>
      <c r="C423" s="10" t="str">
        <f>"9780203463864"</f>
        <v>9780203463864</v>
      </c>
      <c r="D423" s="10" t="s">
        <v>6350</v>
      </c>
      <c r="E423" s="10" t="s">
        <v>6351</v>
      </c>
      <c r="F423" s="10" t="s">
        <v>139</v>
      </c>
      <c r="G423" s="10" t="s">
        <v>6317</v>
      </c>
      <c r="H423" s="11">
        <v>37866</v>
      </c>
      <c r="I423" s="10">
        <v>2004</v>
      </c>
      <c r="J423" s="10" t="s">
        <v>6353</v>
      </c>
      <c r="K423" s="10">
        <v>266</v>
      </c>
      <c r="L423" s="10" t="s">
        <v>8030</v>
      </c>
      <c r="M423" s="10">
        <v>1</v>
      </c>
      <c r="N423" s="10" t="s">
        <v>7368</v>
      </c>
      <c r="O423" s="10"/>
      <c r="P423" s="10" t="s">
        <v>8031</v>
      </c>
      <c r="Q423" s="10" t="s">
        <v>8032</v>
      </c>
      <c r="R423" s="10" t="s">
        <v>8033</v>
      </c>
      <c r="S423" s="10" t="s">
        <v>53</v>
      </c>
      <c r="T423" s="10" t="s">
        <v>54</v>
      </c>
    </row>
    <row r="424" spans="1:20" ht="14.5" x14ac:dyDescent="0.35">
      <c r="A424" s="10" t="s">
        <v>8034</v>
      </c>
      <c r="B424" s="10" t="str">
        <f>"9780415935128"</f>
        <v>9780415935128</v>
      </c>
      <c r="C424" s="10" t="str">
        <f>"9780203441190"</f>
        <v>9780203441190</v>
      </c>
      <c r="D424" s="10" t="s">
        <v>6350</v>
      </c>
      <c r="E424" s="10" t="s">
        <v>6351</v>
      </c>
      <c r="F424" s="10" t="s">
        <v>70</v>
      </c>
      <c r="G424" s="10" t="s">
        <v>6317</v>
      </c>
      <c r="H424" s="11">
        <v>37701</v>
      </c>
      <c r="I424" s="10">
        <v>2003</v>
      </c>
      <c r="J424" s="10" t="s">
        <v>6353</v>
      </c>
      <c r="K424" s="10">
        <v>268</v>
      </c>
      <c r="L424" s="10" t="s">
        <v>8035</v>
      </c>
      <c r="M424" s="10">
        <v>1</v>
      </c>
      <c r="N424" s="10"/>
      <c r="O424" s="10"/>
      <c r="P424" s="10" t="s">
        <v>8036</v>
      </c>
      <c r="Q424" s="10">
        <v>379</v>
      </c>
      <c r="R424" s="10" t="s">
        <v>8037</v>
      </c>
      <c r="S424" s="10" t="s">
        <v>53</v>
      </c>
      <c r="T424" s="10" t="s">
        <v>54</v>
      </c>
    </row>
    <row r="425" spans="1:20" ht="14.5" x14ac:dyDescent="0.35">
      <c r="A425" s="10" t="s">
        <v>8038</v>
      </c>
      <c r="B425" s="10" t="str">
        <f>"9780415935357"</f>
        <v>9780415935357</v>
      </c>
      <c r="C425" s="10" t="str">
        <f>"9780203463826"</f>
        <v>9780203463826</v>
      </c>
      <c r="D425" s="10" t="s">
        <v>6350</v>
      </c>
      <c r="E425" s="10" t="s">
        <v>6351</v>
      </c>
      <c r="F425" s="10" t="s">
        <v>748</v>
      </c>
      <c r="G425" s="10" t="s">
        <v>6352</v>
      </c>
      <c r="H425" s="11">
        <v>37876</v>
      </c>
      <c r="I425" s="10">
        <v>2003</v>
      </c>
      <c r="J425" s="10" t="s">
        <v>6351</v>
      </c>
      <c r="K425" s="10">
        <v>277</v>
      </c>
      <c r="L425" s="10" t="s">
        <v>8039</v>
      </c>
      <c r="M425" s="10">
        <v>1</v>
      </c>
      <c r="N425" s="10" t="s">
        <v>7358</v>
      </c>
      <c r="O425" s="10"/>
      <c r="P425" s="10" t="s">
        <v>8040</v>
      </c>
      <c r="Q425" s="10" t="s">
        <v>8041</v>
      </c>
      <c r="R425" s="10" t="s">
        <v>8042</v>
      </c>
      <c r="S425" s="10" t="s">
        <v>53</v>
      </c>
      <c r="T425" s="10" t="s">
        <v>54</v>
      </c>
    </row>
    <row r="426" spans="1:20" ht="14.5" x14ac:dyDescent="0.35">
      <c r="A426" s="10" t="s">
        <v>8043</v>
      </c>
      <c r="B426" s="10" t="str">
        <f>"9780415944090"</f>
        <v>9780415944090</v>
      </c>
      <c r="C426" s="10" t="str">
        <f>"9780203449547"</f>
        <v>9780203449547</v>
      </c>
      <c r="D426" s="10" t="s">
        <v>6350</v>
      </c>
      <c r="E426" s="10" t="s">
        <v>6351</v>
      </c>
      <c r="F426" s="10" t="s">
        <v>70</v>
      </c>
      <c r="G426" s="10" t="s">
        <v>6317</v>
      </c>
      <c r="H426" s="11">
        <v>37635</v>
      </c>
      <c r="I426" s="10">
        <v>2003</v>
      </c>
      <c r="J426" s="10" t="s">
        <v>6353</v>
      </c>
      <c r="K426" s="10">
        <v>208</v>
      </c>
      <c r="L426" s="10" t="s">
        <v>8044</v>
      </c>
      <c r="M426" s="10">
        <v>1</v>
      </c>
      <c r="N426" s="10"/>
      <c r="O426" s="10"/>
      <c r="P426" s="10" t="s">
        <v>8045</v>
      </c>
      <c r="Q426" s="10">
        <v>378.19829960729999</v>
      </c>
      <c r="R426" s="10" t="s">
        <v>8046</v>
      </c>
      <c r="S426" s="10" t="s">
        <v>53</v>
      </c>
      <c r="T426" s="10" t="s">
        <v>54</v>
      </c>
    </row>
    <row r="427" spans="1:20" ht="14.5" x14ac:dyDescent="0.35">
      <c r="A427" s="10" t="s">
        <v>8047</v>
      </c>
      <c r="B427" s="10" t="str">
        <f>"9780415944748"</f>
        <v>9780415944748</v>
      </c>
      <c r="C427" s="10" t="str">
        <f>"9780203465561"</f>
        <v>9780203465561</v>
      </c>
      <c r="D427" s="10" t="s">
        <v>6350</v>
      </c>
      <c r="E427" s="10" t="s">
        <v>6351</v>
      </c>
      <c r="F427" s="10" t="s">
        <v>139</v>
      </c>
      <c r="G427" s="10" t="s">
        <v>6352</v>
      </c>
      <c r="H427" s="11">
        <v>37708</v>
      </c>
      <c r="I427" s="10">
        <v>2003</v>
      </c>
      <c r="J427" s="10" t="s">
        <v>6353</v>
      </c>
      <c r="K427" s="10">
        <v>323</v>
      </c>
      <c r="L427" s="10" t="s">
        <v>8048</v>
      </c>
      <c r="M427" s="10">
        <v>1</v>
      </c>
      <c r="N427" s="10"/>
      <c r="O427" s="10"/>
      <c r="P427" s="10" t="s">
        <v>8049</v>
      </c>
      <c r="Q427" s="10" t="s">
        <v>7335</v>
      </c>
      <c r="R427" s="10" t="s">
        <v>8050</v>
      </c>
      <c r="S427" s="10" t="s">
        <v>53</v>
      </c>
      <c r="T427" s="10" t="s">
        <v>54</v>
      </c>
    </row>
    <row r="428" spans="1:20" ht="14.5" x14ac:dyDescent="0.35">
      <c r="A428" s="10" t="s">
        <v>8051</v>
      </c>
      <c r="B428" s="10" t="str">
        <f>"9780415944908"</f>
        <v>9780415944908</v>
      </c>
      <c r="C428" s="10" t="str">
        <f>"9780203465592"</f>
        <v>9780203465592</v>
      </c>
      <c r="D428" s="10" t="s">
        <v>6350</v>
      </c>
      <c r="E428" s="10" t="s">
        <v>6351</v>
      </c>
      <c r="F428" s="10" t="s">
        <v>139</v>
      </c>
      <c r="G428" s="10" t="s">
        <v>6352</v>
      </c>
      <c r="H428" s="11">
        <v>37950</v>
      </c>
      <c r="I428" s="10">
        <v>2004</v>
      </c>
      <c r="J428" s="10" t="s">
        <v>6353</v>
      </c>
      <c r="K428" s="10">
        <v>190</v>
      </c>
      <c r="L428" s="10" t="s">
        <v>8052</v>
      </c>
      <c r="M428" s="10">
        <v>1</v>
      </c>
      <c r="N428" s="10"/>
      <c r="O428" s="10"/>
      <c r="P428" s="10" t="s">
        <v>8053</v>
      </c>
      <c r="Q428" s="10">
        <v>371.822</v>
      </c>
      <c r="R428" s="10" t="s">
        <v>8054</v>
      </c>
      <c r="S428" s="10" t="s">
        <v>53</v>
      </c>
      <c r="T428" s="10" t="s">
        <v>54</v>
      </c>
    </row>
    <row r="429" spans="1:20" ht="14.5" x14ac:dyDescent="0.35">
      <c r="A429" s="10" t="s">
        <v>8055</v>
      </c>
      <c r="B429" s="10" t="str">
        <f>"9780415944922"</f>
        <v>9780415944922</v>
      </c>
      <c r="C429" s="10" t="str">
        <f>"9780203465608"</f>
        <v>9780203465608</v>
      </c>
      <c r="D429" s="10" t="s">
        <v>6350</v>
      </c>
      <c r="E429" s="10" t="s">
        <v>6351</v>
      </c>
      <c r="F429" s="10" t="s">
        <v>70</v>
      </c>
      <c r="G429" s="10" t="s">
        <v>6317</v>
      </c>
      <c r="H429" s="11">
        <v>38029</v>
      </c>
      <c r="I429" s="10">
        <v>2004</v>
      </c>
      <c r="J429" s="10" t="s">
        <v>6353</v>
      </c>
      <c r="K429" s="10">
        <v>272</v>
      </c>
      <c r="L429" s="10" t="s">
        <v>8056</v>
      </c>
      <c r="M429" s="10">
        <v>1</v>
      </c>
      <c r="N429" s="10"/>
      <c r="O429" s="10"/>
      <c r="P429" s="10" t="s">
        <v>8057</v>
      </c>
      <c r="Q429" s="10" t="s">
        <v>8058</v>
      </c>
      <c r="R429" s="10" t="s">
        <v>8059</v>
      </c>
      <c r="S429" s="10" t="s">
        <v>53</v>
      </c>
      <c r="T429" s="10" t="s">
        <v>54</v>
      </c>
    </row>
    <row r="430" spans="1:20" ht="14.5" x14ac:dyDescent="0.35">
      <c r="A430" s="10" t="s">
        <v>8060</v>
      </c>
      <c r="B430" s="10" t="str">
        <f>"9780415945059"</f>
        <v>9780415945059</v>
      </c>
      <c r="C430" s="10" t="str">
        <f>"9780203465615"</f>
        <v>9780203465615</v>
      </c>
      <c r="D430" s="10" t="s">
        <v>6350</v>
      </c>
      <c r="E430" s="10" t="s">
        <v>6351</v>
      </c>
      <c r="F430" s="10" t="s">
        <v>139</v>
      </c>
      <c r="G430" s="10" t="s">
        <v>6352</v>
      </c>
      <c r="H430" s="11">
        <v>37922</v>
      </c>
      <c r="I430" s="10">
        <v>2004</v>
      </c>
      <c r="J430" s="10" t="s">
        <v>6353</v>
      </c>
      <c r="K430" s="10">
        <v>297</v>
      </c>
      <c r="L430" s="10" t="s">
        <v>8061</v>
      </c>
      <c r="M430" s="10">
        <v>1</v>
      </c>
      <c r="N430" s="10" t="s">
        <v>7539</v>
      </c>
      <c r="O430" s="10"/>
      <c r="P430" s="10" t="s">
        <v>8062</v>
      </c>
      <c r="Q430" s="10">
        <v>379.15809730000001</v>
      </c>
      <c r="R430" s="10" t="s">
        <v>8063</v>
      </c>
      <c r="S430" s="10" t="s">
        <v>53</v>
      </c>
      <c r="T430" s="10" t="s">
        <v>54</v>
      </c>
    </row>
    <row r="431" spans="1:20" ht="14.5" x14ac:dyDescent="0.35">
      <c r="A431" s="10" t="s">
        <v>8064</v>
      </c>
      <c r="B431" s="10" t="str">
        <f>"9780415945141"</f>
        <v>9780415945141</v>
      </c>
      <c r="C431" s="10" t="str">
        <f>"9781135943905"</f>
        <v>9781135943905</v>
      </c>
      <c r="D431" s="10" t="s">
        <v>6350</v>
      </c>
      <c r="E431" s="10" t="s">
        <v>6351</v>
      </c>
      <c r="F431" s="10" t="s">
        <v>139</v>
      </c>
      <c r="G431" s="10" t="s">
        <v>6352</v>
      </c>
      <c r="H431" s="11">
        <v>37921</v>
      </c>
      <c r="I431" s="10">
        <v>2004</v>
      </c>
      <c r="J431" s="10" t="s">
        <v>6353</v>
      </c>
      <c r="K431" s="10">
        <v>221</v>
      </c>
      <c r="L431" s="10" t="s">
        <v>8065</v>
      </c>
      <c r="M431" s="10">
        <v>1</v>
      </c>
      <c r="N431" s="10"/>
      <c r="O431" s="10"/>
      <c r="P431" s="10" t="s">
        <v>8066</v>
      </c>
      <c r="Q431" s="10" t="s">
        <v>8067</v>
      </c>
      <c r="R431" s="10" t="s">
        <v>6840</v>
      </c>
      <c r="S431" s="10" t="s">
        <v>53</v>
      </c>
      <c r="T431" s="10" t="s">
        <v>54</v>
      </c>
    </row>
    <row r="432" spans="1:20" ht="14.5" x14ac:dyDescent="0.35">
      <c r="A432" s="10" t="s">
        <v>8068</v>
      </c>
      <c r="B432" s="10" t="str">
        <f>"9780415945455"</f>
        <v>9780415945455</v>
      </c>
      <c r="C432" s="10" t="str">
        <f>"9780203463376"</f>
        <v>9780203463376</v>
      </c>
      <c r="D432" s="10" t="s">
        <v>6350</v>
      </c>
      <c r="E432" s="10" t="s">
        <v>6351</v>
      </c>
      <c r="F432" s="10" t="s">
        <v>139</v>
      </c>
      <c r="G432" s="10" t="s">
        <v>6317</v>
      </c>
      <c r="H432" s="11">
        <v>37852</v>
      </c>
      <c r="I432" s="10">
        <v>2003</v>
      </c>
      <c r="J432" s="10" t="s">
        <v>6353</v>
      </c>
      <c r="K432" s="10">
        <v>258</v>
      </c>
      <c r="L432" s="10" t="s">
        <v>8069</v>
      </c>
      <c r="M432" s="10">
        <v>1</v>
      </c>
      <c r="N432" s="10" t="s">
        <v>7539</v>
      </c>
      <c r="O432" s="10"/>
      <c r="P432" s="10" t="s">
        <v>8070</v>
      </c>
      <c r="Q432" s="10">
        <v>370.9</v>
      </c>
      <c r="R432" s="10" t="s">
        <v>8071</v>
      </c>
      <c r="S432" s="10" t="s">
        <v>53</v>
      </c>
      <c r="T432" s="10" t="s">
        <v>54</v>
      </c>
    </row>
    <row r="433" spans="1:20" ht="14.5" x14ac:dyDescent="0.35">
      <c r="A433" s="10" t="s">
        <v>8072</v>
      </c>
      <c r="B433" s="10" t="str">
        <f>"9780415945653"</f>
        <v>9780415945653</v>
      </c>
      <c r="C433" s="10" t="str">
        <f>"9780203463956"</f>
        <v>9780203463956</v>
      </c>
      <c r="D433" s="10" t="s">
        <v>6350</v>
      </c>
      <c r="E433" s="10" t="s">
        <v>6351</v>
      </c>
      <c r="F433" s="10" t="s">
        <v>139</v>
      </c>
      <c r="G433" s="10" t="s">
        <v>6352</v>
      </c>
      <c r="H433" s="11">
        <v>37917</v>
      </c>
      <c r="I433" s="10">
        <v>2004</v>
      </c>
      <c r="J433" s="10" t="s">
        <v>6353</v>
      </c>
      <c r="K433" s="10">
        <v>255</v>
      </c>
      <c r="L433" s="10" t="s">
        <v>8073</v>
      </c>
      <c r="M433" s="10">
        <v>1</v>
      </c>
      <c r="N433" s="10"/>
      <c r="O433" s="10"/>
      <c r="P433" s="10" t="s">
        <v>8074</v>
      </c>
      <c r="Q433" s="10">
        <v>371.22699999999998</v>
      </c>
      <c r="R433" s="10" t="s">
        <v>8075</v>
      </c>
      <c r="S433" s="10" t="s">
        <v>53</v>
      </c>
      <c r="T433" s="10" t="s">
        <v>54</v>
      </c>
    </row>
    <row r="434" spans="1:20" ht="14.5" x14ac:dyDescent="0.35">
      <c r="A434" s="10" t="s">
        <v>8076</v>
      </c>
      <c r="B434" s="10" t="str">
        <f>"9780415945905"</f>
        <v>9780415945905</v>
      </c>
      <c r="C434" s="10" t="str">
        <f>"9780203463406"</f>
        <v>9780203463406</v>
      </c>
      <c r="D434" s="10" t="s">
        <v>6350</v>
      </c>
      <c r="E434" s="10" t="s">
        <v>6351</v>
      </c>
      <c r="F434" s="10" t="s">
        <v>139</v>
      </c>
      <c r="G434" s="10" t="s">
        <v>6317</v>
      </c>
      <c r="H434" s="11">
        <v>37951</v>
      </c>
      <c r="I434" s="10">
        <v>2004</v>
      </c>
      <c r="J434" s="10" t="s">
        <v>6353</v>
      </c>
      <c r="K434" s="10">
        <v>253</v>
      </c>
      <c r="L434" s="10" t="s">
        <v>8077</v>
      </c>
      <c r="M434" s="10">
        <v>1</v>
      </c>
      <c r="N434" s="10"/>
      <c r="O434" s="10"/>
      <c r="P434" s="10" t="s">
        <v>8078</v>
      </c>
      <c r="Q434" s="10" t="s">
        <v>8079</v>
      </c>
      <c r="R434" s="10" t="s">
        <v>8080</v>
      </c>
      <c r="S434" s="10" t="s">
        <v>53</v>
      </c>
      <c r="T434" s="10" t="s">
        <v>54</v>
      </c>
    </row>
    <row r="435" spans="1:20" ht="14.5" x14ac:dyDescent="0.35">
      <c r="A435" s="10" t="s">
        <v>8081</v>
      </c>
      <c r="B435" s="10" t="str">
        <f>"9780415947985"</f>
        <v>9780415947985</v>
      </c>
      <c r="C435" s="10" t="str">
        <f>"9780203463796"</f>
        <v>9780203463796</v>
      </c>
      <c r="D435" s="10" t="s">
        <v>6350</v>
      </c>
      <c r="E435" s="10" t="s">
        <v>6351</v>
      </c>
      <c r="F435" s="10" t="s">
        <v>139</v>
      </c>
      <c r="G435" s="10" t="s">
        <v>6352</v>
      </c>
      <c r="H435" s="11">
        <v>38042</v>
      </c>
      <c r="I435" s="10">
        <v>2004</v>
      </c>
      <c r="J435" s="10" t="s">
        <v>6353</v>
      </c>
      <c r="K435" s="10">
        <v>128</v>
      </c>
      <c r="L435" s="10" t="s">
        <v>8082</v>
      </c>
      <c r="M435" s="10">
        <v>1</v>
      </c>
      <c r="N435" s="10" t="s">
        <v>8083</v>
      </c>
      <c r="O435" s="10"/>
      <c r="P435" s="10" t="s">
        <v>8084</v>
      </c>
      <c r="Q435" s="10" t="s">
        <v>8085</v>
      </c>
      <c r="R435" s="10" t="s">
        <v>8086</v>
      </c>
      <c r="S435" s="10" t="s">
        <v>53</v>
      </c>
      <c r="T435" s="10" t="s">
        <v>54</v>
      </c>
    </row>
    <row r="436" spans="1:20" ht="14.5" x14ac:dyDescent="0.35">
      <c r="A436" s="10" t="s">
        <v>8087</v>
      </c>
      <c r="B436" s="10" t="str">
        <f>"9780415948173"</f>
        <v>9780415948173</v>
      </c>
      <c r="C436" s="10" t="str">
        <f>"9780203463512"</f>
        <v>9780203463512</v>
      </c>
      <c r="D436" s="10" t="s">
        <v>6350</v>
      </c>
      <c r="E436" s="10" t="s">
        <v>6351</v>
      </c>
      <c r="F436" s="10" t="s">
        <v>748</v>
      </c>
      <c r="G436" s="10" t="s">
        <v>6352</v>
      </c>
      <c r="H436" s="11">
        <v>38062</v>
      </c>
      <c r="I436" s="10">
        <v>2004</v>
      </c>
      <c r="J436" s="10" t="s">
        <v>6351</v>
      </c>
      <c r="K436" s="10">
        <v>303</v>
      </c>
      <c r="L436" s="10" t="s">
        <v>8088</v>
      </c>
      <c r="M436" s="10">
        <v>1</v>
      </c>
      <c r="N436" s="10" t="s">
        <v>7358</v>
      </c>
      <c r="O436" s="10"/>
      <c r="P436" s="10" t="s">
        <v>8089</v>
      </c>
      <c r="Q436" s="10">
        <v>370.9</v>
      </c>
      <c r="R436" s="10" t="s">
        <v>7051</v>
      </c>
      <c r="S436" s="10" t="s">
        <v>53</v>
      </c>
      <c r="T436" s="10" t="s">
        <v>54</v>
      </c>
    </row>
    <row r="437" spans="1:20" ht="14.5" x14ac:dyDescent="0.35">
      <c r="A437" s="10" t="s">
        <v>8090</v>
      </c>
      <c r="B437" s="10" t="str">
        <f>"9780749439316"</f>
        <v>9780749439316</v>
      </c>
      <c r="C437" s="10" t="str">
        <f>"9780203465653"</f>
        <v>9780203465653</v>
      </c>
      <c r="D437" s="10" t="s">
        <v>6350</v>
      </c>
      <c r="E437" s="10" t="s">
        <v>6351</v>
      </c>
      <c r="F437" s="10" t="s">
        <v>139</v>
      </c>
      <c r="G437" s="10" t="s">
        <v>6352</v>
      </c>
      <c r="H437" s="11">
        <v>37653</v>
      </c>
      <c r="I437" s="10">
        <v>2003</v>
      </c>
      <c r="J437" s="10" t="s">
        <v>6353</v>
      </c>
      <c r="K437" s="10">
        <v>209</v>
      </c>
      <c r="L437" s="10" t="s">
        <v>8091</v>
      </c>
      <c r="M437" s="10">
        <v>2</v>
      </c>
      <c r="N437" s="10"/>
      <c r="O437" s="10"/>
      <c r="P437" s="10">
        <v>2002156253</v>
      </c>
      <c r="Q437" s="10">
        <v>370.15230000000003</v>
      </c>
      <c r="R437" s="10" t="s">
        <v>7456</v>
      </c>
      <c r="S437" s="10" t="s">
        <v>53</v>
      </c>
      <c r="T437" s="10" t="s">
        <v>54</v>
      </c>
    </row>
    <row r="438" spans="1:20" ht="14.5" x14ac:dyDescent="0.35">
      <c r="A438" s="10" t="s">
        <v>8092</v>
      </c>
      <c r="B438" s="10" t="str">
        <f>"9780750709279"</f>
        <v>9780750709279</v>
      </c>
      <c r="C438" s="10" t="str">
        <f>"9780203451403"</f>
        <v>9780203451403</v>
      </c>
      <c r="D438" s="10" t="s">
        <v>6350</v>
      </c>
      <c r="E438" s="10" t="s">
        <v>6351</v>
      </c>
      <c r="F438" s="10" t="s">
        <v>139</v>
      </c>
      <c r="G438" s="10" t="s">
        <v>6317</v>
      </c>
      <c r="H438" s="11">
        <v>36465</v>
      </c>
      <c r="I438" s="10">
        <v>2000</v>
      </c>
      <c r="J438" s="10" t="s">
        <v>6353</v>
      </c>
      <c r="K438" s="10">
        <v>212</v>
      </c>
      <c r="L438" s="10" t="s">
        <v>8093</v>
      </c>
      <c r="M438" s="10">
        <v>1</v>
      </c>
      <c r="N438" s="10"/>
      <c r="O438" s="10"/>
      <c r="P438" s="10" t="s">
        <v>8094</v>
      </c>
      <c r="Q438" s="10">
        <v>378.15509409999999</v>
      </c>
      <c r="R438" s="10" t="s">
        <v>8095</v>
      </c>
      <c r="S438" s="10" t="s">
        <v>53</v>
      </c>
      <c r="T438" s="10" t="s">
        <v>54</v>
      </c>
    </row>
    <row r="439" spans="1:20" ht="14.5" x14ac:dyDescent="0.35">
      <c r="A439" s="10" t="s">
        <v>8096</v>
      </c>
      <c r="B439" s="10" t="str">
        <f>"9780815321156"</f>
        <v>9780815321156</v>
      </c>
      <c r="C439" s="10" t="str">
        <f>"9780203465707"</f>
        <v>9780203465707</v>
      </c>
      <c r="D439" s="10" t="s">
        <v>6350</v>
      </c>
      <c r="E439" s="10" t="s">
        <v>6351</v>
      </c>
      <c r="F439" s="10" t="s">
        <v>748</v>
      </c>
      <c r="G439" s="10" t="s">
        <v>6352</v>
      </c>
      <c r="H439" s="11">
        <v>37924</v>
      </c>
      <c r="I439" s="10">
        <v>2004</v>
      </c>
      <c r="J439" s="10" t="s">
        <v>6351</v>
      </c>
      <c r="K439" s="10">
        <v>343</v>
      </c>
      <c r="L439" s="10" t="s">
        <v>8097</v>
      </c>
      <c r="M439" s="10">
        <v>1</v>
      </c>
      <c r="N439" s="10" t="s">
        <v>7358</v>
      </c>
      <c r="O439" s="10"/>
      <c r="P439" s="10" t="s">
        <v>8098</v>
      </c>
      <c r="Q439" s="10">
        <v>372.09519999999998</v>
      </c>
      <c r="R439" s="10" t="s">
        <v>8099</v>
      </c>
      <c r="S439" s="10" t="s">
        <v>53</v>
      </c>
      <c r="T439" s="10" t="s">
        <v>54</v>
      </c>
    </row>
    <row r="440" spans="1:20" ht="14.5" x14ac:dyDescent="0.35">
      <c r="A440" s="10" t="s">
        <v>8100</v>
      </c>
      <c r="B440" s="10" t="str">
        <f>"9781560325055"</f>
        <v>9781560325055</v>
      </c>
      <c r="C440" s="10" t="str">
        <f>"9780203428535"</f>
        <v>9780203428535</v>
      </c>
      <c r="D440" s="10" t="s">
        <v>6350</v>
      </c>
      <c r="E440" s="10" t="s">
        <v>6351</v>
      </c>
      <c r="F440" s="10" t="s">
        <v>3967</v>
      </c>
      <c r="G440" s="10" t="s">
        <v>6352</v>
      </c>
      <c r="H440" s="11">
        <v>37673</v>
      </c>
      <c r="I440" s="10">
        <v>2003</v>
      </c>
      <c r="J440" s="10" t="s">
        <v>6353</v>
      </c>
      <c r="K440" s="10">
        <v>513</v>
      </c>
      <c r="L440" s="10" t="s">
        <v>8101</v>
      </c>
      <c r="M440" s="10">
        <v>2</v>
      </c>
      <c r="N440" s="10"/>
      <c r="O440" s="10"/>
      <c r="P440" s="10" t="s">
        <v>8102</v>
      </c>
      <c r="Q440" s="10">
        <v>372.14</v>
      </c>
      <c r="R440" s="10" t="s">
        <v>8103</v>
      </c>
      <c r="S440" s="10" t="s">
        <v>53</v>
      </c>
      <c r="T440" s="10" t="s">
        <v>54</v>
      </c>
    </row>
    <row r="441" spans="1:20" ht="14.5" x14ac:dyDescent="0.35">
      <c r="A441" s="10" t="s">
        <v>8104</v>
      </c>
      <c r="B441" s="10" t="str">
        <f>"9780415932967"</f>
        <v>9780415932967</v>
      </c>
      <c r="C441" s="10" t="str">
        <f>"9780203499931"</f>
        <v>9780203499931</v>
      </c>
      <c r="D441" s="10" t="s">
        <v>6350</v>
      </c>
      <c r="E441" s="10" t="s">
        <v>6351</v>
      </c>
      <c r="F441" s="10" t="s">
        <v>139</v>
      </c>
      <c r="G441" s="10" t="s">
        <v>6352</v>
      </c>
      <c r="H441" s="11">
        <v>37708</v>
      </c>
      <c r="I441" s="10">
        <v>2003</v>
      </c>
      <c r="J441" s="10" t="s">
        <v>6353</v>
      </c>
      <c r="K441" s="10">
        <v>254</v>
      </c>
      <c r="L441" s="10" t="s">
        <v>8105</v>
      </c>
      <c r="M441" s="10">
        <v>1</v>
      </c>
      <c r="N441" s="10" t="s">
        <v>7363</v>
      </c>
      <c r="O441" s="10"/>
      <c r="P441" s="10" t="s">
        <v>8106</v>
      </c>
      <c r="Q441" s="10">
        <v>378.47</v>
      </c>
      <c r="R441" s="10" t="s">
        <v>8107</v>
      </c>
      <c r="S441" s="10" t="s">
        <v>53</v>
      </c>
      <c r="T441" s="10" t="s">
        <v>54</v>
      </c>
    </row>
    <row r="442" spans="1:20" ht="14.5" x14ac:dyDescent="0.35">
      <c r="A442" s="10" t="s">
        <v>8108</v>
      </c>
      <c r="B442" s="10" t="str">
        <f>"9780415933612"</f>
        <v>9780415933612</v>
      </c>
      <c r="C442" s="10" t="str">
        <f>"9780203508701"</f>
        <v>9780203508701</v>
      </c>
      <c r="D442" s="10" t="s">
        <v>6350</v>
      </c>
      <c r="E442" s="10" t="s">
        <v>6351</v>
      </c>
      <c r="F442" s="10" t="s">
        <v>70</v>
      </c>
      <c r="G442" s="10" t="s">
        <v>6317</v>
      </c>
      <c r="H442" s="11">
        <v>37805</v>
      </c>
      <c r="I442" s="10">
        <v>2003</v>
      </c>
      <c r="J442" s="10" t="s">
        <v>6353</v>
      </c>
      <c r="K442" s="10">
        <v>164</v>
      </c>
      <c r="L442" s="10" t="s">
        <v>8109</v>
      </c>
      <c r="M442" s="10">
        <v>1</v>
      </c>
      <c r="N442" s="10" t="s">
        <v>7363</v>
      </c>
      <c r="O442" s="10"/>
      <c r="P442" s="10" t="s">
        <v>8110</v>
      </c>
      <c r="Q442" s="10">
        <v>378.3</v>
      </c>
      <c r="R442" s="10" t="s">
        <v>8111</v>
      </c>
      <c r="S442" s="10" t="s">
        <v>53</v>
      </c>
      <c r="T442" s="10" t="s">
        <v>54</v>
      </c>
    </row>
    <row r="443" spans="1:20" ht="14.5" x14ac:dyDescent="0.35">
      <c r="A443" s="10" t="s">
        <v>8112</v>
      </c>
      <c r="B443" s="10" t="str">
        <f>"9780415948180"</f>
        <v>9780415948180</v>
      </c>
      <c r="C443" s="10" t="str">
        <f>"9780203485798"</f>
        <v>9780203485798</v>
      </c>
      <c r="D443" s="10" t="s">
        <v>6350</v>
      </c>
      <c r="E443" s="10" t="s">
        <v>6351</v>
      </c>
      <c r="F443" s="10" t="s">
        <v>139</v>
      </c>
      <c r="G443" s="10" t="s">
        <v>6352</v>
      </c>
      <c r="H443" s="11">
        <v>38009</v>
      </c>
      <c r="I443" s="10">
        <v>2004</v>
      </c>
      <c r="J443" s="10" t="s">
        <v>6353</v>
      </c>
      <c r="K443" s="10">
        <v>321</v>
      </c>
      <c r="L443" s="10" t="s">
        <v>8113</v>
      </c>
      <c r="M443" s="10">
        <v>1</v>
      </c>
      <c r="N443" s="10"/>
      <c r="O443" s="10"/>
      <c r="P443" s="10" t="s">
        <v>8114</v>
      </c>
      <c r="Q443" s="10" t="s">
        <v>8115</v>
      </c>
      <c r="R443" s="10" t="s">
        <v>8116</v>
      </c>
      <c r="S443" s="10" t="s">
        <v>53</v>
      </c>
      <c r="T443" s="10" t="s">
        <v>6472</v>
      </c>
    </row>
    <row r="444" spans="1:20" ht="14.5" x14ac:dyDescent="0.35">
      <c r="A444" s="10" t="s">
        <v>8117</v>
      </c>
      <c r="B444" s="10" t="str">
        <f>"9780415945028"</f>
        <v>9780415945028</v>
      </c>
      <c r="C444" s="10" t="str">
        <f>"9780203488485"</f>
        <v>9780203488485</v>
      </c>
      <c r="D444" s="10" t="s">
        <v>6350</v>
      </c>
      <c r="E444" s="10" t="s">
        <v>6351</v>
      </c>
      <c r="F444" s="10" t="s">
        <v>5406</v>
      </c>
      <c r="G444" s="10" t="s">
        <v>6317</v>
      </c>
      <c r="H444" s="11">
        <v>37784</v>
      </c>
      <c r="I444" s="10">
        <v>2003</v>
      </c>
      <c r="J444" s="10" t="s">
        <v>6353</v>
      </c>
      <c r="K444" s="10">
        <v>278</v>
      </c>
      <c r="L444" s="10" t="s">
        <v>8118</v>
      </c>
      <c r="M444" s="10">
        <v>1</v>
      </c>
      <c r="N444" s="10" t="s">
        <v>8119</v>
      </c>
      <c r="O444" s="10"/>
      <c r="P444" s="10" t="s">
        <v>8120</v>
      </c>
      <c r="Q444" s="10">
        <v>379.51249999999999</v>
      </c>
      <c r="R444" s="10" t="s">
        <v>8121</v>
      </c>
      <c r="S444" s="10" t="s">
        <v>53</v>
      </c>
      <c r="T444" s="10" t="s">
        <v>54</v>
      </c>
    </row>
    <row r="445" spans="1:20" ht="14.5" x14ac:dyDescent="0.35">
      <c r="A445" s="10" t="s">
        <v>8122</v>
      </c>
      <c r="B445" s="10" t="str">
        <f>"9780415947954"</f>
        <v>9780415947954</v>
      </c>
      <c r="C445" s="10" t="str">
        <f>"9780203490457"</f>
        <v>9780203490457</v>
      </c>
      <c r="D445" s="10" t="s">
        <v>6350</v>
      </c>
      <c r="E445" s="10" t="s">
        <v>6351</v>
      </c>
      <c r="F445" s="10" t="s">
        <v>748</v>
      </c>
      <c r="G445" s="10" t="s">
        <v>6352</v>
      </c>
      <c r="H445" s="11">
        <v>37894</v>
      </c>
      <c r="I445" s="10">
        <v>2003</v>
      </c>
      <c r="J445" s="10" t="s">
        <v>6351</v>
      </c>
      <c r="K445" s="10">
        <v>333</v>
      </c>
      <c r="L445" s="10" t="s">
        <v>8123</v>
      </c>
      <c r="M445" s="10">
        <v>1</v>
      </c>
      <c r="N445" s="10" t="s">
        <v>8124</v>
      </c>
      <c r="O445" s="10"/>
      <c r="P445" s="10" t="s">
        <v>8125</v>
      </c>
      <c r="Q445" s="10">
        <v>378.66399999999999</v>
      </c>
      <c r="R445" s="10" t="s">
        <v>8126</v>
      </c>
      <c r="S445" s="10" t="s">
        <v>53</v>
      </c>
      <c r="T445" s="10" t="s">
        <v>54</v>
      </c>
    </row>
    <row r="446" spans="1:20" ht="14.5" x14ac:dyDescent="0.35">
      <c r="A446" s="10" t="s">
        <v>8127</v>
      </c>
      <c r="B446" s="10" t="str">
        <f>"9780713002300"</f>
        <v>9780713002300</v>
      </c>
      <c r="C446" s="10" t="str">
        <f>"9780203498149"</f>
        <v>9780203498149</v>
      </c>
      <c r="D446" s="10" t="s">
        <v>6350</v>
      </c>
      <c r="E446" s="10" t="s">
        <v>6351</v>
      </c>
      <c r="F446" s="10" t="s">
        <v>139</v>
      </c>
      <c r="G446" s="10" t="s">
        <v>6317</v>
      </c>
      <c r="H446" s="11">
        <v>37459</v>
      </c>
      <c r="I446" s="10">
        <v>2004</v>
      </c>
      <c r="J446" s="10" t="s">
        <v>6353</v>
      </c>
      <c r="K446" s="10">
        <v>248</v>
      </c>
      <c r="L446" s="10" t="s">
        <v>8128</v>
      </c>
      <c r="M446" s="10">
        <v>1</v>
      </c>
      <c r="N446" s="10" t="s">
        <v>8129</v>
      </c>
      <c r="O446" s="10"/>
      <c r="P446" s="10" t="s">
        <v>8130</v>
      </c>
      <c r="Q446" s="10" t="s">
        <v>8131</v>
      </c>
      <c r="R446" s="10" t="s">
        <v>8132</v>
      </c>
      <c r="S446" s="10" t="s">
        <v>53</v>
      </c>
      <c r="T446" s="10" t="s">
        <v>54</v>
      </c>
    </row>
    <row r="447" spans="1:20" ht="14.5" x14ac:dyDescent="0.35">
      <c r="A447" s="10" t="s">
        <v>8133</v>
      </c>
      <c r="B447" s="10" t="str">
        <f>"9780833033901"</f>
        <v>9780833033901</v>
      </c>
      <c r="C447" s="10" t="str">
        <f>"9780833036155"</f>
        <v>9780833036155</v>
      </c>
      <c r="D447" s="10" t="s">
        <v>8134</v>
      </c>
      <c r="E447" s="10" t="s">
        <v>8135</v>
      </c>
      <c r="F447" s="10" t="s">
        <v>8136</v>
      </c>
      <c r="G447" s="10" t="s">
        <v>6317</v>
      </c>
      <c r="H447" s="11">
        <v>38061</v>
      </c>
      <c r="I447" s="10">
        <v>2004</v>
      </c>
      <c r="J447" s="10" t="s">
        <v>8134</v>
      </c>
      <c r="K447" s="10">
        <v>181</v>
      </c>
      <c r="L447" s="10" t="s">
        <v>8137</v>
      </c>
      <c r="M447" s="10">
        <v>1</v>
      </c>
      <c r="N447" s="10"/>
      <c r="O447" s="10"/>
      <c r="P447" s="10" t="s">
        <v>8138</v>
      </c>
      <c r="Q447" s="10">
        <v>373.23599999999999</v>
      </c>
      <c r="R447" s="10" t="s">
        <v>8139</v>
      </c>
      <c r="S447" s="10" t="s">
        <v>53</v>
      </c>
      <c r="T447" s="10" t="s">
        <v>54</v>
      </c>
    </row>
    <row r="448" spans="1:20" ht="14.5" x14ac:dyDescent="0.35">
      <c r="A448" s="10" t="s">
        <v>8140</v>
      </c>
      <c r="B448" s="10" t="str">
        <f>"9780833035004"</f>
        <v>9780833035004</v>
      </c>
      <c r="C448" s="10" t="str">
        <f>"9780833035950"</f>
        <v>9780833035950</v>
      </c>
      <c r="D448" s="10" t="s">
        <v>8134</v>
      </c>
      <c r="E448" s="10" t="s">
        <v>8135</v>
      </c>
      <c r="F448" s="10" t="s">
        <v>8136</v>
      </c>
      <c r="G448" s="10" t="s">
        <v>6317</v>
      </c>
      <c r="H448" s="11">
        <v>38036</v>
      </c>
      <c r="I448" s="10">
        <v>2004</v>
      </c>
      <c r="J448" s="10" t="s">
        <v>8134</v>
      </c>
      <c r="K448" s="10">
        <v>155</v>
      </c>
      <c r="L448" s="10" t="s">
        <v>8141</v>
      </c>
      <c r="M448" s="10">
        <v>1</v>
      </c>
      <c r="N448" s="10"/>
      <c r="O448" s="10"/>
      <c r="P448" s="10" t="s">
        <v>8142</v>
      </c>
      <c r="Q448" s="10" t="s">
        <v>7069</v>
      </c>
      <c r="R448" s="10" t="s">
        <v>8143</v>
      </c>
      <c r="S448" s="10" t="s">
        <v>53</v>
      </c>
      <c r="T448" s="10" t="s">
        <v>54</v>
      </c>
    </row>
    <row r="449" spans="1:20" ht="14.5" x14ac:dyDescent="0.35">
      <c r="A449" s="10" t="s">
        <v>8144</v>
      </c>
      <c r="B449" s="10" t="str">
        <f>"9780415326957"</f>
        <v>9780415326957</v>
      </c>
      <c r="C449" s="10" t="str">
        <f>"9780203352908"</f>
        <v>9780203352908</v>
      </c>
      <c r="D449" s="10" t="s">
        <v>6350</v>
      </c>
      <c r="E449" s="10" t="s">
        <v>6351</v>
      </c>
      <c r="F449" s="10" t="s">
        <v>139</v>
      </c>
      <c r="G449" s="10" t="s">
        <v>6352</v>
      </c>
      <c r="H449" s="11">
        <v>37965</v>
      </c>
      <c r="I449" s="10">
        <v>2003</v>
      </c>
      <c r="J449" s="10" t="s">
        <v>6353</v>
      </c>
      <c r="K449" s="10">
        <v>178</v>
      </c>
      <c r="L449" s="10" t="s">
        <v>8145</v>
      </c>
      <c r="M449" s="10">
        <v>1</v>
      </c>
      <c r="N449" s="10" t="s">
        <v>8146</v>
      </c>
      <c r="O449" s="10"/>
      <c r="P449" s="10">
        <v>2003047232</v>
      </c>
      <c r="Q449" s="10">
        <v>370.1</v>
      </c>
      <c r="R449" s="10" t="s">
        <v>8147</v>
      </c>
      <c r="S449" s="10" t="s">
        <v>53</v>
      </c>
      <c r="T449" s="10" t="s">
        <v>54</v>
      </c>
    </row>
    <row r="450" spans="1:20" ht="14.5" x14ac:dyDescent="0.35">
      <c r="A450" s="10" t="s">
        <v>8148</v>
      </c>
      <c r="B450" s="10" t="str">
        <f>"9780415306164"</f>
        <v>9780415306164</v>
      </c>
      <c r="C450" s="10" t="str">
        <f>"9780203521533"</f>
        <v>9780203521533</v>
      </c>
      <c r="D450" s="10" t="s">
        <v>6350</v>
      </c>
      <c r="E450" s="10" t="s">
        <v>6351</v>
      </c>
      <c r="F450" s="10" t="s">
        <v>139</v>
      </c>
      <c r="G450" s="10" t="s">
        <v>6352</v>
      </c>
      <c r="H450" s="11">
        <v>38085</v>
      </c>
      <c r="I450" s="10">
        <v>2004</v>
      </c>
      <c r="J450" s="10" t="s">
        <v>6353</v>
      </c>
      <c r="K450" s="10">
        <v>270</v>
      </c>
      <c r="L450" s="10" t="s">
        <v>8149</v>
      </c>
      <c r="M450" s="10">
        <v>1</v>
      </c>
      <c r="N450" s="10"/>
      <c r="O450" s="10"/>
      <c r="P450" s="10" t="s">
        <v>8150</v>
      </c>
      <c r="Q450" s="10">
        <v>372.6</v>
      </c>
      <c r="R450" s="10" t="s">
        <v>8151</v>
      </c>
      <c r="S450" s="10" t="s">
        <v>53</v>
      </c>
      <c r="T450" s="10" t="s">
        <v>54</v>
      </c>
    </row>
    <row r="451" spans="1:20" ht="14.5" x14ac:dyDescent="0.35">
      <c r="A451" s="10" t="s">
        <v>8152</v>
      </c>
      <c r="B451" s="10" t="str">
        <f>"9780749435431"</f>
        <v>9780749435431</v>
      </c>
      <c r="C451" s="10" t="str">
        <f>"9780203417188"</f>
        <v>9780203417188</v>
      </c>
      <c r="D451" s="10" t="s">
        <v>6350</v>
      </c>
      <c r="E451" s="10" t="s">
        <v>6351</v>
      </c>
      <c r="F451" s="10" t="s">
        <v>7115</v>
      </c>
      <c r="G451" s="10" t="s">
        <v>6352</v>
      </c>
      <c r="H451" s="11">
        <v>37316</v>
      </c>
      <c r="I451" s="10">
        <v>2004</v>
      </c>
      <c r="J451" s="10" t="s">
        <v>6353</v>
      </c>
      <c r="K451" s="10">
        <v>327</v>
      </c>
      <c r="L451" s="10" t="s">
        <v>8153</v>
      </c>
      <c r="M451" s="10">
        <v>1</v>
      </c>
      <c r="N451" s="10"/>
      <c r="O451" s="10"/>
      <c r="P451" s="10" t="s">
        <v>8154</v>
      </c>
      <c r="Q451" s="10">
        <v>371.4</v>
      </c>
      <c r="R451" s="10" t="s">
        <v>7101</v>
      </c>
      <c r="S451" s="10" t="s">
        <v>53</v>
      </c>
      <c r="T451" s="10" t="s">
        <v>54</v>
      </c>
    </row>
    <row r="452" spans="1:20" ht="14.5" x14ac:dyDescent="0.35">
      <c r="A452" s="10" t="s">
        <v>8155</v>
      </c>
      <c r="B452" s="10" t="str">
        <f>"9780749439026"</f>
        <v>9780749439026</v>
      </c>
      <c r="C452" s="10" t="str">
        <f>"9780203416884"</f>
        <v>9780203416884</v>
      </c>
      <c r="D452" s="10" t="s">
        <v>6350</v>
      </c>
      <c r="E452" s="10" t="s">
        <v>6351</v>
      </c>
      <c r="F452" s="10" t="s">
        <v>7115</v>
      </c>
      <c r="G452" s="10" t="s">
        <v>6317</v>
      </c>
      <c r="H452" s="11">
        <v>37591</v>
      </c>
      <c r="I452" s="10">
        <v>2002</v>
      </c>
      <c r="J452" s="10" t="s">
        <v>6353</v>
      </c>
      <c r="K452" s="10">
        <v>223</v>
      </c>
      <c r="L452" s="10" t="s">
        <v>8156</v>
      </c>
      <c r="M452" s="10">
        <v>1</v>
      </c>
      <c r="N452" s="10" t="s">
        <v>7881</v>
      </c>
      <c r="O452" s="10"/>
      <c r="P452" s="10" t="s">
        <v>8157</v>
      </c>
      <c r="Q452" s="10">
        <v>378.12</v>
      </c>
      <c r="R452" s="10" t="s">
        <v>8158</v>
      </c>
      <c r="S452" s="10" t="s">
        <v>53</v>
      </c>
      <c r="T452" s="10" t="s">
        <v>54</v>
      </c>
    </row>
    <row r="453" spans="1:20" ht="14.5" x14ac:dyDescent="0.35">
      <c r="A453" s="10" t="s">
        <v>8159</v>
      </c>
      <c r="B453" s="10" t="str">
        <f>"9780749440213"</f>
        <v>9780749440213</v>
      </c>
      <c r="C453" s="10" t="str">
        <f>"9780203416556"</f>
        <v>9780203416556</v>
      </c>
      <c r="D453" s="10" t="s">
        <v>6350</v>
      </c>
      <c r="E453" s="10" t="s">
        <v>6351</v>
      </c>
      <c r="F453" s="10" t="s">
        <v>7115</v>
      </c>
      <c r="G453" s="10" t="s">
        <v>6317</v>
      </c>
      <c r="H453" s="11">
        <v>37773</v>
      </c>
      <c r="I453" s="10">
        <v>2003</v>
      </c>
      <c r="J453" s="10" t="s">
        <v>6353</v>
      </c>
      <c r="K453" s="10">
        <v>208</v>
      </c>
      <c r="L453" s="10" t="s">
        <v>8160</v>
      </c>
      <c r="M453" s="10">
        <v>1</v>
      </c>
      <c r="N453" s="10" t="s">
        <v>8161</v>
      </c>
      <c r="O453" s="10"/>
      <c r="P453" s="10" t="s">
        <v>8162</v>
      </c>
      <c r="Q453" s="10">
        <v>378.12007149999999</v>
      </c>
      <c r="R453" s="10" t="s">
        <v>8163</v>
      </c>
      <c r="S453" s="10" t="s">
        <v>53</v>
      </c>
      <c r="T453" s="10" t="s">
        <v>54</v>
      </c>
    </row>
    <row r="454" spans="1:20" ht="14.5" x14ac:dyDescent="0.35">
      <c r="A454" s="10" t="s">
        <v>8164</v>
      </c>
      <c r="B454" s="10" t="str">
        <f>"9780749440381"</f>
        <v>9780749440381</v>
      </c>
      <c r="C454" s="10" t="str">
        <f>"9780203416655"</f>
        <v>9780203416655</v>
      </c>
      <c r="D454" s="10" t="s">
        <v>6350</v>
      </c>
      <c r="E454" s="10" t="s">
        <v>6351</v>
      </c>
      <c r="F454" s="10" t="s">
        <v>748</v>
      </c>
      <c r="G454" s="10" t="s">
        <v>6352</v>
      </c>
      <c r="H454" s="11">
        <v>37742</v>
      </c>
      <c r="I454" s="10">
        <v>2003</v>
      </c>
      <c r="J454" s="10" t="s">
        <v>6351</v>
      </c>
      <c r="K454" s="10">
        <v>193</v>
      </c>
      <c r="L454" s="10" t="s">
        <v>8165</v>
      </c>
      <c r="M454" s="10">
        <v>1</v>
      </c>
      <c r="N454" s="10"/>
      <c r="O454" s="10"/>
      <c r="P454" s="10">
        <v>2003005588</v>
      </c>
      <c r="Q454" s="10">
        <v>378.12</v>
      </c>
      <c r="R454" s="10" t="s">
        <v>6765</v>
      </c>
      <c r="S454" s="10" t="s">
        <v>53</v>
      </c>
      <c r="T454" s="10" t="s">
        <v>54</v>
      </c>
    </row>
    <row r="455" spans="1:20" ht="14.5" x14ac:dyDescent="0.35">
      <c r="A455" s="10" t="s">
        <v>8166</v>
      </c>
      <c r="B455" s="10" t="str">
        <f>"9780415303170"</f>
        <v>9780415303170</v>
      </c>
      <c r="C455" s="10" t="str">
        <f>"9780203465233"</f>
        <v>9780203465233</v>
      </c>
      <c r="D455" s="10" t="s">
        <v>6350</v>
      </c>
      <c r="E455" s="10" t="s">
        <v>6351</v>
      </c>
      <c r="F455" s="10" t="s">
        <v>139</v>
      </c>
      <c r="G455" s="10" t="s">
        <v>6352</v>
      </c>
      <c r="H455" s="11">
        <v>37888</v>
      </c>
      <c r="I455" s="10">
        <v>2003</v>
      </c>
      <c r="J455" s="10" t="s">
        <v>6353</v>
      </c>
      <c r="K455" s="10">
        <v>194</v>
      </c>
      <c r="L455" s="10" t="s">
        <v>8167</v>
      </c>
      <c r="M455" s="10">
        <v>1</v>
      </c>
      <c r="N455" s="10"/>
      <c r="O455" s="10"/>
      <c r="P455" s="10" t="s">
        <v>8168</v>
      </c>
      <c r="Q455" s="10">
        <v>370.71</v>
      </c>
      <c r="R455" s="10" t="s">
        <v>8169</v>
      </c>
      <c r="S455" s="10" t="s">
        <v>53</v>
      </c>
      <c r="T455" s="10" t="s">
        <v>54</v>
      </c>
    </row>
    <row r="456" spans="1:20" ht="14.5" x14ac:dyDescent="0.35">
      <c r="A456" s="10" t="s">
        <v>8170</v>
      </c>
      <c r="B456" s="10" t="str">
        <f>"9780415314893"</f>
        <v>9780415314893</v>
      </c>
      <c r="C456" s="10" t="str">
        <f>"9780203561546"</f>
        <v>9780203561546</v>
      </c>
      <c r="D456" s="10" t="s">
        <v>6350</v>
      </c>
      <c r="E456" s="10" t="s">
        <v>6351</v>
      </c>
      <c r="F456" s="10" t="s">
        <v>748</v>
      </c>
      <c r="G456" s="10" t="s">
        <v>6352</v>
      </c>
      <c r="H456" s="11">
        <v>38134</v>
      </c>
      <c r="I456" s="10">
        <v>2004</v>
      </c>
      <c r="J456" s="10" t="s">
        <v>6351</v>
      </c>
      <c r="K456" s="10">
        <v>193</v>
      </c>
      <c r="L456" s="10" t="s">
        <v>8171</v>
      </c>
      <c r="M456" s="10">
        <v>1</v>
      </c>
      <c r="N456" s="10"/>
      <c r="O456" s="10"/>
      <c r="P456" s="10" t="s">
        <v>8172</v>
      </c>
      <c r="Q456" s="10">
        <v>371.91660000000002</v>
      </c>
      <c r="R456" s="10" t="s">
        <v>8173</v>
      </c>
      <c r="S456" s="10" t="s">
        <v>53</v>
      </c>
      <c r="T456" s="10" t="s">
        <v>54</v>
      </c>
    </row>
    <row r="457" spans="1:20" ht="14.5" x14ac:dyDescent="0.35">
      <c r="A457" s="10" t="s">
        <v>8174</v>
      </c>
      <c r="B457" s="10" t="str">
        <f>"9780415311113"</f>
        <v>9780415311113</v>
      </c>
      <c r="C457" s="10" t="str">
        <f>"9780203458327"</f>
        <v>9780203458327</v>
      </c>
      <c r="D457" s="10" t="s">
        <v>6350</v>
      </c>
      <c r="E457" s="10" t="s">
        <v>6351</v>
      </c>
      <c r="F457" s="10" t="s">
        <v>748</v>
      </c>
      <c r="G457" s="10" t="s">
        <v>6352</v>
      </c>
      <c r="H457" s="11">
        <v>37973</v>
      </c>
      <c r="I457" s="10">
        <v>2004</v>
      </c>
      <c r="J457" s="10" t="s">
        <v>6351</v>
      </c>
      <c r="K457" s="10">
        <v>161</v>
      </c>
      <c r="L457" s="10" t="s">
        <v>8175</v>
      </c>
      <c r="M457" s="10">
        <v>1</v>
      </c>
      <c r="N457" s="10"/>
      <c r="O457" s="10"/>
      <c r="P457" s="10" t="s">
        <v>8176</v>
      </c>
      <c r="Q457" s="10" t="s">
        <v>6576</v>
      </c>
      <c r="R457" s="10" t="s">
        <v>8177</v>
      </c>
      <c r="S457" s="10" t="s">
        <v>53</v>
      </c>
      <c r="T457" s="10" t="s">
        <v>54</v>
      </c>
    </row>
    <row r="458" spans="1:20" ht="14.5" x14ac:dyDescent="0.35">
      <c r="A458" s="10" t="s">
        <v>8178</v>
      </c>
      <c r="B458" s="10" t="str">
        <f>"9780415314909"</f>
        <v>9780415314909</v>
      </c>
      <c r="C458" s="10" t="str">
        <f>"9780203561553"</f>
        <v>9780203561553</v>
      </c>
      <c r="D458" s="10" t="s">
        <v>6350</v>
      </c>
      <c r="E458" s="10" t="s">
        <v>6351</v>
      </c>
      <c r="F458" s="10" t="s">
        <v>139</v>
      </c>
      <c r="G458" s="10" t="s">
        <v>6352</v>
      </c>
      <c r="H458" s="11">
        <v>37882</v>
      </c>
      <c r="I458" s="10">
        <v>2003</v>
      </c>
      <c r="J458" s="10" t="s">
        <v>6353</v>
      </c>
      <c r="K458" s="10">
        <v>318</v>
      </c>
      <c r="L458" s="10" t="s">
        <v>8179</v>
      </c>
      <c r="M458" s="10">
        <v>2</v>
      </c>
      <c r="N458" s="10"/>
      <c r="O458" s="10"/>
      <c r="P458" s="10" t="s">
        <v>8180</v>
      </c>
      <c r="Q458" s="10" t="s">
        <v>8181</v>
      </c>
      <c r="R458" s="10" t="s">
        <v>8182</v>
      </c>
      <c r="S458" s="10" t="s">
        <v>53</v>
      </c>
      <c r="T458" s="10" t="s">
        <v>54</v>
      </c>
    </row>
    <row r="459" spans="1:20" ht="14.5" x14ac:dyDescent="0.35">
      <c r="A459" s="10" t="s">
        <v>8183</v>
      </c>
      <c r="B459" s="10" t="str">
        <f>"9780415318808"</f>
        <v>9780415318808</v>
      </c>
      <c r="C459" s="10" t="str">
        <f>"9780203606803"</f>
        <v>9780203606803</v>
      </c>
      <c r="D459" s="10" t="s">
        <v>6350</v>
      </c>
      <c r="E459" s="10" t="s">
        <v>6351</v>
      </c>
      <c r="F459" s="10" t="s">
        <v>139</v>
      </c>
      <c r="G459" s="10" t="s">
        <v>6317</v>
      </c>
      <c r="H459" s="11">
        <v>38526</v>
      </c>
      <c r="I459" s="10">
        <v>2004</v>
      </c>
      <c r="J459" s="10" t="s">
        <v>6353</v>
      </c>
      <c r="K459" s="10">
        <v>309</v>
      </c>
      <c r="L459" s="10" t="s">
        <v>8184</v>
      </c>
      <c r="M459" s="10">
        <v>1</v>
      </c>
      <c r="N459" s="10"/>
      <c r="O459" s="10"/>
      <c r="P459" s="10" t="s">
        <v>8185</v>
      </c>
      <c r="Q459" s="10">
        <v>371.90460000000002</v>
      </c>
      <c r="R459" s="10" t="s">
        <v>8186</v>
      </c>
      <c r="S459" s="10" t="s">
        <v>53</v>
      </c>
      <c r="T459" s="10" t="s">
        <v>54</v>
      </c>
    </row>
    <row r="460" spans="1:20" ht="14.5" x14ac:dyDescent="0.35">
      <c r="A460" s="10" t="s">
        <v>8187</v>
      </c>
      <c r="B460" s="10" t="str">
        <f>"9780415320993"</f>
        <v>9780415320993</v>
      </c>
      <c r="C460" s="10" t="str">
        <f>"9780203465332"</f>
        <v>9780203465332</v>
      </c>
      <c r="D460" s="10" t="s">
        <v>6350</v>
      </c>
      <c r="E460" s="10" t="s">
        <v>6351</v>
      </c>
      <c r="F460" s="10" t="s">
        <v>139</v>
      </c>
      <c r="G460" s="10" t="s">
        <v>6352</v>
      </c>
      <c r="H460" s="11">
        <v>38519</v>
      </c>
      <c r="I460" s="10">
        <v>2004</v>
      </c>
      <c r="J460" s="10" t="s">
        <v>6353</v>
      </c>
      <c r="K460" s="10">
        <v>198</v>
      </c>
      <c r="L460" s="10" t="s">
        <v>8188</v>
      </c>
      <c r="M460" s="10">
        <v>1</v>
      </c>
      <c r="N460" s="10" t="s">
        <v>7908</v>
      </c>
      <c r="O460" s="10"/>
      <c r="P460" s="10">
        <v>2004022285</v>
      </c>
      <c r="Q460" s="10">
        <v>372.21</v>
      </c>
      <c r="R460" s="10" t="s">
        <v>8189</v>
      </c>
      <c r="S460" s="10" t="s">
        <v>53</v>
      </c>
      <c r="T460" s="10" t="s">
        <v>54</v>
      </c>
    </row>
    <row r="461" spans="1:20" ht="14.5" x14ac:dyDescent="0.35">
      <c r="A461" s="10" t="s">
        <v>8190</v>
      </c>
      <c r="B461" s="10" t="str">
        <f>"9780415321181"</f>
        <v>9780415321181</v>
      </c>
      <c r="C461" s="10" t="str">
        <f>"9780203073650"</f>
        <v>9780203073650</v>
      </c>
      <c r="D461" s="10" t="s">
        <v>6350</v>
      </c>
      <c r="E461" s="10" t="s">
        <v>6351</v>
      </c>
      <c r="F461" s="10" t="s">
        <v>139</v>
      </c>
      <c r="G461" s="10" t="s">
        <v>6352</v>
      </c>
      <c r="H461" s="11">
        <v>38093</v>
      </c>
      <c r="I461" s="10">
        <v>2004</v>
      </c>
      <c r="J461" s="10" t="s">
        <v>6353</v>
      </c>
      <c r="K461" s="10">
        <v>237</v>
      </c>
      <c r="L461" s="10" t="s">
        <v>8191</v>
      </c>
      <c r="M461" s="10">
        <v>1</v>
      </c>
      <c r="N461" s="10"/>
      <c r="O461" s="10"/>
      <c r="P461" s="10" t="s">
        <v>8192</v>
      </c>
      <c r="Q461" s="10">
        <v>370</v>
      </c>
      <c r="R461" s="10" t="s">
        <v>8147</v>
      </c>
      <c r="S461" s="10" t="s">
        <v>53</v>
      </c>
      <c r="T461" s="10" t="s">
        <v>54</v>
      </c>
    </row>
    <row r="462" spans="1:20" ht="14.5" x14ac:dyDescent="0.35">
      <c r="A462" s="10" t="s">
        <v>8193</v>
      </c>
      <c r="B462" s="10" t="str">
        <f>"9780415322010"</f>
        <v>9780415322010</v>
      </c>
      <c r="C462" s="10" t="str">
        <f>"9780203299838"</f>
        <v>9780203299838</v>
      </c>
      <c r="D462" s="10" t="s">
        <v>6350</v>
      </c>
      <c r="E462" s="10" t="s">
        <v>6351</v>
      </c>
      <c r="F462" s="10" t="s">
        <v>748</v>
      </c>
      <c r="G462" s="10" t="s">
        <v>6352</v>
      </c>
      <c r="H462" s="11">
        <v>38524</v>
      </c>
      <c r="I462" s="10">
        <v>2005</v>
      </c>
      <c r="J462" s="10" t="s">
        <v>6351</v>
      </c>
      <c r="K462" s="10">
        <v>202</v>
      </c>
      <c r="L462" s="10" t="s">
        <v>8194</v>
      </c>
      <c r="M462" s="10">
        <v>1</v>
      </c>
      <c r="N462" s="10"/>
      <c r="O462" s="10"/>
      <c r="P462" s="10" t="s">
        <v>8195</v>
      </c>
      <c r="Q462" s="10">
        <v>370.11399999999998</v>
      </c>
      <c r="R462" s="10" t="s">
        <v>8196</v>
      </c>
      <c r="S462" s="10" t="s">
        <v>53</v>
      </c>
      <c r="T462" s="10" t="s">
        <v>54</v>
      </c>
    </row>
    <row r="463" spans="1:20" ht="14.5" x14ac:dyDescent="0.35">
      <c r="A463" s="10" t="s">
        <v>8197</v>
      </c>
      <c r="B463" s="10" t="str">
        <f>"9780415324533"</f>
        <v>9780415324533</v>
      </c>
      <c r="C463" s="10" t="str">
        <f>"9780203356951"</f>
        <v>9780203356951</v>
      </c>
      <c r="D463" s="10" t="s">
        <v>6350</v>
      </c>
      <c r="E463" s="10" t="s">
        <v>6351</v>
      </c>
      <c r="F463" s="10" t="s">
        <v>748</v>
      </c>
      <c r="G463" s="10" t="s">
        <v>6352</v>
      </c>
      <c r="H463" s="11">
        <v>38316</v>
      </c>
      <c r="I463" s="10">
        <v>2005</v>
      </c>
      <c r="J463" s="10" t="s">
        <v>6351</v>
      </c>
      <c r="K463" s="10">
        <v>217</v>
      </c>
      <c r="L463" s="10" t="s">
        <v>8198</v>
      </c>
      <c r="M463" s="10">
        <v>1</v>
      </c>
      <c r="N463" s="10"/>
      <c r="O463" s="10"/>
      <c r="P463" s="10" t="s">
        <v>8199</v>
      </c>
      <c r="Q463" s="10">
        <v>370.113</v>
      </c>
      <c r="R463" s="10" t="s">
        <v>8200</v>
      </c>
      <c r="S463" s="10" t="s">
        <v>53</v>
      </c>
      <c r="T463" s="10" t="s">
        <v>54</v>
      </c>
    </row>
    <row r="464" spans="1:20" ht="14.5" x14ac:dyDescent="0.35">
      <c r="A464" s="10" t="s">
        <v>8201</v>
      </c>
      <c r="B464" s="10" t="str">
        <f>"9780415327794"</f>
        <v>9780415327794</v>
      </c>
      <c r="C464" s="10" t="str">
        <f>"9780203390719"</f>
        <v>9780203390719</v>
      </c>
      <c r="D464" s="10" t="s">
        <v>6350</v>
      </c>
      <c r="E464" s="10" t="s">
        <v>6351</v>
      </c>
      <c r="F464" s="10" t="s">
        <v>7115</v>
      </c>
      <c r="G464" s="10" t="s">
        <v>6317</v>
      </c>
      <c r="H464" s="11">
        <v>38552</v>
      </c>
      <c r="I464" s="10">
        <v>2005</v>
      </c>
      <c r="J464" s="10" t="s">
        <v>6353</v>
      </c>
      <c r="K464" s="10">
        <v>196</v>
      </c>
      <c r="L464" s="10" t="s">
        <v>8202</v>
      </c>
      <c r="M464" s="10">
        <v>1</v>
      </c>
      <c r="N464" s="10" t="s">
        <v>8203</v>
      </c>
      <c r="O464" s="10"/>
      <c r="P464" s="10" t="s">
        <v>8204</v>
      </c>
      <c r="Q464" s="10">
        <v>371.10239999999999</v>
      </c>
      <c r="R464" s="10" t="s">
        <v>8205</v>
      </c>
      <c r="S464" s="10" t="s">
        <v>53</v>
      </c>
      <c r="T464" s="10" t="s">
        <v>54</v>
      </c>
    </row>
    <row r="465" spans="1:20" ht="14.5" x14ac:dyDescent="0.35">
      <c r="A465" s="10" t="s">
        <v>8206</v>
      </c>
      <c r="B465" s="10" t="str">
        <f>"9780415331081"</f>
        <v>9780415331081</v>
      </c>
      <c r="C465" s="10" t="str">
        <f>"9780203392324"</f>
        <v>9780203392324</v>
      </c>
      <c r="D465" s="10" t="s">
        <v>6350</v>
      </c>
      <c r="E465" s="10" t="s">
        <v>6351</v>
      </c>
      <c r="F465" s="10" t="s">
        <v>748</v>
      </c>
      <c r="G465" s="10" t="s">
        <v>6352</v>
      </c>
      <c r="H465" s="11">
        <v>38292</v>
      </c>
      <c r="I465" s="10">
        <v>2005</v>
      </c>
      <c r="J465" s="10" t="s">
        <v>6351</v>
      </c>
      <c r="K465" s="10">
        <v>233</v>
      </c>
      <c r="L465" s="10" t="s">
        <v>8207</v>
      </c>
      <c r="M465" s="10">
        <v>2</v>
      </c>
      <c r="N465" s="10"/>
      <c r="O465" s="10"/>
      <c r="P465" s="10" t="s">
        <v>8208</v>
      </c>
      <c r="Q465" s="10">
        <v>372.11020000000002</v>
      </c>
      <c r="R465" s="10" t="s">
        <v>8209</v>
      </c>
      <c r="S465" s="10" t="s">
        <v>53</v>
      </c>
      <c r="T465" s="10" t="s">
        <v>54</v>
      </c>
    </row>
    <row r="466" spans="1:20" ht="14.5" x14ac:dyDescent="0.35">
      <c r="A466" s="10" t="s">
        <v>8210</v>
      </c>
      <c r="B466" s="10" t="str">
        <f>"9780415334860"</f>
        <v>9780415334860</v>
      </c>
      <c r="C466" s="10" t="str">
        <f>"9780203416426"</f>
        <v>9780203416426</v>
      </c>
      <c r="D466" s="10" t="s">
        <v>6350</v>
      </c>
      <c r="E466" s="10" t="s">
        <v>6351</v>
      </c>
      <c r="F466" s="10" t="s">
        <v>139</v>
      </c>
      <c r="G466" s="10" t="s">
        <v>6352</v>
      </c>
      <c r="H466" s="11">
        <v>38174</v>
      </c>
      <c r="I466" s="10">
        <v>2004</v>
      </c>
      <c r="J466" s="10" t="s">
        <v>6353</v>
      </c>
      <c r="K466" s="10">
        <v>113</v>
      </c>
      <c r="L466" s="10" t="s">
        <v>8211</v>
      </c>
      <c r="M466" s="10">
        <v>2</v>
      </c>
      <c r="N466" s="10"/>
      <c r="O466" s="10"/>
      <c r="P466" s="10" t="s">
        <v>8212</v>
      </c>
      <c r="Q466" s="10" t="s">
        <v>8213</v>
      </c>
      <c r="R466" s="10" t="s">
        <v>8214</v>
      </c>
      <c r="S466" s="10" t="s">
        <v>53</v>
      </c>
      <c r="T466" s="10" t="s">
        <v>6568</v>
      </c>
    </row>
    <row r="467" spans="1:20" ht="14.5" x14ac:dyDescent="0.35">
      <c r="A467" s="10" t="s">
        <v>8215</v>
      </c>
      <c r="B467" s="10" t="str">
        <f>"9780415334877"</f>
        <v>9780415334877</v>
      </c>
      <c r="C467" s="10" t="str">
        <f>"9780203415931"</f>
        <v>9780203415931</v>
      </c>
      <c r="D467" s="10" t="s">
        <v>6350</v>
      </c>
      <c r="E467" s="10" t="s">
        <v>6351</v>
      </c>
      <c r="F467" s="10" t="s">
        <v>7115</v>
      </c>
      <c r="G467" s="10" t="s">
        <v>6317</v>
      </c>
      <c r="H467" s="11">
        <v>38488</v>
      </c>
      <c r="I467" s="10">
        <v>2004</v>
      </c>
      <c r="J467" s="10" t="s">
        <v>6353</v>
      </c>
      <c r="K467" s="10">
        <v>166</v>
      </c>
      <c r="L467" s="10" t="s">
        <v>8216</v>
      </c>
      <c r="M467" s="10">
        <v>1</v>
      </c>
      <c r="N467" s="10" t="s">
        <v>8217</v>
      </c>
      <c r="O467" s="10"/>
      <c r="P467" s="10" t="s">
        <v>8218</v>
      </c>
      <c r="Q467" s="10">
        <v>306.43200000000002</v>
      </c>
      <c r="R467" s="10" t="s">
        <v>8219</v>
      </c>
      <c r="S467" s="10" t="s">
        <v>53</v>
      </c>
      <c r="T467" s="10" t="s">
        <v>6526</v>
      </c>
    </row>
    <row r="468" spans="1:20" ht="14.5" x14ac:dyDescent="0.35">
      <c r="A468" s="10" t="s">
        <v>8220</v>
      </c>
      <c r="B468" s="10" t="str">
        <f>"9780415341363"</f>
        <v>9780415341363</v>
      </c>
      <c r="C468" s="10" t="str">
        <f>"9780203416006"</f>
        <v>9780203416006</v>
      </c>
      <c r="D468" s="10" t="s">
        <v>6350</v>
      </c>
      <c r="E468" s="10" t="s">
        <v>6351</v>
      </c>
      <c r="F468" s="10" t="s">
        <v>748</v>
      </c>
      <c r="G468" s="10" t="s">
        <v>6352</v>
      </c>
      <c r="H468" s="11">
        <v>38489</v>
      </c>
      <c r="I468" s="10">
        <v>2005</v>
      </c>
      <c r="J468" s="10" t="s">
        <v>6351</v>
      </c>
      <c r="K468" s="10">
        <v>218</v>
      </c>
      <c r="L468" s="10" t="s">
        <v>8221</v>
      </c>
      <c r="M468" s="10">
        <v>1</v>
      </c>
      <c r="N468" s="10"/>
      <c r="O468" s="10"/>
      <c r="P468" s="10" t="s">
        <v>8222</v>
      </c>
      <c r="Q468" s="10" t="s">
        <v>8223</v>
      </c>
      <c r="R468" s="10" t="s">
        <v>8224</v>
      </c>
      <c r="S468" s="10" t="s">
        <v>53</v>
      </c>
      <c r="T468" s="10" t="s">
        <v>54</v>
      </c>
    </row>
    <row r="469" spans="1:20" ht="14.5" x14ac:dyDescent="0.35">
      <c r="A469" s="10" t="s">
        <v>8225</v>
      </c>
      <c r="B469" s="10" t="str">
        <f>"9780415335300"</f>
        <v>9780415335300</v>
      </c>
      <c r="C469" s="10" t="str">
        <f>"9780203416518"</f>
        <v>9780203416518</v>
      </c>
      <c r="D469" s="10" t="s">
        <v>6350</v>
      </c>
      <c r="E469" s="10" t="s">
        <v>6351</v>
      </c>
      <c r="F469" s="10" t="s">
        <v>139</v>
      </c>
      <c r="G469" s="10" t="s">
        <v>6352</v>
      </c>
      <c r="H469" s="11">
        <v>37964</v>
      </c>
      <c r="I469" s="10">
        <v>2003</v>
      </c>
      <c r="J469" s="10" t="s">
        <v>6353</v>
      </c>
      <c r="K469" s="10">
        <v>320</v>
      </c>
      <c r="L469" s="10" t="s">
        <v>8226</v>
      </c>
      <c r="M469" s="10">
        <v>1</v>
      </c>
      <c r="N469" s="10"/>
      <c r="O469" s="10"/>
      <c r="P469" s="10" t="s">
        <v>8227</v>
      </c>
      <c r="Q469" s="10" t="s">
        <v>8228</v>
      </c>
      <c r="R469" s="10" t="s">
        <v>8229</v>
      </c>
      <c r="S469" s="10" t="s">
        <v>53</v>
      </c>
      <c r="T469" s="10" t="s">
        <v>54</v>
      </c>
    </row>
    <row r="470" spans="1:20" ht="14.5" x14ac:dyDescent="0.35">
      <c r="A470" s="10" t="s">
        <v>8230</v>
      </c>
      <c r="B470" s="10" t="str">
        <f>"9780415335324"</f>
        <v>9780415335324</v>
      </c>
      <c r="C470" s="10" t="str">
        <f>"9780203415962"</f>
        <v>9780203415962</v>
      </c>
      <c r="D470" s="10" t="s">
        <v>6350</v>
      </c>
      <c r="E470" s="10" t="s">
        <v>6351</v>
      </c>
      <c r="F470" s="10" t="s">
        <v>3967</v>
      </c>
      <c r="G470" s="10" t="s">
        <v>6352</v>
      </c>
      <c r="H470" s="11">
        <v>38572</v>
      </c>
      <c r="I470" s="10">
        <v>2005</v>
      </c>
      <c r="J470" s="10" t="s">
        <v>6353</v>
      </c>
      <c r="K470" s="10">
        <v>139</v>
      </c>
      <c r="L470" s="10" t="s">
        <v>8231</v>
      </c>
      <c r="M470" s="10">
        <v>1</v>
      </c>
      <c r="N470" s="10" t="s">
        <v>8217</v>
      </c>
      <c r="O470" s="10"/>
      <c r="P470" s="10" t="s">
        <v>8232</v>
      </c>
      <c r="Q470" s="10" t="s">
        <v>8223</v>
      </c>
      <c r="R470" s="10" t="s">
        <v>8233</v>
      </c>
      <c r="S470" s="10" t="s">
        <v>53</v>
      </c>
      <c r="T470" s="10" t="s">
        <v>54</v>
      </c>
    </row>
    <row r="471" spans="1:20" ht="14.5" x14ac:dyDescent="0.35">
      <c r="A471" s="10" t="s">
        <v>8234</v>
      </c>
      <c r="B471" s="10" t="str">
        <f>"9780415335683"</f>
        <v>9780415335683</v>
      </c>
      <c r="C471" s="10" t="str">
        <f>"9780203420300"</f>
        <v>9780203420300</v>
      </c>
      <c r="D471" s="10" t="s">
        <v>6350</v>
      </c>
      <c r="E471" s="10" t="s">
        <v>6351</v>
      </c>
      <c r="F471" s="10" t="s">
        <v>139</v>
      </c>
      <c r="G471" s="10" t="s">
        <v>6352</v>
      </c>
      <c r="H471" s="11">
        <v>38673</v>
      </c>
      <c r="I471" s="10">
        <v>2004</v>
      </c>
      <c r="J471" s="10" t="s">
        <v>6353</v>
      </c>
      <c r="K471" s="10">
        <v>193</v>
      </c>
      <c r="L471" s="10" t="s">
        <v>8235</v>
      </c>
      <c r="M471" s="10">
        <v>1</v>
      </c>
      <c r="N471" s="10"/>
      <c r="O471" s="10"/>
      <c r="P471" s="10" t="s">
        <v>8236</v>
      </c>
      <c r="Q471" s="10" t="s">
        <v>8237</v>
      </c>
      <c r="R471" s="10" t="s">
        <v>8238</v>
      </c>
      <c r="S471" s="10" t="s">
        <v>53</v>
      </c>
      <c r="T471" s="10" t="s">
        <v>54</v>
      </c>
    </row>
    <row r="472" spans="1:20" ht="14.5" x14ac:dyDescent="0.35">
      <c r="A472" s="10" t="s">
        <v>8239</v>
      </c>
      <c r="B472" s="10" t="str">
        <f>"9780415339711"</f>
        <v>9780415339711</v>
      </c>
      <c r="C472" s="10" t="str">
        <f>"9780203461891"</f>
        <v>9780203461891</v>
      </c>
      <c r="D472" s="10" t="s">
        <v>6350</v>
      </c>
      <c r="E472" s="10" t="s">
        <v>6351</v>
      </c>
      <c r="F472" s="10" t="s">
        <v>748</v>
      </c>
      <c r="G472" s="10" t="s">
        <v>6352</v>
      </c>
      <c r="H472" s="11">
        <v>38212</v>
      </c>
      <c r="I472" s="10">
        <v>2004</v>
      </c>
      <c r="J472" s="10" t="s">
        <v>6351</v>
      </c>
      <c r="K472" s="10">
        <v>218</v>
      </c>
      <c r="L472" s="10" t="s">
        <v>8240</v>
      </c>
      <c r="M472" s="10">
        <v>2</v>
      </c>
      <c r="N472" s="10"/>
      <c r="O472" s="10"/>
      <c r="P472" s="10" t="s">
        <v>8241</v>
      </c>
      <c r="Q472" s="10">
        <v>371.9144</v>
      </c>
      <c r="R472" s="10" t="s">
        <v>1595</v>
      </c>
      <c r="S472" s="10" t="s">
        <v>53</v>
      </c>
      <c r="T472" s="10" t="s">
        <v>54</v>
      </c>
    </row>
    <row r="473" spans="1:20" ht="14.5" x14ac:dyDescent="0.35">
      <c r="A473" s="10" t="s">
        <v>8242</v>
      </c>
      <c r="B473" s="10" t="str">
        <f>"9780415339827"</f>
        <v>9780415339827</v>
      </c>
      <c r="C473" s="10" t="str">
        <f>"9780203461877"</f>
        <v>9780203461877</v>
      </c>
      <c r="D473" s="10" t="s">
        <v>6350</v>
      </c>
      <c r="E473" s="10" t="s">
        <v>6351</v>
      </c>
      <c r="F473" s="10" t="s">
        <v>139</v>
      </c>
      <c r="G473" s="10" t="s">
        <v>6317</v>
      </c>
      <c r="H473" s="11">
        <v>38224</v>
      </c>
      <c r="I473" s="10">
        <v>2004</v>
      </c>
      <c r="J473" s="10" t="s">
        <v>6353</v>
      </c>
      <c r="K473" s="10">
        <v>257</v>
      </c>
      <c r="L473" s="10" t="s">
        <v>8243</v>
      </c>
      <c r="M473" s="10">
        <v>1</v>
      </c>
      <c r="N473" s="10"/>
      <c r="O473" s="10"/>
      <c r="P473" s="10" t="s">
        <v>8244</v>
      </c>
      <c r="Q473" s="10">
        <v>306.43</v>
      </c>
      <c r="R473" s="10" t="s">
        <v>8245</v>
      </c>
      <c r="S473" s="10" t="s">
        <v>53</v>
      </c>
      <c r="T473" s="10" t="s">
        <v>6472</v>
      </c>
    </row>
    <row r="474" spans="1:20" ht="14.5" x14ac:dyDescent="0.35">
      <c r="A474" s="10" t="s">
        <v>8246</v>
      </c>
      <c r="B474" s="10" t="str">
        <f>"9780415947046"</f>
        <v>9780415947046</v>
      </c>
      <c r="C474" s="10" t="str">
        <f>"9780203465639"</f>
        <v>9780203465639</v>
      </c>
      <c r="D474" s="10" t="s">
        <v>6350</v>
      </c>
      <c r="E474" s="10" t="s">
        <v>6351</v>
      </c>
      <c r="F474" s="10" t="s">
        <v>139</v>
      </c>
      <c r="G474" s="10" t="s">
        <v>6352</v>
      </c>
      <c r="H474" s="11">
        <v>37881</v>
      </c>
      <c r="I474" s="10">
        <v>2003</v>
      </c>
      <c r="J474" s="10" t="s">
        <v>6353</v>
      </c>
      <c r="K474" s="10">
        <v>219</v>
      </c>
      <c r="L474" s="10" t="s">
        <v>8247</v>
      </c>
      <c r="M474" s="10">
        <v>1</v>
      </c>
      <c r="N474" s="10"/>
      <c r="O474" s="10"/>
      <c r="P474" s="10" t="s">
        <v>8248</v>
      </c>
      <c r="Q474" s="10" t="s">
        <v>7069</v>
      </c>
      <c r="R474" s="10" t="s">
        <v>8249</v>
      </c>
      <c r="S474" s="10" t="s">
        <v>53</v>
      </c>
      <c r="T474" s="10" t="s">
        <v>54</v>
      </c>
    </row>
    <row r="475" spans="1:20" ht="14.5" x14ac:dyDescent="0.35">
      <c r="A475" s="10" t="s">
        <v>8250</v>
      </c>
      <c r="B475" s="10" t="str">
        <f>"9780415342780"</f>
        <v>9780415342780</v>
      </c>
      <c r="C475" s="10" t="str">
        <f>"9780203307298"</f>
        <v>9780203307298</v>
      </c>
      <c r="D475" s="10" t="s">
        <v>6350</v>
      </c>
      <c r="E475" s="10" t="s">
        <v>6351</v>
      </c>
      <c r="F475" s="10" t="s">
        <v>7115</v>
      </c>
      <c r="G475" s="10" t="s">
        <v>6317</v>
      </c>
      <c r="H475" s="11">
        <v>38344</v>
      </c>
      <c r="I475" s="10">
        <v>2004</v>
      </c>
      <c r="J475" s="10" t="s">
        <v>6353</v>
      </c>
      <c r="K475" s="10">
        <v>145</v>
      </c>
      <c r="L475" s="10" t="s">
        <v>8251</v>
      </c>
      <c r="M475" s="10">
        <v>2</v>
      </c>
      <c r="N475" s="10"/>
      <c r="O475" s="10"/>
      <c r="P475" s="10" t="s">
        <v>8252</v>
      </c>
      <c r="Q475" s="10">
        <v>378.125</v>
      </c>
      <c r="R475" s="10" t="s">
        <v>8253</v>
      </c>
      <c r="S475" s="10" t="s">
        <v>53</v>
      </c>
      <c r="T475" s="10" t="s">
        <v>54</v>
      </c>
    </row>
    <row r="476" spans="1:20" ht="14.5" x14ac:dyDescent="0.35">
      <c r="A476" s="10" t="s">
        <v>8254</v>
      </c>
      <c r="B476" s="10" t="str">
        <f>"9780415948395"</f>
        <v>9780415948395</v>
      </c>
      <c r="C476" s="10" t="str">
        <f>"9780203337042"</f>
        <v>9780203337042</v>
      </c>
      <c r="D476" s="10" t="s">
        <v>6350</v>
      </c>
      <c r="E476" s="10" t="s">
        <v>6351</v>
      </c>
      <c r="F476" s="10" t="s">
        <v>748</v>
      </c>
      <c r="G476" s="10" t="s">
        <v>6352</v>
      </c>
      <c r="H476" s="11">
        <v>38167</v>
      </c>
      <c r="I476" s="10">
        <v>2004</v>
      </c>
      <c r="J476" s="10" t="s">
        <v>6351</v>
      </c>
      <c r="K476" s="10">
        <v>216</v>
      </c>
      <c r="L476" s="10" t="s">
        <v>8255</v>
      </c>
      <c r="M476" s="10">
        <v>1</v>
      </c>
      <c r="N476" s="10" t="s">
        <v>8256</v>
      </c>
      <c r="O476" s="10"/>
      <c r="P476" s="10" t="s">
        <v>8257</v>
      </c>
      <c r="Q476" s="10">
        <v>370.11500000000001</v>
      </c>
      <c r="R476" s="10" t="s">
        <v>8258</v>
      </c>
      <c r="S476" s="10" t="s">
        <v>53</v>
      </c>
      <c r="T476" s="10" t="s">
        <v>54</v>
      </c>
    </row>
    <row r="477" spans="1:20" ht="14.5" x14ac:dyDescent="0.35">
      <c r="A477" s="10" t="s">
        <v>8259</v>
      </c>
      <c r="B477" s="10" t="str">
        <f>"9780415948807"</f>
        <v>9780415948807</v>
      </c>
      <c r="C477" s="10" t="str">
        <f>"9780203340363"</f>
        <v>9780203340363</v>
      </c>
      <c r="D477" s="10" t="s">
        <v>6350</v>
      </c>
      <c r="E477" s="10" t="s">
        <v>6351</v>
      </c>
      <c r="F477" s="10" t="s">
        <v>7115</v>
      </c>
      <c r="G477" s="10" t="s">
        <v>6317</v>
      </c>
      <c r="H477" s="11">
        <v>38214</v>
      </c>
      <c r="I477" s="10">
        <v>2004</v>
      </c>
      <c r="J477" s="10" t="s">
        <v>6353</v>
      </c>
      <c r="K477" s="10">
        <v>184</v>
      </c>
      <c r="L477" s="10" t="s">
        <v>8260</v>
      </c>
      <c r="M477" s="10">
        <v>1</v>
      </c>
      <c r="N477" s="10" t="s">
        <v>7363</v>
      </c>
      <c r="O477" s="10"/>
      <c r="P477" s="10" t="s">
        <v>8261</v>
      </c>
      <c r="Q477" s="10">
        <v>378.4</v>
      </c>
      <c r="R477" s="10" t="s">
        <v>8262</v>
      </c>
      <c r="S477" s="10" t="s">
        <v>53</v>
      </c>
      <c r="T477" s="10" t="s">
        <v>54</v>
      </c>
    </row>
    <row r="478" spans="1:20" ht="14.5" x14ac:dyDescent="0.35">
      <c r="A478" s="10" t="s">
        <v>8263</v>
      </c>
      <c r="B478" s="10" t="str">
        <f>"9780415948906"</f>
        <v>9780415948906</v>
      </c>
      <c r="C478" s="10" t="str">
        <f>"9780203339985"</f>
        <v>9780203339985</v>
      </c>
      <c r="D478" s="10" t="s">
        <v>6350</v>
      </c>
      <c r="E478" s="10" t="s">
        <v>6351</v>
      </c>
      <c r="F478" s="10" t="s">
        <v>139</v>
      </c>
      <c r="G478" s="10" t="s">
        <v>6352</v>
      </c>
      <c r="H478" s="11">
        <v>38200</v>
      </c>
      <c r="I478" s="10">
        <v>2004</v>
      </c>
      <c r="J478" s="10" t="s">
        <v>6353</v>
      </c>
      <c r="K478" s="10">
        <v>357</v>
      </c>
      <c r="L478" s="10" t="s">
        <v>8264</v>
      </c>
      <c r="M478" s="10">
        <v>3</v>
      </c>
      <c r="N478" s="10"/>
      <c r="O478" s="10"/>
      <c r="P478" s="10" t="s">
        <v>8265</v>
      </c>
      <c r="Q478" s="10" t="s">
        <v>8266</v>
      </c>
      <c r="R478" s="10" t="s">
        <v>8267</v>
      </c>
      <c r="S478" s="10" t="s">
        <v>53</v>
      </c>
      <c r="T478" s="10" t="s">
        <v>54</v>
      </c>
    </row>
    <row r="479" spans="1:20" ht="14.5" x14ac:dyDescent="0.35">
      <c r="A479" s="10" t="s">
        <v>8268</v>
      </c>
      <c r="B479" s="10" t="str">
        <f>"9780415949262"</f>
        <v>9780415949262</v>
      </c>
      <c r="C479" s="10" t="str">
        <f>"9780203339763"</f>
        <v>9780203339763</v>
      </c>
      <c r="D479" s="10" t="s">
        <v>6350</v>
      </c>
      <c r="E479" s="10" t="s">
        <v>6351</v>
      </c>
      <c r="F479" s="10" t="s">
        <v>7115</v>
      </c>
      <c r="G479" s="10" t="s">
        <v>6317</v>
      </c>
      <c r="H479" s="11">
        <v>38135</v>
      </c>
      <c r="I479" s="10">
        <v>2004</v>
      </c>
      <c r="J479" s="10" t="s">
        <v>6353</v>
      </c>
      <c r="K479" s="10">
        <v>162</v>
      </c>
      <c r="L479" s="10" t="s">
        <v>8269</v>
      </c>
      <c r="M479" s="10">
        <v>1</v>
      </c>
      <c r="N479" s="10" t="s">
        <v>7363</v>
      </c>
      <c r="O479" s="10"/>
      <c r="P479" s="10" t="s">
        <v>8270</v>
      </c>
      <c r="Q479" s="10">
        <v>370.11700000000002</v>
      </c>
      <c r="R479" s="10" t="s">
        <v>8271</v>
      </c>
      <c r="S479" s="10" t="s">
        <v>53</v>
      </c>
      <c r="T479" s="10" t="s">
        <v>54</v>
      </c>
    </row>
    <row r="480" spans="1:20" ht="14.5" x14ac:dyDescent="0.35">
      <c r="A480" s="10" t="s">
        <v>8272</v>
      </c>
      <c r="B480" s="10" t="str">
        <f>"9780415949330"</f>
        <v>9780415949330</v>
      </c>
      <c r="C480" s="10" t="str">
        <f>"9780203327531"</f>
        <v>9780203327531</v>
      </c>
      <c r="D480" s="10" t="s">
        <v>6350</v>
      </c>
      <c r="E480" s="10" t="s">
        <v>6351</v>
      </c>
      <c r="F480" s="10" t="s">
        <v>748</v>
      </c>
      <c r="G480" s="10" t="s">
        <v>6352</v>
      </c>
      <c r="H480" s="11">
        <v>38210</v>
      </c>
      <c r="I480" s="10">
        <v>2005</v>
      </c>
      <c r="J480" s="10" t="s">
        <v>6351</v>
      </c>
      <c r="K480" s="10">
        <v>236</v>
      </c>
      <c r="L480" s="10" t="s">
        <v>8273</v>
      </c>
      <c r="M480" s="10">
        <v>1</v>
      </c>
      <c r="N480" s="10" t="s">
        <v>7358</v>
      </c>
      <c r="O480" s="10"/>
      <c r="P480" s="10" t="s">
        <v>8274</v>
      </c>
      <c r="Q480" s="10" t="s">
        <v>8275</v>
      </c>
      <c r="R480" s="10" t="s">
        <v>8276</v>
      </c>
      <c r="S480" s="10" t="s">
        <v>53</v>
      </c>
      <c r="T480" s="10" t="s">
        <v>54</v>
      </c>
    </row>
    <row r="481" spans="1:20" ht="14.5" x14ac:dyDescent="0.35">
      <c r="A481" s="10" t="s">
        <v>8277</v>
      </c>
      <c r="B481" s="10" t="str">
        <f>"9780415949477"</f>
        <v>9780415949477</v>
      </c>
      <c r="C481" s="10" t="str">
        <f>"9780203307717"</f>
        <v>9780203307717</v>
      </c>
      <c r="D481" s="10" t="s">
        <v>6350</v>
      </c>
      <c r="E481" s="10" t="s">
        <v>6351</v>
      </c>
      <c r="F481" s="10" t="s">
        <v>139</v>
      </c>
      <c r="G481" s="10" t="s">
        <v>6352</v>
      </c>
      <c r="H481" s="11">
        <v>38078</v>
      </c>
      <c r="I481" s="10">
        <v>2004</v>
      </c>
      <c r="J481" s="10" t="s">
        <v>6353</v>
      </c>
      <c r="K481" s="10">
        <v>166</v>
      </c>
      <c r="L481" s="10" t="s">
        <v>8278</v>
      </c>
      <c r="M481" s="10">
        <v>1</v>
      </c>
      <c r="N481" s="10"/>
      <c r="O481" s="10"/>
      <c r="P481" s="10" t="s">
        <v>8279</v>
      </c>
      <c r="Q481" s="10">
        <v>379.73</v>
      </c>
      <c r="R481" s="10" t="s">
        <v>8063</v>
      </c>
      <c r="S481" s="10" t="s">
        <v>53</v>
      </c>
      <c r="T481" s="10" t="s">
        <v>54</v>
      </c>
    </row>
    <row r="482" spans="1:20" ht="14.5" x14ac:dyDescent="0.35">
      <c r="A482" s="10" t="s">
        <v>8280</v>
      </c>
      <c r="B482" s="10" t="str">
        <f>"9780415949705"</f>
        <v>9780415949705</v>
      </c>
      <c r="C482" s="10" t="str">
        <f>"9780203338247"</f>
        <v>9780203338247</v>
      </c>
      <c r="D482" s="10" t="s">
        <v>6350</v>
      </c>
      <c r="E482" s="10" t="s">
        <v>6351</v>
      </c>
      <c r="F482" s="10" t="s">
        <v>139</v>
      </c>
      <c r="G482" s="10" t="s">
        <v>6352</v>
      </c>
      <c r="H482" s="11">
        <v>38250</v>
      </c>
      <c r="I482" s="10">
        <v>2004</v>
      </c>
      <c r="J482" s="10" t="s">
        <v>6353</v>
      </c>
      <c r="K482" s="10">
        <v>206</v>
      </c>
      <c r="L482" s="10" t="s">
        <v>8281</v>
      </c>
      <c r="M482" s="10">
        <v>1</v>
      </c>
      <c r="N482" s="10" t="s">
        <v>8282</v>
      </c>
      <c r="O482" s="10"/>
      <c r="P482" s="10" t="s">
        <v>8283</v>
      </c>
      <c r="Q482" s="10" t="s">
        <v>8284</v>
      </c>
      <c r="R482" s="10" t="s">
        <v>8285</v>
      </c>
      <c r="S482" s="10" t="s">
        <v>53</v>
      </c>
      <c r="T482" s="10" t="s">
        <v>54</v>
      </c>
    </row>
    <row r="483" spans="1:20" ht="14.5" x14ac:dyDescent="0.35">
      <c r="A483" s="10" t="s">
        <v>8286</v>
      </c>
      <c r="B483" s="10" t="str">
        <f>"9780415966603"</f>
        <v>9780415966603</v>
      </c>
      <c r="C483" s="10" t="str">
        <f>"9780203338803"</f>
        <v>9780203338803</v>
      </c>
      <c r="D483" s="10" t="s">
        <v>6350</v>
      </c>
      <c r="E483" s="10" t="s">
        <v>6351</v>
      </c>
      <c r="F483" s="10" t="s">
        <v>139</v>
      </c>
      <c r="G483" s="10" t="s">
        <v>6352</v>
      </c>
      <c r="H483" s="11">
        <v>38245</v>
      </c>
      <c r="I483" s="10">
        <v>2005</v>
      </c>
      <c r="J483" s="10" t="s">
        <v>6353</v>
      </c>
      <c r="K483" s="10">
        <v>235</v>
      </c>
      <c r="L483" s="10" t="s">
        <v>8287</v>
      </c>
      <c r="M483" s="10">
        <v>1</v>
      </c>
      <c r="N483" s="10"/>
      <c r="O483" s="10"/>
      <c r="P483" s="10" t="s">
        <v>8288</v>
      </c>
      <c r="Q483" s="10" t="s">
        <v>8289</v>
      </c>
      <c r="R483" s="10" t="s">
        <v>8290</v>
      </c>
      <c r="S483" s="10" t="s">
        <v>53</v>
      </c>
      <c r="T483" s="10" t="s">
        <v>54</v>
      </c>
    </row>
    <row r="484" spans="1:20" ht="14.5" x14ac:dyDescent="0.35">
      <c r="A484" s="10" t="s">
        <v>8291</v>
      </c>
      <c r="B484" s="10" t="str">
        <f>"9780415971577"</f>
        <v>9780415971577</v>
      </c>
      <c r="C484" s="10" t="str">
        <f>"9780203324677"</f>
        <v>9780203324677</v>
      </c>
      <c r="D484" s="10" t="s">
        <v>6350</v>
      </c>
      <c r="E484" s="10" t="s">
        <v>6351</v>
      </c>
      <c r="F484" s="10" t="s">
        <v>3967</v>
      </c>
      <c r="G484" s="10" t="s">
        <v>6352</v>
      </c>
      <c r="H484" s="11">
        <v>38213</v>
      </c>
      <c r="I484" s="10">
        <v>2004</v>
      </c>
      <c r="J484" s="10" t="s">
        <v>6353</v>
      </c>
      <c r="K484" s="10">
        <v>242</v>
      </c>
      <c r="L484" s="10" t="s">
        <v>8292</v>
      </c>
      <c r="M484" s="10">
        <v>1</v>
      </c>
      <c r="N484" s="10"/>
      <c r="O484" s="10"/>
      <c r="P484" s="10" t="s">
        <v>8293</v>
      </c>
      <c r="Q484" s="10">
        <v>370.11500000000001</v>
      </c>
      <c r="R484" s="10" t="s">
        <v>8294</v>
      </c>
      <c r="S484" s="10" t="s">
        <v>53</v>
      </c>
      <c r="T484" s="10" t="s">
        <v>54</v>
      </c>
    </row>
    <row r="485" spans="1:20" ht="14.5" x14ac:dyDescent="0.35">
      <c r="A485" s="10" t="s">
        <v>8295</v>
      </c>
      <c r="B485" s="10" t="str">
        <f>"9780415322393"</f>
        <v>9780415322393</v>
      </c>
      <c r="C485" s="10" t="str">
        <f>"9780203300237"</f>
        <v>9780203300237</v>
      </c>
      <c r="D485" s="10" t="s">
        <v>6350</v>
      </c>
      <c r="E485" s="10" t="s">
        <v>6351</v>
      </c>
      <c r="F485" s="10" t="s">
        <v>7115</v>
      </c>
      <c r="G485" s="10" t="s">
        <v>6317</v>
      </c>
      <c r="H485" s="11">
        <v>38258</v>
      </c>
      <c r="I485" s="10">
        <v>2004</v>
      </c>
      <c r="J485" s="10" t="s">
        <v>6353</v>
      </c>
      <c r="K485" s="10">
        <v>272</v>
      </c>
      <c r="L485" s="10" t="s">
        <v>8296</v>
      </c>
      <c r="M485" s="10">
        <v>1</v>
      </c>
      <c r="N485" s="10" t="s">
        <v>8297</v>
      </c>
      <c r="O485" s="10"/>
      <c r="P485" s="10" t="s">
        <v>8298</v>
      </c>
      <c r="Q485" s="10" t="s">
        <v>8299</v>
      </c>
      <c r="R485" s="10" t="s">
        <v>8300</v>
      </c>
      <c r="S485" s="10" t="s">
        <v>53</v>
      </c>
      <c r="T485" s="10" t="s">
        <v>6472</v>
      </c>
    </row>
    <row r="486" spans="1:20" ht="14.5" x14ac:dyDescent="0.35">
      <c r="A486" s="10" t="s">
        <v>8301</v>
      </c>
      <c r="B486" s="10" t="str">
        <f>"9780415344333"</f>
        <v>9780415344333</v>
      </c>
      <c r="C486" s="10" t="str">
        <f>"9780203488423"</f>
        <v>9780203488423</v>
      </c>
      <c r="D486" s="10" t="s">
        <v>6350</v>
      </c>
      <c r="E486" s="10" t="s">
        <v>6351</v>
      </c>
      <c r="F486" s="10" t="s">
        <v>139</v>
      </c>
      <c r="G486" s="10" t="s">
        <v>6317</v>
      </c>
      <c r="H486" s="11">
        <v>38286</v>
      </c>
      <c r="I486" s="10">
        <v>2004</v>
      </c>
      <c r="J486" s="10" t="s">
        <v>6353</v>
      </c>
      <c r="K486" s="10">
        <v>169</v>
      </c>
      <c r="L486" s="10" t="s">
        <v>8302</v>
      </c>
      <c r="M486" s="10">
        <v>1</v>
      </c>
      <c r="N486" s="10"/>
      <c r="O486" s="10"/>
      <c r="P486" s="10" t="s">
        <v>8303</v>
      </c>
      <c r="Q486" s="10" t="s">
        <v>8304</v>
      </c>
      <c r="R486" s="10" t="s">
        <v>8305</v>
      </c>
      <c r="S486" s="10" t="s">
        <v>53</v>
      </c>
      <c r="T486" s="10" t="s">
        <v>54</v>
      </c>
    </row>
    <row r="487" spans="1:20" ht="14.5" x14ac:dyDescent="0.35">
      <c r="A487" s="10" t="s">
        <v>8306</v>
      </c>
      <c r="B487" s="10" t="str">
        <f>"9780415344630"</f>
        <v>9780415344630</v>
      </c>
      <c r="C487" s="10" t="str">
        <f>"9780203501009"</f>
        <v>9780203501009</v>
      </c>
      <c r="D487" s="10" t="s">
        <v>6350</v>
      </c>
      <c r="E487" s="10" t="s">
        <v>6351</v>
      </c>
      <c r="F487" s="10" t="s">
        <v>748</v>
      </c>
      <c r="G487" s="10" t="s">
        <v>6352</v>
      </c>
      <c r="H487" s="11">
        <v>38359</v>
      </c>
      <c r="I487" s="10">
        <v>2005</v>
      </c>
      <c r="J487" s="10" t="s">
        <v>6351</v>
      </c>
      <c r="K487" s="10">
        <v>97</v>
      </c>
      <c r="L487" s="10" t="s">
        <v>6622</v>
      </c>
      <c r="M487" s="10">
        <v>1</v>
      </c>
      <c r="N487" s="10"/>
      <c r="O487" s="10"/>
      <c r="P487" s="10" t="s">
        <v>8307</v>
      </c>
      <c r="Q487" s="10">
        <v>372.11020940999998</v>
      </c>
      <c r="R487" s="10" t="s">
        <v>8308</v>
      </c>
      <c r="S487" s="10" t="s">
        <v>53</v>
      </c>
      <c r="T487" s="10" t="s">
        <v>6472</v>
      </c>
    </row>
    <row r="488" spans="1:20" ht="14.5" x14ac:dyDescent="0.35">
      <c r="A488" s="10" t="s">
        <v>8309</v>
      </c>
      <c r="B488" s="10" t="str">
        <f>"9780415947657"</f>
        <v>9780415947657</v>
      </c>
      <c r="C488" s="10" t="str">
        <f>"9780203489178"</f>
        <v>9780203489178</v>
      </c>
      <c r="D488" s="10" t="s">
        <v>6350</v>
      </c>
      <c r="E488" s="10" t="s">
        <v>6351</v>
      </c>
      <c r="F488" s="10" t="s">
        <v>5406</v>
      </c>
      <c r="G488" s="10" t="s">
        <v>6317</v>
      </c>
      <c r="H488" s="11">
        <v>37956</v>
      </c>
      <c r="I488" s="10">
        <v>2004</v>
      </c>
      <c r="J488" s="10" t="s">
        <v>6353</v>
      </c>
      <c r="K488" s="10">
        <v>208</v>
      </c>
      <c r="L488" s="10" t="s">
        <v>8310</v>
      </c>
      <c r="M488" s="10">
        <v>1</v>
      </c>
      <c r="N488" s="10" t="s">
        <v>8311</v>
      </c>
      <c r="O488" s="10"/>
      <c r="P488" s="10" t="s">
        <v>8312</v>
      </c>
      <c r="Q488" s="10" t="s">
        <v>8313</v>
      </c>
      <c r="R488" s="10" t="s">
        <v>8314</v>
      </c>
      <c r="S488" s="10" t="s">
        <v>53</v>
      </c>
      <c r="T488" s="10" t="s">
        <v>54</v>
      </c>
    </row>
    <row r="489" spans="1:20" ht="14.5" x14ac:dyDescent="0.35">
      <c r="A489" s="10" t="s">
        <v>8315</v>
      </c>
      <c r="B489" s="10" t="str">
        <f>"9780415278225"</f>
        <v>9780415278225</v>
      </c>
      <c r="C489" s="10" t="str">
        <f>"9780203006429"</f>
        <v>9780203006429</v>
      </c>
      <c r="D489" s="10" t="s">
        <v>6350</v>
      </c>
      <c r="E489" s="10" t="s">
        <v>6351</v>
      </c>
      <c r="F489" s="10" t="s">
        <v>139</v>
      </c>
      <c r="G489" s="10" t="s">
        <v>6317</v>
      </c>
      <c r="H489" s="11">
        <v>37587</v>
      </c>
      <c r="I489" s="10">
        <v>2002</v>
      </c>
      <c r="J489" s="10" t="s">
        <v>6353</v>
      </c>
      <c r="K489" s="10">
        <v>385</v>
      </c>
      <c r="L489" s="10" t="s">
        <v>8316</v>
      </c>
      <c r="M489" s="10">
        <v>1</v>
      </c>
      <c r="N489" s="10"/>
      <c r="O489" s="10"/>
      <c r="P489" s="10" t="s">
        <v>8317</v>
      </c>
      <c r="Q489" s="10">
        <v>371.78209399999997</v>
      </c>
      <c r="R489" s="10" t="s">
        <v>8318</v>
      </c>
      <c r="S489" s="10" t="s">
        <v>53</v>
      </c>
      <c r="T489" s="10" t="s">
        <v>54</v>
      </c>
    </row>
    <row r="490" spans="1:20" ht="14.5" x14ac:dyDescent="0.35">
      <c r="A490" s="10" t="s">
        <v>8319</v>
      </c>
      <c r="B490" s="10" t="str">
        <f>"9780415318860"</f>
        <v>9780415318860</v>
      </c>
      <c r="C490" s="10" t="str">
        <f>"9780203005910"</f>
        <v>9780203005910</v>
      </c>
      <c r="D490" s="10" t="s">
        <v>6350</v>
      </c>
      <c r="E490" s="10" t="s">
        <v>6351</v>
      </c>
      <c r="F490" s="10" t="s">
        <v>748</v>
      </c>
      <c r="G490" s="10" t="s">
        <v>6352</v>
      </c>
      <c r="H490" s="11">
        <v>38362</v>
      </c>
      <c r="I490" s="10">
        <v>2005</v>
      </c>
      <c r="J490" s="10" t="s">
        <v>6351</v>
      </c>
      <c r="K490" s="10">
        <v>233</v>
      </c>
      <c r="L490" s="10" t="s">
        <v>7008</v>
      </c>
      <c r="M490" s="10">
        <v>1</v>
      </c>
      <c r="N490" s="10"/>
      <c r="O490" s="10"/>
      <c r="P490" s="10" t="s">
        <v>8320</v>
      </c>
      <c r="Q490" s="10" t="s">
        <v>8321</v>
      </c>
      <c r="R490" s="10" t="s">
        <v>8322</v>
      </c>
      <c r="S490" s="10" t="s">
        <v>53</v>
      </c>
      <c r="T490" s="10" t="s">
        <v>54</v>
      </c>
    </row>
    <row r="491" spans="1:20" ht="14.5" x14ac:dyDescent="0.35">
      <c r="A491" s="10" t="s">
        <v>8323</v>
      </c>
      <c r="B491" s="10" t="str">
        <f>"9780750708463"</f>
        <v>9780750708463</v>
      </c>
      <c r="C491" s="10" t="str">
        <f>"9780203346945"</f>
        <v>9780203346945</v>
      </c>
      <c r="D491" s="10" t="s">
        <v>6350</v>
      </c>
      <c r="E491" s="10" t="s">
        <v>6351</v>
      </c>
      <c r="F491" s="10" t="s">
        <v>139</v>
      </c>
      <c r="G491" s="10" t="s">
        <v>6352</v>
      </c>
      <c r="H491" s="11">
        <v>36020</v>
      </c>
      <c r="I491" s="10">
        <v>1998</v>
      </c>
      <c r="J491" s="10" t="s">
        <v>6353</v>
      </c>
      <c r="K491" s="10">
        <v>249</v>
      </c>
      <c r="L491" s="10" t="s">
        <v>8324</v>
      </c>
      <c r="M491" s="10">
        <v>1</v>
      </c>
      <c r="N491" s="10"/>
      <c r="O491" s="10"/>
      <c r="P491" s="10" t="s">
        <v>8325</v>
      </c>
      <c r="Q491" s="10">
        <v>372</v>
      </c>
      <c r="R491" s="10" t="s">
        <v>6547</v>
      </c>
      <c r="S491" s="10" t="s">
        <v>53</v>
      </c>
      <c r="T491" s="10" t="s">
        <v>54</v>
      </c>
    </row>
    <row r="492" spans="1:20" ht="14.5" x14ac:dyDescent="0.35">
      <c r="A492" s="10" t="s">
        <v>8326</v>
      </c>
      <c r="B492" s="10" t="str">
        <f>"9780521780452"</f>
        <v>9780521780452</v>
      </c>
      <c r="C492" s="10" t="str">
        <f>"9780511156175"</f>
        <v>9780511156175</v>
      </c>
      <c r="D492" s="10" t="s">
        <v>397</v>
      </c>
      <c r="E492" s="10" t="s">
        <v>397</v>
      </c>
      <c r="F492" s="10" t="s">
        <v>612</v>
      </c>
      <c r="G492" s="10" t="s">
        <v>6352</v>
      </c>
      <c r="H492" s="11">
        <v>36860</v>
      </c>
      <c r="I492" s="10">
        <v>2000</v>
      </c>
      <c r="J492" s="10" t="s">
        <v>397</v>
      </c>
      <c r="K492" s="10">
        <v>300</v>
      </c>
      <c r="L492" s="10" t="s">
        <v>8327</v>
      </c>
      <c r="M492" s="10">
        <v>1</v>
      </c>
      <c r="N492" s="10"/>
      <c r="O492" s="10"/>
      <c r="P492" s="10" t="s">
        <v>8328</v>
      </c>
      <c r="Q492" s="10" t="s">
        <v>8329</v>
      </c>
      <c r="R492" s="10" t="s">
        <v>8330</v>
      </c>
      <c r="S492" s="10" t="s">
        <v>53</v>
      </c>
      <c r="T492" s="10" t="s">
        <v>6616</v>
      </c>
    </row>
    <row r="493" spans="1:20" ht="14.5" x14ac:dyDescent="0.35">
      <c r="A493" s="10" t="s">
        <v>8331</v>
      </c>
      <c r="B493" s="10" t="str">
        <f>"9780521783156"</f>
        <v>9780521783156</v>
      </c>
      <c r="C493" s="10" t="str">
        <f>"9780511153952"</f>
        <v>9780511153952</v>
      </c>
      <c r="D493" s="10" t="s">
        <v>397</v>
      </c>
      <c r="E493" s="10" t="s">
        <v>397</v>
      </c>
      <c r="F493" s="10" t="s">
        <v>612</v>
      </c>
      <c r="G493" s="10" t="s">
        <v>6352</v>
      </c>
      <c r="H493" s="11">
        <v>37039</v>
      </c>
      <c r="I493" s="10">
        <v>2001</v>
      </c>
      <c r="J493" s="10" t="s">
        <v>397</v>
      </c>
      <c r="K493" s="10">
        <v>272</v>
      </c>
      <c r="L493" s="10" t="s">
        <v>8332</v>
      </c>
      <c r="M493" s="10">
        <v>1</v>
      </c>
      <c r="N493" s="10"/>
      <c r="O493" s="10"/>
      <c r="P493" s="10" t="s">
        <v>8333</v>
      </c>
      <c r="Q493" s="10">
        <v>302.2244</v>
      </c>
      <c r="R493" s="10" t="s">
        <v>8334</v>
      </c>
      <c r="S493" s="10" t="s">
        <v>53</v>
      </c>
      <c r="T493" s="10" t="s">
        <v>6526</v>
      </c>
    </row>
    <row r="494" spans="1:20" ht="14.5" x14ac:dyDescent="0.35">
      <c r="A494" s="10" t="s">
        <v>8335</v>
      </c>
      <c r="B494" s="10" t="str">
        <f>"9780521593083"</f>
        <v>9780521593083</v>
      </c>
      <c r="C494" s="10" t="str">
        <f>"9780511152016"</f>
        <v>9780511152016</v>
      </c>
      <c r="D494" s="10" t="s">
        <v>397</v>
      </c>
      <c r="E494" s="10" t="s">
        <v>397</v>
      </c>
      <c r="F494" s="10" t="s">
        <v>612</v>
      </c>
      <c r="G494" s="10" t="s">
        <v>6352</v>
      </c>
      <c r="H494" s="11">
        <v>36559</v>
      </c>
      <c r="I494" s="10">
        <v>2000</v>
      </c>
      <c r="J494" s="10" t="s">
        <v>397</v>
      </c>
      <c r="K494" s="10">
        <v>142</v>
      </c>
      <c r="L494" s="10" t="s">
        <v>6834</v>
      </c>
      <c r="M494" s="10">
        <v>1</v>
      </c>
      <c r="N494" s="10" t="s">
        <v>8336</v>
      </c>
      <c r="O494" s="10" t="s">
        <v>8337</v>
      </c>
      <c r="P494" s="10" t="s">
        <v>8338</v>
      </c>
      <c r="Q494" s="10">
        <v>370.15230000000003</v>
      </c>
      <c r="R494" s="10" t="s">
        <v>8339</v>
      </c>
      <c r="S494" s="10" t="s">
        <v>53</v>
      </c>
      <c r="T494" s="10" t="s">
        <v>54</v>
      </c>
    </row>
    <row r="495" spans="1:20" ht="14.5" x14ac:dyDescent="0.35">
      <c r="A495" s="10" t="s">
        <v>8340</v>
      </c>
      <c r="B495" s="10" t="str">
        <f>"9780521432863"</f>
        <v>9780521432863</v>
      </c>
      <c r="C495" s="10" t="str">
        <f>"9780511151484"</f>
        <v>9780511151484</v>
      </c>
      <c r="D495" s="10" t="s">
        <v>397</v>
      </c>
      <c r="E495" s="10" t="s">
        <v>397</v>
      </c>
      <c r="F495" s="10" t="s">
        <v>612</v>
      </c>
      <c r="G495" s="10" t="s">
        <v>6352</v>
      </c>
      <c r="H495" s="11">
        <v>36745</v>
      </c>
      <c r="I495" s="10">
        <v>2000</v>
      </c>
      <c r="J495" s="10" t="s">
        <v>397</v>
      </c>
      <c r="K495" s="10">
        <v>271</v>
      </c>
      <c r="L495" s="10" t="s">
        <v>8341</v>
      </c>
      <c r="M495" s="10">
        <v>1</v>
      </c>
      <c r="N495" s="10" t="s">
        <v>8342</v>
      </c>
      <c r="O495" s="10" t="s">
        <v>8343</v>
      </c>
      <c r="P495" s="10" t="s">
        <v>8344</v>
      </c>
      <c r="Q495" s="10">
        <v>261.83199999999999</v>
      </c>
      <c r="R495" s="10" t="s">
        <v>8345</v>
      </c>
      <c r="S495" s="10" t="s">
        <v>53</v>
      </c>
      <c r="T495" s="10" t="s">
        <v>8346</v>
      </c>
    </row>
    <row r="496" spans="1:20" ht="14.5" x14ac:dyDescent="0.35">
      <c r="A496" s="10" t="s">
        <v>8347</v>
      </c>
      <c r="B496" s="10" t="str">
        <f>"9780521631334"</f>
        <v>9780521631334</v>
      </c>
      <c r="C496" s="10" t="str">
        <f>"9780511151941"</f>
        <v>9780511151941</v>
      </c>
      <c r="D496" s="10" t="s">
        <v>397</v>
      </c>
      <c r="E496" s="10" t="s">
        <v>397</v>
      </c>
      <c r="F496" s="10" t="s">
        <v>612</v>
      </c>
      <c r="G496" s="10" t="s">
        <v>6352</v>
      </c>
      <c r="H496" s="11">
        <v>36400</v>
      </c>
      <c r="I496" s="10">
        <v>1999</v>
      </c>
      <c r="J496" s="10" t="s">
        <v>397</v>
      </c>
      <c r="K496" s="10">
        <v>392</v>
      </c>
      <c r="L496" s="10" t="s">
        <v>8348</v>
      </c>
      <c r="M496" s="10">
        <v>1</v>
      </c>
      <c r="N496" s="10" t="s">
        <v>8349</v>
      </c>
      <c r="O496" s="10"/>
      <c r="P496" s="10" t="s">
        <v>8350</v>
      </c>
      <c r="Q496" s="10">
        <v>370.15230000000003</v>
      </c>
      <c r="R496" s="10" t="s">
        <v>6832</v>
      </c>
      <c r="S496" s="10" t="s">
        <v>53</v>
      </c>
      <c r="T496" s="10" t="s">
        <v>54</v>
      </c>
    </row>
    <row r="497" spans="1:20" ht="14.5" x14ac:dyDescent="0.35">
      <c r="A497" s="10" t="s">
        <v>8351</v>
      </c>
      <c r="B497" s="10" t="str">
        <f>"9780521652384"</f>
        <v>9780521652384</v>
      </c>
      <c r="C497" s="10" t="str">
        <f>"9780511153310"</f>
        <v>9780511153310</v>
      </c>
      <c r="D497" s="10" t="s">
        <v>397</v>
      </c>
      <c r="E497" s="10" t="s">
        <v>397</v>
      </c>
      <c r="F497" s="10" t="s">
        <v>612</v>
      </c>
      <c r="G497" s="10" t="s">
        <v>6352</v>
      </c>
      <c r="H497" s="11">
        <v>37098</v>
      </c>
      <c r="I497" s="10">
        <v>2001</v>
      </c>
      <c r="J497" s="10" t="s">
        <v>397</v>
      </c>
      <c r="K497" s="10">
        <v>259</v>
      </c>
      <c r="L497" s="10" t="s">
        <v>8352</v>
      </c>
      <c r="M497" s="10">
        <v>1</v>
      </c>
      <c r="N497" s="10" t="s">
        <v>8353</v>
      </c>
      <c r="O497" s="10" t="s">
        <v>8354</v>
      </c>
      <c r="P497" s="10" t="s">
        <v>8355</v>
      </c>
      <c r="Q497" s="10">
        <v>370.94200000000001</v>
      </c>
      <c r="R497" s="10" t="s">
        <v>8356</v>
      </c>
      <c r="S497" s="10" t="s">
        <v>53</v>
      </c>
      <c r="T497" s="10" t="s">
        <v>54</v>
      </c>
    </row>
    <row r="498" spans="1:20" ht="14.5" x14ac:dyDescent="0.35">
      <c r="A498" s="10" t="s">
        <v>8357</v>
      </c>
      <c r="B498" s="10" t="str">
        <f>"9780521401920"</f>
        <v>9780521401920</v>
      </c>
      <c r="C498" s="10" t="str">
        <f>"9780511154232"</f>
        <v>9780511154232</v>
      </c>
      <c r="D498" s="10" t="s">
        <v>397</v>
      </c>
      <c r="E498" s="10" t="s">
        <v>397</v>
      </c>
      <c r="F498" s="10" t="s">
        <v>612</v>
      </c>
      <c r="G498" s="10" t="s">
        <v>6352</v>
      </c>
      <c r="H498" s="11">
        <v>37154</v>
      </c>
      <c r="I498" s="10">
        <v>2001</v>
      </c>
      <c r="J498" s="10" t="s">
        <v>397</v>
      </c>
      <c r="K498" s="10">
        <v>507</v>
      </c>
      <c r="L498" s="10" t="s">
        <v>8358</v>
      </c>
      <c r="M498" s="10">
        <v>1</v>
      </c>
      <c r="N498" s="10"/>
      <c r="O498" s="10"/>
      <c r="P498" s="10" t="s">
        <v>8359</v>
      </c>
      <c r="Q498" s="10" t="s">
        <v>8360</v>
      </c>
      <c r="R498" s="10" t="s">
        <v>8361</v>
      </c>
      <c r="S498" s="10" t="s">
        <v>53</v>
      </c>
      <c r="T498" s="10" t="s">
        <v>6616</v>
      </c>
    </row>
    <row r="499" spans="1:20" ht="14.5" x14ac:dyDescent="0.35">
      <c r="A499" s="10" t="s">
        <v>8362</v>
      </c>
      <c r="B499" s="10" t="str">
        <f>"9780833030825"</f>
        <v>9780833030825</v>
      </c>
      <c r="C499" s="10" t="str">
        <f>"9780833033857"</f>
        <v>9780833033857</v>
      </c>
      <c r="D499" s="10" t="s">
        <v>8134</v>
      </c>
      <c r="E499" s="10" t="s">
        <v>8135</v>
      </c>
      <c r="F499" s="10" t="s">
        <v>8136</v>
      </c>
      <c r="G499" s="10" t="s">
        <v>6317</v>
      </c>
      <c r="H499" s="11">
        <v>37607</v>
      </c>
      <c r="I499" s="10">
        <v>2002</v>
      </c>
      <c r="J499" s="10" t="s">
        <v>8363</v>
      </c>
      <c r="K499" s="10">
        <v>199</v>
      </c>
      <c r="L499" s="10" t="s">
        <v>8364</v>
      </c>
      <c r="M499" s="10">
        <v>1</v>
      </c>
      <c r="N499" s="10"/>
      <c r="O499" s="10"/>
      <c r="P499" s="10" t="s">
        <v>8365</v>
      </c>
      <c r="Q499" s="10" t="s">
        <v>8366</v>
      </c>
      <c r="R499" s="10" t="s">
        <v>8367</v>
      </c>
      <c r="S499" s="10" t="s">
        <v>53</v>
      </c>
      <c r="T499" s="10" t="s">
        <v>8368</v>
      </c>
    </row>
    <row r="500" spans="1:20" ht="14.5" x14ac:dyDescent="0.35">
      <c r="A500" s="10" t="s">
        <v>8369</v>
      </c>
      <c r="B500" s="10" t="str">
        <f>"9780833033543"</f>
        <v>9780833033543</v>
      </c>
      <c r="C500" s="10" t="str">
        <f>"9780833034144"</f>
        <v>9780833034144</v>
      </c>
      <c r="D500" s="10" t="s">
        <v>8134</v>
      </c>
      <c r="E500" s="10" t="s">
        <v>8135</v>
      </c>
      <c r="F500" s="10" t="s">
        <v>8136</v>
      </c>
      <c r="G500" s="10" t="s">
        <v>6317</v>
      </c>
      <c r="H500" s="11">
        <v>37805</v>
      </c>
      <c r="I500" s="10">
        <v>2003</v>
      </c>
      <c r="J500" s="10" t="s">
        <v>8363</v>
      </c>
      <c r="K500" s="10">
        <v>313</v>
      </c>
      <c r="L500" s="10" t="s">
        <v>8370</v>
      </c>
      <c r="M500" s="10">
        <v>1</v>
      </c>
      <c r="N500" s="10"/>
      <c r="O500" s="10"/>
      <c r="P500" s="10" t="s">
        <v>8371</v>
      </c>
      <c r="Q500" s="10">
        <v>371.01</v>
      </c>
      <c r="R500" s="10" t="s">
        <v>8372</v>
      </c>
      <c r="S500" s="10" t="s">
        <v>53</v>
      </c>
      <c r="T500" s="10" t="s">
        <v>54</v>
      </c>
    </row>
    <row r="501" spans="1:20" ht="14.5" x14ac:dyDescent="0.35">
      <c r="A501" s="10" t="s">
        <v>8373</v>
      </c>
      <c r="B501" s="10" t="str">
        <f>"9780833031617"</f>
        <v>9780833031617</v>
      </c>
      <c r="C501" s="10" t="str">
        <f>"9780833033987"</f>
        <v>9780833033987</v>
      </c>
      <c r="D501" s="10" t="s">
        <v>8134</v>
      </c>
      <c r="E501" s="10" t="s">
        <v>8135</v>
      </c>
      <c r="F501" s="10" t="s">
        <v>8136</v>
      </c>
      <c r="G501" s="10" t="s">
        <v>6317</v>
      </c>
      <c r="H501" s="11">
        <v>37468</v>
      </c>
      <c r="I501" s="10">
        <v>2002</v>
      </c>
      <c r="J501" s="10" t="s">
        <v>8363</v>
      </c>
      <c r="K501" s="10">
        <v>193</v>
      </c>
      <c r="L501" s="10" t="s">
        <v>8374</v>
      </c>
      <c r="M501" s="10">
        <v>1</v>
      </c>
      <c r="N501" s="10"/>
      <c r="O501" s="10"/>
      <c r="P501" s="10" t="s">
        <v>8375</v>
      </c>
      <c r="Q501" s="10" t="s">
        <v>8376</v>
      </c>
      <c r="R501" s="10" t="s">
        <v>8377</v>
      </c>
      <c r="S501" s="10" t="s">
        <v>53</v>
      </c>
      <c r="T501" s="10" t="s">
        <v>54</v>
      </c>
    </row>
    <row r="502" spans="1:20" ht="14.5" x14ac:dyDescent="0.35">
      <c r="A502" s="10" t="s">
        <v>8378</v>
      </c>
      <c r="B502" s="10" t="str">
        <f>"9780833031341"</f>
        <v>9780833031341</v>
      </c>
      <c r="C502" s="10" t="str">
        <f>"9780833033833"</f>
        <v>9780833033833</v>
      </c>
      <c r="D502" s="10" t="s">
        <v>8134</v>
      </c>
      <c r="E502" s="10" t="s">
        <v>8135</v>
      </c>
      <c r="F502" s="10" t="s">
        <v>8136</v>
      </c>
      <c r="G502" s="10" t="s">
        <v>6317</v>
      </c>
      <c r="H502" s="11">
        <v>37427</v>
      </c>
      <c r="I502" s="10">
        <v>2002</v>
      </c>
      <c r="J502" s="10" t="s">
        <v>8363</v>
      </c>
      <c r="K502" s="10">
        <v>105</v>
      </c>
      <c r="L502" s="10" t="s">
        <v>8379</v>
      </c>
      <c r="M502" s="10">
        <v>1</v>
      </c>
      <c r="N502" s="10"/>
      <c r="O502" s="10"/>
      <c r="P502" s="10" t="s">
        <v>8380</v>
      </c>
      <c r="Q502" s="10" t="s">
        <v>8381</v>
      </c>
      <c r="R502" s="10" t="s">
        <v>8382</v>
      </c>
      <c r="S502" s="10" t="s">
        <v>53</v>
      </c>
      <c r="T502" s="10" t="s">
        <v>54</v>
      </c>
    </row>
    <row r="503" spans="1:20" ht="14.5" x14ac:dyDescent="0.35">
      <c r="A503" s="10" t="s">
        <v>8383</v>
      </c>
      <c r="B503" s="10" t="str">
        <f>"9780833030726"</f>
        <v>9780833030726</v>
      </c>
      <c r="C503" s="10" t="str">
        <f>"9780833033826"</f>
        <v>9780833033826</v>
      </c>
      <c r="D503" s="10" t="s">
        <v>8134</v>
      </c>
      <c r="E503" s="10" t="s">
        <v>8135</v>
      </c>
      <c r="F503" s="10" t="s">
        <v>8136</v>
      </c>
      <c r="G503" s="10" t="s">
        <v>6317</v>
      </c>
      <c r="H503" s="11">
        <v>37272</v>
      </c>
      <c r="I503" s="10">
        <v>2001</v>
      </c>
      <c r="J503" s="10" t="s">
        <v>8363</v>
      </c>
      <c r="K503" s="10">
        <v>127</v>
      </c>
      <c r="L503" s="10" t="s">
        <v>8384</v>
      </c>
      <c r="M503" s="10">
        <v>1</v>
      </c>
      <c r="N503" s="10"/>
      <c r="O503" s="10"/>
      <c r="P503" s="10" t="s">
        <v>8385</v>
      </c>
      <c r="Q503" s="10" t="s">
        <v>8386</v>
      </c>
      <c r="R503" s="10" t="s">
        <v>8387</v>
      </c>
      <c r="S503" s="10" t="s">
        <v>53</v>
      </c>
      <c r="T503" s="10" t="s">
        <v>6363</v>
      </c>
    </row>
    <row r="504" spans="1:20" ht="14.5" x14ac:dyDescent="0.35">
      <c r="A504" s="10" t="s">
        <v>8388</v>
      </c>
      <c r="B504" s="10" t="str">
        <f>"9780833033314"</f>
        <v>9780833033314</v>
      </c>
      <c r="C504" s="10" t="str">
        <f>"9780833034113"</f>
        <v>9780833034113</v>
      </c>
      <c r="D504" s="10" t="s">
        <v>8134</v>
      </c>
      <c r="E504" s="10" t="s">
        <v>8135</v>
      </c>
      <c r="F504" s="10" t="s">
        <v>8136</v>
      </c>
      <c r="G504" s="10" t="s">
        <v>6317</v>
      </c>
      <c r="H504" s="11">
        <v>36161</v>
      </c>
      <c r="I504" s="10">
        <v>2003</v>
      </c>
      <c r="J504" s="10" t="s">
        <v>8363</v>
      </c>
      <c r="K504" s="10">
        <v>123</v>
      </c>
      <c r="L504" s="10" t="s">
        <v>8389</v>
      </c>
      <c r="M504" s="10">
        <v>1</v>
      </c>
      <c r="N504" s="10"/>
      <c r="O504" s="10"/>
      <c r="P504" s="10" t="s">
        <v>8390</v>
      </c>
      <c r="Q504" s="10" t="s">
        <v>8391</v>
      </c>
      <c r="R504" s="10" t="s">
        <v>8392</v>
      </c>
      <c r="S504" s="10" t="s">
        <v>53</v>
      </c>
      <c r="T504" s="10" t="s">
        <v>389</v>
      </c>
    </row>
    <row r="505" spans="1:20" ht="14.5" x14ac:dyDescent="0.35">
      <c r="A505" s="10" t="s">
        <v>8393</v>
      </c>
      <c r="B505" s="10" t="str">
        <f>"9781853596421"</f>
        <v>9781853596421</v>
      </c>
      <c r="C505" s="10" t="str">
        <f>"9781853596438"</f>
        <v>9781853596438</v>
      </c>
      <c r="D505" s="10" t="s">
        <v>8394</v>
      </c>
      <c r="E505" s="10" t="s">
        <v>8395</v>
      </c>
      <c r="F505" s="10" t="s">
        <v>8396</v>
      </c>
      <c r="G505" s="10" t="s">
        <v>6352</v>
      </c>
      <c r="H505" s="11">
        <v>37734</v>
      </c>
      <c r="I505" s="10">
        <v>2003</v>
      </c>
      <c r="J505" s="10" t="s">
        <v>8395</v>
      </c>
      <c r="K505" s="10">
        <v>216</v>
      </c>
      <c r="L505" s="10" t="s">
        <v>8397</v>
      </c>
      <c r="M505" s="10">
        <v>1</v>
      </c>
      <c r="N505" s="10" t="s">
        <v>8398</v>
      </c>
      <c r="O505" s="10">
        <v>5</v>
      </c>
      <c r="P505" s="10" t="s">
        <v>8399</v>
      </c>
      <c r="Q505" s="10" t="s">
        <v>6496</v>
      </c>
      <c r="R505" s="10" t="s">
        <v>8400</v>
      </c>
      <c r="S505" s="10" t="s">
        <v>53</v>
      </c>
      <c r="T505" s="10" t="s">
        <v>6616</v>
      </c>
    </row>
    <row r="506" spans="1:20" ht="14.5" x14ac:dyDescent="0.35">
      <c r="A506" s="10" t="s">
        <v>8401</v>
      </c>
      <c r="B506" s="10" t="str">
        <f>"9781853596544"</f>
        <v>9781853596544</v>
      </c>
      <c r="C506" s="10" t="str">
        <f>"9781853596568"</f>
        <v>9781853596568</v>
      </c>
      <c r="D506" s="10" t="s">
        <v>8394</v>
      </c>
      <c r="E506" s="10" t="s">
        <v>8395</v>
      </c>
      <c r="F506" s="10" t="s">
        <v>8396</v>
      </c>
      <c r="G506" s="10" t="s">
        <v>6352</v>
      </c>
      <c r="H506" s="11">
        <v>37764</v>
      </c>
      <c r="I506" s="10">
        <v>2003</v>
      </c>
      <c r="J506" s="10" t="s">
        <v>8395</v>
      </c>
      <c r="K506" s="10">
        <v>400</v>
      </c>
      <c r="L506" s="10" t="s">
        <v>8402</v>
      </c>
      <c r="M506" s="10">
        <v>1</v>
      </c>
      <c r="N506" s="10" t="s">
        <v>8403</v>
      </c>
      <c r="O506" s="10">
        <v>41</v>
      </c>
      <c r="P506" s="10" t="s">
        <v>8404</v>
      </c>
      <c r="Q506" s="10">
        <v>370.11700000000002</v>
      </c>
      <c r="R506" s="10" t="s">
        <v>8405</v>
      </c>
      <c r="S506" s="10" t="s">
        <v>53</v>
      </c>
      <c r="T506" s="10" t="s">
        <v>54</v>
      </c>
    </row>
    <row r="507" spans="1:20" ht="14.5" x14ac:dyDescent="0.35">
      <c r="A507" s="10" t="s">
        <v>8406</v>
      </c>
      <c r="B507" s="10" t="str">
        <f>"9781853596292"</f>
        <v>9781853596292</v>
      </c>
      <c r="C507" s="10" t="str">
        <f>"9781853596308"</f>
        <v>9781853596308</v>
      </c>
      <c r="D507" s="10" t="s">
        <v>8394</v>
      </c>
      <c r="E507" s="10" t="s">
        <v>8395</v>
      </c>
      <c r="F507" s="10" t="s">
        <v>8396</v>
      </c>
      <c r="G507" s="10" t="s">
        <v>6352</v>
      </c>
      <c r="H507" s="11">
        <v>37728</v>
      </c>
      <c r="I507" s="10">
        <v>2003</v>
      </c>
      <c r="J507" s="10" t="s">
        <v>8395</v>
      </c>
      <c r="K507" s="10">
        <v>188</v>
      </c>
      <c r="L507" s="10" t="s">
        <v>8407</v>
      </c>
      <c r="M507" s="10">
        <v>1</v>
      </c>
      <c r="N507" s="10" t="s">
        <v>8408</v>
      </c>
      <c r="O507" s="10">
        <v>6</v>
      </c>
      <c r="P507" s="10" t="s">
        <v>8409</v>
      </c>
      <c r="Q507" s="10" t="s">
        <v>8410</v>
      </c>
      <c r="R507" s="10" t="s">
        <v>8411</v>
      </c>
      <c r="S507" s="10" t="s">
        <v>53</v>
      </c>
      <c r="T507" s="10" t="s">
        <v>8412</v>
      </c>
    </row>
    <row r="508" spans="1:20" ht="14.5" x14ac:dyDescent="0.35">
      <c r="A508" s="10" t="s">
        <v>8413</v>
      </c>
      <c r="B508" s="10" t="str">
        <f>"9781853596476"</f>
        <v>9781853596476</v>
      </c>
      <c r="C508" s="10" t="str">
        <f>"9781853596483"</f>
        <v>9781853596483</v>
      </c>
      <c r="D508" s="10" t="s">
        <v>8394</v>
      </c>
      <c r="E508" s="10" t="s">
        <v>8395</v>
      </c>
      <c r="F508" s="10" t="s">
        <v>8396</v>
      </c>
      <c r="G508" s="10" t="s">
        <v>6352</v>
      </c>
      <c r="H508" s="11">
        <v>38016</v>
      </c>
      <c r="I508" s="10">
        <v>2004</v>
      </c>
      <c r="J508" s="10" t="s">
        <v>8395</v>
      </c>
      <c r="K508" s="10">
        <v>359</v>
      </c>
      <c r="L508" s="10" t="s">
        <v>8414</v>
      </c>
      <c r="M508" s="10">
        <v>1</v>
      </c>
      <c r="N508" s="10" t="s">
        <v>8403</v>
      </c>
      <c r="O508" s="10">
        <v>45</v>
      </c>
      <c r="P508" s="10" t="s">
        <v>8415</v>
      </c>
      <c r="Q508" s="10" t="s">
        <v>8416</v>
      </c>
      <c r="R508" s="10" t="s">
        <v>8417</v>
      </c>
      <c r="S508" s="10" t="s">
        <v>53</v>
      </c>
      <c r="T508" s="10" t="s">
        <v>8418</v>
      </c>
    </row>
    <row r="509" spans="1:20" ht="14.5" x14ac:dyDescent="0.35">
      <c r="A509" s="10" t="s">
        <v>8419</v>
      </c>
      <c r="B509" s="10" t="str">
        <f>"9781853597503"</f>
        <v>9781853597503</v>
      </c>
      <c r="C509" s="10" t="str">
        <f>"9781853597510"</f>
        <v>9781853597510</v>
      </c>
      <c r="D509" s="10" t="s">
        <v>8394</v>
      </c>
      <c r="E509" s="10" t="s">
        <v>8395</v>
      </c>
      <c r="F509" s="10" t="s">
        <v>8396</v>
      </c>
      <c r="G509" s="10" t="s">
        <v>6352</v>
      </c>
      <c r="H509" s="11">
        <v>38105</v>
      </c>
      <c r="I509" s="10">
        <v>2004</v>
      </c>
      <c r="J509" s="10" t="s">
        <v>8395</v>
      </c>
      <c r="K509" s="10">
        <v>171</v>
      </c>
      <c r="L509" s="10" t="s">
        <v>8420</v>
      </c>
      <c r="M509" s="10">
        <v>1</v>
      </c>
      <c r="N509" s="10" t="s">
        <v>8403</v>
      </c>
      <c r="O509" s="10">
        <v>46</v>
      </c>
      <c r="P509" s="10" t="s">
        <v>8421</v>
      </c>
      <c r="Q509" s="10" t="s">
        <v>8422</v>
      </c>
      <c r="R509" s="10" t="s">
        <v>8423</v>
      </c>
      <c r="S509" s="10" t="s">
        <v>53</v>
      </c>
      <c r="T509" s="10" t="s">
        <v>8424</v>
      </c>
    </row>
    <row r="510" spans="1:20" ht="14.5" x14ac:dyDescent="0.35">
      <c r="A510" s="10" t="s">
        <v>8425</v>
      </c>
      <c r="B510" s="10" t="str">
        <f>"9781853597152"</f>
        <v>9781853597152</v>
      </c>
      <c r="C510" s="10" t="str">
        <f>"9781853597169"</f>
        <v>9781853597169</v>
      </c>
      <c r="D510" s="10" t="s">
        <v>8394</v>
      </c>
      <c r="E510" s="10" t="s">
        <v>8395</v>
      </c>
      <c r="F510" s="10" t="s">
        <v>8396</v>
      </c>
      <c r="G510" s="10" t="s">
        <v>6352</v>
      </c>
      <c r="H510" s="11">
        <v>38134</v>
      </c>
      <c r="I510" s="10">
        <v>2004</v>
      </c>
      <c r="J510" s="10" t="s">
        <v>8395</v>
      </c>
      <c r="K510" s="10">
        <v>236</v>
      </c>
      <c r="L510" s="10" t="s">
        <v>8426</v>
      </c>
      <c r="M510" s="10">
        <v>1</v>
      </c>
      <c r="N510" s="10" t="s">
        <v>8408</v>
      </c>
      <c r="O510" s="10">
        <v>7</v>
      </c>
      <c r="P510" s="10" t="s">
        <v>8427</v>
      </c>
      <c r="Q510" s="10" t="s">
        <v>8416</v>
      </c>
      <c r="R510" s="10" t="s">
        <v>8428</v>
      </c>
      <c r="S510" s="10" t="s">
        <v>53</v>
      </c>
      <c r="T510" s="10" t="s">
        <v>8412</v>
      </c>
    </row>
    <row r="511" spans="1:20" ht="14.5" x14ac:dyDescent="0.35">
      <c r="A511" s="10" t="s">
        <v>8429</v>
      </c>
      <c r="B511" s="10" t="str">
        <f>"9781853597404"</f>
        <v>9781853597404</v>
      </c>
      <c r="C511" s="10" t="str">
        <f>"9781853597428"</f>
        <v>9781853597428</v>
      </c>
      <c r="D511" s="10" t="s">
        <v>8394</v>
      </c>
      <c r="E511" s="10" t="s">
        <v>8395</v>
      </c>
      <c r="F511" s="10" t="s">
        <v>8396</v>
      </c>
      <c r="G511" s="10" t="s">
        <v>6352</v>
      </c>
      <c r="H511" s="11">
        <v>38224</v>
      </c>
      <c r="I511" s="10">
        <v>2004</v>
      </c>
      <c r="J511" s="10" t="s">
        <v>8395</v>
      </c>
      <c r="K511" s="10">
        <v>250</v>
      </c>
      <c r="L511" s="10" t="s">
        <v>8430</v>
      </c>
      <c r="M511" s="10">
        <v>1</v>
      </c>
      <c r="N511" s="10" t="s">
        <v>8431</v>
      </c>
      <c r="O511" s="10">
        <v>129</v>
      </c>
      <c r="P511" s="10" t="s">
        <v>8432</v>
      </c>
      <c r="Q511" s="10" t="s">
        <v>8433</v>
      </c>
      <c r="R511" s="10" t="s">
        <v>8434</v>
      </c>
      <c r="S511" s="10" t="s">
        <v>53</v>
      </c>
      <c r="T511" s="10" t="s">
        <v>6616</v>
      </c>
    </row>
    <row r="512" spans="1:20" ht="14.5" x14ac:dyDescent="0.35">
      <c r="A512" s="10" t="s">
        <v>8435</v>
      </c>
      <c r="B512" s="10" t="str">
        <f>"9780631228370"</f>
        <v>9780631228370</v>
      </c>
      <c r="C512" s="10" t="str">
        <f>"9780470997239"</f>
        <v>9780470997239</v>
      </c>
      <c r="D512" s="10" t="s">
        <v>6322</v>
      </c>
      <c r="E512" s="10" t="s">
        <v>6323</v>
      </c>
      <c r="F512" s="10" t="s">
        <v>4423</v>
      </c>
      <c r="G512" s="10" t="s">
        <v>6352</v>
      </c>
      <c r="H512" s="11">
        <v>37701</v>
      </c>
      <c r="I512" s="10">
        <v>2003</v>
      </c>
      <c r="J512" s="10" t="s">
        <v>8436</v>
      </c>
      <c r="K512" s="10">
        <v>658</v>
      </c>
      <c r="L512" s="10" t="s">
        <v>8437</v>
      </c>
      <c r="M512" s="10">
        <v>1</v>
      </c>
      <c r="N512" s="10" t="s">
        <v>8438</v>
      </c>
      <c r="O512" s="10"/>
      <c r="P512" s="10" t="s">
        <v>8439</v>
      </c>
      <c r="Q512" s="10" t="s">
        <v>7600</v>
      </c>
      <c r="R512" s="10" t="s">
        <v>8440</v>
      </c>
      <c r="S512" s="10" t="s">
        <v>53</v>
      </c>
      <c r="T512" s="10" t="s">
        <v>54</v>
      </c>
    </row>
    <row r="513" spans="1:20" ht="14.5" x14ac:dyDescent="0.35">
      <c r="A513" s="10" t="s">
        <v>8441</v>
      </c>
      <c r="B513" s="10" t="str">
        <f>"9780415921039"</f>
        <v>9780415921039</v>
      </c>
      <c r="C513" s="10" t="str">
        <f>"9780203009499"</f>
        <v>9780203009499</v>
      </c>
      <c r="D513" s="10" t="s">
        <v>6350</v>
      </c>
      <c r="E513" s="10" t="s">
        <v>6351</v>
      </c>
      <c r="F513" s="10" t="s">
        <v>748</v>
      </c>
      <c r="G513" s="10" t="s">
        <v>6352</v>
      </c>
      <c r="H513" s="11">
        <v>36214</v>
      </c>
      <c r="I513" s="10">
        <v>1999</v>
      </c>
      <c r="J513" s="10" t="s">
        <v>6351</v>
      </c>
      <c r="K513" s="10">
        <v>265</v>
      </c>
      <c r="L513" s="10" t="s">
        <v>8442</v>
      </c>
      <c r="M513" s="10">
        <v>1</v>
      </c>
      <c r="N513" s="10"/>
      <c r="O513" s="10"/>
      <c r="P513" s="10" t="s">
        <v>8443</v>
      </c>
      <c r="Q513" s="10" t="s">
        <v>8444</v>
      </c>
      <c r="R513" s="10" t="s">
        <v>8445</v>
      </c>
      <c r="S513" s="10" t="s">
        <v>53</v>
      </c>
      <c r="T513" s="10" t="s">
        <v>54</v>
      </c>
    </row>
    <row r="514" spans="1:20" ht="14.5" x14ac:dyDescent="0.35">
      <c r="A514" s="10" t="s">
        <v>8446</v>
      </c>
      <c r="B514" s="10" t="str">
        <f>"9780815325246"</f>
        <v>9780815325246</v>
      </c>
      <c r="C514" s="10" t="str">
        <f>"9780203011300"</f>
        <v>9780203011300</v>
      </c>
      <c r="D514" s="10" t="s">
        <v>6350</v>
      </c>
      <c r="E514" s="10" t="s">
        <v>6351</v>
      </c>
      <c r="F514" s="10" t="s">
        <v>7385</v>
      </c>
      <c r="G514" s="10" t="s">
        <v>6317</v>
      </c>
      <c r="H514" s="11">
        <v>33604</v>
      </c>
      <c r="I514" s="10">
        <v>2000</v>
      </c>
      <c r="J514" s="10" t="s">
        <v>6353</v>
      </c>
      <c r="K514" s="10">
        <v>276</v>
      </c>
      <c r="L514" s="10" t="s">
        <v>8447</v>
      </c>
      <c r="M514" s="10">
        <v>1</v>
      </c>
      <c r="N514" s="10" t="s">
        <v>7379</v>
      </c>
      <c r="O514" s="10"/>
      <c r="P514" s="10" t="s">
        <v>8448</v>
      </c>
      <c r="Q514" s="10">
        <v>306.43</v>
      </c>
      <c r="R514" s="10" t="s">
        <v>8449</v>
      </c>
      <c r="S514" s="10" t="s">
        <v>53</v>
      </c>
      <c r="T514" s="10" t="s">
        <v>6526</v>
      </c>
    </row>
    <row r="515" spans="1:20" ht="14.5" x14ac:dyDescent="0.35">
      <c r="A515" s="10" t="s">
        <v>8450</v>
      </c>
      <c r="B515" s="10" t="str">
        <f>"9780815333777"</f>
        <v>9780815333777</v>
      </c>
      <c r="C515" s="10" t="str">
        <f>"9780203009550"</f>
        <v>9780203009550</v>
      </c>
      <c r="D515" s="10" t="s">
        <v>6350</v>
      </c>
      <c r="E515" s="10" t="s">
        <v>6351</v>
      </c>
      <c r="F515" s="10" t="s">
        <v>7385</v>
      </c>
      <c r="G515" s="10" t="s">
        <v>6317</v>
      </c>
      <c r="H515" s="11">
        <v>36495</v>
      </c>
      <c r="I515" s="10">
        <v>2000</v>
      </c>
      <c r="J515" s="10" t="s">
        <v>6353</v>
      </c>
      <c r="K515" s="10">
        <v>301</v>
      </c>
      <c r="L515" s="10" t="s">
        <v>8451</v>
      </c>
      <c r="M515" s="10">
        <v>1</v>
      </c>
      <c r="N515" s="10" t="s">
        <v>7648</v>
      </c>
      <c r="O515" s="10">
        <v>4</v>
      </c>
      <c r="P515" s="10" t="s">
        <v>8452</v>
      </c>
      <c r="Q515" s="10">
        <v>370.11500000000001</v>
      </c>
      <c r="R515" s="10" t="s">
        <v>8453</v>
      </c>
      <c r="S515" s="10" t="s">
        <v>53</v>
      </c>
      <c r="T515" s="10" t="s">
        <v>54</v>
      </c>
    </row>
    <row r="516" spans="1:20" ht="14.5" x14ac:dyDescent="0.35">
      <c r="A516" s="10" t="s">
        <v>8454</v>
      </c>
      <c r="B516" s="10" t="str">
        <f>"9780415276702"</f>
        <v>9780415276702</v>
      </c>
      <c r="C516" s="10" t="str">
        <f>"9780203018637"</f>
        <v>9780203018637</v>
      </c>
      <c r="D516" s="10" t="s">
        <v>6350</v>
      </c>
      <c r="E516" s="10" t="s">
        <v>6351</v>
      </c>
      <c r="F516" s="10" t="s">
        <v>139</v>
      </c>
      <c r="G516" s="10" t="s">
        <v>6352</v>
      </c>
      <c r="H516" s="11">
        <v>37329</v>
      </c>
      <c r="I516" s="10">
        <v>2002</v>
      </c>
      <c r="J516" s="10" t="s">
        <v>6353</v>
      </c>
      <c r="K516" s="10">
        <v>273</v>
      </c>
      <c r="L516" s="10" t="s">
        <v>8455</v>
      </c>
      <c r="M516" s="10">
        <v>1</v>
      </c>
      <c r="N516" s="10"/>
      <c r="O516" s="10"/>
      <c r="P516" s="10" t="s">
        <v>8456</v>
      </c>
      <c r="Q516" s="10">
        <v>370.71100000000001</v>
      </c>
      <c r="R516" s="10" t="s">
        <v>6520</v>
      </c>
      <c r="S516" s="10" t="s">
        <v>53</v>
      </c>
      <c r="T516" s="10" t="s">
        <v>54</v>
      </c>
    </row>
    <row r="517" spans="1:20" ht="14.5" x14ac:dyDescent="0.35">
      <c r="A517" s="10" t="s">
        <v>8457</v>
      </c>
      <c r="B517" s="10" t="str">
        <f>"9780415277419"</f>
        <v>9780415277419</v>
      </c>
      <c r="C517" s="10" t="str">
        <f>"9780203018668"</f>
        <v>9780203018668</v>
      </c>
      <c r="D517" s="10" t="s">
        <v>6350</v>
      </c>
      <c r="E517" s="10" t="s">
        <v>6351</v>
      </c>
      <c r="F517" s="10" t="s">
        <v>5406</v>
      </c>
      <c r="G517" s="10" t="s">
        <v>6317</v>
      </c>
      <c r="H517" s="11">
        <v>37540</v>
      </c>
      <c r="I517" s="10">
        <v>2002</v>
      </c>
      <c r="J517" s="10" t="s">
        <v>6353</v>
      </c>
      <c r="K517" s="10">
        <v>161</v>
      </c>
      <c r="L517" s="10" t="s">
        <v>8458</v>
      </c>
      <c r="M517" s="10">
        <v>1</v>
      </c>
      <c r="N517" s="10" t="s">
        <v>8203</v>
      </c>
      <c r="O517" s="10"/>
      <c r="P517" s="10" t="s">
        <v>8459</v>
      </c>
      <c r="Q517" s="10" t="s">
        <v>8460</v>
      </c>
      <c r="R517" s="10" t="s">
        <v>8461</v>
      </c>
      <c r="S517" s="10" t="s">
        <v>53</v>
      </c>
      <c r="T517" s="10" t="s">
        <v>54</v>
      </c>
    </row>
    <row r="518" spans="1:20" ht="14.5" x14ac:dyDescent="0.35">
      <c r="A518" s="10" t="s">
        <v>8462</v>
      </c>
      <c r="B518" s="10" t="str">
        <f>"9780415344975"</f>
        <v>9780415344975</v>
      </c>
      <c r="C518" s="10" t="str">
        <f>"9780203023457"</f>
        <v>9780203023457</v>
      </c>
      <c r="D518" s="10" t="s">
        <v>6350</v>
      </c>
      <c r="E518" s="10" t="s">
        <v>6351</v>
      </c>
      <c r="F518" s="10" t="s">
        <v>3967</v>
      </c>
      <c r="G518" s="10" t="s">
        <v>6352</v>
      </c>
      <c r="H518" s="11">
        <v>38461</v>
      </c>
      <c r="I518" s="10">
        <v>2004</v>
      </c>
      <c r="J518" s="10" t="s">
        <v>6353</v>
      </c>
      <c r="K518" s="10">
        <v>204</v>
      </c>
      <c r="L518" s="10" t="s">
        <v>8463</v>
      </c>
      <c r="M518" s="10">
        <v>1</v>
      </c>
      <c r="N518" s="10"/>
      <c r="O518" s="10"/>
      <c r="P518" s="10">
        <v>2004018545</v>
      </c>
      <c r="Q518" s="10">
        <v>378.24</v>
      </c>
      <c r="R518" s="10" t="s">
        <v>8464</v>
      </c>
      <c r="S518" s="10" t="s">
        <v>53</v>
      </c>
      <c r="T518" s="10" t="s">
        <v>54</v>
      </c>
    </row>
    <row r="519" spans="1:20" ht="14.5" x14ac:dyDescent="0.35">
      <c r="A519" s="10" t="s">
        <v>8465</v>
      </c>
      <c r="B519" s="10" t="str">
        <f>"9780415352215"</f>
        <v>9780415352215</v>
      </c>
      <c r="C519" s="10" t="str">
        <f>"9780203698792"</f>
        <v>9780203698792</v>
      </c>
      <c r="D519" s="10" t="s">
        <v>6350</v>
      </c>
      <c r="E519" s="10" t="s">
        <v>6351</v>
      </c>
      <c r="F519" s="10" t="s">
        <v>139</v>
      </c>
      <c r="G519" s="10" t="s">
        <v>6352</v>
      </c>
      <c r="H519" s="11">
        <v>38663</v>
      </c>
      <c r="I519" s="10">
        <v>2005</v>
      </c>
      <c r="J519" s="10" t="s">
        <v>6353</v>
      </c>
      <c r="K519" s="10">
        <v>289</v>
      </c>
      <c r="L519" s="10" t="s">
        <v>8466</v>
      </c>
      <c r="M519" s="10">
        <v>1</v>
      </c>
      <c r="N519" s="10" t="s">
        <v>8467</v>
      </c>
      <c r="O519" s="10"/>
      <c r="P519" s="10">
        <v>2004061354</v>
      </c>
      <c r="Q519" s="10">
        <v>371.10199999999998</v>
      </c>
      <c r="R519" s="10" t="s">
        <v>8147</v>
      </c>
      <c r="S519" s="10" t="s">
        <v>53</v>
      </c>
      <c r="T519" s="10" t="s">
        <v>54</v>
      </c>
    </row>
    <row r="520" spans="1:20" ht="14.5" x14ac:dyDescent="0.35">
      <c r="A520" s="10" t="s">
        <v>8468</v>
      </c>
      <c r="B520" s="10" t="str">
        <f>"9780415931588"</f>
        <v>9780415931588</v>
      </c>
      <c r="C520" s="10" t="str">
        <f>"9780203020920"</f>
        <v>9780203020920</v>
      </c>
      <c r="D520" s="10" t="s">
        <v>6350</v>
      </c>
      <c r="E520" s="10" t="s">
        <v>6351</v>
      </c>
      <c r="F520" s="10" t="s">
        <v>139</v>
      </c>
      <c r="G520" s="10" t="s">
        <v>6352</v>
      </c>
      <c r="H520" s="11">
        <v>38276</v>
      </c>
      <c r="I520" s="10">
        <v>2005</v>
      </c>
      <c r="J520" s="10" t="s">
        <v>6353</v>
      </c>
      <c r="K520" s="10">
        <v>201</v>
      </c>
      <c r="L520" s="10" t="s">
        <v>8469</v>
      </c>
      <c r="M520" s="10">
        <v>1</v>
      </c>
      <c r="N520" s="10"/>
      <c r="O520" s="10"/>
      <c r="P520" s="10" t="s">
        <v>8470</v>
      </c>
      <c r="Q520" s="10" t="s">
        <v>7335</v>
      </c>
      <c r="R520" s="10" t="s">
        <v>8471</v>
      </c>
      <c r="S520" s="10" t="s">
        <v>53</v>
      </c>
      <c r="T520" s="10" t="s">
        <v>54</v>
      </c>
    </row>
    <row r="521" spans="1:20" ht="14.5" x14ac:dyDescent="0.35">
      <c r="A521" s="10" t="s">
        <v>8472</v>
      </c>
      <c r="B521" s="10" t="str">
        <f>"9780415237710"</f>
        <v>9780415237710</v>
      </c>
      <c r="C521" s="10" t="str">
        <f>"9780203017678"</f>
        <v>9780203017678</v>
      </c>
      <c r="D521" s="10" t="s">
        <v>6350</v>
      </c>
      <c r="E521" s="10" t="s">
        <v>6351</v>
      </c>
      <c r="F521" s="10" t="s">
        <v>5406</v>
      </c>
      <c r="G521" s="10" t="s">
        <v>6317</v>
      </c>
      <c r="H521" s="11">
        <v>36845</v>
      </c>
      <c r="I521" s="10">
        <v>2000</v>
      </c>
      <c r="J521" s="10" t="s">
        <v>6353</v>
      </c>
      <c r="K521" s="10">
        <v>192</v>
      </c>
      <c r="L521" s="10" t="s">
        <v>8473</v>
      </c>
      <c r="M521" s="10">
        <v>1</v>
      </c>
      <c r="N521" s="10"/>
      <c r="O521" s="10"/>
      <c r="P521" s="10" t="s">
        <v>8474</v>
      </c>
      <c r="Q521" s="10">
        <v>370.15199999999999</v>
      </c>
      <c r="R521" s="10" t="s">
        <v>8475</v>
      </c>
      <c r="S521" s="10" t="s">
        <v>53</v>
      </c>
      <c r="T521" s="10" t="s">
        <v>54</v>
      </c>
    </row>
    <row r="522" spans="1:20" ht="14.5" x14ac:dyDescent="0.35">
      <c r="A522" s="10" t="s">
        <v>8476</v>
      </c>
      <c r="B522" s="10" t="str">
        <f>"9780521790642"</f>
        <v>9780521790642</v>
      </c>
      <c r="C522" s="10" t="str">
        <f>"9781139146685"</f>
        <v>9781139146685</v>
      </c>
      <c r="D522" s="10" t="s">
        <v>397</v>
      </c>
      <c r="E522" s="10" t="s">
        <v>397</v>
      </c>
      <c r="F522" s="10" t="s">
        <v>70</v>
      </c>
      <c r="G522" s="10" t="s">
        <v>6317</v>
      </c>
      <c r="H522" s="11">
        <v>37609</v>
      </c>
      <c r="I522" s="10">
        <v>2002</v>
      </c>
      <c r="J522" s="10" t="s">
        <v>397</v>
      </c>
      <c r="K522" s="10">
        <v>328</v>
      </c>
      <c r="L522" s="10" t="s">
        <v>8477</v>
      </c>
      <c r="M522" s="10">
        <v>2</v>
      </c>
      <c r="N522" s="10"/>
      <c r="O522" s="10"/>
      <c r="P522" s="10" t="s">
        <v>8478</v>
      </c>
      <c r="Q522" s="10" t="s">
        <v>8479</v>
      </c>
      <c r="R522" s="10" t="s">
        <v>8480</v>
      </c>
      <c r="S522" s="10" t="s">
        <v>53</v>
      </c>
      <c r="T522" s="10" t="s">
        <v>54</v>
      </c>
    </row>
    <row r="523" spans="1:20" ht="14.5" x14ac:dyDescent="0.35">
      <c r="A523" s="10" t="s">
        <v>8481</v>
      </c>
      <c r="B523" s="10" t="str">
        <f>"9780521593564"</f>
        <v>9780521593564</v>
      </c>
      <c r="C523" s="10" t="str">
        <f>"9781139145589"</f>
        <v>9781139145589</v>
      </c>
      <c r="D523" s="10" t="s">
        <v>397</v>
      </c>
      <c r="E523" s="10" t="s">
        <v>397</v>
      </c>
      <c r="F523" s="10" t="s">
        <v>612</v>
      </c>
      <c r="G523" s="10" t="s">
        <v>6352</v>
      </c>
      <c r="H523" s="11">
        <v>37749</v>
      </c>
      <c r="I523" s="10">
        <v>2003</v>
      </c>
      <c r="J523" s="10" t="s">
        <v>397</v>
      </c>
      <c r="K523" s="10">
        <v>240</v>
      </c>
      <c r="L523" s="10" t="s">
        <v>8482</v>
      </c>
      <c r="M523" s="10">
        <v>1</v>
      </c>
      <c r="N523" s="10" t="s">
        <v>8483</v>
      </c>
      <c r="O523" s="10" t="s">
        <v>8484</v>
      </c>
      <c r="P523" s="10" t="s">
        <v>8485</v>
      </c>
      <c r="Q523" s="10">
        <v>302.2244</v>
      </c>
      <c r="R523" s="10" t="s">
        <v>8486</v>
      </c>
      <c r="S523" s="10" t="s">
        <v>53</v>
      </c>
      <c r="T523" s="10" t="s">
        <v>6526</v>
      </c>
    </row>
    <row r="524" spans="1:20" ht="14.5" x14ac:dyDescent="0.35">
      <c r="A524" s="10" t="s">
        <v>8487</v>
      </c>
      <c r="B524" s="10" t="str">
        <f>"9780521580984"</f>
        <v>9780521580984</v>
      </c>
      <c r="C524" s="10" t="str">
        <f>"9781139145541"</f>
        <v>9781139145541</v>
      </c>
      <c r="D524" s="10" t="s">
        <v>397</v>
      </c>
      <c r="E524" s="10" t="s">
        <v>397</v>
      </c>
      <c r="F524" s="10" t="s">
        <v>612</v>
      </c>
      <c r="G524" s="10" t="s">
        <v>6352</v>
      </c>
      <c r="H524" s="11">
        <v>37571</v>
      </c>
      <c r="I524" s="10">
        <v>2002</v>
      </c>
      <c r="J524" s="10" t="s">
        <v>397</v>
      </c>
      <c r="K524" s="10">
        <v>199</v>
      </c>
      <c r="L524" s="10" t="s">
        <v>8488</v>
      </c>
      <c r="M524" s="10">
        <v>1</v>
      </c>
      <c r="N524" s="10" t="s">
        <v>8489</v>
      </c>
      <c r="O524" s="10"/>
      <c r="P524" s="10" t="s">
        <v>8490</v>
      </c>
      <c r="Q524" s="10" t="s">
        <v>8491</v>
      </c>
      <c r="R524" s="10" t="s">
        <v>8492</v>
      </c>
      <c r="S524" s="10" t="s">
        <v>53</v>
      </c>
      <c r="T524" s="10" t="s">
        <v>8493</v>
      </c>
    </row>
    <row r="525" spans="1:20" ht="14.5" x14ac:dyDescent="0.35">
      <c r="A525" s="10" t="s">
        <v>8494</v>
      </c>
      <c r="B525" s="10" t="str">
        <f>"9780521812825"</f>
        <v>9780521812825</v>
      </c>
      <c r="C525" s="10" t="str">
        <f>"9781139148023"</f>
        <v>9781139148023</v>
      </c>
      <c r="D525" s="10" t="s">
        <v>397</v>
      </c>
      <c r="E525" s="10" t="s">
        <v>397</v>
      </c>
      <c r="F525" s="10" t="s">
        <v>70</v>
      </c>
      <c r="G525" s="10" t="s">
        <v>6317</v>
      </c>
      <c r="H525" s="11">
        <v>37641</v>
      </c>
      <c r="I525" s="10">
        <v>2003</v>
      </c>
      <c r="J525" s="10" t="s">
        <v>397</v>
      </c>
      <c r="K525" s="10">
        <v>318</v>
      </c>
      <c r="L525" s="10" t="s">
        <v>8495</v>
      </c>
      <c r="M525" s="10">
        <v>2</v>
      </c>
      <c r="N525" s="10"/>
      <c r="O525" s="10"/>
      <c r="P525" s="10" t="s">
        <v>8496</v>
      </c>
      <c r="Q525" s="10">
        <v>371.3</v>
      </c>
      <c r="R525" s="10" t="s">
        <v>8497</v>
      </c>
      <c r="S525" s="10" t="s">
        <v>53</v>
      </c>
      <c r="T525" s="10" t="s">
        <v>54</v>
      </c>
    </row>
    <row r="526" spans="1:20" ht="14.5" x14ac:dyDescent="0.35">
      <c r="A526" s="10" t="s">
        <v>8498</v>
      </c>
      <c r="B526" s="10" t="str">
        <f>"9780521814805"</f>
        <v>9780521814805</v>
      </c>
      <c r="C526" s="10" t="str">
        <f>"9781139148184"</f>
        <v>9781139148184</v>
      </c>
      <c r="D526" s="10" t="s">
        <v>397</v>
      </c>
      <c r="E526" s="10" t="s">
        <v>397</v>
      </c>
      <c r="F526" s="10" t="s">
        <v>70</v>
      </c>
      <c r="G526" s="10" t="s">
        <v>6317</v>
      </c>
      <c r="H526" s="11">
        <v>37504</v>
      </c>
      <c r="I526" s="10">
        <v>2002</v>
      </c>
      <c r="J526" s="10" t="s">
        <v>397</v>
      </c>
      <c r="K526" s="10">
        <v>294</v>
      </c>
      <c r="L526" s="10" t="s">
        <v>8499</v>
      </c>
      <c r="M526" s="10">
        <v>1</v>
      </c>
      <c r="N526" s="10"/>
      <c r="O526" s="10"/>
      <c r="P526" s="10" t="s">
        <v>8500</v>
      </c>
      <c r="Q526" s="10">
        <v>305.23500000000001</v>
      </c>
      <c r="R526" s="10" t="s">
        <v>8501</v>
      </c>
      <c r="S526" s="10" t="s">
        <v>53</v>
      </c>
      <c r="T526" s="10" t="s">
        <v>6363</v>
      </c>
    </row>
    <row r="527" spans="1:20" ht="14.5" x14ac:dyDescent="0.35">
      <c r="A527" s="10" t="s">
        <v>8502</v>
      </c>
      <c r="B527" s="10" t="str">
        <f>"9780521807630"</f>
        <v>9780521807630</v>
      </c>
      <c r="C527" s="10" t="str">
        <f>"9780511203497"</f>
        <v>9780511203497</v>
      </c>
      <c r="D527" s="10" t="s">
        <v>397</v>
      </c>
      <c r="E527" s="10" t="s">
        <v>397</v>
      </c>
      <c r="F527" s="10" t="s">
        <v>612</v>
      </c>
      <c r="G527" s="10" t="s">
        <v>6352</v>
      </c>
      <c r="H527" s="11">
        <v>37809</v>
      </c>
      <c r="I527" s="10">
        <v>2003</v>
      </c>
      <c r="J527" s="10" t="s">
        <v>397</v>
      </c>
      <c r="K527" s="10">
        <v>318</v>
      </c>
      <c r="L527" s="10" t="s">
        <v>8503</v>
      </c>
      <c r="M527" s="10">
        <v>1</v>
      </c>
      <c r="N527" s="10"/>
      <c r="O527" s="10"/>
      <c r="P527" s="10" t="s">
        <v>8504</v>
      </c>
      <c r="Q527" s="10" t="s">
        <v>7600</v>
      </c>
      <c r="R527" s="10" t="s">
        <v>8505</v>
      </c>
      <c r="S527" s="10" t="s">
        <v>53</v>
      </c>
      <c r="T527" s="10" t="s">
        <v>54</v>
      </c>
    </row>
    <row r="528" spans="1:20" ht="14.5" x14ac:dyDescent="0.35">
      <c r="A528" s="10" t="s">
        <v>8506</v>
      </c>
      <c r="B528" s="10" t="str">
        <f>"9780471471677"</f>
        <v>9780471471677</v>
      </c>
      <c r="C528" s="10" t="str">
        <f>"9780471694410"</f>
        <v>9780471694410</v>
      </c>
      <c r="D528" s="10" t="s">
        <v>6322</v>
      </c>
      <c r="E528" s="10" t="s">
        <v>6323</v>
      </c>
      <c r="F528" s="10" t="s">
        <v>4423</v>
      </c>
      <c r="G528" s="10" t="s">
        <v>6317</v>
      </c>
      <c r="H528" s="11">
        <v>38288</v>
      </c>
      <c r="I528" s="10">
        <v>2005</v>
      </c>
      <c r="J528" s="10" t="s">
        <v>6323</v>
      </c>
      <c r="K528" s="10">
        <v>335</v>
      </c>
      <c r="L528" s="10" t="s">
        <v>8507</v>
      </c>
      <c r="M528" s="10">
        <v>1</v>
      </c>
      <c r="N528" s="10"/>
      <c r="O528" s="10"/>
      <c r="P528" s="10" t="s">
        <v>8508</v>
      </c>
      <c r="Q528" s="10" t="s">
        <v>8509</v>
      </c>
      <c r="R528" s="10" t="s">
        <v>8177</v>
      </c>
      <c r="S528" s="10" t="s">
        <v>53</v>
      </c>
      <c r="T528" s="10" t="s">
        <v>8510</v>
      </c>
    </row>
    <row r="529" spans="1:20" ht="14.5" x14ac:dyDescent="0.35">
      <c r="A529" s="10" t="s">
        <v>8511</v>
      </c>
      <c r="B529" s="10" t="str">
        <f>"9780520233546"</f>
        <v>9780520233546</v>
      </c>
      <c r="C529" s="10" t="str">
        <f>"9780520928619"</f>
        <v>9780520928619</v>
      </c>
      <c r="D529" s="10" t="s">
        <v>8512</v>
      </c>
      <c r="E529" s="10" t="s">
        <v>8512</v>
      </c>
      <c r="F529" s="10" t="s">
        <v>717</v>
      </c>
      <c r="G529" s="10" t="s">
        <v>6317</v>
      </c>
      <c r="H529" s="11">
        <v>37530</v>
      </c>
      <c r="I529" s="10">
        <v>2002</v>
      </c>
      <c r="J529" s="10" t="s">
        <v>8512</v>
      </c>
      <c r="K529" s="10">
        <v>665</v>
      </c>
      <c r="L529" s="10" t="s">
        <v>8513</v>
      </c>
      <c r="M529" s="10">
        <v>1</v>
      </c>
      <c r="N529" s="10"/>
      <c r="O529" s="10"/>
      <c r="P529" s="10" t="s">
        <v>8514</v>
      </c>
      <c r="Q529" s="10"/>
      <c r="R529" s="10" t="s">
        <v>8515</v>
      </c>
      <c r="S529" s="10" t="s">
        <v>53</v>
      </c>
      <c r="T529" s="10" t="s">
        <v>54</v>
      </c>
    </row>
    <row r="530" spans="1:20" ht="14.5" x14ac:dyDescent="0.35">
      <c r="A530" s="10" t="s">
        <v>8516</v>
      </c>
      <c r="B530" s="10" t="str">
        <f>"9780520233096"</f>
        <v>9780520233096</v>
      </c>
      <c r="C530" s="10" t="str">
        <f>"9780520936348"</f>
        <v>9780520936348</v>
      </c>
      <c r="D530" s="10" t="s">
        <v>8512</v>
      </c>
      <c r="E530" s="10" t="s">
        <v>8512</v>
      </c>
      <c r="F530" s="10" t="s">
        <v>717</v>
      </c>
      <c r="G530" s="10" t="s">
        <v>6317</v>
      </c>
      <c r="H530" s="11">
        <v>37509</v>
      </c>
      <c r="I530" s="10">
        <v>2002</v>
      </c>
      <c r="J530" s="10" t="s">
        <v>8512</v>
      </c>
      <c r="K530" s="10">
        <v>264</v>
      </c>
      <c r="L530" s="10" t="s">
        <v>8517</v>
      </c>
      <c r="M530" s="10">
        <v>1</v>
      </c>
      <c r="N530" s="10"/>
      <c r="O530" s="10"/>
      <c r="P530" s="10" t="s">
        <v>8518</v>
      </c>
      <c r="Q530" s="10" t="s">
        <v>8519</v>
      </c>
      <c r="R530" s="10" t="s">
        <v>8520</v>
      </c>
      <c r="S530" s="10" t="s">
        <v>53</v>
      </c>
      <c r="T530" s="10" t="s">
        <v>5396</v>
      </c>
    </row>
    <row r="531" spans="1:20" ht="14.5" x14ac:dyDescent="0.35">
      <c r="A531" s="10" t="s">
        <v>8521</v>
      </c>
      <c r="B531" s="10" t="str">
        <f>"9780520229518"</f>
        <v>9780520229518</v>
      </c>
      <c r="C531" s="10" t="str">
        <f>"9780520935884"</f>
        <v>9780520935884</v>
      </c>
      <c r="D531" s="10" t="s">
        <v>8512</v>
      </c>
      <c r="E531" s="10" t="s">
        <v>8512</v>
      </c>
      <c r="F531" s="10" t="s">
        <v>717</v>
      </c>
      <c r="G531" s="10" t="s">
        <v>6317</v>
      </c>
      <c r="H531" s="11">
        <v>37502</v>
      </c>
      <c r="I531" s="10">
        <v>2002</v>
      </c>
      <c r="J531" s="10" t="s">
        <v>8512</v>
      </c>
      <c r="K531" s="10">
        <v>397</v>
      </c>
      <c r="L531" s="10" t="s">
        <v>8522</v>
      </c>
      <c r="M531" s="10">
        <v>1</v>
      </c>
      <c r="N531" s="10"/>
      <c r="O531" s="10"/>
      <c r="P531" s="10" t="s">
        <v>8523</v>
      </c>
      <c r="Q531" s="10" t="s">
        <v>8524</v>
      </c>
      <c r="R531" s="10" t="s">
        <v>8525</v>
      </c>
      <c r="S531" s="10" t="s">
        <v>53</v>
      </c>
      <c r="T531" s="10" t="s">
        <v>6363</v>
      </c>
    </row>
    <row r="532" spans="1:20" ht="14.5" x14ac:dyDescent="0.35">
      <c r="A532" s="10" t="s">
        <v>8526</v>
      </c>
      <c r="B532" s="10" t="str">
        <f>"9780520241251"</f>
        <v>9780520241251</v>
      </c>
      <c r="C532" s="10" t="str">
        <f>"9780520930964"</f>
        <v>9780520930964</v>
      </c>
      <c r="D532" s="10" t="s">
        <v>8512</v>
      </c>
      <c r="E532" s="10" t="s">
        <v>8512</v>
      </c>
      <c r="F532" s="10" t="s">
        <v>717</v>
      </c>
      <c r="G532" s="10" t="s">
        <v>6317</v>
      </c>
      <c r="H532" s="11">
        <v>38078</v>
      </c>
      <c r="I532" s="10">
        <v>2004</v>
      </c>
      <c r="J532" s="10" t="s">
        <v>8512</v>
      </c>
      <c r="K532" s="10">
        <v>206</v>
      </c>
      <c r="L532" s="10" t="s">
        <v>8527</v>
      </c>
      <c r="M532" s="10">
        <v>1</v>
      </c>
      <c r="N532" s="10"/>
      <c r="O532" s="10"/>
      <c r="P532" s="10" t="s">
        <v>8528</v>
      </c>
      <c r="Q532" s="10"/>
      <c r="R532" s="10" t="s">
        <v>8529</v>
      </c>
      <c r="S532" s="10" t="s">
        <v>53</v>
      </c>
      <c r="T532" s="10" t="s">
        <v>4859</v>
      </c>
    </row>
    <row r="533" spans="1:20" ht="14.5" x14ac:dyDescent="0.35">
      <c r="A533" s="10" t="s">
        <v>8530</v>
      </c>
      <c r="B533" s="10" t="str">
        <f>"9780520223677"</f>
        <v>9780520223677</v>
      </c>
      <c r="C533" s="10" t="str">
        <f>"9780520925014"</f>
        <v>9780520925014</v>
      </c>
      <c r="D533" s="10" t="s">
        <v>8512</v>
      </c>
      <c r="E533" s="10" t="s">
        <v>8512</v>
      </c>
      <c r="F533" s="10" t="s">
        <v>717</v>
      </c>
      <c r="G533" s="10" t="s">
        <v>6317</v>
      </c>
      <c r="H533" s="11">
        <v>37180</v>
      </c>
      <c r="I533" s="10">
        <v>2002</v>
      </c>
      <c r="J533" s="10" t="s">
        <v>8512</v>
      </c>
      <c r="K533" s="10">
        <v>576</v>
      </c>
      <c r="L533" s="10" t="s">
        <v>8531</v>
      </c>
      <c r="M533" s="10">
        <v>1</v>
      </c>
      <c r="N533" s="10"/>
      <c r="O533" s="10"/>
      <c r="P533" s="10" t="s">
        <v>8532</v>
      </c>
      <c r="Q533" s="10"/>
      <c r="R533" s="10" t="s">
        <v>8533</v>
      </c>
      <c r="S533" s="10" t="s">
        <v>53</v>
      </c>
      <c r="T533" s="10" t="s">
        <v>54</v>
      </c>
    </row>
    <row r="534" spans="1:20" ht="14.5" x14ac:dyDescent="0.35">
      <c r="A534" s="10" t="s">
        <v>8534</v>
      </c>
      <c r="B534" s="10" t="str">
        <f>"9780520242494"</f>
        <v>9780520242494</v>
      </c>
      <c r="C534" s="10" t="str">
        <f>"9780520938151"</f>
        <v>9780520938151</v>
      </c>
      <c r="D534" s="10" t="s">
        <v>8512</v>
      </c>
      <c r="E534" s="10" t="s">
        <v>8512</v>
      </c>
      <c r="F534" s="10" t="s">
        <v>717</v>
      </c>
      <c r="G534" s="10" t="s">
        <v>6317</v>
      </c>
      <c r="H534" s="11">
        <v>38271</v>
      </c>
      <c r="I534" s="10">
        <v>2004</v>
      </c>
      <c r="J534" s="10" t="s">
        <v>8512</v>
      </c>
      <c r="K534" s="10">
        <v>290</v>
      </c>
      <c r="L534" s="10" t="s">
        <v>8535</v>
      </c>
      <c r="M534" s="10">
        <v>1</v>
      </c>
      <c r="N534" s="10"/>
      <c r="O534" s="10"/>
      <c r="P534" s="10" t="s">
        <v>8536</v>
      </c>
      <c r="Q534" s="10">
        <v>174.937873</v>
      </c>
      <c r="R534" s="10"/>
      <c r="S534" s="10" t="s">
        <v>53</v>
      </c>
      <c r="T534" s="10" t="s">
        <v>8537</v>
      </c>
    </row>
    <row r="535" spans="1:20" ht="14.5" x14ac:dyDescent="0.35">
      <c r="A535" s="10" t="s">
        <v>8538</v>
      </c>
      <c r="B535" s="10" t="str">
        <f>"9780520236417"</f>
        <v>9780520236417</v>
      </c>
      <c r="C535" s="10" t="str">
        <f>"9780520929531"</f>
        <v>9780520929531</v>
      </c>
      <c r="D535" s="10" t="s">
        <v>8512</v>
      </c>
      <c r="E535" s="10" t="s">
        <v>8512</v>
      </c>
      <c r="F535" s="10" t="s">
        <v>717</v>
      </c>
      <c r="G535" s="10" t="s">
        <v>6317</v>
      </c>
      <c r="H535" s="11">
        <v>37676</v>
      </c>
      <c r="I535" s="10">
        <v>2003</v>
      </c>
      <c r="J535" s="10" t="s">
        <v>8512</v>
      </c>
      <c r="K535" s="10">
        <v>493</v>
      </c>
      <c r="L535" s="10" t="s">
        <v>8531</v>
      </c>
      <c r="M535" s="10">
        <v>1</v>
      </c>
      <c r="N535" s="10"/>
      <c r="O535" s="10"/>
      <c r="P535" s="10" t="s">
        <v>8539</v>
      </c>
      <c r="Q535" s="10"/>
      <c r="R535" s="10" t="s">
        <v>8540</v>
      </c>
      <c r="S535" s="10" t="s">
        <v>53</v>
      </c>
      <c r="T535" s="10" t="s">
        <v>54</v>
      </c>
    </row>
    <row r="536" spans="1:20" ht="14.5" x14ac:dyDescent="0.35">
      <c r="A536" s="10" t="s">
        <v>8541</v>
      </c>
      <c r="B536" s="10" t="str">
        <f>"9780520237674"</f>
        <v>9780520237674</v>
      </c>
      <c r="C536" s="10" t="str">
        <f>"9780520929906"</f>
        <v>9780520929906</v>
      </c>
      <c r="D536" s="10" t="s">
        <v>8512</v>
      </c>
      <c r="E536" s="10" t="s">
        <v>8512</v>
      </c>
      <c r="F536" s="10" t="s">
        <v>717</v>
      </c>
      <c r="G536" s="10" t="s">
        <v>6317</v>
      </c>
      <c r="H536" s="11">
        <v>38044</v>
      </c>
      <c r="I536" s="10">
        <v>2005</v>
      </c>
      <c r="J536" s="10" t="s">
        <v>8512</v>
      </c>
      <c r="K536" s="10">
        <v>341</v>
      </c>
      <c r="L536" s="10" t="s">
        <v>8542</v>
      </c>
      <c r="M536" s="10">
        <v>1</v>
      </c>
      <c r="N536" s="10" t="s">
        <v>8543</v>
      </c>
      <c r="O536" s="10">
        <v>3</v>
      </c>
      <c r="P536" s="10" t="s">
        <v>8544</v>
      </c>
      <c r="Q536" s="10">
        <v>379.51</v>
      </c>
      <c r="R536" s="10" t="s">
        <v>8545</v>
      </c>
      <c r="S536" s="10" t="s">
        <v>53</v>
      </c>
      <c r="T536" s="10" t="s">
        <v>54</v>
      </c>
    </row>
    <row r="537" spans="1:20" ht="14.5" x14ac:dyDescent="0.35">
      <c r="A537" s="10" t="s">
        <v>8546</v>
      </c>
      <c r="B537" s="10" t="str">
        <f>"9780122564307"</f>
        <v>9780122564307</v>
      </c>
      <c r="C537" s="10" t="str">
        <f>"9780080519159"</f>
        <v>9780080519159</v>
      </c>
      <c r="D537" s="10" t="s">
        <v>8547</v>
      </c>
      <c r="E537" s="10" t="s">
        <v>8548</v>
      </c>
      <c r="F537" s="10" t="s">
        <v>1232</v>
      </c>
      <c r="G537" s="10" t="s">
        <v>6317</v>
      </c>
      <c r="H537" s="11">
        <v>37901</v>
      </c>
      <c r="I537" s="10">
        <v>2003</v>
      </c>
      <c r="J537" s="10" t="s">
        <v>1231</v>
      </c>
      <c r="K537" s="10">
        <v>606</v>
      </c>
      <c r="L537" s="10" t="s">
        <v>8549</v>
      </c>
      <c r="M537" s="10">
        <v>1</v>
      </c>
      <c r="N537" s="10" t="s">
        <v>8550</v>
      </c>
      <c r="O537" s="10"/>
      <c r="P537" s="10" t="s">
        <v>8551</v>
      </c>
      <c r="Q537" s="10" t="s">
        <v>8552</v>
      </c>
      <c r="R537" s="10" t="s">
        <v>8553</v>
      </c>
      <c r="S537" s="10" t="s">
        <v>53</v>
      </c>
      <c r="T537" s="10" t="s">
        <v>8554</v>
      </c>
    </row>
    <row r="538" spans="1:20" ht="14.5" x14ac:dyDescent="0.35">
      <c r="A538" s="10" t="s">
        <v>8555</v>
      </c>
      <c r="B538" s="10" t="str">
        <f>"9780126179552"</f>
        <v>9780126179552</v>
      </c>
      <c r="C538" s="10" t="str">
        <f>"9780080490588"</f>
        <v>9780080490588</v>
      </c>
      <c r="D538" s="10" t="s">
        <v>8547</v>
      </c>
      <c r="E538" s="10" t="s">
        <v>8548</v>
      </c>
      <c r="F538" s="10" t="s">
        <v>1232</v>
      </c>
      <c r="G538" s="10" t="s">
        <v>6317</v>
      </c>
      <c r="H538" s="11">
        <v>38149</v>
      </c>
      <c r="I538" s="10">
        <v>2004</v>
      </c>
      <c r="J538" s="10" t="s">
        <v>1231</v>
      </c>
      <c r="K538" s="10">
        <v>287</v>
      </c>
      <c r="L538" s="10" t="s">
        <v>8556</v>
      </c>
      <c r="M538" s="10">
        <v>1</v>
      </c>
      <c r="N538" s="10" t="s">
        <v>8550</v>
      </c>
      <c r="O538" s="10"/>
      <c r="P538" s="10" t="s">
        <v>8557</v>
      </c>
      <c r="Q538" s="10" t="s">
        <v>6920</v>
      </c>
      <c r="R538" s="10" t="s">
        <v>8558</v>
      </c>
      <c r="S538" s="10" t="s">
        <v>53</v>
      </c>
      <c r="T538" s="10" t="s">
        <v>54</v>
      </c>
    </row>
    <row r="539" spans="1:20" ht="14.5" x14ac:dyDescent="0.35">
      <c r="A539" s="10" t="s">
        <v>8559</v>
      </c>
      <c r="B539" s="10" t="str">
        <f>"9780125060417"</f>
        <v>9780125060417</v>
      </c>
      <c r="C539" s="10" t="str">
        <f>"9780080491301"</f>
        <v>9780080491301</v>
      </c>
      <c r="D539" s="10" t="s">
        <v>8547</v>
      </c>
      <c r="E539" s="10" t="s">
        <v>8548</v>
      </c>
      <c r="F539" s="10" t="s">
        <v>1232</v>
      </c>
      <c r="G539" s="10" t="s">
        <v>6317</v>
      </c>
      <c r="H539" s="11">
        <v>38167</v>
      </c>
      <c r="I539" s="10">
        <v>2004</v>
      </c>
      <c r="J539" s="10" t="s">
        <v>1231</v>
      </c>
      <c r="K539" s="10">
        <v>407</v>
      </c>
      <c r="L539" s="10" t="s">
        <v>8560</v>
      </c>
      <c r="M539" s="10">
        <v>1</v>
      </c>
      <c r="N539" s="10" t="s">
        <v>8550</v>
      </c>
      <c r="O539" s="10"/>
      <c r="P539" s="10" t="s">
        <v>8561</v>
      </c>
      <c r="Q539" s="10">
        <v>371.10199999999998</v>
      </c>
      <c r="R539" s="10" t="s">
        <v>8562</v>
      </c>
      <c r="S539" s="10" t="s">
        <v>53</v>
      </c>
      <c r="T539" s="10" t="s">
        <v>54</v>
      </c>
    </row>
    <row r="540" spans="1:20" ht="14.5" x14ac:dyDescent="0.35">
      <c r="A540" s="10" t="s">
        <v>8563</v>
      </c>
      <c r="B540" s="10" t="str">
        <f>"9780126503593"</f>
        <v>9780126503593</v>
      </c>
      <c r="C540" s="10" t="str">
        <f>"9780080478951"</f>
        <v>9780080478951</v>
      </c>
      <c r="D540" s="10" t="s">
        <v>8564</v>
      </c>
      <c r="E540" s="10" t="s">
        <v>8565</v>
      </c>
      <c r="F540" s="10" t="s">
        <v>8566</v>
      </c>
      <c r="G540" s="10" t="s">
        <v>6317</v>
      </c>
      <c r="H540" s="11">
        <v>37773</v>
      </c>
      <c r="I540" s="10">
        <v>2005</v>
      </c>
      <c r="J540" s="10" t="s">
        <v>8565</v>
      </c>
      <c r="K540" s="10">
        <v>283</v>
      </c>
      <c r="L540" s="10" t="s">
        <v>8567</v>
      </c>
      <c r="M540" s="10">
        <v>1</v>
      </c>
      <c r="N540" s="10"/>
      <c r="O540" s="10"/>
      <c r="P540" s="10" t="s">
        <v>8568</v>
      </c>
      <c r="Q540" s="10">
        <v>371.91424599999999</v>
      </c>
      <c r="R540" s="10" t="s">
        <v>8569</v>
      </c>
      <c r="S540" s="10" t="s">
        <v>53</v>
      </c>
      <c r="T540" s="10" t="s">
        <v>54</v>
      </c>
    </row>
    <row r="541" spans="1:20" ht="14.5" x14ac:dyDescent="0.35">
      <c r="A541" s="10" t="s">
        <v>8570</v>
      </c>
      <c r="B541" s="10" t="str">
        <f>""</f>
        <v/>
      </c>
      <c r="C541" s="10" t="str">
        <f>"9789812562241"</f>
        <v>9789812562241</v>
      </c>
      <c r="D541" s="10" t="s">
        <v>8571</v>
      </c>
      <c r="E541" s="10" t="s">
        <v>8572</v>
      </c>
      <c r="F541" s="10" t="s">
        <v>549</v>
      </c>
      <c r="G541" s="10" t="s">
        <v>8573</v>
      </c>
      <c r="H541" s="11">
        <v>38229</v>
      </c>
      <c r="I541" s="10">
        <v>2004</v>
      </c>
      <c r="J541" s="10" t="s">
        <v>8574</v>
      </c>
      <c r="K541" s="10">
        <v>591</v>
      </c>
      <c r="L541" s="10" t="s">
        <v>8575</v>
      </c>
      <c r="M541" s="10">
        <v>1</v>
      </c>
      <c r="N541" s="10" t="s">
        <v>8576</v>
      </c>
      <c r="O541" s="10">
        <v>1</v>
      </c>
      <c r="P541" s="10" t="s">
        <v>8577</v>
      </c>
      <c r="Q541" s="10">
        <v>372.70951000000002</v>
      </c>
      <c r="R541" s="10" t="s">
        <v>8578</v>
      </c>
      <c r="S541" s="10" t="s">
        <v>53</v>
      </c>
      <c r="T541" s="10" t="s">
        <v>7425</v>
      </c>
    </row>
    <row r="542" spans="1:20" ht="14.5" x14ac:dyDescent="0.35">
      <c r="A542" s="10" t="s">
        <v>8579</v>
      </c>
      <c r="B542" s="10" t="str">
        <f>"9780805846232"</f>
        <v>9780805846232</v>
      </c>
      <c r="C542" s="10" t="str">
        <f>"9781410611857"</f>
        <v>9781410611857</v>
      </c>
      <c r="D542" s="10" t="s">
        <v>6350</v>
      </c>
      <c r="E542" s="10" t="s">
        <v>6351</v>
      </c>
      <c r="F542" s="10" t="s">
        <v>4325</v>
      </c>
      <c r="G542" s="10" t="s">
        <v>6317</v>
      </c>
      <c r="H542" s="11">
        <v>38314</v>
      </c>
      <c r="I542" s="10">
        <v>2004</v>
      </c>
      <c r="J542" s="10" t="s">
        <v>6353</v>
      </c>
      <c r="K542" s="10">
        <v>335</v>
      </c>
      <c r="L542" s="10" t="s">
        <v>8580</v>
      </c>
      <c r="M542" s="10">
        <v>1</v>
      </c>
      <c r="N542" s="10"/>
      <c r="O542" s="10"/>
      <c r="P542" s="10" t="s">
        <v>8581</v>
      </c>
      <c r="Q542" s="10">
        <v>374</v>
      </c>
      <c r="R542" s="10" t="s">
        <v>8582</v>
      </c>
      <c r="S542" s="10" t="s">
        <v>53</v>
      </c>
      <c r="T542" s="10" t="s">
        <v>54</v>
      </c>
    </row>
    <row r="543" spans="1:20" ht="14.5" x14ac:dyDescent="0.35">
      <c r="A543" s="10" t="s">
        <v>8583</v>
      </c>
      <c r="B543" s="10" t="str">
        <f>"9780805849646"</f>
        <v>9780805849646</v>
      </c>
      <c r="C543" s="10" t="str">
        <f>"9781410611901"</f>
        <v>9781410611901</v>
      </c>
      <c r="D543" s="10" t="s">
        <v>6350</v>
      </c>
      <c r="E543" s="10" t="s">
        <v>6351</v>
      </c>
      <c r="F543" s="10" t="s">
        <v>4325</v>
      </c>
      <c r="G543" s="10" t="s">
        <v>6317</v>
      </c>
      <c r="H543" s="11">
        <v>38314</v>
      </c>
      <c r="I543" s="10">
        <v>2004</v>
      </c>
      <c r="J543" s="10" t="s">
        <v>6353</v>
      </c>
      <c r="K543" s="10">
        <v>397</v>
      </c>
      <c r="L543" s="10" t="s">
        <v>8584</v>
      </c>
      <c r="M543" s="10">
        <v>1</v>
      </c>
      <c r="N543" s="10" t="s">
        <v>8585</v>
      </c>
      <c r="O543" s="10"/>
      <c r="P543" s="10" t="s">
        <v>8586</v>
      </c>
      <c r="Q543" s="10" t="s">
        <v>8587</v>
      </c>
      <c r="R543" s="10" t="s">
        <v>8588</v>
      </c>
      <c r="S543" s="10" t="s">
        <v>53</v>
      </c>
      <c r="T543" s="10" t="s">
        <v>54</v>
      </c>
    </row>
    <row r="544" spans="1:20" ht="14.5" x14ac:dyDescent="0.35">
      <c r="A544" s="10" t="s">
        <v>8589</v>
      </c>
      <c r="B544" s="10" t="str">
        <f>"9780805848489"</f>
        <v>9780805848489</v>
      </c>
      <c r="C544" s="10" t="str">
        <f>"9781410611956"</f>
        <v>9781410611956</v>
      </c>
      <c r="D544" s="10" t="s">
        <v>6350</v>
      </c>
      <c r="E544" s="10" t="s">
        <v>6351</v>
      </c>
      <c r="F544" s="10" t="s">
        <v>748</v>
      </c>
      <c r="G544" s="10" t="s">
        <v>6352</v>
      </c>
      <c r="H544" s="11">
        <v>38321</v>
      </c>
      <c r="I544" s="10">
        <v>2005</v>
      </c>
      <c r="J544" s="10" t="s">
        <v>6351</v>
      </c>
      <c r="K544" s="10">
        <v>238</v>
      </c>
      <c r="L544" s="10" t="s">
        <v>8590</v>
      </c>
      <c r="M544" s="10">
        <v>1</v>
      </c>
      <c r="N544" s="10"/>
      <c r="O544" s="10"/>
      <c r="P544" s="10" t="s">
        <v>8591</v>
      </c>
      <c r="Q544" s="10">
        <v>370.11399999999998</v>
      </c>
      <c r="R544" s="10" t="s">
        <v>8592</v>
      </c>
      <c r="S544" s="10" t="s">
        <v>53</v>
      </c>
      <c r="T544" s="10" t="s">
        <v>54</v>
      </c>
    </row>
    <row r="545" spans="1:20" ht="14.5" x14ac:dyDescent="0.35">
      <c r="A545" s="10" t="s">
        <v>8593</v>
      </c>
      <c r="B545" s="10" t="str">
        <f>"9780805850017"</f>
        <v>9780805850017</v>
      </c>
      <c r="C545" s="10" t="str">
        <f>"9781410612052"</f>
        <v>9781410612052</v>
      </c>
      <c r="D545" s="10" t="s">
        <v>6350</v>
      </c>
      <c r="E545" s="10" t="s">
        <v>6351</v>
      </c>
      <c r="F545" s="10" t="s">
        <v>4325</v>
      </c>
      <c r="G545" s="10" t="s">
        <v>6317</v>
      </c>
      <c r="H545" s="11">
        <v>38348</v>
      </c>
      <c r="I545" s="10">
        <v>2004</v>
      </c>
      <c r="J545" s="10" t="s">
        <v>4324</v>
      </c>
      <c r="K545" s="10">
        <v>213</v>
      </c>
      <c r="L545" s="10" t="s">
        <v>8594</v>
      </c>
      <c r="M545" s="10">
        <v>1</v>
      </c>
      <c r="N545" s="10"/>
      <c r="O545" s="10"/>
      <c r="P545" s="10" t="s">
        <v>8595</v>
      </c>
      <c r="Q545" s="10" t="s">
        <v>8596</v>
      </c>
      <c r="R545" s="10" t="s">
        <v>8597</v>
      </c>
      <c r="S545" s="10" t="s">
        <v>53</v>
      </c>
      <c r="T545" s="10" t="s">
        <v>54</v>
      </c>
    </row>
    <row r="546" spans="1:20" ht="14.5" x14ac:dyDescent="0.35">
      <c r="A546" s="10" t="s">
        <v>8598</v>
      </c>
      <c r="B546" s="10" t="str">
        <f>"9780805852585"</f>
        <v>9780805852585</v>
      </c>
      <c r="C546" s="10" t="str">
        <f>"9781410612083"</f>
        <v>9781410612083</v>
      </c>
      <c r="D546" s="10" t="s">
        <v>6350</v>
      </c>
      <c r="E546" s="10" t="s">
        <v>6351</v>
      </c>
      <c r="F546" s="10" t="s">
        <v>748</v>
      </c>
      <c r="G546" s="10" t="s">
        <v>6352</v>
      </c>
      <c r="H546" s="11">
        <v>38330</v>
      </c>
      <c r="I546" s="10">
        <v>2005</v>
      </c>
      <c r="J546" s="10" t="s">
        <v>6351</v>
      </c>
      <c r="K546" s="10">
        <v>348</v>
      </c>
      <c r="L546" s="10" t="s">
        <v>8599</v>
      </c>
      <c r="M546" s="10">
        <v>2</v>
      </c>
      <c r="N546" s="10"/>
      <c r="O546" s="10"/>
      <c r="P546" s="10" t="s">
        <v>8600</v>
      </c>
      <c r="Q546" s="10">
        <v>428.00707299999999</v>
      </c>
      <c r="R546" s="10" t="s">
        <v>8601</v>
      </c>
      <c r="S546" s="10" t="s">
        <v>53</v>
      </c>
      <c r="T546" s="10" t="s">
        <v>6634</v>
      </c>
    </row>
    <row r="547" spans="1:20" ht="14.5" x14ac:dyDescent="0.35">
      <c r="A547" s="10" t="s">
        <v>8602</v>
      </c>
      <c r="B547" s="10" t="str">
        <f>"9780805839425"</f>
        <v>9780805839425</v>
      </c>
      <c r="C547" s="10" t="str">
        <f>"9781410612182"</f>
        <v>9781410612182</v>
      </c>
      <c r="D547" s="10" t="s">
        <v>6350</v>
      </c>
      <c r="E547" s="10" t="s">
        <v>6351</v>
      </c>
      <c r="F547" s="10" t="s">
        <v>4325</v>
      </c>
      <c r="G547" s="10" t="s">
        <v>6317</v>
      </c>
      <c r="H547" s="11">
        <v>37347</v>
      </c>
      <c r="I547" s="10">
        <v>2002</v>
      </c>
      <c r="J547" s="10" t="s">
        <v>6353</v>
      </c>
      <c r="K547" s="10">
        <v>541</v>
      </c>
      <c r="L547" s="10" t="s">
        <v>8603</v>
      </c>
      <c r="M547" s="10">
        <v>1</v>
      </c>
      <c r="N547" s="10"/>
      <c r="O547" s="10"/>
      <c r="P547" s="10" t="s">
        <v>8604</v>
      </c>
      <c r="Q547" s="10" t="s">
        <v>6942</v>
      </c>
      <c r="R547" s="10" t="s">
        <v>8605</v>
      </c>
      <c r="S547" s="10" t="s">
        <v>53</v>
      </c>
      <c r="T547" s="10" t="s">
        <v>54</v>
      </c>
    </row>
    <row r="548" spans="1:20" ht="14.5" x14ac:dyDescent="0.35">
      <c r="A548" s="10" t="s">
        <v>8606</v>
      </c>
      <c r="B548" s="10" t="str">
        <f>"9780805844474"</f>
        <v>9780805844474</v>
      </c>
      <c r="C548" s="10" t="str">
        <f>"9781410606297"</f>
        <v>9781410606297</v>
      </c>
      <c r="D548" s="10" t="s">
        <v>6350</v>
      </c>
      <c r="E548" s="10" t="s">
        <v>6351</v>
      </c>
      <c r="F548" s="10" t="s">
        <v>4325</v>
      </c>
      <c r="G548" s="10" t="s">
        <v>6317</v>
      </c>
      <c r="H548" s="11">
        <v>37438</v>
      </c>
      <c r="I548" s="10">
        <v>2002</v>
      </c>
      <c r="J548" s="10" t="s">
        <v>6353</v>
      </c>
      <c r="K548" s="10">
        <v>879</v>
      </c>
      <c r="L548" s="10" t="s">
        <v>8607</v>
      </c>
      <c r="M548" s="10">
        <v>1</v>
      </c>
      <c r="N548" s="10" t="s">
        <v>8608</v>
      </c>
      <c r="O548" s="10"/>
      <c r="P548" s="10" t="s">
        <v>8609</v>
      </c>
      <c r="Q548" s="10">
        <v>371.92599999999999</v>
      </c>
      <c r="R548" s="10" t="s">
        <v>8610</v>
      </c>
      <c r="S548" s="10" t="s">
        <v>53</v>
      </c>
      <c r="T548" s="10" t="s">
        <v>54</v>
      </c>
    </row>
    <row r="549" spans="1:20" ht="14.5" x14ac:dyDescent="0.35">
      <c r="A549" s="10" t="s">
        <v>8611</v>
      </c>
      <c r="B549" s="10" t="str">
        <f>"9780805832938"</f>
        <v>9780805832938</v>
      </c>
      <c r="C549" s="10" t="str">
        <f>"9781410612267"</f>
        <v>9781410612267</v>
      </c>
      <c r="D549" s="10" t="s">
        <v>6350</v>
      </c>
      <c r="E549" s="10" t="s">
        <v>6351</v>
      </c>
      <c r="F549" s="10" t="s">
        <v>4325</v>
      </c>
      <c r="G549" s="10" t="s">
        <v>6317</v>
      </c>
      <c r="H549" s="11">
        <v>36892</v>
      </c>
      <c r="I549" s="10">
        <v>2001</v>
      </c>
      <c r="J549" s="10" t="s">
        <v>6353</v>
      </c>
      <c r="K549" s="10">
        <v>262</v>
      </c>
      <c r="L549" s="10" t="s">
        <v>8612</v>
      </c>
      <c r="M549" s="10">
        <v>1</v>
      </c>
      <c r="N549" s="10" t="s">
        <v>8613</v>
      </c>
      <c r="O549" s="10">
        <v>11</v>
      </c>
      <c r="P549" s="10" t="s">
        <v>8614</v>
      </c>
      <c r="Q549" s="10">
        <v>401.9</v>
      </c>
      <c r="R549" s="10" t="s">
        <v>8615</v>
      </c>
      <c r="S549" s="10" t="s">
        <v>53</v>
      </c>
      <c r="T549" s="10" t="s">
        <v>6634</v>
      </c>
    </row>
    <row r="550" spans="1:20" ht="14.5" x14ac:dyDescent="0.35">
      <c r="A550" s="10" t="s">
        <v>8616</v>
      </c>
      <c r="B550" s="10" t="str">
        <f>"9780805836240"</f>
        <v>9780805836240</v>
      </c>
      <c r="C550" s="10" t="str">
        <f>"9781410612281"</f>
        <v>9781410612281</v>
      </c>
      <c r="D550" s="10" t="s">
        <v>6350</v>
      </c>
      <c r="E550" s="10" t="s">
        <v>6351</v>
      </c>
      <c r="F550" s="10" t="s">
        <v>4325</v>
      </c>
      <c r="G550" s="10" t="s">
        <v>6317</v>
      </c>
      <c r="H550" s="11">
        <v>36495</v>
      </c>
      <c r="I550" s="10">
        <v>2000</v>
      </c>
      <c r="J550" s="10" t="s">
        <v>4324</v>
      </c>
      <c r="K550" s="10">
        <v>266</v>
      </c>
      <c r="L550" s="10" t="s">
        <v>8617</v>
      </c>
      <c r="M550" s="10">
        <v>1</v>
      </c>
      <c r="N550" s="10"/>
      <c r="O550" s="10"/>
      <c r="P550" s="10" t="s">
        <v>8618</v>
      </c>
      <c r="Q550" s="10">
        <v>155</v>
      </c>
      <c r="R550" s="10" t="s">
        <v>8619</v>
      </c>
      <c r="S550" s="10" t="s">
        <v>53</v>
      </c>
      <c r="T550" s="10" t="s">
        <v>483</v>
      </c>
    </row>
    <row r="551" spans="1:20" ht="14.5" x14ac:dyDescent="0.35">
      <c r="A551" s="10" t="s">
        <v>8620</v>
      </c>
      <c r="B551" s="10" t="str">
        <f>"9780805840292"</f>
        <v>9780805840292</v>
      </c>
      <c r="C551" s="10" t="str">
        <f>"9781410612427"</f>
        <v>9781410612427</v>
      </c>
      <c r="D551" s="10" t="s">
        <v>6350</v>
      </c>
      <c r="E551" s="10" t="s">
        <v>6351</v>
      </c>
      <c r="F551" s="10" t="s">
        <v>4325</v>
      </c>
      <c r="G551" s="10" t="s">
        <v>6317</v>
      </c>
      <c r="H551" s="11">
        <v>37165</v>
      </c>
      <c r="I551" s="10">
        <v>2001</v>
      </c>
      <c r="J551" s="10" t="s">
        <v>4324</v>
      </c>
      <c r="K551" s="10">
        <v>284</v>
      </c>
      <c r="L551" s="10" t="s">
        <v>8621</v>
      </c>
      <c r="M551" s="10">
        <v>1</v>
      </c>
      <c r="N551" s="10"/>
      <c r="O551" s="10"/>
      <c r="P551" s="10" t="s">
        <v>8622</v>
      </c>
      <c r="Q551" s="10" t="s">
        <v>8623</v>
      </c>
      <c r="R551" s="10" t="s">
        <v>8624</v>
      </c>
      <c r="S551" s="10" t="s">
        <v>53</v>
      </c>
      <c r="T551" s="10" t="s">
        <v>8625</v>
      </c>
    </row>
    <row r="552" spans="1:20" ht="14.5" x14ac:dyDescent="0.35">
      <c r="A552" s="10" t="s">
        <v>8626</v>
      </c>
      <c r="B552" s="10" t="str">
        <f>"9780805841336"</f>
        <v>9780805841336</v>
      </c>
      <c r="C552" s="10" t="str">
        <f>"9781410612489"</f>
        <v>9781410612489</v>
      </c>
      <c r="D552" s="10" t="s">
        <v>6350</v>
      </c>
      <c r="E552" s="10" t="s">
        <v>6351</v>
      </c>
      <c r="F552" s="10" t="s">
        <v>3967</v>
      </c>
      <c r="G552" s="10" t="s">
        <v>6352</v>
      </c>
      <c r="H552" s="11">
        <v>37347</v>
      </c>
      <c r="I552" s="10">
        <v>2002</v>
      </c>
      <c r="J552" s="10" t="s">
        <v>6353</v>
      </c>
      <c r="K552" s="10">
        <v>420</v>
      </c>
      <c r="L552" s="10" t="s">
        <v>8627</v>
      </c>
      <c r="M552" s="10">
        <v>1</v>
      </c>
      <c r="N552" s="10"/>
      <c r="O552" s="10"/>
      <c r="P552" s="10" t="s">
        <v>8628</v>
      </c>
      <c r="Q552" s="10">
        <v>372.4</v>
      </c>
      <c r="R552" s="10" t="s">
        <v>8629</v>
      </c>
      <c r="S552" s="10" t="s">
        <v>53</v>
      </c>
      <c r="T552" s="10" t="s">
        <v>54</v>
      </c>
    </row>
    <row r="553" spans="1:20" ht="14.5" x14ac:dyDescent="0.35">
      <c r="A553" s="10" t="s">
        <v>8630</v>
      </c>
      <c r="B553" s="10" t="str">
        <f>"9780805844306"</f>
        <v>9780805844306</v>
      </c>
      <c r="C553" s="10" t="str">
        <f>"9781410612748"</f>
        <v>9781410612748</v>
      </c>
      <c r="D553" s="10" t="s">
        <v>6350</v>
      </c>
      <c r="E553" s="10" t="s">
        <v>6351</v>
      </c>
      <c r="F553" s="10" t="s">
        <v>4325</v>
      </c>
      <c r="G553" s="10" t="s">
        <v>6317</v>
      </c>
      <c r="H553" s="11">
        <v>38357</v>
      </c>
      <c r="I553" s="10">
        <v>2005</v>
      </c>
      <c r="J553" s="10" t="s">
        <v>4324</v>
      </c>
      <c r="K553" s="10">
        <v>565</v>
      </c>
      <c r="L553" s="10" t="s">
        <v>8631</v>
      </c>
      <c r="M553" s="10">
        <v>1</v>
      </c>
      <c r="N553" s="10"/>
      <c r="O553" s="10"/>
      <c r="P553" s="10" t="s">
        <v>8632</v>
      </c>
      <c r="Q553" s="10">
        <v>371.8</v>
      </c>
      <c r="R553" s="10" t="s">
        <v>8633</v>
      </c>
      <c r="S553" s="10" t="s">
        <v>53</v>
      </c>
      <c r="T553" s="10" t="s">
        <v>54</v>
      </c>
    </row>
    <row r="554" spans="1:20" ht="14.5" x14ac:dyDescent="0.35">
      <c r="A554" s="10" t="s">
        <v>8634</v>
      </c>
      <c r="B554" s="10" t="str">
        <f>"9780805846553"</f>
        <v>9780805846553</v>
      </c>
      <c r="C554" s="10" t="str">
        <f>"9781410612762"</f>
        <v>9781410612762</v>
      </c>
      <c r="D554" s="10" t="s">
        <v>6350</v>
      </c>
      <c r="E554" s="10" t="s">
        <v>6351</v>
      </c>
      <c r="F554" s="10" t="s">
        <v>748</v>
      </c>
      <c r="G554" s="10" t="s">
        <v>6352</v>
      </c>
      <c r="H554" s="11">
        <v>38392</v>
      </c>
      <c r="I554" s="10">
        <v>2005</v>
      </c>
      <c r="J554" s="10" t="s">
        <v>6351</v>
      </c>
      <c r="K554" s="10">
        <v>439</v>
      </c>
      <c r="L554" s="10" t="s">
        <v>8635</v>
      </c>
      <c r="M554" s="10">
        <v>1</v>
      </c>
      <c r="N554" s="10"/>
      <c r="O554" s="10"/>
      <c r="P554" s="10" t="s">
        <v>8636</v>
      </c>
      <c r="Q554" s="10">
        <v>372.47</v>
      </c>
      <c r="R554" s="10" t="s">
        <v>8637</v>
      </c>
      <c r="S554" s="10" t="s">
        <v>53</v>
      </c>
      <c r="T554" s="10" t="s">
        <v>54</v>
      </c>
    </row>
    <row r="555" spans="1:20" ht="14.5" x14ac:dyDescent="0.35">
      <c r="A555" s="10" t="s">
        <v>8638</v>
      </c>
      <c r="B555" s="10" t="str">
        <f>"9780805855210"</f>
        <v>9780805855210</v>
      </c>
      <c r="C555" s="10" t="str">
        <f>"9781410612809"</f>
        <v>9781410612809</v>
      </c>
      <c r="D555" s="10" t="s">
        <v>6350</v>
      </c>
      <c r="E555" s="10" t="s">
        <v>6351</v>
      </c>
      <c r="F555" s="10" t="s">
        <v>4325</v>
      </c>
      <c r="G555" s="10" t="s">
        <v>6317</v>
      </c>
      <c r="H555" s="11">
        <v>38391</v>
      </c>
      <c r="I555" s="10">
        <v>2005</v>
      </c>
      <c r="J555" s="10" t="s">
        <v>6353</v>
      </c>
      <c r="K555" s="10">
        <v>340</v>
      </c>
      <c r="L555" s="10" t="s">
        <v>8639</v>
      </c>
      <c r="M555" s="10">
        <v>1</v>
      </c>
      <c r="N555" s="10"/>
      <c r="O555" s="10"/>
      <c r="P555" s="10" t="s">
        <v>8640</v>
      </c>
      <c r="Q555" s="10">
        <v>371.26097299999998</v>
      </c>
      <c r="R555" s="10" t="s">
        <v>8641</v>
      </c>
      <c r="S555" s="10" t="s">
        <v>53</v>
      </c>
      <c r="T555" s="10" t="s">
        <v>54</v>
      </c>
    </row>
    <row r="556" spans="1:20" ht="14.5" x14ac:dyDescent="0.35">
      <c r="A556" s="10" t="s">
        <v>8642</v>
      </c>
      <c r="B556" s="10" t="str">
        <f>"9780805844962"</f>
        <v>9780805844962</v>
      </c>
      <c r="C556" s="10" t="str">
        <f>"9781410612519"</f>
        <v>9781410612519</v>
      </c>
      <c r="D556" s="10" t="s">
        <v>6350</v>
      </c>
      <c r="E556" s="10" t="s">
        <v>6351</v>
      </c>
      <c r="F556" s="10" t="s">
        <v>748</v>
      </c>
      <c r="G556" s="10" t="s">
        <v>6352</v>
      </c>
      <c r="H556" s="11">
        <v>38400</v>
      </c>
      <c r="I556" s="10">
        <v>2005</v>
      </c>
      <c r="J556" s="10" t="s">
        <v>6351</v>
      </c>
      <c r="K556" s="10">
        <v>268</v>
      </c>
      <c r="L556" s="10" t="s">
        <v>8643</v>
      </c>
      <c r="M556" s="10">
        <v>1</v>
      </c>
      <c r="N556" s="10" t="s">
        <v>8644</v>
      </c>
      <c r="O556" s="10"/>
      <c r="P556" s="10" t="s">
        <v>8645</v>
      </c>
      <c r="Q556" s="10" t="s">
        <v>8646</v>
      </c>
      <c r="R556" s="10" t="s">
        <v>8647</v>
      </c>
      <c r="S556" s="10" t="s">
        <v>53</v>
      </c>
      <c r="T556" s="10" t="s">
        <v>6634</v>
      </c>
    </row>
    <row r="557" spans="1:20" ht="14.5" x14ac:dyDescent="0.35">
      <c r="A557" s="10" t="s">
        <v>8648</v>
      </c>
      <c r="B557" s="10" t="str">
        <f>"9780805849110"</f>
        <v>9780805849110</v>
      </c>
      <c r="C557" s="10" t="str">
        <f>"9781410612595"</f>
        <v>9781410612595</v>
      </c>
      <c r="D557" s="10" t="s">
        <v>6350</v>
      </c>
      <c r="E557" s="10" t="s">
        <v>6351</v>
      </c>
      <c r="F557" s="10" t="s">
        <v>748</v>
      </c>
      <c r="G557" s="10" t="s">
        <v>6352</v>
      </c>
      <c r="H557" s="11">
        <v>38400</v>
      </c>
      <c r="I557" s="10">
        <v>2005</v>
      </c>
      <c r="J557" s="10" t="s">
        <v>6351</v>
      </c>
      <c r="K557" s="10">
        <v>360</v>
      </c>
      <c r="L557" s="10" t="s">
        <v>8649</v>
      </c>
      <c r="M557" s="10">
        <v>1</v>
      </c>
      <c r="N557" s="10"/>
      <c r="O557" s="10"/>
      <c r="P557" s="10" t="s">
        <v>8650</v>
      </c>
      <c r="Q557" s="10">
        <v>371.262</v>
      </c>
      <c r="R557" s="10" t="s">
        <v>8651</v>
      </c>
      <c r="S557" s="10" t="s">
        <v>53</v>
      </c>
      <c r="T557" s="10" t="s">
        <v>54</v>
      </c>
    </row>
    <row r="558" spans="1:20" ht="14.5" x14ac:dyDescent="0.35">
      <c r="A558" s="10" t="s">
        <v>8652</v>
      </c>
      <c r="B558" s="10" t="str">
        <f>"9780833036599"</f>
        <v>9780833036599</v>
      </c>
      <c r="C558" s="10" t="str">
        <f>"9780833040657"</f>
        <v>9780833040657</v>
      </c>
      <c r="D558" s="10" t="s">
        <v>8134</v>
      </c>
      <c r="E558" s="10" t="s">
        <v>8135</v>
      </c>
      <c r="F558" s="10" t="s">
        <v>8136</v>
      </c>
      <c r="G558" s="10" t="s">
        <v>6317</v>
      </c>
      <c r="H558" s="11">
        <v>34871</v>
      </c>
      <c r="I558" s="10">
        <v>2004</v>
      </c>
      <c r="J558" s="10" t="s">
        <v>8363</v>
      </c>
      <c r="K558" s="10">
        <v>747</v>
      </c>
      <c r="L558" s="10" t="s">
        <v>8653</v>
      </c>
      <c r="M558" s="10">
        <v>1</v>
      </c>
      <c r="N558" s="10"/>
      <c r="O558" s="10"/>
      <c r="P558" s="10" t="s">
        <v>8654</v>
      </c>
      <c r="Q558" s="10" t="s">
        <v>8587</v>
      </c>
      <c r="R558" s="10" t="s">
        <v>8655</v>
      </c>
      <c r="S558" s="10" t="s">
        <v>53</v>
      </c>
      <c r="T558" s="10" t="s">
        <v>54</v>
      </c>
    </row>
    <row r="559" spans="1:20" ht="14.5" x14ac:dyDescent="0.35">
      <c r="A559" s="10" t="s">
        <v>8656</v>
      </c>
      <c r="B559" s="10" t="str">
        <f>"9780833027658"</f>
        <v>9780833027658</v>
      </c>
      <c r="C559" s="10" t="str">
        <f>"9780833032553"</f>
        <v>9780833032553</v>
      </c>
      <c r="D559" s="10" t="s">
        <v>8134</v>
      </c>
      <c r="E559" s="10" t="s">
        <v>8135</v>
      </c>
      <c r="F559" s="10" t="s">
        <v>8136</v>
      </c>
      <c r="G559" s="10" t="s">
        <v>6317</v>
      </c>
      <c r="H559" s="11">
        <v>37237</v>
      </c>
      <c r="I559" s="10">
        <v>2001</v>
      </c>
      <c r="J559" s="10" t="s">
        <v>8363</v>
      </c>
      <c r="K559" s="10">
        <v>293</v>
      </c>
      <c r="L559" s="10" t="s">
        <v>8657</v>
      </c>
      <c r="M559" s="10">
        <v>1</v>
      </c>
      <c r="N559" s="10"/>
      <c r="O559" s="10"/>
      <c r="P559" s="10" t="s">
        <v>8658</v>
      </c>
      <c r="Q559" s="10" t="s">
        <v>8659</v>
      </c>
      <c r="R559" s="10" t="s">
        <v>8660</v>
      </c>
      <c r="S559" s="10" t="s">
        <v>53</v>
      </c>
      <c r="T559" s="10" t="s">
        <v>54</v>
      </c>
    </row>
    <row r="560" spans="1:20" ht="14.5" x14ac:dyDescent="0.35">
      <c r="A560" s="10" t="s">
        <v>8661</v>
      </c>
      <c r="B560" s="10" t="str">
        <f>"9780833036520"</f>
        <v>9780833036520</v>
      </c>
      <c r="C560" s="10" t="str">
        <f>"9780833040602"</f>
        <v>9780833040602</v>
      </c>
      <c r="D560" s="10" t="s">
        <v>8134</v>
      </c>
      <c r="E560" s="10" t="s">
        <v>8135</v>
      </c>
      <c r="F560" s="10" t="s">
        <v>8136</v>
      </c>
      <c r="G560" s="10" t="s">
        <v>6317</v>
      </c>
      <c r="H560" s="11">
        <v>34871</v>
      </c>
      <c r="I560" s="10">
        <v>2004</v>
      </c>
      <c r="J560" s="10" t="s">
        <v>8363</v>
      </c>
      <c r="K560" s="10">
        <v>187</v>
      </c>
      <c r="L560" s="10" t="s">
        <v>8662</v>
      </c>
      <c r="M560" s="10">
        <v>1</v>
      </c>
      <c r="N560" s="10"/>
      <c r="O560" s="10"/>
      <c r="P560" s="10" t="s">
        <v>8663</v>
      </c>
      <c r="Q560" s="10" t="s">
        <v>8587</v>
      </c>
      <c r="R560" s="10" t="s">
        <v>8664</v>
      </c>
      <c r="S560" s="10" t="s">
        <v>53</v>
      </c>
      <c r="T560" s="10" t="s">
        <v>54</v>
      </c>
    </row>
    <row r="561" spans="1:20" ht="14.5" x14ac:dyDescent="0.35">
      <c r="A561" s="10" t="s">
        <v>8665</v>
      </c>
      <c r="B561" s="10" t="str">
        <f>"9780833031051"</f>
        <v>9780833031051</v>
      </c>
      <c r="C561" s="10" t="str">
        <f>"9780833032270"</f>
        <v>9780833032270</v>
      </c>
      <c r="D561" s="10" t="s">
        <v>8134</v>
      </c>
      <c r="E561" s="10" t="s">
        <v>8135</v>
      </c>
      <c r="F561" s="10" t="s">
        <v>8136</v>
      </c>
      <c r="G561" s="10" t="s">
        <v>6317</v>
      </c>
      <c r="H561" s="11">
        <v>37364</v>
      </c>
      <c r="I561" s="10">
        <v>2002</v>
      </c>
      <c r="J561" s="10" t="s">
        <v>8363</v>
      </c>
      <c r="K561" s="10">
        <v>183</v>
      </c>
      <c r="L561" s="10" t="s">
        <v>8666</v>
      </c>
      <c r="M561" s="10">
        <v>1</v>
      </c>
      <c r="N561" s="10"/>
      <c r="O561" s="10"/>
      <c r="P561" s="10" t="s">
        <v>8667</v>
      </c>
      <c r="Q561" s="10" t="s">
        <v>8668</v>
      </c>
      <c r="R561" s="10" t="s">
        <v>8669</v>
      </c>
      <c r="S561" s="10" t="s">
        <v>53</v>
      </c>
      <c r="T561" s="10" t="s">
        <v>8670</v>
      </c>
    </row>
    <row r="562" spans="1:20" ht="14.5" x14ac:dyDescent="0.35">
      <c r="A562" s="10" t="s">
        <v>8671</v>
      </c>
      <c r="B562" s="10" t="str">
        <f>"9780833029324"</f>
        <v>9780833029324</v>
      </c>
      <c r="C562" s="10" t="str">
        <f>"9781598751871"</f>
        <v>9781598751871</v>
      </c>
      <c r="D562" s="10" t="s">
        <v>8134</v>
      </c>
      <c r="E562" s="10" t="s">
        <v>8135</v>
      </c>
      <c r="F562" s="10" t="s">
        <v>8136</v>
      </c>
      <c r="G562" s="10" t="s">
        <v>6317</v>
      </c>
      <c r="H562" s="11">
        <v>36892</v>
      </c>
      <c r="I562" s="10">
        <v>2001</v>
      </c>
      <c r="J562" s="10" t="s">
        <v>8363</v>
      </c>
      <c r="K562" s="10">
        <v>152</v>
      </c>
      <c r="L562" s="10" t="s">
        <v>8672</v>
      </c>
      <c r="M562" s="10">
        <v>1</v>
      </c>
      <c r="N562" s="10"/>
      <c r="O562" s="10"/>
      <c r="P562" s="10" t="s">
        <v>8673</v>
      </c>
      <c r="Q562" s="10" t="s">
        <v>8674</v>
      </c>
      <c r="R562" s="10" t="s">
        <v>8675</v>
      </c>
      <c r="S562" s="10" t="s">
        <v>53</v>
      </c>
      <c r="T562" s="10" t="s">
        <v>54</v>
      </c>
    </row>
    <row r="563" spans="1:20" ht="14.5" x14ac:dyDescent="0.35">
      <c r="A563" s="10" t="s">
        <v>8676</v>
      </c>
      <c r="B563" s="10" t="str">
        <f>"9780471716969"</f>
        <v>9780471716969</v>
      </c>
      <c r="C563" s="10" t="str">
        <f>"9780471721109"</f>
        <v>9780471721109</v>
      </c>
      <c r="D563" s="10" t="s">
        <v>6322</v>
      </c>
      <c r="E563" s="10" t="s">
        <v>6323</v>
      </c>
      <c r="F563" s="10" t="s">
        <v>1168</v>
      </c>
      <c r="G563" s="10" t="s">
        <v>6317</v>
      </c>
      <c r="H563" s="11">
        <v>38470</v>
      </c>
      <c r="I563" s="10">
        <v>2005</v>
      </c>
      <c r="J563" s="10" t="s">
        <v>6323</v>
      </c>
      <c r="K563" s="10">
        <v>788</v>
      </c>
      <c r="L563" s="10" t="s">
        <v>8677</v>
      </c>
      <c r="M563" s="10">
        <v>3</v>
      </c>
      <c r="N563" s="10"/>
      <c r="O563" s="10"/>
      <c r="P563" s="10" t="s">
        <v>8678</v>
      </c>
      <c r="Q563" s="10" t="s">
        <v>8679</v>
      </c>
      <c r="R563" s="10" t="s">
        <v>8680</v>
      </c>
      <c r="S563" s="10" t="s">
        <v>53</v>
      </c>
      <c r="T563" s="10" t="s">
        <v>8681</v>
      </c>
    </row>
    <row r="564" spans="1:20" ht="14.5" x14ac:dyDescent="0.35">
      <c r="A564" s="10" t="s">
        <v>8682</v>
      </c>
      <c r="B564" s="10" t="str">
        <f>"9780471656241"</f>
        <v>9780471656241</v>
      </c>
      <c r="C564" s="10" t="str">
        <f>"9780471715917"</f>
        <v>9780471715917</v>
      </c>
      <c r="D564" s="10" t="s">
        <v>6322</v>
      </c>
      <c r="E564" s="10" t="s">
        <v>6323</v>
      </c>
      <c r="F564" s="10" t="s">
        <v>1168</v>
      </c>
      <c r="G564" s="10" t="s">
        <v>6317</v>
      </c>
      <c r="H564" s="11">
        <v>38450</v>
      </c>
      <c r="I564" s="10">
        <v>2005</v>
      </c>
      <c r="J564" s="10" t="s">
        <v>6323</v>
      </c>
      <c r="K564" s="10">
        <v>319</v>
      </c>
      <c r="L564" s="10" t="s">
        <v>8683</v>
      </c>
      <c r="M564" s="10">
        <v>1</v>
      </c>
      <c r="N564" s="10"/>
      <c r="O564" s="10"/>
      <c r="P564" s="10" t="s">
        <v>8684</v>
      </c>
      <c r="Q564" s="10">
        <v>618.9289</v>
      </c>
      <c r="R564" s="10" t="s">
        <v>8685</v>
      </c>
      <c r="S564" s="10" t="s">
        <v>53</v>
      </c>
      <c r="T564" s="10" t="s">
        <v>8681</v>
      </c>
    </row>
    <row r="565" spans="1:20" ht="14.5" x14ac:dyDescent="0.35">
      <c r="A565" s="10" t="s">
        <v>8686</v>
      </c>
      <c r="B565" s="10" t="str">
        <f>"9781930865563"</f>
        <v>9781930865563</v>
      </c>
      <c r="C565" s="10" t="str">
        <f>"9781933995670"</f>
        <v>9781933995670</v>
      </c>
      <c r="D565" s="10" t="s">
        <v>8687</v>
      </c>
      <c r="E565" s="10" t="s">
        <v>8687</v>
      </c>
      <c r="F565" s="10" t="s">
        <v>88</v>
      </c>
      <c r="G565" s="10" t="s">
        <v>6317</v>
      </c>
      <c r="H565" s="11">
        <v>37987</v>
      </c>
      <c r="I565" s="10">
        <v>2004</v>
      </c>
      <c r="J565" s="10" t="s">
        <v>8688</v>
      </c>
      <c r="K565" s="10">
        <v>357</v>
      </c>
      <c r="L565" s="10" t="s">
        <v>8689</v>
      </c>
      <c r="M565" s="10">
        <v>1</v>
      </c>
      <c r="N565" s="10"/>
      <c r="O565" s="10"/>
      <c r="P565" s="10" t="s">
        <v>8690</v>
      </c>
      <c r="Q565" s="10" t="s">
        <v>8691</v>
      </c>
      <c r="R565" s="10" t="s">
        <v>8692</v>
      </c>
      <c r="S565" s="10" t="s">
        <v>53</v>
      </c>
      <c r="T565" s="10" t="s">
        <v>54</v>
      </c>
    </row>
    <row r="566" spans="1:20" ht="14.5" x14ac:dyDescent="0.35">
      <c r="A566" s="10" t="s">
        <v>8693</v>
      </c>
      <c r="B566" s="10" t="str">
        <f>"9781930865389"</f>
        <v>9781930865389</v>
      </c>
      <c r="C566" s="10" t="str">
        <f>"9781933995472"</f>
        <v>9781933995472</v>
      </c>
      <c r="D566" s="10" t="s">
        <v>8687</v>
      </c>
      <c r="E566" s="10" t="s">
        <v>8687</v>
      </c>
      <c r="F566" s="10" t="s">
        <v>88</v>
      </c>
      <c r="G566" s="10" t="s">
        <v>6317</v>
      </c>
      <c r="H566" s="11">
        <v>37622</v>
      </c>
      <c r="I566" s="10">
        <v>2003</v>
      </c>
      <c r="J566" s="10" t="s">
        <v>8688</v>
      </c>
      <c r="K566" s="10">
        <v>308</v>
      </c>
      <c r="L566" s="10" t="s">
        <v>8694</v>
      </c>
      <c r="M566" s="10">
        <v>1</v>
      </c>
      <c r="N566" s="10"/>
      <c r="O566" s="10"/>
      <c r="P566" s="10" t="s">
        <v>8695</v>
      </c>
      <c r="Q566" s="10" t="s">
        <v>8696</v>
      </c>
      <c r="R566" s="10" t="s">
        <v>8697</v>
      </c>
      <c r="S566" s="10" t="s">
        <v>53</v>
      </c>
      <c r="T566" s="10" t="s">
        <v>5396</v>
      </c>
    </row>
    <row r="567" spans="1:20" ht="14.5" x14ac:dyDescent="0.35">
      <c r="A567" s="10" t="s">
        <v>8698</v>
      </c>
      <c r="B567" s="10" t="str">
        <f>"9781845440138"</f>
        <v>9781845440138</v>
      </c>
      <c r="C567" s="10" t="str">
        <f>"9781845441777"</f>
        <v>9781845441777</v>
      </c>
      <c r="D567" s="10" t="s">
        <v>8699</v>
      </c>
      <c r="E567" s="10" t="s">
        <v>8699</v>
      </c>
      <c r="F567" s="10" t="s">
        <v>1019</v>
      </c>
      <c r="G567" s="10" t="s">
        <v>6352</v>
      </c>
      <c r="H567" s="11">
        <v>38292</v>
      </c>
      <c r="I567" s="10">
        <v>2004</v>
      </c>
      <c r="J567" s="10" t="s">
        <v>115</v>
      </c>
      <c r="K567" s="10">
        <v>97</v>
      </c>
      <c r="L567" s="10" t="s">
        <v>8700</v>
      </c>
      <c r="M567" s="10">
        <v>1</v>
      </c>
      <c r="N567" s="10"/>
      <c r="O567" s="10"/>
      <c r="P567" s="10" t="s">
        <v>8701</v>
      </c>
      <c r="Q567" s="10" t="s">
        <v>6342</v>
      </c>
      <c r="R567" s="10" t="s">
        <v>8702</v>
      </c>
      <c r="S567" s="10" t="s">
        <v>53</v>
      </c>
      <c r="T567" s="10" t="s">
        <v>54</v>
      </c>
    </row>
    <row r="568" spans="1:20" ht="14.5" x14ac:dyDescent="0.35">
      <c r="A568" s="10" t="s">
        <v>8703</v>
      </c>
      <c r="B568" s="10" t="str">
        <f>"9780520241831"</f>
        <v>9780520241831</v>
      </c>
      <c r="C568" s="10" t="str">
        <f>"9780520931114"</f>
        <v>9780520931114</v>
      </c>
      <c r="D568" s="10" t="s">
        <v>8512</v>
      </c>
      <c r="E568" s="10" t="s">
        <v>8512</v>
      </c>
      <c r="F568" s="10" t="s">
        <v>717</v>
      </c>
      <c r="G568" s="10" t="s">
        <v>6317</v>
      </c>
      <c r="H568" s="11">
        <v>38432</v>
      </c>
      <c r="I568" s="10">
        <v>2005</v>
      </c>
      <c r="J568" s="10" t="s">
        <v>8512</v>
      </c>
      <c r="K568" s="10">
        <v>485</v>
      </c>
      <c r="L568" s="10" t="s">
        <v>8704</v>
      </c>
      <c r="M568" s="10">
        <v>1</v>
      </c>
      <c r="N568" s="10"/>
      <c r="O568" s="10"/>
      <c r="P568" s="10" t="s">
        <v>8705</v>
      </c>
      <c r="Q568" s="10" t="s">
        <v>8706</v>
      </c>
      <c r="R568" s="10" t="s">
        <v>8707</v>
      </c>
      <c r="S568" s="10" t="s">
        <v>53</v>
      </c>
      <c r="T568" s="10" t="s">
        <v>54</v>
      </c>
    </row>
    <row r="569" spans="1:20" ht="14.5" x14ac:dyDescent="0.35">
      <c r="A569" s="10" t="s">
        <v>8708</v>
      </c>
      <c r="B569" s="10" t="str">
        <f>"9780750678377"</f>
        <v>9780750678377</v>
      </c>
      <c r="C569" s="10" t="str">
        <f>"9780080481913"</f>
        <v>9780080481913</v>
      </c>
      <c r="D569" s="10" t="s">
        <v>6350</v>
      </c>
      <c r="E569" s="10" t="s">
        <v>6351</v>
      </c>
      <c r="F569" s="10" t="s">
        <v>8709</v>
      </c>
      <c r="G569" s="10" t="s">
        <v>6317</v>
      </c>
      <c r="H569" s="11">
        <v>38377</v>
      </c>
      <c r="I569" s="10">
        <v>2005</v>
      </c>
      <c r="J569" s="10" t="s">
        <v>6353</v>
      </c>
      <c r="K569" s="10">
        <v>391</v>
      </c>
      <c r="L569" s="10" t="s">
        <v>8710</v>
      </c>
      <c r="M569" s="10">
        <v>6</v>
      </c>
      <c r="N569" s="10"/>
      <c r="O569" s="10"/>
      <c r="P569" s="10" t="s">
        <v>8711</v>
      </c>
      <c r="Q569" s="10">
        <v>374</v>
      </c>
      <c r="R569" s="10" t="s">
        <v>8712</v>
      </c>
      <c r="S569" s="10" t="s">
        <v>53</v>
      </c>
      <c r="T569" s="10" t="s">
        <v>54</v>
      </c>
    </row>
    <row r="570" spans="1:20" ht="14.5" x14ac:dyDescent="0.35">
      <c r="A570" s="10" t="s">
        <v>8713</v>
      </c>
      <c r="B570" s="10" t="str">
        <f>"9780861767151"</f>
        <v>9780861767151</v>
      </c>
      <c r="C570" s="10" t="str">
        <f>"9781845446574"</f>
        <v>9781845446574</v>
      </c>
      <c r="D570" s="10" t="s">
        <v>8699</v>
      </c>
      <c r="E570" s="10" t="s">
        <v>8699</v>
      </c>
      <c r="F570" s="10" t="s">
        <v>1019</v>
      </c>
      <c r="G570" s="10" t="s">
        <v>6352</v>
      </c>
      <c r="H570" s="11">
        <v>37257</v>
      </c>
      <c r="I570" s="10">
        <v>2002</v>
      </c>
      <c r="J570" s="10" t="s">
        <v>115</v>
      </c>
      <c r="K570" s="10">
        <v>113</v>
      </c>
      <c r="L570" s="10" t="s">
        <v>8714</v>
      </c>
      <c r="M570" s="10">
        <v>1</v>
      </c>
      <c r="N570" s="10" t="s">
        <v>2963</v>
      </c>
      <c r="O570" s="10">
        <v>3</v>
      </c>
      <c r="P570" s="10" t="s">
        <v>8715</v>
      </c>
      <c r="Q570" s="10">
        <v>378.01</v>
      </c>
      <c r="R570" s="10" t="s">
        <v>8716</v>
      </c>
      <c r="S570" s="10" t="s">
        <v>53</v>
      </c>
      <c r="T570" s="10" t="s">
        <v>8717</v>
      </c>
    </row>
    <row r="571" spans="1:20" ht="14.5" x14ac:dyDescent="0.35">
      <c r="A571" s="10" t="s">
        <v>8718</v>
      </c>
      <c r="B571" s="10" t="str">
        <f>"9780861767397"</f>
        <v>9780861767397</v>
      </c>
      <c r="C571" s="10" t="str">
        <f>"9781845446406"</f>
        <v>9781845446406</v>
      </c>
      <c r="D571" s="10" t="s">
        <v>8699</v>
      </c>
      <c r="E571" s="10" t="s">
        <v>8699</v>
      </c>
      <c r="F571" s="10" t="s">
        <v>1019</v>
      </c>
      <c r="G571" s="10" t="s">
        <v>6352</v>
      </c>
      <c r="H571" s="11">
        <v>37257</v>
      </c>
      <c r="I571" s="10">
        <v>2002</v>
      </c>
      <c r="J571" s="10" t="s">
        <v>115</v>
      </c>
      <c r="K571" s="10">
        <v>116</v>
      </c>
      <c r="L571" s="10" t="s">
        <v>8719</v>
      </c>
      <c r="M571" s="10">
        <v>1</v>
      </c>
      <c r="N571" s="10" t="s">
        <v>8720</v>
      </c>
      <c r="O571" s="10">
        <v>23</v>
      </c>
      <c r="P571" s="10" t="s">
        <v>8721</v>
      </c>
      <c r="Q571" s="10">
        <v>331.12094000000002</v>
      </c>
      <c r="R571" s="10" t="s">
        <v>8722</v>
      </c>
      <c r="S571" s="10" t="s">
        <v>53</v>
      </c>
      <c r="T571" s="10" t="s">
        <v>8723</v>
      </c>
    </row>
    <row r="572" spans="1:20" ht="14.5" x14ac:dyDescent="0.35">
      <c r="A572" s="10" t="s">
        <v>8724</v>
      </c>
      <c r="B572" s="10" t="str">
        <f>"9780861767311"</f>
        <v>9780861767311</v>
      </c>
      <c r="C572" s="10" t="str">
        <f>"9781845446161"</f>
        <v>9781845446161</v>
      </c>
      <c r="D572" s="10" t="s">
        <v>8699</v>
      </c>
      <c r="E572" s="10" t="s">
        <v>8699</v>
      </c>
      <c r="F572" s="10" t="s">
        <v>1019</v>
      </c>
      <c r="G572" s="10" t="s">
        <v>6352</v>
      </c>
      <c r="H572" s="11">
        <v>37257</v>
      </c>
      <c r="I572" s="10">
        <v>2002</v>
      </c>
      <c r="J572" s="10" t="s">
        <v>115</v>
      </c>
      <c r="K572" s="10">
        <v>44</v>
      </c>
      <c r="L572" s="10" t="s">
        <v>8725</v>
      </c>
      <c r="M572" s="10">
        <v>1</v>
      </c>
      <c r="N572" s="10" t="s">
        <v>8726</v>
      </c>
      <c r="O572" s="10">
        <v>19</v>
      </c>
      <c r="P572" s="10" t="s">
        <v>8727</v>
      </c>
      <c r="Q572" s="10" t="s">
        <v>8728</v>
      </c>
      <c r="R572" s="10" t="s">
        <v>8729</v>
      </c>
      <c r="S572" s="10" t="s">
        <v>53</v>
      </c>
      <c r="T572" s="10" t="s">
        <v>8730</v>
      </c>
    </row>
    <row r="573" spans="1:20" ht="14.5" x14ac:dyDescent="0.35">
      <c r="A573" s="10" t="s">
        <v>8731</v>
      </c>
      <c r="B573" s="10" t="str">
        <f>"9780861766833"</f>
        <v>9780861766833</v>
      </c>
      <c r="C573" s="10" t="str">
        <f>"9781845447175"</f>
        <v>9781845447175</v>
      </c>
      <c r="D573" s="10" t="s">
        <v>8699</v>
      </c>
      <c r="E573" s="10" t="s">
        <v>8699</v>
      </c>
      <c r="F573" s="10" t="s">
        <v>1019</v>
      </c>
      <c r="G573" s="10" t="s">
        <v>6352</v>
      </c>
      <c r="H573" s="11">
        <v>37257</v>
      </c>
      <c r="I573" s="10">
        <v>2002</v>
      </c>
      <c r="J573" s="10" t="s">
        <v>115</v>
      </c>
      <c r="K573" s="10">
        <v>72</v>
      </c>
      <c r="L573" s="10" t="s">
        <v>8732</v>
      </c>
      <c r="M573" s="10">
        <v>1</v>
      </c>
      <c r="N573" s="10" t="s">
        <v>5124</v>
      </c>
      <c r="O573" s="10">
        <v>10</v>
      </c>
      <c r="P573" s="10" t="s">
        <v>8733</v>
      </c>
      <c r="Q573" s="10" t="s">
        <v>8734</v>
      </c>
      <c r="R573" s="10" t="s">
        <v>8735</v>
      </c>
      <c r="S573" s="10" t="s">
        <v>53</v>
      </c>
      <c r="T573" s="10" t="s">
        <v>54</v>
      </c>
    </row>
    <row r="574" spans="1:20" ht="14.5" x14ac:dyDescent="0.35">
      <c r="A574" s="10" t="s">
        <v>8736</v>
      </c>
      <c r="B574" s="10" t="str">
        <f>"9780861768202"</f>
        <v>9780861768202</v>
      </c>
      <c r="C574" s="10" t="str">
        <f>"9781845445669"</f>
        <v>9781845445669</v>
      </c>
      <c r="D574" s="10" t="s">
        <v>8699</v>
      </c>
      <c r="E574" s="10" t="s">
        <v>8699</v>
      </c>
      <c r="F574" s="10" t="s">
        <v>1019</v>
      </c>
      <c r="G574" s="10" t="s">
        <v>6352</v>
      </c>
      <c r="H574" s="11">
        <v>37622</v>
      </c>
      <c r="I574" s="10">
        <v>2003</v>
      </c>
      <c r="J574" s="10" t="s">
        <v>115</v>
      </c>
      <c r="K574" s="10">
        <v>85</v>
      </c>
      <c r="L574" s="10" t="s">
        <v>8737</v>
      </c>
      <c r="M574" s="10">
        <v>1</v>
      </c>
      <c r="N574" s="10" t="s">
        <v>5124</v>
      </c>
      <c r="O574" s="10">
        <v>11</v>
      </c>
      <c r="P574" s="10" t="s">
        <v>8738</v>
      </c>
      <c r="Q574" s="10">
        <v>378.166</v>
      </c>
      <c r="R574" s="10" t="s">
        <v>8739</v>
      </c>
      <c r="S574" s="10" t="s">
        <v>53</v>
      </c>
      <c r="T574" s="10" t="s">
        <v>54</v>
      </c>
    </row>
    <row r="575" spans="1:20" ht="14.5" x14ac:dyDescent="0.35">
      <c r="A575" s="10" t="s">
        <v>8740</v>
      </c>
      <c r="B575" s="10" t="str">
        <f>"9780861767113"</f>
        <v>9780861767113</v>
      </c>
      <c r="C575" s="10" t="str">
        <f>"9781845447182"</f>
        <v>9781845447182</v>
      </c>
      <c r="D575" s="10" t="s">
        <v>8699</v>
      </c>
      <c r="E575" s="10" t="s">
        <v>8699</v>
      </c>
      <c r="F575" s="10" t="s">
        <v>1019</v>
      </c>
      <c r="G575" s="10" t="s">
        <v>6352</v>
      </c>
      <c r="H575" s="11">
        <v>37257</v>
      </c>
      <c r="I575" s="10">
        <v>2002</v>
      </c>
      <c r="J575" s="10" t="s">
        <v>115</v>
      </c>
      <c r="K575" s="10">
        <v>67</v>
      </c>
      <c r="L575" s="10" t="s">
        <v>8741</v>
      </c>
      <c r="M575" s="10">
        <v>1</v>
      </c>
      <c r="N575" s="10" t="s">
        <v>5124</v>
      </c>
      <c r="O575" s="10">
        <v>10</v>
      </c>
      <c r="P575" s="10" t="s">
        <v>8742</v>
      </c>
      <c r="Q575" s="10" t="s">
        <v>7069</v>
      </c>
      <c r="R575" s="10" t="s">
        <v>8743</v>
      </c>
      <c r="S575" s="10" t="s">
        <v>53</v>
      </c>
      <c r="T575" s="10" t="s">
        <v>54</v>
      </c>
    </row>
    <row r="576" spans="1:20" ht="14.5" x14ac:dyDescent="0.35">
      <c r="A576" s="10" t="s">
        <v>8744</v>
      </c>
      <c r="B576" s="10" t="str">
        <f>"9780861766802"</f>
        <v>9780861766802</v>
      </c>
      <c r="C576" s="10" t="str">
        <f>"9781845446321"</f>
        <v>9781845446321</v>
      </c>
      <c r="D576" s="10" t="s">
        <v>8699</v>
      </c>
      <c r="E576" s="10" t="s">
        <v>8699</v>
      </c>
      <c r="F576" s="10" t="s">
        <v>1019</v>
      </c>
      <c r="G576" s="10" t="s">
        <v>6352</v>
      </c>
      <c r="H576" s="11">
        <v>37257</v>
      </c>
      <c r="I576" s="10">
        <v>2002</v>
      </c>
      <c r="J576" s="10" t="s">
        <v>115</v>
      </c>
      <c r="K576" s="10">
        <v>48</v>
      </c>
      <c r="L576" s="10" t="s">
        <v>8745</v>
      </c>
      <c r="M576" s="10">
        <v>1</v>
      </c>
      <c r="N576" s="10" t="s">
        <v>8746</v>
      </c>
      <c r="O576" s="10">
        <v>34</v>
      </c>
      <c r="P576" s="10" t="s">
        <v>8747</v>
      </c>
      <c r="Q576" s="10" t="s">
        <v>8748</v>
      </c>
      <c r="R576" s="10" t="s">
        <v>8749</v>
      </c>
      <c r="S576" s="10" t="s">
        <v>53</v>
      </c>
      <c r="T576" s="10" t="s">
        <v>54</v>
      </c>
    </row>
    <row r="577" spans="1:20" ht="14.5" x14ac:dyDescent="0.35">
      <c r="A577" s="10" t="s">
        <v>8750</v>
      </c>
      <c r="B577" s="10" t="str">
        <f>"9780861767069"</f>
        <v>9780861767069</v>
      </c>
      <c r="C577" s="10" t="str">
        <f>"9781845446260"</f>
        <v>9781845446260</v>
      </c>
      <c r="D577" s="10" t="s">
        <v>8699</v>
      </c>
      <c r="E577" s="10" t="s">
        <v>8699</v>
      </c>
      <c r="F577" s="10" t="s">
        <v>1019</v>
      </c>
      <c r="G577" s="10" t="s">
        <v>6352</v>
      </c>
      <c r="H577" s="11">
        <v>37449</v>
      </c>
      <c r="I577" s="10">
        <v>2002</v>
      </c>
      <c r="J577" s="10" t="s">
        <v>115</v>
      </c>
      <c r="K577" s="10">
        <v>78</v>
      </c>
      <c r="L577" s="10" t="s">
        <v>8751</v>
      </c>
      <c r="M577" s="10">
        <v>1</v>
      </c>
      <c r="N577" s="10" t="s">
        <v>8752</v>
      </c>
      <c r="O577" s="10">
        <v>44</v>
      </c>
      <c r="P577" s="10" t="s">
        <v>8753</v>
      </c>
      <c r="Q577" s="10">
        <v>370.11309490000002</v>
      </c>
      <c r="R577" s="10" t="s">
        <v>8754</v>
      </c>
      <c r="S577" s="10" t="s">
        <v>53</v>
      </c>
      <c r="T577" s="10" t="s">
        <v>8755</v>
      </c>
    </row>
    <row r="578" spans="1:20" ht="14.5" x14ac:dyDescent="0.35">
      <c r="A578" s="10" t="s">
        <v>8756</v>
      </c>
      <c r="B578" s="10" t="str">
        <f>"9780861767649"</f>
        <v>9780861767649</v>
      </c>
      <c r="C578" s="10" t="str">
        <f>"9781845446277"</f>
        <v>9781845446277</v>
      </c>
      <c r="D578" s="10" t="s">
        <v>8699</v>
      </c>
      <c r="E578" s="10" t="s">
        <v>8699</v>
      </c>
      <c r="F578" s="10" t="s">
        <v>1019</v>
      </c>
      <c r="G578" s="10" t="s">
        <v>6352</v>
      </c>
      <c r="H578" s="11">
        <v>37596</v>
      </c>
      <c r="I578" s="10">
        <v>2002</v>
      </c>
      <c r="J578" s="10" t="s">
        <v>115</v>
      </c>
      <c r="K578" s="10">
        <v>128</v>
      </c>
      <c r="L578" s="10" t="s">
        <v>8757</v>
      </c>
      <c r="M578" s="10">
        <v>1</v>
      </c>
      <c r="N578" s="10" t="s">
        <v>8752</v>
      </c>
      <c r="O578" s="10">
        <v>44</v>
      </c>
      <c r="P578" s="10" t="s">
        <v>8758</v>
      </c>
      <c r="Q578" s="10">
        <v>658.02200000000005</v>
      </c>
      <c r="R578" s="10" t="s">
        <v>8759</v>
      </c>
      <c r="S578" s="10" t="s">
        <v>53</v>
      </c>
      <c r="T578" s="10" t="s">
        <v>8760</v>
      </c>
    </row>
    <row r="579" spans="1:20" ht="14.5" x14ac:dyDescent="0.35">
      <c r="A579" s="10" t="s">
        <v>8761</v>
      </c>
      <c r="B579" s="10" t="str">
        <f>"9781845440855"</f>
        <v>9781845440855</v>
      </c>
      <c r="C579" s="10" t="str">
        <f>"9781845442477"</f>
        <v>9781845442477</v>
      </c>
      <c r="D579" s="10" t="s">
        <v>8699</v>
      </c>
      <c r="E579" s="10" t="s">
        <v>8699</v>
      </c>
      <c r="F579" s="10" t="s">
        <v>1019</v>
      </c>
      <c r="G579" s="10" t="s">
        <v>6352</v>
      </c>
      <c r="H579" s="11">
        <v>38387</v>
      </c>
      <c r="I579" s="10">
        <v>2005</v>
      </c>
      <c r="J579" s="10" t="s">
        <v>115</v>
      </c>
      <c r="K579" s="10">
        <v>95</v>
      </c>
      <c r="L579" s="10" t="s">
        <v>8762</v>
      </c>
      <c r="M579" s="10">
        <v>1</v>
      </c>
      <c r="N579" s="10" t="s">
        <v>8763</v>
      </c>
      <c r="O579" s="10">
        <v>29</v>
      </c>
      <c r="P579" s="10" t="s">
        <v>8764</v>
      </c>
      <c r="Q579" s="10" t="s">
        <v>8765</v>
      </c>
      <c r="R579" s="10" t="s">
        <v>8766</v>
      </c>
      <c r="S579" s="10" t="s">
        <v>53</v>
      </c>
      <c r="T579" s="10" t="s">
        <v>6660</v>
      </c>
    </row>
    <row r="580" spans="1:20" ht="14.5" x14ac:dyDescent="0.35">
      <c r="A580" s="10" t="s">
        <v>8767</v>
      </c>
      <c r="B580" s="10" t="str">
        <f>"9781845441166"</f>
        <v>9781845441166</v>
      </c>
      <c r="C580" s="10" t="str">
        <f>"9781845442781"</f>
        <v>9781845442781</v>
      </c>
      <c r="D580" s="10" t="s">
        <v>8699</v>
      </c>
      <c r="E580" s="10" t="s">
        <v>8699</v>
      </c>
      <c r="F580" s="10" t="s">
        <v>1019</v>
      </c>
      <c r="G580" s="10" t="s">
        <v>6352</v>
      </c>
      <c r="H580" s="11">
        <v>38443</v>
      </c>
      <c r="I580" s="10">
        <v>2005</v>
      </c>
      <c r="J580" s="10" t="s">
        <v>115</v>
      </c>
      <c r="K580" s="10">
        <v>91</v>
      </c>
      <c r="L580" s="10" t="s">
        <v>8768</v>
      </c>
      <c r="M580" s="10">
        <v>1</v>
      </c>
      <c r="N580" s="10" t="s">
        <v>8769</v>
      </c>
      <c r="O580" s="10">
        <v>57</v>
      </c>
      <c r="P580" s="10" t="s">
        <v>8770</v>
      </c>
      <c r="Q580" s="10" t="s">
        <v>8771</v>
      </c>
      <c r="R580" s="10" t="s">
        <v>8766</v>
      </c>
      <c r="S580" s="10" t="s">
        <v>53</v>
      </c>
      <c r="T580" s="10" t="s">
        <v>54</v>
      </c>
    </row>
    <row r="581" spans="1:20" ht="14.5" x14ac:dyDescent="0.35">
      <c r="A581" s="10" t="s">
        <v>8772</v>
      </c>
      <c r="B581" s="10" t="str">
        <f>"9781845443399"</f>
        <v>9781845443399</v>
      </c>
      <c r="C581" s="10" t="str">
        <f>"9781845443405"</f>
        <v>9781845443405</v>
      </c>
      <c r="D581" s="10" t="s">
        <v>8699</v>
      </c>
      <c r="E581" s="10" t="s">
        <v>8699</v>
      </c>
      <c r="F581" s="10" t="s">
        <v>1019</v>
      </c>
      <c r="G581" s="10" t="s">
        <v>6352</v>
      </c>
      <c r="H581" s="11">
        <v>38534</v>
      </c>
      <c r="I581" s="10">
        <v>2005</v>
      </c>
      <c r="J581" s="10" t="s">
        <v>115</v>
      </c>
      <c r="K581" s="10">
        <v>52</v>
      </c>
      <c r="L581" s="10" t="s">
        <v>8773</v>
      </c>
      <c r="M581" s="10">
        <v>1</v>
      </c>
      <c r="N581" s="10" t="s">
        <v>8774</v>
      </c>
      <c r="O581" s="10">
        <v>22</v>
      </c>
      <c r="P581" s="10" t="s">
        <v>8775</v>
      </c>
      <c r="Q581" s="10">
        <v>371.33</v>
      </c>
      <c r="R581" s="10" t="s">
        <v>8776</v>
      </c>
      <c r="S581" s="10" t="s">
        <v>53</v>
      </c>
      <c r="T581" s="10" t="s">
        <v>8777</v>
      </c>
    </row>
    <row r="582" spans="1:20" ht="14.5" x14ac:dyDescent="0.35">
      <c r="A582" s="10" t="s">
        <v>8778</v>
      </c>
      <c r="B582" s="10" t="str">
        <f>"9781845440824"</f>
        <v>9781845440824</v>
      </c>
      <c r="C582" s="10" t="str">
        <f>"9781845442446"</f>
        <v>9781845442446</v>
      </c>
      <c r="D582" s="10" t="s">
        <v>8699</v>
      </c>
      <c r="E582" s="10" t="s">
        <v>8699</v>
      </c>
      <c r="F582" s="10" t="s">
        <v>1019</v>
      </c>
      <c r="G582" s="10" t="s">
        <v>6352</v>
      </c>
      <c r="H582" s="11">
        <v>38415</v>
      </c>
      <c r="I582" s="10">
        <v>2005</v>
      </c>
      <c r="J582" s="10" t="s">
        <v>115</v>
      </c>
      <c r="K582" s="10">
        <v>139</v>
      </c>
      <c r="L582" s="10" t="s">
        <v>8779</v>
      </c>
      <c r="M582" s="10">
        <v>1</v>
      </c>
      <c r="N582" s="10" t="s">
        <v>4248</v>
      </c>
      <c r="O582" s="10">
        <v>17</v>
      </c>
      <c r="P582" s="10" t="s">
        <v>8780</v>
      </c>
      <c r="Q582" s="10" t="s">
        <v>8781</v>
      </c>
      <c r="R582" s="10" t="s">
        <v>8766</v>
      </c>
      <c r="S582" s="10" t="s">
        <v>53</v>
      </c>
      <c r="T582" s="10" t="s">
        <v>6660</v>
      </c>
    </row>
    <row r="583" spans="1:20" ht="14.5" x14ac:dyDescent="0.35">
      <c r="A583" s="10" t="s">
        <v>8782</v>
      </c>
      <c r="B583" s="10" t="str">
        <f>"9780805837247"</f>
        <v>9780805837247</v>
      </c>
      <c r="C583" s="10" t="str">
        <f>"9781410605047"</f>
        <v>9781410605047</v>
      </c>
      <c r="D583" s="10" t="s">
        <v>6350</v>
      </c>
      <c r="E583" s="10" t="s">
        <v>6351</v>
      </c>
      <c r="F583" s="10" t="s">
        <v>4325</v>
      </c>
      <c r="G583" s="10" t="s">
        <v>6317</v>
      </c>
      <c r="H583" s="11">
        <v>37316</v>
      </c>
      <c r="I583" s="10">
        <v>2002</v>
      </c>
      <c r="J583" s="10" t="s">
        <v>6353</v>
      </c>
      <c r="K583" s="10">
        <v>285</v>
      </c>
      <c r="L583" s="10" t="s">
        <v>8783</v>
      </c>
      <c r="M583" s="10">
        <v>1</v>
      </c>
      <c r="N583" s="10" t="s">
        <v>8585</v>
      </c>
      <c r="O583" s="10"/>
      <c r="P583" s="10" t="s">
        <v>8784</v>
      </c>
      <c r="Q583" s="10">
        <v>371.01</v>
      </c>
      <c r="R583" s="10" t="s">
        <v>49</v>
      </c>
      <c r="S583" s="10" t="s">
        <v>53</v>
      </c>
      <c r="T583" s="10" t="s">
        <v>54</v>
      </c>
    </row>
    <row r="584" spans="1:20" ht="14.5" x14ac:dyDescent="0.35">
      <c r="A584" s="10" t="s">
        <v>8785</v>
      </c>
      <c r="B584" s="10" t="str">
        <f>"9780805834413"</f>
        <v>9780805834413</v>
      </c>
      <c r="C584" s="10" t="str">
        <f>"9781410602145"</f>
        <v>9781410602145</v>
      </c>
      <c r="D584" s="10" t="s">
        <v>6350</v>
      </c>
      <c r="E584" s="10" t="s">
        <v>6351</v>
      </c>
      <c r="F584" s="10" t="s">
        <v>3967</v>
      </c>
      <c r="G584" s="10" t="s">
        <v>6352</v>
      </c>
      <c r="H584" s="11">
        <v>37316</v>
      </c>
      <c r="I584" s="10">
        <v>2002</v>
      </c>
      <c r="J584" s="10" t="s">
        <v>6353</v>
      </c>
      <c r="K584" s="10">
        <v>445</v>
      </c>
      <c r="L584" s="10" t="s">
        <v>8786</v>
      </c>
      <c r="M584" s="10">
        <v>1</v>
      </c>
      <c r="N584" s="10"/>
      <c r="O584" s="10"/>
      <c r="P584" s="10"/>
      <c r="Q584" s="10" t="s">
        <v>8787</v>
      </c>
      <c r="R584" s="10" t="s">
        <v>8788</v>
      </c>
      <c r="S584" s="10" t="s">
        <v>53</v>
      </c>
      <c r="T584" s="10" t="s">
        <v>54</v>
      </c>
    </row>
    <row r="585" spans="1:20" ht="14.5" x14ac:dyDescent="0.35">
      <c r="A585" s="10" t="s">
        <v>8789</v>
      </c>
      <c r="B585" s="10" t="str">
        <f>"9780805837094"</f>
        <v>9780805837094</v>
      </c>
      <c r="C585" s="10" t="str">
        <f>"9781410605115"</f>
        <v>9781410605115</v>
      </c>
      <c r="D585" s="10" t="s">
        <v>6350</v>
      </c>
      <c r="E585" s="10" t="s">
        <v>6351</v>
      </c>
      <c r="F585" s="10" t="s">
        <v>4325</v>
      </c>
      <c r="G585" s="10" t="s">
        <v>6317</v>
      </c>
      <c r="H585" s="11">
        <v>37347</v>
      </c>
      <c r="I585" s="10">
        <v>2002</v>
      </c>
      <c r="J585" s="10" t="s">
        <v>6353</v>
      </c>
      <c r="K585" s="10">
        <v>470</v>
      </c>
      <c r="L585" s="10" t="s">
        <v>8790</v>
      </c>
      <c r="M585" s="10">
        <v>1</v>
      </c>
      <c r="N585" s="10"/>
      <c r="O585" s="10"/>
      <c r="P585" s="10" t="s">
        <v>8791</v>
      </c>
      <c r="Q585" s="10" t="s">
        <v>8792</v>
      </c>
      <c r="R585" s="10" t="s">
        <v>8793</v>
      </c>
      <c r="S585" s="10" t="s">
        <v>53</v>
      </c>
      <c r="T585" s="10" t="s">
        <v>54</v>
      </c>
    </row>
    <row r="586" spans="1:20" ht="14.5" x14ac:dyDescent="0.35">
      <c r="A586" s="10" t="s">
        <v>8794</v>
      </c>
      <c r="B586" s="10" t="str">
        <f>"9780805839401"</f>
        <v>9780805839401</v>
      </c>
      <c r="C586" s="10" t="str">
        <f>"9781410602435"</f>
        <v>9781410602435</v>
      </c>
      <c r="D586" s="10" t="s">
        <v>6350</v>
      </c>
      <c r="E586" s="10" t="s">
        <v>6351</v>
      </c>
      <c r="F586" s="10" t="s">
        <v>4325</v>
      </c>
      <c r="G586" s="10" t="s">
        <v>6317</v>
      </c>
      <c r="H586" s="11">
        <v>37288</v>
      </c>
      <c r="I586" s="10">
        <v>2002</v>
      </c>
      <c r="J586" s="10" t="s">
        <v>6353</v>
      </c>
      <c r="K586" s="10">
        <v>263</v>
      </c>
      <c r="L586" s="10" t="s">
        <v>8795</v>
      </c>
      <c r="M586" s="10">
        <v>1</v>
      </c>
      <c r="N586" s="10"/>
      <c r="O586" s="10"/>
      <c r="P586" s="10">
        <v>2001033960</v>
      </c>
      <c r="Q586" s="10">
        <v>372.6</v>
      </c>
      <c r="R586" s="10" t="s">
        <v>8796</v>
      </c>
      <c r="S586" s="10" t="s">
        <v>53</v>
      </c>
      <c r="T586" s="10" t="s">
        <v>54</v>
      </c>
    </row>
    <row r="587" spans="1:20" ht="14.5" x14ac:dyDescent="0.35">
      <c r="A587" s="10" t="s">
        <v>8797</v>
      </c>
      <c r="B587" s="10" t="str">
        <f>"9780805844207"</f>
        <v>9780805844207</v>
      </c>
      <c r="C587" s="10" t="str">
        <f>"9781410610478"</f>
        <v>9781410610478</v>
      </c>
      <c r="D587" s="10" t="s">
        <v>6350</v>
      </c>
      <c r="E587" s="10" t="s">
        <v>6351</v>
      </c>
      <c r="F587" s="10" t="s">
        <v>748</v>
      </c>
      <c r="G587" s="10" t="s">
        <v>6352</v>
      </c>
      <c r="H587" s="11">
        <v>38077</v>
      </c>
      <c r="I587" s="10">
        <v>2004</v>
      </c>
      <c r="J587" s="10" t="s">
        <v>6351</v>
      </c>
      <c r="K587" s="10">
        <v>288</v>
      </c>
      <c r="L587" s="10" t="s">
        <v>8798</v>
      </c>
      <c r="M587" s="10">
        <v>1</v>
      </c>
      <c r="N587" s="10"/>
      <c r="O587" s="10"/>
      <c r="P587" s="10" t="s">
        <v>8799</v>
      </c>
      <c r="Q587" s="10" t="s">
        <v>8800</v>
      </c>
      <c r="R587" s="10" t="s">
        <v>8801</v>
      </c>
      <c r="S587" s="10" t="s">
        <v>53</v>
      </c>
      <c r="T587" s="10" t="s">
        <v>6526</v>
      </c>
    </row>
    <row r="588" spans="1:20" ht="14.5" x14ac:dyDescent="0.35">
      <c r="A588" s="10" t="s">
        <v>8802</v>
      </c>
      <c r="B588" s="10" t="str">
        <f>"9780805838435"</f>
        <v>9780805838435</v>
      </c>
      <c r="C588" s="10" t="str">
        <f>"9781410607195"</f>
        <v>9781410607195</v>
      </c>
      <c r="D588" s="10" t="s">
        <v>6350</v>
      </c>
      <c r="E588" s="10" t="s">
        <v>6351</v>
      </c>
      <c r="F588" s="10" t="s">
        <v>4325</v>
      </c>
      <c r="G588" s="10" t="s">
        <v>6317</v>
      </c>
      <c r="H588" s="11">
        <v>37622</v>
      </c>
      <c r="I588" s="10">
        <v>2003</v>
      </c>
      <c r="J588" s="10" t="s">
        <v>4324</v>
      </c>
      <c r="K588" s="10">
        <v>291</v>
      </c>
      <c r="L588" s="10" t="s">
        <v>8803</v>
      </c>
      <c r="M588" s="10">
        <v>1</v>
      </c>
      <c r="N588" s="10" t="s">
        <v>8804</v>
      </c>
      <c r="O588" s="10"/>
      <c r="P588" s="10" t="s">
        <v>8805</v>
      </c>
      <c r="Q588" s="10">
        <v>302.2</v>
      </c>
      <c r="R588" s="10" t="s">
        <v>8806</v>
      </c>
      <c r="S588" s="10" t="s">
        <v>53</v>
      </c>
      <c r="T588" s="10" t="s">
        <v>6526</v>
      </c>
    </row>
    <row r="589" spans="1:20" ht="14.5" x14ac:dyDescent="0.35">
      <c r="A589" s="10" t="s">
        <v>8807</v>
      </c>
      <c r="B589" s="10" t="str">
        <f>"9780805847079"</f>
        <v>9780805847079</v>
      </c>
      <c r="C589" s="10" t="str">
        <f>"9781410610959"</f>
        <v>9781410610959</v>
      </c>
      <c r="D589" s="10" t="s">
        <v>6350</v>
      </c>
      <c r="E589" s="10" t="s">
        <v>6351</v>
      </c>
      <c r="F589" s="10" t="s">
        <v>4325</v>
      </c>
      <c r="G589" s="10" t="s">
        <v>6317</v>
      </c>
      <c r="H589" s="11">
        <v>38176</v>
      </c>
      <c r="I589" s="10">
        <v>2004</v>
      </c>
      <c r="J589" s="10" t="s">
        <v>6353</v>
      </c>
      <c r="K589" s="10">
        <v>289</v>
      </c>
      <c r="L589" s="10" t="s">
        <v>8808</v>
      </c>
      <c r="M589" s="10">
        <v>1</v>
      </c>
      <c r="N589" s="10"/>
      <c r="O589" s="10"/>
      <c r="P589" s="10" t="s">
        <v>8809</v>
      </c>
      <c r="Q589" s="10">
        <v>371.1</v>
      </c>
      <c r="R589" s="10" t="s">
        <v>8810</v>
      </c>
      <c r="S589" s="10" t="s">
        <v>53</v>
      </c>
      <c r="T589" s="10" t="s">
        <v>54</v>
      </c>
    </row>
    <row r="590" spans="1:20" ht="14.5" x14ac:dyDescent="0.35">
      <c r="A590" s="10" t="s">
        <v>8811</v>
      </c>
      <c r="B590" s="10" t="str">
        <f>"9780805846669"</f>
        <v>9780805846669</v>
      </c>
      <c r="C590" s="10" t="str">
        <f>"9781410609960"</f>
        <v>9781410609960</v>
      </c>
      <c r="D590" s="10" t="s">
        <v>6350</v>
      </c>
      <c r="E590" s="10" t="s">
        <v>6351</v>
      </c>
      <c r="F590" s="10" t="s">
        <v>4325</v>
      </c>
      <c r="G590" s="10" t="s">
        <v>6317</v>
      </c>
      <c r="H590" s="11">
        <v>38018</v>
      </c>
      <c r="I590" s="10">
        <v>2004</v>
      </c>
      <c r="J590" s="10" t="s">
        <v>6353</v>
      </c>
      <c r="K590" s="10">
        <v>254</v>
      </c>
      <c r="L590" s="10" t="s">
        <v>8812</v>
      </c>
      <c r="M590" s="10">
        <v>1</v>
      </c>
      <c r="N590" s="10" t="s">
        <v>8813</v>
      </c>
      <c r="O590" s="10"/>
      <c r="P590" s="10" t="s">
        <v>8814</v>
      </c>
      <c r="Q590" s="10">
        <v>373.18097299999999</v>
      </c>
      <c r="R590" s="10" t="s">
        <v>8815</v>
      </c>
      <c r="S590" s="10" t="s">
        <v>53</v>
      </c>
      <c r="T590" s="10" t="s">
        <v>54</v>
      </c>
    </row>
    <row r="591" spans="1:20" ht="14.5" x14ac:dyDescent="0.35">
      <c r="A591" s="10" t="s">
        <v>8816</v>
      </c>
      <c r="B591" s="10" t="str">
        <f>"9780805851939"</f>
        <v>9780805851939</v>
      </c>
      <c r="C591" s="10" t="str">
        <f>"9781410610782"</f>
        <v>9781410610782</v>
      </c>
      <c r="D591" s="10" t="s">
        <v>6350</v>
      </c>
      <c r="E591" s="10" t="s">
        <v>6351</v>
      </c>
      <c r="F591" s="10" t="s">
        <v>4325</v>
      </c>
      <c r="G591" s="10" t="s">
        <v>6317</v>
      </c>
      <c r="H591" s="11">
        <v>38132</v>
      </c>
      <c r="I591" s="10">
        <v>2004</v>
      </c>
      <c r="J591" s="10" t="s">
        <v>6353</v>
      </c>
      <c r="K591" s="10">
        <v>179</v>
      </c>
      <c r="L591" s="10" t="s">
        <v>8817</v>
      </c>
      <c r="M591" s="10">
        <v>1</v>
      </c>
      <c r="N591" s="10" t="s">
        <v>8813</v>
      </c>
      <c r="O591" s="10"/>
      <c r="P591" s="10" t="s">
        <v>8818</v>
      </c>
      <c r="Q591" s="10" t="s">
        <v>8819</v>
      </c>
      <c r="R591" s="10" t="s">
        <v>8820</v>
      </c>
      <c r="S591" s="10" t="s">
        <v>53</v>
      </c>
      <c r="T591" s="10" t="s">
        <v>54</v>
      </c>
    </row>
    <row r="592" spans="1:20" ht="14.5" x14ac:dyDescent="0.35">
      <c r="A592" s="10" t="s">
        <v>8821</v>
      </c>
      <c r="B592" s="10" t="str">
        <f>"9780805844528"</f>
        <v>9780805844528</v>
      </c>
      <c r="C592" s="10" t="str">
        <f>"9781410611055"</f>
        <v>9781410611055</v>
      </c>
      <c r="D592" s="10" t="s">
        <v>6350</v>
      </c>
      <c r="E592" s="10" t="s">
        <v>6351</v>
      </c>
      <c r="F592" s="10" t="s">
        <v>748</v>
      </c>
      <c r="G592" s="10" t="s">
        <v>6352</v>
      </c>
      <c r="H592" s="11">
        <v>38184</v>
      </c>
      <c r="I592" s="10">
        <v>2005</v>
      </c>
      <c r="J592" s="10" t="s">
        <v>6351</v>
      </c>
      <c r="K592" s="10">
        <v>518</v>
      </c>
      <c r="L592" s="10" t="s">
        <v>8822</v>
      </c>
      <c r="M592" s="10">
        <v>3</v>
      </c>
      <c r="N592" s="10"/>
      <c r="O592" s="10"/>
      <c r="P592" s="10" t="s">
        <v>8823</v>
      </c>
      <c r="Q592" s="10" t="s">
        <v>7335</v>
      </c>
      <c r="R592" s="10" t="s">
        <v>8824</v>
      </c>
      <c r="S592" s="10" t="s">
        <v>53</v>
      </c>
      <c r="T592" s="10" t="s">
        <v>54</v>
      </c>
    </row>
    <row r="593" spans="1:20" ht="14.5" x14ac:dyDescent="0.35">
      <c r="A593" s="10" t="s">
        <v>8825</v>
      </c>
      <c r="B593" s="10" t="str">
        <f>"9780805844658"</f>
        <v>9780805844658</v>
      </c>
      <c r="C593" s="10" t="str">
        <f>"9781410610560"</f>
        <v>9781410610560</v>
      </c>
      <c r="D593" s="10" t="s">
        <v>6350</v>
      </c>
      <c r="E593" s="10" t="s">
        <v>6351</v>
      </c>
      <c r="F593" s="10" t="s">
        <v>4325</v>
      </c>
      <c r="G593" s="10" t="s">
        <v>6317</v>
      </c>
      <c r="H593" s="11">
        <v>38091</v>
      </c>
      <c r="I593" s="10">
        <v>2004</v>
      </c>
      <c r="J593" s="10" t="s">
        <v>6353</v>
      </c>
      <c r="K593" s="10">
        <v>400</v>
      </c>
      <c r="L593" s="10" t="s">
        <v>8826</v>
      </c>
      <c r="M593" s="10">
        <v>1</v>
      </c>
      <c r="N593" s="10"/>
      <c r="O593" s="10"/>
      <c r="P593" s="10" t="s">
        <v>8827</v>
      </c>
      <c r="Q593" s="10">
        <v>375.00099999999998</v>
      </c>
      <c r="R593" s="10" t="s">
        <v>8828</v>
      </c>
      <c r="S593" s="10" t="s">
        <v>53</v>
      </c>
      <c r="T593" s="10" t="s">
        <v>54</v>
      </c>
    </row>
    <row r="594" spans="1:20" ht="14.5" x14ac:dyDescent="0.35">
      <c r="A594" s="10" t="s">
        <v>8829</v>
      </c>
      <c r="B594" s="10" t="str">
        <f>"9780805846829"</f>
        <v>9780805846829</v>
      </c>
      <c r="C594" s="10" t="str">
        <f>"9781410610126"</f>
        <v>9781410610126</v>
      </c>
      <c r="D594" s="10" t="s">
        <v>6350</v>
      </c>
      <c r="E594" s="10" t="s">
        <v>6351</v>
      </c>
      <c r="F594" s="10" t="s">
        <v>4325</v>
      </c>
      <c r="G594" s="10" t="s">
        <v>6317</v>
      </c>
      <c r="H594" s="11">
        <v>38020</v>
      </c>
      <c r="I594" s="10">
        <v>2004</v>
      </c>
      <c r="J594" s="10" t="s">
        <v>6353</v>
      </c>
      <c r="K594" s="10">
        <v>343</v>
      </c>
      <c r="L594" s="10" t="s">
        <v>8830</v>
      </c>
      <c r="M594" s="10">
        <v>1</v>
      </c>
      <c r="N594" s="10"/>
      <c r="O594" s="10"/>
      <c r="P594" s="10" t="s">
        <v>8831</v>
      </c>
      <c r="Q594" s="10">
        <v>372.47</v>
      </c>
      <c r="R594" s="10" t="s">
        <v>8832</v>
      </c>
      <c r="S594" s="10" t="s">
        <v>53</v>
      </c>
      <c r="T594" s="10" t="s">
        <v>54</v>
      </c>
    </row>
    <row r="595" spans="1:20" ht="14.5" x14ac:dyDescent="0.35">
      <c r="A595" s="10" t="s">
        <v>8833</v>
      </c>
      <c r="B595" s="10" t="str">
        <f>"9780805848588"</f>
        <v>9780805848588</v>
      </c>
      <c r="C595" s="10" t="str">
        <f>"9781410611215"</f>
        <v>9781410611215</v>
      </c>
      <c r="D595" s="10" t="s">
        <v>6350</v>
      </c>
      <c r="E595" s="10" t="s">
        <v>6351</v>
      </c>
      <c r="F595" s="10" t="s">
        <v>748</v>
      </c>
      <c r="G595" s="10" t="s">
        <v>6352</v>
      </c>
      <c r="H595" s="11">
        <v>38200</v>
      </c>
      <c r="I595" s="10">
        <v>2005</v>
      </c>
      <c r="J595" s="10" t="s">
        <v>6351</v>
      </c>
      <c r="K595" s="10">
        <v>251</v>
      </c>
      <c r="L595" s="10" t="s">
        <v>8834</v>
      </c>
      <c r="M595" s="10">
        <v>1</v>
      </c>
      <c r="N595" s="10"/>
      <c r="O595" s="10"/>
      <c r="P595" s="10" t="s">
        <v>8835</v>
      </c>
      <c r="Q595" s="10" t="s">
        <v>8836</v>
      </c>
      <c r="R595" s="10" t="s">
        <v>8837</v>
      </c>
      <c r="S595" s="10" t="s">
        <v>53</v>
      </c>
      <c r="T595" s="10" t="s">
        <v>54</v>
      </c>
    </row>
    <row r="596" spans="1:20" ht="14.5" x14ac:dyDescent="0.35">
      <c r="A596" s="10" t="s">
        <v>8838</v>
      </c>
      <c r="B596" s="10" t="str">
        <f>"9780805839357"</f>
        <v>9780805839357</v>
      </c>
      <c r="C596" s="10" t="str">
        <f>"9781135645076"</f>
        <v>9781135645076</v>
      </c>
      <c r="D596" s="10" t="s">
        <v>6350</v>
      </c>
      <c r="E596" s="10" t="s">
        <v>6351</v>
      </c>
      <c r="F596" s="10" t="s">
        <v>4325</v>
      </c>
      <c r="G596" s="10" t="s">
        <v>6317</v>
      </c>
      <c r="H596" s="11">
        <v>38107</v>
      </c>
      <c r="I596" s="10">
        <v>2004</v>
      </c>
      <c r="J596" s="10" t="s">
        <v>6353</v>
      </c>
      <c r="K596" s="10">
        <v>280</v>
      </c>
      <c r="L596" s="10" t="s">
        <v>8839</v>
      </c>
      <c r="M596" s="10">
        <v>1</v>
      </c>
      <c r="N596" s="10" t="s">
        <v>8840</v>
      </c>
      <c r="O596" s="10"/>
      <c r="P596" s="10" t="s">
        <v>8841</v>
      </c>
      <c r="Q596" s="10" t="s">
        <v>8842</v>
      </c>
      <c r="R596" s="10" t="s">
        <v>8843</v>
      </c>
      <c r="S596" s="10" t="s">
        <v>53</v>
      </c>
      <c r="T596" s="10" t="s">
        <v>54</v>
      </c>
    </row>
    <row r="597" spans="1:20" ht="14.5" x14ac:dyDescent="0.35">
      <c r="A597" s="10" t="s">
        <v>8844</v>
      </c>
      <c r="B597" s="10" t="str">
        <f>"9780805844634"</f>
        <v>9780805844634</v>
      </c>
      <c r="C597" s="10" t="str">
        <f>"9781410610355"</f>
        <v>9781410610355</v>
      </c>
      <c r="D597" s="10" t="s">
        <v>6350</v>
      </c>
      <c r="E597" s="10" t="s">
        <v>6351</v>
      </c>
      <c r="F597" s="10" t="s">
        <v>3967</v>
      </c>
      <c r="G597" s="10" t="s">
        <v>6352</v>
      </c>
      <c r="H597" s="11">
        <v>37500</v>
      </c>
      <c r="I597" s="10">
        <v>2004</v>
      </c>
      <c r="J597" s="10" t="s">
        <v>6353</v>
      </c>
      <c r="K597" s="10">
        <v>414</v>
      </c>
      <c r="L597" s="10" t="s">
        <v>8845</v>
      </c>
      <c r="M597" s="10">
        <v>1</v>
      </c>
      <c r="N597" s="10" t="s">
        <v>8846</v>
      </c>
      <c r="O597" s="10"/>
      <c r="P597" s="10" t="s">
        <v>8847</v>
      </c>
      <c r="Q597" s="10">
        <v>371.4</v>
      </c>
      <c r="R597" s="10" t="s">
        <v>8848</v>
      </c>
      <c r="S597" s="10" t="s">
        <v>53</v>
      </c>
      <c r="T597" s="10" t="s">
        <v>54</v>
      </c>
    </row>
    <row r="598" spans="1:20" ht="14.5" x14ac:dyDescent="0.35">
      <c r="A598" s="10" t="s">
        <v>8849</v>
      </c>
      <c r="B598" s="10" t="str">
        <f>"9780805839463"</f>
        <v>9780805839463</v>
      </c>
      <c r="C598" s="10" t="str">
        <f>"9781410609847"</f>
        <v>9781410609847</v>
      </c>
      <c r="D598" s="10" t="s">
        <v>6350</v>
      </c>
      <c r="E598" s="10" t="s">
        <v>6351</v>
      </c>
      <c r="F598" s="10" t="s">
        <v>748</v>
      </c>
      <c r="G598" s="10" t="s">
        <v>6352</v>
      </c>
      <c r="H598" s="11">
        <v>37956</v>
      </c>
      <c r="I598" s="10">
        <v>2004</v>
      </c>
      <c r="J598" s="10" t="s">
        <v>6351</v>
      </c>
      <c r="K598" s="10">
        <v>280</v>
      </c>
      <c r="L598" s="10" t="s">
        <v>8850</v>
      </c>
      <c r="M598" s="10">
        <v>1</v>
      </c>
      <c r="N598" s="10"/>
      <c r="O598" s="10"/>
      <c r="P598" s="10" t="s">
        <v>8851</v>
      </c>
      <c r="Q598" s="10">
        <v>370.11709730000001</v>
      </c>
      <c r="R598" s="10" t="s">
        <v>8852</v>
      </c>
      <c r="S598" s="10" t="s">
        <v>53</v>
      </c>
      <c r="T598" s="10" t="s">
        <v>54</v>
      </c>
    </row>
    <row r="599" spans="1:20" ht="14.5" x14ac:dyDescent="0.35">
      <c r="A599" s="10" t="s">
        <v>8853</v>
      </c>
      <c r="B599" s="10" t="str">
        <f>"9780805839302"</f>
        <v>9780805839302</v>
      </c>
      <c r="C599" s="10" t="str">
        <f>"9781410610508"</f>
        <v>9781410610508</v>
      </c>
      <c r="D599" s="10" t="s">
        <v>6350</v>
      </c>
      <c r="E599" s="10" t="s">
        <v>6351</v>
      </c>
      <c r="F599" s="10" t="s">
        <v>4325</v>
      </c>
      <c r="G599" s="10" t="s">
        <v>6317</v>
      </c>
      <c r="H599" s="11">
        <v>38085</v>
      </c>
      <c r="I599" s="10">
        <v>2004</v>
      </c>
      <c r="J599" s="10" t="s">
        <v>6353</v>
      </c>
      <c r="K599" s="10">
        <v>297</v>
      </c>
      <c r="L599" s="10" t="s">
        <v>8854</v>
      </c>
      <c r="M599" s="10">
        <v>1</v>
      </c>
      <c r="N599" s="10"/>
      <c r="O599" s="10"/>
      <c r="P599" s="10" t="s">
        <v>8855</v>
      </c>
      <c r="Q599" s="10">
        <v>372.89</v>
      </c>
      <c r="R599" s="10" t="s">
        <v>8856</v>
      </c>
      <c r="S599" s="10" t="s">
        <v>53</v>
      </c>
      <c r="T599" s="10" t="s">
        <v>54</v>
      </c>
    </row>
    <row r="600" spans="1:20" ht="14.5" x14ac:dyDescent="0.35">
      <c r="A600" s="10" t="s">
        <v>8857</v>
      </c>
      <c r="B600" s="10" t="str">
        <f>"9781853597640"</f>
        <v>9781853597640</v>
      </c>
      <c r="C600" s="10" t="str">
        <f>"9781853597657"</f>
        <v>9781853597657</v>
      </c>
      <c r="D600" s="10" t="s">
        <v>8394</v>
      </c>
      <c r="E600" s="10" t="s">
        <v>8395</v>
      </c>
      <c r="F600" s="10" t="s">
        <v>8396</v>
      </c>
      <c r="G600" s="10" t="s">
        <v>6352</v>
      </c>
      <c r="H600" s="11">
        <v>38299</v>
      </c>
      <c r="I600" s="10">
        <v>2004</v>
      </c>
      <c r="J600" s="10" t="s">
        <v>8395</v>
      </c>
      <c r="K600" s="10">
        <v>214</v>
      </c>
      <c r="L600" s="10" t="s">
        <v>8858</v>
      </c>
      <c r="M600" s="10">
        <v>1</v>
      </c>
      <c r="N600" s="10" t="s">
        <v>8403</v>
      </c>
      <c r="O600" s="10">
        <v>48</v>
      </c>
      <c r="P600" s="10" t="s">
        <v>8859</v>
      </c>
      <c r="Q600" s="10" t="s">
        <v>6950</v>
      </c>
      <c r="R600" s="10" t="s">
        <v>8860</v>
      </c>
      <c r="S600" s="10" t="s">
        <v>53</v>
      </c>
      <c r="T600" s="10" t="s">
        <v>6616</v>
      </c>
    </row>
    <row r="601" spans="1:20" ht="14.5" x14ac:dyDescent="0.35">
      <c r="A601" s="10" t="s">
        <v>8861</v>
      </c>
      <c r="B601" s="10" t="str">
        <f>"9781853597473"</f>
        <v>9781853597473</v>
      </c>
      <c r="C601" s="10" t="str">
        <f>"9781853597480"</f>
        <v>9781853597480</v>
      </c>
      <c r="D601" s="10" t="s">
        <v>8394</v>
      </c>
      <c r="E601" s="10" t="s">
        <v>8395</v>
      </c>
      <c r="F601" s="10" t="s">
        <v>8396</v>
      </c>
      <c r="G601" s="10" t="s">
        <v>6352</v>
      </c>
      <c r="H601" s="11">
        <v>38337</v>
      </c>
      <c r="I601" s="10">
        <v>2004</v>
      </c>
      <c r="J601" s="10" t="s">
        <v>8395</v>
      </c>
      <c r="K601" s="10">
        <v>202</v>
      </c>
      <c r="L601" s="10" t="s">
        <v>8862</v>
      </c>
      <c r="M601" s="10">
        <v>1</v>
      </c>
      <c r="N601" s="10" t="s">
        <v>8863</v>
      </c>
      <c r="O601" s="10">
        <v>5</v>
      </c>
      <c r="P601" s="10" t="s">
        <v>8864</v>
      </c>
      <c r="Q601" s="10" t="s">
        <v>8865</v>
      </c>
      <c r="R601" s="10" t="s">
        <v>8866</v>
      </c>
      <c r="S601" s="10" t="s">
        <v>53</v>
      </c>
      <c r="T601" s="10" t="s">
        <v>6616</v>
      </c>
    </row>
    <row r="602" spans="1:20" ht="14.5" x14ac:dyDescent="0.35">
      <c r="A602" s="10" t="s">
        <v>8867</v>
      </c>
      <c r="B602" s="10" t="str">
        <f>"9781853598197"</f>
        <v>9781853598197</v>
      </c>
      <c r="C602" s="10" t="str">
        <f>"9781853598203"</f>
        <v>9781853598203</v>
      </c>
      <c r="D602" s="10" t="s">
        <v>8394</v>
      </c>
      <c r="E602" s="10" t="s">
        <v>8395</v>
      </c>
      <c r="F602" s="10" t="s">
        <v>8396</v>
      </c>
      <c r="G602" s="10" t="s">
        <v>6352</v>
      </c>
      <c r="H602" s="11">
        <v>38362</v>
      </c>
      <c r="I602" s="10">
        <v>2005</v>
      </c>
      <c r="J602" s="10" t="s">
        <v>8395</v>
      </c>
      <c r="K602" s="10">
        <v>151</v>
      </c>
      <c r="L602" s="10" t="s">
        <v>8868</v>
      </c>
      <c r="M602" s="10">
        <v>1</v>
      </c>
      <c r="N602" s="10" t="s">
        <v>8403</v>
      </c>
      <c r="O602" s="10">
        <v>50</v>
      </c>
      <c r="P602" s="10" t="s">
        <v>8869</v>
      </c>
      <c r="Q602" s="10" t="s">
        <v>8870</v>
      </c>
      <c r="R602" s="10" t="s">
        <v>8871</v>
      </c>
      <c r="S602" s="10" t="s">
        <v>53</v>
      </c>
      <c r="T602" s="10" t="s">
        <v>54</v>
      </c>
    </row>
    <row r="603" spans="1:20" ht="14.5" x14ac:dyDescent="0.35">
      <c r="A603" s="10" t="s">
        <v>8872</v>
      </c>
      <c r="B603" s="10" t="str">
        <f>"9781853597671"</f>
        <v>9781853597671</v>
      </c>
      <c r="C603" s="10" t="str">
        <f>"9781853597688"</f>
        <v>9781853597688</v>
      </c>
      <c r="D603" s="10" t="s">
        <v>8394</v>
      </c>
      <c r="E603" s="10" t="s">
        <v>8395</v>
      </c>
      <c r="F603" s="10" t="s">
        <v>8396</v>
      </c>
      <c r="G603" s="10" t="s">
        <v>6352</v>
      </c>
      <c r="H603" s="11">
        <v>38401</v>
      </c>
      <c r="I603" s="10">
        <v>2005</v>
      </c>
      <c r="J603" s="10" t="s">
        <v>8395</v>
      </c>
      <c r="K603" s="10">
        <v>252</v>
      </c>
      <c r="L603" s="10" t="s">
        <v>8873</v>
      </c>
      <c r="M603" s="10">
        <v>1</v>
      </c>
      <c r="N603" s="10" t="s">
        <v>8874</v>
      </c>
      <c r="O603" s="10">
        <v>10</v>
      </c>
      <c r="P603" s="10" t="s">
        <v>8875</v>
      </c>
      <c r="Q603" s="10" t="s">
        <v>8876</v>
      </c>
      <c r="R603" s="10" t="s">
        <v>8877</v>
      </c>
      <c r="S603" s="10" t="s">
        <v>53</v>
      </c>
      <c r="T603" s="10" t="s">
        <v>6616</v>
      </c>
    </row>
    <row r="604" spans="1:20" ht="14.5" x14ac:dyDescent="0.35">
      <c r="A604" s="10" t="s">
        <v>8878</v>
      </c>
      <c r="B604" s="10" t="str">
        <f>"9781853597763"</f>
        <v>9781853597763</v>
      </c>
      <c r="C604" s="10" t="str">
        <f>"9781853597770"</f>
        <v>9781853597770</v>
      </c>
      <c r="D604" s="10" t="s">
        <v>8394</v>
      </c>
      <c r="E604" s="10" t="s">
        <v>8395</v>
      </c>
      <c r="F604" s="10" t="s">
        <v>8396</v>
      </c>
      <c r="G604" s="10" t="s">
        <v>6352</v>
      </c>
      <c r="H604" s="11">
        <v>38434</v>
      </c>
      <c r="I604" s="10">
        <v>2005</v>
      </c>
      <c r="J604" s="10" t="s">
        <v>8395</v>
      </c>
      <c r="K604" s="10">
        <v>360</v>
      </c>
      <c r="L604" s="10" t="s">
        <v>8879</v>
      </c>
      <c r="M604" s="10">
        <v>1</v>
      </c>
      <c r="N604" s="10" t="s">
        <v>8880</v>
      </c>
      <c r="O604" s="10">
        <v>1</v>
      </c>
      <c r="P604" s="10" t="s">
        <v>8881</v>
      </c>
      <c r="Q604" s="10" t="s">
        <v>6950</v>
      </c>
      <c r="R604" s="10" t="s">
        <v>8882</v>
      </c>
      <c r="S604" s="10" t="s">
        <v>53</v>
      </c>
      <c r="T604" s="10" t="s">
        <v>6616</v>
      </c>
    </row>
    <row r="605" spans="1:20" ht="14.5" x14ac:dyDescent="0.35">
      <c r="A605" s="10" t="s">
        <v>8883</v>
      </c>
      <c r="B605" s="10" t="str">
        <f>"9781853597978"</f>
        <v>9781853597978</v>
      </c>
      <c r="C605" s="10" t="str">
        <f>"9781853597985"</f>
        <v>9781853597985</v>
      </c>
      <c r="D605" s="10" t="s">
        <v>8394</v>
      </c>
      <c r="E605" s="10" t="s">
        <v>8395</v>
      </c>
      <c r="F605" s="10" t="s">
        <v>8396</v>
      </c>
      <c r="G605" s="10" t="s">
        <v>6352</v>
      </c>
      <c r="H605" s="11">
        <v>38433</v>
      </c>
      <c r="I605" s="10">
        <v>2005</v>
      </c>
      <c r="J605" s="10" t="s">
        <v>8395</v>
      </c>
      <c r="K605" s="10">
        <v>219</v>
      </c>
      <c r="L605" s="10" t="s">
        <v>8884</v>
      </c>
      <c r="M605" s="10">
        <v>2</v>
      </c>
      <c r="N605" s="10" t="s">
        <v>8880</v>
      </c>
      <c r="O605" s="10">
        <v>2</v>
      </c>
      <c r="P605" s="10" t="s">
        <v>8885</v>
      </c>
      <c r="Q605" s="10">
        <v>427.97308996073002</v>
      </c>
      <c r="R605" s="10" t="s">
        <v>8886</v>
      </c>
      <c r="S605" s="10" t="s">
        <v>53</v>
      </c>
      <c r="T605" s="10" t="s">
        <v>6498</v>
      </c>
    </row>
    <row r="606" spans="1:20" ht="14.5" x14ac:dyDescent="0.35">
      <c r="A606" s="10" t="s">
        <v>8887</v>
      </c>
      <c r="B606" s="10" t="str">
        <f>"9781853598258"</f>
        <v>9781853598258</v>
      </c>
      <c r="C606" s="10" t="str">
        <f>"9781853598265"</f>
        <v>9781853598265</v>
      </c>
      <c r="D606" s="10" t="s">
        <v>8394</v>
      </c>
      <c r="E606" s="10" t="s">
        <v>8395</v>
      </c>
      <c r="F606" s="10" t="s">
        <v>8396</v>
      </c>
      <c r="G606" s="10" t="s">
        <v>6352</v>
      </c>
      <c r="H606" s="11">
        <v>38537</v>
      </c>
      <c r="I606" s="10">
        <v>2005</v>
      </c>
      <c r="J606" s="10" t="s">
        <v>8395</v>
      </c>
      <c r="K606" s="10">
        <v>224</v>
      </c>
      <c r="L606" s="10" t="s">
        <v>8888</v>
      </c>
      <c r="M606" s="10">
        <v>1</v>
      </c>
      <c r="N606" s="10" t="s">
        <v>8880</v>
      </c>
      <c r="O606" s="10">
        <v>3</v>
      </c>
      <c r="P606" s="10" t="s">
        <v>8889</v>
      </c>
      <c r="Q606" s="10" t="s">
        <v>8890</v>
      </c>
      <c r="R606" s="10" t="s">
        <v>8891</v>
      </c>
      <c r="S606" s="10" t="s">
        <v>53</v>
      </c>
      <c r="T606" s="10" t="s">
        <v>8412</v>
      </c>
    </row>
    <row r="607" spans="1:20" ht="14.5" x14ac:dyDescent="0.35">
      <c r="A607" s="10" t="s">
        <v>8892</v>
      </c>
      <c r="B607" s="10" t="str">
        <f>"9780750707626"</f>
        <v>9780750707626</v>
      </c>
      <c r="C607" s="10" t="str">
        <f>"9780203982112"</f>
        <v>9780203982112</v>
      </c>
      <c r="D607" s="10" t="s">
        <v>6350</v>
      </c>
      <c r="E607" s="10" t="s">
        <v>6351</v>
      </c>
      <c r="F607" s="10" t="s">
        <v>139</v>
      </c>
      <c r="G607" s="10" t="s">
        <v>6352</v>
      </c>
      <c r="H607" s="11">
        <v>35916</v>
      </c>
      <c r="I607" s="10">
        <v>1998</v>
      </c>
      <c r="J607" s="10" t="s">
        <v>6353</v>
      </c>
      <c r="K607" s="10">
        <v>205</v>
      </c>
      <c r="L607" s="10" t="s">
        <v>8893</v>
      </c>
      <c r="M607" s="10">
        <v>1</v>
      </c>
      <c r="N607" s="10"/>
      <c r="O607" s="10"/>
      <c r="P607" s="10" t="s">
        <v>8894</v>
      </c>
      <c r="Q607" s="10">
        <v>155.41800000000001</v>
      </c>
      <c r="R607" s="10" t="s">
        <v>7814</v>
      </c>
      <c r="S607" s="10" t="s">
        <v>53</v>
      </c>
      <c r="T607" s="10" t="s">
        <v>8895</v>
      </c>
    </row>
    <row r="608" spans="1:20" ht="14.5" x14ac:dyDescent="0.35">
      <c r="A608" s="10" t="s">
        <v>8896</v>
      </c>
      <c r="B608" s="10" t="str">
        <f>"9780750700849"</f>
        <v>9780750700849</v>
      </c>
      <c r="C608" s="10" t="str">
        <f>"9780203974810"</f>
        <v>9780203974810</v>
      </c>
      <c r="D608" s="10" t="s">
        <v>6350</v>
      </c>
      <c r="E608" s="10" t="s">
        <v>6351</v>
      </c>
      <c r="F608" s="10" t="s">
        <v>139</v>
      </c>
      <c r="G608" s="10" t="s">
        <v>6352</v>
      </c>
      <c r="H608" s="11">
        <v>34455</v>
      </c>
      <c r="I608" s="10">
        <v>1994</v>
      </c>
      <c r="J608" s="10" t="s">
        <v>6353</v>
      </c>
      <c r="K608" s="10">
        <v>165</v>
      </c>
      <c r="L608" s="10" t="s">
        <v>8897</v>
      </c>
      <c r="M608" s="10">
        <v>1</v>
      </c>
      <c r="N608" s="10"/>
      <c r="O608" s="10"/>
      <c r="P608" s="10" t="s">
        <v>8898</v>
      </c>
      <c r="Q608" s="10" t="s">
        <v>8899</v>
      </c>
      <c r="R608" s="10" t="s">
        <v>8900</v>
      </c>
      <c r="S608" s="10" t="s">
        <v>53</v>
      </c>
      <c r="T608" s="10" t="s">
        <v>54</v>
      </c>
    </row>
    <row r="609" spans="1:20" ht="14.5" x14ac:dyDescent="0.35">
      <c r="A609" s="10" t="s">
        <v>8901</v>
      </c>
      <c r="B609" s="10" t="str">
        <f>"9780750703482"</f>
        <v>9780750703482</v>
      </c>
      <c r="C609" s="10" t="str">
        <f>"9780203975435"</f>
        <v>9780203975435</v>
      </c>
      <c r="D609" s="10" t="s">
        <v>6350</v>
      </c>
      <c r="E609" s="10" t="s">
        <v>6351</v>
      </c>
      <c r="F609" s="10" t="s">
        <v>3967</v>
      </c>
      <c r="G609" s="10" t="s">
        <v>6352</v>
      </c>
      <c r="H609" s="11">
        <v>34639</v>
      </c>
      <c r="I609" s="10">
        <v>1994</v>
      </c>
      <c r="J609" s="10" t="s">
        <v>6353</v>
      </c>
      <c r="K609" s="10">
        <v>186</v>
      </c>
      <c r="L609" s="10" t="s">
        <v>8902</v>
      </c>
      <c r="M609" s="10">
        <v>1</v>
      </c>
      <c r="N609" s="10"/>
      <c r="O609" s="10"/>
      <c r="P609" s="10" t="s">
        <v>8903</v>
      </c>
      <c r="Q609" s="10">
        <v>379.41</v>
      </c>
      <c r="R609" s="10" t="s">
        <v>8904</v>
      </c>
      <c r="S609" s="10" t="s">
        <v>53</v>
      </c>
      <c r="T609" s="10" t="s">
        <v>54</v>
      </c>
    </row>
    <row r="610" spans="1:20" ht="14.5" x14ac:dyDescent="0.35">
      <c r="A610" s="10" t="s">
        <v>8905</v>
      </c>
      <c r="B610" s="10" t="str">
        <f>"9780415153652"</f>
        <v>9780415153652</v>
      </c>
      <c r="C610" s="10" t="str">
        <f>"9780203981184"</f>
        <v>9780203981184</v>
      </c>
      <c r="D610" s="10" t="s">
        <v>6350</v>
      </c>
      <c r="E610" s="10" t="s">
        <v>6351</v>
      </c>
      <c r="F610" s="10" t="s">
        <v>3967</v>
      </c>
      <c r="G610" s="10" t="s">
        <v>6352</v>
      </c>
      <c r="H610" s="11">
        <v>36332</v>
      </c>
      <c r="I610" s="10">
        <v>1999</v>
      </c>
      <c r="J610" s="10" t="s">
        <v>6353</v>
      </c>
      <c r="K610" s="10">
        <v>284</v>
      </c>
      <c r="L610" s="10" t="s">
        <v>8906</v>
      </c>
      <c r="M610" s="10">
        <v>1</v>
      </c>
      <c r="N610" s="10" t="s">
        <v>6636</v>
      </c>
      <c r="O610" s="10"/>
      <c r="P610" s="10" t="s">
        <v>8907</v>
      </c>
      <c r="Q610" s="10">
        <v>370.11399999999998</v>
      </c>
      <c r="R610" s="10" t="s">
        <v>6388</v>
      </c>
      <c r="S610" s="10" t="s">
        <v>53</v>
      </c>
      <c r="T610" s="10" t="s">
        <v>54</v>
      </c>
    </row>
    <row r="611" spans="1:20" ht="14.5" x14ac:dyDescent="0.35">
      <c r="A611" s="10" t="s">
        <v>8908</v>
      </c>
      <c r="B611" s="10" t="str">
        <f>"9780750704014"</f>
        <v>9780750704014</v>
      </c>
      <c r="C611" s="10" t="str">
        <f>"9780203990087"</f>
        <v>9780203990087</v>
      </c>
      <c r="D611" s="10" t="s">
        <v>6350</v>
      </c>
      <c r="E611" s="10" t="s">
        <v>6351</v>
      </c>
      <c r="F611" s="10" t="s">
        <v>139</v>
      </c>
      <c r="G611" s="10" t="s">
        <v>6352</v>
      </c>
      <c r="H611" s="11">
        <v>34759</v>
      </c>
      <c r="I611" s="10">
        <v>1995</v>
      </c>
      <c r="J611" s="10" t="s">
        <v>6353</v>
      </c>
      <c r="K611" s="10">
        <v>290</v>
      </c>
      <c r="L611" s="10" t="s">
        <v>8909</v>
      </c>
      <c r="M611" s="10">
        <v>1</v>
      </c>
      <c r="N611" s="10"/>
      <c r="O611" s="10"/>
      <c r="P611" s="10">
        <v>94043477</v>
      </c>
      <c r="Q611" s="10">
        <v>510.7</v>
      </c>
      <c r="R611" s="10" t="s">
        <v>6863</v>
      </c>
      <c r="S611" s="10" t="s">
        <v>53</v>
      </c>
      <c r="T611" s="10" t="s">
        <v>389</v>
      </c>
    </row>
    <row r="612" spans="1:20" ht="14.5" x14ac:dyDescent="0.35">
      <c r="A612" s="10" t="s">
        <v>8910</v>
      </c>
      <c r="B612" s="10" t="str">
        <f>"9780750708227"</f>
        <v>9780750708227</v>
      </c>
      <c r="C612" s="10" t="str">
        <f>"9780203982358"</f>
        <v>9780203982358</v>
      </c>
      <c r="D612" s="10" t="s">
        <v>6350</v>
      </c>
      <c r="E612" s="10" t="s">
        <v>6351</v>
      </c>
      <c r="F612" s="10" t="s">
        <v>3967</v>
      </c>
      <c r="G612" s="10" t="s">
        <v>6352</v>
      </c>
      <c r="H612" s="11">
        <v>36100</v>
      </c>
      <c r="I612" s="10">
        <v>1999</v>
      </c>
      <c r="J612" s="10" t="s">
        <v>6353</v>
      </c>
      <c r="K612" s="10">
        <v>135</v>
      </c>
      <c r="L612" s="10" t="s">
        <v>8911</v>
      </c>
      <c r="M612" s="10">
        <v>1</v>
      </c>
      <c r="N612" s="10"/>
      <c r="O612" s="10"/>
      <c r="P612" s="10" t="s">
        <v>8912</v>
      </c>
      <c r="Q612" s="10"/>
      <c r="R612" s="10" t="s">
        <v>8913</v>
      </c>
      <c r="S612" s="10" t="s">
        <v>53</v>
      </c>
      <c r="T612" s="10" t="s">
        <v>6363</v>
      </c>
    </row>
    <row r="613" spans="1:20" ht="14.5" x14ac:dyDescent="0.35">
      <c r="A613" s="10" t="s">
        <v>8914</v>
      </c>
      <c r="B613" s="10" t="str">
        <f>"9780750707589"</f>
        <v>9780750707589</v>
      </c>
      <c r="C613" s="10" t="str">
        <f>"9780203984826"</f>
        <v>9780203984826</v>
      </c>
      <c r="D613" s="10" t="s">
        <v>6350</v>
      </c>
      <c r="E613" s="10" t="s">
        <v>6351</v>
      </c>
      <c r="F613" s="10" t="s">
        <v>3967</v>
      </c>
      <c r="G613" s="10" t="s">
        <v>6352</v>
      </c>
      <c r="H613" s="11">
        <v>36100</v>
      </c>
      <c r="I613" s="10">
        <v>1999</v>
      </c>
      <c r="J613" s="10" t="s">
        <v>6353</v>
      </c>
      <c r="K613" s="10">
        <v>183</v>
      </c>
      <c r="L613" s="10" t="s">
        <v>8915</v>
      </c>
      <c r="M613" s="10">
        <v>1</v>
      </c>
      <c r="N613" s="10"/>
      <c r="O613" s="10"/>
      <c r="P613" s="10">
        <v>99180345</v>
      </c>
      <c r="Q613" s="10" t="s">
        <v>8916</v>
      </c>
      <c r="R613" s="10" t="s">
        <v>54</v>
      </c>
      <c r="S613" s="10" t="s">
        <v>53</v>
      </c>
      <c r="T613" s="10" t="s">
        <v>54</v>
      </c>
    </row>
    <row r="614" spans="1:20" ht="14.5" x14ac:dyDescent="0.35">
      <c r="A614" s="10" t="s">
        <v>8917</v>
      </c>
      <c r="B614" s="10" t="str">
        <f>"9780415205108"</f>
        <v>9780415205108</v>
      </c>
      <c r="C614" s="10" t="str">
        <f>"9780203984697"</f>
        <v>9780203984697</v>
      </c>
      <c r="D614" s="10" t="s">
        <v>6350</v>
      </c>
      <c r="E614" s="10" t="s">
        <v>6351</v>
      </c>
      <c r="F614" s="10" t="s">
        <v>748</v>
      </c>
      <c r="G614" s="10" t="s">
        <v>6352</v>
      </c>
      <c r="H614" s="11">
        <v>36438</v>
      </c>
      <c r="I614" s="10">
        <v>1999</v>
      </c>
      <c r="J614" s="10" t="s">
        <v>6351</v>
      </c>
      <c r="K614" s="10">
        <v>146</v>
      </c>
      <c r="L614" s="10" t="s">
        <v>8918</v>
      </c>
      <c r="M614" s="10">
        <v>1</v>
      </c>
      <c r="N614" s="10"/>
      <c r="O614" s="10"/>
      <c r="P614" s="10" t="s">
        <v>8919</v>
      </c>
      <c r="Q614" s="10">
        <v>379.15310941000001</v>
      </c>
      <c r="R614" s="10" t="s">
        <v>8920</v>
      </c>
      <c r="S614" s="10" t="s">
        <v>53</v>
      </c>
      <c r="T614" s="10" t="s">
        <v>54</v>
      </c>
    </row>
    <row r="615" spans="1:20" ht="14.5" x14ac:dyDescent="0.35">
      <c r="A615" s="10" t="s">
        <v>8921</v>
      </c>
      <c r="B615" s="10" t="str">
        <f>"9781850006602"</f>
        <v>9781850006602</v>
      </c>
      <c r="C615" s="10" t="str">
        <f>"9780203974216"</f>
        <v>9780203974216</v>
      </c>
      <c r="D615" s="10" t="s">
        <v>6350</v>
      </c>
      <c r="E615" s="10" t="s">
        <v>6351</v>
      </c>
      <c r="F615" s="10" t="s">
        <v>139</v>
      </c>
      <c r="G615" s="10" t="s">
        <v>6352</v>
      </c>
      <c r="H615" s="11">
        <v>33157</v>
      </c>
      <c r="I615" s="10">
        <v>1990</v>
      </c>
      <c r="J615" s="10" t="s">
        <v>6353</v>
      </c>
      <c r="K615" s="10">
        <v>336</v>
      </c>
      <c r="L615" s="10" t="s">
        <v>8922</v>
      </c>
      <c r="M615" s="10">
        <v>1</v>
      </c>
      <c r="N615" s="10"/>
      <c r="O615" s="10"/>
      <c r="P615" s="10" t="s">
        <v>8923</v>
      </c>
      <c r="Q615" s="10">
        <v>371.1</v>
      </c>
      <c r="R615" s="10" t="s">
        <v>8924</v>
      </c>
      <c r="S615" s="10" t="s">
        <v>53</v>
      </c>
      <c r="T615" s="10" t="s">
        <v>54</v>
      </c>
    </row>
    <row r="616" spans="1:20" ht="14.5" x14ac:dyDescent="0.35">
      <c r="A616" s="10" t="s">
        <v>8925</v>
      </c>
      <c r="B616" s="10" t="str">
        <f>"9780750709453"</f>
        <v>9780750709453</v>
      </c>
      <c r="C616" s="10" t="str">
        <f>"9780203983904"</f>
        <v>9780203983904</v>
      </c>
      <c r="D616" s="10" t="s">
        <v>6350</v>
      </c>
      <c r="E616" s="10" t="s">
        <v>6351</v>
      </c>
      <c r="F616" s="10" t="s">
        <v>139</v>
      </c>
      <c r="G616" s="10" t="s">
        <v>6317</v>
      </c>
      <c r="H616" s="11">
        <v>36468</v>
      </c>
      <c r="I616" s="10">
        <v>1999</v>
      </c>
      <c r="J616" s="10" t="s">
        <v>6353</v>
      </c>
      <c r="K616" s="10">
        <v>289</v>
      </c>
      <c r="L616" s="10" t="s">
        <v>8926</v>
      </c>
      <c r="M616" s="10">
        <v>1</v>
      </c>
      <c r="N616" s="10"/>
      <c r="O616" s="10"/>
      <c r="P616" s="10" t="s">
        <v>8927</v>
      </c>
      <c r="Q616" s="10">
        <v>371.10199999999998</v>
      </c>
      <c r="R616" s="10" t="s">
        <v>8928</v>
      </c>
      <c r="S616" s="10" t="s">
        <v>53</v>
      </c>
      <c r="T616" s="10" t="s">
        <v>54</v>
      </c>
    </row>
    <row r="617" spans="1:20" ht="14.5" x14ac:dyDescent="0.35">
      <c r="A617" s="10" t="s">
        <v>8929</v>
      </c>
      <c r="B617" s="10" t="str">
        <f>"9780415146555"</f>
        <v>9780415146555</v>
      </c>
      <c r="C617" s="10" t="str">
        <f>"9780203990261"</f>
        <v>9780203990261</v>
      </c>
      <c r="D617" s="10" t="s">
        <v>6350</v>
      </c>
      <c r="E617" s="10" t="s">
        <v>6351</v>
      </c>
      <c r="F617" s="10" t="s">
        <v>139</v>
      </c>
      <c r="G617" s="10" t="s">
        <v>6352</v>
      </c>
      <c r="H617" s="11">
        <v>35683</v>
      </c>
      <c r="I617" s="10">
        <v>1997</v>
      </c>
      <c r="J617" s="10" t="s">
        <v>6353</v>
      </c>
      <c r="K617" s="10">
        <v>278</v>
      </c>
      <c r="L617" s="10" t="s">
        <v>8930</v>
      </c>
      <c r="M617" s="10">
        <v>1</v>
      </c>
      <c r="N617" s="10"/>
      <c r="O617" s="10"/>
      <c r="P617" s="10" t="s">
        <v>8931</v>
      </c>
      <c r="Q617" s="10">
        <v>372.99400000000003</v>
      </c>
      <c r="R617" s="10" t="s">
        <v>6938</v>
      </c>
      <c r="S617" s="10" t="s">
        <v>53</v>
      </c>
      <c r="T617" s="10" t="s">
        <v>54</v>
      </c>
    </row>
    <row r="618" spans="1:20" ht="14.5" x14ac:dyDescent="0.35">
      <c r="A618" s="10" t="s">
        <v>8932</v>
      </c>
      <c r="B618" s="10" t="str">
        <f>"9780415971850"</f>
        <v>9780415971850</v>
      </c>
      <c r="C618" s="10" t="str">
        <f>"9780203014196"</f>
        <v>9780203014196</v>
      </c>
      <c r="D618" s="10" t="s">
        <v>6350</v>
      </c>
      <c r="E618" s="10" t="s">
        <v>6351</v>
      </c>
      <c r="F618" s="10" t="s">
        <v>5406</v>
      </c>
      <c r="G618" s="10" t="s">
        <v>6317</v>
      </c>
      <c r="H618" s="11">
        <v>38235</v>
      </c>
      <c r="I618" s="10">
        <v>2004</v>
      </c>
      <c r="J618" s="10" t="s">
        <v>6353</v>
      </c>
      <c r="K618" s="10">
        <v>217</v>
      </c>
      <c r="L618" s="10" t="s">
        <v>6842</v>
      </c>
      <c r="M618" s="10">
        <v>1</v>
      </c>
      <c r="N618" s="10"/>
      <c r="O618" s="10"/>
      <c r="P618" s="10" t="s">
        <v>8933</v>
      </c>
      <c r="Q618" s="10" t="s">
        <v>8223</v>
      </c>
      <c r="R618" s="10" t="s">
        <v>8934</v>
      </c>
      <c r="S618" s="10" t="s">
        <v>53</v>
      </c>
      <c r="T618" s="10" t="s">
        <v>54</v>
      </c>
    </row>
    <row r="619" spans="1:20" ht="14.5" x14ac:dyDescent="0.35">
      <c r="A619" s="10" t="s">
        <v>8935</v>
      </c>
      <c r="B619" s="10" t="str">
        <f>"9780415184595"</f>
        <v>9780415184595</v>
      </c>
      <c r="C619" s="10" t="str">
        <f>"9780203979396"</f>
        <v>9780203979396</v>
      </c>
      <c r="D619" s="10" t="s">
        <v>6350</v>
      </c>
      <c r="E619" s="10" t="s">
        <v>6351</v>
      </c>
      <c r="F619" s="10" t="s">
        <v>5406</v>
      </c>
      <c r="G619" s="10" t="s">
        <v>6317</v>
      </c>
      <c r="H619" s="11">
        <v>36496</v>
      </c>
      <c r="I619" s="10">
        <v>2000</v>
      </c>
      <c r="J619" s="10" t="s">
        <v>6353</v>
      </c>
      <c r="K619" s="10">
        <v>293</v>
      </c>
      <c r="L619" s="10" t="s">
        <v>8936</v>
      </c>
      <c r="M619" s="10">
        <v>1</v>
      </c>
      <c r="N619" s="10" t="s">
        <v>6518</v>
      </c>
      <c r="O619" s="10">
        <v>2</v>
      </c>
      <c r="P619" s="10" t="s">
        <v>8937</v>
      </c>
      <c r="Q619" s="10">
        <v>174.93700000000001</v>
      </c>
      <c r="R619" s="10" t="s">
        <v>8938</v>
      </c>
      <c r="S619" s="10" t="s">
        <v>53</v>
      </c>
      <c r="T619" s="10" t="s">
        <v>6521</v>
      </c>
    </row>
    <row r="620" spans="1:20" ht="14.5" x14ac:dyDescent="0.35">
      <c r="A620" s="10" t="s">
        <v>8939</v>
      </c>
      <c r="B620" s="10" t="str">
        <f>"9780750705301"</f>
        <v>9780750705301</v>
      </c>
      <c r="C620" s="10" t="str">
        <f>"9780203980361"</f>
        <v>9780203980361</v>
      </c>
      <c r="D620" s="10" t="s">
        <v>6350</v>
      </c>
      <c r="E620" s="10" t="s">
        <v>6351</v>
      </c>
      <c r="F620" s="10" t="s">
        <v>139</v>
      </c>
      <c r="G620" s="10" t="s">
        <v>6352</v>
      </c>
      <c r="H620" s="11">
        <v>36008</v>
      </c>
      <c r="I620" s="10">
        <v>1998</v>
      </c>
      <c r="J620" s="10" t="s">
        <v>6353</v>
      </c>
      <c r="K620" s="10">
        <v>225</v>
      </c>
      <c r="L620" s="10" t="s">
        <v>8940</v>
      </c>
      <c r="M620" s="10">
        <v>1</v>
      </c>
      <c r="N620" s="10"/>
      <c r="O620" s="10"/>
      <c r="P620" s="10">
        <v>99168707</v>
      </c>
      <c r="Q620" s="10">
        <v>370.72</v>
      </c>
      <c r="R620" s="10" t="s">
        <v>6520</v>
      </c>
      <c r="S620" s="10" t="s">
        <v>53</v>
      </c>
      <c r="T620" s="10" t="s">
        <v>54</v>
      </c>
    </row>
    <row r="621" spans="1:20" ht="14.5" x14ac:dyDescent="0.35">
      <c r="A621" s="10" t="s">
        <v>8941</v>
      </c>
      <c r="B621" s="10" t="str">
        <f>"9780750709842"</f>
        <v>9780750709842</v>
      </c>
      <c r="C621" s="10" t="str">
        <f>"9780203983782"</f>
        <v>9780203983782</v>
      </c>
      <c r="D621" s="10" t="s">
        <v>6350</v>
      </c>
      <c r="E621" s="10" t="s">
        <v>6351</v>
      </c>
      <c r="F621" s="10" t="s">
        <v>748</v>
      </c>
      <c r="G621" s="10" t="s">
        <v>6352</v>
      </c>
      <c r="H621" s="11">
        <v>36312</v>
      </c>
      <c r="I621" s="10">
        <v>1999</v>
      </c>
      <c r="J621" s="10" t="s">
        <v>6351</v>
      </c>
      <c r="K621" s="10">
        <v>164</v>
      </c>
      <c r="L621" s="10" t="s">
        <v>8942</v>
      </c>
      <c r="M621" s="10">
        <v>1</v>
      </c>
      <c r="N621" s="10"/>
      <c r="O621" s="10"/>
      <c r="P621" s="10">
        <v>265074</v>
      </c>
      <c r="Q621" s="10">
        <v>363.119372</v>
      </c>
      <c r="R621" s="10" t="s">
        <v>7639</v>
      </c>
      <c r="S621" s="10" t="s">
        <v>53</v>
      </c>
      <c r="T621" s="10" t="s">
        <v>6363</v>
      </c>
    </row>
    <row r="622" spans="1:20" ht="14.5" x14ac:dyDescent="0.35">
      <c r="A622" s="10" t="s">
        <v>8943</v>
      </c>
      <c r="B622" s="10" t="str">
        <f>"9780750707435"</f>
        <v>9780750707435</v>
      </c>
      <c r="C622" s="10" t="str">
        <f>"9780203984918"</f>
        <v>9780203984918</v>
      </c>
      <c r="D622" s="10" t="s">
        <v>6350</v>
      </c>
      <c r="E622" s="10" t="s">
        <v>6351</v>
      </c>
      <c r="F622" s="10" t="s">
        <v>139</v>
      </c>
      <c r="G622" s="10" t="s">
        <v>6352</v>
      </c>
      <c r="H622" s="11">
        <v>35885</v>
      </c>
      <c r="I622" s="10">
        <v>1998</v>
      </c>
      <c r="J622" s="10" t="s">
        <v>6353</v>
      </c>
      <c r="K622" s="10">
        <v>197</v>
      </c>
      <c r="L622" s="10" t="s">
        <v>8944</v>
      </c>
      <c r="M622" s="10">
        <v>1</v>
      </c>
      <c r="N622" s="10"/>
      <c r="O622" s="10"/>
      <c r="P622" s="10" t="s">
        <v>8945</v>
      </c>
      <c r="Q622" s="10">
        <v>371.24400000000003</v>
      </c>
      <c r="R622" s="10" t="s">
        <v>8946</v>
      </c>
      <c r="S622" s="10" t="s">
        <v>53</v>
      </c>
      <c r="T622" s="10" t="s">
        <v>54</v>
      </c>
    </row>
    <row r="623" spans="1:20" ht="14.5" x14ac:dyDescent="0.35">
      <c r="A623" s="10" t="s">
        <v>8947</v>
      </c>
      <c r="B623" s="10" t="str">
        <f>"9780415183826"</f>
        <v>9780415183826</v>
      </c>
      <c r="C623" s="10" t="str">
        <f>"9780203983430"</f>
        <v>9780203983430</v>
      </c>
      <c r="D623" s="10" t="s">
        <v>6350</v>
      </c>
      <c r="E623" s="10" t="s">
        <v>6351</v>
      </c>
      <c r="F623" s="10" t="s">
        <v>139</v>
      </c>
      <c r="G623" s="10" t="s">
        <v>6352</v>
      </c>
      <c r="H623" s="11">
        <v>36332</v>
      </c>
      <c r="I623" s="10">
        <v>1999</v>
      </c>
      <c r="J623" s="10" t="s">
        <v>6353</v>
      </c>
      <c r="K623" s="10">
        <v>258</v>
      </c>
      <c r="L623" s="10" t="s">
        <v>8948</v>
      </c>
      <c r="M623" s="10">
        <v>1</v>
      </c>
      <c r="N623" s="10"/>
      <c r="O623" s="10"/>
      <c r="P623" s="10" t="s">
        <v>8949</v>
      </c>
      <c r="Q623" s="10">
        <v>372.65044</v>
      </c>
      <c r="R623" s="10" t="s">
        <v>6547</v>
      </c>
      <c r="S623" s="10" t="s">
        <v>53</v>
      </c>
      <c r="T623" s="10" t="s">
        <v>54</v>
      </c>
    </row>
    <row r="624" spans="1:20" ht="14.5" x14ac:dyDescent="0.35">
      <c r="A624" s="10" t="s">
        <v>8950</v>
      </c>
      <c r="B624" s="10" t="str">
        <f>"9780415170734"</f>
        <v>9780415170734</v>
      </c>
      <c r="C624" s="10" t="str">
        <f>"9780203978368"</f>
        <v>9780203978368</v>
      </c>
      <c r="D624" s="10" t="s">
        <v>6350</v>
      </c>
      <c r="E624" s="10" t="s">
        <v>6351</v>
      </c>
      <c r="F624" s="10" t="s">
        <v>139</v>
      </c>
      <c r="G624" s="10" t="s">
        <v>6352</v>
      </c>
      <c r="H624" s="11">
        <v>36376</v>
      </c>
      <c r="I624" s="10">
        <v>1999</v>
      </c>
      <c r="J624" s="10" t="s">
        <v>6353</v>
      </c>
      <c r="K624" s="10">
        <v>266</v>
      </c>
      <c r="L624" s="10" t="s">
        <v>8951</v>
      </c>
      <c r="M624" s="10">
        <v>1</v>
      </c>
      <c r="N624" s="10" t="s">
        <v>6636</v>
      </c>
      <c r="O624" s="10"/>
      <c r="P624" s="10" t="s">
        <v>8952</v>
      </c>
      <c r="Q624" s="10">
        <v>370.11399999999998</v>
      </c>
      <c r="R624" s="10" t="s">
        <v>8953</v>
      </c>
      <c r="S624" s="10" t="s">
        <v>53</v>
      </c>
      <c r="T624" s="10" t="s">
        <v>54</v>
      </c>
    </row>
    <row r="625" spans="1:20" ht="14.5" x14ac:dyDescent="0.35">
      <c r="A625" s="10" t="s">
        <v>8954</v>
      </c>
      <c r="B625" s="10" t="str">
        <f>"9780833037343"</f>
        <v>9780833037343</v>
      </c>
      <c r="C625" s="10" t="str">
        <f>"9780833040640"</f>
        <v>9780833040640</v>
      </c>
      <c r="D625" s="10" t="s">
        <v>8134</v>
      </c>
      <c r="E625" s="10" t="s">
        <v>8135</v>
      </c>
      <c r="F625" s="10" t="s">
        <v>8136</v>
      </c>
      <c r="G625" s="10" t="s">
        <v>6317</v>
      </c>
      <c r="H625" s="11">
        <v>38377</v>
      </c>
      <c r="I625" s="10">
        <v>2005</v>
      </c>
      <c r="J625" s="10" t="s">
        <v>8363</v>
      </c>
      <c r="K625" s="10">
        <v>152</v>
      </c>
      <c r="L625" s="10" t="s">
        <v>8955</v>
      </c>
      <c r="M625" s="10">
        <v>1</v>
      </c>
      <c r="N625" s="10"/>
      <c r="O625" s="10"/>
      <c r="P625" s="10" t="s">
        <v>8956</v>
      </c>
      <c r="Q625" s="10">
        <v>371.8</v>
      </c>
      <c r="R625" s="10" t="s">
        <v>8957</v>
      </c>
      <c r="S625" s="10" t="s">
        <v>53</v>
      </c>
      <c r="T625" s="10" t="s">
        <v>54</v>
      </c>
    </row>
    <row r="626" spans="1:20" ht="14.5" x14ac:dyDescent="0.35">
      <c r="A626" s="10" t="s">
        <v>8958</v>
      </c>
      <c r="B626" s="10" t="str">
        <f>"9780805824018"</f>
        <v>9780805824018</v>
      </c>
      <c r="C626" s="10" t="str">
        <f>"9781410600776"</f>
        <v>9781410600776</v>
      </c>
      <c r="D626" s="10" t="s">
        <v>6350</v>
      </c>
      <c r="E626" s="10" t="s">
        <v>6351</v>
      </c>
      <c r="F626" s="10" t="s">
        <v>4325</v>
      </c>
      <c r="G626" s="10" t="s">
        <v>6317</v>
      </c>
      <c r="H626" s="11">
        <v>36892</v>
      </c>
      <c r="I626" s="10">
        <v>2001</v>
      </c>
      <c r="J626" s="10" t="s">
        <v>6353</v>
      </c>
      <c r="K626" s="10">
        <v>362</v>
      </c>
      <c r="L626" s="10" t="s">
        <v>8959</v>
      </c>
      <c r="M626" s="10">
        <v>1</v>
      </c>
      <c r="N626" s="10"/>
      <c r="O626" s="10"/>
      <c r="P626" s="10" t="s">
        <v>8960</v>
      </c>
      <c r="Q626" s="10" t="s">
        <v>8961</v>
      </c>
      <c r="R626" s="10" t="s">
        <v>8962</v>
      </c>
      <c r="S626" s="10" t="s">
        <v>53</v>
      </c>
      <c r="T626" s="10" t="s">
        <v>54</v>
      </c>
    </row>
    <row r="627" spans="1:20" ht="14.5" x14ac:dyDescent="0.35">
      <c r="A627" s="10" t="s">
        <v>8963</v>
      </c>
      <c r="B627" s="10" t="str">
        <f>"9780805834093"</f>
        <v>9780805834093</v>
      </c>
      <c r="C627" s="10" t="str">
        <f>"9781410606204"</f>
        <v>9781410606204</v>
      </c>
      <c r="D627" s="10" t="s">
        <v>6350</v>
      </c>
      <c r="E627" s="10" t="s">
        <v>6351</v>
      </c>
      <c r="F627" s="10" t="s">
        <v>3967</v>
      </c>
      <c r="G627" s="10" t="s">
        <v>6352</v>
      </c>
      <c r="H627" s="11">
        <v>37438</v>
      </c>
      <c r="I627" s="10">
        <v>2002</v>
      </c>
      <c r="J627" s="10" t="s">
        <v>4324</v>
      </c>
      <c r="K627" s="10">
        <v>312</v>
      </c>
      <c r="L627" s="10" t="s">
        <v>8964</v>
      </c>
      <c r="M627" s="10">
        <v>1</v>
      </c>
      <c r="N627" s="10" t="s">
        <v>8965</v>
      </c>
      <c r="O627" s="10"/>
      <c r="P627" s="10" t="s">
        <v>8966</v>
      </c>
      <c r="Q627" s="10">
        <v>371.10609729999999</v>
      </c>
      <c r="R627" s="10" t="s">
        <v>8967</v>
      </c>
      <c r="S627" s="10" t="s">
        <v>53</v>
      </c>
      <c r="T627" s="10" t="s">
        <v>54</v>
      </c>
    </row>
    <row r="628" spans="1:20" ht="14.5" x14ac:dyDescent="0.35">
      <c r="A628" s="10" t="s">
        <v>8968</v>
      </c>
      <c r="B628" s="10" t="str">
        <f>"9780805835021"</f>
        <v>9780805835021</v>
      </c>
      <c r="C628" s="10" t="str">
        <f>"9781410606259"</f>
        <v>9781410606259</v>
      </c>
      <c r="D628" s="10" t="s">
        <v>6350</v>
      </c>
      <c r="E628" s="10" t="s">
        <v>6351</v>
      </c>
      <c r="F628" s="10" t="s">
        <v>748</v>
      </c>
      <c r="G628" s="10" t="s">
        <v>6352</v>
      </c>
      <c r="H628" s="11">
        <v>37408</v>
      </c>
      <c r="I628" s="10">
        <v>2002</v>
      </c>
      <c r="J628" s="10" t="s">
        <v>6351</v>
      </c>
      <c r="K628" s="10">
        <v>358</v>
      </c>
      <c r="L628" s="10" t="s">
        <v>8969</v>
      </c>
      <c r="M628" s="10">
        <v>2</v>
      </c>
      <c r="N628" s="10"/>
      <c r="O628" s="10"/>
      <c r="P628" s="10" t="s">
        <v>8970</v>
      </c>
      <c r="Q628" s="10" t="s">
        <v>8971</v>
      </c>
      <c r="R628" s="10" t="s">
        <v>8972</v>
      </c>
      <c r="S628" s="10" t="s">
        <v>53</v>
      </c>
      <c r="T628" s="10" t="s">
        <v>54</v>
      </c>
    </row>
    <row r="629" spans="1:20" ht="14.5" x14ac:dyDescent="0.35">
      <c r="A629" s="10" t="s">
        <v>8973</v>
      </c>
      <c r="B629" s="10" t="str">
        <f>"9780805836981"</f>
        <v>9780805836981</v>
      </c>
      <c r="C629" s="10" t="str">
        <f>"9781410606235"</f>
        <v>9781410606235</v>
      </c>
      <c r="D629" s="10" t="s">
        <v>6350</v>
      </c>
      <c r="E629" s="10" t="s">
        <v>6351</v>
      </c>
      <c r="F629" s="10" t="s">
        <v>4325</v>
      </c>
      <c r="G629" s="10" t="s">
        <v>6317</v>
      </c>
      <c r="H629" s="11">
        <v>37469</v>
      </c>
      <c r="I629" s="10">
        <v>2002</v>
      </c>
      <c r="J629" s="10" t="s">
        <v>6353</v>
      </c>
      <c r="K629" s="10">
        <v>269</v>
      </c>
      <c r="L629" s="10" t="s">
        <v>8974</v>
      </c>
      <c r="M629" s="10">
        <v>1</v>
      </c>
      <c r="N629" s="10" t="s">
        <v>8608</v>
      </c>
      <c r="O629" s="10"/>
      <c r="P629" s="10" t="s">
        <v>8975</v>
      </c>
      <c r="Q629" s="10">
        <v>370.15230000000003</v>
      </c>
      <c r="R629" s="10" t="s">
        <v>8976</v>
      </c>
      <c r="S629" s="10" t="s">
        <v>53</v>
      </c>
      <c r="T629" s="10" t="s">
        <v>54</v>
      </c>
    </row>
    <row r="630" spans="1:20" ht="14.5" x14ac:dyDescent="0.35">
      <c r="A630" s="10" t="s">
        <v>8977</v>
      </c>
      <c r="B630" s="10" t="str">
        <f>"9780805841572"</f>
        <v>9780805841572</v>
      </c>
      <c r="C630" s="10" t="str">
        <f>"9781410612885"</f>
        <v>9781410612885</v>
      </c>
      <c r="D630" s="10" t="s">
        <v>6350</v>
      </c>
      <c r="E630" s="10" t="s">
        <v>6351</v>
      </c>
      <c r="F630" s="10" t="s">
        <v>3967</v>
      </c>
      <c r="G630" s="10" t="s">
        <v>6352</v>
      </c>
      <c r="H630" s="11">
        <v>38442</v>
      </c>
      <c r="I630" s="10">
        <v>2005</v>
      </c>
      <c r="J630" s="10" t="s">
        <v>6353</v>
      </c>
      <c r="K630" s="10">
        <v>433</v>
      </c>
      <c r="L630" s="10" t="s">
        <v>8978</v>
      </c>
      <c r="M630" s="10">
        <v>1</v>
      </c>
      <c r="N630" s="10" t="s">
        <v>8979</v>
      </c>
      <c r="O630" s="10"/>
      <c r="P630" s="10" t="s">
        <v>8980</v>
      </c>
      <c r="Q630" s="10" t="s">
        <v>8981</v>
      </c>
      <c r="R630" s="10" t="s">
        <v>8982</v>
      </c>
      <c r="S630" s="10" t="s">
        <v>53</v>
      </c>
      <c r="T630" s="10" t="s">
        <v>54</v>
      </c>
    </row>
    <row r="631" spans="1:20" ht="14.5" x14ac:dyDescent="0.35">
      <c r="A631" s="10" t="s">
        <v>8983</v>
      </c>
      <c r="B631" s="10" t="str">
        <f>"9780805848595"</f>
        <v>9780805848595</v>
      </c>
      <c r="C631" s="10" t="str">
        <f>"9781410612830"</f>
        <v>9781410612830</v>
      </c>
      <c r="D631" s="10" t="s">
        <v>6350</v>
      </c>
      <c r="E631" s="10" t="s">
        <v>6351</v>
      </c>
      <c r="F631" s="10" t="s">
        <v>4325</v>
      </c>
      <c r="G631" s="10" t="s">
        <v>6317</v>
      </c>
      <c r="H631" s="11">
        <v>38435</v>
      </c>
      <c r="I631" s="10">
        <v>2005</v>
      </c>
      <c r="J631" s="10" t="s">
        <v>6353</v>
      </c>
      <c r="K631" s="10">
        <v>414</v>
      </c>
      <c r="L631" s="10" t="s">
        <v>8984</v>
      </c>
      <c r="M631" s="10">
        <v>1</v>
      </c>
      <c r="N631" s="10"/>
      <c r="O631" s="10"/>
      <c r="P631" s="10" t="s">
        <v>8985</v>
      </c>
      <c r="Q631" s="10">
        <v>302.2244</v>
      </c>
      <c r="R631" s="10" t="s">
        <v>8986</v>
      </c>
      <c r="S631" s="10" t="s">
        <v>53</v>
      </c>
      <c r="T631" s="10" t="s">
        <v>6526</v>
      </c>
    </row>
    <row r="632" spans="1:20" ht="14.5" x14ac:dyDescent="0.35">
      <c r="A632" s="10" t="s">
        <v>8987</v>
      </c>
      <c r="B632" s="10" t="str">
        <f>"9780805849158"</f>
        <v>9780805849158</v>
      </c>
      <c r="C632" s="10" t="str">
        <f>"9781410610454"</f>
        <v>9781410610454</v>
      </c>
      <c r="D632" s="10" t="s">
        <v>6350</v>
      </c>
      <c r="E632" s="10" t="s">
        <v>6351</v>
      </c>
      <c r="F632" s="10" t="s">
        <v>3967</v>
      </c>
      <c r="G632" s="10" t="s">
        <v>6352</v>
      </c>
      <c r="H632" s="11">
        <v>38077</v>
      </c>
      <c r="I632" s="10">
        <v>2004</v>
      </c>
      <c r="J632" s="10" t="s">
        <v>6353</v>
      </c>
      <c r="K632" s="10">
        <v>226</v>
      </c>
      <c r="L632" s="10" t="s">
        <v>8988</v>
      </c>
      <c r="M632" s="10">
        <v>1</v>
      </c>
      <c r="N632" s="10" t="s">
        <v>8813</v>
      </c>
      <c r="O632" s="10"/>
      <c r="P632" s="10"/>
      <c r="Q632" s="10"/>
      <c r="R632" s="10" t="s">
        <v>8989</v>
      </c>
      <c r="S632" s="10" t="s">
        <v>53</v>
      </c>
      <c r="T632" s="10" t="s">
        <v>54</v>
      </c>
    </row>
    <row r="633" spans="1:20" ht="14.5" x14ac:dyDescent="0.35">
      <c r="A633" s="10" t="s">
        <v>8990</v>
      </c>
      <c r="B633" s="10" t="str">
        <f>"9780805849295"</f>
        <v>9780805849295</v>
      </c>
      <c r="C633" s="10" t="str">
        <f>"9781410612991"</f>
        <v>9781410612991</v>
      </c>
      <c r="D633" s="10" t="s">
        <v>6350</v>
      </c>
      <c r="E633" s="10" t="s">
        <v>6351</v>
      </c>
      <c r="F633" s="10" t="s">
        <v>748</v>
      </c>
      <c r="G633" s="10" t="s">
        <v>6352</v>
      </c>
      <c r="H633" s="11">
        <v>38448</v>
      </c>
      <c r="I633" s="10">
        <v>2005</v>
      </c>
      <c r="J633" s="10" t="s">
        <v>6351</v>
      </c>
      <c r="K633" s="10">
        <v>202</v>
      </c>
      <c r="L633" s="10" t="s">
        <v>8991</v>
      </c>
      <c r="M633" s="10">
        <v>1</v>
      </c>
      <c r="N633" s="10"/>
      <c r="O633" s="10"/>
      <c r="P633" s="10" t="s">
        <v>8992</v>
      </c>
      <c r="Q633" s="10" t="s">
        <v>8993</v>
      </c>
      <c r="R633" s="10" t="s">
        <v>8994</v>
      </c>
      <c r="S633" s="10" t="s">
        <v>53</v>
      </c>
      <c r="T633" s="10" t="s">
        <v>54</v>
      </c>
    </row>
    <row r="634" spans="1:20" ht="14.5" x14ac:dyDescent="0.35">
      <c r="A634" s="10" t="s">
        <v>8995</v>
      </c>
      <c r="B634" s="10" t="str">
        <f>"9780805850291"</f>
        <v>9780805850291</v>
      </c>
      <c r="C634" s="10" t="str">
        <f>"9781410610492"</f>
        <v>9781410610492</v>
      </c>
      <c r="D634" s="10" t="s">
        <v>6350</v>
      </c>
      <c r="E634" s="10" t="s">
        <v>6351</v>
      </c>
      <c r="F634" s="10" t="s">
        <v>4325</v>
      </c>
      <c r="G634" s="10" t="s">
        <v>6317</v>
      </c>
      <c r="H634" s="11">
        <v>38077</v>
      </c>
      <c r="I634" s="10">
        <v>2004</v>
      </c>
      <c r="J634" s="10" t="s">
        <v>6353</v>
      </c>
      <c r="K634" s="10">
        <v>233</v>
      </c>
      <c r="L634" s="10" t="s">
        <v>8996</v>
      </c>
      <c r="M634" s="10">
        <v>1</v>
      </c>
      <c r="N634" s="10" t="s">
        <v>8813</v>
      </c>
      <c r="O634" s="10"/>
      <c r="P634" s="10" t="s">
        <v>8997</v>
      </c>
      <c r="Q634" s="10" t="s">
        <v>8998</v>
      </c>
      <c r="R634" s="10" t="s">
        <v>8999</v>
      </c>
      <c r="S634" s="10" t="s">
        <v>53</v>
      </c>
      <c r="T634" s="10" t="s">
        <v>54</v>
      </c>
    </row>
    <row r="635" spans="1:20" ht="14.5" x14ac:dyDescent="0.35">
      <c r="A635" s="10" t="s">
        <v>9000</v>
      </c>
      <c r="B635" s="10" t="str">
        <f>"9780805850420"</f>
        <v>9780805850420</v>
      </c>
      <c r="C635" s="10" t="str">
        <f>"9781410612939"</f>
        <v>9781410612939</v>
      </c>
      <c r="D635" s="10" t="s">
        <v>6350</v>
      </c>
      <c r="E635" s="10" t="s">
        <v>6351</v>
      </c>
      <c r="F635" s="10" t="s">
        <v>748</v>
      </c>
      <c r="G635" s="10" t="s">
        <v>6352</v>
      </c>
      <c r="H635" s="11">
        <v>38448</v>
      </c>
      <c r="I635" s="10">
        <v>2005</v>
      </c>
      <c r="J635" s="10" t="s">
        <v>6351</v>
      </c>
      <c r="K635" s="10">
        <v>232</v>
      </c>
      <c r="L635" s="10" t="s">
        <v>9001</v>
      </c>
      <c r="M635" s="10">
        <v>1</v>
      </c>
      <c r="N635" s="10"/>
      <c r="O635" s="10"/>
      <c r="P635" s="10" t="s">
        <v>9002</v>
      </c>
      <c r="Q635" s="10">
        <v>372.6</v>
      </c>
      <c r="R635" s="10" t="s">
        <v>9003</v>
      </c>
      <c r="S635" s="10" t="s">
        <v>53</v>
      </c>
      <c r="T635" s="10" t="s">
        <v>54</v>
      </c>
    </row>
    <row r="636" spans="1:20" ht="14.5" x14ac:dyDescent="0.35">
      <c r="A636" s="10" t="s">
        <v>9004</v>
      </c>
      <c r="B636" s="10" t="str">
        <f>"9780805851267"</f>
        <v>9780805851267</v>
      </c>
      <c r="C636" s="10" t="str">
        <f>"9781410613011"</f>
        <v>9781410613011</v>
      </c>
      <c r="D636" s="10" t="s">
        <v>6350</v>
      </c>
      <c r="E636" s="10" t="s">
        <v>6351</v>
      </c>
      <c r="F636" s="10" t="s">
        <v>4325</v>
      </c>
      <c r="G636" s="10" t="s">
        <v>6317</v>
      </c>
      <c r="H636" s="11">
        <v>38428</v>
      </c>
      <c r="I636" s="10">
        <v>2005</v>
      </c>
      <c r="J636" s="10" t="s">
        <v>6353</v>
      </c>
      <c r="K636" s="10">
        <v>416</v>
      </c>
      <c r="L636" s="10" t="s">
        <v>9005</v>
      </c>
      <c r="M636" s="10">
        <v>1</v>
      </c>
      <c r="N636" s="10"/>
      <c r="O636" s="10"/>
      <c r="P636" s="10" t="s">
        <v>9006</v>
      </c>
      <c r="Q636" s="10" t="s">
        <v>9007</v>
      </c>
      <c r="R636" s="10" t="s">
        <v>9008</v>
      </c>
      <c r="S636" s="10" t="s">
        <v>53</v>
      </c>
      <c r="T636" s="10" t="s">
        <v>54</v>
      </c>
    </row>
    <row r="637" spans="1:20" ht="14.5" x14ac:dyDescent="0.35">
      <c r="A637" s="10" t="s">
        <v>9009</v>
      </c>
      <c r="B637" s="10" t="str">
        <f>"9780805851458"</f>
        <v>9780805851458</v>
      </c>
      <c r="C637" s="10" t="str">
        <f>"9781410612878"</f>
        <v>9781410612878</v>
      </c>
      <c r="D637" s="10" t="s">
        <v>6350</v>
      </c>
      <c r="E637" s="10" t="s">
        <v>6351</v>
      </c>
      <c r="F637" s="10" t="s">
        <v>748</v>
      </c>
      <c r="G637" s="10" t="s">
        <v>6352</v>
      </c>
      <c r="H637" s="11">
        <v>38428</v>
      </c>
      <c r="I637" s="10">
        <v>2005</v>
      </c>
      <c r="J637" s="10" t="s">
        <v>6351</v>
      </c>
      <c r="K637" s="10">
        <v>305</v>
      </c>
      <c r="L637" s="10" t="s">
        <v>9010</v>
      </c>
      <c r="M637" s="10">
        <v>1</v>
      </c>
      <c r="N637" s="10" t="s">
        <v>8813</v>
      </c>
      <c r="O637" s="10"/>
      <c r="P637" s="10" t="s">
        <v>9011</v>
      </c>
      <c r="Q637" s="10" t="s">
        <v>9012</v>
      </c>
      <c r="R637" s="10" t="s">
        <v>9013</v>
      </c>
      <c r="S637" s="10" t="s">
        <v>53</v>
      </c>
      <c r="T637" s="10" t="s">
        <v>6472</v>
      </c>
    </row>
    <row r="638" spans="1:20" ht="14.5" x14ac:dyDescent="0.35">
      <c r="A638" s="10" t="s">
        <v>9014</v>
      </c>
      <c r="B638" s="10" t="str">
        <f>"9780805852851"</f>
        <v>9780805852851</v>
      </c>
      <c r="C638" s="10" t="str">
        <f>"9781410612922"</f>
        <v>9781410612922</v>
      </c>
      <c r="D638" s="10" t="s">
        <v>6350</v>
      </c>
      <c r="E638" s="10" t="s">
        <v>6351</v>
      </c>
      <c r="F638" s="10" t="s">
        <v>4325</v>
      </c>
      <c r="G638" s="10" t="s">
        <v>6317</v>
      </c>
      <c r="H638" s="11">
        <v>38427</v>
      </c>
      <c r="I638" s="10">
        <v>2005</v>
      </c>
      <c r="J638" s="10" t="s">
        <v>6353</v>
      </c>
      <c r="K638" s="10">
        <v>290</v>
      </c>
      <c r="L638" s="10" t="s">
        <v>9015</v>
      </c>
      <c r="M638" s="10">
        <v>1</v>
      </c>
      <c r="N638" s="10"/>
      <c r="O638" s="10"/>
      <c r="P638" s="10" t="s">
        <v>9016</v>
      </c>
      <c r="Q638" s="10">
        <v>372.61</v>
      </c>
      <c r="R638" s="10" t="s">
        <v>9017</v>
      </c>
      <c r="S638" s="10" t="s">
        <v>53</v>
      </c>
      <c r="T638" s="10" t="s">
        <v>54</v>
      </c>
    </row>
    <row r="639" spans="1:20" ht="14.5" x14ac:dyDescent="0.35">
      <c r="A639" s="10" t="s">
        <v>5933</v>
      </c>
      <c r="B639" s="10" t="str">
        <f>"9780415102537"</f>
        <v>9780415102537</v>
      </c>
      <c r="C639" s="10" t="str">
        <f>"9780203990377"</f>
        <v>9780203990377</v>
      </c>
      <c r="D639" s="10" t="s">
        <v>6350</v>
      </c>
      <c r="E639" s="10" t="s">
        <v>6351</v>
      </c>
      <c r="F639" s="10" t="s">
        <v>139</v>
      </c>
      <c r="G639" s="10" t="s">
        <v>6352</v>
      </c>
      <c r="H639" s="11">
        <v>34325</v>
      </c>
      <c r="I639" s="10">
        <v>1993</v>
      </c>
      <c r="J639" s="10" t="s">
        <v>6353</v>
      </c>
      <c r="K639" s="10">
        <v>223</v>
      </c>
      <c r="L639" s="10" t="s">
        <v>9018</v>
      </c>
      <c r="M639" s="10">
        <v>1</v>
      </c>
      <c r="N639" s="10"/>
      <c r="O639" s="10"/>
      <c r="P639" s="10" t="s">
        <v>9019</v>
      </c>
      <c r="Q639" s="10">
        <v>507.12</v>
      </c>
      <c r="R639" s="10" t="s">
        <v>9020</v>
      </c>
      <c r="S639" s="10" t="s">
        <v>53</v>
      </c>
      <c r="T639" s="10" t="s">
        <v>7193</v>
      </c>
    </row>
    <row r="640" spans="1:20" ht="14.5" x14ac:dyDescent="0.35">
      <c r="A640" s="10" t="s">
        <v>9021</v>
      </c>
      <c r="B640" s="10" t="str">
        <f>"9780415168953"</f>
        <v>9780415168953</v>
      </c>
      <c r="C640" s="10" t="str">
        <f>"9780203982631"</f>
        <v>9780203982631</v>
      </c>
      <c r="D640" s="10" t="s">
        <v>6350</v>
      </c>
      <c r="E640" s="10" t="s">
        <v>6351</v>
      </c>
      <c r="F640" s="10" t="s">
        <v>139</v>
      </c>
      <c r="G640" s="10" t="s">
        <v>6352</v>
      </c>
      <c r="H640" s="11">
        <v>36104</v>
      </c>
      <c r="I640" s="10">
        <v>1998</v>
      </c>
      <c r="J640" s="10" t="s">
        <v>6353</v>
      </c>
      <c r="K640" s="10">
        <v>182</v>
      </c>
      <c r="L640" s="10" t="s">
        <v>6431</v>
      </c>
      <c r="M640" s="10">
        <v>1</v>
      </c>
      <c r="N640" s="10" t="s">
        <v>6623</v>
      </c>
      <c r="O640" s="10"/>
      <c r="P640" s="10" t="s">
        <v>9022</v>
      </c>
      <c r="Q640" s="10" t="s">
        <v>6692</v>
      </c>
      <c r="R640" s="10" t="s">
        <v>7010</v>
      </c>
      <c r="S640" s="10" t="s">
        <v>53</v>
      </c>
      <c r="T640" s="10" t="s">
        <v>54</v>
      </c>
    </row>
    <row r="641" spans="1:20" ht="14.5" x14ac:dyDescent="0.35">
      <c r="A641" s="10" t="s">
        <v>9023</v>
      </c>
      <c r="B641" s="10" t="str">
        <f>"9780415186872"</f>
        <v>9780415186872</v>
      </c>
      <c r="C641" s="10" t="str">
        <f>"9780203983287"</f>
        <v>9780203983287</v>
      </c>
      <c r="D641" s="10" t="s">
        <v>6350</v>
      </c>
      <c r="E641" s="10" t="s">
        <v>6351</v>
      </c>
      <c r="F641" s="10" t="s">
        <v>3967</v>
      </c>
      <c r="G641" s="10" t="s">
        <v>6352</v>
      </c>
      <c r="H641" s="11">
        <v>36013</v>
      </c>
      <c r="I641" s="10">
        <v>1998</v>
      </c>
      <c r="J641" s="10" t="s">
        <v>6353</v>
      </c>
      <c r="K641" s="10">
        <v>179</v>
      </c>
      <c r="L641" s="10" t="s">
        <v>9024</v>
      </c>
      <c r="M641" s="10">
        <v>1</v>
      </c>
      <c r="N641" s="10"/>
      <c r="O641" s="10"/>
      <c r="P641" s="10" t="s">
        <v>9025</v>
      </c>
      <c r="Q641" s="10"/>
      <c r="R641" s="10" t="s">
        <v>9026</v>
      </c>
      <c r="S641" s="10" t="s">
        <v>53</v>
      </c>
      <c r="T641" s="10" t="s">
        <v>54</v>
      </c>
    </row>
    <row r="642" spans="1:20" ht="14.5" x14ac:dyDescent="0.35">
      <c r="A642" s="10" t="s">
        <v>9027</v>
      </c>
      <c r="B642" s="10" t="str">
        <f>"9780415274869"</f>
        <v>9780415274869</v>
      </c>
      <c r="C642" s="10" t="str">
        <f>"9780203994702"</f>
        <v>9780203994702</v>
      </c>
      <c r="D642" s="10" t="s">
        <v>6350</v>
      </c>
      <c r="E642" s="10" t="s">
        <v>6351</v>
      </c>
      <c r="F642" s="10" t="s">
        <v>3967</v>
      </c>
      <c r="G642" s="10" t="s">
        <v>6352</v>
      </c>
      <c r="H642" s="11">
        <v>37511</v>
      </c>
      <c r="I642" s="10">
        <v>2002</v>
      </c>
      <c r="J642" s="10" t="s">
        <v>6353</v>
      </c>
      <c r="K642" s="10">
        <v>309</v>
      </c>
      <c r="L642" s="10" t="s">
        <v>7313</v>
      </c>
      <c r="M642" s="10">
        <v>1</v>
      </c>
      <c r="N642" s="10"/>
      <c r="O642" s="10"/>
      <c r="P642" s="10">
        <v>2002069876</v>
      </c>
      <c r="Q642" s="10"/>
      <c r="R642" s="10" t="s">
        <v>6534</v>
      </c>
      <c r="S642" s="10" t="s">
        <v>53</v>
      </c>
      <c r="T642" s="10" t="s">
        <v>54</v>
      </c>
    </row>
    <row r="643" spans="1:20" ht="14.5" x14ac:dyDescent="0.35">
      <c r="A643" s="10" t="s">
        <v>9028</v>
      </c>
      <c r="B643" s="10" t="str">
        <f>"9780415950534"</f>
        <v>9780415950534</v>
      </c>
      <c r="C643" s="10" t="str">
        <f>"9780203997895"</f>
        <v>9780203997895</v>
      </c>
      <c r="D643" s="10" t="s">
        <v>6350</v>
      </c>
      <c r="E643" s="10" t="s">
        <v>6351</v>
      </c>
      <c r="F643" s="10" t="s">
        <v>3967</v>
      </c>
      <c r="G643" s="10" t="s">
        <v>6352</v>
      </c>
      <c r="H643" s="11">
        <v>38325</v>
      </c>
      <c r="I643" s="10">
        <v>2005</v>
      </c>
      <c r="J643" s="10" t="s">
        <v>6353</v>
      </c>
      <c r="K643" s="10">
        <v>173</v>
      </c>
      <c r="L643" s="10" t="s">
        <v>9029</v>
      </c>
      <c r="M643" s="10">
        <v>1</v>
      </c>
      <c r="N643" s="10" t="s">
        <v>7735</v>
      </c>
      <c r="O643" s="10"/>
      <c r="P643" s="10" t="s">
        <v>9030</v>
      </c>
      <c r="Q643" s="10">
        <v>371.10300000000001</v>
      </c>
      <c r="R643" s="10" t="s">
        <v>9031</v>
      </c>
      <c r="S643" s="10" t="s">
        <v>53</v>
      </c>
      <c r="T643" s="10" t="s">
        <v>54</v>
      </c>
    </row>
    <row r="644" spans="1:20" ht="14.5" x14ac:dyDescent="0.35">
      <c r="A644" s="10" t="s">
        <v>9032</v>
      </c>
      <c r="B644" s="10" t="str">
        <f>"9780750706414"</f>
        <v>9780750706414</v>
      </c>
      <c r="C644" s="10" t="str">
        <f>"9780203983980"</f>
        <v>9780203983980</v>
      </c>
      <c r="D644" s="10" t="s">
        <v>6350</v>
      </c>
      <c r="E644" s="10" t="s">
        <v>6351</v>
      </c>
      <c r="F644" s="10" t="s">
        <v>139</v>
      </c>
      <c r="G644" s="10" t="s">
        <v>6352</v>
      </c>
      <c r="H644" s="11">
        <v>36251</v>
      </c>
      <c r="I644" s="10">
        <v>1999</v>
      </c>
      <c r="J644" s="10" t="s">
        <v>6353</v>
      </c>
      <c r="K644" s="10">
        <v>246</v>
      </c>
      <c r="L644" s="10" t="s">
        <v>9033</v>
      </c>
      <c r="M644" s="10">
        <v>1</v>
      </c>
      <c r="N644" s="10"/>
      <c r="O644" s="10"/>
      <c r="P644" s="10" t="s">
        <v>9034</v>
      </c>
      <c r="Q644" s="10">
        <v>371.2</v>
      </c>
      <c r="R644" s="10" t="s">
        <v>6832</v>
      </c>
      <c r="S644" s="10" t="s">
        <v>53</v>
      </c>
      <c r="T644" s="10" t="s">
        <v>54</v>
      </c>
    </row>
    <row r="645" spans="1:20" ht="14.5" x14ac:dyDescent="0.35">
      <c r="A645" s="10" t="s">
        <v>9035</v>
      </c>
      <c r="B645" s="10" t="str">
        <f>"9780750707817"</f>
        <v>9780750707817</v>
      </c>
      <c r="C645" s="10" t="str">
        <f>"9780203983737"</f>
        <v>9780203983737</v>
      </c>
      <c r="D645" s="10" t="s">
        <v>6350</v>
      </c>
      <c r="E645" s="10" t="s">
        <v>6351</v>
      </c>
      <c r="F645" s="10" t="s">
        <v>139</v>
      </c>
      <c r="G645" s="10" t="s">
        <v>6352</v>
      </c>
      <c r="H645" s="11">
        <v>35977</v>
      </c>
      <c r="I645" s="10">
        <v>1998</v>
      </c>
      <c r="J645" s="10" t="s">
        <v>6353</v>
      </c>
      <c r="K645" s="10">
        <v>204</v>
      </c>
      <c r="L645" s="10" t="s">
        <v>9036</v>
      </c>
      <c r="M645" s="10">
        <v>1</v>
      </c>
      <c r="N645" s="10" t="s">
        <v>9037</v>
      </c>
      <c r="O645" s="10"/>
      <c r="P645" s="10" t="s">
        <v>9038</v>
      </c>
      <c r="Q645" s="10">
        <v>372.94099999999997</v>
      </c>
      <c r="R645" s="10" t="s">
        <v>6547</v>
      </c>
      <c r="S645" s="10" t="s">
        <v>53</v>
      </c>
      <c r="T645" s="10" t="s">
        <v>54</v>
      </c>
    </row>
    <row r="646" spans="1:20" ht="14.5" x14ac:dyDescent="0.35">
      <c r="A646" s="10" t="s">
        <v>9039</v>
      </c>
      <c r="B646" s="10" t="str">
        <f>"9780750708067"</f>
        <v>9780750708067</v>
      </c>
      <c r="C646" s="10" t="str">
        <f>"9780203982211"</f>
        <v>9780203982211</v>
      </c>
      <c r="D646" s="10" t="s">
        <v>6350</v>
      </c>
      <c r="E646" s="10" t="s">
        <v>6351</v>
      </c>
      <c r="F646" s="10" t="s">
        <v>3967</v>
      </c>
      <c r="G646" s="10" t="s">
        <v>6352</v>
      </c>
      <c r="H646" s="11">
        <v>36008</v>
      </c>
      <c r="I646" s="10">
        <v>1998</v>
      </c>
      <c r="J646" s="10" t="s">
        <v>6353</v>
      </c>
      <c r="K646" s="10">
        <v>154</v>
      </c>
      <c r="L646" s="10" t="s">
        <v>9040</v>
      </c>
      <c r="M646" s="10">
        <v>1</v>
      </c>
      <c r="N646" s="10"/>
      <c r="O646" s="10"/>
      <c r="P646" s="10" t="s">
        <v>9041</v>
      </c>
      <c r="Q646" s="10"/>
      <c r="R646" s="10" t="s">
        <v>6547</v>
      </c>
      <c r="S646" s="10" t="s">
        <v>53</v>
      </c>
      <c r="T646" s="10" t="s">
        <v>54</v>
      </c>
    </row>
    <row r="647" spans="1:20" ht="14.5" x14ac:dyDescent="0.35">
      <c r="A647" s="10" t="s">
        <v>9042</v>
      </c>
      <c r="B647" s="10" t="str">
        <f>"9780750709378"</f>
        <v>9780750709378</v>
      </c>
      <c r="C647" s="10" t="str">
        <f>"9780203983225"</f>
        <v>9780203983225</v>
      </c>
      <c r="D647" s="10" t="s">
        <v>6350</v>
      </c>
      <c r="E647" s="10" t="s">
        <v>6351</v>
      </c>
      <c r="F647" s="10" t="s">
        <v>139</v>
      </c>
      <c r="G647" s="10" t="s">
        <v>6352</v>
      </c>
      <c r="H647" s="11">
        <v>36342</v>
      </c>
      <c r="I647" s="10">
        <v>1999</v>
      </c>
      <c r="J647" s="10" t="s">
        <v>6353</v>
      </c>
      <c r="K647" s="10">
        <v>285</v>
      </c>
      <c r="L647" s="10" t="s">
        <v>9043</v>
      </c>
      <c r="M647" s="10">
        <v>1</v>
      </c>
      <c r="N647" s="10"/>
      <c r="O647" s="10"/>
      <c r="P647" s="10">
        <v>99491960</v>
      </c>
      <c r="Q647" s="10" t="s">
        <v>9044</v>
      </c>
      <c r="R647" s="10" t="s">
        <v>6932</v>
      </c>
      <c r="S647" s="10" t="s">
        <v>53</v>
      </c>
      <c r="T647" s="10" t="s">
        <v>54</v>
      </c>
    </row>
    <row r="648" spans="1:20" ht="14.5" x14ac:dyDescent="0.35">
      <c r="A648" s="10" t="s">
        <v>9045</v>
      </c>
      <c r="B648" s="10" t="str">
        <f>"9780750709781"</f>
        <v>9780750709781</v>
      </c>
      <c r="C648" s="10" t="str">
        <f>"9780203984581"</f>
        <v>9780203984581</v>
      </c>
      <c r="D648" s="10" t="s">
        <v>6350</v>
      </c>
      <c r="E648" s="10" t="s">
        <v>6351</v>
      </c>
      <c r="F648" s="10" t="s">
        <v>139</v>
      </c>
      <c r="G648" s="10" t="s">
        <v>6352</v>
      </c>
      <c r="H648" s="11">
        <v>36495</v>
      </c>
      <c r="I648" s="10">
        <v>1999</v>
      </c>
      <c r="J648" s="10" t="s">
        <v>6353</v>
      </c>
      <c r="K648" s="10">
        <v>220</v>
      </c>
      <c r="L648" s="10" t="s">
        <v>9046</v>
      </c>
      <c r="M648" s="10">
        <v>1</v>
      </c>
      <c r="N648" s="10" t="s">
        <v>9037</v>
      </c>
      <c r="O648" s="10"/>
      <c r="P648" s="10" t="s">
        <v>9047</v>
      </c>
      <c r="Q648" s="10">
        <v>378</v>
      </c>
      <c r="R648" s="10" t="s">
        <v>6547</v>
      </c>
      <c r="S648" s="10" t="s">
        <v>53</v>
      </c>
      <c r="T648" s="10" t="s">
        <v>54</v>
      </c>
    </row>
    <row r="649" spans="1:20" ht="14.5" x14ac:dyDescent="0.35">
      <c r="A649" s="10" t="s">
        <v>9048</v>
      </c>
      <c r="B649" s="10" t="str">
        <f>"9780415112949"</f>
        <v>9780415112949</v>
      </c>
      <c r="C649" s="10" t="str">
        <f>"9780203975732"</f>
        <v>9780203975732</v>
      </c>
      <c r="D649" s="10" t="s">
        <v>6350</v>
      </c>
      <c r="E649" s="10" t="s">
        <v>6351</v>
      </c>
      <c r="F649" s="10" t="s">
        <v>3967</v>
      </c>
      <c r="G649" s="10" t="s">
        <v>6352</v>
      </c>
      <c r="H649" s="11">
        <v>35096</v>
      </c>
      <c r="I649" s="10">
        <v>1996</v>
      </c>
      <c r="J649" s="10" t="s">
        <v>6353</v>
      </c>
      <c r="K649" s="10">
        <v>204</v>
      </c>
      <c r="L649" s="10" t="s">
        <v>9049</v>
      </c>
      <c r="M649" s="10">
        <v>1</v>
      </c>
      <c r="N649" s="10"/>
      <c r="O649" s="10"/>
      <c r="P649" s="10" t="s">
        <v>9050</v>
      </c>
      <c r="Q649" s="10"/>
      <c r="R649" s="10" t="s">
        <v>6647</v>
      </c>
      <c r="S649" s="10" t="s">
        <v>53</v>
      </c>
      <c r="T649" s="10" t="s">
        <v>54</v>
      </c>
    </row>
    <row r="650" spans="1:20" ht="14.5" x14ac:dyDescent="0.35">
      <c r="A650" s="10" t="s">
        <v>9051</v>
      </c>
      <c r="B650" s="10" t="str">
        <f>"9780253216229"</f>
        <v>9780253216229</v>
      </c>
      <c r="C650" s="10" t="str">
        <f>"9780253110626"</f>
        <v>9780253110626</v>
      </c>
      <c r="D650" s="10" t="s">
        <v>2455</v>
      </c>
      <c r="E650" s="10" t="s">
        <v>2455</v>
      </c>
      <c r="F650" s="10" t="s">
        <v>3101</v>
      </c>
      <c r="G650" s="10" t="s">
        <v>6317</v>
      </c>
      <c r="H650" s="11">
        <v>37979</v>
      </c>
      <c r="I650" s="10">
        <v>2004</v>
      </c>
      <c r="J650" s="10" t="s">
        <v>2455</v>
      </c>
      <c r="K650" s="10">
        <v>385</v>
      </c>
      <c r="L650" s="10" t="s">
        <v>9052</v>
      </c>
      <c r="M650" s="10">
        <v>1</v>
      </c>
      <c r="N650" s="10"/>
      <c r="O650" s="10"/>
      <c r="P650" s="10" t="s">
        <v>9053</v>
      </c>
      <c r="Q650" s="10" t="s">
        <v>9054</v>
      </c>
      <c r="R650" s="10" t="s">
        <v>9055</v>
      </c>
      <c r="S650" s="10" t="s">
        <v>53</v>
      </c>
      <c r="T650" s="10" t="s">
        <v>54</v>
      </c>
    </row>
    <row r="651" spans="1:20" ht="14.5" x14ac:dyDescent="0.35">
      <c r="A651" s="10" t="s">
        <v>9056</v>
      </c>
      <c r="B651" s="10" t="str">
        <f>"9780750709156"</f>
        <v>9780750709156</v>
      </c>
      <c r="C651" s="10" t="str">
        <f>"9780203979051"</f>
        <v>9780203979051</v>
      </c>
      <c r="D651" s="10" t="s">
        <v>6350</v>
      </c>
      <c r="E651" s="10" t="s">
        <v>6351</v>
      </c>
      <c r="F651" s="10" t="s">
        <v>139</v>
      </c>
      <c r="G651" s="10" t="s">
        <v>6352</v>
      </c>
      <c r="H651" s="11">
        <v>36412</v>
      </c>
      <c r="I651" s="10">
        <v>1999</v>
      </c>
      <c r="J651" s="10" t="s">
        <v>6353</v>
      </c>
      <c r="K651" s="10">
        <v>233</v>
      </c>
      <c r="L651" s="10" t="s">
        <v>9057</v>
      </c>
      <c r="M651" s="10">
        <v>1</v>
      </c>
      <c r="N651" s="10"/>
      <c r="O651" s="10"/>
      <c r="P651" s="10" t="s">
        <v>9058</v>
      </c>
      <c r="Q651" s="10" t="s">
        <v>8011</v>
      </c>
      <c r="R651" s="10" t="s">
        <v>8147</v>
      </c>
      <c r="S651" s="10" t="s">
        <v>53</v>
      </c>
      <c r="T651" s="10" t="s">
        <v>6472</v>
      </c>
    </row>
    <row r="652" spans="1:20" ht="14.5" x14ac:dyDescent="0.35">
      <c r="A652" s="10" t="s">
        <v>9059</v>
      </c>
      <c r="B652" s="10" t="str">
        <f>"9780749430399"</f>
        <v>9780749430399</v>
      </c>
      <c r="C652" s="10" t="str">
        <f>"9780203016428"</f>
        <v>9780203016428</v>
      </c>
      <c r="D652" s="10" t="s">
        <v>6350</v>
      </c>
      <c r="E652" s="10" t="s">
        <v>6351</v>
      </c>
      <c r="F652" s="10" t="s">
        <v>139</v>
      </c>
      <c r="G652" s="10" t="s">
        <v>6317</v>
      </c>
      <c r="H652" s="11">
        <v>36434</v>
      </c>
      <c r="I652" s="10">
        <v>1999</v>
      </c>
      <c r="J652" s="10" t="s">
        <v>6353</v>
      </c>
      <c r="K652" s="10">
        <v>234</v>
      </c>
      <c r="L652" s="10" t="s">
        <v>9060</v>
      </c>
      <c r="M652" s="10">
        <v>1</v>
      </c>
      <c r="N652" s="10"/>
      <c r="O652" s="10"/>
      <c r="P652" s="10" t="s">
        <v>9061</v>
      </c>
      <c r="Q652" s="10">
        <v>364.36</v>
      </c>
      <c r="R652" s="10" t="s">
        <v>9062</v>
      </c>
      <c r="S652" s="10" t="s">
        <v>53</v>
      </c>
      <c r="T652" s="10" t="s">
        <v>6363</v>
      </c>
    </row>
    <row r="653" spans="1:20" ht="14.5" x14ac:dyDescent="0.35">
      <c r="A653" s="10" t="s">
        <v>9063</v>
      </c>
      <c r="B653" s="10" t="str">
        <f>"9780750708999"</f>
        <v>9780750708999</v>
      </c>
      <c r="C653" s="10" t="str">
        <f>"9780203994344"</f>
        <v>9780203994344</v>
      </c>
      <c r="D653" s="10" t="s">
        <v>6350</v>
      </c>
      <c r="E653" s="10" t="s">
        <v>6351</v>
      </c>
      <c r="F653" s="10" t="s">
        <v>139</v>
      </c>
      <c r="G653" s="10" t="s">
        <v>6352</v>
      </c>
      <c r="H653" s="11">
        <v>37330</v>
      </c>
      <c r="I653" s="10">
        <v>2002</v>
      </c>
      <c r="J653" s="10" t="s">
        <v>6353</v>
      </c>
      <c r="K653" s="10">
        <v>301</v>
      </c>
      <c r="L653" s="10" t="s">
        <v>9064</v>
      </c>
      <c r="M653" s="10">
        <v>1</v>
      </c>
      <c r="N653" s="10"/>
      <c r="O653" s="10"/>
      <c r="P653" s="10" t="s">
        <v>9065</v>
      </c>
      <c r="Q653" s="10">
        <v>371.82209410000002</v>
      </c>
      <c r="R653" s="10" t="s">
        <v>9066</v>
      </c>
      <c r="S653" s="10" t="s">
        <v>53</v>
      </c>
      <c r="T653" s="10" t="s">
        <v>54</v>
      </c>
    </row>
    <row r="654" spans="1:20" ht="14.5" x14ac:dyDescent="0.35">
      <c r="A654" s="10" t="s">
        <v>9067</v>
      </c>
      <c r="B654" s="10" t="str">
        <f>"9780805848779"</f>
        <v>9780805848779</v>
      </c>
      <c r="C654" s="10" t="str">
        <f>"9781410610386"</f>
        <v>9781410610386</v>
      </c>
      <c r="D654" s="10" t="s">
        <v>6350</v>
      </c>
      <c r="E654" s="10" t="s">
        <v>6351</v>
      </c>
      <c r="F654" s="10" t="s">
        <v>748</v>
      </c>
      <c r="G654" s="10" t="s">
        <v>6352</v>
      </c>
      <c r="H654" s="11">
        <v>38071</v>
      </c>
      <c r="I654" s="10">
        <v>2004</v>
      </c>
      <c r="J654" s="10" t="s">
        <v>6351</v>
      </c>
      <c r="K654" s="10">
        <v>351</v>
      </c>
      <c r="L654" s="10" t="s">
        <v>9068</v>
      </c>
      <c r="M654" s="10">
        <v>1</v>
      </c>
      <c r="N654" s="10"/>
      <c r="O654" s="10"/>
      <c r="P654" s="10" t="s">
        <v>9069</v>
      </c>
      <c r="Q654" s="10" t="s">
        <v>7600</v>
      </c>
      <c r="R654" s="10" t="s">
        <v>9070</v>
      </c>
      <c r="S654" s="10" t="s">
        <v>53</v>
      </c>
      <c r="T654" s="10" t="s">
        <v>54</v>
      </c>
    </row>
    <row r="655" spans="1:20" ht="14.5" x14ac:dyDescent="0.35">
      <c r="A655" s="10" t="s">
        <v>9071</v>
      </c>
      <c r="B655" s="10" t="str">
        <f>"9780805843880"</f>
        <v>9780805843880</v>
      </c>
      <c r="C655" s="10" t="str">
        <f>"9781410611086"</f>
        <v>9781410611086</v>
      </c>
      <c r="D655" s="10" t="s">
        <v>6350</v>
      </c>
      <c r="E655" s="10" t="s">
        <v>6351</v>
      </c>
      <c r="F655" s="10" t="s">
        <v>4325</v>
      </c>
      <c r="G655" s="10" t="s">
        <v>6317</v>
      </c>
      <c r="H655" s="11">
        <v>38168</v>
      </c>
      <c r="I655" s="10">
        <v>2004</v>
      </c>
      <c r="J655" s="10" t="s">
        <v>6353</v>
      </c>
      <c r="K655" s="10">
        <v>241</v>
      </c>
      <c r="L655" s="10" t="s">
        <v>9072</v>
      </c>
      <c r="M655" s="10">
        <v>1</v>
      </c>
      <c r="N655" s="10"/>
      <c r="O655" s="10"/>
      <c r="P655" s="10" t="s">
        <v>9073</v>
      </c>
      <c r="Q655" s="10">
        <v>372</v>
      </c>
      <c r="R655" s="10" t="s">
        <v>9074</v>
      </c>
      <c r="S655" s="10" t="s">
        <v>53</v>
      </c>
      <c r="T655" s="10" t="s">
        <v>54</v>
      </c>
    </row>
    <row r="656" spans="1:20" ht="14.5" x14ac:dyDescent="0.35">
      <c r="A656" s="10" t="s">
        <v>9075</v>
      </c>
      <c r="B656" s="10" t="str">
        <f>"9780815327813"</f>
        <v>9780815327813</v>
      </c>
      <c r="C656" s="10" t="str">
        <f>"9780203016749"</f>
        <v>9780203016749</v>
      </c>
      <c r="D656" s="10" t="s">
        <v>6350</v>
      </c>
      <c r="E656" s="10" t="s">
        <v>6351</v>
      </c>
      <c r="F656" s="10" t="s">
        <v>139</v>
      </c>
      <c r="G656" s="10" t="s">
        <v>6317</v>
      </c>
      <c r="H656" s="11">
        <v>36130</v>
      </c>
      <c r="I656" s="10">
        <v>1999</v>
      </c>
      <c r="J656" s="10" t="s">
        <v>6353</v>
      </c>
      <c r="K656" s="10">
        <v>196</v>
      </c>
      <c r="L656" s="10" t="s">
        <v>9076</v>
      </c>
      <c r="M656" s="10">
        <v>1</v>
      </c>
      <c r="N656" s="10" t="s">
        <v>7648</v>
      </c>
      <c r="O656" s="10"/>
      <c r="P656" s="10" t="s">
        <v>9077</v>
      </c>
      <c r="Q656" s="10" t="s">
        <v>7335</v>
      </c>
      <c r="R656" s="10" t="s">
        <v>9078</v>
      </c>
      <c r="S656" s="10" t="s">
        <v>53</v>
      </c>
      <c r="T656" s="10" t="s">
        <v>54</v>
      </c>
    </row>
    <row r="657" spans="1:20" ht="14.5" x14ac:dyDescent="0.35">
      <c r="A657" s="10" t="s">
        <v>9079</v>
      </c>
      <c r="B657" s="10" t="str">
        <f>"9780750703161"</f>
        <v>9780750703161</v>
      </c>
      <c r="C657" s="10" t="str">
        <f>"9780203975480"</f>
        <v>9780203975480</v>
      </c>
      <c r="D657" s="10" t="s">
        <v>6350</v>
      </c>
      <c r="E657" s="10" t="s">
        <v>6351</v>
      </c>
      <c r="F657" s="10" t="s">
        <v>5406</v>
      </c>
      <c r="G657" s="10" t="s">
        <v>6317</v>
      </c>
      <c r="H657" s="11">
        <v>41773</v>
      </c>
      <c r="I657" s="10">
        <v>1994</v>
      </c>
      <c r="J657" s="10" t="s">
        <v>6353</v>
      </c>
      <c r="K657" s="10">
        <v>182</v>
      </c>
      <c r="L657" s="10" t="s">
        <v>9080</v>
      </c>
      <c r="M657" s="10">
        <v>1</v>
      </c>
      <c r="N657" s="10"/>
      <c r="O657" s="10"/>
      <c r="P657" s="10" t="s">
        <v>9081</v>
      </c>
      <c r="Q657" s="10">
        <v>813.6</v>
      </c>
      <c r="R657" s="10" t="s">
        <v>9082</v>
      </c>
      <c r="S657" s="10" t="s">
        <v>53</v>
      </c>
      <c r="T657" s="10" t="s">
        <v>6568</v>
      </c>
    </row>
    <row r="658" spans="1:20" ht="14.5" x14ac:dyDescent="0.35">
      <c r="A658" s="10" t="s">
        <v>9083</v>
      </c>
      <c r="B658" s="10" t="str">
        <f>"9780415220217"</f>
        <v>9780415220217</v>
      </c>
      <c r="C658" s="10" t="str">
        <f>"9780203979112"</f>
        <v>9780203979112</v>
      </c>
      <c r="D658" s="10" t="s">
        <v>6350</v>
      </c>
      <c r="E658" s="10" t="s">
        <v>6351</v>
      </c>
      <c r="F658" s="10" t="s">
        <v>139</v>
      </c>
      <c r="G658" s="10" t="s">
        <v>6352</v>
      </c>
      <c r="H658" s="11">
        <v>36579</v>
      </c>
      <c r="I658" s="10">
        <v>1999</v>
      </c>
      <c r="J658" s="10" t="s">
        <v>6353</v>
      </c>
      <c r="K658" s="10">
        <v>252</v>
      </c>
      <c r="L658" s="10" t="s">
        <v>9084</v>
      </c>
      <c r="M658" s="10">
        <v>1</v>
      </c>
      <c r="N658" s="10"/>
      <c r="O658" s="10"/>
      <c r="P658" s="10" t="s">
        <v>9085</v>
      </c>
      <c r="Q658" s="10">
        <v>371.20100000000002</v>
      </c>
      <c r="R658" s="10" t="s">
        <v>6928</v>
      </c>
      <c r="S658" s="10" t="s">
        <v>53</v>
      </c>
      <c r="T658" s="10" t="s">
        <v>54</v>
      </c>
    </row>
    <row r="659" spans="1:20" ht="14.5" x14ac:dyDescent="0.35">
      <c r="A659" s="10" t="s">
        <v>9086</v>
      </c>
      <c r="B659" s="10" t="str">
        <f>"9780415167017"</f>
        <v>9780415167017</v>
      </c>
      <c r="C659" s="10" t="str">
        <f>"9780203979976"</f>
        <v>9780203979976</v>
      </c>
      <c r="D659" s="10" t="s">
        <v>6350</v>
      </c>
      <c r="E659" s="10" t="s">
        <v>6351</v>
      </c>
      <c r="F659" s="10" t="s">
        <v>748</v>
      </c>
      <c r="G659" s="10" t="s">
        <v>6352</v>
      </c>
      <c r="H659" s="11">
        <v>35972</v>
      </c>
      <c r="I659" s="10">
        <v>1998</v>
      </c>
      <c r="J659" s="10" t="s">
        <v>6351</v>
      </c>
      <c r="K659" s="10">
        <v>276</v>
      </c>
      <c r="L659" s="10" t="s">
        <v>9087</v>
      </c>
      <c r="M659" s="10">
        <v>1</v>
      </c>
      <c r="N659" s="10"/>
      <c r="O659" s="10"/>
      <c r="P659" s="10" t="s">
        <v>9088</v>
      </c>
      <c r="Q659" s="10">
        <v>306.43</v>
      </c>
      <c r="R659" s="10" t="s">
        <v>6547</v>
      </c>
      <c r="S659" s="10" t="s">
        <v>53</v>
      </c>
      <c r="T659" s="10" t="s">
        <v>6472</v>
      </c>
    </row>
    <row r="660" spans="1:20" ht="14.5" x14ac:dyDescent="0.35">
      <c r="A660" s="10" t="s">
        <v>9089</v>
      </c>
      <c r="B660" s="10" t="str">
        <f>"9780750708548"</f>
        <v>9780750708548</v>
      </c>
      <c r="C660" s="10" t="str">
        <f>"9780203980156"</f>
        <v>9780203980156</v>
      </c>
      <c r="D660" s="10" t="s">
        <v>6350</v>
      </c>
      <c r="E660" s="10" t="s">
        <v>6351</v>
      </c>
      <c r="F660" s="10" t="s">
        <v>748</v>
      </c>
      <c r="G660" s="10" t="s">
        <v>6352</v>
      </c>
      <c r="H660" s="11">
        <v>36434</v>
      </c>
      <c r="I660" s="10">
        <v>2000</v>
      </c>
      <c r="J660" s="10" t="s">
        <v>6351</v>
      </c>
      <c r="K660" s="10">
        <v>300</v>
      </c>
      <c r="L660" s="10" t="s">
        <v>9090</v>
      </c>
      <c r="M660" s="10">
        <v>1</v>
      </c>
      <c r="N660" s="10"/>
      <c r="O660" s="10"/>
      <c r="P660" s="10">
        <v>99028041</v>
      </c>
      <c r="Q660" s="10" t="s">
        <v>9091</v>
      </c>
      <c r="R660" s="10" t="s">
        <v>6932</v>
      </c>
      <c r="S660" s="10" t="s">
        <v>53</v>
      </c>
      <c r="T660" s="10" t="s">
        <v>54</v>
      </c>
    </row>
    <row r="661" spans="1:20" ht="14.5" x14ac:dyDescent="0.35">
      <c r="A661" s="10" t="s">
        <v>9092</v>
      </c>
      <c r="B661" s="10" t="str">
        <f>"9780415181266"</f>
        <v>9780415181266</v>
      </c>
      <c r="C661" s="10" t="str">
        <f>"9780203980286"</f>
        <v>9780203980286</v>
      </c>
      <c r="D661" s="10" t="s">
        <v>6350</v>
      </c>
      <c r="E661" s="10" t="s">
        <v>6351</v>
      </c>
      <c r="F661" s="10" t="s">
        <v>139</v>
      </c>
      <c r="G661" s="10" t="s">
        <v>6352</v>
      </c>
      <c r="H661" s="11">
        <v>36376</v>
      </c>
      <c r="I661" s="10">
        <v>1999</v>
      </c>
      <c r="J661" s="10" t="s">
        <v>6353</v>
      </c>
      <c r="K661" s="10">
        <v>203</v>
      </c>
      <c r="L661" s="10" t="s">
        <v>9093</v>
      </c>
      <c r="M661" s="10">
        <v>1</v>
      </c>
      <c r="N661" s="10" t="s">
        <v>9094</v>
      </c>
      <c r="O661" s="10"/>
      <c r="P661" s="10" t="s">
        <v>9095</v>
      </c>
      <c r="Q661" s="10">
        <v>331.25920959000001</v>
      </c>
      <c r="R661" s="10" t="s">
        <v>9096</v>
      </c>
      <c r="S661" s="10" t="s">
        <v>53</v>
      </c>
      <c r="T661" s="10" t="s">
        <v>8723</v>
      </c>
    </row>
    <row r="662" spans="1:20" ht="14.5" x14ac:dyDescent="0.35">
      <c r="A662" s="10" t="s">
        <v>9097</v>
      </c>
      <c r="B662" s="10" t="str">
        <f>"9780415139779"</f>
        <v>9780415139779</v>
      </c>
      <c r="C662" s="10" t="str">
        <f>"9780203983720"</f>
        <v>9780203983720</v>
      </c>
      <c r="D662" s="10" t="s">
        <v>6350</v>
      </c>
      <c r="E662" s="10" t="s">
        <v>6351</v>
      </c>
      <c r="F662" s="10" t="s">
        <v>748</v>
      </c>
      <c r="G662" s="10" t="s">
        <v>6352</v>
      </c>
      <c r="H662" s="11">
        <v>35922</v>
      </c>
      <c r="I662" s="10">
        <v>1998</v>
      </c>
      <c r="J662" s="10" t="s">
        <v>6351</v>
      </c>
      <c r="K662" s="10">
        <v>274</v>
      </c>
      <c r="L662" s="10" t="s">
        <v>9098</v>
      </c>
      <c r="M662" s="10">
        <v>1</v>
      </c>
      <c r="N662" s="10"/>
      <c r="O662" s="10"/>
      <c r="P662" s="10" t="s">
        <v>9099</v>
      </c>
      <c r="Q662" s="10">
        <v>379.41</v>
      </c>
      <c r="R662" s="10" t="s">
        <v>6709</v>
      </c>
      <c r="S662" s="10" t="s">
        <v>53</v>
      </c>
      <c r="T662" s="10" t="s">
        <v>54</v>
      </c>
    </row>
    <row r="663" spans="1:20" ht="14.5" x14ac:dyDescent="0.35">
      <c r="A663" s="10" t="s">
        <v>9100</v>
      </c>
      <c r="B663" s="10" t="str">
        <f>"9780750710145"</f>
        <v>9780750710145</v>
      </c>
      <c r="C663" s="10" t="str">
        <f>"9780203984413"</f>
        <v>9780203984413</v>
      </c>
      <c r="D663" s="10" t="s">
        <v>6350</v>
      </c>
      <c r="E663" s="10" t="s">
        <v>6351</v>
      </c>
      <c r="F663" s="10" t="s">
        <v>139</v>
      </c>
      <c r="G663" s="10" t="s">
        <v>6352</v>
      </c>
      <c r="H663" s="11">
        <v>36665</v>
      </c>
      <c r="I663" s="10">
        <v>1999</v>
      </c>
      <c r="J663" s="10" t="s">
        <v>6353</v>
      </c>
      <c r="K663" s="10">
        <v>232</v>
      </c>
      <c r="L663" s="10" t="s">
        <v>9101</v>
      </c>
      <c r="M663" s="10">
        <v>1</v>
      </c>
      <c r="N663" s="10"/>
      <c r="O663" s="10"/>
      <c r="P663" s="10">
        <v>99038859</v>
      </c>
      <c r="Q663" s="10">
        <v>372.94267000000002</v>
      </c>
      <c r="R663" s="10" t="s">
        <v>6738</v>
      </c>
      <c r="S663" s="10" t="s">
        <v>53</v>
      </c>
      <c r="T663" s="10" t="s">
        <v>54</v>
      </c>
    </row>
    <row r="664" spans="1:20" ht="14.5" x14ac:dyDescent="0.35">
      <c r="A664" s="10" t="s">
        <v>9102</v>
      </c>
      <c r="B664" s="10" t="str">
        <f>"9780415200592"</f>
        <v>9780415200592</v>
      </c>
      <c r="C664" s="10" t="str">
        <f>"9780203991817"</f>
        <v>9780203991817</v>
      </c>
      <c r="D664" s="10" t="s">
        <v>6350</v>
      </c>
      <c r="E664" s="10" t="s">
        <v>6351</v>
      </c>
      <c r="F664" s="10" t="s">
        <v>748</v>
      </c>
      <c r="G664" s="10" t="s">
        <v>6352</v>
      </c>
      <c r="H664" s="11">
        <v>36476</v>
      </c>
      <c r="I664" s="10">
        <v>2000</v>
      </c>
      <c r="J664" s="10" t="s">
        <v>6351</v>
      </c>
      <c r="K664" s="10">
        <v>297</v>
      </c>
      <c r="L664" s="10" t="s">
        <v>9103</v>
      </c>
      <c r="M664" s="10">
        <v>1</v>
      </c>
      <c r="N664" s="10"/>
      <c r="O664" s="10"/>
      <c r="P664" s="10" t="s">
        <v>9104</v>
      </c>
      <c r="Q664" s="10">
        <v>374</v>
      </c>
      <c r="R664" s="10" t="s">
        <v>6659</v>
      </c>
      <c r="S664" s="10" t="s">
        <v>53</v>
      </c>
      <c r="T664" s="10" t="s">
        <v>54</v>
      </c>
    </row>
    <row r="665" spans="1:20" ht="14.5" x14ac:dyDescent="0.35">
      <c r="A665" s="10" t="s">
        <v>9105</v>
      </c>
      <c r="B665" s="10" t="str">
        <f>"9780415234849"</f>
        <v>9780415234849</v>
      </c>
      <c r="C665" s="10" t="str">
        <f>"9780203993460"</f>
        <v>9780203993460</v>
      </c>
      <c r="D665" s="10" t="s">
        <v>6350</v>
      </c>
      <c r="E665" s="10" t="s">
        <v>6351</v>
      </c>
      <c r="F665" s="10" t="s">
        <v>748</v>
      </c>
      <c r="G665" s="10" t="s">
        <v>6352</v>
      </c>
      <c r="H665" s="11">
        <v>36944</v>
      </c>
      <c r="I665" s="10">
        <v>2001</v>
      </c>
      <c r="J665" s="10" t="s">
        <v>6351</v>
      </c>
      <c r="K665" s="10">
        <v>256</v>
      </c>
      <c r="L665" s="10" t="s">
        <v>9106</v>
      </c>
      <c r="M665" s="10">
        <v>1</v>
      </c>
      <c r="N665" s="10" t="s">
        <v>6788</v>
      </c>
      <c r="O665" s="10"/>
      <c r="P665" s="10" t="s">
        <v>9107</v>
      </c>
      <c r="Q665" s="10" t="s">
        <v>9108</v>
      </c>
      <c r="R665" s="10" t="s">
        <v>9109</v>
      </c>
      <c r="S665" s="10" t="s">
        <v>53</v>
      </c>
      <c r="T665" s="10" t="s">
        <v>7193</v>
      </c>
    </row>
    <row r="666" spans="1:20" ht="14.5" x14ac:dyDescent="0.35">
      <c r="A666" s="10" t="s">
        <v>9110</v>
      </c>
      <c r="B666" s="10" t="str">
        <f>"9780415230506"</f>
        <v>9780415230506</v>
      </c>
      <c r="C666" s="10" t="str">
        <f>"9780203994399"</f>
        <v>9780203994399</v>
      </c>
      <c r="D666" s="10" t="s">
        <v>6350</v>
      </c>
      <c r="E666" s="10" t="s">
        <v>6351</v>
      </c>
      <c r="F666" s="10" t="s">
        <v>748</v>
      </c>
      <c r="G666" s="10" t="s">
        <v>6352</v>
      </c>
      <c r="H666" s="11">
        <v>37239</v>
      </c>
      <c r="I666" s="10">
        <v>2002</v>
      </c>
      <c r="J666" s="10" t="s">
        <v>6351</v>
      </c>
      <c r="K666" s="10">
        <v>167</v>
      </c>
      <c r="L666" s="10" t="s">
        <v>9111</v>
      </c>
      <c r="M666" s="10">
        <v>1</v>
      </c>
      <c r="N666" s="10"/>
      <c r="O666" s="10"/>
      <c r="P666" s="10" t="s">
        <v>9112</v>
      </c>
      <c r="Q666" s="10">
        <v>371.2</v>
      </c>
      <c r="R666" s="10" t="s">
        <v>9113</v>
      </c>
      <c r="S666" s="10" t="s">
        <v>53</v>
      </c>
      <c r="T666" s="10" t="s">
        <v>54</v>
      </c>
    </row>
    <row r="667" spans="1:20" ht="14.5" x14ac:dyDescent="0.35">
      <c r="A667" s="10" t="s">
        <v>9114</v>
      </c>
      <c r="B667" s="10" t="str">
        <f>"9780415263252"</f>
        <v>9780415263252</v>
      </c>
      <c r="C667" s="10" t="str">
        <f>"9780203994993"</f>
        <v>9780203994993</v>
      </c>
      <c r="D667" s="10" t="s">
        <v>6350</v>
      </c>
      <c r="E667" s="10" t="s">
        <v>6351</v>
      </c>
      <c r="F667" s="10" t="s">
        <v>139</v>
      </c>
      <c r="G667" s="10" t="s">
        <v>6352</v>
      </c>
      <c r="H667" s="11">
        <v>37532</v>
      </c>
      <c r="I667" s="10">
        <v>2002</v>
      </c>
      <c r="J667" s="10" t="s">
        <v>6353</v>
      </c>
      <c r="K667" s="10">
        <v>221</v>
      </c>
      <c r="L667" s="10" t="s">
        <v>9115</v>
      </c>
      <c r="M667" s="10">
        <v>1</v>
      </c>
      <c r="N667" s="10"/>
      <c r="O667" s="10"/>
      <c r="P667" s="10" t="s">
        <v>9116</v>
      </c>
      <c r="Q667" s="10">
        <v>305.23399999999998</v>
      </c>
      <c r="R667" s="10" t="s">
        <v>6558</v>
      </c>
      <c r="S667" s="10" t="s">
        <v>53</v>
      </c>
      <c r="T667" s="10" t="s">
        <v>6472</v>
      </c>
    </row>
    <row r="668" spans="1:20" ht="14.5" x14ac:dyDescent="0.35">
      <c r="A668" s="10" t="s">
        <v>9117</v>
      </c>
      <c r="B668" s="10" t="str">
        <f>"9780415948937"</f>
        <v>9780415948937</v>
      </c>
      <c r="C668" s="10" t="str">
        <f>"9780203998021"</f>
        <v>9780203998021</v>
      </c>
      <c r="D668" s="10" t="s">
        <v>6350</v>
      </c>
      <c r="E668" s="10" t="s">
        <v>6351</v>
      </c>
      <c r="F668" s="10" t="s">
        <v>139</v>
      </c>
      <c r="G668" s="10" t="s">
        <v>6352</v>
      </c>
      <c r="H668" s="11">
        <v>38062</v>
      </c>
      <c r="I668" s="10">
        <v>2004</v>
      </c>
      <c r="J668" s="10" t="s">
        <v>6353</v>
      </c>
      <c r="K668" s="10">
        <v>170</v>
      </c>
      <c r="L668" s="10" t="s">
        <v>9118</v>
      </c>
      <c r="M668" s="10">
        <v>1</v>
      </c>
      <c r="N668" s="10"/>
      <c r="O668" s="10"/>
      <c r="P668" s="10" t="s">
        <v>9119</v>
      </c>
      <c r="Q668" s="10">
        <v>371.92</v>
      </c>
      <c r="R668" s="10" t="s">
        <v>9120</v>
      </c>
      <c r="S668" s="10" t="s">
        <v>53</v>
      </c>
      <c r="T668" s="10" t="s">
        <v>54</v>
      </c>
    </row>
    <row r="669" spans="1:20" ht="14.5" x14ac:dyDescent="0.35">
      <c r="A669" s="10" t="s">
        <v>9121</v>
      </c>
      <c r="B669" s="10" t="str">
        <f>"9780195094671"</f>
        <v>9780195094671</v>
      </c>
      <c r="C669" s="10" t="str">
        <f>"9780198025481"</f>
        <v>9780198025481</v>
      </c>
      <c r="D669" s="10" t="s">
        <v>9122</v>
      </c>
      <c r="E669" s="10" t="s">
        <v>747</v>
      </c>
      <c r="F669" s="10" t="s">
        <v>330</v>
      </c>
      <c r="G669" s="10" t="s">
        <v>6317</v>
      </c>
      <c r="H669" s="11">
        <v>33038</v>
      </c>
      <c r="I669" s="10">
        <v>1997</v>
      </c>
      <c r="J669" s="10" t="s">
        <v>747</v>
      </c>
      <c r="K669" s="10">
        <v>256</v>
      </c>
      <c r="L669" s="10" t="s">
        <v>9123</v>
      </c>
      <c r="M669" s="10">
        <v>2</v>
      </c>
      <c r="N669" s="10"/>
      <c r="O669" s="10"/>
      <c r="P669" s="10" t="s">
        <v>9124</v>
      </c>
      <c r="Q669" s="10" t="s">
        <v>9125</v>
      </c>
      <c r="R669" s="10" t="s">
        <v>9126</v>
      </c>
      <c r="S669" s="10" t="s">
        <v>53</v>
      </c>
      <c r="T669" s="10" t="s">
        <v>6363</v>
      </c>
    </row>
    <row r="670" spans="1:20" ht="14.5" x14ac:dyDescent="0.35">
      <c r="A670" s="10" t="s">
        <v>9127</v>
      </c>
      <c r="B670" s="10" t="str">
        <f>"9780195106213"</f>
        <v>9780195106213</v>
      </c>
      <c r="C670" s="10" t="str">
        <f>"9781602561281"</f>
        <v>9781602561281</v>
      </c>
      <c r="D670" s="10" t="s">
        <v>9122</v>
      </c>
      <c r="E670" s="10" t="s">
        <v>747</v>
      </c>
      <c r="F670" s="10" t="s">
        <v>748</v>
      </c>
      <c r="G670" s="10" t="s">
        <v>6317</v>
      </c>
      <c r="H670" s="11">
        <v>34473</v>
      </c>
      <c r="I670" s="10">
        <v>1994</v>
      </c>
      <c r="J670" s="10" t="s">
        <v>747</v>
      </c>
      <c r="K670" s="10">
        <v>249</v>
      </c>
      <c r="L670" s="10" t="s">
        <v>9128</v>
      </c>
      <c r="M670" s="10">
        <v>1</v>
      </c>
      <c r="N670" s="10"/>
      <c r="O670" s="10"/>
      <c r="P670" s="10" t="s">
        <v>9129</v>
      </c>
      <c r="Q670" s="10" t="s">
        <v>9130</v>
      </c>
      <c r="R670" s="10" t="s">
        <v>9131</v>
      </c>
      <c r="S670" s="10" t="s">
        <v>53</v>
      </c>
      <c r="T670" s="10" t="s">
        <v>5396</v>
      </c>
    </row>
    <row r="671" spans="1:20" ht="14.5" x14ac:dyDescent="0.35">
      <c r="A671" s="10" t="s">
        <v>9132</v>
      </c>
      <c r="B671" s="10" t="str">
        <f>"9780195060997"</f>
        <v>9780195060997</v>
      </c>
      <c r="C671" s="10" t="str">
        <f>"9780198022688"</f>
        <v>9780198022688</v>
      </c>
      <c r="D671" s="10" t="s">
        <v>9122</v>
      </c>
      <c r="E671" s="10" t="s">
        <v>9133</v>
      </c>
      <c r="F671" s="10" t="s">
        <v>330</v>
      </c>
      <c r="G671" s="10" t="s">
        <v>6317</v>
      </c>
      <c r="H671" s="11">
        <v>35516</v>
      </c>
      <c r="I671" s="10">
        <v>1993</v>
      </c>
      <c r="J671" s="10" t="s">
        <v>9133</v>
      </c>
      <c r="K671" s="10">
        <v>455</v>
      </c>
      <c r="L671" s="10" t="s">
        <v>9134</v>
      </c>
      <c r="M671" s="10">
        <v>1</v>
      </c>
      <c r="N671" s="10"/>
      <c r="O671" s="10"/>
      <c r="P671" s="10" t="s">
        <v>9135</v>
      </c>
      <c r="Q671" s="10" t="s">
        <v>9136</v>
      </c>
      <c r="R671" s="10" t="s">
        <v>9137</v>
      </c>
      <c r="S671" s="10" t="s">
        <v>53</v>
      </c>
      <c r="T671" s="10" t="s">
        <v>54</v>
      </c>
    </row>
    <row r="672" spans="1:20" ht="14.5" x14ac:dyDescent="0.35">
      <c r="A672" s="10" t="s">
        <v>9138</v>
      </c>
      <c r="B672" s="10" t="str">
        <f>"9780195061857"</f>
        <v>9780195061857</v>
      </c>
      <c r="C672" s="10" t="str">
        <f>"9780198022749"</f>
        <v>9780198022749</v>
      </c>
      <c r="D672" s="10" t="s">
        <v>9122</v>
      </c>
      <c r="E672" s="10" t="s">
        <v>9133</v>
      </c>
      <c r="F672" s="10" t="s">
        <v>330</v>
      </c>
      <c r="G672" s="10" t="s">
        <v>6317</v>
      </c>
      <c r="H672" s="11">
        <v>32989</v>
      </c>
      <c r="I672" s="10">
        <v>1990</v>
      </c>
      <c r="J672" s="10" t="s">
        <v>9133</v>
      </c>
      <c r="K672" s="10">
        <v>297</v>
      </c>
      <c r="L672" s="10" t="s">
        <v>9139</v>
      </c>
      <c r="M672" s="10">
        <v>1</v>
      </c>
      <c r="N672" s="10"/>
      <c r="O672" s="10"/>
      <c r="P672" s="10" t="s">
        <v>9140</v>
      </c>
      <c r="Q672" s="10" t="s">
        <v>9141</v>
      </c>
      <c r="R672" s="10" t="s">
        <v>9142</v>
      </c>
      <c r="S672" s="10" t="s">
        <v>53</v>
      </c>
      <c r="T672" s="10" t="s">
        <v>9143</v>
      </c>
    </row>
    <row r="673" spans="1:20" ht="14.5" x14ac:dyDescent="0.35">
      <c r="A673" s="10" t="s">
        <v>9144</v>
      </c>
      <c r="B673" s="10" t="str">
        <f>"9780195130126"</f>
        <v>9780195130126</v>
      </c>
      <c r="C673" s="10" t="str">
        <f>"9780195344066"</f>
        <v>9780195344066</v>
      </c>
      <c r="D673" s="10" t="s">
        <v>9122</v>
      </c>
      <c r="E673" s="10" t="s">
        <v>9133</v>
      </c>
      <c r="F673" s="10" t="s">
        <v>330</v>
      </c>
      <c r="G673" s="10" t="s">
        <v>6317</v>
      </c>
      <c r="H673" s="11">
        <v>37000</v>
      </c>
      <c r="I673" s="10">
        <v>2001</v>
      </c>
      <c r="J673" s="10" t="s">
        <v>9133</v>
      </c>
      <c r="K673" s="10">
        <v>408</v>
      </c>
      <c r="L673" s="10" t="s">
        <v>9145</v>
      </c>
      <c r="M673" s="10">
        <v>1</v>
      </c>
      <c r="N673" s="10"/>
      <c r="O673" s="10"/>
      <c r="P673" s="10" t="s">
        <v>9146</v>
      </c>
      <c r="Q673" s="10" t="s">
        <v>9147</v>
      </c>
      <c r="R673" s="10" t="s">
        <v>9148</v>
      </c>
      <c r="S673" s="10" t="s">
        <v>53</v>
      </c>
      <c r="T673" s="10" t="s">
        <v>483</v>
      </c>
    </row>
    <row r="674" spans="1:20" ht="14.5" x14ac:dyDescent="0.35">
      <c r="A674" s="10" t="s">
        <v>9149</v>
      </c>
      <c r="B674" s="10" t="str">
        <f>"9780195125238"</f>
        <v>9780195125238</v>
      </c>
      <c r="C674" s="10" t="str">
        <f>"9780198028970"</f>
        <v>9780198028970</v>
      </c>
      <c r="D674" s="10" t="s">
        <v>9122</v>
      </c>
      <c r="E674" s="10" t="s">
        <v>9133</v>
      </c>
      <c r="F674" s="10" t="s">
        <v>330</v>
      </c>
      <c r="G674" s="10" t="s">
        <v>6317</v>
      </c>
      <c r="H674" s="11">
        <v>36902</v>
      </c>
      <c r="I674" s="10">
        <v>2001</v>
      </c>
      <c r="J674" s="10" t="s">
        <v>9133</v>
      </c>
      <c r="K674" s="10">
        <v>496</v>
      </c>
      <c r="L674" s="10" t="s">
        <v>9150</v>
      </c>
      <c r="M674" s="10">
        <v>1</v>
      </c>
      <c r="N674" s="10"/>
      <c r="O674" s="10"/>
      <c r="P674" s="10" t="s">
        <v>9151</v>
      </c>
      <c r="Q674" s="10">
        <v>362.20830000000001</v>
      </c>
      <c r="R674" s="10" t="s">
        <v>9152</v>
      </c>
      <c r="S674" s="10" t="s">
        <v>53</v>
      </c>
      <c r="T674" s="10" t="s">
        <v>9153</v>
      </c>
    </row>
    <row r="675" spans="1:20" ht="14.5" x14ac:dyDescent="0.35">
      <c r="A675" s="10" t="s">
        <v>9154</v>
      </c>
      <c r="B675" s="10" t="str">
        <f>"9780195131758"</f>
        <v>9780195131758</v>
      </c>
      <c r="C675" s="10" t="str">
        <f>"9780195351187"</f>
        <v>9780195351187</v>
      </c>
      <c r="D675" s="10" t="s">
        <v>9122</v>
      </c>
      <c r="E675" s="10" t="s">
        <v>9133</v>
      </c>
      <c r="F675" s="10" t="s">
        <v>330</v>
      </c>
      <c r="G675" s="10" t="s">
        <v>6317</v>
      </c>
      <c r="H675" s="11">
        <v>37238</v>
      </c>
      <c r="I675" s="10">
        <v>2002</v>
      </c>
      <c r="J675" s="10" t="s">
        <v>9133</v>
      </c>
      <c r="K675" s="10">
        <v>301</v>
      </c>
      <c r="L675" s="10" t="s">
        <v>9155</v>
      </c>
      <c r="M675" s="10">
        <v>1</v>
      </c>
      <c r="N675" s="10"/>
      <c r="O675" s="10"/>
      <c r="P675" s="10" t="s">
        <v>9156</v>
      </c>
      <c r="Q675" s="10">
        <v>155.6</v>
      </c>
      <c r="R675" s="10" t="s">
        <v>9157</v>
      </c>
      <c r="S675" s="10" t="s">
        <v>53</v>
      </c>
      <c r="T675" s="10" t="s">
        <v>483</v>
      </c>
    </row>
    <row r="676" spans="1:20" ht="14.5" x14ac:dyDescent="0.35">
      <c r="A676" s="10" t="s">
        <v>9158</v>
      </c>
      <c r="B676" s="10" t="str">
        <f>"9780195144383"</f>
        <v>9780195144383</v>
      </c>
      <c r="C676" s="10" t="str">
        <f>"9780198032991"</f>
        <v>9780198032991</v>
      </c>
      <c r="D676" s="10" t="s">
        <v>9122</v>
      </c>
      <c r="E676" s="10" t="s">
        <v>9133</v>
      </c>
      <c r="F676" s="10" t="s">
        <v>330</v>
      </c>
      <c r="G676" s="10" t="s">
        <v>6317</v>
      </c>
      <c r="H676" s="11">
        <v>38071</v>
      </c>
      <c r="I676" s="10">
        <v>2004</v>
      </c>
      <c r="J676" s="10" t="s">
        <v>9133</v>
      </c>
      <c r="K676" s="10">
        <v>553</v>
      </c>
      <c r="L676" s="10" t="s">
        <v>9159</v>
      </c>
      <c r="M676" s="10">
        <v>1</v>
      </c>
      <c r="N676" s="10"/>
      <c r="O676" s="10"/>
      <c r="P676" s="10" t="s">
        <v>9160</v>
      </c>
      <c r="Q676" s="10" t="s">
        <v>9161</v>
      </c>
      <c r="R676" s="10" t="s">
        <v>9162</v>
      </c>
      <c r="S676" s="10" t="s">
        <v>53</v>
      </c>
      <c r="T676" s="10" t="s">
        <v>8681</v>
      </c>
    </row>
    <row r="677" spans="1:20" ht="14.5" x14ac:dyDescent="0.35">
      <c r="A677" s="10" t="s">
        <v>9163</v>
      </c>
      <c r="B677" s="10" t="str">
        <f>"9780750709996"</f>
        <v>9780750709996</v>
      </c>
      <c r="C677" s="10" t="str">
        <f>"9780203978917"</f>
        <v>9780203978917</v>
      </c>
      <c r="D677" s="10" t="s">
        <v>6350</v>
      </c>
      <c r="E677" s="10" t="s">
        <v>6351</v>
      </c>
      <c r="F677" s="10" t="s">
        <v>139</v>
      </c>
      <c r="G677" s="10" t="s">
        <v>6317</v>
      </c>
      <c r="H677" s="11">
        <v>36434</v>
      </c>
      <c r="I677" s="10">
        <v>1999</v>
      </c>
      <c r="J677" s="10" t="s">
        <v>6353</v>
      </c>
      <c r="K677" s="10">
        <v>193</v>
      </c>
      <c r="L677" s="10" t="s">
        <v>9164</v>
      </c>
      <c r="M677" s="10">
        <v>1</v>
      </c>
      <c r="N677" s="10"/>
      <c r="O677" s="10"/>
      <c r="P677" s="10" t="s">
        <v>9165</v>
      </c>
      <c r="Q677" s="10">
        <v>306.43</v>
      </c>
      <c r="R677" s="10" t="s">
        <v>9166</v>
      </c>
      <c r="S677" s="10" t="s">
        <v>53</v>
      </c>
      <c r="T677" s="10" t="s">
        <v>6472</v>
      </c>
    </row>
    <row r="678" spans="1:20" ht="14.5" x14ac:dyDescent="0.35">
      <c r="A678" s="10" t="s">
        <v>9167</v>
      </c>
      <c r="B678" s="10" t="str">
        <f>"9780415223492"</f>
        <v>9780415223492</v>
      </c>
      <c r="C678" s="10" t="str">
        <f>"9780203991886"</f>
        <v>9780203991886</v>
      </c>
      <c r="D678" s="10" t="s">
        <v>6350</v>
      </c>
      <c r="E678" s="10" t="s">
        <v>6351</v>
      </c>
      <c r="F678" s="10" t="s">
        <v>5406</v>
      </c>
      <c r="G678" s="10" t="s">
        <v>6317</v>
      </c>
      <c r="H678" s="11">
        <v>36818</v>
      </c>
      <c r="I678" s="10">
        <v>2000</v>
      </c>
      <c r="J678" s="10" t="s">
        <v>6353</v>
      </c>
      <c r="K678" s="10">
        <v>118</v>
      </c>
      <c r="L678" s="10" t="s">
        <v>9168</v>
      </c>
      <c r="M678" s="10">
        <v>1</v>
      </c>
      <c r="N678" s="10"/>
      <c r="O678" s="10"/>
      <c r="P678" s="10" t="s">
        <v>9169</v>
      </c>
      <c r="Q678" s="10">
        <v>370.15230000000003</v>
      </c>
      <c r="R678" s="10" t="s">
        <v>9170</v>
      </c>
      <c r="S678" s="10" t="s">
        <v>53</v>
      </c>
      <c r="T678" s="10" t="s">
        <v>54</v>
      </c>
    </row>
    <row r="679" spans="1:20" ht="14.5" x14ac:dyDescent="0.35">
      <c r="A679" s="10" t="s">
        <v>9171</v>
      </c>
      <c r="B679" s="10" t="str">
        <f>"9780749419899"</f>
        <v>9780749419899</v>
      </c>
      <c r="C679" s="10" t="str">
        <f>"9780203016718"</f>
        <v>9780203016718</v>
      </c>
      <c r="D679" s="10" t="s">
        <v>6350</v>
      </c>
      <c r="E679" s="10" t="s">
        <v>6351</v>
      </c>
      <c r="F679" s="10" t="s">
        <v>139</v>
      </c>
      <c r="G679" s="10" t="s">
        <v>6317</v>
      </c>
      <c r="H679" s="11">
        <v>35339</v>
      </c>
      <c r="I679" s="10">
        <v>1996</v>
      </c>
      <c r="J679" s="10" t="s">
        <v>6353</v>
      </c>
      <c r="K679" s="10">
        <v>190</v>
      </c>
      <c r="L679" s="10" t="s">
        <v>9172</v>
      </c>
      <c r="M679" s="10">
        <v>1</v>
      </c>
      <c r="N679" s="10"/>
      <c r="O679" s="10"/>
      <c r="P679" s="10" t="s">
        <v>9173</v>
      </c>
      <c r="Q679" s="10">
        <v>371</v>
      </c>
      <c r="R679" s="10" t="s">
        <v>9174</v>
      </c>
      <c r="S679" s="10" t="s">
        <v>53</v>
      </c>
      <c r="T679" s="10" t="s">
        <v>54</v>
      </c>
    </row>
    <row r="680" spans="1:20" ht="14.5" x14ac:dyDescent="0.35">
      <c r="A680" s="10" t="s">
        <v>9175</v>
      </c>
      <c r="B680" s="10" t="str">
        <f>"9780750708814"</f>
        <v>9780750708814</v>
      </c>
      <c r="C680" s="10" t="str">
        <f>"9780203980842"</f>
        <v>9780203980842</v>
      </c>
      <c r="D680" s="10" t="s">
        <v>6350</v>
      </c>
      <c r="E680" s="10" t="s">
        <v>6351</v>
      </c>
      <c r="F680" s="10" t="s">
        <v>139</v>
      </c>
      <c r="G680" s="10" t="s">
        <v>6352</v>
      </c>
      <c r="H680" s="11">
        <v>36100</v>
      </c>
      <c r="I680" s="10">
        <v>1998</v>
      </c>
      <c r="J680" s="10" t="s">
        <v>6353</v>
      </c>
      <c r="K680" s="10">
        <v>353</v>
      </c>
      <c r="L680" s="10" t="s">
        <v>9176</v>
      </c>
      <c r="M680" s="10">
        <v>1</v>
      </c>
      <c r="N680" s="10"/>
      <c r="O680" s="10"/>
      <c r="P680" s="10">
        <v>99158334</v>
      </c>
      <c r="Q680" s="10">
        <v>370.11700000000002</v>
      </c>
      <c r="R680" s="10" t="s">
        <v>9177</v>
      </c>
      <c r="S680" s="10" t="s">
        <v>53</v>
      </c>
      <c r="T680" s="10" t="s">
        <v>54</v>
      </c>
    </row>
    <row r="681" spans="1:20" ht="14.5" x14ac:dyDescent="0.35">
      <c r="A681" s="10" t="s">
        <v>9178</v>
      </c>
      <c r="B681" s="10" t="str">
        <f>"9780415230629"</f>
        <v>9780415230629</v>
      </c>
      <c r="C681" s="10" t="str">
        <f>"9780203986998"</f>
        <v>9780203986998</v>
      </c>
      <c r="D681" s="10" t="s">
        <v>6350</v>
      </c>
      <c r="E681" s="10" t="s">
        <v>6351</v>
      </c>
      <c r="F681" s="10" t="s">
        <v>5406</v>
      </c>
      <c r="G681" s="10" t="s">
        <v>6317</v>
      </c>
      <c r="H681" s="11">
        <v>37539</v>
      </c>
      <c r="I681" s="10">
        <v>2002</v>
      </c>
      <c r="J681" s="10" t="s">
        <v>6353</v>
      </c>
      <c r="K681" s="10">
        <v>175</v>
      </c>
      <c r="L681" s="10" t="s">
        <v>9179</v>
      </c>
      <c r="M681" s="10">
        <v>1</v>
      </c>
      <c r="N681" s="10"/>
      <c r="O681" s="10"/>
      <c r="P681" s="10" t="s">
        <v>9180</v>
      </c>
      <c r="Q681" s="10">
        <v>370.71</v>
      </c>
      <c r="R681" s="10" t="s">
        <v>9181</v>
      </c>
      <c r="S681" s="10" t="s">
        <v>53</v>
      </c>
      <c r="T681" s="10" t="s">
        <v>54</v>
      </c>
    </row>
    <row r="682" spans="1:20" ht="14.5" x14ac:dyDescent="0.35">
      <c r="A682" s="10" t="s">
        <v>9182</v>
      </c>
      <c r="B682" s="10" t="str">
        <f>"9780750707879"</f>
        <v>9780750707879</v>
      </c>
      <c r="C682" s="10" t="str">
        <f>"9780203983881"</f>
        <v>9780203983881</v>
      </c>
      <c r="D682" s="10" t="s">
        <v>6350</v>
      </c>
      <c r="E682" s="10" t="s">
        <v>6351</v>
      </c>
      <c r="F682" s="10" t="s">
        <v>3967</v>
      </c>
      <c r="G682" s="10" t="s">
        <v>6352</v>
      </c>
      <c r="H682" s="11">
        <v>35977</v>
      </c>
      <c r="I682" s="10">
        <v>1998</v>
      </c>
      <c r="J682" s="10" t="s">
        <v>6353</v>
      </c>
      <c r="K682" s="10">
        <v>184</v>
      </c>
      <c r="L682" s="10" t="s">
        <v>9183</v>
      </c>
      <c r="M682" s="10">
        <v>1</v>
      </c>
      <c r="N682" s="10"/>
      <c r="O682" s="10"/>
      <c r="P682" s="10" t="s">
        <v>9184</v>
      </c>
      <c r="Q682" s="10"/>
      <c r="R682" s="10" t="s">
        <v>9185</v>
      </c>
      <c r="S682" s="10" t="s">
        <v>53</v>
      </c>
      <c r="T682" s="10" t="s">
        <v>54</v>
      </c>
    </row>
    <row r="683" spans="1:20" ht="14.5" x14ac:dyDescent="0.35">
      <c r="A683" s="10" t="s">
        <v>9186</v>
      </c>
      <c r="B683" s="10" t="str">
        <f>"9780415232586"</f>
        <v>9780415232586</v>
      </c>
      <c r="C683" s="10" t="str">
        <f>"9780203992296"</f>
        <v>9780203992296</v>
      </c>
      <c r="D683" s="10" t="s">
        <v>6350</v>
      </c>
      <c r="E683" s="10" t="s">
        <v>6351</v>
      </c>
      <c r="F683" s="10" t="s">
        <v>748</v>
      </c>
      <c r="G683" s="10" t="s">
        <v>6352</v>
      </c>
      <c r="H683" s="11">
        <v>36811</v>
      </c>
      <c r="I683" s="10">
        <v>2000</v>
      </c>
      <c r="J683" s="10" t="s">
        <v>6351</v>
      </c>
      <c r="K683" s="10">
        <v>241</v>
      </c>
      <c r="L683" s="10" t="s">
        <v>9187</v>
      </c>
      <c r="M683" s="10">
        <v>1</v>
      </c>
      <c r="N683" s="10"/>
      <c r="O683" s="10"/>
      <c r="P683" s="10" t="s">
        <v>9188</v>
      </c>
      <c r="Q683" s="10">
        <v>374.40820000000002</v>
      </c>
      <c r="R683" s="10" t="s">
        <v>9189</v>
      </c>
      <c r="S683" s="10" t="s">
        <v>53</v>
      </c>
      <c r="T683" s="10" t="s">
        <v>54</v>
      </c>
    </row>
    <row r="684" spans="1:20" ht="14.5" x14ac:dyDescent="0.35">
      <c r="A684" s="10" t="s">
        <v>9190</v>
      </c>
      <c r="B684" s="10" t="str">
        <f>"9780750708630"</f>
        <v>9780750708630</v>
      </c>
      <c r="C684" s="10" t="str">
        <f>"9780203979310"</f>
        <v>9780203979310</v>
      </c>
      <c r="D684" s="10" t="s">
        <v>6350</v>
      </c>
      <c r="E684" s="10" t="s">
        <v>6351</v>
      </c>
      <c r="F684" s="10" t="s">
        <v>748</v>
      </c>
      <c r="G684" s="10" t="s">
        <v>6352</v>
      </c>
      <c r="H684" s="11">
        <v>36404</v>
      </c>
      <c r="I684" s="10">
        <v>2000</v>
      </c>
      <c r="J684" s="10" t="s">
        <v>6351</v>
      </c>
      <c r="K684" s="10">
        <v>241</v>
      </c>
      <c r="L684" s="10" t="s">
        <v>9191</v>
      </c>
      <c r="M684" s="10">
        <v>1</v>
      </c>
      <c r="N684" s="10"/>
      <c r="O684" s="10"/>
      <c r="P684" s="10">
        <v>99036839</v>
      </c>
      <c r="Q684" s="10" t="s">
        <v>7156</v>
      </c>
      <c r="R684" s="10" t="s">
        <v>6547</v>
      </c>
      <c r="S684" s="10" t="s">
        <v>53</v>
      </c>
      <c r="T684" s="10" t="s">
        <v>54</v>
      </c>
    </row>
    <row r="685" spans="1:20" ht="14.5" x14ac:dyDescent="0.35">
      <c r="A685" s="10" t="s">
        <v>9192</v>
      </c>
      <c r="B685" s="10" t="str">
        <f>"9780750708555"</f>
        <v>9780750708555</v>
      </c>
      <c r="C685" s="10" t="str">
        <f>"9780203978382"</f>
        <v>9780203978382</v>
      </c>
      <c r="D685" s="10" t="s">
        <v>6350</v>
      </c>
      <c r="E685" s="10" t="s">
        <v>6351</v>
      </c>
      <c r="F685" s="10" t="s">
        <v>748</v>
      </c>
      <c r="G685" s="10" t="s">
        <v>6352</v>
      </c>
      <c r="H685" s="11">
        <v>36281</v>
      </c>
      <c r="I685" s="10">
        <v>1999</v>
      </c>
      <c r="J685" s="10" t="s">
        <v>6351</v>
      </c>
      <c r="K685" s="10">
        <v>229</v>
      </c>
      <c r="L685" s="10" t="s">
        <v>9193</v>
      </c>
      <c r="M685" s="10">
        <v>1</v>
      </c>
      <c r="N685" s="10"/>
      <c r="O685" s="10"/>
      <c r="P685" s="10">
        <v>265189</v>
      </c>
      <c r="Q685" s="10">
        <v>372.40940999999998</v>
      </c>
      <c r="R685" s="10" t="s">
        <v>6547</v>
      </c>
      <c r="S685" s="10" t="s">
        <v>53</v>
      </c>
      <c r="T685" s="10" t="s">
        <v>54</v>
      </c>
    </row>
    <row r="686" spans="1:20" ht="14.5" x14ac:dyDescent="0.35">
      <c r="A686" s="10" t="s">
        <v>9194</v>
      </c>
      <c r="B686" s="10" t="str">
        <f>"9780253344342"</f>
        <v>9780253344342</v>
      </c>
      <c r="C686" s="10" t="str">
        <f>"9780253110237"</f>
        <v>9780253110237</v>
      </c>
      <c r="D686" s="10" t="s">
        <v>2455</v>
      </c>
      <c r="E686" s="10" t="s">
        <v>2455</v>
      </c>
      <c r="F686" s="10" t="s">
        <v>3101</v>
      </c>
      <c r="G686" s="10" t="s">
        <v>6317</v>
      </c>
      <c r="H686" s="11">
        <v>38154</v>
      </c>
      <c r="I686" s="10">
        <v>2004</v>
      </c>
      <c r="J686" s="10" t="s">
        <v>2455</v>
      </c>
      <c r="K686" s="10">
        <v>161</v>
      </c>
      <c r="L686" s="10" t="s">
        <v>9195</v>
      </c>
      <c r="M686" s="10">
        <v>1</v>
      </c>
      <c r="N686" s="10"/>
      <c r="O686" s="10"/>
      <c r="P686" s="10" t="s">
        <v>9196</v>
      </c>
      <c r="Q686" s="10" t="s">
        <v>9197</v>
      </c>
      <c r="R686" s="10" t="s">
        <v>9198</v>
      </c>
      <c r="S686" s="10" t="s">
        <v>53</v>
      </c>
      <c r="T686" s="10" t="s">
        <v>6384</v>
      </c>
    </row>
    <row r="687" spans="1:20" ht="14.5" x14ac:dyDescent="0.35">
      <c r="A687" s="10" t="s">
        <v>9199</v>
      </c>
      <c r="B687" s="10" t="str">
        <f>"9780814407455"</f>
        <v>9780814407455</v>
      </c>
      <c r="C687" s="10" t="str">
        <f>"9780814426814"</f>
        <v>9780814426814</v>
      </c>
      <c r="D687" s="10" t="s">
        <v>9200</v>
      </c>
      <c r="E687" s="10" t="s">
        <v>9201</v>
      </c>
      <c r="F687" s="10" t="s">
        <v>70</v>
      </c>
      <c r="G687" s="10" t="s">
        <v>6317</v>
      </c>
      <c r="H687" s="11">
        <v>37540</v>
      </c>
      <c r="I687" s="10">
        <v>2003</v>
      </c>
      <c r="J687" s="10" t="s">
        <v>9201</v>
      </c>
      <c r="K687" s="10">
        <v>258</v>
      </c>
      <c r="L687" s="10" t="s">
        <v>9202</v>
      </c>
      <c r="M687" s="10">
        <v>1</v>
      </c>
      <c r="N687" s="10"/>
      <c r="O687" s="10"/>
      <c r="P687" s="10" t="s">
        <v>9203</v>
      </c>
      <c r="Q687" s="10" t="s">
        <v>9204</v>
      </c>
      <c r="R687" s="10" t="s">
        <v>9205</v>
      </c>
      <c r="S687" s="10" t="s">
        <v>53</v>
      </c>
      <c r="T687" s="10" t="s">
        <v>6660</v>
      </c>
    </row>
    <row r="688" spans="1:20" ht="14.5" x14ac:dyDescent="0.35">
      <c r="A688" s="10" t="s">
        <v>9206</v>
      </c>
      <c r="B688" s="10" t="str">
        <f>"9780415362238"</f>
        <v>9780415362238</v>
      </c>
      <c r="C688" s="10" t="str">
        <f>"9780203012505"</f>
        <v>9780203012505</v>
      </c>
      <c r="D688" s="10" t="s">
        <v>6350</v>
      </c>
      <c r="E688" s="10" t="s">
        <v>6351</v>
      </c>
      <c r="F688" s="10" t="s">
        <v>139</v>
      </c>
      <c r="G688" s="10" t="s">
        <v>6352</v>
      </c>
      <c r="H688" s="11">
        <v>38702</v>
      </c>
      <c r="I688" s="10">
        <v>2005</v>
      </c>
      <c r="J688" s="10" t="s">
        <v>6353</v>
      </c>
      <c r="K688" s="10">
        <v>280</v>
      </c>
      <c r="L688" s="10" t="s">
        <v>9207</v>
      </c>
      <c r="M688" s="10">
        <v>1</v>
      </c>
      <c r="N688" s="10"/>
      <c r="O688" s="10"/>
      <c r="P688" s="10" t="s">
        <v>9208</v>
      </c>
      <c r="Q688" s="10">
        <v>371.10019</v>
      </c>
      <c r="R688" s="10" t="s">
        <v>9209</v>
      </c>
      <c r="S688" s="10" t="s">
        <v>53</v>
      </c>
      <c r="T688" s="10" t="s">
        <v>54</v>
      </c>
    </row>
    <row r="689" spans="1:20" ht="14.5" x14ac:dyDescent="0.35">
      <c r="A689" s="10" t="s">
        <v>9210</v>
      </c>
      <c r="B689" s="10" t="str">
        <f>"9780415354912"</f>
        <v>9780415354912</v>
      </c>
      <c r="C689" s="10" t="str">
        <f>"9780203001530"</f>
        <v>9780203001530</v>
      </c>
      <c r="D689" s="10" t="s">
        <v>6350</v>
      </c>
      <c r="E689" s="10" t="s">
        <v>6351</v>
      </c>
      <c r="F689" s="10" t="s">
        <v>5406</v>
      </c>
      <c r="G689" s="10" t="s">
        <v>6317</v>
      </c>
      <c r="H689" s="11">
        <v>38344</v>
      </c>
      <c r="I689" s="10">
        <v>2005</v>
      </c>
      <c r="J689" s="10" t="s">
        <v>6353</v>
      </c>
      <c r="K689" s="10">
        <v>286</v>
      </c>
      <c r="L689" s="10" t="s">
        <v>9211</v>
      </c>
      <c r="M689" s="10">
        <v>1</v>
      </c>
      <c r="N689" s="10"/>
      <c r="O689" s="10"/>
      <c r="P689" s="10" t="s">
        <v>9212</v>
      </c>
      <c r="Q689" s="10">
        <v>378</v>
      </c>
      <c r="R689" s="10" t="s">
        <v>9213</v>
      </c>
      <c r="S689" s="10" t="s">
        <v>53</v>
      </c>
      <c r="T689" s="10" t="s">
        <v>54</v>
      </c>
    </row>
    <row r="690" spans="1:20" ht="14.5" x14ac:dyDescent="0.35">
      <c r="A690" s="10" t="s">
        <v>9214</v>
      </c>
      <c r="B690" s="10" t="str">
        <f>"9781932802115"</f>
        <v>9781932802115</v>
      </c>
      <c r="C690" s="10" t="str">
        <f>"9781932802207"</f>
        <v>9781932802207</v>
      </c>
      <c r="D690" s="10" t="s">
        <v>9215</v>
      </c>
      <c r="E690" s="10" t="s">
        <v>9216</v>
      </c>
      <c r="F690" s="10" t="s">
        <v>9217</v>
      </c>
      <c r="G690" s="10" t="s">
        <v>6317</v>
      </c>
      <c r="H690" s="11">
        <v>38718</v>
      </c>
      <c r="I690" s="10">
        <v>2006</v>
      </c>
      <c r="J690" s="10" t="s">
        <v>9216</v>
      </c>
      <c r="K690" s="10">
        <v>258</v>
      </c>
      <c r="L690" s="10" t="s">
        <v>9218</v>
      </c>
      <c r="M690" s="10"/>
      <c r="N690" s="10" t="s">
        <v>9219</v>
      </c>
      <c r="O690" s="10"/>
      <c r="P690" s="10" t="s">
        <v>9220</v>
      </c>
      <c r="Q690" s="10">
        <v>371.100285536</v>
      </c>
      <c r="R690" s="10" t="s">
        <v>9221</v>
      </c>
      <c r="S690" s="10" t="s">
        <v>53</v>
      </c>
      <c r="T690" s="10" t="s">
        <v>8755</v>
      </c>
    </row>
    <row r="691" spans="1:20" ht="14.5" x14ac:dyDescent="0.35">
      <c r="A691" s="10" t="s">
        <v>9222</v>
      </c>
      <c r="B691" s="10" t="str">
        <f>"9789812388261"</f>
        <v>9789812388261</v>
      </c>
      <c r="C691" s="10" t="str">
        <f>"9789812567192"</f>
        <v>9789812567192</v>
      </c>
      <c r="D691" s="10" t="s">
        <v>8571</v>
      </c>
      <c r="E691" s="10" t="s">
        <v>8572</v>
      </c>
      <c r="F691" s="10" t="s">
        <v>549</v>
      </c>
      <c r="G691" s="10" t="s">
        <v>8573</v>
      </c>
      <c r="H691" s="11">
        <v>38201</v>
      </c>
      <c r="I691" s="10">
        <v>2004</v>
      </c>
      <c r="J691" s="10" t="s">
        <v>8574</v>
      </c>
      <c r="K691" s="10">
        <v>452</v>
      </c>
      <c r="L691" s="10" t="s">
        <v>9223</v>
      </c>
      <c r="M691" s="10">
        <v>1</v>
      </c>
      <c r="N691" s="10"/>
      <c r="O691" s="10"/>
      <c r="P691" s="10" t="s">
        <v>9224</v>
      </c>
      <c r="Q691" s="10">
        <v>153.30000000000001</v>
      </c>
      <c r="R691" s="10" t="s">
        <v>9225</v>
      </c>
      <c r="S691" s="10" t="s">
        <v>53</v>
      </c>
      <c r="T691" s="10" t="s">
        <v>483</v>
      </c>
    </row>
    <row r="692" spans="1:20" ht="14.5" x14ac:dyDescent="0.35">
      <c r="A692" s="10" t="s">
        <v>9226</v>
      </c>
      <c r="B692" s="10" t="str">
        <f>"9780195025293"</f>
        <v>9780195025293</v>
      </c>
      <c r="C692" s="10" t="str">
        <f>"9780198020233"</f>
        <v>9780198020233</v>
      </c>
      <c r="D692" s="10" t="s">
        <v>9122</v>
      </c>
      <c r="E692" s="10" t="s">
        <v>9227</v>
      </c>
      <c r="F692" s="10" t="s">
        <v>330</v>
      </c>
      <c r="G692" s="10" t="s">
        <v>6317</v>
      </c>
      <c r="H692" s="11">
        <v>28950</v>
      </c>
      <c r="I692" s="10">
        <v>1979</v>
      </c>
      <c r="J692" s="10" t="s">
        <v>9227</v>
      </c>
      <c r="K692" s="10">
        <v>316</v>
      </c>
      <c r="L692" s="10" t="s">
        <v>9228</v>
      </c>
      <c r="M692" s="10">
        <v>1</v>
      </c>
      <c r="N692" s="10"/>
      <c r="O692" s="10"/>
      <c r="P692" s="10" t="s">
        <v>9229</v>
      </c>
      <c r="Q692" s="10" t="s">
        <v>9230</v>
      </c>
      <c r="R692" s="10" t="s">
        <v>9231</v>
      </c>
      <c r="S692" s="10" t="s">
        <v>53</v>
      </c>
      <c r="T692" s="10" t="s">
        <v>54</v>
      </c>
    </row>
    <row r="693" spans="1:20" ht="14.5" x14ac:dyDescent="0.35">
      <c r="A693" s="10" t="s">
        <v>9232</v>
      </c>
      <c r="B693" s="10" t="str">
        <f>"9789004117396"</f>
        <v>9789004117396</v>
      </c>
      <c r="C693" s="10" t="str">
        <f>"9789047400431"</f>
        <v>9789047400431</v>
      </c>
      <c r="D693" s="10" t="s">
        <v>8564</v>
      </c>
      <c r="E693" s="10" t="s">
        <v>8565</v>
      </c>
      <c r="F693" s="10" t="s">
        <v>554</v>
      </c>
      <c r="G693" s="10" t="s">
        <v>9233</v>
      </c>
      <c r="H693" s="11">
        <v>36526</v>
      </c>
      <c r="I693" s="10">
        <v>2000</v>
      </c>
      <c r="J693" s="10" t="s">
        <v>8565</v>
      </c>
      <c r="K693" s="10">
        <v>417</v>
      </c>
      <c r="L693" s="10" t="s">
        <v>9234</v>
      </c>
      <c r="M693" s="10">
        <v>1</v>
      </c>
      <c r="N693" s="10"/>
      <c r="O693" s="10"/>
      <c r="P693" s="10" t="s">
        <v>9235</v>
      </c>
      <c r="Q693" s="10" t="s">
        <v>9236</v>
      </c>
      <c r="R693" s="10" t="s">
        <v>9237</v>
      </c>
      <c r="S693" s="10" t="s">
        <v>53</v>
      </c>
      <c r="T693" s="10" t="s">
        <v>54</v>
      </c>
    </row>
    <row r="694" spans="1:20" ht="14.5" x14ac:dyDescent="0.35">
      <c r="A694" s="10" t="s">
        <v>9238</v>
      </c>
      <c r="B694" s="10" t="str">
        <f>"9789004107816"</f>
        <v>9789004107816</v>
      </c>
      <c r="C694" s="10" t="str">
        <f>"9789047400134"</f>
        <v>9789047400134</v>
      </c>
      <c r="D694" s="10" t="s">
        <v>8564</v>
      </c>
      <c r="E694" s="10" t="s">
        <v>8565</v>
      </c>
      <c r="F694" s="10" t="s">
        <v>1420</v>
      </c>
      <c r="G694" s="10" t="s">
        <v>6317</v>
      </c>
      <c r="H694" s="11">
        <v>37196</v>
      </c>
      <c r="I694" s="10">
        <v>2001</v>
      </c>
      <c r="J694" s="10" t="s">
        <v>8565</v>
      </c>
      <c r="K694" s="10">
        <v>489</v>
      </c>
      <c r="L694" s="10" t="s">
        <v>9239</v>
      </c>
      <c r="M694" s="10">
        <v>1</v>
      </c>
      <c r="N694" s="10"/>
      <c r="O694" s="10"/>
      <c r="P694" s="10" t="s">
        <v>9240</v>
      </c>
      <c r="Q694" s="10" t="s">
        <v>9241</v>
      </c>
      <c r="R694" s="10" t="s">
        <v>9242</v>
      </c>
      <c r="S694" s="10" t="s">
        <v>53</v>
      </c>
      <c r="T694" s="10" t="s">
        <v>54</v>
      </c>
    </row>
    <row r="695" spans="1:20" ht="14.5" x14ac:dyDescent="0.35">
      <c r="A695" s="10" t="s">
        <v>9243</v>
      </c>
      <c r="B695" s="10" t="str">
        <f>"9789004125568"</f>
        <v>9789004125568</v>
      </c>
      <c r="C695" s="10" t="str">
        <f>"9789047401476"</f>
        <v>9789047401476</v>
      </c>
      <c r="D695" s="10" t="s">
        <v>8564</v>
      </c>
      <c r="E695" s="10" t="s">
        <v>8565</v>
      </c>
      <c r="F695" s="10" t="s">
        <v>1420</v>
      </c>
      <c r="G695" s="10" t="s">
        <v>6317</v>
      </c>
      <c r="H695" s="11">
        <v>37358</v>
      </c>
      <c r="I695" s="10">
        <v>2002</v>
      </c>
      <c r="J695" s="10" t="s">
        <v>8565</v>
      </c>
      <c r="K695" s="10">
        <v>372</v>
      </c>
      <c r="L695" s="10" t="s">
        <v>9244</v>
      </c>
      <c r="M695" s="10">
        <v>1</v>
      </c>
      <c r="N695" s="10" t="s">
        <v>9245</v>
      </c>
      <c r="O695" s="10">
        <v>16</v>
      </c>
      <c r="P695" s="10" t="s">
        <v>9246</v>
      </c>
      <c r="Q695" s="10"/>
      <c r="R695" s="10"/>
      <c r="S695" s="10" t="s">
        <v>53</v>
      </c>
      <c r="T695" s="10" t="s">
        <v>54</v>
      </c>
    </row>
    <row r="696" spans="1:20" ht="14.5" x14ac:dyDescent="0.35">
      <c r="A696" s="10" t="s">
        <v>9247</v>
      </c>
      <c r="B696" s="10" t="str">
        <f>"9789004130012"</f>
        <v>9789004130012</v>
      </c>
      <c r="C696" s="10" t="str">
        <f>"9789047402121"</f>
        <v>9789047402121</v>
      </c>
      <c r="D696" s="10" t="s">
        <v>8564</v>
      </c>
      <c r="E696" s="10" t="s">
        <v>8565</v>
      </c>
      <c r="F696" s="10" t="s">
        <v>1420</v>
      </c>
      <c r="G696" s="10" t="s">
        <v>6317</v>
      </c>
      <c r="H696" s="11">
        <v>37762</v>
      </c>
      <c r="I696" s="10">
        <v>2003</v>
      </c>
      <c r="J696" s="10" t="s">
        <v>8565</v>
      </c>
      <c r="K696" s="10">
        <v>415</v>
      </c>
      <c r="L696" s="10" t="s">
        <v>9248</v>
      </c>
      <c r="M696" s="10">
        <v>1</v>
      </c>
      <c r="N696" s="10" t="s">
        <v>9249</v>
      </c>
      <c r="O696" s="10">
        <v>9</v>
      </c>
      <c r="P696" s="10" t="s">
        <v>9250</v>
      </c>
      <c r="Q696" s="10" t="s">
        <v>7861</v>
      </c>
      <c r="R696" s="10" t="s">
        <v>9251</v>
      </c>
      <c r="S696" s="10" t="s">
        <v>53</v>
      </c>
      <c r="T696" s="10" t="s">
        <v>8346</v>
      </c>
    </row>
    <row r="697" spans="1:20" ht="14.5" x14ac:dyDescent="0.35">
      <c r="A697" s="10" t="s">
        <v>9252</v>
      </c>
      <c r="B697" s="10" t="str">
        <f>"9789004136441"</f>
        <v>9789004136441</v>
      </c>
      <c r="C697" s="10" t="str">
        <f>"9789047402893"</f>
        <v>9789047402893</v>
      </c>
      <c r="D697" s="10" t="s">
        <v>8564</v>
      </c>
      <c r="E697" s="10" t="s">
        <v>8565</v>
      </c>
      <c r="F697" s="10" t="s">
        <v>1420</v>
      </c>
      <c r="G697" s="10" t="s">
        <v>6317</v>
      </c>
      <c r="H697" s="11">
        <v>37967</v>
      </c>
      <c r="I697" s="10">
        <v>2004</v>
      </c>
      <c r="J697" s="10" t="s">
        <v>8565</v>
      </c>
      <c r="K697" s="10">
        <v>387</v>
      </c>
      <c r="L697" s="10" t="s">
        <v>9253</v>
      </c>
      <c r="M697" s="10">
        <v>1</v>
      </c>
      <c r="N697" s="10" t="s">
        <v>9254</v>
      </c>
      <c r="O697" s="10">
        <v>123</v>
      </c>
      <c r="P697" s="10" t="s">
        <v>9255</v>
      </c>
      <c r="Q697" s="10"/>
      <c r="R697" s="10" t="s">
        <v>9256</v>
      </c>
      <c r="S697" s="10" t="s">
        <v>53</v>
      </c>
      <c r="T697" s="10" t="s">
        <v>54</v>
      </c>
    </row>
    <row r="698" spans="1:20" ht="14.5" x14ac:dyDescent="0.35">
      <c r="A698" s="10" t="s">
        <v>9257</v>
      </c>
      <c r="B698" s="10" t="str">
        <f>"9789004136755"</f>
        <v>9789004136755</v>
      </c>
      <c r="C698" s="10" t="str">
        <f>"9789047402923"</f>
        <v>9789047402923</v>
      </c>
      <c r="D698" s="10" t="s">
        <v>8564</v>
      </c>
      <c r="E698" s="10" t="s">
        <v>8565</v>
      </c>
      <c r="F698" s="10" t="s">
        <v>1420</v>
      </c>
      <c r="G698" s="10" t="s">
        <v>6317</v>
      </c>
      <c r="H698" s="11">
        <v>38071</v>
      </c>
      <c r="I698" s="10">
        <v>2004</v>
      </c>
      <c r="J698" s="10" t="s">
        <v>8565</v>
      </c>
      <c r="K698" s="10">
        <v>294</v>
      </c>
      <c r="L698" s="10" t="s">
        <v>9258</v>
      </c>
      <c r="M698" s="10">
        <v>1</v>
      </c>
      <c r="N698" s="10" t="s">
        <v>9259</v>
      </c>
      <c r="O698" s="10">
        <v>3</v>
      </c>
      <c r="P698" s="10" t="s">
        <v>9260</v>
      </c>
      <c r="Q698" s="10">
        <v>371.077</v>
      </c>
      <c r="R698" s="10"/>
      <c r="S698" s="10" t="s">
        <v>53</v>
      </c>
      <c r="T698" s="10" t="s">
        <v>54</v>
      </c>
    </row>
    <row r="699" spans="1:20" ht="14.5" x14ac:dyDescent="0.35">
      <c r="A699" s="10" t="s">
        <v>9261</v>
      </c>
      <c r="B699" s="10" t="str">
        <f>"9781845448011"</f>
        <v>9781845448011</v>
      </c>
      <c r="C699" s="10" t="str">
        <f>"9781845448028"</f>
        <v>9781845448028</v>
      </c>
      <c r="D699" s="10" t="s">
        <v>8699</v>
      </c>
      <c r="E699" s="10" t="s">
        <v>8699</v>
      </c>
      <c r="F699" s="10" t="s">
        <v>1019</v>
      </c>
      <c r="G699" s="10" t="s">
        <v>6352</v>
      </c>
      <c r="H699" s="11">
        <v>38660</v>
      </c>
      <c r="I699" s="10">
        <v>2005</v>
      </c>
      <c r="J699" s="10" t="s">
        <v>115</v>
      </c>
      <c r="K699" s="10">
        <v>66</v>
      </c>
      <c r="L699" s="10" t="s">
        <v>9262</v>
      </c>
      <c r="M699" s="10">
        <v>1</v>
      </c>
      <c r="N699" s="10" t="s">
        <v>9263</v>
      </c>
      <c r="O699" s="10">
        <v>24</v>
      </c>
      <c r="P699" s="10" t="s">
        <v>9264</v>
      </c>
      <c r="Q699" s="10">
        <v>650.0711</v>
      </c>
      <c r="R699" s="10" t="s">
        <v>9265</v>
      </c>
      <c r="S699" s="10" t="s">
        <v>53</v>
      </c>
      <c r="T699" s="10" t="s">
        <v>6660</v>
      </c>
    </row>
    <row r="700" spans="1:20" ht="14.5" x14ac:dyDescent="0.35">
      <c r="A700" s="10" t="s">
        <v>9266</v>
      </c>
      <c r="B700" s="10" t="str">
        <f>"9781845443436"</f>
        <v>9781845443436</v>
      </c>
      <c r="C700" s="10" t="str">
        <f>"9781845443443"</f>
        <v>9781845443443</v>
      </c>
      <c r="D700" s="10" t="s">
        <v>8699</v>
      </c>
      <c r="E700" s="10" t="s">
        <v>8699</v>
      </c>
      <c r="F700" s="10" t="s">
        <v>1019</v>
      </c>
      <c r="G700" s="10" t="s">
        <v>6352</v>
      </c>
      <c r="H700" s="11">
        <v>38548</v>
      </c>
      <c r="I700" s="10">
        <v>2005</v>
      </c>
      <c r="J700" s="10" t="s">
        <v>115</v>
      </c>
      <c r="K700" s="10">
        <v>147</v>
      </c>
      <c r="L700" s="10" t="s">
        <v>9267</v>
      </c>
      <c r="M700" s="10">
        <v>1</v>
      </c>
      <c r="N700" s="10" t="s">
        <v>4248</v>
      </c>
      <c r="O700" s="10">
        <v>17</v>
      </c>
      <c r="P700" s="10" t="s">
        <v>9268</v>
      </c>
      <c r="Q700" s="10" t="s">
        <v>9204</v>
      </c>
      <c r="R700" s="10" t="s">
        <v>8749</v>
      </c>
      <c r="S700" s="10" t="s">
        <v>53</v>
      </c>
      <c r="T700" s="10" t="s">
        <v>8760</v>
      </c>
    </row>
    <row r="701" spans="1:20" ht="14.5" x14ac:dyDescent="0.35">
      <c r="A701" s="10" t="s">
        <v>9269</v>
      </c>
      <c r="B701" s="10" t="str">
        <f>"9781845445904"</f>
        <v>9781845445904</v>
      </c>
      <c r="C701" s="10" t="str">
        <f>"9781845445911"</f>
        <v>9781845445911</v>
      </c>
      <c r="D701" s="10" t="s">
        <v>8699</v>
      </c>
      <c r="E701" s="10" t="s">
        <v>8699</v>
      </c>
      <c r="F701" s="10" t="s">
        <v>1019</v>
      </c>
      <c r="G701" s="10" t="s">
        <v>6352</v>
      </c>
      <c r="H701" s="11">
        <v>38569</v>
      </c>
      <c r="I701" s="10">
        <v>2005</v>
      </c>
      <c r="J701" s="10" t="s">
        <v>115</v>
      </c>
      <c r="K701" s="10">
        <v>105</v>
      </c>
      <c r="L701" s="10" t="s">
        <v>9270</v>
      </c>
      <c r="M701" s="10">
        <v>1</v>
      </c>
      <c r="N701" s="10" t="s">
        <v>8763</v>
      </c>
      <c r="O701" s="10">
        <v>29</v>
      </c>
      <c r="P701" s="10" t="s">
        <v>9271</v>
      </c>
      <c r="Q701" s="10">
        <v>658.31240000000003</v>
      </c>
      <c r="R701" s="10" t="s">
        <v>9272</v>
      </c>
      <c r="S701" s="10" t="s">
        <v>53</v>
      </c>
      <c r="T701" s="10" t="s">
        <v>6660</v>
      </c>
    </row>
    <row r="702" spans="1:20" ht="14.5" x14ac:dyDescent="0.35">
      <c r="A702" s="10" t="s">
        <v>9273</v>
      </c>
      <c r="B702" s="10" t="str">
        <f>"9781845448233"</f>
        <v>9781845448233</v>
      </c>
      <c r="C702" s="10" t="str">
        <f>"9781845448240"</f>
        <v>9781845448240</v>
      </c>
      <c r="D702" s="10" t="s">
        <v>8699</v>
      </c>
      <c r="E702" s="10" t="s">
        <v>8699</v>
      </c>
      <c r="F702" s="10" t="s">
        <v>1019</v>
      </c>
      <c r="G702" s="10" t="s">
        <v>6352</v>
      </c>
      <c r="H702" s="11">
        <v>38632</v>
      </c>
      <c r="I702" s="10">
        <v>2005</v>
      </c>
      <c r="J702" s="10" t="s">
        <v>115</v>
      </c>
      <c r="K702" s="10">
        <v>104</v>
      </c>
      <c r="L702" s="10" t="s">
        <v>9274</v>
      </c>
      <c r="M702" s="10">
        <v>1</v>
      </c>
      <c r="N702" s="10" t="s">
        <v>9275</v>
      </c>
      <c r="O702" s="10">
        <v>43</v>
      </c>
      <c r="P702" s="10" t="s">
        <v>9276</v>
      </c>
      <c r="Q702" s="10">
        <v>371.20119999999997</v>
      </c>
      <c r="R702" s="10" t="s">
        <v>9277</v>
      </c>
      <c r="S702" s="10" t="s">
        <v>53</v>
      </c>
      <c r="T702" s="10" t="s">
        <v>54</v>
      </c>
    </row>
    <row r="703" spans="1:20" ht="14.5" x14ac:dyDescent="0.35">
      <c r="A703" s="10" t="s">
        <v>9278</v>
      </c>
      <c r="B703" s="10" t="str">
        <f>"9781845446024"</f>
        <v>9781845446024</v>
      </c>
      <c r="C703" s="10" t="str">
        <f>"9781845446031"</f>
        <v>9781845446031</v>
      </c>
      <c r="D703" s="10" t="s">
        <v>8699</v>
      </c>
      <c r="E703" s="10" t="s">
        <v>8699</v>
      </c>
      <c r="F703" s="10" t="s">
        <v>1019</v>
      </c>
      <c r="G703" s="10" t="s">
        <v>6352</v>
      </c>
      <c r="H703" s="11">
        <v>38576</v>
      </c>
      <c r="I703" s="10">
        <v>2005</v>
      </c>
      <c r="J703" s="10" t="s">
        <v>115</v>
      </c>
      <c r="K703" s="10">
        <v>117</v>
      </c>
      <c r="L703" s="10" t="s">
        <v>9279</v>
      </c>
      <c r="M703" s="10">
        <v>1</v>
      </c>
      <c r="N703" s="10" t="s">
        <v>9280</v>
      </c>
      <c r="O703" s="10">
        <v>32</v>
      </c>
      <c r="P703" s="10" t="s">
        <v>9281</v>
      </c>
      <c r="Q703" s="10" t="s">
        <v>9282</v>
      </c>
      <c r="R703" s="10" t="s">
        <v>9283</v>
      </c>
      <c r="S703" s="10" t="s">
        <v>53</v>
      </c>
      <c r="T703" s="10" t="s">
        <v>8723</v>
      </c>
    </row>
    <row r="704" spans="1:20" ht="14.5" x14ac:dyDescent="0.35">
      <c r="A704" s="10" t="s">
        <v>9284</v>
      </c>
      <c r="B704" s="10" t="str">
        <f>"9781845447793"</f>
        <v>9781845447793</v>
      </c>
      <c r="C704" s="10" t="str">
        <f>"9781845447809"</f>
        <v>9781845447809</v>
      </c>
      <c r="D704" s="10" t="s">
        <v>8699</v>
      </c>
      <c r="E704" s="10" t="s">
        <v>8699</v>
      </c>
      <c r="F704" s="10" t="s">
        <v>1019</v>
      </c>
      <c r="G704" s="10" t="s">
        <v>6352</v>
      </c>
      <c r="H704" s="11">
        <v>38611</v>
      </c>
      <c r="I704" s="10">
        <v>2005</v>
      </c>
      <c r="J704" s="10" t="s">
        <v>115</v>
      </c>
      <c r="K704" s="10">
        <v>79</v>
      </c>
      <c r="L704" s="10" t="s">
        <v>9279</v>
      </c>
      <c r="M704" s="10">
        <v>1</v>
      </c>
      <c r="N704" s="10" t="s">
        <v>9280</v>
      </c>
      <c r="O704" s="10">
        <v>32</v>
      </c>
      <c r="P704" s="10" t="s">
        <v>9285</v>
      </c>
      <c r="Q704" s="10" t="s">
        <v>9282</v>
      </c>
      <c r="R704" s="10" t="s">
        <v>9283</v>
      </c>
      <c r="S704" s="10" t="s">
        <v>53</v>
      </c>
      <c r="T704" s="10" t="s">
        <v>8723</v>
      </c>
    </row>
    <row r="705" spans="1:20" ht="14.5" x14ac:dyDescent="0.35">
      <c r="A705" s="10" t="s">
        <v>9286</v>
      </c>
      <c r="B705" s="10" t="str">
        <f>"9781845444341"</f>
        <v>9781845444341</v>
      </c>
      <c r="C705" s="10" t="str">
        <f>"9781845444358"</f>
        <v>9781845444358</v>
      </c>
      <c r="D705" s="10" t="s">
        <v>8699</v>
      </c>
      <c r="E705" s="10" t="s">
        <v>8699</v>
      </c>
      <c r="F705" s="10" t="s">
        <v>1019</v>
      </c>
      <c r="G705" s="10" t="s">
        <v>6352</v>
      </c>
      <c r="H705" s="11">
        <v>38534</v>
      </c>
      <c r="I705" s="10">
        <v>2005</v>
      </c>
      <c r="J705" s="10" t="s">
        <v>115</v>
      </c>
      <c r="K705" s="10">
        <v>73</v>
      </c>
      <c r="L705" s="10" t="s">
        <v>9287</v>
      </c>
      <c r="M705" s="10">
        <v>1</v>
      </c>
      <c r="N705" s="10" t="s">
        <v>9288</v>
      </c>
      <c r="O705" s="10">
        <v>13</v>
      </c>
      <c r="P705" s="10" t="s">
        <v>9289</v>
      </c>
      <c r="Q705" s="10">
        <v>371.334</v>
      </c>
      <c r="R705" s="10" t="s">
        <v>9290</v>
      </c>
      <c r="S705" s="10" t="s">
        <v>53</v>
      </c>
      <c r="T705" s="10" t="s">
        <v>9291</v>
      </c>
    </row>
    <row r="706" spans="1:20" ht="14.5" x14ac:dyDescent="0.35">
      <c r="A706" s="10" t="s">
        <v>9292</v>
      </c>
      <c r="B706" s="10" t="str">
        <f>"9780415240697"</f>
        <v>9780415240697</v>
      </c>
      <c r="C706" s="10" t="str">
        <f>"9780203993965"</f>
        <v>9780203993965</v>
      </c>
      <c r="D706" s="10" t="s">
        <v>6350</v>
      </c>
      <c r="E706" s="10" t="s">
        <v>6351</v>
      </c>
      <c r="F706" s="10" t="s">
        <v>139</v>
      </c>
      <c r="G706" s="10" t="s">
        <v>6352</v>
      </c>
      <c r="H706" s="11">
        <v>37379</v>
      </c>
      <c r="I706" s="10">
        <v>2002</v>
      </c>
      <c r="J706" s="10" t="s">
        <v>6353</v>
      </c>
      <c r="K706" s="10">
        <v>187</v>
      </c>
      <c r="L706" s="10" t="s">
        <v>9293</v>
      </c>
      <c r="M706" s="10">
        <v>1</v>
      </c>
      <c r="N706" s="10" t="s">
        <v>6561</v>
      </c>
      <c r="O706" s="10"/>
      <c r="P706" s="10" t="s">
        <v>9294</v>
      </c>
      <c r="Q706" s="10">
        <v>371.2</v>
      </c>
      <c r="R706" s="10" t="s">
        <v>6480</v>
      </c>
      <c r="S706" s="10" t="s">
        <v>53</v>
      </c>
      <c r="T706" s="10" t="s">
        <v>54</v>
      </c>
    </row>
    <row r="707" spans="1:20" ht="14.5" x14ac:dyDescent="0.35">
      <c r="A707" s="10" t="s">
        <v>9295</v>
      </c>
      <c r="B707" s="10" t="str">
        <f>"9780415333276"</f>
        <v>9780415333276</v>
      </c>
      <c r="C707" s="10" t="str">
        <f>"9780203412947"</f>
        <v>9780203412947</v>
      </c>
      <c r="D707" s="10" t="s">
        <v>6350</v>
      </c>
      <c r="E707" s="10" t="s">
        <v>6351</v>
      </c>
      <c r="F707" s="10" t="s">
        <v>7115</v>
      </c>
      <c r="G707" s="10" t="s">
        <v>6317</v>
      </c>
      <c r="H707" s="11">
        <v>38708</v>
      </c>
      <c r="I707" s="10">
        <v>2005</v>
      </c>
      <c r="J707" s="10" t="s">
        <v>6353</v>
      </c>
      <c r="K707" s="10">
        <v>202</v>
      </c>
      <c r="L707" s="10" t="s">
        <v>9296</v>
      </c>
      <c r="M707" s="10">
        <v>1</v>
      </c>
      <c r="N707" s="10" t="s">
        <v>8217</v>
      </c>
      <c r="O707" s="10"/>
      <c r="P707" s="10" t="s">
        <v>9297</v>
      </c>
      <c r="Q707" s="10" t="s">
        <v>9298</v>
      </c>
      <c r="R707" s="10" t="s">
        <v>9299</v>
      </c>
      <c r="S707" s="10" t="s">
        <v>53</v>
      </c>
      <c r="T707" s="10" t="s">
        <v>54</v>
      </c>
    </row>
    <row r="708" spans="1:20" ht="14.5" x14ac:dyDescent="0.35">
      <c r="A708" s="10" t="s">
        <v>9300</v>
      </c>
      <c r="B708" s="10" t="str">
        <f>"9780415342902"</f>
        <v>9780415342902</v>
      </c>
      <c r="C708" s="10" t="str">
        <f>"9780203087671"</f>
        <v>9780203087671</v>
      </c>
      <c r="D708" s="10" t="s">
        <v>6350</v>
      </c>
      <c r="E708" s="10" t="s">
        <v>6351</v>
      </c>
      <c r="F708" s="10" t="s">
        <v>748</v>
      </c>
      <c r="G708" s="10" t="s">
        <v>6352</v>
      </c>
      <c r="H708" s="11">
        <v>38663</v>
      </c>
      <c r="I708" s="10">
        <v>2006</v>
      </c>
      <c r="J708" s="10" t="s">
        <v>6351</v>
      </c>
      <c r="K708" s="10">
        <v>168</v>
      </c>
      <c r="L708" s="10" t="s">
        <v>9301</v>
      </c>
      <c r="M708" s="10">
        <v>1</v>
      </c>
      <c r="N708" s="10" t="s">
        <v>9302</v>
      </c>
      <c r="O708" s="10"/>
      <c r="P708" s="10" t="s">
        <v>9303</v>
      </c>
      <c r="Q708" s="10" t="s">
        <v>9304</v>
      </c>
      <c r="R708" s="10" t="s">
        <v>9305</v>
      </c>
      <c r="S708" s="10" t="s">
        <v>53</v>
      </c>
      <c r="T708" s="10" t="s">
        <v>54</v>
      </c>
    </row>
    <row r="709" spans="1:20" ht="14.5" x14ac:dyDescent="0.35">
      <c r="A709" s="10" t="s">
        <v>9306</v>
      </c>
      <c r="B709" s="10" t="str">
        <f>"9780415355353"</f>
        <v>9780415355353</v>
      </c>
      <c r="C709" s="10" t="str">
        <f>"9780203001653"</f>
        <v>9780203001653</v>
      </c>
      <c r="D709" s="10" t="s">
        <v>6350</v>
      </c>
      <c r="E709" s="10" t="s">
        <v>6351</v>
      </c>
      <c r="F709" s="10" t="s">
        <v>748</v>
      </c>
      <c r="G709" s="10" t="s">
        <v>6352</v>
      </c>
      <c r="H709" s="11">
        <v>38698</v>
      </c>
      <c r="I709" s="10">
        <v>2006</v>
      </c>
      <c r="J709" s="10" t="s">
        <v>6351</v>
      </c>
      <c r="K709" s="10">
        <v>175</v>
      </c>
      <c r="L709" s="10" t="s">
        <v>9307</v>
      </c>
      <c r="M709" s="10">
        <v>1</v>
      </c>
      <c r="N709" s="10"/>
      <c r="O709" s="10"/>
      <c r="P709" s="10" t="s">
        <v>9308</v>
      </c>
      <c r="Q709" s="10">
        <v>372.67700000000002</v>
      </c>
      <c r="R709" s="10" t="s">
        <v>9309</v>
      </c>
      <c r="S709" s="10" t="s">
        <v>53</v>
      </c>
      <c r="T709" s="10" t="s">
        <v>54</v>
      </c>
    </row>
    <row r="710" spans="1:20" ht="14.5" x14ac:dyDescent="0.35">
      <c r="A710" s="10" t="s">
        <v>9310</v>
      </c>
      <c r="B710" s="10" t="str">
        <f>"9780750707466"</f>
        <v>9780750707466</v>
      </c>
      <c r="C710" s="10" t="str">
        <f>"9780203995877"</f>
        <v>9780203995877</v>
      </c>
      <c r="D710" s="10" t="s">
        <v>6350</v>
      </c>
      <c r="E710" s="10" t="s">
        <v>6351</v>
      </c>
      <c r="F710" s="10" t="s">
        <v>5406</v>
      </c>
      <c r="G710" s="10" t="s">
        <v>6317</v>
      </c>
      <c r="H710" s="11">
        <v>36817</v>
      </c>
      <c r="I710" s="10">
        <v>2000</v>
      </c>
      <c r="J710" s="10" t="s">
        <v>6353</v>
      </c>
      <c r="K710" s="10">
        <v>257</v>
      </c>
      <c r="L710" s="10" t="s">
        <v>9311</v>
      </c>
      <c r="M710" s="10">
        <v>1</v>
      </c>
      <c r="N710" s="10"/>
      <c r="O710" s="10"/>
      <c r="P710" s="10" t="s">
        <v>9312</v>
      </c>
      <c r="Q710" s="10" t="s">
        <v>9313</v>
      </c>
      <c r="R710" s="10" t="s">
        <v>9314</v>
      </c>
      <c r="S710" s="10" t="s">
        <v>53</v>
      </c>
      <c r="T710" s="10" t="s">
        <v>54</v>
      </c>
    </row>
    <row r="711" spans="1:20" ht="14.5" x14ac:dyDescent="0.35">
      <c r="A711" s="10" t="s">
        <v>9315</v>
      </c>
      <c r="B711" s="10" t="str">
        <f>"9780750708500"</f>
        <v>9780750708500</v>
      </c>
      <c r="C711" s="10" t="str">
        <f>"9780203979785"</f>
        <v>9780203979785</v>
      </c>
      <c r="D711" s="10" t="s">
        <v>6350</v>
      </c>
      <c r="E711" s="10" t="s">
        <v>6351</v>
      </c>
      <c r="F711" s="10" t="s">
        <v>139</v>
      </c>
      <c r="G711" s="10" t="s">
        <v>6317</v>
      </c>
      <c r="H711" s="11">
        <v>36888</v>
      </c>
      <c r="I711" s="10">
        <v>1999</v>
      </c>
      <c r="J711" s="10" t="s">
        <v>6353</v>
      </c>
      <c r="K711" s="10">
        <v>279</v>
      </c>
      <c r="L711" s="10" t="s">
        <v>9316</v>
      </c>
      <c r="M711" s="10">
        <v>1</v>
      </c>
      <c r="N711" s="10" t="s">
        <v>6728</v>
      </c>
      <c r="O711" s="10"/>
      <c r="P711" s="10" t="s">
        <v>9317</v>
      </c>
      <c r="Q711" s="10" t="s">
        <v>8460</v>
      </c>
      <c r="R711" s="10" t="s">
        <v>9318</v>
      </c>
      <c r="S711" s="10" t="s">
        <v>53</v>
      </c>
      <c r="T711" s="10" t="s">
        <v>54</v>
      </c>
    </row>
    <row r="712" spans="1:20" ht="14.5" x14ac:dyDescent="0.35">
      <c r="A712" s="10" t="s">
        <v>9319</v>
      </c>
      <c r="B712" s="10" t="str">
        <f>"9789026519598"</f>
        <v>9789026519598</v>
      </c>
      <c r="C712" s="10" t="str">
        <f>"9780203971055"</f>
        <v>9780203971055</v>
      </c>
      <c r="D712" s="10" t="s">
        <v>6350</v>
      </c>
      <c r="E712" s="10" t="s">
        <v>9320</v>
      </c>
      <c r="F712" s="10" t="s">
        <v>748</v>
      </c>
      <c r="G712" s="10" t="s">
        <v>6352</v>
      </c>
      <c r="H712" s="11">
        <v>37622</v>
      </c>
      <c r="I712" s="10">
        <v>2003</v>
      </c>
      <c r="J712" s="10" t="s">
        <v>9320</v>
      </c>
      <c r="K712" s="10">
        <v>461</v>
      </c>
      <c r="L712" s="10" t="s">
        <v>9321</v>
      </c>
      <c r="M712" s="10">
        <v>1</v>
      </c>
      <c r="N712" s="10" t="s">
        <v>9322</v>
      </c>
      <c r="O712" s="10"/>
      <c r="P712" s="10" t="s">
        <v>9323</v>
      </c>
      <c r="Q712" s="10">
        <v>379.15800000000002</v>
      </c>
      <c r="R712" s="10" t="s">
        <v>7070</v>
      </c>
      <c r="S712" s="10" t="s">
        <v>53</v>
      </c>
      <c r="T712" s="10" t="s">
        <v>54</v>
      </c>
    </row>
    <row r="713" spans="1:20" ht="14.5" x14ac:dyDescent="0.35">
      <c r="A713" s="10" t="s">
        <v>9324</v>
      </c>
      <c r="B713" s="10" t="str">
        <f>"9780761940487"</f>
        <v>9780761940487</v>
      </c>
      <c r="C713" s="10" t="str">
        <f>"9781412931502"</f>
        <v>9781412931502</v>
      </c>
      <c r="D713" s="10" t="s">
        <v>9325</v>
      </c>
      <c r="E713" s="10" t="s">
        <v>9326</v>
      </c>
      <c r="F713" s="10" t="s">
        <v>139</v>
      </c>
      <c r="G713" s="10" t="s">
        <v>6352</v>
      </c>
      <c r="H713" s="11">
        <v>37751</v>
      </c>
      <c r="I713" s="10">
        <v>2003</v>
      </c>
      <c r="J713" s="10" t="s">
        <v>9326</v>
      </c>
      <c r="K713" s="10">
        <v>190</v>
      </c>
      <c r="L713" s="10" t="s">
        <v>9327</v>
      </c>
      <c r="M713" s="10">
        <v>1</v>
      </c>
      <c r="N713" s="10" t="s">
        <v>9328</v>
      </c>
      <c r="O713" s="10"/>
      <c r="P713" s="10" t="s">
        <v>9329</v>
      </c>
      <c r="Q713" s="10" t="s">
        <v>7142</v>
      </c>
      <c r="R713" s="10" t="s">
        <v>7034</v>
      </c>
      <c r="S713" s="10" t="s">
        <v>53</v>
      </c>
      <c r="T713" s="10" t="s">
        <v>54</v>
      </c>
    </row>
    <row r="714" spans="1:20" ht="14.5" x14ac:dyDescent="0.35">
      <c r="A714" s="10" t="s">
        <v>9330</v>
      </c>
      <c r="B714" s="10" t="str">
        <f>"9780761941637"</f>
        <v>9780761941637</v>
      </c>
      <c r="C714" s="10" t="str">
        <f>"9781412933193"</f>
        <v>9781412933193</v>
      </c>
      <c r="D714" s="10" t="s">
        <v>9325</v>
      </c>
      <c r="E714" s="10" t="s">
        <v>9326</v>
      </c>
      <c r="F714" s="10" t="s">
        <v>139</v>
      </c>
      <c r="G714" s="10" t="s">
        <v>6352</v>
      </c>
      <c r="H714" s="11">
        <v>37957</v>
      </c>
      <c r="I714" s="10">
        <v>2004</v>
      </c>
      <c r="J714" s="10" t="s">
        <v>9326</v>
      </c>
      <c r="K714" s="10">
        <v>209</v>
      </c>
      <c r="L714" s="10" t="s">
        <v>9331</v>
      </c>
      <c r="M714" s="10">
        <v>1</v>
      </c>
      <c r="N714" s="10"/>
      <c r="O714" s="10"/>
      <c r="P714" s="10" t="s">
        <v>9332</v>
      </c>
      <c r="Q714" s="10" t="s">
        <v>6496</v>
      </c>
      <c r="R714" s="10" t="s">
        <v>9333</v>
      </c>
      <c r="S714" s="10" t="s">
        <v>53</v>
      </c>
      <c r="T714" s="10" t="s">
        <v>6498</v>
      </c>
    </row>
    <row r="715" spans="1:20" ht="14.5" x14ac:dyDescent="0.35">
      <c r="A715" s="10" t="s">
        <v>9334</v>
      </c>
      <c r="B715" s="10" t="str">
        <f>"9780761943709"</f>
        <v>9780761943709</v>
      </c>
      <c r="C715" s="10" t="str">
        <f>"9781412931922"</f>
        <v>9781412931922</v>
      </c>
      <c r="D715" s="10" t="s">
        <v>9325</v>
      </c>
      <c r="E715" s="10" t="s">
        <v>9326</v>
      </c>
      <c r="F715" s="10" t="s">
        <v>139</v>
      </c>
      <c r="G715" s="10" t="s">
        <v>6352</v>
      </c>
      <c r="H715" s="11">
        <v>38278</v>
      </c>
      <c r="I715" s="10">
        <v>2005</v>
      </c>
      <c r="J715" s="10" t="s">
        <v>9326</v>
      </c>
      <c r="K715" s="10">
        <v>224</v>
      </c>
      <c r="L715" s="10" t="s">
        <v>9335</v>
      </c>
      <c r="M715" s="10">
        <v>1</v>
      </c>
      <c r="N715" s="10" t="s">
        <v>9336</v>
      </c>
      <c r="O715" s="10"/>
      <c r="P715" s="10" t="s">
        <v>9337</v>
      </c>
      <c r="Q715" s="10">
        <v>371.2</v>
      </c>
      <c r="R715" s="10" t="s">
        <v>9338</v>
      </c>
      <c r="S715" s="10" t="s">
        <v>53</v>
      </c>
      <c r="T715" s="10" t="s">
        <v>54</v>
      </c>
    </row>
    <row r="716" spans="1:20" ht="14.5" x14ac:dyDescent="0.35">
      <c r="A716" s="10" t="s">
        <v>9339</v>
      </c>
      <c r="B716" s="10" t="str">
        <f>"9780761944195"</f>
        <v>9780761944195</v>
      </c>
      <c r="C716" s="10" t="str">
        <f>"9781412931946"</f>
        <v>9781412931946</v>
      </c>
      <c r="D716" s="10" t="s">
        <v>9325</v>
      </c>
      <c r="E716" s="10" t="s">
        <v>9326</v>
      </c>
      <c r="F716" s="10" t="s">
        <v>139</v>
      </c>
      <c r="G716" s="10" t="s">
        <v>6352</v>
      </c>
      <c r="H716" s="11">
        <v>38273</v>
      </c>
      <c r="I716" s="10">
        <v>2005</v>
      </c>
      <c r="J716" s="10" t="s">
        <v>9326</v>
      </c>
      <c r="K716" s="10">
        <v>262</v>
      </c>
      <c r="L716" s="10" t="s">
        <v>9340</v>
      </c>
      <c r="M716" s="10">
        <v>3</v>
      </c>
      <c r="N716" s="10"/>
      <c r="O716" s="10"/>
      <c r="P716" s="10" t="s">
        <v>9341</v>
      </c>
      <c r="Q716" s="10">
        <v>372.11020000000002</v>
      </c>
      <c r="R716" s="10" t="s">
        <v>9342</v>
      </c>
      <c r="S716" s="10" t="s">
        <v>53</v>
      </c>
      <c r="T716" s="10" t="s">
        <v>54</v>
      </c>
    </row>
    <row r="717" spans="1:20" ht="14.5" x14ac:dyDescent="0.35">
      <c r="A717" s="10" t="s">
        <v>9343</v>
      </c>
      <c r="B717" s="10" t="str">
        <f>"9780761944744"</f>
        <v>9780761944744</v>
      </c>
      <c r="C717" s="10" t="str">
        <f>"9781412932196"</f>
        <v>9781412932196</v>
      </c>
      <c r="D717" s="10" t="s">
        <v>9325</v>
      </c>
      <c r="E717" s="10" t="s">
        <v>9326</v>
      </c>
      <c r="F717" s="10" t="s">
        <v>139</v>
      </c>
      <c r="G717" s="10" t="s">
        <v>6352</v>
      </c>
      <c r="H717" s="11">
        <v>38266</v>
      </c>
      <c r="I717" s="10">
        <v>2005</v>
      </c>
      <c r="J717" s="10" t="s">
        <v>9326</v>
      </c>
      <c r="K717" s="10">
        <v>249</v>
      </c>
      <c r="L717" s="10" t="s">
        <v>9344</v>
      </c>
      <c r="M717" s="10">
        <v>1</v>
      </c>
      <c r="N717" s="10" t="s">
        <v>9345</v>
      </c>
      <c r="O717" s="10"/>
      <c r="P717" s="10" t="s">
        <v>9346</v>
      </c>
      <c r="Q717" s="10" t="s">
        <v>9347</v>
      </c>
      <c r="R717" s="10" t="s">
        <v>9348</v>
      </c>
      <c r="S717" s="10" t="s">
        <v>53</v>
      </c>
      <c r="T717" s="10" t="s">
        <v>6634</v>
      </c>
    </row>
    <row r="718" spans="1:20" ht="14.5" x14ac:dyDescent="0.35">
      <c r="A718" s="10" t="s">
        <v>9349</v>
      </c>
      <c r="B718" s="10" t="str">
        <f>"9780761947233"</f>
        <v>9780761947233</v>
      </c>
      <c r="C718" s="10" t="str">
        <f>"9781412932189"</f>
        <v>9781412932189</v>
      </c>
      <c r="D718" s="10" t="s">
        <v>9325</v>
      </c>
      <c r="E718" s="10" t="s">
        <v>9326</v>
      </c>
      <c r="F718" s="10" t="s">
        <v>139</v>
      </c>
      <c r="G718" s="10" t="s">
        <v>6352</v>
      </c>
      <c r="H718" s="11">
        <v>37516</v>
      </c>
      <c r="I718" s="10">
        <v>2002</v>
      </c>
      <c r="J718" s="10" t="s">
        <v>9326</v>
      </c>
      <c r="K718" s="10">
        <v>223</v>
      </c>
      <c r="L718" s="10" t="s">
        <v>9350</v>
      </c>
      <c r="M718" s="10">
        <v>1</v>
      </c>
      <c r="N718" s="10"/>
      <c r="O718" s="10"/>
      <c r="P718" s="10" t="s">
        <v>9351</v>
      </c>
      <c r="Q718" s="10" t="s">
        <v>6867</v>
      </c>
      <c r="R718" s="10" t="s">
        <v>9352</v>
      </c>
      <c r="S718" s="10" t="s">
        <v>53</v>
      </c>
      <c r="T718" s="10" t="s">
        <v>54</v>
      </c>
    </row>
    <row r="719" spans="1:20" ht="14.5" x14ac:dyDescent="0.35">
      <c r="A719" s="10" t="s">
        <v>9353</v>
      </c>
      <c r="B719" s="10" t="str">
        <f>"9780761947813"</f>
        <v>9780761947813</v>
      </c>
      <c r="C719" s="10" t="str">
        <f>"9781412932677"</f>
        <v>9781412932677</v>
      </c>
      <c r="D719" s="10" t="s">
        <v>9325</v>
      </c>
      <c r="E719" s="10" t="s">
        <v>9326</v>
      </c>
      <c r="F719" s="10" t="s">
        <v>139</v>
      </c>
      <c r="G719" s="10" t="s">
        <v>6352</v>
      </c>
      <c r="H719" s="11">
        <v>37515</v>
      </c>
      <c r="I719" s="10">
        <v>2002</v>
      </c>
      <c r="J719" s="10" t="s">
        <v>9326</v>
      </c>
      <c r="K719" s="10">
        <v>215</v>
      </c>
      <c r="L719" s="10" t="s">
        <v>9354</v>
      </c>
      <c r="M719" s="10">
        <v>1</v>
      </c>
      <c r="N719" s="10"/>
      <c r="O719" s="10"/>
      <c r="P719" s="10" t="s">
        <v>9355</v>
      </c>
      <c r="Q719" s="10" t="s">
        <v>9356</v>
      </c>
      <c r="R719" s="10" t="s">
        <v>6415</v>
      </c>
      <c r="S719" s="10" t="s">
        <v>53</v>
      </c>
      <c r="T719" s="10" t="s">
        <v>54</v>
      </c>
    </row>
    <row r="720" spans="1:20" ht="14.5" x14ac:dyDescent="0.35">
      <c r="A720" s="10" t="s">
        <v>9357</v>
      </c>
      <c r="B720" s="10" t="str">
        <f>"9780761947837"</f>
        <v>9780761947837</v>
      </c>
      <c r="C720" s="10" t="str">
        <f>"9781412931489"</f>
        <v>9781412931489</v>
      </c>
      <c r="D720" s="10" t="s">
        <v>9325</v>
      </c>
      <c r="E720" s="10" t="s">
        <v>9326</v>
      </c>
      <c r="F720" s="10" t="s">
        <v>139</v>
      </c>
      <c r="G720" s="10" t="s">
        <v>6352</v>
      </c>
      <c r="H720" s="11">
        <v>37515</v>
      </c>
      <c r="I720" s="10">
        <v>2002</v>
      </c>
      <c r="J720" s="10" t="s">
        <v>9326</v>
      </c>
      <c r="K720" s="10">
        <v>175</v>
      </c>
      <c r="L720" s="10" t="s">
        <v>9358</v>
      </c>
      <c r="M720" s="10">
        <v>1</v>
      </c>
      <c r="N720" s="10" t="s">
        <v>9328</v>
      </c>
      <c r="O720" s="10"/>
      <c r="P720" s="10" t="s">
        <v>9359</v>
      </c>
      <c r="Q720" s="10" t="s">
        <v>9360</v>
      </c>
      <c r="R720" s="10" t="s">
        <v>9361</v>
      </c>
      <c r="S720" s="10" t="s">
        <v>53</v>
      </c>
      <c r="T720" s="10" t="s">
        <v>54</v>
      </c>
    </row>
    <row r="721" spans="1:20" ht="14.5" x14ac:dyDescent="0.35">
      <c r="A721" s="10" t="s">
        <v>9362</v>
      </c>
      <c r="B721" s="10" t="str">
        <f>"9780761947868"</f>
        <v>9780761947868</v>
      </c>
      <c r="C721" s="10" t="str">
        <f>"9781412932868"</f>
        <v>9781412932868</v>
      </c>
      <c r="D721" s="10" t="s">
        <v>9325</v>
      </c>
      <c r="E721" s="10" t="s">
        <v>9326</v>
      </c>
      <c r="F721" s="10" t="s">
        <v>139</v>
      </c>
      <c r="G721" s="10" t="s">
        <v>6352</v>
      </c>
      <c r="H721" s="11">
        <v>37733</v>
      </c>
      <c r="I721" s="10">
        <v>2003</v>
      </c>
      <c r="J721" s="10" t="s">
        <v>9326</v>
      </c>
      <c r="K721" s="10">
        <v>226</v>
      </c>
      <c r="L721" s="10" t="s">
        <v>9363</v>
      </c>
      <c r="M721" s="10">
        <v>2</v>
      </c>
      <c r="N721" s="10" t="s">
        <v>9364</v>
      </c>
      <c r="O721" s="10"/>
      <c r="P721" s="10" t="s">
        <v>9365</v>
      </c>
      <c r="Q721" s="10">
        <v>372.50490000000002</v>
      </c>
      <c r="R721" s="10" t="s">
        <v>9366</v>
      </c>
      <c r="S721" s="10" t="s">
        <v>53</v>
      </c>
      <c r="T721" s="10" t="s">
        <v>54</v>
      </c>
    </row>
    <row r="722" spans="1:20" ht="14.5" x14ac:dyDescent="0.35">
      <c r="A722" s="10" t="s">
        <v>9367</v>
      </c>
      <c r="B722" s="10" t="str">
        <f>"9780761947950"</f>
        <v>9780761947950</v>
      </c>
      <c r="C722" s="10" t="str">
        <f>"9781412933780"</f>
        <v>9781412933780</v>
      </c>
      <c r="D722" s="10" t="s">
        <v>9325</v>
      </c>
      <c r="E722" s="10" t="s">
        <v>9326</v>
      </c>
      <c r="F722" s="10" t="s">
        <v>139</v>
      </c>
      <c r="G722" s="10" t="s">
        <v>6352</v>
      </c>
      <c r="H722" s="11">
        <v>37725</v>
      </c>
      <c r="I722" s="10">
        <v>2003</v>
      </c>
      <c r="J722" s="10" t="s">
        <v>9326</v>
      </c>
      <c r="K722" s="10">
        <v>256</v>
      </c>
      <c r="L722" s="10" t="s">
        <v>9368</v>
      </c>
      <c r="M722" s="10">
        <v>1</v>
      </c>
      <c r="N722" s="10" t="s">
        <v>9345</v>
      </c>
      <c r="O722" s="10"/>
      <c r="P722" s="10" t="s">
        <v>9369</v>
      </c>
      <c r="Q722" s="10">
        <v>371.2</v>
      </c>
      <c r="R722" s="10" t="s">
        <v>7034</v>
      </c>
      <c r="S722" s="10" t="s">
        <v>53</v>
      </c>
      <c r="T722" s="10" t="s">
        <v>54</v>
      </c>
    </row>
    <row r="723" spans="1:20" ht="14.5" x14ac:dyDescent="0.35">
      <c r="A723" s="10" t="s">
        <v>9370</v>
      </c>
      <c r="B723" s="10" t="str">
        <f>"9780761947981"</f>
        <v>9780761947981</v>
      </c>
      <c r="C723" s="10" t="str">
        <f>"9781412933216"</f>
        <v>9781412933216</v>
      </c>
      <c r="D723" s="10" t="s">
        <v>9325</v>
      </c>
      <c r="E723" s="10" t="s">
        <v>9326</v>
      </c>
      <c r="F723" s="10" t="s">
        <v>139</v>
      </c>
      <c r="G723" s="10" t="s">
        <v>6352</v>
      </c>
      <c r="H723" s="11">
        <v>37915</v>
      </c>
      <c r="I723" s="10">
        <v>2004</v>
      </c>
      <c r="J723" s="10" t="s">
        <v>9326</v>
      </c>
      <c r="K723" s="10">
        <v>235</v>
      </c>
      <c r="L723" s="10" t="s">
        <v>9371</v>
      </c>
      <c r="M723" s="10">
        <v>1</v>
      </c>
      <c r="N723" s="10" t="s">
        <v>9345</v>
      </c>
      <c r="O723" s="10"/>
      <c r="P723" s="10" t="s">
        <v>9372</v>
      </c>
      <c r="Q723" s="10" t="s">
        <v>9347</v>
      </c>
      <c r="R723" s="10" t="s">
        <v>9373</v>
      </c>
      <c r="S723" s="10" t="s">
        <v>53</v>
      </c>
      <c r="T723" s="10" t="s">
        <v>6498</v>
      </c>
    </row>
    <row r="724" spans="1:20" ht="14.5" x14ac:dyDescent="0.35">
      <c r="A724" s="10" t="s">
        <v>9374</v>
      </c>
      <c r="B724" s="10" t="str">
        <f>"9780761948506"</f>
        <v>9780761948506</v>
      </c>
      <c r="C724" s="10" t="str">
        <f>"9781412933209"</f>
        <v>9781412933209</v>
      </c>
      <c r="D724" s="10" t="s">
        <v>9325</v>
      </c>
      <c r="E724" s="10" t="s">
        <v>9326</v>
      </c>
      <c r="F724" s="10" t="s">
        <v>139</v>
      </c>
      <c r="G724" s="10" t="s">
        <v>6352</v>
      </c>
      <c r="H724" s="11">
        <v>38306</v>
      </c>
      <c r="I724" s="10">
        <v>2005</v>
      </c>
      <c r="J724" s="10" t="s">
        <v>9326</v>
      </c>
      <c r="K724" s="10">
        <v>206</v>
      </c>
      <c r="L724" s="10" t="s">
        <v>9375</v>
      </c>
      <c r="M724" s="10">
        <v>1</v>
      </c>
      <c r="N724" s="10"/>
      <c r="O724" s="10"/>
      <c r="P724" s="10" t="s">
        <v>9376</v>
      </c>
      <c r="Q724" s="10">
        <v>371.90940999999998</v>
      </c>
      <c r="R724" s="10" t="s">
        <v>9377</v>
      </c>
      <c r="S724" s="10" t="s">
        <v>53</v>
      </c>
      <c r="T724" s="10" t="s">
        <v>54</v>
      </c>
    </row>
    <row r="725" spans="1:20" ht="14.5" x14ac:dyDescent="0.35">
      <c r="A725" s="10" t="s">
        <v>9378</v>
      </c>
      <c r="B725" s="10" t="str">
        <f>"9780761948544"</f>
        <v>9780761948544</v>
      </c>
      <c r="C725" s="10" t="str">
        <f>"9781412931915"</f>
        <v>9781412931915</v>
      </c>
      <c r="D725" s="10" t="s">
        <v>9325</v>
      </c>
      <c r="E725" s="10" t="s">
        <v>9326</v>
      </c>
      <c r="F725" s="10" t="s">
        <v>139</v>
      </c>
      <c r="G725" s="10" t="s">
        <v>6352</v>
      </c>
      <c r="H725" s="11">
        <v>37725</v>
      </c>
      <c r="I725" s="10">
        <v>2003</v>
      </c>
      <c r="J725" s="10" t="s">
        <v>9326</v>
      </c>
      <c r="K725" s="10">
        <v>197</v>
      </c>
      <c r="L725" s="10" t="s">
        <v>9379</v>
      </c>
      <c r="M725" s="10">
        <v>1</v>
      </c>
      <c r="N725" s="10"/>
      <c r="O725" s="10"/>
      <c r="P725" s="10" t="s">
        <v>9380</v>
      </c>
      <c r="Q725" s="10" t="s">
        <v>9381</v>
      </c>
      <c r="R725" s="10" t="s">
        <v>6392</v>
      </c>
      <c r="S725" s="10" t="s">
        <v>53</v>
      </c>
      <c r="T725" s="10" t="s">
        <v>9143</v>
      </c>
    </row>
    <row r="726" spans="1:20" ht="14.5" x14ac:dyDescent="0.35">
      <c r="A726" s="10" t="s">
        <v>9382</v>
      </c>
      <c r="B726" s="10" t="str">
        <f>"9780761954927"</f>
        <v>9780761954927</v>
      </c>
      <c r="C726" s="10" t="str">
        <f>"9781412932295"</f>
        <v>9781412932295</v>
      </c>
      <c r="D726" s="10" t="s">
        <v>9325</v>
      </c>
      <c r="E726" s="10" t="s">
        <v>9326</v>
      </c>
      <c r="F726" s="10" t="s">
        <v>139</v>
      </c>
      <c r="G726" s="10" t="s">
        <v>6352</v>
      </c>
      <c r="H726" s="11">
        <v>37260</v>
      </c>
      <c r="I726" s="10">
        <v>2002</v>
      </c>
      <c r="J726" s="10" t="s">
        <v>9326</v>
      </c>
      <c r="K726" s="10">
        <v>194</v>
      </c>
      <c r="L726" s="10" t="s">
        <v>9383</v>
      </c>
      <c r="M726" s="10">
        <v>1</v>
      </c>
      <c r="N726" s="10"/>
      <c r="O726" s="10"/>
      <c r="P726" s="10" t="s">
        <v>9384</v>
      </c>
      <c r="Q726" s="10">
        <v>371.2011</v>
      </c>
      <c r="R726" s="10" t="s">
        <v>6932</v>
      </c>
      <c r="S726" s="10" t="s">
        <v>53</v>
      </c>
      <c r="T726" s="10" t="s">
        <v>54</v>
      </c>
    </row>
    <row r="727" spans="1:20" ht="14.5" x14ac:dyDescent="0.35">
      <c r="A727" s="10" t="s">
        <v>9385</v>
      </c>
      <c r="B727" s="10" t="str">
        <f>"9780761963523"</f>
        <v>9780761963523</v>
      </c>
      <c r="C727" s="10" t="str">
        <f>"9781412931731"</f>
        <v>9781412931731</v>
      </c>
      <c r="D727" s="10" t="s">
        <v>9325</v>
      </c>
      <c r="E727" s="10" t="s">
        <v>9326</v>
      </c>
      <c r="F727" s="10" t="s">
        <v>139</v>
      </c>
      <c r="G727" s="10" t="s">
        <v>6352</v>
      </c>
      <c r="H727" s="11">
        <v>36843</v>
      </c>
      <c r="I727" s="10">
        <v>2000</v>
      </c>
      <c r="J727" s="10" t="s">
        <v>9326</v>
      </c>
      <c r="K727" s="10">
        <v>166</v>
      </c>
      <c r="L727" s="10" t="s">
        <v>9386</v>
      </c>
      <c r="M727" s="10">
        <v>1</v>
      </c>
      <c r="N727" s="10"/>
      <c r="O727" s="10"/>
      <c r="P727" s="10" t="s">
        <v>9387</v>
      </c>
      <c r="Q727" s="10" t="s">
        <v>9388</v>
      </c>
      <c r="R727" s="10" t="s">
        <v>6854</v>
      </c>
      <c r="S727" s="10" t="s">
        <v>53</v>
      </c>
      <c r="T727" s="10" t="s">
        <v>6492</v>
      </c>
    </row>
    <row r="728" spans="1:20" ht="14.5" x14ac:dyDescent="0.35">
      <c r="A728" s="10" t="s">
        <v>9389</v>
      </c>
      <c r="B728" s="10" t="str">
        <f>"9780761969068"</f>
        <v>9780761969068</v>
      </c>
      <c r="C728" s="10" t="str">
        <f>"9781412932202"</f>
        <v>9781412932202</v>
      </c>
      <c r="D728" s="10" t="s">
        <v>9325</v>
      </c>
      <c r="E728" s="10" t="s">
        <v>9326</v>
      </c>
      <c r="F728" s="10" t="s">
        <v>139</v>
      </c>
      <c r="G728" s="10" t="s">
        <v>6352</v>
      </c>
      <c r="H728" s="11">
        <v>37245</v>
      </c>
      <c r="I728" s="10">
        <v>2001</v>
      </c>
      <c r="J728" s="10" t="s">
        <v>9326</v>
      </c>
      <c r="K728" s="10">
        <v>161</v>
      </c>
      <c r="L728" s="10" t="s">
        <v>9390</v>
      </c>
      <c r="M728" s="10">
        <v>1</v>
      </c>
      <c r="N728" s="10"/>
      <c r="O728" s="10"/>
      <c r="P728" s="10" t="s">
        <v>9391</v>
      </c>
      <c r="Q728" s="10" t="s">
        <v>9392</v>
      </c>
      <c r="R728" s="10" t="s">
        <v>9393</v>
      </c>
      <c r="S728" s="10" t="s">
        <v>53</v>
      </c>
      <c r="T728" s="10" t="s">
        <v>7545</v>
      </c>
    </row>
    <row r="729" spans="1:20" ht="14.5" x14ac:dyDescent="0.35">
      <c r="A729" s="10" t="s">
        <v>9394</v>
      </c>
      <c r="B729" s="10" t="str">
        <f>"9780761970842"</f>
        <v>9780761970842</v>
      </c>
      <c r="C729" s="10" t="str">
        <f>"9781412932219"</f>
        <v>9781412932219</v>
      </c>
      <c r="D729" s="10" t="s">
        <v>9325</v>
      </c>
      <c r="E729" s="10" t="s">
        <v>9326</v>
      </c>
      <c r="F729" s="10" t="s">
        <v>139</v>
      </c>
      <c r="G729" s="10" t="s">
        <v>6352</v>
      </c>
      <c r="H729" s="11">
        <v>37903</v>
      </c>
      <c r="I729" s="10">
        <v>2003</v>
      </c>
      <c r="J729" s="10" t="s">
        <v>9326</v>
      </c>
      <c r="K729" s="10">
        <v>185</v>
      </c>
      <c r="L729" s="10" t="s">
        <v>9395</v>
      </c>
      <c r="M729" s="10">
        <v>1</v>
      </c>
      <c r="N729" s="10" t="s">
        <v>9396</v>
      </c>
      <c r="O729" s="10"/>
      <c r="P729" s="10" t="s">
        <v>9397</v>
      </c>
      <c r="Q729" s="10">
        <v>500</v>
      </c>
      <c r="R729" s="10" t="s">
        <v>9398</v>
      </c>
      <c r="S729" s="10" t="s">
        <v>53</v>
      </c>
      <c r="T729" s="10" t="s">
        <v>7193</v>
      </c>
    </row>
    <row r="730" spans="1:20" ht="14.5" x14ac:dyDescent="0.35">
      <c r="A730" s="10" t="s">
        <v>9399</v>
      </c>
      <c r="B730" s="10" t="str">
        <f>"9780761972761"</f>
        <v>9780761972761</v>
      </c>
      <c r="C730" s="10" t="str">
        <f>"9781412931441"</f>
        <v>9781412931441</v>
      </c>
      <c r="D730" s="10" t="s">
        <v>9325</v>
      </c>
      <c r="E730" s="10" t="s">
        <v>9326</v>
      </c>
      <c r="F730" s="10" t="s">
        <v>139</v>
      </c>
      <c r="G730" s="10" t="s">
        <v>6352</v>
      </c>
      <c r="H730" s="11">
        <v>37516</v>
      </c>
      <c r="I730" s="10">
        <v>2002</v>
      </c>
      <c r="J730" s="10" t="s">
        <v>9326</v>
      </c>
      <c r="K730" s="10">
        <v>173</v>
      </c>
      <c r="L730" s="10" t="s">
        <v>9400</v>
      </c>
      <c r="M730" s="10">
        <v>1</v>
      </c>
      <c r="N730" s="10"/>
      <c r="O730" s="10"/>
      <c r="P730" s="10" t="s">
        <v>9401</v>
      </c>
      <c r="Q730" s="10" t="s">
        <v>9402</v>
      </c>
      <c r="R730" s="10" t="s">
        <v>9403</v>
      </c>
      <c r="S730" s="10" t="s">
        <v>53</v>
      </c>
      <c r="T730" s="10" t="s">
        <v>54</v>
      </c>
    </row>
    <row r="731" spans="1:20" ht="14.5" x14ac:dyDescent="0.35">
      <c r="A731" s="10" t="s">
        <v>9404</v>
      </c>
      <c r="B731" s="10" t="str">
        <f>"9780761974178"</f>
        <v>9780761974178</v>
      </c>
      <c r="C731" s="10" t="str">
        <f>"9781412933186"</f>
        <v>9781412933186</v>
      </c>
      <c r="D731" s="10" t="s">
        <v>9325</v>
      </c>
      <c r="E731" s="10" t="s">
        <v>9326</v>
      </c>
      <c r="F731" s="10" t="s">
        <v>139</v>
      </c>
      <c r="G731" s="10" t="s">
        <v>6352</v>
      </c>
      <c r="H731" s="11">
        <v>38131</v>
      </c>
      <c r="I731" s="10">
        <v>2004</v>
      </c>
      <c r="J731" s="10" t="s">
        <v>9326</v>
      </c>
      <c r="K731" s="10">
        <v>221</v>
      </c>
      <c r="L731" s="10" t="s">
        <v>9405</v>
      </c>
      <c r="M731" s="10">
        <v>1</v>
      </c>
      <c r="N731" s="10" t="s">
        <v>9406</v>
      </c>
      <c r="O731" s="10"/>
      <c r="P731" s="10" t="s">
        <v>9407</v>
      </c>
      <c r="Q731" s="10">
        <v>410.71100000000001</v>
      </c>
      <c r="R731" s="10" t="s">
        <v>9408</v>
      </c>
      <c r="S731" s="10" t="s">
        <v>53</v>
      </c>
      <c r="T731" s="10" t="s">
        <v>6616</v>
      </c>
    </row>
    <row r="732" spans="1:20" ht="14.5" x14ac:dyDescent="0.35">
      <c r="A732" s="10" t="s">
        <v>9409</v>
      </c>
      <c r="B732" s="10" t="str">
        <f>"9780761974673"</f>
        <v>9780761974673</v>
      </c>
      <c r="C732" s="10" t="str">
        <f>"9781412931571"</f>
        <v>9781412931571</v>
      </c>
      <c r="D732" s="10" t="s">
        <v>9325</v>
      </c>
      <c r="E732" s="10" t="s">
        <v>9326</v>
      </c>
      <c r="F732" s="10" t="s">
        <v>139</v>
      </c>
      <c r="G732" s="10" t="s">
        <v>6352</v>
      </c>
      <c r="H732" s="11">
        <v>38068</v>
      </c>
      <c r="I732" s="10">
        <v>2004</v>
      </c>
      <c r="J732" s="10" t="s">
        <v>9326</v>
      </c>
      <c r="K732" s="10">
        <v>199</v>
      </c>
      <c r="L732" s="10" t="s">
        <v>9410</v>
      </c>
      <c r="M732" s="10">
        <v>1</v>
      </c>
      <c r="N732" s="10"/>
      <c r="O732" s="10"/>
      <c r="P732" s="10" t="s">
        <v>9411</v>
      </c>
      <c r="Q732" s="10" t="s">
        <v>9412</v>
      </c>
      <c r="R732" s="10" t="s">
        <v>6928</v>
      </c>
      <c r="S732" s="10" t="s">
        <v>53</v>
      </c>
      <c r="T732" s="10" t="s">
        <v>54</v>
      </c>
    </row>
    <row r="733" spans="1:20" ht="14.5" x14ac:dyDescent="0.35">
      <c r="A733" s="10" t="s">
        <v>9413</v>
      </c>
      <c r="B733" s="10" t="str">
        <f>"9780761974697"</f>
        <v>9780761974697</v>
      </c>
      <c r="C733" s="10" t="str">
        <f>"9781412933094"</f>
        <v>9781412933094</v>
      </c>
      <c r="D733" s="10" t="s">
        <v>9325</v>
      </c>
      <c r="E733" s="10" t="s">
        <v>9326</v>
      </c>
      <c r="F733" s="10" t="s">
        <v>139</v>
      </c>
      <c r="G733" s="10" t="s">
        <v>6352</v>
      </c>
      <c r="H733" s="11">
        <v>38168</v>
      </c>
      <c r="I733" s="10">
        <v>2004</v>
      </c>
      <c r="J733" s="10" t="s">
        <v>9326</v>
      </c>
      <c r="K733" s="10">
        <v>337</v>
      </c>
      <c r="L733" s="10" t="s">
        <v>9414</v>
      </c>
      <c r="M733" s="10">
        <v>1</v>
      </c>
      <c r="N733" s="10"/>
      <c r="O733" s="10"/>
      <c r="P733" s="10" t="s">
        <v>9415</v>
      </c>
      <c r="Q733" s="10">
        <v>379</v>
      </c>
      <c r="R733" s="10" t="s">
        <v>9416</v>
      </c>
      <c r="S733" s="10" t="s">
        <v>53</v>
      </c>
      <c r="T733" s="10" t="s">
        <v>54</v>
      </c>
    </row>
    <row r="734" spans="1:20" ht="14.5" x14ac:dyDescent="0.35">
      <c r="A734" s="10" t="s">
        <v>9417</v>
      </c>
      <c r="B734" s="10" t="str">
        <f>"9781412900805"</f>
        <v>9781412900805</v>
      </c>
      <c r="C734" s="10" t="str">
        <f>"9781412931458"</f>
        <v>9781412931458</v>
      </c>
      <c r="D734" s="10" t="s">
        <v>9325</v>
      </c>
      <c r="E734" s="10" t="s">
        <v>9326</v>
      </c>
      <c r="F734" s="10" t="s">
        <v>139</v>
      </c>
      <c r="G734" s="10" t="s">
        <v>6352</v>
      </c>
      <c r="H734" s="11">
        <v>38266</v>
      </c>
      <c r="I734" s="10">
        <v>2005</v>
      </c>
      <c r="J734" s="10" t="s">
        <v>9326</v>
      </c>
      <c r="K734" s="10">
        <v>189</v>
      </c>
      <c r="L734" s="10" t="s">
        <v>9418</v>
      </c>
      <c r="M734" s="10">
        <v>1</v>
      </c>
      <c r="N734" s="10" t="s">
        <v>9419</v>
      </c>
      <c r="O734" s="10"/>
      <c r="P734" s="10" t="s">
        <v>9420</v>
      </c>
      <c r="Q734" s="10">
        <v>371.2011</v>
      </c>
      <c r="R734" s="10" t="s">
        <v>7034</v>
      </c>
      <c r="S734" s="10" t="s">
        <v>53</v>
      </c>
      <c r="T734" s="10" t="s">
        <v>54</v>
      </c>
    </row>
    <row r="735" spans="1:20" ht="14.5" x14ac:dyDescent="0.35">
      <c r="A735" s="10" t="s">
        <v>9421</v>
      </c>
      <c r="B735" s="10" t="str">
        <f>"9780521814539"</f>
        <v>9780521814539</v>
      </c>
      <c r="C735" s="10" t="str">
        <f>"9780511164286"</f>
        <v>9780511164286</v>
      </c>
      <c r="D735" s="10" t="s">
        <v>397</v>
      </c>
      <c r="E735" s="10" t="s">
        <v>397</v>
      </c>
      <c r="F735" s="10" t="s">
        <v>612</v>
      </c>
      <c r="G735" s="10" t="s">
        <v>6352</v>
      </c>
      <c r="H735" s="11">
        <v>38012</v>
      </c>
      <c r="I735" s="10">
        <v>2004</v>
      </c>
      <c r="J735" s="10" t="s">
        <v>397</v>
      </c>
      <c r="K735" s="10">
        <v>298</v>
      </c>
      <c r="L735" s="10" t="s">
        <v>9422</v>
      </c>
      <c r="M735" s="10">
        <v>1</v>
      </c>
      <c r="N735" s="10"/>
      <c r="O735" s="10"/>
      <c r="P735" s="10" t="s">
        <v>9423</v>
      </c>
      <c r="Q735" s="10" t="s">
        <v>9424</v>
      </c>
      <c r="R735" s="10" t="s">
        <v>7629</v>
      </c>
      <c r="S735" s="10" t="s">
        <v>53</v>
      </c>
      <c r="T735" s="10" t="s">
        <v>54</v>
      </c>
    </row>
    <row r="736" spans="1:20" ht="14.5" x14ac:dyDescent="0.35">
      <c r="A736" s="10" t="s">
        <v>9425</v>
      </c>
      <c r="B736" s="10" t="str">
        <f>"9780521817196"</f>
        <v>9780521817196</v>
      </c>
      <c r="C736" s="10" t="str">
        <f>"9780511163968"</f>
        <v>9780511163968</v>
      </c>
      <c r="D736" s="10" t="s">
        <v>397</v>
      </c>
      <c r="E736" s="10" t="s">
        <v>397</v>
      </c>
      <c r="F736" s="10" t="s">
        <v>612</v>
      </c>
      <c r="G736" s="10" t="s">
        <v>6352</v>
      </c>
      <c r="H736" s="11">
        <v>37942</v>
      </c>
      <c r="I736" s="10">
        <v>2003</v>
      </c>
      <c r="J736" s="10" t="s">
        <v>397</v>
      </c>
      <c r="K736" s="10">
        <v>362</v>
      </c>
      <c r="L736" s="10" t="s">
        <v>9426</v>
      </c>
      <c r="M736" s="10">
        <v>1</v>
      </c>
      <c r="N736" s="10" t="s">
        <v>9427</v>
      </c>
      <c r="O736" s="10"/>
      <c r="P736" s="10" t="s">
        <v>9428</v>
      </c>
      <c r="Q736" s="10">
        <v>305.23500000000001</v>
      </c>
      <c r="R736" s="10" t="s">
        <v>9429</v>
      </c>
      <c r="S736" s="10" t="s">
        <v>53</v>
      </c>
      <c r="T736" s="10" t="s">
        <v>6363</v>
      </c>
    </row>
    <row r="737" spans="1:20" ht="14.5" x14ac:dyDescent="0.35">
      <c r="A737" s="10" t="s">
        <v>9430</v>
      </c>
      <c r="B737" s="10" t="str">
        <f>"9780805834499"</f>
        <v>9780805834499</v>
      </c>
      <c r="C737" s="10" t="str">
        <f>"9781410600295"</f>
        <v>9781410600295</v>
      </c>
      <c r="D737" s="10" t="s">
        <v>6350</v>
      </c>
      <c r="E737" s="10" t="s">
        <v>6351</v>
      </c>
      <c r="F737" s="10" t="s">
        <v>748</v>
      </c>
      <c r="G737" s="10" t="s">
        <v>6352</v>
      </c>
      <c r="H737" s="11">
        <v>36800</v>
      </c>
      <c r="I737" s="10">
        <v>2001</v>
      </c>
      <c r="J737" s="10" t="s">
        <v>6351</v>
      </c>
      <c r="K737" s="10">
        <v>273</v>
      </c>
      <c r="L737" s="10" t="s">
        <v>9431</v>
      </c>
      <c r="M737" s="10">
        <v>1</v>
      </c>
      <c r="N737" s="10"/>
      <c r="O737" s="10"/>
      <c r="P737" s="10" t="s">
        <v>9432</v>
      </c>
      <c r="Q737" s="10">
        <v>306.44</v>
      </c>
      <c r="R737" s="10" t="s">
        <v>9433</v>
      </c>
      <c r="S737" s="10" t="s">
        <v>53</v>
      </c>
      <c r="T737" s="10" t="s">
        <v>8412</v>
      </c>
    </row>
    <row r="738" spans="1:20" ht="14.5" x14ac:dyDescent="0.35">
      <c r="A738" s="10" t="s">
        <v>9434</v>
      </c>
      <c r="B738" s="10" t="str">
        <f>"9780805841534"</f>
        <v>9780805841534</v>
      </c>
      <c r="C738" s="10" t="str">
        <f>"9781410607560"</f>
        <v>9781410607560</v>
      </c>
      <c r="D738" s="10" t="s">
        <v>6350</v>
      </c>
      <c r="E738" s="10" t="s">
        <v>6351</v>
      </c>
      <c r="F738" s="10" t="s">
        <v>4325</v>
      </c>
      <c r="G738" s="10" t="s">
        <v>6317</v>
      </c>
      <c r="H738" s="11">
        <v>37712</v>
      </c>
      <c r="I738" s="10">
        <v>2003</v>
      </c>
      <c r="J738" s="10" t="s">
        <v>6353</v>
      </c>
      <c r="K738" s="10">
        <v>198</v>
      </c>
      <c r="L738" s="10" t="s">
        <v>9435</v>
      </c>
      <c r="M738" s="10">
        <v>1</v>
      </c>
      <c r="N738" s="10"/>
      <c r="O738" s="10"/>
      <c r="P738" s="10" t="s">
        <v>9436</v>
      </c>
      <c r="Q738" s="10">
        <v>371.97</v>
      </c>
      <c r="R738" s="10" t="s">
        <v>9437</v>
      </c>
      <c r="S738" s="10" t="s">
        <v>53</v>
      </c>
      <c r="T738" s="10" t="s">
        <v>54</v>
      </c>
    </row>
    <row r="739" spans="1:20" ht="14.5" x14ac:dyDescent="0.35">
      <c r="A739" s="10" t="s">
        <v>9438</v>
      </c>
      <c r="B739" s="10" t="str">
        <f>"9780805842913"</f>
        <v>9780805842913</v>
      </c>
      <c r="C739" s="10" t="str">
        <f>"9781410613226"</f>
        <v>9781410613226</v>
      </c>
      <c r="D739" s="10" t="s">
        <v>6350</v>
      </c>
      <c r="E739" s="10" t="s">
        <v>6351</v>
      </c>
      <c r="F739" s="10" t="s">
        <v>4325</v>
      </c>
      <c r="G739" s="10" t="s">
        <v>6317</v>
      </c>
      <c r="H739" s="11">
        <v>38555</v>
      </c>
      <c r="I739" s="10">
        <v>2006</v>
      </c>
      <c r="J739" s="10" t="s">
        <v>6353</v>
      </c>
      <c r="K739" s="10">
        <v>380</v>
      </c>
      <c r="L739" s="10" t="s">
        <v>9439</v>
      </c>
      <c r="M739" s="10">
        <v>1</v>
      </c>
      <c r="N739" s="10"/>
      <c r="O739" s="10"/>
      <c r="P739" s="10" t="s">
        <v>9440</v>
      </c>
      <c r="Q739" s="10" t="s">
        <v>9441</v>
      </c>
      <c r="R739" s="10" t="s">
        <v>9442</v>
      </c>
      <c r="S739" s="10" t="s">
        <v>53</v>
      </c>
      <c r="T739" s="10" t="s">
        <v>54</v>
      </c>
    </row>
    <row r="740" spans="1:20" ht="14.5" x14ac:dyDescent="0.35">
      <c r="A740" s="10" t="s">
        <v>9443</v>
      </c>
      <c r="B740" s="10" t="str">
        <f>"9780805827156"</f>
        <v>9780805827156</v>
      </c>
      <c r="C740" s="10" t="str">
        <f>"9781410601582"</f>
        <v>9781410601582</v>
      </c>
      <c r="D740" s="10" t="s">
        <v>6350</v>
      </c>
      <c r="E740" s="10" t="s">
        <v>6351</v>
      </c>
      <c r="F740" s="10" t="s">
        <v>3967</v>
      </c>
      <c r="G740" s="10" t="s">
        <v>6352</v>
      </c>
      <c r="H740" s="11">
        <v>36831</v>
      </c>
      <c r="I740" s="10">
        <v>2000</v>
      </c>
      <c r="J740" s="10" t="s">
        <v>6353</v>
      </c>
      <c r="K740" s="10">
        <v>215</v>
      </c>
      <c r="L740" s="10" t="s">
        <v>9444</v>
      </c>
      <c r="M740" s="10">
        <v>1</v>
      </c>
      <c r="N740" s="10"/>
      <c r="O740" s="10"/>
      <c r="P740" s="10" t="s">
        <v>9445</v>
      </c>
      <c r="Q740" s="10" t="s">
        <v>9446</v>
      </c>
      <c r="R740" s="10" t="s">
        <v>9447</v>
      </c>
      <c r="S740" s="10" t="s">
        <v>53</v>
      </c>
      <c r="T740" s="10" t="s">
        <v>9448</v>
      </c>
    </row>
    <row r="741" spans="1:20" ht="14.5" x14ac:dyDescent="0.35">
      <c r="A741" s="10" t="s">
        <v>9449</v>
      </c>
      <c r="B741" s="10" t="str">
        <f>"9780805830255"</f>
        <v>9780805830255</v>
      </c>
      <c r="C741" s="10" t="str">
        <f>"9781410611758"</f>
        <v>9781410611758</v>
      </c>
      <c r="D741" s="10" t="s">
        <v>6350</v>
      </c>
      <c r="E741" s="10" t="s">
        <v>6351</v>
      </c>
      <c r="F741" s="10" t="s">
        <v>3967</v>
      </c>
      <c r="G741" s="10" t="s">
        <v>6352</v>
      </c>
      <c r="H741" s="11">
        <v>38271</v>
      </c>
      <c r="I741" s="10">
        <v>2005</v>
      </c>
      <c r="J741" s="10" t="s">
        <v>4324</v>
      </c>
      <c r="K741" s="10">
        <v>391</v>
      </c>
      <c r="L741" s="10" t="s">
        <v>9450</v>
      </c>
      <c r="M741" s="10">
        <v>1</v>
      </c>
      <c r="N741" s="10"/>
      <c r="O741" s="10"/>
      <c r="P741" s="10" t="s">
        <v>9451</v>
      </c>
      <c r="Q741" s="10" t="s">
        <v>8787</v>
      </c>
      <c r="R741" s="10" t="s">
        <v>9452</v>
      </c>
      <c r="S741" s="10" t="s">
        <v>53</v>
      </c>
      <c r="T741" s="10" t="s">
        <v>54</v>
      </c>
    </row>
    <row r="742" spans="1:20" ht="14.5" x14ac:dyDescent="0.35">
      <c r="A742" s="10" t="s">
        <v>9453</v>
      </c>
      <c r="B742" s="10" t="str">
        <f>"9780805833942"</f>
        <v>9780805833942</v>
      </c>
      <c r="C742" s="10" t="str">
        <f>"9781410605252"</f>
        <v>9781410605252</v>
      </c>
      <c r="D742" s="10" t="s">
        <v>6350</v>
      </c>
      <c r="E742" s="10" t="s">
        <v>6351</v>
      </c>
      <c r="F742" s="10" t="s">
        <v>4325</v>
      </c>
      <c r="G742" s="10" t="s">
        <v>6317</v>
      </c>
      <c r="H742" s="11">
        <v>36861</v>
      </c>
      <c r="I742" s="10">
        <v>2000</v>
      </c>
      <c r="J742" s="10" t="s">
        <v>6353</v>
      </c>
      <c r="K742" s="10">
        <v>294</v>
      </c>
      <c r="L742" s="10" t="s">
        <v>9454</v>
      </c>
      <c r="M742" s="10">
        <v>1</v>
      </c>
      <c r="N742" s="10" t="s">
        <v>8840</v>
      </c>
      <c r="O742" s="10"/>
      <c r="P742" s="10" t="s">
        <v>9455</v>
      </c>
      <c r="Q742" s="10" t="s">
        <v>9456</v>
      </c>
      <c r="R742" s="10" t="s">
        <v>9457</v>
      </c>
      <c r="S742" s="10" t="s">
        <v>53</v>
      </c>
      <c r="T742" s="10" t="s">
        <v>6881</v>
      </c>
    </row>
    <row r="743" spans="1:20" ht="14.5" x14ac:dyDescent="0.35">
      <c r="A743" s="10" t="s">
        <v>9458</v>
      </c>
      <c r="B743" s="10" t="str">
        <f>"9780805848205"</f>
        <v>9780805848205</v>
      </c>
      <c r="C743" s="10" t="str">
        <f>"9781410611598"</f>
        <v>9781410611598</v>
      </c>
      <c r="D743" s="10" t="s">
        <v>6350</v>
      </c>
      <c r="E743" s="10" t="s">
        <v>6351</v>
      </c>
      <c r="F743" s="10" t="s">
        <v>4325</v>
      </c>
      <c r="G743" s="10" t="s">
        <v>6317</v>
      </c>
      <c r="H743" s="11">
        <v>38286</v>
      </c>
      <c r="I743" s="10">
        <v>2004</v>
      </c>
      <c r="J743" s="10" t="s">
        <v>6353</v>
      </c>
      <c r="K743" s="10">
        <v>295</v>
      </c>
      <c r="L743" s="10" t="s">
        <v>9459</v>
      </c>
      <c r="M743" s="10">
        <v>1</v>
      </c>
      <c r="N743" s="10"/>
      <c r="O743" s="10"/>
      <c r="P743" s="10" t="s">
        <v>9460</v>
      </c>
      <c r="Q743" s="10" t="s">
        <v>7335</v>
      </c>
      <c r="R743" s="10" t="s">
        <v>9461</v>
      </c>
      <c r="S743" s="10" t="s">
        <v>53</v>
      </c>
      <c r="T743" s="10" t="s">
        <v>54</v>
      </c>
    </row>
    <row r="744" spans="1:20" ht="14.5" x14ac:dyDescent="0.35">
      <c r="A744" s="10" t="s">
        <v>9462</v>
      </c>
      <c r="B744" s="10" t="str">
        <f>"9780805846614"</f>
        <v>9780805846614</v>
      </c>
      <c r="C744" s="10" t="str">
        <f>"9780203825945"</f>
        <v>9780203825945</v>
      </c>
      <c r="D744" s="10" t="s">
        <v>6350</v>
      </c>
      <c r="E744" s="10" t="s">
        <v>6351</v>
      </c>
      <c r="F744" s="10" t="s">
        <v>4325</v>
      </c>
      <c r="G744" s="10" t="s">
        <v>6352</v>
      </c>
      <c r="H744" s="11">
        <v>38098</v>
      </c>
      <c r="I744" s="10">
        <v>2004</v>
      </c>
      <c r="J744" s="10" t="s">
        <v>6353</v>
      </c>
      <c r="K744" s="10">
        <v>312</v>
      </c>
      <c r="L744" s="10" t="s">
        <v>9463</v>
      </c>
      <c r="M744" s="10">
        <v>3</v>
      </c>
      <c r="N744" s="10"/>
      <c r="O744" s="10"/>
      <c r="P744" s="10" t="s">
        <v>9464</v>
      </c>
      <c r="Q744" s="10">
        <v>371.26</v>
      </c>
      <c r="R744" s="10" t="s">
        <v>9465</v>
      </c>
      <c r="S744" s="10" t="s">
        <v>53</v>
      </c>
      <c r="T744" s="10" t="s">
        <v>54</v>
      </c>
    </row>
    <row r="745" spans="1:20" ht="14.5" x14ac:dyDescent="0.35">
      <c r="A745" s="10" t="s">
        <v>9466</v>
      </c>
      <c r="B745" s="10" t="str">
        <f>"9780805846461"</f>
        <v>9780805846461</v>
      </c>
      <c r="C745" s="10" t="str">
        <f>"9781410613547"</f>
        <v>9781410613547</v>
      </c>
      <c r="D745" s="10" t="s">
        <v>6350</v>
      </c>
      <c r="E745" s="10" t="s">
        <v>6351</v>
      </c>
      <c r="F745" s="10" t="s">
        <v>4325</v>
      </c>
      <c r="G745" s="10" t="s">
        <v>6317</v>
      </c>
      <c r="H745" s="11">
        <v>38464</v>
      </c>
      <c r="I745" s="10">
        <v>2005</v>
      </c>
      <c r="J745" s="10" t="s">
        <v>6353</v>
      </c>
      <c r="K745" s="10">
        <v>345</v>
      </c>
      <c r="L745" s="10" t="s">
        <v>9467</v>
      </c>
      <c r="M745" s="10">
        <v>1</v>
      </c>
      <c r="N745" s="10"/>
      <c r="O745" s="10"/>
      <c r="P745" s="10" t="s">
        <v>9468</v>
      </c>
      <c r="Q745" s="10">
        <v>302.22000000000003</v>
      </c>
      <c r="R745" s="10" t="s">
        <v>9469</v>
      </c>
      <c r="S745" s="10" t="s">
        <v>53</v>
      </c>
      <c r="T745" s="10" t="s">
        <v>6526</v>
      </c>
    </row>
    <row r="746" spans="1:20" ht="14.5" x14ac:dyDescent="0.35">
      <c r="A746" s="10" t="s">
        <v>9470</v>
      </c>
      <c r="B746" s="10" t="str">
        <f>"9780805852035"</f>
        <v>9780805852035</v>
      </c>
      <c r="C746" s="10" t="str">
        <f>"9781410611642"</f>
        <v>9781410611642</v>
      </c>
      <c r="D746" s="10" t="s">
        <v>6350</v>
      </c>
      <c r="E746" s="10" t="s">
        <v>6351</v>
      </c>
      <c r="F746" s="10" t="s">
        <v>4325</v>
      </c>
      <c r="G746" s="10" t="s">
        <v>6317</v>
      </c>
      <c r="H746" s="11">
        <v>38271</v>
      </c>
      <c r="I746" s="10">
        <v>2004</v>
      </c>
      <c r="J746" s="10" t="s">
        <v>6353</v>
      </c>
      <c r="K746" s="10">
        <v>268</v>
      </c>
      <c r="L746" s="10" t="s">
        <v>9471</v>
      </c>
      <c r="M746" s="10">
        <v>1</v>
      </c>
      <c r="N746" s="10"/>
      <c r="O746" s="10"/>
      <c r="P746" s="10" t="s">
        <v>9472</v>
      </c>
      <c r="Q746" s="10">
        <v>371.19499999999999</v>
      </c>
      <c r="R746" s="10" t="s">
        <v>9473</v>
      </c>
      <c r="S746" s="10" t="s">
        <v>53</v>
      </c>
      <c r="T746" s="10" t="s">
        <v>54</v>
      </c>
    </row>
    <row r="747" spans="1:20" ht="14.5" x14ac:dyDescent="0.35">
      <c r="A747" s="10" t="s">
        <v>9474</v>
      </c>
      <c r="B747" s="10" t="str">
        <f>"9780805849172"</f>
        <v>9780805849172</v>
      </c>
      <c r="C747" s="10" t="str">
        <f>"9781410613462"</f>
        <v>9781410613462</v>
      </c>
      <c r="D747" s="10" t="s">
        <v>6350</v>
      </c>
      <c r="E747" s="10" t="s">
        <v>6351</v>
      </c>
      <c r="F747" s="10" t="s">
        <v>4325</v>
      </c>
      <c r="G747" s="10" t="s">
        <v>6317</v>
      </c>
      <c r="H747" s="11">
        <v>38489</v>
      </c>
      <c r="I747" s="10">
        <v>2005</v>
      </c>
      <c r="J747" s="10" t="s">
        <v>6353</v>
      </c>
      <c r="K747" s="10">
        <v>320</v>
      </c>
      <c r="L747" s="10" t="s">
        <v>9475</v>
      </c>
      <c r="M747" s="10">
        <v>1</v>
      </c>
      <c r="N747" s="10" t="s">
        <v>9476</v>
      </c>
      <c r="O747" s="10"/>
      <c r="P747" s="10" t="s">
        <v>9477</v>
      </c>
      <c r="Q747" s="10">
        <v>371.19</v>
      </c>
      <c r="R747" s="10" t="s">
        <v>9478</v>
      </c>
      <c r="S747" s="10" t="s">
        <v>53</v>
      </c>
      <c r="T747" s="10" t="s">
        <v>54</v>
      </c>
    </row>
    <row r="748" spans="1:20" ht="14.5" x14ac:dyDescent="0.35">
      <c r="A748" s="10" t="s">
        <v>9479</v>
      </c>
      <c r="B748" s="10" t="str">
        <f>"9780253345165"</f>
        <v>9780253345165</v>
      </c>
      <c r="C748" s="10" t="str">
        <f>"9780253110473"</f>
        <v>9780253110473</v>
      </c>
      <c r="D748" s="10" t="s">
        <v>2455</v>
      </c>
      <c r="E748" s="10" t="s">
        <v>2455</v>
      </c>
      <c r="F748" s="10" t="s">
        <v>3101</v>
      </c>
      <c r="G748" s="10" t="s">
        <v>6317</v>
      </c>
      <c r="H748" s="11">
        <v>38349</v>
      </c>
      <c r="I748" s="10">
        <v>2005</v>
      </c>
      <c r="J748" s="10" t="s">
        <v>2455</v>
      </c>
      <c r="K748" s="10">
        <v>182</v>
      </c>
      <c r="L748" s="10" t="s">
        <v>9480</v>
      </c>
      <c r="M748" s="10">
        <v>1</v>
      </c>
      <c r="N748" s="10"/>
      <c r="O748" s="10"/>
      <c r="P748" s="10" t="s">
        <v>9481</v>
      </c>
      <c r="Q748" s="10" t="s">
        <v>9482</v>
      </c>
      <c r="R748" s="10" t="s">
        <v>9483</v>
      </c>
      <c r="S748" s="10" t="s">
        <v>53</v>
      </c>
      <c r="T748" s="10" t="s">
        <v>6384</v>
      </c>
    </row>
    <row r="749" spans="1:20" ht="14.5" x14ac:dyDescent="0.35">
      <c r="A749" s="10" t="s">
        <v>9484</v>
      </c>
      <c r="B749" s="10" t="str">
        <f>"9780253344762"</f>
        <v>9780253344762</v>
      </c>
      <c r="C749" s="10" t="str">
        <f>"9780253111180"</f>
        <v>9780253111180</v>
      </c>
      <c r="D749" s="10" t="s">
        <v>2455</v>
      </c>
      <c r="E749" s="10" t="s">
        <v>2455</v>
      </c>
      <c r="F749" s="10" t="s">
        <v>3101</v>
      </c>
      <c r="G749" s="10" t="s">
        <v>6317</v>
      </c>
      <c r="H749" s="11">
        <v>38294</v>
      </c>
      <c r="I749" s="10">
        <v>2004</v>
      </c>
      <c r="J749" s="10" t="s">
        <v>2455</v>
      </c>
      <c r="K749" s="10">
        <v>207</v>
      </c>
      <c r="L749" s="10" t="s">
        <v>9485</v>
      </c>
      <c r="M749" s="10">
        <v>1</v>
      </c>
      <c r="N749" s="10"/>
      <c r="O749" s="10"/>
      <c r="P749" s="10" t="s">
        <v>9486</v>
      </c>
      <c r="Q749" s="10">
        <v>378.34</v>
      </c>
      <c r="R749" s="10" t="s">
        <v>9487</v>
      </c>
      <c r="S749" s="10" t="s">
        <v>53</v>
      </c>
      <c r="T749" s="10" t="s">
        <v>54</v>
      </c>
    </row>
    <row r="750" spans="1:20" ht="14.5" x14ac:dyDescent="0.35">
      <c r="A750" s="10" t="s">
        <v>9488</v>
      </c>
      <c r="B750" s="10" t="str">
        <f>"9781853598227"</f>
        <v>9781853598227</v>
      </c>
      <c r="C750" s="10" t="str">
        <f>"9781853598234"</f>
        <v>9781853598234</v>
      </c>
      <c r="D750" s="10" t="s">
        <v>8394</v>
      </c>
      <c r="E750" s="10" t="s">
        <v>8395</v>
      </c>
      <c r="F750" s="10" t="s">
        <v>8396</v>
      </c>
      <c r="G750" s="10" t="s">
        <v>6352</v>
      </c>
      <c r="H750" s="11">
        <v>38566</v>
      </c>
      <c r="I750" s="10">
        <v>2005</v>
      </c>
      <c r="J750" s="10" t="s">
        <v>8395</v>
      </c>
      <c r="K750" s="10">
        <v>229</v>
      </c>
      <c r="L750" s="10" t="s">
        <v>9489</v>
      </c>
      <c r="M750" s="10">
        <v>1</v>
      </c>
      <c r="N750" s="10" t="s">
        <v>8403</v>
      </c>
      <c r="O750" s="10">
        <v>51</v>
      </c>
      <c r="P750" s="10" t="s">
        <v>9490</v>
      </c>
      <c r="Q750" s="10" t="s">
        <v>9491</v>
      </c>
      <c r="R750" s="10" t="s">
        <v>9492</v>
      </c>
      <c r="S750" s="10" t="s">
        <v>53</v>
      </c>
      <c r="T750" s="10" t="s">
        <v>54</v>
      </c>
    </row>
    <row r="751" spans="1:20" ht="14.5" x14ac:dyDescent="0.35">
      <c r="A751" s="10" t="s">
        <v>9493</v>
      </c>
      <c r="B751" s="10" t="str">
        <f>"9781853598791"</f>
        <v>9781853598791</v>
      </c>
      <c r="C751" s="10" t="str">
        <f>"9781853598807"</f>
        <v>9781853598807</v>
      </c>
      <c r="D751" s="10" t="s">
        <v>8394</v>
      </c>
      <c r="E751" s="10" t="s">
        <v>8395</v>
      </c>
      <c r="F751" s="10" t="s">
        <v>8396</v>
      </c>
      <c r="G751" s="10" t="s">
        <v>6352</v>
      </c>
      <c r="H751" s="11">
        <v>38813</v>
      </c>
      <c r="I751" s="10">
        <v>2006</v>
      </c>
      <c r="J751" s="10" t="s">
        <v>8395</v>
      </c>
      <c r="K751" s="10">
        <v>301</v>
      </c>
      <c r="L751" s="10" t="s">
        <v>9494</v>
      </c>
      <c r="M751" s="10">
        <v>1</v>
      </c>
      <c r="N751" s="10" t="s">
        <v>8403</v>
      </c>
      <c r="O751" s="10">
        <v>55</v>
      </c>
      <c r="P751" s="10" t="s">
        <v>9495</v>
      </c>
      <c r="Q751" s="10">
        <v>370.11700000000002</v>
      </c>
      <c r="R751" s="10" t="s">
        <v>9496</v>
      </c>
      <c r="S751" s="10" t="s">
        <v>53</v>
      </c>
      <c r="T751" s="10" t="s">
        <v>54</v>
      </c>
    </row>
    <row r="752" spans="1:20" ht="14.5" x14ac:dyDescent="0.35">
      <c r="A752" s="10" t="s">
        <v>9497</v>
      </c>
      <c r="B752" s="10" t="str">
        <f>"9781853598760"</f>
        <v>9781853598760</v>
      </c>
      <c r="C752" s="10" t="str">
        <f>"9781853598777"</f>
        <v>9781853598777</v>
      </c>
      <c r="D752" s="10" t="s">
        <v>8394</v>
      </c>
      <c r="E752" s="10" t="s">
        <v>8395</v>
      </c>
      <c r="F752" s="10" t="s">
        <v>8396</v>
      </c>
      <c r="G752" s="10" t="s">
        <v>6352</v>
      </c>
      <c r="H752" s="11">
        <v>38813</v>
      </c>
      <c r="I752" s="10">
        <v>2006</v>
      </c>
      <c r="J752" s="10" t="s">
        <v>8395</v>
      </c>
      <c r="K752" s="10">
        <v>247</v>
      </c>
      <c r="L752" s="10" t="s">
        <v>9498</v>
      </c>
      <c r="M752" s="10">
        <v>1</v>
      </c>
      <c r="N752" s="10" t="s">
        <v>8403</v>
      </c>
      <c r="O752" s="10">
        <v>57</v>
      </c>
      <c r="P752" s="10" t="s">
        <v>9499</v>
      </c>
      <c r="Q752" s="10" t="s">
        <v>8416</v>
      </c>
      <c r="R752" s="10" t="s">
        <v>9500</v>
      </c>
      <c r="S752" s="10" t="s">
        <v>53</v>
      </c>
      <c r="T752" s="10" t="s">
        <v>8412</v>
      </c>
    </row>
    <row r="753" spans="1:20" ht="14.5" x14ac:dyDescent="0.35">
      <c r="A753" s="10" t="s">
        <v>9501</v>
      </c>
      <c r="B753" s="10" t="str">
        <f>"9781853598470"</f>
        <v>9781853598470</v>
      </c>
      <c r="C753" s="10" t="str">
        <f>"9781853598487"</f>
        <v>9781853598487</v>
      </c>
      <c r="D753" s="10" t="s">
        <v>8394</v>
      </c>
      <c r="E753" s="10" t="s">
        <v>8395</v>
      </c>
      <c r="F753" s="10" t="s">
        <v>8396</v>
      </c>
      <c r="G753" s="10" t="s">
        <v>6352</v>
      </c>
      <c r="H753" s="11">
        <v>38667</v>
      </c>
      <c r="I753" s="10">
        <v>2005</v>
      </c>
      <c r="J753" s="10" t="s">
        <v>8395</v>
      </c>
      <c r="K753" s="10">
        <v>238</v>
      </c>
      <c r="L753" s="10" t="s">
        <v>9502</v>
      </c>
      <c r="M753" s="10">
        <v>1</v>
      </c>
      <c r="N753" s="10" t="s">
        <v>9503</v>
      </c>
      <c r="O753" s="10">
        <v>1</v>
      </c>
      <c r="P753" s="10" t="s">
        <v>9504</v>
      </c>
      <c r="Q753" s="10" t="s">
        <v>9505</v>
      </c>
      <c r="R753" s="10" t="s">
        <v>9506</v>
      </c>
      <c r="S753" s="10" t="s">
        <v>53</v>
      </c>
      <c r="T753" s="10" t="s">
        <v>9143</v>
      </c>
    </row>
    <row r="754" spans="1:20" ht="14.5" x14ac:dyDescent="0.35">
      <c r="A754" s="10" t="s">
        <v>9507</v>
      </c>
      <c r="B754" s="10" t="str">
        <f>"9781853598449"</f>
        <v>9781853598449</v>
      </c>
      <c r="C754" s="10" t="str">
        <f>"9781853598456"</f>
        <v>9781853598456</v>
      </c>
      <c r="D754" s="10" t="s">
        <v>8394</v>
      </c>
      <c r="E754" s="10" t="s">
        <v>8395</v>
      </c>
      <c r="F754" s="10" t="s">
        <v>8396</v>
      </c>
      <c r="G754" s="10" t="s">
        <v>6352</v>
      </c>
      <c r="H754" s="11">
        <v>38588</v>
      </c>
      <c r="I754" s="10">
        <v>2005</v>
      </c>
      <c r="J754" s="10" t="s">
        <v>8395</v>
      </c>
      <c r="K754" s="10">
        <v>231</v>
      </c>
      <c r="L754" s="10" t="s">
        <v>9508</v>
      </c>
      <c r="M754" s="10">
        <v>1</v>
      </c>
      <c r="N754" s="10" t="s">
        <v>8398</v>
      </c>
      <c r="O754" s="10">
        <v>10</v>
      </c>
      <c r="P754" s="10" t="s">
        <v>9509</v>
      </c>
      <c r="Q754" s="10">
        <v>418.00711000000001</v>
      </c>
      <c r="R754" s="10" t="s">
        <v>9510</v>
      </c>
      <c r="S754" s="10" t="s">
        <v>53</v>
      </c>
      <c r="T754" s="10" t="s">
        <v>6616</v>
      </c>
    </row>
    <row r="755" spans="1:20" ht="14.5" x14ac:dyDescent="0.35">
      <c r="A755" s="10" t="s">
        <v>9511</v>
      </c>
      <c r="B755" s="10" t="str">
        <f>"9781853598722"</f>
        <v>9781853598722</v>
      </c>
      <c r="C755" s="10" t="str">
        <f>"9781853598746"</f>
        <v>9781853598746</v>
      </c>
      <c r="D755" s="10" t="s">
        <v>8394</v>
      </c>
      <c r="E755" s="10" t="s">
        <v>8395</v>
      </c>
      <c r="F755" s="10" t="s">
        <v>8396</v>
      </c>
      <c r="G755" s="10" t="s">
        <v>6352</v>
      </c>
      <c r="H755" s="11">
        <v>38785</v>
      </c>
      <c r="I755" s="10">
        <v>2006</v>
      </c>
      <c r="J755" s="10" t="s">
        <v>8395</v>
      </c>
      <c r="K755" s="10">
        <v>340</v>
      </c>
      <c r="L755" s="10" t="s">
        <v>9512</v>
      </c>
      <c r="M755" s="10">
        <v>1</v>
      </c>
      <c r="N755" s="10" t="s">
        <v>8403</v>
      </c>
      <c r="O755" s="10">
        <v>56</v>
      </c>
      <c r="P755" s="10" t="s">
        <v>9513</v>
      </c>
      <c r="Q755" s="10">
        <v>306.44601899999998</v>
      </c>
      <c r="R755" s="10" t="s">
        <v>9514</v>
      </c>
      <c r="S755" s="10" t="s">
        <v>53</v>
      </c>
      <c r="T755" s="10" t="s">
        <v>8412</v>
      </c>
    </row>
    <row r="756" spans="1:20" ht="14.5" x14ac:dyDescent="0.35">
      <c r="A756" s="10" t="s">
        <v>9515</v>
      </c>
      <c r="B756" s="10" t="str">
        <f>"9781853598562"</f>
        <v>9781853598562</v>
      </c>
      <c r="C756" s="10" t="str">
        <f>"9781853598579"</f>
        <v>9781853598579</v>
      </c>
      <c r="D756" s="10" t="s">
        <v>8394</v>
      </c>
      <c r="E756" s="10" t="s">
        <v>8395</v>
      </c>
      <c r="F756" s="10" t="s">
        <v>8396</v>
      </c>
      <c r="G756" s="10" t="s">
        <v>6352</v>
      </c>
      <c r="H756" s="11">
        <v>38776</v>
      </c>
      <c r="I756" s="10">
        <v>2006</v>
      </c>
      <c r="J756" s="10" t="s">
        <v>8395</v>
      </c>
      <c r="K756" s="10">
        <v>282</v>
      </c>
      <c r="L756" s="10" t="s">
        <v>9516</v>
      </c>
      <c r="M756" s="10">
        <v>1</v>
      </c>
      <c r="N756" s="10" t="s">
        <v>8874</v>
      </c>
      <c r="O756" s="10">
        <v>17</v>
      </c>
      <c r="P756" s="10" t="s">
        <v>9517</v>
      </c>
      <c r="Q756" s="10">
        <v>418</v>
      </c>
      <c r="R756" s="10" t="s">
        <v>9518</v>
      </c>
      <c r="S756" s="10" t="s">
        <v>53</v>
      </c>
      <c r="T756" s="10" t="s">
        <v>6616</v>
      </c>
    </row>
    <row r="757" spans="1:20" ht="14.5" x14ac:dyDescent="0.35">
      <c r="A757" s="10" t="s">
        <v>9519</v>
      </c>
      <c r="B757" s="10" t="str">
        <f>"9781853598708"</f>
        <v>9781853598708</v>
      </c>
      <c r="C757" s="10" t="str">
        <f>"9781853598715"</f>
        <v>9781853598715</v>
      </c>
      <c r="D757" s="10" t="s">
        <v>8394</v>
      </c>
      <c r="E757" s="10" t="s">
        <v>8395</v>
      </c>
      <c r="F757" s="10" t="s">
        <v>8396</v>
      </c>
      <c r="G757" s="10" t="s">
        <v>6352</v>
      </c>
      <c r="H757" s="11">
        <v>38776</v>
      </c>
      <c r="I757" s="10">
        <v>2006</v>
      </c>
      <c r="J757" s="10" t="s">
        <v>8395</v>
      </c>
      <c r="K757" s="10">
        <v>180</v>
      </c>
      <c r="L757" s="10" t="s">
        <v>9520</v>
      </c>
      <c r="M757" s="10">
        <v>1</v>
      </c>
      <c r="N757" s="10" t="s">
        <v>8863</v>
      </c>
      <c r="O757" s="10">
        <v>7</v>
      </c>
      <c r="P757" s="10" t="s">
        <v>9521</v>
      </c>
      <c r="Q757" s="10" t="s">
        <v>9522</v>
      </c>
      <c r="R757" s="10" t="s">
        <v>9523</v>
      </c>
      <c r="S757" s="10" t="s">
        <v>53</v>
      </c>
      <c r="T757" s="10" t="s">
        <v>6616</v>
      </c>
    </row>
    <row r="758" spans="1:20" ht="14.5" x14ac:dyDescent="0.35">
      <c r="A758" s="10" t="s">
        <v>9524</v>
      </c>
      <c r="B758" s="10" t="str">
        <f>"9781853598623"</f>
        <v>9781853598623</v>
      </c>
      <c r="C758" s="10" t="str">
        <f>"9781853598630"</f>
        <v>9781853598630</v>
      </c>
      <c r="D758" s="10" t="s">
        <v>8394</v>
      </c>
      <c r="E758" s="10" t="s">
        <v>8395</v>
      </c>
      <c r="F758" s="10" t="s">
        <v>8396</v>
      </c>
      <c r="G758" s="10" t="s">
        <v>6352</v>
      </c>
      <c r="H758" s="11">
        <v>38754</v>
      </c>
      <c r="I758" s="10">
        <v>2006</v>
      </c>
      <c r="J758" s="10" t="s">
        <v>8395</v>
      </c>
      <c r="K758" s="10">
        <v>278</v>
      </c>
      <c r="L758" s="10" t="s">
        <v>9525</v>
      </c>
      <c r="M758" s="10">
        <v>1</v>
      </c>
      <c r="N758" s="10" t="s">
        <v>8880</v>
      </c>
      <c r="O758" s="10">
        <v>4</v>
      </c>
      <c r="P758" s="10" t="s">
        <v>9526</v>
      </c>
      <c r="Q758" s="10" t="s">
        <v>9527</v>
      </c>
      <c r="R758" s="10" t="s">
        <v>4456</v>
      </c>
      <c r="S758" s="10" t="s">
        <v>53</v>
      </c>
      <c r="T758" s="10" t="s">
        <v>6472</v>
      </c>
    </row>
    <row r="759" spans="1:20" ht="14.5" x14ac:dyDescent="0.35">
      <c r="A759" s="10" t="s">
        <v>9528</v>
      </c>
      <c r="B759" s="10" t="str">
        <f>"9781853598517"</f>
        <v>9781853598517</v>
      </c>
      <c r="C759" s="10" t="str">
        <f>"9781853598531"</f>
        <v>9781853598531</v>
      </c>
      <c r="D759" s="10" t="s">
        <v>8394</v>
      </c>
      <c r="E759" s="10" t="s">
        <v>8395</v>
      </c>
      <c r="F759" s="10" t="s">
        <v>8396</v>
      </c>
      <c r="G759" s="10" t="s">
        <v>6352</v>
      </c>
      <c r="H759" s="11">
        <v>38735</v>
      </c>
      <c r="I759" s="10">
        <v>2006</v>
      </c>
      <c r="J759" s="10" t="s">
        <v>8395</v>
      </c>
      <c r="K759" s="10">
        <v>343</v>
      </c>
      <c r="L759" s="10" t="s">
        <v>9529</v>
      </c>
      <c r="M759" s="10">
        <v>1</v>
      </c>
      <c r="N759" s="10" t="s">
        <v>8874</v>
      </c>
      <c r="O759" s="10">
        <v>15</v>
      </c>
      <c r="P759" s="10" t="s">
        <v>9530</v>
      </c>
      <c r="Q759" s="10">
        <v>418</v>
      </c>
      <c r="R759" s="10" t="s">
        <v>9531</v>
      </c>
      <c r="S759" s="10" t="s">
        <v>53</v>
      </c>
      <c r="T759" s="10" t="s">
        <v>6616</v>
      </c>
    </row>
    <row r="760" spans="1:20" ht="14.5" x14ac:dyDescent="0.35">
      <c r="A760" s="10" t="s">
        <v>9532</v>
      </c>
      <c r="B760" s="10" t="str">
        <f>"9780865714014"</f>
        <v>9780865714014</v>
      </c>
      <c r="C760" s="10" t="str">
        <f>"9781550923063"</f>
        <v>9781550923063</v>
      </c>
      <c r="D760" s="10" t="s">
        <v>9533</v>
      </c>
      <c r="E760" s="10" t="s">
        <v>9534</v>
      </c>
      <c r="F760" s="10" t="s">
        <v>9535</v>
      </c>
      <c r="G760" s="10" t="s">
        <v>9536</v>
      </c>
      <c r="H760" s="11">
        <v>36404</v>
      </c>
      <c r="I760" s="10">
        <v>1999</v>
      </c>
      <c r="J760" s="10" t="s">
        <v>9534</v>
      </c>
      <c r="K760" s="10">
        <v>242</v>
      </c>
      <c r="L760" s="10" t="s">
        <v>9537</v>
      </c>
      <c r="M760" s="10">
        <v>1</v>
      </c>
      <c r="N760" s="10"/>
      <c r="O760" s="10"/>
      <c r="P760" s="10" t="s">
        <v>9538</v>
      </c>
      <c r="Q760" s="10">
        <v>371.04199999999997</v>
      </c>
      <c r="R760" s="10" t="s">
        <v>9539</v>
      </c>
      <c r="S760" s="10" t="s">
        <v>53</v>
      </c>
      <c r="T760" s="10" t="s">
        <v>54</v>
      </c>
    </row>
    <row r="761" spans="1:20" ht="14.5" x14ac:dyDescent="0.35">
      <c r="A761" s="10" t="s">
        <v>9540</v>
      </c>
      <c r="B761" s="10" t="str">
        <f>"9780865714687"</f>
        <v>9780865714687</v>
      </c>
      <c r="C761" s="10" t="str">
        <f>"9781550923131"</f>
        <v>9781550923131</v>
      </c>
      <c r="D761" s="10" t="s">
        <v>9533</v>
      </c>
      <c r="E761" s="10" t="s">
        <v>9534</v>
      </c>
      <c r="F761" s="10" t="s">
        <v>9535</v>
      </c>
      <c r="G761" s="10" t="s">
        <v>6317</v>
      </c>
      <c r="H761" s="11">
        <v>37653</v>
      </c>
      <c r="I761" s="10">
        <v>2009</v>
      </c>
      <c r="J761" s="10" t="s">
        <v>9534</v>
      </c>
      <c r="K761" s="10">
        <v>257</v>
      </c>
      <c r="L761" s="10" t="s">
        <v>9541</v>
      </c>
      <c r="M761" s="10">
        <v>1</v>
      </c>
      <c r="N761" s="10" t="s">
        <v>9542</v>
      </c>
      <c r="O761" s="10"/>
      <c r="P761" s="10" t="s">
        <v>9543</v>
      </c>
      <c r="Q761" s="10" t="s">
        <v>9544</v>
      </c>
      <c r="R761" s="10" t="s">
        <v>9545</v>
      </c>
      <c r="S761" s="10" t="s">
        <v>53</v>
      </c>
      <c r="T761" s="10" t="s">
        <v>9546</v>
      </c>
    </row>
    <row r="762" spans="1:20" ht="14.5" x14ac:dyDescent="0.35">
      <c r="A762" s="10" t="s">
        <v>9547</v>
      </c>
      <c r="B762" s="10" t="str">
        <f>"9780805848137"</f>
        <v>9780805848137</v>
      </c>
      <c r="C762" s="10" t="str">
        <f>"9781410613219"</f>
        <v>9781410613219</v>
      </c>
      <c r="D762" s="10" t="s">
        <v>6350</v>
      </c>
      <c r="E762" s="10" t="s">
        <v>6351</v>
      </c>
      <c r="F762" s="10" t="s">
        <v>4325</v>
      </c>
      <c r="G762" s="10" t="s">
        <v>6317</v>
      </c>
      <c r="H762" s="11">
        <v>38553</v>
      </c>
      <c r="I762" s="10">
        <v>2005</v>
      </c>
      <c r="J762" s="10" t="s">
        <v>6353</v>
      </c>
      <c r="K762" s="10">
        <v>280</v>
      </c>
      <c r="L762" s="10" t="s">
        <v>9548</v>
      </c>
      <c r="M762" s="10">
        <v>1</v>
      </c>
      <c r="N762" s="10"/>
      <c r="O762" s="10"/>
      <c r="P762" s="10" t="s">
        <v>9549</v>
      </c>
      <c r="Q762" s="10">
        <v>372.6</v>
      </c>
      <c r="R762" s="10" t="s">
        <v>9550</v>
      </c>
      <c r="S762" s="10" t="s">
        <v>53</v>
      </c>
      <c r="T762" s="10" t="s">
        <v>54</v>
      </c>
    </row>
    <row r="763" spans="1:20" ht="14.5" x14ac:dyDescent="0.35">
      <c r="A763" s="10" t="s">
        <v>9551</v>
      </c>
      <c r="B763" s="10" t="str">
        <f>"9780805848397"</f>
        <v>9780805848397</v>
      </c>
      <c r="C763" s="10" t="str">
        <f>"9781410613417"</f>
        <v>9781410613417</v>
      </c>
      <c r="D763" s="10" t="s">
        <v>6350</v>
      </c>
      <c r="E763" s="10" t="s">
        <v>6351</v>
      </c>
      <c r="F763" s="10" t="s">
        <v>748</v>
      </c>
      <c r="G763" s="10" t="s">
        <v>6352</v>
      </c>
      <c r="H763" s="11">
        <v>38510</v>
      </c>
      <c r="I763" s="10">
        <v>2005</v>
      </c>
      <c r="J763" s="10" t="s">
        <v>6351</v>
      </c>
      <c r="K763" s="10">
        <v>246</v>
      </c>
      <c r="L763" s="10" t="s">
        <v>9552</v>
      </c>
      <c r="M763" s="10">
        <v>1</v>
      </c>
      <c r="N763" s="10"/>
      <c r="O763" s="10"/>
      <c r="P763" s="10" t="s">
        <v>9553</v>
      </c>
      <c r="Q763" s="10" t="s">
        <v>9554</v>
      </c>
      <c r="R763" s="10" t="s">
        <v>9555</v>
      </c>
      <c r="S763" s="10" t="s">
        <v>53</v>
      </c>
      <c r="T763" s="10" t="s">
        <v>6568</v>
      </c>
    </row>
    <row r="764" spans="1:20" ht="14.5" x14ac:dyDescent="0.35">
      <c r="A764" s="10" t="s">
        <v>9556</v>
      </c>
      <c r="B764" s="10" t="str">
        <f>"9780805848670"</f>
        <v>9780805848670</v>
      </c>
      <c r="C764" s="10" t="str">
        <f>"9781410613196"</f>
        <v>9781410613196</v>
      </c>
      <c r="D764" s="10" t="s">
        <v>6350</v>
      </c>
      <c r="E764" s="10" t="s">
        <v>6351</v>
      </c>
      <c r="F764" s="10" t="s">
        <v>4325</v>
      </c>
      <c r="G764" s="10" t="s">
        <v>6317</v>
      </c>
      <c r="H764" s="11">
        <v>38553</v>
      </c>
      <c r="I764" s="10">
        <v>2006</v>
      </c>
      <c r="J764" s="10" t="s">
        <v>6353</v>
      </c>
      <c r="K764" s="10">
        <v>321</v>
      </c>
      <c r="L764" s="10" t="s">
        <v>9557</v>
      </c>
      <c r="M764" s="10">
        <v>1</v>
      </c>
      <c r="N764" s="10"/>
      <c r="O764" s="10"/>
      <c r="P764" s="10" t="s">
        <v>9558</v>
      </c>
      <c r="Q764" s="10">
        <v>370.11700000000002</v>
      </c>
      <c r="R764" s="10" t="s">
        <v>9559</v>
      </c>
      <c r="S764" s="10" t="s">
        <v>53</v>
      </c>
      <c r="T764" s="10" t="s">
        <v>54</v>
      </c>
    </row>
    <row r="765" spans="1:20" ht="14.5" x14ac:dyDescent="0.35">
      <c r="A765" s="10" t="s">
        <v>9560</v>
      </c>
      <c r="B765" s="10" t="str">
        <f>"9780805849868"</f>
        <v>9780805849868</v>
      </c>
      <c r="C765" s="10" t="str">
        <f>"9781410613318"</f>
        <v>9781410613318</v>
      </c>
      <c r="D765" s="10" t="s">
        <v>6350</v>
      </c>
      <c r="E765" s="10" t="s">
        <v>6351</v>
      </c>
      <c r="F765" s="10" t="s">
        <v>4325</v>
      </c>
      <c r="G765" s="10" t="s">
        <v>6317</v>
      </c>
      <c r="H765" s="11">
        <v>38541</v>
      </c>
      <c r="I765" s="10">
        <v>2005</v>
      </c>
      <c r="J765" s="10" t="s">
        <v>6353</v>
      </c>
      <c r="K765" s="10">
        <v>588</v>
      </c>
      <c r="L765" s="10" t="s">
        <v>9561</v>
      </c>
      <c r="M765" s="10">
        <v>1</v>
      </c>
      <c r="N765" s="10"/>
      <c r="O765" s="10"/>
      <c r="P765" s="10" t="s">
        <v>9562</v>
      </c>
      <c r="Q765" s="10">
        <v>371.82900000000001</v>
      </c>
      <c r="R765" s="10" t="s">
        <v>9563</v>
      </c>
      <c r="S765" s="10" t="s">
        <v>53</v>
      </c>
      <c r="T765" s="10" t="s">
        <v>54</v>
      </c>
    </row>
    <row r="766" spans="1:20" ht="14.5" x14ac:dyDescent="0.35">
      <c r="A766" s="10" t="s">
        <v>9564</v>
      </c>
      <c r="B766" s="10" t="str">
        <f>"9780805851151"</f>
        <v>9780805851151</v>
      </c>
      <c r="C766" s="10" t="str">
        <f>"9781410613332"</f>
        <v>9781410613332</v>
      </c>
      <c r="D766" s="10" t="s">
        <v>6350</v>
      </c>
      <c r="E766" s="10" t="s">
        <v>6351</v>
      </c>
      <c r="F766" s="10" t="s">
        <v>748</v>
      </c>
      <c r="G766" s="10" t="s">
        <v>6352</v>
      </c>
      <c r="H766" s="11">
        <v>38541</v>
      </c>
      <c r="I766" s="10">
        <v>2006</v>
      </c>
      <c r="J766" s="10" t="s">
        <v>6351</v>
      </c>
      <c r="K766" s="10">
        <v>248</v>
      </c>
      <c r="L766" s="10" t="s">
        <v>9565</v>
      </c>
      <c r="M766" s="10">
        <v>1</v>
      </c>
      <c r="N766" s="10"/>
      <c r="O766" s="10"/>
      <c r="P766" s="10" t="s">
        <v>9566</v>
      </c>
      <c r="Q766" s="10" t="s">
        <v>9527</v>
      </c>
      <c r="R766" s="10" t="s">
        <v>9567</v>
      </c>
      <c r="S766" s="10" t="s">
        <v>53</v>
      </c>
      <c r="T766" s="10" t="s">
        <v>6526</v>
      </c>
    </row>
    <row r="767" spans="1:20" ht="14.5" x14ac:dyDescent="0.35">
      <c r="A767" s="10" t="s">
        <v>9568</v>
      </c>
      <c r="B767" s="10" t="str">
        <f>"9780805852295"</f>
        <v>9780805852295</v>
      </c>
      <c r="C767" s="10" t="str">
        <f>"9781410613301"</f>
        <v>9781410613301</v>
      </c>
      <c r="D767" s="10" t="s">
        <v>6350</v>
      </c>
      <c r="E767" s="10" t="s">
        <v>6351</v>
      </c>
      <c r="F767" s="10" t="s">
        <v>748</v>
      </c>
      <c r="G767" s="10" t="s">
        <v>6352</v>
      </c>
      <c r="H767" s="11">
        <v>38520</v>
      </c>
      <c r="I767" s="10">
        <v>2005</v>
      </c>
      <c r="J767" s="10" t="s">
        <v>6351</v>
      </c>
      <c r="K767" s="10">
        <v>463</v>
      </c>
      <c r="L767" s="10" t="s">
        <v>9569</v>
      </c>
      <c r="M767" s="10">
        <v>1</v>
      </c>
      <c r="N767" s="10"/>
      <c r="O767" s="10"/>
      <c r="P767" s="10" t="s">
        <v>9570</v>
      </c>
      <c r="Q767" s="10">
        <v>428.4</v>
      </c>
      <c r="R767" s="10" t="s">
        <v>9571</v>
      </c>
      <c r="S767" s="10" t="s">
        <v>53</v>
      </c>
      <c r="T767" s="10" t="s">
        <v>6634</v>
      </c>
    </row>
    <row r="768" spans="1:20" ht="14.5" x14ac:dyDescent="0.35">
      <c r="A768" s="10" t="s">
        <v>9572</v>
      </c>
      <c r="B768" s="10" t="str">
        <f>"9780805854572"</f>
        <v>9780805854572</v>
      </c>
      <c r="C768" s="10" t="str">
        <f>"9781410613912"</f>
        <v>9781410613912</v>
      </c>
      <c r="D768" s="10" t="s">
        <v>6350</v>
      </c>
      <c r="E768" s="10" t="s">
        <v>6351</v>
      </c>
      <c r="F768" s="10" t="s">
        <v>748</v>
      </c>
      <c r="G768" s="10" t="s">
        <v>6352</v>
      </c>
      <c r="H768" s="11">
        <v>38505</v>
      </c>
      <c r="I768" s="10">
        <v>2005</v>
      </c>
      <c r="J768" s="10" t="s">
        <v>6351</v>
      </c>
      <c r="K768" s="10">
        <v>474</v>
      </c>
      <c r="L768" s="10" t="s">
        <v>9573</v>
      </c>
      <c r="M768" s="10">
        <v>1</v>
      </c>
      <c r="N768" s="10"/>
      <c r="O768" s="10"/>
      <c r="P768" s="10" t="s">
        <v>9574</v>
      </c>
      <c r="Q768" s="10" t="s">
        <v>9575</v>
      </c>
      <c r="R768" s="10" t="s">
        <v>9576</v>
      </c>
      <c r="S768" s="10" t="s">
        <v>53</v>
      </c>
      <c r="T768" s="10" t="s">
        <v>54</v>
      </c>
    </row>
    <row r="769" spans="1:20" ht="14.5" x14ac:dyDescent="0.35">
      <c r="A769" s="10" t="s">
        <v>9577</v>
      </c>
      <c r="B769" s="10" t="str">
        <f>"9780253217097"</f>
        <v>9780253217097</v>
      </c>
      <c r="C769" s="10" t="str">
        <f>"9780253111265"</f>
        <v>9780253111265</v>
      </c>
      <c r="D769" s="10" t="s">
        <v>2455</v>
      </c>
      <c r="E769" s="10" t="s">
        <v>2455</v>
      </c>
      <c r="F769" s="10" t="s">
        <v>3101</v>
      </c>
      <c r="G769" s="10" t="s">
        <v>6317</v>
      </c>
      <c r="H769" s="11">
        <v>38245</v>
      </c>
      <c r="I769" s="10">
        <v>2004</v>
      </c>
      <c r="J769" s="10" t="s">
        <v>2455</v>
      </c>
      <c r="K769" s="10">
        <v>151</v>
      </c>
      <c r="L769" s="10" t="s">
        <v>9578</v>
      </c>
      <c r="M769" s="10">
        <v>1</v>
      </c>
      <c r="N769" s="10"/>
      <c r="O769" s="10"/>
      <c r="P769" s="10" t="s">
        <v>9579</v>
      </c>
      <c r="Q769" s="10">
        <v>378.12</v>
      </c>
      <c r="R769" s="10" t="s">
        <v>9580</v>
      </c>
      <c r="S769" s="10" t="s">
        <v>53</v>
      </c>
      <c r="T769" s="10" t="s">
        <v>54</v>
      </c>
    </row>
    <row r="770" spans="1:20" ht="14.5" x14ac:dyDescent="0.35">
      <c r="A770" s="10" t="s">
        <v>9581</v>
      </c>
      <c r="B770" s="10" t="str">
        <f>"9780253344663"</f>
        <v>9780253344663</v>
      </c>
      <c r="C770" s="10" t="str">
        <f>"9780253111319"</f>
        <v>9780253111319</v>
      </c>
      <c r="D770" s="10" t="s">
        <v>2455</v>
      </c>
      <c r="E770" s="10" t="s">
        <v>2455</v>
      </c>
      <c r="F770" s="10" t="s">
        <v>3101</v>
      </c>
      <c r="G770" s="10" t="s">
        <v>6317</v>
      </c>
      <c r="H770" s="11">
        <v>38398</v>
      </c>
      <c r="I770" s="10">
        <v>2005</v>
      </c>
      <c r="J770" s="10" t="s">
        <v>2455</v>
      </c>
      <c r="K770" s="10">
        <v>377</v>
      </c>
      <c r="L770" s="10" t="s">
        <v>9582</v>
      </c>
      <c r="M770" s="10">
        <v>1</v>
      </c>
      <c r="N770" s="10"/>
      <c r="O770" s="10"/>
      <c r="P770" s="10" t="s">
        <v>9583</v>
      </c>
      <c r="Q770" s="10" t="s">
        <v>9584</v>
      </c>
      <c r="R770" s="10" t="s">
        <v>9585</v>
      </c>
      <c r="S770" s="10" t="s">
        <v>53</v>
      </c>
      <c r="T770" s="10" t="s">
        <v>54</v>
      </c>
    </row>
    <row r="771" spans="1:20" ht="14.5" x14ac:dyDescent="0.35">
      <c r="A771" s="10" t="s">
        <v>9586</v>
      </c>
      <c r="B771" s="10" t="str">
        <f>"9781845449780"</f>
        <v>9781845449780</v>
      </c>
      <c r="C771" s="10" t="str">
        <f>"9781845449797"</f>
        <v>9781845449797</v>
      </c>
      <c r="D771" s="10" t="s">
        <v>8699</v>
      </c>
      <c r="E771" s="10" t="s">
        <v>8699</v>
      </c>
      <c r="F771" s="10" t="s">
        <v>1019</v>
      </c>
      <c r="G771" s="10" t="s">
        <v>6352</v>
      </c>
      <c r="H771" s="11">
        <v>38758</v>
      </c>
      <c r="I771" s="10">
        <v>2006</v>
      </c>
      <c r="J771" s="10" t="s">
        <v>115</v>
      </c>
      <c r="K771" s="10">
        <v>33</v>
      </c>
      <c r="L771" s="10" t="s">
        <v>9587</v>
      </c>
      <c r="M771" s="10">
        <v>1</v>
      </c>
      <c r="N771" s="10"/>
      <c r="O771" s="10"/>
      <c r="P771" s="10" t="s">
        <v>9588</v>
      </c>
      <c r="Q771" s="10">
        <v>28.1</v>
      </c>
      <c r="R771" s="10" t="s">
        <v>9589</v>
      </c>
      <c r="S771" s="10" t="s">
        <v>53</v>
      </c>
      <c r="T771" s="10" t="s">
        <v>9590</v>
      </c>
    </row>
    <row r="772" spans="1:20" ht="14.5" x14ac:dyDescent="0.35">
      <c r="A772" s="10" t="s">
        <v>9591</v>
      </c>
      <c r="B772" s="10" t="str">
        <f>"9780805843637"</f>
        <v>9780805843637</v>
      </c>
      <c r="C772" s="10" t="str">
        <f>"9781410615381"</f>
        <v>9781410615381</v>
      </c>
      <c r="D772" s="10" t="s">
        <v>6350</v>
      </c>
      <c r="E772" s="10" t="s">
        <v>6351</v>
      </c>
      <c r="F772" s="10" t="s">
        <v>4325</v>
      </c>
      <c r="G772" s="10" t="s">
        <v>6317</v>
      </c>
      <c r="H772" s="11">
        <v>38621</v>
      </c>
      <c r="I772" s="10">
        <v>2006</v>
      </c>
      <c r="J772" s="10" t="s">
        <v>6353</v>
      </c>
      <c r="K772" s="10">
        <v>231</v>
      </c>
      <c r="L772" s="10" t="s">
        <v>9592</v>
      </c>
      <c r="M772" s="10">
        <v>1</v>
      </c>
      <c r="N772" s="10" t="s">
        <v>9593</v>
      </c>
      <c r="O772" s="10"/>
      <c r="P772" s="10" t="s">
        <v>9594</v>
      </c>
      <c r="Q772" s="10">
        <v>372.61</v>
      </c>
      <c r="R772" s="10" t="s">
        <v>9595</v>
      </c>
      <c r="S772" s="10" t="s">
        <v>53</v>
      </c>
      <c r="T772" s="10" t="s">
        <v>54</v>
      </c>
    </row>
    <row r="773" spans="1:20" ht="14.5" x14ac:dyDescent="0.35">
      <c r="A773" s="10" t="s">
        <v>9596</v>
      </c>
      <c r="B773" s="10" t="str">
        <f>"9780873552721"</f>
        <v>9780873552721</v>
      </c>
      <c r="C773" s="10" t="str">
        <f>"9781933531991"</f>
        <v>9781933531991</v>
      </c>
      <c r="D773" s="10" t="s">
        <v>3386</v>
      </c>
      <c r="E773" s="10" t="s">
        <v>3386</v>
      </c>
      <c r="F773" s="10" t="s">
        <v>9597</v>
      </c>
      <c r="G773" s="10" t="s">
        <v>6317</v>
      </c>
      <c r="H773" s="11">
        <v>38718</v>
      </c>
      <c r="I773" s="10">
        <v>2006</v>
      </c>
      <c r="J773" s="10" t="s">
        <v>3386</v>
      </c>
      <c r="K773" s="10">
        <v>139</v>
      </c>
      <c r="L773" s="10" t="s">
        <v>9598</v>
      </c>
      <c r="M773" s="10">
        <v>1</v>
      </c>
      <c r="N773" s="10"/>
      <c r="O773" s="10"/>
      <c r="P773" s="10" t="s">
        <v>9599</v>
      </c>
      <c r="Q773" s="10" t="s">
        <v>9600</v>
      </c>
      <c r="R773" s="10" t="s">
        <v>9601</v>
      </c>
      <c r="S773" s="10" t="s">
        <v>53</v>
      </c>
      <c r="T773" s="10" t="s">
        <v>9602</v>
      </c>
    </row>
    <row r="774" spans="1:20" ht="14.5" x14ac:dyDescent="0.35">
      <c r="A774" s="10" t="s">
        <v>9603</v>
      </c>
      <c r="B774" s="10" t="str">
        <f>"9780873552714"</f>
        <v>9780873552714</v>
      </c>
      <c r="C774" s="10" t="str">
        <f>"9781933531960"</f>
        <v>9781933531960</v>
      </c>
      <c r="D774" s="10" t="s">
        <v>3386</v>
      </c>
      <c r="E774" s="10" t="s">
        <v>3386</v>
      </c>
      <c r="F774" s="10" t="s">
        <v>9597</v>
      </c>
      <c r="G774" s="10" t="s">
        <v>6317</v>
      </c>
      <c r="H774" s="11">
        <v>38718</v>
      </c>
      <c r="I774" s="10">
        <v>2006</v>
      </c>
      <c r="J774" s="10" t="s">
        <v>3386</v>
      </c>
      <c r="K774" s="10">
        <v>232</v>
      </c>
      <c r="L774" s="10" t="s">
        <v>9604</v>
      </c>
      <c r="M774" s="10">
        <v>1</v>
      </c>
      <c r="N774" s="10"/>
      <c r="O774" s="10"/>
      <c r="P774" s="10" t="s">
        <v>9605</v>
      </c>
      <c r="Q774" s="10" t="s">
        <v>9606</v>
      </c>
      <c r="R774" s="10" t="s">
        <v>9607</v>
      </c>
      <c r="S774" s="10" t="s">
        <v>53</v>
      </c>
      <c r="T774" s="10" t="s">
        <v>9608</v>
      </c>
    </row>
    <row r="775" spans="1:20" ht="14.5" x14ac:dyDescent="0.35">
      <c r="A775" s="10" t="s">
        <v>9609</v>
      </c>
      <c r="B775" s="10" t="str">
        <f>"9781933531014"</f>
        <v>9781933531014</v>
      </c>
      <c r="C775" s="10" t="str">
        <f>"9781933531953"</f>
        <v>9781933531953</v>
      </c>
      <c r="D775" s="10" t="s">
        <v>3386</v>
      </c>
      <c r="E775" s="10" t="s">
        <v>3386</v>
      </c>
      <c r="F775" s="10" t="s">
        <v>9597</v>
      </c>
      <c r="G775" s="10" t="s">
        <v>6317</v>
      </c>
      <c r="H775" s="11">
        <v>38718</v>
      </c>
      <c r="I775" s="10">
        <v>2006</v>
      </c>
      <c r="J775" s="10" t="s">
        <v>3386</v>
      </c>
      <c r="K775" s="10">
        <v>457</v>
      </c>
      <c r="L775" s="10" t="s">
        <v>9610</v>
      </c>
      <c r="M775" s="10">
        <v>1</v>
      </c>
      <c r="N775" s="10"/>
      <c r="O775" s="10"/>
      <c r="P775" s="10" t="s">
        <v>9611</v>
      </c>
      <c r="Q775" s="10">
        <v>372.35</v>
      </c>
      <c r="R775" s="10" t="s">
        <v>9612</v>
      </c>
      <c r="S775" s="10" t="s">
        <v>53</v>
      </c>
      <c r="T775" s="10" t="s">
        <v>54</v>
      </c>
    </row>
    <row r="776" spans="1:20" ht="14.5" x14ac:dyDescent="0.35">
      <c r="A776" s="10" t="s">
        <v>9613</v>
      </c>
      <c r="B776" s="10" t="str">
        <f>"9780873552660"</f>
        <v>9780873552660</v>
      </c>
      <c r="C776" s="10" t="str">
        <f>"9781933531946"</f>
        <v>9781933531946</v>
      </c>
      <c r="D776" s="10" t="s">
        <v>3386</v>
      </c>
      <c r="E776" s="10" t="s">
        <v>3386</v>
      </c>
      <c r="F776" s="10" t="s">
        <v>9597</v>
      </c>
      <c r="G776" s="10" t="s">
        <v>6317</v>
      </c>
      <c r="H776" s="11">
        <v>38985</v>
      </c>
      <c r="I776" s="10">
        <v>2006</v>
      </c>
      <c r="J776" s="10" t="s">
        <v>3386</v>
      </c>
      <c r="K776" s="10">
        <v>144</v>
      </c>
      <c r="L776" s="10" t="s">
        <v>9614</v>
      </c>
      <c r="M776" s="10">
        <v>1</v>
      </c>
      <c r="N776" s="10"/>
      <c r="O776" s="10"/>
      <c r="P776" s="10" t="s">
        <v>9615</v>
      </c>
      <c r="Q776" s="10" t="s">
        <v>9616</v>
      </c>
      <c r="R776" s="10" t="s">
        <v>9617</v>
      </c>
      <c r="S776" s="10" t="s">
        <v>53</v>
      </c>
      <c r="T776" s="10" t="s">
        <v>7193</v>
      </c>
    </row>
    <row r="777" spans="1:20" ht="14.5" x14ac:dyDescent="0.35">
      <c r="A777" s="10" t="s">
        <v>9618</v>
      </c>
      <c r="B777" s="10" t="str">
        <f>"9781933531007"</f>
        <v>9781933531007</v>
      </c>
      <c r="C777" s="10" t="str">
        <f>"9781933531939"</f>
        <v>9781933531939</v>
      </c>
      <c r="D777" s="10" t="s">
        <v>3386</v>
      </c>
      <c r="E777" s="10" t="s">
        <v>3386</v>
      </c>
      <c r="F777" s="10" t="s">
        <v>9597</v>
      </c>
      <c r="G777" s="10" t="s">
        <v>6317</v>
      </c>
      <c r="H777" s="11">
        <v>38718</v>
      </c>
      <c r="I777" s="10">
        <v>2006</v>
      </c>
      <c r="J777" s="10" t="s">
        <v>3386</v>
      </c>
      <c r="K777" s="10">
        <v>252</v>
      </c>
      <c r="L777" s="10" t="s">
        <v>9619</v>
      </c>
      <c r="M777" s="10">
        <v>1</v>
      </c>
      <c r="N777" s="10"/>
      <c r="O777" s="10"/>
      <c r="P777" s="10" t="s">
        <v>9620</v>
      </c>
      <c r="Q777" s="10" t="s">
        <v>9108</v>
      </c>
      <c r="R777" s="10" t="s">
        <v>9621</v>
      </c>
      <c r="S777" s="10" t="s">
        <v>53</v>
      </c>
      <c r="T777" s="10" t="s">
        <v>6800</v>
      </c>
    </row>
    <row r="778" spans="1:20" ht="14.5" x14ac:dyDescent="0.35">
      <c r="A778" s="10" t="s">
        <v>9622</v>
      </c>
      <c r="B778" s="10" t="str">
        <f>"9780521845540"</f>
        <v>9780521845540</v>
      </c>
      <c r="C778" s="10" t="str">
        <f>"9780511219108"</f>
        <v>9780511219108</v>
      </c>
      <c r="D778" s="10" t="s">
        <v>397</v>
      </c>
      <c r="E778" s="10" t="s">
        <v>397</v>
      </c>
      <c r="F778" s="10" t="s">
        <v>612</v>
      </c>
      <c r="G778" s="10" t="s">
        <v>6352</v>
      </c>
      <c r="H778" s="11">
        <v>38466</v>
      </c>
      <c r="I778" s="10">
        <v>2005</v>
      </c>
      <c r="J778" s="10" t="s">
        <v>397</v>
      </c>
      <c r="K778" s="10">
        <v>649</v>
      </c>
      <c r="L778" s="10" t="s">
        <v>9623</v>
      </c>
      <c r="M778" s="10">
        <v>1</v>
      </c>
      <c r="N778" s="10" t="s">
        <v>9624</v>
      </c>
      <c r="O778" s="10"/>
      <c r="P778" s="10" t="s">
        <v>9625</v>
      </c>
      <c r="Q778" s="10" t="s">
        <v>6942</v>
      </c>
      <c r="R778" s="10" t="s">
        <v>6832</v>
      </c>
      <c r="S778" s="10" t="s">
        <v>53</v>
      </c>
      <c r="T778" s="10" t="s">
        <v>54</v>
      </c>
    </row>
    <row r="779" spans="1:20" ht="14.5" x14ac:dyDescent="0.35">
      <c r="A779" s="10" t="s">
        <v>9626</v>
      </c>
      <c r="B779" s="10" t="str">
        <f>"9780805848939"</f>
        <v>9780805848939</v>
      </c>
      <c r="C779" s="10" t="str">
        <f>"9781410615619"</f>
        <v>9781410615619</v>
      </c>
      <c r="D779" s="10" t="s">
        <v>6350</v>
      </c>
      <c r="E779" s="10" t="s">
        <v>6351</v>
      </c>
      <c r="F779" s="10" t="s">
        <v>4325</v>
      </c>
      <c r="G779" s="10" t="s">
        <v>6317</v>
      </c>
      <c r="H779" s="11">
        <v>38603</v>
      </c>
      <c r="I779" s="10">
        <v>2005</v>
      </c>
      <c r="J779" s="10" t="s">
        <v>6353</v>
      </c>
      <c r="K779" s="10">
        <v>466</v>
      </c>
      <c r="L779" s="10" t="s">
        <v>9627</v>
      </c>
      <c r="M779" s="10">
        <v>1</v>
      </c>
      <c r="N779" s="10"/>
      <c r="O779" s="10"/>
      <c r="P779" s="10" t="s">
        <v>9628</v>
      </c>
      <c r="Q779" s="10">
        <v>372.83</v>
      </c>
      <c r="R779" s="10" t="s">
        <v>9629</v>
      </c>
      <c r="S779" s="10" t="s">
        <v>53</v>
      </c>
      <c r="T779" s="10" t="s">
        <v>54</v>
      </c>
    </row>
    <row r="780" spans="1:20" ht="14.5" x14ac:dyDescent="0.35">
      <c r="A780" s="10" t="s">
        <v>9630</v>
      </c>
      <c r="B780" s="10" t="str">
        <f>"9780805847734"</f>
        <v>9780805847734</v>
      </c>
      <c r="C780" s="10" t="str">
        <f>"9781410615664"</f>
        <v>9781410615664</v>
      </c>
      <c r="D780" s="10" t="s">
        <v>6350</v>
      </c>
      <c r="E780" s="10" t="s">
        <v>6351</v>
      </c>
      <c r="F780" s="10" t="s">
        <v>748</v>
      </c>
      <c r="G780" s="10" t="s">
        <v>6352</v>
      </c>
      <c r="H780" s="11">
        <v>38602</v>
      </c>
      <c r="I780" s="10">
        <v>2006</v>
      </c>
      <c r="J780" s="10" t="s">
        <v>6351</v>
      </c>
      <c r="K780" s="10">
        <v>267</v>
      </c>
      <c r="L780" s="10" t="s">
        <v>9631</v>
      </c>
      <c r="M780" s="10">
        <v>2</v>
      </c>
      <c r="N780" s="10"/>
      <c r="O780" s="10"/>
      <c r="P780" s="10" t="s">
        <v>9632</v>
      </c>
      <c r="Q780" s="10">
        <v>370.11750972999999</v>
      </c>
      <c r="R780" s="10" t="s">
        <v>9633</v>
      </c>
      <c r="S780" s="10" t="s">
        <v>53</v>
      </c>
      <c r="T780" s="10" t="s">
        <v>54</v>
      </c>
    </row>
    <row r="781" spans="1:20" ht="14.5" x14ac:dyDescent="0.35">
      <c r="A781" s="10" t="s">
        <v>9634</v>
      </c>
      <c r="B781" s="10" t="str">
        <f>"9780805850345"</f>
        <v>9780805850345</v>
      </c>
      <c r="C781" s="10" t="str">
        <f>"9781410613172"</f>
        <v>9781410613172</v>
      </c>
      <c r="D781" s="10" t="s">
        <v>6350</v>
      </c>
      <c r="E781" s="10" t="s">
        <v>6351</v>
      </c>
      <c r="F781" s="10" t="s">
        <v>4325</v>
      </c>
      <c r="G781" s="10" t="s">
        <v>6317</v>
      </c>
      <c r="H781" s="11">
        <v>38566</v>
      </c>
      <c r="I781" s="10">
        <v>2006</v>
      </c>
      <c r="J781" s="10" t="s">
        <v>6353</v>
      </c>
      <c r="K781" s="10">
        <v>305</v>
      </c>
      <c r="L781" s="10" t="s">
        <v>9635</v>
      </c>
      <c r="M781" s="10">
        <v>1</v>
      </c>
      <c r="N781" s="10"/>
      <c r="O781" s="10"/>
      <c r="P781" s="10" t="s">
        <v>9636</v>
      </c>
      <c r="Q781" s="10">
        <v>371.42200000000003</v>
      </c>
      <c r="R781" s="10" t="s">
        <v>9637</v>
      </c>
      <c r="S781" s="10" t="s">
        <v>53</v>
      </c>
      <c r="T781" s="10" t="s">
        <v>54</v>
      </c>
    </row>
    <row r="782" spans="1:20" ht="14.5" x14ac:dyDescent="0.35">
      <c r="A782" s="10" t="s">
        <v>9638</v>
      </c>
      <c r="B782" s="10" t="str">
        <f>"9780805827361"</f>
        <v>9780805827361</v>
      </c>
      <c r="C782" s="10" t="str">
        <f>"9781410613448"</f>
        <v>9781410613448</v>
      </c>
      <c r="D782" s="10" t="s">
        <v>6350</v>
      </c>
      <c r="E782" s="10" t="s">
        <v>6351</v>
      </c>
      <c r="F782" s="10" t="s">
        <v>748</v>
      </c>
      <c r="G782" s="10" t="s">
        <v>6352</v>
      </c>
      <c r="H782" s="11">
        <v>38520</v>
      </c>
      <c r="I782" s="10">
        <v>2005</v>
      </c>
      <c r="J782" s="10" t="s">
        <v>6351</v>
      </c>
      <c r="K782" s="10">
        <v>205</v>
      </c>
      <c r="L782" s="10" t="s">
        <v>9639</v>
      </c>
      <c r="M782" s="10">
        <v>1</v>
      </c>
      <c r="N782" s="10" t="s">
        <v>9640</v>
      </c>
      <c r="O782" s="10"/>
      <c r="P782" s="10" t="s">
        <v>9641</v>
      </c>
      <c r="Q782" s="10">
        <v>370.11700000000002</v>
      </c>
      <c r="R782" s="10" t="s">
        <v>9642</v>
      </c>
      <c r="S782" s="10" t="s">
        <v>53</v>
      </c>
      <c r="T782" s="10" t="s">
        <v>54</v>
      </c>
    </row>
    <row r="783" spans="1:20" ht="14.5" x14ac:dyDescent="0.35">
      <c r="A783" s="10" t="s">
        <v>9643</v>
      </c>
      <c r="B783" s="10" t="str">
        <f>"9780805852950"</f>
        <v>9780805852950</v>
      </c>
      <c r="C783" s="10" t="str">
        <f>"9781410613882"</f>
        <v>9781410613882</v>
      </c>
      <c r="D783" s="10" t="s">
        <v>6350</v>
      </c>
      <c r="E783" s="10" t="s">
        <v>6351</v>
      </c>
      <c r="F783" s="10" t="s">
        <v>4325</v>
      </c>
      <c r="G783" s="10" t="s">
        <v>6317</v>
      </c>
      <c r="H783" s="11">
        <v>38539</v>
      </c>
      <c r="I783" s="10">
        <v>2005</v>
      </c>
      <c r="J783" s="10" t="s">
        <v>6353</v>
      </c>
      <c r="K783" s="10">
        <v>432</v>
      </c>
      <c r="L783" s="10" t="s">
        <v>9644</v>
      </c>
      <c r="M783" s="10">
        <v>2</v>
      </c>
      <c r="N783" s="10"/>
      <c r="O783" s="10"/>
      <c r="P783" s="10" t="s">
        <v>9645</v>
      </c>
      <c r="Q783" s="10" t="s">
        <v>9646</v>
      </c>
      <c r="R783" s="10" t="s">
        <v>9647</v>
      </c>
      <c r="S783" s="10" t="s">
        <v>53</v>
      </c>
      <c r="T783" s="10" t="s">
        <v>54</v>
      </c>
    </row>
    <row r="784" spans="1:20" ht="14.5" x14ac:dyDescent="0.35">
      <c r="A784" s="10" t="s">
        <v>9648</v>
      </c>
      <c r="B784" s="10" t="str">
        <f>"9780253345783"</f>
        <v>9780253345783</v>
      </c>
      <c r="C784" s="10" t="str">
        <f>"9780253111258"</f>
        <v>9780253111258</v>
      </c>
      <c r="D784" s="10" t="s">
        <v>2455</v>
      </c>
      <c r="E784" s="10" t="s">
        <v>2455</v>
      </c>
      <c r="F784" s="10" t="s">
        <v>3101</v>
      </c>
      <c r="G784" s="10" t="s">
        <v>6317</v>
      </c>
      <c r="H784" s="11">
        <v>38476</v>
      </c>
      <c r="I784" s="10">
        <v>2005</v>
      </c>
      <c r="J784" s="10" t="s">
        <v>2455</v>
      </c>
      <c r="K784" s="10">
        <v>342</v>
      </c>
      <c r="L784" s="10" t="s">
        <v>9649</v>
      </c>
      <c r="M784" s="10">
        <v>1</v>
      </c>
      <c r="N784" s="10"/>
      <c r="O784" s="10"/>
      <c r="P784" s="10" t="s">
        <v>9650</v>
      </c>
      <c r="Q784" s="10" t="s">
        <v>9651</v>
      </c>
      <c r="R784" s="10" t="s">
        <v>9652</v>
      </c>
      <c r="S784" s="10" t="s">
        <v>53</v>
      </c>
      <c r="T784" s="10" t="s">
        <v>54</v>
      </c>
    </row>
    <row r="785" spans="1:20" ht="14.5" x14ac:dyDescent="0.35">
      <c r="A785" s="10" t="s">
        <v>9653</v>
      </c>
      <c r="B785" s="10" t="str">
        <f>"9781853598951"</f>
        <v>9781853598951</v>
      </c>
      <c r="C785" s="10" t="str">
        <f>"9781853598968"</f>
        <v>9781853598968</v>
      </c>
      <c r="D785" s="10" t="s">
        <v>8394</v>
      </c>
      <c r="E785" s="10" t="s">
        <v>8395</v>
      </c>
      <c r="F785" s="10" t="s">
        <v>8396</v>
      </c>
      <c r="G785" s="10" t="s">
        <v>6352</v>
      </c>
      <c r="H785" s="11">
        <v>38929</v>
      </c>
      <c r="I785" s="10">
        <v>2006</v>
      </c>
      <c r="J785" s="10" t="s">
        <v>8395</v>
      </c>
      <c r="K785" s="10">
        <v>342</v>
      </c>
      <c r="L785" s="10" t="s">
        <v>9654</v>
      </c>
      <c r="M785" s="10">
        <v>1</v>
      </c>
      <c r="N785" s="10" t="s">
        <v>9655</v>
      </c>
      <c r="O785" s="10">
        <v>2</v>
      </c>
      <c r="P785" s="10" t="s">
        <v>9656</v>
      </c>
      <c r="Q785" s="10">
        <v>370.11700000000002</v>
      </c>
      <c r="R785" s="10" t="s">
        <v>9657</v>
      </c>
      <c r="S785" s="10" t="s">
        <v>53</v>
      </c>
      <c r="T785" s="10" t="s">
        <v>54</v>
      </c>
    </row>
    <row r="786" spans="1:20" ht="14.5" x14ac:dyDescent="0.35">
      <c r="A786" s="10" t="s">
        <v>9658</v>
      </c>
      <c r="B786" s="10" t="str">
        <f>"9781586035044"</f>
        <v>9781586035044</v>
      </c>
      <c r="C786" s="10" t="str">
        <f>"9781607501114"</f>
        <v>9781607501114</v>
      </c>
      <c r="D786" s="10" t="s">
        <v>9659</v>
      </c>
      <c r="E786" s="10" t="s">
        <v>9660</v>
      </c>
      <c r="F786" s="10" t="s">
        <v>1818</v>
      </c>
      <c r="G786" s="10" t="s">
        <v>9233</v>
      </c>
      <c r="H786" s="11">
        <v>38534</v>
      </c>
      <c r="I786" s="10">
        <v>2005</v>
      </c>
      <c r="J786" s="10" t="s">
        <v>9660</v>
      </c>
      <c r="K786" s="10">
        <v>244</v>
      </c>
      <c r="L786" s="10" t="s">
        <v>9661</v>
      </c>
      <c r="M786" s="10">
        <v>1</v>
      </c>
      <c r="N786" s="10" t="s">
        <v>9662</v>
      </c>
      <c r="O786" s="10">
        <v>47</v>
      </c>
      <c r="P786" s="10" t="s">
        <v>9663</v>
      </c>
      <c r="Q786" s="10">
        <v>507</v>
      </c>
      <c r="R786" s="10" t="s">
        <v>9664</v>
      </c>
      <c r="S786" s="10" t="s">
        <v>53</v>
      </c>
      <c r="T786" s="10" t="s">
        <v>9608</v>
      </c>
    </row>
    <row r="787" spans="1:20" ht="14.5" x14ac:dyDescent="0.35">
      <c r="A787" s="10" t="s">
        <v>9665</v>
      </c>
      <c r="B787" s="10" t="str">
        <f>"9781586035303"</f>
        <v>9781586035303</v>
      </c>
      <c r="C787" s="10" t="str">
        <f>"9781607501206"</f>
        <v>9781607501206</v>
      </c>
      <c r="D787" s="10" t="s">
        <v>9659</v>
      </c>
      <c r="E787" s="10" t="s">
        <v>9660</v>
      </c>
      <c r="F787" s="10" t="s">
        <v>1818</v>
      </c>
      <c r="G787" s="10" t="s">
        <v>9233</v>
      </c>
      <c r="H787" s="11">
        <v>38534</v>
      </c>
      <c r="I787" s="10">
        <v>2005</v>
      </c>
      <c r="J787" s="10" t="s">
        <v>9660</v>
      </c>
      <c r="K787" s="10">
        <v>1040</v>
      </c>
      <c r="L787" s="10" t="s">
        <v>9666</v>
      </c>
      <c r="M787" s="10">
        <v>1</v>
      </c>
      <c r="N787" s="10" t="s">
        <v>9667</v>
      </c>
      <c r="O787" s="10">
        <v>125</v>
      </c>
      <c r="P787" s="10" t="s">
        <v>9668</v>
      </c>
      <c r="Q787" s="10"/>
      <c r="R787" s="10" t="s">
        <v>9669</v>
      </c>
      <c r="S787" s="10" t="s">
        <v>53</v>
      </c>
      <c r="T787" s="10" t="s">
        <v>54</v>
      </c>
    </row>
    <row r="788" spans="1:20" ht="14.5" x14ac:dyDescent="0.35">
      <c r="A788" s="10" t="s">
        <v>9670</v>
      </c>
      <c r="B788" s="10" t="str">
        <f>"9781586035341"</f>
        <v>9781586035341</v>
      </c>
      <c r="C788" s="10" t="str">
        <f>"9781607501237"</f>
        <v>9781607501237</v>
      </c>
      <c r="D788" s="10" t="s">
        <v>9659</v>
      </c>
      <c r="E788" s="10" t="s">
        <v>9660</v>
      </c>
      <c r="F788" s="10" t="s">
        <v>1818</v>
      </c>
      <c r="G788" s="10" t="s">
        <v>9233</v>
      </c>
      <c r="H788" s="11">
        <v>38534</v>
      </c>
      <c r="I788" s="10">
        <v>2005</v>
      </c>
      <c r="J788" s="10" t="s">
        <v>9660</v>
      </c>
      <c r="K788" s="10">
        <v>252</v>
      </c>
      <c r="L788" s="10" t="s">
        <v>9671</v>
      </c>
      <c r="M788" s="10">
        <v>1</v>
      </c>
      <c r="N788" s="10" t="s">
        <v>9667</v>
      </c>
      <c r="O788" s="10">
        <v>127</v>
      </c>
      <c r="P788" s="10" t="s">
        <v>9672</v>
      </c>
      <c r="Q788" s="10">
        <v>371.39445000000001</v>
      </c>
      <c r="R788" s="10" t="s">
        <v>9673</v>
      </c>
      <c r="S788" s="10" t="s">
        <v>53</v>
      </c>
      <c r="T788" s="10" t="s">
        <v>54</v>
      </c>
    </row>
    <row r="789" spans="1:20" ht="14.5" x14ac:dyDescent="0.35">
      <c r="A789" s="10" t="s">
        <v>9674</v>
      </c>
      <c r="B789" s="10" t="str">
        <f>"9781586035587"</f>
        <v>9781586035587</v>
      </c>
      <c r="C789" s="10" t="str">
        <f>"9781607501411"</f>
        <v>9781607501411</v>
      </c>
      <c r="D789" s="10" t="s">
        <v>9659</v>
      </c>
      <c r="E789" s="10" t="s">
        <v>9660</v>
      </c>
      <c r="F789" s="10" t="s">
        <v>1818</v>
      </c>
      <c r="G789" s="10" t="s">
        <v>9233</v>
      </c>
      <c r="H789" s="11">
        <v>38534</v>
      </c>
      <c r="I789" s="10">
        <v>2005</v>
      </c>
      <c r="J789" s="10" t="s">
        <v>9660</v>
      </c>
      <c r="K789" s="10">
        <v>204</v>
      </c>
      <c r="L789" s="10" t="s">
        <v>9675</v>
      </c>
      <c r="M789" s="10">
        <v>1</v>
      </c>
      <c r="N789" s="10" t="s">
        <v>9676</v>
      </c>
      <c r="O789" s="10">
        <v>4</v>
      </c>
      <c r="P789" s="10" t="s">
        <v>9677</v>
      </c>
      <c r="Q789" s="10">
        <v>618.92852100000005</v>
      </c>
      <c r="R789" s="10" t="s">
        <v>9678</v>
      </c>
      <c r="S789" s="10" t="s">
        <v>53</v>
      </c>
      <c r="T789" s="10" t="s">
        <v>9679</v>
      </c>
    </row>
    <row r="790" spans="1:20" ht="14.5" x14ac:dyDescent="0.35">
      <c r="A790" s="10" t="s">
        <v>9680</v>
      </c>
      <c r="B790" s="10" t="str">
        <f>"9780889368934"</f>
        <v>9780889368934</v>
      </c>
      <c r="C790" s="10" t="str">
        <f>"9781552500453"</f>
        <v>9781552500453</v>
      </c>
      <c r="D790" s="10" t="s">
        <v>9681</v>
      </c>
      <c r="E790" s="10" t="s">
        <v>9682</v>
      </c>
      <c r="F790" s="10" t="s">
        <v>914</v>
      </c>
      <c r="G790" s="10" t="s">
        <v>9536</v>
      </c>
      <c r="H790" s="11">
        <v>36161</v>
      </c>
      <c r="I790" s="10">
        <v>1999</v>
      </c>
      <c r="J790" s="10" t="s">
        <v>9681</v>
      </c>
      <c r="K790" s="10">
        <v>308</v>
      </c>
      <c r="L790" s="10" t="s">
        <v>9683</v>
      </c>
      <c r="M790" s="10"/>
      <c r="N790" s="10"/>
      <c r="O790" s="10"/>
      <c r="P790" s="10" t="s">
        <v>9684</v>
      </c>
      <c r="Q790" s="10">
        <v>378.01609710000002</v>
      </c>
      <c r="R790" s="10" t="s">
        <v>9685</v>
      </c>
      <c r="S790" s="10" t="s">
        <v>53</v>
      </c>
      <c r="T790" s="10" t="s">
        <v>54</v>
      </c>
    </row>
    <row r="791" spans="1:20" ht="14.5" x14ac:dyDescent="0.35">
      <c r="A791" s="10" t="s">
        <v>9686</v>
      </c>
      <c r="B791" s="10" t="str">
        <f>"9780521824033"</f>
        <v>9780521824033</v>
      </c>
      <c r="C791" s="10" t="str">
        <f>"9780511211621"</f>
        <v>9780511211621</v>
      </c>
      <c r="D791" s="10" t="s">
        <v>397</v>
      </c>
      <c r="E791" s="10" t="s">
        <v>397</v>
      </c>
      <c r="F791" s="10" t="s">
        <v>612</v>
      </c>
      <c r="G791" s="10" t="s">
        <v>6352</v>
      </c>
      <c r="H791" s="11">
        <v>38134</v>
      </c>
      <c r="I791" s="10">
        <v>2004</v>
      </c>
      <c r="J791" s="10" t="s">
        <v>397</v>
      </c>
      <c r="K791" s="10">
        <v>451</v>
      </c>
      <c r="L791" s="10" t="s">
        <v>9687</v>
      </c>
      <c r="M791" s="10">
        <v>1</v>
      </c>
      <c r="N791" s="10"/>
      <c r="O791" s="10"/>
      <c r="P791" s="10" t="s">
        <v>9688</v>
      </c>
      <c r="Q791" s="10">
        <v>468.24209999999999</v>
      </c>
      <c r="R791" s="10" t="s">
        <v>9689</v>
      </c>
      <c r="S791" s="10" t="s">
        <v>53</v>
      </c>
      <c r="T791" s="10" t="s">
        <v>6616</v>
      </c>
    </row>
    <row r="792" spans="1:20" ht="14.5" x14ac:dyDescent="0.35">
      <c r="A792" s="10" t="s">
        <v>9690</v>
      </c>
      <c r="B792" s="10" t="str">
        <f>"9780521831055"</f>
        <v>9780521831055</v>
      </c>
      <c r="C792" s="10" t="str">
        <f>"9780511211768"</f>
        <v>9780511211768</v>
      </c>
      <c r="D792" s="10" t="s">
        <v>397</v>
      </c>
      <c r="E792" s="10" t="s">
        <v>397</v>
      </c>
      <c r="F792" s="10" t="s">
        <v>612</v>
      </c>
      <c r="G792" s="10" t="s">
        <v>6352</v>
      </c>
      <c r="H792" s="11">
        <v>38229</v>
      </c>
      <c r="I792" s="10">
        <v>2004</v>
      </c>
      <c r="J792" s="10" t="s">
        <v>397</v>
      </c>
      <c r="K792" s="10">
        <v>364</v>
      </c>
      <c r="L792" s="10" t="s">
        <v>9691</v>
      </c>
      <c r="M792" s="10">
        <v>1</v>
      </c>
      <c r="N792" s="10" t="s">
        <v>8349</v>
      </c>
      <c r="O792" s="10"/>
      <c r="P792" s="10" t="s">
        <v>9692</v>
      </c>
      <c r="Q792" s="10">
        <v>302.2244</v>
      </c>
      <c r="R792" s="10" t="s">
        <v>9433</v>
      </c>
      <c r="S792" s="10" t="s">
        <v>53</v>
      </c>
      <c r="T792" s="10" t="s">
        <v>6472</v>
      </c>
    </row>
    <row r="793" spans="1:20" ht="14.5" x14ac:dyDescent="0.35">
      <c r="A793" s="10" t="s">
        <v>9693</v>
      </c>
      <c r="B793" s="10" t="str">
        <f>"9780521836197"</f>
        <v>9780521836197</v>
      </c>
      <c r="C793" s="10" t="str">
        <f>"9780511210778"</f>
        <v>9780511210778</v>
      </c>
      <c r="D793" s="10" t="s">
        <v>397</v>
      </c>
      <c r="E793" s="10" t="s">
        <v>397</v>
      </c>
      <c r="F793" s="10" t="s">
        <v>612</v>
      </c>
      <c r="G793" s="10" t="s">
        <v>6352</v>
      </c>
      <c r="H793" s="11">
        <v>38225</v>
      </c>
      <c r="I793" s="10">
        <v>2004</v>
      </c>
      <c r="J793" s="10" t="s">
        <v>397</v>
      </c>
      <c r="K793" s="10">
        <v>188</v>
      </c>
      <c r="L793" s="10" t="s">
        <v>9694</v>
      </c>
      <c r="M793" s="10">
        <v>1</v>
      </c>
      <c r="N793" s="10"/>
      <c r="O793" s="10"/>
      <c r="P793" s="10" t="s">
        <v>9695</v>
      </c>
      <c r="Q793" s="10" t="s">
        <v>9696</v>
      </c>
      <c r="R793" s="10" t="s">
        <v>9697</v>
      </c>
      <c r="S793" s="10" t="s">
        <v>53</v>
      </c>
      <c r="T793" s="10" t="s">
        <v>483</v>
      </c>
    </row>
    <row r="794" spans="1:20" ht="14.5" x14ac:dyDescent="0.35">
      <c r="A794" s="10" t="s">
        <v>9698</v>
      </c>
      <c r="B794" s="10" t="str">
        <f>"9781845449568"</f>
        <v>9781845449568</v>
      </c>
      <c r="C794" s="10" t="str">
        <f>"9781845449575"</f>
        <v>9781845449575</v>
      </c>
      <c r="D794" s="10" t="s">
        <v>8699</v>
      </c>
      <c r="E794" s="10" t="s">
        <v>8699</v>
      </c>
      <c r="F794" s="10" t="s">
        <v>1019</v>
      </c>
      <c r="G794" s="10" t="s">
        <v>6352</v>
      </c>
      <c r="H794" s="11">
        <v>38814</v>
      </c>
      <c r="I794" s="10">
        <v>2006</v>
      </c>
      <c r="J794" s="10" t="s">
        <v>115</v>
      </c>
      <c r="K794" s="10">
        <v>69</v>
      </c>
      <c r="L794" s="10" t="s">
        <v>9699</v>
      </c>
      <c r="M794" s="10">
        <v>1</v>
      </c>
      <c r="N794" s="10" t="s">
        <v>9700</v>
      </c>
      <c r="O794" s="10"/>
      <c r="P794" s="10" t="s">
        <v>9701</v>
      </c>
      <c r="Q794" s="10" t="s">
        <v>9702</v>
      </c>
      <c r="R794" s="10" t="s">
        <v>9703</v>
      </c>
      <c r="S794" s="10" t="s">
        <v>53</v>
      </c>
      <c r="T794" s="10" t="s">
        <v>54</v>
      </c>
    </row>
    <row r="795" spans="1:20" ht="14.5" x14ac:dyDescent="0.35">
      <c r="A795" s="10" t="s">
        <v>9704</v>
      </c>
      <c r="B795" s="10" t="str">
        <f>"9781845449360"</f>
        <v>9781845449360</v>
      </c>
      <c r="C795" s="10" t="str">
        <f>"9781845449377"</f>
        <v>9781845449377</v>
      </c>
      <c r="D795" s="10" t="s">
        <v>8699</v>
      </c>
      <c r="E795" s="10" t="s">
        <v>8699</v>
      </c>
      <c r="F795" s="10" t="s">
        <v>1019</v>
      </c>
      <c r="G795" s="10" t="s">
        <v>6352</v>
      </c>
      <c r="H795" s="11">
        <v>38842</v>
      </c>
      <c r="I795" s="10">
        <v>2006</v>
      </c>
      <c r="J795" s="10" t="s">
        <v>115</v>
      </c>
      <c r="K795" s="10">
        <v>129</v>
      </c>
      <c r="L795" s="10" t="s">
        <v>9705</v>
      </c>
      <c r="M795" s="10">
        <v>1</v>
      </c>
      <c r="N795" s="10" t="s">
        <v>9706</v>
      </c>
      <c r="O795" s="10"/>
      <c r="P795" s="10" t="s">
        <v>9707</v>
      </c>
      <c r="Q795" s="10">
        <v>370.15230000000003</v>
      </c>
      <c r="R795" s="10" t="s">
        <v>9708</v>
      </c>
      <c r="S795" s="10" t="s">
        <v>53</v>
      </c>
      <c r="T795" s="10" t="s">
        <v>54</v>
      </c>
    </row>
    <row r="796" spans="1:20" ht="14.5" x14ac:dyDescent="0.35">
      <c r="A796" s="10" t="s">
        <v>9709</v>
      </c>
      <c r="B796" s="10" t="str">
        <f>"9781846630064"</f>
        <v>9781846630064</v>
      </c>
      <c r="C796" s="10" t="str">
        <f>"9781846630071"</f>
        <v>9781846630071</v>
      </c>
      <c r="D796" s="10" t="s">
        <v>8699</v>
      </c>
      <c r="E796" s="10" t="s">
        <v>8699</v>
      </c>
      <c r="F796" s="10" t="s">
        <v>1019</v>
      </c>
      <c r="G796" s="10" t="s">
        <v>6352</v>
      </c>
      <c r="H796" s="11">
        <v>38856</v>
      </c>
      <c r="I796" s="10">
        <v>2006</v>
      </c>
      <c r="J796" s="10" t="s">
        <v>115</v>
      </c>
      <c r="K796" s="10">
        <v>105</v>
      </c>
      <c r="L796" s="10" t="s">
        <v>9710</v>
      </c>
      <c r="M796" s="10">
        <v>1</v>
      </c>
      <c r="N796" s="10" t="s">
        <v>9711</v>
      </c>
      <c r="O796" s="10"/>
      <c r="P796" s="10" t="s">
        <v>9712</v>
      </c>
      <c r="Q796" s="10">
        <v>371.20071100000001</v>
      </c>
      <c r="R796" s="10" t="s">
        <v>9713</v>
      </c>
      <c r="S796" s="10" t="s">
        <v>53</v>
      </c>
      <c r="T796" s="10" t="s">
        <v>54</v>
      </c>
    </row>
    <row r="797" spans="1:20" ht="14.5" x14ac:dyDescent="0.35">
      <c r="A797" s="10" t="s">
        <v>9714</v>
      </c>
      <c r="B797" s="10" t="str">
        <f>"9781846630507"</f>
        <v>9781846630507</v>
      </c>
      <c r="C797" s="10" t="str">
        <f>"9781846630514"</f>
        <v>9781846630514</v>
      </c>
      <c r="D797" s="10" t="s">
        <v>8699</v>
      </c>
      <c r="E797" s="10" t="s">
        <v>8699</v>
      </c>
      <c r="F797" s="10" t="s">
        <v>1019</v>
      </c>
      <c r="G797" s="10" t="s">
        <v>6352</v>
      </c>
      <c r="H797" s="11">
        <v>38898</v>
      </c>
      <c r="I797" s="10">
        <v>2006</v>
      </c>
      <c r="J797" s="10" t="s">
        <v>115</v>
      </c>
      <c r="K797" s="10">
        <v>129</v>
      </c>
      <c r="L797" s="10" t="s">
        <v>9715</v>
      </c>
      <c r="M797" s="10">
        <v>1</v>
      </c>
      <c r="N797" s="10" t="s">
        <v>9716</v>
      </c>
      <c r="O797" s="10"/>
      <c r="P797" s="10" t="s">
        <v>9717</v>
      </c>
      <c r="Q797" s="10" t="s">
        <v>8748</v>
      </c>
      <c r="R797" s="10" t="s">
        <v>9718</v>
      </c>
      <c r="S797" s="10" t="s">
        <v>53</v>
      </c>
      <c r="T797" s="10" t="s">
        <v>54</v>
      </c>
    </row>
    <row r="798" spans="1:20" ht="14.5" x14ac:dyDescent="0.35">
      <c r="A798" s="10" t="s">
        <v>9719</v>
      </c>
      <c r="B798" s="10" t="str">
        <f>"9781846630460"</f>
        <v>9781846630460</v>
      </c>
      <c r="C798" s="10" t="str">
        <f>"9781846630477"</f>
        <v>9781846630477</v>
      </c>
      <c r="D798" s="10" t="s">
        <v>8699</v>
      </c>
      <c r="E798" s="10" t="s">
        <v>8699</v>
      </c>
      <c r="F798" s="10" t="s">
        <v>1019</v>
      </c>
      <c r="G798" s="10" t="s">
        <v>6352</v>
      </c>
      <c r="H798" s="11">
        <v>38863</v>
      </c>
      <c r="I798" s="10">
        <v>2006</v>
      </c>
      <c r="J798" s="10" t="s">
        <v>115</v>
      </c>
      <c r="K798" s="10">
        <v>63</v>
      </c>
      <c r="L798" s="10" t="s">
        <v>9720</v>
      </c>
      <c r="M798" s="10">
        <v>1</v>
      </c>
      <c r="N798" s="10" t="s">
        <v>9721</v>
      </c>
      <c r="O798" s="10"/>
      <c r="P798" s="10" t="s">
        <v>9722</v>
      </c>
      <c r="Q798" s="10">
        <v>28.1</v>
      </c>
      <c r="R798" s="10" t="s">
        <v>9723</v>
      </c>
      <c r="S798" s="10" t="s">
        <v>53</v>
      </c>
      <c r="T798" s="10" t="s">
        <v>9590</v>
      </c>
    </row>
    <row r="799" spans="1:20" ht="14.5" x14ac:dyDescent="0.35">
      <c r="A799" s="10" t="s">
        <v>9724</v>
      </c>
      <c r="B799" s="10" t="str">
        <f>"9781586034108"</f>
        <v>9781586034108</v>
      </c>
      <c r="C799" s="10" t="str">
        <f>"9781601293985"</f>
        <v>9781601293985</v>
      </c>
      <c r="D799" s="10" t="s">
        <v>9659</v>
      </c>
      <c r="E799" s="10" t="s">
        <v>9660</v>
      </c>
      <c r="F799" s="10" t="s">
        <v>1818</v>
      </c>
      <c r="G799" s="10" t="s">
        <v>9233</v>
      </c>
      <c r="H799" s="11">
        <v>38096</v>
      </c>
      <c r="I799" s="10">
        <v>2004</v>
      </c>
      <c r="J799" s="10" t="s">
        <v>9659</v>
      </c>
      <c r="K799" s="10">
        <v>287</v>
      </c>
      <c r="L799" s="10" t="s">
        <v>9725</v>
      </c>
      <c r="M799" s="10">
        <v>1</v>
      </c>
      <c r="N799" s="10"/>
      <c r="O799" s="10"/>
      <c r="P799" s="10" t="s">
        <v>9726</v>
      </c>
      <c r="Q799" s="10">
        <v>370.15</v>
      </c>
      <c r="R799" s="10" t="s">
        <v>9727</v>
      </c>
      <c r="S799" s="10" t="s">
        <v>53</v>
      </c>
      <c r="T799" s="10" t="s">
        <v>54</v>
      </c>
    </row>
    <row r="800" spans="1:20" ht="14.5" x14ac:dyDescent="0.35">
      <c r="A800" s="10" t="s">
        <v>9728</v>
      </c>
      <c r="B800" s="10" t="str">
        <f>"9781586033415"</f>
        <v>9781586033415</v>
      </c>
      <c r="C800" s="10" t="str">
        <f>"9781601294012"</f>
        <v>9781601294012</v>
      </c>
      <c r="D800" s="10" t="s">
        <v>9659</v>
      </c>
      <c r="E800" s="10" t="s">
        <v>9660</v>
      </c>
      <c r="F800" s="10" t="s">
        <v>1818</v>
      </c>
      <c r="G800" s="10" t="s">
        <v>9233</v>
      </c>
      <c r="H800" s="11">
        <v>37757</v>
      </c>
      <c r="I800" s="10">
        <v>2003</v>
      </c>
      <c r="J800" s="10" t="s">
        <v>9659</v>
      </c>
      <c r="K800" s="10">
        <v>438</v>
      </c>
      <c r="L800" s="10" t="s">
        <v>9729</v>
      </c>
      <c r="M800" s="10">
        <v>1</v>
      </c>
      <c r="N800" s="10" t="s">
        <v>9730</v>
      </c>
      <c r="O800" s="10">
        <v>190</v>
      </c>
      <c r="P800" s="10" t="s">
        <v>9731</v>
      </c>
      <c r="Q800" s="10" t="s">
        <v>9732</v>
      </c>
      <c r="R800" s="10" t="s">
        <v>9733</v>
      </c>
      <c r="S800" s="10" t="s">
        <v>53</v>
      </c>
      <c r="T800" s="10" t="s">
        <v>9734</v>
      </c>
    </row>
    <row r="801" spans="1:20" ht="14.5" x14ac:dyDescent="0.35">
      <c r="A801" s="10" t="s">
        <v>9735</v>
      </c>
      <c r="B801" s="10" t="str">
        <f>"9781586033569"</f>
        <v>9781586033569</v>
      </c>
      <c r="C801" s="10" t="str">
        <f>"9781601294050"</f>
        <v>9781601294050</v>
      </c>
      <c r="D801" s="10" t="s">
        <v>9659</v>
      </c>
      <c r="E801" s="10" t="s">
        <v>9660</v>
      </c>
      <c r="F801" s="10" t="s">
        <v>1818</v>
      </c>
      <c r="G801" s="10" t="s">
        <v>9233</v>
      </c>
      <c r="H801" s="11">
        <v>37782</v>
      </c>
      <c r="I801" s="10">
        <v>2003</v>
      </c>
      <c r="J801" s="10" t="s">
        <v>9659</v>
      </c>
      <c r="K801" s="10">
        <v>560</v>
      </c>
      <c r="L801" s="10" t="s">
        <v>9736</v>
      </c>
      <c r="M801" s="10">
        <v>1</v>
      </c>
      <c r="N801" s="10"/>
      <c r="O801" s="10"/>
      <c r="P801" s="10" t="s">
        <v>9737</v>
      </c>
      <c r="Q801" s="10">
        <v>371.33463</v>
      </c>
      <c r="R801" s="10" t="s">
        <v>9738</v>
      </c>
      <c r="S801" s="10" t="s">
        <v>53</v>
      </c>
      <c r="T801" s="10" t="s">
        <v>54</v>
      </c>
    </row>
    <row r="802" spans="1:20" ht="14.5" x14ac:dyDescent="0.35">
      <c r="A802" s="10" t="s">
        <v>9739</v>
      </c>
      <c r="B802" s="10" t="str">
        <f>"9789051994520"</f>
        <v>9789051994520</v>
      </c>
      <c r="C802" s="10" t="str">
        <f>"9781601294067"</f>
        <v>9781601294067</v>
      </c>
      <c r="D802" s="10" t="s">
        <v>9659</v>
      </c>
      <c r="E802" s="10" t="s">
        <v>9660</v>
      </c>
      <c r="F802" s="10" t="s">
        <v>1818</v>
      </c>
      <c r="G802" s="10" t="s">
        <v>9233</v>
      </c>
      <c r="H802" s="11">
        <v>36161</v>
      </c>
      <c r="I802" s="10">
        <v>1999</v>
      </c>
      <c r="J802" s="10" t="s">
        <v>9659</v>
      </c>
      <c r="K802" s="10">
        <v>820</v>
      </c>
      <c r="L802" s="10" t="s">
        <v>9740</v>
      </c>
      <c r="M802" s="10">
        <v>1</v>
      </c>
      <c r="N802" s="10"/>
      <c r="O802" s="10"/>
      <c r="P802" s="10" t="s">
        <v>9741</v>
      </c>
      <c r="Q802" s="10">
        <v>371.33463</v>
      </c>
      <c r="R802" s="10" t="s">
        <v>9742</v>
      </c>
      <c r="S802" s="10" t="s">
        <v>53</v>
      </c>
      <c r="T802" s="10" t="s">
        <v>54</v>
      </c>
    </row>
    <row r="803" spans="1:20" ht="14.5" x14ac:dyDescent="0.35">
      <c r="A803" s="10" t="s">
        <v>9743</v>
      </c>
      <c r="B803" s="10" t="str">
        <f>"9781586033088"</f>
        <v>9781586033088</v>
      </c>
      <c r="C803" s="10" t="str">
        <f>"9781601294593"</f>
        <v>9781601294593</v>
      </c>
      <c r="D803" s="10" t="s">
        <v>9659</v>
      </c>
      <c r="E803" s="10" t="s">
        <v>9660</v>
      </c>
      <c r="F803" s="10" t="s">
        <v>1818</v>
      </c>
      <c r="G803" s="10" t="s">
        <v>9233</v>
      </c>
      <c r="H803" s="11">
        <v>37651</v>
      </c>
      <c r="I803" s="10">
        <v>2003</v>
      </c>
      <c r="J803" s="10" t="s">
        <v>9659</v>
      </c>
      <c r="K803" s="10">
        <v>314</v>
      </c>
      <c r="L803" s="10" t="s">
        <v>9744</v>
      </c>
      <c r="M803" s="10">
        <v>1</v>
      </c>
      <c r="N803" s="10" t="s">
        <v>9745</v>
      </c>
      <c r="O803" s="10">
        <v>38</v>
      </c>
      <c r="P803" s="10" t="s">
        <v>9746</v>
      </c>
      <c r="Q803" s="10" t="s">
        <v>9108</v>
      </c>
      <c r="R803" s="10" t="s">
        <v>9747</v>
      </c>
      <c r="S803" s="10" t="s">
        <v>53</v>
      </c>
      <c r="T803" s="10" t="s">
        <v>9608</v>
      </c>
    </row>
    <row r="804" spans="1:20" ht="14.5" x14ac:dyDescent="0.35">
      <c r="A804" s="10" t="s">
        <v>9748</v>
      </c>
      <c r="B804" s="10" t="str">
        <f>"9781586033194"</f>
        <v>9781586033194</v>
      </c>
      <c r="C804" s="10" t="str">
        <f>"9781601294661"</f>
        <v>9781601294661</v>
      </c>
      <c r="D804" s="10" t="s">
        <v>9659</v>
      </c>
      <c r="E804" s="10" t="s">
        <v>9660</v>
      </c>
      <c r="F804" s="10" t="s">
        <v>1818</v>
      </c>
      <c r="G804" s="10" t="s">
        <v>9233</v>
      </c>
      <c r="H804" s="11">
        <v>37662</v>
      </c>
      <c r="I804" s="10">
        <v>2003</v>
      </c>
      <c r="J804" s="10" t="s">
        <v>9659</v>
      </c>
      <c r="K804" s="10">
        <v>260</v>
      </c>
      <c r="L804" s="10" t="s">
        <v>9725</v>
      </c>
      <c r="M804" s="10">
        <v>1</v>
      </c>
      <c r="N804" s="10"/>
      <c r="O804" s="10"/>
      <c r="P804" s="10" t="s">
        <v>9749</v>
      </c>
      <c r="Q804" s="10">
        <v>370.1</v>
      </c>
      <c r="R804" s="10" t="s">
        <v>9750</v>
      </c>
      <c r="S804" s="10" t="s">
        <v>53</v>
      </c>
      <c r="T804" s="10" t="s">
        <v>54</v>
      </c>
    </row>
    <row r="805" spans="1:20" ht="14.5" x14ac:dyDescent="0.35">
      <c r="A805" s="10" t="s">
        <v>9751</v>
      </c>
      <c r="B805" s="10" t="str">
        <f>"9780815736837"</f>
        <v>9780815736837</v>
      </c>
      <c r="C805" s="10" t="str">
        <f>"9780815797692"</f>
        <v>9780815797692</v>
      </c>
      <c r="D805" s="10" t="s">
        <v>9752</v>
      </c>
      <c r="E805" s="10" t="s">
        <v>9753</v>
      </c>
      <c r="F805" s="10" t="s">
        <v>9754</v>
      </c>
      <c r="G805" s="10" t="s">
        <v>6317</v>
      </c>
      <c r="H805" s="11">
        <v>38443</v>
      </c>
      <c r="I805" s="10">
        <v>2005</v>
      </c>
      <c r="J805" s="10" t="s">
        <v>9753</v>
      </c>
      <c r="K805" s="10">
        <v>366</v>
      </c>
      <c r="L805" s="10" t="s">
        <v>9755</v>
      </c>
      <c r="M805" s="10">
        <v>1</v>
      </c>
      <c r="N805" s="10"/>
      <c r="O805" s="10"/>
      <c r="P805" s="10" t="s">
        <v>9756</v>
      </c>
      <c r="Q805" s="10" t="s">
        <v>9757</v>
      </c>
      <c r="R805" s="10" t="s">
        <v>9758</v>
      </c>
      <c r="S805" s="10" t="s">
        <v>53</v>
      </c>
      <c r="T805" s="10" t="s">
        <v>54</v>
      </c>
    </row>
    <row r="806" spans="1:20" ht="14.5" x14ac:dyDescent="0.35">
      <c r="A806" s="10" t="s">
        <v>9759</v>
      </c>
      <c r="B806" s="10" t="str">
        <f>"9780815753322"</f>
        <v>9780815753322</v>
      </c>
      <c r="C806" s="10" t="str">
        <f>"9780815797975"</f>
        <v>9780815797975</v>
      </c>
      <c r="D806" s="10" t="s">
        <v>9752</v>
      </c>
      <c r="E806" s="10" t="s">
        <v>9753</v>
      </c>
      <c r="F806" s="10" t="s">
        <v>9754</v>
      </c>
      <c r="G806" s="10" t="s">
        <v>6317</v>
      </c>
      <c r="H806" s="11">
        <v>38695</v>
      </c>
      <c r="I806" s="10">
        <v>2005</v>
      </c>
      <c r="J806" s="10" t="s">
        <v>9753</v>
      </c>
      <c r="K806" s="10">
        <v>268</v>
      </c>
      <c r="L806" s="10" t="s">
        <v>9760</v>
      </c>
      <c r="M806" s="10">
        <v>1</v>
      </c>
      <c r="N806" s="10"/>
      <c r="O806" s="10"/>
      <c r="P806" s="10" t="s">
        <v>9761</v>
      </c>
      <c r="Q806" s="10"/>
      <c r="R806" s="10" t="s">
        <v>9762</v>
      </c>
      <c r="S806" s="10" t="s">
        <v>53</v>
      </c>
      <c r="T806" s="10" t="s">
        <v>54</v>
      </c>
    </row>
    <row r="807" spans="1:20" ht="14.5" x14ac:dyDescent="0.35">
      <c r="A807" s="10" t="s">
        <v>9763</v>
      </c>
      <c r="B807" s="10" t="str">
        <f>"9780253345776"</f>
        <v>9780253345776</v>
      </c>
      <c r="C807" s="10" t="str">
        <f>"9780253111401"</f>
        <v>9780253111401</v>
      </c>
      <c r="D807" s="10" t="s">
        <v>2455</v>
      </c>
      <c r="E807" s="10" t="s">
        <v>2455</v>
      </c>
      <c r="F807" s="10" t="s">
        <v>3101</v>
      </c>
      <c r="G807" s="10" t="s">
        <v>6317</v>
      </c>
      <c r="H807" s="11">
        <v>38518</v>
      </c>
      <c r="I807" s="10">
        <v>2005</v>
      </c>
      <c r="J807" s="10" t="s">
        <v>2455</v>
      </c>
      <c r="K807" s="10">
        <v>425</v>
      </c>
      <c r="L807" s="10" t="s">
        <v>9764</v>
      </c>
      <c r="M807" s="10">
        <v>1</v>
      </c>
      <c r="N807" s="10"/>
      <c r="O807" s="10"/>
      <c r="P807" s="10" t="s">
        <v>9765</v>
      </c>
      <c r="Q807" s="10" t="s">
        <v>9766</v>
      </c>
      <c r="R807" s="10" t="s">
        <v>9767</v>
      </c>
      <c r="S807" s="10" t="s">
        <v>53</v>
      </c>
      <c r="T807" s="10" t="s">
        <v>54</v>
      </c>
    </row>
    <row r="808" spans="1:20" ht="14.5" x14ac:dyDescent="0.35">
      <c r="A808" s="10" t="s">
        <v>9768</v>
      </c>
      <c r="B808" s="10" t="str">
        <f>"9780521826051"</f>
        <v>9780521826051</v>
      </c>
      <c r="C808" s="10" t="str">
        <f>"9780511224164"</f>
        <v>9780511224164</v>
      </c>
      <c r="D808" s="10" t="s">
        <v>397</v>
      </c>
      <c r="E808" s="10" t="s">
        <v>397</v>
      </c>
      <c r="F808" s="10" t="s">
        <v>612</v>
      </c>
      <c r="G808" s="10" t="s">
        <v>6352</v>
      </c>
      <c r="H808" s="11">
        <v>38348</v>
      </c>
      <c r="I808" s="10">
        <v>2004</v>
      </c>
      <c r="J808" s="10" t="s">
        <v>397</v>
      </c>
      <c r="K808" s="10">
        <v>369</v>
      </c>
      <c r="L808" s="10" t="s">
        <v>9769</v>
      </c>
      <c r="M808" s="10">
        <v>1</v>
      </c>
      <c r="N808" s="10"/>
      <c r="O808" s="10"/>
      <c r="P808" s="10" t="s">
        <v>9770</v>
      </c>
      <c r="Q808" s="10">
        <v>510.8</v>
      </c>
      <c r="R808" s="10" t="s">
        <v>9771</v>
      </c>
      <c r="S808" s="10" t="s">
        <v>53</v>
      </c>
      <c r="T808" s="10" t="s">
        <v>389</v>
      </c>
    </row>
    <row r="809" spans="1:20" ht="14.5" x14ac:dyDescent="0.35">
      <c r="A809" s="10" t="s">
        <v>9772</v>
      </c>
      <c r="B809" s="10" t="str">
        <f>"9780815724728"</f>
        <v>9780815724728</v>
      </c>
      <c r="C809" s="10" t="str">
        <f>"9780815796657"</f>
        <v>9780815796657</v>
      </c>
      <c r="D809" s="10" t="s">
        <v>9752</v>
      </c>
      <c r="E809" s="10" t="s">
        <v>9753</v>
      </c>
      <c r="F809" s="10" t="s">
        <v>9754</v>
      </c>
      <c r="G809" s="10" t="s">
        <v>6317</v>
      </c>
      <c r="H809" s="11">
        <v>38257</v>
      </c>
      <c r="I809" s="10">
        <v>2004</v>
      </c>
      <c r="J809" s="10" t="s">
        <v>9753</v>
      </c>
      <c r="K809" s="10">
        <v>321</v>
      </c>
      <c r="L809" s="10" t="s">
        <v>9773</v>
      </c>
      <c r="M809" s="10">
        <v>1</v>
      </c>
      <c r="N809" s="10"/>
      <c r="O809" s="10"/>
      <c r="P809" s="10" t="s">
        <v>9774</v>
      </c>
      <c r="Q809" s="10" t="s">
        <v>9757</v>
      </c>
      <c r="R809" s="10" t="s">
        <v>9775</v>
      </c>
      <c r="S809" s="10" t="s">
        <v>53</v>
      </c>
      <c r="T809" s="10" t="s">
        <v>54</v>
      </c>
    </row>
    <row r="810" spans="1:20" ht="14.5" x14ac:dyDescent="0.35">
      <c r="A810" s="10" t="s">
        <v>9776</v>
      </c>
      <c r="B810" s="10" t="str">
        <f>"9781567505160"</f>
        <v>9781567505160</v>
      </c>
      <c r="C810" s="10" t="str">
        <f>"9780313005602"</f>
        <v>9780313005602</v>
      </c>
      <c r="D810" s="10" t="s">
        <v>9777</v>
      </c>
      <c r="E810" s="10" t="s">
        <v>9778</v>
      </c>
      <c r="F810" s="10" t="s">
        <v>1366</v>
      </c>
      <c r="G810" s="10" t="s">
        <v>6317</v>
      </c>
      <c r="H810" s="11">
        <v>36950</v>
      </c>
      <c r="I810" s="10">
        <v>2001</v>
      </c>
      <c r="J810" s="10" t="s">
        <v>9779</v>
      </c>
      <c r="K810" s="10">
        <v>336</v>
      </c>
      <c r="L810" s="10" t="s">
        <v>9780</v>
      </c>
      <c r="M810" s="10">
        <v>1</v>
      </c>
      <c r="N810" s="10"/>
      <c r="O810" s="10"/>
      <c r="P810" s="10" t="s">
        <v>9781</v>
      </c>
      <c r="Q810" s="10">
        <v>379</v>
      </c>
      <c r="R810" s="10" t="s">
        <v>9782</v>
      </c>
      <c r="S810" s="10" t="s">
        <v>53</v>
      </c>
      <c r="T810" s="10" t="s">
        <v>54</v>
      </c>
    </row>
    <row r="811" spans="1:20" ht="14.5" x14ac:dyDescent="0.35">
      <c r="A811" s="10" t="s">
        <v>9783</v>
      </c>
      <c r="B811" s="10" t="str">
        <f>"9781567505207"</f>
        <v>9781567505207</v>
      </c>
      <c r="C811" s="10" t="str">
        <f>"9780313005152"</f>
        <v>9780313005152</v>
      </c>
      <c r="D811" s="10" t="s">
        <v>9777</v>
      </c>
      <c r="E811" s="10" t="s">
        <v>9778</v>
      </c>
      <c r="F811" s="10" t="s">
        <v>1366</v>
      </c>
      <c r="G811" s="10" t="s">
        <v>6317</v>
      </c>
      <c r="H811" s="11">
        <v>36890</v>
      </c>
      <c r="I811" s="10">
        <v>2001</v>
      </c>
      <c r="J811" s="10" t="s">
        <v>9779</v>
      </c>
      <c r="K811" s="10">
        <v>198</v>
      </c>
      <c r="L811" s="10" t="s">
        <v>7145</v>
      </c>
      <c r="M811" s="10">
        <v>1</v>
      </c>
      <c r="N811" s="10"/>
      <c r="O811" s="10"/>
      <c r="P811" s="10" t="s">
        <v>9784</v>
      </c>
      <c r="Q811" s="10" t="s">
        <v>9360</v>
      </c>
      <c r="R811" s="10" t="s">
        <v>9785</v>
      </c>
      <c r="S811" s="10" t="s">
        <v>53</v>
      </c>
      <c r="T811" s="10" t="s">
        <v>54</v>
      </c>
    </row>
    <row r="812" spans="1:20" ht="14.5" x14ac:dyDescent="0.35">
      <c r="A812" s="10" t="s">
        <v>9786</v>
      </c>
      <c r="B812" s="10" t="str">
        <f>"9781567505221"</f>
        <v>9781567505221</v>
      </c>
      <c r="C812" s="10" t="str">
        <f>"9780313003066"</f>
        <v>9780313003066</v>
      </c>
      <c r="D812" s="10" t="s">
        <v>9777</v>
      </c>
      <c r="E812" s="10" t="s">
        <v>9778</v>
      </c>
      <c r="F812" s="10" t="s">
        <v>1366</v>
      </c>
      <c r="G812" s="10" t="s">
        <v>6317</v>
      </c>
      <c r="H812" s="11">
        <v>36860</v>
      </c>
      <c r="I812" s="10">
        <v>2001</v>
      </c>
      <c r="J812" s="10" t="s">
        <v>9779</v>
      </c>
      <c r="K812" s="10">
        <v>322</v>
      </c>
      <c r="L812" s="10" t="s">
        <v>9787</v>
      </c>
      <c r="M812" s="10">
        <v>1</v>
      </c>
      <c r="N812" s="10"/>
      <c r="O812" s="10"/>
      <c r="P812" s="10" t="s">
        <v>9788</v>
      </c>
      <c r="Q812" s="10" t="s">
        <v>9789</v>
      </c>
      <c r="R812" s="10" t="s">
        <v>9790</v>
      </c>
      <c r="S812" s="10" t="s">
        <v>53</v>
      </c>
      <c r="T812" s="10" t="s">
        <v>54</v>
      </c>
    </row>
    <row r="813" spans="1:20" ht="14.5" x14ac:dyDescent="0.35">
      <c r="A813" s="10" t="s">
        <v>9791</v>
      </c>
      <c r="B813" s="10" t="str">
        <f>"9781567506303"</f>
        <v>9781567506303</v>
      </c>
      <c r="C813" s="10" t="str">
        <f>"9780313076107"</f>
        <v>9780313076107</v>
      </c>
      <c r="D813" s="10" t="s">
        <v>9777</v>
      </c>
      <c r="E813" s="10" t="s">
        <v>9792</v>
      </c>
      <c r="F813" s="10" t="s">
        <v>70</v>
      </c>
      <c r="G813" s="10" t="s">
        <v>6317</v>
      </c>
      <c r="H813" s="11">
        <v>37225</v>
      </c>
      <c r="I813" s="10">
        <v>2001</v>
      </c>
      <c r="J813" s="10" t="s">
        <v>9793</v>
      </c>
      <c r="K813" s="10">
        <v>279</v>
      </c>
      <c r="L813" s="10" t="s">
        <v>9794</v>
      </c>
      <c r="M813" s="10">
        <v>1</v>
      </c>
      <c r="N813" s="10" t="s">
        <v>9795</v>
      </c>
      <c r="O813" s="10"/>
      <c r="P813" s="10" t="s">
        <v>9796</v>
      </c>
      <c r="Q813" s="10" t="s">
        <v>9797</v>
      </c>
      <c r="R813" s="10" t="s">
        <v>9798</v>
      </c>
      <c r="S813" s="10" t="s">
        <v>53</v>
      </c>
      <c r="T813" s="10" t="s">
        <v>54</v>
      </c>
    </row>
    <row r="814" spans="1:20" ht="14.5" x14ac:dyDescent="0.35">
      <c r="A814" s="10" t="s">
        <v>9799</v>
      </c>
      <c r="B814" s="10" t="str">
        <f>"9781567506570"</f>
        <v>9781567506570</v>
      </c>
      <c r="C814" s="10" t="str">
        <f>"9780313004025"</f>
        <v>9780313004025</v>
      </c>
      <c r="D814" s="10" t="s">
        <v>9777</v>
      </c>
      <c r="E814" s="10" t="s">
        <v>9792</v>
      </c>
      <c r="F814" s="10" t="s">
        <v>70</v>
      </c>
      <c r="G814" s="10" t="s">
        <v>6317</v>
      </c>
      <c r="H814" s="11">
        <v>37225</v>
      </c>
      <c r="I814" s="10">
        <v>2001</v>
      </c>
      <c r="J814" s="10" t="s">
        <v>9793</v>
      </c>
      <c r="K814" s="10">
        <v>186</v>
      </c>
      <c r="L814" s="10" t="s">
        <v>9800</v>
      </c>
      <c r="M814" s="10">
        <v>1</v>
      </c>
      <c r="N814" s="10" t="s">
        <v>9801</v>
      </c>
      <c r="O814" s="10"/>
      <c r="P814" s="10" t="s">
        <v>9802</v>
      </c>
      <c r="Q814" s="10" t="s">
        <v>9803</v>
      </c>
      <c r="R814" s="10" t="s">
        <v>9804</v>
      </c>
      <c r="S814" s="10" t="s">
        <v>53</v>
      </c>
      <c r="T814" s="10" t="s">
        <v>483</v>
      </c>
    </row>
    <row r="815" spans="1:20" ht="14.5" x14ac:dyDescent="0.35">
      <c r="A815" s="10" t="s">
        <v>9805</v>
      </c>
      <c r="B815" s="10" t="str">
        <f>"9780275952020"</f>
        <v>9780275952020</v>
      </c>
      <c r="C815" s="10" t="str">
        <f>"9780313005633"</f>
        <v>9780313005633</v>
      </c>
      <c r="D815" s="10" t="s">
        <v>9777</v>
      </c>
      <c r="E815" s="10" t="s">
        <v>9792</v>
      </c>
      <c r="F815" s="10" t="s">
        <v>70</v>
      </c>
      <c r="G815" s="10" t="s">
        <v>6317</v>
      </c>
      <c r="H815" s="11">
        <v>36707</v>
      </c>
      <c r="I815" s="10">
        <v>2000</v>
      </c>
      <c r="J815" s="10" t="s">
        <v>9793</v>
      </c>
      <c r="K815" s="10">
        <v>296</v>
      </c>
      <c r="L815" s="10" t="s">
        <v>9806</v>
      </c>
      <c r="M815" s="10">
        <v>1</v>
      </c>
      <c r="N815" s="10"/>
      <c r="O815" s="10"/>
      <c r="P815" s="10" t="s">
        <v>9807</v>
      </c>
      <c r="Q815" s="10" t="s">
        <v>9236</v>
      </c>
      <c r="R815" s="10" t="s">
        <v>9808</v>
      </c>
      <c r="S815" s="10" t="s">
        <v>53</v>
      </c>
      <c r="T815" s="10" t="s">
        <v>54</v>
      </c>
    </row>
    <row r="816" spans="1:20" ht="14.5" x14ac:dyDescent="0.35">
      <c r="A816" s="10" t="s">
        <v>9809</v>
      </c>
      <c r="B816" s="10" t="str">
        <f>"9781493301799"</f>
        <v>9781493301799</v>
      </c>
      <c r="C816" s="10" t="str">
        <f>"9780080454863"</f>
        <v>9780080454863</v>
      </c>
      <c r="D816" s="10" t="s">
        <v>8547</v>
      </c>
      <c r="E816" s="10" t="s">
        <v>8548</v>
      </c>
      <c r="F816" s="10" t="s">
        <v>8709</v>
      </c>
      <c r="G816" s="10" t="s">
        <v>6317</v>
      </c>
      <c r="H816" s="11">
        <v>38859</v>
      </c>
      <c r="I816" s="10">
        <v>2006</v>
      </c>
      <c r="J816" s="10" t="s">
        <v>1231</v>
      </c>
      <c r="K816" s="10">
        <v>338</v>
      </c>
      <c r="L816" s="10" t="s">
        <v>9810</v>
      </c>
      <c r="M816" s="10">
        <v>1</v>
      </c>
      <c r="N816" s="10" t="s">
        <v>8550</v>
      </c>
      <c r="O816" s="10"/>
      <c r="P816" s="10" t="s">
        <v>9811</v>
      </c>
      <c r="Q816" s="10" t="s">
        <v>9812</v>
      </c>
      <c r="R816" s="10" t="s">
        <v>9813</v>
      </c>
      <c r="S816" s="10" t="s">
        <v>53</v>
      </c>
      <c r="T816" s="10" t="s">
        <v>483</v>
      </c>
    </row>
    <row r="817" spans="1:20" ht="14.5" x14ac:dyDescent="0.35">
      <c r="A817" s="10" t="s">
        <v>9814</v>
      </c>
      <c r="B817" s="10" t="str">
        <f>"9780120884117"</f>
        <v>9780120884117</v>
      </c>
      <c r="C817" s="10" t="str">
        <f>"9780080455655"</f>
        <v>9780080455655</v>
      </c>
      <c r="D817" s="10" t="s">
        <v>8547</v>
      </c>
      <c r="E817" s="10" t="s">
        <v>8548</v>
      </c>
      <c r="F817" s="10" t="s">
        <v>1232</v>
      </c>
      <c r="G817" s="10" t="s">
        <v>6317</v>
      </c>
      <c r="H817" s="11">
        <v>38680</v>
      </c>
      <c r="I817" s="10">
        <v>2006</v>
      </c>
      <c r="J817" s="10" t="s">
        <v>1231</v>
      </c>
      <c r="K817" s="10">
        <v>348</v>
      </c>
      <c r="L817" s="10" t="s">
        <v>9815</v>
      </c>
      <c r="M817" s="10">
        <v>1</v>
      </c>
      <c r="N817" s="10"/>
      <c r="O817" s="10"/>
      <c r="P817" s="10" t="s">
        <v>9816</v>
      </c>
      <c r="Q817" s="10" t="s">
        <v>9817</v>
      </c>
      <c r="R817" s="10" t="s">
        <v>9818</v>
      </c>
      <c r="S817" s="10" t="s">
        <v>53</v>
      </c>
      <c r="T817" s="10" t="s">
        <v>9819</v>
      </c>
    </row>
    <row r="818" spans="1:20" ht="14.5" x14ac:dyDescent="0.35">
      <c r="A818" s="10" t="s">
        <v>9820</v>
      </c>
      <c r="B818" s="10" t="str">
        <f>"9780750654265"</f>
        <v>9780750654265</v>
      </c>
      <c r="C818" s="10" t="str">
        <f>"9780080454597"</f>
        <v>9780080454597</v>
      </c>
      <c r="D818" s="10" t="s">
        <v>6350</v>
      </c>
      <c r="E818" s="10" t="s">
        <v>6351</v>
      </c>
      <c r="F818" s="10" t="s">
        <v>748</v>
      </c>
      <c r="G818" s="10" t="s">
        <v>6352</v>
      </c>
      <c r="H818" s="11">
        <v>38625</v>
      </c>
      <c r="I818" s="10">
        <v>2005</v>
      </c>
      <c r="J818" s="10" t="s">
        <v>6351</v>
      </c>
      <c r="K818" s="10">
        <v>321</v>
      </c>
      <c r="L818" s="10" t="s">
        <v>9821</v>
      </c>
      <c r="M818" s="10">
        <v>1</v>
      </c>
      <c r="N818" s="10"/>
      <c r="O818" s="10"/>
      <c r="P818" s="10" t="s">
        <v>9822</v>
      </c>
      <c r="Q818" s="10">
        <v>727.08299999999997</v>
      </c>
      <c r="R818" s="10" t="s">
        <v>9823</v>
      </c>
      <c r="S818" s="10" t="s">
        <v>53</v>
      </c>
      <c r="T818" s="10" t="s">
        <v>9824</v>
      </c>
    </row>
    <row r="819" spans="1:20" ht="14.5" x14ac:dyDescent="0.35">
      <c r="A819" s="10" t="s">
        <v>9825</v>
      </c>
      <c r="B819" s="10" t="str">
        <f>"9780125542579"</f>
        <v>9780125542579</v>
      </c>
      <c r="C819" s="10" t="str">
        <f>"9780080455235"</f>
        <v>9780080455235</v>
      </c>
      <c r="D819" s="10" t="s">
        <v>8547</v>
      </c>
      <c r="E819" s="10" t="s">
        <v>8548</v>
      </c>
      <c r="F819" s="10" t="s">
        <v>1232</v>
      </c>
      <c r="G819" s="10" t="s">
        <v>6317</v>
      </c>
      <c r="H819" s="11">
        <v>38464</v>
      </c>
      <c r="I819" s="10">
        <v>2005</v>
      </c>
      <c r="J819" s="10" t="s">
        <v>1231</v>
      </c>
      <c r="K819" s="10">
        <v>300</v>
      </c>
      <c r="L819" s="10" t="s">
        <v>9826</v>
      </c>
      <c r="M819" s="10">
        <v>1</v>
      </c>
      <c r="N819" s="10" t="s">
        <v>8550</v>
      </c>
      <c r="O819" s="10"/>
      <c r="P819" s="10" t="s">
        <v>9827</v>
      </c>
      <c r="Q819" s="10">
        <v>370.72</v>
      </c>
      <c r="R819" s="10" t="s">
        <v>6415</v>
      </c>
      <c r="S819" s="10" t="s">
        <v>53</v>
      </c>
      <c r="T819" s="10" t="s">
        <v>54</v>
      </c>
    </row>
    <row r="820" spans="1:20" ht="14.5" x14ac:dyDescent="0.35">
      <c r="A820" s="10" t="s">
        <v>9828</v>
      </c>
      <c r="B820" s="10" t="str">
        <f>"9780195054644"</f>
        <v>9780195054644</v>
      </c>
      <c r="C820" s="10" t="str">
        <f>"9781601297044"</f>
        <v>9781601297044</v>
      </c>
      <c r="D820" s="10" t="s">
        <v>9122</v>
      </c>
      <c r="E820" s="10" t="s">
        <v>9133</v>
      </c>
      <c r="F820" s="10" t="s">
        <v>330</v>
      </c>
      <c r="G820" s="10" t="s">
        <v>6317</v>
      </c>
      <c r="H820" s="11">
        <v>33717</v>
      </c>
      <c r="I820" s="10">
        <v>1992</v>
      </c>
      <c r="J820" s="10" t="s">
        <v>9133</v>
      </c>
      <c r="K820" s="10">
        <v>545</v>
      </c>
      <c r="L820" s="10" t="s">
        <v>9829</v>
      </c>
      <c r="M820" s="10">
        <v>1</v>
      </c>
      <c r="N820" s="10"/>
      <c r="O820" s="10"/>
      <c r="P820" s="10" t="s">
        <v>9830</v>
      </c>
      <c r="Q820" s="10" t="s">
        <v>9831</v>
      </c>
      <c r="R820" s="10" t="s">
        <v>9832</v>
      </c>
      <c r="S820" s="10" t="s">
        <v>53</v>
      </c>
      <c r="T820" s="10" t="s">
        <v>54</v>
      </c>
    </row>
    <row r="821" spans="1:20" ht="14.5" x14ac:dyDescent="0.35">
      <c r="A821" s="10" t="s">
        <v>9833</v>
      </c>
      <c r="B821" s="10" t="str">
        <f>"9780195041866"</f>
        <v>9780195041866</v>
      </c>
      <c r="C821" s="10" t="str">
        <f>"9780195364712"</f>
        <v>9780195364712</v>
      </c>
      <c r="D821" s="10" t="s">
        <v>9122</v>
      </c>
      <c r="E821" s="10" t="s">
        <v>9133</v>
      </c>
      <c r="F821" s="10" t="s">
        <v>330</v>
      </c>
      <c r="G821" s="10" t="s">
        <v>6317</v>
      </c>
      <c r="H821" s="11">
        <v>32079</v>
      </c>
      <c r="I821" s="10">
        <v>1987</v>
      </c>
      <c r="J821" s="10" t="s">
        <v>9133</v>
      </c>
      <c r="K821" s="10">
        <v>421</v>
      </c>
      <c r="L821" s="10" t="s">
        <v>9834</v>
      </c>
      <c r="M821" s="10">
        <v>1</v>
      </c>
      <c r="N821" s="10"/>
      <c r="O821" s="10"/>
      <c r="P821" s="10" t="s">
        <v>9835</v>
      </c>
      <c r="Q821" s="10" t="s">
        <v>9836</v>
      </c>
      <c r="R821" s="10" t="s">
        <v>9837</v>
      </c>
      <c r="S821" s="10" t="s">
        <v>53</v>
      </c>
      <c r="T821" s="10" t="s">
        <v>8625</v>
      </c>
    </row>
    <row r="822" spans="1:20" ht="14.5" x14ac:dyDescent="0.35">
      <c r="A822" s="10" t="s">
        <v>9838</v>
      </c>
      <c r="B822" s="10" t="str">
        <f>"9780195102185"</f>
        <v>9780195102185</v>
      </c>
      <c r="C822" s="10" t="str">
        <f>"9780198026235"</f>
        <v>9780198026235</v>
      </c>
      <c r="D822" s="10" t="s">
        <v>9122</v>
      </c>
      <c r="E822" s="10" t="s">
        <v>9133</v>
      </c>
      <c r="F822" s="10" t="s">
        <v>330</v>
      </c>
      <c r="G822" s="10" t="s">
        <v>6317</v>
      </c>
      <c r="H822" s="11">
        <v>35201</v>
      </c>
      <c r="I822" s="10">
        <v>1996</v>
      </c>
      <c r="J822" s="10" t="s">
        <v>9133</v>
      </c>
      <c r="K822" s="10">
        <v>289</v>
      </c>
      <c r="L822" s="10" t="s">
        <v>9839</v>
      </c>
      <c r="M822" s="10">
        <v>2</v>
      </c>
      <c r="N822" s="10"/>
      <c r="O822" s="10"/>
      <c r="P822" s="10" t="s">
        <v>9840</v>
      </c>
      <c r="Q822" s="10" t="s">
        <v>9841</v>
      </c>
      <c r="R822" s="10" t="s">
        <v>9842</v>
      </c>
      <c r="S822" s="10" t="s">
        <v>53</v>
      </c>
      <c r="T822" s="10" t="s">
        <v>9843</v>
      </c>
    </row>
    <row r="823" spans="1:20" ht="14.5" x14ac:dyDescent="0.35">
      <c r="A823" s="10" t="s">
        <v>9844</v>
      </c>
      <c r="B823" s="10" t="str">
        <f>"9780195172737"</f>
        <v>9780195172737</v>
      </c>
      <c r="C823" s="10" t="str">
        <f>"9780195346718"</f>
        <v>9780195346718</v>
      </c>
      <c r="D823" s="10" t="s">
        <v>9122</v>
      </c>
      <c r="E823" s="10" t="s">
        <v>9133</v>
      </c>
      <c r="F823" s="10" t="s">
        <v>330</v>
      </c>
      <c r="G823" s="10" t="s">
        <v>6317</v>
      </c>
      <c r="H823" s="11">
        <v>38043</v>
      </c>
      <c r="I823" s="10">
        <v>2004</v>
      </c>
      <c r="J823" s="10" t="s">
        <v>9133</v>
      </c>
      <c r="K823" s="10">
        <v>200</v>
      </c>
      <c r="L823" s="10" t="s">
        <v>9845</v>
      </c>
      <c r="M823" s="10">
        <v>1</v>
      </c>
      <c r="N823" s="10"/>
      <c r="O823" s="10"/>
      <c r="P823" s="10" t="s">
        <v>9846</v>
      </c>
      <c r="Q823" s="10" t="s">
        <v>9847</v>
      </c>
      <c r="R823" s="10" t="s">
        <v>9848</v>
      </c>
      <c r="S823" s="10" t="s">
        <v>53</v>
      </c>
      <c r="T823" s="10" t="s">
        <v>8510</v>
      </c>
    </row>
    <row r="824" spans="1:20" ht="14.5" x14ac:dyDescent="0.35">
      <c r="A824" s="10" t="s">
        <v>9849</v>
      </c>
      <c r="B824" s="10" t="str">
        <f>"9780195171556"</f>
        <v>9780195171556</v>
      </c>
      <c r="C824" s="10" t="str">
        <f>"9780199728626"</f>
        <v>9780199728626</v>
      </c>
      <c r="D824" s="10" t="s">
        <v>9122</v>
      </c>
      <c r="E824" s="10" t="s">
        <v>9133</v>
      </c>
      <c r="F824" s="10" t="s">
        <v>330</v>
      </c>
      <c r="G824" s="10" t="s">
        <v>6317</v>
      </c>
      <c r="H824" s="11">
        <v>38113</v>
      </c>
      <c r="I824" s="10">
        <v>2004</v>
      </c>
      <c r="J824" s="10" t="s">
        <v>9133</v>
      </c>
      <c r="K824" s="10">
        <v>455</v>
      </c>
      <c r="L824" s="10" t="s">
        <v>9850</v>
      </c>
      <c r="M824" s="10">
        <v>1</v>
      </c>
      <c r="N824" s="10"/>
      <c r="O824" s="10"/>
      <c r="P824" s="10" t="s">
        <v>9851</v>
      </c>
      <c r="Q824" s="10">
        <v>155.4</v>
      </c>
      <c r="R824" s="10" t="s">
        <v>9852</v>
      </c>
      <c r="S824" s="10" t="s">
        <v>53</v>
      </c>
      <c r="T824" s="10" t="s">
        <v>8895</v>
      </c>
    </row>
    <row r="825" spans="1:20" ht="14.5" x14ac:dyDescent="0.35">
      <c r="A825" s="10" t="s">
        <v>9853</v>
      </c>
      <c r="B825" s="10" t="str">
        <f>"9780195058772"</f>
        <v>9780195058772</v>
      </c>
      <c r="C825" s="10" t="str">
        <f>"9780198022527"</f>
        <v>9780198022527</v>
      </c>
      <c r="D825" s="10" t="s">
        <v>9122</v>
      </c>
      <c r="E825" s="10" t="s">
        <v>9227</v>
      </c>
      <c r="F825" s="10" t="s">
        <v>330</v>
      </c>
      <c r="G825" s="10" t="s">
        <v>6317</v>
      </c>
      <c r="H825" s="11">
        <v>32632</v>
      </c>
      <c r="I825" s="10">
        <v>1989</v>
      </c>
      <c r="J825" s="10" t="s">
        <v>9227</v>
      </c>
      <c r="K825" s="10">
        <v>324</v>
      </c>
      <c r="L825" s="10" t="s">
        <v>9854</v>
      </c>
      <c r="M825" s="10">
        <v>1</v>
      </c>
      <c r="N825" s="10"/>
      <c r="O825" s="10"/>
      <c r="P825" s="10" t="s">
        <v>9855</v>
      </c>
      <c r="Q825" s="10">
        <v>979.46705299999996</v>
      </c>
      <c r="R825" s="10" t="s">
        <v>9856</v>
      </c>
      <c r="S825" s="10" t="s">
        <v>53</v>
      </c>
      <c r="T825" s="10" t="s">
        <v>9857</v>
      </c>
    </row>
    <row r="826" spans="1:20" ht="14.5" x14ac:dyDescent="0.35">
      <c r="A826" s="10" t="s">
        <v>9858</v>
      </c>
      <c r="B826" s="10" t="str">
        <f>"9780195044140"</f>
        <v>9780195044140</v>
      </c>
      <c r="C826" s="10" t="str">
        <f>"9780198021339"</f>
        <v>9780198021339</v>
      </c>
      <c r="D826" s="10" t="s">
        <v>9122</v>
      </c>
      <c r="E826" s="10" t="s">
        <v>9133</v>
      </c>
      <c r="F826" s="10" t="s">
        <v>330</v>
      </c>
      <c r="G826" s="10" t="s">
        <v>6317</v>
      </c>
      <c r="H826" s="11">
        <v>34361</v>
      </c>
      <c r="I826" s="10">
        <v>1999</v>
      </c>
      <c r="J826" s="10" t="s">
        <v>9133</v>
      </c>
      <c r="K826" s="10">
        <v>328</v>
      </c>
      <c r="L826" s="10" t="s">
        <v>9859</v>
      </c>
      <c r="M826" s="10">
        <v>1</v>
      </c>
      <c r="N826" s="10"/>
      <c r="O826" s="10"/>
      <c r="P826" s="10" t="s">
        <v>9860</v>
      </c>
      <c r="Q826" s="10" t="s">
        <v>7931</v>
      </c>
      <c r="R826" s="10" t="s">
        <v>9861</v>
      </c>
      <c r="S826" s="10" t="s">
        <v>53</v>
      </c>
      <c r="T826" s="10" t="s">
        <v>483</v>
      </c>
    </row>
    <row r="827" spans="1:20" ht="14.5" x14ac:dyDescent="0.35">
      <c r="A827" s="10" t="s">
        <v>9862</v>
      </c>
      <c r="B827" s="10" t="str">
        <f>"9780195098280"</f>
        <v>9780195098280</v>
      </c>
      <c r="C827" s="10" t="str">
        <f>"9780195356939"</f>
        <v>9780195356939</v>
      </c>
      <c r="D827" s="10" t="s">
        <v>9122</v>
      </c>
      <c r="E827" s="10" t="s">
        <v>9133</v>
      </c>
      <c r="F827" s="10" t="s">
        <v>330</v>
      </c>
      <c r="G827" s="10" t="s">
        <v>6317</v>
      </c>
      <c r="H827" s="11">
        <v>35061</v>
      </c>
      <c r="I827" s="10">
        <v>1995</v>
      </c>
      <c r="J827" s="10" t="s">
        <v>9133</v>
      </c>
      <c r="K827" s="10">
        <v>449</v>
      </c>
      <c r="L827" s="10" t="s">
        <v>9863</v>
      </c>
      <c r="M827" s="10">
        <v>1</v>
      </c>
      <c r="N827" s="10"/>
      <c r="O827" s="10"/>
      <c r="P827" s="10" t="s">
        <v>9864</v>
      </c>
      <c r="Q827" s="10" t="s">
        <v>9865</v>
      </c>
      <c r="R827" s="10" t="s">
        <v>9866</v>
      </c>
      <c r="S827" s="10" t="s">
        <v>53</v>
      </c>
      <c r="T827" s="10" t="s">
        <v>54</v>
      </c>
    </row>
    <row r="828" spans="1:20" ht="14.5" x14ac:dyDescent="0.35">
      <c r="A828" s="10" t="s">
        <v>9867</v>
      </c>
      <c r="B828" s="10" t="str">
        <f>"9780195067156"</f>
        <v>9780195067156</v>
      </c>
      <c r="C828" s="10" t="str">
        <f>"9780198023159"</f>
        <v>9780198023159</v>
      </c>
      <c r="D828" s="10" t="s">
        <v>9122</v>
      </c>
      <c r="E828" s="10" t="s">
        <v>9133</v>
      </c>
      <c r="F828" s="10" t="s">
        <v>330</v>
      </c>
      <c r="G828" s="10" t="s">
        <v>6317</v>
      </c>
      <c r="H828" s="11">
        <v>35404</v>
      </c>
      <c r="I828" s="10">
        <v>1993</v>
      </c>
      <c r="J828" s="10" t="s">
        <v>9133</v>
      </c>
      <c r="K828" s="10">
        <v>408</v>
      </c>
      <c r="L828" s="10" t="s">
        <v>9868</v>
      </c>
      <c r="M828" s="10">
        <v>1</v>
      </c>
      <c r="N828" s="10"/>
      <c r="O828" s="10"/>
      <c r="P828" s="10" t="s">
        <v>9869</v>
      </c>
      <c r="Q828" s="10" t="s">
        <v>9870</v>
      </c>
      <c r="R828" s="10" t="s">
        <v>9871</v>
      </c>
      <c r="S828" s="10" t="s">
        <v>53</v>
      </c>
      <c r="T828" s="10" t="s">
        <v>54</v>
      </c>
    </row>
    <row r="829" spans="1:20" ht="14.5" x14ac:dyDescent="0.35">
      <c r="A829" s="10" t="s">
        <v>9872</v>
      </c>
      <c r="B829" s="10" t="str">
        <f>"9780195121391"</f>
        <v>9780195121391</v>
      </c>
      <c r="C829" s="10" t="str">
        <f>"9780198028352"</f>
        <v>9780198028352</v>
      </c>
      <c r="D829" s="10" t="s">
        <v>9122</v>
      </c>
      <c r="E829" s="10" t="s">
        <v>9133</v>
      </c>
      <c r="F829" s="10" t="s">
        <v>330</v>
      </c>
      <c r="G829" s="10" t="s">
        <v>6317</v>
      </c>
      <c r="H829" s="11">
        <v>38841</v>
      </c>
      <c r="I829" s="10">
        <v>2002</v>
      </c>
      <c r="J829" s="10" t="s">
        <v>9133</v>
      </c>
      <c r="K829" s="10">
        <v>294</v>
      </c>
      <c r="L829" s="10" t="s">
        <v>9873</v>
      </c>
      <c r="M829" s="10">
        <v>1</v>
      </c>
      <c r="N829" s="10"/>
      <c r="O829" s="10"/>
      <c r="P829" s="10" t="s">
        <v>9874</v>
      </c>
      <c r="Q829" s="10" t="s">
        <v>9875</v>
      </c>
      <c r="R829" s="10" t="s">
        <v>9876</v>
      </c>
      <c r="S829" s="10" t="s">
        <v>53</v>
      </c>
      <c r="T829" s="10" t="s">
        <v>6526</v>
      </c>
    </row>
    <row r="830" spans="1:20" ht="14.5" x14ac:dyDescent="0.35">
      <c r="A830" s="10" t="s">
        <v>9877</v>
      </c>
      <c r="B830" s="10" t="str">
        <f>"9780195126631"</f>
        <v>9780195126631</v>
      </c>
      <c r="C830" s="10" t="str">
        <f>"9780195352085"</f>
        <v>9780195352085</v>
      </c>
      <c r="D830" s="10" t="s">
        <v>9122</v>
      </c>
      <c r="E830" s="10" t="s">
        <v>9133</v>
      </c>
      <c r="F830" s="10" t="s">
        <v>70</v>
      </c>
      <c r="G830" s="10" t="s">
        <v>6317</v>
      </c>
      <c r="H830" s="11">
        <v>36097</v>
      </c>
      <c r="I830" s="10">
        <v>1996</v>
      </c>
      <c r="J830" s="10" t="s">
        <v>9133</v>
      </c>
      <c r="K830" s="10">
        <v>289</v>
      </c>
      <c r="L830" s="10" t="s">
        <v>9878</v>
      </c>
      <c r="M830" s="10">
        <v>1</v>
      </c>
      <c r="N830" s="10"/>
      <c r="O830" s="10"/>
      <c r="P830" s="10" t="s">
        <v>9879</v>
      </c>
      <c r="Q830" s="10" t="s">
        <v>9803</v>
      </c>
      <c r="R830" s="10" t="s">
        <v>6722</v>
      </c>
      <c r="S830" s="10" t="s">
        <v>53</v>
      </c>
      <c r="T830" s="10" t="s">
        <v>483</v>
      </c>
    </row>
    <row r="831" spans="1:20" ht="14.5" x14ac:dyDescent="0.35">
      <c r="A831" s="10" t="s">
        <v>9880</v>
      </c>
      <c r="B831" s="10" t="str">
        <f>"9780195126822"</f>
        <v>9780195126822</v>
      </c>
      <c r="C831" s="10" t="str">
        <f>"9780195352054"</f>
        <v>9780195352054</v>
      </c>
      <c r="D831" s="10" t="s">
        <v>9122</v>
      </c>
      <c r="E831" s="10" t="s">
        <v>9133</v>
      </c>
      <c r="F831" s="10" t="s">
        <v>330</v>
      </c>
      <c r="G831" s="10" t="s">
        <v>6317</v>
      </c>
      <c r="H831" s="11">
        <v>36405</v>
      </c>
      <c r="I831" s="10">
        <v>1999</v>
      </c>
      <c r="J831" s="10" t="s">
        <v>9133</v>
      </c>
      <c r="K831" s="10">
        <v>200</v>
      </c>
      <c r="L831" s="10" t="s">
        <v>9881</v>
      </c>
      <c r="M831" s="10">
        <v>1</v>
      </c>
      <c r="N831" s="10"/>
      <c r="O831" s="10"/>
      <c r="P831" s="10" t="s">
        <v>9882</v>
      </c>
      <c r="Q831" s="10">
        <v>378.73</v>
      </c>
      <c r="R831" s="10" t="s">
        <v>9883</v>
      </c>
      <c r="S831" s="10" t="s">
        <v>53</v>
      </c>
      <c r="T831" s="10" t="s">
        <v>54</v>
      </c>
    </row>
    <row r="832" spans="1:20" ht="14.5" x14ac:dyDescent="0.35">
      <c r="A832" s="10" t="s">
        <v>9884</v>
      </c>
      <c r="B832" s="10" t="str">
        <f>"9780195171907"</f>
        <v>9780195171907</v>
      </c>
      <c r="C832" s="10" t="str">
        <f>"9780198038375"</f>
        <v>9780198038375</v>
      </c>
      <c r="D832" s="10" t="s">
        <v>9122</v>
      </c>
      <c r="E832" s="10" t="s">
        <v>9133</v>
      </c>
      <c r="F832" s="10" t="s">
        <v>330</v>
      </c>
      <c r="G832" s="10" t="s">
        <v>6317</v>
      </c>
      <c r="H832" s="11">
        <v>38806</v>
      </c>
      <c r="I832" s="10">
        <v>2006</v>
      </c>
      <c r="J832" s="10" t="s">
        <v>9133</v>
      </c>
      <c r="K832" s="10">
        <v>598</v>
      </c>
      <c r="L832" s="10" t="s">
        <v>9885</v>
      </c>
      <c r="M832" s="10">
        <v>1</v>
      </c>
      <c r="N832" s="10"/>
      <c r="O832" s="10"/>
      <c r="P832" s="10" t="s">
        <v>9886</v>
      </c>
      <c r="Q832" s="10">
        <v>155.6</v>
      </c>
      <c r="R832" s="10" t="s">
        <v>9887</v>
      </c>
      <c r="S832" s="10" t="s">
        <v>53</v>
      </c>
      <c r="T832" s="10" t="s">
        <v>483</v>
      </c>
    </row>
    <row r="833" spans="1:20" ht="14.5" x14ac:dyDescent="0.35">
      <c r="A833" s="10" t="s">
        <v>9888</v>
      </c>
      <c r="B833" s="10" t="str">
        <f>"9780195126426"</f>
        <v>9780195126426</v>
      </c>
      <c r="C833" s="10" t="str">
        <f>"9780198029205"</f>
        <v>9780198029205</v>
      </c>
      <c r="D833" s="10" t="s">
        <v>9122</v>
      </c>
      <c r="E833" s="10" t="s">
        <v>9133</v>
      </c>
      <c r="F833" s="10" t="s">
        <v>330</v>
      </c>
      <c r="G833" s="10" t="s">
        <v>6317</v>
      </c>
      <c r="H833" s="11">
        <v>37294</v>
      </c>
      <c r="I833" s="10">
        <v>2002</v>
      </c>
      <c r="J833" s="10" t="s">
        <v>9133</v>
      </c>
      <c r="K833" s="10">
        <v>455</v>
      </c>
      <c r="L833" s="10" t="s">
        <v>9889</v>
      </c>
      <c r="M833" s="10">
        <v>1</v>
      </c>
      <c r="N833" s="10"/>
      <c r="O833" s="10"/>
      <c r="P833" s="10" t="s">
        <v>9890</v>
      </c>
      <c r="Q833" s="10" t="s">
        <v>9891</v>
      </c>
      <c r="R833" s="10" t="s">
        <v>9892</v>
      </c>
      <c r="S833" s="10" t="s">
        <v>53</v>
      </c>
      <c r="T833" s="10" t="s">
        <v>9843</v>
      </c>
    </row>
    <row r="834" spans="1:20" ht="14.5" x14ac:dyDescent="0.35">
      <c r="A834" s="10" t="s">
        <v>9893</v>
      </c>
      <c r="B834" s="10" t="str">
        <f>"9780195304381"</f>
        <v>9780195304381</v>
      </c>
      <c r="C834" s="10" t="str">
        <f>"9780198041429"</f>
        <v>9780198041429</v>
      </c>
      <c r="D834" s="10" t="s">
        <v>9122</v>
      </c>
      <c r="E834" s="10" t="s">
        <v>9133</v>
      </c>
      <c r="F834" s="10" t="s">
        <v>70</v>
      </c>
      <c r="G834" s="10" t="s">
        <v>6317</v>
      </c>
      <c r="H834" s="11">
        <v>38953</v>
      </c>
      <c r="I834" s="10">
        <v>2006</v>
      </c>
      <c r="J834" s="10" t="s">
        <v>9133</v>
      </c>
      <c r="K834" s="10">
        <v>289</v>
      </c>
      <c r="L834" s="10" t="s">
        <v>9894</v>
      </c>
      <c r="M834" s="10">
        <v>1</v>
      </c>
      <c r="N834" s="10"/>
      <c r="O834" s="10"/>
      <c r="P834" s="10" t="s">
        <v>9895</v>
      </c>
      <c r="Q834" s="10">
        <v>155.4</v>
      </c>
      <c r="R834" s="10" t="s">
        <v>9896</v>
      </c>
      <c r="S834" s="10" t="s">
        <v>53</v>
      </c>
      <c r="T834" s="10" t="s">
        <v>483</v>
      </c>
    </row>
    <row r="835" spans="1:20" ht="14.5" x14ac:dyDescent="0.35">
      <c r="A835" s="10" t="s">
        <v>9897</v>
      </c>
      <c r="B835" s="10" t="str">
        <f>"9780195172225"</f>
        <v>9780195172225</v>
      </c>
      <c r="C835" s="10" t="str">
        <f>"9780198038443"</f>
        <v>9780198038443</v>
      </c>
      <c r="D835" s="10" t="s">
        <v>9122</v>
      </c>
      <c r="E835" s="10" t="s">
        <v>9133</v>
      </c>
      <c r="F835" s="10" t="s">
        <v>330</v>
      </c>
      <c r="G835" s="10" t="s">
        <v>6317</v>
      </c>
      <c r="H835" s="11">
        <v>38402</v>
      </c>
      <c r="I835" s="10">
        <v>2005</v>
      </c>
      <c r="J835" s="10" t="s">
        <v>9133</v>
      </c>
      <c r="K835" s="10">
        <v>320</v>
      </c>
      <c r="L835" s="10" t="s">
        <v>9898</v>
      </c>
      <c r="M835" s="10">
        <v>1</v>
      </c>
      <c r="N835" s="10" t="s">
        <v>9899</v>
      </c>
      <c r="O835" s="10"/>
      <c r="P835" s="10" t="s">
        <v>9900</v>
      </c>
      <c r="Q835" s="10" t="s">
        <v>9901</v>
      </c>
      <c r="R835" s="10" t="s">
        <v>9902</v>
      </c>
      <c r="S835" s="10" t="s">
        <v>53</v>
      </c>
      <c r="T835" s="10" t="s">
        <v>54</v>
      </c>
    </row>
    <row r="836" spans="1:20" ht="14.5" x14ac:dyDescent="0.35">
      <c r="A836" s="10" t="s">
        <v>9903</v>
      </c>
      <c r="B836" s="10" t="str">
        <f>"9780195048162"</f>
        <v>9780195048162</v>
      </c>
      <c r="C836" s="10" t="str">
        <f>"9780199729265"</f>
        <v>9780199729265</v>
      </c>
      <c r="D836" s="10" t="s">
        <v>9122</v>
      </c>
      <c r="E836" s="10" t="s">
        <v>9133</v>
      </c>
      <c r="F836" s="10" t="s">
        <v>70</v>
      </c>
      <c r="G836" s="10" t="s">
        <v>6317</v>
      </c>
      <c r="H836" s="11">
        <v>33297</v>
      </c>
      <c r="I836" s="10">
        <v>1986</v>
      </c>
      <c r="J836" s="10" t="s">
        <v>9133</v>
      </c>
      <c r="K836" s="10">
        <v>325</v>
      </c>
      <c r="L836" s="10" t="s">
        <v>9904</v>
      </c>
      <c r="M836" s="10">
        <v>1</v>
      </c>
      <c r="N836" s="10"/>
      <c r="O836" s="10"/>
      <c r="P836" s="10" t="s">
        <v>9905</v>
      </c>
      <c r="Q836" s="10">
        <v>378.73</v>
      </c>
      <c r="R836" s="10" t="s">
        <v>9906</v>
      </c>
      <c r="S836" s="10" t="s">
        <v>53</v>
      </c>
      <c r="T836" s="10" t="s">
        <v>54</v>
      </c>
    </row>
    <row r="837" spans="1:20" ht="14.5" x14ac:dyDescent="0.35">
      <c r="A837" s="10" t="s">
        <v>9907</v>
      </c>
      <c r="B837" s="10" t="str">
        <f>"9780195175233"</f>
        <v>9780195175233</v>
      </c>
      <c r="C837" s="10" t="str">
        <f>"9780198039044"</f>
        <v>9780198039044</v>
      </c>
      <c r="D837" s="10" t="s">
        <v>9122</v>
      </c>
      <c r="E837" s="10" t="s">
        <v>9133</v>
      </c>
      <c r="F837" s="10" t="s">
        <v>748</v>
      </c>
      <c r="G837" s="10" t="s">
        <v>6317</v>
      </c>
      <c r="H837" s="11">
        <v>45331</v>
      </c>
      <c r="I837" s="10">
        <v>1989</v>
      </c>
      <c r="J837" s="10" t="s">
        <v>9133</v>
      </c>
      <c r="K837" s="10">
        <v>1248</v>
      </c>
      <c r="L837" s="10" t="s">
        <v>9908</v>
      </c>
      <c r="M837" s="10">
        <v>1</v>
      </c>
      <c r="N837" s="10"/>
      <c r="O837" s="10"/>
      <c r="P837" s="10" t="s">
        <v>9909</v>
      </c>
      <c r="Q837" s="10">
        <v>371.7</v>
      </c>
      <c r="R837" s="10" t="s">
        <v>9910</v>
      </c>
      <c r="S837" s="10" t="s">
        <v>53</v>
      </c>
      <c r="T837" s="10" t="s">
        <v>54</v>
      </c>
    </row>
    <row r="838" spans="1:20" ht="14.5" x14ac:dyDescent="0.35">
      <c r="A838" s="10" t="s">
        <v>9911</v>
      </c>
      <c r="B838" s="10" t="str">
        <f>"9780195019278"</f>
        <v>9780195019278</v>
      </c>
      <c r="C838" s="10" t="str">
        <f>"9780198020141"</f>
        <v>9780198020141</v>
      </c>
      <c r="D838" s="10" t="s">
        <v>9122</v>
      </c>
      <c r="E838" s="10" t="s">
        <v>9133</v>
      </c>
      <c r="F838" s="10" t="s">
        <v>70</v>
      </c>
      <c r="G838" s="10" t="s">
        <v>6317</v>
      </c>
      <c r="H838" s="11">
        <v>27536</v>
      </c>
      <c r="I838" s="10">
        <v>1975</v>
      </c>
      <c r="J838" s="10" t="s">
        <v>9133</v>
      </c>
      <c r="K838" s="10">
        <v>316</v>
      </c>
      <c r="L838" s="10" t="s">
        <v>9912</v>
      </c>
      <c r="M838" s="10">
        <v>1</v>
      </c>
      <c r="N838" s="10"/>
      <c r="O838" s="10"/>
      <c r="P838" s="10" t="s">
        <v>9913</v>
      </c>
      <c r="Q838" s="10" t="s">
        <v>9803</v>
      </c>
      <c r="R838" s="10" t="s">
        <v>9914</v>
      </c>
      <c r="S838" s="10" t="s">
        <v>53</v>
      </c>
      <c r="T838" s="10" t="s">
        <v>9915</v>
      </c>
    </row>
    <row r="839" spans="1:20" ht="14.5" x14ac:dyDescent="0.35">
      <c r="A839" s="10" t="s">
        <v>9916</v>
      </c>
      <c r="B839" s="10" t="str">
        <f>"9780195034646"</f>
        <v>9780195034646</v>
      </c>
      <c r="C839" s="10" t="str">
        <f>"9780198020561"</f>
        <v>9780198020561</v>
      </c>
      <c r="D839" s="10" t="s">
        <v>9122</v>
      </c>
      <c r="E839" s="10" t="s">
        <v>9133</v>
      </c>
      <c r="F839" s="10" t="s">
        <v>330</v>
      </c>
      <c r="G839" s="10" t="s">
        <v>6317</v>
      </c>
      <c r="H839" s="11">
        <v>31883</v>
      </c>
      <c r="I839" s="10">
        <v>1987</v>
      </c>
      <c r="J839" s="10" t="s">
        <v>9133</v>
      </c>
      <c r="K839" s="10">
        <v>268</v>
      </c>
      <c r="L839" s="10" t="s">
        <v>9917</v>
      </c>
      <c r="M839" s="10">
        <v>1</v>
      </c>
      <c r="N839" s="10"/>
      <c r="O839" s="10"/>
      <c r="P839" s="10" t="s">
        <v>9918</v>
      </c>
      <c r="Q839" s="10" t="s">
        <v>9919</v>
      </c>
      <c r="R839" s="10" t="s">
        <v>9920</v>
      </c>
      <c r="S839" s="10" t="s">
        <v>53</v>
      </c>
      <c r="T839" s="10" t="s">
        <v>54</v>
      </c>
    </row>
    <row r="840" spans="1:20" ht="14.5" x14ac:dyDescent="0.35">
      <c r="A840" s="10" t="s">
        <v>9921</v>
      </c>
      <c r="B840" s="10" t="str">
        <f>"9780815728405"</f>
        <v>9780815728405</v>
      </c>
      <c r="C840" s="10" t="str">
        <f>"9780815796602"</f>
        <v>9780815796602</v>
      </c>
      <c r="D840" s="10" t="s">
        <v>9752</v>
      </c>
      <c r="E840" s="10" t="s">
        <v>9753</v>
      </c>
      <c r="F840" s="10" t="s">
        <v>9754</v>
      </c>
      <c r="G840" s="10" t="s">
        <v>6317</v>
      </c>
      <c r="H840" s="11">
        <v>38197</v>
      </c>
      <c r="I840" s="10">
        <v>2004</v>
      </c>
      <c r="J840" s="10" t="s">
        <v>9753</v>
      </c>
      <c r="K840" s="10">
        <v>289</v>
      </c>
      <c r="L840" s="10" t="s">
        <v>9922</v>
      </c>
      <c r="M840" s="10">
        <v>1</v>
      </c>
      <c r="N840" s="10"/>
      <c r="O840" s="10"/>
      <c r="P840" s="10" t="s">
        <v>9923</v>
      </c>
      <c r="Q840" s="10" t="s">
        <v>9924</v>
      </c>
      <c r="R840" s="10" t="s">
        <v>9925</v>
      </c>
      <c r="S840" s="10" t="s">
        <v>53</v>
      </c>
      <c r="T840" s="10" t="s">
        <v>54</v>
      </c>
    </row>
    <row r="841" spans="1:20" ht="14.5" x14ac:dyDescent="0.35">
      <c r="A841" s="10" t="s">
        <v>9926</v>
      </c>
      <c r="B841" s="10" t="str">
        <f>"9780815736417"</f>
        <v>9780815736417</v>
      </c>
      <c r="C841" s="10" t="str">
        <f>"9780815796671"</f>
        <v>9780815796671</v>
      </c>
      <c r="D841" s="10" t="s">
        <v>9752</v>
      </c>
      <c r="E841" s="10" t="s">
        <v>9753</v>
      </c>
      <c r="F841" s="10" t="s">
        <v>9754</v>
      </c>
      <c r="G841" s="10" t="s">
        <v>6317</v>
      </c>
      <c r="H841" s="11">
        <v>38260</v>
      </c>
      <c r="I841" s="10">
        <v>2004</v>
      </c>
      <c r="J841" s="10" t="s">
        <v>9753</v>
      </c>
      <c r="K841" s="10">
        <v>145</v>
      </c>
      <c r="L841" s="10" t="s">
        <v>9927</v>
      </c>
      <c r="M841" s="10">
        <v>1</v>
      </c>
      <c r="N841" s="10"/>
      <c r="O841" s="10"/>
      <c r="P841" s="10" t="s">
        <v>9928</v>
      </c>
      <c r="Q841" s="10" t="s">
        <v>8587</v>
      </c>
      <c r="R841" s="10" t="s">
        <v>9929</v>
      </c>
      <c r="S841" s="10" t="s">
        <v>53</v>
      </c>
      <c r="T841" s="10" t="s">
        <v>54</v>
      </c>
    </row>
    <row r="842" spans="1:20" ht="14.5" x14ac:dyDescent="0.35">
      <c r="A842" s="10" t="s">
        <v>9930</v>
      </c>
      <c r="B842" s="10" t="str">
        <f>"9780815795162"</f>
        <v>9780815795162</v>
      </c>
      <c r="C842" s="10" t="str">
        <f>"9780815796688"</f>
        <v>9780815796688</v>
      </c>
      <c r="D842" s="10" t="s">
        <v>9752</v>
      </c>
      <c r="E842" s="10" t="s">
        <v>9753</v>
      </c>
      <c r="F842" s="10" t="s">
        <v>9754</v>
      </c>
      <c r="G842" s="10" t="s">
        <v>6317</v>
      </c>
      <c r="H842" s="11">
        <v>38260</v>
      </c>
      <c r="I842" s="10">
        <v>2004</v>
      </c>
      <c r="J842" s="10" t="s">
        <v>9753</v>
      </c>
      <c r="K842" s="10">
        <v>413</v>
      </c>
      <c r="L842" s="10" t="s">
        <v>9931</v>
      </c>
      <c r="M842" s="10">
        <v>1</v>
      </c>
      <c r="N842" s="10"/>
      <c r="O842" s="10"/>
      <c r="P842" s="10" t="s">
        <v>9932</v>
      </c>
      <c r="Q842" s="10" t="s">
        <v>8659</v>
      </c>
      <c r="R842" s="10" t="s">
        <v>9933</v>
      </c>
      <c r="S842" s="10" t="s">
        <v>53</v>
      </c>
      <c r="T842" s="10" t="s">
        <v>54</v>
      </c>
    </row>
    <row r="843" spans="1:20" ht="14.5" x14ac:dyDescent="0.35">
      <c r="A843" s="10" t="s">
        <v>9934</v>
      </c>
      <c r="B843" s="10" t="str">
        <f>"9781853599118"</f>
        <v>9781853599118</v>
      </c>
      <c r="C843" s="10" t="str">
        <f>"9781853599125"</f>
        <v>9781853599125</v>
      </c>
      <c r="D843" s="10" t="s">
        <v>8394</v>
      </c>
      <c r="E843" s="10" t="s">
        <v>8395</v>
      </c>
      <c r="F843" s="10" t="s">
        <v>8396</v>
      </c>
      <c r="G843" s="10" t="s">
        <v>6352</v>
      </c>
      <c r="H843" s="11">
        <v>38947</v>
      </c>
      <c r="I843" s="10">
        <v>2006</v>
      </c>
      <c r="J843" s="10" t="s">
        <v>8395</v>
      </c>
      <c r="K843" s="10">
        <v>292</v>
      </c>
      <c r="L843" s="10" t="s">
        <v>9935</v>
      </c>
      <c r="M843" s="10">
        <v>1</v>
      </c>
      <c r="N843" s="10" t="s">
        <v>8398</v>
      </c>
      <c r="O843" s="10">
        <v>12</v>
      </c>
      <c r="P843" s="10" t="s">
        <v>9936</v>
      </c>
      <c r="Q843" s="10">
        <v>370.11599999999999</v>
      </c>
      <c r="R843" s="10" t="s">
        <v>9937</v>
      </c>
      <c r="S843" s="10" t="s">
        <v>53</v>
      </c>
      <c r="T843" s="10" t="s">
        <v>54</v>
      </c>
    </row>
    <row r="844" spans="1:20" ht="14.5" x14ac:dyDescent="0.35">
      <c r="A844" s="10" t="s">
        <v>9938</v>
      </c>
      <c r="B844" s="10" t="str">
        <f>"9781853599194"</f>
        <v>9781853599194</v>
      </c>
      <c r="C844" s="10" t="str">
        <f>"9781853599200"</f>
        <v>9781853599200</v>
      </c>
      <c r="D844" s="10" t="s">
        <v>8394</v>
      </c>
      <c r="E844" s="10" t="s">
        <v>8395</v>
      </c>
      <c r="F844" s="10" t="s">
        <v>8396</v>
      </c>
      <c r="G844" s="10" t="s">
        <v>6352</v>
      </c>
      <c r="H844" s="11">
        <v>39002</v>
      </c>
      <c r="I844" s="10">
        <v>2006</v>
      </c>
      <c r="J844" s="10" t="s">
        <v>8395</v>
      </c>
      <c r="K844" s="10">
        <v>266</v>
      </c>
      <c r="L844" s="10" t="s">
        <v>9939</v>
      </c>
      <c r="M844" s="10">
        <v>1</v>
      </c>
      <c r="N844" s="10" t="s">
        <v>8398</v>
      </c>
      <c r="O844" s="10">
        <v>13</v>
      </c>
      <c r="P844" s="10" t="s">
        <v>9940</v>
      </c>
      <c r="Q844" s="10" t="s">
        <v>7335</v>
      </c>
      <c r="R844" s="10" t="s">
        <v>9941</v>
      </c>
      <c r="S844" s="10" t="s">
        <v>53</v>
      </c>
      <c r="T844" s="10" t="s">
        <v>54</v>
      </c>
    </row>
    <row r="845" spans="1:20" ht="14.5" x14ac:dyDescent="0.35">
      <c r="A845" s="10" t="s">
        <v>9942</v>
      </c>
      <c r="B845" s="10" t="str">
        <f>"9780805841442"</f>
        <v>9780805841442</v>
      </c>
      <c r="C845" s="10" t="str">
        <f>"9781410617019"</f>
        <v>9781410617019</v>
      </c>
      <c r="D845" s="10" t="s">
        <v>6350</v>
      </c>
      <c r="E845" s="10" t="s">
        <v>6351</v>
      </c>
      <c r="F845" s="10" t="s">
        <v>4325</v>
      </c>
      <c r="G845" s="10" t="s">
        <v>6317</v>
      </c>
      <c r="H845" s="11">
        <v>38667</v>
      </c>
      <c r="I845" s="10">
        <v>2005</v>
      </c>
      <c r="J845" s="10" t="s">
        <v>6353</v>
      </c>
      <c r="K845" s="10">
        <v>327</v>
      </c>
      <c r="L845" s="10" t="s">
        <v>9943</v>
      </c>
      <c r="M845" s="10">
        <v>1</v>
      </c>
      <c r="N845" s="10"/>
      <c r="O845" s="10"/>
      <c r="P845" s="10" t="s">
        <v>9944</v>
      </c>
      <c r="Q845" s="10" t="s">
        <v>8596</v>
      </c>
      <c r="R845" s="10" t="s">
        <v>9945</v>
      </c>
      <c r="S845" s="10" t="s">
        <v>53</v>
      </c>
      <c r="T845" s="10" t="s">
        <v>54</v>
      </c>
    </row>
    <row r="846" spans="1:20" ht="14.5" x14ac:dyDescent="0.35">
      <c r="A846" s="10" t="s">
        <v>9946</v>
      </c>
      <c r="B846" s="10" t="str">
        <f>"9780805849653"</f>
        <v>9780805849653</v>
      </c>
      <c r="C846" s="10" t="str">
        <f>"9781410617217"</f>
        <v>9781410617217</v>
      </c>
      <c r="D846" s="10" t="s">
        <v>6350</v>
      </c>
      <c r="E846" s="10" t="s">
        <v>6351</v>
      </c>
      <c r="F846" s="10" t="s">
        <v>3967</v>
      </c>
      <c r="G846" s="10" t="s">
        <v>6352</v>
      </c>
      <c r="H846" s="11">
        <v>38679</v>
      </c>
      <c r="I846" s="10">
        <v>2005</v>
      </c>
      <c r="J846" s="10" t="s">
        <v>6353</v>
      </c>
      <c r="K846" s="10">
        <v>383</v>
      </c>
      <c r="L846" s="10" t="s">
        <v>9947</v>
      </c>
      <c r="M846" s="10">
        <v>1</v>
      </c>
      <c r="N846" s="10" t="s">
        <v>8813</v>
      </c>
      <c r="O846" s="10"/>
      <c r="P846" s="10" t="s">
        <v>9948</v>
      </c>
      <c r="Q846" s="10">
        <v>338.43378000000001</v>
      </c>
      <c r="R846" s="10" t="s">
        <v>9949</v>
      </c>
      <c r="S846" s="10" t="s">
        <v>53</v>
      </c>
      <c r="T846" s="10" t="s">
        <v>9950</v>
      </c>
    </row>
    <row r="847" spans="1:20" ht="14.5" x14ac:dyDescent="0.35">
      <c r="A847" s="10" t="s">
        <v>9951</v>
      </c>
      <c r="B847" s="10" t="str">
        <f>"9780805851601"</f>
        <v>9780805851601</v>
      </c>
      <c r="C847" s="10" t="str">
        <f>"9781410617163"</f>
        <v>9781410617163</v>
      </c>
      <c r="D847" s="10" t="s">
        <v>6350</v>
      </c>
      <c r="E847" s="10" t="s">
        <v>6351</v>
      </c>
      <c r="F847" s="10" t="s">
        <v>748</v>
      </c>
      <c r="G847" s="10" t="s">
        <v>6352</v>
      </c>
      <c r="H847" s="11">
        <v>38652</v>
      </c>
      <c r="I847" s="10">
        <v>2006</v>
      </c>
      <c r="J847" s="10" t="s">
        <v>6351</v>
      </c>
      <c r="K847" s="10">
        <v>208</v>
      </c>
      <c r="L847" s="10" t="s">
        <v>9952</v>
      </c>
      <c r="M847" s="10">
        <v>1</v>
      </c>
      <c r="N847" s="10"/>
      <c r="O847" s="10"/>
      <c r="P847" s="10" t="s">
        <v>9953</v>
      </c>
      <c r="Q847" s="10" t="s">
        <v>9954</v>
      </c>
      <c r="R847" s="10" t="s">
        <v>9955</v>
      </c>
      <c r="S847" s="10" t="s">
        <v>53</v>
      </c>
      <c r="T847" s="10" t="s">
        <v>54</v>
      </c>
    </row>
    <row r="848" spans="1:20" ht="14.5" x14ac:dyDescent="0.35">
      <c r="A848" s="10" t="s">
        <v>9956</v>
      </c>
      <c r="B848" s="10" t="str">
        <f>"9780805856354"</f>
        <v>9780805856354</v>
      </c>
      <c r="C848" s="10" t="str">
        <f>"9781410617279"</f>
        <v>9781410617279</v>
      </c>
      <c r="D848" s="10" t="s">
        <v>6350</v>
      </c>
      <c r="E848" s="10" t="s">
        <v>6351</v>
      </c>
      <c r="F848" s="10" t="s">
        <v>4325</v>
      </c>
      <c r="G848" s="10" t="s">
        <v>6317</v>
      </c>
      <c r="H848" s="11">
        <v>38659</v>
      </c>
      <c r="I848" s="10">
        <v>2005</v>
      </c>
      <c r="J848" s="10" t="s">
        <v>6353</v>
      </c>
      <c r="K848" s="10">
        <v>188</v>
      </c>
      <c r="L848" s="10" t="s">
        <v>9957</v>
      </c>
      <c r="M848" s="10">
        <v>1</v>
      </c>
      <c r="N848" s="10"/>
      <c r="O848" s="10"/>
      <c r="P848" s="10" t="s">
        <v>9958</v>
      </c>
      <c r="Q848" s="10">
        <v>371.3</v>
      </c>
      <c r="R848" s="10" t="s">
        <v>9959</v>
      </c>
      <c r="S848" s="10" t="s">
        <v>53</v>
      </c>
      <c r="T848" s="10" t="s">
        <v>54</v>
      </c>
    </row>
    <row r="849" spans="1:20" ht="14.5" x14ac:dyDescent="0.35">
      <c r="A849" s="10" t="s">
        <v>9960</v>
      </c>
      <c r="B849" s="10" t="str">
        <f>"9780805854374"</f>
        <v>9780805854374</v>
      </c>
      <c r="C849" s="10" t="str">
        <f>"9781410617347"</f>
        <v>9781410617347</v>
      </c>
      <c r="D849" s="10" t="s">
        <v>6350</v>
      </c>
      <c r="E849" s="10" t="s">
        <v>6351</v>
      </c>
      <c r="F849" s="10" t="s">
        <v>748</v>
      </c>
      <c r="G849" s="10" t="s">
        <v>6352</v>
      </c>
      <c r="H849" s="11">
        <v>38667</v>
      </c>
      <c r="I849" s="10">
        <v>2006</v>
      </c>
      <c r="J849" s="10" t="s">
        <v>6351</v>
      </c>
      <c r="K849" s="10">
        <v>220</v>
      </c>
      <c r="L849" s="10" t="s">
        <v>9961</v>
      </c>
      <c r="M849" s="10">
        <v>1</v>
      </c>
      <c r="N849" s="10"/>
      <c r="O849" s="10"/>
      <c r="P849" s="10" t="s">
        <v>9962</v>
      </c>
      <c r="Q849" s="10"/>
      <c r="R849" s="10" t="s">
        <v>9963</v>
      </c>
      <c r="S849" s="10" t="s">
        <v>53</v>
      </c>
      <c r="T849" s="10" t="s">
        <v>54</v>
      </c>
    </row>
    <row r="850" spans="1:20" ht="14.5" x14ac:dyDescent="0.35">
      <c r="A850" s="10" t="s">
        <v>9964</v>
      </c>
      <c r="B850" s="10" t="str">
        <f>"9780805857214"</f>
        <v>9780805857214</v>
      </c>
      <c r="C850" s="10" t="str">
        <f>"9781410617422"</f>
        <v>9781410617422</v>
      </c>
      <c r="D850" s="10" t="s">
        <v>6350</v>
      </c>
      <c r="E850" s="10" t="s">
        <v>6351</v>
      </c>
      <c r="F850" s="10" t="s">
        <v>4325</v>
      </c>
      <c r="G850" s="10" t="s">
        <v>6317</v>
      </c>
      <c r="H850" s="11">
        <v>38686</v>
      </c>
      <c r="I850" s="10">
        <v>2005</v>
      </c>
      <c r="J850" s="10" t="s">
        <v>6353</v>
      </c>
      <c r="K850" s="10">
        <v>247</v>
      </c>
      <c r="L850" s="10" t="s">
        <v>9965</v>
      </c>
      <c r="M850" s="10">
        <v>1</v>
      </c>
      <c r="N850" s="10"/>
      <c r="O850" s="10"/>
      <c r="P850" s="10" t="s">
        <v>9966</v>
      </c>
      <c r="Q850" s="10" t="s">
        <v>9007</v>
      </c>
      <c r="R850" s="10" t="s">
        <v>9967</v>
      </c>
      <c r="S850" s="10" t="s">
        <v>53</v>
      </c>
      <c r="T850" s="10" t="s">
        <v>54</v>
      </c>
    </row>
    <row r="851" spans="1:20" ht="14.5" x14ac:dyDescent="0.35">
      <c r="A851" s="10" t="s">
        <v>9968</v>
      </c>
      <c r="B851" s="10" t="str">
        <f>"9781846631863"</f>
        <v>9781846631863</v>
      </c>
      <c r="C851" s="10" t="str">
        <f>"9781846631870"</f>
        <v>9781846631870</v>
      </c>
      <c r="D851" s="10" t="s">
        <v>8699</v>
      </c>
      <c r="E851" s="10" t="s">
        <v>8699</v>
      </c>
      <c r="F851" s="10" t="s">
        <v>1019</v>
      </c>
      <c r="G851" s="10" t="s">
        <v>6352</v>
      </c>
      <c r="H851" s="11">
        <v>38978</v>
      </c>
      <c r="I851" s="10">
        <v>2006</v>
      </c>
      <c r="J851" s="10" t="s">
        <v>115</v>
      </c>
      <c r="K851" s="10">
        <v>110</v>
      </c>
      <c r="L851" s="10" t="s">
        <v>9969</v>
      </c>
      <c r="M851" s="10">
        <v>1</v>
      </c>
      <c r="N851" s="10" t="s">
        <v>9970</v>
      </c>
      <c r="O851" s="10">
        <v>28</v>
      </c>
      <c r="P851" s="10" t="s">
        <v>9971</v>
      </c>
      <c r="Q851" s="10" t="s">
        <v>9972</v>
      </c>
      <c r="R851" s="10" t="s">
        <v>9973</v>
      </c>
      <c r="S851" s="10" t="s">
        <v>53</v>
      </c>
      <c r="T851" s="10" t="s">
        <v>54</v>
      </c>
    </row>
    <row r="852" spans="1:20" ht="14.5" x14ac:dyDescent="0.35">
      <c r="A852" s="10" t="s">
        <v>9974</v>
      </c>
      <c r="B852" s="10" t="str">
        <f>"9781846630866"</f>
        <v>9781846630866</v>
      </c>
      <c r="C852" s="10" t="str">
        <f>"9781846630873"</f>
        <v>9781846630873</v>
      </c>
      <c r="D852" s="10" t="s">
        <v>8699</v>
      </c>
      <c r="E852" s="10" t="s">
        <v>8699</v>
      </c>
      <c r="F852" s="10" t="s">
        <v>1019</v>
      </c>
      <c r="G852" s="10" t="s">
        <v>6352</v>
      </c>
      <c r="H852" s="11">
        <v>38919</v>
      </c>
      <c r="I852" s="10">
        <v>2006</v>
      </c>
      <c r="J852" s="10" t="s">
        <v>115</v>
      </c>
      <c r="K852" s="10">
        <v>113</v>
      </c>
      <c r="L852" s="10" t="s">
        <v>9975</v>
      </c>
      <c r="M852" s="10">
        <v>1</v>
      </c>
      <c r="N852" s="10" t="s">
        <v>8720</v>
      </c>
      <c r="O852" s="10">
        <v>27</v>
      </c>
      <c r="P852" s="10" t="s">
        <v>9976</v>
      </c>
      <c r="Q852" s="10" t="s">
        <v>9977</v>
      </c>
      <c r="R852" s="10" t="s">
        <v>9978</v>
      </c>
      <c r="S852" s="10" t="s">
        <v>53</v>
      </c>
      <c r="T852" s="10" t="s">
        <v>54</v>
      </c>
    </row>
    <row r="853" spans="1:20" ht="14.5" x14ac:dyDescent="0.35">
      <c r="A853" s="10" t="s">
        <v>9979</v>
      </c>
      <c r="B853" s="10" t="str">
        <f>"9781846630682"</f>
        <v>9781846630682</v>
      </c>
      <c r="C853" s="10" t="str">
        <f>"9781846630699"</f>
        <v>9781846630699</v>
      </c>
      <c r="D853" s="10" t="s">
        <v>8699</v>
      </c>
      <c r="E853" s="10" t="s">
        <v>8699</v>
      </c>
      <c r="F853" s="10" t="s">
        <v>1019</v>
      </c>
      <c r="G853" s="10" t="s">
        <v>6352</v>
      </c>
      <c r="H853" s="11">
        <v>38954</v>
      </c>
      <c r="I853" s="10">
        <v>2006</v>
      </c>
      <c r="J853" s="10" t="s">
        <v>115</v>
      </c>
      <c r="K853" s="10">
        <v>132</v>
      </c>
      <c r="L853" s="10" t="s">
        <v>9980</v>
      </c>
      <c r="M853" s="10">
        <v>1</v>
      </c>
      <c r="N853" s="10" t="s">
        <v>3582</v>
      </c>
      <c r="O853" s="10">
        <v>44</v>
      </c>
      <c r="P853" s="10" t="s">
        <v>9981</v>
      </c>
      <c r="Q853" s="10" t="s">
        <v>9982</v>
      </c>
      <c r="R853" s="10" t="s">
        <v>9983</v>
      </c>
      <c r="S853" s="10" t="s">
        <v>53</v>
      </c>
      <c r="T853" s="10" t="s">
        <v>54</v>
      </c>
    </row>
    <row r="854" spans="1:20" ht="14.5" x14ac:dyDescent="0.35">
      <c r="A854" s="10" t="s">
        <v>9984</v>
      </c>
      <c r="B854" s="10" t="str">
        <f>"9780195168624"</f>
        <v>9780195168624</v>
      </c>
      <c r="C854" s="10" t="str">
        <f>"9780198037705"</f>
        <v>9780198037705</v>
      </c>
      <c r="D854" s="10" t="s">
        <v>9122</v>
      </c>
      <c r="E854" s="10" t="s">
        <v>9133</v>
      </c>
      <c r="F854" s="10" t="s">
        <v>330</v>
      </c>
      <c r="G854" s="10" t="s">
        <v>6317</v>
      </c>
      <c r="H854" s="11">
        <v>39170</v>
      </c>
      <c r="I854" s="10">
        <v>2005</v>
      </c>
      <c r="J854" s="10" t="s">
        <v>9133</v>
      </c>
      <c r="K854" s="10">
        <v>238</v>
      </c>
      <c r="L854" s="10" t="s">
        <v>9985</v>
      </c>
      <c r="M854" s="10">
        <v>1</v>
      </c>
      <c r="N854" s="10" t="s">
        <v>9986</v>
      </c>
      <c r="O854" s="10"/>
      <c r="P854" s="10" t="s">
        <v>9987</v>
      </c>
      <c r="Q854" s="10">
        <v>371.82900000000001</v>
      </c>
      <c r="R854" s="10" t="s">
        <v>9988</v>
      </c>
      <c r="S854" s="10" t="s">
        <v>53</v>
      </c>
      <c r="T854" s="10" t="s">
        <v>54</v>
      </c>
    </row>
    <row r="855" spans="1:20" ht="14.5" x14ac:dyDescent="0.35">
      <c r="A855" s="10" t="s">
        <v>9989</v>
      </c>
      <c r="B855" s="10" t="str">
        <f>"9780195135978"</f>
        <v>9780195135978</v>
      </c>
      <c r="C855" s="10" t="str">
        <f>"9780198031086"</f>
        <v>9780198031086</v>
      </c>
      <c r="D855" s="10" t="s">
        <v>9122</v>
      </c>
      <c r="E855" s="10" t="s">
        <v>9133</v>
      </c>
      <c r="F855" s="10" t="s">
        <v>70</v>
      </c>
      <c r="G855" s="10" t="s">
        <v>6317</v>
      </c>
      <c r="H855" s="11">
        <v>36888</v>
      </c>
      <c r="I855" s="10">
        <v>2000</v>
      </c>
      <c r="J855" s="10" t="s">
        <v>9133</v>
      </c>
      <c r="K855" s="10">
        <v>257</v>
      </c>
      <c r="L855" s="10" t="s">
        <v>9990</v>
      </c>
      <c r="M855" s="10">
        <v>1</v>
      </c>
      <c r="N855" s="10"/>
      <c r="O855" s="10"/>
      <c r="P855" s="10" t="s">
        <v>9991</v>
      </c>
      <c r="Q855" s="10" t="s">
        <v>7397</v>
      </c>
      <c r="R855" s="10" t="s">
        <v>9992</v>
      </c>
      <c r="S855" s="10" t="s">
        <v>53</v>
      </c>
      <c r="T855" s="10" t="s">
        <v>9993</v>
      </c>
    </row>
    <row r="856" spans="1:20" ht="14.5" x14ac:dyDescent="0.35">
      <c r="A856" s="10" t="s">
        <v>9994</v>
      </c>
      <c r="B856" s="10" t="str">
        <f>"9783110171501"</f>
        <v>9783110171501</v>
      </c>
      <c r="C856" s="10" t="str">
        <f>"9783110199833"</f>
        <v>9783110199833</v>
      </c>
      <c r="D856" s="10" t="s">
        <v>9995</v>
      </c>
      <c r="E856" s="10" t="s">
        <v>9996</v>
      </c>
      <c r="F856" s="10" t="s">
        <v>9997</v>
      </c>
      <c r="G856" s="10" t="s">
        <v>9998</v>
      </c>
      <c r="H856" s="11">
        <v>38791</v>
      </c>
      <c r="I856" s="10">
        <v>2006</v>
      </c>
      <c r="J856" s="10" t="s">
        <v>9996</v>
      </c>
      <c r="K856" s="10">
        <v>1236</v>
      </c>
      <c r="L856" s="10" t="s">
        <v>9999</v>
      </c>
      <c r="M856" s="10">
        <v>1</v>
      </c>
      <c r="N856" s="10" t="s">
        <v>10000</v>
      </c>
      <c r="O856" s="10" t="s">
        <v>10001</v>
      </c>
      <c r="P856" s="10" t="s">
        <v>10002</v>
      </c>
      <c r="Q856" s="10"/>
      <c r="R856" s="10"/>
      <c r="S856" s="10" t="s">
        <v>1519</v>
      </c>
      <c r="T856" s="10" t="s">
        <v>6616</v>
      </c>
    </row>
    <row r="857" spans="1:20" ht="14.5" x14ac:dyDescent="0.35">
      <c r="A857" s="10" t="s">
        <v>10003</v>
      </c>
      <c r="B857" s="10" t="str">
        <f>"9783110184181"</f>
        <v>9783110184181</v>
      </c>
      <c r="C857" s="10" t="str">
        <f>"9783110199871"</f>
        <v>9783110199871</v>
      </c>
      <c r="D857" s="10" t="s">
        <v>9995</v>
      </c>
      <c r="E857" s="10" t="s">
        <v>9996</v>
      </c>
      <c r="F857" s="10" t="s">
        <v>9997</v>
      </c>
      <c r="G857" s="10" t="s">
        <v>9998</v>
      </c>
      <c r="H857" s="11">
        <v>38888</v>
      </c>
      <c r="I857" s="10">
        <v>2006</v>
      </c>
      <c r="J857" s="10" t="s">
        <v>9996</v>
      </c>
      <c r="K857" s="10">
        <v>891</v>
      </c>
      <c r="L857" s="10" t="s">
        <v>10004</v>
      </c>
      <c r="M857" s="10">
        <v>2</v>
      </c>
      <c r="N857" s="10" t="s">
        <v>10000</v>
      </c>
      <c r="O857" s="12">
        <v>45354</v>
      </c>
      <c r="P857" s="10" t="s">
        <v>10005</v>
      </c>
      <c r="Q857" s="10"/>
      <c r="R857" s="10" t="s">
        <v>10006</v>
      </c>
      <c r="S857" s="10" t="s">
        <v>53</v>
      </c>
      <c r="T857" s="10" t="s">
        <v>6616</v>
      </c>
    </row>
    <row r="858" spans="1:20" ht="14.5" x14ac:dyDescent="0.35">
      <c r="A858" s="10" t="s">
        <v>10007</v>
      </c>
      <c r="B858" s="10" t="str">
        <f>"9783110185898"</f>
        <v>9783110185898</v>
      </c>
      <c r="C858" s="10" t="str">
        <f>"9783110199888"</f>
        <v>9783110199888</v>
      </c>
      <c r="D858" s="10" t="s">
        <v>9995</v>
      </c>
      <c r="E858" s="10" t="s">
        <v>9996</v>
      </c>
      <c r="F858" s="10" t="s">
        <v>10008</v>
      </c>
      <c r="G858" s="10" t="s">
        <v>9998</v>
      </c>
      <c r="H858" s="11">
        <v>38950</v>
      </c>
      <c r="I858" s="10">
        <v>2006</v>
      </c>
      <c r="J858" s="10" t="s">
        <v>10009</v>
      </c>
      <c r="K858" s="10">
        <v>854</v>
      </c>
      <c r="L858" s="10" t="s">
        <v>10010</v>
      </c>
      <c r="M858" s="10">
        <v>1</v>
      </c>
      <c r="N858" s="10" t="s">
        <v>10011</v>
      </c>
      <c r="O858" s="10">
        <v>60.1</v>
      </c>
      <c r="P858" s="10" t="s">
        <v>10012</v>
      </c>
      <c r="Q858" s="10"/>
      <c r="R858" s="10"/>
      <c r="S858" s="10" t="s">
        <v>53</v>
      </c>
      <c r="T858" s="10" t="s">
        <v>6616</v>
      </c>
    </row>
    <row r="859" spans="1:20" ht="14.5" x14ac:dyDescent="0.35">
      <c r="A859" s="10" t="s">
        <v>10013</v>
      </c>
      <c r="B859" s="10" t="str">
        <f>"9780871208330"</f>
        <v>9780871208330</v>
      </c>
      <c r="C859" s="10" t="str">
        <f>"9781416600725"</f>
        <v>9781416600725</v>
      </c>
      <c r="D859" s="10" t="s">
        <v>10014</v>
      </c>
      <c r="E859" s="10" t="s">
        <v>10015</v>
      </c>
      <c r="F859" s="10" t="s">
        <v>201</v>
      </c>
      <c r="G859" s="10" t="s">
        <v>6317</v>
      </c>
      <c r="H859" s="11">
        <v>37987</v>
      </c>
      <c r="I859" s="10">
        <v>2004</v>
      </c>
      <c r="J859" s="10" t="s">
        <v>10015</v>
      </c>
      <c r="K859" s="10">
        <v>170</v>
      </c>
      <c r="L859" s="10" t="s">
        <v>10016</v>
      </c>
      <c r="M859" s="10">
        <v>1</v>
      </c>
      <c r="N859" s="10"/>
      <c r="O859" s="10"/>
      <c r="P859" s="10" t="s">
        <v>10017</v>
      </c>
      <c r="Q859" s="10" t="s">
        <v>7069</v>
      </c>
      <c r="R859" s="10" t="s">
        <v>10018</v>
      </c>
      <c r="S859" s="10" t="s">
        <v>53</v>
      </c>
      <c r="T859" s="10" t="s">
        <v>54</v>
      </c>
    </row>
    <row r="860" spans="1:20" ht="14.5" x14ac:dyDescent="0.35">
      <c r="A860" s="10" t="s">
        <v>10019</v>
      </c>
      <c r="B860" s="10" t="str">
        <f>"9781416604723"</f>
        <v>9781416604723</v>
      </c>
      <c r="C860" s="10" t="str">
        <f>"9781416605614"</f>
        <v>9781416605614</v>
      </c>
      <c r="D860" s="10" t="s">
        <v>10014</v>
      </c>
      <c r="E860" s="10" t="s">
        <v>10015</v>
      </c>
      <c r="F860" s="10" t="s">
        <v>201</v>
      </c>
      <c r="G860" s="10" t="s">
        <v>6317</v>
      </c>
      <c r="H860" s="11">
        <v>38944</v>
      </c>
      <c r="I860" s="10">
        <v>2006</v>
      </c>
      <c r="J860" s="10" t="s">
        <v>10015</v>
      </c>
      <c r="K860" s="10">
        <v>211</v>
      </c>
      <c r="L860" s="10" t="s">
        <v>10020</v>
      </c>
      <c r="M860" s="10">
        <v>2</v>
      </c>
      <c r="N860" s="10"/>
      <c r="O860" s="10"/>
      <c r="P860" s="10" t="s">
        <v>10021</v>
      </c>
      <c r="Q860" s="10">
        <v>371.5</v>
      </c>
      <c r="R860" s="10" t="s">
        <v>10022</v>
      </c>
      <c r="S860" s="10" t="s">
        <v>53</v>
      </c>
      <c r="T860" s="10" t="s">
        <v>54</v>
      </c>
    </row>
    <row r="861" spans="1:20" ht="14.5" x14ac:dyDescent="0.35">
      <c r="A861" s="10" t="s">
        <v>10023</v>
      </c>
      <c r="B861" s="10" t="str">
        <f>"9781416603597"</f>
        <v>9781416603597</v>
      </c>
      <c r="C861" s="10" t="str">
        <f>"9781416605072"</f>
        <v>9781416605072</v>
      </c>
      <c r="D861" s="10" t="s">
        <v>10014</v>
      </c>
      <c r="E861" s="10" t="s">
        <v>10015</v>
      </c>
      <c r="F861" s="10" t="s">
        <v>201</v>
      </c>
      <c r="G861" s="10" t="s">
        <v>6317</v>
      </c>
      <c r="H861" s="11">
        <v>38869</v>
      </c>
      <c r="I861" s="10">
        <v>2006</v>
      </c>
      <c r="J861" s="10" t="s">
        <v>10015</v>
      </c>
      <c r="K861" s="10">
        <v>162</v>
      </c>
      <c r="L861" s="10" t="s">
        <v>10024</v>
      </c>
      <c r="M861" s="10">
        <v>1</v>
      </c>
      <c r="N861" s="10"/>
      <c r="O861" s="10"/>
      <c r="P861" s="10" t="s">
        <v>10025</v>
      </c>
      <c r="Q861" s="10">
        <v>507.1</v>
      </c>
      <c r="R861" s="10" t="s">
        <v>10026</v>
      </c>
      <c r="S861" s="10" t="s">
        <v>53</v>
      </c>
      <c r="T861" s="10" t="s">
        <v>10027</v>
      </c>
    </row>
    <row r="862" spans="1:20" ht="14.5" x14ac:dyDescent="0.35">
      <c r="A862" s="10" t="s">
        <v>10028</v>
      </c>
      <c r="B862" s="10" t="str">
        <f>"9780871205209"</f>
        <v>9780871205209</v>
      </c>
      <c r="C862" s="10" t="str">
        <f>"9781416604983"</f>
        <v>9781416604983</v>
      </c>
      <c r="D862" s="10" t="s">
        <v>10014</v>
      </c>
      <c r="E862" s="10" t="s">
        <v>10015</v>
      </c>
      <c r="F862" s="10" t="s">
        <v>201</v>
      </c>
      <c r="G862" s="10" t="s">
        <v>6317</v>
      </c>
      <c r="H862" s="11">
        <v>37165</v>
      </c>
      <c r="I862" s="10">
        <v>2001</v>
      </c>
      <c r="J862" s="10" t="s">
        <v>10015</v>
      </c>
      <c r="K862" s="10">
        <v>136</v>
      </c>
      <c r="L862" s="10" t="s">
        <v>10029</v>
      </c>
      <c r="M862" s="10">
        <v>1</v>
      </c>
      <c r="N862" s="10"/>
      <c r="O862" s="10"/>
      <c r="P862" s="10" t="s">
        <v>10030</v>
      </c>
      <c r="Q862" s="10" t="s">
        <v>10031</v>
      </c>
      <c r="R862" s="10" t="s">
        <v>10032</v>
      </c>
      <c r="S862" s="10" t="s">
        <v>53</v>
      </c>
      <c r="T862" s="10" t="s">
        <v>54</v>
      </c>
    </row>
    <row r="863" spans="1:20" ht="14.5" x14ac:dyDescent="0.35">
      <c r="A863" s="10" t="s">
        <v>10033</v>
      </c>
      <c r="B863" s="10" t="str">
        <f>"9781416600107"</f>
        <v>9781416600107</v>
      </c>
      <c r="C863" s="10" t="str">
        <f>"9781416601821"</f>
        <v>9781416601821</v>
      </c>
      <c r="D863" s="10" t="s">
        <v>10014</v>
      </c>
      <c r="E863" s="10" t="s">
        <v>10015</v>
      </c>
      <c r="F863" s="10" t="s">
        <v>201</v>
      </c>
      <c r="G863" s="10" t="s">
        <v>6317</v>
      </c>
      <c r="H863" s="11">
        <v>38322</v>
      </c>
      <c r="I863" s="10">
        <v>2004</v>
      </c>
      <c r="J863" s="10" t="s">
        <v>10015</v>
      </c>
      <c r="K863" s="10">
        <v>236</v>
      </c>
      <c r="L863" s="10" t="s">
        <v>10034</v>
      </c>
      <c r="M863" s="10">
        <v>1</v>
      </c>
      <c r="N863" s="10"/>
      <c r="O863" s="10"/>
      <c r="P863" s="10" t="s">
        <v>10035</v>
      </c>
      <c r="Q863" s="10">
        <v>371.10199999999998</v>
      </c>
      <c r="R863" s="10" t="s">
        <v>10036</v>
      </c>
      <c r="S863" s="10" t="s">
        <v>53</v>
      </c>
      <c r="T863" s="10" t="s">
        <v>54</v>
      </c>
    </row>
    <row r="864" spans="1:20" ht="14.5" x14ac:dyDescent="0.35">
      <c r="A864" s="10" t="s">
        <v>10037</v>
      </c>
      <c r="B864" s="10" t="str">
        <f>"9780871202543"</f>
        <v>9780871202543</v>
      </c>
      <c r="C864" s="10" t="str">
        <f>"9781416605003"</f>
        <v>9781416605003</v>
      </c>
      <c r="D864" s="10" t="s">
        <v>10014</v>
      </c>
      <c r="E864" s="10" t="s">
        <v>10015</v>
      </c>
      <c r="F864" s="10" t="s">
        <v>201</v>
      </c>
      <c r="G864" s="10" t="s">
        <v>6317</v>
      </c>
      <c r="H864" s="11">
        <v>35096</v>
      </c>
      <c r="I864" s="10">
        <v>1996</v>
      </c>
      <c r="J864" s="10" t="s">
        <v>10015</v>
      </c>
      <c r="K864" s="10">
        <v>68</v>
      </c>
      <c r="L864" s="10" t="s">
        <v>10038</v>
      </c>
      <c r="M864" s="10">
        <v>1</v>
      </c>
      <c r="N864" s="10"/>
      <c r="O864" s="10"/>
      <c r="P864" s="10" t="s">
        <v>10039</v>
      </c>
      <c r="Q864" s="10" t="s">
        <v>10040</v>
      </c>
      <c r="R864" s="10" t="s">
        <v>10041</v>
      </c>
      <c r="S864" s="10" t="s">
        <v>53</v>
      </c>
      <c r="T864" s="10" t="s">
        <v>54</v>
      </c>
    </row>
    <row r="865" spans="1:20" ht="14.5" x14ac:dyDescent="0.35">
      <c r="A865" s="10" t="s">
        <v>10042</v>
      </c>
      <c r="B865" s="10" t="str">
        <f>"9780871202321"</f>
        <v>9780871202321</v>
      </c>
      <c r="C865" s="10" t="str">
        <f>"9781416605041"</f>
        <v>9781416605041</v>
      </c>
      <c r="D865" s="10" t="s">
        <v>10014</v>
      </c>
      <c r="E865" s="10" t="s">
        <v>10015</v>
      </c>
      <c r="F865" s="10" t="s">
        <v>201</v>
      </c>
      <c r="G865" s="10" t="s">
        <v>6317</v>
      </c>
      <c r="H865" s="11">
        <v>34547</v>
      </c>
      <c r="I865" s="10">
        <v>1994</v>
      </c>
      <c r="J865" s="10" t="s">
        <v>10015</v>
      </c>
      <c r="K865" s="10">
        <v>95</v>
      </c>
      <c r="L865" s="10" t="s">
        <v>10043</v>
      </c>
      <c r="M865" s="10">
        <v>1</v>
      </c>
      <c r="N865" s="10"/>
      <c r="O865" s="10"/>
      <c r="P865" s="10" t="s">
        <v>10044</v>
      </c>
      <c r="Q865" s="10" t="s">
        <v>8800</v>
      </c>
      <c r="R865" s="10" t="s">
        <v>10045</v>
      </c>
      <c r="S865" s="10" t="s">
        <v>53</v>
      </c>
      <c r="T865" s="10" t="s">
        <v>6526</v>
      </c>
    </row>
    <row r="866" spans="1:20" ht="14.5" x14ac:dyDescent="0.35">
      <c r="A866" s="10" t="s">
        <v>10046</v>
      </c>
      <c r="B866" s="10" t="str">
        <f>"9780871202420"</f>
        <v>9780871202420</v>
      </c>
      <c r="C866" s="10" t="str">
        <f>"9781416604921"</f>
        <v>9781416604921</v>
      </c>
      <c r="D866" s="10" t="s">
        <v>10014</v>
      </c>
      <c r="E866" s="10" t="s">
        <v>10015</v>
      </c>
      <c r="F866" s="10" t="s">
        <v>201</v>
      </c>
      <c r="G866" s="10" t="s">
        <v>6317</v>
      </c>
      <c r="H866" s="11">
        <v>34773</v>
      </c>
      <c r="I866" s="10">
        <v>1995</v>
      </c>
      <c r="J866" s="10" t="s">
        <v>10014</v>
      </c>
      <c r="K866" s="10">
        <v>71</v>
      </c>
      <c r="L866" s="10" t="s">
        <v>10047</v>
      </c>
      <c r="M866" s="10">
        <v>1</v>
      </c>
      <c r="N866" s="10"/>
      <c r="O866" s="10"/>
      <c r="P866" s="10" t="s">
        <v>10048</v>
      </c>
      <c r="Q866" s="10">
        <v>371.1</v>
      </c>
      <c r="R866" s="10" t="s">
        <v>10049</v>
      </c>
      <c r="S866" s="10" t="s">
        <v>53</v>
      </c>
      <c r="T866" s="10" t="s">
        <v>54</v>
      </c>
    </row>
    <row r="867" spans="1:20" ht="14.5" x14ac:dyDescent="0.35">
      <c r="A867" s="10" t="s">
        <v>10050</v>
      </c>
      <c r="B867" s="10" t="str">
        <f>"9780871201997"</f>
        <v>9780871201997</v>
      </c>
      <c r="C867" s="10" t="str">
        <f>"9781416604853"</f>
        <v>9781416604853</v>
      </c>
      <c r="D867" s="10" t="s">
        <v>10014</v>
      </c>
      <c r="E867" s="10" t="s">
        <v>10015</v>
      </c>
      <c r="F867" s="10" t="s">
        <v>201</v>
      </c>
      <c r="G867" s="10" t="s">
        <v>6317</v>
      </c>
      <c r="H867" s="11">
        <v>33968</v>
      </c>
      <c r="I867" s="10">
        <v>1992</v>
      </c>
      <c r="J867" s="10" t="s">
        <v>10015</v>
      </c>
      <c r="K867" s="10">
        <v>115</v>
      </c>
      <c r="L867" s="10" t="s">
        <v>10051</v>
      </c>
      <c r="M867" s="10">
        <v>1</v>
      </c>
      <c r="N867" s="10"/>
      <c r="O867" s="10"/>
      <c r="P867" s="10" t="s">
        <v>10052</v>
      </c>
      <c r="Q867" s="10"/>
      <c r="R867" s="10" t="s">
        <v>10053</v>
      </c>
      <c r="S867" s="10" t="s">
        <v>53</v>
      </c>
      <c r="T867" s="10" t="s">
        <v>1166</v>
      </c>
    </row>
    <row r="868" spans="1:20" ht="14.5" x14ac:dyDescent="0.35">
      <c r="A868" s="10" t="s">
        <v>10054</v>
      </c>
      <c r="B868" s="10" t="str">
        <f>"9780871202352"</f>
        <v>9780871202352</v>
      </c>
      <c r="C868" s="10" t="str">
        <f>"9781416604877"</f>
        <v>9781416604877</v>
      </c>
      <c r="D868" s="10" t="s">
        <v>10014</v>
      </c>
      <c r="E868" s="10" t="s">
        <v>10015</v>
      </c>
      <c r="F868" s="10" t="s">
        <v>201</v>
      </c>
      <c r="G868" s="10" t="s">
        <v>6317</v>
      </c>
      <c r="H868" s="11">
        <v>34608</v>
      </c>
      <c r="I868" s="10">
        <v>1994</v>
      </c>
      <c r="J868" s="10" t="s">
        <v>10015</v>
      </c>
      <c r="K868" s="10">
        <v>75</v>
      </c>
      <c r="L868" s="10" t="s">
        <v>10055</v>
      </c>
      <c r="M868" s="10">
        <v>1</v>
      </c>
      <c r="N868" s="10"/>
      <c r="O868" s="10"/>
      <c r="P868" s="10" t="s">
        <v>10056</v>
      </c>
      <c r="Q868" s="10">
        <v>371.2</v>
      </c>
      <c r="R868" s="10" t="s">
        <v>10057</v>
      </c>
      <c r="S868" s="10" t="s">
        <v>53</v>
      </c>
      <c r="T868" s="10" t="s">
        <v>54</v>
      </c>
    </row>
    <row r="869" spans="1:20" ht="14.5" x14ac:dyDescent="0.35">
      <c r="A869" s="10" t="s">
        <v>10058</v>
      </c>
      <c r="B869" s="10" t="str">
        <f>"9780871202918"</f>
        <v>9780871202918</v>
      </c>
      <c r="C869" s="10" t="str">
        <f>"9781416604839"</f>
        <v>9781416604839</v>
      </c>
      <c r="D869" s="10" t="s">
        <v>10014</v>
      </c>
      <c r="E869" s="10" t="s">
        <v>10015</v>
      </c>
      <c r="F869" s="10" t="s">
        <v>201</v>
      </c>
      <c r="G869" s="10" t="s">
        <v>6317</v>
      </c>
      <c r="H869" s="11">
        <v>35735</v>
      </c>
      <c r="I869" s="10">
        <v>1997</v>
      </c>
      <c r="J869" s="10" t="s">
        <v>10015</v>
      </c>
      <c r="K869" s="10">
        <v>117</v>
      </c>
      <c r="L869" s="10" t="s">
        <v>10059</v>
      </c>
      <c r="M869" s="10">
        <v>1</v>
      </c>
      <c r="N869" s="10"/>
      <c r="O869" s="10"/>
      <c r="P869" s="10" t="s">
        <v>10060</v>
      </c>
      <c r="Q869" s="10">
        <v>371.39</v>
      </c>
      <c r="R869" s="10" t="s">
        <v>10061</v>
      </c>
      <c r="S869" s="10" t="s">
        <v>53</v>
      </c>
      <c r="T869" s="10" t="s">
        <v>54</v>
      </c>
    </row>
    <row r="870" spans="1:20" ht="14.5" x14ac:dyDescent="0.35">
      <c r="A870" s="10" t="s">
        <v>10062</v>
      </c>
      <c r="B870" s="10" t="str">
        <f>"9781416601555"</f>
        <v>9781416601555</v>
      </c>
      <c r="C870" s="10" t="str">
        <f>"9781416605164"</f>
        <v>9781416605164</v>
      </c>
      <c r="D870" s="10" t="s">
        <v>10014</v>
      </c>
      <c r="E870" s="10" t="s">
        <v>10015</v>
      </c>
      <c r="F870" s="10" t="s">
        <v>201</v>
      </c>
      <c r="G870" s="10" t="s">
        <v>6317</v>
      </c>
      <c r="H870" s="11">
        <v>38899</v>
      </c>
      <c r="I870" s="10">
        <v>2006</v>
      </c>
      <c r="J870" s="10" t="s">
        <v>10015</v>
      </c>
      <c r="K870" s="10">
        <v>489</v>
      </c>
      <c r="L870" s="10" t="s">
        <v>10063</v>
      </c>
      <c r="M870" s="10">
        <v>2</v>
      </c>
      <c r="N870" s="10"/>
      <c r="O870" s="10"/>
      <c r="P870" s="10" t="s">
        <v>10064</v>
      </c>
      <c r="Q870" s="10">
        <v>371.10199999999998</v>
      </c>
      <c r="R870" s="10" t="s">
        <v>10065</v>
      </c>
      <c r="S870" s="10" t="s">
        <v>53</v>
      </c>
      <c r="T870" s="10" t="s">
        <v>54</v>
      </c>
    </row>
    <row r="871" spans="1:20" ht="14.5" x14ac:dyDescent="0.35">
      <c r="A871" s="10" t="s">
        <v>10066</v>
      </c>
      <c r="B871" s="10" t="str">
        <f>"9780871202550"</f>
        <v>9780871202550</v>
      </c>
      <c r="C871" s="10" t="str">
        <f>"9781416604792"</f>
        <v>9781416604792</v>
      </c>
      <c r="D871" s="10" t="s">
        <v>10014</v>
      </c>
      <c r="E871" s="10" t="s">
        <v>10015</v>
      </c>
      <c r="F871" s="10" t="s">
        <v>201</v>
      </c>
      <c r="G871" s="10" t="s">
        <v>6317</v>
      </c>
      <c r="H871" s="11">
        <v>35004</v>
      </c>
      <c r="I871" s="10">
        <v>1995</v>
      </c>
      <c r="J871" s="10" t="s">
        <v>10015</v>
      </c>
      <c r="K871" s="10">
        <v>151</v>
      </c>
      <c r="L871" s="10" t="s">
        <v>10067</v>
      </c>
      <c r="M871" s="10">
        <v>1</v>
      </c>
      <c r="N871" s="10"/>
      <c r="O871" s="10"/>
      <c r="P871" s="10" t="s">
        <v>10068</v>
      </c>
      <c r="Q871" s="10" t="s">
        <v>9870</v>
      </c>
      <c r="R871" s="10" t="s">
        <v>10069</v>
      </c>
      <c r="S871" s="10" t="s">
        <v>53</v>
      </c>
      <c r="T871" s="10" t="s">
        <v>54</v>
      </c>
    </row>
    <row r="872" spans="1:20" ht="14.5" x14ac:dyDescent="0.35">
      <c r="A872" s="10" t="s">
        <v>10070</v>
      </c>
      <c r="B872" s="10" t="str">
        <f>"9780871203366"</f>
        <v>9780871203366</v>
      </c>
      <c r="C872" s="10" t="str">
        <f>"9781416604945"</f>
        <v>9781416604945</v>
      </c>
      <c r="D872" s="10" t="s">
        <v>10014</v>
      </c>
      <c r="E872" s="10" t="s">
        <v>10015</v>
      </c>
      <c r="F872" s="10" t="s">
        <v>201</v>
      </c>
      <c r="G872" s="10" t="s">
        <v>6317</v>
      </c>
      <c r="H872" s="11">
        <v>36192</v>
      </c>
      <c r="I872" s="10">
        <v>1999</v>
      </c>
      <c r="J872" s="10" t="s">
        <v>10015</v>
      </c>
      <c r="K872" s="10">
        <v>238</v>
      </c>
      <c r="L872" s="10" t="s">
        <v>10071</v>
      </c>
      <c r="M872" s="10">
        <v>1</v>
      </c>
      <c r="N872" s="10"/>
      <c r="O872" s="10"/>
      <c r="P872" s="10" t="s">
        <v>10072</v>
      </c>
      <c r="Q872" s="10">
        <v>371.2</v>
      </c>
      <c r="R872" s="10" t="s">
        <v>10073</v>
      </c>
      <c r="S872" s="10" t="s">
        <v>53</v>
      </c>
      <c r="T872" s="10" t="s">
        <v>54</v>
      </c>
    </row>
    <row r="873" spans="1:20" ht="14.5" x14ac:dyDescent="0.35">
      <c r="A873" s="10" t="s">
        <v>10074</v>
      </c>
      <c r="B873" s="10" t="str">
        <f>"9780871203038"</f>
        <v>9780871203038</v>
      </c>
      <c r="C873" s="10" t="str">
        <f>"9781416605027"</f>
        <v>9781416605027</v>
      </c>
      <c r="D873" s="10" t="s">
        <v>10014</v>
      </c>
      <c r="E873" s="10" t="s">
        <v>10015</v>
      </c>
      <c r="F873" s="10" t="s">
        <v>201</v>
      </c>
      <c r="G873" s="10" t="s">
        <v>6317</v>
      </c>
      <c r="H873" s="11">
        <v>35947</v>
      </c>
      <c r="I873" s="10">
        <v>1998</v>
      </c>
      <c r="J873" s="10" t="s">
        <v>10015</v>
      </c>
      <c r="K873" s="10">
        <v>144</v>
      </c>
      <c r="L873" s="10" t="s">
        <v>10075</v>
      </c>
      <c r="M873" s="10">
        <v>1</v>
      </c>
      <c r="N873" s="10"/>
      <c r="O873" s="10"/>
      <c r="P873" s="10" t="s">
        <v>10076</v>
      </c>
      <c r="Q873" s="10" t="s">
        <v>10077</v>
      </c>
      <c r="R873" s="10" t="s">
        <v>10078</v>
      </c>
      <c r="S873" s="10" t="s">
        <v>53</v>
      </c>
      <c r="T873" s="10" t="s">
        <v>54</v>
      </c>
    </row>
    <row r="874" spans="1:20" ht="14.5" x14ac:dyDescent="0.35">
      <c r="A874" s="10" t="s">
        <v>10079</v>
      </c>
      <c r="B874" s="10" t="str">
        <f>"9781416603696"</f>
        <v>9781416603696</v>
      </c>
      <c r="C874" s="10" t="str">
        <f>"9781416604907"</f>
        <v>9781416604907</v>
      </c>
      <c r="D874" s="10" t="s">
        <v>10014</v>
      </c>
      <c r="E874" s="10" t="s">
        <v>10015</v>
      </c>
      <c r="F874" s="10" t="s">
        <v>201</v>
      </c>
      <c r="G874" s="10" t="s">
        <v>6317</v>
      </c>
      <c r="H874" s="11">
        <v>38718</v>
      </c>
      <c r="I874" s="10">
        <v>2006</v>
      </c>
      <c r="J874" s="10" t="s">
        <v>10015</v>
      </c>
      <c r="K874" s="10">
        <v>186</v>
      </c>
      <c r="L874" s="10" t="s">
        <v>10080</v>
      </c>
      <c r="M874" s="10">
        <v>1</v>
      </c>
      <c r="N874" s="10"/>
      <c r="O874" s="10"/>
      <c r="P874" s="10" t="s">
        <v>10081</v>
      </c>
      <c r="Q874" s="10"/>
      <c r="R874" s="10"/>
      <c r="S874" s="10" t="s">
        <v>53</v>
      </c>
      <c r="T874" s="10" t="s">
        <v>389</v>
      </c>
    </row>
    <row r="875" spans="1:20" ht="14.5" x14ac:dyDescent="0.35">
      <c r="A875" s="10" t="s">
        <v>10082</v>
      </c>
      <c r="B875" s="10" t="str">
        <f>"9781416604136"</f>
        <v>9781416604136</v>
      </c>
      <c r="C875" s="10" t="str">
        <f>"9781416605683"</f>
        <v>9781416605683</v>
      </c>
      <c r="D875" s="10" t="s">
        <v>10014</v>
      </c>
      <c r="E875" s="10" t="s">
        <v>10015</v>
      </c>
      <c r="F875" s="10" t="s">
        <v>201</v>
      </c>
      <c r="G875" s="10" t="s">
        <v>6317</v>
      </c>
      <c r="H875" s="11">
        <v>38961</v>
      </c>
      <c r="I875" s="10">
        <v>2006</v>
      </c>
      <c r="J875" s="10" t="s">
        <v>10015</v>
      </c>
      <c r="K875" s="10">
        <v>142</v>
      </c>
      <c r="L875" s="10" t="s">
        <v>10080</v>
      </c>
      <c r="M875" s="10">
        <v>1</v>
      </c>
      <c r="N875" s="10" t="s">
        <v>10083</v>
      </c>
      <c r="O875" s="10"/>
      <c r="P875" s="10" t="s">
        <v>10084</v>
      </c>
      <c r="Q875" s="10" t="s">
        <v>10085</v>
      </c>
      <c r="R875" s="10" t="s">
        <v>10086</v>
      </c>
      <c r="S875" s="10" t="s">
        <v>53</v>
      </c>
      <c r="T875" s="10" t="s">
        <v>389</v>
      </c>
    </row>
    <row r="876" spans="1:20" ht="14.5" x14ac:dyDescent="0.35">
      <c r="A876" s="10" t="s">
        <v>10087</v>
      </c>
      <c r="B876" s="10" t="str">
        <f>"9780871209467"</f>
        <v>9780871209467</v>
      </c>
      <c r="C876" s="10" t="str">
        <f>"9781416602217"</f>
        <v>9781416602217</v>
      </c>
      <c r="D876" s="10" t="s">
        <v>10014</v>
      </c>
      <c r="E876" s="10" t="s">
        <v>10015</v>
      </c>
      <c r="F876" s="10" t="s">
        <v>201</v>
      </c>
      <c r="G876" s="10" t="s">
        <v>6317</v>
      </c>
      <c r="H876" s="11">
        <v>38229</v>
      </c>
      <c r="I876" s="10">
        <v>2004</v>
      </c>
      <c r="J876" s="10" t="s">
        <v>10015</v>
      </c>
      <c r="K876" s="10">
        <v>161</v>
      </c>
      <c r="L876" s="10" t="s">
        <v>10088</v>
      </c>
      <c r="M876" s="10">
        <v>1</v>
      </c>
      <c r="N876" s="10"/>
      <c r="O876" s="10"/>
      <c r="P876" s="10" t="s">
        <v>10089</v>
      </c>
      <c r="Q876" s="10">
        <v>372.41</v>
      </c>
      <c r="R876" s="10" t="s">
        <v>10090</v>
      </c>
      <c r="S876" s="10" t="s">
        <v>53</v>
      </c>
      <c r="T876" s="10" t="s">
        <v>54</v>
      </c>
    </row>
    <row r="877" spans="1:20" ht="14.5" x14ac:dyDescent="0.35">
      <c r="A877" s="10" t="s">
        <v>10091</v>
      </c>
      <c r="B877" s="10" t="str">
        <f>"9781416603580"</f>
        <v>9781416603580</v>
      </c>
      <c r="C877" s="10" t="str">
        <f>"9781416605652"</f>
        <v>9781416605652</v>
      </c>
      <c r="D877" s="10" t="s">
        <v>10014</v>
      </c>
      <c r="E877" s="10" t="s">
        <v>10015</v>
      </c>
      <c r="F877" s="10" t="s">
        <v>201</v>
      </c>
      <c r="G877" s="10" t="s">
        <v>6317</v>
      </c>
      <c r="H877" s="11">
        <v>38898</v>
      </c>
      <c r="I877" s="10">
        <v>2006</v>
      </c>
      <c r="J877" s="10" t="s">
        <v>10015</v>
      </c>
      <c r="K877" s="10">
        <v>208</v>
      </c>
      <c r="L877" s="10" t="s">
        <v>10092</v>
      </c>
      <c r="M877" s="10">
        <v>1</v>
      </c>
      <c r="N877" s="10"/>
      <c r="O877" s="10"/>
      <c r="P877" s="10" t="s">
        <v>10093</v>
      </c>
      <c r="Q877" s="10" t="s">
        <v>10094</v>
      </c>
      <c r="R877" s="10" t="s">
        <v>10095</v>
      </c>
      <c r="S877" s="10" t="s">
        <v>53</v>
      </c>
      <c r="T877" s="10" t="s">
        <v>54</v>
      </c>
    </row>
    <row r="878" spans="1:20" ht="14.5" x14ac:dyDescent="0.35">
      <c r="A878" s="10" t="s">
        <v>10096</v>
      </c>
      <c r="B878" s="10" t="str">
        <f>"9781416603276"</f>
        <v>9781416603276</v>
      </c>
      <c r="C878" s="10" t="str">
        <f>"9781416604679"</f>
        <v>9781416604679</v>
      </c>
      <c r="D878" s="10" t="s">
        <v>10014</v>
      </c>
      <c r="E878" s="10" t="s">
        <v>10015</v>
      </c>
      <c r="F878" s="10" t="s">
        <v>201</v>
      </c>
      <c r="G878" s="10" t="s">
        <v>6317</v>
      </c>
      <c r="H878" s="11">
        <v>38838</v>
      </c>
      <c r="I878" s="10">
        <v>2006</v>
      </c>
      <c r="J878" s="10" t="s">
        <v>10015</v>
      </c>
      <c r="K878" s="10">
        <v>258</v>
      </c>
      <c r="L878" s="10" t="s">
        <v>10097</v>
      </c>
      <c r="M878" s="10">
        <v>1</v>
      </c>
      <c r="N878" s="10"/>
      <c r="O878" s="10"/>
      <c r="P878" s="10" t="s">
        <v>10098</v>
      </c>
      <c r="Q878" s="10" t="s">
        <v>10094</v>
      </c>
      <c r="R878" s="10" t="s">
        <v>10099</v>
      </c>
      <c r="S878" s="10" t="s">
        <v>53</v>
      </c>
      <c r="T878" s="10" t="s">
        <v>54</v>
      </c>
    </row>
    <row r="879" spans="1:20" ht="14.5" x14ac:dyDescent="0.35">
      <c r="A879" s="10" t="s">
        <v>10100</v>
      </c>
      <c r="B879" s="10" t="str">
        <f>"9781416601470"</f>
        <v>9781416601470</v>
      </c>
      <c r="C879" s="10" t="str">
        <f>"9781416602569"</f>
        <v>9781416602569</v>
      </c>
      <c r="D879" s="10" t="s">
        <v>10014</v>
      </c>
      <c r="E879" s="10" t="s">
        <v>10015</v>
      </c>
      <c r="F879" s="10" t="s">
        <v>201</v>
      </c>
      <c r="G879" s="10" t="s">
        <v>6317</v>
      </c>
      <c r="H879" s="11">
        <v>38473</v>
      </c>
      <c r="I879" s="10">
        <v>2005</v>
      </c>
      <c r="J879" s="10" t="s">
        <v>10015</v>
      </c>
      <c r="K879" s="10">
        <v>192</v>
      </c>
      <c r="L879" s="10" t="s">
        <v>10101</v>
      </c>
      <c r="M879" s="10">
        <v>1</v>
      </c>
      <c r="N879" s="10"/>
      <c r="O879" s="10"/>
      <c r="P879" s="10" t="s">
        <v>10102</v>
      </c>
      <c r="Q879" s="10" t="s">
        <v>8587</v>
      </c>
      <c r="R879" s="10" t="s">
        <v>10103</v>
      </c>
      <c r="S879" s="10" t="s">
        <v>53</v>
      </c>
      <c r="T879" s="10" t="s">
        <v>54</v>
      </c>
    </row>
    <row r="880" spans="1:20" ht="14.5" x14ac:dyDescent="0.35">
      <c r="A880" s="10" t="s">
        <v>10104</v>
      </c>
      <c r="B880" s="10" t="str">
        <f>"9781416602378"</f>
        <v>9781416602378</v>
      </c>
      <c r="C880" s="10" t="str">
        <f>"9781416603269"</f>
        <v>9781416603269</v>
      </c>
      <c r="D880" s="10" t="s">
        <v>10014</v>
      </c>
      <c r="E880" s="10" t="s">
        <v>10015</v>
      </c>
      <c r="F880" s="10" t="s">
        <v>201</v>
      </c>
      <c r="G880" s="10" t="s">
        <v>6317</v>
      </c>
      <c r="H880" s="11">
        <v>38686</v>
      </c>
      <c r="I880" s="10">
        <v>2005</v>
      </c>
      <c r="J880" s="10" t="s">
        <v>10015</v>
      </c>
      <c r="K880" s="10">
        <v>188</v>
      </c>
      <c r="L880" s="10" t="s">
        <v>10105</v>
      </c>
      <c r="M880" s="10">
        <v>1</v>
      </c>
      <c r="N880" s="10"/>
      <c r="O880" s="10"/>
      <c r="P880" s="10" t="s">
        <v>10106</v>
      </c>
      <c r="Q880" s="10" t="s">
        <v>9954</v>
      </c>
      <c r="R880" s="10" t="s">
        <v>10022</v>
      </c>
      <c r="S880" s="10" t="s">
        <v>53</v>
      </c>
      <c r="T880" s="10" t="s">
        <v>54</v>
      </c>
    </row>
    <row r="881" spans="1:20" ht="14.5" x14ac:dyDescent="0.35">
      <c r="A881" s="10" t="s">
        <v>10107</v>
      </c>
      <c r="B881" s="10" t="str">
        <f>"9781416602699"</f>
        <v>9781416602699</v>
      </c>
      <c r="C881" s="10" t="str">
        <f>"9781416603658"</f>
        <v>9781416603658</v>
      </c>
      <c r="D881" s="10" t="s">
        <v>10014</v>
      </c>
      <c r="E881" s="10" t="s">
        <v>10015</v>
      </c>
      <c r="F881" s="10" t="s">
        <v>201</v>
      </c>
      <c r="G881" s="10" t="s">
        <v>6317</v>
      </c>
      <c r="H881" s="11">
        <v>38687</v>
      </c>
      <c r="I881" s="10">
        <v>2005</v>
      </c>
      <c r="J881" s="10" t="s">
        <v>10015</v>
      </c>
      <c r="K881" s="10">
        <v>229</v>
      </c>
      <c r="L881" s="10" t="s">
        <v>10108</v>
      </c>
      <c r="M881" s="10">
        <v>1</v>
      </c>
      <c r="N881" s="10"/>
      <c r="O881" s="10"/>
      <c r="P881" s="10" t="s">
        <v>10109</v>
      </c>
      <c r="Q881" s="10" t="s">
        <v>10110</v>
      </c>
      <c r="R881" s="10" t="s">
        <v>10111</v>
      </c>
      <c r="S881" s="10" t="s">
        <v>53</v>
      </c>
      <c r="T881" s="10" t="s">
        <v>389</v>
      </c>
    </row>
    <row r="882" spans="1:20" ht="14.5" x14ac:dyDescent="0.35">
      <c r="A882" s="10" t="s">
        <v>10112</v>
      </c>
      <c r="B882" s="10" t="str">
        <f>"9780871205131"</f>
        <v>9780871205131</v>
      </c>
      <c r="C882" s="10" t="str">
        <f>"9781416604761"</f>
        <v>9781416604761</v>
      </c>
      <c r="D882" s="10" t="s">
        <v>10014</v>
      </c>
      <c r="E882" s="10" t="s">
        <v>10015</v>
      </c>
      <c r="F882" s="10" t="s">
        <v>201</v>
      </c>
      <c r="G882" s="10" t="s">
        <v>6317</v>
      </c>
      <c r="H882" s="11">
        <v>36951</v>
      </c>
      <c r="I882" s="10">
        <v>2001</v>
      </c>
      <c r="J882" s="10" t="s">
        <v>10015</v>
      </c>
      <c r="K882" s="10">
        <v>220</v>
      </c>
      <c r="L882" s="10" t="s">
        <v>10113</v>
      </c>
      <c r="M882" s="10">
        <v>1</v>
      </c>
      <c r="N882" s="10"/>
      <c r="O882" s="10"/>
      <c r="P882" s="10" t="s">
        <v>10114</v>
      </c>
      <c r="Q882" s="10" t="s">
        <v>6942</v>
      </c>
      <c r="R882" s="10" t="s">
        <v>10115</v>
      </c>
      <c r="S882" s="10" t="s">
        <v>53</v>
      </c>
      <c r="T882" s="10" t="s">
        <v>54</v>
      </c>
    </row>
    <row r="883" spans="1:20" ht="14.5" x14ac:dyDescent="0.35">
      <c r="A883" s="10" t="s">
        <v>10116</v>
      </c>
      <c r="B883" s="10" t="str">
        <f>"9780871203816"</f>
        <v>9780871203816</v>
      </c>
      <c r="C883" s="10" t="str">
        <f>"9781416604815"</f>
        <v>9781416604815</v>
      </c>
      <c r="D883" s="10" t="s">
        <v>10014</v>
      </c>
      <c r="E883" s="10" t="s">
        <v>10015</v>
      </c>
      <c r="F883" s="10" t="s">
        <v>201</v>
      </c>
      <c r="G883" s="10" t="s">
        <v>6317</v>
      </c>
      <c r="H883" s="11">
        <v>36739</v>
      </c>
      <c r="I883" s="10">
        <v>2000</v>
      </c>
      <c r="J883" s="10" t="s">
        <v>10015</v>
      </c>
      <c r="K883" s="10">
        <v>167</v>
      </c>
      <c r="L883" s="10" t="s">
        <v>10117</v>
      </c>
      <c r="M883" s="10">
        <v>1</v>
      </c>
      <c r="N883" s="10"/>
      <c r="O883" s="10"/>
      <c r="P883" s="10" t="s">
        <v>10118</v>
      </c>
      <c r="Q883" s="10" t="s">
        <v>9954</v>
      </c>
      <c r="R883" s="10" t="s">
        <v>10119</v>
      </c>
      <c r="S883" s="10" t="s">
        <v>53</v>
      </c>
      <c r="T883" s="10" t="s">
        <v>54</v>
      </c>
    </row>
    <row r="884" spans="1:20" ht="14.5" x14ac:dyDescent="0.35">
      <c r="A884" s="10" t="s">
        <v>10120</v>
      </c>
      <c r="B884" s="10" t="str">
        <f>"9789004144507"</f>
        <v>9789004144507</v>
      </c>
      <c r="C884" s="10" t="str">
        <f>"9781433704727"</f>
        <v>9781433704727</v>
      </c>
      <c r="D884" s="10" t="s">
        <v>8564</v>
      </c>
      <c r="E884" s="10" t="s">
        <v>8565</v>
      </c>
      <c r="F884" s="10" t="s">
        <v>1420</v>
      </c>
      <c r="G884" s="10" t="s">
        <v>6317</v>
      </c>
      <c r="H884" s="11">
        <v>38518</v>
      </c>
      <c r="I884" s="10">
        <v>2005</v>
      </c>
      <c r="J884" s="10" t="s">
        <v>8565</v>
      </c>
      <c r="K884" s="10">
        <v>253</v>
      </c>
      <c r="L884" s="10" t="s">
        <v>10121</v>
      </c>
      <c r="M884" s="10">
        <v>1</v>
      </c>
      <c r="N884" s="10" t="s">
        <v>10122</v>
      </c>
      <c r="O884" s="10">
        <v>1</v>
      </c>
      <c r="P884" s="10" t="s">
        <v>10123</v>
      </c>
      <c r="Q884" s="10"/>
      <c r="R884" s="10"/>
      <c r="S884" s="10" t="s">
        <v>53</v>
      </c>
      <c r="T884" s="10" t="s">
        <v>4490</v>
      </c>
    </row>
    <row r="885" spans="1:20" ht="14.5" x14ac:dyDescent="0.35">
      <c r="A885" s="10" t="s">
        <v>10124</v>
      </c>
      <c r="B885" s="10" t="str">
        <f>"9789004141353"</f>
        <v>9789004141353</v>
      </c>
      <c r="C885" s="10" t="str">
        <f>"9781433706172"</f>
        <v>9781433706172</v>
      </c>
      <c r="D885" s="10" t="s">
        <v>8564</v>
      </c>
      <c r="E885" s="10" t="s">
        <v>8565</v>
      </c>
      <c r="F885" s="10" t="s">
        <v>1420</v>
      </c>
      <c r="G885" s="10" t="s">
        <v>6317</v>
      </c>
      <c r="H885" s="11">
        <v>38427</v>
      </c>
      <c r="I885" s="10">
        <v>2005</v>
      </c>
      <c r="J885" s="10" t="s">
        <v>8565</v>
      </c>
      <c r="K885" s="10">
        <v>748</v>
      </c>
      <c r="L885" s="10" t="s">
        <v>10125</v>
      </c>
      <c r="M885" s="10">
        <v>1</v>
      </c>
      <c r="N885" s="10" t="s">
        <v>10126</v>
      </c>
      <c r="O885" s="10">
        <v>22</v>
      </c>
      <c r="P885" s="10" t="s">
        <v>10127</v>
      </c>
      <c r="Q885" s="10"/>
      <c r="R885" s="10" t="s">
        <v>10128</v>
      </c>
      <c r="S885" s="10" t="s">
        <v>5404</v>
      </c>
      <c r="T885" s="10" t="s">
        <v>54</v>
      </c>
    </row>
    <row r="886" spans="1:20" ht="14.5" x14ac:dyDescent="0.35">
      <c r="A886" s="10" t="s">
        <v>10129</v>
      </c>
      <c r="B886" s="10" t="str">
        <f>"9789004144934"</f>
        <v>9789004144934</v>
      </c>
      <c r="C886" s="10" t="str">
        <f>"9781433705533"</f>
        <v>9781433705533</v>
      </c>
      <c r="D886" s="10" t="s">
        <v>8564</v>
      </c>
      <c r="E886" s="10" t="s">
        <v>8565</v>
      </c>
      <c r="F886" s="10" t="s">
        <v>1420</v>
      </c>
      <c r="G886" s="10" t="s">
        <v>6317</v>
      </c>
      <c r="H886" s="11">
        <v>38580</v>
      </c>
      <c r="I886" s="10">
        <v>2005</v>
      </c>
      <c r="J886" s="10" t="s">
        <v>8565</v>
      </c>
      <c r="K886" s="10">
        <v>195</v>
      </c>
      <c r="L886" s="10" t="s">
        <v>10130</v>
      </c>
      <c r="M886" s="10">
        <v>1</v>
      </c>
      <c r="N886" s="10" t="s">
        <v>10131</v>
      </c>
      <c r="O886" s="10">
        <v>3</v>
      </c>
      <c r="P886" s="10" t="s">
        <v>10132</v>
      </c>
      <c r="Q886" s="10" t="s">
        <v>10133</v>
      </c>
      <c r="R886" s="10"/>
      <c r="S886" s="10" t="s">
        <v>53</v>
      </c>
      <c r="T886" s="10" t="s">
        <v>54</v>
      </c>
    </row>
    <row r="887" spans="1:20" ht="14.5" x14ac:dyDescent="0.35">
      <c r="A887" s="10" t="s">
        <v>10134</v>
      </c>
      <c r="B887" s="10" t="str">
        <f>"9789004140530"</f>
        <v>9789004140530</v>
      </c>
      <c r="C887" s="10" t="str">
        <f>"9781433707469"</f>
        <v>9781433707469</v>
      </c>
      <c r="D887" s="10" t="s">
        <v>8564</v>
      </c>
      <c r="E887" s="10" t="s">
        <v>8565</v>
      </c>
      <c r="F887" s="10" t="s">
        <v>554</v>
      </c>
      <c r="G887" s="10" t="s">
        <v>9233</v>
      </c>
      <c r="H887" s="11">
        <v>38290</v>
      </c>
      <c r="I887" s="10">
        <v>2004</v>
      </c>
      <c r="J887" s="10" t="s">
        <v>8565</v>
      </c>
      <c r="K887" s="10">
        <v>342</v>
      </c>
      <c r="L887" s="10" t="s">
        <v>10135</v>
      </c>
      <c r="M887" s="10">
        <v>1</v>
      </c>
      <c r="N887" s="10"/>
      <c r="O887" s="10"/>
      <c r="P887" s="10" t="s">
        <v>10136</v>
      </c>
      <c r="Q887" s="10" t="s">
        <v>10137</v>
      </c>
      <c r="R887" s="10" t="s">
        <v>10138</v>
      </c>
      <c r="S887" s="10" t="s">
        <v>1519</v>
      </c>
      <c r="T887" s="10" t="s">
        <v>54</v>
      </c>
    </row>
    <row r="888" spans="1:20" ht="14.5" x14ac:dyDescent="0.35">
      <c r="A888" s="10" t="s">
        <v>10139</v>
      </c>
      <c r="B888" s="10" t="str">
        <f>"9789004141346"</f>
        <v>9789004141346</v>
      </c>
      <c r="C888" s="10" t="str">
        <f>"9781433707636"</f>
        <v>9781433707636</v>
      </c>
      <c r="D888" s="10" t="s">
        <v>8564</v>
      </c>
      <c r="E888" s="10" t="s">
        <v>8565</v>
      </c>
      <c r="F888" s="10" t="s">
        <v>1420</v>
      </c>
      <c r="G888" s="10" t="s">
        <v>6317</v>
      </c>
      <c r="H888" s="11">
        <v>38320</v>
      </c>
      <c r="I888" s="10">
        <v>2004</v>
      </c>
      <c r="J888" s="10" t="s">
        <v>8565</v>
      </c>
      <c r="K888" s="10">
        <v>462</v>
      </c>
      <c r="L888" s="10" t="s">
        <v>10140</v>
      </c>
      <c r="M888" s="10">
        <v>1</v>
      </c>
      <c r="N888" s="10" t="s">
        <v>10126</v>
      </c>
      <c r="O888" s="10">
        <v>21</v>
      </c>
      <c r="P888" s="10" t="s">
        <v>10141</v>
      </c>
      <c r="Q888" s="10" t="s">
        <v>10142</v>
      </c>
      <c r="R888" s="10"/>
      <c r="S888" s="10" t="s">
        <v>53</v>
      </c>
      <c r="T888" s="10" t="s">
        <v>54</v>
      </c>
    </row>
    <row r="889" spans="1:20" ht="14.5" x14ac:dyDescent="0.35">
      <c r="A889" s="10" t="s">
        <v>10143</v>
      </c>
      <c r="B889" s="10" t="str">
        <f>"9780195169690"</f>
        <v>9780195169690</v>
      </c>
      <c r="C889" s="10" t="str">
        <f>"9780198037934"</f>
        <v>9780198037934</v>
      </c>
      <c r="D889" s="10" t="s">
        <v>9122</v>
      </c>
      <c r="E889" s="10" t="s">
        <v>9133</v>
      </c>
      <c r="F889" s="10" t="s">
        <v>330</v>
      </c>
      <c r="G889" s="10" t="s">
        <v>6317</v>
      </c>
      <c r="H889" s="11">
        <v>38365</v>
      </c>
      <c r="I889" s="10">
        <v>2005</v>
      </c>
      <c r="J889" s="10" t="s">
        <v>9133</v>
      </c>
      <c r="K889" s="10">
        <v>150</v>
      </c>
      <c r="L889" s="10" t="s">
        <v>10144</v>
      </c>
      <c r="M889" s="10">
        <v>1</v>
      </c>
      <c r="N889" s="10"/>
      <c r="O889" s="10"/>
      <c r="P889" s="10" t="s">
        <v>10145</v>
      </c>
      <c r="Q889" s="10" t="s">
        <v>8223</v>
      </c>
      <c r="R889" s="10" t="s">
        <v>10146</v>
      </c>
      <c r="S889" s="10" t="s">
        <v>53</v>
      </c>
      <c r="T889" s="10" t="s">
        <v>54</v>
      </c>
    </row>
    <row r="890" spans="1:20" ht="14.5" x14ac:dyDescent="0.35">
      <c r="A890" s="10" t="s">
        <v>10147</v>
      </c>
      <c r="B890" s="10" t="str">
        <f>"9780195154047"</f>
        <v>9780195154047</v>
      </c>
      <c r="C890" s="10" t="str">
        <f>"9780195348378"</f>
        <v>9780195348378</v>
      </c>
      <c r="D890" s="10" t="s">
        <v>9122</v>
      </c>
      <c r="E890" s="10" t="s">
        <v>9133</v>
      </c>
      <c r="F890" s="10" t="s">
        <v>330</v>
      </c>
      <c r="G890" s="10" t="s">
        <v>6317</v>
      </c>
      <c r="H890" s="11">
        <v>37889</v>
      </c>
      <c r="I890" s="10">
        <v>2003</v>
      </c>
      <c r="J890" s="10" t="s">
        <v>9133</v>
      </c>
      <c r="K890" s="10">
        <v>416</v>
      </c>
      <c r="L890" s="10" t="s">
        <v>10148</v>
      </c>
      <c r="M890" s="10">
        <v>1</v>
      </c>
      <c r="N890" s="10"/>
      <c r="O890" s="10"/>
      <c r="P890" s="10" t="s">
        <v>10149</v>
      </c>
      <c r="Q890" s="10" t="s">
        <v>9803</v>
      </c>
      <c r="R890" s="10" t="s">
        <v>10150</v>
      </c>
      <c r="S890" s="10" t="s">
        <v>53</v>
      </c>
      <c r="T890" s="10" t="s">
        <v>483</v>
      </c>
    </row>
    <row r="891" spans="1:20" ht="14.5" x14ac:dyDescent="0.35">
      <c r="A891" s="10" t="s">
        <v>10151</v>
      </c>
      <c r="B891" s="10" t="str">
        <f>"9780195138115"</f>
        <v>9780195138115</v>
      </c>
      <c r="C891" s="10" t="str">
        <f>"9780198031598"</f>
        <v>9780198031598</v>
      </c>
      <c r="D891" s="10" t="s">
        <v>9122</v>
      </c>
      <c r="E891" s="10" t="s">
        <v>9227</v>
      </c>
      <c r="F891" s="10" t="s">
        <v>330</v>
      </c>
      <c r="G891" s="10" t="s">
        <v>6317</v>
      </c>
      <c r="H891" s="11">
        <v>39181</v>
      </c>
      <c r="I891" s="10">
        <v>2003</v>
      </c>
      <c r="J891" s="10" t="s">
        <v>9227</v>
      </c>
      <c r="K891" s="10">
        <v>513</v>
      </c>
      <c r="L891" s="10" t="s">
        <v>10152</v>
      </c>
      <c r="M891" s="10">
        <v>1</v>
      </c>
      <c r="N891" s="10"/>
      <c r="O891" s="10"/>
      <c r="P891" s="10" t="s">
        <v>10153</v>
      </c>
      <c r="Q891" s="10">
        <v>371.94</v>
      </c>
      <c r="R891" s="10" t="s">
        <v>10154</v>
      </c>
      <c r="S891" s="10" t="s">
        <v>53</v>
      </c>
      <c r="T891" s="10" t="s">
        <v>54</v>
      </c>
    </row>
    <row r="892" spans="1:20" ht="14.5" x14ac:dyDescent="0.35">
      <c r="A892" s="10" t="s">
        <v>10155</v>
      </c>
      <c r="B892" s="10" t="str">
        <f>"9780195157796"</f>
        <v>9780195157796</v>
      </c>
      <c r="C892" s="10" t="str">
        <f>"9780195348019"</f>
        <v>9780195348019</v>
      </c>
      <c r="D892" s="10" t="s">
        <v>9122</v>
      </c>
      <c r="E892" s="10" t="s">
        <v>9133</v>
      </c>
      <c r="F892" s="10" t="s">
        <v>330</v>
      </c>
      <c r="G892" s="10" t="s">
        <v>6317</v>
      </c>
      <c r="H892" s="11">
        <v>38085</v>
      </c>
      <c r="I892" s="10">
        <v>2004</v>
      </c>
      <c r="J892" s="10" t="s">
        <v>9133</v>
      </c>
      <c r="K892" s="10">
        <v>433</v>
      </c>
      <c r="L892" s="10" t="s">
        <v>10156</v>
      </c>
      <c r="M892" s="10">
        <v>1</v>
      </c>
      <c r="N892" s="10"/>
      <c r="O892" s="10"/>
      <c r="P892" s="10" t="s">
        <v>10157</v>
      </c>
      <c r="Q892" s="10" t="s">
        <v>7931</v>
      </c>
      <c r="R892" s="10" t="s">
        <v>10158</v>
      </c>
      <c r="S892" s="10" t="s">
        <v>53</v>
      </c>
      <c r="T892" s="10" t="s">
        <v>6640</v>
      </c>
    </row>
    <row r="893" spans="1:20" ht="14.5" x14ac:dyDescent="0.35">
      <c r="A893" s="10" t="s">
        <v>10159</v>
      </c>
      <c r="B893" s="10" t="str">
        <f>"9780199753710"</f>
        <v>9780199753710</v>
      </c>
      <c r="C893" s="10" t="str">
        <f>"9780195346947"</f>
        <v>9780195346947</v>
      </c>
      <c r="D893" s="10" t="s">
        <v>9122</v>
      </c>
      <c r="E893" s="10" t="s">
        <v>9133</v>
      </c>
      <c r="F893" s="10" t="s">
        <v>70</v>
      </c>
      <c r="G893" s="10" t="s">
        <v>6317</v>
      </c>
      <c r="H893" s="11">
        <v>38813</v>
      </c>
      <c r="I893" s="10">
        <v>2006</v>
      </c>
      <c r="J893" s="10" t="s">
        <v>9133</v>
      </c>
      <c r="K893" s="10">
        <v>605</v>
      </c>
      <c r="L893" s="10" t="s">
        <v>10160</v>
      </c>
      <c r="M893" s="10">
        <v>1</v>
      </c>
      <c r="N893" s="10"/>
      <c r="O893" s="10"/>
      <c r="P893" s="10" t="s">
        <v>10161</v>
      </c>
      <c r="Q893" s="10" t="s">
        <v>10162</v>
      </c>
      <c r="R893" s="10" t="s">
        <v>10163</v>
      </c>
      <c r="S893" s="10" t="s">
        <v>53</v>
      </c>
      <c r="T893" s="10" t="s">
        <v>6616</v>
      </c>
    </row>
    <row r="894" spans="1:20" ht="14.5" x14ac:dyDescent="0.35">
      <c r="A894" s="10" t="s">
        <v>10164</v>
      </c>
      <c r="B894" s="10" t="str">
        <f>"9780195151770"</f>
        <v>9780195151770</v>
      </c>
      <c r="C894" s="10" t="str">
        <f>"9780198034612"</f>
        <v>9780198034612</v>
      </c>
      <c r="D894" s="10" t="s">
        <v>9122</v>
      </c>
      <c r="E894" s="10" t="s">
        <v>9133</v>
      </c>
      <c r="F894" s="10" t="s">
        <v>330</v>
      </c>
      <c r="G894" s="10" t="s">
        <v>6317</v>
      </c>
      <c r="H894" s="11">
        <v>39860</v>
      </c>
      <c r="I894" s="10">
        <v>2005</v>
      </c>
      <c r="J894" s="10" t="s">
        <v>9133</v>
      </c>
      <c r="K894" s="10">
        <v>603</v>
      </c>
      <c r="L894" s="10" t="s">
        <v>10165</v>
      </c>
      <c r="M894" s="10">
        <v>1</v>
      </c>
      <c r="N894" s="10"/>
      <c r="O894" s="10"/>
      <c r="P894" s="10" t="s">
        <v>10166</v>
      </c>
      <c r="Q894" s="10" t="s">
        <v>10167</v>
      </c>
      <c r="R894" s="10" t="s">
        <v>10168</v>
      </c>
      <c r="S894" s="10" t="s">
        <v>53</v>
      </c>
      <c r="T894" s="10" t="s">
        <v>6616</v>
      </c>
    </row>
    <row r="895" spans="1:20" ht="14.5" x14ac:dyDescent="0.35">
      <c r="A895" s="10" t="s">
        <v>10169</v>
      </c>
      <c r="B895" s="10" t="str">
        <f>"9780253347374"</f>
        <v>9780253347374</v>
      </c>
      <c r="C895" s="10" t="str">
        <f>"9780253111906"</f>
        <v>9780253111906</v>
      </c>
      <c r="D895" s="10" t="s">
        <v>2455</v>
      </c>
      <c r="E895" s="10" t="s">
        <v>2455</v>
      </c>
      <c r="F895" s="10" t="s">
        <v>3101</v>
      </c>
      <c r="G895" s="10" t="s">
        <v>6317</v>
      </c>
      <c r="H895" s="11">
        <v>38847</v>
      </c>
      <c r="I895" s="10">
        <v>2006</v>
      </c>
      <c r="J895" s="10" t="s">
        <v>2455</v>
      </c>
      <c r="K895" s="10">
        <v>313</v>
      </c>
      <c r="L895" s="10" t="s">
        <v>10170</v>
      </c>
      <c r="M895" s="10">
        <v>1</v>
      </c>
      <c r="N895" s="10"/>
      <c r="O895" s="10"/>
      <c r="P895" s="10" t="s">
        <v>10171</v>
      </c>
      <c r="Q895" s="10" t="s">
        <v>10172</v>
      </c>
      <c r="R895" s="10" t="s">
        <v>10173</v>
      </c>
      <c r="S895" s="10" t="s">
        <v>53</v>
      </c>
      <c r="T895" s="10" t="s">
        <v>1166</v>
      </c>
    </row>
    <row r="896" spans="1:20" ht="14.5" x14ac:dyDescent="0.35">
      <c r="A896" s="10" t="s">
        <v>10174</v>
      </c>
      <c r="B896" s="10" t="str">
        <f>"9780123725417"</f>
        <v>9780123725417</v>
      </c>
      <c r="C896" s="10" t="str">
        <f>"9780080466491"</f>
        <v>9780080466491</v>
      </c>
      <c r="D896" s="10" t="s">
        <v>8547</v>
      </c>
      <c r="E896" s="10" t="s">
        <v>8548</v>
      </c>
      <c r="F896" s="10" t="s">
        <v>1232</v>
      </c>
      <c r="G896" s="10" t="s">
        <v>6317</v>
      </c>
      <c r="H896" s="11">
        <v>39038</v>
      </c>
      <c r="I896" s="10">
        <v>2007</v>
      </c>
      <c r="J896" s="10" t="s">
        <v>1231</v>
      </c>
      <c r="K896" s="10">
        <v>347</v>
      </c>
      <c r="L896" s="10" t="s">
        <v>10175</v>
      </c>
      <c r="M896" s="10">
        <v>1</v>
      </c>
      <c r="N896" s="10"/>
      <c r="O896" s="10"/>
      <c r="P896" s="10" t="s">
        <v>10176</v>
      </c>
      <c r="Q896" s="10" t="s">
        <v>6920</v>
      </c>
      <c r="R896" s="10" t="s">
        <v>10177</v>
      </c>
      <c r="S896" s="10" t="s">
        <v>53</v>
      </c>
      <c r="T896" s="10" t="s">
        <v>54</v>
      </c>
    </row>
    <row r="897" spans="1:20" ht="14.5" x14ac:dyDescent="0.35">
      <c r="A897" s="10" t="s">
        <v>10178</v>
      </c>
      <c r="B897" s="10" t="str">
        <f>"9781853599279"</f>
        <v>9781853599279</v>
      </c>
      <c r="C897" s="10" t="str">
        <f>"9781853599286"</f>
        <v>9781853599286</v>
      </c>
      <c r="D897" s="10" t="s">
        <v>8394</v>
      </c>
      <c r="E897" s="10" t="s">
        <v>8395</v>
      </c>
      <c r="F897" s="10" t="s">
        <v>8396</v>
      </c>
      <c r="G897" s="10" t="s">
        <v>6352</v>
      </c>
      <c r="H897" s="11">
        <v>39064</v>
      </c>
      <c r="I897" s="10">
        <v>2006</v>
      </c>
      <c r="J897" s="10" t="s">
        <v>8395</v>
      </c>
      <c r="K897" s="10">
        <v>279</v>
      </c>
      <c r="L897" s="10" t="s">
        <v>10179</v>
      </c>
      <c r="M897" s="10">
        <v>1</v>
      </c>
      <c r="N897" s="10" t="s">
        <v>8874</v>
      </c>
      <c r="O897" s="10">
        <v>20</v>
      </c>
      <c r="P897" s="10" t="s">
        <v>10180</v>
      </c>
      <c r="Q897" s="10">
        <v>418.00700000000001</v>
      </c>
      <c r="R897" s="10" t="s">
        <v>10181</v>
      </c>
      <c r="S897" s="10" t="s">
        <v>53</v>
      </c>
      <c r="T897" s="10" t="s">
        <v>6616</v>
      </c>
    </row>
    <row r="898" spans="1:20" ht="14.5" x14ac:dyDescent="0.35">
      <c r="A898" s="10" t="s">
        <v>10182</v>
      </c>
      <c r="B898" s="10" t="str">
        <f>"9781853599309"</f>
        <v>9781853599309</v>
      </c>
      <c r="C898" s="10" t="str">
        <f>"9781853599316"</f>
        <v>9781853599316</v>
      </c>
      <c r="D898" s="10" t="s">
        <v>8394</v>
      </c>
      <c r="E898" s="10" t="s">
        <v>8395</v>
      </c>
      <c r="F898" s="10" t="s">
        <v>8396</v>
      </c>
      <c r="G898" s="10" t="s">
        <v>6352</v>
      </c>
      <c r="H898" s="11">
        <v>39064</v>
      </c>
      <c r="I898" s="10">
        <v>2006</v>
      </c>
      <c r="J898" s="10" t="s">
        <v>8395</v>
      </c>
      <c r="K898" s="10">
        <v>263</v>
      </c>
      <c r="L898" s="10" t="s">
        <v>10183</v>
      </c>
      <c r="M898" s="10">
        <v>1</v>
      </c>
      <c r="N898" s="10" t="s">
        <v>8431</v>
      </c>
      <c r="O898" s="10">
        <v>135</v>
      </c>
      <c r="P898" s="10" t="s">
        <v>10184</v>
      </c>
      <c r="Q898" s="10" t="s">
        <v>10185</v>
      </c>
      <c r="R898" s="10" t="s">
        <v>10186</v>
      </c>
      <c r="S898" s="10" t="s">
        <v>53</v>
      </c>
      <c r="T898" s="10" t="s">
        <v>6616</v>
      </c>
    </row>
    <row r="899" spans="1:20" ht="14.5" x14ac:dyDescent="0.35">
      <c r="A899" s="10" t="s">
        <v>10187</v>
      </c>
      <c r="B899" s="10" t="str">
        <f>"9781853599354"</f>
        <v>9781853599354</v>
      </c>
      <c r="C899" s="10" t="str">
        <f>"9781853599361"</f>
        <v>9781853599361</v>
      </c>
      <c r="D899" s="10" t="s">
        <v>8394</v>
      </c>
      <c r="E899" s="10" t="s">
        <v>8395</v>
      </c>
      <c r="F899" s="10" t="s">
        <v>8396</v>
      </c>
      <c r="G899" s="10" t="s">
        <v>6352</v>
      </c>
      <c r="H899" s="11">
        <v>39069</v>
      </c>
      <c r="I899" s="10">
        <v>2007</v>
      </c>
      <c r="J899" s="10" t="s">
        <v>8395</v>
      </c>
      <c r="K899" s="10">
        <v>152</v>
      </c>
      <c r="L899" s="10" t="s">
        <v>10188</v>
      </c>
      <c r="M899" s="10">
        <v>1</v>
      </c>
      <c r="N899" s="10" t="s">
        <v>8874</v>
      </c>
      <c r="O899" s="10">
        <v>21</v>
      </c>
      <c r="P899" s="10" t="s">
        <v>10189</v>
      </c>
      <c r="Q899" s="10" t="s">
        <v>10190</v>
      </c>
      <c r="R899" s="10" t="s">
        <v>10191</v>
      </c>
      <c r="S899" s="10" t="s">
        <v>53</v>
      </c>
      <c r="T899" s="10" t="s">
        <v>6616</v>
      </c>
    </row>
    <row r="900" spans="1:20" ht="14.5" x14ac:dyDescent="0.35">
      <c r="A900" s="10" t="s">
        <v>10192</v>
      </c>
      <c r="B900" s="10" t="str">
        <f>"9781853599385"</f>
        <v>9781853599385</v>
      </c>
      <c r="C900" s="10" t="str">
        <f>"9781853599392"</f>
        <v>9781853599392</v>
      </c>
      <c r="D900" s="10" t="s">
        <v>8394</v>
      </c>
      <c r="E900" s="10" t="s">
        <v>8395</v>
      </c>
      <c r="F900" s="10" t="s">
        <v>8396</v>
      </c>
      <c r="G900" s="10" t="s">
        <v>6352</v>
      </c>
      <c r="H900" s="11">
        <v>39092</v>
      </c>
      <c r="I900" s="10">
        <v>2007</v>
      </c>
      <c r="J900" s="10" t="s">
        <v>8395</v>
      </c>
      <c r="K900" s="10">
        <v>194</v>
      </c>
      <c r="L900" s="10" t="s">
        <v>10193</v>
      </c>
      <c r="M900" s="10">
        <v>1</v>
      </c>
      <c r="N900" s="10" t="s">
        <v>8874</v>
      </c>
      <c r="O900" s="10">
        <v>22</v>
      </c>
      <c r="P900" s="10" t="s">
        <v>10194</v>
      </c>
      <c r="Q900" s="10">
        <v>418.00709999999998</v>
      </c>
      <c r="R900" s="10" t="s">
        <v>10195</v>
      </c>
      <c r="S900" s="10" t="s">
        <v>53</v>
      </c>
      <c r="T900" s="10" t="s">
        <v>6616</v>
      </c>
    </row>
    <row r="901" spans="1:20" ht="14.5" x14ac:dyDescent="0.35">
      <c r="A901" s="10" t="s">
        <v>10196</v>
      </c>
      <c r="B901" s="10" t="str">
        <f>"9781853599415"</f>
        <v>9781853599415</v>
      </c>
      <c r="C901" s="10" t="str">
        <f>"9781853599422"</f>
        <v>9781853599422</v>
      </c>
      <c r="D901" s="10" t="s">
        <v>8394</v>
      </c>
      <c r="E901" s="10" t="s">
        <v>8395</v>
      </c>
      <c r="F901" s="10" t="s">
        <v>8396</v>
      </c>
      <c r="G901" s="10" t="s">
        <v>6352</v>
      </c>
      <c r="H901" s="11">
        <v>39092</v>
      </c>
      <c r="I901" s="10">
        <v>2007</v>
      </c>
      <c r="J901" s="10" t="s">
        <v>8395</v>
      </c>
      <c r="K901" s="10">
        <v>223</v>
      </c>
      <c r="L901" s="10" t="s">
        <v>10197</v>
      </c>
      <c r="M901" s="10">
        <v>1</v>
      </c>
      <c r="N901" s="10" t="s">
        <v>8408</v>
      </c>
      <c r="O901" s="10">
        <v>8</v>
      </c>
      <c r="P901" s="10" t="s">
        <v>10198</v>
      </c>
      <c r="Q901" s="10" t="s">
        <v>10199</v>
      </c>
      <c r="R901" s="10" t="s">
        <v>10200</v>
      </c>
      <c r="S901" s="10" t="s">
        <v>53</v>
      </c>
      <c r="T901" s="10" t="s">
        <v>6498</v>
      </c>
    </row>
    <row r="902" spans="1:20" ht="14.5" x14ac:dyDescent="0.35">
      <c r="A902" s="10" t="s">
        <v>10201</v>
      </c>
      <c r="B902" s="10" t="str">
        <f>"9781853599446"</f>
        <v>9781853599446</v>
      </c>
      <c r="C902" s="10" t="str">
        <f>"9781853599453"</f>
        <v>9781853599453</v>
      </c>
      <c r="D902" s="10" t="s">
        <v>8394</v>
      </c>
      <c r="E902" s="10" t="s">
        <v>8395</v>
      </c>
      <c r="F902" s="10" t="s">
        <v>8396</v>
      </c>
      <c r="G902" s="10" t="s">
        <v>6352</v>
      </c>
      <c r="H902" s="11">
        <v>39105</v>
      </c>
      <c r="I902" s="10">
        <v>2007</v>
      </c>
      <c r="J902" s="10" t="s">
        <v>8395</v>
      </c>
      <c r="K902" s="10">
        <v>234</v>
      </c>
      <c r="L902" s="10" t="s">
        <v>10202</v>
      </c>
      <c r="M902" s="10">
        <v>1</v>
      </c>
      <c r="N902" s="10" t="s">
        <v>8403</v>
      </c>
      <c r="O902" s="10">
        <v>63</v>
      </c>
      <c r="P902" s="10" t="s">
        <v>10203</v>
      </c>
      <c r="Q902" s="10">
        <v>418.00709999999998</v>
      </c>
      <c r="R902" s="10" t="s">
        <v>10204</v>
      </c>
      <c r="S902" s="10" t="s">
        <v>53</v>
      </c>
      <c r="T902" s="10" t="s">
        <v>6616</v>
      </c>
    </row>
    <row r="903" spans="1:20" ht="14.5" x14ac:dyDescent="0.35">
      <c r="A903" s="10" t="s">
        <v>10205</v>
      </c>
      <c r="B903" s="10" t="str">
        <f>"9780897895712"</f>
        <v>9780897895712</v>
      </c>
      <c r="C903" s="10" t="str">
        <f>"9780313000706"</f>
        <v>9780313000706</v>
      </c>
      <c r="D903" s="10" t="s">
        <v>9777</v>
      </c>
      <c r="E903" s="10" t="s">
        <v>9792</v>
      </c>
      <c r="F903" s="10" t="s">
        <v>70</v>
      </c>
      <c r="G903" s="10" t="s">
        <v>6317</v>
      </c>
      <c r="H903" s="11">
        <v>36676</v>
      </c>
      <c r="I903" s="10">
        <v>2000</v>
      </c>
      <c r="J903" s="10" t="s">
        <v>9793</v>
      </c>
      <c r="K903" s="10">
        <v>190</v>
      </c>
      <c r="L903" s="10" t="s">
        <v>10206</v>
      </c>
      <c r="M903" s="10">
        <v>1</v>
      </c>
      <c r="N903" s="10" t="s">
        <v>10207</v>
      </c>
      <c r="O903" s="10"/>
      <c r="P903" s="10" t="s">
        <v>10208</v>
      </c>
      <c r="Q903" s="10"/>
      <c r="R903" s="10" t="s">
        <v>10209</v>
      </c>
      <c r="S903" s="10" t="s">
        <v>53</v>
      </c>
      <c r="T903" s="10" t="s">
        <v>54</v>
      </c>
    </row>
    <row r="904" spans="1:20" ht="14.5" x14ac:dyDescent="0.35">
      <c r="A904" s="10" t="s">
        <v>10210</v>
      </c>
      <c r="B904" s="10" t="str">
        <f>"9780897895859"</f>
        <v>9780897895859</v>
      </c>
      <c r="C904" s="10" t="str">
        <f>"9780313001277"</f>
        <v>9780313001277</v>
      </c>
      <c r="D904" s="10" t="s">
        <v>9777</v>
      </c>
      <c r="E904" s="10" t="s">
        <v>9792</v>
      </c>
      <c r="F904" s="10" t="s">
        <v>70</v>
      </c>
      <c r="G904" s="10" t="s">
        <v>6317</v>
      </c>
      <c r="H904" s="11">
        <v>36707</v>
      </c>
      <c r="I904" s="10">
        <v>2000</v>
      </c>
      <c r="J904" s="10" t="s">
        <v>9793</v>
      </c>
      <c r="K904" s="10">
        <v>208</v>
      </c>
      <c r="L904" s="10" t="s">
        <v>10211</v>
      </c>
      <c r="M904" s="10">
        <v>1</v>
      </c>
      <c r="N904" s="10"/>
      <c r="O904" s="10"/>
      <c r="P904" s="10" t="s">
        <v>10212</v>
      </c>
      <c r="Q904" s="10" t="s">
        <v>10213</v>
      </c>
      <c r="R904" s="10" t="s">
        <v>10214</v>
      </c>
      <c r="S904" s="10" t="s">
        <v>53</v>
      </c>
      <c r="T904" s="10" t="s">
        <v>54</v>
      </c>
    </row>
    <row r="905" spans="1:20" ht="14.5" x14ac:dyDescent="0.35">
      <c r="A905" s="10" t="s">
        <v>10215</v>
      </c>
      <c r="B905" s="10" t="str">
        <f>"9780897896924"</f>
        <v>9780897896924</v>
      </c>
      <c r="C905" s="10" t="str">
        <f>"9780313001291"</f>
        <v>9780313001291</v>
      </c>
      <c r="D905" s="10" t="s">
        <v>9777</v>
      </c>
      <c r="E905" s="10" t="s">
        <v>9792</v>
      </c>
      <c r="F905" s="10" t="s">
        <v>70</v>
      </c>
      <c r="G905" s="10" t="s">
        <v>6317</v>
      </c>
      <c r="H905" s="11">
        <v>36615</v>
      </c>
      <c r="I905" s="10">
        <v>2000</v>
      </c>
      <c r="J905" s="10" t="s">
        <v>9793</v>
      </c>
      <c r="K905" s="10">
        <v>204</v>
      </c>
      <c r="L905" s="10" t="s">
        <v>10216</v>
      </c>
      <c r="M905" s="10">
        <v>1</v>
      </c>
      <c r="N905" s="10"/>
      <c r="O905" s="10"/>
      <c r="P905" s="10" t="s">
        <v>10217</v>
      </c>
      <c r="Q905" s="10" t="s">
        <v>10218</v>
      </c>
      <c r="R905" s="10" t="s">
        <v>10219</v>
      </c>
      <c r="S905" s="10" t="s">
        <v>53</v>
      </c>
      <c r="T905" s="10" t="s">
        <v>54</v>
      </c>
    </row>
    <row r="906" spans="1:20" ht="14.5" x14ac:dyDescent="0.35">
      <c r="A906" s="10" t="s">
        <v>10220</v>
      </c>
      <c r="B906" s="10" t="str">
        <f>"9780897896450"</f>
        <v>9780897896450</v>
      </c>
      <c r="C906" s="10" t="str">
        <f>"9780313001314"</f>
        <v>9780313001314</v>
      </c>
      <c r="D906" s="10" t="s">
        <v>9777</v>
      </c>
      <c r="E906" s="10" t="s">
        <v>9792</v>
      </c>
      <c r="F906" s="10" t="s">
        <v>70</v>
      </c>
      <c r="G906" s="10" t="s">
        <v>6317</v>
      </c>
      <c r="H906" s="11">
        <v>36707</v>
      </c>
      <c r="I906" s="10">
        <v>2000</v>
      </c>
      <c r="J906" s="10" t="s">
        <v>9793</v>
      </c>
      <c r="K906" s="10">
        <v>232</v>
      </c>
      <c r="L906" s="10" t="s">
        <v>10221</v>
      </c>
      <c r="M906" s="10">
        <v>1</v>
      </c>
      <c r="N906" s="10"/>
      <c r="O906" s="10"/>
      <c r="P906" s="10" t="s">
        <v>10222</v>
      </c>
      <c r="Q906" s="10">
        <v>378.73</v>
      </c>
      <c r="R906" s="10" t="s">
        <v>10223</v>
      </c>
      <c r="S906" s="10" t="s">
        <v>53</v>
      </c>
      <c r="T906" s="10" t="s">
        <v>54</v>
      </c>
    </row>
    <row r="907" spans="1:20" ht="14.5" x14ac:dyDescent="0.35">
      <c r="A907" s="10" t="s">
        <v>10224</v>
      </c>
      <c r="B907" s="10" t="str">
        <f>"9780897897426"</f>
        <v>9780897897426</v>
      </c>
      <c r="C907" s="10" t="str">
        <f>"9780313001420"</f>
        <v>9780313001420</v>
      </c>
      <c r="D907" s="10" t="s">
        <v>9777</v>
      </c>
      <c r="E907" s="10" t="s">
        <v>9792</v>
      </c>
      <c r="F907" s="10" t="s">
        <v>70</v>
      </c>
      <c r="G907" s="10" t="s">
        <v>6317</v>
      </c>
      <c r="H907" s="11">
        <v>36768</v>
      </c>
      <c r="I907" s="10">
        <v>2000</v>
      </c>
      <c r="J907" s="10" t="s">
        <v>9793</v>
      </c>
      <c r="K907" s="10">
        <v>230</v>
      </c>
      <c r="L907" s="10" t="s">
        <v>10225</v>
      </c>
      <c r="M907" s="10">
        <v>1</v>
      </c>
      <c r="N907" s="10"/>
      <c r="O907" s="10"/>
      <c r="P907" s="10" t="s">
        <v>10226</v>
      </c>
      <c r="Q907" s="10" t="s">
        <v>10227</v>
      </c>
      <c r="R907" s="10" t="s">
        <v>10228</v>
      </c>
      <c r="S907" s="10" t="s">
        <v>53</v>
      </c>
      <c r="T907" s="10" t="s">
        <v>54</v>
      </c>
    </row>
    <row r="908" spans="1:20" ht="14.5" x14ac:dyDescent="0.35">
      <c r="A908" s="10" t="s">
        <v>10229</v>
      </c>
      <c r="B908" s="10" t="str">
        <f>"9780897897846"</f>
        <v>9780897897846</v>
      </c>
      <c r="C908" s="10" t="str">
        <f>"9780313002649"</f>
        <v>9780313002649</v>
      </c>
      <c r="D908" s="10" t="s">
        <v>9777</v>
      </c>
      <c r="E908" s="10" t="s">
        <v>9792</v>
      </c>
      <c r="F908" s="10" t="s">
        <v>70</v>
      </c>
      <c r="G908" s="10" t="s">
        <v>6317</v>
      </c>
      <c r="H908" s="11">
        <v>37072</v>
      </c>
      <c r="I908" s="10">
        <v>2001</v>
      </c>
      <c r="J908" s="10" t="s">
        <v>9793</v>
      </c>
      <c r="K908" s="10">
        <v>253</v>
      </c>
      <c r="L908" s="10" t="s">
        <v>10230</v>
      </c>
      <c r="M908" s="10">
        <v>1</v>
      </c>
      <c r="N908" s="10"/>
      <c r="O908" s="10"/>
      <c r="P908" s="10" t="s">
        <v>10231</v>
      </c>
      <c r="Q908" s="10" t="s">
        <v>10232</v>
      </c>
      <c r="R908" s="10" t="s">
        <v>10233</v>
      </c>
      <c r="S908" s="10" t="s">
        <v>53</v>
      </c>
      <c r="T908" s="10" t="s">
        <v>54</v>
      </c>
    </row>
    <row r="909" spans="1:20" ht="14.5" x14ac:dyDescent="0.35">
      <c r="A909" s="10" t="s">
        <v>10234</v>
      </c>
      <c r="B909" s="10" t="str">
        <f>"9781841500805"</f>
        <v>9781841500805</v>
      </c>
      <c r="C909" s="10" t="str">
        <f>"9781841509044"</f>
        <v>9781841509044</v>
      </c>
      <c r="D909" s="10" t="s">
        <v>9533</v>
      </c>
      <c r="E909" s="10" t="s">
        <v>10235</v>
      </c>
      <c r="F909" s="10" t="s">
        <v>10236</v>
      </c>
      <c r="G909" s="10" t="s">
        <v>6352</v>
      </c>
      <c r="H909" s="11">
        <v>38306</v>
      </c>
      <c r="I909" s="10">
        <v>2005</v>
      </c>
      <c r="J909" s="10" t="s">
        <v>10235</v>
      </c>
      <c r="K909" s="10">
        <v>346</v>
      </c>
      <c r="L909" s="10" t="s">
        <v>10237</v>
      </c>
      <c r="M909" s="10">
        <v>1</v>
      </c>
      <c r="N909" s="10"/>
      <c r="O909" s="10"/>
      <c r="P909" s="10" t="s">
        <v>10238</v>
      </c>
      <c r="Q909" s="10">
        <v>407.7</v>
      </c>
      <c r="R909" s="10" t="s">
        <v>10239</v>
      </c>
      <c r="S909" s="10" t="s">
        <v>53</v>
      </c>
      <c r="T909" s="10" t="s">
        <v>6616</v>
      </c>
    </row>
    <row r="910" spans="1:20" ht="14.5" x14ac:dyDescent="0.35">
      <c r="A910" s="10" t="s">
        <v>10240</v>
      </c>
      <c r="B910" s="10" t="str">
        <f>"9781841501277"</f>
        <v>9781841501277</v>
      </c>
      <c r="C910" s="10" t="str">
        <f>"9781841509228"</f>
        <v>9781841509228</v>
      </c>
      <c r="D910" s="10" t="s">
        <v>9533</v>
      </c>
      <c r="E910" s="10" t="s">
        <v>10235</v>
      </c>
      <c r="F910" s="10" t="s">
        <v>10236</v>
      </c>
      <c r="G910" s="10" t="s">
        <v>6352</v>
      </c>
      <c r="H910" s="11">
        <v>38534</v>
      </c>
      <c r="I910" s="10">
        <v>2005</v>
      </c>
      <c r="J910" s="10" t="s">
        <v>10235</v>
      </c>
      <c r="K910" s="10">
        <v>206</v>
      </c>
      <c r="L910" s="10" t="s">
        <v>10241</v>
      </c>
      <c r="M910" s="10">
        <v>1</v>
      </c>
      <c r="N910" s="10" t="s">
        <v>10242</v>
      </c>
      <c r="O910" s="10"/>
      <c r="P910" s="10" t="s">
        <v>10243</v>
      </c>
      <c r="Q910" s="10">
        <v>707.10941000000003</v>
      </c>
      <c r="R910" s="10" t="s">
        <v>10244</v>
      </c>
      <c r="S910" s="10" t="s">
        <v>53</v>
      </c>
      <c r="T910" s="10" t="s">
        <v>6384</v>
      </c>
    </row>
    <row r="911" spans="1:20" ht="14.5" x14ac:dyDescent="0.35">
      <c r="A911" s="10" t="s">
        <v>10245</v>
      </c>
      <c r="B911" s="10" t="str">
        <f>"9781841500614"</f>
        <v>9781841500614</v>
      </c>
      <c r="C911" s="10" t="str">
        <f>"9781841508962"</f>
        <v>9781841508962</v>
      </c>
      <c r="D911" s="10" t="s">
        <v>9533</v>
      </c>
      <c r="E911" s="10" t="s">
        <v>10235</v>
      </c>
      <c r="F911" s="10" t="s">
        <v>10236</v>
      </c>
      <c r="G911" s="10" t="s">
        <v>6352</v>
      </c>
      <c r="H911" s="11">
        <v>41278</v>
      </c>
      <c r="I911" s="10">
        <v>2004</v>
      </c>
      <c r="J911" s="10" t="s">
        <v>10235</v>
      </c>
      <c r="K911" s="10">
        <v>170</v>
      </c>
      <c r="L911" s="10" t="s">
        <v>10246</v>
      </c>
      <c r="M911" s="10">
        <v>1</v>
      </c>
      <c r="N911" s="10"/>
      <c r="O911" s="10"/>
      <c r="P911" s="10" t="s">
        <v>10247</v>
      </c>
      <c r="Q911" s="10">
        <v>371.334</v>
      </c>
      <c r="R911" s="10" t="s">
        <v>10248</v>
      </c>
      <c r="S911" s="10" t="s">
        <v>53</v>
      </c>
      <c r="T911" s="10" t="s">
        <v>54</v>
      </c>
    </row>
    <row r="912" spans="1:20" ht="14.5" x14ac:dyDescent="0.35">
      <c r="A912" s="10" t="s">
        <v>10249</v>
      </c>
      <c r="B912" s="10" t="str">
        <f>"9781841500218"</f>
        <v>9781841500218</v>
      </c>
      <c r="C912" s="10" t="str">
        <f>"9781841508252"</f>
        <v>9781841508252</v>
      </c>
      <c r="D912" s="10" t="s">
        <v>9533</v>
      </c>
      <c r="E912" s="10" t="s">
        <v>10235</v>
      </c>
      <c r="F912" s="10" t="s">
        <v>10236</v>
      </c>
      <c r="G912" s="10" t="s">
        <v>6352</v>
      </c>
      <c r="H912" s="11">
        <v>41277</v>
      </c>
      <c r="I912" s="10">
        <v>2013</v>
      </c>
      <c r="J912" s="10" t="s">
        <v>10235</v>
      </c>
      <c r="K912" s="10">
        <v>288</v>
      </c>
      <c r="L912" s="10" t="s">
        <v>10250</v>
      </c>
      <c r="M912" s="10">
        <v>2</v>
      </c>
      <c r="N912" s="10"/>
      <c r="O912" s="10"/>
      <c r="P912" s="10" t="s">
        <v>10251</v>
      </c>
      <c r="Q912" s="10">
        <v>153</v>
      </c>
      <c r="R912" s="10" t="s">
        <v>10252</v>
      </c>
      <c r="S912" s="10" t="s">
        <v>53</v>
      </c>
      <c r="T912" s="10" t="s">
        <v>483</v>
      </c>
    </row>
    <row r="913" spans="1:20" ht="14.5" x14ac:dyDescent="0.35">
      <c r="A913" s="10" t="s">
        <v>10253</v>
      </c>
      <c r="B913" s="10" t="str">
        <f>"9781841508535"</f>
        <v>9781841508535</v>
      </c>
      <c r="C913" s="10" t="str">
        <f>"9781841508139"</f>
        <v>9781841508139</v>
      </c>
      <c r="D913" s="10" t="s">
        <v>9533</v>
      </c>
      <c r="E913" s="10" t="s">
        <v>10235</v>
      </c>
      <c r="F913" s="10" t="s">
        <v>10236</v>
      </c>
      <c r="G913" s="10" t="s">
        <v>6352</v>
      </c>
      <c r="H913" s="11">
        <v>41277</v>
      </c>
      <c r="I913" s="10">
        <v>2001</v>
      </c>
      <c r="J913" s="10" t="s">
        <v>10235</v>
      </c>
      <c r="K913" s="10">
        <v>128</v>
      </c>
      <c r="L913" s="10" t="s">
        <v>10254</v>
      </c>
      <c r="M913" s="10">
        <v>1</v>
      </c>
      <c r="N913" s="10"/>
      <c r="O913" s="10"/>
      <c r="P913" s="10" t="s">
        <v>10255</v>
      </c>
      <c r="Q913" s="10" t="s">
        <v>10256</v>
      </c>
      <c r="R913" s="10" t="s">
        <v>10257</v>
      </c>
      <c r="S913" s="10" t="s">
        <v>53</v>
      </c>
      <c r="T913" s="10" t="s">
        <v>54</v>
      </c>
    </row>
    <row r="914" spans="1:20" ht="14.5" x14ac:dyDescent="0.35">
      <c r="A914" s="10" t="s">
        <v>10258</v>
      </c>
      <c r="B914" s="10" t="str">
        <f>"9781841501468"</f>
        <v>9781841501468</v>
      </c>
      <c r="C914" s="10" t="str">
        <f>"9781841509587"</f>
        <v>9781841509587</v>
      </c>
      <c r="D914" s="10" t="s">
        <v>9533</v>
      </c>
      <c r="E914" s="10" t="s">
        <v>10235</v>
      </c>
      <c r="F914" s="10" t="s">
        <v>10236</v>
      </c>
      <c r="G914" s="10" t="s">
        <v>6352</v>
      </c>
      <c r="H914" s="11">
        <v>38869</v>
      </c>
      <c r="I914" s="10">
        <v>2006</v>
      </c>
      <c r="J914" s="10" t="s">
        <v>10235</v>
      </c>
      <c r="K914" s="10">
        <v>168</v>
      </c>
      <c r="L914" s="10" t="s">
        <v>10259</v>
      </c>
      <c r="M914" s="10">
        <v>1</v>
      </c>
      <c r="N914" s="10" t="s">
        <v>10242</v>
      </c>
      <c r="O914" s="10"/>
      <c r="P914" s="10" t="s">
        <v>10260</v>
      </c>
      <c r="Q914" s="10">
        <v>700.7</v>
      </c>
      <c r="R914" s="10" t="s">
        <v>10261</v>
      </c>
      <c r="S914" s="10" t="s">
        <v>53</v>
      </c>
      <c r="T914" s="10" t="s">
        <v>6384</v>
      </c>
    </row>
    <row r="915" spans="1:20" ht="14.5" x14ac:dyDescent="0.35">
      <c r="A915" s="10" t="s">
        <v>10262</v>
      </c>
      <c r="B915" s="10" t="str">
        <f>"9780897897907"</f>
        <v>9780897897907</v>
      </c>
      <c r="C915" s="10" t="str">
        <f>"9780313004032"</f>
        <v>9780313004032</v>
      </c>
      <c r="D915" s="10" t="s">
        <v>9777</v>
      </c>
      <c r="E915" s="10" t="s">
        <v>9792</v>
      </c>
      <c r="F915" s="10" t="s">
        <v>70</v>
      </c>
      <c r="G915" s="10" t="s">
        <v>6317</v>
      </c>
      <c r="H915" s="11">
        <v>37164</v>
      </c>
      <c r="I915" s="10">
        <v>2001</v>
      </c>
      <c r="J915" s="10" t="s">
        <v>9793</v>
      </c>
      <c r="K915" s="10">
        <v>273</v>
      </c>
      <c r="L915" s="10" t="s">
        <v>10263</v>
      </c>
      <c r="M915" s="10">
        <v>1</v>
      </c>
      <c r="N915" s="10"/>
      <c r="O915" s="10"/>
      <c r="P915" s="10" t="s">
        <v>10264</v>
      </c>
      <c r="Q915" s="10" t="s">
        <v>10265</v>
      </c>
      <c r="R915" s="10" t="s">
        <v>10266</v>
      </c>
      <c r="S915" s="10" t="s">
        <v>53</v>
      </c>
      <c r="T915" s="10" t="s">
        <v>54</v>
      </c>
    </row>
    <row r="916" spans="1:20" ht="14.5" x14ac:dyDescent="0.35">
      <c r="A916" s="10" t="s">
        <v>10267</v>
      </c>
      <c r="B916" s="10" t="str">
        <f>"9780873552677"</f>
        <v>9780873552677</v>
      </c>
      <c r="C916" s="10" t="str">
        <f>"9781933531922"</f>
        <v>9781933531922</v>
      </c>
      <c r="D916" s="10" t="s">
        <v>3386</v>
      </c>
      <c r="E916" s="10" t="s">
        <v>3386</v>
      </c>
      <c r="F916" s="10" t="s">
        <v>9597</v>
      </c>
      <c r="G916" s="10" t="s">
        <v>6317</v>
      </c>
      <c r="H916" s="11">
        <v>38718</v>
      </c>
      <c r="I916" s="10">
        <v>2006</v>
      </c>
      <c r="J916" s="10" t="s">
        <v>3386</v>
      </c>
      <c r="K916" s="10">
        <v>293</v>
      </c>
      <c r="L916" s="10" t="s">
        <v>10268</v>
      </c>
      <c r="M916" s="10">
        <v>1</v>
      </c>
      <c r="N916" s="10"/>
      <c r="O916" s="10"/>
      <c r="P916" s="10" t="s">
        <v>10269</v>
      </c>
      <c r="Q916" s="10" t="s">
        <v>9441</v>
      </c>
      <c r="R916" s="10" t="s">
        <v>10270</v>
      </c>
      <c r="S916" s="10" t="s">
        <v>53</v>
      </c>
      <c r="T916" s="10" t="s">
        <v>54</v>
      </c>
    </row>
    <row r="917" spans="1:20" ht="14.5" x14ac:dyDescent="0.35">
      <c r="A917" s="10" t="s">
        <v>10271</v>
      </c>
      <c r="B917" s="10" t="str">
        <f>"9780873552615"</f>
        <v>9780873552615</v>
      </c>
      <c r="C917" s="10" t="str">
        <f>"9781933531915"</f>
        <v>9781933531915</v>
      </c>
      <c r="D917" s="10" t="s">
        <v>3386</v>
      </c>
      <c r="E917" s="10" t="s">
        <v>3386</v>
      </c>
      <c r="F917" s="10" t="s">
        <v>9597</v>
      </c>
      <c r="G917" s="10" t="s">
        <v>6317</v>
      </c>
      <c r="H917" s="11">
        <v>38718</v>
      </c>
      <c r="I917" s="10">
        <v>2006</v>
      </c>
      <c r="J917" s="10" t="s">
        <v>3386</v>
      </c>
      <c r="K917" s="10">
        <v>204</v>
      </c>
      <c r="L917" s="10" t="s">
        <v>10272</v>
      </c>
      <c r="M917" s="10">
        <v>1</v>
      </c>
      <c r="N917" s="10"/>
      <c r="O917" s="10"/>
      <c r="P917" s="10" t="s">
        <v>10273</v>
      </c>
      <c r="Q917" s="10" t="s">
        <v>9441</v>
      </c>
      <c r="R917" s="10" t="s">
        <v>10274</v>
      </c>
      <c r="S917" s="10" t="s">
        <v>53</v>
      </c>
      <c r="T917" s="10" t="s">
        <v>54</v>
      </c>
    </row>
    <row r="918" spans="1:20" ht="14.5" x14ac:dyDescent="0.35">
      <c r="A918" s="10" t="s">
        <v>10275</v>
      </c>
      <c r="B918" s="10" t="str">
        <f>"9781933531076"</f>
        <v>9781933531076</v>
      </c>
      <c r="C918" s="10" t="str">
        <f>"9781933531892"</f>
        <v>9781933531892</v>
      </c>
      <c r="D918" s="10" t="s">
        <v>3386</v>
      </c>
      <c r="E918" s="10" t="s">
        <v>3386</v>
      </c>
      <c r="F918" s="10" t="s">
        <v>9597</v>
      </c>
      <c r="G918" s="10" t="s">
        <v>6317</v>
      </c>
      <c r="H918" s="11">
        <v>38991</v>
      </c>
      <c r="I918" s="10">
        <v>2006</v>
      </c>
      <c r="J918" s="10" t="s">
        <v>3386</v>
      </c>
      <c r="K918" s="10">
        <v>107</v>
      </c>
      <c r="L918" s="10" t="s">
        <v>10276</v>
      </c>
      <c r="M918" s="10">
        <v>1</v>
      </c>
      <c r="N918" s="10"/>
      <c r="O918" s="10"/>
      <c r="P918" s="10" t="s">
        <v>10277</v>
      </c>
      <c r="Q918" s="10">
        <v>502.3</v>
      </c>
      <c r="R918" s="10" t="s">
        <v>10278</v>
      </c>
      <c r="S918" s="10" t="s">
        <v>53</v>
      </c>
      <c r="T918" s="10" t="s">
        <v>9608</v>
      </c>
    </row>
    <row r="919" spans="1:20" ht="14.5" x14ac:dyDescent="0.35">
      <c r="A919" s="10" t="s">
        <v>10279</v>
      </c>
      <c r="B919" s="10" t="str">
        <f>"9781933531069"</f>
        <v>9781933531069</v>
      </c>
      <c r="C919" s="10" t="str">
        <f>"9781933531885"</f>
        <v>9781933531885</v>
      </c>
      <c r="D919" s="10" t="s">
        <v>3386</v>
      </c>
      <c r="E919" s="10" t="s">
        <v>3386</v>
      </c>
      <c r="F919" s="10" t="s">
        <v>9597</v>
      </c>
      <c r="G919" s="10" t="s">
        <v>6317</v>
      </c>
      <c r="H919" s="11">
        <v>38991</v>
      </c>
      <c r="I919" s="10">
        <v>2006</v>
      </c>
      <c r="J919" s="10" t="s">
        <v>3386</v>
      </c>
      <c r="K919" s="10">
        <v>482</v>
      </c>
      <c r="L919" s="10" t="s">
        <v>10280</v>
      </c>
      <c r="M919" s="10">
        <v>1</v>
      </c>
      <c r="N919" s="10"/>
      <c r="O919" s="10"/>
      <c r="P919" s="10" t="s">
        <v>10281</v>
      </c>
      <c r="Q919" s="10" t="s">
        <v>9606</v>
      </c>
      <c r="R919" s="10" t="s">
        <v>10282</v>
      </c>
      <c r="S919" s="10" t="s">
        <v>53</v>
      </c>
      <c r="T919" s="10" t="s">
        <v>7193</v>
      </c>
    </row>
    <row r="920" spans="1:20" ht="14.5" x14ac:dyDescent="0.35">
      <c r="A920" s="10" t="s">
        <v>10283</v>
      </c>
      <c r="B920" s="10" t="str">
        <f>"9780873552608"</f>
        <v>9780873552608</v>
      </c>
      <c r="C920" s="10" t="str">
        <f>"9781933531908"</f>
        <v>9781933531908</v>
      </c>
      <c r="D920" s="10" t="s">
        <v>3386</v>
      </c>
      <c r="E920" s="10" t="s">
        <v>3386</v>
      </c>
      <c r="F920" s="10" t="s">
        <v>9597</v>
      </c>
      <c r="G920" s="10" t="s">
        <v>6317</v>
      </c>
      <c r="H920" s="11">
        <v>38718</v>
      </c>
      <c r="I920" s="10">
        <v>2006</v>
      </c>
      <c r="J920" s="10" t="s">
        <v>3386</v>
      </c>
      <c r="K920" s="10">
        <v>432</v>
      </c>
      <c r="L920" s="10" t="s">
        <v>10284</v>
      </c>
      <c r="M920" s="10">
        <v>1</v>
      </c>
      <c r="N920" s="10"/>
      <c r="O920" s="10"/>
      <c r="P920" s="10" t="s">
        <v>10285</v>
      </c>
      <c r="Q920" s="10" t="s">
        <v>10286</v>
      </c>
      <c r="R920" s="10" t="s">
        <v>10287</v>
      </c>
      <c r="S920" s="10" t="s">
        <v>53</v>
      </c>
      <c r="T920" s="10" t="s">
        <v>9608</v>
      </c>
    </row>
    <row r="921" spans="1:20" ht="14.5" x14ac:dyDescent="0.35">
      <c r="A921" s="10" t="s">
        <v>10288</v>
      </c>
      <c r="B921" s="10" t="str">
        <f>"9781930865860"</f>
        <v>9781930865860</v>
      </c>
      <c r="C921" s="10" t="str">
        <f>"9781933995373"</f>
        <v>9781933995373</v>
      </c>
      <c r="D921" s="10" t="s">
        <v>8687</v>
      </c>
      <c r="E921" s="10" t="s">
        <v>8687</v>
      </c>
      <c r="F921" s="10" t="s">
        <v>88</v>
      </c>
      <c r="G921" s="10" t="s">
        <v>6317</v>
      </c>
      <c r="H921" s="11">
        <v>38939</v>
      </c>
      <c r="I921" s="10">
        <v>2006</v>
      </c>
      <c r="J921" s="10" t="s">
        <v>8688</v>
      </c>
      <c r="K921" s="10">
        <v>186</v>
      </c>
      <c r="L921" s="10" t="s">
        <v>10289</v>
      </c>
      <c r="M921" s="10">
        <v>1</v>
      </c>
      <c r="N921" s="10"/>
      <c r="O921" s="10"/>
      <c r="P921" s="10" t="s">
        <v>10290</v>
      </c>
      <c r="Q921" s="10" t="s">
        <v>10291</v>
      </c>
      <c r="R921" s="10" t="s">
        <v>10292</v>
      </c>
      <c r="S921" s="10" t="s">
        <v>53</v>
      </c>
      <c r="T921" s="10" t="s">
        <v>54</v>
      </c>
    </row>
    <row r="922" spans="1:20" ht="14.5" x14ac:dyDescent="0.35">
      <c r="A922" s="10" t="s">
        <v>10293</v>
      </c>
      <c r="B922" s="10" t="str">
        <f>"9781846632341"</f>
        <v>9781846632341</v>
      </c>
      <c r="C922" s="10" t="str">
        <f>"9781846632358"</f>
        <v>9781846632358</v>
      </c>
      <c r="D922" s="10" t="s">
        <v>8699</v>
      </c>
      <c r="E922" s="10" t="s">
        <v>8699</v>
      </c>
      <c r="F922" s="10" t="s">
        <v>1019</v>
      </c>
      <c r="G922" s="10" t="s">
        <v>6352</v>
      </c>
      <c r="H922" s="11">
        <v>39017</v>
      </c>
      <c r="I922" s="10">
        <v>2006</v>
      </c>
      <c r="J922" s="10" t="s">
        <v>115</v>
      </c>
      <c r="K922" s="10">
        <v>75</v>
      </c>
      <c r="L922" s="10" t="s">
        <v>10294</v>
      </c>
      <c r="M922" s="10">
        <v>1</v>
      </c>
      <c r="N922" s="10"/>
      <c r="O922" s="10"/>
      <c r="P922" s="10" t="s">
        <v>10295</v>
      </c>
      <c r="Q922" s="10">
        <v>70.5</v>
      </c>
      <c r="R922" s="10" t="s">
        <v>10296</v>
      </c>
      <c r="S922" s="10" t="s">
        <v>53</v>
      </c>
      <c r="T922" s="10" t="s">
        <v>10297</v>
      </c>
    </row>
    <row r="923" spans="1:20" ht="14.5" x14ac:dyDescent="0.35">
      <c r="A923" s="10" t="s">
        <v>10298</v>
      </c>
      <c r="B923" s="10" t="str">
        <f>"9781846632549"</f>
        <v>9781846632549</v>
      </c>
      <c r="C923" s="10" t="str">
        <f>"9781846632556"</f>
        <v>9781846632556</v>
      </c>
      <c r="D923" s="10" t="s">
        <v>8699</v>
      </c>
      <c r="E923" s="10" t="s">
        <v>8699</v>
      </c>
      <c r="F923" s="10" t="s">
        <v>1019</v>
      </c>
      <c r="G923" s="10" t="s">
        <v>6352</v>
      </c>
      <c r="H923" s="11">
        <v>39052</v>
      </c>
      <c r="I923" s="10">
        <v>2006</v>
      </c>
      <c r="J923" s="10" t="s">
        <v>115</v>
      </c>
      <c r="K923" s="10">
        <v>160</v>
      </c>
      <c r="L923" s="10" t="s">
        <v>10299</v>
      </c>
      <c r="M923" s="10">
        <v>1</v>
      </c>
      <c r="N923" s="10"/>
      <c r="O923" s="10"/>
      <c r="P923" s="10" t="s">
        <v>10300</v>
      </c>
      <c r="Q923" s="10">
        <v>20</v>
      </c>
      <c r="R923" s="10" t="s">
        <v>10301</v>
      </c>
      <c r="S923" s="10" t="s">
        <v>53</v>
      </c>
      <c r="T923" s="10" t="s">
        <v>10302</v>
      </c>
    </row>
    <row r="924" spans="1:20" ht="14.5" x14ac:dyDescent="0.35">
      <c r="A924" s="10" t="s">
        <v>10303</v>
      </c>
      <c r="B924" s="10" t="str">
        <f>"9781846632426"</f>
        <v>9781846632426</v>
      </c>
      <c r="C924" s="10" t="str">
        <f>"9781846632433"</f>
        <v>9781846632433</v>
      </c>
      <c r="D924" s="10" t="s">
        <v>8699</v>
      </c>
      <c r="E924" s="10" t="s">
        <v>8699</v>
      </c>
      <c r="F924" s="10" t="s">
        <v>1019</v>
      </c>
      <c r="G924" s="10" t="s">
        <v>6352</v>
      </c>
      <c r="H924" s="11">
        <v>39045</v>
      </c>
      <c r="I924" s="10">
        <v>2006</v>
      </c>
      <c r="J924" s="10" t="s">
        <v>115</v>
      </c>
      <c r="K924" s="10">
        <v>120</v>
      </c>
      <c r="L924" s="10" t="s">
        <v>10304</v>
      </c>
      <c r="M924" s="10">
        <v>1</v>
      </c>
      <c r="N924" s="10"/>
      <c r="O924" s="10"/>
      <c r="P924" s="10" t="s">
        <v>10305</v>
      </c>
      <c r="Q924" s="10">
        <v>25.1</v>
      </c>
      <c r="R924" s="10" t="s">
        <v>10306</v>
      </c>
      <c r="S924" s="10" t="s">
        <v>53</v>
      </c>
      <c r="T924" s="10" t="s">
        <v>10302</v>
      </c>
    </row>
    <row r="925" spans="1:20" ht="14.5" x14ac:dyDescent="0.35">
      <c r="A925" s="10" t="s">
        <v>10307</v>
      </c>
      <c r="B925" s="10" t="str">
        <f>"9781846631627"</f>
        <v>9781846631627</v>
      </c>
      <c r="C925" s="10" t="str">
        <f>"9781846631634"</f>
        <v>9781846631634</v>
      </c>
      <c r="D925" s="10" t="s">
        <v>8699</v>
      </c>
      <c r="E925" s="10" t="s">
        <v>8699</v>
      </c>
      <c r="F925" s="10" t="s">
        <v>1019</v>
      </c>
      <c r="G925" s="10" t="s">
        <v>6352</v>
      </c>
      <c r="H925" s="11">
        <v>39024</v>
      </c>
      <c r="I925" s="10">
        <v>2006</v>
      </c>
      <c r="J925" s="10" t="s">
        <v>115</v>
      </c>
      <c r="K925" s="10">
        <v>141</v>
      </c>
      <c r="L925" s="10" t="s">
        <v>10308</v>
      </c>
      <c r="M925" s="10">
        <v>1</v>
      </c>
      <c r="N925" s="10"/>
      <c r="O925" s="10"/>
      <c r="P925" s="10" t="s">
        <v>10309</v>
      </c>
      <c r="Q925" s="10">
        <v>331.13309729999997</v>
      </c>
      <c r="R925" s="10" t="s">
        <v>10310</v>
      </c>
      <c r="S925" s="10" t="s">
        <v>53</v>
      </c>
      <c r="T925" s="10" t="s">
        <v>10311</v>
      </c>
    </row>
    <row r="926" spans="1:20" ht="14.5" x14ac:dyDescent="0.35">
      <c r="A926" s="10" t="s">
        <v>10312</v>
      </c>
      <c r="B926" s="10" t="str">
        <f>"9781846632242"</f>
        <v>9781846632242</v>
      </c>
      <c r="C926" s="10" t="str">
        <f>"9781846632259"</f>
        <v>9781846632259</v>
      </c>
      <c r="D926" s="10" t="s">
        <v>8699</v>
      </c>
      <c r="E926" s="10" t="s">
        <v>8699</v>
      </c>
      <c r="F926" s="10" t="s">
        <v>1019</v>
      </c>
      <c r="G926" s="10" t="s">
        <v>6352</v>
      </c>
      <c r="H926" s="11">
        <v>39052</v>
      </c>
      <c r="I926" s="10">
        <v>2006</v>
      </c>
      <c r="J926" s="10" t="s">
        <v>115</v>
      </c>
      <c r="K926" s="10">
        <v>184</v>
      </c>
      <c r="L926" s="10" t="s">
        <v>10313</v>
      </c>
      <c r="M926" s="10">
        <v>1</v>
      </c>
      <c r="N926" s="10"/>
      <c r="O926" s="10"/>
      <c r="P926" s="10" t="s">
        <v>10314</v>
      </c>
      <c r="Q926" s="10" t="s">
        <v>10315</v>
      </c>
      <c r="R926" s="10" t="s">
        <v>10316</v>
      </c>
      <c r="S926" s="10" t="s">
        <v>53</v>
      </c>
      <c r="T926" s="10" t="s">
        <v>54</v>
      </c>
    </row>
    <row r="927" spans="1:20" ht="14.5" x14ac:dyDescent="0.35">
      <c r="A927" s="10" t="s">
        <v>10317</v>
      </c>
      <c r="B927" s="10" t="str">
        <f>"9781846632600"</f>
        <v>9781846632600</v>
      </c>
      <c r="C927" s="10" t="str">
        <f>"9781846632617"</f>
        <v>9781846632617</v>
      </c>
      <c r="D927" s="10" t="s">
        <v>8699</v>
      </c>
      <c r="E927" s="10" t="s">
        <v>8699</v>
      </c>
      <c r="F927" s="10" t="s">
        <v>1019</v>
      </c>
      <c r="G927" s="10" t="s">
        <v>6352</v>
      </c>
      <c r="H927" s="11">
        <v>39028</v>
      </c>
      <c r="I927" s="10">
        <v>2006</v>
      </c>
      <c r="J927" s="10" t="s">
        <v>115</v>
      </c>
      <c r="K927" s="10">
        <v>213</v>
      </c>
      <c r="L927" s="10" t="s">
        <v>10318</v>
      </c>
      <c r="M927" s="10">
        <v>1</v>
      </c>
      <c r="N927" s="10"/>
      <c r="O927" s="10"/>
      <c r="P927" s="10" t="s">
        <v>10319</v>
      </c>
      <c r="Q927" s="10">
        <v>25.524000000000001</v>
      </c>
      <c r="R927" s="10" t="s">
        <v>10320</v>
      </c>
      <c r="S927" s="10" t="s">
        <v>53</v>
      </c>
      <c r="T927" s="10" t="s">
        <v>10302</v>
      </c>
    </row>
    <row r="928" spans="1:20" ht="14.5" x14ac:dyDescent="0.35">
      <c r="A928" s="10" t="s">
        <v>10321</v>
      </c>
      <c r="B928" s="10" t="str">
        <f>"9781846632488"</f>
        <v>9781846632488</v>
      </c>
      <c r="C928" s="10" t="str">
        <f>"9781846632495"</f>
        <v>9781846632495</v>
      </c>
      <c r="D928" s="10" t="s">
        <v>8699</v>
      </c>
      <c r="E928" s="10" t="s">
        <v>8699</v>
      </c>
      <c r="F928" s="10" t="s">
        <v>1019</v>
      </c>
      <c r="G928" s="10" t="s">
        <v>6352</v>
      </c>
      <c r="H928" s="11">
        <v>39038</v>
      </c>
      <c r="I928" s="10">
        <v>2006</v>
      </c>
      <c r="J928" s="10" t="s">
        <v>115</v>
      </c>
      <c r="K928" s="10">
        <v>141</v>
      </c>
      <c r="L928" s="10" t="s">
        <v>10322</v>
      </c>
      <c r="M928" s="10">
        <v>1</v>
      </c>
      <c r="N928" s="10"/>
      <c r="O928" s="10"/>
      <c r="P928" s="10" t="s">
        <v>10323</v>
      </c>
      <c r="Q928" s="10" t="s">
        <v>8916</v>
      </c>
      <c r="R928" s="10" t="s">
        <v>10324</v>
      </c>
      <c r="S928" s="10" t="s">
        <v>53</v>
      </c>
      <c r="T928" s="10" t="s">
        <v>54</v>
      </c>
    </row>
    <row r="929" spans="1:20" ht="14.5" x14ac:dyDescent="0.35">
      <c r="A929" s="10" t="s">
        <v>10325</v>
      </c>
      <c r="B929" s="10" t="str">
        <f>"9781846632044"</f>
        <v>9781846632044</v>
      </c>
      <c r="C929" s="10" t="str">
        <f>"9781846632051"</f>
        <v>9781846632051</v>
      </c>
      <c r="D929" s="10" t="s">
        <v>8699</v>
      </c>
      <c r="E929" s="10" t="s">
        <v>8699</v>
      </c>
      <c r="F929" s="10" t="s">
        <v>1019</v>
      </c>
      <c r="G929" s="10" t="s">
        <v>6352</v>
      </c>
      <c r="H929" s="11">
        <v>38996</v>
      </c>
      <c r="I929" s="10">
        <v>2006</v>
      </c>
      <c r="J929" s="10" t="s">
        <v>115</v>
      </c>
      <c r="K929" s="10">
        <v>35</v>
      </c>
      <c r="L929" s="10" t="s">
        <v>10326</v>
      </c>
      <c r="M929" s="10">
        <v>1</v>
      </c>
      <c r="N929" s="10"/>
      <c r="O929" s="10"/>
      <c r="P929" s="10" t="s">
        <v>10327</v>
      </c>
      <c r="Q929" s="10" t="s">
        <v>9544</v>
      </c>
      <c r="R929" s="10" t="s">
        <v>10328</v>
      </c>
      <c r="S929" s="10" t="s">
        <v>53</v>
      </c>
      <c r="T929" s="10" t="s">
        <v>10329</v>
      </c>
    </row>
    <row r="930" spans="1:20" ht="14.5" x14ac:dyDescent="0.35">
      <c r="A930" s="10" t="s">
        <v>10330</v>
      </c>
      <c r="B930" s="10" t="str">
        <f>"9781932792805"</f>
        <v>9781932792805</v>
      </c>
      <c r="C930" s="10" t="str">
        <f>"9781602580992"</f>
        <v>9781602580992</v>
      </c>
      <c r="D930" s="10" t="s">
        <v>10331</v>
      </c>
      <c r="E930" s="10" t="s">
        <v>10331</v>
      </c>
      <c r="F930" s="10" t="s">
        <v>1438</v>
      </c>
      <c r="G930" s="10" t="s">
        <v>6317</v>
      </c>
      <c r="H930" s="11">
        <v>39128</v>
      </c>
      <c r="I930" s="10">
        <v>2007</v>
      </c>
      <c r="J930" s="10" t="s">
        <v>10331</v>
      </c>
      <c r="K930" s="10">
        <v>242</v>
      </c>
      <c r="L930" s="10" t="s">
        <v>10332</v>
      </c>
      <c r="M930" s="10">
        <v>1</v>
      </c>
      <c r="N930" s="10" t="s">
        <v>10333</v>
      </c>
      <c r="O930" s="10"/>
      <c r="P930" s="10" t="s">
        <v>10334</v>
      </c>
      <c r="Q930" s="10" t="s">
        <v>10335</v>
      </c>
      <c r="R930" s="10" t="s">
        <v>10336</v>
      </c>
      <c r="S930" s="10" t="s">
        <v>53</v>
      </c>
      <c r="T930" s="10" t="s">
        <v>8346</v>
      </c>
    </row>
    <row r="931" spans="1:20" ht="14.5" x14ac:dyDescent="0.35">
      <c r="A931" s="10" t="s">
        <v>10337</v>
      </c>
      <c r="B931" s="10" t="str">
        <f>"9780815770305"</f>
        <v>9780815770305</v>
      </c>
      <c r="C931" s="10" t="str">
        <f>"9780815770329"</f>
        <v>9780815770329</v>
      </c>
      <c r="D931" s="10" t="s">
        <v>9752</v>
      </c>
      <c r="E931" s="10" t="s">
        <v>9753</v>
      </c>
      <c r="F931" s="10" t="s">
        <v>9754</v>
      </c>
      <c r="G931" s="10" t="s">
        <v>6317</v>
      </c>
      <c r="H931" s="11">
        <v>39101</v>
      </c>
      <c r="I931" s="10">
        <v>2007</v>
      </c>
      <c r="J931" s="10" t="s">
        <v>9753</v>
      </c>
      <c r="K931" s="10">
        <v>386</v>
      </c>
      <c r="L931" s="10" t="s">
        <v>10338</v>
      </c>
      <c r="M931" s="10">
        <v>1</v>
      </c>
      <c r="N931" s="10"/>
      <c r="O931" s="10"/>
      <c r="P931" s="10" t="s">
        <v>10339</v>
      </c>
      <c r="Q931" s="10"/>
      <c r="R931" s="10" t="s">
        <v>10340</v>
      </c>
      <c r="S931" s="10" t="s">
        <v>53</v>
      </c>
      <c r="T931" s="10" t="s">
        <v>5396</v>
      </c>
    </row>
    <row r="932" spans="1:20" ht="14.5" x14ac:dyDescent="0.35">
      <c r="A932" s="10" t="s">
        <v>10341</v>
      </c>
      <c r="B932" s="10" t="str">
        <f>"9780335212972"</f>
        <v>9780335212972</v>
      </c>
      <c r="C932" s="10" t="str">
        <f>"9780335224296"</f>
        <v>9780335224296</v>
      </c>
      <c r="D932" s="10" t="s">
        <v>10342</v>
      </c>
      <c r="E932" s="10" t="s">
        <v>10343</v>
      </c>
      <c r="F932" s="10" t="s">
        <v>10344</v>
      </c>
      <c r="G932" s="10" t="s">
        <v>6352</v>
      </c>
      <c r="H932" s="11">
        <v>37865</v>
      </c>
      <c r="I932" s="10">
        <v>2003</v>
      </c>
      <c r="J932" s="10" t="s">
        <v>10345</v>
      </c>
      <c r="K932" s="10">
        <v>147</v>
      </c>
      <c r="L932" s="10" t="s">
        <v>10346</v>
      </c>
      <c r="M932" s="10">
        <v>1</v>
      </c>
      <c r="N932" s="10" t="s">
        <v>10347</v>
      </c>
      <c r="O932" s="10"/>
      <c r="P932" s="10" t="s">
        <v>10348</v>
      </c>
      <c r="Q932" s="10"/>
      <c r="R932" s="10"/>
      <c r="S932" s="10" t="s">
        <v>53</v>
      </c>
      <c r="T932" s="10" t="s">
        <v>54</v>
      </c>
    </row>
    <row r="933" spans="1:20" ht="14.5" x14ac:dyDescent="0.35">
      <c r="A933" s="10" t="s">
        <v>10349</v>
      </c>
      <c r="B933" s="10" t="str">
        <f>"9780335213948"</f>
        <v>9780335213948</v>
      </c>
      <c r="C933" s="10" t="str">
        <f>"9780335224913"</f>
        <v>9780335224913</v>
      </c>
      <c r="D933" s="10" t="s">
        <v>10342</v>
      </c>
      <c r="E933" s="10" t="s">
        <v>10343</v>
      </c>
      <c r="F933" s="10" t="s">
        <v>10344</v>
      </c>
      <c r="G933" s="10" t="s">
        <v>6352</v>
      </c>
      <c r="H933" s="11">
        <v>38534</v>
      </c>
      <c r="I933" s="10">
        <v>2005</v>
      </c>
      <c r="J933" s="10" t="s">
        <v>10345</v>
      </c>
      <c r="K933" s="10">
        <v>207</v>
      </c>
      <c r="L933" s="10" t="s">
        <v>10350</v>
      </c>
      <c r="M933" s="10">
        <v>1</v>
      </c>
      <c r="N933" s="10" t="s">
        <v>10347</v>
      </c>
      <c r="O933" s="10"/>
      <c r="P933" s="10" t="s">
        <v>10351</v>
      </c>
      <c r="Q933" s="10">
        <v>300.72000000000003</v>
      </c>
      <c r="R933" s="10" t="s">
        <v>10352</v>
      </c>
      <c r="S933" s="10" t="s">
        <v>53</v>
      </c>
      <c r="T933" s="10" t="s">
        <v>9819</v>
      </c>
    </row>
    <row r="934" spans="1:20" ht="14.5" x14ac:dyDescent="0.35">
      <c r="A934" s="10" t="s">
        <v>10353</v>
      </c>
      <c r="B934" s="10" t="str">
        <f>"9780335215409"</f>
        <v>9780335215409</v>
      </c>
      <c r="C934" s="10" t="str">
        <f>"9780335223978"</f>
        <v>9780335223978</v>
      </c>
      <c r="D934" s="10" t="s">
        <v>10342</v>
      </c>
      <c r="E934" s="10" t="s">
        <v>10343</v>
      </c>
      <c r="F934" s="10" t="s">
        <v>10354</v>
      </c>
      <c r="G934" s="10" t="s">
        <v>6352</v>
      </c>
      <c r="H934" s="11">
        <v>38322</v>
      </c>
      <c r="I934" s="10">
        <v>2004</v>
      </c>
      <c r="J934" s="10" t="s">
        <v>10345</v>
      </c>
      <c r="K934" s="10">
        <v>198</v>
      </c>
      <c r="L934" s="10" t="s">
        <v>10355</v>
      </c>
      <c r="M934" s="10">
        <v>1</v>
      </c>
      <c r="N934" s="10" t="s">
        <v>10347</v>
      </c>
      <c r="O934" s="10"/>
      <c r="P934" s="10" t="s">
        <v>10356</v>
      </c>
      <c r="Q934" s="10">
        <v>372.21</v>
      </c>
      <c r="R934" s="10" t="s">
        <v>10357</v>
      </c>
      <c r="S934" s="10" t="s">
        <v>53</v>
      </c>
      <c r="T934" s="10" t="s">
        <v>54</v>
      </c>
    </row>
    <row r="935" spans="1:20" ht="14.5" x14ac:dyDescent="0.35">
      <c r="A935" s="10" t="s">
        <v>10358</v>
      </c>
      <c r="B935" s="10" t="str">
        <f>"9780335219452"</f>
        <v>9780335219452</v>
      </c>
      <c r="C935" s="10" t="str">
        <f>"9780335224999"</f>
        <v>9780335224999</v>
      </c>
      <c r="D935" s="10" t="s">
        <v>10342</v>
      </c>
      <c r="E935" s="10" t="s">
        <v>10343</v>
      </c>
      <c r="F935" s="10" t="s">
        <v>10344</v>
      </c>
      <c r="G935" s="10" t="s">
        <v>6352</v>
      </c>
      <c r="H935" s="11">
        <v>38899</v>
      </c>
      <c r="I935" s="10">
        <v>2006</v>
      </c>
      <c r="J935" s="10" t="s">
        <v>10343</v>
      </c>
      <c r="K935" s="10">
        <v>250</v>
      </c>
      <c r="L935" s="10" t="s">
        <v>10359</v>
      </c>
      <c r="M935" s="10">
        <v>2</v>
      </c>
      <c r="N935" s="10" t="s">
        <v>10360</v>
      </c>
      <c r="O935" s="10"/>
      <c r="P935" s="10" t="s">
        <v>10361</v>
      </c>
      <c r="Q935" s="10"/>
      <c r="R935" s="10" t="s">
        <v>10362</v>
      </c>
      <c r="S935" s="10" t="s">
        <v>53</v>
      </c>
      <c r="T935" s="10" t="s">
        <v>483</v>
      </c>
    </row>
    <row r="936" spans="1:20" ht="14.5" x14ac:dyDescent="0.35">
      <c r="A936" s="10" t="s">
        <v>10363</v>
      </c>
      <c r="B936" s="10" t="str">
        <f>"9780335215423"</f>
        <v>9780335215423</v>
      </c>
      <c r="C936" s="10" t="str">
        <f>"9780335224579"</f>
        <v>9780335224579</v>
      </c>
      <c r="D936" s="10" t="s">
        <v>10342</v>
      </c>
      <c r="E936" s="10" t="s">
        <v>10343</v>
      </c>
      <c r="F936" s="10" t="s">
        <v>10344</v>
      </c>
      <c r="G936" s="10" t="s">
        <v>6352</v>
      </c>
      <c r="H936" s="11">
        <v>38292</v>
      </c>
      <c r="I936" s="10">
        <v>2004</v>
      </c>
      <c r="J936" s="10" t="s">
        <v>10345</v>
      </c>
      <c r="K936" s="10">
        <v>201</v>
      </c>
      <c r="L936" s="10" t="s">
        <v>10364</v>
      </c>
      <c r="M936" s="10">
        <v>1</v>
      </c>
      <c r="N936" s="10" t="s">
        <v>10347</v>
      </c>
      <c r="O936" s="10"/>
      <c r="P936" s="10" t="s">
        <v>10365</v>
      </c>
      <c r="Q936" s="10"/>
      <c r="R936" s="10" t="s">
        <v>10073</v>
      </c>
      <c r="S936" s="10" t="s">
        <v>53</v>
      </c>
      <c r="T936" s="10" t="s">
        <v>54</v>
      </c>
    </row>
    <row r="937" spans="1:20" ht="14.5" x14ac:dyDescent="0.35">
      <c r="A937" s="10" t="s">
        <v>10366</v>
      </c>
      <c r="B937" s="10" t="str">
        <f>"9780335212897"</f>
        <v>9780335212897</v>
      </c>
      <c r="C937" s="10" t="str">
        <f>"9780335224142"</f>
        <v>9780335224142</v>
      </c>
      <c r="D937" s="10" t="s">
        <v>10342</v>
      </c>
      <c r="E937" s="10" t="s">
        <v>10343</v>
      </c>
      <c r="F937" s="10" t="s">
        <v>10344</v>
      </c>
      <c r="G937" s="10" t="s">
        <v>6352</v>
      </c>
      <c r="H937" s="11">
        <v>38261</v>
      </c>
      <c r="I937" s="10">
        <v>2004</v>
      </c>
      <c r="J937" s="10" t="s">
        <v>10345</v>
      </c>
      <c r="K937" s="10">
        <v>200</v>
      </c>
      <c r="L937" s="10" t="s">
        <v>10367</v>
      </c>
      <c r="M937" s="10">
        <v>1</v>
      </c>
      <c r="N937" s="10"/>
      <c r="O937" s="10"/>
      <c r="P937" s="10" t="s">
        <v>10368</v>
      </c>
      <c r="Q937" s="10">
        <v>378.19900000000001</v>
      </c>
      <c r="R937" s="10"/>
      <c r="S937" s="10" t="s">
        <v>53</v>
      </c>
      <c r="T937" s="10" t="s">
        <v>54</v>
      </c>
    </row>
    <row r="938" spans="1:20" ht="14.5" x14ac:dyDescent="0.35">
      <c r="A938" s="10" t="s">
        <v>10369</v>
      </c>
      <c r="B938" s="10" t="str">
        <f>"9780335216505"</f>
        <v>9780335216505</v>
      </c>
      <c r="C938" s="10" t="str">
        <f>"9780335224982"</f>
        <v>9780335224982</v>
      </c>
      <c r="D938" s="10" t="s">
        <v>10342</v>
      </c>
      <c r="E938" s="10" t="s">
        <v>10343</v>
      </c>
      <c r="F938" s="10" t="s">
        <v>10354</v>
      </c>
      <c r="G938" s="10" t="s">
        <v>6352</v>
      </c>
      <c r="H938" s="11">
        <v>38657</v>
      </c>
      <c r="I938" s="10">
        <v>2005</v>
      </c>
      <c r="J938" s="10" t="s">
        <v>10345</v>
      </c>
      <c r="K938" s="10">
        <v>198</v>
      </c>
      <c r="L938" s="10" t="s">
        <v>10370</v>
      </c>
      <c r="M938" s="10">
        <v>1</v>
      </c>
      <c r="N938" s="10" t="s">
        <v>10347</v>
      </c>
      <c r="O938" s="10"/>
      <c r="P938" s="10" t="s">
        <v>10371</v>
      </c>
      <c r="Q938" s="10">
        <v>174.93052309999999</v>
      </c>
      <c r="R938" s="10" t="s">
        <v>10372</v>
      </c>
      <c r="S938" s="10" t="s">
        <v>53</v>
      </c>
      <c r="T938" s="10" t="s">
        <v>10373</v>
      </c>
    </row>
    <row r="939" spans="1:20" ht="14.5" x14ac:dyDescent="0.35">
      <c r="A939" s="10" t="s">
        <v>10374</v>
      </c>
      <c r="B939" s="10" t="str">
        <f>"9780335211524"</f>
        <v>9780335211524</v>
      </c>
      <c r="C939" s="10" t="str">
        <f>"9780335224425"</f>
        <v>9780335224425</v>
      </c>
      <c r="D939" s="10" t="s">
        <v>10342</v>
      </c>
      <c r="E939" s="10" t="s">
        <v>10343</v>
      </c>
      <c r="F939" s="10" t="s">
        <v>10354</v>
      </c>
      <c r="G939" s="10" t="s">
        <v>6352</v>
      </c>
      <c r="H939" s="11">
        <v>38047</v>
      </c>
      <c r="I939" s="10">
        <v>2004</v>
      </c>
      <c r="J939" s="10" t="s">
        <v>10345</v>
      </c>
      <c r="K939" s="10">
        <v>185</v>
      </c>
      <c r="L939" s="10" t="s">
        <v>9193</v>
      </c>
      <c r="M939" s="10">
        <v>1</v>
      </c>
      <c r="N939" s="10" t="s">
        <v>10347</v>
      </c>
      <c r="O939" s="10"/>
      <c r="P939" s="10" t="s">
        <v>10375</v>
      </c>
      <c r="Q939" s="10">
        <v>372.18</v>
      </c>
      <c r="R939" s="10" t="s">
        <v>10376</v>
      </c>
      <c r="S939" s="10" t="s">
        <v>53</v>
      </c>
      <c r="T939" s="10" t="s">
        <v>54</v>
      </c>
    </row>
    <row r="940" spans="1:20" ht="14.5" x14ac:dyDescent="0.35">
      <c r="A940" s="10" t="s">
        <v>10377</v>
      </c>
      <c r="B940" s="10" t="str">
        <f>"9780335211951"</f>
        <v>9780335211951</v>
      </c>
      <c r="C940" s="10" t="str">
        <f>"9780335225033"</f>
        <v>9780335225033</v>
      </c>
      <c r="D940" s="10" t="s">
        <v>10342</v>
      </c>
      <c r="E940" s="10" t="s">
        <v>10343</v>
      </c>
      <c r="F940" s="10" t="s">
        <v>10354</v>
      </c>
      <c r="G940" s="10" t="s">
        <v>6352</v>
      </c>
      <c r="H940" s="11">
        <v>38047</v>
      </c>
      <c r="I940" s="10">
        <v>2004</v>
      </c>
      <c r="J940" s="10" t="s">
        <v>10345</v>
      </c>
      <c r="K940" s="10">
        <v>164</v>
      </c>
      <c r="L940" s="10" t="s">
        <v>10378</v>
      </c>
      <c r="M940" s="10">
        <v>1</v>
      </c>
      <c r="N940" s="10" t="s">
        <v>10347</v>
      </c>
      <c r="O940" s="10"/>
      <c r="P940" s="10" t="s">
        <v>10379</v>
      </c>
      <c r="Q940" s="10" t="s">
        <v>10380</v>
      </c>
      <c r="R940" s="10" t="s">
        <v>10381</v>
      </c>
      <c r="S940" s="10" t="s">
        <v>53</v>
      </c>
      <c r="T940" s="10" t="s">
        <v>54</v>
      </c>
    </row>
    <row r="941" spans="1:20" ht="14.5" x14ac:dyDescent="0.35">
      <c r="A941" s="10" t="s">
        <v>10382</v>
      </c>
      <c r="B941" s="10" t="str">
        <f>"9780335208593"</f>
        <v>9780335208593</v>
      </c>
      <c r="C941" s="10" t="str">
        <f>"9780335224463"</f>
        <v>9780335224463</v>
      </c>
      <c r="D941" s="10" t="s">
        <v>10342</v>
      </c>
      <c r="E941" s="10" t="s">
        <v>10343</v>
      </c>
      <c r="F941" s="10" t="s">
        <v>10344</v>
      </c>
      <c r="G941" s="10" t="s">
        <v>6352</v>
      </c>
      <c r="H941" s="11">
        <v>37742</v>
      </c>
      <c r="I941" s="10">
        <v>2003</v>
      </c>
      <c r="J941" s="10" t="s">
        <v>10345</v>
      </c>
      <c r="K941" s="10">
        <v>266</v>
      </c>
      <c r="L941" s="10" t="s">
        <v>10383</v>
      </c>
      <c r="M941" s="10">
        <v>1</v>
      </c>
      <c r="N941" s="10" t="s">
        <v>10384</v>
      </c>
      <c r="O941" s="10"/>
      <c r="P941" s="10" t="s">
        <v>10385</v>
      </c>
      <c r="Q941" s="10" t="s">
        <v>10386</v>
      </c>
      <c r="R941" s="10" t="s">
        <v>10387</v>
      </c>
      <c r="S941" s="10" t="s">
        <v>53</v>
      </c>
      <c r="T941" s="10" t="s">
        <v>10388</v>
      </c>
    </row>
    <row r="942" spans="1:20" ht="14.5" x14ac:dyDescent="0.35">
      <c r="A942" s="10" t="s">
        <v>10389</v>
      </c>
      <c r="B942" s="10" t="str">
        <f>"9780335216222"</f>
        <v>9780335216222</v>
      </c>
      <c r="C942" s="10" t="str">
        <f>"9780335225026"</f>
        <v>9780335225026</v>
      </c>
      <c r="D942" s="10" t="s">
        <v>10342</v>
      </c>
      <c r="E942" s="10" t="s">
        <v>10343</v>
      </c>
      <c r="F942" s="10" t="s">
        <v>10354</v>
      </c>
      <c r="G942" s="10" t="s">
        <v>6352</v>
      </c>
      <c r="H942" s="11">
        <v>38657</v>
      </c>
      <c r="I942" s="10">
        <v>2005</v>
      </c>
      <c r="J942" s="10" t="s">
        <v>10345</v>
      </c>
      <c r="K942" s="10">
        <v>278</v>
      </c>
      <c r="L942" s="10" t="s">
        <v>10390</v>
      </c>
      <c r="M942" s="10">
        <v>1</v>
      </c>
      <c r="N942" s="10" t="s">
        <v>10391</v>
      </c>
      <c r="O942" s="10"/>
      <c r="P942" s="10" t="s">
        <v>10392</v>
      </c>
      <c r="Q942" s="10">
        <v>610.71100000000001</v>
      </c>
      <c r="R942" s="10" t="s">
        <v>10393</v>
      </c>
      <c r="S942" s="10" t="s">
        <v>53</v>
      </c>
      <c r="T942" s="10" t="s">
        <v>8625</v>
      </c>
    </row>
    <row r="943" spans="1:20" ht="14.5" x14ac:dyDescent="0.35">
      <c r="A943" s="10" t="s">
        <v>10394</v>
      </c>
      <c r="B943" s="10" t="str">
        <f>"9780335213016"</f>
        <v>9780335213016</v>
      </c>
      <c r="C943" s="10" t="str">
        <f>"9780335224098"</f>
        <v>9780335224098</v>
      </c>
      <c r="D943" s="10" t="s">
        <v>10342</v>
      </c>
      <c r="E943" s="10" t="s">
        <v>10343</v>
      </c>
      <c r="F943" s="10" t="s">
        <v>10344</v>
      </c>
      <c r="G943" s="10" t="s">
        <v>6352</v>
      </c>
      <c r="H943" s="11">
        <v>37895</v>
      </c>
      <c r="I943" s="10">
        <v>2003</v>
      </c>
      <c r="J943" s="10" t="s">
        <v>10345</v>
      </c>
      <c r="K943" s="10">
        <v>173</v>
      </c>
      <c r="L943" s="10" t="s">
        <v>10395</v>
      </c>
      <c r="M943" s="10">
        <v>1</v>
      </c>
      <c r="N943" s="10" t="s">
        <v>10347</v>
      </c>
      <c r="O943" s="10"/>
      <c r="P943" s="10" t="s">
        <v>10396</v>
      </c>
      <c r="Q943" s="10">
        <v>305.23099999999999</v>
      </c>
      <c r="R943" s="10" t="s">
        <v>10397</v>
      </c>
      <c r="S943" s="10" t="s">
        <v>53</v>
      </c>
      <c r="T943" s="10" t="s">
        <v>6363</v>
      </c>
    </row>
    <row r="944" spans="1:20" ht="14.5" x14ac:dyDescent="0.35">
      <c r="A944" s="10" t="s">
        <v>10398</v>
      </c>
      <c r="B944" s="10" t="str">
        <f>"9780335219926"</f>
        <v>9780335219926</v>
      </c>
      <c r="C944" s="10" t="str">
        <f>"9780335224630"</f>
        <v>9780335224630</v>
      </c>
      <c r="D944" s="10" t="s">
        <v>10342</v>
      </c>
      <c r="E944" s="10" t="s">
        <v>10343</v>
      </c>
      <c r="F944" s="10" t="s">
        <v>10344</v>
      </c>
      <c r="G944" s="10" t="s">
        <v>6352</v>
      </c>
      <c r="H944" s="11">
        <v>38777</v>
      </c>
      <c r="I944" s="10">
        <v>2006</v>
      </c>
      <c r="J944" s="10" t="s">
        <v>10345</v>
      </c>
      <c r="K944" s="10">
        <v>242</v>
      </c>
      <c r="L944" s="10" t="s">
        <v>10399</v>
      </c>
      <c r="M944" s="10">
        <v>2</v>
      </c>
      <c r="N944" s="10" t="s">
        <v>10384</v>
      </c>
      <c r="O944" s="10"/>
      <c r="P944" s="10" t="s">
        <v>10400</v>
      </c>
      <c r="Q944" s="10" t="s">
        <v>9298</v>
      </c>
      <c r="R944" s="10" t="s">
        <v>10401</v>
      </c>
      <c r="S944" s="10" t="s">
        <v>53</v>
      </c>
      <c r="T944" s="10" t="s">
        <v>54</v>
      </c>
    </row>
    <row r="945" spans="1:20" ht="14.5" x14ac:dyDescent="0.35">
      <c r="A945" s="10" t="s">
        <v>10402</v>
      </c>
      <c r="B945" s="10" t="str">
        <f>"9780335204113"</f>
        <v>9780335204113</v>
      </c>
      <c r="C945" s="10" t="str">
        <f>"9780335225156"</f>
        <v>9780335225156</v>
      </c>
      <c r="D945" s="10" t="s">
        <v>10342</v>
      </c>
      <c r="E945" s="10" t="s">
        <v>10343</v>
      </c>
      <c r="F945" s="10" t="s">
        <v>10354</v>
      </c>
      <c r="G945" s="10" t="s">
        <v>6352</v>
      </c>
      <c r="H945" s="11">
        <v>37865</v>
      </c>
      <c r="I945" s="10">
        <v>2003</v>
      </c>
      <c r="J945" s="10" t="s">
        <v>10345</v>
      </c>
      <c r="K945" s="10">
        <v>174</v>
      </c>
      <c r="L945" s="10" t="s">
        <v>10403</v>
      </c>
      <c r="M945" s="10">
        <v>1</v>
      </c>
      <c r="N945" s="10" t="s">
        <v>10347</v>
      </c>
      <c r="O945" s="10"/>
      <c r="P945" s="10" t="s">
        <v>10404</v>
      </c>
      <c r="Q945" s="10">
        <v>371.10199999999998</v>
      </c>
      <c r="R945" s="10" t="s">
        <v>10405</v>
      </c>
      <c r="S945" s="10" t="s">
        <v>53</v>
      </c>
      <c r="T945" s="10" t="s">
        <v>54</v>
      </c>
    </row>
    <row r="946" spans="1:20" ht="14.5" x14ac:dyDescent="0.35">
      <c r="A946" s="10" t="s">
        <v>10406</v>
      </c>
      <c r="B946" s="10" t="str">
        <f>"9780335215867"</f>
        <v>9780335215867</v>
      </c>
      <c r="C946" s="10" t="str">
        <f>"9780335225132"</f>
        <v>9780335225132</v>
      </c>
      <c r="D946" s="10" t="s">
        <v>10342</v>
      </c>
      <c r="E946" s="10" t="s">
        <v>10343</v>
      </c>
      <c r="F946" s="10" t="s">
        <v>10344</v>
      </c>
      <c r="G946" s="10" t="s">
        <v>6352</v>
      </c>
      <c r="H946" s="11">
        <v>38565</v>
      </c>
      <c r="I946" s="10">
        <v>2005</v>
      </c>
      <c r="J946" s="10" t="s">
        <v>10345</v>
      </c>
      <c r="K946" s="10">
        <v>195</v>
      </c>
      <c r="L946" s="10" t="s">
        <v>10407</v>
      </c>
      <c r="M946" s="10">
        <v>1</v>
      </c>
      <c r="N946" s="10" t="s">
        <v>10408</v>
      </c>
      <c r="O946" s="10"/>
      <c r="P946" s="10" t="s">
        <v>10409</v>
      </c>
      <c r="Q946" s="10">
        <v>1.4330000000000001</v>
      </c>
      <c r="R946" s="10" t="s">
        <v>10410</v>
      </c>
      <c r="S946" s="10" t="s">
        <v>53</v>
      </c>
      <c r="T946" s="10" t="s">
        <v>10411</v>
      </c>
    </row>
    <row r="947" spans="1:20" ht="14.5" x14ac:dyDescent="0.35">
      <c r="A947" s="10" t="s">
        <v>10412</v>
      </c>
      <c r="B947" s="10" t="str">
        <f>"9780335218592"</f>
        <v>9780335218592</v>
      </c>
      <c r="C947" s="10" t="str">
        <f>"9780335224906"</f>
        <v>9780335224906</v>
      </c>
      <c r="D947" s="10" t="s">
        <v>10342</v>
      </c>
      <c r="E947" s="10" t="s">
        <v>10343</v>
      </c>
      <c r="F947" s="10" t="s">
        <v>10344</v>
      </c>
      <c r="G947" s="10" t="s">
        <v>6352</v>
      </c>
      <c r="H947" s="11">
        <v>38838</v>
      </c>
      <c r="I947" s="10">
        <v>2006</v>
      </c>
      <c r="J947" s="10" t="s">
        <v>10345</v>
      </c>
      <c r="K947" s="10">
        <v>210</v>
      </c>
      <c r="L947" s="10" t="s">
        <v>10413</v>
      </c>
      <c r="M947" s="10">
        <v>2</v>
      </c>
      <c r="N947" s="10" t="s">
        <v>10347</v>
      </c>
      <c r="O947" s="10"/>
      <c r="P947" s="10" t="s">
        <v>10414</v>
      </c>
      <c r="Q947" s="10">
        <v>370.15699999999998</v>
      </c>
      <c r="R947" s="10" t="s">
        <v>10415</v>
      </c>
      <c r="S947" s="10" t="s">
        <v>53</v>
      </c>
      <c r="T947" s="10" t="s">
        <v>54</v>
      </c>
    </row>
    <row r="948" spans="1:20" ht="14.5" x14ac:dyDescent="0.35">
      <c r="A948" s="10" t="s">
        <v>10416</v>
      </c>
      <c r="B948" s="10" t="str">
        <f>"9780335216864"</f>
        <v>9780335216864</v>
      </c>
      <c r="C948" s="10" t="str">
        <f>"9780335225118"</f>
        <v>9780335225118</v>
      </c>
      <c r="D948" s="10" t="s">
        <v>10342</v>
      </c>
      <c r="E948" s="10" t="s">
        <v>10343</v>
      </c>
      <c r="F948" s="10" t="s">
        <v>10354</v>
      </c>
      <c r="G948" s="10" t="s">
        <v>6352</v>
      </c>
      <c r="H948" s="11">
        <v>38565</v>
      </c>
      <c r="I948" s="10">
        <v>2005</v>
      </c>
      <c r="J948" s="10" t="s">
        <v>10345</v>
      </c>
      <c r="K948" s="10">
        <v>203</v>
      </c>
      <c r="L948" s="10" t="s">
        <v>10417</v>
      </c>
      <c r="M948" s="10">
        <v>1</v>
      </c>
      <c r="N948" s="10" t="s">
        <v>10347</v>
      </c>
      <c r="O948" s="10"/>
      <c r="P948" s="10" t="s">
        <v>10418</v>
      </c>
      <c r="Q948" s="10">
        <v>372.70440940999998</v>
      </c>
      <c r="R948" s="10" t="s">
        <v>10419</v>
      </c>
      <c r="S948" s="10" t="s">
        <v>53</v>
      </c>
      <c r="T948" s="10" t="s">
        <v>7425</v>
      </c>
    </row>
    <row r="949" spans="1:20" ht="14.5" x14ac:dyDescent="0.35">
      <c r="A949" s="10" t="s">
        <v>10420</v>
      </c>
      <c r="B949" s="10" t="str">
        <f>"9780335212187"</f>
        <v>9780335212187</v>
      </c>
      <c r="C949" s="10" t="str">
        <f>"9780335224494"</f>
        <v>9780335224494</v>
      </c>
      <c r="D949" s="10" t="s">
        <v>10342</v>
      </c>
      <c r="E949" s="10" t="s">
        <v>10343</v>
      </c>
      <c r="F949" s="10" t="s">
        <v>10344</v>
      </c>
      <c r="G949" s="10" t="s">
        <v>6352</v>
      </c>
      <c r="H949" s="11">
        <v>37865</v>
      </c>
      <c r="I949" s="10">
        <v>2003</v>
      </c>
      <c r="J949" s="10" t="s">
        <v>10345</v>
      </c>
      <c r="K949" s="10">
        <v>198</v>
      </c>
      <c r="L949" s="10" t="s">
        <v>10421</v>
      </c>
      <c r="M949" s="10">
        <v>1</v>
      </c>
      <c r="N949" s="10" t="s">
        <v>10347</v>
      </c>
      <c r="O949" s="10"/>
      <c r="P949" s="10" t="s">
        <v>10422</v>
      </c>
      <c r="Q949" s="10">
        <v>174.93710999999999</v>
      </c>
      <c r="R949" s="10" t="s">
        <v>10423</v>
      </c>
      <c r="S949" s="10" t="s">
        <v>53</v>
      </c>
      <c r="T949" s="10" t="s">
        <v>6521</v>
      </c>
    </row>
    <row r="950" spans="1:20" ht="14.5" x14ac:dyDescent="0.35">
      <c r="A950" s="10" t="s">
        <v>10424</v>
      </c>
      <c r="B950" s="10" t="str">
        <f>"9780253218674"</f>
        <v>9780253218674</v>
      </c>
      <c r="C950" s="10" t="str">
        <f>"9780253112125"</f>
        <v>9780253112125</v>
      </c>
      <c r="D950" s="10" t="s">
        <v>2455</v>
      </c>
      <c r="E950" s="10" t="s">
        <v>2455</v>
      </c>
      <c r="F950" s="10" t="s">
        <v>3101</v>
      </c>
      <c r="G950" s="10" t="s">
        <v>6317</v>
      </c>
      <c r="H950" s="11">
        <v>38874</v>
      </c>
      <c r="I950" s="10">
        <v>2006</v>
      </c>
      <c r="J950" s="10" t="s">
        <v>2455</v>
      </c>
      <c r="K950" s="10">
        <v>169</v>
      </c>
      <c r="L950" s="10" t="s">
        <v>10425</v>
      </c>
      <c r="M950" s="10">
        <v>1</v>
      </c>
      <c r="N950" s="10"/>
      <c r="O950" s="10"/>
      <c r="P950" s="10" t="s">
        <v>10426</v>
      </c>
      <c r="Q950" s="10" t="s">
        <v>10427</v>
      </c>
      <c r="R950" s="10" t="s">
        <v>10428</v>
      </c>
      <c r="S950" s="10" t="s">
        <v>53</v>
      </c>
      <c r="T950" s="10" t="s">
        <v>54</v>
      </c>
    </row>
    <row r="951" spans="1:20" ht="14.5" x14ac:dyDescent="0.35">
      <c r="A951" s="10" t="s">
        <v>10429</v>
      </c>
      <c r="B951" s="10" t="str">
        <f>"9781416602194"</f>
        <v>9781416602194</v>
      </c>
      <c r="C951" s="10" t="str">
        <f>"9781416603504"</f>
        <v>9781416603504</v>
      </c>
      <c r="D951" s="10" t="s">
        <v>10014</v>
      </c>
      <c r="E951" s="10" t="s">
        <v>10015</v>
      </c>
      <c r="F951" s="10" t="s">
        <v>201</v>
      </c>
      <c r="G951" s="10" t="s">
        <v>6317</v>
      </c>
      <c r="H951" s="11">
        <v>38747</v>
      </c>
      <c r="I951" s="10">
        <v>2006</v>
      </c>
      <c r="J951" s="10" t="s">
        <v>10015</v>
      </c>
      <c r="K951" s="10">
        <v>219</v>
      </c>
      <c r="L951" s="10" t="s">
        <v>10430</v>
      </c>
      <c r="M951" s="10">
        <v>1</v>
      </c>
      <c r="N951" s="10"/>
      <c r="O951" s="10"/>
      <c r="P951" s="10" t="s">
        <v>10431</v>
      </c>
      <c r="Q951" s="10">
        <v>371.2</v>
      </c>
      <c r="R951" s="10" t="s">
        <v>10432</v>
      </c>
      <c r="S951" s="10" t="s">
        <v>53</v>
      </c>
      <c r="T951" s="10" t="s">
        <v>54</v>
      </c>
    </row>
    <row r="952" spans="1:20" ht="14.5" x14ac:dyDescent="0.35">
      <c r="A952" s="10" t="s">
        <v>10433</v>
      </c>
      <c r="B952" s="10" t="str">
        <f>"9781416604235"</f>
        <v>9781416604235</v>
      </c>
      <c r="C952" s="10" t="str">
        <f>"9781416605539"</f>
        <v>9781416605539</v>
      </c>
      <c r="D952" s="10" t="s">
        <v>10014</v>
      </c>
      <c r="E952" s="10" t="s">
        <v>10015</v>
      </c>
      <c r="F952" s="10" t="s">
        <v>201</v>
      </c>
      <c r="G952" s="10" t="s">
        <v>6317</v>
      </c>
      <c r="H952" s="11">
        <v>39112</v>
      </c>
      <c r="I952" s="10">
        <v>2007</v>
      </c>
      <c r="J952" s="10" t="s">
        <v>10015</v>
      </c>
      <c r="K952" s="10">
        <v>177</v>
      </c>
      <c r="L952" s="10" t="s">
        <v>10434</v>
      </c>
      <c r="M952" s="10">
        <v>1</v>
      </c>
      <c r="N952" s="10"/>
      <c r="O952" s="10"/>
      <c r="P952" s="10" t="s">
        <v>10435</v>
      </c>
      <c r="Q952" s="10" t="s">
        <v>10213</v>
      </c>
      <c r="R952" s="10" t="s">
        <v>10436</v>
      </c>
      <c r="S952" s="10" t="s">
        <v>53</v>
      </c>
      <c r="T952" s="10" t="s">
        <v>54</v>
      </c>
    </row>
    <row r="953" spans="1:20" ht="14.5" x14ac:dyDescent="0.35">
      <c r="A953" s="10" t="s">
        <v>10437</v>
      </c>
      <c r="B953" s="10" t="str">
        <f>"9781416605195"</f>
        <v>9781416605195</v>
      </c>
      <c r="C953" s="10" t="str">
        <f>"9781416606178"</f>
        <v>9781416606178</v>
      </c>
      <c r="D953" s="10" t="s">
        <v>10014</v>
      </c>
      <c r="E953" s="10" t="s">
        <v>10015</v>
      </c>
      <c r="F953" s="10" t="s">
        <v>201</v>
      </c>
      <c r="G953" s="10" t="s">
        <v>6317</v>
      </c>
      <c r="H953" s="11">
        <v>41327</v>
      </c>
      <c r="I953" s="10">
        <v>2007</v>
      </c>
      <c r="J953" s="10" t="s">
        <v>10015</v>
      </c>
      <c r="K953" s="10">
        <v>177</v>
      </c>
      <c r="L953" s="10" t="s">
        <v>10438</v>
      </c>
      <c r="M953" s="10">
        <v>1</v>
      </c>
      <c r="N953" s="10"/>
      <c r="O953" s="10"/>
      <c r="P953" s="10" t="s">
        <v>10439</v>
      </c>
      <c r="Q953" s="10" t="s">
        <v>10440</v>
      </c>
      <c r="R953" s="10" t="s">
        <v>10441</v>
      </c>
      <c r="S953" s="10" t="s">
        <v>53</v>
      </c>
      <c r="T953" s="10" t="s">
        <v>6634</v>
      </c>
    </row>
    <row r="954" spans="1:20" ht="14.5" x14ac:dyDescent="0.35">
      <c r="A954" s="10" t="s">
        <v>10442</v>
      </c>
      <c r="B954" s="10" t="str">
        <f>"9781416604617"</f>
        <v>9781416604617</v>
      </c>
      <c r="C954" s="10" t="str">
        <f>"9781416606079"</f>
        <v>9781416606079</v>
      </c>
      <c r="D954" s="10" t="s">
        <v>10014</v>
      </c>
      <c r="E954" s="10" t="s">
        <v>10015</v>
      </c>
      <c r="F954" s="10" t="s">
        <v>201</v>
      </c>
      <c r="G954" s="10" t="s">
        <v>6317</v>
      </c>
      <c r="H954" s="11">
        <v>39097</v>
      </c>
      <c r="I954" s="10">
        <v>2007</v>
      </c>
      <c r="J954" s="10" t="s">
        <v>10014</v>
      </c>
      <c r="K954" s="10">
        <v>220</v>
      </c>
      <c r="L954" s="10" t="s">
        <v>10443</v>
      </c>
      <c r="M954" s="10">
        <v>2</v>
      </c>
      <c r="N954" s="10"/>
      <c r="O954" s="10"/>
      <c r="P954" s="10" t="s">
        <v>10444</v>
      </c>
      <c r="Q954" s="10">
        <v>371.10199999999998</v>
      </c>
      <c r="R954" s="10" t="s">
        <v>10445</v>
      </c>
      <c r="S954" s="10" t="s">
        <v>53</v>
      </c>
      <c r="T954" s="10" t="s">
        <v>54</v>
      </c>
    </row>
    <row r="955" spans="1:20" ht="14.5" x14ac:dyDescent="0.35">
      <c r="A955" s="10" t="s">
        <v>10446</v>
      </c>
      <c r="B955" s="10" t="str">
        <f>"9781416605171"</f>
        <v>9781416605171</v>
      </c>
      <c r="C955" s="10" t="str">
        <f>"9781416606208"</f>
        <v>9781416606208</v>
      </c>
      <c r="D955" s="10" t="s">
        <v>10014</v>
      </c>
      <c r="E955" s="10" t="s">
        <v>10015</v>
      </c>
      <c r="F955" s="10" t="s">
        <v>201</v>
      </c>
      <c r="G955" s="10" t="s">
        <v>6317</v>
      </c>
      <c r="H955" s="11">
        <v>39141</v>
      </c>
      <c r="I955" s="10">
        <v>2007</v>
      </c>
      <c r="J955" s="10" t="s">
        <v>10015</v>
      </c>
      <c r="K955" s="10">
        <v>211</v>
      </c>
      <c r="L955" s="10" t="s">
        <v>10447</v>
      </c>
      <c r="M955" s="10">
        <v>2</v>
      </c>
      <c r="N955" s="10"/>
      <c r="O955" s="10"/>
      <c r="P955" s="10" t="s">
        <v>10448</v>
      </c>
      <c r="Q955" s="10" t="s">
        <v>10449</v>
      </c>
      <c r="R955" s="10" t="s">
        <v>10450</v>
      </c>
      <c r="S955" s="10" t="s">
        <v>53</v>
      </c>
      <c r="T955" s="10" t="s">
        <v>54</v>
      </c>
    </row>
    <row r="956" spans="1:20" ht="14.5" x14ac:dyDescent="0.35">
      <c r="A956" s="10" t="s">
        <v>10451</v>
      </c>
      <c r="B956" s="10" t="str">
        <f>"9781416604570"</f>
        <v>9781416604570</v>
      </c>
      <c r="C956" s="10" t="str">
        <f>"9781416605850"</f>
        <v>9781416605850</v>
      </c>
      <c r="D956" s="10" t="s">
        <v>10014</v>
      </c>
      <c r="E956" s="10" t="s">
        <v>10015</v>
      </c>
      <c r="F956" s="10" t="s">
        <v>201</v>
      </c>
      <c r="G956" s="10" t="s">
        <v>6317</v>
      </c>
      <c r="H956" s="11">
        <v>39051</v>
      </c>
      <c r="I956" s="10">
        <v>2006</v>
      </c>
      <c r="J956" s="10" t="s">
        <v>10015</v>
      </c>
      <c r="K956" s="10">
        <v>195</v>
      </c>
      <c r="L956" s="10" t="s">
        <v>10452</v>
      </c>
      <c r="M956" s="10">
        <v>1</v>
      </c>
      <c r="N956" s="10"/>
      <c r="O956" s="10"/>
      <c r="P956" s="10" t="s">
        <v>10453</v>
      </c>
      <c r="Q956" s="10">
        <v>813</v>
      </c>
      <c r="R956" s="10"/>
      <c r="S956" s="10" t="s">
        <v>53</v>
      </c>
      <c r="T956" s="10" t="s">
        <v>10454</v>
      </c>
    </row>
    <row r="957" spans="1:20" ht="14.5" x14ac:dyDescent="0.35">
      <c r="A957" s="10" t="s">
        <v>10455</v>
      </c>
      <c r="B957" s="10" t="str">
        <f>"9781416602965"</f>
        <v>9781416602965</v>
      </c>
      <c r="C957" s="10" t="str">
        <f>"9781416603535"</f>
        <v>9781416603535</v>
      </c>
      <c r="D957" s="10" t="s">
        <v>10014</v>
      </c>
      <c r="E957" s="10" t="s">
        <v>10015</v>
      </c>
      <c r="F957" s="10" t="s">
        <v>201</v>
      </c>
      <c r="G957" s="10" t="s">
        <v>6317</v>
      </c>
      <c r="H957" s="11">
        <v>38686</v>
      </c>
      <c r="I957" s="10">
        <v>2005</v>
      </c>
      <c r="J957" s="10" t="s">
        <v>10015</v>
      </c>
      <c r="K957" s="10">
        <v>176</v>
      </c>
      <c r="L957" s="10" t="s">
        <v>10456</v>
      </c>
      <c r="M957" s="10">
        <v>1</v>
      </c>
      <c r="N957" s="10"/>
      <c r="O957" s="10"/>
      <c r="P957" s="10" t="s">
        <v>10457</v>
      </c>
      <c r="Q957" s="10" t="s">
        <v>10094</v>
      </c>
      <c r="R957" s="10" t="s">
        <v>10458</v>
      </c>
      <c r="S957" s="10" t="s">
        <v>53</v>
      </c>
      <c r="T957" s="10" t="s">
        <v>54</v>
      </c>
    </row>
    <row r="958" spans="1:20" ht="14.5" x14ac:dyDescent="0.35">
      <c r="A958" s="10" t="s">
        <v>10459</v>
      </c>
      <c r="B958" s="10" t="str">
        <f>"9781416602675"</f>
        <v>9781416602675</v>
      </c>
      <c r="C958" s="10" t="str">
        <f>"9781416603689"</f>
        <v>9781416603689</v>
      </c>
      <c r="D958" s="10" t="s">
        <v>10014</v>
      </c>
      <c r="E958" s="10" t="s">
        <v>10015</v>
      </c>
      <c r="F958" s="10" t="s">
        <v>201</v>
      </c>
      <c r="G958" s="10" t="s">
        <v>6317</v>
      </c>
      <c r="H958" s="11">
        <v>38657</v>
      </c>
      <c r="I958" s="10">
        <v>2005</v>
      </c>
      <c r="J958" s="10" t="s">
        <v>10015</v>
      </c>
      <c r="K958" s="10">
        <v>186</v>
      </c>
      <c r="L958" s="10" t="s">
        <v>10460</v>
      </c>
      <c r="M958" s="10">
        <v>1</v>
      </c>
      <c r="N958" s="10"/>
      <c r="O958" s="10"/>
      <c r="P958" s="10" t="s">
        <v>10461</v>
      </c>
      <c r="Q958" s="10">
        <v>371.2</v>
      </c>
      <c r="R958" s="10" t="s">
        <v>10462</v>
      </c>
      <c r="S958" s="10" t="s">
        <v>53</v>
      </c>
      <c r="T958" s="10" t="s">
        <v>54</v>
      </c>
    </row>
    <row r="959" spans="1:20" ht="14.5" x14ac:dyDescent="0.35">
      <c r="A959" s="10" t="s">
        <v>10463</v>
      </c>
      <c r="B959" s="10" t="str">
        <f>"9781416605294"</f>
        <v>9781416605294</v>
      </c>
      <c r="C959" s="10" t="str">
        <f>"9781416605324"</f>
        <v>9781416605324</v>
      </c>
      <c r="D959" s="10" t="s">
        <v>10014</v>
      </c>
      <c r="E959" s="10" t="s">
        <v>10015</v>
      </c>
      <c r="F959" s="10" t="s">
        <v>201</v>
      </c>
      <c r="G959" s="10" t="s">
        <v>6317</v>
      </c>
      <c r="H959" s="11">
        <v>39081</v>
      </c>
      <c r="I959" s="10">
        <v>2006</v>
      </c>
      <c r="J959" s="10" t="s">
        <v>10015</v>
      </c>
      <c r="K959" s="10">
        <v>143</v>
      </c>
      <c r="L959" s="10" t="s">
        <v>10464</v>
      </c>
      <c r="M959" s="10">
        <v>1</v>
      </c>
      <c r="N959" s="10" t="s">
        <v>10083</v>
      </c>
      <c r="O959" s="10"/>
      <c r="P959" s="10" t="s">
        <v>10465</v>
      </c>
      <c r="Q959" s="10">
        <v>372.35</v>
      </c>
      <c r="R959" s="10" t="s">
        <v>10466</v>
      </c>
      <c r="S959" s="10" t="s">
        <v>53</v>
      </c>
      <c r="T959" s="10" t="s">
        <v>10388</v>
      </c>
    </row>
    <row r="960" spans="1:20" ht="14.5" x14ac:dyDescent="0.35">
      <c r="A960" s="10" t="s">
        <v>10467</v>
      </c>
      <c r="B960" s="10" t="str">
        <f>"9781416602361"</f>
        <v>9781416602361</v>
      </c>
      <c r="C960" s="10" t="str">
        <f>"9781416603627"</f>
        <v>9781416603627</v>
      </c>
      <c r="D960" s="10" t="s">
        <v>10014</v>
      </c>
      <c r="E960" s="10" t="s">
        <v>10015</v>
      </c>
      <c r="F960" s="10" t="s">
        <v>201</v>
      </c>
      <c r="G960" s="10" t="s">
        <v>6317</v>
      </c>
      <c r="H960" s="11">
        <v>38657</v>
      </c>
      <c r="I960" s="10">
        <v>2005</v>
      </c>
      <c r="J960" s="10" t="s">
        <v>10015</v>
      </c>
      <c r="K960" s="10">
        <v>189</v>
      </c>
      <c r="L960" s="10" t="s">
        <v>10468</v>
      </c>
      <c r="M960" s="10">
        <v>1</v>
      </c>
      <c r="N960" s="10"/>
      <c r="O960" s="10"/>
      <c r="P960" s="10" t="s">
        <v>10469</v>
      </c>
      <c r="Q960" s="10">
        <v>371.10239999999999</v>
      </c>
      <c r="R960" s="10" t="s">
        <v>7483</v>
      </c>
      <c r="S960" s="10" t="s">
        <v>53</v>
      </c>
      <c r="T960" s="10" t="s">
        <v>54</v>
      </c>
    </row>
    <row r="961" spans="1:20" ht="14.5" x14ac:dyDescent="0.35">
      <c r="A961" s="10" t="s">
        <v>10470</v>
      </c>
      <c r="B961" s="10" t="str">
        <f>"9781416604624"</f>
        <v>9781416604624</v>
      </c>
      <c r="C961" s="10" t="str">
        <f>"9781416605447"</f>
        <v>9781416605447</v>
      </c>
      <c r="D961" s="10" t="s">
        <v>10014</v>
      </c>
      <c r="E961" s="10" t="s">
        <v>10015</v>
      </c>
      <c r="F961" s="10" t="s">
        <v>201</v>
      </c>
      <c r="G961" s="10" t="s">
        <v>6317</v>
      </c>
      <c r="H961" s="11">
        <v>39081</v>
      </c>
      <c r="I961" s="10">
        <v>2015</v>
      </c>
      <c r="J961" s="10" t="s">
        <v>10015</v>
      </c>
      <c r="K961" s="10">
        <v>191</v>
      </c>
      <c r="L961" s="10" t="s">
        <v>10471</v>
      </c>
      <c r="M961" s="10">
        <v>1</v>
      </c>
      <c r="N961" s="10"/>
      <c r="O961" s="10"/>
      <c r="P961" s="10" t="s">
        <v>10472</v>
      </c>
      <c r="Q961" s="10" t="s">
        <v>9954</v>
      </c>
      <c r="R961" s="10" t="s">
        <v>10473</v>
      </c>
      <c r="S961" s="10" t="s">
        <v>53</v>
      </c>
      <c r="T961" s="10" t="s">
        <v>54</v>
      </c>
    </row>
    <row r="962" spans="1:20" ht="14.5" x14ac:dyDescent="0.35">
      <c r="A962" s="10" t="s">
        <v>10474</v>
      </c>
      <c r="B962" s="10" t="str">
        <f>"9780861769476"</f>
        <v>9780861769476</v>
      </c>
      <c r="C962" s="10" t="str">
        <f>"9781845447427"</f>
        <v>9781845447427</v>
      </c>
      <c r="D962" s="10" t="s">
        <v>8699</v>
      </c>
      <c r="E962" s="10" t="s">
        <v>8699</v>
      </c>
      <c r="F962" s="10" t="s">
        <v>1019</v>
      </c>
      <c r="G962" s="10" t="s">
        <v>6352</v>
      </c>
      <c r="H962" s="11">
        <v>38072</v>
      </c>
      <c r="I962" s="10">
        <v>2004</v>
      </c>
      <c r="J962" s="10" t="s">
        <v>115</v>
      </c>
      <c r="K962" s="10">
        <v>163</v>
      </c>
      <c r="L962" s="10" t="s">
        <v>10475</v>
      </c>
      <c r="M962" s="10">
        <v>1</v>
      </c>
      <c r="N962" s="10"/>
      <c r="O962" s="10"/>
      <c r="P962" s="10" t="s">
        <v>10476</v>
      </c>
      <c r="Q962" s="10">
        <v>174.4</v>
      </c>
      <c r="R962" s="10" t="s">
        <v>10477</v>
      </c>
      <c r="S962" s="10" t="s">
        <v>53</v>
      </c>
      <c r="T962" s="10" t="s">
        <v>6534</v>
      </c>
    </row>
    <row r="963" spans="1:20" ht="14.5" x14ac:dyDescent="0.35">
      <c r="A963" s="10" t="s">
        <v>10478</v>
      </c>
      <c r="B963" s="10" t="str">
        <f>"9780861769612"</f>
        <v>9780861769612</v>
      </c>
      <c r="C963" s="10" t="str">
        <f>"9781845443726"</f>
        <v>9781845443726</v>
      </c>
      <c r="D963" s="10" t="s">
        <v>8699</v>
      </c>
      <c r="E963" s="10" t="s">
        <v>8699</v>
      </c>
      <c r="F963" s="10" t="s">
        <v>1019</v>
      </c>
      <c r="G963" s="10" t="s">
        <v>6352</v>
      </c>
      <c r="H963" s="11">
        <v>38107</v>
      </c>
      <c r="I963" s="10">
        <v>2004</v>
      </c>
      <c r="J963" s="10" t="s">
        <v>115</v>
      </c>
      <c r="K963" s="10">
        <v>99</v>
      </c>
      <c r="L963" s="10" t="s">
        <v>10479</v>
      </c>
      <c r="M963" s="10">
        <v>1</v>
      </c>
      <c r="N963" s="10"/>
      <c r="O963" s="10"/>
      <c r="P963" s="10" t="s">
        <v>10480</v>
      </c>
      <c r="Q963" s="10" t="s">
        <v>10481</v>
      </c>
      <c r="R963" s="10" t="s">
        <v>8702</v>
      </c>
      <c r="S963" s="10" t="s">
        <v>53</v>
      </c>
      <c r="T963" s="10" t="s">
        <v>54</v>
      </c>
    </row>
    <row r="964" spans="1:20" ht="14.5" x14ac:dyDescent="0.35">
      <c r="A964" s="10" t="s">
        <v>10482</v>
      </c>
      <c r="B964" s="10" t="str">
        <f>"9780861769391"</f>
        <v>9780861769391</v>
      </c>
      <c r="C964" s="10" t="str">
        <f>"9781845443955"</f>
        <v>9781845443955</v>
      </c>
      <c r="D964" s="10" t="s">
        <v>8699</v>
      </c>
      <c r="E964" s="10" t="s">
        <v>8699</v>
      </c>
      <c r="F964" s="10" t="s">
        <v>1019</v>
      </c>
      <c r="G964" s="10" t="s">
        <v>6352</v>
      </c>
      <c r="H964" s="11">
        <v>38058</v>
      </c>
      <c r="I964" s="10">
        <v>2004</v>
      </c>
      <c r="J964" s="10" t="s">
        <v>115</v>
      </c>
      <c r="K964" s="10">
        <v>57</v>
      </c>
      <c r="L964" s="10" t="s">
        <v>10483</v>
      </c>
      <c r="M964" s="10">
        <v>1</v>
      </c>
      <c r="N964" s="10"/>
      <c r="O964" s="10"/>
      <c r="P964" s="10" t="s">
        <v>10484</v>
      </c>
      <c r="Q964" s="10" t="s">
        <v>10485</v>
      </c>
      <c r="R964" s="10" t="s">
        <v>10486</v>
      </c>
      <c r="S964" s="10" t="s">
        <v>53</v>
      </c>
      <c r="T964" s="10" t="s">
        <v>10302</v>
      </c>
    </row>
    <row r="965" spans="1:20" ht="14.5" x14ac:dyDescent="0.35">
      <c r="A965" s="10" t="s">
        <v>10487</v>
      </c>
      <c r="B965" s="10" t="str">
        <f>"9781845440015"</f>
        <v>9781845440015</v>
      </c>
      <c r="C965" s="10" t="str">
        <f>"9781845441654"</f>
        <v>9781845441654</v>
      </c>
      <c r="D965" s="10" t="s">
        <v>8699</v>
      </c>
      <c r="E965" s="10" t="s">
        <v>8699</v>
      </c>
      <c r="F965" s="10" t="s">
        <v>1019</v>
      </c>
      <c r="G965" s="10" t="s">
        <v>6352</v>
      </c>
      <c r="H965" s="11">
        <v>38128</v>
      </c>
      <c r="I965" s="10">
        <v>2004</v>
      </c>
      <c r="J965" s="10" t="s">
        <v>115</v>
      </c>
      <c r="K965" s="10">
        <v>52</v>
      </c>
      <c r="L965" s="10" t="s">
        <v>9287</v>
      </c>
      <c r="M965" s="10">
        <v>1</v>
      </c>
      <c r="N965" s="10"/>
      <c r="O965" s="10"/>
      <c r="P965" s="10" t="s">
        <v>10488</v>
      </c>
      <c r="Q965" s="10" t="s">
        <v>10489</v>
      </c>
      <c r="R965" s="10" t="s">
        <v>8702</v>
      </c>
      <c r="S965" s="10" t="s">
        <v>53</v>
      </c>
      <c r="T965" s="10" t="s">
        <v>54</v>
      </c>
    </row>
    <row r="966" spans="1:20" ht="14.5" x14ac:dyDescent="0.35">
      <c r="A966" s="10" t="s">
        <v>10490</v>
      </c>
      <c r="B966" s="10" t="str">
        <f>"9780861769223"</f>
        <v>9780861769223</v>
      </c>
      <c r="C966" s="10" t="str">
        <f>"9781845443658"</f>
        <v>9781845443658</v>
      </c>
      <c r="D966" s="10" t="s">
        <v>8699</v>
      </c>
      <c r="E966" s="10" t="s">
        <v>8699</v>
      </c>
      <c r="F966" s="10" t="s">
        <v>1019</v>
      </c>
      <c r="G966" s="10" t="s">
        <v>6352</v>
      </c>
      <c r="H966" s="11">
        <v>38009</v>
      </c>
      <c r="I966" s="10">
        <v>2004</v>
      </c>
      <c r="J966" s="10" t="s">
        <v>115</v>
      </c>
      <c r="K966" s="10">
        <v>117</v>
      </c>
      <c r="L966" s="10" t="s">
        <v>10491</v>
      </c>
      <c r="M966" s="10">
        <v>1</v>
      </c>
      <c r="N966" s="10"/>
      <c r="O966" s="10"/>
      <c r="P966" s="10" t="s">
        <v>10492</v>
      </c>
      <c r="Q966" s="10">
        <v>378.00200000000001</v>
      </c>
      <c r="R966" s="10" t="s">
        <v>10493</v>
      </c>
      <c r="S966" s="10" t="s">
        <v>53</v>
      </c>
      <c r="T966" s="10" t="s">
        <v>54</v>
      </c>
    </row>
    <row r="967" spans="1:20" ht="14.5" x14ac:dyDescent="0.35">
      <c r="A967" s="10" t="s">
        <v>10494</v>
      </c>
      <c r="B967" s="10" t="str">
        <f>"9780335208821"</f>
        <v>9780335208821</v>
      </c>
      <c r="C967" s="10" t="str">
        <f>"9780335225705"</f>
        <v>9780335225705</v>
      </c>
      <c r="D967" s="10" t="s">
        <v>10342</v>
      </c>
      <c r="E967" s="10" t="s">
        <v>10343</v>
      </c>
      <c r="F967" s="10" t="s">
        <v>10344</v>
      </c>
      <c r="G967" s="10" t="s">
        <v>6352</v>
      </c>
      <c r="H967" s="11">
        <v>38322</v>
      </c>
      <c r="I967" s="10">
        <v>2004</v>
      </c>
      <c r="J967" s="10" t="s">
        <v>10345</v>
      </c>
      <c r="K967" s="10">
        <v>175</v>
      </c>
      <c r="L967" s="10" t="s">
        <v>10495</v>
      </c>
      <c r="M967" s="10">
        <v>1</v>
      </c>
      <c r="N967" s="10" t="s">
        <v>10347</v>
      </c>
      <c r="O967" s="10"/>
      <c r="P967" s="10" t="s">
        <v>10496</v>
      </c>
      <c r="Q967" s="10">
        <v>371.2</v>
      </c>
      <c r="R967" s="10" t="s">
        <v>10497</v>
      </c>
      <c r="S967" s="10" t="s">
        <v>53</v>
      </c>
      <c r="T967" s="10" t="s">
        <v>54</v>
      </c>
    </row>
    <row r="968" spans="1:20" ht="14.5" x14ac:dyDescent="0.35">
      <c r="A968" s="10" t="s">
        <v>10498</v>
      </c>
      <c r="B968" s="10" t="str">
        <f>"9780335212590"</f>
        <v>9780335212590</v>
      </c>
      <c r="C968" s="10" t="str">
        <f>"9780335225712"</f>
        <v>9780335225712</v>
      </c>
      <c r="D968" s="10" t="s">
        <v>10342</v>
      </c>
      <c r="E968" s="10" t="s">
        <v>10343</v>
      </c>
      <c r="F968" s="10" t="s">
        <v>10344</v>
      </c>
      <c r="G968" s="10" t="s">
        <v>6352</v>
      </c>
      <c r="H968" s="11">
        <v>38047</v>
      </c>
      <c r="I968" s="10">
        <v>2004</v>
      </c>
      <c r="J968" s="10" t="s">
        <v>10345</v>
      </c>
      <c r="K968" s="10">
        <v>294</v>
      </c>
      <c r="L968" s="10" t="s">
        <v>10499</v>
      </c>
      <c r="M968" s="10">
        <v>1</v>
      </c>
      <c r="N968" s="10" t="s">
        <v>10347</v>
      </c>
      <c r="O968" s="10"/>
      <c r="P968" s="10" t="s">
        <v>10500</v>
      </c>
      <c r="Q968" s="10"/>
      <c r="R968" s="10" t="s">
        <v>10501</v>
      </c>
      <c r="S968" s="10" t="s">
        <v>53</v>
      </c>
      <c r="T968" s="10" t="s">
        <v>54</v>
      </c>
    </row>
    <row r="969" spans="1:20" ht="14.5" x14ac:dyDescent="0.35">
      <c r="A969" s="10" t="s">
        <v>10502</v>
      </c>
      <c r="B969" s="10" t="str">
        <f>"9780335213795"</f>
        <v>9780335213795</v>
      </c>
      <c r="C969" s="10" t="str">
        <f>"9780335225651"</f>
        <v>9780335225651</v>
      </c>
      <c r="D969" s="10" t="s">
        <v>10342</v>
      </c>
      <c r="E969" s="10" t="s">
        <v>10343</v>
      </c>
      <c r="F969" s="10" t="s">
        <v>10344</v>
      </c>
      <c r="G969" s="10" t="s">
        <v>6352</v>
      </c>
      <c r="H969" s="11">
        <v>38078</v>
      </c>
      <c r="I969" s="10">
        <v>2004</v>
      </c>
      <c r="J969" s="10" t="s">
        <v>10345</v>
      </c>
      <c r="K969" s="10">
        <v>184</v>
      </c>
      <c r="L969" s="10" t="s">
        <v>10503</v>
      </c>
      <c r="M969" s="10">
        <v>1</v>
      </c>
      <c r="N969" s="10" t="s">
        <v>10347</v>
      </c>
      <c r="O969" s="10"/>
      <c r="P969" s="10" t="s">
        <v>10504</v>
      </c>
      <c r="Q969" s="10">
        <v>372.12599999999998</v>
      </c>
      <c r="R969" s="10" t="s">
        <v>10505</v>
      </c>
      <c r="S969" s="10" t="s">
        <v>53</v>
      </c>
      <c r="T969" s="10" t="s">
        <v>54</v>
      </c>
    </row>
    <row r="970" spans="1:20" ht="14.5" x14ac:dyDescent="0.35">
      <c r="A970" s="10" t="s">
        <v>10506</v>
      </c>
      <c r="B970" s="10" t="str">
        <f>"9780335214198"</f>
        <v>9780335214198</v>
      </c>
      <c r="C970" s="10" t="str">
        <f>"9780335225750"</f>
        <v>9780335225750</v>
      </c>
      <c r="D970" s="10" t="s">
        <v>10342</v>
      </c>
      <c r="E970" s="10" t="s">
        <v>10343</v>
      </c>
      <c r="F970" s="10" t="s">
        <v>10344</v>
      </c>
      <c r="G970" s="10" t="s">
        <v>6352</v>
      </c>
      <c r="H970" s="11">
        <v>38687</v>
      </c>
      <c r="I970" s="10">
        <v>2005</v>
      </c>
      <c r="J970" s="10" t="s">
        <v>10345</v>
      </c>
      <c r="K970" s="10">
        <v>199</v>
      </c>
      <c r="L970" s="10" t="s">
        <v>10507</v>
      </c>
      <c r="M970" s="10">
        <v>1</v>
      </c>
      <c r="N970" s="10" t="s">
        <v>10508</v>
      </c>
      <c r="O970" s="10"/>
      <c r="P970" s="10" t="s">
        <v>10509</v>
      </c>
      <c r="Q970" s="10">
        <v>69</v>
      </c>
      <c r="R970" s="10" t="s">
        <v>10510</v>
      </c>
      <c r="S970" s="10" t="s">
        <v>53</v>
      </c>
      <c r="T970" s="10" t="s">
        <v>6410</v>
      </c>
    </row>
    <row r="971" spans="1:20" ht="14.5" x14ac:dyDescent="0.35">
      <c r="A971" s="10" t="s">
        <v>10511</v>
      </c>
      <c r="B971" s="10" t="str">
        <f>"9780335210916"</f>
        <v>9780335210916</v>
      </c>
      <c r="C971" s="10" t="str">
        <f>"9780335225972"</f>
        <v>9780335225972</v>
      </c>
      <c r="D971" s="10" t="s">
        <v>10342</v>
      </c>
      <c r="E971" s="10" t="s">
        <v>10343</v>
      </c>
      <c r="F971" s="10" t="s">
        <v>10344</v>
      </c>
      <c r="G971" s="10" t="s">
        <v>6352</v>
      </c>
      <c r="H971" s="11">
        <v>38047</v>
      </c>
      <c r="I971" s="10">
        <v>2004</v>
      </c>
      <c r="J971" s="10" t="s">
        <v>10345</v>
      </c>
      <c r="K971" s="10">
        <v>144</v>
      </c>
      <c r="L971" s="10" t="s">
        <v>10512</v>
      </c>
      <c r="M971" s="10">
        <v>1</v>
      </c>
      <c r="N971" s="10" t="s">
        <v>10347</v>
      </c>
      <c r="O971" s="10"/>
      <c r="P971" s="10" t="s">
        <v>10513</v>
      </c>
      <c r="Q971" s="10">
        <v>371.90460940000003</v>
      </c>
      <c r="R971" s="10" t="s">
        <v>10514</v>
      </c>
      <c r="S971" s="10" t="s">
        <v>53</v>
      </c>
      <c r="T971" s="10" t="s">
        <v>54</v>
      </c>
    </row>
    <row r="972" spans="1:20" ht="14.5" x14ac:dyDescent="0.35">
      <c r="A972" s="10" t="s">
        <v>10515</v>
      </c>
      <c r="B972" s="10" t="str">
        <f>"9781843102779"</f>
        <v>9781843102779</v>
      </c>
      <c r="C972" s="10" t="str">
        <f>"9781846420238"</f>
        <v>9781846420238</v>
      </c>
      <c r="D972" s="10" t="s">
        <v>10516</v>
      </c>
      <c r="E972" s="10" t="s">
        <v>10516</v>
      </c>
      <c r="F972" s="10" t="s">
        <v>139</v>
      </c>
      <c r="G972" s="10" t="s">
        <v>6352</v>
      </c>
      <c r="H972" s="11">
        <v>38161</v>
      </c>
      <c r="I972" s="10">
        <v>2004</v>
      </c>
      <c r="J972" s="10" t="s">
        <v>10516</v>
      </c>
      <c r="K972" s="10">
        <v>242</v>
      </c>
      <c r="L972" s="10" t="s">
        <v>10517</v>
      </c>
      <c r="M972" s="10">
        <v>1</v>
      </c>
      <c r="N972" s="10"/>
      <c r="O972" s="10"/>
      <c r="P972" s="10" t="s">
        <v>10518</v>
      </c>
      <c r="Q972" s="10" t="s">
        <v>10519</v>
      </c>
      <c r="R972" s="10" t="s">
        <v>10520</v>
      </c>
      <c r="S972" s="10" t="s">
        <v>53</v>
      </c>
      <c r="T972" s="10" t="s">
        <v>10521</v>
      </c>
    </row>
    <row r="973" spans="1:20" ht="14.5" x14ac:dyDescent="0.35">
      <c r="A973" s="10" t="s">
        <v>10522</v>
      </c>
      <c r="B973" s="10" t="str">
        <f>"9781843107484"</f>
        <v>9781843107484</v>
      </c>
      <c r="C973" s="10" t="str">
        <f>"9781846420337"</f>
        <v>9781846420337</v>
      </c>
      <c r="D973" s="10" t="s">
        <v>10516</v>
      </c>
      <c r="E973" s="10" t="s">
        <v>10516</v>
      </c>
      <c r="F973" s="10" t="s">
        <v>139</v>
      </c>
      <c r="G973" s="10" t="s">
        <v>6352</v>
      </c>
      <c r="H973" s="11">
        <v>38012</v>
      </c>
      <c r="I973" s="10">
        <v>2004</v>
      </c>
      <c r="J973" s="10" t="s">
        <v>10516</v>
      </c>
      <c r="K973" s="10">
        <v>305</v>
      </c>
      <c r="L973" s="10" t="s">
        <v>10523</v>
      </c>
      <c r="M973" s="10">
        <v>1</v>
      </c>
      <c r="N973" s="10"/>
      <c r="O973" s="10"/>
      <c r="P973" s="10" t="s">
        <v>10524</v>
      </c>
      <c r="Q973" s="10" t="s">
        <v>10525</v>
      </c>
      <c r="R973" s="10"/>
      <c r="S973" s="10" t="s">
        <v>53</v>
      </c>
      <c r="T973" s="10" t="s">
        <v>8510</v>
      </c>
    </row>
    <row r="974" spans="1:20" ht="14.5" x14ac:dyDescent="0.35">
      <c r="A974" s="10" t="s">
        <v>10526</v>
      </c>
      <c r="B974" s="10" t="str">
        <f>"9781853029646"</f>
        <v>9781853029646</v>
      </c>
      <c r="C974" s="10" t="str">
        <f>"9781846420351"</f>
        <v>9781846420351</v>
      </c>
      <c r="D974" s="10" t="s">
        <v>10516</v>
      </c>
      <c r="E974" s="10" t="s">
        <v>10516</v>
      </c>
      <c r="F974" s="10" t="s">
        <v>139</v>
      </c>
      <c r="G974" s="10" t="s">
        <v>6352</v>
      </c>
      <c r="H974" s="11">
        <v>37940</v>
      </c>
      <c r="I974" s="10">
        <v>2003</v>
      </c>
      <c r="J974" s="10" t="s">
        <v>10516</v>
      </c>
      <c r="K974" s="10">
        <v>527</v>
      </c>
      <c r="L974" s="10" t="s">
        <v>10527</v>
      </c>
      <c r="M974" s="10">
        <v>1</v>
      </c>
      <c r="N974" s="10"/>
      <c r="O974" s="10"/>
      <c r="P974" s="10" t="s">
        <v>10528</v>
      </c>
      <c r="Q974" s="10"/>
      <c r="R974" s="10"/>
      <c r="S974" s="10" t="s">
        <v>53</v>
      </c>
      <c r="T974" s="10" t="s">
        <v>8681</v>
      </c>
    </row>
    <row r="975" spans="1:20" ht="14.5" x14ac:dyDescent="0.35">
      <c r="A975" s="10" t="s">
        <v>10529</v>
      </c>
      <c r="B975" s="10" t="str">
        <f>"9781843107583"</f>
        <v>9781843107583</v>
      </c>
      <c r="C975" s="10" t="str">
        <f>"9781846420368"</f>
        <v>9781846420368</v>
      </c>
      <c r="D975" s="10" t="s">
        <v>10516</v>
      </c>
      <c r="E975" s="10" t="s">
        <v>10516</v>
      </c>
      <c r="F975" s="10" t="s">
        <v>139</v>
      </c>
      <c r="G975" s="10" t="s">
        <v>6352</v>
      </c>
      <c r="H975" s="11">
        <v>38122</v>
      </c>
      <c r="I975" s="10">
        <v>2004</v>
      </c>
      <c r="J975" s="10" t="s">
        <v>10516</v>
      </c>
      <c r="K975" s="10">
        <v>338</v>
      </c>
      <c r="L975" s="10" t="s">
        <v>10530</v>
      </c>
      <c r="M975" s="10">
        <v>1</v>
      </c>
      <c r="N975" s="10"/>
      <c r="O975" s="10"/>
      <c r="P975" s="10" t="s">
        <v>10531</v>
      </c>
      <c r="Q975" s="10"/>
      <c r="R975" s="10"/>
      <c r="S975" s="10" t="s">
        <v>53</v>
      </c>
      <c r="T975" s="10" t="s">
        <v>8625</v>
      </c>
    </row>
    <row r="976" spans="1:20" ht="14.5" x14ac:dyDescent="0.35">
      <c r="A976" s="10" t="s">
        <v>10532</v>
      </c>
      <c r="B976" s="10" t="str">
        <f>"9781843101109"</f>
        <v>9781843101109</v>
      </c>
      <c r="C976" s="10" t="str">
        <f>"9781846420467"</f>
        <v>9781846420467</v>
      </c>
      <c r="D976" s="10" t="s">
        <v>10516</v>
      </c>
      <c r="E976" s="10" t="s">
        <v>10516</v>
      </c>
      <c r="F976" s="10" t="s">
        <v>139</v>
      </c>
      <c r="G976" s="10" t="s">
        <v>6352</v>
      </c>
      <c r="H976" s="11">
        <v>37954</v>
      </c>
      <c r="I976" s="10">
        <v>2003</v>
      </c>
      <c r="J976" s="10" t="s">
        <v>10516</v>
      </c>
      <c r="K976" s="10">
        <v>369</v>
      </c>
      <c r="L976" s="10" t="s">
        <v>10533</v>
      </c>
      <c r="M976" s="10">
        <v>1</v>
      </c>
      <c r="N976" s="10"/>
      <c r="O976" s="10"/>
      <c r="P976" s="10" t="s">
        <v>10534</v>
      </c>
      <c r="Q976" s="10" t="s">
        <v>10535</v>
      </c>
      <c r="R976" s="10" t="s">
        <v>10536</v>
      </c>
      <c r="S976" s="10" t="s">
        <v>53</v>
      </c>
      <c r="T976" s="10" t="s">
        <v>54</v>
      </c>
    </row>
    <row r="977" spans="1:20" ht="14.5" x14ac:dyDescent="0.35">
      <c r="A977" s="10" t="s">
        <v>10537</v>
      </c>
      <c r="B977" s="10" t="str">
        <f>"9781843107613"</f>
        <v>9781843107613</v>
      </c>
      <c r="C977" s="10" t="str">
        <f>"9781846420559"</f>
        <v>9781846420559</v>
      </c>
      <c r="D977" s="10" t="s">
        <v>10516</v>
      </c>
      <c r="E977" s="10" t="s">
        <v>10516</v>
      </c>
      <c r="F977" s="10" t="s">
        <v>139</v>
      </c>
      <c r="G977" s="10" t="s">
        <v>6352</v>
      </c>
      <c r="H977" s="11">
        <v>38032</v>
      </c>
      <c r="I977" s="10">
        <v>2004</v>
      </c>
      <c r="J977" s="10" t="s">
        <v>10516</v>
      </c>
      <c r="K977" s="10">
        <v>273</v>
      </c>
      <c r="L977" s="10" t="s">
        <v>10538</v>
      </c>
      <c r="M977" s="10">
        <v>1</v>
      </c>
      <c r="N977" s="10"/>
      <c r="O977" s="10"/>
      <c r="P977" s="10" t="s">
        <v>10539</v>
      </c>
      <c r="Q977" s="10">
        <v>371.92</v>
      </c>
      <c r="R977" s="10" t="s">
        <v>10540</v>
      </c>
      <c r="S977" s="10" t="s">
        <v>53</v>
      </c>
      <c r="T977" s="10" t="s">
        <v>10541</v>
      </c>
    </row>
    <row r="978" spans="1:20" ht="14.5" x14ac:dyDescent="0.35">
      <c r="A978" s="10" t="s">
        <v>10542</v>
      </c>
      <c r="B978" s="10" t="str">
        <f>"9781843102625"</f>
        <v>9781843102625</v>
      </c>
      <c r="C978" s="10" t="str">
        <f>"9781846420573"</f>
        <v>9781846420573</v>
      </c>
      <c r="D978" s="10" t="s">
        <v>10516</v>
      </c>
      <c r="E978" s="10" t="s">
        <v>10516</v>
      </c>
      <c r="F978" s="10" t="s">
        <v>139</v>
      </c>
      <c r="G978" s="10" t="s">
        <v>6352</v>
      </c>
      <c r="H978" s="11">
        <v>38245</v>
      </c>
      <c r="I978" s="10">
        <v>2004</v>
      </c>
      <c r="J978" s="10" t="s">
        <v>10516</v>
      </c>
      <c r="K978" s="10">
        <v>257</v>
      </c>
      <c r="L978" s="10" t="s">
        <v>10543</v>
      </c>
      <c r="M978" s="10">
        <v>1</v>
      </c>
      <c r="N978" s="10"/>
      <c r="O978" s="10"/>
      <c r="P978" s="10" t="s">
        <v>10544</v>
      </c>
      <c r="Q978" s="10"/>
      <c r="R978" s="10" t="s">
        <v>10545</v>
      </c>
      <c r="S978" s="10" t="s">
        <v>53</v>
      </c>
      <c r="T978" s="10" t="s">
        <v>54</v>
      </c>
    </row>
    <row r="979" spans="1:20" ht="14.5" x14ac:dyDescent="0.35">
      <c r="A979" s="10" t="s">
        <v>10546</v>
      </c>
      <c r="B979" s="10" t="str">
        <f>"9781843107163"</f>
        <v>9781843107163</v>
      </c>
      <c r="C979" s="10" t="str">
        <f>"9781846420696"</f>
        <v>9781846420696</v>
      </c>
      <c r="D979" s="10" t="s">
        <v>10516</v>
      </c>
      <c r="E979" s="10" t="s">
        <v>10516</v>
      </c>
      <c r="F979" s="10" t="s">
        <v>139</v>
      </c>
      <c r="G979" s="10" t="s">
        <v>6352</v>
      </c>
      <c r="H979" s="11">
        <v>37590</v>
      </c>
      <c r="I979" s="10">
        <v>2002</v>
      </c>
      <c r="J979" s="10" t="s">
        <v>10516</v>
      </c>
      <c r="K979" s="10">
        <v>223</v>
      </c>
      <c r="L979" s="10" t="s">
        <v>10547</v>
      </c>
      <c r="M979" s="10">
        <v>1</v>
      </c>
      <c r="N979" s="10"/>
      <c r="O979" s="10"/>
      <c r="P979" s="10" t="s">
        <v>10548</v>
      </c>
      <c r="Q979" s="10">
        <v>371.94</v>
      </c>
      <c r="R979" s="10"/>
      <c r="S979" s="10" t="s">
        <v>53</v>
      </c>
      <c r="T979" s="10" t="s">
        <v>54</v>
      </c>
    </row>
    <row r="980" spans="1:20" ht="14.5" x14ac:dyDescent="0.35">
      <c r="A980" s="10" t="s">
        <v>10549</v>
      </c>
      <c r="B980" s="10" t="str">
        <f>"9781843103004"</f>
        <v>9781843103004</v>
      </c>
      <c r="C980" s="10" t="str">
        <f>"9781846420771"</f>
        <v>9781846420771</v>
      </c>
      <c r="D980" s="10" t="s">
        <v>10516</v>
      </c>
      <c r="E980" s="10" t="s">
        <v>10516</v>
      </c>
      <c r="F980" s="10" t="s">
        <v>139</v>
      </c>
      <c r="G980" s="10" t="s">
        <v>6352</v>
      </c>
      <c r="H980" s="11">
        <v>38308</v>
      </c>
      <c r="I980" s="10">
        <v>2004</v>
      </c>
      <c r="J980" s="10" t="s">
        <v>10516</v>
      </c>
      <c r="K980" s="10">
        <v>114</v>
      </c>
      <c r="L980" s="10" t="s">
        <v>10550</v>
      </c>
      <c r="M980" s="10">
        <v>1</v>
      </c>
      <c r="N980" s="10"/>
      <c r="O980" s="10"/>
      <c r="P980" s="10" t="s">
        <v>10551</v>
      </c>
      <c r="Q980" s="10">
        <v>823.92</v>
      </c>
      <c r="R980" s="10" t="s">
        <v>10552</v>
      </c>
      <c r="S980" s="10" t="s">
        <v>53</v>
      </c>
      <c r="T980" s="10" t="s">
        <v>10553</v>
      </c>
    </row>
    <row r="981" spans="1:20" ht="14.5" x14ac:dyDescent="0.35">
      <c r="A981" s="10" t="s">
        <v>10554</v>
      </c>
      <c r="B981" s="10" t="str">
        <f>"9781843102113"</f>
        <v>9781843102113</v>
      </c>
      <c r="C981" s="10" t="str">
        <f>"9781846420818"</f>
        <v>9781846420818</v>
      </c>
      <c r="D981" s="10" t="s">
        <v>10516</v>
      </c>
      <c r="E981" s="10" t="s">
        <v>10516</v>
      </c>
      <c r="F981" s="10" t="s">
        <v>139</v>
      </c>
      <c r="G981" s="10" t="s">
        <v>6352</v>
      </c>
      <c r="H981" s="11">
        <v>38032</v>
      </c>
      <c r="I981" s="10">
        <v>2004</v>
      </c>
      <c r="J981" s="10" t="s">
        <v>10516</v>
      </c>
      <c r="K981" s="10">
        <v>177</v>
      </c>
      <c r="L981" s="10" t="s">
        <v>10555</v>
      </c>
      <c r="M981" s="10">
        <v>1</v>
      </c>
      <c r="N981" s="10"/>
      <c r="O981" s="10"/>
      <c r="P981" s="10" t="s">
        <v>10556</v>
      </c>
      <c r="Q981" s="10" t="s">
        <v>10557</v>
      </c>
      <c r="R981" s="10" t="s">
        <v>10558</v>
      </c>
      <c r="S981" s="10" t="s">
        <v>53</v>
      </c>
      <c r="T981" s="10" t="s">
        <v>8510</v>
      </c>
    </row>
    <row r="982" spans="1:20" ht="14.5" x14ac:dyDescent="0.35">
      <c r="A982" s="10" t="s">
        <v>10559</v>
      </c>
      <c r="B982" s="10" t="str">
        <f>"9781843101840"</f>
        <v>9781843101840</v>
      </c>
      <c r="C982" s="10" t="str">
        <f>"9781846420825"</f>
        <v>9781846420825</v>
      </c>
      <c r="D982" s="10" t="s">
        <v>10516</v>
      </c>
      <c r="E982" s="10" t="s">
        <v>10516</v>
      </c>
      <c r="F982" s="10" t="s">
        <v>139</v>
      </c>
      <c r="G982" s="10" t="s">
        <v>6352</v>
      </c>
      <c r="H982" s="11">
        <v>37787</v>
      </c>
      <c r="I982" s="10">
        <v>2003</v>
      </c>
      <c r="J982" s="10" t="s">
        <v>10516</v>
      </c>
      <c r="K982" s="10">
        <v>338</v>
      </c>
      <c r="L982" s="10" t="s">
        <v>10560</v>
      </c>
      <c r="M982" s="10">
        <v>1</v>
      </c>
      <c r="N982" s="10"/>
      <c r="O982" s="10"/>
      <c r="P982" s="10" t="s">
        <v>10561</v>
      </c>
      <c r="Q982" s="10"/>
      <c r="R982" s="10" t="s">
        <v>10562</v>
      </c>
      <c r="S982" s="10" t="s">
        <v>53</v>
      </c>
      <c r="T982" s="10" t="s">
        <v>8681</v>
      </c>
    </row>
    <row r="983" spans="1:20" ht="14.5" x14ac:dyDescent="0.35">
      <c r="A983" s="10" t="s">
        <v>10563</v>
      </c>
      <c r="B983" s="10" t="str">
        <f>"9781843108252"</f>
        <v>9781843108252</v>
      </c>
      <c r="C983" s="10" t="str">
        <f>"9781846420856"</f>
        <v>9781846420856</v>
      </c>
      <c r="D983" s="10" t="s">
        <v>10516</v>
      </c>
      <c r="E983" s="10" t="s">
        <v>10516</v>
      </c>
      <c r="F983" s="10" t="s">
        <v>139</v>
      </c>
      <c r="G983" s="10" t="s">
        <v>6352</v>
      </c>
      <c r="H983" s="11">
        <v>38791</v>
      </c>
      <c r="I983" s="10">
        <v>2006</v>
      </c>
      <c r="J983" s="10" t="s">
        <v>10516</v>
      </c>
      <c r="K983" s="10">
        <v>222</v>
      </c>
      <c r="L983" s="10" t="s">
        <v>10564</v>
      </c>
      <c r="M983" s="10">
        <v>1</v>
      </c>
      <c r="N983" s="10"/>
      <c r="O983" s="10"/>
      <c r="P983" s="10" t="s">
        <v>10565</v>
      </c>
      <c r="Q983" s="10">
        <v>618.92858820000004</v>
      </c>
      <c r="R983" s="10" t="s">
        <v>10566</v>
      </c>
      <c r="S983" s="10" t="s">
        <v>53</v>
      </c>
      <c r="T983" s="10" t="s">
        <v>8510</v>
      </c>
    </row>
    <row r="984" spans="1:20" ht="14.5" x14ac:dyDescent="0.35">
      <c r="A984" s="10" t="s">
        <v>10567</v>
      </c>
      <c r="B984" s="10" t="str">
        <f>"9781843107651"</f>
        <v>9781843107651</v>
      </c>
      <c r="C984" s="10" t="str">
        <f>"9781846420870"</f>
        <v>9781846420870</v>
      </c>
      <c r="D984" s="10" t="s">
        <v>10516</v>
      </c>
      <c r="E984" s="10" t="s">
        <v>10516</v>
      </c>
      <c r="F984" s="10" t="s">
        <v>139</v>
      </c>
      <c r="G984" s="10" t="s">
        <v>6352</v>
      </c>
      <c r="H984" s="11">
        <v>38426</v>
      </c>
      <c r="I984" s="10">
        <v>2005</v>
      </c>
      <c r="J984" s="10" t="s">
        <v>10516</v>
      </c>
      <c r="K984" s="10">
        <v>219</v>
      </c>
      <c r="L984" s="10" t="s">
        <v>10568</v>
      </c>
      <c r="M984" s="10">
        <v>1</v>
      </c>
      <c r="N984" s="10"/>
      <c r="O984" s="10"/>
      <c r="P984" s="10" t="s">
        <v>10569</v>
      </c>
      <c r="Q984" s="10" t="s">
        <v>10570</v>
      </c>
      <c r="R984" s="10" t="s">
        <v>10571</v>
      </c>
      <c r="S984" s="10" t="s">
        <v>53</v>
      </c>
      <c r="T984" s="10" t="s">
        <v>8681</v>
      </c>
    </row>
    <row r="985" spans="1:20" ht="14.5" x14ac:dyDescent="0.35">
      <c r="A985" s="10" t="s">
        <v>10572</v>
      </c>
      <c r="B985" s="10" t="str">
        <f>"9781843107934"</f>
        <v>9781843107934</v>
      </c>
      <c r="C985" s="10" t="str">
        <f>"9781846420887"</f>
        <v>9781846420887</v>
      </c>
      <c r="D985" s="10" t="s">
        <v>10516</v>
      </c>
      <c r="E985" s="10" t="s">
        <v>10516</v>
      </c>
      <c r="F985" s="10" t="s">
        <v>139</v>
      </c>
      <c r="G985" s="10" t="s">
        <v>6352</v>
      </c>
      <c r="H985" s="11">
        <v>38426</v>
      </c>
      <c r="I985" s="10">
        <v>2005</v>
      </c>
      <c r="J985" s="10" t="s">
        <v>10516</v>
      </c>
      <c r="K985" s="10">
        <v>242</v>
      </c>
      <c r="L985" s="10" t="s">
        <v>10573</v>
      </c>
      <c r="M985" s="10">
        <v>1</v>
      </c>
      <c r="N985" s="10"/>
      <c r="O985" s="10"/>
      <c r="P985" s="10" t="s">
        <v>10574</v>
      </c>
      <c r="Q985" s="10" t="s">
        <v>10575</v>
      </c>
      <c r="R985" s="10" t="s">
        <v>10576</v>
      </c>
      <c r="S985" s="10" t="s">
        <v>53</v>
      </c>
      <c r="T985" s="10" t="s">
        <v>8681</v>
      </c>
    </row>
    <row r="986" spans="1:20" ht="14.5" x14ac:dyDescent="0.35">
      <c r="A986" s="10" t="s">
        <v>10577</v>
      </c>
      <c r="B986" s="10" t="str">
        <f>"9781843102137"</f>
        <v>9781843102137</v>
      </c>
      <c r="C986" s="10" t="str">
        <f>"9781846420924"</f>
        <v>9781846420924</v>
      </c>
      <c r="D986" s="10" t="s">
        <v>10516</v>
      </c>
      <c r="E986" s="10" t="s">
        <v>10516</v>
      </c>
      <c r="F986" s="10" t="s">
        <v>139</v>
      </c>
      <c r="G986" s="10" t="s">
        <v>6352</v>
      </c>
      <c r="H986" s="11">
        <v>38426</v>
      </c>
      <c r="I986" s="10">
        <v>2005</v>
      </c>
      <c r="J986" s="10" t="s">
        <v>10516</v>
      </c>
      <c r="K986" s="10">
        <v>210</v>
      </c>
      <c r="L986" s="10" t="s">
        <v>10578</v>
      </c>
      <c r="M986" s="10">
        <v>1</v>
      </c>
      <c r="N986" s="10"/>
      <c r="O986" s="10"/>
      <c r="P986" s="10" t="s">
        <v>10579</v>
      </c>
      <c r="Q986" s="10" t="s">
        <v>10580</v>
      </c>
      <c r="R986" s="10" t="s">
        <v>10581</v>
      </c>
      <c r="S986" s="10" t="s">
        <v>53</v>
      </c>
      <c r="T986" s="10" t="s">
        <v>8681</v>
      </c>
    </row>
    <row r="987" spans="1:20" ht="14.5" x14ac:dyDescent="0.35">
      <c r="A987" s="10" t="s">
        <v>10582</v>
      </c>
      <c r="B987" s="10" t="str">
        <f>"9781843103424"</f>
        <v>9781843103424</v>
      </c>
      <c r="C987" s="10" t="str">
        <f>"9781846420948"</f>
        <v>9781846420948</v>
      </c>
      <c r="D987" s="10" t="s">
        <v>10516</v>
      </c>
      <c r="E987" s="10" t="s">
        <v>10516</v>
      </c>
      <c r="F987" s="10" t="s">
        <v>139</v>
      </c>
      <c r="G987" s="10" t="s">
        <v>6352</v>
      </c>
      <c r="H987" s="11">
        <v>38367</v>
      </c>
      <c r="I987" s="10">
        <v>2005</v>
      </c>
      <c r="J987" s="10" t="s">
        <v>10516</v>
      </c>
      <c r="K987" s="10">
        <v>114</v>
      </c>
      <c r="L987" s="10" t="s">
        <v>10583</v>
      </c>
      <c r="M987" s="10">
        <v>1</v>
      </c>
      <c r="N987" s="10"/>
      <c r="O987" s="10"/>
      <c r="P987" s="10" t="s">
        <v>10584</v>
      </c>
      <c r="Q987" s="10"/>
      <c r="R987" s="10" t="s">
        <v>10585</v>
      </c>
      <c r="S987" s="10" t="s">
        <v>53</v>
      </c>
      <c r="T987" s="10" t="s">
        <v>8681</v>
      </c>
    </row>
    <row r="988" spans="1:20" ht="14.5" x14ac:dyDescent="0.35">
      <c r="A988" s="10" t="s">
        <v>10586</v>
      </c>
      <c r="B988" s="10" t="str">
        <f>"9781843107279"</f>
        <v>9781843107279</v>
      </c>
      <c r="C988" s="10" t="str">
        <f>"9781846421051"</f>
        <v>9781846421051</v>
      </c>
      <c r="D988" s="10" t="s">
        <v>10516</v>
      </c>
      <c r="E988" s="10" t="s">
        <v>10516</v>
      </c>
      <c r="F988" s="10" t="s">
        <v>139</v>
      </c>
      <c r="G988" s="10" t="s">
        <v>6352</v>
      </c>
      <c r="H988" s="11">
        <v>38367</v>
      </c>
      <c r="I988" s="10">
        <v>2005</v>
      </c>
      <c r="J988" s="10" t="s">
        <v>10516</v>
      </c>
      <c r="K988" s="10">
        <v>254</v>
      </c>
      <c r="L988" s="10" t="s">
        <v>10587</v>
      </c>
      <c r="M988" s="10">
        <v>1</v>
      </c>
      <c r="N988" s="10"/>
      <c r="O988" s="10"/>
      <c r="P988" s="10" t="s">
        <v>10588</v>
      </c>
      <c r="Q988" s="10">
        <v>616.85882000000004</v>
      </c>
      <c r="R988" s="10"/>
      <c r="S988" s="10" t="s">
        <v>53</v>
      </c>
      <c r="T988" s="10" t="s">
        <v>8510</v>
      </c>
    </row>
    <row r="989" spans="1:20" ht="14.5" x14ac:dyDescent="0.35">
      <c r="A989" s="10" t="s">
        <v>10589</v>
      </c>
      <c r="B989" s="10" t="str">
        <f>"9781843101178"</f>
        <v>9781843101178</v>
      </c>
      <c r="C989" s="10" t="str">
        <f>"9781846421099"</f>
        <v>9781846421099</v>
      </c>
      <c r="D989" s="10" t="s">
        <v>10516</v>
      </c>
      <c r="E989" s="10" t="s">
        <v>10516</v>
      </c>
      <c r="F989" s="10" t="s">
        <v>139</v>
      </c>
      <c r="G989" s="10" t="s">
        <v>6352</v>
      </c>
      <c r="H989" s="11">
        <v>38363</v>
      </c>
      <c r="I989" s="10">
        <v>2005</v>
      </c>
      <c r="J989" s="10" t="s">
        <v>10516</v>
      </c>
      <c r="K989" s="10">
        <v>161</v>
      </c>
      <c r="L989" s="10" t="s">
        <v>10590</v>
      </c>
      <c r="M989" s="10">
        <v>1</v>
      </c>
      <c r="N989" s="10"/>
      <c r="O989" s="10"/>
      <c r="P989" s="10" t="s">
        <v>10591</v>
      </c>
      <c r="Q989" s="10"/>
      <c r="R989" s="10" t="s">
        <v>10592</v>
      </c>
      <c r="S989" s="10" t="s">
        <v>53</v>
      </c>
      <c r="T989" s="10" t="s">
        <v>6363</v>
      </c>
    </row>
    <row r="990" spans="1:20" ht="14.5" x14ac:dyDescent="0.35">
      <c r="A990" s="10" t="s">
        <v>10593</v>
      </c>
      <c r="B990" s="10" t="str">
        <f>"9781843103080"</f>
        <v>9781843103080</v>
      </c>
      <c r="C990" s="10" t="str">
        <f>"9781846421105"</f>
        <v>9781846421105</v>
      </c>
      <c r="D990" s="10" t="s">
        <v>10516</v>
      </c>
      <c r="E990" s="10" t="s">
        <v>10516</v>
      </c>
      <c r="F990" s="10" t="s">
        <v>139</v>
      </c>
      <c r="G990" s="10" t="s">
        <v>6352</v>
      </c>
      <c r="H990" s="11">
        <v>38367</v>
      </c>
      <c r="I990" s="10">
        <v>2005</v>
      </c>
      <c r="J990" s="10" t="s">
        <v>10516</v>
      </c>
      <c r="K990" s="10">
        <v>154</v>
      </c>
      <c r="L990" s="10" t="s">
        <v>10594</v>
      </c>
      <c r="M990" s="10">
        <v>1</v>
      </c>
      <c r="N990" s="10"/>
      <c r="O990" s="10"/>
      <c r="P990" s="10" t="s">
        <v>10595</v>
      </c>
      <c r="Q990" s="10">
        <v>371.94</v>
      </c>
      <c r="R990" s="10" t="s">
        <v>10596</v>
      </c>
      <c r="S990" s="10" t="s">
        <v>53</v>
      </c>
      <c r="T990" s="10" t="s">
        <v>54</v>
      </c>
    </row>
    <row r="991" spans="1:20" ht="14.5" x14ac:dyDescent="0.35">
      <c r="A991" s="10" t="s">
        <v>10597</v>
      </c>
      <c r="B991" s="10" t="str">
        <f>"9781843107965"</f>
        <v>9781843107965</v>
      </c>
      <c r="C991" s="10" t="str">
        <f>"9781846421143"</f>
        <v>9781846421143</v>
      </c>
      <c r="D991" s="10" t="s">
        <v>10516</v>
      </c>
      <c r="E991" s="10" t="s">
        <v>10516</v>
      </c>
      <c r="F991" s="10" t="s">
        <v>139</v>
      </c>
      <c r="G991" s="10" t="s">
        <v>6352</v>
      </c>
      <c r="H991" s="11">
        <v>38336</v>
      </c>
      <c r="I991" s="10">
        <v>2004</v>
      </c>
      <c r="J991" s="10" t="s">
        <v>10516</v>
      </c>
      <c r="K991" s="10">
        <v>96</v>
      </c>
      <c r="L991" s="10" t="s">
        <v>10598</v>
      </c>
      <c r="M991" s="10">
        <v>1</v>
      </c>
      <c r="N991" s="10"/>
      <c r="O991" s="10"/>
      <c r="P991" s="10" t="s">
        <v>10599</v>
      </c>
      <c r="Q991" s="10">
        <v>649.154</v>
      </c>
      <c r="R991" s="10" t="s">
        <v>10600</v>
      </c>
      <c r="S991" s="10" t="s">
        <v>53</v>
      </c>
      <c r="T991" s="10" t="s">
        <v>10601</v>
      </c>
    </row>
    <row r="992" spans="1:20" ht="14.5" x14ac:dyDescent="0.35">
      <c r="A992" s="10" t="s">
        <v>10602</v>
      </c>
      <c r="B992" s="10" t="str">
        <f>"9781843107910"</f>
        <v>9781843107910</v>
      </c>
      <c r="C992" s="10" t="str">
        <f>"9781846421167"</f>
        <v>9781846421167</v>
      </c>
      <c r="D992" s="10" t="s">
        <v>10516</v>
      </c>
      <c r="E992" s="10" t="s">
        <v>10516</v>
      </c>
      <c r="F992" s="10" t="s">
        <v>139</v>
      </c>
      <c r="G992" s="10" t="s">
        <v>6352</v>
      </c>
      <c r="H992" s="11">
        <v>38308</v>
      </c>
      <c r="I992" s="10">
        <v>2004</v>
      </c>
      <c r="J992" s="10" t="s">
        <v>10516</v>
      </c>
      <c r="K992" s="10">
        <v>137</v>
      </c>
      <c r="L992" s="10" t="s">
        <v>10603</v>
      </c>
      <c r="M992" s="10">
        <v>1</v>
      </c>
      <c r="N992" s="10"/>
      <c r="O992" s="10"/>
      <c r="P992" s="10" t="s">
        <v>10604</v>
      </c>
      <c r="Q992" s="10" t="s">
        <v>10605</v>
      </c>
      <c r="R992" s="10" t="s">
        <v>10606</v>
      </c>
      <c r="S992" s="10" t="s">
        <v>53</v>
      </c>
      <c r="T992" s="10" t="s">
        <v>8510</v>
      </c>
    </row>
    <row r="993" spans="1:20" ht="14.5" x14ac:dyDescent="0.35">
      <c r="A993" s="10" t="s">
        <v>10607</v>
      </c>
      <c r="B993" s="10" t="str">
        <f>"9781843103196"</f>
        <v>9781843103196</v>
      </c>
      <c r="C993" s="10" t="str">
        <f>"9781846421198"</f>
        <v>9781846421198</v>
      </c>
      <c r="D993" s="10" t="s">
        <v>10516</v>
      </c>
      <c r="E993" s="10" t="s">
        <v>10516</v>
      </c>
      <c r="F993" s="10" t="s">
        <v>139</v>
      </c>
      <c r="G993" s="10" t="s">
        <v>6352</v>
      </c>
      <c r="H993" s="11">
        <v>38306</v>
      </c>
      <c r="I993" s="10">
        <v>2004</v>
      </c>
      <c r="J993" s="10" t="s">
        <v>10516</v>
      </c>
      <c r="K993" s="10">
        <v>386</v>
      </c>
      <c r="L993" s="10" t="s">
        <v>10608</v>
      </c>
      <c r="M993" s="10">
        <v>1</v>
      </c>
      <c r="N993" s="10"/>
      <c r="O993" s="10"/>
      <c r="P993" s="10" t="s">
        <v>10609</v>
      </c>
      <c r="Q993" s="10">
        <v>616.85879999999997</v>
      </c>
      <c r="R993" s="10" t="s">
        <v>10571</v>
      </c>
      <c r="S993" s="10" t="s">
        <v>53</v>
      </c>
      <c r="T993" s="10" t="s">
        <v>8510</v>
      </c>
    </row>
    <row r="994" spans="1:20" ht="14.5" x14ac:dyDescent="0.35">
      <c r="A994" s="10" t="s">
        <v>10610</v>
      </c>
      <c r="B994" s="10" t="str">
        <f>"9781843102908"</f>
        <v>9781843102908</v>
      </c>
      <c r="C994" s="10" t="str">
        <f>"9781846421259"</f>
        <v>9781846421259</v>
      </c>
      <c r="D994" s="10" t="s">
        <v>10516</v>
      </c>
      <c r="E994" s="10" t="s">
        <v>10516</v>
      </c>
      <c r="F994" s="10" t="s">
        <v>139</v>
      </c>
      <c r="G994" s="10" t="s">
        <v>6352</v>
      </c>
      <c r="H994" s="11">
        <v>38245</v>
      </c>
      <c r="I994" s="10">
        <v>2004</v>
      </c>
      <c r="J994" s="10" t="s">
        <v>10516</v>
      </c>
      <c r="K994" s="10">
        <v>125</v>
      </c>
      <c r="L994" s="10" t="s">
        <v>10611</v>
      </c>
      <c r="M994" s="10">
        <v>1</v>
      </c>
      <c r="N994" s="10"/>
      <c r="O994" s="10"/>
      <c r="P994" s="10" t="s">
        <v>10612</v>
      </c>
      <c r="Q994" s="10">
        <v>371.94</v>
      </c>
      <c r="R994" s="10" t="s">
        <v>10613</v>
      </c>
      <c r="S994" s="10" t="s">
        <v>53</v>
      </c>
      <c r="T994" s="10" t="s">
        <v>54</v>
      </c>
    </row>
    <row r="995" spans="1:20" ht="14.5" x14ac:dyDescent="0.35">
      <c r="A995" s="10" t="s">
        <v>10614</v>
      </c>
      <c r="B995" s="10" t="str">
        <f>"9781843107873"</f>
        <v>9781843107873</v>
      </c>
      <c r="C995" s="10" t="str">
        <f>"9781846421266"</f>
        <v>9781846421266</v>
      </c>
      <c r="D995" s="10" t="s">
        <v>10516</v>
      </c>
      <c r="E995" s="10" t="s">
        <v>10516</v>
      </c>
      <c r="F995" s="10" t="s">
        <v>139</v>
      </c>
      <c r="G995" s="10" t="s">
        <v>6352</v>
      </c>
      <c r="H995" s="11">
        <v>38469</v>
      </c>
      <c r="I995" s="10">
        <v>2005</v>
      </c>
      <c r="J995" s="10" t="s">
        <v>10516</v>
      </c>
      <c r="K995" s="10">
        <v>131</v>
      </c>
      <c r="L995" s="10" t="s">
        <v>10615</v>
      </c>
      <c r="M995" s="10">
        <v>1</v>
      </c>
      <c r="N995" s="10"/>
      <c r="O995" s="10"/>
      <c r="P995" s="10" t="s">
        <v>10616</v>
      </c>
      <c r="Q995" s="10">
        <v>371.94</v>
      </c>
      <c r="R995" s="10" t="s">
        <v>10617</v>
      </c>
      <c r="S995" s="10" t="s">
        <v>53</v>
      </c>
      <c r="T995" s="10" t="s">
        <v>54</v>
      </c>
    </row>
    <row r="996" spans="1:20" ht="14.5" x14ac:dyDescent="0.35">
      <c r="A996" s="10" t="s">
        <v>10618</v>
      </c>
      <c r="B996" s="10" t="str">
        <f>"9781843103523"</f>
        <v>9781843103523</v>
      </c>
      <c r="C996" s="10" t="str">
        <f>"9781846421303"</f>
        <v>9781846421303</v>
      </c>
      <c r="D996" s="10" t="s">
        <v>10516</v>
      </c>
      <c r="E996" s="10" t="s">
        <v>10516</v>
      </c>
      <c r="F996" s="10" t="s">
        <v>139</v>
      </c>
      <c r="G996" s="10" t="s">
        <v>6352</v>
      </c>
      <c r="H996" s="11">
        <v>38457</v>
      </c>
      <c r="I996" s="10">
        <v>2005</v>
      </c>
      <c r="J996" s="10" t="s">
        <v>10516</v>
      </c>
      <c r="K996" s="10">
        <v>79</v>
      </c>
      <c r="L996" s="10" t="s">
        <v>10619</v>
      </c>
      <c r="M996" s="10">
        <v>1</v>
      </c>
      <c r="N996" s="10"/>
      <c r="O996" s="10"/>
      <c r="P996" s="10" t="s">
        <v>10620</v>
      </c>
      <c r="Q996" s="10"/>
      <c r="R996" s="10"/>
      <c r="S996" s="10" t="s">
        <v>53</v>
      </c>
      <c r="T996" s="10" t="s">
        <v>8681</v>
      </c>
    </row>
    <row r="997" spans="1:20" ht="14.5" x14ac:dyDescent="0.35">
      <c r="A997" s="10" t="s">
        <v>10621</v>
      </c>
      <c r="B997" s="10" t="str">
        <f>"9781843103677"</f>
        <v>9781843103677</v>
      </c>
      <c r="C997" s="10" t="str">
        <f>"9781846421327"</f>
        <v>9781846421327</v>
      </c>
      <c r="D997" s="10" t="s">
        <v>10516</v>
      </c>
      <c r="E997" s="10" t="s">
        <v>10516</v>
      </c>
      <c r="F997" s="10" t="s">
        <v>139</v>
      </c>
      <c r="G997" s="10" t="s">
        <v>6352</v>
      </c>
      <c r="H997" s="11">
        <v>38487</v>
      </c>
      <c r="I997" s="10">
        <v>2005</v>
      </c>
      <c r="J997" s="10" t="s">
        <v>10516</v>
      </c>
      <c r="K997" s="10">
        <v>98</v>
      </c>
      <c r="L997" s="10" t="s">
        <v>10622</v>
      </c>
      <c r="M997" s="10">
        <v>1</v>
      </c>
      <c r="N997" s="10" t="s">
        <v>10623</v>
      </c>
      <c r="O997" s="10"/>
      <c r="P997" s="10" t="s">
        <v>10624</v>
      </c>
      <c r="Q997" s="10"/>
      <c r="R997" s="10"/>
      <c r="S997" s="10" t="s">
        <v>53</v>
      </c>
      <c r="T997" s="10" t="s">
        <v>6363</v>
      </c>
    </row>
    <row r="998" spans="1:20" ht="14.5" x14ac:dyDescent="0.35">
      <c r="A998" s="10" t="s">
        <v>10625</v>
      </c>
      <c r="B998" s="10" t="str">
        <f>"9781843101314"</f>
        <v>9781843101314</v>
      </c>
      <c r="C998" s="10" t="str">
        <f>"9781846421402"</f>
        <v>9781846421402</v>
      </c>
      <c r="D998" s="10" t="s">
        <v>10516</v>
      </c>
      <c r="E998" s="10" t="s">
        <v>10516</v>
      </c>
      <c r="F998" s="10" t="s">
        <v>139</v>
      </c>
      <c r="G998" s="10" t="s">
        <v>6352</v>
      </c>
      <c r="H998" s="11">
        <v>38532</v>
      </c>
      <c r="I998" s="10">
        <v>2005</v>
      </c>
      <c r="J998" s="10" t="s">
        <v>10516</v>
      </c>
      <c r="K998" s="10">
        <v>242</v>
      </c>
      <c r="L998" s="10" t="s">
        <v>10626</v>
      </c>
      <c r="M998" s="10">
        <v>1</v>
      </c>
      <c r="N998" s="10"/>
      <c r="O998" s="10"/>
      <c r="P998" s="10" t="s">
        <v>10627</v>
      </c>
      <c r="Q998" s="10">
        <v>362.38</v>
      </c>
      <c r="R998" s="10" t="s">
        <v>10628</v>
      </c>
      <c r="S998" s="10" t="s">
        <v>53</v>
      </c>
      <c r="T998" s="10" t="s">
        <v>6363</v>
      </c>
    </row>
    <row r="999" spans="1:20" ht="14.5" x14ac:dyDescent="0.35">
      <c r="A999" s="10" t="s">
        <v>10629</v>
      </c>
      <c r="B999" s="10" t="str">
        <f>"9781843102229"</f>
        <v>9781843102229</v>
      </c>
      <c r="C999" s="10" t="str">
        <f>"9781846421426"</f>
        <v>9781846421426</v>
      </c>
      <c r="D999" s="10" t="s">
        <v>10516</v>
      </c>
      <c r="E999" s="10" t="s">
        <v>10516</v>
      </c>
      <c r="F999" s="10" t="s">
        <v>139</v>
      </c>
      <c r="G999" s="10" t="s">
        <v>6352</v>
      </c>
      <c r="H999" s="11">
        <v>38532</v>
      </c>
      <c r="I999" s="10">
        <v>2005</v>
      </c>
      <c r="J999" s="10" t="s">
        <v>10516</v>
      </c>
      <c r="K999" s="10">
        <v>162</v>
      </c>
      <c r="L999" s="10" t="s">
        <v>10630</v>
      </c>
      <c r="M999" s="10">
        <v>1</v>
      </c>
      <c r="N999" s="10"/>
      <c r="O999" s="10"/>
      <c r="P999" s="10" t="s">
        <v>10631</v>
      </c>
      <c r="Q999" s="10">
        <v>618.92858820000004</v>
      </c>
      <c r="R999" s="10" t="s">
        <v>10632</v>
      </c>
      <c r="S999" s="10" t="s">
        <v>53</v>
      </c>
      <c r="T999" s="10" t="s">
        <v>8681</v>
      </c>
    </row>
    <row r="1000" spans="1:20" ht="14.5" x14ac:dyDescent="0.35">
      <c r="A1000" s="10" t="s">
        <v>10633</v>
      </c>
      <c r="B1000" s="10" t="str">
        <f>"9781843107996"</f>
        <v>9781843107996</v>
      </c>
      <c r="C1000" s="10" t="str">
        <f>"9781846421433"</f>
        <v>9781846421433</v>
      </c>
      <c r="D1000" s="10" t="s">
        <v>10516</v>
      </c>
      <c r="E1000" s="10" t="s">
        <v>10516</v>
      </c>
      <c r="F1000" s="10" t="s">
        <v>139</v>
      </c>
      <c r="G1000" s="10" t="s">
        <v>6352</v>
      </c>
      <c r="H1000" s="11">
        <v>38490</v>
      </c>
      <c r="I1000" s="10">
        <v>2005</v>
      </c>
      <c r="J1000" s="10" t="s">
        <v>10516</v>
      </c>
      <c r="K1000" s="10">
        <v>130</v>
      </c>
      <c r="L1000" s="10" t="s">
        <v>10634</v>
      </c>
      <c r="M1000" s="10">
        <v>1</v>
      </c>
      <c r="N1000" s="10"/>
      <c r="O1000" s="10"/>
      <c r="P1000" s="10" t="s">
        <v>10635</v>
      </c>
      <c r="Q1000" s="10"/>
      <c r="R1000" s="10"/>
      <c r="S1000" s="10" t="s">
        <v>53</v>
      </c>
      <c r="T1000" s="10" t="s">
        <v>8681</v>
      </c>
    </row>
    <row r="1001" spans="1:20" ht="14.5" x14ac:dyDescent="0.35">
      <c r="A1001" s="10" t="s">
        <v>10636</v>
      </c>
      <c r="B1001" s="10" t="str">
        <f>"9781843103561"</f>
        <v>9781843103561</v>
      </c>
      <c r="C1001" s="10" t="str">
        <f>"9781846421440"</f>
        <v>9781846421440</v>
      </c>
      <c r="D1001" s="10" t="s">
        <v>10516</v>
      </c>
      <c r="E1001" s="10" t="s">
        <v>10516</v>
      </c>
      <c r="F1001" s="10" t="s">
        <v>139</v>
      </c>
      <c r="G1001" s="10" t="s">
        <v>6352</v>
      </c>
      <c r="H1001" s="11">
        <v>38477</v>
      </c>
      <c r="I1001" s="10">
        <v>2005</v>
      </c>
      <c r="J1001" s="10" t="s">
        <v>10516</v>
      </c>
      <c r="K1001" s="10">
        <v>287</v>
      </c>
      <c r="L1001" s="10" t="s">
        <v>10637</v>
      </c>
      <c r="M1001" s="10">
        <v>1</v>
      </c>
      <c r="N1001" s="10"/>
      <c r="O1001" s="10"/>
      <c r="P1001" s="10" t="s">
        <v>10638</v>
      </c>
      <c r="Q1001" s="10"/>
      <c r="R1001" s="10"/>
      <c r="S1001" s="10" t="s">
        <v>53</v>
      </c>
      <c r="T1001" s="10" t="s">
        <v>6384</v>
      </c>
    </row>
    <row r="1002" spans="1:20" ht="14.5" x14ac:dyDescent="0.35">
      <c r="A1002" s="10" t="s">
        <v>10639</v>
      </c>
      <c r="B1002" s="10" t="str">
        <f>"9781843103257"</f>
        <v>9781843103257</v>
      </c>
      <c r="C1002" s="10" t="str">
        <f>"9781846421464"</f>
        <v>9781846421464</v>
      </c>
      <c r="D1002" s="10" t="s">
        <v>10516</v>
      </c>
      <c r="E1002" s="10" t="s">
        <v>10516</v>
      </c>
      <c r="F1002" s="10" t="s">
        <v>139</v>
      </c>
      <c r="G1002" s="10" t="s">
        <v>6352</v>
      </c>
      <c r="H1002" s="11">
        <v>38531</v>
      </c>
      <c r="I1002" s="10">
        <v>2005</v>
      </c>
      <c r="J1002" s="10" t="s">
        <v>10516</v>
      </c>
      <c r="K1002" s="10">
        <v>112</v>
      </c>
      <c r="L1002" s="10" t="s">
        <v>10640</v>
      </c>
      <c r="M1002" s="10">
        <v>1</v>
      </c>
      <c r="N1002" s="10"/>
      <c r="O1002" s="10"/>
      <c r="P1002" s="10" t="s">
        <v>10641</v>
      </c>
      <c r="Q1002" s="10">
        <v>362.73</v>
      </c>
      <c r="R1002" s="10" t="s">
        <v>10642</v>
      </c>
      <c r="S1002" s="10" t="s">
        <v>53</v>
      </c>
      <c r="T1002" s="10" t="s">
        <v>6363</v>
      </c>
    </row>
    <row r="1003" spans="1:20" ht="14.5" x14ac:dyDescent="0.35">
      <c r="A1003" s="10" t="s">
        <v>10643</v>
      </c>
      <c r="B1003" s="10" t="str">
        <f>"9781843107477"</f>
        <v>9781843107477</v>
      </c>
      <c r="C1003" s="10" t="str">
        <f>"9781846421471"</f>
        <v>9781846421471</v>
      </c>
      <c r="D1003" s="10" t="s">
        <v>10516</v>
      </c>
      <c r="E1003" s="10" t="s">
        <v>10516</v>
      </c>
      <c r="F1003" s="10" t="s">
        <v>139</v>
      </c>
      <c r="G1003" s="10" t="s">
        <v>6352</v>
      </c>
      <c r="H1003" s="11">
        <v>38548</v>
      </c>
      <c r="I1003" s="10">
        <v>2005</v>
      </c>
      <c r="J1003" s="10" t="s">
        <v>10516</v>
      </c>
      <c r="K1003" s="10">
        <v>127</v>
      </c>
      <c r="L1003" s="10" t="s">
        <v>10644</v>
      </c>
      <c r="M1003" s="10">
        <v>1</v>
      </c>
      <c r="N1003" s="10"/>
      <c r="O1003" s="10"/>
      <c r="P1003" s="10" t="s">
        <v>10645</v>
      </c>
      <c r="Q1003" s="10"/>
      <c r="R1003" s="10" t="s">
        <v>10646</v>
      </c>
      <c r="S1003" s="10" t="s">
        <v>53</v>
      </c>
      <c r="T1003" s="10" t="s">
        <v>54</v>
      </c>
    </row>
    <row r="1004" spans="1:20" ht="14.5" x14ac:dyDescent="0.35">
      <c r="A1004" s="10" t="s">
        <v>10647</v>
      </c>
      <c r="B1004" s="10" t="str">
        <f>"9781843108047"</f>
        <v>9781843108047</v>
      </c>
      <c r="C1004" s="10" t="str">
        <f>"9781846421495"</f>
        <v>9781846421495</v>
      </c>
      <c r="D1004" s="10" t="s">
        <v>10516</v>
      </c>
      <c r="E1004" s="10" t="s">
        <v>10516</v>
      </c>
      <c r="F1004" s="10" t="s">
        <v>139</v>
      </c>
      <c r="G1004" s="10" t="s">
        <v>6352</v>
      </c>
      <c r="H1004" s="11">
        <v>38518</v>
      </c>
      <c r="I1004" s="10">
        <v>2005</v>
      </c>
      <c r="J1004" s="10" t="s">
        <v>10516</v>
      </c>
      <c r="K1004" s="10">
        <v>122</v>
      </c>
      <c r="L1004" s="10" t="s">
        <v>10648</v>
      </c>
      <c r="M1004" s="10">
        <v>1</v>
      </c>
      <c r="N1004" s="10"/>
      <c r="O1004" s="10"/>
      <c r="P1004" s="10" t="s">
        <v>10649</v>
      </c>
      <c r="Q1004" s="10">
        <v>618.92858832000002</v>
      </c>
      <c r="R1004" s="10" t="s">
        <v>10650</v>
      </c>
      <c r="S1004" s="10" t="s">
        <v>53</v>
      </c>
      <c r="T1004" s="10" t="s">
        <v>8510</v>
      </c>
    </row>
    <row r="1005" spans="1:20" ht="14.5" x14ac:dyDescent="0.35">
      <c r="A1005" s="10" t="s">
        <v>10651</v>
      </c>
      <c r="B1005" s="10" t="str">
        <f>"9781843108061"</f>
        <v>9781843108061</v>
      </c>
      <c r="C1005" s="10" t="str">
        <f>"9781846421501"</f>
        <v>9781846421501</v>
      </c>
      <c r="D1005" s="10" t="s">
        <v>10516</v>
      </c>
      <c r="E1005" s="10" t="s">
        <v>10516</v>
      </c>
      <c r="F1005" s="10" t="s">
        <v>139</v>
      </c>
      <c r="G1005" s="10" t="s">
        <v>6352</v>
      </c>
      <c r="H1005" s="11">
        <v>38487</v>
      </c>
      <c r="I1005" s="10">
        <v>2005</v>
      </c>
      <c r="J1005" s="10" t="s">
        <v>10516</v>
      </c>
      <c r="K1005" s="10">
        <v>177</v>
      </c>
      <c r="L1005" s="10" t="s">
        <v>10652</v>
      </c>
      <c r="M1005" s="10">
        <v>1</v>
      </c>
      <c r="N1005" s="10"/>
      <c r="O1005" s="10"/>
      <c r="P1005" s="10" t="s">
        <v>10653</v>
      </c>
      <c r="Q1005" s="10">
        <v>618.92858799999999</v>
      </c>
      <c r="R1005" s="10" t="s">
        <v>10654</v>
      </c>
      <c r="S1005" s="10" t="s">
        <v>53</v>
      </c>
      <c r="T1005" s="10" t="s">
        <v>8625</v>
      </c>
    </row>
    <row r="1006" spans="1:20" ht="14.5" x14ac:dyDescent="0.35">
      <c r="A1006" s="10" t="s">
        <v>10655</v>
      </c>
      <c r="B1006" s="10" t="str">
        <f>"9781843107637"</f>
        <v>9781843107637</v>
      </c>
      <c r="C1006" s="10" t="str">
        <f>"9781846421716"</f>
        <v>9781846421716</v>
      </c>
      <c r="D1006" s="10" t="s">
        <v>10516</v>
      </c>
      <c r="E1006" s="10" t="s">
        <v>10516</v>
      </c>
      <c r="F1006" s="10" t="s">
        <v>139</v>
      </c>
      <c r="G1006" s="10" t="s">
        <v>6352</v>
      </c>
      <c r="H1006" s="11">
        <v>37940</v>
      </c>
      <c r="I1006" s="10">
        <v>2003</v>
      </c>
      <c r="J1006" s="10" t="s">
        <v>10516</v>
      </c>
      <c r="K1006" s="10">
        <v>113</v>
      </c>
      <c r="L1006" s="10" t="s">
        <v>10656</v>
      </c>
      <c r="M1006" s="10">
        <v>1</v>
      </c>
      <c r="N1006" s="10"/>
      <c r="O1006" s="10"/>
      <c r="P1006" s="10" t="s">
        <v>10657</v>
      </c>
      <c r="Q1006" s="10" t="s">
        <v>10658</v>
      </c>
      <c r="R1006" s="10" t="s">
        <v>10659</v>
      </c>
      <c r="S1006" s="10" t="s">
        <v>53</v>
      </c>
      <c r="T1006" s="10" t="s">
        <v>54</v>
      </c>
    </row>
    <row r="1007" spans="1:20" ht="14.5" x14ac:dyDescent="0.35">
      <c r="A1007" s="10" t="s">
        <v>10660</v>
      </c>
      <c r="B1007" s="10" t="str">
        <f>"9781843100904"</f>
        <v>9781843100904</v>
      </c>
      <c r="C1007" s="10" t="str">
        <f>"9781846421761"</f>
        <v>9781846421761</v>
      </c>
      <c r="D1007" s="10" t="s">
        <v>10516</v>
      </c>
      <c r="E1007" s="10" t="s">
        <v>10516</v>
      </c>
      <c r="F1007" s="10" t="s">
        <v>139</v>
      </c>
      <c r="G1007" s="10" t="s">
        <v>6352</v>
      </c>
      <c r="H1007" s="11">
        <v>37330</v>
      </c>
      <c r="I1007" s="10">
        <v>2002</v>
      </c>
      <c r="J1007" s="10" t="s">
        <v>10516</v>
      </c>
      <c r="K1007" s="10">
        <v>98</v>
      </c>
      <c r="L1007" s="10" t="s">
        <v>10661</v>
      </c>
      <c r="M1007" s="10">
        <v>1</v>
      </c>
      <c r="N1007" s="10"/>
      <c r="O1007" s="10"/>
      <c r="P1007" s="10" t="s">
        <v>10662</v>
      </c>
      <c r="Q1007" s="10" t="s">
        <v>10663</v>
      </c>
      <c r="R1007" s="10"/>
      <c r="S1007" s="10" t="s">
        <v>53</v>
      </c>
      <c r="T1007" s="10" t="s">
        <v>8681</v>
      </c>
    </row>
    <row r="1008" spans="1:20" ht="14.5" x14ac:dyDescent="0.35">
      <c r="A1008" s="10" t="s">
        <v>10664</v>
      </c>
      <c r="B1008" s="10" t="str">
        <f>"9781843108122"</f>
        <v>9781843108122</v>
      </c>
      <c r="C1008" s="10" t="str">
        <f>"9781846422379"</f>
        <v>9781846422379</v>
      </c>
      <c r="D1008" s="10" t="s">
        <v>10516</v>
      </c>
      <c r="E1008" s="10" t="s">
        <v>10516</v>
      </c>
      <c r="F1008" s="10" t="s">
        <v>139</v>
      </c>
      <c r="G1008" s="10" t="s">
        <v>6352</v>
      </c>
      <c r="H1008" s="11">
        <v>38610</v>
      </c>
      <c r="I1008" s="10">
        <v>2005</v>
      </c>
      <c r="J1008" s="10" t="s">
        <v>10516</v>
      </c>
      <c r="K1008" s="10">
        <v>289</v>
      </c>
      <c r="L1008" s="10" t="s">
        <v>10665</v>
      </c>
      <c r="M1008" s="10">
        <v>1</v>
      </c>
      <c r="N1008" s="10"/>
      <c r="O1008" s="10"/>
      <c r="P1008" s="10" t="s">
        <v>10666</v>
      </c>
      <c r="Q1008" s="10" t="s">
        <v>10667</v>
      </c>
      <c r="R1008" s="10" t="s">
        <v>10668</v>
      </c>
      <c r="S1008" s="10" t="s">
        <v>53</v>
      </c>
      <c r="T1008" s="10" t="s">
        <v>8681</v>
      </c>
    </row>
    <row r="1009" spans="1:20" ht="14.5" x14ac:dyDescent="0.35">
      <c r="A1009" s="10" t="s">
        <v>10669</v>
      </c>
      <c r="B1009" s="10" t="str">
        <f>"9781843103998"</f>
        <v>9781843103998</v>
      </c>
      <c r="C1009" s="10" t="str">
        <f>"9781846422393"</f>
        <v>9781846422393</v>
      </c>
      <c r="D1009" s="10" t="s">
        <v>10516</v>
      </c>
      <c r="E1009" s="10" t="s">
        <v>10516</v>
      </c>
      <c r="F1009" s="10" t="s">
        <v>139</v>
      </c>
      <c r="G1009" s="10" t="s">
        <v>6352</v>
      </c>
      <c r="H1009" s="11">
        <v>38625</v>
      </c>
      <c r="I1009" s="10">
        <v>2005</v>
      </c>
      <c r="J1009" s="10" t="s">
        <v>10516</v>
      </c>
      <c r="K1009" s="10">
        <v>176</v>
      </c>
      <c r="L1009" s="10" t="s">
        <v>10670</v>
      </c>
      <c r="M1009" s="10">
        <v>1</v>
      </c>
      <c r="N1009" s="10"/>
      <c r="O1009" s="10"/>
      <c r="P1009" s="10" t="s">
        <v>10671</v>
      </c>
      <c r="Q1009" s="10">
        <v>362.1968</v>
      </c>
      <c r="R1009" s="10" t="s">
        <v>10672</v>
      </c>
      <c r="S1009" s="10" t="s">
        <v>53</v>
      </c>
      <c r="T1009" s="10" t="s">
        <v>10673</v>
      </c>
    </row>
    <row r="1010" spans="1:20" ht="14.5" x14ac:dyDescent="0.35">
      <c r="A1010" s="10" t="s">
        <v>10674</v>
      </c>
      <c r="B1010" s="10" t="str">
        <f>"9781843103790"</f>
        <v>9781843103790</v>
      </c>
      <c r="C1010" s="10" t="str">
        <f>"9781846422454"</f>
        <v>9781846422454</v>
      </c>
      <c r="D1010" s="10" t="s">
        <v>10516</v>
      </c>
      <c r="E1010" s="10" t="s">
        <v>10516</v>
      </c>
      <c r="F1010" s="10" t="s">
        <v>139</v>
      </c>
      <c r="G1010" s="10" t="s">
        <v>6352</v>
      </c>
      <c r="H1010" s="11">
        <v>38608</v>
      </c>
      <c r="I1010" s="10">
        <v>2005</v>
      </c>
      <c r="J1010" s="10" t="s">
        <v>10516</v>
      </c>
      <c r="K1010" s="10">
        <v>209</v>
      </c>
      <c r="L1010" s="10" t="s">
        <v>10675</v>
      </c>
      <c r="M1010" s="10">
        <v>1</v>
      </c>
      <c r="N1010" s="10"/>
      <c r="O1010" s="10"/>
      <c r="P1010" s="10" t="s">
        <v>10676</v>
      </c>
      <c r="Q1010" s="10">
        <v>616.89152300834996</v>
      </c>
      <c r="R1010" s="10" t="s">
        <v>10677</v>
      </c>
      <c r="S1010" s="10" t="s">
        <v>53</v>
      </c>
      <c r="T1010" s="10" t="s">
        <v>8510</v>
      </c>
    </row>
    <row r="1011" spans="1:20" ht="14.5" x14ac:dyDescent="0.35">
      <c r="A1011" s="10" t="s">
        <v>10678</v>
      </c>
      <c r="B1011" s="10" t="str">
        <f>"9781843108009"</f>
        <v>9781843108009</v>
      </c>
      <c r="C1011" s="10" t="str">
        <f>"9781846422478"</f>
        <v>9781846422478</v>
      </c>
      <c r="D1011" s="10" t="s">
        <v>10516</v>
      </c>
      <c r="E1011" s="10" t="s">
        <v>10516</v>
      </c>
      <c r="F1011" s="10" t="s">
        <v>139</v>
      </c>
      <c r="G1011" s="10" t="s">
        <v>6352</v>
      </c>
      <c r="H1011" s="11">
        <v>38640</v>
      </c>
      <c r="I1011" s="10">
        <v>2005</v>
      </c>
      <c r="J1011" s="10" t="s">
        <v>10516</v>
      </c>
      <c r="K1011" s="10">
        <v>210</v>
      </c>
      <c r="L1011" s="10" t="s">
        <v>10679</v>
      </c>
      <c r="M1011" s="10">
        <v>1</v>
      </c>
      <c r="N1011" s="10"/>
      <c r="O1011" s="10"/>
      <c r="P1011" s="10" t="s">
        <v>10680</v>
      </c>
      <c r="Q1011" s="10">
        <v>616.85879999999997</v>
      </c>
      <c r="R1011" s="10" t="s">
        <v>10681</v>
      </c>
      <c r="S1011" s="10" t="s">
        <v>53</v>
      </c>
      <c r="T1011" s="10" t="s">
        <v>8510</v>
      </c>
    </row>
    <row r="1012" spans="1:20" ht="14.5" x14ac:dyDescent="0.35">
      <c r="A1012" s="10" t="s">
        <v>10682</v>
      </c>
      <c r="B1012" s="10" t="str">
        <f>"9781843108030"</f>
        <v>9781843108030</v>
      </c>
      <c r="C1012" s="10" t="str">
        <f>"9781846422492"</f>
        <v>9781846422492</v>
      </c>
      <c r="D1012" s="10" t="s">
        <v>10516</v>
      </c>
      <c r="E1012" s="10" t="s">
        <v>10516</v>
      </c>
      <c r="F1012" s="10" t="s">
        <v>139</v>
      </c>
      <c r="G1012" s="10" t="s">
        <v>6352</v>
      </c>
      <c r="H1012" s="11">
        <v>38572</v>
      </c>
      <c r="I1012" s="10">
        <v>2005</v>
      </c>
      <c r="J1012" s="10" t="s">
        <v>10516</v>
      </c>
      <c r="K1012" s="10">
        <v>191</v>
      </c>
      <c r="L1012" s="10" t="s">
        <v>10683</v>
      </c>
      <c r="M1012" s="10">
        <v>1</v>
      </c>
      <c r="N1012" s="10"/>
      <c r="O1012" s="10"/>
      <c r="P1012" s="10" t="s">
        <v>10684</v>
      </c>
      <c r="Q1012" s="10">
        <v>362.19892858819998</v>
      </c>
      <c r="R1012" s="10" t="s">
        <v>10685</v>
      </c>
      <c r="S1012" s="10" t="s">
        <v>53</v>
      </c>
      <c r="T1012" s="10" t="s">
        <v>10686</v>
      </c>
    </row>
    <row r="1013" spans="1:20" ht="14.5" x14ac:dyDescent="0.35">
      <c r="A1013" s="10" t="s">
        <v>10687</v>
      </c>
      <c r="B1013" s="10" t="str">
        <f>"9781843108016"</f>
        <v>9781843108016</v>
      </c>
      <c r="C1013" s="10" t="str">
        <f>"9781846422508"</f>
        <v>9781846422508</v>
      </c>
      <c r="D1013" s="10" t="s">
        <v>10516</v>
      </c>
      <c r="E1013" s="10" t="s">
        <v>10516</v>
      </c>
      <c r="F1013" s="10" t="s">
        <v>139</v>
      </c>
      <c r="G1013" s="10" t="s">
        <v>6352</v>
      </c>
      <c r="H1013" s="11">
        <v>38621</v>
      </c>
      <c r="I1013" s="10">
        <v>2005</v>
      </c>
      <c r="J1013" s="10" t="s">
        <v>10516</v>
      </c>
      <c r="K1013" s="10">
        <v>178</v>
      </c>
      <c r="L1013" s="10" t="s">
        <v>10688</v>
      </c>
      <c r="M1013" s="10">
        <v>1</v>
      </c>
      <c r="N1013" s="10"/>
      <c r="O1013" s="10"/>
      <c r="P1013" s="10" t="s">
        <v>10689</v>
      </c>
      <c r="Q1013" s="10">
        <v>616.85882000000004</v>
      </c>
      <c r="R1013" s="10" t="s">
        <v>10690</v>
      </c>
      <c r="S1013" s="10" t="s">
        <v>53</v>
      </c>
      <c r="T1013" s="10" t="s">
        <v>8510</v>
      </c>
    </row>
    <row r="1014" spans="1:20" ht="14.5" x14ac:dyDescent="0.35">
      <c r="A1014" s="10" t="s">
        <v>10691</v>
      </c>
      <c r="B1014" s="10" t="str">
        <f>"9781843104346"</f>
        <v>9781843104346</v>
      </c>
      <c r="C1014" s="10" t="str">
        <f>"9781846422546"</f>
        <v>9781846422546</v>
      </c>
      <c r="D1014" s="10" t="s">
        <v>10516</v>
      </c>
      <c r="E1014" s="10" t="s">
        <v>10516</v>
      </c>
      <c r="F1014" s="10" t="s">
        <v>139</v>
      </c>
      <c r="G1014" s="10" t="s">
        <v>6352</v>
      </c>
      <c r="H1014" s="11">
        <v>38862</v>
      </c>
      <c r="I1014" s="10">
        <v>2006</v>
      </c>
      <c r="J1014" s="10" t="s">
        <v>10516</v>
      </c>
      <c r="K1014" s="10">
        <v>178</v>
      </c>
      <c r="L1014" s="10" t="s">
        <v>10692</v>
      </c>
      <c r="M1014" s="10">
        <v>1</v>
      </c>
      <c r="N1014" s="10"/>
      <c r="O1014" s="10"/>
      <c r="P1014" s="10" t="s">
        <v>10693</v>
      </c>
      <c r="Q1014" s="10">
        <v>362.76</v>
      </c>
      <c r="R1014" s="10"/>
      <c r="S1014" s="10" t="s">
        <v>53</v>
      </c>
      <c r="T1014" s="10" t="s">
        <v>10694</v>
      </c>
    </row>
    <row r="1015" spans="1:20" ht="14.5" x14ac:dyDescent="0.35">
      <c r="A1015" s="10" t="s">
        <v>10695</v>
      </c>
      <c r="B1015" s="10" t="str">
        <f>"9781843100287"</f>
        <v>9781843100287</v>
      </c>
      <c r="C1015" s="10" t="str">
        <f>"9781846423178"</f>
        <v>9781846423178</v>
      </c>
      <c r="D1015" s="10" t="s">
        <v>10516</v>
      </c>
      <c r="E1015" s="10" t="s">
        <v>10516</v>
      </c>
      <c r="F1015" s="10" t="s">
        <v>139</v>
      </c>
      <c r="G1015" s="10" t="s">
        <v>6352</v>
      </c>
      <c r="H1015" s="11">
        <v>37271</v>
      </c>
      <c r="I1015" s="10">
        <v>2002</v>
      </c>
      <c r="J1015" s="10" t="s">
        <v>10516</v>
      </c>
      <c r="K1015" s="10">
        <v>298</v>
      </c>
      <c r="L1015" s="10" t="s">
        <v>10696</v>
      </c>
      <c r="M1015" s="10">
        <v>1</v>
      </c>
      <c r="N1015" s="10"/>
      <c r="O1015" s="10"/>
      <c r="P1015" s="10" t="s">
        <v>10697</v>
      </c>
      <c r="Q1015" s="10" t="s">
        <v>10698</v>
      </c>
      <c r="R1015" s="10" t="s">
        <v>10699</v>
      </c>
      <c r="S1015" s="10" t="s">
        <v>53</v>
      </c>
      <c r="T1015" s="10" t="s">
        <v>8681</v>
      </c>
    </row>
    <row r="1016" spans="1:20" ht="14.5" x14ac:dyDescent="0.35">
      <c r="A1016" s="10" t="s">
        <v>10700</v>
      </c>
      <c r="B1016" s="10" t="str">
        <f>"9781853028724"</f>
        <v>9781853028724</v>
      </c>
      <c r="C1016" s="10" t="str">
        <f>"9781846423239"</f>
        <v>9781846423239</v>
      </c>
      <c r="D1016" s="10" t="s">
        <v>10516</v>
      </c>
      <c r="E1016" s="10" t="s">
        <v>10516</v>
      </c>
      <c r="F1016" s="10" t="s">
        <v>139</v>
      </c>
      <c r="G1016" s="10" t="s">
        <v>6352</v>
      </c>
      <c r="H1016" s="11">
        <v>37287</v>
      </c>
      <c r="I1016" s="10">
        <v>2002</v>
      </c>
      <c r="J1016" s="10" t="s">
        <v>10516</v>
      </c>
      <c r="K1016" s="10">
        <v>322</v>
      </c>
      <c r="L1016" s="10" t="s">
        <v>10701</v>
      </c>
      <c r="M1016" s="10">
        <v>1</v>
      </c>
      <c r="N1016" s="10"/>
      <c r="O1016" s="10"/>
      <c r="P1016" s="10" t="s">
        <v>10702</v>
      </c>
      <c r="Q1016" s="10">
        <v>649.1</v>
      </c>
      <c r="R1016" s="10" t="s">
        <v>10703</v>
      </c>
      <c r="S1016" s="10" t="s">
        <v>53</v>
      </c>
      <c r="T1016" s="10" t="s">
        <v>10704</v>
      </c>
    </row>
    <row r="1017" spans="1:20" ht="14.5" x14ac:dyDescent="0.35">
      <c r="A1017" s="10" t="s">
        <v>10705</v>
      </c>
      <c r="B1017" s="10" t="str">
        <f>"9781853029912"</f>
        <v>9781853029912</v>
      </c>
      <c r="C1017" s="10" t="str">
        <f>"9781846423277"</f>
        <v>9781846423277</v>
      </c>
      <c r="D1017" s="10" t="s">
        <v>10516</v>
      </c>
      <c r="E1017" s="10" t="s">
        <v>10516</v>
      </c>
      <c r="F1017" s="10" t="s">
        <v>139</v>
      </c>
      <c r="G1017" s="10" t="s">
        <v>6352</v>
      </c>
      <c r="H1017" s="11">
        <v>37312</v>
      </c>
      <c r="I1017" s="10">
        <v>2002</v>
      </c>
      <c r="J1017" s="10" t="s">
        <v>10516</v>
      </c>
      <c r="K1017" s="10">
        <v>213</v>
      </c>
      <c r="L1017" s="10" t="s">
        <v>10706</v>
      </c>
      <c r="M1017" s="10">
        <v>1</v>
      </c>
      <c r="N1017" s="10"/>
      <c r="O1017" s="10"/>
      <c r="P1017" s="10" t="s">
        <v>10707</v>
      </c>
      <c r="Q1017" s="10"/>
      <c r="R1017" s="10"/>
      <c r="S1017" s="10" t="s">
        <v>53</v>
      </c>
      <c r="T1017" s="10" t="s">
        <v>54</v>
      </c>
    </row>
    <row r="1018" spans="1:20" ht="14.5" x14ac:dyDescent="0.35">
      <c r="A1018" s="10" t="s">
        <v>10708</v>
      </c>
      <c r="B1018" s="10" t="str">
        <f>"9781843100256"</f>
        <v>9781843100256</v>
      </c>
      <c r="C1018" s="10" t="str">
        <f>"9781846423338"</f>
        <v>9781846423338</v>
      </c>
      <c r="D1018" s="10" t="s">
        <v>10516</v>
      </c>
      <c r="E1018" s="10" t="s">
        <v>10516</v>
      </c>
      <c r="F1018" s="10" t="s">
        <v>139</v>
      </c>
      <c r="G1018" s="10" t="s">
        <v>6352</v>
      </c>
      <c r="H1018" s="11">
        <v>37361</v>
      </c>
      <c r="I1018" s="10">
        <v>2002</v>
      </c>
      <c r="J1018" s="10" t="s">
        <v>10516</v>
      </c>
      <c r="K1018" s="10">
        <v>242</v>
      </c>
      <c r="L1018" s="10" t="s">
        <v>10709</v>
      </c>
      <c r="M1018" s="10">
        <v>1</v>
      </c>
      <c r="N1018" s="10"/>
      <c r="O1018" s="10"/>
      <c r="P1018" s="10" t="s">
        <v>10710</v>
      </c>
      <c r="Q1018" s="10">
        <v>362.7</v>
      </c>
      <c r="R1018" s="10"/>
      <c r="S1018" s="10" t="s">
        <v>53</v>
      </c>
      <c r="T1018" s="10" t="s">
        <v>10711</v>
      </c>
    </row>
    <row r="1019" spans="1:20" ht="14.5" x14ac:dyDescent="0.35">
      <c r="A1019" s="10" t="s">
        <v>10712</v>
      </c>
      <c r="B1019" s="10" t="str">
        <f>"9781843107194"</f>
        <v>9781843107194</v>
      </c>
      <c r="C1019" s="10" t="str">
        <f>"9781846423468"</f>
        <v>9781846423468</v>
      </c>
      <c r="D1019" s="10" t="s">
        <v>10516</v>
      </c>
      <c r="E1019" s="10" t="s">
        <v>10516</v>
      </c>
      <c r="F1019" s="10" t="s">
        <v>139</v>
      </c>
      <c r="G1019" s="10" t="s">
        <v>6352</v>
      </c>
      <c r="H1019" s="11">
        <v>37437</v>
      </c>
      <c r="I1019" s="10">
        <v>2002</v>
      </c>
      <c r="J1019" s="10" t="s">
        <v>10516</v>
      </c>
      <c r="K1019" s="10">
        <v>156</v>
      </c>
      <c r="L1019" s="10" t="s">
        <v>10713</v>
      </c>
      <c r="M1019" s="10">
        <v>1</v>
      </c>
      <c r="N1019" s="10"/>
      <c r="O1019" s="10"/>
      <c r="P1019" s="10" t="s">
        <v>10714</v>
      </c>
      <c r="Q1019" s="10"/>
      <c r="R1019" s="10" t="s">
        <v>10715</v>
      </c>
      <c r="S1019" s="10" t="s">
        <v>53</v>
      </c>
      <c r="T1019" s="10" t="s">
        <v>54</v>
      </c>
    </row>
    <row r="1020" spans="1:20" ht="14.5" x14ac:dyDescent="0.35">
      <c r="A1020" s="10" t="s">
        <v>10716</v>
      </c>
      <c r="B1020" s="10" t="str">
        <f>"9781843100669"</f>
        <v>9781843100669</v>
      </c>
      <c r="C1020" s="10" t="str">
        <f>"9781846423475"</f>
        <v>9781846423475</v>
      </c>
      <c r="D1020" s="10" t="s">
        <v>10516</v>
      </c>
      <c r="E1020" s="10" t="s">
        <v>10516</v>
      </c>
      <c r="F1020" s="10" t="s">
        <v>139</v>
      </c>
      <c r="G1020" s="10" t="s">
        <v>6352</v>
      </c>
      <c r="H1020" s="11">
        <v>37437</v>
      </c>
      <c r="I1020" s="10">
        <v>2002</v>
      </c>
      <c r="J1020" s="10" t="s">
        <v>10516</v>
      </c>
      <c r="K1020" s="10">
        <v>114</v>
      </c>
      <c r="L1020" s="10" t="s">
        <v>10717</v>
      </c>
      <c r="M1020" s="10">
        <v>1</v>
      </c>
      <c r="N1020" s="10"/>
      <c r="O1020" s="10"/>
      <c r="P1020" s="10" t="s">
        <v>10718</v>
      </c>
      <c r="Q1020" s="10"/>
      <c r="R1020" s="10" t="s">
        <v>10719</v>
      </c>
      <c r="S1020" s="10" t="s">
        <v>53</v>
      </c>
      <c r="T1020" s="10" t="s">
        <v>8625</v>
      </c>
    </row>
    <row r="1021" spans="1:20" ht="14.5" x14ac:dyDescent="0.35">
      <c r="A1021" s="10" t="s">
        <v>10720</v>
      </c>
      <c r="B1021" s="10" t="str">
        <f>"9781843101208"</f>
        <v>9781843101208</v>
      </c>
      <c r="C1021" s="10" t="str">
        <f>"9781846423802"</f>
        <v>9781846423802</v>
      </c>
      <c r="D1021" s="10" t="s">
        <v>10516</v>
      </c>
      <c r="E1021" s="10" t="s">
        <v>10516</v>
      </c>
      <c r="F1021" s="10" t="s">
        <v>139</v>
      </c>
      <c r="G1021" s="10" t="s">
        <v>6352</v>
      </c>
      <c r="H1021" s="11">
        <v>37636</v>
      </c>
      <c r="I1021" s="10">
        <v>2003</v>
      </c>
      <c r="J1021" s="10" t="s">
        <v>10516</v>
      </c>
      <c r="K1021" s="10">
        <v>241</v>
      </c>
      <c r="L1021" s="10" t="s">
        <v>10721</v>
      </c>
      <c r="M1021" s="10">
        <v>1</v>
      </c>
      <c r="N1021" s="10"/>
      <c r="O1021" s="10"/>
      <c r="P1021" s="10" t="s">
        <v>10722</v>
      </c>
      <c r="Q1021" s="10"/>
      <c r="R1021" s="10" t="s">
        <v>10723</v>
      </c>
      <c r="S1021" s="10" t="s">
        <v>53</v>
      </c>
      <c r="T1021" s="10" t="s">
        <v>483</v>
      </c>
    </row>
    <row r="1022" spans="1:20" ht="14.5" x14ac:dyDescent="0.35">
      <c r="A1022" s="10" t="s">
        <v>10724</v>
      </c>
      <c r="B1022" s="10" t="str">
        <f>"9781853029738"</f>
        <v>9781853029738</v>
      </c>
      <c r="C1022" s="10" t="str">
        <f>"9781846423918"</f>
        <v>9781846423918</v>
      </c>
      <c r="D1022" s="10" t="s">
        <v>10516</v>
      </c>
      <c r="E1022" s="10" t="s">
        <v>10516</v>
      </c>
      <c r="F1022" s="10" t="s">
        <v>139</v>
      </c>
      <c r="G1022" s="10" t="s">
        <v>6352</v>
      </c>
      <c r="H1022" s="11">
        <v>37672</v>
      </c>
      <c r="I1022" s="10">
        <v>2003</v>
      </c>
      <c r="J1022" s="10" t="s">
        <v>10516</v>
      </c>
      <c r="K1022" s="10">
        <v>290</v>
      </c>
      <c r="L1022" s="10" t="s">
        <v>10725</v>
      </c>
      <c r="M1022" s="10">
        <v>1</v>
      </c>
      <c r="N1022" s="10"/>
      <c r="O1022" s="10"/>
      <c r="P1022" s="10" t="s">
        <v>10726</v>
      </c>
      <c r="Q1022" s="10"/>
      <c r="R1022" s="10" t="s">
        <v>10727</v>
      </c>
      <c r="S1022" s="10" t="s">
        <v>53</v>
      </c>
      <c r="T1022" s="10" t="s">
        <v>8625</v>
      </c>
    </row>
    <row r="1023" spans="1:20" ht="14.5" x14ac:dyDescent="0.35">
      <c r="A1023" s="10" t="s">
        <v>10728</v>
      </c>
      <c r="B1023" s="10" t="str">
        <f>"9781843107538"</f>
        <v>9781843107538</v>
      </c>
      <c r="C1023" s="10" t="str">
        <f>"9781846423994"</f>
        <v>9781846423994</v>
      </c>
      <c r="D1023" s="10" t="s">
        <v>10516</v>
      </c>
      <c r="E1023" s="10" t="s">
        <v>10516</v>
      </c>
      <c r="F1023" s="10" t="s">
        <v>139</v>
      </c>
      <c r="G1023" s="10" t="s">
        <v>6352</v>
      </c>
      <c r="H1023" s="11">
        <v>37695</v>
      </c>
      <c r="I1023" s="10">
        <v>2003</v>
      </c>
      <c r="J1023" s="10" t="s">
        <v>10516</v>
      </c>
      <c r="K1023" s="10">
        <v>420</v>
      </c>
      <c r="L1023" s="10" t="s">
        <v>10729</v>
      </c>
      <c r="M1023" s="10">
        <v>1</v>
      </c>
      <c r="N1023" s="10"/>
      <c r="O1023" s="10"/>
      <c r="P1023" s="10" t="s">
        <v>10730</v>
      </c>
      <c r="Q1023" s="10" t="s">
        <v>10731</v>
      </c>
      <c r="R1023" s="10" t="s">
        <v>10732</v>
      </c>
      <c r="S1023" s="10" t="s">
        <v>53</v>
      </c>
      <c r="T1023" s="10" t="s">
        <v>8510</v>
      </c>
    </row>
    <row r="1024" spans="1:20" ht="14.5" x14ac:dyDescent="0.35">
      <c r="A1024" s="10" t="s">
        <v>10733</v>
      </c>
      <c r="B1024" s="10" t="str">
        <f>"9781843100614"</f>
        <v>9781843100614</v>
      </c>
      <c r="C1024" s="10" t="str">
        <f>"9781846424014"</f>
        <v>9781846424014</v>
      </c>
      <c r="D1024" s="10" t="s">
        <v>10516</v>
      </c>
      <c r="E1024" s="10" t="s">
        <v>10516</v>
      </c>
      <c r="F1024" s="10" t="s">
        <v>139</v>
      </c>
      <c r="G1024" s="10" t="s">
        <v>6352</v>
      </c>
      <c r="H1024" s="11">
        <v>37699</v>
      </c>
      <c r="I1024" s="10">
        <v>2003</v>
      </c>
      <c r="J1024" s="10" t="s">
        <v>10516</v>
      </c>
      <c r="K1024" s="10">
        <v>258</v>
      </c>
      <c r="L1024" s="10" t="s">
        <v>10734</v>
      </c>
      <c r="M1024" s="10">
        <v>1</v>
      </c>
      <c r="N1024" s="10"/>
      <c r="O1024" s="10"/>
      <c r="P1024" s="10" t="s">
        <v>10735</v>
      </c>
      <c r="Q1024" s="10" t="s">
        <v>10736</v>
      </c>
      <c r="R1024" s="10" t="s">
        <v>10737</v>
      </c>
      <c r="S1024" s="10" t="s">
        <v>53</v>
      </c>
      <c r="T1024" s="10" t="s">
        <v>8625</v>
      </c>
    </row>
    <row r="1025" spans="1:20" ht="14.5" x14ac:dyDescent="0.35">
      <c r="A1025" s="10" t="s">
        <v>10738</v>
      </c>
      <c r="B1025" s="10" t="str">
        <f>"9781843107545"</f>
        <v>9781843107545</v>
      </c>
      <c r="C1025" s="10" t="str">
        <f>"9781846424137"</f>
        <v>9781846424137</v>
      </c>
      <c r="D1025" s="10" t="s">
        <v>10516</v>
      </c>
      <c r="E1025" s="10" t="s">
        <v>10516</v>
      </c>
      <c r="F1025" s="10" t="s">
        <v>139</v>
      </c>
      <c r="G1025" s="10" t="s">
        <v>6352</v>
      </c>
      <c r="H1025" s="11">
        <v>37817</v>
      </c>
      <c r="I1025" s="10">
        <v>2003</v>
      </c>
      <c r="J1025" s="10" t="s">
        <v>10516</v>
      </c>
      <c r="K1025" s="10">
        <v>178</v>
      </c>
      <c r="L1025" s="10" t="s">
        <v>10739</v>
      </c>
      <c r="M1025" s="10">
        <v>1</v>
      </c>
      <c r="N1025" s="10"/>
      <c r="O1025" s="10"/>
      <c r="P1025" s="10" t="s">
        <v>10740</v>
      </c>
      <c r="Q1025" s="10" t="s">
        <v>10741</v>
      </c>
      <c r="R1025" s="10" t="s">
        <v>10742</v>
      </c>
      <c r="S1025" s="10" t="s">
        <v>53</v>
      </c>
      <c r="T1025" s="10" t="s">
        <v>10743</v>
      </c>
    </row>
    <row r="1026" spans="1:20" ht="14.5" x14ac:dyDescent="0.35">
      <c r="A1026" s="10" t="s">
        <v>10744</v>
      </c>
      <c r="B1026" s="10" t="str">
        <f>"9781843100911"</f>
        <v>9781843100911</v>
      </c>
      <c r="C1026" s="10" t="str">
        <f>"9781846424144"</f>
        <v>9781846424144</v>
      </c>
      <c r="D1026" s="10" t="s">
        <v>10516</v>
      </c>
      <c r="E1026" s="10" t="s">
        <v>10516</v>
      </c>
      <c r="F1026" s="10" t="s">
        <v>139</v>
      </c>
      <c r="G1026" s="10" t="s">
        <v>6352</v>
      </c>
      <c r="H1026" s="11">
        <v>37817</v>
      </c>
      <c r="I1026" s="10">
        <v>2003</v>
      </c>
      <c r="J1026" s="10" t="s">
        <v>10516</v>
      </c>
      <c r="K1026" s="10">
        <v>269</v>
      </c>
      <c r="L1026" s="10" t="s">
        <v>10745</v>
      </c>
      <c r="M1026" s="10">
        <v>1</v>
      </c>
      <c r="N1026" s="10"/>
      <c r="O1026" s="10"/>
      <c r="P1026" s="10" t="s">
        <v>10746</v>
      </c>
      <c r="Q1026" s="10"/>
      <c r="R1026" s="10" t="s">
        <v>10747</v>
      </c>
      <c r="S1026" s="10" t="s">
        <v>53</v>
      </c>
      <c r="T1026" s="10" t="s">
        <v>54</v>
      </c>
    </row>
    <row r="1027" spans="1:20" ht="14.5" x14ac:dyDescent="0.35">
      <c r="A1027" s="10" t="s">
        <v>10748</v>
      </c>
      <c r="B1027" s="10" t="str">
        <f>"9781843101796"</f>
        <v>9781843101796</v>
      </c>
      <c r="C1027" s="10" t="str">
        <f>"9781846424175"</f>
        <v>9781846424175</v>
      </c>
      <c r="D1027" s="10" t="s">
        <v>10516</v>
      </c>
      <c r="E1027" s="10" t="s">
        <v>10516</v>
      </c>
      <c r="F1027" s="10" t="s">
        <v>139</v>
      </c>
      <c r="G1027" s="10" t="s">
        <v>6352</v>
      </c>
      <c r="H1027" s="11">
        <v>37848</v>
      </c>
      <c r="I1027" s="10">
        <v>2003</v>
      </c>
      <c r="J1027" s="10" t="s">
        <v>10516</v>
      </c>
      <c r="K1027" s="10">
        <v>131</v>
      </c>
      <c r="L1027" s="10" t="s">
        <v>10749</v>
      </c>
      <c r="M1027" s="10">
        <v>1</v>
      </c>
      <c r="N1027" s="10"/>
      <c r="O1027" s="10"/>
      <c r="P1027" s="10" t="s">
        <v>10750</v>
      </c>
      <c r="Q1027" s="10" t="s">
        <v>10751</v>
      </c>
      <c r="R1027" s="10" t="s">
        <v>10752</v>
      </c>
      <c r="S1027" s="10" t="s">
        <v>53</v>
      </c>
      <c r="T1027" s="10" t="s">
        <v>6363</v>
      </c>
    </row>
    <row r="1028" spans="1:20" ht="14.5" x14ac:dyDescent="0.35">
      <c r="A1028" s="10" t="s">
        <v>10753</v>
      </c>
      <c r="B1028" s="10" t="str">
        <f>"9781843101321"</f>
        <v>9781843101321</v>
      </c>
      <c r="C1028" s="10" t="str">
        <f>"9781846424328"</f>
        <v>9781846424328</v>
      </c>
      <c r="D1028" s="10" t="s">
        <v>10516</v>
      </c>
      <c r="E1028" s="10" t="s">
        <v>10516</v>
      </c>
      <c r="F1028" s="10" t="s">
        <v>139</v>
      </c>
      <c r="G1028" s="10" t="s">
        <v>6352</v>
      </c>
      <c r="H1028" s="11">
        <v>37940</v>
      </c>
      <c r="I1028" s="10">
        <v>2003</v>
      </c>
      <c r="J1028" s="10" t="s">
        <v>10516</v>
      </c>
      <c r="K1028" s="10">
        <v>210</v>
      </c>
      <c r="L1028" s="10" t="s">
        <v>10754</v>
      </c>
      <c r="M1028" s="10">
        <v>1</v>
      </c>
      <c r="N1028" s="10"/>
      <c r="O1028" s="10"/>
      <c r="P1028" s="10" t="s">
        <v>10755</v>
      </c>
      <c r="Q1028" s="10" t="s">
        <v>8304</v>
      </c>
      <c r="R1028" s="10" t="s">
        <v>10756</v>
      </c>
      <c r="S1028" s="10" t="s">
        <v>53</v>
      </c>
      <c r="T1028" s="10" t="s">
        <v>54</v>
      </c>
    </row>
    <row r="1029" spans="1:20" ht="14.5" x14ac:dyDescent="0.35">
      <c r="A1029" s="10" t="s">
        <v>10757</v>
      </c>
      <c r="B1029" s="10" t="str">
        <f>"9781843102014"</f>
        <v>9781843102014</v>
      </c>
      <c r="C1029" s="10" t="str">
        <f>"9781846424366"</f>
        <v>9781846424366</v>
      </c>
      <c r="D1029" s="10" t="s">
        <v>10516</v>
      </c>
      <c r="E1029" s="10" t="s">
        <v>10516</v>
      </c>
      <c r="F1029" s="10" t="s">
        <v>139</v>
      </c>
      <c r="G1029" s="10" t="s">
        <v>6352</v>
      </c>
      <c r="H1029" s="11">
        <v>37970</v>
      </c>
      <c r="I1029" s="10">
        <v>2003</v>
      </c>
      <c r="J1029" s="10" t="s">
        <v>10516</v>
      </c>
      <c r="K1029" s="10">
        <v>275</v>
      </c>
      <c r="L1029" s="10" t="s">
        <v>10758</v>
      </c>
      <c r="M1029" s="10">
        <v>1</v>
      </c>
      <c r="N1029" s="10"/>
      <c r="O1029" s="10"/>
      <c r="P1029" s="10" t="s">
        <v>10759</v>
      </c>
      <c r="Q1029" s="10" t="s">
        <v>10760</v>
      </c>
      <c r="R1029" s="10" t="s">
        <v>10761</v>
      </c>
      <c r="S1029" s="10" t="s">
        <v>53</v>
      </c>
      <c r="T1029" s="10" t="s">
        <v>54</v>
      </c>
    </row>
    <row r="1030" spans="1:20" ht="14.5" x14ac:dyDescent="0.35">
      <c r="A1030" s="10" t="s">
        <v>10762</v>
      </c>
      <c r="B1030" s="10" t="str">
        <f>"9781843108191"</f>
        <v>9781843108191</v>
      </c>
      <c r="C1030" s="10" t="str">
        <f>"9781846424472"</f>
        <v>9781846424472</v>
      </c>
      <c r="D1030" s="10" t="s">
        <v>10516</v>
      </c>
      <c r="E1030" s="10" t="s">
        <v>10516</v>
      </c>
      <c r="F1030" s="10" t="s">
        <v>139</v>
      </c>
      <c r="G1030" s="10" t="s">
        <v>6352</v>
      </c>
      <c r="H1030" s="11">
        <v>38658</v>
      </c>
      <c r="I1030" s="10">
        <v>2005</v>
      </c>
      <c r="J1030" s="10" t="s">
        <v>10516</v>
      </c>
      <c r="K1030" s="10">
        <v>144</v>
      </c>
      <c r="L1030" s="10" t="s">
        <v>10763</v>
      </c>
      <c r="M1030" s="10">
        <v>1</v>
      </c>
      <c r="N1030" s="10"/>
      <c r="O1030" s="10"/>
      <c r="P1030" s="10" t="s">
        <v>10764</v>
      </c>
      <c r="Q1030" s="10">
        <v>615.85154082999998</v>
      </c>
      <c r="R1030" s="10" t="s">
        <v>10765</v>
      </c>
      <c r="S1030" s="10" t="s">
        <v>53</v>
      </c>
      <c r="T1030" s="10" t="s">
        <v>10766</v>
      </c>
    </row>
    <row r="1031" spans="1:20" ht="14.5" x14ac:dyDescent="0.35">
      <c r="A1031" s="10" t="s">
        <v>10767</v>
      </c>
      <c r="B1031" s="10" t="str">
        <f>"9781843103516"</f>
        <v>9781843103516</v>
      </c>
      <c r="C1031" s="10" t="str">
        <f>"9781846424496"</f>
        <v>9781846424496</v>
      </c>
      <c r="D1031" s="10" t="s">
        <v>10516</v>
      </c>
      <c r="E1031" s="10" t="s">
        <v>10516</v>
      </c>
      <c r="F1031" s="10" t="s">
        <v>139</v>
      </c>
      <c r="G1031" s="10" t="s">
        <v>6352</v>
      </c>
      <c r="H1031" s="11">
        <v>38663</v>
      </c>
      <c r="I1031" s="10">
        <v>2005</v>
      </c>
      <c r="J1031" s="10" t="s">
        <v>10516</v>
      </c>
      <c r="K1031" s="10">
        <v>337</v>
      </c>
      <c r="L1031" s="10" t="s">
        <v>10768</v>
      </c>
      <c r="M1031" s="10">
        <v>2</v>
      </c>
      <c r="N1031" s="10"/>
      <c r="O1031" s="10"/>
      <c r="P1031" s="10" t="s">
        <v>10769</v>
      </c>
      <c r="Q1031" s="10">
        <v>362.29094099999998</v>
      </c>
      <c r="R1031" s="10" t="s">
        <v>10770</v>
      </c>
      <c r="S1031" s="10" t="s">
        <v>53</v>
      </c>
      <c r="T1031" s="10" t="s">
        <v>8368</v>
      </c>
    </row>
    <row r="1032" spans="1:20" ht="14.5" x14ac:dyDescent="0.35">
      <c r="A1032" s="10" t="s">
        <v>10771</v>
      </c>
      <c r="B1032" s="10" t="str">
        <f>"9781843103042"</f>
        <v>9781843103042</v>
      </c>
      <c r="C1032" s="10" t="str">
        <f>"9781846424519"</f>
        <v>9781846424519</v>
      </c>
      <c r="D1032" s="10" t="s">
        <v>10516</v>
      </c>
      <c r="E1032" s="10" t="s">
        <v>10516</v>
      </c>
      <c r="F1032" s="10" t="s">
        <v>139</v>
      </c>
      <c r="G1032" s="10" t="s">
        <v>6352</v>
      </c>
      <c r="H1032" s="11">
        <v>38671</v>
      </c>
      <c r="I1032" s="10">
        <v>2005</v>
      </c>
      <c r="J1032" s="10" t="s">
        <v>10516</v>
      </c>
      <c r="K1032" s="10">
        <v>159</v>
      </c>
      <c r="L1032" s="10" t="s">
        <v>10772</v>
      </c>
      <c r="M1032" s="10">
        <v>1</v>
      </c>
      <c r="N1032" s="10"/>
      <c r="O1032" s="10"/>
      <c r="P1032" s="10" t="s">
        <v>10773</v>
      </c>
      <c r="Q1032" s="10">
        <v>372.67700000000002</v>
      </c>
      <c r="R1032" s="10" t="s">
        <v>10774</v>
      </c>
      <c r="S1032" s="10" t="s">
        <v>53</v>
      </c>
      <c r="T1032" s="10" t="s">
        <v>54</v>
      </c>
    </row>
    <row r="1033" spans="1:20" ht="14.5" x14ac:dyDescent="0.35">
      <c r="A1033" s="10" t="s">
        <v>10775</v>
      </c>
      <c r="B1033" s="10" t="str">
        <f>"9781843108146"</f>
        <v>9781843108146</v>
      </c>
      <c r="C1033" s="10" t="str">
        <f>"9781846424533"</f>
        <v>9781846424533</v>
      </c>
      <c r="D1033" s="10" t="s">
        <v>10516</v>
      </c>
      <c r="E1033" s="10" t="s">
        <v>10516</v>
      </c>
      <c r="F1033" s="10" t="s">
        <v>139</v>
      </c>
      <c r="G1033" s="10" t="s">
        <v>6352</v>
      </c>
      <c r="H1033" s="11">
        <v>38680</v>
      </c>
      <c r="I1033" s="10">
        <v>2005</v>
      </c>
      <c r="J1033" s="10" t="s">
        <v>10516</v>
      </c>
      <c r="K1033" s="10">
        <v>176</v>
      </c>
      <c r="L1033" s="10" t="s">
        <v>10776</v>
      </c>
      <c r="M1033" s="10">
        <v>1</v>
      </c>
      <c r="N1033" s="10"/>
      <c r="O1033" s="10"/>
      <c r="P1033" s="10" t="s">
        <v>10777</v>
      </c>
      <c r="Q1033" s="10" t="s">
        <v>10778</v>
      </c>
      <c r="R1033" s="10" t="s">
        <v>10571</v>
      </c>
      <c r="S1033" s="10" t="s">
        <v>53</v>
      </c>
      <c r="T1033" s="10" t="s">
        <v>8681</v>
      </c>
    </row>
    <row r="1034" spans="1:20" ht="14.5" x14ac:dyDescent="0.35">
      <c r="A1034" s="10" t="s">
        <v>10779</v>
      </c>
      <c r="B1034" s="10" t="str">
        <f>"9781843108092"</f>
        <v>9781843108092</v>
      </c>
      <c r="C1034" s="10" t="str">
        <f>"9781846424588"</f>
        <v>9781846424588</v>
      </c>
      <c r="D1034" s="10" t="s">
        <v>10516</v>
      </c>
      <c r="E1034" s="10" t="s">
        <v>10516</v>
      </c>
      <c r="F1034" s="10" t="s">
        <v>139</v>
      </c>
      <c r="G1034" s="10" t="s">
        <v>6352</v>
      </c>
      <c r="H1034" s="11">
        <v>38699</v>
      </c>
      <c r="I1034" s="10">
        <v>2005</v>
      </c>
      <c r="J1034" s="10" t="s">
        <v>10516</v>
      </c>
      <c r="K1034" s="10">
        <v>158</v>
      </c>
      <c r="L1034" s="10" t="s">
        <v>10780</v>
      </c>
      <c r="M1034" s="10">
        <v>1</v>
      </c>
      <c r="N1034" s="10"/>
      <c r="O1034" s="10"/>
      <c r="P1034" s="10" t="s">
        <v>10781</v>
      </c>
      <c r="Q1034" s="10"/>
      <c r="R1034" s="10" t="s">
        <v>10782</v>
      </c>
      <c r="S1034" s="10" t="s">
        <v>53</v>
      </c>
      <c r="T1034" s="10" t="s">
        <v>8681</v>
      </c>
    </row>
    <row r="1035" spans="1:20" ht="14.5" x14ac:dyDescent="0.35">
      <c r="A1035" s="10" t="s">
        <v>10783</v>
      </c>
      <c r="B1035" s="10" t="str">
        <f>"9781843103981"</f>
        <v>9781843103981</v>
      </c>
      <c r="C1035" s="10" t="str">
        <f>"9781846424595"</f>
        <v>9781846424595</v>
      </c>
      <c r="D1035" s="10" t="s">
        <v>10516</v>
      </c>
      <c r="E1035" s="10" t="s">
        <v>10516</v>
      </c>
      <c r="F1035" s="10" t="s">
        <v>139</v>
      </c>
      <c r="G1035" s="10" t="s">
        <v>6352</v>
      </c>
      <c r="H1035" s="11">
        <v>38699</v>
      </c>
      <c r="I1035" s="10">
        <v>2005</v>
      </c>
      <c r="J1035" s="10" t="s">
        <v>10516</v>
      </c>
      <c r="K1035" s="10">
        <v>113</v>
      </c>
      <c r="L1035" s="10" t="s">
        <v>10784</v>
      </c>
      <c r="M1035" s="10">
        <v>1</v>
      </c>
      <c r="N1035" s="10" t="s">
        <v>10785</v>
      </c>
      <c r="O1035" s="10"/>
      <c r="P1035" s="10" t="s">
        <v>10786</v>
      </c>
      <c r="Q1035" s="10" t="s">
        <v>10787</v>
      </c>
      <c r="R1035" s="10" t="s">
        <v>10788</v>
      </c>
      <c r="S1035" s="10" t="s">
        <v>53</v>
      </c>
      <c r="T1035" s="10" t="s">
        <v>10789</v>
      </c>
    </row>
    <row r="1036" spans="1:20" ht="14.5" x14ac:dyDescent="0.35">
      <c r="A1036" s="10" t="s">
        <v>10790</v>
      </c>
      <c r="B1036" s="10" t="str">
        <f>"9781843107712"</f>
        <v>9781843107712</v>
      </c>
      <c r="C1036" s="10" t="str">
        <f>"9781846424625"</f>
        <v>9781846424625</v>
      </c>
      <c r="D1036" s="10" t="s">
        <v>10516</v>
      </c>
      <c r="E1036" s="10" t="s">
        <v>10516</v>
      </c>
      <c r="F1036" s="10" t="s">
        <v>139</v>
      </c>
      <c r="G1036" s="10" t="s">
        <v>6352</v>
      </c>
      <c r="H1036" s="11">
        <v>38701</v>
      </c>
      <c r="I1036" s="10">
        <v>2005</v>
      </c>
      <c r="J1036" s="10" t="s">
        <v>10516</v>
      </c>
      <c r="K1036" s="10">
        <v>274</v>
      </c>
      <c r="L1036" s="10" t="s">
        <v>10791</v>
      </c>
      <c r="M1036" s="10">
        <v>1</v>
      </c>
      <c r="N1036" s="10"/>
      <c r="O1036" s="10"/>
      <c r="P1036" s="10" t="s">
        <v>10792</v>
      </c>
      <c r="Q1036" s="10">
        <v>615.85154</v>
      </c>
      <c r="R1036" s="10" t="s">
        <v>10793</v>
      </c>
      <c r="S1036" s="10" t="s">
        <v>53</v>
      </c>
      <c r="T1036" s="10" t="s">
        <v>10766</v>
      </c>
    </row>
    <row r="1037" spans="1:20" ht="14.5" x14ac:dyDescent="0.35">
      <c r="A1037" s="10" t="s">
        <v>10794</v>
      </c>
      <c r="B1037" s="10" t="str">
        <f>"9781843103295"</f>
        <v>9781843103295</v>
      </c>
      <c r="C1037" s="10" t="str">
        <f>"9781846424632"</f>
        <v>9781846424632</v>
      </c>
      <c r="D1037" s="10" t="s">
        <v>10516</v>
      </c>
      <c r="E1037" s="10" t="s">
        <v>10516</v>
      </c>
      <c r="F1037" s="10" t="s">
        <v>139</v>
      </c>
      <c r="G1037" s="10" t="s">
        <v>6352</v>
      </c>
      <c r="H1037" s="11">
        <v>38701</v>
      </c>
      <c r="I1037" s="10">
        <v>2005</v>
      </c>
      <c r="J1037" s="10" t="s">
        <v>10516</v>
      </c>
      <c r="K1037" s="10">
        <v>146</v>
      </c>
      <c r="L1037" s="10" t="s">
        <v>10795</v>
      </c>
      <c r="M1037" s="10">
        <v>1</v>
      </c>
      <c r="N1037" s="10" t="s">
        <v>10796</v>
      </c>
      <c r="O1037" s="10"/>
      <c r="P1037" s="10" t="s">
        <v>10797</v>
      </c>
      <c r="Q1037" s="10" t="s">
        <v>10798</v>
      </c>
      <c r="R1037" s="10" t="s">
        <v>10799</v>
      </c>
      <c r="S1037" s="10" t="s">
        <v>53</v>
      </c>
      <c r="T1037" s="10" t="s">
        <v>8681</v>
      </c>
    </row>
    <row r="1038" spans="1:20" ht="14.5" x14ac:dyDescent="0.35">
      <c r="A1038" s="10" t="s">
        <v>10800</v>
      </c>
      <c r="B1038" s="10" t="str">
        <f>"9781843108153"</f>
        <v>9781843108153</v>
      </c>
      <c r="C1038" s="10" t="str">
        <f>"9781846424663"</f>
        <v>9781846424663</v>
      </c>
      <c r="D1038" s="10" t="s">
        <v>10516</v>
      </c>
      <c r="E1038" s="10" t="s">
        <v>10516</v>
      </c>
      <c r="F1038" s="10" t="s">
        <v>139</v>
      </c>
      <c r="G1038" s="10" t="s">
        <v>6352</v>
      </c>
      <c r="H1038" s="11">
        <v>38702</v>
      </c>
      <c r="I1038" s="10">
        <v>2005</v>
      </c>
      <c r="J1038" s="10" t="s">
        <v>10516</v>
      </c>
      <c r="K1038" s="10">
        <v>50</v>
      </c>
      <c r="L1038" s="10" t="s">
        <v>10801</v>
      </c>
      <c r="M1038" s="10">
        <v>1</v>
      </c>
      <c r="N1038" s="10"/>
      <c r="O1038" s="10"/>
      <c r="P1038" s="10" t="s">
        <v>10802</v>
      </c>
      <c r="Q1038" s="10" t="s">
        <v>8679</v>
      </c>
      <c r="R1038" s="10" t="s">
        <v>10803</v>
      </c>
      <c r="S1038" s="10" t="s">
        <v>53</v>
      </c>
      <c r="T1038" s="10" t="s">
        <v>8510</v>
      </c>
    </row>
    <row r="1039" spans="1:20" ht="14.5" x14ac:dyDescent="0.35">
      <c r="A1039" s="10" t="s">
        <v>10804</v>
      </c>
      <c r="B1039" s="10" t="str">
        <f>"9781843103929"</f>
        <v>9781843103929</v>
      </c>
      <c r="C1039" s="10" t="str">
        <f>"9781846424670"</f>
        <v>9781846424670</v>
      </c>
      <c r="D1039" s="10" t="s">
        <v>10516</v>
      </c>
      <c r="E1039" s="10" t="s">
        <v>10516</v>
      </c>
      <c r="F1039" s="10" t="s">
        <v>139</v>
      </c>
      <c r="G1039" s="10" t="s">
        <v>6352</v>
      </c>
      <c r="H1039" s="11">
        <v>38702</v>
      </c>
      <c r="I1039" s="10">
        <v>2005</v>
      </c>
      <c r="J1039" s="10" t="s">
        <v>10516</v>
      </c>
      <c r="K1039" s="10">
        <v>97</v>
      </c>
      <c r="L1039" s="10" t="s">
        <v>10805</v>
      </c>
      <c r="M1039" s="10">
        <v>1</v>
      </c>
      <c r="N1039" s="10"/>
      <c r="O1039" s="10"/>
      <c r="P1039" s="10" t="s">
        <v>10806</v>
      </c>
      <c r="Q1039" s="10" t="s">
        <v>10807</v>
      </c>
      <c r="R1039" s="10" t="s">
        <v>10808</v>
      </c>
      <c r="S1039" s="10" t="s">
        <v>53</v>
      </c>
      <c r="T1039" s="10" t="s">
        <v>8510</v>
      </c>
    </row>
    <row r="1040" spans="1:20" ht="14.5" x14ac:dyDescent="0.35">
      <c r="A1040" s="10" t="s">
        <v>10809</v>
      </c>
      <c r="B1040" s="10" t="str">
        <f>"9781843104162"</f>
        <v>9781843104162</v>
      </c>
      <c r="C1040" s="10" t="str">
        <f>"9781846424694"</f>
        <v>9781846424694</v>
      </c>
      <c r="D1040" s="10" t="s">
        <v>10516</v>
      </c>
      <c r="E1040" s="10" t="s">
        <v>10516</v>
      </c>
      <c r="F1040" s="10" t="s">
        <v>139</v>
      </c>
      <c r="G1040" s="10" t="s">
        <v>6352</v>
      </c>
      <c r="H1040" s="11">
        <v>38723</v>
      </c>
      <c r="I1040" s="10">
        <v>2006</v>
      </c>
      <c r="J1040" s="10" t="s">
        <v>10516</v>
      </c>
      <c r="K1040" s="10">
        <v>194</v>
      </c>
      <c r="L1040" s="10" t="s">
        <v>10810</v>
      </c>
      <c r="M1040" s="10">
        <v>1</v>
      </c>
      <c r="N1040" s="10"/>
      <c r="O1040" s="10"/>
      <c r="P1040" s="10" t="s">
        <v>10811</v>
      </c>
      <c r="Q1040" s="10" t="s">
        <v>10812</v>
      </c>
      <c r="R1040" s="10" t="s">
        <v>10813</v>
      </c>
      <c r="S1040" s="10" t="s">
        <v>53</v>
      </c>
      <c r="T1040" s="10" t="s">
        <v>10814</v>
      </c>
    </row>
    <row r="1041" spans="1:20" ht="14.5" x14ac:dyDescent="0.35">
      <c r="A1041" s="10" t="s">
        <v>10815</v>
      </c>
      <c r="B1041" s="10" t="str">
        <f>"9781843104186"</f>
        <v>9781843104186</v>
      </c>
      <c r="C1041" s="10" t="str">
        <f>"9781846424700"</f>
        <v>9781846424700</v>
      </c>
      <c r="D1041" s="10" t="s">
        <v>10516</v>
      </c>
      <c r="E1041" s="10" t="s">
        <v>10516</v>
      </c>
      <c r="F1041" s="10" t="s">
        <v>139</v>
      </c>
      <c r="G1041" s="10" t="s">
        <v>6352</v>
      </c>
      <c r="H1041" s="11">
        <v>38729</v>
      </c>
      <c r="I1041" s="10">
        <v>2006</v>
      </c>
      <c r="J1041" s="10" t="s">
        <v>10516</v>
      </c>
      <c r="K1041" s="10">
        <v>129</v>
      </c>
      <c r="L1041" s="10" t="s">
        <v>10816</v>
      </c>
      <c r="M1041" s="10">
        <v>1</v>
      </c>
      <c r="N1041" s="10"/>
      <c r="O1041" s="10"/>
      <c r="P1041" s="10" t="s">
        <v>10817</v>
      </c>
      <c r="Q1041" s="10" t="s">
        <v>10818</v>
      </c>
      <c r="R1041" s="10" t="s">
        <v>10819</v>
      </c>
      <c r="S1041" s="10" t="s">
        <v>53</v>
      </c>
      <c r="T1041" s="10" t="s">
        <v>1166</v>
      </c>
    </row>
    <row r="1042" spans="1:20" ht="14.5" x14ac:dyDescent="0.35">
      <c r="A1042" s="10" t="s">
        <v>10820</v>
      </c>
      <c r="B1042" s="10" t="str">
        <f>"9781843103714"</f>
        <v>9781843103714</v>
      </c>
      <c r="C1042" s="10" t="str">
        <f>"9781846424731"</f>
        <v>9781846424731</v>
      </c>
      <c r="D1042" s="10" t="s">
        <v>10516</v>
      </c>
      <c r="E1042" s="10" t="s">
        <v>10516</v>
      </c>
      <c r="F1042" s="10" t="s">
        <v>139</v>
      </c>
      <c r="G1042" s="10" t="s">
        <v>6352</v>
      </c>
      <c r="H1042" s="11">
        <v>38736</v>
      </c>
      <c r="I1042" s="10">
        <v>2006</v>
      </c>
      <c r="J1042" s="10" t="s">
        <v>10516</v>
      </c>
      <c r="K1042" s="10">
        <v>225</v>
      </c>
      <c r="L1042" s="10" t="s">
        <v>10821</v>
      </c>
      <c r="M1042" s="10">
        <v>1</v>
      </c>
      <c r="N1042" s="10"/>
      <c r="O1042" s="10"/>
      <c r="P1042" s="10" t="s">
        <v>10822</v>
      </c>
      <c r="Q1042" s="10" t="s">
        <v>10823</v>
      </c>
      <c r="R1042" s="10" t="s">
        <v>10824</v>
      </c>
      <c r="S1042" s="10" t="s">
        <v>53</v>
      </c>
      <c r="T1042" s="10" t="s">
        <v>8346</v>
      </c>
    </row>
    <row r="1043" spans="1:20" ht="14.5" x14ac:dyDescent="0.35">
      <c r="A1043" s="10" t="s">
        <v>10825</v>
      </c>
      <c r="B1043" s="10" t="str">
        <f>"9781843102915"</f>
        <v>9781843102915</v>
      </c>
      <c r="C1043" s="10" t="str">
        <f>"9781846424861"</f>
        <v>9781846424861</v>
      </c>
      <c r="D1043" s="10" t="s">
        <v>10516</v>
      </c>
      <c r="E1043" s="10" t="s">
        <v>10516</v>
      </c>
      <c r="F1043" s="10" t="s">
        <v>139</v>
      </c>
      <c r="G1043" s="10" t="s">
        <v>6352</v>
      </c>
      <c r="H1043" s="11">
        <v>38765</v>
      </c>
      <c r="I1043" s="10">
        <v>2006</v>
      </c>
      <c r="J1043" s="10" t="s">
        <v>10516</v>
      </c>
      <c r="K1043" s="10">
        <v>208</v>
      </c>
      <c r="L1043" s="10" t="s">
        <v>10826</v>
      </c>
      <c r="M1043" s="10">
        <v>1</v>
      </c>
      <c r="N1043" s="10"/>
      <c r="O1043" s="10"/>
      <c r="P1043" s="10" t="s">
        <v>10827</v>
      </c>
      <c r="Q1043" s="10">
        <v>618.9289</v>
      </c>
      <c r="R1043" s="10" t="s">
        <v>10828</v>
      </c>
      <c r="S1043" s="10" t="s">
        <v>53</v>
      </c>
      <c r="T1043" s="10" t="s">
        <v>10829</v>
      </c>
    </row>
    <row r="1044" spans="1:20" ht="14.5" x14ac:dyDescent="0.35">
      <c r="A1044" s="10" t="s">
        <v>10830</v>
      </c>
      <c r="B1044" s="10" t="str">
        <f>"9781843108269"</f>
        <v>9781843108269</v>
      </c>
      <c r="C1044" s="10" t="str">
        <f>"9781846425059"</f>
        <v>9781846425059</v>
      </c>
      <c r="D1044" s="10" t="s">
        <v>10516</v>
      </c>
      <c r="E1044" s="10" t="s">
        <v>10516</v>
      </c>
      <c r="F1044" s="10" t="s">
        <v>139</v>
      </c>
      <c r="G1044" s="10" t="s">
        <v>6352</v>
      </c>
      <c r="H1044" s="11">
        <v>38820</v>
      </c>
      <c r="I1044" s="10">
        <v>2006</v>
      </c>
      <c r="J1044" s="10" t="s">
        <v>10516</v>
      </c>
      <c r="K1044" s="10">
        <v>110</v>
      </c>
      <c r="L1044" s="10" t="s">
        <v>10739</v>
      </c>
      <c r="M1044" s="10">
        <v>1</v>
      </c>
      <c r="N1044" s="10" t="s">
        <v>10831</v>
      </c>
      <c r="O1044" s="10"/>
      <c r="P1044" s="10" t="s">
        <v>10832</v>
      </c>
      <c r="Q1044" s="10"/>
      <c r="R1044" s="10" t="s">
        <v>10833</v>
      </c>
      <c r="S1044" s="10" t="s">
        <v>53</v>
      </c>
      <c r="T1044" s="10" t="s">
        <v>8510</v>
      </c>
    </row>
    <row r="1045" spans="1:20" ht="14.5" x14ac:dyDescent="0.35">
      <c r="A1045" s="10" t="s">
        <v>10834</v>
      </c>
      <c r="B1045" s="10" t="str">
        <f>"9781843108078"</f>
        <v>9781843108078</v>
      </c>
      <c r="C1045" s="10" t="str">
        <f>"9781846425066"</f>
        <v>9781846425066</v>
      </c>
      <c r="D1045" s="10" t="s">
        <v>10516</v>
      </c>
      <c r="E1045" s="10" t="s">
        <v>10516</v>
      </c>
      <c r="F1045" s="10" t="s">
        <v>139</v>
      </c>
      <c r="G1045" s="10" t="s">
        <v>6352</v>
      </c>
      <c r="H1045" s="11">
        <v>38834</v>
      </c>
      <c r="I1045" s="10">
        <v>2006</v>
      </c>
      <c r="J1045" s="10" t="s">
        <v>10516</v>
      </c>
      <c r="K1045" s="10">
        <v>222</v>
      </c>
      <c r="L1045" s="10" t="s">
        <v>10835</v>
      </c>
      <c r="M1045" s="10">
        <v>1</v>
      </c>
      <c r="N1045" s="10"/>
      <c r="O1045" s="10"/>
      <c r="P1045" s="10" t="s">
        <v>10836</v>
      </c>
      <c r="Q1045" s="10" t="s">
        <v>8552</v>
      </c>
      <c r="R1045" s="10" t="s">
        <v>10837</v>
      </c>
      <c r="S1045" s="10" t="s">
        <v>53</v>
      </c>
      <c r="T1045" s="10" t="s">
        <v>10838</v>
      </c>
    </row>
    <row r="1046" spans="1:20" ht="14.5" x14ac:dyDescent="0.35">
      <c r="A1046" s="10" t="s">
        <v>10839</v>
      </c>
      <c r="B1046" s="10" t="str">
        <f>"9781843104391"</f>
        <v>9781843104391</v>
      </c>
      <c r="C1046" s="10" t="str">
        <f>"9781846425073"</f>
        <v>9781846425073</v>
      </c>
      <c r="D1046" s="10" t="s">
        <v>10516</v>
      </c>
      <c r="E1046" s="10" t="s">
        <v>10516</v>
      </c>
      <c r="F1046" s="10" t="s">
        <v>139</v>
      </c>
      <c r="G1046" s="10" t="s">
        <v>6352</v>
      </c>
      <c r="H1046" s="11">
        <v>38834</v>
      </c>
      <c r="I1046" s="10">
        <v>2006</v>
      </c>
      <c r="J1046" s="10" t="s">
        <v>10516</v>
      </c>
      <c r="K1046" s="10">
        <v>273</v>
      </c>
      <c r="L1046" s="10" t="s">
        <v>10840</v>
      </c>
      <c r="M1046" s="10">
        <v>1</v>
      </c>
      <c r="N1046" s="10"/>
      <c r="O1046" s="10"/>
      <c r="P1046" s="10" t="s">
        <v>10841</v>
      </c>
      <c r="Q1046" s="10" t="s">
        <v>10842</v>
      </c>
      <c r="R1046" s="10" t="s">
        <v>10843</v>
      </c>
      <c r="S1046" s="10" t="s">
        <v>53</v>
      </c>
      <c r="T1046" s="10" t="s">
        <v>483</v>
      </c>
    </row>
    <row r="1047" spans="1:20" ht="14.5" x14ac:dyDescent="0.35">
      <c r="A1047" s="10" t="s">
        <v>10844</v>
      </c>
      <c r="B1047" s="10" t="str">
        <f>"9781843101307"</f>
        <v>9781843101307</v>
      </c>
      <c r="C1047" s="10" t="str">
        <f>"9781846425141"</f>
        <v>9781846425141</v>
      </c>
      <c r="D1047" s="10" t="s">
        <v>10516</v>
      </c>
      <c r="E1047" s="10" t="s">
        <v>10516</v>
      </c>
      <c r="F1047" s="10" t="s">
        <v>139</v>
      </c>
      <c r="G1047" s="10" t="s">
        <v>6352</v>
      </c>
      <c r="H1047" s="11">
        <v>38862</v>
      </c>
      <c r="I1047" s="10">
        <v>2006</v>
      </c>
      <c r="J1047" s="10" t="s">
        <v>10516</v>
      </c>
      <c r="K1047" s="10">
        <v>223</v>
      </c>
      <c r="L1047" s="10" t="s">
        <v>10845</v>
      </c>
      <c r="M1047" s="10">
        <v>1</v>
      </c>
      <c r="N1047" s="10"/>
      <c r="O1047" s="10"/>
      <c r="P1047" s="10" t="s">
        <v>10846</v>
      </c>
      <c r="Q1047" s="10">
        <v>362.19685888999999</v>
      </c>
      <c r="R1047" s="10" t="s">
        <v>10847</v>
      </c>
      <c r="S1047" s="10" t="s">
        <v>53</v>
      </c>
      <c r="T1047" s="10" t="s">
        <v>10848</v>
      </c>
    </row>
    <row r="1048" spans="1:20" ht="14.5" x14ac:dyDescent="0.35">
      <c r="A1048" s="10" t="s">
        <v>10849</v>
      </c>
      <c r="B1048" s="10" t="str">
        <f>"9781843104001"</f>
        <v>9781843104001</v>
      </c>
      <c r="C1048" s="10" t="str">
        <f>"9781846425172"</f>
        <v>9781846425172</v>
      </c>
      <c r="D1048" s="10" t="s">
        <v>10516</v>
      </c>
      <c r="E1048" s="10" t="s">
        <v>10516</v>
      </c>
      <c r="F1048" s="10" t="s">
        <v>139</v>
      </c>
      <c r="G1048" s="10" t="s">
        <v>6352</v>
      </c>
      <c r="H1048" s="11">
        <v>38876</v>
      </c>
      <c r="I1048" s="10">
        <v>2006</v>
      </c>
      <c r="J1048" s="10" t="s">
        <v>10516</v>
      </c>
      <c r="K1048" s="10">
        <v>145</v>
      </c>
      <c r="L1048" s="10" t="s">
        <v>10850</v>
      </c>
      <c r="M1048" s="10">
        <v>1</v>
      </c>
      <c r="N1048" s="10"/>
      <c r="O1048" s="10"/>
      <c r="P1048" s="10" t="s">
        <v>10851</v>
      </c>
      <c r="Q1048" s="10" t="s">
        <v>8552</v>
      </c>
      <c r="R1048" s="10"/>
      <c r="S1048" s="10" t="s">
        <v>53</v>
      </c>
      <c r="T1048" s="10" t="s">
        <v>10852</v>
      </c>
    </row>
    <row r="1049" spans="1:20" ht="14.5" x14ac:dyDescent="0.35">
      <c r="A1049" s="10" t="s">
        <v>10853</v>
      </c>
      <c r="B1049" s="10" t="str">
        <f>"9781843108214"</f>
        <v>9781843108214</v>
      </c>
      <c r="C1049" s="10" t="str">
        <f>"9781846425196"</f>
        <v>9781846425196</v>
      </c>
      <c r="D1049" s="10" t="s">
        <v>10516</v>
      </c>
      <c r="E1049" s="10" t="s">
        <v>10516</v>
      </c>
      <c r="F1049" s="10" t="s">
        <v>139</v>
      </c>
      <c r="G1049" s="10" t="s">
        <v>6352</v>
      </c>
      <c r="H1049" s="11">
        <v>38876</v>
      </c>
      <c r="I1049" s="10">
        <v>2006</v>
      </c>
      <c r="J1049" s="10" t="s">
        <v>10516</v>
      </c>
      <c r="K1049" s="10">
        <v>170</v>
      </c>
      <c r="L1049" s="10" t="s">
        <v>10854</v>
      </c>
      <c r="M1049" s="10">
        <v>1</v>
      </c>
      <c r="N1049" s="10"/>
      <c r="O1049" s="10"/>
      <c r="P1049" s="10" t="s">
        <v>10855</v>
      </c>
      <c r="Q1049" s="10">
        <v>618.9285883</v>
      </c>
      <c r="R1049" s="10" t="s">
        <v>10856</v>
      </c>
      <c r="S1049" s="10" t="s">
        <v>53</v>
      </c>
      <c r="T1049" s="10" t="s">
        <v>8510</v>
      </c>
    </row>
    <row r="1050" spans="1:20" ht="14.5" x14ac:dyDescent="0.35">
      <c r="A1050" s="10" t="s">
        <v>10857</v>
      </c>
      <c r="B1050" s="10" t="str">
        <f>"9781843104476"</f>
        <v>9781843104476</v>
      </c>
      <c r="C1050" s="10" t="str">
        <f>"9781846425226"</f>
        <v>9781846425226</v>
      </c>
      <c r="D1050" s="10" t="s">
        <v>10516</v>
      </c>
      <c r="E1050" s="10" t="s">
        <v>10516</v>
      </c>
      <c r="F1050" s="10" t="s">
        <v>139</v>
      </c>
      <c r="G1050" s="10" t="s">
        <v>6352</v>
      </c>
      <c r="H1050" s="11">
        <v>38883</v>
      </c>
      <c r="I1050" s="10">
        <v>2006</v>
      </c>
      <c r="J1050" s="10" t="s">
        <v>10516</v>
      </c>
      <c r="K1050" s="10">
        <v>140</v>
      </c>
      <c r="L1050" s="10" t="s">
        <v>10858</v>
      </c>
      <c r="M1050" s="10">
        <v>1</v>
      </c>
      <c r="N1050" s="10"/>
      <c r="O1050" s="10"/>
      <c r="P1050" s="10" t="s">
        <v>10859</v>
      </c>
      <c r="Q1050" s="10" t="s">
        <v>10860</v>
      </c>
      <c r="R1050" s="10" t="s">
        <v>10861</v>
      </c>
      <c r="S1050" s="10" t="s">
        <v>53</v>
      </c>
      <c r="T1050" s="10" t="s">
        <v>6363</v>
      </c>
    </row>
    <row r="1051" spans="1:20" ht="14.5" x14ac:dyDescent="0.35">
      <c r="A1051" s="10" t="s">
        <v>10862</v>
      </c>
      <c r="B1051" s="10" t="str">
        <f>"9781843104278"</f>
        <v>9781843104278</v>
      </c>
      <c r="C1051" s="10" t="str">
        <f>"9781846425240"</f>
        <v>9781846425240</v>
      </c>
      <c r="D1051" s="10" t="s">
        <v>10516</v>
      </c>
      <c r="E1051" s="10" t="s">
        <v>10516</v>
      </c>
      <c r="F1051" s="10" t="s">
        <v>139</v>
      </c>
      <c r="G1051" s="10" t="s">
        <v>6352</v>
      </c>
      <c r="H1051" s="11">
        <v>38883</v>
      </c>
      <c r="I1051" s="10">
        <v>2006</v>
      </c>
      <c r="J1051" s="10" t="s">
        <v>10516</v>
      </c>
      <c r="K1051" s="10">
        <v>177</v>
      </c>
      <c r="L1051" s="10" t="s">
        <v>10863</v>
      </c>
      <c r="M1051" s="10">
        <v>1</v>
      </c>
      <c r="N1051" s="10"/>
      <c r="O1051" s="10"/>
      <c r="P1051" s="10" t="s">
        <v>10864</v>
      </c>
      <c r="Q1051" s="10">
        <v>616.85883200000001</v>
      </c>
      <c r="R1051" s="10" t="s">
        <v>10865</v>
      </c>
      <c r="S1051" s="10" t="s">
        <v>53</v>
      </c>
      <c r="T1051" s="10" t="s">
        <v>8510</v>
      </c>
    </row>
    <row r="1052" spans="1:20" ht="14.5" x14ac:dyDescent="0.35">
      <c r="A1052" s="10" t="s">
        <v>10866</v>
      </c>
      <c r="B1052" s="10" t="str">
        <f>"9781843104407"</f>
        <v>9781843104407</v>
      </c>
      <c r="C1052" s="10" t="str">
        <f>"9781846425257"</f>
        <v>9781846425257</v>
      </c>
      <c r="D1052" s="10" t="s">
        <v>10516</v>
      </c>
      <c r="E1052" s="10" t="s">
        <v>10516</v>
      </c>
      <c r="F1052" s="10" t="s">
        <v>139</v>
      </c>
      <c r="G1052" s="10" t="s">
        <v>6352</v>
      </c>
      <c r="H1052" s="11">
        <v>38883</v>
      </c>
      <c r="I1052" s="10">
        <v>2006</v>
      </c>
      <c r="J1052" s="10" t="s">
        <v>10516</v>
      </c>
      <c r="K1052" s="10">
        <v>194</v>
      </c>
      <c r="L1052" s="10" t="s">
        <v>10867</v>
      </c>
      <c r="M1052" s="10">
        <v>1</v>
      </c>
      <c r="N1052" s="10"/>
      <c r="O1052" s="10"/>
      <c r="P1052" s="10" t="s">
        <v>10868</v>
      </c>
      <c r="Q1052" s="10">
        <v>371.94</v>
      </c>
      <c r="R1052" s="10"/>
      <c r="S1052" s="10" t="s">
        <v>53</v>
      </c>
      <c r="T1052" s="10" t="s">
        <v>54</v>
      </c>
    </row>
    <row r="1053" spans="1:20" ht="14.5" x14ac:dyDescent="0.35">
      <c r="A1053" s="10" t="s">
        <v>10869</v>
      </c>
      <c r="B1053" s="10" t="str">
        <f>"9781843104223"</f>
        <v>9781843104223</v>
      </c>
      <c r="C1053" s="10" t="str">
        <f>"9781846425264"</f>
        <v>9781846425264</v>
      </c>
      <c r="D1053" s="10" t="s">
        <v>10516</v>
      </c>
      <c r="E1053" s="10" t="s">
        <v>10516</v>
      </c>
      <c r="F1053" s="10" t="s">
        <v>139</v>
      </c>
      <c r="G1053" s="10" t="s">
        <v>6352</v>
      </c>
      <c r="H1053" s="11">
        <v>38883</v>
      </c>
      <c r="I1053" s="10">
        <v>2006</v>
      </c>
      <c r="J1053" s="10" t="s">
        <v>10516</v>
      </c>
      <c r="K1053" s="10">
        <v>97</v>
      </c>
      <c r="L1053" s="10" t="s">
        <v>10870</v>
      </c>
      <c r="M1053" s="10">
        <v>1</v>
      </c>
      <c r="N1053" s="10"/>
      <c r="O1053" s="10"/>
      <c r="P1053" s="10" t="s">
        <v>10871</v>
      </c>
      <c r="Q1053" s="10">
        <v>362.82920000000001</v>
      </c>
      <c r="R1053" s="10" t="s">
        <v>10872</v>
      </c>
      <c r="S1053" s="10" t="s">
        <v>53</v>
      </c>
      <c r="T1053" s="10" t="s">
        <v>10873</v>
      </c>
    </row>
    <row r="1054" spans="1:20" ht="14.5" x14ac:dyDescent="0.35">
      <c r="A1054" s="10" t="s">
        <v>10874</v>
      </c>
      <c r="B1054" s="10" t="str">
        <f>"9781843108337"</f>
        <v>9781843108337</v>
      </c>
      <c r="C1054" s="10" t="str">
        <f>"9781846425271"</f>
        <v>9781846425271</v>
      </c>
      <c r="D1054" s="10" t="s">
        <v>10516</v>
      </c>
      <c r="E1054" s="10" t="s">
        <v>10516</v>
      </c>
      <c r="F1054" s="10" t="s">
        <v>139</v>
      </c>
      <c r="G1054" s="10" t="s">
        <v>6352</v>
      </c>
      <c r="H1054" s="11">
        <v>38883</v>
      </c>
      <c r="I1054" s="10">
        <v>2006</v>
      </c>
      <c r="J1054" s="10" t="s">
        <v>10516</v>
      </c>
      <c r="K1054" s="10">
        <v>111</v>
      </c>
      <c r="L1054" s="10" t="s">
        <v>10875</v>
      </c>
      <c r="M1054" s="10">
        <v>1</v>
      </c>
      <c r="N1054" s="10" t="s">
        <v>10831</v>
      </c>
      <c r="O1054" s="10"/>
      <c r="P1054" s="10" t="s">
        <v>10876</v>
      </c>
      <c r="Q1054" s="10">
        <v>618.92859999999996</v>
      </c>
      <c r="R1054" s="10" t="s">
        <v>10877</v>
      </c>
      <c r="S1054" s="10" t="s">
        <v>53</v>
      </c>
      <c r="T1054" s="10" t="s">
        <v>8625</v>
      </c>
    </row>
    <row r="1055" spans="1:20" ht="14.5" x14ac:dyDescent="0.35">
      <c r="A1055" s="10" t="s">
        <v>10878</v>
      </c>
      <c r="B1055" s="10" t="str">
        <f>"9781843103097"</f>
        <v>9781843103097</v>
      </c>
      <c r="C1055" s="10" t="str">
        <f>"9781846425288"</f>
        <v>9781846425288</v>
      </c>
      <c r="D1055" s="10" t="s">
        <v>10516</v>
      </c>
      <c r="E1055" s="10" t="s">
        <v>10516</v>
      </c>
      <c r="F1055" s="10" t="s">
        <v>139</v>
      </c>
      <c r="G1055" s="10" t="s">
        <v>6352</v>
      </c>
      <c r="H1055" s="11">
        <v>38883</v>
      </c>
      <c r="I1055" s="10">
        <v>2006</v>
      </c>
      <c r="J1055" s="10" t="s">
        <v>10516</v>
      </c>
      <c r="K1055" s="10">
        <v>225</v>
      </c>
      <c r="L1055" s="10" t="s">
        <v>10879</v>
      </c>
      <c r="M1055" s="10">
        <v>1</v>
      </c>
      <c r="N1055" s="10"/>
      <c r="O1055" s="10"/>
      <c r="P1055" s="10" t="s">
        <v>10880</v>
      </c>
      <c r="Q1055" s="10">
        <v>616.89165400829995</v>
      </c>
      <c r="R1055" s="10" t="s">
        <v>10881</v>
      </c>
      <c r="S1055" s="10" t="s">
        <v>53</v>
      </c>
      <c r="T1055" s="10" t="s">
        <v>10882</v>
      </c>
    </row>
    <row r="1056" spans="1:20" ht="14.5" x14ac:dyDescent="0.35">
      <c r="A1056" s="10" t="s">
        <v>10883</v>
      </c>
      <c r="B1056" s="10" t="str">
        <f>"9781843102304"</f>
        <v>9781843102304</v>
      </c>
      <c r="C1056" s="10" t="str">
        <f>"9781846425295"</f>
        <v>9781846425295</v>
      </c>
      <c r="D1056" s="10" t="s">
        <v>10516</v>
      </c>
      <c r="E1056" s="10" t="s">
        <v>10516</v>
      </c>
      <c r="F1056" s="10" t="s">
        <v>139</v>
      </c>
      <c r="G1056" s="10" t="s">
        <v>6352</v>
      </c>
      <c r="H1056" s="11">
        <v>38883</v>
      </c>
      <c r="I1056" s="10">
        <v>2006</v>
      </c>
      <c r="J1056" s="10" t="s">
        <v>10516</v>
      </c>
      <c r="K1056" s="10">
        <v>266</v>
      </c>
      <c r="L1056" s="10" t="s">
        <v>10884</v>
      </c>
      <c r="M1056" s="10">
        <v>1</v>
      </c>
      <c r="N1056" s="10"/>
      <c r="O1056" s="10"/>
      <c r="P1056" s="10" t="s">
        <v>10885</v>
      </c>
      <c r="Q1056" s="10">
        <v>616.85820083500005</v>
      </c>
      <c r="R1056" s="10"/>
      <c r="S1056" s="10" t="s">
        <v>53</v>
      </c>
      <c r="T1056" s="10" t="s">
        <v>8681</v>
      </c>
    </row>
    <row r="1057" spans="1:20" ht="14.5" x14ac:dyDescent="0.35">
      <c r="A1057" s="10" t="s">
        <v>10886</v>
      </c>
      <c r="B1057" s="10" t="str">
        <f>"9781843103820"</f>
        <v>9781843103820</v>
      </c>
      <c r="C1057" s="10" t="str">
        <f>"9781846425318"</f>
        <v>9781846425318</v>
      </c>
      <c r="D1057" s="10" t="s">
        <v>10516</v>
      </c>
      <c r="E1057" s="10" t="s">
        <v>10516</v>
      </c>
      <c r="F1057" s="10" t="s">
        <v>139</v>
      </c>
      <c r="G1057" s="10" t="s">
        <v>6352</v>
      </c>
      <c r="H1057" s="11">
        <v>38883</v>
      </c>
      <c r="I1057" s="10">
        <v>2006</v>
      </c>
      <c r="J1057" s="10" t="s">
        <v>10516</v>
      </c>
      <c r="K1057" s="10">
        <v>210</v>
      </c>
      <c r="L1057" s="10" t="s">
        <v>10887</v>
      </c>
      <c r="M1057" s="10">
        <v>1</v>
      </c>
      <c r="N1057" s="10"/>
      <c r="O1057" s="10"/>
      <c r="P1057" s="10" t="s">
        <v>10888</v>
      </c>
      <c r="Q1057" s="10">
        <v>371.94</v>
      </c>
      <c r="R1057" s="10" t="s">
        <v>10889</v>
      </c>
      <c r="S1057" s="10" t="s">
        <v>53</v>
      </c>
      <c r="T1057" s="10" t="s">
        <v>54</v>
      </c>
    </row>
    <row r="1058" spans="1:20" ht="14.5" x14ac:dyDescent="0.35">
      <c r="A1058" s="10" t="s">
        <v>10890</v>
      </c>
      <c r="B1058" s="10" t="str">
        <f>"9781843103356"</f>
        <v>9781843103356</v>
      </c>
      <c r="C1058" s="10" t="str">
        <f>"9781846425325"</f>
        <v>9781846425325</v>
      </c>
      <c r="D1058" s="10" t="s">
        <v>10516</v>
      </c>
      <c r="E1058" s="10" t="s">
        <v>10516</v>
      </c>
      <c r="F1058" s="10" t="s">
        <v>139</v>
      </c>
      <c r="G1058" s="10" t="s">
        <v>6352</v>
      </c>
      <c r="H1058" s="11">
        <v>33178</v>
      </c>
      <c r="I1058" s="10">
        <v>2006</v>
      </c>
      <c r="J1058" s="10" t="s">
        <v>10516</v>
      </c>
      <c r="K1058" s="10">
        <v>449</v>
      </c>
      <c r="L1058" s="10" t="s">
        <v>10891</v>
      </c>
      <c r="M1058" s="10">
        <v>3</v>
      </c>
      <c r="N1058" s="10"/>
      <c r="O1058" s="10"/>
      <c r="P1058" s="10" t="s">
        <v>10892</v>
      </c>
      <c r="Q1058" s="10" t="s">
        <v>10893</v>
      </c>
      <c r="R1058" s="10" t="s">
        <v>10894</v>
      </c>
      <c r="S1058" s="10" t="s">
        <v>53</v>
      </c>
      <c r="T1058" s="10" t="s">
        <v>8681</v>
      </c>
    </row>
    <row r="1059" spans="1:20" ht="14.5" x14ac:dyDescent="0.35">
      <c r="A1059" s="10" t="s">
        <v>10895</v>
      </c>
      <c r="B1059" s="10" t="str">
        <f>"9781843104230"</f>
        <v>9781843104230</v>
      </c>
      <c r="C1059" s="10" t="str">
        <f>"9781846425332"</f>
        <v>9781846425332</v>
      </c>
      <c r="D1059" s="10" t="s">
        <v>10516</v>
      </c>
      <c r="E1059" s="10" t="s">
        <v>10516</v>
      </c>
      <c r="F1059" s="10" t="s">
        <v>139</v>
      </c>
      <c r="G1059" s="10" t="s">
        <v>6352</v>
      </c>
      <c r="H1059" s="11">
        <v>38883</v>
      </c>
      <c r="I1059" s="10">
        <v>2006</v>
      </c>
      <c r="J1059" s="10" t="s">
        <v>10516</v>
      </c>
      <c r="K1059" s="10">
        <v>114</v>
      </c>
      <c r="L1059" s="10" t="s">
        <v>10896</v>
      </c>
      <c r="M1059" s="10">
        <v>1</v>
      </c>
      <c r="N1059" s="10"/>
      <c r="O1059" s="10"/>
      <c r="P1059" s="10" t="s">
        <v>10897</v>
      </c>
      <c r="Q1059" s="10">
        <v>362.76799999999997</v>
      </c>
      <c r="R1059" s="10" t="s">
        <v>10898</v>
      </c>
      <c r="S1059" s="10" t="s">
        <v>53</v>
      </c>
      <c r="T1059" s="10" t="s">
        <v>10873</v>
      </c>
    </row>
    <row r="1060" spans="1:20" ht="14.5" x14ac:dyDescent="0.35">
      <c r="A1060" s="10" t="s">
        <v>10899</v>
      </c>
      <c r="B1060" s="10" t="str">
        <f>"9781843104599"</f>
        <v>9781843104599</v>
      </c>
      <c r="C1060" s="10" t="str">
        <f>"9781846425370"</f>
        <v>9781846425370</v>
      </c>
      <c r="D1060" s="10" t="s">
        <v>10516</v>
      </c>
      <c r="E1060" s="10" t="s">
        <v>10516</v>
      </c>
      <c r="F1060" s="10" t="s">
        <v>139</v>
      </c>
      <c r="G1060" s="10" t="s">
        <v>6352</v>
      </c>
      <c r="H1060" s="11">
        <v>38913</v>
      </c>
      <c r="I1060" s="10">
        <v>2006</v>
      </c>
      <c r="J1060" s="10" t="s">
        <v>10516</v>
      </c>
      <c r="K1060" s="10">
        <v>250</v>
      </c>
      <c r="L1060" s="10" t="s">
        <v>10900</v>
      </c>
      <c r="M1060" s="10">
        <v>1</v>
      </c>
      <c r="N1060" s="10"/>
      <c r="O1060" s="10"/>
      <c r="P1060" s="10" t="s">
        <v>10901</v>
      </c>
      <c r="Q1060" s="10" t="s">
        <v>10902</v>
      </c>
      <c r="R1060" s="10"/>
      <c r="S1060" s="10" t="s">
        <v>53</v>
      </c>
      <c r="T1060" s="10" t="s">
        <v>8510</v>
      </c>
    </row>
    <row r="1061" spans="1:20" ht="14.5" x14ac:dyDescent="0.35">
      <c r="A1061" s="10" t="s">
        <v>10903</v>
      </c>
      <c r="B1061" s="10" t="str">
        <f>"9781843104667"</f>
        <v>9781843104667</v>
      </c>
      <c r="C1061" s="10" t="str">
        <f>"9781846425387"</f>
        <v>9781846425387</v>
      </c>
      <c r="D1061" s="10" t="s">
        <v>10516</v>
      </c>
      <c r="E1061" s="10" t="s">
        <v>10516</v>
      </c>
      <c r="F1061" s="10" t="s">
        <v>139</v>
      </c>
      <c r="G1061" s="10" t="s">
        <v>6352</v>
      </c>
      <c r="H1061" s="11">
        <v>38913</v>
      </c>
      <c r="I1061" s="10">
        <v>2006</v>
      </c>
      <c r="J1061" s="10" t="s">
        <v>10516</v>
      </c>
      <c r="K1061" s="10">
        <v>154</v>
      </c>
      <c r="L1061" s="10" t="s">
        <v>10904</v>
      </c>
      <c r="M1061" s="10">
        <v>1</v>
      </c>
      <c r="N1061" s="10"/>
      <c r="O1061" s="10"/>
      <c r="P1061" s="10" t="s">
        <v>10905</v>
      </c>
      <c r="Q1061" s="10">
        <v>155.51247000000001</v>
      </c>
      <c r="R1061" s="10"/>
      <c r="S1061" s="10" t="s">
        <v>53</v>
      </c>
      <c r="T1061" s="10" t="s">
        <v>483</v>
      </c>
    </row>
    <row r="1062" spans="1:20" ht="14.5" x14ac:dyDescent="0.35">
      <c r="A1062" s="10" t="s">
        <v>10906</v>
      </c>
      <c r="B1062" s="10" t="str">
        <f>"9781843104674"</f>
        <v>9781843104674</v>
      </c>
      <c r="C1062" s="10" t="str">
        <f>"9781846425400"</f>
        <v>9781846425400</v>
      </c>
      <c r="D1062" s="10" t="s">
        <v>10516</v>
      </c>
      <c r="E1062" s="10" t="s">
        <v>10516</v>
      </c>
      <c r="F1062" s="10" t="s">
        <v>139</v>
      </c>
      <c r="G1062" s="10" t="s">
        <v>6352</v>
      </c>
      <c r="H1062" s="11">
        <v>38913</v>
      </c>
      <c r="I1062" s="10">
        <v>2006</v>
      </c>
      <c r="J1062" s="10" t="s">
        <v>10516</v>
      </c>
      <c r="K1062" s="10">
        <v>81</v>
      </c>
      <c r="L1062" s="10" t="s">
        <v>10907</v>
      </c>
      <c r="M1062" s="10">
        <v>1</v>
      </c>
      <c r="N1062" s="10" t="s">
        <v>10623</v>
      </c>
      <c r="O1062" s="10"/>
      <c r="P1062" s="10" t="s">
        <v>10908</v>
      </c>
      <c r="Q1062" s="10"/>
      <c r="R1062" s="10"/>
      <c r="S1062" s="10" t="s">
        <v>53</v>
      </c>
      <c r="T1062" s="10" t="s">
        <v>6363</v>
      </c>
    </row>
    <row r="1063" spans="1:20" ht="14.5" x14ac:dyDescent="0.35">
      <c r="A1063" s="10" t="s">
        <v>10909</v>
      </c>
      <c r="B1063" s="10" t="str">
        <f>"9781843108290"</f>
        <v>9781843108290</v>
      </c>
      <c r="C1063" s="10" t="str">
        <f>"9781846425417"</f>
        <v>9781846425417</v>
      </c>
      <c r="D1063" s="10" t="s">
        <v>10516</v>
      </c>
      <c r="E1063" s="10" t="s">
        <v>10516</v>
      </c>
      <c r="F1063" s="10" t="s">
        <v>139</v>
      </c>
      <c r="G1063" s="10" t="s">
        <v>6352</v>
      </c>
      <c r="H1063" s="11">
        <v>38913</v>
      </c>
      <c r="I1063" s="10">
        <v>2006</v>
      </c>
      <c r="J1063" s="10" t="s">
        <v>10516</v>
      </c>
      <c r="K1063" s="10">
        <v>211</v>
      </c>
      <c r="L1063" s="10" t="s">
        <v>10910</v>
      </c>
      <c r="M1063" s="10">
        <v>1</v>
      </c>
      <c r="N1063" s="10"/>
      <c r="O1063" s="10"/>
      <c r="P1063" s="10" t="s">
        <v>10911</v>
      </c>
      <c r="Q1063" s="10">
        <v>618.92858820000004</v>
      </c>
      <c r="R1063" s="10" t="s">
        <v>10912</v>
      </c>
      <c r="S1063" s="10" t="s">
        <v>53</v>
      </c>
      <c r="T1063" s="10" t="s">
        <v>8510</v>
      </c>
    </row>
    <row r="1064" spans="1:20" ht="14.5" x14ac:dyDescent="0.35">
      <c r="A1064" s="10" t="s">
        <v>10913</v>
      </c>
      <c r="B1064" s="10" t="str">
        <f>"9781843104643"</f>
        <v>9781843104643</v>
      </c>
      <c r="C1064" s="10" t="str">
        <f>"9781846425424"</f>
        <v>9781846425424</v>
      </c>
      <c r="D1064" s="10" t="s">
        <v>10516</v>
      </c>
      <c r="E1064" s="10" t="s">
        <v>10516</v>
      </c>
      <c r="F1064" s="10" t="s">
        <v>139</v>
      </c>
      <c r="G1064" s="10" t="s">
        <v>6352</v>
      </c>
      <c r="H1064" s="11">
        <v>38913</v>
      </c>
      <c r="I1064" s="10">
        <v>2006</v>
      </c>
      <c r="J1064" s="10" t="s">
        <v>10516</v>
      </c>
      <c r="K1064" s="10">
        <v>53</v>
      </c>
      <c r="L1064" s="10" t="s">
        <v>10914</v>
      </c>
      <c r="M1064" s="10">
        <v>1</v>
      </c>
      <c r="N1064" s="10"/>
      <c r="O1064" s="10"/>
      <c r="P1064" s="10" t="s">
        <v>10915</v>
      </c>
      <c r="Q1064" s="10"/>
      <c r="R1064" s="10"/>
      <c r="S1064" s="10" t="s">
        <v>53</v>
      </c>
      <c r="T1064" s="10" t="s">
        <v>8681</v>
      </c>
    </row>
    <row r="1065" spans="1:20" ht="14.5" x14ac:dyDescent="0.35">
      <c r="A1065" s="10" t="s">
        <v>10916</v>
      </c>
      <c r="B1065" s="10" t="str">
        <f>"9781843104520"</f>
        <v>9781843104520</v>
      </c>
      <c r="C1065" s="10" t="str">
        <f>"9781846425448"</f>
        <v>9781846425448</v>
      </c>
      <c r="D1065" s="10" t="s">
        <v>10516</v>
      </c>
      <c r="E1065" s="10" t="s">
        <v>10516</v>
      </c>
      <c r="F1065" s="10" t="s">
        <v>139</v>
      </c>
      <c r="G1065" s="10" t="s">
        <v>6352</v>
      </c>
      <c r="H1065" s="11">
        <v>38944</v>
      </c>
      <c r="I1065" s="10">
        <v>2006</v>
      </c>
      <c r="J1065" s="10" t="s">
        <v>10516</v>
      </c>
      <c r="K1065" s="10">
        <v>170</v>
      </c>
      <c r="L1065" s="10" t="s">
        <v>10917</v>
      </c>
      <c r="M1065" s="10">
        <v>1</v>
      </c>
      <c r="N1065" s="10"/>
      <c r="O1065" s="10"/>
      <c r="P1065" s="10" t="s">
        <v>10918</v>
      </c>
      <c r="Q1065" s="10" t="s">
        <v>10919</v>
      </c>
      <c r="R1065" s="10"/>
      <c r="S1065" s="10" t="s">
        <v>53</v>
      </c>
      <c r="T1065" s="10" t="s">
        <v>8625</v>
      </c>
    </row>
    <row r="1066" spans="1:20" ht="14.5" x14ac:dyDescent="0.35">
      <c r="A1066" s="10" t="s">
        <v>10920</v>
      </c>
      <c r="B1066" s="10" t="str">
        <f>"9781897178034"</f>
        <v>9781897178034</v>
      </c>
      <c r="C1066" s="10" t="str">
        <f>"9781897415078"</f>
        <v>9781897415078</v>
      </c>
      <c r="D1066" s="10" t="s">
        <v>10921</v>
      </c>
      <c r="E1066" s="10" t="s">
        <v>10921</v>
      </c>
      <c r="F1066" s="10" t="s">
        <v>139</v>
      </c>
      <c r="G1066" s="10" t="s">
        <v>9536</v>
      </c>
      <c r="H1066" s="11">
        <v>36770</v>
      </c>
      <c r="I1066" s="10">
        <v>2005</v>
      </c>
      <c r="J1066" s="10" t="s">
        <v>10922</v>
      </c>
      <c r="K1066" s="10">
        <v>246</v>
      </c>
      <c r="L1066" s="10" t="s">
        <v>10923</v>
      </c>
      <c r="M1066" s="10"/>
      <c r="N1066" s="10"/>
      <c r="O1066" s="10"/>
      <c r="P1066" s="10" t="s">
        <v>10924</v>
      </c>
      <c r="Q1066" s="10">
        <v>332.024</v>
      </c>
      <c r="R1066" s="10" t="s">
        <v>10925</v>
      </c>
      <c r="S1066" s="10" t="s">
        <v>53</v>
      </c>
      <c r="T1066" s="10" t="s">
        <v>7545</v>
      </c>
    </row>
    <row r="1067" spans="1:20" ht="14.5" x14ac:dyDescent="0.35">
      <c r="A1067" s="10" t="s">
        <v>10926</v>
      </c>
      <c r="B1067" s="10" t="str">
        <f>"9780826146946"</f>
        <v>9780826146946</v>
      </c>
      <c r="C1067" s="10" t="str">
        <f>"9780826146953"</f>
        <v>9780826146953</v>
      </c>
      <c r="D1067" s="10" t="s">
        <v>3370</v>
      </c>
      <c r="E1067" s="10" t="s">
        <v>10927</v>
      </c>
      <c r="F1067" s="10" t="s">
        <v>70</v>
      </c>
      <c r="G1067" s="10" t="s">
        <v>6317</v>
      </c>
      <c r="H1067" s="11">
        <v>38596</v>
      </c>
      <c r="I1067" s="10">
        <v>2005</v>
      </c>
      <c r="J1067" s="10" t="s">
        <v>10927</v>
      </c>
      <c r="K1067" s="10">
        <v>257</v>
      </c>
      <c r="L1067" s="10" t="s">
        <v>10928</v>
      </c>
      <c r="M1067" s="10">
        <v>2</v>
      </c>
      <c r="N1067" s="10" t="s">
        <v>10929</v>
      </c>
      <c r="O1067" s="10"/>
      <c r="P1067" s="10" t="s">
        <v>10930</v>
      </c>
      <c r="Q1067" s="10"/>
      <c r="R1067" s="10" t="s">
        <v>10931</v>
      </c>
      <c r="S1067" s="10" t="s">
        <v>53</v>
      </c>
      <c r="T1067" s="10" t="s">
        <v>10932</v>
      </c>
    </row>
    <row r="1068" spans="1:20" ht="14.5" x14ac:dyDescent="0.35">
      <c r="A1068" s="10" t="s">
        <v>10933</v>
      </c>
      <c r="B1068" s="10" t="str">
        <f>"9780826177643"</f>
        <v>9780826177643</v>
      </c>
      <c r="C1068" s="10" t="str">
        <f>"9780826177650"</f>
        <v>9780826177650</v>
      </c>
      <c r="D1068" s="10" t="s">
        <v>3370</v>
      </c>
      <c r="E1068" s="10" t="s">
        <v>3370</v>
      </c>
      <c r="F1068" s="10" t="s">
        <v>70</v>
      </c>
      <c r="G1068" s="10" t="s">
        <v>6317</v>
      </c>
      <c r="H1068" s="11">
        <v>38718</v>
      </c>
      <c r="I1068" s="10">
        <v>2006</v>
      </c>
      <c r="J1068" s="10" t="s">
        <v>3370</v>
      </c>
      <c r="K1068" s="10">
        <v>229</v>
      </c>
      <c r="L1068" s="10" t="s">
        <v>10934</v>
      </c>
      <c r="M1068" s="10">
        <v>1</v>
      </c>
      <c r="N1068" s="10"/>
      <c r="O1068" s="10"/>
      <c r="P1068" s="10" t="s">
        <v>10935</v>
      </c>
      <c r="Q1068" s="10">
        <v>610.73</v>
      </c>
      <c r="R1068" s="10" t="s">
        <v>10936</v>
      </c>
      <c r="S1068" s="10" t="s">
        <v>53</v>
      </c>
      <c r="T1068" s="10" t="s">
        <v>10932</v>
      </c>
    </row>
    <row r="1069" spans="1:20" ht="14.5" x14ac:dyDescent="0.35">
      <c r="A1069" s="10" t="s">
        <v>10937</v>
      </c>
      <c r="B1069" s="10" t="str">
        <f>"9780520261693"</f>
        <v>9780520261693</v>
      </c>
      <c r="C1069" s="10" t="str">
        <f>"9780520932234"</f>
        <v>9780520932234</v>
      </c>
      <c r="D1069" s="10" t="s">
        <v>8512</v>
      </c>
      <c r="E1069" s="10" t="s">
        <v>8512</v>
      </c>
      <c r="F1069" s="10" t="s">
        <v>717</v>
      </c>
      <c r="G1069" s="10" t="s">
        <v>6317</v>
      </c>
      <c r="H1069" s="11">
        <v>39231</v>
      </c>
      <c r="I1069" s="10">
        <v>2007</v>
      </c>
      <c r="J1069" s="10" t="s">
        <v>8512</v>
      </c>
      <c r="K1069" s="10">
        <v>294</v>
      </c>
      <c r="L1069" s="10" t="s">
        <v>10938</v>
      </c>
      <c r="M1069" s="10">
        <v>1</v>
      </c>
      <c r="N1069" s="10"/>
      <c r="O1069" s="10"/>
      <c r="P1069" s="10" t="s">
        <v>10939</v>
      </c>
      <c r="Q1069" s="10" t="s">
        <v>10940</v>
      </c>
      <c r="R1069" s="10" t="s">
        <v>10941</v>
      </c>
      <c r="S1069" s="10" t="s">
        <v>53</v>
      </c>
      <c r="T1069" s="10" t="s">
        <v>54</v>
      </c>
    </row>
    <row r="1070" spans="1:20" ht="14.5" x14ac:dyDescent="0.35">
      <c r="A1070" s="10" t="s">
        <v>10942</v>
      </c>
      <c r="B1070" s="10" t="str">
        <f>"9781846633386"</f>
        <v>9781846633386</v>
      </c>
      <c r="C1070" s="10" t="str">
        <f>"9781846633393"</f>
        <v>9781846633393</v>
      </c>
      <c r="D1070" s="10" t="s">
        <v>8699</v>
      </c>
      <c r="E1070" s="10" t="s">
        <v>8699</v>
      </c>
      <c r="F1070" s="10" t="s">
        <v>1019</v>
      </c>
      <c r="G1070" s="10" t="s">
        <v>6352</v>
      </c>
      <c r="H1070" s="11">
        <v>39101</v>
      </c>
      <c r="I1070" s="10">
        <v>2007</v>
      </c>
      <c r="J1070" s="10" t="s">
        <v>115</v>
      </c>
      <c r="K1070" s="10">
        <v>99</v>
      </c>
      <c r="L1070" s="10" t="s">
        <v>10943</v>
      </c>
      <c r="M1070" s="10">
        <v>1</v>
      </c>
      <c r="N1070" s="10" t="s">
        <v>10944</v>
      </c>
      <c r="O1070" s="10">
        <v>108</v>
      </c>
      <c r="P1070" s="10" t="s">
        <v>10945</v>
      </c>
      <c r="Q1070" s="10">
        <v>20.710999999999999</v>
      </c>
      <c r="R1070" s="10" t="s">
        <v>10946</v>
      </c>
      <c r="S1070" s="10" t="s">
        <v>53</v>
      </c>
      <c r="T1070" s="10" t="s">
        <v>10302</v>
      </c>
    </row>
    <row r="1071" spans="1:20" ht="14.5" x14ac:dyDescent="0.35">
      <c r="A1071" s="10" t="s">
        <v>10947</v>
      </c>
      <c r="B1071" s="10" t="str">
        <f>"9781846633485"</f>
        <v>9781846633485</v>
      </c>
      <c r="C1071" s="10" t="str">
        <f>"9781846633492"</f>
        <v>9781846633492</v>
      </c>
      <c r="D1071" s="10" t="s">
        <v>8699</v>
      </c>
      <c r="E1071" s="10" t="s">
        <v>8699</v>
      </c>
      <c r="F1071" s="10" t="s">
        <v>1019</v>
      </c>
      <c r="G1071" s="10" t="s">
        <v>6352</v>
      </c>
      <c r="H1071" s="11">
        <v>39094</v>
      </c>
      <c r="I1071" s="10">
        <v>2007</v>
      </c>
      <c r="J1071" s="10" t="s">
        <v>115</v>
      </c>
      <c r="K1071" s="10">
        <v>109</v>
      </c>
      <c r="L1071" s="10" t="s">
        <v>10948</v>
      </c>
      <c r="M1071" s="10">
        <v>1</v>
      </c>
      <c r="N1071" s="10" t="s">
        <v>10949</v>
      </c>
      <c r="O1071" s="10">
        <v>28</v>
      </c>
      <c r="P1071" s="10" t="s">
        <v>10950</v>
      </c>
      <c r="Q1071" s="10">
        <v>20</v>
      </c>
      <c r="R1071" s="10" t="s">
        <v>10951</v>
      </c>
      <c r="S1071" s="10" t="s">
        <v>53</v>
      </c>
      <c r="T1071" s="10" t="s">
        <v>10302</v>
      </c>
    </row>
    <row r="1072" spans="1:20" ht="14.5" x14ac:dyDescent="0.35">
      <c r="A1072" s="10" t="s">
        <v>10952</v>
      </c>
      <c r="B1072" s="10" t="str">
        <f>"9781846633744"</f>
        <v>9781846633744</v>
      </c>
      <c r="C1072" s="10" t="str">
        <f>"9781846633751"</f>
        <v>9781846633751</v>
      </c>
      <c r="D1072" s="10" t="s">
        <v>8699</v>
      </c>
      <c r="E1072" s="10" t="s">
        <v>8699</v>
      </c>
      <c r="F1072" s="10" t="s">
        <v>1019</v>
      </c>
      <c r="G1072" s="10" t="s">
        <v>6352</v>
      </c>
      <c r="H1072" s="11">
        <v>39157</v>
      </c>
      <c r="I1072" s="10">
        <v>2007</v>
      </c>
      <c r="J1072" s="10" t="s">
        <v>115</v>
      </c>
      <c r="K1072" s="10">
        <v>81</v>
      </c>
      <c r="L1072" s="10" t="s">
        <v>10953</v>
      </c>
      <c r="M1072" s="10">
        <v>1</v>
      </c>
      <c r="N1072" s="10" t="s">
        <v>10954</v>
      </c>
      <c r="O1072" s="10">
        <v>19</v>
      </c>
      <c r="P1072" s="10" t="s">
        <v>10955</v>
      </c>
      <c r="Q1072" s="10">
        <v>300</v>
      </c>
      <c r="R1072" s="10" t="s">
        <v>10956</v>
      </c>
      <c r="S1072" s="10" t="s">
        <v>53</v>
      </c>
      <c r="T1072" s="10" t="s">
        <v>10957</v>
      </c>
    </row>
    <row r="1073" spans="1:20" ht="14.5" x14ac:dyDescent="0.35">
      <c r="A1073" s="10" t="s">
        <v>10958</v>
      </c>
      <c r="B1073" s="10" t="str">
        <f>"9780123725455"</f>
        <v>9780123725455</v>
      </c>
      <c r="C1073" s="10" t="str">
        <f>"9780080475042"</f>
        <v>9780080475042</v>
      </c>
      <c r="D1073" s="10" t="s">
        <v>8547</v>
      </c>
      <c r="E1073" s="10" t="s">
        <v>8548</v>
      </c>
      <c r="F1073" s="10" t="s">
        <v>1232</v>
      </c>
      <c r="G1073" s="10" t="s">
        <v>6317</v>
      </c>
      <c r="H1073" s="11">
        <v>39143</v>
      </c>
      <c r="I1073" s="10">
        <v>2007</v>
      </c>
      <c r="J1073" s="10" t="s">
        <v>1231</v>
      </c>
      <c r="K1073" s="10">
        <v>363</v>
      </c>
      <c r="L1073" s="10" t="s">
        <v>10959</v>
      </c>
      <c r="M1073" s="10">
        <v>1</v>
      </c>
      <c r="N1073" s="10" t="s">
        <v>8550</v>
      </c>
      <c r="O1073" s="10" t="s">
        <v>10960</v>
      </c>
      <c r="P1073" s="10" t="s">
        <v>10961</v>
      </c>
      <c r="Q1073" s="10" t="s">
        <v>8067</v>
      </c>
      <c r="R1073" s="10" t="s">
        <v>6415</v>
      </c>
      <c r="S1073" s="10" t="s">
        <v>53</v>
      </c>
      <c r="T1073" s="10" t="s">
        <v>54</v>
      </c>
    </row>
    <row r="1074" spans="1:20" ht="14.5" x14ac:dyDescent="0.35">
      <c r="A1074" s="10" t="s">
        <v>10962</v>
      </c>
      <c r="B1074" s="10" t="str">
        <f>"9780851994444"</f>
        <v>9780851994444</v>
      </c>
      <c r="C1074" s="10" t="str">
        <f>"9780851999272"</f>
        <v>9780851999272</v>
      </c>
      <c r="D1074" s="10" t="s">
        <v>10963</v>
      </c>
      <c r="E1074" s="10" t="s">
        <v>10963</v>
      </c>
      <c r="F1074" s="10" t="s">
        <v>10964</v>
      </c>
      <c r="G1074" s="10" t="s">
        <v>6352</v>
      </c>
      <c r="H1074" s="11">
        <v>36526</v>
      </c>
      <c r="I1074" s="10">
        <v>2000</v>
      </c>
      <c r="J1074" s="10" t="s">
        <v>10965</v>
      </c>
      <c r="K1074" s="10">
        <v>216</v>
      </c>
      <c r="L1074" s="10" t="s">
        <v>10966</v>
      </c>
      <c r="M1074" s="10">
        <v>1</v>
      </c>
      <c r="N1074" s="10"/>
      <c r="O1074" s="10"/>
      <c r="P1074" s="10" t="s">
        <v>10967</v>
      </c>
      <c r="Q1074" s="10" t="s">
        <v>10968</v>
      </c>
      <c r="R1074" s="10" t="s">
        <v>10969</v>
      </c>
      <c r="S1074" s="10" t="s">
        <v>53</v>
      </c>
      <c r="T1074" s="10" t="s">
        <v>10970</v>
      </c>
    </row>
    <row r="1075" spans="1:20" ht="14.5" x14ac:dyDescent="0.35">
      <c r="A1075" s="10" t="s">
        <v>10971</v>
      </c>
      <c r="B1075" s="10" t="str">
        <f>"9780335216529"</f>
        <v>9780335216529</v>
      </c>
      <c r="C1075" s="10" t="str">
        <f>"9780335226528"</f>
        <v>9780335226528</v>
      </c>
      <c r="D1075" s="10" t="s">
        <v>10342</v>
      </c>
      <c r="E1075" s="10" t="s">
        <v>10343</v>
      </c>
      <c r="F1075" s="10" t="s">
        <v>10344</v>
      </c>
      <c r="G1075" s="10" t="s">
        <v>6352</v>
      </c>
      <c r="H1075" s="11">
        <v>38443</v>
      </c>
      <c r="I1075" s="10">
        <v>2005</v>
      </c>
      <c r="J1075" s="10" t="s">
        <v>10345</v>
      </c>
      <c r="K1075" s="10">
        <v>154</v>
      </c>
      <c r="L1075" s="10" t="s">
        <v>10972</v>
      </c>
      <c r="M1075" s="10">
        <v>1</v>
      </c>
      <c r="N1075" s="10" t="s">
        <v>10408</v>
      </c>
      <c r="O1075" s="10"/>
      <c r="P1075" s="10" t="s">
        <v>10973</v>
      </c>
      <c r="Q1075" s="10"/>
      <c r="R1075" s="10" t="s">
        <v>10974</v>
      </c>
      <c r="S1075" s="10" t="s">
        <v>53</v>
      </c>
      <c r="T1075" s="10" t="s">
        <v>54</v>
      </c>
    </row>
    <row r="1076" spans="1:20" ht="14.5" x14ac:dyDescent="0.35">
      <c r="A1076" s="10" t="s">
        <v>10975</v>
      </c>
      <c r="B1076" s="10" t="str">
        <f>"9780335212071"</f>
        <v>9780335212071</v>
      </c>
      <c r="C1076" s="10" t="str">
        <f>"9780335226542"</f>
        <v>9780335226542</v>
      </c>
      <c r="D1076" s="10" t="s">
        <v>10342</v>
      </c>
      <c r="E1076" s="10" t="s">
        <v>10343</v>
      </c>
      <c r="F1076" s="10" t="s">
        <v>10344</v>
      </c>
      <c r="G1076" s="10" t="s">
        <v>6352</v>
      </c>
      <c r="H1076" s="11">
        <v>37865</v>
      </c>
      <c r="I1076" s="10">
        <v>2003</v>
      </c>
      <c r="J1076" s="10" t="s">
        <v>10345</v>
      </c>
      <c r="K1076" s="10">
        <v>157</v>
      </c>
      <c r="L1076" s="10" t="s">
        <v>10976</v>
      </c>
      <c r="M1076" s="10">
        <v>1</v>
      </c>
      <c r="N1076" s="10" t="s">
        <v>10347</v>
      </c>
      <c r="O1076" s="10"/>
      <c r="P1076" s="10" t="s">
        <v>10977</v>
      </c>
      <c r="Q1076" s="10">
        <v>507.12</v>
      </c>
      <c r="R1076" s="10" t="s">
        <v>10978</v>
      </c>
      <c r="S1076" s="10" t="s">
        <v>53</v>
      </c>
      <c r="T1076" s="10" t="s">
        <v>10979</v>
      </c>
    </row>
    <row r="1077" spans="1:20" ht="14.5" x14ac:dyDescent="0.35">
      <c r="A1077" s="10" t="s">
        <v>10980</v>
      </c>
      <c r="B1077" s="10" t="str">
        <f>"9780335203819"</f>
        <v>9780335203819</v>
      </c>
      <c r="C1077" s="10" t="str">
        <f>"9780335226351"</f>
        <v>9780335226351</v>
      </c>
      <c r="D1077" s="10" t="s">
        <v>10342</v>
      </c>
      <c r="E1077" s="10" t="s">
        <v>10343</v>
      </c>
      <c r="F1077" s="10" t="s">
        <v>10344</v>
      </c>
      <c r="G1077" s="10" t="s">
        <v>6352</v>
      </c>
      <c r="H1077" s="11">
        <v>37712</v>
      </c>
      <c r="I1077" s="10">
        <v>2003</v>
      </c>
      <c r="J1077" s="10" t="s">
        <v>10345</v>
      </c>
      <c r="K1077" s="10">
        <v>326</v>
      </c>
      <c r="L1077" s="10" t="s">
        <v>10981</v>
      </c>
      <c r="M1077" s="10">
        <v>1</v>
      </c>
      <c r="N1077" s="10" t="s">
        <v>10347</v>
      </c>
      <c r="O1077" s="10"/>
      <c r="P1077" s="10" t="s">
        <v>10982</v>
      </c>
      <c r="Q1077" s="10">
        <v>370.15100000000001</v>
      </c>
      <c r="R1077" s="10" t="s">
        <v>10983</v>
      </c>
      <c r="S1077" s="10" t="s">
        <v>53</v>
      </c>
      <c r="T1077" s="10" t="s">
        <v>54</v>
      </c>
    </row>
    <row r="1078" spans="1:20" ht="14.5" x14ac:dyDescent="0.35">
      <c r="A1078" s="10" t="s">
        <v>10984</v>
      </c>
      <c r="B1078" s="10" t="str">
        <f>"9780335217441"</f>
        <v>9780335217441</v>
      </c>
      <c r="C1078" s="10" t="str">
        <f>"9780335226627"</f>
        <v>9780335226627</v>
      </c>
      <c r="D1078" s="10" t="s">
        <v>10342</v>
      </c>
      <c r="E1078" s="10" t="s">
        <v>10343</v>
      </c>
      <c r="F1078" s="10" t="s">
        <v>10354</v>
      </c>
      <c r="G1078" s="10" t="s">
        <v>6352</v>
      </c>
      <c r="H1078" s="11">
        <v>38657</v>
      </c>
      <c r="I1078" s="10">
        <v>2005</v>
      </c>
      <c r="J1078" s="10" t="s">
        <v>10345</v>
      </c>
      <c r="K1078" s="10">
        <v>168</v>
      </c>
      <c r="L1078" s="10" t="s">
        <v>10985</v>
      </c>
      <c r="M1078" s="10">
        <v>1</v>
      </c>
      <c r="N1078" s="10" t="s">
        <v>10347</v>
      </c>
      <c r="O1078" s="10"/>
      <c r="P1078" s="10" t="s">
        <v>10986</v>
      </c>
      <c r="Q1078" s="10">
        <v>372.137</v>
      </c>
      <c r="R1078" s="10" t="s">
        <v>10987</v>
      </c>
      <c r="S1078" s="10" t="s">
        <v>53</v>
      </c>
      <c r="T1078" s="10" t="s">
        <v>54</v>
      </c>
    </row>
    <row r="1079" spans="1:20" ht="14.5" x14ac:dyDescent="0.35">
      <c r="A1079" s="10" t="s">
        <v>10988</v>
      </c>
      <c r="B1079" s="10" t="str">
        <f>"9781556525988"</f>
        <v>9781556525988</v>
      </c>
      <c r="C1079" s="10" t="str">
        <f>"9781556527036"</f>
        <v>9781556527036</v>
      </c>
      <c r="D1079" s="10" t="s">
        <v>9215</v>
      </c>
      <c r="E1079" s="10" t="s">
        <v>10989</v>
      </c>
      <c r="F1079" s="10" t="s">
        <v>324</v>
      </c>
      <c r="G1079" s="10" t="s">
        <v>6317</v>
      </c>
      <c r="H1079" s="11">
        <v>39173</v>
      </c>
      <c r="I1079" s="10">
        <v>2007</v>
      </c>
      <c r="J1079" s="10" t="s">
        <v>10989</v>
      </c>
      <c r="K1079" s="10">
        <v>145</v>
      </c>
      <c r="L1079" s="10" t="s">
        <v>10990</v>
      </c>
      <c r="M1079" s="10"/>
      <c r="N1079" s="10" t="s">
        <v>10991</v>
      </c>
      <c r="O1079" s="10"/>
      <c r="P1079" s="10" t="s">
        <v>10992</v>
      </c>
      <c r="Q1079" s="10">
        <v>916</v>
      </c>
      <c r="R1079" s="10" t="s">
        <v>10993</v>
      </c>
      <c r="S1079" s="10" t="s">
        <v>53</v>
      </c>
      <c r="T1079" s="10" t="s">
        <v>7711</v>
      </c>
    </row>
    <row r="1080" spans="1:20" ht="14.5" x14ac:dyDescent="0.35">
      <c r="A1080" s="10" t="s">
        <v>10994</v>
      </c>
      <c r="B1080" s="10" t="str">
        <f>"9781853599521"</f>
        <v>9781853599521</v>
      </c>
      <c r="C1080" s="10" t="str">
        <f>"9781853599538"</f>
        <v>9781853599538</v>
      </c>
      <c r="D1080" s="10" t="s">
        <v>8394</v>
      </c>
      <c r="E1080" s="10" t="s">
        <v>8395</v>
      </c>
      <c r="F1080" s="10" t="s">
        <v>8396</v>
      </c>
      <c r="G1080" s="10" t="s">
        <v>6352</v>
      </c>
      <c r="H1080" s="11">
        <v>39153</v>
      </c>
      <c r="I1080" s="10">
        <v>2007</v>
      </c>
      <c r="J1080" s="10" t="s">
        <v>8395</v>
      </c>
      <c r="K1080" s="10">
        <v>303</v>
      </c>
      <c r="L1080" s="10" t="s">
        <v>10995</v>
      </c>
      <c r="M1080" s="10">
        <v>1</v>
      </c>
      <c r="N1080" s="10" t="s">
        <v>9655</v>
      </c>
      <c r="O1080" s="10">
        <v>4</v>
      </c>
      <c r="P1080" s="10" t="s">
        <v>10996</v>
      </c>
      <c r="Q1080" s="10" t="s">
        <v>10997</v>
      </c>
      <c r="R1080" s="10" t="s">
        <v>10998</v>
      </c>
      <c r="S1080" s="10" t="s">
        <v>53</v>
      </c>
      <c r="T1080" s="10" t="s">
        <v>8412</v>
      </c>
    </row>
    <row r="1081" spans="1:20" ht="14.5" x14ac:dyDescent="0.35">
      <c r="A1081" s="10" t="s">
        <v>10999</v>
      </c>
      <c r="B1081" s="10" t="str">
        <f>"9781853599606"</f>
        <v>9781853599606</v>
      </c>
      <c r="C1081" s="10" t="str">
        <f>"9781853599613"</f>
        <v>9781853599613</v>
      </c>
      <c r="D1081" s="10" t="s">
        <v>8394</v>
      </c>
      <c r="E1081" s="10" t="s">
        <v>8395</v>
      </c>
      <c r="F1081" s="10" t="s">
        <v>8396</v>
      </c>
      <c r="G1081" s="10" t="s">
        <v>6352</v>
      </c>
      <c r="H1081" s="11">
        <v>39153</v>
      </c>
      <c r="I1081" s="10">
        <v>2007</v>
      </c>
      <c r="J1081" s="10" t="s">
        <v>8395</v>
      </c>
      <c r="K1081" s="10">
        <v>282</v>
      </c>
      <c r="L1081" s="10" t="s">
        <v>11000</v>
      </c>
      <c r="M1081" s="10">
        <v>1</v>
      </c>
      <c r="N1081" s="10" t="s">
        <v>8398</v>
      </c>
      <c r="O1081" s="10">
        <v>14</v>
      </c>
      <c r="P1081" s="10" t="s">
        <v>11001</v>
      </c>
      <c r="Q1081" s="10">
        <v>407.1</v>
      </c>
      <c r="R1081" s="10" t="s">
        <v>11002</v>
      </c>
      <c r="S1081" s="10" t="s">
        <v>53</v>
      </c>
      <c r="T1081" s="10" t="s">
        <v>6616</v>
      </c>
    </row>
    <row r="1082" spans="1:20" ht="14.5" x14ac:dyDescent="0.35">
      <c r="A1082" s="10" t="s">
        <v>11003</v>
      </c>
      <c r="B1082" s="10" t="str">
        <f>"9781569762035"</f>
        <v>9781569762035</v>
      </c>
      <c r="C1082" s="10" t="str">
        <f>"9781569762189"</f>
        <v>9781569762189</v>
      </c>
      <c r="D1082" s="10" t="s">
        <v>9215</v>
      </c>
      <c r="E1082" s="10" t="s">
        <v>10989</v>
      </c>
      <c r="F1082" s="10" t="s">
        <v>324</v>
      </c>
      <c r="G1082" s="10" t="s">
        <v>6317</v>
      </c>
      <c r="H1082" s="11">
        <v>38868</v>
      </c>
      <c r="I1082" s="10">
        <v>2006</v>
      </c>
      <c r="J1082" s="10" t="s">
        <v>10989</v>
      </c>
      <c r="K1082" s="10">
        <v>241</v>
      </c>
      <c r="L1082" s="10" t="s">
        <v>11004</v>
      </c>
      <c r="M1082" s="10"/>
      <c r="N1082" s="10"/>
      <c r="O1082" s="10"/>
      <c r="P1082" s="10" t="s">
        <v>11005</v>
      </c>
      <c r="Q1082" s="10">
        <v>372.7</v>
      </c>
      <c r="R1082" s="10" t="s">
        <v>11006</v>
      </c>
      <c r="S1082" s="10" t="s">
        <v>53</v>
      </c>
      <c r="T1082" s="10" t="s">
        <v>6448</v>
      </c>
    </row>
    <row r="1083" spans="1:20" ht="14.5" x14ac:dyDescent="0.35">
      <c r="A1083" s="10" t="s">
        <v>11007</v>
      </c>
      <c r="B1083" s="10" t="str">
        <f>"9780520251991"</f>
        <v>9780520251991</v>
      </c>
      <c r="C1083" s="10" t="str">
        <f>"9780520933941"</f>
        <v>9780520933941</v>
      </c>
      <c r="D1083" s="10" t="s">
        <v>8512</v>
      </c>
      <c r="E1083" s="10" t="s">
        <v>8512</v>
      </c>
      <c r="F1083" s="10" t="s">
        <v>717</v>
      </c>
      <c r="G1083" s="10" t="s">
        <v>6317</v>
      </c>
      <c r="H1083" s="11">
        <v>39198</v>
      </c>
      <c r="I1083" s="10">
        <v>2007</v>
      </c>
      <c r="J1083" s="10" t="s">
        <v>8512</v>
      </c>
      <c r="K1083" s="10">
        <v>225</v>
      </c>
      <c r="L1083" s="10" t="s">
        <v>11008</v>
      </c>
      <c r="M1083" s="10">
        <v>1</v>
      </c>
      <c r="N1083" s="10"/>
      <c r="O1083" s="10"/>
      <c r="P1083" s="10" t="s">
        <v>11009</v>
      </c>
      <c r="Q1083" s="10" t="s">
        <v>11010</v>
      </c>
      <c r="R1083" s="10" t="s">
        <v>11011</v>
      </c>
      <c r="S1083" s="10" t="s">
        <v>53</v>
      </c>
      <c r="T1083" s="10" t="s">
        <v>54</v>
      </c>
    </row>
    <row r="1084" spans="1:20" ht="14.5" x14ac:dyDescent="0.35">
      <c r="A1084" s="10" t="s">
        <v>11012</v>
      </c>
      <c r="B1084" s="10" t="str">
        <f>"9780127500539"</f>
        <v>9780127500539</v>
      </c>
      <c r="C1084" s="10" t="str">
        <f>"9780080491127"</f>
        <v>9780080491127</v>
      </c>
      <c r="D1084" s="10" t="s">
        <v>8547</v>
      </c>
      <c r="E1084" s="10" t="s">
        <v>8548</v>
      </c>
      <c r="F1084" s="10" t="s">
        <v>1232</v>
      </c>
      <c r="G1084" s="10" t="s">
        <v>6317</v>
      </c>
      <c r="H1084" s="11">
        <v>37350</v>
      </c>
      <c r="I1084" s="10">
        <v>2002</v>
      </c>
      <c r="J1084" s="10" t="s">
        <v>1231</v>
      </c>
      <c r="K1084" s="10">
        <v>385</v>
      </c>
      <c r="L1084" s="10" t="s">
        <v>11013</v>
      </c>
      <c r="M1084" s="10">
        <v>1</v>
      </c>
      <c r="N1084" s="10" t="s">
        <v>8550</v>
      </c>
      <c r="O1084" s="10" t="s">
        <v>10960</v>
      </c>
      <c r="P1084" s="10" t="s">
        <v>11014</v>
      </c>
      <c r="Q1084" s="10">
        <v>370.154</v>
      </c>
      <c r="R1084" s="10" t="s">
        <v>11015</v>
      </c>
      <c r="S1084" s="10" t="s">
        <v>53</v>
      </c>
      <c r="T1084" s="10" t="s">
        <v>54</v>
      </c>
    </row>
    <row r="1085" spans="1:20" ht="14.5" x14ac:dyDescent="0.35">
      <c r="A1085" s="10" t="s">
        <v>11016</v>
      </c>
      <c r="B1085" s="10" t="str">
        <f>"9780127625331"</f>
        <v>9780127625331</v>
      </c>
      <c r="C1085" s="10" t="str">
        <f>"9780080491707"</f>
        <v>9780080491707</v>
      </c>
      <c r="D1085" s="10" t="s">
        <v>8547</v>
      </c>
      <c r="E1085" s="10" t="s">
        <v>8548</v>
      </c>
      <c r="F1085" s="10" t="s">
        <v>1232</v>
      </c>
      <c r="G1085" s="10" t="s">
        <v>6317</v>
      </c>
      <c r="H1085" s="11">
        <v>38251</v>
      </c>
      <c r="I1085" s="10">
        <v>2004</v>
      </c>
      <c r="J1085" s="10" t="s">
        <v>1231</v>
      </c>
      <c r="K1085" s="10">
        <v>655</v>
      </c>
      <c r="L1085" s="10" t="s">
        <v>11017</v>
      </c>
      <c r="M1085" s="10">
        <v>3</v>
      </c>
      <c r="N1085" s="10"/>
      <c r="O1085" s="10"/>
      <c r="P1085" s="10" t="s">
        <v>11018</v>
      </c>
      <c r="Q1085" s="10">
        <v>371.9</v>
      </c>
      <c r="R1085" s="10" t="s">
        <v>11019</v>
      </c>
      <c r="S1085" s="10" t="s">
        <v>53</v>
      </c>
      <c r="T1085" s="10" t="s">
        <v>54</v>
      </c>
    </row>
    <row r="1086" spans="1:20" ht="14.5" x14ac:dyDescent="0.35">
      <c r="A1086" s="10" t="s">
        <v>11020</v>
      </c>
      <c r="B1086" s="10" t="str">
        <f>"9781556526077"</f>
        <v>9781556526077</v>
      </c>
      <c r="C1086" s="10" t="str">
        <f>"9781556527098"</f>
        <v>9781556527098</v>
      </c>
      <c r="D1086" s="10" t="s">
        <v>9215</v>
      </c>
      <c r="E1086" s="10" t="s">
        <v>10989</v>
      </c>
      <c r="F1086" s="10" t="s">
        <v>324</v>
      </c>
      <c r="G1086" s="10" t="s">
        <v>6317</v>
      </c>
      <c r="H1086" s="11">
        <v>39173</v>
      </c>
      <c r="I1086" s="10">
        <v>2007</v>
      </c>
      <c r="J1086" s="10" t="s">
        <v>10989</v>
      </c>
      <c r="K1086" s="10">
        <v>209</v>
      </c>
      <c r="L1086" s="10" t="s">
        <v>11021</v>
      </c>
      <c r="M1086" s="10"/>
      <c r="N1086" s="10" t="s">
        <v>10991</v>
      </c>
      <c r="O1086" s="10"/>
      <c r="P1086" s="10" t="s">
        <v>11022</v>
      </c>
      <c r="Q1086" s="10" t="s">
        <v>11023</v>
      </c>
      <c r="R1086" s="10" t="s">
        <v>11024</v>
      </c>
      <c r="S1086" s="10" t="s">
        <v>53</v>
      </c>
      <c r="T1086" s="10" t="s">
        <v>5396</v>
      </c>
    </row>
    <row r="1087" spans="1:20" ht="14.5" x14ac:dyDescent="0.35">
      <c r="A1087" s="10" t="s">
        <v>11025</v>
      </c>
      <c r="B1087" s="10" t="str">
        <f>"9780889368941"</f>
        <v>9780889368941</v>
      </c>
      <c r="C1087" s="10" t="str">
        <f>"9781552500460"</f>
        <v>9781552500460</v>
      </c>
      <c r="D1087" s="10" t="s">
        <v>9681</v>
      </c>
      <c r="E1087" s="10" t="s">
        <v>9682</v>
      </c>
      <c r="F1087" s="10" t="s">
        <v>914</v>
      </c>
      <c r="G1087" s="10" t="s">
        <v>9536</v>
      </c>
      <c r="H1087" s="11">
        <v>36161</v>
      </c>
      <c r="I1087" s="10">
        <v>1999</v>
      </c>
      <c r="J1087" s="10" t="s">
        <v>9681</v>
      </c>
      <c r="K1087" s="10">
        <v>338</v>
      </c>
      <c r="L1087" s="10" t="s">
        <v>11026</v>
      </c>
      <c r="M1087" s="10"/>
      <c r="N1087" s="10"/>
      <c r="O1087" s="10"/>
      <c r="P1087" s="10" t="s">
        <v>11027</v>
      </c>
      <c r="Q1087" s="10" t="s">
        <v>11028</v>
      </c>
      <c r="R1087" s="10" t="s">
        <v>11029</v>
      </c>
      <c r="S1087" s="10" t="s">
        <v>5404</v>
      </c>
      <c r="T1087" s="10" t="s">
        <v>54</v>
      </c>
    </row>
    <row r="1088" spans="1:20" ht="14.5" x14ac:dyDescent="0.35">
      <c r="A1088" s="10" t="s">
        <v>11030</v>
      </c>
      <c r="B1088" s="10" t="str">
        <f>"9780335211814"</f>
        <v>9780335211814</v>
      </c>
      <c r="C1088" s="10" t="str">
        <f>"9780335227372"</f>
        <v>9780335227372</v>
      </c>
      <c r="D1088" s="10" t="s">
        <v>10342</v>
      </c>
      <c r="E1088" s="10" t="s">
        <v>10343</v>
      </c>
      <c r="F1088" s="10" t="s">
        <v>10344</v>
      </c>
      <c r="G1088" s="10" t="s">
        <v>6352</v>
      </c>
      <c r="H1088" s="11">
        <v>38443</v>
      </c>
      <c r="I1088" s="10">
        <v>2005</v>
      </c>
      <c r="J1088" s="10" t="s">
        <v>10345</v>
      </c>
      <c r="K1088" s="10">
        <v>241</v>
      </c>
      <c r="L1088" s="10" t="s">
        <v>11031</v>
      </c>
      <c r="M1088" s="10">
        <v>1</v>
      </c>
      <c r="N1088" s="10" t="s">
        <v>10347</v>
      </c>
      <c r="O1088" s="10"/>
      <c r="P1088" s="10" t="s">
        <v>11032</v>
      </c>
      <c r="Q1088" s="10">
        <v>370.11509410000002</v>
      </c>
      <c r="R1088" s="10" t="s">
        <v>11033</v>
      </c>
      <c r="S1088" s="10" t="s">
        <v>53</v>
      </c>
      <c r="T1088" s="10" t="s">
        <v>54</v>
      </c>
    </row>
    <row r="1089" spans="1:20" ht="14.5" x14ac:dyDescent="0.35">
      <c r="A1089" s="10" t="s">
        <v>11034</v>
      </c>
      <c r="B1089" s="10" t="str">
        <f>"9780335206001"</f>
        <v>9780335206001</v>
      </c>
      <c r="C1089" s="10" t="str">
        <f>"9780335227464"</f>
        <v>9780335227464</v>
      </c>
      <c r="D1089" s="10" t="s">
        <v>10342</v>
      </c>
      <c r="E1089" s="10" t="s">
        <v>10343</v>
      </c>
      <c r="F1089" s="10" t="s">
        <v>10354</v>
      </c>
      <c r="G1089" s="10" t="s">
        <v>6352</v>
      </c>
      <c r="H1089" s="11">
        <v>37956</v>
      </c>
      <c r="I1089" s="10">
        <v>2003</v>
      </c>
      <c r="J1089" s="10" t="s">
        <v>10345</v>
      </c>
      <c r="K1089" s="10">
        <v>198</v>
      </c>
      <c r="L1089" s="10" t="s">
        <v>11035</v>
      </c>
      <c r="M1089" s="10">
        <v>1</v>
      </c>
      <c r="N1089" s="10" t="s">
        <v>10347</v>
      </c>
      <c r="O1089" s="10"/>
      <c r="P1089" s="10" t="s">
        <v>11036</v>
      </c>
      <c r="Q1089" s="10" t="s">
        <v>11037</v>
      </c>
      <c r="R1089" s="10" t="s">
        <v>11038</v>
      </c>
      <c r="S1089" s="10" t="s">
        <v>53</v>
      </c>
      <c r="T1089" s="10" t="s">
        <v>6363</v>
      </c>
    </row>
    <row r="1090" spans="1:20" ht="14.5" x14ac:dyDescent="0.35">
      <c r="A1090" s="10" t="s">
        <v>11039</v>
      </c>
      <c r="B1090" s="10" t="str">
        <f>"9780335217786"</f>
        <v>9780335217786</v>
      </c>
      <c r="C1090" s="10" t="str">
        <f>"9780335227501"</f>
        <v>9780335227501</v>
      </c>
      <c r="D1090" s="10" t="s">
        <v>10342</v>
      </c>
      <c r="E1090" s="10" t="s">
        <v>10343</v>
      </c>
      <c r="F1090" s="10" t="s">
        <v>10344</v>
      </c>
      <c r="G1090" s="10" t="s">
        <v>6352</v>
      </c>
      <c r="H1090" s="11">
        <v>38838</v>
      </c>
      <c r="I1090" s="10">
        <v>2006</v>
      </c>
      <c r="J1090" s="10" t="s">
        <v>10345</v>
      </c>
      <c r="K1090" s="10">
        <v>177</v>
      </c>
      <c r="L1090" s="10" t="s">
        <v>11040</v>
      </c>
      <c r="M1090" s="10">
        <v>2</v>
      </c>
      <c r="N1090" s="10" t="s">
        <v>10347</v>
      </c>
      <c r="O1090" s="10"/>
      <c r="P1090" s="10" t="s">
        <v>11041</v>
      </c>
      <c r="Q1090" s="10">
        <v>372.70440000000002</v>
      </c>
      <c r="R1090" s="10" t="s">
        <v>11042</v>
      </c>
      <c r="S1090" s="10" t="s">
        <v>53</v>
      </c>
      <c r="T1090" s="10" t="s">
        <v>7425</v>
      </c>
    </row>
    <row r="1091" spans="1:20" ht="14.5" x14ac:dyDescent="0.35">
      <c r="A1091" s="10" t="s">
        <v>11043</v>
      </c>
      <c r="B1091" s="10" t="str">
        <f>"9780335215317"</f>
        <v>9780335215317</v>
      </c>
      <c r="C1091" s="10" t="str">
        <f>"9780335232710"</f>
        <v>9780335232710</v>
      </c>
      <c r="D1091" s="10" t="s">
        <v>10342</v>
      </c>
      <c r="E1091" s="10" t="s">
        <v>10343</v>
      </c>
      <c r="F1091" s="10" t="s">
        <v>10344</v>
      </c>
      <c r="G1091" s="10" t="s">
        <v>6352</v>
      </c>
      <c r="H1091" s="11">
        <v>38200</v>
      </c>
      <c r="I1091" s="10">
        <v>2004</v>
      </c>
      <c r="J1091" s="10" t="s">
        <v>10345</v>
      </c>
      <c r="K1091" s="10">
        <v>214</v>
      </c>
      <c r="L1091" s="10" t="s">
        <v>11044</v>
      </c>
      <c r="M1091" s="10">
        <v>1</v>
      </c>
      <c r="N1091" s="10"/>
      <c r="O1091" s="10"/>
      <c r="P1091" s="10" t="s">
        <v>11045</v>
      </c>
      <c r="Q1091" s="10"/>
      <c r="R1091" s="10" t="s">
        <v>11046</v>
      </c>
      <c r="S1091" s="10" t="s">
        <v>53</v>
      </c>
      <c r="T1091" s="10" t="s">
        <v>54</v>
      </c>
    </row>
    <row r="1092" spans="1:20" ht="14.5" x14ac:dyDescent="0.35">
      <c r="A1092" s="10" t="s">
        <v>11047</v>
      </c>
      <c r="B1092" s="10" t="str">
        <f>"9780335217977"</f>
        <v>9780335217977</v>
      </c>
      <c r="C1092" s="10" t="str">
        <f>"9780335227884"</f>
        <v>9780335227884</v>
      </c>
      <c r="D1092" s="10" t="s">
        <v>10342</v>
      </c>
      <c r="E1092" s="10" t="s">
        <v>10343</v>
      </c>
      <c r="F1092" s="10" t="s">
        <v>10344</v>
      </c>
      <c r="G1092" s="10" t="s">
        <v>6352</v>
      </c>
      <c r="H1092" s="11">
        <v>38899</v>
      </c>
      <c r="I1092" s="10">
        <v>2006</v>
      </c>
      <c r="J1092" s="10" t="s">
        <v>10345</v>
      </c>
      <c r="K1092" s="10">
        <v>172</v>
      </c>
      <c r="L1092" s="10" t="s">
        <v>11048</v>
      </c>
      <c r="M1092" s="10">
        <v>1</v>
      </c>
      <c r="N1092" s="10" t="s">
        <v>10408</v>
      </c>
      <c r="O1092" s="10"/>
      <c r="P1092" s="10" t="s">
        <v>11049</v>
      </c>
      <c r="Q1092" s="10">
        <v>378</v>
      </c>
      <c r="R1092" s="10" t="s">
        <v>11050</v>
      </c>
      <c r="S1092" s="10" t="s">
        <v>53</v>
      </c>
      <c r="T1092" s="10" t="s">
        <v>54</v>
      </c>
    </row>
    <row r="1093" spans="1:20" ht="14.5" x14ac:dyDescent="0.35">
      <c r="A1093" s="10" t="s">
        <v>11051</v>
      </c>
      <c r="B1093" s="10" t="str">
        <f>"9780335216581"</f>
        <v>9780335216581</v>
      </c>
      <c r="C1093" s="10" t="str">
        <f>"9780335227952"</f>
        <v>9780335227952</v>
      </c>
      <c r="D1093" s="10" t="s">
        <v>10342</v>
      </c>
      <c r="E1093" s="10" t="s">
        <v>10343</v>
      </c>
      <c r="F1093" s="10" t="s">
        <v>10354</v>
      </c>
      <c r="G1093" s="10" t="s">
        <v>6352</v>
      </c>
      <c r="H1093" s="11">
        <v>38687</v>
      </c>
      <c r="I1093" s="10">
        <v>2005</v>
      </c>
      <c r="J1093" s="10" t="s">
        <v>10345</v>
      </c>
      <c r="K1093" s="10">
        <v>238</v>
      </c>
      <c r="L1093" s="10" t="s">
        <v>11052</v>
      </c>
      <c r="M1093" s="10">
        <v>1</v>
      </c>
      <c r="N1093" s="10" t="s">
        <v>10347</v>
      </c>
      <c r="O1093" s="10"/>
      <c r="P1093" s="10" t="s">
        <v>11053</v>
      </c>
      <c r="Q1093" s="10">
        <v>300.72000000000003</v>
      </c>
      <c r="R1093" s="10" t="s">
        <v>11054</v>
      </c>
      <c r="S1093" s="10" t="s">
        <v>53</v>
      </c>
      <c r="T1093" s="10" t="s">
        <v>6472</v>
      </c>
    </row>
    <row r="1094" spans="1:20" ht="14.5" x14ac:dyDescent="0.35">
      <c r="A1094" s="10" t="s">
        <v>11055</v>
      </c>
      <c r="B1094" s="10" t="str">
        <f>"9780335213344"</f>
        <v>9780335213344</v>
      </c>
      <c r="C1094" s="10" t="str">
        <f>"9780335228058"</f>
        <v>9780335228058</v>
      </c>
      <c r="D1094" s="10" t="s">
        <v>10342</v>
      </c>
      <c r="E1094" s="10" t="s">
        <v>10343</v>
      </c>
      <c r="F1094" s="10" t="s">
        <v>10354</v>
      </c>
      <c r="G1094" s="10" t="s">
        <v>6352</v>
      </c>
      <c r="H1094" s="11">
        <v>38047</v>
      </c>
      <c r="I1094" s="10">
        <v>2004</v>
      </c>
      <c r="J1094" s="10" t="s">
        <v>10345</v>
      </c>
      <c r="K1094" s="10">
        <v>252</v>
      </c>
      <c r="L1094" s="10" t="s">
        <v>11056</v>
      </c>
      <c r="M1094" s="10">
        <v>1</v>
      </c>
      <c r="N1094" s="10" t="s">
        <v>10347</v>
      </c>
      <c r="O1094" s="10"/>
      <c r="P1094" s="10" t="s">
        <v>11057</v>
      </c>
      <c r="Q1094" s="10">
        <v>370.72</v>
      </c>
      <c r="R1094" s="10" t="s">
        <v>11058</v>
      </c>
      <c r="S1094" s="10" t="s">
        <v>53</v>
      </c>
      <c r="T1094" s="10" t="s">
        <v>54</v>
      </c>
    </row>
    <row r="1095" spans="1:20" ht="14.5" x14ac:dyDescent="0.35">
      <c r="A1095" s="10" t="s">
        <v>11059</v>
      </c>
      <c r="B1095" s="10" t="str">
        <f>"9780335213757"</f>
        <v>9780335213757</v>
      </c>
      <c r="C1095" s="10" t="str">
        <f>"9780335228065"</f>
        <v>9780335228065</v>
      </c>
      <c r="D1095" s="10" t="s">
        <v>10342</v>
      </c>
      <c r="E1095" s="10" t="s">
        <v>10343</v>
      </c>
      <c r="F1095" s="10" t="s">
        <v>10344</v>
      </c>
      <c r="G1095" s="10" t="s">
        <v>6352</v>
      </c>
      <c r="H1095" s="11">
        <v>37865</v>
      </c>
      <c r="I1095" s="10">
        <v>2003</v>
      </c>
      <c r="J1095" s="10" t="s">
        <v>10345</v>
      </c>
      <c r="K1095" s="10">
        <v>229</v>
      </c>
      <c r="L1095" s="10" t="s">
        <v>11060</v>
      </c>
      <c r="M1095" s="10">
        <v>1</v>
      </c>
      <c r="N1095" s="10" t="s">
        <v>10347</v>
      </c>
      <c r="O1095" s="10"/>
      <c r="P1095" s="10" t="s">
        <v>11061</v>
      </c>
      <c r="Q1095" s="10">
        <v>372.70440940999998</v>
      </c>
      <c r="R1095" s="10" t="s">
        <v>11062</v>
      </c>
      <c r="S1095" s="10" t="s">
        <v>53</v>
      </c>
      <c r="T1095" s="10" t="s">
        <v>6448</v>
      </c>
    </row>
    <row r="1096" spans="1:20" ht="14.5" x14ac:dyDescent="0.35">
      <c r="A1096" s="10" t="s">
        <v>11063</v>
      </c>
      <c r="B1096" s="10" t="str">
        <f>"9780335213054"</f>
        <v>9780335213054</v>
      </c>
      <c r="C1096" s="10" t="str">
        <f>"9780335228096"</f>
        <v>9780335228096</v>
      </c>
      <c r="D1096" s="10" t="s">
        <v>10342</v>
      </c>
      <c r="E1096" s="10" t="s">
        <v>10343</v>
      </c>
      <c r="F1096" s="10" t="s">
        <v>10354</v>
      </c>
      <c r="G1096" s="10" t="s">
        <v>6352</v>
      </c>
      <c r="H1096" s="11">
        <v>38047</v>
      </c>
      <c r="I1096" s="10">
        <v>2004</v>
      </c>
      <c r="J1096" s="10" t="s">
        <v>10345</v>
      </c>
      <c r="K1096" s="10">
        <v>246</v>
      </c>
      <c r="L1096" s="10" t="s">
        <v>11064</v>
      </c>
      <c r="M1096" s="10">
        <v>1</v>
      </c>
      <c r="N1096" s="10" t="s">
        <v>10384</v>
      </c>
      <c r="O1096" s="10"/>
      <c r="P1096" s="10" t="s">
        <v>11065</v>
      </c>
      <c r="Q1096" s="10">
        <v>378.15509409999999</v>
      </c>
      <c r="R1096" s="10" t="s">
        <v>11066</v>
      </c>
      <c r="S1096" s="10" t="s">
        <v>53</v>
      </c>
      <c r="T1096" s="10" t="s">
        <v>54</v>
      </c>
    </row>
    <row r="1097" spans="1:20" ht="14.5" x14ac:dyDescent="0.35">
      <c r="A1097" s="10" t="s">
        <v>11067</v>
      </c>
      <c r="B1097" s="10" t="str">
        <f>"9780335217533"</f>
        <v>9780335217533</v>
      </c>
      <c r="C1097" s="10" t="str">
        <f>"9780335228102"</f>
        <v>9780335228102</v>
      </c>
      <c r="D1097" s="10" t="s">
        <v>10342</v>
      </c>
      <c r="E1097" s="10" t="s">
        <v>10343</v>
      </c>
      <c r="F1097" s="10" t="s">
        <v>10354</v>
      </c>
      <c r="G1097" s="10" t="s">
        <v>6352</v>
      </c>
      <c r="H1097" s="11">
        <v>38657</v>
      </c>
      <c r="I1097" s="10">
        <v>2005</v>
      </c>
      <c r="J1097" s="10" t="s">
        <v>10345</v>
      </c>
      <c r="K1097" s="10">
        <v>290</v>
      </c>
      <c r="L1097" s="10" t="s">
        <v>11068</v>
      </c>
      <c r="M1097" s="10">
        <v>2</v>
      </c>
      <c r="N1097" s="10" t="s">
        <v>11069</v>
      </c>
      <c r="O1097" s="10"/>
      <c r="P1097" s="10" t="s">
        <v>11070</v>
      </c>
      <c r="Q1097" s="10">
        <v>379.41</v>
      </c>
      <c r="R1097" s="10" t="s">
        <v>11071</v>
      </c>
      <c r="S1097" s="10" t="s">
        <v>53</v>
      </c>
      <c r="T1097" s="10" t="s">
        <v>54</v>
      </c>
    </row>
    <row r="1098" spans="1:20" ht="14.5" x14ac:dyDescent="0.35">
      <c r="A1098" s="10" t="s">
        <v>11072</v>
      </c>
      <c r="B1098" s="10" t="str">
        <f>"9780335219179"</f>
        <v>9780335219179</v>
      </c>
      <c r="C1098" s="10" t="str">
        <f>"9780335228447"</f>
        <v>9780335228447</v>
      </c>
      <c r="D1098" s="10" t="s">
        <v>10342</v>
      </c>
      <c r="E1098" s="10" t="s">
        <v>10343</v>
      </c>
      <c r="F1098" s="10" t="s">
        <v>10344</v>
      </c>
      <c r="G1098" s="10" t="s">
        <v>6352</v>
      </c>
      <c r="H1098" s="11">
        <v>38838</v>
      </c>
      <c r="I1098" s="10">
        <v>2006</v>
      </c>
      <c r="J1098" s="10" t="s">
        <v>10345</v>
      </c>
      <c r="K1098" s="10">
        <v>229</v>
      </c>
      <c r="L1098" s="10" t="s">
        <v>11073</v>
      </c>
      <c r="M1098" s="10">
        <v>1</v>
      </c>
      <c r="N1098" s="10" t="s">
        <v>10347</v>
      </c>
      <c r="O1098" s="10"/>
      <c r="P1098" s="10" t="s">
        <v>11074</v>
      </c>
      <c r="Q1098" s="10"/>
      <c r="R1098" s="10" t="s">
        <v>11075</v>
      </c>
      <c r="S1098" s="10" t="s">
        <v>53</v>
      </c>
      <c r="T1098" s="10" t="s">
        <v>54</v>
      </c>
    </row>
    <row r="1099" spans="1:20" ht="14.5" x14ac:dyDescent="0.35">
      <c r="A1099" s="10" t="s">
        <v>11076</v>
      </c>
      <c r="B1099" s="10" t="str">
        <f>"9780335211999"</f>
        <v>9780335211999</v>
      </c>
      <c r="C1099" s="10" t="str">
        <f>"9780335228478"</f>
        <v>9780335228478</v>
      </c>
      <c r="D1099" s="10" t="s">
        <v>10342</v>
      </c>
      <c r="E1099" s="10" t="s">
        <v>10343</v>
      </c>
      <c r="F1099" s="10" t="s">
        <v>10354</v>
      </c>
      <c r="G1099" s="10" t="s">
        <v>6352</v>
      </c>
      <c r="H1099" s="11">
        <v>38047</v>
      </c>
      <c r="I1099" s="10">
        <v>2004</v>
      </c>
      <c r="J1099" s="10" t="s">
        <v>10345</v>
      </c>
      <c r="K1099" s="10">
        <v>244</v>
      </c>
      <c r="L1099" s="10" t="s">
        <v>11077</v>
      </c>
      <c r="M1099" s="10">
        <v>1</v>
      </c>
      <c r="N1099" s="10" t="s">
        <v>10347</v>
      </c>
      <c r="O1099" s="10"/>
      <c r="P1099" s="10" t="s">
        <v>11078</v>
      </c>
      <c r="Q1099" s="10">
        <v>370.7</v>
      </c>
      <c r="R1099" s="10" t="s">
        <v>11079</v>
      </c>
      <c r="S1099" s="10" t="s">
        <v>53</v>
      </c>
      <c r="T1099" s="10" t="s">
        <v>54</v>
      </c>
    </row>
    <row r="1100" spans="1:20" ht="14.5" x14ac:dyDescent="0.35">
      <c r="A1100" s="10" t="s">
        <v>11080</v>
      </c>
      <c r="B1100" s="10" t="str">
        <f>"9780335215966"</f>
        <v>9780335215966</v>
      </c>
      <c r="C1100" s="10" t="str">
        <f>"9780335228485"</f>
        <v>9780335228485</v>
      </c>
      <c r="D1100" s="10" t="s">
        <v>10342</v>
      </c>
      <c r="E1100" s="10" t="s">
        <v>10343</v>
      </c>
      <c r="F1100" s="10" t="s">
        <v>10344</v>
      </c>
      <c r="G1100" s="10" t="s">
        <v>6352</v>
      </c>
      <c r="H1100" s="11">
        <v>38443</v>
      </c>
      <c r="I1100" s="10">
        <v>2005</v>
      </c>
      <c r="J1100" s="10" t="s">
        <v>10345</v>
      </c>
      <c r="K1100" s="10">
        <v>274</v>
      </c>
      <c r="L1100" s="10" t="s">
        <v>11081</v>
      </c>
      <c r="M1100" s="10">
        <v>1</v>
      </c>
      <c r="N1100" s="10" t="s">
        <v>10347</v>
      </c>
      <c r="O1100" s="10"/>
      <c r="P1100" s="10" t="s">
        <v>11082</v>
      </c>
      <c r="Q1100" s="10">
        <v>372.21094099999999</v>
      </c>
      <c r="R1100" s="10" t="s">
        <v>11083</v>
      </c>
      <c r="S1100" s="10" t="s">
        <v>53</v>
      </c>
      <c r="T1100" s="10" t="s">
        <v>54</v>
      </c>
    </row>
    <row r="1101" spans="1:20" ht="14.5" x14ac:dyDescent="0.35">
      <c r="A1101" s="10" t="s">
        <v>11084</v>
      </c>
      <c r="B1101" s="10" t="str">
        <f>"9781843104797"</f>
        <v>9781843104797</v>
      </c>
      <c r="C1101" s="10" t="str">
        <f>"9781846425677"</f>
        <v>9781846425677</v>
      </c>
      <c r="D1101" s="10" t="s">
        <v>10516</v>
      </c>
      <c r="E1101" s="10" t="s">
        <v>10516</v>
      </c>
      <c r="F1101" s="10" t="s">
        <v>139</v>
      </c>
      <c r="G1101" s="10" t="s">
        <v>6352</v>
      </c>
      <c r="H1101" s="11">
        <v>39005</v>
      </c>
      <c r="I1101" s="10">
        <v>2006</v>
      </c>
      <c r="J1101" s="10" t="s">
        <v>10516</v>
      </c>
      <c r="K1101" s="10">
        <v>114</v>
      </c>
      <c r="L1101" s="10" t="s">
        <v>11085</v>
      </c>
      <c r="M1101" s="10">
        <v>1</v>
      </c>
      <c r="N1101" s="10"/>
      <c r="O1101" s="10"/>
      <c r="P1101" s="10" t="s">
        <v>11086</v>
      </c>
      <c r="Q1101" s="10">
        <v>618.92858820000004</v>
      </c>
      <c r="R1101" s="10" t="s">
        <v>11087</v>
      </c>
      <c r="S1101" s="10" t="s">
        <v>53</v>
      </c>
      <c r="T1101" s="10" t="s">
        <v>8510</v>
      </c>
    </row>
    <row r="1102" spans="1:20" ht="14.5" x14ac:dyDescent="0.35">
      <c r="A1102" s="10" t="s">
        <v>11088</v>
      </c>
      <c r="B1102" s="10" t="str">
        <f>"9781843104247"</f>
        <v>9781843104247</v>
      </c>
      <c r="C1102" s="10" t="str">
        <f>"9781846425745"</f>
        <v>9781846425745</v>
      </c>
      <c r="D1102" s="10" t="s">
        <v>10516</v>
      </c>
      <c r="E1102" s="10" t="s">
        <v>10516</v>
      </c>
      <c r="F1102" s="10" t="s">
        <v>139</v>
      </c>
      <c r="G1102" s="10" t="s">
        <v>6352</v>
      </c>
      <c r="H1102" s="11">
        <v>39036</v>
      </c>
      <c r="I1102" s="10">
        <v>2006</v>
      </c>
      <c r="J1102" s="10" t="s">
        <v>10516</v>
      </c>
      <c r="K1102" s="10">
        <v>145</v>
      </c>
      <c r="L1102" s="10" t="s">
        <v>11089</v>
      </c>
      <c r="M1102" s="10">
        <v>1</v>
      </c>
      <c r="N1102" s="10"/>
      <c r="O1102" s="10"/>
      <c r="P1102" s="10" t="s">
        <v>11090</v>
      </c>
      <c r="Q1102" s="10"/>
      <c r="R1102" s="10" t="s">
        <v>11091</v>
      </c>
      <c r="S1102" s="10" t="s">
        <v>53</v>
      </c>
      <c r="T1102" s="10" t="s">
        <v>483</v>
      </c>
    </row>
    <row r="1103" spans="1:20" ht="14.5" x14ac:dyDescent="0.35">
      <c r="A1103" s="10" t="s">
        <v>11092</v>
      </c>
      <c r="B1103" s="10" t="str">
        <f>"9781843104551"</f>
        <v>9781843104551</v>
      </c>
      <c r="C1103" s="10" t="str">
        <f>"9781846425769"</f>
        <v>9781846425769</v>
      </c>
      <c r="D1103" s="10" t="s">
        <v>10516</v>
      </c>
      <c r="E1103" s="10" t="s">
        <v>10516</v>
      </c>
      <c r="F1103" s="10" t="s">
        <v>139</v>
      </c>
      <c r="G1103" s="10" t="s">
        <v>6352</v>
      </c>
      <c r="H1103" s="11">
        <v>39036</v>
      </c>
      <c r="I1103" s="10">
        <v>2006</v>
      </c>
      <c r="J1103" s="10" t="s">
        <v>10516</v>
      </c>
      <c r="K1103" s="10">
        <v>249</v>
      </c>
      <c r="L1103" s="10" t="s">
        <v>11093</v>
      </c>
      <c r="M1103" s="10">
        <v>1</v>
      </c>
      <c r="N1103" s="10"/>
      <c r="O1103" s="10"/>
      <c r="P1103" s="10" t="s">
        <v>11094</v>
      </c>
      <c r="Q1103" s="10">
        <v>616.89165000000003</v>
      </c>
      <c r="R1103" s="10" t="s">
        <v>11095</v>
      </c>
      <c r="S1103" s="10" t="s">
        <v>53</v>
      </c>
      <c r="T1103" s="10" t="s">
        <v>8681</v>
      </c>
    </row>
    <row r="1104" spans="1:20" ht="14.5" x14ac:dyDescent="0.35">
      <c r="A1104" s="10" t="s">
        <v>11096</v>
      </c>
      <c r="B1104" s="10" t="str">
        <f>"9781843103905"</f>
        <v>9781843103905</v>
      </c>
      <c r="C1104" s="10" t="str">
        <f>"9781846425776"</f>
        <v>9781846425776</v>
      </c>
      <c r="D1104" s="10" t="s">
        <v>10516</v>
      </c>
      <c r="E1104" s="10" t="s">
        <v>10516</v>
      </c>
      <c r="F1104" s="10" t="s">
        <v>139</v>
      </c>
      <c r="G1104" s="10" t="s">
        <v>6352</v>
      </c>
      <c r="H1104" s="11">
        <v>39036</v>
      </c>
      <c r="I1104" s="10">
        <v>2006</v>
      </c>
      <c r="J1104" s="10" t="s">
        <v>10516</v>
      </c>
      <c r="K1104" s="10">
        <v>157</v>
      </c>
      <c r="L1104" s="10" t="s">
        <v>11097</v>
      </c>
      <c r="M1104" s="10">
        <v>1</v>
      </c>
      <c r="N1104" s="10"/>
      <c r="O1104" s="10"/>
      <c r="P1104" s="10" t="s">
        <v>11098</v>
      </c>
      <c r="Q1104" s="10">
        <v>362.4</v>
      </c>
      <c r="R1104" s="10" t="s">
        <v>11099</v>
      </c>
      <c r="S1104" s="10" t="s">
        <v>53</v>
      </c>
      <c r="T1104" s="10" t="s">
        <v>6363</v>
      </c>
    </row>
    <row r="1105" spans="1:20" ht="14.5" x14ac:dyDescent="0.35">
      <c r="A1105" s="10" t="s">
        <v>11100</v>
      </c>
      <c r="B1105" s="10" t="str">
        <f>"9781843104957"</f>
        <v>9781843104957</v>
      </c>
      <c r="C1105" s="10" t="str">
        <f>"9781846425592"</f>
        <v>9781846425592</v>
      </c>
      <c r="D1105" s="10" t="s">
        <v>10516</v>
      </c>
      <c r="E1105" s="10" t="s">
        <v>10516</v>
      </c>
      <c r="F1105" s="10" t="s">
        <v>139</v>
      </c>
      <c r="G1105" s="10" t="s">
        <v>6352</v>
      </c>
      <c r="H1105" s="11">
        <v>38988</v>
      </c>
      <c r="I1105" s="10">
        <v>2019</v>
      </c>
      <c r="J1105" s="10" t="s">
        <v>10516</v>
      </c>
      <c r="K1105" s="10">
        <v>418</v>
      </c>
      <c r="L1105" s="10" t="s">
        <v>11101</v>
      </c>
      <c r="M1105" s="10">
        <v>1</v>
      </c>
      <c r="N1105" s="10"/>
      <c r="O1105" s="10"/>
      <c r="P1105" s="10" t="s">
        <v>11102</v>
      </c>
      <c r="Q1105" s="10">
        <v>616.85883200000001</v>
      </c>
      <c r="R1105" s="10" t="s">
        <v>11103</v>
      </c>
      <c r="S1105" s="10" t="s">
        <v>53</v>
      </c>
      <c r="T1105" s="10" t="s">
        <v>8681</v>
      </c>
    </row>
    <row r="1106" spans="1:20" ht="14.5" x14ac:dyDescent="0.35">
      <c r="A1106" s="10" t="s">
        <v>11104</v>
      </c>
      <c r="B1106" s="10" t="str">
        <f>"9789812387660"</f>
        <v>9789812387660</v>
      </c>
      <c r="C1106" s="10" t="str">
        <f>"9789812702890"</f>
        <v>9789812702890</v>
      </c>
      <c r="D1106" s="10" t="s">
        <v>8571</v>
      </c>
      <c r="E1106" s="10" t="s">
        <v>8572</v>
      </c>
      <c r="F1106" s="10" t="s">
        <v>549</v>
      </c>
      <c r="G1106" s="10" t="s">
        <v>8573</v>
      </c>
      <c r="H1106" s="11">
        <v>38006</v>
      </c>
      <c r="I1106" s="10">
        <v>2004</v>
      </c>
      <c r="J1106" s="10" t="s">
        <v>8574</v>
      </c>
      <c r="K1106" s="10">
        <v>495</v>
      </c>
      <c r="L1106" s="10" t="s">
        <v>11105</v>
      </c>
      <c r="M1106" s="10">
        <v>1</v>
      </c>
      <c r="N1106" s="10"/>
      <c r="O1106" s="10"/>
      <c r="P1106" s="10" t="s">
        <v>11106</v>
      </c>
      <c r="Q1106" s="10">
        <v>530.07799999999997</v>
      </c>
      <c r="R1106" s="10" t="s">
        <v>11107</v>
      </c>
      <c r="S1106" s="10" t="s">
        <v>53</v>
      </c>
      <c r="T1106" s="10" t="s">
        <v>11108</v>
      </c>
    </row>
    <row r="1107" spans="1:20" ht="14.5" x14ac:dyDescent="0.35">
      <c r="A1107" s="10" t="s">
        <v>11109</v>
      </c>
      <c r="B1107" s="10" t="str">
        <f>"9789812564306"</f>
        <v>9789812564306</v>
      </c>
      <c r="C1107" s="10" t="str">
        <f>"9789812701664"</f>
        <v>9789812701664</v>
      </c>
      <c r="D1107" s="10" t="s">
        <v>8571</v>
      </c>
      <c r="E1107" s="10" t="s">
        <v>8572</v>
      </c>
      <c r="F1107" s="10" t="s">
        <v>549</v>
      </c>
      <c r="G1107" s="10" t="s">
        <v>8573</v>
      </c>
      <c r="H1107" s="11">
        <v>38553</v>
      </c>
      <c r="I1107" s="10">
        <v>2005</v>
      </c>
      <c r="J1107" s="10" t="s">
        <v>8574</v>
      </c>
      <c r="K1107" s="10">
        <v>233</v>
      </c>
      <c r="L1107" s="10" t="s">
        <v>11110</v>
      </c>
      <c r="M1107" s="10">
        <v>1</v>
      </c>
      <c r="N1107" s="10"/>
      <c r="O1107" s="10"/>
      <c r="P1107" s="10" t="s">
        <v>11111</v>
      </c>
      <c r="Q1107" s="10">
        <v>371.33</v>
      </c>
      <c r="R1107" s="10" t="s">
        <v>11112</v>
      </c>
      <c r="S1107" s="10" t="s">
        <v>53</v>
      </c>
      <c r="T1107" s="10" t="s">
        <v>54</v>
      </c>
    </row>
    <row r="1108" spans="1:20" ht="14.5" x14ac:dyDescent="0.35">
      <c r="A1108" s="10" t="s">
        <v>11113</v>
      </c>
      <c r="B1108" s="10" t="str">
        <f>"9781932792942"</f>
        <v>9781932792942</v>
      </c>
      <c r="C1108" s="10" t="str">
        <f>"9781602580923"</f>
        <v>9781602580923</v>
      </c>
      <c r="D1108" s="10" t="s">
        <v>10331</v>
      </c>
      <c r="E1108" s="10" t="s">
        <v>10331</v>
      </c>
      <c r="F1108" s="10" t="s">
        <v>1438</v>
      </c>
      <c r="G1108" s="10" t="s">
        <v>6317</v>
      </c>
      <c r="H1108" s="11">
        <v>39324</v>
      </c>
      <c r="I1108" s="10">
        <v>2011</v>
      </c>
      <c r="J1108" s="10" t="s">
        <v>10331</v>
      </c>
      <c r="K1108" s="10">
        <v>240</v>
      </c>
      <c r="L1108" s="10" t="s">
        <v>11114</v>
      </c>
      <c r="M1108" s="10">
        <v>1</v>
      </c>
      <c r="N1108" s="10" t="s">
        <v>11115</v>
      </c>
      <c r="O1108" s="10">
        <v>4</v>
      </c>
      <c r="P1108" s="10" t="s">
        <v>11116</v>
      </c>
      <c r="Q1108" s="10" t="s">
        <v>11117</v>
      </c>
      <c r="R1108" s="10" t="s">
        <v>11118</v>
      </c>
      <c r="S1108" s="10" t="s">
        <v>53</v>
      </c>
      <c r="T1108" s="10" t="s">
        <v>54</v>
      </c>
    </row>
    <row r="1109" spans="1:20" ht="14.5" x14ac:dyDescent="0.35">
      <c r="A1109" s="10" t="s">
        <v>11119</v>
      </c>
      <c r="B1109" s="10" t="str">
        <f>"9781592132171"</f>
        <v>9781592132171</v>
      </c>
      <c r="C1109" s="10" t="str">
        <f>"9781592137688"</f>
        <v>9781592137688</v>
      </c>
      <c r="D1109" s="10" t="s">
        <v>11120</v>
      </c>
      <c r="E1109" s="10" t="s">
        <v>11120</v>
      </c>
      <c r="F1109" s="10" t="s">
        <v>319</v>
      </c>
      <c r="G1109" s="10" t="s">
        <v>6317</v>
      </c>
      <c r="H1109" s="11">
        <v>37926</v>
      </c>
      <c r="I1109" s="10">
        <v>2003</v>
      </c>
      <c r="J1109" s="10" t="s">
        <v>11120</v>
      </c>
      <c r="K1109" s="10">
        <v>173</v>
      </c>
      <c r="L1109" s="10" t="s">
        <v>11121</v>
      </c>
      <c r="M1109" s="10">
        <v>1</v>
      </c>
      <c r="N1109" s="10" t="s">
        <v>11122</v>
      </c>
      <c r="O1109" s="10"/>
      <c r="P1109" s="10" t="s">
        <v>11123</v>
      </c>
      <c r="Q1109" s="10" t="s">
        <v>11124</v>
      </c>
      <c r="R1109" s="10" t="s">
        <v>11125</v>
      </c>
      <c r="S1109" s="10" t="s">
        <v>53</v>
      </c>
      <c r="T1109" s="10" t="s">
        <v>54</v>
      </c>
    </row>
    <row r="1110" spans="1:20" ht="14.5" x14ac:dyDescent="0.35">
      <c r="A1110" s="10" t="s">
        <v>11126</v>
      </c>
      <c r="B1110" s="10" t="str">
        <f>"9781592134908"</f>
        <v>9781592134908</v>
      </c>
      <c r="C1110" s="10" t="str">
        <f>"9781592134922"</f>
        <v>9781592134922</v>
      </c>
      <c r="D1110" s="10" t="s">
        <v>11120</v>
      </c>
      <c r="E1110" s="10" t="s">
        <v>11120</v>
      </c>
      <c r="F1110" s="10" t="s">
        <v>319</v>
      </c>
      <c r="G1110" s="10" t="s">
        <v>6317</v>
      </c>
      <c r="H1110" s="11">
        <v>39094</v>
      </c>
      <c r="I1110" s="10">
        <v>2007</v>
      </c>
      <c r="J1110" s="10" t="s">
        <v>11120</v>
      </c>
      <c r="K1110" s="10">
        <v>265</v>
      </c>
      <c r="L1110" s="10" t="s">
        <v>11127</v>
      </c>
      <c r="M1110" s="10">
        <v>1</v>
      </c>
      <c r="N1110" s="10"/>
      <c r="O1110" s="10"/>
      <c r="P1110" s="10" t="s">
        <v>11128</v>
      </c>
      <c r="Q1110" s="10" t="s">
        <v>11129</v>
      </c>
      <c r="R1110" s="10" t="s">
        <v>11130</v>
      </c>
      <c r="S1110" s="10" t="s">
        <v>53</v>
      </c>
      <c r="T1110" s="10" t="s">
        <v>54</v>
      </c>
    </row>
    <row r="1111" spans="1:20" ht="14.5" x14ac:dyDescent="0.35">
      <c r="A1111" s="10" t="s">
        <v>11131</v>
      </c>
      <c r="B1111" s="10" t="str">
        <f>"9781592135912"</f>
        <v>9781592135912</v>
      </c>
      <c r="C1111" s="10" t="str">
        <f>"9781592135936"</f>
        <v>9781592135936</v>
      </c>
      <c r="D1111" s="10" t="s">
        <v>11120</v>
      </c>
      <c r="E1111" s="10" t="s">
        <v>11120</v>
      </c>
      <c r="F1111" s="10" t="s">
        <v>319</v>
      </c>
      <c r="G1111" s="10" t="s">
        <v>6317</v>
      </c>
      <c r="H1111" s="11">
        <v>39143</v>
      </c>
      <c r="I1111" s="10">
        <v>2007</v>
      </c>
      <c r="J1111" s="10" t="s">
        <v>11120</v>
      </c>
      <c r="K1111" s="10">
        <v>166</v>
      </c>
      <c r="L1111" s="10" t="s">
        <v>11132</v>
      </c>
      <c r="M1111" s="10">
        <v>1</v>
      </c>
      <c r="N1111" s="10"/>
      <c r="O1111" s="10"/>
      <c r="P1111" s="10" t="s">
        <v>11133</v>
      </c>
      <c r="Q1111" s="10"/>
      <c r="R1111" s="10" t="s">
        <v>11134</v>
      </c>
      <c r="S1111" s="10" t="s">
        <v>53</v>
      </c>
      <c r="T1111" s="10" t="s">
        <v>54</v>
      </c>
    </row>
    <row r="1112" spans="1:20" ht="14.5" x14ac:dyDescent="0.35">
      <c r="A1112" s="10" t="s">
        <v>11135</v>
      </c>
      <c r="B1112" s="10" t="str">
        <f>"9781592135363"</f>
        <v>9781592135363</v>
      </c>
      <c r="C1112" s="10" t="str">
        <f>"9781592135387"</f>
        <v>9781592135387</v>
      </c>
      <c r="D1112" s="10" t="s">
        <v>11120</v>
      </c>
      <c r="E1112" s="10" t="s">
        <v>11120</v>
      </c>
      <c r="F1112" s="10" t="s">
        <v>319</v>
      </c>
      <c r="G1112" s="10" t="s">
        <v>6317</v>
      </c>
      <c r="H1112" s="11">
        <v>38975</v>
      </c>
      <c r="I1112" s="10">
        <v>2006</v>
      </c>
      <c r="J1112" s="10" t="s">
        <v>11120</v>
      </c>
      <c r="K1112" s="10">
        <v>264</v>
      </c>
      <c r="L1112" s="10" t="s">
        <v>11136</v>
      </c>
      <c r="M1112" s="10">
        <v>1</v>
      </c>
      <c r="N1112" s="10"/>
      <c r="O1112" s="10"/>
      <c r="P1112" s="10" t="s">
        <v>8026</v>
      </c>
      <c r="Q1112" s="10">
        <v>370.11700000000002</v>
      </c>
      <c r="R1112" s="10" t="s">
        <v>11137</v>
      </c>
      <c r="S1112" s="10" t="s">
        <v>53</v>
      </c>
      <c r="T1112" s="10" t="s">
        <v>54</v>
      </c>
    </row>
    <row r="1113" spans="1:20" ht="14.5" x14ac:dyDescent="0.35">
      <c r="A1113" s="10" t="s">
        <v>11138</v>
      </c>
      <c r="B1113" s="10" t="str">
        <f>"9781592133765"</f>
        <v>9781592133765</v>
      </c>
      <c r="C1113" s="10" t="str">
        <f>"9781592133789"</f>
        <v>9781592133789</v>
      </c>
      <c r="D1113" s="10" t="s">
        <v>11120</v>
      </c>
      <c r="E1113" s="10" t="s">
        <v>11120</v>
      </c>
      <c r="F1113" s="10" t="s">
        <v>319</v>
      </c>
      <c r="G1113" s="10" t="s">
        <v>6317</v>
      </c>
      <c r="H1113" s="11">
        <v>38481</v>
      </c>
      <c r="I1113" s="10">
        <v>2005</v>
      </c>
      <c r="J1113" s="10" t="s">
        <v>11120</v>
      </c>
      <c r="K1113" s="10">
        <v>235</v>
      </c>
      <c r="L1113" s="10" t="s">
        <v>11139</v>
      </c>
      <c r="M1113" s="10">
        <v>1</v>
      </c>
      <c r="N1113" s="10"/>
      <c r="O1113" s="10"/>
      <c r="P1113" s="10" t="s">
        <v>11140</v>
      </c>
      <c r="Q1113" s="10" t="s">
        <v>11141</v>
      </c>
      <c r="R1113" s="10" t="s">
        <v>11142</v>
      </c>
      <c r="S1113" s="10" t="s">
        <v>53</v>
      </c>
      <c r="T1113" s="10" t="s">
        <v>54</v>
      </c>
    </row>
    <row r="1114" spans="1:20" ht="14.5" x14ac:dyDescent="0.35">
      <c r="A1114" s="10" t="s">
        <v>11143</v>
      </c>
      <c r="B1114" s="10" t="str">
        <f>"9781592130085"</f>
        <v>9781592130085</v>
      </c>
      <c r="C1114" s="10" t="str">
        <f>"9781592137749"</f>
        <v>9781592137749</v>
      </c>
      <c r="D1114" s="10" t="s">
        <v>11120</v>
      </c>
      <c r="E1114" s="10" t="s">
        <v>11120</v>
      </c>
      <c r="F1114" s="10" t="s">
        <v>319</v>
      </c>
      <c r="G1114" s="10" t="s">
        <v>6317</v>
      </c>
      <c r="H1114" s="11">
        <v>37561</v>
      </c>
      <c r="I1114" s="10">
        <v>2002</v>
      </c>
      <c r="J1114" s="10" t="s">
        <v>11120</v>
      </c>
      <c r="K1114" s="10">
        <v>249</v>
      </c>
      <c r="L1114" s="10" t="s">
        <v>11144</v>
      </c>
      <c r="M1114" s="10">
        <v>1</v>
      </c>
      <c r="N1114" s="10"/>
      <c r="O1114" s="10"/>
      <c r="P1114" s="10" t="s">
        <v>11145</v>
      </c>
      <c r="Q1114" s="10" t="s">
        <v>11146</v>
      </c>
      <c r="R1114" s="10"/>
      <c r="S1114" s="10" t="s">
        <v>53</v>
      </c>
      <c r="T1114" s="10" t="s">
        <v>6363</v>
      </c>
    </row>
    <row r="1115" spans="1:20" ht="14.5" x14ac:dyDescent="0.35">
      <c r="A1115" s="10" t="s">
        <v>11147</v>
      </c>
      <c r="B1115" s="10" t="str">
        <f>"9781592135332"</f>
        <v>9781592135332</v>
      </c>
      <c r="C1115" s="10" t="str">
        <f>"9781592135356"</f>
        <v>9781592135356</v>
      </c>
      <c r="D1115" s="10" t="s">
        <v>11120</v>
      </c>
      <c r="E1115" s="10" t="s">
        <v>11120</v>
      </c>
      <c r="F1115" s="10" t="s">
        <v>319</v>
      </c>
      <c r="G1115" s="10" t="s">
        <v>6317</v>
      </c>
      <c r="H1115" s="11">
        <v>39097</v>
      </c>
      <c r="I1115" s="10">
        <v>2007</v>
      </c>
      <c r="J1115" s="10" t="s">
        <v>11120</v>
      </c>
      <c r="K1115" s="10">
        <v>254</v>
      </c>
      <c r="L1115" s="10" t="s">
        <v>11148</v>
      </c>
      <c r="M1115" s="10">
        <v>1</v>
      </c>
      <c r="N1115" s="10"/>
      <c r="O1115" s="10"/>
      <c r="P1115" s="10" t="s">
        <v>11149</v>
      </c>
      <c r="Q1115" s="10" t="s">
        <v>10427</v>
      </c>
      <c r="R1115" s="10"/>
      <c r="S1115" s="10" t="s">
        <v>53</v>
      </c>
      <c r="T1115" s="10" t="s">
        <v>54</v>
      </c>
    </row>
    <row r="1116" spans="1:20" ht="14.5" x14ac:dyDescent="0.35">
      <c r="A1116" s="10" t="s">
        <v>11150</v>
      </c>
      <c r="B1116" s="10" t="str">
        <f>"9781592130238"</f>
        <v>9781592130238</v>
      </c>
      <c r="C1116" s="10" t="str">
        <f>"9781592137756"</f>
        <v>9781592137756</v>
      </c>
      <c r="D1116" s="10" t="s">
        <v>11120</v>
      </c>
      <c r="E1116" s="10" t="s">
        <v>11120</v>
      </c>
      <c r="F1116" s="10" t="s">
        <v>319</v>
      </c>
      <c r="G1116" s="10" t="s">
        <v>6317</v>
      </c>
      <c r="H1116" s="11">
        <v>37712</v>
      </c>
      <c r="I1116" s="10">
        <v>2003</v>
      </c>
      <c r="J1116" s="10" t="s">
        <v>11120</v>
      </c>
      <c r="K1116" s="10">
        <v>289</v>
      </c>
      <c r="L1116" s="10" t="s">
        <v>11151</v>
      </c>
      <c r="M1116" s="10">
        <v>1</v>
      </c>
      <c r="N1116" s="10" t="s">
        <v>11152</v>
      </c>
      <c r="O1116" s="10"/>
      <c r="P1116" s="10" t="s">
        <v>11153</v>
      </c>
      <c r="Q1116" s="10" t="s">
        <v>11154</v>
      </c>
      <c r="R1116" s="10"/>
      <c r="S1116" s="10" t="s">
        <v>53</v>
      </c>
      <c r="T1116" s="10" t="s">
        <v>6363</v>
      </c>
    </row>
    <row r="1117" spans="1:20" ht="14.5" x14ac:dyDescent="0.35">
      <c r="A1117" s="10" t="s">
        <v>11155</v>
      </c>
      <c r="B1117" s="10" t="str">
        <f>"9780833038364"</f>
        <v>9780833038364</v>
      </c>
      <c r="C1117" s="10" t="str">
        <f>"9780833040824"</f>
        <v>9780833040824</v>
      </c>
      <c r="D1117" s="10" t="s">
        <v>8134</v>
      </c>
      <c r="E1117" s="10" t="s">
        <v>8135</v>
      </c>
      <c r="F1117" s="10" t="s">
        <v>8136</v>
      </c>
      <c r="G1117" s="10" t="s">
        <v>6317</v>
      </c>
      <c r="H1117" s="11">
        <v>38353</v>
      </c>
      <c r="I1117" s="10">
        <v>2005</v>
      </c>
      <c r="J1117" s="10" t="s">
        <v>8363</v>
      </c>
      <c r="K1117" s="10">
        <v>200</v>
      </c>
      <c r="L1117" s="10" t="s">
        <v>11156</v>
      </c>
      <c r="M1117" s="10">
        <v>1</v>
      </c>
      <c r="N1117" s="10"/>
      <c r="O1117" s="10"/>
      <c r="P1117" s="10" t="s">
        <v>11157</v>
      </c>
      <c r="Q1117" s="10" t="s">
        <v>11158</v>
      </c>
      <c r="R1117" s="10" t="s">
        <v>11159</v>
      </c>
      <c r="S1117" s="10" t="s">
        <v>53</v>
      </c>
      <c r="T1117" s="10" t="s">
        <v>6363</v>
      </c>
    </row>
    <row r="1118" spans="1:20" ht="14.5" x14ac:dyDescent="0.35">
      <c r="A1118" s="10" t="s">
        <v>11160</v>
      </c>
      <c r="B1118" s="10" t="str">
        <f>"9780765606761"</f>
        <v>9780765606761</v>
      </c>
      <c r="C1118" s="10" t="str">
        <f>"9780765613950"</f>
        <v>9780765613950</v>
      </c>
      <c r="D1118" s="10" t="s">
        <v>6350</v>
      </c>
      <c r="E1118" s="10" t="s">
        <v>6351</v>
      </c>
      <c r="F1118" s="10" t="s">
        <v>11161</v>
      </c>
      <c r="G1118" s="10" t="s">
        <v>6317</v>
      </c>
      <c r="H1118" s="11">
        <v>36799</v>
      </c>
      <c r="I1118" s="10">
        <v>2010</v>
      </c>
      <c r="J1118" s="10" t="s">
        <v>6353</v>
      </c>
      <c r="K1118" s="10">
        <v>244</v>
      </c>
      <c r="L1118" s="10" t="s">
        <v>11162</v>
      </c>
      <c r="M1118" s="10">
        <v>1</v>
      </c>
      <c r="N1118" s="10"/>
      <c r="O1118" s="10"/>
      <c r="P1118" s="10" t="s">
        <v>11163</v>
      </c>
      <c r="Q1118" s="10">
        <v>658.40300000000002</v>
      </c>
      <c r="R1118" s="10" t="s">
        <v>11164</v>
      </c>
      <c r="S1118" s="10" t="s">
        <v>53</v>
      </c>
      <c r="T1118" s="10" t="s">
        <v>6660</v>
      </c>
    </row>
    <row r="1119" spans="1:20" ht="14.5" x14ac:dyDescent="0.35">
      <c r="A1119" s="10" t="s">
        <v>11165</v>
      </c>
      <c r="B1119" s="10" t="str">
        <f>"9781586037215"</f>
        <v>9781586037215</v>
      </c>
      <c r="C1119" s="10" t="str">
        <f>"9781607502296"</f>
        <v>9781607502296</v>
      </c>
      <c r="D1119" s="10" t="s">
        <v>9659</v>
      </c>
      <c r="E1119" s="10" t="s">
        <v>9660</v>
      </c>
      <c r="F1119" s="10" t="s">
        <v>1818</v>
      </c>
      <c r="G1119" s="10" t="s">
        <v>9233</v>
      </c>
      <c r="H1119" s="11">
        <v>39083</v>
      </c>
      <c r="I1119" s="10">
        <v>2007</v>
      </c>
      <c r="J1119" s="10" t="s">
        <v>9660</v>
      </c>
      <c r="K1119" s="10">
        <v>312</v>
      </c>
      <c r="L1119" s="10" t="s">
        <v>11166</v>
      </c>
      <c r="M1119" s="10">
        <v>1</v>
      </c>
      <c r="N1119" s="10" t="s">
        <v>9676</v>
      </c>
      <c r="O1119" s="10">
        <v>16</v>
      </c>
      <c r="P1119" s="10" t="s">
        <v>11167</v>
      </c>
      <c r="Q1119" s="10">
        <v>507.2</v>
      </c>
      <c r="R1119" s="10" t="s">
        <v>11168</v>
      </c>
      <c r="S1119" s="10" t="s">
        <v>53</v>
      </c>
      <c r="T1119" s="10" t="s">
        <v>7193</v>
      </c>
    </row>
    <row r="1120" spans="1:20" ht="14.5" x14ac:dyDescent="0.35">
      <c r="A1120" s="10" t="s">
        <v>11169</v>
      </c>
      <c r="B1120" s="10" t="str">
        <f>"9780861767267"</f>
        <v>9780861767267</v>
      </c>
      <c r="C1120" s="10" t="str">
        <f>"9781845446222"</f>
        <v>9781845446222</v>
      </c>
      <c r="D1120" s="10" t="s">
        <v>8699</v>
      </c>
      <c r="E1120" s="10" t="s">
        <v>8699</v>
      </c>
      <c r="F1120" s="10" t="s">
        <v>1019</v>
      </c>
      <c r="G1120" s="10" t="s">
        <v>6352</v>
      </c>
      <c r="H1120" s="11">
        <v>37484</v>
      </c>
      <c r="I1120" s="10">
        <v>2002</v>
      </c>
      <c r="J1120" s="10" t="s">
        <v>115</v>
      </c>
      <c r="K1120" s="10">
        <v>92</v>
      </c>
      <c r="L1120" s="10" t="s">
        <v>11170</v>
      </c>
      <c r="M1120" s="10">
        <v>1</v>
      </c>
      <c r="N1120" s="10" t="s">
        <v>2002</v>
      </c>
      <c r="O1120" s="10">
        <v>20</v>
      </c>
      <c r="P1120" s="10" t="s">
        <v>11171</v>
      </c>
      <c r="Q1120" s="10">
        <v>362.10680000000002</v>
      </c>
      <c r="R1120" s="10" t="s">
        <v>11172</v>
      </c>
      <c r="S1120" s="10" t="s">
        <v>53</v>
      </c>
      <c r="T1120" s="10" t="s">
        <v>11173</v>
      </c>
    </row>
    <row r="1121" spans="1:20" ht="14.5" x14ac:dyDescent="0.35">
      <c r="A1121" s="10" t="s">
        <v>11174</v>
      </c>
      <c r="B1121" s="10" t="str">
        <f>"9780826115126"</f>
        <v>9780826115126</v>
      </c>
      <c r="C1121" s="10" t="str">
        <f>"9780826114518"</f>
        <v>9780826114518</v>
      </c>
      <c r="D1121" s="10" t="s">
        <v>3370</v>
      </c>
      <c r="E1121" s="10" t="s">
        <v>10927</v>
      </c>
      <c r="F1121" s="10" t="s">
        <v>70</v>
      </c>
      <c r="G1121" s="10" t="s">
        <v>6317</v>
      </c>
      <c r="H1121" s="11">
        <v>39417</v>
      </c>
      <c r="I1121" s="10">
        <v>2007</v>
      </c>
      <c r="J1121" s="10" t="s">
        <v>10927</v>
      </c>
      <c r="K1121" s="10">
        <v>352</v>
      </c>
      <c r="L1121" s="10" t="s">
        <v>11175</v>
      </c>
      <c r="M1121" s="10">
        <v>4</v>
      </c>
      <c r="N1121" s="10"/>
      <c r="O1121" s="10"/>
      <c r="P1121" s="10" t="s">
        <v>11176</v>
      </c>
      <c r="Q1121" s="10"/>
      <c r="R1121" s="10" t="s">
        <v>11177</v>
      </c>
      <c r="S1121" s="10" t="s">
        <v>53</v>
      </c>
      <c r="T1121" s="10" t="s">
        <v>10932</v>
      </c>
    </row>
    <row r="1122" spans="1:20" ht="14.5" x14ac:dyDescent="0.35">
      <c r="A1122" s="10" t="s">
        <v>11178</v>
      </c>
      <c r="B1122" s="10" t="str">
        <f>"9781846635120"</f>
        <v>9781846635120</v>
      </c>
      <c r="C1122" s="10" t="str">
        <f>"9781846635137"</f>
        <v>9781846635137</v>
      </c>
      <c r="D1122" s="10" t="s">
        <v>8699</v>
      </c>
      <c r="E1122" s="10" t="s">
        <v>8699</v>
      </c>
      <c r="F1122" s="10" t="s">
        <v>1019</v>
      </c>
      <c r="G1122" s="10" t="s">
        <v>6352</v>
      </c>
      <c r="H1122" s="11">
        <v>39173</v>
      </c>
      <c r="I1122" s="10">
        <v>2007</v>
      </c>
      <c r="J1122" s="10" t="s">
        <v>115</v>
      </c>
      <c r="K1122" s="10">
        <v>80</v>
      </c>
      <c r="L1122" s="10" t="s">
        <v>11179</v>
      </c>
      <c r="M1122" s="10">
        <v>1</v>
      </c>
      <c r="N1122" s="10"/>
      <c r="O1122" s="10"/>
      <c r="P1122" s="10" t="s">
        <v>11180</v>
      </c>
      <c r="Q1122" s="10" t="s">
        <v>6942</v>
      </c>
      <c r="R1122" s="10" t="s">
        <v>11181</v>
      </c>
      <c r="S1122" s="10" t="s">
        <v>53</v>
      </c>
      <c r="T1122" s="10" t="s">
        <v>54</v>
      </c>
    </row>
    <row r="1123" spans="1:20" ht="14.5" x14ac:dyDescent="0.35">
      <c r="A1123" s="10" t="s">
        <v>11182</v>
      </c>
      <c r="B1123" s="10" t="str">
        <f>"9781846633645"</f>
        <v>9781846633645</v>
      </c>
      <c r="C1123" s="10" t="str">
        <f>"9781846633652"</f>
        <v>9781846633652</v>
      </c>
      <c r="D1123" s="10" t="s">
        <v>8699</v>
      </c>
      <c r="E1123" s="10" t="s">
        <v>8699</v>
      </c>
      <c r="F1123" s="10" t="s">
        <v>1019</v>
      </c>
      <c r="G1123" s="10" t="s">
        <v>6352</v>
      </c>
      <c r="H1123" s="11">
        <v>39173</v>
      </c>
      <c r="I1123" s="10">
        <v>2007</v>
      </c>
      <c r="J1123" s="10" t="s">
        <v>115</v>
      </c>
      <c r="K1123" s="10">
        <v>168</v>
      </c>
      <c r="L1123" s="10" t="s">
        <v>11183</v>
      </c>
      <c r="M1123" s="10">
        <v>1</v>
      </c>
      <c r="N1123" s="10"/>
      <c r="O1123" s="10"/>
      <c r="P1123" s="10" t="s">
        <v>11184</v>
      </c>
      <c r="Q1123" s="10">
        <v>338.92707109999998</v>
      </c>
      <c r="R1123" s="10" t="s">
        <v>11185</v>
      </c>
      <c r="S1123" s="10" t="s">
        <v>53</v>
      </c>
      <c r="T1123" s="10" t="s">
        <v>11186</v>
      </c>
    </row>
    <row r="1124" spans="1:20" ht="14.5" x14ac:dyDescent="0.35">
      <c r="A1124" s="10" t="s">
        <v>11187</v>
      </c>
      <c r="B1124" s="10" t="str">
        <f>"9781416605584"</f>
        <v>9781416605584</v>
      </c>
      <c r="C1124" s="10" t="str">
        <f>"9781416606284"</f>
        <v>9781416606284</v>
      </c>
      <c r="D1124" s="10" t="s">
        <v>10014</v>
      </c>
      <c r="E1124" s="10" t="s">
        <v>10015</v>
      </c>
      <c r="F1124" s="10" t="s">
        <v>201</v>
      </c>
      <c r="G1124" s="10" t="s">
        <v>6317</v>
      </c>
      <c r="H1124" s="11">
        <v>39202</v>
      </c>
      <c r="I1124" s="10">
        <v>2007</v>
      </c>
      <c r="J1124" s="10" t="s">
        <v>10015</v>
      </c>
      <c r="K1124" s="10">
        <v>227</v>
      </c>
      <c r="L1124" s="10" t="s">
        <v>11188</v>
      </c>
      <c r="M1124" s="10">
        <v>1</v>
      </c>
      <c r="N1124" s="10"/>
      <c r="O1124" s="10"/>
      <c r="P1124" s="10" t="s">
        <v>11189</v>
      </c>
      <c r="Q1124" s="10" t="s">
        <v>11190</v>
      </c>
      <c r="R1124" s="10" t="s">
        <v>11191</v>
      </c>
      <c r="S1124" s="10" t="s">
        <v>53</v>
      </c>
      <c r="T1124" s="10" t="s">
        <v>6472</v>
      </c>
    </row>
    <row r="1125" spans="1:20" ht="14.5" x14ac:dyDescent="0.35">
      <c r="A1125" s="10" t="s">
        <v>11192</v>
      </c>
      <c r="B1125" s="10" t="str">
        <f>"9781416605416"</f>
        <v>9781416605416</v>
      </c>
      <c r="C1125" s="10" t="str">
        <f>"9781416606444"</f>
        <v>9781416606444</v>
      </c>
      <c r="D1125" s="10" t="s">
        <v>10014</v>
      </c>
      <c r="E1125" s="10" t="s">
        <v>10015</v>
      </c>
      <c r="F1125" s="10" t="s">
        <v>201</v>
      </c>
      <c r="G1125" s="10" t="s">
        <v>6317</v>
      </c>
      <c r="H1125" s="11">
        <v>39263</v>
      </c>
      <c r="I1125" s="10">
        <v>2007</v>
      </c>
      <c r="J1125" s="10" t="s">
        <v>10015</v>
      </c>
      <c r="K1125" s="10">
        <v>281</v>
      </c>
      <c r="L1125" s="10" t="s">
        <v>11193</v>
      </c>
      <c r="M1125" s="10">
        <v>1</v>
      </c>
      <c r="N1125" s="10"/>
      <c r="O1125" s="10"/>
      <c r="P1125" s="10" t="s">
        <v>11194</v>
      </c>
      <c r="Q1125" s="10"/>
      <c r="R1125" s="10"/>
      <c r="S1125" s="10" t="s">
        <v>53</v>
      </c>
      <c r="T1125" s="10" t="s">
        <v>54</v>
      </c>
    </row>
    <row r="1126" spans="1:20" ht="14.5" x14ac:dyDescent="0.35">
      <c r="A1126" s="10" t="s">
        <v>11195</v>
      </c>
      <c r="B1126" s="10" t="str">
        <f>"9781416605393"</f>
        <v>9781416605393</v>
      </c>
      <c r="C1126" s="10" t="str">
        <f>"9781416606314"</f>
        <v>9781416606314</v>
      </c>
      <c r="D1126" s="10" t="s">
        <v>10014</v>
      </c>
      <c r="E1126" s="10" t="s">
        <v>10015</v>
      </c>
      <c r="F1126" s="10" t="s">
        <v>201</v>
      </c>
      <c r="G1126" s="10" t="s">
        <v>6317</v>
      </c>
      <c r="H1126" s="11">
        <v>39203</v>
      </c>
      <c r="I1126" s="10">
        <v>2007</v>
      </c>
      <c r="J1126" s="10" t="s">
        <v>10015</v>
      </c>
      <c r="K1126" s="10">
        <v>243</v>
      </c>
      <c r="L1126" s="10" t="s">
        <v>11196</v>
      </c>
      <c r="M1126" s="10">
        <v>1</v>
      </c>
      <c r="N1126" s="10"/>
      <c r="O1126" s="10"/>
      <c r="P1126" s="10" t="s">
        <v>11197</v>
      </c>
      <c r="Q1126" s="10" t="s">
        <v>6942</v>
      </c>
      <c r="R1126" s="10" t="s">
        <v>11198</v>
      </c>
      <c r="S1126" s="10" t="s">
        <v>53</v>
      </c>
      <c r="T1126" s="10" t="s">
        <v>54</v>
      </c>
    </row>
    <row r="1127" spans="1:20" ht="14.5" x14ac:dyDescent="0.35">
      <c r="A1127" s="10" t="s">
        <v>11199</v>
      </c>
      <c r="B1127" s="10" t="str">
        <f>"9781416605409"</f>
        <v>9781416605409</v>
      </c>
      <c r="C1127" s="10" t="str">
        <f>"9781416606345"</f>
        <v>9781416606345</v>
      </c>
      <c r="D1127" s="10" t="s">
        <v>10014</v>
      </c>
      <c r="E1127" s="10" t="s">
        <v>10015</v>
      </c>
      <c r="F1127" s="10" t="s">
        <v>201</v>
      </c>
      <c r="G1127" s="10" t="s">
        <v>6317</v>
      </c>
      <c r="H1127" s="11">
        <v>39232</v>
      </c>
      <c r="I1127" s="10">
        <v>2007</v>
      </c>
      <c r="J1127" s="10" t="s">
        <v>10015</v>
      </c>
      <c r="K1127" s="10">
        <v>307</v>
      </c>
      <c r="L1127" s="10" t="s">
        <v>11200</v>
      </c>
      <c r="M1127" s="10">
        <v>1</v>
      </c>
      <c r="N1127" s="10"/>
      <c r="O1127" s="10"/>
      <c r="P1127" s="10" t="s">
        <v>11201</v>
      </c>
      <c r="Q1127" s="10" t="s">
        <v>11202</v>
      </c>
      <c r="R1127" s="10" t="s">
        <v>11203</v>
      </c>
      <c r="S1127" s="10" t="s">
        <v>53</v>
      </c>
      <c r="T1127" s="10" t="s">
        <v>54</v>
      </c>
    </row>
    <row r="1128" spans="1:20" ht="14.5" x14ac:dyDescent="0.35">
      <c r="A1128" s="10" t="s">
        <v>11204</v>
      </c>
      <c r="B1128" s="10" t="str">
        <f>"9781416605386"</f>
        <v>9781416605386</v>
      </c>
      <c r="C1128" s="10" t="str">
        <f>"9781416606413"</f>
        <v>9781416606413</v>
      </c>
      <c r="D1128" s="10" t="s">
        <v>10014</v>
      </c>
      <c r="E1128" s="10" t="s">
        <v>10015</v>
      </c>
      <c r="F1128" s="10" t="s">
        <v>201</v>
      </c>
      <c r="G1128" s="10" t="s">
        <v>6317</v>
      </c>
      <c r="H1128" s="11">
        <v>39234</v>
      </c>
      <c r="I1128" s="10">
        <v>2007</v>
      </c>
      <c r="J1128" s="10" t="s">
        <v>10015</v>
      </c>
      <c r="K1128" s="10">
        <v>195</v>
      </c>
      <c r="L1128" s="10" t="s">
        <v>11205</v>
      </c>
      <c r="M1128" s="10">
        <v>1</v>
      </c>
      <c r="N1128" s="10"/>
      <c r="O1128" s="10"/>
      <c r="P1128" s="10" t="s">
        <v>11206</v>
      </c>
      <c r="Q1128" s="10" t="s">
        <v>8460</v>
      </c>
      <c r="R1128" s="10" t="s">
        <v>11207</v>
      </c>
      <c r="S1128" s="10" t="s">
        <v>53</v>
      </c>
      <c r="T1128" s="10" t="s">
        <v>54</v>
      </c>
    </row>
    <row r="1129" spans="1:20" ht="14.5" x14ac:dyDescent="0.35">
      <c r="A1129" s="10" t="s">
        <v>11208</v>
      </c>
      <c r="B1129" s="10" t="str">
        <f>"9781416605201"</f>
        <v>9781416605201</v>
      </c>
      <c r="C1129" s="10" t="str">
        <f>"9781416605935"</f>
        <v>9781416605935</v>
      </c>
      <c r="D1129" s="10" t="s">
        <v>10014</v>
      </c>
      <c r="E1129" s="10" t="s">
        <v>10015</v>
      </c>
      <c r="F1129" s="10" t="s">
        <v>201</v>
      </c>
      <c r="G1129" s="10" t="s">
        <v>6317</v>
      </c>
      <c r="H1129" s="11">
        <v>39173</v>
      </c>
      <c r="I1129" s="10">
        <v>2007</v>
      </c>
      <c r="J1129" s="10" t="s">
        <v>10015</v>
      </c>
      <c r="K1129" s="10">
        <v>154</v>
      </c>
      <c r="L1129" s="10" t="s">
        <v>11209</v>
      </c>
      <c r="M1129" s="10">
        <v>1</v>
      </c>
      <c r="N1129" s="10"/>
      <c r="O1129" s="10"/>
      <c r="P1129" s="10" t="s">
        <v>11210</v>
      </c>
      <c r="Q1129" s="10">
        <v>371.10199999999998</v>
      </c>
      <c r="R1129" s="10" t="s">
        <v>11211</v>
      </c>
      <c r="S1129" s="10" t="s">
        <v>53</v>
      </c>
      <c r="T1129" s="10" t="s">
        <v>54</v>
      </c>
    </row>
    <row r="1130" spans="1:20" ht="14.5" x14ac:dyDescent="0.35">
      <c r="A1130" s="10" t="s">
        <v>11212</v>
      </c>
      <c r="B1130" s="10" t="str">
        <f>"9781593852849"</f>
        <v>9781593852849</v>
      </c>
      <c r="C1130" s="10" t="str">
        <f>"9781593855352"</f>
        <v>9781593855352</v>
      </c>
      <c r="D1130" s="10" t="s">
        <v>11213</v>
      </c>
      <c r="E1130" s="10" t="s">
        <v>11214</v>
      </c>
      <c r="F1130" s="10" t="s">
        <v>70</v>
      </c>
      <c r="G1130" s="10" t="s">
        <v>6317</v>
      </c>
      <c r="H1130" s="11">
        <v>38835</v>
      </c>
      <c r="I1130" s="10">
        <v>2006</v>
      </c>
      <c r="J1130" s="10" t="s">
        <v>11215</v>
      </c>
      <c r="K1130" s="10">
        <v>368</v>
      </c>
      <c r="L1130" s="10" t="s">
        <v>11216</v>
      </c>
      <c r="M1130" s="10">
        <v>1</v>
      </c>
      <c r="N1130" s="10"/>
      <c r="O1130" s="10"/>
      <c r="P1130" s="10" t="s">
        <v>11217</v>
      </c>
      <c r="Q1130" s="10" t="s">
        <v>8679</v>
      </c>
      <c r="R1130" s="10" t="s">
        <v>11218</v>
      </c>
      <c r="S1130" s="10" t="s">
        <v>53</v>
      </c>
      <c r="T1130" s="10" t="s">
        <v>8681</v>
      </c>
    </row>
    <row r="1131" spans="1:20" ht="14.5" x14ac:dyDescent="0.35">
      <c r="A1131" s="10" t="s">
        <v>11219</v>
      </c>
      <c r="B1131" s="10" t="str">
        <f>"9781593851699"</f>
        <v>9781593851699</v>
      </c>
      <c r="C1131" s="10" t="str">
        <f>"9781593855536"</f>
        <v>9781593855536</v>
      </c>
      <c r="D1131" s="10" t="s">
        <v>11213</v>
      </c>
      <c r="E1131" s="10" t="s">
        <v>11214</v>
      </c>
      <c r="F1131" s="10" t="s">
        <v>70</v>
      </c>
      <c r="G1131" s="10" t="s">
        <v>6317</v>
      </c>
      <c r="H1131" s="11">
        <v>38475</v>
      </c>
      <c r="I1131" s="10">
        <v>2005</v>
      </c>
      <c r="J1131" s="10" t="s">
        <v>11215</v>
      </c>
      <c r="K1131" s="10">
        <v>288</v>
      </c>
      <c r="L1131" s="10" t="s">
        <v>11220</v>
      </c>
      <c r="M1131" s="10">
        <v>1</v>
      </c>
      <c r="N1131" s="10" t="s">
        <v>11221</v>
      </c>
      <c r="O1131" s="10"/>
      <c r="P1131" s="10" t="s">
        <v>11222</v>
      </c>
      <c r="Q1131" s="10">
        <v>372.43</v>
      </c>
      <c r="R1131" s="10" t="s">
        <v>11223</v>
      </c>
      <c r="S1131" s="10" t="s">
        <v>53</v>
      </c>
      <c r="T1131" s="10" t="s">
        <v>54</v>
      </c>
    </row>
    <row r="1132" spans="1:20" ht="14.5" x14ac:dyDescent="0.35">
      <c r="A1132" s="10" t="s">
        <v>11224</v>
      </c>
      <c r="B1132" s="10" t="str">
        <f>"9781853599729"</f>
        <v>9781853599729</v>
      </c>
      <c r="C1132" s="10" t="str">
        <f>"9781853599736"</f>
        <v>9781853599736</v>
      </c>
      <c r="D1132" s="10" t="s">
        <v>8394</v>
      </c>
      <c r="E1132" s="10" t="s">
        <v>8395</v>
      </c>
      <c r="F1132" s="10" t="s">
        <v>8396</v>
      </c>
      <c r="G1132" s="10" t="s">
        <v>6352</v>
      </c>
      <c r="H1132" s="11">
        <v>39274</v>
      </c>
      <c r="I1132" s="10">
        <v>2007</v>
      </c>
      <c r="J1132" s="10" t="s">
        <v>8395</v>
      </c>
      <c r="K1132" s="10">
        <v>320</v>
      </c>
      <c r="L1132" s="10" t="s">
        <v>11225</v>
      </c>
      <c r="M1132" s="10">
        <v>1</v>
      </c>
      <c r="N1132" s="10" t="s">
        <v>11226</v>
      </c>
      <c r="O1132" s="10">
        <v>1</v>
      </c>
      <c r="P1132" s="10" t="s">
        <v>11227</v>
      </c>
      <c r="Q1132" s="10" t="s">
        <v>11228</v>
      </c>
      <c r="R1132" s="10" t="s">
        <v>11229</v>
      </c>
      <c r="S1132" s="10" t="s">
        <v>53</v>
      </c>
      <c r="T1132" s="10" t="s">
        <v>10743</v>
      </c>
    </row>
    <row r="1133" spans="1:20" ht="14.5" x14ac:dyDescent="0.35">
      <c r="A1133" s="10" t="s">
        <v>11230</v>
      </c>
      <c r="B1133" s="10" t="str">
        <f>"9781853599927"</f>
        <v>9781853599927</v>
      </c>
      <c r="C1133" s="10" t="str">
        <f>"9781853599934"</f>
        <v>9781853599934</v>
      </c>
      <c r="D1133" s="10" t="s">
        <v>8394</v>
      </c>
      <c r="E1133" s="10" t="s">
        <v>8395</v>
      </c>
      <c r="F1133" s="10" t="s">
        <v>8396</v>
      </c>
      <c r="G1133" s="10" t="s">
        <v>6352</v>
      </c>
      <c r="H1133" s="11">
        <v>39248</v>
      </c>
      <c r="I1133" s="10">
        <v>2007</v>
      </c>
      <c r="J1133" s="10" t="s">
        <v>8395</v>
      </c>
      <c r="K1133" s="10">
        <v>302</v>
      </c>
      <c r="L1133" s="10" t="s">
        <v>11231</v>
      </c>
      <c r="M1133" s="10">
        <v>1</v>
      </c>
      <c r="N1133" s="10" t="s">
        <v>8403</v>
      </c>
      <c r="O1133" s="10">
        <v>64</v>
      </c>
      <c r="P1133" s="10" t="s">
        <v>11232</v>
      </c>
      <c r="Q1133" s="10">
        <v>370.11709509999997</v>
      </c>
      <c r="R1133" s="10" t="s">
        <v>11233</v>
      </c>
      <c r="S1133" s="10" t="s">
        <v>53</v>
      </c>
      <c r="T1133" s="10" t="s">
        <v>54</v>
      </c>
    </row>
    <row r="1134" spans="1:20" ht="14.5" x14ac:dyDescent="0.35">
      <c r="A1134" s="10" t="s">
        <v>11234</v>
      </c>
      <c r="B1134" s="10" t="str">
        <f>"9781853599774"</f>
        <v>9781853599774</v>
      </c>
      <c r="C1134" s="10" t="str">
        <f>"9781853599781"</f>
        <v>9781853599781</v>
      </c>
      <c r="D1134" s="10" t="s">
        <v>8394</v>
      </c>
      <c r="E1134" s="10" t="s">
        <v>8395</v>
      </c>
      <c r="F1134" s="10" t="s">
        <v>8396</v>
      </c>
      <c r="G1134" s="10" t="s">
        <v>6352</v>
      </c>
      <c r="H1134" s="11">
        <v>39268</v>
      </c>
      <c r="I1134" s="10">
        <v>2007</v>
      </c>
      <c r="J1134" s="10" t="s">
        <v>8395</v>
      </c>
      <c r="K1134" s="10">
        <v>281</v>
      </c>
      <c r="L1134" s="10" t="s">
        <v>11235</v>
      </c>
      <c r="M1134" s="10">
        <v>1</v>
      </c>
      <c r="N1134" s="10" t="s">
        <v>11236</v>
      </c>
      <c r="O1134" s="10">
        <v>5</v>
      </c>
      <c r="P1134" s="10" t="s">
        <v>11237</v>
      </c>
      <c r="Q1134" s="10" t="s">
        <v>11238</v>
      </c>
      <c r="R1134" s="10" t="s">
        <v>11239</v>
      </c>
      <c r="S1134" s="10" t="s">
        <v>53</v>
      </c>
      <c r="T1134" s="10" t="s">
        <v>8412</v>
      </c>
    </row>
    <row r="1135" spans="1:20" ht="14.5" x14ac:dyDescent="0.35">
      <c r="A1135" s="10" t="s">
        <v>11240</v>
      </c>
      <c r="B1135" s="10" t="str">
        <f>"9781853599675"</f>
        <v>9781853599675</v>
      </c>
      <c r="C1135" s="10" t="str">
        <f>"9781853599682"</f>
        <v>9781853599682</v>
      </c>
      <c r="D1135" s="10" t="s">
        <v>8394</v>
      </c>
      <c r="E1135" s="10" t="s">
        <v>8395</v>
      </c>
      <c r="F1135" s="10" t="s">
        <v>8396</v>
      </c>
      <c r="G1135" s="10" t="s">
        <v>6352</v>
      </c>
      <c r="H1135" s="11">
        <v>39219</v>
      </c>
      <c r="I1135" s="10">
        <v>2007</v>
      </c>
      <c r="J1135" s="10" t="s">
        <v>8395</v>
      </c>
      <c r="K1135" s="10">
        <v>205</v>
      </c>
      <c r="L1135" s="10" t="s">
        <v>11241</v>
      </c>
      <c r="M1135" s="10">
        <v>1</v>
      </c>
      <c r="N1135" s="10" t="s">
        <v>8874</v>
      </c>
      <c r="O1135" s="10">
        <v>23</v>
      </c>
      <c r="P1135" s="10" t="s">
        <v>11242</v>
      </c>
      <c r="Q1135" s="10" t="s">
        <v>10162</v>
      </c>
      <c r="R1135" s="10" t="s">
        <v>11243</v>
      </c>
      <c r="S1135" s="10" t="s">
        <v>53</v>
      </c>
      <c r="T1135" s="10" t="s">
        <v>6616</v>
      </c>
    </row>
    <row r="1136" spans="1:20" ht="14.5" x14ac:dyDescent="0.35">
      <c r="A1136" s="10" t="s">
        <v>11244</v>
      </c>
      <c r="B1136" s="10" t="str">
        <f>"9781853599750"</f>
        <v>9781853599750</v>
      </c>
      <c r="C1136" s="10" t="str">
        <f>"9781853599767"</f>
        <v>9781853599767</v>
      </c>
      <c r="D1136" s="10" t="s">
        <v>8394</v>
      </c>
      <c r="E1136" s="10" t="s">
        <v>8395</v>
      </c>
      <c r="F1136" s="10" t="s">
        <v>8396</v>
      </c>
      <c r="G1136" s="10" t="s">
        <v>6352</v>
      </c>
      <c r="H1136" s="11">
        <v>39219</v>
      </c>
      <c r="I1136" s="10">
        <v>2007</v>
      </c>
      <c r="J1136" s="10" t="s">
        <v>8395</v>
      </c>
      <c r="K1136" s="10">
        <v>203</v>
      </c>
      <c r="L1136" s="10" t="s">
        <v>11245</v>
      </c>
      <c r="M1136" s="10">
        <v>1</v>
      </c>
      <c r="N1136" s="10" t="s">
        <v>9503</v>
      </c>
      <c r="O1136" s="10">
        <v>2</v>
      </c>
      <c r="P1136" s="10" t="s">
        <v>11246</v>
      </c>
      <c r="Q1136" s="10">
        <v>808.10709999999995</v>
      </c>
      <c r="R1136" s="10" t="s">
        <v>11247</v>
      </c>
      <c r="S1136" s="10" t="s">
        <v>53</v>
      </c>
      <c r="T1136" s="10" t="s">
        <v>1166</v>
      </c>
    </row>
    <row r="1137" spans="1:20" ht="14.5" x14ac:dyDescent="0.35">
      <c r="A1137" s="10" t="s">
        <v>11248</v>
      </c>
      <c r="B1137" s="10" t="str">
        <f>"9781403975041"</f>
        <v>9781403975041</v>
      </c>
      <c r="C1137" s="10" t="str">
        <f>"9780230604810"</f>
        <v>9780230604810</v>
      </c>
      <c r="D1137" s="10" t="s">
        <v>11249</v>
      </c>
      <c r="E1137" s="10" t="s">
        <v>2400</v>
      </c>
      <c r="F1137" s="10" t="s">
        <v>70</v>
      </c>
      <c r="G1137" s="10" t="s">
        <v>6317</v>
      </c>
      <c r="H1137" s="11">
        <v>39304</v>
      </c>
      <c r="I1137" s="10">
        <v>2007</v>
      </c>
      <c r="J1137" s="10" t="s">
        <v>2400</v>
      </c>
      <c r="K1137" s="10">
        <v>273</v>
      </c>
      <c r="L1137" s="10" t="s">
        <v>11250</v>
      </c>
      <c r="M1137" s="10">
        <v>1</v>
      </c>
      <c r="N1137" s="10"/>
      <c r="O1137" s="10"/>
      <c r="P1137" s="10" t="s">
        <v>11251</v>
      </c>
      <c r="Q1137" s="10" t="s">
        <v>7335</v>
      </c>
      <c r="R1137" s="10" t="s">
        <v>11252</v>
      </c>
      <c r="S1137" s="10" t="s">
        <v>53</v>
      </c>
      <c r="T1137" s="10" t="s">
        <v>54</v>
      </c>
    </row>
    <row r="1138" spans="1:20" ht="14.5" x14ac:dyDescent="0.35">
      <c r="A1138" s="10" t="s">
        <v>11253</v>
      </c>
      <c r="B1138" s="10" t="str">
        <f>"9781403971593"</f>
        <v>9781403971593</v>
      </c>
      <c r="C1138" s="10" t="str">
        <f>"9781403984364"</f>
        <v>9781403984364</v>
      </c>
      <c r="D1138" s="10" t="s">
        <v>11249</v>
      </c>
      <c r="E1138" s="10" t="s">
        <v>2400</v>
      </c>
      <c r="F1138" s="10" t="s">
        <v>70</v>
      </c>
      <c r="G1138" s="10" t="s">
        <v>6317</v>
      </c>
      <c r="H1138" s="11">
        <v>38860</v>
      </c>
      <c r="I1138" s="10">
        <v>2006</v>
      </c>
      <c r="J1138" s="10" t="s">
        <v>2400</v>
      </c>
      <c r="K1138" s="10">
        <v>263</v>
      </c>
      <c r="L1138" s="10" t="s">
        <v>11254</v>
      </c>
      <c r="M1138" s="10">
        <v>1</v>
      </c>
      <c r="N1138" s="10"/>
      <c r="O1138" s="10"/>
      <c r="P1138" s="10" t="s">
        <v>11255</v>
      </c>
      <c r="Q1138" s="10"/>
      <c r="R1138" s="10" t="s">
        <v>11256</v>
      </c>
      <c r="S1138" s="10" t="s">
        <v>53</v>
      </c>
      <c r="T1138" s="10" t="s">
        <v>6363</v>
      </c>
    </row>
    <row r="1139" spans="1:20" ht="14.5" x14ac:dyDescent="0.35">
      <c r="A1139" s="10" t="s">
        <v>11257</v>
      </c>
      <c r="B1139" s="10" t="str">
        <f>"9781403973955"</f>
        <v>9781403973955</v>
      </c>
      <c r="C1139" s="10" t="str">
        <f>"9781403984722"</f>
        <v>9781403984722</v>
      </c>
      <c r="D1139" s="10" t="s">
        <v>11249</v>
      </c>
      <c r="E1139" s="10" t="s">
        <v>2400</v>
      </c>
      <c r="F1139" s="10" t="s">
        <v>70</v>
      </c>
      <c r="G1139" s="10" t="s">
        <v>6317</v>
      </c>
      <c r="H1139" s="11">
        <v>38824</v>
      </c>
      <c r="I1139" s="10">
        <v>2006</v>
      </c>
      <c r="J1139" s="10" t="s">
        <v>2400</v>
      </c>
      <c r="K1139" s="10">
        <v>229</v>
      </c>
      <c r="L1139" s="10" t="s">
        <v>11258</v>
      </c>
      <c r="M1139" s="10">
        <v>1</v>
      </c>
      <c r="N1139" s="10"/>
      <c r="O1139" s="10"/>
      <c r="P1139" s="10" t="s">
        <v>11259</v>
      </c>
      <c r="Q1139" s="10"/>
      <c r="R1139" s="10" t="s">
        <v>11260</v>
      </c>
      <c r="S1139" s="10" t="s">
        <v>53</v>
      </c>
      <c r="T1139" s="10" t="s">
        <v>4490</v>
      </c>
    </row>
    <row r="1140" spans="1:20" ht="14.5" x14ac:dyDescent="0.35">
      <c r="A1140" s="10" t="s">
        <v>11261</v>
      </c>
      <c r="B1140" s="10" t="str">
        <f>"9781403974204"</f>
        <v>9781403974204</v>
      </c>
      <c r="C1140" s="10" t="str">
        <f>"9780230601932"</f>
        <v>9780230601932</v>
      </c>
      <c r="D1140" s="10" t="s">
        <v>11249</v>
      </c>
      <c r="E1140" s="10" t="s">
        <v>2400</v>
      </c>
      <c r="F1140" s="10" t="s">
        <v>70</v>
      </c>
      <c r="G1140" s="10" t="s">
        <v>6317</v>
      </c>
      <c r="H1140" s="11">
        <v>39350</v>
      </c>
      <c r="I1140" s="10">
        <v>2007</v>
      </c>
      <c r="J1140" s="10" t="s">
        <v>2400</v>
      </c>
      <c r="K1140" s="10">
        <v>240</v>
      </c>
      <c r="L1140" s="10" t="s">
        <v>11262</v>
      </c>
      <c r="M1140" s="10">
        <v>1</v>
      </c>
      <c r="N1140" s="10"/>
      <c r="O1140" s="10"/>
      <c r="P1140" s="10" t="s">
        <v>11263</v>
      </c>
      <c r="Q1140" s="10">
        <v>379.15800000000002</v>
      </c>
      <c r="R1140" s="10" t="s">
        <v>11264</v>
      </c>
      <c r="S1140" s="10" t="s">
        <v>53</v>
      </c>
      <c r="T1140" s="10" t="s">
        <v>54</v>
      </c>
    </row>
    <row r="1141" spans="1:20" ht="14.5" x14ac:dyDescent="0.35">
      <c r="A1141" s="10" t="s">
        <v>11265</v>
      </c>
      <c r="B1141" s="10" t="str">
        <f>"9781403963277"</f>
        <v>9781403963277</v>
      </c>
      <c r="C1141" s="10" t="str">
        <f>"9781403981356"</f>
        <v>9781403981356</v>
      </c>
      <c r="D1141" s="10" t="s">
        <v>11249</v>
      </c>
      <c r="E1141" s="10" t="s">
        <v>2400</v>
      </c>
      <c r="F1141" s="10" t="s">
        <v>70</v>
      </c>
      <c r="G1141" s="10" t="s">
        <v>6317</v>
      </c>
      <c r="H1141" s="11">
        <v>38495</v>
      </c>
      <c r="I1141" s="10">
        <v>2005</v>
      </c>
      <c r="J1141" s="10" t="s">
        <v>2400</v>
      </c>
      <c r="K1141" s="10">
        <v>242</v>
      </c>
      <c r="L1141" s="10" t="s">
        <v>11266</v>
      </c>
      <c r="M1141" s="10">
        <v>1</v>
      </c>
      <c r="N1141" s="10"/>
      <c r="O1141" s="10"/>
      <c r="P1141" s="10" t="s">
        <v>11263</v>
      </c>
      <c r="Q1141" s="10"/>
      <c r="R1141" s="10" t="s">
        <v>11267</v>
      </c>
      <c r="S1141" s="10" t="s">
        <v>53</v>
      </c>
      <c r="T1141" s="10" t="s">
        <v>54</v>
      </c>
    </row>
    <row r="1142" spans="1:20" ht="14.5" x14ac:dyDescent="0.35">
      <c r="A1142" s="10" t="s">
        <v>11268</v>
      </c>
      <c r="B1142" s="10" t="str">
        <f>"9781403966674"</f>
        <v>9781403966674</v>
      </c>
      <c r="C1142" s="10" t="str">
        <f>"9781403984647"</f>
        <v>9781403984647</v>
      </c>
      <c r="D1142" s="10" t="s">
        <v>11249</v>
      </c>
      <c r="E1142" s="10" t="s">
        <v>2400</v>
      </c>
      <c r="F1142" s="10" t="s">
        <v>70</v>
      </c>
      <c r="G1142" s="10" t="s">
        <v>6317</v>
      </c>
      <c r="H1142" s="11">
        <v>38749</v>
      </c>
      <c r="I1142" s="10">
        <v>2006</v>
      </c>
      <c r="J1142" s="10" t="s">
        <v>2400</v>
      </c>
      <c r="K1142" s="10">
        <v>204</v>
      </c>
      <c r="L1142" s="10" t="s">
        <v>11269</v>
      </c>
      <c r="M1142" s="10">
        <v>1</v>
      </c>
      <c r="N1142" s="10"/>
      <c r="O1142" s="10"/>
      <c r="P1142" s="10" t="s">
        <v>11270</v>
      </c>
      <c r="Q1142" s="10" t="s">
        <v>8223</v>
      </c>
      <c r="R1142" s="10" t="s">
        <v>11271</v>
      </c>
      <c r="S1142" s="10" t="s">
        <v>53</v>
      </c>
      <c r="T1142" s="10" t="s">
        <v>54</v>
      </c>
    </row>
    <row r="1143" spans="1:20" ht="14.5" x14ac:dyDescent="0.35">
      <c r="A1143" s="10" t="s">
        <v>11272</v>
      </c>
      <c r="B1143" s="10" t="str">
        <f>"9781403967930"</f>
        <v>9781403967930</v>
      </c>
      <c r="C1143" s="10" t="str">
        <f>"9780230603523"</f>
        <v>9780230603523</v>
      </c>
      <c r="D1143" s="10" t="s">
        <v>11249</v>
      </c>
      <c r="E1143" s="10" t="s">
        <v>2400</v>
      </c>
      <c r="F1143" s="10" t="s">
        <v>70</v>
      </c>
      <c r="G1143" s="10" t="s">
        <v>6317</v>
      </c>
      <c r="H1143" s="11">
        <v>39373</v>
      </c>
      <c r="I1143" s="10">
        <v>2007</v>
      </c>
      <c r="J1143" s="10" t="s">
        <v>2400</v>
      </c>
      <c r="K1143" s="10">
        <v>200</v>
      </c>
      <c r="L1143" s="10" t="s">
        <v>11273</v>
      </c>
      <c r="M1143" s="10">
        <v>1</v>
      </c>
      <c r="N1143" s="10" t="s">
        <v>11274</v>
      </c>
      <c r="O1143" s="10"/>
      <c r="P1143" s="10" t="s">
        <v>11275</v>
      </c>
      <c r="Q1143" s="10"/>
      <c r="R1143" s="10" t="s">
        <v>11276</v>
      </c>
      <c r="S1143" s="10" t="s">
        <v>53</v>
      </c>
      <c r="T1143" s="10" t="s">
        <v>54</v>
      </c>
    </row>
    <row r="1144" spans="1:20" ht="14.5" x14ac:dyDescent="0.35">
      <c r="A1144" s="10" t="s">
        <v>11277</v>
      </c>
      <c r="B1144" s="10" t="str">
        <f>"9781403970374"</f>
        <v>9781403970374</v>
      </c>
      <c r="C1144" s="10" t="str">
        <f>"9781403983053"</f>
        <v>9781403983053</v>
      </c>
      <c r="D1144" s="10" t="s">
        <v>11249</v>
      </c>
      <c r="E1144" s="10" t="s">
        <v>2400</v>
      </c>
      <c r="F1144" s="10" t="s">
        <v>70</v>
      </c>
      <c r="G1144" s="10" t="s">
        <v>6317</v>
      </c>
      <c r="H1144" s="11">
        <v>38856</v>
      </c>
      <c r="I1144" s="10">
        <v>2006</v>
      </c>
      <c r="J1144" s="10" t="s">
        <v>2400</v>
      </c>
      <c r="K1144" s="10">
        <v>332</v>
      </c>
      <c r="L1144" s="10" t="s">
        <v>11278</v>
      </c>
      <c r="M1144" s="10">
        <v>1</v>
      </c>
      <c r="N1144" s="10"/>
      <c r="O1144" s="10"/>
      <c r="P1144" s="10" t="s">
        <v>11279</v>
      </c>
      <c r="Q1144" s="10"/>
      <c r="R1144" s="10" t="s">
        <v>11280</v>
      </c>
      <c r="S1144" s="10" t="s">
        <v>53</v>
      </c>
      <c r="T1144" s="10" t="s">
        <v>6472</v>
      </c>
    </row>
    <row r="1145" spans="1:20" ht="14.5" x14ac:dyDescent="0.35">
      <c r="A1145" s="10" t="s">
        <v>11281</v>
      </c>
      <c r="B1145" s="10" t="str">
        <f>"9781403971142"</f>
        <v>9781403971142</v>
      </c>
      <c r="C1145" s="10" t="str">
        <f>"9780312376345"</f>
        <v>9780312376345</v>
      </c>
      <c r="D1145" s="10" t="s">
        <v>11249</v>
      </c>
      <c r="E1145" s="10" t="s">
        <v>2400</v>
      </c>
      <c r="F1145" s="10" t="s">
        <v>70</v>
      </c>
      <c r="G1145" s="10" t="s">
        <v>6317</v>
      </c>
      <c r="H1145" s="11">
        <v>38856</v>
      </c>
      <c r="I1145" s="10">
        <v>2006</v>
      </c>
      <c r="J1145" s="10" t="s">
        <v>2400</v>
      </c>
      <c r="K1145" s="10">
        <v>264</v>
      </c>
      <c r="L1145" s="10" t="s">
        <v>11282</v>
      </c>
      <c r="M1145" s="10">
        <v>1</v>
      </c>
      <c r="N1145" s="10"/>
      <c r="O1145" s="10"/>
      <c r="P1145" s="10" t="s">
        <v>11283</v>
      </c>
      <c r="Q1145" s="10"/>
      <c r="R1145" s="10" t="s">
        <v>11284</v>
      </c>
      <c r="S1145" s="10" t="s">
        <v>53</v>
      </c>
      <c r="T1145" s="10" t="s">
        <v>11285</v>
      </c>
    </row>
    <row r="1146" spans="1:20" ht="14.5" x14ac:dyDescent="0.35">
      <c r="A1146" s="10" t="s">
        <v>11286</v>
      </c>
      <c r="B1146" s="10" t="str">
        <f>"9781403972743"</f>
        <v>9781403972743</v>
      </c>
      <c r="C1146" s="10" t="str">
        <f>"9781403983619"</f>
        <v>9781403983619</v>
      </c>
      <c r="D1146" s="10" t="s">
        <v>11249</v>
      </c>
      <c r="E1146" s="10" t="s">
        <v>2400</v>
      </c>
      <c r="F1146" s="10" t="s">
        <v>70</v>
      </c>
      <c r="G1146" s="10" t="s">
        <v>6317</v>
      </c>
      <c r="H1146" s="11">
        <v>38982</v>
      </c>
      <c r="I1146" s="10">
        <v>2006</v>
      </c>
      <c r="J1146" s="10" t="s">
        <v>2400</v>
      </c>
      <c r="K1146" s="10">
        <v>184</v>
      </c>
      <c r="L1146" s="10" t="s">
        <v>11287</v>
      </c>
      <c r="M1146" s="10">
        <v>1</v>
      </c>
      <c r="N1146" s="10"/>
      <c r="O1146" s="10"/>
      <c r="P1146" s="10" t="s">
        <v>11275</v>
      </c>
      <c r="Q1146" s="10"/>
      <c r="R1146" s="10" t="s">
        <v>11288</v>
      </c>
      <c r="S1146" s="10" t="s">
        <v>53</v>
      </c>
      <c r="T1146" s="10" t="s">
        <v>54</v>
      </c>
    </row>
    <row r="1147" spans="1:20" ht="14.5" x14ac:dyDescent="0.35">
      <c r="A1147" s="10" t="s">
        <v>11289</v>
      </c>
      <c r="B1147" s="10" t="str">
        <f>"9780312295431"</f>
        <v>9780312295431</v>
      </c>
      <c r="C1147" s="10" t="str">
        <f>"9781403981400"</f>
        <v>9781403981400</v>
      </c>
      <c r="D1147" s="10" t="s">
        <v>11249</v>
      </c>
      <c r="E1147" s="10" t="s">
        <v>2400</v>
      </c>
      <c r="F1147" s="10" t="s">
        <v>70</v>
      </c>
      <c r="G1147" s="10" t="s">
        <v>6317</v>
      </c>
      <c r="H1147" s="11">
        <v>38639</v>
      </c>
      <c r="I1147" s="10">
        <v>2005</v>
      </c>
      <c r="J1147" s="10" t="s">
        <v>2400</v>
      </c>
      <c r="K1147" s="10">
        <v>319</v>
      </c>
      <c r="L1147" s="10" t="s">
        <v>11290</v>
      </c>
      <c r="M1147" s="10">
        <v>1</v>
      </c>
      <c r="N1147" s="10" t="s">
        <v>11291</v>
      </c>
      <c r="O1147" s="10"/>
      <c r="P1147" s="10" t="s">
        <v>11292</v>
      </c>
      <c r="Q1147" s="10"/>
      <c r="R1147" s="10" t="s">
        <v>11293</v>
      </c>
      <c r="S1147" s="10" t="s">
        <v>53</v>
      </c>
      <c r="T1147" s="10" t="s">
        <v>6363</v>
      </c>
    </row>
    <row r="1148" spans="1:20" ht="14.5" x14ac:dyDescent="0.35">
      <c r="A1148" s="10" t="s">
        <v>11294</v>
      </c>
      <c r="B1148" s="10" t="str">
        <f>"9781403968104"</f>
        <v>9781403968104</v>
      </c>
      <c r="C1148" s="10" t="str">
        <f>"9781403982971"</f>
        <v>9781403982971</v>
      </c>
      <c r="D1148" s="10" t="s">
        <v>11249</v>
      </c>
      <c r="E1148" s="10" t="s">
        <v>2400</v>
      </c>
      <c r="F1148" s="10" t="s">
        <v>70</v>
      </c>
      <c r="G1148" s="10" t="s">
        <v>6317</v>
      </c>
      <c r="H1148" s="11">
        <v>38860</v>
      </c>
      <c r="I1148" s="10">
        <v>2006</v>
      </c>
      <c r="J1148" s="10" t="s">
        <v>2400</v>
      </c>
      <c r="K1148" s="10">
        <v>247</v>
      </c>
      <c r="L1148" s="10" t="s">
        <v>11295</v>
      </c>
      <c r="M1148" s="10">
        <v>1</v>
      </c>
      <c r="N1148" s="10"/>
      <c r="O1148" s="10"/>
      <c r="P1148" s="10" t="s">
        <v>11296</v>
      </c>
      <c r="Q1148" s="10"/>
      <c r="R1148" s="10" t="s">
        <v>11297</v>
      </c>
      <c r="S1148" s="10" t="s">
        <v>53</v>
      </c>
      <c r="T1148" s="10" t="s">
        <v>11298</v>
      </c>
    </row>
    <row r="1149" spans="1:20" ht="14.5" x14ac:dyDescent="0.35">
      <c r="A1149" s="10" t="s">
        <v>11299</v>
      </c>
      <c r="B1149" s="10" t="str">
        <f>"9781403975331"</f>
        <v>9781403975331</v>
      </c>
      <c r="C1149" s="10" t="str">
        <f>"9780230603080"</f>
        <v>9780230603080</v>
      </c>
      <c r="D1149" s="10" t="s">
        <v>11249</v>
      </c>
      <c r="E1149" s="10" t="s">
        <v>2400</v>
      </c>
      <c r="F1149" s="10" t="s">
        <v>70</v>
      </c>
      <c r="G1149" s="10" t="s">
        <v>6317</v>
      </c>
      <c r="H1149" s="11">
        <v>39547</v>
      </c>
      <c r="I1149" s="10">
        <v>2007</v>
      </c>
      <c r="J1149" s="10" t="s">
        <v>2400</v>
      </c>
      <c r="K1149" s="10">
        <v>268</v>
      </c>
      <c r="L1149" s="10" t="s">
        <v>11300</v>
      </c>
      <c r="M1149" s="10">
        <v>1</v>
      </c>
      <c r="N1149" s="10"/>
      <c r="O1149" s="10"/>
      <c r="P1149" s="10" t="s">
        <v>11251</v>
      </c>
      <c r="Q1149" s="10"/>
      <c r="R1149" s="10" t="s">
        <v>6938</v>
      </c>
      <c r="S1149" s="10" t="s">
        <v>53</v>
      </c>
      <c r="T1149" s="10" t="s">
        <v>54</v>
      </c>
    </row>
    <row r="1150" spans="1:20" ht="14.5" x14ac:dyDescent="0.35">
      <c r="A1150" s="10" t="s">
        <v>11301</v>
      </c>
      <c r="B1150" s="10" t="str">
        <f>"9781403969361"</f>
        <v>9781403969361</v>
      </c>
      <c r="C1150" s="10" t="str">
        <f>"9781403979346"</f>
        <v>9781403979346</v>
      </c>
      <c r="D1150" s="10" t="s">
        <v>11249</v>
      </c>
      <c r="E1150" s="10" t="s">
        <v>2400</v>
      </c>
      <c r="F1150" s="10" t="s">
        <v>70</v>
      </c>
      <c r="G1150" s="10" t="s">
        <v>6317</v>
      </c>
      <c r="H1150" s="11">
        <v>38632</v>
      </c>
      <c r="I1150" s="10">
        <v>2005</v>
      </c>
      <c r="J1150" s="10" t="s">
        <v>2400</v>
      </c>
      <c r="K1150" s="10">
        <v>336</v>
      </c>
      <c r="L1150" s="10" t="s">
        <v>11302</v>
      </c>
      <c r="M1150" s="10">
        <v>1</v>
      </c>
      <c r="N1150" s="10"/>
      <c r="O1150" s="10"/>
      <c r="P1150" s="10" t="s">
        <v>11303</v>
      </c>
      <c r="Q1150" s="10"/>
      <c r="R1150" s="10" t="s">
        <v>11304</v>
      </c>
      <c r="S1150" s="10" t="s">
        <v>53</v>
      </c>
      <c r="T1150" s="10" t="s">
        <v>11305</v>
      </c>
    </row>
    <row r="1151" spans="1:20" ht="14.5" x14ac:dyDescent="0.35">
      <c r="A1151" s="10" t="s">
        <v>11306</v>
      </c>
      <c r="B1151" s="10" t="str">
        <f>"9781403970954"</f>
        <v>9781403970954</v>
      </c>
      <c r="C1151" s="10" t="str">
        <f>"9780230603165"</f>
        <v>9780230603165</v>
      </c>
      <c r="D1151" s="10" t="s">
        <v>11249</v>
      </c>
      <c r="E1151" s="10" t="s">
        <v>2400</v>
      </c>
      <c r="F1151" s="10" t="s">
        <v>70</v>
      </c>
      <c r="G1151" s="10" t="s">
        <v>6317</v>
      </c>
      <c r="H1151" s="11">
        <v>39239</v>
      </c>
      <c r="I1151" s="10">
        <v>2006</v>
      </c>
      <c r="J1151" s="10" t="s">
        <v>2400</v>
      </c>
      <c r="K1151" s="10">
        <v>251</v>
      </c>
      <c r="L1151" s="10" t="s">
        <v>11307</v>
      </c>
      <c r="M1151" s="10">
        <v>1</v>
      </c>
      <c r="N1151" s="10" t="s">
        <v>11308</v>
      </c>
      <c r="O1151" s="10"/>
      <c r="P1151" s="10" t="s">
        <v>11303</v>
      </c>
      <c r="Q1151" s="10">
        <v>378.5</v>
      </c>
      <c r="R1151" s="10" t="s">
        <v>11309</v>
      </c>
      <c r="S1151" s="10" t="s">
        <v>53</v>
      </c>
      <c r="T1151" s="10" t="s">
        <v>11310</v>
      </c>
    </row>
    <row r="1152" spans="1:20" ht="14.5" x14ac:dyDescent="0.35">
      <c r="A1152" s="10" t="s">
        <v>11311</v>
      </c>
      <c r="B1152" s="10" t="str">
        <f>"9781403975058"</f>
        <v>9781403975058</v>
      </c>
      <c r="C1152" s="10" t="str">
        <f>"9780230601994"</f>
        <v>9780230601994</v>
      </c>
      <c r="D1152" s="10" t="s">
        <v>11249</v>
      </c>
      <c r="E1152" s="10" t="s">
        <v>2400</v>
      </c>
      <c r="F1152" s="10" t="s">
        <v>70</v>
      </c>
      <c r="G1152" s="10" t="s">
        <v>6317</v>
      </c>
      <c r="H1152" s="11">
        <v>39138</v>
      </c>
      <c r="I1152" s="10">
        <v>2006</v>
      </c>
      <c r="J1152" s="10" t="s">
        <v>2400</v>
      </c>
      <c r="K1152" s="10">
        <v>249</v>
      </c>
      <c r="L1152" s="10" t="s">
        <v>11312</v>
      </c>
      <c r="M1152" s="10">
        <v>1</v>
      </c>
      <c r="N1152" s="10"/>
      <c r="O1152" s="10"/>
      <c r="P1152" s="10" t="s">
        <v>11313</v>
      </c>
      <c r="Q1152" s="10" t="s">
        <v>11314</v>
      </c>
      <c r="R1152" s="10" t="s">
        <v>11315</v>
      </c>
      <c r="S1152" s="10" t="s">
        <v>53</v>
      </c>
      <c r="T1152" s="10" t="s">
        <v>54</v>
      </c>
    </row>
    <row r="1153" spans="1:20" ht="14.5" x14ac:dyDescent="0.35">
      <c r="A1153" s="10" t="s">
        <v>11316</v>
      </c>
      <c r="B1153" s="10" t="str">
        <f>"9780230605145"</f>
        <v>9780230605145</v>
      </c>
      <c r="C1153" s="10" t="str">
        <f>"9781403978417"</f>
        <v>9781403978417</v>
      </c>
      <c r="D1153" s="10" t="s">
        <v>11249</v>
      </c>
      <c r="E1153" s="10" t="s">
        <v>2400</v>
      </c>
      <c r="F1153" s="10" t="s">
        <v>70</v>
      </c>
      <c r="G1153" s="10" t="s">
        <v>6317</v>
      </c>
      <c r="H1153" s="11">
        <v>38699</v>
      </c>
      <c r="I1153" s="10">
        <v>2005</v>
      </c>
      <c r="J1153" s="10" t="s">
        <v>2400</v>
      </c>
      <c r="K1153" s="10">
        <v>307</v>
      </c>
      <c r="L1153" s="10" t="s">
        <v>11317</v>
      </c>
      <c r="M1153" s="10">
        <v>1</v>
      </c>
      <c r="N1153" s="10"/>
      <c r="O1153" s="10"/>
      <c r="P1153" s="10" t="s">
        <v>11275</v>
      </c>
      <c r="Q1153" s="10" t="s">
        <v>7600</v>
      </c>
      <c r="R1153" s="10" t="s">
        <v>11318</v>
      </c>
      <c r="S1153" s="10" t="s">
        <v>53</v>
      </c>
      <c r="T1153" s="10" t="s">
        <v>54</v>
      </c>
    </row>
    <row r="1154" spans="1:20" ht="14.5" x14ac:dyDescent="0.35">
      <c r="A1154" s="10" t="s">
        <v>11319</v>
      </c>
      <c r="B1154" s="10" t="str">
        <f>"9781403963512"</f>
        <v>9781403963512</v>
      </c>
      <c r="C1154" s="10" t="str">
        <f>"9781403981578"</f>
        <v>9781403981578</v>
      </c>
      <c r="D1154" s="10" t="s">
        <v>11249</v>
      </c>
      <c r="E1154" s="10" t="s">
        <v>2400</v>
      </c>
      <c r="F1154" s="10" t="s">
        <v>70</v>
      </c>
      <c r="G1154" s="10" t="s">
        <v>6317</v>
      </c>
      <c r="H1154" s="11">
        <v>38601</v>
      </c>
      <c r="I1154" s="10">
        <v>2005</v>
      </c>
      <c r="J1154" s="10" t="s">
        <v>2400</v>
      </c>
      <c r="K1154" s="10">
        <v>232</v>
      </c>
      <c r="L1154" s="10" t="s">
        <v>11320</v>
      </c>
      <c r="M1154" s="10">
        <v>1</v>
      </c>
      <c r="N1154" s="10"/>
      <c r="O1154" s="10"/>
      <c r="P1154" s="10" t="s">
        <v>11321</v>
      </c>
      <c r="Q1154" s="10"/>
      <c r="R1154" s="10" t="s">
        <v>11322</v>
      </c>
      <c r="S1154" s="10" t="s">
        <v>53</v>
      </c>
      <c r="T1154" s="10" t="s">
        <v>6526</v>
      </c>
    </row>
    <row r="1155" spans="1:20" ht="14.5" x14ac:dyDescent="0.35">
      <c r="A1155" s="10" t="s">
        <v>11323</v>
      </c>
      <c r="B1155" s="10" t="str">
        <f>"9781403975805"</f>
        <v>9781403975805</v>
      </c>
      <c r="C1155" s="10" t="str">
        <f>"9780230601703"</f>
        <v>9780230601703</v>
      </c>
      <c r="D1155" s="10" t="s">
        <v>11249</v>
      </c>
      <c r="E1155" s="10" t="s">
        <v>2400</v>
      </c>
      <c r="F1155" s="10" t="s">
        <v>70</v>
      </c>
      <c r="G1155" s="10" t="s">
        <v>6317</v>
      </c>
      <c r="H1155" s="11">
        <v>39122</v>
      </c>
      <c r="I1155" s="10">
        <v>2006</v>
      </c>
      <c r="J1155" s="10" t="s">
        <v>2400</v>
      </c>
      <c r="K1155" s="10">
        <v>254</v>
      </c>
      <c r="L1155" s="10" t="s">
        <v>11324</v>
      </c>
      <c r="M1155" s="10">
        <v>1</v>
      </c>
      <c r="N1155" s="10"/>
      <c r="O1155" s="10"/>
      <c r="P1155" s="10" t="s">
        <v>11303</v>
      </c>
      <c r="Q1155" s="10">
        <v>629.89200000000005</v>
      </c>
      <c r="R1155" s="10" t="s">
        <v>11325</v>
      </c>
      <c r="S1155" s="10" t="s">
        <v>53</v>
      </c>
      <c r="T1155" s="10" t="s">
        <v>11326</v>
      </c>
    </row>
    <row r="1156" spans="1:20" ht="14.5" x14ac:dyDescent="0.35">
      <c r="A1156" s="10" t="s">
        <v>11327</v>
      </c>
      <c r="B1156" s="10" t="str">
        <f>"9780230115705"</f>
        <v>9780230115705</v>
      </c>
      <c r="C1156" s="10" t="str">
        <f>"9780230603516"</f>
        <v>9780230603516</v>
      </c>
      <c r="D1156" s="10" t="s">
        <v>11249</v>
      </c>
      <c r="E1156" s="10" t="s">
        <v>2400</v>
      </c>
      <c r="F1156" s="10" t="s">
        <v>70</v>
      </c>
      <c r="G1156" s="10" t="s">
        <v>6317</v>
      </c>
      <c r="H1156" s="11">
        <v>39184</v>
      </c>
      <c r="I1156" s="10">
        <v>2007</v>
      </c>
      <c r="J1156" s="10" t="s">
        <v>2400</v>
      </c>
      <c r="K1156" s="10">
        <v>213</v>
      </c>
      <c r="L1156" s="10" t="s">
        <v>11328</v>
      </c>
      <c r="M1156" s="10">
        <v>1</v>
      </c>
      <c r="N1156" s="10" t="s">
        <v>11308</v>
      </c>
      <c r="O1156" s="10"/>
      <c r="P1156" s="10" t="s">
        <v>11251</v>
      </c>
      <c r="Q1156" s="10"/>
      <c r="R1156" s="10" t="s">
        <v>6765</v>
      </c>
      <c r="S1156" s="10" t="s">
        <v>53</v>
      </c>
      <c r="T1156" s="10" t="s">
        <v>54</v>
      </c>
    </row>
    <row r="1157" spans="1:20" ht="14.5" x14ac:dyDescent="0.35">
      <c r="A1157" s="10" t="s">
        <v>11329</v>
      </c>
      <c r="B1157" s="10" t="str">
        <f>"9781403974259"</f>
        <v>9781403974259</v>
      </c>
      <c r="C1157" s="10" t="str">
        <f>"9780230604391"</f>
        <v>9780230604391</v>
      </c>
      <c r="D1157" s="10" t="s">
        <v>11249</v>
      </c>
      <c r="E1157" s="10" t="s">
        <v>2400</v>
      </c>
      <c r="F1157" s="10" t="s">
        <v>70</v>
      </c>
      <c r="G1157" s="10" t="s">
        <v>6317</v>
      </c>
      <c r="H1157" s="11">
        <v>39241</v>
      </c>
      <c r="I1157" s="10">
        <v>2007</v>
      </c>
      <c r="J1157" s="10" t="s">
        <v>2400</v>
      </c>
      <c r="K1157" s="10">
        <v>329</v>
      </c>
      <c r="L1157" s="10" t="s">
        <v>11330</v>
      </c>
      <c r="M1157" s="10">
        <v>1</v>
      </c>
      <c r="N1157" s="10" t="s">
        <v>11308</v>
      </c>
      <c r="O1157" s="10"/>
      <c r="P1157" s="10" t="s">
        <v>11296</v>
      </c>
      <c r="Q1157" s="10"/>
      <c r="R1157" s="10" t="s">
        <v>11331</v>
      </c>
      <c r="S1157" s="10" t="s">
        <v>53</v>
      </c>
      <c r="T1157" s="10" t="s">
        <v>11332</v>
      </c>
    </row>
    <row r="1158" spans="1:20" ht="14.5" x14ac:dyDescent="0.35">
      <c r="A1158" s="10" t="s">
        <v>11333</v>
      </c>
      <c r="B1158" s="10" t="str">
        <f>"9780230621114"</f>
        <v>9780230621114</v>
      </c>
      <c r="C1158" s="10" t="str">
        <f>"9780230601468"</f>
        <v>9780230601468</v>
      </c>
      <c r="D1158" s="10" t="s">
        <v>11249</v>
      </c>
      <c r="E1158" s="10" t="s">
        <v>2400</v>
      </c>
      <c r="F1158" s="10" t="s">
        <v>70</v>
      </c>
      <c r="G1158" s="10" t="s">
        <v>6317</v>
      </c>
      <c r="H1158" s="11">
        <v>39015</v>
      </c>
      <c r="I1158" s="10">
        <v>2006</v>
      </c>
      <c r="J1158" s="10" t="s">
        <v>2400</v>
      </c>
      <c r="K1158" s="10">
        <v>231</v>
      </c>
      <c r="L1158" s="10" t="s">
        <v>11334</v>
      </c>
      <c r="M1158" s="10">
        <v>1</v>
      </c>
      <c r="N1158" s="10" t="s">
        <v>11335</v>
      </c>
      <c r="O1158" s="10"/>
      <c r="P1158" s="10" t="s">
        <v>11336</v>
      </c>
      <c r="Q1158" s="10" t="s">
        <v>7335</v>
      </c>
      <c r="R1158" s="10" t="s">
        <v>11337</v>
      </c>
      <c r="S1158" s="10" t="s">
        <v>53</v>
      </c>
      <c r="T1158" s="10" t="s">
        <v>6640</v>
      </c>
    </row>
    <row r="1159" spans="1:20" ht="14.5" x14ac:dyDescent="0.35">
      <c r="A1159" s="10" t="s">
        <v>11338</v>
      </c>
      <c r="B1159" s="10" t="str">
        <f>"9781403968739"</f>
        <v>9781403968739</v>
      </c>
      <c r="C1159" s="10" t="str">
        <f>"9781403983152"</f>
        <v>9781403983152</v>
      </c>
      <c r="D1159" s="10" t="s">
        <v>11249</v>
      </c>
      <c r="E1159" s="10" t="s">
        <v>2400</v>
      </c>
      <c r="F1159" s="10" t="s">
        <v>70</v>
      </c>
      <c r="G1159" s="10" t="s">
        <v>6317</v>
      </c>
      <c r="H1159" s="11">
        <v>38906</v>
      </c>
      <c r="I1159" s="10">
        <v>2006</v>
      </c>
      <c r="J1159" s="10" t="s">
        <v>2400</v>
      </c>
      <c r="K1159" s="10">
        <v>218</v>
      </c>
      <c r="L1159" s="10" t="s">
        <v>11339</v>
      </c>
      <c r="M1159" s="10">
        <v>1</v>
      </c>
      <c r="N1159" s="10" t="s">
        <v>11291</v>
      </c>
      <c r="O1159" s="10"/>
      <c r="P1159" s="10" t="s">
        <v>11259</v>
      </c>
      <c r="Q1159" s="10"/>
      <c r="R1159" s="10" t="s">
        <v>11340</v>
      </c>
      <c r="S1159" s="10" t="s">
        <v>53</v>
      </c>
      <c r="T1159" s="10" t="s">
        <v>4490</v>
      </c>
    </row>
    <row r="1160" spans="1:20" ht="14.5" x14ac:dyDescent="0.35">
      <c r="A1160" s="10" t="s">
        <v>11341</v>
      </c>
      <c r="B1160" s="10" t="str">
        <f>"9781403972101"</f>
        <v>9781403972101</v>
      </c>
      <c r="C1160" s="10" t="str">
        <f>"9780230601109"</f>
        <v>9780230601109</v>
      </c>
      <c r="D1160" s="10" t="s">
        <v>11249</v>
      </c>
      <c r="E1160" s="10" t="s">
        <v>2400</v>
      </c>
      <c r="F1160" s="10" t="s">
        <v>70</v>
      </c>
      <c r="G1160" s="10" t="s">
        <v>6317</v>
      </c>
      <c r="H1160" s="11">
        <v>39038</v>
      </c>
      <c r="I1160" s="10">
        <v>2006</v>
      </c>
      <c r="J1160" s="10" t="s">
        <v>2400</v>
      </c>
      <c r="K1160" s="10">
        <v>211</v>
      </c>
      <c r="L1160" s="10" t="s">
        <v>11342</v>
      </c>
      <c r="M1160" s="10">
        <v>1</v>
      </c>
      <c r="N1160" s="10"/>
      <c r="O1160" s="10"/>
      <c r="P1160" s="10" t="s">
        <v>11303</v>
      </c>
      <c r="Q1160" s="10" t="s">
        <v>11343</v>
      </c>
      <c r="R1160" s="10" t="s">
        <v>11344</v>
      </c>
      <c r="S1160" s="10" t="s">
        <v>53</v>
      </c>
      <c r="T1160" s="10" t="s">
        <v>11345</v>
      </c>
    </row>
    <row r="1161" spans="1:20" ht="14.5" x14ac:dyDescent="0.35">
      <c r="A1161" s="10" t="s">
        <v>11346</v>
      </c>
      <c r="B1161" s="10" t="str">
        <f>"9781403969200"</f>
        <v>9781403969200</v>
      </c>
      <c r="C1161" s="10" t="str">
        <f>"9781403980137"</f>
        <v>9781403980137</v>
      </c>
      <c r="D1161" s="10" t="s">
        <v>11249</v>
      </c>
      <c r="E1161" s="10" t="s">
        <v>2400</v>
      </c>
      <c r="F1161" s="10" t="s">
        <v>70</v>
      </c>
      <c r="G1161" s="10" t="s">
        <v>6317</v>
      </c>
      <c r="H1161" s="11">
        <v>38485</v>
      </c>
      <c r="I1161" s="10">
        <v>2005</v>
      </c>
      <c r="J1161" s="10" t="s">
        <v>2400</v>
      </c>
      <c r="K1161" s="10">
        <v>232</v>
      </c>
      <c r="L1161" s="10" t="s">
        <v>11347</v>
      </c>
      <c r="M1161" s="10">
        <v>1</v>
      </c>
      <c r="N1161" s="10"/>
      <c r="O1161" s="10"/>
      <c r="P1161" s="10" t="s">
        <v>11283</v>
      </c>
      <c r="Q1161" s="10"/>
      <c r="R1161" s="10" t="s">
        <v>11348</v>
      </c>
      <c r="S1161" s="10" t="s">
        <v>53</v>
      </c>
      <c r="T1161" s="10" t="s">
        <v>11285</v>
      </c>
    </row>
    <row r="1162" spans="1:20" ht="14.5" x14ac:dyDescent="0.35">
      <c r="A1162" s="10" t="s">
        <v>11349</v>
      </c>
      <c r="B1162" s="10" t="str">
        <f>"9781403973023"</f>
        <v>9781403973023</v>
      </c>
      <c r="C1162" s="10" t="str">
        <f>"9780312376222"</f>
        <v>9780312376222</v>
      </c>
      <c r="D1162" s="10" t="s">
        <v>11249</v>
      </c>
      <c r="E1162" s="10" t="s">
        <v>2400</v>
      </c>
      <c r="F1162" s="10" t="s">
        <v>70</v>
      </c>
      <c r="G1162" s="10" t="s">
        <v>6317</v>
      </c>
      <c r="H1162" s="11">
        <v>38860</v>
      </c>
      <c r="I1162" s="10">
        <v>2006</v>
      </c>
      <c r="J1162" s="10" t="s">
        <v>2400</v>
      </c>
      <c r="K1162" s="10">
        <v>221</v>
      </c>
      <c r="L1162" s="10" t="s">
        <v>11350</v>
      </c>
      <c r="M1162" s="10">
        <v>1</v>
      </c>
      <c r="N1162" s="10"/>
      <c r="O1162" s="10"/>
      <c r="P1162" s="10" t="s">
        <v>11351</v>
      </c>
      <c r="Q1162" s="10" t="s">
        <v>10291</v>
      </c>
      <c r="R1162" s="10" t="s">
        <v>11352</v>
      </c>
      <c r="S1162" s="10" t="s">
        <v>53</v>
      </c>
      <c r="T1162" s="10" t="s">
        <v>11353</v>
      </c>
    </row>
    <row r="1163" spans="1:20" ht="14.5" x14ac:dyDescent="0.35">
      <c r="A1163" s="10" t="s">
        <v>11354</v>
      </c>
      <c r="B1163" s="10" t="str">
        <f>"9781403964724"</f>
        <v>9781403964724</v>
      </c>
      <c r="C1163" s="10" t="str">
        <f>"9781403982933"</f>
        <v>9781403982933</v>
      </c>
      <c r="D1163" s="10" t="s">
        <v>11249</v>
      </c>
      <c r="E1163" s="10" t="s">
        <v>2400</v>
      </c>
      <c r="F1163" s="10" t="s">
        <v>70</v>
      </c>
      <c r="G1163" s="10" t="s">
        <v>6317</v>
      </c>
      <c r="H1163" s="11">
        <v>38770</v>
      </c>
      <c r="I1163" s="10">
        <v>2006</v>
      </c>
      <c r="J1163" s="10" t="s">
        <v>2400</v>
      </c>
      <c r="K1163" s="10">
        <v>225</v>
      </c>
      <c r="L1163" s="10" t="s">
        <v>11355</v>
      </c>
      <c r="M1163" s="10">
        <v>1</v>
      </c>
      <c r="N1163" s="10"/>
      <c r="O1163" s="10"/>
      <c r="P1163" s="10" t="s">
        <v>11270</v>
      </c>
      <c r="Q1163" s="10" t="s">
        <v>11356</v>
      </c>
      <c r="R1163" s="10" t="s">
        <v>11357</v>
      </c>
      <c r="S1163" s="10" t="s">
        <v>53</v>
      </c>
      <c r="T1163" s="10" t="s">
        <v>54</v>
      </c>
    </row>
    <row r="1164" spans="1:20" ht="14.5" x14ac:dyDescent="0.35">
      <c r="A1164" s="10" t="s">
        <v>11358</v>
      </c>
      <c r="B1164" s="10" t="str">
        <f>"9781403968760"</f>
        <v>9781403968760</v>
      </c>
      <c r="C1164" s="10" t="str">
        <f>"9781403981042"</f>
        <v>9781403981042</v>
      </c>
      <c r="D1164" s="10" t="s">
        <v>11249</v>
      </c>
      <c r="E1164" s="10" t="s">
        <v>2400</v>
      </c>
      <c r="F1164" s="10" t="s">
        <v>70</v>
      </c>
      <c r="G1164" s="10" t="s">
        <v>6317</v>
      </c>
      <c r="H1164" s="11">
        <v>38575</v>
      </c>
      <c r="I1164" s="10">
        <v>2005</v>
      </c>
      <c r="J1164" s="10" t="s">
        <v>2400</v>
      </c>
      <c r="K1164" s="10">
        <v>250</v>
      </c>
      <c r="L1164" s="10" t="s">
        <v>11359</v>
      </c>
      <c r="M1164" s="10">
        <v>1</v>
      </c>
      <c r="N1164" s="10"/>
      <c r="O1164" s="10"/>
      <c r="P1164" s="10" t="s">
        <v>11360</v>
      </c>
      <c r="Q1164" s="10">
        <v>371.19097299999999</v>
      </c>
      <c r="R1164" s="10" t="s">
        <v>11361</v>
      </c>
      <c r="S1164" s="10" t="s">
        <v>53</v>
      </c>
      <c r="T1164" s="10" t="s">
        <v>54</v>
      </c>
    </row>
    <row r="1165" spans="1:20" ht="14.5" x14ac:dyDescent="0.35">
      <c r="A1165" s="10" t="s">
        <v>11362</v>
      </c>
      <c r="B1165" s="10" t="str">
        <f>"9781403967282"</f>
        <v>9781403967282</v>
      </c>
      <c r="C1165" s="10" t="str">
        <f>"9781403978929"</f>
        <v>9781403978929</v>
      </c>
      <c r="D1165" s="10" t="s">
        <v>11249</v>
      </c>
      <c r="E1165" s="10" t="s">
        <v>2400</v>
      </c>
      <c r="F1165" s="10" t="s">
        <v>70</v>
      </c>
      <c r="G1165" s="10" t="s">
        <v>6317</v>
      </c>
      <c r="H1165" s="11">
        <v>38367</v>
      </c>
      <c r="I1165" s="10">
        <v>2005</v>
      </c>
      <c r="J1165" s="10" t="s">
        <v>2400</v>
      </c>
      <c r="K1165" s="10">
        <v>218</v>
      </c>
      <c r="L1165" s="10" t="s">
        <v>11363</v>
      </c>
      <c r="M1165" s="10">
        <v>1</v>
      </c>
      <c r="N1165" s="10"/>
      <c r="O1165" s="10"/>
      <c r="P1165" s="10" t="s">
        <v>11364</v>
      </c>
      <c r="Q1165" s="10"/>
      <c r="R1165" s="10" t="s">
        <v>11365</v>
      </c>
      <c r="S1165" s="10" t="s">
        <v>53</v>
      </c>
      <c r="T1165" s="10" t="s">
        <v>54</v>
      </c>
    </row>
    <row r="1166" spans="1:20" ht="14.5" x14ac:dyDescent="0.35">
      <c r="A1166" s="10" t="s">
        <v>11366</v>
      </c>
      <c r="B1166" s="10" t="str">
        <f>"9781403976475"</f>
        <v>9781403976475</v>
      </c>
      <c r="C1166" s="10" t="str">
        <f>"9780230604988"</f>
        <v>9780230604988</v>
      </c>
      <c r="D1166" s="10" t="s">
        <v>11249</v>
      </c>
      <c r="E1166" s="10" t="s">
        <v>2400</v>
      </c>
      <c r="F1166" s="10" t="s">
        <v>70</v>
      </c>
      <c r="G1166" s="10" t="s">
        <v>6317</v>
      </c>
      <c r="H1166" s="11">
        <v>39282</v>
      </c>
      <c r="I1166" s="10">
        <v>2007</v>
      </c>
      <c r="J1166" s="10" t="s">
        <v>2400</v>
      </c>
      <c r="K1166" s="10">
        <v>278</v>
      </c>
      <c r="L1166" s="10" t="s">
        <v>11367</v>
      </c>
      <c r="M1166" s="10">
        <v>1</v>
      </c>
      <c r="N1166" s="10"/>
      <c r="O1166" s="10"/>
      <c r="P1166" s="10" t="s">
        <v>11251</v>
      </c>
      <c r="Q1166" s="10">
        <v>370.1</v>
      </c>
      <c r="R1166" s="10" t="s">
        <v>6938</v>
      </c>
      <c r="S1166" s="10" t="s">
        <v>53</v>
      </c>
      <c r="T1166" s="10" t="s">
        <v>54</v>
      </c>
    </row>
    <row r="1167" spans="1:20" ht="14.5" x14ac:dyDescent="0.35">
      <c r="A1167" s="10" t="s">
        <v>11368</v>
      </c>
      <c r="B1167" s="10" t="str">
        <f>"9781403968371"</f>
        <v>9781403968371</v>
      </c>
      <c r="C1167" s="10" t="str">
        <f>"9781403979100"</f>
        <v>9781403979100</v>
      </c>
      <c r="D1167" s="10" t="s">
        <v>11249</v>
      </c>
      <c r="E1167" s="10" t="s">
        <v>2400</v>
      </c>
      <c r="F1167" s="10" t="s">
        <v>70</v>
      </c>
      <c r="G1167" s="10" t="s">
        <v>6317</v>
      </c>
      <c r="H1167" s="11">
        <v>38488</v>
      </c>
      <c r="I1167" s="10">
        <v>2005</v>
      </c>
      <c r="J1167" s="10" t="s">
        <v>2400</v>
      </c>
      <c r="K1167" s="10">
        <v>312</v>
      </c>
      <c r="L1167" s="10" t="s">
        <v>11369</v>
      </c>
      <c r="M1167" s="10">
        <v>1</v>
      </c>
      <c r="N1167" s="10"/>
      <c r="O1167" s="10"/>
      <c r="P1167" s="10" t="s">
        <v>11370</v>
      </c>
      <c r="Q1167" s="10" t="s">
        <v>10265</v>
      </c>
      <c r="R1167" s="10" t="s">
        <v>11371</v>
      </c>
      <c r="S1167" s="10" t="s">
        <v>53</v>
      </c>
      <c r="T1167" s="10" t="s">
        <v>54</v>
      </c>
    </row>
    <row r="1168" spans="1:20" ht="14.5" x14ac:dyDescent="0.35">
      <c r="A1168" s="10" t="s">
        <v>11372</v>
      </c>
      <c r="B1168" s="10" t="str">
        <f>"9781403976123"</f>
        <v>9781403976123</v>
      </c>
      <c r="C1168" s="10" t="str">
        <f>"9780230601635"</f>
        <v>9780230601635</v>
      </c>
      <c r="D1168" s="10" t="s">
        <v>11249</v>
      </c>
      <c r="E1168" s="10" t="s">
        <v>2400</v>
      </c>
      <c r="F1168" s="10" t="s">
        <v>70</v>
      </c>
      <c r="G1168" s="10" t="s">
        <v>6317</v>
      </c>
      <c r="H1168" s="11">
        <v>39070</v>
      </c>
      <c r="I1168" s="10">
        <v>2006</v>
      </c>
      <c r="J1168" s="10" t="s">
        <v>2400</v>
      </c>
      <c r="K1168" s="10">
        <v>302</v>
      </c>
      <c r="L1168" s="10" t="s">
        <v>11373</v>
      </c>
      <c r="M1168" s="10">
        <v>1</v>
      </c>
      <c r="N1168" s="10"/>
      <c r="O1168" s="10"/>
      <c r="P1168" s="10" t="s">
        <v>11296</v>
      </c>
      <c r="Q1168" s="10" t="s">
        <v>11374</v>
      </c>
      <c r="R1168" s="10" t="s">
        <v>11375</v>
      </c>
      <c r="S1168" s="10" t="s">
        <v>53</v>
      </c>
      <c r="T1168" s="10" t="s">
        <v>11376</v>
      </c>
    </row>
    <row r="1169" spans="1:20" ht="14.5" x14ac:dyDescent="0.35">
      <c r="A1169" s="10" t="s">
        <v>11377</v>
      </c>
      <c r="B1169" s="10" t="str">
        <f>"9781403974976"</f>
        <v>9781403974976</v>
      </c>
      <c r="C1169" s="10" t="str">
        <f>"9780230601666"</f>
        <v>9780230601666</v>
      </c>
      <c r="D1169" s="10" t="s">
        <v>11249</v>
      </c>
      <c r="E1169" s="10" t="s">
        <v>2400</v>
      </c>
      <c r="F1169" s="10" t="s">
        <v>70</v>
      </c>
      <c r="G1169" s="10" t="s">
        <v>6317</v>
      </c>
      <c r="H1169" s="11">
        <v>39066</v>
      </c>
      <c r="I1169" s="10">
        <v>2006</v>
      </c>
      <c r="J1169" s="10" t="s">
        <v>2400</v>
      </c>
      <c r="K1169" s="10">
        <v>249</v>
      </c>
      <c r="L1169" s="10" t="s">
        <v>11378</v>
      </c>
      <c r="M1169" s="10">
        <v>1</v>
      </c>
      <c r="N1169" s="10" t="s">
        <v>11379</v>
      </c>
      <c r="O1169" s="10"/>
      <c r="P1169" s="10" t="s">
        <v>11303</v>
      </c>
      <c r="Q1169" s="10"/>
      <c r="R1169" s="10" t="s">
        <v>11380</v>
      </c>
      <c r="S1169" s="10" t="s">
        <v>53</v>
      </c>
      <c r="T1169" s="10" t="s">
        <v>9602</v>
      </c>
    </row>
    <row r="1170" spans="1:20" ht="14.5" x14ac:dyDescent="0.35">
      <c r="A1170" s="10" t="s">
        <v>11381</v>
      </c>
      <c r="B1170" s="10" t="str">
        <f>"9781403961259"</f>
        <v>9781403961259</v>
      </c>
      <c r="C1170" s="10" t="str">
        <f>"9780230603387"</f>
        <v>9780230603387</v>
      </c>
      <c r="D1170" s="10" t="s">
        <v>11249</v>
      </c>
      <c r="E1170" s="10" t="s">
        <v>2400</v>
      </c>
      <c r="F1170" s="10" t="s">
        <v>70</v>
      </c>
      <c r="G1170" s="10" t="s">
        <v>6317</v>
      </c>
      <c r="H1170" s="11">
        <v>39097</v>
      </c>
      <c r="I1170" s="10">
        <v>2007</v>
      </c>
      <c r="J1170" s="10" t="s">
        <v>2400</v>
      </c>
      <c r="K1170" s="10">
        <v>315</v>
      </c>
      <c r="L1170" s="10" t="s">
        <v>11382</v>
      </c>
      <c r="M1170" s="10">
        <v>1</v>
      </c>
      <c r="N1170" s="10"/>
      <c r="O1170" s="10"/>
      <c r="P1170" s="10" t="s">
        <v>11383</v>
      </c>
      <c r="Q1170" s="10" t="s">
        <v>11384</v>
      </c>
      <c r="R1170" s="10" t="s">
        <v>11385</v>
      </c>
      <c r="S1170" s="10" t="s">
        <v>53</v>
      </c>
      <c r="T1170" s="10" t="s">
        <v>8346</v>
      </c>
    </row>
    <row r="1171" spans="1:20" ht="14.5" x14ac:dyDescent="0.35">
      <c r="A1171" s="10" t="s">
        <v>11386</v>
      </c>
      <c r="B1171" s="10" t="str">
        <f>"9781137033741"</f>
        <v>9781137033741</v>
      </c>
      <c r="C1171" s="10" t="str">
        <f>"9781403982919"</f>
        <v>9781403982919</v>
      </c>
      <c r="D1171" s="10" t="s">
        <v>11249</v>
      </c>
      <c r="E1171" s="10" t="s">
        <v>2400</v>
      </c>
      <c r="F1171" s="10" t="s">
        <v>70</v>
      </c>
      <c r="G1171" s="10" t="s">
        <v>6317</v>
      </c>
      <c r="H1171" s="11">
        <v>38770</v>
      </c>
      <c r="I1171" s="10">
        <v>2006</v>
      </c>
      <c r="J1171" s="10" t="s">
        <v>2400</v>
      </c>
      <c r="K1171" s="10">
        <v>232</v>
      </c>
      <c r="L1171" s="10" t="s">
        <v>11387</v>
      </c>
      <c r="M1171" s="10">
        <v>1</v>
      </c>
      <c r="N1171" s="10" t="s">
        <v>11274</v>
      </c>
      <c r="O1171" s="10"/>
      <c r="P1171" s="10" t="s">
        <v>11270</v>
      </c>
      <c r="Q1171" s="10"/>
      <c r="R1171" s="10" t="s">
        <v>11388</v>
      </c>
      <c r="S1171" s="10" t="s">
        <v>53</v>
      </c>
      <c r="T1171" s="10" t="s">
        <v>54</v>
      </c>
    </row>
    <row r="1172" spans="1:20" ht="14.5" x14ac:dyDescent="0.35">
      <c r="A1172" s="10" t="s">
        <v>11389</v>
      </c>
      <c r="B1172" s="10" t="str">
        <f>"9781403964274"</f>
        <v>9781403964274</v>
      </c>
      <c r="C1172" s="10" t="str">
        <f>"9781403979353"</f>
        <v>9781403979353</v>
      </c>
      <c r="D1172" s="10" t="s">
        <v>11249</v>
      </c>
      <c r="E1172" s="10" t="s">
        <v>2400</v>
      </c>
      <c r="F1172" s="10" t="s">
        <v>70</v>
      </c>
      <c r="G1172" s="10" t="s">
        <v>6317</v>
      </c>
      <c r="H1172" s="11">
        <v>38668</v>
      </c>
      <c r="I1172" s="10">
        <v>2005</v>
      </c>
      <c r="J1172" s="10" t="s">
        <v>2400</v>
      </c>
      <c r="K1172" s="10">
        <v>220</v>
      </c>
      <c r="L1172" s="10" t="s">
        <v>11390</v>
      </c>
      <c r="M1172" s="10">
        <v>1</v>
      </c>
      <c r="N1172" s="10"/>
      <c r="O1172" s="10"/>
      <c r="P1172" s="10" t="s">
        <v>11259</v>
      </c>
      <c r="Q1172" s="10"/>
      <c r="R1172" s="10" t="s">
        <v>11391</v>
      </c>
      <c r="S1172" s="10" t="s">
        <v>53</v>
      </c>
      <c r="T1172" s="10" t="s">
        <v>4490</v>
      </c>
    </row>
    <row r="1173" spans="1:20" ht="14.5" x14ac:dyDescent="0.35">
      <c r="A1173" s="10" t="s">
        <v>11392</v>
      </c>
      <c r="B1173" s="10" t="str">
        <f>"9780230338203"</f>
        <v>9780230338203</v>
      </c>
      <c r="C1173" s="10" t="str">
        <f>"9781403973818"</f>
        <v>9781403973818</v>
      </c>
      <c r="D1173" s="10" t="s">
        <v>11249</v>
      </c>
      <c r="E1173" s="10" t="s">
        <v>2400</v>
      </c>
      <c r="F1173" s="10" t="s">
        <v>70</v>
      </c>
      <c r="G1173" s="10" t="s">
        <v>6317</v>
      </c>
      <c r="H1173" s="11">
        <v>41138</v>
      </c>
      <c r="I1173" s="10">
        <v>2012</v>
      </c>
      <c r="J1173" s="10" t="s">
        <v>2400</v>
      </c>
      <c r="K1173" s="10">
        <v>209</v>
      </c>
      <c r="L1173" s="10" t="s">
        <v>11393</v>
      </c>
      <c r="M1173" s="10">
        <v>2</v>
      </c>
      <c r="N1173" s="10"/>
      <c r="O1173" s="10"/>
      <c r="P1173" s="10" t="s">
        <v>11394</v>
      </c>
      <c r="Q1173" s="10" t="s">
        <v>10213</v>
      </c>
      <c r="R1173" s="10" t="s">
        <v>11395</v>
      </c>
      <c r="S1173" s="10" t="s">
        <v>53</v>
      </c>
      <c r="T1173" s="10" t="s">
        <v>54</v>
      </c>
    </row>
    <row r="1174" spans="1:20" ht="14.5" x14ac:dyDescent="0.35">
      <c r="A1174" s="10" t="s">
        <v>11396</v>
      </c>
      <c r="B1174" s="10" t="str">
        <f>"9781403974044"</f>
        <v>9781403974044</v>
      </c>
      <c r="C1174" s="10" t="str">
        <f>"9780230603462"</f>
        <v>9780230603462</v>
      </c>
      <c r="D1174" s="10" t="s">
        <v>11249</v>
      </c>
      <c r="E1174" s="10" t="s">
        <v>2400</v>
      </c>
      <c r="F1174" s="10" t="s">
        <v>70</v>
      </c>
      <c r="G1174" s="10" t="s">
        <v>6317</v>
      </c>
      <c r="H1174" s="11">
        <v>39241</v>
      </c>
      <c r="I1174" s="10">
        <v>2007</v>
      </c>
      <c r="J1174" s="10" t="s">
        <v>2400</v>
      </c>
      <c r="K1174" s="10">
        <v>273</v>
      </c>
      <c r="L1174" s="10" t="s">
        <v>11397</v>
      </c>
      <c r="M1174" s="10">
        <v>1</v>
      </c>
      <c r="N1174" s="10"/>
      <c r="O1174" s="10"/>
      <c r="P1174" s="10" t="s">
        <v>11296</v>
      </c>
      <c r="Q1174" s="10"/>
      <c r="R1174" s="10" t="s">
        <v>11398</v>
      </c>
      <c r="S1174" s="10" t="s">
        <v>53</v>
      </c>
      <c r="T1174" s="10" t="s">
        <v>11332</v>
      </c>
    </row>
    <row r="1175" spans="1:20" ht="14.5" x14ac:dyDescent="0.35">
      <c r="A1175" s="10" t="s">
        <v>11399</v>
      </c>
      <c r="B1175" s="10" t="str">
        <f>"9781403967770"</f>
        <v>9781403967770</v>
      </c>
      <c r="C1175" s="10" t="str">
        <f>"9781403981875"</f>
        <v>9781403981875</v>
      </c>
      <c r="D1175" s="10" t="s">
        <v>11249</v>
      </c>
      <c r="E1175" s="10" t="s">
        <v>2400</v>
      </c>
      <c r="F1175" s="10" t="s">
        <v>70</v>
      </c>
      <c r="G1175" s="10" t="s">
        <v>6317</v>
      </c>
      <c r="H1175" s="11">
        <v>38488</v>
      </c>
      <c r="I1175" s="10">
        <v>2005</v>
      </c>
      <c r="J1175" s="10" t="s">
        <v>2400</v>
      </c>
      <c r="K1175" s="10">
        <v>351</v>
      </c>
      <c r="L1175" s="10" t="s">
        <v>11400</v>
      </c>
      <c r="M1175" s="10">
        <v>1</v>
      </c>
      <c r="N1175" s="10"/>
      <c r="O1175" s="10"/>
      <c r="P1175" s="10" t="s">
        <v>11270</v>
      </c>
      <c r="Q1175" s="10"/>
      <c r="R1175" s="10" t="s">
        <v>11401</v>
      </c>
      <c r="S1175" s="10" t="s">
        <v>53</v>
      </c>
      <c r="T1175" s="10" t="s">
        <v>54</v>
      </c>
    </row>
    <row r="1176" spans="1:20" ht="14.5" x14ac:dyDescent="0.35">
      <c r="A1176" s="10" t="s">
        <v>11402</v>
      </c>
      <c r="B1176" s="10" t="str">
        <f>"9781403963444"</f>
        <v>9781403963444</v>
      </c>
      <c r="C1176" s="10" t="str">
        <f>"9781403982872"</f>
        <v>9781403982872</v>
      </c>
      <c r="D1176" s="10" t="s">
        <v>11249</v>
      </c>
      <c r="E1176" s="10" t="s">
        <v>2400</v>
      </c>
      <c r="F1176" s="10" t="s">
        <v>70</v>
      </c>
      <c r="G1176" s="10" t="s">
        <v>6317</v>
      </c>
      <c r="H1176" s="11">
        <v>38770</v>
      </c>
      <c r="I1176" s="10">
        <v>2006</v>
      </c>
      <c r="J1176" s="10" t="s">
        <v>2400</v>
      </c>
      <c r="K1176" s="10">
        <v>305</v>
      </c>
      <c r="L1176" s="10" t="s">
        <v>11403</v>
      </c>
      <c r="M1176" s="10">
        <v>1</v>
      </c>
      <c r="N1176" s="10"/>
      <c r="O1176" s="10"/>
      <c r="P1176" s="10" t="s">
        <v>11251</v>
      </c>
      <c r="Q1176" s="10"/>
      <c r="R1176" s="10" t="s">
        <v>11404</v>
      </c>
      <c r="S1176" s="10" t="s">
        <v>53</v>
      </c>
      <c r="T1176" s="10" t="s">
        <v>54</v>
      </c>
    </row>
    <row r="1177" spans="1:20" ht="14.5" x14ac:dyDescent="0.35">
      <c r="A1177" s="10" t="s">
        <v>11405</v>
      </c>
      <c r="B1177" s="10" t="str">
        <f>"9781403973092"</f>
        <v>9781403973092</v>
      </c>
      <c r="C1177" s="10" t="str">
        <f>"9781403984371"</f>
        <v>9781403984371</v>
      </c>
      <c r="D1177" s="10" t="s">
        <v>11249</v>
      </c>
      <c r="E1177" s="10" t="s">
        <v>2400</v>
      </c>
      <c r="F1177" s="10" t="s">
        <v>70</v>
      </c>
      <c r="G1177" s="10" t="s">
        <v>6317</v>
      </c>
      <c r="H1177" s="11">
        <v>38860</v>
      </c>
      <c r="I1177" s="10">
        <v>2006</v>
      </c>
      <c r="J1177" s="10" t="s">
        <v>2400</v>
      </c>
      <c r="K1177" s="10">
        <v>282</v>
      </c>
      <c r="L1177" s="10" t="s">
        <v>11406</v>
      </c>
      <c r="M1177" s="10">
        <v>1</v>
      </c>
      <c r="N1177" s="10"/>
      <c r="O1177" s="10"/>
      <c r="P1177" s="10" t="s">
        <v>11283</v>
      </c>
      <c r="Q1177" s="10">
        <v>371.10082</v>
      </c>
      <c r="R1177" s="10" t="s">
        <v>11407</v>
      </c>
      <c r="S1177" s="10" t="s">
        <v>53</v>
      </c>
      <c r="T1177" s="10" t="s">
        <v>11408</v>
      </c>
    </row>
    <row r="1178" spans="1:20" ht="14.5" x14ac:dyDescent="0.35">
      <c r="A1178" s="10" t="s">
        <v>11409</v>
      </c>
      <c r="B1178" s="10" t="str">
        <f>"9781403968449"</f>
        <v>9781403968449</v>
      </c>
      <c r="C1178" s="10" t="str">
        <f>"9780230603509"</f>
        <v>9780230603509</v>
      </c>
      <c r="D1178" s="10" t="s">
        <v>11249</v>
      </c>
      <c r="E1178" s="10" t="s">
        <v>2400</v>
      </c>
      <c r="F1178" s="10" t="s">
        <v>70</v>
      </c>
      <c r="G1178" s="10" t="s">
        <v>6317</v>
      </c>
      <c r="H1178" s="11">
        <v>39184</v>
      </c>
      <c r="I1178" s="10">
        <v>2007</v>
      </c>
      <c r="J1178" s="10" t="s">
        <v>2400</v>
      </c>
      <c r="K1178" s="10">
        <v>239</v>
      </c>
      <c r="L1178" s="10" t="s">
        <v>11410</v>
      </c>
      <c r="M1178" s="10">
        <v>1</v>
      </c>
      <c r="N1178" s="10" t="s">
        <v>11308</v>
      </c>
      <c r="O1178" s="10"/>
      <c r="P1178" s="10" t="s">
        <v>11270</v>
      </c>
      <c r="Q1178" s="10"/>
      <c r="R1178" s="10" t="s">
        <v>371</v>
      </c>
      <c r="S1178" s="10" t="s">
        <v>53</v>
      </c>
      <c r="T1178" s="10" t="s">
        <v>54</v>
      </c>
    </row>
    <row r="1179" spans="1:20" ht="14.5" x14ac:dyDescent="0.35">
      <c r="A1179" s="10" t="s">
        <v>11411</v>
      </c>
      <c r="B1179" s="10" t="str">
        <f>"9780415354011"</f>
        <v>9780415354011</v>
      </c>
      <c r="C1179" s="10" t="str">
        <f>"9780203964095"</f>
        <v>9780203964095</v>
      </c>
      <c r="D1179" s="10" t="s">
        <v>6350</v>
      </c>
      <c r="E1179" s="10" t="s">
        <v>6351</v>
      </c>
      <c r="F1179" s="10" t="s">
        <v>5406</v>
      </c>
      <c r="G1179" s="10" t="s">
        <v>6317</v>
      </c>
      <c r="H1179" s="11">
        <v>38491</v>
      </c>
      <c r="I1179" s="10">
        <v>2004</v>
      </c>
      <c r="J1179" s="10" t="s">
        <v>6353</v>
      </c>
      <c r="K1179" s="10">
        <v>305</v>
      </c>
      <c r="L1179" s="10" t="s">
        <v>11412</v>
      </c>
      <c r="M1179" s="10">
        <v>1</v>
      </c>
      <c r="N1179" s="10"/>
      <c r="O1179" s="10"/>
      <c r="P1179" s="10" t="s">
        <v>11413</v>
      </c>
      <c r="Q1179" s="10">
        <v>370.15280000000001</v>
      </c>
      <c r="R1179" s="10" t="s">
        <v>11414</v>
      </c>
      <c r="S1179" s="10" t="s">
        <v>53</v>
      </c>
      <c r="T1179" s="10" t="s">
        <v>54</v>
      </c>
    </row>
    <row r="1180" spans="1:20" ht="14.5" x14ac:dyDescent="0.35">
      <c r="A1180" s="10" t="s">
        <v>11415</v>
      </c>
      <c r="B1180" s="10" t="str">
        <f>"9780415340564"</f>
        <v>9780415340564</v>
      </c>
      <c r="C1180" s="10" t="str">
        <f>"9780203462966"</f>
        <v>9780203462966</v>
      </c>
      <c r="D1180" s="10" t="s">
        <v>6350</v>
      </c>
      <c r="E1180" s="10" t="s">
        <v>6351</v>
      </c>
      <c r="F1180" s="10" t="s">
        <v>5406</v>
      </c>
      <c r="G1180" s="10" t="s">
        <v>6317</v>
      </c>
      <c r="H1180" s="11">
        <v>38574</v>
      </c>
      <c r="I1180" s="10">
        <v>2004</v>
      </c>
      <c r="J1180" s="10" t="s">
        <v>6353</v>
      </c>
      <c r="K1180" s="10">
        <v>193</v>
      </c>
      <c r="L1180" s="10" t="s">
        <v>11416</v>
      </c>
      <c r="M1180" s="10">
        <v>1</v>
      </c>
      <c r="N1180" s="10"/>
      <c r="O1180" s="10"/>
      <c r="P1180" s="10" t="s">
        <v>11417</v>
      </c>
      <c r="Q1180" s="10">
        <v>371.82996041000001</v>
      </c>
      <c r="R1180" s="10" t="s">
        <v>11418</v>
      </c>
      <c r="S1180" s="10" t="s">
        <v>53</v>
      </c>
      <c r="T1180" s="10" t="s">
        <v>54</v>
      </c>
    </row>
    <row r="1181" spans="1:20" ht="14.5" x14ac:dyDescent="0.35">
      <c r="A1181" s="10" t="s">
        <v>11419</v>
      </c>
      <c r="B1181" s="10" t="str">
        <f>"9780415350655"</f>
        <v>9780415350655</v>
      </c>
      <c r="C1181" s="10" t="str">
        <f>"9780203696132"</f>
        <v>9780203696132</v>
      </c>
      <c r="D1181" s="10" t="s">
        <v>6350</v>
      </c>
      <c r="E1181" s="10" t="s">
        <v>6351</v>
      </c>
      <c r="F1181" s="10" t="s">
        <v>5406</v>
      </c>
      <c r="G1181" s="10" t="s">
        <v>6317</v>
      </c>
      <c r="H1181" s="11">
        <v>38665</v>
      </c>
      <c r="I1181" s="10">
        <v>2005</v>
      </c>
      <c r="J1181" s="10" t="s">
        <v>6353</v>
      </c>
      <c r="K1181" s="10">
        <v>169</v>
      </c>
      <c r="L1181" s="10" t="s">
        <v>11420</v>
      </c>
      <c r="M1181" s="10">
        <v>1</v>
      </c>
      <c r="N1181" s="10" t="s">
        <v>7881</v>
      </c>
      <c r="O1181" s="10"/>
      <c r="P1181" s="10" t="s">
        <v>11421</v>
      </c>
      <c r="Q1181" s="10">
        <v>370.11599999999999</v>
      </c>
      <c r="R1181" s="10" t="s">
        <v>11422</v>
      </c>
      <c r="S1181" s="10" t="s">
        <v>53</v>
      </c>
      <c r="T1181" s="10" t="s">
        <v>54</v>
      </c>
    </row>
    <row r="1182" spans="1:20" ht="14.5" x14ac:dyDescent="0.35">
      <c r="A1182" s="10" t="s">
        <v>11423</v>
      </c>
      <c r="B1182" s="10" t="str">
        <f>"9780415364881"</f>
        <v>9780415364881</v>
      </c>
      <c r="C1182" s="10" t="str">
        <f>"9780203015919"</f>
        <v>9780203015919</v>
      </c>
      <c r="D1182" s="10" t="s">
        <v>6350</v>
      </c>
      <c r="E1182" s="10" t="s">
        <v>6351</v>
      </c>
      <c r="F1182" s="10" t="s">
        <v>5406</v>
      </c>
      <c r="G1182" s="10" t="s">
        <v>6317</v>
      </c>
      <c r="H1182" s="11">
        <v>38617</v>
      </c>
      <c r="I1182" s="10">
        <v>2005</v>
      </c>
      <c r="J1182" s="10" t="s">
        <v>6353</v>
      </c>
      <c r="K1182" s="10">
        <v>281</v>
      </c>
      <c r="L1182" s="10" t="s">
        <v>11424</v>
      </c>
      <c r="M1182" s="10">
        <v>1</v>
      </c>
      <c r="N1182" s="10" t="s">
        <v>6954</v>
      </c>
      <c r="O1182" s="10"/>
      <c r="P1182" s="10" t="s">
        <v>11425</v>
      </c>
      <c r="Q1182" s="10">
        <v>370.11500000000001</v>
      </c>
      <c r="R1182" s="10" t="s">
        <v>11426</v>
      </c>
      <c r="S1182" s="10" t="s">
        <v>53</v>
      </c>
      <c r="T1182" s="10" t="s">
        <v>54</v>
      </c>
    </row>
    <row r="1183" spans="1:20" ht="14.5" x14ac:dyDescent="0.35">
      <c r="A1183" s="10" t="s">
        <v>11427</v>
      </c>
      <c r="B1183" s="10" t="str">
        <f>"9780816618798"</f>
        <v>9780816618798</v>
      </c>
      <c r="C1183" s="10" t="str">
        <f>"9780816683505"</f>
        <v>9780816683505</v>
      </c>
      <c r="D1183" s="10" t="s">
        <v>11428</v>
      </c>
      <c r="E1183" s="10" t="s">
        <v>11428</v>
      </c>
      <c r="F1183" s="10" t="s">
        <v>2186</v>
      </c>
      <c r="G1183" s="10" t="s">
        <v>6317</v>
      </c>
      <c r="H1183" s="11">
        <v>33178</v>
      </c>
      <c r="I1183" s="10">
        <v>1991</v>
      </c>
      <c r="J1183" s="10" t="s">
        <v>11428</v>
      </c>
      <c r="K1183" s="10">
        <v>217</v>
      </c>
      <c r="L1183" s="10" t="s">
        <v>7418</v>
      </c>
      <c r="M1183" s="10">
        <v>1</v>
      </c>
      <c r="N1183" s="10"/>
      <c r="O1183" s="10"/>
      <c r="P1183" s="10" t="s">
        <v>11429</v>
      </c>
      <c r="Q1183" s="10" t="s">
        <v>11430</v>
      </c>
      <c r="R1183" s="10" t="s">
        <v>11431</v>
      </c>
      <c r="S1183" s="10" t="s">
        <v>53</v>
      </c>
      <c r="T1183" s="10" t="s">
        <v>54</v>
      </c>
    </row>
    <row r="1184" spans="1:20" ht="14.5" x14ac:dyDescent="0.35">
      <c r="A1184" s="10" t="s">
        <v>11432</v>
      </c>
      <c r="B1184" s="10" t="str">
        <f>"9780816619559"</f>
        <v>9780816619559</v>
      </c>
      <c r="C1184" s="10" t="str">
        <f>"9780816683857"</f>
        <v>9780816683857</v>
      </c>
      <c r="D1184" s="10" t="s">
        <v>11428</v>
      </c>
      <c r="E1184" s="10" t="s">
        <v>11428</v>
      </c>
      <c r="F1184" s="10" t="s">
        <v>2186</v>
      </c>
      <c r="G1184" s="10" t="s">
        <v>6317</v>
      </c>
      <c r="H1184" s="11">
        <v>33909</v>
      </c>
      <c r="I1184" s="10">
        <v>1993</v>
      </c>
      <c r="J1184" s="10" t="s">
        <v>11428</v>
      </c>
      <c r="K1184" s="10">
        <v>304</v>
      </c>
      <c r="L1184" s="10" t="s">
        <v>11433</v>
      </c>
      <c r="M1184" s="10">
        <v>1</v>
      </c>
      <c r="N1184" s="10" t="s">
        <v>11434</v>
      </c>
      <c r="O1184" s="10">
        <v>1</v>
      </c>
      <c r="P1184" s="10" t="s">
        <v>11435</v>
      </c>
      <c r="Q1184" s="10">
        <v>370.11209730000002</v>
      </c>
      <c r="R1184" s="10" t="s">
        <v>11436</v>
      </c>
      <c r="S1184" s="10" t="s">
        <v>53</v>
      </c>
      <c r="T1184" s="10" t="s">
        <v>54</v>
      </c>
    </row>
    <row r="1185" spans="1:20" ht="14.5" x14ac:dyDescent="0.35">
      <c r="A1185" s="10" t="s">
        <v>11437</v>
      </c>
      <c r="B1185" s="10" t="str">
        <f>"9780816622672"</f>
        <v>9780816622672</v>
      </c>
      <c r="C1185" s="10" t="str">
        <f>"9780816685158"</f>
        <v>9780816685158</v>
      </c>
      <c r="D1185" s="10" t="s">
        <v>11428</v>
      </c>
      <c r="E1185" s="10" t="s">
        <v>11428</v>
      </c>
      <c r="F1185" s="10" t="s">
        <v>2186</v>
      </c>
      <c r="G1185" s="10" t="s">
        <v>6317</v>
      </c>
      <c r="H1185" s="11">
        <v>34254</v>
      </c>
      <c r="I1185" s="10">
        <v>1993</v>
      </c>
      <c r="J1185" s="10" t="s">
        <v>11428</v>
      </c>
      <c r="K1185" s="10">
        <v>302</v>
      </c>
      <c r="L1185" s="10" t="s">
        <v>11438</v>
      </c>
      <c r="M1185" s="10">
        <v>1</v>
      </c>
      <c r="N1185" s="10"/>
      <c r="O1185" s="10"/>
      <c r="P1185" s="10" t="s">
        <v>11439</v>
      </c>
      <c r="Q1185" s="10" t="s">
        <v>11440</v>
      </c>
      <c r="R1185" s="10" t="s">
        <v>11441</v>
      </c>
      <c r="S1185" s="10" t="s">
        <v>53</v>
      </c>
      <c r="T1185" s="10" t="s">
        <v>54</v>
      </c>
    </row>
    <row r="1186" spans="1:20" ht="14.5" x14ac:dyDescent="0.35">
      <c r="A1186" s="10" t="s">
        <v>11442</v>
      </c>
      <c r="B1186" s="10" t="str">
        <f>"9780816623631"</f>
        <v>9780816623631</v>
      </c>
      <c r="C1186" s="10" t="str">
        <f>"9780816685561"</f>
        <v>9780816685561</v>
      </c>
      <c r="D1186" s="10" t="s">
        <v>11428</v>
      </c>
      <c r="E1186" s="10" t="s">
        <v>11428</v>
      </c>
      <c r="F1186" s="10" t="s">
        <v>2186</v>
      </c>
      <c r="G1186" s="10" t="s">
        <v>6317</v>
      </c>
      <c r="H1186" s="11">
        <v>34344</v>
      </c>
      <c r="I1186" s="10">
        <v>1994</v>
      </c>
      <c r="J1186" s="10" t="s">
        <v>11428</v>
      </c>
      <c r="K1186" s="10">
        <v>234</v>
      </c>
      <c r="L1186" s="10" t="s">
        <v>11443</v>
      </c>
      <c r="M1186" s="10">
        <v>1</v>
      </c>
      <c r="N1186" s="10"/>
      <c r="O1186" s="10"/>
      <c r="P1186" s="10" t="s">
        <v>11444</v>
      </c>
      <c r="Q1186" s="10" t="s">
        <v>11445</v>
      </c>
      <c r="R1186" s="10" t="s">
        <v>11446</v>
      </c>
      <c r="S1186" s="10" t="s">
        <v>53</v>
      </c>
      <c r="T1186" s="10" t="s">
        <v>7711</v>
      </c>
    </row>
    <row r="1187" spans="1:20" ht="14.5" x14ac:dyDescent="0.35">
      <c r="A1187" s="10" t="s">
        <v>11447</v>
      </c>
      <c r="B1187" s="10" t="str">
        <f>"9780816623198"</f>
        <v>9780816623198</v>
      </c>
      <c r="C1187" s="10" t="str">
        <f>"9780816685387"</f>
        <v>9780816685387</v>
      </c>
      <c r="D1187" s="10" t="s">
        <v>11428</v>
      </c>
      <c r="E1187" s="10" t="s">
        <v>11428</v>
      </c>
      <c r="F1187" s="10" t="s">
        <v>2186</v>
      </c>
      <c r="G1187" s="10" t="s">
        <v>6317</v>
      </c>
      <c r="H1187" s="11">
        <v>34366</v>
      </c>
      <c r="I1187" s="10">
        <v>1994</v>
      </c>
      <c r="J1187" s="10" t="s">
        <v>11428</v>
      </c>
      <c r="K1187" s="10">
        <v>226</v>
      </c>
      <c r="L1187" s="10" t="s">
        <v>11448</v>
      </c>
      <c r="M1187" s="10">
        <v>1</v>
      </c>
      <c r="N1187" s="10" t="s">
        <v>11434</v>
      </c>
      <c r="O1187" s="10" t="s">
        <v>11449</v>
      </c>
      <c r="P1187" s="10" t="s">
        <v>11450</v>
      </c>
      <c r="Q1187" s="10" t="s">
        <v>11451</v>
      </c>
      <c r="R1187" s="10" t="s">
        <v>11452</v>
      </c>
      <c r="S1187" s="10" t="s">
        <v>53</v>
      </c>
      <c r="T1187" s="10" t="s">
        <v>1166</v>
      </c>
    </row>
    <row r="1188" spans="1:20" ht="14.5" x14ac:dyDescent="0.35">
      <c r="A1188" s="10" t="s">
        <v>11453</v>
      </c>
      <c r="B1188" s="10" t="str">
        <f>"9780816625222"</f>
        <v>9780816625222</v>
      </c>
      <c r="C1188" s="10" t="str">
        <f>"9780816686162"</f>
        <v>9780816686162</v>
      </c>
      <c r="D1188" s="10" t="s">
        <v>11428</v>
      </c>
      <c r="E1188" s="10" t="s">
        <v>11428</v>
      </c>
      <c r="F1188" s="10" t="s">
        <v>2186</v>
      </c>
      <c r="G1188" s="10" t="s">
        <v>6317</v>
      </c>
      <c r="H1188" s="11">
        <v>34738</v>
      </c>
      <c r="I1188" s="10">
        <v>1995</v>
      </c>
      <c r="J1188" s="10" t="s">
        <v>11428</v>
      </c>
      <c r="K1188" s="10">
        <v>184</v>
      </c>
      <c r="L1188" s="10" t="s">
        <v>11454</v>
      </c>
      <c r="M1188" s="10">
        <v>1</v>
      </c>
      <c r="N1188" s="10" t="s">
        <v>11434</v>
      </c>
      <c r="O1188" s="10" t="s">
        <v>11455</v>
      </c>
      <c r="P1188" s="10" t="s">
        <v>11456</v>
      </c>
      <c r="Q1188" s="10" t="s">
        <v>7335</v>
      </c>
      <c r="R1188" s="10" t="s">
        <v>11457</v>
      </c>
      <c r="S1188" s="10" t="s">
        <v>53</v>
      </c>
      <c r="T1188" s="10" t="s">
        <v>54</v>
      </c>
    </row>
    <row r="1189" spans="1:20" ht="14.5" x14ac:dyDescent="0.35">
      <c r="A1189" s="10" t="s">
        <v>11458</v>
      </c>
      <c r="B1189" s="10" t="str">
        <f>"9780816628063"</f>
        <v>9780816628063</v>
      </c>
      <c r="C1189" s="10" t="str">
        <f>"9780816687428"</f>
        <v>9780816687428</v>
      </c>
      <c r="D1189" s="10" t="s">
        <v>11428</v>
      </c>
      <c r="E1189" s="10" t="s">
        <v>11428</v>
      </c>
      <c r="F1189" s="10" t="s">
        <v>2186</v>
      </c>
      <c r="G1189" s="10" t="s">
        <v>6317</v>
      </c>
      <c r="H1189" s="11">
        <v>35144</v>
      </c>
      <c r="I1189" s="10">
        <v>1996</v>
      </c>
      <c r="J1189" s="10" t="s">
        <v>11428</v>
      </c>
      <c r="K1189" s="10">
        <v>335</v>
      </c>
      <c r="L1189" s="10" t="s">
        <v>11459</v>
      </c>
      <c r="M1189" s="10">
        <v>1</v>
      </c>
      <c r="N1189" s="10" t="s">
        <v>11434</v>
      </c>
      <c r="O1189" s="10"/>
      <c r="P1189" s="10" t="s">
        <v>11460</v>
      </c>
      <c r="Q1189" s="10" t="s">
        <v>11461</v>
      </c>
      <c r="R1189" s="10" t="s">
        <v>11462</v>
      </c>
      <c r="S1189" s="10" t="s">
        <v>53</v>
      </c>
      <c r="T1189" s="10" t="s">
        <v>1166</v>
      </c>
    </row>
    <row r="1190" spans="1:20" ht="14.5" x14ac:dyDescent="0.35">
      <c r="A1190" s="10" t="s">
        <v>11463</v>
      </c>
      <c r="B1190" s="10" t="str">
        <f>"9780816628988"</f>
        <v>9780816628988</v>
      </c>
      <c r="C1190" s="10" t="str">
        <f>"9780816687855"</f>
        <v>9780816687855</v>
      </c>
      <c r="D1190" s="10" t="s">
        <v>11428</v>
      </c>
      <c r="E1190" s="10" t="s">
        <v>11428</v>
      </c>
      <c r="F1190" s="10" t="s">
        <v>2186</v>
      </c>
      <c r="G1190" s="10" t="s">
        <v>6317</v>
      </c>
      <c r="H1190" s="11">
        <v>35753</v>
      </c>
      <c r="I1190" s="10">
        <v>1997</v>
      </c>
      <c r="J1190" s="10" t="s">
        <v>11428</v>
      </c>
      <c r="K1190" s="10">
        <v>374</v>
      </c>
      <c r="L1190" s="10" t="s">
        <v>11464</v>
      </c>
      <c r="M1190" s="10">
        <v>1</v>
      </c>
      <c r="N1190" s="10"/>
      <c r="O1190" s="10"/>
      <c r="P1190" s="10" t="s">
        <v>11465</v>
      </c>
      <c r="Q1190" s="10">
        <v>305.42</v>
      </c>
      <c r="R1190" s="10" t="s">
        <v>11466</v>
      </c>
      <c r="S1190" s="10" t="s">
        <v>53</v>
      </c>
      <c r="T1190" s="10" t="s">
        <v>6526</v>
      </c>
    </row>
    <row r="1191" spans="1:20" ht="14.5" x14ac:dyDescent="0.35">
      <c r="A1191" s="10" t="s">
        <v>11467</v>
      </c>
      <c r="B1191" s="10" t="str">
        <f>"9780816631537"</f>
        <v>9780816631537</v>
      </c>
      <c r="C1191" s="10" t="str">
        <f>"9780816689163"</f>
        <v>9780816689163</v>
      </c>
      <c r="D1191" s="10" t="s">
        <v>11428</v>
      </c>
      <c r="E1191" s="10" t="s">
        <v>11428</v>
      </c>
      <c r="F1191" s="10" t="s">
        <v>2186</v>
      </c>
      <c r="G1191" s="10" t="s">
        <v>6317</v>
      </c>
      <c r="H1191" s="11">
        <v>36175</v>
      </c>
      <c r="I1191" s="10">
        <v>1999</v>
      </c>
      <c r="J1191" s="10" t="s">
        <v>11428</v>
      </c>
      <c r="K1191" s="10">
        <v>248</v>
      </c>
      <c r="L1191" s="10" t="s">
        <v>11468</v>
      </c>
      <c r="M1191" s="10">
        <v>1</v>
      </c>
      <c r="N1191" s="10"/>
      <c r="O1191" s="10"/>
      <c r="P1191" s="10" t="s">
        <v>11469</v>
      </c>
      <c r="Q1191" s="10" t="s">
        <v>11470</v>
      </c>
      <c r="R1191" s="10" t="s">
        <v>11471</v>
      </c>
      <c r="S1191" s="10" t="s">
        <v>53</v>
      </c>
      <c r="T1191" s="10" t="s">
        <v>54</v>
      </c>
    </row>
    <row r="1192" spans="1:20" ht="14.5" x14ac:dyDescent="0.35">
      <c r="A1192" s="10" t="s">
        <v>11472</v>
      </c>
      <c r="B1192" s="10" t="str">
        <f>"9780816632558"</f>
        <v>9780816632558</v>
      </c>
      <c r="C1192" s="10" t="str">
        <f>"9780816689804"</f>
        <v>9780816689804</v>
      </c>
      <c r="D1192" s="10" t="s">
        <v>11428</v>
      </c>
      <c r="E1192" s="10" t="s">
        <v>11428</v>
      </c>
      <c r="F1192" s="10" t="s">
        <v>2186</v>
      </c>
      <c r="G1192" s="10" t="s">
        <v>6317</v>
      </c>
      <c r="H1192" s="11">
        <v>36942</v>
      </c>
      <c r="I1192" s="10">
        <v>2001</v>
      </c>
      <c r="J1192" s="10" t="s">
        <v>11428</v>
      </c>
      <c r="K1192" s="10">
        <v>484</v>
      </c>
      <c r="L1192" s="10" t="s">
        <v>11473</v>
      </c>
      <c r="M1192" s="10">
        <v>1</v>
      </c>
      <c r="N1192" s="10"/>
      <c r="O1192" s="10"/>
      <c r="P1192" s="10" t="s">
        <v>11474</v>
      </c>
      <c r="Q1192" s="10" t="s">
        <v>11475</v>
      </c>
      <c r="R1192" s="10" t="s">
        <v>11476</v>
      </c>
      <c r="S1192" s="10" t="s">
        <v>53</v>
      </c>
      <c r="T1192" s="10" t="s">
        <v>54</v>
      </c>
    </row>
    <row r="1193" spans="1:20" ht="14.5" x14ac:dyDescent="0.35">
      <c r="A1193" s="10" t="s">
        <v>11477</v>
      </c>
      <c r="B1193" s="10" t="str">
        <f>"9780816642458"</f>
        <v>9780816642458</v>
      </c>
      <c r="C1193" s="10" t="str">
        <f>"9780816695386"</f>
        <v>9780816695386</v>
      </c>
      <c r="D1193" s="10" t="s">
        <v>11428</v>
      </c>
      <c r="E1193" s="10" t="s">
        <v>11428</v>
      </c>
      <c r="F1193" s="10" t="s">
        <v>2186</v>
      </c>
      <c r="G1193" s="10" t="s">
        <v>6317</v>
      </c>
      <c r="H1193" s="11">
        <v>37888</v>
      </c>
      <c r="I1193" s="10">
        <v>2003</v>
      </c>
      <c r="J1193" s="10" t="s">
        <v>11428</v>
      </c>
      <c r="K1193" s="10">
        <v>49</v>
      </c>
      <c r="L1193" s="10" t="s">
        <v>11478</v>
      </c>
      <c r="M1193" s="10">
        <v>1</v>
      </c>
      <c r="N1193" s="10" t="s">
        <v>11479</v>
      </c>
      <c r="O1193" s="10"/>
      <c r="P1193" s="10" t="s">
        <v>11480</v>
      </c>
      <c r="Q1193" s="10" t="s">
        <v>11481</v>
      </c>
      <c r="R1193" s="10" t="s">
        <v>11482</v>
      </c>
      <c r="S1193" s="10" t="s">
        <v>53</v>
      </c>
      <c r="T1193" s="10" t="s">
        <v>11483</v>
      </c>
    </row>
    <row r="1194" spans="1:20" ht="14.5" x14ac:dyDescent="0.35">
      <c r="A1194" s="10" t="s">
        <v>11484</v>
      </c>
      <c r="B1194" s="10" t="str">
        <f>"9780816644186"</f>
        <v>9780816644186</v>
      </c>
      <c r="C1194" s="10" t="str">
        <f>"9780816696369"</f>
        <v>9780816696369</v>
      </c>
      <c r="D1194" s="10" t="s">
        <v>11428</v>
      </c>
      <c r="E1194" s="10" t="s">
        <v>11428</v>
      </c>
      <c r="F1194" s="10" t="s">
        <v>2186</v>
      </c>
      <c r="G1194" s="10" t="s">
        <v>6317</v>
      </c>
      <c r="H1194" s="11">
        <v>38204</v>
      </c>
      <c r="I1194" s="10">
        <v>2004</v>
      </c>
      <c r="J1194" s="10" t="s">
        <v>11428</v>
      </c>
      <c r="K1194" s="10">
        <v>33</v>
      </c>
      <c r="L1194" s="10" t="s">
        <v>11478</v>
      </c>
      <c r="M1194" s="10">
        <v>1</v>
      </c>
      <c r="N1194" s="10" t="s">
        <v>11479</v>
      </c>
      <c r="O1194" s="10"/>
      <c r="P1194" s="10" t="s">
        <v>11485</v>
      </c>
      <c r="Q1194" s="10">
        <v>813</v>
      </c>
      <c r="R1194" s="10" t="s">
        <v>11486</v>
      </c>
      <c r="S1194" s="10" t="s">
        <v>53</v>
      </c>
      <c r="T1194" s="10" t="s">
        <v>11483</v>
      </c>
    </row>
    <row r="1195" spans="1:20" ht="14.5" x14ac:dyDescent="0.35">
      <c r="A1195" s="10" t="s">
        <v>11487</v>
      </c>
      <c r="B1195" s="10" t="str">
        <f>"9780816644452"</f>
        <v>9780816644452</v>
      </c>
      <c r="C1195" s="10" t="str">
        <f>"9780816696550"</f>
        <v>9780816696550</v>
      </c>
      <c r="D1195" s="10" t="s">
        <v>11428</v>
      </c>
      <c r="E1195" s="10" t="s">
        <v>11428</v>
      </c>
      <c r="F1195" s="10" t="s">
        <v>2186</v>
      </c>
      <c r="G1195" s="10" t="s">
        <v>6317</v>
      </c>
      <c r="H1195" s="11">
        <v>38596</v>
      </c>
      <c r="I1195" s="10">
        <v>2005</v>
      </c>
      <c r="J1195" s="10" t="s">
        <v>11428</v>
      </c>
      <c r="K1195" s="10">
        <v>22</v>
      </c>
      <c r="L1195" s="10" t="s">
        <v>11488</v>
      </c>
      <c r="M1195" s="10">
        <v>1</v>
      </c>
      <c r="N1195" s="10" t="s">
        <v>11489</v>
      </c>
      <c r="O1195" s="10"/>
      <c r="P1195" s="10" t="s">
        <v>11490</v>
      </c>
      <c r="Q1195" s="10" t="s">
        <v>11491</v>
      </c>
      <c r="R1195" s="10" t="s">
        <v>11492</v>
      </c>
      <c r="S1195" s="10" t="s">
        <v>53</v>
      </c>
      <c r="T1195" s="10" t="s">
        <v>11483</v>
      </c>
    </row>
    <row r="1196" spans="1:20" ht="14.5" x14ac:dyDescent="0.35">
      <c r="A1196" s="10" t="s">
        <v>11493</v>
      </c>
      <c r="B1196" s="10" t="str">
        <f>"9780816642113"</f>
        <v>9780816642113</v>
      </c>
      <c r="C1196" s="10" t="str">
        <f>"9780816695195"</f>
        <v>9780816695195</v>
      </c>
      <c r="D1196" s="10" t="s">
        <v>11428</v>
      </c>
      <c r="E1196" s="10" t="s">
        <v>11428</v>
      </c>
      <c r="F1196" s="10" t="s">
        <v>2186</v>
      </c>
      <c r="G1196" s="10" t="s">
        <v>6317</v>
      </c>
      <c r="H1196" s="11">
        <v>34274</v>
      </c>
      <c r="I1196" s="10">
        <v>1997</v>
      </c>
      <c r="J1196" s="10" t="s">
        <v>11428</v>
      </c>
      <c r="K1196" s="10">
        <v>208</v>
      </c>
      <c r="L1196" s="10" t="s">
        <v>11494</v>
      </c>
      <c r="M1196" s="10">
        <v>1</v>
      </c>
      <c r="N1196" s="10"/>
      <c r="O1196" s="10"/>
      <c r="P1196" s="10" t="s">
        <v>11495</v>
      </c>
      <c r="Q1196" s="10">
        <v>598</v>
      </c>
      <c r="R1196" s="10" t="s">
        <v>11496</v>
      </c>
      <c r="S1196" s="10" t="s">
        <v>53</v>
      </c>
      <c r="T1196" s="10" t="s">
        <v>11497</v>
      </c>
    </row>
    <row r="1197" spans="1:20" ht="14.5" x14ac:dyDescent="0.35">
      <c r="A1197" s="10" t="s">
        <v>11498</v>
      </c>
      <c r="B1197" s="10" t="str">
        <f>"9780816641970"</f>
        <v>9780816641970</v>
      </c>
      <c r="C1197" s="10" t="str">
        <f>"9780816695102"</f>
        <v>9780816695102</v>
      </c>
      <c r="D1197" s="10" t="s">
        <v>11428</v>
      </c>
      <c r="E1197" s="10" t="s">
        <v>11428</v>
      </c>
      <c r="F1197" s="10" t="s">
        <v>2186</v>
      </c>
      <c r="G1197" s="10" t="s">
        <v>6317</v>
      </c>
      <c r="H1197" s="11">
        <v>37466</v>
      </c>
      <c r="I1197" s="10">
        <v>2002</v>
      </c>
      <c r="J1197" s="10" t="s">
        <v>11428</v>
      </c>
      <c r="K1197" s="10">
        <v>187</v>
      </c>
      <c r="L1197" s="10" t="s">
        <v>11499</v>
      </c>
      <c r="M1197" s="10">
        <v>1</v>
      </c>
      <c r="N1197" s="10"/>
      <c r="O1197" s="10"/>
      <c r="P1197" s="10" t="s">
        <v>11500</v>
      </c>
      <c r="Q1197" s="10">
        <v>508</v>
      </c>
      <c r="R1197" s="10" t="s">
        <v>11501</v>
      </c>
      <c r="S1197" s="10" t="s">
        <v>53</v>
      </c>
      <c r="T1197" s="10" t="s">
        <v>11502</v>
      </c>
    </row>
    <row r="1198" spans="1:20" ht="14.5" x14ac:dyDescent="0.35">
      <c r="A1198" s="10" t="s">
        <v>11503</v>
      </c>
      <c r="B1198" s="10" t="str">
        <f>"9781860947087"</f>
        <v>9781860947087</v>
      </c>
      <c r="C1198" s="10" t="str">
        <f>"9781860948183"</f>
        <v>9781860948183</v>
      </c>
      <c r="D1198" s="10" t="s">
        <v>8571</v>
      </c>
      <c r="E1198" s="10" t="s">
        <v>8572</v>
      </c>
      <c r="F1198" s="10" t="s">
        <v>549</v>
      </c>
      <c r="G1198" s="10" t="s">
        <v>8573</v>
      </c>
      <c r="H1198" s="11">
        <v>39127</v>
      </c>
      <c r="I1198" s="10">
        <v>2007</v>
      </c>
      <c r="J1198" s="10" t="s">
        <v>11504</v>
      </c>
      <c r="K1198" s="10">
        <v>905</v>
      </c>
      <c r="L1198" s="10" t="s">
        <v>11505</v>
      </c>
      <c r="M1198" s="10">
        <v>1</v>
      </c>
      <c r="N1198" s="10"/>
      <c r="O1198" s="10"/>
      <c r="P1198" s="10" t="s">
        <v>11506</v>
      </c>
      <c r="Q1198" s="10">
        <v>607.1</v>
      </c>
      <c r="R1198" s="10" t="s">
        <v>11507</v>
      </c>
      <c r="S1198" s="10" t="s">
        <v>53</v>
      </c>
      <c r="T1198" s="10" t="s">
        <v>11508</v>
      </c>
    </row>
    <row r="1199" spans="1:20" ht="14.5" x14ac:dyDescent="0.35">
      <c r="A1199" s="10" t="s">
        <v>11509</v>
      </c>
      <c r="B1199" s="10" t="str">
        <f>"9789812707895"</f>
        <v>9789812707895</v>
      </c>
      <c r="C1199" s="10" t="str">
        <f>"9789812709790"</f>
        <v>9789812709790</v>
      </c>
      <c r="D1199" s="10" t="s">
        <v>8571</v>
      </c>
      <c r="E1199" s="10" t="s">
        <v>8572</v>
      </c>
      <c r="F1199" s="10" t="s">
        <v>549</v>
      </c>
      <c r="G1199" s="10" t="s">
        <v>8573</v>
      </c>
      <c r="H1199" s="11">
        <v>39253</v>
      </c>
      <c r="I1199" s="10">
        <v>2007</v>
      </c>
      <c r="J1199" s="10" t="s">
        <v>11510</v>
      </c>
      <c r="K1199" s="10">
        <v>274</v>
      </c>
      <c r="L1199" s="10" t="s">
        <v>11511</v>
      </c>
      <c r="M1199" s="10">
        <v>1</v>
      </c>
      <c r="N1199" s="10"/>
      <c r="O1199" s="10"/>
      <c r="P1199" s="10" t="s">
        <v>11512</v>
      </c>
      <c r="Q1199" s="10">
        <v>510.76</v>
      </c>
      <c r="R1199" s="10" t="s">
        <v>11513</v>
      </c>
      <c r="S1199" s="10" t="s">
        <v>53</v>
      </c>
      <c r="T1199" s="10" t="s">
        <v>389</v>
      </c>
    </row>
    <row r="1200" spans="1:20" ht="14.5" x14ac:dyDescent="0.35">
      <c r="A1200" s="10" t="s">
        <v>11514</v>
      </c>
      <c r="B1200" s="10" t="str">
        <f>"9781593854430"</f>
        <v>9781593854430</v>
      </c>
      <c r="C1200" s="10" t="str">
        <f>"9781593856601"</f>
        <v>9781593856601</v>
      </c>
      <c r="D1200" s="10" t="s">
        <v>11213</v>
      </c>
      <c r="E1200" s="10" t="s">
        <v>11214</v>
      </c>
      <c r="F1200" s="10" t="s">
        <v>70</v>
      </c>
      <c r="G1200" s="10" t="s">
        <v>6317</v>
      </c>
      <c r="H1200" s="11">
        <v>39143</v>
      </c>
      <c r="I1200" s="10">
        <v>2007</v>
      </c>
      <c r="J1200" s="10" t="s">
        <v>11215</v>
      </c>
      <c r="K1200" s="10">
        <v>322</v>
      </c>
      <c r="L1200" s="10" t="s">
        <v>11515</v>
      </c>
      <c r="M1200" s="10">
        <v>1</v>
      </c>
      <c r="N1200" s="10" t="s">
        <v>11516</v>
      </c>
      <c r="O1200" s="10"/>
      <c r="P1200" s="10" t="s">
        <v>11517</v>
      </c>
      <c r="Q1200" s="10">
        <v>372.47</v>
      </c>
      <c r="R1200" s="10" t="s">
        <v>11518</v>
      </c>
      <c r="S1200" s="10" t="s">
        <v>53</v>
      </c>
      <c r="T1200" s="10" t="s">
        <v>54</v>
      </c>
    </row>
    <row r="1201" spans="1:20" ht="14.5" x14ac:dyDescent="0.35">
      <c r="A1201" s="10" t="s">
        <v>11519</v>
      </c>
      <c r="B1201" s="10" t="str">
        <f>"9781593851378"</f>
        <v>9781593851378</v>
      </c>
      <c r="C1201" s="10" t="str">
        <f>"9781593856670"</f>
        <v>9781593856670</v>
      </c>
      <c r="D1201" s="10" t="s">
        <v>11213</v>
      </c>
      <c r="E1201" s="10" t="s">
        <v>11214</v>
      </c>
      <c r="F1201" s="10" t="s">
        <v>70</v>
      </c>
      <c r="G1201" s="10" t="s">
        <v>6317</v>
      </c>
      <c r="H1201" s="11">
        <v>39114</v>
      </c>
      <c r="I1201" s="10">
        <v>2007</v>
      </c>
      <c r="J1201" s="10" t="s">
        <v>11215</v>
      </c>
      <c r="K1201" s="10">
        <v>398</v>
      </c>
      <c r="L1201" s="10" t="s">
        <v>11520</v>
      </c>
      <c r="M1201" s="10">
        <v>1</v>
      </c>
      <c r="N1201" s="10"/>
      <c r="O1201" s="10"/>
      <c r="P1201" s="10" t="s">
        <v>11521</v>
      </c>
      <c r="Q1201" s="10" t="s">
        <v>11522</v>
      </c>
      <c r="R1201" s="10" t="s">
        <v>11523</v>
      </c>
      <c r="S1201" s="10" t="s">
        <v>53</v>
      </c>
      <c r="T1201" s="10" t="s">
        <v>8510</v>
      </c>
    </row>
    <row r="1202" spans="1:20" ht="14.5" x14ac:dyDescent="0.35">
      <c r="A1202" s="10" t="s">
        <v>11524</v>
      </c>
      <c r="B1202" s="10" t="str">
        <f>"9781574411744"</f>
        <v>9781574411744</v>
      </c>
      <c r="C1202" s="10" t="str">
        <f>"9781574414189"</f>
        <v>9781574414189</v>
      </c>
      <c r="D1202" s="10" t="s">
        <v>11525</v>
      </c>
      <c r="E1202" s="10" t="s">
        <v>11526</v>
      </c>
      <c r="F1202" s="10" t="s">
        <v>3126</v>
      </c>
      <c r="G1202" s="10" t="s">
        <v>6317</v>
      </c>
      <c r="H1202" s="11">
        <v>38001</v>
      </c>
      <c r="I1202" s="10">
        <v>2004</v>
      </c>
      <c r="J1202" s="10" t="s">
        <v>11526</v>
      </c>
      <c r="K1202" s="10">
        <v>202</v>
      </c>
      <c r="L1202" s="10" t="s">
        <v>11527</v>
      </c>
      <c r="M1202" s="10">
        <v>1</v>
      </c>
      <c r="N1202" s="10"/>
      <c r="O1202" s="10"/>
      <c r="P1202" s="10" t="s">
        <v>11528</v>
      </c>
      <c r="Q1202" s="10" t="s">
        <v>11529</v>
      </c>
      <c r="R1202" s="10" t="s">
        <v>11530</v>
      </c>
      <c r="S1202" s="10" t="s">
        <v>53</v>
      </c>
      <c r="T1202" s="10" t="s">
        <v>54</v>
      </c>
    </row>
    <row r="1203" spans="1:20" ht="14.5" x14ac:dyDescent="0.35">
      <c r="A1203" s="10" t="s">
        <v>11531</v>
      </c>
      <c r="B1203" s="10" t="str">
        <f>"9781574412024"</f>
        <v>9781574412024</v>
      </c>
      <c r="C1203" s="10" t="str">
        <f>"9781574414042"</f>
        <v>9781574414042</v>
      </c>
      <c r="D1203" s="10" t="s">
        <v>11525</v>
      </c>
      <c r="E1203" s="10" t="s">
        <v>11526</v>
      </c>
      <c r="F1203" s="10" t="s">
        <v>3126</v>
      </c>
      <c r="G1203" s="10" t="s">
        <v>6317</v>
      </c>
      <c r="H1203" s="11">
        <v>38671</v>
      </c>
      <c r="I1203" s="10">
        <v>2005</v>
      </c>
      <c r="J1203" s="10" t="s">
        <v>11526</v>
      </c>
      <c r="K1203" s="10">
        <v>337</v>
      </c>
      <c r="L1203" s="10" t="s">
        <v>11532</v>
      </c>
      <c r="M1203" s="10">
        <v>1</v>
      </c>
      <c r="N1203" s="10" t="s">
        <v>11533</v>
      </c>
      <c r="O1203" s="10"/>
      <c r="P1203" s="10" t="s">
        <v>11534</v>
      </c>
      <c r="Q1203" s="10">
        <v>371.39</v>
      </c>
      <c r="R1203" s="10" t="s">
        <v>11535</v>
      </c>
      <c r="S1203" s="10" t="s">
        <v>53</v>
      </c>
      <c r="T1203" s="10" t="s">
        <v>54</v>
      </c>
    </row>
    <row r="1204" spans="1:20" ht="14.5" x14ac:dyDescent="0.35">
      <c r="A1204" s="10" t="s">
        <v>11536</v>
      </c>
      <c r="B1204" s="10" t="str">
        <f>"9780126190700"</f>
        <v>9780126190700</v>
      </c>
      <c r="C1204" s="10" t="str">
        <f>"9780080509099"</f>
        <v>9780080509099</v>
      </c>
      <c r="D1204" s="10" t="s">
        <v>8547</v>
      </c>
      <c r="E1204" s="10" t="s">
        <v>8548</v>
      </c>
      <c r="F1204" s="10" t="s">
        <v>1232</v>
      </c>
      <c r="G1204" s="10" t="s">
        <v>6317</v>
      </c>
      <c r="H1204" s="11">
        <v>36781</v>
      </c>
      <c r="I1204" s="10">
        <v>2000</v>
      </c>
      <c r="J1204" s="10" t="s">
        <v>1231</v>
      </c>
      <c r="K1204" s="10">
        <v>513</v>
      </c>
      <c r="L1204" s="10" t="s">
        <v>11537</v>
      </c>
      <c r="M1204" s="10">
        <v>1</v>
      </c>
      <c r="N1204" s="10" t="s">
        <v>8550</v>
      </c>
      <c r="O1204" s="10"/>
      <c r="P1204" s="10" t="s">
        <v>11538</v>
      </c>
      <c r="Q1204" s="10" t="s">
        <v>10213</v>
      </c>
      <c r="R1204" s="10" t="s">
        <v>11395</v>
      </c>
      <c r="S1204" s="10" t="s">
        <v>53</v>
      </c>
      <c r="T1204" s="10" t="s">
        <v>54</v>
      </c>
    </row>
    <row r="1205" spans="1:20" ht="14.5" x14ac:dyDescent="0.35">
      <c r="A1205" s="10" t="s">
        <v>11539</v>
      </c>
      <c r="B1205" s="10" t="str">
        <f>"9780873552394"</f>
        <v>9780873552394</v>
      </c>
      <c r="C1205" s="10" t="str">
        <f>"9781933531762"</f>
        <v>9781933531762</v>
      </c>
      <c r="D1205" s="10" t="s">
        <v>3386</v>
      </c>
      <c r="E1205" s="10" t="s">
        <v>3386</v>
      </c>
      <c r="F1205" s="10" t="s">
        <v>9597</v>
      </c>
      <c r="G1205" s="10" t="s">
        <v>6317</v>
      </c>
      <c r="H1205" s="11">
        <v>39083</v>
      </c>
      <c r="I1205" s="10">
        <v>2007</v>
      </c>
      <c r="J1205" s="10" t="s">
        <v>3386</v>
      </c>
      <c r="K1205" s="10">
        <v>127</v>
      </c>
      <c r="L1205" s="10" t="s">
        <v>11540</v>
      </c>
      <c r="M1205" s="10">
        <v>1</v>
      </c>
      <c r="N1205" s="10"/>
      <c r="O1205" s="10"/>
      <c r="P1205" s="10" t="s">
        <v>11541</v>
      </c>
      <c r="Q1205" s="10">
        <v>540.71</v>
      </c>
      <c r="R1205" s="10" t="s">
        <v>11542</v>
      </c>
      <c r="S1205" s="10" t="s">
        <v>53</v>
      </c>
      <c r="T1205" s="10" t="s">
        <v>11298</v>
      </c>
    </row>
    <row r="1206" spans="1:20" ht="14.5" x14ac:dyDescent="0.35">
      <c r="A1206" s="10" t="s">
        <v>11543</v>
      </c>
      <c r="B1206" s="10" t="str">
        <f>"9781933531052"</f>
        <v>9781933531052</v>
      </c>
      <c r="C1206" s="10" t="str">
        <f>"9781933531755"</f>
        <v>9781933531755</v>
      </c>
      <c r="D1206" s="10" t="s">
        <v>3386</v>
      </c>
      <c r="E1206" s="10" t="s">
        <v>3386</v>
      </c>
      <c r="F1206" s="10" t="s">
        <v>9597</v>
      </c>
      <c r="G1206" s="10" t="s">
        <v>6317</v>
      </c>
      <c r="H1206" s="11">
        <v>39083</v>
      </c>
      <c r="I1206" s="10">
        <v>2007</v>
      </c>
      <c r="J1206" s="10" t="s">
        <v>3386</v>
      </c>
      <c r="K1206" s="10">
        <v>171</v>
      </c>
      <c r="L1206" s="10" t="s">
        <v>11544</v>
      </c>
      <c r="M1206" s="10">
        <v>1</v>
      </c>
      <c r="N1206" s="10"/>
      <c r="O1206" s="10"/>
      <c r="P1206" s="10" t="s">
        <v>11545</v>
      </c>
      <c r="Q1206" s="10" t="s">
        <v>11546</v>
      </c>
      <c r="R1206" s="10" t="s">
        <v>11547</v>
      </c>
      <c r="S1206" s="10" t="s">
        <v>53</v>
      </c>
      <c r="T1206" s="10" t="s">
        <v>11548</v>
      </c>
    </row>
    <row r="1207" spans="1:20" ht="14.5" x14ac:dyDescent="0.35">
      <c r="A1207" s="10" t="s">
        <v>11549</v>
      </c>
      <c r="B1207" s="10" t="str">
        <f>"9781933531120"</f>
        <v>9781933531120</v>
      </c>
      <c r="C1207" s="10" t="str">
        <f>"9781933531748"</f>
        <v>9781933531748</v>
      </c>
      <c r="D1207" s="10" t="s">
        <v>3386</v>
      </c>
      <c r="E1207" s="10" t="s">
        <v>3386</v>
      </c>
      <c r="F1207" s="10" t="s">
        <v>9597</v>
      </c>
      <c r="G1207" s="10" t="s">
        <v>6317</v>
      </c>
      <c r="H1207" s="11">
        <v>39083</v>
      </c>
      <c r="I1207" s="10">
        <v>2007</v>
      </c>
      <c r="J1207" s="10" t="s">
        <v>3386</v>
      </c>
      <c r="K1207" s="10">
        <v>254</v>
      </c>
      <c r="L1207" s="10" t="s">
        <v>11550</v>
      </c>
      <c r="M1207" s="10">
        <v>1</v>
      </c>
      <c r="N1207" s="10"/>
      <c r="O1207" s="10"/>
      <c r="P1207" s="10" t="s">
        <v>11551</v>
      </c>
      <c r="Q1207" s="10"/>
      <c r="R1207" s="10" t="s">
        <v>11552</v>
      </c>
      <c r="S1207" s="10" t="s">
        <v>53</v>
      </c>
      <c r="T1207" s="10" t="s">
        <v>54</v>
      </c>
    </row>
    <row r="1208" spans="1:20" ht="14.5" x14ac:dyDescent="0.35">
      <c r="A1208" s="10" t="s">
        <v>11553</v>
      </c>
      <c r="B1208" s="10" t="str">
        <f>"9780873552738"</f>
        <v>9780873552738</v>
      </c>
      <c r="C1208" s="10" t="str">
        <f>"9781933531731"</f>
        <v>9781933531731</v>
      </c>
      <c r="D1208" s="10" t="s">
        <v>3386</v>
      </c>
      <c r="E1208" s="10" t="s">
        <v>3386</v>
      </c>
      <c r="F1208" s="10" t="s">
        <v>9597</v>
      </c>
      <c r="G1208" s="10" t="s">
        <v>6317</v>
      </c>
      <c r="H1208" s="11">
        <v>39173</v>
      </c>
      <c r="I1208" s="10">
        <v>2007</v>
      </c>
      <c r="J1208" s="10" t="s">
        <v>3386</v>
      </c>
      <c r="K1208" s="10">
        <v>208</v>
      </c>
      <c r="L1208" s="10" t="s">
        <v>11554</v>
      </c>
      <c r="M1208" s="10">
        <v>1</v>
      </c>
      <c r="N1208" s="10"/>
      <c r="O1208" s="10"/>
      <c r="P1208" s="10" t="s">
        <v>11555</v>
      </c>
      <c r="Q1208" s="10" t="s">
        <v>9108</v>
      </c>
      <c r="R1208" s="10" t="s">
        <v>11556</v>
      </c>
      <c r="S1208" s="10" t="s">
        <v>53</v>
      </c>
      <c r="T1208" s="10" t="s">
        <v>7193</v>
      </c>
    </row>
    <row r="1209" spans="1:20" ht="14.5" x14ac:dyDescent="0.35">
      <c r="A1209" s="10" t="s">
        <v>11557</v>
      </c>
      <c r="B1209" s="10" t="str">
        <f>"9780873552400"</f>
        <v>9780873552400</v>
      </c>
      <c r="C1209" s="10" t="str">
        <f>"9781933531878"</f>
        <v>9781933531878</v>
      </c>
      <c r="D1209" s="10" t="s">
        <v>3386</v>
      </c>
      <c r="E1209" s="10" t="s">
        <v>3386</v>
      </c>
      <c r="F1209" s="10" t="s">
        <v>9597</v>
      </c>
      <c r="G1209" s="10" t="s">
        <v>6317</v>
      </c>
      <c r="H1209" s="11">
        <v>38687</v>
      </c>
      <c r="I1209" s="10">
        <v>2006</v>
      </c>
      <c r="J1209" s="10" t="s">
        <v>3386</v>
      </c>
      <c r="K1209" s="10">
        <v>200</v>
      </c>
      <c r="L1209" s="10" t="s">
        <v>11558</v>
      </c>
      <c r="M1209" s="10">
        <v>1</v>
      </c>
      <c r="N1209" s="10"/>
      <c r="O1209" s="10"/>
      <c r="P1209" s="10" t="s">
        <v>11559</v>
      </c>
      <c r="Q1209" s="10">
        <v>510.71</v>
      </c>
      <c r="R1209" s="10" t="s">
        <v>11560</v>
      </c>
      <c r="S1209" s="10" t="s">
        <v>53</v>
      </c>
      <c r="T1209" s="10" t="s">
        <v>389</v>
      </c>
    </row>
    <row r="1210" spans="1:20" ht="14.5" x14ac:dyDescent="0.35">
      <c r="A1210" s="10" t="s">
        <v>11561</v>
      </c>
      <c r="B1210" s="10" t="str">
        <f>"9780873552387"</f>
        <v>9780873552387</v>
      </c>
      <c r="C1210" s="10" t="str">
        <f>"9781933531816"</f>
        <v>9781933531816</v>
      </c>
      <c r="D1210" s="10" t="s">
        <v>3386</v>
      </c>
      <c r="E1210" s="10" t="s">
        <v>3386</v>
      </c>
      <c r="F1210" s="10" t="s">
        <v>9597</v>
      </c>
      <c r="G1210" s="10" t="s">
        <v>6317</v>
      </c>
      <c r="H1210" s="11">
        <v>38353</v>
      </c>
      <c r="I1210" s="10">
        <v>2005</v>
      </c>
      <c r="J1210" s="10" t="s">
        <v>3386</v>
      </c>
      <c r="K1210" s="10">
        <v>148</v>
      </c>
      <c r="L1210" s="10" t="s">
        <v>11558</v>
      </c>
      <c r="M1210" s="10">
        <v>1</v>
      </c>
      <c r="N1210" s="10"/>
      <c r="O1210" s="10"/>
      <c r="P1210" s="10" t="s">
        <v>11562</v>
      </c>
      <c r="Q1210" s="10" t="s">
        <v>11563</v>
      </c>
      <c r="R1210" s="10" t="s">
        <v>11564</v>
      </c>
      <c r="S1210" s="10" t="s">
        <v>53</v>
      </c>
      <c r="T1210" s="10" t="s">
        <v>11565</v>
      </c>
    </row>
    <row r="1211" spans="1:20" ht="14.5" x14ac:dyDescent="0.35">
      <c r="A1211" s="10" t="s">
        <v>11566</v>
      </c>
      <c r="B1211" s="10" t="str">
        <f>"9780873552370"</f>
        <v>9780873552370</v>
      </c>
      <c r="C1211" s="10" t="str">
        <f>"9781933531793"</f>
        <v>9781933531793</v>
      </c>
      <c r="D1211" s="10" t="s">
        <v>3386</v>
      </c>
      <c r="E1211" s="10" t="s">
        <v>3386</v>
      </c>
      <c r="F1211" s="10" t="s">
        <v>9597</v>
      </c>
      <c r="G1211" s="10" t="s">
        <v>6317</v>
      </c>
      <c r="H1211" s="11">
        <v>37987</v>
      </c>
      <c r="I1211" s="10">
        <v>2004</v>
      </c>
      <c r="J1211" s="10" t="s">
        <v>3386</v>
      </c>
      <c r="K1211" s="10">
        <v>80</v>
      </c>
      <c r="L1211" s="10" t="s">
        <v>11567</v>
      </c>
      <c r="M1211" s="10">
        <v>1</v>
      </c>
      <c r="N1211" s="10"/>
      <c r="O1211" s="10"/>
      <c r="P1211" s="10" t="s">
        <v>11568</v>
      </c>
      <c r="Q1211" s="10" t="s">
        <v>11569</v>
      </c>
      <c r="R1211" s="10" t="s">
        <v>11570</v>
      </c>
      <c r="S1211" s="10" t="s">
        <v>53</v>
      </c>
      <c r="T1211" s="10" t="s">
        <v>9679</v>
      </c>
    </row>
    <row r="1212" spans="1:20" ht="14.5" x14ac:dyDescent="0.35">
      <c r="A1212" s="10" t="s">
        <v>11571</v>
      </c>
      <c r="B1212" s="10" t="str">
        <f>"9780873552165"</f>
        <v>9780873552165</v>
      </c>
      <c r="C1212" s="10" t="str">
        <f>"9781933531861"</f>
        <v>9781933531861</v>
      </c>
      <c r="D1212" s="10" t="s">
        <v>3386</v>
      </c>
      <c r="E1212" s="10" t="s">
        <v>3386</v>
      </c>
      <c r="F1212" s="10" t="s">
        <v>9597</v>
      </c>
      <c r="G1212" s="10" t="s">
        <v>6317</v>
      </c>
      <c r="H1212" s="11">
        <v>37622</v>
      </c>
      <c r="I1212" s="10">
        <v>2003</v>
      </c>
      <c r="J1212" s="10" t="s">
        <v>3386</v>
      </c>
      <c r="K1212" s="10">
        <v>117</v>
      </c>
      <c r="L1212" s="10" t="s">
        <v>11558</v>
      </c>
      <c r="M1212" s="10">
        <v>1</v>
      </c>
      <c r="N1212" s="10"/>
      <c r="O1212" s="10"/>
      <c r="P1212" s="10" t="s">
        <v>11572</v>
      </c>
      <c r="Q1212" s="10">
        <v>534</v>
      </c>
      <c r="R1212" s="10" t="s">
        <v>11573</v>
      </c>
      <c r="S1212" s="10" t="s">
        <v>53</v>
      </c>
      <c r="T1212" s="10" t="s">
        <v>11108</v>
      </c>
    </row>
    <row r="1213" spans="1:20" ht="14.5" x14ac:dyDescent="0.35">
      <c r="A1213" s="10" t="s">
        <v>11574</v>
      </c>
      <c r="B1213" s="10" t="str">
        <f>"9780873552158"</f>
        <v>9780873552158</v>
      </c>
      <c r="C1213" s="10" t="str">
        <f>"9781933531854"</f>
        <v>9781933531854</v>
      </c>
      <c r="D1213" s="10" t="s">
        <v>3386</v>
      </c>
      <c r="E1213" s="10" t="s">
        <v>3386</v>
      </c>
      <c r="F1213" s="10" t="s">
        <v>9597</v>
      </c>
      <c r="G1213" s="10" t="s">
        <v>6317</v>
      </c>
      <c r="H1213" s="11">
        <v>37622</v>
      </c>
      <c r="I1213" s="10">
        <v>2003</v>
      </c>
      <c r="J1213" s="10" t="s">
        <v>3386</v>
      </c>
      <c r="K1213" s="10">
        <v>128</v>
      </c>
      <c r="L1213" s="10" t="s">
        <v>11558</v>
      </c>
      <c r="M1213" s="10">
        <v>1</v>
      </c>
      <c r="N1213" s="10"/>
      <c r="O1213" s="10"/>
      <c r="P1213" s="10" t="s">
        <v>11575</v>
      </c>
      <c r="Q1213" s="10" t="s">
        <v>11576</v>
      </c>
      <c r="R1213" s="10" t="s">
        <v>11577</v>
      </c>
      <c r="S1213" s="10" t="s">
        <v>53</v>
      </c>
      <c r="T1213" s="10" t="s">
        <v>11578</v>
      </c>
    </row>
    <row r="1214" spans="1:20" ht="14.5" x14ac:dyDescent="0.35">
      <c r="A1214" s="10" t="s">
        <v>11579</v>
      </c>
      <c r="B1214" s="10" t="str">
        <f>"9780873552141"</f>
        <v>9780873552141</v>
      </c>
      <c r="C1214" s="10" t="str">
        <f>"9781933531847"</f>
        <v>9781933531847</v>
      </c>
      <c r="D1214" s="10" t="s">
        <v>3386</v>
      </c>
      <c r="E1214" s="10" t="s">
        <v>3386</v>
      </c>
      <c r="F1214" s="10" t="s">
        <v>9597</v>
      </c>
      <c r="G1214" s="10" t="s">
        <v>6317</v>
      </c>
      <c r="H1214" s="11">
        <v>37257</v>
      </c>
      <c r="I1214" s="10">
        <v>2002</v>
      </c>
      <c r="J1214" s="10" t="s">
        <v>3386</v>
      </c>
      <c r="K1214" s="10">
        <v>124</v>
      </c>
      <c r="L1214" s="10" t="s">
        <v>11558</v>
      </c>
      <c r="M1214" s="10">
        <v>1</v>
      </c>
      <c r="N1214" s="10"/>
      <c r="O1214" s="10"/>
      <c r="P1214" s="10" t="s">
        <v>11580</v>
      </c>
      <c r="Q1214" s="10" t="s">
        <v>11581</v>
      </c>
      <c r="R1214" s="10" t="s">
        <v>11582</v>
      </c>
      <c r="S1214" s="10" t="s">
        <v>53</v>
      </c>
      <c r="T1214" s="10" t="s">
        <v>11578</v>
      </c>
    </row>
    <row r="1215" spans="1:20" ht="14.5" x14ac:dyDescent="0.35">
      <c r="A1215" s="10" t="s">
        <v>11583</v>
      </c>
      <c r="B1215" s="10" t="str">
        <f>"9780873551366"</f>
        <v>9780873551366</v>
      </c>
      <c r="C1215" s="10" t="str">
        <f>"9781933531663"</f>
        <v>9781933531663</v>
      </c>
      <c r="D1215" s="10" t="s">
        <v>3386</v>
      </c>
      <c r="E1215" s="10" t="s">
        <v>3386</v>
      </c>
      <c r="F1215" s="10" t="s">
        <v>9597</v>
      </c>
      <c r="G1215" s="10" t="s">
        <v>6317</v>
      </c>
      <c r="H1215" s="11">
        <v>35096</v>
      </c>
      <c r="I1215" s="10">
        <v>1996</v>
      </c>
      <c r="J1215" s="10" t="s">
        <v>3386</v>
      </c>
      <c r="K1215" s="10">
        <v>207</v>
      </c>
      <c r="L1215" s="10" t="s">
        <v>11584</v>
      </c>
      <c r="M1215" s="10">
        <v>1</v>
      </c>
      <c r="N1215" s="10"/>
      <c r="O1215" s="10"/>
      <c r="P1215" s="10" t="s">
        <v>11585</v>
      </c>
      <c r="Q1215" s="10">
        <v>510.4</v>
      </c>
      <c r="R1215" s="10" t="s">
        <v>11586</v>
      </c>
      <c r="S1215" s="10" t="s">
        <v>53</v>
      </c>
      <c r="T1215" s="10" t="s">
        <v>389</v>
      </c>
    </row>
    <row r="1216" spans="1:20" ht="14.5" x14ac:dyDescent="0.35">
      <c r="A1216" s="10" t="s">
        <v>11587</v>
      </c>
      <c r="B1216" s="10" t="str">
        <f>"9780815753346"</f>
        <v>9780815753346</v>
      </c>
      <c r="C1216" s="10" t="str">
        <f>"9780815753353"</f>
        <v>9780815753353</v>
      </c>
      <c r="D1216" s="10" t="s">
        <v>9752</v>
      </c>
      <c r="E1216" s="10" t="s">
        <v>9753</v>
      </c>
      <c r="F1216" s="10" t="s">
        <v>9754</v>
      </c>
      <c r="G1216" s="10" t="s">
        <v>6317</v>
      </c>
      <c r="H1216" s="11">
        <v>39360</v>
      </c>
      <c r="I1216" s="10">
        <v>2007</v>
      </c>
      <c r="J1216" s="10" t="s">
        <v>9753</v>
      </c>
      <c r="K1216" s="10">
        <v>290</v>
      </c>
      <c r="L1216" s="10" t="s">
        <v>11588</v>
      </c>
      <c r="M1216" s="10">
        <v>1</v>
      </c>
      <c r="N1216" s="10"/>
      <c r="O1216" s="10"/>
      <c r="P1216" s="10" t="s">
        <v>11589</v>
      </c>
      <c r="Q1216" s="10">
        <v>510.71</v>
      </c>
      <c r="R1216" s="10" t="s">
        <v>11590</v>
      </c>
      <c r="S1216" s="10" t="s">
        <v>53</v>
      </c>
      <c r="T1216" s="10" t="s">
        <v>389</v>
      </c>
    </row>
    <row r="1217" spans="1:20" ht="14.5" x14ac:dyDescent="0.35">
      <c r="A1217" s="10" t="s">
        <v>11591</v>
      </c>
      <c r="B1217" s="10" t="str">
        <f>"9780470171295"</f>
        <v>9780470171295</v>
      </c>
      <c r="C1217" s="10" t="str">
        <f>"9780470224366"</f>
        <v>9780470224366</v>
      </c>
      <c r="D1217" s="10" t="s">
        <v>6322</v>
      </c>
      <c r="E1217" s="10" t="s">
        <v>6323</v>
      </c>
      <c r="F1217" s="10" t="s">
        <v>1168</v>
      </c>
      <c r="G1217" s="10" t="s">
        <v>6317</v>
      </c>
      <c r="H1217" s="11">
        <v>39381</v>
      </c>
      <c r="I1217" s="10">
        <v>2008</v>
      </c>
      <c r="J1217" s="10" t="s">
        <v>6323</v>
      </c>
      <c r="K1217" s="10">
        <v>178</v>
      </c>
      <c r="L1217" s="10" t="s">
        <v>11592</v>
      </c>
      <c r="M1217" s="10">
        <v>1</v>
      </c>
      <c r="N1217" s="10"/>
      <c r="O1217" s="10"/>
      <c r="P1217" s="10" t="s">
        <v>11593</v>
      </c>
      <c r="Q1217" s="10" t="s">
        <v>11594</v>
      </c>
      <c r="R1217" s="10" t="s">
        <v>11595</v>
      </c>
      <c r="S1217" s="10" t="s">
        <v>53</v>
      </c>
      <c r="T1217" s="10" t="s">
        <v>6660</v>
      </c>
    </row>
    <row r="1218" spans="1:20" ht="14.5" x14ac:dyDescent="0.35">
      <c r="A1218" s="10" t="s">
        <v>11596</v>
      </c>
      <c r="B1218" s="10" t="str">
        <f>"9780335218295"</f>
        <v>9780335218295</v>
      </c>
      <c r="C1218" s="10" t="str">
        <f>"9780335229482"</f>
        <v>9780335229482</v>
      </c>
      <c r="D1218" s="10" t="s">
        <v>10342</v>
      </c>
      <c r="E1218" s="10" t="s">
        <v>10343</v>
      </c>
      <c r="F1218" s="10" t="s">
        <v>856</v>
      </c>
      <c r="G1218" s="10" t="s">
        <v>6352</v>
      </c>
      <c r="H1218" s="11">
        <v>39022</v>
      </c>
      <c r="I1218" s="10">
        <v>2006</v>
      </c>
      <c r="J1218" s="10" t="s">
        <v>10345</v>
      </c>
      <c r="K1218" s="10">
        <v>221</v>
      </c>
      <c r="L1218" s="10" t="s">
        <v>11597</v>
      </c>
      <c r="M1218" s="10">
        <v>1</v>
      </c>
      <c r="N1218" s="10" t="s">
        <v>10384</v>
      </c>
      <c r="O1218" s="10"/>
      <c r="P1218" s="10" t="s">
        <v>11598</v>
      </c>
      <c r="Q1218" s="10">
        <v>378.125</v>
      </c>
      <c r="R1218" s="10" t="s">
        <v>11599</v>
      </c>
      <c r="S1218" s="10" t="s">
        <v>53</v>
      </c>
      <c r="T1218" s="10" t="s">
        <v>54</v>
      </c>
    </row>
    <row r="1219" spans="1:20" ht="14.5" x14ac:dyDescent="0.35">
      <c r="A1219" s="10" t="s">
        <v>11600</v>
      </c>
      <c r="B1219" s="10" t="str">
        <f>"9780335220915"</f>
        <v>9780335220915</v>
      </c>
      <c r="C1219" s="10" t="str">
        <f>"9780335229550"</f>
        <v>9780335229550</v>
      </c>
      <c r="D1219" s="10" t="s">
        <v>10342</v>
      </c>
      <c r="E1219" s="10" t="s">
        <v>10343</v>
      </c>
      <c r="F1219" s="10" t="s">
        <v>856</v>
      </c>
      <c r="G1219" s="10" t="s">
        <v>6352</v>
      </c>
      <c r="H1219" s="11">
        <v>39203</v>
      </c>
      <c r="I1219" s="10">
        <v>2007</v>
      </c>
      <c r="J1219" s="10" t="s">
        <v>10345</v>
      </c>
      <c r="K1219" s="10">
        <v>384</v>
      </c>
      <c r="L1219" s="10" t="s">
        <v>7968</v>
      </c>
      <c r="M1219" s="10">
        <v>2</v>
      </c>
      <c r="N1219" s="10" t="s">
        <v>10384</v>
      </c>
      <c r="O1219" s="10"/>
      <c r="P1219" s="10" t="s">
        <v>11601</v>
      </c>
      <c r="Q1219" s="10" t="s">
        <v>8223</v>
      </c>
      <c r="R1219" s="10" t="s">
        <v>11602</v>
      </c>
      <c r="S1219" s="10" t="s">
        <v>53</v>
      </c>
      <c r="T1219" s="10" t="s">
        <v>54</v>
      </c>
    </row>
    <row r="1220" spans="1:20" ht="14.5" x14ac:dyDescent="0.35">
      <c r="A1220" s="10" t="s">
        <v>11603</v>
      </c>
      <c r="B1220" s="10" t="str">
        <f>"9780335221172"</f>
        <v>9780335221172</v>
      </c>
      <c r="C1220" s="10" t="str">
        <f>"9780335229635"</f>
        <v>9780335229635</v>
      </c>
      <c r="D1220" s="10" t="s">
        <v>10342</v>
      </c>
      <c r="E1220" s="10" t="s">
        <v>10343</v>
      </c>
      <c r="F1220" s="10" t="s">
        <v>10344</v>
      </c>
      <c r="G1220" s="10" t="s">
        <v>6352</v>
      </c>
      <c r="H1220" s="11">
        <v>38961</v>
      </c>
      <c r="I1220" s="10">
        <v>2006</v>
      </c>
      <c r="J1220" s="10" t="s">
        <v>10345</v>
      </c>
      <c r="K1220" s="10">
        <v>289</v>
      </c>
      <c r="L1220" s="10" t="s">
        <v>11604</v>
      </c>
      <c r="M1220" s="10">
        <v>3</v>
      </c>
      <c r="N1220" s="10" t="s">
        <v>10408</v>
      </c>
      <c r="O1220" s="10"/>
      <c r="P1220" s="10" t="s">
        <v>11605</v>
      </c>
      <c r="Q1220" s="10">
        <v>378.17028099999999</v>
      </c>
      <c r="R1220" s="10" t="s">
        <v>11606</v>
      </c>
      <c r="S1220" s="10" t="s">
        <v>53</v>
      </c>
      <c r="T1220" s="10" t="s">
        <v>54</v>
      </c>
    </row>
    <row r="1221" spans="1:20" ht="14.5" x14ac:dyDescent="0.35">
      <c r="A1221" s="10" t="s">
        <v>11607</v>
      </c>
      <c r="B1221" s="10" t="str">
        <f>"9780335220045"</f>
        <v>9780335220045</v>
      </c>
      <c r="C1221" s="10" t="str">
        <f>"9780335229666"</f>
        <v>9780335229666</v>
      </c>
      <c r="D1221" s="10" t="s">
        <v>10342</v>
      </c>
      <c r="E1221" s="10" t="s">
        <v>10343</v>
      </c>
      <c r="F1221" s="10" t="s">
        <v>10344</v>
      </c>
      <c r="G1221" s="10" t="s">
        <v>6352</v>
      </c>
      <c r="H1221" s="11">
        <v>39142</v>
      </c>
      <c r="I1221" s="10">
        <v>2007</v>
      </c>
      <c r="J1221" s="10" t="s">
        <v>10343</v>
      </c>
      <c r="K1221" s="10">
        <v>317</v>
      </c>
      <c r="L1221" s="10" t="s">
        <v>11608</v>
      </c>
      <c r="M1221" s="10">
        <v>1</v>
      </c>
      <c r="N1221" s="10" t="s">
        <v>10347</v>
      </c>
      <c r="O1221" s="10"/>
      <c r="P1221" s="10" t="s">
        <v>11609</v>
      </c>
      <c r="Q1221" s="10">
        <v>371.10094199999997</v>
      </c>
      <c r="R1221" s="10" t="s">
        <v>11610</v>
      </c>
      <c r="S1221" s="10" t="s">
        <v>53</v>
      </c>
      <c r="T1221" s="10" t="s">
        <v>54</v>
      </c>
    </row>
    <row r="1222" spans="1:20" ht="14.5" x14ac:dyDescent="0.35">
      <c r="A1222" s="10" t="s">
        <v>11611</v>
      </c>
      <c r="B1222" s="10" t="str">
        <f>"9780335220137"</f>
        <v>9780335220137</v>
      </c>
      <c r="C1222" s="10" t="str">
        <f>"9780335229703"</f>
        <v>9780335229703</v>
      </c>
      <c r="D1222" s="10" t="s">
        <v>10342</v>
      </c>
      <c r="E1222" s="10" t="s">
        <v>10343</v>
      </c>
      <c r="F1222" s="10" t="s">
        <v>856</v>
      </c>
      <c r="G1222" s="10" t="s">
        <v>6352</v>
      </c>
      <c r="H1222" s="11">
        <v>39052</v>
      </c>
      <c r="I1222" s="10">
        <v>2006</v>
      </c>
      <c r="J1222" s="10" t="s">
        <v>10345</v>
      </c>
      <c r="K1222" s="10">
        <v>194</v>
      </c>
      <c r="L1222" s="10" t="s">
        <v>6969</v>
      </c>
      <c r="M1222" s="10">
        <v>1</v>
      </c>
      <c r="N1222" s="10" t="s">
        <v>10347</v>
      </c>
      <c r="O1222" s="10"/>
      <c r="P1222" s="10" t="s">
        <v>11612</v>
      </c>
      <c r="Q1222" s="10">
        <v>372.21</v>
      </c>
      <c r="R1222" s="10" t="s">
        <v>11613</v>
      </c>
      <c r="S1222" s="10" t="s">
        <v>53</v>
      </c>
      <c r="T1222" s="10" t="s">
        <v>54</v>
      </c>
    </row>
    <row r="1223" spans="1:20" ht="14.5" x14ac:dyDescent="0.35">
      <c r="A1223" s="10" t="s">
        <v>11614</v>
      </c>
      <c r="B1223" s="10" t="str">
        <f>"9780335220632"</f>
        <v>9780335220632</v>
      </c>
      <c r="C1223" s="10" t="str">
        <f>"9780335229833"</f>
        <v>9780335229833</v>
      </c>
      <c r="D1223" s="10" t="s">
        <v>10342</v>
      </c>
      <c r="E1223" s="10" t="s">
        <v>10343</v>
      </c>
      <c r="F1223" s="10" t="s">
        <v>10344</v>
      </c>
      <c r="G1223" s="10" t="s">
        <v>6352</v>
      </c>
      <c r="H1223" s="11">
        <v>39114</v>
      </c>
      <c r="I1223" s="10">
        <v>2007</v>
      </c>
      <c r="J1223" s="10" t="s">
        <v>10345</v>
      </c>
      <c r="K1223" s="10">
        <v>178</v>
      </c>
      <c r="L1223" s="10" t="s">
        <v>11615</v>
      </c>
      <c r="M1223" s="10">
        <v>1</v>
      </c>
      <c r="N1223" s="10" t="s">
        <v>10360</v>
      </c>
      <c r="O1223" s="10"/>
      <c r="P1223" s="10" t="s">
        <v>11616</v>
      </c>
      <c r="Q1223" s="10">
        <v>658.31240000000003</v>
      </c>
      <c r="R1223" s="10" t="s">
        <v>11617</v>
      </c>
      <c r="S1223" s="10" t="s">
        <v>53</v>
      </c>
      <c r="T1223" s="10" t="s">
        <v>6660</v>
      </c>
    </row>
    <row r="1224" spans="1:20" ht="14.5" x14ac:dyDescent="0.35">
      <c r="A1224" s="10" t="s">
        <v>11618</v>
      </c>
      <c r="B1224" s="10" t="str">
        <f>"9780335211913"</f>
        <v>9780335211913</v>
      </c>
      <c r="C1224" s="10" t="str">
        <f>"9780335229970"</f>
        <v>9780335229970</v>
      </c>
      <c r="D1224" s="10" t="s">
        <v>10342</v>
      </c>
      <c r="E1224" s="10" t="s">
        <v>10343</v>
      </c>
      <c r="F1224" s="10" t="s">
        <v>10344</v>
      </c>
      <c r="G1224" s="10" t="s">
        <v>6352</v>
      </c>
      <c r="H1224" s="11">
        <v>38991</v>
      </c>
      <c r="I1224" s="10">
        <v>2006</v>
      </c>
      <c r="J1224" s="10" t="s">
        <v>10345</v>
      </c>
      <c r="K1224" s="10">
        <v>202</v>
      </c>
      <c r="L1224" s="10" t="s">
        <v>11619</v>
      </c>
      <c r="M1224" s="10">
        <v>1</v>
      </c>
      <c r="N1224" s="10" t="s">
        <v>10384</v>
      </c>
      <c r="O1224" s="10"/>
      <c r="P1224" s="10" t="s">
        <v>11620</v>
      </c>
      <c r="Q1224" s="10">
        <v>378.41</v>
      </c>
      <c r="R1224" s="10"/>
      <c r="S1224" s="10" t="s">
        <v>53</v>
      </c>
      <c r="T1224" s="10" t="s">
        <v>54</v>
      </c>
    </row>
    <row r="1225" spans="1:20" ht="14.5" x14ac:dyDescent="0.35">
      <c r="A1225" s="10" t="s">
        <v>11621</v>
      </c>
      <c r="B1225" s="10" t="str">
        <f>"9780335216994"</f>
        <v>9780335216994</v>
      </c>
      <c r="C1225" s="10" t="str">
        <f>"9780335230037"</f>
        <v>9780335230037</v>
      </c>
      <c r="D1225" s="10" t="s">
        <v>10342</v>
      </c>
      <c r="E1225" s="10" t="s">
        <v>10343</v>
      </c>
      <c r="F1225" s="10" t="s">
        <v>856</v>
      </c>
      <c r="G1225" s="10" t="s">
        <v>6352</v>
      </c>
      <c r="H1225" s="11">
        <v>39052</v>
      </c>
      <c r="I1225" s="10">
        <v>2006</v>
      </c>
      <c r="J1225" s="10" t="s">
        <v>10345</v>
      </c>
      <c r="K1225" s="10">
        <v>170</v>
      </c>
      <c r="L1225" s="10" t="s">
        <v>11622</v>
      </c>
      <c r="M1225" s="10">
        <v>1</v>
      </c>
      <c r="N1225" s="10" t="s">
        <v>11623</v>
      </c>
      <c r="O1225" s="10"/>
      <c r="P1225" s="10" t="s">
        <v>11624</v>
      </c>
      <c r="Q1225" s="10">
        <v>658.40920000000006</v>
      </c>
      <c r="R1225" s="10" t="s">
        <v>11625</v>
      </c>
      <c r="S1225" s="10" t="s">
        <v>53</v>
      </c>
      <c r="T1225" s="10" t="s">
        <v>6660</v>
      </c>
    </row>
    <row r="1226" spans="1:20" ht="14.5" x14ac:dyDescent="0.35">
      <c r="A1226" s="10" t="s">
        <v>11626</v>
      </c>
      <c r="B1226" s="10" t="str">
        <f>"9780335221011"</f>
        <v>9780335221011</v>
      </c>
      <c r="C1226" s="10" t="str">
        <f>"9780335230051"</f>
        <v>9780335230051</v>
      </c>
      <c r="D1226" s="10" t="s">
        <v>10342</v>
      </c>
      <c r="E1226" s="10" t="s">
        <v>10343</v>
      </c>
      <c r="F1226" s="10" t="s">
        <v>856</v>
      </c>
      <c r="G1226" s="10" t="s">
        <v>6352</v>
      </c>
      <c r="H1226" s="11">
        <v>39022</v>
      </c>
      <c r="I1226" s="10">
        <v>2006</v>
      </c>
      <c r="J1226" s="10" t="s">
        <v>10345</v>
      </c>
      <c r="K1226" s="10">
        <v>184</v>
      </c>
      <c r="L1226" s="10" t="s">
        <v>11627</v>
      </c>
      <c r="M1226" s="10">
        <v>1</v>
      </c>
      <c r="N1226" s="10" t="s">
        <v>10347</v>
      </c>
      <c r="O1226" s="10"/>
      <c r="P1226" s="10" t="s">
        <v>11628</v>
      </c>
      <c r="Q1226" s="10">
        <v>372.12011000000001</v>
      </c>
      <c r="R1226" s="10" t="s">
        <v>11629</v>
      </c>
      <c r="S1226" s="10" t="s">
        <v>53</v>
      </c>
      <c r="T1226" s="10" t="s">
        <v>54</v>
      </c>
    </row>
    <row r="1227" spans="1:20" ht="14.5" x14ac:dyDescent="0.35">
      <c r="A1227" s="10" t="s">
        <v>11630</v>
      </c>
      <c r="B1227" s="10" t="str">
        <f>"9780335219278"</f>
        <v>9780335219278</v>
      </c>
      <c r="C1227" s="10" t="str">
        <f>"9780335230198"</f>
        <v>9780335230198</v>
      </c>
      <c r="D1227" s="10" t="s">
        <v>10342</v>
      </c>
      <c r="E1227" s="10" t="s">
        <v>10343</v>
      </c>
      <c r="F1227" s="10" t="s">
        <v>856</v>
      </c>
      <c r="G1227" s="10" t="s">
        <v>6352</v>
      </c>
      <c r="H1227" s="11">
        <v>39022</v>
      </c>
      <c r="I1227" s="10">
        <v>2006</v>
      </c>
      <c r="J1227" s="10" t="s">
        <v>10345</v>
      </c>
      <c r="K1227" s="10">
        <v>254</v>
      </c>
      <c r="L1227" s="10" t="s">
        <v>11631</v>
      </c>
      <c r="M1227" s="10">
        <v>1</v>
      </c>
      <c r="N1227" s="10" t="s">
        <v>10408</v>
      </c>
      <c r="O1227" s="10"/>
      <c r="P1227" s="10" t="s">
        <v>11632</v>
      </c>
      <c r="Q1227" s="10">
        <v>1.42</v>
      </c>
      <c r="R1227" s="10" t="s">
        <v>11633</v>
      </c>
      <c r="S1227" s="10" t="s">
        <v>53</v>
      </c>
      <c r="T1227" s="10" t="s">
        <v>9590</v>
      </c>
    </row>
    <row r="1228" spans="1:20" ht="14.5" x14ac:dyDescent="0.35">
      <c r="A1228" s="10" t="s">
        <v>11634</v>
      </c>
      <c r="B1228" s="10" t="str">
        <f>"9780335220427"</f>
        <v>9780335220427</v>
      </c>
      <c r="C1228" s="10" t="str">
        <f>"9780335230204"</f>
        <v>9780335230204</v>
      </c>
      <c r="D1228" s="10" t="s">
        <v>10342</v>
      </c>
      <c r="E1228" s="10" t="s">
        <v>10343</v>
      </c>
      <c r="F1228" s="10" t="s">
        <v>856</v>
      </c>
      <c r="G1228" s="10" t="s">
        <v>6352</v>
      </c>
      <c r="H1228" s="11">
        <v>39173</v>
      </c>
      <c r="I1228" s="10">
        <v>2007</v>
      </c>
      <c r="J1228" s="10" t="s">
        <v>10345</v>
      </c>
      <c r="K1228" s="10">
        <v>262</v>
      </c>
      <c r="L1228" s="10" t="s">
        <v>11635</v>
      </c>
      <c r="M1228" s="10">
        <v>1</v>
      </c>
      <c r="N1228" s="10" t="s">
        <v>10347</v>
      </c>
      <c r="O1228" s="10"/>
      <c r="P1228" s="10" t="s">
        <v>11636</v>
      </c>
      <c r="Q1228" s="10">
        <v>510.71</v>
      </c>
      <c r="R1228" s="10" t="s">
        <v>11637</v>
      </c>
      <c r="S1228" s="10" t="s">
        <v>53</v>
      </c>
      <c r="T1228" s="10" t="s">
        <v>11638</v>
      </c>
    </row>
    <row r="1229" spans="1:20" ht="14.5" x14ac:dyDescent="0.35">
      <c r="A1229" s="10" t="s">
        <v>11639</v>
      </c>
      <c r="B1229" s="10" t="str">
        <f>"9780335220069"</f>
        <v>9780335220069</v>
      </c>
      <c r="C1229" s="10" t="str">
        <f>"9780335230228"</f>
        <v>9780335230228</v>
      </c>
      <c r="D1229" s="10" t="s">
        <v>10342</v>
      </c>
      <c r="E1229" s="10" t="s">
        <v>10343</v>
      </c>
      <c r="F1229" s="10" t="s">
        <v>10344</v>
      </c>
      <c r="G1229" s="10" t="s">
        <v>6352</v>
      </c>
      <c r="H1229" s="11">
        <v>38930</v>
      </c>
      <c r="I1229" s="10">
        <v>2006</v>
      </c>
      <c r="J1229" s="10" t="s">
        <v>10345</v>
      </c>
      <c r="K1229" s="10">
        <v>267</v>
      </c>
      <c r="L1229" s="10" t="s">
        <v>11640</v>
      </c>
      <c r="M1229" s="10">
        <v>1</v>
      </c>
      <c r="N1229" s="10" t="s">
        <v>10384</v>
      </c>
      <c r="O1229" s="10"/>
      <c r="P1229" s="10" t="s">
        <v>11641</v>
      </c>
      <c r="Q1229" s="10">
        <v>370.1524</v>
      </c>
      <c r="R1229" s="10" t="s">
        <v>11642</v>
      </c>
      <c r="S1229" s="10" t="s">
        <v>53</v>
      </c>
      <c r="T1229" s="10" t="s">
        <v>54</v>
      </c>
    </row>
    <row r="1230" spans="1:20" ht="14.5" x14ac:dyDescent="0.35">
      <c r="A1230" s="10" t="s">
        <v>11643</v>
      </c>
      <c r="B1230" s="10" t="str">
        <f>"9780335220304"</f>
        <v>9780335220304</v>
      </c>
      <c r="C1230" s="10" t="str">
        <f>"9780335230259"</f>
        <v>9780335230259</v>
      </c>
      <c r="D1230" s="10" t="s">
        <v>10342</v>
      </c>
      <c r="E1230" s="10" t="s">
        <v>10343</v>
      </c>
      <c r="F1230" s="10" t="s">
        <v>856</v>
      </c>
      <c r="G1230" s="10" t="s">
        <v>6352</v>
      </c>
      <c r="H1230" s="11">
        <v>39142</v>
      </c>
      <c r="I1230" s="10">
        <v>2007</v>
      </c>
      <c r="J1230" s="10" t="s">
        <v>10345</v>
      </c>
      <c r="K1230" s="10">
        <v>231</v>
      </c>
      <c r="L1230" s="10" t="s">
        <v>11644</v>
      </c>
      <c r="M1230" s="10">
        <v>1</v>
      </c>
      <c r="N1230" s="10" t="s">
        <v>10347</v>
      </c>
      <c r="O1230" s="10"/>
      <c r="P1230" s="10" t="s">
        <v>11645</v>
      </c>
      <c r="Q1230" s="10">
        <v>371.1</v>
      </c>
      <c r="R1230" s="10" t="s">
        <v>11646</v>
      </c>
      <c r="S1230" s="10" t="s">
        <v>53</v>
      </c>
      <c r="T1230" s="10" t="s">
        <v>54</v>
      </c>
    </row>
    <row r="1231" spans="1:20" ht="14.5" x14ac:dyDescent="0.35">
      <c r="A1231" s="10" t="s">
        <v>11647</v>
      </c>
      <c r="B1231" s="10" t="str">
        <f>"9780335211791"</f>
        <v>9780335211791</v>
      </c>
      <c r="C1231" s="10" t="str">
        <f>"9780335230273"</f>
        <v>9780335230273</v>
      </c>
      <c r="D1231" s="10" t="s">
        <v>10342</v>
      </c>
      <c r="E1231" s="10" t="s">
        <v>10343</v>
      </c>
      <c r="F1231" s="10" t="s">
        <v>856</v>
      </c>
      <c r="G1231" s="10" t="s">
        <v>6352</v>
      </c>
      <c r="H1231" s="11">
        <v>39173</v>
      </c>
      <c r="I1231" s="10">
        <v>2007</v>
      </c>
      <c r="J1231" s="10" t="s">
        <v>10345</v>
      </c>
      <c r="K1231" s="10">
        <v>199</v>
      </c>
      <c r="L1231" s="10" t="s">
        <v>7261</v>
      </c>
      <c r="M1231" s="10">
        <v>1</v>
      </c>
      <c r="N1231" s="10" t="s">
        <v>10347</v>
      </c>
      <c r="O1231" s="10"/>
      <c r="P1231" s="10" t="s">
        <v>11648</v>
      </c>
      <c r="Q1231" s="10">
        <v>370.1</v>
      </c>
      <c r="R1231" s="10" t="s">
        <v>11649</v>
      </c>
      <c r="S1231" s="10" t="s">
        <v>53</v>
      </c>
      <c r="T1231" s="10" t="s">
        <v>54</v>
      </c>
    </row>
    <row r="1232" spans="1:20" ht="14.5" x14ac:dyDescent="0.35">
      <c r="A1232" s="10" t="s">
        <v>11650</v>
      </c>
      <c r="B1232" s="10" t="str">
        <f>"9780335220489"</f>
        <v>9780335220489</v>
      </c>
      <c r="C1232" s="10" t="str">
        <f>"9780335230297"</f>
        <v>9780335230297</v>
      </c>
      <c r="D1232" s="10" t="s">
        <v>10342</v>
      </c>
      <c r="E1232" s="10" t="s">
        <v>10343</v>
      </c>
      <c r="F1232" s="10" t="s">
        <v>856</v>
      </c>
      <c r="G1232" s="10" t="s">
        <v>6352</v>
      </c>
      <c r="H1232" s="11">
        <v>38991</v>
      </c>
      <c r="I1232" s="10">
        <v>2006</v>
      </c>
      <c r="J1232" s="10" t="s">
        <v>10345</v>
      </c>
      <c r="K1232" s="10">
        <v>225</v>
      </c>
      <c r="L1232" s="10" t="s">
        <v>11651</v>
      </c>
      <c r="M1232" s="10">
        <v>2</v>
      </c>
      <c r="N1232" s="10" t="s">
        <v>10408</v>
      </c>
      <c r="O1232" s="10"/>
      <c r="P1232" s="10" t="s">
        <v>11652</v>
      </c>
      <c r="Q1232" s="10" t="s">
        <v>11653</v>
      </c>
      <c r="R1232" s="10" t="s">
        <v>11654</v>
      </c>
      <c r="S1232" s="10" t="s">
        <v>53</v>
      </c>
      <c r="T1232" s="10" t="s">
        <v>54</v>
      </c>
    </row>
    <row r="1233" spans="1:20" ht="14.5" x14ac:dyDescent="0.35">
      <c r="A1233" s="10" t="s">
        <v>11655</v>
      </c>
      <c r="B1233" s="10" t="str">
        <f>"9780335219063"</f>
        <v>9780335219063</v>
      </c>
      <c r="C1233" s="10" t="str">
        <f>"9780335230310"</f>
        <v>9780335230310</v>
      </c>
      <c r="D1233" s="10" t="s">
        <v>10342</v>
      </c>
      <c r="E1233" s="10" t="s">
        <v>10343</v>
      </c>
      <c r="F1233" s="10" t="s">
        <v>856</v>
      </c>
      <c r="G1233" s="10" t="s">
        <v>6352</v>
      </c>
      <c r="H1233" s="11">
        <v>39052</v>
      </c>
      <c r="I1233" s="10">
        <v>2006</v>
      </c>
      <c r="J1233" s="10" t="s">
        <v>10345</v>
      </c>
      <c r="K1233" s="10">
        <v>220</v>
      </c>
      <c r="L1233" s="10" t="s">
        <v>11656</v>
      </c>
      <c r="M1233" s="10">
        <v>1</v>
      </c>
      <c r="N1233" s="10" t="s">
        <v>10347</v>
      </c>
      <c r="O1233" s="10"/>
      <c r="P1233" s="10" t="s">
        <v>11657</v>
      </c>
      <c r="Q1233" s="10" t="s">
        <v>11658</v>
      </c>
      <c r="R1233" s="10" t="s">
        <v>11659</v>
      </c>
      <c r="S1233" s="10" t="s">
        <v>53</v>
      </c>
      <c r="T1233" s="10" t="s">
        <v>11660</v>
      </c>
    </row>
    <row r="1234" spans="1:20" ht="14.5" x14ac:dyDescent="0.35">
      <c r="A1234" s="10" t="s">
        <v>11661</v>
      </c>
      <c r="B1234" s="10" t="str">
        <f>"9780195153163"</f>
        <v>9780195153163</v>
      </c>
      <c r="C1234" s="10" t="str">
        <f>"9780198034964"</f>
        <v>9780198034964</v>
      </c>
      <c r="D1234" s="10" t="s">
        <v>9122</v>
      </c>
      <c r="E1234" s="10" t="s">
        <v>9133</v>
      </c>
      <c r="F1234" s="10" t="s">
        <v>330</v>
      </c>
      <c r="G1234" s="10" t="s">
        <v>6317</v>
      </c>
      <c r="H1234" s="11">
        <v>37658</v>
      </c>
      <c r="I1234" s="10">
        <v>2003</v>
      </c>
      <c r="J1234" s="10" t="s">
        <v>9133</v>
      </c>
      <c r="K1234" s="10">
        <v>519</v>
      </c>
      <c r="L1234" s="10" t="s">
        <v>11662</v>
      </c>
      <c r="M1234" s="10">
        <v>4</v>
      </c>
      <c r="N1234" s="10"/>
      <c r="O1234" s="10"/>
      <c r="P1234" s="10" t="s">
        <v>11663</v>
      </c>
      <c r="Q1234" s="10" t="s">
        <v>9356</v>
      </c>
      <c r="R1234" s="10" t="s">
        <v>11664</v>
      </c>
      <c r="S1234" s="10" t="s">
        <v>53</v>
      </c>
      <c r="T1234" s="10" t="s">
        <v>54</v>
      </c>
    </row>
    <row r="1235" spans="1:20" ht="14.5" x14ac:dyDescent="0.35">
      <c r="A1235" s="10" t="s">
        <v>11665</v>
      </c>
      <c r="B1235" s="10" t="str">
        <f>"9780195176032"</f>
        <v>9780195176032</v>
      </c>
      <c r="C1235" s="10" t="str">
        <f>"9780198034865"</f>
        <v>9780198034865</v>
      </c>
      <c r="D1235" s="10" t="s">
        <v>9122</v>
      </c>
      <c r="E1235" s="10" t="s">
        <v>9133</v>
      </c>
      <c r="F1235" s="10" t="s">
        <v>330</v>
      </c>
      <c r="G1235" s="10" t="s">
        <v>6317</v>
      </c>
      <c r="H1235" s="11">
        <v>37686</v>
      </c>
      <c r="I1235" s="10">
        <v>2003</v>
      </c>
      <c r="J1235" s="10" t="s">
        <v>9133</v>
      </c>
      <c r="K1235" s="10">
        <v>316</v>
      </c>
      <c r="L1235" s="10" t="s">
        <v>11666</v>
      </c>
      <c r="M1235" s="10">
        <v>1</v>
      </c>
      <c r="N1235" s="10"/>
      <c r="O1235" s="10"/>
      <c r="P1235" s="10" t="s">
        <v>11667</v>
      </c>
      <c r="Q1235" s="10" t="s">
        <v>11668</v>
      </c>
      <c r="R1235" s="10" t="s">
        <v>11669</v>
      </c>
      <c r="S1235" s="10" t="s">
        <v>53</v>
      </c>
      <c r="T1235" s="10" t="s">
        <v>54</v>
      </c>
    </row>
    <row r="1236" spans="1:20" ht="14.5" x14ac:dyDescent="0.35">
      <c r="A1236" s="10" t="s">
        <v>11670</v>
      </c>
      <c r="B1236" s="10" t="str">
        <f>"9780816617883"</f>
        <v>9780816617883</v>
      </c>
      <c r="C1236" s="10" t="str">
        <f>"9780816655809"</f>
        <v>9780816655809</v>
      </c>
      <c r="D1236" s="10" t="s">
        <v>11428</v>
      </c>
      <c r="E1236" s="10" t="s">
        <v>11428</v>
      </c>
      <c r="F1236" s="10" t="s">
        <v>2186</v>
      </c>
      <c r="G1236" s="10" t="s">
        <v>6317</v>
      </c>
      <c r="H1236" s="11">
        <v>31320</v>
      </c>
      <c r="I1236" s="10">
        <v>1989</v>
      </c>
      <c r="J1236" s="10" t="s">
        <v>11428</v>
      </c>
      <c r="K1236" s="10">
        <v>396</v>
      </c>
      <c r="L1236" s="10" t="s">
        <v>11671</v>
      </c>
      <c r="M1236" s="10">
        <v>1</v>
      </c>
      <c r="N1236" s="10" t="s">
        <v>11672</v>
      </c>
      <c r="O1236" s="10"/>
      <c r="P1236" s="10" t="s">
        <v>11673</v>
      </c>
      <c r="Q1236" s="10" t="s">
        <v>11674</v>
      </c>
      <c r="R1236" s="10" t="s">
        <v>11675</v>
      </c>
      <c r="S1236" s="10" t="s">
        <v>53</v>
      </c>
      <c r="T1236" s="10" t="s">
        <v>11676</v>
      </c>
    </row>
    <row r="1237" spans="1:20" ht="14.5" x14ac:dyDescent="0.35">
      <c r="A1237" s="10" t="s">
        <v>11677</v>
      </c>
      <c r="B1237" s="10" t="str">
        <f>"9780120585700"</f>
        <v>9780120585700</v>
      </c>
      <c r="C1237" s="10" t="str">
        <f>"9780080533803"</f>
        <v>9780080533803</v>
      </c>
      <c r="D1237" s="10" t="s">
        <v>8547</v>
      </c>
      <c r="E1237" s="10" t="s">
        <v>8548</v>
      </c>
      <c r="F1237" s="10" t="s">
        <v>1232</v>
      </c>
      <c r="G1237" s="10" t="s">
        <v>6317</v>
      </c>
      <c r="H1237" s="11">
        <v>36998</v>
      </c>
      <c r="I1237" s="10">
        <v>2001</v>
      </c>
      <c r="J1237" s="10" t="s">
        <v>1231</v>
      </c>
      <c r="K1237" s="10">
        <v>541</v>
      </c>
      <c r="L1237" s="10" t="s">
        <v>11678</v>
      </c>
      <c r="M1237" s="10">
        <v>1</v>
      </c>
      <c r="N1237" s="10" t="s">
        <v>8550</v>
      </c>
      <c r="O1237" s="10" t="s">
        <v>10960</v>
      </c>
      <c r="P1237" s="10" t="s">
        <v>11679</v>
      </c>
      <c r="Q1237" s="10">
        <v>370.15</v>
      </c>
      <c r="R1237" s="10" t="s">
        <v>6755</v>
      </c>
      <c r="S1237" s="10" t="s">
        <v>53</v>
      </c>
      <c r="T1237" s="10" t="s">
        <v>54</v>
      </c>
    </row>
    <row r="1238" spans="1:20" ht="14.5" x14ac:dyDescent="0.35">
      <c r="A1238" s="10" t="s">
        <v>11680</v>
      </c>
      <c r="B1238" s="10" t="str">
        <f>"9780125542555"</f>
        <v>9780125542555</v>
      </c>
      <c r="C1238" s="10" t="str">
        <f>"9780080532936"</f>
        <v>9780080532936</v>
      </c>
      <c r="D1238" s="10" t="s">
        <v>8547</v>
      </c>
      <c r="E1238" s="10" t="s">
        <v>8548</v>
      </c>
      <c r="F1238" s="10" t="s">
        <v>1232</v>
      </c>
      <c r="G1238" s="10" t="s">
        <v>6317</v>
      </c>
      <c r="H1238" s="11">
        <v>35438</v>
      </c>
      <c r="I1238" s="10">
        <v>1997</v>
      </c>
      <c r="J1238" s="10" t="s">
        <v>1231</v>
      </c>
      <c r="K1238" s="10">
        <v>633</v>
      </c>
      <c r="L1238" s="10" t="s">
        <v>11681</v>
      </c>
      <c r="M1238" s="10">
        <v>1</v>
      </c>
      <c r="N1238" s="10" t="s">
        <v>8550</v>
      </c>
      <c r="O1238" s="10" t="s">
        <v>11682</v>
      </c>
      <c r="P1238" s="10" t="s">
        <v>11683</v>
      </c>
      <c r="Q1238" s="10" t="s">
        <v>6942</v>
      </c>
      <c r="R1238" s="10" t="s">
        <v>11684</v>
      </c>
      <c r="S1238" s="10" t="s">
        <v>53</v>
      </c>
      <c r="T1238" s="10" t="s">
        <v>54</v>
      </c>
    </row>
    <row r="1239" spans="1:20" ht="14.5" x14ac:dyDescent="0.35">
      <c r="A1239" s="10" t="s">
        <v>11685</v>
      </c>
      <c r="B1239" s="10" t="str">
        <f>"9780875861777"</f>
        <v>9780875861777</v>
      </c>
      <c r="C1239" s="10" t="str">
        <f>"9780875861715"</f>
        <v>9780875861715</v>
      </c>
      <c r="D1239" s="10" t="s">
        <v>11686</v>
      </c>
      <c r="E1239" s="10" t="s">
        <v>11686</v>
      </c>
      <c r="F1239" s="10" t="s">
        <v>70</v>
      </c>
      <c r="G1239" s="10" t="s">
        <v>6317</v>
      </c>
      <c r="H1239" s="11">
        <v>37500</v>
      </c>
      <c r="I1239" s="10">
        <v>2002</v>
      </c>
      <c r="J1239" s="10" t="s">
        <v>11686</v>
      </c>
      <c r="K1239" s="10">
        <v>256</v>
      </c>
      <c r="L1239" s="10" t="s">
        <v>11687</v>
      </c>
      <c r="M1239" s="10">
        <v>1</v>
      </c>
      <c r="N1239" s="10"/>
      <c r="O1239" s="10"/>
      <c r="P1239" s="10" t="s">
        <v>11688</v>
      </c>
      <c r="Q1239" s="10">
        <v>370</v>
      </c>
      <c r="R1239" s="10" t="s">
        <v>11689</v>
      </c>
      <c r="S1239" s="10" t="s">
        <v>53</v>
      </c>
      <c r="T1239" s="10" t="s">
        <v>54</v>
      </c>
    </row>
    <row r="1240" spans="1:20" ht="14.5" x14ac:dyDescent="0.35">
      <c r="A1240" s="10" t="s">
        <v>11690</v>
      </c>
      <c r="B1240" s="10" t="str">
        <f>"9780875865485"</f>
        <v>9780875865485</v>
      </c>
      <c r="C1240" s="10" t="str">
        <f>"9780875865508"</f>
        <v>9780875865508</v>
      </c>
      <c r="D1240" s="10" t="s">
        <v>11686</v>
      </c>
      <c r="E1240" s="10" t="s">
        <v>11686</v>
      </c>
      <c r="F1240" s="10" t="s">
        <v>70</v>
      </c>
      <c r="G1240" s="10" t="s">
        <v>6317</v>
      </c>
      <c r="H1240" s="11">
        <v>39387</v>
      </c>
      <c r="I1240" s="10">
        <v>2008</v>
      </c>
      <c r="J1240" s="10" t="s">
        <v>11686</v>
      </c>
      <c r="K1240" s="10">
        <v>192</v>
      </c>
      <c r="L1240" s="10" t="s">
        <v>11691</v>
      </c>
      <c r="M1240" s="10">
        <v>1</v>
      </c>
      <c r="N1240" s="10"/>
      <c r="O1240" s="10"/>
      <c r="P1240" s="10" t="s">
        <v>11692</v>
      </c>
      <c r="Q1240" s="10">
        <v>378.00099999999998</v>
      </c>
      <c r="R1240" s="10" t="s">
        <v>11693</v>
      </c>
      <c r="S1240" s="10" t="s">
        <v>53</v>
      </c>
      <c r="T1240" s="10" t="s">
        <v>54</v>
      </c>
    </row>
    <row r="1241" spans="1:20" ht="14.5" x14ac:dyDescent="0.35">
      <c r="A1241" s="10" t="s">
        <v>11694</v>
      </c>
      <c r="B1241" s="10" t="str">
        <f>"9781586037642"</f>
        <v>9781586037642</v>
      </c>
      <c r="C1241" s="10" t="str">
        <f>"9781607502586"</f>
        <v>9781607502586</v>
      </c>
      <c r="D1241" s="10" t="s">
        <v>9659</v>
      </c>
      <c r="E1241" s="10" t="s">
        <v>9660</v>
      </c>
      <c r="F1241" s="10" t="s">
        <v>1818</v>
      </c>
      <c r="G1241" s="10" t="s">
        <v>9233</v>
      </c>
      <c r="H1241" s="11">
        <v>39083</v>
      </c>
      <c r="I1241" s="10">
        <v>2007</v>
      </c>
      <c r="J1241" s="10" t="s">
        <v>9660</v>
      </c>
      <c r="K1241" s="10">
        <v>764</v>
      </c>
      <c r="L1241" s="10" t="s">
        <v>11695</v>
      </c>
      <c r="M1241" s="10">
        <v>1</v>
      </c>
      <c r="N1241" s="10" t="s">
        <v>9667</v>
      </c>
      <c r="O1241" s="10">
        <v>158</v>
      </c>
      <c r="P1241" s="10" t="s">
        <v>11696</v>
      </c>
      <c r="Q1241" s="10" t="s">
        <v>11314</v>
      </c>
      <c r="R1241" s="10" t="s">
        <v>11697</v>
      </c>
      <c r="S1241" s="10" t="s">
        <v>53</v>
      </c>
      <c r="T1241" s="10" t="s">
        <v>54</v>
      </c>
    </row>
    <row r="1242" spans="1:20" ht="14.5" x14ac:dyDescent="0.35">
      <c r="A1242" s="10" t="s">
        <v>11698</v>
      </c>
      <c r="B1242" s="10" t="str">
        <f>"9781593854386"</f>
        <v>9781593854386</v>
      </c>
      <c r="C1242" s="10" t="str">
        <f>"9781593857257"</f>
        <v>9781593857257</v>
      </c>
      <c r="D1242" s="10" t="s">
        <v>11213</v>
      </c>
      <c r="E1242" s="10" t="s">
        <v>11214</v>
      </c>
      <c r="F1242" s="10" t="s">
        <v>70</v>
      </c>
      <c r="G1242" s="10" t="s">
        <v>6317</v>
      </c>
      <c r="H1242" s="11">
        <v>39176</v>
      </c>
      <c r="I1242" s="10">
        <v>2007</v>
      </c>
      <c r="J1242" s="10" t="s">
        <v>11215</v>
      </c>
      <c r="K1242" s="10">
        <v>350</v>
      </c>
      <c r="L1242" s="10" t="s">
        <v>11699</v>
      </c>
      <c r="M1242" s="10">
        <v>1</v>
      </c>
      <c r="N1242" s="10" t="s">
        <v>11221</v>
      </c>
      <c r="O1242" s="10"/>
      <c r="P1242" s="10" t="s">
        <v>11700</v>
      </c>
      <c r="Q1242" s="10">
        <v>372.6</v>
      </c>
      <c r="R1242" s="10" t="s">
        <v>11701</v>
      </c>
      <c r="S1242" s="10" t="s">
        <v>53</v>
      </c>
      <c r="T1242" s="10" t="s">
        <v>11702</v>
      </c>
    </row>
    <row r="1243" spans="1:20" ht="14.5" x14ac:dyDescent="0.35">
      <c r="A1243" s="10" t="s">
        <v>11703</v>
      </c>
      <c r="B1243" s="10" t="str">
        <f>"9781593854591"</f>
        <v>9781593854591</v>
      </c>
      <c r="C1243" s="10" t="str">
        <f>"9781593857318"</f>
        <v>9781593857318</v>
      </c>
      <c r="D1243" s="10" t="s">
        <v>11213</v>
      </c>
      <c r="E1243" s="10" t="s">
        <v>11214</v>
      </c>
      <c r="F1243" s="10" t="s">
        <v>70</v>
      </c>
      <c r="G1243" s="10" t="s">
        <v>6317</v>
      </c>
      <c r="H1243" s="11">
        <v>39197</v>
      </c>
      <c r="I1243" s="10">
        <v>2007</v>
      </c>
      <c r="J1243" s="10" t="s">
        <v>11215</v>
      </c>
      <c r="K1243" s="10">
        <v>320</v>
      </c>
      <c r="L1243" s="10" t="s">
        <v>11704</v>
      </c>
      <c r="M1243" s="10">
        <v>1</v>
      </c>
      <c r="N1243" s="10"/>
      <c r="O1243" s="10"/>
      <c r="P1243" s="10" t="s">
        <v>11217</v>
      </c>
      <c r="Q1243" s="10" t="s">
        <v>8679</v>
      </c>
      <c r="R1243" s="10" t="s">
        <v>11705</v>
      </c>
      <c r="S1243" s="10" t="s">
        <v>53</v>
      </c>
      <c r="T1243" s="10" t="s">
        <v>8681</v>
      </c>
    </row>
    <row r="1244" spans="1:20" ht="14.5" x14ac:dyDescent="0.35">
      <c r="A1244" s="10" t="s">
        <v>11706</v>
      </c>
      <c r="B1244" s="10" t="str">
        <f>"9781593854614"</f>
        <v>9781593854614</v>
      </c>
      <c r="C1244" s="10" t="str">
        <f>"9781593857394"</f>
        <v>9781593857394</v>
      </c>
      <c r="D1244" s="10" t="s">
        <v>11213</v>
      </c>
      <c r="E1244" s="10" t="s">
        <v>11214</v>
      </c>
      <c r="F1244" s="10" t="s">
        <v>70</v>
      </c>
      <c r="G1244" s="10" t="s">
        <v>6317</v>
      </c>
      <c r="H1244" s="11">
        <v>39185</v>
      </c>
      <c r="I1244" s="10">
        <v>2007</v>
      </c>
      <c r="J1244" s="10" t="s">
        <v>11215</v>
      </c>
      <c r="K1244" s="10">
        <v>224</v>
      </c>
      <c r="L1244" s="10" t="s">
        <v>11707</v>
      </c>
      <c r="M1244" s="10">
        <v>1</v>
      </c>
      <c r="N1244" s="10" t="s">
        <v>11708</v>
      </c>
      <c r="O1244" s="10"/>
      <c r="P1244" s="10" t="s">
        <v>11709</v>
      </c>
      <c r="Q1244" s="10">
        <v>371.9</v>
      </c>
      <c r="R1244" s="10" t="s">
        <v>11710</v>
      </c>
      <c r="S1244" s="10" t="s">
        <v>53</v>
      </c>
      <c r="T1244" s="10" t="s">
        <v>54</v>
      </c>
    </row>
    <row r="1245" spans="1:20" ht="14.5" x14ac:dyDescent="0.35">
      <c r="A1245" s="10" t="s">
        <v>11711</v>
      </c>
      <c r="B1245" s="10" t="str">
        <f>"9781593854102"</f>
        <v>9781593854102</v>
      </c>
      <c r="C1245" s="10" t="str">
        <f>"9781593857424"</f>
        <v>9781593857424</v>
      </c>
      <c r="D1245" s="10" t="s">
        <v>11213</v>
      </c>
      <c r="E1245" s="10" t="s">
        <v>11214</v>
      </c>
      <c r="F1245" s="10" t="s">
        <v>70</v>
      </c>
      <c r="G1245" s="10" t="s">
        <v>6317</v>
      </c>
      <c r="H1245" s="11">
        <v>39149</v>
      </c>
      <c r="I1245" s="10">
        <v>2007</v>
      </c>
      <c r="J1245" s="10" t="s">
        <v>11215</v>
      </c>
      <c r="K1245" s="10">
        <v>274</v>
      </c>
      <c r="L1245" s="10" t="s">
        <v>11712</v>
      </c>
      <c r="M1245" s="10">
        <v>1</v>
      </c>
      <c r="N1245" s="10"/>
      <c r="O1245" s="10"/>
      <c r="P1245" s="10" t="s">
        <v>11713</v>
      </c>
      <c r="Q1245" s="10" t="s">
        <v>11714</v>
      </c>
      <c r="R1245" s="10" t="s">
        <v>11715</v>
      </c>
      <c r="S1245" s="10" t="s">
        <v>53</v>
      </c>
      <c r="T1245" s="10" t="s">
        <v>6498</v>
      </c>
    </row>
    <row r="1246" spans="1:20" ht="14.5" x14ac:dyDescent="0.35">
      <c r="A1246" s="10" t="s">
        <v>11716</v>
      </c>
      <c r="B1246" s="10" t="str">
        <f>"9781846635328"</f>
        <v>9781846635328</v>
      </c>
      <c r="C1246" s="10" t="str">
        <f>"9781846635335"</f>
        <v>9781846635335</v>
      </c>
      <c r="D1246" s="10" t="s">
        <v>8699</v>
      </c>
      <c r="E1246" s="10" t="s">
        <v>8699</v>
      </c>
      <c r="F1246" s="10" t="s">
        <v>1019</v>
      </c>
      <c r="G1246" s="10" t="s">
        <v>6352</v>
      </c>
      <c r="H1246" s="11">
        <v>39276</v>
      </c>
      <c r="I1246" s="10">
        <v>2007</v>
      </c>
      <c r="J1246" s="10" t="s">
        <v>115</v>
      </c>
      <c r="K1246" s="10">
        <v>85</v>
      </c>
      <c r="L1246" s="10" t="s">
        <v>11717</v>
      </c>
      <c r="M1246" s="10">
        <v>1</v>
      </c>
      <c r="N1246" s="10" t="s">
        <v>11718</v>
      </c>
      <c r="O1246" s="10"/>
      <c r="P1246" s="10" t="s">
        <v>11719</v>
      </c>
      <c r="Q1246" s="10" t="s">
        <v>11720</v>
      </c>
      <c r="R1246" s="10" t="s">
        <v>11721</v>
      </c>
      <c r="S1246" s="10" t="s">
        <v>53</v>
      </c>
      <c r="T1246" s="10" t="s">
        <v>11722</v>
      </c>
    </row>
    <row r="1247" spans="1:20" ht="14.5" x14ac:dyDescent="0.35">
      <c r="A1247" s="10" t="s">
        <v>11723</v>
      </c>
      <c r="B1247" s="10" t="str">
        <f>"9781846635502"</f>
        <v>9781846635502</v>
      </c>
      <c r="C1247" s="10" t="str">
        <f>"9781846635519"</f>
        <v>9781846635519</v>
      </c>
      <c r="D1247" s="10" t="s">
        <v>8699</v>
      </c>
      <c r="E1247" s="10" t="s">
        <v>8699</v>
      </c>
      <c r="F1247" s="10" t="s">
        <v>1019</v>
      </c>
      <c r="G1247" s="10" t="s">
        <v>6352</v>
      </c>
      <c r="H1247" s="11">
        <v>39339</v>
      </c>
      <c r="I1247" s="10">
        <v>2007</v>
      </c>
      <c r="J1247" s="10" t="s">
        <v>115</v>
      </c>
      <c r="K1247" s="10">
        <v>80</v>
      </c>
      <c r="L1247" s="10" t="s">
        <v>11724</v>
      </c>
      <c r="M1247" s="10">
        <v>1</v>
      </c>
      <c r="N1247" s="10" t="s">
        <v>11725</v>
      </c>
      <c r="O1247" s="10"/>
      <c r="P1247" s="10" t="s">
        <v>11726</v>
      </c>
      <c r="Q1247" s="10" t="s">
        <v>11727</v>
      </c>
      <c r="R1247" s="10" t="s">
        <v>11728</v>
      </c>
      <c r="S1247" s="10" t="s">
        <v>53</v>
      </c>
      <c r="T1247" s="10" t="s">
        <v>11729</v>
      </c>
    </row>
    <row r="1248" spans="1:20" ht="14.5" x14ac:dyDescent="0.35">
      <c r="A1248" s="10" t="s">
        <v>11730</v>
      </c>
      <c r="B1248" s="10" t="str">
        <f>"9781846636103"</f>
        <v>9781846636103</v>
      </c>
      <c r="C1248" s="10" t="str">
        <f>"9781846636110"</f>
        <v>9781846636110</v>
      </c>
      <c r="D1248" s="10" t="s">
        <v>8699</v>
      </c>
      <c r="E1248" s="10" t="s">
        <v>8699</v>
      </c>
      <c r="F1248" s="10" t="s">
        <v>1019</v>
      </c>
      <c r="G1248" s="10" t="s">
        <v>6352</v>
      </c>
      <c r="H1248" s="11">
        <v>39346</v>
      </c>
      <c r="I1248" s="10">
        <v>2007</v>
      </c>
      <c r="J1248" s="10" t="s">
        <v>115</v>
      </c>
      <c r="K1248" s="10">
        <v>89</v>
      </c>
      <c r="L1248" s="10" t="s">
        <v>11731</v>
      </c>
      <c r="M1248" s="10">
        <v>1</v>
      </c>
      <c r="N1248" s="10" t="s">
        <v>11732</v>
      </c>
      <c r="O1248" s="10"/>
      <c r="P1248" s="10" t="s">
        <v>11733</v>
      </c>
      <c r="Q1248" s="10" t="s">
        <v>11734</v>
      </c>
      <c r="R1248" s="10" t="s">
        <v>11735</v>
      </c>
      <c r="S1248" s="10" t="s">
        <v>53</v>
      </c>
      <c r="T1248" s="10" t="s">
        <v>10311</v>
      </c>
    </row>
    <row r="1249" spans="1:20" ht="14.5" x14ac:dyDescent="0.35">
      <c r="A1249" s="10" t="s">
        <v>11736</v>
      </c>
      <c r="B1249" s="10" t="str">
        <f>"9781846637001"</f>
        <v>9781846637001</v>
      </c>
      <c r="C1249" s="10" t="str">
        <f>"9781846637018"</f>
        <v>9781846637018</v>
      </c>
      <c r="D1249" s="10" t="s">
        <v>8699</v>
      </c>
      <c r="E1249" s="10" t="s">
        <v>8699</v>
      </c>
      <c r="F1249" s="10" t="s">
        <v>1019</v>
      </c>
      <c r="G1249" s="10" t="s">
        <v>6352</v>
      </c>
      <c r="H1249" s="11">
        <v>39346</v>
      </c>
      <c r="I1249" s="10">
        <v>2007</v>
      </c>
      <c r="J1249" s="10" t="s">
        <v>115</v>
      </c>
      <c r="K1249" s="10">
        <v>77</v>
      </c>
      <c r="L1249" s="10" t="s">
        <v>11737</v>
      </c>
      <c r="M1249" s="10">
        <v>1</v>
      </c>
      <c r="N1249" s="10" t="s">
        <v>11738</v>
      </c>
      <c r="O1249" s="10"/>
      <c r="P1249" s="10" t="s">
        <v>11739</v>
      </c>
      <c r="Q1249" s="10">
        <v>541.226</v>
      </c>
      <c r="R1249" s="10" t="s">
        <v>11740</v>
      </c>
      <c r="S1249" s="10" t="s">
        <v>53</v>
      </c>
      <c r="T1249" s="10" t="s">
        <v>11741</v>
      </c>
    </row>
    <row r="1250" spans="1:20" ht="14.5" x14ac:dyDescent="0.35">
      <c r="A1250" s="10" t="s">
        <v>11742</v>
      </c>
      <c r="B1250" s="10" t="str">
        <f>"9781846636363"</f>
        <v>9781846636363</v>
      </c>
      <c r="C1250" s="10" t="str">
        <f>"9781846636370"</f>
        <v>9781846636370</v>
      </c>
      <c r="D1250" s="10" t="s">
        <v>8699</v>
      </c>
      <c r="E1250" s="10" t="s">
        <v>8699</v>
      </c>
      <c r="F1250" s="10" t="s">
        <v>1019</v>
      </c>
      <c r="G1250" s="10" t="s">
        <v>6352</v>
      </c>
      <c r="H1250" s="11">
        <v>39353</v>
      </c>
      <c r="I1250" s="10">
        <v>2007</v>
      </c>
      <c r="J1250" s="10" t="s">
        <v>115</v>
      </c>
      <c r="K1250" s="10">
        <v>92</v>
      </c>
      <c r="L1250" s="10" t="s">
        <v>11743</v>
      </c>
      <c r="M1250" s="10">
        <v>1</v>
      </c>
      <c r="N1250" s="10" t="s">
        <v>11744</v>
      </c>
      <c r="O1250" s="10"/>
      <c r="P1250" s="10" t="s">
        <v>11184</v>
      </c>
      <c r="Q1250" s="10">
        <v>378.1</v>
      </c>
      <c r="R1250" s="10" t="s">
        <v>11745</v>
      </c>
      <c r="S1250" s="10" t="s">
        <v>53</v>
      </c>
      <c r="T1250" s="10" t="s">
        <v>54</v>
      </c>
    </row>
    <row r="1251" spans="1:20" ht="14.5" x14ac:dyDescent="0.35">
      <c r="A1251" s="10" t="s">
        <v>11746</v>
      </c>
      <c r="B1251" s="10" t="str">
        <f>"9781846635366"</f>
        <v>9781846635366</v>
      </c>
      <c r="C1251" s="10" t="str">
        <f>"9781846635373"</f>
        <v>9781846635373</v>
      </c>
      <c r="D1251" s="10" t="s">
        <v>8699</v>
      </c>
      <c r="E1251" s="10" t="s">
        <v>8699</v>
      </c>
      <c r="F1251" s="10" t="s">
        <v>1019</v>
      </c>
      <c r="G1251" s="10" t="s">
        <v>6352</v>
      </c>
      <c r="H1251" s="11">
        <v>39318</v>
      </c>
      <c r="I1251" s="10">
        <v>2007</v>
      </c>
      <c r="J1251" s="10" t="s">
        <v>115</v>
      </c>
      <c r="K1251" s="10">
        <v>176</v>
      </c>
      <c r="L1251" s="10" t="s">
        <v>11747</v>
      </c>
      <c r="M1251" s="10">
        <v>1</v>
      </c>
      <c r="N1251" s="10" t="s">
        <v>11748</v>
      </c>
      <c r="O1251" s="10"/>
      <c r="P1251" s="10" t="s">
        <v>11749</v>
      </c>
      <c r="Q1251" s="10">
        <v>370.1</v>
      </c>
      <c r="R1251" s="10" t="s">
        <v>11750</v>
      </c>
      <c r="S1251" s="10" t="s">
        <v>53</v>
      </c>
      <c r="T1251" s="10" t="s">
        <v>54</v>
      </c>
    </row>
    <row r="1252" spans="1:20" ht="14.5" x14ac:dyDescent="0.35">
      <c r="A1252" s="10" t="s">
        <v>11751</v>
      </c>
      <c r="B1252" s="10" t="str">
        <f>"9781846636486"</f>
        <v>9781846636486</v>
      </c>
      <c r="C1252" s="10" t="str">
        <f>"9781846636493"</f>
        <v>9781846636493</v>
      </c>
      <c r="D1252" s="10" t="s">
        <v>8699</v>
      </c>
      <c r="E1252" s="10" t="s">
        <v>8699</v>
      </c>
      <c r="F1252" s="10" t="s">
        <v>1019</v>
      </c>
      <c r="G1252" s="10" t="s">
        <v>6352</v>
      </c>
      <c r="H1252" s="11">
        <v>39318</v>
      </c>
      <c r="I1252" s="10">
        <v>2007</v>
      </c>
      <c r="J1252" s="10" t="s">
        <v>115</v>
      </c>
      <c r="K1252" s="10">
        <v>72</v>
      </c>
      <c r="L1252" s="10" t="s">
        <v>11752</v>
      </c>
      <c r="M1252" s="10">
        <v>1</v>
      </c>
      <c r="N1252" s="10" t="s">
        <v>11753</v>
      </c>
      <c r="O1252" s="10"/>
      <c r="P1252" s="10" t="s">
        <v>11754</v>
      </c>
      <c r="Q1252" s="10" t="s">
        <v>11755</v>
      </c>
      <c r="R1252" s="10" t="s">
        <v>11756</v>
      </c>
      <c r="S1252" s="10" t="s">
        <v>53</v>
      </c>
      <c r="T1252" s="10" t="s">
        <v>54</v>
      </c>
    </row>
    <row r="1253" spans="1:20" ht="14.5" x14ac:dyDescent="0.35">
      <c r="A1253" s="10" t="s">
        <v>11757</v>
      </c>
      <c r="B1253" s="10" t="str">
        <f>"9780897898393"</f>
        <v>9780897898393</v>
      </c>
      <c r="C1253" s="10" t="str">
        <f>"9780313075629"</f>
        <v>9780313075629</v>
      </c>
      <c r="D1253" s="10" t="s">
        <v>9777</v>
      </c>
      <c r="E1253" s="10" t="s">
        <v>9792</v>
      </c>
      <c r="F1253" s="10" t="s">
        <v>70</v>
      </c>
      <c r="G1253" s="10" t="s">
        <v>6317</v>
      </c>
      <c r="H1253" s="11">
        <v>37255</v>
      </c>
      <c r="I1253" s="10">
        <v>2001</v>
      </c>
      <c r="J1253" s="10" t="s">
        <v>9793</v>
      </c>
      <c r="K1253" s="10">
        <v>296</v>
      </c>
      <c r="L1253" s="10" t="s">
        <v>11758</v>
      </c>
      <c r="M1253" s="10">
        <v>1</v>
      </c>
      <c r="N1253" s="10"/>
      <c r="O1253" s="10"/>
      <c r="P1253" s="10" t="s">
        <v>11759</v>
      </c>
      <c r="Q1253" s="10" t="s">
        <v>11760</v>
      </c>
      <c r="R1253" s="10" t="s">
        <v>11761</v>
      </c>
      <c r="S1253" s="10" t="s">
        <v>53</v>
      </c>
      <c r="T1253" s="10" t="s">
        <v>11762</v>
      </c>
    </row>
    <row r="1254" spans="1:20" ht="14.5" x14ac:dyDescent="0.35">
      <c r="A1254" s="10" t="s">
        <v>11763</v>
      </c>
      <c r="B1254" s="10" t="str">
        <f>""</f>
        <v/>
      </c>
      <c r="C1254" s="10" t="str">
        <f>"9789275327920"</f>
        <v>9789275327920</v>
      </c>
      <c r="D1254" s="10" t="s">
        <v>11764</v>
      </c>
      <c r="E1254" s="10" t="s">
        <v>11764</v>
      </c>
      <c r="F1254" s="10" t="s">
        <v>11765</v>
      </c>
      <c r="G1254" s="10" t="s">
        <v>6317</v>
      </c>
      <c r="H1254" s="11">
        <v>37408</v>
      </c>
      <c r="I1254" s="10">
        <v>2002</v>
      </c>
      <c r="J1254" s="10" t="s">
        <v>11766</v>
      </c>
      <c r="K1254" s="10">
        <v>544</v>
      </c>
      <c r="L1254" s="10" t="s">
        <v>11767</v>
      </c>
      <c r="M1254" s="10">
        <v>1</v>
      </c>
      <c r="N1254" s="10"/>
      <c r="O1254" s="10"/>
      <c r="P1254" s="10" t="s">
        <v>11768</v>
      </c>
      <c r="Q1254" s="10">
        <v>362.10890000000001</v>
      </c>
      <c r="R1254" s="10" t="s">
        <v>11769</v>
      </c>
      <c r="S1254" s="10" t="s">
        <v>119</v>
      </c>
      <c r="T1254" s="10" t="s">
        <v>8368</v>
      </c>
    </row>
    <row r="1255" spans="1:20" ht="14.5" x14ac:dyDescent="0.35">
      <c r="A1255" s="10" t="s">
        <v>11770</v>
      </c>
      <c r="B1255" s="10" t="str">
        <f>"9781576754429"</f>
        <v>9781576754429</v>
      </c>
      <c r="C1255" s="10" t="str">
        <f>"9781576755464"</f>
        <v>9781576755464</v>
      </c>
      <c r="D1255" s="10" t="s">
        <v>11771</v>
      </c>
      <c r="E1255" s="10" t="s">
        <v>11772</v>
      </c>
      <c r="F1255" s="10" t="s">
        <v>2612</v>
      </c>
      <c r="G1255" s="10" t="s">
        <v>6317</v>
      </c>
      <c r="H1255" s="11">
        <v>39468</v>
      </c>
      <c r="I1255" s="10">
        <v>2007</v>
      </c>
      <c r="J1255" s="10" t="s">
        <v>11772</v>
      </c>
      <c r="K1255" s="10">
        <v>191</v>
      </c>
      <c r="L1255" s="10" t="s">
        <v>11773</v>
      </c>
      <c r="M1255" s="10">
        <v>1</v>
      </c>
      <c r="N1255" s="10" t="s">
        <v>11774</v>
      </c>
      <c r="O1255" s="10"/>
      <c r="P1255" s="10" t="s">
        <v>11775</v>
      </c>
      <c r="Q1255" s="10" t="s">
        <v>11776</v>
      </c>
      <c r="R1255" s="10" t="s">
        <v>11777</v>
      </c>
      <c r="S1255" s="10" t="s">
        <v>53</v>
      </c>
      <c r="T1255" s="10" t="s">
        <v>4490</v>
      </c>
    </row>
    <row r="1256" spans="1:20" ht="14.5" x14ac:dyDescent="0.35">
      <c r="A1256" s="10" t="s">
        <v>11778</v>
      </c>
      <c r="B1256" s="10" t="str">
        <f>"9781576754641"</f>
        <v>9781576754641</v>
      </c>
      <c r="C1256" s="10" t="str">
        <f>"9781576755372"</f>
        <v>9781576755372</v>
      </c>
      <c r="D1256" s="10" t="s">
        <v>6358</v>
      </c>
      <c r="E1256" s="10" t="s">
        <v>11772</v>
      </c>
      <c r="F1256" s="10" t="s">
        <v>70</v>
      </c>
      <c r="G1256" s="10" t="s">
        <v>6317</v>
      </c>
      <c r="H1256" s="11">
        <v>39265</v>
      </c>
      <c r="I1256" s="10">
        <v>2007</v>
      </c>
      <c r="J1256" s="10" t="s">
        <v>11772</v>
      </c>
      <c r="K1256" s="10">
        <v>157</v>
      </c>
      <c r="L1256" s="10" t="s">
        <v>11779</v>
      </c>
      <c r="M1256" s="10">
        <v>1</v>
      </c>
      <c r="N1256" s="10"/>
      <c r="O1256" s="10"/>
      <c r="P1256" s="10" t="s">
        <v>11780</v>
      </c>
      <c r="Q1256" s="10" t="s">
        <v>11781</v>
      </c>
      <c r="R1256" s="10" t="s">
        <v>11782</v>
      </c>
      <c r="S1256" s="10" t="s">
        <v>53</v>
      </c>
      <c r="T1256" s="10" t="s">
        <v>6363</v>
      </c>
    </row>
    <row r="1257" spans="1:20" ht="14.5" x14ac:dyDescent="0.35">
      <c r="A1257" s="10" t="s">
        <v>11783</v>
      </c>
      <c r="B1257" s="10" t="str">
        <f>"9780833039644"</f>
        <v>9780833039644</v>
      </c>
      <c r="C1257" s="10" t="str">
        <f>"9780833042460"</f>
        <v>9780833042460</v>
      </c>
      <c r="D1257" s="10" t="s">
        <v>8134</v>
      </c>
      <c r="E1257" s="10" t="s">
        <v>8135</v>
      </c>
      <c r="F1257" s="10" t="s">
        <v>8136</v>
      </c>
      <c r="G1257" s="10" t="s">
        <v>6317</v>
      </c>
      <c r="H1257" s="11">
        <v>38985</v>
      </c>
      <c r="I1257" s="10">
        <v>2006</v>
      </c>
      <c r="J1257" s="10" t="s">
        <v>8363</v>
      </c>
      <c r="K1257" s="10">
        <v>117</v>
      </c>
      <c r="L1257" s="10" t="s">
        <v>11784</v>
      </c>
      <c r="M1257" s="10">
        <v>1</v>
      </c>
      <c r="N1257" s="10"/>
      <c r="O1257" s="10"/>
      <c r="P1257" s="10" t="s">
        <v>11785</v>
      </c>
      <c r="Q1257" s="10">
        <v>372.7</v>
      </c>
      <c r="R1257" s="10" t="s">
        <v>11786</v>
      </c>
      <c r="S1257" s="10" t="s">
        <v>53</v>
      </c>
      <c r="T1257" s="10" t="s">
        <v>7425</v>
      </c>
    </row>
    <row r="1258" spans="1:20" ht="14.5" x14ac:dyDescent="0.35">
      <c r="A1258" s="10" t="s">
        <v>11787</v>
      </c>
      <c r="B1258" s="10" t="str">
        <f>"9780833039828"</f>
        <v>9780833039828</v>
      </c>
      <c r="C1258" s="10" t="str">
        <f>"9780833042521"</f>
        <v>9780833042521</v>
      </c>
      <c r="D1258" s="10" t="s">
        <v>8134</v>
      </c>
      <c r="E1258" s="10" t="s">
        <v>8135</v>
      </c>
      <c r="F1258" s="10" t="s">
        <v>8136</v>
      </c>
      <c r="G1258" s="10" t="s">
        <v>6317</v>
      </c>
      <c r="H1258" s="11">
        <v>38975</v>
      </c>
      <c r="I1258" s="10">
        <v>2006</v>
      </c>
      <c r="J1258" s="10" t="s">
        <v>8363</v>
      </c>
      <c r="K1258" s="10">
        <v>197</v>
      </c>
      <c r="L1258" s="10" t="s">
        <v>11788</v>
      </c>
      <c r="M1258" s="10">
        <v>1</v>
      </c>
      <c r="N1258" s="10"/>
      <c r="O1258" s="10"/>
      <c r="P1258" s="10" t="s">
        <v>11789</v>
      </c>
      <c r="Q1258" s="10" t="s">
        <v>7299</v>
      </c>
      <c r="R1258" s="10" t="s">
        <v>11790</v>
      </c>
      <c r="S1258" s="10" t="s">
        <v>53</v>
      </c>
      <c r="T1258" s="10" t="s">
        <v>54</v>
      </c>
    </row>
    <row r="1259" spans="1:20" ht="14.5" x14ac:dyDescent="0.35">
      <c r="A1259" s="10" t="s">
        <v>11791</v>
      </c>
      <c r="B1259" s="10" t="str">
        <f>"9780833040077"</f>
        <v>9780833040077</v>
      </c>
      <c r="C1259" s="10" t="str">
        <f>"9780833047830"</f>
        <v>9780833047830</v>
      </c>
      <c r="D1259" s="10" t="s">
        <v>8134</v>
      </c>
      <c r="E1259" s="10" t="s">
        <v>8135</v>
      </c>
      <c r="F1259" s="10" t="s">
        <v>8136</v>
      </c>
      <c r="G1259" s="10" t="s">
        <v>6317</v>
      </c>
      <c r="H1259" s="11">
        <v>39217</v>
      </c>
      <c r="I1259" s="10">
        <v>2007</v>
      </c>
      <c r="J1259" s="10" t="s">
        <v>8363</v>
      </c>
      <c r="K1259" s="10">
        <v>217</v>
      </c>
      <c r="L1259" s="10" t="s">
        <v>11792</v>
      </c>
      <c r="M1259" s="10">
        <v>1</v>
      </c>
      <c r="N1259" s="10"/>
      <c r="O1259" s="10"/>
      <c r="P1259" s="10" t="s">
        <v>11793</v>
      </c>
      <c r="Q1259" s="10">
        <v>370.95362999999998</v>
      </c>
      <c r="R1259" s="10" t="s">
        <v>11794</v>
      </c>
      <c r="S1259" s="10" t="s">
        <v>53</v>
      </c>
      <c r="T1259" s="10" t="s">
        <v>54</v>
      </c>
    </row>
    <row r="1260" spans="1:20" ht="14.5" x14ac:dyDescent="0.35">
      <c r="A1260" s="10" t="s">
        <v>11795</v>
      </c>
      <c r="B1260" s="10" t="str">
        <f>"9780833040374"</f>
        <v>9780833040374</v>
      </c>
      <c r="C1260" s="10" t="str">
        <f>"9780833042866"</f>
        <v>9780833042866</v>
      </c>
      <c r="D1260" s="10" t="s">
        <v>8134</v>
      </c>
      <c r="E1260" s="10" t="s">
        <v>8135</v>
      </c>
      <c r="F1260" s="10" t="s">
        <v>8136</v>
      </c>
      <c r="G1260" s="10" t="s">
        <v>6317</v>
      </c>
      <c r="H1260" s="11">
        <v>39015</v>
      </c>
      <c r="I1260" s="10">
        <v>2006</v>
      </c>
      <c r="J1260" s="10" t="s">
        <v>8363</v>
      </c>
      <c r="K1260" s="10">
        <v>75</v>
      </c>
      <c r="L1260" s="10" t="s">
        <v>11796</v>
      </c>
      <c r="M1260" s="10">
        <v>1</v>
      </c>
      <c r="N1260" s="10"/>
      <c r="O1260" s="10"/>
      <c r="P1260" s="10" t="s">
        <v>11797</v>
      </c>
      <c r="Q1260" s="10" t="s">
        <v>11798</v>
      </c>
      <c r="R1260" s="10" t="s">
        <v>11799</v>
      </c>
      <c r="S1260" s="10" t="s">
        <v>53</v>
      </c>
      <c r="T1260" s="10" t="s">
        <v>8510</v>
      </c>
    </row>
    <row r="1261" spans="1:20" ht="14.5" x14ac:dyDescent="0.35">
      <c r="A1261" s="10" t="s">
        <v>11800</v>
      </c>
      <c r="B1261" s="10" t="str">
        <f>"9780833041494"</f>
        <v>9780833041494</v>
      </c>
      <c r="C1261" s="10" t="str">
        <f>"9780833042705"</f>
        <v>9780833042705</v>
      </c>
      <c r="D1261" s="10" t="s">
        <v>8134</v>
      </c>
      <c r="E1261" s="10" t="s">
        <v>8135</v>
      </c>
      <c r="F1261" s="10" t="s">
        <v>8136</v>
      </c>
      <c r="G1261" s="10" t="s">
        <v>6317</v>
      </c>
      <c r="H1261" s="11">
        <v>39226</v>
      </c>
      <c r="I1261" s="10">
        <v>2007</v>
      </c>
      <c r="J1261" s="10" t="s">
        <v>8363</v>
      </c>
      <c r="K1261" s="10">
        <v>303</v>
      </c>
      <c r="L1261" s="10" t="s">
        <v>11801</v>
      </c>
      <c r="M1261" s="10">
        <v>1</v>
      </c>
      <c r="N1261" s="10"/>
      <c r="O1261" s="10"/>
      <c r="P1261" s="10" t="s">
        <v>11802</v>
      </c>
      <c r="Q1261" s="10" t="s">
        <v>11803</v>
      </c>
      <c r="R1261" s="10" t="s">
        <v>11804</v>
      </c>
      <c r="S1261" s="10" t="s">
        <v>53</v>
      </c>
      <c r="T1261" s="10" t="s">
        <v>54</v>
      </c>
    </row>
    <row r="1262" spans="1:20" ht="14.5" x14ac:dyDescent="0.35">
      <c r="A1262" s="10" t="s">
        <v>11805</v>
      </c>
      <c r="B1262" s="10" t="str">
        <f>"9780415956154"</f>
        <v>9780415956154</v>
      </c>
      <c r="C1262" s="10" t="str">
        <f>"9780203932100"</f>
        <v>9780203932100</v>
      </c>
      <c r="D1262" s="10" t="s">
        <v>6350</v>
      </c>
      <c r="E1262" s="10" t="s">
        <v>6351</v>
      </c>
      <c r="F1262" s="10" t="s">
        <v>139</v>
      </c>
      <c r="G1262" s="10" t="s">
        <v>6352</v>
      </c>
      <c r="H1262" s="11">
        <v>39471</v>
      </c>
      <c r="I1262" s="10">
        <v>2008</v>
      </c>
      <c r="J1262" s="10" t="s">
        <v>6353</v>
      </c>
      <c r="K1262" s="10">
        <v>257</v>
      </c>
      <c r="L1262" s="10" t="s">
        <v>11806</v>
      </c>
      <c r="M1262" s="10">
        <v>1</v>
      </c>
      <c r="N1262" s="10" t="s">
        <v>11807</v>
      </c>
      <c r="O1262" s="10"/>
      <c r="P1262" s="10" t="s">
        <v>11808</v>
      </c>
      <c r="Q1262" s="10">
        <v>370.72</v>
      </c>
      <c r="R1262" s="10" t="s">
        <v>11809</v>
      </c>
      <c r="S1262" s="10" t="s">
        <v>53</v>
      </c>
      <c r="T1262" s="10" t="s">
        <v>54</v>
      </c>
    </row>
    <row r="1263" spans="1:20" ht="14.5" x14ac:dyDescent="0.35">
      <c r="A1263" s="10" t="s">
        <v>11810</v>
      </c>
      <c r="B1263" s="10" t="str">
        <f>"9783110189681"</f>
        <v>9783110189681</v>
      </c>
      <c r="C1263" s="10" t="str">
        <f>"9783110197778"</f>
        <v>9783110197778</v>
      </c>
      <c r="D1263" s="10" t="s">
        <v>9995</v>
      </c>
      <c r="E1263" s="10" t="s">
        <v>9996</v>
      </c>
      <c r="F1263" s="10" t="s">
        <v>9997</v>
      </c>
      <c r="G1263" s="10" t="s">
        <v>9998</v>
      </c>
      <c r="H1263" s="11">
        <v>38950</v>
      </c>
      <c r="I1263" s="10">
        <v>2006</v>
      </c>
      <c r="J1263" s="10" t="s">
        <v>10009</v>
      </c>
      <c r="K1263" s="10">
        <v>515</v>
      </c>
      <c r="L1263" s="10" t="s">
        <v>11811</v>
      </c>
      <c r="M1263" s="10">
        <v>1</v>
      </c>
      <c r="N1263" s="10" t="s">
        <v>11812</v>
      </c>
      <c r="O1263" s="10">
        <v>29</v>
      </c>
      <c r="P1263" s="10" t="s">
        <v>11813</v>
      </c>
      <c r="Q1263" s="10"/>
      <c r="R1263" s="10" t="s">
        <v>11814</v>
      </c>
      <c r="S1263" s="10" t="s">
        <v>53</v>
      </c>
      <c r="T1263" s="10" t="s">
        <v>6616</v>
      </c>
    </row>
    <row r="1264" spans="1:20" ht="14.5" x14ac:dyDescent="0.35">
      <c r="A1264" s="10" t="s">
        <v>11815</v>
      </c>
      <c r="B1264" s="10" t="str">
        <f>"9783110179705"</f>
        <v>9783110179705</v>
      </c>
      <c r="C1264" s="10" t="str">
        <f>"9783110197372"</f>
        <v>9783110197372</v>
      </c>
      <c r="D1264" s="10" t="s">
        <v>9995</v>
      </c>
      <c r="E1264" s="10" t="s">
        <v>9996</v>
      </c>
      <c r="F1264" s="10" t="s">
        <v>9997</v>
      </c>
      <c r="G1264" s="10" t="s">
        <v>9998</v>
      </c>
      <c r="H1264" s="11">
        <v>38460</v>
      </c>
      <c r="I1264" s="10">
        <v>2005</v>
      </c>
      <c r="J1264" s="10" t="s">
        <v>9996</v>
      </c>
      <c r="K1264" s="10">
        <v>580</v>
      </c>
      <c r="L1264" s="10" t="s">
        <v>11816</v>
      </c>
      <c r="M1264" s="10">
        <v>1</v>
      </c>
      <c r="N1264" s="10" t="s">
        <v>11812</v>
      </c>
      <c r="O1264" s="10">
        <v>25</v>
      </c>
      <c r="P1264" s="10" t="s">
        <v>11817</v>
      </c>
      <c r="Q1264" s="10" t="s">
        <v>6950</v>
      </c>
      <c r="R1264" s="10"/>
      <c r="S1264" s="10" t="s">
        <v>53</v>
      </c>
      <c r="T1264" s="10" t="s">
        <v>6616</v>
      </c>
    </row>
    <row r="1265" spans="1:20" ht="14.5" x14ac:dyDescent="0.35">
      <c r="A1265" s="10" t="s">
        <v>11818</v>
      </c>
      <c r="B1265" s="10" t="str">
        <f>"9781841501703"</f>
        <v>9781841501703</v>
      </c>
      <c r="C1265" s="10" t="str">
        <f>"9781841509846"</f>
        <v>9781841509846</v>
      </c>
      <c r="D1265" s="10" t="s">
        <v>9533</v>
      </c>
      <c r="E1265" s="10" t="s">
        <v>10235</v>
      </c>
      <c r="F1265" s="10" t="s">
        <v>10236</v>
      </c>
      <c r="G1265" s="10" t="s">
        <v>6352</v>
      </c>
      <c r="H1265" s="11">
        <v>39324</v>
      </c>
      <c r="I1265" s="10">
        <v>2007</v>
      </c>
      <c r="J1265" s="10" t="s">
        <v>10235</v>
      </c>
      <c r="K1265" s="10">
        <v>170</v>
      </c>
      <c r="L1265" s="10" t="s">
        <v>11819</v>
      </c>
      <c r="M1265" s="10">
        <v>1</v>
      </c>
      <c r="N1265" s="10"/>
      <c r="O1265" s="10"/>
      <c r="P1265" s="10" t="s">
        <v>11820</v>
      </c>
      <c r="Q1265" s="10">
        <v>792.07104100000004</v>
      </c>
      <c r="R1265" s="10" t="s">
        <v>11821</v>
      </c>
      <c r="S1265" s="10" t="s">
        <v>53</v>
      </c>
      <c r="T1265" s="10" t="s">
        <v>11822</v>
      </c>
    </row>
    <row r="1266" spans="1:20" ht="14.5" x14ac:dyDescent="0.35">
      <c r="A1266" s="10" t="s">
        <v>11823</v>
      </c>
      <c r="B1266" s="10" t="str">
        <f>"9781846637100"</f>
        <v>9781846637100</v>
      </c>
      <c r="C1266" s="10" t="str">
        <f>"9781846637117"</f>
        <v>9781846637117</v>
      </c>
      <c r="D1266" s="10" t="s">
        <v>8699</v>
      </c>
      <c r="E1266" s="10" t="s">
        <v>8699</v>
      </c>
      <c r="F1266" s="10" t="s">
        <v>1019</v>
      </c>
      <c r="G1266" s="10" t="s">
        <v>6352</v>
      </c>
      <c r="H1266" s="11">
        <v>39416</v>
      </c>
      <c r="I1266" s="10">
        <v>2007</v>
      </c>
      <c r="J1266" s="10" t="s">
        <v>115</v>
      </c>
      <c r="K1266" s="10">
        <v>168</v>
      </c>
      <c r="L1266" s="10" t="s">
        <v>10313</v>
      </c>
      <c r="M1266" s="10">
        <v>1</v>
      </c>
      <c r="N1266" s="10" t="s">
        <v>11824</v>
      </c>
      <c r="O1266" s="10"/>
      <c r="P1266" s="10" t="s">
        <v>11825</v>
      </c>
      <c r="Q1266" s="10" t="s">
        <v>11826</v>
      </c>
      <c r="R1266" s="10" t="s">
        <v>11827</v>
      </c>
      <c r="S1266" s="10" t="s">
        <v>53</v>
      </c>
      <c r="T1266" s="10" t="s">
        <v>11508</v>
      </c>
    </row>
    <row r="1267" spans="1:20" ht="14.5" x14ac:dyDescent="0.35">
      <c r="A1267" s="10" t="s">
        <v>11828</v>
      </c>
      <c r="B1267" s="10" t="str">
        <f>"9781846637346"</f>
        <v>9781846637346</v>
      </c>
      <c r="C1267" s="10" t="str">
        <f>"9781846637353"</f>
        <v>9781846637353</v>
      </c>
      <c r="D1267" s="10" t="s">
        <v>8699</v>
      </c>
      <c r="E1267" s="10" t="s">
        <v>8699</v>
      </c>
      <c r="F1267" s="10" t="s">
        <v>1019</v>
      </c>
      <c r="G1267" s="10" t="s">
        <v>6352</v>
      </c>
      <c r="H1267" s="11">
        <v>39388</v>
      </c>
      <c r="I1267" s="10">
        <v>2007</v>
      </c>
      <c r="J1267" s="10" t="s">
        <v>115</v>
      </c>
      <c r="K1267" s="10">
        <v>137</v>
      </c>
      <c r="L1267" s="10" t="s">
        <v>11829</v>
      </c>
      <c r="M1267" s="10">
        <v>1</v>
      </c>
      <c r="N1267" s="10" t="s">
        <v>11830</v>
      </c>
      <c r="O1267" s="10"/>
      <c r="P1267" s="10" t="s">
        <v>11831</v>
      </c>
      <c r="Q1267" s="10">
        <v>26</v>
      </c>
      <c r="R1267" s="10" t="s">
        <v>11832</v>
      </c>
      <c r="S1267" s="10" t="s">
        <v>53</v>
      </c>
      <c r="T1267" s="10" t="s">
        <v>10302</v>
      </c>
    </row>
    <row r="1268" spans="1:20" ht="14.5" x14ac:dyDescent="0.35">
      <c r="A1268" s="10" t="s">
        <v>11833</v>
      </c>
      <c r="B1268" s="10" t="str">
        <f>"9781416605775"</f>
        <v>9781416605775</v>
      </c>
      <c r="C1268" s="10" t="str">
        <f>"9781416606659"</f>
        <v>9781416606659</v>
      </c>
      <c r="D1268" s="10" t="s">
        <v>10014</v>
      </c>
      <c r="E1268" s="10" t="s">
        <v>10015</v>
      </c>
      <c r="F1268" s="10" t="s">
        <v>201</v>
      </c>
      <c r="G1268" s="10" t="s">
        <v>6317</v>
      </c>
      <c r="H1268" s="11">
        <v>39324</v>
      </c>
      <c r="I1268" s="10">
        <v>2007</v>
      </c>
      <c r="J1268" s="10" t="s">
        <v>10015</v>
      </c>
      <c r="K1268" s="10">
        <v>195</v>
      </c>
      <c r="L1268" s="10" t="s">
        <v>10088</v>
      </c>
      <c r="M1268" s="10">
        <v>1</v>
      </c>
      <c r="N1268" s="10"/>
      <c r="O1268" s="10"/>
      <c r="P1268" s="10" t="s">
        <v>11834</v>
      </c>
      <c r="Q1268" s="10" t="s">
        <v>11835</v>
      </c>
      <c r="R1268" s="10" t="s">
        <v>11836</v>
      </c>
      <c r="S1268" s="10" t="s">
        <v>53</v>
      </c>
      <c r="T1268" s="10" t="s">
        <v>54</v>
      </c>
    </row>
    <row r="1269" spans="1:20" ht="14.5" x14ac:dyDescent="0.35">
      <c r="A1269" s="10" t="s">
        <v>11837</v>
      </c>
      <c r="B1269" s="10" t="str">
        <f>"9780335214105"</f>
        <v>9780335214105</v>
      </c>
      <c r="C1269" s="10" t="str">
        <f>"9780335233830"</f>
        <v>9780335233830</v>
      </c>
      <c r="D1269" s="10" t="s">
        <v>10342</v>
      </c>
      <c r="E1269" s="10" t="s">
        <v>10343</v>
      </c>
      <c r="F1269" s="10" t="s">
        <v>856</v>
      </c>
      <c r="G1269" s="10" t="s">
        <v>6352</v>
      </c>
      <c r="H1269" s="11">
        <v>39173</v>
      </c>
      <c r="I1269" s="10">
        <v>2007</v>
      </c>
      <c r="J1269" s="10" t="s">
        <v>10345</v>
      </c>
      <c r="K1269" s="10">
        <v>229</v>
      </c>
      <c r="L1269" s="10" t="s">
        <v>11838</v>
      </c>
      <c r="M1269" s="10">
        <v>1</v>
      </c>
      <c r="N1269" s="10" t="s">
        <v>10347</v>
      </c>
      <c r="O1269" s="10"/>
      <c r="P1269" s="10" t="s">
        <v>11839</v>
      </c>
      <c r="Q1269" s="10">
        <v>613.90712410000003</v>
      </c>
      <c r="R1269" s="10" t="s">
        <v>11840</v>
      </c>
      <c r="S1269" s="10" t="s">
        <v>53</v>
      </c>
      <c r="T1269" s="10" t="s">
        <v>8493</v>
      </c>
    </row>
    <row r="1270" spans="1:20" ht="14.5" x14ac:dyDescent="0.35">
      <c r="A1270" s="10" t="s">
        <v>11841</v>
      </c>
      <c r="B1270" s="10" t="str">
        <f>"9780335223800"</f>
        <v>9780335223800</v>
      </c>
      <c r="C1270" s="10" t="str">
        <f>"9780335234837"</f>
        <v>9780335234837</v>
      </c>
      <c r="D1270" s="10" t="s">
        <v>10342</v>
      </c>
      <c r="E1270" s="10" t="s">
        <v>10343</v>
      </c>
      <c r="F1270" s="10" t="s">
        <v>10344</v>
      </c>
      <c r="G1270" s="10" t="s">
        <v>6352</v>
      </c>
      <c r="H1270" s="11">
        <v>39356</v>
      </c>
      <c r="I1270" s="10">
        <v>2007</v>
      </c>
      <c r="J1270" s="10" t="s">
        <v>10345</v>
      </c>
      <c r="K1270" s="10">
        <v>213</v>
      </c>
      <c r="L1270" s="10" t="s">
        <v>11842</v>
      </c>
      <c r="M1270" s="10">
        <v>1</v>
      </c>
      <c r="N1270" s="10" t="s">
        <v>10384</v>
      </c>
      <c r="O1270" s="10"/>
      <c r="P1270" s="10" t="s">
        <v>11843</v>
      </c>
      <c r="Q1270" s="10"/>
      <c r="R1270" s="10" t="s">
        <v>11844</v>
      </c>
      <c r="S1270" s="10" t="s">
        <v>53</v>
      </c>
      <c r="T1270" s="10" t="s">
        <v>54</v>
      </c>
    </row>
    <row r="1271" spans="1:20" ht="14.5" x14ac:dyDescent="0.35">
      <c r="A1271" s="10" t="s">
        <v>11845</v>
      </c>
      <c r="B1271" s="10" t="str">
        <f>"9780335221073"</f>
        <v>9780335221073</v>
      </c>
      <c r="C1271" s="10" t="str">
        <f>"9780335234844"</f>
        <v>9780335234844</v>
      </c>
      <c r="D1271" s="10" t="s">
        <v>10342</v>
      </c>
      <c r="E1271" s="10" t="s">
        <v>10343</v>
      </c>
      <c r="F1271" s="10" t="s">
        <v>10344</v>
      </c>
      <c r="G1271" s="10" t="s">
        <v>6352</v>
      </c>
      <c r="H1271" s="11">
        <v>39356</v>
      </c>
      <c r="I1271" s="10">
        <v>2007</v>
      </c>
      <c r="J1271" s="10" t="s">
        <v>10345</v>
      </c>
      <c r="K1271" s="10">
        <v>272</v>
      </c>
      <c r="L1271" s="10" t="s">
        <v>11846</v>
      </c>
      <c r="M1271" s="10">
        <v>1</v>
      </c>
      <c r="N1271" s="10" t="s">
        <v>10384</v>
      </c>
      <c r="O1271" s="10"/>
      <c r="P1271" s="10" t="s">
        <v>11847</v>
      </c>
      <c r="Q1271" s="10"/>
      <c r="R1271" s="10" t="s">
        <v>11848</v>
      </c>
      <c r="S1271" s="10" t="s">
        <v>53</v>
      </c>
      <c r="T1271" s="10" t="s">
        <v>54</v>
      </c>
    </row>
    <row r="1272" spans="1:20" ht="14.5" x14ac:dyDescent="0.35">
      <c r="A1272" s="10" t="s">
        <v>11849</v>
      </c>
      <c r="B1272" s="10" t="str">
        <f>"9780335217762"</f>
        <v>9780335217762</v>
      </c>
      <c r="C1272" s="10" t="str">
        <f>"9780335234851"</f>
        <v>9780335234851</v>
      </c>
      <c r="D1272" s="10" t="s">
        <v>10342</v>
      </c>
      <c r="E1272" s="10" t="s">
        <v>10343</v>
      </c>
      <c r="F1272" s="10" t="s">
        <v>10344</v>
      </c>
      <c r="G1272" s="10" t="s">
        <v>6352</v>
      </c>
      <c r="H1272" s="11">
        <v>39356</v>
      </c>
      <c r="I1272" s="10">
        <v>2007</v>
      </c>
      <c r="J1272" s="10" t="s">
        <v>10345</v>
      </c>
      <c r="K1272" s="10">
        <v>192</v>
      </c>
      <c r="L1272" s="10" t="s">
        <v>11850</v>
      </c>
      <c r="M1272" s="10">
        <v>1</v>
      </c>
      <c r="N1272" s="10" t="s">
        <v>10384</v>
      </c>
      <c r="O1272" s="10"/>
      <c r="P1272" s="10" t="s">
        <v>11851</v>
      </c>
      <c r="Q1272" s="10"/>
      <c r="R1272" s="10" t="s">
        <v>11852</v>
      </c>
      <c r="S1272" s="10" t="s">
        <v>53</v>
      </c>
      <c r="T1272" s="10" t="s">
        <v>54</v>
      </c>
    </row>
    <row r="1273" spans="1:20" ht="14.5" x14ac:dyDescent="0.35">
      <c r="A1273" s="10" t="s">
        <v>11853</v>
      </c>
      <c r="B1273" s="10" t="str">
        <f>"9780335220878"</f>
        <v>9780335220878</v>
      </c>
      <c r="C1273" s="10" t="str">
        <f>"9780335234882"</f>
        <v>9780335234882</v>
      </c>
      <c r="D1273" s="10" t="s">
        <v>10342</v>
      </c>
      <c r="E1273" s="10" t="s">
        <v>10343</v>
      </c>
      <c r="F1273" s="10" t="s">
        <v>10344</v>
      </c>
      <c r="G1273" s="10" t="s">
        <v>6352</v>
      </c>
      <c r="H1273" s="11">
        <v>39356</v>
      </c>
      <c r="I1273" s="10">
        <v>2007</v>
      </c>
      <c r="J1273" s="10" t="s">
        <v>10345</v>
      </c>
      <c r="K1273" s="10">
        <v>171</v>
      </c>
      <c r="L1273" s="10" t="s">
        <v>11854</v>
      </c>
      <c r="M1273" s="10">
        <v>1</v>
      </c>
      <c r="N1273" s="10" t="s">
        <v>10384</v>
      </c>
      <c r="O1273" s="10"/>
      <c r="P1273" s="10" t="s">
        <v>11855</v>
      </c>
      <c r="Q1273" s="10">
        <v>378.173</v>
      </c>
      <c r="R1273" s="10" t="s">
        <v>11856</v>
      </c>
      <c r="S1273" s="10" t="s">
        <v>53</v>
      </c>
      <c r="T1273" s="10" t="s">
        <v>54</v>
      </c>
    </row>
    <row r="1274" spans="1:20" ht="14.5" x14ac:dyDescent="0.35">
      <c r="A1274" s="10" t="s">
        <v>11857</v>
      </c>
      <c r="B1274" s="10" t="str">
        <f>"9780335220960"</f>
        <v>9780335220960</v>
      </c>
      <c r="C1274" s="10" t="str">
        <f>"9780335234905"</f>
        <v>9780335234905</v>
      </c>
      <c r="D1274" s="10" t="s">
        <v>10342</v>
      </c>
      <c r="E1274" s="10" t="s">
        <v>10343</v>
      </c>
      <c r="F1274" s="10" t="s">
        <v>10344</v>
      </c>
      <c r="G1274" s="10" t="s">
        <v>6352</v>
      </c>
      <c r="H1274" s="11">
        <v>39356</v>
      </c>
      <c r="I1274" s="10">
        <v>2007</v>
      </c>
      <c r="J1274" s="10" t="s">
        <v>10345</v>
      </c>
      <c r="K1274" s="10">
        <v>265</v>
      </c>
      <c r="L1274" s="10" t="s">
        <v>11858</v>
      </c>
      <c r="M1274" s="10">
        <v>1</v>
      </c>
      <c r="N1274" s="10" t="s">
        <v>10347</v>
      </c>
      <c r="O1274" s="10"/>
      <c r="P1274" s="10" t="s">
        <v>11859</v>
      </c>
      <c r="Q1274" s="10">
        <v>372.11020000000002</v>
      </c>
      <c r="R1274" s="10" t="s">
        <v>11860</v>
      </c>
      <c r="S1274" s="10" t="s">
        <v>53</v>
      </c>
      <c r="T1274" s="10" t="s">
        <v>54</v>
      </c>
    </row>
    <row r="1275" spans="1:20" ht="14.5" x14ac:dyDescent="0.35">
      <c r="A1275" s="10" t="s">
        <v>11861</v>
      </c>
      <c r="B1275" s="10" t="str">
        <f>"9780335222940"</f>
        <v>9780335222940</v>
      </c>
      <c r="C1275" s="10" t="str">
        <f>"9780335234929"</f>
        <v>9780335234929</v>
      </c>
      <c r="D1275" s="10" t="s">
        <v>10342</v>
      </c>
      <c r="E1275" s="10" t="s">
        <v>10343</v>
      </c>
      <c r="F1275" s="10" t="s">
        <v>10344</v>
      </c>
      <c r="G1275" s="10" t="s">
        <v>6352</v>
      </c>
      <c r="H1275" s="11">
        <v>39356</v>
      </c>
      <c r="I1275" s="10">
        <v>2007</v>
      </c>
      <c r="J1275" s="10" t="s">
        <v>10345</v>
      </c>
      <c r="K1275" s="10">
        <v>105</v>
      </c>
      <c r="L1275" s="10" t="s">
        <v>11862</v>
      </c>
      <c r="M1275" s="10">
        <v>1</v>
      </c>
      <c r="N1275" s="10" t="s">
        <v>10408</v>
      </c>
      <c r="O1275" s="10"/>
      <c r="P1275" s="10" t="s">
        <v>11863</v>
      </c>
      <c r="Q1275" s="10">
        <v>371.30281000000002</v>
      </c>
      <c r="R1275" s="10" t="s">
        <v>11864</v>
      </c>
      <c r="S1275" s="10" t="s">
        <v>53</v>
      </c>
      <c r="T1275" s="10" t="s">
        <v>54</v>
      </c>
    </row>
    <row r="1276" spans="1:20" ht="14.5" x14ac:dyDescent="0.35">
      <c r="A1276" s="10" t="s">
        <v>11865</v>
      </c>
      <c r="B1276" s="10" t="str">
        <f>"9780335225354"</f>
        <v>9780335225354</v>
      </c>
      <c r="C1276" s="10" t="str">
        <f>"9780335235018"</f>
        <v>9780335235018</v>
      </c>
      <c r="D1276" s="10" t="s">
        <v>10342</v>
      </c>
      <c r="E1276" s="10" t="s">
        <v>10343</v>
      </c>
      <c r="F1276" s="10" t="s">
        <v>10344</v>
      </c>
      <c r="G1276" s="10" t="s">
        <v>6352</v>
      </c>
      <c r="H1276" s="11">
        <v>39356</v>
      </c>
      <c r="I1276" s="10">
        <v>2007</v>
      </c>
      <c r="J1276" s="10" t="s">
        <v>10345</v>
      </c>
      <c r="K1276" s="10">
        <v>297</v>
      </c>
      <c r="L1276" s="10" t="s">
        <v>11866</v>
      </c>
      <c r="M1276" s="10">
        <v>5</v>
      </c>
      <c r="N1276" s="10" t="s">
        <v>10347</v>
      </c>
      <c r="O1276" s="10"/>
      <c r="P1276" s="10" t="s">
        <v>11867</v>
      </c>
      <c r="Q1276" s="10">
        <v>374.11020000000002</v>
      </c>
      <c r="R1276" s="10"/>
      <c r="S1276" s="10" t="s">
        <v>53</v>
      </c>
      <c r="T1276" s="10" t="s">
        <v>54</v>
      </c>
    </row>
    <row r="1277" spans="1:20" ht="14.5" x14ac:dyDescent="0.35">
      <c r="A1277" s="10" t="s">
        <v>11868</v>
      </c>
      <c r="B1277" s="10" t="str">
        <f>"9780335220939"</f>
        <v>9780335220939</v>
      </c>
      <c r="C1277" s="10" t="str">
        <f>"9780335235087"</f>
        <v>9780335235087</v>
      </c>
      <c r="D1277" s="10" t="s">
        <v>10342</v>
      </c>
      <c r="E1277" s="10" t="s">
        <v>10343</v>
      </c>
      <c r="F1277" s="10" t="s">
        <v>10344</v>
      </c>
      <c r="G1277" s="10" t="s">
        <v>6352</v>
      </c>
      <c r="H1277" s="11">
        <v>39417</v>
      </c>
      <c r="I1277" s="10">
        <v>2007</v>
      </c>
      <c r="J1277" s="10" t="s">
        <v>10345</v>
      </c>
      <c r="K1277" s="10">
        <v>138</v>
      </c>
      <c r="L1277" s="10" t="s">
        <v>11869</v>
      </c>
      <c r="M1277" s="10">
        <v>1</v>
      </c>
      <c r="N1277" s="10" t="s">
        <v>10347</v>
      </c>
      <c r="O1277" s="10"/>
      <c r="P1277" s="10" t="s">
        <v>11870</v>
      </c>
      <c r="Q1277" s="10"/>
      <c r="R1277" s="10" t="s">
        <v>11871</v>
      </c>
      <c r="S1277" s="10" t="s">
        <v>53</v>
      </c>
      <c r="T1277" s="10" t="s">
        <v>6363</v>
      </c>
    </row>
    <row r="1278" spans="1:20" ht="14.5" x14ac:dyDescent="0.35">
      <c r="A1278" s="10" t="s">
        <v>11872</v>
      </c>
      <c r="B1278" s="10" t="str">
        <f>"9780335220151"</f>
        <v>9780335220151</v>
      </c>
      <c r="C1278" s="10" t="str">
        <f>"9780335235124"</f>
        <v>9780335235124</v>
      </c>
      <c r="D1278" s="10" t="s">
        <v>10342</v>
      </c>
      <c r="E1278" s="10" t="s">
        <v>10343</v>
      </c>
      <c r="F1278" s="10" t="s">
        <v>10344</v>
      </c>
      <c r="G1278" s="10" t="s">
        <v>6352</v>
      </c>
      <c r="H1278" s="11">
        <v>39417</v>
      </c>
      <c r="I1278" s="10">
        <v>2007</v>
      </c>
      <c r="J1278" s="10" t="s">
        <v>10345</v>
      </c>
      <c r="K1278" s="10">
        <v>214</v>
      </c>
      <c r="L1278" s="10" t="s">
        <v>11873</v>
      </c>
      <c r="M1278" s="10">
        <v>1</v>
      </c>
      <c r="N1278" s="10" t="s">
        <v>10347</v>
      </c>
      <c r="O1278" s="10"/>
      <c r="P1278" s="10" t="s">
        <v>11874</v>
      </c>
      <c r="Q1278" s="10">
        <v>372.35</v>
      </c>
      <c r="R1278" s="10" t="s">
        <v>11875</v>
      </c>
      <c r="S1278" s="10" t="s">
        <v>53</v>
      </c>
      <c r="T1278" s="10" t="s">
        <v>54</v>
      </c>
    </row>
    <row r="1279" spans="1:20" ht="14.5" x14ac:dyDescent="0.35">
      <c r="A1279" s="10" t="s">
        <v>11876</v>
      </c>
      <c r="B1279" s="10" t="str">
        <f>"9780335222261"</f>
        <v>9780335222261</v>
      </c>
      <c r="C1279" s="10" t="str">
        <f>"9780335235131"</f>
        <v>9780335235131</v>
      </c>
      <c r="D1279" s="10" t="s">
        <v>10342</v>
      </c>
      <c r="E1279" s="10" t="s">
        <v>10343</v>
      </c>
      <c r="F1279" s="10" t="s">
        <v>10344</v>
      </c>
      <c r="G1279" s="10" t="s">
        <v>6352</v>
      </c>
      <c r="H1279" s="11">
        <v>39448</v>
      </c>
      <c r="I1279" s="10">
        <v>2008</v>
      </c>
      <c r="J1279" s="10" t="s">
        <v>10345</v>
      </c>
      <c r="K1279" s="10">
        <v>212</v>
      </c>
      <c r="L1279" s="10" t="s">
        <v>11877</v>
      </c>
      <c r="M1279" s="10">
        <v>1</v>
      </c>
      <c r="N1279" s="10" t="s">
        <v>10347</v>
      </c>
      <c r="O1279" s="10"/>
      <c r="P1279" s="10" t="s">
        <v>11878</v>
      </c>
      <c r="Q1279" s="10"/>
      <c r="R1279" s="10" t="s">
        <v>11879</v>
      </c>
      <c r="S1279" s="10" t="s">
        <v>53</v>
      </c>
      <c r="T1279" s="10" t="s">
        <v>11880</v>
      </c>
    </row>
    <row r="1280" spans="1:20" ht="14.5" x14ac:dyDescent="0.35">
      <c r="A1280" s="10" t="s">
        <v>11881</v>
      </c>
      <c r="B1280" s="10" t="str">
        <f>"9780335222650"</f>
        <v>9780335222650</v>
      </c>
      <c r="C1280" s="10" t="str">
        <f>"9780335235223"</f>
        <v>9780335235223</v>
      </c>
      <c r="D1280" s="10" t="s">
        <v>10342</v>
      </c>
      <c r="E1280" s="10" t="s">
        <v>10343</v>
      </c>
      <c r="F1280" s="10" t="s">
        <v>10344</v>
      </c>
      <c r="G1280" s="10" t="s">
        <v>6352</v>
      </c>
      <c r="H1280" s="11">
        <v>39417</v>
      </c>
      <c r="I1280" s="10">
        <v>2007</v>
      </c>
      <c r="J1280" s="10" t="s">
        <v>10345</v>
      </c>
      <c r="K1280" s="10">
        <v>288</v>
      </c>
      <c r="L1280" s="10" t="s">
        <v>11882</v>
      </c>
      <c r="M1280" s="10">
        <v>2</v>
      </c>
      <c r="N1280" s="10" t="s">
        <v>10408</v>
      </c>
      <c r="O1280" s="10"/>
      <c r="P1280" s="10" t="s">
        <v>11883</v>
      </c>
      <c r="Q1280" s="10">
        <v>378.19799999999998</v>
      </c>
      <c r="R1280" s="10" t="s">
        <v>11884</v>
      </c>
      <c r="S1280" s="10" t="s">
        <v>53</v>
      </c>
      <c r="T1280" s="10" t="s">
        <v>54</v>
      </c>
    </row>
    <row r="1281" spans="1:20" ht="14.5" x14ac:dyDescent="0.35">
      <c r="A1281" s="10" t="s">
        <v>11885</v>
      </c>
      <c r="B1281" s="10" t="str">
        <f>"9780335216413"</f>
        <v>9780335216413</v>
      </c>
      <c r="C1281" s="10" t="str">
        <f>"9780335235308"</f>
        <v>9780335235308</v>
      </c>
      <c r="D1281" s="10" t="s">
        <v>10342</v>
      </c>
      <c r="E1281" s="10" t="s">
        <v>10343</v>
      </c>
      <c r="F1281" s="10" t="s">
        <v>10344</v>
      </c>
      <c r="G1281" s="10" t="s">
        <v>6352</v>
      </c>
      <c r="H1281" s="11">
        <v>39387</v>
      </c>
      <c r="I1281" s="10">
        <v>2007</v>
      </c>
      <c r="J1281" s="10" t="s">
        <v>10345</v>
      </c>
      <c r="K1281" s="10">
        <v>174</v>
      </c>
      <c r="L1281" s="10" t="s">
        <v>11886</v>
      </c>
      <c r="M1281" s="10">
        <v>1</v>
      </c>
      <c r="N1281" s="10" t="s">
        <v>10347</v>
      </c>
      <c r="O1281" s="10"/>
      <c r="P1281" s="10" t="s">
        <v>11887</v>
      </c>
      <c r="Q1281" s="10">
        <v>372.13839999999999</v>
      </c>
      <c r="R1281" s="10" t="s">
        <v>11888</v>
      </c>
      <c r="S1281" s="10" t="s">
        <v>53</v>
      </c>
      <c r="T1281" s="10" t="s">
        <v>6752</v>
      </c>
    </row>
    <row r="1282" spans="1:20" ht="14.5" x14ac:dyDescent="0.35">
      <c r="A1282" s="10" t="s">
        <v>11889</v>
      </c>
      <c r="B1282" s="10" t="str">
        <f>"9780805853247"</f>
        <v>9780805853247</v>
      </c>
      <c r="C1282" s="10" t="str">
        <f>"9781410613325"</f>
        <v>9781410613325</v>
      </c>
      <c r="D1282" s="10" t="s">
        <v>6350</v>
      </c>
      <c r="E1282" s="10" t="s">
        <v>6351</v>
      </c>
      <c r="F1282" s="10" t="s">
        <v>4325</v>
      </c>
      <c r="G1282" s="10" t="s">
        <v>6317</v>
      </c>
      <c r="H1282" s="11">
        <v>38513</v>
      </c>
      <c r="I1282" s="10">
        <v>2005</v>
      </c>
      <c r="J1282" s="10" t="s">
        <v>4324</v>
      </c>
      <c r="K1282" s="10">
        <v>215</v>
      </c>
      <c r="L1282" s="10" t="s">
        <v>11890</v>
      </c>
      <c r="M1282" s="10">
        <v>1</v>
      </c>
      <c r="N1282" s="10" t="s">
        <v>8804</v>
      </c>
      <c r="O1282" s="10"/>
      <c r="P1282" s="10" t="s">
        <v>9549</v>
      </c>
      <c r="Q1282" s="10" t="s">
        <v>11891</v>
      </c>
      <c r="R1282" s="10" t="s">
        <v>9550</v>
      </c>
      <c r="S1282" s="10" t="s">
        <v>53</v>
      </c>
      <c r="T1282" s="10" t="s">
        <v>54</v>
      </c>
    </row>
    <row r="1283" spans="1:20" ht="14.5" x14ac:dyDescent="0.35">
      <c r="A1283" s="10" t="s">
        <v>11892</v>
      </c>
      <c r="B1283" s="10" t="str">
        <f>"9781413428025"</f>
        <v>9781413428025</v>
      </c>
      <c r="C1283" s="10" t="str">
        <f>"9781605571034"</f>
        <v>9781605571034</v>
      </c>
      <c r="D1283" s="10" t="s">
        <v>11893</v>
      </c>
      <c r="E1283" s="10" t="s">
        <v>11894</v>
      </c>
      <c r="F1283" s="10" t="s">
        <v>319</v>
      </c>
      <c r="G1283" s="10" t="s">
        <v>6317</v>
      </c>
      <c r="H1283" s="11">
        <v>37987</v>
      </c>
      <c r="I1283" s="10">
        <v>2004</v>
      </c>
      <c r="J1283" s="10" t="s">
        <v>11894</v>
      </c>
      <c r="K1283" s="10">
        <v>253</v>
      </c>
      <c r="L1283" s="10" t="s">
        <v>11895</v>
      </c>
      <c r="M1283" s="10"/>
      <c r="N1283" s="10"/>
      <c r="O1283" s="10"/>
      <c r="P1283" s="10" t="s">
        <v>11896</v>
      </c>
      <c r="Q1283" s="10"/>
      <c r="R1283" s="10" t="s">
        <v>11897</v>
      </c>
      <c r="S1283" s="10" t="s">
        <v>53</v>
      </c>
      <c r="T1283" s="10" t="s">
        <v>6660</v>
      </c>
    </row>
    <row r="1284" spans="1:20" ht="14.5" x14ac:dyDescent="0.35">
      <c r="A1284" s="10" t="s">
        <v>11898</v>
      </c>
      <c r="B1284" s="10" t="str">
        <f>"9780976156352"</f>
        <v>9780976156352</v>
      </c>
      <c r="C1284" s="10" t="str">
        <f>"9781605570327"</f>
        <v>9781605570327</v>
      </c>
      <c r="D1284" s="10" t="s">
        <v>11893</v>
      </c>
      <c r="E1284" s="10" t="s">
        <v>11894</v>
      </c>
      <c r="F1284" s="10" t="s">
        <v>686</v>
      </c>
      <c r="G1284" s="10" t="s">
        <v>6317</v>
      </c>
      <c r="H1284" s="11">
        <v>38718</v>
      </c>
      <c r="I1284" s="10">
        <v>2006</v>
      </c>
      <c r="J1284" s="10" t="s">
        <v>11894</v>
      </c>
      <c r="K1284" s="10">
        <v>103</v>
      </c>
      <c r="L1284" s="10" t="s">
        <v>11899</v>
      </c>
      <c r="M1284" s="10"/>
      <c r="N1284" s="10"/>
      <c r="O1284" s="10"/>
      <c r="P1284" s="10" t="s">
        <v>11900</v>
      </c>
      <c r="Q1284" s="10"/>
      <c r="R1284" s="10" t="s">
        <v>11901</v>
      </c>
      <c r="S1284" s="10" t="s">
        <v>53</v>
      </c>
      <c r="T1284" s="10" t="s">
        <v>54</v>
      </c>
    </row>
    <row r="1285" spans="1:20" ht="14.5" x14ac:dyDescent="0.35">
      <c r="A1285" s="10" t="s">
        <v>11902</v>
      </c>
      <c r="B1285" s="10" t="str">
        <f>"9781843108450"</f>
        <v>9781843108450</v>
      </c>
      <c r="C1285" s="10" t="str">
        <f>"9781846425899"</f>
        <v>9781846425899</v>
      </c>
      <c r="D1285" s="10" t="s">
        <v>10516</v>
      </c>
      <c r="E1285" s="10" t="s">
        <v>10516</v>
      </c>
      <c r="F1285" s="10" t="s">
        <v>139</v>
      </c>
      <c r="G1285" s="10" t="s">
        <v>6352</v>
      </c>
      <c r="H1285" s="11">
        <v>39066</v>
      </c>
      <c r="I1285" s="10">
        <v>2006</v>
      </c>
      <c r="J1285" s="10" t="s">
        <v>10516</v>
      </c>
      <c r="K1285" s="10">
        <v>193</v>
      </c>
      <c r="L1285" s="10" t="s">
        <v>11903</v>
      </c>
      <c r="M1285" s="10">
        <v>1</v>
      </c>
      <c r="N1285" s="10"/>
      <c r="O1285" s="10"/>
      <c r="P1285" s="10" t="s">
        <v>11904</v>
      </c>
      <c r="Q1285" s="10" t="s">
        <v>10667</v>
      </c>
      <c r="R1285" s="10" t="s">
        <v>11905</v>
      </c>
      <c r="S1285" s="10" t="s">
        <v>53</v>
      </c>
      <c r="T1285" s="10" t="s">
        <v>8681</v>
      </c>
    </row>
    <row r="1286" spans="1:20" ht="14.5" x14ac:dyDescent="0.35">
      <c r="A1286" s="10" t="s">
        <v>11906</v>
      </c>
      <c r="B1286" s="10" t="str">
        <f>"9781843104780"</f>
        <v>9781843104780</v>
      </c>
      <c r="C1286" s="10" t="str">
        <f>"9781846426032"</f>
        <v>9781846426032</v>
      </c>
      <c r="D1286" s="10" t="s">
        <v>10516</v>
      </c>
      <c r="E1286" s="10" t="s">
        <v>10516</v>
      </c>
      <c r="F1286" s="10" t="s">
        <v>139</v>
      </c>
      <c r="G1286" s="10" t="s">
        <v>6352</v>
      </c>
      <c r="H1286" s="11">
        <v>39128</v>
      </c>
      <c r="I1286" s="10">
        <v>2007</v>
      </c>
      <c r="J1286" s="10" t="s">
        <v>10516</v>
      </c>
      <c r="K1286" s="10">
        <v>71</v>
      </c>
      <c r="L1286" s="10" t="s">
        <v>11907</v>
      </c>
      <c r="M1286" s="10">
        <v>1</v>
      </c>
      <c r="N1286" s="10"/>
      <c r="O1286" s="10"/>
      <c r="P1286" s="10" t="s">
        <v>11908</v>
      </c>
      <c r="Q1286" s="10">
        <v>362</v>
      </c>
      <c r="R1286" s="10" t="s">
        <v>11909</v>
      </c>
      <c r="S1286" s="10" t="s">
        <v>53</v>
      </c>
      <c r="T1286" s="10" t="s">
        <v>8368</v>
      </c>
    </row>
    <row r="1287" spans="1:20" ht="14.5" x14ac:dyDescent="0.35">
      <c r="A1287" s="10" t="s">
        <v>11910</v>
      </c>
      <c r="B1287" s="10" t="str">
        <f>"9781843108467"</f>
        <v>9781843108467</v>
      </c>
      <c r="C1287" s="10" t="str">
        <f>"9781846426353"</f>
        <v>9781846426353</v>
      </c>
      <c r="D1287" s="10" t="s">
        <v>10516</v>
      </c>
      <c r="E1287" s="10" t="s">
        <v>10516</v>
      </c>
      <c r="F1287" s="10" t="s">
        <v>139</v>
      </c>
      <c r="G1287" s="10" t="s">
        <v>6352</v>
      </c>
      <c r="H1287" s="11">
        <v>39248</v>
      </c>
      <c r="I1287" s="10">
        <v>2007</v>
      </c>
      <c r="J1287" s="10" t="s">
        <v>10516</v>
      </c>
      <c r="K1287" s="10">
        <v>177</v>
      </c>
      <c r="L1287" s="10" t="s">
        <v>11911</v>
      </c>
      <c r="M1287" s="10">
        <v>1</v>
      </c>
      <c r="N1287" s="10"/>
      <c r="O1287" s="10"/>
      <c r="P1287" s="10" t="s">
        <v>11912</v>
      </c>
      <c r="Q1287" s="10" t="s">
        <v>11913</v>
      </c>
      <c r="R1287" s="10" t="s">
        <v>11914</v>
      </c>
      <c r="S1287" s="10" t="s">
        <v>53</v>
      </c>
      <c r="T1287" s="10" t="s">
        <v>10521</v>
      </c>
    </row>
    <row r="1288" spans="1:20" ht="14.5" x14ac:dyDescent="0.35">
      <c r="A1288" s="10" t="s">
        <v>11915</v>
      </c>
      <c r="B1288" s="10" t="str">
        <f>"9781843108405"</f>
        <v>9781843108405</v>
      </c>
      <c r="C1288" s="10" t="str">
        <f>"9781846425912"</f>
        <v>9781846425912</v>
      </c>
      <c r="D1288" s="10" t="s">
        <v>10516</v>
      </c>
      <c r="E1288" s="10" t="s">
        <v>10516</v>
      </c>
      <c r="F1288" s="10" t="s">
        <v>139</v>
      </c>
      <c r="G1288" s="10" t="s">
        <v>6352</v>
      </c>
      <c r="H1288" s="11">
        <v>39128</v>
      </c>
      <c r="I1288" s="10">
        <v>2007</v>
      </c>
      <c r="J1288" s="10" t="s">
        <v>10516</v>
      </c>
      <c r="K1288" s="10">
        <v>160</v>
      </c>
      <c r="L1288" s="10" t="s">
        <v>11916</v>
      </c>
      <c r="M1288" s="10">
        <v>1</v>
      </c>
      <c r="N1288" s="10"/>
      <c r="O1288" s="10"/>
      <c r="P1288" s="10" t="s">
        <v>11917</v>
      </c>
      <c r="Q1288" s="10">
        <v>371.94</v>
      </c>
      <c r="R1288" s="10" t="s">
        <v>11918</v>
      </c>
      <c r="S1288" s="10" t="s">
        <v>53</v>
      </c>
      <c r="T1288" s="10" t="s">
        <v>54</v>
      </c>
    </row>
    <row r="1289" spans="1:20" ht="14.5" x14ac:dyDescent="0.35">
      <c r="A1289" s="10" t="s">
        <v>11919</v>
      </c>
      <c r="B1289" s="10" t="str">
        <f>"9781843108429"</f>
        <v>9781843108429</v>
      </c>
      <c r="C1289" s="10" t="str">
        <f>"9781846426506"</f>
        <v>9781846426506</v>
      </c>
      <c r="D1289" s="10" t="s">
        <v>10516</v>
      </c>
      <c r="E1289" s="10" t="s">
        <v>10516</v>
      </c>
      <c r="F1289" s="10" t="s">
        <v>139</v>
      </c>
      <c r="G1289" s="10" t="s">
        <v>6352</v>
      </c>
      <c r="H1289" s="11">
        <v>39217</v>
      </c>
      <c r="I1289" s="10">
        <v>2007</v>
      </c>
      <c r="J1289" s="10" t="s">
        <v>10516</v>
      </c>
      <c r="K1289" s="10">
        <v>50</v>
      </c>
      <c r="L1289" s="10" t="s">
        <v>10801</v>
      </c>
      <c r="M1289" s="10">
        <v>1</v>
      </c>
      <c r="N1289" s="10"/>
      <c r="O1289" s="10"/>
      <c r="P1289" s="10" t="s">
        <v>11920</v>
      </c>
      <c r="Q1289" s="10">
        <v>823.92</v>
      </c>
      <c r="R1289" s="10"/>
      <c r="S1289" s="10" t="s">
        <v>53</v>
      </c>
      <c r="T1289" s="10" t="s">
        <v>11921</v>
      </c>
    </row>
    <row r="1290" spans="1:20" ht="14.5" x14ac:dyDescent="0.35">
      <c r="A1290" s="10" t="s">
        <v>11922</v>
      </c>
      <c r="B1290" s="10" t="str">
        <f>"9781843105527"</f>
        <v>9781843105527</v>
      </c>
      <c r="C1290" s="10" t="str">
        <f>"9781846426278"</f>
        <v>9781846426278</v>
      </c>
      <c r="D1290" s="10" t="s">
        <v>10516</v>
      </c>
      <c r="E1290" s="10" t="s">
        <v>10516</v>
      </c>
      <c r="F1290" s="10" t="s">
        <v>139</v>
      </c>
      <c r="G1290" s="10" t="s">
        <v>6352</v>
      </c>
      <c r="H1290" s="11">
        <v>39187</v>
      </c>
      <c r="I1290" s="10">
        <v>2007</v>
      </c>
      <c r="J1290" s="10" t="s">
        <v>10516</v>
      </c>
      <c r="K1290" s="10">
        <v>209</v>
      </c>
      <c r="L1290" s="10" t="s">
        <v>11923</v>
      </c>
      <c r="M1290" s="10">
        <v>1</v>
      </c>
      <c r="N1290" s="10"/>
      <c r="O1290" s="10"/>
      <c r="P1290" s="10" t="s">
        <v>11924</v>
      </c>
      <c r="Q1290" s="10" t="s">
        <v>11913</v>
      </c>
      <c r="R1290" s="10" t="s">
        <v>11925</v>
      </c>
      <c r="S1290" s="10" t="s">
        <v>53</v>
      </c>
      <c r="T1290" s="10" t="s">
        <v>11926</v>
      </c>
    </row>
    <row r="1291" spans="1:20" ht="14.5" x14ac:dyDescent="0.35">
      <c r="A1291" s="10" t="s">
        <v>11927</v>
      </c>
      <c r="B1291" s="10" t="str">
        <f>"9781843108580"</f>
        <v>9781843108580</v>
      </c>
      <c r="C1291" s="10" t="str">
        <f>"9781846426193"</f>
        <v>9781846426193</v>
      </c>
      <c r="D1291" s="10" t="s">
        <v>10516</v>
      </c>
      <c r="E1291" s="10" t="s">
        <v>10516</v>
      </c>
      <c r="F1291" s="10" t="s">
        <v>139</v>
      </c>
      <c r="G1291" s="10" t="s">
        <v>6352</v>
      </c>
      <c r="H1291" s="11">
        <v>39187</v>
      </c>
      <c r="I1291" s="10">
        <v>2007</v>
      </c>
      <c r="J1291" s="10" t="s">
        <v>10516</v>
      </c>
      <c r="K1291" s="10">
        <v>244</v>
      </c>
      <c r="L1291" s="10" t="s">
        <v>11928</v>
      </c>
      <c r="M1291" s="10">
        <v>1</v>
      </c>
      <c r="N1291" s="10"/>
      <c r="O1291" s="10"/>
      <c r="P1291" s="10" t="s">
        <v>11929</v>
      </c>
      <c r="Q1291" s="10" t="s">
        <v>10807</v>
      </c>
      <c r="R1291" s="10" t="s">
        <v>11930</v>
      </c>
      <c r="S1291" s="10" t="s">
        <v>53</v>
      </c>
      <c r="T1291" s="10" t="s">
        <v>8510</v>
      </c>
    </row>
    <row r="1292" spans="1:20" ht="14.5" x14ac:dyDescent="0.35">
      <c r="A1292" s="10" t="s">
        <v>11931</v>
      </c>
      <c r="B1292" s="10" t="str">
        <f>"9781843105480"</f>
        <v>9781843105480</v>
      </c>
      <c r="C1292" s="10" t="str">
        <f>"9781846426698"</f>
        <v>9781846426698</v>
      </c>
      <c r="D1292" s="10" t="s">
        <v>10516</v>
      </c>
      <c r="E1292" s="10" t="s">
        <v>10516</v>
      </c>
      <c r="F1292" s="10" t="s">
        <v>139</v>
      </c>
      <c r="G1292" s="10" t="s">
        <v>6352</v>
      </c>
      <c r="H1292" s="11">
        <v>39278</v>
      </c>
      <c r="I1292" s="10">
        <v>2007</v>
      </c>
      <c r="J1292" s="10" t="s">
        <v>10516</v>
      </c>
      <c r="K1292" s="10">
        <v>255</v>
      </c>
      <c r="L1292" s="10" t="s">
        <v>11932</v>
      </c>
      <c r="M1292" s="10">
        <v>1</v>
      </c>
      <c r="N1292" s="10"/>
      <c r="O1292" s="10"/>
      <c r="P1292" s="10" t="s">
        <v>11933</v>
      </c>
      <c r="Q1292" s="10">
        <v>618.92858820000004</v>
      </c>
      <c r="R1292" s="10" t="s">
        <v>11934</v>
      </c>
      <c r="S1292" s="10" t="s">
        <v>53</v>
      </c>
      <c r="T1292" s="10" t="s">
        <v>8510</v>
      </c>
    </row>
    <row r="1293" spans="1:20" ht="14.5" x14ac:dyDescent="0.35">
      <c r="A1293" s="10" t="s">
        <v>11935</v>
      </c>
      <c r="B1293" s="10" t="str">
        <f>"9781843104759"</f>
        <v>9781843104759</v>
      </c>
      <c r="C1293" s="10" t="str">
        <f>"9781846426087"</f>
        <v>9781846426087</v>
      </c>
      <c r="D1293" s="10" t="s">
        <v>10516</v>
      </c>
      <c r="E1293" s="10" t="s">
        <v>10516</v>
      </c>
      <c r="F1293" s="10" t="s">
        <v>139</v>
      </c>
      <c r="G1293" s="10" t="s">
        <v>6352</v>
      </c>
      <c r="H1293" s="11">
        <v>39128</v>
      </c>
      <c r="I1293" s="10">
        <v>2007</v>
      </c>
      <c r="J1293" s="10" t="s">
        <v>10516</v>
      </c>
      <c r="K1293" s="10">
        <v>97</v>
      </c>
      <c r="L1293" s="10" t="s">
        <v>11936</v>
      </c>
      <c r="M1293" s="10">
        <v>1</v>
      </c>
      <c r="N1293" s="10"/>
      <c r="O1293" s="10"/>
      <c r="P1293" s="10" t="s">
        <v>11937</v>
      </c>
      <c r="Q1293" s="10">
        <v>362</v>
      </c>
      <c r="R1293" s="10" t="s">
        <v>11938</v>
      </c>
      <c r="S1293" s="10" t="s">
        <v>53</v>
      </c>
      <c r="T1293" s="10" t="s">
        <v>8368</v>
      </c>
    </row>
    <row r="1294" spans="1:20" ht="14.5" x14ac:dyDescent="0.35">
      <c r="A1294" s="10" t="s">
        <v>11939</v>
      </c>
      <c r="B1294" s="10" t="str">
        <f>"9781843104773"</f>
        <v>9781843104773</v>
      </c>
      <c r="C1294" s="10" t="str">
        <f>"9781846425998"</f>
        <v>9781846425998</v>
      </c>
      <c r="D1294" s="10" t="s">
        <v>10516</v>
      </c>
      <c r="E1294" s="10" t="s">
        <v>10516</v>
      </c>
      <c r="F1294" s="10" t="s">
        <v>139</v>
      </c>
      <c r="G1294" s="10" t="s">
        <v>6352</v>
      </c>
      <c r="H1294" s="11">
        <v>39128</v>
      </c>
      <c r="I1294" s="10">
        <v>2007</v>
      </c>
      <c r="J1294" s="10" t="s">
        <v>10516</v>
      </c>
      <c r="K1294" s="10">
        <v>55</v>
      </c>
      <c r="L1294" s="10" t="s">
        <v>11907</v>
      </c>
      <c r="M1294" s="10">
        <v>1</v>
      </c>
      <c r="N1294" s="10"/>
      <c r="O1294" s="10"/>
      <c r="P1294" s="10" t="s">
        <v>11940</v>
      </c>
      <c r="Q1294" s="10">
        <v>362.4</v>
      </c>
      <c r="R1294" s="10" t="s">
        <v>11941</v>
      </c>
      <c r="S1294" s="10" t="s">
        <v>53</v>
      </c>
      <c r="T1294" s="10" t="s">
        <v>6363</v>
      </c>
    </row>
    <row r="1295" spans="1:20" ht="14.5" x14ac:dyDescent="0.35">
      <c r="A1295" s="10" t="s">
        <v>11942</v>
      </c>
      <c r="B1295" s="10" t="str">
        <f>"9781843105282"</f>
        <v>9781843105282</v>
      </c>
      <c r="C1295" s="10" t="str">
        <f>"9781846426001"</f>
        <v>9781846426001</v>
      </c>
      <c r="D1295" s="10" t="s">
        <v>10516</v>
      </c>
      <c r="E1295" s="10" t="s">
        <v>10516</v>
      </c>
      <c r="F1295" s="10" t="s">
        <v>139</v>
      </c>
      <c r="G1295" s="10" t="s">
        <v>6352</v>
      </c>
      <c r="H1295" s="11">
        <v>39187</v>
      </c>
      <c r="I1295" s="10">
        <v>2007</v>
      </c>
      <c r="J1295" s="10" t="s">
        <v>10516</v>
      </c>
      <c r="K1295" s="10">
        <v>163</v>
      </c>
      <c r="L1295" s="10" t="s">
        <v>11943</v>
      </c>
      <c r="M1295" s="10">
        <v>1</v>
      </c>
      <c r="N1295" s="10" t="s">
        <v>11944</v>
      </c>
      <c r="O1295" s="10"/>
      <c r="P1295" s="10" t="s">
        <v>11945</v>
      </c>
      <c r="Q1295" s="10">
        <v>371.39499999999998</v>
      </c>
      <c r="R1295" s="10"/>
      <c r="S1295" s="10" t="s">
        <v>53</v>
      </c>
      <c r="T1295" s="10" t="s">
        <v>54</v>
      </c>
    </row>
    <row r="1296" spans="1:20" ht="14.5" x14ac:dyDescent="0.35">
      <c r="A1296" s="10" t="s">
        <v>11946</v>
      </c>
      <c r="B1296" s="10" t="str">
        <f>"9781843103547"</f>
        <v>9781843103547</v>
      </c>
      <c r="C1296" s="10" t="str">
        <f>"9781846426179"</f>
        <v>9781846426179</v>
      </c>
      <c r="D1296" s="10" t="s">
        <v>10516</v>
      </c>
      <c r="E1296" s="10" t="s">
        <v>10516</v>
      </c>
      <c r="F1296" s="10" t="s">
        <v>139</v>
      </c>
      <c r="G1296" s="10" t="s">
        <v>6352</v>
      </c>
      <c r="H1296" s="11">
        <v>39156</v>
      </c>
      <c r="I1296" s="10">
        <v>2007</v>
      </c>
      <c r="J1296" s="10" t="s">
        <v>10516</v>
      </c>
      <c r="K1296" s="10">
        <v>312</v>
      </c>
      <c r="L1296" s="10" t="s">
        <v>11947</v>
      </c>
      <c r="M1296" s="10">
        <v>1</v>
      </c>
      <c r="N1296" s="10"/>
      <c r="O1296" s="10"/>
      <c r="P1296" s="10" t="s">
        <v>11948</v>
      </c>
      <c r="Q1296" s="10" t="s">
        <v>11949</v>
      </c>
      <c r="R1296" s="10" t="s">
        <v>11950</v>
      </c>
      <c r="S1296" s="10" t="s">
        <v>53</v>
      </c>
      <c r="T1296" s="10" t="s">
        <v>6363</v>
      </c>
    </row>
    <row r="1297" spans="1:20" ht="14.5" x14ac:dyDescent="0.35">
      <c r="A1297" s="10" t="s">
        <v>11951</v>
      </c>
      <c r="B1297" s="10" t="str">
        <f>"9781843104766"</f>
        <v>9781843104766</v>
      </c>
      <c r="C1297" s="10" t="str">
        <f>"9781846425974"</f>
        <v>9781846425974</v>
      </c>
      <c r="D1297" s="10" t="s">
        <v>10516</v>
      </c>
      <c r="E1297" s="10" t="s">
        <v>10516</v>
      </c>
      <c r="F1297" s="10" t="s">
        <v>139</v>
      </c>
      <c r="G1297" s="10" t="s">
        <v>6352</v>
      </c>
      <c r="H1297" s="11">
        <v>39128</v>
      </c>
      <c r="I1297" s="10">
        <v>2007</v>
      </c>
      <c r="J1297" s="10" t="s">
        <v>10516</v>
      </c>
      <c r="K1297" s="10">
        <v>54</v>
      </c>
      <c r="L1297" s="10" t="s">
        <v>11907</v>
      </c>
      <c r="M1297" s="10">
        <v>1</v>
      </c>
      <c r="N1297" s="10"/>
      <c r="O1297" s="10"/>
      <c r="P1297" s="10" t="s">
        <v>11952</v>
      </c>
      <c r="Q1297" s="10">
        <v>362</v>
      </c>
      <c r="R1297" s="10" t="s">
        <v>11953</v>
      </c>
      <c r="S1297" s="10" t="s">
        <v>53</v>
      </c>
      <c r="T1297" s="10" t="s">
        <v>8493</v>
      </c>
    </row>
    <row r="1298" spans="1:20" ht="14.5" x14ac:dyDescent="0.35">
      <c r="A1298" s="10" t="s">
        <v>11954</v>
      </c>
      <c r="B1298" s="10" t="str">
        <f>"9781843103066"</f>
        <v>9781843103066</v>
      </c>
      <c r="C1298" s="10" t="str">
        <f>"9781846426117"</f>
        <v>9781846426117</v>
      </c>
      <c r="D1298" s="10" t="s">
        <v>10516</v>
      </c>
      <c r="E1298" s="10" t="s">
        <v>10516</v>
      </c>
      <c r="F1298" s="10" t="s">
        <v>139</v>
      </c>
      <c r="G1298" s="10" t="s">
        <v>6352</v>
      </c>
      <c r="H1298" s="11">
        <v>39187</v>
      </c>
      <c r="I1298" s="10">
        <v>2007</v>
      </c>
      <c r="J1298" s="10" t="s">
        <v>10516</v>
      </c>
      <c r="K1298" s="10">
        <v>128</v>
      </c>
      <c r="L1298" s="10" t="s">
        <v>11955</v>
      </c>
      <c r="M1298" s="10">
        <v>1</v>
      </c>
      <c r="N1298" s="10"/>
      <c r="O1298" s="10"/>
      <c r="P1298" s="10" t="s">
        <v>11956</v>
      </c>
      <c r="Q1298" s="10">
        <v>371.94</v>
      </c>
      <c r="R1298" s="10" t="s">
        <v>11957</v>
      </c>
      <c r="S1298" s="10" t="s">
        <v>53</v>
      </c>
      <c r="T1298" s="10" t="s">
        <v>54</v>
      </c>
    </row>
    <row r="1299" spans="1:20" ht="14.5" x14ac:dyDescent="0.35">
      <c r="A1299" s="10" t="s">
        <v>11958</v>
      </c>
      <c r="B1299" s="10" t="str">
        <f>"9781843108443"</f>
        <v>9781843108443</v>
      </c>
      <c r="C1299" s="10" t="str">
        <f>"9781846425875"</f>
        <v>9781846425875</v>
      </c>
      <c r="D1299" s="10" t="s">
        <v>10516</v>
      </c>
      <c r="E1299" s="10" t="s">
        <v>10516</v>
      </c>
      <c r="F1299" s="10" t="s">
        <v>139</v>
      </c>
      <c r="G1299" s="10" t="s">
        <v>6352</v>
      </c>
      <c r="H1299" s="11">
        <v>39097</v>
      </c>
      <c r="I1299" s="10">
        <v>2007</v>
      </c>
      <c r="J1299" s="10" t="s">
        <v>10516</v>
      </c>
      <c r="K1299" s="10">
        <v>219</v>
      </c>
      <c r="L1299" s="10" t="s">
        <v>11959</v>
      </c>
      <c r="M1299" s="10">
        <v>1</v>
      </c>
      <c r="N1299" s="10"/>
      <c r="O1299" s="10"/>
      <c r="P1299" s="10" t="s">
        <v>11960</v>
      </c>
      <c r="Q1299" s="10" t="s">
        <v>10667</v>
      </c>
      <c r="R1299" s="10" t="s">
        <v>11961</v>
      </c>
      <c r="S1299" s="10" t="s">
        <v>53</v>
      </c>
      <c r="T1299" s="10" t="s">
        <v>8681</v>
      </c>
    </row>
    <row r="1300" spans="1:20" ht="14.5" x14ac:dyDescent="0.35">
      <c r="A1300" s="10" t="s">
        <v>11962</v>
      </c>
      <c r="B1300" s="10" t="str">
        <f>"9781843108528"</f>
        <v>9781843108528</v>
      </c>
      <c r="C1300" s="10" t="str">
        <f>"9781846426537"</f>
        <v>9781846426537</v>
      </c>
      <c r="D1300" s="10" t="s">
        <v>10516</v>
      </c>
      <c r="E1300" s="10" t="s">
        <v>10516</v>
      </c>
      <c r="F1300" s="10" t="s">
        <v>139</v>
      </c>
      <c r="G1300" s="10" t="s">
        <v>6352</v>
      </c>
      <c r="H1300" s="11">
        <v>39217</v>
      </c>
      <c r="I1300" s="10">
        <v>2007</v>
      </c>
      <c r="J1300" s="10" t="s">
        <v>10516</v>
      </c>
      <c r="K1300" s="10">
        <v>201</v>
      </c>
      <c r="L1300" s="10" t="s">
        <v>11963</v>
      </c>
      <c r="M1300" s="10">
        <v>1</v>
      </c>
      <c r="N1300" s="10"/>
      <c r="O1300" s="10"/>
      <c r="P1300" s="10" t="s">
        <v>11964</v>
      </c>
      <c r="Q1300" s="10"/>
      <c r="R1300" s="10" t="s">
        <v>11965</v>
      </c>
      <c r="S1300" s="10" t="s">
        <v>53</v>
      </c>
      <c r="T1300" s="10" t="s">
        <v>8681</v>
      </c>
    </row>
    <row r="1301" spans="1:20" ht="14.5" x14ac:dyDescent="0.35">
      <c r="A1301" s="10" t="s">
        <v>11966</v>
      </c>
      <c r="B1301" s="10" t="str">
        <f>"9781843105237"</f>
        <v>9781843105237</v>
      </c>
      <c r="C1301" s="10" t="str">
        <f>"9781846426070"</f>
        <v>9781846426070</v>
      </c>
      <c r="D1301" s="10" t="s">
        <v>10516</v>
      </c>
      <c r="E1301" s="10" t="s">
        <v>10516</v>
      </c>
      <c r="F1301" s="10" t="s">
        <v>139</v>
      </c>
      <c r="G1301" s="10" t="s">
        <v>6352</v>
      </c>
      <c r="H1301" s="11">
        <v>39128</v>
      </c>
      <c r="I1301" s="10">
        <v>2007</v>
      </c>
      <c r="J1301" s="10" t="s">
        <v>10516</v>
      </c>
      <c r="K1301" s="10">
        <v>270</v>
      </c>
      <c r="L1301" s="10" t="s">
        <v>11967</v>
      </c>
      <c r="M1301" s="10">
        <v>1</v>
      </c>
      <c r="N1301" s="10"/>
      <c r="O1301" s="10"/>
      <c r="P1301" s="10" t="s">
        <v>11968</v>
      </c>
      <c r="Q1301" s="10" t="s">
        <v>11969</v>
      </c>
      <c r="R1301" s="10" t="s">
        <v>11970</v>
      </c>
      <c r="S1301" s="10" t="s">
        <v>53</v>
      </c>
      <c r="T1301" s="10" t="s">
        <v>10311</v>
      </c>
    </row>
    <row r="1302" spans="1:20" ht="14.5" x14ac:dyDescent="0.35">
      <c r="A1302" s="10" t="s">
        <v>11971</v>
      </c>
      <c r="B1302" s="10" t="str">
        <f>"9781412920209"</f>
        <v>9781412920209</v>
      </c>
      <c r="C1302" s="10" t="str">
        <f>"9781847878731"</f>
        <v>9781847878731</v>
      </c>
      <c r="D1302" s="10" t="s">
        <v>9325</v>
      </c>
      <c r="E1302" s="10" t="s">
        <v>9326</v>
      </c>
      <c r="F1302" s="10" t="s">
        <v>139</v>
      </c>
      <c r="G1302" s="10" t="s">
        <v>6352</v>
      </c>
      <c r="H1302" s="11">
        <v>39135</v>
      </c>
      <c r="I1302" s="10">
        <v>2007</v>
      </c>
      <c r="J1302" s="10" t="s">
        <v>9326</v>
      </c>
      <c r="K1302" s="10">
        <v>73</v>
      </c>
      <c r="L1302" s="10" t="s">
        <v>11972</v>
      </c>
      <c r="M1302" s="10">
        <v>1</v>
      </c>
      <c r="N1302" s="10" t="s">
        <v>11973</v>
      </c>
      <c r="O1302" s="10"/>
      <c r="P1302" s="10" t="s">
        <v>11974</v>
      </c>
      <c r="Q1302" s="10" t="s">
        <v>11975</v>
      </c>
      <c r="R1302" s="10" t="s">
        <v>11976</v>
      </c>
      <c r="S1302" s="10" t="s">
        <v>53</v>
      </c>
      <c r="T1302" s="10" t="s">
        <v>54</v>
      </c>
    </row>
    <row r="1303" spans="1:20" ht="14.5" x14ac:dyDescent="0.35">
      <c r="A1303" s="10" t="s">
        <v>11977</v>
      </c>
      <c r="B1303" s="10" t="str">
        <f>"9781412902908"</f>
        <v>9781412902908</v>
      </c>
      <c r="C1303" s="10" t="str">
        <f>"9781847871664"</f>
        <v>9781847871664</v>
      </c>
      <c r="D1303" s="10" t="s">
        <v>9325</v>
      </c>
      <c r="E1303" s="10" t="s">
        <v>9326</v>
      </c>
      <c r="F1303" s="10" t="s">
        <v>139</v>
      </c>
      <c r="G1303" s="10" t="s">
        <v>6352</v>
      </c>
      <c r="H1303" s="11">
        <v>38643</v>
      </c>
      <c r="I1303" s="10">
        <v>2005</v>
      </c>
      <c r="J1303" s="10" t="s">
        <v>9326</v>
      </c>
      <c r="K1303" s="10">
        <v>173</v>
      </c>
      <c r="L1303" s="10" t="s">
        <v>11978</v>
      </c>
      <c r="M1303" s="10">
        <v>1</v>
      </c>
      <c r="N1303" s="10" t="s">
        <v>9419</v>
      </c>
      <c r="O1303" s="10"/>
      <c r="P1303" s="10" t="s">
        <v>11979</v>
      </c>
      <c r="Q1303" s="10">
        <v>371.20699999999999</v>
      </c>
      <c r="R1303" s="10" t="s">
        <v>7034</v>
      </c>
      <c r="S1303" s="10" t="s">
        <v>53</v>
      </c>
      <c r="T1303" s="10" t="s">
        <v>54</v>
      </c>
    </row>
    <row r="1304" spans="1:20" ht="14.5" x14ac:dyDescent="0.35">
      <c r="A1304" s="10" t="s">
        <v>11980</v>
      </c>
      <c r="B1304" s="10" t="str">
        <f>"9781412919630"</f>
        <v>9781412919630</v>
      </c>
      <c r="C1304" s="10" t="str">
        <f>"9781848605398"</f>
        <v>9781848605398</v>
      </c>
      <c r="D1304" s="10" t="s">
        <v>9325</v>
      </c>
      <c r="E1304" s="10" t="s">
        <v>9326</v>
      </c>
      <c r="F1304" s="10" t="s">
        <v>139</v>
      </c>
      <c r="G1304" s="10" t="s">
        <v>6352</v>
      </c>
      <c r="H1304" s="11">
        <v>38919</v>
      </c>
      <c r="I1304" s="10">
        <v>2006</v>
      </c>
      <c r="J1304" s="10" t="s">
        <v>9326</v>
      </c>
      <c r="K1304" s="10">
        <v>269</v>
      </c>
      <c r="L1304" s="10" t="s">
        <v>11981</v>
      </c>
      <c r="M1304" s="10">
        <v>1</v>
      </c>
      <c r="N1304" s="10" t="s">
        <v>11973</v>
      </c>
      <c r="O1304" s="10"/>
      <c r="P1304" s="10" t="s">
        <v>11982</v>
      </c>
      <c r="Q1304" s="10">
        <v>370.11500000000001</v>
      </c>
      <c r="R1304" s="10" t="s">
        <v>11983</v>
      </c>
      <c r="S1304" s="10" t="s">
        <v>53</v>
      </c>
      <c r="T1304" s="10" t="s">
        <v>54</v>
      </c>
    </row>
    <row r="1305" spans="1:20" ht="14.5" x14ac:dyDescent="0.35">
      <c r="A1305" s="10" t="s">
        <v>11984</v>
      </c>
      <c r="B1305" s="10" t="str">
        <f>"9781412910385"</f>
        <v>9781412910385</v>
      </c>
      <c r="C1305" s="10" t="str">
        <f>"9781847878212"</f>
        <v>9781847878212</v>
      </c>
      <c r="D1305" s="10" t="s">
        <v>9325</v>
      </c>
      <c r="E1305" s="10" t="s">
        <v>9326</v>
      </c>
      <c r="F1305" s="10" t="s">
        <v>139</v>
      </c>
      <c r="G1305" s="10" t="s">
        <v>6352</v>
      </c>
      <c r="H1305" s="11">
        <v>38628</v>
      </c>
      <c r="I1305" s="10">
        <v>2005</v>
      </c>
      <c r="J1305" s="10" t="s">
        <v>9326</v>
      </c>
      <c r="K1305" s="10">
        <v>143</v>
      </c>
      <c r="L1305" s="10" t="s">
        <v>11985</v>
      </c>
      <c r="M1305" s="10">
        <v>1</v>
      </c>
      <c r="N1305" s="10"/>
      <c r="O1305" s="10"/>
      <c r="P1305" s="10" t="s">
        <v>11986</v>
      </c>
      <c r="Q1305" s="10">
        <v>371.91660940999998</v>
      </c>
      <c r="R1305" s="10" t="s">
        <v>11987</v>
      </c>
      <c r="S1305" s="10" t="s">
        <v>53</v>
      </c>
      <c r="T1305" s="10" t="s">
        <v>54</v>
      </c>
    </row>
    <row r="1306" spans="1:20" ht="14.5" x14ac:dyDescent="0.35">
      <c r="A1306" s="10" t="s">
        <v>11988</v>
      </c>
      <c r="B1306" s="10" t="str">
        <f>"9780761940852"</f>
        <v>9780761940852</v>
      </c>
      <c r="C1306" s="10" t="str">
        <f>"9781847877406"</f>
        <v>9781847877406</v>
      </c>
      <c r="D1306" s="10" t="s">
        <v>9325</v>
      </c>
      <c r="E1306" s="10" t="s">
        <v>9326</v>
      </c>
      <c r="F1306" s="10" t="s">
        <v>139</v>
      </c>
      <c r="G1306" s="10" t="s">
        <v>6352</v>
      </c>
      <c r="H1306" s="11">
        <v>37957</v>
      </c>
      <c r="I1306" s="10">
        <v>2004</v>
      </c>
      <c r="J1306" s="10" t="s">
        <v>9326</v>
      </c>
      <c r="K1306" s="10">
        <v>212</v>
      </c>
      <c r="L1306" s="10" t="s">
        <v>7244</v>
      </c>
      <c r="M1306" s="10">
        <v>1</v>
      </c>
      <c r="N1306" s="10"/>
      <c r="O1306" s="10"/>
      <c r="P1306" s="10" t="s">
        <v>11989</v>
      </c>
      <c r="Q1306" s="10">
        <v>370.15339999999998</v>
      </c>
      <c r="R1306" s="10" t="s">
        <v>6392</v>
      </c>
      <c r="S1306" s="10" t="s">
        <v>53</v>
      </c>
      <c r="T1306" s="10" t="s">
        <v>54</v>
      </c>
    </row>
    <row r="1307" spans="1:20" ht="14.5" x14ac:dyDescent="0.35">
      <c r="A1307" s="10" t="s">
        <v>11990</v>
      </c>
      <c r="B1307" s="10" t="str">
        <f>"9781412912778"</f>
        <v>9781412912778</v>
      </c>
      <c r="C1307" s="10" t="str">
        <f>"9781847878243"</f>
        <v>9781847878243</v>
      </c>
      <c r="D1307" s="10" t="s">
        <v>9325</v>
      </c>
      <c r="E1307" s="10" t="s">
        <v>9326</v>
      </c>
      <c r="F1307" s="10" t="s">
        <v>139</v>
      </c>
      <c r="G1307" s="10" t="s">
        <v>6352</v>
      </c>
      <c r="H1307" s="11">
        <v>38994</v>
      </c>
      <c r="I1307" s="10">
        <v>2006</v>
      </c>
      <c r="J1307" s="10" t="s">
        <v>9326</v>
      </c>
      <c r="K1307" s="10">
        <v>115</v>
      </c>
      <c r="L1307" s="10" t="s">
        <v>11991</v>
      </c>
      <c r="M1307" s="10">
        <v>1</v>
      </c>
      <c r="N1307" s="10" t="s">
        <v>11992</v>
      </c>
      <c r="O1307" s="10"/>
      <c r="P1307" s="10" t="s">
        <v>11993</v>
      </c>
      <c r="Q1307" s="10">
        <v>370.72</v>
      </c>
      <c r="R1307" s="10" t="s">
        <v>7283</v>
      </c>
      <c r="S1307" s="10" t="s">
        <v>53</v>
      </c>
      <c r="T1307" s="10" t="s">
        <v>54</v>
      </c>
    </row>
    <row r="1308" spans="1:20" ht="14.5" x14ac:dyDescent="0.35">
      <c r="A1308" s="10" t="s">
        <v>11994</v>
      </c>
      <c r="B1308" s="10" t="str">
        <f>"9780761942078"</f>
        <v>9780761942078</v>
      </c>
      <c r="C1308" s="10" t="str">
        <f>"9781847877451"</f>
        <v>9781847877451</v>
      </c>
      <c r="D1308" s="10" t="s">
        <v>9325</v>
      </c>
      <c r="E1308" s="10" t="s">
        <v>9326</v>
      </c>
      <c r="F1308" s="10" t="s">
        <v>139</v>
      </c>
      <c r="G1308" s="10" t="s">
        <v>6352</v>
      </c>
      <c r="H1308" s="11">
        <v>38959</v>
      </c>
      <c r="I1308" s="10">
        <v>2006</v>
      </c>
      <c r="J1308" s="10" t="s">
        <v>9326</v>
      </c>
      <c r="K1308" s="10">
        <v>239</v>
      </c>
      <c r="L1308" s="10" t="s">
        <v>11995</v>
      </c>
      <c r="M1308" s="10">
        <v>1</v>
      </c>
      <c r="N1308" s="10" t="s">
        <v>11996</v>
      </c>
      <c r="O1308" s="10"/>
      <c r="P1308" s="10" t="s">
        <v>11997</v>
      </c>
      <c r="Q1308" s="10" t="s">
        <v>11998</v>
      </c>
      <c r="R1308" s="10" t="s">
        <v>11999</v>
      </c>
      <c r="S1308" s="10" t="s">
        <v>53</v>
      </c>
      <c r="T1308" s="10" t="s">
        <v>54</v>
      </c>
    </row>
    <row r="1309" spans="1:20" ht="14.5" x14ac:dyDescent="0.35">
      <c r="A1309" s="10" t="s">
        <v>12000</v>
      </c>
      <c r="B1309" s="10" t="str">
        <f>"9780761967439"</f>
        <v>9780761967439</v>
      </c>
      <c r="C1309" s="10" t="str">
        <f>"9781847877185"</f>
        <v>9781847877185</v>
      </c>
      <c r="D1309" s="10" t="s">
        <v>9325</v>
      </c>
      <c r="E1309" s="10" t="s">
        <v>9326</v>
      </c>
      <c r="F1309" s="10" t="s">
        <v>139</v>
      </c>
      <c r="G1309" s="10" t="s">
        <v>6352</v>
      </c>
      <c r="H1309" s="11">
        <v>38729</v>
      </c>
      <c r="I1309" s="10">
        <v>2006</v>
      </c>
      <c r="J1309" s="10" t="s">
        <v>9326</v>
      </c>
      <c r="K1309" s="10">
        <v>225</v>
      </c>
      <c r="L1309" s="10" t="s">
        <v>12001</v>
      </c>
      <c r="M1309" s="10">
        <v>1</v>
      </c>
      <c r="N1309" s="10"/>
      <c r="O1309" s="10"/>
      <c r="P1309" s="10" t="s">
        <v>12002</v>
      </c>
      <c r="Q1309" s="10">
        <v>371.2</v>
      </c>
      <c r="R1309" s="10" t="s">
        <v>6932</v>
      </c>
      <c r="S1309" s="10" t="s">
        <v>53</v>
      </c>
      <c r="T1309" s="10" t="s">
        <v>54</v>
      </c>
    </row>
    <row r="1310" spans="1:20" ht="14.5" x14ac:dyDescent="0.35">
      <c r="A1310" s="10" t="s">
        <v>12003</v>
      </c>
      <c r="B1310" s="10" t="str">
        <f>"9780761971696"</f>
        <v>9780761971696</v>
      </c>
      <c r="C1310" s="10" t="str">
        <f>"9781847876331"</f>
        <v>9781847876331</v>
      </c>
      <c r="D1310" s="10" t="s">
        <v>9325</v>
      </c>
      <c r="E1310" s="10" t="s">
        <v>9326</v>
      </c>
      <c r="F1310" s="10" t="s">
        <v>139</v>
      </c>
      <c r="G1310" s="10" t="s">
        <v>6352</v>
      </c>
      <c r="H1310" s="11">
        <v>38545</v>
      </c>
      <c r="I1310" s="10">
        <v>2005</v>
      </c>
      <c r="J1310" s="10" t="s">
        <v>9326</v>
      </c>
      <c r="K1310" s="10">
        <v>233</v>
      </c>
      <c r="L1310" s="10" t="s">
        <v>12004</v>
      </c>
      <c r="M1310" s="10">
        <v>1</v>
      </c>
      <c r="N1310" s="10"/>
      <c r="O1310" s="10"/>
      <c r="P1310" s="10" t="s">
        <v>12005</v>
      </c>
      <c r="Q1310" s="10">
        <v>371.2011</v>
      </c>
      <c r="R1310" s="10" t="s">
        <v>12006</v>
      </c>
      <c r="S1310" s="10" t="s">
        <v>53</v>
      </c>
      <c r="T1310" s="10" t="s">
        <v>54</v>
      </c>
    </row>
    <row r="1311" spans="1:20" ht="14.5" x14ac:dyDescent="0.35">
      <c r="A1311" s="10" t="s">
        <v>12007</v>
      </c>
      <c r="B1311" s="10" t="str">
        <f>"9780761967767"</f>
        <v>9780761967767</v>
      </c>
      <c r="C1311" s="10" t="str">
        <f>"9781847877192"</f>
        <v>9781847877192</v>
      </c>
      <c r="D1311" s="10" t="s">
        <v>9325</v>
      </c>
      <c r="E1311" s="10" t="s">
        <v>9326</v>
      </c>
      <c r="F1311" s="10" t="s">
        <v>139</v>
      </c>
      <c r="G1311" s="10" t="s">
        <v>6352</v>
      </c>
      <c r="H1311" s="11">
        <v>38143</v>
      </c>
      <c r="I1311" s="10">
        <v>2004</v>
      </c>
      <c r="J1311" s="10" t="s">
        <v>9326</v>
      </c>
      <c r="K1311" s="10">
        <v>239</v>
      </c>
      <c r="L1311" s="10" t="s">
        <v>12008</v>
      </c>
      <c r="M1311" s="10">
        <v>1</v>
      </c>
      <c r="N1311" s="10" t="s">
        <v>9336</v>
      </c>
      <c r="O1311" s="10"/>
      <c r="P1311" s="10" t="s">
        <v>12009</v>
      </c>
      <c r="Q1311" s="10" t="s">
        <v>12010</v>
      </c>
      <c r="R1311" s="10" t="s">
        <v>6932</v>
      </c>
      <c r="S1311" s="10" t="s">
        <v>53</v>
      </c>
      <c r="T1311" s="10" t="s">
        <v>54</v>
      </c>
    </row>
    <row r="1312" spans="1:20" ht="14.5" x14ac:dyDescent="0.35">
      <c r="A1312" s="10" t="s">
        <v>12011</v>
      </c>
      <c r="B1312" s="10" t="str">
        <f>"9780761974192"</f>
        <v>9780761974192</v>
      </c>
      <c r="C1312" s="10" t="str">
        <f>"9781847876454"</f>
        <v>9781847876454</v>
      </c>
      <c r="D1312" s="10" t="s">
        <v>9325</v>
      </c>
      <c r="E1312" s="10" t="s">
        <v>9326</v>
      </c>
      <c r="F1312" s="10" t="s">
        <v>139</v>
      </c>
      <c r="G1312" s="10" t="s">
        <v>6352</v>
      </c>
      <c r="H1312" s="11">
        <v>37337</v>
      </c>
      <c r="I1312" s="10">
        <v>2002</v>
      </c>
      <c r="J1312" s="10" t="s">
        <v>9326</v>
      </c>
      <c r="K1312" s="10">
        <v>189</v>
      </c>
      <c r="L1312" s="10" t="s">
        <v>9057</v>
      </c>
      <c r="M1312" s="10">
        <v>1</v>
      </c>
      <c r="N1312" s="10"/>
      <c r="O1312" s="10"/>
      <c r="P1312" s="10" t="s">
        <v>12012</v>
      </c>
      <c r="Q1312" s="10">
        <v>370.72</v>
      </c>
      <c r="R1312" s="10" t="s">
        <v>7852</v>
      </c>
      <c r="S1312" s="10" t="s">
        <v>53</v>
      </c>
      <c r="T1312" s="10" t="s">
        <v>54</v>
      </c>
    </row>
    <row r="1313" spans="1:20" ht="14.5" x14ac:dyDescent="0.35">
      <c r="A1313" s="10" t="s">
        <v>12013</v>
      </c>
      <c r="B1313" s="10" t="str">
        <f>"9781412919647"</f>
        <v>9781412919647</v>
      </c>
      <c r="C1313" s="10" t="str">
        <f>"9781848605473"</f>
        <v>9781848605473</v>
      </c>
      <c r="D1313" s="10" t="s">
        <v>9325</v>
      </c>
      <c r="E1313" s="10" t="s">
        <v>9326</v>
      </c>
      <c r="F1313" s="10" t="s">
        <v>139</v>
      </c>
      <c r="G1313" s="10" t="s">
        <v>6352</v>
      </c>
      <c r="H1313" s="11">
        <v>38939</v>
      </c>
      <c r="I1313" s="10">
        <v>2006</v>
      </c>
      <c r="J1313" s="10" t="s">
        <v>9326</v>
      </c>
      <c r="K1313" s="10">
        <v>380</v>
      </c>
      <c r="L1313" s="10" t="s">
        <v>11981</v>
      </c>
      <c r="M1313" s="10">
        <v>1</v>
      </c>
      <c r="N1313" s="10" t="s">
        <v>11973</v>
      </c>
      <c r="O1313" s="10"/>
      <c r="P1313" s="10" t="s">
        <v>12014</v>
      </c>
      <c r="Q1313" s="10">
        <v>370.11500000000001</v>
      </c>
      <c r="R1313" s="10" t="s">
        <v>11983</v>
      </c>
      <c r="S1313" s="10" t="s">
        <v>53</v>
      </c>
      <c r="T1313" s="10" t="s">
        <v>12015</v>
      </c>
    </row>
    <row r="1314" spans="1:20" ht="14.5" x14ac:dyDescent="0.35">
      <c r="A1314" s="10" t="s">
        <v>12016</v>
      </c>
      <c r="B1314" s="10" t="str">
        <f>"9780761943105"</f>
        <v>9780761943105</v>
      </c>
      <c r="C1314" s="10" t="str">
        <f>"9781847877567"</f>
        <v>9781847877567</v>
      </c>
      <c r="D1314" s="10" t="s">
        <v>9325</v>
      </c>
      <c r="E1314" s="10" t="s">
        <v>9326</v>
      </c>
      <c r="F1314" s="10" t="s">
        <v>139</v>
      </c>
      <c r="G1314" s="10" t="s">
        <v>6352</v>
      </c>
      <c r="H1314" s="11">
        <v>37733</v>
      </c>
      <c r="I1314" s="10">
        <v>2003</v>
      </c>
      <c r="J1314" s="10" t="s">
        <v>9326</v>
      </c>
      <c r="K1314" s="10">
        <v>140</v>
      </c>
      <c r="L1314" s="10" t="s">
        <v>12017</v>
      </c>
      <c r="M1314" s="10">
        <v>2</v>
      </c>
      <c r="N1314" s="10" t="s">
        <v>9396</v>
      </c>
      <c r="O1314" s="10"/>
      <c r="P1314" s="10" t="s">
        <v>12018</v>
      </c>
      <c r="Q1314" s="10" t="s">
        <v>9356</v>
      </c>
      <c r="R1314" s="10" t="s">
        <v>12019</v>
      </c>
      <c r="S1314" s="10" t="s">
        <v>53</v>
      </c>
      <c r="T1314" s="10" t="s">
        <v>54</v>
      </c>
    </row>
    <row r="1315" spans="1:20" ht="14.5" x14ac:dyDescent="0.35">
      <c r="A1315" s="10" t="s">
        <v>12020</v>
      </c>
      <c r="B1315" s="10" t="str">
        <f>"9781412928892"</f>
        <v>9781412928892</v>
      </c>
      <c r="C1315" s="10" t="str">
        <f>"9781847878861"</f>
        <v>9781847878861</v>
      </c>
      <c r="D1315" s="10" t="s">
        <v>9325</v>
      </c>
      <c r="E1315" s="10" t="s">
        <v>9326</v>
      </c>
      <c r="F1315" s="10" t="s">
        <v>139</v>
      </c>
      <c r="G1315" s="10" t="s">
        <v>6352</v>
      </c>
      <c r="H1315" s="11">
        <v>39024</v>
      </c>
      <c r="I1315" s="10">
        <v>2007</v>
      </c>
      <c r="J1315" s="10" t="s">
        <v>9326</v>
      </c>
      <c r="K1315" s="10">
        <v>121</v>
      </c>
      <c r="L1315" s="10" t="s">
        <v>12017</v>
      </c>
      <c r="M1315" s="10">
        <v>1</v>
      </c>
      <c r="N1315" s="10"/>
      <c r="O1315" s="10"/>
      <c r="P1315" s="10" t="s">
        <v>12021</v>
      </c>
      <c r="Q1315" s="10">
        <v>652.10712000000001</v>
      </c>
      <c r="R1315" s="10" t="s">
        <v>12022</v>
      </c>
      <c r="S1315" s="10" t="s">
        <v>53</v>
      </c>
      <c r="T1315" s="10" t="s">
        <v>8760</v>
      </c>
    </row>
    <row r="1316" spans="1:20" ht="14.5" x14ac:dyDescent="0.35">
      <c r="A1316" s="10" t="s">
        <v>12023</v>
      </c>
      <c r="B1316" s="10" t="str">
        <f>"9781412920070"</f>
        <v>9781412920070</v>
      </c>
      <c r="C1316" s="10" t="str">
        <f>"9781847878564"</f>
        <v>9781847878564</v>
      </c>
      <c r="D1316" s="10" t="s">
        <v>9325</v>
      </c>
      <c r="E1316" s="10" t="s">
        <v>9326</v>
      </c>
      <c r="F1316" s="10" t="s">
        <v>139</v>
      </c>
      <c r="G1316" s="10" t="s">
        <v>6352</v>
      </c>
      <c r="H1316" s="11">
        <v>38799</v>
      </c>
      <c r="I1316" s="10">
        <v>2006</v>
      </c>
      <c r="J1316" s="10" t="s">
        <v>9326</v>
      </c>
      <c r="K1316" s="10">
        <v>208</v>
      </c>
      <c r="L1316" s="10" t="s">
        <v>12024</v>
      </c>
      <c r="M1316" s="10">
        <v>1</v>
      </c>
      <c r="N1316" s="10" t="s">
        <v>9336</v>
      </c>
      <c r="O1316" s="10"/>
      <c r="P1316" s="10" t="s">
        <v>12025</v>
      </c>
      <c r="Q1316" s="10" t="s">
        <v>12026</v>
      </c>
      <c r="R1316" s="10" t="s">
        <v>12027</v>
      </c>
      <c r="S1316" s="10" t="s">
        <v>53</v>
      </c>
      <c r="T1316" s="10" t="s">
        <v>54</v>
      </c>
    </row>
    <row r="1317" spans="1:20" ht="14.5" x14ac:dyDescent="0.35">
      <c r="A1317" s="10" t="s">
        <v>12028</v>
      </c>
      <c r="B1317" s="10" t="str">
        <f>"9781412920001"</f>
        <v>9781412920001</v>
      </c>
      <c r="C1317" s="10" t="str">
        <f>"9781847878618"</f>
        <v>9781847878618</v>
      </c>
      <c r="D1317" s="10" t="s">
        <v>9325</v>
      </c>
      <c r="E1317" s="10" t="s">
        <v>9326</v>
      </c>
      <c r="F1317" s="10" t="s">
        <v>139</v>
      </c>
      <c r="G1317" s="10" t="s">
        <v>6352</v>
      </c>
      <c r="H1317" s="11">
        <v>38986</v>
      </c>
      <c r="I1317" s="10">
        <v>2006</v>
      </c>
      <c r="J1317" s="10" t="s">
        <v>9326</v>
      </c>
      <c r="K1317" s="10">
        <v>183</v>
      </c>
      <c r="L1317" s="10" t="s">
        <v>12029</v>
      </c>
      <c r="M1317" s="10">
        <v>1</v>
      </c>
      <c r="N1317" s="10"/>
      <c r="O1317" s="10"/>
      <c r="P1317" s="10" t="s">
        <v>12030</v>
      </c>
      <c r="Q1317" s="10">
        <v>370.11599999999999</v>
      </c>
      <c r="R1317" s="10" t="s">
        <v>12031</v>
      </c>
      <c r="S1317" s="10" t="s">
        <v>53</v>
      </c>
      <c r="T1317" s="10" t="s">
        <v>54</v>
      </c>
    </row>
    <row r="1318" spans="1:20" ht="14.5" x14ac:dyDescent="0.35">
      <c r="A1318" s="10" t="s">
        <v>12032</v>
      </c>
      <c r="B1318" s="10" t="str">
        <f>"9781412900539"</f>
        <v>9781412900539</v>
      </c>
      <c r="C1318" s="10" t="str">
        <f>"9781847877659"</f>
        <v>9781847877659</v>
      </c>
      <c r="D1318" s="10" t="s">
        <v>9325</v>
      </c>
      <c r="E1318" s="10" t="s">
        <v>9326</v>
      </c>
      <c r="F1318" s="10" t="s">
        <v>139</v>
      </c>
      <c r="G1318" s="10" t="s">
        <v>6352</v>
      </c>
      <c r="H1318" s="11">
        <v>38628</v>
      </c>
      <c r="I1318" s="10">
        <v>2005</v>
      </c>
      <c r="J1318" s="10" t="s">
        <v>9326</v>
      </c>
      <c r="K1318" s="10">
        <v>142</v>
      </c>
      <c r="L1318" s="10" t="s">
        <v>12033</v>
      </c>
      <c r="M1318" s="10">
        <v>1</v>
      </c>
      <c r="N1318" s="10" t="s">
        <v>9419</v>
      </c>
      <c r="O1318" s="10"/>
      <c r="P1318" s="10" t="s">
        <v>12034</v>
      </c>
      <c r="Q1318" s="10">
        <v>371.2</v>
      </c>
      <c r="R1318" s="10" t="s">
        <v>7034</v>
      </c>
      <c r="S1318" s="10" t="s">
        <v>53</v>
      </c>
      <c r="T1318" s="10" t="s">
        <v>54</v>
      </c>
    </row>
    <row r="1319" spans="1:20" ht="14.5" x14ac:dyDescent="0.35">
      <c r="A1319" s="10" t="s">
        <v>12035</v>
      </c>
      <c r="B1319" s="10" t="str">
        <f>"9780761972037"</f>
        <v>9780761972037</v>
      </c>
      <c r="C1319" s="10" t="str">
        <f>"9781847876393"</f>
        <v>9781847876393</v>
      </c>
      <c r="D1319" s="10" t="s">
        <v>9325</v>
      </c>
      <c r="E1319" s="10" t="s">
        <v>9326</v>
      </c>
      <c r="F1319" s="10" t="s">
        <v>139</v>
      </c>
      <c r="G1319" s="10" t="s">
        <v>6352</v>
      </c>
      <c r="H1319" s="11">
        <v>37725</v>
      </c>
      <c r="I1319" s="10">
        <v>2003</v>
      </c>
      <c r="J1319" s="10" t="s">
        <v>9326</v>
      </c>
      <c r="K1319" s="10">
        <v>237</v>
      </c>
      <c r="L1319" s="10" t="s">
        <v>12036</v>
      </c>
      <c r="M1319" s="10">
        <v>1</v>
      </c>
      <c r="N1319" s="10" t="s">
        <v>9328</v>
      </c>
      <c r="O1319" s="10"/>
      <c r="P1319" s="10" t="s">
        <v>12037</v>
      </c>
      <c r="Q1319" s="10" t="s">
        <v>12010</v>
      </c>
      <c r="R1319" s="10" t="s">
        <v>7034</v>
      </c>
      <c r="S1319" s="10" t="s">
        <v>53</v>
      </c>
      <c r="T1319" s="10" t="s">
        <v>54</v>
      </c>
    </row>
    <row r="1320" spans="1:20" ht="14.5" x14ac:dyDescent="0.35">
      <c r="A1320" s="10" t="s">
        <v>12038</v>
      </c>
      <c r="B1320" s="10" t="str">
        <f>"9781412922197"</f>
        <v>9781412922197</v>
      </c>
      <c r="C1320" s="10" t="str">
        <f>"9781847878229"</f>
        <v>9781847878229</v>
      </c>
      <c r="D1320" s="10" t="s">
        <v>9325</v>
      </c>
      <c r="E1320" s="10" t="s">
        <v>9326</v>
      </c>
      <c r="F1320" s="10" t="s">
        <v>139</v>
      </c>
      <c r="G1320" s="10" t="s">
        <v>6352</v>
      </c>
      <c r="H1320" s="11">
        <v>38974</v>
      </c>
      <c r="I1320" s="10">
        <v>2006</v>
      </c>
      <c r="J1320" s="10" t="s">
        <v>9326</v>
      </c>
      <c r="K1320" s="10">
        <v>161</v>
      </c>
      <c r="L1320" s="10" t="s">
        <v>12039</v>
      </c>
      <c r="M1320" s="10">
        <v>1</v>
      </c>
      <c r="N1320" s="10"/>
      <c r="O1320" s="10"/>
      <c r="P1320" s="10" t="s">
        <v>12040</v>
      </c>
      <c r="Q1320" s="10">
        <v>370.15230000000003</v>
      </c>
      <c r="R1320" s="10" t="s">
        <v>6832</v>
      </c>
      <c r="S1320" s="10" t="s">
        <v>53</v>
      </c>
      <c r="T1320" s="10" t="s">
        <v>54</v>
      </c>
    </row>
    <row r="1321" spans="1:20" ht="14.5" x14ac:dyDescent="0.35">
      <c r="A1321" s="10" t="s">
        <v>12041</v>
      </c>
      <c r="B1321" s="10" t="str">
        <f>"9781412902953"</f>
        <v>9781412902953</v>
      </c>
      <c r="C1321" s="10" t="str">
        <f>"9781847877895"</f>
        <v>9781847877895</v>
      </c>
      <c r="D1321" s="10" t="s">
        <v>9325</v>
      </c>
      <c r="E1321" s="10" t="s">
        <v>9326</v>
      </c>
      <c r="F1321" s="10" t="s">
        <v>139</v>
      </c>
      <c r="G1321" s="10" t="s">
        <v>6352</v>
      </c>
      <c r="H1321" s="11">
        <v>38846</v>
      </c>
      <c r="I1321" s="10">
        <v>2006</v>
      </c>
      <c r="J1321" s="10" t="s">
        <v>9326</v>
      </c>
      <c r="K1321" s="10">
        <v>143</v>
      </c>
      <c r="L1321" s="10" t="s">
        <v>12042</v>
      </c>
      <c r="M1321" s="10">
        <v>1</v>
      </c>
      <c r="N1321" s="10" t="s">
        <v>12043</v>
      </c>
      <c r="O1321" s="10"/>
      <c r="P1321" s="10" t="s">
        <v>12044</v>
      </c>
      <c r="Q1321" s="10">
        <v>374.13028100000002</v>
      </c>
      <c r="R1321" s="10" t="s">
        <v>6401</v>
      </c>
      <c r="S1321" s="10" t="s">
        <v>53</v>
      </c>
      <c r="T1321" s="10" t="s">
        <v>54</v>
      </c>
    </row>
    <row r="1322" spans="1:20" ht="14.5" x14ac:dyDescent="0.35">
      <c r="A1322" s="10" t="s">
        <v>12045</v>
      </c>
      <c r="B1322" s="10" t="str">
        <f>"9781412919616"</f>
        <v>9781412919616</v>
      </c>
      <c r="C1322" s="10" t="str">
        <f>"9781848605619"</f>
        <v>9781848605619</v>
      </c>
      <c r="D1322" s="10" t="s">
        <v>9325</v>
      </c>
      <c r="E1322" s="10" t="s">
        <v>9326</v>
      </c>
      <c r="F1322" s="10" t="s">
        <v>139</v>
      </c>
      <c r="G1322" s="10" t="s">
        <v>6352</v>
      </c>
      <c r="H1322" s="11">
        <v>38919</v>
      </c>
      <c r="I1322" s="10">
        <v>2006</v>
      </c>
      <c r="J1322" s="10" t="s">
        <v>9326</v>
      </c>
      <c r="K1322" s="10">
        <v>268</v>
      </c>
      <c r="L1322" s="10" t="s">
        <v>11981</v>
      </c>
      <c r="M1322" s="10">
        <v>1</v>
      </c>
      <c r="N1322" s="10" t="s">
        <v>11973</v>
      </c>
      <c r="O1322" s="10"/>
      <c r="P1322" s="10" t="s">
        <v>12046</v>
      </c>
      <c r="Q1322" s="10">
        <v>372.01139999999998</v>
      </c>
      <c r="R1322" s="10" t="s">
        <v>12047</v>
      </c>
      <c r="S1322" s="10" t="s">
        <v>53</v>
      </c>
      <c r="T1322" s="10" t="s">
        <v>54</v>
      </c>
    </row>
    <row r="1323" spans="1:20" ht="14.5" x14ac:dyDescent="0.35">
      <c r="A1323" s="10" t="s">
        <v>12048</v>
      </c>
      <c r="B1323" s="10" t="str">
        <f>"9781412919609"</f>
        <v>9781412919609</v>
      </c>
      <c r="C1323" s="10" t="str">
        <f>"9781848605640"</f>
        <v>9781848605640</v>
      </c>
      <c r="D1323" s="10" t="s">
        <v>9325</v>
      </c>
      <c r="E1323" s="10" t="s">
        <v>9326</v>
      </c>
      <c r="F1323" s="10" t="s">
        <v>139</v>
      </c>
      <c r="G1323" s="10" t="s">
        <v>6352</v>
      </c>
      <c r="H1323" s="11">
        <v>38806</v>
      </c>
      <c r="I1323" s="10">
        <v>2006</v>
      </c>
      <c r="J1323" s="10" t="s">
        <v>9326</v>
      </c>
      <c r="K1323" s="10">
        <v>129</v>
      </c>
      <c r="L1323" s="10" t="s">
        <v>12049</v>
      </c>
      <c r="M1323" s="10">
        <v>1</v>
      </c>
      <c r="N1323" s="10" t="s">
        <v>11973</v>
      </c>
      <c r="O1323" s="10"/>
      <c r="P1323" s="10" t="s">
        <v>12050</v>
      </c>
      <c r="Q1323" s="10">
        <v>362.19892858831997</v>
      </c>
      <c r="R1323" s="10" t="s">
        <v>12051</v>
      </c>
      <c r="S1323" s="10" t="s">
        <v>53</v>
      </c>
      <c r="T1323" s="10" t="s">
        <v>12052</v>
      </c>
    </row>
    <row r="1324" spans="1:20" ht="14.5" x14ac:dyDescent="0.35">
      <c r="A1324" s="10" t="s">
        <v>12053</v>
      </c>
      <c r="B1324" s="10" t="str">
        <f>"9780761974529"</f>
        <v>9780761974529</v>
      </c>
      <c r="C1324" s="10" t="str">
        <f>"9781847876799"</f>
        <v>9781847876799</v>
      </c>
      <c r="D1324" s="10" t="s">
        <v>9325</v>
      </c>
      <c r="E1324" s="10" t="s">
        <v>9326</v>
      </c>
      <c r="F1324" s="10" t="s">
        <v>139</v>
      </c>
      <c r="G1324" s="10" t="s">
        <v>6352</v>
      </c>
      <c r="H1324" s="11">
        <v>37461</v>
      </c>
      <c r="I1324" s="10">
        <v>2002</v>
      </c>
      <c r="J1324" s="10" t="s">
        <v>9326</v>
      </c>
      <c r="K1324" s="10">
        <v>154</v>
      </c>
      <c r="L1324" s="10" t="s">
        <v>6978</v>
      </c>
      <c r="M1324" s="10">
        <v>1</v>
      </c>
      <c r="N1324" s="10"/>
      <c r="O1324" s="10"/>
      <c r="P1324" s="10" t="s">
        <v>12054</v>
      </c>
      <c r="Q1324" s="10">
        <v>379.41</v>
      </c>
      <c r="R1324" s="10" t="s">
        <v>12055</v>
      </c>
      <c r="S1324" s="10" t="s">
        <v>53</v>
      </c>
      <c r="T1324" s="10" t="s">
        <v>54</v>
      </c>
    </row>
    <row r="1325" spans="1:20" ht="14.5" x14ac:dyDescent="0.35">
      <c r="A1325" s="10" t="s">
        <v>12056</v>
      </c>
      <c r="B1325" s="10" t="str">
        <f>"9781412903028"</f>
        <v>9781412903028</v>
      </c>
      <c r="C1325" s="10" t="str">
        <f>"9781446232156"</f>
        <v>9781446232156</v>
      </c>
      <c r="D1325" s="10" t="s">
        <v>9325</v>
      </c>
      <c r="E1325" s="10" t="s">
        <v>9326</v>
      </c>
      <c r="F1325" s="10" t="s">
        <v>139</v>
      </c>
      <c r="G1325" s="10" t="s">
        <v>6352</v>
      </c>
      <c r="H1325" s="11">
        <v>38491</v>
      </c>
      <c r="I1325" s="10">
        <v>2005</v>
      </c>
      <c r="J1325" s="10" t="s">
        <v>9326</v>
      </c>
      <c r="K1325" s="10">
        <v>166</v>
      </c>
      <c r="L1325" s="10" t="s">
        <v>12057</v>
      </c>
      <c r="M1325" s="10">
        <v>1</v>
      </c>
      <c r="N1325" s="10"/>
      <c r="O1325" s="10"/>
      <c r="P1325" s="10" t="s">
        <v>12058</v>
      </c>
      <c r="Q1325" s="10">
        <v>371.9</v>
      </c>
      <c r="R1325" s="10" t="s">
        <v>12059</v>
      </c>
      <c r="S1325" s="10" t="s">
        <v>53</v>
      </c>
      <c r="T1325" s="10" t="s">
        <v>54</v>
      </c>
    </row>
    <row r="1326" spans="1:20" ht="14.5" x14ac:dyDescent="0.35">
      <c r="A1326" s="10" t="s">
        <v>12060</v>
      </c>
      <c r="B1326" s="10" t="str">
        <f>"9781412901239"</f>
        <v>9781412901239</v>
      </c>
      <c r="C1326" s="10" t="str">
        <f>"9781847877789"</f>
        <v>9781847877789</v>
      </c>
      <c r="D1326" s="10" t="s">
        <v>9325</v>
      </c>
      <c r="E1326" s="10" t="s">
        <v>9326</v>
      </c>
      <c r="F1326" s="10" t="s">
        <v>139</v>
      </c>
      <c r="G1326" s="10" t="s">
        <v>6352</v>
      </c>
      <c r="H1326" s="11">
        <v>38257</v>
      </c>
      <c r="I1326" s="10">
        <v>2004</v>
      </c>
      <c r="J1326" s="10" t="s">
        <v>9326</v>
      </c>
      <c r="K1326" s="10">
        <v>144</v>
      </c>
      <c r="L1326" s="10" t="s">
        <v>12061</v>
      </c>
      <c r="M1326" s="10">
        <v>1</v>
      </c>
      <c r="N1326" s="10"/>
      <c r="O1326" s="10"/>
      <c r="P1326" s="10" t="s">
        <v>12062</v>
      </c>
      <c r="Q1326" s="10">
        <v>371.10199999999998</v>
      </c>
      <c r="R1326" s="10" t="s">
        <v>12063</v>
      </c>
      <c r="S1326" s="10" t="s">
        <v>53</v>
      </c>
      <c r="T1326" s="10" t="s">
        <v>54</v>
      </c>
    </row>
    <row r="1327" spans="1:20" ht="14.5" x14ac:dyDescent="0.35">
      <c r="A1327" s="10" t="s">
        <v>12064</v>
      </c>
      <c r="B1327" s="10" t="str">
        <f>"9781412921169"</f>
        <v>9781412921169</v>
      </c>
      <c r="C1327" s="10" t="str">
        <f>"9781847878779"</f>
        <v>9781847878779</v>
      </c>
      <c r="D1327" s="10" t="s">
        <v>9325</v>
      </c>
      <c r="E1327" s="10" t="s">
        <v>9326</v>
      </c>
      <c r="F1327" s="10" t="s">
        <v>139</v>
      </c>
      <c r="G1327" s="10" t="s">
        <v>6352</v>
      </c>
      <c r="H1327" s="11">
        <v>39024</v>
      </c>
      <c r="I1327" s="10">
        <v>2007</v>
      </c>
      <c r="J1327" s="10" t="s">
        <v>9326</v>
      </c>
      <c r="K1327" s="10">
        <v>236</v>
      </c>
      <c r="L1327" s="10" t="s">
        <v>12065</v>
      </c>
      <c r="M1327" s="10">
        <v>1</v>
      </c>
      <c r="N1327" s="10"/>
      <c r="O1327" s="10"/>
      <c r="P1327" s="10" t="s">
        <v>12066</v>
      </c>
      <c r="Q1327" s="10">
        <v>371.2</v>
      </c>
      <c r="R1327" s="10" t="s">
        <v>6932</v>
      </c>
      <c r="S1327" s="10" t="s">
        <v>53</v>
      </c>
      <c r="T1327" s="10" t="s">
        <v>54</v>
      </c>
    </row>
    <row r="1328" spans="1:20" ht="14.5" x14ac:dyDescent="0.35">
      <c r="A1328" s="10" t="s">
        <v>12067</v>
      </c>
      <c r="B1328" s="10" t="str">
        <f>"9781412923316"</f>
        <v>9781412923316</v>
      </c>
      <c r="C1328" s="10" t="str">
        <f>"9781847878786"</f>
        <v>9781847878786</v>
      </c>
      <c r="D1328" s="10" t="s">
        <v>9325</v>
      </c>
      <c r="E1328" s="10" t="s">
        <v>9326</v>
      </c>
      <c r="F1328" s="10" t="s">
        <v>139</v>
      </c>
      <c r="G1328" s="10" t="s">
        <v>6352</v>
      </c>
      <c r="H1328" s="11">
        <v>39024</v>
      </c>
      <c r="I1328" s="10">
        <v>2007</v>
      </c>
      <c r="J1328" s="10" t="s">
        <v>9326</v>
      </c>
      <c r="K1328" s="10">
        <v>168</v>
      </c>
      <c r="L1328" s="10" t="s">
        <v>12068</v>
      </c>
      <c r="M1328" s="10">
        <v>1</v>
      </c>
      <c r="N1328" s="10"/>
      <c r="O1328" s="10"/>
      <c r="P1328" s="10" t="s">
        <v>12069</v>
      </c>
      <c r="Q1328" s="10">
        <v>371.71300000000002</v>
      </c>
      <c r="R1328" s="10" t="s">
        <v>12070</v>
      </c>
      <c r="S1328" s="10" t="s">
        <v>53</v>
      </c>
      <c r="T1328" s="10" t="s">
        <v>54</v>
      </c>
    </row>
    <row r="1329" spans="1:20" ht="14.5" x14ac:dyDescent="0.35">
      <c r="A1329" s="10" t="s">
        <v>12071</v>
      </c>
      <c r="B1329" s="10" t="str">
        <f>"9781412919272"</f>
        <v>9781412919272</v>
      </c>
      <c r="C1329" s="10" t="str">
        <f>"9781847878397"</f>
        <v>9781847878397</v>
      </c>
      <c r="D1329" s="10" t="s">
        <v>9325</v>
      </c>
      <c r="E1329" s="10" t="s">
        <v>9326</v>
      </c>
      <c r="F1329" s="10" t="s">
        <v>139</v>
      </c>
      <c r="G1329" s="10" t="s">
        <v>6352</v>
      </c>
      <c r="H1329" s="11">
        <v>38679</v>
      </c>
      <c r="I1329" s="10">
        <v>2006</v>
      </c>
      <c r="J1329" s="10" t="s">
        <v>9326</v>
      </c>
      <c r="K1329" s="10">
        <v>127</v>
      </c>
      <c r="L1329" s="10" t="s">
        <v>12072</v>
      </c>
      <c r="M1329" s="10">
        <v>1</v>
      </c>
      <c r="N1329" s="10"/>
      <c r="O1329" s="10"/>
      <c r="P1329" s="10" t="s">
        <v>12073</v>
      </c>
      <c r="Q1329" s="10">
        <v>372.13799999999998</v>
      </c>
      <c r="R1329" s="10" t="s">
        <v>12074</v>
      </c>
      <c r="S1329" s="10" t="s">
        <v>53</v>
      </c>
      <c r="T1329" s="10" t="s">
        <v>54</v>
      </c>
    </row>
    <row r="1330" spans="1:20" ht="14.5" x14ac:dyDescent="0.35">
      <c r="A1330" s="10" t="s">
        <v>12075</v>
      </c>
      <c r="B1330" s="10" t="str">
        <f>"9780761944218"</f>
        <v>9780761944218</v>
      </c>
      <c r="C1330" s="10" t="str">
        <f>"9781847877581"</f>
        <v>9781847877581</v>
      </c>
      <c r="D1330" s="10" t="s">
        <v>9325</v>
      </c>
      <c r="E1330" s="10" t="s">
        <v>9326</v>
      </c>
      <c r="F1330" s="10" t="s">
        <v>139</v>
      </c>
      <c r="G1330" s="10" t="s">
        <v>6352</v>
      </c>
      <c r="H1330" s="11">
        <v>38266</v>
      </c>
      <c r="I1330" s="10">
        <v>2005</v>
      </c>
      <c r="J1330" s="10" t="s">
        <v>9326</v>
      </c>
      <c r="K1330" s="10">
        <v>174</v>
      </c>
      <c r="L1330" s="10" t="s">
        <v>12076</v>
      </c>
      <c r="M1330" s="10">
        <v>1</v>
      </c>
      <c r="N1330" s="10"/>
      <c r="O1330" s="10"/>
      <c r="P1330" s="10" t="s">
        <v>12077</v>
      </c>
      <c r="Q1330" s="10">
        <v>370.72</v>
      </c>
      <c r="R1330" s="10" t="s">
        <v>7744</v>
      </c>
      <c r="S1330" s="10" t="s">
        <v>53</v>
      </c>
      <c r="T1330" s="10" t="s">
        <v>54</v>
      </c>
    </row>
    <row r="1331" spans="1:20" ht="14.5" x14ac:dyDescent="0.35">
      <c r="A1331" s="10" t="s">
        <v>12078</v>
      </c>
      <c r="B1331" s="10" t="str">
        <f>"9780761944713"</f>
        <v>9780761944713</v>
      </c>
      <c r="C1331" s="10" t="str">
        <f>"9781847877642"</f>
        <v>9781847877642</v>
      </c>
      <c r="D1331" s="10" t="s">
        <v>9325</v>
      </c>
      <c r="E1331" s="10" t="s">
        <v>9326</v>
      </c>
      <c r="F1331" s="10" t="s">
        <v>139</v>
      </c>
      <c r="G1331" s="10" t="s">
        <v>6352</v>
      </c>
      <c r="H1331" s="11">
        <v>38160</v>
      </c>
      <c r="I1331" s="10">
        <v>2004</v>
      </c>
      <c r="J1331" s="10" t="s">
        <v>9326</v>
      </c>
      <c r="K1331" s="10">
        <v>111</v>
      </c>
      <c r="L1331" s="10" t="s">
        <v>12079</v>
      </c>
      <c r="M1331" s="10">
        <v>1</v>
      </c>
      <c r="N1331" s="10"/>
      <c r="O1331" s="10"/>
      <c r="P1331" s="10" t="s">
        <v>12080</v>
      </c>
      <c r="Q1331" s="10">
        <v>371.58</v>
      </c>
      <c r="R1331" s="10" t="s">
        <v>12081</v>
      </c>
      <c r="S1331" s="10" t="s">
        <v>53</v>
      </c>
      <c r="T1331" s="10" t="s">
        <v>54</v>
      </c>
    </row>
    <row r="1332" spans="1:20" ht="14.5" x14ac:dyDescent="0.35">
      <c r="A1332" s="10" t="s">
        <v>12082</v>
      </c>
      <c r="B1332" s="10" t="str">
        <f>"9781412910781"</f>
        <v>9781412910781</v>
      </c>
      <c r="C1332" s="10" t="str">
        <f>"9781848605596"</f>
        <v>9781848605596</v>
      </c>
      <c r="D1332" s="10" t="s">
        <v>9325</v>
      </c>
      <c r="E1332" s="10" t="s">
        <v>9326</v>
      </c>
      <c r="F1332" s="10" t="s">
        <v>139</v>
      </c>
      <c r="G1332" s="10" t="s">
        <v>6352</v>
      </c>
      <c r="H1332" s="11">
        <v>39017</v>
      </c>
      <c r="I1332" s="10">
        <v>2007</v>
      </c>
      <c r="J1332" s="10" t="s">
        <v>9326</v>
      </c>
      <c r="K1332" s="10">
        <v>166</v>
      </c>
      <c r="L1332" s="10" t="s">
        <v>12083</v>
      </c>
      <c r="M1332" s="10">
        <v>1</v>
      </c>
      <c r="N1332" s="10" t="s">
        <v>11973</v>
      </c>
      <c r="O1332" s="10"/>
      <c r="P1332" s="10" t="s">
        <v>12084</v>
      </c>
      <c r="Q1332" s="10">
        <v>372.1</v>
      </c>
      <c r="R1332" s="10" t="s">
        <v>12085</v>
      </c>
      <c r="S1332" s="10" t="s">
        <v>53</v>
      </c>
      <c r="T1332" s="10" t="s">
        <v>6492</v>
      </c>
    </row>
    <row r="1333" spans="1:20" ht="14.5" x14ac:dyDescent="0.35">
      <c r="A1333" s="10" t="s">
        <v>12086</v>
      </c>
      <c r="B1333" s="10" t="str">
        <f>"9781412920841"</f>
        <v>9781412920841</v>
      </c>
      <c r="C1333" s="10" t="str">
        <f>"9781847878656"</f>
        <v>9781847878656</v>
      </c>
      <c r="D1333" s="10" t="s">
        <v>9325</v>
      </c>
      <c r="E1333" s="10" t="s">
        <v>9326</v>
      </c>
      <c r="F1333" s="10" t="s">
        <v>139</v>
      </c>
      <c r="G1333" s="10" t="s">
        <v>6352</v>
      </c>
      <c r="H1333" s="11">
        <v>38936</v>
      </c>
      <c r="I1333" s="10">
        <v>2006</v>
      </c>
      <c r="J1333" s="10" t="s">
        <v>9326</v>
      </c>
      <c r="K1333" s="10">
        <v>122</v>
      </c>
      <c r="L1333" s="10" t="s">
        <v>12087</v>
      </c>
      <c r="M1333" s="10">
        <v>1</v>
      </c>
      <c r="N1333" s="10"/>
      <c r="O1333" s="10"/>
      <c r="P1333" s="10" t="s">
        <v>12088</v>
      </c>
      <c r="Q1333" s="10">
        <v>372.01175000000001</v>
      </c>
      <c r="R1333" s="10" t="s">
        <v>12089</v>
      </c>
      <c r="S1333" s="10" t="s">
        <v>53</v>
      </c>
      <c r="T1333" s="10" t="s">
        <v>54</v>
      </c>
    </row>
    <row r="1334" spans="1:20" ht="14.5" x14ac:dyDescent="0.35">
      <c r="A1334" s="10" t="s">
        <v>12090</v>
      </c>
      <c r="B1334" s="10" t="str">
        <f>"9780761969815"</f>
        <v>9780761969815</v>
      </c>
      <c r="C1334" s="10" t="str">
        <f>"9781847876515"</f>
        <v>9781847876515</v>
      </c>
      <c r="D1334" s="10" t="s">
        <v>9325</v>
      </c>
      <c r="E1334" s="10" t="s">
        <v>9326</v>
      </c>
      <c r="F1334" s="10" t="s">
        <v>139</v>
      </c>
      <c r="G1334" s="10" t="s">
        <v>6352</v>
      </c>
      <c r="H1334" s="11">
        <v>36917</v>
      </c>
      <c r="I1334" s="10">
        <v>2001</v>
      </c>
      <c r="J1334" s="10" t="s">
        <v>9326</v>
      </c>
      <c r="K1334" s="10">
        <v>321</v>
      </c>
      <c r="L1334" s="10" t="s">
        <v>12091</v>
      </c>
      <c r="M1334" s="10">
        <v>1</v>
      </c>
      <c r="N1334" s="10"/>
      <c r="O1334" s="10"/>
      <c r="P1334" s="10" t="s">
        <v>12092</v>
      </c>
      <c r="Q1334" s="10" t="s">
        <v>12093</v>
      </c>
      <c r="R1334" s="10" t="s">
        <v>6790</v>
      </c>
      <c r="S1334" s="10" t="s">
        <v>53</v>
      </c>
      <c r="T1334" s="10" t="s">
        <v>12094</v>
      </c>
    </row>
    <row r="1335" spans="1:20" ht="14.5" x14ac:dyDescent="0.35">
      <c r="A1335" s="10" t="s">
        <v>12095</v>
      </c>
      <c r="B1335" s="10" t="str">
        <f>"9780761949251"</f>
        <v>9780761949251</v>
      </c>
      <c r="C1335" s="10" t="str">
        <f>"9781847876164"</f>
        <v>9781847876164</v>
      </c>
      <c r="D1335" s="10" t="s">
        <v>9325</v>
      </c>
      <c r="E1335" s="10" t="s">
        <v>9326</v>
      </c>
      <c r="F1335" s="10" t="s">
        <v>139</v>
      </c>
      <c r="G1335" s="10" t="s">
        <v>6352</v>
      </c>
      <c r="H1335" s="11">
        <v>37813</v>
      </c>
      <c r="I1335" s="10">
        <v>2003</v>
      </c>
      <c r="J1335" s="10" t="s">
        <v>9326</v>
      </c>
      <c r="K1335" s="10">
        <v>191</v>
      </c>
      <c r="L1335" s="10" t="s">
        <v>12096</v>
      </c>
      <c r="M1335" s="10">
        <v>1</v>
      </c>
      <c r="N1335" s="10" t="s">
        <v>9336</v>
      </c>
      <c r="O1335" s="10"/>
      <c r="P1335" s="10" t="s">
        <v>12097</v>
      </c>
      <c r="Q1335" s="10">
        <v>371.2011</v>
      </c>
      <c r="R1335" s="10" t="s">
        <v>7034</v>
      </c>
      <c r="S1335" s="10" t="s">
        <v>53</v>
      </c>
      <c r="T1335" s="10" t="s">
        <v>54</v>
      </c>
    </row>
    <row r="1336" spans="1:20" ht="14.5" x14ac:dyDescent="0.35">
      <c r="A1336" s="10" t="s">
        <v>12098</v>
      </c>
      <c r="B1336" s="10" t="str">
        <f>"9780761964414"</f>
        <v>9780761964414</v>
      </c>
      <c r="C1336" s="10" t="str">
        <f>"9781847876362"</f>
        <v>9781847876362</v>
      </c>
      <c r="D1336" s="10" t="s">
        <v>9325</v>
      </c>
      <c r="E1336" s="10" t="s">
        <v>9326</v>
      </c>
      <c r="F1336" s="10" t="s">
        <v>139</v>
      </c>
      <c r="G1336" s="10" t="s">
        <v>6352</v>
      </c>
      <c r="H1336" s="11">
        <v>36917</v>
      </c>
      <c r="I1336" s="10">
        <v>2001</v>
      </c>
      <c r="J1336" s="10" t="s">
        <v>9326</v>
      </c>
      <c r="K1336" s="10">
        <v>225</v>
      </c>
      <c r="L1336" s="10" t="s">
        <v>12099</v>
      </c>
      <c r="M1336" s="10">
        <v>1</v>
      </c>
      <c r="N1336" s="10"/>
      <c r="O1336" s="10"/>
      <c r="P1336" s="10" t="s">
        <v>12100</v>
      </c>
      <c r="Q1336" s="10" t="s">
        <v>6576</v>
      </c>
      <c r="R1336" s="10" t="s">
        <v>6577</v>
      </c>
      <c r="S1336" s="10" t="s">
        <v>53</v>
      </c>
      <c r="T1336" s="10" t="s">
        <v>54</v>
      </c>
    </row>
    <row r="1337" spans="1:20" ht="14.5" x14ac:dyDescent="0.35">
      <c r="A1337" s="10" t="s">
        <v>12101</v>
      </c>
      <c r="B1337" s="10" t="str">
        <f>"9780761964445"</f>
        <v>9780761964445</v>
      </c>
      <c r="C1337" s="10" t="str">
        <f>"9781847876348"</f>
        <v>9781847876348</v>
      </c>
      <c r="D1337" s="10" t="s">
        <v>9325</v>
      </c>
      <c r="E1337" s="10" t="s">
        <v>9326</v>
      </c>
      <c r="F1337" s="10" t="s">
        <v>139</v>
      </c>
      <c r="G1337" s="10" t="s">
        <v>6352</v>
      </c>
      <c r="H1337" s="11">
        <v>36917</v>
      </c>
      <c r="I1337" s="10">
        <v>2001</v>
      </c>
      <c r="J1337" s="10" t="s">
        <v>9326</v>
      </c>
      <c r="K1337" s="10">
        <v>201</v>
      </c>
      <c r="L1337" s="10" t="s">
        <v>12102</v>
      </c>
      <c r="M1337" s="10">
        <v>1</v>
      </c>
      <c r="N1337" s="10"/>
      <c r="O1337" s="10"/>
      <c r="P1337" s="10" t="s">
        <v>12103</v>
      </c>
      <c r="Q1337" s="10" t="s">
        <v>12104</v>
      </c>
      <c r="R1337" s="10" t="s">
        <v>12105</v>
      </c>
      <c r="S1337" s="10" t="s">
        <v>53</v>
      </c>
      <c r="T1337" s="10" t="s">
        <v>7193</v>
      </c>
    </row>
    <row r="1338" spans="1:20" ht="14.5" x14ac:dyDescent="0.35">
      <c r="A1338" s="10" t="s">
        <v>12106</v>
      </c>
      <c r="B1338" s="10" t="str">
        <f>"9781412920599"</f>
        <v>9781412920599</v>
      </c>
      <c r="C1338" s="10" t="str">
        <f>"9781847878717"</f>
        <v>9781847878717</v>
      </c>
      <c r="D1338" s="10" t="s">
        <v>9325</v>
      </c>
      <c r="E1338" s="10" t="s">
        <v>9326</v>
      </c>
      <c r="F1338" s="10" t="s">
        <v>139</v>
      </c>
      <c r="G1338" s="10" t="s">
        <v>6352</v>
      </c>
      <c r="H1338" s="11">
        <v>38919</v>
      </c>
      <c r="I1338" s="10">
        <v>2006</v>
      </c>
      <c r="J1338" s="10" t="s">
        <v>9326</v>
      </c>
      <c r="K1338" s="10">
        <v>227</v>
      </c>
      <c r="L1338" s="10" t="s">
        <v>12107</v>
      </c>
      <c r="M1338" s="10">
        <v>1</v>
      </c>
      <c r="N1338" s="10"/>
      <c r="O1338" s="10"/>
      <c r="P1338" s="10" t="s">
        <v>12108</v>
      </c>
      <c r="Q1338" s="10">
        <v>428.00700000000001</v>
      </c>
      <c r="R1338" s="10" t="s">
        <v>12109</v>
      </c>
      <c r="S1338" s="10" t="s">
        <v>53</v>
      </c>
      <c r="T1338" s="10" t="s">
        <v>6616</v>
      </c>
    </row>
    <row r="1339" spans="1:20" ht="14.5" x14ac:dyDescent="0.35">
      <c r="A1339" s="10" t="s">
        <v>12110</v>
      </c>
      <c r="B1339" s="10" t="str">
        <f>"9781412912792"</f>
        <v>9781412912792</v>
      </c>
      <c r="C1339" s="10" t="str">
        <f>"9781847878250"</f>
        <v>9781847878250</v>
      </c>
      <c r="D1339" s="10" t="s">
        <v>9325</v>
      </c>
      <c r="E1339" s="10" t="s">
        <v>9326</v>
      </c>
      <c r="F1339" s="10" t="s">
        <v>139</v>
      </c>
      <c r="G1339" s="10" t="s">
        <v>6352</v>
      </c>
      <c r="H1339" s="11">
        <v>38994</v>
      </c>
      <c r="I1339" s="10">
        <v>2006</v>
      </c>
      <c r="J1339" s="10" t="s">
        <v>9326</v>
      </c>
      <c r="K1339" s="10">
        <v>135</v>
      </c>
      <c r="L1339" s="10" t="s">
        <v>12111</v>
      </c>
      <c r="M1339" s="10">
        <v>1</v>
      </c>
      <c r="N1339" s="10" t="s">
        <v>11992</v>
      </c>
      <c r="O1339" s="10"/>
      <c r="P1339" s="10" t="s">
        <v>12112</v>
      </c>
      <c r="Q1339" s="10">
        <v>370.14</v>
      </c>
      <c r="R1339" s="10" t="s">
        <v>12113</v>
      </c>
      <c r="S1339" s="10" t="s">
        <v>53</v>
      </c>
      <c r="T1339" s="10" t="s">
        <v>54</v>
      </c>
    </row>
    <row r="1340" spans="1:20" ht="14.5" x14ac:dyDescent="0.35">
      <c r="A1340" s="10" t="s">
        <v>12114</v>
      </c>
      <c r="B1340" s="10" t="str">
        <f>"9780761940197"</f>
        <v>9780761940197</v>
      </c>
      <c r="C1340" s="10" t="str">
        <f>"9781847876935"</f>
        <v>9781847876935</v>
      </c>
      <c r="D1340" s="10" t="s">
        <v>9325</v>
      </c>
      <c r="E1340" s="10" t="s">
        <v>9326</v>
      </c>
      <c r="F1340" s="10" t="s">
        <v>139</v>
      </c>
      <c r="G1340" s="10" t="s">
        <v>6352</v>
      </c>
      <c r="H1340" s="11">
        <v>37477</v>
      </c>
      <c r="I1340" s="10">
        <v>2002</v>
      </c>
      <c r="J1340" s="10" t="s">
        <v>9326</v>
      </c>
      <c r="K1340" s="10">
        <v>147</v>
      </c>
      <c r="L1340" s="10" t="s">
        <v>12115</v>
      </c>
      <c r="M1340" s="10">
        <v>1</v>
      </c>
      <c r="N1340" s="10"/>
      <c r="O1340" s="10"/>
      <c r="P1340" s="10" t="s">
        <v>12116</v>
      </c>
      <c r="Q1340" s="10">
        <v>371.2011</v>
      </c>
      <c r="R1340" s="10" t="s">
        <v>6932</v>
      </c>
      <c r="S1340" s="10" t="s">
        <v>53</v>
      </c>
      <c r="T1340" s="10" t="s">
        <v>54</v>
      </c>
    </row>
    <row r="1341" spans="1:20" ht="14.5" x14ac:dyDescent="0.35">
      <c r="A1341" s="10" t="s">
        <v>12117</v>
      </c>
      <c r="B1341" s="10" t="str">
        <f>"9781412900676"</f>
        <v>9781412900676</v>
      </c>
      <c r="C1341" s="10" t="str">
        <f>"9781847877710"</f>
        <v>9781847877710</v>
      </c>
      <c r="D1341" s="10" t="s">
        <v>9325</v>
      </c>
      <c r="E1341" s="10" t="s">
        <v>9326</v>
      </c>
      <c r="F1341" s="10" t="s">
        <v>139</v>
      </c>
      <c r="G1341" s="10" t="s">
        <v>6352</v>
      </c>
      <c r="H1341" s="11">
        <v>38635</v>
      </c>
      <c r="I1341" s="10">
        <v>2005</v>
      </c>
      <c r="J1341" s="10" t="s">
        <v>9326</v>
      </c>
      <c r="K1341" s="10">
        <v>203</v>
      </c>
      <c r="L1341" s="10" t="s">
        <v>12118</v>
      </c>
      <c r="M1341" s="10">
        <v>1</v>
      </c>
      <c r="N1341" s="10" t="s">
        <v>9419</v>
      </c>
      <c r="O1341" s="10"/>
      <c r="P1341" s="10" t="s">
        <v>12119</v>
      </c>
      <c r="Q1341" s="10" t="s">
        <v>8460</v>
      </c>
      <c r="R1341" s="10" t="s">
        <v>6738</v>
      </c>
      <c r="S1341" s="10" t="s">
        <v>53</v>
      </c>
      <c r="T1341" s="10" t="s">
        <v>54</v>
      </c>
    </row>
    <row r="1342" spans="1:20" ht="14.5" x14ac:dyDescent="0.35">
      <c r="A1342" s="10" t="s">
        <v>12120</v>
      </c>
      <c r="B1342" s="10" t="str">
        <f>"9780761941712"</f>
        <v>9780761941712</v>
      </c>
      <c r="C1342" s="10" t="str">
        <f>"9781847877239"</f>
        <v>9781847877239</v>
      </c>
      <c r="D1342" s="10" t="s">
        <v>9325</v>
      </c>
      <c r="E1342" s="10" t="s">
        <v>9326</v>
      </c>
      <c r="F1342" s="10" t="s">
        <v>139</v>
      </c>
      <c r="G1342" s="10" t="s">
        <v>6352</v>
      </c>
      <c r="H1342" s="11">
        <v>38805</v>
      </c>
      <c r="I1342" s="10">
        <v>2006</v>
      </c>
      <c r="J1342" s="10" t="s">
        <v>9326</v>
      </c>
      <c r="K1342" s="10">
        <v>183</v>
      </c>
      <c r="L1342" s="10" t="s">
        <v>12121</v>
      </c>
      <c r="M1342" s="10">
        <v>1</v>
      </c>
      <c r="N1342" s="10" t="s">
        <v>9406</v>
      </c>
      <c r="O1342" s="10"/>
      <c r="P1342" s="10" t="s">
        <v>12122</v>
      </c>
      <c r="Q1342" s="10" t="s">
        <v>12123</v>
      </c>
      <c r="R1342" s="10" t="s">
        <v>12124</v>
      </c>
      <c r="S1342" s="10" t="s">
        <v>53</v>
      </c>
      <c r="T1342" s="10" t="s">
        <v>6498</v>
      </c>
    </row>
    <row r="1343" spans="1:20" ht="14.5" x14ac:dyDescent="0.35">
      <c r="A1343" s="10" t="s">
        <v>12125</v>
      </c>
      <c r="B1343" s="10" t="str">
        <f>"9781412903189"</f>
        <v>9781412903189</v>
      </c>
      <c r="C1343" s="10" t="str">
        <f>"9781847878007"</f>
        <v>9781847878007</v>
      </c>
      <c r="D1343" s="10" t="s">
        <v>9325</v>
      </c>
      <c r="E1343" s="10" t="s">
        <v>9326</v>
      </c>
      <c r="F1343" s="10" t="s">
        <v>139</v>
      </c>
      <c r="G1343" s="10" t="s">
        <v>6352</v>
      </c>
      <c r="H1343" s="11">
        <v>38545</v>
      </c>
      <c r="I1343" s="10">
        <v>2005</v>
      </c>
      <c r="J1343" s="10" t="s">
        <v>9326</v>
      </c>
      <c r="K1343" s="10">
        <v>110</v>
      </c>
      <c r="L1343" s="10" t="s">
        <v>12126</v>
      </c>
      <c r="M1343" s="10">
        <v>1</v>
      </c>
      <c r="N1343" s="10"/>
      <c r="O1343" s="10"/>
      <c r="P1343" s="10" t="s">
        <v>12127</v>
      </c>
      <c r="Q1343" s="10" t="s">
        <v>12128</v>
      </c>
      <c r="R1343" s="10" t="s">
        <v>12129</v>
      </c>
      <c r="S1343" s="10" t="s">
        <v>53</v>
      </c>
      <c r="T1343" s="10" t="s">
        <v>54</v>
      </c>
    </row>
    <row r="1344" spans="1:20" ht="14.5" x14ac:dyDescent="0.35">
      <c r="A1344" s="10" t="s">
        <v>12130</v>
      </c>
      <c r="B1344" s="10" t="str">
        <f>"9781412922579"</f>
        <v>9781412922579</v>
      </c>
      <c r="C1344" s="10" t="str">
        <f>"9781848605190"</f>
        <v>9781848605190</v>
      </c>
      <c r="D1344" s="10" t="s">
        <v>9325</v>
      </c>
      <c r="E1344" s="10" t="s">
        <v>9326</v>
      </c>
      <c r="F1344" s="10" t="s">
        <v>139</v>
      </c>
      <c r="G1344" s="10" t="s">
        <v>6352</v>
      </c>
      <c r="H1344" s="11">
        <v>39042</v>
      </c>
      <c r="I1344" s="10">
        <v>2007</v>
      </c>
      <c r="J1344" s="10" t="s">
        <v>9326</v>
      </c>
      <c r="K1344" s="10">
        <v>129</v>
      </c>
      <c r="L1344" s="10" t="s">
        <v>12131</v>
      </c>
      <c r="M1344" s="10">
        <v>1</v>
      </c>
      <c r="N1344" s="10" t="s">
        <v>11973</v>
      </c>
      <c r="O1344" s="10"/>
      <c r="P1344" s="10" t="s">
        <v>12132</v>
      </c>
      <c r="Q1344" s="10">
        <v>616.85883200000001</v>
      </c>
      <c r="R1344" s="10" t="s">
        <v>12133</v>
      </c>
      <c r="S1344" s="10" t="s">
        <v>53</v>
      </c>
      <c r="T1344" s="10" t="s">
        <v>8510</v>
      </c>
    </row>
    <row r="1345" spans="1:20" ht="14.5" x14ac:dyDescent="0.35">
      <c r="A1345" s="10" t="s">
        <v>12134</v>
      </c>
      <c r="B1345" s="10" t="str">
        <f>"9781412929325"</f>
        <v>9781412929325</v>
      </c>
      <c r="C1345" s="10" t="str">
        <f>"9781847878878"</f>
        <v>9781847878878</v>
      </c>
      <c r="D1345" s="10" t="s">
        <v>9325</v>
      </c>
      <c r="E1345" s="10" t="s">
        <v>9326</v>
      </c>
      <c r="F1345" s="10" t="s">
        <v>139</v>
      </c>
      <c r="G1345" s="10" t="s">
        <v>6352</v>
      </c>
      <c r="H1345" s="11">
        <v>39024</v>
      </c>
      <c r="I1345" s="10">
        <v>2007</v>
      </c>
      <c r="J1345" s="10" t="s">
        <v>9326</v>
      </c>
      <c r="K1345" s="10">
        <v>129</v>
      </c>
      <c r="L1345" s="10" t="s">
        <v>12135</v>
      </c>
      <c r="M1345" s="10">
        <v>1</v>
      </c>
      <c r="N1345" s="10"/>
      <c r="O1345" s="10"/>
      <c r="P1345" s="10" t="s">
        <v>12136</v>
      </c>
      <c r="Q1345" s="10">
        <v>370.71</v>
      </c>
      <c r="R1345" s="10" t="s">
        <v>12137</v>
      </c>
      <c r="S1345" s="10" t="s">
        <v>53</v>
      </c>
      <c r="T1345" s="10" t="s">
        <v>54</v>
      </c>
    </row>
    <row r="1346" spans="1:20" ht="14.5" x14ac:dyDescent="0.35">
      <c r="A1346" s="10" t="s">
        <v>12138</v>
      </c>
      <c r="B1346" s="10" t="str">
        <f>"9780761942535"</f>
        <v>9780761942535</v>
      </c>
      <c r="C1346" s="10" t="str">
        <f>"9781847877475"</f>
        <v>9781847877475</v>
      </c>
      <c r="D1346" s="10" t="s">
        <v>9325</v>
      </c>
      <c r="E1346" s="10" t="s">
        <v>9326</v>
      </c>
      <c r="F1346" s="10" t="s">
        <v>139</v>
      </c>
      <c r="G1346" s="10" t="s">
        <v>6352</v>
      </c>
      <c r="H1346" s="11">
        <v>38132</v>
      </c>
      <c r="I1346" s="10">
        <v>2004</v>
      </c>
      <c r="J1346" s="10" t="s">
        <v>9326</v>
      </c>
      <c r="K1346" s="10">
        <v>320</v>
      </c>
      <c r="L1346" s="10" t="s">
        <v>12139</v>
      </c>
      <c r="M1346" s="10">
        <v>1</v>
      </c>
      <c r="N1346" s="10" t="s">
        <v>12043</v>
      </c>
      <c r="O1346" s="10"/>
      <c r="P1346" s="10" t="s">
        <v>12140</v>
      </c>
      <c r="Q1346" s="10">
        <v>378.1982691</v>
      </c>
      <c r="R1346" s="10" t="s">
        <v>12141</v>
      </c>
      <c r="S1346" s="10" t="s">
        <v>53</v>
      </c>
      <c r="T1346" s="10" t="s">
        <v>54</v>
      </c>
    </row>
    <row r="1347" spans="1:20" ht="14.5" x14ac:dyDescent="0.35">
      <c r="A1347" s="10" t="s">
        <v>12142</v>
      </c>
      <c r="B1347" s="10" t="str">
        <f>"9781412900560"</f>
        <v>9781412900560</v>
      </c>
      <c r="C1347" s="10" t="str">
        <f>"9781847877635"</f>
        <v>9781847877635</v>
      </c>
      <c r="D1347" s="10" t="s">
        <v>9325</v>
      </c>
      <c r="E1347" s="10" t="s">
        <v>9326</v>
      </c>
      <c r="F1347" s="10" t="s">
        <v>139</v>
      </c>
      <c r="G1347" s="10" t="s">
        <v>6352</v>
      </c>
      <c r="H1347" s="11">
        <v>38329</v>
      </c>
      <c r="I1347" s="10">
        <v>2005</v>
      </c>
      <c r="J1347" s="10" t="s">
        <v>9326</v>
      </c>
      <c r="K1347" s="10">
        <v>209</v>
      </c>
      <c r="L1347" s="10" t="s">
        <v>12143</v>
      </c>
      <c r="M1347" s="10">
        <v>1</v>
      </c>
      <c r="N1347" s="10"/>
      <c r="O1347" s="10"/>
      <c r="P1347" s="10" t="s">
        <v>12144</v>
      </c>
      <c r="Q1347" s="10" t="s">
        <v>6942</v>
      </c>
      <c r="R1347" s="10" t="s">
        <v>12145</v>
      </c>
      <c r="S1347" s="10" t="s">
        <v>53</v>
      </c>
      <c r="T1347" s="10" t="s">
        <v>54</v>
      </c>
    </row>
    <row r="1348" spans="1:20" ht="14.5" x14ac:dyDescent="0.35">
      <c r="A1348" s="10" t="s">
        <v>12146</v>
      </c>
      <c r="B1348" s="10" t="str">
        <f>"9781412920513"</f>
        <v>9781412920513</v>
      </c>
      <c r="C1348" s="10" t="str">
        <f>"9781847878632"</f>
        <v>9781847878632</v>
      </c>
      <c r="D1348" s="10" t="s">
        <v>9325</v>
      </c>
      <c r="E1348" s="10" t="s">
        <v>9326</v>
      </c>
      <c r="F1348" s="10" t="s">
        <v>139</v>
      </c>
      <c r="G1348" s="10" t="s">
        <v>6352</v>
      </c>
      <c r="H1348" s="11">
        <v>38846</v>
      </c>
      <c r="I1348" s="10">
        <v>2006</v>
      </c>
      <c r="J1348" s="10" t="s">
        <v>9326</v>
      </c>
      <c r="K1348" s="10">
        <v>104</v>
      </c>
      <c r="L1348" s="10" t="s">
        <v>12147</v>
      </c>
      <c r="M1348" s="10">
        <v>1</v>
      </c>
      <c r="N1348" s="10"/>
      <c r="O1348" s="10"/>
      <c r="P1348" s="10" t="s">
        <v>12148</v>
      </c>
      <c r="Q1348" s="10">
        <v>372.66</v>
      </c>
      <c r="R1348" s="10" t="s">
        <v>12149</v>
      </c>
      <c r="S1348" s="10" t="s">
        <v>53</v>
      </c>
      <c r="T1348" s="10" t="s">
        <v>6881</v>
      </c>
    </row>
    <row r="1349" spans="1:20" ht="14.5" x14ac:dyDescent="0.35">
      <c r="A1349" s="10" t="s">
        <v>12150</v>
      </c>
      <c r="B1349" s="10" t="str">
        <f>"9781412930000"</f>
        <v>9781412930000</v>
      </c>
      <c r="C1349" s="10" t="str">
        <f>"9781847878892"</f>
        <v>9781847878892</v>
      </c>
      <c r="D1349" s="10" t="s">
        <v>9325</v>
      </c>
      <c r="E1349" s="10" t="s">
        <v>9326</v>
      </c>
      <c r="F1349" s="10" t="s">
        <v>139</v>
      </c>
      <c r="G1349" s="10" t="s">
        <v>6352</v>
      </c>
      <c r="H1349" s="11">
        <v>39113</v>
      </c>
      <c r="I1349" s="10">
        <v>2007</v>
      </c>
      <c r="J1349" s="10" t="s">
        <v>9326</v>
      </c>
      <c r="K1349" s="10">
        <v>167</v>
      </c>
      <c r="L1349" s="10" t="s">
        <v>12151</v>
      </c>
      <c r="M1349" s="10">
        <v>1</v>
      </c>
      <c r="N1349" s="10"/>
      <c r="O1349" s="10"/>
      <c r="P1349" s="10" t="s">
        <v>12152</v>
      </c>
      <c r="Q1349" s="10">
        <v>372.34044</v>
      </c>
      <c r="R1349" s="10" t="s">
        <v>12153</v>
      </c>
      <c r="S1349" s="10" t="s">
        <v>53</v>
      </c>
      <c r="T1349" s="10" t="s">
        <v>54</v>
      </c>
    </row>
    <row r="1350" spans="1:20" ht="14.5" x14ac:dyDescent="0.35">
      <c r="A1350" s="10" t="s">
        <v>12154</v>
      </c>
      <c r="B1350" s="10" t="str">
        <f>"9780521868921"</f>
        <v>9780521868921</v>
      </c>
      <c r="C1350" s="10" t="str">
        <f>"9780511384165"</f>
        <v>9780511384165</v>
      </c>
      <c r="D1350" s="10" t="s">
        <v>397</v>
      </c>
      <c r="E1350" s="10" t="s">
        <v>397</v>
      </c>
      <c r="F1350" s="10" t="s">
        <v>612</v>
      </c>
      <c r="G1350" s="10" t="s">
        <v>6352</v>
      </c>
      <c r="H1350" s="11">
        <v>39510</v>
      </c>
      <c r="I1350" s="10">
        <v>2008</v>
      </c>
      <c r="J1350" s="10" t="s">
        <v>397</v>
      </c>
      <c r="K1350" s="10">
        <v>417</v>
      </c>
      <c r="L1350" s="10" t="s">
        <v>12155</v>
      </c>
      <c r="M1350" s="10">
        <v>1</v>
      </c>
      <c r="N1350" s="10"/>
      <c r="O1350" s="10"/>
      <c r="P1350" s="10" t="s">
        <v>12156</v>
      </c>
      <c r="Q1350" s="10">
        <v>370.15230000000003</v>
      </c>
      <c r="R1350" s="10" t="s">
        <v>12157</v>
      </c>
      <c r="S1350" s="10" t="s">
        <v>53</v>
      </c>
      <c r="T1350" s="10" t="s">
        <v>54</v>
      </c>
    </row>
    <row r="1351" spans="1:20" ht="14.5" x14ac:dyDescent="0.35">
      <c r="A1351" s="10" t="s">
        <v>12158</v>
      </c>
      <c r="B1351" s="10" t="str">
        <f>"9780335222469"</f>
        <v>9780335222469</v>
      </c>
      <c r="C1351" s="10" t="str">
        <f>"9780335234820"</f>
        <v>9780335234820</v>
      </c>
      <c r="D1351" s="10" t="s">
        <v>10342</v>
      </c>
      <c r="E1351" s="10" t="s">
        <v>10343</v>
      </c>
      <c r="F1351" s="10" t="s">
        <v>856</v>
      </c>
      <c r="G1351" s="10" t="s">
        <v>6352</v>
      </c>
      <c r="H1351" s="11">
        <v>39508</v>
      </c>
      <c r="I1351" s="10">
        <v>2008</v>
      </c>
      <c r="J1351" s="10" t="s">
        <v>10345</v>
      </c>
      <c r="K1351" s="10">
        <v>233</v>
      </c>
      <c r="L1351" s="10" t="s">
        <v>12159</v>
      </c>
      <c r="M1351" s="10">
        <v>1</v>
      </c>
      <c r="N1351" s="10" t="s">
        <v>10347</v>
      </c>
      <c r="O1351" s="10"/>
      <c r="P1351" s="10" t="s">
        <v>12160</v>
      </c>
      <c r="Q1351" s="10">
        <v>372.12011000000001</v>
      </c>
      <c r="R1351" s="10" t="s">
        <v>12161</v>
      </c>
      <c r="S1351" s="10" t="s">
        <v>53</v>
      </c>
      <c r="T1351" s="10" t="s">
        <v>54</v>
      </c>
    </row>
    <row r="1352" spans="1:20" ht="14.5" x14ac:dyDescent="0.35">
      <c r="A1352" s="10" t="s">
        <v>12162</v>
      </c>
      <c r="B1352" s="10" t="str">
        <f>"9780805842890"</f>
        <v>9780805842890</v>
      </c>
      <c r="C1352" s="10" t="str">
        <f>"9781410609472"</f>
        <v>9781410609472</v>
      </c>
      <c r="D1352" s="10" t="s">
        <v>6350</v>
      </c>
      <c r="E1352" s="10" t="s">
        <v>6351</v>
      </c>
      <c r="F1352" s="10" t="s">
        <v>4325</v>
      </c>
      <c r="G1352" s="10" t="s">
        <v>6317</v>
      </c>
      <c r="H1352" s="11">
        <v>37895</v>
      </c>
      <c r="I1352" s="10">
        <v>2003</v>
      </c>
      <c r="J1352" s="10" t="s">
        <v>6353</v>
      </c>
      <c r="K1352" s="10">
        <v>304</v>
      </c>
      <c r="L1352" s="10" t="s">
        <v>12163</v>
      </c>
      <c r="M1352" s="10">
        <v>1</v>
      </c>
      <c r="N1352" s="10"/>
      <c r="O1352" s="10"/>
      <c r="P1352" s="10" t="s">
        <v>12164</v>
      </c>
      <c r="Q1352" s="10" t="s">
        <v>12165</v>
      </c>
      <c r="R1352" s="10" t="s">
        <v>12166</v>
      </c>
      <c r="S1352" s="10" t="s">
        <v>53</v>
      </c>
      <c r="T1352" s="10" t="s">
        <v>54</v>
      </c>
    </row>
    <row r="1353" spans="1:20" ht="14.5" x14ac:dyDescent="0.35">
      <c r="A1353" s="10" t="s">
        <v>12167</v>
      </c>
      <c r="B1353" s="10" t="str">
        <f>"9780805845136"</f>
        <v>9780805845136</v>
      </c>
      <c r="C1353" s="10" t="str">
        <f>"9781410609588"</f>
        <v>9781410609588</v>
      </c>
      <c r="D1353" s="10" t="s">
        <v>6350</v>
      </c>
      <c r="E1353" s="10" t="s">
        <v>6351</v>
      </c>
      <c r="F1353" s="10" t="s">
        <v>4325</v>
      </c>
      <c r="G1353" s="10" t="s">
        <v>6317</v>
      </c>
      <c r="H1353" s="11">
        <v>37895</v>
      </c>
      <c r="I1353" s="10">
        <v>2003</v>
      </c>
      <c r="J1353" s="10" t="s">
        <v>6353</v>
      </c>
      <c r="K1353" s="10">
        <v>337</v>
      </c>
      <c r="L1353" s="10" t="s">
        <v>12168</v>
      </c>
      <c r="M1353" s="10">
        <v>1</v>
      </c>
      <c r="N1353" s="10" t="s">
        <v>9593</v>
      </c>
      <c r="O1353" s="10"/>
      <c r="P1353" s="10" t="s">
        <v>12169</v>
      </c>
      <c r="Q1353" s="10">
        <v>372.64</v>
      </c>
      <c r="R1353" s="10" t="s">
        <v>12170</v>
      </c>
      <c r="S1353" s="10" t="s">
        <v>53</v>
      </c>
      <c r="T1353" s="10" t="s">
        <v>54</v>
      </c>
    </row>
    <row r="1354" spans="1:20" ht="14.5" x14ac:dyDescent="0.35">
      <c r="A1354" s="10" t="s">
        <v>12171</v>
      </c>
      <c r="B1354" s="10" t="str">
        <f>"9780805845594"</f>
        <v>9780805845594</v>
      </c>
      <c r="C1354" s="10" t="str">
        <f>"9781410609700"</f>
        <v>9781410609700</v>
      </c>
      <c r="D1354" s="10" t="s">
        <v>6350</v>
      </c>
      <c r="E1354" s="10" t="s">
        <v>6351</v>
      </c>
      <c r="F1354" s="10" t="s">
        <v>4325</v>
      </c>
      <c r="G1354" s="10" t="s">
        <v>6317</v>
      </c>
      <c r="H1354" s="11">
        <v>37926</v>
      </c>
      <c r="I1354" s="10">
        <v>2003</v>
      </c>
      <c r="J1354" s="10" t="s">
        <v>6353</v>
      </c>
      <c r="K1354" s="10">
        <v>408</v>
      </c>
      <c r="L1354" s="10" t="s">
        <v>12172</v>
      </c>
      <c r="M1354" s="10">
        <v>1</v>
      </c>
      <c r="N1354" s="10"/>
      <c r="O1354" s="10"/>
      <c r="P1354" s="10" t="s">
        <v>12173</v>
      </c>
      <c r="Q1354" s="10" t="s">
        <v>6920</v>
      </c>
      <c r="R1354" s="10" t="s">
        <v>12174</v>
      </c>
      <c r="S1354" s="10" t="s">
        <v>53</v>
      </c>
      <c r="T1354" s="10" t="s">
        <v>54</v>
      </c>
    </row>
    <row r="1355" spans="1:20" ht="14.5" x14ac:dyDescent="0.35">
      <c r="A1355" s="10" t="s">
        <v>12175</v>
      </c>
      <c r="B1355" s="10" t="str">
        <f>"9780805846218"</f>
        <v>9780805846218</v>
      </c>
      <c r="C1355" s="10" t="str">
        <f>"9781410609779"</f>
        <v>9781410609779</v>
      </c>
      <c r="D1355" s="10" t="s">
        <v>6350</v>
      </c>
      <c r="E1355" s="10" t="s">
        <v>6351</v>
      </c>
      <c r="F1355" s="10" t="s">
        <v>4325</v>
      </c>
      <c r="G1355" s="10" t="s">
        <v>6317</v>
      </c>
      <c r="H1355" s="11">
        <v>38007</v>
      </c>
      <c r="I1355" s="10">
        <v>2004</v>
      </c>
      <c r="J1355" s="10" t="s">
        <v>6353</v>
      </c>
      <c r="K1355" s="10">
        <v>321</v>
      </c>
      <c r="L1355" s="10" t="s">
        <v>12176</v>
      </c>
      <c r="M1355" s="10">
        <v>1</v>
      </c>
      <c r="N1355" s="10"/>
      <c r="O1355" s="10"/>
      <c r="P1355" s="10" t="s">
        <v>12177</v>
      </c>
      <c r="Q1355" s="10" t="s">
        <v>9204</v>
      </c>
      <c r="R1355" s="10" t="s">
        <v>12178</v>
      </c>
      <c r="S1355" s="10" t="s">
        <v>53</v>
      </c>
      <c r="T1355" s="10" t="s">
        <v>8760</v>
      </c>
    </row>
    <row r="1356" spans="1:20" ht="14.5" x14ac:dyDescent="0.35">
      <c r="A1356" s="10" t="s">
        <v>12179</v>
      </c>
      <c r="B1356" s="10" t="str">
        <f>"9780805850383"</f>
        <v>9780805850383</v>
      </c>
      <c r="C1356" s="10" t="str">
        <f>"9781410610096"</f>
        <v>9781410610096</v>
      </c>
      <c r="D1356" s="10" t="s">
        <v>6350</v>
      </c>
      <c r="E1356" s="10" t="s">
        <v>6351</v>
      </c>
      <c r="F1356" s="10" t="s">
        <v>748</v>
      </c>
      <c r="G1356" s="10" t="s">
        <v>6352</v>
      </c>
      <c r="H1356" s="11">
        <v>38009</v>
      </c>
      <c r="I1356" s="10">
        <v>2004</v>
      </c>
      <c r="J1356" s="10" t="s">
        <v>6351</v>
      </c>
      <c r="K1356" s="10">
        <v>257</v>
      </c>
      <c r="L1356" s="10" t="s">
        <v>12180</v>
      </c>
      <c r="M1356" s="10">
        <v>1</v>
      </c>
      <c r="N1356" s="10"/>
      <c r="O1356" s="10"/>
      <c r="P1356" s="10" t="s">
        <v>12181</v>
      </c>
      <c r="Q1356" s="10" t="s">
        <v>12182</v>
      </c>
      <c r="R1356" s="10" t="s">
        <v>12183</v>
      </c>
      <c r="S1356" s="10" t="s">
        <v>53</v>
      </c>
      <c r="T1356" s="10" t="s">
        <v>54</v>
      </c>
    </row>
    <row r="1357" spans="1:20" ht="14.5" x14ac:dyDescent="0.35">
      <c r="A1357" s="10" t="s">
        <v>12184</v>
      </c>
      <c r="B1357" s="10" t="str">
        <f>"9780805845686"</f>
        <v>9780805845686</v>
      </c>
      <c r="C1357" s="10" t="str">
        <f>"9781410609946"</f>
        <v>9781410609946</v>
      </c>
      <c r="D1357" s="10" t="s">
        <v>6350</v>
      </c>
      <c r="E1357" s="10" t="s">
        <v>6351</v>
      </c>
      <c r="F1357" s="10" t="s">
        <v>3967</v>
      </c>
      <c r="G1357" s="10" t="s">
        <v>6352</v>
      </c>
      <c r="H1357" s="11">
        <v>38044</v>
      </c>
      <c r="I1357" s="10">
        <v>2004</v>
      </c>
      <c r="J1357" s="10" t="s">
        <v>6353</v>
      </c>
      <c r="K1357" s="10">
        <v>260</v>
      </c>
      <c r="L1357" s="10" t="s">
        <v>12185</v>
      </c>
      <c r="M1357" s="10">
        <v>1</v>
      </c>
      <c r="N1357" s="10"/>
      <c r="O1357" s="10"/>
      <c r="P1357" s="10" t="s">
        <v>12186</v>
      </c>
      <c r="Q1357" s="10" t="s">
        <v>8376</v>
      </c>
      <c r="R1357" s="10" t="s">
        <v>12187</v>
      </c>
      <c r="S1357" s="10" t="s">
        <v>53</v>
      </c>
      <c r="T1357" s="10" t="s">
        <v>54</v>
      </c>
    </row>
    <row r="1358" spans="1:20" ht="14.5" x14ac:dyDescent="0.35">
      <c r="A1358" s="10" t="s">
        <v>12188</v>
      </c>
      <c r="B1358" s="10" t="str">
        <f>"9780805842388"</f>
        <v>9780805842388</v>
      </c>
      <c r="C1358" s="10" t="str">
        <f>"9781410607300"</f>
        <v>9781410607300</v>
      </c>
      <c r="D1358" s="10" t="s">
        <v>6350</v>
      </c>
      <c r="E1358" s="10" t="s">
        <v>6351</v>
      </c>
      <c r="F1358" s="10" t="s">
        <v>4325</v>
      </c>
      <c r="G1358" s="10" t="s">
        <v>6317</v>
      </c>
      <c r="H1358" s="11">
        <v>35247</v>
      </c>
      <c r="I1358" s="10">
        <v>2003</v>
      </c>
      <c r="J1358" s="10" t="s">
        <v>6353</v>
      </c>
      <c r="K1358" s="10">
        <v>281</v>
      </c>
      <c r="L1358" s="10" t="s">
        <v>8897</v>
      </c>
      <c r="M1358" s="10">
        <v>1</v>
      </c>
      <c r="N1358" s="10" t="s">
        <v>8585</v>
      </c>
      <c r="O1358" s="10"/>
      <c r="P1358" s="10" t="s">
        <v>12189</v>
      </c>
      <c r="Q1358" s="10" t="s">
        <v>12190</v>
      </c>
      <c r="R1358" s="10" t="s">
        <v>12191</v>
      </c>
      <c r="S1358" s="10" t="s">
        <v>53</v>
      </c>
      <c r="T1358" s="10" t="s">
        <v>54</v>
      </c>
    </row>
    <row r="1359" spans="1:20" ht="14.5" x14ac:dyDescent="0.35">
      <c r="A1359" s="10" t="s">
        <v>12192</v>
      </c>
      <c r="B1359" s="10" t="str">
        <f>"9780805839456"</f>
        <v>9780805839456</v>
      </c>
      <c r="C1359" s="10" t="str">
        <f>"9781410607522"</f>
        <v>9781410607522</v>
      </c>
      <c r="D1359" s="10" t="s">
        <v>6350</v>
      </c>
      <c r="E1359" s="10" t="s">
        <v>6351</v>
      </c>
      <c r="F1359" s="10" t="s">
        <v>4325</v>
      </c>
      <c r="G1359" s="10" t="s">
        <v>6317</v>
      </c>
      <c r="H1359" s="11">
        <v>37712</v>
      </c>
      <c r="I1359" s="10">
        <v>2003</v>
      </c>
      <c r="J1359" s="10" t="s">
        <v>6353</v>
      </c>
      <c r="K1359" s="10">
        <v>315</v>
      </c>
      <c r="L1359" s="10" t="s">
        <v>12193</v>
      </c>
      <c r="M1359" s="10">
        <v>1</v>
      </c>
      <c r="N1359" s="10"/>
      <c r="O1359" s="10"/>
      <c r="P1359" s="10" t="s">
        <v>12194</v>
      </c>
      <c r="Q1359" s="10">
        <v>372.6</v>
      </c>
      <c r="R1359" s="10" t="s">
        <v>12195</v>
      </c>
      <c r="S1359" s="10" t="s">
        <v>53</v>
      </c>
      <c r="T1359" s="10" t="s">
        <v>54</v>
      </c>
    </row>
    <row r="1360" spans="1:20" ht="14.5" x14ac:dyDescent="0.35">
      <c r="A1360" s="10" t="s">
        <v>12196</v>
      </c>
      <c r="B1360" s="10" t="str">
        <f>"9780805841664"</f>
        <v>9780805841664</v>
      </c>
      <c r="C1360" s="10" t="str">
        <f>"9781410607621"</f>
        <v>9781410607621</v>
      </c>
      <c r="D1360" s="10" t="s">
        <v>6350</v>
      </c>
      <c r="E1360" s="10" t="s">
        <v>6351</v>
      </c>
      <c r="F1360" s="10" t="s">
        <v>748</v>
      </c>
      <c r="G1360" s="10" t="s">
        <v>6352</v>
      </c>
      <c r="H1360" s="11">
        <v>37712</v>
      </c>
      <c r="I1360" s="10">
        <v>2003</v>
      </c>
      <c r="J1360" s="10" t="s">
        <v>6351</v>
      </c>
      <c r="K1360" s="10">
        <v>219</v>
      </c>
      <c r="L1360" s="10" t="s">
        <v>12197</v>
      </c>
      <c r="M1360" s="10">
        <v>1</v>
      </c>
      <c r="N1360" s="10"/>
      <c r="O1360" s="10"/>
      <c r="P1360" s="10" t="s">
        <v>12198</v>
      </c>
      <c r="Q1360" s="10">
        <v>371.9</v>
      </c>
      <c r="R1360" s="10" t="s">
        <v>12199</v>
      </c>
      <c r="S1360" s="10" t="s">
        <v>53</v>
      </c>
      <c r="T1360" s="10" t="s">
        <v>54</v>
      </c>
    </row>
    <row r="1361" spans="1:20" ht="14.5" x14ac:dyDescent="0.35">
      <c r="A1361" s="10" t="s">
        <v>12200</v>
      </c>
      <c r="B1361" s="10" t="str">
        <f>"9780805841558"</f>
        <v>9780805841558</v>
      </c>
      <c r="C1361" s="10" t="str">
        <f>"9781410607812"</f>
        <v>9781410607812</v>
      </c>
      <c r="D1361" s="10" t="s">
        <v>6350</v>
      </c>
      <c r="E1361" s="10" t="s">
        <v>6351</v>
      </c>
      <c r="F1361" s="10" t="s">
        <v>4325</v>
      </c>
      <c r="G1361" s="10" t="s">
        <v>6317</v>
      </c>
      <c r="H1361" s="11">
        <v>37773</v>
      </c>
      <c r="I1361" s="10">
        <v>2003</v>
      </c>
      <c r="J1361" s="10" t="s">
        <v>6353</v>
      </c>
      <c r="K1361" s="10">
        <v>419</v>
      </c>
      <c r="L1361" s="10" t="s">
        <v>12201</v>
      </c>
      <c r="M1361" s="10">
        <v>1</v>
      </c>
      <c r="N1361" s="10"/>
      <c r="O1361" s="10"/>
      <c r="P1361" s="10" t="s">
        <v>12202</v>
      </c>
      <c r="Q1361" s="10" t="s">
        <v>12203</v>
      </c>
      <c r="R1361" s="10" t="s">
        <v>12204</v>
      </c>
      <c r="S1361" s="10" t="s">
        <v>53</v>
      </c>
      <c r="T1361" s="10" t="s">
        <v>54</v>
      </c>
    </row>
    <row r="1362" spans="1:20" ht="14.5" x14ac:dyDescent="0.35">
      <c r="A1362" s="10" t="s">
        <v>12205</v>
      </c>
      <c r="B1362" s="10" t="str">
        <f>"9780805846782"</f>
        <v>9780805846782</v>
      </c>
      <c r="C1362" s="10" t="str">
        <f>"9781410609335"</f>
        <v>9781410609335</v>
      </c>
      <c r="D1362" s="10" t="s">
        <v>6350</v>
      </c>
      <c r="E1362" s="10" t="s">
        <v>6351</v>
      </c>
      <c r="F1362" s="10" t="s">
        <v>4325</v>
      </c>
      <c r="G1362" s="10" t="s">
        <v>6317</v>
      </c>
      <c r="H1362" s="11">
        <v>37865</v>
      </c>
      <c r="I1362" s="10">
        <v>2003</v>
      </c>
      <c r="J1362" s="10" t="s">
        <v>6353</v>
      </c>
      <c r="K1362" s="10">
        <v>259</v>
      </c>
      <c r="L1362" s="10" t="s">
        <v>12206</v>
      </c>
      <c r="M1362" s="10">
        <v>1</v>
      </c>
      <c r="N1362" s="10"/>
      <c r="O1362" s="10"/>
      <c r="P1362" s="10" t="s">
        <v>12207</v>
      </c>
      <c r="Q1362" s="10" t="s">
        <v>12208</v>
      </c>
      <c r="R1362" s="10" t="s">
        <v>12209</v>
      </c>
      <c r="S1362" s="10" t="s">
        <v>53</v>
      </c>
      <c r="T1362" s="10" t="s">
        <v>54</v>
      </c>
    </row>
    <row r="1363" spans="1:20" ht="14.5" x14ac:dyDescent="0.35">
      <c r="A1363" s="10" t="s">
        <v>12210</v>
      </c>
      <c r="B1363" s="10" t="str">
        <f>"9780805842777"</f>
        <v>9780805842777</v>
      </c>
      <c r="C1363" s="10" t="str">
        <f>"9781410609328"</f>
        <v>9781410609328</v>
      </c>
      <c r="D1363" s="10" t="s">
        <v>6350</v>
      </c>
      <c r="E1363" s="10" t="s">
        <v>6351</v>
      </c>
      <c r="F1363" s="10" t="s">
        <v>4325</v>
      </c>
      <c r="G1363" s="10" t="s">
        <v>6317</v>
      </c>
      <c r="H1363" s="11">
        <v>37865</v>
      </c>
      <c r="I1363" s="10">
        <v>2003</v>
      </c>
      <c r="J1363" s="10" t="s">
        <v>6353</v>
      </c>
      <c r="K1363" s="10">
        <v>319</v>
      </c>
      <c r="L1363" s="10" t="s">
        <v>12211</v>
      </c>
      <c r="M1363" s="10">
        <v>1</v>
      </c>
      <c r="N1363" s="10"/>
      <c r="O1363" s="10"/>
      <c r="P1363" s="10" t="s">
        <v>12212</v>
      </c>
      <c r="Q1363" s="10">
        <v>306.44</v>
      </c>
      <c r="R1363" s="10" t="s">
        <v>12213</v>
      </c>
      <c r="S1363" s="10" t="s">
        <v>53</v>
      </c>
      <c r="T1363" s="10" t="s">
        <v>6472</v>
      </c>
    </row>
    <row r="1364" spans="1:20" ht="14.5" x14ac:dyDescent="0.35">
      <c r="A1364" s="10" t="s">
        <v>12214</v>
      </c>
      <c r="B1364" s="10" t="str">
        <f>"9781402066696"</f>
        <v>9781402066696</v>
      </c>
      <c r="C1364" s="10" t="str">
        <f>"9781402066702"</f>
        <v>9781402066702</v>
      </c>
      <c r="D1364" s="10" t="s">
        <v>11249</v>
      </c>
      <c r="E1364" s="10" t="s">
        <v>12215</v>
      </c>
      <c r="F1364" s="10" t="s">
        <v>206</v>
      </c>
      <c r="G1364" s="10" t="s">
        <v>9233</v>
      </c>
      <c r="H1364" s="11">
        <v>39430</v>
      </c>
      <c r="I1364" s="10">
        <v>2007</v>
      </c>
      <c r="J1364" s="10" t="s">
        <v>12215</v>
      </c>
      <c r="K1364" s="10">
        <v>295</v>
      </c>
      <c r="L1364" s="10" t="s">
        <v>12216</v>
      </c>
      <c r="M1364" s="10">
        <v>1</v>
      </c>
      <c r="N1364" s="10" t="s">
        <v>12217</v>
      </c>
      <c r="O1364" s="10"/>
      <c r="P1364" s="10" t="s">
        <v>12218</v>
      </c>
      <c r="Q1364" s="10">
        <v>507.12</v>
      </c>
      <c r="R1364" s="10" t="s">
        <v>12219</v>
      </c>
      <c r="S1364" s="10" t="s">
        <v>53</v>
      </c>
      <c r="T1364" s="10" t="s">
        <v>9608</v>
      </c>
    </row>
    <row r="1365" spans="1:20" ht="14.5" x14ac:dyDescent="0.35">
      <c r="A1365" s="10" t="s">
        <v>12220</v>
      </c>
      <c r="B1365" s="10" t="str">
        <f>"9781843108658"</f>
        <v>9781843108658</v>
      </c>
      <c r="C1365" s="10" t="str">
        <f>"9781846426728"</f>
        <v>9781846426728</v>
      </c>
      <c r="D1365" s="10" t="s">
        <v>10516</v>
      </c>
      <c r="E1365" s="10" t="s">
        <v>10516</v>
      </c>
      <c r="F1365" s="10" t="s">
        <v>139</v>
      </c>
      <c r="G1365" s="10" t="s">
        <v>6352</v>
      </c>
      <c r="H1365" s="11">
        <v>39370</v>
      </c>
      <c r="I1365" s="10">
        <v>2007</v>
      </c>
      <c r="J1365" s="10" t="s">
        <v>10516</v>
      </c>
      <c r="K1365" s="10">
        <v>161</v>
      </c>
      <c r="L1365" s="10" t="s">
        <v>10739</v>
      </c>
      <c r="M1365" s="10">
        <v>1</v>
      </c>
      <c r="N1365" s="10" t="s">
        <v>10831</v>
      </c>
      <c r="O1365" s="10"/>
      <c r="P1365" s="10" t="s">
        <v>12221</v>
      </c>
      <c r="Q1365" s="10">
        <v>616.85889999999995</v>
      </c>
      <c r="R1365" s="10" t="s">
        <v>12222</v>
      </c>
      <c r="S1365" s="10" t="s">
        <v>53</v>
      </c>
      <c r="T1365" s="10" t="s">
        <v>8625</v>
      </c>
    </row>
    <row r="1366" spans="1:20" ht="14.5" x14ac:dyDescent="0.35">
      <c r="A1366" s="10" t="s">
        <v>12223</v>
      </c>
      <c r="B1366" s="10" t="str">
        <f>"9781843105930"</f>
        <v>9781843105930</v>
      </c>
      <c r="C1366" s="10" t="str">
        <f>"9781846426742"</f>
        <v>9781846426742</v>
      </c>
      <c r="D1366" s="10" t="s">
        <v>10516</v>
      </c>
      <c r="E1366" s="10" t="s">
        <v>10516</v>
      </c>
      <c r="F1366" s="10" t="s">
        <v>139</v>
      </c>
      <c r="G1366" s="10" t="s">
        <v>6352</v>
      </c>
      <c r="H1366" s="11">
        <v>39370</v>
      </c>
      <c r="I1366" s="10">
        <v>2007</v>
      </c>
      <c r="J1366" s="10" t="s">
        <v>10516</v>
      </c>
      <c r="K1366" s="10">
        <v>178</v>
      </c>
      <c r="L1366" s="10" t="s">
        <v>12224</v>
      </c>
      <c r="M1366" s="10">
        <v>1</v>
      </c>
      <c r="N1366" s="10" t="s">
        <v>10831</v>
      </c>
      <c r="O1366" s="10"/>
      <c r="P1366" s="10" t="s">
        <v>12225</v>
      </c>
      <c r="Q1366" s="10" t="s">
        <v>10807</v>
      </c>
      <c r="R1366" s="10" t="s">
        <v>12226</v>
      </c>
      <c r="S1366" s="10" t="s">
        <v>53</v>
      </c>
      <c r="T1366" s="10" t="s">
        <v>8681</v>
      </c>
    </row>
    <row r="1367" spans="1:20" ht="14.5" x14ac:dyDescent="0.35">
      <c r="A1367" s="10" t="s">
        <v>12227</v>
      </c>
      <c r="B1367" s="10" t="str">
        <f>""</f>
        <v/>
      </c>
      <c r="C1367" s="10" t="str">
        <f>"9781775563082"</f>
        <v>9781775563082</v>
      </c>
      <c r="D1367" s="10" t="s">
        <v>12228</v>
      </c>
      <c r="E1367" s="10" t="s">
        <v>12229</v>
      </c>
      <c r="F1367" s="10" t="s">
        <v>12230</v>
      </c>
      <c r="G1367" s="10" t="s">
        <v>12231</v>
      </c>
      <c r="H1367" s="11">
        <v>39814</v>
      </c>
      <c r="I1367" s="10">
        <v>2009</v>
      </c>
      <c r="J1367" s="10" t="s">
        <v>12229</v>
      </c>
      <c r="K1367" s="10">
        <v>355</v>
      </c>
      <c r="L1367" s="10" t="s">
        <v>12232</v>
      </c>
      <c r="M1367" s="10">
        <v>1</v>
      </c>
      <c r="N1367" s="10"/>
      <c r="O1367" s="10"/>
      <c r="P1367" s="10" t="s">
        <v>12233</v>
      </c>
      <c r="Q1367" s="10">
        <v>786.10924</v>
      </c>
      <c r="R1367" s="10" t="s">
        <v>12234</v>
      </c>
      <c r="S1367" s="10" t="s">
        <v>53</v>
      </c>
      <c r="T1367" s="10" t="s">
        <v>6384</v>
      </c>
    </row>
    <row r="1368" spans="1:20" ht="14.5" x14ac:dyDescent="0.35">
      <c r="A1368" s="10" t="s">
        <v>12235</v>
      </c>
      <c r="B1368" s="10" t="str">
        <f>""</f>
        <v/>
      </c>
      <c r="C1368" s="10" t="str">
        <f>"9781775563419"</f>
        <v>9781775563419</v>
      </c>
      <c r="D1368" s="10" t="s">
        <v>12228</v>
      </c>
      <c r="E1368" s="10" t="s">
        <v>12229</v>
      </c>
      <c r="F1368" s="10" t="s">
        <v>12230</v>
      </c>
      <c r="G1368" s="10" t="s">
        <v>12231</v>
      </c>
      <c r="H1368" s="11">
        <v>39814</v>
      </c>
      <c r="I1368" s="10">
        <v>2008</v>
      </c>
      <c r="J1368" s="10" t="s">
        <v>12229</v>
      </c>
      <c r="K1368" s="10">
        <v>290</v>
      </c>
      <c r="L1368" s="10" t="s">
        <v>12236</v>
      </c>
      <c r="M1368" s="10">
        <v>1</v>
      </c>
      <c r="N1368" s="10"/>
      <c r="O1368" s="10"/>
      <c r="P1368" s="10" t="s">
        <v>12237</v>
      </c>
      <c r="Q1368" s="10">
        <v>882.01</v>
      </c>
      <c r="R1368" s="10" t="s">
        <v>12238</v>
      </c>
      <c r="S1368" s="10" t="s">
        <v>53</v>
      </c>
      <c r="T1368" s="10" t="s">
        <v>1166</v>
      </c>
    </row>
    <row r="1369" spans="1:20" ht="14.5" x14ac:dyDescent="0.35">
      <c r="A1369" s="10" t="s">
        <v>12239</v>
      </c>
      <c r="B1369" s="10" t="str">
        <f>""</f>
        <v/>
      </c>
      <c r="C1369" s="10" t="str">
        <f>"9781775563068"</f>
        <v>9781775563068</v>
      </c>
      <c r="D1369" s="10" t="s">
        <v>12228</v>
      </c>
      <c r="E1369" s="10" t="s">
        <v>12229</v>
      </c>
      <c r="F1369" s="10" t="s">
        <v>12230</v>
      </c>
      <c r="G1369" s="10" t="s">
        <v>12231</v>
      </c>
      <c r="H1369" s="11">
        <v>33673</v>
      </c>
      <c r="I1369" s="10">
        <v>2008</v>
      </c>
      <c r="J1369" s="10" t="s">
        <v>12229</v>
      </c>
      <c r="K1369" s="10">
        <v>631</v>
      </c>
      <c r="L1369" s="10" t="s">
        <v>12240</v>
      </c>
      <c r="M1369" s="10">
        <v>1</v>
      </c>
      <c r="N1369" s="10"/>
      <c r="O1369" s="10"/>
      <c r="P1369" s="10" t="s">
        <v>12241</v>
      </c>
      <c r="Q1369" s="10" t="s">
        <v>12242</v>
      </c>
      <c r="R1369" s="10" t="s">
        <v>12243</v>
      </c>
      <c r="S1369" s="10" t="s">
        <v>53</v>
      </c>
      <c r="T1369" s="10" t="s">
        <v>12244</v>
      </c>
    </row>
    <row r="1370" spans="1:20" ht="14.5" x14ac:dyDescent="0.35">
      <c r="A1370" s="10" t="s">
        <v>12245</v>
      </c>
      <c r="B1370" s="10" t="str">
        <f>""</f>
        <v/>
      </c>
      <c r="C1370" s="10" t="str">
        <f>"9781775563303"</f>
        <v>9781775563303</v>
      </c>
      <c r="D1370" s="10" t="s">
        <v>12228</v>
      </c>
      <c r="E1370" s="10" t="s">
        <v>12229</v>
      </c>
      <c r="F1370" s="10" t="s">
        <v>12230</v>
      </c>
      <c r="G1370" s="10" t="s">
        <v>12231</v>
      </c>
      <c r="H1370" s="11">
        <v>42416</v>
      </c>
      <c r="I1370" s="10">
        <v>2008</v>
      </c>
      <c r="J1370" s="10" t="s">
        <v>12229</v>
      </c>
      <c r="K1370" s="10">
        <v>118</v>
      </c>
      <c r="L1370" s="10" t="s">
        <v>12246</v>
      </c>
      <c r="M1370" s="10">
        <v>1</v>
      </c>
      <c r="N1370" s="10"/>
      <c r="O1370" s="10"/>
      <c r="P1370" s="10" t="s">
        <v>12247</v>
      </c>
      <c r="Q1370" s="10">
        <v>822.91399999999999</v>
      </c>
      <c r="R1370" s="10" t="s">
        <v>12248</v>
      </c>
      <c r="S1370" s="10" t="s">
        <v>53</v>
      </c>
      <c r="T1370" s="10" t="s">
        <v>12249</v>
      </c>
    </row>
    <row r="1371" spans="1:20" ht="14.5" x14ac:dyDescent="0.35">
      <c r="A1371" s="10" t="s">
        <v>12250</v>
      </c>
      <c r="B1371" s="10" t="str">
        <f>"9780813542058"</f>
        <v>9780813542058</v>
      </c>
      <c r="C1371" s="10" t="str">
        <f>"9780813543932"</f>
        <v>9780813543932</v>
      </c>
      <c r="D1371" s="10" t="s">
        <v>12251</v>
      </c>
      <c r="E1371" s="10" t="s">
        <v>12251</v>
      </c>
      <c r="F1371" s="10" t="s">
        <v>2510</v>
      </c>
      <c r="G1371" s="10" t="s">
        <v>6317</v>
      </c>
      <c r="H1371" s="11">
        <v>39401</v>
      </c>
      <c r="I1371" s="10">
        <v>2007</v>
      </c>
      <c r="J1371" s="10" t="s">
        <v>12251</v>
      </c>
      <c r="K1371" s="10">
        <v>387</v>
      </c>
      <c r="L1371" s="10" t="s">
        <v>12252</v>
      </c>
      <c r="M1371" s="10">
        <v>1</v>
      </c>
      <c r="N1371" s="10"/>
      <c r="O1371" s="10"/>
      <c r="P1371" s="10" t="s">
        <v>12253</v>
      </c>
      <c r="Q1371" s="10" t="s">
        <v>12254</v>
      </c>
      <c r="R1371" s="10"/>
      <c r="S1371" s="10" t="s">
        <v>53</v>
      </c>
      <c r="T1371" s="10" t="s">
        <v>5396</v>
      </c>
    </row>
    <row r="1372" spans="1:20" ht="14.5" x14ac:dyDescent="0.35">
      <c r="A1372" s="10" t="s">
        <v>12255</v>
      </c>
      <c r="B1372" s="10" t="str">
        <f>"9781416606772"</f>
        <v>9781416606772</v>
      </c>
      <c r="C1372" s="10" t="str">
        <f>"9781416607533"</f>
        <v>9781416607533</v>
      </c>
      <c r="D1372" s="10" t="s">
        <v>10014</v>
      </c>
      <c r="E1372" s="10" t="s">
        <v>10015</v>
      </c>
      <c r="F1372" s="10" t="s">
        <v>201</v>
      </c>
      <c r="G1372" s="10" t="s">
        <v>6317</v>
      </c>
      <c r="H1372" s="11">
        <v>39568</v>
      </c>
      <c r="I1372" s="10">
        <v>2008</v>
      </c>
      <c r="J1372" s="10" t="s">
        <v>10015</v>
      </c>
      <c r="K1372" s="10">
        <v>131</v>
      </c>
      <c r="L1372" s="10" t="s">
        <v>12256</v>
      </c>
      <c r="M1372" s="10">
        <v>1</v>
      </c>
      <c r="N1372" s="10"/>
      <c r="O1372" s="10"/>
      <c r="P1372" s="10" t="s">
        <v>12257</v>
      </c>
      <c r="Q1372" s="10" t="s">
        <v>12258</v>
      </c>
      <c r="R1372" s="10"/>
      <c r="S1372" s="10" t="s">
        <v>53</v>
      </c>
      <c r="T1372" s="10" t="s">
        <v>6634</v>
      </c>
    </row>
    <row r="1373" spans="1:20" ht="14.5" x14ac:dyDescent="0.35">
      <c r="A1373" s="10" t="s">
        <v>12259</v>
      </c>
      <c r="B1373" s="10" t="str">
        <f>"9781416606475"</f>
        <v>9781416606475</v>
      </c>
      <c r="C1373" s="10" t="str">
        <f>"9781416607564"</f>
        <v>9781416607564</v>
      </c>
      <c r="D1373" s="10" t="s">
        <v>10014</v>
      </c>
      <c r="E1373" s="10" t="s">
        <v>10015</v>
      </c>
      <c r="F1373" s="10" t="s">
        <v>201</v>
      </c>
      <c r="G1373" s="10" t="s">
        <v>6317</v>
      </c>
      <c r="H1373" s="11">
        <v>39558</v>
      </c>
      <c r="I1373" s="10">
        <v>2008</v>
      </c>
      <c r="J1373" s="10" t="s">
        <v>10015</v>
      </c>
      <c r="K1373" s="10">
        <v>201</v>
      </c>
      <c r="L1373" s="10" t="s">
        <v>12260</v>
      </c>
      <c r="M1373" s="10">
        <v>1</v>
      </c>
      <c r="N1373" s="10"/>
      <c r="O1373" s="10"/>
      <c r="P1373" s="10" t="s">
        <v>12261</v>
      </c>
      <c r="Q1373" s="10" t="s">
        <v>12262</v>
      </c>
      <c r="R1373" s="10" t="s">
        <v>12263</v>
      </c>
      <c r="S1373" s="10" t="s">
        <v>53</v>
      </c>
      <c r="T1373" s="10" t="s">
        <v>54</v>
      </c>
    </row>
    <row r="1374" spans="1:20" ht="14.5" x14ac:dyDescent="0.35">
      <c r="A1374" s="10" t="s">
        <v>12264</v>
      </c>
      <c r="B1374" s="10" t="str">
        <f>"9780761942283"</f>
        <v>9780761942283</v>
      </c>
      <c r="C1374" s="10" t="str">
        <f>"9781848600539"</f>
        <v>9781848600539</v>
      </c>
      <c r="D1374" s="10" t="s">
        <v>9325</v>
      </c>
      <c r="E1374" s="10" t="s">
        <v>9326</v>
      </c>
      <c r="F1374" s="10" t="s">
        <v>139</v>
      </c>
      <c r="G1374" s="10" t="s">
        <v>6352</v>
      </c>
      <c r="H1374" s="11">
        <v>37733</v>
      </c>
      <c r="I1374" s="10">
        <v>2003</v>
      </c>
      <c r="J1374" s="10" t="s">
        <v>9326</v>
      </c>
      <c r="K1374" s="10">
        <v>106</v>
      </c>
      <c r="L1374" s="10" t="s">
        <v>12265</v>
      </c>
      <c r="M1374" s="10">
        <v>1</v>
      </c>
      <c r="N1374" s="10"/>
      <c r="O1374" s="10"/>
      <c r="P1374" s="10" t="s">
        <v>12266</v>
      </c>
      <c r="Q1374" s="10" t="s">
        <v>12267</v>
      </c>
      <c r="R1374" s="10" t="s">
        <v>12268</v>
      </c>
      <c r="S1374" s="10" t="s">
        <v>53</v>
      </c>
      <c r="T1374" s="10" t="s">
        <v>54</v>
      </c>
    </row>
    <row r="1375" spans="1:20" ht="14.5" x14ac:dyDescent="0.35">
      <c r="A1375" s="10" t="s">
        <v>12269</v>
      </c>
      <c r="B1375" s="10" t="str">
        <f>"9780761947073"</f>
        <v>9780761947073</v>
      </c>
      <c r="C1375" s="10" t="str">
        <f>"9781847876584"</f>
        <v>9781847876584</v>
      </c>
      <c r="D1375" s="10" t="s">
        <v>9325</v>
      </c>
      <c r="E1375" s="10" t="s">
        <v>9326</v>
      </c>
      <c r="F1375" s="10" t="s">
        <v>139</v>
      </c>
      <c r="G1375" s="10" t="s">
        <v>6352</v>
      </c>
      <c r="H1375" s="11">
        <v>37768</v>
      </c>
      <c r="I1375" s="10">
        <v>2003</v>
      </c>
      <c r="J1375" s="10" t="s">
        <v>9326</v>
      </c>
      <c r="K1375" s="10">
        <v>550</v>
      </c>
      <c r="L1375" s="10" t="s">
        <v>12270</v>
      </c>
      <c r="M1375" s="10">
        <v>1</v>
      </c>
      <c r="N1375" s="10" t="s">
        <v>11996</v>
      </c>
      <c r="O1375" s="10"/>
      <c r="P1375" s="10" t="s">
        <v>12271</v>
      </c>
      <c r="Q1375" s="10" t="s">
        <v>11998</v>
      </c>
      <c r="R1375" s="10" t="s">
        <v>12272</v>
      </c>
      <c r="S1375" s="10" t="s">
        <v>53</v>
      </c>
      <c r="T1375" s="10" t="s">
        <v>54</v>
      </c>
    </row>
    <row r="1376" spans="1:20" ht="14.5" x14ac:dyDescent="0.35">
      <c r="A1376" s="10" t="s">
        <v>12273</v>
      </c>
      <c r="B1376" s="10" t="str">
        <f>"9781412900683"</f>
        <v>9781412900683</v>
      </c>
      <c r="C1376" s="10" t="str">
        <f>"9781848600676"</f>
        <v>9781848600676</v>
      </c>
      <c r="D1376" s="10" t="s">
        <v>9325</v>
      </c>
      <c r="E1376" s="10" t="s">
        <v>9326</v>
      </c>
      <c r="F1376" s="10" t="s">
        <v>139</v>
      </c>
      <c r="G1376" s="10" t="s">
        <v>6352</v>
      </c>
      <c r="H1376" s="11">
        <v>38247</v>
      </c>
      <c r="I1376" s="10">
        <v>2004</v>
      </c>
      <c r="J1376" s="10" t="s">
        <v>9326</v>
      </c>
      <c r="K1376" s="10">
        <v>285</v>
      </c>
      <c r="L1376" s="10" t="s">
        <v>12274</v>
      </c>
      <c r="M1376" s="10">
        <v>1</v>
      </c>
      <c r="N1376" s="10" t="s">
        <v>12043</v>
      </c>
      <c r="O1376" s="10"/>
      <c r="P1376" s="10" t="s">
        <v>12275</v>
      </c>
      <c r="Q1376" s="10" t="s">
        <v>8223</v>
      </c>
      <c r="R1376" s="10" t="s">
        <v>12276</v>
      </c>
      <c r="S1376" s="10" t="s">
        <v>53</v>
      </c>
      <c r="T1376" s="10" t="s">
        <v>54</v>
      </c>
    </row>
    <row r="1377" spans="1:20" ht="14.5" x14ac:dyDescent="0.35">
      <c r="A1377" s="10" t="s">
        <v>12277</v>
      </c>
      <c r="B1377" s="10" t="str">
        <f>"9781412901154"</f>
        <v>9781412901154</v>
      </c>
      <c r="C1377" s="10" t="str">
        <f>"9781848600706"</f>
        <v>9781848600706</v>
      </c>
      <c r="D1377" s="10" t="s">
        <v>9325</v>
      </c>
      <c r="E1377" s="10" t="s">
        <v>9326</v>
      </c>
      <c r="F1377" s="10" t="s">
        <v>139</v>
      </c>
      <c r="G1377" s="10" t="s">
        <v>6352</v>
      </c>
      <c r="H1377" s="11">
        <v>38492</v>
      </c>
      <c r="I1377" s="10">
        <v>2005</v>
      </c>
      <c r="J1377" s="10" t="s">
        <v>9326</v>
      </c>
      <c r="K1377" s="10">
        <v>202</v>
      </c>
      <c r="L1377" s="10" t="s">
        <v>12278</v>
      </c>
      <c r="M1377" s="10">
        <v>1</v>
      </c>
      <c r="N1377" s="10" t="s">
        <v>12043</v>
      </c>
      <c r="O1377" s="10"/>
      <c r="P1377" s="10" t="s">
        <v>12279</v>
      </c>
      <c r="Q1377" s="10">
        <v>378.2</v>
      </c>
      <c r="R1377" s="10" t="s">
        <v>8464</v>
      </c>
      <c r="S1377" s="10" t="s">
        <v>53</v>
      </c>
      <c r="T1377" s="10" t="s">
        <v>54</v>
      </c>
    </row>
    <row r="1378" spans="1:20" ht="14.5" x14ac:dyDescent="0.35">
      <c r="A1378" s="10" t="s">
        <v>12280</v>
      </c>
      <c r="B1378" s="10" t="str">
        <f>"9781412902410"</f>
        <v>9781412902410</v>
      </c>
      <c r="C1378" s="10" t="str">
        <f>"9781848600744"</f>
        <v>9781848600744</v>
      </c>
      <c r="D1378" s="10" t="s">
        <v>9325</v>
      </c>
      <c r="E1378" s="10" t="s">
        <v>9326</v>
      </c>
      <c r="F1378" s="10" t="s">
        <v>139</v>
      </c>
      <c r="G1378" s="10" t="s">
        <v>6352</v>
      </c>
      <c r="H1378" s="11">
        <v>38465</v>
      </c>
      <c r="I1378" s="10">
        <v>2005</v>
      </c>
      <c r="J1378" s="10" t="s">
        <v>9326</v>
      </c>
      <c r="K1378" s="10">
        <v>183</v>
      </c>
      <c r="L1378" s="10" t="s">
        <v>12281</v>
      </c>
      <c r="M1378" s="10">
        <v>1</v>
      </c>
      <c r="N1378" s="10"/>
      <c r="O1378" s="10"/>
      <c r="P1378" s="10" t="s">
        <v>12282</v>
      </c>
      <c r="Q1378" s="10" t="s">
        <v>12283</v>
      </c>
      <c r="R1378" s="10" t="s">
        <v>7206</v>
      </c>
      <c r="S1378" s="10" t="s">
        <v>53</v>
      </c>
      <c r="T1378" s="10" t="s">
        <v>54</v>
      </c>
    </row>
    <row r="1379" spans="1:20" ht="14.5" x14ac:dyDescent="0.35">
      <c r="A1379" s="10" t="s">
        <v>12284</v>
      </c>
      <c r="B1379" s="10" t="str">
        <f>"9781412902816"</f>
        <v>9781412902816</v>
      </c>
      <c r="C1379" s="10" t="str">
        <f>"9781848600751"</f>
        <v>9781848600751</v>
      </c>
      <c r="D1379" s="10" t="s">
        <v>9325</v>
      </c>
      <c r="E1379" s="10" t="s">
        <v>9326</v>
      </c>
      <c r="F1379" s="10" t="s">
        <v>139</v>
      </c>
      <c r="G1379" s="10" t="s">
        <v>6352</v>
      </c>
      <c r="H1379" s="11">
        <v>38306</v>
      </c>
      <c r="I1379" s="10">
        <v>2005</v>
      </c>
      <c r="J1379" s="10" t="s">
        <v>9326</v>
      </c>
      <c r="K1379" s="10">
        <v>148</v>
      </c>
      <c r="L1379" s="10" t="s">
        <v>12285</v>
      </c>
      <c r="M1379" s="10">
        <v>1</v>
      </c>
      <c r="N1379" s="10"/>
      <c r="O1379" s="10"/>
      <c r="P1379" s="10" t="s">
        <v>12286</v>
      </c>
      <c r="Q1379" s="10" t="s">
        <v>12287</v>
      </c>
      <c r="R1379" s="10" t="s">
        <v>12288</v>
      </c>
      <c r="S1379" s="10" t="s">
        <v>53</v>
      </c>
      <c r="T1379" s="10" t="s">
        <v>54</v>
      </c>
    </row>
    <row r="1380" spans="1:20" ht="14.5" x14ac:dyDescent="0.35">
      <c r="A1380" s="10" t="s">
        <v>12289</v>
      </c>
      <c r="B1380" s="10" t="str">
        <f>"9781412903264"</f>
        <v>9781412903264</v>
      </c>
      <c r="C1380" s="10" t="str">
        <f>"9781848600768"</f>
        <v>9781848600768</v>
      </c>
      <c r="D1380" s="10" t="s">
        <v>9325</v>
      </c>
      <c r="E1380" s="10" t="s">
        <v>9326</v>
      </c>
      <c r="F1380" s="10" t="s">
        <v>139</v>
      </c>
      <c r="G1380" s="10" t="s">
        <v>6352</v>
      </c>
      <c r="H1380" s="11">
        <v>38492</v>
      </c>
      <c r="I1380" s="10">
        <v>2005</v>
      </c>
      <c r="J1380" s="10" t="s">
        <v>9326</v>
      </c>
      <c r="K1380" s="10">
        <v>188</v>
      </c>
      <c r="L1380" s="10" t="s">
        <v>12270</v>
      </c>
      <c r="M1380" s="10">
        <v>1</v>
      </c>
      <c r="N1380" s="10" t="s">
        <v>12043</v>
      </c>
      <c r="O1380" s="10"/>
      <c r="P1380" s="10" t="s">
        <v>12290</v>
      </c>
      <c r="Q1380" s="10">
        <v>378.17028099999999</v>
      </c>
      <c r="R1380" s="10" t="s">
        <v>12291</v>
      </c>
      <c r="S1380" s="10" t="s">
        <v>53</v>
      </c>
      <c r="T1380" s="10" t="s">
        <v>54</v>
      </c>
    </row>
    <row r="1381" spans="1:20" ht="14.5" x14ac:dyDescent="0.35">
      <c r="A1381" s="10" t="s">
        <v>12292</v>
      </c>
      <c r="B1381" s="10" t="str">
        <f>"9781412908290"</f>
        <v>9781412908290</v>
      </c>
      <c r="C1381" s="10" t="str">
        <f>"9781848600829"</f>
        <v>9781848600829</v>
      </c>
      <c r="D1381" s="10" t="s">
        <v>9325</v>
      </c>
      <c r="E1381" s="10" t="s">
        <v>9326</v>
      </c>
      <c r="F1381" s="10" t="s">
        <v>139</v>
      </c>
      <c r="G1381" s="10" t="s">
        <v>6352</v>
      </c>
      <c r="H1381" s="11">
        <v>38434</v>
      </c>
      <c r="I1381" s="10">
        <v>2005</v>
      </c>
      <c r="J1381" s="10" t="s">
        <v>9326</v>
      </c>
      <c r="K1381" s="10">
        <v>167</v>
      </c>
      <c r="L1381" s="10" t="s">
        <v>12293</v>
      </c>
      <c r="M1381" s="10">
        <v>1</v>
      </c>
      <c r="N1381" s="10"/>
      <c r="O1381" s="10"/>
      <c r="P1381" s="10" t="s">
        <v>12294</v>
      </c>
      <c r="Q1381" s="10">
        <v>1.4071</v>
      </c>
      <c r="R1381" s="10" t="s">
        <v>12295</v>
      </c>
      <c r="S1381" s="10" t="s">
        <v>53</v>
      </c>
      <c r="T1381" s="10" t="s">
        <v>9590</v>
      </c>
    </row>
    <row r="1382" spans="1:20" ht="14.5" x14ac:dyDescent="0.35">
      <c r="A1382" s="10" t="s">
        <v>12296</v>
      </c>
      <c r="B1382" s="10" t="str">
        <f>"9781412910415"</f>
        <v>9781412910415</v>
      </c>
      <c r="C1382" s="10" t="str">
        <f>"9781848600836"</f>
        <v>9781848600836</v>
      </c>
      <c r="D1382" s="10" t="s">
        <v>9325</v>
      </c>
      <c r="E1382" s="10" t="s">
        <v>9326</v>
      </c>
      <c r="F1382" s="10" t="s">
        <v>139</v>
      </c>
      <c r="G1382" s="10" t="s">
        <v>6352</v>
      </c>
      <c r="H1382" s="11">
        <v>38580</v>
      </c>
      <c r="I1382" s="10">
        <v>2005</v>
      </c>
      <c r="J1382" s="10" t="s">
        <v>9326</v>
      </c>
      <c r="K1382" s="10">
        <v>196</v>
      </c>
      <c r="L1382" s="10" t="s">
        <v>12297</v>
      </c>
      <c r="M1382" s="10">
        <v>1</v>
      </c>
      <c r="N1382" s="10"/>
      <c r="O1382" s="10"/>
      <c r="P1382" s="10" t="s">
        <v>12298</v>
      </c>
      <c r="Q1382" s="10">
        <v>371.20699999999999</v>
      </c>
      <c r="R1382" s="10" t="s">
        <v>12137</v>
      </c>
      <c r="S1382" s="10" t="s">
        <v>53</v>
      </c>
      <c r="T1382" s="10" t="s">
        <v>54</v>
      </c>
    </row>
    <row r="1383" spans="1:20" ht="14.5" x14ac:dyDescent="0.35">
      <c r="A1383" s="10" t="s">
        <v>12299</v>
      </c>
      <c r="B1383" s="10" t="str">
        <f>"9780805858419"</f>
        <v>9780805858419</v>
      </c>
      <c r="C1383" s="10" t="str">
        <f>"9780203894514"</f>
        <v>9780203894514</v>
      </c>
      <c r="D1383" s="10" t="s">
        <v>6350</v>
      </c>
      <c r="E1383" s="10" t="s">
        <v>6351</v>
      </c>
      <c r="F1383" s="10" t="s">
        <v>70</v>
      </c>
      <c r="G1383" s="10" t="s">
        <v>6317</v>
      </c>
      <c r="H1383" s="11">
        <v>39612</v>
      </c>
      <c r="I1383" s="10">
        <v>2008</v>
      </c>
      <c r="J1383" s="10" t="s">
        <v>6353</v>
      </c>
      <c r="K1383" s="10">
        <v>257</v>
      </c>
      <c r="L1383" s="10" t="s">
        <v>12300</v>
      </c>
      <c r="M1383" s="10">
        <v>1</v>
      </c>
      <c r="N1383" s="10" t="s">
        <v>8813</v>
      </c>
      <c r="O1383" s="10"/>
      <c r="P1383" s="10" t="s">
        <v>12301</v>
      </c>
      <c r="Q1383" s="10">
        <v>379.73</v>
      </c>
      <c r="R1383" s="10" t="s">
        <v>12302</v>
      </c>
      <c r="S1383" s="10" t="s">
        <v>53</v>
      </c>
      <c r="T1383" s="10" t="s">
        <v>54</v>
      </c>
    </row>
    <row r="1384" spans="1:20" ht="14.5" x14ac:dyDescent="0.35">
      <c r="A1384" s="10" t="s">
        <v>12303</v>
      </c>
      <c r="B1384" s="10" t="str">
        <f>"9780805845150"</f>
        <v>9780805845150</v>
      </c>
      <c r="C1384" s="10" t="str">
        <f>"9781410607188"</f>
        <v>9781410607188</v>
      </c>
      <c r="D1384" s="10" t="s">
        <v>6350</v>
      </c>
      <c r="E1384" s="10" t="s">
        <v>6351</v>
      </c>
      <c r="F1384" s="10" t="s">
        <v>748</v>
      </c>
      <c r="G1384" s="10" t="s">
        <v>6352</v>
      </c>
      <c r="H1384" s="11">
        <v>37622</v>
      </c>
      <c r="I1384" s="10">
        <v>2003</v>
      </c>
      <c r="J1384" s="10" t="s">
        <v>6351</v>
      </c>
      <c r="K1384" s="10">
        <v>341</v>
      </c>
      <c r="L1384" s="10" t="s">
        <v>12304</v>
      </c>
      <c r="M1384" s="10">
        <v>1</v>
      </c>
      <c r="N1384" s="10" t="s">
        <v>8813</v>
      </c>
      <c r="O1384" s="10"/>
      <c r="P1384" s="10" t="s">
        <v>12305</v>
      </c>
      <c r="Q1384" s="10" t="s">
        <v>12306</v>
      </c>
      <c r="R1384" s="10" t="s">
        <v>12307</v>
      </c>
      <c r="S1384" s="10" t="s">
        <v>53</v>
      </c>
      <c r="T1384" s="10" t="s">
        <v>54</v>
      </c>
    </row>
    <row r="1385" spans="1:20" ht="14.5" x14ac:dyDescent="0.35">
      <c r="A1385" s="10" t="s">
        <v>12308</v>
      </c>
      <c r="B1385" s="10" t="str">
        <f>"9780805843170"</f>
        <v>9780805843170</v>
      </c>
      <c r="C1385" s="10" t="str">
        <f>"9781410607546"</f>
        <v>9781410607546</v>
      </c>
      <c r="D1385" s="10" t="s">
        <v>6350</v>
      </c>
      <c r="E1385" s="10" t="s">
        <v>6351</v>
      </c>
      <c r="F1385" s="10" t="s">
        <v>4325</v>
      </c>
      <c r="G1385" s="10" t="s">
        <v>6317</v>
      </c>
      <c r="H1385" s="11">
        <v>37712</v>
      </c>
      <c r="I1385" s="10">
        <v>2003</v>
      </c>
      <c r="J1385" s="10" t="s">
        <v>6353</v>
      </c>
      <c r="K1385" s="10">
        <v>175</v>
      </c>
      <c r="L1385" s="10" t="s">
        <v>12309</v>
      </c>
      <c r="M1385" s="10">
        <v>1</v>
      </c>
      <c r="N1385" s="10" t="s">
        <v>12310</v>
      </c>
      <c r="O1385" s="10"/>
      <c r="P1385" s="10">
        <v>2002035396</v>
      </c>
      <c r="Q1385" s="10">
        <v>370.11409730000003</v>
      </c>
      <c r="R1385" s="10" t="s">
        <v>12311</v>
      </c>
      <c r="S1385" s="10" t="s">
        <v>53</v>
      </c>
      <c r="T1385" s="10" t="s">
        <v>54</v>
      </c>
    </row>
    <row r="1386" spans="1:20" ht="14.5" x14ac:dyDescent="0.35">
      <c r="A1386" s="10" t="s">
        <v>12312</v>
      </c>
      <c r="B1386" s="10" t="str">
        <f>"9780335221165"</f>
        <v>9780335221165</v>
      </c>
      <c r="C1386" s="10" t="str">
        <f>"9780335235476"</f>
        <v>9780335235476</v>
      </c>
      <c r="D1386" s="10" t="s">
        <v>10342</v>
      </c>
      <c r="E1386" s="10" t="s">
        <v>10343</v>
      </c>
      <c r="F1386" s="10" t="s">
        <v>10344</v>
      </c>
      <c r="G1386" s="10" t="s">
        <v>6352</v>
      </c>
      <c r="H1386" s="11">
        <v>39569</v>
      </c>
      <c r="I1386" s="10">
        <v>2008</v>
      </c>
      <c r="J1386" s="10" t="s">
        <v>10345</v>
      </c>
      <c r="K1386" s="10">
        <v>234</v>
      </c>
      <c r="L1386" s="10" t="s">
        <v>12313</v>
      </c>
      <c r="M1386" s="10">
        <v>3</v>
      </c>
      <c r="N1386" s="10" t="s">
        <v>10408</v>
      </c>
      <c r="O1386" s="10"/>
      <c r="P1386" s="10" t="s">
        <v>12314</v>
      </c>
      <c r="Q1386" s="10" t="s">
        <v>12315</v>
      </c>
      <c r="R1386" s="10" t="s">
        <v>12316</v>
      </c>
      <c r="S1386" s="10" t="s">
        <v>53</v>
      </c>
      <c r="T1386" s="10" t="s">
        <v>8424</v>
      </c>
    </row>
    <row r="1387" spans="1:20" ht="14.5" x14ac:dyDescent="0.35">
      <c r="A1387" s="10" t="s">
        <v>12317</v>
      </c>
      <c r="B1387" s="10" t="str">
        <f>"9780335222377"</f>
        <v>9780335222377</v>
      </c>
      <c r="C1387" s="10" t="str">
        <f>"9780335235490"</f>
        <v>9780335235490</v>
      </c>
      <c r="D1387" s="10" t="s">
        <v>10342</v>
      </c>
      <c r="E1387" s="10" t="s">
        <v>10343</v>
      </c>
      <c r="F1387" s="10" t="s">
        <v>856</v>
      </c>
      <c r="G1387" s="10" t="s">
        <v>6352</v>
      </c>
      <c r="H1387" s="11">
        <v>39569</v>
      </c>
      <c r="I1387" s="10">
        <v>2008</v>
      </c>
      <c r="J1387" s="10" t="s">
        <v>10345</v>
      </c>
      <c r="K1387" s="10">
        <v>191</v>
      </c>
      <c r="L1387" s="10" t="s">
        <v>12318</v>
      </c>
      <c r="M1387" s="10">
        <v>1</v>
      </c>
      <c r="N1387" s="10" t="s">
        <v>10347</v>
      </c>
      <c r="O1387" s="10"/>
      <c r="P1387" s="10" t="s">
        <v>12319</v>
      </c>
      <c r="Q1387" s="10">
        <v>370.15230000000003</v>
      </c>
      <c r="R1387" s="10" t="s">
        <v>12320</v>
      </c>
      <c r="S1387" s="10" t="s">
        <v>53</v>
      </c>
      <c r="T1387" s="10" t="s">
        <v>54</v>
      </c>
    </row>
    <row r="1388" spans="1:20" ht="14.5" x14ac:dyDescent="0.35">
      <c r="A1388" s="10" t="s">
        <v>12321</v>
      </c>
      <c r="B1388" s="10" t="str">
        <f>"9780335227174"</f>
        <v>9780335227174</v>
      </c>
      <c r="C1388" s="10" t="str">
        <f>"9780335235520"</f>
        <v>9780335235520</v>
      </c>
      <c r="D1388" s="10" t="s">
        <v>10342</v>
      </c>
      <c r="E1388" s="10" t="s">
        <v>10343</v>
      </c>
      <c r="F1388" s="10" t="s">
        <v>10344</v>
      </c>
      <c r="G1388" s="10" t="s">
        <v>6352</v>
      </c>
      <c r="H1388" s="11">
        <v>39539</v>
      </c>
      <c r="I1388" s="10">
        <v>2008</v>
      </c>
      <c r="J1388" s="10" t="s">
        <v>10345</v>
      </c>
      <c r="K1388" s="10">
        <v>252</v>
      </c>
      <c r="L1388" s="10" t="s">
        <v>12322</v>
      </c>
      <c r="M1388" s="10">
        <v>1</v>
      </c>
      <c r="N1388" s="10" t="s">
        <v>10408</v>
      </c>
      <c r="O1388" s="10"/>
      <c r="P1388" s="10" t="s">
        <v>12323</v>
      </c>
      <c r="Q1388" s="10">
        <v>821</v>
      </c>
      <c r="R1388" s="10" t="s">
        <v>12324</v>
      </c>
      <c r="S1388" s="10" t="s">
        <v>53</v>
      </c>
      <c r="T1388" s="10" t="s">
        <v>8424</v>
      </c>
    </row>
    <row r="1389" spans="1:20" ht="14.5" x14ac:dyDescent="0.35">
      <c r="A1389" s="10" t="s">
        <v>12325</v>
      </c>
      <c r="B1389" s="10" t="str">
        <f>"9780833042064"</f>
        <v>9780833042064</v>
      </c>
      <c r="C1389" s="10" t="str">
        <f>"9780833044365"</f>
        <v>9780833044365</v>
      </c>
      <c r="D1389" s="10" t="s">
        <v>8134</v>
      </c>
      <c r="E1389" s="10" t="s">
        <v>8135</v>
      </c>
      <c r="F1389" s="10" t="s">
        <v>8136</v>
      </c>
      <c r="G1389" s="10" t="s">
        <v>6317</v>
      </c>
      <c r="H1389" s="11">
        <v>39458</v>
      </c>
      <c r="I1389" s="10">
        <v>2008</v>
      </c>
      <c r="J1389" s="10" t="s">
        <v>8363</v>
      </c>
      <c r="K1389" s="10">
        <v>127</v>
      </c>
      <c r="L1389" s="10" t="s">
        <v>12326</v>
      </c>
      <c r="M1389" s="10">
        <v>1</v>
      </c>
      <c r="N1389" s="10"/>
      <c r="O1389" s="10"/>
      <c r="P1389" s="10" t="s">
        <v>12327</v>
      </c>
      <c r="Q1389" s="10">
        <v>371.20097939999999</v>
      </c>
      <c r="R1389" s="10" t="s">
        <v>12328</v>
      </c>
      <c r="S1389" s="10" t="s">
        <v>53</v>
      </c>
      <c r="T1389" s="10" t="s">
        <v>54</v>
      </c>
    </row>
    <row r="1390" spans="1:20" ht="14.5" x14ac:dyDescent="0.35">
      <c r="A1390" s="10" t="s">
        <v>12329</v>
      </c>
      <c r="B1390" s="10" t="str">
        <f>"9780833042361"</f>
        <v>9780833042361</v>
      </c>
      <c r="C1390" s="10" t="str">
        <f>"9780833044433"</f>
        <v>9780833044433</v>
      </c>
      <c r="D1390" s="10" t="s">
        <v>8134</v>
      </c>
      <c r="E1390" s="10" t="s">
        <v>8135</v>
      </c>
      <c r="F1390" s="10" t="s">
        <v>8136</v>
      </c>
      <c r="G1390" s="10" t="s">
        <v>6317</v>
      </c>
      <c r="H1390" s="11">
        <v>39388</v>
      </c>
      <c r="I1390" s="10">
        <v>2007</v>
      </c>
      <c r="J1390" s="10" t="s">
        <v>8363</v>
      </c>
      <c r="K1390" s="10">
        <v>129</v>
      </c>
      <c r="L1390" s="10" t="s">
        <v>12330</v>
      </c>
      <c r="M1390" s="10">
        <v>1</v>
      </c>
      <c r="N1390" s="10"/>
      <c r="O1390" s="10"/>
      <c r="P1390" s="10" t="s">
        <v>12331</v>
      </c>
      <c r="Q1390" s="10" t="s">
        <v>12332</v>
      </c>
      <c r="R1390" s="10" t="s">
        <v>12333</v>
      </c>
      <c r="S1390" s="10" t="s">
        <v>53</v>
      </c>
      <c r="T1390" s="10" t="s">
        <v>54</v>
      </c>
    </row>
    <row r="1391" spans="1:20" ht="14.5" x14ac:dyDescent="0.35">
      <c r="A1391" s="10" t="s">
        <v>12334</v>
      </c>
      <c r="B1391" s="10" t="str">
        <f>"9780833041654"</f>
        <v>9780833041654</v>
      </c>
      <c r="C1391" s="10" t="str">
        <f>"9780833044266"</f>
        <v>9780833044266</v>
      </c>
      <c r="D1391" s="10" t="s">
        <v>8134</v>
      </c>
      <c r="E1391" s="10" t="s">
        <v>8135</v>
      </c>
      <c r="F1391" s="10" t="s">
        <v>8136</v>
      </c>
      <c r="G1391" s="10" t="s">
        <v>6317</v>
      </c>
      <c r="H1391" s="11">
        <v>39401</v>
      </c>
      <c r="I1391" s="10">
        <v>2007</v>
      </c>
      <c r="J1391" s="10" t="s">
        <v>8363</v>
      </c>
      <c r="K1391" s="10">
        <v>55</v>
      </c>
      <c r="L1391" s="10" t="s">
        <v>12335</v>
      </c>
      <c r="M1391" s="10">
        <v>1</v>
      </c>
      <c r="N1391" s="10"/>
      <c r="O1391" s="10"/>
      <c r="P1391" s="10" t="s">
        <v>12336</v>
      </c>
      <c r="Q1391" s="10">
        <v>370.95362999999998</v>
      </c>
      <c r="R1391" s="10" t="s">
        <v>11794</v>
      </c>
      <c r="S1391" s="10" t="s">
        <v>53</v>
      </c>
      <c r="T1391" s="10" t="s">
        <v>54</v>
      </c>
    </row>
    <row r="1392" spans="1:20" ht="14.5" x14ac:dyDescent="0.35">
      <c r="A1392" s="10" t="s">
        <v>12337</v>
      </c>
      <c r="B1392" s="10" t="str">
        <f>"9780833043214"</f>
        <v>9780833043214</v>
      </c>
      <c r="C1392" s="10" t="str">
        <f>"9780833044471"</f>
        <v>9780833044471</v>
      </c>
      <c r="D1392" s="10" t="s">
        <v>8134</v>
      </c>
      <c r="E1392" s="10" t="s">
        <v>8135</v>
      </c>
      <c r="F1392" s="10" t="s">
        <v>8136</v>
      </c>
      <c r="G1392" s="10" t="s">
        <v>6317</v>
      </c>
      <c r="H1392" s="11">
        <v>39477</v>
      </c>
      <c r="I1392" s="10">
        <v>2008</v>
      </c>
      <c r="J1392" s="10" t="s">
        <v>8363</v>
      </c>
      <c r="K1392" s="10">
        <v>277</v>
      </c>
      <c r="L1392" s="10" t="s">
        <v>12338</v>
      </c>
      <c r="M1392" s="10">
        <v>1</v>
      </c>
      <c r="N1392" s="10"/>
      <c r="O1392" s="10"/>
      <c r="P1392" s="10" t="s">
        <v>12339</v>
      </c>
      <c r="Q1392" s="10" t="s">
        <v>12340</v>
      </c>
      <c r="R1392" s="10" t="s">
        <v>12341</v>
      </c>
      <c r="S1392" s="10" t="s">
        <v>53</v>
      </c>
      <c r="T1392" s="10" t="s">
        <v>54</v>
      </c>
    </row>
    <row r="1393" spans="1:20" ht="14.5" x14ac:dyDescent="0.35">
      <c r="A1393" s="10" t="s">
        <v>12342</v>
      </c>
      <c r="B1393" s="10" t="str">
        <f>"9780816600489"</f>
        <v>9780816600489</v>
      </c>
      <c r="C1393" s="10" t="str">
        <f>"9780816663651"</f>
        <v>9780816663651</v>
      </c>
      <c r="D1393" s="10" t="s">
        <v>11428</v>
      </c>
      <c r="E1393" s="10" t="s">
        <v>11428</v>
      </c>
      <c r="F1393" s="10" t="s">
        <v>2186</v>
      </c>
      <c r="G1393" s="10" t="s">
        <v>6317</v>
      </c>
      <c r="H1393" s="11">
        <v>17868</v>
      </c>
      <c r="I1393" s="10">
        <v>1948</v>
      </c>
      <c r="J1393" s="10" t="s">
        <v>11428</v>
      </c>
      <c r="K1393" s="10">
        <v>107</v>
      </c>
      <c r="L1393" s="10" t="s">
        <v>12343</v>
      </c>
      <c r="M1393" s="10">
        <v>1</v>
      </c>
      <c r="N1393" s="10"/>
      <c r="O1393" s="10"/>
      <c r="P1393" s="10" t="s">
        <v>12344</v>
      </c>
      <c r="Q1393" s="10">
        <v>378.73</v>
      </c>
      <c r="R1393" s="10" t="s">
        <v>12345</v>
      </c>
      <c r="S1393" s="10" t="s">
        <v>53</v>
      </c>
      <c r="T1393" s="10" t="s">
        <v>54</v>
      </c>
    </row>
    <row r="1394" spans="1:20" ht="14.5" x14ac:dyDescent="0.35">
      <c r="A1394" s="10" t="s">
        <v>12346</v>
      </c>
      <c r="B1394" s="10" t="str">
        <f>"9780816600892"</f>
        <v>9780816600892</v>
      </c>
      <c r="C1394" s="10" t="str">
        <f>"9780816663514"</f>
        <v>9780816663514</v>
      </c>
      <c r="D1394" s="10" t="s">
        <v>11428</v>
      </c>
      <c r="E1394" s="10" t="s">
        <v>11428</v>
      </c>
      <c r="F1394" s="10" t="s">
        <v>2186</v>
      </c>
      <c r="G1394" s="10" t="s">
        <v>6317</v>
      </c>
      <c r="H1394" s="11">
        <v>19360</v>
      </c>
      <c r="I1394" s="10">
        <v>1953</v>
      </c>
      <c r="J1394" s="10" t="s">
        <v>11428</v>
      </c>
      <c r="K1394" s="10">
        <v>221</v>
      </c>
      <c r="L1394" s="10" t="s">
        <v>12347</v>
      </c>
      <c r="M1394" s="10">
        <v>1</v>
      </c>
      <c r="N1394" s="10"/>
      <c r="O1394" s="10"/>
      <c r="P1394" s="10" t="s">
        <v>12348</v>
      </c>
      <c r="Q1394" s="10">
        <v>371.42</v>
      </c>
      <c r="R1394" s="10" t="s">
        <v>12349</v>
      </c>
      <c r="S1394" s="10" t="s">
        <v>53</v>
      </c>
      <c r="T1394" s="10" t="s">
        <v>54</v>
      </c>
    </row>
    <row r="1395" spans="1:20" ht="14.5" x14ac:dyDescent="0.35">
      <c r="A1395" s="10" t="s">
        <v>12350</v>
      </c>
      <c r="B1395" s="10" t="str">
        <f>"9780816600946"</f>
        <v>9780816600946</v>
      </c>
      <c r="C1395" s="10" t="str">
        <f>"9780816662234"</f>
        <v>9780816662234</v>
      </c>
      <c r="D1395" s="10" t="s">
        <v>11428</v>
      </c>
      <c r="E1395" s="10" t="s">
        <v>11428</v>
      </c>
      <c r="F1395" s="10" t="s">
        <v>2186</v>
      </c>
      <c r="G1395" s="10" t="s">
        <v>6317</v>
      </c>
      <c r="H1395" s="11">
        <v>19725</v>
      </c>
      <c r="I1395" s="10">
        <v>1954</v>
      </c>
      <c r="J1395" s="10" t="s">
        <v>11428</v>
      </c>
      <c r="K1395" s="10">
        <v>236</v>
      </c>
      <c r="L1395" s="10" t="s">
        <v>12351</v>
      </c>
      <c r="M1395" s="10">
        <v>1</v>
      </c>
      <c r="N1395" s="10"/>
      <c r="O1395" s="10"/>
      <c r="P1395" s="10" t="s">
        <v>12352</v>
      </c>
      <c r="Q1395" s="10">
        <v>378.77600000000001</v>
      </c>
      <c r="R1395" s="10" t="s">
        <v>12353</v>
      </c>
      <c r="S1395" s="10" t="s">
        <v>53</v>
      </c>
      <c r="T1395" s="10" t="s">
        <v>54</v>
      </c>
    </row>
    <row r="1396" spans="1:20" ht="14.5" x14ac:dyDescent="0.35">
      <c r="A1396" s="10" t="s">
        <v>12354</v>
      </c>
      <c r="B1396" s="10" t="str">
        <f>"9780816603152"</f>
        <v>9780816603152</v>
      </c>
      <c r="C1396" s="10" t="str">
        <f>"9780816663897"</f>
        <v>9780816663897</v>
      </c>
      <c r="D1396" s="10" t="s">
        <v>11428</v>
      </c>
      <c r="E1396" s="10" t="s">
        <v>11428</v>
      </c>
      <c r="F1396" s="10" t="s">
        <v>2186</v>
      </c>
      <c r="G1396" s="10" t="s">
        <v>6317</v>
      </c>
      <c r="H1396" s="11">
        <v>23377</v>
      </c>
      <c r="I1396" s="10">
        <v>1964</v>
      </c>
      <c r="J1396" s="10" t="s">
        <v>11428</v>
      </c>
      <c r="K1396" s="10">
        <v>488</v>
      </c>
      <c r="L1396" s="10" t="s">
        <v>12355</v>
      </c>
      <c r="M1396" s="10">
        <v>1</v>
      </c>
      <c r="N1396" s="10"/>
      <c r="O1396" s="10"/>
      <c r="P1396" s="10" t="s">
        <v>12356</v>
      </c>
      <c r="Q1396" s="10">
        <v>153.19999999999999</v>
      </c>
      <c r="R1396" s="10" t="s">
        <v>12357</v>
      </c>
      <c r="S1396" s="10" t="s">
        <v>53</v>
      </c>
      <c r="T1396" s="10" t="s">
        <v>6492</v>
      </c>
    </row>
    <row r="1397" spans="1:20" ht="14.5" x14ac:dyDescent="0.35">
      <c r="A1397" s="10" t="s">
        <v>12358</v>
      </c>
      <c r="B1397" s="10" t="str">
        <f>"9780816603596"</f>
        <v>9780816603596</v>
      </c>
      <c r="C1397" s="10" t="str">
        <f>"9780816661510"</f>
        <v>9780816661510</v>
      </c>
      <c r="D1397" s="10" t="s">
        <v>11428</v>
      </c>
      <c r="E1397" s="10" t="s">
        <v>11428</v>
      </c>
      <c r="F1397" s="10" t="s">
        <v>2186</v>
      </c>
      <c r="G1397" s="10" t="s">
        <v>6317</v>
      </c>
      <c r="H1397" s="11">
        <v>23743</v>
      </c>
      <c r="I1397" s="10">
        <v>1965</v>
      </c>
      <c r="J1397" s="10" t="s">
        <v>11428</v>
      </c>
      <c r="K1397" s="10">
        <v>208</v>
      </c>
      <c r="L1397" s="10" t="s">
        <v>12359</v>
      </c>
      <c r="M1397" s="10">
        <v>1</v>
      </c>
      <c r="N1397" s="10" t="s">
        <v>12360</v>
      </c>
      <c r="O1397" s="10"/>
      <c r="P1397" s="10" t="s">
        <v>12361</v>
      </c>
      <c r="Q1397" s="10" t="s">
        <v>12362</v>
      </c>
      <c r="R1397" s="10" t="s">
        <v>12363</v>
      </c>
      <c r="S1397" s="10" t="s">
        <v>53</v>
      </c>
      <c r="T1397" s="10" t="s">
        <v>6492</v>
      </c>
    </row>
    <row r="1398" spans="1:20" ht="14.5" x14ac:dyDescent="0.35">
      <c r="A1398" s="10" t="s">
        <v>12364</v>
      </c>
      <c r="B1398" s="10" t="str">
        <f>"9780816604098"</f>
        <v>9780816604098</v>
      </c>
      <c r="C1398" s="10" t="str">
        <f>"9780816664924"</f>
        <v>9780816664924</v>
      </c>
      <c r="D1398" s="10" t="s">
        <v>11428</v>
      </c>
      <c r="E1398" s="10" t="s">
        <v>11428</v>
      </c>
      <c r="F1398" s="10" t="s">
        <v>2186</v>
      </c>
      <c r="G1398" s="10" t="s">
        <v>6317</v>
      </c>
      <c r="H1398" s="11">
        <v>24108</v>
      </c>
      <c r="I1398" s="10">
        <v>1966</v>
      </c>
      <c r="J1398" s="10" t="s">
        <v>11428</v>
      </c>
      <c r="K1398" s="10">
        <v>210</v>
      </c>
      <c r="L1398" s="10" t="s">
        <v>12365</v>
      </c>
      <c r="M1398" s="10">
        <v>1</v>
      </c>
      <c r="N1398" s="10"/>
      <c r="O1398" s="10"/>
      <c r="P1398" s="10" t="s">
        <v>12366</v>
      </c>
      <c r="Q1398" s="10">
        <v>378.19810973</v>
      </c>
      <c r="R1398" s="10" t="s">
        <v>12367</v>
      </c>
      <c r="S1398" s="10" t="s">
        <v>53</v>
      </c>
      <c r="T1398" s="10" t="s">
        <v>54</v>
      </c>
    </row>
    <row r="1399" spans="1:20" ht="14.5" x14ac:dyDescent="0.35">
      <c r="A1399" s="10" t="s">
        <v>12368</v>
      </c>
      <c r="B1399" s="10" t="str">
        <f>"9780816604791"</f>
        <v>9780816604791</v>
      </c>
      <c r="C1399" s="10" t="str">
        <f>"9780816662579"</f>
        <v>9780816662579</v>
      </c>
      <c r="D1399" s="10" t="s">
        <v>11428</v>
      </c>
      <c r="E1399" s="10" t="s">
        <v>11428</v>
      </c>
      <c r="F1399" s="10" t="s">
        <v>2186</v>
      </c>
      <c r="G1399" s="10" t="s">
        <v>6317</v>
      </c>
      <c r="H1399" s="11">
        <v>24838</v>
      </c>
      <c r="I1399" s="10">
        <v>1968</v>
      </c>
      <c r="J1399" s="10" t="s">
        <v>11428</v>
      </c>
      <c r="K1399" s="10">
        <v>340</v>
      </c>
      <c r="L1399" s="10" t="s">
        <v>12369</v>
      </c>
      <c r="M1399" s="10">
        <v>1</v>
      </c>
      <c r="N1399" s="10"/>
      <c r="O1399" s="10"/>
      <c r="P1399" s="10" t="s">
        <v>12370</v>
      </c>
      <c r="Q1399" s="10" t="s">
        <v>12371</v>
      </c>
      <c r="R1399" s="10" t="s">
        <v>12372</v>
      </c>
      <c r="S1399" s="10" t="s">
        <v>53</v>
      </c>
      <c r="T1399" s="10" t="s">
        <v>54</v>
      </c>
    </row>
    <row r="1400" spans="1:20" ht="14.5" x14ac:dyDescent="0.35">
      <c r="A1400" s="10" t="s">
        <v>12373</v>
      </c>
      <c r="B1400" s="10" t="str">
        <f>"9780816606122"</f>
        <v>9780816606122</v>
      </c>
      <c r="C1400" s="10" t="str">
        <f>"9780816661619"</f>
        <v>9780816661619</v>
      </c>
      <c r="D1400" s="10" t="s">
        <v>11428</v>
      </c>
      <c r="E1400" s="10" t="s">
        <v>11428</v>
      </c>
      <c r="F1400" s="10" t="s">
        <v>2186</v>
      </c>
      <c r="G1400" s="10" t="s">
        <v>6317</v>
      </c>
      <c r="H1400" s="11">
        <v>25934</v>
      </c>
      <c r="I1400" s="10">
        <v>1971</v>
      </c>
      <c r="J1400" s="10" t="s">
        <v>11428</v>
      </c>
      <c r="K1400" s="10">
        <v>176</v>
      </c>
      <c r="L1400" s="10" t="s">
        <v>12374</v>
      </c>
      <c r="M1400" s="10">
        <v>1</v>
      </c>
      <c r="N1400" s="10"/>
      <c r="O1400" s="10"/>
      <c r="P1400" s="10" t="s">
        <v>12375</v>
      </c>
      <c r="Q1400" s="10" t="s">
        <v>12376</v>
      </c>
      <c r="R1400" s="10" t="s">
        <v>12377</v>
      </c>
      <c r="S1400" s="10" t="s">
        <v>53</v>
      </c>
      <c r="T1400" s="10" t="s">
        <v>12378</v>
      </c>
    </row>
    <row r="1401" spans="1:20" ht="14.5" x14ac:dyDescent="0.35">
      <c r="A1401" s="10" t="s">
        <v>12379</v>
      </c>
      <c r="B1401" s="10" t="str">
        <f>"9780816606566"</f>
        <v>9780816606566</v>
      </c>
      <c r="C1401" s="10" t="str">
        <f>"9780816662821"</f>
        <v>9780816662821</v>
      </c>
      <c r="D1401" s="10" t="s">
        <v>11428</v>
      </c>
      <c r="E1401" s="10" t="s">
        <v>11428</v>
      </c>
      <c r="F1401" s="10" t="s">
        <v>2186</v>
      </c>
      <c r="G1401" s="10" t="s">
        <v>6317</v>
      </c>
      <c r="H1401" s="11">
        <v>26299</v>
      </c>
      <c r="I1401" s="10">
        <v>1972</v>
      </c>
      <c r="J1401" s="10" t="s">
        <v>11428</v>
      </c>
      <c r="K1401" s="10">
        <v>192</v>
      </c>
      <c r="L1401" s="10" t="s">
        <v>12380</v>
      </c>
      <c r="M1401" s="10">
        <v>1</v>
      </c>
      <c r="N1401" s="10"/>
      <c r="O1401" s="10"/>
      <c r="P1401" s="10" t="s">
        <v>12381</v>
      </c>
      <c r="Q1401" s="10" t="s">
        <v>9870</v>
      </c>
      <c r="R1401" s="10" t="s">
        <v>12382</v>
      </c>
      <c r="S1401" s="10" t="s">
        <v>53</v>
      </c>
      <c r="T1401" s="10" t="s">
        <v>54</v>
      </c>
    </row>
    <row r="1402" spans="1:20" ht="14.5" x14ac:dyDescent="0.35">
      <c r="A1402" s="10" t="s">
        <v>12383</v>
      </c>
      <c r="B1402" s="10" t="str">
        <f>"9780816690404"</f>
        <v>9780816690404</v>
      </c>
      <c r="C1402" s="10" t="str">
        <f>"9780816663446"</f>
        <v>9780816663446</v>
      </c>
      <c r="D1402" s="10" t="s">
        <v>11428</v>
      </c>
      <c r="E1402" s="10" t="s">
        <v>11428</v>
      </c>
      <c r="F1402" s="10" t="s">
        <v>2186</v>
      </c>
      <c r="G1402" s="10" t="s">
        <v>6317</v>
      </c>
      <c r="H1402" s="11">
        <v>20455</v>
      </c>
      <c r="I1402" s="10">
        <v>1956</v>
      </c>
      <c r="J1402" s="10" t="s">
        <v>11428</v>
      </c>
      <c r="K1402" s="10">
        <v>154</v>
      </c>
      <c r="L1402" s="10" t="s">
        <v>12384</v>
      </c>
      <c r="M1402" s="10">
        <v>1</v>
      </c>
      <c r="N1402" s="10"/>
      <c r="O1402" s="10"/>
      <c r="P1402" s="10" t="s">
        <v>12385</v>
      </c>
      <c r="Q1402" s="10">
        <v>371.42200000000003</v>
      </c>
      <c r="R1402" s="10" t="s">
        <v>12386</v>
      </c>
      <c r="S1402" s="10" t="s">
        <v>53</v>
      </c>
      <c r="T1402" s="10" t="s">
        <v>54</v>
      </c>
    </row>
    <row r="1403" spans="1:20" ht="14.5" x14ac:dyDescent="0.35">
      <c r="A1403" s="10" t="s">
        <v>12387</v>
      </c>
      <c r="B1403" s="10" t="str">
        <f>"9780816690480"</f>
        <v>9780816690480</v>
      </c>
      <c r="C1403" s="10" t="str">
        <f>"9780816663767"</f>
        <v>9780816663767</v>
      </c>
      <c r="D1403" s="10" t="s">
        <v>11428</v>
      </c>
      <c r="E1403" s="10" t="s">
        <v>11428</v>
      </c>
      <c r="F1403" s="10" t="s">
        <v>2186</v>
      </c>
      <c r="G1403" s="10" t="s">
        <v>6317</v>
      </c>
      <c r="H1403" s="11">
        <v>19725</v>
      </c>
      <c r="I1403" s="10">
        <v>1954</v>
      </c>
      <c r="J1403" s="10" t="s">
        <v>11428</v>
      </c>
      <c r="K1403" s="10">
        <v>313</v>
      </c>
      <c r="L1403" s="10" t="s">
        <v>12388</v>
      </c>
      <c r="M1403" s="10">
        <v>1</v>
      </c>
      <c r="N1403" s="10"/>
      <c r="O1403" s="10"/>
      <c r="P1403" s="10" t="s">
        <v>12389</v>
      </c>
      <c r="Q1403" s="10">
        <v>376</v>
      </c>
      <c r="R1403" s="10" t="s">
        <v>12390</v>
      </c>
      <c r="S1403" s="10" t="s">
        <v>53</v>
      </c>
      <c r="T1403" s="10" t="s">
        <v>54</v>
      </c>
    </row>
    <row r="1404" spans="1:20" ht="14.5" x14ac:dyDescent="0.35">
      <c r="A1404" s="10" t="s">
        <v>12391</v>
      </c>
      <c r="B1404" s="10" t="str">
        <f>"9781416606666"</f>
        <v>9781416606666</v>
      </c>
      <c r="C1404" s="10" t="str">
        <f>"9781416607670"</f>
        <v>9781416607670</v>
      </c>
      <c r="D1404" s="10" t="s">
        <v>10014</v>
      </c>
      <c r="E1404" s="10" t="s">
        <v>10015</v>
      </c>
      <c r="F1404" s="10" t="s">
        <v>201</v>
      </c>
      <c r="G1404" s="10" t="s">
        <v>6317</v>
      </c>
      <c r="H1404" s="11">
        <v>39600</v>
      </c>
      <c r="I1404" s="10">
        <v>2008</v>
      </c>
      <c r="J1404" s="10" t="s">
        <v>10015</v>
      </c>
      <c r="K1404" s="10">
        <v>215</v>
      </c>
      <c r="L1404" s="10" t="s">
        <v>12392</v>
      </c>
      <c r="M1404" s="10">
        <v>1</v>
      </c>
      <c r="N1404" s="10"/>
      <c r="O1404" s="10"/>
      <c r="P1404" s="10" t="s">
        <v>12393</v>
      </c>
      <c r="Q1404" s="10" t="s">
        <v>12394</v>
      </c>
      <c r="R1404" s="10" t="s">
        <v>12395</v>
      </c>
      <c r="S1404" s="10" t="s">
        <v>53</v>
      </c>
      <c r="T1404" s="10" t="s">
        <v>54</v>
      </c>
    </row>
    <row r="1405" spans="1:20" ht="14.5" x14ac:dyDescent="0.35">
      <c r="A1405" s="10" t="s">
        <v>12396</v>
      </c>
      <c r="B1405" s="10" t="str">
        <f>"9781586038298"</f>
        <v>9781586038298</v>
      </c>
      <c r="C1405" s="10" t="str">
        <f>"9781607503057"</f>
        <v>9781607503057</v>
      </c>
      <c r="D1405" s="10" t="s">
        <v>9659</v>
      </c>
      <c r="E1405" s="10" t="s">
        <v>9660</v>
      </c>
      <c r="F1405" s="10" t="s">
        <v>1818</v>
      </c>
      <c r="G1405" s="10" t="s">
        <v>9233</v>
      </c>
      <c r="H1405" s="11">
        <v>39583</v>
      </c>
      <c r="I1405" s="10">
        <v>2008</v>
      </c>
      <c r="J1405" s="10" t="s">
        <v>9660</v>
      </c>
      <c r="K1405" s="10">
        <v>260</v>
      </c>
      <c r="L1405" s="10" t="s">
        <v>12397</v>
      </c>
      <c r="M1405" s="10">
        <v>1</v>
      </c>
      <c r="N1405" s="10" t="s">
        <v>12398</v>
      </c>
      <c r="O1405" s="10">
        <v>2</v>
      </c>
      <c r="P1405" s="10" t="s">
        <v>12399</v>
      </c>
      <c r="Q1405" s="10"/>
      <c r="R1405" s="10" t="s">
        <v>12400</v>
      </c>
      <c r="S1405" s="10" t="s">
        <v>53</v>
      </c>
      <c r="T1405" s="10" t="s">
        <v>54</v>
      </c>
    </row>
    <row r="1406" spans="1:20" ht="14.5" x14ac:dyDescent="0.35">
      <c r="A1406" s="10" t="s">
        <v>12401</v>
      </c>
      <c r="B1406" s="10" t="str">
        <f>"9780415963862"</f>
        <v>9780415963862</v>
      </c>
      <c r="C1406" s="10" t="str">
        <f>"9780203895122"</f>
        <v>9780203895122</v>
      </c>
      <c r="D1406" s="10" t="s">
        <v>6350</v>
      </c>
      <c r="E1406" s="10" t="s">
        <v>6351</v>
      </c>
      <c r="F1406" s="10" t="s">
        <v>139</v>
      </c>
      <c r="G1406" s="10" t="s">
        <v>6352</v>
      </c>
      <c r="H1406" s="11">
        <v>39636</v>
      </c>
      <c r="I1406" s="10">
        <v>2008</v>
      </c>
      <c r="J1406" s="10" t="s">
        <v>6353</v>
      </c>
      <c r="K1406" s="10">
        <v>353</v>
      </c>
      <c r="L1406" s="10" t="s">
        <v>12402</v>
      </c>
      <c r="M1406" s="10">
        <v>1</v>
      </c>
      <c r="N1406" s="10"/>
      <c r="O1406" s="10"/>
      <c r="P1406" s="10" t="s">
        <v>12403</v>
      </c>
      <c r="Q1406" s="10">
        <v>371.10097300000001</v>
      </c>
      <c r="R1406" s="10" t="s">
        <v>12404</v>
      </c>
      <c r="S1406" s="10" t="s">
        <v>53</v>
      </c>
      <c r="T1406" s="10" t="s">
        <v>54</v>
      </c>
    </row>
    <row r="1407" spans="1:20" ht="14.5" x14ac:dyDescent="0.35">
      <c r="A1407" s="10" t="s">
        <v>12405</v>
      </c>
      <c r="B1407" s="10" t="str">
        <f>"9781846638022"</f>
        <v>9781846638022</v>
      </c>
      <c r="C1407" s="10" t="str">
        <f>"9781846638039"</f>
        <v>9781846638039</v>
      </c>
      <c r="D1407" s="10" t="s">
        <v>8699</v>
      </c>
      <c r="E1407" s="10" t="s">
        <v>8699</v>
      </c>
      <c r="F1407" s="10" t="s">
        <v>1019</v>
      </c>
      <c r="G1407" s="10" t="s">
        <v>6352</v>
      </c>
      <c r="H1407" s="11">
        <v>39500</v>
      </c>
      <c r="I1407" s="10">
        <v>2008</v>
      </c>
      <c r="J1407" s="10" t="s">
        <v>115</v>
      </c>
      <c r="K1407" s="10">
        <v>86</v>
      </c>
      <c r="L1407" s="10" t="s">
        <v>12406</v>
      </c>
      <c r="M1407" s="10">
        <v>1</v>
      </c>
      <c r="N1407" s="10" t="s">
        <v>12407</v>
      </c>
      <c r="O1407" s="10">
        <v>50</v>
      </c>
      <c r="P1407" s="10" t="s">
        <v>12408</v>
      </c>
      <c r="Q1407" s="10">
        <v>600</v>
      </c>
      <c r="R1407" s="10" t="s">
        <v>12409</v>
      </c>
      <c r="S1407" s="10" t="s">
        <v>53</v>
      </c>
      <c r="T1407" s="10" t="s">
        <v>12410</v>
      </c>
    </row>
    <row r="1408" spans="1:20" ht="14.5" x14ac:dyDescent="0.35">
      <c r="A1408" s="10" t="s">
        <v>12411</v>
      </c>
      <c r="B1408" s="10" t="str">
        <f>"9781846638404"</f>
        <v>9781846638404</v>
      </c>
      <c r="C1408" s="10" t="str">
        <f>"9781846638411"</f>
        <v>9781846638411</v>
      </c>
      <c r="D1408" s="10" t="s">
        <v>8699</v>
      </c>
      <c r="E1408" s="10" t="s">
        <v>8699</v>
      </c>
      <c r="F1408" s="10" t="s">
        <v>1019</v>
      </c>
      <c r="G1408" s="10" t="s">
        <v>6352</v>
      </c>
      <c r="H1408" s="11">
        <v>39570</v>
      </c>
      <c r="I1408" s="10">
        <v>2008</v>
      </c>
      <c r="J1408" s="10" t="s">
        <v>115</v>
      </c>
      <c r="K1408" s="10">
        <v>95</v>
      </c>
      <c r="L1408" s="10" t="s">
        <v>12412</v>
      </c>
      <c r="M1408" s="10">
        <v>1</v>
      </c>
      <c r="N1408" s="10" t="s">
        <v>12413</v>
      </c>
      <c r="O1408" s="10">
        <v>50</v>
      </c>
      <c r="P1408" s="10" t="s">
        <v>12414</v>
      </c>
      <c r="Q1408" s="10">
        <v>320.94</v>
      </c>
      <c r="R1408" s="10" t="s">
        <v>12415</v>
      </c>
      <c r="S1408" s="10" t="s">
        <v>53</v>
      </c>
      <c r="T1408" s="10" t="s">
        <v>12416</v>
      </c>
    </row>
    <row r="1409" spans="1:20" ht="14.5" x14ac:dyDescent="0.35">
      <c r="A1409" s="10" t="s">
        <v>12417</v>
      </c>
      <c r="B1409" s="10" t="str">
        <f>"9781846638183"</f>
        <v>9781846638183</v>
      </c>
      <c r="C1409" s="10" t="str">
        <f>"9781846638190"</f>
        <v>9781846638190</v>
      </c>
      <c r="D1409" s="10" t="s">
        <v>8699</v>
      </c>
      <c r="E1409" s="10" t="s">
        <v>8699</v>
      </c>
      <c r="F1409" s="10" t="s">
        <v>1019</v>
      </c>
      <c r="G1409" s="10" t="s">
        <v>6352</v>
      </c>
      <c r="H1409" s="11">
        <v>39521</v>
      </c>
      <c r="I1409" s="10">
        <v>2008</v>
      </c>
      <c r="J1409" s="10" t="s">
        <v>115</v>
      </c>
      <c r="K1409" s="10">
        <v>86</v>
      </c>
      <c r="L1409" s="10" t="s">
        <v>12418</v>
      </c>
      <c r="M1409" s="10">
        <v>1</v>
      </c>
      <c r="N1409" s="10" t="s">
        <v>12419</v>
      </c>
      <c r="O1409" s="10">
        <v>20</v>
      </c>
      <c r="P1409" s="10" t="s">
        <v>12420</v>
      </c>
      <c r="Q1409" s="10" t="s">
        <v>12421</v>
      </c>
      <c r="R1409" s="10" t="s">
        <v>12422</v>
      </c>
      <c r="S1409" s="10" t="s">
        <v>53</v>
      </c>
      <c r="T1409" s="10" t="s">
        <v>12423</v>
      </c>
    </row>
    <row r="1410" spans="1:20" ht="14.5" x14ac:dyDescent="0.35">
      <c r="A1410" s="10" t="s">
        <v>12424</v>
      </c>
      <c r="B1410" s="10" t="str">
        <f>"9781846637483"</f>
        <v>9781846637483</v>
      </c>
      <c r="C1410" s="10" t="str">
        <f>"9781846637490"</f>
        <v>9781846637490</v>
      </c>
      <c r="D1410" s="10" t="s">
        <v>8699</v>
      </c>
      <c r="E1410" s="10" t="s">
        <v>8699</v>
      </c>
      <c r="F1410" s="10" t="s">
        <v>1019</v>
      </c>
      <c r="G1410" s="10" t="s">
        <v>6352</v>
      </c>
      <c r="H1410" s="11">
        <v>39451</v>
      </c>
      <c r="I1410" s="10">
        <v>2008</v>
      </c>
      <c r="J1410" s="10" t="s">
        <v>115</v>
      </c>
      <c r="K1410" s="10">
        <v>95</v>
      </c>
      <c r="L1410" s="10" t="s">
        <v>12425</v>
      </c>
      <c r="M1410" s="10">
        <v>1</v>
      </c>
      <c r="N1410" s="10" t="s">
        <v>12426</v>
      </c>
      <c r="O1410" s="10">
        <v>108</v>
      </c>
      <c r="P1410" s="10" t="s">
        <v>12427</v>
      </c>
      <c r="Q1410" s="10" t="s">
        <v>12428</v>
      </c>
      <c r="R1410" s="10" t="s">
        <v>12429</v>
      </c>
      <c r="S1410" s="10" t="s">
        <v>53</v>
      </c>
      <c r="T1410" s="10" t="s">
        <v>12430</v>
      </c>
    </row>
    <row r="1411" spans="1:20" ht="14.5" x14ac:dyDescent="0.35">
      <c r="A1411" s="10" t="s">
        <v>12431</v>
      </c>
      <c r="B1411" s="10" t="str">
        <f>"9781846638565"</f>
        <v>9781846638565</v>
      </c>
      <c r="C1411" s="10" t="str">
        <f>"9781846638572"</f>
        <v>9781846638572</v>
      </c>
      <c r="D1411" s="10" t="s">
        <v>8699</v>
      </c>
      <c r="E1411" s="10" t="s">
        <v>8699</v>
      </c>
      <c r="F1411" s="10" t="s">
        <v>1019</v>
      </c>
      <c r="G1411" s="10" t="s">
        <v>6352</v>
      </c>
      <c r="H1411" s="11">
        <v>39416</v>
      </c>
      <c r="I1411" s="10">
        <v>2007</v>
      </c>
      <c r="J1411" s="10" t="s">
        <v>115</v>
      </c>
      <c r="K1411" s="10">
        <v>42</v>
      </c>
      <c r="L1411" s="10" t="s">
        <v>12432</v>
      </c>
      <c r="M1411" s="10">
        <v>1</v>
      </c>
      <c r="N1411" s="10" t="s">
        <v>12433</v>
      </c>
      <c r="O1411" s="10">
        <v>4</v>
      </c>
      <c r="P1411" s="10" t="s">
        <v>12434</v>
      </c>
      <c r="Q1411" s="10">
        <v>25.3432</v>
      </c>
      <c r="R1411" s="10" t="s">
        <v>12435</v>
      </c>
      <c r="S1411" s="10" t="s">
        <v>53</v>
      </c>
      <c r="T1411" s="10" t="s">
        <v>12436</v>
      </c>
    </row>
    <row r="1412" spans="1:20" ht="14.5" x14ac:dyDescent="0.35">
      <c r="A1412" s="10" t="s">
        <v>12437</v>
      </c>
      <c r="B1412" s="10" t="str">
        <f>"9781846637902"</f>
        <v>9781846637902</v>
      </c>
      <c r="C1412" s="10" t="str">
        <f>"9781846637919"</f>
        <v>9781846637919</v>
      </c>
      <c r="D1412" s="10" t="s">
        <v>8699</v>
      </c>
      <c r="E1412" s="10" t="s">
        <v>8699</v>
      </c>
      <c r="F1412" s="10" t="s">
        <v>1019</v>
      </c>
      <c r="G1412" s="10" t="s">
        <v>6352</v>
      </c>
      <c r="H1412" s="11">
        <v>39486</v>
      </c>
      <c r="I1412" s="10">
        <v>2008</v>
      </c>
      <c r="J1412" s="10" t="s">
        <v>115</v>
      </c>
      <c r="K1412" s="10">
        <v>48</v>
      </c>
      <c r="L1412" s="10" t="s">
        <v>12438</v>
      </c>
      <c r="M1412" s="10">
        <v>1</v>
      </c>
      <c r="N1412" s="10" t="s">
        <v>12439</v>
      </c>
      <c r="O1412" s="10">
        <v>16</v>
      </c>
      <c r="P1412" s="10" t="s">
        <v>12440</v>
      </c>
      <c r="Q1412" s="10" t="s">
        <v>12441</v>
      </c>
      <c r="R1412" s="10" t="s">
        <v>9589</v>
      </c>
      <c r="S1412" s="10" t="s">
        <v>53</v>
      </c>
      <c r="T1412" s="10" t="s">
        <v>12436</v>
      </c>
    </row>
    <row r="1413" spans="1:20" ht="14.5" x14ac:dyDescent="0.35">
      <c r="A1413" s="10" t="s">
        <v>12442</v>
      </c>
      <c r="B1413" s="10" t="str">
        <f>"9780253349156"</f>
        <v>9780253349156</v>
      </c>
      <c r="C1413" s="10" t="str">
        <f>"9780253000088"</f>
        <v>9780253000088</v>
      </c>
      <c r="D1413" s="10" t="s">
        <v>2455</v>
      </c>
      <c r="E1413" s="10" t="s">
        <v>2455</v>
      </c>
      <c r="F1413" s="10" t="s">
        <v>3101</v>
      </c>
      <c r="G1413" s="10" t="s">
        <v>6317</v>
      </c>
      <c r="H1413" s="11">
        <v>39255</v>
      </c>
      <c r="I1413" s="10">
        <v>2007</v>
      </c>
      <c r="J1413" s="10" t="s">
        <v>2455</v>
      </c>
      <c r="K1413" s="10">
        <v>337</v>
      </c>
      <c r="L1413" s="10" t="s">
        <v>12443</v>
      </c>
      <c r="M1413" s="10">
        <v>1</v>
      </c>
      <c r="N1413" s="10"/>
      <c r="O1413" s="10"/>
      <c r="P1413" s="10" t="s">
        <v>12444</v>
      </c>
      <c r="Q1413" s="10">
        <v>780.71</v>
      </c>
      <c r="R1413" s="10" t="s">
        <v>12445</v>
      </c>
      <c r="S1413" s="10" t="s">
        <v>53</v>
      </c>
      <c r="T1413" s="10" t="s">
        <v>6384</v>
      </c>
    </row>
    <row r="1414" spans="1:20" ht="14.5" x14ac:dyDescent="0.35">
      <c r="A1414" s="10" t="s">
        <v>12446</v>
      </c>
      <c r="B1414" s="10" t="str">
        <f>"9780253350787"</f>
        <v>9780253350787</v>
      </c>
      <c r="C1414" s="10" t="str">
        <f>"9780253000200"</f>
        <v>9780253000200</v>
      </c>
      <c r="D1414" s="10" t="s">
        <v>2455</v>
      </c>
      <c r="E1414" s="10" t="s">
        <v>2455</v>
      </c>
      <c r="F1414" s="10" t="s">
        <v>3101</v>
      </c>
      <c r="G1414" s="10" t="s">
        <v>6317</v>
      </c>
      <c r="H1414" s="11">
        <v>39505</v>
      </c>
      <c r="I1414" s="10">
        <v>2008</v>
      </c>
      <c r="J1414" s="10" t="s">
        <v>2455</v>
      </c>
      <c r="K1414" s="10">
        <v>362</v>
      </c>
      <c r="L1414" s="10" t="s">
        <v>6380</v>
      </c>
      <c r="M1414" s="10">
        <v>1</v>
      </c>
      <c r="N1414" s="10" t="s">
        <v>12447</v>
      </c>
      <c r="O1414" s="10"/>
      <c r="P1414" s="10" t="s">
        <v>12448</v>
      </c>
      <c r="Q1414" s="10">
        <v>780.71</v>
      </c>
      <c r="R1414" s="10" t="s">
        <v>12449</v>
      </c>
      <c r="S1414" s="10" t="s">
        <v>53</v>
      </c>
      <c r="T1414" s="10" t="s">
        <v>6384</v>
      </c>
    </row>
    <row r="1415" spans="1:20" ht="14.5" x14ac:dyDescent="0.35">
      <c r="A1415" s="10" t="s">
        <v>12450</v>
      </c>
      <c r="B1415" s="10" t="str">
        <f>"9780813541990"</f>
        <v>9780813541990</v>
      </c>
      <c r="C1415" s="10" t="str">
        <f>"9780813543925"</f>
        <v>9780813543925</v>
      </c>
      <c r="D1415" s="10" t="s">
        <v>12251</v>
      </c>
      <c r="E1415" s="10" t="s">
        <v>12251</v>
      </c>
      <c r="F1415" s="10" t="s">
        <v>12451</v>
      </c>
      <c r="G1415" s="10" t="s">
        <v>6317</v>
      </c>
      <c r="H1415" s="11">
        <v>39417</v>
      </c>
      <c r="I1415" s="10">
        <v>2007</v>
      </c>
      <c r="J1415" s="10" t="s">
        <v>12251</v>
      </c>
      <c r="K1415" s="10">
        <v>296</v>
      </c>
      <c r="L1415" s="10" t="s">
        <v>12452</v>
      </c>
      <c r="M1415" s="10">
        <v>1</v>
      </c>
      <c r="N1415" s="10"/>
      <c r="O1415" s="10"/>
      <c r="P1415" s="10" t="s">
        <v>12453</v>
      </c>
      <c r="Q1415" s="10" t="s">
        <v>12454</v>
      </c>
      <c r="R1415" s="10" t="s">
        <v>12455</v>
      </c>
      <c r="S1415" s="10" t="s">
        <v>53</v>
      </c>
      <c r="T1415" s="10" t="s">
        <v>54</v>
      </c>
    </row>
    <row r="1416" spans="1:20" ht="14.5" x14ac:dyDescent="0.35">
      <c r="A1416" s="10" t="s">
        <v>12456</v>
      </c>
      <c r="B1416" s="10" t="str">
        <f>"9781841501918"</f>
        <v>9781841501918</v>
      </c>
      <c r="C1416" s="10" t="str">
        <f>"9781841502267"</f>
        <v>9781841502267</v>
      </c>
      <c r="D1416" s="10" t="s">
        <v>9533</v>
      </c>
      <c r="E1416" s="10" t="s">
        <v>10235</v>
      </c>
      <c r="F1416" s="10" t="s">
        <v>10236</v>
      </c>
      <c r="G1416" s="10" t="s">
        <v>6352</v>
      </c>
      <c r="H1416" s="11">
        <v>39615</v>
      </c>
      <c r="I1416" s="10">
        <v>2008</v>
      </c>
      <c r="J1416" s="10" t="s">
        <v>10235</v>
      </c>
      <c r="K1416" s="10">
        <v>346</v>
      </c>
      <c r="L1416" s="10" t="s">
        <v>12457</v>
      </c>
      <c r="M1416" s="10">
        <v>1</v>
      </c>
      <c r="N1416" s="10"/>
      <c r="O1416" s="10"/>
      <c r="P1416" s="10" t="s">
        <v>12458</v>
      </c>
      <c r="Q1416" s="10">
        <v>707.1</v>
      </c>
      <c r="R1416" s="10" t="s">
        <v>12459</v>
      </c>
      <c r="S1416" s="10" t="s">
        <v>53</v>
      </c>
      <c r="T1416" s="10" t="s">
        <v>6384</v>
      </c>
    </row>
    <row r="1417" spans="1:20" ht="14.5" x14ac:dyDescent="0.35">
      <c r="A1417" s="10" t="s">
        <v>12460</v>
      </c>
      <c r="B1417" s="10" t="str">
        <f>"9781841501673"</f>
        <v>9781841501673</v>
      </c>
      <c r="C1417" s="10" t="str">
        <f>"9781841502274"</f>
        <v>9781841502274</v>
      </c>
      <c r="D1417" s="10" t="s">
        <v>9533</v>
      </c>
      <c r="E1417" s="10" t="s">
        <v>10235</v>
      </c>
      <c r="F1417" s="10" t="s">
        <v>10236</v>
      </c>
      <c r="G1417" s="10" t="s">
        <v>6352</v>
      </c>
      <c r="H1417" s="11">
        <v>39651</v>
      </c>
      <c r="I1417" s="10">
        <v>2008</v>
      </c>
      <c r="J1417" s="10" t="s">
        <v>10235</v>
      </c>
      <c r="K1417" s="10">
        <v>282</v>
      </c>
      <c r="L1417" s="10" t="s">
        <v>12461</v>
      </c>
      <c r="M1417" s="10">
        <v>1</v>
      </c>
      <c r="N1417" s="10"/>
      <c r="O1417" s="10"/>
      <c r="P1417" s="10" t="s">
        <v>12462</v>
      </c>
      <c r="Q1417" s="10">
        <v>707.11</v>
      </c>
      <c r="R1417" s="10" t="s">
        <v>12463</v>
      </c>
      <c r="S1417" s="10" t="s">
        <v>53</v>
      </c>
      <c r="T1417" s="10" t="s">
        <v>6384</v>
      </c>
    </row>
    <row r="1418" spans="1:20" ht="14.5" x14ac:dyDescent="0.35">
      <c r="A1418" s="10" t="s">
        <v>12464</v>
      </c>
      <c r="B1418" s="10" t="str">
        <f>"9781416606741"</f>
        <v>9781416606741</v>
      </c>
      <c r="C1418" s="10" t="str">
        <f>"9781416607786"</f>
        <v>9781416607786</v>
      </c>
      <c r="D1418" s="10" t="s">
        <v>10014</v>
      </c>
      <c r="E1418" s="10" t="s">
        <v>10015</v>
      </c>
      <c r="F1418" s="10" t="s">
        <v>201</v>
      </c>
      <c r="G1418" s="10" t="s">
        <v>6317</v>
      </c>
      <c r="H1418" s="11">
        <v>39629</v>
      </c>
      <c r="I1418" s="10">
        <v>2008</v>
      </c>
      <c r="J1418" s="10" t="s">
        <v>10015</v>
      </c>
      <c r="K1418" s="10">
        <v>317</v>
      </c>
      <c r="L1418" s="10" t="s">
        <v>12465</v>
      </c>
      <c r="M1418" s="10">
        <v>2</v>
      </c>
      <c r="N1418" s="10"/>
      <c r="O1418" s="10"/>
      <c r="P1418" s="10" t="s">
        <v>12466</v>
      </c>
      <c r="Q1418" s="10">
        <v>371.39</v>
      </c>
      <c r="R1418" s="10"/>
      <c r="S1418" s="10" t="s">
        <v>53</v>
      </c>
      <c r="T1418" s="10" t="s">
        <v>54</v>
      </c>
    </row>
    <row r="1419" spans="1:20" ht="14.5" x14ac:dyDescent="0.35">
      <c r="A1419" s="10" t="s">
        <v>12467</v>
      </c>
      <c r="B1419" s="10" t="str">
        <f>"9781416606789"</f>
        <v>9781416606789</v>
      </c>
      <c r="C1419" s="10" t="str">
        <f>"9781416607724"</f>
        <v>9781416607724</v>
      </c>
      <c r="D1419" s="10" t="s">
        <v>10014</v>
      </c>
      <c r="E1419" s="10" t="s">
        <v>10015</v>
      </c>
      <c r="F1419" s="10" t="s">
        <v>201</v>
      </c>
      <c r="G1419" s="10" t="s">
        <v>6317</v>
      </c>
      <c r="H1419" s="11">
        <v>39629</v>
      </c>
      <c r="I1419" s="10">
        <v>2008</v>
      </c>
      <c r="J1419" s="10" t="s">
        <v>10015</v>
      </c>
      <c r="K1419" s="10">
        <v>257</v>
      </c>
      <c r="L1419" s="10" t="s">
        <v>12468</v>
      </c>
      <c r="M1419" s="10">
        <v>1</v>
      </c>
      <c r="N1419" s="10"/>
      <c r="O1419" s="10"/>
      <c r="P1419" s="10" t="s">
        <v>12469</v>
      </c>
      <c r="Q1419" s="10" t="s">
        <v>10031</v>
      </c>
      <c r="R1419" s="10" t="s">
        <v>12470</v>
      </c>
      <c r="S1419" s="10" t="s">
        <v>53</v>
      </c>
      <c r="T1419" s="10" t="s">
        <v>54</v>
      </c>
    </row>
    <row r="1420" spans="1:20" ht="14.5" x14ac:dyDescent="0.35">
      <c r="A1420" s="10" t="s">
        <v>12471</v>
      </c>
      <c r="B1420" s="10" t="str">
        <f>"9781416606963"</f>
        <v>9781416606963</v>
      </c>
      <c r="C1420" s="10" t="str">
        <f>"9781416607618"</f>
        <v>9781416607618</v>
      </c>
      <c r="D1420" s="10" t="s">
        <v>10014</v>
      </c>
      <c r="E1420" s="10" t="s">
        <v>10015</v>
      </c>
      <c r="F1420" s="10" t="s">
        <v>201</v>
      </c>
      <c r="G1420" s="10" t="s">
        <v>6317</v>
      </c>
      <c r="H1420" s="11">
        <v>39659</v>
      </c>
      <c r="I1420" s="10">
        <v>2008</v>
      </c>
      <c r="J1420" s="10" t="s">
        <v>10015</v>
      </c>
      <c r="K1420" s="10">
        <v>153</v>
      </c>
      <c r="L1420" s="10" t="s">
        <v>12472</v>
      </c>
      <c r="M1420" s="10">
        <v>1</v>
      </c>
      <c r="N1420" s="10"/>
      <c r="O1420" s="10"/>
      <c r="P1420" s="10" t="s">
        <v>12473</v>
      </c>
      <c r="Q1420" s="10">
        <v>371.19097299999999</v>
      </c>
      <c r="R1420" s="10" t="s">
        <v>12474</v>
      </c>
      <c r="S1420" s="10" t="s">
        <v>53</v>
      </c>
      <c r="T1420" s="10" t="s">
        <v>54</v>
      </c>
    </row>
    <row r="1421" spans="1:20" ht="14.5" x14ac:dyDescent="0.35">
      <c r="A1421" s="10" t="s">
        <v>12475</v>
      </c>
      <c r="B1421" s="10" t="str">
        <f>"9781843106012"</f>
        <v>9781843106012</v>
      </c>
      <c r="C1421" s="10" t="str">
        <f>"9781846427589"</f>
        <v>9781846427589</v>
      </c>
      <c r="D1421" s="10" t="s">
        <v>10516</v>
      </c>
      <c r="E1421" s="10" t="s">
        <v>10516</v>
      </c>
      <c r="F1421" s="10" t="s">
        <v>139</v>
      </c>
      <c r="G1421" s="10" t="s">
        <v>6352</v>
      </c>
      <c r="H1421" s="11">
        <v>39462</v>
      </c>
      <c r="I1421" s="10">
        <v>2008</v>
      </c>
      <c r="J1421" s="10" t="s">
        <v>10516</v>
      </c>
      <c r="K1421" s="10">
        <v>176</v>
      </c>
      <c r="L1421" s="10" t="s">
        <v>12476</v>
      </c>
      <c r="M1421" s="10">
        <v>1</v>
      </c>
      <c r="N1421" s="10"/>
      <c r="O1421" s="10"/>
      <c r="P1421" s="10" t="s">
        <v>12477</v>
      </c>
      <c r="Q1421" s="10" t="s">
        <v>12478</v>
      </c>
      <c r="R1421" s="10"/>
      <c r="S1421" s="10" t="s">
        <v>53</v>
      </c>
      <c r="T1421" s="10" t="s">
        <v>8625</v>
      </c>
    </row>
    <row r="1422" spans="1:20" ht="14.5" x14ac:dyDescent="0.35">
      <c r="A1422" s="10" t="s">
        <v>12479</v>
      </c>
      <c r="B1422" s="10" t="str">
        <f>"9781843109143"</f>
        <v>9781843109143</v>
      </c>
      <c r="C1422" s="10" t="str">
        <f>"9781846427435"</f>
        <v>9781846427435</v>
      </c>
      <c r="D1422" s="10" t="s">
        <v>10516</v>
      </c>
      <c r="E1422" s="10" t="s">
        <v>10516</v>
      </c>
      <c r="F1422" s="10" t="s">
        <v>139</v>
      </c>
      <c r="G1422" s="10" t="s">
        <v>6352</v>
      </c>
      <c r="H1422" s="11">
        <v>39431</v>
      </c>
      <c r="I1422" s="10">
        <v>2007</v>
      </c>
      <c r="J1422" s="10" t="s">
        <v>10516</v>
      </c>
      <c r="K1422" s="10">
        <v>292</v>
      </c>
      <c r="L1422" s="10" t="s">
        <v>12480</v>
      </c>
      <c r="M1422" s="10">
        <v>1</v>
      </c>
      <c r="N1422" s="10"/>
      <c r="O1422" s="10"/>
      <c r="P1422" s="10" t="s">
        <v>12481</v>
      </c>
      <c r="Q1422" s="10">
        <v>618.9289</v>
      </c>
      <c r="R1422" s="10" t="s">
        <v>12482</v>
      </c>
      <c r="S1422" s="10" t="s">
        <v>53</v>
      </c>
      <c r="T1422" s="10" t="s">
        <v>8681</v>
      </c>
    </row>
    <row r="1423" spans="1:20" ht="14.5" x14ac:dyDescent="0.35">
      <c r="A1423" s="10" t="s">
        <v>12483</v>
      </c>
      <c r="B1423" s="10" t="str">
        <f>"9781843105497"</f>
        <v>9781843105497</v>
      </c>
      <c r="C1423" s="10" t="str">
        <f>"9781846427848"</f>
        <v>9781846427848</v>
      </c>
      <c r="D1423" s="10" t="s">
        <v>10516</v>
      </c>
      <c r="E1423" s="10" t="s">
        <v>10516</v>
      </c>
      <c r="F1423" s="10" t="s">
        <v>139</v>
      </c>
      <c r="G1423" s="10" t="s">
        <v>6352</v>
      </c>
      <c r="H1423" s="11">
        <v>39553</v>
      </c>
      <c r="I1423" s="10">
        <v>2008</v>
      </c>
      <c r="J1423" s="10" t="s">
        <v>10516</v>
      </c>
      <c r="K1423" s="10">
        <v>226</v>
      </c>
      <c r="L1423" s="10" t="s">
        <v>12484</v>
      </c>
      <c r="M1423" s="10">
        <v>1</v>
      </c>
      <c r="N1423" s="10"/>
      <c r="O1423" s="10"/>
      <c r="P1423" s="10" t="s">
        <v>12485</v>
      </c>
      <c r="Q1423" s="10" t="s">
        <v>12486</v>
      </c>
      <c r="R1423" s="10" t="s">
        <v>12487</v>
      </c>
      <c r="S1423" s="10" t="s">
        <v>53</v>
      </c>
      <c r="T1423" s="10" t="s">
        <v>483</v>
      </c>
    </row>
    <row r="1424" spans="1:20" ht="14.5" x14ac:dyDescent="0.35">
      <c r="A1424" s="10" t="s">
        <v>12488</v>
      </c>
      <c r="B1424" s="10" t="str">
        <f>"9781843105657"</f>
        <v>9781843105657</v>
      </c>
      <c r="C1424" s="10" t="str">
        <f>"9781846427732"</f>
        <v>9781846427732</v>
      </c>
      <c r="D1424" s="10" t="s">
        <v>10516</v>
      </c>
      <c r="E1424" s="10" t="s">
        <v>10516</v>
      </c>
      <c r="F1424" s="10" t="s">
        <v>139</v>
      </c>
      <c r="G1424" s="10" t="s">
        <v>6352</v>
      </c>
      <c r="H1424" s="11">
        <v>39522</v>
      </c>
      <c r="I1424" s="10">
        <v>2008</v>
      </c>
      <c r="J1424" s="10" t="s">
        <v>10516</v>
      </c>
      <c r="K1424" s="10">
        <v>179</v>
      </c>
      <c r="L1424" s="10" t="s">
        <v>12489</v>
      </c>
      <c r="M1424" s="10">
        <v>1</v>
      </c>
      <c r="N1424" s="10" t="s">
        <v>11944</v>
      </c>
      <c r="O1424" s="10"/>
      <c r="P1424" s="10" t="s">
        <v>12490</v>
      </c>
      <c r="Q1424" s="10">
        <v>370.15300000000002</v>
      </c>
      <c r="R1424" s="10"/>
      <c r="S1424" s="10" t="s">
        <v>53</v>
      </c>
      <c r="T1424" s="10" t="s">
        <v>54</v>
      </c>
    </row>
    <row r="1425" spans="1:20" ht="14.5" x14ac:dyDescent="0.35">
      <c r="A1425" s="10" t="s">
        <v>12491</v>
      </c>
      <c r="B1425" s="10" t="str">
        <f>"9781843105060"</f>
        <v>9781843105060</v>
      </c>
      <c r="C1425" s="10" t="str">
        <f>"9781846427411"</f>
        <v>9781846427411</v>
      </c>
      <c r="D1425" s="10" t="s">
        <v>10516</v>
      </c>
      <c r="E1425" s="10" t="s">
        <v>10516</v>
      </c>
      <c r="F1425" s="10" t="s">
        <v>139</v>
      </c>
      <c r="G1425" s="10" t="s">
        <v>6352</v>
      </c>
      <c r="H1425" s="11">
        <v>39431</v>
      </c>
      <c r="I1425" s="10">
        <v>2007</v>
      </c>
      <c r="J1425" s="10" t="s">
        <v>10516</v>
      </c>
      <c r="K1425" s="10">
        <v>291</v>
      </c>
      <c r="L1425" s="10" t="s">
        <v>12492</v>
      </c>
      <c r="M1425" s="10">
        <v>1</v>
      </c>
      <c r="N1425" s="10"/>
      <c r="O1425" s="10"/>
      <c r="P1425" s="10" t="s">
        <v>12493</v>
      </c>
      <c r="Q1425" s="10"/>
      <c r="R1425" s="10" t="s">
        <v>12494</v>
      </c>
      <c r="S1425" s="10" t="s">
        <v>53</v>
      </c>
      <c r="T1425" s="10" t="s">
        <v>6363</v>
      </c>
    </row>
    <row r="1426" spans="1:20" ht="14.5" x14ac:dyDescent="0.35">
      <c r="A1426" s="10" t="s">
        <v>12495</v>
      </c>
      <c r="B1426" s="10" t="str">
        <f>"9781843105671"</f>
        <v>9781843105671</v>
      </c>
      <c r="C1426" s="10" t="str">
        <f>"9781846427473"</f>
        <v>9781846427473</v>
      </c>
      <c r="D1426" s="10" t="s">
        <v>10516</v>
      </c>
      <c r="E1426" s="10" t="s">
        <v>10516</v>
      </c>
      <c r="F1426" s="10" t="s">
        <v>139</v>
      </c>
      <c r="G1426" s="10" t="s">
        <v>6352</v>
      </c>
      <c r="H1426" s="11">
        <v>39431</v>
      </c>
      <c r="I1426" s="10">
        <v>2007</v>
      </c>
      <c r="J1426" s="10" t="s">
        <v>10516</v>
      </c>
      <c r="K1426" s="10">
        <v>162</v>
      </c>
      <c r="L1426" s="10" t="s">
        <v>12496</v>
      </c>
      <c r="M1426" s="10">
        <v>1</v>
      </c>
      <c r="N1426" s="10"/>
      <c r="O1426" s="10"/>
      <c r="P1426" s="10" t="s">
        <v>12497</v>
      </c>
      <c r="Q1426" s="10" t="s">
        <v>12498</v>
      </c>
      <c r="R1426" s="10"/>
      <c r="S1426" s="10" t="s">
        <v>53</v>
      </c>
      <c r="T1426" s="10" t="s">
        <v>54</v>
      </c>
    </row>
    <row r="1427" spans="1:20" ht="14.5" x14ac:dyDescent="0.35">
      <c r="A1427" s="10" t="s">
        <v>12499</v>
      </c>
      <c r="B1427" s="10" t="str">
        <f>"9781405168069"</f>
        <v>9781405168069</v>
      </c>
      <c r="C1427" s="10" t="str">
        <f>"9780470999868"</f>
        <v>9780470999868</v>
      </c>
      <c r="D1427" s="10" t="s">
        <v>6322</v>
      </c>
      <c r="E1427" s="10" t="s">
        <v>6323</v>
      </c>
      <c r="F1427" s="10" t="s">
        <v>4423</v>
      </c>
      <c r="G1427" s="10" t="s">
        <v>6352</v>
      </c>
      <c r="H1427" s="11">
        <v>38348</v>
      </c>
      <c r="I1427" s="10">
        <v>2004</v>
      </c>
      <c r="J1427" s="10" t="s">
        <v>8436</v>
      </c>
      <c r="K1427" s="10">
        <v>642</v>
      </c>
      <c r="L1427" s="10" t="s">
        <v>12500</v>
      </c>
      <c r="M1427" s="10">
        <v>1</v>
      </c>
      <c r="N1427" s="10" t="s">
        <v>12501</v>
      </c>
      <c r="O1427" s="10"/>
      <c r="P1427" s="10" t="s">
        <v>12502</v>
      </c>
      <c r="Q1427" s="10">
        <v>1.3028500000000001</v>
      </c>
      <c r="R1427" s="10" t="s">
        <v>12503</v>
      </c>
      <c r="S1427" s="10" t="s">
        <v>53</v>
      </c>
      <c r="T1427" s="10" t="s">
        <v>6601</v>
      </c>
    </row>
    <row r="1428" spans="1:20" ht="14.5" x14ac:dyDescent="0.35">
      <c r="A1428" s="10" t="s">
        <v>12504</v>
      </c>
      <c r="B1428" s="10" t="str">
        <f>"9781593856779"</f>
        <v>9781593856779</v>
      </c>
      <c r="C1428" s="10" t="str">
        <f>"9781606230596"</f>
        <v>9781606230596</v>
      </c>
      <c r="D1428" s="10" t="s">
        <v>11213</v>
      </c>
      <c r="E1428" s="10" t="s">
        <v>11214</v>
      </c>
      <c r="F1428" s="10" t="s">
        <v>70</v>
      </c>
      <c r="G1428" s="10" t="s">
        <v>6317</v>
      </c>
      <c r="H1428" s="11">
        <v>39533</v>
      </c>
      <c r="I1428" s="10">
        <v>2008</v>
      </c>
      <c r="J1428" s="10" t="s">
        <v>11214</v>
      </c>
      <c r="K1428" s="10">
        <v>368</v>
      </c>
      <c r="L1428" s="10" t="s">
        <v>12505</v>
      </c>
      <c r="M1428" s="10">
        <v>1</v>
      </c>
      <c r="N1428" s="10" t="s">
        <v>11221</v>
      </c>
      <c r="O1428" s="10"/>
      <c r="P1428" s="10" t="s">
        <v>12506</v>
      </c>
      <c r="Q1428" s="10" t="s">
        <v>12507</v>
      </c>
      <c r="R1428" s="10" t="s">
        <v>6647</v>
      </c>
      <c r="S1428" s="10" t="s">
        <v>53</v>
      </c>
      <c r="T1428" s="10" t="s">
        <v>6498</v>
      </c>
    </row>
    <row r="1429" spans="1:20" ht="14.5" x14ac:dyDescent="0.35">
      <c r="A1429" s="10" t="s">
        <v>12508</v>
      </c>
      <c r="B1429" s="10" t="str">
        <f>"9788175966017"</f>
        <v>9788175966017</v>
      </c>
      <c r="C1429" s="10" t="str">
        <f>"9781552504086"</f>
        <v>9781552504086</v>
      </c>
      <c r="D1429" s="10" t="s">
        <v>9681</v>
      </c>
      <c r="E1429" s="10" t="s">
        <v>9682</v>
      </c>
      <c r="F1429" s="10" t="s">
        <v>914</v>
      </c>
      <c r="G1429" s="10" t="s">
        <v>6317</v>
      </c>
      <c r="H1429" s="11">
        <v>39448</v>
      </c>
      <c r="I1429" s="10">
        <v>2008</v>
      </c>
      <c r="J1429" s="10" t="s">
        <v>9682</v>
      </c>
      <c r="K1429" s="10">
        <v>248</v>
      </c>
      <c r="L1429" s="10" t="s">
        <v>12509</v>
      </c>
      <c r="M1429" s="10"/>
      <c r="N1429" s="10"/>
      <c r="O1429" s="10"/>
      <c r="P1429" s="10" t="s">
        <v>12510</v>
      </c>
      <c r="Q1429" s="10">
        <v>813</v>
      </c>
      <c r="R1429" s="10" t="s">
        <v>12511</v>
      </c>
      <c r="S1429" s="10" t="s">
        <v>53</v>
      </c>
      <c r="T1429" s="10" t="s">
        <v>6568</v>
      </c>
    </row>
    <row r="1430" spans="1:20" ht="14.5" x14ac:dyDescent="0.35">
      <c r="A1430" s="10" t="s">
        <v>12512</v>
      </c>
      <c r="B1430" s="10" t="str">
        <f>"9781412901093"</f>
        <v>9781412901093</v>
      </c>
      <c r="C1430" s="10" t="str">
        <f>"9781848604520"</f>
        <v>9781848604520</v>
      </c>
      <c r="D1430" s="10" t="s">
        <v>9325</v>
      </c>
      <c r="E1430" s="10" t="s">
        <v>9326</v>
      </c>
      <c r="F1430" s="10" t="s">
        <v>139</v>
      </c>
      <c r="G1430" s="10" t="s">
        <v>6352</v>
      </c>
      <c r="H1430" s="11">
        <v>38329</v>
      </c>
      <c r="I1430" s="10">
        <v>2005</v>
      </c>
      <c r="J1430" s="10" t="s">
        <v>9326</v>
      </c>
      <c r="K1430" s="10">
        <v>216</v>
      </c>
      <c r="L1430" s="10" t="s">
        <v>12513</v>
      </c>
      <c r="M1430" s="10">
        <v>1</v>
      </c>
      <c r="N1430" s="10"/>
      <c r="O1430" s="10"/>
      <c r="P1430" s="10" t="s">
        <v>12514</v>
      </c>
      <c r="Q1430" s="10">
        <v>371.2</v>
      </c>
      <c r="R1430" s="10" t="s">
        <v>12515</v>
      </c>
      <c r="S1430" s="10" t="s">
        <v>53</v>
      </c>
      <c r="T1430" s="10" t="s">
        <v>54</v>
      </c>
    </row>
    <row r="1431" spans="1:20" ht="14.5" x14ac:dyDescent="0.35">
      <c r="A1431" s="10" t="s">
        <v>12516</v>
      </c>
      <c r="B1431" s="10" t="str">
        <f>"9781412934213"</f>
        <v>9781412934213</v>
      </c>
      <c r="C1431" s="10" t="str">
        <f>"9781848604704"</f>
        <v>9781848604704</v>
      </c>
      <c r="D1431" s="10" t="s">
        <v>9325</v>
      </c>
      <c r="E1431" s="10" t="s">
        <v>9326</v>
      </c>
      <c r="F1431" s="10" t="s">
        <v>139</v>
      </c>
      <c r="G1431" s="10" t="s">
        <v>6352</v>
      </c>
      <c r="H1431" s="11">
        <v>39247</v>
      </c>
      <c r="I1431" s="10">
        <v>2007</v>
      </c>
      <c r="J1431" s="10" t="s">
        <v>9326</v>
      </c>
      <c r="K1431" s="10">
        <v>471</v>
      </c>
      <c r="L1431" s="10" t="s">
        <v>12517</v>
      </c>
      <c r="M1431" s="10">
        <v>1</v>
      </c>
      <c r="N1431" s="10"/>
      <c r="O1431" s="10"/>
      <c r="P1431" s="10" t="s">
        <v>12518</v>
      </c>
      <c r="Q1431" s="10">
        <v>370.15199999999999</v>
      </c>
      <c r="R1431" s="10" t="s">
        <v>12519</v>
      </c>
      <c r="S1431" s="10" t="s">
        <v>53</v>
      </c>
      <c r="T1431" s="10" t="s">
        <v>54</v>
      </c>
    </row>
    <row r="1432" spans="1:20" ht="14.5" x14ac:dyDescent="0.35">
      <c r="A1432" s="10" t="s">
        <v>12520</v>
      </c>
      <c r="B1432" s="10" t="str">
        <f>"9781412922166"</f>
        <v>9781412922166</v>
      </c>
      <c r="C1432" s="10" t="str">
        <f>"9781848604742"</f>
        <v>9781848604742</v>
      </c>
      <c r="D1432" s="10" t="s">
        <v>9325</v>
      </c>
      <c r="E1432" s="10" t="s">
        <v>9326</v>
      </c>
      <c r="F1432" s="10" t="s">
        <v>139</v>
      </c>
      <c r="G1432" s="10" t="s">
        <v>6352</v>
      </c>
      <c r="H1432" s="11">
        <v>39248</v>
      </c>
      <c r="I1432" s="10">
        <v>2007</v>
      </c>
      <c r="J1432" s="10" t="s">
        <v>9326</v>
      </c>
      <c r="K1432" s="10">
        <v>176</v>
      </c>
      <c r="L1432" s="10" t="s">
        <v>12521</v>
      </c>
      <c r="M1432" s="10">
        <v>1</v>
      </c>
      <c r="N1432" s="10"/>
      <c r="O1432" s="10"/>
      <c r="P1432" s="10" t="s">
        <v>12522</v>
      </c>
      <c r="Q1432" s="10">
        <v>302.23071199999998</v>
      </c>
      <c r="R1432" s="10" t="s">
        <v>12523</v>
      </c>
      <c r="S1432" s="10" t="s">
        <v>53</v>
      </c>
      <c r="T1432" s="10" t="s">
        <v>6363</v>
      </c>
    </row>
    <row r="1433" spans="1:20" ht="14.5" x14ac:dyDescent="0.35">
      <c r="A1433" s="10" t="s">
        <v>12524</v>
      </c>
      <c r="B1433" s="10" t="str">
        <f>"9781412923965"</f>
        <v>9781412923965</v>
      </c>
      <c r="C1433" s="10" t="str">
        <f>"9781848604759"</f>
        <v>9781848604759</v>
      </c>
      <c r="D1433" s="10" t="s">
        <v>9325</v>
      </c>
      <c r="E1433" s="10" t="s">
        <v>9326</v>
      </c>
      <c r="F1433" s="10" t="s">
        <v>139</v>
      </c>
      <c r="G1433" s="10" t="s">
        <v>6352</v>
      </c>
      <c r="H1433" s="11">
        <v>39203</v>
      </c>
      <c r="I1433" s="10">
        <v>2007</v>
      </c>
      <c r="J1433" s="10" t="s">
        <v>9326</v>
      </c>
      <c r="K1433" s="10">
        <v>180</v>
      </c>
      <c r="L1433" s="10" t="s">
        <v>12525</v>
      </c>
      <c r="M1433" s="10">
        <v>1</v>
      </c>
      <c r="N1433" s="10"/>
      <c r="O1433" s="10"/>
      <c r="P1433" s="10" t="s">
        <v>12526</v>
      </c>
      <c r="Q1433" s="10">
        <v>371.2011</v>
      </c>
      <c r="R1433" s="10" t="s">
        <v>6932</v>
      </c>
      <c r="S1433" s="10" t="s">
        <v>53</v>
      </c>
      <c r="T1433" s="10" t="s">
        <v>54</v>
      </c>
    </row>
    <row r="1434" spans="1:20" ht="14.5" x14ac:dyDescent="0.35">
      <c r="A1434" s="10" t="s">
        <v>12527</v>
      </c>
      <c r="B1434" s="10" t="str">
        <f>"9781412929066"</f>
        <v>9781412929066</v>
      </c>
      <c r="C1434" s="10" t="str">
        <f>"9781848604780"</f>
        <v>9781848604780</v>
      </c>
      <c r="D1434" s="10" t="s">
        <v>9325</v>
      </c>
      <c r="E1434" s="10" t="s">
        <v>9326</v>
      </c>
      <c r="F1434" s="10" t="s">
        <v>139</v>
      </c>
      <c r="G1434" s="10" t="s">
        <v>6352</v>
      </c>
      <c r="H1434" s="11">
        <v>39175</v>
      </c>
      <c r="I1434" s="10">
        <v>2007</v>
      </c>
      <c r="J1434" s="10" t="s">
        <v>9326</v>
      </c>
      <c r="K1434" s="10">
        <v>118</v>
      </c>
      <c r="L1434" s="10" t="s">
        <v>12528</v>
      </c>
      <c r="M1434" s="10">
        <v>1</v>
      </c>
      <c r="N1434" s="10"/>
      <c r="O1434" s="10"/>
      <c r="P1434" s="10" t="s">
        <v>12529</v>
      </c>
      <c r="Q1434" s="10">
        <v>371.90472089999997</v>
      </c>
      <c r="R1434" s="10" t="s">
        <v>12530</v>
      </c>
      <c r="S1434" s="10" t="s">
        <v>53</v>
      </c>
      <c r="T1434" s="10" t="s">
        <v>54</v>
      </c>
    </row>
    <row r="1435" spans="1:20" ht="14.5" x14ac:dyDescent="0.35">
      <c r="A1435" s="10" t="s">
        <v>12531</v>
      </c>
      <c r="B1435" s="10" t="str">
        <f>"9781412929684"</f>
        <v>9781412929684</v>
      </c>
      <c r="C1435" s="10" t="str">
        <f>"9781848604827"</f>
        <v>9781848604827</v>
      </c>
      <c r="D1435" s="10" t="s">
        <v>9325</v>
      </c>
      <c r="E1435" s="10" t="s">
        <v>9326</v>
      </c>
      <c r="F1435" s="10" t="s">
        <v>139</v>
      </c>
      <c r="G1435" s="10" t="s">
        <v>6352</v>
      </c>
      <c r="H1435" s="11">
        <v>39211</v>
      </c>
      <c r="I1435" s="10">
        <v>2007</v>
      </c>
      <c r="J1435" s="10" t="s">
        <v>9326</v>
      </c>
      <c r="K1435" s="10">
        <v>249</v>
      </c>
      <c r="L1435" s="10" t="s">
        <v>12532</v>
      </c>
      <c r="M1435" s="10">
        <v>1</v>
      </c>
      <c r="N1435" s="10"/>
      <c r="O1435" s="10"/>
      <c r="P1435" s="10" t="s">
        <v>12533</v>
      </c>
      <c r="Q1435" s="10">
        <v>372.66044090000003</v>
      </c>
      <c r="R1435" s="10" t="s">
        <v>7123</v>
      </c>
      <c r="S1435" s="10" t="s">
        <v>53</v>
      </c>
      <c r="T1435" s="10" t="s">
        <v>6881</v>
      </c>
    </row>
    <row r="1436" spans="1:20" ht="14.5" x14ac:dyDescent="0.35">
      <c r="A1436" s="10" t="s">
        <v>12534</v>
      </c>
      <c r="B1436" s="10" t="str">
        <f>"9781412930956"</f>
        <v>9781412930956</v>
      </c>
      <c r="C1436" s="10" t="str">
        <f>"9781848604865"</f>
        <v>9781848604865</v>
      </c>
      <c r="D1436" s="10" t="s">
        <v>9325</v>
      </c>
      <c r="E1436" s="10" t="s">
        <v>9326</v>
      </c>
      <c r="F1436" s="10" t="s">
        <v>139</v>
      </c>
      <c r="G1436" s="10" t="s">
        <v>6352</v>
      </c>
      <c r="H1436" s="11">
        <v>39284</v>
      </c>
      <c r="I1436" s="10">
        <v>2007</v>
      </c>
      <c r="J1436" s="10" t="s">
        <v>9326</v>
      </c>
      <c r="K1436" s="10">
        <v>145</v>
      </c>
      <c r="L1436" s="10" t="s">
        <v>12535</v>
      </c>
      <c r="M1436" s="10">
        <v>1</v>
      </c>
      <c r="N1436" s="10"/>
      <c r="O1436" s="10"/>
      <c r="P1436" s="10" t="s">
        <v>12536</v>
      </c>
      <c r="Q1436" s="10">
        <v>371.334</v>
      </c>
      <c r="R1436" s="10" t="s">
        <v>12537</v>
      </c>
      <c r="S1436" s="10" t="s">
        <v>53</v>
      </c>
      <c r="T1436" s="10" t="s">
        <v>54</v>
      </c>
    </row>
    <row r="1437" spans="1:20" ht="14.5" x14ac:dyDescent="0.35">
      <c r="A1437" s="10" t="s">
        <v>12538</v>
      </c>
      <c r="B1437" s="10" t="str">
        <f>"9781412912730"</f>
        <v>9781412912730</v>
      </c>
      <c r="C1437" s="10" t="str">
        <f>"9781848604872"</f>
        <v>9781848604872</v>
      </c>
      <c r="D1437" s="10" t="s">
        <v>9325</v>
      </c>
      <c r="E1437" s="10" t="s">
        <v>9326</v>
      </c>
      <c r="F1437" s="10" t="s">
        <v>139</v>
      </c>
      <c r="G1437" s="10" t="s">
        <v>6352</v>
      </c>
      <c r="H1437" s="11">
        <v>39129</v>
      </c>
      <c r="I1437" s="10">
        <v>2007</v>
      </c>
      <c r="J1437" s="10" t="s">
        <v>9326</v>
      </c>
      <c r="K1437" s="10">
        <v>134</v>
      </c>
      <c r="L1437" s="10" t="s">
        <v>12539</v>
      </c>
      <c r="M1437" s="10">
        <v>1</v>
      </c>
      <c r="N1437" s="10"/>
      <c r="O1437" s="10"/>
      <c r="P1437" s="10" t="s">
        <v>12540</v>
      </c>
      <c r="Q1437" s="10" t="s">
        <v>6942</v>
      </c>
      <c r="R1437" s="10" t="s">
        <v>7206</v>
      </c>
      <c r="S1437" s="10" t="s">
        <v>53</v>
      </c>
      <c r="T1437" s="10" t="s">
        <v>54</v>
      </c>
    </row>
    <row r="1438" spans="1:20" ht="14.5" x14ac:dyDescent="0.35">
      <c r="A1438" s="10" t="s">
        <v>12541</v>
      </c>
      <c r="B1438" s="10" t="str">
        <f>"9781412922357"</f>
        <v>9781412922357</v>
      </c>
      <c r="C1438" s="10" t="str">
        <f>"9781848604896"</f>
        <v>9781848604896</v>
      </c>
      <c r="D1438" s="10" t="s">
        <v>9325</v>
      </c>
      <c r="E1438" s="10" t="s">
        <v>9326</v>
      </c>
      <c r="F1438" s="10" t="s">
        <v>139</v>
      </c>
      <c r="G1438" s="10" t="s">
        <v>6352</v>
      </c>
      <c r="H1438" s="11">
        <v>38994</v>
      </c>
      <c r="I1438" s="10">
        <v>2006</v>
      </c>
      <c r="J1438" s="10" t="s">
        <v>9326</v>
      </c>
      <c r="K1438" s="10">
        <v>106</v>
      </c>
      <c r="L1438" s="10" t="s">
        <v>12542</v>
      </c>
      <c r="M1438" s="10">
        <v>1</v>
      </c>
      <c r="N1438" s="10"/>
      <c r="O1438" s="10"/>
      <c r="P1438" s="10" t="s">
        <v>12543</v>
      </c>
      <c r="Q1438" s="10">
        <v>372.1</v>
      </c>
      <c r="R1438" s="10" t="s">
        <v>12544</v>
      </c>
      <c r="S1438" s="10" t="s">
        <v>53</v>
      </c>
      <c r="T1438" s="10" t="s">
        <v>54</v>
      </c>
    </row>
    <row r="1439" spans="1:20" ht="14.5" x14ac:dyDescent="0.35">
      <c r="A1439" s="10" t="s">
        <v>12545</v>
      </c>
      <c r="B1439" s="10" t="str">
        <f>"9780761944041"</f>
        <v>9780761944041</v>
      </c>
      <c r="C1439" s="10" t="str">
        <f>"9781848604919"</f>
        <v>9781848604919</v>
      </c>
      <c r="D1439" s="10" t="s">
        <v>9325</v>
      </c>
      <c r="E1439" s="10" t="s">
        <v>9326</v>
      </c>
      <c r="F1439" s="10" t="s">
        <v>139</v>
      </c>
      <c r="G1439" s="10" t="s">
        <v>6352</v>
      </c>
      <c r="H1439" s="11">
        <v>38133</v>
      </c>
      <c r="I1439" s="10">
        <v>2004</v>
      </c>
      <c r="J1439" s="10" t="s">
        <v>9326</v>
      </c>
      <c r="K1439" s="10">
        <v>289</v>
      </c>
      <c r="L1439" s="10" t="s">
        <v>12546</v>
      </c>
      <c r="M1439" s="10">
        <v>1</v>
      </c>
      <c r="N1439" s="10" t="s">
        <v>12547</v>
      </c>
      <c r="O1439" s="10"/>
      <c r="P1439" s="10" t="s">
        <v>12548</v>
      </c>
      <c r="Q1439" s="10" t="s">
        <v>12549</v>
      </c>
      <c r="R1439" s="10" t="s">
        <v>12550</v>
      </c>
      <c r="S1439" s="10" t="s">
        <v>53</v>
      </c>
      <c r="T1439" s="10" t="s">
        <v>54</v>
      </c>
    </row>
    <row r="1440" spans="1:20" ht="14.5" x14ac:dyDescent="0.35">
      <c r="A1440" s="10" t="s">
        <v>12551</v>
      </c>
      <c r="B1440" s="10" t="str">
        <f>"9781412902083"</f>
        <v>9781412902083</v>
      </c>
      <c r="C1440" s="10" t="str">
        <f>"9781848604926"</f>
        <v>9781848604926</v>
      </c>
      <c r="D1440" s="10" t="s">
        <v>9325</v>
      </c>
      <c r="E1440" s="10" t="s">
        <v>9326</v>
      </c>
      <c r="F1440" s="10" t="s">
        <v>139</v>
      </c>
      <c r="G1440" s="10" t="s">
        <v>6352</v>
      </c>
      <c r="H1440" s="11">
        <v>39163</v>
      </c>
      <c r="I1440" s="10">
        <v>2007</v>
      </c>
      <c r="J1440" s="10" t="s">
        <v>9326</v>
      </c>
      <c r="K1440" s="10">
        <v>185</v>
      </c>
      <c r="L1440" s="10" t="s">
        <v>12552</v>
      </c>
      <c r="M1440" s="10">
        <v>1</v>
      </c>
      <c r="N1440" s="10"/>
      <c r="O1440" s="10"/>
      <c r="P1440" s="10" t="s">
        <v>12553</v>
      </c>
      <c r="Q1440" s="10">
        <v>372.6044</v>
      </c>
      <c r="R1440" s="10" t="s">
        <v>12554</v>
      </c>
      <c r="S1440" s="10" t="s">
        <v>53</v>
      </c>
      <c r="T1440" s="10" t="s">
        <v>54</v>
      </c>
    </row>
    <row r="1441" spans="1:20" ht="14.5" x14ac:dyDescent="0.35">
      <c r="A1441" s="10" t="s">
        <v>12555</v>
      </c>
      <c r="B1441" s="10" t="str">
        <f>"9780761941194"</f>
        <v>9780761941194</v>
      </c>
      <c r="C1441" s="10" t="str">
        <f>"9781848604933"</f>
        <v>9781848604933</v>
      </c>
      <c r="D1441" s="10" t="s">
        <v>9325</v>
      </c>
      <c r="E1441" s="10" t="s">
        <v>9326</v>
      </c>
      <c r="F1441" s="10" t="s">
        <v>139</v>
      </c>
      <c r="G1441" s="10" t="s">
        <v>6352</v>
      </c>
      <c r="H1441" s="11">
        <v>39178</v>
      </c>
      <c r="I1441" s="10">
        <v>2007</v>
      </c>
      <c r="J1441" s="10" t="s">
        <v>9326</v>
      </c>
      <c r="K1441" s="10">
        <v>139</v>
      </c>
      <c r="L1441" s="10" t="s">
        <v>12556</v>
      </c>
      <c r="M1441" s="10">
        <v>1</v>
      </c>
      <c r="N1441" s="10"/>
      <c r="O1441" s="10"/>
      <c r="P1441" s="10" t="s">
        <v>12557</v>
      </c>
      <c r="Q1441" s="10">
        <v>1.4</v>
      </c>
      <c r="R1441" s="10" t="s">
        <v>12558</v>
      </c>
      <c r="S1441" s="10" t="s">
        <v>53</v>
      </c>
      <c r="T1441" s="10" t="s">
        <v>12559</v>
      </c>
    </row>
    <row r="1442" spans="1:20" ht="14.5" x14ac:dyDescent="0.35">
      <c r="A1442" s="10" t="s">
        <v>12560</v>
      </c>
      <c r="B1442" s="10" t="str">
        <f>"9781412929141"</f>
        <v>9781412929141</v>
      </c>
      <c r="C1442" s="10" t="str">
        <f>"9781848604940"</f>
        <v>9781848604940</v>
      </c>
      <c r="D1442" s="10" t="s">
        <v>9325</v>
      </c>
      <c r="E1442" s="10" t="s">
        <v>9326</v>
      </c>
      <c r="F1442" s="10" t="s">
        <v>139</v>
      </c>
      <c r="G1442" s="10" t="s">
        <v>6352</v>
      </c>
      <c r="H1442" s="11">
        <v>39435</v>
      </c>
      <c r="I1442" s="10">
        <v>2008</v>
      </c>
      <c r="J1442" s="10" t="s">
        <v>9326</v>
      </c>
      <c r="K1442" s="10">
        <v>419</v>
      </c>
      <c r="L1442" s="10" t="s">
        <v>12561</v>
      </c>
      <c r="M1442" s="10">
        <v>1</v>
      </c>
      <c r="N1442" s="10"/>
      <c r="O1442" s="10"/>
      <c r="P1442" s="10" t="s">
        <v>12562</v>
      </c>
      <c r="Q1442" s="10">
        <v>371.94</v>
      </c>
      <c r="R1442" s="10" t="s">
        <v>12563</v>
      </c>
      <c r="S1442" s="10" t="s">
        <v>53</v>
      </c>
      <c r="T1442" s="10" t="s">
        <v>54</v>
      </c>
    </row>
    <row r="1443" spans="1:20" ht="14.5" x14ac:dyDescent="0.35">
      <c r="A1443" s="10" t="s">
        <v>12564</v>
      </c>
      <c r="B1443" s="10" t="str">
        <f>"9781412922210"</f>
        <v>9781412922210</v>
      </c>
      <c r="C1443" s="10" t="str">
        <f>"9781848604995"</f>
        <v>9781848604995</v>
      </c>
      <c r="D1443" s="10" t="s">
        <v>9325</v>
      </c>
      <c r="E1443" s="10" t="s">
        <v>9326</v>
      </c>
      <c r="F1443" s="10" t="s">
        <v>139</v>
      </c>
      <c r="G1443" s="10" t="s">
        <v>6352</v>
      </c>
      <c r="H1443" s="11">
        <v>38891</v>
      </c>
      <c r="I1443" s="10">
        <v>2006</v>
      </c>
      <c r="J1443" s="10" t="s">
        <v>9326</v>
      </c>
      <c r="K1443" s="10">
        <v>131</v>
      </c>
      <c r="L1443" s="10" t="s">
        <v>12565</v>
      </c>
      <c r="M1443" s="10">
        <v>1</v>
      </c>
      <c r="N1443" s="10"/>
      <c r="O1443" s="10"/>
      <c r="P1443" s="10" t="s">
        <v>12566</v>
      </c>
      <c r="Q1443" s="10">
        <v>371.90460940999998</v>
      </c>
      <c r="R1443" s="10" t="s">
        <v>12567</v>
      </c>
      <c r="S1443" s="10" t="s">
        <v>53</v>
      </c>
      <c r="T1443" s="10" t="s">
        <v>54</v>
      </c>
    </row>
    <row r="1444" spans="1:20" ht="14.5" x14ac:dyDescent="0.35">
      <c r="A1444" s="10" t="s">
        <v>12568</v>
      </c>
      <c r="B1444" s="10" t="str">
        <f>"9781412934688"</f>
        <v>9781412934688</v>
      </c>
      <c r="C1444" s="10" t="str">
        <f>"9781848605015"</f>
        <v>9781848605015</v>
      </c>
      <c r="D1444" s="10" t="s">
        <v>9325</v>
      </c>
      <c r="E1444" s="10" t="s">
        <v>9326</v>
      </c>
      <c r="F1444" s="10" t="s">
        <v>139</v>
      </c>
      <c r="G1444" s="10" t="s">
        <v>6352</v>
      </c>
      <c r="H1444" s="11">
        <v>39251</v>
      </c>
      <c r="I1444" s="10">
        <v>2007</v>
      </c>
      <c r="J1444" s="10" t="s">
        <v>9326</v>
      </c>
      <c r="K1444" s="10">
        <v>104</v>
      </c>
      <c r="L1444" s="10" t="s">
        <v>12569</v>
      </c>
      <c r="M1444" s="10">
        <v>1</v>
      </c>
      <c r="N1444" s="10"/>
      <c r="O1444" s="10"/>
      <c r="P1444" s="10" t="s">
        <v>12570</v>
      </c>
      <c r="Q1444" s="10">
        <v>371.2011</v>
      </c>
      <c r="R1444" s="10" t="s">
        <v>12571</v>
      </c>
      <c r="S1444" s="10" t="s">
        <v>53</v>
      </c>
      <c r="T1444" s="10" t="s">
        <v>54</v>
      </c>
    </row>
    <row r="1445" spans="1:20" ht="14.5" x14ac:dyDescent="0.35">
      <c r="A1445" s="10" t="s">
        <v>12572</v>
      </c>
      <c r="B1445" s="10" t="str">
        <f>"9781412923262"</f>
        <v>9781412923262</v>
      </c>
      <c r="C1445" s="10" t="str">
        <f>"9781848605046"</f>
        <v>9781848605046</v>
      </c>
      <c r="D1445" s="10" t="s">
        <v>9325</v>
      </c>
      <c r="E1445" s="10" t="s">
        <v>9326</v>
      </c>
      <c r="F1445" s="10" t="s">
        <v>139</v>
      </c>
      <c r="G1445" s="10" t="s">
        <v>6352</v>
      </c>
      <c r="H1445" s="11">
        <v>39101</v>
      </c>
      <c r="I1445" s="10">
        <v>2007</v>
      </c>
      <c r="J1445" s="10" t="s">
        <v>9326</v>
      </c>
      <c r="K1445" s="10">
        <v>132</v>
      </c>
      <c r="L1445" s="10" t="s">
        <v>12573</v>
      </c>
      <c r="M1445" s="10">
        <v>1</v>
      </c>
      <c r="N1445" s="10" t="s">
        <v>12574</v>
      </c>
      <c r="O1445" s="10"/>
      <c r="P1445" s="10" t="s">
        <v>12575</v>
      </c>
      <c r="Q1445" s="10">
        <v>371.90472</v>
      </c>
      <c r="R1445" s="10" t="s">
        <v>12567</v>
      </c>
      <c r="S1445" s="10" t="s">
        <v>53</v>
      </c>
      <c r="T1445" s="10" t="s">
        <v>54</v>
      </c>
    </row>
    <row r="1446" spans="1:20" ht="14.5" x14ac:dyDescent="0.35">
      <c r="A1446" s="10" t="s">
        <v>12576</v>
      </c>
      <c r="B1446" s="10" t="str">
        <f>"9781412918343"</f>
        <v>9781412918343</v>
      </c>
      <c r="C1446" s="10" t="str">
        <f>"9781848605053"</f>
        <v>9781848605053</v>
      </c>
      <c r="D1446" s="10" t="s">
        <v>9325</v>
      </c>
      <c r="E1446" s="10" t="s">
        <v>9326</v>
      </c>
      <c r="F1446" s="10" t="s">
        <v>139</v>
      </c>
      <c r="G1446" s="10" t="s">
        <v>6352</v>
      </c>
      <c r="H1446" s="11">
        <v>39178</v>
      </c>
      <c r="I1446" s="10">
        <v>2007</v>
      </c>
      <c r="J1446" s="10" t="s">
        <v>9326</v>
      </c>
      <c r="K1446" s="10">
        <v>160</v>
      </c>
      <c r="L1446" s="10" t="s">
        <v>12577</v>
      </c>
      <c r="M1446" s="10">
        <v>1</v>
      </c>
      <c r="N1446" s="10"/>
      <c r="O1446" s="10"/>
      <c r="P1446" s="10" t="s">
        <v>12578</v>
      </c>
      <c r="Q1446" s="10">
        <v>372.11020000000002</v>
      </c>
      <c r="R1446" s="10" t="s">
        <v>12579</v>
      </c>
      <c r="S1446" s="10" t="s">
        <v>53</v>
      </c>
      <c r="T1446" s="10" t="s">
        <v>54</v>
      </c>
    </row>
    <row r="1447" spans="1:20" ht="14.5" x14ac:dyDescent="0.35">
      <c r="A1447" s="10" t="s">
        <v>12580</v>
      </c>
      <c r="B1447" s="10" t="str">
        <f>"9781412921039"</f>
        <v>9781412921039</v>
      </c>
      <c r="C1447" s="10" t="str">
        <f>"9781848605183"</f>
        <v>9781848605183</v>
      </c>
      <c r="D1447" s="10" t="s">
        <v>9325</v>
      </c>
      <c r="E1447" s="10" t="s">
        <v>9326</v>
      </c>
      <c r="F1447" s="10" t="s">
        <v>139</v>
      </c>
      <c r="G1447" s="10" t="s">
        <v>6352</v>
      </c>
      <c r="H1447" s="11">
        <v>39248</v>
      </c>
      <c r="I1447" s="10">
        <v>2007</v>
      </c>
      <c r="J1447" s="10" t="s">
        <v>9326</v>
      </c>
      <c r="K1447" s="10">
        <v>141</v>
      </c>
      <c r="L1447" s="10" t="s">
        <v>12581</v>
      </c>
      <c r="M1447" s="10">
        <v>1</v>
      </c>
      <c r="N1447" s="10"/>
      <c r="O1447" s="10"/>
      <c r="P1447" s="10" t="s">
        <v>12582</v>
      </c>
      <c r="Q1447" s="10">
        <v>372.7</v>
      </c>
      <c r="R1447" s="10" t="s">
        <v>12583</v>
      </c>
      <c r="S1447" s="10" t="s">
        <v>53</v>
      </c>
      <c r="T1447" s="10" t="s">
        <v>6448</v>
      </c>
    </row>
    <row r="1448" spans="1:20" ht="14.5" x14ac:dyDescent="0.35">
      <c r="A1448" s="10" t="s">
        <v>12584</v>
      </c>
      <c r="B1448" s="10" t="str">
        <f>"9781412920254"</f>
        <v>9781412920254</v>
      </c>
      <c r="C1448" s="10" t="str">
        <f>"9781848605220"</f>
        <v>9781848605220</v>
      </c>
      <c r="D1448" s="10" t="s">
        <v>9325</v>
      </c>
      <c r="E1448" s="10" t="s">
        <v>9326</v>
      </c>
      <c r="F1448" s="10" t="s">
        <v>139</v>
      </c>
      <c r="G1448" s="10" t="s">
        <v>6352</v>
      </c>
      <c r="H1448" s="11">
        <v>39185</v>
      </c>
      <c r="I1448" s="10">
        <v>2007</v>
      </c>
      <c r="J1448" s="10" t="s">
        <v>9326</v>
      </c>
      <c r="K1448" s="10">
        <v>145</v>
      </c>
      <c r="L1448" s="10" t="s">
        <v>12585</v>
      </c>
      <c r="M1448" s="10">
        <v>1</v>
      </c>
      <c r="N1448" s="10" t="s">
        <v>11973</v>
      </c>
      <c r="O1448" s="10"/>
      <c r="P1448" s="10" t="s">
        <v>12586</v>
      </c>
      <c r="Q1448" s="10">
        <v>372.67709409999998</v>
      </c>
      <c r="R1448" s="10" t="s">
        <v>12587</v>
      </c>
      <c r="S1448" s="10" t="s">
        <v>53</v>
      </c>
      <c r="T1448" s="10" t="s">
        <v>54</v>
      </c>
    </row>
    <row r="1449" spans="1:20" ht="14.5" x14ac:dyDescent="0.35">
      <c r="A1449" s="10" t="s">
        <v>12588</v>
      </c>
      <c r="B1449" s="10" t="str">
        <f>"9781412924139"</f>
        <v>9781412924139</v>
      </c>
      <c r="C1449" s="10" t="str">
        <f>"9781848605244"</f>
        <v>9781848605244</v>
      </c>
      <c r="D1449" s="10" t="s">
        <v>9325</v>
      </c>
      <c r="E1449" s="10" t="s">
        <v>9326</v>
      </c>
      <c r="F1449" s="10" t="s">
        <v>139</v>
      </c>
      <c r="G1449" s="10" t="s">
        <v>6352</v>
      </c>
      <c r="H1449" s="11">
        <v>39261</v>
      </c>
      <c r="I1449" s="10">
        <v>2007</v>
      </c>
      <c r="J1449" s="10" t="s">
        <v>9326</v>
      </c>
      <c r="K1449" s="10">
        <v>116</v>
      </c>
      <c r="L1449" s="10" t="s">
        <v>12079</v>
      </c>
      <c r="M1449" s="10">
        <v>1</v>
      </c>
      <c r="N1449" s="10"/>
      <c r="O1449" s="10"/>
      <c r="P1449" s="10" t="s">
        <v>12589</v>
      </c>
      <c r="Q1449" s="10">
        <v>371.10239999999999</v>
      </c>
      <c r="R1449" s="10" t="s">
        <v>12590</v>
      </c>
      <c r="S1449" s="10" t="s">
        <v>53</v>
      </c>
      <c r="T1449" s="10" t="s">
        <v>54</v>
      </c>
    </row>
    <row r="1450" spans="1:20" ht="14.5" x14ac:dyDescent="0.35">
      <c r="A1450" s="10" t="s">
        <v>12591</v>
      </c>
      <c r="B1450" s="10" t="str">
        <f>"9781412935623"</f>
        <v>9781412935623</v>
      </c>
      <c r="C1450" s="10" t="str">
        <f>"9781848605268"</f>
        <v>9781848605268</v>
      </c>
      <c r="D1450" s="10" t="s">
        <v>9325</v>
      </c>
      <c r="E1450" s="10" t="s">
        <v>9326</v>
      </c>
      <c r="F1450" s="10" t="s">
        <v>139</v>
      </c>
      <c r="G1450" s="10" t="s">
        <v>6352</v>
      </c>
      <c r="H1450" s="11">
        <v>39248</v>
      </c>
      <c r="I1450" s="10">
        <v>2007</v>
      </c>
      <c r="J1450" s="10" t="s">
        <v>9326</v>
      </c>
      <c r="K1450" s="10">
        <v>181</v>
      </c>
      <c r="L1450" s="10" t="s">
        <v>12592</v>
      </c>
      <c r="M1450" s="10">
        <v>1</v>
      </c>
      <c r="N1450" s="10"/>
      <c r="O1450" s="10"/>
      <c r="P1450" s="10" t="s">
        <v>12593</v>
      </c>
      <c r="Q1450" s="10">
        <v>372.13344609410001</v>
      </c>
      <c r="R1450" s="10" t="s">
        <v>12594</v>
      </c>
      <c r="S1450" s="10" t="s">
        <v>53</v>
      </c>
      <c r="T1450" s="10" t="s">
        <v>54</v>
      </c>
    </row>
    <row r="1451" spans="1:20" ht="14.5" x14ac:dyDescent="0.35">
      <c r="A1451" s="10" t="s">
        <v>12595</v>
      </c>
      <c r="B1451" s="10" t="str">
        <f>"9781412945066"</f>
        <v>9781412945066</v>
      </c>
      <c r="C1451" s="10" t="str">
        <f>"9781848605282"</f>
        <v>9781848605282</v>
      </c>
      <c r="D1451" s="10" t="s">
        <v>9325</v>
      </c>
      <c r="E1451" s="10" t="s">
        <v>9326</v>
      </c>
      <c r="F1451" s="10" t="s">
        <v>139</v>
      </c>
      <c r="G1451" s="10" t="s">
        <v>6352</v>
      </c>
      <c r="H1451" s="11">
        <v>39284</v>
      </c>
      <c r="I1451" s="10">
        <v>2007</v>
      </c>
      <c r="J1451" s="10" t="s">
        <v>9326</v>
      </c>
      <c r="K1451" s="10">
        <v>129</v>
      </c>
      <c r="L1451" s="10" t="s">
        <v>12596</v>
      </c>
      <c r="M1451" s="10">
        <v>1</v>
      </c>
      <c r="N1451" s="10"/>
      <c r="O1451" s="10"/>
      <c r="P1451" s="10" t="s">
        <v>12597</v>
      </c>
      <c r="Q1451" s="10">
        <v>372.70440940999998</v>
      </c>
      <c r="R1451" s="10" t="s">
        <v>12598</v>
      </c>
      <c r="S1451" s="10" t="s">
        <v>53</v>
      </c>
      <c r="T1451" s="10" t="s">
        <v>6448</v>
      </c>
    </row>
    <row r="1452" spans="1:20" ht="14.5" x14ac:dyDescent="0.35">
      <c r="A1452" s="10" t="s">
        <v>12599</v>
      </c>
      <c r="B1452" s="10" t="str">
        <f>"9780761944676"</f>
        <v>9780761944676</v>
      </c>
      <c r="C1452" s="10" t="str">
        <f>"9781848605299"</f>
        <v>9781848605299</v>
      </c>
      <c r="D1452" s="10" t="s">
        <v>9325</v>
      </c>
      <c r="E1452" s="10" t="s">
        <v>9326</v>
      </c>
      <c r="F1452" s="10" t="s">
        <v>139</v>
      </c>
      <c r="G1452" s="10" t="s">
        <v>6352</v>
      </c>
      <c r="H1452" s="11">
        <v>39255</v>
      </c>
      <c r="I1452" s="10">
        <v>2007</v>
      </c>
      <c r="J1452" s="10" t="s">
        <v>9326</v>
      </c>
      <c r="K1452" s="10">
        <v>154</v>
      </c>
      <c r="L1452" s="10" t="s">
        <v>12600</v>
      </c>
      <c r="M1452" s="10">
        <v>1</v>
      </c>
      <c r="N1452" s="10" t="s">
        <v>9419</v>
      </c>
      <c r="O1452" s="10"/>
      <c r="P1452" s="10" t="s">
        <v>12601</v>
      </c>
      <c r="Q1452" s="10">
        <v>371.2</v>
      </c>
      <c r="R1452" s="10" t="s">
        <v>12602</v>
      </c>
      <c r="S1452" s="10" t="s">
        <v>53</v>
      </c>
      <c r="T1452" s="10" t="s">
        <v>54</v>
      </c>
    </row>
    <row r="1453" spans="1:20" ht="14.5" x14ac:dyDescent="0.35">
      <c r="A1453" s="10" t="s">
        <v>12603</v>
      </c>
      <c r="B1453" s="10" t="str">
        <f>"9781412911863"</f>
        <v>9781412911863</v>
      </c>
      <c r="C1453" s="10" t="str">
        <f>"9781848605381"</f>
        <v>9781848605381</v>
      </c>
      <c r="D1453" s="10" t="s">
        <v>9325</v>
      </c>
      <c r="E1453" s="10" t="s">
        <v>9326</v>
      </c>
      <c r="F1453" s="10" t="s">
        <v>139</v>
      </c>
      <c r="G1453" s="10" t="s">
        <v>6352</v>
      </c>
      <c r="H1453" s="11">
        <v>39216</v>
      </c>
      <c r="I1453" s="10">
        <v>2007</v>
      </c>
      <c r="J1453" s="10" t="s">
        <v>9326</v>
      </c>
      <c r="K1453" s="10">
        <v>153</v>
      </c>
      <c r="L1453" s="10" t="s">
        <v>12604</v>
      </c>
      <c r="M1453" s="10">
        <v>1</v>
      </c>
      <c r="N1453" s="10" t="s">
        <v>11973</v>
      </c>
      <c r="O1453" s="10"/>
      <c r="P1453" s="10" t="s">
        <v>12605</v>
      </c>
      <c r="Q1453" s="10">
        <v>373.13028000000003</v>
      </c>
      <c r="R1453" s="10" t="s">
        <v>12606</v>
      </c>
      <c r="S1453" s="10" t="s">
        <v>53</v>
      </c>
      <c r="T1453" s="10" t="s">
        <v>54</v>
      </c>
    </row>
    <row r="1454" spans="1:20" ht="14.5" x14ac:dyDescent="0.35">
      <c r="A1454" s="10" t="s">
        <v>12607</v>
      </c>
      <c r="B1454" s="10" t="str">
        <f>"9781412918985"</f>
        <v>9781412918985</v>
      </c>
      <c r="C1454" s="10" t="str">
        <f>"9781446229552"</f>
        <v>9781446229552</v>
      </c>
      <c r="D1454" s="10" t="s">
        <v>9325</v>
      </c>
      <c r="E1454" s="10" t="s">
        <v>9326</v>
      </c>
      <c r="F1454" s="10" t="s">
        <v>139</v>
      </c>
      <c r="G1454" s="10" t="s">
        <v>6352</v>
      </c>
      <c r="H1454" s="11">
        <v>38635</v>
      </c>
      <c r="I1454" s="10">
        <v>2005</v>
      </c>
      <c r="J1454" s="10" t="s">
        <v>9326</v>
      </c>
      <c r="K1454" s="10">
        <v>142</v>
      </c>
      <c r="L1454" s="10" t="s">
        <v>12608</v>
      </c>
      <c r="M1454" s="10">
        <v>1</v>
      </c>
      <c r="N1454" s="10"/>
      <c r="O1454" s="10"/>
      <c r="P1454" s="10" t="s">
        <v>12609</v>
      </c>
      <c r="Q1454" s="10">
        <v>370.71100000000001</v>
      </c>
      <c r="R1454" s="10" t="s">
        <v>12610</v>
      </c>
      <c r="S1454" s="10" t="s">
        <v>53</v>
      </c>
      <c r="T1454" s="10" t="s">
        <v>54</v>
      </c>
    </row>
    <row r="1455" spans="1:20" ht="14.5" x14ac:dyDescent="0.35">
      <c r="A1455" s="10" t="s">
        <v>12611</v>
      </c>
      <c r="B1455" s="10" t="str">
        <f>"9781412921596"</f>
        <v>9781412921596</v>
      </c>
      <c r="C1455" s="10" t="str">
        <f>"9781848605435"</f>
        <v>9781848605435</v>
      </c>
      <c r="D1455" s="10" t="s">
        <v>9325</v>
      </c>
      <c r="E1455" s="10" t="s">
        <v>9326</v>
      </c>
      <c r="F1455" s="10" t="s">
        <v>139</v>
      </c>
      <c r="G1455" s="10" t="s">
        <v>6352</v>
      </c>
      <c r="H1455" s="11">
        <v>39203</v>
      </c>
      <c r="I1455" s="10">
        <v>2007</v>
      </c>
      <c r="J1455" s="10" t="s">
        <v>9326</v>
      </c>
      <c r="K1455" s="10">
        <v>145</v>
      </c>
      <c r="L1455" s="10" t="s">
        <v>12612</v>
      </c>
      <c r="M1455" s="10">
        <v>1</v>
      </c>
      <c r="N1455" s="10"/>
      <c r="O1455" s="10"/>
      <c r="P1455" s="10" t="s">
        <v>12613</v>
      </c>
      <c r="Q1455" s="10">
        <v>371.2011</v>
      </c>
      <c r="R1455" s="10" t="s">
        <v>12614</v>
      </c>
      <c r="S1455" s="10" t="s">
        <v>53</v>
      </c>
      <c r="T1455" s="10" t="s">
        <v>54</v>
      </c>
    </row>
    <row r="1456" spans="1:20" ht="14.5" x14ac:dyDescent="0.35">
      <c r="A1456" s="10" t="s">
        <v>12615</v>
      </c>
      <c r="B1456" s="10" t="str">
        <f>"9781412920186"</f>
        <v>9781412920186</v>
      </c>
      <c r="C1456" s="10" t="str">
        <f>"9781848605534"</f>
        <v>9781848605534</v>
      </c>
      <c r="D1456" s="10" t="s">
        <v>9325</v>
      </c>
      <c r="E1456" s="10" t="s">
        <v>9326</v>
      </c>
      <c r="F1456" s="10" t="s">
        <v>139</v>
      </c>
      <c r="G1456" s="10" t="s">
        <v>6352</v>
      </c>
      <c r="H1456" s="11">
        <v>39189</v>
      </c>
      <c r="I1456" s="10">
        <v>2007</v>
      </c>
      <c r="J1456" s="10" t="s">
        <v>9326</v>
      </c>
      <c r="K1456" s="10">
        <v>95</v>
      </c>
      <c r="L1456" s="10" t="s">
        <v>12616</v>
      </c>
      <c r="M1456" s="10">
        <v>1</v>
      </c>
      <c r="N1456" s="10" t="s">
        <v>11973</v>
      </c>
      <c r="O1456" s="10"/>
      <c r="P1456" s="10" t="s">
        <v>12617</v>
      </c>
      <c r="Q1456" s="10">
        <v>370.15300000000002</v>
      </c>
      <c r="R1456" s="10" t="s">
        <v>12618</v>
      </c>
      <c r="S1456" s="10" t="s">
        <v>53</v>
      </c>
      <c r="T1456" s="10" t="s">
        <v>6492</v>
      </c>
    </row>
    <row r="1457" spans="1:20" ht="14.5" x14ac:dyDescent="0.35">
      <c r="A1457" s="10" t="s">
        <v>12619</v>
      </c>
      <c r="B1457" s="10" t="str">
        <f>"9780761943549"</f>
        <v>9780761943549</v>
      </c>
      <c r="C1457" s="10" t="str">
        <f>"9781848605589"</f>
        <v>9781848605589</v>
      </c>
      <c r="D1457" s="10" t="s">
        <v>9325</v>
      </c>
      <c r="E1457" s="10" t="s">
        <v>9326</v>
      </c>
      <c r="F1457" s="10" t="s">
        <v>139</v>
      </c>
      <c r="G1457" s="10" t="s">
        <v>6352</v>
      </c>
      <c r="H1457" s="11">
        <v>38133</v>
      </c>
      <c r="I1457" s="10">
        <v>2004</v>
      </c>
      <c r="J1457" s="10" t="s">
        <v>9326</v>
      </c>
      <c r="K1457" s="10">
        <v>241</v>
      </c>
      <c r="L1457" s="10" t="s">
        <v>12620</v>
      </c>
      <c r="M1457" s="10">
        <v>1</v>
      </c>
      <c r="N1457" s="10"/>
      <c r="O1457" s="10"/>
      <c r="P1457" s="10" t="s">
        <v>12621</v>
      </c>
      <c r="Q1457" s="10" t="s">
        <v>12622</v>
      </c>
      <c r="R1457" s="10" t="s">
        <v>12623</v>
      </c>
      <c r="S1457" s="10" t="s">
        <v>53</v>
      </c>
      <c r="T1457" s="10" t="s">
        <v>54</v>
      </c>
    </row>
    <row r="1458" spans="1:20" ht="14.5" x14ac:dyDescent="0.35">
      <c r="A1458" s="10" t="s">
        <v>12624</v>
      </c>
      <c r="B1458" s="10" t="str">
        <f>"9781412923576"</f>
        <v>9781412923576</v>
      </c>
      <c r="C1458" s="10" t="str">
        <f>"9781848605602"</f>
        <v>9781848605602</v>
      </c>
      <c r="D1458" s="10" t="s">
        <v>9325</v>
      </c>
      <c r="E1458" s="10" t="s">
        <v>9326</v>
      </c>
      <c r="F1458" s="10" t="s">
        <v>139</v>
      </c>
      <c r="G1458" s="10" t="s">
        <v>6352</v>
      </c>
      <c r="H1458" s="11">
        <v>39185</v>
      </c>
      <c r="I1458" s="10">
        <v>2007</v>
      </c>
      <c r="J1458" s="10" t="s">
        <v>9326</v>
      </c>
      <c r="K1458" s="10">
        <v>261</v>
      </c>
      <c r="L1458" s="10" t="s">
        <v>12625</v>
      </c>
      <c r="M1458" s="10">
        <v>1</v>
      </c>
      <c r="N1458" s="10" t="s">
        <v>11973</v>
      </c>
      <c r="O1458" s="10"/>
      <c r="P1458" s="10" t="s">
        <v>12626</v>
      </c>
      <c r="Q1458" s="10">
        <v>372.83044094100001</v>
      </c>
      <c r="R1458" s="10" t="s">
        <v>12627</v>
      </c>
      <c r="S1458" s="10" t="s">
        <v>53</v>
      </c>
      <c r="T1458" s="10" t="s">
        <v>54</v>
      </c>
    </row>
    <row r="1459" spans="1:20" ht="14.5" x14ac:dyDescent="0.35">
      <c r="A1459" s="10" t="s">
        <v>12628</v>
      </c>
      <c r="B1459" s="10" t="str">
        <f>"9781412923583"</f>
        <v>9781412923583</v>
      </c>
      <c r="C1459" s="10" t="str">
        <f>"9781848605633"</f>
        <v>9781848605633</v>
      </c>
      <c r="D1459" s="10" t="s">
        <v>9325</v>
      </c>
      <c r="E1459" s="10" t="s">
        <v>9326</v>
      </c>
      <c r="F1459" s="10" t="s">
        <v>139</v>
      </c>
      <c r="G1459" s="10" t="s">
        <v>6352</v>
      </c>
      <c r="H1459" s="11">
        <v>39185</v>
      </c>
      <c r="I1459" s="10">
        <v>2007</v>
      </c>
      <c r="J1459" s="10" t="s">
        <v>9326</v>
      </c>
      <c r="K1459" s="10">
        <v>311</v>
      </c>
      <c r="L1459" s="10" t="s">
        <v>12625</v>
      </c>
      <c r="M1459" s="10">
        <v>1</v>
      </c>
      <c r="N1459" s="10" t="s">
        <v>11973</v>
      </c>
      <c r="O1459" s="10"/>
      <c r="P1459" s="10" t="s">
        <v>12629</v>
      </c>
      <c r="Q1459" s="10">
        <v>303.37207124100001</v>
      </c>
      <c r="R1459" s="10" t="s">
        <v>12630</v>
      </c>
      <c r="S1459" s="10" t="s">
        <v>53</v>
      </c>
      <c r="T1459" s="10" t="s">
        <v>6472</v>
      </c>
    </row>
    <row r="1460" spans="1:20" ht="14.5" x14ac:dyDescent="0.35">
      <c r="A1460" s="10" t="s">
        <v>12631</v>
      </c>
      <c r="B1460" s="10" t="str">
        <f>"9781412902267"</f>
        <v>9781412902267</v>
      </c>
      <c r="C1460" s="10" t="str">
        <f>"9781848605657"</f>
        <v>9781848605657</v>
      </c>
      <c r="D1460" s="10" t="s">
        <v>9325</v>
      </c>
      <c r="E1460" s="10" t="s">
        <v>9326</v>
      </c>
      <c r="F1460" s="10" t="s">
        <v>139</v>
      </c>
      <c r="G1460" s="10" t="s">
        <v>6352</v>
      </c>
      <c r="H1460" s="11">
        <v>39203</v>
      </c>
      <c r="I1460" s="10">
        <v>2007</v>
      </c>
      <c r="J1460" s="10" t="s">
        <v>9326</v>
      </c>
      <c r="K1460" s="10">
        <v>257</v>
      </c>
      <c r="L1460" s="10" t="s">
        <v>12632</v>
      </c>
      <c r="M1460" s="10">
        <v>1</v>
      </c>
      <c r="N1460" s="10" t="s">
        <v>12043</v>
      </c>
      <c r="O1460" s="10"/>
      <c r="P1460" s="10" t="s">
        <v>12633</v>
      </c>
      <c r="Q1460" s="10">
        <v>300.71141</v>
      </c>
      <c r="R1460" s="10" t="s">
        <v>12634</v>
      </c>
      <c r="S1460" s="10" t="s">
        <v>53</v>
      </c>
      <c r="T1460" s="10" t="s">
        <v>6363</v>
      </c>
    </row>
    <row r="1461" spans="1:20" ht="14.5" x14ac:dyDescent="0.35">
      <c r="A1461" s="10" t="s">
        <v>12635</v>
      </c>
      <c r="B1461" s="10" t="str">
        <f>"9781412944885"</f>
        <v>9781412944885</v>
      </c>
      <c r="C1461" s="10" t="str">
        <f>"9781848606104"</f>
        <v>9781848606104</v>
      </c>
      <c r="D1461" s="10" t="s">
        <v>9325</v>
      </c>
      <c r="E1461" s="10" t="s">
        <v>9326</v>
      </c>
      <c r="F1461" s="10" t="s">
        <v>139</v>
      </c>
      <c r="G1461" s="10" t="s">
        <v>6352</v>
      </c>
      <c r="H1461" s="11">
        <v>39185</v>
      </c>
      <c r="I1461" s="10">
        <v>2007</v>
      </c>
      <c r="J1461" s="10" t="s">
        <v>9326</v>
      </c>
      <c r="K1461" s="10">
        <v>145</v>
      </c>
      <c r="L1461" s="10" t="s">
        <v>12636</v>
      </c>
      <c r="M1461" s="10">
        <v>1</v>
      </c>
      <c r="N1461" s="10"/>
      <c r="O1461" s="10"/>
      <c r="P1461" s="10" t="s">
        <v>12637</v>
      </c>
      <c r="Q1461" s="10">
        <v>371.90460940000003</v>
      </c>
      <c r="R1461" s="10" t="s">
        <v>12638</v>
      </c>
      <c r="S1461" s="10" t="s">
        <v>53</v>
      </c>
      <c r="T1461" s="10" t="s">
        <v>54</v>
      </c>
    </row>
    <row r="1462" spans="1:20" ht="14.5" x14ac:dyDescent="0.35">
      <c r="A1462" s="10" t="s">
        <v>12639</v>
      </c>
      <c r="B1462" s="10" t="str">
        <f>"9780873551885"</f>
        <v>9780873551885</v>
      </c>
      <c r="C1462" s="10" t="str">
        <f>"9781933531595"</f>
        <v>9781933531595</v>
      </c>
      <c r="D1462" s="10" t="s">
        <v>3386</v>
      </c>
      <c r="E1462" s="10" t="s">
        <v>3386</v>
      </c>
      <c r="F1462" s="10" t="s">
        <v>9597</v>
      </c>
      <c r="G1462" s="10" t="s">
        <v>6317</v>
      </c>
      <c r="H1462" s="11">
        <v>36892</v>
      </c>
      <c r="I1462" s="10">
        <v>2001</v>
      </c>
      <c r="J1462" s="10" t="s">
        <v>3386</v>
      </c>
      <c r="K1462" s="10">
        <v>81</v>
      </c>
      <c r="L1462" s="10" t="s">
        <v>12640</v>
      </c>
      <c r="M1462" s="10">
        <v>1</v>
      </c>
      <c r="N1462" s="10"/>
      <c r="O1462" s="10"/>
      <c r="P1462" s="10" t="s">
        <v>12641</v>
      </c>
      <c r="Q1462" s="10" t="s">
        <v>12642</v>
      </c>
      <c r="R1462" s="10" t="s">
        <v>12643</v>
      </c>
      <c r="S1462" s="10" t="s">
        <v>53</v>
      </c>
      <c r="T1462" s="10" t="s">
        <v>11578</v>
      </c>
    </row>
    <row r="1463" spans="1:20" ht="14.5" x14ac:dyDescent="0.35">
      <c r="A1463" s="10" t="s">
        <v>12644</v>
      </c>
      <c r="B1463" s="10" t="str">
        <f>"9780873551939"</f>
        <v>9780873551939</v>
      </c>
      <c r="C1463" s="10" t="str">
        <f>"9781933531540"</f>
        <v>9781933531540</v>
      </c>
      <c r="D1463" s="10" t="s">
        <v>3386</v>
      </c>
      <c r="E1463" s="10" t="s">
        <v>3386</v>
      </c>
      <c r="F1463" s="10" t="s">
        <v>9597</v>
      </c>
      <c r="G1463" s="10" t="s">
        <v>6317</v>
      </c>
      <c r="H1463" s="11">
        <v>36892</v>
      </c>
      <c r="I1463" s="10">
        <v>2001</v>
      </c>
      <c r="J1463" s="10" t="s">
        <v>3386</v>
      </c>
      <c r="K1463" s="10">
        <v>211</v>
      </c>
      <c r="L1463" s="10" t="s">
        <v>12645</v>
      </c>
      <c r="M1463" s="10">
        <v>1</v>
      </c>
      <c r="N1463" s="10"/>
      <c r="O1463" s="10"/>
      <c r="P1463" s="10" t="s">
        <v>12646</v>
      </c>
      <c r="Q1463" s="10" t="s">
        <v>12647</v>
      </c>
      <c r="R1463" s="10" t="s">
        <v>12648</v>
      </c>
      <c r="S1463" s="10" t="s">
        <v>53</v>
      </c>
      <c r="T1463" s="10" t="s">
        <v>9608</v>
      </c>
    </row>
    <row r="1464" spans="1:20" ht="14.5" x14ac:dyDescent="0.35">
      <c r="A1464" s="10" t="s">
        <v>12649</v>
      </c>
      <c r="B1464" s="10" t="str">
        <f>"9780873551892"</f>
        <v>9780873551892</v>
      </c>
      <c r="C1464" s="10" t="str">
        <f>"9781933531526"</f>
        <v>9781933531526</v>
      </c>
      <c r="D1464" s="10" t="s">
        <v>3386</v>
      </c>
      <c r="E1464" s="10" t="s">
        <v>3386</v>
      </c>
      <c r="F1464" s="10" t="s">
        <v>9597</v>
      </c>
      <c r="G1464" s="10" t="s">
        <v>6317</v>
      </c>
      <c r="H1464" s="11">
        <v>36892</v>
      </c>
      <c r="I1464" s="10">
        <v>2001</v>
      </c>
      <c r="J1464" s="10" t="s">
        <v>3386</v>
      </c>
      <c r="K1464" s="10">
        <v>151</v>
      </c>
      <c r="L1464" s="10" t="s">
        <v>12650</v>
      </c>
      <c r="M1464" s="10">
        <v>1</v>
      </c>
      <c r="N1464" s="10"/>
      <c r="O1464" s="10"/>
      <c r="P1464" s="10" t="s">
        <v>12651</v>
      </c>
      <c r="Q1464" s="10">
        <v>631.4</v>
      </c>
      <c r="R1464" s="10" t="s">
        <v>12652</v>
      </c>
      <c r="S1464" s="10" t="s">
        <v>53</v>
      </c>
      <c r="T1464" s="10" t="s">
        <v>12653</v>
      </c>
    </row>
    <row r="1465" spans="1:20" ht="14.5" x14ac:dyDescent="0.35">
      <c r="A1465" s="10" t="s">
        <v>12654</v>
      </c>
      <c r="B1465" s="10" t="str">
        <f>"9780873552172"</f>
        <v>9780873552172</v>
      </c>
      <c r="C1465" s="10" t="str">
        <f>"9781933531649"</f>
        <v>9781933531649</v>
      </c>
      <c r="D1465" s="10" t="s">
        <v>3386</v>
      </c>
      <c r="E1465" s="10" t="s">
        <v>3386</v>
      </c>
      <c r="F1465" s="10" t="s">
        <v>9597</v>
      </c>
      <c r="G1465" s="10" t="s">
        <v>6317</v>
      </c>
      <c r="H1465" s="11">
        <v>37622</v>
      </c>
      <c r="I1465" s="10">
        <v>2003</v>
      </c>
      <c r="J1465" s="10" t="s">
        <v>3386</v>
      </c>
      <c r="K1465" s="10">
        <v>180</v>
      </c>
      <c r="L1465" s="10" t="s">
        <v>12655</v>
      </c>
      <c r="M1465" s="10">
        <v>1</v>
      </c>
      <c r="N1465" s="10"/>
      <c r="O1465" s="10"/>
      <c r="P1465" s="10" t="s">
        <v>12656</v>
      </c>
      <c r="Q1465" s="10" t="s">
        <v>9108</v>
      </c>
      <c r="R1465" s="10" t="s">
        <v>12657</v>
      </c>
      <c r="S1465" s="10" t="s">
        <v>53</v>
      </c>
      <c r="T1465" s="10" t="s">
        <v>10979</v>
      </c>
    </row>
    <row r="1466" spans="1:20" ht="14.5" x14ac:dyDescent="0.35">
      <c r="A1466" s="10" t="s">
        <v>12658</v>
      </c>
      <c r="B1466" s="10" t="str">
        <f>"9780873552349"</f>
        <v>9780873552349</v>
      </c>
      <c r="C1466" s="10" t="str">
        <f>"9781933531519"</f>
        <v>9781933531519</v>
      </c>
      <c r="D1466" s="10" t="s">
        <v>3386</v>
      </c>
      <c r="E1466" s="10" t="s">
        <v>3386</v>
      </c>
      <c r="F1466" s="10" t="s">
        <v>9597</v>
      </c>
      <c r="G1466" s="10" t="s">
        <v>6317</v>
      </c>
      <c r="H1466" s="11">
        <v>37956</v>
      </c>
      <c r="I1466" s="10">
        <v>2004</v>
      </c>
      <c r="J1466" s="10" t="s">
        <v>3386</v>
      </c>
      <c r="K1466" s="10">
        <v>121</v>
      </c>
      <c r="L1466" s="10" t="s">
        <v>12659</v>
      </c>
      <c r="M1466" s="10">
        <v>1</v>
      </c>
      <c r="N1466" s="10"/>
      <c r="O1466" s="10"/>
      <c r="P1466" s="10" t="s">
        <v>12660</v>
      </c>
      <c r="Q1466" s="10">
        <v>576.79999999999995</v>
      </c>
      <c r="R1466" s="10" t="s">
        <v>12661</v>
      </c>
      <c r="S1466" s="10" t="s">
        <v>53</v>
      </c>
      <c r="T1466" s="10" t="s">
        <v>12662</v>
      </c>
    </row>
    <row r="1467" spans="1:20" ht="14.5" x14ac:dyDescent="0.35">
      <c r="A1467" s="10" t="s">
        <v>12663</v>
      </c>
      <c r="B1467" s="10" t="str">
        <f>"9780873552578"</f>
        <v>9780873552578</v>
      </c>
      <c r="C1467" s="10" t="str">
        <f>"9781933531502"</f>
        <v>9781933531502</v>
      </c>
      <c r="D1467" s="10" t="s">
        <v>3386</v>
      </c>
      <c r="E1467" s="10" t="s">
        <v>3386</v>
      </c>
      <c r="F1467" s="10" t="s">
        <v>9597</v>
      </c>
      <c r="G1467" s="10" t="s">
        <v>6317</v>
      </c>
      <c r="H1467" s="11">
        <v>38353</v>
      </c>
      <c r="I1467" s="10">
        <v>2005</v>
      </c>
      <c r="J1467" s="10" t="s">
        <v>3386</v>
      </c>
      <c r="K1467" s="10">
        <v>205</v>
      </c>
      <c r="L1467" s="10" t="s">
        <v>12664</v>
      </c>
      <c r="M1467" s="10">
        <v>1</v>
      </c>
      <c r="N1467" s="10"/>
      <c r="O1467" s="10"/>
      <c r="P1467" s="10" t="s">
        <v>12665</v>
      </c>
      <c r="Q1467" s="10" t="s">
        <v>12666</v>
      </c>
      <c r="R1467" s="10" t="s">
        <v>12667</v>
      </c>
      <c r="S1467" s="10" t="s">
        <v>53</v>
      </c>
      <c r="T1467" s="10" t="s">
        <v>9608</v>
      </c>
    </row>
    <row r="1468" spans="1:20" ht="14.5" x14ac:dyDescent="0.35">
      <c r="A1468" s="10" t="s">
        <v>12668</v>
      </c>
      <c r="B1468" s="10" t="str">
        <f>"9780873552257"</f>
        <v>9780873552257</v>
      </c>
      <c r="C1468" s="10" t="str">
        <f>"9781933531809"</f>
        <v>9781933531809</v>
      </c>
      <c r="D1468" s="10" t="s">
        <v>3386</v>
      </c>
      <c r="E1468" s="10" t="s">
        <v>3386</v>
      </c>
      <c r="F1468" s="10" t="s">
        <v>9597</v>
      </c>
      <c r="G1468" s="10" t="s">
        <v>6317</v>
      </c>
      <c r="H1468" s="11">
        <v>37591</v>
      </c>
      <c r="I1468" s="10">
        <v>2002</v>
      </c>
      <c r="J1468" s="10" t="s">
        <v>3386</v>
      </c>
      <c r="K1468" s="10">
        <v>143</v>
      </c>
      <c r="L1468" s="10" t="s">
        <v>12669</v>
      </c>
      <c r="M1468" s="10">
        <v>1</v>
      </c>
      <c r="N1468" s="10"/>
      <c r="O1468" s="10"/>
      <c r="P1468" s="10" t="s">
        <v>12670</v>
      </c>
      <c r="Q1468" s="10" t="s">
        <v>12666</v>
      </c>
      <c r="R1468" s="10" t="s">
        <v>12671</v>
      </c>
      <c r="S1468" s="10" t="s">
        <v>53</v>
      </c>
      <c r="T1468" s="10" t="s">
        <v>10979</v>
      </c>
    </row>
    <row r="1469" spans="1:20" ht="14.5" x14ac:dyDescent="0.35">
      <c r="A1469" s="10" t="s">
        <v>12672</v>
      </c>
      <c r="B1469" s="10" t="str">
        <f>"9780873551922"</f>
        <v>9780873551922</v>
      </c>
      <c r="C1469" s="10" t="str">
        <f>"9781933531601"</f>
        <v>9781933531601</v>
      </c>
      <c r="D1469" s="10" t="s">
        <v>3386</v>
      </c>
      <c r="E1469" s="10" t="s">
        <v>3386</v>
      </c>
      <c r="F1469" s="10" t="s">
        <v>9597</v>
      </c>
      <c r="G1469" s="10" t="s">
        <v>6317</v>
      </c>
      <c r="H1469" s="11">
        <v>36892</v>
      </c>
      <c r="I1469" s="10">
        <v>2001</v>
      </c>
      <c r="J1469" s="10" t="s">
        <v>3386</v>
      </c>
      <c r="K1469" s="10">
        <v>128</v>
      </c>
      <c r="L1469" s="10" t="s">
        <v>12673</v>
      </c>
      <c r="M1469" s="10">
        <v>1</v>
      </c>
      <c r="N1469" s="10"/>
      <c r="O1469" s="10"/>
      <c r="P1469" s="10" t="s">
        <v>12674</v>
      </c>
      <c r="Q1469" s="10" t="s">
        <v>12675</v>
      </c>
      <c r="R1469" s="10" t="s">
        <v>12676</v>
      </c>
      <c r="S1469" s="10" t="s">
        <v>53</v>
      </c>
      <c r="T1469" s="10" t="s">
        <v>9608</v>
      </c>
    </row>
    <row r="1470" spans="1:20" ht="14.5" x14ac:dyDescent="0.35">
      <c r="A1470" s="10" t="s">
        <v>12677</v>
      </c>
      <c r="B1470" s="10" t="str">
        <f>"9780873551021"</f>
        <v>9780873551021</v>
      </c>
      <c r="C1470" s="10" t="str">
        <f>"9781935155997"</f>
        <v>9781935155997</v>
      </c>
      <c r="D1470" s="10" t="s">
        <v>3386</v>
      </c>
      <c r="E1470" s="10" t="s">
        <v>3386</v>
      </c>
      <c r="F1470" s="10" t="s">
        <v>9597</v>
      </c>
      <c r="G1470" s="10" t="s">
        <v>6317</v>
      </c>
      <c r="H1470" s="11">
        <v>33482</v>
      </c>
      <c r="I1470" s="10">
        <v>2000</v>
      </c>
      <c r="J1470" s="10" t="s">
        <v>3386</v>
      </c>
      <c r="K1470" s="10">
        <v>16</v>
      </c>
      <c r="L1470" s="10" t="s">
        <v>12678</v>
      </c>
      <c r="M1470" s="10">
        <v>1</v>
      </c>
      <c r="N1470" s="10"/>
      <c r="O1470" s="10"/>
      <c r="P1470" s="10" t="s">
        <v>12679</v>
      </c>
      <c r="Q1470" s="10" t="s">
        <v>12680</v>
      </c>
      <c r="R1470" s="10" t="s">
        <v>12681</v>
      </c>
      <c r="S1470" s="10" t="s">
        <v>53</v>
      </c>
      <c r="T1470" s="10" t="s">
        <v>54</v>
      </c>
    </row>
    <row r="1471" spans="1:20" ht="14.5" x14ac:dyDescent="0.35">
      <c r="A1471" s="10" t="s">
        <v>12682</v>
      </c>
      <c r="B1471" s="10" t="str">
        <f>"9780873552356"</f>
        <v>9780873552356</v>
      </c>
      <c r="C1471" s="10" t="str">
        <f>"9781935155980"</f>
        <v>9781935155980</v>
      </c>
      <c r="D1471" s="10" t="s">
        <v>3386</v>
      </c>
      <c r="E1471" s="10" t="s">
        <v>3386</v>
      </c>
      <c r="F1471" s="10" t="s">
        <v>9597</v>
      </c>
      <c r="G1471" s="10" t="s">
        <v>6317</v>
      </c>
      <c r="H1471" s="11">
        <v>38353</v>
      </c>
      <c r="I1471" s="10">
        <v>2005</v>
      </c>
      <c r="J1471" s="10" t="s">
        <v>3386</v>
      </c>
      <c r="K1471" s="10">
        <v>49</v>
      </c>
      <c r="L1471" s="10" t="s">
        <v>12683</v>
      </c>
      <c r="M1471" s="10">
        <v>1</v>
      </c>
      <c r="N1471" s="10"/>
      <c r="O1471" s="10"/>
      <c r="P1471" s="10" t="s">
        <v>12684</v>
      </c>
      <c r="Q1471" s="10" t="s">
        <v>12685</v>
      </c>
      <c r="R1471" s="10" t="s">
        <v>12686</v>
      </c>
      <c r="S1471" s="10" t="s">
        <v>53</v>
      </c>
      <c r="T1471" s="10" t="s">
        <v>54</v>
      </c>
    </row>
    <row r="1472" spans="1:20" ht="14.5" x14ac:dyDescent="0.35">
      <c r="A1472" s="10" t="s">
        <v>12687</v>
      </c>
      <c r="B1472" s="10" t="str">
        <f>"9780873552462"</f>
        <v>9780873552462</v>
      </c>
      <c r="C1472" s="10" t="str">
        <f>"9781935155973"</f>
        <v>9781935155973</v>
      </c>
      <c r="D1472" s="10" t="s">
        <v>3386</v>
      </c>
      <c r="E1472" s="10" t="s">
        <v>3386</v>
      </c>
      <c r="F1472" s="10" t="s">
        <v>9597</v>
      </c>
      <c r="G1472" s="10" t="s">
        <v>6317</v>
      </c>
      <c r="H1472" s="11">
        <v>37987</v>
      </c>
      <c r="I1472" s="10">
        <v>2004</v>
      </c>
      <c r="J1472" s="10" t="s">
        <v>3386</v>
      </c>
      <c r="K1472" s="10">
        <v>40</v>
      </c>
      <c r="L1472" s="10" t="s">
        <v>12688</v>
      </c>
      <c r="M1472" s="10">
        <v>2</v>
      </c>
      <c r="N1472" s="10"/>
      <c r="O1472" s="10"/>
      <c r="P1472" s="10" t="s">
        <v>12689</v>
      </c>
      <c r="Q1472" s="10" t="s">
        <v>12690</v>
      </c>
      <c r="R1472" s="10" t="s">
        <v>12691</v>
      </c>
      <c r="S1472" s="10" t="s">
        <v>53</v>
      </c>
      <c r="T1472" s="10" t="s">
        <v>7193</v>
      </c>
    </row>
    <row r="1473" spans="1:20" ht="14.5" x14ac:dyDescent="0.35">
      <c r="A1473" s="10" t="s">
        <v>12692</v>
      </c>
      <c r="B1473" s="10" t="str">
        <f>"9780873552042"</f>
        <v>9780873552042</v>
      </c>
      <c r="C1473" s="10" t="str">
        <f>"9781935155966"</f>
        <v>9781935155966</v>
      </c>
      <c r="D1473" s="10" t="s">
        <v>3386</v>
      </c>
      <c r="E1473" s="10" t="s">
        <v>3386</v>
      </c>
      <c r="F1473" s="10" t="s">
        <v>9597</v>
      </c>
      <c r="G1473" s="10" t="s">
        <v>6317</v>
      </c>
      <c r="H1473" s="11">
        <v>37257</v>
      </c>
      <c r="I1473" s="10">
        <v>2002</v>
      </c>
      <c r="J1473" s="10" t="s">
        <v>3386</v>
      </c>
      <c r="K1473" s="10">
        <v>72</v>
      </c>
      <c r="L1473" s="10" t="s">
        <v>3386</v>
      </c>
      <c r="M1473" s="10">
        <v>1</v>
      </c>
      <c r="N1473" s="10"/>
      <c r="O1473" s="10"/>
      <c r="P1473" s="10" t="s">
        <v>12693</v>
      </c>
      <c r="Q1473" s="10">
        <v>507.1</v>
      </c>
      <c r="R1473" s="10" t="s">
        <v>12694</v>
      </c>
      <c r="S1473" s="10" t="s">
        <v>53</v>
      </c>
      <c r="T1473" s="10" t="s">
        <v>9608</v>
      </c>
    </row>
    <row r="1474" spans="1:20" ht="14.5" x14ac:dyDescent="0.35">
      <c r="A1474" s="10" t="s">
        <v>12695</v>
      </c>
      <c r="B1474" s="10" t="str">
        <f>"9780873552011"</f>
        <v>9780873552011</v>
      </c>
      <c r="C1474" s="10" t="str">
        <f>"9781935155959"</f>
        <v>9781935155959</v>
      </c>
      <c r="D1474" s="10" t="s">
        <v>3386</v>
      </c>
      <c r="E1474" s="10" t="s">
        <v>3386</v>
      </c>
      <c r="F1474" s="10" t="s">
        <v>9597</v>
      </c>
      <c r="G1474" s="10" t="s">
        <v>6317</v>
      </c>
      <c r="H1474" s="11">
        <v>37622</v>
      </c>
      <c r="I1474" s="10">
        <v>2003</v>
      </c>
      <c r="J1474" s="10" t="s">
        <v>3386</v>
      </c>
      <c r="K1474" s="10">
        <v>193</v>
      </c>
      <c r="L1474" s="10" t="s">
        <v>12696</v>
      </c>
      <c r="M1474" s="10">
        <v>1</v>
      </c>
      <c r="N1474" s="10"/>
      <c r="O1474" s="10"/>
      <c r="P1474" s="10" t="s">
        <v>12697</v>
      </c>
      <c r="Q1474" s="10" t="s">
        <v>12666</v>
      </c>
      <c r="R1474" s="10" t="s">
        <v>12698</v>
      </c>
      <c r="S1474" s="10" t="s">
        <v>53</v>
      </c>
      <c r="T1474" s="10" t="s">
        <v>7193</v>
      </c>
    </row>
    <row r="1475" spans="1:20" ht="14.5" x14ac:dyDescent="0.35">
      <c r="A1475" s="10" t="s">
        <v>12699</v>
      </c>
      <c r="B1475" s="10" t="str">
        <f>"9780873552080"</f>
        <v>9780873552080</v>
      </c>
      <c r="C1475" s="10" t="str">
        <f>"9781933531656"</f>
        <v>9781933531656</v>
      </c>
      <c r="D1475" s="10" t="s">
        <v>3386</v>
      </c>
      <c r="E1475" s="10" t="s">
        <v>3386</v>
      </c>
      <c r="F1475" s="10" t="s">
        <v>9597</v>
      </c>
      <c r="G1475" s="10" t="s">
        <v>6317</v>
      </c>
      <c r="H1475" s="11">
        <v>37347</v>
      </c>
      <c r="I1475" s="10">
        <v>2002</v>
      </c>
      <c r="J1475" s="10" t="s">
        <v>3386</v>
      </c>
      <c r="K1475" s="10">
        <v>167</v>
      </c>
      <c r="L1475" s="10" t="s">
        <v>12700</v>
      </c>
      <c r="M1475" s="10">
        <v>1</v>
      </c>
      <c r="N1475" s="10"/>
      <c r="O1475" s="10"/>
      <c r="P1475" s="10" t="s">
        <v>12701</v>
      </c>
      <c r="Q1475" s="10" t="s">
        <v>12702</v>
      </c>
      <c r="R1475" s="10" t="s">
        <v>12703</v>
      </c>
      <c r="S1475" s="10" t="s">
        <v>53</v>
      </c>
      <c r="T1475" s="10" t="s">
        <v>7193</v>
      </c>
    </row>
    <row r="1476" spans="1:20" ht="14.5" x14ac:dyDescent="0.35">
      <c r="A1476" s="10" t="s">
        <v>12704</v>
      </c>
      <c r="B1476" s="10" t="str">
        <f>"9780873551854"</f>
        <v>9780873551854</v>
      </c>
      <c r="C1476" s="10" t="str">
        <f>"9781935155850"</f>
        <v>9781935155850</v>
      </c>
      <c r="D1476" s="10" t="s">
        <v>3386</v>
      </c>
      <c r="E1476" s="10" t="s">
        <v>3386</v>
      </c>
      <c r="F1476" s="10" t="s">
        <v>9597</v>
      </c>
      <c r="G1476" s="10" t="s">
        <v>6317</v>
      </c>
      <c r="H1476" s="11">
        <v>36892</v>
      </c>
      <c r="I1476" s="10">
        <v>2001</v>
      </c>
      <c r="J1476" s="10" t="s">
        <v>3386</v>
      </c>
      <c r="K1476" s="10">
        <v>197</v>
      </c>
      <c r="L1476" s="10" t="s">
        <v>12705</v>
      </c>
      <c r="M1476" s="10">
        <v>1</v>
      </c>
      <c r="N1476" s="10"/>
      <c r="O1476" s="10"/>
      <c r="P1476" s="10" t="s">
        <v>12706</v>
      </c>
      <c r="Q1476" s="10" t="s">
        <v>12707</v>
      </c>
      <c r="R1476" s="10" t="s">
        <v>12708</v>
      </c>
      <c r="S1476" s="10" t="s">
        <v>53</v>
      </c>
      <c r="T1476" s="10" t="s">
        <v>9608</v>
      </c>
    </row>
    <row r="1477" spans="1:20" ht="14.5" x14ac:dyDescent="0.35">
      <c r="A1477" s="10" t="s">
        <v>12709</v>
      </c>
      <c r="B1477" s="10" t="str">
        <f>"9780873552103"</f>
        <v>9780873552103</v>
      </c>
      <c r="C1477" s="10" t="str">
        <f>"9781935155928"</f>
        <v>9781935155928</v>
      </c>
      <c r="D1477" s="10" t="s">
        <v>3386</v>
      </c>
      <c r="E1477" s="10" t="s">
        <v>3386</v>
      </c>
      <c r="F1477" s="10" t="s">
        <v>9597</v>
      </c>
      <c r="G1477" s="10" t="s">
        <v>6317</v>
      </c>
      <c r="H1477" s="11">
        <v>37316</v>
      </c>
      <c r="I1477" s="10">
        <v>2002</v>
      </c>
      <c r="J1477" s="10" t="s">
        <v>3386</v>
      </c>
      <c r="K1477" s="10">
        <v>286</v>
      </c>
      <c r="L1477" s="10" t="s">
        <v>12710</v>
      </c>
      <c r="M1477" s="10">
        <v>1</v>
      </c>
      <c r="N1477" s="10"/>
      <c r="O1477" s="10"/>
      <c r="P1477" s="10" t="s">
        <v>12711</v>
      </c>
      <c r="Q1477" s="10" t="s">
        <v>12712</v>
      </c>
      <c r="R1477" s="10" t="s">
        <v>12713</v>
      </c>
      <c r="S1477" s="10" t="s">
        <v>53</v>
      </c>
      <c r="T1477" s="10" t="s">
        <v>7193</v>
      </c>
    </row>
    <row r="1478" spans="1:20" ht="14.5" x14ac:dyDescent="0.35">
      <c r="A1478" s="10" t="s">
        <v>12714</v>
      </c>
      <c r="B1478" s="10" t="str">
        <f>"9780873552301"</f>
        <v>9780873552301</v>
      </c>
      <c r="C1478" s="10" t="str">
        <f>"9781935155911"</f>
        <v>9781935155911</v>
      </c>
      <c r="D1478" s="10" t="s">
        <v>3386</v>
      </c>
      <c r="E1478" s="10" t="s">
        <v>3386</v>
      </c>
      <c r="F1478" s="10" t="s">
        <v>9597</v>
      </c>
      <c r="G1478" s="10" t="s">
        <v>6317</v>
      </c>
      <c r="H1478" s="11">
        <v>37895</v>
      </c>
      <c r="I1478" s="10">
        <v>2003</v>
      </c>
      <c r="J1478" s="10" t="s">
        <v>3386</v>
      </c>
      <c r="K1478" s="10">
        <v>165</v>
      </c>
      <c r="L1478" s="10" t="s">
        <v>12715</v>
      </c>
      <c r="M1478" s="10">
        <v>1</v>
      </c>
      <c r="N1478" s="10"/>
      <c r="O1478" s="10"/>
      <c r="P1478" s="10" t="s">
        <v>12716</v>
      </c>
      <c r="Q1478" s="10" t="s">
        <v>12717</v>
      </c>
      <c r="R1478" s="10" t="s">
        <v>12718</v>
      </c>
      <c r="S1478" s="10" t="s">
        <v>53</v>
      </c>
      <c r="T1478" s="10" t="s">
        <v>9608</v>
      </c>
    </row>
    <row r="1479" spans="1:20" ht="14.5" x14ac:dyDescent="0.35">
      <c r="A1479" s="10" t="s">
        <v>12719</v>
      </c>
      <c r="B1479" s="10" t="str">
        <f>"9780873552417"</f>
        <v>9780873552417</v>
      </c>
      <c r="C1479" s="10" t="str">
        <f>"9781935155904"</f>
        <v>9781935155904</v>
      </c>
      <c r="D1479" s="10" t="s">
        <v>3386</v>
      </c>
      <c r="E1479" s="10" t="s">
        <v>3386</v>
      </c>
      <c r="F1479" s="10" t="s">
        <v>9597</v>
      </c>
      <c r="G1479" s="10" t="s">
        <v>6317</v>
      </c>
      <c r="H1479" s="11">
        <v>38353</v>
      </c>
      <c r="I1479" s="10">
        <v>2005</v>
      </c>
      <c r="J1479" s="10" t="s">
        <v>3386</v>
      </c>
      <c r="K1479" s="10">
        <v>78</v>
      </c>
      <c r="L1479" s="10" t="s">
        <v>12720</v>
      </c>
      <c r="M1479" s="10">
        <v>1</v>
      </c>
      <c r="N1479" s="10"/>
      <c r="O1479" s="10"/>
      <c r="P1479" s="10" t="s">
        <v>12721</v>
      </c>
      <c r="Q1479" s="10" t="s">
        <v>9108</v>
      </c>
      <c r="R1479" s="10" t="s">
        <v>12722</v>
      </c>
      <c r="S1479" s="10" t="s">
        <v>53</v>
      </c>
      <c r="T1479" s="10" t="s">
        <v>7193</v>
      </c>
    </row>
    <row r="1480" spans="1:20" ht="14.5" x14ac:dyDescent="0.35">
      <c r="A1480" s="10" t="s">
        <v>12723</v>
      </c>
      <c r="B1480" s="10" t="str">
        <f>"9780873551847"</f>
        <v>9780873551847</v>
      </c>
      <c r="C1480" s="10" t="str">
        <f>"9781935155898"</f>
        <v>9781935155898</v>
      </c>
      <c r="D1480" s="10" t="s">
        <v>3386</v>
      </c>
      <c r="E1480" s="10" t="s">
        <v>3386</v>
      </c>
      <c r="F1480" s="10" t="s">
        <v>9597</v>
      </c>
      <c r="G1480" s="10" t="s">
        <v>6317</v>
      </c>
      <c r="H1480" s="11">
        <v>36526</v>
      </c>
      <c r="I1480" s="10">
        <v>2000</v>
      </c>
      <c r="J1480" s="10" t="s">
        <v>3386</v>
      </c>
      <c r="K1480" s="10">
        <v>64</v>
      </c>
      <c r="L1480" s="10" t="s">
        <v>12724</v>
      </c>
      <c r="M1480" s="10">
        <v>1</v>
      </c>
      <c r="N1480" s="10"/>
      <c r="O1480" s="10"/>
      <c r="P1480" s="10" t="s">
        <v>12725</v>
      </c>
      <c r="Q1480" s="10" t="s">
        <v>12726</v>
      </c>
      <c r="R1480" s="10" t="s">
        <v>12727</v>
      </c>
      <c r="S1480" s="10" t="s">
        <v>53</v>
      </c>
      <c r="T1480" s="10" t="s">
        <v>8346</v>
      </c>
    </row>
    <row r="1481" spans="1:20" ht="14.5" x14ac:dyDescent="0.35">
      <c r="A1481" s="10" t="s">
        <v>12728</v>
      </c>
      <c r="B1481" s="10" t="str">
        <f>"9780873552288"</f>
        <v>9780873552288</v>
      </c>
      <c r="C1481" s="10" t="str">
        <f>"9781935155881"</f>
        <v>9781935155881</v>
      </c>
      <c r="D1481" s="10" t="s">
        <v>3386</v>
      </c>
      <c r="E1481" s="10" t="s">
        <v>3386</v>
      </c>
      <c r="F1481" s="10" t="s">
        <v>9597</v>
      </c>
      <c r="G1481" s="10" t="s">
        <v>6317</v>
      </c>
      <c r="H1481" s="11">
        <v>37622</v>
      </c>
      <c r="I1481" s="10">
        <v>2003</v>
      </c>
      <c r="J1481" s="10" t="s">
        <v>3386</v>
      </c>
      <c r="K1481" s="10">
        <v>123</v>
      </c>
      <c r="L1481" s="10" t="s">
        <v>12729</v>
      </c>
      <c r="M1481" s="10">
        <v>1</v>
      </c>
      <c r="N1481" s="10"/>
      <c r="O1481" s="10"/>
      <c r="P1481" s="10" t="s">
        <v>12730</v>
      </c>
      <c r="Q1481" s="10">
        <v>507.1</v>
      </c>
      <c r="R1481" s="10" t="s">
        <v>12731</v>
      </c>
      <c r="S1481" s="10" t="s">
        <v>53</v>
      </c>
      <c r="T1481" s="10" t="s">
        <v>9608</v>
      </c>
    </row>
    <row r="1482" spans="1:20" ht="14.5" x14ac:dyDescent="0.35">
      <c r="A1482" s="10" t="s">
        <v>12732</v>
      </c>
      <c r="B1482" s="10" t="str">
        <f>"9781843105145"</f>
        <v>9781843105145</v>
      </c>
      <c r="C1482" s="10" t="str">
        <f>"9781846428081"</f>
        <v>9781846428081</v>
      </c>
      <c r="D1482" s="10" t="s">
        <v>10516</v>
      </c>
      <c r="E1482" s="10" t="s">
        <v>10516</v>
      </c>
      <c r="F1482" s="10" t="s">
        <v>139</v>
      </c>
      <c r="G1482" s="10" t="s">
        <v>6352</v>
      </c>
      <c r="H1482" s="11">
        <v>39614</v>
      </c>
      <c r="I1482" s="10">
        <v>2008</v>
      </c>
      <c r="J1482" s="10" t="s">
        <v>10516</v>
      </c>
      <c r="K1482" s="10">
        <v>210</v>
      </c>
      <c r="L1482" s="10" t="s">
        <v>12733</v>
      </c>
      <c r="M1482" s="10">
        <v>1</v>
      </c>
      <c r="N1482" s="10" t="s">
        <v>12734</v>
      </c>
      <c r="O1482" s="10"/>
      <c r="P1482" s="10" t="s">
        <v>12735</v>
      </c>
      <c r="Q1482" s="10">
        <v>371.78199999999998</v>
      </c>
      <c r="R1482" s="10" t="s">
        <v>12736</v>
      </c>
      <c r="S1482" s="10" t="s">
        <v>53</v>
      </c>
      <c r="T1482" s="10" t="s">
        <v>54</v>
      </c>
    </row>
    <row r="1483" spans="1:20" ht="14.5" x14ac:dyDescent="0.35">
      <c r="A1483" s="10" t="s">
        <v>12737</v>
      </c>
      <c r="B1483" s="10" t="str">
        <f>"9780805844542"</f>
        <v>9780805844542</v>
      </c>
      <c r="C1483" s="10" t="str">
        <f>"9781410609069"</f>
        <v>9781410609069</v>
      </c>
      <c r="D1483" s="10" t="s">
        <v>6350</v>
      </c>
      <c r="E1483" s="10" t="s">
        <v>6351</v>
      </c>
      <c r="F1483" s="10" t="s">
        <v>748</v>
      </c>
      <c r="G1483" s="10" t="s">
        <v>6352</v>
      </c>
      <c r="H1483" s="11">
        <v>37834</v>
      </c>
      <c r="I1483" s="10">
        <v>2004</v>
      </c>
      <c r="J1483" s="10" t="s">
        <v>6351</v>
      </c>
      <c r="K1483" s="10">
        <v>233</v>
      </c>
      <c r="L1483" s="10" t="s">
        <v>12738</v>
      </c>
      <c r="M1483" s="10">
        <v>2</v>
      </c>
      <c r="N1483" s="10"/>
      <c r="O1483" s="10"/>
      <c r="P1483" s="10" t="s">
        <v>12739</v>
      </c>
      <c r="Q1483" s="10" t="s">
        <v>9356</v>
      </c>
      <c r="R1483" s="10" t="s">
        <v>12740</v>
      </c>
      <c r="S1483" s="10" t="s">
        <v>53</v>
      </c>
      <c r="T1483" s="10" t="s">
        <v>54</v>
      </c>
    </row>
    <row r="1484" spans="1:20" ht="14.5" x14ac:dyDescent="0.35">
      <c r="A1484" s="10" t="s">
        <v>12741</v>
      </c>
      <c r="B1484" s="10" t="str">
        <f>"9780805839173"</f>
        <v>9780805839173</v>
      </c>
      <c r="C1484" s="10" t="str">
        <f>"9781410608963"</f>
        <v>9781410608963</v>
      </c>
      <c r="D1484" s="10" t="s">
        <v>6350</v>
      </c>
      <c r="E1484" s="10" t="s">
        <v>6351</v>
      </c>
      <c r="F1484" s="10" t="s">
        <v>4325</v>
      </c>
      <c r="G1484" s="10" t="s">
        <v>6317</v>
      </c>
      <c r="H1484" s="11">
        <v>37834</v>
      </c>
      <c r="I1484" s="10">
        <v>2004</v>
      </c>
      <c r="J1484" s="10" t="s">
        <v>6353</v>
      </c>
      <c r="K1484" s="10">
        <v>840</v>
      </c>
      <c r="L1484" s="10" t="s">
        <v>12742</v>
      </c>
      <c r="M1484" s="10">
        <v>1</v>
      </c>
      <c r="N1484" s="10"/>
      <c r="O1484" s="10"/>
      <c r="P1484" s="10" t="s">
        <v>12743</v>
      </c>
      <c r="Q1484" s="10">
        <v>371.8</v>
      </c>
      <c r="R1484" s="10" t="s">
        <v>12744</v>
      </c>
      <c r="S1484" s="10" t="s">
        <v>53</v>
      </c>
      <c r="T1484" s="10" t="s">
        <v>54</v>
      </c>
    </row>
    <row r="1485" spans="1:20" ht="14.5" x14ac:dyDescent="0.35">
      <c r="A1485" s="10" t="s">
        <v>12745</v>
      </c>
      <c r="B1485" s="10" t="str">
        <f>"9780805839104"</f>
        <v>9780805839104</v>
      </c>
      <c r="C1485" s="10" t="str">
        <f>"9781410604286"</f>
        <v>9781410604286</v>
      </c>
      <c r="D1485" s="10" t="s">
        <v>6350</v>
      </c>
      <c r="E1485" s="10" t="s">
        <v>6351</v>
      </c>
      <c r="F1485" s="10" t="s">
        <v>748</v>
      </c>
      <c r="G1485" s="10" t="s">
        <v>6352</v>
      </c>
      <c r="H1485" s="11">
        <v>37165</v>
      </c>
      <c r="I1485" s="10">
        <v>2002</v>
      </c>
      <c r="J1485" s="10" t="s">
        <v>6351</v>
      </c>
      <c r="K1485" s="10">
        <v>197</v>
      </c>
      <c r="L1485" s="10" t="s">
        <v>12746</v>
      </c>
      <c r="M1485" s="10">
        <v>1</v>
      </c>
      <c r="N1485" s="10"/>
      <c r="O1485" s="10"/>
      <c r="P1485" s="10" t="s">
        <v>12747</v>
      </c>
      <c r="Q1485" s="10" t="s">
        <v>12748</v>
      </c>
      <c r="R1485" s="10" t="s">
        <v>12749</v>
      </c>
      <c r="S1485" s="10" t="s">
        <v>53</v>
      </c>
      <c r="T1485" s="10" t="s">
        <v>54</v>
      </c>
    </row>
    <row r="1486" spans="1:20" ht="14.5" x14ac:dyDescent="0.35">
      <c r="A1486" s="10" t="s">
        <v>12750</v>
      </c>
      <c r="B1486" s="10" t="str">
        <f>"9780805842234"</f>
        <v>9780805842234</v>
      </c>
      <c r="C1486" s="10" t="str">
        <f>"9781410610362"</f>
        <v>9781410610362</v>
      </c>
      <c r="D1486" s="10" t="s">
        <v>6350</v>
      </c>
      <c r="E1486" s="10" t="s">
        <v>6351</v>
      </c>
      <c r="F1486" s="10" t="s">
        <v>4325</v>
      </c>
      <c r="G1486" s="10" t="s">
        <v>6317</v>
      </c>
      <c r="H1486" s="11">
        <v>38071</v>
      </c>
      <c r="I1486" s="10">
        <v>2004</v>
      </c>
      <c r="J1486" s="10" t="s">
        <v>6353</v>
      </c>
      <c r="K1486" s="10">
        <v>310</v>
      </c>
      <c r="L1486" s="10" t="s">
        <v>12751</v>
      </c>
      <c r="M1486" s="10">
        <v>1</v>
      </c>
      <c r="N1486" s="10"/>
      <c r="O1486" s="10"/>
      <c r="P1486" s="10" t="s">
        <v>12752</v>
      </c>
      <c r="Q1486" s="10" t="s">
        <v>12753</v>
      </c>
      <c r="R1486" s="10" t="s">
        <v>12754</v>
      </c>
      <c r="S1486" s="10" t="s">
        <v>53</v>
      </c>
      <c r="T1486" s="10" t="s">
        <v>54</v>
      </c>
    </row>
    <row r="1487" spans="1:20" ht="14.5" x14ac:dyDescent="0.35">
      <c r="A1487" s="10" t="s">
        <v>12755</v>
      </c>
      <c r="B1487" s="10" t="str">
        <f>"9780805842289"</f>
        <v>9780805842289</v>
      </c>
      <c r="C1487" s="10" t="str">
        <f>"9781410603449"</f>
        <v>9781410603449</v>
      </c>
      <c r="D1487" s="10" t="s">
        <v>6350</v>
      </c>
      <c r="E1487" s="10" t="s">
        <v>6351</v>
      </c>
      <c r="F1487" s="10" t="s">
        <v>748</v>
      </c>
      <c r="G1487" s="10" t="s">
        <v>6352</v>
      </c>
      <c r="H1487" s="11">
        <v>37377</v>
      </c>
      <c r="I1487" s="10">
        <v>2002</v>
      </c>
      <c r="J1487" s="10" t="s">
        <v>6351</v>
      </c>
      <c r="K1487" s="10">
        <v>195</v>
      </c>
      <c r="L1487" s="10" t="s">
        <v>12756</v>
      </c>
      <c r="M1487" s="10">
        <v>1</v>
      </c>
      <c r="N1487" s="10"/>
      <c r="O1487" s="10"/>
      <c r="P1487" s="10">
        <v>2002019866</v>
      </c>
      <c r="Q1487" s="10">
        <v>807.1</v>
      </c>
      <c r="R1487" s="10" t="s">
        <v>12757</v>
      </c>
      <c r="S1487" s="10" t="s">
        <v>53</v>
      </c>
      <c r="T1487" s="10" t="s">
        <v>1166</v>
      </c>
    </row>
    <row r="1488" spans="1:20" ht="14.5" x14ac:dyDescent="0.35">
      <c r="A1488" s="10" t="s">
        <v>12758</v>
      </c>
      <c r="B1488" s="10" t="str">
        <f>"9780805841978"</f>
        <v>9780805841978</v>
      </c>
      <c r="C1488" s="10" t="str">
        <f>"9781410607096"</f>
        <v>9781410607096</v>
      </c>
      <c r="D1488" s="10" t="s">
        <v>6350</v>
      </c>
      <c r="E1488" s="10" t="s">
        <v>6351</v>
      </c>
      <c r="F1488" s="10" t="s">
        <v>4325</v>
      </c>
      <c r="G1488" s="10" t="s">
        <v>6317</v>
      </c>
      <c r="H1488" s="11">
        <v>37591</v>
      </c>
      <c r="I1488" s="10">
        <v>2003</v>
      </c>
      <c r="J1488" s="10" t="s">
        <v>6353</v>
      </c>
      <c r="K1488" s="10">
        <v>317</v>
      </c>
      <c r="L1488" s="10" t="s">
        <v>12759</v>
      </c>
      <c r="M1488" s="10">
        <v>1</v>
      </c>
      <c r="N1488" s="10" t="s">
        <v>12760</v>
      </c>
      <c r="O1488" s="10"/>
      <c r="P1488" s="10" t="s">
        <v>12761</v>
      </c>
      <c r="Q1488" s="10">
        <v>370</v>
      </c>
      <c r="R1488" s="10" t="s">
        <v>12762</v>
      </c>
      <c r="S1488" s="10" t="s">
        <v>53</v>
      </c>
      <c r="T1488" s="10" t="s">
        <v>54</v>
      </c>
    </row>
    <row r="1489" spans="1:20" ht="14.5" x14ac:dyDescent="0.35">
      <c r="A1489" s="10" t="s">
        <v>12763</v>
      </c>
      <c r="B1489" s="10" t="str">
        <f>"9780805843101"</f>
        <v>9780805843101</v>
      </c>
      <c r="C1489" s="10" t="str">
        <f>"9781410606778"</f>
        <v>9781410606778</v>
      </c>
      <c r="D1489" s="10" t="s">
        <v>6350</v>
      </c>
      <c r="E1489" s="10" t="s">
        <v>6351</v>
      </c>
      <c r="F1489" s="10" t="s">
        <v>748</v>
      </c>
      <c r="G1489" s="10" t="s">
        <v>6352</v>
      </c>
      <c r="H1489" s="11">
        <v>37561</v>
      </c>
      <c r="I1489" s="10">
        <v>2003</v>
      </c>
      <c r="J1489" s="10" t="s">
        <v>6351</v>
      </c>
      <c r="K1489" s="10">
        <v>185</v>
      </c>
      <c r="L1489" s="10" t="s">
        <v>12764</v>
      </c>
      <c r="M1489" s="10">
        <v>1</v>
      </c>
      <c r="N1489" s="10"/>
      <c r="O1489" s="10"/>
      <c r="P1489" s="10" t="s">
        <v>12765</v>
      </c>
      <c r="Q1489" s="10">
        <v>371.78199999999998</v>
      </c>
      <c r="R1489" s="10" t="s">
        <v>12766</v>
      </c>
      <c r="S1489" s="10" t="s">
        <v>53</v>
      </c>
      <c r="T1489" s="10" t="s">
        <v>54</v>
      </c>
    </row>
    <row r="1490" spans="1:20" ht="14.5" x14ac:dyDescent="0.35">
      <c r="A1490" s="10" t="s">
        <v>12767</v>
      </c>
      <c r="B1490" s="10" t="str">
        <f>"9780805832402"</f>
        <v>9780805832402</v>
      </c>
      <c r="C1490" s="10" t="str">
        <f>"9781410606945"</f>
        <v>9781410606945</v>
      </c>
      <c r="D1490" s="10" t="s">
        <v>6350</v>
      </c>
      <c r="E1490" s="10" t="s">
        <v>6351</v>
      </c>
      <c r="F1490" s="10" t="s">
        <v>4325</v>
      </c>
      <c r="G1490" s="10" t="s">
        <v>6317</v>
      </c>
      <c r="H1490" s="11">
        <v>37561</v>
      </c>
      <c r="I1490" s="10">
        <v>2002</v>
      </c>
      <c r="J1490" s="10" t="s">
        <v>6353</v>
      </c>
      <c r="K1490" s="10">
        <v>318</v>
      </c>
      <c r="L1490" s="10" t="s">
        <v>12768</v>
      </c>
      <c r="M1490" s="10">
        <v>1</v>
      </c>
      <c r="N1490" s="10"/>
      <c r="O1490" s="10"/>
      <c r="P1490" s="10" t="s">
        <v>12769</v>
      </c>
      <c r="Q1490" s="10">
        <v>370.11700000000002</v>
      </c>
      <c r="R1490" s="10" t="s">
        <v>12770</v>
      </c>
      <c r="S1490" s="10" t="s">
        <v>53</v>
      </c>
      <c r="T1490" s="10" t="s">
        <v>54</v>
      </c>
    </row>
    <row r="1491" spans="1:20" ht="14.5" x14ac:dyDescent="0.35">
      <c r="A1491" s="10" t="s">
        <v>12771</v>
      </c>
      <c r="B1491" s="10" t="str">
        <f>"9780805842753"</f>
        <v>9780805842753</v>
      </c>
      <c r="C1491" s="10" t="str">
        <f>"9781410609106"</f>
        <v>9781410609106</v>
      </c>
      <c r="D1491" s="10" t="s">
        <v>6350</v>
      </c>
      <c r="E1491" s="10" t="s">
        <v>6351</v>
      </c>
      <c r="F1491" s="10" t="s">
        <v>4325</v>
      </c>
      <c r="G1491" s="10" t="s">
        <v>6317</v>
      </c>
      <c r="H1491" s="11">
        <v>37712</v>
      </c>
      <c r="I1491" s="10">
        <v>2003</v>
      </c>
      <c r="J1491" s="10" t="s">
        <v>6353</v>
      </c>
      <c r="K1491" s="10">
        <v>275</v>
      </c>
      <c r="L1491" s="10" t="s">
        <v>12772</v>
      </c>
      <c r="M1491" s="10">
        <v>1</v>
      </c>
      <c r="N1491" s="10"/>
      <c r="O1491" s="10"/>
      <c r="P1491" s="10" t="s">
        <v>12773</v>
      </c>
      <c r="Q1491" s="10">
        <v>373.11900000000003</v>
      </c>
      <c r="R1491" s="10" t="s">
        <v>12774</v>
      </c>
      <c r="S1491" s="10" t="s">
        <v>53</v>
      </c>
      <c r="T1491" s="10" t="s">
        <v>54</v>
      </c>
    </row>
    <row r="1492" spans="1:20" ht="14.5" x14ac:dyDescent="0.35">
      <c r="A1492" s="10" t="s">
        <v>12775</v>
      </c>
      <c r="B1492" s="10" t="str">
        <f>"9780805862836"</f>
        <v>9780805862836</v>
      </c>
      <c r="C1492" s="10" t="str">
        <f>"9780203892787"</f>
        <v>9780203892787</v>
      </c>
      <c r="D1492" s="10" t="s">
        <v>6350</v>
      </c>
      <c r="E1492" s="10" t="s">
        <v>6351</v>
      </c>
      <c r="F1492" s="10" t="s">
        <v>70</v>
      </c>
      <c r="G1492" s="10" t="s">
        <v>6317</v>
      </c>
      <c r="H1492" s="11">
        <v>39695</v>
      </c>
      <c r="I1492" s="10">
        <v>2008</v>
      </c>
      <c r="J1492" s="10" t="s">
        <v>6353</v>
      </c>
      <c r="K1492" s="10">
        <v>273</v>
      </c>
      <c r="L1492" s="10" t="s">
        <v>12776</v>
      </c>
      <c r="M1492" s="10">
        <v>1</v>
      </c>
      <c r="N1492" s="10"/>
      <c r="O1492" s="10"/>
      <c r="P1492" s="10">
        <v>2008009107</v>
      </c>
      <c r="Q1492" s="10" t="s">
        <v>12777</v>
      </c>
      <c r="R1492" s="10" t="s">
        <v>12778</v>
      </c>
      <c r="S1492" s="10" t="s">
        <v>53</v>
      </c>
      <c r="T1492" s="10" t="s">
        <v>6363</v>
      </c>
    </row>
    <row r="1493" spans="1:20" ht="14.5" x14ac:dyDescent="0.35">
      <c r="A1493" s="10" t="s">
        <v>12779</v>
      </c>
      <c r="B1493" s="10" t="str">
        <f>"9780833041739"</f>
        <v>9780833041739</v>
      </c>
      <c r="C1493" s="10" t="str">
        <f>"9780833045874"</f>
        <v>9780833045874</v>
      </c>
      <c r="D1493" s="10" t="s">
        <v>8134</v>
      </c>
      <c r="E1493" s="10" t="s">
        <v>8135</v>
      </c>
      <c r="F1493" s="10" t="s">
        <v>8136</v>
      </c>
      <c r="G1493" s="10" t="s">
        <v>6317</v>
      </c>
      <c r="H1493" s="11">
        <v>39398</v>
      </c>
      <c r="I1493" s="10">
        <v>2007</v>
      </c>
      <c r="J1493" s="10" t="s">
        <v>8363</v>
      </c>
      <c r="K1493" s="10">
        <v>159</v>
      </c>
      <c r="L1493" s="10" t="s">
        <v>12780</v>
      </c>
      <c r="M1493" s="10">
        <v>1</v>
      </c>
      <c r="N1493" s="10"/>
      <c r="O1493" s="10"/>
      <c r="P1493" s="10" t="s">
        <v>12781</v>
      </c>
      <c r="Q1493" s="10">
        <v>378.53629999999998</v>
      </c>
      <c r="R1493" s="10" t="s">
        <v>12782</v>
      </c>
      <c r="S1493" s="10" t="s">
        <v>53</v>
      </c>
      <c r="T1493" s="10" t="s">
        <v>54</v>
      </c>
    </row>
    <row r="1494" spans="1:20" ht="14.5" x14ac:dyDescent="0.35">
      <c r="A1494" s="10" t="s">
        <v>12783</v>
      </c>
      <c r="B1494" s="10" t="str">
        <f>"9780833043061"</f>
        <v>9780833043061</v>
      </c>
      <c r="C1494" s="10" t="str">
        <f>"9780833045935"</f>
        <v>9780833045935</v>
      </c>
      <c r="D1494" s="10" t="s">
        <v>8134</v>
      </c>
      <c r="E1494" s="10" t="s">
        <v>8135</v>
      </c>
      <c r="F1494" s="10" t="s">
        <v>8136</v>
      </c>
      <c r="G1494" s="10" t="s">
        <v>6317</v>
      </c>
      <c r="H1494" s="11">
        <v>39507</v>
      </c>
      <c r="I1494" s="10">
        <v>2008</v>
      </c>
      <c r="J1494" s="10" t="s">
        <v>8363</v>
      </c>
      <c r="K1494" s="10">
        <v>109</v>
      </c>
      <c r="L1494" s="10" t="s">
        <v>12784</v>
      </c>
      <c r="M1494" s="10">
        <v>1</v>
      </c>
      <c r="N1494" s="10"/>
      <c r="O1494" s="10"/>
      <c r="P1494" s="10" t="s">
        <v>12785</v>
      </c>
      <c r="Q1494" s="10" t="s">
        <v>12786</v>
      </c>
      <c r="R1494" s="10" t="s">
        <v>12787</v>
      </c>
      <c r="S1494" s="10" t="s">
        <v>53</v>
      </c>
      <c r="T1494" s="10" t="s">
        <v>6384</v>
      </c>
    </row>
    <row r="1495" spans="1:20" ht="14.5" x14ac:dyDescent="0.35">
      <c r="A1495" s="10" t="s">
        <v>12788</v>
      </c>
      <c r="B1495" s="10" t="str">
        <f>"9780805839685"</f>
        <v>9780805839685</v>
      </c>
      <c r="C1495" s="10" t="str">
        <f>"9781410607355"</f>
        <v>9781410607355</v>
      </c>
      <c r="D1495" s="10" t="s">
        <v>6350</v>
      </c>
      <c r="E1495" s="10" t="s">
        <v>6351</v>
      </c>
      <c r="F1495" s="10" t="s">
        <v>4325</v>
      </c>
      <c r="G1495" s="10" t="s">
        <v>6317</v>
      </c>
      <c r="H1495" s="11">
        <v>37653</v>
      </c>
      <c r="I1495" s="10">
        <v>2003</v>
      </c>
      <c r="J1495" s="10" t="s">
        <v>6353</v>
      </c>
      <c r="K1495" s="10">
        <v>404</v>
      </c>
      <c r="L1495" s="10" t="s">
        <v>12789</v>
      </c>
      <c r="M1495" s="10">
        <v>1</v>
      </c>
      <c r="N1495" s="10"/>
      <c r="O1495" s="10"/>
      <c r="P1495" s="10" t="s">
        <v>12790</v>
      </c>
      <c r="Q1495" s="10">
        <v>372.67</v>
      </c>
      <c r="R1495" s="10" t="s">
        <v>12791</v>
      </c>
      <c r="S1495" s="10" t="s">
        <v>53</v>
      </c>
      <c r="T1495" s="10" t="s">
        <v>54</v>
      </c>
    </row>
    <row r="1496" spans="1:20" ht="14.5" x14ac:dyDescent="0.35">
      <c r="A1496" s="10" t="s">
        <v>12792</v>
      </c>
      <c r="B1496" s="10" t="str">
        <f>"9780805832884"</f>
        <v>9780805832884</v>
      </c>
      <c r="C1496" s="10" t="str">
        <f>"9781410602695"</f>
        <v>9781410602695</v>
      </c>
      <c r="D1496" s="10" t="s">
        <v>6350</v>
      </c>
      <c r="E1496" s="10" t="s">
        <v>6351</v>
      </c>
      <c r="F1496" s="10" t="s">
        <v>4325</v>
      </c>
      <c r="G1496" s="10" t="s">
        <v>6317</v>
      </c>
      <c r="H1496" s="11">
        <v>37073</v>
      </c>
      <c r="I1496" s="10">
        <v>2001</v>
      </c>
      <c r="J1496" s="10" t="s">
        <v>4324</v>
      </c>
      <c r="K1496" s="10">
        <v>235</v>
      </c>
      <c r="L1496" s="10" t="s">
        <v>12793</v>
      </c>
      <c r="M1496" s="10">
        <v>2</v>
      </c>
      <c r="N1496" s="10"/>
      <c r="O1496" s="10"/>
      <c r="P1496" s="10" t="s">
        <v>12794</v>
      </c>
      <c r="Q1496" s="10" t="s">
        <v>8213</v>
      </c>
      <c r="R1496" s="10" t="s">
        <v>12795</v>
      </c>
      <c r="S1496" s="10" t="s">
        <v>53</v>
      </c>
      <c r="T1496" s="10" t="s">
        <v>6568</v>
      </c>
    </row>
    <row r="1497" spans="1:20" ht="14.5" x14ac:dyDescent="0.35">
      <c r="A1497" s="10" t="s">
        <v>12796</v>
      </c>
      <c r="B1497" s="10" t="str">
        <f>"9780833044778"</f>
        <v>9780833044778</v>
      </c>
      <c r="C1497" s="10" t="str">
        <f>"9780833044921"</f>
        <v>9780833044921</v>
      </c>
      <c r="D1497" s="10" t="s">
        <v>8134</v>
      </c>
      <c r="E1497" s="10" t="s">
        <v>8135</v>
      </c>
      <c r="F1497" s="10" t="s">
        <v>8136</v>
      </c>
      <c r="G1497" s="10" t="s">
        <v>6317</v>
      </c>
      <c r="H1497" s="11">
        <v>39582</v>
      </c>
      <c r="I1497" s="10">
        <v>2008</v>
      </c>
      <c r="J1497" s="10" t="s">
        <v>8363</v>
      </c>
      <c r="K1497" s="10">
        <v>71</v>
      </c>
      <c r="L1497" s="10" t="s">
        <v>12797</v>
      </c>
      <c r="M1497" s="10">
        <v>1</v>
      </c>
      <c r="N1497" s="10"/>
      <c r="O1497" s="10"/>
      <c r="P1497" s="10" t="s">
        <v>12798</v>
      </c>
      <c r="Q1497" s="10" t="s">
        <v>9007</v>
      </c>
      <c r="R1497" s="10" t="s">
        <v>12799</v>
      </c>
      <c r="S1497" s="10" t="s">
        <v>53</v>
      </c>
      <c r="T1497" s="10" t="s">
        <v>54</v>
      </c>
    </row>
    <row r="1498" spans="1:20" ht="14.5" x14ac:dyDescent="0.35">
      <c r="A1498" s="10" t="s">
        <v>12800</v>
      </c>
      <c r="B1498" s="10" t="str">
        <f>"9780833044242"</f>
        <v>9780833044242</v>
      </c>
      <c r="C1498" s="10" t="str">
        <f>"9780833045256"</f>
        <v>9780833045256</v>
      </c>
      <c r="D1498" s="10" t="s">
        <v>8134</v>
      </c>
      <c r="E1498" s="10" t="s">
        <v>8135</v>
      </c>
      <c r="F1498" s="10" t="s">
        <v>8136</v>
      </c>
      <c r="G1498" s="10" t="s">
        <v>6317</v>
      </c>
      <c r="H1498" s="11">
        <v>39590</v>
      </c>
      <c r="I1498" s="10">
        <v>2008</v>
      </c>
      <c r="J1498" s="10" t="s">
        <v>8363</v>
      </c>
      <c r="K1498" s="10">
        <v>188</v>
      </c>
      <c r="L1498" s="10" t="s">
        <v>12801</v>
      </c>
      <c r="M1498" s="10">
        <v>1</v>
      </c>
      <c r="N1498" s="10"/>
      <c r="O1498" s="10"/>
      <c r="P1498" s="10" t="s">
        <v>12802</v>
      </c>
      <c r="Q1498" s="10" t="s">
        <v>12803</v>
      </c>
      <c r="R1498" s="10" t="s">
        <v>12804</v>
      </c>
      <c r="S1498" s="10" t="s">
        <v>53</v>
      </c>
      <c r="T1498" s="10" t="s">
        <v>12805</v>
      </c>
    </row>
    <row r="1499" spans="1:20" ht="14.5" x14ac:dyDescent="0.35">
      <c r="A1499" s="10" t="s">
        <v>12806</v>
      </c>
      <c r="B1499" s="10" t="str">
        <f>"9780813543178"</f>
        <v>9780813543178</v>
      </c>
      <c r="C1499" s="10" t="str">
        <f>"9780813544984"</f>
        <v>9780813544984</v>
      </c>
      <c r="D1499" s="10" t="s">
        <v>12251</v>
      </c>
      <c r="E1499" s="10" t="s">
        <v>12251</v>
      </c>
      <c r="F1499" s="10" t="s">
        <v>2510</v>
      </c>
      <c r="G1499" s="10" t="s">
        <v>6317</v>
      </c>
      <c r="H1499" s="11">
        <v>39587</v>
      </c>
      <c r="I1499" s="10">
        <v>2008</v>
      </c>
      <c r="J1499" s="10" t="s">
        <v>12251</v>
      </c>
      <c r="K1499" s="10">
        <v>288</v>
      </c>
      <c r="L1499" s="10" t="s">
        <v>12807</v>
      </c>
      <c r="M1499" s="10">
        <v>1</v>
      </c>
      <c r="N1499" s="10"/>
      <c r="O1499" s="10"/>
      <c r="P1499" s="10" t="s">
        <v>12808</v>
      </c>
      <c r="Q1499" s="10" t="s">
        <v>12809</v>
      </c>
      <c r="R1499" s="10" t="s">
        <v>12810</v>
      </c>
      <c r="S1499" s="10" t="s">
        <v>53</v>
      </c>
      <c r="T1499" s="10" t="s">
        <v>54</v>
      </c>
    </row>
    <row r="1500" spans="1:20" ht="14.5" x14ac:dyDescent="0.35">
      <c r="A1500" s="10" t="s">
        <v>12811</v>
      </c>
      <c r="B1500" s="10" t="str">
        <f>"9780813543345"</f>
        <v>9780813543345</v>
      </c>
      <c r="C1500" s="10" t="str">
        <f>"9780813544991"</f>
        <v>9780813544991</v>
      </c>
      <c r="D1500" s="10" t="s">
        <v>12251</v>
      </c>
      <c r="E1500" s="10" t="s">
        <v>12251</v>
      </c>
      <c r="F1500" s="10" t="s">
        <v>2510</v>
      </c>
      <c r="G1500" s="10" t="s">
        <v>6317</v>
      </c>
      <c r="H1500" s="11">
        <v>39602</v>
      </c>
      <c r="I1500" s="10">
        <v>2008</v>
      </c>
      <c r="J1500" s="10" t="s">
        <v>12251</v>
      </c>
      <c r="K1500" s="10">
        <v>220</v>
      </c>
      <c r="L1500" s="10" t="s">
        <v>12812</v>
      </c>
      <c r="M1500" s="10">
        <v>1</v>
      </c>
      <c r="N1500" s="10" t="s">
        <v>12813</v>
      </c>
      <c r="O1500" s="10"/>
      <c r="P1500" s="10" t="s">
        <v>12814</v>
      </c>
      <c r="Q1500" s="10" t="s">
        <v>12815</v>
      </c>
      <c r="R1500" s="10"/>
      <c r="S1500" s="10" t="s">
        <v>53</v>
      </c>
      <c r="T1500" s="10" t="s">
        <v>8493</v>
      </c>
    </row>
    <row r="1501" spans="1:20" ht="14.5" x14ac:dyDescent="0.35">
      <c r="A1501" s="10" t="s">
        <v>12816</v>
      </c>
      <c r="B1501" s="10" t="str">
        <f>"9780521515108"</f>
        <v>9780521515108</v>
      </c>
      <c r="C1501" s="10" t="str">
        <f>"9780511428210"</f>
        <v>9780511428210</v>
      </c>
      <c r="D1501" s="10" t="s">
        <v>397</v>
      </c>
      <c r="E1501" s="10" t="s">
        <v>397</v>
      </c>
      <c r="F1501" s="10" t="s">
        <v>70</v>
      </c>
      <c r="G1501" s="10" t="s">
        <v>6317</v>
      </c>
      <c r="H1501" s="11">
        <v>39699</v>
      </c>
      <c r="I1501" s="10">
        <v>2008</v>
      </c>
      <c r="J1501" s="10" t="s">
        <v>397</v>
      </c>
      <c r="K1501" s="10">
        <v>357</v>
      </c>
      <c r="L1501" s="10" t="s">
        <v>12817</v>
      </c>
      <c r="M1501" s="10">
        <v>1</v>
      </c>
      <c r="N1501" s="10"/>
      <c r="O1501" s="10"/>
      <c r="P1501" s="10" t="s">
        <v>12818</v>
      </c>
      <c r="Q1501" s="10">
        <v>378.44</v>
      </c>
      <c r="R1501" s="10" t="s">
        <v>12819</v>
      </c>
      <c r="S1501" s="10" t="s">
        <v>53</v>
      </c>
      <c r="T1501" s="10" t="s">
        <v>54</v>
      </c>
    </row>
    <row r="1502" spans="1:20" ht="14.5" x14ac:dyDescent="0.35">
      <c r="A1502" s="10" t="s">
        <v>12820</v>
      </c>
      <c r="B1502" s="10" t="str">
        <f>"9780520255265"</f>
        <v>9780520255265</v>
      </c>
      <c r="C1502" s="10" t="str">
        <f>"9780520942523"</f>
        <v>9780520942523</v>
      </c>
      <c r="D1502" s="10" t="s">
        <v>8512</v>
      </c>
      <c r="E1502" s="10" t="s">
        <v>8512</v>
      </c>
      <c r="F1502" s="10" t="s">
        <v>717</v>
      </c>
      <c r="G1502" s="10" t="s">
        <v>6317</v>
      </c>
      <c r="H1502" s="11">
        <v>39609</v>
      </c>
      <c r="I1502" s="10">
        <v>2008</v>
      </c>
      <c r="J1502" s="10" t="s">
        <v>8512</v>
      </c>
      <c r="K1502" s="10">
        <v>217</v>
      </c>
      <c r="L1502" s="10" t="s">
        <v>12821</v>
      </c>
      <c r="M1502" s="10">
        <v>1</v>
      </c>
      <c r="N1502" s="10" t="s">
        <v>12822</v>
      </c>
      <c r="O1502" s="10">
        <v>1</v>
      </c>
      <c r="P1502" s="10" t="s">
        <v>12823</v>
      </c>
      <c r="Q1502" s="10">
        <v>594.41759999999999</v>
      </c>
      <c r="R1502" s="10" t="s">
        <v>12824</v>
      </c>
      <c r="S1502" s="10" t="s">
        <v>53</v>
      </c>
      <c r="T1502" s="10" t="s">
        <v>12825</v>
      </c>
    </row>
    <row r="1503" spans="1:20" ht="14.5" x14ac:dyDescent="0.35">
      <c r="A1503" s="10" t="s">
        <v>12826</v>
      </c>
      <c r="B1503" s="10" t="str">
        <f>"9780520255418"</f>
        <v>9780520255418</v>
      </c>
      <c r="C1503" s="10" t="str">
        <f>"9780520942073"</f>
        <v>9780520942073</v>
      </c>
      <c r="D1503" s="10" t="s">
        <v>8512</v>
      </c>
      <c r="E1503" s="10" t="s">
        <v>8512</v>
      </c>
      <c r="F1503" s="10" t="s">
        <v>717</v>
      </c>
      <c r="G1503" s="10" t="s">
        <v>6317</v>
      </c>
      <c r="H1503" s="11">
        <v>39693</v>
      </c>
      <c r="I1503" s="10">
        <v>2023</v>
      </c>
      <c r="J1503" s="10" t="s">
        <v>8512</v>
      </c>
      <c r="K1503" s="10">
        <v>276</v>
      </c>
      <c r="L1503" s="10" t="s">
        <v>12827</v>
      </c>
      <c r="M1503" s="10">
        <v>1</v>
      </c>
      <c r="N1503" s="10"/>
      <c r="O1503" s="10"/>
      <c r="P1503" s="10"/>
      <c r="Q1503" s="10" t="s">
        <v>8706</v>
      </c>
      <c r="R1503" s="10" t="s">
        <v>12828</v>
      </c>
      <c r="S1503" s="10" t="s">
        <v>53</v>
      </c>
      <c r="T1503" s="10" t="s">
        <v>54</v>
      </c>
    </row>
    <row r="1504" spans="1:20" ht="14.5" x14ac:dyDescent="0.35">
      <c r="A1504" s="10" t="s">
        <v>12829</v>
      </c>
      <c r="B1504" s="10" t="str">
        <f>"9780415957748"</f>
        <v>9780415957748</v>
      </c>
      <c r="C1504" s="10" t="str">
        <f>"9780203891858"</f>
        <v>9780203891858</v>
      </c>
      <c r="D1504" s="10" t="s">
        <v>6350</v>
      </c>
      <c r="E1504" s="10" t="s">
        <v>6351</v>
      </c>
      <c r="F1504" s="10" t="s">
        <v>139</v>
      </c>
      <c r="G1504" s="10" t="s">
        <v>6352</v>
      </c>
      <c r="H1504" s="11">
        <v>39734</v>
      </c>
      <c r="I1504" s="10">
        <v>2009</v>
      </c>
      <c r="J1504" s="10" t="s">
        <v>6353</v>
      </c>
      <c r="K1504" s="10">
        <v>284</v>
      </c>
      <c r="L1504" s="10" t="s">
        <v>12830</v>
      </c>
      <c r="M1504" s="10">
        <v>1</v>
      </c>
      <c r="N1504" s="10" t="s">
        <v>12831</v>
      </c>
      <c r="O1504" s="10"/>
      <c r="P1504" s="10" t="s">
        <v>12832</v>
      </c>
      <c r="Q1504" s="10">
        <v>370.11500000000001</v>
      </c>
      <c r="R1504" s="10" t="s">
        <v>12833</v>
      </c>
      <c r="S1504" s="10" t="s">
        <v>53</v>
      </c>
      <c r="T1504" s="10" t="s">
        <v>54</v>
      </c>
    </row>
    <row r="1505" spans="1:20" ht="14.5" x14ac:dyDescent="0.35">
      <c r="A1505" s="10" t="s">
        <v>12834</v>
      </c>
      <c r="B1505" s="10" t="str">
        <f>"9780415957755"</f>
        <v>9780415957755</v>
      </c>
      <c r="C1505" s="10" t="str">
        <f>"9780203894668"</f>
        <v>9780203894668</v>
      </c>
      <c r="D1505" s="10" t="s">
        <v>6350</v>
      </c>
      <c r="E1505" s="10" t="s">
        <v>6351</v>
      </c>
      <c r="F1505" s="10" t="s">
        <v>139</v>
      </c>
      <c r="G1505" s="10" t="s">
        <v>6352</v>
      </c>
      <c r="H1505" s="11">
        <v>39722</v>
      </c>
      <c r="I1505" s="10">
        <v>2008</v>
      </c>
      <c r="J1505" s="10" t="s">
        <v>6353</v>
      </c>
      <c r="K1505" s="10">
        <v>290</v>
      </c>
      <c r="L1505" s="10" t="s">
        <v>12835</v>
      </c>
      <c r="M1505" s="10">
        <v>1</v>
      </c>
      <c r="N1505" s="10" t="s">
        <v>12831</v>
      </c>
      <c r="O1505" s="10"/>
      <c r="P1505" s="10" t="s">
        <v>12836</v>
      </c>
      <c r="Q1505" s="10">
        <v>379.17219999999998</v>
      </c>
      <c r="R1505" s="10" t="s">
        <v>12837</v>
      </c>
      <c r="S1505" s="10" t="s">
        <v>53</v>
      </c>
      <c r="T1505" s="10" t="s">
        <v>54</v>
      </c>
    </row>
    <row r="1506" spans="1:20" ht="14.5" x14ac:dyDescent="0.35">
      <c r="A1506" s="10" t="s">
        <v>12838</v>
      </c>
      <c r="B1506" s="10" t="str">
        <f>"9780415468954"</f>
        <v>9780415468954</v>
      </c>
      <c r="C1506" s="10" t="str">
        <f>"9780203890837"</f>
        <v>9780203890837</v>
      </c>
      <c r="D1506" s="10" t="s">
        <v>6350</v>
      </c>
      <c r="E1506" s="10" t="s">
        <v>6351</v>
      </c>
      <c r="F1506" s="10" t="s">
        <v>748</v>
      </c>
      <c r="G1506" s="10" t="s">
        <v>6352</v>
      </c>
      <c r="H1506" s="11">
        <v>39783</v>
      </c>
      <c r="I1506" s="10">
        <v>2009</v>
      </c>
      <c r="J1506" s="10" t="s">
        <v>6351</v>
      </c>
      <c r="K1506" s="10">
        <v>224</v>
      </c>
      <c r="L1506" s="10" t="s">
        <v>12839</v>
      </c>
      <c r="M1506" s="10">
        <v>1</v>
      </c>
      <c r="N1506" s="10"/>
      <c r="O1506" s="10"/>
      <c r="P1506" s="10" t="s">
        <v>12840</v>
      </c>
      <c r="Q1506" s="10" t="s">
        <v>12841</v>
      </c>
      <c r="R1506" s="10" t="s">
        <v>12842</v>
      </c>
      <c r="S1506" s="10" t="s">
        <v>53</v>
      </c>
      <c r="T1506" s="10" t="s">
        <v>12843</v>
      </c>
    </row>
    <row r="1507" spans="1:20" ht="14.5" x14ac:dyDescent="0.35">
      <c r="A1507" s="10" t="s">
        <v>12844</v>
      </c>
      <c r="B1507" s="10" t="str">
        <f>"9781416606888"</f>
        <v>9781416606888</v>
      </c>
      <c r="C1507" s="10" t="str">
        <f>"9781416607946"</f>
        <v>9781416607946</v>
      </c>
      <c r="D1507" s="10" t="s">
        <v>10014</v>
      </c>
      <c r="E1507" s="10" t="s">
        <v>10015</v>
      </c>
      <c r="F1507" s="10" t="s">
        <v>201</v>
      </c>
      <c r="G1507" s="10" t="s">
        <v>6317</v>
      </c>
      <c r="H1507" s="11">
        <v>39661</v>
      </c>
      <c r="I1507" s="10">
        <v>2008</v>
      </c>
      <c r="J1507" s="10" t="s">
        <v>10015</v>
      </c>
      <c r="K1507" s="10">
        <v>194</v>
      </c>
      <c r="L1507" s="10" t="s">
        <v>11196</v>
      </c>
      <c r="M1507" s="10">
        <v>1</v>
      </c>
      <c r="N1507" s="10"/>
      <c r="O1507" s="10"/>
      <c r="P1507" s="10" t="s">
        <v>12845</v>
      </c>
      <c r="Q1507" s="10">
        <v>428.4</v>
      </c>
      <c r="R1507" s="10" t="s">
        <v>12846</v>
      </c>
      <c r="S1507" s="10" t="s">
        <v>53</v>
      </c>
      <c r="T1507" s="10" t="s">
        <v>6634</v>
      </c>
    </row>
    <row r="1508" spans="1:20" ht="14.5" x14ac:dyDescent="0.35">
      <c r="A1508" s="10" t="s">
        <v>12847</v>
      </c>
      <c r="B1508" s="10" t="str">
        <f>"9781416607083"</f>
        <v>9781416607083</v>
      </c>
      <c r="C1508" s="10" t="str">
        <f>"9781416607755"</f>
        <v>9781416607755</v>
      </c>
      <c r="D1508" s="10" t="s">
        <v>10014</v>
      </c>
      <c r="E1508" s="10" t="s">
        <v>10015</v>
      </c>
      <c r="F1508" s="10" t="s">
        <v>201</v>
      </c>
      <c r="G1508" s="10" t="s">
        <v>6317</v>
      </c>
      <c r="H1508" s="11">
        <v>39690</v>
      </c>
      <c r="I1508" s="10">
        <v>2008</v>
      </c>
      <c r="J1508" s="10" t="s">
        <v>10015</v>
      </c>
      <c r="K1508" s="10">
        <v>193</v>
      </c>
      <c r="L1508" s="10" t="s">
        <v>12848</v>
      </c>
      <c r="M1508" s="10">
        <v>1</v>
      </c>
      <c r="N1508" s="10"/>
      <c r="O1508" s="10"/>
      <c r="P1508" s="10" t="s">
        <v>12849</v>
      </c>
      <c r="Q1508" s="10" t="s">
        <v>12203</v>
      </c>
      <c r="R1508" s="10" t="s">
        <v>12850</v>
      </c>
      <c r="S1508" s="10" t="s">
        <v>53</v>
      </c>
      <c r="T1508" s="10" t="s">
        <v>54</v>
      </c>
    </row>
    <row r="1509" spans="1:20" ht="14.5" x14ac:dyDescent="0.35">
      <c r="A1509" s="10" t="s">
        <v>12851</v>
      </c>
      <c r="B1509" s="10" t="str">
        <f>"9781416607366"</f>
        <v>9781416607366</v>
      </c>
      <c r="C1509" s="10" t="str">
        <f>"9781416608141"</f>
        <v>9781416608141</v>
      </c>
      <c r="D1509" s="10" t="s">
        <v>10014</v>
      </c>
      <c r="E1509" s="10" t="s">
        <v>10015</v>
      </c>
      <c r="F1509" s="10" t="s">
        <v>201</v>
      </c>
      <c r="G1509" s="10" t="s">
        <v>6317</v>
      </c>
      <c r="H1509" s="11">
        <v>39696</v>
      </c>
      <c r="I1509" s="10">
        <v>2008</v>
      </c>
      <c r="J1509" s="10" t="s">
        <v>10014</v>
      </c>
      <c r="K1509" s="10">
        <v>131</v>
      </c>
      <c r="L1509" s="10" t="s">
        <v>12852</v>
      </c>
      <c r="M1509" s="10">
        <v>1</v>
      </c>
      <c r="N1509" s="10"/>
      <c r="O1509" s="10"/>
      <c r="P1509" s="10" t="s">
        <v>12853</v>
      </c>
      <c r="Q1509" s="10" t="s">
        <v>12854</v>
      </c>
      <c r="R1509" s="10" t="s">
        <v>12855</v>
      </c>
      <c r="S1509" s="10" t="s">
        <v>53</v>
      </c>
      <c r="T1509" s="10" t="s">
        <v>54</v>
      </c>
    </row>
    <row r="1510" spans="1:20" ht="14.5" x14ac:dyDescent="0.35">
      <c r="A1510" s="10" t="s">
        <v>12856</v>
      </c>
      <c r="B1510" s="10" t="str">
        <f>"9781416607090"</f>
        <v>9781416607090</v>
      </c>
      <c r="C1510" s="10" t="str">
        <f>"9781416608172"</f>
        <v>9781416608172</v>
      </c>
      <c r="D1510" s="10" t="s">
        <v>10014</v>
      </c>
      <c r="E1510" s="10" t="s">
        <v>10015</v>
      </c>
      <c r="F1510" s="10" t="s">
        <v>201</v>
      </c>
      <c r="G1510" s="10" t="s">
        <v>6317</v>
      </c>
      <c r="H1510" s="11">
        <v>39721</v>
      </c>
      <c r="I1510" s="10">
        <v>2008</v>
      </c>
      <c r="J1510" s="10" t="s">
        <v>10015</v>
      </c>
      <c r="K1510" s="10">
        <v>190</v>
      </c>
      <c r="L1510" s="10" t="s">
        <v>10447</v>
      </c>
      <c r="M1510" s="10">
        <v>1</v>
      </c>
      <c r="N1510" s="10"/>
      <c r="O1510" s="10"/>
      <c r="P1510" s="10" t="s">
        <v>12857</v>
      </c>
      <c r="Q1510" s="10">
        <v>371.10199999999998</v>
      </c>
      <c r="R1510" s="10" t="s">
        <v>12858</v>
      </c>
      <c r="S1510" s="10" t="s">
        <v>53</v>
      </c>
      <c r="T1510" s="10" t="s">
        <v>54</v>
      </c>
    </row>
    <row r="1511" spans="1:20" ht="14.5" x14ac:dyDescent="0.35">
      <c r="A1511" s="10" t="s">
        <v>12859</v>
      </c>
      <c r="B1511" s="10" t="str">
        <f>"9781846639524"</f>
        <v>9781846639524</v>
      </c>
      <c r="C1511" s="10" t="str">
        <f>"9781846639531"</f>
        <v>9781846639531</v>
      </c>
      <c r="D1511" s="10" t="s">
        <v>8699</v>
      </c>
      <c r="E1511" s="10" t="s">
        <v>8699</v>
      </c>
      <c r="F1511" s="10" t="s">
        <v>1019</v>
      </c>
      <c r="G1511" s="10" t="s">
        <v>6352</v>
      </c>
      <c r="H1511" s="11">
        <v>39612</v>
      </c>
      <c r="I1511" s="10">
        <v>2008</v>
      </c>
      <c r="J1511" s="10" t="s">
        <v>115</v>
      </c>
      <c r="K1511" s="10">
        <v>84</v>
      </c>
      <c r="L1511" s="10" t="s">
        <v>12860</v>
      </c>
      <c r="M1511" s="10">
        <v>1</v>
      </c>
      <c r="N1511" s="10" t="s">
        <v>12861</v>
      </c>
      <c r="O1511" s="10">
        <v>32</v>
      </c>
      <c r="P1511" s="10" t="s">
        <v>12862</v>
      </c>
      <c r="Q1511" s="10">
        <v>658.40219999999999</v>
      </c>
      <c r="R1511" s="10" t="s">
        <v>12863</v>
      </c>
      <c r="S1511" s="10" t="s">
        <v>53</v>
      </c>
      <c r="T1511" s="10" t="s">
        <v>6660</v>
      </c>
    </row>
    <row r="1512" spans="1:20" ht="14.5" x14ac:dyDescent="0.35">
      <c r="A1512" s="10" t="s">
        <v>12864</v>
      </c>
      <c r="B1512" s="10" t="str">
        <f>"9781841501994"</f>
        <v>9781841501994</v>
      </c>
      <c r="C1512" s="10" t="str">
        <f>"9781841502533"</f>
        <v>9781841502533</v>
      </c>
      <c r="D1512" s="10" t="s">
        <v>9533</v>
      </c>
      <c r="E1512" s="10" t="s">
        <v>10235</v>
      </c>
      <c r="F1512" s="10" t="s">
        <v>10236</v>
      </c>
      <c r="G1512" s="10" t="s">
        <v>6352</v>
      </c>
      <c r="H1512" s="11">
        <v>39722</v>
      </c>
      <c r="I1512" s="10">
        <v>2008</v>
      </c>
      <c r="J1512" s="10" t="s">
        <v>10235</v>
      </c>
      <c r="K1512" s="10">
        <v>210</v>
      </c>
      <c r="L1512" s="10" t="s">
        <v>10241</v>
      </c>
      <c r="M1512" s="10">
        <v>1</v>
      </c>
      <c r="N1512" s="10" t="s">
        <v>10242</v>
      </c>
      <c r="O1512" s="10"/>
      <c r="P1512" s="10" t="s">
        <v>12865</v>
      </c>
      <c r="Q1512" s="10">
        <v>707.1</v>
      </c>
      <c r="R1512" s="10" t="s">
        <v>10244</v>
      </c>
      <c r="S1512" s="10" t="s">
        <v>53</v>
      </c>
      <c r="T1512" s="10" t="s">
        <v>6384</v>
      </c>
    </row>
    <row r="1513" spans="1:20" ht="14.5" x14ac:dyDescent="0.35">
      <c r="A1513" s="10" t="s">
        <v>12866</v>
      </c>
      <c r="B1513" s="10" t="str">
        <f>"9781841501895"</f>
        <v>9781841501895</v>
      </c>
      <c r="C1513" s="10" t="str">
        <f>"9781841502588"</f>
        <v>9781841502588</v>
      </c>
      <c r="D1513" s="10" t="s">
        <v>9533</v>
      </c>
      <c r="E1513" s="10" t="s">
        <v>10235</v>
      </c>
      <c r="F1513" s="10" t="s">
        <v>10236</v>
      </c>
      <c r="G1513" s="10" t="s">
        <v>6352</v>
      </c>
      <c r="H1513" s="11">
        <v>39767</v>
      </c>
      <c r="I1513" s="10">
        <v>2008</v>
      </c>
      <c r="J1513" s="10" t="s">
        <v>10235</v>
      </c>
      <c r="K1513" s="10">
        <v>330</v>
      </c>
      <c r="L1513" s="10" t="s">
        <v>12867</v>
      </c>
      <c r="M1513" s="10">
        <v>1</v>
      </c>
      <c r="N1513" s="10" t="s">
        <v>10242</v>
      </c>
      <c r="O1513" s="10"/>
      <c r="P1513" s="10" t="s">
        <v>12868</v>
      </c>
      <c r="Q1513" s="10">
        <v>701.03</v>
      </c>
      <c r="R1513" s="10" t="s">
        <v>12869</v>
      </c>
      <c r="S1513" s="10" t="s">
        <v>53</v>
      </c>
      <c r="T1513" s="10" t="s">
        <v>6384</v>
      </c>
    </row>
    <row r="1514" spans="1:20" ht="14.5" x14ac:dyDescent="0.35">
      <c r="A1514" s="10" t="s">
        <v>12870</v>
      </c>
      <c r="B1514" s="10" t="str">
        <f>"9780805840162"</f>
        <v>9780805840162</v>
      </c>
      <c r="C1514" s="10" t="str">
        <f>"9781410606914"</f>
        <v>9781410606914</v>
      </c>
      <c r="D1514" s="10" t="s">
        <v>6350</v>
      </c>
      <c r="E1514" s="10" t="s">
        <v>6351</v>
      </c>
      <c r="F1514" s="10" t="s">
        <v>4325</v>
      </c>
      <c r="G1514" s="10" t="s">
        <v>6317</v>
      </c>
      <c r="H1514" s="11">
        <v>37561</v>
      </c>
      <c r="I1514" s="10">
        <v>2002</v>
      </c>
      <c r="J1514" s="10" t="s">
        <v>6353</v>
      </c>
      <c r="K1514" s="10">
        <v>263</v>
      </c>
      <c r="L1514" s="10" t="s">
        <v>12871</v>
      </c>
      <c r="M1514" s="10">
        <v>1</v>
      </c>
      <c r="N1514" s="10" t="s">
        <v>12872</v>
      </c>
      <c r="O1514" s="10"/>
      <c r="P1514" s="10" t="s">
        <v>12873</v>
      </c>
      <c r="Q1514" s="10">
        <v>370.11709710000002</v>
      </c>
      <c r="R1514" s="10" t="s">
        <v>12874</v>
      </c>
      <c r="S1514" s="10" t="s">
        <v>53</v>
      </c>
      <c r="T1514" s="10" t="s">
        <v>54</v>
      </c>
    </row>
    <row r="1515" spans="1:20" ht="14.5" x14ac:dyDescent="0.35">
      <c r="A1515" s="10" t="s">
        <v>12875</v>
      </c>
      <c r="B1515" s="10" t="str">
        <f>"9780805840780"</f>
        <v>9780805840780</v>
      </c>
      <c r="C1515" s="10" t="str">
        <f>"9781410606839"</f>
        <v>9781410606839</v>
      </c>
      <c r="D1515" s="10" t="s">
        <v>6350</v>
      </c>
      <c r="E1515" s="10" t="s">
        <v>6351</v>
      </c>
      <c r="F1515" s="10" t="s">
        <v>4325</v>
      </c>
      <c r="G1515" s="10" t="s">
        <v>6317</v>
      </c>
      <c r="H1515" s="11">
        <v>37561</v>
      </c>
      <c r="I1515" s="10">
        <v>2002</v>
      </c>
      <c r="J1515" s="10" t="s">
        <v>6353</v>
      </c>
      <c r="K1515" s="10">
        <v>239</v>
      </c>
      <c r="L1515" s="10" t="s">
        <v>12876</v>
      </c>
      <c r="M1515" s="10">
        <v>1</v>
      </c>
      <c r="N1515" s="10"/>
      <c r="O1515" s="10"/>
      <c r="P1515" s="10" t="s">
        <v>12877</v>
      </c>
      <c r="Q1515" s="10">
        <v>370.11599999999999</v>
      </c>
      <c r="R1515" s="10" t="s">
        <v>12878</v>
      </c>
      <c r="S1515" s="10" t="s">
        <v>53</v>
      </c>
      <c r="T1515" s="10" t="s">
        <v>54</v>
      </c>
    </row>
    <row r="1516" spans="1:20" ht="14.5" x14ac:dyDescent="0.35">
      <c r="A1516" s="10" t="s">
        <v>12879</v>
      </c>
      <c r="B1516" s="10" t="str">
        <f>"9780805836028"</f>
        <v>9780805836028</v>
      </c>
      <c r="C1516" s="10" t="str">
        <f>"9781410607140"</f>
        <v>9781410607140</v>
      </c>
      <c r="D1516" s="10" t="s">
        <v>6350</v>
      </c>
      <c r="E1516" s="10" t="s">
        <v>6351</v>
      </c>
      <c r="F1516" s="10" t="s">
        <v>4325</v>
      </c>
      <c r="G1516" s="10" t="s">
        <v>6317</v>
      </c>
      <c r="H1516" s="11">
        <v>37591</v>
      </c>
      <c r="I1516" s="10">
        <v>2002</v>
      </c>
      <c r="J1516" s="10" t="s">
        <v>6353</v>
      </c>
      <c r="K1516" s="10">
        <v>199</v>
      </c>
      <c r="L1516" s="10" t="s">
        <v>12880</v>
      </c>
      <c r="M1516" s="10">
        <v>1</v>
      </c>
      <c r="N1516" s="10"/>
      <c r="O1516" s="10"/>
      <c r="P1516" s="10" t="s">
        <v>12881</v>
      </c>
      <c r="Q1516" s="10" t="s">
        <v>8376</v>
      </c>
      <c r="R1516" s="10" t="s">
        <v>12882</v>
      </c>
      <c r="S1516" s="10" t="s">
        <v>53</v>
      </c>
      <c r="T1516" s="10" t="s">
        <v>54</v>
      </c>
    </row>
    <row r="1517" spans="1:20" ht="14.5" x14ac:dyDescent="0.35">
      <c r="A1517" s="10" t="s">
        <v>12883</v>
      </c>
      <c r="B1517" s="10" t="str">
        <f>"9781593856113"</f>
        <v>9781593856113</v>
      </c>
      <c r="C1517" s="10" t="str">
        <f>"9781606232057"</f>
        <v>9781606232057</v>
      </c>
      <c r="D1517" s="10" t="s">
        <v>11213</v>
      </c>
      <c r="E1517" s="10" t="s">
        <v>11214</v>
      </c>
      <c r="F1517" s="10" t="s">
        <v>70</v>
      </c>
      <c r="G1517" s="10" t="s">
        <v>6317</v>
      </c>
      <c r="H1517" s="11">
        <v>39413</v>
      </c>
      <c r="I1517" s="10">
        <v>2008</v>
      </c>
      <c r="J1517" s="10" t="s">
        <v>11215</v>
      </c>
      <c r="K1517" s="10">
        <v>369</v>
      </c>
      <c r="L1517" s="10" t="s">
        <v>12884</v>
      </c>
      <c r="M1517" s="10">
        <v>1</v>
      </c>
      <c r="N1517" s="10" t="s">
        <v>11221</v>
      </c>
      <c r="O1517" s="10"/>
      <c r="P1517" s="10" t="s">
        <v>12885</v>
      </c>
      <c r="Q1517" s="10">
        <v>372.6</v>
      </c>
      <c r="R1517" s="10" t="s">
        <v>12886</v>
      </c>
      <c r="S1517" s="10" t="s">
        <v>53</v>
      </c>
      <c r="T1517" s="10" t="s">
        <v>54</v>
      </c>
    </row>
    <row r="1518" spans="1:20" ht="14.5" x14ac:dyDescent="0.35">
      <c r="A1518" s="10" t="s">
        <v>12887</v>
      </c>
      <c r="B1518" s="10" t="str">
        <f>"9781593854515"</f>
        <v>9781593854515</v>
      </c>
      <c r="C1518" s="10" t="str">
        <f>"9781606231920"</f>
        <v>9781606231920</v>
      </c>
      <c r="D1518" s="10" t="s">
        <v>11213</v>
      </c>
      <c r="E1518" s="10" t="s">
        <v>11214</v>
      </c>
      <c r="F1518" s="10" t="s">
        <v>70</v>
      </c>
      <c r="G1518" s="10" t="s">
        <v>6317</v>
      </c>
      <c r="H1518" s="11">
        <v>39143</v>
      </c>
      <c r="I1518" s="10">
        <v>2007</v>
      </c>
      <c r="J1518" s="10" t="s">
        <v>11215</v>
      </c>
      <c r="K1518" s="10">
        <v>273</v>
      </c>
      <c r="L1518" s="10" t="s">
        <v>12888</v>
      </c>
      <c r="M1518" s="10">
        <v>1</v>
      </c>
      <c r="N1518" s="10" t="s">
        <v>12889</v>
      </c>
      <c r="O1518" s="10"/>
      <c r="P1518" s="10" t="s">
        <v>12890</v>
      </c>
      <c r="Q1518" s="10" t="s">
        <v>12891</v>
      </c>
      <c r="R1518" s="10" t="s">
        <v>12892</v>
      </c>
      <c r="S1518" s="10" t="s">
        <v>53</v>
      </c>
      <c r="T1518" s="10" t="s">
        <v>54</v>
      </c>
    </row>
    <row r="1519" spans="1:20" ht="14.5" x14ac:dyDescent="0.35">
      <c r="A1519" s="10" t="s">
        <v>12893</v>
      </c>
      <c r="B1519" s="10" t="str">
        <f>"9781593851842"</f>
        <v>9781593851842</v>
      </c>
      <c r="C1519" s="10" t="str">
        <f>"9781606231371"</f>
        <v>9781606231371</v>
      </c>
      <c r="D1519" s="10" t="s">
        <v>11213</v>
      </c>
      <c r="E1519" s="10" t="s">
        <v>11214</v>
      </c>
      <c r="F1519" s="10" t="s">
        <v>70</v>
      </c>
      <c r="G1519" s="10" t="s">
        <v>6317</v>
      </c>
      <c r="H1519" s="11">
        <v>38701</v>
      </c>
      <c r="I1519" s="10">
        <v>2006</v>
      </c>
      <c r="J1519" s="10" t="s">
        <v>11215</v>
      </c>
      <c r="K1519" s="10">
        <v>489</v>
      </c>
      <c r="L1519" s="10" t="s">
        <v>12894</v>
      </c>
      <c r="M1519" s="10">
        <v>1</v>
      </c>
      <c r="N1519" s="10"/>
      <c r="O1519" s="10"/>
      <c r="P1519" s="10" t="s">
        <v>12895</v>
      </c>
      <c r="Q1519" s="10">
        <v>372.6</v>
      </c>
      <c r="R1519" s="10" t="s">
        <v>12896</v>
      </c>
      <c r="S1519" s="10" t="s">
        <v>53</v>
      </c>
      <c r="T1519" s="10" t="s">
        <v>8755</v>
      </c>
    </row>
    <row r="1520" spans="1:20" ht="14.5" x14ac:dyDescent="0.35">
      <c r="A1520" s="10" t="s">
        <v>12897</v>
      </c>
      <c r="B1520" s="10" t="str">
        <f>"9781593853075"</f>
        <v>9781593853075</v>
      </c>
      <c r="C1520" s="10" t="str">
        <f>"9781606232309"</f>
        <v>9781606232309</v>
      </c>
      <c r="D1520" s="10" t="s">
        <v>11213</v>
      </c>
      <c r="E1520" s="10" t="s">
        <v>11214</v>
      </c>
      <c r="F1520" s="10" t="s">
        <v>70</v>
      </c>
      <c r="G1520" s="10" t="s">
        <v>6317</v>
      </c>
      <c r="H1520" s="11">
        <v>38891</v>
      </c>
      <c r="I1520" s="10">
        <v>2006</v>
      </c>
      <c r="J1520" s="10" t="s">
        <v>11215</v>
      </c>
      <c r="K1520" s="10">
        <v>193</v>
      </c>
      <c r="L1520" s="10" t="s">
        <v>12898</v>
      </c>
      <c r="M1520" s="10">
        <v>1</v>
      </c>
      <c r="N1520" s="10" t="s">
        <v>11708</v>
      </c>
      <c r="O1520" s="10"/>
      <c r="P1520" s="10" t="s">
        <v>12899</v>
      </c>
      <c r="Q1520" s="10" t="s">
        <v>12900</v>
      </c>
      <c r="R1520" s="10" t="s">
        <v>12901</v>
      </c>
      <c r="S1520" s="10" t="s">
        <v>53</v>
      </c>
      <c r="T1520" s="10" t="s">
        <v>6448</v>
      </c>
    </row>
    <row r="1521" spans="1:20" ht="14.5" x14ac:dyDescent="0.35">
      <c r="A1521" s="10" t="s">
        <v>12902</v>
      </c>
      <c r="B1521" s="10" t="str">
        <f>"9781593855987"</f>
        <v>9781593855987</v>
      </c>
      <c r="C1521" s="10" t="str">
        <f>"9781606232323"</f>
        <v>9781606232323</v>
      </c>
      <c r="D1521" s="10" t="s">
        <v>11213</v>
      </c>
      <c r="E1521" s="10" t="s">
        <v>11214</v>
      </c>
      <c r="F1521" s="10" t="s">
        <v>70</v>
      </c>
      <c r="G1521" s="10" t="s">
        <v>6317</v>
      </c>
      <c r="H1521" s="11">
        <v>39401</v>
      </c>
      <c r="I1521" s="10">
        <v>2008</v>
      </c>
      <c r="J1521" s="10" t="s">
        <v>11215</v>
      </c>
      <c r="K1521" s="10">
        <v>193</v>
      </c>
      <c r="L1521" s="10" t="s">
        <v>12903</v>
      </c>
      <c r="M1521" s="10">
        <v>1</v>
      </c>
      <c r="N1521" s="10" t="s">
        <v>11221</v>
      </c>
      <c r="O1521" s="10"/>
      <c r="P1521" s="10" t="s">
        <v>12904</v>
      </c>
      <c r="Q1521" s="10">
        <v>372.41</v>
      </c>
      <c r="R1521" s="10" t="s">
        <v>12905</v>
      </c>
      <c r="S1521" s="10" t="s">
        <v>53</v>
      </c>
      <c r="T1521" s="10" t="s">
        <v>54</v>
      </c>
    </row>
    <row r="1522" spans="1:20" ht="14.5" x14ac:dyDescent="0.35">
      <c r="A1522" s="10" t="s">
        <v>12906</v>
      </c>
      <c r="B1522" s="10" t="str">
        <f>"9780253351401"</f>
        <v>9780253351401</v>
      </c>
      <c r="C1522" s="10" t="str">
        <f>"9780253000309"</f>
        <v>9780253000309</v>
      </c>
      <c r="D1522" s="10" t="s">
        <v>2455</v>
      </c>
      <c r="E1522" s="10" t="s">
        <v>2455</v>
      </c>
      <c r="F1522" s="10" t="s">
        <v>3101</v>
      </c>
      <c r="G1522" s="10" t="s">
        <v>6317</v>
      </c>
      <c r="H1522" s="11">
        <v>39631</v>
      </c>
      <c r="I1522" s="10">
        <v>2008</v>
      </c>
      <c r="J1522" s="10" t="s">
        <v>2455</v>
      </c>
      <c r="K1522" s="10">
        <v>369</v>
      </c>
      <c r="L1522" s="10" t="s">
        <v>12907</v>
      </c>
      <c r="M1522" s="10">
        <v>1</v>
      </c>
      <c r="N1522" s="10"/>
      <c r="O1522" s="10"/>
      <c r="P1522" s="10" t="s">
        <v>12908</v>
      </c>
      <c r="Q1522" s="10" t="s">
        <v>12909</v>
      </c>
      <c r="R1522" s="10" t="s">
        <v>12910</v>
      </c>
      <c r="S1522" s="10" t="s">
        <v>53</v>
      </c>
      <c r="T1522" s="10" t="s">
        <v>6534</v>
      </c>
    </row>
    <row r="1523" spans="1:20" ht="14.5" x14ac:dyDescent="0.35">
      <c r="A1523" s="10" t="s">
        <v>12911</v>
      </c>
      <c r="B1523" s="10" t="str">
        <f>"9780415962582"</f>
        <v>9780415962582</v>
      </c>
      <c r="C1523" s="10" t="str">
        <f>"9780203888629"</f>
        <v>9780203888629</v>
      </c>
      <c r="D1523" s="10" t="s">
        <v>6350</v>
      </c>
      <c r="E1523" s="10" t="s">
        <v>6351</v>
      </c>
      <c r="F1523" s="10" t="s">
        <v>139</v>
      </c>
      <c r="G1523" s="10" t="s">
        <v>6352</v>
      </c>
      <c r="H1523" s="11">
        <v>39772</v>
      </c>
      <c r="I1523" s="10">
        <v>2009</v>
      </c>
      <c r="J1523" s="10" t="s">
        <v>6353</v>
      </c>
      <c r="K1523" s="10">
        <v>292</v>
      </c>
      <c r="L1523" s="10" t="s">
        <v>12912</v>
      </c>
      <c r="M1523" s="10">
        <v>1</v>
      </c>
      <c r="N1523" s="10"/>
      <c r="O1523" s="10"/>
      <c r="P1523" s="10" t="s">
        <v>12913</v>
      </c>
      <c r="Q1523" s="10">
        <v>378.73</v>
      </c>
      <c r="R1523" s="10" t="s">
        <v>12914</v>
      </c>
      <c r="S1523" s="10" t="s">
        <v>53</v>
      </c>
      <c r="T1523" s="10" t="s">
        <v>54</v>
      </c>
    </row>
    <row r="1524" spans="1:20" ht="14.5" x14ac:dyDescent="0.35">
      <c r="A1524" s="10" t="s">
        <v>12915</v>
      </c>
      <c r="B1524" s="10" t="str">
        <f>"9780805840629"</f>
        <v>9780805840629</v>
      </c>
      <c r="C1524" s="10" t="str">
        <f>"9781410606655"</f>
        <v>9781410606655</v>
      </c>
      <c r="D1524" s="10" t="s">
        <v>6350</v>
      </c>
      <c r="E1524" s="10" t="s">
        <v>6351</v>
      </c>
      <c r="F1524" s="10" t="s">
        <v>748</v>
      </c>
      <c r="G1524" s="10" t="s">
        <v>6352</v>
      </c>
      <c r="H1524" s="11">
        <v>37438</v>
      </c>
      <c r="I1524" s="10">
        <v>2002</v>
      </c>
      <c r="J1524" s="10" t="s">
        <v>6351</v>
      </c>
      <c r="K1524" s="10">
        <v>289</v>
      </c>
      <c r="L1524" s="10" t="s">
        <v>12916</v>
      </c>
      <c r="M1524" s="10">
        <v>2</v>
      </c>
      <c r="N1524" s="10"/>
      <c r="O1524" s="10"/>
      <c r="P1524" s="10" t="s">
        <v>12917</v>
      </c>
      <c r="Q1524" s="10" t="s">
        <v>12918</v>
      </c>
      <c r="R1524" s="10" t="s">
        <v>12919</v>
      </c>
      <c r="S1524" s="10" t="s">
        <v>53</v>
      </c>
      <c r="T1524" s="10" t="s">
        <v>12015</v>
      </c>
    </row>
    <row r="1525" spans="1:20" ht="14.5" x14ac:dyDescent="0.35">
      <c r="A1525" s="10" t="s">
        <v>12920</v>
      </c>
      <c r="B1525" s="10" t="str">
        <f>"9781843106814"</f>
        <v>9781843106814</v>
      </c>
      <c r="C1525" s="10" t="str">
        <f>"9781846428500"</f>
        <v>9781846428500</v>
      </c>
      <c r="D1525" s="10" t="s">
        <v>10516</v>
      </c>
      <c r="E1525" s="10" t="s">
        <v>10516</v>
      </c>
      <c r="F1525" s="10" t="s">
        <v>139</v>
      </c>
      <c r="G1525" s="10" t="s">
        <v>6352</v>
      </c>
      <c r="H1525" s="11">
        <v>39706</v>
      </c>
      <c r="I1525" s="10">
        <v>2008</v>
      </c>
      <c r="J1525" s="10" t="s">
        <v>10516</v>
      </c>
      <c r="K1525" s="10">
        <v>224</v>
      </c>
      <c r="L1525" s="10" t="s">
        <v>12921</v>
      </c>
      <c r="M1525" s="10">
        <v>1</v>
      </c>
      <c r="N1525" s="10" t="s">
        <v>12922</v>
      </c>
      <c r="O1525" s="10"/>
      <c r="P1525" s="10" t="s">
        <v>12923</v>
      </c>
      <c r="Q1525" s="10">
        <v>371.94094100000001</v>
      </c>
      <c r="R1525" s="10" t="s">
        <v>12924</v>
      </c>
      <c r="S1525" s="10" t="s">
        <v>53</v>
      </c>
      <c r="T1525" s="10" t="s">
        <v>54</v>
      </c>
    </row>
    <row r="1526" spans="1:20" ht="14.5" x14ac:dyDescent="0.35">
      <c r="A1526" s="10" t="s">
        <v>12925</v>
      </c>
      <c r="B1526" s="10" t="str">
        <f>"9781843106647"</f>
        <v>9781843106647</v>
      </c>
      <c r="C1526" s="10" t="str">
        <f>"9781846428340"</f>
        <v>9781846428340</v>
      </c>
      <c r="D1526" s="10" t="s">
        <v>10516</v>
      </c>
      <c r="E1526" s="10" t="s">
        <v>10516</v>
      </c>
      <c r="F1526" s="10" t="s">
        <v>139</v>
      </c>
      <c r="G1526" s="10" t="s">
        <v>6352</v>
      </c>
      <c r="H1526" s="11">
        <v>39675</v>
      </c>
      <c r="I1526" s="10">
        <v>2008</v>
      </c>
      <c r="J1526" s="10" t="s">
        <v>10516</v>
      </c>
      <c r="K1526" s="10">
        <v>130</v>
      </c>
      <c r="L1526" s="10" t="s">
        <v>12926</v>
      </c>
      <c r="M1526" s="10">
        <v>1</v>
      </c>
      <c r="N1526" s="10"/>
      <c r="O1526" s="10"/>
      <c r="P1526" s="10" t="s">
        <v>12927</v>
      </c>
      <c r="Q1526" s="10">
        <v>371.94</v>
      </c>
      <c r="R1526" s="10" t="s">
        <v>12928</v>
      </c>
      <c r="S1526" s="10" t="s">
        <v>53</v>
      </c>
      <c r="T1526" s="10" t="s">
        <v>54</v>
      </c>
    </row>
    <row r="1527" spans="1:20" ht="14.5" x14ac:dyDescent="0.35">
      <c r="A1527" s="10" t="s">
        <v>12929</v>
      </c>
      <c r="B1527" s="10" t="str">
        <f>"9781843106173"</f>
        <v>9781843106173</v>
      </c>
      <c r="C1527" s="10" t="str">
        <f>"9781846428364"</f>
        <v>9781846428364</v>
      </c>
      <c r="D1527" s="10" t="s">
        <v>10516</v>
      </c>
      <c r="E1527" s="10" t="s">
        <v>10516</v>
      </c>
      <c r="F1527" s="10" t="s">
        <v>139</v>
      </c>
      <c r="G1527" s="10" t="s">
        <v>6352</v>
      </c>
      <c r="H1527" s="11">
        <v>39675</v>
      </c>
      <c r="I1527" s="10">
        <v>2008</v>
      </c>
      <c r="J1527" s="10" t="s">
        <v>10516</v>
      </c>
      <c r="K1527" s="10">
        <v>180</v>
      </c>
      <c r="L1527" s="10" t="s">
        <v>12930</v>
      </c>
      <c r="M1527" s="10">
        <v>1</v>
      </c>
      <c r="N1527" s="10"/>
      <c r="O1527" s="10"/>
      <c r="P1527" s="10" t="s">
        <v>12931</v>
      </c>
      <c r="Q1527" s="10">
        <v>372.82</v>
      </c>
      <c r="R1527" s="10"/>
      <c r="S1527" s="10" t="s">
        <v>53</v>
      </c>
      <c r="T1527" s="10" t="s">
        <v>6526</v>
      </c>
    </row>
    <row r="1528" spans="1:20" ht="14.5" x14ac:dyDescent="0.35">
      <c r="A1528" s="10" t="s">
        <v>12932</v>
      </c>
      <c r="B1528" s="10" t="str">
        <f>"9780470725399"</f>
        <v>9780470725399</v>
      </c>
      <c r="C1528" s="10" t="str">
        <f>"9780470715680"</f>
        <v>9780470715680</v>
      </c>
      <c r="D1528" s="10" t="s">
        <v>6322</v>
      </c>
      <c r="E1528" s="10" t="s">
        <v>6323</v>
      </c>
      <c r="F1528" s="10" t="s">
        <v>70</v>
      </c>
      <c r="G1528" s="10" t="s">
        <v>6352</v>
      </c>
      <c r="H1528" s="11">
        <v>39776</v>
      </c>
      <c r="I1528" s="10">
        <v>2008</v>
      </c>
      <c r="J1528" s="10" t="s">
        <v>6323</v>
      </c>
      <c r="K1528" s="10">
        <v>196</v>
      </c>
      <c r="L1528" s="10" t="s">
        <v>12933</v>
      </c>
      <c r="M1528" s="10">
        <v>1</v>
      </c>
      <c r="N1528" s="10"/>
      <c r="O1528" s="10"/>
      <c r="P1528" s="10" t="s">
        <v>12934</v>
      </c>
      <c r="Q1528" s="10">
        <v>371.95</v>
      </c>
      <c r="R1528" s="10" t="s">
        <v>12935</v>
      </c>
      <c r="S1528" s="10" t="s">
        <v>53</v>
      </c>
      <c r="T1528" s="10" t="s">
        <v>54</v>
      </c>
    </row>
    <row r="1529" spans="1:20" ht="14.5" x14ac:dyDescent="0.35">
      <c r="A1529" s="10" t="s">
        <v>12936</v>
      </c>
      <c r="B1529" s="10" t="str">
        <f>"9780805864717"</f>
        <v>9780805864717</v>
      </c>
      <c r="C1529" s="10" t="str">
        <f>"9780203357217"</f>
        <v>9780203357217</v>
      </c>
      <c r="D1529" s="10" t="s">
        <v>6350</v>
      </c>
      <c r="E1529" s="10" t="s">
        <v>6351</v>
      </c>
      <c r="F1529" s="10" t="s">
        <v>70</v>
      </c>
      <c r="G1529" s="10" t="s">
        <v>6317</v>
      </c>
      <c r="H1529" s="11">
        <v>39778</v>
      </c>
      <c r="I1529" s="10">
        <v>2008</v>
      </c>
      <c r="J1529" s="10" t="s">
        <v>6353</v>
      </c>
      <c r="K1529" s="10">
        <v>371</v>
      </c>
      <c r="L1529" s="10" t="s">
        <v>12937</v>
      </c>
      <c r="M1529" s="10">
        <v>1</v>
      </c>
      <c r="N1529" s="10"/>
      <c r="O1529" s="10"/>
      <c r="P1529" s="10" t="s">
        <v>12938</v>
      </c>
      <c r="Q1529" s="10">
        <v>371.33</v>
      </c>
      <c r="R1529" s="10" t="s">
        <v>12939</v>
      </c>
      <c r="S1529" s="10" t="s">
        <v>53</v>
      </c>
      <c r="T1529" s="10" t="s">
        <v>54</v>
      </c>
    </row>
    <row r="1530" spans="1:20" ht="14.5" x14ac:dyDescent="0.35">
      <c r="A1530" s="10" t="s">
        <v>12940</v>
      </c>
      <c r="B1530" s="10" t="str">
        <f>""</f>
        <v/>
      </c>
      <c r="C1530" s="10" t="str">
        <f>"9781889057538"</f>
        <v>9781889057538</v>
      </c>
      <c r="D1530" s="10" t="s">
        <v>6315</v>
      </c>
      <c r="E1530" s="10" t="s">
        <v>6315</v>
      </c>
      <c r="F1530" s="10" t="s">
        <v>12941</v>
      </c>
      <c r="G1530" s="10" t="s">
        <v>6317</v>
      </c>
      <c r="H1530" s="11">
        <v>37104</v>
      </c>
      <c r="I1530" s="10">
        <v>2001</v>
      </c>
      <c r="J1530" s="10" t="s">
        <v>6315</v>
      </c>
      <c r="K1530" s="10">
        <v>528</v>
      </c>
      <c r="L1530" s="10" t="s">
        <v>12942</v>
      </c>
      <c r="M1530" s="10">
        <v>1</v>
      </c>
      <c r="N1530" s="10"/>
      <c r="O1530" s="10"/>
      <c r="P1530" s="10" t="s">
        <v>12943</v>
      </c>
      <c r="Q1530" s="10">
        <v>650.07600000000002</v>
      </c>
      <c r="R1530" s="10" t="s">
        <v>12944</v>
      </c>
      <c r="S1530" s="10" t="s">
        <v>53</v>
      </c>
      <c r="T1530" s="10" t="s">
        <v>12945</v>
      </c>
    </row>
    <row r="1531" spans="1:20" ht="14.5" x14ac:dyDescent="0.35">
      <c r="A1531" s="10" t="s">
        <v>12946</v>
      </c>
      <c r="B1531" s="10" t="str">
        <f>"9781416607137"</f>
        <v>9781416607137</v>
      </c>
      <c r="C1531" s="10" t="str">
        <f>"9781416608295"</f>
        <v>9781416608295</v>
      </c>
      <c r="D1531" s="10" t="s">
        <v>10014</v>
      </c>
      <c r="E1531" s="10" t="s">
        <v>10015</v>
      </c>
      <c r="F1531" s="10" t="s">
        <v>201</v>
      </c>
      <c r="G1531" s="10" t="s">
        <v>6317</v>
      </c>
      <c r="H1531" s="11">
        <v>39751</v>
      </c>
      <c r="I1531" s="10">
        <v>2008</v>
      </c>
      <c r="J1531" s="10" t="s">
        <v>10015</v>
      </c>
      <c r="K1531" s="10">
        <v>226</v>
      </c>
      <c r="L1531" s="10" t="s">
        <v>12947</v>
      </c>
      <c r="M1531" s="10">
        <v>1</v>
      </c>
      <c r="N1531" s="10"/>
      <c r="O1531" s="10"/>
      <c r="P1531" s="10" t="s">
        <v>12948</v>
      </c>
      <c r="Q1531" s="10">
        <v>371.3</v>
      </c>
      <c r="R1531" s="10"/>
      <c r="S1531" s="10" t="s">
        <v>53</v>
      </c>
      <c r="T1531" s="10" t="s">
        <v>54</v>
      </c>
    </row>
    <row r="1532" spans="1:20" ht="14.5" x14ac:dyDescent="0.35">
      <c r="A1532" s="10" t="s">
        <v>12949</v>
      </c>
      <c r="B1532" s="10" t="str">
        <f>"9781416607465"</f>
        <v>9781416607465</v>
      </c>
      <c r="C1532" s="10" t="str">
        <f>"9781416608486"</f>
        <v>9781416608486</v>
      </c>
      <c r="D1532" s="10" t="s">
        <v>10014</v>
      </c>
      <c r="E1532" s="10" t="s">
        <v>10015</v>
      </c>
      <c r="F1532" s="10" t="s">
        <v>201</v>
      </c>
      <c r="G1532" s="10" t="s">
        <v>6317</v>
      </c>
      <c r="H1532" s="11">
        <v>39755</v>
      </c>
      <c r="I1532" s="10">
        <v>2008</v>
      </c>
      <c r="J1532" s="10" t="s">
        <v>10014</v>
      </c>
      <c r="K1532" s="10">
        <v>268</v>
      </c>
      <c r="L1532" s="10" t="s">
        <v>12950</v>
      </c>
      <c r="M1532" s="10">
        <v>3</v>
      </c>
      <c r="N1532" s="10"/>
      <c r="O1532" s="10"/>
      <c r="P1532" s="10" t="s">
        <v>12951</v>
      </c>
      <c r="Q1532" s="10">
        <v>371.5</v>
      </c>
      <c r="R1532" s="10" t="s">
        <v>12952</v>
      </c>
      <c r="S1532" s="10" t="s">
        <v>53</v>
      </c>
      <c r="T1532" s="10" t="s">
        <v>54</v>
      </c>
    </row>
    <row r="1533" spans="1:20" ht="14.5" x14ac:dyDescent="0.35">
      <c r="A1533" s="10" t="s">
        <v>12953</v>
      </c>
      <c r="B1533" s="10" t="str">
        <f>"9780335221684"</f>
        <v>9780335221684</v>
      </c>
      <c r="C1533" s="10" t="str">
        <f>"9780335236374"</f>
        <v>9780335236374</v>
      </c>
      <c r="D1533" s="10" t="s">
        <v>10342</v>
      </c>
      <c r="E1533" s="10" t="s">
        <v>10343</v>
      </c>
      <c r="F1533" s="10" t="s">
        <v>10344</v>
      </c>
      <c r="G1533" s="10" t="s">
        <v>6352</v>
      </c>
      <c r="H1533" s="11">
        <v>39630</v>
      </c>
      <c r="I1533" s="10">
        <v>2008</v>
      </c>
      <c r="J1533" s="10" t="s">
        <v>10345</v>
      </c>
      <c r="K1533" s="10">
        <v>179</v>
      </c>
      <c r="L1533" s="10" t="s">
        <v>12954</v>
      </c>
      <c r="M1533" s="10">
        <v>1</v>
      </c>
      <c r="N1533" s="10" t="s">
        <v>12955</v>
      </c>
      <c r="O1533" s="10"/>
      <c r="P1533" s="10" t="s">
        <v>12956</v>
      </c>
      <c r="Q1533" s="10">
        <v>372.21</v>
      </c>
      <c r="R1533" s="10"/>
      <c r="S1533" s="10" t="s">
        <v>53</v>
      </c>
      <c r="T1533" s="10" t="s">
        <v>54</v>
      </c>
    </row>
    <row r="1534" spans="1:20" ht="14.5" x14ac:dyDescent="0.35">
      <c r="A1534" s="10" t="s">
        <v>12957</v>
      </c>
      <c r="B1534" s="10" t="str">
        <f>"9780335234141"</f>
        <v>9780335234141</v>
      </c>
      <c r="C1534" s="10" t="str">
        <f>"9780335236398"</f>
        <v>9780335236398</v>
      </c>
      <c r="D1534" s="10" t="s">
        <v>10342</v>
      </c>
      <c r="E1534" s="10" t="s">
        <v>10343</v>
      </c>
      <c r="F1534" s="10" t="s">
        <v>10344</v>
      </c>
      <c r="G1534" s="10" t="s">
        <v>6352</v>
      </c>
      <c r="H1534" s="11">
        <v>39630</v>
      </c>
      <c r="I1534" s="10">
        <v>2008</v>
      </c>
      <c r="J1534" s="10" t="s">
        <v>10345</v>
      </c>
      <c r="K1534" s="10">
        <v>236</v>
      </c>
      <c r="L1534" s="10" t="s">
        <v>12958</v>
      </c>
      <c r="M1534" s="10">
        <v>1</v>
      </c>
      <c r="N1534" s="10" t="s">
        <v>10347</v>
      </c>
      <c r="O1534" s="10"/>
      <c r="P1534" s="10" t="s">
        <v>12959</v>
      </c>
      <c r="Q1534" s="10">
        <v>378.17028099999999</v>
      </c>
      <c r="R1534" s="10"/>
      <c r="S1534" s="10" t="s">
        <v>53</v>
      </c>
      <c r="T1534" s="10" t="s">
        <v>54</v>
      </c>
    </row>
    <row r="1535" spans="1:20" ht="14.5" x14ac:dyDescent="0.35">
      <c r="A1535" s="10" t="s">
        <v>12960</v>
      </c>
      <c r="B1535" s="10" t="str">
        <f>"9780335228768"</f>
        <v>9780335228768</v>
      </c>
      <c r="C1535" s="10" t="str">
        <f>"9780335236404"</f>
        <v>9780335236404</v>
      </c>
      <c r="D1535" s="10" t="s">
        <v>10342</v>
      </c>
      <c r="E1535" s="10" t="s">
        <v>10343</v>
      </c>
      <c r="F1535" s="10" t="s">
        <v>10344</v>
      </c>
      <c r="G1535" s="10" t="s">
        <v>6352</v>
      </c>
      <c r="H1535" s="11">
        <v>39661</v>
      </c>
      <c r="I1535" s="10">
        <v>2008</v>
      </c>
      <c r="J1535" s="10" t="s">
        <v>10345</v>
      </c>
      <c r="K1535" s="10">
        <v>194</v>
      </c>
      <c r="L1535" s="10" t="s">
        <v>12961</v>
      </c>
      <c r="M1535" s="10">
        <v>1</v>
      </c>
      <c r="N1535" s="10" t="s">
        <v>10347</v>
      </c>
      <c r="O1535" s="10"/>
      <c r="P1535" s="10" t="s">
        <v>12962</v>
      </c>
      <c r="Q1535" s="10"/>
      <c r="R1535" s="10"/>
      <c r="S1535" s="10" t="s">
        <v>53</v>
      </c>
      <c r="T1535" s="10" t="s">
        <v>54</v>
      </c>
    </row>
    <row r="1536" spans="1:20" ht="14.5" x14ac:dyDescent="0.35">
      <c r="A1536" s="10" t="s">
        <v>12963</v>
      </c>
      <c r="B1536" s="10" t="str">
        <f>"9780335226702"</f>
        <v>9780335226702</v>
      </c>
      <c r="C1536" s="10" t="str">
        <f>"9780335236435"</f>
        <v>9780335236435</v>
      </c>
      <c r="D1536" s="10" t="s">
        <v>10342</v>
      </c>
      <c r="E1536" s="10" t="s">
        <v>10343</v>
      </c>
      <c r="F1536" s="10" t="s">
        <v>10344</v>
      </c>
      <c r="G1536" s="10" t="s">
        <v>6352</v>
      </c>
      <c r="H1536" s="11">
        <v>39630</v>
      </c>
      <c r="I1536" s="10">
        <v>2008</v>
      </c>
      <c r="J1536" s="10" t="s">
        <v>10345</v>
      </c>
      <c r="K1536" s="10">
        <v>292</v>
      </c>
      <c r="L1536" s="10" t="s">
        <v>12964</v>
      </c>
      <c r="M1536" s="10">
        <v>1</v>
      </c>
      <c r="N1536" s="10" t="s">
        <v>10347</v>
      </c>
      <c r="O1536" s="10"/>
      <c r="P1536" s="10" t="s">
        <v>12965</v>
      </c>
      <c r="Q1536" s="10"/>
      <c r="R1536" s="10"/>
      <c r="S1536" s="10" t="s">
        <v>53</v>
      </c>
      <c r="T1536" s="10" t="s">
        <v>54</v>
      </c>
    </row>
    <row r="1537" spans="1:20" ht="14.5" x14ac:dyDescent="0.35">
      <c r="A1537" s="10" t="s">
        <v>12966</v>
      </c>
      <c r="B1537" s="10" t="str">
        <f>"9780335222223"</f>
        <v>9780335222223</v>
      </c>
      <c r="C1537" s="10" t="str">
        <f>"9780335236459"</f>
        <v>9780335236459</v>
      </c>
      <c r="D1537" s="10" t="s">
        <v>10342</v>
      </c>
      <c r="E1537" s="10" t="s">
        <v>10343</v>
      </c>
      <c r="F1537" s="10" t="s">
        <v>10344</v>
      </c>
      <c r="G1537" s="10" t="s">
        <v>6352</v>
      </c>
      <c r="H1537" s="11">
        <v>39661</v>
      </c>
      <c r="I1537" s="10">
        <v>2008</v>
      </c>
      <c r="J1537" s="10" t="s">
        <v>10345</v>
      </c>
      <c r="K1537" s="10">
        <v>199</v>
      </c>
      <c r="L1537" s="10" t="s">
        <v>12967</v>
      </c>
      <c r="M1537" s="10">
        <v>1</v>
      </c>
      <c r="N1537" s="10" t="s">
        <v>10408</v>
      </c>
      <c r="O1537" s="10"/>
      <c r="P1537" s="10" t="s">
        <v>12968</v>
      </c>
      <c r="Q1537" s="10"/>
      <c r="R1537" s="10"/>
      <c r="S1537" s="10" t="s">
        <v>53</v>
      </c>
      <c r="T1537" s="10" t="s">
        <v>483</v>
      </c>
    </row>
    <row r="1538" spans="1:20" ht="14.5" x14ac:dyDescent="0.35">
      <c r="A1538" s="10" t="s">
        <v>12969</v>
      </c>
      <c r="B1538" s="10" t="str">
        <f>"9780335234295"</f>
        <v>9780335234295</v>
      </c>
      <c r="C1538" s="10" t="str">
        <f>"9780335236480"</f>
        <v>9780335236480</v>
      </c>
      <c r="D1538" s="10" t="s">
        <v>10342</v>
      </c>
      <c r="E1538" s="10" t="s">
        <v>10343</v>
      </c>
      <c r="F1538" s="10" t="s">
        <v>10344</v>
      </c>
      <c r="G1538" s="10" t="s">
        <v>6352</v>
      </c>
      <c r="H1538" s="11">
        <v>39630</v>
      </c>
      <c r="I1538" s="10">
        <v>2008</v>
      </c>
      <c r="J1538" s="10" t="s">
        <v>10345</v>
      </c>
      <c r="K1538" s="10">
        <v>248</v>
      </c>
      <c r="L1538" s="10" t="s">
        <v>12970</v>
      </c>
      <c r="M1538" s="10">
        <v>1</v>
      </c>
      <c r="N1538" s="10"/>
      <c r="O1538" s="10"/>
      <c r="P1538" s="10" t="s">
        <v>12971</v>
      </c>
      <c r="Q1538" s="10">
        <v>378.17331999999999</v>
      </c>
      <c r="R1538" s="10"/>
      <c r="S1538" s="10" t="s">
        <v>53</v>
      </c>
      <c r="T1538" s="10" t="s">
        <v>54</v>
      </c>
    </row>
    <row r="1539" spans="1:20" ht="14.5" x14ac:dyDescent="0.35">
      <c r="A1539" s="10" t="s">
        <v>12972</v>
      </c>
      <c r="B1539" s="10" t="str">
        <f>"9780868408637"</f>
        <v>9780868408637</v>
      </c>
      <c r="C1539" s="10" t="str">
        <f>"9781742230207"</f>
        <v>9781742230207</v>
      </c>
      <c r="D1539" s="10" t="s">
        <v>12973</v>
      </c>
      <c r="E1539" s="10" t="s">
        <v>12974</v>
      </c>
      <c r="F1539" s="10" t="s">
        <v>674</v>
      </c>
      <c r="G1539" s="10" t="s">
        <v>12975</v>
      </c>
      <c r="H1539" s="11">
        <v>39142</v>
      </c>
      <c r="I1539" s="10">
        <v>2008</v>
      </c>
      <c r="J1539" s="10" t="s">
        <v>12976</v>
      </c>
      <c r="K1539" s="10">
        <v>188</v>
      </c>
      <c r="L1539" s="10" t="s">
        <v>12977</v>
      </c>
      <c r="M1539" s="10">
        <v>1</v>
      </c>
      <c r="N1539" s="10"/>
      <c r="O1539" s="10"/>
      <c r="P1539" s="10" t="s">
        <v>12978</v>
      </c>
      <c r="Q1539" s="10" t="s">
        <v>12979</v>
      </c>
      <c r="R1539" s="10" t="s">
        <v>12980</v>
      </c>
      <c r="S1539" s="10" t="s">
        <v>53</v>
      </c>
      <c r="T1539" s="10" t="s">
        <v>9857</v>
      </c>
    </row>
    <row r="1540" spans="1:20" ht="14.5" x14ac:dyDescent="0.35">
      <c r="A1540" s="10" t="s">
        <v>12981</v>
      </c>
      <c r="B1540" s="10" t="str">
        <f>"9781412929387"</f>
        <v>9781412929387</v>
      </c>
      <c r="C1540" s="10" t="str">
        <f>"9781848607538"</f>
        <v>9781848607538</v>
      </c>
      <c r="D1540" s="10" t="s">
        <v>9325</v>
      </c>
      <c r="E1540" s="10" t="s">
        <v>9326</v>
      </c>
      <c r="F1540" s="10" t="s">
        <v>139</v>
      </c>
      <c r="G1540" s="10" t="s">
        <v>6352</v>
      </c>
      <c r="H1540" s="11">
        <v>39349</v>
      </c>
      <c r="I1540" s="10">
        <v>2007</v>
      </c>
      <c r="J1540" s="10" t="s">
        <v>9326</v>
      </c>
      <c r="K1540" s="10">
        <v>129</v>
      </c>
      <c r="L1540" s="10" t="s">
        <v>12982</v>
      </c>
      <c r="M1540" s="10">
        <v>1</v>
      </c>
      <c r="N1540" s="10"/>
      <c r="O1540" s="10"/>
      <c r="P1540" s="10" t="s">
        <v>12983</v>
      </c>
      <c r="Q1540" s="10">
        <v>371.90940999999998</v>
      </c>
      <c r="R1540" s="10" t="s">
        <v>12984</v>
      </c>
      <c r="S1540" s="10" t="s">
        <v>53</v>
      </c>
      <c r="T1540" s="10" t="s">
        <v>54</v>
      </c>
    </row>
    <row r="1541" spans="1:20" ht="14.5" x14ac:dyDescent="0.35">
      <c r="A1541" s="10" t="s">
        <v>12985</v>
      </c>
      <c r="B1541" s="10" t="str">
        <f>"9781412923811"</f>
        <v>9781412923811</v>
      </c>
      <c r="C1541" s="10" t="str">
        <f>"9781848607545"</f>
        <v>9781848607545</v>
      </c>
      <c r="D1541" s="10" t="s">
        <v>9325</v>
      </c>
      <c r="E1541" s="10" t="s">
        <v>9326</v>
      </c>
      <c r="F1541" s="10" t="s">
        <v>139</v>
      </c>
      <c r="G1541" s="10" t="s">
        <v>6352</v>
      </c>
      <c r="H1541" s="11">
        <v>39370</v>
      </c>
      <c r="I1541" s="10">
        <v>2007</v>
      </c>
      <c r="J1541" s="10" t="s">
        <v>9326</v>
      </c>
      <c r="K1541" s="10">
        <v>169</v>
      </c>
      <c r="L1541" s="10" t="s">
        <v>12986</v>
      </c>
      <c r="M1541" s="10">
        <v>1</v>
      </c>
      <c r="N1541" s="10"/>
      <c r="O1541" s="10"/>
      <c r="P1541" s="10" t="s">
        <v>12987</v>
      </c>
      <c r="Q1541" s="10">
        <v>362.19685881999999</v>
      </c>
      <c r="R1541" s="10" t="s">
        <v>12988</v>
      </c>
      <c r="S1541" s="10" t="s">
        <v>53</v>
      </c>
      <c r="T1541" s="10" t="s">
        <v>12989</v>
      </c>
    </row>
    <row r="1542" spans="1:20" ht="14.5" x14ac:dyDescent="0.35">
      <c r="A1542" s="10" t="s">
        <v>12990</v>
      </c>
      <c r="B1542" s="10" t="str">
        <f>"9781412919944"</f>
        <v>9781412919944</v>
      </c>
      <c r="C1542" s="10" t="str">
        <f>"9781848607583"</f>
        <v>9781848607583</v>
      </c>
      <c r="D1542" s="10" t="s">
        <v>9325</v>
      </c>
      <c r="E1542" s="10" t="s">
        <v>9326</v>
      </c>
      <c r="F1542" s="10" t="s">
        <v>139</v>
      </c>
      <c r="G1542" s="10" t="s">
        <v>6352</v>
      </c>
      <c r="H1542" s="11">
        <v>39319</v>
      </c>
      <c r="I1542" s="10">
        <v>2007</v>
      </c>
      <c r="J1542" s="10" t="s">
        <v>9326</v>
      </c>
      <c r="K1542" s="10">
        <v>209</v>
      </c>
      <c r="L1542" s="10" t="s">
        <v>12991</v>
      </c>
      <c r="M1542" s="10">
        <v>1</v>
      </c>
      <c r="N1542" s="10"/>
      <c r="O1542" s="10"/>
      <c r="P1542" s="10" t="s">
        <v>12992</v>
      </c>
      <c r="Q1542" s="10">
        <v>1.30711</v>
      </c>
      <c r="R1542" s="10" t="s">
        <v>12993</v>
      </c>
      <c r="S1542" s="10" t="s">
        <v>53</v>
      </c>
      <c r="T1542" s="10" t="s">
        <v>9590</v>
      </c>
    </row>
    <row r="1543" spans="1:20" ht="14.5" x14ac:dyDescent="0.35">
      <c r="A1543" s="10" t="s">
        <v>12994</v>
      </c>
      <c r="B1543" s="10" t="str">
        <f>"9781412919067"</f>
        <v>9781412919067</v>
      </c>
      <c r="C1543" s="10" t="str">
        <f>"9781848608511"</f>
        <v>9781848608511</v>
      </c>
      <c r="D1543" s="10" t="s">
        <v>9325</v>
      </c>
      <c r="E1543" s="10" t="s">
        <v>9326</v>
      </c>
      <c r="F1543" s="10" t="s">
        <v>139</v>
      </c>
      <c r="G1543" s="10" t="s">
        <v>6352</v>
      </c>
      <c r="H1543" s="11">
        <v>38763</v>
      </c>
      <c r="I1543" s="10">
        <v>2006</v>
      </c>
      <c r="J1543" s="10" t="s">
        <v>9326</v>
      </c>
      <c r="K1543" s="10">
        <v>145</v>
      </c>
      <c r="L1543" s="10" t="s">
        <v>12995</v>
      </c>
      <c r="M1543" s="10">
        <v>1</v>
      </c>
      <c r="N1543" s="10" t="s">
        <v>11973</v>
      </c>
      <c r="O1543" s="10"/>
      <c r="P1543" s="10" t="s">
        <v>12996</v>
      </c>
      <c r="Q1543" s="10">
        <v>372.83204409410001</v>
      </c>
      <c r="R1543" s="10" t="s">
        <v>12997</v>
      </c>
      <c r="S1543" s="10" t="s">
        <v>53</v>
      </c>
      <c r="T1543" s="10" t="s">
        <v>54</v>
      </c>
    </row>
    <row r="1544" spans="1:20" ht="14.5" x14ac:dyDescent="0.35">
      <c r="A1544" s="10" t="s">
        <v>12998</v>
      </c>
      <c r="B1544" s="10" t="str">
        <f>"9781412918886"</f>
        <v>9781412918886</v>
      </c>
      <c r="C1544" s="10" t="str">
        <f>"9781848607569"</f>
        <v>9781848607569</v>
      </c>
      <c r="D1544" s="10" t="s">
        <v>9325</v>
      </c>
      <c r="E1544" s="10" t="s">
        <v>9326</v>
      </c>
      <c r="F1544" s="10" t="s">
        <v>139</v>
      </c>
      <c r="G1544" s="10" t="s">
        <v>6352</v>
      </c>
      <c r="H1544" s="11">
        <v>39370</v>
      </c>
      <c r="I1544" s="10">
        <v>2007</v>
      </c>
      <c r="J1544" s="10" t="s">
        <v>9326</v>
      </c>
      <c r="K1544" s="10">
        <v>233</v>
      </c>
      <c r="L1544" s="10" t="s">
        <v>12999</v>
      </c>
      <c r="M1544" s="10">
        <v>1</v>
      </c>
      <c r="N1544" s="10" t="s">
        <v>9336</v>
      </c>
      <c r="O1544" s="10"/>
      <c r="P1544" s="10" t="s">
        <v>13000</v>
      </c>
      <c r="Q1544" s="10">
        <v>371.90460000000002</v>
      </c>
      <c r="R1544" s="10" t="s">
        <v>13001</v>
      </c>
      <c r="S1544" s="10" t="s">
        <v>53</v>
      </c>
      <c r="T1544" s="10" t="s">
        <v>54</v>
      </c>
    </row>
    <row r="1545" spans="1:20" ht="14.5" x14ac:dyDescent="0.35">
      <c r="A1545" s="10" t="s">
        <v>13002</v>
      </c>
      <c r="B1545" s="10" t="str">
        <f>"9781412934404"</f>
        <v>9781412934404</v>
      </c>
      <c r="C1545" s="10" t="str">
        <f>"9781848607453"</f>
        <v>9781848607453</v>
      </c>
      <c r="D1545" s="10" t="s">
        <v>9325</v>
      </c>
      <c r="E1545" s="10" t="s">
        <v>9326</v>
      </c>
      <c r="F1545" s="10" t="s">
        <v>139</v>
      </c>
      <c r="G1545" s="10" t="s">
        <v>6352</v>
      </c>
      <c r="H1545" s="11">
        <v>39394</v>
      </c>
      <c r="I1545" s="10">
        <v>2008</v>
      </c>
      <c r="J1545" s="10" t="s">
        <v>9326</v>
      </c>
      <c r="K1545" s="10">
        <v>133</v>
      </c>
      <c r="L1545" s="10" t="s">
        <v>13003</v>
      </c>
      <c r="M1545" s="10">
        <v>1</v>
      </c>
      <c r="N1545" s="10"/>
      <c r="O1545" s="10"/>
      <c r="P1545" s="10" t="s">
        <v>13004</v>
      </c>
      <c r="Q1545" s="10">
        <v>371.58</v>
      </c>
      <c r="R1545" s="10" t="s">
        <v>13005</v>
      </c>
      <c r="S1545" s="10" t="s">
        <v>53</v>
      </c>
      <c r="T1545" s="10" t="s">
        <v>54</v>
      </c>
    </row>
    <row r="1546" spans="1:20" ht="14.5" x14ac:dyDescent="0.35">
      <c r="A1546" s="10" t="s">
        <v>13006</v>
      </c>
      <c r="B1546" s="10" t="str">
        <f>"9781412921381"</f>
        <v>9781412921381</v>
      </c>
      <c r="C1546" s="10" t="str">
        <f>"9781848607620"</f>
        <v>9781848607620</v>
      </c>
      <c r="D1546" s="10" t="s">
        <v>9325</v>
      </c>
      <c r="E1546" s="10" t="s">
        <v>9326</v>
      </c>
      <c r="F1546" s="10" t="s">
        <v>139</v>
      </c>
      <c r="G1546" s="10" t="s">
        <v>6352</v>
      </c>
      <c r="H1546" s="11">
        <v>39343</v>
      </c>
      <c r="I1546" s="10">
        <v>2007</v>
      </c>
      <c r="J1546" s="10" t="s">
        <v>9326</v>
      </c>
      <c r="K1546" s="10">
        <v>166</v>
      </c>
      <c r="L1546" s="10" t="s">
        <v>13007</v>
      </c>
      <c r="M1546" s="10">
        <v>1</v>
      </c>
      <c r="N1546" s="10"/>
      <c r="O1546" s="10"/>
      <c r="P1546" s="10" t="s">
        <v>13008</v>
      </c>
      <c r="Q1546" s="10">
        <v>371.71</v>
      </c>
      <c r="R1546" s="10" t="s">
        <v>13009</v>
      </c>
      <c r="S1546" s="10" t="s">
        <v>53</v>
      </c>
      <c r="T1546" s="10" t="s">
        <v>13010</v>
      </c>
    </row>
    <row r="1547" spans="1:20" ht="14.5" x14ac:dyDescent="0.35">
      <c r="A1547" s="10" t="s">
        <v>13011</v>
      </c>
      <c r="B1547" s="10" t="str">
        <f>"9781412918220"</f>
        <v>9781412918220</v>
      </c>
      <c r="C1547" s="10" t="str">
        <f>"9781848608504"</f>
        <v>9781848608504</v>
      </c>
      <c r="D1547" s="10" t="s">
        <v>9325</v>
      </c>
      <c r="E1547" s="10" t="s">
        <v>9326</v>
      </c>
      <c r="F1547" s="10" t="s">
        <v>139</v>
      </c>
      <c r="G1547" s="10" t="s">
        <v>6352</v>
      </c>
      <c r="H1547" s="11">
        <v>38870</v>
      </c>
      <c r="I1547" s="10">
        <v>2006</v>
      </c>
      <c r="J1547" s="10" t="s">
        <v>9326</v>
      </c>
      <c r="K1547" s="10">
        <v>225</v>
      </c>
      <c r="L1547" s="10" t="s">
        <v>13012</v>
      </c>
      <c r="M1547" s="10">
        <v>1</v>
      </c>
      <c r="N1547" s="10" t="s">
        <v>11973</v>
      </c>
      <c r="O1547" s="10"/>
      <c r="P1547" s="10" t="s">
        <v>13013</v>
      </c>
      <c r="Q1547" s="10">
        <v>371.7</v>
      </c>
      <c r="R1547" s="10" t="s">
        <v>13014</v>
      </c>
      <c r="S1547" s="10" t="s">
        <v>53</v>
      </c>
      <c r="T1547" s="10" t="s">
        <v>6472</v>
      </c>
    </row>
    <row r="1548" spans="1:20" ht="14.5" x14ac:dyDescent="0.35">
      <c r="A1548" s="10" t="s">
        <v>13015</v>
      </c>
      <c r="B1548" s="10" t="str">
        <f>"9781412922555"</f>
        <v>9781412922555</v>
      </c>
      <c r="C1548" s="10" t="str">
        <f>"9781848607613"</f>
        <v>9781848607613</v>
      </c>
      <c r="D1548" s="10" t="s">
        <v>9325</v>
      </c>
      <c r="E1548" s="10" t="s">
        <v>9326</v>
      </c>
      <c r="F1548" s="10" t="s">
        <v>139</v>
      </c>
      <c r="G1548" s="10" t="s">
        <v>6352</v>
      </c>
      <c r="H1548" s="11">
        <v>39349</v>
      </c>
      <c r="I1548" s="10">
        <v>2007</v>
      </c>
      <c r="J1548" s="10" t="s">
        <v>9326</v>
      </c>
      <c r="K1548" s="10">
        <v>121</v>
      </c>
      <c r="L1548" s="10" t="s">
        <v>13016</v>
      </c>
      <c r="M1548" s="10">
        <v>1</v>
      </c>
      <c r="N1548" s="10" t="s">
        <v>11973</v>
      </c>
      <c r="O1548" s="10"/>
      <c r="P1548" s="10" t="s">
        <v>13017</v>
      </c>
      <c r="Q1548" s="10">
        <v>373.13028109409998</v>
      </c>
      <c r="R1548" s="10" t="s">
        <v>13018</v>
      </c>
      <c r="S1548" s="10" t="s">
        <v>53</v>
      </c>
      <c r="T1548" s="10" t="s">
        <v>54</v>
      </c>
    </row>
    <row r="1549" spans="1:20" ht="14.5" x14ac:dyDescent="0.35">
      <c r="A1549" s="10" t="s">
        <v>13019</v>
      </c>
      <c r="B1549" s="10" t="str">
        <f>"9781412913119"</f>
        <v>9781412913119</v>
      </c>
      <c r="C1549" s="10" t="str">
        <f>"9781848608481"</f>
        <v>9781848608481</v>
      </c>
      <c r="D1549" s="10" t="s">
        <v>9325</v>
      </c>
      <c r="E1549" s="10" t="s">
        <v>9326</v>
      </c>
      <c r="F1549" s="10" t="s">
        <v>139</v>
      </c>
      <c r="G1549" s="10" t="s">
        <v>6352</v>
      </c>
      <c r="H1549" s="11">
        <v>38897</v>
      </c>
      <c r="I1549" s="10">
        <v>2006</v>
      </c>
      <c r="J1549" s="10" t="s">
        <v>9326</v>
      </c>
      <c r="K1549" s="10">
        <v>145</v>
      </c>
      <c r="L1549" s="10" t="s">
        <v>13020</v>
      </c>
      <c r="M1549" s="10">
        <v>1</v>
      </c>
      <c r="N1549" s="10" t="s">
        <v>11973</v>
      </c>
      <c r="O1549" s="10"/>
      <c r="P1549" s="10" t="s">
        <v>13021</v>
      </c>
      <c r="Q1549" s="10">
        <v>155.937083</v>
      </c>
      <c r="R1549" s="10" t="s">
        <v>13022</v>
      </c>
      <c r="S1549" s="10" t="s">
        <v>53</v>
      </c>
      <c r="T1549" s="10" t="s">
        <v>483</v>
      </c>
    </row>
    <row r="1550" spans="1:20" ht="14.5" x14ac:dyDescent="0.35">
      <c r="A1550" s="10" t="s">
        <v>13023</v>
      </c>
      <c r="B1550" s="10" t="str">
        <f>"9781412910293"</f>
        <v>9781412910293</v>
      </c>
      <c r="C1550" s="10" t="str">
        <f>"9781848607446"</f>
        <v>9781848607446</v>
      </c>
      <c r="D1550" s="10" t="s">
        <v>9325</v>
      </c>
      <c r="E1550" s="10" t="s">
        <v>9326</v>
      </c>
      <c r="F1550" s="10" t="s">
        <v>139</v>
      </c>
      <c r="G1550" s="10" t="s">
        <v>6352</v>
      </c>
      <c r="H1550" s="11">
        <v>39343</v>
      </c>
      <c r="I1550" s="10">
        <v>2007</v>
      </c>
      <c r="J1550" s="10" t="s">
        <v>9326</v>
      </c>
      <c r="K1550" s="10">
        <v>127</v>
      </c>
      <c r="L1550" s="10" t="s">
        <v>13024</v>
      </c>
      <c r="M1550" s="10">
        <v>1</v>
      </c>
      <c r="N1550" s="10"/>
      <c r="O1550" s="10"/>
      <c r="P1550" s="10" t="s">
        <v>13025</v>
      </c>
      <c r="Q1550" s="10">
        <v>371.91447199999999</v>
      </c>
      <c r="R1550" s="10" t="s">
        <v>13026</v>
      </c>
      <c r="S1550" s="10" t="s">
        <v>53</v>
      </c>
      <c r="T1550" s="10" t="s">
        <v>54</v>
      </c>
    </row>
    <row r="1551" spans="1:20" ht="14.5" x14ac:dyDescent="0.35">
      <c r="A1551" s="10" t="s">
        <v>13027</v>
      </c>
      <c r="B1551" s="10" t="str">
        <f>"9781412931106"</f>
        <v>9781412931106</v>
      </c>
      <c r="C1551" s="10" t="str">
        <f>"9781848607408"</f>
        <v>9781848607408</v>
      </c>
      <c r="D1551" s="10" t="s">
        <v>9325</v>
      </c>
      <c r="E1551" s="10" t="s">
        <v>9326</v>
      </c>
      <c r="F1551" s="10" t="s">
        <v>139</v>
      </c>
      <c r="G1551" s="10" t="s">
        <v>6352</v>
      </c>
      <c r="H1551" s="11">
        <v>39343</v>
      </c>
      <c r="I1551" s="10">
        <v>2007</v>
      </c>
      <c r="J1551" s="10" t="s">
        <v>9326</v>
      </c>
      <c r="K1551" s="10">
        <v>134</v>
      </c>
      <c r="L1551" s="10" t="s">
        <v>13028</v>
      </c>
      <c r="M1551" s="10">
        <v>1</v>
      </c>
      <c r="N1551" s="10"/>
      <c r="O1551" s="10"/>
      <c r="P1551" s="10" t="s">
        <v>13029</v>
      </c>
      <c r="Q1551" s="10">
        <v>372.46499999999997</v>
      </c>
      <c r="R1551" s="10" t="s">
        <v>13030</v>
      </c>
      <c r="S1551" s="10" t="s">
        <v>53</v>
      </c>
      <c r="T1551" s="10" t="s">
        <v>11880</v>
      </c>
    </row>
    <row r="1552" spans="1:20" ht="14.5" x14ac:dyDescent="0.35">
      <c r="A1552" s="10" t="s">
        <v>13031</v>
      </c>
      <c r="B1552" s="10" t="str">
        <f>"9783598220333"</f>
        <v>9783598220333</v>
      </c>
      <c r="C1552" s="10" t="str">
        <f>"9783598440281"</f>
        <v>9783598440281</v>
      </c>
      <c r="D1552" s="10" t="s">
        <v>9995</v>
      </c>
      <c r="E1552" s="10" t="s">
        <v>9996</v>
      </c>
      <c r="F1552" s="10" t="s">
        <v>9997</v>
      </c>
      <c r="G1552" s="10" t="s">
        <v>9998</v>
      </c>
      <c r="H1552" s="11">
        <v>39308</v>
      </c>
      <c r="I1552" s="10">
        <v>2007</v>
      </c>
      <c r="J1552" s="10" t="s">
        <v>9996</v>
      </c>
      <c r="K1552" s="10">
        <v>272</v>
      </c>
      <c r="L1552" s="10" t="s">
        <v>13032</v>
      </c>
      <c r="M1552" s="10">
        <v>2</v>
      </c>
      <c r="N1552" s="10" t="s">
        <v>13033</v>
      </c>
      <c r="O1552" s="10">
        <v>127</v>
      </c>
      <c r="P1552" s="10" t="s">
        <v>13034</v>
      </c>
      <c r="Q1552" s="10">
        <v>27.7</v>
      </c>
      <c r="R1552" s="10" t="s">
        <v>13035</v>
      </c>
      <c r="S1552" s="10" t="s">
        <v>53</v>
      </c>
      <c r="T1552" s="10" t="s">
        <v>10302</v>
      </c>
    </row>
    <row r="1553" spans="1:20" ht="14.5" x14ac:dyDescent="0.35">
      <c r="A1553" s="10" t="s">
        <v>13036</v>
      </c>
      <c r="B1553" s="10" t="str">
        <f>"9783598115066"</f>
        <v>9783598115066</v>
      </c>
      <c r="C1553" s="10" t="str">
        <f>"9783598440045"</f>
        <v>9783598440045</v>
      </c>
      <c r="D1553" s="10" t="s">
        <v>9995</v>
      </c>
      <c r="E1553" s="10" t="s">
        <v>9996</v>
      </c>
      <c r="F1553" s="10" t="s">
        <v>9997</v>
      </c>
      <c r="G1553" s="10" t="s">
        <v>9998</v>
      </c>
      <c r="H1553" s="11">
        <v>37559</v>
      </c>
      <c r="I1553" s="10">
        <v>2003</v>
      </c>
      <c r="J1553" s="10" t="s">
        <v>9996</v>
      </c>
      <c r="K1553" s="10">
        <v>247</v>
      </c>
      <c r="L1553" s="10" t="s">
        <v>13037</v>
      </c>
      <c r="M1553" s="10">
        <v>1</v>
      </c>
      <c r="N1553" s="10"/>
      <c r="O1553" s="10"/>
      <c r="P1553" s="10" t="s">
        <v>13038</v>
      </c>
      <c r="Q1553" s="10">
        <v>70.5</v>
      </c>
      <c r="R1553" s="10"/>
      <c r="S1553" s="10" t="s">
        <v>53</v>
      </c>
      <c r="T1553" s="10" t="s">
        <v>10297</v>
      </c>
    </row>
    <row r="1554" spans="1:20" ht="14.5" x14ac:dyDescent="0.35">
      <c r="A1554" s="10" t="s">
        <v>13039</v>
      </c>
      <c r="B1554" s="10" t="str">
        <f>"9783598243691"</f>
        <v>9783598243691</v>
      </c>
      <c r="C1554" s="10" t="str">
        <f>"9783598440021"</f>
        <v>9783598440021</v>
      </c>
      <c r="D1554" s="10" t="s">
        <v>9995</v>
      </c>
      <c r="E1554" s="10" t="s">
        <v>2515</v>
      </c>
      <c r="F1554" s="10" t="s">
        <v>9997</v>
      </c>
      <c r="G1554" s="10" t="s">
        <v>9998</v>
      </c>
      <c r="H1554" s="11">
        <v>37559</v>
      </c>
      <c r="I1554" s="10">
        <v>2003</v>
      </c>
      <c r="J1554" s="10" t="s">
        <v>2515</v>
      </c>
      <c r="K1554" s="10">
        <v>341</v>
      </c>
      <c r="L1554" s="10" t="s">
        <v>13040</v>
      </c>
      <c r="M1554" s="10">
        <v>1</v>
      </c>
      <c r="N1554" s="10" t="s">
        <v>13041</v>
      </c>
      <c r="O1554" s="10"/>
      <c r="P1554" s="10" t="s">
        <v>13042</v>
      </c>
      <c r="Q1554" s="10"/>
      <c r="R1554" s="10"/>
      <c r="S1554" s="10" t="s">
        <v>53</v>
      </c>
      <c r="T1554" s="10" t="s">
        <v>6660</v>
      </c>
    </row>
    <row r="1555" spans="1:20" ht="14.5" x14ac:dyDescent="0.35">
      <c r="A1555" s="10" t="s">
        <v>13043</v>
      </c>
      <c r="B1555" s="10" t="str">
        <f>"9783598218439"</f>
        <v>9783598218439</v>
      </c>
      <c r="C1555" s="10" t="str">
        <f>"9783598440151"</f>
        <v>9783598440151</v>
      </c>
      <c r="D1555" s="10" t="s">
        <v>9995</v>
      </c>
      <c r="E1555" s="10" t="s">
        <v>9996</v>
      </c>
      <c r="F1555" s="10" t="s">
        <v>9997</v>
      </c>
      <c r="G1555" s="10" t="s">
        <v>9998</v>
      </c>
      <c r="H1555" s="11">
        <v>38518</v>
      </c>
      <c r="I1555" s="10">
        <v>2005</v>
      </c>
      <c r="J1555" s="10" t="s">
        <v>9996</v>
      </c>
      <c r="K1555" s="10">
        <v>165</v>
      </c>
      <c r="L1555" s="10" t="s">
        <v>13044</v>
      </c>
      <c r="M1555" s="10">
        <v>1</v>
      </c>
      <c r="N1555" s="10" t="s">
        <v>13033</v>
      </c>
      <c r="O1555" s="10">
        <v>115</v>
      </c>
      <c r="P1555" s="10" t="s">
        <v>13045</v>
      </c>
      <c r="Q1555" s="10"/>
      <c r="R1555" s="10"/>
      <c r="S1555" s="10" t="s">
        <v>53</v>
      </c>
      <c r="T1555" s="10" t="s">
        <v>54</v>
      </c>
    </row>
    <row r="1556" spans="1:20" ht="14.5" x14ac:dyDescent="0.35">
      <c r="A1556" s="10" t="s">
        <v>13046</v>
      </c>
      <c r="B1556" s="10" t="str">
        <f>"9783598242779"</f>
        <v>9783598242779</v>
      </c>
      <c r="C1556" s="10" t="str">
        <f>"9783598440328"</f>
        <v>9783598440328</v>
      </c>
      <c r="D1556" s="10" t="s">
        <v>9995</v>
      </c>
      <c r="E1556" s="10" t="s">
        <v>9996</v>
      </c>
      <c r="F1556" s="10" t="s">
        <v>9997</v>
      </c>
      <c r="G1556" s="10" t="s">
        <v>9998</v>
      </c>
      <c r="H1556" s="11">
        <v>38603</v>
      </c>
      <c r="I1556" s="10">
        <v>2005</v>
      </c>
      <c r="J1556" s="10" t="s">
        <v>9996</v>
      </c>
      <c r="K1556" s="10">
        <v>228</v>
      </c>
      <c r="L1556" s="10" t="s">
        <v>13047</v>
      </c>
      <c r="M1556" s="10">
        <v>1</v>
      </c>
      <c r="N1556" s="10" t="s">
        <v>13048</v>
      </c>
      <c r="O1556" s="10">
        <v>28</v>
      </c>
      <c r="P1556" s="10" t="s">
        <v>13049</v>
      </c>
      <c r="Q1556" s="10"/>
      <c r="R1556" s="10"/>
      <c r="S1556" s="10" t="s">
        <v>53</v>
      </c>
      <c r="T1556" s="10" t="s">
        <v>10302</v>
      </c>
    </row>
    <row r="1557" spans="1:20" ht="14.5" x14ac:dyDescent="0.35">
      <c r="A1557" s="10" t="s">
        <v>13050</v>
      </c>
      <c r="B1557" s="10" t="str">
        <f>"9780805829129"</f>
        <v>9780805829129</v>
      </c>
      <c r="C1557" s="10" t="str">
        <f>"9781410605788"</f>
        <v>9781410605788</v>
      </c>
      <c r="D1557" s="10" t="s">
        <v>6350</v>
      </c>
      <c r="E1557" s="10" t="s">
        <v>6351</v>
      </c>
      <c r="F1557" s="10" t="s">
        <v>70</v>
      </c>
      <c r="G1557" s="10" t="s">
        <v>6317</v>
      </c>
      <c r="H1557" s="11">
        <v>36617</v>
      </c>
      <c r="I1557" s="10">
        <v>2000</v>
      </c>
      <c r="J1557" s="10" t="s">
        <v>6353</v>
      </c>
      <c r="K1557" s="10">
        <v>126</v>
      </c>
      <c r="L1557" s="10" t="s">
        <v>13051</v>
      </c>
      <c r="M1557" s="10">
        <v>1</v>
      </c>
      <c r="N1557" s="10"/>
      <c r="O1557" s="10"/>
      <c r="P1557" s="10" t="s">
        <v>13052</v>
      </c>
      <c r="Q1557" s="10">
        <v>372.4</v>
      </c>
      <c r="R1557" s="10" t="s">
        <v>13053</v>
      </c>
      <c r="S1557" s="10" t="s">
        <v>53</v>
      </c>
      <c r="T1557" s="10" t="s">
        <v>54</v>
      </c>
    </row>
    <row r="1558" spans="1:20" ht="14.5" x14ac:dyDescent="0.35">
      <c r="A1558" s="10" t="s">
        <v>13054</v>
      </c>
      <c r="B1558" s="10" t="str">
        <f>"9780415995832"</f>
        <v>9780415995832</v>
      </c>
      <c r="C1558" s="10" t="str">
        <f>"9780203887301"</f>
        <v>9780203887301</v>
      </c>
      <c r="D1558" s="10" t="s">
        <v>6350</v>
      </c>
      <c r="E1558" s="10" t="s">
        <v>6351</v>
      </c>
      <c r="F1558" s="10" t="s">
        <v>139</v>
      </c>
      <c r="G1558" s="10" t="s">
        <v>6352</v>
      </c>
      <c r="H1558" s="11">
        <v>39785</v>
      </c>
      <c r="I1558" s="10">
        <v>2009</v>
      </c>
      <c r="J1558" s="10" t="s">
        <v>6353</v>
      </c>
      <c r="K1558" s="10">
        <v>381</v>
      </c>
      <c r="L1558" s="10" t="s">
        <v>13055</v>
      </c>
      <c r="M1558" s="10">
        <v>1</v>
      </c>
      <c r="N1558" s="10"/>
      <c r="O1558" s="10"/>
      <c r="P1558" s="10" t="s">
        <v>13056</v>
      </c>
      <c r="Q1558" s="10">
        <v>371.4</v>
      </c>
      <c r="R1558" s="10" t="s">
        <v>13057</v>
      </c>
      <c r="S1558" s="10" t="s">
        <v>53</v>
      </c>
      <c r="T1558" s="10" t="s">
        <v>54</v>
      </c>
    </row>
    <row r="1559" spans="1:20" ht="14.5" x14ac:dyDescent="0.35">
      <c r="A1559" s="10" t="s">
        <v>13058</v>
      </c>
      <c r="B1559" s="10" t="str">
        <f>"9781593859763"</f>
        <v>9781593859763</v>
      </c>
      <c r="C1559" s="10" t="str">
        <f>"9781606232729"</f>
        <v>9781606232729</v>
      </c>
      <c r="D1559" s="10" t="s">
        <v>11213</v>
      </c>
      <c r="E1559" s="10" t="s">
        <v>11214</v>
      </c>
      <c r="F1559" s="10" t="s">
        <v>70</v>
      </c>
      <c r="G1559" s="10" t="s">
        <v>6317</v>
      </c>
      <c r="H1559" s="11">
        <v>39730</v>
      </c>
      <c r="I1559" s="10">
        <v>2009</v>
      </c>
      <c r="J1559" s="10" t="s">
        <v>11215</v>
      </c>
      <c r="K1559" s="10">
        <v>432</v>
      </c>
      <c r="L1559" s="10" t="s">
        <v>13059</v>
      </c>
      <c r="M1559" s="10">
        <v>1</v>
      </c>
      <c r="N1559" s="10"/>
      <c r="O1559" s="10"/>
      <c r="P1559" s="10" t="s">
        <v>13060</v>
      </c>
      <c r="Q1559" s="10">
        <v>618.92891425000005</v>
      </c>
      <c r="R1559" s="10" t="s">
        <v>13061</v>
      </c>
      <c r="S1559" s="10" t="s">
        <v>53</v>
      </c>
      <c r="T1559" s="10" t="s">
        <v>8681</v>
      </c>
    </row>
    <row r="1560" spans="1:20" ht="14.5" x14ac:dyDescent="0.35">
      <c r="A1560" s="10" t="s">
        <v>13062</v>
      </c>
      <c r="B1560" s="10" t="str">
        <f>"9781593859961"</f>
        <v>9781593859961</v>
      </c>
      <c r="C1560" s="10" t="str">
        <f>"9781606231036"</f>
        <v>9781606231036</v>
      </c>
      <c r="D1560" s="10" t="s">
        <v>11213</v>
      </c>
      <c r="E1560" s="10" t="s">
        <v>11214</v>
      </c>
      <c r="F1560" s="10" t="s">
        <v>70</v>
      </c>
      <c r="G1560" s="10" t="s">
        <v>6317</v>
      </c>
      <c r="H1560" s="11">
        <v>39754</v>
      </c>
      <c r="I1560" s="10">
        <v>2009</v>
      </c>
      <c r="J1560" s="10" t="s">
        <v>11215</v>
      </c>
      <c r="K1560" s="10">
        <v>208</v>
      </c>
      <c r="L1560" s="10" t="s">
        <v>13063</v>
      </c>
      <c r="M1560" s="10">
        <v>1</v>
      </c>
      <c r="N1560" s="10"/>
      <c r="O1560" s="10"/>
      <c r="P1560" s="10" t="s">
        <v>13064</v>
      </c>
      <c r="Q1560" s="10">
        <v>155.40719999999999</v>
      </c>
      <c r="R1560" s="10" t="s">
        <v>13065</v>
      </c>
      <c r="S1560" s="10" t="s">
        <v>53</v>
      </c>
      <c r="T1560" s="10" t="s">
        <v>483</v>
      </c>
    </row>
    <row r="1561" spans="1:20" ht="14.5" x14ac:dyDescent="0.35">
      <c r="A1561" s="10" t="s">
        <v>13066</v>
      </c>
      <c r="B1561" s="10" t="str">
        <f>"9780387777917"</f>
        <v>9780387777917</v>
      </c>
      <c r="C1561" s="10" t="str">
        <f>"9780387777924"</f>
        <v>9780387777924</v>
      </c>
      <c r="D1561" s="10" t="s">
        <v>11249</v>
      </c>
      <c r="E1561" s="10" t="s">
        <v>13067</v>
      </c>
      <c r="F1561" s="10" t="s">
        <v>13068</v>
      </c>
      <c r="G1561" s="10" t="s">
        <v>6317</v>
      </c>
      <c r="H1561" s="11">
        <v>39658</v>
      </c>
      <c r="I1561" s="10">
        <v>2008</v>
      </c>
      <c r="J1561" s="10" t="s">
        <v>13067</v>
      </c>
      <c r="K1561" s="10">
        <v>99</v>
      </c>
      <c r="L1561" s="10" t="s">
        <v>13069</v>
      </c>
      <c r="M1561" s="10">
        <v>1</v>
      </c>
      <c r="N1561" s="10" t="s">
        <v>13070</v>
      </c>
      <c r="O1561" s="10">
        <v>1</v>
      </c>
      <c r="P1561" s="10" t="s">
        <v>13071</v>
      </c>
      <c r="Q1561" s="10">
        <v>507.15</v>
      </c>
      <c r="R1561" s="10" t="s">
        <v>13072</v>
      </c>
      <c r="S1561" s="10" t="s">
        <v>53</v>
      </c>
      <c r="T1561" s="10" t="s">
        <v>6800</v>
      </c>
    </row>
    <row r="1562" spans="1:20" ht="14.5" x14ac:dyDescent="0.35">
      <c r="A1562" s="10" t="s">
        <v>13073</v>
      </c>
      <c r="B1562" s="10" t="str">
        <f>"9781402064937"</f>
        <v>9781402064937</v>
      </c>
      <c r="C1562" s="10" t="str">
        <f>"9781402064944"</f>
        <v>9781402064944</v>
      </c>
      <c r="D1562" s="10" t="s">
        <v>11249</v>
      </c>
      <c r="E1562" s="10" t="s">
        <v>12215</v>
      </c>
      <c r="F1562" s="10" t="s">
        <v>206</v>
      </c>
      <c r="G1562" s="10" t="s">
        <v>9233</v>
      </c>
      <c r="H1562" s="11">
        <v>39429</v>
      </c>
      <c r="I1562" s="10">
        <v>2008</v>
      </c>
      <c r="J1562" s="10" t="s">
        <v>12215</v>
      </c>
      <c r="K1562" s="10">
        <v>288</v>
      </c>
      <c r="L1562" s="10" t="s">
        <v>13074</v>
      </c>
      <c r="M1562" s="10">
        <v>1</v>
      </c>
      <c r="N1562" s="10" t="s">
        <v>13075</v>
      </c>
      <c r="O1562" s="10">
        <v>2</v>
      </c>
      <c r="P1562" s="10" t="s">
        <v>13071</v>
      </c>
      <c r="Q1562" s="10">
        <v>507.1</v>
      </c>
      <c r="R1562" s="10" t="s">
        <v>13076</v>
      </c>
      <c r="S1562" s="10" t="s">
        <v>53</v>
      </c>
      <c r="T1562" s="10" t="s">
        <v>10979</v>
      </c>
    </row>
    <row r="1563" spans="1:20" ht="14.5" x14ac:dyDescent="0.35">
      <c r="A1563" s="10" t="s">
        <v>13077</v>
      </c>
      <c r="B1563" s="10" t="str">
        <f>"9780853235194"</f>
        <v>9780853235194</v>
      </c>
      <c r="C1563" s="10" t="str">
        <f>"9781846313134"</f>
        <v>9781846313134</v>
      </c>
      <c r="D1563" s="10" t="s">
        <v>2131</v>
      </c>
      <c r="E1563" s="10" t="s">
        <v>2131</v>
      </c>
      <c r="F1563" s="10" t="s">
        <v>2132</v>
      </c>
      <c r="G1563" s="10" t="s">
        <v>6352</v>
      </c>
      <c r="H1563" s="11">
        <v>37622</v>
      </c>
      <c r="I1563" s="10">
        <v>2003</v>
      </c>
      <c r="J1563" s="10" t="s">
        <v>2131</v>
      </c>
      <c r="K1563" s="10">
        <v>256</v>
      </c>
      <c r="L1563" s="10" t="s">
        <v>13078</v>
      </c>
      <c r="M1563" s="10">
        <v>1</v>
      </c>
      <c r="N1563" s="10"/>
      <c r="O1563" s="10"/>
      <c r="P1563" s="10" t="s">
        <v>13079</v>
      </c>
      <c r="Q1563" s="10">
        <v>378.42752999999999</v>
      </c>
      <c r="R1563" s="10" t="s">
        <v>13080</v>
      </c>
      <c r="S1563" s="10" t="s">
        <v>53</v>
      </c>
      <c r="T1563" s="10" t="s">
        <v>54</v>
      </c>
    </row>
    <row r="1564" spans="1:20" ht="14.5" x14ac:dyDescent="0.35">
      <c r="A1564" s="10" t="s">
        <v>13081</v>
      </c>
      <c r="B1564" s="10" t="str">
        <f>"9780813544465"</f>
        <v>9780813544465</v>
      </c>
      <c r="C1564" s="10" t="str">
        <f>"9780813545974"</f>
        <v>9780813545974</v>
      </c>
      <c r="D1564" s="10" t="s">
        <v>12251</v>
      </c>
      <c r="E1564" s="10" t="s">
        <v>12251</v>
      </c>
      <c r="F1564" s="10" t="s">
        <v>2510</v>
      </c>
      <c r="G1564" s="10" t="s">
        <v>6317</v>
      </c>
      <c r="H1564" s="11">
        <v>39766</v>
      </c>
      <c r="I1564" s="10">
        <v>2008</v>
      </c>
      <c r="J1564" s="10" t="s">
        <v>12251</v>
      </c>
      <c r="K1564" s="10">
        <v>316</v>
      </c>
      <c r="L1564" s="10" t="s">
        <v>13082</v>
      </c>
      <c r="M1564" s="10">
        <v>1</v>
      </c>
      <c r="N1564" s="10"/>
      <c r="O1564" s="10"/>
      <c r="P1564" s="10" t="s">
        <v>13083</v>
      </c>
      <c r="Q1564" s="10" t="s">
        <v>13084</v>
      </c>
      <c r="R1564" s="10" t="s">
        <v>13085</v>
      </c>
      <c r="S1564" s="10" t="s">
        <v>53</v>
      </c>
      <c r="T1564" s="10" t="s">
        <v>54</v>
      </c>
    </row>
    <row r="1565" spans="1:20" ht="14.5" x14ac:dyDescent="0.35">
      <c r="A1565" s="10" t="s">
        <v>13086</v>
      </c>
      <c r="B1565" s="10" t="str">
        <f>""</f>
        <v/>
      </c>
      <c r="C1565" s="10" t="str">
        <f>"9781775564072"</f>
        <v>9781775564072</v>
      </c>
      <c r="D1565" s="10" t="s">
        <v>12228</v>
      </c>
      <c r="E1565" s="10" t="s">
        <v>12229</v>
      </c>
      <c r="F1565" s="10" t="s">
        <v>12230</v>
      </c>
      <c r="G1565" s="10" t="s">
        <v>12231</v>
      </c>
      <c r="H1565" s="11">
        <v>37681</v>
      </c>
      <c r="I1565" s="10">
        <v>1923</v>
      </c>
      <c r="J1565" s="10" t="s">
        <v>12229</v>
      </c>
      <c r="K1565" s="10">
        <v>175</v>
      </c>
      <c r="L1565" s="10" t="s">
        <v>13087</v>
      </c>
      <c r="M1565" s="10">
        <v>1</v>
      </c>
      <c r="N1565" s="10"/>
      <c r="O1565" s="10"/>
      <c r="P1565" s="10" t="s">
        <v>13088</v>
      </c>
      <c r="Q1565" s="10">
        <v>839.822</v>
      </c>
      <c r="R1565" s="10" t="s">
        <v>13089</v>
      </c>
      <c r="S1565" s="10" t="s">
        <v>53</v>
      </c>
      <c r="T1565" s="10" t="s">
        <v>9546</v>
      </c>
    </row>
    <row r="1566" spans="1:20" ht="14.5" x14ac:dyDescent="0.35">
      <c r="A1566" s="10" t="s">
        <v>13090</v>
      </c>
      <c r="B1566" s="10" t="str">
        <f>""</f>
        <v/>
      </c>
      <c r="C1566" s="10" t="str">
        <f>"9781775564331"</f>
        <v>9781775564331</v>
      </c>
      <c r="D1566" s="10" t="s">
        <v>12228</v>
      </c>
      <c r="E1566" s="10" t="s">
        <v>12229</v>
      </c>
      <c r="F1566" s="10" t="s">
        <v>12230</v>
      </c>
      <c r="G1566" s="10" t="s">
        <v>12231</v>
      </c>
      <c r="H1566" s="11">
        <v>39814</v>
      </c>
      <c r="I1566" s="10">
        <v>2008</v>
      </c>
      <c r="J1566" s="10" t="s">
        <v>12229</v>
      </c>
      <c r="K1566" s="10">
        <v>40</v>
      </c>
      <c r="L1566" s="10" t="s">
        <v>13091</v>
      </c>
      <c r="M1566" s="10">
        <v>1</v>
      </c>
      <c r="N1566" s="10"/>
      <c r="O1566" s="10"/>
      <c r="P1566" s="10" t="s">
        <v>13092</v>
      </c>
      <c r="Q1566" s="10">
        <v>814.4</v>
      </c>
      <c r="R1566" s="10" t="s">
        <v>13093</v>
      </c>
      <c r="S1566" s="10" t="s">
        <v>53</v>
      </c>
      <c r="T1566" s="10" t="s">
        <v>10454</v>
      </c>
    </row>
    <row r="1567" spans="1:20" ht="14.5" x14ac:dyDescent="0.35">
      <c r="A1567" s="10" t="s">
        <v>13094</v>
      </c>
      <c r="B1567" s="10" t="str">
        <f>""</f>
        <v/>
      </c>
      <c r="C1567" s="10" t="str">
        <f>"9781775564386"</f>
        <v>9781775564386</v>
      </c>
      <c r="D1567" s="10" t="s">
        <v>12228</v>
      </c>
      <c r="E1567" s="10" t="s">
        <v>12229</v>
      </c>
      <c r="F1567" s="10" t="s">
        <v>12230</v>
      </c>
      <c r="G1567" s="10" t="s">
        <v>12231</v>
      </c>
      <c r="H1567" s="11">
        <v>43522</v>
      </c>
      <c r="I1567" s="10">
        <v>2008</v>
      </c>
      <c r="J1567" s="10" t="s">
        <v>12229</v>
      </c>
      <c r="K1567" s="10">
        <v>275</v>
      </c>
      <c r="L1567" s="10" t="s">
        <v>13095</v>
      </c>
      <c r="M1567" s="10">
        <v>1</v>
      </c>
      <c r="N1567" s="10"/>
      <c r="O1567" s="10"/>
      <c r="P1567" s="10" t="s">
        <v>13096</v>
      </c>
      <c r="Q1567" s="10">
        <v>741.5</v>
      </c>
      <c r="R1567" s="10" t="s">
        <v>13097</v>
      </c>
      <c r="S1567" s="10" t="s">
        <v>53</v>
      </c>
      <c r="T1567" s="10" t="s">
        <v>13098</v>
      </c>
    </row>
    <row r="1568" spans="1:20" ht="14.5" x14ac:dyDescent="0.35">
      <c r="A1568" s="10" t="s">
        <v>13099</v>
      </c>
      <c r="B1568" s="10" t="str">
        <f>""</f>
        <v/>
      </c>
      <c r="C1568" s="10" t="str">
        <f>"9781775565192"</f>
        <v>9781775565192</v>
      </c>
      <c r="D1568" s="10" t="s">
        <v>12228</v>
      </c>
      <c r="E1568" s="10" t="s">
        <v>12229</v>
      </c>
      <c r="F1568" s="10" t="s">
        <v>12230</v>
      </c>
      <c r="G1568" s="10" t="s">
        <v>12231</v>
      </c>
      <c r="H1568" s="11">
        <v>42606</v>
      </c>
      <c r="I1568" s="10">
        <v>2008</v>
      </c>
      <c r="J1568" s="10" t="s">
        <v>12229</v>
      </c>
      <c r="K1568" s="10">
        <v>112</v>
      </c>
      <c r="L1568" s="10" t="s">
        <v>13100</v>
      </c>
      <c r="M1568" s="10">
        <v>1</v>
      </c>
      <c r="N1568" s="10"/>
      <c r="O1568" s="10"/>
      <c r="P1568" s="10" t="s">
        <v>13101</v>
      </c>
      <c r="Q1568" s="10" t="s">
        <v>13102</v>
      </c>
      <c r="R1568" s="10" t="s">
        <v>13103</v>
      </c>
      <c r="S1568" s="10" t="s">
        <v>53</v>
      </c>
      <c r="T1568" s="10" t="s">
        <v>6384</v>
      </c>
    </row>
    <row r="1569" spans="1:20" ht="14.5" x14ac:dyDescent="0.35">
      <c r="A1569" s="10" t="s">
        <v>13104</v>
      </c>
      <c r="B1569" s="10" t="str">
        <f>""</f>
        <v/>
      </c>
      <c r="C1569" s="10" t="str">
        <f>"9781775565529"</f>
        <v>9781775565529</v>
      </c>
      <c r="D1569" s="10" t="s">
        <v>12228</v>
      </c>
      <c r="E1569" s="10" t="s">
        <v>12229</v>
      </c>
      <c r="F1569" s="10" t="s">
        <v>12230</v>
      </c>
      <c r="G1569" s="10" t="s">
        <v>12231</v>
      </c>
      <c r="H1569" s="11">
        <v>39814</v>
      </c>
      <c r="I1569" s="10">
        <v>2008</v>
      </c>
      <c r="J1569" s="10" t="s">
        <v>12229</v>
      </c>
      <c r="K1569" s="10">
        <v>152</v>
      </c>
      <c r="L1569" s="10" t="s">
        <v>13105</v>
      </c>
      <c r="M1569" s="10">
        <v>1</v>
      </c>
      <c r="N1569" s="10"/>
      <c r="O1569" s="10"/>
      <c r="P1569" s="10" t="s">
        <v>13106</v>
      </c>
      <c r="Q1569" s="10">
        <v>780.92399999999998</v>
      </c>
      <c r="R1569" s="10" t="s">
        <v>13107</v>
      </c>
      <c r="S1569" s="10" t="s">
        <v>53</v>
      </c>
      <c r="T1569" s="10" t="s">
        <v>6384</v>
      </c>
    </row>
    <row r="1570" spans="1:20" ht="14.5" x14ac:dyDescent="0.35">
      <c r="A1570" s="10" t="s">
        <v>13108</v>
      </c>
      <c r="B1570" s="10" t="str">
        <f>"9781606230244"</f>
        <v>9781606230244</v>
      </c>
      <c r="C1570" s="10" t="str">
        <f>"9781606232804"</f>
        <v>9781606232804</v>
      </c>
      <c r="D1570" s="10" t="s">
        <v>11213</v>
      </c>
      <c r="E1570" s="10" t="s">
        <v>11214</v>
      </c>
      <c r="F1570" s="10" t="s">
        <v>70</v>
      </c>
      <c r="G1570" s="10" t="s">
        <v>6317</v>
      </c>
      <c r="H1570" s="11">
        <v>39769</v>
      </c>
      <c r="I1570" s="10">
        <v>2009</v>
      </c>
      <c r="J1570" s="10" t="s">
        <v>11215</v>
      </c>
      <c r="K1570" s="10">
        <v>174</v>
      </c>
      <c r="L1570" s="10" t="s">
        <v>13109</v>
      </c>
      <c r="M1570" s="10">
        <v>1</v>
      </c>
      <c r="N1570" s="10"/>
      <c r="O1570" s="10"/>
      <c r="P1570" s="10" t="s">
        <v>13110</v>
      </c>
      <c r="Q1570" s="10" t="s">
        <v>13111</v>
      </c>
      <c r="R1570" s="10" t="s">
        <v>13112</v>
      </c>
      <c r="S1570" s="10" t="s">
        <v>53</v>
      </c>
      <c r="T1570" s="10" t="s">
        <v>6568</v>
      </c>
    </row>
    <row r="1571" spans="1:20" ht="14.5" x14ac:dyDescent="0.35">
      <c r="A1571" s="10" t="s">
        <v>13113</v>
      </c>
      <c r="B1571" s="10" t="str">
        <f>"9781593851156"</f>
        <v>9781593851156</v>
      </c>
      <c r="C1571" s="10" t="str">
        <f>"9781606232125"</f>
        <v>9781606232125</v>
      </c>
      <c r="D1571" s="10" t="s">
        <v>11213</v>
      </c>
      <c r="E1571" s="10" t="s">
        <v>11214</v>
      </c>
      <c r="F1571" s="10" t="s">
        <v>70</v>
      </c>
      <c r="G1571" s="10" t="s">
        <v>6317</v>
      </c>
      <c r="H1571" s="11">
        <v>38288</v>
      </c>
      <c r="I1571" s="10">
        <v>2005</v>
      </c>
      <c r="J1571" s="10" t="s">
        <v>11215</v>
      </c>
      <c r="K1571" s="10">
        <v>240</v>
      </c>
      <c r="L1571" s="10" t="s">
        <v>13114</v>
      </c>
      <c r="M1571" s="10">
        <v>1</v>
      </c>
      <c r="N1571" s="10"/>
      <c r="O1571" s="10"/>
      <c r="P1571" s="10" t="s">
        <v>13115</v>
      </c>
      <c r="Q1571" s="10" t="s">
        <v>13116</v>
      </c>
      <c r="R1571" s="10" t="s">
        <v>13117</v>
      </c>
      <c r="S1571" s="10" t="s">
        <v>53</v>
      </c>
      <c r="T1571" s="10" t="s">
        <v>6363</v>
      </c>
    </row>
    <row r="1572" spans="1:20" ht="14.5" x14ac:dyDescent="0.35">
      <c r="A1572" s="10" t="s">
        <v>13118</v>
      </c>
      <c r="B1572" s="10" t="str">
        <f>"9781593855703"</f>
        <v>9781593855703</v>
      </c>
      <c r="C1572" s="10" t="str">
        <f>"9781606232132"</f>
        <v>9781606232132</v>
      </c>
      <c r="D1572" s="10" t="s">
        <v>11213</v>
      </c>
      <c r="E1572" s="10" t="s">
        <v>11214</v>
      </c>
      <c r="F1572" s="10" t="s">
        <v>70</v>
      </c>
      <c r="G1572" s="10" t="s">
        <v>6317</v>
      </c>
      <c r="H1572" s="11">
        <v>39346</v>
      </c>
      <c r="I1572" s="10">
        <v>2008</v>
      </c>
      <c r="J1572" s="10" t="s">
        <v>11215</v>
      </c>
      <c r="K1572" s="10">
        <v>242</v>
      </c>
      <c r="L1572" s="10" t="s">
        <v>13119</v>
      </c>
      <c r="M1572" s="10">
        <v>1</v>
      </c>
      <c r="N1572" s="10"/>
      <c r="O1572" s="10"/>
      <c r="P1572" s="10" t="s">
        <v>13120</v>
      </c>
      <c r="Q1572" s="10">
        <v>177</v>
      </c>
      <c r="R1572" s="10" t="s">
        <v>13121</v>
      </c>
      <c r="S1572" s="10" t="s">
        <v>53</v>
      </c>
      <c r="T1572" s="10" t="s">
        <v>7383</v>
      </c>
    </row>
    <row r="1573" spans="1:20" ht="14.5" x14ac:dyDescent="0.35">
      <c r="A1573" s="10" t="s">
        <v>13122</v>
      </c>
      <c r="B1573" s="10" t="str">
        <f>"9781593850364"</f>
        <v>9781593850364</v>
      </c>
      <c r="C1573" s="10" t="str">
        <f>"9781606232095"</f>
        <v>9781606232095</v>
      </c>
      <c r="D1573" s="10" t="s">
        <v>11213</v>
      </c>
      <c r="E1573" s="10" t="s">
        <v>11214</v>
      </c>
      <c r="F1573" s="10" t="s">
        <v>70</v>
      </c>
      <c r="G1573" s="10" t="s">
        <v>6317</v>
      </c>
      <c r="H1573" s="11">
        <v>38099</v>
      </c>
      <c r="I1573" s="10">
        <v>2004</v>
      </c>
      <c r="J1573" s="10" t="s">
        <v>11215</v>
      </c>
      <c r="K1573" s="10">
        <v>176</v>
      </c>
      <c r="L1573" s="10" t="s">
        <v>13123</v>
      </c>
      <c r="M1573" s="10">
        <v>1</v>
      </c>
      <c r="N1573" s="10" t="s">
        <v>11221</v>
      </c>
      <c r="O1573" s="10"/>
      <c r="P1573" s="10" t="s">
        <v>13124</v>
      </c>
      <c r="Q1573" s="10" t="s">
        <v>13125</v>
      </c>
      <c r="R1573" s="10" t="s">
        <v>13126</v>
      </c>
      <c r="S1573" s="10" t="s">
        <v>53</v>
      </c>
      <c r="T1573" s="10" t="s">
        <v>13127</v>
      </c>
    </row>
    <row r="1574" spans="1:20" ht="14.5" x14ac:dyDescent="0.35">
      <c r="A1574" s="10" t="s">
        <v>13128</v>
      </c>
      <c r="B1574" s="10" t="str">
        <f>"9781593854690"</f>
        <v>9781593854690</v>
      </c>
      <c r="C1574" s="10" t="str">
        <f>"9781606231425"</f>
        <v>9781606231425</v>
      </c>
      <c r="D1574" s="10" t="s">
        <v>11213</v>
      </c>
      <c r="E1574" s="10" t="s">
        <v>11214</v>
      </c>
      <c r="F1574" s="10" t="s">
        <v>70</v>
      </c>
      <c r="G1574" s="10" t="s">
        <v>6317</v>
      </c>
      <c r="H1574" s="11">
        <v>38278</v>
      </c>
      <c r="I1574" s="10">
        <v>2004</v>
      </c>
      <c r="J1574" s="10" t="s">
        <v>11215</v>
      </c>
      <c r="K1574" s="10">
        <v>384</v>
      </c>
      <c r="L1574" s="10" t="s">
        <v>13129</v>
      </c>
      <c r="M1574" s="10">
        <v>1</v>
      </c>
      <c r="N1574" s="10" t="s">
        <v>11516</v>
      </c>
      <c r="O1574" s="10"/>
      <c r="P1574" s="10" t="s">
        <v>13130</v>
      </c>
      <c r="Q1574" s="10">
        <v>372.6</v>
      </c>
      <c r="R1574" s="10" t="s">
        <v>13131</v>
      </c>
      <c r="S1574" s="10" t="s">
        <v>53</v>
      </c>
      <c r="T1574" s="10" t="s">
        <v>54</v>
      </c>
    </row>
    <row r="1575" spans="1:20" ht="14.5" x14ac:dyDescent="0.35">
      <c r="A1575" s="10" t="s">
        <v>13132</v>
      </c>
      <c r="B1575" s="10" t="str">
        <f>"9781593859923"</f>
        <v>9781593859923</v>
      </c>
      <c r="C1575" s="10" t="str">
        <f>"9781606230954"</f>
        <v>9781606230954</v>
      </c>
      <c r="D1575" s="10" t="s">
        <v>11213</v>
      </c>
      <c r="E1575" s="10" t="s">
        <v>11214</v>
      </c>
      <c r="F1575" s="10" t="s">
        <v>70</v>
      </c>
      <c r="G1575" s="10" t="s">
        <v>6317</v>
      </c>
      <c r="H1575" s="11">
        <v>39763</v>
      </c>
      <c r="I1575" s="10">
        <v>2009</v>
      </c>
      <c r="J1575" s="10" t="s">
        <v>11215</v>
      </c>
      <c r="K1575" s="10">
        <v>416</v>
      </c>
      <c r="L1575" s="10" t="s">
        <v>13133</v>
      </c>
      <c r="M1575" s="10">
        <v>1</v>
      </c>
      <c r="N1575" s="10" t="s">
        <v>11516</v>
      </c>
      <c r="O1575" s="10"/>
      <c r="P1575" s="10" t="s">
        <v>13134</v>
      </c>
      <c r="Q1575" s="10" t="s">
        <v>13135</v>
      </c>
      <c r="R1575" s="10" t="s">
        <v>13136</v>
      </c>
      <c r="S1575" s="10" t="s">
        <v>53</v>
      </c>
      <c r="T1575" s="10" t="s">
        <v>13137</v>
      </c>
    </row>
    <row r="1576" spans="1:20" ht="14.5" x14ac:dyDescent="0.35">
      <c r="A1576" s="10" t="s">
        <v>13138</v>
      </c>
      <c r="B1576" s="10" t="str">
        <f>"9781592137251"</f>
        <v>9781592137251</v>
      </c>
      <c r="C1576" s="10" t="str">
        <f>"9781592137275"</f>
        <v>9781592137275</v>
      </c>
      <c r="D1576" s="10" t="s">
        <v>11120</v>
      </c>
      <c r="E1576" s="10" t="s">
        <v>11120</v>
      </c>
      <c r="F1576" s="10" t="s">
        <v>319</v>
      </c>
      <c r="G1576" s="10" t="s">
        <v>6317</v>
      </c>
      <c r="H1576" s="11">
        <v>39706</v>
      </c>
      <c r="I1576" s="10">
        <v>2008</v>
      </c>
      <c r="J1576" s="10" t="s">
        <v>11120</v>
      </c>
      <c r="K1576" s="10">
        <v>246</v>
      </c>
      <c r="L1576" s="10" t="s">
        <v>13139</v>
      </c>
      <c r="M1576" s="10">
        <v>1</v>
      </c>
      <c r="N1576" s="10"/>
      <c r="O1576" s="10"/>
      <c r="P1576" s="10" t="s">
        <v>13140</v>
      </c>
      <c r="Q1576" s="10" t="s">
        <v>13141</v>
      </c>
      <c r="R1576" s="10" t="s">
        <v>13142</v>
      </c>
      <c r="S1576" s="10" t="s">
        <v>53</v>
      </c>
      <c r="T1576" s="10" t="s">
        <v>54</v>
      </c>
    </row>
    <row r="1577" spans="1:20" ht="14.5" x14ac:dyDescent="0.35">
      <c r="A1577" s="10" t="s">
        <v>13143</v>
      </c>
      <c r="B1577" s="10" t="str">
        <f>"9781592136766"</f>
        <v>9781592136766</v>
      </c>
      <c r="C1577" s="10" t="str">
        <f>"9781592136780"</f>
        <v>9781592136780</v>
      </c>
      <c r="D1577" s="10" t="s">
        <v>11120</v>
      </c>
      <c r="E1577" s="10" t="s">
        <v>11120</v>
      </c>
      <c r="F1577" s="10" t="s">
        <v>319</v>
      </c>
      <c r="G1577" s="10" t="s">
        <v>6317</v>
      </c>
      <c r="H1577" s="11">
        <v>39614</v>
      </c>
      <c r="I1577" s="10">
        <v>2008</v>
      </c>
      <c r="J1577" s="10" t="s">
        <v>11120</v>
      </c>
      <c r="K1577" s="10">
        <v>289</v>
      </c>
      <c r="L1577" s="10" t="s">
        <v>13144</v>
      </c>
      <c r="M1577" s="10">
        <v>1</v>
      </c>
      <c r="N1577" s="10"/>
      <c r="O1577" s="10"/>
      <c r="P1577" s="10" t="s">
        <v>13145</v>
      </c>
      <c r="Q1577" s="10" t="s">
        <v>13146</v>
      </c>
      <c r="R1577" s="10" t="s">
        <v>13147</v>
      </c>
      <c r="S1577" s="10" t="s">
        <v>53</v>
      </c>
      <c r="T1577" s="10" t="s">
        <v>54</v>
      </c>
    </row>
    <row r="1578" spans="1:20" ht="14.5" x14ac:dyDescent="0.35">
      <c r="A1578" s="10" t="s">
        <v>13148</v>
      </c>
      <c r="B1578" s="10" t="str">
        <f>"9781576757659"</f>
        <v>9781576757659</v>
      </c>
      <c r="C1578" s="10" t="str">
        <f>"9781576756669"</f>
        <v>9781576756669</v>
      </c>
      <c r="D1578" s="10" t="s">
        <v>11771</v>
      </c>
      <c r="E1578" s="10" t="s">
        <v>11772</v>
      </c>
      <c r="F1578" s="10" t="s">
        <v>2612</v>
      </c>
      <c r="G1578" s="10" t="s">
        <v>6317</v>
      </c>
      <c r="H1578" s="11">
        <v>39600</v>
      </c>
      <c r="I1578" s="10">
        <v>2008</v>
      </c>
      <c r="J1578" s="10" t="s">
        <v>11772</v>
      </c>
      <c r="K1578" s="10">
        <v>254</v>
      </c>
      <c r="L1578" s="10" t="s">
        <v>13149</v>
      </c>
      <c r="M1578" s="10">
        <v>1</v>
      </c>
      <c r="N1578" s="10"/>
      <c r="O1578" s="10"/>
      <c r="P1578" s="10" t="s">
        <v>13150</v>
      </c>
      <c r="Q1578" s="10">
        <v>650.07000000000005</v>
      </c>
      <c r="R1578" s="10" t="s">
        <v>13151</v>
      </c>
      <c r="S1578" s="10" t="s">
        <v>53</v>
      </c>
      <c r="T1578" s="10" t="s">
        <v>6660</v>
      </c>
    </row>
    <row r="1579" spans="1:20" ht="14.5" x14ac:dyDescent="0.35">
      <c r="A1579" s="10" t="s">
        <v>13152</v>
      </c>
      <c r="B1579" s="10" t="str">
        <f>"9781576751503"</f>
        <v>9781576751503</v>
      </c>
      <c r="C1579" s="10" t="str">
        <f>"9781605091495"</f>
        <v>9781605091495</v>
      </c>
      <c r="D1579" s="10" t="s">
        <v>11771</v>
      </c>
      <c r="E1579" s="10" t="s">
        <v>11772</v>
      </c>
      <c r="F1579" s="10" t="s">
        <v>2612</v>
      </c>
      <c r="G1579" s="10" t="s">
        <v>6317</v>
      </c>
      <c r="H1579" s="11">
        <v>37422</v>
      </c>
      <c r="I1579" s="10">
        <v>2002</v>
      </c>
      <c r="J1579" s="10" t="s">
        <v>11772</v>
      </c>
      <c r="K1579" s="10">
        <v>353</v>
      </c>
      <c r="L1579" s="10" t="s">
        <v>13153</v>
      </c>
      <c r="M1579" s="10">
        <v>1</v>
      </c>
      <c r="N1579" s="10"/>
      <c r="O1579" s="10"/>
      <c r="P1579" s="10" t="s">
        <v>13154</v>
      </c>
      <c r="Q1579" s="10" t="s">
        <v>11594</v>
      </c>
      <c r="R1579" s="10" t="s">
        <v>13155</v>
      </c>
      <c r="S1579" s="10" t="s">
        <v>53</v>
      </c>
      <c r="T1579" s="10" t="s">
        <v>6660</v>
      </c>
    </row>
    <row r="1580" spans="1:20" ht="14.5" x14ac:dyDescent="0.35">
      <c r="A1580" s="10" t="s">
        <v>13156</v>
      </c>
      <c r="B1580" s="10" t="str">
        <f>"9780226616544"</f>
        <v>9780226616544</v>
      </c>
      <c r="C1580" s="10" t="str">
        <f>"9780226616582"</f>
        <v>9780226616582</v>
      </c>
      <c r="D1580" s="10" t="s">
        <v>13157</v>
      </c>
      <c r="E1580" s="10" t="s">
        <v>13157</v>
      </c>
      <c r="F1580" s="10" t="s">
        <v>324</v>
      </c>
      <c r="G1580" s="10" t="s">
        <v>6317</v>
      </c>
      <c r="H1580" s="11">
        <v>35814</v>
      </c>
      <c r="I1580" s="10">
        <v>1997</v>
      </c>
      <c r="J1580" s="10" t="s">
        <v>13157</v>
      </c>
      <c r="K1580" s="10">
        <v>268</v>
      </c>
      <c r="L1580" s="10" t="s">
        <v>13158</v>
      </c>
      <c r="M1580" s="10">
        <v>1</v>
      </c>
      <c r="N1580" s="10"/>
      <c r="O1580" s="10"/>
      <c r="P1580" s="10" t="s">
        <v>13159</v>
      </c>
      <c r="Q1580" s="10" t="s">
        <v>13160</v>
      </c>
      <c r="R1580" s="10" t="s">
        <v>13161</v>
      </c>
      <c r="S1580" s="10" t="s">
        <v>53</v>
      </c>
      <c r="T1580" s="10" t="s">
        <v>54</v>
      </c>
    </row>
    <row r="1581" spans="1:20" ht="14.5" x14ac:dyDescent="0.35">
      <c r="A1581" s="10" t="s">
        <v>13162</v>
      </c>
      <c r="B1581" s="10" t="str">
        <f>"9780226355351"</f>
        <v>9780226355351</v>
      </c>
      <c r="C1581" s="10" t="str">
        <f>"9780226355375"</f>
        <v>9780226355375</v>
      </c>
      <c r="D1581" s="10" t="s">
        <v>13157</v>
      </c>
      <c r="E1581" s="10" t="s">
        <v>13157</v>
      </c>
      <c r="F1581" s="10" t="s">
        <v>324</v>
      </c>
      <c r="G1581" s="10" t="s">
        <v>6317</v>
      </c>
      <c r="H1581" s="11">
        <v>38275</v>
      </c>
      <c r="I1581" s="10">
        <v>2004</v>
      </c>
      <c r="J1581" s="10" t="s">
        <v>13157</v>
      </c>
      <c r="K1581" s="10">
        <v>447</v>
      </c>
      <c r="L1581" s="10" t="s">
        <v>13163</v>
      </c>
      <c r="M1581" s="10">
        <v>1</v>
      </c>
      <c r="N1581" s="10" t="s">
        <v>13164</v>
      </c>
      <c r="O1581" s="10"/>
      <c r="P1581" s="10" t="s">
        <v>13165</v>
      </c>
      <c r="Q1581" s="10" t="s">
        <v>13166</v>
      </c>
      <c r="R1581" s="10" t="s">
        <v>13167</v>
      </c>
      <c r="S1581" s="10" t="s">
        <v>53</v>
      </c>
      <c r="T1581" s="10" t="s">
        <v>54</v>
      </c>
    </row>
    <row r="1582" spans="1:20" ht="14.5" x14ac:dyDescent="0.35">
      <c r="A1582" s="10" t="s">
        <v>13168</v>
      </c>
      <c r="B1582" s="10" t="str">
        <f>"9780226502410"</f>
        <v>9780226502410</v>
      </c>
      <c r="C1582" s="10" t="str">
        <f>"9780226502403"</f>
        <v>9780226502403</v>
      </c>
      <c r="D1582" s="10" t="s">
        <v>13157</v>
      </c>
      <c r="E1582" s="10" t="s">
        <v>13157</v>
      </c>
      <c r="F1582" s="10" t="s">
        <v>324</v>
      </c>
      <c r="G1582" s="10" t="s">
        <v>6317</v>
      </c>
      <c r="H1582" s="11">
        <v>38231</v>
      </c>
      <c r="I1582" s="10">
        <v>2004</v>
      </c>
      <c r="J1582" s="10" t="s">
        <v>13157</v>
      </c>
      <c r="K1582" s="10">
        <v>213</v>
      </c>
      <c r="L1582" s="10" t="s">
        <v>13169</v>
      </c>
      <c r="M1582" s="10">
        <v>1</v>
      </c>
      <c r="N1582" s="10" t="s">
        <v>13170</v>
      </c>
      <c r="O1582" s="10"/>
      <c r="P1582" s="10" t="s">
        <v>13171</v>
      </c>
      <c r="Q1582" s="10">
        <v>370.82</v>
      </c>
      <c r="R1582" s="10" t="s">
        <v>13172</v>
      </c>
      <c r="S1582" s="10" t="s">
        <v>53</v>
      </c>
      <c r="T1582" s="10" t="s">
        <v>54</v>
      </c>
    </row>
    <row r="1583" spans="1:20" ht="14.5" x14ac:dyDescent="0.35">
      <c r="A1583" s="10" t="s">
        <v>13173</v>
      </c>
      <c r="B1583" s="10" t="str">
        <f>"9780226110509"</f>
        <v>9780226110509</v>
      </c>
      <c r="C1583" s="10" t="str">
        <f>"9780226110622"</f>
        <v>9780226110622</v>
      </c>
      <c r="D1583" s="10" t="s">
        <v>13157</v>
      </c>
      <c r="E1583" s="10" t="s">
        <v>13157</v>
      </c>
      <c r="F1583" s="10" t="s">
        <v>324</v>
      </c>
      <c r="G1583" s="10" t="s">
        <v>6317</v>
      </c>
      <c r="H1583" s="11">
        <v>33604</v>
      </c>
      <c r="I1583" s="10">
        <v>1991</v>
      </c>
      <c r="J1583" s="10" t="s">
        <v>13157</v>
      </c>
      <c r="K1583" s="10">
        <v>436</v>
      </c>
      <c r="L1583" s="10" t="s">
        <v>13174</v>
      </c>
      <c r="M1583" s="10">
        <v>1</v>
      </c>
      <c r="N1583" s="10" t="s">
        <v>13175</v>
      </c>
      <c r="O1583" s="10"/>
      <c r="P1583" s="10" t="s">
        <v>13176</v>
      </c>
      <c r="Q1583" s="10">
        <v>338.47378730000003</v>
      </c>
      <c r="R1583" s="10" t="s">
        <v>13177</v>
      </c>
      <c r="S1583" s="10" t="s">
        <v>53</v>
      </c>
      <c r="T1583" s="10" t="s">
        <v>9950</v>
      </c>
    </row>
    <row r="1584" spans="1:20" ht="14.5" x14ac:dyDescent="0.35">
      <c r="A1584" s="10" t="s">
        <v>13178</v>
      </c>
      <c r="B1584" s="10" t="str">
        <f>"9780226267869"</f>
        <v>9780226267869</v>
      </c>
      <c r="C1584" s="10" t="str">
        <f>"9780226267951"</f>
        <v>9780226267951</v>
      </c>
      <c r="D1584" s="10" t="s">
        <v>13157</v>
      </c>
      <c r="E1584" s="10" t="s">
        <v>13157</v>
      </c>
      <c r="F1584" s="10" t="s">
        <v>324</v>
      </c>
      <c r="G1584" s="10" t="s">
        <v>6317</v>
      </c>
      <c r="H1584" s="11">
        <v>35065</v>
      </c>
      <c r="I1584" s="10">
        <v>1995</v>
      </c>
      <c r="J1584" s="10" t="s">
        <v>13157</v>
      </c>
      <c r="K1584" s="10">
        <v>366</v>
      </c>
      <c r="L1584" s="10" t="s">
        <v>13179</v>
      </c>
      <c r="M1584" s="10">
        <v>1</v>
      </c>
      <c r="N1584" s="10" t="s">
        <v>13164</v>
      </c>
      <c r="O1584" s="10"/>
      <c r="P1584" s="10" t="s">
        <v>13180</v>
      </c>
      <c r="Q1584" s="10">
        <v>361.97300000000001</v>
      </c>
      <c r="R1584" s="10" t="s">
        <v>13181</v>
      </c>
      <c r="S1584" s="10" t="s">
        <v>53</v>
      </c>
      <c r="T1584" s="10" t="s">
        <v>6363</v>
      </c>
    </row>
    <row r="1585" spans="1:20" ht="14.5" x14ac:dyDescent="0.35">
      <c r="A1585" s="10" t="s">
        <v>13182</v>
      </c>
      <c r="B1585" s="10" t="str">
        <f>"9780226474120"</f>
        <v>9780226474120</v>
      </c>
      <c r="C1585" s="10" t="str">
        <f>"9780226474151"</f>
        <v>9780226474151</v>
      </c>
      <c r="D1585" s="10" t="s">
        <v>13157</v>
      </c>
      <c r="E1585" s="10" t="s">
        <v>13157</v>
      </c>
      <c r="F1585" s="10" t="s">
        <v>324</v>
      </c>
      <c r="G1585" s="10" t="s">
        <v>6317</v>
      </c>
      <c r="H1585" s="11">
        <v>27317</v>
      </c>
      <c r="I1585" s="10">
        <v>1970</v>
      </c>
      <c r="J1585" s="10" t="s">
        <v>13157</v>
      </c>
      <c r="K1585" s="10">
        <v>195</v>
      </c>
      <c r="L1585" s="10" t="s">
        <v>13183</v>
      </c>
      <c r="M1585" s="10">
        <v>1</v>
      </c>
      <c r="N1585" s="10" t="s">
        <v>13184</v>
      </c>
      <c r="O1585" s="10"/>
      <c r="P1585" s="10" t="s">
        <v>13185</v>
      </c>
      <c r="Q1585" s="10" t="s">
        <v>13186</v>
      </c>
      <c r="R1585" s="10" t="s">
        <v>13187</v>
      </c>
      <c r="S1585" s="10" t="s">
        <v>53</v>
      </c>
      <c r="T1585" s="10" t="s">
        <v>54</v>
      </c>
    </row>
    <row r="1586" spans="1:20" ht="14.5" x14ac:dyDescent="0.35">
      <c r="A1586" s="10" t="s">
        <v>13188</v>
      </c>
      <c r="B1586" s="10" t="str">
        <f>"9780226475530"</f>
        <v>9780226475530</v>
      </c>
      <c r="C1586" s="10" t="str">
        <f>"9780226475783"</f>
        <v>9780226475783</v>
      </c>
      <c r="D1586" s="10" t="s">
        <v>13157</v>
      </c>
      <c r="E1586" s="10" t="s">
        <v>13157</v>
      </c>
      <c r="F1586" s="10" t="s">
        <v>324</v>
      </c>
      <c r="G1586" s="10" t="s">
        <v>6317</v>
      </c>
      <c r="H1586" s="11">
        <v>39036</v>
      </c>
      <c r="I1586" s="10">
        <v>2006</v>
      </c>
      <c r="J1586" s="10" t="s">
        <v>13157</v>
      </c>
      <c r="K1586" s="10">
        <v>319</v>
      </c>
      <c r="L1586" s="10" t="s">
        <v>13189</v>
      </c>
      <c r="M1586" s="10">
        <v>1</v>
      </c>
      <c r="N1586" s="10"/>
      <c r="O1586" s="10"/>
      <c r="P1586" s="10" t="s">
        <v>13190</v>
      </c>
      <c r="Q1586" s="10">
        <v>378.012</v>
      </c>
      <c r="R1586" s="10" t="s">
        <v>13191</v>
      </c>
      <c r="S1586" s="10" t="s">
        <v>53</v>
      </c>
      <c r="T1586" s="10" t="s">
        <v>54</v>
      </c>
    </row>
    <row r="1587" spans="1:20" ht="14.5" x14ac:dyDescent="0.35">
      <c r="A1587" s="10" t="s">
        <v>13192</v>
      </c>
      <c r="B1587" s="10" t="str">
        <f>"9780226505107"</f>
        <v>9780226505107</v>
      </c>
      <c r="C1587" s="10" t="str">
        <f>"9780226505015"</f>
        <v>9780226505015</v>
      </c>
      <c r="D1587" s="10" t="s">
        <v>13157</v>
      </c>
      <c r="E1587" s="10" t="s">
        <v>13157</v>
      </c>
      <c r="F1587" s="10" t="s">
        <v>324</v>
      </c>
      <c r="G1587" s="10" t="s">
        <v>6317</v>
      </c>
      <c r="H1587" s="11">
        <v>33288</v>
      </c>
      <c r="I1587" s="10">
        <v>1990</v>
      </c>
      <c r="J1587" s="10" t="s">
        <v>13157</v>
      </c>
      <c r="K1587" s="10">
        <v>175</v>
      </c>
      <c r="L1587" s="10" t="s">
        <v>13193</v>
      </c>
      <c r="M1587" s="10">
        <v>1</v>
      </c>
      <c r="N1587" s="10" t="s">
        <v>13194</v>
      </c>
      <c r="O1587" s="10"/>
      <c r="P1587" s="10" t="s">
        <v>13195</v>
      </c>
      <c r="Q1587" s="10" t="s">
        <v>13196</v>
      </c>
      <c r="R1587" s="10" t="s">
        <v>13197</v>
      </c>
      <c r="S1587" s="10" t="s">
        <v>53</v>
      </c>
      <c r="T1587" s="10" t="s">
        <v>9950</v>
      </c>
    </row>
    <row r="1588" spans="1:20" ht="14.5" x14ac:dyDescent="0.35">
      <c r="A1588" s="10" t="s">
        <v>13198</v>
      </c>
      <c r="B1588" s="10" t="str">
        <f>"9780226309224"</f>
        <v>9780226309224</v>
      </c>
      <c r="C1588" s="10" t="str">
        <f>"9780226309262"</f>
        <v>9780226309262</v>
      </c>
      <c r="D1588" s="10" t="s">
        <v>13157</v>
      </c>
      <c r="E1588" s="10" t="s">
        <v>13157</v>
      </c>
      <c r="F1588" s="10" t="s">
        <v>324</v>
      </c>
      <c r="G1588" s="10" t="s">
        <v>6317</v>
      </c>
      <c r="H1588" s="11">
        <v>39661</v>
      </c>
      <c r="I1588" s="10">
        <v>2008</v>
      </c>
      <c r="J1588" s="10" t="s">
        <v>13157</v>
      </c>
      <c r="K1588" s="10">
        <v>224</v>
      </c>
      <c r="L1588" s="10" t="s">
        <v>13199</v>
      </c>
      <c r="M1588" s="10">
        <v>1</v>
      </c>
      <c r="N1588" s="10"/>
      <c r="O1588" s="10"/>
      <c r="P1588" s="10" t="s">
        <v>13200</v>
      </c>
      <c r="Q1588" s="10">
        <v>418.4</v>
      </c>
      <c r="R1588" s="10" t="s">
        <v>13201</v>
      </c>
      <c r="S1588" s="10" t="s">
        <v>53</v>
      </c>
      <c r="T1588" s="10" t="s">
        <v>6634</v>
      </c>
    </row>
    <row r="1589" spans="1:20" ht="14.5" x14ac:dyDescent="0.35">
      <c r="A1589" s="10" t="s">
        <v>13202</v>
      </c>
      <c r="B1589" s="10" t="str">
        <f>"9780226569604"</f>
        <v>9780226569604</v>
      </c>
      <c r="C1589" s="10" t="str">
        <f>"9780226569628"</f>
        <v>9780226569628</v>
      </c>
      <c r="D1589" s="10" t="s">
        <v>13157</v>
      </c>
      <c r="E1589" s="10" t="s">
        <v>13157</v>
      </c>
      <c r="F1589" s="10" t="s">
        <v>324</v>
      </c>
      <c r="G1589" s="10" t="s">
        <v>6317</v>
      </c>
      <c r="H1589" s="11">
        <v>39326</v>
      </c>
      <c r="I1589" s="10">
        <v>2007</v>
      </c>
      <c r="J1589" s="10" t="s">
        <v>13157</v>
      </c>
      <c r="K1589" s="10">
        <v>274</v>
      </c>
      <c r="L1589" s="10" t="s">
        <v>13203</v>
      </c>
      <c r="M1589" s="10">
        <v>1</v>
      </c>
      <c r="N1589" s="10"/>
      <c r="O1589" s="10"/>
      <c r="P1589" s="10" t="s">
        <v>13204</v>
      </c>
      <c r="Q1589" s="10" t="s">
        <v>13205</v>
      </c>
      <c r="R1589" s="10" t="s">
        <v>13206</v>
      </c>
      <c r="S1589" s="10" t="s">
        <v>53</v>
      </c>
      <c r="T1589" s="10" t="s">
        <v>54</v>
      </c>
    </row>
    <row r="1590" spans="1:20" ht="14.5" x14ac:dyDescent="0.35">
      <c r="A1590" s="10" t="s">
        <v>13207</v>
      </c>
      <c r="B1590" s="10" t="str">
        <f>"9780226306254"</f>
        <v>9780226306254</v>
      </c>
      <c r="C1590" s="10" t="str">
        <f>"9780226306261"</f>
        <v>9780226306261</v>
      </c>
      <c r="D1590" s="10" t="s">
        <v>13157</v>
      </c>
      <c r="E1590" s="10" t="s">
        <v>13157</v>
      </c>
      <c r="F1590" s="10" t="s">
        <v>324</v>
      </c>
      <c r="G1590" s="10" t="s">
        <v>6317</v>
      </c>
      <c r="H1590" s="11">
        <v>39356</v>
      </c>
      <c r="I1590" s="10">
        <v>2007</v>
      </c>
      <c r="J1590" s="10" t="s">
        <v>13157</v>
      </c>
      <c r="K1590" s="10">
        <v>334</v>
      </c>
      <c r="L1590" s="10" t="s">
        <v>13208</v>
      </c>
      <c r="M1590" s="10">
        <v>1</v>
      </c>
      <c r="N1590" s="10"/>
      <c r="O1590" s="10"/>
      <c r="P1590" s="10" t="s">
        <v>13209</v>
      </c>
      <c r="Q1590" s="10" t="s">
        <v>13210</v>
      </c>
      <c r="R1590" s="10" t="s">
        <v>13211</v>
      </c>
      <c r="S1590" s="10" t="s">
        <v>53</v>
      </c>
      <c r="T1590" s="10" t="s">
        <v>9608</v>
      </c>
    </row>
    <row r="1591" spans="1:20" ht="14.5" x14ac:dyDescent="0.35">
      <c r="A1591" s="10" t="s">
        <v>13212</v>
      </c>
      <c r="B1591" s="10" t="str">
        <f>"9780226110547"</f>
        <v>9780226110547</v>
      </c>
      <c r="C1591" s="10" t="str">
        <f>"9780226110646"</f>
        <v>9780226110646</v>
      </c>
      <c r="D1591" s="10" t="s">
        <v>13157</v>
      </c>
      <c r="E1591" s="10" t="s">
        <v>13157</v>
      </c>
      <c r="F1591" s="10" t="s">
        <v>324</v>
      </c>
      <c r="G1591" s="10" t="s">
        <v>6317</v>
      </c>
      <c r="H1591" s="11">
        <v>34090</v>
      </c>
      <c r="I1591" s="10">
        <v>1993</v>
      </c>
      <c r="J1591" s="10" t="s">
        <v>13157</v>
      </c>
      <c r="K1591" s="10">
        <v>308</v>
      </c>
      <c r="L1591" s="10" t="s">
        <v>13213</v>
      </c>
      <c r="M1591" s="10">
        <v>1</v>
      </c>
      <c r="N1591" s="10" t="s">
        <v>13214</v>
      </c>
      <c r="O1591" s="10"/>
      <c r="P1591" s="10" t="s">
        <v>13176</v>
      </c>
      <c r="Q1591" s="10">
        <v>338.47378730000003</v>
      </c>
      <c r="R1591" s="10" t="s">
        <v>13215</v>
      </c>
      <c r="S1591" s="10" t="s">
        <v>53</v>
      </c>
      <c r="T1591" s="10" t="s">
        <v>7901</v>
      </c>
    </row>
    <row r="1592" spans="1:20" ht="14.5" x14ac:dyDescent="0.35">
      <c r="A1592" s="10" t="s">
        <v>13216</v>
      </c>
      <c r="B1592" s="10" t="str">
        <f>"9780226753386"</f>
        <v>9780226753386</v>
      </c>
      <c r="C1592" s="10" t="str">
        <f>"9780226753409"</f>
        <v>9780226753409</v>
      </c>
      <c r="D1592" s="10" t="s">
        <v>13157</v>
      </c>
      <c r="E1592" s="10" t="s">
        <v>13157</v>
      </c>
      <c r="F1592" s="10" t="s">
        <v>324</v>
      </c>
      <c r="G1592" s="10" t="s">
        <v>6317</v>
      </c>
      <c r="H1592" s="11">
        <v>35758</v>
      </c>
      <c r="I1592" s="10">
        <v>1997</v>
      </c>
      <c r="J1592" s="10" t="s">
        <v>13157</v>
      </c>
      <c r="K1592" s="10">
        <v>312</v>
      </c>
      <c r="L1592" s="10" t="s">
        <v>13217</v>
      </c>
      <c r="M1592" s="10">
        <v>1</v>
      </c>
      <c r="N1592" s="10"/>
      <c r="O1592" s="10"/>
      <c r="P1592" s="10" t="s">
        <v>13218</v>
      </c>
      <c r="Q1592" s="10">
        <v>378.01400000000001</v>
      </c>
      <c r="R1592" s="10" t="s">
        <v>13219</v>
      </c>
      <c r="S1592" s="10" t="s">
        <v>53</v>
      </c>
      <c r="T1592" s="10" t="s">
        <v>54</v>
      </c>
    </row>
    <row r="1593" spans="1:20" ht="14.5" x14ac:dyDescent="0.35">
      <c r="A1593" s="10" t="s">
        <v>13220</v>
      </c>
      <c r="B1593" s="10" t="str">
        <f>"9780226010540"</f>
        <v>9780226010540</v>
      </c>
      <c r="C1593" s="10" t="str">
        <f>"9780226010564"</f>
        <v>9780226010564</v>
      </c>
      <c r="D1593" s="10" t="s">
        <v>13157</v>
      </c>
      <c r="E1593" s="10" t="s">
        <v>13157</v>
      </c>
      <c r="F1593" s="10" t="s">
        <v>324</v>
      </c>
      <c r="G1593" s="10" t="s">
        <v>6317</v>
      </c>
      <c r="H1593" s="11">
        <v>38487</v>
      </c>
      <c r="I1593" s="10">
        <v>2005</v>
      </c>
      <c r="J1593" s="10" t="s">
        <v>13157</v>
      </c>
      <c r="K1593" s="10">
        <v>215</v>
      </c>
      <c r="L1593" s="10" t="s">
        <v>13221</v>
      </c>
      <c r="M1593" s="10">
        <v>1</v>
      </c>
      <c r="N1593" s="10" t="s">
        <v>13170</v>
      </c>
      <c r="O1593" s="10"/>
      <c r="P1593" s="10" t="s">
        <v>13222</v>
      </c>
      <c r="Q1593" s="10" t="s">
        <v>13223</v>
      </c>
      <c r="R1593" s="10" t="s">
        <v>13224</v>
      </c>
      <c r="S1593" s="10" t="s">
        <v>53</v>
      </c>
      <c r="T1593" s="10" t="s">
        <v>54</v>
      </c>
    </row>
    <row r="1594" spans="1:20" ht="14.5" x14ac:dyDescent="0.35">
      <c r="A1594" s="10" t="s">
        <v>13225</v>
      </c>
      <c r="B1594" s="10" t="str">
        <f>"9780226355337"</f>
        <v>9780226355337</v>
      </c>
      <c r="C1594" s="10" t="str">
        <f>"9780226355344"</f>
        <v>9780226355344</v>
      </c>
      <c r="D1594" s="10" t="s">
        <v>13157</v>
      </c>
      <c r="E1594" s="10" t="s">
        <v>13157</v>
      </c>
      <c r="F1594" s="10" t="s">
        <v>324</v>
      </c>
      <c r="G1594" s="10" t="s">
        <v>6317</v>
      </c>
      <c r="H1594" s="11">
        <v>37712</v>
      </c>
      <c r="I1594" s="10">
        <v>2003</v>
      </c>
      <c r="J1594" s="10" t="s">
        <v>13157</v>
      </c>
      <c r="K1594" s="10">
        <v>367</v>
      </c>
      <c r="L1594" s="10" t="s">
        <v>13163</v>
      </c>
      <c r="M1594" s="10">
        <v>1</v>
      </c>
      <c r="N1594" s="10" t="s">
        <v>13164</v>
      </c>
      <c r="O1594" s="10"/>
      <c r="P1594" s="10" t="s">
        <v>13226</v>
      </c>
      <c r="Q1594" s="10">
        <v>379.11099999999999</v>
      </c>
      <c r="R1594" s="10" t="s">
        <v>13227</v>
      </c>
      <c r="S1594" s="10" t="s">
        <v>53</v>
      </c>
      <c r="T1594" s="10" t="s">
        <v>54</v>
      </c>
    </row>
    <row r="1595" spans="1:20" ht="14.5" x14ac:dyDescent="0.35">
      <c r="A1595" s="10" t="s">
        <v>13228</v>
      </c>
      <c r="B1595" s="10" t="str">
        <f>"9780226190365"</f>
        <v>9780226190365</v>
      </c>
      <c r="C1595" s="10" t="str">
        <f>"9780226190402"</f>
        <v>9780226190402</v>
      </c>
      <c r="D1595" s="10" t="s">
        <v>13157</v>
      </c>
      <c r="E1595" s="10" t="s">
        <v>13157</v>
      </c>
      <c r="F1595" s="10" t="s">
        <v>324</v>
      </c>
      <c r="G1595" s="10" t="s">
        <v>6317</v>
      </c>
      <c r="H1595" s="11">
        <v>35551</v>
      </c>
      <c r="I1595" s="10">
        <v>1997</v>
      </c>
      <c r="J1595" s="10" t="s">
        <v>13157</v>
      </c>
      <c r="K1595" s="10">
        <v>312</v>
      </c>
      <c r="L1595" s="10" t="s">
        <v>13229</v>
      </c>
      <c r="M1595" s="10">
        <v>1</v>
      </c>
      <c r="N1595" s="10"/>
      <c r="O1595" s="10"/>
      <c r="P1595" s="10" t="s">
        <v>13230</v>
      </c>
      <c r="Q1595" s="10" t="s">
        <v>7600</v>
      </c>
      <c r="R1595" s="10" t="s">
        <v>9804</v>
      </c>
      <c r="S1595" s="10" t="s">
        <v>53</v>
      </c>
      <c r="T1595" s="10" t="s">
        <v>54</v>
      </c>
    </row>
    <row r="1596" spans="1:20" ht="14.5" x14ac:dyDescent="0.35">
      <c r="A1596" s="10" t="s">
        <v>13231</v>
      </c>
      <c r="B1596" s="10" t="str">
        <f>"9780226110653"</f>
        <v>9780226110653</v>
      </c>
      <c r="C1596" s="10" t="str">
        <f>"9780226110677"</f>
        <v>9780226110677</v>
      </c>
      <c r="D1596" s="10" t="s">
        <v>13157</v>
      </c>
      <c r="E1596" s="10" t="s">
        <v>13157</v>
      </c>
      <c r="F1596" s="10" t="s">
        <v>324</v>
      </c>
      <c r="G1596" s="10" t="s">
        <v>6317</v>
      </c>
      <c r="H1596" s="11">
        <v>39217</v>
      </c>
      <c r="I1596" s="10">
        <v>2007</v>
      </c>
      <c r="J1596" s="10" t="s">
        <v>13157</v>
      </c>
      <c r="K1596" s="10">
        <v>278</v>
      </c>
      <c r="L1596" s="10" t="s">
        <v>13232</v>
      </c>
      <c r="M1596" s="10">
        <v>1</v>
      </c>
      <c r="N1596" s="10" t="s">
        <v>13233</v>
      </c>
      <c r="O1596" s="10"/>
      <c r="P1596" s="10" t="s">
        <v>13234</v>
      </c>
      <c r="Q1596" s="10"/>
      <c r="R1596" s="10" t="s">
        <v>13235</v>
      </c>
      <c r="S1596" s="10" t="s">
        <v>53</v>
      </c>
      <c r="T1596" s="10" t="s">
        <v>54</v>
      </c>
    </row>
    <row r="1597" spans="1:20" ht="14.5" x14ac:dyDescent="0.35">
      <c r="A1597" s="10" t="s">
        <v>13236</v>
      </c>
      <c r="B1597" s="10" t="str">
        <f>"9780226065755"</f>
        <v>9780226065755</v>
      </c>
      <c r="C1597" s="10" t="str">
        <f>"9780226065700"</f>
        <v>9780226065700</v>
      </c>
      <c r="D1597" s="10" t="s">
        <v>13157</v>
      </c>
      <c r="E1597" s="10" t="s">
        <v>13157</v>
      </c>
      <c r="F1597" s="10" t="s">
        <v>324</v>
      </c>
      <c r="G1597" s="10" t="s">
        <v>6317</v>
      </c>
      <c r="H1597" s="11">
        <v>24624</v>
      </c>
      <c r="I1597" s="10">
        <v>1967</v>
      </c>
      <c r="J1597" s="10" t="s">
        <v>13157</v>
      </c>
      <c r="K1597" s="10">
        <v>228</v>
      </c>
      <c r="L1597" s="10" t="s">
        <v>13237</v>
      </c>
      <c r="M1597" s="10">
        <v>1</v>
      </c>
      <c r="N1597" s="10"/>
      <c r="O1597" s="10"/>
      <c r="P1597" s="10" t="s">
        <v>13238</v>
      </c>
      <c r="Q1597" s="10"/>
      <c r="R1597" s="10" t="s">
        <v>13239</v>
      </c>
      <c r="S1597" s="10" t="s">
        <v>53</v>
      </c>
      <c r="T1597" s="10" t="s">
        <v>54</v>
      </c>
    </row>
    <row r="1598" spans="1:20" ht="14.5" x14ac:dyDescent="0.35">
      <c r="A1598" s="10" t="s">
        <v>13240</v>
      </c>
      <c r="B1598" s="10" t="str">
        <f>"9780226037325"</f>
        <v>9780226037325</v>
      </c>
      <c r="C1598" s="10" t="str">
        <f>"9780226037349"</f>
        <v>9780226037349</v>
      </c>
      <c r="D1598" s="10" t="s">
        <v>13157</v>
      </c>
      <c r="E1598" s="10" t="s">
        <v>13157</v>
      </c>
      <c r="F1598" s="10" t="s">
        <v>324</v>
      </c>
      <c r="G1598" s="10" t="s">
        <v>6317</v>
      </c>
      <c r="H1598" s="11">
        <v>35704</v>
      </c>
      <c r="I1598" s="10">
        <v>1997</v>
      </c>
      <c r="J1598" s="10" t="s">
        <v>13157</v>
      </c>
      <c r="K1598" s="10">
        <v>374</v>
      </c>
      <c r="L1598" s="10" t="s">
        <v>13241</v>
      </c>
      <c r="M1598" s="10">
        <v>1998</v>
      </c>
      <c r="N1598" s="10"/>
      <c r="O1598" s="10"/>
      <c r="P1598" s="10" t="s">
        <v>13242</v>
      </c>
      <c r="Q1598" s="10">
        <v>305.42</v>
      </c>
      <c r="R1598" s="10" t="s">
        <v>13243</v>
      </c>
      <c r="S1598" s="10" t="s">
        <v>53</v>
      </c>
      <c r="T1598" s="10" t="s">
        <v>13244</v>
      </c>
    </row>
    <row r="1599" spans="1:20" ht="14.5" x14ac:dyDescent="0.35">
      <c r="A1599" s="10" t="s">
        <v>13245</v>
      </c>
      <c r="B1599" s="10" t="str">
        <f>"9780226498102"</f>
        <v>9780226498102</v>
      </c>
      <c r="C1599" s="10" t="str">
        <f>"9780226498157"</f>
        <v>9780226498157</v>
      </c>
      <c r="D1599" s="10" t="s">
        <v>13157</v>
      </c>
      <c r="E1599" s="10" t="s">
        <v>13157</v>
      </c>
      <c r="F1599" s="10" t="s">
        <v>324</v>
      </c>
      <c r="G1599" s="10" t="s">
        <v>6317</v>
      </c>
      <c r="H1599" s="11">
        <v>34516</v>
      </c>
      <c r="I1599" s="10">
        <v>1994</v>
      </c>
      <c r="J1599" s="10" t="s">
        <v>13157</v>
      </c>
      <c r="K1599" s="10">
        <v>332</v>
      </c>
      <c r="L1599" s="10" t="s">
        <v>13246</v>
      </c>
      <c r="M1599" s="10">
        <v>1</v>
      </c>
      <c r="N1599" s="10" t="s">
        <v>13247</v>
      </c>
      <c r="O1599" s="10"/>
      <c r="P1599" s="10" t="s">
        <v>13248</v>
      </c>
      <c r="Q1599" s="10" t="s">
        <v>13249</v>
      </c>
      <c r="R1599" s="10" t="s">
        <v>13250</v>
      </c>
      <c r="S1599" s="10" t="s">
        <v>53</v>
      </c>
      <c r="T1599" s="10" t="s">
        <v>10311</v>
      </c>
    </row>
    <row r="1600" spans="1:20" ht="14.5" x14ac:dyDescent="0.35">
      <c r="A1600" s="10" t="s">
        <v>13251</v>
      </c>
      <c r="B1600" s="10" t="str">
        <f>"9780749451189"</f>
        <v>9780749451189</v>
      </c>
      <c r="C1600" s="10" t="str">
        <f>"9780749455712"</f>
        <v>9780749455712</v>
      </c>
      <c r="D1600" s="10" t="s">
        <v>13252</v>
      </c>
      <c r="E1600" s="10" t="s">
        <v>13253</v>
      </c>
      <c r="F1600" s="10" t="s">
        <v>139</v>
      </c>
      <c r="G1600" s="10" t="s">
        <v>6352</v>
      </c>
      <c r="H1600" s="11">
        <v>39777</v>
      </c>
      <c r="I1600" s="10">
        <v>2009</v>
      </c>
      <c r="J1600" s="10" t="s">
        <v>13253</v>
      </c>
      <c r="K1600" s="10">
        <v>288</v>
      </c>
      <c r="L1600" s="10" t="s">
        <v>13254</v>
      </c>
      <c r="M1600" s="10">
        <v>2</v>
      </c>
      <c r="N1600" s="10"/>
      <c r="O1600" s="10"/>
      <c r="P1600" s="10" t="s">
        <v>13255</v>
      </c>
      <c r="Q1600" s="10">
        <v>629.28440940999997</v>
      </c>
      <c r="R1600" s="10" t="s">
        <v>13256</v>
      </c>
      <c r="S1600" s="10" t="s">
        <v>53</v>
      </c>
      <c r="T1600" s="10" t="s">
        <v>13257</v>
      </c>
    </row>
    <row r="1601" spans="1:20" ht="14.5" x14ac:dyDescent="0.35">
      <c r="A1601" s="10" t="s">
        <v>13258</v>
      </c>
      <c r="B1601" s="10" t="str">
        <f>"9780814409817"</f>
        <v>9780814409817</v>
      </c>
      <c r="C1601" s="10" t="str">
        <f>"9780814412916"</f>
        <v>9780814412916</v>
      </c>
      <c r="D1601" s="10" t="s">
        <v>9200</v>
      </c>
      <c r="E1601" s="10" t="s">
        <v>9201</v>
      </c>
      <c r="F1601" s="10" t="s">
        <v>13259</v>
      </c>
      <c r="G1601" s="10" t="s">
        <v>6317</v>
      </c>
      <c r="H1601" s="11">
        <v>39652</v>
      </c>
      <c r="I1601" s="10">
        <v>2008</v>
      </c>
      <c r="J1601" s="10" t="s">
        <v>9201</v>
      </c>
      <c r="K1601" s="10">
        <v>257</v>
      </c>
      <c r="L1601" s="10" t="s">
        <v>13260</v>
      </c>
      <c r="M1601" s="10">
        <v>1</v>
      </c>
      <c r="N1601" s="10"/>
      <c r="O1601" s="10"/>
      <c r="P1601" s="10" t="s">
        <v>13261</v>
      </c>
      <c r="Q1601" s="10" t="s">
        <v>13262</v>
      </c>
      <c r="R1601" s="10" t="s">
        <v>13263</v>
      </c>
      <c r="S1601" s="10" t="s">
        <v>53</v>
      </c>
      <c r="T1601" s="10" t="s">
        <v>54</v>
      </c>
    </row>
    <row r="1602" spans="1:20" ht="14.5" x14ac:dyDescent="0.35">
      <c r="A1602" s="10" t="s">
        <v>13264</v>
      </c>
      <c r="B1602" s="10" t="str">
        <f>"9780335228706"</f>
        <v>9780335228706</v>
      </c>
      <c r="C1602" s="10" t="str">
        <f>"9780335236800"</f>
        <v>9780335236800</v>
      </c>
      <c r="D1602" s="10" t="s">
        <v>10342</v>
      </c>
      <c r="E1602" s="10" t="s">
        <v>10343</v>
      </c>
      <c r="F1602" s="10" t="s">
        <v>10354</v>
      </c>
      <c r="G1602" s="10" t="s">
        <v>6352</v>
      </c>
      <c r="H1602" s="11">
        <v>39753</v>
      </c>
      <c r="I1602" s="10">
        <v>2009</v>
      </c>
      <c r="J1602" s="10" t="s">
        <v>10345</v>
      </c>
      <c r="K1602" s="10">
        <v>244</v>
      </c>
      <c r="L1602" s="10" t="s">
        <v>13265</v>
      </c>
      <c r="M1602" s="10">
        <v>2</v>
      </c>
      <c r="N1602" s="10"/>
      <c r="O1602" s="10"/>
      <c r="P1602" s="10" t="s">
        <v>13266</v>
      </c>
      <c r="Q1602" s="10">
        <v>305.23</v>
      </c>
      <c r="R1602" s="10" t="s">
        <v>13267</v>
      </c>
      <c r="S1602" s="10" t="s">
        <v>53</v>
      </c>
      <c r="T1602" s="10" t="s">
        <v>6363</v>
      </c>
    </row>
    <row r="1603" spans="1:20" ht="14.5" x14ac:dyDescent="0.35">
      <c r="A1603" s="10" t="s">
        <v>13268</v>
      </c>
      <c r="B1603" s="10" t="str">
        <f>"9780335227211"</f>
        <v>9780335227211</v>
      </c>
      <c r="C1603" s="10" t="str">
        <f>"9780335236824"</f>
        <v>9780335236824</v>
      </c>
      <c r="D1603" s="10" t="s">
        <v>10342</v>
      </c>
      <c r="E1603" s="10" t="s">
        <v>10343</v>
      </c>
      <c r="F1603" s="10" t="s">
        <v>10344</v>
      </c>
      <c r="G1603" s="10" t="s">
        <v>6352</v>
      </c>
      <c r="H1603" s="11">
        <v>39753</v>
      </c>
      <c r="I1603" s="10">
        <v>2008</v>
      </c>
      <c r="J1603" s="10" t="s">
        <v>10343</v>
      </c>
      <c r="K1603" s="10">
        <v>240</v>
      </c>
      <c r="L1603" s="10" t="s">
        <v>13269</v>
      </c>
      <c r="M1603" s="10">
        <v>1</v>
      </c>
      <c r="N1603" s="10" t="s">
        <v>10408</v>
      </c>
      <c r="O1603" s="10"/>
      <c r="P1603" s="10" t="s">
        <v>13270</v>
      </c>
      <c r="Q1603" s="10"/>
      <c r="R1603" s="10" t="s">
        <v>13271</v>
      </c>
      <c r="S1603" s="10" t="s">
        <v>53</v>
      </c>
      <c r="T1603" s="10" t="s">
        <v>54</v>
      </c>
    </row>
    <row r="1604" spans="1:20" ht="14.5" x14ac:dyDescent="0.35">
      <c r="A1604" s="10" t="s">
        <v>13272</v>
      </c>
      <c r="B1604" s="10" t="str">
        <f>"9780335228621"</f>
        <v>9780335228621</v>
      </c>
      <c r="C1604" s="10" t="str">
        <f>"9780335236848"</f>
        <v>9780335236848</v>
      </c>
      <c r="D1604" s="10" t="s">
        <v>10342</v>
      </c>
      <c r="E1604" s="10" t="s">
        <v>10343</v>
      </c>
      <c r="F1604" s="10" t="s">
        <v>10344</v>
      </c>
      <c r="G1604" s="10" t="s">
        <v>6352</v>
      </c>
      <c r="H1604" s="11">
        <v>39692</v>
      </c>
      <c r="I1604" s="10">
        <v>2008</v>
      </c>
      <c r="J1604" s="10" t="s">
        <v>10345</v>
      </c>
      <c r="K1604" s="10">
        <v>266</v>
      </c>
      <c r="L1604" s="10" t="s">
        <v>13273</v>
      </c>
      <c r="M1604" s="10">
        <v>1</v>
      </c>
      <c r="N1604" s="10" t="s">
        <v>10347</v>
      </c>
      <c r="O1604" s="10"/>
      <c r="P1604" s="10" t="s">
        <v>13274</v>
      </c>
      <c r="Q1604" s="10"/>
      <c r="R1604" s="10"/>
      <c r="S1604" s="10" t="s">
        <v>53</v>
      </c>
      <c r="T1604" s="10" t="s">
        <v>54</v>
      </c>
    </row>
    <row r="1605" spans="1:20" ht="14.5" x14ac:dyDescent="0.35">
      <c r="A1605" s="10" t="s">
        <v>13275</v>
      </c>
      <c r="B1605" s="10" t="str">
        <f>"9780335223589"</f>
        <v>9780335223589</v>
      </c>
      <c r="C1605" s="10" t="str">
        <f>"9780335236930"</f>
        <v>9780335236930</v>
      </c>
      <c r="D1605" s="10" t="s">
        <v>10342</v>
      </c>
      <c r="E1605" s="10" t="s">
        <v>10343</v>
      </c>
      <c r="F1605" s="10" t="s">
        <v>10354</v>
      </c>
      <c r="G1605" s="10" t="s">
        <v>6352</v>
      </c>
      <c r="H1605" s="11">
        <v>39692</v>
      </c>
      <c r="I1605" s="10">
        <v>2008</v>
      </c>
      <c r="J1605" s="10" t="s">
        <v>10345</v>
      </c>
      <c r="K1605" s="10">
        <v>261</v>
      </c>
      <c r="L1605" s="10" t="s">
        <v>13276</v>
      </c>
      <c r="M1605" s="10">
        <v>1</v>
      </c>
      <c r="N1605" s="10" t="s">
        <v>10347</v>
      </c>
      <c r="O1605" s="10"/>
      <c r="P1605" s="10" t="s">
        <v>13277</v>
      </c>
      <c r="Q1605" s="10">
        <v>300.72000000000003</v>
      </c>
      <c r="R1605" s="10" t="s">
        <v>13278</v>
      </c>
      <c r="S1605" s="10" t="s">
        <v>53</v>
      </c>
      <c r="T1605" s="10" t="s">
        <v>6526</v>
      </c>
    </row>
    <row r="1606" spans="1:20" ht="14.5" x14ac:dyDescent="0.35">
      <c r="A1606" s="10" t="s">
        <v>13279</v>
      </c>
      <c r="B1606" s="10" t="str">
        <f>"9780335234110"</f>
        <v>9780335234110</v>
      </c>
      <c r="C1606" s="10" t="str">
        <f>"9780335236961"</f>
        <v>9780335236961</v>
      </c>
      <c r="D1606" s="10" t="s">
        <v>10342</v>
      </c>
      <c r="E1606" s="10" t="s">
        <v>10343</v>
      </c>
      <c r="F1606" s="10" t="s">
        <v>10344</v>
      </c>
      <c r="G1606" s="10" t="s">
        <v>6352</v>
      </c>
      <c r="H1606" s="11">
        <v>39722</v>
      </c>
      <c r="I1606" s="10">
        <v>2008</v>
      </c>
      <c r="J1606" s="10" t="s">
        <v>10345</v>
      </c>
      <c r="K1606" s="10">
        <v>252</v>
      </c>
      <c r="L1606" s="10" t="s">
        <v>11060</v>
      </c>
      <c r="M1606" s="10">
        <v>2</v>
      </c>
      <c r="N1606" s="10" t="s">
        <v>10347</v>
      </c>
      <c r="O1606" s="10"/>
      <c r="P1606" s="10" t="s">
        <v>13280</v>
      </c>
      <c r="Q1606" s="10">
        <v>372.72</v>
      </c>
      <c r="R1606" s="10" t="s">
        <v>13281</v>
      </c>
      <c r="S1606" s="10" t="s">
        <v>53</v>
      </c>
      <c r="T1606" s="10" t="s">
        <v>6448</v>
      </c>
    </row>
    <row r="1607" spans="1:20" ht="14.5" x14ac:dyDescent="0.35">
      <c r="A1607" s="10" t="s">
        <v>13282</v>
      </c>
      <c r="B1607" s="10" t="str">
        <f>"9780335225439"</f>
        <v>9780335225439</v>
      </c>
      <c r="C1607" s="10" t="str">
        <f>"9780335236978"</f>
        <v>9780335236978</v>
      </c>
      <c r="D1607" s="10" t="s">
        <v>10342</v>
      </c>
      <c r="E1607" s="10" t="s">
        <v>10343</v>
      </c>
      <c r="F1607" s="10" t="s">
        <v>10344</v>
      </c>
      <c r="G1607" s="10" t="s">
        <v>6352</v>
      </c>
      <c r="H1607" s="11">
        <v>39722</v>
      </c>
      <c r="I1607" s="10">
        <v>2008</v>
      </c>
      <c r="J1607" s="10" t="s">
        <v>10345</v>
      </c>
      <c r="K1607" s="10">
        <v>263</v>
      </c>
      <c r="L1607" s="10" t="s">
        <v>13283</v>
      </c>
      <c r="M1607" s="10">
        <v>1</v>
      </c>
      <c r="N1607" s="10" t="s">
        <v>10408</v>
      </c>
      <c r="O1607" s="10"/>
      <c r="P1607" s="10" t="s">
        <v>13284</v>
      </c>
      <c r="Q1607" s="10">
        <v>378.24200000000002</v>
      </c>
      <c r="R1607" s="10" t="s">
        <v>13285</v>
      </c>
      <c r="S1607" s="10" t="s">
        <v>53</v>
      </c>
      <c r="T1607" s="10" t="s">
        <v>54</v>
      </c>
    </row>
    <row r="1608" spans="1:20" ht="14.5" x14ac:dyDescent="0.35">
      <c r="A1608" s="10" t="s">
        <v>13286</v>
      </c>
      <c r="B1608" s="10" t="str">
        <f>"9789053567524"</f>
        <v>9789053567524</v>
      </c>
      <c r="C1608" s="10" t="str">
        <f>"9789048505418"</f>
        <v>9789048505418</v>
      </c>
      <c r="D1608" s="10" t="s">
        <v>13287</v>
      </c>
      <c r="E1608" s="10" t="s">
        <v>13287</v>
      </c>
      <c r="F1608" s="10" t="s">
        <v>1818</v>
      </c>
      <c r="G1608" s="10" t="s">
        <v>9233</v>
      </c>
      <c r="H1608" s="11">
        <v>38353</v>
      </c>
      <c r="I1608" s="10">
        <v>2005</v>
      </c>
      <c r="J1608" s="10" t="s">
        <v>13287</v>
      </c>
      <c r="K1608" s="10">
        <v>161</v>
      </c>
      <c r="L1608" s="10" t="s">
        <v>13288</v>
      </c>
      <c r="M1608" s="10">
        <v>1</v>
      </c>
      <c r="N1608" s="10"/>
      <c r="O1608" s="10"/>
      <c r="P1608" s="10" t="s">
        <v>13289</v>
      </c>
      <c r="Q1608" s="10">
        <v>370</v>
      </c>
      <c r="R1608" s="10" t="s">
        <v>13290</v>
      </c>
      <c r="S1608" s="10" t="s">
        <v>53</v>
      </c>
      <c r="T1608" s="10" t="s">
        <v>54</v>
      </c>
    </row>
    <row r="1609" spans="1:20" ht="14.5" x14ac:dyDescent="0.35">
      <c r="A1609" s="10" t="s">
        <v>13291</v>
      </c>
      <c r="B1609" s="10" t="str">
        <f>"9781416607571"</f>
        <v>9781416607571</v>
      </c>
      <c r="C1609" s="10" t="str">
        <f>"9781416608691"</f>
        <v>9781416608691</v>
      </c>
      <c r="D1609" s="10" t="s">
        <v>10014</v>
      </c>
      <c r="E1609" s="10" t="s">
        <v>10015</v>
      </c>
      <c r="F1609" s="10" t="s">
        <v>201</v>
      </c>
      <c r="G1609" s="10" t="s">
        <v>6317</v>
      </c>
      <c r="H1609" s="11">
        <v>39818</v>
      </c>
      <c r="I1609" s="10">
        <v>2009</v>
      </c>
      <c r="J1609" s="10" t="s">
        <v>10014</v>
      </c>
      <c r="K1609" s="10">
        <v>269</v>
      </c>
      <c r="L1609" s="10" t="s">
        <v>13292</v>
      </c>
      <c r="M1609" s="10">
        <v>1</v>
      </c>
      <c r="N1609" s="10"/>
      <c r="O1609" s="10"/>
      <c r="P1609" s="10" t="s">
        <v>13293</v>
      </c>
      <c r="Q1609" s="10">
        <v>372.47</v>
      </c>
      <c r="R1609" s="10" t="s">
        <v>10445</v>
      </c>
      <c r="S1609" s="10" t="s">
        <v>53</v>
      </c>
      <c r="T1609" s="10" t="s">
        <v>54</v>
      </c>
    </row>
    <row r="1610" spans="1:20" ht="14.5" x14ac:dyDescent="0.35">
      <c r="A1610" s="10" t="s">
        <v>13294</v>
      </c>
      <c r="B1610" s="10" t="str">
        <f>"9781416607472"</f>
        <v>9781416607472</v>
      </c>
      <c r="C1610" s="10" t="str">
        <f>"9781416608240"</f>
        <v>9781416608240</v>
      </c>
      <c r="D1610" s="10" t="s">
        <v>10014</v>
      </c>
      <c r="E1610" s="10" t="s">
        <v>10015</v>
      </c>
      <c r="F1610" s="10" t="s">
        <v>201</v>
      </c>
      <c r="G1610" s="10" t="s">
        <v>6317</v>
      </c>
      <c r="H1610" s="11">
        <v>39783</v>
      </c>
      <c r="I1610" s="10">
        <v>2008</v>
      </c>
      <c r="J1610" s="10" t="s">
        <v>10015</v>
      </c>
      <c r="K1610" s="10">
        <v>211</v>
      </c>
      <c r="L1610" s="10" t="s">
        <v>13295</v>
      </c>
      <c r="M1610" s="10">
        <v>1</v>
      </c>
      <c r="N1610" s="10"/>
      <c r="O1610" s="10"/>
      <c r="P1610" s="10" t="s">
        <v>13296</v>
      </c>
      <c r="Q1610" s="10">
        <v>371.20097299999998</v>
      </c>
      <c r="R1610" s="10" t="s">
        <v>13297</v>
      </c>
      <c r="S1610" s="10" t="s">
        <v>53</v>
      </c>
      <c r="T1610" s="10" t="s">
        <v>54</v>
      </c>
    </row>
    <row r="1611" spans="1:20" ht="14.5" x14ac:dyDescent="0.35">
      <c r="A1611" s="10" t="s">
        <v>13298</v>
      </c>
      <c r="B1611" s="10" t="str">
        <f>"9781416607410"</f>
        <v>9781416607410</v>
      </c>
      <c r="C1611" s="10" t="str">
        <f>"9781416608325"</f>
        <v>9781416608325</v>
      </c>
      <c r="D1611" s="10" t="s">
        <v>10014</v>
      </c>
      <c r="E1611" s="10" t="s">
        <v>10015</v>
      </c>
      <c r="F1611" s="10" t="s">
        <v>201</v>
      </c>
      <c r="G1611" s="10" t="s">
        <v>6317</v>
      </c>
      <c r="H1611" s="11">
        <v>39812</v>
      </c>
      <c r="I1611" s="10">
        <v>2008</v>
      </c>
      <c r="J1611" s="10" t="s">
        <v>10015</v>
      </c>
      <c r="K1611" s="10">
        <v>459</v>
      </c>
      <c r="L1611" s="10" t="s">
        <v>13299</v>
      </c>
      <c r="M1611" s="10">
        <v>1</v>
      </c>
      <c r="N1611" s="10"/>
      <c r="O1611" s="10"/>
      <c r="P1611" s="10" t="s">
        <v>13300</v>
      </c>
      <c r="Q1611" s="10" t="s">
        <v>13301</v>
      </c>
      <c r="R1611" s="10" t="s">
        <v>13302</v>
      </c>
      <c r="S1611" s="10" t="s">
        <v>53</v>
      </c>
      <c r="T1611" s="10" t="s">
        <v>54</v>
      </c>
    </row>
    <row r="1612" spans="1:20" ht="14.5" x14ac:dyDescent="0.35">
      <c r="A1612" s="10" t="s">
        <v>13303</v>
      </c>
      <c r="B1612" s="10" t="str">
        <f>"9781592136216"</f>
        <v>9781592136216</v>
      </c>
      <c r="C1612" s="10" t="str">
        <f>"9781592136230"</f>
        <v>9781592136230</v>
      </c>
      <c r="D1612" s="10" t="s">
        <v>11120</v>
      </c>
      <c r="E1612" s="10" t="s">
        <v>11120</v>
      </c>
      <c r="F1612" s="10" t="s">
        <v>319</v>
      </c>
      <c r="G1612" s="10" t="s">
        <v>6317</v>
      </c>
      <c r="H1612" s="11">
        <v>39797</v>
      </c>
      <c r="I1612" s="10">
        <v>2009</v>
      </c>
      <c r="J1612" s="10" t="s">
        <v>11120</v>
      </c>
      <c r="K1612" s="10">
        <v>225</v>
      </c>
      <c r="L1612" s="10" t="s">
        <v>13304</v>
      </c>
      <c r="M1612" s="10">
        <v>1</v>
      </c>
      <c r="N1612" s="10"/>
      <c r="O1612" s="10"/>
      <c r="P1612" s="10" t="s">
        <v>13305</v>
      </c>
      <c r="Q1612" s="10">
        <v>500.82</v>
      </c>
      <c r="R1612" s="10" t="s">
        <v>13306</v>
      </c>
      <c r="S1612" s="10" t="s">
        <v>53</v>
      </c>
      <c r="T1612" s="10" t="s">
        <v>7193</v>
      </c>
    </row>
    <row r="1613" spans="1:20" ht="14.5" x14ac:dyDescent="0.35">
      <c r="A1613" s="10" t="s">
        <v>13307</v>
      </c>
      <c r="B1613" s="10" t="str">
        <f>"9781843109518"</f>
        <v>9781843109518</v>
      </c>
      <c r="C1613" s="10" t="str">
        <f>"9781846428678"</f>
        <v>9781846428678</v>
      </c>
      <c r="D1613" s="10" t="s">
        <v>10516</v>
      </c>
      <c r="E1613" s="10" t="s">
        <v>10516</v>
      </c>
      <c r="F1613" s="10" t="s">
        <v>139</v>
      </c>
      <c r="G1613" s="10" t="s">
        <v>6352</v>
      </c>
      <c r="H1613" s="11">
        <v>39767</v>
      </c>
      <c r="I1613" s="10">
        <v>2008</v>
      </c>
      <c r="J1613" s="10" t="s">
        <v>10516</v>
      </c>
      <c r="K1613" s="10">
        <v>130</v>
      </c>
      <c r="L1613" s="10" t="s">
        <v>13308</v>
      </c>
      <c r="M1613" s="10">
        <v>1</v>
      </c>
      <c r="N1613" s="10"/>
      <c r="O1613" s="10"/>
      <c r="P1613" s="10" t="s">
        <v>13309</v>
      </c>
      <c r="Q1613" s="10">
        <v>371.10239999999999</v>
      </c>
      <c r="R1613" s="10" t="s">
        <v>13310</v>
      </c>
      <c r="S1613" s="10" t="s">
        <v>53</v>
      </c>
      <c r="T1613" s="10" t="s">
        <v>54</v>
      </c>
    </row>
    <row r="1614" spans="1:20" ht="14.5" x14ac:dyDescent="0.35">
      <c r="A1614" s="10" t="s">
        <v>13311</v>
      </c>
      <c r="B1614" s="10" t="str">
        <f>"9781843106852"</f>
        <v>9781843106852</v>
      </c>
      <c r="C1614" s="10" t="str">
        <f>"9781846428630"</f>
        <v>9781846428630</v>
      </c>
      <c r="D1614" s="10" t="s">
        <v>10516</v>
      </c>
      <c r="E1614" s="10" t="s">
        <v>10516</v>
      </c>
      <c r="F1614" s="10" t="s">
        <v>139</v>
      </c>
      <c r="G1614" s="10" t="s">
        <v>6352</v>
      </c>
      <c r="H1614" s="11">
        <v>39767</v>
      </c>
      <c r="I1614" s="10">
        <v>2008</v>
      </c>
      <c r="J1614" s="10" t="s">
        <v>10516</v>
      </c>
      <c r="K1614" s="10">
        <v>194</v>
      </c>
      <c r="L1614" s="10" t="s">
        <v>13312</v>
      </c>
      <c r="M1614" s="10">
        <v>1</v>
      </c>
      <c r="N1614" s="10"/>
      <c r="O1614" s="10"/>
      <c r="P1614" s="10" t="s">
        <v>13313</v>
      </c>
      <c r="Q1614" s="10" t="s">
        <v>10658</v>
      </c>
      <c r="R1614" s="10"/>
      <c r="S1614" s="10" t="s">
        <v>53</v>
      </c>
      <c r="T1614" s="10" t="s">
        <v>54</v>
      </c>
    </row>
    <row r="1615" spans="1:20" ht="14.5" x14ac:dyDescent="0.35">
      <c r="A1615" s="10" t="s">
        <v>13314</v>
      </c>
      <c r="B1615" s="10" t="str">
        <f>"9780415994279"</f>
        <v>9780415994279</v>
      </c>
      <c r="C1615" s="10" t="str">
        <f>"9780203880616"</f>
        <v>9780203880616</v>
      </c>
      <c r="D1615" s="10" t="s">
        <v>6350</v>
      </c>
      <c r="E1615" s="10" t="s">
        <v>6351</v>
      </c>
      <c r="F1615" s="10" t="s">
        <v>139</v>
      </c>
      <c r="G1615" s="10" t="s">
        <v>6352</v>
      </c>
      <c r="H1615" s="11">
        <v>39878</v>
      </c>
      <c r="I1615" s="10">
        <v>2009</v>
      </c>
      <c r="J1615" s="10" t="s">
        <v>6353</v>
      </c>
      <c r="K1615" s="10">
        <v>230</v>
      </c>
      <c r="L1615" s="10" t="s">
        <v>13315</v>
      </c>
      <c r="M1615" s="10">
        <v>1</v>
      </c>
      <c r="N1615" s="10" t="s">
        <v>7735</v>
      </c>
      <c r="O1615" s="10"/>
      <c r="P1615" s="10" t="s">
        <v>13316</v>
      </c>
      <c r="Q1615" s="10">
        <v>371.20097299999998</v>
      </c>
      <c r="R1615" s="10" t="s">
        <v>13317</v>
      </c>
      <c r="S1615" s="10" t="s">
        <v>53</v>
      </c>
      <c r="T1615" s="10" t="s">
        <v>54</v>
      </c>
    </row>
    <row r="1616" spans="1:20" ht="14.5" x14ac:dyDescent="0.35">
      <c r="A1616" s="10" t="s">
        <v>13318</v>
      </c>
      <c r="B1616" s="10" t="str">
        <f>""</f>
        <v/>
      </c>
      <c r="C1616" s="10" t="str">
        <f>"9781775566274"</f>
        <v>9781775566274</v>
      </c>
      <c r="D1616" s="10" t="s">
        <v>12228</v>
      </c>
      <c r="E1616" s="10" t="s">
        <v>12229</v>
      </c>
      <c r="F1616" s="10" t="s">
        <v>12230</v>
      </c>
      <c r="G1616" s="10" t="s">
        <v>12231</v>
      </c>
      <c r="H1616" s="11">
        <v>39814</v>
      </c>
      <c r="I1616" s="10">
        <v>2009</v>
      </c>
      <c r="J1616" s="10" t="s">
        <v>12229</v>
      </c>
      <c r="K1616" s="10">
        <v>421</v>
      </c>
      <c r="L1616" s="10" t="s">
        <v>13319</v>
      </c>
      <c r="M1616" s="10">
        <v>1</v>
      </c>
      <c r="N1616" s="10"/>
      <c r="O1616" s="10"/>
      <c r="P1616" s="10" t="s">
        <v>13320</v>
      </c>
      <c r="Q1616" s="10">
        <v>928</v>
      </c>
      <c r="R1616" s="10" t="s">
        <v>13321</v>
      </c>
      <c r="S1616" s="10" t="s">
        <v>53</v>
      </c>
      <c r="T1616" s="10" t="s">
        <v>13322</v>
      </c>
    </row>
    <row r="1617" spans="1:20" ht="14.5" x14ac:dyDescent="0.35">
      <c r="A1617" s="10" t="s">
        <v>13323</v>
      </c>
      <c r="B1617" s="10" t="str">
        <f>"9780807855249"</f>
        <v>9780807855249</v>
      </c>
      <c r="C1617" s="10" t="str">
        <f>"9780807863466"</f>
        <v>9780807863466</v>
      </c>
      <c r="D1617" s="10" t="s">
        <v>13324</v>
      </c>
      <c r="E1617" s="10" t="s">
        <v>2387</v>
      </c>
      <c r="F1617" s="10" t="s">
        <v>2388</v>
      </c>
      <c r="G1617" s="10" t="s">
        <v>6317</v>
      </c>
      <c r="H1617" s="11">
        <v>38107</v>
      </c>
      <c r="I1617" s="10">
        <v>2004</v>
      </c>
      <c r="J1617" s="10" t="s">
        <v>2387</v>
      </c>
      <c r="K1617" s="10">
        <v>271</v>
      </c>
      <c r="L1617" s="10" t="s">
        <v>13325</v>
      </c>
      <c r="M1617" s="10">
        <v>1</v>
      </c>
      <c r="N1617" s="10"/>
      <c r="O1617" s="10"/>
      <c r="P1617" s="10" t="s">
        <v>13326</v>
      </c>
      <c r="Q1617" s="10" t="s">
        <v>13327</v>
      </c>
      <c r="R1617" s="10" t="s">
        <v>13328</v>
      </c>
      <c r="S1617" s="10" t="s">
        <v>53</v>
      </c>
      <c r="T1617" s="10" t="s">
        <v>54</v>
      </c>
    </row>
    <row r="1618" spans="1:20" ht="14.5" x14ac:dyDescent="0.35">
      <c r="A1618" s="10" t="s">
        <v>13329</v>
      </c>
      <c r="B1618" s="10" t="str">
        <f>"9780807849897"</f>
        <v>9780807849897</v>
      </c>
      <c r="C1618" s="10" t="str">
        <f>"9780807875278"</f>
        <v>9780807875278</v>
      </c>
      <c r="D1618" s="10" t="s">
        <v>13324</v>
      </c>
      <c r="E1618" s="10" t="s">
        <v>2387</v>
      </c>
      <c r="F1618" s="10" t="s">
        <v>2388</v>
      </c>
      <c r="G1618" s="10" t="s">
        <v>6317</v>
      </c>
      <c r="H1618" s="11">
        <v>37256</v>
      </c>
      <c r="I1618" s="10">
        <v>2001</v>
      </c>
      <c r="J1618" s="10" t="s">
        <v>2387</v>
      </c>
      <c r="K1618" s="10">
        <v>304</v>
      </c>
      <c r="L1618" s="10" t="s">
        <v>13330</v>
      </c>
      <c r="M1618" s="10">
        <v>1</v>
      </c>
      <c r="N1618" s="10"/>
      <c r="O1618" s="10"/>
      <c r="P1618" s="10" t="s">
        <v>13331</v>
      </c>
      <c r="Q1618" s="10" t="s">
        <v>13332</v>
      </c>
      <c r="R1618" s="10" t="s">
        <v>13333</v>
      </c>
      <c r="S1618" s="10" t="s">
        <v>53</v>
      </c>
      <c r="T1618" s="10" t="s">
        <v>54</v>
      </c>
    </row>
    <row r="1619" spans="1:20" ht="14.5" x14ac:dyDescent="0.35">
      <c r="A1619" s="10" t="s">
        <v>13334</v>
      </c>
      <c r="B1619" s="10" t="str">
        <f>"9780807855058"</f>
        <v>9780807855058</v>
      </c>
      <c r="C1619" s="10" t="str">
        <f>"9780807875988"</f>
        <v>9780807875988</v>
      </c>
      <c r="D1619" s="10" t="s">
        <v>13324</v>
      </c>
      <c r="E1619" s="10" t="s">
        <v>13335</v>
      </c>
      <c r="F1619" s="10" t="s">
        <v>2388</v>
      </c>
      <c r="G1619" s="10" t="s">
        <v>6317</v>
      </c>
      <c r="H1619" s="11">
        <v>38016</v>
      </c>
      <c r="I1619" s="10">
        <v>2004</v>
      </c>
      <c r="J1619" s="10" t="s">
        <v>13335</v>
      </c>
      <c r="K1619" s="10">
        <v>318</v>
      </c>
      <c r="L1619" s="10" t="s">
        <v>13336</v>
      </c>
      <c r="M1619" s="10">
        <v>1</v>
      </c>
      <c r="N1619" s="10"/>
      <c r="O1619" s="10"/>
      <c r="P1619" s="10" t="s">
        <v>13337</v>
      </c>
      <c r="Q1619" s="10">
        <v>378.19809764310003</v>
      </c>
      <c r="R1619" s="10" t="s">
        <v>13338</v>
      </c>
      <c r="S1619" s="10" t="s">
        <v>53</v>
      </c>
      <c r="T1619" s="10" t="s">
        <v>54</v>
      </c>
    </row>
    <row r="1620" spans="1:20" ht="14.5" x14ac:dyDescent="0.35">
      <c r="A1620" s="10" t="s">
        <v>13339</v>
      </c>
      <c r="B1620" s="10" t="str">
        <f>"9781566398503"</f>
        <v>9781566398503</v>
      </c>
      <c r="C1620" s="10" t="str">
        <f>"9781439901182"</f>
        <v>9781439901182</v>
      </c>
      <c r="D1620" s="10" t="s">
        <v>11120</v>
      </c>
      <c r="E1620" s="10" t="s">
        <v>11120</v>
      </c>
      <c r="F1620" s="10" t="s">
        <v>319</v>
      </c>
      <c r="G1620" s="10" t="s">
        <v>6317</v>
      </c>
      <c r="H1620" s="11">
        <v>37026</v>
      </c>
      <c r="I1620" s="10">
        <v>2001</v>
      </c>
      <c r="J1620" s="10" t="s">
        <v>11120</v>
      </c>
      <c r="K1620" s="10">
        <v>241</v>
      </c>
      <c r="L1620" s="10" t="s">
        <v>13340</v>
      </c>
      <c r="M1620" s="10">
        <v>1</v>
      </c>
      <c r="N1620" s="10" t="s">
        <v>13341</v>
      </c>
      <c r="O1620" s="10"/>
      <c r="P1620" s="10" t="s">
        <v>13342</v>
      </c>
      <c r="Q1620" s="10"/>
      <c r="R1620" s="10" t="s">
        <v>13343</v>
      </c>
      <c r="S1620" s="10" t="s">
        <v>53</v>
      </c>
      <c r="T1620" s="10" t="s">
        <v>54</v>
      </c>
    </row>
    <row r="1621" spans="1:20" ht="14.5" x14ac:dyDescent="0.35">
      <c r="A1621" s="10" t="s">
        <v>13344</v>
      </c>
      <c r="B1621" s="10" t="str">
        <f>"9780813544038"</f>
        <v>9780813544038</v>
      </c>
      <c r="C1621" s="10" t="str">
        <f>"9780813546483"</f>
        <v>9780813546483</v>
      </c>
      <c r="D1621" s="10" t="s">
        <v>12251</v>
      </c>
      <c r="E1621" s="10" t="s">
        <v>12251</v>
      </c>
      <c r="F1621" s="10" t="s">
        <v>12451</v>
      </c>
      <c r="G1621" s="10" t="s">
        <v>6317</v>
      </c>
      <c r="H1621" s="11">
        <v>39812</v>
      </c>
      <c r="I1621" s="10">
        <v>2014</v>
      </c>
      <c r="J1621" s="10" t="s">
        <v>12251</v>
      </c>
      <c r="K1621" s="10">
        <v>434</v>
      </c>
      <c r="L1621" s="10" t="s">
        <v>13345</v>
      </c>
      <c r="M1621" s="10">
        <v>1</v>
      </c>
      <c r="N1621" s="10"/>
      <c r="O1621" s="10"/>
      <c r="P1621" s="10" t="s">
        <v>13346</v>
      </c>
      <c r="Q1621" s="10">
        <v>370.95209030000001</v>
      </c>
      <c r="R1621" s="10" t="s">
        <v>13347</v>
      </c>
      <c r="S1621" s="10" t="s">
        <v>53</v>
      </c>
      <c r="T1621" s="10" t="s">
        <v>54</v>
      </c>
    </row>
    <row r="1622" spans="1:20" ht="14.5" x14ac:dyDescent="0.35">
      <c r="A1622" s="10" t="s">
        <v>13348</v>
      </c>
      <c r="B1622" s="10" t="str">
        <f>"9780195311747"</f>
        <v>9780195311747</v>
      </c>
      <c r="C1622" s="10" t="str">
        <f>"9780195345506"</f>
        <v>9780195345506</v>
      </c>
      <c r="D1622" s="10" t="s">
        <v>9122</v>
      </c>
      <c r="E1622" s="10" t="s">
        <v>9133</v>
      </c>
      <c r="F1622" s="10" t="s">
        <v>330</v>
      </c>
      <c r="G1622" s="10" t="s">
        <v>6317</v>
      </c>
      <c r="H1622" s="11">
        <v>39086</v>
      </c>
      <c r="I1622" s="10">
        <v>2007</v>
      </c>
      <c r="J1622" s="10" t="s">
        <v>9133</v>
      </c>
      <c r="K1622" s="10">
        <v>363</v>
      </c>
      <c r="L1622" s="10" t="s">
        <v>13349</v>
      </c>
      <c r="M1622" s="10">
        <v>1</v>
      </c>
      <c r="N1622" s="10"/>
      <c r="O1622" s="10"/>
      <c r="P1622" s="10" t="s">
        <v>13350</v>
      </c>
      <c r="Q1622" s="10" t="s">
        <v>13351</v>
      </c>
      <c r="R1622" s="10" t="s">
        <v>13352</v>
      </c>
      <c r="S1622" s="10" t="s">
        <v>53</v>
      </c>
      <c r="T1622" s="10" t="s">
        <v>483</v>
      </c>
    </row>
    <row r="1623" spans="1:20" ht="14.5" x14ac:dyDescent="0.35">
      <c r="A1623" s="10" t="s">
        <v>13353</v>
      </c>
      <c r="B1623" s="10" t="str">
        <f>"9780195331202"</f>
        <v>9780195331202</v>
      </c>
      <c r="C1623" s="10" t="str">
        <f>"9780198044123"</f>
        <v>9780198044123</v>
      </c>
      <c r="D1623" s="10" t="s">
        <v>9122</v>
      </c>
      <c r="E1623" s="10" t="s">
        <v>9133</v>
      </c>
      <c r="F1623" s="10" t="s">
        <v>330</v>
      </c>
      <c r="G1623" s="10" t="s">
        <v>6317</v>
      </c>
      <c r="H1623" s="11">
        <v>39580</v>
      </c>
      <c r="I1623" s="10">
        <v>2008</v>
      </c>
      <c r="J1623" s="10" t="s">
        <v>9133</v>
      </c>
      <c r="K1623" s="10">
        <v>318</v>
      </c>
      <c r="L1623" s="10" t="s">
        <v>13354</v>
      </c>
      <c r="M1623" s="10">
        <v>1</v>
      </c>
      <c r="N1623" s="10"/>
      <c r="O1623" s="10"/>
      <c r="P1623" s="10" t="s">
        <v>13355</v>
      </c>
      <c r="Q1623" s="10">
        <v>618.91999999999996</v>
      </c>
      <c r="R1623" s="10" t="s">
        <v>13356</v>
      </c>
      <c r="S1623" s="10" t="s">
        <v>53</v>
      </c>
      <c r="T1623" s="10" t="s">
        <v>8510</v>
      </c>
    </row>
    <row r="1624" spans="1:20" ht="14.5" x14ac:dyDescent="0.35">
      <c r="A1624" s="10" t="s">
        <v>13357</v>
      </c>
      <c r="B1624" s="10" t="str">
        <f>"9780195375206"</f>
        <v>9780195375206</v>
      </c>
      <c r="C1624" s="10" t="str">
        <f>"9780199705122"</f>
        <v>9780199705122</v>
      </c>
      <c r="D1624" s="10" t="s">
        <v>9122</v>
      </c>
      <c r="E1624" s="10" t="s">
        <v>9133</v>
      </c>
      <c r="F1624" s="10" t="s">
        <v>70</v>
      </c>
      <c r="G1624" s="10" t="s">
        <v>6317</v>
      </c>
      <c r="H1624" s="11">
        <v>39870</v>
      </c>
      <c r="I1624" s="10">
        <v>2009</v>
      </c>
      <c r="J1624" s="10" t="s">
        <v>9133</v>
      </c>
      <c r="K1624" s="10">
        <v>292</v>
      </c>
      <c r="L1624" s="10" t="s">
        <v>13358</v>
      </c>
      <c r="M1624" s="10">
        <v>1</v>
      </c>
      <c r="N1624" s="10"/>
      <c r="O1624" s="10"/>
      <c r="P1624" s="10" t="s">
        <v>13359</v>
      </c>
      <c r="Q1624" s="10">
        <v>371.077</v>
      </c>
      <c r="R1624" s="10" t="s">
        <v>13360</v>
      </c>
      <c r="S1624" s="10" t="s">
        <v>53</v>
      </c>
      <c r="T1624" s="10" t="s">
        <v>54</v>
      </c>
    </row>
    <row r="1625" spans="1:20" ht="14.5" x14ac:dyDescent="0.35">
      <c r="A1625" s="10" t="s">
        <v>13361</v>
      </c>
      <c r="B1625" s="10" t="str">
        <f>"9780199227488"</f>
        <v>9780199227488</v>
      </c>
      <c r="C1625" s="10" t="str">
        <f>"9780191527807"</f>
        <v>9780191527807</v>
      </c>
      <c r="D1625" s="10" t="s">
        <v>9122</v>
      </c>
      <c r="E1625" s="10" t="s">
        <v>9133</v>
      </c>
      <c r="F1625" s="10" t="s">
        <v>748</v>
      </c>
      <c r="G1625" s="10" t="s">
        <v>6352</v>
      </c>
      <c r="H1625" s="11">
        <v>39428</v>
      </c>
      <c r="I1625" s="10">
        <v>2007</v>
      </c>
      <c r="J1625" s="10" t="s">
        <v>9133</v>
      </c>
      <c r="K1625" s="10">
        <v>342</v>
      </c>
      <c r="L1625" s="10" t="s">
        <v>13362</v>
      </c>
      <c r="M1625" s="10">
        <v>1</v>
      </c>
      <c r="N1625" s="10" t="s">
        <v>13363</v>
      </c>
      <c r="O1625" s="10"/>
      <c r="P1625" s="10" t="s">
        <v>13364</v>
      </c>
      <c r="Q1625" s="10">
        <v>378.00900000000001</v>
      </c>
      <c r="R1625" s="10" t="s">
        <v>13365</v>
      </c>
      <c r="S1625" s="10" t="s">
        <v>53</v>
      </c>
      <c r="T1625" s="10" t="s">
        <v>54</v>
      </c>
    </row>
    <row r="1626" spans="1:20" ht="14.5" x14ac:dyDescent="0.35">
      <c r="A1626" s="10" t="s">
        <v>13366</v>
      </c>
      <c r="B1626" s="10" t="str">
        <f>"9780199227495"</f>
        <v>9780199227495</v>
      </c>
      <c r="C1626" s="10" t="str">
        <f>"9780191551710"</f>
        <v>9780191551710</v>
      </c>
      <c r="D1626" s="10" t="s">
        <v>9122</v>
      </c>
      <c r="E1626" s="10" t="s">
        <v>9133</v>
      </c>
      <c r="F1626" s="10" t="s">
        <v>748</v>
      </c>
      <c r="G1626" s="10" t="s">
        <v>6352</v>
      </c>
      <c r="H1626" s="11">
        <v>39644</v>
      </c>
      <c r="I1626" s="10">
        <v>2008</v>
      </c>
      <c r="J1626" s="10" t="s">
        <v>9133</v>
      </c>
      <c r="K1626" s="10">
        <v>207</v>
      </c>
      <c r="L1626" s="10" t="s">
        <v>13367</v>
      </c>
      <c r="M1626" s="10">
        <v>1</v>
      </c>
      <c r="N1626" s="10" t="s">
        <v>13363</v>
      </c>
      <c r="O1626" s="10" t="s">
        <v>13368</v>
      </c>
      <c r="P1626" s="10" t="s">
        <v>13364</v>
      </c>
      <c r="Q1626" s="10">
        <v>378.00900000000001</v>
      </c>
      <c r="R1626" s="10" t="s">
        <v>13365</v>
      </c>
      <c r="S1626" s="10" t="s">
        <v>53</v>
      </c>
      <c r="T1626" s="10" t="s">
        <v>54</v>
      </c>
    </row>
    <row r="1627" spans="1:20" ht="14.5" x14ac:dyDescent="0.35">
      <c r="A1627" s="10" t="s">
        <v>13369</v>
      </c>
      <c r="B1627" s="10" t="str">
        <f>"9780199541041"</f>
        <v>9780199541041</v>
      </c>
      <c r="C1627" s="10" t="str">
        <f>"9780191561993"</f>
        <v>9780191561993</v>
      </c>
      <c r="D1627" s="10" t="s">
        <v>9122</v>
      </c>
      <c r="E1627" s="10" t="s">
        <v>9133</v>
      </c>
      <c r="F1627" s="10" t="s">
        <v>748</v>
      </c>
      <c r="G1627" s="10" t="s">
        <v>6352</v>
      </c>
      <c r="H1627" s="11">
        <v>39736</v>
      </c>
      <c r="I1627" s="10">
        <v>2008</v>
      </c>
      <c r="J1627" s="10" t="s">
        <v>9133</v>
      </c>
      <c r="K1627" s="10">
        <v>316</v>
      </c>
      <c r="L1627" s="10" t="s">
        <v>13362</v>
      </c>
      <c r="M1627" s="10">
        <v>1</v>
      </c>
      <c r="N1627" s="10" t="s">
        <v>13363</v>
      </c>
      <c r="O1627" s="10"/>
      <c r="P1627" s="10" t="s">
        <v>13370</v>
      </c>
      <c r="Q1627" s="10">
        <v>378.00900000000001</v>
      </c>
      <c r="R1627" s="10" t="s">
        <v>13365</v>
      </c>
      <c r="S1627" s="10" t="s">
        <v>53</v>
      </c>
      <c r="T1627" s="10" t="s">
        <v>54</v>
      </c>
    </row>
    <row r="1628" spans="1:20" ht="14.5" x14ac:dyDescent="0.35">
      <c r="A1628" s="10" t="s">
        <v>13371</v>
      </c>
      <c r="B1628" s="10" t="str">
        <f>"9780195325355"</f>
        <v>9780195325355</v>
      </c>
      <c r="C1628" s="10" t="str">
        <f>"9780199717095"</f>
        <v>9780199717095</v>
      </c>
      <c r="D1628" s="10" t="s">
        <v>9122</v>
      </c>
      <c r="E1628" s="10" t="s">
        <v>9133</v>
      </c>
      <c r="F1628" s="10" t="s">
        <v>330</v>
      </c>
      <c r="G1628" s="10" t="s">
        <v>6317</v>
      </c>
      <c r="H1628" s="11">
        <v>39870</v>
      </c>
      <c r="I1628" s="10">
        <v>2009</v>
      </c>
      <c r="J1628" s="10" t="s">
        <v>9133</v>
      </c>
      <c r="K1628" s="10">
        <v>734</v>
      </c>
      <c r="L1628" s="10" t="s">
        <v>13372</v>
      </c>
      <c r="M1628" s="10">
        <v>1</v>
      </c>
      <c r="N1628" s="10"/>
      <c r="O1628" s="10"/>
      <c r="P1628" s="10" t="s">
        <v>13373</v>
      </c>
      <c r="Q1628" s="10">
        <v>813</v>
      </c>
      <c r="R1628" s="10" t="s">
        <v>13374</v>
      </c>
      <c r="S1628" s="10" t="s">
        <v>53</v>
      </c>
      <c r="T1628" s="10" t="s">
        <v>10454</v>
      </c>
    </row>
    <row r="1629" spans="1:20" ht="14.5" x14ac:dyDescent="0.35">
      <c r="A1629" s="10" t="s">
        <v>13375</v>
      </c>
      <c r="B1629" s="10" t="str">
        <f>"9780195308815"</f>
        <v>9780195308815</v>
      </c>
      <c r="C1629" s="10" t="str">
        <f>"9780198042181"</f>
        <v>9780198042181</v>
      </c>
      <c r="D1629" s="10" t="s">
        <v>9122</v>
      </c>
      <c r="E1629" s="10" t="s">
        <v>9133</v>
      </c>
      <c r="F1629" s="10" t="s">
        <v>70</v>
      </c>
      <c r="G1629" s="10" t="s">
        <v>6317</v>
      </c>
      <c r="H1629" s="11">
        <v>39527</v>
      </c>
      <c r="I1629" s="10">
        <v>2008</v>
      </c>
      <c r="J1629" s="10" t="s">
        <v>9133</v>
      </c>
      <c r="K1629" s="10">
        <v>369</v>
      </c>
      <c r="L1629" s="10" t="s">
        <v>13376</v>
      </c>
      <c r="M1629" s="10">
        <v>1</v>
      </c>
      <c r="N1629" s="10" t="s">
        <v>13377</v>
      </c>
      <c r="O1629" s="10"/>
      <c r="P1629" s="10" t="s">
        <v>13378</v>
      </c>
      <c r="Q1629" s="10">
        <v>373.22210000000001</v>
      </c>
      <c r="R1629" s="10" t="s">
        <v>13379</v>
      </c>
      <c r="S1629" s="10" t="s">
        <v>53</v>
      </c>
      <c r="T1629" s="10" t="s">
        <v>54</v>
      </c>
    </row>
    <row r="1630" spans="1:20" ht="14.5" x14ac:dyDescent="0.35">
      <c r="A1630" s="10" t="s">
        <v>13380</v>
      </c>
      <c r="B1630" s="10" t="str">
        <f>"9780195314588"</f>
        <v>9780195314588</v>
      </c>
      <c r="C1630" s="10" t="str">
        <f>"9780199724468"</f>
        <v>9780199724468</v>
      </c>
      <c r="D1630" s="10" t="s">
        <v>9122</v>
      </c>
      <c r="E1630" s="10" t="s">
        <v>9133</v>
      </c>
      <c r="F1630" s="10" t="s">
        <v>330</v>
      </c>
      <c r="G1630" s="10" t="s">
        <v>6317</v>
      </c>
      <c r="H1630" s="11">
        <v>39109</v>
      </c>
      <c r="I1630" s="10">
        <v>2007</v>
      </c>
      <c r="J1630" s="10" t="s">
        <v>9133</v>
      </c>
      <c r="K1630" s="10">
        <v>290</v>
      </c>
      <c r="L1630" s="10" t="s">
        <v>9123</v>
      </c>
      <c r="M1630" s="10">
        <v>2</v>
      </c>
      <c r="N1630" s="10"/>
      <c r="O1630" s="10"/>
      <c r="P1630" s="10" t="s">
        <v>13381</v>
      </c>
      <c r="Q1630" s="10" t="s">
        <v>13382</v>
      </c>
      <c r="R1630" s="10" t="s">
        <v>9126</v>
      </c>
      <c r="S1630" s="10" t="s">
        <v>53</v>
      </c>
      <c r="T1630" s="10" t="s">
        <v>13383</v>
      </c>
    </row>
    <row r="1631" spans="1:20" ht="14.5" x14ac:dyDescent="0.35">
      <c r="A1631" s="10" t="s">
        <v>13384</v>
      </c>
      <c r="B1631" s="10" t="str">
        <f>"9780199281282"</f>
        <v>9780199281282</v>
      </c>
      <c r="C1631" s="10" t="str">
        <f>"9780191535857"</f>
        <v>9780191535857</v>
      </c>
      <c r="D1631" s="10" t="s">
        <v>9122</v>
      </c>
      <c r="E1631" s="10" t="s">
        <v>747</v>
      </c>
      <c r="F1631" s="10" t="s">
        <v>748</v>
      </c>
      <c r="G1631" s="10" t="s">
        <v>6352</v>
      </c>
      <c r="H1631" s="11">
        <v>39553</v>
      </c>
      <c r="I1631" s="10">
        <v>2008</v>
      </c>
      <c r="J1631" s="10" t="s">
        <v>747</v>
      </c>
      <c r="K1631" s="10">
        <v>323</v>
      </c>
      <c r="L1631" s="10" t="s">
        <v>13385</v>
      </c>
      <c r="M1631" s="10">
        <v>1</v>
      </c>
      <c r="N1631" s="10"/>
      <c r="O1631" s="10"/>
      <c r="P1631" s="10" t="s">
        <v>13386</v>
      </c>
      <c r="Q1631" s="10">
        <v>404.2</v>
      </c>
      <c r="R1631" s="10" t="s">
        <v>13387</v>
      </c>
      <c r="S1631" s="10" t="s">
        <v>53</v>
      </c>
      <c r="T1631" s="10" t="s">
        <v>6616</v>
      </c>
    </row>
    <row r="1632" spans="1:20" ht="14.5" x14ac:dyDescent="0.35">
      <c r="A1632" s="10" t="s">
        <v>13388</v>
      </c>
      <c r="B1632" s="10" t="str">
        <f>"9780195172942"</f>
        <v>9780195172942</v>
      </c>
      <c r="C1632" s="10" t="str">
        <f>"9780198038580"</f>
        <v>9780198038580</v>
      </c>
      <c r="D1632" s="10" t="s">
        <v>9122</v>
      </c>
      <c r="E1632" s="10" t="s">
        <v>9133</v>
      </c>
      <c r="F1632" s="10" t="s">
        <v>70</v>
      </c>
      <c r="G1632" s="10" t="s">
        <v>6317</v>
      </c>
      <c r="H1632" s="11">
        <v>39342</v>
      </c>
      <c r="I1632" s="10">
        <v>2008</v>
      </c>
      <c r="J1632" s="10" t="s">
        <v>9133</v>
      </c>
      <c r="K1632" s="10">
        <v>225</v>
      </c>
      <c r="L1632" s="10" t="s">
        <v>13389</v>
      </c>
      <c r="M1632" s="10">
        <v>1</v>
      </c>
      <c r="N1632" s="10"/>
      <c r="O1632" s="10"/>
      <c r="P1632" s="10" t="s">
        <v>13390</v>
      </c>
      <c r="Q1632" s="10" t="s">
        <v>13391</v>
      </c>
      <c r="R1632" s="10" t="s">
        <v>13392</v>
      </c>
      <c r="S1632" s="10" t="s">
        <v>53</v>
      </c>
      <c r="T1632" s="10" t="s">
        <v>54</v>
      </c>
    </row>
    <row r="1633" spans="1:20" ht="14.5" x14ac:dyDescent="0.35">
      <c r="A1633" s="10" t="s">
        <v>13393</v>
      </c>
      <c r="B1633" s="10" t="str">
        <f>"9780199206285"</f>
        <v>9780199206285</v>
      </c>
      <c r="C1633" s="10" t="str">
        <f>"9780191525643"</f>
        <v>9780191525643</v>
      </c>
      <c r="D1633" s="10" t="s">
        <v>9122</v>
      </c>
      <c r="E1633" s="10" t="s">
        <v>9133</v>
      </c>
      <c r="F1633" s="10" t="s">
        <v>748</v>
      </c>
      <c r="G1633" s="10" t="s">
        <v>6352</v>
      </c>
      <c r="H1633" s="11">
        <v>39156</v>
      </c>
      <c r="I1633" s="10">
        <v>2007</v>
      </c>
      <c r="J1633" s="10" t="s">
        <v>9133</v>
      </c>
      <c r="K1633" s="10">
        <v>175</v>
      </c>
      <c r="L1633" s="10" t="s">
        <v>13394</v>
      </c>
      <c r="M1633" s="10">
        <v>1</v>
      </c>
      <c r="N1633" s="10"/>
      <c r="O1633" s="10"/>
      <c r="P1633" s="10" t="s">
        <v>13395</v>
      </c>
      <c r="Q1633" s="10">
        <v>658.40300000000002</v>
      </c>
      <c r="R1633" s="10" t="s">
        <v>13396</v>
      </c>
      <c r="S1633" s="10" t="s">
        <v>53</v>
      </c>
      <c r="T1633" s="10" t="s">
        <v>6660</v>
      </c>
    </row>
    <row r="1634" spans="1:20" ht="14.5" x14ac:dyDescent="0.35">
      <c r="A1634" s="10" t="s">
        <v>13397</v>
      </c>
      <c r="B1634" s="10" t="str">
        <f>"9780195327892"</f>
        <v>9780195327892</v>
      </c>
      <c r="C1634" s="10" t="str">
        <f>"9780199716593"</f>
        <v>9780199716593</v>
      </c>
      <c r="D1634" s="10" t="s">
        <v>9122</v>
      </c>
      <c r="E1634" s="10" t="s">
        <v>9133</v>
      </c>
      <c r="F1634" s="10" t="s">
        <v>70</v>
      </c>
      <c r="G1634" s="10" t="s">
        <v>6317</v>
      </c>
      <c r="H1634" s="11">
        <v>39548</v>
      </c>
      <c r="I1634" s="10">
        <v>2008</v>
      </c>
      <c r="J1634" s="10" t="s">
        <v>9133</v>
      </c>
      <c r="K1634" s="10">
        <v>400</v>
      </c>
      <c r="L1634" s="10" t="s">
        <v>13398</v>
      </c>
      <c r="M1634" s="10">
        <v>1</v>
      </c>
      <c r="N1634" s="10"/>
      <c r="O1634" s="10"/>
      <c r="P1634" s="10" t="s">
        <v>13399</v>
      </c>
      <c r="Q1634" s="10" t="s">
        <v>9954</v>
      </c>
      <c r="R1634" s="10" t="s">
        <v>13400</v>
      </c>
      <c r="S1634" s="10" t="s">
        <v>53</v>
      </c>
      <c r="T1634" s="10" t="s">
        <v>54</v>
      </c>
    </row>
    <row r="1635" spans="1:20" ht="14.5" x14ac:dyDescent="0.35">
      <c r="A1635" s="10" t="s">
        <v>13401</v>
      </c>
      <c r="B1635" s="10" t="str">
        <f>""</f>
        <v/>
      </c>
      <c r="C1635" s="10" t="str">
        <f>"9781444301533"</f>
        <v>9781444301533</v>
      </c>
      <c r="D1635" s="10" t="s">
        <v>6322</v>
      </c>
      <c r="E1635" s="10" t="s">
        <v>6323</v>
      </c>
      <c r="F1635" s="10" t="s">
        <v>4423</v>
      </c>
      <c r="G1635" s="10" t="s">
        <v>6352</v>
      </c>
      <c r="H1635" s="11">
        <v>39804</v>
      </c>
      <c r="I1635" s="10">
        <v>2008</v>
      </c>
      <c r="J1635" s="10" t="s">
        <v>8436</v>
      </c>
      <c r="K1635" s="10">
        <v>376</v>
      </c>
      <c r="L1635" s="10" t="s">
        <v>13402</v>
      </c>
      <c r="M1635" s="10">
        <v>1</v>
      </c>
      <c r="N1635" s="10"/>
      <c r="O1635" s="10"/>
      <c r="P1635" s="10" t="s">
        <v>13403</v>
      </c>
      <c r="Q1635" s="10" t="s">
        <v>13404</v>
      </c>
      <c r="R1635" s="10" t="s">
        <v>13405</v>
      </c>
      <c r="S1635" s="10" t="s">
        <v>53</v>
      </c>
      <c r="T1635" s="10" t="s">
        <v>8510</v>
      </c>
    </row>
    <row r="1636" spans="1:20" ht="14.5" x14ac:dyDescent="0.35">
      <c r="A1636" s="10" t="s">
        <v>13406</v>
      </c>
      <c r="B1636" s="10" t="str">
        <f>"9780230013322"</f>
        <v>9780230013322</v>
      </c>
      <c r="C1636" s="10" t="str">
        <f>"9780230582491"</f>
        <v>9780230582491</v>
      </c>
      <c r="D1636" s="10" t="s">
        <v>11249</v>
      </c>
      <c r="E1636" s="10" t="s">
        <v>13407</v>
      </c>
      <c r="F1636" s="10" t="s">
        <v>139</v>
      </c>
      <c r="G1636" s="10" t="s">
        <v>6352</v>
      </c>
      <c r="H1636" s="11">
        <v>39539</v>
      </c>
      <c r="I1636" s="10">
        <v>2008</v>
      </c>
      <c r="J1636" s="10" t="s">
        <v>2400</v>
      </c>
      <c r="K1636" s="10">
        <v>196</v>
      </c>
      <c r="L1636" s="10" t="s">
        <v>13408</v>
      </c>
      <c r="M1636" s="10">
        <v>1</v>
      </c>
      <c r="N1636" s="10" t="s">
        <v>13409</v>
      </c>
      <c r="O1636" s="10"/>
      <c r="P1636" s="10" t="s">
        <v>13410</v>
      </c>
      <c r="Q1636" s="10"/>
      <c r="R1636" s="10" t="s">
        <v>13411</v>
      </c>
      <c r="S1636" s="10" t="s">
        <v>53</v>
      </c>
      <c r="T1636" s="10" t="s">
        <v>6616</v>
      </c>
    </row>
    <row r="1637" spans="1:20" ht="14.5" x14ac:dyDescent="0.35">
      <c r="A1637" s="10" t="s">
        <v>13412</v>
      </c>
      <c r="B1637" s="10" t="str">
        <f>"9783764370534"</f>
        <v>9783764370534</v>
      </c>
      <c r="C1637" s="10" t="str">
        <f>"9783764383299"</f>
        <v>9783764383299</v>
      </c>
      <c r="D1637" s="10" t="s">
        <v>9995</v>
      </c>
      <c r="E1637" s="10" t="s">
        <v>2515</v>
      </c>
      <c r="F1637" s="10" t="s">
        <v>10008</v>
      </c>
      <c r="G1637" s="10" t="s">
        <v>9998</v>
      </c>
      <c r="H1637" s="11">
        <v>39143</v>
      </c>
      <c r="I1637" s="10">
        <v>2007</v>
      </c>
      <c r="J1637" s="10" t="s">
        <v>13413</v>
      </c>
      <c r="K1637" s="10">
        <v>255</v>
      </c>
      <c r="L1637" s="10" t="s">
        <v>9821</v>
      </c>
      <c r="M1637" s="10">
        <v>1</v>
      </c>
      <c r="N1637" s="10" t="s">
        <v>13414</v>
      </c>
      <c r="O1637" s="10"/>
      <c r="P1637" s="10" t="s">
        <v>13415</v>
      </c>
      <c r="Q1637" s="10">
        <v>372.16</v>
      </c>
      <c r="R1637" s="10" t="s">
        <v>13416</v>
      </c>
      <c r="S1637" s="10" t="s">
        <v>53</v>
      </c>
      <c r="T1637" s="10" t="s">
        <v>54</v>
      </c>
    </row>
    <row r="1638" spans="1:20" ht="14.5" x14ac:dyDescent="0.35">
      <c r="A1638" s="10" t="s">
        <v>13417</v>
      </c>
      <c r="B1638" s="10" t="str">
        <f>"9781402083464"</f>
        <v>9781402083464</v>
      </c>
      <c r="C1638" s="10" t="str">
        <f>"9781402083471"</f>
        <v>9781402083471</v>
      </c>
      <c r="D1638" s="10" t="s">
        <v>11249</v>
      </c>
      <c r="E1638" s="10" t="s">
        <v>12215</v>
      </c>
      <c r="F1638" s="10" t="s">
        <v>206</v>
      </c>
      <c r="G1638" s="10" t="s">
        <v>9233</v>
      </c>
      <c r="H1638" s="11">
        <v>39882</v>
      </c>
      <c r="I1638" s="10">
        <v>2008</v>
      </c>
      <c r="J1638" s="10" t="s">
        <v>12215</v>
      </c>
      <c r="K1638" s="10">
        <v>1091</v>
      </c>
      <c r="L1638" s="10" t="s">
        <v>13418</v>
      </c>
      <c r="M1638" s="10">
        <v>1</v>
      </c>
      <c r="N1638" s="10"/>
      <c r="O1638" s="10"/>
      <c r="P1638" s="10" t="s">
        <v>13419</v>
      </c>
      <c r="Q1638" s="10">
        <v>370.113</v>
      </c>
      <c r="R1638" s="10" t="s">
        <v>13420</v>
      </c>
      <c r="S1638" s="10" t="s">
        <v>53</v>
      </c>
      <c r="T1638" s="10" t="s">
        <v>54</v>
      </c>
    </row>
    <row r="1639" spans="1:20" ht="14.5" x14ac:dyDescent="0.35">
      <c r="A1639" s="10" t="s">
        <v>13421</v>
      </c>
      <c r="B1639" s="10" t="str">
        <f>"9788122422634"</f>
        <v>9788122422634</v>
      </c>
      <c r="C1639" s="10" t="str">
        <f>"9788122426267"</f>
        <v>9788122426267</v>
      </c>
      <c r="D1639" s="10" t="s">
        <v>13422</v>
      </c>
      <c r="E1639" s="10" t="s">
        <v>13423</v>
      </c>
      <c r="F1639" s="10" t="s">
        <v>13424</v>
      </c>
      <c r="G1639" s="10" t="s">
        <v>13425</v>
      </c>
      <c r="H1639" s="11">
        <v>39448</v>
      </c>
      <c r="I1639" s="10">
        <v>2008</v>
      </c>
      <c r="J1639" s="10" t="s">
        <v>13426</v>
      </c>
      <c r="K1639" s="10">
        <v>508</v>
      </c>
      <c r="L1639" s="10" t="s">
        <v>13427</v>
      </c>
      <c r="M1639" s="10">
        <v>1</v>
      </c>
      <c r="N1639" s="10"/>
      <c r="O1639" s="10"/>
      <c r="P1639" s="10" t="s">
        <v>13428</v>
      </c>
      <c r="Q1639" s="10" t="s">
        <v>13429</v>
      </c>
      <c r="R1639" s="10" t="s">
        <v>13430</v>
      </c>
      <c r="S1639" s="10" t="s">
        <v>53</v>
      </c>
      <c r="T1639" s="10" t="s">
        <v>12653</v>
      </c>
    </row>
    <row r="1640" spans="1:20" ht="14.5" x14ac:dyDescent="0.35">
      <c r="A1640" s="10" t="s">
        <v>13431</v>
      </c>
      <c r="B1640" s="10" t="str">
        <f>""</f>
        <v/>
      </c>
      <c r="C1640" s="10" t="str">
        <f>"9781775566847"</f>
        <v>9781775566847</v>
      </c>
      <c r="D1640" s="10" t="s">
        <v>12228</v>
      </c>
      <c r="E1640" s="10" t="s">
        <v>12229</v>
      </c>
      <c r="F1640" s="10" t="s">
        <v>12230</v>
      </c>
      <c r="G1640" s="10" t="s">
        <v>12231</v>
      </c>
      <c r="H1640" s="11">
        <v>43389</v>
      </c>
      <c r="I1640" s="10">
        <v>2018</v>
      </c>
      <c r="J1640" s="10" t="s">
        <v>12229</v>
      </c>
      <c r="K1640" s="10">
        <v>40</v>
      </c>
      <c r="L1640" s="10" t="s">
        <v>13432</v>
      </c>
      <c r="M1640" s="10">
        <v>1</v>
      </c>
      <c r="N1640" s="10"/>
      <c r="O1640" s="10"/>
      <c r="P1640" s="10" t="s">
        <v>13433</v>
      </c>
      <c r="Q1640" s="10" t="s">
        <v>13434</v>
      </c>
      <c r="R1640" s="10" t="s">
        <v>13435</v>
      </c>
      <c r="S1640" s="10" t="s">
        <v>53</v>
      </c>
      <c r="T1640" s="10" t="s">
        <v>1166</v>
      </c>
    </row>
    <row r="1641" spans="1:20" ht="14.5" x14ac:dyDescent="0.35">
      <c r="A1641" s="10" t="s">
        <v>13436</v>
      </c>
      <c r="B1641" s="10" t="str">
        <f>"9789053569788"</f>
        <v>9789053569788</v>
      </c>
      <c r="C1641" s="10" t="str">
        <f>"9789048507658"</f>
        <v>9789048507658</v>
      </c>
      <c r="D1641" s="10" t="s">
        <v>13287</v>
      </c>
      <c r="E1641" s="10" t="s">
        <v>13287</v>
      </c>
      <c r="F1641" s="10" t="s">
        <v>1818</v>
      </c>
      <c r="G1641" s="10" t="s">
        <v>9233</v>
      </c>
      <c r="H1641" s="11">
        <v>39234</v>
      </c>
      <c r="I1641" s="10">
        <v>2007</v>
      </c>
      <c r="J1641" s="10" t="s">
        <v>13287</v>
      </c>
      <c r="K1641" s="10">
        <v>49</v>
      </c>
      <c r="L1641" s="10" t="s">
        <v>13437</v>
      </c>
      <c r="M1641" s="10">
        <v>1</v>
      </c>
      <c r="N1641" s="10" t="s">
        <v>13438</v>
      </c>
      <c r="O1641" s="10"/>
      <c r="P1641" s="10" t="s">
        <v>13439</v>
      </c>
      <c r="Q1641" s="10" t="s">
        <v>13440</v>
      </c>
      <c r="R1641" s="10" t="s">
        <v>13441</v>
      </c>
      <c r="S1641" s="10" t="s">
        <v>3107</v>
      </c>
      <c r="T1641" s="10" t="s">
        <v>1166</v>
      </c>
    </row>
    <row r="1642" spans="1:20" ht="14.5" x14ac:dyDescent="0.35">
      <c r="A1642" s="10" t="s">
        <v>13442</v>
      </c>
      <c r="B1642" s="10" t="str">
        <f>"9789056293925"</f>
        <v>9789056293925</v>
      </c>
      <c r="C1642" s="10" t="str">
        <f>"9789048509713"</f>
        <v>9789048509713</v>
      </c>
      <c r="D1642" s="10" t="s">
        <v>13287</v>
      </c>
      <c r="E1642" s="10" t="s">
        <v>13287</v>
      </c>
      <c r="F1642" s="10" t="s">
        <v>1818</v>
      </c>
      <c r="G1642" s="10" t="s">
        <v>9233</v>
      </c>
      <c r="H1642" s="11">
        <v>38353</v>
      </c>
      <c r="I1642" s="10">
        <v>2005</v>
      </c>
      <c r="J1642" s="10" t="s">
        <v>13443</v>
      </c>
      <c r="K1642" s="10">
        <v>45</v>
      </c>
      <c r="L1642" s="10" t="s">
        <v>13444</v>
      </c>
      <c r="M1642" s="10">
        <v>1</v>
      </c>
      <c r="N1642" s="10"/>
      <c r="O1642" s="10"/>
      <c r="P1642" s="10" t="s">
        <v>13445</v>
      </c>
      <c r="Q1642" s="10">
        <v>907.1</v>
      </c>
      <c r="R1642" s="10" t="s">
        <v>13446</v>
      </c>
      <c r="S1642" s="10" t="s">
        <v>3107</v>
      </c>
      <c r="T1642" s="10" t="s">
        <v>7711</v>
      </c>
    </row>
    <row r="1643" spans="1:20" ht="14.5" x14ac:dyDescent="0.35">
      <c r="A1643" s="10" t="s">
        <v>13447</v>
      </c>
      <c r="B1643" s="10" t="str">
        <f>"9789089640260"</f>
        <v>9789089640260</v>
      </c>
      <c r="C1643" s="10" t="str">
        <f>"9789048502349"</f>
        <v>9789048502349</v>
      </c>
      <c r="D1643" s="10" t="s">
        <v>13287</v>
      </c>
      <c r="E1643" s="10" t="s">
        <v>13287</v>
      </c>
      <c r="F1643" s="10" t="s">
        <v>1818</v>
      </c>
      <c r="G1643" s="10" t="s">
        <v>9233</v>
      </c>
      <c r="H1643" s="11">
        <v>39448</v>
      </c>
      <c r="I1643" s="10">
        <v>2008</v>
      </c>
      <c r="J1643" s="10" t="s">
        <v>13287</v>
      </c>
      <c r="K1643" s="10">
        <v>241</v>
      </c>
      <c r="L1643" s="10" t="s">
        <v>13448</v>
      </c>
      <c r="M1643" s="10">
        <v>1</v>
      </c>
      <c r="N1643" s="10" t="s">
        <v>13449</v>
      </c>
      <c r="O1643" s="10" t="s">
        <v>13450</v>
      </c>
      <c r="P1643" s="10" t="s">
        <v>13451</v>
      </c>
      <c r="Q1643" s="10">
        <v>519.29999999999995</v>
      </c>
      <c r="R1643" s="10" t="s">
        <v>13452</v>
      </c>
      <c r="S1643" s="10" t="s">
        <v>53</v>
      </c>
      <c r="T1643" s="10" t="s">
        <v>13453</v>
      </c>
    </row>
    <row r="1644" spans="1:20" ht="14.5" x14ac:dyDescent="0.35">
      <c r="A1644" s="10" t="s">
        <v>13454</v>
      </c>
      <c r="B1644" s="10" t="str">
        <f>"9789053569078"</f>
        <v>9789053569078</v>
      </c>
      <c r="C1644" s="10" t="str">
        <f>"9789048504411"</f>
        <v>9789048504411</v>
      </c>
      <c r="D1644" s="10" t="s">
        <v>13287</v>
      </c>
      <c r="E1644" s="10" t="s">
        <v>13287</v>
      </c>
      <c r="F1644" s="10" t="s">
        <v>1818</v>
      </c>
      <c r="G1644" s="10" t="s">
        <v>9233</v>
      </c>
      <c r="H1644" s="11">
        <v>38706</v>
      </c>
      <c r="I1644" s="10">
        <v>2005</v>
      </c>
      <c r="J1644" s="10" t="s">
        <v>13287</v>
      </c>
      <c r="K1644" s="10">
        <v>177</v>
      </c>
      <c r="L1644" s="10" t="s">
        <v>13455</v>
      </c>
      <c r="M1644" s="10">
        <v>1</v>
      </c>
      <c r="N1644" s="10" t="s">
        <v>13456</v>
      </c>
      <c r="O1644" s="10"/>
      <c r="P1644" s="10" t="s">
        <v>13457</v>
      </c>
      <c r="Q1644" s="10">
        <v>297</v>
      </c>
      <c r="R1644" s="10" t="s">
        <v>13458</v>
      </c>
      <c r="S1644" s="10" t="s">
        <v>53</v>
      </c>
      <c r="T1644" s="10" t="s">
        <v>13459</v>
      </c>
    </row>
    <row r="1645" spans="1:20" ht="14.5" x14ac:dyDescent="0.35">
      <c r="A1645" s="10" t="s">
        <v>13460</v>
      </c>
      <c r="B1645" s="10" t="str">
        <f>"9789056294342"</f>
        <v>9789056294342</v>
      </c>
      <c r="C1645" s="10" t="str">
        <f>"9789048509867"</f>
        <v>9789048509867</v>
      </c>
      <c r="D1645" s="10" t="s">
        <v>13287</v>
      </c>
      <c r="E1645" s="10" t="s">
        <v>13287</v>
      </c>
      <c r="F1645" s="10" t="s">
        <v>1818</v>
      </c>
      <c r="G1645" s="10" t="s">
        <v>9233</v>
      </c>
      <c r="H1645" s="11">
        <v>38718</v>
      </c>
      <c r="I1645" s="10">
        <v>2006</v>
      </c>
      <c r="J1645" s="10" t="s">
        <v>13443</v>
      </c>
      <c r="K1645" s="10">
        <v>30</v>
      </c>
      <c r="L1645" s="10" t="s">
        <v>13461</v>
      </c>
      <c r="M1645" s="10">
        <v>1</v>
      </c>
      <c r="N1645" s="10" t="s">
        <v>13462</v>
      </c>
      <c r="O1645" s="10"/>
      <c r="P1645" s="10" t="s">
        <v>13463</v>
      </c>
      <c r="Q1645" s="10">
        <v>373.24599999999998</v>
      </c>
      <c r="R1645" s="10" t="s">
        <v>13464</v>
      </c>
      <c r="S1645" s="10" t="s">
        <v>3107</v>
      </c>
      <c r="T1645" s="10" t="s">
        <v>54</v>
      </c>
    </row>
    <row r="1646" spans="1:20" ht="14.5" x14ac:dyDescent="0.35">
      <c r="A1646" s="10" t="s">
        <v>13465</v>
      </c>
      <c r="B1646" s="10" t="str">
        <f>"9789056294328"</f>
        <v>9789056294328</v>
      </c>
      <c r="C1646" s="10" t="str">
        <f>"9789048509850"</f>
        <v>9789048509850</v>
      </c>
      <c r="D1646" s="10" t="s">
        <v>13287</v>
      </c>
      <c r="E1646" s="10" t="s">
        <v>13287</v>
      </c>
      <c r="F1646" s="10" t="s">
        <v>1818</v>
      </c>
      <c r="G1646" s="10" t="s">
        <v>9233</v>
      </c>
      <c r="H1646" s="11">
        <v>38718</v>
      </c>
      <c r="I1646" s="10">
        <v>2006</v>
      </c>
      <c r="J1646" s="10" t="s">
        <v>13443</v>
      </c>
      <c r="K1646" s="10">
        <v>18</v>
      </c>
      <c r="L1646" s="10" t="s">
        <v>13466</v>
      </c>
      <c r="M1646" s="10">
        <v>1</v>
      </c>
      <c r="N1646" s="10" t="s">
        <v>13462</v>
      </c>
      <c r="O1646" s="10"/>
      <c r="P1646" s="10" t="s">
        <v>13467</v>
      </c>
      <c r="Q1646" s="10" t="s">
        <v>13468</v>
      </c>
      <c r="R1646" s="10" t="s">
        <v>13469</v>
      </c>
      <c r="S1646" s="10" t="s">
        <v>3107</v>
      </c>
      <c r="T1646" s="10" t="s">
        <v>7545</v>
      </c>
    </row>
    <row r="1647" spans="1:20" ht="14.5" x14ac:dyDescent="0.35">
      <c r="A1647" s="10" t="s">
        <v>13470</v>
      </c>
      <c r="B1647" s="10" t="str">
        <f>"9789053567104"</f>
        <v>9789053567104</v>
      </c>
      <c r="C1647" s="10" t="str">
        <f>"9789048501380"</f>
        <v>9789048501380</v>
      </c>
      <c r="D1647" s="10" t="s">
        <v>13287</v>
      </c>
      <c r="E1647" s="10" t="s">
        <v>13287</v>
      </c>
      <c r="F1647" s="10" t="s">
        <v>1818</v>
      </c>
      <c r="G1647" s="10" t="s">
        <v>9233</v>
      </c>
      <c r="H1647" s="11">
        <v>39448</v>
      </c>
      <c r="I1647" s="10">
        <v>2008</v>
      </c>
      <c r="J1647" s="10" t="s">
        <v>13287</v>
      </c>
      <c r="K1647" s="10">
        <v>304</v>
      </c>
      <c r="L1647" s="10" t="s">
        <v>13471</v>
      </c>
      <c r="M1647" s="10">
        <v>1</v>
      </c>
      <c r="N1647" s="10" t="s">
        <v>13472</v>
      </c>
      <c r="O1647" s="10" t="s">
        <v>13473</v>
      </c>
      <c r="P1647" s="10" t="s">
        <v>13474</v>
      </c>
      <c r="Q1647" s="10">
        <v>370.95</v>
      </c>
      <c r="R1647" s="10" t="s">
        <v>13475</v>
      </c>
      <c r="S1647" s="10" t="s">
        <v>53</v>
      </c>
      <c r="T1647" s="10" t="s">
        <v>54</v>
      </c>
    </row>
    <row r="1648" spans="1:20" ht="14.5" x14ac:dyDescent="0.35">
      <c r="A1648" s="10" t="s">
        <v>13476</v>
      </c>
      <c r="B1648" s="10" t="str">
        <f>"9789056295226"</f>
        <v>9789056295226</v>
      </c>
      <c r="C1648" s="10" t="str">
        <f>"9789048506118"</f>
        <v>9789048506118</v>
      </c>
      <c r="D1648" s="10" t="s">
        <v>13287</v>
      </c>
      <c r="E1648" s="10" t="s">
        <v>13287</v>
      </c>
      <c r="F1648" s="10" t="s">
        <v>1818</v>
      </c>
      <c r="G1648" s="10" t="s">
        <v>9233</v>
      </c>
      <c r="H1648" s="11">
        <v>39448</v>
      </c>
      <c r="I1648" s="10">
        <v>2008</v>
      </c>
      <c r="J1648" s="10" t="s">
        <v>13443</v>
      </c>
      <c r="K1648" s="10">
        <v>29</v>
      </c>
      <c r="L1648" s="10" t="s">
        <v>13477</v>
      </c>
      <c r="M1648" s="10">
        <v>1</v>
      </c>
      <c r="N1648" s="10" t="s">
        <v>13478</v>
      </c>
      <c r="O1648" s="10"/>
      <c r="P1648" s="10" t="s">
        <v>13479</v>
      </c>
      <c r="Q1648" s="10">
        <v>362.7</v>
      </c>
      <c r="R1648" s="10" t="s">
        <v>13480</v>
      </c>
      <c r="S1648" s="10" t="s">
        <v>3107</v>
      </c>
      <c r="T1648" s="10" t="s">
        <v>6363</v>
      </c>
    </row>
    <row r="1649" spans="1:20" ht="14.5" x14ac:dyDescent="0.35">
      <c r="A1649" s="10" t="s">
        <v>13481</v>
      </c>
      <c r="B1649" s="10" t="str">
        <f>"9789056294229"</f>
        <v>9789056294229</v>
      </c>
      <c r="C1649" s="10" t="str">
        <f>"9789048507184"</f>
        <v>9789048507184</v>
      </c>
      <c r="D1649" s="10" t="s">
        <v>13287</v>
      </c>
      <c r="E1649" s="10" t="s">
        <v>13287</v>
      </c>
      <c r="F1649" s="10" t="s">
        <v>1818</v>
      </c>
      <c r="G1649" s="10" t="s">
        <v>9233</v>
      </c>
      <c r="H1649" s="11">
        <v>38718</v>
      </c>
      <c r="I1649" s="10">
        <v>2006</v>
      </c>
      <c r="J1649" s="10" t="s">
        <v>13443</v>
      </c>
      <c r="K1649" s="10">
        <v>64</v>
      </c>
      <c r="L1649" s="10" t="s">
        <v>13482</v>
      </c>
      <c r="M1649" s="10">
        <v>1</v>
      </c>
      <c r="N1649" s="10" t="s">
        <v>13483</v>
      </c>
      <c r="O1649" s="10" t="s">
        <v>13484</v>
      </c>
      <c r="P1649" s="10" t="s">
        <v>13485</v>
      </c>
      <c r="Q1649" s="10" t="s">
        <v>13486</v>
      </c>
      <c r="R1649" s="10" t="s">
        <v>6769</v>
      </c>
      <c r="S1649" s="10" t="s">
        <v>3107</v>
      </c>
      <c r="T1649" s="10" t="s">
        <v>54</v>
      </c>
    </row>
    <row r="1650" spans="1:20" ht="14.5" x14ac:dyDescent="0.35">
      <c r="A1650" s="10" t="s">
        <v>13487</v>
      </c>
      <c r="B1650" s="10" t="str">
        <f>"9789056295059"</f>
        <v>9789056295059</v>
      </c>
      <c r="C1650" s="10" t="str">
        <f>"9789048507450"</f>
        <v>9789048507450</v>
      </c>
      <c r="D1650" s="10" t="s">
        <v>13287</v>
      </c>
      <c r="E1650" s="10" t="s">
        <v>13287</v>
      </c>
      <c r="F1650" s="10" t="s">
        <v>1818</v>
      </c>
      <c r="G1650" s="10" t="s">
        <v>9233</v>
      </c>
      <c r="H1650" s="11">
        <v>39083</v>
      </c>
      <c r="I1650" s="10">
        <v>2007</v>
      </c>
      <c r="J1650" s="10" t="s">
        <v>13443</v>
      </c>
      <c r="K1650" s="10">
        <v>27</v>
      </c>
      <c r="L1650" s="10" t="s">
        <v>13488</v>
      </c>
      <c r="M1650" s="10">
        <v>1</v>
      </c>
      <c r="N1650" s="10" t="s">
        <v>13483</v>
      </c>
      <c r="O1650" s="10"/>
      <c r="P1650" s="10" t="s">
        <v>13489</v>
      </c>
      <c r="Q1650" s="10">
        <v>650.14</v>
      </c>
      <c r="R1650" s="10" t="s">
        <v>13490</v>
      </c>
      <c r="S1650" s="10" t="s">
        <v>3107</v>
      </c>
      <c r="T1650" s="10" t="s">
        <v>8760</v>
      </c>
    </row>
    <row r="1651" spans="1:20" ht="14.5" x14ac:dyDescent="0.35">
      <c r="A1651" s="10" t="s">
        <v>13491</v>
      </c>
      <c r="B1651" s="10" t="str">
        <f>"9789056294724"</f>
        <v>9789056294724</v>
      </c>
      <c r="C1651" s="10" t="str">
        <f>"9789048507474"</f>
        <v>9789048507474</v>
      </c>
      <c r="D1651" s="10" t="s">
        <v>13287</v>
      </c>
      <c r="E1651" s="10" t="s">
        <v>13287</v>
      </c>
      <c r="F1651" s="10" t="s">
        <v>1818</v>
      </c>
      <c r="G1651" s="10" t="s">
        <v>9233</v>
      </c>
      <c r="H1651" s="11">
        <v>39083</v>
      </c>
      <c r="I1651" s="10">
        <v>2007</v>
      </c>
      <c r="J1651" s="10" t="s">
        <v>13443</v>
      </c>
      <c r="K1651" s="10">
        <v>20</v>
      </c>
      <c r="L1651" s="10" t="s">
        <v>13492</v>
      </c>
      <c r="M1651" s="10">
        <v>1</v>
      </c>
      <c r="N1651" s="10" t="s">
        <v>13493</v>
      </c>
      <c r="O1651" s="10"/>
      <c r="P1651" s="10" t="s">
        <v>13494</v>
      </c>
      <c r="Q1651" s="10">
        <v>378.791</v>
      </c>
      <c r="R1651" s="10" t="s">
        <v>13495</v>
      </c>
      <c r="S1651" s="10" t="s">
        <v>3107</v>
      </c>
      <c r="T1651" s="10" t="s">
        <v>54</v>
      </c>
    </row>
    <row r="1652" spans="1:20" ht="14.5" x14ac:dyDescent="0.35">
      <c r="A1652" s="10" t="s">
        <v>13496</v>
      </c>
      <c r="B1652" s="10" t="str">
        <f>"9789053564691"</f>
        <v>9789053564691</v>
      </c>
      <c r="C1652" s="10" t="str">
        <f>"9789048501205"</f>
        <v>9789048501205</v>
      </c>
      <c r="D1652" s="10" t="s">
        <v>13287</v>
      </c>
      <c r="E1652" s="10" t="s">
        <v>13287</v>
      </c>
      <c r="F1652" s="10" t="s">
        <v>1818</v>
      </c>
      <c r="G1652" s="10" t="s">
        <v>9233</v>
      </c>
      <c r="H1652" s="11">
        <v>39083</v>
      </c>
      <c r="I1652" s="10">
        <v>2007</v>
      </c>
      <c r="J1652" s="10" t="s">
        <v>13287</v>
      </c>
      <c r="K1652" s="10">
        <v>120</v>
      </c>
      <c r="L1652" s="10" t="s">
        <v>13497</v>
      </c>
      <c r="M1652" s="10">
        <v>1</v>
      </c>
      <c r="N1652" s="10" t="s">
        <v>13498</v>
      </c>
      <c r="O1652" s="10"/>
      <c r="P1652" s="10" t="s">
        <v>13499</v>
      </c>
      <c r="Q1652" s="10">
        <v>320</v>
      </c>
      <c r="R1652" s="10" t="s">
        <v>13500</v>
      </c>
      <c r="S1652" s="10" t="s">
        <v>3107</v>
      </c>
      <c r="T1652" s="10" t="s">
        <v>13501</v>
      </c>
    </row>
    <row r="1653" spans="1:20" ht="14.5" x14ac:dyDescent="0.35">
      <c r="A1653" s="10" t="s">
        <v>13502</v>
      </c>
      <c r="B1653" s="10" t="str">
        <f>"9789056294748"</f>
        <v>9789056294748</v>
      </c>
      <c r="C1653" s="10" t="str">
        <f>"9789048510023"</f>
        <v>9789048510023</v>
      </c>
      <c r="D1653" s="10" t="s">
        <v>13287</v>
      </c>
      <c r="E1653" s="10" t="s">
        <v>13287</v>
      </c>
      <c r="F1653" s="10" t="s">
        <v>1818</v>
      </c>
      <c r="G1653" s="10" t="s">
        <v>9233</v>
      </c>
      <c r="H1653" s="11">
        <v>39083</v>
      </c>
      <c r="I1653" s="10">
        <v>2007</v>
      </c>
      <c r="J1653" s="10" t="s">
        <v>13443</v>
      </c>
      <c r="K1653" s="10">
        <v>25</v>
      </c>
      <c r="L1653" s="10" t="s">
        <v>13503</v>
      </c>
      <c r="M1653" s="10">
        <v>1</v>
      </c>
      <c r="N1653" s="10" t="s">
        <v>13504</v>
      </c>
      <c r="O1653" s="10"/>
      <c r="P1653" s="10" t="s">
        <v>13505</v>
      </c>
      <c r="Q1653" s="10">
        <v>350</v>
      </c>
      <c r="R1653" s="10" t="s">
        <v>13506</v>
      </c>
      <c r="S1653" s="10" t="s">
        <v>3107</v>
      </c>
      <c r="T1653" s="10" t="s">
        <v>7807</v>
      </c>
    </row>
    <row r="1654" spans="1:20" ht="14.5" x14ac:dyDescent="0.35">
      <c r="A1654" s="10" t="s">
        <v>13507</v>
      </c>
      <c r="B1654" s="10" t="str">
        <f>"9789056294380"</f>
        <v>9789056294380</v>
      </c>
      <c r="C1654" s="10" t="str">
        <f>"9789048507283"</f>
        <v>9789048507283</v>
      </c>
      <c r="D1654" s="10" t="s">
        <v>13287</v>
      </c>
      <c r="E1654" s="10" t="s">
        <v>13287</v>
      </c>
      <c r="F1654" s="10" t="s">
        <v>1818</v>
      </c>
      <c r="G1654" s="10" t="s">
        <v>9233</v>
      </c>
      <c r="H1654" s="11">
        <v>38718</v>
      </c>
      <c r="I1654" s="10">
        <v>2006</v>
      </c>
      <c r="J1654" s="10" t="s">
        <v>13443</v>
      </c>
      <c r="K1654" s="10">
        <v>32</v>
      </c>
      <c r="L1654" s="10" t="s">
        <v>13508</v>
      </c>
      <c r="M1654" s="10">
        <v>1</v>
      </c>
      <c r="N1654" s="10" t="s">
        <v>13509</v>
      </c>
      <c r="O1654" s="10"/>
      <c r="P1654" s="10" t="s">
        <v>13510</v>
      </c>
      <c r="Q1654" s="10">
        <v>523.1</v>
      </c>
      <c r="R1654" s="10" t="s">
        <v>13511</v>
      </c>
      <c r="S1654" s="10" t="s">
        <v>3107</v>
      </c>
      <c r="T1654" s="10" t="s">
        <v>11285</v>
      </c>
    </row>
    <row r="1655" spans="1:20" ht="14.5" x14ac:dyDescent="0.35">
      <c r="A1655" s="10" t="s">
        <v>13512</v>
      </c>
      <c r="B1655" s="10" t="str">
        <f>"9789085553410"</f>
        <v>9789085553410</v>
      </c>
      <c r="C1655" s="10" t="str">
        <f>"9789048504879"</f>
        <v>9789048504879</v>
      </c>
      <c r="D1655" s="10" t="s">
        <v>13287</v>
      </c>
      <c r="E1655" s="10" t="s">
        <v>13287</v>
      </c>
      <c r="F1655" s="10" t="s">
        <v>1818</v>
      </c>
      <c r="G1655" s="10" t="s">
        <v>9233</v>
      </c>
      <c r="H1655" s="11">
        <v>38718</v>
      </c>
      <c r="I1655" s="10">
        <v>2006</v>
      </c>
      <c r="J1655" s="10" t="s">
        <v>13513</v>
      </c>
      <c r="K1655" s="10">
        <v>78</v>
      </c>
      <c r="L1655" s="10" t="s">
        <v>13514</v>
      </c>
      <c r="M1655" s="10">
        <v>1</v>
      </c>
      <c r="N1655" s="10"/>
      <c r="O1655" s="10"/>
      <c r="P1655" s="10" t="s">
        <v>13515</v>
      </c>
      <c r="Q1655" s="10">
        <v>378</v>
      </c>
      <c r="R1655" s="10" t="s">
        <v>13516</v>
      </c>
      <c r="S1655" s="10" t="s">
        <v>53</v>
      </c>
      <c r="T1655" s="10" t="s">
        <v>54</v>
      </c>
    </row>
    <row r="1656" spans="1:20" ht="14.5" x14ac:dyDescent="0.35">
      <c r="A1656" s="10" t="s">
        <v>13517</v>
      </c>
      <c r="B1656" s="10" t="str">
        <f>"9789089641014"</f>
        <v>9789089641014</v>
      </c>
      <c r="C1656" s="10" t="str">
        <f>"9789048508686"</f>
        <v>9789048508686</v>
      </c>
      <c r="D1656" s="10" t="s">
        <v>13287</v>
      </c>
      <c r="E1656" s="10" t="s">
        <v>13287</v>
      </c>
      <c r="F1656" s="10" t="s">
        <v>1818</v>
      </c>
      <c r="G1656" s="10" t="s">
        <v>9233</v>
      </c>
      <c r="H1656" s="11">
        <v>39448</v>
      </c>
      <c r="I1656" s="10">
        <v>2008</v>
      </c>
      <c r="J1656" s="10" t="s">
        <v>13287</v>
      </c>
      <c r="K1656" s="10">
        <v>69</v>
      </c>
      <c r="L1656" s="10" t="s">
        <v>13518</v>
      </c>
      <c r="M1656" s="10">
        <v>1</v>
      </c>
      <c r="N1656" s="10"/>
      <c r="O1656" s="10"/>
      <c r="P1656" s="10" t="s">
        <v>13519</v>
      </c>
      <c r="Q1656" s="10">
        <v>306</v>
      </c>
      <c r="R1656" s="10" t="s">
        <v>13520</v>
      </c>
      <c r="S1656" s="10" t="s">
        <v>3107</v>
      </c>
      <c r="T1656" s="10" t="s">
        <v>6526</v>
      </c>
    </row>
    <row r="1657" spans="1:20" ht="14.5" x14ac:dyDescent="0.35">
      <c r="A1657" s="10" t="s">
        <v>13521</v>
      </c>
      <c r="B1657" s="10" t="str">
        <f>"9789053568712"</f>
        <v>9789053568712</v>
      </c>
      <c r="C1657" s="10" t="str">
        <f>"9789048509805"</f>
        <v>9789048509805</v>
      </c>
      <c r="D1657" s="10" t="s">
        <v>13287</v>
      </c>
      <c r="E1657" s="10" t="s">
        <v>13287</v>
      </c>
      <c r="F1657" s="10" t="s">
        <v>1818</v>
      </c>
      <c r="G1657" s="10" t="s">
        <v>9233</v>
      </c>
      <c r="H1657" s="11">
        <v>38718</v>
      </c>
      <c r="I1657" s="10">
        <v>2006</v>
      </c>
      <c r="J1657" s="10" t="s">
        <v>13287</v>
      </c>
      <c r="K1657" s="10">
        <v>246</v>
      </c>
      <c r="L1657" s="10" t="s">
        <v>13522</v>
      </c>
      <c r="M1657" s="10">
        <v>1</v>
      </c>
      <c r="N1657" s="10" t="s">
        <v>13523</v>
      </c>
      <c r="O1657" s="10" t="s">
        <v>13524</v>
      </c>
      <c r="P1657" s="10" t="s">
        <v>13525</v>
      </c>
      <c r="Q1657" s="10">
        <v>301</v>
      </c>
      <c r="R1657" s="10" t="s">
        <v>13526</v>
      </c>
      <c r="S1657" s="10" t="s">
        <v>3107</v>
      </c>
      <c r="T1657" s="10" t="s">
        <v>13527</v>
      </c>
    </row>
    <row r="1658" spans="1:20" ht="14.5" x14ac:dyDescent="0.35">
      <c r="A1658" s="10" t="s">
        <v>13528</v>
      </c>
      <c r="B1658" s="10" t="str">
        <f>"9780335223510"</f>
        <v>9780335223510</v>
      </c>
      <c r="C1658" s="10" t="str">
        <f>"9780335237630"</f>
        <v>9780335237630</v>
      </c>
      <c r="D1658" s="10" t="s">
        <v>10342</v>
      </c>
      <c r="E1658" s="10" t="s">
        <v>10343</v>
      </c>
      <c r="F1658" s="10" t="s">
        <v>10354</v>
      </c>
      <c r="G1658" s="10" t="s">
        <v>6352</v>
      </c>
      <c r="H1658" s="11">
        <v>39783</v>
      </c>
      <c r="I1658" s="10">
        <v>2008</v>
      </c>
      <c r="J1658" s="10" t="s">
        <v>10345</v>
      </c>
      <c r="K1658" s="10">
        <v>213</v>
      </c>
      <c r="L1658" s="10" t="s">
        <v>13529</v>
      </c>
      <c r="M1658" s="10">
        <v>1</v>
      </c>
      <c r="N1658" s="10" t="s">
        <v>10347</v>
      </c>
      <c r="O1658" s="10"/>
      <c r="P1658" s="10" t="s">
        <v>13530</v>
      </c>
      <c r="Q1658" s="10">
        <v>370</v>
      </c>
      <c r="R1658" s="10" t="s">
        <v>13531</v>
      </c>
      <c r="S1658" s="10" t="s">
        <v>53</v>
      </c>
      <c r="T1658" s="10" t="s">
        <v>54</v>
      </c>
    </row>
    <row r="1659" spans="1:20" ht="14.5" x14ac:dyDescent="0.35">
      <c r="A1659" s="10" t="s">
        <v>13532</v>
      </c>
      <c r="B1659" s="10" t="str">
        <f>"9780335225415"</f>
        <v>9780335225415</v>
      </c>
      <c r="C1659" s="10" t="str">
        <f>"9780335237708"</f>
        <v>9780335237708</v>
      </c>
      <c r="D1659" s="10" t="s">
        <v>10342</v>
      </c>
      <c r="E1659" s="10" t="s">
        <v>10343</v>
      </c>
      <c r="F1659" s="10" t="s">
        <v>10344</v>
      </c>
      <c r="G1659" s="10" t="s">
        <v>6352</v>
      </c>
      <c r="H1659" s="11">
        <v>39783</v>
      </c>
      <c r="I1659" s="10">
        <v>2008</v>
      </c>
      <c r="J1659" s="10" t="s">
        <v>10345</v>
      </c>
      <c r="K1659" s="10">
        <v>181</v>
      </c>
      <c r="L1659" s="10" t="s">
        <v>13533</v>
      </c>
      <c r="M1659" s="10">
        <v>1</v>
      </c>
      <c r="N1659" s="10" t="s">
        <v>10347</v>
      </c>
      <c r="O1659" s="10"/>
      <c r="P1659" s="10" t="s">
        <v>13534</v>
      </c>
      <c r="Q1659" s="10">
        <v>372.11023999999998</v>
      </c>
      <c r="R1659" s="10" t="s">
        <v>13535</v>
      </c>
      <c r="S1659" s="10" t="s">
        <v>53</v>
      </c>
      <c r="T1659" s="10" t="s">
        <v>54</v>
      </c>
    </row>
    <row r="1660" spans="1:20" ht="14.5" x14ac:dyDescent="0.35">
      <c r="A1660" s="10" t="s">
        <v>13536</v>
      </c>
      <c r="B1660" s="10" t="str">
        <f>"9780335234783"</f>
        <v>9780335234783</v>
      </c>
      <c r="C1660" s="10" t="str">
        <f>"9780335237586"</f>
        <v>9780335237586</v>
      </c>
      <c r="D1660" s="10" t="s">
        <v>10342</v>
      </c>
      <c r="E1660" s="10" t="s">
        <v>10343</v>
      </c>
      <c r="F1660" s="10" t="s">
        <v>10344</v>
      </c>
      <c r="G1660" s="10" t="s">
        <v>6352</v>
      </c>
      <c r="H1660" s="11">
        <v>39783</v>
      </c>
      <c r="I1660" s="10">
        <v>2008</v>
      </c>
      <c r="J1660" s="10" t="s">
        <v>10345</v>
      </c>
      <c r="K1660" s="10">
        <v>233</v>
      </c>
      <c r="L1660" s="10" t="s">
        <v>13537</v>
      </c>
      <c r="M1660" s="10">
        <v>1</v>
      </c>
      <c r="N1660" s="10" t="s">
        <v>10347</v>
      </c>
      <c r="O1660" s="10"/>
      <c r="P1660" s="10" t="s">
        <v>13538</v>
      </c>
      <c r="Q1660" s="10"/>
      <c r="R1660" s="10" t="s">
        <v>13539</v>
      </c>
      <c r="S1660" s="10" t="s">
        <v>53</v>
      </c>
      <c r="T1660" s="10" t="s">
        <v>54</v>
      </c>
    </row>
    <row r="1661" spans="1:20" ht="14.5" x14ac:dyDescent="0.35">
      <c r="A1661" s="10" t="s">
        <v>13540</v>
      </c>
      <c r="B1661" s="10" t="str">
        <f>"9780335233625"</f>
        <v>9780335233625</v>
      </c>
      <c r="C1661" s="10" t="str">
        <f>"9780335237562"</f>
        <v>9780335237562</v>
      </c>
      <c r="D1661" s="10" t="s">
        <v>10342</v>
      </c>
      <c r="E1661" s="10" t="s">
        <v>10343</v>
      </c>
      <c r="F1661" s="10" t="s">
        <v>10344</v>
      </c>
      <c r="G1661" s="10" t="s">
        <v>6352</v>
      </c>
      <c r="H1661" s="11">
        <v>39783</v>
      </c>
      <c r="I1661" s="10">
        <v>2008</v>
      </c>
      <c r="J1661" s="10" t="s">
        <v>10345</v>
      </c>
      <c r="K1661" s="10">
        <v>178</v>
      </c>
      <c r="L1661" s="10" t="s">
        <v>13541</v>
      </c>
      <c r="M1661" s="10">
        <v>1</v>
      </c>
      <c r="N1661" s="10" t="s">
        <v>10347</v>
      </c>
      <c r="O1661" s="10"/>
      <c r="P1661" s="10" t="s">
        <v>13542</v>
      </c>
      <c r="Q1661" s="10">
        <v>374.11020000000002</v>
      </c>
      <c r="R1661" s="10" t="s">
        <v>13543</v>
      </c>
      <c r="S1661" s="10" t="s">
        <v>53</v>
      </c>
      <c r="T1661" s="10" t="s">
        <v>54</v>
      </c>
    </row>
    <row r="1662" spans="1:20" ht="14.5" x14ac:dyDescent="0.35">
      <c r="A1662" s="10" t="s">
        <v>13544</v>
      </c>
      <c r="B1662" s="10" t="str">
        <f>"9780335234462"</f>
        <v>9780335234462</v>
      </c>
      <c r="C1662" s="10" t="str">
        <f>"9780335237647"</f>
        <v>9780335237647</v>
      </c>
      <c r="D1662" s="10" t="s">
        <v>10342</v>
      </c>
      <c r="E1662" s="10" t="s">
        <v>10343</v>
      </c>
      <c r="F1662" s="10" t="s">
        <v>10344</v>
      </c>
      <c r="G1662" s="10" t="s">
        <v>6352</v>
      </c>
      <c r="H1662" s="11">
        <v>39783</v>
      </c>
      <c r="I1662" s="10">
        <v>2008</v>
      </c>
      <c r="J1662" s="10" t="s">
        <v>10345</v>
      </c>
      <c r="K1662" s="10">
        <v>168</v>
      </c>
      <c r="L1662" s="10" t="s">
        <v>13545</v>
      </c>
      <c r="M1662" s="10">
        <v>1</v>
      </c>
      <c r="N1662" s="10" t="s">
        <v>13546</v>
      </c>
      <c r="O1662" s="10"/>
      <c r="P1662" s="10" t="s">
        <v>13547</v>
      </c>
      <c r="Q1662" s="10">
        <v>378</v>
      </c>
      <c r="R1662" s="10" t="s">
        <v>13548</v>
      </c>
      <c r="S1662" s="10" t="s">
        <v>53</v>
      </c>
      <c r="T1662" s="10" t="s">
        <v>54</v>
      </c>
    </row>
    <row r="1663" spans="1:20" ht="14.5" x14ac:dyDescent="0.35">
      <c r="A1663" s="10" t="s">
        <v>13549</v>
      </c>
      <c r="B1663" s="10" t="str">
        <f>"9781412907002"</f>
        <v>9781412907002</v>
      </c>
      <c r="C1663" s="10" t="str">
        <f>"9781849202534"</f>
        <v>9781849202534</v>
      </c>
      <c r="D1663" s="10" t="s">
        <v>9325</v>
      </c>
      <c r="E1663" s="10" t="s">
        <v>9326</v>
      </c>
      <c r="F1663" s="10" t="s">
        <v>139</v>
      </c>
      <c r="G1663" s="10" t="s">
        <v>6352</v>
      </c>
      <c r="H1663" s="11">
        <v>39112</v>
      </c>
      <c r="I1663" s="10">
        <v>2007</v>
      </c>
      <c r="J1663" s="10" t="s">
        <v>9326</v>
      </c>
      <c r="K1663" s="10">
        <v>140</v>
      </c>
      <c r="L1663" s="10" t="s">
        <v>13550</v>
      </c>
      <c r="M1663" s="10">
        <v>1</v>
      </c>
      <c r="N1663" s="10" t="s">
        <v>13551</v>
      </c>
      <c r="O1663" s="10"/>
      <c r="P1663" s="10" t="s">
        <v>13552</v>
      </c>
      <c r="Q1663" s="10">
        <v>378.12</v>
      </c>
      <c r="R1663" s="10" t="s">
        <v>13553</v>
      </c>
      <c r="S1663" s="10" t="s">
        <v>53</v>
      </c>
      <c r="T1663" s="10" t="s">
        <v>54</v>
      </c>
    </row>
    <row r="1664" spans="1:20" ht="14.5" x14ac:dyDescent="0.35">
      <c r="A1664" s="10" t="s">
        <v>13554</v>
      </c>
      <c r="B1664" s="10" t="str">
        <f>"9781412906982"</f>
        <v>9781412906982</v>
      </c>
      <c r="C1664" s="10" t="str">
        <f>"9781849202527"</f>
        <v>9781849202527</v>
      </c>
      <c r="D1664" s="10" t="s">
        <v>9325</v>
      </c>
      <c r="E1664" s="10" t="s">
        <v>9326</v>
      </c>
      <c r="F1664" s="10" t="s">
        <v>139</v>
      </c>
      <c r="G1664" s="10" t="s">
        <v>6352</v>
      </c>
      <c r="H1664" s="11">
        <v>39112</v>
      </c>
      <c r="I1664" s="10">
        <v>2007</v>
      </c>
      <c r="J1664" s="10" t="s">
        <v>9326</v>
      </c>
      <c r="K1664" s="10">
        <v>141</v>
      </c>
      <c r="L1664" s="10" t="s">
        <v>13555</v>
      </c>
      <c r="M1664" s="10">
        <v>1</v>
      </c>
      <c r="N1664" s="10" t="s">
        <v>13551</v>
      </c>
      <c r="O1664" s="10"/>
      <c r="P1664" s="10" t="s">
        <v>13556</v>
      </c>
      <c r="Q1664" s="10">
        <v>378.10599999999999</v>
      </c>
      <c r="R1664" s="10" t="s">
        <v>13557</v>
      </c>
      <c r="S1664" s="10" t="s">
        <v>53</v>
      </c>
      <c r="T1664" s="10" t="s">
        <v>54</v>
      </c>
    </row>
    <row r="1665" spans="1:20" ht="14.5" x14ac:dyDescent="0.35">
      <c r="A1665" s="10" t="s">
        <v>13558</v>
      </c>
      <c r="B1665" s="10" t="str">
        <f>"9781412906968"</f>
        <v>9781412906968</v>
      </c>
      <c r="C1665" s="10" t="str">
        <f>"9781849202145"</f>
        <v>9781849202145</v>
      </c>
      <c r="D1665" s="10" t="s">
        <v>9325</v>
      </c>
      <c r="E1665" s="10" t="s">
        <v>9326</v>
      </c>
      <c r="F1665" s="10" t="s">
        <v>139</v>
      </c>
      <c r="G1665" s="10" t="s">
        <v>6352</v>
      </c>
      <c r="H1665" s="11">
        <v>39868</v>
      </c>
      <c r="I1665" s="10">
        <v>2007</v>
      </c>
      <c r="J1665" s="10" t="s">
        <v>9326</v>
      </c>
      <c r="K1665" s="10">
        <v>101</v>
      </c>
      <c r="L1665" s="10" t="s">
        <v>13559</v>
      </c>
      <c r="M1665" s="10">
        <v>1</v>
      </c>
      <c r="N1665" s="10" t="s">
        <v>13551</v>
      </c>
      <c r="O1665" s="10"/>
      <c r="P1665" s="10" t="s">
        <v>13560</v>
      </c>
      <c r="Q1665" s="10">
        <v>378</v>
      </c>
      <c r="R1665" s="10" t="s">
        <v>13561</v>
      </c>
      <c r="S1665" s="10" t="s">
        <v>53</v>
      </c>
      <c r="T1665" s="10" t="s">
        <v>54</v>
      </c>
    </row>
    <row r="1666" spans="1:20" ht="14.5" x14ac:dyDescent="0.35">
      <c r="A1666" s="10" t="s">
        <v>13562</v>
      </c>
      <c r="B1666" s="10" t="str">
        <f>"9781412906999"</f>
        <v>9781412906999</v>
      </c>
      <c r="C1666" s="10" t="str">
        <f>"9781849202312"</f>
        <v>9781849202312</v>
      </c>
      <c r="D1666" s="10" t="s">
        <v>9325</v>
      </c>
      <c r="E1666" s="10" t="s">
        <v>9326</v>
      </c>
      <c r="F1666" s="10" t="s">
        <v>139</v>
      </c>
      <c r="G1666" s="10" t="s">
        <v>6352</v>
      </c>
      <c r="H1666" s="11">
        <v>44179</v>
      </c>
      <c r="I1666" s="10">
        <v>2007</v>
      </c>
      <c r="J1666" s="10" t="s">
        <v>9326</v>
      </c>
      <c r="K1666" s="10">
        <v>131</v>
      </c>
      <c r="L1666" s="10" t="s">
        <v>13563</v>
      </c>
      <c r="M1666" s="10">
        <v>1</v>
      </c>
      <c r="N1666" s="10" t="s">
        <v>13551</v>
      </c>
      <c r="O1666" s="10"/>
      <c r="P1666" s="10" t="s">
        <v>13564</v>
      </c>
      <c r="Q1666" s="10">
        <v>378.125</v>
      </c>
      <c r="R1666" s="10" t="s">
        <v>13565</v>
      </c>
      <c r="S1666" s="10" t="s">
        <v>53</v>
      </c>
      <c r="T1666" s="10" t="s">
        <v>54</v>
      </c>
    </row>
    <row r="1667" spans="1:20" ht="14.5" x14ac:dyDescent="0.35">
      <c r="A1667" s="10" t="s">
        <v>13566</v>
      </c>
      <c r="B1667" s="10" t="str">
        <f>"9781412907019"</f>
        <v>9781412907019</v>
      </c>
      <c r="C1667" s="10" t="str">
        <f>"9781849202152"</f>
        <v>9781849202152</v>
      </c>
      <c r="D1667" s="10" t="s">
        <v>9325</v>
      </c>
      <c r="E1667" s="10" t="s">
        <v>9326</v>
      </c>
      <c r="F1667" s="10" t="s">
        <v>139</v>
      </c>
      <c r="G1667" s="10" t="s">
        <v>6352</v>
      </c>
      <c r="H1667" s="11">
        <v>39112</v>
      </c>
      <c r="I1667" s="10">
        <v>2007</v>
      </c>
      <c r="J1667" s="10" t="s">
        <v>9326</v>
      </c>
      <c r="K1667" s="10">
        <v>132</v>
      </c>
      <c r="L1667" s="10" t="s">
        <v>13567</v>
      </c>
      <c r="M1667" s="10">
        <v>1</v>
      </c>
      <c r="N1667" s="10" t="s">
        <v>13551</v>
      </c>
      <c r="O1667" s="10"/>
      <c r="P1667" s="10" t="s">
        <v>13568</v>
      </c>
      <c r="Q1667" s="10">
        <v>782.42164000000002</v>
      </c>
      <c r="R1667" s="10" t="s">
        <v>13569</v>
      </c>
      <c r="S1667" s="10" t="s">
        <v>53</v>
      </c>
      <c r="T1667" s="10" t="s">
        <v>6815</v>
      </c>
    </row>
    <row r="1668" spans="1:20" ht="14.5" x14ac:dyDescent="0.35">
      <c r="A1668" s="10" t="s">
        <v>13570</v>
      </c>
      <c r="B1668" s="10" t="str">
        <f>"9781412910743"</f>
        <v>9781412910743</v>
      </c>
      <c r="C1668" s="10" t="str">
        <f>"9781849202565"</f>
        <v>9781849202565</v>
      </c>
      <c r="D1668" s="10" t="s">
        <v>9325</v>
      </c>
      <c r="E1668" s="10" t="s">
        <v>9326</v>
      </c>
      <c r="F1668" s="10" t="s">
        <v>139</v>
      </c>
      <c r="G1668" s="10" t="s">
        <v>6352</v>
      </c>
      <c r="H1668" s="11">
        <v>38517</v>
      </c>
      <c r="I1668" s="10">
        <v>2005</v>
      </c>
      <c r="J1668" s="10" t="s">
        <v>9326</v>
      </c>
      <c r="K1668" s="10">
        <v>137</v>
      </c>
      <c r="L1668" s="10" t="s">
        <v>13571</v>
      </c>
      <c r="M1668" s="10">
        <v>1</v>
      </c>
      <c r="N1668" s="10" t="s">
        <v>11973</v>
      </c>
      <c r="O1668" s="10"/>
      <c r="P1668" s="10" t="s">
        <v>13572</v>
      </c>
      <c r="Q1668" s="10">
        <v>371.94</v>
      </c>
      <c r="R1668" s="10" t="s">
        <v>13573</v>
      </c>
      <c r="S1668" s="10" t="s">
        <v>53</v>
      </c>
      <c r="T1668" s="10" t="s">
        <v>6472</v>
      </c>
    </row>
    <row r="1669" spans="1:20" ht="14.5" x14ac:dyDescent="0.35">
      <c r="A1669" s="10" t="s">
        <v>13574</v>
      </c>
      <c r="B1669" s="10" t="str">
        <f>"9781904315568"</f>
        <v>9781904315568</v>
      </c>
      <c r="C1669" s="10" t="str">
        <f>"9781849202220"</f>
        <v>9781849202220</v>
      </c>
      <c r="D1669" s="10" t="s">
        <v>9325</v>
      </c>
      <c r="E1669" s="10" t="s">
        <v>9326</v>
      </c>
      <c r="F1669" s="10" t="s">
        <v>139</v>
      </c>
      <c r="G1669" s="10" t="s">
        <v>6352</v>
      </c>
      <c r="H1669" s="11">
        <v>38321</v>
      </c>
      <c r="I1669" s="10">
        <v>2005</v>
      </c>
      <c r="J1669" s="10" t="s">
        <v>9326</v>
      </c>
      <c r="K1669" s="10">
        <v>111</v>
      </c>
      <c r="L1669" s="10" t="s">
        <v>13575</v>
      </c>
      <c r="M1669" s="10">
        <v>1</v>
      </c>
      <c r="N1669" s="10" t="s">
        <v>11973</v>
      </c>
      <c r="O1669" s="10"/>
      <c r="P1669" s="10" t="s">
        <v>13576</v>
      </c>
      <c r="Q1669" s="10">
        <v>371.90430280999999</v>
      </c>
      <c r="R1669" s="10" t="s">
        <v>13577</v>
      </c>
      <c r="S1669" s="10" t="s">
        <v>53</v>
      </c>
      <c r="T1669" s="10" t="s">
        <v>6472</v>
      </c>
    </row>
    <row r="1670" spans="1:20" ht="14.5" x14ac:dyDescent="0.35">
      <c r="A1670" s="10" t="s">
        <v>13578</v>
      </c>
      <c r="B1670" s="10" t="str">
        <f>"9780761966203"</f>
        <v>9780761966203</v>
      </c>
      <c r="C1670" s="10" t="str">
        <f>"9781849202183"</f>
        <v>9781849202183</v>
      </c>
      <c r="D1670" s="10" t="s">
        <v>9325</v>
      </c>
      <c r="E1670" s="10" t="s">
        <v>9326</v>
      </c>
      <c r="F1670" s="10" t="s">
        <v>139</v>
      </c>
      <c r="G1670" s="10" t="s">
        <v>6352</v>
      </c>
      <c r="H1670" s="11">
        <v>36927</v>
      </c>
      <c r="I1670" s="10">
        <v>2001</v>
      </c>
      <c r="J1670" s="10" t="s">
        <v>9326</v>
      </c>
      <c r="K1670" s="10">
        <v>193</v>
      </c>
      <c r="L1670" s="10" t="s">
        <v>13579</v>
      </c>
      <c r="M1670" s="10">
        <v>1</v>
      </c>
      <c r="N1670" s="10" t="s">
        <v>9336</v>
      </c>
      <c r="O1670" s="10"/>
      <c r="P1670" s="10" t="s">
        <v>13580</v>
      </c>
      <c r="Q1670" s="10" t="s">
        <v>13581</v>
      </c>
      <c r="R1670" s="10" t="s">
        <v>6709</v>
      </c>
      <c r="S1670" s="10" t="s">
        <v>53</v>
      </c>
      <c r="T1670" s="10" t="s">
        <v>54</v>
      </c>
    </row>
    <row r="1671" spans="1:20" ht="14.5" x14ac:dyDescent="0.35">
      <c r="A1671" s="10" t="s">
        <v>13582</v>
      </c>
      <c r="B1671" s="10" t="str">
        <f>"9781412945882"</f>
        <v>9781412945882</v>
      </c>
      <c r="C1671" s="10" t="str">
        <f>"9781849202268"</f>
        <v>9781849202268</v>
      </c>
      <c r="D1671" s="10" t="s">
        <v>9325</v>
      </c>
      <c r="E1671" s="10" t="s">
        <v>9326</v>
      </c>
      <c r="F1671" s="10" t="s">
        <v>139</v>
      </c>
      <c r="G1671" s="10" t="s">
        <v>6352</v>
      </c>
      <c r="H1671" s="11">
        <v>39370</v>
      </c>
      <c r="I1671" s="10">
        <v>2007</v>
      </c>
      <c r="J1671" s="10" t="s">
        <v>9326</v>
      </c>
      <c r="K1671" s="10">
        <v>161</v>
      </c>
      <c r="L1671" s="10" t="s">
        <v>13583</v>
      </c>
      <c r="M1671" s="10">
        <v>1</v>
      </c>
      <c r="N1671" s="10"/>
      <c r="O1671" s="10"/>
      <c r="P1671" s="10" t="s">
        <v>13584</v>
      </c>
      <c r="Q1671" s="10">
        <v>370.15</v>
      </c>
      <c r="R1671" s="10" t="s">
        <v>13585</v>
      </c>
      <c r="S1671" s="10" t="s">
        <v>53</v>
      </c>
      <c r="T1671" s="10" t="s">
        <v>54</v>
      </c>
    </row>
    <row r="1672" spans="1:20" ht="14.5" x14ac:dyDescent="0.35">
      <c r="A1672" s="10" t="s">
        <v>13586</v>
      </c>
      <c r="B1672" s="10" t="str">
        <f>"9781412912044"</f>
        <v>9781412912044</v>
      </c>
      <c r="C1672" s="10" t="str">
        <f>"9781849202671"</f>
        <v>9781849202671</v>
      </c>
      <c r="D1672" s="10" t="s">
        <v>9325</v>
      </c>
      <c r="E1672" s="10" t="s">
        <v>9326</v>
      </c>
      <c r="F1672" s="10" t="s">
        <v>139</v>
      </c>
      <c r="G1672" s="10" t="s">
        <v>6352</v>
      </c>
      <c r="H1672" s="11">
        <v>38825</v>
      </c>
      <c r="I1672" s="10">
        <v>2006</v>
      </c>
      <c r="J1672" s="10" t="s">
        <v>9326</v>
      </c>
      <c r="K1672" s="10">
        <v>79</v>
      </c>
      <c r="L1672" s="10" t="s">
        <v>13587</v>
      </c>
      <c r="M1672" s="10">
        <v>1</v>
      </c>
      <c r="N1672" s="10" t="s">
        <v>11973</v>
      </c>
      <c r="O1672" s="10"/>
      <c r="P1672" s="10" t="s">
        <v>13588</v>
      </c>
      <c r="Q1672" s="10">
        <v>371.404</v>
      </c>
      <c r="R1672" s="10" t="s">
        <v>13589</v>
      </c>
      <c r="S1672" s="10" t="s">
        <v>53</v>
      </c>
      <c r="T1672" s="10" t="s">
        <v>54</v>
      </c>
    </row>
    <row r="1673" spans="1:20" ht="14.5" x14ac:dyDescent="0.35">
      <c r="A1673" s="10" t="s">
        <v>13590</v>
      </c>
      <c r="B1673" s="10" t="str">
        <f>"9781412911870"</f>
        <v>9781412911870</v>
      </c>
      <c r="C1673" s="10" t="str">
        <f>"9781849202725"</f>
        <v>9781849202725</v>
      </c>
      <c r="D1673" s="10" t="s">
        <v>9325</v>
      </c>
      <c r="E1673" s="10" t="s">
        <v>9326</v>
      </c>
      <c r="F1673" s="10" t="s">
        <v>139</v>
      </c>
      <c r="G1673" s="10" t="s">
        <v>6352</v>
      </c>
      <c r="H1673" s="11">
        <v>38628</v>
      </c>
      <c r="I1673" s="10">
        <v>2005</v>
      </c>
      <c r="J1673" s="10" t="s">
        <v>9326</v>
      </c>
      <c r="K1673" s="10">
        <v>159</v>
      </c>
      <c r="L1673" s="10" t="s">
        <v>13591</v>
      </c>
      <c r="M1673" s="10">
        <v>1</v>
      </c>
      <c r="N1673" s="10" t="s">
        <v>11973</v>
      </c>
      <c r="O1673" s="10"/>
      <c r="P1673" s="10" t="s">
        <v>13592</v>
      </c>
      <c r="Q1673" s="10">
        <v>371.2</v>
      </c>
      <c r="R1673" s="10" t="s">
        <v>13593</v>
      </c>
      <c r="S1673" s="10" t="s">
        <v>53</v>
      </c>
      <c r="T1673" s="10" t="s">
        <v>54</v>
      </c>
    </row>
    <row r="1674" spans="1:20" ht="14.5" x14ac:dyDescent="0.35">
      <c r="A1674" s="10" t="s">
        <v>13594</v>
      </c>
      <c r="B1674" s="10" t="str">
        <f>"9781412910750"</f>
        <v>9781412910750</v>
      </c>
      <c r="C1674" s="10" t="str">
        <f>"9781849202824"</f>
        <v>9781849202824</v>
      </c>
      <c r="D1674" s="10" t="s">
        <v>9325</v>
      </c>
      <c r="E1674" s="10" t="s">
        <v>9326</v>
      </c>
      <c r="F1674" s="10" t="s">
        <v>139</v>
      </c>
      <c r="G1674" s="10" t="s">
        <v>6352</v>
      </c>
      <c r="H1674" s="11">
        <v>38517</v>
      </c>
      <c r="I1674" s="10">
        <v>2005</v>
      </c>
      <c r="J1674" s="10" t="s">
        <v>9326</v>
      </c>
      <c r="K1674" s="10">
        <v>357</v>
      </c>
      <c r="L1674" s="10" t="s">
        <v>13595</v>
      </c>
      <c r="M1674" s="10">
        <v>1</v>
      </c>
      <c r="N1674" s="10" t="s">
        <v>11973</v>
      </c>
      <c r="O1674" s="10"/>
      <c r="P1674" s="10" t="s">
        <v>13596</v>
      </c>
      <c r="Q1674" s="10">
        <v>372</v>
      </c>
      <c r="R1674" s="10" t="s">
        <v>13597</v>
      </c>
      <c r="S1674" s="10" t="s">
        <v>53</v>
      </c>
      <c r="T1674" s="10" t="s">
        <v>54</v>
      </c>
    </row>
    <row r="1675" spans="1:20" ht="14.5" x14ac:dyDescent="0.35">
      <c r="A1675" s="10" t="s">
        <v>13598</v>
      </c>
      <c r="B1675" s="10" t="str">
        <f>"9780761943693"</f>
        <v>9780761943693</v>
      </c>
      <c r="C1675" s="10" t="str">
        <f>"9781849202206"</f>
        <v>9781849202206</v>
      </c>
      <c r="D1675" s="10" t="s">
        <v>9325</v>
      </c>
      <c r="E1675" s="10" t="s">
        <v>9326</v>
      </c>
      <c r="F1675" s="10" t="s">
        <v>139</v>
      </c>
      <c r="G1675" s="10" t="s">
        <v>6352</v>
      </c>
      <c r="H1675" s="11">
        <v>39370</v>
      </c>
      <c r="I1675" s="10">
        <v>2007</v>
      </c>
      <c r="J1675" s="10" t="s">
        <v>9326</v>
      </c>
      <c r="K1675" s="10">
        <v>159</v>
      </c>
      <c r="L1675" s="10" t="s">
        <v>13599</v>
      </c>
      <c r="M1675" s="10">
        <v>1</v>
      </c>
      <c r="N1675" s="10" t="s">
        <v>11996</v>
      </c>
      <c r="O1675" s="10"/>
      <c r="P1675" s="10" t="s">
        <v>13600</v>
      </c>
      <c r="Q1675" s="10">
        <v>808.51024378</v>
      </c>
      <c r="R1675" s="10" t="s">
        <v>13601</v>
      </c>
      <c r="S1675" s="10" t="s">
        <v>53</v>
      </c>
      <c r="T1675" s="10" t="s">
        <v>1166</v>
      </c>
    </row>
    <row r="1676" spans="1:20" ht="14.5" x14ac:dyDescent="0.35">
      <c r="A1676" s="10" t="s">
        <v>13602</v>
      </c>
      <c r="B1676" s="10" t="str">
        <f>"9781412935715"</f>
        <v>9781412935715</v>
      </c>
      <c r="C1676" s="10" t="str">
        <f>"9781849202213"</f>
        <v>9781849202213</v>
      </c>
      <c r="D1676" s="10" t="s">
        <v>9325</v>
      </c>
      <c r="E1676" s="10" t="s">
        <v>9326</v>
      </c>
      <c r="F1676" s="10" t="s">
        <v>139</v>
      </c>
      <c r="G1676" s="10" t="s">
        <v>6352</v>
      </c>
      <c r="H1676" s="11">
        <v>39237</v>
      </c>
      <c r="I1676" s="10">
        <v>2007</v>
      </c>
      <c r="J1676" s="10" t="s">
        <v>9326</v>
      </c>
      <c r="K1676" s="10">
        <v>209</v>
      </c>
      <c r="L1676" s="10" t="s">
        <v>13603</v>
      </c>
      <c r="M1676" s="10">
        <v>1</v>
      </c>
      <c r="N1676" s="10"/>
      <c r="O1676" s="10"/>
      <c r="P1676" s="10" t="s">
        <v>13604</v>
      </c>
      <c r="Q1676" s="10">
        <v>372.21</v>
      </c>
      <c r="R1676" s="10" t="s">
        <v>13605</v>
      </c>
      <c r="S1676" s="10" t="s">
        <v>53</v>
      </c>
      <c r="T1676" s="10" t="s">
        <v>54</v>
      </c>
    </row>
    <row r="1677" spans="1:20" ht="14.5" x14ac:dyDescent="0.35">
      <c r="A1677" s="10" t="s">
        <v>13606</v>
      </c>
      <c r="B1677" s="10" t="str">
        <f>"9781412913058"</f>
        <v>9781412913058</v>
      </c>
      <c r="C1677" s="10" t="str">
        <f>"9781849202237"</f>
        <v>9781849202237</v>
      </c>
      <c r="D1677" s="10" t="s">
        <v>9325</v>
      </c>
      <c r="E1677" s="10" t="s">
        <v>9326</v>
      </c>
      <c r="F1677" s="10" t="s">
        <v>139</v>
      </c>
      <c r="G1677" s="10" t="s">
        <v>6352</v>
      </c>
      <c r="H1677" s="11">
        <v>38825</v>
      </c>
      <c r="I1677" s="10">
        <v>2006</v>
      </c>
      <c r="J1677" s="10" t="s">
        <v>9326</v>
      </c>
      <c r="K1677" s="10">
        <v>153</v>
      </c>
      <c r="L1677" s="10" t="s">
        <v>13607</v>
      </c>
      <c r="M1677" s="10">
        <v>1</v>
      </c>
      <c r="N1677" s="10" t="s">
        <v>11973</v>
      </c>
      <c r="O1677" s="10"/>
      <c r="P1677" s="10" t="s">
        <v>13608</v>
      </c>
      <c r="Q1677" s="10">
        <v>158.10830000000001</v>
      </c>
      <c r="R1677" s="10" t="s">
        <v>13609</v>
      </c>
      <c r="S1677" s="10" t="s">
        <v>53</v>
      </c>
      <c r="T1677" s="10" t="s">
        <v>10711</v>
      </c>
    </row>
    <row r="1678" spans="1:20" ht="14.5" x14ac:dyDescent="0.35">
      <c r="A1678" s="10" t="s">
        <v>13610</v>
      </c>
      <c r="B1678" s="10" t="str">
        <f>"9781412929110"</f>
        <v>9781412929110</v>
      </c>
      <c r="C1678" s="10" t="str">
        <f>"9781849202428"</f>
        <v>9781849202428</v>
      </c>
      <c r="D1678" s="10" t="s">
        <v>9325</v>
      </c>
      <c r="E1678" s="10" t="s">
        <v>9326</v>
      </c>
      <c r="F1678" s="10" t="s">
        <v>139</v>
      </c>
      <c r="G1678" s="10" t="s">
        <v>6352</v>
      </c>
      <c r="H1678" s="11">
        <v>39394</v>
      </c>
      <c r="I1678" s="10">
        <v>2008</v>
      </c>
      <c r="J1678" s="10" t="s">
        <v>9326</v>
      </c>
      <c r="K1678" s="10">
        <v>137</v>
      </c>
      <c r="L1678" s="10" t="s">
        <v>13611</v>
      </c>
      <c r="M1678" s="10">
        <v>1</v>
      </c>
      <c r="N1678" s="10"/>
      <c r="O1678" s="10"/>
      <c r="P1678" s="10" t="s">
        <v>13612</v>
      </c>
      <c r="Q1678" s="10">
        <v>371.94</v>
      </c>
      <c r="R1678" s="10" t="s">
        <v>13613</v>
      </c>
      <c r="S1678" s="10" t="s">
        <v>53</v>
      </c>
      <c r="T1678" s="10" t="s">
        <v>13614</v>
      </c>
    </row>
    <row r="1679" spans="1:20" ht="14.5" x14ac:dyDescent="0.35">
      <c r="A1679" s="10" t="s">
        <v>13615</v>
      </c>
      <c r="B1679" s="10" t="str">
        <f>"9781412934091"</f>
        <v>9781412934091</v>
      </c>
      <c r="C1679" s="10" t="str">
        <f>"9781849202459"</f>
        <v>9781849202459</v>
      </c>
      <c r="D1679" s="10" t="s">
        <v>9325</v>
      </c>
      <c r="E1679" s="10" t="s">
        <v>9326</v>
      </c>
      <c r="F1679" s="10" t="s">
        <v>139</v>
      </c>
      <c r="G1679" s="10" t="s">
        <v>6352</v>
      </c>
      <c r="H1679" s="11">
        <v>39363</v>
      </c>
      <c r="I1679" s="10">
        <v>2007</v>
      </c>
      <c r="J1679" s="10" t="s">
        <v>9326</v>
      </c>
      <c r="K1679" s="10">
        <v>170</v>
      </c>
      <c r="L1679" s="10" t="s">
        <v>13616</v>
      </c>
      <c r="M1679" s="10">
        <v>1</v>
      </c>
      <c r="N1679" s="10" t="s">
        <v>13617</v>
      </c>
      <c r="O1679" s="10"/>
      <c r="P1679" s="10" t="s">
        <v>13618</v>
      </c>
      <c r="Q1679" s="10">
        <v>372.7</v>
      </c>
      <c r="R1679" s="10" t="s">
        <v>13619</v>
      </c>
      <c r="S1679" s="10" t="s">
        <v>53</v>
      </c>
      <c r="T1679" s="10" t="s">
        <v>6448</v>
      </c>
    </row>
    <row r="1680" spans="1:20" ht="14.5" x14ac:dyDescent="0.35">
      <c r="A1680" s="10" t="s">
        <v>13620</v>
      </c>
      <c r="B1680" s="10" t="str">
        <f>"9781412910729"</f>
        <v>9781412910729</v>
      </c>
      <c r="C1680" s="10" t="str">
        <f>"9781849202466"</f>
        <v>9781849202466</v>
      </c>
      <c r="D1680" s="10" t="s">
        <v>9325</v>
      </c>
      <c r="E1680" s="10" t="s">
        <v>9326</v>
      </c>
      <c r="F1680" s="10" t="s">
        <v>139</v>
      </c>
      <c r="G1680" s="10" t="s">
        <v>6352</v>
      </c>
      <c r="H1680" s="11">
        <v>38517</v>
      </c>
      <c r="I1680" s="10">
        <v>2005</v>
      </c>
      <c r="J1680" s="10" t="s">
        <v>9326</v>
      </c>
      <c r="K1680" s="10">
        <v>153</v>
      </c>
      <c r="L1680" s="10" t="s">
        <v>13621</v>
      </c>
      <c r="M1680" s="10">
        <v>1</v>
      </c>
      <c r="N1680" s="10" t="s">
        <v>11973</v>
      </c>
      <c r="O1680" s="10"/>
      <c r="P1680" s="10" t="s">
        <v>13622</v>
      </c>
      <c r="Q1680" s="10">
        <v>372.01139999999998</v>
      </c>
      <c r="R1680" s="10" t="s">
        <v>13623</v>
      </c>
      <c r="S1680" s="10" t="s">
        <v>53</v>
      </c>
      <c r="T1680" s="10" t="s">
        <v>6640</v>
      </c>
    </row>
    <row r="1681" spans="1:20" ht="14.5" x14ac:dyDescent="0.35">
      <c r="A1681" s="10" t="s">
        <v>13624</v>
      </c>
      <c r="B1681" s="10" t="str">
        <f>"9781412919661"</f>
        <v>9781412919661</v>
      </c>
      <c r="C1681" s="10" t="str">
        <f>"9781849202664"</f>
        <v>9781849202664</v>
      </c>
      <c r="D1681" s="10" t="s">
        <v>9325</v>
      </c>
      <c r="E1681" s="10" t="s">
        <v>9326</v>
      </c>
      <c r="F1681" s="10" t="s">
        <v>139</v>
      </c>
      <c r="G1681" s="10" t="s">
        <v>6352</v>
      </c>
      <c r="H1681" s="11">
        <v>39343</v>
      </c>
      <c r="I1681" s="10">
        <v>2007</v>
      </c>
      <c r="J1681" s="10" t="s">
        <v>9326</v>
      </c>
      <c r="K1681" s="10">
        <v>139</v>
      </c>
      <c r="L1681" s="10" t="s">
        <v>13625</v>
      </c>
      <c r="M1681" s="10">
        <v>1</v>
      </c>
      <c r="N1681" s="10"/>
      <c r="O1681" s="10"/>
      <c r="P1681" s="10" t="s">
        <v>13626</v>
      </c>
      <c r="Q1681" s="10">
        <v>371.94</v>
      </c>
      <c r="R1681" s="10" t="s">
        <v>13627</v>
      </c>
      <c r="S1681" s="10" t="s">
        <v>53</v>
      </c>
      <c r="T1681" s="10" t="s">
        <v>54</v>
      </c>
    </row>
    <row r="1682" spans="1:20" ht="14.5" x14ac:dyDescent="0.35">
      <c r="A1682" s="10" t="s">
        <v>13628</v>
      </c>
      <c r="B1682" s="10" t="str">
        <f>"9781412918183"</f>
        <v>9781412918183</v>
      </c>
      <c r="C1682" s="10" t="str">
        <f>"9781849202077"</f>
        <v>9781849202077</v>
      </c>
      <c r="D1682" s="10" t="s">
        <v>9325</v>
      </c>
      <c r="E1682" s="10" t="s">
        <v>9326</v>
      </c>
      <c r="F1682" s="10" t="s">
        <v>139</v>
      </c>
      <c r="G1682" s="10" t="s">
        <v>6352</v>
      </c>
      <c r="H1682" s="11">
        <v>38799</v>
      </c>
      <c r="I1682" s="10">
        <v>2006</v>
      </c>
      <c r="J1682" s="10" t="s">
        <v>9326</v>
      </c>
      <c r="K1682" s="10">
        <v>129</v>
      </c>
      <c r="L1682" s="10" t="s">
        <v>13629</v>
      </c>
      <c r="M1682" s="10">
        <v>1</v>
      </c>
      <c r="N1682" s="10" t="s">
        <v>11973</v>
      </c>
      <c r="O1682" s="10"/>
      <c r="P1682" s="10" t="s">
        <v>13630</v>
      </c>
      <c r="Q1682" s="10">
        <v>372.82044094100002</v>
      </c>
      <c r="R1682" s="10" t="s">
        <v>13631</v>
      </c>
      <c r="S1682" s="10" t="s">
        <v>53</v>
      </c>
      <c r="T1682" s="10" t="s">
        <v>54</v>
      </c>
    </row>
    <row r="1683" spans="1:20" ht="14.5" x14ac:dyDescent="0.35">
      <c r="A1683" s="10" t="s">
        <v>13632</v>
      </c>
      <c r="B1683" s="10" t="str">
        <f>"9781412928984"</f>
        <v>9781412928984</v>
      </c>
      <c r="C1683" s="10" t="str">
        <f>"9781849202770"</f>
        <v>9781849202770</v>
      </c>
      <c r="D1683" s="10" t="s">
        <v>9325</v>
      </c>
      <c r="E1683" s="10" t="s">
        <v>9326</v>
      </c>
      <c r="F1683" s="10" t="s">
        <v>139</v>
      </c>
      <c r="G1683" s="10" t="s">
        <v>6352</v>
      </c>
      <c r="H1683" s="11">
        <v>39372</v>
      </c>
      <c r="I1683" s="10">
        <v>2008</v>
      </c>
      <c r="J1683" s="10" t="s">
        <v>9326</v>
      </c>
      <c r="K1683" s="10">
        <v>105</v>
      </c>
      <c r="L1683" s="10" t="s">
        <v>13633</v>
      </c>
      <c r="M1683" s="10">
        <v>2</v>
      </c>
      <c r="N1683" s="10" t="s">
        <v>11973</v>
      </c>
      <c r="O1683" s="10"/>
      <c r="P1683" s="10" t="s">
        <v>13634</v>
      </c>
      <c r="Q1683" s="10">
        <v>371.39299999999997</v>
      </c>
      <c r="R1683" s="10" t="s">
        <v>13635</v>
      </c>
      <c r="S1683" s="10" t="s">
        <v>53</v>
      </c>
      <c r="T1683" s="10" t="s">
        <v>54</v>
      </c>
    </row>
    <row r="1684" spans="1:20" ht="14.5" x14ac:dyDescent="0.35">
      <c r="A1684" s="10" t="s">
        <v>13636</v>
      </c>
      <c r="B1684" s="10" t="str">
        <f>"9781412946636"</f>
        <v>9781412946636</v>
      </c>
      <c r="C1684" s="10" t="str">
        <f>"9781849202794"</f>
        <v>9781849202794</v>
      </c>
      <c r="D1684" s="10" t="s">
        <v>9325</v>
      </c>
      <c r="E1684" s="10" t="s">
        <v>9326</v>
      </c>
      <c r="F1684" s="10" t="s">
        <v>139</v>
      </c>
      <c r="G1684" s="10" t="s">
        <v>6352</v>
      </c>
      <c r="H1684" s="11">
        <v>39405</v>
      </c>
      <c r="I1684" s="10">
        <v>2008</v>
      </c>
      <c r="J1684" s="10" t="s">
        <v>9326</v>
      </c>
      <c r="K1684" s="10">
        <v>161</v>
      </c>
      <c r="L1684" s="10" t="s">
        <v>13637</v>
      </c>
      <c r="M1684" s="10">
        <v>1</v>
      </c>
      <c r="N1684" s="10"/>
      <c r="O1684" s="10"/>
      <c r="P1684" s="10" t="s">
        <v>13638</v>
      </c>
      <c r="Q1684" s="10">
        <v>507.10410000000002</v>
      </c>
      <c r="R1684" s="10" t="s">
        <v>6799</v>
      </c>
      <c r="S1684" s="10" t="s">
        <v>53</v>
      </c>
      <c r="T1684" s="10" t="s">
        <v>10979</v>
      </c>
    </row>
    <row r="1685" spans="1:20" ht="14.5" x14ac:dyDescent="0.35">
      <c r="A1685" s="10" t="s">
        <v>13639</v>
      </c>
      <c r="B1685" s="10" t="str">
        <f>"9781412934244"</f>
        <v>9781412934244</v>
      </c>
      <c r="C1685" s="10" t="str">
        <f>"9781849202848"</f>
        <v>9781849202848</v>
      </c>
      <c r="D1685" s="10" t="s">
        <v>9325</v>
      </c>
      <c r="E1685" s="10" t="s">
        <v>9326</v>
      </c>
      <c r="F1685" s="10" t="s">
        <v>139</v>
      </c>
      <c r="G1685" s="10" t="s">
        <v>6352</v>
      </c>
      <c r="H1685" s="11">
        <v>39216</v>
      </c>
      <c r="I1685" s="10">
        <v>2007</v>
      </c>
      <c r="J1685" s="10" t="s">
        <v>9326</v>
      </c>
      <c r="K1685" s="10">
        <v>135</v>
      </c>
      <c r="L1685" s="10" t="s">
        <v>13640</v>
      </c>
      <c r="M1685" s="10">
        <v>3</v>
      </c>
      <c r="N1685" s="10" t="s">
        <v>9364</v>
      </c>
      <c r="O1685" s="10"/>
      <c r="P1685" s="10" t="s">
        <v>13641</v>
      </c>
      <c r="Q1685" s="10">
        <v>372.6</v>
      </c>
      <c r="R1685" s="10" t="s">
        <v>13642</v>
      </c>
      <c r="S1685" s="10" t="s">
        <v>53</v>
      </c>
      <c r="T1685" s="10" t="s">
        <v>54</v>
      </c>
    </row>
    <row r="1686" spans="1:20" ht="14.5" x14ac:dyDescent="0.35">
      <c r="A1686" s="10" t="s">
        <v>13643</v>
      </c>
      <c r="B1686" s="10" t="str">
        <f>"9781873942130"</f>
        <v>9781873942130</v>
      </c>
      <c r="C1686" s="10" t="str">
        <f>"9780857020321"</f>
        <v>9780857020321</v>
      </c>
      <c r="D1686" s="10" t="s">
        <v>9325</v>
      </c>
      <c r="E1686" s="10" t="s">
        <v>9326</v>
      </c>
      <c r="F1686" s="10" t="s">
        <v>139</v>
      </c>
      <c r="G1686" s="10" t="s">
        <v>6352</v>
      </c>
      <c r="H1686" s="11">
        <v>36526</v>
      </c>
      <c r="I1686" s="10">
        <v>2000</v>
      </c>
      <c r="J1686" s="10" t="s">
        <v>9326</v>
      </c>
      <c r="K1686" s="10">
        <v>151</v>
      </c>
      <c r="L1686" s="10" t="s">
        <v>13644</v>
      </c>
      <c r="M1686" s="10">
        <v>1</v>
      </c>
      <c r="N1686" s="10" t="s">
        <v>11973</v>
      </c>
      <c r="O1686" s="10"/>
      <c r="P1686" s="10" t="s">
        <v>13645</v>
      </c>
      <c r="Q1686" s="10">
        <v>371.94</v>
      </c>
      <c r="R1686" s="10" t="s">
        <v>13646</v>
      </c>
      <c r="S1686" s="10" t="s">
        <v>53</v>
      </c>
      <c r="T1686" s="10" t="s">
        <v>54</v>
      </c>
    </row>
    <row r="1687" spans="1:20" ht="14.5" x14ac:dyDescent="0.35">
      <c r="A1687" s="10" t="s">
        <v>13647</v>
      </c>
      <c r="B1687" s="10" t="str">
        <f>"9781412935609"</f>
        <v>9781412935609</v>
      </c>
      <c r="C1687" s="10" t="str">
        <f>"9781849202862"</f>
        <v>9781849202862</v>
      </c>
      <c r="D1687" s="10" t="s">
        <v>9325</v>
      </c>
      <c r="E1687" s="10" t="s">
        <v>9326</v>
      </c>
      <c r="F1687" s="10" t="s">
        <v>139</v>
      </c>
      <c r="G1687" s="10" t="s">
        <v>6352</v>
      </c>
      <c r="H1687" s="11">
        <v>39827</v>
      </c>
      <c r="I1687" s="10">
        <v>2008</v>
      </c>
      <c r="J1687" s="10" t="s">
        <v>9326</v>
      </c>
      <c r="K1687" s="10">
        <v>209</v>
      </c>
      <c r="L1687" s="10" t="s">
        <v>12592</v>
      </c>
      <c r="M1687" s="10">
        <v>1</v>
      </c>
      <c r="N1687" s="10"/>
      <c r="O1687" s="10"/>
      <c r="P1687" s="10" t="s">
        <v>13648</v>
      </c>
      <c r="Q1687" s="10">
        <v>372.13339999999999</v>
      </c>
      <c r="R1687" s="10" t="s">
        <v>13649</v>
      </c>
      <c r="S1687" s="10" t="s">
        <v>53</v>
      </c>
      <c r="T1687" s="10" t="s">
        <v>54</v>
      </c>
    </row>
    <row r="1688" spans="1:20" ht="14.5" x14ac:dyDescent="0.35">
      <c r="A1688" s="10" t="s">
        <v>13650</v>
      </c>
      <c r="B1688" s="10" t="str">
        <f>"9780195178425"</f>
        <v>9780195178425</v>
      </c>
      <c r="C1688" s="10" t="str">
        <f>"9780195346343"</f>
        <v>9780195346343</v>
      </c>
      <c r="D1688" s="10" t="s">
        <v>9122</v>
      </c>
      <c r="E1688" s="10" t="s">
        <v>9133</v>
      </c>
      <c r="F1688" s="10" t="s">
        <v>70</v>
      </c>
      <c r="G1688" s="10" t="s">
        <v>6317</v>
      </c>
      <c r="H1688" s="11">
        <v>38806</v>
      </c>
      <c r="I1688" s="10">
        <v>2006</v>
      </c>
      <c r="J1688" s="10" t="s">
        <v>9133</v>
      </c>
      <c r="K1688" s="10">
        <v>357</v>
      </c>
      <c r="L1688" s="10" t="s">
        <v>13651</v>
      </c>
      <c r="M1688" s="10">
        <v>1</v>
      </c>
      <c r="N1688" s="10"/>
      <c r="O1688" s="10"/>
      <c r="P1688" s="10" t="s">
        <v>13652</v>
      </c>
      <c r="Q1688" s="10">
        <v>305.2350869</v>
      </c>
      <c r="R1688" s="10" t="s">
        <v>13653</v>
      </c>
      <c r="S1688" s="10" t="s">
        <v>53</v>
      </c>
      <c r="T1688" s="10" t="s">
        <v>6363</v>
      </c>
    </row>
    <row r="1689" spans="1:20" ht="14.5" x14ac:dyDescent="0.35">
      <c r="A1689" s="10" t="s">
        <v>13654</v>
      </c>
      <c r="B1689" s="10" t="str">
        <f>"9780198567929"</f>
        <v>9780198567929</v>
      </c>
      <c r="C1689" s="10" t="str">
        <f>"9780191524455"</f>
        <v>9780191524455</v>
      </c>
      <c r="D1689" s="10" t="s">
        <v>9122</v>
      </c>
      <c r="E1689" s="10" t="s">
        <v>9133</v>
      </c>
      <c r="F1689" s="10" t="s">
        <v>748</v>
      </c>
      <c r="G1689" s="10" t="s">
        <v>6352</v>
      </c>
      <c r="H1689" s="11">
        <v>38582</v>
      </c>
      <c r="I1689" s="10">
        <v>2005</v>
      </c>
      <c r="J1689" s="10" t="s">
        <v>9133</v>
      </c>
      <c r="K1689" s="10">
        <v>386</v>
      </c>
      <c r="L1689" s="10" t="s">
        <v>13655</v>
      </c>
      <c r="M1689" s="10">
        <v>1</v>
      </c>
      <c r="N1689" s="10"/>
      <c r="O1689" s="10"/>
      <c r="P1689" s="10" t="s">
        <v>13656</v>
      </c>
      <c r="Q1689" s="10">
        <v>530.09424999999999</v>
      </c>
      <c r="R1689" s="10" t="s">
        <v>13657</v>
      </c>
      <c r="S1689" s="10" t="s">
        <v>53</v>
      </c>
      <c r="T1689" s="10" t="s">
        <v>11578</v>
      </c>
    </row>
    <row r="1690" spans="1:20" ht="14.5" x14ac:dyDescent="0.35">
      <c r="A1690" s="10" t="s">
        <v>13658</v>
      </c>
      <c r="B1690" s="10" t="str">
        <f>"9780199289288"</f>
        <v>9780199289288</v>
      </c>
      <c r="C1690" s="10" t="str">
        <f>"9780191537257"</f>
        <v>9780191537257</v>
      </c>
      <c r="D1690" s="10" t="s">
        <v>9122</v>
      </c>
      <c r="E1690" s="10" t="s">
        <v>9133</v>
      </c>
      <c r="F1690" s="10" t="s">
        <v>748</v>
      </c>
      <c r="G1690" s="10" t="s">
        <v>6352</v>
      </c>
      <c r="H1690" s="11">
        <v>38708</v>
      </c>
      <c r="I1690" s="10">
        <v>2005</v>
      </c>
      <c r="J1690" s="10" t="s">
        <v>9133</v>
      </c>
      <c r="K1690" s="10">
        <v>244</v>
      </c>
      <c r="L1690" s="10" t="s">
        <v>748</v>
      </c>
      <c r="M1690" s="10">
        <v>1</v>
      </c>
      <c r="N1690" s="10" t="s">
        <v>13363</v>
      </c>
      <c r="O1690" s="10"/>
      <c r="P1690" s="10" t="s">
        <v>13659</v>
      </c>
      <c r="Q1690" s="10">
        <v>378.00900000000001</v>
      </c>
      <c r="R1690" s="10" t="s">
        <v>13365</v>
      </c>
      <c r="S1690" s="10" t="s">
        <v>53</v>
      </c>
      <c r="T1690" s="10" t="s">
        <v>54</v>
      </c>
    </row>
    <row r="1691" spans="1:20" ht="14.5" x14ac:dyDescent="0.35">
      <c r="A1691" s="10" t="s">
        <v>13660</v>
      </c>
      <c r="B1691" s="10" t="str">
        <f>"9780826151650"</f>
        <v>9780826151650</v>
      </c>
      <c r="C1691" s="10" t="str">
        <f>"9780826104854"</f>
        <v>9780826104854</v>
      </c>
      <c r="D1691" s="10" t="s">
        <v>3370</v>
      </c>
      <c r="E1691" s="10" t="s">
        <v>10927</v>
      </c>
      <c r="F1691" s="10" t="s">
        <v>70</v>
      </c>
      <c r="G1691" s="10" t="s">
        <v>6317</v>
      </c>
      <c r="H1691" s="11">
        <v>38718</v>
      </c>
      <c r="I1691" s="10">
        <v>2006</v>
      </c>
      <c r="J1691" s="10" t="s">
        <v>10927</v>
      </c>
      <c r="K1691" s="10">
        <v>305</v>
      </c>
      <c r="L1691" s="10" t="s">
        <v>13661</v>
      </c>
      <c r="M1691" s="10">
        <v>2</v>
      </c>
      <c r="N1691" s="10"/>
      <c r="O1691" s="10"/>
      <c r="P1691" s="10" t="s">
        <v>13662</v>
      </c>
      <c r="Q1691" s="10"/>
      <c r="R1691" s="10" t="s">
        <v>13663</v>
      </c>
      <c r="S1691" s="10" t="s">
        <v>53</v>
      </c>
      <c r="T1691" s="10" t="s">
        <v>6660</v>
      </c>
    </row>
    <row r="1692" spans="1:20" ht="14.5" x14ac:dyDescent="0.35">
      <c r="A1692" s="10" t="s">
        <v>13664</v>
      </c>
      <c r="B1692" s="10" t="str">
        <f>"9780826125132"</f>
        <v>9780826125132</v>
      </c>
      <c r="C1692" s="10" t="str">
        <f>"9780826125149"</f>
        <v>9780826125149</v>
      </c>
      <c r="D1692" s="10" t="s">
        <v>3370</v>
      </c>
      <c r="E1692" s="10" t="s">
        <v>10927</v>
      </c>
      <c r="F1692" s="10" t="s">
        <v>70</v>
      </c>
      <c r="G1692" s="10" t="s">
        <v>6317</v>
      </c>
      <c r="H1692" s="11">
        <v>38353</v>
      </c>
      <c r="I1692" s="10">
        <v>2005</v>
      </c>
      <c r="J1692" s="10" t="s">
        <v>10927</v>
      </c>
      <c r="K1692" s="10">
        <v>257</v>
      </c>
      <c r="L1692" s="10" t="s">
        <v>13665</v>
      </c>
      <c r="M1692" s="10">
        <v>1</v>
      </c>
      <c r="N1692" s="10" t="s">
        <v>10929</v>
      </c>
      <c r="O1692" s="10"/>
      <c r="P1692" s="10" t="s">
        <v>13666</v>
      </c>
      <c r="Q1692" s="10" t="s">
        <v>13667</v>
      </c>
      <c r="R1692" s="10" t="s">
        <v>13668</v>
      </c>
      <c r="S1692" s="10" t="s">
        <v>53</v>
      </c>
      <c r="T1692" s="10" t="s">
        <v>10932</v>
      </c>
    </row>
    <row r="1693" spans="1:20" ht="14.5" x14ac:dyDescent="0.35">
      <c r="A1693" s="10" t="s">
        <v>13669</v>
      </c>
      <c r="B1693" s="10" t="str">
        <f>"9780826113740"</f>
        <v>9780826113740</v>
      </c>
      <c r="C1693" s="10" t="str">
        <f>"9780826197139"</f>
        <v>9780826197139</v>
      </c>
      <c r="D1693" s="10" t="s">
        <v>3370</v>
      </c>
      <c r="E1693" s="10" t="s">
        <v>10927</v>
      </c>
      <c r="F1693" s="10" t="s">
        <v>70</v>
      </c>
      <c r="G1693" s="10" t="s">
        <v>6317</v>
      </c>
      <c r="H1693" s="11">
        <v>36861</v>
      </c>
      <c r="I1693" s="10">
        <v>2000</v>
      </c>
      <c r="J1693" s="10" t="s">
        <v>10927</v>
      </c>
      <c r="K1693" s="10">
        <v>329</v>
      </c>
      <c r="L1693" s="10" t="s">
        <v>13670</v>
      </c>
      <c r="M1693" s="10">
        <v>1</v>
      </c>
      <c r="N1693" s="10"/>
      <c r="O1693" s="10"/>
      <c r="P1693" s="10" t="s">
        <v>13671</v>
      </c>
      <c r="Q1693" s="10" t="s">
        <v>13672</v>
      </c>
      <c r="R1693" s="10" t="s">
        <v>13673</v>
      </c>
      <c r="S1693" s="10" t="s">
        <v>53</v>
      </c>
      <c r="T1693" s="10" t="s">
        <v>54</v>
      </c>
    </row>
    <row r="1694" spans="1:20" ht="14.5" x14ac:dyDescent="0.35">
      <c r="A1694" s="10" t="s">
        <v>13674</v>
      </c>
      <c r="B1694" s="10" t="str">
        <f>"9780826193315"</f>
        <v>9780826193315</v>
      </c>
      <c r="C1694" s="10" t="str">
        <f>"9780826193322"</f>
        <v>9780826193322</v>
      </c>
      <c r="D1694" s="10" t="s">
        <v>3370</v>
      </c>
      <c r="E1694" s="10" t="s">
        <v>10927</v>
      </c>
      <c r="F1694" s="10" t="s">
        <v>70</v>
      </c>
      <c r="G1694" s="10" t="s">
        <v>6317</v>
      </c>
      <c r="H1694" s="11">
        <v>35065</v>
      </c>
      <c r="I1694" s="10">
        <v>1996</v>
      </c>
      <c r="J1694" s="10" t="s">
        <v>10927</v>
      </c>
      <c r="K1694" s="10">
        <v>289</v>
      </c>
      <c r="L1694" s="10" t="s">
        <v>13675</v>
      </c>
      <c r="M1694" s="10">
        <v>1</v>
      </c>
      <c r="N1694" s="10" t="s">
        <v>13676</v>
      </c>
      <c r="O1694" s="10"/>
      <c r="P1694" s="10" t="s">
        <v>13677</v>
      </c>
      <c r="Q1694" s="10">
        <v>610.71100000000001</v>
      </c>
      <c r="R1694" s="10" t="s">
        <v>13678</v>
      </c>
      <c r="S1694" s="10" t="s">
        <v>53</v>
      </c>
      <c r="T1694" s="10" t="s">
        <v>8625</v>
      </c>
    </row>
    <row r="1695" spans="1:20" ht="14.5" x14ac:dyDescent="0.35">
      <c r="A1695" s="10" t="s">
        <v>13679</v>
      </c>
      <c r="B1695" s="10" t="str">
        <f>"9780826132352"</f>
        <v>9780826132352</v>
      </c>
      <c r="C1695" s="10" t="str">
        <f>"9780826132369"</f>
        <v>9780826132369</v>
      </c>
      <c r="D1695" s="10" t="s">
        <v>3370</v>
      </c>
      <c r="E1695" s="10" t="s">
        <v>10927</v>
      </c>
      <c r="F1695" s="10" t="s">
        <v>70</v>
      </c>
      <c r="G1695" s="10" t="s">
        <v>6317</v>
      </c>
      <c r="H1695" s="11">
        <v>38718</v>
      </c>
      <c r="I1695" s="10">
        <v>2006</v>
      </c>
      <c r="J1695" s="10" t="s">
        <v>10927</v>
      </c>
      <c r="K1695" s="10">
        <v>233</v>
      </c>
      <c r="L1695" s="10" t="s">
        <v>13680</v>
      </c>
      <c r="M1695" s="10">
        <v>1</v>
      </c>
      <c r="N1695" s="10"/>
      <c r="O1695" s="10"/>
      <c r="P1695" s="10" t="s">
        <v>13681</v>
      </c>
      <c r="Q1695" s="10"/>
      <c r="R1695" s="10" t="s">
        <v>13682</v>
      </c>
      <c r="S1695" s="10" t="s">
        <v>53</v>
      </c>
      <c r="T1695" s="10" t="s">
        <v>10932</v>
      </c>
    </row>
    <row r="1696" spans="1:20" ht="14.5" x14ac:dyDescent="0.35">
      <c r="A1696" s="10" t="s">
        <v>13683</v>
      </c>
      <c r="B1696" s="10" t="str">
        <f>"9780826138286"</f>
        <v>9780826138286</v>
      </c>
      <c r="C1696" s="10" t="str">
        <f>"9780826138293"</f>
        <v>9780826138293</v>
      </c>
      <c r="D1696" s="10" t="s">
        <v>3370</v>
      </c>
      <c r="E1696" s="10" t="s">
        <v>10927</v>
      </c>
      <c r="F1696" s="10" t="s">
        <v>70</v>
      </c>
      <c r="G1696" s="10" t="s">
        <v>6317</v>
      </c>
      <c r="H1696" s="11">
        <v>39692</v>
      </c>
      <c r="I1696" s="10">
        <v>2008</v>
      </c>
      <c r="J1696" s="10" t="s">
        <v>10927</v>
      </c>
      <c r="K1696" s="10">
        <v>303</v>
      </c>
      <c r="L1696" s="10" t="s">
        <v>13684</v>
      </c>
      <c r="M1696" s="10">
        <v>1</v>
      </c>
      <c r="N1696" s="10"/>
      <c r="O1696" s="10"/>
      <c r="P1696" s="10" t="s">
        <v>13685</v>
      </c>
      <c r="Q1696" s="10" t="s">
        <v>13686</v>
      </c>
      <c r="R1696" s="10" t="s">
        <v>13687</v>
      </c>
      <c r="S1696" s="10" t="s">
        <v>53</v>
      </c>
      <c r="T1696" s="10" t="s">
        <v>10932</v>
      </c>
    </row>
    <row r="1697" spans="1:20" ht="14.5" x14ac:dyDescent="0.35">
      <c r="A1697" s="10" t="s">
        <v>13688</v>
      </c>
      <c r="B1697" s="10" t="str">
        <f>"9780826124753"</f>
        <v>9780826124753</v>
      </c>
      <c r="C1697" s="10" t="str">
        <f>"9780826124760"</f>
        <v>9780826124760</v>
      </c>
      <c r="D1697" s="10" t="s">
        <v>3370</v>
      </c>
      <c r="E1697" s="10" t="s">
        <v>10927</v>
      </c>
      <c r="F1697" s="10" t="s">
        <v>70</v>
      </c>
      <c r="G1697" s="10" t="s">
        <v>6317</v>
      </c>
      <c r="H1697" s="11">
        <v>38322</v>
      </c>
      <c r="I1697" s="10">
        <v>2004</v>
      </c>
      <c r="J1697" s="10" t="s">
        <v>10927</v>
      </c>
      <c r="K1697" s="10">
        <v>180</v>
      </c>
      <c r="L1697" s="10" t="s">
        <v>13689</v>
      </c>
      <c r="M1697" s="10">
        <v>1</v>
      </c>
      <c r="N1697" s="10"/>
      <c r="O1697" s="10"/>
      <c r="P1697" s="10" t="s">
        <v>13690</v>
      </c>
      <c r="Q1697" s="10" t="s">
        <v>13691</v>
      </c>
      <c r="R1697" s="10" t="s">
        <v>13692</v>
      </c>
      <c r="S1697" s="10" t="s">
        <v>53</v>
      </c>
      <c r="T1697" s="10" t="s">
        <v>6363</v>
      </c>
    </row>
    <row r="1698" spans="1:20" ht="14.5" x14ac:dyDescent="0.35">
      <c r="A1698" s="10" t="s">
        <v>13693</v>
      </c>
      <c r="B1698" s="10" t="str">
        <f>"9780826134455"</f>
        <v>9780826134455</v>
      </c>
      <c r="C1698" s="10" t="str">
        <f>"9780826134462"</f>
        <v>9780826134462</v>
      </c>
      <c r="D1698" s="10" t="s">
        <v>3370</v>
      </c>
      <c r="E1698" s="10" t="s">
        <v>10927</v>
      </c>
      <c r="F1698" s="10" t="s">
        <v>70</v>
      </c>
      <c r="G1698" s="10" t="s">
        <v>6317</v>
      </c>
      <c r="H1698" s="11">
        <v>38108</v>
      </c>
      <c r="I1698" s="10">
        <v>2004</v>
      </c>
      <c r="J1698" s="10" t="s">
        <v>10927</v>
      </c>
      <c r="K1698" s="10">
        <v>321</v>
      </c>
      <c r="L1698" s="10" t="s">
        <v>10934</v>
      </c>
      <c r="M1698" s="10">
        <v>1</v>
      </c>
      <c r="N1698" s="10"/>
      <c r="O1698" s="10"/>
      <c r="P1698" s="10" t="s">
        <v>13694</v>
      </c>
      <c r="Q1698" s="10" t="s">
        <v>13686</v>
      </c>
      <c r="R1698" s="10" t="s">
        <v>13695</v>
      </c>
      <c r="S1698" s="10" t="s">
        <v>53</v>
      </c>
      <c r="T1698" s="10" t="s">
        <v>10932</v>
      </c>
    </row>
    <row r="1699" spans="1:20" ht="14.5" x14ac:dyDescent="0.35">
      <c r="A1699" s="10" t="s">
        <v>13696</v>
      </c>
      <c r="B1699" s="10" t="str">
        <f>"9780826116444"</f>
        <v>9780826116444</v>
      </c>
      <c r="C1699" s="10" t="str">
        <f>"9780826116390"</f>
        <v>9780826116390</v>
      </c>
      <c r="D1699" s="10" t="s">
        <v>3370</v>
      </c>
      <c r="E1699" s="10" t="s">
        <v>10927</v>
      </c>
      <c r="F1699" s="10" t="s">
        <v>70</v>
      </c>
      <c r="G1699" s="10" t="s">
        <v>6317</v>
      </c>
      <c r="H1699" s="11">
        <v>38353</v>
      </c>
      <c r="I1699" s="10">
        <v>2005</v>
      </c>
      <c r="J1699" s="10" t="s">
        <v>10927</v>
      </c>
      <c r="K1699" s="10">
        <v>153</v>
      </c>
      <c r="L1699" s="10" t="s">
        <v>13697</v>
      </c>
      <c r="M1699" s="10">
        <v>1</v>
      </c>
      <c r="N1699" s="10"/>
      <c r="O1699" s="10"/>
      <c r="P1699" s="10" t="s">
        <v>13698</v>
      </c>
      <c r="Q1699" s="10"/>
      <c r="R1699" s="10" t="s">
        <v>13699</v>
      </c>
      <c r="S1699" s="10" t="s">
        <v>53</v>
      </c>
      <c r="T1699" s="10" t="s">
        <v>5396</v>
      </c>
    </row>
    <row r="1700" spans="1:20" ht="14.5" x14ac:dyDescent="0.35">
      <c r="A1700" s="10" t="s">
        <v>13700</v>
      </c>
      <c r="B1700" s="10" t="str">
        <f>"9780826150424"</f>
        <v>9780826150424</v>
      </c>
      <c r="C1700" s="10" t="str">
        <f>"9780826150431"</f>
        <v>9780826150431</v>
      </c>
      <c r="D1700" s="10" t="s">
        <v>3370</v>
      </c>
      <c r="E1700" s="10" t="s">
        <v>10927</v>
      </c>
      <c r="F1700" s="10" t="s">
        <v>70</v>
      </c>
      <c r="G1700" s="10" t="s">
        <v>6317</v>
      </c>
      <c r="H1700" s="11">
        <v>37622</v>
      </c>
      <c r="I1700" s="10">
        <v>2003</v>
      </c>
      <c r="J1700" s="10" t="s">
        <v>10927</v>
      </c>
      <c r="K1700" s="10">
        <v>249</v>
      </c>
      <c r="L1700" s="10" t="s">
        <v>13701</v>
      </c>
      <c r="M1700" s="10">
        <v>1</v>
      </c>
      <c r="N1700" s="10"/>
      <c r="O1700" s="10"/>
      <c r="P1700" s="10" t="s">
        <v>13702</v>
      </c>
      <c r="Q1700" s="10" t="s">
        <v>13703</v>
      </c>
      <c r="R1700" s="10" t="s">
        <v>13704</v>
      </c>
      <c r="S1700" s="10" t="s">
        <v>53</v>
      </c>
      <c r="T1700" s="10" t="s">
        <v>13705</v>
      </c>
    </row>
    <row r="1701" spans="1:20" ht="14.5" x14ac:dyDescent="0.35">
      <c r="A1701" s="10" t="s">
        <v>13706</v>
      </c>
      <c r="B1701" s="10" t="str">
        <f>"9780826178459"</f>
        <v>9780826178459</v>
      </c>
      <c r="C1701" s="10" t="str">
        <f>"9780826197856"</f>
        <v>9780826197856</v>
      </c>
      <c r="D1701" s="10" t="s">
        <v>3370</v>
      </c>
      <c r="E1701" s="10" t="s">
        <v>10927</v>
      </c>
      <c r="F1701" s="10" t="s">
        <v>70</v>
      </c>
      <c r="G1701" s="10" t="s">
        <v>6317</v>
      </c>
      <c r="H1701" s="11">
        <v>38718</v>
      </c>
      <c r="I1701" s="10">
        <v>2006</v>
      </c>
      <c r="J1701" s="10" t="s">
        <v>10927</v>
      </c>
      <c r="K1701" s="10">
        <v>183</v>
      </c>
      <c r="L1701" s="10" t="s">
        <v>13707</v>
      </c>
      <c r="M1701" s="10">
        <v>1</v>
      </c>
      <c r="N1701" s="10"/>
      <c r="O1701" s="10"/>
      <c r="P1701" s="10" t="s">
        <v>13708</v>
      </c>
      <c r="Q1701" s="10" t="s">
        <v>13709</v>
      </c>
      <c r="R1701" s="10" t="s">
        <v>9225</v>
      </c>
      <c r="S1701" s="10" t="s">
        <v>53</v>
      </c>
      <c r="T1701" s="10" t="s">
        <v>483</v>
      </c>
    </row>
    <row r="1702" spans="1:20" ht="14.5" x14ac:dyDescent="0.35">
      <c r="A1702" s="10" t="s">
        <v>13710</v>
      </c>
      <c r="B1702" s="10" t="str">
        <f>"9788122415377"</f>
        <v>9788122415377</v>
      </c>
      <c r="C1702" s="10" t="str">
        <f>"9788122426540"</f>
        <v>9788122426540</v>
      </c>
      <c r="D1702" s="10" t="s">
        <v>13422</v>
      </c>
      <c r="E1702" s="10" t="s">
        <v>13423</v>
      </c>
      <c r="F1702" s="10" t="s">
        <v>13424</v>
      </c>
      <c r="G1702" s="10" t="s">
        <v>13425</v>
      </c>
      <c r="H1702" s="11">
        <v>37987</v>
      </c>
      <c r="I1702" s="10">
        <v>2004</v>
      </c>
      <c r="J1702" s="10" t="s">
        <v>13426</v>
      </c>
      <c r="K1702" s="10">
        <v>121</v>
      </c>
      <c r="L1702" s="10" t="s">
        <v>13711</v>
      </c>
      <c r="M1702" s="10">
        <v>1</v>
      </c>
      <c r="N1702" s="10"/>
      <c r="O1702" s="10"/>
      <c r="P1702" s="10" t="s">
        <v>13712</v>
      </c>
      <c r="Q1702" s="10">
        <v>333.70710000000003</v>
      </c>
      <c r="R1702" s="10" t="s">
        <v>13713</v>
      </c>
      <c r="S1702" s="10" t="s">
        <v>53</v>
      </c>
      <c r="T1702" s="10" t="s">
        <v>7664</v>
      </c>
    </row>
    <row r="1703" spans="1:20" ht="14.5" x14ac:dyDescent="0.35">
      <c r="A1703" s="10" t="s">
        <v>13714</v>
      </c>
      <c r="B1703" s="10" t="str">
        <f>"9780521882088"</f>
        <v>9780521882088</v>
      </c>
      <c r="C1703" s="10" t="str">
        <f>"9780511505096"</f>
        <v>9780511505096</v>
      </c>
      <c r="D1703" s="10" t="s">
        <v>397</v>
      </c>
      <c r="E1703" s="10" t="s">
        <v>397</v>
      </c>
      <c r="F1703" s="10" t="s">
        <v>70</v>
      </c>
      <c r="G1703" s="10" t="s">
        <v>6317</v>
      </c>
      <c r="H1703" s="11">
        <v>39930</v>
      </c>
      <c r="I1703" s="10">
        <v>2009</v>
      </c>
      <c r="J1703" s="10" t="s">
        <v>397</v>
      </c>
      <c r="K1703" s="10">
        <v>226</v>
      </c>
      <c r="L1703" s="10" t="s">
        <v>13715</v>
      </c>
      <c r="M1703" s="10">
        <v>1</v>
      </c>
      <c r="N1703" s="10" t="s">
        <v>8349</v>
      </c>
      <c r="O1703" s="10"/>
      <c r="P1703" s="10" t="s">
        <v>13716</v>
      </c>
      <c r="Q1703" s="10">
        <v>372.13339999999999</v>
      </c>
      <c r="R1703" s="10" t="s">
        <v>13717</v>
      </c>
      <c r="S1703" s="10" t="s">
        <v>53</v>
      </c>
      <c r="T1703" s="10" t="s">
        <v>54</v>
      </c>
    </row>
    <row r="1704" spans="1:20" ht="14.5" x14ac:dyDescent="0.35">
      <c r="A1704" s="10" t="s">
        <v>13718</v>
      </c>
      <c r="B1704" s="10" t="str">
        <f>"9780415989916"</f>
        <v>9780415989916</v>
      </c>
      <c r="C1704" s="10" t="str">
        <f>"9780203880968"</f>
        <v>9780203880968</v>
      </c>
      <c r="D1704" s="10" t="s">
        <v>6350</v>
      </c>
      <c r="E1704" s="10" t="s">
        <v>6351</v>
      </c>
      <c r="F1704" s="10" t="s">
        <v>139</v>
      </c>
      <c r="G1704" s="10" t="s">
        <v>6352</v>
      </c>
      <c r="H1704" s="11">
        <v>39909</v>
      </c>
      <c r="I1704" s="10">
        <v>2008</v>
      </c>
      <c r="J1704" s="10" t="s">
        <v>6353</v>
      </c>
      <c r="K1704" s="10">
        <v>1062</v>
      </c>
      <c r="L1704" s="10" t="s">
        <v>13719</v>
      </c>
      <c r="M1704" s="10">
        <v>1</v>
      </c>
      <c r="N1704" s="10"/>
      <c r="O1704" s="10"/>
      <c r="P1704" s="10" t="s">
        <v>13720</v>
      </c>
      <c r="Q1704" s="10">
        <v>379</v>
      </c>
      <c r="R1704" s="10" t="s">
        <v>13721</v>
      </c>
      <c r="S1704" s="10" t="s">
        <v>53</v>
      </c>
      <c r="T1704" s="10" t="s">
        <v>54</v>
      </c>
    </row>
    <row r="1705" spans="1:20" ht="14.5" x14ac:dyDescent="0.35">
      <c r="A1705" s="10" t="s">
        <v>13722</v>
      </c>
      <c r="B1705" s="10" t="str">
        <f>"9780415994231"</f>
        <v>9780415994231</v>
      </c>
      <c r="C1705" s="10" t="str">
        <f>"9780203878842"</f>
        <v>9780203878842</v>
      </c>
      <c r="D1705" s="10" t="s">
        <v>6350</v>
      </c>
      <c r="E1705" s="10" t="s">
        <v>6351</v>
      </c>
      <c r="F1705" s="10" t="s">
        <v>139</v>
      </c>
      <c r="G1705" s="10" t="s">
        <v>6352</v>
      </c>
      <c r="H1705" s="11">
        <v>39895</v>
      </c>
      <c r="I1705" s="10">
        <v>2009</v>
      </c>
      <c r="J1705" s="10" t="s">
        <v>6353</v>
      </c>
      <c r="K1705" s="10">
        <v>389</v>
      </c>
      <c r="L1705" s="10" t="s">
        <v>13723</v>
      </c>
      <c r="M1705" s="10">
        <v>1</v>
      </c>
      <c r="N1705" s="10"/>
      <c r="O1705" s="10"/>
      <c r="P1705" s="10" t="s">
        <v>13724</v>
      </c>
      <c r="Q1705" s="10" t="s">
        <v>9870</v>
      </c>
      <c r="R1705" s="10" t="s">
        <v>7295</v>
      </c>
      <c r="S1705" s="10" t="s">
        <v>53</v>
      </c>
      <c r="T1705" s="10" t="s">
        <v>54</v>
      </c>
    </row>
    <row r="1706" spans="1:20" ht="14.5" x14ac:dyDescent="0.35">
      <c r="A1706" s="10" t="s">
        <v>13725</v>
      </c>
      <c r="B1706" s="10" t="str">
        <f>"9780805861273"</f>
        <v>9780805861273</v>
      </c>
      <c r="C1706" s="10" t="str">
        <f>"9780203880135"</f>
        <v>9780203880135</v>
      </c>
      <c r="D1706" s="10" t="s">
        <v>6350</v>
      </c>
      <c r="E1706" s="10" t="s">
        <v>6351</v>
      </c>
      <c r="F1706" s="10" t="s">
        <v>70</v>
      </c>
      <c r="G1706" s="10" t="s">
        <v>6317</v>
      </c>
      <c r="H1706" s="11">
        <v>39924</v>
      </c>
      <c r="I1706" s="10">
        <v>2009</v>
      </c>
      <c r="J1706" s="10" t="s">
        <v>6353</v>
      </c>
      <c r="K1706" s="10">
        <v>338</v>
      </c>
      <c r="L1706" s="10" t="s">
        <v>13726</v>
      </c>
      <c r="M1706" s="10">
        <v>1</v>
      </c>
      <c r="N1706" s="10"/>
      <c r="O1706" s="10"/>
      <c r="P1706" s="10" t="s">
        <v>13727</v>
      </c>
      <c r="Q1706" s="10">
        <v>610.71</v>
      </c>
      <c r="R1706" s="10" t="s">
        <v>13728</v>
      </c>
      <c r="S1706" s="10" t="s">
        <v>53</v>
      </c>
      <c r="T1706" s="10" t="s">
        <v>8625</v>
      </c>
    </row>
    <row r="1707" spans="1:20" ht="14.5" x14ac:dyDescent="0.35">
      <c r="A1707" s="10" t="s">
        <v>13729</v>
      </c>
      <c r="B1707" s="10" t="str">
        <f>"9780805838848"</f>
        <v>9780805838848</v>
      </c>
      <c r="C1707" s="10" t="str">
        <f>"9781410602152"</f>
        <v>9781410602152</v>
      </c>
      <c r="D1707" s="10" t="s">
        <v>6350</v>
      </c>
      <c r="E1707" s="10" t="s">
        <v>6351</v>
      </c>
      <c r="F1707" s="10" t="s">
        <v>3967</v>
      </c>
      <c r="G1707" s="10" t="s">
        <v>6352</v>
      </c>
      <c r="H1707" s="11">
        <v>37347</v>
      </c>
      <c r="I1707" s="10">
        <v>2002</v>
      </c>
      <c r="J1707" s="10" t="s">
        <v>6353</v>
      </c>
      <c r="K1707" s="10">
        <v>330</v>
      </c>
      <c r="L1707" s="10" t="s">
        <v>13730</v>
      </c>
      <c r="M1707" s="10">
        <v>1</v>
      </c>
      <c r="N1707" s="10"/>
      <c r="O1707" s="10"/>
      <c r="P1707" s="10" t="s">
        <v>13731</v>
      </c>
      <c r="Q1707" s="10" t="s">
        <v>6942</v>
      </c>
      <c r="R1707" s="10" t="s">
        <v>6471</v>
      </c>
      <c r="S1707" s="10" t="s">
        <v>53</v>
      </c>
      <c r="T1707" s="10" t="s">
        <v>54</v>
      </c>
    </row>
    <row r="1708" spans="1:20" ht="14.5" x14ac:dyDescent="0.35">
      <c r="A1708" s="10" t="s">
        <v>13732</v>
      </c>
      <c r="B1708" s="10" t="str">
        <f>"9780805858655"</f>
        <v>9780805858655</v>
      </c>
      <c r="C1708" s="10" t="str">
        <f>"9780203878767"</f>
        <v>9780203878767</v>
      </c>
      <c r="D1708" s="10" t="s">
        <v>6350</v>
      </c>
      <c r="E1708" s="10" t="s">
        <v>6351</v>
      </c>
      <c r="F1708" s="10" t="s">
        <v>70</v>
      </c>
      <c r="G1708" s="10" t="s">
        <v>6317</v>
      </c>
      <c r="H1708" s="11">
        <v>39905</v>
      </c>
      <c r="I1708" s="10">
        <v>2009</v>
      </c>
      <c r="J1708" s="10" t="s">
        <v>6353</v>
      </c>
      <c r="K1708" s="10">
        <v>225</v>
      </c>
      <c r="L1708" s="10" t="s">
        <v>13733</v>
      </c>
      <c r="M1708" s="10">
        <v>1</v>
      </c>
      <c r="N1708" s="10"/>
      <c r="O1708" s="10"/>
      <c r="P1708" s="10" t="s">
        <v>13734</v>
      </c>
      <c r="Q1708" s="10" t="s">
        <v>7299</v>
      </c>
      <c r="R1708" s="10" t="s">
        <v>7283</v>
      </c>
      <c r="S1708" s="10" t="s">
        <v>53</v>
      </c>
      <c r="T1708" s="10" t="s">
        <v>54</v>
      </c>
    </row>
    <row r="1709" spans="1:20" ht="14.5" x14ac:dyDescent="0.35">
      <c r="A1709" s="10" t="s">
        <v>13735</v>
      </c>
      <c r="B1709" s="10" t="str">
        <f>"9780470699546"</f>
        <v>9780470699546</v>
      </c>
      <c r="C1709" s="10" t="str">
        <f>"9780470741979"</f>
        <v>9780470741979</v>
      </c>
      <c r="D1709" s="10" t="s">
        <v>6322</v>
      </c>
      <c r="E1709" s="10" t="s">
        <v>6323</v>
      </c>
      <c r="F1709" s="10" t="s">
        <v>70</v>
      </c>
      <c r="G1709" s="10" t="s">
        <v>6352</v>
      </c>
      <c r="H1709" s="11">
        <v>39923</v>
      </c>
      <c r="I1709" s="10">
        <v>2009</v>
      </c>
      <c r="J1709" s="10" t="s">
        <v>6323</v>
      </c>
      <c r="K1709" s="10">
        <v>252</v>
      </c>
      <c r="L1709" s="10" t="s">
        <v>13736</v>
      </c>
      <c r="M1709" s="10">
        <v>2</v>
      </c>
      <c r="N1709" s="10"/>
      <c r="O1709" s="10"/>
      <c r="P1709" s="10" t="s">
        <v>13737</v>
      </c>
      <c r="Q1709" s="10">
        <v>371.9144</v>
      </c>
      <c r="R1709" s="10" t="s">
        <v>13738</v>
      </c>
      <c r="S1709" s="10" t="s">
        <v>53</v>
      </c>
      <c r="T1709" s="10" t="s">
        <v>13739</v>
      </c>
    </row>
    <row r="1710" spans="1:20" ht="14.5" x14ac:dyDescent="0.35">
      <c r="A1710" s="10" t="s">
        <v>13740</v>
      </c>
      <c r="B1710" s="10" t="str">
        <f>"9781405192170"</f>
        <v>9781405192170</v>
      </c>
      <c r="C1710" s="10" t="str">
        <f>"9781444307221"</f>
        <v>9781444307221</v>
      </c>
      <c r="D1710" s="10" t="s">
        <v>6322</v>
      </c>
      <c r="E1710" s="10" t="s">
        <v>6323</v>
      </c>
      <c r="F1710" s="10" t="s">
        <v>1168</v>
      </c>
      <c r="G1710" s="10" t="s">
        <v>6352</v>
      </c>
      <c r="H1710" s="11">
        <v>39713</v>
      </c>
      <c r="I1710" s="10">
        <v>2008</v>
      </c>
      <c r="J1710" s="10" t="s">
        <v>8436</v>
      </c>
      <c r="K1710" s="10">
        <v>324</v>
      </c>
      <c r="L1710" s="10" t="s">
        <v>13741</v>
      </c>
      <c r="M1710" s="10">
        <v>1</v>
      </c>
      <c r="N1710" s="10" t="s">
        <v>13742</v>
      </c>
      <c r="O1710" s="10"/>
      <c r="P1710" s="10" t="s">
        <v>13743</v>
      </c>
      <c r="Q1710" s="10">
        <v>370.11500000000001</v>
      </c>
      <c r="R1710" s="10" t="s">
        <v>13744</v>
      </c>
      <c r="S1710" s="10" t="s">
        <v>53</v>
      </c>
      <c r="T1710" s="10" t="s">
        <v>54</v>
      </c>
    </row>
    <row r="1711" spans="1:20" ht="14.5" x14ac:dyDescent="0.35">
      <c r="A1711" s="10" t="s">
        <v>13745</v>
      </c>
      <c r="B1711" s="10" t="str">
        <f>"9783484391321"</f>
        <v>9783484391321</v>
      </c>
      <c r="C1711" s="10" t="str">
        <f>"9783484970939"</f>
        <v>9783484970939</v>
      </c>
      <c r="D1711" s="10" t="s">
        <v>9995</v>
      </c>
      <c r="E1711" s="10" t="s">
        <v>9996</v>
      </c>
      <c r="F1711" s="10" t="s">
        <v>13746</v>
      </c>
      <c r="G1711" s="10" t="s">
        <v>9998</v>
      </c>
      <c r="H1711" s="11">
        <v>39135</v>
      </c>
      <c r="I1711" s="10">
        <v>2007</v>
      </c>
      <c r="J1711" s="10" t="s">
        <v>9996</v>
      </c>
      <c r="K1711" s="10">
        <v>236</v>
      </c>
      <c r="L1711" s="10" t="s">
        <v>13747</v>
      </c>
      <c r="M1711" s="10">
        <v>1</v>
      </c>
      <c r="N1711" s="10" t="s">
        <v>13748</v>
      </c>
      <c r="O1711" s="10">
        <v>132</v>
      </c>
      <c r="P1711" s="10" t="s">
        <v>13749</v>
      </c>
      <c r="Q1711" s="10">
        <v>423.02800000000002</v>
      </c>
      <c r="R1711" s="10"/>
      <c r="S1711" s="10" t="s">
        <v>53</v>
      </c>
      <c r="T1711" s="10" t="s">
        <v>6616</v>
      </c>
    </row>
    <row r="1712" spans="1:20" ht="14.5" x14ac:dyDescent="0.35">
      <c r="A1712" s="10" t="s">
        <v>13750</v>
      </c>
      <c r="B1712" s="10" t="str">
        <f>"9780566084904"</f>
        <v>9780566084904</v>
      </c>
      <c r="C1712" s="10" t="str">
        <f>"9780754685487"</f>
        <v>9780754685487</v>
      </c>
      <c r="D1712" s="10" t="s">
        <v>6350</v>
      </c>
      <c r="E1712" s="10" t="s">
        <v>6351</v>
      </c>
      <c r="F1712" s="10" t="s">
        <v>339</v>
      </c>
      <c r="G1712" s="10" t="s">
        <v>6352</v>
      </c>
      <c r="H1712" s="11">
        <v>37435</v>
      </c>
      <c r="I1712" s="10">
        <v>2002</v>
      </c>
      <c r="J1712" s="10" t="s">
        <v>6353</v>
      </c>
      <c r="K1712" s="10">
        <v>278</v>
      </c>
      <c r="L1712" s="10" t="s">
        <v>13751</v>
      </c>
      <c r="M1712" s="10">
        <v>3</v>
      </c>
      <c r="N1712" s="10"/>
      <c r="O1712" s="10"/>
      <c r="P1712" s="10" t="s">
        <v>13752</v>
      </c>
      <c r="Q1712" s="10" t="s">
        <v>13753</v>
      </c>
      <c r="R1712" s="10" t="s">
        <v>13754</v>
      </c>
      <c r="S1712" s="10" t="s">
        <v>53</v>
      </c>
      <c r="T1712" s="10" t="s">
        <v>54</v>
      </c>
    </row>
    <row r="1713" spans="1:20" ht="14.5" x14ac:dyDescent="0.35">
      <c r="A1713" s="10" t="s">
        <v>13755</v>
      </c>
      <c r="B1713" s="10" t="str">
        <f>"9780566085833"</f>
        <v>9780566085833</v>
      </c>
      <c r="C1713" s="10" t="str">
        <f>"9780754682950"</f>
        <v>9780754682950</v>
      </c>
      <c r="D1713" s="10" t="s">
        <v>6350</v>
      </c>
      <c r="E1713" s="10" t="s">
        <v>6351</v>
      </c>
      <c r="F1713" s="10" t="s">
        <v>339</v>
      </c>
      <c r="G1713" s="10" t="s">
        <v>6352</v>
      </c>
      <c r="H1713" s="11">
        <v>38531</v>
      </c>
      <c r="I1713" s="10">
        <v>2012</v>
      </c>
      <c r="J1713" s="10" t="s">
        <v>13756</v>
      </c>
      <c r="K1713" s="10">
        <v>306</v>
      </c>
      <c r="L1713" s="10" t="s">
        <v>13757</v>
      </c>
      <c r="M1713" s="10">
        <v>1</v>
      </c>
      <c r="N1713" s="10"/>
      <c r="O1713" s="10"/>
      <c r="P1713" s="10" t="s">
        <v>13758</v>
      </c>
      <c r="Q1713" s="10" t="s">
        <v>13759</v>
      </c>
      <c r="R1713" s="10" t="s">
        <v>13760</v>
      </c>
      <c r="S1713" s="10" t="s">
        <v>53</v>
      </c>
      <c r="T1713" s="10" t="s">
        <v>6660</v>
      </c>
    </row>
    <row r="1714" spans="1:20" ht="14.5" x14ac:dyDescent="0.35">
      <c r="A1714" s="10" t="s">
        <v>13761</v>
      </c>
      <c r="B1714" s="10" t="str">
        <f>"9780754641216"</f>
        <v>9780754641216</v>
      </c>
      <c r="C1714" s="10" t="str">
        <f>"9780754680536"</f>
        <v>9780754680536</v>
      </c>
      <c r="D1714" s="10" t="s">
        <v>6350</v>
      </c>
      <c r="E1714" s="10" t="s">
        <v>6351</v>
      </c>
      <c r="F1714" s="10" t="s">
        <v>13762</v>
      </c>
      <c r="G1714" s="10" t="s">
        <v>6352</v>
      </c>
      <c r="H1714" s="11">
        <v>38500</v>
      </c>
      <c r="I1714" s="10">
        <v>2005</v>
      </c>
      <c r="J1714" s="10" t="s">
        <v>6353</v>
      </c>
      <c r="K1714" s="10">
        <v>329</v>
      </c>
      <c r="L1714" s="10" t="s">
        <v>13763</v>
      </c>
      <c r="M1714" s="10">
        <v>3</v>
      </c>
      <c r="N1714" s="10"/>
      <c r="O1714" s="10"/>
      <c r="P1714" s="10" t="s">
        <v>13764</v>
      </c>
      <c r="Q1714" s="10">
        <v>361.32</v>
      </c>
      <c r="R1714" s="10" t="s">
        <v>13765</v>
      </c>
      <c r="S1714" s="10" t="s">
        <v>53</v>
      </c>
      <c r="T1714" s="10" t="s">
        <v>6363</v>
      </c>
    </row>
    <row r="1715" spans="1:20" ht="14.5" x14ac:dyDescent="0.35">
      <c r="A1715" s="10" t="s">
        <v>13766</v>
      </c>
      <c r="B1715" s="10" t="str">
        <f>"9780754632269"</f>
        <v>9780754632269</v>
      </c>
      <c r="C1715" s="10" t="str">
        <f>"9780754681632"</f>
        <v>9780754681632</v>
      </c>
      <c r="D1715" s="10" t="s">
        <v>6350</v>
      </c>
      <c r="E1715" s="10" t="s">
        <v>6351</v>
      </c>
      <c r="F1715" s="10" t="s">
        <v>3967</v>
      </c>
      <c r="G1715" s="10" t="s">
        <v>6352</v>
      </c>
      <c r="H1715" s="11">
        <v>42895</v>
      </c>
      <c r="I1715" s="10">
        <v>2002</v>
      </c>
      <c r="J1715" s="10" t="s">
        <v>6353</v>
      </c>
      <c r="K1715" s="10">
        <v>251</v>
      </c>
      <c r="L1715" s="10" t="s">
        <v>13767</v>
      </c>
      <c r="M1715" s="10">
        <v>1</v>
      </c>
      <c r="N1715" s="10" t="s">
        <v>13768</v>
      </c>
      <c r="O1715" s="10"/>
      <c r="P1715" s="10" t="s">
        <v>13769</v>
      </c>
      <c r="Q1715" s="10" t="s">
        <v>13770</v>
      </c>
      <c r="R1715" s="10" t="s">
        <v>13771</v>
      </c>
      <c r="S1715" s="10" t="s">
        <v>53</v>
      </c>
      <c r="T1715" s="10" t="s">
        <v>6384</v>
      </c>
    </row>
    <row r="1716" spans="1:20" ht="14.5" x14ac:dyDescent="0.35">
      <c r="A1716" s="10" t="s">
        <v>13772</v>
      </c>
      <c r="B1716" s="10" t="str">
        <f>"9780566084591"</f>
        <v>9780566084591</v>
      </c>
      <c r="C1716" s="10" t="str">
        <f>"9780754685609"</f>
        <v>9780754685609</v>
      </c>
      <c r="D1716" s="10" t="s">
        <v>6350</v>
      </c>
      <c r="E1716" s="10" t="s">
        <v>6351</v>
      </c>
      <c r="F1716" s="10" t="s">
        <v>3967</v>
      </c>
      <c r="G1716" s="10" t="s">
        <v>6352</v>
      </c>
      <c r="H1716" s="11">
        <v>37777</v>
      </c>
      <c r="I1716" s="10">
        <v>2003</v>
      </c>
      <c r="J1716" s="10" t="s">
        <v>6353</v>
      </c>
      <c r="K1716" s="10">
        <v>230</v>
      </c>
      <c r="L1716" s="10" t="s">
        <v>13773</v>
      </c>
      <c r="M1716" s="10">
        <v>1</v>
      </c>
      <c r="N1716" s="10"/>
      <c r="O1716" s="10"/>
      <c r="P1716" s="10" t="s">
        <v>13774</v>
      </c>
      <c r="Q1716" s="10" t="s">
        <v>13775</v>
      </c>
      <c r="R1716" s="10" t="s">
        <v>13776</v>
      </c>
      <c r="S1716" s="10" t="s">
        <v>53</v>
      </c>
      <c r="T1716" s="10" t="s">
        <v>13777</v>
      </c>
    </row>
    <row r="1717" spans="1:20" ht="14.5" x14ac:dyDescent="0.35">
      <c r="A1717" s="10" t="s">
        <v>13778</v>
      </c>
      <c r="B1717" s="10" t="str">
        <f>"9780566080975"</f>
        <v>9780566080975</v>
      </c>
      <c r="C1717" s="10" t="str">
        <f>"9780754682752"</f>
        <v>9780754682752</v>
      </c>
      <c r="D1717" s="10" t="s">
        <v>6350</v>
      </c>
      <c r="E1717" s="10" t="s">
        <v>6351</v>
      </c>
      <c r="F1717" s="10" t="s">
        <v>339</v>
      </c>
      <c r="G1717" s="10" t="s">
        <v>6352</v>
      </c>
      <c r="H1717" s="11">
        <v>36100</v>
      </c>
      <c r="I1717" s="10">
        <v>2012</v>
      </c>
      <c r="J1717" s="10" t="s">
        <v>13756</v>
      </c>
      <c r="K1717" s="10">
        <v>245</v>
      </c>
      <c r="L1717" s="10" t="s">
        <v>13779</v>
      </c>
      <c r="M1717" s="10">
        <v>2</v>
      </c>
      <c r="N1717" s="10"/>
      <c r="O1717" s="10"/>
      <c r="P1717" s="10" t="s">
        <v>13780</v>
      </c>
      <c r="Q1717" s="10" t="s">
        <v>13781</v>
      </c>
      <c r="R1717" s="10" t="s">
        <v>13782</v>
      </c>
      <c r="S1717" s="10" t="s">
        <v>53</v>
      </c>
      <c r="T1717" s="10" t="s">
        <v>6660</v>
      </c>
    </row>
    <row r="1718" spans="1:20" ht="14.5" x14ac:dyDescent="0.35">
      <c r="A1718" s="10" t="s">
        <v>13783</v>
      </c>
      <c r="B1718" s="10" t="str">
        <f>"9781844072224"</f>
        <v>9781844072224</v>
      </c>
      <c r="C1718" s="10" t="str">
        <f>"9781849773560"</f>
        <v>9781849773560</v>
      </c>
      <c r="D1718" s="10" t="s">
        <v>6350</v>
      </c>
      <c r="E1718" s="10" t="s">
        <v>6351</v>
      </c>
      <c r="F1718" s="10" t="s">
        <v>139</v>
      </c>
      <c r="G1718" s="10" t="s">
        <v>6352</v>
      </c>
      <c r="H1718" s="11">
        <v>38504</v>
      </c>
      <c r="I1718" s="10">
        <v>2005</v>
      </c>
      <c r="J1718" s="10" t="s">
        <v>6353</v>
      </c>
      <c r="K1718" s="10">
        <v>277</v>
      </c>
      <c r="L1718" s="10" t="s">
        <v>13784</v>
      </c>
      <c r="M1718" s="10">
        <v>1</v>
      </c>
      <c r="N1718" s="10"/>
      <c r="O1718" s="10"/>
      <c r="P1718" s="10" t="s">
        <v>13785</v>
      </c>
      <c r="Q1718" s="10">
        <v>305.42</v>
      </c>
      <c r="R1718" s="10" t="s">
        <v>13786</v>
      </c>
      <c r="S1718" s="10" t="s">
        <v>53</v>
      </c>
      <c r="T1718" s="10" t="s">
        <v>6472</v>
      </c>
    </row>
    <row r="1719" spans="1:20" ht="14.5" x14ac:dyDescent="0.35">
      <c r="A1719" s="10" t="s">
        <v>13787</v>
      </c>
      <c r="B1719" s="10" t="str">
        <f>"9781844072217"</f>
        <v>9781844072217</v>
      </c>
      <c r="C1719" s="10" t="str">
        <f>"9781849773577"</f>
        <v>9781849773577</v>
      </c>
      <c r="D1719" s="10" t="s">
        <v>6350</v>
      </c>
      <c r="E1719" s="10" t="s">
        <v>6351</v>
      </c>
      <c r="F1719" s="10" t="s">
        <v>139</v>
      </c>
      <c r="G1719" s="10" t="s">
        <v>6352</v>
      </c>
      <c r="H1719" s="11">
        <v>38504</v>
      </c>
      <c r="I1719" s="10">
        <v>2005</v>
      </c>
      <c r="J1719" s="10" t="s">
        <v>6353</v>
      </c>
      <c r="K1719" s="10">
        <v>203</v>
      </c>
      <c r="L1719" s="10" t="s">
        <v>13788</v>
      </c>
      <c r="M1719" s="10">
        <v>1</v>
      </c>
      <c r="N1719" s="10"/>
      <c r="O1719" s="10"/>
      <c r="P1719" s="10" t="s">
        <v>13789</v>
      </c>
      <c r="Q1719" s="10">
        <v>372.01150000000001</v>
      </c>
      <c r="R1719" s="10" t="s">
        <v>13790</v>
      </c>
      <c r="S1719" s="10" t="s">
        <v>53</v>
      </c>
      <c r="T1719" s="10" t="s">
        <v>54</v>
      </c>
    </row>
    <row r="1720" spans="1:20" ht="14.5" x14ac:dyDescent="0.35">
      <c r="A1720" s="10" t="s">
        <v>13791</v>
      </c>
      <c r="B1720" s="10" t="str">
        <f>"9780195131970"</f>
        <v>9780195131970</v>
      </c>
      <c r="C1720" s="10" t="str">
        <f>"9780195351125"</f>
        <v>9780195351125</v>
      </c>
      <c r="D1720" s="10" t="s">
        <v>9122</v>
      </c>
      <c r="E1720" s="10" t="s">
        <v>9133</v>
      </c>
      <c r="F1720" s="10" t="s">
        <v>330</v>
      </c>
      <c r="G1720" s="10" t="s">
        <v>6317</v>
      </c>
      <c r="H1720" s="11">
        <v>36951</v>
      </c>
      <c r="I1720" s="10">
        <v>2000</v>
      </c>
      <c r="J1720" s="10" t="s">
        <v>9133</v>
      </c>
      <c r="K1720" s="10">
        <v>271</v>
      </c>
      <c r="L1720" s="10" t="s">
        <v>13792</v>
      </c>
      <c r="M1720" s="10">
        <v>1</v>
      </c>
      <c r="N1720" s="10"/>
      <c r="O1720" s="10"/>
      <c r="P1720" s="10" t="s">
        <v>13793</v>
      </c>
      <c r="Q1720" s="10" t="s">
        <v>13794</v>
      </c>
      <c r="R1720" s="10" t="s">
        <v>13795</v>
      </c>
      <c r="S1720" s="10" t="s">
        <v>53</v>
      </c>
      <c r="T1720" s="10" t="s">
        <v>8723</v>
      </c>
    </row>
    <row r="1721" spans="1:20" ht="14.5" x14ac:dyDescent="0.35">
      <c r="A1721" s="10" t="s">
        <v>13796</v>
      </c>
      <c r="B1721" s="10" t="str">
        <f>"9780195330953"</f>
        <v>9780195330953</v>
      </c>
      <c r="C1721" s="10" t="str">
        <f>"9780199716180"</f>
        <v>9780199716180</v>
      </c>
      <c r="D1721" s="10" t="s">
        <v>9122</v>
      </c>
      <c r="E1721" s="10" t="s">
        <v>9227</v>
      </c>
      <c r="F1721" s="10" t="s">
        <v>330</v>
      </c>
      <c r="G1721" s="10" t="s">
        <v>6317</v>
      </c>
      <c r="H1721" s="11">
        <v>39897</v>
      </c>
      <c r="I1721" s="10">
        <v>2009</v>
      </c>
      <c r="J1721" s="10" t="s">
        <v>9227</v>
      </c>
      <c r="K1721" s="10">
        <v>425</v>
      </c>
      <c r="L1721" s="10" t="s">
        <v>13797</v>
      </c>
      <c r="M1721" s="10">
        <v>3</v>
      </c>
      <c r="N1721" s="10"/>
      <c r="O1721" s="10"/>
      <c r="P1721" s="10" t="s">
        <v>13798</v>
      </c>
      <c r="Q1721" s="10">
        <v>153.42024361</v>
      </c>
      <c r="R1721" s="10" t="s">
        <v>13799</v>
      </c>
      <c r="S1721" s="10" t="s">
        <v>53</v>
      </c>
      <c r="T1721" s="10" t="s">
        <v>483</v>
      </c>
    </row>
    <row r="1722" spans="1:20" ht="14.5" x14ac:dyDescent="0.35">
      <c r="A1722" s="10" t="s">
        <v>13800</v>
      </c>
      <c r="B1722" s="10" t="str">
        <f>"9780199232215"</f>
        <v>9780199232215</v>
      </c>
      <c r="C1722" s="10" t="str">
        <f>"9780191552502"</f>
        <v>9780191552502</v>
      </c>
      <c r="D1722" s="10" t="s">
        <v>9122</v>
      </c>
      <c r="E1722" s="10" t="s">
        <v>747</v>
      </c>
      <c r="F1722" s="10" t="s">
        <v>748</v>
      </c>
      <c r="G1722" s="10" t="s">
        <v>6352</v>
      </c>
      <c r="H1722" s="11">
        <v>39736</v>
      </c>
      <c r="I1722" s="10">
        <v>2008</v>
      </c>
      <c r="J1722" s="10" t="s">
        <v>747</v>
      </c>
      <c r="K1722" s="10">
        <v>600</v>
      </c>
      <c r="L1722" s="10" t="s">
        <v>13801</v>
      </c>
      <c r="M1722" s="10">
        <v>1</v>
      </c>
      <c r="N1722" s="10"/>
      <c r="O1722" s="10"/>
      <c r="P1722" s="10" t="s">
        <v>13802</v>
      </c>
      <c r="Q1722" s="10" t="s">
        <v>13803</v>
      </c>
      <c r="R1722" s="10" t="s">
        <v>13804</v>
      </c>
      <c r="S1722" s="10" t="s">
        <v>53</v>
      </c>
      <c r="T1722" s="10" t="s">
        <v>1166</v>
      </c>
    </row>
    <row r="1723" spans="1:20" ht="14.5" x14ac:dyDescent="0.35">
      <c r="A1723" s="10" t="s">
        <v>13805</v>
      </c>
      <c r="B1723" s="10" t="str">
        <f>"9780195071351"</f>
        <v>9780195071351</v>
      </c>
      <c r="C1723" s="10" t="str">
        <f>"9780195361209"</f>
        <v>9780195361209</v>
      </c>
      <c r="D1723" s="10" t="s">
        <v>9122</v>
      </c>
      <c r="E1723" s="10" t="s">
        <v>9133</v>
      </c>
      <c r="F1723" s="10" t="s">
        <v>330</v>
      </c>
      <c r="G1723" s="10" t="s">
        <v>6317</v>
      </c>
      <c r="H1723" s="11">
        <v>33507</v>
      </c>
      <c r="I1723" s="10">
        <v>1989</v>
      </c>
      <c r="J1723" s="10" t="s">
        <v>9133</v>
      </c>
      <c r="K1723" s="10">
        <v>323</v>
      </c>
      <c r="L1723" s="10" t="s">
        <v>13806</v>
      </c>
      <c r="M1723" s="10">
        <v>1</v>
      </c>
      <c r="N1723" s="10"/>
      <c r="O1723" s="10"/>
      <c r="P1723" s="10" t="s">
        <v>13807</v>
      </c>
      <c r="Q1723" s="10" t="s">
        <v>13808</v>
      </c>
      <c r="R1723" s="10" t="s">
        <v>13809</v>
      </c>
      <c r="S1723" s="10" t="s">
        <v>53</v>
      </c>
      <c r="T1723" s="10" t="s">
        <v>54</v>
      </c>
    </row>
    <row r="1724" spans="1:20" ht="14.5" x14ac:dyDescent="0.35">
      <c r="A1724" s="10" t="s">
        <v>13810</v>
      </c>
      <c r="B1724" s="10" t="str">
        <f>"9780199297382"</f>
        <v>9780199297382</v>
      </c>
      <c r="C1724" s="10" t="str">
        <f>"9780191538124"</f>
        <v>9780191538124</v>
      </c>
      <c r="D1724" s="10" t="s">
        <v>9122</v>
      </c>
      <c r="E1724" s="10" t="s">
        <v>9133</v>
      </c>
      <c r="F1724" s="10" t="s">
        <v>748</v>
      </c>
      <c r="G1724" s="10" t="s">
        <v>6352</v>
      </c>
      <c r="H1724" s="11">
        <v>38918</v>
      </c>
      <c r="I1724" s="10">
        <v>2006</v>
      </c>
      <c r="J1724" s="10" t="s">
        <v>9133</v>
      </c>
      <c r="K1724" s="10">
        <v>319</v>
      </c>
      <c r="L1724" s="10" t="s">
        <v>13362</v>
      </c>
      <c r="M1724" s="10">
        <v>1</v>
      </c>
      <c r="N1724" s="10" t="s">
        <v>13363</v>
      </c>
      <c r="O1724" s="10"/>
      <c r="P1724" s="10" t="s">
        <v>13811</v>
      </c>
      <c r="Q1724" s="10">
        <v>378.00900000000001</v>
      </c>
      <c r="R1724" s="10" t="s">
        <v>13812</v>
      </c>
      <c r="S1724" s="10" t="s">
        <v>53</v>
      </c>
      <c r="T1724" s="10" t="s">
        <v>54</v>
      </c>
    </row>
    <row r="1725" spans="1:20" ht="14.5" x14ac:dyDescent="0.35">
      <c r="A1725" s="10" t="s">
        <v>13813</v>
      </c>
      <c r="B1725" s="10" t="str">
        <f>"9780195058123"</f>
        <v>9780195058123</v>
      </c>
      <c r="C1725" s="10" t="str">
        <f>"9780195363319"</f>
        <v>9780195363319</v>
      </c>
      <c r="D1725" s="10" t="s">
        <v>9122</v>
      </c>
      <c r="E1725" s="10" t="s">
        <v>9133</v>
      </c>
      <c r="F1725" s="10" t="s">
        <v>330</v>
      </c>
      <c r="G1725" s="10" t="s">
        <v>6317</v>
      </c>
      <c r="H1725" s="11">
        <v>35376</v>
      </c>
      <c r="I1725" s="10">
        <v>1993</v>
      </c>
      <c r="J1725" s="10" t="s">
        <v>9133</v>
      </c>
      <c r="K1725" s="10">
        <v>745</v>
      </c>
      <c r="L1725" s="10" t="s">
        <v>13814</v>
      </c>
      <c r="M1725" s="10">
        <v>1</v>
      </c>
      <c r="N1725" s="10" t="s">
        <v>13815</v>
      </c>
      <c r="O1725" s="10"/>
      <c r="P1725" s="10" t="s">
        <v>13816</v>
      </c>
      <c r="Q1725" s="10" t="s">
        <v>13817</v>
      </c>
      <c r="R1725" s="10" t="s">
        <v>13818</v>
      </c>
      <c r="S1725" s="10" t="s">
        <v>53</v>
      </c>
      <c r="T1725" s="10" t="s">
        <v>13819</v>
      </c>
    </row>
    <row r="1726" spans="1:20" ht="14.5" x14ac:dyDescent="0.35">
      <c r="A1726" s="10" t="s">
        <v>13820</v>
      </c>
      <c r="B1726" s="10" t="str">
        <f>"9780199281794"</f>
        <v>9780199281794</v>
      </c>
      <c r="C1726" s="10" t="str">
        <f>"9780191515699"</f>
        <v>9780191515699</v>
      </c>
      <c r="D1726" s="10" t="s">
        <v>9122</v>
      </c>
      <c r="E1726" s="10" t="s">
        <v>9133</v>
      </c>
      <c r="F1726" s="10" t="s">
        <v>748</v>
      </c>
      <c r="G1726" s="10" t="s">
        <v>6352</v>
      </c>
      <c r="H1726" s="11">
        <v>39044</v>
      </c>
      <c r="I1726" s="10">
        <v>2006</v>
      </c>
      <c r="J1726" s="10" t="s">
        <v>9133</v>
      </c>
      <c r="K1726" s="10">
        <v>341</v>
      </c>
      <c r="L1726" s="10" t="s">
        <v>13821</v>
      </c>
      <c r="M1726" s="10">
        <v>1</v>
      </c>
      <c r="N1726" s="10" t="s">
        <v>13822</v>
      </c>
      <c r="O1726" s="10"/>
      <c r="P1726" s="10" t="s">
        <v>13823</v>
      </c>
      <c r="Q1726" s="10" t="s">
        <v>13824</v>
      </c>
      <c r="R1726" s="10" t="s">
        <v>13825</v>
      </c>
      <c r="S1726" s="10" t="s">
        <v>53</v>
      </c>
      <c r="T1726" s="10" t="s">
        <v>8346</v>
      </c>
    </row>
    <row r="1727" spans="1:20" ht="14.5" x14ac:dyDescent="0.35">
      <c r="A1727" s="10" t="s">
        <v>13826</v>
      </c>
      <c r="B1727" s="10" t="str">
        <f>"9780195037104"</f>
        <v>9780195037104</v>
      </c>
      <c r="C1727" s="10" t="str">
        <f>"9780195365092"</f>
        <v>9780195365092</v>
      </c>
      <c r="D1727" s="10" t="s">
        <v>9122</v>
      </c>
      <c r="E1727" s="10" t="s">
        <v>9133</v>
      </c>
      <c r="F1727" s="10" t="s">
        <v>70</v>
      </c>
      <c r="G1727" s="10" t="s">
        <v>6317</v>
      </c>
      <c r="H1727" s="11">
        <v>31498</v>
      </c>
      <c r="I1727" s="10">
        <v>1986</v>
      </c>
      <c r="J1727" s="10" t="s">
        <v>9133</v>
      </c>
      <c r="K1727" s="10">
        <v>289</v>
      </c>
      <c r="L1727" s="10" t="s">
        <v>13827</v>
      </c>
      <c r="M1727" s="10">
        <v>1</v>
      </c>
      <c r="N1727" s="10" t="s">
        <v>13828</v>
      </c>
      <c r="O1727" s="10"/>
      <c r="P1727" s="10" t="s">
        <v>13829</v>
      </c>
      <c r="Q1727" s="10" t="s">
        <v>13830</v>
      </c>
      <c r="R1727" s="10" t="s">
        <v>13831</v>
      </c>
      <c r="S1727" s="10" t="s">
        <v>53</v>
      </c>
      <c r="T1727" s="10" t="s">
        <v>54</v>
      </c>
    </row>
    <row r="1728" spans="1:20" ht="14.5" x14ac:dyDescent="0.35">
      <c r="A1728" s="10" t="s">
        <v>13832</v>
      </c>
      <c r="B1728" s="10" t="str">
        <f>"9788122415223"</f>
        <v>9788122415223</v>
      </c>
      <c r="C1728" s="10" t="str">
        <f>"9788122424881"</f>
        <v>9788122424881</v>
      </c>
      <c r="D1728" s="10" t="s">
        <v>13422</v>
      </c>
      <c r="E1728" s="10" t="s">
        <v>13423</v>
      </c>
      <c r="F1728" s="10" t="s">
        <v>13424</v>
      </c>
      <c r="G1728" s="10" t="s">
        <v>13425</v>
      </c>
      <c r="H1728" s="11">
        <v>37987</v>
      </c>
      <c r="I1728" s="10">
        <v>2004</v>
      </c>
      <c r="J1728" s="10" t="s">
        <v>13426</v>
      </c>
      <c r="K1728" s="10">
        <v>418</v>
      </c>
      <c r="L1728" s="10" t="s">
        <v>13833</v>
      </c>
      <c r="M1728" s="10">
        <v>2</v>
      </c>
      <c r="N1728" s="10"/>
      <c r="O1728" s="10"/>
      <c r="P1728" s="10" t="s">
        <v>13834</v>
      </c>
      <c r="Q1728" s="10" t="s">
        <v>13835</v>
      </c>
      <c r="R1728" s="10" t="s">
        <v>13836</v>
      </c>
      <c r="S1728" s="10" t="s">
        <v>53</v>
      </c>
      <c r="T1728" s="10" t="s">
        <v>10411</v>
      </c>
    </row>
    <row r="1729" spans="1:20" ht="14.5" x14ac:dyDescent="0.35">
      <c r="A1729" s="10" t="s">
        <v>13837</v>
      </c>
      <c r="B1729" s="10" t="str">
        <f>"9780415991605"</f>
        <v>9780415991605</v>
      </c>
      <c r="C1729" s="10" t="str">
        <f>"9780203876640"</f>
        <v>9780203876640</v>
      </c>
      <c r="D1729" s="10" t="s">
        <v>6350</v>
      </c>
      <c r="E1729" s="10" t="s">
        <v>6351</v>
      </c>
      <c r="F1729" s="10" t="s">
        <v>139</v>
      </c>
      <c r="G1729" s="10" t="s">
        <v>6352</v>
      </c>
      <c r="H1729" s="11">
        <v>39947</v>
      </c>
      <c r="I1729" s="10">
        <v>2009</v>
      </c>
      <c r="J1729" s="10" t="s">
        <v>6353</v>
      </c>
      <c r="K1729" s="10">
        <v>609</v>
      </c>
      <c r="L1729" s="10" t="s">
        <v>13838</v>
      </c>
      <c r="M1729" s="10">
        <v>1</v>
      </c>
      <c r="N1729" s="10"/>
      <c r="O1729" s="10"/>
      <c r="P1729" s="10" t="s">
        <v>13839</v>
      </c>
      <c r="Q1729" s="10" t="s">
        <v>13840</v>
      </c>
      <c r="R1729" s="10" t="s">
        <v>13841</v>
      </c>
      <c r="S1729" s="10" t="s">
        <v>53</v>
      </c>
      <c r="T1729" s="10" t="s">
        <v>54</v>
      </c>
    </row>
    <row r="1730" spans="1:20" ht="14.5" x14ac:dyDescent="0.35">
      <c r="A1730" s="10" t="s">
        <v>13842</v>
      </c>
      <c r="B1730" s="10" t="str">
        <f>"9780226336510"</f>
        <v>9780226336510</v>
      </c>
      <c r="C1730" s="10" t="str">
        <f>"9780226336534"</f>
        <v>9780226336534</v>
      </c>
      <c r="D1730" s="10" t="s">
        <v>13157</v>
      </c>
      <c r="E1730" s="10" t="s">
        <v>13157</v>
      </c>
      <c r="F1730" s="10" t="s">
        <v>324</v>
      </c>
      <c r="G1730" s="10" t="s">
        <v>6317</v>
      </c>
      <c r="H1730" s="11">
        <v>35582</v>
      </c>
      <c r="I1730" s="10">
        <v>1997</v>
      </c>
      <c r="J1730" s="10" t="s">
        <v>13157</v>
      </c>
      <c r="K1730" s="10">
        <v>280</v>
      </c>
      <c r="L1730" s="10" t="s">
        <v>13843</v>
      </c>
      <c r="M1730" s="10">
        <v>1</v>
      </c>
      <c r="N1730" s="10"/>
      <c r="O1730" s="10"/>
      <c r="P1730" s="10" t="s">
        <v>13844</v>
      </c>
      <c r="Q1730" s="10"/>
      <c r="R1730" s="10" t="s">
        <v>13845</v>
      </c>
      <c r="S1730" s="10" t="s">
        <v>53</v>
      </c>
      <c r="T1730" s="10" t="s">
        <v>54</v>
      </c>
    </row>
    <row r="1731" spans="1:20" ht="14.5" x14ac:dyDescent="0.35">
      <c r="A1731" s="10" t="s">
        <v>13846</v>
      </c>
      <c r="B1731" s="10" t="str">
        <f>"9780226109213"</f>
        <v>9780226109213</v>
      </c>
      <c r="C1731" s="10" t="str">
        <f>"9780226109237"</f>
        <v>9780226109237</v>
      </c>
      <c r="D1731" s="10" t="s">
        <v>13157</v>
      </c>
      <c r="E1731" s="10" t="s">
        <v>13157</v>
      </c>
      <c r="F1731" s="10" t="s">
        <v>324</v>
      </c>
      <c r="G1731" s="10" t="s">
        <v>6317</v>
      </c>
      <c r="H1731" s="11">
        <v>38733</v>
      </c>
      <c r="I1731" s="10">
        <v>2005</v>
      </c>
      <c r="J1731" s="10" t="s">
        <v>13157</v>
      </c>
      <c r="K1731" s="10">
        <v>669</v>
      </c>
      <c r="L1731" s="10" t="s">
        <v>13847</v>
      </c>
      <c r="M1731" s="10">
        <v>1</v>
      </c>
      <c r="N1731" s="10"/>
      <c r="O1731" s="10"/>
      <c r="P1731" s="10" t="s">
        <v>13848</v>
      </c>
      <c r="Q1731" s="10">
        <v>378.00903299999999</v>
      </c>
      <c r="R1731" s="10" t="s">
        <v>13849</v>
      </c>
      <c r="S1731" s="10" t="s">
        <v>53</v>
      </c>
      <c r="T1731" s="10" t="s">
        <v>54</v>
      </c>
    </row>
    <row r="1732" spans="1:20" ht="14.5" x14ac:dyDescent="0.35">
      <c r="A1732" s="10" t="s">
        <v>13850</v>
      </c>
      <c r="B1732" s="10" t="str">
        <f>"9780226856711"</f>
        <v>9780226856711</v>
      </c>
      <c r="C1732" s="10" t="str">
        <f>"9780226856735"</f>
        <v>9780226856735</v>
      </c>
      <c r="D1732" s="10" t="s">
        <v>13157</v>
      </c>
      <c r="E1732" s="10" t="s">
        <v>13157</v>
      </c>
      <c r="F1732" s="10" t="s">
        <v>324</v>
      </c>
      <c r="G1732" s="10" t="s">
        <v>6317</v>
      </c>
      <c r="H1732" s="11">
        <v>38474</v>
      </c>
      <c r="I1732" s="10">
        <v>2005</v>
      </c>
      <c r="J1732" s="10" t="s">
        <v>13157</v>
      </c>
      <c r="K1732" s="10">
        <v>218</v>
      </c>
      <c r="L1732" s="10" t="s">
        <v>13851</v>
      </c>
      <c r="M1732" s="10">
        <v>1</v>
      </c>
      <c r="N1732" s="10"/>
      <c r="O1732" s="10"/>
      <c r="P1732" s="10" t="s">
        <v>13852</v>
      </c>
      <c r="Q1732" s="10" t="s">
        <v>13853</v>
      </c>
      <c r="R1732" s="10" t="s">
        <v>13854</v>
      </c>
      <c r="S1732" s="10" t="s">
        <v>53</v>
      </c>
      <c r="T1732" s="10" t="s">
        <v>54</v>
      </c>
    </row>
    <row r="1733" spans="1:20" ht="14.5" x14ac:dyDescent="0.35">
      <c r="A1733" s="10" t="s">
        <v>13855</v>
      </c>
      <c r="B1733" s="10" t="str">
        <f>""</f>
        <v/>
      </c>
      <c r="C1733" s="10" t="str">
        <f>"9781775567431"</f>
        <v>9781775567431</v>
      </c>
      <c r="D1733" s="10" t="s">
        <v>12228</v>
      </c>
      <c r="E1733" s="10" t="s">
        <v>12229</v>
      </c>
      <c r="F1733" s="10" t="s">
        <v>12230</v>
      </c>
      <c r="G1733" s="10" t="s">
        <v>12231</v>
      </c>
      <c r="H1733" s="11">
        <v>39904</v>
      </c>
      <c r="I1733" s="10">
        <v>2009</v>
      </c>
      <c r="J1733" s="10" t="s">
        <v>12229</v>
      </c>
      <c r="K1733" s="10">
        <v>648</v>
      </c>
      <c r="L1733" s="10" t="s">
        <v>13856</v>
      </c>
      <c r="M1733" s="10">
        <v>1</v>
      </c>
      <c r="N1733" s="10"/>
      <c r="O1733" s="10"/>
      <c r="P1733" s="10" t="s">
        <v>13857</v>
      </c>
      <c r="Q1733" s="10">
        <v>370</v>
      </c>
      <c r="R1733" s="10" t="s">
        <v>13858</v>
      </c>
      <c r="S1733" s="10" t="s">
        <v>53</v>
      </c>
      <c r="T1733" s="10" t="s">
        <v>54</v>
      </c>
    </row>
    <row r="1734" spans="1:20" ht="14.5" x14ac:dyDescent="0.35">
      <c r="A1734" s="10" t="s">
        <v>13859</v>
      </c>
      <c r="B1734" s="10" t="str">
        <f>""</f>
        <v/>
      </c>
      <c r="C1734" s="10" t="str">
        <f>"9781775567493"</f>
        <v>9781775567493</v>
      </c>
      <c r="D1734" s="10" t="s">
        <v>12228</v>
      </c>
      <c r="E1734" s="10" t="s">
        <v>12229</v>
      </c>
      <c r="F1734" s="10" t="s">
        <v>12230</v>
      </c>
      <c r="G1734" s="10" t="s">
        <v>12231</v>
      </c>
      <c r="H1734" s="11">
        <v>38626</v>
      </c>
      <c r="I1734" s="10">
        <v>2009</v>
      </c>
      <c r="J1734" s="10" t="s">
        <v>12229</v>
      </c>
      <c r="K1734" s="10">
        <v>113</v>
      </c>
      <c r="L1734" s="10" t="s">
        <v>13860</v>
      </c>
      <c r="M1734" s="10">
        <v>1</v>
      </c>
      <c r="N1734" s="10"/>
      <c r="O1734" s="10"/>
      <c r="P1734" s="10" t="s">
        <v>13861</v>
      </c>
      <c r="Q1734" s="10" t="s">
        <v>13862</v>
      </c>
      <c r="R1734" s="10" t="s">
        <v>13863</v>
      </c>
      <c r="S1734" s="10" t="s">
        <v>53</v>
      </c>
      <c r="T1734" s="10" t="s">
        <v>6384</v>
      </c>
    </row>
    <row r="1735" spans="1:20" ht="14.5" x14ac:dyDescent="0.35">
      <c r="A1735" s="10" t="s">
        <v>13864</v>
      </c>
      <c r="B1735" s="10" t="str">
        <f>"9780415456968"</f>
        <v>9780415456968</v>
      </c>
      <c r="C1735" s="10" t="str">
        <f>"9780203870761"</f>
        <v>9780203870761</v>
      </c>
      <c r="D1735" s="10" t="s">
        <v>6350</v>
      </c>
      <c r="E1735" s="10" t="s">
        <v>6351</v>
      </c>
      <c r="F1735" s="10" t="s">
        <v>748</v>
      </c>
      <c r="G1735" s="10" t="s">
        <v>6352</v>
      </c>
      <c r="H1735" s="11">
        <v>39776</v>
      </c>
      <c r="I1735" s="10">
        <v>2009</v>
      </c>
      <c r="J1735" s="10" t="s">
        <v>6351</v>
      </c>
      <c r="K1735" s="10">
        <v>129</v>
      </c>
      <c r="L1735" s="10" t="s">
        <v>13865</v>
      </c>
      <c r="M1735" s="10">
        <v>1</v>
      </c>
      <c r="N1735" s="10" t="s">
        <v>13866</v>
      </c>
      <c r="O1735" s="10"/>
      <c r="P1735" s="10" t="s">
        <v>13867</v>
      </c>
      <c r="Q1735" s="10">
        <v>372.5</v>
      </c>
      <c r="R1735" s="10" t="s">
        <v>13868</v>
      </c>
      <c r="S1735" s="10" t="s">
        <v>53</v>
      </c>
      <c r="T1735" s="10" t="s">
        <v>6492</v>
      </c>
    </row>
    <row r="1736" spans="1:20" ht="14.5" x14ac:dyDescent="0.35">
      <c r="A1736" s="10" t="s">
        <v>13869</v>
      </c>
      <c r="B1736" s="10" t="str">
        <f>"9780415995061"</f>
        <v>9780415995061</v>
      </c>
      <c r="C1736" s="10" t="str">
        <f>"9780203876657"</f>
        <v>9780203876657</v>
      </c>
      <c r="D1736" s="10" t="s">
        <v>6350</v>
      </c>
      <c r="E1736" s="10" t="s">
        <v>6351</v>
      </c>
      <c r="F1736" s="10" t="s">
        <v>139</v>
      </c>
      <c r="G1736" s="10" t="s">
        <v>6352</v>
      </c>
      <c r="H1736" s="11">
        <v>39965</v>
      </c>
      <c r="I1736" s="10">
        <v>2009</v>
      </c>
      <c r="J1736" s="10" t="s">
        <v>6353</v>
      </c>
      <c r="K1736" s="10">
        <v>333</v>
      </c>
      <c r="L1736" s="10" t="s">
        <v>13870</v>
      </c>
      <c r="M1736" s="10">
        <v>1</v>
      </c>
      <c r="N1736" s="10"/>
      <c r="O1736" s="10"/>
      <c r="P1736" s="10" t="s">
        <v>13871</v>
      </c>
      <c r="Q1736" s="10" t="s">
        <v>13872</v>
      </c>
      <c r="R1736" s="10" t="s">
        <v>13873</v>
      </c>
      <c r="S1736" s="10" t="s">
        <v>53</v>
      </c>
      <c r="T1736" s="10" t="s">
        <v>6616</v>
      </c>
    </row>
    <row r="1737" spans="1:20" ht="14.5" x14ac:dyDescent="0.35">
      <c r="A1737" s="10" t="s">
        <v>13874</v>
      </c>
      <c r="B1737" s="10" t="str">
        <f>"9780415800785"</f>
        <v>9780415800785</v>
      </c>
      <c r="C1737" s="10" t="str">
        <f>"9780203878033"</f>
        <v>9780203878033</v>
      </c>
      <c r="D1737" s="10" t="s">
        <v>6350</v>
      </c>
      <c r="E1737" s="10" t="s">
        <v>6351</v>
      </c>
      <c r="F1737" s="10" t="s">
        <v>139</v>
      </c>
      <c r="G1737" s="10" t="s">
        <v>6352</v>
      </c>
      <c r="H1737" s="11">
        <v>39954</v>
      </c>
      <c r="I1737" s="10">
        <v>2009</v>
      </c>
      <c r="J1737" s="10" t="s">
        <v>6353</v>
      </c>
      <c r="K1737" s="10">
        <v>159</v>
      </c>
      <c r="L1737" s="10" t="s">
        <v>13875</v>
      </c>
      <c r="M1737" s="10">
        <v>1</v>
      </c>
      <c r="N1737" s="10" t="s">
        <v>8644</v>
      </c>
      <c r="O1737" s="10"/>
      <c r="P1737" s="10" t="s">
        <v>13876</v>
      </c>
      <c r="Q1737" s="10" t="s">
        <v>13877</v>
      </c>
      <c r="R1737" s="10" t="s">
        <v>13878</v>
      </c>
      <c r="S1737" s="10" t="s">
        <v>53</v>
      </c>
      <c r="T1737" s="10" t="s">
        <v>6616</v>
      </c>
    </row>
    <row r="1738" spans="1:20" ht="14.5" x14ac:dyDescent="0.35">
      <c r="A1738" s="10" t="s">
        <v>13879</v>
      </c>
      <c r="B1738" s="10" t="str">
        <f>"9781592130214"</f>
        <v>9781592130214</v>
      </c>
      <c r="C1738" s="10" t="str">
        <f>"9781592138418"</f>
        <v>9781592138418</v>
      </c>
      <c r="D1738" s="10" t="s">
        <v>11120</v>
      </c>
      <c r="E1738" s="10" t="s">
        <v>11120</v>
      </c>
      <c r="F1738" s="10" t="s">
        <v>319</v>
      </c>
      <c r="G1738" s="10" t="s">
        <v>6317</v>
      </c>
      <c r="H1738" s="11">
        <v>37712</v>
      </c>
      <c r="I1738" s="10">
        <v>2003</v>
      </c>
      <c r="J1738" s="10" t="s">
        <v>11120</v>
      </c>
      <c r="K1738" s="10">
        <v>281</v>
      </c>
      <c r="L1738" s="10" t="s">
        <v>13880</v>
      </c>
      <c r="M1738" s="10">
        <v>1</v>
      </c>
      <c r="N1738" s="10" t="s">
        <v>11122</v>
      </c>
      <c r="O1738" s="10"/>
      <c r="P1738" s="10" t="s">
        <v>13881</v>
      </c>
      <c r="Q1738" s="10" t="s">
        <v>13882</v>
      </c>
      <c r="R1738" s="10" t="s">
        <v>13883</v>
      </c>
      <c r="S1738" s="10" t="s">
        <v>53</v>
      </c>
      <c r="T1738" s="10" t="s">
        <v>6472</v>
      </c>
    </row>
    <row r="1739" spans="1:20" ht="14.5" x14ac:dyDescent="0.35">
      <c r="A1739" s="10" t="s">
        <v>13884</v>
      </c>
      <c r="B1739" s="10" t="str">
        <f>"9780874259063"</f>
        <v>9780874259063</v>
      </c>
      <c r="C1739" s="10" t="str">
        <f>"9781599968377"</f>
        <v>9781599968377</v>
      </c>
      <c r="D1739" s="10" t="s">
        <v>13885</v>
      </c>
      <c r="E1739" s="10" t="s">
        <v>13885</v>
      </c>
      <c r="F1739" s="10" t="s">
        <v>2080</v>
      </c>
      <c r="G1739" s="10" t="s">
        <v>6317</v>
      </c>
      <c r="H1739" s="11">
        <v>38718</v>
      </c>
      <c r="I1739" s="10">
        <v>2006</v>
      </c>
      <c r="J1739" s="10" t="s">
        <v>13885</v>
      </c>
      <c r="K1739" s="10">
        <v>166</v>
      </c>
      <c r="L1739" s="10" t="s">
        <v>13886</v>
      </c>
      <c r="M1739" s="10">
        <v>1</v>
      </c>
      <c r="N1739" s="10"/>
      <c r="O1739" s="10"/>
      <c r="P1739" s="10" t="s">
        <v>13887</v>
      </c>
      <c r="Q1739" s="10">
        <v>658.31240285000001</v>
      </c>
      <c r="R1739" s="10" t="s">
        <v>13888</v>
      </c>
      <c r="S1739" s="10" t="s">
        <v>53</v>
      </c>
      <c r="T1739" s="10" t="s">
        <v>6660</v>
      </c>
    </row>
    <row r="1740" spans="1:20" ht="14.5" x14ac:dyDescent="0.35">
      <c r="A1740" s="10" t="s">
        <v>13889</v>
      </c>
      <c r="B1740" s="10" t="str">
        <f>"9781412906975"</f>
        <v>9781412906975</v>
      </c>
      <c r="C1740" s="10" t="str">
        <f>"9781849203661"</f>
        <v>9781849203661</v>
      </c>
      <c r="D1740" s="10" t="s">
        <v>9325</v>
      </c>
      <c r="E1740" s="10" t="s">
        <v>9326</v>
      </c>
      <c r="F1740" s="10" t="s">
        <v>139</v>
      </c>
      <c r="G1740" s="10" t="s">
        <v>6352</v>
      </c>
      <c r="H1740" s="11">
        <v>39112</v>
      </c>
      <c r="I1740" s="10">
        <v>2007</v>
      </c>
      <c r="J1740" s="10" t="s">
        <v>9326</v>
      </c>
      <c r="K1740" s="10">
        <v>136</v>
      </c>
      <c r="L1740" s="10" t="s">
        <v>13890</v>
      </c>
      <c r="M1740" s="10">
        <v>1</v>
      </c>
      <c r="N1740" s="10" t="s">
        <v>13551</v>
      </c>
      <c r="O1740" s="10"/>
      <c r="P1740" s="10" t="s">
        <v>13891</v>
      </c>
      <c r="Q1740" s="10">
        <v>808.06600000000003</v>
      </c>
      <c r="R1740" s="10" t="s">
        <v>13892</v>
      </c>
      <c r="S1740" s="10" t="s">
        <v>53</v>
      </c>
      <c r="T1740" s="10" t="s">
        <v>6568</v>
      </c>
    </row>
    <row r="1741" spans="1:20" ht="14.5" x14ac:dyDescent="0.35">
      <c r="A1741" s="10" t="s">
        <v>13893</v>
      </c>
      <c r="B1741" s="10" t="str">
        <f>"9781412907316"</f>
        <v>9781412907316</v>
      </c>
      <c r="C1741" s="10" t="str">
        <f>"9781849203623"</f>
        <v>9781849203623</v>
      </c>
      <c r="D1741" s="10" t="s">
        <v>9325</v>
      </c>
      <c r="E1741" s="10" t="s">
        <v>9326</v>
      </c>
      <c r="F1741" s="10" t="s">
        <v>139</v>
      </c>
      <c r="G1741" s="10" t="s">
        <v>6352</v>
      </c>
      <c r="H1741" s="11">
        <v>39416</v>
      </c>
      <c r="I1741" s="10">
        <v>2008</v>
      </c>
      <c r="J1741" s="10" t="s">
        <v>9326</v>
      </c>
      <c r="K1741" s="10">
        <v>164</v>
      </c>
      <c r="L1741" s="10" t="s">
        <v>13894</v>
      </c>
      <c r="M1741" s="10">
        <v>1</v>
      </c>
      <c r="N1741" s="10"/>
      <c r="O1741" s="10"/>
      <c r="P1741" s="10" t="s">
        <v>13895</v>
      </c>
      <c r="Q1741" s="10">
        <v>370.11500000000001</v>
      </c>
      <c r="R1741" s="10" t="s">
        <v>13896</v>
      </c>
      <c r="S1741" s="10" t="s">
        <v>53</v>
      </c>
      <c r="T1741" s="10" t="s">
        <v>54</v>
      </c>
    </row>
    <row r="1742" spans="1:20" ht="14.5" x14ac:dyDescent="0.35">
      <c r="A1742" s="10" t="s">
        <v>13897</v>
      </c>
      <c r="B1742" s="10" t="str">
        <f>"9781412929356"</f>
        <v>9781412929356</v>
      </c>
      <c r="C1742" s="10" t="str">
        <f>"9781849203616"</f>
        <v>9781849203616</v>
      </c>
      <c r="D1742" s="10" t="s">
        <v>9325</v>
      </c>
      <c r="E1742" s="10" t="s">
        <v>9326</v>
      </c>
      <c r="F1742" s="10" t="s">
        <v>139</v>
      </c>
      <c r="G1742" s="10" t="s">
        <v>6352</v>
      </c>
      <c r="H1742" s="11">
        <v>39042</v>
      </c>
      <c r="I1742" s="10">
        <v>2007</v>
      </c>
      <c r="J1742" s="10" t="s">
        <v>9326</v>
      </c>
      <c r="K1742" s="10">
        <v>129</v>
      </c>
      <c r="L1742" s="10" t="s">
        <v>13898</v>
      </c>
      <c r="M1742" s="10">
        <v>1</v>
      </c>
      <c r="N1742" s="10" t="s">
        <v>13899</v>
      </c>
      <c r="O1742" s="10"/>
      <c r="P1742" s="10" t="s">
        <v>13900</v>
      </c>
      <c r="Q1742" s="10">
        <v>371.90469999999999</v>
      </c>
      <c r="R1742" s="10" t="s">
        <v>12567</v>
      </c>
      <c r="S1742" s="10" t="s">
        <v>53</v>
      </c>
      <c r="T1742" s="10" t="s">
        <v>54</v>
      </c>
    </row>
    <row r="1743" spans="1:20" ht="14.5" x14ac:dyDescent="0.35">
      <c r="A1743" s="10" t="s">
        <v>13901</v>
      </c>
      <c r="B1743" s="10" t="str">
        <f>"9781412945233"</f>
        <v>9781412945233</v>
      </c>
      <c r="C1743" s="10" t="str">
        <f>"9781849203586"</f>
        <v>9781849203586</v>
      </c>
      <c r="D1743" s="10" t="s">
        <v>9325</v>
      </c>
      <c r="E1743" s="10" t="s">
        <v>9326</v>
      </c>
      <c r="F1743" s="10" t="s">
        <v>139</v>
      </c>
      <c r="G1743" s="10" t="s">
        <v>6352</v>
      </c>
      <c r="H1743" s="11">
        <v>39394</v>
      </c>
      <c r="I1743" s="10">
        <v>2008</v>
      </c>
      <c r="J1743" s="10" t="s">
        <v>9326</v>
      </c>
      <c r="K1743" s="10">
        <v>180</v>
      </c>
      <c r="L1743" s="10" t="s">
        <v>13898</v>
      </c>
      <c r="M1743" s="10">
        <v>1</v>
      </c>
      <c r="N1743" s="10" t="s">
        <v>13899</v>
      </c>
      <c r="O1743" s="10"/>
      <c r="P1743" s="10" t="s">
        <v>13902</v>
      </c>
      <c r="Q1743" s="10">
        <v>372.6</v>
      </c>
      <c r="R1743" s="10" t="s">
        <v>13903</v>
      </c>
      <c r="S1743" s="10" t="s">
        <v>53</v>
      </c>
      <c r="T1743" s="10" t="s">
        <v>54</v>
      </c>
    </row>
    <row r="1744" spans="1:20" ht="14.5" x14ac:dyDescent="0.35">
      <c r="A1744" s="10" t="s">
        <v>13904</v>
      </c>
      <c r="B1744" s="10" t="str">
        <f>"9781412936101"</f>
        <v>9781412936101</v>
      </c>
      <c r="C1744" s="10" t="str">
        <f>"9781849203470"</f>
        <v>9781849203470</v>
      </c>
      <c r="D1744" s="10" t="s">
        <v>9325</v>
      </c>
      <c r="E1744" s="10" t="s">
        <v>9326</v>
      </c>
      <c r="F1744" s="10" t="s">
        <v>139</v>
      </c>
      <c r="G1744" s="10" t="s">
        <v>6352</v>
      </c>
      <c r="H1744" s="11">
        <v>39394</v>
      </c>
      <c r="I1744" s="10">
        <v>2008</v>
      </c>
      <c r="J1744" s="10" t="s">
        <v>9326</v>
      </c>
      <c r="K1744" s="10">
        <v>200</v>
      </c>
      <c r="L1744" s="10" t="s">
        <v>13905</v>
      </c>
      <c r="M1744" s="10">
        <v>1</v>
      </c>
      <c r="N1744" s="10"/>
      <c r="O1744" s="10"/>
      <c r="P1744" s="10" t="s">
        <v>13906</v>
      </c>
      <c r="Q1744" s="10">
        <v>372.65210000000002</v>
      </c>
      <c r="R1744" s="10" t="s">
        <v>13907</v>
      </c>
      <c r="S1744" s="10" t="s">
        <v>53</v>
      </c>
      <c r="T1744" s="10" t="s">
        <v>6634</v>
      </c>
    </row>
    <row r="1745" spans="1:20" ht="14.5" x14ac:dyDescent="0.35">
      <c r="A1745" s="10" t="s">
        <v>13908</v>
      </c>
      <c r="B1745" s="10" t="str">
        <f>"9781412946018"</f>
        <v>9781412946018</v>
      </c>
      <c r="C1745" s="10" t="str">
        <f>"9781849203517"</f>
        <v>9781849203517</v>
      </c>
      <c r="D1745" s="10" t="s">
        <v>9325</v>
      </c>
      <c r="E1745" s="10" t="s">
        <v>9326</v>
      </c>
      <c r="F1745" s="10" t="s">
        <v>139</v>
      </c>
      <c r="G1745" s="10" t="s">
        <v>6352</v>
      </c>
      <c r="H1745" s="11">
        <v>39574</v>
      </c>
      <c r="I1745" s="10">
        <v>2008</v>
      </c>
      <c r="J1745" s="10" t="s">
        <v>9326</v>
      </c>
      <c r="K1745" s="10">
        <v>208</v>
      </c>
      <c r="L1745" s="10" t="s">
        <v>13909</v>
      </c>
      <c r="M1745" s="10">
        <v>1</v>
      </c>
      <c r="N1745" s="10"/>
      <c r="O1745" s="10"/>
      <c r="P1745" s="10" t="s">
        <v>13910</v>
      </c>
      <c r="Q1745" s="10">
        <v>914.10486000000003</v>
      </c>
      <c r="R1745" s="10" t="s">
        <v>13911</v>
      </c>
      <c r="S1745" s="10" t="s">
        <v>53</v>
      </c>
      <c r="T1745" s="10" t="s">
        <v>13912</v>
      </c>
    </row>
    <row r="1746" spans="1:20" ht="14.5" x14ac:dyDescent="0.35">
      <c r="A1746" s="10" t="s">
        <v>13913</v>
      </c>
      <c r="B1746" s="10" t="str">
        <f>"9781412936040"</f>
        <v>9781412936040</v>
      </c>
      <c r="C1746" s="10" t="str">
        <f>"9781849203524"</f>
        <v>9781849203524</v>
      </c>
      <c r="D1746" s="10" t="s">
        <v>9325</v>
      </c>
      <c r="E1746" s="10" t="s">
        <v>9326</v>
      </c>
      <c r="F1746" s="10" t="s">
        <v>139</v>
      </c>
      <c r="G1746" s="10" t="s">
        <v>6352</v>
      </c>
      <c r="H1746" s="11">
        <v>39566</v>
      </c>
      <c r="I1746" s="10">
        <v>2008</v>
      </c>
      <c r="J1746" s="10" t="s">
        <v>9326</v>
      </c>
      <c r="K1746" s="10">
        <v>123</v>
      </c>
      <c r="L1746" s="10" t="s">
        <v>13914</v>
      </c>
      <c r="M1746" s="10">
        <v>1</v>
      </c>
      <c r="N1746" s="10"/>
      <c r="O1746" s="10"/>
      <c r="P1746" s="10" t="s">
        <v>13915</v>
      </c>
      <c r="Q1746" s="10">
        <v>428.00711999999999</v>
      </c>
      <c r="R1746" s="10" t="s">
        <v>13916</v>
      </c>
      <c r="S1746" s="10" t="s">
        <v>53</v>
      </c>
      <c r="T1746" s="10" t="s">
        <v>6634</v>
      </c>
    </row>
    <row r="1747" spans="1:20" ht="14.5" x14ac:dyDescent="0.35">
      <c r="A1747" s="10" t="s">
        <v>13917</v>
      </c>
      <c r="B1747" s="10" t="str">
        <f>"9781412921770"</f>
        <v>9781412921770</v>
      </c>
      <c r="C1747" s="10" t="str">
        <f>"9781849203432"</f>
        <v>9781849203432</v>
      </c>
      <c r="D1747" s="10" t="s">
        <v>9325</v>
      </c>
      <c r="E1747" s="10" t="s">
        <v>9326</v>
      </c>
      <c r="F1747" s="10" t="s">
        <v>139</v>
      </c>
      <c r="G1747" s="10" t="s">
        <v>6352</v>
      </c>
      <c r="H1747" s="11">
        <v>39363</v>
      </c>
      <c r="I1747" s="10">
        <v>2007</v>
      </c>
      <c r="J1747" s="10" t="s">
        <v>9326</v>
      </c>
      <c r="K1747" s="10">
        <v>340</v>
      </c>
      <c r="L1747" s="10" t="s">
        <v>13918</v>
      </c>
      <c r="M1747" s="10">
        <v>1</v>
      </c>
      <c r="N1747" s="10"/>
      <c r="O1747" s="10"/>
      <c r="P1747" s="10" t="s">
        <v>13919</v>
      </c>
      <c r="Q1747" s="10">
        <v>300.5</v>
      </c>
      <c r="R1747" s="10" t="s">
        <v>13920</v>
      </c>
      <c r="S1747" s="10" t="s">
        <v>53</v>
      </c>
      <c r="T1747" s="10" t="s">
        <v>6363</v>
      </c>
    </row>
    <row r="1748" spans="1:20" ht="14.5" x14ac:dyDescent="0.35">
      <c r="A1748" s="10" t="s">
        <v>13921</v>
      </c>
      <c r="B1748" s="10" t="str">
        <f>""</f>
        <v/>
      </c>
      <c r="C1748" s="10" t="str">
        <f>"9781775567967"</f>
        <v>9781775567967</v>
      </c>
      <c r="D1748" s="10" t="s">
        <v>12228</v>
      </c>
      <c r="E1748" s="10" t="s">
        <v>12229</v>
      </c>
      <c r="F1748" s="10" t="s">
        <v>12230</v>
      </c>
      <c r="G1748" s="10" t="s">
        <v>12231</v>
      </c>
      <c r="H1748" s="11">
        <v>39934</v>
      </c>
      <c r="I1748" s="10">
        <v>2009</v>
      </c>
      <c r="J1748" s="10" t="s">
        <v>12229</v>
      </c>
      <c r="K1748" s="10">
        <v>284</v>
      </c>
      <c r="L1748" s="10" t="s">
        <v>13922</v>
      </c>
      <c r="M1748" s="10">
        <v>1</v>
      </c>
      <c r="N1748" s="10"/>
      <c r="O1748" s="10"/>
      <c r="P1748" s="10" t="s">
        <v>13923</v>
      </c>
      <c r="Q1748" s="10" t="s">
        <v>8289</v>
      </c>
      <c r="R1748" s="10" t="s">
        <v>13924</v>
      </c>
      <c r="S1748" s="10" t="s">
        <v>53</v>
      </c>
      <c r="T1748" s="10" t="s">
        <v>54</v>
      </c>
    </row>
    <row r="1749" spans="1:20" ht="14.5" x14ac:dyDescent="0.35">
      <c r="A1749" s="10" t="s">
        <v>13925</v>
      </c>
      <c r="B1749" s="10" t="str">
        <f>"9781932603644"</f>
        <v>9781932603644</v>
      </c>
      <c r="C1749" s="10" t="str">
        <f>"9781934559956"</f>
        <v>9781934559956</v>
      </c>
      <c r="D1749" s="10" t="s">
        <v>3370</v>
      </c>
      <c r="E1749" s="10" t="s">
        <v>10927</v>
      </c>
      <c r="F1749" s="10" t="s">
        <v>70</v>
      </c>
      <c r="G1749" s="10" t="s">
        <v>6317</v>
      </c>
      <c r="H1749" s="11">
        <v>39479</v>
      </c>
      <c r="I1749" s="10">
        <v>2008</v>
      </c>
      <c r="J1749" s="10" t="s">
        <v>13926</v>
      </c>
      <c r="K1749" s="10">
        <v>265</v>
      </c>
      <c r="L1749" s="10" t="s">
        <v>13927</v>
      </c>
      <c r="M1749" s="10">
        <v>2</v>
      </c>
      <c r="N1749" s="10"/>
      <c r="O1749" s="10"/>
      <c r="P1749" s="10" t="s">
        <v>13928</v>
      </c>
      <c r="Q1749" s="10"/>
      <c r="R1749" s="10" t="s">
        <v>13929</v>
      </c>
      <c r="S1749" s="10" t="s">
        <v>53</v>
      </c>
      <c r="T1749" s="10" t="s">
        <v>8625</v>
      </c>
    </row>
    <row r="1750" spans="1:20" ht="14.5" x14ac:dyDescent="0.35">
      <c r="A1750" s="10" t="s">
        <v>13930</v>
      </c>
      <c r="B1750" s="10" t="str">
        <f>"9780805864632"</f>
        <v>9780805864632</v>
      </c>
      <c r="C1750" s="10" t="str">
        <f>"9780203877708"</f>
        <v>9780203877708</v>
      </c>
      <c r="D1750" s="10" t="s">
        <v>6350</v>
      </c>
      <c r="E1750" s="10" t="s">
        <v>6351</v>
      </c>
      <c r="F1750" s="10" t="s">
        <v>70</v>
      </c>
      <c r="G1750" s="10" t="s">
        <v>6317</v>
      </c>
      <c r="H1750" s="11">
        <v>39967</v>
      </c>
      <c r="I1750" s="10">
        <v>2009</v>
      </c>
      <c r="J1750" s="10" t="s">
        <v>6353</v>
      </c>
      <c r="K1750" s="10">
        <v>375</v>
      </c>
      <c r="L1750" s="10" t="s">
        <v>13931</v>
      </c>
      <c r="M1750" s="10">
        <v>1</v>
      </c>
      <c r="N1750" s="10" t="s">
        <v>13932</v>
      </c>
      <c r="O1750" s="10"/>
      <c r="P1750" s="10" t="s">
        <v>13933</v>
      </c>
      <c r="Q1750" s="10" t="s">
        <v>13934</v>
      </c>
      <c r="R1750" s="10" t="s">
        <v>13935</v>
      </c>
      <c r="S1750" s="10" t="s">
        <v>53</v>
      </c>
      <c r="T1750" s="10" t="s">
        <v>6448</v>
      </c>
    </row>
    <row r="1751" spans="1:20" ht="14.5" x14ac:dyDescent="0.35">
      <c r="A1751" s="10" t="s">
        <v>13936</v>
      </c>
      <c r="B1751" s="10" t="str">
        <f>"9780813530574"</f>
        <v>9780813530574</v>
      </c>
      <c r="C1751" s="10" t="str">
        <f>"9780813547022"</f>
        <v>9780813547022</v>
      </c>
      <c r="D1751" s="10" t="s">
        <v>12251</v>
      </c>
      <c r="E1751" s="10" t="s">
        <v>12251</v>
      </c>
      <c r="F1751" s="10" t="s">
        <v>2510</v>
      </c>
      <c r="G1751" s="10" t="s">
        <v>6317</v>
      </c>
      <c r="H1751" s="11">
        <v>37377</v>
      </c>
      <c r="I1751" s="10">
        <v>2002</v>
      </c>
      <c r="J1751" s="10" t="s">
        <v>12251</v>
      </c>
      <c r="K1751" s="10">
        <v>297</v>
      </c>
      <c r="L1751" s="10" t="s">
        <v>13937</v>
      </c>
      <c r="M1751" s="10">
        <v>1</v>
      </c>
      <c r="N1751" s="10"/>
      <c r="O1751" s="10"/>
      <c r="P1751" s="10" t="s">
        <v>13938</v>
      </c>
      <c r="Q1751" s="10" t="s">
        <v>13939</v>
      </c>
      <c r="R1751" s="10" t="s">
        <v>13940</v>
      </c>
      <c r="S1751" s="10" t="s">
        <v>53</v>
      </c>
      <c r="T1751" s="10" t="s">
        <v>8003</v>
      </c>
    </row>
    <row r="1752" spans="1:20" ht="14.5" x14ac:dyDescent="0.35">
      <c r="A1752" s="10" t="s">
        <v>13941</v>
      </c>
      <c r="B1752" s="10" t="str">
        <f>"9780813538518"</f>
        <v>9780813538518</v>
      </c>
      <c r="C1752" s="10" t="str">
        <f>"9780813539911"</f>
        <v>9780813539911</v>
      </c>
      <c r="D1752" s="10" t="s">
        <v>12251</v>
      </c>
      <c r="E1752" s="10" t="s">
        <v>12251</v>
      </c>
      <c r="F1752" s="10" t="s">
        <v>2510</v>
      </c>
      <c r="G1752" s="10" t="s">
        <v>6317</v>
      </c>
      <c r="H1752" s="11">
        <v>38877</v>
      </c>
      <c r="I1752" s="10">
        <v>2006</v>
      </c>
      <c r="J1752" s="10" t="s">
        <v>12251</v>
      </c>
      <c r="K1752" s="10">
        <v>262</v>
      </c>
      <c r="L1752" s="10" t="s">
        <v>13942</v>
      </c>
      <c r="M1752" s="10">
        <v>1</v>
      </c>
      <c r="N1752" s="10"/>
      <c r="O1752" s="10"/>
      <c r="P1752" s="10" t="s">
        <v>13943</v>
      </c>
      <c r="Q1752" s="10" t="s">
        <v>13944</v>
      </c>
      <c r="R1752" s="10" t="s">
        <v>13945</v>
      </c>
      <c r="S1752" s="10" t="s">
        <v>53</v>
      </c>
      <c r="T1752" s="10" t="s">
        <v>6363</v>
      </c>
    </row>
    <row r="1753" spans="1:20" ht="14.5" x14ac:dyDescent="0.35">
      <c r="A1753" s="10" t="s">
        <v>13946</v>
      </c>
      <c r="B1753" s="10" t="str">
        <f>"9780813532240"</f>
        <v>9780813532240</v>
      </c>
      <c r="C1753" s="10" t="str">
        <f>"9780813547039"</f>
        <v>9780813547039</v>
      </c>
      <c r="D1753" s="10" t="s">
        <v>12251</v>
      </c>
      <c r="E1753" s="10" t="s">
        <v>12251</v>
      </c>
      <c r="F1753" s="10" t="s">
        <v>2510</v>
      </c>
      <c r="G1753" s="10" t="s">
        <v>6317</v>
      </c>
      <c r="H1753" s="11">
        <v>37698</v>
      </c>
      <c r="I1753" s="10">
        <v>2003</v>
      </c>
      <c r="J1753" s="10" t="s">
        <v>12251</v>
      </c>
      <c r="K1753" s="10">
        <v>261</v>
      </c>
      <c r="L1753" s="10" t="s">
        <v>13947</v>
      </c>
      <c r="M1753" s="10">
        <v>1</v>
      </c>
      <c r="N1753" s="10" t="s">
        <v>12813</v>
      </c>
      <c r="O1753" s="10"/>
      <c r="P1753" s="10" t="s">
        <v>13948</v>
      </c>
      <c r="Q1753" s="10">
        <v>306.43</v>
      </c>
      <c r="R1753" s="10" t="s">
        <v>13949</v>
      </c>
      <c r="S1753" s="10" t="s">
        <v>53</v>
      </c>
      <c r="T1753" s="10" t="s">
        <v>6526</v>
      </c>
    </row>
    <row r="1754" spans="1:20" ht="14.5" x14ac:dyDescent="0.35">
      <c r="A1754" s="10" t="s">
        <v>13950</v>
      </c>
      <c r="B1754" s="10" t="str">
        <f>"9781606232460"</f>
        <v>9781606232460</v>
      </c>
      <c r="C1754" s="10" t="str">
        <f>"9781606232705"</f>
        <v>9781606232705</v>
      </c>
      <c r="D1754" s="10" t="s">
        <v>11213</v>
      </c>
      <c r="E1754" s="10" t="s">
        <v>11214</v>
      </c>
      <c r="F1754" s="10" t="s">
        <v>70</v>
      </c>
      <c r="G1754" s="10" t="s">
        <v>6317</v>
      </c>
      <c r="H1754" s="11">
        <v>39917</v>
      </c>
      <c r="I1754" s="10">
        <v>2009</v>
      </c>
      <c r="J1754" s="10" t="s">
        <v>11215</v>
      </c>
      <c r="K1754" s="10">
        <v>480</v>
      </c>
      <c r="L1754" s="10" t="s">
        <v>13951</v>
      </c>
      <c r="M1754" s="10">
        <v>1</v>
      </c>
      <c r="N1754" s="10"/>
      <c r="O1754" s="10"/>
      <c r="P1754" s="10" t="s">
        <v>13952</v>
      </c>
      <c r="Q1754" s="10">
        <v>372.6</v>
      </c>
      <c r="R1754" s="10" t="s">
        <v>13953</v>
      </c>
      <c r="S1754" s="10" t="s">
        <v>53</v>
      </c>
      <c r="T1754" s="10" t="s">
        <v>54</v>
      </c>
    </row>
    <row r="1755" spans="1:20" ht="14.5" x14ac:dyDescent="0.35">
      <c r="A1755" s="10" t="s">
        <v>13954</v>
      </c>
      <c r="B1755" s="10" t="str">
        <f>"9781412922807"</f>
        <v>9781412922807</v>
      </c>
      <c r="C1755" s="10" t="str">
        <f>"9781849204996"</f>
        <v>9781849204996</v>
      </c>
      <c r="D1755" s="10" t="s">
        <v>9325</v>
      </c>
      <c r="E1755" s="10" t="s">
        <v>9326</v>
      </c>
      <c r="F1755" s="10" t="s">
        <v>139</v>
      </c>
      <c r="G1755" s="10" t="s">
        <v>6352</v>
      </c>
      <c r="H1755" s="11">
        <v>39024</v>
      </c>
      <c r="I1755" s="10">
        <v>2007</v>
      </c>
      <c r="J1755" s="10" t="s">
        <v>9326</v>
      </c>
      <c r="K1755" s="10">
        <v>190</v>
      </c>
      <c r="L1755" s="10" t="s">
        <v>13955</v>
      </c>
      <c r="M1755" s="10">
        <v>3</v>
      </c>
      <c r="N1755" s="10" t="s">
        <v>9364</v>
      </c>
      <c r="O1755" s="10"/>
      <c r="P1755" s="10" t="s">
        <v>13956</v>
      </c>
      <c r="Q1755" s="10">
        <v>158.10830000000001</v>
      </c>
      <c r="R1755" s="10" t="s">
        <v>13957</v>
      </c>
      <c r="S1755" s="10" t="s">
        <v>53</v>
      </c>
      <c r="T1755" s="10" t="s">
        <v>483</v>
      </c>
    </row>
    <row r="1756" spans="1:20" ht="14.5" x14ac:dyDescent="0.35">
      <c r="A1756" s="10" t="s">
        <v>13958</v>
      </c>
      <c r="B1756" s="10" t="str">
        <f>"9780304705191"</f>
        <v>9780304705191</v>
      </c>
      <c r="C1756" s="10" t="str">
        <f>"9780826433282"</f>
        <v>9780826433282</v>
      </c>
      <c r="D1756" s="10" t="s">
        <v>13959</v>
      </c>
      <c r="E1756" s="10" t="s">
        <v>13960</v>
      </c>
      <c r="F1756" s="10" t="s">
        <v>139</v>
      </c>
      <c r="G1756" s="10" t="s">
        <v>6352</v>
      </c>
      <c r="H1756" s="11">
        <v>36434</v>
      </c>
      <c r="I1756" s="10">
        <v>1999</v>
      </c>
      <c r="J1756" s="10" t="s">
        <v>13961</v>
      </c>
      <c r="K1756" s="10">
        <v>287</v>
      </c>
      <c r="L1756" s="10" t="s">
        <v>13962</v>
      </c>
      <c r="M1756" s="10">
        <v>1</v>
      </c>
      <c r="N1756" s="10"/>
      <c r="O1756" s="10"/>
      <c r="P1756" s="10" t="s">
        <v>13963</v>
      </c>
      <c r="Q1756" s="10" t="s">
        <v>13964</v>
      </c>
      <c r="R1756" s="10" t="s">
        <v>13965</v>
      </c>
      <c r="S1756" s="10" t="s">
        <v>53</v>
      </c>
      <c r="T1756" s="10" t="s">
        <v>54</v>
      </c>
    </row>
    <row r="1757" spans="1:20" ht="14.5" x14ac:dyDescent="0.35">
      <c r="A1757" s="10" t="s">
        <v>13966</v>
      </c>
      <c r="B1757" s="10" t="str">
        <f>"9780826450968"</f>
        <v>9780826450968</v>
      </c>
      <c r="C1757" s="10" t="str">
        <f>"9781847144140"</f>
        <v>9781847144140</v>
      </c>
      <c r="D1757" s="10" t="s">
        <v>13959</v>
      </c>
      <c r="E1757" s="10" t="s">
        <v>13960</v>
      </c>
      <c r="F1757" s="10" t="s">
        <v>139</v>
      </c>
      <c r="G1757" s="10" t="s">
        <v>6352</v>
      </c>
      <c r="H1757" s="11">
        <v>37495</v>
      </c>
      <c r="I1757" s="10">
        <v>2010</v>
      </c>
      <c r="J1757" s="10" t="s">
        <v>13960</v>
      </c>
      <c r="K1757" s="10">
        <v>214</v>
      </c>
      <c r="L1757" s="10" t="s">
        <v>13967</v>
      </c>
      <c r="M1757" s="10">
        <v>1</v>
      </c>
      <c r="N1757" s="10"/>
      <c r="O1757" s="10"/>
      <c r="P1757" s="10" t="s">
        <v>13968</v>
      </c>
      <c r="Q1757" s="10" t="s">
        <v>13969</v>
      </c>
      <c r="R1757" s="10" t="s">
        <v>6832</v>
      </c>
      <c r="S1757" s="10" t="s">
        <v>53</v>
      </c>
      <c r="T1757" s="10" t="s">
        <v>54</v>
      </c>
    </row>
    <row r="1758" spans="1:20" ht="14.5" x14ac:dyDescent="0.35">
      <c r="A1758" s="10" t="s">
        <v>13970</v>
      </c>
      <c r="B1758" s="10" t="str">
        <f>"9780304706419"</f>
        <v>9780304706419</v>
      </c>
      <c r="C1758" s="10" t="str">
        <f>"9781847142771"</f>
        <v>9781847142771</v>
      </c>
      <c r="D1758" s="10" t="s">
        <v>13959</v>
      </c>
      <c r="E1758" s="10" t="s">
        <v>13960</v>
      </c>
      <c r="F1758" s="10" t="s">
        <v>139</v>
      </c>
      <c r="G1758" s="10" t="s">
        <v>6352</v>
      </c>
      <c r="H1758" s="11">
        <v>36526</v>
      </c>
      <c r="I1758" s="10">
        <v>1999</v>
      </c>
      <c r="J1758" s="10" t="s">
        <v>13960</v>
      </c>
      <c r="K1758" s="10">
        <v>175</v>
      </c>
      <c r="L1758" s="10" t="s">
        <v>13971</v>
      </c>
      <c r="M1758" s="10">
        <v>1</v>
      </c>
      <c r="N1758" s="10"/>
      <c r="O1758" s="10"/>
      <c r="P1758" s="10" t="s">
        <v>13972</v>
      </c>
      <c r="Q1758" s="10">
        <v>820.99282000000005</v>
      </c>
      <c r="R1758" s="10" t="s">
        <v>13973</v>
      </c>
      <c r="S1758" s="10" t="s">
        <v>53</v>
      </c>
      <c r="T1758" s="10" t="s">
        <v>1166</v>
      </c>
    </row>
    <row r="1759" spans="1:20" ht="14.5" x14ac:dyDescent="0.35">
      <c r="A1759" s="10" t="s">
        <v>13974</v>
      </c>
      <c r="B1759" s="10" t="str">
        <f>"9780826448637"</f>
        <v>9780826448637</v>
      </c>
      <c r="C1759" s="10" t="str">
        <f>"9781847144409"</f>
        <v>9781847144409</v>
      </c>
      <c r="D1759" s="10" t="s">
        <v>13959</v>
      </c>
      <c r="E1759" s="10" t="s">
        <v>13960</v>
      </c>
      <c r="F1759" s="10" t="s">
        <v>139</v>
      </c>
      <c r="G1759" s="10" t="s">
        <v>6352</v>
      </c>
      <c r="H1759" s="11">
        <v>37032</v>
      </c>
      <c r="I1759" s="10">
        <v>2001</v>
      </c>
      <c r="J1759" s="10" t="s">
        <v>13960</v>
      </c>
      <c r="K1759" s="10">
        <v>225</v>
      </c>
      <c r="L1759" s="10" t="s">
        <v>13975</v>
      </c>
      <c r="M1759" s="10">
        <v>1</v>
      </c>
      <c r="N1759" s="10"/>
      <c r="O1759" s="10"/>
      <c r="P1759" s="10" t="s">
        <v>13976</v>
      </c>
      <c r="Q1759" s="10" t="s">
        <v>13977</v>
      </c>
      <c r="R1759" s="10" t="s">
        <v>13978</v>
      </c>
      <c r="S1759" s="10" t="s">
        <v>53</v>
      </c>
      <c r="T1759" s="10" t="s">
        <v>54</v>
      </c>
    </row>
    <row r="1760" spans="1:20" ht="14.5" x14ac:dyDescent="0.35">
      <c r="A1760" s="10" t="s">
        <v>13979</v>
      </c>
      <c r="B1760" s="10" t="str">
        <f>"9780720121933"</f>
        <v>9780720121933</v>
      </c>
      <c r="C1760" s="10" t="str">
        <f>"9781847142900"</f>
        <v>9781847142900</v>
      </c>
      <c r="D1760" s="10" t="s">
        <v>13959</v>
      </c>
      <c r="E1760" s="10" t="s">
        <v>13960</v>
      </c>
      <c r="F1760" s="10" t="s">
        <v>139</v>
      </c>
      <c r="G1760" s="10" t="s">
        <v>6352</v>
      </c>
      <c r="H1760" s="11">
        <v>35920</v>
      </c>
      <c r="I1760" s="10">
        <v>1998</v>
      </c>
      <c r="J1760" s="10" t="s">
        <v>13960</v>
      </c>
      <c r="K1760" s="10">
        <v>263</v>
      </c>
      <c r="L1760" s="10" t="s">
        <v>13980</v>
      </c>
      <c r="M1760" s="10">
        <v>1</v>
      </c>
      <c r="N1760" s="10"/>
      <c r="O1760" s="10"/>
      <c r="P1760" s="10" t="s">
        <v>13981</v>
      </c>
      <c r="Q1760" s="10" t="s">
        <v>13982</v>
      </c>
      <c r="R1760" s="10" t="s">
        <v>1197</v>
      </c>
      <c r="S1760" s="10" t="s">
        <v>53</v>
      </c>
      <c r="T1760" s="10" t="s">
        <v>10302</v>
      </c>
    </row>
    <row r="1761" spans="1:20" ht="14.5" x14ac:dyDescent="0.35">
      <c r="A1761" s="10" t="s">
        <v>13983</v>
      </c>
      <c r="B1761" s="10" t="str">
        <f>"9780826450722"</f>
        <v>9780826450722</v>
      </c>
      <c r="C1761" s="10" t="str">
        <f>"9781847143525"</f>
        <v>9781847143525</v>
      </c>
      <c r="D1761" s="10" t="s">
        <v>13959</v>
      </c>
      <c r="E1761" s="10" t="s">
        <v>13960</v>
      </c>
      <c r="F1761" s="10" t="s">
        <v>139</v>
      </c>
      <c r="G1761" s="10" t="s">
        <v>6352</v>
      </c>
      <c r="H1761" s="11">
        <v>36892</v>
      </c>
      <c r="I1761" s="10">
        <v>2001</v>
      </c>
      <c r="J1761" s="10" t="s">
        <v>13961</v>
      </c>
      <c r="K1761" s="10">
        <v>279</v>
      </c>
      <c r="L1761" s="10" t="s">
        <v>13984</v>
      </c>
      <c r="M1761" s="10">
        <v>1</v>
      </c>
      <c r="N1761" s="10"/>
      <c r="O1761" s="10"/>
      <c r="P1761" s="10" t="s">
        <v>13985</v>
      </c>
      <c r="Q1761" s="10">
        <v>372.9</v>
      </c>
      <c r="R1761" s="10" t="s">
        <v>7355</v>
      </c>
      <c r="S1761" s="10" t="s">
        <v>53</v>
      </c>
      <c r="T1761" s="10" t="s">
        <v>54</v>
      </c>
    </row>
    <row r="1762" spans="1:20" ht="14.5" x14ac:dyDescent="0.35">
      <c r="A1762" s="10" t="s">
        <v>13986</v>
      </c>
      <c r="B1762" s="10" t="str">
        <f>"9780826448590"</f>
        <v>9780826448590</v>
      </c>
      <c r="C1762" s="10" t="str">
        <f>"9781441109965"</f>
        <v>9781441109965</v>
      </c>
      <c r="D1762" s="10" t="s">
        <v>13959</v>
      </c>
      <c r="E1762" s="10" t="s">
        <v>13960</v>
      </c>
      <c r="F1762" s="10" t="s">
        <v>139</v>
      </c>
      <c r="G1762" s="10" t="s">
        <v>6352</v>
      </c>
      <c r="H1762" s="11">
        <v>37207</v>
      </c>
      <c r="I1762" s="10">
        <v>2001</v>
      </c>
      <c r="J1762" s="10" t="s">
        <v>13961</v>
      </c>
      <c r="K1762" s="10">
        <v>207</v>
      </c>
      <c r="L1762" s="10" t="s">
        <v>13987</v>
      </c>
      <c r="M1762" s="10">
        <v>1</v>
      </c>
      <c r="N1762" s="10" t="s">
        <v>13988</v>
      </c>
      <c r="O1762" s="10"/>
      <c r="P1762" s="10" t="s">
        <v>13989</v>
      </c>
      <c r="Q1762" s="10">
        <v>371.10219999999998</v>
      </c>
      <c r="R1762" s="10" t="s">
        <v>9109</v>
      </c>
      <c r="S1762" s="10" t="s">
        <v>53</v>
      </c>
      <c r="T1762" s="10" t="s">
        <v>54</v>
      </c>
    </row>
    <row r="1763" spans="1:20" ht="14.5" x14ac:dyDescent="0.35">
      <c r="A1763" s="10" t="s">
        <v>13990</v>
      </c>
      <c r="B1763" s="10" t="str">
        <f>"9780304706846"</f>
        <v>9780304706846</v>
      </c>
      <c r="C1763" s="10" t="str">
        <f>"9781847143808"</f>
        <v>9781847143808</v>
      </c>
      <c r="D1763" s="10" t="s">
        <v>13959</v>
      </c>
      <c r="E1763" s="10" t="s">
        <v>13960</v>
      </c>
      <c r="F1763" s="10" t="s">
        <v>139</v>
      </c>
      <c r="G1763" s="10" t="s">
        <v>6352</v>
      </c>
      <c r="H1763" s="11">
        <v>36586</v>
      </c>
      <c r="I1763" s="10">
        <v>2000</v>
      </c>
      <c r="J1763" s="10" t="s">
        <v>13960</v>
      </c>
      <c r="K1763" s="10">
        <v>289</v>
      </c>
      <c r="L1763" s="10" t="s">
        <v>13991</v>
      </c>
      <c r="M1763" s="10">
        <v>1</v>
      </c>
      <c r="N1763" s="10"/>
      <c r="O1763" s="10"/>
      <c r="P1763" s="10" t="s">
        <v>13992</v>
      </c>
      <c r="Q1763" s="10">
        <v>370.94200000000001</v>
      </c>
      <c r="R1763" s="10" t="s">
        <v>13993</v>
      </c>
      <c r="S1763" s="10" t="s">
        <v>53</v>
      </c>
      <c r="T1763" s="10" t="s">
        <v>54</v>
      </c>
    </row>
    <row r="1764" spans="1:20" ht="14.5" x14ac:dyDescent="0.35">
      <c r="A1764" s="10" t="s">
        <v>13994</v>
      </c>
      <c r="B1764" s="10" t="str">
        <f>"9780826487704"</f>
        <v>9780826487704</v>
      </c>
      <c r="C1764" s="10" t="str">
        <f>"9781847144010"</f>
        <v>9781847144010</v>
      </c>
      <c r="D1764" s="10" t="s">
        <v>13959</v>
      </c>
      <c r="E1764" s="10" t="s">
        <v>13960</v>
      </c>
      <c r="F1764" s="10" t="s">
        <v>139</v>
      </c>
      <c r="G1764" s="10" t="s">
        <v>6352</v>
      </c>
      <c r="H1764" s="11">
        <v>39066</v>
      </c>
      <c r="I1764" s="10">
        <v>2006</v>
      </c>
      <c r="J1764" s="10" t="s">
        <v>13960</v>
      </c>
      <c r="K1764" s="10">
        <v>209</v>
      </c>
      <c r="L1764" s="10" t="s">
        <v>13995</v>
      </c>
      <c r="M1764" s="10">
        <v>1</v>
      </c>
      <c r="N1764" s="10" t="s">
        <v>13996</v>
      </c>
      <c r="O1764" s="10"/>
      <c r="P1764" s="10" t="s">
        <v>13997</v>
      </c>
      <c r="Q1764" s="10">
        <v>331.12313710000001</v>
      </c>
      <c r="R1764" s="10" t="s">
        <v>13998</v>
      </c>
      <c r="S1764" s="10" t="s">
        <v>53</v>
      </c>
      <c r="T1764" s="10" t="s">
        <v>8723</v>
      </c>
    </row>
    <row r="1765" spans="1:20" ht="14.5" x14ac:dyDescent="0.35">
      <c r="A1765" s="10" t="s">
        <v>13999</v>
      </c>
      <c r="B1765" s="10" t="str">
        <f>"9780826470270"</f>
        <v>9780826470270</v>
      </c>
      <c r="C1765" s="10" t="str">
        <f>"9781847143457"</f>
        <v>9781847143457</v>
      </c>
      <c r="D1765" s="10" t="s">
        <v>13959</v>
      </c>
      <c r="E1765" s="10" t="s">
        <v>13960</v>
      </c>
      <c r="F1765" s="10" t="s">
        <v>139</v>
      </c>
      <c r="G1765" s="10" t="s">
        <v>6352</v>
      </c>
      <c r="H1765" s="11">
        <v>38523</v>
      </c>
      <c r="I1765" s="10">
        <v>2005</v>
      </c>
      <c r="J1765" s="10" t="s">
        <v>13960</v>
      </c>
      <c r="K1765" s="10">
        <v>241</v>
      </c>
      <c r="L1765" s="10" t="s">
        <v>14000</v>
      </c>
      <c r="M1765" s="10">
        <v>1</v>
      </c>
      <c r="N1765" s="10"/>
      <c r="O1765" s="10"/>
      <c r="P1765" s="10" t="s">
        <v>14001</v>
      </c>
      <c r="Q1765" s="10" t="s">
        <v>14002</v>
      </c>
      <c r="R1765" s="10" t="s">
        <v>14003</v>
      </c>
      <c r="S1765" s="10" t="s">
        <v>53</v>
      </c>
      <c r="T1765" s="10" t="s">
        <v>6616</v>
      </c>
    </row>
    <row r="1766" spans="1:20" ht="14.5" x14ac:dyDescent="0.35">
      <c r="A1766" s="10" t="s">
        <v>14004</v>
      </c>
      <c r="B1766" s="10" t="str">
        <f>"9780304705634"</f>
        <v>9780304705634</v>
      </c>
      <c r="C1766" s="10" t="str">
        <f>"9781847142979"</f>
        <v>9781847142979</v>
      </c>
      <c r="D1766" s="10" t="s">
        <v>13959</v>
      </c>
      <c r="E1766" s="10" t="s">
        <v>13960</v>
      </c>
      <c r="F1766" s="10" t="s">
        <v>139</v>
      </c>
      <c r="G1766" s="10" t="s">
        <v>6352</v>
      </c>
      <c r="H1766" s="11">
        <v>36586</v>
      </c>
      <c r="I1766" s="10">
        <v>1999</v>
      </c>
      <c r="J1766" s="10" t="s">
        <v>13960</v>
      </c>
      <c r="K1766" s="10">
        <v>176</v>
      </c>
      <c r="L1766" s="10" t="s">
        <v>14005</v>
      </c>
      <c r="M1766" s="10">
        <v>1</v>
      </c>
      <c r="N1766" s="10"/>
      <c r="O1766" s="10"/>
      <c r="P1766" s="10" t="s">
        <v>14006</v>
      </c>
      <c r="Q1766" s="10" t="s">
        <v>6785</v>
      </c>
      <c r="R1766" s="10" t="s">
        <v>14007</v>
      </c>
      <c r="S1766" s="10" t="s">
        <v>53</v>
      </c>
      <c r="T1766" s="10" t="s">
        <v>54</v>
      </c>
    </row>
    <row r="1767" spans="1:20" ht="14.5" x14ac:dyDescent="0.35">
      <c r="A1767" s="10" t="s">
        <v>14008</v>
      </c>
      <c r="B1767" s="10" t="str">
        <f>"9781847063359"</f>
        <v>9781847063359</v>
      </c>
      <c r="C1767" s="10" t="str">
        <f>"9781847141866"</f>
        <v>9781847141866</v>
      </c>
      <c r="D1767" s="10" t="s">
        <v>13959</v>
      </c>
      <c r="E1767" s="10" t="s">
        <v>13960</v>
      </c>
      <c r="F1767" s="10" t="s">
        <v>139</v>
      </c>
      <c r="G1767" s="10" t="s">
        <v>6352</v>
      </c>
      <c r="H1767" s="11">
        <v>39722</v>
      </c>
      <c r="I1767" s="10">
        <v>2006</v>
      </c>
      <c r="J1767" s="10" t="s">
        <v>13960</v>
      </c>
      <c r="K1767" s="10">
        <v>225</v>
      </c>
      <c r="L1767" s="10" t="s">
        <v>14009</v>
      </c>
      <c r="M1767" s="10">
        <v>1</v>
      </c>
      <c r="N1767" s="10"/>
      <c r="O1767" s="10"/>
      <c r="P1767" s="10" t="s">
        <v>14010</v>
      </c>
      <c r="Q1767" s="10">
        <v>445</v>
      </c>
      <c r="R1767" s="10" t="s">
        <v>14011</v>
      </c>
      <c r="S1767" s="10" t="s">
        <v>53</v>
      </c>
      <c r="T1767" s="10" t="s">
        <v>6616</v>
      </c>
    </row>
    <row r="1768" spans="1:20" ht="14.5" x14ac:dyDescent="0.35">
      <c r="A1768" s="10" t="s">
        <v>14012</v>
      </c>
      <c r="B1768" s="10" t="str">
        <f>"9780826479105"</f>
        <v>9780826479105</v>
      </c>
      <c r="C1768" s="10" t="str">
        <f>"9781847142511"</f>
        <v>9781847142511</v>
      </c>
      <c r="D1768" s="10" t="s">
        <v>13959</v>
      </c>
      <c r="E1768" s="10" t="s">
        <v>13960</v>
      </c>
      <c r="F1768" s="10" t="s">
        <v>139</v>
      </c>
      <c r="G1768" s="10" t="s">
        <v>6352</v>
      </c>
      <c r="H1768" s="11">
        <v>38756</v>
      </c>
      <c r="I1768" s="10">
        <v>2005</v>
      </c>
      <c r="J1768" s="10" t="s">
        <v>13960</v>
      </c>
      <c r="K1768" s="10">
        <v>200</v>
      </c>
      <c r="L1768" s="10" t="s">
        <v>14013</v>
      </c>
      <c r="M1768" s="10">
        <v>1</v>
      </c>
      <c r="N1768" s="10"/>
      <c r="O1768" s="10"/>
      <c r="P1768" s="10" t="s">
        <v>14014</v>
      </c>
      <c r="Q1768" s="10" t="s">
        <v>14015</v>
      </c>
      <c r="R1768" s="10" t="s">
        <v>14016</v>
      </c>
      <c r="S1768" s="10" t="s">
        <v>53</v>
      </c>
      <c r="T1768" s="10" t="s">
        <v>54</v>
      </c>
    </row>
    <row r="1769" spans="1:20" ht="14.5" x14ac:dyDescent="0.35">
      <c r="A1769" s="10" t="s">
        <v>14017</v>
      </c>
      <c r="B1769" s="10" t="str">
        <f>""</f>
        <v/>
      </c>
      <c r="C1769" s="10" t="str">
        <f>"9780826403735"</f>
        <v>9780826403735</v>
      </c>
      <c r="D1769" s="10" t="s">
        <v>13959</v>
      </c>
      <c r="E1769" s="10" t="s">
        <v>13960</v>
      </c>
      <c r="F1769" s="10" t="s">
        <v>139</v>
      </c>
      <c r="G1769" s="10" t="s">
        <v>6352</v>
      </c>
      <c r="H1769" s="11">
        <v>37376</v>
      </c>
      <c r="I1769" s="10">
        <v>2002</v>
      </c>
      <c r="J1769" s="10" t="s">
        <v>13961</v>
      </c>
      <c r="K1769" s="10">
        <v>173</v>
      </c>
      <c r="L1769" s="10" t="s">
        <v>14018</v>
      </c>
      <c r="M1769" s="10">
        <v>1</v>
      </c>
      <c r="N1769" s="10"/>
      <c r="O1769" s="10"/>
      <c r="P1769" s="10" t="s">
        <v>14019</v>
      </c>
      <c r="Q1769" s="10" t="s">
        <v>14020</v>
      </c>
      <c r="R1769" s="10" t="s">
        <v>14021</v>
      </c>
      <c r="S1769" s="10" t="s">
        <v>53</v>
      </c>
      <c r="T1769" s="10" t="s">
        <v>54</v>
      </c>
    </row>
    <row r="1770" spans="1:20" ht="14.5" x14ac:dyDescent="0.35">
      <c r="A1770" s="10" t="s">
        <v>14022</v>
      </c>
      <c r="B1770" s="10" t="str">
        <f>"9780826478696"</f>
        <v>9780826478696</v>
      </c>
      <c r="C1770" s="10" t="str">
        <f>"9781847141378"</f>
        <v>9781847141378</v>
      </c>
      <c r="D1770" s="10" t="s">
        <v>13959</v>
      </c>
      <c r="E1770" s="10" t="s">
        <v>13960</v>
      </c>
      <c r="F1770" s="10" t="s">
        <v>139</v>
      </c>
      <c r="G1770" s="10" t="s">
        <v>6352</v>
      </c>
      <c r="H1770" s="11">
        <v>38673</v>
      </c>
      <c r="I1770" s="10">
        <v>2005</v>
      </c>
      <c r="J1770" s="10" t="s">
        <v>13960</v>
      </c>
      <c r="K1770" s="10">
        <v>279</v>
      </c>
      <c r="L1770" s="10" t="s">
        <v>14023</v>
      </c>
      <c r="M1770" s="10">
        <v>1</v>
      </c>
      <c r="N1770" s="10"/>
      <c r="O1770" s="10"/>
      <c r="P1770" s="10" t="s">
        <v>14024</v>
      </c>
      <c r="Q1770" s="10" t="s">
        <v>14025</v>
      </c>
      <c r="R1770" s="10" t="s">
        <v>14026</v>
      </c>
      <c r="S1770" s="10" t="s">
        <v>53</v>
      </c>
      <c r="T1770" s="10" t="s">
        <v>6616</v>
      </c>
    </row>
    <row r="1771" spans="1:20" ht="14.5" x14ac:dyDescent="0.35">
      <c r="A1771" s="10" t="s">
        <v>14027</v>
      </c>
      <c r="B1771" s="10" t="str">
        <f>"9780826448033"</f>
        <v>9780826448033</v>
      </c>
      <c r="C1771" s="10" t="str">
        <f>"9781847143952"</f>
        <v>9781847143952</v>
      </c>
      <c r="D1771" s="10" t="s">
        <v>13959</v>
      </c>
      <c r="E1771" s="10" t="s">
        <v>13960</v>
      </c>
      <c r="F1771" s="10" t="s">
        <v>139</v>
      </c>
      <c r="G1771" s="10" t="s">
        <v>6352</v>
      </c>
      <c r="H1771" s="11">
        <v>36782</v>
      </c>
      <c r="I1771" s="10">
        <v>2000</v>
      </c>
      <c r="J1771" s="10" t="s">
        <v>13960</v>
      </c>
      <c r="K1771" s="10">
        <v>256</v>
      </c>
      <c r="L1771" s="10" t="s">
        <v>14028</v>
      </c>
      <c r="M1771" s="10">
        <v>1</v>
      </c>
      <c r="N1771" s="10"/>
      <c r="O1771" s="10"/>
      <c r="P1771" s="10" t="s">
        <v>14029</v>
      </c>
      <c r="Q1771" s="10">
        <v>370.1</v>
      </c>
      <c r="R1771" s="10" t="s">
        <v>14030</v>
      </c>
      <c r="S1771" s="10" t="s">
        <v>53</v>
      </c>
      <c r="T1771" s="10" t="s">
        <v>54</v>
      </c>
    </row>
    <row r="1772" spans="1:20" ht="14.5" x14ac:dyDescent="0.35">
      <c r="A1772" s="10" t="s">
        <v>14031</v>
      </c>
      <c r="B1772" s="10" t="str">
        <f>""</f>
        <v/>
      </c>
      <c r="C1772" s="10" t="str">
        <f>"9780826427014"</f>
        <v>9780826427014</v>
      </c>
      <c r="D1772" s="10" t="s">
        <v>13959</v>
      </c>
      <c r="E1772" s="10" t="s">
        <v>13960</v>
      </c>
      <c r="F1772" s="10" t="s">
        <v>139</v>
      </c>
      <c r="G1772" s="10" t="s">
        <v>6352</v>
      </c>
      <c r="H1772" s="11">
        <v>38272</v>
      </c>
      <c r="I1772" s="10">
        <v>2004</v>
      </c>
      <c r="J1772" s="10" t="s">
        <v>13961</v>
      </c>
      <c r="K1772" s="10">
        <v>167</v>
      </c>
      <c r="L1772" s="10" t="s">
        <v>14032</v>
      </c>
      <c r="M1772" s="10">
        <v>1</v>
      </c>
      <c r="N1772" s="10"/>
      <c r="O1772" s="10"/>
      <c r="P1772" s="10" t="s">
        <v>14033</v>
      </c>
      <c r="Q1772" s="10" t="s">
        <v>14034</v>
      </c>
      <c r="R1772" s="10" t="s">
        <v>14035</v>
      </c>
      <c r="S1772" s="10" t="s">
        <v>53</v>
      </c>
      <c r="T1772" s="10" t="s">
        <v>54</v>
      </c>
    </row>
    <row r="1773" spans="1:20" ht="14.5" x14ac:dyDescent="0.35">
      <c r="A1773" s="10" t="s">
        <v>14036</v>
      </c>
      <c r="B1773" s="10" t="str">
        <f>"9780826460424"</f>
        <v>9780826460424</v>
      </c>
      <c r="C1773" s="10" t="str">
        <f>"9781847143624"</f>
        <v>9781847143624</v>
      </c>
      <c r="D1773" s="10" t="s">
        <v>13959</v>
      </c>
      <c r="E1773" s="10" t="s">
        <v>13960</v>
      </c>
      <c r="F1773" s="10" t="s">
        <v>139</v>
      </c>
      <c r="G1773" s="10" t="s">
        <v>6352</v>
      </c>
      <c r="H1773" s="11">
        <v>37658</v>
      </c>
      <c r="I1773" s="10">
        <v>2002</v>
      </c>
      <c r="J1773" s="10" t="s">
        <v>13960</v>
      </c>
      <c r="K1773" s="10">
        <v>257</v>
      </c>
      <c r="L1773" s="10" t="s">
        <v>14037</v>
      </c>
      <c r="M1773" s="10">
        <v>1</v>
      </c>
      <c r="N1773" s="10" t="s">
        <v>14038</v>
      </c>
      <c r="O1773" s="10"/>
      <c r="P1773" s="10" t="s">
        <v>14039</v>
      </c>
      <c r="Q1773" s="10" t="s">
        <v>14040</v>
      </c>
      <c r="R1773" s="10" t="s">
        <v>14041</v>
      </c>
      <c r="S1773" s="10" t="s">
        <v>53</v>
      </c>
      <c r="T1773" s="10" t="s">
        <v>6384</v>
      </c>
    </row>
    <row r="1774" spans="1:20" ht="14.5" x14ac:dyDescent="0.35">
      <c r="A1774" s="10" t="s">
        <v>14042</v>
      </c>
      <c r="B1774" s="10" t="str">
        <f>"9781441182609"</f>
        <v>9781441182609</v>
      </c>
      <c r="C1774" s="10" t="str">
        <f>"9781847142528"</f>
        <v>9781847142528</v>
      </c>
      <c r="D1774" s="10" t="s">
        <v>13959</v>
      </c>
      <c r="E1774" s="10" t="s">
        <v>13960</v>
      </c>
      <c r="F1774" s="10" t="s">
        <v>139</v>
      </c>
      <c r="G1774" s="10" t="s">
        <v>6352</v>
      </c>
      <c r="H1774" s="11">
        <v>40473</v>
      </c>
      <c r="I1774" s="10">
        <v>2006</v>
      </c>
      <c r="J1774" s="10" t="s">
        <v>13960</v>
      </c>
      <c r="K1774" s="10">
        <v>225</v>
      </c>
      <c r="L1774" s="10" t="s">
        <v>14043</v>
      </c>
      <c r="M1774" s="10">
        <v>1</v>
      </c>
      <c r="N1774" s="10" t="s">
        <v>14044</v>
      </c>
      <c r="O1774" s="10"/>
      <c r="P1774" s="10" t="s">
        <v>14045</v>
      </c>
      <c r="Q1774" s="10">
        <v>306.440968</v>
      </c>
      <c r="R1774" s="10" t="s">
        <v>14046</v>
      </c>
      <c r="S1774" s="10" t="s">
        <v>53</v>
      </c>
      <c r="T1774" s="10" t="s">
        <v>6526</v>
      </c>
    </row>
    <row r="1775" spans="1:20" ht="14.5" x14ac:dyDescent="0.35">
      <c r="A1775" s="10" t="s">
        <v>14047</v>
      </c>
      <c r="B1775" s="10" t="str">
        <f>"9780826453426"</f>
        <v>9780826453426</v>
      </c>
      <c r="C1775" s="10" t="str">
        <f>"9780826432742"</f>
        <v>9780826432742</v>
      </c>
      <c r="D1775" s="10" t="s">
        <v>13959</v>
      </c>
      <c r="E1775" s="10" t="s">
        <v>13960</v>
      </c>
      <c r="F1775" s="10" t="s">
        <v>139</v>
      </c>
      <c r="G1775" s="10" t="s">
        <v>6352</v>
      </c>
      <c r="H1775" s="11">
        <v>37773</v>
      </c>
      <c r="I1775" s="10">
        <v>2004</v>
      </c>
      <c r="J1775" s="10" t="s">
        <v>13961</v>
      </c>
      <c r="K1775" s="10">
        <v>241</v>
      </c>
      <c r="L1775" s="10" t="s">
        <v>14048</v>
      </c>
      <c r="M1775" s="10">
        <v>1</v>
      </c>
      <c r="N1775" s="10"/>
      <c r="O1775" s="10"/>
      <c r="P1775" s="10" t="s">
        <v>14049</v>
      </c>
      <c r="Q1775" s="10" t="s">
        <v>14050</v>
      </c>
      <c r="R1775" s="10" t="s">
        <v>14051</v>
      </c>
      <c r="S1775" s="10" t="s">
        <v>53</v>
      </c>
      <c r="T1775" s="10" t="s">
        <v>54</v>
      </c>
    </row>
    <row r="1776" spans="1:20" ht="14.5" x14ac:dyDescent="0.35">
      <c r="A1776" s="10" t="s">
        <v>14052</v>
      </c>
      <c r="B1776" s="10" t="str">
        <f>"9780826450623"</f>
        <v>9780826450623</v>
      </c>
      <c r="C1776" s="10" t="str">
        <f>"9781847143686"</f>
        <v>9781847143686</v>
      </c>
      <c r="D1776" s="10" t="s">
        <v>13959</v>
      </c>
      <c r="E1776" s="10" t="s">
        <v>13960</v>
      </c>
      <c r="F1776" s="10" t="s">
        <v>139</v>
      </c>
      <c r="G1776" s="10" t="s">
        <v>6352</v>
      </c>
      <c r="H1776" s="11">
        <v>36922</v>
      </c>
      <c r="I1776" s="10">
        <v>2001</v>
      </c>
      <c r="J1776" s="10" t="s">
        <v>13960</v>
      </c>
      <c r="K1776" s="10">
        <v>363</v>
      </c>
      <c r="L1776" s="10" t="s">
        <v>14053</v>
      </c>
      <c r="M1776" s="10">
        <v>1</v>
      </c>
      <c r="N1776" s="10"/>
      <c r="O1776" s="10"/>
      <c r="P1776" s="10" t="s">
        <v>14054</v>
      </c>
      <c r="Q1776" s="10">
        <v>372</v>
      </c>
      <c r="R1776" s="10" t="s">
        <v>14055</v>
      </c>
      <c r="S1776" s="10" t="s">
        <v>53</v>
      </c>
      <c r="T1776" s="10" t="s">
        <v>54</v>
      </c>
    </row>
    <row r="1777" spans="1:20" ht="14.5" x14ac:dyDescent="0.35">
      <c r="A1777" s="10" t="s">
        <v>14056</v>
      </c>
      <c r="B1777" s="10" t="str">
        <f>"9781841272320"</f>
        <v>9781841272320</v>
      </c>
      <c r="C1777" s="10" t="str">
        <f>"9781847142504"</f>
        <v>9781847142504</v>
      </c>
      <c r="D1777" s="10" t="s">
        <v>13959</v>
      </c>
      <c r="E1777" s="10" t="s">
        <v>13960</v>
      </c>
      <c r="F1777" s="10" t="s">
        <v>139</v>
      </c>
      <c r="G1777" s="10" t="s">
        <v>6352</v>
      </c>
      <c r="H1777" s="11">
        <v>37043</v>
      </c>
      <c r="I1777" s="10">
        <v>2001</v>
      </c>
      <c r="J1777" s="10" t="s">
        <v>14057</v>
      </c>
      <c r="K1777" s="10">
        <v>221</v>
      </c>
      <c r="L1777" s="10" t="s">
        <v>14058</v>
      </c>
      <c r="M1777" s="10">
        <v>1</v>
      </c>
      <c r="N1777" s="10"/>
      <c r="O1777" s="10"/>
      <c r="P1777" s="10" t="s">
        <v>14059</v>
      </c>
      <c r="Q1777" s="10">
        <v>809</v>
      </c>
      <c r="R1777" s="10" t="s">
        <v>14060</v>
      </c>
      <c r="S1777" s="10" t="s">
        <v>53</v>
      </c>
      <c r="T1777" s="10" t="s">
        <v>1166</v>
      </c>
    </row>
    <row r="1778" spans="1:20" ht="14.5" x14ac:dyDescent="0.35">
      <c r="A1778" s="10" t="s">
        <v>14061</v>
      </c>
      <c r="B1778" s="10" t="str">
        <f>"9780826478368"</f>
        <v>9780826478368</v>
      </c>
      <c r="C1778" s="10" t="str">
        <f>"9781441107022"</f>
        <v>9781441107022</v>
      </c>
      <c r="D1778" s="10" t="s">
        <v>13959</v>
      </c>
      <c r="E1778" s="10" t="s">
        <v>13960</v>
      </c>
      <c r="F1778" s="10" t="s">
        <v>139</v>
      </c>
      <c r="G1778" s="10" t="s">
        <v>6352</v>
      </c>
      <c r="H1778" s="11">
        <v>38460</v>
      </c>
      <c r="I1778" s="10">
        <v>2005</v>
      </c>
      <c r="J1778" s="10" t="s">
        <v>13961</v>
      </c>
      <c r="K1778" s="10">
        <v>124</v>
      </c>
      <c r="L1778" s="10" t="s">
        <v>14062</v>
      </c>
      <c r="M1778" s="10">
        <v>1</v>
      </c>
      <c r="N1778" s="10" t="s">
        <v>14063</v>
      </c>
      <c r="O1778" s="10"/>
      <c r="P1778" s="10" t="s">
        <v>14064</v>
      </c>
      <c r="Q1778" s="10">
        <v>861.3</v>
      </c>
      <c r="R1778" s="10" t="s">
        <v>14065</v>
      </c>
      <c r="S1778" s="10" t="s">
        <v>53</v>
      </c>
      <c r="T1778" s="10" t="s">
        <v>6568</v>
      </c>
    </row>
    <row r="1779" spans="1:20" ht="14.5" x14ac:dyDescent="0.35">
      <c r="A1779" s="10" t="s">
        <v>14066</v>
      </c>
      <c r="B1779" s="10" t="str">
        <f>"9780826464767"</f>
        <v>9780826464767</v>
      </c>
      <c r="C1779" s="10" t="str">
        <f>"9781441106766"</f>
        <v>9781441106766</v>
      </c>
      <c r="D1779" s="10" t="s">
        <v>13959</v>
      </c>
      <c r="E1779" s="10" t="s">
        <v>13960</v>
      </c>
      <c r="F1779" s="10" t="s">
        <v>139</v>
      </c>
      <c r="G1779" s="10" t="s">
        <v>6352</v>
      </c>
      <c r="H1779" s="11">
        <v>37956</v>
      </c>
      <c r="I1779" s="10">
        <v>2003</v>
      </c>
      <c r="J1779" s="10" t="s">
        <v>13961</v>
      </c>
      <c r="K1779" s="10">
        <v>102</v>
      </c>
      <c r="L1779" s="10" t="s">
        <v>14067</v>
      </c>
      <c r="M1779" s="10">
        <v>1</v>
      </c>
      <c r="N1779" s="10" t="s">
        <v>14068</v>
      </c>
      <c r="O1779" s="10"/>
      <c r="P1779" s="10" t="s">
        <v>14069</v>
      </c>
      <c r="Q1779" s="10" t="s">
        <v>14070</v>
      </c>
      <c r="R1779" s="10" t="s">
        <v>14071</v>
      </c>
      <c r="S1779" s="10" t="s">
        <v>53</v>
      </c>
      <c r="T1779" s="10" t="s">
        <v>9590</v>
      </c>
    </row>
    <row r="1780" spans="1:20" ht="14.5" x14ac:dyDescent="0.35">
      <c r="A1780" s="10" t="s">
        <v>14072</v>
      </c>
      <c r="B1780" s="10" t="str">
        <f>"9780826479112"</f>
        <v>9780826479112</v>
      </c>
      <c r="C1780" s="10" t="str">
        <f>"9781441156792"</f>
        <v>9781441156792</v>
      </c>
      <c r="D1780" s="10" t="s">
        <v>13959</v>
      </c>
      <c r="E1780" s="10" t="s">
        <v>13960</v>
      </c>
      <c r="F1780" s="10" t="s">
        <v>139</v>
      </c>
      <c r="G1780" s="10" t="s">
        <v>6352</v>
      </c>
      <c r="H1780" s="11">
        <v>38645</v>
      </c>
      <c r="I1780" s="10">
        <v>2005</v>
      </c>
      <c r="J1780" s="10" t="s">
        <v>13961</v>
      </c>
      <c r="K1780" s="10">
        <v>193</v>
      </c>
      <c r="L1780" s="10" t="s">
        <v>14073</v>
      </c>
      <c r="M1780" s="10">
        <v>1</v>
      </c>
      <c r="N1780" s="10"/>
      <c r="O1780" s="10"/>
      <c r="P1780" s="10" t="s">
        <v>14074</v>
      </c>
      <c r="Q1780" s="10">
        <v>372.7</v>
      </c>
      <c r="R1780" s="10" t="s">
        <v>14075</v>
      </c>
      <c r="S1780" s="10" t="s">
        <v>53</v>
      </c>
      <c r="T1780" s="10" t="s">
        <v>6448</v>
      </c>
    </row>
    <row r="1781" spans="1:20" ht="14.5" x14ac:dyDescent="0.35">
      <c r="A1781" s="10" t="s">
        <v>14076</v>
      </c>
      <c r="B1781" s="10" t="str">
        <f>"9780304700011"</f>
        <v>9780304700011</v>
      </c>
      <c r="C1781" s="10" t="str">
        <f>"9781847143334"</f>
        <v>9781847143334</v>
      </c>
      <c r="D1781" s="10" t="s">
        <v>13959</v>
      </c>
      <c r="E1781" s="10" t="s">
        <v>13960</v>
      </c>
      <c r="F1781" s="10" t="s">
        <v>139</v>
      </c>
      <c r="G1781" s="10" t="s">
        <v>6352</v>
      </c>
      <c r="H1781" s="11">
        <v>35902</v>
      </c>
      <c r="I1781" s="10">
        <v>1997</v>
      </c>
      <c r="J1781" s="10" t="s">
        <v>13960</v>
      </c>
      <c r="K1781" s="10">
        <v>121</v>
      </c>
      <c r="L1781" s="10" t="s">
        <v>14077</v>
      </c>
      <c r="M1781" s="10">
        <v>1</v>
      </c>
      <c r="N1781" s="10"/>
      <c r="O1781" s="10"/>
      <c r="P1781" s="10" t="s">
        <v>14078</v>
      </c>
      <c r="Q1781" s="10">
        <v>175</v>
      </c>
      <c r="R1781" s="10" t="s">
        <v>14079</v>
      </c>
      <c r="S1781" s="10" t="s">
        <v>53</v>
      </c>
      <c r="T1781" s="10" t="s">
        <v>14080</v>
      </c>
    </row>
    <row r="1782" spans="1:20" ht="14.5" x14ac:dyDescent="0.35">
      <c r="A1782" s="10" t="s">
        <v>14081</v>
      </c>
      <c r="B1782" s="10" t="str">
        <f>"9781441191809"</f>
        <v>9781441191809</v>
      </c>
      <c r="C1782" s="10" t="str">
        <f>"9780826432391"</f>
        <v>9780826432391</v>
      </c>
      <c r="D1782" s="10" t="s">
        <v>13959</v>
      </c>
      <c r="E1782" s="10" t="s">
        <v>13960</v>
      </c>
      <c r="F1782" s="10" t="s">
        <v>139</v>
      </c>
      <c r="G1782" s="10" t="s">
        <v>6352</v>
      </c>
      <c r="H1782" s="11">
        <v>41025</v>
      </c>
      <c r="I1782" s="10">
        <v>2012</v>
      </c>
      <c r="J1782" s="10" t="s">
        <v>13961</v>
      </c>
      <c r="K1782" s="10">
        <v>177</v>
      </c>
      <c r="L1782" s="10" t="s">
        <v>14082</v>
      </c>
      <c r="M1782" s="10">
        <v>1</v>
      </c>
      <c r="N1782" s="10"/>
      <c r="O1782" s="10"/>
      <c r="P1782" s="10" t="s">
        <v>14083</v>
      </c>
      <c r="Q1782" s="10" t="s">
        <v>9298</v>
      </c>
      <c r="R1782" s="10" t="s">
        <v>14084</v>
      </c>
      <c r="S1782" s="10" t="s">
        <v>53</v>
      </c>
      <c r="T1782" s="10" t="s">
        <v>54</v>
      </c>
    </row>
    <row r="1783" spans="1:20" ht="14.5" x14ac:dyDescent="0.35">
      <c r="A1783" s="10" t="s">
        <v>14085</v>
      </c>
      <c r="B1783" s="10" t="str">
        <f>"9780304339891"</f>
        <v>9780304339891</v>
      </c>
      <c r="C1783" s="10" t="str">
        <f>"9781847142726"</f>
        <v>9781847142726</v>
      </c>
      <c r="D1783" s="10" t="s">
        <v>13959</v>
      </c>
      <c r="E1783" s="10" t="s">
        <v>13960</v>
      </c>
      <c r="F1783" s="10" t="s">
        <v>139</v>
      </c>
      <c r="G1783" s="10" t="s">
        <v>6352</v>
      </c>
      <c r="H1783" s="11">
        <v>35886</v>
      </c>
      <c r="I1783" s="10">
        <v>1998</v>
      </c>
      <c r="J1783" s="10" t="s">
        <v>13960</v>
      </c>
      <c r="K1783" s="10">
        <v>208</v>
      </c>
      <c r="L1783" s="10" t="s">
        <v>14086</v>
      </c>
      <c r="M1783" s="10">
        <v>1</v>
      </c>
      <c r="N1783" s="10"/>
      <c r="O1783" s="10"/>
      <c r="P1783" s="10" t="s">
        <v>14087</v>
      </c>
      <c r="Q1783" s="10">
        <v>370.15230000000003</v>
      </c>
      <c r="R1783" s="10" t="s">
        <v>6832</v>
      </c>
      <c r="S1783" s="10" t="s">
        <v>53</v>
      </c>
      <c r="T1783" s="10" t="s">
        <v>54</v>
      </c>
    </row>
    <row r="1784" spans="1:20" ht="14.5" x14ac:dyDescent="0.35">
      <c r="A1784" s="10" t="s">
        <v>14088</v>
      </c>
      <c r="B1784" s="10" t="str">
        <f>"9780304326594"</f>
        <v>9780304326594</v>
      </c>
      <c r="C1784" s="10" t="str">
        <f>"9780826437198"</f>
        <v>9780826437198</v>
      </c>
      <c r="D1784" s="10" t="s">
        <v>13959</v>
      </c>
      <c r="E1784" s="10" t="s">
        <v>13960</v>
      </c>
      <c r="F1784" s="10" t="s">
        <v>139</v>
      </c>
      <c r="G1784" s="10" t="s">
        <v>6352</v>
      </c>
      <c r="H1784" s="11">
        <v>35004</v>
      </c>
      <c r="I1784" s="10">
        <v>2000</v>
      </c>
      <c r="J1784" s="10" t="s">
        <v>13961</v>
      </c>
      <c r="K1784" s="10">
        <v>145</v>
      </c>
      <c r="L1784" s="10" t="s">
        <v>14089</v>
      </c>
      <c r="M1784" s="10">
        <v>1</v>
      </c>
      <c r="N1784" s="10"/>
      <c r="O1784" s="10"/>
      <c r="P1784" s="10" t="s">
        <v>14090</v>
      </c>
      <c r="Q1784" s="10">
        <v>344</v>
      </c>
      <c r="R1784" s="10" t="s">
        <v>14091</v>
      </c>
      <c r="S1784" s="10" t="s">
        <v>53</v>
      </c>
      <c r="T1784" s="10" t="s">
        <v>5396</v>
      </c>
    </row>
    <row r="1785" spans="1:20" ht="14.5" x14ac:dyDescent="0.35">
      <c r="A1785" s="10" t="s">
        <v>14092</v>
      </c>
      <c r="B1785" s="10" t="str">
        <f>"9780826448026"</f>
        <v>9780826448026</v>
      </c>
      <c r="C1785" s="10" t="str">
        <f>"9781847143655"</f>
        <v>9781847143655</v>
      </c>
      <c r="D1785" s="10" t="s">
        <v>13959</v>
      </c>
      <c r="E1785" s="10" t="s">
        <v>13960</v>
      </c>
      <c r="F1785" s="10" t="s">
        <v>139</v>
      </c>
      <c r="G1785" s="10" t="s">
        <v>6352</v>
      </c>
      <c r="H1785" s="11">
        <v>36707</v>
      </c>
      <c r="I1785" s="10">
        <v>2000</v>
      </c>
      <c r="J1785" s="10" t="s">
        <v>13960</v>
      </c>
      <c r="K1785" s="10">
        <v>225</v>
      </c>
      <c r="L1785" s="10" t="s">
        <v>14093</v>
      </c>
      <c r="M1785" s="10">
        <v>1</v>
      </c>
      <c r="N1785" s="10"/>
      <c r="O1785" s="10"/>
      <c r="P1785" s="10" t="s">
        <v>14094</v>
      </c>
      <c r="Q1785" s="10" t="s">
        <v>14095</v>
      </c>
      <c r="R1785" s="10" t="s">
        <v>14096</v>
      </c>
      <c r="S1785" s="10" t="s">
        <v>53</v>
      </c>
      <c r="T1785" s="10" t="s">
        <v>54</v>
      </c>
    </row>
    <row r="1786" spans="1:20" ht="14.5" x14ac:dyDescent="0.35">
      <c r="A1786" s="10" t="s">
        <v>14097</v>
      </c>
      <c r="B1786" s="10" t="str">
        <f>"9781441139313"</f>
        <v>9781441139313</v>
      </c>
      <c r="C1786" s="10" t="str">
        <f>"9781847143839"</f>
        <v>9781847143839</v>
      </c>
      <c r="D1786" s="10" t="s">
        <v>13959</v>
      </c>
      <c r="E1786" s="10" t="s">
        <v>13960</v>
      </c>
      <c r="F1786" s="10" t="s">
        <v>139</v>
      </c>
      <c r="G1786" s="10" t="s">
        <v>6352</v>
      </c>
      <c r="H1786" s="11">
        <v>40731</v>
      </c>
      <c r="I1786" s="10">
        <v>2006</v>
      </c>
      <c r="J1786" s="10" t="s">
        <v>13960</v>
      </c>
      <c r="K1786" s="10">
        <v>237</v>
      </c>
      <c r="L1786" s="10" t="s">
        <v>14098</v>
      </c>
      <c r="M1786" s="10">
        <v>1</v>
      </c>
      <c r="N1786" s="10"/>
      <c r="O1786" s="10"/>
      <c r="P1786" s="10" t="s">
        <v>14099</v>
      </c>
      <c r="Q1786" s="10">
        <v>374</v>
      </c>
      <c r="R1786" s="10" t="s">
        <v>6401</v>
      </c>
      <c r="S1786" s="10" t="s">
        <v>53</v>
      </c>
      <c r="T1786" s="10" t="s">
        <v>54</v>
      </c>
    </row>
    <row r="1787" spans="1:20" ht="14.5" x14ac:dyDescent="0.35">
      <c r="A1787" s="10" t="s">
        <v>14100</v>
      </c>
      <c r="B1787" s="10" t="str">
        <f>"9780826448378"</f>
        <v>9780826448378</v>
      </c>
      <c r="C1787" s="10" t="str">
        <f>"9780826419644"</f>
        <v>9780826419644</v>
      </c>
      <c r="D1787" s="10" t="s">
        <v>13959</v>
      </c>
      <c r="E1787" s="10" t="s">
        <v>13960</v>
      </c>
      <c r="F1787" s="10" t="s">
        <v>139</v>
      </c>
      <c r="G1787" s="10" t="s">
        <v>6352</v>
      </c>
      <c r="H1787" s="11">
        <v>36892</v>
      </c>
      <c r="I1787" s="10">
        <v>2001</v>
      </c>
      <c r="J1787" s="10" t="s">
        <v>13961</v>
      </c>
      <c r="K1787" s="10">
        <v>269</v>
      </c>
      <c r="L1787" s="10" t="s">
        <v>14101</v>
      </c>
      <c r="M1787" s="10">
        <v>1</v>
      </c>
      <c r="N1787" s="10"/>
      <c r="O1787" s="10"/>
      <c r="P1787" s="10" t="s">
        <v>14102</v>
      </c>
      <c r="Q1787" s="10" t="s">
        <v>14103</v>
      </c>
      <c r="R1787" s="10" t="s">
        <v>6932</v>
      </c>
      <c r="S1787" s="10" t="s">
        <v>53</v>
      </c>
      <c r="T1787" s="10" t="s">
        <v>54</v>
      </c>
    </row>
    <row r="1788" spans="1:20" ht="14.5" x14ac:dyDescent="0.35">
      <c r="A1788" s="10" t="s">
        <v>14104</v>
      </c>
      <c r="B1788" s="10" t="str">
        <f>"9780304327218"</f>
        <v>9780304327218</v>
      </c>
      <c r="C1788" s="10" t="str">
        <f>"9781441175038"</f>
        <v>9781441175038</v>
      </c>
      <c r="D1788" s="10" t="s">
        <v>13959</v>
      </c>
      <c r="E1788" s="10" t="s">
        <v>13960</v>
      </c>
      <c r="F1788" s="10" t="s">
        <v>139</v>
      </c>
      <c r="G1788" s="10" t="s">
        <v>6352</v>
      </c>
      <c r="H1788" s="11">
        <v>35005</v>
      </c>
      <c r="I1788" s="10">
        <v>1995</v>
      </c>
      <c r="J1788" s="10" t="s">
        <v>13961</v>
      </c>
      <c r="K1788" s="10">
        <v>225</v>
      </c>
      <c r="L1788" s="10" t="s">
        <v>14105</v>
      </c>
      <c r="M1788" s="10">
        <v>1</v>
      </c>
      <c r="N1788" s="10"/>
      <c r="O1788" s="10"/>
      <c r="P1788" s="10" t="s">
        <v>14106</v>
      </c>
      <c r="Q1788" s="10">
        <v>302.2244</v>
      </c>
      <c r="R1788" s="10" t="s">
        <v>14107</v>
      </c>
      <c r="S1788" s="10" t="s">
        <v>53</v>
      </c>
      <c r="T1788" s="10" t="s">
        <v>6526</v>
      </c>
    </row>
    <row r="1789" spans="1:20" ht="14.5" x14ac:dyDescent="0.35">
      <c r="A1789" s="10" t="s">
        <v>14108</v>
      </c>
      <c r="B1789" s="10" t="str">
        <f>"9781441197900"</f>
        <v>9781441197900</v>
      </c>
      <c r="C1789" s="10" t="str">
        <f>"9781441188533"</f>
        <v>9781441188533</v>
      </c>
      <c r="D1789" s="10" t="s">
        <v>13959</v>
      </c>
      <c r="E1789" s="10" t="s">
        <v>13960</v>
      </c>
      <c r="F1789" s="10" t="s">
        <v>139</v>
      </c>
      <c r="G1789" s="10" t="s">
        <v>6352</v>
      </c>
      <c r="H1789" s="11">
        <v>40899</v>
      </c>
      <c r="I1789" s="10">
        <v>2009</v>
      </c>
      <c r="J1789" s="10" t="s">
        <v>13961</v>
      </c>
      <c r="K1789" s="10">
        <v>284</v>
      </c>
      <c r="L1789" s="10" t="s">
        <v>14109</v>
      </c>
      <c r="M1789" s="10">
        <v>1</v>
      </c>
      <c r="N1789" s="10"/>
      <c r="O1789" s="10"/>
      <c r="P1789" s="10" t="s">
        <v>14110</v>
      </c>
      <c r="Q1789" s="10">
        <v>371.07</v>
      </c>
      <c r="R1789" s="10" t="s">
        <v>14111</v>
      </c>
      <c r="S1789" s="10" t="s">
        <v>53</v>
      </c>
      <c r="T1789" s="10" t="s">
        <v>54</v>
      </c>
    </row>
    <row r="1790" spans="1:20" ht="14.5" x14ac:dyDescent="0.35">
      <c r="A1790" s="10" t="s">
        <v>14112</v>
      </c>
      <c r="B1790" s="10" t="str">
        <f>"9780304332823"</f>
        <v>9780304332823</v>
      </c>
      <c r="C1790" s="10" t="str">
        <f>"9781441155023"</f>
        <v>9781441155023</v>
      </c>
      <c r="D1790" s="10" t="s">
        <v>13959</v>
      </c>
      <c r="E1790" s="10" t="s">
        <v>13960</v>
      </c>
      <c r="F1790" s="10" t="s">
        <v>139</v>
      </c>
      <c r="G1790" s="10" t="s">
        <v>6352</v>
      </c>
      <c r="H1790" s="11">
        <v>36526</v>
      </c>
      <c r="I1790" s="10">
        <v>1998</v>
      </c>
      <c r="J1790" s="10" t="s">
        <v>13961</v>
      </c>
      <c r="K1790" s="10">
        <v>350</v>
      </c>
      <c r="L1790" s="10" t="s">
        <v>14113</v>
      </c>
      <c r="M1790" s="10">
        <v>1</v>
      </c>
      <c r="N1790" s="10"/>
      <c r="O1790" s="10"/>
      <c r="P1790" s="10" t="s">
        <v>14114</v>
      </c>
      <c r="Q1790" s="10">
        <v>374.8</v>
      </c>
      <c r="R1790" s="10" t="s">
        <v>7456</v>
      </c>
      <c r="S1790" s="10" t="s">
        <v>53</v>
      </c>
      <c r="T1790" s="10" t="s">
        <v>54</v>
      </c>
    </row>
    <row r="1791" spans="1:20" ht="14.5" x14ac:dyDescent="0.35">
      <c r="A1791" s="10" t="s">
        <v>14115</v>
      </c>
      <c r="B1791" s="10" t="str">
        <f>"9780826478702"</f>
        <v>9780826478702</v>
      </c>
      <c r="C1791" s="10" t="str">
        <f>"9781441138040"</f>
        <v>9781441138040</v>
      </c>
      <c r="D1791" s="10" t="s">
        <v>13959</v>
      </c>
      <c r="E1791" s="10" t="s">
        <v>13960</v>
      </c>
      <c r="F1791" s="10" t="s">
        <v>139</v>
      </c>
      <c r="G1791" s="10" t="s">
        <v>6352</v>
      </c>
      <c r="H1791" s="11">
        <v>38673</v>
      </c>
      <c r="I1791" s="10">
        <v>2005</v>
      </c>
      <c r="J1791" s="10" t="s">
        <v>13961</v>
      </c>
      <c r="K1791" s="10">
        <v>305</v>
      </c>
      <c r="L1791" s="10" t="s">
        <v>14116</v>
      </c>
      <c r="M1791" s="10">
        <v>1</v>
      </c>
      <c r="N1791" s="10"/>
      <c r="O1791" s="10"/>
      <c r="P1791" s="10" t="s">
        <v>14117</v>
      </c>
      <c r="Q1791" s="10">
        <v>306.43</v>
      </c>
      <c r="R1791" s="10" t="s">
        <v>14118</v>
      </c>
      <c r="S1791" s="10" t="s">
        <v>53</v>
      </c>
      <c r="T1791" s="10" t="s">
        <v>6526</v>
      </c>
    </row>
    <row r="1792" spans="1:20" ht="14.5" x14ac:dyDescent="0.35">
      <c r="A1792" s="10" t="s">
        <v>14119</v>
      </c>
      <c r="B1792" s="10" t="str">
        <f>""</f>
        <v/>
      </c>
      <c r="C1792" s="10" t="str">
        <f>"9781855395381"</f>
        <v>9781855395381</v>
      </c>
      <c r="D1792" s="10" t="s">
        <v>13959</v>
      </c>
      <c r="E1792" s="10" t="s">
        <v>13960</v>
      </c>
      <c r="F1792" s="10" t="s">
        <v>139</v>
      </c>
      <c r="G1792" s="10" t="s">
        <v>6352</v>
      </c>
      <c r="H1792" s="11">
        <v>37043</v>
      </c>
      <c r="I1792" s="10">
        <v>2001</v>
      </c>
      <c r="J1792" s="10" t="s">
        <v>14120</v>
      </c>
      <c r="K1792" s="10">
        <v>385</v>
      </c>
      <c r="L1792" s="10" t="s">
        <v>14121</v>
      </c>
      <c r="M1792" s="10">
        <v>1</v>
      </c>
      <c r="N1792" s="10"/>
      <c r="O1792" s="10"/>
      <c r="P1792" s="10"/>
      <c r="Q1792" s="10">
        <v>374</v>
      </c>
      <c r="R1792" s="10" t="s">
        <v>14122</v>
      </c>
      <c r="S1792" s="10" t="s">
        <v>53</v>
      </c>
      <c r="T1792" s="10" t="s">
        <v>54</v>
      </c>
    </row>
    <row r="1793" spans="1:20" ht="14.5" x14ac:dyDescent="0.35">
      <c r="A1793" s="10" t="s">
        <v>14123</v>
      </c>
      <c r="B1793" s="10" t="str">
        <f>""</f>
        <v/>
      </c>
      <c r="C1793" s="10" t="str">
        <f>"9780826440976"</f>
        <v>9780826440976</v>
      </c>
      <c r="D1793" s="10" t="s">
        <v>13959</v>
      </c>
      <c r="E1793" s="10" t="s">
        <v>13960</v>
      </c>
      <c r="F1793" s="10" t="s">
        <v>139</v>
      </c>
      <c r="G1793" s="10" t="s">
        <v>6352</v>
      </c>
      <c r="H1793" s="11">
        <v>35400</v>
      </c>
      <c r="I1793" s="10">
        <v>1996</v>
      </c>
      <c r="J1793" s="10" t="s">
        <v>13961</v>
      </c>
      <c r="K1793" s="10">
        <v>239</v>
      </c>
      <c r="L1793" s="10" t="s">
        <v>14124</v>
      </c>
      <c r="M1793" s="10">
        <v>1</v>
      </c>
      <c r="N1793" s="10"/>
      <c r="O1793" s="10"/>
      <c r="P1793" s="10" t="s">
        <v>14125</v>
      </c>
      <c r="Q1793" s="10" t="s">
        <v>14126</v>
      </c>
      <c r="R1793" s="10" t="s">
        <v>54</v>
      </c>
      <c r="S1793" s="10" t="s">
        <v>53</v>
      </c>
      <c r="T1793" s="10" t="s">
        <v>54</v>
      </c>
    </row>
    <row r="1794" spans="1:20" ht="14.5" x14ac:dyDescent="0.35">
      <c r="A1794" s="10" t="s">
        <v>14127</v>
      </c>
      <c r="B1794" s="10" t="str">
        <f>"9780304700929"</f>
        <v>9780304700929</v>
      </c>
      <c r="C1794" s="10" t="str">
        <f>"9781847140470"</f>
        <v>9781847140470</v>
      </c>
      <c r="D1794" s="10" t="s">
        <v>13959</v>
      </c>
      <c r="E1794" s="10" t="s">
        <v>13960</v>
      </c>
      <c r="F1794" s="10" t="s">
        <v>139</v>
      </c>
      <c r="G1794" s="10" t="s">
        <v>6352</v>
      </c>
      <c r="H1794" s="11">
        <v>35735</v>
      </c>
      <c r="I1794" s="10">
        <v>2000</v>
      </c>
      <c r="J1794" s="10" t="s">
        <v>13960</v>
      </c>
      <c r="K1794" s="10">
        <v>231</v>
      </c>
      <c r="L1794" s="10" t="s">
        <v>9060</v>
      </c>
      <c r="M1794" s="10">
        <v>1</v>
      </c>
      <c r="N1794" s="10"/>
      <c r="O1794" s="10"/>
      <c r="P1794" s="10" t="s">
        <v>14128</v>
      </c>
      <c r="Q1794" s="10" t="s">
        <v>14129</v>
      </c>
      <c r="R1794" s="10" t="s">
        <v>14130</v>
      </c>
      <c r="S1794" s="10" t="s">
        <v>53</v>
      </c>
      <c r="T1794" s="10" t="s">
        <v>6601</v>
      </c>
    </row>
    <row r="1795" spans="1:20" ht="14.5" x14ac:dyDescent="0.35">
      <c r="A1795" s="10" t="s">
        <v>14131</v>
      </c>
      <c r="B1795" s="10" t="str">
        <f>"9780826477729"</f>
        <v>9780826477729</v>
      </c>
      <c r="C1795" s="10" t="str">
        <f>"9781847144621"</f>
        <v>9781847144621</v>
      </c>
      <c r="D1795" s="10" t="s">
        <v>13959</v>
      </c>
      <c r="E1795" s="10" t="s">
        <v>13960</v>
      </c>
      <c r="F1795" s="10" t="s">
        <v>139</v>
      </c>
      <c r="G1795" s="10" t="s">
        <v>6352</v>
      </c>
      <c r="H1795" s="11">
        <v>38344</v>
      </c>
      <c r="I1795" s="10">
        <v>2010</v>
      </c>
      <c r="J1795" s="10" t="s">
        <v>13960</v>
      </c>
      <c r="K1795" s="10">
        <v>286</v>
      </c>
      <c r="L1795" s="10" t="s">
        <v>14132</v>
      </c>
      <c r="M1795" s="10">
        <v>1</v>
      </c>
      <c r="N1795" s="10"/>
      <c r="O1795" s="10"/>
      <c r="P1795" s="10" t="s">
        <v>14133</v>
      </c>
      <c r="Q1795" s="10">
        <v>371.20699999999999</v>
      </c>
      <c r="R1795" s="10" t="s">
        <v>14134</v>
      </c>
      <c r="S1795" s="10" t="s">
        <v>53</v>
      </c>
      <c r="T1795" s="10" t="s">
        <v>54</v>
      </c>
    </row>
    <row r="1796" spans="1:20" ht="14.5" x14ac:dyDescent="0.35">
      <c r="A1796" s="10" t="s">
        <v>14135</v>
      </c>
      <c r="B1796" s="10" t="str">
        <f>"9781850754305"</f>
        <v>9781850754305</v>
      </c>
      <c r="C1796" s="10" t="str">
        <f>"9781847141651"</f>
        <v>9781847141651</v>
      </c>
      <c r="D1796" s="10" t="s">
        <v>13959</v>
      </c>
      <c r="E1796" s="10" t="s">
        <v>13960</v>
      </c>
      <c r="F1796" s="10" t="s">
        <v>139</v>
      </c>
      <c r="G1796" s="10" t="s">
        <v>6352</v>
      </c>
      <c r="H1796" s="11">
        <v>34090</v>
      </c>
      <c r="I1796" s="10">
        <v>1993</v>
      </c>
      <c r="J1796" s="10" t="s">
        <v>13960</v>
      </c>
      <c r="K1796" s="10">
        <v>168</v>
      </c>
      <c r="L1796" s="10" t="s">
        <v>14136</v>
      </c>
      <c r="M1796" s="10">
        <v>1</v>
      </c>
      <c r="N1796" s="10"/>
      <c r="O1796" s="10"/>
      <c r="P1796" s="10" t="s">
        <v>14137</v>
      </c>
      <c r="Q1796" s="10">
        <v>199.43700000000001</v>
      </c>
      <c r="R1796" s="10" t="s">
        <v>14138</v>
      </c>
      <c r="S1796" s="10" t="s">
        <v>53</v>
      </c>
      <c r="T1796" s="10" t="s">
        <v>12015</v>
      </c>
    </row>
    <row r="1797" spans="1:20" ht="14.5" x14ac:dyDescent="0.35">
      <c r="A1797" s="10" t="s">
        <v>14139</v>
      </c>
      <c r="B1797" s="10" t="str">
        <f>"9780826488329"</f>
        <v>9780826488329</v>
      </c>
      <c r="C1797" s="10" t="str">
        <f>"9780826446602"</f>
        <v>9780826446602</v>
      </c>
      <c r="D1797" s="10" t="s">
        <v>13959</v>
      </c>
      <c r="E1797" s="10" t="s">
        <v>13960</v>
      </c>
      <c r="F1797" s="10" t="s">
        <v>139</v>
      </c>
      <c r="G1797" s="10" t="s">
        <v>6352</v>
      </c>
      <c r="H1797" s="11">
        <v>38645</v>
      </c>
      <c r="I1797" s="10">
        <v>2005</v>
      </c>
      <c r="J1797" s="10" t="s">
        <v>13961</v>
      </c>
      <c r="K1797" s="10">
        <v>181</v>
      </c>
      <c r="L1797" s="10" t="s">
        <v>14140</v>
      </c>
      <c r="M1797" s="10">
        <v>1</v>
      </c>
      <c r="N1797" s="10"/>
      <c r="O1797" s="10"/>
      <c r="P1797" s="10" t="s">
        <v>14141</v>
      </c>
      <c r="Q1797" s="10" t="s">
        <v>14142</v>
      </c>
      <c r="R1797" s="10" t="s">
        <v>14143</v>
      </c>
      <c r="S1797" s="10" t="s">
        <v>53</v>
      </c>
      <c r="T1797" s="10" t="s">
        <v>54</v>
      </c>
    </row>
    <row r="1798" spans="1:20" ht="14.5" x14ac:dyDescent="0.35">
      <c r="A1798" s="10" t="s">
        <v>14144</v>
      </c>
      <c r="B1798" s="10" t="str">
        <f>"9780826484680"</f>
        <v>9780826484680</v>
      </c>
      <c r="C1798" s="10" t="str">
        <f>"9780826425157"</f>
        <v>9780826425157</v>
      </c>
      <c r="D1798" s="10" t="s">
        <v>13959</v>
      </c>
      <c r="E1798" s="10" t="s">
        <v>13960</v>
      </c>
      <c r="F1798" s="10" t="s">
        <v>139</v>
      </c>
      <c r="G1798" s="10" t="s">
        <v>6352</v>
      </c>
      <c r="H1798" s="11">
        <v>38706</v>
      </c>
      <c r="I1798" s="10">
        <v>2005</v>
      </c>
      <c r="J1798" s="10" t="s">
        <v>13961</v>
      </c>
      <c r="K1798" s="10">
        <v>241</v>
      </c>
      <c r="L1798" s="10" t="s">
        <v>14145</v>
      </c>
      <c r="M1798" s="10">
        <v>1</v>
      </c>
      <c r="N1798" s="10"/>
      <c r="O1798" s="10"/>
      <c r="P1798" s="10" t="s">
        <v>14146</v>
      </c>
      <c r="Q1798" s="10">
        <v>370.92200000000003</v>
      </c>
      <c r="R1798" s="10" t="s">
        <v>14147</v>
      </c>
      <c r="S1798" s="10" t="s">
        <v>53</v>
      </c>
      <c r="T1798" s="10" t="s">
        <v>54</v>
      </c>
    </row>
    <row r="1799" spans="1:20" ht="14.5" x14ac:dyDescent="0.35">
      <c r="A1799" s="10" t="s">
        <v>14148</v>
      </c>
      <c r="B1799" s="10" t="str">
        <f>"9781847060396"</f>
        <v>9781847060396</v>
      </c>
      <c r="C1799" s="10" t="str">
        <f>"9781847143181"</f>
        <v>9781847143181</v>
      </c>
      <c r="D1799" s="10" t="s">
        <v>13959</v>
      </c>
      <c r="E1799" s="10" t="s">
        <v>13960</v>
      </c>
      <c r="F1799" s="10" t="s">
        <v>139</v>
      </c>
      <c r="G1799" s="10" t="s">
        <v>6352</v>
      </c>
      <c r="H1799" s="11">
        <v>39588</v>
      </c>
      <c r="I1799" s="10">
        <v>2006</v>
      </c>
      <c r="J1799" s="10" t="s">
        <v>13960</v>
      </c>
      <c r="K1799" s="10">
        <v>219</v>
      </c>
      <c r="L1799" s="10" t="s">
        <v>14149</v>
      </c>
      <c r="M1799" s="10">
        <v>1</v>
      </c>
      <c r="N1799" s="10"/>
      <c r="O1799" s="10"/>
      <c r="P1799" s="10" t="s">
        <v>14150</v>
      </c>
      <c r="Q1799" s="10">
        <v>370.19</v>
      </c>
      <c r="R1799" s="10" t="s">
        <v>14151</v>
      </c>
      <c r="S1799" s="10" t="s">
        <v>53</v>
      </c>
      <c r="T1799" s="10" t="s">
        <v>54</v>
      </c>
    </row>
    <row r="1800" spans="1:20" ht="14.5" x14ac:dyDescent="0.35">
      <c r="A1800" s="10" t="s">
        <v>14152</v>
      </c>
      <c r="B1800" s="10" t="str">
        <f>"9780826465863"</f>
        <v>9780826465863</v>
      </c>
      <c r="C1800" s="10" t="str">
        <f>"9781441144768"</f>
        <v>9781441144768</v>
      </c>
      <c r="D1800" s="10" t="s">
        <v>13959</v>
      </c>
      <c r="E1800" s="10" t="s">
        <v>13960</v>
      </c>
      <c r="F1800" s="10" t="s">
        <v>139</v>
      </c>
      <c r="G1800" s="10" t="s">
        <v>6352</v>
      </c>
      <c r="H1800" s="11">
        <v>37682</v>
      </c>
      <c r="I1800" s="10">
        <v>2003</v>
      </c>
      <c r="J1800" s="10" t="s">
        <v>13961</v>
      </c>
      <c r="K1800" s="10">
        <v>269</v>
      </c>
      <c r="L1800" s="10" t="s">
        <v>14153</v>
      </c>
      <c r="M1800" s="10">
        <v>1</v>
      </c>
      <c r="N1800" s="10"/>
      <c r="O1800" s="10"/>
      <c r="P1800" s="10" t="s">
        <v>14154</v>
      </c>
      <c r="Q1800" s="10">
        <v>300.72000000000003</v>
      </c>
      <c r="R1800" s="10" t="s">
        <v>14155</v>
      </c>
      <c r="S1800" s="10" t="s">
        <v>53</v>
      </c>
      <c r="T1800" s="10" t="s">
        <v>6363</v>
      </c>
    </row>
    <row r="1801" spans="1:20" ht="14.5" x14ac:dyDescent="0.35">
      <c r="A1801" s="10" t="s">
        <v>14156</v>
      </c>
      <c r="B1801" s="10" t="str">
        <f>"9780826453655"</f>
        <v>9780826453655</v>
      </c>
      <c r="C1801" s="10" t="str">
        <f>"9781847143600"</f>
        <v>9781847143600</v>
      </c>
      <c r="D1801" s="10" t="s">
        <v>13959</v>
      </c>
      <c r="E1801" s="10" t="s">
        <v>13960</v>
      </c>
      <c r="F1801" s="10" t="s">
        <v>139</v>
      </c>
      <c r="G1801" s="10" t="s">
        <v>6352</v>
      </c>
      <c r="H1801" s="11">
        <v>37032</v>
      </c>
      <c r="I1801" s="10">
        <v>2001</v>
      </c>
      <c r="J1801" s="10" t="s">
        <v>13960</v>
      </c>
      <c r="K1801" s="10">
        <v>225</v>
      </c>
      <c r="L1801" s="10" t="s">
        <v>14157</v>
      </c>
      <c r="M1801" s="10">
        <v>2</v>
      </c>
      <c r="N1801" s="10"/>
      <c r="O1801" s="10"/>
      <c r="P1801" s="10" t="s">
        <v>14158</v>
      </c>
      <c r="Q1801" s="10" t="s">
        <v>14159</v>
      </c>
      <c r="R1801" s="10" t="s">
        <v>6392</v>
      </c>
      <c r="S1801" s="10" t="s">
        <v>53</v>
      </c>
      <c r="T1801" s="10" t="s">
        <v>54</v>
      </c>
    </row>
    <row r="1802" spans="1:20" ht="14.5" x14ac:dyDescent="0.35">
      <c r="A1802" s="10" t="s">
        <v>14160</v>
      </c>
      <c r="B1802" s="10" t="str">
        <f>"9780304705153"</f>
        <v>9780304705153</v>
      </c>
      <c r="C1802" s="10" t="str">
        <f>"9780826441959"</f>
        <v>9780826441959</v>
      </c>
      <c r="D1802" s="10" t="s">
        <v>13959</v>
      </c>
      <c r="E1802" s="10" t="s">
        <v>13960</v>
      </c>
      <c r="F1802" s="10" t="s">
        <v>139</v>
      </c>
      <c r="G1802" s="10" t="s">
        <v>6352</v>
      </c>
      <c r="H1802" s="11">
        <v>36308</v>
      </c>
      <c r="I1802" s="10">
        <v>1999</v>
      </c>
      <c r="J1802" s="10" t="s">
        <v>13961</v>
      </c>
      <c r="K1802" s="10">
        <v>225</v>
      </c>
      <c r="L1802" s="10" t="s">
        <v>14161</v>
      </c>
      <c r="M1802" s="10">
        <v>1</v>
      </c>
      <c r="N1802" s="10"/>
      <c r="O1802" s="10"/>
      <c r="P1802" s="10" t="s">
        <v>14162</v>
      </c>
      <c r="Q1802" s="10" t="s">
        <v>11202</v>
      </c>
      <c r="R1802" s="10" t="s">
        <v>7034</v>
      </c>
      <c r="S1802" s="10" t="s">
        <v>53</v>
      </c>
      <c r="T1802" s="10" t="s">
        <v>54</v>
      </c>
    </row>
    <row r="1803" spans="1:20" ht="14.5" x14ac:dyDescent="0.35">
      <c r="A1803" s="10" t="s">
        <v>14163</v>
      </c>
      <c r="B1803" s="10" t="str">
        <f>"9781847063533"</f>
        <v>9781847063533</v>
      </c>
      <c r="C1803" s="10" t="str">
        <f>"9781847142276"</f>
        <v>9781847142276</v>
      </c>
      <c r="D1803" s="10" t="s">
        <v>13959</v>
      </c>
      <c r="E1803" s="10" t="s">
        <v>13960</v>
      </c>
      <c r="F1803" s="10" t="s">
        <v>139</v>
      </c>
      <c r="G1803" s="10" t="s">
        <v>6352</v>
      </c>
      <c r="H1803" s="11">
        <v>39630</v>
      </c>
      <c r="I1803" s="10">
        <v>2006</v>
      </c>
      <c r="J1803" s="10" t="s">
        <v>13960</v>
      </c>
      <c r="K1803" s="10">
        <v>225</v>
      </c>
      <c r="L1803" s="10" t="s">
        <v>14164</v>
      </c>
      <c r="M1803" s="10">
        <v>1</v>
      </c>
      <c r="N1803" s="10"/>
      <c r="O1803" s="10"/>
      <c r="P1803" s="10" t="s">
        <v>14165</v>
      </c>
      <c r="Q1803" s="10">
        <v>372.35041999999999</v>
      </c>
      <c r="R1803" s="10" t="s">
        <v>14166</v>
      </c>
      <c r="S1803" s="10" t="s">
        <v>53</v>
      </c>
      <c r="T1803" s="10" t="s">
        <v>54</v>
      </c>
    </row>
    <row r="1804" spans="1:20" ht="14.5" x14ac:dyDescent="0.35">
      <c r="A1804" s="10" t="s">
        <v>14167</v>
      </c>
      <c r="B1804" s="10" t="str">
        <f>"9780826491503"</f>
        <v>9780826491503</v>
      </c>
      <c r="C1804" s="10" t="str">
        <f>"9781847143891"</f>
        <v>9781847143891</v>
      </c>
      <c r="D1804" s="10" t="s">
        <v>13959</v>
      </c>
      <c r="E1804" s="10" t="s">
        <v>13960</v>
      </c>
      <c r="F1804" s="10" t="s">
        <v>139</v>
      </c>
      <c r="G1804" s="10" t="s">
        <v>6352</v>
      </c>
      <c r="H1804" s="11">
        <v>39065</v>
      </c>
      <c r="I1804" s="10">
        <v>2006</v>
      </c>
      <c r="J1804" s="10" t="s">
        <v>13960</v>
      </c>
      <c r="K1804" s="10">
        <v>172</v>
      </c>
      <c r="L1804" s="10" t="s">
        <v>14168</v>
      </c>
      <c r="M1804" s="10">
        <v>1</v>
      </c>
      <c r="N1804" s="10" t="s">
        <v>14169</v>
      </c>
      <c r="O1804" s="10"/>
      <c r="P1804" s="10" t="s">
        <v>14170</v>
      </c>
      <c r="Q1804" s="10">
        <v>207.501</v>
      </c>
      <c r="R1804" s="10" t="s">
        <v>14171</v>
      </c>
      <c r="S1804" s="10" t="s">
        <v>53</v>
      </c>
      <c r="T1804" s="10" t="s">
        <v>8346</v>
      </c>
    </row>
    <row r="1805" spans="1:20" ht="14.5" x14ac:dyDescent="0.35">
      <c r="A1805" s="10" t="s">
        <v>14172</v>
      </c>
      <c r="B1805" s="10" t="str">
        <f>"9780304328727"</f>
        <v>9780304328727</v>
      </c>
      <c r="C1805" s="10" t="str">
        <f>"9781847141545"</f>
        <v>9781847141545</v>
      </c>
      <c r="D1805" s="10" t="s">
        <v>13959</v>
      </c>
      <c r="E1805" s="10" t="s">
        <v>13960</v>
      </c>
      <c r="F1805" s="10" t="s">
        <v>139</v>
      </c>
      <c r="G1805" s="10" t="s">
        <v>6352</v>
      </c>
      <c r="H1805" s="11">
        <v>35765</v>
      </c>
      <c r="I1805" s="10">
        <v>1997</v>
      </c>
      <c r="J1805" s="10" t="s">
        <v>13960</v>
      </c>
      <c r="K1805" s="10">
        <v>238</v>
      </c>
      <c r="L1805" s="10" t="s">
        <v>14173</v>
      </c>
      <c r="M1805" s="10">
        <v>1</v>
      </c>
      <c r="N1805" s="10"/>
      <c r="O1805" s="10"/>
      <c r="P1805" s="10" t="s">
        <v>14174</v>
      </c>
      <c r="Q1805" s="10" t="s">
        <v>13964</v>
      </c>
      <c r="R1805" s="10" t="s">
        <v>14175</v>
      </c>
      <c r="S1805" s="10" t="s">
        <v>53</v>
      </c>
      <c r="T1805" s="10" t="s">
        <v>54</v>
      </c>
    </row>
    <row r="1806" spans="1:20" ht="14.5" x14ac:dyDescent="0.35">
      <c r="A1806" s="10" t="s">
        <v>14176</v>
      </c>
      <c r="B1806" s="10" t="str">
        <f>"9780826453716"</f>
        <v>9780826453716</v>
      </c>
      <c r="C1806" s="10" t="str">
        <f>"9780826425997"</f>
        <v>9780826425997</v>
      </c>
      <c r="D1806" s="10" t="s">
        <v>13959</v>
      </c>
      <c r="E1806" s="10" t="s">
        <v>13960</v>
      </c>
      <c r="F1806" s="10" t="s">
        <v>139</v>
      </c>
      <c r="G1806" s="10" t="s">
        <v>6352</v>
      </c>
      <c r="H1806" s="11">
        <v>37652</v>
      </c>
      <c r="I1806" s="10">
        <v>2003</v>
      </c>
      <c r="J1806" s="10" t="s">
        <v>13961</v>
      </c>
      <c r="K1806" s="10">
        <v>325</v>
      </c>
      <c r="L1806" s="10" t="s">
        <v>14177</v>
      </c>
      <c r="M1806" s="10">
        <v>1</v>
      </c>
      <c r="N1806" s="10" t="s">
        <v>13988</v>
      </c>
      <c r="O1806" s="10"/>
      <c r="P1806" s="10" t="s">
        <v>14178</v>
      </c>
      <c r="Q1806" s="10">
        <v>418</v>
      </c>
      <c r="R1806" s="10" t="s">
        <v>7288</v>
      </c>
      <c r="S1806" s="10" t="s">
        <v>53</v>
      </c>
      <c r="T1806" s="10" t="s">
        <v>6616</v>
      </c>
    </row>
    <row r="1807" spans="1:20" ht="14.5" x14ac:dyDescent="0.35">
      <c r="A1807" s="10" t="s">
        <v>14179</v>
      </c>
      <c r="B1807" s="10" t="str">
        <f>"9780304334971"</f>
        <v>9780304334971</v>
      </c>
      <c r="C1807" s="10" t="str">
        <f>"9781847141668"</f>
        <v>9781847141668</v>
      </c>
      <c r="D1807" s="10" t="s">
        <v>13959</v>
      </c>
      <c r="E1807" s="10" t="s">
        <v>13960</v>
      </c>
      <c r="F1807" s="10" t="s">
        <v>139</v>
      </c>
      <c r="G1807" s="10" t="s">
        <v>6352</v>
      </c>
      <c r="H1807" s="11">
        <v>36063</v>
      </c>
      <c r="I1807" s="10">
        <v>1997</v>
      </c>
      <c r="J1807" s="10" t="s">
        <v>13961</v>
      </c>
      <c r="K1807" s="10">
        <v>161</v>
      </c>
      <c r="L1807" s="10" t="s">
        <v>14180</v>
      </c>
      <c r="M1807" s="10">
        <v>1</v>
      </c>
      <c r="N1807" s="10"/>
      <c r="O1807" s="10"/>
      <c r="P1807" s="10" t="s">
        <v>14181</v>
      </c>
      <c r="Q1807" s="10">
        <v>370</v>
      </c>
      <c r="R1807" s="10" t="s">
        <v>14182</v>
      </c>
      <c r="S1807" s="10" t="s">
        <v>53</v>
      </c>
      <c r="T1807" s="10" t="s">
        <v>54</v>
      </c>
    </row>
    <row r="1808" spans="1:20" ht="14.5" x14ac:dyDescent="0.35">
      <c r="A1808" s="10" t="s">
        <v>14183</v>
      </c>
      <c r="B1808" s="10" t="str">
        <f>"9780304328888"</f>
        <v>9780304328888</v>
      </c>
      <c r="C1808" s="10" t="str">
        <f>"9781847140760"</f>
        <v>9781847140760</v>
      </c>
      <c r="D1808" s="10" t="s">
        <v>13959</v>
      </c>
      <c r="E1808" s="10" t="s">
        <v>13960</v>
      </c>
      <c r="F1808" s="10" t="s">
        <v>139</v>
      </c>
      <c r="G1808" s="10" t="s">
        <v>6352</v>
      </c>
      <c r="H1808" s="11">
        <v>35956</v>
      </c>
      <c r="I1808" s="10">
        <v>1998</v>
      </c>
      <c r="J1808" s="10" t="s">
        <v>13960</v>
      </c>
      <c r="K1808" s="10">
        <v>255</v>
      </c>
      <c r="L1808" s="10" t="s">
        <v>14184</v>
      </c>
      <c r="M1808" s="10">
        <v>1</v>
      </c>
      <c r="N1808" s="10"/>
      <c r="O1808" s="10"/>
      <c r="P1808" s="10" t="s">
        <v>14185</v>
      </c>
      <c r="Q1808" s="10">
        <v>370</v>
      </c>
      <c r="R1808" s="10" t="s">
        <v>14186</v>
      </c>
      <c r="S1808" s="10" t="s">
        <v>53</v>
      </c>
      <c r="T1808" s="10" t="s">
        <v>54</v>
      </c>
    </row>
    <row r="1809" spans="1:20" ht="14.5" x14ac:dyDescent="0.35">
      <c r="A1809" s="10" t="s">
        <v>14187</v>
      </c>
      <c r="B1809" s="10" t="str">
        <f>"9780826454751"</f>
        <v>9780826454751</v>
      </c>
      <c r="C1809" s="10" t="str">
        <f>"9781847143037"</f>
        <v>9781847143037</v>
      </c>
      <c r="D1809" s="10" t="s">
        <v>13959</v>
      </c>
      <c r="E1809" s="10" t="s">
        <v>13960</v>
      </c>
      <c r="F1809" s="10" t="s">
        <v>139</v>
      </c>
      <c r="G1809" s="10" t="s">
        <v>6352</v>
      </c>
      <c r="H1809" s="11">
        <v>37491</v>
      </c>
      <c r="I1809" s="10">
        <v>2002</v>
      </c>
      <c r="J1809" s="10" t="s">
        <v>13960</v>
      </c>
      <c r="K1809" s="10">
        <v>284</v>
      </c>
      <c r="L1809" s="10" t="s">
        <v>14188</v>
      </c>
      <c r="M1809" s="10">
        <v>2</v>
      </c>
      <c r="N1809" s="10" t="s">
        <v>14189</v>
      </c>
      <c r="O1809" s="10"/>
      <c r="P1809" s="10" t="s">
        <v>14190</v>
      </c>
      <c r="Q1809" s="10" t="s">
        <v>14191</v>
      </c>
      <c r="R1809" s="10" t="s">
        <v>14192</v>
      </c>
      <c r="S1809" s="10" t="s">
        <v>53</v>
      </c>
      <c r="T1809" s="10" t="s">
        <v>6363</v>
      </c>
    </row>
    <row r="1810" spans="1:20" ht="14.5" x14ac:dyDescent="0.35">
      <c r="A1810" s="10" t="s">
        <v>14193</v>
      </c>
      <c r="B1810" s="10" t="str">
        <f>""</f>
        <v/>
      </c>
      <c r="C1810" s="10" t="str">
        <f>"9780826462367"</f>
        <v>9780826462367</v>
      </c>
      <c r="D1810" s="10" t="s">
        <v>13959</v>
      </c>
      <c r="E1810" s="10" t="s">
        <v>13960</v>
      </c>
      <c r="F1810" s="10" t="s">
        <v>139</v>
      </c>
      <c r="G1810" s="10" t="s">
        <v>6352</v>
      </c>
      <c r="H1810" s="11">
        <v>35509</v>
      </c>
      <c r="I1810" s="10">
        <v>1997</v>
      </c>
      <c r="J1810" s="10" t="s">
        <v>13961</v>
      </c>
      <c r="K1810" s="10">
        <v>273</v>
      </c>
      <c r="L1810" s="10" t="s">
        <v>14194</v>
      </c>
      <c r="M1810" s="10">
        <v>1</v>
      </c>
      <c r="N1810" s="10"/>
      <c r="O1810" s="10"/>
      <c r="P1810" s="10" t="s">
        <v>14195</v>
      </c>
      <c r="Q1810" s="10"/>
      <c r="R1810" s="10" t="s">
        <v>14196</v>
      </c>
      <c r="S1810" s="10" t="s">
        <v>53</v>
      </c>
      <c r="T1810" s="10" t="s">
        <v>54</v>
      </c>
    </row>
    <row r="1811" spans="1:20" ht="14.5" x14ac:dyDescent="0.35">
      <c r="A1811" s="10" t="s">
        <v>14197</v>
      </c>
      <c r="B1811" s="10" t="str">
        <f>"9780826477705"</f>
        <v>9780826477705</v>
      </c>
      <c r="C1811" s="10" t="str">
        <f>"9781847144560"</f>
        <v>9781847144560</v>
      </c>
      <c r="D1811" s="10" t="s">
        <v>13959</v>
      </c>
      <c r="E1811" s="10" t="s">
        <v>13960</v>
      </c>
      <c r="F1811" s="10" t="s">
        <v>139</v>
      </c>
      <c r="G1811" s="10" t="s">
        <v>6352</v>
      </c>
      <c r="H1811" s="11">
        <v>38261</v>
      </c>
      <c r="I1811" s="10">
        <v>2004</v>
      </c>
      <c r="J1811" s="10" t="s">
        <v>13960</v>
      </c>
      <c r="K1811" s="10">
        <v>245</v>
      </c>
      <c r="L1811" s="10" t="s">
        <v>14198</v>
      </c>
      <c r="M1811" s="10">
        <v>1</v>
      </c>
      <c r="N1811" s="10"/>
      <c r="O1811" s="10"/>
      <c r="P1811" s="10" t="s">
        <v>14199</v>
      </c>
      <c r="Q1811" s="10" t="s">
        <v>6538</v>
      </c>
      <c r="R1811" s="10" t="s">
        <v>14200</v>
      </c>
      <c r="S1811" s="10" t="s">
        <v>53</v>
      </c>
      <c r="T1811" s="10" t="s">
        <v>389</v>
      </c>
    </row>
    <row r="1812" spans="1:20" ht="14.5" x14ac:dyDescent="0.35">
      <c r="A1812" s="10" t="s">
        <v>14201</v>
      </c>
      <c r="B1812" s="10" t="str">
        <f>"9780826477484"</f>
        <v>9780826477484</v>
      </c>
      <c r="C1812" s="10" t="str">
        <f>"9781847144485"</f>
        <v>9781847144485</v>
      </c>
      <c r="D1812" s="10" t="s">
        <v>13959</v>
      </c>
      <c r="E1812" s="10" t="s">
        <v>13960</v>
      </c>
      <c r="F1812" s="10" t="s">
        <v>139</v>
      </c>
      <c r="G1812" s="10" t="s">
        <v>6352</v>
      </c>
      <c r="H1812" s="11">
        <v>38351</v>
      </c>
      <c r="I1812" s="10">
        <v>2004</v>
      </c>
      <c r="J1812" s="10" t="s">
        <v>13960</v>
      </c>
      <c r="K1812" s="10">
        <v>203</v>
      </c>
      <c r="L1812" s="10" t="s">
        <v>14202</v>
      </c>
      <c r="M1812" s="10">
        <v>1</v>
      </c>
      <c r="N1812" s="10"/>
      <c r="O1812" s="10"/>
      <c r="P1812" s="10" t="s">
        <v>14203</v>
      </c>
      <c r="Q1812" s="10" t="s">
        <v>6538</v>
      </c>
      <c r="R1812" s="10" t="s">
        <v>14204</v>
      </c>
      <c r="S1812" s="10" t="s">
        <v>53</v>
      </c>
      <c r="T1812" s="10" t="s">
        <v>389</v>
      </c>
    </row>
    <row r="1813" spans="1:20" ht="14.5" x14ac:dyDescent="0.35">
      <c r="A1813" s="10" t="s">
        <v>14205</v>
      </c>
      <c r="B1813" s="10" t="str">
        <f>"9780826478726"</f>
        <v>9780826478726</v>
      </c>
      <c r="C1813" s="10" t="str">
        <f>"9781847143945"</f>
        <v>9781847143945</v>
      </c>
      <c r="D1813" s="10" t="s">
        <v>13959</v>
      </c>
      <c r="E1813" s="10" t="s">
        <v>13960</v>
      </c>
      <c r="F1813" s="10" t="s">
        <v>139</v>
      </c>
      <c r="G1813" s="10" t="s">
        <v>6352</v>
      </c>
      <c r="H1813" s="11">
        <v>38586</v>
      </c>
      <c r="I1813" s="10">
        <v>2005</v>
      </c>
      <c r="J1813" s="10" t="s">
        <v>13960</v>
      </c>
      <c r="K1813" s="10">
        <v>365</v>
      </c>
      <c r="L1813" s="10" t="s">
        <v>14206</v>
      </c>
      <c r="M1813" s="10">
        <v>1</v>
      </c>
      <c r="N1813" s="10"/>
      <c r="O1813" s="10"/>
      <c r="P1813" s="10" t="s">
        <v>14207</v>
      </c>
      <c r="Q1813" s="10">
        <v>372.6</v>
      </c>
      <c r="R1813" s="10" t="s">
        <v>14208</v>
      </c>
      <c r="S1813" s="10" t="s">
        <v>53</v>
      </c>
      <c r="T1813" s="10" t="s">
        <v>54</v>
      </c>
    </row>
    <row r="1814" spans="1:20" ht="14.5" x14ac:dyDescent="0.35">
      <c r="A1814" s="10" t="s">
        <v>14209</v>
      </c>
      <c r="B1814" s="10" t="str">
        <f>"9780826475886"</f>
        <v>9780826475886</v>
      </c>
      <c r="C1814" s="10" t="str">
        <f>"9781441179159"</f>
        <v>9781441179159</v>
      </c>
      <c r="D1814" s="10" t="s">
        <v>13959</v>
      </c>
      <c r="E1814" s="10" t="s">
        <v>13960</v>
      </c>
      <c r="F1814" s="10" t="s">
        <v>139</v>
      </c>
      <c r="G1814" s="10" t="s">
        <v>6352</v>
      </c>
      <c r="H1814" s="11">
        <v>36951</v>
      </c>
      <c r="I1814" s="10">
        <v>2001</v>
      </c>
      <c r="J1814" s="10" t="s">
        <v>13961</v>
      </c>
      <c r="K1814" s="10">
        <v>345</v>
      </c>
      <c r="L1814" s="10" t="s">
        <v>14210</v>
      </c>
      <c r="M1814" s="10">
        <v>1</v>
      </c>
      <c r="N1814" s="10"/>
      <c r="O1814" s="10"/>
      <c r="P1814" s="10" t="s">
        <v>14211</v>
      </c>
      <c r="Q1814" s="10">
        <v>372.42</v>
      </c>
      <c r="R1814" s="10" t="s">
        <v>14212</v>
      </c>
      <c r="S1814" s="10" t="s">
        <v>53</v>
      </c>
      <c r="T1814" s="10" t="s">
        <v>6526</v>
      </c>
    </row>
    <row r="1815" spans="1:20" ht="14.5" x14ac:dyDescent="0.35">
      <c r="A1815" s="10" t="s">
        <v>14213</v>
      </c>
      <c r="B1815" s="10" t="str">
        <f>"9780304337828"</f>
        <v>9780304337828</v>
      </c>
      <c r="C1815" s="10" t="str">
        <f>"9781847142818"</f>
        <v>9781847142818</v>
      </c>
      <c r="D1815" s="10" t="s">
        <v>13959</v>
      </c>
      <c r="E1815" s="10" t="s">
        <v>13960</v>
      </c>
      <c r="F1815" s="10" t="s">
        <v>139</v>
      </c>
      <c r="G1815" s="10" t="s">
        <v>6352</v>
      </c>
      <c r="H1815" s="11">
        <v>36066</v>
      </c>
      <c r="I1815" s="10">
        <v>1998</v>
      </c>
      <c r="J1815" s="10" t="s">
        <v>13960</v>
      </c>
      <c r="K1815" s="10">
        <v>160</v>
      </c>
      <c r="L1815" s="10" t="s">
        <v>14214</v>
      </c>
      <c r="M1815" s="10">
        <v>1</v>
      </c>
      <c r="N1815" s="10"/>
      <c r="O1815" s="10"/>
      <c r="P1815" s="10" t="s">
        <v>14215</v>
      </c>
      <c r="Q1815" s="10">
        <v>420.7</v>
      </c>
      <c r="R1815" s="10" t="s">
        <v>14216</v>
      </c>
      <c r="S1815" s="10" t="s">
        <v>53</v>
      </c>
      <c r="T1815" s="10" t="s">
        <v>6634</v>
      </c>
    </row>
    <row r="1816" spans="1:20" ht="14.5" x14ac:dyDescent="0.35">
      <c r="A1816" s="10" t="s">
        <v>14217</v>
      </c>
      <c r="B1816" s="10" t="str">
        <f>"9780826487087"</f>
        <v>9780826487087</v>
      </c>
      <c r="C1816" s="10" t="str">
        <f>"9781441127754"</f>
        <v>9781441127754</v>
      </c>
      <c r="D1816" s="10" t="s">
        <v>13959</v>
      </c>
      <c r="E1816" s="10" t="s">
        <v>13960</v>
      </c>
      <c r="F1816" s="10" t="s">
        <v>139</v>
      </c>
      <c r="G1816" s="10" t="s">
        <v>6352</v>
      </c>
      <c r="H1816" s="11">
        <v>38651</v>
      </c>
      <c r="I1816" s="10">
        <v>2005</v>
      </c>
      <c r="J1816" s="10" t="s">
        <v>13961</v>
      </c>
      <c r="K1816" s="10">
        <v>289</v>
      </c>
      <c r="L1816" s="10" t="s">
        <v>14218</v>
      </c>
      <c r="M1816" s="10">
        <v>1</v>
      </c>
      <c r="N1816" s="10"/>
      <c r="O1816" s="10"/>
      <c r="P1816" s="10" t="s">
        <v>14219</v>
      </c>
      <c r="Q1816" s="10">
        <v>370.1</v>
      </c>
      <c r="R1816" s="10" t="s">
        <v>14220</v>
      </c>
      <c r="S1816" s="10" t="s">
        <v>53</v>
      </c>
      <c r="T1816" s="10" t="s">
        <v>54</v>
      </c>
    </row>
    <row r="1817" spans="1:20" ht="14.5" x14ac:dyDescent="0.35">
      <c r="A1817" s="10" t="s">
        <v>14221</v>
      </c>
      <c r="B1817" s="10" t="str">
        <f>"9780826470713"</f>
        <v>9780826470713</v>
      </c>
      <c r="C1817" s="10" t="str">
        <f>"9781847144652"</f>
        <v>9781847144652</v>
      </c>
      <c r="D1817" s="10" t="s">
        <v>13959</v>
      </c>
      <c r="E1817" s="10" t="s">
        <v>13960</v>
      </c>
      <c r="F1817" s="10" t="s">
        <v>139</v>
      </c>
      <c r="G1817" s="10" t="s">
        <v>6352</v>
      </c>
      <c r="H1817" s="11">
        <v>37926</v>
      </c>
      <c r="I1817" s="10">
        <v>2003</v>
      </c>
      <c r="J1817" s="10" t="s">
        <v>13960</v>
      </c>
      <c r="K1817" s="10">
        <v>111</v>
      </c>
      <c r="L1817" s="10" t="s">
        <v>14222</v>
      </c>
      <c r="M1817" s="10">
        <v>1</v>
      </c>
      <c r="N1817" s="10" t="s">
        <v>14223</v>
      </c>
      <c r="O1817" s="10"/>
      <c r="P1817" s="10" t="s">
        <v>14224</v>
      </c>
      <c r="Q1817" s="10">
        <v>371.19209410000002</v>
      </c>
      <c r="R1817" s="10" t="s">
        <v>14225</v>
      </c>
      <c r="S1817" s="10" t="s">
        <v>53</v>
      </c>
      <c r="T1817" s="10" t="s">
        <v>54</v>
      </c>
    </row>
    <row r="1818" spans="1:20" ht="14.5" x14ac:dyDescent="0.35">
      <c r="A1818" s="10" t="s">
        <v>14226</v>
      </c>
      <c r="B1818" s="10" t="str">
        <f>"9781441136374"</f>
        <v>9781441136374</v>
      </c>
      <c r="C1818" s="10" t="str">
        <f>"9781441149145"</f>
        <v>9781441149145</v>
      </c>
      <c r="D1818" s="10" t="s">
        <v>13959</v>
      </c>
      <c r="E1818" s="10" t="s">
        <v>13960</v>
      </c>
      <c r="F1818" s="10" t="s">
        <v>139</v>
      </c>
      <c r="G1818" s="10" t="s">
        <v>6352</v>
      </c>
      <c r="H1818" s="11">
        <v>40913</v>
      </c>
      <c r="I1818" s="10">
        <v>2009</v>
      </c>
      <c r="J1818" s="10" t="s">
        <v>13961</v>
      </c>
      <c r="K1818" s="10">
        <v>225</v>
      </c>
      <c r="L1818" s="10" t="s">
        <v>14222</v>
      </c>
      <c r="M1818" s="10">
        <v>1</v>
      </c>
      <c r="N1818" s="10"/>
      <c r="O1818" s="10"/>
      <c r="P1818" s="10" t="s">
        <v>14227</v>
      </c>
      <c r="Q1818" s="10">
        <v>370.1</v>
      </c>
      <c r="R1818" s="10" t="s">
        <v>14228</v>
      </c>
      <c r="S1818" s="10" t="s">
        <v>53</v>
      </c>
      <c r="T1818" s="10" t="s">
        <v>54</v>
      </c>
    </row>
    <row r="1819" spans="1:20" ht="14.5" x14ac:dyDescent="0.35">
      <c r="A1819" s="10" t="s">
        <v>14229</v>
      </c>
      <c r="B1819" s="10" t="str">
        <f>"9780826452054"</f>
        <v>9780826452054</v>
      </c>
      <c r="C1819" s="10" t="str">
        <f>"9780826446718"</f>
        <v>9780826446718</v>
      </c>
      <c r="D1819" s="10" t="s">
        <v>13959</v>
      </c>
      <c r="E1819" s="10" t="s">
        <v>13960</v>
      </c>
      <c r="F1819" s="10" t="s">
        <v>139</v>
      </c>
      <c r="G1819" s="10" t="s">
        <v>6352</v>
      </c>
      <c r="H1819" s="11">
        <v>36061</v>
      </c>
      <c r="I1819" s="10">
        <v>1998</v>
      </c>
      <c r="J1819" s="10" t="s">
        <v>13961</v>
      </c>
      <c r="K1819" s="10">
        <v>153</v>
      </c>
      <c r="L1819" s="10" t="s">
        <v>14230</v>
      </c>
      <c r="M1819" s="10">
        <v>1</v>
      </c>
      <c r="N1819" s="10"/>
      <c r="O1819" s="10"/>
      <c r="P1819" s="10" t="s">
        <v>14231</v>
      </c>
      <c r="Q1819" s="10">
        <v>372.6</v>
      </c>
      <c r="R1819" s="10" t="s">
        <v>14232</v>
      </c>
      <c r="S1819" s="10" t="s">
        <v>53</v>
      </c>
      <c r="T1819" s="10" t="s">
        <v>54</v>
      </c>
    </row>
    <row r="1820" spans="1:20" ht="14.5" x14ac:dyDescent="0.35">
      <c r="A1820" s="10" t="s">
        <v>14233</v>
      </c>
      <c r="B1820" s="10" t="str">
        <f>"9780826479082"</f>
        <v>9780826479082</v>
      </c>
      <c r="C1820" s="10" t="str">
        <f>"9781847140692"</f>
        <v>9781847140692</v>
      </c>
      <c r="D1820" s="10" t="s">
        <v>13959</v>
      </c>
      <c r="E1820" s="10" t="s">
        <v>13960</v>
      </c>
      <c r="F1820" s="10" t="s">
        <v>139</v>
      </c>
      <c r="G1820" s="10" t="s">
        <v>6352</v>
      </c>
      <c r="H1820" s="11">
        <v>38471</v>
      </c>
      <c r="I1820" s="10">
        <v>2005</v>
      </c>
      <c r="J1820" s="10" t="s">
        <v>13960</v>
      </c>
      <c r="K1820" s="10">
        <v>252</v>
      </c>
      <c r="L1820" s="10" t="s">
        <v>14234</v>
      </c>
      <c r="M1820" s="10">
        <v>1</v>
      </c>
      <c r="N1820" s="10"/>
      <c r="O1820" s="10"/>
      <c r="P1820" s="10" t="s">
        <v>14235</v>
      </c>
      <c r="Q1820" s="10">
        <v>374</v>
      </c>
      <c r="R1820" s="10" t="s">
        <v>14236</v>
      </c>
      <c r="S1820" s="10" t="s">
        <v>53</v>
      </c>
      <c r="T1820" s="10" t="s">
        <v>54</v>
      </c>
    </row>
    <row r="1821" spans="1:20" ht="14.5" x14ac:dyDescent="0.35">
      <c r="A1821" s="10" t="s">
        <v>14237</v>
      </c>
      <c r="B1821" s="10" t="str">
        <f>"9780304329427"</f>
        <v>9780304329427</v>
      </c>
      <c r="C1821" s="10" t="str">
        <f>"9781847143761"</f>
        <v>9781847143761</v>
      </c>
      <c r="D1821" s="10" t="s">
        <v>13959</v>
      </c>
      <c r="E1821" s="10" t="s">
        <v>13960</v>
      </c>
      <c r="F1821" s="10" t="s">
        <v>139</v>
      </c>
      <c r="G1821" s="10" t="s">
        <v>6352</v>
      </c>
      <c r="H1821" s="11">
        <v>34943</v>
      </c>
      <c r="I1821" s="10">
        <v>2010</v>
      </c>
      <c r="J1821" s="10" t="s">
        <v>13960</v>
      </c>
      <c r="K1821" s="10">
        <v>189</v>
      </c>
      <c r="L1821" s="10" t="s">
        <v>14238</v>
      </c>
      <c r="M1821" s="10">
        <v>1</v>
      </c>
      <c r="N1821" s="10"/>
      <c r="O1821" s="10"/>
      <c r="P1821" s="10" t="s">
        <v>14239</v>
      </c>
      <c r="Q1821" s="10">
        <v>372.6</v>
      </c>
      <c r="R1821" s="10" t="s">
        <v>14240</v>
      </c>
      <c r="S1821" s="10" t="s">
        <v>53</v>
      </c>
      <c r="T1821" s="10" t="s">
        <v>54</v>
      </c>
    </row>
    <row r="1822" spans="1:20" ht="14.5" x14ac:dyDescent="0.35">
      <c r="A1822" s="10" t="s">
        <v>14241</v>
      </c>
      <c r="B1822" s="10" t="str">
        <f>"9780826487094"</f>
        <v>9780826487094</v>
      </c>
      <c r="C1822" s="10" t="str">
        <f>"9781847143402"</f>
        <v>9781847143402</v>
      </c>
      <c r="D1822" s="10" t="s">
        <v>13959</v>
      </c>
      <c r="E1822" s="10" t="s">
        <v>13960</v>
      </c>
      <c r="F1822" s="10" t="s">
        <v>139</v>
      </c>
      <c r="G1822" s="10" t="s">
        <v>6352</v>
      </c>
      <c r="H1822" s="11">
        <v>38642</v>
      </c>
      <c r="I1822" s="10">
        <v>2005</v>
      </c>
      <c r="J1822" s="10" t="s">
        <v>13960</v>
      </c>
      <c r="K1822" s="10">
        <v>216</v>
      </c>
      <c r="L1822" s="10" t="s">
        <v>14242</v>
      </c>
      <c r="M1822" s="10">
        <v>1</v>
      </c>
      <c r="N1822" s="10"/>
      <c r="O1822" s="10"/>
      <c r="P1822" s="10" t="s">
        <v>14243</v>
      </c>
      <c r="Q1822" s="10">
        <v>370.72</v>
      </c>
      <c r="R1822" s="10" t="s">
        <v>14244</v>
      </c>
      <c r="S1822" s="10" t="s">
        <v>53</v>
      </c>
      <c r="T1822" s="10" t="s">
        <v>54</v>
      </c>
    </row>
    <row r="1823" spans="1:20" ht="14.5" x14ac:dyDescent="0.35">
      <c r="A1823" s="10" t="s">
        <v>14245</v>
      </c>
      <c r="B1823" s="10" t="str">
        <f>"9780826485991"</f>
        <v>9780826485991</v>
      </c>
      <c r="C1823" s="10" t="str">
        <f>"9781847144089"</f>
        <v>9781847144089</v>
      </c>
      <c r="D1823" s="10" t="s">
        <v>13959</v>
      </c>
      <c r="E1823" s="10" t="s">
        <v>13960</v>
      </c>
      <c r="F1823" s="10" t="s">
        <v>139</v>
      </c>
      <c r="G1823" s="10" t="s">
        <v>6352</v>
      </c>
      <c r="H1823" s="11">
        <v>38687</v>
      </c>
      <c r="I1823" s="10">
        <v>2005</v>
      </c>
      <c r="J1823" s="10" t="s">
        <v>13960</v>
      </c>
      <c r="K1823" s="10">
        <v>257</v>
      </c>
      <c r="L1823" s="10" t="s">
        <v>7547</v>
      </c>
      <c r="M1823" s="10">
        <v>1</v>
      </c>
      <c r="N1823" s="10"/>
      <c r="O1823" s="10"/>
      <c r="P1823" s="10" t="s">
        <v>14246</v>
      </c>
      <c r="Q1823" s="10">
        <v>371.02094099999999</v>
      </c>
      <c r="R1823" s="10" t="s">
        <v>14247</v>
      </c>
      <c r="S1823" s="10" t="s">
        <v>53</v>
      </c>
      <c r="T1823" s="10" t="s">
        <v>54</v>
      </c>
    </row>
    <row r="1824" spans="1:20" ht="14.5" x14ac:dyDescent="0.35">
      <c r="A1824" s="10" t="s">
        <v>14248</v>
      </c>
      <c r="B1824" s="10" t="str">
        <f>"9780826487353"</f>
        <v>9780826487353</v>
      </c>
      <c r="C1824" s="10" t="str">
        <f>"9781847144294"</f>
        <v>9781847144294</v>
      </c>
      <c r="D1824" s="10" t="s">
        <v>13959</v>
      </c>
      <c r="E1824" s="10" t="s">
        <v>13960</v>
      </c>
      <c r="F1824" s="10" t="s">
        <v>139</v>
      </c>
      <c r="G1824" s="10" t="s">
        <v>6352</v>
      </c>
      <c r="H1824" s="11">
        <v>38800</v>
      </c>
      <c r="I1824" s="10">
        <v>2006</v>
      </c>
      <c r="J1824" s="10" t="s">
        <v>13960</v>
      </c>
      <c r="K1824" s="10">
        <v>247</v>
      </c>
      <c r="L1824" s="10" t="s">
        <v>7547</v>
      </c>
      <c r="M1824" s="10">
        <v>1</v>
      </c>
      <c r="N1824" s="10"/>
      <c r="O1824" s="10"/>
      <c r="P1824" s="10" t="s">
        <v>14249</v>
      </c>
      <c r="Q1824" s="10">
        <v>379.11</v>
      </c>
      <c r="R1824" s="10" t="s">
        <v>14250</v>
      </c>
      <c r="S1824" s="10" t="s">
        <v>53</v>
      </c>
      <c r="T1824" s="10" t="s">
        <v>54</v>
      </c>
    </row>
    <row r="1825" spans="1:20" ht="14.5" x14ac:dyDescent="0.35">
      <c r="A1825" s="10" t="s">
        <v>14251</v>
      </c>
      <c r="B1825" s="10" t="str">
        <f>"9780304328925"</f>
        <v>9780304328925</v>
      </c>
      <c r="C1825" s="10" t="str">
        <f>"9781847142191"</f>
        <v>9781847142191</v>
      </c>
      <c r="D1825" s="10" t="s">
        <v>13959</v>
      </c>
      <c r="E1825" s="10" t="s">
        <v>13960</v>
      </c>
      <c r="F1825" s="10" t="s">
        <v>139</v>
      </c>
      <c r="G1825" s="10" t="s">
        <v>6352</v>
      </c>
      <c r="H1825" s="11">
        <v>35921</v>
      </c>
      <c r="I1825" s="10">
        <v>1996</v>
      </c>
      <c r="J1825" s="10" t="s">
        <v>13961</v>
      </c>
      <c r="K1825" s="10">
        <v>302</v>
      </c>
      <c r="L1825" s="10" t="s">
        <v>14252</v>
      </c>
      <c r="M1825" s="10">
        <v>1</v>
      </c>
      <c r="N1825" s="10"/>
      <c r="O1825" s="10"/>
      <c r="P1825" s="10" t="s">
        <v>14253</v>
      </c>
      <c r="Q1825" s="10">
        <v>378</v>
      </c>
      <c r="R1825" s="10" t="s">
        <v>14254</v>
      </c>
      <c r="S1825" s="10" t="s">
        <v>53</v>
      </c>
      <c r="T1825" s="10" t="s">
        <v>54</v>
      </c>
    </row>
    <row r="1826" spans="1:20" ht="14.5" x14ac:dyDescent="0.35">
      <c r="A1826" s="10" t="s">
        <v>14255</v>
      </c>
      <c r="B1826" s="10" t="str">
        <f>"9780304339471"</f>
        <v>9780304339471</v>
      </c>
      <c r="C1826" s="10" t="str">
        <f>"9781847142306"</f>
        <v>9781847142306</v>
      </c>
      <c r="D1826" s="10" t="s">
        <v>13959</v>
      </c>
      <c r="E1826" s="10" t="s">
        <v>13960</v>
      </c>
      <c r="F1826" s="10" t="s">
        <v>139</v>
      </c>
      <c r="G1826" s="10" t="s">
        <v>6352</v>
      </c>
      <c r="H1826" s="11">
        <v>35643</v>
      </c>
      <c r="I1826" s="10">
        <v>1997</v>
      </c>
      <c r="J1826" s="10" t="s">
        <v>13960</v>
      </c>
      <c r="K1826" s="10">
        <v>134</v>
      </c>
      <c r="L1826" s="10" t="s">
        <v>14256</v>
      </c>
      <c r="M1826" s="10">
        <v>1</v>
      </c>
      <c r="N1826" s="10"/>
      <c r="O1826" s="10"/>
      <c r="P1826" s="10" t="s">
        <v>14257</v>
      </c>
      <c r="Q1826" s="10" t="s">
        <v>14258</v>
      </c>
      <c r="R1826" s="10" t="s">
        <v>14259</v>
      </c>
      <c r="S1826" s="10" t="s">
        <v>53</v>
      </c>
      <c r="T1826" s="10" t="s">
        <v>10957</v>
      </c>
    </row>
    <row r="1827" spans="1:20" ht="14.5" x14ac:dyDescent="0.35">
      <c r="A1827" s="10" t="s">
        <v>14260</v>
      </c>
      <c r="B1827" s="10" t="str">
        <f>"9780304325924"</f>
        <v>9780304325924</v>
      </c>
      <c r="C1827" s="10" t="str">
        <f>"9781847140562"</f>
        <v>9781847140562</v>
      </c>
      <c r="D1827" s="10" t="s">
        <v>13959</v>
      </c>
      <c r="E1827" s="10" t="s">
        <v>13960</v>
      </c>
      <c r="F1827" s="10" t="s">
        <v>139</v>
      </c>
      <c r="G1827" s="10" t="s">
        <v>6352</v>
      </c>
      <c r="H1827" s="11">
        <v>36039</v>
      </c>
      <c r="I1827" s="10">
        <v>1998</v>
      </c>
      <c r="J1827" s="10" t="s">
        <v>13960</v>
      </c>
      <c r="K1827" s="10">
        <v>193</v>
      </c>
      <c r="L1827" s="10" t="s">
        <v>14261</v>
      </c>
      <c r="M1827" s="10">
        <v>1</v>
      </c>
      <c r="N1827" s="10"/>
      <c r="O1827" s="10"/>
      <c r="P1827" s="10" t="s">
        <v>14262</v>
      </c>
      <c r="Q1827" s="10" t="s">
        <v>14263</v>
      </c>
      <c r="R1827" s="10" t="s">
        <v>14264</v>
      </c>
      <c r="S1827" s="10" t="s">
        <v>53</v>
      </c>
      <c r="T1827" s="10" t="s">
        <v>13912</v>
      </c>
    </row>
    <row r="1828" spans="1:20" ht="14.5" x14ac:dyDescent="0.35">
      <c r="A1828" s="10" t="s">
        <v>14265</v>
      </c>
      <c r="B1828" s="10" t="str">
        <f>"9780304700158"</f>
        <v>9780304700158</v>
      </c>
      <c r="C1828" s="10" t="str">
        <f>"9781847143426"</f>
        <v>9781847143426</v>
      </c>
      <c r="D1828" s="10" t="s">
        <v>13959</v>
      </c>
      <c r="E1828" s="10" t="s">
        <v>13960</v>
      </c>
      <c r="F1828" s="10" t="s">
        <v>139</v>
      </c>
      <c r="G1828" s="10" t="s">
        <v>6352</v>
      </c>
      <c r="H1828" s="11">
        <v>36164</v>
      </c>
      <c r="I1828" s="10">
        <v>1999</v>
      </c>
      <c r="J1828" s="10" t="s">
        <v>13960</v>
      </c>
      <c r="K1828" s="10">
        <v>385</v>
      </c>
      <c r="L1828" s="10" t="s">
        <v>14266</v>
      </c>
      <c r="M1828" s="10">
        <v>1</v>
      </c>
      <c r="N1828" s="10"/>
      <c r="O1828" s="10"/>
      <c r="P1828" s="10" t="s">
        <v>14267</v>
      </c>
      <c r="Q1828" s="10" t="s">
        <v>14268</v>
      </c>
      <c r="R1828" s="10" t="s">
        <v>14269</v>
      </c>
      <c r="S1828" s="10" t="s">
        <v>53</v>
      </c>
      <c r="T1828" s="10" t="s">
        <v>54</v>
      </c>
    </row>
    <row r="1829" spans="1:20" ht="14.5" x14ac:dyDescent="0.35">
      <c r="A1829" s="10" t="s">
        <v>14270</v>
      </c>
      <c r="B1829" s="10" t="str">
        <f>"9781118344668"</f>
        <v>9781118344668</v>
      </c>
      <c r="C1829" s="10" t="str">
        <f>"9781444305890"</f>
        <v>9781444305890</v>
      </c>
      <c r="D1829" s="10" t="s">
        <v>6322</v>
      </c>
      <c r="E1829" s="10" t="s">
        <v>6323</v>
      </c>
      <c r="F1829" s="10" t="s">
        <v>4423</v>
      </c>
      <c r="G1829" s="10" t="s">
        <v>6352</v>
      </c>
      <c r="H1829" s="11">
        <v>39804</v>
      </c>
      <c r="I1829" s="10">
        <v>2008</v>
      </c>
      <c r="J1829" s="10" t="s">
        <v>8436</v>
      </c>
      <c r="K1829" s="10">
        <v>246</v>
      </c>
      <c r="L1829" s="10" t="s">
        <v>14271</v>
      </c>
      <c r="M1829" s="10">
        <v>1</v>
      </c>
      <c r="N1829" s="10"/>
      <c r="O1829" s="10"/>
      <c r="P1829" s="10" t="s">
        <v>14272</v>
      </c>
      <c r="Q1829" s="10" t="s">
        <v>8223</v>
      </c>
      <c r="R1829" s="10" t="s">
        <v>8224</v>
      </c>
      <c r="S1829" s="10" t="s">
        <v>53</v>
      </c>
      <c r="T1829" s="10" t="s">
        <v>54</v>
      </c>
    </row>
    <row r="1830" spans="1:20" ht="14.5" x14ac:dyDescent="0.35">
      <c r="A1830" s="10" t="s">
        <v>14273</v>
      </c>
      <c r="B1830" s="10" t="str">
        <f>"9781405181075"</f>
        <v>9781405181075</v>
      </c>
      <c r="C1830" s="10" t="str">
        <f>"9781444306781"</f>
        <v>9781444306781</v>
      </c>
      <c r="D1830" s="10" t="s">
        <v>6322</v>
      </c>
      <c r="E1830" s="10" t="s">
        <v>6323</v>
      </c>
      <c r="F1830" s="10" t="s">
        <v>4423</v>
      </c>
      <c r="G1830" s="10" t="s">
        <v>6352</v>
      </c>
      <c r="H1830" s="11">
        <v>39595</v>
      </c>
      <c r="I1830" s="10">
        <v>2008</v>
      </c>
      <c r="J1830" s="10" t="s">
        <v>8436</v>
      </c>
      <c r="K1830" s="10">
        <v>146</v>
      </c>
      <c r="L1830" s="10" t="s">
        <v>14274</v>
      </c>
      <c r="M1830" s="10">
        <v>1</v>
      </c>
      <c r="N1830" s="10"/>
      <c r="O1830" s="10"/>
      <c r="P1830" s="10" t="s">
        <v>14275</v>
      </c>
      <c r="Q1830" s="10" t="s">
        <v>9870</v>
      </c>
      <c r="R1830" s="10" t="s">
        <v>14276</v>
      </c>
      <c r="S1830" s="10" t="s">
        <v>53</v>
      </c>
      <c r="T1830" s="10" t="s">
        <v>54</v>
      </c>
    </row>
    <row r="1831" spans="1:20" ht="14.5" x14ac:dyDescent="0.35">
      <c r="A1831" s="10" t="s">
        <v>14277</v>
      </c>
      <c r="B1831" s="10" t="str">
        <f>"9781402097348"</f>
        <v>9781402097348</v>
      </c>
      <c r="C1831" s="10" t="str">
        <f>"9781402097355"</f>
        <v>9781402097355</v>
      </c>
      <c r="D1831" s="10" t="s">
        <v>11249</v>
      </c>
      <c r="E1831" s="10" t="s">
        <v>12215</v>
      </c>
      <c r="F1831" s="10" t="s">
        <v>206</v>
      </c>
      <c r="G1831" s="10" t="s">
        <v>9233</v>
      </c>
      <c r="H1831" s="11">
        <v>39918</v>
      </c>
      <c r="I1831" s="10">
        <v>2009</v>
      </c>
      <c r="J1831" s="10" t="s">
        <v>13067</v>
      </c>
      <c r="K1831" s="10">
        <v>291</v>
      </c>
      <c r="L1831" s="10" t="s">
        <v>14278</v>
      </c>
      <c r="M1831" s="10">
        <v>1</v>
      </c>
      <c r="N1831" s="10" t="s">
        <v>14279</v>
      </c>
      <c r="O1831" s="10">
        <v>7</v>
      </c>
      <c r="P1831" s="10" t="s">
        <v>11275</v>
      </c>
      <c r="Q1831" s="10">
        <v>371.82600000000002</v>
      </c>
      <c r="R1831" s="10" t="s">
        <v>14280</v>
      </c>
      <c r="S1831" s="10" t="s">
        <v>53</v>
      </c>
      <c r="T1831" s="10" t="s">
        <v>54</v>
      </c>
    </row>
    <row r="1832" spans="1:20" ht="14.5" x14ac:dyDescent="0.35">
      <c r="A1832" s="10" t="s">
        <v>14281</v>
      </c>
      <c r="B1832" s="10" t="str">
        <f>"9780817314637"</f>
        <v>9780817314637</v>
      </c>
      <c r="C1832" s="10" t="str">
        <f>"9780817380427"</f>
        <v>9780817380427</v>
      </c>
      <c r="D1832" s="10" t="s">
        <v>3407</v>
      </c>
      <c r="E1832" s="10" t="s">
        <v>3407</v>
      </c>
      <c r="F1832" s="10" t="s">
        <v>3408</v>
      </c>
      <c r="G1832" s="10" t="s">
        <v>6317</v>
      </c>
      <c r="H1832" s="11">
        <v>38613</v>
      </c>
      <c r="I1832" s="10">
        <v>2008</v>
      </c>
      <c r="J1832" s="10" t="s">
        <v>3407</v>
      </c>
      <c r="K1832" s="10">
        <v>193</v>
      </c>
      <c r="L1832" s="10" t="s">
        <v>14282</v>
      </c>
      <c r="M1832" s="10">
        <v>1</v>
      </c>
      <c r="N1832" s="10"/>
      <c r="O1832" s="10"/>
      <c r="P1832" s="10" t="s">
        <v>14283</v>
      </c>
      <c r="Q1832" s="10" t="s">
        <v>14284</v>
      </c>
      <c r="R1832" s="10" t="s">
        <v>14285</v>
      </c>
      <c r="S1832" s="10" t="s">
        <v>53</v>
      </c>
      <c r="T1832" s="10" t="s">
        <v>54</v>
      </c>
    </row>
    <row r="1833" spans="1:20" ht="14.5" x14ac:dyDescent="0.35">
      <c r="A1833" s="10" t="s">
        <v>14286</v>
      </c>
      <c r="B1833" s="10" t="str">
        <f>"9780817350901"</f>
        <v>9780817350901</v>
      </c>
      <c r="C1833" s="10" t="str">
        <f>"9780817382025"</f>
        <v>9780817382025</v>
      </c>
      <c r="D1833" s="10" t="s">
        <v>3407</v>
      </c>
      <c r="E1833" s="10" t="s">
        <v>3407</v>
      </c>
      <c r="F1833" s="10" t="s">
        <v>3408</v>
      </c>
      <c r="G1833" s="10" t="s">
        <v>6317</v>
      </c>
      <c r="H1833" s="11">
        <v>38162</v>
      </c>
      <c r="I1833" s="10">
        <v>2004</v>
      </c>
      <c r="J1833" s="10" t="s">
        <v>14287</v>
      </c>
      <c r="K1833" s="10">
        <v>83</v>
      </c>
      <c r="L1833" s="10" t="s">
        <v>14288</v>
      </c>
      <c r="M1833" s="10">
        <v>1</v>
      </c>
      <c r="N1833" s="10" t="s">
        <v>14289</v>
      </c>
      <c r="O1833" s="10"/>
      <c r="P1833" s="10" t="s">
        <v>14290</v>
      </c>
      <c r="Q1833" s="10" t="s">
        <v>14291</v>
      </c>
      <c r="R1833" s="10" t="s">
        <v>14292</v>
      </c>
      <c r="S1833" s="10" t="s">
        <v>53</v>
      </c>
      <c r="T1833" s="10" t="s">
        <v>4490</v>
      </c>
    </row>
    <row r="1834" spans="1:20" ht="14.5" x14ac:dyDescent="0.35">
      <c r="A1834" s="10" t="s">
        <v>14293</v>
      </c>
      <c r="B1834" s="10" t="str">
        <f>"9780817315474"</f>
        <v>9780817315474</v>
      </c>
      <c r="C1834" s="10" t="str">
        <f>"9780817381394"</f>
        <v>9780817381394</v>
      </c>
      <c r="D1834" s="10" t="s">
        <v>3407</v>
      </c>
      <c r="E1834" s="10" t="s">
        <v>3407</v>
      </c>
      <c r="F1834" s="10" t="s">
        <v>3408</v>
      </c>
      <c r="G1834" s="10" t="s">
        <v>6317</v>
      </c>
      <c r="H1834" s="11">
        <v>39141</v>
      </c>
      <c r="I1834" s="10">
        <v>2007</v>
      </c>
      <c r="J1834" s="10" t="s">
        <v>3407</v>
      </c>
      <c r="K1834" s="10">
        <v>290</v>
      </c>
      <c r="L1834" s="10" t="s">
        <v>14294</v>
      </c>
      <c r="M1834" s="10">
        <v>1</v>
      </c>
      <c r="N1834" s="10" t="s">
        <v>14295</v>
      </c>
      <c r="O1834" s="10"/>
      <c r="P1834" s="10" t="s">
        <v>14296</v>
      </c>
      <c r="Q1834" s="10" t="s">
        <v>14297</v>
      </c>
      <c r="R1834" s="10" t="s">
        <v>14298</v>
      </c>
      <c r="S1834" s="10" t="s">
        <v>53</v>
      </c>
      <c r="T1834" s="10" t="s">
        <v>9143</v>
      </c>
    </row>
    <row r="1835" spans="1:20" ht="14.5" x14ac:dyDescent="0.35">
      <c r="A1835" s="10" t="s">
        <v>14299</v>
      </c>
      <c r="B1835" s="10" t="str">
        <f>"9780817315467"</f>
        <v>9780817315467</v>
      </c>
      <c r="C1835" s="10" t="str">
        <f>"9780817380267"</f>
        <v>9780817380267</v>
      </c>
      <c r="D1835" s="10" t="s">
        <v>3407</v>
      </c>
      <c r="E1835" s="10" t="s">
        <v>3407</v>
      </c>
      <c r="F1835" s="10" t="s">
        <v>3408</v>
      </c>
      <c r="G1835" s="10" t="s">
        <v>6317</v>
      </c>
      <c r="H1835" s="11">
        <v>39310</v>
      </c>
      <c r="I1835" s="10">
        <v>2007</v>
      </c>
      <c r="J1835" s="10" t="s">
        <v>3407</v>
      </c>
      <c r="K1835" s="10">
        <v>569</v>
      </c>
      <c r="L1835" s="10" t="s">
        <v>14300</v>
      </c>
      <c r="M1835" s="10">
        <v>1</v>
      </c>
      <c r="N1835" s="10"/>
      <c r="O1835" s="10"/>
      <c r="P1835" s="10" t="s">
        <v>14283</v>
      </c>
      <c r="Q1835" s="10" t="s">
        <v>14301</v>
      </c>
      <c r="R1835" s="10" t="s">
        <v>14302</v>
      </c>
      <c r="S1835" s="10" t="s">
        <v>53</v>
      </c>
      <c r="T1835" s="10" t="s">
        <v>54</v>
      </c>
    </row>
    <row r="1836" spans="1:20" ht="14.5" x14ac:dyDescent="0.35">
      <c r="A1836" s="10" t="s">
        <v>14303</v>
      </c>
      <c r="B1836" s="10" t="str">
        <f>"9780754660316"</f>
        <v>9780754660316</v>
      </c>
      <c r="C1836" s="10" t="str">
        <f>"9780754687221"</f>
        <v>9780754687221</v>
      </c>
      <c r="D1836" s="10" t="s">
        <v>6350</v>
      </c>
      <c r="E1836" s="10" t="s">
        <v>6351</v>
      </c>
      <c r="F1836" s="10" t="s">
        <v>339</v>
      </c>
      <c r="G1836" s="10" t="s">
        <v>6352</v>
      </c>
      <c r="H1836" s="11">
        <v>39414</v>
      </c>
      <c r="I1836" s="10">
        <v>2007</v>
      </c>
      <c r="J1836" s="10" t="s">
        <v>6353</v>
      </c>
      <c r="K1836" s="10">
        <v>220</v>
      </c>
      <c r="L1836" s="10" t="s">
        <v>14304</v>
      </c>
      <c r="M1836" s="10">
        <v>1</v>
      </c>
      <c r="N1836" s="10" t="s">
        <v>14305</v>
      </c>
      <c r="O1836" s="10"/>
      <c r="P1836" s="10" t="s">
        <v>14306</v>
      </c>
      <c r="Q1836" s="10">
        <v>207.5</v>
      </c>
      <c r="R1836" s="10" t="s">
        <v>14307</v>
      </c>
      <c r="S1836" s="10" t="s">
        <v>53</v>
      </c>
      <c r="T1836" s="10" t="s">
        <v>8346</v>
      </c>
    </row>
    <row r="1837" spans="1:20" ht="14.5" x14ac:dyDescent="0.35">
      <c r="A1837" s="10" t="s">
        <v>14308</v>
      </c>
      <c r="B1837" s="10" t="str">
        <f>"9780754652649"</f>
        <v>9780754652649</v>
      </c>
      <c r="C1837" s="10" t="str">
        <f>"9780754684114"</f>
        <v>9780754684114</v>
      </c>
      <c r="D1837" s="10" t="s">
        <v>6350</v>
      </c>
      <c r="E1837" s="10" t="s">
        <v>6351</v>
      </c>
      <c r="F1837" s="10" t="s">
        <v>339</v>
      </c>
      <c r="G1837" s="10" t="s">
        <v>6352</v>
      </c>
      <c r="H1837" s="11">
        <v>39148</v>
      </c>
      <c r="I1837" s="10">
        <v>2007</v>
      </c>
      <c r="J1837" s="10" t="s">
        <v>6353</v>
      </c>
      <c r="K1837" s="10">
        <v>230</v>
      </c>
      <c r="L1837" s="10" t="s">
        <v>14309</v>
      </c>
      <c r="M1837" s="10">
        <v>1</v>
      </c>
      <c r="N1837" s="10"/>
      <c r="O1837" s="10"/>
      <c r="P1837" s="10" t="s">
        <v>14310</v>
      </c>
      <c r="Q1837" s="10">
        <v>305.42092000000002</v>
      </c>
      <c r="R1837" s="10" t="s">
        <v>14311</v>
      </c>
      <c r="S1837" s="10" t="s">
        <v>53</v>
      </c>
      <c r="T1837" s="10" t="s">
        <v>6363</v>
      </c>
    </row>
    <row r="1838" spans="1:20" ht="14.5" x14ac:dyDescent="0.35">
      <c r="A1838" s="10" t="s">
        <v>14312</v>
      </c>
      <c r="B1838" s="10" t="str">
        <f>"9780754660330"</f>
        <v>9780754660330</v>
      </c>
      <c r="C1838" s="10" t="str">
        <f>"9780754687108"</f>
        <v>9780754687108</v>
      </c>
      <c r="D1838" s="10" t="s">
        <v>6350</v>
      </c>
      <c r="E1838" s="10" t="s">
        <v>6351</v>
      </c>
      <c r="F1838" s="10" t="s">
        <v>748</v>
      </c>
      <c r="G1838" s="10" t="s">
        <v>6352</v>
      </c>
      <c r="H1838" s="11">
        <v>39532</v>
      </c>
      <c r="I1838" s="10">
        <v>2008</v>
      </c>
      <c r="J1838" s="10" t="s">
        <v>6351</v>
      </c>
      <c r="K1838" s="10">
        <v>257</v>
      </c>
      <c r="L1838" s="10" t="s">
        <v>14313</v>
      </c>
      <c r="M1838" s="10">
        <v>1</v>
      </c>
      <c r="N1838" s="10" t="s">
        <v>14314</v>
      </c>
      <c r="O1838" s="10"/>
      <c r="P1838" s="10" t="s">
        <v>14315</v>
      </c>
      <c r="Q1838" s="10">
        <v>370.82094599999999</v>
      </c>
      <c r="R1838" s="10" t="s">
        <v>14316</v>
      </c>
      <c r="S1838" s="10" t="s">
        <v>53</v>
      </c>
      <c r="T1838" s="10" t="s">
        <v>54</v>
      </c>
    </row>
    <row r="1839" spans="1:20" ht="14.5" x14ac:dyDescent="0.35">
      <c r="A1839" s="10" t="s">
        <v>14317</v>
      </c>
      <c r="B1839" s="10" t="str">
        <f>"9780566088445"</f>
        <v>9780566088445</v>
      </c>
      <c r="C1839" s="10" t="str">
        <f>"9780566089862"</f>
        <v>9780566089862</v>
      </c>
      <c r="D1839" s="10" t="s">
        <v>6350</v>
      </c>
      <c r="E1839" s="10" t="s">
        <v>6351</v>
      </c>
      <c r="F1839" s="10" t="s">
        <v>748</v>
      </c>
      <c r="G1839" s="10" t="s">
        <v>6352</v>
      </c>
      <c r="H1839" s="11">
        <v>39862</v>
      </c>
      <c r="I1839" s="10">
        <v>2009</v>
      </c>
      <c r="J1839" s="10" t="s">
        <v>6351</v>
      </c>
      <c r="K1839" s="10">
        <v>222</v>
      </c>
      <c r="L1839" s="10" t="s">
        <v>14318</v>
      </c>
      <c r="M1839" s="10">
        <v>1</v>
      </c>
      <c r="N1839" s="10"/>
      <c r="O1839" s="10"/>
      <c r="P1839" s="10" t="s">
        <v>14319</v>
      </c>
      <c r="Q1839" s="10" t="s">
        <v>9204</v>
      </c>
      <c r="R1839" s="10" t="s">
        <v>6659</v>
      </c>
      <c r="S1839" s="10" t="s">
        <v>53</v>
      </c>
      <c r="T1839" s="10" t="s">
        <v>6660</v>
      </c>
    </row>
    <row r="1840" spans="1:20" ht="14.5" x14ac:dyDescent="0.35">
      <c r="A1840" s="10" t="s">
        <v>14320</v>
      </c>
      <c r="B1840" s="10" t="str">
        <f>"9780566088414"</f>
        <v>9780566088414</v>
      </c>
      <c r="C1840" s="10" t="str">
        <f>"9780754692515"</f>
        <v>9780754692515</v>
      </c>
      <c r="D1840" s="10" t="s">
        <v>6350</v>
      </c>
      <c r="E1840" s="10" t="s">
        <v>6351</v>
      </c>
      <c r="F1840" s="10" t="s">
        <v>339</v>
      </c>
      <c r="G1840" s="10" t="s">
        <v>6352</v>
      </c>
      <c r="H1840" s="11">
        <v>39535</v>
      </c>
      <c r="I1840" s="10">
        <v>2008</v>
      </c>
      <c r="J1840" s="10" t="s">
        <v>6353</v>
      </c>
      <c r="K1840" s="10">
        <v>220</v>
      </c>
      <c r="L1840" s="10" t="s">
        <v>14321</v>
      </c>
      <c r="M1840" s="10">
        <v>2</v>
      </c>
      <c r="N1840" s="10"/>
      <c r="O1840" s="10"/>
      <c r="P1840" s="10" t="s">
        <v>14322</v>
      </c>
      <c r="Q1840" s="10">
        <v>378.17340000000002</v>
      </c>
      <c r="R1840" s="10" t="s">
        <v>14323</v>
      </c>
      <c r="S1840" s="10" t="s">
        <v>53</v>
      </c>
      <c r="T1840" s="10" t="s">
        <v>54</v>
      </c>
    </row>
    <row r="1841" spans="1:20" ht="14.5" x14ac:dyDescent="0.35">
      <c r="A1841" s="10" t="s">
        <v>14324</v>
      </c>
      <c r="B1841" s="10" t="str">
        <f>"9781412930895"</f>
        <v>9781412930895</v>
      </c>
      <c r="C1841" s="10" t="str">
        <f>"9781849205115"</f>
        <v>9781849205115</v>
      </c>
      <c r="D1841" s="10" t="s">
        <v>9325</v>
      </c>
      <c r="E1841" s="10" t="s">
        <v>9326</v>
      </c>
      <c r="F1841" s="10" t="s">
        <v>139</v>
      </c>
      <c r="G1841" s="10" t="s">
        <v>6352</v>
      </c>
      <c r="H1841" s="11">
        <v>39405</v>
      </c>
      <c r="I1841" s="10">
        <v>2008</v>
      </c>
      <c r="J1841" s="10" t="s">
        <v>9326</v>
      </c>
      <c r="K1841" s="10">
        <v>283</v>
      </c>
      <c r="L1841" s="10" t="s">
        <v>14325</v>
      </c>
      <c r="M1841" s="10">
        <v>1</v>
      </c>
      <c r="N1841" s="10" t="s">
        <v>11973</v>
      </c>
      <c r="O1841" s="10"/>
      <c r="P1841" s="10" t="s">
        <v>14326</v>
      </c>
      <c r="Q1841" s="10">
        <v>371.10199999999998</v>
      </c>
      <c r="R1841" s="10" t="s">
        <v>14327</v>
      </c>
      <c r="S1841" s="10" t="s">
        <v>53</v>
      </c>
      <c r="T1841" s="10" t="s">
        <v>54</v>
      </c>
    </row>
    <row r="1842" spans="1:20" ht="14.5" x14ac:dyDescent="0.35">
      <c r="A1842" s="10" t="s">
        <v>14328</v>
      </c>
      <c r="B1842" s="10" t="str">
        <f>"9781412935272"</f>
        <v>9781412935272</v>
      </c>
      <c r="C1842" s="10" t="str">
        <f>"9781849205092"</f>
        <v>9781849205092</v>
      </c>
      <c r="D1842" s="10" t="s">
        <v>9325</v>
      </c>
      <c r="E1842" s="10" t="s">
        <v>9326</v>
      </c>
      <c r="F1842" s="10" t="s">
        <v>139</v>
      </c>
      <c r="G1842" s="10" t="s">
        <v>6352</v>
      </c>
      <c r="H1842" s="11">
        <v>39574</v>
      </c>
      <c r="I1842" s="10">
        <v>2008</v>
      </c>
      <c r="J1842" s="10" t="s">
        <v>9326</v>
      </c>
      <c r="K1842" s="10">
        <v>144</v>
      </c>
      <c r="L1842" s="10" t="s">
        <v>14329</v>
      </c>
      <c r="M1842" s="10">
        <v>1</v>
      </c>
      <c r="N1842" s="10"/>
      <c r="O1842" s="10"/>
      <c r="P1842" s="10" t="s">
        <v>14330</v>
      </c>
      <c r="Q1842" s="10">
        <v>371.39499999999998</v>
      </c>
      <c r="R1842" s="10" t="s">
        <v>7936</v>
      </c>
      <c r="S1842" s="10" t="s">
        <v>53</v>
      </c>
      <c r="T1842" s="10" t="s">
        <v>54</v>
      </c>
    </row>
    <row r="1843" spans="1:20" ht="14.5" x14ac:dyDescent="0.35">
      <c r="A1843" s="10" t="s">
        <v>14331</v>
      </c>
      <c r="B1843" s="10" t="str">
        <f>"9780415801133"</f>
        <v>9780415801133</v>
      </c>
      <c r="C1843" s="10" t="str">
        <f>"9780203876985"</f>
        <v>9780203876985</v>
      </c>
      <c r="D1843" s="10" t="s">
        <v>6350</v>
      </c>
      <c r="E1843" s="10" t="s">
        <v>6351</v>
      </c>
      <c r="F1843" s="10" t="s">
        <v>139</v>
      </c>
      <c r="G1843" s="10" t="s">
        <v>6352</v>
      </c>
      <c r="H1843" s="11">
        <v>39975</v>
      </c>
      <c r="I1843" s="10">
        <v>2009</v>
      </c>
      <c r="J1843" s="10" t="s">
        <v>6353</v>
      </c>
      <c r="K1843" s="10">
        <v>184</v>
      </c>
      <c r="L1843" s="10" t="s">
        <v>14332</v>
      </c>
      <c r="M1843" s="10">
        <v>1</v>
      </c>
      <c r="N1843" s="10"/>
      <c r="O1843" s="10"/>
      <c r="P1843" s="10" t="s">
        <v>14333</v>
      </c>
      <c r="Q1843" s="10" t="s">
        <v>14025</v>
      </c>
      <c r="R1843" s="10" t="s">
        <v>6497</v>
      </c>
      <c r="S1843" s="10" t="s">
        <v>53</v>
      </c>
      <c r="T1843" s="10" t="s">
        <v>6634</v>
      </c>
    </row>
    <row r="1844" spans="1:20" ht="14.5" x14ac:dyDescent="0.35">
      <c r="A1844" s="10" t="s">
        <v>14334</v>
      </c>
      <c r="B1844" s="10" t="str">
        <f>"9780691114682"</f>
        <v>9780691114682</v>
      </c>
      <c r="C1844" s="10" t="str">
        <f>"9781400824809"</f>
        <v>9781400824809</v>
      </c>
      <c r="D1844" s="10" t="s">
        <v>14335</v>
      </c>
      <c r="E1844" s="10" t="s">
        <v>14336</v>
      </c>
      <c r="F1844" s="10" t="s">
        <v>2246</v>
      </c>
      <c r="G1844" s="10" t="s">
        <v>6317</v>
      </c>
      <c r="H1844" s="11">
        <v>37129</v>
      </c>
      <c r="I1844" s="10">
        <v>2001</v>
      </c>
      <c r="J1844" s="10" t="s">
        <v>14336</v>
      </c>
      <c r="K1844" s="10">
        <v>196</v>
      </c>
      <c r="L1844" s="10" t="s">
        <v>14337</v>
      </c>
      <c r="M1844" s="10">
        <v>1</v>
      </c>
      <c r="N1844" s="10" t="s">
        <v>14338</v>
      </c>
      <c r="O1844" s="10">
        <v>37</v>
      </c>
      <c r="P1844" s="10" t="s">
        <v>14339</v>
      </c>
      <c r="Q1844" s="10"/>
      <c r="R1844" s="10"/>
      <c r="S1844" s="10" t="s">
        <v>53</v>
      </c>
      <c r="T1844" s="10" t="s">
        <v>54</v>
      </c>
    </row>
    <row r="1845" spans="1:20" ht="14.5" x14ac:dyDescent="0.35">
      <c r="A1845" s="10" t="s">
        <v>14340</v>
      </c>
      <c r="B1845" s="10" t="str">
        <f>"9780691117904"</f>
        <v>9780691117904</v>
      </c>
      <c r="C1845" s="10" t="str">
        <f>"9781400825455"</f>
        <v>9781400825455</v>
      </c>
      <c r="D1845" s="10" t="s">
        <v>14335</v>
      </c>
      <c r="E1845" s="10" t="s">
        <v>14336</v>
      </c>
      <c r="F1845" s="10" t="s">
        <v>2246</v>
      </c>
      <c r="G1845" s="10" t="s">
        <v>6317</v>
      </c>
      <c r="H1845" s="11">
        <v>37458</v>
      </c>
      <c r="I1845" s="10">
        <v>2002</v>
      </c>
      <c r="J1845" s="10" t="s">
        <v>14336</v>
      </c>
      <c r="K1845" s="10">
        <v>269</v>
      </c>
      <c r="L1845" s="10" t="s">
        <v>14341</v>
      </c>
      <c r="M1845" s="10">
        <v>1</v>
      </c>
      <c r="N1845" s="10" t="s">
        <v>14338</v>
      </c>
      <c r="O1845" s="10">
        <v>35</v>
      </c>
      <c r="P1845" s="10" t="s">
        <v>14342</v>
      </c>
      <c r="Q1845" s="10" t="s">
        <v>8971</v>
      </c>
      <c r="R1845" s="10"/>
      <c r="S1845" s="10" t="s">
        <v>53</v>
      </c>
      <c r="T1845" s="10" t="s">
        <v>54</v>
      </c>
    </row>
    <row r="1846" spans="1:20" ht="14.5" x14ac:dyDescent="0.35">
      <c r="A1846" s="10" t="s">
        <v>14343</v>
      </c>
      <c r="B1846" s="10" t="str">
        <f>"9780691127255"</f>
        <v>9780691127255</v>
      </c>
      <c r="C1846" s="10" t="str">
        <f>"9781400827305"</f>
        <v>9781400827305</v>
      </c>
      <c r="D1846" s="10" t="s">
        <v>14335</v>
      </c>
      <c r="E1846" s="10" t="s">
        <v>14336</v>
      </c>
      <c r="F1846" s="10" t="s">
        <v>2246</v>
      </c>
      <c r="G1846" s="10" t="s">
        <v>6317</v>
      </c>
      <c r="H1846" s="11">
        <v>38949</v>
      </c>
      <c r="I1846" s="10">
        <v>2006</v>
      </c>
      <c r="J1846" s="10" t="s">
        <v>14336</v>
      </c>
      <c r="K1846" s="10">
        <v>257</v>
      </c>
      <c r="L1846" s="10" t="s">
        <v>14344</v>
      </c>
      <c r="M1846" s="10">
        <v>1</v>
      </c>
      <c r="N1846" s="10" t="s">
        <v>14345</v>
      </c>
      <c r="O1846" s="10">
        <v>81</v>
      </c>
      <c r="P1846" s="10" t="s">
        <v>14346</v>
      </c>
      <c r="Q1846" s="10"/>
      <c r="R1846" s="10"/>
      <c r="S1846" s="10" t="s">
        <v>53</v>
      </c>
      <c r="T1846" s="10" t="s">
        <v>54</v>
      </c>
    </row>
    <row r="1847" spans="1:20" ht="14.5" x14ac:dyDescent="0.35">
      <c r="A1847" s="10" t="s">
        <v>14347</v>
      </c>
      <c r="B1847" s="10" t="str">
        <f>"9780691129907"</f>
        <v>9780691129907</v>
      </c>
      <c r="C1847" s="10" t="str">
        <f>"9781400828210"</f>
        <v>9781400828210</v>
      </c>
      <c r="D1847" s="10" t="s">
        <v>14335</v>
      </c>
      <c r="E1847" s="10" t="s">
        <v>14336</v>
      </c>
      <c r="F1847" s="10" t="s">
        <v>2246</v>
      </c>
      <c r="G1847" s="10" t="s">
        <v>6317</v>
      </c>
      <c r="H1847" s="11">
        <v>39502</v>
      </c>
      <c r="I1847" s="10">
        <v>2008</v>
      </c>
      <c r="J1847" s="10" t="s">
        <v>14336</v>
      </c>
      <c r="K1847" s="10">
        <v>282</v>
      </c>
      <c r="L1847" s="10" t="s">
        <v>14348</v>
      </c>
      <c r="M1847" s="10">
        <v>1</v>
      </c>
      <c r="N1847" s="10"/>
      <c r="O1847" s="10"/>
      <c r="P1847" s="10" t="s">
        <v>14349</v>
      </c>
      <c r="Q1847" s="10">
        <v>379.73</v>
      </c>
      <c r="R1847" s="10"/>
      <c r="S1847" s="10" t="s">
        <v>53</v>
      </c>
      <c r="T1847" s="10" t="s">
        <v>54</v>
      </c>
    </row>
    <row r="1848" spans="1:20" ht="14.5" x14ac:dyDescent="0.35">
      <c r="A1848" s="10" t="s">
        <v>14350</v>
      </c>
      <c r="B1848" s="10" t="str">
        <f>"9780691130651"</f>
        <v>9780691130651</v>
      </c>
      <c r="C1848" s="10" t="str">
        <f>"9781400826278"</f>
        <v>9781400826278</v>
      </c>
      <c r="D1848" s="10" t="s">
        <v>14335</v>
      </c>
      <c r="E1848" s="10" t="s">
        <v>14336</v>
      </c>
      <c r="F1848" s="10" t="s">
        <v>2246</v>
      </c>
      <c r="G1848" s="10" t="s">
        <v>6317</v>
      </c>
      <c r="H1848" s="11">
        <v>38354</v>
      </c>
      <c r="I1848" s="10">
        <v>2005</v>
      </c>
      <c r="J1848" s="10" t="s">
        <v>14336</v>
      </c>
      <c r="K1848" s="10">
        <v>204</v>
      </c>
      <c r="L1848" s="10" t="s">
        <v>14351</v>
      </c>
      <c r="M1848" s="10">
        <v>1</v>
      </c>
      <c r="N1848" s="10"/>
      <c r="O1848" s="10"/>
      <c r="P1848" s="10" t="s">
        <v>14352</v>
      </c>
      <c r="Q1848" s="10" t="s">
        <v>14353</v>
      </c>
      <c r="R1848" s="10"/>
      <c r="S1848" s="10" t="s">
        <v>53</v>
      </c>
      <c r="T1848" s="10" t="s">
        <v>54</v>
      </c>
    </row>
    <row r="1849" spans="1:20" ht="14.5" x14ac:dyDescent="0.35">
      <c r="A1849" s="10" t="s">
        <v>14354</v>
      </c>
      <c r="B1849" s="10" t="str">
        <f>"9780691130910"</f>
        <v>9780691130910</v>
      </c>
      <c r="C1849" s="10" t="str">
        <f>"9781400828111"</f>
        <v>9781400828111</v>
      </c>
      <c r="D1849" s="10" t="s">
        <v>14335</v>
      </c>
      <c r="E1849" s="10" t="s">
        <v>14336</v>
      </c>
      <c r="F1849" s="10" t="s">
        <v>2246</v>
      </c>
      <c r="G1849" s="10" t="s">
        <v>6317</v>
      </c>
      <c r="H1849" s="11">
        <v>39285</v>
      </c>
      <c r="I1849" s="10">
        <v>2007</v>
      </c>
      <c r="J1849" s="10" t="s">
        <v>14336</v>
      </c>
      <c r="K1849" s="10">
        <v>192</v>
      </c>
      <c r="L1849" s="10" t="s">
        <v>14355</v>
      </c>
      <c r="M1849" s="10">
        <v>1</v>
      </c>
      <c r="N1849" s="10"/>
      <c r="O1849" s="10"/>
      <c r="P1849" s="10" t="s">
        <v>14356</v>
      </c>
      <c r="Q1849" s="10">
        <v>371.07100000000003</v>
      </c>
      <c r="R1849" s="10"/>
      <c r="S1849" s="10" t="s">
        <v>53</v>
      </c>
      <c r="T1849" s="10" t="s">
        <v>54</v>
      </c>
    </row>
    <row r="1850" spans="1:20" ht="14.5" x14ac:dyDescent="0.35">
      <c r="A1850" s="10" t="s">
        <v>14357</v>
      </c>
      <c r="B1850" s="10" t="str">
        <f>"9780691096612"</f>
        <v>9780691096612</v>
      </c>
      <c r="C1850" s="10" t="str">
        <f>"9781400825424"</f>
        <v>9781400825424</v>
      </c>
      <c r="D1850" s="10" t="s">
        <v>14335</v>
      </c>
      <c r="E1850" s="10" t="s">
        <v>14336</v>
      </c>
      <c r="F1850" s="10" t="s">
        <v>2246</v>
      </c>
      <c r="G1850" s="10" t="s">
        <v>6317</v>
      </c>
      <c r="H1850" s="11">
        <v>37619</v>
      </c>
      <c r="I1850" s="10">
        <v>2003</v>
      </c>
      <c r="J1850" s="10" t="s">
        <v>14336</v>
      </c>
      <c r="K1850" s="10">
        <v>300</v>
      </c>
      <c r="L1850" s="10" t="s">
        <v>14358</v>
      </c>
      <c r="M1850" s="10">
        <v>1</v>
      </c>
      <c r="N1850" s="10"/>
      <c r="O1850" s="10"/>
      <c r="P1850" s="10" t="s">
        <v>14359</v>
      </c>
      <c r="Q1850" s="10" t="s">
        <v>8659</v>
      </c>
      <c r="R1850" s="10"/>
      <c r="S1850" s="10" t="s">
        <v>53</v>
      </c>
      <c r="T1850" s="10" t="s">
        <v>54</v>
      </c>
    </row>
    <row r="1851" spans="1:20" ht="14.5" x14ac:dyDescent="0.35">
      <c r="A1851" s="10" t="s">
        <v>14360</v>
      </c>
      <c r="B1851" s="10" t="str">
        <f>"9780754648109"</f>
        <v>9780754648109</v>
      </c>
      <c r="C1851" s="10" t="str">
        <f>"9780754690634"</f>
        <v>9780754690634</v>
      </c>
      <c r="D1851" s="10" t="s">
        <v>6350</v>
      </c>
      <c r="E1851" s="10" t="s">
        <v>6351</v>
      </c>
      <c r="F1851" s="10" t="s">
        <v>339</v>
      </c>
      <c r="G1851" s="10" t="s">
        <v>6352</v>
      </c>
      <c r="H1851" s="11">
        <v>39992</v>
      </c>
      <c r="I1851" s="10">
        <v>2010</v>
      </c>
      <c r="J1851" s="10" t="s">
        <v>6353</v>
      </c>
      <c r="K1851" s="10">
        <v>323</v>
      </c>
      <c r="L1851" s="10" t="s">
        <v>14361</v>
      </c>
      <c r="M1851" s="10">
        <v>1</v>
      </c>
      <c r="N1851" s="10"/>
      <c r="O1851" s="10"/>
      <c r="P1851" s="10" t="s">
        <v>14362</v>
      </c>
      <c r="Q1851" s="10">
        <v>610.71</v>
      </c>
      <c r="R1851" s="10" t="s">
        <v>14363</v>
      </c>
      <c r="S1851" s="10" t="s">
        <v>53</v>
      </c>
      <c r="T1851" s="10" t="s">
        <v>8625</v>
      </c>
    </row>
    <row r="1852" spans="1:20" ht="14.5" x14ac:dyDescent="0.35">
      <c r="A1852" s="10" t="s">
        <v>14364</v>
      </c>
      <c r="B1852" s="10" t="str">
        <f>"9780754663683"</f>
        <v>9780754663683</v>
      </c>
      <c r="C1852" s="10" t="str">
        <f>"9780754694687"</f>
        <v>9780754694687</v>
      </c>
      <c r="D1852" s="10" t="s">
        <v>6350</v>
      </c>
      <c r="E1852" s="10" t="s">
        <v>6351</v>
      </c>
      <c r="F1852" s="10" t="s">
        <v>339</v>
      </c>
      <c r="G1852" s="10" t="s">
        <v>6352</v>
      </c>
      <c r="H1852" s="11">
        <v>42447</v>
      </c>
      <c r="I1852" s="10">
        <v>2009</v>
      </c>
      <c r="J1852" s="10" t="s">
        <v>6353</v>
      </c>
      <c r="K1852" s="10">
        <v>401</v>
      </c>
      <c r="L1852" s="10" t="s">
        <v>14365</v>
      </c>
      <c r="M1852" s="10">
        <v>1</v>
      </c>
      <c r="N1852" s="10" t="s">
        <v>14366</v>
      </c>
      <c r="O1852" s="10"/>
      <c r="P1852" s="10" t="s">
        <v>14367</v>
      </c>
      <c r="Q1852" s="10">
        <v>370.94200000000001</v>
      </c>
      <c r="R1852" s="10" t="s">
        <v>14368</v>
      </c>
      <c r="S1852" s="10" t="s">
        <v>53</v>
      </c>
      <c r="T1852" s="10" t="s">
        <v>54</v>
      </c>
    </row>
    <row r="1853" spans="1:20" ht="14.5" x14ac:dyDescent="0.35">
      <c r="A1853" s="10" t="s">
        <v>14369</v>
      </c>
      <c r="B1853" s="10" t="str">
        <f>"9780805859324"</f>
        <v>9780805859324</v>
      </c>
      <c r="C1853" s="10" t="str">
        <f>"9780203874769"</f>
        <v>9780203874769</v>
      </c>
      <c r="D1853" s="10" t="s">
        <v>6350</v>
      </c>
      <c r="E1853" s="10" t="s">
        <v>6351</v>
      </c>
      <c r="F1853" s="10" t="s">
        <v>5406</v>
      </c>
      <c r="G1853" s="10" t="s">
        <v>6317</v>
      </c>
      <c r="H1853" s="11">
        <v>38812</v>
      </c>
      <c r="I1853" s="10">
        <v>2006</v>
      </c>
      <c r="J1853" s="10" t="s">
        <v>6353</v>
      </c>
      <c r="K1853" s="10">
        <v>897</v>
      </c>
      <c r="L1853" s="10" t="s">
        <v>14370</v>
      </c>
      <c r="M1853" s="10">
        <v>3</v>
      </c>
      <c r="N1853" s="10"/>
      <c r="O1853" s="10"/>
      <c r="P1853" s="10" t="s">
        <v>14371</v>
      </c>
      <c r="Q1853" s="10">
        <v>370.72</v>
      </c>
      <c r="R1853" s="10" t="s">
        <v>14372</v>
      </c>
      <c r="S1853" s="10" t="s">
        <v>53</v>
      </c>
      <c r="T1853" s="10" t="s">
        <v>54</v>
      </c>
    </row>
    <row r="1854" spans="1:20" ht="14.5" x14ac:dyDescent="0.35">
      <c r="A1854" s="10" t="s">
        <v>14373</v>
      </c>
      <c r="B1854" s="10" t="str">
        <f>"9780415473415"</f>
        <v>9780415473415</v>
      </c>
      <c r="C1854" s="10" t="str">
        <f>"9780203875131"</f>
        <v>9780203875131</v>
      </c>
      <c r="D1854" s="10" t="s">
        <v>6350</v>
      </c>
      <c r="E1854" s="10" t="s">
        <v>6351</v>
      </c>
      <c r="F1854" s="10" t="s">
        <v>748</v>
      </c>
      <c r="G1854" s="10" t="s">
        <v>6352</v>
      </c>
      <c r="H1854" s="11">
        <v>40035</v>
      </c>
      <c r="I1854" s="10">
        <v>2009</v>
      </c>
      <c r="J1854" s="10" t="s">
        <v>6351</v>
      </c>
      <c r="K1854" s="10">
        <v>209</v>
      </c>
      <c r="L1854" s="10" t="s">
        <v>14374</v>
      </c>
      <c r="M1854" s="10">
        <v>1</v>
      </c>
      <c r="N1854" s="10" t="s">
        <v>14375</v>
      </c>
      <c r="O1854" s="10"/>
      <c r="P1854" s="10" t="s">
        <v>14376</v>
      </c>
      <c r="Q1854" s="10" t="s">
        <v>14377</v>
      </c>
      <c r="R1854" s="10" t="s">
        <v>14378</v>
      </c>
      <c r="S1854" s="10" t="s">
        <v>53</v>
      </c>
      <c r="T1854" s="10" t="s">
        <v>54</v>
      </c>
    </row>
    <row r="1855" spans="1:20" ht="14.5" x14ac:dyDescent="0.35">
      <c r="A1855" s="10" t="s">
        <v>14379</v>
      </c>
      <c r="B1855" s="10" t="str">
        <f>"9780415991193"</f>
        <v>9780415991193</v>
      </c>
      <c r="C1855" s="10" t="str">
        <f>"9780203882238"</f>
        <v>9780203882238</v>
      </c>
      <c r="D1855" s="10" t="s">
        <v>6350</v>
      </c>
      <c r="E1855" s="10" t="s">
        <v>6351</v>
      </c>
      <c r="F1855" s="10" t="s">
        <v>139</v>
      </c>
      <c r="G1855" s="10" t="s">
        <v>6352</v>
      </c>
      <c r="H1855" s="11">
        <v>39917</v>
      </c>
      <c r="I1855" s="10">
        <v>2009</v>
      </c>
      <c r="J1855" s="10" t="s">
        <v>6353</v>
      </c>
      <c r="K1855" s="10">
        <v>204</v>
      </c>
      <c r="L1855" s="10" t="s">
        <v>14380</v>
      </c>
      <c r="M1855" s="10">
        <v>1</v>
      </c>
      <c r="N1855" s="10" t="s">
        <v>8217</v>
      </c>
      <c r="O1855" s="10"/>
      <c r="P1855" s="10" t="s">
        <v>14381</v>
      </c>
      <c r="Q1855" s="10" t="s">
        <v>11117</v>
      </c>
      <c r="R1855" s="10" t="s">
        <v>12819</v>
      </c>
      <c r="S1855" s="10" t="s">
        <v>53</v>
      </c>
      <c r="T1855" s="10" t="s">
        <v>54</v>
      </c>
    </row>
    <row r="1856" spans="1:20" ht="14.5" x14ac:dyDescent="0.35">
      <c r="A1856" s="10" t="s">
        <v>14382</v>
      </c>
      <c r="B1856" s="10" t="str">
        <f>"9780415962728"</f>
        <v>9780415962728</v>
      </c>
      <c r="C1856" s="10" t="str">
        <f>"9780203875919"</f>
        <v>9780203875919</v>
      </c>
      <c r="D1856" s="10" t="s">
        <v>6350</v>
      </c>
      <c r="E1856" s="10" t="s">
        <v>6351</v>
      </c>
      <c r="F1856" s="10" t="s">
        <v>5406</v>
      </c>
      <c r="G1856" s="10" t="s">
        <v>6317</v>
      </c>
      <c r="H1856" s="11">
        <v>40057</v>
      </c>
      <c r="I1856" s="10">
        <v>2009</v>
      </c>
      <c r="J1856" s="10" t="s">
        <v>6353</v>
      </c>
      <c r="K1856" s="10">
        <v>214</v>
      </c>
      <c r="L1856" s="10" t="s">
        <v>14383</v>
      </c>
      <c r="M1856" s="10">
        <v>1</v>
      </c>
      <c r="N1856" s="10"/>
      <c r="O1856" s="10"/>
      <c r="P1856" s="10" t="s">
        <v>14384</v>
      </c>
      <c r="Q1856" s="10" t="s">
        <v>9298</v>
      </c>
      <c r="R1856" s="10" t="s">
        <v>14385</v>
      </c>
      <c r="S1856" s="10" t="s">
        <v>53</v>
      </c>
      <c r="T1856" s="10" t="s">
        <v>54</v>
      </c>
    </row>
    <row r="1857" spans="1:20" ht="14.5" x14ac:dyDescent="0.35">
      <c r="A1857" s="10" t="s">
        <v>14386</v>
      </c>
      <c r="B1857" s="10" t="str">
        <f>"9780415494779"</f>
        <v>9780415494779</v>
      </c>
      <c r="C1857" s="10" t="str">
        <f>"9780203873311"</f>
        <v>9780203873311</v>
      </c>
      <c r="D1857" s="10" t="s">
        <v>6350</v>
      </c>
      <c r="E1857" s="10" t="s">
        <v>6351</v>
      </c>
      <c r="F1857" s="10" t="s">
        <v>139</v>
      </c>
      <c r="G1857" s="10" t="s">
        <v>6352</v>
      </c>
      <c r="H1857" s="11">
        <v>40065</v>
      </c>
      <c r="I1857" s="10">
        <v>2010</v>
      </c>
      <c r="J1857" s="10" t="s">
        <v>6353</v>
      </c>
      <c r="K1857" s="10">
        <v>256</v>
      </c>
      <c r="L1857" s="10" t="s">
        <v>14387</v>
      </c>
      <c r="M1857" s="10">
        <v>1</v>
      </c>
      <c r="N1857" s="10" t="s">
        <v>14388</v>
      </c>
      <c r="O1857" s="10"/>
      <c r="P1857" s="10" t="s">
        <v>14389</v>
      </c>
      <c r="Q1857" s="10">
        <v>379</v>
      </c>
      <c r="R1857" s="10" t="s">
        <v>6938</v>
      </c>
      <c r="S1857" s="10" t="s">
        <v>53</v>
      </c>
      <c r="T1857" s="10" t="s">
        <v>54</v>
      </c>
    </row>
    <row r="1858" spans="1:20" ht="14.5" x14ac:dyDescent="0.35">
      <c r="A1858" s="10" t="s">
        <v>14390</v>
      </c>
      <c r="B1858" s="10" t="str">
        <f>"9780415988766"</f>
        <v>9780415988766</v>
      </c>
      <c r="C1858" s="10" t="str">
        <f>"9780203881866"</f>
        <v>9780203881866</v>
      </c>
      <c r="D1858" s="10" t="s">
        <v>6350</v>
      </c>
      <c r="E1858" s="10" t="s">
        <v>6351</v>
      </c>
      <c r="F1858" s="10" t="s">
        <v>139</v>
      </c>
      <c r="G1858" s="10" t="s">
        <v>6352</v>
      </c>
      <c r="H1858" s="11">
        <v>40001</v>
      </c>
      <c r="I1858" s="10">
        <v>2009</v>
      </c>
      <c r="J1858" s="10" t="s">
        <v>6353</v>
      </c>
      <c r="K1858" s="10">
        <v>338</v>
      </c>
      <c r="L1858" s="10" t="s">
        <v>14391</v>
      </c>
      <c r="M1858" s="10">
        <v>1</v>
      </c>
      <c r="N1858" s="10" t="s">
        <v>6954</v>
      </c>
      <c r="O1858" s="10"/>
      <c r="P1858" s="10" t="s">
        <v>14392</v>
      </c>
      <c r="Q1858" s="10" t="s">
        <v>14393</v>
      </c>
      <c r="R1858" s="10" t="s">
        <v>14394</v>
      </c>
      <c r="S1858" s="10" t="s">
        <v>53</v>
      </c>
      <c r="T1858" s="10" t="s">
        <v>54</v>
      </c>
    </row>
    <row r="1859" spans="1:20" ht="14.5" x14ac:dyDescent="0.35">
      <c r="A1859" s="10" t="s">
        <v>14395</v>
      </c>
      <c r="B1859" s="10" t="str">
        <f>"9780415997171"</f>
        <v>9780415997171</v>
      </c>
      <c r="C1859" s="10" t="str">
        <f>"9780203874554"</f>
        <v>9780203874554</v>
      </c>
      <c r="D1859" s="10" t="s">
        <v>6350</v>
      </c>
      <c r="E1859" s="10" t="s">
        <v>6351</v>
      </c>
      <c r="F1859" s="10" t="s">
        <v>748</v>
      </c>
      <c r="G1859" s="10" t="s">
        <v>6352</v>
      </c>
      <c r="H1859" s="11">
        <v>40057</v>
      </c>
      <c r="I1859" s="10">
        <v>2010</v>
      </c>
      <c r="J1859" s="10" t="s">
        <v>6351</v>
      </c>
      <c r="K1859" s="10">
        <v>345</v>
      </c>
      <c r="L1859" s="10" t="s">
        <v>14396</v>
      </c>
      <c r="M1859" s="10">
        <v>1</v>
      </c>
      <c r="N1859" s="10"/>
      <c r="O1859" s="10"/>
      <c r="P1859" s="10" t="s">
        <v>14397</v>
      </c>
      <c r="Q1859" s="10">
        <v>378.101</v>
      </c>
      <c r="R1859" s="10" t="s">
        <v>14398</v>
      </c>
      <c r="S1859" s="10" t="s">
        <v>53</v>
      </c>
      <c r="T1859" s="10" t="s">
        <v>54</v>
      </c>
    </row>
    <row r="1860" spans="1:20" ht="14.5" x14ac:dyDescent="0.35">
      <c r="A1860" s="10" t="s">
        <v>14399</v>
      </c>
      <c r="B1860" s="10" t="str">
        <f>"9780805833379"</f>
        <v>9780805833379</v>
      </c>
      <c r="C1860" s="10" t="str">
        <f>"9781410601476"</f>
        <v>9781410601476</v>
      </c>
      <c r="D1860" s="10" t="s">
        <v>6350</v>
      </c>
      <c r="E1860" s="10" t="s">
        <v>6351</v>
      </c>
      <c r="F1860" s="10" t="s">
        <v>3967</v>
      </c>
      <c r="G1860" s="10" t="s">
        <v>6352</v>
      </c>
      <c r="H1860" s="11">
        <v>36495</v>
      </c>
      <c r="I1860" s="10">
        <v>2000</v>
      </c>
      <c r="J1860" s="10" t="s">
        <v>6353</v>
      </c>
      <c r="K1860" s="10">
        <v>392</v>
      </c>
      <c r="L1860" s="10" t="s">
        <v>14400</v>
      </c>
      <c r="M1860" s="10">
        <v>1</v>
      </c>
      <c r="N1860" s="10"/>
      <c r="O1860" s="10"/>
      <c r="P1860" s="10" t="s">
        <v>14401</v>
      </c>
      <c r="Q1860" s="10" t="s">
        <v>14402</v>
      </c>
      <c r="R1860" s="10" t="s">
        <v>14403</v>
      </c>
      <c r="S1860" s="10" t="s">
        <v>53</v>
      </c>
      <c r="T1860" s="10" t="s">
        <v>1166</v>
      </c>
    </row>
    <row r="1861" spans="1:20" ht="14.5" x14ac:dyDescent="0.35">
      <c r="A1861" s="10" t="s">
        <v>14404</v>
      </c>
      <c r="B1861" s="10" t="str">
        <f>"9780415994095"</f>
        <v>9780415994095</v>
      </c>
      <c r="C1861" s="10" t="str">
        <f>"9780203878774"</f>
        <v>9780203878774</v>
      </c>
      <c r="D1861" s="10" t="s">
        <v>6350</v>
      </c>
      <c r="E1861" s="10" t="s">
        <v>6351</v>
      </c>
      <c r="F1861" s="10" t="s">
        <v>139</v>
      </c>
      <c r="G1861" s="10" t="s">
        <v>6352</v>
      </c>
      <c r="H1861" s="11">
        <v>40021</v>
      </c>
      <c r="I1861" s="10">
        <v>2009</v>
      </c>
      <c r="J1861" s="10" t="s">
        <v>6353</v>
      </c>
      <c r="K1861" s="10">
        <v>281</v>
      </c>
      <c r="L1861" s="10" t="s">
        <v>14405</v>
      </c>
      <c r="M1861" s="10">
        <v>1</v>
      </c>
      <c r="N1861" s="10" t="s">
        <v>14406</v>
      </c>
      <c r="O1861" s="10"/>
      <c r="P1861" s="10" t="s">
        <v>14407</v>
      </c>
      <c r="Q1861" s="10" t="s">
        <v>14408</v>
      </c>
      <c r="R1861" s="10" t="s">
        <v>14409</v>
      </c>
      <c r="S1861" s="10" t="s">
        <v>53</v>
      </c>
      <c r="T1861" s="10" t="s">
        <v>54</v>
      </c>
    </row>
    <row r="1862" spans="1:20" ht="14.5" x14ac:dyDescent="0.35">
      <c r="A1862" s="10" t="s">
        <v>14410</v>
      </c>
      <c r="B1862" s="10" t="str">
        <f>"9780415991667"</f>
        <v>9780415991667</v>
      </c>
      <c r="C1862" s="10" t="str">
        <f>"9780203872925"</f>
        <v>9780203872925</v>
      </c>
      <c r="D1862" s="10" t="s">
        <v>6350</v>
      </c>
      <c r="E1862" s="10" t="s">
        <v>6351</v>
      </c>
      <c r="F1862" s="10" t="s">
        <v>139</v>
      </c>
      <c r="G1862" s="10" t="s">
        <v>6352</v>
      </c>
      <c r="H1862" s="11">
        <v>40051</v>
      </c>
      <c r="I1862" s="10">
        <v>2010</v>
      </c>
      <c r="J1862" s="10" t="s">
        <v>6353</v>
      </c>
      <c r="K1862" s="10">
        <v>241</v>
      </c>
      <c r="L1862" s="10" t="s">
        <v>14411</v>
      </c>
      <c r="M1862" s="10">
        <v>1</v>
      </c>
      <c r="N1862" s="10"/>
      <c r="O1862" s="10"/>
      <c r="P1862" s="10" t="s">
        <v>14412</v>
      </c>
      <c r="Q1862" s="10">
        <v>378</v>
      </c>
      <c r="R1862" s="10" t="s">
        <v>14413</v>
      </c>
      <c r="S1862" s="10" t="s">
        <v>53</v>
      </c>
      <c r="T1862" s="10" t="s">
        <v>54</v>
      </c>
    </row>
    <row r="1863" spans="1:20" ht="14.5" x14ac:dyDescent="0.35">
      <c r="A1863" s="10" t="s">
        <v>14414</v>
      </c>
      <c r="B1863" s="10" t="str">
        <f>"9780415990431"</f>
        <v>9780415990431</v>
      </c>
      <c r="C1863" s="10" t="str">
        <f>"9780203876664"</f>
        <v>9780203876664</v>
      </c>
      <c r="D1863" s="10" t="s">
        <v>6350</v>
      </c>
      <c r="E1863" s="10" t="s">
        <v>6351</v>
      </c>
      <c r="F1863" s="10" t="s">
        <v>139</v>
      </c>
      <c r="G1863" s="10" t="s">
        <v>6352</v>
      </c>
      <c r="H1863" s="11">
        <v>40039</v>
      </c>
      <c r="I1863" s="10">
        <v>2009</v>
      </c>
      <c r="J1863" s="10" t="s">
        <v>6353</v>
      </c>
      <c r="K1863" s="10">
        <v>324</v>
      </c>
      <c r="L1863" s="10" t="s">
        <v>14415</v>
      </c>
      <c r="M1863" s="10">
        <v>1</v>
      </c>
      <c r="N1863" s="10" t="s">
        <v>14416</v>
      </c>
      <c r="O1863" s="10"/>
      <c r="P1863" s="10" t="s">
        <v>14417</v>
      </c>
      <c r="Q1863" s="10" t="s">
        <v>9766</v>
      </c>
      <c r="R1863" s="10" t="s">
        <v>14418</v>
      </c>
      <c r="S1863" s="10" t="s">
        <v>53</v>
      </c>
      <c r="T1863" s="10" t="s">
        <v>54</v>
      </c>
    </row>
    <row r="1864" spans="1:20" ht="14.5" x14ac:dyDescent="0.35">
      <c r="A1864" s="10" t="s">
        <v>14419</v>
      </c>
      <c r="B1864" s="10" t="str">
        <f>"9780415997690"</f>
        <v>9780415997690</v>
      </c>
      <c r="C1864" s="10" t="str">
        <f>"9780203871003"</f>
        <v>9780203871003</v>
      </c>
      <c r="D1864" s="10" t="s">
        <v>6350</v>
      </c>
      <c r="E1864" s="10" t="s">
        <v>6351</v>
      </c>
      <c r="F1864" s="10" t="s">
        <v>139</v>
      </c>
      <c r="G1864" s="10" t="s">
        <v>6352</v>
      </c>
      <c r="H1864" s="11">
        <v>40064</v>
      </c>
      <c r="I1864" s="10">
        <v>2010</v>
      </c>
      <c r="J1864" s="10" t="s">
        <v>6353</v>
      </c>
      <c r="K1864" s="10">
        <v>242</v>
      </c>
      <c r="L1864" s="10" t="s">
        <v>14420</v>
      </c>
      <c r="M1864" s="10">
        <v>1</v>
      </c>
      <c r="N1864" s="10" t="s">
        <v>6954</v>
      </c>
      <c r="O1864" s="10"/>
      <c r="P1864" s="10" t="s">
        <v>14421</v>
      </c>
      <c r="Q1864" s="10" t="s">
        <v>8011</v>
      </c>
      <c r="R1864" s="10" t="s">
        <v>14422</v>
      </c>
      <c r="S1864" s="10" t="s">
        <v>53</v>
      </c>
      <c r="T1864" s="10" t="s">
        <v>6472</v>
      </c>
    </row>
    <row r="1865" spans="1:20" ht="14.5" x14ac:dyDescent="0.35">
      <c r="A1865" s="10" t="s">
        <v>14423</v>
      </c>
      <c r="B1865" s="10" t="str">
        <f>"9780415485128"</f>
        <v>9780415485128</v>
      </c>
      <c r="C1865" s="10" t="str">
        <f>"9780203873755"</f>
        <v>9780203873755</v>
      </c>
      <c r="D1865" s="10" t="s">
        <v>6350</v>
      </c>
      <c r="E1865" s="10" t="s">
        <v>6351</v>
      </c>
      <c r="F1865" s="10" t="s">
        <v>748</v>
      </c>
      <c r="G1865" s="10" t="s">
        <v>6352</v>
      </c>
      <c r="H1865" s="11">
        <v>40077</v>
      </c>
      <c r="I1865" s="10">
        <v>2010</v>
      </c>
      <c r="J1865" s="10" t="s">
        <v>6351</v>
      </c>
      <c r="K1865" s="10">
        <v>301</v>
      </c>
      <c r="L1865" s="10" t="s">
        <v>14424</v>
      </c>
      <c r="M1865" s="10">
        <v>1</v>
      </c>
      <c r="N1865" s="10" t="s">
        <v>14425</v>
      </c>
      <c r="O1865" s="10"/>
      <c r="P1865" s="10" t="s">
        <v>14426</v>
      </c>
      <c r="Q1865" s="10" t="s">
        <v>14427</v>
      </c>
      <c r="R1865" s="10" t="s">
        <v>14428</v>
      </c>
      <c r="S1865" s="10" t="s">
        <v>53</v>
      </c>
      <c r="T1865" s="10" t="s">
        <v>54</v>
      </c>
    </row>
    <row r="1866" spans="1:20" ht="14.5" x14ac:dyDescent="0.35">
      <c r="A1866" s="10" t="s">
        <v>14429</v>
      </c>
      <c r="B1866" s="10" t="str">
        <f>"9780415962308"</f>
        <v>9780415962308</v>
      </c>
      <c r="C1866" s="10" t="str">
        <f>"9780203881514"</f>
        <v>9780203881514</v>
      </c>
      <c r="D1866" s="10" t="s">
        <v>6350</v>
      </c>
      <c r="E1866" s="10" t="s">
        <v>6351</v>
      </c>
      <c r="F1866" s="10" t="s">
        <v>139</v>
      </c>
      <c r="G1866" s="10" t="s">
        <v>6352</v>
      </c>
      <c r="H1866" s="11">
        <v>39888</v>
      </c>
      <c r="I1866" s="10">
        <v>2009</v>
      </c>
      <c r="J1866" s="10" t="s">
        <v>6353</v>
      </c>
      <c r="K1866" s="10">
        <v>592</v>
      </c>
      <c r="L1866" s="10" t="s">
        <v>14430</v>
      </c>
      <c r="M1866" s="10">
        <v>1</v>
      </c>
      <c r="N1866" s="10" t="s">
        <v>14431</v>
      </c>
      <c r="O1866" s="10"/>
      <c r="P1866" s="10" t="s">
        <v>14432</v>
      </c>
      <c r="Q1866" s="10">
        <v>370.11700000000002</v>
      </c>
      <c r="R1866" s="10" t="s">
        <v>6809</v>
      </c>
      <c r="S1866" s="10" t="s">
        <v>53</v>
      </c>
      <c r="T1866" s="10" t="s">
        <v>54</v>
      </c>
    </row>
    <row r="1867" spans="1:20" ht="14.5" x14ac:dyDescent="0.35">
      <c r="A1867" s="10" t="s">
        <v>14433</v>
      </c>
      <c r="B1867" s="10" t="str">
        <f>"9780415556576"</f>
        <v>9780415556576</v>
      </c>
      <c r="C1867" s="10" t="str">
        <f>"9780203869123"</f>
        <v>9780203869123</v>
      </c>
      <c r="D1867" s="10" t="s">
        <v>6350</v>
      </c>
      <c r="E1867" s="10" t="s">
        <v>6351</v>
      </c>
      <c r="F1867" s="10" t="s">
        <v>748</v>
      </c>
      <c r="G1867" s="10" t="s">
        <v>6352</v>
      </c>
      <c r="H1867" s="11">
        <v>40073</v>
      </c>
      <c r="I1867" s="10">
        <v>2010</v>
      </c>
      <c r="J1867" s="10" t="s">
        <v>6351</v>
      </c>
      <c r="K1867" s="10">
        <v>103</v>
      </c>
      <c r="L1867" s="10" t="s">
        <v>14434</v>
      </c>
      <c r="M1867" s="10">
        <v>1</v>
      </c>
      <c r="N1867" s="10"/>
      <c r="O1867" s="10"/>
      <c r="P1867" s="10" t="s">
        <v>14435</v>
      </c>
      <c r="Q1867" s="10" t="s">
        <v>14436</v>
      </c>
      <c r="R1867" s="10" t="s">
        <v>14437</v>
      </c>
      <c r="S1867" s="10" t="s">
        <v>53</v>
      </c>
      <c r="T1867" s="10" t="s">
        <v>54</v>
      </c>
    </row>
    <row r="1868" spans="1:20" ht="14.5" x14ac:dyDescent="0.35">
      <c r="A1868" s="10" t="s">
        <v>14438</v>
      </c>
      <c r="B1868" s="10" t="str">
        <f>"9780415479165"</f>
        <v>9780415479165</v>
      </c>
      <c r="C1868" s="10" t="str">
        <f>"9780203874967"</f>
        <v>9780203874967</v>
      </c>
      <c r="D1868" s="10" t="s">
        <v>6350</v>
      </c>
      <c r="E1868" s="10" t="s">
        <v>6351</v>
      </c>
      <c r="F1868" s="10" t="s">
        <v>748</v>
      </c>
      <c r="G1868" s="10" t="s">
        <v>6352</v>
      </c>
      <c r="H1868" s="11">
        <v>40044</v>
      </c>
      <c r="I1868" s="10">
        <v>2010</v>
      </c>
      <c r="J1868" s="10" t="s">
        <v>6351</v>
      </c>
      <c r="K1868" s="10">
        <v>112</v>
      </c>
      <c r="L1868" s="10" t="s">
        <v>14434</v>
      </c>
      <c r="M1868" s="10">
        <v>1</v>
      </c>
      <c r="N1868" s="10"/>
      <c r="O1868" s="10"/>
      <c r="P1868" s="10" t="s">
        <v>14439</v>
      </c>
      <c r="Q1868" s="10" t="s">
        <v>14440</v>
      </c>
      <c r="R1868" s="10" t="s">
        <v>14441</v>
      </c>
      <c r="S1868" s="10" t="s">
        <v>53</v>
      </c>
      <c r="T1868" s="10" t="s">
        <v>54</v>
      </c>
    </row>
    <row r="1869" spans="1:20" ht="14.5" x14ac:dyDescent="0.35">
      <c r="A1869" s="10" t="s">
        <v>14442</v>
      </c>
      <c r="B1869" s="10" t="str">
        <f>"9780415549936"</f>
        <v>9780415549936</v>
      </c>
      <c r="C1869" s="10" t="str">
        <f>"9780203874622"</f>
        <v>9780203874622</v>
      </c>
      <c r="D1869" s="10" t="s">
        <v>6350</v>
      </c>
      <c r="E1869" s="10" t="s">
        <v>6351</v>
      </c>
      <c r="F1869" s="10" t="s">
        <v>139</v>
      </c>
      <c r="G1869" s="10" t="s">
        <v>6352</v>
      </c>
      <c r="H1869" s="11">
        <v>40050</v>
      </c>
      <c r="I1869" s="10">
        <v>2010</v>
      </c>
      <c r="J1869" s="10" t="s">
        <v>6353</v>
      </c>
      <c r="K1869" s="10">
        <v>182</v>
      </c>
      <c r="L1869" s="10" t="s">
        <v>14443</v>
      </c>
      <c r="M1869" s="10">
        <v>1</v>
      </c>
      <c r="N1869" s="10" t="s">
        <v>14444</v>
      </c>
      <c r="O1869" s="10"/>
      <c r="P1869" s="10" t="s">
        <v>14445</v>
      </c>
      <c r="Q1869" s="10">
        <v>613.70709999999997</v>
      </c>
      <c r="R1869" s="10" t="s">
        <v>14446</v>
      </c>
      <c r="S1869" s="10" t="s">
        <v>53</v>
      </c>
      <c r="T1869" s="10" t="s">
        <v>7023</v>
      </c>
    </row>
    <row r="1870" spans="1:20" ht="14.5" x14ac:dyDescent="0.35">
      <c r="A1870" s="10" t="s">
        <v>14447</v>
      </c>
      <c r="B1870" s="10" t="str">
        <f>"9780415989480"</f>
        <v>9780415989480</v>
      </c>
      <c r="C1870" s="10" t="str">
        <f>"9780203877791"</f>
        <v>9780203877791</v>
      </c>
      <c r="D1870" s="10" t="s">
        <v>6350</v>
      </c>
      <c r="E1870" s="10" t="s">
        <v>6351</v>
      </c>
      <c r="F1870" s="10" t="s">
        <v>139</v>
      </c>
      <c r="G1870" s="10" t="s">
        <v>6352</v>
      </c>
      <c r="H1870" s="11">
        <v>40014</v>
      </c>
      <c r="I1870" s="10">
        <v>2009</v>
      </c>
      <c r="J1870" s="10" t="s">
        <v>6353</v>
      </c>
      <c r="K1870" s="10">
        <v>585</v>
      </c>
      <c r="L1870" s="10" t="s">
        <v>14448</v>
      </c>
      <c r="M1870" s="10">
        <v>1</v>
      </c>
      <c r="N1870" s="10" t="s">
        <v>12310</v>
      </c>
      <c r="O1870" s="10"/>
      <c r="P1870" s="10" t="s">
        <v>14449</v>
      </c>
      <c r="Q1870" s="10">
        <v>375.00099999999998</v>
      </c>
      <c r="R1870" s="10" t="s">
        <v>14450</v>
      </c>
      <c r="S1870" s="10" t="s">
        <v>53</v>
      </c>
      <c r="T1870" s="10" t="s">
        <v>54</v>
      </c>
    </row>
    <row r="1871" spans="1:20" ht="14.5" x14ac:dyDescent="0.35">
      <c r="A1871" s="10" t="s">
        <v>14451</v>
      </c>
      <c r="B1871" s="10" t="str">
        <f>"9780415454315"</f>
        <v>9780415454315</v>
      </c>
      <c r="C1871" s="10" t="str">
        <f>"9780203874462"</f>
        <v>9780203874462</v>
      </c>
      <c r="D1871" s="10" t="s">
        <v>6350</v>
      </c>
      <c r="E1871" s="10" t="s">
        <v>6351</v>
      </c>
      <c r="F1871" s="10" t="s">
        <v>139</v>
      </c>
      <c r="G1871" s="10" t="s">
        <v>6352</v>
      </c>
      <c r="H1871" s="11">
        <v>40049</v>
      </c>
      <c r="I1871" s="10">
        <v>2010</v>
      </c>
      <c r="J1871" s="10" t="s">
        <v>6353</v>
      </c>
      <c r="K1871" s="10">
        <v>233</v>
      </c>
      <c r="L1871" s="10" t="s">
        <v>14452</v>
      </c>
      <c r="M1871" s="10">
        <v>1</v>
      </c>
      <c r="N1871" s="10"/>
      <c r="O1871" s="10"/>
      <c r="P1871" s="10" t="s">
        <v>14453</v>
      </c>
      <c r="Q1871" s="10">
        <v>370.71</v>
      </c>
      <c r="R1871" s="10" t="s">
        <v>14454</v>
      </c>
      <c r="S1871" s="10" t="s">
        <v>53</v>
      </c>
      <c r="T1871" s="10" t="s">
        <v>54</v>
      </c>
    </row>
    <row r="1872" spans="1:20" ht="14.5" x14ac:dyDescent="0.35">
      <c r="A1872" s="10" t="s">
        <v>14455</v>
      </c>
      <c r="B1872" s="10" t="str">
        <f>"9780415464444"</f>
        <v>9780415464444</v>
      </c>
      <c r="C1872" s="10" t="str">
        <f>"9780203872956"</f>
        <v>9780203872956</v>
      </c>
      <c r="D1872" s="10" t="s">
        <v>6350</v>
      </c>
      <c r="E1872" s="10" t="s">
        <v>6351</v>
      </c>
      <c r="F1872" s="10" t="s">
        <v>748</v>
      </c>
      <c r="G1872" s="10" t="s">
        <v>6352</v>
      </c>
      <c r="H1872" s="11">
        <v>40073</v>
      </c>
      <c r="I1872" s="10">
        <v>2010</v>
      </c>
      <c r="J1872" s="10" t="s">
        <v>6351</v>
      </c>
      <c r="K1872" s="10">
        <v>222</v>
      </c>
      <c r="L1872" s="10" t="s">
        <v>14456</v>
      </c>
      <c r="M1872" s="10">
        <v>1</v>
      </c>
      <c r="N1872" s="10" t="s">
        <v>7908</v>
      </c>
      <c r="O1872" s="10"/>
      <c r="P1872" s="10" t="s">
        <v>14457</v>
      </c>
      <c r="Q1872" s="10">
        <v>372.21</v>
      </c>
      <c r="R1872" s="10" t="s">
        <v>8209</v>
      </c>
      <c r="S1872" s="10" t="s">
        <v>53</v>
      </c>
      <c r="T1872" s="10" t="s">
        <v>54</v>
      </c>
    </row>
    <row r="1873" spans="1:20" ht="14.5" x14ac:dyDescent="0.35">
      <c r="A1873" s="10" t="s">
        <v>14458</v>
      </c>
      <c r="B1873" s="10" t="str">
        <f>"9780415461719"</f>
        <v>9780415461719</v>
      </c>
      <c r="C1873" s="10" t="str">
        <f>"9780203872536"</f>
        <v>9780203872536</v>
      </c>
      <c r="D1873" s="10" t="s">
        <v>6350</v>
      </c>
      <c r="E1873" s="10" t="s">
        <v>6351</v>
      </c>
      <c r="F1873" s="10" t="s">
        <v>139</v>
      </c>
      <c r="G1873" s="10" t="s">
        <v>6352</v>
      </c>
      <c r="H1873" s="11">
        <v>40043</v>
      </c>
      <c r="I1873" s="10">
        <v>2010</v>
      </c>
      <c r="J1873" s="10" t="s">
        <v>6353</v>
      </c>
      <c r="K1873" s="10">
        <v>170</v>
      </c>
      <c r="L1873" s="10" t="s">
        <v>14459</v>
      </c>
      <c r="M1873" s="10">
        <v>1</v>
      </c>
      <c r="N1873" s="10" t="s">
        <v>14375</v>
      </c>
      <c r="O1873" s="10"/>
      <c r="P1873" s="10" t="s">
        <v>14460</v>
      </c>
      <c r="Q1873" s="10">
        <v>374.18245999999999</v>
      </c>
      <c r="R1873" s="10" t="s">
        <v>14461</v>
      </c>
      <c r="S1873" s="10" t="s">
        <v>53</v>
      </c>
      <c r="T1873" s="10" t="s">
        <v>54</v>
      </c>
    </row>
    <row r="1874" spans="1:20" ht="14.5" x14ac:dyDescent="0.35">
      <c r="A1874" s="10" t="s">
        <v>14462</v>
      </c>
      <c r="B1874" s="10" t="str">
        <f>"9780415993692"</f>
        <v>9780415993692</v>
      </c>
      <c r="C1874" s="10" t="str">
        <f>"9780203891650"</f>
        <v>9780203891650</v>
      </c>
      <c r="D1874" s="10" t="s">
        <v>6350</v>
      </c>
      <c r="E1874" s="10" t="s">
        <v>6351</v>
      </c>
      <c r="F1874" s="10" t="s">
        <v>139</v>
      </c>
      <c r="G1874" s="10" t="s">
        <v>6352</v>
      </c>
      <c r="H1874" s="11">
        <v>40030</v>
      </c>
      <c r="I1874" s="10">
        <v>2009</v>
      </c>
      <c r="J1874" s="10" t="s">
        <v>6353</v>
      </c>
      <c r="K1874" s="10">
        <v>553</v>
      </c>
      <c r="L1874" s="10" t="s">
        <v>14463</v>
      </c>
      <c r="M1874" s="10">
        <v>1</v>
      </c>
      <c r="N1874" s="10"/>
      <c r="O1874" s="10"/>
      <c r="P1874" s="10" t="s">
        <v>14464</v>
      </c>
      <c r="Q1874" s="10">
        <v>793.01</v>
      </c>
      <c r="R1874" s="10" t="s">
        <v>14465</v>
      </c>
      <c r="S1874" s="10" t="s">
        <v>53</v>
      </c>
      <c r="T1874" s="10" t="s">
        <v>7340</v>
      </c>
    </row>
    <row r="1875" spans="1:20" ht="14.5" x14ac:dyDescent="0.35">
      <c r="A1875" s="10" t="s">
        <v>14466</v>
      </c>
      <c r="B1875" s="10" t="str">
        <f>"9781412935364"</f>
        <v>9781412935364</v>
      </c>
      <c r="C1875" s="10" t="str">
        <f>"9781849205429"</f>
        <v>9781849205429</v>
      </c>
      <c r="D1875" s="10" t="s">
        <v>9325</v>
      </c>
      <c r="E1875" s="10" t="s">
        <v>9326</v>
      </c>
      <c r="F1875" s="10" t="s">
        <v>139</v>
      </c>
      <c r="G1875" s="10" t="s">
        <v>6352</v>
      </c>
      <c r="H1875" s="11">
        <v>39644</v>
      </c>
      <c r="I1875" s="10">
        <v>2008</v>
      </c>
      <c r="J1875" s="10" t="s">
        <v>9326</v>
      </c>
      <c r="K1875" s="10">
        <v>165</v>
      </c>
      <c r="L1875" s="10" t="s">
        <v>14467</v>
      </c>
      <c r="M1875" s="10">
        <v>1</v>
      </c>
      <c r="N1875" s="10" t="s">
        <v>11973</v>
      </c>
      <c r="O1875" s="10"/>
      <c r="P1875" s="10" t="s">
        <v>14468</v>
      </c>
      <c r="Q1875" s="10">
        <v>371.580941</v>
      </c>
      <c r="R1875" s="10" t="s">
        <v>14469</v>
      </c>
      <c r="S1875" s="10" t="s">
        <v>53</v>
      </c>
      <c r="T1875" s="10" t="s">
        <v>54</v>
      </c>
    </row>
    <row r="1876" spans="1:20" ht="14.5" x14ac:dyDescent="0.35">
      <c r="A1876" s="10" t="s">
        <v>14470</v>
      </c>
      <c r="B1876" s="10" t="str">
        <f>"9781412945073"</f>
        <v>9781412945073</v>
      </c>
      <c r="C1876" s="10" t="str">
        <f>"9781849205436"</f>
        <v>9781849205436</v>
      </c>
      <c r="D1876" s="10" t="s">
        <v>9325</v>
      </c>
      <c r="E1876" s="10" t="s">
        <v>9326</v>
      </c>
      <c r="F1876" s="10" t="s">
        <v>139</v>
      </c>
      <c r="G1876" s="10" t="s">
        <v>6352</v>
      </c>
      <c r="H1876" s="11">
        <v>39644</v>
      </c>
      <c r="I1876" s="10">
        <v>2008</v>
      </c>
      <c r="J1876" s="10" t="s">
        <v>9326</v>
      </c>
      <c r="K1876" s="10">
        <v>111</v>
      </c>
      <c r="L1876" s="10" t="s">
        <v>6403</v>
      </c>
      <c r="M1876" s="10">
        <v>1</v>
      </c>
      <c r="N1876" s="10"/>
      <c r="O1876" s="10"/>
      <c r="P1876" s="10" t="s">
        <v>14471</v>
      </c>
      <c r="Q1876" s="10">
        <v>371.10023000000001</v>
      </c>
      <c r="R1876" s="10" t="s">
        <v>14472</v>
      </c>
      <c r="S1876" s="10" t="s">
        <v>53</v>
      </c>
      <c r="T1876" s="10" t="s">
        <v>54</v>
      </c>
    </row>
    <row r="1877" spans="1:20" ht="14.5" x14ac:dyDescent="0.35">
      <c r="A1877" s="10" t="s">
        <v>14473</v>
      </c>
      <c r="B1877" s="10" t="str">
        <f>"9781118013816"</f>
        <v>9781118013816</v>
      </c>
      <c r="C1877" s="10" t="str">
        <f>"9780470526712"</f>
        <v>9780470526712</v>
      </c>
      <c r="D1877" s="10" t="s">
        <v>6322</v>
      </c>
      <c r="E1877" s="10" t="s">
        <v>6323</v>
      </c>
      <c r="F1877" s="10" t="s">
        <v>4423</v>
      </c>
      <c r="G1877" s="10" t="s">
        <v>6317</v>
      </c>
      <c r="H1877" s="11">
        <v>40021</v>
      </c>
      <c r="I1877" s="10">
        <v>2009</v>
      </c>
      <c r="J1877" s="10" t="s">
        <v>6324</v>
      </c>
      <c r="K1877" s="10">
        <v>483</v>
      </c>
      <c r="L1877" s="10" t="s">
        <v>14474</v>
      </c>
      <c r="M1877" s="10">
        <v>1</v>
      </c>
      <c r="N1877" s="10"/>
      <c r="O1877" s="10"/>
      <c r="P1877" s="10" t="s">
        <v>14475</v>
      </c>
      <c r="Q1877" s="10" t="s">
        <v>8748</v>
      </c>
      <c r="R1877" s="10" t="s">
        <v>12537</v>
      </c>
      <c r="S1877" s="10" t="s">
        <v>53</v>
      </c>
      <c r="T1877" s="10" t="s">
        <v>54</v>
      </c>
    </row>
    <row r="1878" spans="1:20" ht="14.5" x14ac:dyDescent="0.35">
      <c r="A1878" s="10" t="s">
        <v>14476</v>
      </c>
      <c r="B1878" s="10" t="str">
        <f>"9780415450270"</f>
        <v>9780415450270</v>
      </c>
      <c r="C1878" s="10" t="str">
        <f>"9780203870938"</f>
        <v>9780203870938</v>
      </c>
      <c r="D1878" s="10" t="s">
        <v>6350</v>
      </c>
      <c r="E1878" s="10" t="s">
        <v>6351</v>
      </c>
      <c r="F1878" s="10" t="s">
        <v>139</v>
      </c>
      <c r="G1878" s="10" t="s">
        <v>6352</v>
      </c>
      <c r="H1878" s="11">
        <v>40088</v>
      </c>
      <c r="I1878" s="10">
        <v>2010</v>
      </c>
      <c r="J1878" s="10" t="s">
        <v>6353</v>
      </c>
      <c r="K1878" s="10">
        <v>225</v>
      </c>
      <c r="L1878" s="10" t="s">
        <v>14477</v>
      </c>
      <c r="M1878" s="10">
        <v>1</v>
      </c>
      <c r="N1878" s="10"/>
      <c r="O1878" s="10"/>
      <c r="P1878" s="10" t="s">
        <v>14478</v>
      </c>
      <c r="Q1878" s="10">
        <v>306.43</v>
      </c>
      <c r="R1878" s="10" t="s">
        <v>14479</v>
      </c>
      <c r="S1878" s="10" t="s">
        <v>53</v>
      </c>
      <c r="T1878" s="10" t="s">
        <v>6526</v>
      </c>
    </row>
    <row r="1879" spans="1:20" ht="14.5" x14ac:dyDescent="0.35">
      <c r="A1879" s="10" t="s">
        <v>14480</v>
      </c>
      <c r="B1879" s="10" t="str">
        <f>"9780415474542"</f>
        <v>9780415474542</v>
      </c>
      <c r="C1879" s="10" t="str">
        <f>"9780203871034"</f>
        <v>9780203871034</v>
      </c>
      <c r="D1879" s="10" t="s">
        <v>6350</v>
      </c>
      <c r="E1879" s="10" t="s">
        <v>6351</v>
      </c>
      <c r="F1879" s="10" t="s">
        <v>748</v>
      </c>
      <c r="G1879" s="10" t="s">
        <v>6352</v>
      </c>
      <c r="H1879" s="11">
        <v>40091</v>
      </c>
      <c r="I1879" s="10">
        <v>2010</v>
      </c>
      <c r="J1879" s="10" t="s">
        <v>6351</v>
      </c>
      <c r="K1879" s="10">
        <v>90</v>
      </c>
      <c r="L1879" s="10" t="s">
        <v>14481</v>
      </c>
      <c r="M1879" s="10">
        <v>1</v>
      </c>
      <c r="N1879" s="10" t="s">
        <v>14482</v>
      </c>
      <c r="O1879" s="10"/>
      <c r="P1879" s="10" t="s">
        <v>14483</v>
      </c>
      <c r="Q1879" s="10" t="s">
        <v>14484</v>
      </c>
      <c r="R1879" s="10" t="s">
        <v>14485</v>
      </c>
      <c r="S1879" s="10" t="s">
        <v>53</v>
      </c>
      <c r="T1879" s="10" t="s">
        <v>54</v>
      </c>
    </row>
    <row r="1880" spans="1:20" ht="14.5" x14ac:dyDescent="0.35">
      <c r="A1880" s="10" t="s">
        <v>14486</v>
      </c>
      <c r="B1880" s="10" t="str">
        <f>"9780415995009"</f>
        <v>9780415995009</v>
      </c>
      <c r="C1880" s="10" t="str">
        <f>"9780203872710"</f>
        <v>9780203872710</v>
      </c>
      <c r="D1880" s="10" t="s">
        <v>6350</v>
      </c>
      <c r="E1880" s="10" t="s">
        <v>6351</v>
      </c>
      <c r="F1880" s="10" t="s">
        <v>139</v>
      </c>
      <c r="G1880" s="10" t="s">
        <v>6352</v>
      </c>
      <c r="H1880" s="11">
        <v>40064</v>
      </c>
      <c r="I1880" s="10">
        <v>2010</v>
      </c>
      <c r="J1880" s="10" t="s">
        <v>6353</v>
      </c>
      <c r="K1880" s="10">
        <v>244</v>
      </c>
      <c r="L1880" s="10" t="s">
        <v>14067</v>
      </c>
      <c r="M1880" s="10">
        <v>1</v>
      </c>
      <c r="N1880" s="10"/>
      <c r="O1880" s="10"/>
      <c r="P1880" s="10" t="s">
        <v>14487</v>
      </c>
      <c r="Q1880" s="10">
        <v>808.53</v>
      </c>
      <c r="R1880" s="10" t="s">
        <v>14488</v>
      </c>
      <c r="S1880" s="10" t="s">
        <v>53</v>
      </c>
      <c r="T1880" s="10" t="s">
        <v>1166</v>
      </c>
    </row>
    <row r="1881" spans="1:20" ht="14.5" x14ac:dyDescent="0.35">
      <c r="A1881" s="10" t="s">
        <v>14489</v>
      </c>
      <c r="B1881" s="10" t="str">
        <f>"9781439900192"</f>
        <v>9781439900192</v>
      </c>
      <c r="C1881" s="10" t="str">
        <f>"9781439900215"</f>
        <v>9781439900215</v>
      </c>
      <c r="D1881" s="10" t="s">
        <v>11120</v>
      </c>
      <c r="E1881" s="10" t="s">
        <v>11120</v>
      </c>
      <c r="F1881" s="10" t="s">
        <v>319</v>
      </c>
      <c r="G1881" s="10" t="s">
        <v>6317</v>
      </c>
      <c r="H1881" s="11">
        <v>40162</v>
      </c>
      <c r="I1881" s="10">
        <v>2010</v>
      </c>
      <c r="J1881" s="10" t="s">
        <v>11120</v>
      </c>
      <c r="K1881" s="10">
        <v>319</v>
      </c>
      <c r="L1881" s="10" t="s">
        <v>14490</v>
      </c>
      <c r="M1881" s="10">
        <v>1</v>
      </c>
      <c r="N1881" s="10"/>
      <c r="O1881" s="10"/>
      <c r="P1881" s="10" t="s">
        <v>14491</v>
      </c>
      <c r="Q1881" s="10" t="s">
        <v>14492</v>
      </c>
      <c r="R1881" s="10" t="s">
        <v>14493</v>
      </c>
      <c r="S1881" s="10" t="s">
        <v>53</v>
      </c>
      <c r="T1881" s="10" t="s">
        <v>54</v>
      </c>
    </row>
    <row r="1882" spans="1:20" ht="14.5" x14ac:dyDescent="0.35">
      <c r="A1882" s="10" t="s">
        <v>14494</v>
      </c>
      <c r="B1882" s="10" t="str">
        <f>"9781847691897"</f>
        <v>9781847691897</v>
      </c>
      <c r="C1882" s="10" t="str">
        <f>"9781847691910"</f>
        <v>9781847691910</v>
      </c>
      <c r="D1882" s="10" t="s">
        <v>8394</v>
      </c>
      <c r="E1882" s="10" t="s">
        <v>8395</v>
      </c>
      <c r="F1882" s="10" t="s">
        <v>10236</v>
      </c>
      <c r="G1882" s="10" t="s">
        <v>6352</v>
      </c>
      <c r="H1882" s="11">
        <v>40045</v>
      </c>
      <c r="I1882" s="10">
        <v>2009</v>
      </c>
      <c r="J1882" s="10" t="s">
        <v>8395</v>
      </c>
      <c r="K1882" s="10">
        <v>407</v>
      </c>
      <c r="L1882" s="10" t="s">
        <v>14495</v>
      </c>
      <c r="M1882" s="10">
        <v>1</v>
      </c>
      <c r="N1882" s="10" t="s">
        <v>9655</v>
      </c>
      <c r="O1882" s="10">
        <v>7</v>
      </c>
      <c r="P1882" s="10" t="s">
        <v>14496</v>
      </c>
      <c r="Q1882" s="10">
        <v>370.11700000000002</v>
      </c>
      <c r="R1882" s="10" t="s">
        <v>14497</v>
      </c>
      <c r="S1882" s="10" t="s">
        <v>53</v>
      </c>
      <c r="T1882" s="10" t="s">
        <v>54</v>
      </c>
    </row>
    <row r="1883" spans="1:20" ht="14.5" x14ac:dyDescent="0.35">
      <c r="A1883" s="10" t="s">
        <v>14498</v>
      </c>
      <c r="B1883" s="10" t="str">
        <f>"9781847691378"</f>
        <v>9781847691378</v>
      </c>
      <c r="C1883" s="10" t="str">
        <f>"9781847691385"</f>
        <v>9781847691385</v>
      </c>
      <c r="D1883" s="10" t="s">
        <v>8394</v>
      </c>
      <c r="E1883" s="10" t="s">
        <v>8395</v>
      </c>
      <c r="F1883" s="10" t="s">
        <v>10236</v>
      </c>
      <c r="G1883" s="10" t="s">
        <v>6352</v>
      </c>
      <c r="H1883" s="11">
        <v>39849</v>
      </c>
      <c r="I1883" s="10">
        <v>2009</v>
      </c>
      <c r="J1883" s="10" t="s">
        <v>8395</v>
      </c>
      <c r="K1883" s="10">
        <v>139</v>
      </c>
      <c r="L1883" s="10" t="s">
        <v>14499</v>
      </c>
      <c r="M1883" s="10">
        <v>1</v>
      </c>
      <c r="N1883" s="10" t="s">
        <v>14500</v>
      </c>
      <c r="O1883" s="10">
        <v>1</v>
      </c>
      <c r="P1883" s="10" t="s">
        <v>14501</v>
      </c>
      <c r="Q1883" s="10" t="s">
        <v>14502</v>
      </c>
      <c r="R1883" s="10" t="s">
        <v>14503</v>
      </c>
      <c r="S1883" s="10" t="s">
        <v>53</v>
      </c>
      <c r="T1883" s="10" t="s">
        <v>6634</v>
      </c>
    </row>
    <row r="1884" spans="1:20" ht="14.5" x14ac:dyDescent="0.35">
      <c r="A1884" s="10" t="s">
        <v>14504</v>
      </c>
      <c r="B1884" s="10" t="str">
        <f>"9781847691934"</f>
        <v>9781847691934</v>
      </c>
      <c r="C1884" s="10" t="str">
        <f>"9781847691941"</f>
        <v>9781847691941</v>
      </c>
      <c r="D1884" s="10" t="s">
        <v>8394</v>
      </c>
      <c r="E1884" s="10" t="s">
        <v>8395</v>
      </c>
      <c r="F1884" s="10" t="s">
        <v>10236</v>
      </c>
      <c r="G1884" s="10" t="s">
        <v>6352</v>
      </c>
      <c r="H1884" s="11">
        <v>40043</v>
      </c>
      <c r="I1884" s="10">
        <v>2009</v>
      </c>
      <c r="J1884" s="10" t="s">
        <v>8395</v>
      </c>
      <c r="K1884" s="10">
        <v>287</v>
      </c>
      <c r="L1884" s="10" t="s">
        <v>14505</v>
      </c>
      <c r="M1884" s="10">
        <v>1</v>
      </c>
      <c r="N1884" s="10" t="s">
        <v>8403</v>
      </c>
      <c r="O1884" s="10">
        <v>72</v>
      </c>
      <c r="P1884" s="10" t="s">
        <v>14506</v>
      </c>
      <c r="Q1884" s="10" t="s">
        <v>14507</v>
      </c>
      <c r="R1884" s="10" t="s">
        <v>14508</v>
      </c>
      <c r="S1884" s="10" t="s">
        <v>53</v>
      </c>
      <c r="T1884" s="10" t="s">
        <v>54</v>
      </c>
    </row>
    <row r="1885" spans="1:20" ht="14.5" x14ac:dyDescent="0.35">
      <c r="A1885" s="10" t="s">
        <v>14509</v>
      </c>
      <c r="B1885" s="10" t="str">
        <f>"9781847691989"</f>
        <v>9781847691989</v>
      </c>
      <c r="C1885" s="10" t="str">
        <f>"9781847692009"</f>
        <v>9781847692009</v>
      </c>
      <c r="D1885" s="10" t="s">
        <v>8394</v>
      </c>
      <c r="E1885" s="10" t="s">
        <v>8395</v>
      </c>
      <c r="F1885" s="10" t="s">
        <v>10236</v>
      </c>
      <c r="G1885" s="10" t="s">
        <v>6352</v>
      </c>
      <c r="H1885" s="11">
        <v>40043</v>
      </c>
      <c r="I1885" s="10">
        <v>2009</v>
      </c>
      <c r="J1885" s="10" t="s">
        <v>8395</v>
      </c>
      <c r="K1885" s="10">
        <v>356</v>
      </c>
      <c r="L1885" s="10" t="s">
        <v>8348</v>
      </c>
      <c r="M1885" s="10">
        <v>2</v>
      </c>
      <c r="N1885" s="10" t="s">
        <v>8880</v>
      </c>
      <c r="O1885" s="10">
        <v>15</v>
      </c>
      <c r="P1885" s="10" t="s">
        <v>14510</v>
      </c>
      <c r="Q1885" s="10">
        <v>372.6</v>
      </c>
      <c r="R1885" s="10" t="s">
        <v>14511</v>
      </c>
      <c r="S1885" s="10" t="s">
        <v>53</v>
      </c>
      <c r="T1885" s="10" t="s">
        <v>54</v>
      </c>
    </row>
    <row r="1886" spans="1:20" ht="14.5" x14ac:dyDescent="0.35">
      <c r="A1886" s="10" t="s">
        <v>14512</v>
      </c>
      <c r="B1886" s="10" t="str">
        <f>"9780415495417"</f>
        <v>9780415495417</v>
      </c>
      <c r="C1886" s="10" t="str">
        <f>"9780203867976"</f>
        <v>9780203867976</v>
      </c>
      <c r="D1886" s="10" t="s">
        <v>6350</v>
      </c>
      <c r="E1886" s="10" t="s">
        <v>6351</v>
      </c>
      <c r="F1886" s="10" t="s">
        <v>5406</v>
      </c>
      <c r="G1886" s="10" t="s">
        <v>6317</v>
      </c>
      <c r="H1886" s="11">
        <v>40108</v>
      </c>
      <c r="I1886" s="10">
        <v>2010</v>
      </c>
      <c r="J1886" s="10" t="s">
        <v>6353</v>
      </c>
      <c r="K1886" s="10">
        <v>281</v>
      </c>
      <c r="L1886" s="10" t="s">
        <v>14513</v>
      </c>
      <c r="M1886" s="10">
        <v>1</v>
      </c>
      <c r="N1886" s="10" t="s">
        <v>14375</v>
      </c>
      <c r="O1886" s="10"/>
      <c r="P1886" s="10" t="s">
        <v>14514</v>
      </c>
      <c r="Q1886" s="10" t="s">
        <v>14440</v>
      </c>
      <c r="R1886" s="10" t="s">
        <v>14515</v>
      </c>
      <c r="S1886" s="10" t="s">
        <v>53</v>
      </c>
      <c r="T1886" s="10" t="s">
        <v>54</v>
      </c>
    </row>
    <row r="1887" spans="1:20" ht="14.5" x14ac:dyDescent="0.35">
      <c r="A1887" s="10" t="s">
        <v>14516</v>
      </c>
      <c r="B1887" s="10" t="str">
        <f>"9780803239654"</f>
        <v>9780803239654</v>
      </c>
      <c r="C1887" s="10" t="str">
        <f>"9780803219427"</f>
        <v>9780803219427</v>
      </c>
      <c r="D1887" s="10" t="s">
        <v>14517</v>
      </c>
      <c r="E1887" s="10" t="s">
        <v>287</v>
      </c>
      <c r="F1887" s="10" t="s">
        <v>288</v>
      </c>
      <c r="G1887" s="10" t="s">
        <v>6317</v>
      </c>
      <c r="H1887" s="11">
        <v>39753</v>
      </c>
      <c r="I1887" s="10">
        <v>2008</v>
      </c>
      <c r="J1887" s="10" t="s">
        <v>14518</v>
      </c>
      <c r="K1887" s="10">
        <v>369</v>
      </c>
      <c r="L1887" s="10" t="s">
        <v>14519</v>
      </c>
      <c r="M1887" s="10">
        <v>1</v>
      </c>
      <c r="N1887" s="10" t="s">
        <v>14520</v>
      </c>
      <c r="O1887" s="10"/>
      <c r="P1887" s="10" t="s">
        <v>14521</v>
      </c>
      <c r="Q1887" s="10">
        <v>378</v>
      </c>
      <c r="R1887" s="10" t="s">
        <v>14522</v>
      </c>
      <c r="S1887" s="10" t="s">
        <v>53</v>
      </c>
      <c r="T1887" s="10" t="s">
        <v>54</v>
      </c>
    </row>
    <row r="1888" spans="1:20" ht="14.5" x14ac:dyDescent="0.35">
      <c r="A1888" s="10" t="s">
        <v>14523</v>
      </c>
      <c r="B1888" s="10" t="str">
        <f>"9780803217782"</f>
        <v>9780803217782</v>
      </c>
      <c r="C1888" s="10" t="str">
        <f>"9780803224681"</f>
        <v>9780803224681</v>
      </c>
      <c r="D1888" s="10" t="s">
        <v>14517</v>
      </c>
      <c r="E1888" s="10" t="s">
        <v>287</v>
      </c>
      <c r="F1888" s="10" t="s">
        <v>288</v>
      </c>
      <c r="G1888" s="10" t="s">
        <v>6317</v>
      </c>
      <c r="H1888" s="11">
        <v>39934</v>
      </c>
      <c r="I1888" s="10">
        <v>2009</v>
      </c>
      <c r="J1888" s="10" t="s">
        <v>287</v>
      </c>
      <c r="K1888" s="10">
        <v>341</v>
      </c>
      <c r="L1888" s="10" t="s">
        <v>14524</v>
      </c>
      <c r="M1888" s="10">
        <v>1</v>
      </c>
      <c r="N1888" s="10" t="s">
        <v>14525</v>
      </c>
      <c r="O1888" s="10"/>
      <c r="P1888" s="10" t="s">
        <v>14526</v>
      </c>
      <c r="Q1888" s="10">
        <v>370.964</v>
      </c>
      <c r="R1888" s="10" t="s">
        <v>14527</v>
      </c>
      <c r="S1888" s="10" t="s">
        <v>53</v>
      </c>
      <c r="T1888" s="10" t="s">
        <v>54</v>
      </c>
    </row>
    <row r="1889" spans="1:20" ht="14.5" x14ac:dyDescent="0.35">
      <c r="A1889" s="10" t="s">
        <v>14528</v>
      </c>
      <c r="B1889" s="10" t="str">
        <f>"9780415805858"</f>
        <v>9780415805858</v>
      </c>
      <c r="C1889" s="10" t="str">
        <f>"9780203866399"</f>
        <v>9780203866399</v>
      </c>
      <c r="D1889" s="10" t="s">
        <v>6350</v>
      </c>
      <c r="E1889" s="10" t="s">
        <v>6351</v>
      </c>
      <c r="F1889" s="10" t="s">
        <v>139</v>
      </c>
      <c r="G1889" s="10" t="s">
        <v>6352</v>
      </c>
      <c r="H1889" s="11">
        <v>40093</v>
      </c>
      <c r="I1889" s="10">
        <v>2009</v>
      </c>
      <c r="J1889" s="10" t="s">
        <v>6353</v>
      </c>
      <c r="K1889" s="10">
        <v>276</v>
      </c>
      <c r="L1889" s="10" t="s">
        <v>14529</v>
      </c>
      <c r="M1889" s="10">
        <v>1</v>
      </c>
      <c r="N1889" s="10" t="s">
        <v>6954</v>
      </c>
      <c r="O1889" s="10"/>
      <c r="P1889" s="10" t="s">
        <v>14530</v>
      </c>
      <c r="Q1889" s="10" t="s">
        <v>7335</v>
      </c>
      <c r="R1889" s="10" t="s">
        <v>14531</v>
      </c>
      <c r="S1889" s="10" t="s">
        <v>53</v>
      </c>
      <c r="T1889" s="10" t="s">
        <v>54</v>
      </c>
    </row>
    <row r="1890" spans="1:20" ht="14.5" x14ac:dyDescent="0.35">
      <c r="A1890" s="10" t="s">
        <v>14532</v>
      </c>
      <c r="B1890" s="10" t="str">
        <f>"9781848550940"</f>
        <v>9781848550940</v>
      </c>
      <c r="C1890" s="10" t="str">
        <f>"9781848550957"</f>
        <v>9781848550957</v>
      </c>
      <c r="D1890" s="10" t="s">
        <v>8699</v>
      </c>
      <c r="E1890" s="10" t="s">
        <v>8699</v>
      </c>
      <c r="F1890" s="10" t="s">
        <v>559</v>
      </c>
      <c r="G1890" s="10" t="s">
        <v>6352</v>
      </c>
      <c r="H1890" s="11">
        <v>39906</v>
      </c>
      <c r="I1890" s="10">
        <v>2009</v>
      </c>
      <c r="J1890" s="10" t="s">
        <v>8699</v>
      </c>
      <c r="K1890" s="10">
        <v>456</v>
      </c>
      <c r="L1890" s="10" t="s">
        <v>14533</v>
      </c>
      <c r="M1890" s="10">
        <v>1</v>
      </c>
      <c r="N1890" s="10" t="s">
        <v>14534</v>
      </c>
      <c r="O1890" s="10">
        <v>10</v>
      </c>
      <c r="P1890" s="10" t="s">
        <v>14535</v>
      </c>
      <c r="Q1890" s="10"/>
      <c r="R1890" s="10" t="s">
        <v>6669</v>
      </c>
      <c r="S1890" s="10" t="s">
        <v>53</v>
      </c>
      <c r="T1890" s="10" t="s">
        <v>54</v>
      </c>
    </row>
    <row r="1891" spans="1:20" ht="14.5" x14ac:dyDescent="0.35">
      <c r="A1891" s="10" t="s">
        <v>14536</v>
      </c>
      <c r="B1891" s="10" t="str">
        <f>"9780762314874"</f>
        <v>9780762314874</v>
      </c>
      <c r="C1891" s="10" t="str">
        <f>"9781849505437"</f>
        <v>9781849505437</v>
      </c>
      <c r="D1891" s="10" t="s">
        <v>8699</v>
      </c>
      <c r="E1891" s="10" t="s">
        <v>8699</v>
      </c>
      <c r="F1891" s="10" t="s">
        <v>559</v>
      </c>
      <c r="G1891" s="10" t="s">
        <v>6352</v>
      </c>
      <c r="H1891" s="11">
        <v>39569</v>
      </c>
      <c r="I1891" s="10">
        <v>2008</v>
      </c>
      <c r="J1891" s="10" t="s">
        <v>8699</v>
      </c>
      <c r="K1891" s="10">
        <v>360</v>
      </c>
      <c r="L1891" s="10" t="s">
        <v>14537</v>
      </c>
      <c r="M1891" s="10">
        <v>1</v>
      </c>
      <c r="N1891" s="10" t="s">
        <v>14534</v>
      </c>
      <c r="O1891" s="10">
        <v>9</v>
      </c>
      <c r="P1891" s="10" t="s">
        <v>14538</v>
      </c>
      <c r="Q1891" s="10">
        <v>378</v>
      </c>
      <c r="R1891" s="10" t="s">
        <v>14539</v>
      </c>
      <c r="S1891" s="10" t="s">
        <v>53</v>
      </c>
      <c r="T1891" s="10" t="s">
        <v>54</v>
      </c>
    </row>
    <row r="1892" spans="1:20" ht="14.5" x14ac:dyDescent="0.35">
      <c r="A1892" s="10" t="s">
        <v>14540</v>
      </c>
      <c r="B1892" s="10" t="str">
        <f>"9781846639104"</f>
        <v>9781846639104</v>
      </c>
      <c r="C1892" s="10" t="str">
        <f>"9781846639111"</f>
        <v>9781846639111</v>
      </c>
      <c r="D1892" s="10" t="s">
        <v>8699</v>
      </c>
      <c r="E1892" s="10" t="s">
        <v>8699</v>
      </c>
      <c r="F1892" s="10" t="s">
        <v>559</v>
      </c>
      <c r="G1892" s="10" t="s">
        <v>6352</v>
      </c>
      <c r="H1892" s="11">
        <v>39629</v>
      </c>
      <c r="I1892" s="10">
        <v>2008</v>
      </c>
      <c r="J1892" s="10" t="s">
        <v>8699</v>
      </c>
      <c r="K1892" s="10">
        <v>252</v>
      </c>
      <c r="L1892" s="10" t="s">
        <v>14541</v>
      </c>
      <c r="M1892" s="10">
        <v>1</v>
      </c>
      <c r="N1892" s="10" t="s">
        <v>14542</v>
      </c>
      <c r="O1892" s="10">
        <v>16</v>
      </c>
      <c r="P1892" s="10" t="s">
        <v>14543</v>
      </c>
      <c r="Q1892" s="10">
        <v>371.20097299999998</v>
      </c>
      <c r="R1892" s="10" t="s">
        <v>8651</v>
      </c>
      <c r="S1892" s="10" t="s">
        <v>53</v>
      </c>
      <c r="T1892" s="10" t="s">
        <v>54</v>
      </c>
    </row>
    <row r="1893" spans="1:20" ht="14.5" x14ac:dyDescent="0.35">
      <c r="A1893" s="10" t="s">
        <v>14544</v>
      </c>
      <c r="B1893" s="10" t="str">
        <f>"9781848551848"</f>
        <v>9781848551848</v>
      </c>
      <c r="C1893" s="10" t="str">
        <f>"9781848551855"</f>
        <v>9781848551855</v>
      </c>
      <c r="D1893" s="10" t="s">
        <v>8699</v>
      </c>
      <c r="E1893" s="10" t="s">
        <v>8699</v>
      </c>
      <c r="F1893" s="10" t="s">
        <v>559</v>
      </c>
      <c r="G1893" s="10" t="s">
        <v>6352</v>
      </c>
      <c r="H1893" s="11">
        <v>39783</v>
      </c>
      <c r="I1893" s="10">
        <v>2008</v>
      </c>
      <c r="J1893" s="10" t="s">
        <v>8699</v>
      </c>
      <c r="K1893" s="10">
        <v>542</v>
      </c>
      <c r="L1893" s="10" t="s">
        <v>14545</v>
      </c>
      <c r="M1893" s="10">
        <v>1</v>
      </c>
      <c r="N1893" s="10" t="s">
        <v>14546</v>
      </c>
      <c r="O1893" s="10">
        <v>6</v>
      </c>
      <c r="P1893" s="10" t="s">
        <v>14547</v>
      </c>
      <c r="Q1893" s="10">
        <v>370</v>
      </c>
      <c r="R1893" s="10" t="s">
        <v>11337</v>
      </c>
      <c r="S1893" s="10" t="s">
        <v>53</v>
      </c>
      <c r="T1893" s="10" t="s">
        <v>54</v>
      </c>
    </row>
    <row r="1894" spans="1:20" ht="14.5" x14ac:dyDescent="0.35">
      <c r="A1894" s="10" t="s">
        <v>14548</v>
      </c>
      <c r="B1894" s="10" t="str">
        <f>"9781848553569"</f>
        <v>9781848553569</v>
      </c>
      <c r="C1894" s="10" t="str">
        <f>"9781848553576"</f>
        <v>9781848553576</v>
      </c>
      <c r="D1894" s="10" t="s">
        <v>8699</v>
      </c>
      <c r="E1894" s="10" t="s">
        <v>8699</v>
      </c>
      <c r="F1894" s="10" t="s">
        <v>559</v>
      </c>
      <c r="G1894" s="10" t="s">
        <v>6352</v>
      </c>
      <c r="H1894" s="11">
        <v>39764</v>
      </c>
      <c r="I1894" s="10">
        <v>2008</v>
      </c>
      <c r="J1894" s="10" t="s">
        <v>8699</v>
      </c>
      <c r="K1894" s="10">
        <v>296</v>
      </c>
      <c r="L1894" s="10" t="s">
        <v>14549</v>
      </c>
      <c r="M1894" s="10">
        <v>1</v>
      </c>
      <c r="N1894" s="10" t="s">
        <v>14550</v>
      </c>
      <c r="O1894" s="10">
        <v>18</v>
      </c>
      <c r="P1894" s="10" t="s">
        <v>14551</v>
      </c>
      <c r="Q1894" s="10">
        <v>371.94</v>
      </c>
      <c r="R1894" s="10" t="s">
        <v>6577</v>
      </c>
      <c r="S1894" s="10" t="s">
        <v>53</v>
      </c>
      <c r="T1894" s="10" t="s">
        <v>54</v>
      </c>
    </row>
    <row r="1895" spans="1:20" ht="14.5" x14ac:dyDescent="0.35">
      <c r="A1895" s="10" t="s">
        <v>14552</v>
      </c>
      <c r="B1895" s="10" t="str">
        <f>"9781597492744"</f>
        <v>9781597492744</v>
      </c>
      <c r="C1895" s="10" t="str">
        <f>"9781849505277"</f>
        <v>9781849505277</v>
      </c>
      <c r="D1895" s="10" t="s">
        <v>8699</v>
      </c>
      <c r="E1895" s="10" t="s">
        <v>8699</v>
      </c>
      <c r="F1895" s="10" t="s">
        <v>559</v>
      </c>
      <c r="G1895" s="10" t="s">
        <v>6352</v>
      </c>
      <c r="H1895" s="11">
        <v>39569</v>
      </c>
      <c r="I1895" s="10">
        <v>2008</v>
      </c>
      <c r="J1895" s="10" t="s">
        <v>8699</v>
      </c>
      <c r="K1895" s="10">
        <v>343</v>
      </c>
      <c r="L1895" s="10" t="s">
        <v>14553</v>
      </c>
      <c r="M1895" s="10">
        <v>1</v>
      </c>
      <c r="N1895" s="10" t="s">
        <v>14554</v>
      </c>
      <c r="O1895" s="10">
        <v>21</v>
      </c>
      <c r="P1895" s="10" t="s">
        <v>14555</v>
      </c>
      <c r="Q1895" s="10">
        <v>371.90710000000001</v>
      </c>
      <c r="R1895" s="10" t="s">
        <v>14556</v>
      </c>
      <c r="S1895" s="10" t="s">
        <v>53</v>
      </c>
      <c r="T1895" s="10" t="s">
        <v>54</v>
      </c>
    </row>
    <row r="1896" spans="1:20" ht="14.5" x14ac:dyDescent="0.35">
      <c r="A1896" s="10" t="s">
        <v>14557</v>
      </c>
      <c r="B1896" s="10" t="str">
        <f>"9780195310764"</f>
        <v>9780195310764</v>
      </c>
      <c r="C1896" s="10" t="str">
        <f>"9780199718665"</f>
        <v>9780199718665</v>
      </c>
      <c r="D1896" s="10" t="s">
        <v>9122</v>
      </c>
      <c r="E1896" s="10" t="s">
        <v>9133</v>
      </c>
      <c r="F1896" s="10" t="s">
        <v>330</v>
      </c>
      <c r="G1896" s="10" t="s">
        <v>6317</v>
      </c>
      <c r="H1896" s="11">
        <v>40021</v>
      </c>
      <c r="I1896" s="10">
        <v>2009</v>
      </c>
      <c r="J1896" s="10" t="s">
        <v>9133</v>
      </c>
      <c r="K1896" s="10">
        <v>766</v>
      </c>
      <c r="L1896" s="10" t="s">
        <v>14558</v>
      </c>
      <c r="M1896" s="10">
        <v>1</v>
      </c>
      <c r="N1896" s="10"/>
      <c r="O1896" s="10"/>
      <c r="P1896" s="10" t="s">
        <v>14559</v>
      </c>
      <c r="Q1896" s="10">
        <v>510</v>
      </c>
      <c r="R1896" s="10" t="s">
        <v>14560</v>
      </c>
      <c r="S1896" s="10" t="s">
        <v>53</v>
      </c>
      <c r="T1896" s="10" t="s">
        <v>389</v>
      </c>
    </row>
    <row r="1897" spans="1:20" ht="14.5" x14ac:dyDescent="0.35">
      <c r="A1897" s="10" t="s">
        <v>14561</v>
      </c>
      <c r="B1897" s="10" t="str">
        <f>"9780761934134"</f>
        <v>9780761934134</v>
      </c>
      <c r="C1897" s="10" t="str">
        <f>"9788132102656"</f>
        <v>9788132102656</v>
      </c>
      <c r="D1897" s="10" t="s">
        <v>14562</v>
      </c>
      <c r="E1897" s="10" t="s">
        <v>14563</v>
      </c>
      <c r="F1897" s="10" t="s">
        <v>14564</v>
      </c>
      <c r="G1897" s="10" t="s">
        <v>13425</v>
      </c>
      <c r="H1897" s="11">
        <v>44295</v>
      </c>
      <c r="I1897" s="10">
        <v>2006</v>
      </c>
      <c r="J1897" s="10" t="s">
        <v>14563</v>
      </c>
      <c r="K1897" s="10">
        <v>229</v>
      </c>
      <c r="L1897" s="10" t="s">
        <v>14565</v>
      </c>
      <c r="M1897" s="10">
        <v>1</v>
      </c>
      <c r="N1897" s="10" t="s">
        <v>14566</v>
      </c>
      <c r="O1897" s="10"/>
      <c r="P1897" s="10" t="s">
        <v>14567</v>
      </c>
      <c r="Q1897" s="10" t="s">
        <v>14568</v>
      </c>
      <c r="R1897" s="10" t="s">
        <v>14569</v>
      </c>
      <c r="S1897" s="10" t="s">
        <v>53</v>
      </c>
      <c r="T1897" s="10" t="s">
        <v>6660</v>
      </c>
    </row>
    <row r="1898" spans="1:20" ht="14.5" x14ac:dyDescent="0.35">
      <c r="A1898" s="10" t="s">
        <v>14570</v>
      </c>
      <c r="B1898" s="10" t="str">
        <f>"9780415474559"</f>
        <v>9780415474559</v>
      </c>
      <c r="C1898" s="10" t="str">
        <f>"9780203867754"</f>
        <v>9780203867754</v>
      </c>
      <c r="D1898" s="10" t="s">
        <v>6350</v>
      </c>
      <c r="E1898" s="10" t="s">
        <v>6351</v>
      </c>
      <c r="F1898" s="10" t="s">
        <v>748</v>
      </c>
      <c r="G1898" s="10" t="s">
        <v>6352</v>
      </c>
      <c r="H1898" s="11">
        <v>40120</v>
      </c>
      <c r="I1898" s="10">
        <v>2010</v>
      </c>
      <c r="J1898" s="10" t="s">
        <v>6351</v>
      </c>
      <c r="K1898" s="10">
        <v>94</v>
      </c>
      <c r="L1898" s="10" t="s">
        <v>14571</v>
      </c>
      <c r="M1898" s="10">
        <v>1</v>
      </c>
      <c r="N1898" s="10" t="s">
        <v>14482</v>
      </c>
      <c r="O1898" s="10"/>
      <c r="P1898" s="10" t="s">
        <v>14572</v>
      </c>
      <c r="Q1898" s="10">
        <v>372.60941000000003</v>
      </c>
      <c r="R1898" s="10" t="s">
        <v>14573</v>
      </c>
      <c r="S1898" s="10" t="s">
        <v>53</v>
      </c>
      <c r="T1898" s="10" t="s">
        <v>54</v>
      </c>
    </row>
    <row r="1899" spans="1:20" ht="14.5" x14ac:dyDescent="0.35">
      <c r="A1899" s="10" t="s">
        <v>14574</v>
      </c>
      <c r="B1899" s="10" t="str">
        <f>"9780415493390"</f>
        <v>9780415493390</v>
      </c>
      <c r="C1899" s="10" t="str">
        <f>"9780203867020"</f>
        <v>9780203867020</v>
      </c>
      <c r="D1899" s="10" t="s">
        <v>6350</v>
      </c>
      <c r="E1899" s="10" t="s">
        <v>6351</v>
      </c>
      <c r="F1899" s="10" t="s">
        <v>5406</v>
      </c>
      <c r="G1899" s="10" t="s">
        <v>6352</v>
      </c>
      <c r="H1899" s="11">
        <v>40116</v>
      </c>
      <c r="I1899" s="10">
        <v>2010</v>
      </c>
      <c r="J1899" s="10" t="s">
        <v>6353</v>
      </c>
      <c r="K1899" s="10">
        <v>239</v>
      </c>
      <c r="L1899" s="10" t="s">
        <v>14575</v>
      </c>
      <c r="M1899" s="10">
        <v>1</v>
      </c>
      <c r="N1899" s="10" t="s">
        <v>14375</v>
      </c>
      <c r="O1899" s="10"/>
      <c r="P1899" s="10" t="s">
        <v>14576</v>
      </c>
      <c r="Q1899" s="10" t="s">
        <v>14577</v>
      </c>
      <c r="R1899" s="10" t="s">
        <v>14578</v>
      </c>
      <c r="S1899" s="10" t="s">
        <v>53</v>
      </c>
      <c r="T1899" s="10" t="s">
        <v>54</v>
      </c>
    </row>
    <row r="1900" spans="1:20" ht="14.5" x14ac:dyDescent="0.35">
      <c r="A1900" s="10" t="s">
        <v>14579</v>
      </c>
      <c r="B1900" s="10" t="str">
        <f>"9780415989350"</f>
        <v>9780415989350</v>
      </c>
      <c r="C1900" s="10" t="str">
        <f>"9780203872970"</f>
        <v>9780203872970</v>
      </c>
      <c r="D1900" s="10" t="s">
        <v>6350</v>
      </c>
      <c r="E1900" s="10" t="s">
        <v>6351</v>
      </c>
      <c r="F1900" s="10" t="s">
        <v>5406</v>
      </c>
      <c r="G1900" s="10" t="s">
        <v>6317</v>
      </c>
      <c r="H1900" s="11">
        <v>40084</v>
      </c>
      <c r="I1900" s="10">
        <v>2010</v>
      </c>
      <c r="J1900" s="10" t="s">
        <v>6353</v>
      </c>
      <c r="K1900" s="10">
        <v>227</v>
      </c>
      <c r="L1900" s="10" t="s">
        <v>14580</v>
      </c>
      <c r="M1900" s="10">
        <v>1</v>
      </c>
      <c r="N1900" s="10" t="s">
        <v>14406</v>
      </c>
      <c r="O1900" s="10"/>
      <c r="P1900" s="10" t="s">
        <v>14581</v>
      </c>
      <c r="Q1900" s="10" t="s">
        <v>14582</v>
      </c>
      <c r="R1900" s="10" t="s">
        <v>14583</v>
      </c>
      <c r="S1900" s="10" t="s">
        <v>53</v>
      </c>
      <c r="T1900" s="10" t="s">
        <v>54</v>
      </c>
    </row>
    <row r="1901" spans="1:20" ht="14.5" x14ac:dyDescent="0.35">
      <c r="A1901" s="10" t="s">
        <v>14584</v>
      </c>
      <c r="B1901" s="10" t="str">
        <f>"9780415963756"</f>
        <v>9780415963756</v>
      </c>
      <c r="C1901" s="10" t="str">
        <f>"9780203876046"</f>
        <v>9780203876046</v>
      </c>
      <c r="D1901" s="10" t="s">
        <v>6350</v>
      </c>
      <c r="E1901" s="10" t="s">
        <v>6351</v>
      </c>
      <c r="F1901" s="10" t="s">
        <v>5406</v>
      </c>
      <c r="G1901" s="10" t="s">
        <v>6317</v>
      </c>
      <c r="H1901" s="11">
        <v>40105</v>
      </c>
      <c r="I1901" s="10">
        <v>2010</v>
      </c>
      <c r="J1901" s="10" t="s">
        <v>6353</v>
      </c>
      <c r="K1901" s="10">
        <v>544</v>
      </c>
      <c r="L1901" s="10" t="s">
        <v>14585</v>
      </c>
      <c r="M1901" s="10">
        <v>1</v>
      </c>
      <c r="N1901" s="10"/>
      <c r="O1901" s="10"/>
      <c r="P1901" s="10" t="s">
        <v>14586</v>
      </c>
      <c r="Q1901" s="10">
        <v>371.19200000000001</v>
      </c>
      <c r="R1901" s="10" t="s">
        <v>14587</v>
      </c>
      <c r="S1901" s="10" t="s">
        <v>53</v>
      </c>
      <c r="T1901" s="10" t="s">
        <v>54</v>
      </c>
    </row>
    <row r="1902" spans="1:20" ht="14.5" x14ac:dyDescent="0.35">
      <c r="A1902" s="10" t="s">
        <v>14588</v>
      </c>
      <c r="B1902" s="10" t="str">
        <f>"9780415483957"</f>
        <v>9780415483957</v>
      </c>
      <c r="C1902" s="10" t="str">
        <f>"9780203864821"</f>
        <v>9780203864821</v>
      </c>
      <c r="D1902" s="10" t="s">
        <v>6350</v>
      </c>
      <c r="E1902" s="10" t="s">
        <v>6351</v>
      </c>
      <c r="F1902" s="10" t="s">
        <v>139</v>
      </c>
      <c r="G1902" s="10" t="s">
        <v>6352</v>
      </c>
      <c r="H1902" s="11">
        <v>40108</v>
      </c>
      <c r="I1902" s="10">
        <v>2010</v>
      </c>
      <c r="J1902" s="10" t="s">
        <v>6353</v>
      </c>
      <c r="K1902" s="10">
        <v>180</v>
      </c>
      <c r="L1902" s="10" t="s">
        <v>14589</v>
      </c>
      <c r="M1902" s="10">
        <v>1</v>
      </c>
      <c r="N1902" s="10"/>
      <c r="O1902" s="10"/>
      <c r="P1902" s="10" t="s">
        <v>14590</v>
      </c>
      <c r="Q1902" s="10">
        <v>373.18269400000003</v>
      </c>
      <c r="R1902" s="10" t="s">
        <v>14591</v>
      </c>
      <c r="S1902" s="10" t="s">
        <v>53</v>
      </c>
      <c r="T1902" s="10" t="s">
        <v>54</v>
      </c>
    </row>
    <row r="1903" spans="1:20" ht="14.5" x14ac:dyDescent="0.35">
      <c r="A1903" s="10" t="s">
        <v>14592</v>
      </c>
      <c r="B1903" s="10" t="str">
        <f>"9783110146943"</f>
        <v>9783110146943</v>
      </c>
      <c r="C1903" s="10" t="str">
        <f>"9783110194128"</f>
        <v>9783110194128</v>
      </c>
      <c r="D1903" s="10" t="s">
        <v>9995</v>
      </c>
      <c r="E1903" s="10" t="s">
        <v>9996</v>
      </c>
      <c r="F1903" s="10" t="s">
        <v>9997</v>
      </c>
      <c r="G1903" s="10" t="s">
        <v>9998</v>
      </c>
      <c r="H1903" s="11">
        <v>37890</v>
      </c>
      <c r="I1903" s="10">
        <v>2003</v>
      </c>
      <c r="J1903" s="10" t="s">
        <v>10009</v>
      </c>
      <c r="K1903" s="10">
        <v>1225</v>
      </c>
      <c r="L1903" s="10" t="s">
        <v>9999</v>
      </c>
      <c r="M1903" s="10">
        <v>1</v>
      </c>
      <c r="N1903" s="10" t="s">
        <v>10000</v>
      </c>
      <c r="O1903" s="10" t="s">
        <v>14593</v>
      </c>
      <c r="P1903" s="10" t="s">
        <v>14594</v>
      </c>
      <c r="Q1903" s="10"/>
      <c r="R1903" s="10"/>
      <c r="S1903" s="10" t="s">
        <v>1519</v>
      </c>
      <c r="T1903" s="10" t="s">
        <v>6616</v>
      </c>
    </row>
    <row r="1904" spans="1:20" ht="14.5" x14ac:dyDescent="0.35">
      <c r="A1904" s="10" t="s">
        <v>14595</v>
      </c>
      <c r="B1904" s="10" t="str">
        <f>"9783110191134"</f>
        <v>9783110191134</v>
      </c>
      <c r="C1904" s="10" t="str">
        <f>"9783110207019"</f>
        <v>9783110207019</v>
      </c>
      <c r="D1904" s="10" t="s">
        <v>9995</v>
      </c>
      <c r="E1904" s="10" t="s">
        <v>2515</v>
      </c>
      <c r="F1904" s="10" t="s">
        <v>9997</v>
      </c>
      <c r="G1904" s="10" t="s">
        <v>9998</v>
      </c>
      <c r="H1904" s="11">
        <v>39220</v>
      </c>
      <c r="I1904" s="10">
        <v>2007</v>
      </c>
      <c r="J1904" s="10" t="s">
        <v>2515</v>
      </c>
      <c r="K1904" s="10">
        <v>312</v>
      </c>
      <c r="L1904" s="10" t="s">
        <v>14596</v>
      </c>
      <c r="M1904" s="10">
        <v>1</v>
      </c>
      <c r="N1904" s="10"/>
      <c r="O1904" s="10"/>
      <c r="P1904" s="10" t="s">
        <v>14597</v>
      </c>
      <c r="Q1904" s="10"/>
      <c r="R1904" s="10" t="s">
        <v>14598</v>
      </c>
      <c r="S1904" s="10" t="s">
        <v>53</v>
      </c>
      <c r="T1904" s="10" t="s">
        <v>54</v>
      </c>
    </row>
    <row r="1905" spans="1:20" ht="14.5" x14ac:dyDescent="0.35">
      <c r="A1905" s="10" t="s">
        <v>14599</v>
      </c>
      <c r="B1905" s="10" t="str">
        <f>"9780817315078"</f>
        <v>9780817315078</v>
      </c>
      <c r="C1905" s="10" t="str">
        <f>"9780817381950"</f>
        <v>9780817381950</v>
      </c>
      <c r="D1905" s="10" t="s">
        <v>3407</v>
      </c>
      <c r="E1905" s="10" t="s">
        <v>3407</v>
      </c>
      <c r="F1905" s="10" t="s">
        <v>3408</v>
      </c>
      <c r="G1905" s="10" t="s">
        <v>6317</v>
      </c>
      <c r="H1905" s="11">
        <v>38930</v>
      </c>
      <c r="I1905" s="10">
        <v>2006</v>
      </c>
      <c r="J1905" s="10" t="s">
        <v>3407</v>
      </c>
      <c r="K1905" s="10">
        <v>240</v>
      </c>
      <c r="L1905" s="10" t="s">
        <v>14600</v>
      </c>
      <c r="M1905" s="10">
        <v>1</v>
      </c>
      <c r="N1905" s="10" t="s">
        <v>14601</v>
      </c>
      <c r="O1905" s="10"/>
      <c r="P1905" s="10" t="s">
        <v>14602</v>
      </c>
      <c r="Q1905" s="10" t="s">
        <v>14603</v>
      </c>
      <c r="R1905" s="10" t="s">
        <v>14604</v>
      </c>
      <c r="S1905" s="10" t="s">
        <v>53</v>
      </c>
      <c r="T1905" s="10" t="s">
        <v>4490</v>
      </c>
    </row>
    <row r="1906" spans="1:20" ht="14.5" x14ac:dyDescent="0.35">
      <c r="A1906" s="10" t="s">
        <v>14605</v>
      </c>
      <c r="B1906" s="10" t="str">
        <f>"9780817315818"</f>
        <v>9780817315818</v>
      </c>
      <c r="C1906" s="10" t="str">
        <f>"9780817380175"</f>
        <v>9780817380175</v>
      </c>
      <c r="D1906" s="10" t="s">
        <v>3407</v>
      </c>
      <c r="E1906" s="10" t="s">
        <v>3407</v>
      </c>
      <c r="F1906" s="10" t="s">
        <v>3408</v>
      </c>
      <c r="G1906" s="10" t="s">
        <v>6317</v>
      </c>
      <c r="H1906" s="11">
        <v>39386</v>
      </c>
      <c r="I1906" s="10">
        <v>2007</v>
      </c>
      <c r="J1906" s="10" t="s">
        <v>3407</v>
      </c>
      <c r="K1906" s="10">
        <v>241</v>
      </c>
      <c r="L1906" s="10" t="s">
        <v>14606</v>
      </c>
      <c r="M1906" s="10">
        <v>1</v>
      </c>
      <c r="N1906" s="10"/>
      <c r="O1906" s="10"/>
      <c r="P1906" s="10" t="s">
        <v>14607</v>
      </c>
      <c r="Q1906" s="10" t="s">
        <v>14608</v>
      </c>
      <c r="R1906" s="10"/>
      <c r="S1906" s="10" t="s">
        <v>53</v>
      </c>
      <c r="T1906" s="10" t="s">
        <v>1166</v>
      </c>
    </row>
    <row r="1907" spans="1:20" ht="14.5" x14ac:dyDescent="0.35">
      <c r="A1907" s="10" t="s">
        <v>14609</v>
      </c>
      <c r="B1907" s="10" t="str">
        <f>"9780817316099"</f>
        <v>9780817316099</v>
      </c>
      <c r="C1907" s="10" t="str">
        <f>"9780817380106"</f>
        <v>9780817380106</v>
      </c>
      <c r="D1907" s="10" t="s">
        <v>3407</v>
      </c>
      <c r="E1907" s="10" t="s">
        <v>3407</v>
      </c>
      <c r="F1907" s="10" t="s">
        <v>3408</v>
      </c>
      <c r="G1907" s="10" t="s">
        <v>6317</v>
      </c>
      <c r="H1907" s="11">
        <v>39590</v>
      </c>
      <c r="I1907" s="10">
        <v>2008</v>
      </c>
      <c r="J1907" s="10" t="s">
        <v>3407</v>
      </c>
      <c r="K1907" s="10">
        <v>341</v>
      </c>
      <c r="L1907" s="10" t="s">
        <v>14610</v>
      </c>
      <c r="M1907" s="10">
        <v>1</v>
      </c>
      <c r="N1907" s="10" t="s">
        <v>14295</v>
      </c>
      <c r="O1907" s="10"/>
      <c r="P1907" s="10" t="s">
        <v>14611</v>
      </c>
      <c r="Q1907" s="10" t="s">
        <v>14612</v>
      </c>
      <c r="R1907" s="10" t="s">
        <v>14613</v>
      </c>
      <c r="S1907" s="10" t="s">
        <v>53</v>
      </c>
      <c r="T1907" s="10" t="s">
        <v>54</v>
      </c>
    </row>
    <row r="1908" spans="1:20" ht="14.5" x14ac:dyDescent="0.35">
      <c r="A1908" s="10" t="s">
        <v>14614</v>
      </c>
      <c r="B1908" s="10" t="str">
        <f>"9780817304591"</f>
        <v>9780817304591</v>
      </c>
      <c r="C1908" s="10" t="str">
        <f>"9780817382834"</f>
        <v>9780817382834</v>
      </c>
      <c r="D1908" s="10" t="s">
        <v>3407</v>
      </c>
      <c r="E1908" s="10" t="s">
        <v>3407</v>
      </c>
      <c r="F1908" s="10" t="s">
        <v>3408</v>
      </c>
      <c r="G1908" s="10" t="s">
        <v>6317</v>
      </c>
      <c r="H1908" s="11">
        <v>33268</v>
      </c>
      <c r="I1908" s="10">
        <v>1991</v>
      </c>
      <c r="J1908" s="10" t="s">
        <v>3407</v>
      </c>
      <c r="K1908" s="10">
        <v>238</v>
      </c>
      <c r="L1908" s="10" t="s">
        <v>14615</v>
      </c>
      <c r="M1908" s="10">
        <v>1</v>
      </c>
      <c r="N1908" s="10"/>
      <c r="O1908" s="10"/>
      <c r="P1908" s="10" t="s">
        <v>11140</v>
      </c>
      <c r="Q1908" s="10" t="s">
        <v>8706</v>
      </c>
      <c r="R1908" s="10" t="s">
        <v>14616</v>
      </c>
      <c r="S1908" s="10" t="s">
        <v>53</v>
      </c>
      <c r="T1908" s="10" t="s">
        <v>54</v>
      </c>
    </row>
    <row r="1909" spans="1:20" ht="14.5" x14ac:dyDescent="0.35">
      <c r="A1909" s="10" t="s">
        <v>14617</v>
      </c>
      <c r="B1909" s="10" t="str">
        <f>"9780817311575"</f>
        <v>9780817311575</v>
      </c>
      <c r="C1909" s="10" t="str">
        <f>"9780817313371"</f>
        <v>9780817313371</v>
      </c>
      <c r="D1909" s="10" t="s">
        <v>3407</v>
      </c>
      <c r="E1909" s="10" t="s">
        <v>3407</v>
      </c>
      <c r="F1909" s="10" t="s">
        <v>3408</v>
      </c>
      <c r="G1909" s="10" t="s">
        <v>6317</v>
      </c>
      <c r="H1909" s="11">
        <v>37419</v>
      </c>
      <c r="I1909" s="10">
        <v>2005</v>
      </c>
      <c r="J1909" s="10" t="s">
        <v>3407</v>
      </c>
      <c r="K1909" s="10">
        <v>240</v>
      </c>
      <c r="L1909" s="10" t="s">
        <v>14618</v>
      </c>
      <c r="M1909" s="10">
        <v>1</v>
      </c>
      <c r="N1909" s="10"/>
      <c r="O1909" s="10"/>
      <c r="P1909" s="10" t="s">
        <v>14619</v>
      </c>
      <c r="Q1909" s="10"/>
      <c r="R1909" s="10" t="s">
        <v>14620</v>
      </c>
      <c r="S1909" s="10" t="s">
        <v>53</v>
      </c>
      <c r="T1909" s="10" t="s">
        <v>54</v>
      </c>
    </row>
    <row r="1910" spans="1:20" ht="14.5" x14ac:dyDescent="0.35">
      <c r="A1910" s="10" t="s">
        <v>14621</v>
      </c>
      <c r="B1910" s="10" t="str">
        <f>"9780817315351"</f>
        <v>9780817315351</v>
      </c>
      <c r="C1910" s="10" t="str">
        <f>"9780817382063"</f>
        <v>9780817382063</v>
      </c>
      <c r="D1910" s="10" t="s">
        <v>3407</v>
      </c>
      <c r="E1910" s="10" t="s">
        <v>3407</v>
      </c>
      <c r="F1910" s="10" t="s">
        <v>3408</v>
      </c>
      <c r="G1910" s="10" t="s">
        <v>6317</v>
      </c>
      <c r="H1910" s="11">
        <v>39018</v>
      </c>
      <c r="I1910" s="10">
        <v>2006</v>
      </c>
      <c r="J1910" s="10" t="s">
        <v>3407</v>
      </c>
      <c r="K1910" s="10">
        <v>160</v>
      </c>
      <c r="L1910" s="10" t="s">
        <v>14622</v>
      </c>
      <c r="M1910" s="10">
        <v>1</v>
      </c>
      <c r="N1910" s="10"/>
      <c r="O1910" s="10"/>
      <c r="P1910" s="10" t="s">
        <v>14623</v>
      </c>
      <c r="Q1910" s="10" t="s">
        <v>14624</v>
      </c>
      <c r="R1910" s="10" t="s">
        <v>14625</v>
      </c>
      <c r="S1910" s="10" t="s">
        <v>53</v>
      </c>
      <c r="T1910" s="10" t="s">
        <v>54</v>
      </c>
    </row>
    <row r="1911" spans="1:20" ht="14.5" x14ac:dyDescent="0.35">
      <c r="A1911" s="10" t="s">
        <v>14626</v>
      </c>
      <c r="B1911" s="10" t="str">
        <f>"9781441116642"</f>
        <v>9781441116642</v>
      </c>
      <c r="C1911" s="10" t="str">
        <f>"9781441152985"</f>
        <v>9781441152985</v>
      </c>
      <c r="D1911" s="10" t="s">
        <v>13959</v>
      </c>
      <c r="E1911" s="10" t="s">
        <v>13960</v>
      </c>
      <c r="F1911" s="10" t="s">
        <v>139</v>
      </c>
      <c r="G1911" s="10" t="s">
        <v>6352</v>
      </c>
      <c r="H1911" s="11">
        <v>40899</v>
      </c>
      <c r="I1911" s="10">
        <v>2009</v>
      </c>
      <c r="J1911" s="10" t="s">
        <v>13961</v>
      </c>
      <c r="K1911" s="10">
        <v>251</v>
      </c>
      <c r="L1911" s="10" t="s">
        <v>14627</v>
      </c>
      <c r="M1911" s="10">
        <v>1</v>
      </c>
      <c r="N1911" s="10" t="s">
        <v>14628</v>
      </c>
      <c r="O1911" s="10"/>
      <c r="P1911" s="10" t="s">
        <v>14629</v>
      </c>
      <c r="Q1911" s="10" t="s">
        <v>14630</v>
      </c>
      <c r="R1911" s="10" t="s">
        <v>14631</v>
      </c>
      <c r="S1911" s="10" t="s">
        <v>53</v>
      </c>
      <c r="T1911" s="10" t="s">
        <v>6384</v>
      </c>
    </row>
    <row r="1912" spans="1:20" ht="14.5" x14ac:dyDescent="0.35">
      <c r="A1912" s="10" t="s">
        <v>14632</v>
      </c>
      <c r="B1912" s="10" t="str">
        <f>"9781441156310"</f>
        <v>9781441156310</v>
      </c>
      <c r="C1912" s="10" t="str">
        <f>"9781441134325"</f>
        <v>9781441134325</v>
      </c>
      <c r="D1912" s="10" t="s">
        <v>13959</v>
      </c>
      <c r="E1912" s="10" t="s">
        <v>13960</v>
      </c>
      <c r="F1912" s="10" t="s">
        <v>139</v>
      </c>
      <c r="G1912" s="10" t="s">
        <v>6352</v>
      </c>
      <c r="H1912" s="11">
        <v>40913</v>
      </c>
      <c r="I1912" s="10">
        <v>2009</v>
      </c>
      <c r="J1912" s="10" t="s">
        <v>13961</v>
      </c>
      <c r="K1912" s="10">
        <v>225</v>
      </c>
      <c r="L1912" s="10" t="s">
        <v>14633</v>
      </c>
      <c r="M1912" s="10">
        <v>1</v>
      </c>
      <c r="N1912" s="10" t="s">
        <v>14634</v>
      </c>
      <c r="O1912" s="10"/>
      <c r="P1912" s="10" t="s">
        <v>14635</v>
      </c>
      <c r="Q1912" s="10" t="s">
        <v>9007</v>
      </c>
      <c r="R1912" s="10" t="s">
        <v>14636</v>
      </c>
      <c r="S1912" s="10" t="s">
        <v>53</v>
      </c>
      <c r="T1912" s="10" t="s">
        <v>54</v>
      </c>
    </row>
    <row r="1913" spans="1:20" ht="14.5" x14ac:dyDescent="0.35">
      <c r="A1913" s="10" t="s">
        <v>14637</v>
      </c>
      <c r="B1913" s="10" t="str">
        <f>"9781441113139"</f>
        <v>9781441113139</v>
      </c>
      <c r="C1913" s="10" t="str">
        <f>"9781441100139"</f>
        <v>9781441100139</v>
      </c>
      <c r="D1913" s="10" t="s">
        <v>13959</v>
      </c>
      <c r="E1913" s="10" t="s">
        <v>13960</v>
      </c>
      <c r="F1913" s="10" t="s">
        <v>139</v>
      </c>
      <c r="G1913" s="10" t="s">
        <v>6352</v>
      </c>
      <c r="H1913" s="11">
        <v>40913</v>
      </c>
      <c r="I1913" s="10">
        <v>2009</v>
      </c>
      <c r="J1913" s="10" t="s">
        <v>13961</v>
      </c>
      <c r="K1913" s="10">
        <v>177</v>
      </c>
      <c r="L1913" s="10" t="s">
        <v>14638</v>
      </c>
      <c r="M1913" s="10">
        <v>1</v>
      </c>
      <c r="N1913" s="10"/>
      <c r="O1913" s="10"/>
      <c r="P1913" s="10" t="s">
        <v>14639</v>
      </c>
      <c r="Q1913" s="10">
        <v>306.43</v>
      </c>
      <c r="R1913" s="10" t="s">
        <v>14640</v>
      </c>
      <c r="S1913" s="10" t="s">
        <v>53</v>
      </c>
      <c r="T1913" s="10" t="s">
        <v>6363</v>
      </c>
    </row>
    <row r="1914" spans="1:20" ht="14.5" x14ac:dyDescent="0.35">
      <c r="A1914" s="10" t="s">
        <v>14641</v>
      </c>
      <c r="B1914" s="10" t="str">
        <f>"9781606233023"</f>
        <v>9781606233023</v>
      </c>
      <c r="C1914" s="10" t="str">
        <f>"9781606233061"</f>
        <v>9781606233061</v>
      </c>
      <c r="D1914" s="10" t="s">
        <v>11213</v>
      </c>
      <c r="E1914" s="10" t="s">
        <v>11214</v>
      </c>
      <c r="F1914" s="10" t="s">
        <v>70</v>
      </c>
      <c r="G1914" s="10" t="s">
        <v>6317</v>
      </c>
      <c r="H1914" s="11">
        <v>40002</v>
      </c>
      <c r="I1914" s="10">
        <v>2009</v>
      </c>
      <c r="J1914" s="10" t="s">
        <v>11215</v>
      </c>
      <c r="K1914" s="10">
        <v>641</v>
      </c>
      <c r="L1914" s="10" t="s">
        <v>14642</v>
      </c>
      <c r="M1914" s="10">
        <v>1</v>
      </c>
      <c r="N1914" s="10"/>
      <c r="O1914" s="10"/>
      <c r="P1914" s="10" t="s">
        <v>14643</v>
      </c>
      <c r="Q1914" s="10">
        <v>372.21</v>
      </c>
      <c r="R1914" s="10" t="s">
        <v>14644</v>
      </c>
      <c r="S1914" s="10" t="s">
        <v>53</v>
      </c>
      <c r="T1914" s="10" t="s">
        <v>6472</v>
      </c>
    </row>
    <row r="1915" spans="1:20" ht="14.5" x14ac:dyDescent="0.35">
      <c r="A1915" s="10" t="s">
        <v>14645</v>
      </c>
      <c r="B1915" s="10" t="str">
        <f>"9780807832578"</f>
        <v>9780807832578</v>
      </c>
      <c r="C1915" s="10" t="str">
        <f>"9780807889961"</f>
        <v>9780807889961</v>
      </c>
      <c r="D1915" s="10" t="s">
        <v>13324</v>
      </c>
      <c r="E1915" s="10" t="s">
        <v>13335</v>
      </c>
      <c r="F1915" s="10" t="s">
        <v>2388</v>
      </c>
      <c r="G1915" s="10" t="s">
        <v>6317</v>
      </c>
      <c r="H1915" s="11">
        <v>39979</v>
      </c>
      <c r="I1915" s="10">
        <v>2009</v>
      </c>
      <c r="J1915" s="10" t="s">
        <v>13335</v>
      </c>
      <c r="K1915" s="10">
        <v>448</v>
      </c>
      <c r="L1915" s="10" t="s">
        <v>14646</v>
      </c>
      <c r="M1915" s="10">
        <v>1</v>
      </c>
      <c r="N1915" s="10" t="s">
        <v>14647</v>
      </c>
      <c r="O1915" s="10"/>
      <c r="P1915" s="10" t="s">
        <v>14648</v>
      </c>
      <c r="Q1915" s="10" t="s">
        <v>14649</v>
      </c>
      <c r="R1915" s="10" t="s">
        <v>14650</v>
      </c>
      <c r="S1915" s="10" t="s">
        <v>53</v>
      </c>
      <c r="T1915" s="10" t="s">
        <v>5396</v>
      </c>
    </row>
    <row r="1916" spans="1:20" ht="14.5" x14ac:dyDescent="0.35">
      <c r="A1916" s="10" t="s">
        <v>14651</v>
      </c>
      <c r="B1916" s="10" t="str">
        <f>"9780807832530"</f>
        <v>9780807832530</v>
      </c>
      <c r="C1916" s="10" t="str">
        <f>"9781469605968"</f>
        <v>9781469605968</v>
      </c>
      <c r="D1916" s="10" t="s">
        <v>13324</v>
      </c>
      <c r="E1916" s="10" t="s">
        <v>13335</v>
      </c>
      <c r="F1916" s="10" t="s">
        <v>2388</v>
      </c>
      <c r="G1916" s="10" t="s">
        <v>6317</v>
      </c>
      <c r="H1916" s="11">
        <v>39873</v>
      </c>
      <c r="I1916" s="10">
        <v>2009</v>
      </c>
      <c r="J1916" s="10" t="s">
        <v>13335</v>
      </c>
      <c r="K1916" s="10">
        <v>431</v>
      </c>
      <c r="L1916" s="10" t="s">
        <v>14652</v>
      </c>
      <c r="M1916" s="10">
        <v>1</v>
      </c>
      <c r="N1916" s="10" t="s">
        <v>14653</v>
      </c>
      <c r="O1916" s="10"/>
      <c r="P1916" s="10" t="s">
        <v>14654</v>
      </c>
      <c r="Q1916" s="10" t="s">
        <v>14655</v>
      </c>
      <c r="R1916" s="10" t="s">
        <v>14656</v>
      </c>
      <c r="S1916" s="10" t="s">
        <v>53</v>
      </c>
      <c r="T1916" s="10" t="s">
        <v>54</v>
      </c>
    </row>
    <row r="1917" spans="1:20" ht="14.5" x14ac:dyDescent="0.35">
      <c r="A1917" s="10" t="s">
        <v>14657</v>
      </c>
      <c r="B1917" s="10" t="str">
        <f>"9780415993197"</f>
        <v>9780415993197</v>
      </c>
      <c r="C1917" s="10" t="str">
        <f>"9780203874851"</f>
        <v>9780203874851</v>
      </c>
      <c r="D1917" s="10" t="s">
        <v>6350</v>
      </c>
      <c r="E1917" s="10" t="s">
        <v>6351</v>
      </c>
      <c r="F1917" s="10" t="s">
        <v>5406</v>
      </c>
      <c r="G1917" s="10" t="s">
        <v>6317</v>
      </c>
      <c r="H1917" s="11">
        <v>40119</v>
      </c>
      <c r="I1917" s="10">
        <v>2010</v>
      </c>
      <c r="J1917" s="10" t="s">
        <v>6353</v>
      </c>
      <c r="K1917" s="10">
        <v>390</v>
      </c>
      <c r="L1917" s="10" t="s">
        <v>14658</v>
      </c>
      <c r="M1917" s="10">
        <v>1</v>
      </c>
      <c r="N1917" s="10"/>
      <c r="O1917" s="10"/>
      <c r="P1917" s="10" t="s">
        <v>14659</v>
      </c>
      <c r="Q1917" s="10">
        <v>371.26</v>
      </c>
      <c r="R1917" s="10" t="s">
        <v>14660</v>
      </c>
      <c r="S1917" s="10" t="s">
        <v>53</v>
      </c>
      <c r="T1917" s="10" t="s">
        <v>54</v>
      </c>
    </row>
    <row r="1918" spans="1:20" ht="14.5" x14ac:dyDescent="0.35">
      <c r="A1918" s="10" t="s">
        <v>14661</v>
      </c>
      <c r="B1918" s="10" t="str">
        <f>"9780470498774"</f>
        <v>9780470498774</v>
      </c>
      <c r="C1918" s="10" t="str">
        <f>"9780470538562"</f>
        <v>9780470538562</v>
      </c>
      <c r="D1918" s="10" t="s">
        <v>6322</v>
      </c>
      <c r="E1918" s="10" t="s">
        <v>6323</v>
      </c>
      <c r="F1918" s="10" t="s">
        <v>4423</v>
      </c>
      <c r="G1918" s="10" t="s">
        <v>6317</v>
      </c>
      <c r="H1918" s="11">
        <v>40078</v>
      </c>
      <c r="I1918" s="10">
        <v>2009</v>
      </c>
      <c r="J1918" s="10" t="s">
        <v>6324</v>
      </c>
      <c r="K1918" s="10">
        <v>333</v>
      </c>
      <c r="L1918" s="10" t="s">
        <v>14662</v>
      </c>
      <c r="M1918" s="10">
        <v>1</v>
      </c>
      <c r="N1918" s="10"/>
      <c r="O1918" s="10"/>
      <c r="P1918" s="10" t="s">
        <v>14663</v>
      </c>
      <c r="Q1918" s="10">
        <v>342.73085800000001</v>
      </c>
      <c r="R1918" s="10" t="s">
        <v>14664</v>
      </c>
      <c r="S1918" s="10" t="s">
        <v>53</v>
      </c>
      <c r="T1918" s="10" t="s">
        <v>5396</v>
      </c>
    </row>
    <row r="1919" spans="1:20" ht="14.5" x14ac:dyDescent="0.35">
      <c r="A1919" s="10" t="s">
        <v>14665</v>
      </c>
      <c r="B1919" s="10" t="str">
        <f>"9780470425268"</f>
        <v>9780470425268</v>
      </c>
      <c r="C1919" s="10" t="str">
        <f>"9780470501191"</f>
        <v>9780470501191</v>
      </c>
      <c r="D1919" s="10" t="s">
        <v>6322</v>
      </c>
      <c r="E1919" s="10" t="s">
        <v>6323</v>
      </c>
      <c r="F1919" s="10" t="s">
        <v>1168</v>
      </c>
      <c r="G1919" s="10" t="s">
        <v>6317</v>
      </c>
      <c r="H1919" s="11">
        <v>40078</v>
      </c>
      <c r="I1919" s="10">
        <v>2009</v>
      </c>
      <c r="J1919" s="10" t="s">
        <v>6324</v>
      </c>
      <c r="K1919" s="10">
        <v>264</v>
      </c>
      <c r="L1919" s="10" t="s">
        <v>14666</v>
      </c>
      <c r="M1919" s="10">
        <v>1</v>
      </c>
      <c r="N1919" s="10"/>
      <c r="O1919" s="10"/>
      <c r="P1919" s="10" t="s">
        <v>14667</v>
      </c>
      <c r="Q1919" s="10" t="s">
        <v>14668</v>
      </c>
      <c r="R1919" s="10" t="s">
        <v>14669</v>
      </c>
      <c r="S1919" s="10" t="s">
        <v>53</v>
      </c>
      <c r="T1919" s="10" t="s">
        <v>54</v>
      </c>
    </row>
    <row r="1920" spans="1:20" ht="14.5" x14ac:dyDescent="0.35">
      <c r="A1920" s="10" t="s">
        <v>14670</v>
      </c>
      <c r="B1920" s="10" t="str">
        <f>"9780415481731"</f>
        <v>9780415481731</v>
      </c>
      <c r="C1920" s="10" t="str">
        <f>"9780203867617"</f>
        <v>9780203867617</v>
      </c>
      <c r="D1920" s="10" t="s">
        <v>6350</v>
      </c>
      <c r="E1920" s="10" t="s">
        <v>6351</v>
      </c>
      <c r="F1920" s="10" t="s">
        <v>5406</v>
      </c>
      <c r="G1920" s="10" t="s">
        <v>6317</v>
      </c>
      <c r="H1920" s="11">
        <v>40128</v>
      </c>
      <c r="I1920" s="10">
        <v>2010</v>
      </c>
      <c r="J1920" s="10" t="s">
        <v>6353</v>
      </c>
      <c r="K1920" s="10">
        <v>241</v>
      </c>
      <c r="L1920" s="10" t="s">
        <v>14671</v>
      </c>
      <c r="M1920" s="10">
        <v>1</v>
      </c>
      <c r="N1920" s="10"/>
      <c r="O1920" s="10"/>
      <c r="P1920" s="10" t="s">
        <v>14672</v>
      </c>
      <c r="Q1920" s="10" t="s">
        <v>14673</v>
      </c>
      <c r="R1920" s="10" t="s">
        <v>14674</v>
      </c>
      <c r="S1920" s="10" t="s">
        <v>53</v>
      </c>
      <c r="T1920" s="10" t="s">
        <v>54</v>
      </c>
    </row>
    <row r="1921" spans="1:20" ht="14.5" x14ac:dyDescent="0.35">
      <c r="A1921" s="10" t="s">
        <v>14675</v>
      </c>
      <c r="B1921" s="10" t="str">
        <f>"9780415556323"</f>
        <v>9780415556323</v>
      </c>
      <c r="C1921" s="10" t="str">
        <f>"9780203869109"</f>
        <v>9780203869109</v>
      </c>
      <c r="D1921" s="10" t="s">
        <v>6350</v>
      </c>
      <c r="E1921" s="10" t="s">
        <v>6351</v>
      </c>
      <c r="F1921" s="10" t="s">
        <v>748</v>
      </c>
      <c r="G1921" s="10" t="s">
        <v>6352</v>
      </c>
      <c r="H1921" s="11">
        <v>40116</v>
      </c>
      <c r="I1921" s="10">
        <v>2010</v>
      </c>
      <c r="J1921" s="10" t="s">
        <v>6351</v>
      </c>
      <c r="K1921" s="10">
        <v>159</v>
      </c>
      <c r="L1921" s="10" t="s">
        <v>14676</v>
      </c>
      <c r="M1921" s="10">
        <v>1</v>
      </c>
      <c r="N1921" s="10"/>
      <c r="O1921" s="10"/>
      <c r="P1921" s="10" t="s">
        <v>14677</v>
      </c>
      <c r="Q1921" s="10" t="s">
        <v>14678</v>
      </c>
      <c r="R1921" s="10" t="s">
        <v>14679</v>
      </c>
      <c r="S1921" s="10" t="s">
        <v>53</v>
      </c>
      <c r="T1921" s="10" t="s">
        <v>54</v>
      </c>
    </row>
    <row r="1922" spans="1:20" ht="14.5" x14ac:dyDescent="0.35">
      <c r="A1922" s="10" t="s">
        <v>14680</v>
      </c>
      <c r="B1922" s="10" t="str">
        <f>"9781853964565"</f>
        <v>9781853964565</v>
      </c>
      <c r="C1922" s="10" t="str">
        <f>"9781849206686"</f>
        <v>9781849206686</v>
      </c>
      <c r="D1922" s="10" t="s">
        <v>9325</v>
      </c>
      <c r="E1922" s="10" t="s">
        <v>9326</v>
      </c>
      <c r="F1922" s="10" t="s">
        <v>139</v>
      </c>
      <c r="G1922" s="10" t="s">
        <v>6352</v>
      </c>
      <c r="H1922" s="11">
        <v>36917</v>
      </c>
      <c r="I1922" s="10">
        <v>2001</v>
      </c>
      <c r="J1922" s="10" t="s">
        <v>9326</v>
      </c>
      <c r="K1922" s="10">
        <v>193</v>
      </c>
      <c r="L1922" s="10" t="s">
        <v>14681</v>
      </c>
      <c r="M1922" s="10">
        <v>1</v>
      </c>
      <c r="N1922" s="10"/>
      <c r="O1922" s="10"/>
      <c r="P1922" s="10" t="s">
        <v>14682</v>
      </c>
      <c r="Q1922" s="10" t="s">
        <v>7321</v>
      </c>
      <c r="R1922" s="10" t="s">
        <v>7322</v>
      </c>
      <c r="S1922" s="10" t="s">
        <v>53</v>
      </c>
      <c r="T1922" s="10" t="s">
        <v>54</v>
      </c>
    </row>
    <row r="1923" spans="1:20" ht="14.5" x14ac:dyDescent="0.35">
      <c r="A1923" s="10" t="s">
        <v>14683</v>
      </c>
      <c r="B1923" s="10" t="str">
        <f>"9780761947745"</f>
        <v>9780761947745</v>
      </c>
      <c r="C1923" s="10" t="str">
        <f>"9781849206556"</f>
        <v>9781849206556</v>
      </c>
      <c r="D1923" s="10" t="s">
        <v>9325</v>
      </c>
      <c r="E1923" s="10" t="s">
        <v>9326</v>
      </c>
      <c r="F1923" s="10" t="s">
        <v>139</v>
      </c>
      <c r="G1923" s="10" t="s">
        <v>6352</v>
      </c>
      <c r="H1923" s="11">
        <v>38054</v>
      </c>
      <c r="I1923" s="10">
        <v>2004</v>
      </c>
      <c r="J1923" s="10" t="s">
        <v>9326</v>
      </c>
      <c r="K1923" s="10">
        <v>180</v>
      </c>
      <c r="L1923" s="10" t="s">
        <v>14684</v>
      </c>
      <c r="M1923" s="10">
        <v>2</v>
      </c>
      <c r="N1923" s="10"/>
      <c r="O1923" s="10"/>
      <c r="P1923" s="10" t="s">
        <v>13844</v>
      </c>
      <c r="Q1923" s="10">
        <v>371.2</v>
      </c>
      <c r="R1923" s="10" t="s">
        <v>9338</v>
      </c>
      <c r="S1923" s="10" t="s">
        <v>53</v>
      </c>
      <c r="T1923" s="10" t="s">
        <v>54</v>
      </c>
    </row>
    <row r="1924" spans="1:20" ht="14.5" x14ac:dyDescent="0.35">
      <c r="A1924" s="10" t="s">
        <v>14685</v>
      </c>
      <c r="B1924" s="10" t="str">
        <f>"9781412947565"</f>
        <v>9781412947565</v>
      </c>
      <c r="C1924" s="10" t="str">
        <f>"9781849206426"</f>
        <v>9781849206426</v>
      </c>
      <c r="D1924" s="10" t="s">
        <v>9325</v>
      </c>
      <c r="E1924" s="10" t="s">
        <v>9326</v>
      </c>
      <c r="F1924" s="10" t="s">
        <v>139</v>
      </c>
      <c r="G1924" s="10" t="s">
        <v>6352</v>
      </c>
      <c r="H1924" s="11">
        <v>39574</v>
      </c>
      <c r="I1924" s="10">
        <v>2008</v>
      </c>
      <c r="J1924" s="10" t="s">
        <v>9326</v>
      </c>
      <c r="K1924" s="10">
        <v>122</v>
      </c>
      <c r="L1924" s="10" t="s">
        <v>14686</v>
      </c>
      <c r="M1924" s="10">
        <v>1</v>
      </c>
      <c r="N1924" s="10"/>
      <c r="O1924" s="10"/>
      <c r="P1924" s="10" t="s">
        <v>14687</v>
      </c>
      <c r="Q1924" s="10">
        <v>371.94</v>
      </c>
      <c r="R1924" s="10" t="s">
        <v>6467</v>
      </c>
      <c r="S1924" s="10" t="s">
        <v>53</v>
      </c>
      <c r="T1924" s="10" t="s">
        <v>54</v>
      </c>
    </row>
    <row r="1925" spans="1:20" ht="14.5" x14ac:dyDescent="0.35">
      <c r="A1925" s="10" t="s">
        <v>14688</v>
      </c>
      <c r="B1925" s="10" t="str">
        <f>"9780761940784"</f>
        <v>9780761940784</v>
      </c>
      <c r="C1925" s="10" t="str">
        <f>"9781849206617"</f>
        <v>9781849206617</v>
      </c>
      <c r="D1925" s="10" t="s">
        <v>9325</v>
      </c>
      <c r="E1925" s="10" t="s">
        <v>9326</v>
      </c>
      <c r="F1925" s="10" t="s">
        <v>139</v>
      </c>
      <c r="G1925" s="10" t="s">
        <v>6352</v>
      </c>
      <c r="H1925" s="11">
        <v>37533</v>
      </c>
      <c r="I1925" s="10">
        <v>2002</v>
      </c>
      <c r="J1925" s="10" t="s">
        <v>9326</v>
      </c>
      <c r="K1925" s="10">
        <v>129</v>
      </c>
      <c r="L1925" s="10" t="s">
        <v>14689</v>
      </c>
      <c r="M1925" s="10">
        <v>1</v>
      </c>
      <c r="N1925" s="10"/>
      <c r="O1925" s="10"/>
      <c r="P1925" s="10" t="s">
        <v>14690</v>
      </c>
      <c r="Q1925" s="10">
        <v>371.93</v>
      </c>
      <c r="R1925" s="10" t="s">
        <v>14691</v>
      </c>
      <c r="S1925" s="10" t="s">
        <v>53</v>
      </c>
      <c r="T1925" s="10" t="s">
        <v>54</v>
      </c>
    </row>
    <row r="1926" spans="1:20" ht="14.5" x14ac:dyDescent="0.35">
      <c r="A1926" s="10" t="s">
        <v>14692</v>
      </c>
      <c r="B1926" s="10" t="str">
        <f>"9781412948159"</f>
        <v>9781412948159</v>
      </c>
      <c r="C1926" s="10" t="str">
        <f>"9781849206501"</f>
        <v>9781849206501</v>
      </c>
      <c r="D1926" s="10" t="s">
        <v>9325</v>
      </c>
      <c r="E1926" s="10" t="s">
        <v>9326</v>
      </c>
      <c r="F1926" s="10" t="s">
        <v>139</v>
      </c>
      <c r="G1926" s="10" t="s">
        <v>6352</v>
      </c>
      <c r="H1926" s="11">
        <v>39370</v>
      </c>
      <c r="I1926" s="10">
        <v>2007</v>
      </c>
      <c r="J1926" s="10" t="s">
        <v>9326</v>
      </c>
      <c r="K1926" s="10">
        <v>238</v>
      </c>
      <c r="L1926" s="10" t="s">
        <v>14434</v>
      </c>
      <c r="M1926" s="10">
        <v>1</v>
      </c>
      <c r="N1926" s="10"/>
      <c r="O1926" s="10"/>
      <c r="P1926" s="10" t="s">
        <v>14693</v>
      </c>
      <c r="Q1926" s="10">
        <v>371.28</v>
      </c>
      <c r="R1926" s="10" t="s">
        <v>14437</v>
      </c>
      <c r="S1926" s="10" t="s">
        <v>53</v>
      </c>
      <c r="T1926" s="10" t="s">
        <v>54</v>
      </c>
    </row>
    <row r="1927" spans="1:20" ht="14.5" x14ac:dyDescent="0.35">
      <c r="A1927" s="10" t="s">
        <v>14694</v>
      </c>
      <c r="B1927" s="10" t="str">
        <f>"9781853964176"</f>
        <v>9781853964176</v>
      </c>
      <c r="C1927" s="10" t="str">
        <f>"9781849206754"</f>
        <v>9781849206754</v>
      </c>
      <c r="D1927" s="10" t="s">
        <v>9325</v>
      </c>
      <c r="E1927" s="10" t="s">
        <v>9326</v>
      </c>
      <c r="F1927" s="10" t="s">
        <v>139</v>
      </c>
      <c r="G1927" s="10" t="s">
        <v>6352</v>
      </c>
      <c r="H1927" s="11">
        <v>36136</v>
      </c>
      <c r="I1927" s="10">
        <v>1998</v>
      </c>
      <c r="J1927" s="10" t="s">
        <v>9326</v>
      </c>
      <c r="K1927" s="10">
        <v>193</v>
      </c>
      <c r="L1927" s="10" t="s">
        <v>14695</v>
      </c>
      <c r="M1927" s="10">
        <v>1</v>
      </c>
      <c r="N1927" s="10" t="s">
        <v>9336</v>
      </c>
      <c r="O1927" s="10"/>
      <c r="P1927" s="10" t="s">
        <v>14696</v>
      </c>
      <c r="Q1927" s="10" t="s">
        <v>7142</v>
      </c>
      <c r="R1927" s="10" t="s">
        <v>6738</v>
      </c>
      <c r="S1927" s="10" t="s">
        <v>53</v>
      </c>
      <c r="T1927" s="10" t="s">
        <v>54</v>
      </c>
    </row>
    <row r="1928" spans="1:20" ht="14.5" x14ac:dyDescent="0.35">
      <c r="A1928" s="10" t="s">
        <v>14697</v>
      </c>
      <c r="B1928" s="10" t="str">
        <f>"9781853964381"</f>
        <v>9781853964381</v>
      </c>
      <c r="C1928" s="10" t="str">
        <f>"9781849206792"</f>
        <v>9781849206792</v>
      </c>
      <c r="D1928" s="10" t="s">
        <v>9325</v>
      </c>
      <c r="E1928" s="10" t="s">
        <v>9326</v>
      </c>
      <c r="F1928" s="10" t="s">
        <v>139</v>
      </c>
      <c r="G1928" s="10" t="s">
        <v>6352</v>
      </c>
      <c r="H1928" s="11">
        <v>36417</v>
      </c>
      <c r="I1928" s="10">
        <v>1999</v>
      </c>
      <c r="J1928" s="10" t="s">
        <v>9326</v>
      </c>
      <c r="K1928" s="10">
        <v>161</v>
      </c>
      <c r="L1928" s="10" t="s">
        <v>14698</v>
      </c>
      <c r="M1928" s="10">
        <v>1</v>
      </c>
      <c r="N1928" s="10" t="s">
        <v>14699</v>
      </c>
      <c r="O1928" s="10"/>
      <c r="P1928" s="10" t="s">
        <v>14700</v>
      </c>
      <c r="Q1928" s="10" t="s">
        <v>14701</v>
      </c>
      <c r="R1928" s="10" t="s">
        <v>6547</v>
      </c>
      <c r="S1928" s="10" t="s">
        <v>53</v>
      </c>
      <c r="T1928" s="10" t="s">
        <v>8723</v>
      </c>
    </row>
    <row r="1929" spans="1:20" ht="14.5" x14ac:dyDescent="0.35">
      <c r="A1929" s="10" t="s">
        <v>14702</v>
      </c>
      <c r="B1929" s="10" t="str">
        <f>"9781412922562"</f>
        <v>9781412922562</v>
      </c>
      <c r="C1929" s="10" t="str">
        <f>"9781849206310"</f>
        <v>9781849206310</v>
      </c>
      <c r="D1929" s="10" t="s">
        <v>9325</v>
      </c>
      <c r="E1929" s="10" t="s">
        <v>9326</v>
      </c>
      <c r="F1929" s="10" t="s">
        <v>139</v>
      </c>
      <c r="G1929" s="10" t="s">
        <v>6352</v>
      </c>
      <c r="H1929" s="11">
        <v>39687</v>
      </c>
      <c r="I1929" s="10">
        <v>2008</v>
      </c>
      <c r="J1929" s="10" t="s">
        <v>9326</v>
      </c>
      <c r="K1929" s="10">
        <v>153</v>
      </c>
      <c r="L1929" s="10" t="s">
        <v>14703</v>
      </c>
      <c r="M1929" s="10">
        <v>1</v>
      </c>
      <c r="N1929" s="10" t="s">
        <v>11973</v>
      </c>
      <c r="O1929" s="10"/>
      <c r="P1929" s="10" t="s">
        <v>14704</v>
      </c>
      <c r="Q1929" s="10">
        <v>372.82</v>
      </c>
      <c r="R1929" s="10" t="s">
        <v>14705</v>
      </c>
      <c r="S1929" s="10" t="s">
        <v>53</v>
      </c>
      <c r="T1929" s="10" t="s">
        <v>6472</v>
      </c>
    </row>
    <row r="1930" spans="1:20" ht="14.5" x14ac:dyDescent="0.35">
      <c r="A1930" s="10" t="s">
        <v>14706</v>
      </c>
      <c r="B1930" s="10" t="str">
        <f>"9781412934497"</f>
        <v>9781412934497</v>
      </c>
      <c r="C1930" s="10" t="str">
        <f>"9781849206525"</f>
        <v>9781849206525</v>
      </c>
      <c r="D1930" s="10" t="s">
        <v>9325</v>
      </c>
      <c r="E1930" s="10" t="s">
        <v>9326</v>
      </c>
      <c r="F1930" s="10" t="s">
        <v>139</v>
      </c>
      <c r="G1930" s="10" t="s">
        <v>6352</v>
      </c>
      <c r="H1930" s="11">
        <v>39112</v>
      </c>
      <c r="I1930" s="10">
        <v>2007</v>
      </c>
      <c r="J1930" s="10" t="s">
        <v>9326</v>
      </c>
      <c r="K1930" s="10">
        <v>289</v>
      </c>
      <c r="L1930" s="10" t="s">
        <v>14707</v>
      </c>
      <c r="M1930" s="10">
        <v>1</v>
      </c>
      <c r="N1930" s="10"/>
      <c r="O1930" s="10"/>
      <c r="P1930" s="10" t="s">
        <v>14708</v>
      </c>
      <c r="Q1930" s="10">
        <v>371.2011</v>
      </c>
      <c r="R1930" s="10" t="s">
        <v>14709</v>
      </c>
      <c r="S1930" s="10" t="s">
        <v>53</v>
      </c>
      <c r="T1930" s="10" t="s">
        <v>54</v>
      </c>
    </row>
    <row r="1931" spans="1:20" ht="14.5" x14ac:dyDescent="0.35">
      <c r="A1931" s="10" t="s">
        <v>14710</v>
      </c>
      <c r="B1931" s="10" t="str">
        <f>"9781853962929"</f>
        <v>9781853962929</v>
      </c>
      <c r="C1931" s="10" t="str">
        <f>"9781849207010"</f>
        <v>9781849207010</v>
      </c>
      <c r="D1931" s="10" t="s">
        <v>9325</v>
      </c>
      <c r="E1931" s="10" t="s">
        <v>9326</v>
      </c>
      <c r="F1931" s="10" t="s">
        <v>139</v>
      </c>
      <c r="G1931" s="10" t="s">
        <v>6352</v>
      </c>
      <c r="H1931" s="11">
        <v>35123</v>
      </c>
      <c r="I1931" s="10">
        <v>1996</v>
      </c>
      <c r="J1931" s="10" t="s">
        <v>9326</v>
      </c>
      <c r="K1931" s="10">
        <v>177</v>
      </c>
      <c r="L1931" s="10" t="s">
        <v>14711</v>
      </c>
      <c r="M1931" s="10">
        <v>1</v>
      </c>
      <c r="N1931" s="10"/>
      <c r="O1931" s="10"/>
      <c r="P1931" s="10">
        <v>96141609</v>
      </c>
      <c r="Q1931" s="10" t="s">
        <v>14712</v>
      </c>
      <c r="R1931" s="10" t="s">
        <v>4456</v>
      </c>
      <c r="S1931" s="10" t="s">
        <v>53</v>
      </c>
      <c r="T1931" s="10" t="s">
        <v>54</v>
      </c>
    </row>
    <row r="1932" spans="1:20" ht="14.5" x14ac:dyDescent="0.35">
      <c r="A1932" s="10" t="s">
        <v>14713</v>
      </c>
      <c r="B1932" s="10" t="str">
        <f>"9781934155004"</f>
        <v>9781934155004</v>
      </c>
      <c r="C1932" s="10" t="str">
        <f>"9781934155295"</f>
        <v>9781934155295</v>
      </c>
      <c r="D1932" s="10" t="s">
        <v>9215</v>
      </c>
      <c r="E1932" s="10" t="s">
        <v>14714</v>
      </c>
      <c r="F1932" s="10" t="s">
        <v>14715</v>
      </c>
      <c r="G1932" s="10" t="s">
        <v>6317</v>
      </c>
      <c r="H1932" s="11">
        <v>39173</v>
      </c>
      <c r="I1932" s="10">
        <v>2007</v>
      </c>
      <c r="J1932" s="10" t="s">
        <v>14714</v>
      </c>
      <c r="K1932" s="10">
        <v>194</v>
      </c>
      <c r="L1932" s="10" t="s">
        <v>14716</v>
      </c>
      <c r="M1932" s="10"/>
      <c r="N1932" s="10"/>
      <c r="O1932" s="10"/>
      <c r="P1932" s="10" t="s">
        <v>14717</v>
      </c>
      <c r="Q1932" s="10" t="s">
        <v>14718</v>
      </c>
      <c r="R1932" s="10" t="s">
        <v>14719</v>
      </c>
      <c r="S1932" s="10" t="s">
        <v>53</v>
      </c>
      <c r="T1932" s="10" t="s">
        <v>54</v>
      </c>
    </row>
    <row r="1933" spans="1:20" ht="14.5" x14ac:dyDescent="0.35">
      <c r="A1933" s="10" t="s">
        <v>14720</v>
      </c>
      <c r="B1933" s="10" t="str">
        <f>"9780691129365"</f>
        <v>9780691129365</v>
      </c>
      <c r="C1933" s="10" t="str">
        <f>"9781400828005"</f>
        <v>9781400828005</v>
      </c>
      <c r="D1933" s="10" t="s">
        <v>14335</v>
      </c>
      <c r="E1933" s="10" t="s">
        <v>14336</v>
      </c>
      <c r="F1933" s="10" t="s">
        <v>2246</v>
      </c>
      <c r="G1933" s="10" t="s">
        <v>6317</v>
      </c>
      <c r="H1933" s="11">
        <v>39313</v>
      </c>
      <c r="I1933" s="10">
        <v>2007</v>
      </c>
      <c r="J1933" s="10" t="s">
        <v>14336</v>
      </c>
      <c r="K1933" s="10">
        <v>110</v>
      </c>
      <c r="L1933" s="10" t="s">
        <v>14721</v>
      </c>
      <c r="M1933" s="10">
        <v>1</v>
      </c>
      <c r="N1933" s="10"/>
      <c r="O1933" s="10"/>
      <c r="P1933" s="10" t="s">
        <v>14722</v>
      </c>
      <c r="Q1933" s="10">
        <v>361.94099999999997</v>
      </c>
      <c r="R1933" s="10"/>
      <c r="S1933" s="10" t="s">
        <v>53</v>
      </c>
      <c r="T1933" s="10" t="s">
        <v>6363</v>
      </c>
    </row>
    <row r="1934" spans="1:20" ht="14.5" x14ac:dyDescent="0.35">
      <c r="A1934" s="10" t="s">
        <v>14723</v>
      </c>
      <c r="B1934" s="10" t="str">
        <f>"9780691130002"</f>
        <v>9780691130002</v>
      </c>
      <c r="C1934" s="10" t="str">
        <f>"9781400830251"</f>
        <v>9781400830251</v>
      </c>
      <c r="D1934" s="10" t="s">
        <v>14335</v>
      </c>
      <c r="E1934" s="10" t="s">
        <v>14336</v>
      </c>
      <c r="F1934" s="10" t="s">
        <v>2246</v>
      </c>
      <c r="G1934" s="10" t="s">
        <v>6317</v>
      </c>
      <c r="H1934" s="11">
        <v>39950</v>
      </c>
      <c r="I1934" s="10">
        <v>2009</v>
      </c>
      <c r="J1934" s="10" t="s">
        <v>14336</v>
      </c>
      <c r="K1934" s="10">
        <v>432</v>
      </c>
      <c r="L1934" s="10" t="s">
        <v>14724</v>
      </c>
      <c r="M1934" s="10">
        <v>1</v>
      </c>
      <c r="N1934" s="10"/>
      <c r="O1934" s="10"/>
      <c r="P1934" s="10" t="s">
        <v>14725</v>
      </c>
      <c r="Q1934" s="10" t="s">
        <v>14726</v>
      </c>
      <c r="R1934" s="10"/>
      <c r="S1934" s="10" t="s">
        <v>53</v>
      </c>
      <c r="T1934" s="10" t="s">
        <v>54</v>
      </c>
    </row>
    <row r="1935" spans="1:20" ht="14.5" x14ac:dyDescent="0.35">
      <c r="A1935" s="10" t="s">
        <v>14727</v>
      </c>
      <c r="B1935" s="10" t="str">
        <f>"9780691123639"</f>
        <v>9780691123639</v>
      </c>
      <c r="C1935" s="10" t="str">
        <f>"9781400826742"</f>
        <v>9781400826742</v>
      </c>
      <c r="D1935" s="10" t="s">
        <v>14335</v>
      </c>
      <c r="E1935" s="10" t="s">
        <v>14336</v>
      </c>
      <c r="F1935" s="10" t="s">
        <v>2246</v>
      </c>
      <c r="G1935" s="10" t="s">
        <v>6317</v>
      </c>
      <c r="H1935" s="11">
        <v>38641</v>
      </c>
      <c r="I1935" s="10">
        <v>2006</v>
      </c>
      <c r="J1935" s="10" t="s">
        <v>14336</v>
      </c>
      <c r="K1935" s="10">
        <v>132</v>
      </c>
      <c r="L1935" s="10" t="s">
        <v>14728</v>
      </c>
      <c r="M1935" s="10">
        <v>1</v>
      </c>
      <c r="N1935" s="10" t="s">
        <v>14345</v>
      </c>
      <c r="O1935" s="10">
        <v>41</v>
      </c>
      <c r="P1935" s="10" t="s">
        <v>14729</v>
      </c>
      <c r="Q1935" s="10" t="s">
        <v>8011</v>
      </c>
      <c r="R1935" s="10"/>
      <c r="S1935" s="10" t="s">
        <v>53</v>
      </c>
      <c r="T1935" s="10" t="s">
        <v>6472</v>
      </c>
    </row>
    <row r="1936" spans="1:20" ht="14.5" x14ac:dyDescent="0.35">
      <c r="A1936" s="10" t="s">
        <v>14730</v>
      </c>
      <c r="B1936" s="10" t="str">
        <f>"9780821366882"</f>
        <v>9780821366882</v>
      </c>
      <c r="C1936" s="10" t="str">
        <f>"9780821366899"</f>
        <v>9780821366899</v>
      </c>
      <c r="D1936" s="10" t="s">
        <v>14731</v>
      </c>
      <c r="E1936" s="10" t="s">
        <v>14732</v>
      </c>
      <c r="F1936" s="10" t="s">
        <v>14733</v>
      </c>
      <c r="G1936" s="10" t="s">
        <v>6317</v>
      </c>
      <c r="H1936" s="11">
        <v>38888</v>
      </c>
      <c r="I1936" s="10">
        <v>2006</v>
      </c>
      <c r="J1936" s="10" t="s">
        <v>14734</v>
      </c>
      <c r="K1936" s="10">
        <v>304</v>
      </c>
      <c r="L1936" s="10" t="s">
        <v>14735</v>
      </c>
      <c r="M1936" s="10">
        <v>1</v>
      </c>
      <c r="N1936" s="10"/>
      <c r="O1936" s="10"/>
      <c r="P1936" s="10" t="s">
        <v>14736</v>
      </c>
      <c r="Q1936" s="10" t="s">
        <v>14737</v>
      </c>
      <c r="R1936" s="10" t="s">
        <v>14738</v>
      </c>
      <c r="S1936" s="10" t="s">
        <v>53</v>
      </c>
      <c r="T1936" s="10" t="s">
        <v>54</v>
      </c>
    </row>
    <row r="1937" spans="1:20" ht="14.5" x14ac:dyDescent="0.35">
      <c r="A1937" s="10" t="s">
        <v>14739</v>
      </c>
      <c r="B1937" s="10" t="str">
        <f>"9780821370483"</f>
        <v>9780821370483</v>
      </c>
      <c r="C1937" s="10" t="str">
        <f>"9780821370490"</f>
        <v>9780821370490</v>
      </c>
      <c r="D1937" s="10" t="s">
        <v>14731</v>
      </c>
      <c r="E1937" s="10" t="s">
        <v>14732</v>
      </c>
      <c r="F1937" s="10" t="s">
        <v>14733</v>
      </c>
      <c r="G1937" s="10" t="s">
        <v>6317</v>
      </c>
      <c r="H1937" s="11">
        <v>39233</v>
      </c>
      <c r="I1937" s="10">
        <v>2007</v>
      </c>
      <c r="J1937" s="10" t="s">
        <v>14734</v>
      </c>
      <c r="K1937" s="10">
        <v>78</v>
      </c>
      <c r="L1937" s="10" t="s">
        <v>14740</v>
      </c>
      <c r="M1937" s="10">
        <v>1</v>
      </c>
      <c r="N1937" s="10" t="s">
        <v>14741</v>
      </c>
      <c r="O1937" s="10"/>
      <c r="P1937" s="10" t="s">
        <v>14742</v>
      </c>
      <c r="Q1937" s="10" t="s">
        <v>14743</v>
      </c>
      <c r="R1937" s="10" t="s">
        <v>14744</v>
      </c>
      <c r="S1937" s="10" t="s">
        <v>53</v>
      </c>
      <c r="T1937" s="10" t="s">
        <v>54</v>
      </c>
    </row>
    <row r="1938" spans="1:20" ht="14.5" x14ac:dyDescent="0.35">
      <c r="A1938" s="10" t="s">
        <v>14745</v>
      </c>
      <c r="B1938" s="10" t="str">
        <f>"9780821374979"</f>
        <v>9780821374979</v>
      </c>
      <c r="C1938" s="10" t="str">
        <f>"9780821374986"</f>
        <v>9780821374986</v>
      </c>
      <c r="D1938" s="10" t="s">
        <v>14731</v>
      </c>
      <c r="E1938" s="10" t="s">
        <v>14732</v>
      </c>
      <c r="F1938" s="10" t="s">
        <v>14733</v>
      </c>
      <c r="G1938" s="10" t="s">
        <v>6317</v>
      </c>
      <c r="H1938" s="11">
        <v>39612</v>
      </c>
      <c r="I1938" s="10">
        <v>2008</v>
      </c>
      <c r="J1938" s="10" t="s">
        <v>14734</v>
      </c>
      <c r="K1938" s="10">
        <v>190</v>
      </c>
      <c r="L1938" s="10" t="s">
        <v>14746</v>
      </c>
      <c r="M1938" s="10">
        <v>1</v>
      </c>
      <c r="N1938" s="10"/>
      <c r="O1938" s="10"/>
      <c r="P1938" s="10" t="s">
        <v>14747</v>
      </c>
      <c r="Q1938" s="10" t="s">
        <v>8787</v>
      </c>
      <c r="R1938" s="10" t="s">
        <v>14748</v>
      </c>
      <c r="S1938" s="10" t="s">
        <v>53</v>
      </c>
      <c r="T1938" s="10" t="s">
        <v>54</v>
      </c>
    </row>
    <row r="1939" spans="1:20" ht="14.5" x14ac:dyDescent="0.35">
      <c r="A1939" s="10" t="s">
        <v>14749</v>
      </c>
      <c r="B1939" s="10" t="str">
        <f>"9780821378168"</f>
        <v>9780821378168</v>
      </c>
      <c r="C1939" s="10" t="str">
        <f>"9780821378175"</f>
        <v>9780821378175</v>
      </c>
      <c r="D1939" s="10" t="s">
        <v>14731</v>
      </c>
      <c r="E1939" s="10" t="s">
        <v>14732</v>
      </c>
      <c r="F1939" s="10" t="s">
        <v>14733</v>
      </c>
      <c r="G1939" s="10" t="s">
        <v>6317</v>
      </c>
      <c r="H1939" s="11">
        <v>39843</v>
      </c>
      <c r="I1939" s="10">
        <v>2009</v>
      </c>
      <c r="J1939" s="10" t="s">
        <v>14734</v>
      </c>
      <c r="K1939" s="10">
        <v>135</v>
      </c>
      <c r="L1939" s="10" t="s">
        <v>14750</v>
      </c>
      <c r="M1939" s="10">
        <v>1</v>
      </c>
      <c r="N1939" s="10"/>
      <c r="O1939" s="10"/>
      <c r="P1939" s="10" t="s">
        <v>14751</v>
      </c>
      <c r="Q1939" s="10" t="s">
        <v>14752</v>
      </c>
      <c r="R1939" s="10" t="s">
        <v>14753</v>
      </c>
      <c r="S1939" s="10" t="s">
        <v>53</v>
      </c>
      <c r="T1939" s="10" t="s">
        <v>54</v>
      </c>
    </row>
    <row r="1940" spans="1:20" ht="14.5" x14ac:dyDescent="0.35">
      <c r="A1940" s="10" t="s">
        <v>14754</v>
      </c>
      <c r="B1940" s="10" t="str">
        <f>"9780821375402"</f>
        <v>9780821375402</v>
      </c>
      <c r="C1940" s="10" t="str">
        <f>"9780821375419"</f>
        <v>9780821375419</v>
      </c>
      <c r="D1940" s="10" t="s">
        <v>14731</v>
      </c>
      <c r="E1940" s="10" t="s">
        <v>14732</v>
      </c>
      <c r="F1940" s="10" t="s">
        <v>14733</v>
      </c>
      <c r="G1940" s="10" t="s">
        <v>6317</v>
      </c>
      <c r="H1940" s="11">
        <v>39913</v>
      </c>
      <c r="I1940" s="10">
        <v>2009</v>
      </c>
      <c r="J1940" s="10" t="s">
        <v>14734</v>
      </c>
      <c r="K1940" s="10">
        <v>280</v>
      </c>
      <c r="L1940" s="10" t="s">
        <v>14755</v>
      </c>
      <c r="M1940" s="10">
        <v>1</v>
      </c>
      <c r="N1940" s="10" t="s">
        <v>14756</v>
      </c>
      <c r="O1940" s="10"/>
      <c r="P1940" s="10" t="s">
        <v>14757</v>
      </c>
      <c r="Q1940" s="10" t="s">
        <v>14758</v>
      </c>
      <c r="R1940" s="10" t="s">
        <v>14759</v>
      </c>
      <c r="S1940" s="10" t="s">
        <v>53</v>
      </c>
      <c r="T1940" s="10" t="s">
        <v>54</v>
      </c>
    </row>
    <row r="1941" spans="1:20" ht="14.5" x14ac:dyDescent="0.35">
      <c r="A1941" s="10" t="s">
        <v>14760</v>
      </c>
      <c r="B1941" s="10" t="str">
        <f>"9780821377789"</f>
        <v>9780821377789</v>
      </c>
      <c r="C1941" s="10" t="str">
        <f>"9780821377796"</f>
        <v>9780821377796</v>
      </c>
      <c r="D1941" s="10" t="s">
        <v>14731</v>
      </c>
      <c r="E1941" s="10" t="s">
        <v>14732</v>
      </c>
      <c r="F1941" s="10" t="s">
        <v>14733</v>
      </c>
      <c r="G1941" s="10" t="s">
        <v>6317</v>
      </c>
      <c r="H1941" s="11">
        <v>39798</v>
      </c>
      <c r="I1941" s="10">
        <v>2009</v>
      </c>
      <c r="J1941" s="10" t="s">
        <v>14734</v>
      </c>
      <c r="K1941" s="10">
        <v>64</v>
      </c>
      <c r="L1941" s="10" t="s">
        <v>14761</v>
      </c>
      <c r="M1941" s="10">
        <v>1</v>
      </c>
      <c r="N1941" s="10"/>
      <c r="O1941" s="10"/>
      <c r="P1941" s="10" t="s">
        <v>14762</v>
      </c>
      <c r="Q1941" s="10">
        <v>379.2</v>
      </c>
      <c r="R1941" s="10" t="s">
        <v>14763</v>
      </c>
      <c r="S1941" s="10" t="s">
        <v>53</v>
      </c>
      <c r="T1941" s="10" t="s">
        <v>54</v>
      </c>
    </row>
    <row r="1942" spans="1:20" ht="14.5" x14ac:dyDescent="0.35">
      <c r="A1942" s="10" t="s">
        <v>14764</v>
      </c>
      <c r="B1942" s="10" t="str">
        <f>"9780821365953"</f>
        <v>9780821365953</v>
      </c>
      <c r="C1942" s="10" t="str">
        <f>"9780821365960"</f>
        <v>9780821365960</v>
      </c>
      <c r="D1942" s="10" t="s">
        <v>14731</v>
      </c>
      <c r="E1942" s="10" t="s">
        <v>14732</v>
      </c>
      <c r="F1942" s="10" t="s">
        <v>14733</v>
      </c>
      <c r="G1942" s="10" t="s">
        <v>6317</v>
      </c>
      <c r="H1942" s="11">
        <v>39218</v>
      </c>
      <c r="I1942" s="10">
        <v>2007</v>
      </c>
      <c r="J1942" s="10" t="s">
        <v>14734</v>
      </c>
      <c r="K1942" s="10">
        <v>370</v>
      </c>
      <c r="L1942" s="10" t="s">
        <v>14765</v>
      </c>
      <c r="M1942" s="10">
        <v>1</v>
      </c>
      <c r="N1942" s="10"/>
      <c r="O1942" s="10"/>
      <c r="P1942" s="10" t="s">
        <v>14766</v>
      </c>
      <c r="Q1942" s="10">
        <v>330.07</v>
      </c>
      <c r="R1942" s="10" t="s">
        <v>14767</v>
      </c>
      <c r="S1942" s="10" t="s">
        <v>53</v>
      </c>
      <c r="T1942" s="10" t="s">
        <v>7545</v>
      </c>
    </row>
    <row r="1943" spans="1:20" ht="14.5" x14ac:dyDescent="0.35">
      <c r="A1943" s="10" t="s">
        <v>14768</v>
      </c>
      <c r="B1943" s="10" t="str">
        <f>"9780821379745"</f>
        <v>9780821379745</v>
      </c>
      <c r="C1943" s="10" t="str">
        <f>"9780821379752"</f>
        <v>9780821379752</v>
      </c>
      <c r="D1943" s="10" t="s">
        <v>14731</v>
      </c>
      <c r="E1943" s="10" t="s">
        <v>14732</v>
      </c>
      <c r="F1943" s="10" t="s">
        <v>14733</v>
      </c>
      <c r="G1943" s="10" t="s">
        <v>6317</v>
      </c>
      <c r="H1943" s="11">
        <v>39966</v>
      </c>
      <c r="I1943" s="10">
        <v>2009</v>
      </c>
      <c r="J1943" s="10" t="s">
        <v>14734</v>
      </c>
      <c r="K1943" s="10">
        <v>188</v>
      </c>
      <c r="L1943" s="10" t="s">
        <v>14769</v>
      </c>
      <c r="M1943" s="10">
        <v>1</v>
      </c>
      <c r="N1943" s="10" t="s">
        <v>14770</v>
      </c>
      <c r="O1943" s="10"/>
      <c r="P1943" s="10" t="s">
        <v>14771</v>
      </c>
      <c r="Q1943" s="10">
        <v>371.71600000000001</v>
      </c>
      <c r="R1943" s="10" t="s">
        <v>14772</v>
      </c>
      <c r="S1943" s="10" t="s">
        <v>53</v>
      </c>
      <c r="T1943" s="10" t="s">
        <v>54</v>
      </c>
    </row>
    <row r="1944" spans="1:20" ht="14.5" x14ac:dyDescent="0.35">
      <c r="A1944" s="10" t="s">
        <v>14773</v>
      </c>
      <c r="B1944" s="10" t="str">
        <f>"9780821379332"</f>
        <v>9780821379332</v>
      </c>
      <c r="C1944" s="10" t="str">
        <f>"9780821379790"</f>
        <v>9780821379790</v>
      </c>
      <c r="D1944" s="10" t="s">
        <v>14731</v>
      </c>
      <c r="E1944" s="10" t="s">
        <v>14732</v>
      </c>
      <c r="F1944" s="10" t="s">
        <v>14733</v>
      </c>
      <c r="G1944" s="10" t="s">
        <v>6317</v>
      </c>
      <c r="H1944" s="11">
        <v>40037</v>
      </c>
      <c r="I1944" s="10">
        <v>2009</v>
      </c>
      <c r="J1944" s="10" t="s">
        <v>14734</v>
      </c>
      <c r="K1944" s="10">
        <v>87</v>
      </c>
      <c r="L1944" s="10" t="s">
        <v>14774</v>
      </c>
      <c r="M1944" s="10">
        <v>1</v>
      </c>
      <c r="N1944" s="10"/>
      <c r="O1944" s="10"/>
      <c r="P1944" s="10" t="s">
        <v>14775</v>
      </c>
      <c r="Q1944" s="10" t="s">
        <v>14776</v>
      </c>
      <c r="R1944" s="10" t="s">
        <v>14777</v>
      </c>
      <c r="S1944" s="10" t="s">
        <v>53</v>
      </c>
      <c r="T1944" s="10" t="s">
        <v>8493</v>
      </c>
    </row>
    <row r="1945" spans="1:20" ht="14.5" x14ac:dyDescent="0.35">
      <c r="A1945" s="10" t="s">
        <v>14778</v>
      </c>
      <c r="B1945" s="10" t="str">
        <f>"9780821371572"</f>
        <v>9780821371572</v>
      </c>
      <c r="C1945" s="10" t="str">
        <f>"9780821371589"</f>
        <v>9780821371589</v>
      </c>
      <c r="D1945" s="10" t="s">
        <v>14731</v>
      </c>
      <c r="E1945" s="10" t="s">
        <v>14732</v>
      </c>
      <c r="F1945" s="10" t="s">
        <v>14733</v>
      </c>
      <c r="G1945" s="10" t="s">
        <v>6317</v>
      </c>
      <c r="H1945" s="11">
        <v>39300</v>
      </c>
      <c r="I1945" s="10">
        <v>2007</v>
      </c>
      <c r="J1945" s="10" t="s">
        <v>14734</v>
      </c>
      <c r="K1945" s="10">
        <v>64</v>
      </c>
      <c r="L1945" s="10" t="s">
        <v>14779</v>
      </c>
      <c r="M1945" s="10">
        <v>1</v>
      </c>
      <c r="N1945" s="10" t="s">
        <v>14741</v>
      </c>
      <c r="O1945" s="10"/>
      <c r="P1945" s="10" t="s">
        <v>14780</v>
      </c>
      <c r="Q1945" s="10">
        <v>370.11309469999998</v>
      </c>
      <c r="R1945" s="10" t="s">
        <v>14781</v>
      </c>
      <c r="S1945" s="10" t="s">
        <v>53</v>
      </c>
      <c r="T1945" s="10" t="s">
        <v>54</v>
      </c>
    </row>
    <row r="1946" spans="1:20" ht="14.5" x14ac:dyDescent="0.35">
      <c r="A1946" s="10" t="s">
        <v>14782</v>
      </c>
      <c r="B1946" s="10" t="str">
        <f>"9780821371497"</f>
        <v>9780821371497</v>
      </c>
      <c r="C1946" s="10" t="str">
        <f>"9780821371503"</f>
        <v>9780821371503</v>
      </c>
      <c r="D1946" s="10" t="s">
        <v>14731</v>
      </c>
      <c r="E1946" s="10" t="s">
        <v>14732</v>
      </c>
      <c r="F1946" s="10" t="s">
        <v>14733</v>
      </c>
      <c r="G1946" s="10" t="s">
        <v>6317</v>
      </c>
      <c r="H1946" s="11">
        <v>39292</v>
      </c>
      <c r="I1946" s="10">
        <v>2007</v>
      </c>
      <c r="J1946" s="10" t="s">
        <v>14734</v>
      </c>
      <c r="K1946" s="10">
        <v>48</v>
      </c>
      <c r="L1946" s="10" t="s">
        <v>14779</v>
      </c>
      <c r="M1946" s="10">
        <v>1</v>
      </c>
      <c r="N1946" s="10" t="s">
        <v>14741</v>
      </c>
      <c r="O1946" s="10"/>
      <c r="P1946" s="10" t="s">
        <v>14783</v>
      </c>
      <c r="Q1946" s="10">
        <v>379.11809399999999</v>
      </c>
      <c r="R1946" s="10" t="s">
        <v>14784</v>
      </c>
      <c r="S1946" s="10" t="s">
        <v>53</v>
      </c>
      <c r="T1946" s="10" t="s">
        <v>54</v>
      </c>
    </row>
    <row r="1947" spans="1:20" ht="14.5" x14ac:dyDescent="0.35">
      <c r="A1947" s="10" t="s">
        <v>14785</v>
      </c>
      <c r="B1947" s="10" t="str">
        <f>"9780821369432"</f>
        <v>9780821369432</v>
      </c>
      <c r="C1947" s="10" t="str">
        <f>"9780821369449"</f>
        <v>9780821369449</v>
      </c>
      <c r="D1947" s="10" t="s">
        <v>14731</v>
      </c>
      <c r="E1947" s="10" t="s">
        <v>14732</v>
      </c>
      <c r="F1947" s="10" t="s">
        <v>14733</v>
      </c>
      <c r="G1947" s="10" t="s">
        <v>6317</v>
      </c>
      <c r="H1947" s="11">
        <v>39248</v>
      </c>
      <c r="I1947" s="10">
        <v>2007</v>
      </c>
      <c r="J1947" s="10" t="s">
        <v>14734</v>
      </c>
      <c r="K1947" s="10">
        <v>264</v>
      </c>
      <c r="L1947" s="10" t="s">
        <v>14786</v>
      </c>
      <c r="M1947" s="10">
        <v>1</v>
      </c>
      <c r="N1947" s="10"/>
      <c r="O1947" s="10"/>
      <c r="P1947" s="10" t="s">
        <v>14787</v>
      </c>
      <c r="Q1947" s="10">
        <v>374.95100000000002</v>
      </c>
      <c r="R1947" s="10" t="s">
        <v>14788</v>
      </c>
      <c r="S1947" s="10" t="s">
        <v>53</v>
      </c>
      <c r="T1947" s="10" t="s">
        <v>54</v>
      </c>
    </row>
    <row r="1948" spans="1:20" ht="14.5" x14ac:dyDescent="0.35">
      <c r="A1948" s="10" t="s">
        <v>14789</v>
      </c>
      <c r="B1948" s="10" t="str">
        <f>"9780821362099"</f>
        <v>9780821362099</v>
      </c>
      <c r="C1948" s="10" t="str">
        <f>"9780821362105"</f>
        <v>9780821362105</v>
      </c>
      <c r="D1948" s="10" t="s">
        <v>14731</v>
      </c>
      <c r="E1948" s="10" t="s">
        <v>14732</v>
      </c>
      <c r="F1948" s="10" t="s">
        <v>14733</v>
      </c>
      <c r="G1948" s="10" t="s">
        <v>6317</v>
      </c>
      <c r="H1948" s="11">
        <v>38567</v>
      </c>
      <c r="I1948" s="10">
        <v>2005</v>
      </c>
      <c r="J1948" s="10" t="s">
        <v>14734</v>
      </c>
      <c r="K1948" s="10">
        <v>420</v>
      </c>
      <c r="L1948" s="10" t="s">
        <v>14790</v>
      </c>
      <c r="M1948" s="10">
        <v>1</v>
      </c>
      <c r="N1948" s="10" t="s">
        <v>14770</v>
      </c>
      <c r="O1948" s="10"/>
      <c r="P1948" s="10" t="s">
        <v>14791</v>
      </c>
      <c r="Q1948" s="10">
        <v>378.8</v>
      </c>
      <c r="R1948" s="10" t="s">
        <v>14792</v>
      </c>
      <c r="S1948" s="10" t="s">
        <v>53</v>
      </c>
      <c r="T1948" s="10" t="s">
        <v>54</v>
      </c>
    </row>
    <row r="1949" spans="1:20" ht="14.5" x14ac:dyDescent="0.35">
      <c r="A1949" s="10" t="s">
        <v>14793</v>
      </c>
      <c r="B1949" s="10" t="str">
        <f>"9780821366455"</f>
        <v>9780821366455</v>
      </c>
      <c r="C1949" s="10" t="str">
        <f>"9780821366462"</f>
        <v>9780821366462</v>
      </c>
      <c r="D1949" s="10" t="s">
        <v>14731</v>
      </c>
      <c r="E1949" s="10" t="s">
        <v>14732</v>
      </c>
      <c r="F1949" s="10" t="s">
        <v>14733</v>
      </c>
      <c r="G1949" s="10" t="s">
        <v>6317</v>
      </c>
      <c r="H1949" s="11">
        <v>38932</v>
      </c>
      <c r="I1949" s="10">
        <v>2006</v>
      </c>
      <c r="J1949" s="10" t="s">
        <v>14734</v>
      </c>
      <c r="K1949" s="10">
        <v>376</v>
      </c>
      <c r="L1949" s="10" t="s">
        <v>14794</v>
      </c>
      <c r="M1949" s="10">
        <v>1</v>
      </c>
      <c r="N1949" s="10" t="s">
        <v>14770</v>
      </c>
      <c r="O1949" s="10"/>
      <c r="P1949" s="10" t="s">
        <v>14795</v>
      </c>
      <c r="Q1949" s="10">
        <v>373.8</v>
      </c>
      <c r="R1949" s="10" t="s">
        <v>14796</v>
      </c>
      <c r="S1949" s="10" t="s">
        <v>53</v>
      </c>
      <c r="T1949" s="10" t="s">
        <v>54</v>
      </c>
    </row>
    <row r="1950" spans="1:20" ht="14.5" x14ac:dyDescent="0.35">
      <c r="A1950" s="10" t="s">
        <v>14797</v>
      </c>
      <c r="B1950" s="10" t="str">
        <f>"9780821365250"</f>
        <v>9780821365250</v>
      </c>
      <c r="C1950" s="10" t="str">
        <f>"9780821365267"</f>
        <v>9780821365267</v>
      </c>
      <c r="D1950" s="10" t="s">
        <v>14731</v>
      </c>
      <c r="E1950" s="10" t="s">
        <v>14732</v>
      </c>
      <c r="F1950" s="10" t="s">
        <v>14733</v>
      </c>
      <c r="G1950" s="10" t="s">
        <v>6317</v>
      </c>
      <c r="H1950" s="11">
        <v>38742</v>
      </c>
      <c r="I1950" s="10">
        <v>2006</v>
      </c>
      <c r="J1950" s="10" t="s">
        <v>14734</v>
      </c>
      <c r="K1950" s="10">
        <v>76</v>
      </c>
      <c r="L1950" s="10" t="s">
        <v>14798</v>
      </c>
      <c r="M1950" s="10">
        <v>1</v>
      </c>
      <c r="N1950" s="10" t="s">
        <v>14799</v>
      </c>
      <c r="O1950" s="10" t="s">
        <v>14800</v>
      </c>
      <c r="P1950" s="10" t="s">
        <v>14801</v>
      </c>
      <c r="Q1950" s="10">
        <v>371.20098000000002</v>
      </c>
      <c r="R1950" s="10" t="s">
        <v>14802</v>
      </c>
      <c r="S1950" s="10" t="s">
        <v>53</v>
      </c>
      <c r="T1950" s="10" t="s">
        <v>54</v>
      </c>
    </row>
    <row r="1951" spans="1:20" ht="14.5" x14ac:dyDescent="0.35">
      <c r="A1951" s="10" t="s">
        <v>14803</v>
      </c>
      <c r="B1951" s="10" t="str">
        <f>"9780821375099"</f>
        <v>9780821375099</v>
      </c>
      <c r="C1951" s="10" t="str">
        <f>"9780821375105"</f>
        <v>9780821375105</v>
      </c>
      <c r="D1951" s="10" t="s">
        <v>14731</v>
      </c>
      <c r="E1951" s="10" t="s">
        <v>14732</v>
      </c>
      <c r="F1951" s="10" t="s">
        <v>14733</v>
      </c>
      <c r="G1951" s="10" t="s">
        <v>6317</v>
      </c>
      <c r="H1951" s="11">
        <v>39548</v>
      </c>
      <c r="I1951" s="10">
        <v>2008</v>
      </c>
      <c r="J1951" s="10" t="s">
        <v>14734</v>
      </c>
      <c r="K1951" s="10">
        <v>94</v>
      </c>
      <c r="L1951" s="10" t="s">
        <v>14804</v>
      </c>
      <c r="M1951" s="10">
        <v>1</v>
      </c>
      <c r="N1951" s="10" t="s">
        <v>14770</v>
      </c>
      <c r="O1951" s="10"/>
      <c r="P1951" s="10" t="s">
        <v>14805</v>
      </c>
      <c r="Q1951" s="10" t="s">
        <v>14806</v>
      </c>
      <c r="R1951" s="10" t="s">
        <v>14807</v>
      </c>
      <c r="S1951" s="10" t="s">
        <v>53</v>
      </c>
      <c r="T1951" s="10" t="s">
        <v>7545</v>
      </c>
    </row>
    <row r="1952" spans="1:20" ht="14.5" x14ac:dyDescent="0.35">
      <c r="A1952" s="10" t="s">
        <v>14808</v>
      </c>
      <c r="B1952" s="10" t="str">
        <f>"9780821374429"</f>
        <v>9780821374429</v>
      </c>
      <c r="C1952" s="10" t="str">
        <f>"9780821374436"</f>
        <v>9780821374436</v>
      </c>
      <c r="D1952" s="10" t="s">
        <v>14731</v>
      </c>
      <c r="E1952" s="10" t="s">
        <v>14732</v>
      </c>
      <c r="F1952" s="10" t="s">
        <v>14733</v>
      </c>
      <c r="G1952" s="10" t="s">
        <v>6317</v>
      </c>
      <c r="H1952" s="11">
        <v>39562</v>
      </c>
      <c r="I1952" s="10">
        <v>2008</v>
      </c>
      <c r="J1952" s="10" t="s">
        <v>14734</v>
      </c>
      <c r="K1952" s="10">
        <v>96</v>
      </c>
      <c r="L1952" s="10" t="s">
        <v>14809</v>
      </c>
      <c r="M1952" s="10">
        <v>1</v>
      </c>
      <c r="N1952" s="10"/>
      <c r="O1952" s="10"/>
      <c r="P1952" s="10" t="s">
        <v>14810</v>
      </c>
      <c r="Q1952" s="10">
        <v>331.12096000000003</v>
      </c>
      <c r="R1952" s="10" t="s">
        <v>14811</v>
      </c>
      <c r="S1952" s="10" t="s">
        <v>53</v>
      </c>
      <c r="T1952" s="10" t="s">
        <v>10311</v>
      </c>
    </row>
    <row r="1953" spans="1:20" ht="14.5" x14ac:dyDescent="0.35">
      <c r="A1953" s="10" t="s">
        <v>14812</v>
      </c>
      <c r="B1953" s="10" t="str">
        <f>"9780821373828"</f>
        <v>9780821373828</v>
      </c>
      <c r="C1953" s="10" t="str">
        <f>"9780821373835"</f>
        <v>9780821373835</v>
      </c>
      <c r="D1953" s="10" t="s">
        <v>14731</v>
      </c>
      <c r="E1953" s="10" t="s">
        <v>14732</v>
      </c>
      <c r="F1953" s="10" t="s">
        <v>14733</v>
      </c>
      <c r="G1953" s="10" t="s">
        <v>6317</v>
      </c>
      <c r="H1953" s="11">
        <v>39485</v>
      </c>
      <c r="I1953" s="10">
        <v>2008</v>
      </c>
      <c r="J1953" s="10" t="s">
        <v>14734</v>
      </c>
      <c r="K1953" s="10">
        <v>124</v>
      </c>
      <c r="L1953" s="10" t="s">
        <v>14813</v>
      </c>
      <c r="M1953" s="10">
        <v>1</v>
      </c>
      <c r="N1953" s="10"/>
      <c r="O1953" s="10"/>
      <c r="P1953" s="10" t="s">
        <v>14814</v>
      </c>
      <c r="Q1953" s="10">
        <v>352.28309630000001</v>
      </c>
      <c r="R1953" s="10" t="s">
        <v>14815</v>
      </c>
      <c r="S1953" s="10" t="s">
        <v>53</v>
      </c>
      <c r="T1953" s="10" t="s">
        <v>4859</v>
      </c>
    </row>
    <row r="1954" spans="1:20" ht="14.5" x14ac:dyDescent="0.35">
      <c r="A1954" s="10" t="s">
        <v>14816</v>
      </c>
      <c r="B1954" s="10" t="str">
        <f>"9780821375464"</f>
        <v>9780821375464</v>
      </c>
      <c r="C1954" s="10" t="str">
        <f>"9780821375471"</f>
        <v>9780821375471</v>
      </c>
      <c r="D1954" s="10" t="s">
        <v>14731</v>
      </c>
      <c r="E1954" s="10" t="s">
        <v>14732</v>
      </c>
      <c r="F1954" s="10" t="s">
        <v>14733</v>
      </c>
      <c r="G1954" s="10" t="s">
        <v>6317</v>
      </c>
      <c r="H1954" s="11">
        <v>39605</v>
      </c>
      <c r="I1954" s="10">
        <v>2008</v>
      </c>
      <c r="J1954" s="10" t="s">
        <v>14734</v>
      </c>
      <c r="K1954" s="10">
        <v>200</v>
      </c>
      <c r="L1954" s="10" t="s">
        <v>14817</v>
      </c>
      <c r="M1954" s="10">
        <v>1</v>
      </c>
      <c r="N1954" s="10" t="s">
        <v>14818</v>
      </c>
      <c r="O1954" s="10" t="s">
        <v>14819</v>
      </c>
      <c r="P1954" s="10" t="s">
        <v>14820</v>
      </c>
      <c r="Q1954" s="10">
        <v>378.67</v>
      </c>
      <c r="R1954" s="10" t="s">
        <v>14821</v>
      </c>
      <c r="S1954" s="10" t="s">
        <v>53</v>
      </c>
      <c r="T1954" s="10" t="s">
        <v>54</v>
      </c>
    </row>
    <row r="1955" spans="1:20" ht="14.5" x14ac:dyDescent="0.35">
      <c r="A1955" s="10" t="s">
        <v>14822</v>
      </c>
      <c r="B1955" s="10" t="str">
        <f>"9780821374702"</f>
        <v>9780821374702</v>
      </c>
      <c r="C1955" s="10" t="str">
        <f>"9780821374719"</f>
        <v>9780821374719</v>
      </c>
      <c r="D1955" s="10" t="s">
        <v>14731</v>
      </c>
      <c r="E1955" s="10" t="s">
        <v>14732</v>
      </c>
      <c r="F1955" s="10" t="s">
        <v>14733</v>
      </c>
      <c r="G1955" s="10" t="s">
        <v>6317</v>
      </c>
      <c r="H1955" s="11">
        <v>39506</v>
      </c>
      <c r="I1955" s="10">
        <v>2007</v>
      </c>
      <c r="J1955" s="10" t="s">
        <v>14734</v>
      </c>
      <c r="K1955" s="10">
        <v>43</v>
      </c>
      <c r="L1955" s="10" t="s">
        <v>14823</v>
      </c>
      <c r="M1955" s="10">
        <v>1</v>
      </c>
      <c r="N1955" s="10"/>
      <c r="O1955" s="10"/>
      <c r="P1955" s="10" t="s">
        <v>14824</v>
      </c>
      <c r="Q1955" s="10" t="s">
        <v>14825</v>
      </c>
      <c r="R1955" s="10" t="s">
        <v>14826</v>
      </c>
      <c r="S1955" s="10" t="s">
        <v>53</v>
      </c>
      <c r="T1955" s="10" t="s">
        <v>54</v>
      </c>
    </row>
    <row r="1956" spans="1:20" ht="14.5" x14ac:dyDescent="0.35">
      <c r="A1956" s="10" t="s">
        <v>14827</v>
      </c>
      <c r="B1956" s="10" t="str">
        <f>"9780821372586"</f>
        <v>9780821372586</v>
      </c>
      <c r="C1956" s="10" t="str">
        <f>"9780821372593"</f>
        <v>9780821372593</v>
      </c>
      <c r="D1956" s="10" t="s">
        <v>14731</v>
      </c>
      <c r="E1956" s="10" t="s">
        <v>14732</v>
      </c>
      <c r="F1956" s="10" t="s">
        <v>14733</v>
      </c>
      <c r="G1956" s="10" t="s">
        <v>6317</v>
      </c>
      <c r="H1956" s="11">
        <v>39419</v>
      </c>
      <c r="I1956" s="10">
        <v>2008</v>
      </c>
      <c r="J1956" s="10" t="s">
        <v>14734</v>
      </c>
      <c r="K1956" s="10">
        <v>178</v>
      </c>
      <c r="L1956" s="10" t="s">
        <v>14828</v>
      </c>
      <c r="M1956" s="10">
        <v>1</v>
      </c>
      <c r="N1956" s="10"/>
      <c r="O1956" s="10"/>
      <c r="P1956" s="10" t="s">
        <v>14829</v>
      </c>
      <c r="Q1956" s="10" t="s">
        <v>12332</v>
      </c>
      <c r="R1956" s="10" t="s">
        <v>14830</v>
      </c>
      <c r="S1956" s="10" t="s">
        <v>53</v>
      </c>
      <c r="T1956" s="10" t="s">
        <v>54</v>
      </c>
    </row>
    <row r="1957" spans="1:20" ht="14.5" x14ac:dyDescent="0.35">
      <c r="A1957" s="10" t="s">
        <v>14831</v>
      </c>
      <c r="B1957" s="10" t="str">
        <f>"9780821373750"</f>
        <v>9780821373750</v>
      </c>
      <c r="C1957" s="10" t="str">
        <f>"9780821373767"</f>
        <v>9780821373767</v>
      </c>
      <c r="D1957" s="10" t="s">
        <v>14731</v>
      </c>
      <c r="E1957" s="10" t="s">
        <v>14732</v>
      </c>
      <c r="F1957" s="10" t="s">
        <v>14733</v>
      </c>
      <c r="G1957" s="10" t="s">
        <v>6317</v>
      </c>
      <c r="H1957" s="11">
        <v>39560</v>
      </c>
      <c r="I1957" s="10">
        <v>2008</v>
      </c>
      <c r="J1957" s="10" t="s">
        <v>14734</v>
      </c>
      <c r="K1957" s="10">
        <v>235</v>
      </c>
      <c r="L1957" s="10" t="s">
        <v>14832</v>
      </c>
      <c r="M1957" s="10">
        <v>1</v>
      </c>
      <c r="N1957" s="10"/>
      <c r="O1957" s="10"/>
      <c r="P1957" s="10" t="s">
        <v>14833</v>
      </c>
      <c r="Q1957" s="10" t="s">
        <v>14834</v>
      </c>
      <c r="R1957" s="10" t="s">
        <v>14835</v>
      </c>
      <c r="S1957" s="10" t="s">
        <v>53</v>
      </c>
      <c r="T1957" s="10" t="s">
        <v>54</v>
      </c>
    </row>
    <row r="1958" spans="1:20" ht="14.5" x14ac:dyDescent="0.35">
      <c r="A1958" s="10" t="s">
        <v>14836</v>
      </c>
      <c r="B1958" s="10" t="str">
        <f>"9780821371152"</f>
        <v>9780821371152</v>
      </c>
      <c r="C1958" s="10" t="str">
        <f>"9780821371169"</f>
        <v>9780821371169</v>
      </c>
      <c r="D1958" s="10" t="s">
        <v>14731</v>
      </c>
      <c r="E1958" s="10" t="s">
        <v>14732</v>
      </c>
      <c r="F1958" s="10" t="s">
        <v>14733</v>
      </c>
      <c r="G1958" s="10" t="s">
        <v>6317</v>
      </c>
      <c r="H1958" s="11">
        <v>39513</v>
      </c>
      <c r="I1958" s="10">
        <v>2008</v>
      </c>
      <c r="J1958" s="10" t="s">
        <v>14734</v>
      </c>
      <c r="K1958" s="10">
        <v>151</v>
      </c>
      <c r="L1958" s="10" t="s">
        <v>14837</v>
      </c>
      <c r="M1958" s="10">
        <v>1</v>
      </c>
      <c r="N1958" s="10" t="s">
        <v>14756</v>
      </c>
      <c r="O1958" s="10"/>
      <c r="P1958" s="10" t="s">
        <v>14838</v>
      </c>
      <c r="Q1958" s="10" t="s">
        <v>14839</v>
      </c>
      <c r="R1958" s="10" t="s">
        <v>14840</v>
      </c>
      <c r="S1958" s="10" t="s">
        <v>53</v>
      </c>
      <c r="T1958" s="10" t="s">
        <v>54</v>
      </c>
    </row>
    <row r="1959" spans="1:20" ht="14.5" x14ac:dyDescent="0.35">
      <c r="A1959" s="10" t="s">
        <v>14841</v>
      </c>
      <c r="B1959" s="10" t="str">
        <f>"9780821372722"</f>
        <v>9780821372722</v>
      </c>
      <c r="C1959" s="10" t="str">
        <f>"9780821372739"</f>
        <v>9780821372739</v>
      </c>
      <c r="D1959" s="10" t="s">
        <v>14731</v>
      </c>
      <c r="E1959" s="10" t="s">
        <v>14732</v>
      </c>
      <c r="F1959" s="10" t="s">
        <v>14733</v>
      </c>
      <c r="G1959" s="10" t="s">
        <v>6317</v>
      </c>
      <c r="H1959" s="11">
        <v>39318</v>
      </c>
      <c r="I1959" s="10">
        <v>2007</v>
      </c>
      <c r="J1959" s="10" t="s">
        <v>14734</v>
      </c>
      <c r="K1959" s="10">
        <v>108</v>
      </c>
      <c r="L1959" s="10" t="s">
        <v>14842</v>
      </c>
      <c r="M1959" s="10">
        <v>1</v>
      </c>
      <c r="N1959" s="10" t="s">
        <v>14843</v>
      </c>
      <c r="O1959" s="10"/>
      <c r="P1959" s="10" t="s">
        <v>14844</v>
      </c>
      <c r="Q1959" s="10">
        <v>378.68</v>
      </c>
      <c r="R1959" s="10" t="s">
        <v>14845</v>
      </c>
      <c r="S1959" s="10" t="s">
        <v>53</v>
      </c>
      <c r="T1959" s="10" t="s">
        <v>54</v>
      </c>
    </row>
    <row r="1960" spans="1:20" ht="14.5" x14ac:dyDescent="0.35">
      <c r="A1960" s="10" t="s">
        <v>14846</v>
      </c>
      <c r="B1960" s="10" t="str">
        <f>"9780821371008"</f>
        <v>9780821371008</v>
      </c>
      <c r="C1960" s="10" t="str">
        <f>"9780821371015"</f>
        <v>9780821371015</v>
      </c>
      <c r="D1960" s="10" t="s">
        <v>14731</v>
      </c>
      <c r="E1960" s="10" t="s">
        <v>14732</v>
      </c>
      <c r="F1960" s="10" t="s">
        <v>14733</v>
      </c>
      <c r="G1960" s="10" t="s">
        <v>6317</v>
      </c>
      <c r="H1960" s="11">
        <v>39253</v>
      </c>
      <c r="I1960" s="10">
        <v>2007</v>
      </c>
      <c r="J1960" s="10" t="s">
        <v>14734</v>
      </c>
      <c r="K1960" s="10">
        <v>88</v>
      </c>
      <c r="L1960" s="10" t="s">
        <v>14847</v>
      </c>
      <c r="M1960" s="10">
        <v>1</v>
      </c>
      <c r="N1960" s="10"/>
      <c r="O1960" s="10"/>
      <c r="P1960" s="10" t="s">
        <v>14848</v>
      </c>
      <c r="Q1960" s="10">
        <v>332.6</v>
      </c>
      <c r="R1960" s="10" t="s">
        <v>14849</v>
      </c>
      <c r="S1960" s="10" t="s">
        <v>53</v>
      </c>
      <c r="T1960" s="10" t="s">
        <v>7545</v>
      </c>
    </row>
    <row r="1961" spans="1:20" ht="14.5" x14ac:dyDescent="0.35">
      <c r="A1961" s="10" t="s">
        <v>14850</v>
      </c>
      <c r="B1961" s="10" t="str">
        <f>"9780821370667"</f>
        <v>9780821370667</v>
      </c>
      <c r="C1961" s="10" t="str">
        <f>"9780821370674"</f>
        <v>9780821370674</v>
      </c>
      <c r="D1961" s="10" t="s">
        <v>14731</v>
      </c>
      <c r="E1961" s="10" t="s">
        <v>14732</v>
      </c>
      <c r="F1961" s="10" t="s">
        <v>14733</v>
      </c>
      <c r="G1961" s="10" t="s">
        <v>6317</v>
      </c>
      <c r="H1961" s="11">
        <v>39163</v>
      </c>
      <c r="I1961" s="10">
        <v>2007</v>
      </c>
      <c r="J1961" s="10" t="s">
        <v>14734</v>
      </c>
      <c r="K1961" s="10">
        <v>96</v>
      </c>
      <c r="L1961" s="10" t="s">
        <v>14851</v>
      </c>
      <c r="M1961" s="10">
        <v>1</v>
      </c>
      <c r="N1961" s="10"/>
      <c r="O1961" s="10"/>
      <c r="P1961" s="10" t="s">
        <v>14852</v>
      </c>
      <c r="Q1961" s="10">
        <v>373.11096700000002</v>
      </c>
      <c r="R1961" s="10" t="s">
        <v>14853</v>
      </c>
      <c r="S1961" s="10" t="s">
        <v>53</v>
      </c>
      <c r="T1961" s="10" t="s">
        <v>54</v>
      </c>
    </row>
    <row r="1962" spans="1:20" ht="14.5" x14ac:dyDescent="0.35">
      <c r="A1962" s="10" t="s">
        <v>14854</v>
      </c>
      <c r="B1962" s="10" t="str">
        <f>"9780821374153"</f>
        <v>9780821374153</v>
      </c>
      <c r="C1962" s="10" t="str">
        <f>"9780821374160"</f>
        <v>9780821374160</v>
      </c>
      <c r="D1962" s="10" t="s">
        <v>14731</v>
      </c>
      <c r="E1962" s="10" t="s">
        <v>14732</v>
      </c>
      <c r="F1962" s="10" t="s">
        <v>14733</v>
      </c>
      <c r="G1962" s="10" t="s">
        <v>6317</v>
      </c>
      <c r="H1962" s="11">
        <v>39098</v>
      </c>
      <c r="I1962" s="10">
        <v>2007</v>
      </c>
      <c r="J1962" s="10" t="s">
        <v>14734</v>
      </c>
      <c r="K1962" s="10">
        <v>500</v>
      </c>
      <c r="L1962" s="10" t="s">
        <v>14855</v>
      </c>
      <c r="M1962" s="10">
        <v>1</v>
      </c>
      <c r="N1962" s="10"/>
      <c r="O1962" s="10"/>
      <c r="P1962" s="10" t="s">
        <v>14856</v>
      </c>
      <c r="Q1962" s="10">
        <v>338.95600000000002</v>
      </c>
      <c r="R1962" s="10" t="s">
        <v>14857</v>
      </c>
      <c r="S1962" s="10" t="s">
        <v>53</v>
      </c>
      <c r="T1962" s="10" t="s">
        <v>7545</v>
      </c>
    </row>
    <row r="1963" spans="1:20" ht="14.5" x14ac:dyDescent="0.35">
      <c r="A1963" s="10" t="s">
        <v>14858</v>
      </c>
      <c r="B1963" s="10" t="str">
        <f>"9780821370568"</f>
        <v>9780821370568</v>
      </c>
      <c r="C1963" s="10" t="str">
        <f>"9780821370575"</f>
        <v>9780821370575</v>
      </c>
      <c r="D1963" s="10" t="s">
        <v>14731</v>
      </c>
      <c r="E1963" s="10" t="s">
        <v>14732</v>
      </c>
      <c r="F1963" s="10" t="s">
        <v>14733</v>
      </c>
      <c r="G1963" s="10" t="s">
        <v>6317</v>
      </c>
      <c r="H1963" s="11">
        <v>39241</v>
      </c>
      <c r="I1963" s="10">
        <v>2007</v>
      </c>
      <c r="J1963" s="10" t="s">
        <v>14734</v>
      </c>
      <c r="K1963" s="10">
        <v>110</v>
      </c>
      <c r="L1963" s="10" t="s">
        <v>14859</v>
      </c>
      <c r="M1963" s="10">
        <v>1</v>
      </c>
      <c r="N1963" s="10"/>
      <c r="O1963" s="10"/>
      <c r="P1963" s="10" t="s">
        <v>14860</v>
      </c>
      <c r="Q1963" s="10">
        <v>372.96760999999998</v>
      </c>
      <c r="R1963" s="10" t="s">
        <v>14861</v>
      </c>
      <c r="S1963" s="10" t="s">
        <v>53</v>
      </c>
      <c r="T1963" s="10" t="s">
        <v>54</v>
      </c>
    </row>
    <row r="1964" spans="1:20" ht="14.5" x14ac:dyDescent="0.35">
      <c r="A1964" s="10" t="s">
        <v>14862</v>
      </c>
      <c r="B1964" s="10" t="str">
        <f>"9780821367926"</f>
        <v>9780821367926</v>
      </c>
      <c r="C1964" s="10" t="str">
        <f>"9780821367933"</f>
        <v>9780821367933</v>
      </c>
      <c r="D1964" s="10" t="s">
        <v>14731</v>
      </c>
      <c r="E1964" s="10" t="s">
        <v>14732</v>
      </c>
      <c r="F1964" s="10" t="s">
        <v>14733</v>
      </c>
      <c r="G1964" s="10" t="s">
        <v>6317</v>
      </c>
      <c r="H1964" s="11">
        <v>38957</v>
      </c>
      <c r="I1964" s="10">
        <v>2006</v>
      </c>
      <c r="J1964" s="10" t="s">
        <v>14734</v>
      </c>
      <c r="K1964" s="10">
        <v>152</v>
      </c>
      <c r="L1964" s="10" t="s">
        <v>14863</v>
      </c>
      <c r="M1964" s="10">
        <v>1</v>
      </c>
      <c r="N1964" s="10"/>
      <c r="O1964" s="10"/>
      <c r="P1964" s="10" t="s">
        <v>14864</v>
      </c>
      <c r="Q1964" s="10" t="s">
        <v>14865</v>
      </c>
      <c r="R1964" s="10" t="s">
        <v>14866</v>
      </c>
      <c r="S1964" s="10" t="s">
        <v>53</v>
      </c>
      <c r="T1964" s="10" t="s">
        <v>54</v>
      </c>
    </row>
    <row r="1965" spans="1:20" ht="14.5" x14ac:dyDescent="0.35">
      <c r="A1965" s="10" t="s">
        <v>14867</v>
      </c>
      <c r="B1965" s="10" t="str">
        <f>"9780821370704"</f>
        <v>9780821370704</v>
      </c>
      <c r="C1965" s="10" t="str">
        <f>"9780821370711"</f>
        <v>9780821370711</v>
      </c>
      <c r="D1965" s="10" t="s">
        <v>14731</v>
      </c>
      <c r="E1965" s="10" t="s">
        <v>14732</v>
      </c>
      <c r="F1965" s="10" t="s">
        <v>14733</v>
      </c>
      <c r="G1965" s="10" t="s">
        <v>6317</v>
      </c>
      <c r="H1965" s="11">
        <v>39163</v>
      </c>
      <c r="I1965" s="10">
        <v>2007</v>
      </c>
      <c r="J1965" s="10" t="s">
        <v>14734</v>
      </c>
      <c r="K1965" s="10">
        <v>116</v>
      </c>
      <c r="L1965" s="10" t="s">
        <v>14868</v>
      </c>
      <c r="M1965" s="10">
        <v>1</v>
      </c>
      <c r="N1965" s="10"/>
      <c r="O1965" s="10"/>
      <c r="P1965" s="10" t="s">
        <v>14869</v>
      </c>
      <c r="Q1965" s="10">
        <v>371.10199999999998</v>
      </c>
      <c r="R1965" s="10" t="s">
        <v>14870</v>
      </c>
      <c r="S1965" s="10" t="s">
        <v>53</v>
      </c>
      <c r="T1965" s="10" t="s">
        <v>54</v>
      </c>
    </row>
    <row r="1966" spans="1:20" ht="14.5" x14ac:dyDescent="0.35">
      <c r="A1966" s="10" t="s">
        <v>14871</v>
      </c>
      <c r="B1966" s="10" t="str">
        <f>"9780821378663"</f>
        <v>9780821378663</v>
      </c>
      <c r="C1966" s="10" t="str">
        <f>"9780821379035"</f>
        <v>9780821379035</v>
      </c>
      <c r="D1966" s="10" t="s">
        <v>14731</v>
      </c>
      <c r="E1966" s="10" t="s">
        <v>14732</v>
      </c>
      <c r="F1966" s="10" t="s">
        <v>14733</v>
      </c>
      <c r="G1966" s="10" t="s">
        <v>6317</v>
      </c>
      <c r="H1966" s="11">
        <v>39895</v>
      </c>
      <c r="I1966" s="10">
        <v>2009</v>
      </c>
      <c r="J1966" s="10" t="s">
        <v>14734</v>
      </c>
      <c r="K1966" s="10">
        <v>116</v>
      </c>
      <c r="L1966" s="10" t="s">
        <v>14872</v>
      </c>
      <c r="M1966" s="10">
        <v>1</v>
      </c>
      <c r="N1966" s="10"/>
      <c r="O1966" s="10"/>
      <c r="P1966" s="10" t="s">
        <v>14873</v>
      </c>
      <c r="Q1966" s="10">
        <v>379.1</v>
      </c>
      <c r="R1966" s="10" t="s">
        <v>14874</v>
      </c>
      <c r="S1966" s="10" t="s">
        <v>53</v>
      </c>
      <c r="T1966" s="10" t="s">
        <v>54</v>
      </c>
    </row>
    <row r="1967" spans="1:20" ht="14.5" x14ac:dyDescent="0.35">
      <c r="A1967" s="10" t="s">
        <v>14875</v>
      </c>
      <c r="B1967" s="10" t="str">
        <f>"9780821371992"</f>
        <v>9780821371992</v>
      </c>
      <c r="C1967" s="10" t="str">
        <f>"9780821372005"</f>
        <v>9780821372005</v>
      </c>
      <c r="D1967" s="10" t="s">
        <v>14731</v>
      </c>
      <c r="E1967" s="10" t="s">
        <v>14732</v>
      </c>
      <c r="F1967" s="10" t="s">
        <v>14733</v>
      </c>
      <c r="G1967" s="10" t="s">
        <v>6317</v>
      </c>
      <c r="H1967" s="11">
        <v>39286</v>
      </c>
      <c r="I1967" s="10">
        <v>2007</v>
      </c>
      <c r="J1967" s="10" t="s">
        <v>14734</v>
      </c>
      <c r="K1967" s="10">
        <v>106</v>
      </c>
      <c r="L1967" s="10" t="s">
        <v>14876</v>
      </c>
      <c r="M1967" s="10">
        <v>1</v>
      </c>
      <c r="N1967" s="10" t="s">
        <v>14770</v>
      </c>
      <c r="O1967" s="10"/>
      <c r="P1967" s="10" t="s">
        <v>14877</v>
      </c>
      <c r="Q1967" s="10" t="s">
        <v>14878</v>
      </c>
      <c r="R1967" s="10" t="s">
        <v>14879</v>
      </c>
      <c r="S1967" s="10" t="s">
        <v>53</v>
      </c>
      <c r="T1967" s="10" t="s">
        <v>54</v>
      </c>
    </row>
    <row r="1968" spans="1:20" ht="14.5" x14ac:dyDescent="0.35">
      <c r="A1968" s="10" t="s">
        <v>14880</v>
      </c>
      <c r="B1968" s="10" t="str">
        <f>"9780821379769"</f>
        <v>9780821379769</v>
      </c>
      <c r="C1968" s="10" t="str">
        <f>"9780821379776"</f>
        <v>9780821379776</v>
      </c>
      <c r="D1968" s="10" t="s">
        <v>14731</v>
      </c>
      <c r="E1968" s="10" t="s">
        <v>14732</v>
      </c>
      <c r="F1968" s="10" t="s">
        <v>14733</v>
      </c>
      <c r="G1968" s="10" t="s">
        <v>6317</v>
      </c>
      <c r="H1968" s="11">
        <v>39979</v>
      </c>
      <c r="I1968" s="10">
        <v>2009</v>
      </c>
      <c r="J1968" s="10" t="s">
        <v>14734</v>
      </c>
      <c r="K1968" s="10">
        <v>212</v>
      </c>
      <c r="L1968" s="10" t="s">
        <v>14881</v>
      </c>
      <c r="M1968" s="10">
        <v>1</v>
      </c>
      <c r="N1968" s="10" t="s">
        <v>14770</v>
      </c>
      <c r="O1968" s="10"/>
      <c r="P1968" s="10" t="s">
        <v>14882</v>
      </c>
      <c r="Q1968" s="10" t="s">
        <v>14883</v>
      </c>
      <c r="R1968" s="10" t="s">
        <v>14884</v>
      </c>
      <c r="S1968" s="10" t="s">
        <v>53</v>
      </c>
      <c r="T1968" s="10" t="s">
        <v>54</v>
      </c>
    </row>
    <row r="1969" spans="1:20" ht="14.5" x14ac:dyDescent="0.35">
      <c r="A1969" s="10" t="s">
        <v>14885</v>
      </c>
      <c r="B1969" s="10" t="str">
        <f>"9780821379691"</f>
        <v>9780821379691</v>
      </c>
      <c r="C1969" s="10" t="str">
        <f>"9780821379707"</f>
        <v>9780821379707</v>
      </c>
      <c r="D1969" s="10" t="s">
        <v>14731</v>
      </c>
      <c r="E1969" s="10" t="s">
        <v>14732</v>
      </c>
      <c r="F1969" s="10" t="s">
        <v>14733</v>
      </c>
      <c r="G1969" s="10" t="s">
        <v>6317</v>
      </c>
      <c r="H1969" s="11">
        <v>39966</v>
      </c>
      <c r="I1969" s="10">
        <v>2009</v>
      </c>
      <c r="J1969" s="10" t="s">
        <v>14734</v>
      </c>
      <c r="K1969" s="10">
        <v>146</v>
      </c>
      <c r="L1969" s="10" t="s">
        <v>14886</v>
      </c>
      <c r="M1969" s="10">
        <v>1</v>
      </c>
      <c r="N1969" s="10" t="s">
        <v>14770</v>
      </c>
      <c r="O1969" s="10"/>
      <c r="P1969" s="10" t="s">
        <v>14887</v>
      </c>
      <c r="Q1969" s="10" t="s">
        <v>14888</v>
      </c>
      <c r="R1969" s="10" t="s">
        <v>14889</v>
      </c>
      <c r="S1969" s="10" t="s">
        <v>53</v>
      </c>
      <c r="T1969" s="10" t="s">
        <v>54</v>
      </c>
    </row>
    <row r="1970" spans="1:20" ht="14.5" x14ac:dyDescent="0.35">
      <c r="A1970" s="10" t="s">
        <v>14890</v>
      </c>
      <c r="B1970" s="10" t="str">
        <f>"9780821364659"</f>
        <v>9780821364659</v>
      </c>
      <c r="C1970" s="10" t="str">
        <f>"9780821364666"</f>
        <v>9780821364666</v>
      </c>
      <c r="D1970" s="10" t="s">
        <v>14731</v>
      </c>
      <c r="E1970" s="10" t="s">
        <v>14732</v>
      </c>
      <c r="F1970" s="10" t="s">
        <v>14733</v>
      </c>
      <c r="G1970" s="10" t="s">
        <v>6317</v>
      </c>
      <c r="H1970" s="11">
        <v>38777</v>
      </c>
      <c r="I1970" s="10">
        <v>2006</v>
      </c>
      <c r="J1970" s="10" t="s">
        <v>14734</v>
      </c>
      <c r="K1970" s="10">
        <v>166</v>
      </c>
      <c r="L1970" s="10" t="s">
        <v>14891</v>
      </c>
      <c r="M1970" s="10">
        <v>1</v>
      </c>
      <c r="N1970" s="10" t="s">
        <v>14892</v>
      </c>
      <c r="O1970" s="10"/>
      <c r="P1970" s="10" t="s">
        <v>14893</v>
      </c>
      <c r="Q1970" s="10">
        <v>370.11700000000002</v>
      </c>
      <c r="R1970" s="10" t="s">
        <v>14894</v>
      </c>
      <c r="S1970" s="10" t="s">
        <v>53</v>
      </c>
      <c r="T1970" s="10" t="s">
        <v>54</v>
      </c>
    </row>
    <row r="1971" spans="1:20" ht="14.5" x14ac:dyDescent="0.35">
      <c r="A1971" s="10" t="s">
        <v>14895</v>
      </c>
      <c r="B1971" s="10" t="str">
        <f>"9780821378656"</f>
        <v>9780821378656</v>
      </c>
      <c r="C1971" s="10" t="str">
        <f>"9780821378762"</f>
        <v>9780821378762</v>
      </c>
      <c r="D1971" s="10" t="s">
        <v>14731</v>
      </c>
      <c r="E1971" s="10" t="s">
        <v>14732</v>
      </c>
      <c r="F1971" s="10" t="s">
        <v>14733</v>
      </c>
      <c r="G1971" s="10" t="s">
        <v>6317</v>
      </c>
      <c r="H1971" s="11">
        <v>39854</v>
      </c>
      <c r="I1971" s="10">
        <v>2009</v>
      </c>
      <c r="J1971" s="10" t="s">
        <v>14734</v>
      </c>
      <c r="K1971" s="10">
        <v>136</v>
      </c>
      <c r="L1971" s="10" t="s">
        <v>14896</v>
      </c>
      <c r="M1971" s="10">
        <v>1</v>
      </c>
      <c r="N1971" s="10" t="s">
        <v>14770</v>
      </c>
      <c r="O1971" s="10"/>
      <c r="P1971" s="10" t="s">
        <v>14897</v>
      </c>
      <c r="Q1971" s="10">
        <v>338.43378000000001</v>
      </c>
      <c r="R1971" s="10" t="s">
        <v>14898</v>
      </c>
      <c r="S1971" s="10" t="s">
        <v>53</v>
      </c>
      <c r="T1971" s="10" t="s">
        <v>11186</v>
      </c>
    </row>
    <row r="1972" spans="1:20" ht="14.5" x14ac:dyDescent="0.35">
      <c r="A1972" s="10" t="s">
        <v>14899</v>
      </c>
      <c r="B1972" s="10" t="str">
        <f>"9780821370681"</f>
        <v>9780821370681</v>
      </c>
      <c r="C1972" s="10" t="str">
        <f>"9780821370698"</f>
        <v>9780821370698</v>
      </c>
      <c r="D1972" s="10" t="s">
        <v>14731</v>
      </c>
      <c r="E1972" s="10" t="s">
        <v>14732</v>
      </c>
      <c r="F1972" s="10" t="s">
        <v>14733</v>
      </c>
      <c r="G1972" s="10" t="s">
        <v>6317</v>
      </c>
      <c r="H1972" s="11">
        <v>39163</v>
      </c>
      <c r="I1972" s="10">
        <v>2007</v>
      </c>
      <c r="J1972" s="10" t="s">
        <v>14734</v>
      </c>
      <c r="K1972" s="10">
        <v>92</v>
      </c>
      <c r="L1972" s="10" t="s">
        <v>14900</v>
      </c>
      <c r="M1972" s="10">
        <v>1</v>
      </c>
      <c r="N1972" s="10"/>
      <c r="O1972" s="10"/>
      <c r="P1972" s="10" t="s">
        <v>14901</v>
      </c>
      <c r="Q1972" s="10">
        <v>306.43209730000001</v>
      </c>
      <c r="R1972" s="10" t="s">
        <v>14902</v>
      </c>
      <c r="S1972" s="10" t="s">
        <v>53</v>
      </c>
      <c r="T1972" s="10" t="s">
        <v>6472</v>
      </c>
    </row>
    <row r="1973" spans="1:20" ht="14.5" x14ac:dyDescent="0.35">
      <c r="A1973" s="10" t="s">
        <v>14903</v>
      </c>
      <c r="B1973" s="10" t="str">
        <f>"9780821373712"</f>
        <v>9780821373712</v>
      </c>
      <c r="C1973" s="10" t="str">
        <f>"9780821373729"</f>
        <v>9780821373729</v>
      </c>
      <c r="D1973" s="10" t="s">
        <v>14731</v>
      </c>
      <c r="E1973" s="10" t="s">
        <v>14732</v>
      </c>
      <c r="F1973" s="10" t="s">
        <v>14733</v>
      </c>
      <c r="G1973" s="10" t="s">
        <v>6317</v>
      </c>
      <c r="H1973" s="11">
        <v>39567</v>
      </c>
      <c r="I1973" s="10">
        <v>2008</v>
      </c>
      <c r="J1973" s="10" t="s">
        <v>14734</v>
      </c>
      <c r="K1973" s="10">
        <v>402</v>
      </c>
      <c r="L1973" s="10" t="s">
        <v>14904</v>
      </c>
      <c r="M1973" s="10">
        <v>1</v>
      </c>
      <c r="N1973" s="10"/>
      <c r="O1973" s="10"/>
      <c r="P1973" s="10" t="s">
        <v>14905</v>
      </c>
      <c r="Q1973" s="10">
        <v>370.95</v>
      </c>
      <c r="R1973" s="10" t="s">
        <v>14906</v>
      </c>
      <c r="S1973" s="10" t="s">
        <v>53</v>
      </c>
      <c r="T1973" s="10" t="s">
        <v>54</v>
      </c>
    </row>
    <row r="1974" spans="1:20" ht="14.5" x14ac:dyDescent="0.35">
      <c r="A1974" s="10" t="s">
        <v>14907</v>
      </c>
      <c r="B1974" s="10" t="str">
        <f>"9780821374740"</f>
        <v>9780821374740</v>
      </c>
      <c r="C1974" s="10" t="str">
        <f>"9780821374757"</f>
        <v>9780821374757</v>
      </c>
      <c r="D1974" s="10" t="s">
        <v>14731</v>
      </c>
      <c r="E1974" s="10" t="s">
        <v>14732</v>
      </c>
      <c r="F1974" s="10" t="s">
        <v>14733</v>
      </c>
      <c r="G1974" s="10" t="s">
        <v>6317</v>
      </c>
      <c r="H1974" s="11">
        <v>39672</v>
      </c>
      <c r="I1974" s="10">
        <v>2008</v>
      </c>
      <c r="J1974" s="10" t="s">
        <v>14734</v>
      </c>
      <c r="K1974" s="10">
        <v>346</v>
      </c>
      <c r="L1974" s="10" t="s">
        <v>14908</v>
      </c>
      <c r="M1974" s="10">
        <v>1</v>
      </c>
      <c r="N1974" s="10" t="s">
        <v>14770</v>
      </c>
      <c r="O1974" s="10"/>
      <c r="P1974" s="10" t="s">
        <v>14909</v>
      </c>
      <c r="Q1974" s="10">
        <v>371.822</v>
      </c>
      <c r="R1974" s="10" t="s">
        <v>14910</v>
      </c>
      <c r="S1974" s="10" t="s">
        <v>53</v>
      </c>
      <c r="T1974" s="10" t="s">
        <v>54</v>
      </c>
    </row>
    <row r="1975" spans="1:20" ht="14.5" x14ac:dyDescent="0.35">
      <c r="A1975" s="10" t="s">
        <v>14911</v>
      </c>
      <c r="B1975" s="10" t="str">
        <f>"9780821377208"</f>
        <v>9780821377208</v>
      </c>
      <c r="C1975" s="10" t="str">
        <f>"9780821377215"</f>
        <v>9780821377215</v>
      </c>
      <c r="D1975" s="10" t="s">
        <v>14731</v>
      </c>
      <c r="E1975" s="10" t="s">
        <v>14732</v>
      </c>
      <c r="F1975" s="10" t="s">
        <v>14733</v>
      </c>
      <c r="G1975" s="10" t="s">
        <v>6317</v>
      </c>
      <c r="H1975" s="11">
        <v>38764</v>
      </c>
      <c r="I1975" s="10">
        <v>2008</v>
      </c>
      <c r="J1975" s="10" t="s">
        <v>14734</v>
      </c>
      <c r="K1975" s="10">
        <v>280</v>
      </c>
      <c r="L1975" s="10" t="s">
        <v>14912</v>
      </c>
      <c r="M1975" s="10">
        <v>1</v>
      </c>
      <c r="N1975" s="10" t="s">
        <v>14756</v>
      </c>
      <c r="O1975" s="10"/>
      <c r="P1975" s="10" t="s">
        <v>14913</v>
      </c>
      <c r="Q1975" s="10">
        <v>372.16095999999999</v>
      </c>
      <c r="R1975" s="10" t="s">
        <v>14914</v>
      </c>
      <c r="S1975" s="10" t="s">
        <v>53</v>
      </c>
      <c r="T1975" s="10" t="s">
        <v>54</v>
      </c>
    </row>
    <row r="1976" spans="1:20" ht="14.5" x14ac:dyDescent="0.35">
      <c r="A1976" s="10" t="s">
        <v>14915</v>
      </c>
      <c r="B1976" s="10" t="str">
        <f>"9780821362150"</f>
        <v>9780821362150</v>
      </c>
      <c r="C1976" s="10" t="str">
        <f>"9780821362167"</f>
        <v>9780821362167</v>
      </c>
      <c r="D1976" s="10" t="s">
        <v>14731</v>
      </c>
      <c r="E1976" s="10" t="s">
        <v>14732</v>
      </c>
      <c r="F1976" s="10" t="s">
        <v>88</v>
      </c>
      <c r="G1976" s="10" t="s">
        <v>6317</v>
      </c>
      <c r="H1976" s="11">
        <v>38572</v>
      </c>
      <c r="I1976" s="10">
        <v>2005</v>
      </c>
      <c r="J1976" s="10" t="s">
        <v>14734</v>
      </c>
      <c r="K1976" s="10">
        <v>456</v>
      </c>
      <c r="L1976" s="10" t="s">
        <v>14916</v>
      </c>
      <c r="M1976" s="10">
        <v>1</v>
      </c>
      <c r="N1976" s="10" t="s">
        <v>14770</v>
      </c>
      <c r="O1976" s="10"/>
      <c r="P1976" s="10" t="s">
        <v>14917</v>
      </c>
      <c r="Q1976" s="10" t="s">
        <v>14918</v>
      </c>
      <c r="R1976" s="10" t="s">
        <v>14919</v>
      </c>
      <c r="S1976" s="10" t="s">
        <v>53</v>
      </c>
      <c r="T1976" s="10" t="s">
        <v>8723</v>
      </c>
    </row>
    <row r="1977" spans="1:20" ht="14.5" x14ac:dyDescent="0.35">
      <c r="A1977" s="10" t="s">
        <v>14920</v>
      </c>
      <c r="B1977" s="10" t="str">
        <f>"9780821370827"</f>
        <v>9780821370827</v>
      </c>
      <c r="C1977" s="10" t="str">
        <f>"9780821370834"</f>
        <v>9780821370834</v>
      </c>
      <c r="D1977" s="10" t="s">
        <v>14731</v>
      </c>
      <c r="E1977" s="10" t="s">
        <v>14732</v>
      </c>
      <c r="F1977" s="10" t="s">
        <v>14733</v>
      </c>
      <c r="G1977" s="10" t="s">
        <v>6317</v>
      </c>
      <c r="H1977" s="11">
        <v>39351</v>
      </c>
      <c r="I1977" s="10">
        <v>2008</v>
      </c>
      <c r="J1977" s="10" t="s">
        <v>14734</v>
      </c>
      <c r="K1977" s="10">
        <v>263</v>
      </c>
      <c r="L1977" s="10" t="s">
        <v>14921</v>
      </c>
      <c r="M1977" s="10">
        <v>1</v>
      </c>
      <c r="N1977" s="10" t="s">
        <v>14922</v>
      </c>
      <c r="O1977" s="10"/>
      <c r="P1977" s="10" t="s">
        <v>14923</v>
      </c>
      <c r="Q1977" s="10">
        <v>379.8</v>
      </c>
      <c r="R1977" s="10" t="s">
        <v>14924</v>
      </c>
      <c r="S1977" s="10" t="s">
        <v>53</v>
      </c>
      <c r="T1977" s="10" t="s">
        <v>54</v>
      </c>
    </row>
    <row r="1978" spans="1:20" ht="14.5" x14ac:dyDescent="0.35">
      <c r="A1978" s="10" t="s">
        <v>14925</v>
      </c>
      <c r="B1978" s="10" t="str">
        <f>"9780821371138"</f>
        <v>9780821371138</v>
      </c>
      <c r="C1978" s="10" t="str">
        <f>"9780821371145"</f>
        <v>9780821371145</v>
      </c>
      <c r="D1978" s="10" t="s">
        <v>14731</v>
      </c>
      <c r="E1978" s="10" t="s">
        <v>14732</v>
      </c>
      <c r="F1978" s="10" t="s">
        <v>14733</v>
      </c>
      <c r="G1978" s="10" t="s">
        <v>6317</v>
      </c>
      <c r="H1978" s="11">
        <v>39689</v>
      </c>
      <c r="I1978" s="10">
        <v>2008</v>
      </c>
      <c r="J1978" s="10" t="s">
        <v>14734</v>
      </c>
      <c r="K1978" s="10">
        <v>412</v>
      </c>
      <c r="L1978" s="10" t="s">
        <v>14926</v>
      </c>
      <c r="M1978" s="10">
        <v>1</v>
      </c>
      <c r="N1978" s="10" t="s">
        <v>14756</v>
      </c>
      <c r="O1978" s="10"/>
      <c r="P1978" s="10" t="s">
        <v>14927</v>
      </c>
      <c r="Q1978" s="10">
        <v>373.6</v>
      </c>
      <c r="R1978" s="10" t="s">
        <v>14928</v>
      </c>
      <c r="S1978" s="10" t="s">
        <v>53</v>
      </c>
      <c r="T1978" s="10" t="s">
        <v>54</v>
      </c>
    </row>
    <row r="1979" spans="1:20" ht="14.5" x14ac:dyDescent="0.35">
      <c r="A1979" s="10" t="s">
        <v>14929</v>
      </c>
      <c r="B1979" s="10" t="str">
        <f>"9780821374795"</f>
        <v>9780821374795</v>
      </c>
      <c r="C1979" s="10" t="str">
        <f>"9780821374801"</f>
        <v>9780821374801</v>
      </c>
      <c r="D1979" s="10" t="s">
        <v>14731</v>
      </c>
      <c r="E1979" s="10" t="s">
        <v>14732</v>
      </c>
      <c r="F1979" s="10" t="s">
        <v>14733</v>
      </c>
      <c r="G1979" s="10" t="s">
        <v>6317</v>
      </c>
      <c r="H1979" s="11">
        <v>39568</v>
      </c>
      <c r="I1979" s="10">
        <v>2008</v>
      </c>
      <c r="J1979" s="10" t="s">
        <v>14734</v>
      </c>
      <c r="K1979" s="10">
        <v>138</v>
      </c>
      <c r="L1979" s="10" t="s">
        <v>14930</v>
      </c>
      <c r="M1979" s="10">
        <v>1</v>
      </c>
      <c r="N1979" s="10" t="s">
        <v>14756</v>
      </c>
      <c r="O1979" s="10"/>
      <c r="P1979" s="10" t="s">
        <v>14931</v>
      </c>
      <c r="Q1979" s="10">
        <v>371.10096700000003</v>
      </c>
      <c r="R1979" s="10" t="s">
        <v>14932</v>
      </c>
      <c r="S1979" s="10" t="s">
        <v>53</v>
      </c>
      <c r="T1979" s="10" t="s">
        <v>54</v>
      </c>
    </row>
    <row r="1980" spans="1:20" ht="14.5" x14ac:dyDescent="0.35">
      <c r="A1980" s="10" t="s">
        <v>14933</v>
      </c>
      <c r="B1980" s="10" t="str">
        <f>"9780821368688"</f>
        <v>9780821368688</v>
      </c>
      <c r="C1980" s="10" t="str">
        <f>"9780821368695"</f>
        <v>9780821368695</v>
      </c>
      <c r="D1980" s="10" t="s">
        <v>14731</v>
      </c>
      <c r="E1980" s="10" t="s">
        <v>14732</v>
      </c>
      <c r="F1980" s="10" t="s">
        <v>14733</v>
      </c>
      <c r="G1980" s="10" t="s">
        <v>6317</v>
      </c>
      <c r="H1980" s="11">
        <v>38732</v>
      </c>
      <c r="I1980" s="10">
        <v>2006</v>
      </c>
      <c r="J1980" s="10" t="s">
        <v>14734</v>
      </c>
      <c r="K1980" s="10">
        <v>232</v>
      </c>
      <c r="L1980" s="10" t="s">
        <v>14934</v>
      </c>
      <c r="M1980" s="10">
        <v>1</v>
      </c>
      <c r="N1980" s="10" t="s">
        <v>14756</v>
      </c>
      <c r="O1980" s="10"/>
      <c r="P1980" s="10" t="s">
        <v>14935</v>
      </c>
      <c r="Q1980" s="10">
        <v>370.96640000000002</v>
      </c>
      <c r="R1980" s="10" t="s">
        <v>14936</v>
      </c>
      <c r="S1980" s="10" t="s">
        <v>53</v>
      </c>
      <c r="T1980" s="10" t="s">
        <v>54</v>
      </c>
    </row>
    <row r="1981" spans="1:20" ht="14.5" x14ac:dyDescent="0.35">
      <c r="A1981" s="10" t="s">
        <v>14937</v>
      </c>
      <c r="B1981" s="10" t="str">
        <f>"9780821375037"</f>
        <v>9780821375037</v>
      </c>
      <c r="C1981" s="10" t="str">
        <f>"9780821375044"</f>
        <v>9780821375044</v>
      </c>
      <c r="D1981" s="10" t="s">
        <v>14731</v>
      </c>
      <c r="E1981" s="10" t="s">
        <v>14732</v>
      </c>
      <c r="F1981" s="10" t="s">
        <v>14733</v>
      </c>
      <c r="G1981" s="10" t="s">
        <v>6317</v>
      </c>
      <c r="H1981" s="11">
        <v>39590</v>
      </c>
      <c r="I1981" s="10">
        <v>2008</v>
      </c>
      <c r="J1981" s="10" t="s">
        <v>14734</v>
      </c>
      <c r="K1981" s="10">
        <v>124</v>
      </c>
      <c r="L1981" s="10" t="s">
        <v>14938</v>
      </c>
      <c r="M1981" s="10">
        <v>1</v>
      </c>
      <c r="N1981" s="10" t="s">
        <v>14939</v>
      </c>
      <c r="O1981" s="10" t="s">
        <v>14940</v>
      </c>
      <c r="P1981" s="10" t="s">
        <v>14941</v>
      </c>
      <c r="Q1981" s="10">
        <v>373.69099999999997</v>
      </c>
      <c r="R1981" s="10" t="s">
        <v>14942</v>
      </c>
      <c r="S1981" s="10" t="s">
        <v>53</v>
      </c>
      <c r="T1981" s="10" t="s">
        <v>54</v>
      </c>
    </row>
    <row r="1982" spans="1:20" ht="14.5" x14ac:dyDescent="0.35">
      <c r="A1982" s="10" t="s">
        <v>14943</v>
      </c>
      <c r="B1982" s="10" t="str">
        <f>"9780821375051"</f>
        <v>9780821375051</v>
      </c>
      <c r="C1982" s="10" t="str">
        <f>"9780821375068"</f>
        <v>9780821375068</v>
      </c>
      <c r="D1982" s="10" t="s">
        <v>14731</v>
      </c>
      <c r="E1982" s="10" t="s">
        <v>14732</v>
      </c>
      <c r="F1982" s="10" t="s">
        <v>14733</v>
      </c>
      <c r="G1982" s="10" t="s">
        <v>6317</v>
      </c>
      <c r="H1982" s="11">
        <v>39632</v>
      </c>
      <c r="I1982" s="10">
        <v>2008</v>
      </c>
      <c r="J1982" s="10" t="s">
        <v>14734</v>
      </c>
      <c r="K1982" s="10">
        <v>78</v>
      </c>
      <c r="L1982" s="10" t="s">
        <v>14731</v>
      </c>
      <c r="M1982" s="10">
        <v>1</v>
      </c>
      <c r="N1982" s="10" t="s">
        <v>14741</v>
      </c>
      <c r="O1982" s="10"/>
      <c r="P1982" s="10" t="s">
        <v>14944</v>
      </c>
      <c r="Q1982" s="10">
        <v>372.96</v>
      </c>
      <c r="R1982" s="10" t="s">
        <v>14945</v>
      </c>
      <c r="S1982" s="10" t="s">
        <v>53</v>
      </c>
      <c r="T1982" s="10" t="s">
        <v>54</v>
      </c>
    </row>
    <row r="1983" spans="1:20" ht="14.5" x14ac:dyDescent="0.35">
      <c r="A1983" s="10" t="s">
        <v>14946</v>
      </c>
      <c r="B1983" s="10" t="str">
        <f>"9780821373446"</f>
        <v>9780821373446</v>
      </c>
      <c r="C1983" s="10" t="str">
        <f>"9780821373453"</f>
        <v>9780821373453</v>
      </c>
      <c r="D1983" s="10" t="s">
        <v>14731</v>
      </c>
      <c r="E1983" s="10" t="s">
        <v>14732</v>
      </c>
      <c r="F1983" s="10" t="s">
        <v>14733</v>
      </c>
      <c r="G1983" s="10" t="s">
        <v>6317</v>
      </c>
      <c r="H1983" s="11">
        <v>38817</v>
      </c>
      <c r="I1983" s="10">
        <v>2007</v>
      </c>
      <c r="J1983" s="10" t="s">
        <v>14734</v>
      </c>
      <c r="K1983" s="10">
        <v>127</v>
      </c>
      <c r="L1983" s="10" t="s">
        <v>14731</v>
      </c>
      <c r="M1983" s="10">
        <v>1</v>
      </c>
      <c r="N1983" s="10" t="s">
        <v>14947</v>
      </c>
      <c r="O1983" s="10" t="s">
        <v>14948</v>
      </c>
      <c r="P1983" s="10" t="s">
        <v>14949</v>
      </c>
      <c r="Q1983" s="10" t="s">
        <v>14950</v>
      </c>
      <c r="R1983" s="10" t="s">
        <v>14951</v>
      </c>
      <c r="S1983" s="10" t="s">
        <v>53</v>
      </c>
      <c r="T1983" s="10" t="s">
        <v>54</v>
      </c>
    </row>
    <row r="1984" spans="1:20" ht="14.5" x14ac:dyDescent="0.35">
      <c r="A1984" s="10" t="s">
        <v>14952</v>
      </c>
      <c r="B1984" s="10" t="str">
        <f>"9780821362587"</f>
        <v>9780821362587</v>
      </c>
      <c r="C1984" s="10" t="str">
        <f>"9780821362594"</f>
        <v>9780821362594</v>
      </c>
      <c r="D1984" s="10" t="s">
        <v>14731</v>
      </c>
      <c r="E1984" s="10" t="s">
        <v>14732</v>
      </c>
      <c r="F1984" s="10" t="s">
        <v>88</v>
      </c>
      <c r="G1984" s="10" t="s">
        <v>6317</v>
      </c>
      <c r="H1984" s="11">
        <v>38518</v>
      </c>
      <c r="I1984" s="10">
        <v>2005</v>
      </c>
      <c r="J1984" s="10" t="s">
        <v>14734</v>
      </c>
      <c r="K1984" s="10">
        <v>120</v>
      </c>
      <c r="L1984" s="10" t="s">
        <v>14731</v>
      </c>
      <c r="M1984" s="10">
        <v>1</v>
      </c>
      <c r="N1984" s="10"/>
      <c r="O1984" s="10"/>
      <c r="P1984" s="10" t="s">
        <v>14953</v>
      </c>
      <c r="Q1984" s="10" t="s">
        <v>14954</v>
      </c>
      <c r="R1984" s="10" t="s">
        <v>14955</v>
      </c>
      <c r="S1984" s="10" t="s">
        <v>53</v>
      </c>
      <c r="T1984" s="10" t="s">
        <v>54</v>
      </c>
    </row>
    <row r="1985" spans="1:20" ht="14.5" x14ac:dyDescent="0.35">
      <c r="A1985" s="10" t="s">
        <v>14956</v>
      </c>
      <c r="B1985" s="10" t="str">
        <f>"9780821374580"</f>
        <v>9780821374580</v>
      </c>
      <c r="C1985" s="10" t="str">
        <f>"9780821374597"</f>
        <v>9780821374597</v>
      </c>
      <c r="D1985" s="10" t="s">
        <v>14731</v>
      </c>
      <c r="E1985" s="10" t="s">
        <v>14732</v>
      </c>
      <c r="F1985" s="10" t="s">
        <v>14733</v>
      </c>
      <c r="G1985" s="10" t="s">
        <v>6317</v>
      </c>
      <c r="H1985" s="11">
        <v>39519</v>
      </c>
      <c r="I1985" s="10">
        <v>2008</v>
      </c>
      <c r="J1985" s="10" t="s">
        <v>14734</v>
      </c>
      <c r="K1985" s="10">
        <v>90</v>
      </c>
      <c r="L1985" s="10" t="s">
        <v>14957</v>
      </c>
      <c r="M1985" s="10">
        <v>1</v>
      </c>
      <c r="N1985" s="10"/>
      <c r="O1985" s="10"/>
      <c r="P1985" s="10" t="s">
        <v>14958</v>
      </c>
      <c r="Q1985" s="10">
        <v>379.72899999999998</v>
      </c>
      <c r="R1985" s="10" t="s">
        <v>14959</v>
      </c>
      <c r="S1985" s="10" t="s">
        <v>53</v>
      </c>
      <c r="T1985" s="10" t="s">
        <v>54</v>
      </c>
    </row>
    <row r="1986" spans="1:20" ht="14.5" x14ac:dyDescent="0.35">
      <c r="A1986" s="10" t="s">
        <v>14960</v>
      </c>
      <c r="B1986" s="10" t="str">
        <f>"9780821373422"</f>
        <v>9780821373422</v>
      </c>
      <c r="C1986" s="10" t="str">
        <f>"9780821373439"</f>
        <v>9780821373439</v>
      </c>
      <c r="D1986" s="10" t="s">
        <v>14731</v>
      </c>
      <c r="E1986" s="10" t="s">
        <v>14732</v>
      </c>
      <c r="F1986" s="10" t="s">
        <v>14733</v>
      </c>
      <c r="G1986" s="10" t="s">
        <v>6317</v>
      </c>
      <c r="H1986" s="11">
        <v>38779</v>
      </c>
      <c r="I1986" s="10">
        <v>2007</v>
      </c>
      <c r="J1986" s="10" t="s">
        <v>14734</v>
      </c>
      <c r="K1986" s="10">
        <v>80</v>
      </c>
      <c r="L1986" s="10" t="s">
        <v>14731</v>
      </c>
      <c r="M1986" s="10">
        <v>1</v>
      </c>
      <c r="N1986" s="10"/>
      <c r="O1986" s="10"/>
      <c r="P1986" s="10" t="s">
        <v>14961</v>
      </c>
      <c r="Q1986" s="10" t="s">
        <v>14962</v>
      </c>
      <c r="R1986" s="10" t="s">
        <v>14963</v>
      </c>
      <c r="S1986" s="10" t="s">
        <v>53</v>
      </c>
      <c r="T1986" s="10" t="s">
        <v>54</v>
      </c>
    </row>
    <row r="1987" spans="1:20" ht="14.5" x14ac:dyDescent="0.35">
      <c r="A1987" s="10" t="s">
        <v>14964</v>
      </c>
      <c r="B1987" s="10" t="str">
        <f>"9780821370179"</f>
        <v>9780821370179</v>
      </c>
      <c r="C1987" s="10" t="str">
        <f>"9780821370186"</f>
        <v>9780821370186</v>
      </c>
      <c r="D1987" s="10" t="s">
        <v>14731</v>
      </c>
      <c r="E1987" s="10" t="s">
        <v>14732</v>
      </c>
      <c r="F1987" s="10" t="s">
        <v>14733</v>
      </c>
      <c r="G1987" s="10" t="s">
        <v>6317</v>
      </c>
      <c r="H1987" s="11">
        <v>39300</v>
      </c>
      <c r="I1987" s="10">
        <v>2007</v>
      </c>
      <c r="J1987" s="10" t="s">
        <v>14734</v>
      </c>
      <c r="K1987" s="10">
        <v>170</v>
      </c>
      <c r="L1987" s="10" t="s">
        <v>14731</v>
      </c>
      <c r="M1987" s="10">
        <v>1</v>
      </c>
      <c r="N1987" s="10"/>
      <c r="O1987" s="10"/>
      <c r="P1987" s="10" t="s">
        <v>14965</v>
      </c>
      <c r="Q1987" s="10">
        <v>370.98500000000001</v>
      </c>
      <c r="R1987" s="10" t="s">
        <v>14966</v>
      </c>
      <c r="S1987" s="10" t="s">
        <v>53</v>
      </c>
      <c r="T1987" s="10" t="s">
        <v>54</v>
      </c>
    </row>
    <row r="1988" spans="1:20" ht="14.5" x14ac:dyDescent="0.35">
      <c r="A1988" s="10" t="s">
        <v>14967</v>
      </c>
      <c r="B1988" s="10" t="str">
        <f>"9780821362266"</f>
        <v>9780821362266</v>
      </c>
      <c r="C1988" s="10" t="str">
        <f>"9780821362273"</f>
        <v>9780821362273</v>
      </c>
      <c r="D1988" s="10" t="s">
        <v>14731</v>
      </c>
      <c r="E1988" s="10" t="s">
        <v>14732</v>
      </c>
      <c r="F1988" s="10" t="s">
        <v>88</v>
      </c>
      <c r="G1988" s="10" t="s">
        <v>6317</v>
      </c>
      <c r="H1988" s="11">
        <v>38551</v>
      </c>
      <c r="I1988" s="10">
        <v>2005</v>
      </c>
      <c r="J1988" s="10" t="s">
        <v>14734</v>
      </c>
      <c r="K1988" s="10">
        <v>340</v>
      </c>
      <c r="L1988" s="10" t="s">
        <v>14731</v>
      </c>
      <c r="M1988" s="10">
        <v>1</v>
      </c>
      <c r="N1988" s="10"/>
      <c r="O1988" s="10"/>
      <c r="P1988" s="10" t="s">
        <v>14968</v>
      </c>
      <c r="Q1988" s="10" t="s">
        <v>14969</v>
      </c>
      <c r="R1988" s="10" t="s">
        <v>14970</v>
      </c>
      <c r="S1988" s="10" t="s">
        <v>53</v>
      </c>
      <c r="T1988" s="10" t="s">
        <v>54</v>
      </c>
    </row>
    <row r="1989" spans="1:20" ht="14.5" x14ac:dyDescent="0.35">
      <c r="A1989" s="10" t="s">
        <v>14971</v>
      </c>
      <c r="B1989" s="10" t="str">
        <f>"9780821377383"</f>
        <v>9780821377383</v>
      </c>
      <c r="C1989" s="10" t="str">
        <f>"9780821377390"</f>
        <v>9780821377390</v>
      </c>
      <c r="D1989" s="10" t="s">
        <v>14731</v>
      </c>
      <c r="E1989" s="10" t="s">
        <v>14732</v>
      </c>
      <c r="F1989" s="10" t="s">
        <v>14733</v>
      </c>
      <c r="G1989" s="10" t="s">
        <v>6317</v>
      </c>
      <c r="H1989" s="11">
        <v>39731</v>
      </c>
      <c r="I1989" s="10">
        <v>2008</v>
      </c>
      <c r="J1989" s="10" t="s">
        <v>14734</v>
      </c>
      <c r="K1989" s="10">
        <v>214</v>
      </c>
      <c r="L1989" s="10" t="s">
        <v>14731</v>
      </c>
      <c r="M1989" s="10">
        <v>1</v>
      </c>
      <c r="N1989" s="10"/>
      <c r="O1989" s="10"/>
      <c r="P1989" s="10" t="s">
        <v>14972</v>
      </c>
      <c r="Q1989" s="10" t="s">
        <v>14973</v>
      </c>
      <c r="R1989" s="10" t="s">
        <v>14974</v>
      </c>
      <c r="S1989" s="10" t="s">
        <v>53</v>
      </c>
      <c r="T1989" s="10" t="s">
        <v>14975</v>
      </c>
    </row>
    <row r="1990" spans="1:20" ht="14.5" x14ac:dyDescent="0.35">
      <c r="A1990" s="10" t="s">
        <v>14976</v>
      </c>
      <c r="B1990" s="10" t="str">
        <f>"9780821374689"</f>
        <v>9780821374689</v>
      </c>
      <c r="C1990" s="10" t="str">
        <f>"9780821374696"</f>
        <v>9780821374696</v>
      </c>
      <c r="D1990" s="10" t="s">
        <v>14731</v>
      </c>
      <c r="E1990" s="10" t="s">
        <v>14732</v>
      </c>
      <c r="F1990" s="10" t="s">
        <v>14733</v>
      </c>
      <c r="G1990" s="10" t="s">
        <v>6317</v>
      </c>
      <c r="H1990" s="11">
        <v>39520</v>
      </c>
      <c r="I1990" s="10">
        <v>2008</v>
      </c>
      <c r="J1990" s="10" t="s">
        <v>14734</v>
      </c>
      <c r="K1990" s="10">
        <v>132</v>
      </c>
      <c r="L1990" s="10" t="s">
        <v>14977</v>
      </c>
      <c r="M1990" s="10">
        <v>1</v>
      </c>
      <c r="N1990" s="10"/>
      <c r="O1990" s="10"/>
      <c r="P1990" s="10" t="s">
        <v>14978</v>
      </c>
      <c r="Q1990" s="10" t="s">
        <v>14825</v>
      </c>
      <c r="R1990" s="10" t="s">
        <v>14979</v>
      </c>
      <c r="S1990" s="10" t="s">
        <v>53</v>
      </c>
      <c r="T1990" s="10" t="s">
        <v>54</v>
      </c>
    </row>
    <row r="1991" spans="1:20" ht="14.5" x14ac:dyDescent="0.35">
      <c r="A1991" s="10" t="s">
        <v>14980</v>
      </c>
      <c r="B1991" s="10" t="str">
        <f>"9780821373484"</f>
        <v>9780821373484</v>
      </c>
      <c r="C1991" s="10" t="str">
        <f>"9780821373491"</f>
        <v>9780821373491</v>
      </c>
      <c r="D1991" s="10" t="s">
        <v>14731</v>
      </c>
      <c r="E1991" s="10" t="s">
        <v>14732</v>
      </c>
      <c r="F1991" s="10" t="s">
        <v>14733</v>
      </c>
      <c r="G1991" s="10" t="s">
        <v>6317</v>
      </c>
      <c r="H1991" s="11">
        <v>39128</v>
      </c>
      <c r="I1991" s="10">
        <v>2007</v>
      </c>
      <c r="J1991" s="10" t="s">
        <v>14734</v>
      </c>
      <c r="K1991" s="10">
        <v>136</v>
      </c>
      <c r="L1991" s="10" t="s">
        <v>14981</v>
      </c>
      <c r="M1991" s="10">
        <v>1</v>
      </c>
      <c r="N1991" s="10"/>
      <c r="O1991" s="10"/>
      <c r="P1991" s="10" t="s">
        <v>14982</v>
      </c>
      <c r="Q1991" s="10">
        <v>373.190967</v>
      </c>
      <c r="R1991" s="10" t="s">
        <v>14983</v>
      </c>
      <c r="S1991" s="10" t="s">
        <v>53</v>
      </c>
      <c r="T1991" s="10" t="s">
        <v>54</v>
      </c>
    </row>
    <row r="1992" spans="1:20" ht="14.5" x14ac:dyDescent="0.35">
      <c r="A1992" s="10" t="s">
        <v>14984</v>
      </c>
      <c r="B1992" s="10" t="str">
        <f>"9780821373460"</f>
        <v>9780821373460</v>
      </c>
      <c r="C1992" s="10" t="str">
        <f>"9780821373477"</f>
        <v>9780821373477</v>
      </c>
      <c r="D1992" s="10" t="s">
        <v>14731</v>
      </c>
      <c r="E1992" s="10" t="s">
        <v>14732</v>
      </c>
      <c r="F1992" s="10" t="s">
        <v>14733</v>
      </c>
      <c r="G1992" s="10" t="s">
        <v>6317</v>
      </c>
      <c r="H1992" s="11">
        <v>39478</v>
      </c>
      <c r="I1992" s="10">
        <v>2006</v>
      </c>
      <c r="J1992" s="10" t="s">
        <v>14734</v>
      </c>
      <c r="K1992" s="10">
        <v>95</v>
      </c>
      <c r="L1992" s="10" t="s">
        <v>14731</v>
      </c>
      <c r="M1992" s="10">
        <v>1</v>
      </c>
      <c r="N1992" s="10"/>
      <c r="O1992" s="10"/>
      <c r="P1992" s="10" t="s">
        <v>14985</v>
      </c>
      <c r="Q1992" s="10">
        <v>373.1200968</v>
      </c>
      <c r="R1992" s="10" t="s">
        <v>14986</v>
      </c>
      <c r="S1992" s="10" t="s">
        <v>53</v>
      </c>
      <c r="T1992" s="10" t="s">
        <v>54</v>
      </c>
    </row>
    <row r="1993" spans="1:20" ht="14.5" x14ac:dyDescent="0.35">
      <c r="A1993" s="10" t="s">
        <v>14987</v>
      </c>
      <c r="B1993" s="10" t="str">
        <f>"9780821374764"</f>
        <v>9780821374764</v>
      </c>
      <c r="C1993" s="10" t="str">
        <f>"9780821374771"</f>
        <v>9780821374771</v>
      </c>
      <c r="D1993" s="10" t="s">
        <v>14731</v>
      </c>
      <c r="E1993" s="10" t="s">
        <v>14732</v>
      </c>
      <c r="F1993" s="10" t="s">
        <v>14733</v>
      </c>
      <c r="G1993" s="10" t="s">
        <v>6317</v>
      </c>
      <c r="H1993" s="11">
        <v>39476</v>
      </c>
      <c r="I1993" s="10">
        <v>2008</v>
      </c>
      <c r="J1993" s="10" t="s">
        <v>14734</v>
      </c>
      <c r="K1993" s="10">
        <v>38</v>
      </c>
      <c r="L1993" s="10" t="s">
        <v>14731</v>
      </c>
      <c r="M1993" s="10">
        <v>1</v>
      </c>
      <c r="N1993" s="10"/>
      <c r="O1993" s="10"/>
      <c r="P1993" s="10" t="s">
        <v>14988</v>
      </c>
      <c r="Q1993" s="10" t="s">
        <v>14989</v>
      </c>
      <c r="R1993" s="10" t="s">
        <v>14990</v>
      </c>
      <c r="S1993" s="10" t="s">
        <v>53</v>
      </c>
      <c r="T1993" s="10" t="s">
        <v>8368</v>
      </c>
    </row>
    <row r="1994" spans="1:20" ht="14.5" x14ac:dyDescent="0.35">
      <c r="A1994" s="10" t="s">
        <v>14991</v>
      </c>
      <c r="B1994" s="10" t="str">
        <f>"9780821367513"</f>
        <v>9780821367513</v>
      </c>
      <c r="C1994" s="10" t="str">
        <f>"9780821367520"</f>
        <v>9780821367520</v>
      </c>
      <c r="D1994" s="10" t="s">
        <v>14731</v>
      </c>
      <c r="E1994" s="10" t="s">
        <v>14732</v>
      </c>
      <c r="F1994" s="10" t="s">
        <v>14733</v>
      </c>
      <c r="G1994" s="10" t="s">
        <v>6317</v>
      </c>
      <c r="H1994" s="11">
        <v>39080</v>
      </c>
      <c r="I1994" s="10">
        <v>2006</v>
      </c>
      <c r="J1994" s="10" t="s">
        <v>14734</v>
      </c>
      <c r="K1994" s="10">
        <v>316</v>
      </c>
      <c r="L1994" s="10" t="s">
        <v>14992</v>
      </c>
      <c r="M1994" s="10">
        <v>1</v>
      </c>
      <c r="N1994" s="10"/>
      <c r="O1994" s="10"/>
      <c r="P1994" s="10" t="s">
        <v>14993</v>
      </c>
      <c r="Q1994" s="10">
        <v>378.10300000000001</v>
      </c>
      <c r="R1994" s="10" t="s">
        <v>14994</v>
      </c>
      <c r="S1994" s="10" t="s">
        <v>53</v>
      </c>
      <c r="T1994" s="10" t="s">
        <v>54</v>
      </c>
    </row>
    <row r="1995" spans="1:20" ht="14.5" x14ac:dyDescent="0.35">
      <c r="A1995" s="10" t="s">
        <v>14995</v>
      </c>
      <c r="B1995" s="10" t="str">
        <f>"9780415999656"</f>
        <v>9780415999656</v>
      </c>
      <c r="C1995" s="10" t="str">
        <f>"9780203859575"</f>
        <v>9780203859575</v>
      </c>
      <c r="D1995" s="10" t="s">
        <v>6350</v>
      </c>
      <c r="E1995" s="10" t="s">
        <v>6351</v>
      </c>
      <c r="F1995" s="10" t="s">
        <v>3967</v>
      </c>
      <c r="G1995" s="10" t="s">
        <v>6352</v>
      </c>
      <c r="H1995" s="11">
        <v>40114</v>
      </c>
      <c r="I1995" s="10">
        <v>2010</v>
      </c>
      <c r="J1995" s="10" t="s">
        <v>6353</v>
      </c>
      <c r="K1995" s="10">
        <v>295</v>
      </c>
      <c r="L1995" s="10" t="s">
        <v>14996</v>
      </c>
      <c r="M1995" s="10">
        <v>1</v>
      </c>
      <c r="N1995" s="10"/>
      <c r="O1995" s="10"/>
      <c r="P1995" s="10" t="s">
        <v>14997</v>
      </c>
      <c r="Q1995" s="10"/>
      <c r="R1995" s="10" t="s">
        <v>14998</v>
      </c>
      <c r="S1995" s="10" t="s">
        <v>53</v>
      </c>
      <c r="T1995" s="10" t="s">
        <v>54</v>
      </c>
    </row>
    <row r="1996" spans="1:20" ht="14.5" x14ac:dyDescent="0.35">
      <c r="A1996" s="10" t="s">
        <v>14999</v>
      </c>
      <c r="B1996" s="10" t="str">
        <f>"9780415483711"</f>
        <v>9780415483711</v>
      </c>
      <c r="C1996" s="10" t="str">
        <f>"9780203864869"</f>
        <v>9780203864869</v>
      </c>
      <c r="D1996" s="10" t="s">
        <v>6350</v>
      </c>
      <c r="E1996" s="10" t="s">
        <v>6351</v>
      </c>
      <c r="F1996" s="10" t="s">
        <v>139</v>
      </c>
      <c r="G1996" s="10" t="s">
        <v>6352</v>
      </c>
      <c r="H1996" s="11">
        <v>40129</v>
      </c>
      <c r="I1996" s="10">
        <v>2010</v>
      </c>
      <c r="J1996" s="10" t="s">
        <v>6353</v>
      </c>
      <c r="K1996" s="10">
        <v>125</v>
      </c>
      <c r="L1996" s="10" t="s">
        <v>15000</v>
      </c>
      <c r="M1996" s="10">
        <v>2</v>
      </c>
      <c r="N1996" s="10"/>
      <c r="O1996" s="10"/>
      <c r="P1996" s="10" t="s">
        <v>15001</v>
      </c>
      <c r="Q1996" s="10" t="s">
        <v>10667</v>
      </c>
      <c r="R1996" s="10" t="s">
        <v>15002</v>
      </c>
      <c r="S1996" s="10" t="s">
        <v>53</v>
      </c>
      <c r="T1996" s="10" t="s">
        <v>8681</v>
      </c>
    </row>
    <row r="1997" spans="1:20" ht="14.5" x14ac:dyDescent="0.35">
      <c r="A1997" s="10" t="s">
        <v>15003</v>
      </c>
      <c r="B1997" s="10" t="str">
        <f>"9780415336123"</f>
        <v>9780415336123</v>
      </c>
      <c r="C1997" s="10" t="str">
        <f>"9780203876961"</f>
        <v>9780203876961</v>
      </c>
      <c r="D1997" s="10" t="s">
        <v>6350</v>
      </c>
      <c r="E1997" s="10" t="s">
        <v>6351</v>
      </c>
      <c r="F1997" s="10" t="s">
        <v>5406</v>
      </c>
      <c r="G1997" s="10" t="s">
        <v>6352</v>
      </c>
      <c r="H1997" s="11">
        <v>40128</v>
      </c>
      <c r="I1997" s="10">
        <v>2010</v>
      </c>
      <c r="J1997" s="10" t="s">
        <v>6353</v>
      </c>
      <c r="K1997" s="10">
        <v>195</v>
      </c>
      <c r="L1997" s="10" t="s">
        <v>15004</v>
      </c>
      <c r="M1997" s="10">
        <v>1</v>
      </c>
      <c r="N1997" s="10" t="s">
        <v>15005</v>
      </c>
      <c r="O1997" s="10"/>
      <c r="P1997" s="10" t="s">
        <v>15006</v>
      </c>
      <c r="Q1997" s="10">
        <v>371.2</v>
      </c>
      <c r="R1997" s="10" t="s">
        <v>6738</v>
      </c>
      <c r="S1997" s="10" t="s">
        <v>53</v>
      </c>
      <c r="T1997" s="10" t="s">
        <v>54</v>
      </c>
    </row>
    <row r="1998" spans="1:20" ht="14.5" x14ac:dyDescent="0.35">
      <c r="A1998" s="10" t="s">
        <v>15007</v>
      </c>
      <c r="B1998" s="10" t="str">
        <f>"9780415997898"</f>
        <v>9780415997898</v>
      </c>
      <c r="C1998" s="10" t="str">
        <f>"9780203866269"</f>
        <v>9780203866269</v>
      </c>
      <c r="D1998" s="10" t="s">
        <v>6350</v>
      </c>
      <c r="E1998" s="10" t="s">
        <v>6351</v>
      </c>
      <c r="F1998" s="10" t="s">
        <v>139</v>
      </c>
      <c r="G1998" s="10" t="s">
        <v>6352</v>
      </c>
      <c r="H1998" s="11">
        <v>40116</v>
      </c>
      <c r="I1998" s="10">
        <v>2010</v>
      </c>
      <c r="J1998" s="10" t="s">
        <v>6353</v>
      </c>
      <c r="K1998" s="10">
        <v>305</v>
      </c>
      <c r="L1998" s="10" t="s">
        <v>15008</v>
      </c>
      <c r="M1998" s="10">
        <v>1</v>
      </c>
      <c r="N1998" s="10" t="s">
        <v>8813</v>
      </c>
      <c r="O1998" s="10"/>
      <c r="P1998" s="10" t="s">
        <v>15009</v>
      </c>
      <c r="Q1998" s="10">
        <v>370</v>
      </c>
      <c r="R1998" s="10" t="s">
        <v>15010</v>
      </c>
      <c r="S1998" s="10" t="s">
        <v>53</v>
      </c>
      <c r="T1998" s="10" t="s">
        <v>54</v>
      </c>
    </row>
    <row r="1999" spans="1:20" ht="14.5" x14ac:dyDescent="0.35">
      <c r="A1999" s="10" t="s">
        <v>15011</v>
      </c>
      <c r="B1999" s="10" t="str">
        <f>"9780415871976"</f>
        <v>9780415871976</v>
      </c>
      <c r="C1999" s="10" t="str">
        <f>"9780203866344"</f>
        <v>9780203866344</v>
      </c>
      <c r="D1999" s="10" t="s">
        <v>6350</v>
      </c>
      <c r="E1999" s="10" t="s">
        <v>6351</v>
      </c>
      <c r="F1999" s="10" t="s">
        <v>5406</v>
      </c>
      <c r="G1999" s="10" t="s">
        <v>6317</v>
      </c>
      <c r="H1999" s="11">
        <v>40116</v>
      </c>
      <c r="I1999" s="10">
        <v>2010</v>
      </c>
      <c r="J1999" s="10" t="s">
        <v>6353</v>
      </c>
      <c r="K1999" s="10">
        <v>164</v>
      </c>
      <c r="L1999" s="10" t="s">
        <v>15012</v>
      </c>
      <c r="M1999" s="10">
        <v>1</v>
      </c>
      <c r="N1999" s="10"/>
      <c r="O1999" s="10"/>
      <c r="P1999" s="10" t="s">
        <v>15013</v>
      </c>
      <c r="Q1999" s="10">
        <v>378</v>
      </c>
      <c r="R1999" s="10" t="s">
        <v>15014</v>
      </c>
      <c r="S1999" s="10" t="s">
        <v>53</v>
      </c>
      <c r="T1999" s="10" t="s">
        <v>54</v>
      </c>
    </row>
    <row r="2000" spans="1:20" ht="14.5" x14ac:dyDescent="0.35">
      <c r="A2000" s="10" t="s">
        <v>15015</v>
      </c>
      <c r="B2000" s="10" t="str">
        <f>"9780415806190"</f>
        <v>9780415806190</v>
      </c>
      <c r="C2000" s="10" t="str">
        <f>"9780203868652"</f>
        <v>9780203868652</v>
      </c>
      <c r="D2000" s="10" t="s">
        <v>6350</v>
      </c>
      <c r="E2000" s="10" t="s">
        <v>6351</v>
      </c>
      <c r="F2000" s="10" t="s">
        <v>139</v>
      </c>
      <c r="G2000" s="10" t="s">
        <v>6352</v>
      </c>
      <c r="H2000" s="11">
        <v>40113</v>
      </c>
      <c r="I2000" s="10">
        <v>2010</v>
      </c>
      <c r="J2000" s="10" t="s">
        <v>6353</v>
      </c>
      <c r="K2000" s="10">
        <v>316</v>
      </c>
      <c r="L2000" s="10" t="s">
        <v>15016</v>
      </c>
      <c r="M2000" s="10">
        <v>1</v>
      </c>
      <c r="N2000" s="10"/>
      <c r="O2000" s="10"/>
      <c r="P2000" s="10" t="s">
        <v>15017</v>
      </c>
      <c r="Q2000" s="10" t="s">
        <v>15018</v>
      </c>
      <c r="R2000" s="10" t="s">
        <v>15019</v>
      </c>
      <c r="S2000" s="10" t="s">
        <v>53</v>
      </c>
      <c r="T2000" s="10" t="s">
        <v>6526</v>
      </c>
    </row>
    <row r="2001" spans="1:20" ht="14.5" x14ac:dyDescent="0.35">
      <c r="A2001" s="10" t="s">
        <v>15020</v>
      </c>
      <c r="B2001" s="10" t="str">
        <f>"9780805855777"</f>
        <v>9780805855777</v>
      </c>
      <c r="C2001" s="10" t="str">
        <f>"9780203869956"</f>
        <v>9780203869956</v>
      </c>
      <c r="D2001" s="10" t="s">
        <v>6350</v>
      </c>
      <c r="E2001" s="10" t="s">
        <v>6351</v>
      </c>
      <c r="F2001" s="10" t="s">
        <v>70</v>
      </c>
      <c r="G2001" s="10" t="s">
        <v>6317</v>
      </c>
      <c r="H2001" s="11">
        <v>40088</v>
      </c>
      <c r="I2001" s="10">
        <v>2010</v>
      </c>
      <c r="J2001" s="10" t="s">
        <v>6353</v>
      </c>
      <c r="K2001" s="10">
        <v>259</v>
      </c>
      <c r="L2001" s="10" t="s">
        <v>15021</v>
      </c>
      <c r="M2001" s="10">
        <v>1</v>
      </c>
      <c r="N2001" s="10" t="s">
        <v>12872</v>
      </c>
      <c r="O2001" s="10"/>
      <c r="P2001" s="10" t="s">
        <v>15022</v>
      </c>
      <c r="Q2001" s="10">
        <v>302.22440968000001</v>
      </c>
      <c r="R2001" s="10" t="s">
        <v>15023</v>
      </c>
      <c r="S2001" s="10" t="s">
        <v>53</v>
      </c>
      <c r="T2001" s="10" t="s">
        <v>6472</v>
      </c>
    </row>
    <row r="2002" spans="1:20" ht="14.5" x14ac:dyDescent="0.35">
      <c r="A2002" s="10" t="s">
        <v>15024</v>
      </c>
      <c r="B2002" s="10" t="str">
        <f>"9780415472005"</f>
        <v>9780415472005</v>
      </c>
      <c r="C2002" s="10" t="str">
        <f>"9780203867303"</f>
        <v>9780203867303</v>
      </c>
      <c r="D2002" s="10" t="s">
        <v>6350</v>
      </c>
      <c r="E2002" s="10" t="s">
        <v>6351</v>
      </c>
      <c r="F2002" s="10" t="s">
        <v>139</v>
      </c>
      <c r="G2002" s="10" t="s">
        <v>6352</v>
      </c>
      <c r="H2002" s="11">
        <v>40136</v>
      </c>
      <c r="I2002" s="10">
        <v>2010</v>
      </c>
      <c r="J2002" s="10" t="s">
        <v>6353</v>
      </c>
      <c r="K2002" s="10">
        <v>249</v>
      </c>
      <c r="L2002" s="10" t="s">
        <v>15025</v>
      </c>
      <c r="M2002" s="10">
        <v>1</v>
      </c>
      <c r="N2002" s="10"/>
      <c r="O2002" s="10"/>
      <c r="P2002" s="10" t="s">
        <v>15026</v>
      </c>
      <c r="Q2002" s="10">
        <v>612.80719999999997</v>
      </c>
      <c r="R2002" s="10" t="s">
        <v>7744</v>
      </c>
      <c r="S2002" s="10" t="s">
        <v>53</v>
      </c>
      <c r="T2002" s="10" t="s">
        <v>15027</v>
      </c>
    </row>
    <row r="2003" spans="1:20" ht="14.5" x14ac:dyDescent="0.35">
      <c r="A2003" s="10" t="s">
        <v>15028</v>
      </c>
      <c r="B2003" s="10" t="str">
        <f>"9780415962735"</f>
        <v>9780415962735</v>
      </c>
      <c r="C2003" s="10" t="str">
        <f>"9780203879511"</f>
        <v>9780203879511</v>
      </c>
      <c r="D2003" s="10" t="s">
        <v>6350</v>
      </c>
      <c r="E2003" s="10" t="s">
        <v>6351</v>
      </c>
      <c r="F2003" s="10" t="s">
        <v>139</v>
      </c>
      <c r="G2003" s="10" t="s">
        <v>6352</v>
      </c>
      <c r="H2003" s="11">
        <v>39918</v>
      </c>
      <c r="I2003" s="10">
        <v>2009</v>
      </c>
      <c r="J2003" s="10" t="s">
        <v>6353</v>
      </c>
      <c r="K2003" s="10">
        <v>251</v>
      </c>
      <c r="L2003" s="10" t="s">
        <v>15029</v>
      </c>
      <c r="M2003" s="10">
        <v>1</v>
      </c>
      <c r="N2003" s="10" t="s">
        <v>12310</v>
      </c>
      <c r="O2003" s="10"/>
      <c r="P2003" s="10" t="s">
        <v>15030</v>
      </c>
      <c r="Q2003" s="10">
        <v>371.14400000000001</v>
      </c>
      <c r="R2003" s="10" t="s">
        <v>15031</v>
      </c>
      <c r="S2003" s="10" t="s">
        <v>53</v>
      </c>
      <c r="T2003" s="10" t="s">
        <v>54</v>
      </c>
    </row>
    <row r="2004" spans="1:20" ht="14.5" x14ac:dyDescent="0.35">
      <c r="A2004" s="10" t="s">
        <v>15032</v>
      </c>
      <c r="B2004" s="10" t="str">
        <f>"9781606233450"</f>
        <v>9781606233450</v>
      </c>
      <c r="C2004" s="10" t="str">
        <f>"9781606233467"</f>
        <v>9781606233467</v>
      </c>
      <c r="D2004" s="10" t="s">
        <v>11213</v>
      </c>
      <c r="E2004" s="10" t="s">
        <v>11214</v>
      </c>
      <c r="F2004" s="10" t="s">
        <v>70</v>
      </c>
      <c r="G2004" s="10" t="s">
        <v>6317</v>
      </c>
      <c r="H2004" s="11">
        <v>40084</v>
      </c>
      <c r="I2004" s="10">
        <v>2010</v>
      </c>
      <c r="J2004" s="10" t="s">
        <v>11215</v>
      </c>
      <c r="K2004" s="10">
        <v>229</v>
      </c>
      <c r="L2004" s="10" t="s">
        <v>15033</v>
      </c>
      <c r="M2004" s="10">
        <v>1</v>
      </c>
      <c r="N2004" s="10" t="s">
        <v>12889</v>
      </c>
      <c r="O2004" s="10"/>
      <c r="P2004" s="10" t="s">
        <v>15034</v>
      </c>
      <c r="Q2004" s="10">
        <v>371.19200000000001</v>
      </c>
      <c r="R2004" s="10" t="s">
        <v>15035</v>
      </c>
      <c r="S2004" s="10" t="s">
        <v>53</v>
      </c>
      <c r="T2004" s="10" t="s">
        <v>54</v>
      </c>
    </row>
    <row r="2005" spans="1:20" ht="14.5" x14ac:dyDescent="0.35">
      <c r="A2005" s="10" t="s">
        <v>15036</v>
      </c>
      <c r="B2005" s="10" t="str">
        <f>"9781606233344"</f>
        <v>9781606233344</v>
      </c>
      <c r="C2005" s="10" t="str">
        <f>"9781606233351"</f>
        <v>9781606233351</v>
      </c>
      <c r="D2005" s="10" t="s">
        <v>11213</v>
      </c>
      <c r="E2005" s="10" t="s">
        <v>11214</v>
      </c>
      <c r="F2005" s="10" t="s">
        <v>70</v>
      </c>
      <c r="G2005" s="10" t="s">
        <v>6317</v>
      </c>
      <c r="H2005" s="11">
        <v>40057</v>
      </c>
      <c r="I2005" s="10">
        <v>2010</v>
      </c>
      <c r="J2005" s="10" t="s">
        <v>11215</v>
      </c>
      <c r="K2005" s="10">
        <v>321</v>
      </c>
      <c r="L2005" s="10" t="s">
        <v>15037</v>
      </c>
      <c r="M2005" s="10">
        <v>1</v>
      </c>
      <c r="N2005" s="10"/>
      <c r="O2005" s="10"/>
      <c r="P2005" s="10" t="s">
        <v>15038</v>
      </c>
      <c r="Q2005" s="10">
        <v>370.15230000000003</v>
      </c>
      <c r="R2005" s="10" t="s">
        <v>15039</v>
      </c>
      <c r="S2005" s="10" t="s">
        <v>53</v>
      </c>
      <c r="T2005" s="10" t="s">
        <v>54</v>
      </c>
    </row>
    <row r="2006" spans="1:20" ht="14.5" x14ac:dyDescent="0.35">
      <c r="A2006" s="10" t="s">
        <v>15040</v>
      </c>
      <c r="B2006" s="10" t="str">
        <f>"9781606234747"</f>
        <v>9781606234747</v>
      </c>
      <c r="C2006" s="10" t="str">
        <f>"9781606234761"</f>
        <v>9781606234761</v>
      </c>
      <c r="D2006" s="10" t="s">
        <v>11213</v>
      </c>
      <c r="E2006" s="10" t="s">
        <v>11214</v>
      </c>
      <c r="F2006" s="10" t="s">
        <v>70</v>
      </c>
      <c r="G2006" s="10" t="s">
        <v>6317</v>
      </c>
      <c r="H2006" s="11">
        <v>40137</v>
      </c>
      <c r="I2006" s="10">
        <v>2010</v>
      </c>
      <c r="J2006" s="10" t="s">
        <v>11215</v>
      </c>
      <c r="K2006" s="10">
        <v>337</v>
      </c>
      <c r="L2006" s="10" t="s">
        <v>15041</v>
      </c>
      <c r="M2006" s="10">
        <v>1</v>
      </c>
      <c r="N2006" s="10"/>
      <c r="O2006" s="10"/>
      <c r="P2006" s="10" t="s">
        <v>15042</v>
      </c>
      <c r="Q2006" s="10" t="s">
        <v>15043</v>
      </c>
      <c r="R2006" s="10" t="s">
        <v>15044</v>
      </c>
      <c r="S2006" s="10" t="s">
        <v>53</v>
      </c>
      <c r="T2006" s="10" t="s">
        <v>6498</v>
      </c>
    </row>
    <row r="2007" spans="1:20" ht="14.5" x14ac:dyDescent="0.35">
      <c r="A2007" s="10" t="s">
        <v>15045</v>
      </c>
      <c r="B2007" s="10" t="str">
        <f>"9781847872593"</f>
        <v>9781847872593</v>
      </c>
      <c r="C2007" s="10" t="str">
        <f>"9781849204330"</f>
        <v>9781849204330</v>
      </c>
      <c r="D2007" s="10" t="s">
        <v>9325</v>
      </c>
      <c r="E2007" s="10" t="s">
        <v>9326</v>
      </c>
      <c r="F2007" s="10" t="s">
        <v>139</v>
      </c>
      <c r="G2007" s="10" t="s">
        <v>6352</v>
      </c>
      <c r="H2007" s="11">
        <v>40066</v>
      </c>
      <c r="I2007" s="10">
        <v>2009</v>
      </c>
      <c r="J2007" s="10" t="s">
        <v>9326</v>
      </c>
      <c r="K2007" s="10">
        <v>213</v>
      </c>
      <c r="L2007" s="10" t="s">
        <v>15046</v>
      </c>
      <c r="M2007" s="10">
        <v>1</v>
      </c>
      <c r="N2007" s="10"/>
      <c r="O2007" s="10"/>
      <c r="P2007" s="10" t="s">
        <v>15047</v>
      </c>
      <c r="Q2007" s="10">
        <v>373.11020940999998</v>
      </c>
      <c r="R2007" s="10" t="s">
        <v>15048</v>
      </c>
      <c r="S2007" s="10" t="s">
        <v>53</v>
      </c>
      <c r="T2007" s="10" t="s">
        <v>54</v>
      </c>
    </row>
    <row r="2008" spans="1:20" ht="14.5" x14ac:dyDescent="0.35">
      <c r="A2008" s="10" t="s">
        <v>15049</v>
      </c>
      <c r="B2008" s="10" t="str">
        <f>"9781412947619"</f>
        <v>9781412947619</v>
      </c>
      <c r="C2008" s="10" t="str">
        <f>"9781849208383"</f>
        <v>9781849208383</v>
      </c>
      <c r="D2008" s="10" t="s">
        <v>9325</v>
      </c>
      <c r="E2008" s="10" t="s">
        <v>9326</v>
      </c>
      <c r="F2008" s="10" t="s">
        <v>139</v>
      </c>
      <c r="G2008" s="10" t="s">
        <v>6352</v>
      </c>
      <c r="H2008" s="11">
        <v>39729</v>
      </c>
      <c r="I2008" s="10">
        <v>2008</v>
      </c>
      <c r="J2008" s="10" t="s">
        <v>9326</v>
      </c>
      <c r="K2008" s="10">
        <v>136</v>
      </c>
      <c r="L2008" s="10" t="s">
        <v>15050</v>
      </c>
      <c r="M2008" s="10">
        <v>1</v>
      </c>
      <c r="N2008" s="10"/>
      <c r="O2008" s="10"/>
      <c r="P2008" s="10" t="s">
        <v>15051</v>
      </c>
      <c r="Q2008" s="10">
        <v>371.91427299999998</v>
      </c>
      <c r="R2008" s="10" t="s">
        <v>15052</v>
      </c>
      <c r="S2008" s="10" t="s">
        <v>53</v>
      </c>
      <c r="T2008" s="10" t="s">
        <v>54</v>
      </c>
    </row>
    <row r="2009" spans="1:20" ht="14.5" x14ac:dyDescent="0.35">
      <c r="A2009" s="10" t="s">
        <v>15053</v>
      </c>
      <c r="B2009" s="10" t="str">
        <f>"9781847873217"</f>
        <v>9781847873217</v>
      </c>
      <c r="C2009" s="10" t="str">
        <f>"9781849208413"</f>
        <v>9781849208413</v>
      </c>
      <c r="D2009" s="10" t="s">
        <v>9325</v>
      </c>
      <c r="E2009" s="10" t="s">
        <v>9326</v>
      </c>
      <c r="F2009" s="10" t="s">
        <v>139</v>
      </c>
      <c r="G2009" s="10" t="s">
        <v>6352</v>
      </c>
      <c r="H2009" s="11">
        <v>39687</v>
      </c>
      <c r="I2009" s="10">
        <v>2008</v>
      </c>
      <c r="J2009" s="10" t="s">
        <v>9326</v>
      </c>
      <c r="K2009" s="10">
        <v>137</v>
      </c>
      <c r="L2009" s="10" t="s">
        <v>15054</v>
      </c>
      <c r="M2009" s="10">
        <v>1</v>
      </c>
      <c r="N2009" s="10"/>
      <c r="O2009" s="10"/>
      <c r="P2009" s="10" t="s">
        <v>15055</v>
      </c>
      <c r="Q2009" s="10">
        <v>371.10019</v>
      </c>
      <c r="R2009" s="10" t="s">
        <v>15056</v>
      </c>
      <c r="S2009" s="10" t="s">
        <v>53</v>
      </c>
      <c r="T2009" s="10" t="s">
        <v>54</v>
      </c>
    </row>
    <row r="2010" spans="1:20" ht="14.5" x14ac:dyDescent="0.35">
      <c r="A2010" s="10" t="s">
        <v>15057</v>
      </c>
      <c r="B2010" s="10" t="str">
        <f>"9781847873170"</f>
        <v>9781847873170</v>
      </c>
      <c r="C2010" s="10" t="str">
        <f>"9781849208406"</f>
        <v>9781849208406</v>
      </c>
      <c r="D2010" s="10" t="s">
        <v>9325</v>
      </c>
      <c r="E2010" s="10" t="s">
        <v>9326</v>
      </c>
      <c r="F2010" s="10" t="s">
        <v>139</v>
      </c>
      <c r="G2010" s="10" t="s">
        <v>6352</v>
      </c>
      <c r="H2010" s="11">
        <v>39736</v>
      </c>
      <c r="I2010" s="10">
        <v>2008</v>
      </c>
      <c r="J2010" s="10" t="s">
        <v>9326</v>
      </c>
      <c r="K2010" s="10">
        <v>128</v>
      </c>
      <c r="L2010" s="10" t="s">
        <v>15058</v>
      </c>
      <c r="M2010" s="10">
        <v>1</v>
      </c>
      <c r="N2010" s="10"/>
      <c r="O2010" s="10"/>
      <c r="P2010" s="10" t="s">
        <v>15059</v>
      </c>
      <c r="Q2010" s="10">
        <v>371.9</v>
      </c>
      <c r="R2010" s="10" t="s">
        <v>15060</v>
      </c>
      <c r="S2010" s="10" t="s">
        <v>53</v>
      </c>
      <c r="T2010" s="10" t="s">
        <v>54</v>
      </c>
    </row>
    <row r="2011" spans="1:20" ht="14.5" x14ac:dyDescent="0.35">
      <c r="A2011" s="10" t="s">
        <v>15061</v>
      </c>
      <c r="B2011" s="10" t="str">
        <f>"9780761947486"</f>
        <v>9780761947486</v>
      </c>
      <c r="C2011" s="10" t="str">
        <f>"9781849208161"</f>
        <v>9781849208161</v>
      </c>
      <c r="D2011" s="10" t="s">
        <v>9325</v>
      </c>
      <c r="E2011" s="10" t="s">
        <v>9326</v>
      </c>
      <c r="F2011" s="10" t="s">
        <v>139</v>
      </c>
      <c r="G2011" s="10" t="s">
        <v>6352</v>
      </c>
      <c r="H2011" s="11">
        <v>37770</v>
      </c>
      <c r="I2011" s="10">
        <v>2003</v>
      </c>
      <c r="J2011" s="10" t="s">
        <v>9326</v>
      </c>
      <c r="K2011" s="10">
        <v>180</v>
      </c>
      <c r="L2011" s="10" t="s">
        <v>14161</v>
      </c>
      <c r="M2011" s="10">
        <v>1</v>
      </c>
      <c r="N2011" s="10"/>
      <c r="O2011" s="10"/>
      <c r="P2011" s="10" t="s">
        <v>15062</v>
      </c>
      <c r="Q2011" s="10" t="s">
        <v>12010</v>
      </c>
      <c r="R2011" s="10" t="s">
        <v>7034</v>
      </c>
      <c r="S2011" s="10" t="s">
        <v>53</v>
      </c>
      <c r="T2011" s="10" t="s">
        <v>54</v>
      </c>
    </row>
    <row r="2012" spans="1:20" ht="14.5" x14ac:dyDescent="0.35">
      <c r="A2012" s="10" t="s">
        <v>15063</v>
      </c>
      <c r="B2012" s="10" t="str">
        <f>"9781412946315"</f>
        <v>9781412946315</v>
      </c>
      <c r="C2012" s="10" t="str">
        <f>"9781849208376"</f>
        <v>9781849208376</v>
      </c>
      <c r="D2012" s="10" t="s">
        <v>9325</v>
      </c>
      <c r="E2012" s="10" t="s">
        <v>9326</v>
      </c>
      <c r="F2012" s="10" t="s">
        <v>139</v>
      </c>
      <c r="G2012" s="10" t="s">
        <v>6352</v>
      </c>
      <c r="H2012" s="11">
        <v>39729</v>
      </c>
      <c r="I2012" s="10">
        <v>2008</v>
      </c>
      <c r="J2012" s="10" t="s">
        <v>9326</v>
      </c>
      <c r="K2012" s="10">
        <v>122</v>
      </c>
      <c r="L2012" s="10" t="s">
        <v>15064</v>
      </c>
      <c r="M2012" s="10">
        <v>1</v>
      </c>
      <c r="N2012" s="10"/>
      <c r="O2012" s="10"/>
      <c r="P2012" s="10" t="s">
        <v>15065</v>
      </c>
      <c r="Q2012" s="10">
        <v>371.9572</v>
      </c>
      <c r="R2012" s="10" t="s">
        <v>15066</v>
      </c>
      <c r="S2012" s="10" t="s">
        <v>53</v>
      </c>
      <c r="T2012" s="10" t="s">
        <v>54</v>
      </c>
    </row>
    <row r="2013" spans="1:20" ht="14.5" x14ac:dyDescent="0.35">
      <c r="A2013" s="10" t="s">
        <v>15067</v>
      </c>
      <c r="B2013" s="10" t="str">
        <f>"9780415998802"</f>
        <v>9780415998802</v>
      </c>
      <c r="C2013" s="10" t="str">
        <f>"9780203860335"</f>
        <v>9780203860335</v>
      </c>
      <c r="D2013" s="10" t="s">
        <v>6350</v>
      </c>
      <c r="E2013" s="10" t="s">
        <v>6351</v>
      </c>
      <c r="F2013" s="10" t="s">
        <v>748</v>
      </c>
      <c r="G2013" s="10" t="s">
        <v>6352</v>
      </c>
      <c r="H2013" s="11">
        <v>40141</v>
      </c>
      <c r="I2013" s="10">
        <v>2010</v>
      </c>
      <c r="J2013" s="10" t="s">
        <v>6351</v>
      </c>
      <c r="K2013" s="10">
        <v>270</v>
      </c>
      <c r="L2013" s="10" t="s">
        <v>15068</v>
      </c>
      <c r="M2013" s="10">
        <v>1</v>
      </c>
      <c r="N2013" s="10" t="s">
        <v>6954</v>
      </c>
      <c r="O2013" s="10"/>
      <c r="P2013" s="10" t="s">
        <v>15069</v>
      </c>
      <c r="Q2013" s="10">
        <v>371.82600000000002</v>
      </c>
      <c r="R2013" s="10" t="s">
        <v>15070</v>
      </c>
      <c r="S2013" s="10" t="s">
        <v>53</v>
      </c>
      <c r="T2013" s="10" t="s">
        <v>54</v>
      </c>
    </row>
    <row r="2014" spans="1:20" ht="14.5" x14ac:dyDescent="0.35">
      <c r="A2014" s="10" t="s">
        <v>15071</v>
      </c>
      <c r="B2014" s="10" t="str">
        <f>"9780805858396"</f>
        <v>9780805858396</v>
      </c>
      <c r="C2014" s="10" t="str">
        <f>"9780203866078"</f>
        <v>9780203866078</v>
      </c>
      <c r="D2014" s="10" t="s">
        <v>6350</v>
      </c>
      <c r="E2014" s="10" t="s">
        <v>6351</v>
      </c>
      <c r="F2014" s="10" t="s">
        <v>70</v>
      </c>
      <c r="G2014" s="10" t="s">
        <v>6317</v>
      </c>
      <c r="H2014" s="11">
        <v>40162</v>
      </c>
      <c r="I2014" s="10">
        <v>2010</v>
      </c>
      <c r="J2014" s="10" t="s">
        <v>6353</v>
      </c>
      <c r="K2014" s="10">
        <v>701</v>
      </c>
      <c r="L2014" s="10" t="s">
        <v>15072</v>
      </c>
      <c r="M2014" s="10">
        <v>1</v>
      </c>
      <c r="N2014" s="10"/>
      <c r="O2014" s="10"/>
      <c r="P2014" s="10" t="s">
        <v>15073</v>
      </c>
      <c r="Q2014" s="10">
        <v>371.82968073000001</v>
      </c>
      <c r="R2014" s="10" t="s">
        <v>15074</v>
      </c>
      <c r="S2014" s="10" t="s">
        <v>53</v>
      </c>
      <c r="T2014" s="10" t="s">
        <v>54</v>
      </c>
    </row>
    <row r="2015" spans="1:20" ht="14.5" x14ac:dyDescent="0.35">
      <c r="A2015" s="10" t="s">
        <v>15075</v>
      </c>
      <c r="B2015" s="10" t="str">
        <f>"9780415549486"</f>
        <v>9780415549486</v>
      </c>
      <c r="C2015" s="10" t="str">
        <f>"9780203864883"</f>
        <v>9780203864883</v>
      </c>
      <c r="D2015" s="10" t="s">
        <v>6350</v>
      </c>
      <c r="E2015" s="10" t="s">
        <v>6351</v>
      </c>
      <c r="F2015" s="10" t="s">
        <v>5406</v>
      </c>
      <c r="G2015" s="10" t="s">
        <v>6317</v>
      </c>
      <c r="H2015" s="11">
        <v>40151</v>
      </c>
      <c r="I2015" s="10">
        <v>2010</v>
      </c>
      <c r="J2015" s="10" t="s">
        <v>6353</v>
      </c>
      <c r="K2015" s="10">
        <v>222</v>
      </c>
      <c r="L2015" s="10" t="s">
        <v>15076</v>
      </c>
      <c r="M2015" s="10">
        <v>1</v>
      </c>
      <c r="N2015" s="10"/>
      <c r="O2015" s="10"/>
      <c r="P2015" s="10" t="s">
        <v>15077</v>
      </c>
      <c r="Q2015" s="10" t="s">
        <v>14377</v>
      </c>
      <c r="R2015" s="10" t="s">
        <v>15078</v>
      </c>
      <c r="S2015" s="10" t="s">
        <v>53</v>
      </c>
      <c r="T2015" s="10" t="s">
        <v>54</v>
      </c>
    </row>
    <row r="2016" spans="1:20" ht="14.5" x14ac:dyDescent="0.35">
      <c r="A2016" s="10" t="s">
        <v>15079</v>
      </c>
      <c r="B2016" s="10" t="str">
        <f>"9780415482424"</f>
        <v>9780415482424</v>
      </c>
      <c r="C2016" s="10" t="str">
        <f>"9780203862063"</f>
        <v>9780203862063</v>
      </c>
      <c r="D2016" s="10" t="s">
        <v>6350</v>
      </c>
      <c r="E2016" s="10" t="s">
        <v>6351</v>
      </c>
      <c r="F2016" s="10" t="s">
        <v>139</v>
      </c>
      <c r="G2016" s="10" t="s">
        <v>6352</v>
      </c>
      <c r="H2016" s="11">
        <v>40206</v>
      </c>
      <c r="I2016" s="10">
        <v>2010</v>
      </c>
      <c r="J2016" s="10" t="s">
        <v>6353</v>
      </c>
      <c r="K2016" s="10">
        <v>280</v>
      </c>
      <c r="L2016" s="10" t="s">
        <v>15080</v>
      </c>
      <c r="M2016" s="10">
        <v>1</v>
      </c>
      <c r="N2016" s="10"/>
      <c r="O2016" s="10"/>
      <c r="P2016" s="10" t="s">
        <v>15081</v>
      </c>
      <c r="Q2016" s="10">
        <v>372.21</v>
      </c>
      <c r="R2016" s="10" t="s">
        <v>15082</v>
      </c>
      <c r="S2016" s="10" t="s">
        <v>53</v>
      </c>
      <c r="T2016" s="10" t="s">
        <v>54</v>
      </c>
    </row>
    <row r="2017" spans="1:20" ht="14.5" x14ac:dyDescent="0.35">
      <c r="A2017" s="10" t="s">
        <v>15083</v>
      </c>
      <c r="B2017" s="10" t="str">
        <f>"9780415367394"</f>
        <v>9780415367394</v>
      </c>
      <c r="C2017" s="10" t="str">
        <f>"9780203019788"</f>
        <v>9780203019788</v>
      </c>
      <c r="D2017" s="10" t="s">
        <v>6350</v>
      </c>
      <c r="E2017" s="10" t="s">
        <v>6351</v>
      </c>
      <c r="F2017" s="10" t="s">
        <v>139</v>
      </c>
      <c r="G2017" s="10" t="s">
        <v>6352</v>
      </c>
      <c r="H2017" s="11">
        <v>40207</v>
      </c>
      <c r="I2017" s="10">
        <v>2010</v>
      </c>
      <c r="J2017" s="10" t="s">
        <v>6353</v>
      </c>
      <c r="K2017" s="10">
        <v>182</v>
      </c>
      <c r="L2017" s="10" t="s">
        <v>15084</v>
      </c>
      <c r="M2017" s="10">
        <v>1</v>
      </c>
      <c r="N2017" s="10"/>
      <c r="O2017" s="10"/>
      <c r="P2017" s="10" t="s">
        <v>15085</v>
      </c>
      <c r="Q2017" s="10">
        <v>707.12</v>
      </c>
      <c r="R2017" s="10" t="s">
        <v>15086</v>
      </c>
      <c r="S2017" s="10" t="s">
        <v>53</v>
      </c>
      <c r="T2017" s="10" t="s">
        <v>6384</v>
      </c>
    </row>
    <row r="2018" spans="1:20" ht="14.5" x14ac:dyDescent="0.35">
      <c r="A2018" s="10" t="s">
        <v>15087</v>
      </c>
      <c r="B2018" s="10" t="str">
        <f>"9780415801263"</f>
        <v>9780415801263</v>
      </c>
      <c r="C2018" s="10" t="str">
        <f>"9780203863688"</f>
        <v>9780203863688</v>
      </c>
      <c r="D2018" s="10" t="s">
        <v>6350</v>
      </c>
      <c r="E2018" s="10" t="s">
        <v>6351</v>
      </c>
      <c r="F2018" s="10" t="s">
        <v>139</v>
      </c>
      <c r="G2018" s="10" t="s">
        <v>6352</v>
      </c>
      <c r="H2018" s="11">
        <v>40156</v>
      </c>
      <c r="I2018" s="10">
        <v>2010</v>
      </c>
      <c r="J2018" s="10" t="s">
        <v>6353</v>
      </c>
      <c r="K2018" s="10">
        <v>712</v>
      </c>
      <c r="L2018" s="10" t="s">
        <v>15088</v>
      </c>
      <c r="M2018" s="10">
        <v>1</v>
      </c>
      <c r="N2018" s="10" t="s">
        <v>12310</v>
      </c>
      <c r="O2018" s="10"/>
      <c r="P2018" s="10" t="s">
        <v>15089</v>
      </c>
      <c r="Q2018" s="10" t="s">
        <v>7335</v>
      </c>
      <c r="R2018" s="10" t="s">
        <v>7051</v>
      </c>
      <c r="S2018" s="10" t="s">
        <v>53</v>
      </c>
      <c r="T2018" s="10" t="s">
        <v>54</v>
      </c>
    </row>
    <row r="2019" spans="1:20" ht="14.5" x14ac:dyDescent="0.35">
      <c r="A2019" s="10" t="s">
        <v>15090</v>
      </c>
      <c r="B2019" s="10" t="str">
        <f>"9780805863925"</f>
        <v>9780805863925</v>
      </c>
      <c r="C2019" s="10" t="str">
        <f>"9780203864968"</f>
        <v>9780203864968</v>
      </c>
      <c r="D2019" s="10" t="s">
        <v>6350</v>
      </c>
      <c r="E2019" s="10" t="s">
        <v>6351</v>
      </c>
      <c r="F2019" s="10" t="s">
        <v>70</v>
      </c>
      <c r="G2019" s="10" t="s">
        <v>6317</v>
      </c>
      <c r="H2019" s="11">
        <v>40128</v>
      </c>
      <c r="I2019" s="10">
        <v>2010</v>
      </c>
      <c r="J2019" s="10" t="s">
        <v>6353</v>
      </c>
      <c r="K2019" s="10">
        <v>625</v>
      </c>
      <c r="L2019" s="10" t="s">
        <v>15091</v>
      </c>
      <c r="M2019" s="10">
        <v>1</v>
      </c>
      <c r="N2019" s="10"/>
      <c r="O2019" s="10"/>
      <c r="P2019" s="10" t="s">
        <v>15092</v>
      </c>
      <c r="Q2019" s="10" t="s">
        <v>6920</v>
      </c>
      <c r="R2019" s="10" t="s">
        <v>15093</v>
      </c>
      <c r="S2019" s="10" t="s">
        <v>53</v>
      </c>
      <c r="T2019" s="10" t="s">
        <v>54</v>
      </c>
    </row>
    <row r="2020" spans="1:20" ht="14.5" x14ac:dyDescent="0.35">
      <c r="A2020" s="10" t="s">
        <v>15094</v>
      </c>
      <c r="B2020" s="10" t="str">
        <f>"9780415486637"</f>
        <v>9780415486637</v>
      </c>
      <c r="C2020" s="10" t="str">
        <f>"9780203863701"</f>
        <v>9780203863701</v>
      </c>
      <c r="D2020" s="10" t="s">
        <v>6350</v>
      </c>
      <c r="E2020" s="10" t="s">
        <v>6351</v>
      </c>
      <c r="F2020" s="10" t="s">
        <v>139</v>
      </c>
      <c r="G2020" s="10" t="s">
        <v>6352</v>
      </c>
      <c r="H2020" s="11">
        <v>40206</v>
      </c>
      <c r="I2020" s="10">
        <v>2010</v>
      </c>
      <c r="J2020" s="10" t="s">
        <v>6353</v>
      </c>
      <c r="K2020" s="10">
        <v>447</v>
      </c>
      <c r="L2020" s="10" t="s">
        <v>15095</v>
      </c>
      <c r="M2020" s="10">
        <v>1</v>
      </c>
      <c r="N2020" s="10" t="s">
        <v>14431</v>
      </c>
      <c r="O2020" s="10"/>
      <c r="P2020" s="10" t="s">
        <v>15096</v>
      </c>
      <c r="Q2020" s="10">
        <v>306.43</v>
      </c>
      <c r="R2020" s="10" t="s">
        <v>6558</v>
      </c>
      <c r="S2020" s="10" t="s">
        <v>53</v>
      </c>
      <c r="T2020" s="10" t="s">
        <v>6472</v>
      </c>
    </row>
    <row r="2021" spans="1:20" ht="14.5" x14ac:dyDescent="0.35">
      <c r="A2021" s="10" t="s">
        <v>15097</v>
      </c>
      <c r="B2021" s="10" t="str">
        <f>"9780415557528"</f>
        <v>9780415557528</v>
      </c>
      <c r="C2021" s="10" t="str">
        <f>"9780203863121"</f>
        <v>9780203863121</v>
      </c>
      <c r="D2021" s="10" t="s">
        <v>6350</v>
      </c>
      <c r="E2021" s="10" t="s">
        <v>6351</v>
      </c>
      <c r="F2021" s="10" t="s">
        <v>748</v>
      </c>
      <c r="G2021" s="10" t="s">
        <v>6352</v>
      </c>
      <c r="H2021" s="11">
        <v>40198</v>
      </c>
      <c r="I2021" s="10">
        <v>2010</v>
      </c>
      <c r="J2021" s="10" t="s">
        <v>6351</v>
      </c>
      <c r="K2021" s="10">
        <v>248</v>
      </c>
      <c r="L2021" s="10" t="s">
        <v>15098</v>
      </c>
      <c r="M2021" s="10">
        <v>1</v>
      </c>
      <c r="N2021" s="10"/>
      <c r="O2021" s="10"/>
      <c r="P2021" s="10" t="s">
        <v>15099</v>
      </c>
      <c r="Q2021" s="10" t="s">
        <v>15100</v>
      </c>
      <c r="R2021" s="10" t="s">
        <v>15101</v>
      </c>
      <c r="S2021" s="10" t="s">
        <v>53</v>
      </c>
      <c r="T2021" s="10" t="s">
        <v>8723</v>
      </c>
    </row>
    <row r="2022" spans="1:20" ht="14.5" x14ac:dyDescent="0.35">
      <c r="A2022" s="10" t="s">
        <v>15102</v>
      </c>
      <c r="B2022" s="10" t="str">
        <f>"9780415997997"</f>
        <v>9780415997997</v>
      </c>
      <c r="C2022" s="10" t="str">
        <f>"9780203864265"</f>
        <v>9780203864265</v>
      </c>
      <c r="D2022" s="10" t="s">
        <v>6350</v>
      </c>
      <c r="E2022" s="10" t="s">
        <v>6351</v>
      </c>
      <c r="F2022" s="10" t="s">
        <v>5406</v>
      </c>
      <c r="G2022" s="10" t="s">
        <v>6317</v>
      </c>
      <c r="H2022" s="11">
        <v>40148</v>
      </c>
      <c r="I2022" s="10">
        <v>2010</v>
      </c>
      <c r="J2022" s="10" t="s">
        <v>6353</v>
      </c>
      <c r="K2022" s="10">
        <v>230</v>
      </c>
      <c r="L2022" s="10" t="s">
        <v>15103</v>
      </c>
      <c r="M2022" s="10">
        <v>1</v>
      </c>
      <c r="N2022" s="10" t="s">
        <v>15104</v>
      </c>
      <c r="O2022" s="10"/>
      <c r="P2022" s="10" t="s">
        <v>15105</v>
      </c>
      <c r="Q2022" s="10" t="s">
        <v>8748</v>
      </c>
      <c r="R2022" s="10" t="s">
        <v>15106</v>
      </c>
      <c r="S2022" s="10" t="s">
        <v>53</v>
      </c>
      <c r="T2022" s="10" t="s">
        <v>54</v>
      </c>
    </row>
    <row r="2023" spans="1:20" ht="14.5" x14ac:dyDescent="0.35">
      <c r="A2023" s="10" t="s">
        <v>15107</v>
      </c>
      <c r="B2023" s="10" t="str">
        <f>"9780415549677"</f>
        <v>9780415549677</v>
      </c>
      <c r="C2023" s="10" t="str">
        <f>"9780203864487"</f>
        <v>9780203864487</v>
      </c>
      <c r="D2023" s="10" t="s">
        <v>6350</v>
      </c>
      <c r="E2023" s="10" t="s">
        <v>6351</v>
      </c>
      <c r="F2023" s="10" t="s">
        <v>139</v>
      </c>
      <c r="G2023" s="10" t="s">
        <v>6352</v>
      </c>
      <c r="H2023" s="11">
        <v>40122</v>
      </c>
      <c r="I2023" s="10">
        <v>2010</v>
      </c>
      <c r="J2023" s="10" t="s">
        <v>6353</v>
      </c>
      <c r="K2023" s="10">
        <v>208</v>
      </c>
      <c r="L2023" s="10" t="s">
        <v>15108</v>
      </c>
      <c r="M2023" s="10">
        <v>1</v>
      </c>
      <c r="N2023" s="10"/>
      <c r="O2023" s="10"/>
      <c r="P2023" s="10" t="s">
        <v>15109</v>
      </c>
      <c r="Q2023" s="10">
        <v>370.1</v>
      </c>
      <c r="R2023" s="10" t="s">
        <v>15110</v>
      </c>
      <c r="S2023" s="10" t="s">
        <v>53</v>
      </c>
      <c r="T2023" s="10" t="s">
        <v>54</v>
      </c>
    </row>
    <row r="2024" spans="1:20" ht="14.5" x14ac:dyDescent="0.35">
      <c r="A2024" s="10" t="s">
        <v>15111</v>
      </c>
      <c r="B2024" s="10" t="str">
        <f>"9780415990905"</f>
        <v>9780415990905</v>
      </c>
      <c r="C2024" s="10" t="str">
        <f>"9780203865255"</f>
        <v>9780203865255</v>
      </c>
      <c r="D2024" s="10" t="s">
        <v>6350</v>
      </c>
      <c r="E2024" s="10" t="s">
        <v>6351</v>
      </c>
      <c r="F2024" s="10" t="s">
        <v>5406</v>
      </c>
      <c r="G2024" s="10" t="s">
        <v>6317</v>
      </c>
      <c r="H2024" s="11">
        <v>40130</v>
      </c>
      <c r="I2024" s="10">
        <v>2010</v>
      </c>
      <c r="J2024" s="10" t="s">
        <v>6353</v>
      </c>
      <c r="K2024" s="10">
        <v>289</v>
      </c>
      <c r="L2024" s="10" t="s">
        <v>15112</v>
      </c>
      <c r="M2024" s="10">
        <v>1</v>
      </c>
      <c r="N2024" s="10" t="s">
        <v>14416</v>
      </c>
      <c r="O2024" s="10"/>
      <c r="P2024" s="10" t="s">
        <v>15113</v>
      </c>
      <c r="Q2024" s="10">
        <v>378.12</v>
      </c>
      <c r="R2024" s="10" t="s">
        <v>15114</v>
      </c>
      <c r="S2024" s="10" t="s">
        <v>53</v>
      </c>
      <c r="T2024" s="10" t="s">
        <v>54</v>
      </c>
    </row>
    <row r="2025" spans="1:20" ht="14.5" x14ac:dyDescent="0.35">
      <c r="A2025" s="10" t="s">
        <v>15115</v>
      </c>
      <c r="B2025" s="10" t="str">
        <f>"9780415562584"</f>
        <v>9780415562584</v>
      </c>
      <c r="C2025" s="10" t="str">
        <f>"9780203864357"</f>
        <v>9780203864357</v>
      </c>
      <c r="D2025" s="10" t="s">
        <v>6350</v>
      </c>
      <c r="E2025" s="10" t="s">
        <v>6351</v>
      </c>
      <c r="F2025" s="10" t="s">
        <v>748</v>
      </c>
      <c r="G2025" s="10" t="s">
        <v>6352</v>
      </c>
      <c r="H2025" s="11">
        <v>40161</v>
      </c>
      <c r="I2025" s="10">
        <v>2010</v>
      </c>
      <c r="J2025" s="10" t="s">
        <v>6351</v>
      </c>
      <c r="K2025" s="10">
        <v>129</v>
      </c>
      <c r="L2025" s="10" t="s">
        <v>15116</v>
      </c>
      <c r="M2025" s="10">
        <v>1</v>
      </c>
      <c r="N2025" s="10"/>
      <c r="O2025" s="10"/>
      <c r="P2025" s="10" t="s">
        <v>15117</v>
      </c>
      <c r="Q2025" s="10">
        <v>372.66</v>
      </c>
      <c r="R2025" s="10" t="s">
        <v>15118</v>
      </c>
      <c r="S2025" s="10" t="s">
        <v>53</v>
      </c>
      <c r="T2025" s="10" t="s">
        <v>6881</v>
      </c>
    </row>
    <row r="2026" spans="1:20" ht="14.5" x14ac:dyDescent="0.35">
      <c r="A2026" s="10" t="s">
        <v>15119</v>
      </c>
      <c r="B2026" s="10" t="str">
        <f>"9780415562591"</f>
        <v>9780415562591</v>
      </c>
      <c r="C2026" s="10" t="str">
        <f>"9780203864340"</f>
        <v>9780203864340</v>
      </c>
      <c r="D2026" s="10" t="s">
        <v>6350</v>
      </c>
      <c r="E2026" s="10" t="s">
        <v>15120</v>
      </c>
      <c r="F2026" s="10" t="s">
        <v>748</v>
      </c>
      <c r="G2026" s="10" t="s">
        <v>6352</v>
      </c>
      <c r="H2026" s="11">
        <v>40161</v>
      </c>
      <c r="I2026" s="10">
        <v>2010</v>
      </c>
      <c r="J2026" s="10" t="s">
        <v>15120</v>
      </c>
      <c r="K2026" s="10">
        <v>172</v>
      </c>
      <c r="L2026" s="10" t="s">
        <v>15116</v>
      </c>
      <c r="M2026" s="10">
        <v>1</v>
      </c>
      <c r="N2026" s="10"/>
      <c r="O2026" s="10"/>
      <c r="P2026" s="10" t="s">
        <v>15121</v>
      </c>
      <c r="Q2026" s="10">
        <v>372.66</v>
      </c>
      <c r="R2026" s="10" t="s">
        <v>15118</v>
      </c>
      <c r="S2026" s="10" t="s">
        <v>53</v>
      </c>
      <c r="T2026" s="10" t="s">
        <v>6815</v>
      </c>
    </row>
    <row r="2027" spans="1:20" ht="14.5" x14ac:dyDescent="0.35">
      <c r="A2027" s="10" t="s">
        <v>15122</v>
      </c>
      <c r="B2027" s="10" t="str">
        <f>"9780415416252"</f>
        <v>9780415416252</v>
      </c>
      <c r="C2027" s="10" t="str">
        <f>"9780203867396"</f>
        <v>9780203867396</v>
      </c>
      <c r="D2027" s="10" t="s">
        <v>6350</v>
      </c>
      <c r="E2027" s="10" t="s">
        <v>6351</v>
      </c>
      <c r="F2027" s="10" t="s">
        <v>5406</v>
      </c>
      <c r="G2027" s="10" t="s">
        <v>6352</v>
      </c>
      <c r="H2027" s="11">
        <v>40073</v>
      </c>
      <c r="I2027" s="10">
        <v>2010</v>
      </c>
      <c r="J2027" s="10" t="s">
        <v>6353</v>
      </c>
      <c r="K2027" s="10">
        <v>241</v>
      </c>
      <c r="L2027" s="10" t="s">
        <v>15123</v>
      </c>
      <c r="M2027" s="10">
        <v>1</v>
      </c>
      <c r="N2027" s="10"/>
      <c r="O2027" s="10"/>
      <c r="P2027" s="10" t="s">
        <v>15124</v>
      </c>
      <c r="Q2027" s="10">
        <v>379</v>
      </c>
      <c r="R2027" s="10" t="s">
        <v>15125</v>
      </c>
      <c r="S2027" s="10" t="s">
        <v>53</v>
      </c>
      <c r="T2027" s="10" t="s">
        <v>54</v>
      </c>
    </row>
    <row r="2028" spans="1:20" ht="14.5" x14ac:dyDescent="0.35">
      <c r="A2028" s="10" t="s">
        <v>15126</v>
      </c>
      <c r="B2028" s="10" t="str">
        <f>"9780415957939"</f>
        <v>9780415957939</v>
      </c>
      <c r="C2028" s="10" t="str">
        <f>"9780203865132"</f>
        <v>9780203865132</v>
      </c>
      <c r="D2028" s="10" t="s">
        <v>6350</v>
      </c>
      <c r="E2028" s="10" t="s">
        <v>6351</v>
      </c>
      <c r="F2028" s="10" t="s">
        <v>139</v>
      </c>
      <c r="G2028" s="10" t="s">
        <v>6352</v>
      </c>
      <c r="H2028" s="11">
        <v>40135</v>
      </c>
      <c r="I2028" s="10">
        <v>2010</v>
      </c>
      <c r="J2028" s="10" t="s">
        <v>6353</v>
      </c>
      <c r="K2028" s="10">
        <v>225</v>
      </c>
      <c r="L2028" s="10" t="s">
        <v>15127</v>
      </c>
      <c r="M2028" s="10">
        <v>1</v>
      </c>
      <c r="N2028" s="10"/>
      <c r="O2028" s="10"/>
      <c r="P2028" s="10" t="s">
        <v>15128</v>
      </c>
      <c r="Q2028" s="10">
        <v>371.82968073000001</v>
      </c>
      <c r="R2028" s="10" t="s">
        <v>15129</v>
      </c>
      <c r="S2028" s="10" t="s">
        <v>53</v>
      </c>
      <c r="T2028" s="10" t="s">
        <v>54</v>
      </c>
    </row>
    <row r="2029" spans="1:20" ht="14.5" x14ac:dyDescent="0.35">
      <c r="A2029" s="10" t="s">
        <v>15130</v>
      </c>
      <c r="B2029" s="10" t="str">
        <f>"9780415997669"</f>
        <v>9780415997669</v>
      </c>
      <c r="C2029" s="10" t="str">
        <f>"9780203882146"</f>
        <v>9780203882146</v>
      </c>
      <c r="D2029" s="10" t="s">
        <v>6350</v>
      </c>
      <c r="E2029" s="10" t="s">
        <v>6351</v>
      </c>
      <c r="F2029" s="10" t="s">
        <v>139</v>
      </c>
      <c r="G2029" s="10" t="s">
        <v>6352</v>
      </c>
      <c r="H2029" s="11">
        <v>40150</v>
      </c>
      <c r="I2029" s="10">
        <v>2009</v>
      </c>
      <c r="J2029" s="10" t="s">
        <v>6353</v>
      </c>
      <c r="K2029" s="10">
        <v>322</v>
      </c>
      <c r="L2029" s="10" t="s">
        <v>15131</v>
      </c>
      <c r="M2029" s="10">
        <v>1</v>
      </c>
      <c r="N2029" s="10" t="s">
        <v>6954</v>
      </c>
      <c r="O2029" s="10"/>
      <c r="P2029" s="10" t="s">
        <v>15132</v>
      </c>
      <c r="Q2029" s="10">
        <v>370</v>
      </c>
      <c r="R2029" s="10" t="s">
        <v>15133</v>
      </c>
      <c r="S2029" s="10" t="s">
        <v>53</v>
      </c>
      <c r="T2029" s="10" t="s">
        <v>54</v>
      </c>
    </row>
    <row r="2030" spans="1:20" ht="14.5" x14ac:dyDescent="0.35">
      <c r="A2030" s="10" t="s">
        <v>15134</v>
      </c>
      <c r="B2030" s="10" t="str">
        <f>"9780415997560"</f>
        <v>9780415997560</v>
      </c>
      <c r="C2030" s="10" t="str">
        <f>"9780203868430"</f>
        <v>9780203868430</v>
      </c>
      <c r="D2030" s="10" t="s">
        <v>6350</v>
      </c>
      <c r="E2030" s="10" t="s">
        <v>6351</v>
      </c>
      <c r="F2030" s="10" t="s">
        <v>139</v>
      </c>
      <c r="G2030" s="10" t="s">
        <v>6352</v>
      </c>
      <c r="H2030" s="11">
        <v>40168</v>
      </c>
      <c r="I2030" s="10">
        <v>2010</v>
      </c>
      <c r="J2030" s="10" t="s">
        <v>6353</v>
      </c>
      <c r="K2030" s="10">
        <v>311</v>
      </c>
      <c r="L2030" s="10" t="s">
        <v>15135</v>
      </c>
      <c r="M2030" s="10">
        <v>1</v>
      </c>
      <c r="N2030" s="10" t="s">
        <v>12872</v>
      </c>
      <c r="O2030" s="10"/>
      <c r="P2030" s="10" t="s">
        <v>15136</v>
      </c>
      <c r="Q2030" s="10" t="s">
        <v>15137</v>
      </c>
      <c r="R2030" s="10" t="s">
        <v>15138</v>
      </c>
      <c r="S2030" s="10" t="s">
        <v>53</v>
      </c>
      <c r="T2030" s="10" t="s">
        <v>54</v>
      </c>
    </row>
    <row r="2031" spans="1:20" ht="14.5" x14ac:dyDescent="0.35">
      <c r="A2031" s="10" t="s">
        <v>15139</v>
      </c>
      <c r="B2031" s="10" t="str">
        <f>"9780415481175"</f>
        <v>9780415481175</v>
      </c>
      <c r="C2031" s="10" t="str">
        <f>"9780203864050"</f>
        <v>9780203864050</v>
      </c>
      <c r="D2031" s="10" t="s">
        <v>6350</v>
      </c>
      <c r="E2031" s="10" t="s">
        <v>6351</v>
      </c>
      <c r="F2031" s="10" t="s">
        <v>5406</v>
      </c>
      <c r="G2031" s="10" t="s">
        <v>6317</v>
      </c>
      <c r="H2031" s="11">
        <v>40135</v>
      </c>
      <c r="I2031" s="10">
        <v>2010</v>
      </c>
      <c r="J2031" s="10" t="s">
        <v>6353</v>
      </c>
      <c r="K2031" s="10">
        <v>172</v>
      </c>
      <c r="L2031" s="10" t="s">
        <v>15140</v>
      </c>
      <c r="M2031" s="10">
        <v>1</v>
      </c>
      <c r="N2031" s="10"/>
      <c r="O2031" s="10"/>
      <c r="P2031" s="10" t="s">
        <v>15141</v>
      </c>
      <c r="Q2031" s="10" t="s">
        <v>15142</v>
      </c>
      <c r="R2031" s="10" t="s">
        <v>15143</v>
      </c>
      <c r="S2031" s="10" t="s">
        <v>53</v>
      </c>
      <c r="T2031" s="10" t="s">
        <v>54</v>
      </c>
    </row>
    <row r="2032" spans="1:20" ht="14.5" x14ac:dyDescent="0.35">
      <c r="A2032" s="10" t="s">
        <v>15144</v>
      </c>
      <c r="B2032" s="10" t="str">
        <f>"9780415996068"</f>
        <v>9780415996068</v>
      </c>
      <c r="C2032" s="10" t="str">
        <f>"9780203871119"</f>
        <v>9780203871119</v>
      </c>
      <c r="D2032" s="10" t="s">
        <v>6350</v>
      </c>
      <c r="E2032" s="10" t="s">
        <v>6351</v>
      </c>
      <c r="F2032" s="10" t="s">
        <v>139</v>
      </c>
      <c r="G2032" s="10" t="s">
        <v>6352</v>
      </c>
      <c r="H2032" s="11">
        <v>40064</v>
      </c>
      <c r="I2032" s="10">
        <v>2010</v>
      </c>
      <c r="J2032" s="10" t="s">
        <v>6353</v>
      </c>
      <c r="K2032" s="10">
        <v>247</v>
      </c>
      <c r="L2032" s="10" t="s">
        <v>15145</v>
      </c>
      <c r="M2032" s="10">
        <v>1</v>
      </c>
      <c r="N2032" s="10" t="s">
        <v>6636</v>
      </c>
      <c r="O2032" s="10"/>
      <c r="P2032" s="10" t="s">
        <v>15146</v>
      </c>
      <c r="Q2032" s="10">
        <v>370.1</v>
      </c>
      <c r="R2032" s="10" t="s">
        <v>12571</v>
      </c>
      <c r="S2032" s="10" t="s">
        <v>53</v>
      </c>
      <c r="T2032" s="10" t="s">
        <v>54</v>
      </c>
    </row>
    <row r="2033" spans="1:20" ht="14.5" x14ac:dyDescent="0.35">
      <c r="A2033" s="10" t="s">
        <v>15147</v>
      </c>
      <c r="B2033" s="10" t="str">
        <f>"9780415497299"</f>
        <v>9780415497299</v>
      </c>
      <c r="C2033" s="10" t="str">
        <f>"9780203864388"</f>
        <v>9780203864388</v>
      </c>
      <c r="D2033" s="10" t="s">
        <v>6350</v>
      </c>
      <c r="E2033" s="10" t="s">
        <v>15120</v>
      </c>
      <c r="F2033" s="10" t="s">
        <v>748</v>
      </c>
      <c r="G2033" s="10" t="s">
        <v>6352</v>
      </c>
      <c r="H2033" s="11">
        <v>40169</v>
      </c>
      <c r="I2033" s="10">
        <v>2010</v>
      </c>
      <c r="J2033" s="10" t="s">
        <v>15120</v>
      </c>
      <c r="K2033" s="10">
        <v>122</v>
      </c>
      <c r="L2033" s="10" t="s">
        <v>15148</v>
      </c>
      <c r="M2033" s="10">
        <v>1</v>
      </c>
      <c r="N2033" s="10"/>
      <c r="O2033" s="10"/>
      <c r="P2033" s="10" t="s">
        <v>15149</v>
      </c>
      <c r="Q2033" s="10" t="s">
        <v>8067</v>
      </c>
      <c r="R2033" s="10" t="s">
        <v>15150</v>
      </c>
      <c r="S2033" s="10" t="s">
        <v>53</v>
      </c>
      <c r="T2033" s="10" t="s">
        <v>54</v>
      </c>
    </row>
    <row r="2034" spans="1:20" ht="14.5" x14ac:dyDescent="0.35">
      <c r="A2034" s="10" t="s">
        <v>15151</v>
      </c>
      <c r="B2034" s="10" t="str">
        <f>"9780415414548"</f>
        <v>9780415414548</v>
      </c>
      <c r="C2034" s="10" t="str">
        <f>"9780203861646"</f>
        <v>9780203861646</v>
      </c>
      <c r="D2034" s="10" t="s">
        <v>6350</v>
      </c>
      <c r="E2034" s="10" t="s">
        <v>6351</v>
      </c>
      <c r="F2034" s="10" t="s">
        <v>748</v>
      </c>
      <c r="G2034" s="10" t="s">
        <v>6352</v>
      </c>
      <c r="H2034" s="11">
        <v>40155</v>
      </c>
      <c r="I2034" s="10">
        <v>2010</v>
      </c>
      <c r="J2034" s="10" t="s">
        <v>6351</v>
      </c>
      <c r="K2034" s="10">
        <v>190</v>
      </c>
      <c r="L2034" s="10" t="s">
        <v>15152</v>
      </c>
      <c r="M2034" s="10">
        <v>1</v>
      </c>
      <c r="N2034" s="10" t="s">
        <v>15153</v>
      </c>
      <c r="O2034" s="10"/>
      <c r="P2034" s="10" t="s">
        <v>15154</v>
      </c>
      <c r="Q2034" s="10" t="s">
        <v>15155</v>
      </c>
      <c r="R2034" s="10" t="s">
        <v>15156</v>
      </c>
      <c r="S2034" s="10" t="s">
        <v>53</v>
      </c>
      <c r="T2034" s="10" t="s">
        <v>54</v>
      </c>
    </row>
    <row r="2035" spans="1:20" ht="14.5" x14ac:dyDescent="0.35">
      <c r="A2035" s="10" t="s">
        <v>15157</v>
      </c>
      <c r="B2035" s="10" t="str">
        <f>"9780415995962"</f>
        <v>9780415995962</v>
      </c>
      <c r="C2035" s="10" t="str">
        <f>"9780203861448"</f>
        <v>9780203861448</v>
      </c>
      <c r="D2035" s="10" t="s">
        <v>6350</v>
      </c>
      <c r="E2035" s="10" t="s">
        <v>6351</v>
      </c>
      <c r="F2035" s="10" t="s">
        <v>748</v>
      </c>
      <c r="G2035" s="10" t="s">
        <v>6352</v>
      </c>
      <c r="H2035" s="11">
        <v>40163</v>
      </c>
      <c r="I2035" s="10">
        <v>2010</v>
      </c>
      <c r="J2035" s="10" t="s">
        <v>6351</v>
      </c>
      <c r="K2035" s="10">
        <v>220</v>
      </c>
      <c r="L2035" s="10" t="s">
        <v>15158</v>
      </c>
      <c r="M2035" s="10">
        <v>1</v>
      </c>
      <c r="N2035" s="10"/>
      <c r="O2035" s="10"/>
      <c r="P2035" s="10" t="s">
        <v>15159</v>
      </c>
      <c r="Q2035" s="10">
        <v>370.11500000000001</v>
      </c>
      <c r="R2035" s="10" t="s">
        <v>15160</v>
      </c>
      <c r="S2035" s="10" t="s">
        <v>53</v>
      </c>
      <c r="T2035" s="10" t="s">
        <v>54</v>
      </c>
    </row>
    <row r="2036" spans="1:20" ht="14.5" x14ac:dyDescent="0.35">
      <c r="A2036" s="10" t="s">
        <v>15161</v>
      </c>
      <c r="B2036" s="10" t="str">
        <f>"9781606234730"</f>
        <v>9781606234730</v>
      </c>
      <c r="C2036" s="10" t="str">
        <f>"9781606234815"</f>
        <v>9781606234815</v>
      </c>
      <c r="D2036" s="10" t="s">
        <v>11213</v>
      </c>
      <c r="E2036" s="10" t="s">
        <v>11214</v>
      </c>
      <c r="F2036" s="10" t="s">
        <v>70</v>
      </c>
      <c r="G2036" s="10" t="s">
        <v>6317</v>
      </c>
      <c r="H2036" s="11">
        <v>40136</v>
      </c>
      <c r="I2036" s="10">
        <v>2010</v>
      </c>
      <c r="J2036" s="10" t="s">
        <v>11215</v>
      </c>
      <c r="K2036" s="10">
        <v>209</v>
      </c>
      <c r="L2036" s="10" t="s">
        <v>15162</v>
      </c>
      <c r="M2036" s="10">
        <v>1</v>
      </c>
      <c r="N2036" s="10" t="s">
        <v>15163</v>
      </c>
      <c r="O2036" s="10"/>
      <c r="P2036" s="10" t="s">
        <v>15164</v>
      </c>
      <c r="Q2036" s="10" t="s">
        <v>9646</v>
      </c>
      <c r="R2036" s="10" t="s">
        <v>15165</v>
      </c>
      <c r="S2036" s="10" t="s">
        <v>53</v>
      </c>
      <c r="T2036" s="10" t="s">
        <v>54</v>
      </c>
    </row>
    <row r="2037" spans="1:20" ht="14.5" x14ac:dyDescent="0.35">
      <c r="A2037" s="10" t="s">
        <v>15166</v>
      </c>
      <c r="B2037" s="10" t="str">
        <f>"9781843106630"</f>
        <v>9781843106630</v>
      </c>
      <c r="C2037" s="10" t="str">
        <f>"9781846429231"</f>
        <v>9781846429231</v>
      </c>
      <c r="D2037" s="10" t="s">
        <v>10516</v>
      </c>
      <c r="E2037" s="10" t="s">
        <v>10516</v>
      </c>
      <c r="F2037" s="10" t="s">
        <v>139</v>
      </c>
      <c r="G2037" s="10" t="s">
        <v>6352</v>
      </c>
      <c r="H2037" s="11">
        <v>39887</v>
      </c>
      <c r="I2037" s="10">
        <v>2009</v>
      </c>
      <c r="J2037" s="10" t="s">
        <v>10516</v>
      </c>
      <c r="K2037" s="10">
        <v>206</v>
      </c>
      <c r="L2037" s="10" t="s">
        <v>15167</v>
      </c>
      <c r="M2037" s="10">
        <v>1</v>
      </c>
      <c r="N2037" s="10"/>
      <c r="O2037" s="10"/>
      <c r="P2037" s="10" t="s">
        <v>15168</v>
      </c>
      <c r="Q2037" s="10">
        <v>371.94</v>
      </c>
      <c r="R2037" s="10"/>
      <c r="S2037" s="10" t="s">
        <v>53</v>
      </c>
      <c r="T2037" s="10" t="s">
        <v>54</v>
      </c>
    </row>
    <row r="2038" spans="1:20" ht="14.5" x14ac:dyDescent="0.35">
      <c r="A2038" s="10" t="s">
        <v>15169</v>
      </c>
      <c r="B2038" s="10" t="str">
        <f>"9781843105855"</f>
        <v>9781843105855</v>
      </c>
      <c r="C2038" s="10" t="str">
        <f>"9781846429408"</f>
        <v>9781846429408</v>
      </c>
      <c r="D2038" s="10" t="s">
        <v>10516</v>
      </c>
      <c r="E2038" s="10" t="s">
        <v>10516</v>
      </c>
      <c r="F2038" s="10" t="s">
        <v>139</v>
      </c>
      <c r="G2038" s="10" t="s">
        <v>6352</v>
      </c>
      <c r="H2038" s="11">
        <v>39918</v>
      </c>
      <c r="I2038" s="10">
        <v>2009</v>
      </c>
      <c r="J2038" s="10" t="s">
        <v>10516</v>
      </c>
      <c r="K2038" s="10">
        <v>226</v>
      </c>
      <c r="L2038" s="10" t="s">
        <v>15170</v>
      </c>
      <c r="M2038" s="10">
        <v>1</v>
      </c>
      <c r="N2038" s="10"/>
      <c r="O2038" s="10"/>
      <c r="P2038" s="10" t="s">
        <v>15171</v>
      </c>
      <c r="Q2038" s="10">
        <v>616.83000000000004</v>
      </c>
      <c r="R2038" s="10"/>
      <c r="S2038" s="10" t="s">
        <v>53</v>
      </c>
      <c r="T2038" s="10" t="s">
        <v>8681</v>
      </c>
    </row>
    <row r="2039" spans="1:20" ht="14.5" x14ac:dyDescent="0.35">
      <c r="A2039" s="10" t="s">
        <v>15172</v>
      </c>
      <c r="B2039" s="10" t="str">
        <f>"9781843109754"</f>
        <v>9781843109754</v>
      </c>
      <c r="C2039" s="10" t="str">
        <f>"9781846429620"</f>
        <v>9781846429620</v>
      </c>
      <c r="D2039" s="10" t="s">
        <v>10516</v>
      </c>
      <c r="E2039" s="10" t="s">
        <v>10516</v>
      </c>
      <c r="F2039" s="10" t="s">
        <v>139</v>
      </c>
      <c r="G2039" s="10" t="s">
        <v>6352</v>
      </c>
      <c r="H2039" s="11">
        <v>40009</v>
      </c>
      <c r="I2039" s="10">
        <v>2009</v>
      </c>
      <c r="J2039" s="10" t="s">
        <v>10516</v>
      </c>
      <c r="K2039" s="10">
        <v>164</v>
      </c>
      <c r="L2039" s="10" t="s">
        <v>15173</v>
      </c>
      <c r="M2039" s="10">
        <v>1</v>
      </c>
      <c r="N2039" s="10"/>
      <c r="O2039" s="10"/>
      <c r="P2039" s="10" t="s">
        <v>15174</v>
      </c>
      <c r="Q2039" s="10" t="s">
        <v>15175</v>
      </c>
      <c r="R2039" s="10" t="s">
        <v>15176</v>
      </c>
      <c r="S2039" s="10" t="s">
        <v>53</v>
      </c>
      <c r="T2039" s="10" t="s">
        <v>54</v>
      </c>
    </row>
    <row r="2040" spans="1:20" ht="14.5" x14ac:dyDescent="0.35">
      <c r="A2040" s="10" t="s">
        <v>15177</v>
      </c>
      <c r="B2040" s="10" t="str">
        <f>"9781853029417"</f>
        <v>9781853029417</v>
      </c>
      <c r="C2040" s="10" t="str">
        <f>"9781846422997"</f>
        <v>9781846422997</v>
      </c>
      <c r="D2040" s="10" t="s">
        <v>10516</v>
      </c>
      <c r="E2040" s="10" t="s">
        <v>10516</v>
      </c>
      <c r="F2040" s="10" t="s">
        <v>139</v>
      </c>
      <c r="G2040" s="10" t="s">
        <v>6352</v>
      </c>
      <c r="H2040" s="11">
        <v>37165</v>
      </c>
      <c r="I2040" s="10">
        <v>2001</v>
      </c>
      <c r="J2040" s="10" t="s">
        <v>10516</v>
      </c>
      <c r="K2040" s="10">
        <v>287</v>
      </c>
      <c r="L2040" s="10" t="s">
        <v>15178</v>
      </c>
      <c r="M2040" s="10">
        <v>1</v>
      </c>
      <c r="N2040" s="10"/>
      <c r="O2040" s="10"/>
      <c r="P2040" s="10" t="s">
        <v>15179</v>
      </c>
      <c r="Q2040" s="10"/>
      <c r="R2040" s="10" t="s">
        <v>15180</v>
      </c>
      <c r="S2040" s="10" t="s">
        <v>53</v>
      </c>
      <c r="T2040" s="10" t="s">
        <v>54</v>
      </c>
    </row>
    <row r="2041" spans="1:20" ht="14.5" x14ac:dyDescent="0.35">
      <c r="A2041" s="10" t="s">
        <v>15181</v>
      </c>
      <c r="B2041" s="10" t="str">
        <f>"9780739120699"</f>
        <v>9780739120699</v>
      </c>
      <c r="C2041" s="10" t="str">
        <f>"9780739132609"</f>
        <v>9780739132609</v>
      </c>
      <c r="D2041" s="10" t="s">
        <v>9752</v>
      </c>
      <c r="E2041" s="10" t="s">
        <v>15182</v>
      </c>
      <c r="F2041" s="10" t="s">
        <v>9754</v>
      </c>
      <c r="G2041" s="10" t="s">
        <v>6317</v>
      </c>
      <c r="H2041" s="11">
        <v>39829</v>
      </c>
      <c r="I2041" s="10">
        <v>2009</v>
      </c>
      <c r="J2041" s="10" t="s">
        <v>15182</v>
      </c>
      <c r="K2041" s="10">
        <v>247</v>
      </c>
      <c r="L2041" s="10" t="s">
        <v>15183</v>
      </c>
      <c r="M2041" s="10">
        <v>1</v>
      </c>
      <c r="N2041" s="10"/>
      <c r="O2041" s="10"/>
      <c r="P2041" s="10" t="s">
        <v>15184</v>
      </c>
      <c r="Q2041" s="10" t="s">
        <v>14718</v>
      </c>
      <c r="R2041" s="10" t="s">
        <v>15185</v>
      </c>
      <c r="S2041" s="10" t="s">
        <v>53</v>
      </c>
      <c r="T2041" s="10" t="s">
        <v>54</v>
      </c>
    </row>
    <row r="2042" spans="1:20" ht="14.5" x14ac:dyDescent="0.35">
      <c r="A2042" s="10" t="s">
        <v>15186</v>
      </c>
      <c r="B2042" s="10" t="str">
        <f>"9781607090731"</f>
        <v>9781607090731</v>
      </c>
      <c r="C2042" s="10" t="str">
        <f>"9781607090755"</f>
        <v>9781607090755</v>
      </c>
      <c r="D2042" s="10" t="s">
        <v>9752</v>
      </c>
      <c r="E2042" s="10" t="s">
        <v>15187</v>
      </c>
      <c r="F2042" s="10" t="s">
        <v>9754</v>
      </c>
      <c r="G2042" s="10" t="s">
        <v>6317</v>
      </c>
      <c r="H2042" s="11">
        <v>39860</v>
      </c>
      <c r="I2042" s="10">
        <v>2009</v>
      </c>
      <c r="J2042" s="10" t="s">
        <v>15187</v>
      </c>
      <c r="K2042" s="10">
        <v>240</v>
      </c>
      <c r="L2042" s="10" t="s">
        <v>15188</v>
      </c>
      <c r="M2042" s="10">
        <v>1</v>
      </c>
      <c r="N2042" s="10"/>
      <c r="O2042" s="10"/>
      <c r="P2042" s="10" t="s">
        <v>15189</v>
      </c>
      <c r="Q2042" s="10">
        <v>378.73</v>
      </c>
      <c r="R2042" s="10" t="s">
        <v>15190</v>
      </c>
      <c r="S2042" s="10" t="s">
        <v>53</v>
      </c>
      <c r="T2042" s="10" t="s">
        <v>54</v>
      </c>
    </row>
    <row r="2043" spans="1:20" ht="14.5" x14ac:dyDescent="0.35">
      <c r="A2043" s="10" t="s">
        <v>15191</v>
      </c>
      <c r="B2043" s="10" t="str">
        <f>"9781475801989"</f>
        <v>9781475801989</v>
      </c>
      <c r="C2043" s="10" t="str">
        <f>"9781475801996"</f>
        <v>9781475801996</v>
      </c>
      <c r="D2043" s="10" t="s">
        <v>9752</v>
      </c>
      <c r="E2043" s="10" t="s">
        <v>15192</v>
      </c>
      <c r="F2043" s="10" t="s">
        <v>9754</v>
      </c>
      <c r="G2043" s="10" t="s">
        <v>6317</v>
      </c>
      <c r="H2043" s="11">
        <v>41264</v>
      </c>
      <c r="I2043" s="10">
        <v>2012</v>
      </c>
      <c r="J2043" s="10" t="s">
        <v>15192</v>
      </c>
      <c r="K2043" s="10">
        <v>130</v>
      </c>
      <c r="L2043" s="10" t="s">
        <v>15193</v>
      </c>
      <c r="M2043" s="10">
        <v>2</v>
      </c>
      <c r="N2043" s="10"/>
      <c r="O2043" s="10"/>
      <c r="P2043" s="10"/>
      <c r="Q2043" s="10"/>
      <c r="R2043" s="10" t="s">
        <v>15194</v>
      </c>
      <c r="S2043" s="10" t="s">
        <v>53</v>
      </c>
      <c r="T2043" s="10" t="s">
        <v>54</v>
      </c>
    </row>
    <row r="2044" spans="1:20" ht="14.5" x14ac:dyDescent="0.35">
      <c r="A2044" s="10" t="s">
        <v>15195</v>
      </c>
      <c r="B2044" s="10" t="str">
        <f>"9781578868353"</f>
        <v>9781578868353</v>
      </c>
      <c r="C2044" s="10" t="str">
        <f>"9781578868971"</f>
        <v>9781578868971</v>
      </c>
      <c r="D2044" s="10" t="s">
        <v>9752</v>
      </c>
      <c r="E2044" s="10" t="s">
        <v>15192</v>
      </c>
      <c r="F2044" s="10" t="s">
        <v>9754</v>
      </c>
      <c r="G2044" s="10" t="s">
        <v>6317</v>
      </c>
      <c r="H2044" s="11">
        <v>39674</v>
      </c>
      <c r="I2044" s="10">
        <v>2008</v>
      </c>
      <c r="J2044" s="10" t="s">
        <v>15192</v>
      </c>
      <c r="K2044" s="10">
        <v>208</v>
      </c>
      <c r="L2044" s="10" t="s">
        <v>15196</v>
      </c>
      <c r="M2044" s="10">
        <v>1</v>
      </c>
      <c r="N2044" s="10"/>
      <c r="O2044" s="10"/>
      <c r="P2044" s="10" t="s">
        <v>15197</v>
      </c>
      <c r="Q2044" s="10">
        <v>379.15809730000001</v>
      </c>
      <c r="R2044" s="10" t="s">
        <v>12187</v>
      </c>
      <c r="S2044" s="10" t="s">
        <v>53</v>
      </c>
      <c r="T2044" s="10" t="s">
        <v>54</v>
      </c>
    </row>
    <row r="2045" spans="1:20" ht="14.5" x14ac:dyDescent="0.35">
      <c r="A2045" s="10" t="s">
        <v>15198</v>
      </c>
      <c r="B2045" s="10" t="str">
        <f>"9781607092759"</f>
        <v>9781607092759</v>
      </c>
      <c r="C2045" s="10" t="str">
        <f>"9781607092766"</f>
        <v>9781607092766</v>
      </c>
      <c r="D2045" s="10" t="s">
        <v>9752</v>
      </c>
      <c r="E2045" s="10" t="s">
        <v>15192</v>
      </c>
      <c r="F2045" s="10" t="s">
        <v>9754</v>
      </c>
      <c r="G2045" s="10" t="s">
        <v>6317</v>
      </c>
      <c r="H2045" s="11">
        <v>40072</v>
      </c>
      <c r="I2045" s="10">
        <v>2009</v>
      </c>
      <c r="J2045" s="10" t="s">
        <v>15192</v>
      </c>
      <c r="K2045" s="10">
        <v>176</v>
      </c>
      <c r="L2045" s="10" t="s">
        <v>15199</v>
      </c>
      <c r="M2045" s="10">
        <v>1</v>
      </c>
      <c r="N2045" s="10"/>
      <c r="O2045" s="10"/>
      <c r="P2045" s="10" t="s">
        <v>15200</v>
      </c>
      <c r="Q2045" s="10">
        <v>371.01097299999998</v>
      </c>
      <c r="R2045" s="10" t="s">
        <v>15201</v>
      </c>
      <c r="S2045" s="10" t="s">
        <v>53</v>
      </c>
      <c r="T2045" s="10" t="s">
        <v>54</v>
      </c>
    </row>
    <row r="2046" spans="1:20" ht="14.5" x14ac:dyDescent="0.35">
      <c r="A2046" s="10" t="s">
        <v>15202</v>
      </c>
      <c r="B2046" s="10" t="str">
        <f>"9781607091073"</f>
        <v>9781607091073</v>
      </c>
      <c r="C2046" s="10" t="str">
        <f>"9781607091080"</f>
        <v>9781607091080</v>
      </c>
      <c r="D2046" s="10" t="s">
        <v>9752</v>
      </c>
      <c r="E2046" s="10" t="s">
        <v>15192</v>
      </c>
      <c r="F2046" s="10" t="s">
        <v>9754</v>
      </c>
      <c r="G2046" s="10" t="s">
        <v>6317</v>
      </c>
      <c r="H2046" s="11">
        <v>39949</v>
      </c>
      <c r="I2046" s="10">
        <v>2009</v>
      </c>
      <c r="J2046" s="10" t="s">
        <v>15192</v>
      </c>
      <c r="K2046" s="10">
        <v>232</v>
      </c>
      <c r="L2046" s="10" t="s">
        <v>15203</v>
      </c>
      <c r="M2046" s="10">
        <v>1</v>
      </c>
      <c r="N2046" s="10"/>
      <c r="O2046" s="10"/>
      <c r="P2046" s="10" t="s">
        <v>15204</v>
      </c>
      <c r="Q2046" s="10">
        <v>370.11709730000001</v>
      </c>
      <c r="R2046" s="10" t="s">
        <v>15205</v>
      </c>
      <c r="S2046" s="10" t="s">
        <v>53</v>
      </c>
      <c r="T2046" s="10" t="s">
        <v>54</v>
      </c>
    </row>
    <row r="2047" spans="1:20" ht="14.5" x14ac:dyDescent="0.35">
      <c r="A2047" s="10" t="s">
        <v>15206</v>
      </c>
      <c r="B2047" s="10" t="str">
        <f>"9780742561700"</f>
        <v>9780742561700</v>
      </c>
      <c r="C2047" s="10" t="str">
        <f>"9780742565760"</f>
        <v>9780742565760</v>
      </c>
      <c r="D2047" s="10" t="s">
        <v>15207</v>
      </c>
      <c r="E2047" s="10" t="s">
        <v>15187</v>
      </c>
      <c r="F2047" s="10" t="s">
        <v>9754</v>
      </c>
      <c r="G2047" s="10" t="s">
        <v>6317</v>
      </c>
      <c r="H2047" s="11">
        <v>39696</v>
      </c>
      <c r="I2047" s="10">
        <v>2008</v>
      </c>
      <c r="J2047" s="10" t="s">
        <v>15187</v>
      </c>
      <c r="K2047" s="10">
        <v>448</v>
      </c>
      <c r="L2047" s="10" t="s">
        <v>15208</v>
      </c>
      <c r="M2047" s="10">
        <v>1</v>
      </c>
      <c r="N2047" s="10"/>
      <c r="O2047" s="10"/>
      <c r="P2047" s="10" t="s">
        <v>15209</v>
      </c>
      <c r="Q2047" s="10">
        <v>371.10199999999998</v>
      </c>
      <c r="R2047" s="10" t="s">
        <v>12268</v>
      </c>
      <c r="S2047" s="10" t="s">
        <v>53</v>
      </c>
      <c r="T2047" s="10" t="s">
        <v>54</v>
      </c>
    </row>
    <row r="2048" spans="1:20" ht="14.5" x14ac:dyDescent="0.35">
      <c r="A2048" s="10" t="s">
        <v>15210</v>
      </c>
      <c r="B2048" s="10" t="str">
        <f>"9780742561892"</f>
        <v>9780742561892</v>
      </c>
      <c r="C2048" s="10" t="str">
        <f>"9780742564657"</f>
        <v>9780742564657</v>
      </c>
      <c r="D2048" s="10" t="s">
        <v>9752</v>
      </c>
      <c r="E2048" s="10" t="s">
        <v>15187</v>
      </c>
      <c r="F2048" s="10" t="s">
        <v>9754</v>
      </c>
      <c r="G2048" s="10" t="s">
        <v>6317</v>
      </c>
      <c r="H2048" s="11">
        <v>39829</v>
      </c>
      <c r="I2048" s="10">
        <v>2008</v>
      </c>
      <c r="J2048" s="10" t="s">
        <v>15187</v>
      </c>
      <c r="K2048" s="10">
        <v>264</v>
      </c>
      <c r="L2048" s="10" t="s">
        <v>15211</v>
      </c>
      <c r="M2048" s="10">
        <v>1</v>
      </c>
      <c r="N2048" s="10"/>
      <c r="O2048" s="10"/>
      <c r="P2048" s="10" t="s">
        <v>15212</v>
      </c>
      <c r="Q2048" s="10">
        <v>370.1</v>
      </c>
      <c r="R2048" s="10" t="s">
        <v>15213</v>
      </c>
      <c r="S2048" s="10" t="s">
        <v>53</v>
      </c>
      <c r="T2048" s="10" t="s">
        <v>54</v>
      </c>
    </row>
    <row r="2049" spans="1:20" ht="14.5" x14ac:dyDescent="0.35">
      <c r="A2049" s="10" t="s">
        <v>15214</v>
      </c>
      <c r="B2049" s="10" t="str">
        <f>"9781578868605"</f>
        <v>9781578868605</v>
      </c>
      <c r="C2049" s="10" t="str">
        <f>"9781578868827"</f>
        <v>9781578868827</v>
      </c>
      <c r="D2049" s="10" t="s">
        <v>9752</v>
      </c>
      <c r="E2049" s="10" t="s">
        <v>15192</v>
      </c>
      <c r="F2049" s="10" t="s">
        <v>9754</v>
      </c>
      <c r="G2049" s="10" t="s">
        <v>6317</v>
      </c>
      <c r="H2049" s="11">
        <v>39798</v>
      </c>
      <c r="I2049" s="10">
        <v>2008</v>
      </c>
      <c r="J2049" s="10" t="s">
        <v>15192</v>
      </c>
      <c r="K2049" s="10">
        <v>220</v>
      </c>
      <c r="L2049" s="10" t="s">
        <v>15215</v>
      </c>
      <c r="M2049" s="10">
        <v>1</v>
      </c>
      <c r="N2049" s="10"/>
      <c r="O2049" s="10"/>
      <c r="P2049" s="10" t="s">
        <v>15216</v>
      </c>
      <c r="Q2049" s="10">
        <v>371.20092</v>
      </c>
      <c r="R2049" s="10" t="s">
        <v>15217</v>
      </c>
      <c r="S2049" s="10" t="s">
        <v>53</v>
      </c>
      <c r="T2049" s="10" t="s">
        <v>54</v>
      </c>
    </row>
    <row r="2050" spans="1:20" ht="14.5" x14ac:dyDescent="0.35">
      <c r="A2050" s="10" t="s">
        <v>15218</v>
      </c>
      <c r="B2050" s="10" t="str">
        <f>"9781607091219"</f>
        <v>9781607091219</v>
      </c>
      <c r="C2050" s="10" t="str">
        <f>"9781607091233"</f>
        <v>9781607091233</v>
      </c>
      <c r="D2050" s="10" t="s">
        <v>9752</v>
      </c>
      <c r="E2050" s="10" t="s">
        <v>15192</v>
      </c>
      <c r="F2050" s="10" t="s">
        <v>9754</v>
      </c>
      <c r="G2050" s="10" t="s">
        <v>6317</v>
      </c>
      <c r="H2050" s="11">
        <v>39888</v>
      </c>
      <c r="I2050" s="10">
        <v>2009</v>
      </c>
      <c r="J2050" s="10" t="s">
        <v>15192</v>
      </c>
      <c r="K2050" s="10">
        <v>122</v>
      </c>
      <c r="L2050" s="10" t="s">
        <v>15219</v>
      </c>
      <c r="M2050" s="10">
        <v>1</v>
      </c>
      <c r="N2050" s="10"/>
      <c r="O2050" s="10"/>
      <c r="P2050" s="10" t="s">
        <v>15220</v>
      </c>
      <c r="Q2050" s="10" t="s">
        <v>15221</v>
      </c>
      <c r="R2050" s="10" t="s">
        <v>15222</v>
      </c>
      <c r="S2050" s="10" t="s">
        <v>53</v>
      </c>
      <c r="T2050" s="10" t="s">
        <v>6384</v>
      </c>
    </row>
    <row r="2051" spans="1:20" ht="14.5" x14ac:dyDescent="0.35">
      <c r="A2051" s="10" t="s">
        <v>15223</v>
      </c>
      <c r="B2051" s="10" t="str">
        <f>"9780739134313"</f>
        <v>9780739134313</v>
      </c>
      <c r="C2051" s="10" t="str">
        <f>"9780739134337"</f>
        <v>9780739134337</v>
      </c>
      <c r="D2051" s="10" t="s">
        <v>9752</v>
      </c>
      <c r="E2051" s="10" t="s">
        <v>15182</v>
      </c>
      <c r="F2051" s="10" t="s">
        <v>15224</v>
      </c>
      <c r="G2051" s="10" t="s">
        <v>6317</v>
      </c>
      <c r="H2051" s="11">
        <v>40010</v>
      </c>
      <c r="I2051" s="10">
        <v>2009</v>
      </c>
      <c r="J2051" s="10" t="s">
        <v>15182</v>
      </c>
      <c r="K2051" s="10">
        <v>306</v>
      </c>
      <c r="L2051" s="10" t="s">
        <v>15225</v>
      </c>
      <c r="M2051" s="10">
        <v>1</v>
      </c>
      <c r="N2051" s="10"/>
      <c r="O2051" s="10"/>
      <c r="P2051" s="10" t="s">
        <v>15226</v>
      </c>
      <c r="Q2051" s="10" t="s">
        <v>13084</v>
      </c>
      <c r="R2051" s="10" t="s">
        <v>15227</v>
      </c>
      <c r="S2051" s="10" t="s">
        <v>53</v>
      </c>
      <c r="T2051" s="10" t="s">
        <v>54</v>
      </c>
    </row>
    <row r="2052" spans="1:20" ht="14.5" x14ac:dyDescent="0.35">
      <c r="A2052" s="10" t="s">
        <v>15228</v>
      </c>
      <c r="B2052" s="10" t="str">
        <f>"9789004158764"</f>
        <v>9789004158764</v>
      </c>
      <c r="C2052" s="10" t="str">
        <f>"9789047420781"</f>
        <v>9789047420781</v>
      </c>
      <c r="D2052" s="10" t="s">
        <v>8564</v>
      </c>
      <c r="E2052" s="10" t="s">
        <v>8565</v>
      </c>
      <c r="F2052" s="10" t="s">
        <v>1420</v>
      </c>
      <c r="G2052" s="10" t="s">
        <v>6317</v>
      </c>
      <c r="H2052" s="11">
        <v>39255</v>
      </c>
      <c r="I2052" s="10">
        <v>2007</v>
      </c>
      <c r="J2052" s="10" t="s">
        <v>8565</v>
      </c>
      <c r="K2052" s="10">
        <v>381</v>
      </c>
      <c r="L2052" s="10" t="s">
        <v>15229</v>
      </c>
      <c r="M2052" s="10">
        <v>1</v>
      </c>
      <c r="N2052" s="10" t="s">
        <v>10126</v>
      </c>
      <c r="O2052" s="10">
        <v>30</v>
      </c>
      <c r="P2052" s="10" t="s">
        <v>15230</v>
      </c>
      <c r="Q2052" s="10"/>
      <c r="R2052" s="10" t="s">
        <v>15231</v>
      </c>
      <c r="S2052" s="10" t="s">
        <v>5404</v>
      </c>
      <c r="T2052" s="10" t="s">
        <v>54</v>
      </c>
    </row>
    <row r="2053" spans="1:20" ht="14.5" x14ac:dyDescent="0.35">
      <c r="A2053" s="10" t="s">
        <v>15232</v>
      </c>
      <c r="B2053" s="10" t="str">
        <f>"9789004171039"</f>
        <v>9789004171039</v>
      </c>
      <c r="C2053" s="10" t="str">
        <f>"9789047424345"</f>
        <v>9789047424345</v>
      </c>
      <c r="D2053" s="10" t="s">
        <v>8564</v>
      </c>
      <c r="E2053" s="10" t="s">
        <v>8565</v>
      </c>
      <c r="F2053" s="10" t="s">
        <v>1420</v>
      </c>
      <c r="G2053" s="10" t="s">
        <v>6317</v>
      </c>
      <c r="H2053" s="11">
        <v>39867</v>
      </c>
      <c r="I2053" s="10">
        <v>2009</v>
      </c>
      <c r="J2053" s="10" t="s">
        <v>8565</v>
      </c>
      <c r="K2053" s="10">
        <v>636</v>
      </c>
      <c r="L2053" s="10" t="s">
        <v>15233</v>
      </c>
      <c r="M2053" s="10">
        <v>1</v>
      </c>
      <c r="N2053" s="10" t="s">
        <v>15234</v>
      </c>
      <c r="O2053" s="10">
        <v>106</v>
      </c>
      <c r="P2053" s="10" t="s">
        <v>15235</v>
      </c>
      <c r="Q2053" s="10">
        <v>297.2</v>
      </c>
      <c r="R2053" s="10" t="s">
        <v>15236</v>
      </c>
      <c r="S2053" s="10" t="s">
        <v>53</v>
      </c>
      <c r="T2053" s="10" t="s">
        <v>8346</v>
      </c>
    </row>
    <row r="2054" spans="1:20" ht="14.5" x14ac:dyDescent="0.35">
      <c r="A2054" s="10" t="s">
        <v>15237</v>
      </c>
      <c r="B2054" s="10" t="str">
        <f>"9789004162563"</f>
        <v>9789004162563</v>
      </c>
      <c r="C2054" s="10" t="str">
        <f>"9789047422679"</f>
        <v>9789047422679</v>
      </c>
      <c r="D2054" s="10" t="s">
        <v>8564</v>
      </c>
      <c r="E2054" s="10" t="s">
        <v>8565</v>
      </c>
      <c r="F2054" s="10" t="s">
        <v>1420</v>
      </c>
      <c r="G2054" s="10" t="s">
        <v>6317</v>
      </c>
      <c r="H2054" s="11">
        <v>39399</v>
      </c>
      <c r="I2054" s="10">
        <v>2007</v>
      </c>
      <c r="J2054" s="10" t="s">
        <v>8565</v>
      </c>
      <c r="K2054" s="10">
        <v>225</v>
      </c>
      <c r="L2054" s="10" t="s">
        <v>15238</v>
      </c>
      <c r="M2054" s="10">
        <v>1</v>
      </c>
      <c r="N2054" s="10"/>
      <c r="O2054" s="10"/>
      <c r="P2054" s="10" t="s">
        <v>15239</v>
      </c>
      <c r="Q2054" s="10">
        <v>1.3070999999999999</v>
      </c>
      <c r="R2054" s="10"/>
      <c r="S2054" s="10" t="s">
        <v>53</v>
      </c>
      <c r="T2054" s="10" t="s">
        <v>6601</v>
      </c>
    </row>
    <row r="2055" spans="1:20" ht="14.5" x14ac:dyDescent="0.35">
      <c r="A2055" s="10" t="s">
        <v>15240</v>
      </c>
      <c r="B2055" s="10" t="str">
        <f>"9789004161689"</f>
        <v>9789004161689</v>
      </c>
      <c r="C2055" s="10" t="str">
        <f>"9789047423300"</f>
        <v>9789047423300</v>
      </c>
      <c r="D2055" s="10" t="s">
        <v>8564</v>
      </c>
      <c r="E2055" s="10" t="s">
        <v>8565</v>
      </c>
      <c r="F2055" s="10" t="s">
        <v>1420</v>
      </c>
      <c r="G2055" s="10" t="s">
        <v>6317</v>
      </c>
      <c r="H2055" s="11">
        <v>39412</v>
      </c>
      <c r="I2055" s="10">
        <v>2007</v>
      </c>
      <c r="J2055" s="10" t="s">
        <v>8565</v>
      </c>
      <c r="K2055" s="10">
        <v>252</v>
      </c>
      <c r="L2055" s="10" t="s">
        <v>15241</v>
      </c>
      <c r="M2055" s="10">
        <v>1</v>
      </c>
      <c r="N2055" s="10" t="s">
        <v>15242</v>
      </c>
      <c r="O2055" s="10">
        <v>11</v>
      </c>
      <c r="P2055" s="10" t="s">
        <v>15243</v>
      </c>
      <c r="Q2055" s="10" t="s">
        <v>7397</v>
      </c>
      <c r="R2055" s="10" t="s">
        <v>15244</v>
      </c>
      <c r="S2055" s="10" t="s">
        <v>53</v>
      </c>
      <c r="T2055" s="10" t="s">
        <v>6363</v>
      </c>
    </row>
    <row r="2056" spans="1:20" ht="14.5" x14ac:dyDescent="0.35">
      <c r="A2056" s="10" t="s">
        <v>15245</v>
      </c>
      <c r="B2056" s="10" t="str">
        <f>""</f>
        <v/>
      </c>
      <c r="C2056" s="10" t="str">
        <f>"9780470553961"</f>
        <v>9780470553961</v>
      </c>
      <c r="D2056" s="10" t="s">
        <v>6322</v>
      </c>
      <c r="E2056" s="10" t="s">
        <v>6323</v>
      </c>
      <c r="F2056" s="10" t="s">
        <v>4423</v>
      </c>
      <c r="G2056" s="10" t="s">
        <v>6317</v>
      </c>
      <c r="H2056" s="11">
        <v>40156</v>
      </c>
      <c r="I2056" s="10">
        <v>2009</v>
      </c>
      <c r="J2056" s="10" t="s">
        <v>6324</v>
      </c>
      <c r="K2056" s="10">
        <v>211</v>
      </c>
      <c r="L2056" s="10" t="s">
        <v>15246</v>
      </c>
      <c r="M2056" s="10">
        <v>1</v>
      </c>
      <c r="N2056" s="10"/>
      <c r="O2056" s="10"/>
      <c r="P2056" s="10" t="s">
        <v>15247</v>
      </c>
      <c r="Q2056" s="10">
        <v>370.71550000000002</v>
      </c>
      <c r="R2056" s="10" t="s">
        <v>15248</v>
      </c>
      <c r="S2056" s="10" t="s">
        <v>53</v>
      </c>
      <c r="T2056" s="10" t="s">
        <v>54</v>
      </c>
    </row>
    <row r="2057" spans="1:20" ht="14.5" x14ac:dyDescent="0.35">
      <c r="A2057" s="10" t="s">
        <v>15249</v>
      </c>
      <c r="B2057" s="10" t="str">
        <f>""</f>
        <v/>
      </c>
      <c r="C2057" s="10" t="str">
        <f>"9780470579947"</f>
        <v>9780470579947</v>
      </c>
      <c r="D2057" s="10" t="s">
        <v>6322</v>
      </c>
      <c r="E2057" s="10" t="s">
        <v>6323</v>
      </c>
      <c r="F2057" s="10" t="s">
        <v>4423</v>
      </c>
      <c r="G2057" s="10" t="s">
        <v>6317</v>
      </c>
      <c r="H2057" s="11">
        <v>40149</v>
      </c>
      <c r="I2057" s="10">
        <v>2010</v>
      </c>
      <c r="J2057" s="10" t="s">
        <v>6324</v>
      </c>
      <c r="K2057" s="10">
        <v>336</v>
      </c>
      <c r="L2057" s="10" t="s">
        <v>15250</v>
      </c>
      <c r="M2057" s="10">
        <v>1</v>
      </c>
      <c r="N2057" s="10"/>
      <c r="O2057" s="10"/>
      <c r="P2057" s="10" t="s">
        <v>15251</v>
      </c>
      <c r="Q2057" s="10" t="s">
        <v>15252</v>
      </c>
      <c r="R2057" s="10" t="s">
        <v>15253</v>
      </c>
      <c r="S2057" s="10" t="s">
        <v>53</v>
      </c>
      <c r="T2057" s="10" t="s">
        <v>54</v>
      </c>
    </row>
    <row r="2058" spans="1:20" ht="14.5" x14ac:dyDescent="0.35">
      <c r="A2058" s="10" t="s">
        <v>15254</v>
      </c>
      <c r="B2058" s="10" t="str">
        <f>"9780471652519"</f>
        <v>9780471652519</v>
      </c>
      <c r="C2058" s="10" t="str">
        <f>"9780471232186"</f>
        <v>9780471232186</v>
      </c>
      <c r="D2058" s="10" t="s">
        <v>6322</v>
      </c>
      <c r="E2058" s="10" t="s">
        <v>6323</v>
      </c>
      <c r="F2058" s="10" t="s">
        <v>4423</v>
      </c>
      <c r="G2058" s="10" t="s">
        <v>6317</v>
      </c>
      <c r="H2058" s="11">
        <v>37243</v>
      </c>
      <c r="I2058" s="10">
        <v>2002</v>
      </c>
      <c r="J2058" s="10" t="s">
        <v>6323</v>
      </c>
      <c r="K2058" s="10">
        <v>1082</v>
      </c>
      <c r="L2058" s="10" t="s">
        <v>15255</v>
      </c>
      <c r="M2058" s="10">
        <v>2</v>
      </c>
      <c r="N2058" s="10"/>
      <c r="O2058" s="10"/>
      <c r="P2058" s="10" t="s">
        <v>15256</v>
      </c>
      <c r="Q2058" s="10" t="s">
        <v>15257</v>
      </c>
      <c r="R2058" s="10" t="s">
        <v>15258</v>
      </c>
      <c r="S2058" s="10" t="s">
        <v>53</v>
      </c>
      <c r="T2058" s="10" t="s">
        <v>54</v>
      </c>
    </row>
    <row r="2059" spans="1:20" ht="14.5" x14ac:dyDescent="0.35">
      <c r="A2059" s="10" t="s">
        <v>15259</v>
      </c>
      <c r="B2059" s="10" t="str">
        <f>"9780470462737"</f>
        <v>9780470462737</v>
      </c>
      <c r="C2059" s="10" t="str">
        <f>"9780470506721"</f>
        <v>9780470506721</v>
      </c>
      <c r="D2059" s="10" t="s">
        <v>6322</v>
      </c>
      <c r="E2059" s="10" t="s">
        <v>15260</v>
      </c>
      <c r="F2059" s="10" t="s">
        <v>1168</v>
      </c>
      <c r="G2059" s="10" t="s">
        <v>6317</v>
      </c>
      <c r="H2059" s="11">
        <v>40098</v>
      </c>
      <c r="I2059" s="10">
        <v>2009</v>
      </c>
      <c r="J2059" s="10" t="s">
        <v>15260</v>
      </c>
      <c r="K2059" s="10">
        <v>576</v>
      </c>
      <c r="L2059" s="10" t="s">
        <v>15261</v>
      </c>
      <c r="M2059" s="10">
        <v>1</v>
      </c>
      <c r="N2059" s="10"/>
      <c r="O2059" s="10"/>
      <c r="P2059" s="10" t="s">
        <v>15262</v>
      </c>
      <c r="Q2059" s="10" t="s">
        <v>15263</v>
      </c>
      <c r="R2059" s="10" t="s">
        <v>15264</v>
      </c>
      <c r="S2059" s="10" t="s">
        <v>53</v>
      </c>
      <c r="T2059" s="10" t="s">
        <v>54</v>
      </c>
    </row>
    <row r="2060" spans="1:20" ht="14.5" x14ac:dyDescent="0.35">
      <c r="A2060" s="10" t="s">
        <v>15265</v>
      </c>
      <c r="B2060" s="10" t="str">
        <f>"9780470453643"</f>
        <v>9780470453643</v>
      </c>
      <c r="C2060" s="10" t="str">
        <f>"9780470615461"</f>
        <v>9780470615461</v>
      </c>
      <c r="D2060" s="10" t="s">
        <v>6322</v>
      </c>
      <c r="E2060" s="10" t="s">
        <v>6323</v>
      </c>
      <c r="F2060" s="10" t="s">
        <v>1168</v>
      </c>
      <c r="G2060" s="10" t="s">
        <v>6317</v>
      </c>
      <c r="H2060" s="11">
        <v>40105</v>
      </c>
      <c r="I2060" s="10">
        <v>2010</v>
      </c>
      <c r="J2060" s="10" t="s">
        <v>6324</v>
      </c>
      <c r="K2060" s="10">
        <v>386</v>
      </c>
      <c r="L2060" s="10" t="s">
        <v>15266</v>
      </c>
      <c r="M2060" s="10">
        <v>3</v>
      </c>
      <c r="N2060" s="10" t="s">
        <v>15267</v>
      </c>
      <c r="O2060" s="10">
        <v>170</v>
      </c>
      <c r="P2060" s="10" t="s">
        <v>15268</v>
      </c>
      <c r="Q2060" s="10">
        <v>371.10239999999999</v>
      </c>
      <c r="R2060" s="10" t="s">
        <v>15269</v>
      </c>
      <c r="S2060" s="10" t="s">
        <v>53</v>
      </c>
      <c r="T2060" s="10" t="s">
        <v>54</v>
      </c>
    </row>
    <row r="2061" spans="1:20" ht="14.5" x14ac:dyDescent="0.35">
      <c r="A2061" s="10" t="s">
        <v>15270</v>
      </c>
      <c r="B2061" s="10" t="str">
        <f>"9780470193211"</f>
        <v>9780470193211</v>
      </c>
      <c r="C2061" s="10" t="str">
        <f>"9780470615546"</f>
        <v>9780470615546</v>
      </c>
      <c r="D2061" s="10" t="s">
        <v>6322</v>
      </c>
      <c r="E2061" s="10" t="s">
        <v>6323</v>
      </c>
      <c r="F2061" s="10" t="s">
        <v>4423</v>
      </c>
      <c r="G2061" s="10" t="s">
        <v>6317</v>
      </c>
      <c r="H2061" s="11">
        <v>40098</v>
      </c>
      <c r="I2061" s="10">
        <v>2010</v>
      </c>
      <c r="J2061" s="10" t="s">
        <v>6324</v>
      </c>
      <c r="K2061" s="10">
        <v>336</v>
      </c>
      <c r="L2061" s="10" t="s">
        <v>15271</v>
      </c>
      <c r="M2061" s="10">
        <v>1</v>
      </c>
      <c r="N2061" s="10"/>
      <c r="O2061" s="10"/>
      <c r="P2061" s="10" t="s">
        <v>15272</v>
      </c>
      <c r="Q2061" s="10"/>
      <c r="R2061" s="10" t="s">
        <v>15273</v>
      </c>
      <c r="S2061" s="10" t="s">
        <v>53</v>
      </c>
      <c r="T2061" s="10" t="s">
        <v>54</v>
      </c>
    </row>
    <row r="2062" spans="1:20" ht="14.5" x14ac:dyDescent="0.35">
      <c r="A2062" s="10" t="s">
        <v>15274</v>
      </c>
      <c r="B2062" s="10" t="str">
        <f>"9780470021231"</f>
        <v>9780470021231</v>
      </c>
      <c r="C2062" s="10" t="str">
        <f>"9780470021248"</f>
        <v>9780470021248</v>
      </c>
      <c r="D2062" s="10" t="s">
        <v>6322</v>
      </c>
      <c r="E2062" s="10" t="s">
        <v>6323</v>
      </c>
      <c r="F2062" s="10" t="s">
        <v>4423</v>
      </c>
      <c r="G2062" s="10" t="s">
        <v>6352</v>
      </c>
      <c r="H2062" s="11">
        <v>38303</v>
      </c>
      <c r="I2062" s="10">
        <v>2005</v>
      </c>
      <c r="J2062" s="10" t="s">
        <v>6323</v>
      </c>
      <c r="K2062" s="10">
        <v>289</v>
      </c>
      <c r="L2062" s="10" t="s">
        <v>15275</v>
      </c>
      <c r="M2062" s="10">
        <v>1</v>
      </c>
      <c r="N2062" s="10" t="s">
        <v>15276</v>
      </c>
      <c r="O2062" s="10">
        <v>4</v>
      </c>
      <c r="P2062" s="10" t="s">
        <v>15277</v>
      </c>
      <c r="Q2062" s="10">
        <v>616.85209999999995</v>
      </c>
      <c r="R2062" s="10" t="s">
        <v>15278</v>
      </c>
      <c r="S2062" s="10" t="s">
        <v>53</v>
      </c>
      <c r="T2062" s="10" t="s">
        <v>8681</v>
      </c>
    </row>
    <row r="2063" spans="1:20" ht="14.5" x14ac:dyDescent="0.35">
      <c r="A2063" s="10" t="s">
        <v>15279</v>
      </c>
      <c r="B2063" s="10" t="str">
        <f>"9780470246719"</f>
        <v>9780470246719</v>
      </c>
      <c r="C2063" s="10" t="str">
        <f>"9780470615577"</f>
        <v>9780470615577</v>
      </c>
      <c r="D2063" s="10" t="s">
        <v>6322</v>
      </c>
      <c r="E2063" s="10" t="s">
        <v>6323</v>
      </c>
      <c r="F2063" s="10" t="s">
        <v>1168</v>
      </c>
      <c r="G2063" s="10" t="s">
        <v>6317</v>
      </c>
      <c r="H2063" s="11">
        <v>40126</v>
      </c>
      <c r="I2063" s="10">
        <v>2010</v>
      </c>
      <c r="J2063" s="10" t="s">
        <v>6324</v>
      </c>
      <c r="K2063" s="10">
        <v>179</v>
      </c>
      <c r="L2063" s="10" t="s">
        <v>15280</v>
      </c>
      <c r="M2063" s="10">
        <v>1</v>
      </c>
      <c r="N2063" s="10"/>
      <c r="O2063" s="10"/>
      <c r="P2063" s="10" t="s">
        <v>15281</v>
      </c>
      <c r="Q2063" s="10">
        <v>371.94</v>
      </c>
      <c r="R2063" s="10" t="s">
        <v>15282</v>
      </c>
      <c r="S2063" s="10" t="s">
        <v>53</v>
      </c>
      <c r="T2063" s="10" t="s">
        <v>54</v>
      </c>
    </row>
    <row r="2064" spans="1:20" ht="14.5" x14ac:dyDescent="0.35">
      <c r="A2064" s="10" t="s">
        <v>15283</v>
      </c>
      <c r="B2064" s="10" t="str">
        <f>"9780470025642"</f>
        <v>9780470025642</v>
      </c>
      <c r="C2064" s="10" t="str">
        <f>"9780470519615"</f>
        <v>9780470519615</v>
      </c>
      <c r="D2064" s="10" t="s">
        <v>6322</v>
      </c>
      <c r="E2064" s="10" t="s">
        <v>6323</v>
      </c>
      <c r="F2064" s="10" t="s">
        <v>4423</v>
      </c>
      <c r="G2064" s="10" t="s">
        <v>6352</v>
      </c>
      <c r="H2064" s="11">
        <v>39497</v>
      </c>
      <c r="I2064" s="10">
        <v>2007</v>
      </c>
      <c r="J2064" s="10" t="s">
        <v>15284</v>
      </c>
      <c r="K2064" s="10">
        <v>279</v>
      </c>
      <c r="L2064" s="10" t="s">
        <v>15285</v>
      </c>
      <c r="M2064" s="10">
        <v>1</v>
      </c>
      <c r="N2064" s="10"/>
      <c r="O2064" s="10"/>
      <c r="P2064" s="10" t="s">
        <v>15286</v>
      </c>
      <c r="Q2064" s="10">
        <v>615.85149999999999</v>
      </c>
      <c r="R2064" s="10" t="s">
        <v>15287</v>
      </c>
      <c r="S2064" s="10" t="s">
        <v>53</v>
      </c>
      <c r="T2064" s="10" t="s">
        <v>8625</v>
      </c>
    </row>
    <row r="2065" spans="1:20" ht="14.5" x14ac:dyDescent="0.35">
      <c r="A2065" s="10" t="s">
        <v>15288</v>
      </c>
      <c r="B2065" s="10" t="str">
        <f>"9780520243705"</f>
        <v>9780520243705</v>
      </c>
      <c r="C2065" s="10" t="str">
        <f>"9780520944411"</f>
        <v>9780520944411</v>
      </c>
      <c r="D2065" s="10" t="s">
        <v>8512</v>
      </c>
      <c r="E2065" s="10" t="s">
        <v>8512</v>
      </c>
      <c r="F2065" s="10" t="s">
        <v>717</v>
      </c>
      <c r="G2065" s="10" t="s">
        <v>6317</v>
      </c>
      <c r="H2065" s="11">
        <v>40182</v>
      </c>
      <c r="I2065" s="10">
        <v>2010</v>
      </c>
      <c r="J2065" s="10" t="s">
        <v>8512</v>
      </c>
      <c r="K2065" s="10">
        <v>275</v>
      </c>
      <c r="L2065" s="10" t="s">
        <v>15289</v>
      </c>
      <c r="M2065" s="10">
        <v>1</v>
      </c>
      <c r="N2065" s="10" t="s">
        <v>15290</v>
      </c>
      <c r="O2065" s="10">
        <v>28</v>
      </c>
      <c r="P2065" s="10" t="s">
        <v>15291</v>
      </c>
      <c r="Q2065" s="10" t="s">
        <v>15292</v>
      </c>
      <c r="R2065" s="10" t="s">
        <v>15293</v>
      </c>
      <c r="S2065" s="10" t="s">
        <v>53</v>
      </c>
      <c r="T2065" s="10" t="s">
        <v>54</v>
      </c>
    </row>
    <row r="2066" spans="1:20" ht="14.5" x14ac:dyDescent="0.35">
      <c r="A2066" s="10" t="s">
        <v>15294</v>
      </c>
      <c r="B2066" s="10" t="str">
        <f>"9780875867267"</f>
        <v>9780875867267</v>
      </c>
      <c r="C2066" s="10" t="str">
        <f>"9780875867281"</f>
        <v>9780875867281</v>
      </c>
      <c r="D2066" s="10" t="s">
        <v>11686</v>
      </c>
      <c r="E2066" s="10" t="s">
        <v>11686</v>
      </c>
      <c r="F2066" s="10" t="s">
        <v>70</v>
      </c>
      <c r="G2066" s="10" t="s">
        <v>6317</v>
      </c>
      <c r="H2066" s="11">
        <v>40040</v>
      </c>
      <c r="I2066" s="10">
        <v>2009</v>
      </c>
      <c r="J2066" s="10" t="s">
        <v>11686</v>
      </c>
      <c r="K2066" s="10">
        <v>195</v>
      </c>
      <c r="L2066" s="10" t="s">
        <v>15295</v>
      </c>
      <c r="M2066" s="10">
        <v>1</v>
      </c>
      <c r="N2066" s="10"/>
      <c r="O2066" s="10"/>
      <c r="P2066" s="10" t="s">
        <v>15296</v>
      </c>
      <c r="Q2066" s="10">
        <v>370.92</v>
      </c>
      <c r="R2066" s="10" t="s">
        <v>15297</v>
      </c>
      <c r="S2066" s="10" t="s">
        <v>53</v>
      </c>
      <c r="T2066" s="10" t="s">
        <v>54</v>
      </c>
    </row>
    <row r="2067" spans="1:20" ht="14.5" x14ac:dyDescent="0.35">
      <c r="A2067" s="10" t="s">
        <v>15298</v>
      </c>
      <c r="B2067" s="10" t="str">
        <f>"9781848558823"</f>
        <v>9781848558823</v>
      </c>
      <c r="C2067" s="10" t="str">
        <f>"9781848558830"</f>
        <v>9781848558830</v>
      </c>
      <c r="D2067" s="10" t="s">
        <v>8699</v>
      </c>
      <c r="E2067" s="10" t="s">
        <v>8699</v>
      </c>
      <c r="F2067" s="10" t="s">
        <v>559</v>
      </c>
      <c r="G2067" s="10" t="s">
        <v>6352</v>
      </c>
      <c r="H2067" s="11">
        <v>40057</v>
      </c>
      <c r="I2067" s="10">
        <v>2009</v>
      </c>
      <c r="J2067" s="10" t="s">
        <v>8699</v>
      </c>
      <c r="K2067" s="10">
        <v>276</v>
      </c>
      <c r="L2067" s="10" t="s">
        <v>15299</v>
      </c>
      <c r="M2067" s="10">
        <v>1</v>
      </c>
      <c r="N2067" s="10" t="s">
        <v>15300</v>
      </c>
      <c r="O2067" s="10">
        <v>10</v>
      </c>
      <c r="P2067" s="10" t="s">
        <v>15301</v>
      </c>
      <c r="Q2067" s="10"/>
      <c r="R2067" s="10" t="s">
        <v>15302</v>
      </c>
      <c r="S2067" s="10" t="s">
        <v>53</v>
      </c>
      <c r="T2067" s="10" t="s">
        <v>6660</v>
      </c>
    </row>
    <row r="2068" spans="1:20" ht="14.5" x14ac:dyDescent="0.35">
      <c r="A2068" s="10" t="s">
        <v>15303</v>
      </c>
      <c r="B2068" s="10" t="str">
        <f>"9781606235362"</f>
        <v>9781606235362</v>
      </c>
      <c r="C2068" s="10" t="str">
        <f>"9781606235386"</f>
        <v>9781606235386</v>
      </c>
      <c r="D2068" s="10" t="s">
        <v>11213</v>
      </c>
      <c r="E2068" s="10" t="s">
        <v>11214</v>
      </c>
      <c r="F2068" s="10" t="s">
        <v>70</v>
      </c>
      <c r="G2068" s="10" t="s">
        <v>6317</v>
      </c>
      <c r="H2068" s="11">
        <v>40213</v>
      </c>
      <c r="I2068" s="10">
        <v>2010</v>
      </c>
      <c r="J2068" s="10" t="s">
        <v>11215</v>
      </c>
      <c r="K2068" s="10">
        <v>225</v>
      </c>
      <c r="L2068" s="10" t="s">
        <v>15304</v>
      </c>
      <c r="M2068" s="10">
        <v>1</v>
      </c>
      <c r="N2068" s="10"/>
      <c r="O2068" s="10"/>
      <c r="P2068" s="10" t="s">
        <v>15305</v>
      </c>
      <c r="Q2068" s="10" t="s">
        <v>15306</v>
      </c>
      <c r="R2068" s="10" t="s">
        <v>15307</v>
      </c>
      <c r="S2068" s="10" t="s">
        <v>53</v>
      </c>
      <c r="T2068" s="10" t="s">
        <v>54</v>
      </c>
    </row>
    <row r="2069" spans="1:20" ht="14.5" x14ac:dyDescent="0.35">
      <c r="A2069" s="10" t="s">
        <v>15308</v>
      </c>
      <c r="B2069" s="10" t="str">
        <f>"9781606235393"</f>
        <v>9781606235393</v>
      </c>
      <c r="C2069" s="10" t="str">
        <f>"9781606235416"</f>
        <v>9781606235416</v>
      </c>
      <c r="D2069" s="10" t="s">
        <v>11213</v>
      </c>
      <c r="E2069" s="10" t="s">
        <v>11214</v>
      </c>
      <c r="F2069" s="10" t="s">
        <v>70</v>
      </c>
      <c r="G2069" s="10" t="s">
        <v>6317</v>
      </c>
      <c r="H2069" s="11">
        <v>40191</v>
      </c>
      <c r="I2069" s="10">
        <v>2010</v>
      </c>
      <c r="J2069" s="10" t="s">
        <v>11215</v>
      </c>
      <c r="K2069" s="10">
        <v>281</v>
      </c>
      <c r="L2069" s="10" t="s">
        <v>15309</v>
      </c>
      <c r="M2069" s="10">
        <v>1</v>
      </c>
      <c r="N2069" s="10" t="s">
        <v>11708</v>
      </c>
      <c r="O2069" s="10"/>
      <c r="P2069" s="10" t="s">
        <v>15310</v>
      </c>
      <c r="Q2069" s="10" t="s">
        <v>6785</v>
      </c>
      <c r="R2069" s="10" t="s">
        <v>15311</v>
      </c>
      <c r="S2069" s="10" t="s">
        <v>53</v>
      </c>
      <c r="T2069" s="10" t="s">
        <v>54</v>
      </c>
    </row>
    <row r="2070" spans="1:20" ht="14.5" x14ac:dyDescent="0.35">
      <c r="A2070" s="10" t="s">
        <v>15312</v>
      </c>
      <c r="B2070" s="10" t="str">
        <f>"9781592137404"</f>
        <v>9781592137404</v>
      </c>
      <c r="C2070" s="10" t="str">
        <f>"9781282311022"</f>
        <v>9781282311022</v>
      </c>
      <c r="D2070" s="10" t="s">
        <v>11120</v>
      </c>
      <c r="E2070" s="10" t="s">
        <v>11120</v>
      </c>
      <c r="F2070" s="10" t="s">
        <v>319</v>
      </c>
      <c r="G2070" s="10" t="s">
        <v>6317</v>
      </c>
      <c r="H2070" s="11">
        <v>39506</v>
      </c>
      <c r="I2070" s="10">
        <v>2008</v>
      </c>
      <c r="J2070" s="10" t="s">
        <v>11120</v>
      </c>
      <c r="K2070" s="10">
        <v>281</v>
      </c>
      <c r="L2070" s="10" t="s">
        <v>15313</v>
      </c>
      <c r="M2070" s="10">
        <v>1</v>
      </c>
      <c r="N2070" s="10" t="s">
        <v>15314</v>
      </c>
      <c r="O2070" s="10"/>
      <c r="P2070" s="10" t="s">
        <v>15315</v>
      </c>
      <c r="Q2070" s="10" t="s">
        <v>15316</v>
      </c>
      <c r="R2070" s="10" t="s">
        <v>15317</v>
      </c>
      <c r="S2070" s="10" t="s">
        <v>53</v>
      </c>
      <c r="T2070" s="10" t="s">
        <v>54</v>
      </c>
    </row>
    <row r="2071" spans="1:20" ht="14.5" x14ac:dyDescent="0.35">
      <c r="A2071" s="10" t="s">
        <v>15318</v>
      </c>
      <c r="B2071" s="10" t="str">
        <f>"9780226283869"</f>
        <v>9780226283869</v>
      </c>
      <c r="C2071" s="10" t="str">
        <f>"9780226283883"</f>
        <v>9780226283883</v>
      </c>
      <c r="D2071" s="10" t="s">
        <v>13157</v>
      </c>
      <c r="E2071" s="10" t="s">
        <v>13157</v>
      </c>
      <c r="F2071" s="10" t="s">
        <v>324</v>
      </c>
      <c r="G2071" s="10" t="s">
        <v>6317</v>
      </c>
      <c r="H2071" s="11">
        <v>40087</v>
      </c>
      <c r="I2071" s="10">
        <v>2009</v>
      </c>
      <c r="J2071" s="10" t="s">
        <v>13157</v>
      </c>
      <c r="K2071" s="10">
        <v>291</v>
      </c>
      <c r="L2071" s="10" t="s">
        <v>15319</v>
      </c>
      <c r="M2071" s="10">
        <v>1</v>
      </c>
      <c r="N2071" s="10"/>
      <c r="O2071" s="10"/>
      <c r="P2071" s="10" t="s">
        <v>15320</v>
      </c>
      <c r="Q2071" s="10" t="s">
        <v>15321</v>
      </c>
      <c r="R2071" s="10" t="s">
        <v>15322</v>
      </c>
      <c r="S2071" s="10" t="s">
        <v>53</v>
      </c>
      <c r="T2071" s="10" t="s">
        <v>54</v>
      </c>
    </row>
    <row r="2072" spans="1:20" ht="14.5" x14ac:dyDescent="0.35">
      <c r="A2072" s="10" t="s">
        <v>15323</v>
      </c>
      <c r="B2072" s="10" t="str">
        <f>""</f>
        <v/>
      </c>
      <c r="C2072" s="10" t="str">
        <f>"9780195311655"</f>
        <v>9780195311655</v>
      </c>
      <c r="D2072" s="10" t="s">
        <v>9122</v>
      </c>
      <c r="E2072" s="10" t="s">
        <v>9133</v>
      </c>
      <c r="F2072" s="10" t="s">
        <v>330</v>
      </c>
      <c r="G2072" s="10" t="s">
        <v>6352</v>
      </c>
      <c r="H2072" s="11">
        <v>39549</v>
      </c>
      <c r="I2072" s="10">
        <v>2008</v>
      </c>
      <c r="J2072" s="10" t="s">
        <v>9133</v>
      </c>
      <c r="K2072" s="10">
        <v>322</v>
      </c>
      <c r="L2072" s="10" t="s">
        <v>15324</v>
      </c>
      <c r="M2072" s="10">
        <v>1</v>
      </c>
      <c r="N2072" s="10"/>
      <c r="O2072" s="10"/>
      <c r="P2072" s="10" t="s">
        <v>15325</v>
      </c>
      <c r="Q2072" s="10" t="s">
        <v>15326</v>
      </c>
      <c r="R2072" s="10" t="s">
        <v>15327</v>
      </c>
      <c r="S2072" s="10" t="s">
        <v>53</v>
      </c>
      <c r="T2072" s="10" t="s">
        <v>8346</v>
      </c>
    </row>
    <row r="2073" spans="1:20" ht="14.5" x14ac:dyDescent="0.35">
      <c r="A2073" s="10" t="s">
        <v>15328</v>
      </c>
      <c r="B2073" s="10" t="str">
        <f>"9780815780281"</f>
        <v>9780815780281</v>
      </c>
      <c r="C2073" s="10" t="str">
        <f>"9780815701866"</f>
        <v>9780815701866</v>
      </c>
      <c r="D2073" s="10" t="s">
        <v>9752</v>
      </c>
      <c r="E2073" s="10" t="s">
        <v>9753</v>
      </c>
      <c r="F2073" s="10" t="s">
        <v>9754</v>
      </c>
      <c r="G2073" s="10" t="s">
        <v>6317</v>
      </c>
      <c r="H2073" s="11">
        <v>39671</v>
      </c>
      <c r="I2073" s="10">
        <v>2008</v>
      </c>
      <c r="J2073" s="10" t="s">
        <v>9753</v>
      </c>
      <c r="K2073" s="10">
        <v>292</v>
      </c>
      <c r="L2073" s="10" t="s">
        <v>15329</v>
      </c>
      <c r="M2073" s="10">
        <v>1</v>
      </c>
      <c r="N2073" s="10"/>
      <c r="O2073" s="10"/>
      <c r="P2073" s="10" t="s">
        <v>15330</v>
      </c>
      <c r="Q2073" s="10">
        <v>378.73</v>
      </c>
      <c r="R2073" s="10" t="s">
        <v>15331</v>
      </c>
      <c r="S2073" s="10" t="s">
        <v>53</v>
      </c>
      <c r="T2073" s="10" t="s">
        <v>54</v>
      </c>
    </row>
    <row r="2074" spans="1:20" ht="14.5" x14ac:dyDescent="0.35">
      <c r="A2074" s="10" t="s">
        <v>15332</v>
      </c>
      <c r="B2074" s="10" t="str">
        <f>"9780815790440"</f>
        <v>9780815790440</v>
      </c>
      <c r="C2074" s="10" t="str">
        <f>"9780815701941"</f>
        <v>9780815701941</v>
      </c>
      <c r="D2074" s="10" t="s">
        <v>9752</v>
      </c>
      <c r="E2074" s="10" t="s">
        <v>9753</v>
      </c>
      <c r="F2074" s="10" t="s">
        <v>9754</v>
      </c>
      <c r="G2074" s="10" t="s">
        <v>6317</v>
      </c>
      <c r="H2074" s="11">
        <v>39811</v>
      </c>
      <c r="I2074" s="10">
        <v>2009</v>
      </c>
      <c r="J2074" s="10" t="s">
        <v>9753</v>
      </c>
      <c r="K2074" s="10">
        <v>273</v>
      </c>
      <c r="L2074" s="10" t="s">
        <v>15333</v>
      </c>
      <c r="M2074" s="10">
        <v>1</v>
      </c>
      <c r="N2074" s="10"/>
      <c r="O2074" s="10"/>
      <c r="P2074" s="10" t="s">
        <v>15334</v>
      </c>
      <c r="Q2074" s="10" t="s">
        <v>15335</v>
      </c>
      <c r="R2074" s="10" t="s">
        <v>15336</v>
      </c>
      <c r="S2074" s="10" t="s">
        <v>53</v>
      </c>
      <c r="T2074" s="10" t="s">
        <v>54</v>
      </c>
    </row>
    <row r="2075" spans="1:20" ht="14.5" x14ac:dyDescent="0.35">
      <c r="A2075" s="10" t="s">
        <v>15337</v>
      </c>
      <c r="B2075" s="10" t="str">
        <f>"9781855391284"</f>
        <v>9781855391284</v>
      </c>
      <c r="C2075" s="10" t="str">
        <f>"9781855396449"</f>
        <v>9781855396449</v>
      </c>
      <c r="D2075" s="10" t="s">
        <v>13959</v>
      </c>
      <c r="E2075" s="10" t="s">
        <v>13960</v>
      </c>
      <c r="F2075" s="10" t="s">
        <v>139</v>
      </c>
      <c r="G2075" s="10" t="s">
        <v>6352</v>
      </c>
      <c r="H2075" s="11">
        <v>38322</v>
      </c>
      <c r="I2075" s="10">
        <v>2004</v>
      </c>
      <c r="J2075" s="10" t="s">
        <v>14120</v>
      </c>
      <c r="K2075" s="10">
        <v>113</v>
      </c>
      <c r="L2075" s="10" t="s">
        <v>15338</v>
      </c>
      <c r="M2075" s="10">
        <v>1</v>
      </c>
      <c r="N2075" s="10"/>
      <c r="O2075" s="10"/>
      <c r="P2075" s="10" t="s">
        <v>15339</v>
      </c>
      <c r="Q2075" s="10">
        <v>371.950941</v>
      </c>
      <c r="R2075" s="10" t="s">
        <v>15340</v>
      </c>
      <c r="S2075" s="10" t="s">
        <v>53</v>
      </c>
      <c r="T2075" s="10" t="s">
        <v>54</v>
      </c>
    </row>
    <row r="2076" spans="1:20" ht="14.5" x14ac:dyDescent="0.35">
      <c r="A2076" s="10" t="s">
        <v>15341</v>
      </c>
      <c r="B2076" s="10" t="str">
        <f>"9780826433190"</f>
        <v>9780826433190</v>
      </c>
      <c r="C2076" s="10" t="str">
        <f>"9781441104588"</f>
        <v>9781441104588</v>
      </c>
      <c r="D2076" s="10" t="s">
        <v>13959</v>
      </c>
      <c r="E2076" s="10" t="s">
        <v>13960</v>
      </c>
      <c r="F2076" s="10" t="s">
        <v>139</v>
      </c>
      <c r="G2076" s="10" t="s">
        <v>6352</v>
      </c>
      <c r="H2076" s="11">
        <v>40134</v>
      </c>
      <c r="I2076" s="10">
        <v>2007</v>
      </c>
      <c r="J2076" s="10" t="s">
        <v>13961</v>
      </c>
      <c r="K2076" s="10">
        <v>286</v>
      </c>
      <c r="L2076" s="10" t="s">
        <v>15342</v>
      </c>
      <c r="M2076" s="10">
        <v>1</v>
      </c>
      <c r="N2076" s="10" t="s">
        <v>14044</v>
      </c>
      <c r="O2076" s="10"/>
      <c r="P2076" s="10" t="s">
        <v>15343</v>
      </c>
      <c r="Q2076" s="10" t="s">
        <v>15344</v>
      </c>
      <c r="R2076" s="10" t="s">
        <v>4456</v>
      </c>
      <c r="S2076" s="10" t="s">
        <v>53</v>
      </c>
      <c r="T2076" s="10" t="s">
        <v>6634</v>
      </c>
    </row>
    <row r="2077" spans="1:20" ht="14.5" x14ac:dyDescent="0.35">
      <c r="A2077" s="10" t="s">
        <v>15345</v>
      </c>
      <c r="B2077" s="10" t="str">
        <f>"9781441158680"</f>
        <v>9781441158680</v>
      </c>
      <c r="C2077" s="10" t="str">
        <f>"9781441181183"</f>
        <v>9781441181183</v>
      </c>
      <c r="D2077" s="10" t="s">
        <v>13959</v>
      </c>
      <c r="E2077" s="10" t="s">
        <v>13960</v>
      </c>
      <c r="F2077" s="10" t="s">
        <v>139</v>
      </c>
      <c r="G2077" s="10" t="s">
        <v>6352</v>
      </c>
      <c r="H2077" s="11">
        <v>40522</v>
      </c>
      <c r="I2077" s="10">
        <v>2009</v>
      </c>
      <c r="J2077" s="10" t="s">
        <v>13961</v>
      </c>
      <c r="K2077" s="10">
        <v>244</v>
      </c>
      <c r="L2077" s="10" t="s">
        <v>15346</v>
      </c>
      <c r="M2077" s="10">
        <v>1</v>
      </c>
      <c r="N2077" s="10"/>
      <c r="O2077" s="10"/>
      <c r="P2077" s="10" t="s">
        <v>15347</v>
      </c>
      <c r="Q2077" s="10">
        <v>370.11700000000002</v>
      </c>
      <c r="R2077" s="10" t="s">
        <v>15348</v>
      </c>
      <c r="S2077" s="10" t="s">
        <v>53</v>
      </c>
      <c r="T2077" s="10" t="s">
        <v>54</v>
      </c>
    </row>
    <row r="2078" spans="1:20" ht="14.5" x14ac:dyDescent="0.35">
      <c r="A2078" s="10" t="s">
        <v>15349</v>
      </c>
      <c r="B2078" s="10" t="str">
        <f>"9781441104410"</f>
        <v>9781441104410</v>
      </c>
      <c r="C2078" s="10" t="str">
        <f>"9781441134622"</f>
        <v>9781441134622</v>
      </c>
      <c r="D2078" s="10" t="s">
        <v>13959</v>
      </c>
      <c r="E2078" s="10" t="s">
        <v>13960</v>
      </c>
      <c r="F2078" s="10" t="s">
        <v>139</v>
      </c>
      <c r="G2078" s="10" t="s">
        <v>6352</v>
      </c>
      <c r="H2078" s="11">
        <v>40731</v>
      </c>
      <c r="I2078" s="10">
        <v>2009</v>
      </c>
      <c r="J2078" s="10" t="s">
        <v>13961</v>
      </c>
      <c r="K2078" s="10">
        <v>223</v>
      </c>
      <c r="L2078" s="10" t="s">
        <v>15350</v>
      </c>
      <c r="M2078" s="10">
        <v>1</v>
      </c>
      <c r="N2078" s="10" t="s">
        <v>14628</v>
      </c>
      <c r="O2078" s="10"/>
      <c r="P2078" s="10" t="s">
        <v>15351</v>
      </c>
      <c r="Q2078" s="10">
        <v>946.04309999999998</v>
      </c>
      <c r="R2078" s="10" t="s">
        <v>15352</v>
      </c>
      <c r="S2078" s="10" t="s">
        <v>53</v>
      </c>
      <c r="T2078" s="10" t="s">
        <v>15353</v>
      </c>
    </row>
    <row r="2079" spans="1:20" ht="14.5" x14ac:dyDescent="0.35">
      <c r="A2079" s="10" t="s">
        <v>15354</v>
      </c>
      <c r="B2079" s="10" t="str">
        <f>"9781886941298"</f>
        <v>9781886941298</v>
      </c>
      <c r="C2079" s="10" t="str">
        <f>"9781886941922"</f>
        <v>9781886941922</v>
      </c>
      <c r="D2079" s="10" t="s">
        <v>9215</v>
      </c>
      <c r="E2079" s="10" t="s">
        <v>15355</v>
      </c>
      <c r="F2079" s="10" t="s">
        <v>15356</v>
      </c>
      <c r="G2079" s="10" t="s">
        <v>6317</v>
      </c>
      <c r="H2079" s="11">
        <v>36982</v>
      </c>
      <c r="I2079" s="10">
        <v>2001</v>
      </c>
      <c r="J2079" s="10" t="s">
        <v>15355</v>
      </c>
      <c r="K2079" s="10">
        <v>188</v>
      </c>
      <c r="L2079" s="10" t="s">
        <v>15357</v>
      </c>
      <c r="M2079" s="10"/>
      <c r="N2079" s="10"/>
      <c r="O2079" s="10"/>
      <c r="P2079" s="10" t="s">
        <v>15358</v>
      </c>
      <c r="Q2079" s="10">
        <v>371.93</v>
      </c>
      <c r="R2079" s="10" t="s">
        <v>15359</v>
      </c>
      <c r="S2079" s="10" t="s">
        <v>53</v>
      </c>
      <c r="T2079" s="10" t="s">
        <v>54</v>
      </c>
    </row>
    <row r="2080" spans="1:20" ht="14.5" x14ac:dyDescent="0.35">
      <c r="A2080" s="10" t="s">
        <v>15360</v>
      </c>
      <c r="B2080" s="10" t="str">
        <f>"9781556527739"</f>
        <v>9781556527739</v>
      </c>
      <c r="C2080" s="10" t="str">
        <f>"9781569763520"</f>
        <v>9781569763520</v>
      </c>
      <c r="D2080" s="10" t="s">
        <v>9215</v>
      </c>
      <c r="E2080" s="10" t="s">
        <v>10989</v>
      </c>
      <c r="F2080" s="10" t="s">
        <v>324</v>
      </c>
      <c r="G2080" s="10" t="s">
        <v>6317</v>
      </c>
      <c r="H2080" s="11">
        <v>39783</v>
      </c>
      <c r="I2080" s="10">
        <v>2008</v>
      </c>
      <c r="J2080" s="10" t="s">
        <v>10989</v>
      </c>
      <c r="K2080" s="10">
        <v>161</v>
      </c>
      <c r="L2080" s="10" t="s">
        <v>15361</v>
      </c>
      <c r="M2080" s="10"/>
      <c r="N2080" s="10"/>
      <c r="O2080" s="10"/>
      <c r="P2080" s="10" t="s">
        <v>15362</v>
      </c>
      <c r="Q2080" s="10">
        <v>323.09730000000002</v>
      </c>
      <c r="R2080" s="10" t="s">
        <v>15363</v>
      </c>
      <c r="S2080" s="10" t="s">
        <v>53</v>
      </c>
      <c r="T2080" s="10" t="s">
        <v>15364</v>
      </c>
    </row>
    <row r="2081" spans="1:20" ht="14.5" x14ac:dyDescent="0.35">
      <c r="A2081" s="10" t="s">
        <v>15365</v>
      </c>
      <c r="B2081" s="10" t="str">
        <f>"9780838909454"</f>
        <v>9780838909454</v>
      </c>
      <c r="C2081" s="10" t="str">
        <f>"9780838998014"</f>
        <v>9780838998014</v>
      </c>
      <c r="D2081" s="10" t="s">
        <v>15366</v>
      </c>
      <c r="E2081" s="10" t="s">
        <v>382</v>
      </c>
      <c r="F2081" s="10" t="s">
        <v>324</v>
      </c>
      <c r="G2081" s="10" t="s">
        <v>6317</v>
      </c>
      <c r="H2081" s="11">
        <v>39174</v>
      </c>
      <c r="I2081" s="10">
        <v>2007</v>
      </c>
      <c r="J2081" s="10" t="s">
        <v>382</v>
      </c>
      <c r="K2081" s="10">
        <v>134</v>
      </c>
      <c r="L2081" s="10" t="s">
        <v>15367</v>
      </c>
      <c r="M2081" s="10">
        <v>2</v>
      </c>
      <c r="N2081" s="10"/>
      <c r="O2081" s="10"/>
      <c r="P2081" s="10" t="s">
        <v>15368</v>
      </c>
      <c r="Q2081" s="10">
        <v>21.7</v>
      </c>
      <c r="R2081" s="10" t="s">
        <v>15369</v>
      </c>
      <c r="S2081" s="10" t="s">
        <v>53</v>
      </c>
      <c r="T2081" s="10" t="s">
        <v>10302</v>
      </c>
    </row>
    <row r="2082" spans="1:20" ht="14.5" x14ac:dyDescent="0.35">
      <c r="A2082" s="10" t="s">
        <v>15370</v>
      </c>
      <c r="B2082" s="10" t="str">
        <f>"9789089640246"</f>
        <v>9789089640246</v>
      </c>
      <c r="C2082" s="10" t="str">
        <f>"9789048502332"</f>
        <v>9789048502332</v>
      </c>
      <c r="D2082" s="10" t="s">
        <v>13287</v>
      </c>
      <c r="E2082" s="10" t="s">
        <v>13287</v>
      </c>
      <c r="F2082" s="10" t="s">
        <v>1818</v>
      </c>
      <c r="G2082" s="10" t="s">
        <v>9233</v>
      </c>
      <c r="H2082" s="11">
        <v>40037</v>
      </c>
      <c r="I2082" s="10">
        <v>2009</v>
      </c>
      <c r="J2082" s="10" t="s">
        <v>13287</v>
      </c>
      <c r="K2082" s="10">
        <v>369</v>
      </c>
      <c r="L2082" s="10" t="s">
        <v>15371</v>
      </c>
      <c r="M2082" s="10">
        <v>1</v>
      </c>
      <c r="N2082" s="10"/>
      <c r="O2082" s="10"/>
      <c r="P2082" s="10" t="s">
        <v>15372</v>
      </c>
      <c r="Q2082" s="10">
        <v>370</v>
      </c>
      <c r="R2082" s="10" t="s">
        <v>15373</v>
      </c>
      <c r="S2082" s="10" t="s">
        <v>53</v>
      </c>
      <c r="T2082" s="10" t="s">
        <v>10454</v>
      </c>
    </row>
    <row r="2083" spans="1:20" ht="14.5" x14ac:dyDescent="0.35">
      <c r="A2083" s="10" t="s">
        <v>15374</v>
      </c>
      <c r="B2083" s="10" t="str">
        <f>"9789053563748"</f>
        <v>9789053563748</v>
      </c>
      <c r="C2083" s="10" t="str">
        <f>"9789048511495"</f>
        <v>9789048511495</v>
      </c>
      <c r="D2083" s="10" t="s">
        <v>13287</v>
      </c>
      <c r="E2083" s="10" t="s">
        <v>13287</v>
      </c>
      <c r="F2083" s="10" t="s">
        <v>1818</v>
      </c>
      <c r="G2083" s="10" t="s">
        <v>9233</v>
      </c>
      <c r="H2083" s="11">
        <v>39814</v>
      </c>
      <c r="I2083" s="10">
        <v>2009</v>
      </c>
      <c r="J2083" s="10" t="s">
        <v>13287</v>
      </c>
      <c r="K2083" s="10">
        <v>25</v>
      </c>
      <c r="L2083" s="10" t="s">
        <v>15375</v>
      </c>
      <c r="M2083" s="10">
        <v>1</v>
      </c>
      <c r="N2083" s="10" t="s">
        <v>15376</v>
      </c>
      <c r="O2083" s="10" t="s">
        <v>13473</v>
      </c>
      <c r="P2083" s="10" t="s">
        <v>15377</v>
      </c>
      <c r="Q2083" s="10" t="s">
        <v>15378</v>
      </c>
      <c r="R2083" s="10" t="s">
        <v>15379</v>
      </c>
      <c r="S2083" s="10" t="s">
        <v>3107</v>
      </c>
      <c r="T2083" s="10" t="s">
        <v>10454</v>
      </c>
    </row>
    <row r="2084" spans="1:20" ht="14.5" x14ac:dyDescent="0.35">
      <c r="A2084" s="10" t="s">
        <v>15380</v>
      </c>
      <c r="B2084" s="10" t="str">
        <f>"9789056295721"</f>
        <v>9789056295721</v>
      </c>
      <c r="C2084" s="10" t="str">
        <f>"9789048510597"</f>
        <v>9789048510597</v>
      </c>
      <c r="D2084" s="10" t="s">
        <v>13287</v>
      </c>
      <c r="E2084" s="10" t="s">
        <v>13287</v>
      </c>
      <c r="F2084" s="10" t="s">
        <v>1818</v>
      </c>
      <c r="G2084" s="10" t="s">
        <v>9233</v>
      </c>
      <c r="H2084" s="11">
        <v>39814</v>
      </c>
      <c r="I2084" s="10">
        <v>2009</v>
      </c>
      <c r="J2084" s="10" t="s">
        <v>13443</v>
      </c>
      <c r="K2084" s="10">
        <v>165</v>
      </c>
      <c r="L2084" s="10" t="s">
        <v>15381</v>
      </c>
      <c r="M2084" s="10">
        <v>1</v>
      </c>
      <c r="N2084" s="10"/>
      <c r="O2084" s="10"/>
      <c r="P2084" s="10" t="s">
        <v>15382</v>
      </c>
      <c r="Q2084" s="10" t="s">
        <v>15383</v>
      </c>
      <c r="R2084" s="10" t="s">
        <v>15384</v>
      </c>
      <c r="S2084" s="10" t="s">
        <v>53</v>
      </c>
      <c r="T2084" s="10" t="s">
        <v>15385</v>
      </c>
    </row>
    <row r="2085" spans="1:20" ht="14.5" x14ac:dyDescent="0.35">
      <c r="A2085" s="10" t="s">
        <v>15386</v>
      </c>
      <c r="B2085" s="10" t="str">
        <f>"9789056295424"</f>
        <v>9789056295424</v>
      </c>
      <c r="C2085" s="10" t="str">
        <f>"9789048507931"</f>
        <v>9789048507931</v>
      </c>
      <c r="D2085" s="10" t="s">
        <v>13287</v>
      </c>
      <c r="E2085" s="10" t="s">
        <v>13287</v>
      </c>
      <c r="F2085" s="10" t="s">
        <v>1818</v>
      </c>
      <c r="G2085" s="10" t="s">
        <v>9233</v>
      </c>
      <c r="H2085" s="11">
        <v>39448</v>
      </c>
      <c r="I2085" s="10">
        <v>2008</v>
      </c>
      <c r="J2085" s="10" t="s">
        <v>13443</v>
      </c>
      <c r="K2085" s="10">
        <v>33</v>
      </c>
      <c r="L2085" s="10" t="s">
        <v>15387</v>
      </c>
      <c r="M2085" s="10">
        <v>1</v>
      </c>
      <c r="N2085" s="10" t="s">
        <v>13478</v>
      </c>
      <c r="O2085" s="10"/>
      <c r="P2085" s="10" t="s">
        <v>15388</v>
      </c>
      <c r="Q2085" s="10">
        <v>371.4</v>
      </c>
      <c r="R2085" s="10" t="s">
        <v>15389</v>
      </c>
      <c r="S2085" s="10" t="s">
        <v>3107</v>
      </c>
      <c r="T2085" s="10" t="s">
        <v>54</v>
      </c>
    </row>
    <row r="2086" spans="1:20" ht="14.5" x14ac:dyDescent="0.35">
      <c r="A2086" s="10" t="s">
        <v>6369</v>
      </c>
      <c r="B2086" s="10" t="str">
        <f>"9781889057361"</f>
        <v>9781889057361</v>
      </c>
      <c r="C2086" s="10" t="str">
        <f>"9781889057613"</f>
        <v>9781889057613</v>
      </c>
      <c r="D2086" s="10" t="s">
        <v>6315</v>
      </c>
      <c r="E2086" s="10" t="s">
        <v>6315</v>
      </c>
      <c r="F2086" s="10" t="s">
        <v>15390</v>
      </c>
      <c r="G2086" s="10" t="s">
        <v>6317</v>
      </c>
      <c r="H2086" s="11">
        <v>38749</v>
      </c>
      <c r="I2086" s="10">
        <v>2009</v>
      </c>
      <c r="J2086" s="10" t="s">
        <v>6315</v>
      </c>
      <c r="K2086" s="10">
        <v>612</v>
      </c>
      <c r="L2086" s="10" t="s">
        <v>15391</v>
      </c>
      <c r="M2086" s="10">
        <v>1</v>
      </c>
      <c r="N2086" s="10"/>
      <c r="O2086" s="10"/>
      <c r="P2086" s="10" t="s">
        <v>15392</v>
      </c>
      <c r="Q2086" s="10">
        <v>378.1662</v>
      </c>
      <c r="R2086" s="10" t="s">
        <v>6372</v>
      </c>
      <c r="S2086" s="10" t="s">
        <v>53</v>
      </c>
      <c r="T2086" s="10" t="s">
        <v>54</v>
      </c>
    </row>
    <row r="2087" spans="1:20" ht="14.5" x14ac:dyDescent="0.35">
      <c r="A2087" s="10" t="s">
        <v>15393</v>
      </c>
      <c r="B2087" s="10" t="str">
        <f>"9780805834123"</f>
        <v>9780805834123</v>
      </c>
      <c r="C2087" s="10" t="str">
        <f>"9781410605627"</f>
        <v>9781410605627</v>
      </c>
      <c r="D2087" s="10" t="s">
        <v>6350</v>
      </c>
      <c r="E2087" s="10" t="s">
        <v>6351</v>
      </c>
      <c r="F2087" s="10" t="s">
        <v>5406</v>
      </c>
      <c r="G2087" s="10" t="s">
        <v>6317</v>
      </c>
      <c r="H2087" s="11">
        <v>36770</v>
      </c>
      <c r="I2087" s="10">
        <v>2000</v>
      </c>
      <c r="J2087" s="10" t="s">
        <v>6353</v>
      </c>
      <c r="K2087" s="10">
        <v>348</v>
      </c>
      <c r="L2087" s="10" t="s">
        <v>15394</v>
      </c>
      <c r="M2087" s="10">
        <v>1</v>
      </c>
      <c r="N2087" s="10"/>
      <c r="O2087" s="10"/>
      <c r="P2087" s="10" t="s">
        <v>15395</v>
      </c>
      <c r="Q2087" s="10">
        <v>371.82</v>
      </c>
      <c r="R2087" s="10" t="s">
        <v>15396</v>
      </c>
      <c r="S2087" s="10" t="s">
        <v>53</v>
      </c>
      <c r="T2087" s="10" t="s">
        <v>54</v>
      </c>
    </row>
    <row r="2088" spans="1:20" ht="14.5" x14ac:dyDescent="0.35">
      <c r="A2088" s="10" t="s">
        <v>15397</v>
      </c>
      <c r="B2088" s="10" t="str">
        <f>"9780805828719"</f>
        <v>9780805828719</v>
      </c>
      <c r="C2088" s="10" t="str">
        <f>"9781410600882"</f>
        <v>9781410600882</v>
      </c>
      <c r="D2088" s="10" t="s">
        <v>6350</v>
      </c>
      <c r="E2088" s="10" t="s">
        <v>6351</v>
      </c>
      <c r="F2088" s="10" t="s">
        <v>5406</v>
      </c>
      <c r="G2088" s="10" t="s">
        <v>6317</v>
      </c>
      <c r="H2088" s="11">
        <v>36831</v>
      </c>
      <c r="I2088" s="10">
        <v>2000</v>
      </c>
      <c r="J2088" s="10" t="s">
        <v>6353</v>
      </c>
      <c r="K2088" s="10">
        <v>387</v>
      </c>
      <c r="L2088" s="10" t="s">
        <v>15398</v>
      </c>
      <c r="M2088" s="10">
        <v>2</v>
      </c>
      <c r="N2088" s="10"/>
      <c r="O2088" s="10"/>
      <c r="P2088" s="10" t="s">
        <v>15399</v>
      </c>
      <c r="Q2088" s="10" t="s">
        <v>15400</v>
      </c>
      <c r="R2088" s="10" t="s">
        <v>15401</v>
      </c>
      <c r="S2088" s="10" t="s">
        <v>53</v>
      </c>
      <c r="T2088" s="10" t="s">
        <v>6498</v>
      </c>
    </row>
    <row r="2089" spans="1:20" ht="14.5" x14ac:dyDescent="0.35">
      <c r="A2089" s="10" t="s">
        <v>15402</v>
      </c>
      <c r="B2089" s="10" t="str">
        <f>"9780805828641"</f>
        <v>9780805828641</v>
      </c>
      <c r="C2089" s="10" t="str">
        <f>"9781410603760"</f>
        <v>9781410603760</v>
      </c>
      <c r="D2089" s="10" t="s">
        <v>6350</v>
      </c>
      <c r="E2089" s="10" t="s">
        <v>6351</v>
      </c>
      <c r="F2089" s="10" t="s">
        <v>5406</v>
      </c>
      <c r="G2089" s="10" t="s">
        <v>6317</v>
      </c>
      <c r="H2089" s="11">
        <v>36008</v>
      </c>
      <c r="I2089" s="10">
        <v>1998</v>
      </c>
      <c r="J2089" s="10" t="s">
        <v>6353</v>
      </c>
      <c r="K2089" s="10">
        <v>351</v>
      </c>
      <c r="L2089" s="10" t="s">
        <v>15403</v>
      </c>
      <c r="M2089" s="10">
        <v>1</v>
      </c>
      <c r="N2089" s="10" t="s">
        <v>12310</v>
      </c>
      <c r="O2089" s="10"/>
      <c r="P2089" s="10" t="s">
        <v>15404</v>
      </c>
      <c r="Q2089" s="10">
        <v>371.82664</v>
      </c>
      <c r="R2089" s="10" t="s">
        <v>15405</v>
      </c>
      <c r="S2089" s="10" t="s">
        <v>53</v>
      </c>
      <c r="T2089" s="10" t="s">
        <v>54</v>
      </c>
    </row>
    <row r="2090" spans="1:20" ht="14.5" x14ac:dyDescent="0.35">
      <c r="A2090" s="10" t="s">
        <v>15406</v>
      </c>
      <c r="B2090" s="10" t="str">
        <f>"9780805830897"</f>
        <v>9780805830897</v>
      </c>
      <c r="C2090" s="10" t="str">
        <f>"9781410605597"</f>
        <v>9781410605597</v>
      </c>
      <c r="D2090" s="10" t="s">
        <v>6350</v>
      </c>
      <c r="E2090" s="10" t="s">
        <v>6351</v>
      </c>
      <c r="F2090" s="10" t="s">
        <v>5406</v>
      </c>
      <c r="G2090" s="10" t="s">
        <v>6317</v>
      </c>
      <c r="H2090" s="11">
        <v>36739</v>
      </c>
      <c r="I2090" s="10">
        <v>2000</v>
      </c>
      <c r="J2090" s="10" t="s">
        <v>6353</v>
      </c>
      <c r="K2090" s="10">
        <v>411</v>
      </c>
      <c r="L2090" s="10" t="s">
        <v>15407</v>
      </c>
      <c r="M2090" s="10">
        <v>1</v>
      </c>
      <c r="N2090" s="10"/>
      <c r="O2090" s="10"/>
      <c r="P2090" s="10" t="s">
        <v>15408</v>
      </c>
      <c r="Q2090" s="10">
        <v>371.28300000000002</v>
      </c>
      <c r="R2090" s="10" t="s">
        <v>15409</v>
      </c>
      <c r="S2090" s="10" t="s">
        <v>53</v>
      </c>
      <c r="T2090" s="10" t="s">
        <v>54</v>
      </c>
    </row>
    <row r="2091" spans="1:20" ht="14.5" x14ac:dyDescent="0.35">
      <c r="A2091" s="10" t="s">
        <v>15410</v>
      </c>
      <c r="B2091" s="10" t="str">
        <f>"9780805825374"</f>
        <v>9780805825374</v>
      </c>
      <c r="C2091" s="10" t="str">
        <f>"9781410604781"</f>
        <v>9781410604781</v>
      </c>
      <c r="D2091" s="10" t="s">
        <v>6350</v>
      </c>
      <c r="E2091" s="10" t="s">
        <v>6351</v>
      </c>
      <c r="F2091" s="10" t="s">
        <v>5406</v>
      </c>
      <c r="G2091" s="10" t="s">
        <v>6317</v>
      </c>
      <c r="H2091" s="11">
        <v>35916</v>
      </c>
      <c r="I2091" s="10">
        <v>1998</v>
      </c>
      <c r="J2091" s="10" t="s">
        <v>6353</v>
      </c>
      <c r="K2091" s="10">
        <v>467</v>
      </c>
      <c r="L2091" s="10" t="s">
        <v>9068</v>
      </c>
      <c r="M2091" s="10">
        <v>1</v>
      </c>
      <c r="N2091" s="10"/>
      <c r="O2091" s="10"/>
      <c r="P2091" s="10" t="s">
        <v>15411</v>
      </c>
      <c r="Q2091" s="10" t="s">
        <v>15412</v>
      </c>
      <c r="R2091" s="10" t="s">
        <v>15413</v>
      </c>
      <c r="S2091" s="10" t="s">
        <v>53</v>
      </c>
      <c r="T2091" s="10" t="s">
        <v>6616</v>
      </c>
    </row>
    <row r="2092" spans="1:20" ht="14.5" x14ac:dyDescent="0.35">
      <c r="A2092" s="10" t="s">
        <v>15414</v>
      </c>
      <c r="B2092" s="10" t="str">
        <f>"9780833025616"</f>
        <v>9780833025616</v>
      </c>
      <c r="C2092" s="10" t="str">
        <f>"9780833043276"</f>
        <v>9780833043276</v>
      </c>
      <c r="D2092" s="10" t="s">
        <v>8134</v>
      </c>
      <c r="E2092" s="10" t="s">
        <v>8135</v>
      </c>
      <c r="F2092" s="10" t="s">
        <v>8136</v>
      </c>
      <c r="G2092" s="10" t="s">
        <v>6317</v>
      </c>
      <c r="H2092" s="11">
        <v>36721</v>
      </c>
      <c r="I2092" s="10">
        <v>2000</v>
      </c>
      <c r="J2092" s="10" t="s">
        <v>8363</v>
      </c>
      <c r="K2092" s="10">
        <v>313</v>
      </c>
      <c r="L2092" s="10" t="s">
        <v>15415</v>
      </c>
      <c r="M2092" s="10">
        <v>1</v>
      </c>
      <c r="N2092" s="10"/>
      <c r="O2092" s="10"/>
      <c r="P2092" s="10" t="s">
        <v>15416</v>
      </c>
      <c r="Q2092" s="10" t="s">
        <v>15417</v>
      </c>
      <c r="R2092" s="10" t="s">
        <v>15418</v>
      </c>
      <c r="S2092" s="10" t="s">
        <v>53</v>
      </c>
      <c r="T2092" s="10" t="s">
        <v>54</v>
      </c>
    </row>
    <row r="2093" spans="1:20" ht="14.5" x14ac:dyDescent="0.35">
      <c r="A2093" s="10" t="s">
        <v>15419</v>
      </c>
      <c r="B2093" s="10" t="str">
        <f>"9780807833407"</f>
        <v>9780807833407</v>
      </c>
      <c r="C2093" s="10" t="str">
        <f>"9780807895511"</f>
        <v>9780807895511</v>
      </c>
      <c r="D2093" s="10" t="s">
        <v>13324</v>
      </c>
      <c r="E2093" s="10" t="s">
        <v>13335</v>
      </c>
      <c r="F2093" s="10" t="s">
        <v>2388</v>
      </c>
      <c r="G2093" s="10" t="s">
        <v>6317</v>
      </c>
      <c r="H2093" s="11">
        <v>40148</v>
      </c>
      <c r="I2093" s="10">
        <v>2009</v>
      </c>
      <c r="J2093" s="10" t="s">
        <v>13335</v>
      </c>
      <c r="K2093" s="10">
        <v>214</v>
      </c>
      <c r="L2093" s="10" t="s">
        <v>15420</v>
      </c>
      <c r="M2093" s="10">
        <v>1</v>
      </c>
      <c r="N2093" s="10"/>
      <c r="O2093" s="10"/>
      <c r="P2093" s="10" t="s">
        <v>15421</v>
      </c>
      <c r="Q2093" s="10">
        <v>973</v>
      </c>
      <c r="R2093" s="10" t="s">
        <v>15422</v>
      </c>
      <c r="S2093" s="10" t="s">
        <v>53</v>
      </c>
      <c r="T2093" s="10" t="s">
        <v>4490</v>
      </c>
    </row>
    <row r="2094" spans="1:20" ht="14.5" x14ac:dyDescent="0.35">
      <c r="A2094" s="10" t="s">
        <v>15423</v>
      </c>
      <c r="B2094" s="10" t="str">
        <f>"9780807832899"</f>
        <v>9780807832899</v>
      </c>
      <c r="C2094" s="10" t="str">
        <f>"9780807888759"</f>
        <v>9780807888759</v>
      </c>
      <c r="D2094" s="10" t="s">
        <v>13324</v>
      </c>
      <c r="E2094" s="10" t="s">
        <v>13335</v>
      </c>
      <c r="F2094" s="10" t="s">
        <v>2388</v>
      </c>
      <c r="G2094" s="10" t="s">
        <v>6317</v>
      </c>
      <c r="H2094" s="11">
        <v>40041</v>
      </c>
      <c r="I2094" s="10">
        <v>2009</v>
      </c>
      <c r="J2094" s="10" t="s">
        <v>13335</v>
      </c>
      <c r="K2094" s="10">
        <v>310</v>
      </c>
      <c r="L2094" s="10" t="s">
        <v>15424</v>
      </c>
      <c r="M2094" s="10">
        <v>1</v>
      </c>
      <c r="N2094" s="10"/>
      <c r="O2094" s="10"/>
      <c r="P2094" s="10" t="s">
        <v>15425</v>
      </c>
      <c r="Q2094" s="10" t="s">
        <v>15426</v>
      </c>
      <c r="R2094" s="10" t="s">
        <v>15427</v>
      </c>
      <c r="S2094" s="10" t="s">
        <v>53</v>
      </c>
      <c r="T2094" s="10" t="s">
        <v>54</v>
      </c>
    </row>
    <row r="2095" spans="1:20" ht="14.5" x14ac:dyDescent="0.35">
      <c r="A2095" s="10" t="s">
        <v>15428</v>
      </c>
      <c r="B2095" s="10" t="str">
        <f>"9781841502359"</f>
        <v>9781841502359</v>
      </c>
      <c r="C2095" s="10" t="str">
        <f>"9781841503547"</f>
        <v>9781841503547</v>
      </c>
      <c r="D2095" s="10" t="s">
        <v>9533</v>
      </c>
      <c r="E2095" s="10" t="s">
        <v>10235</v>
      </c>
      <c r="F2095" s="10" t="s">
        <v>10236</v>
      </c>
      <c r="G2095" s="10" t="s">
        <v>6352</v>
      </c>
      <c r="H2095" s="11">
        <v>40217</v>
      </c>
      <c r="I2095" s="10">
        <v>2009</v>
      </c>
      <c r="J2095" s="10" t="s">
        <v>10235</v>
      </c>
      <c r="K2095" s="10">
        <v>546</v>
      </c>
      <c r="L2095" s="10" t="s">
        <v>15429</v>
      </c>
      <c r="M2095" s="10">
        <v>1</v>
      </c>
      <c r="N2095" s="10"/>
      <c r="O2095" s="10"/>
      <c r="P2095" s="10" t="s">
        <v>15430</v>
      </c>
      <c r="Q2095" s="10">
        <v>70.407114000000007</v>
      </c>
      <c r="R2095" s="10" t="s">
        <v>15431</v>
      </c>
      <c r="S2095" s="10" t="s">
        <v>53</v>
      </c>
      <c r="T2095" s="10" t="s">
        <v>5920</v>
      </c>
    </row>
    <row r="2096" spans="1:20" ht="14.5" x14ac:dyDescent="0.35">
      <c r="A2096" s="10" t="s">
        <v>15432</v>
      </c>
      <c r="B2096" s="10" t="str">
        <f>"9780691004808"</f>
        <v>9780691004808</v>
      </c>
      <c r="C2096" s="10" t="str">
        <f>"9781400823413"</f>
        <v>9781400823413</v>
      </c>
      <c r="D2096" s="10" t="s">
        <v>14335</v>
      </c>
      <c r="E2096" s="10" t="s">
        <v>14336</v>
      </c>
      <c r="F2096" s="10" t="s">
        <v>2246</v>
      </c>
      <c r="G2096" s="10" t="s">
        <v>6317</v>
      </c>
      <c r="H2096" s="11">
        <v>36590</v>
      </c>
      <c r="I2096" s="10">
        <v>2001</v>
      </c>
      <c r="J2096" s="10" t="s">
        <v>14336</v>
      </c>
      <c r="K2096" s="10">
        <v>301</v>
      </c>
      <c r="L2096" s="10" t="s">
        <v>15433</v>
      </c>
      <c r="M2096" s="10">
        <v>1</v>
      </c>
      <c r="N2096" s="10"/>
      <c r="O2096" s="10"/>
      <c r="P2096" s="10" t="s">
        <v>15434</v>
      </c>
      <c r="Q2096" s="10">
        <v>371.01</v>
      </c>
      <c r="R2096" s="10"/>
      <c r="S2096" s="10" t="s">
        <v>53</v>
      </c>
      <c r="T2096" s="10" t="s">
        <v>54</v>
      </c>
    </row>
    <row r="2097" spans="1:20" ht="14.5" x14ac:dyDescent="0.35">
      <c r="A2097" s="10" t="s">
        <v>15435</v>
      </c>
      <c r="B2097" s="10" t="str">
        <f>"9783598242854"</f>
        <v>9783598242854</v>
      </c>
      <c r="C2097" s="10" t="str">
        <f>"9783598441813"</f>
        <v>9783598441813</v>
      </c>
      <c r="D2097" s="10" t="s">
        <v>9995</v>
      </c>
      <c r="E2097" s="10" t="s">
        <v>9996</v>
      </c>
      <c r="F2097" s="10" t="s">
        <v>9997</v>
      </c>
      <c r="G2097" s="10" t="s">
        <v>9998</v>
      </c>
      <c r="H2097" s="11">
        <v>40023</v>
      </c>
      <c r="I2097" s="10">
        <v>2009</v>
      </c>
      <c r="J2097" s="10" t="s">
        <v>9996</v>
      </c>
      <c r="K2097" s="10">
        <v>304</v>
      </c>
      <c r="L2097" s="10" t="s">
        <v>15436</v>
      </c>
      <c r="M2097" s="10">
        <v>1</v>
      </c>
      <c r="N2097" s="10" t="s">
        <v>13048</v>
      </c>
      <c r="O2097" s="10">
        <v>37</v>
      </c>
      <c r="P2097" s="10" t="s">
        <v>15437</v>
      </c>
      <c r="Q2097" s="10">
        <v>25.3</v>
      </c>
      <c r="R2097" s="10" t="s">
        <v>15438</v>
      </c>
      <c r="S2097" s="10" t="s">
        <v>53</v>
      </c>
      <c r="T2097" s="10" t="s">
        <v>10302</v>
      </c>
    </row>
    <row r="2098" spans="1:20" ht="14.5" x14ac:dyDescent="0.35">
      <c r="A2098" s="10" t="s">
        <v>15439</v>
      </c>
      <c r="B2098" s="10" t="str">
        <f>"9783110218275"</f>
        <v>9783110218275</v>
      </c>
      <c r="C2098" s="10" t="str">
        <f>"9783110218282"</f>
        <v>9783110218282</v>
      </c>
      <c r="D2098" s="10" t="s">
        <v>9995</v>
      </c>
      <c r="E2098" s="10" t="s">
        <v>9996</v>
      </c>
      <c r="F2098" s="10" t="s">
        <v>9997</v>
      </c>
      <c r="G2098" s="10" t="s">
        <v>9998</v>
      </c>
      <c r="H2098" s="11">
        <v>40133</v>
      </c>
      <c r="I2098" s="10">
        <v>2009</v>
      </c>
      <c r="J2098" s="10" t="s">
        <v>9996</v>
      </c>
      <c r="K2098" s="10">
        <v>430</v>
      </c>
      <c r="L2098" s="10" t="s">
        <v>15440</v>
      </c>
      <c r="M2098" s="10">
        <v>1</v>
      </c>
      <c r="N2098" s="10" t="s">
        <v>11812</v>
      </c>
      <c r="O2098" s="10">
        <v>40</v>
      </c>
      <c r="P2098" s="10" t="s">
        <v>15441</v>
      </c>
      <c r="Q2098" s="10">
        <v>407.1</v>
      </c>
      <c r="R2098" s="10" t="s">
        <v>15442</v>
      </c>
      <c r="S2098" s="10" t="s">
        <v>53</v>
      </c>
      <c r="T2098" s="10" t="s">
        <v>6616</v>
      </c>
    </row>
    <row r="2099" spans="1:20" ht="14.5" x14ac:dyDescent="0.35">
      <c r="A2099" s="10" t="s">
        <v>15443</v>
      </c>
      <c r="B2099" s="10" t="str">
        <f>"9780821380024"</f>
        <v>9780821380024</v>
      </c>
      <c r="C2099" s="10" t="str">
        <f>"9780821380031"</f>
        <v>9780821380031</v>
      </c>
      <c r="D2099" s="10" t="s">
        <v>14731</v>
      </c>
      <c r="E2099" s="10" t="s">
        <v>14732</v>
      </c>
      <c r="F2099" s="10" t="s">
        <v>14733</v>
      </c>
      <c r="G2099" s="10" t="s">
        <v>6317</v>
      </c>
      <c r="H2099" s="11">
        <v>39989</v>
      </c>
      <c r="I2099" s="10">
        <v>2009</v>
      </c>
      <c r="J2099" s="10" t="s">
        <v>14734</v>
      </c>
      <c r="K2099" s="10">
        <v>98</v>
      </c>
      <c r="L2099" s="10" t="s">
        <v>14750</v>
      </c>
      <c r="M2099" s="10">
        <v>1</v>
      </c>
      <c r="N2099" s="10" t="s">
        <v>14843</v>
      </c>
      <c r="O2099" s="10"/>
      <c r="P2099" s="10" t="s">
        <v>15444</v>
      </c>
      <c r="Q2099" s="10">
        <v>370.9</v>
      </c>
      <c r="R2099" s="10" t="s">
        <v>15445</v>
      </c>
      <c r="S2099" s="10" t="s">
        <v>53</v>
      </c>
      <c r="T2099" s="10" t="s">
        <v>54</v>
      </c>
    </row>
    <row r="2100" spans="1:20" ht="14.5" x14ac:dyDescent="0.35">
      <c r="A2100" s="10" t="s">
        <v>15446</v>
      </c>
      <c r="B2100" s="10" t="str">
        <f>"9780821379295"</f>
        <v>9780821379295</v>
      </c>
      <c r="C2100" s="10" t="str">
        <f>"9780821379660"</f>
        <v>9780821379660</v>
      </c>
      <c r="D2100" s="10" t="s">
        <v>14731</v>
      </c>
      <c r="E2100" s="10" t="s">
        <v>14732</v>
      </c>
      <c r="F2100" s="10" t="s">
        <v>14733</v>
      </c>
      <c r="G2100" s="10" t="s">
        <v>6317</v>
      </c>
      <c r="H2100" s="11">
        <v>39987</v>
      </c>
      <c r="I2100" s="10">
        <v>2009</v>
      </c>
      <c r="J2100" s="10" t="s">
        <v>14734</v>
      </c>
      <c r="K2100" s="10">
        <v>188</v>
      </c>
      <c r="L2100" s="10" t="s">
        <v>15447</v>
      </c>
      <c r="M2100" s="10">
        <v>1</v>
      </c>
      <c r="N2100" s="10" t="s">
        <v>15448</v>
      </c>
      <c r="O2100" s="10">
        <v>5</v>
      </c>
      <c r="P2100" s="10" t="s">
        <v>15449</v>
      </c>
      <c r="Q2100" s="10" t="s">
        <v>12332</v>
      </c>
      <c r="R2100" s="10" t="s">
        <v>15450</v>
      </c>
      <c r="S2100" s="10" t="s">
        <v>53</v>
      </c>
      <c r="T2100" s="10" t="s">
        <v>54</v>
      </c>
    </row>
    <row r="2101" spans="1:20" ht="14.5" x14ac:dyDescent="0.35">
      <c r="A2101" s="10" t="s">
        <v>15451</v>
      </c>
      <c r="B2101" s="10" t="str">
        <f>"9780821380536"</f>
        <v>9780821380536</v>
      </c>
      <c r="C2101" s="10" t="str">
        <f>"9780821380710"</f>
        <v>9780821380710</v>
      </c>
      <c r="D2101" s="10" t="s">
        <v>14731</v>
      </c>
      <c r="E2101" s="10" t="s">
        <v>14732</v>
      </c>
      <c r="F2101" s="10" t="s">
        <v>14733</v>
      </c>
      <c r="G2101" s="10" t="s">
        <v>6317</v>
      </c>
      <c r="H2101" s="11">
        <v>40149</v>
      </c>
      <c r="I2101" s="10">
        <v>2010</v>
      </c>
      <c r="J2101" s="10" t="s">
        <v>14734</v>
      </c>
      <c r="K2101" s="10">
        <v>230</v>
      </c>
      <c r="L2101" s="10" t="s">
        <v>15452</v>
      </c>
      <c r="M2101" s="10">
        <v>1</v>
      </c>
      <c r="N2101" s="10"/>
      <c r="O2101" s="10"/>
      <c r="P2101" s="10" t="s">
        <v>15453</v>
      </c>
      <c r="Q2101" s="10">
        <v>370.7</v>
      </c>
      <c r="R2101" s="10" t="s">
        <v>15454</v>
      </c>
      <c r="S2101" s="10" t="s">
        <v>53</v>
      </c>
      <c r="T2101" s="10" t="s">
        <v>54</v>
      </c>
    </row>
    <row r="2102" spans="1:20" ht="14.5" x14ac:dyDescent="0.35">
      <c r="A2102" s="10" t="s">
        <v>15455</v>
      </c>
      <c r="B2102" s="10" t="str">
        <f>"9780821380659"</f>
        <v>9780821380659</v>
      </c>
      <c r="C2102" s="10" t="str">
        <f>"9780821380765"</f>
        <v>9780821380765</v>
      </c>
      <c r="D2102" s="10" t="s">
        <v>14731</v>
      </c>
      <c r="E2102" s="10" t="s">
        <v>14732</v>
      </c>
      <c r="F2102" s="10" t="s">
        <v>14733</v>
      </c>
      <c r="G2102" s="10" t="s">
        <v>6317</v>
      </c>
      <c r="H2102" s="11">
        <v>40053</v>
      </c>
      <c r="I2102" s="10">
        <v>2009</v>
      </c>
      <c r="J2102" s="10" t="s">
        <v>14734</v>
      </c>
      <c r="K2102" s="10">
        <v>57</v>
      </c>
      <c r="L2102" s="10" t="s">
        <v>15456</v>
      </c>
      <c r="M2102" s="10">
        <v>1</v>
      </c>
      <c r="N2102" s="10" t="s">
        <v>14843</v>
      </c>
      <c r="O2102" s="10"/>
      <c r="P2102" s="10" t="s">
        <v>15457</v>
      </c>
      <c r="Q2102" s="10" t="s">
        <v>15458</v>
      </c>
      <c r="R2102" s="10" t="s">
        <v>15459</v>
      </c>
      <c r="S2102" s="10" t="s">
        <v>53</v>
      </c>
      <c r="T2102" s="10" t="s">
        <v>54</v>
      </c>
    </row>
    <row r="2103" spans="1:20" ht="14.5" x14ac:dyDescent="0.35">
      <c r="A2103" s="10" t="s">
        <v>15460</v>
      </c>
      <c r="B2103" s="10" t="str">
        <f>"9781441127655"</f>
        <v>9781441127655</v>
      </c>
      <c r="C2103" s="10" t="str">
        <f>"9781441161109"</f>
        <v>9781441161109</v>
      </c>
      <c r="D2103" s="10" t="s">
        <v>13959</v>
      </c>
      <c r="E2103" s="10" t="s">
        <v>13960</v>
      </c>
      <c r="F2103" s="10" t="s">
        <v>139</v>
      </c>
      <c r="G2103" s="10" t="s">
        <v>6352</v>
      </c>
      <c r="H2103" s="11">
        <v>40899</v>
      </c>
      <c r="I2103" s="10">
        <v>2009</v>
      </c>
      <c r="J2103" s="10" t="s">
        <v>13961</v>
      </c>
      <c r="K2103" s="10">
        <v>202</v>
      </c>
      <c r="L2103" s="10" t="s">
        <v>15461</v>
      </c>
      <c r="M2103" s="10">
        <v>1</v>
      </c>
      <c r="N2103" s="10" t="s">
        <v>14634</v>
      </c>
      <c r="O2103" s="10"/>
      <c r="P2103" s="10" t="s">
        <v>15462</v>
      </c>
      <c r="Q2103" s="10">
        <v>373.18094100000002</v>
      </c>
      <c r="R2103" s="10" t="s">
        <v>15463</v>
      </c>
      <c r="S2103" s="10" t="s">
        <v>53</v>
      </c>
      <c r="T2103" s="10" t="s">
        <v>54</v>
      </c>
    </row>
    <row r="2104" spans="1:20" ht="14.5" x14ac:dyDescent="0.35">
      <c r="A2104" s="10" t="s">
        <v>15464</v>
      </c>
      <c r="B2104" s="10" t="str">
        <f>"9781441138507"</f>
        <v>9781441138507</v>
      </c>
      <c r="C2104" s="10" t="str">
        <f>"9781441199058"</f>
        <v>9781441199058</v>
      </c>
      <c r="D2104" s="10" t="s">
        <v>13959</v>
      </c>
      <c r="E2104" s="10" t="s">
        <v>13960</v>
      </c>
      <c r="F2104" s="10" t="s">
        <v>139</v>
      </c>
      <c r="G2104" s="10" t="s">
        <v>6352</v>
      </c>
      <c r="H2104" s="11">
        <v>40913</v>
      </c>
      <c r="I2104" s="10">
        <v>2009</v>
      </c>
      <c r="J2104" s="10" t="s">
        <v>13961</v>
      </c>
      <c r="K2104" s="10">
        <v>207</v>
      </c>
      <c r="L2104" s="10" t="s">
        <v>15465</v>
      </c>
      <c r="M2104" s="10">
        <v>1</v>
      </c>
      <c r="N2104" s="10"/>
      <c r="O2104" s="10"/>
      <c r="P2104" s="10" t="s">
        <v>15466</v>
      </c>
      <c r="Q2104" s="10">
        <v>306.43</v>
      </c>
      <c r="R2104" s="10" t="s">
        <v>15467</v>
      </c>
      <c r="S2104" s="10" t="s">
        <v>53</v>
      </c>
      <c r="T2104" s="10" t="s">
        <v>6526</v>
      </c>
    </row>
    <row r="2105" spans="1:20" ht="14.5" x14ac:dyDescent="0.35">
      <c r="A2105" s="10" t="s">
        <v>15468</v>
      </c>
      <c r="B2105" s="10" t="str">
        <f>"9781441138842"</f>
        <v>9781441138842</v>
      </c>
      <c r="C2105" s="10" t="str">
        <f>"9781441137807"</f>
        <v>9781441137807</v>
      </c>
      <c r="D2105" s="10" t="s">
        <v>13959</v>
      </c>
      <c r="E2105" s="10" t="s">
        <v>13960</v>
      </c>
      <c r="F2105" s="10" t="s">
        <v>139</v>
      </c>
      <c r="G2105" s="10" t="s">
        <v>6352</v>
      </c>
      <c r="H2105" s="11">
        <v>40934</v>
      </c>
      <c r="I2105" s="10">
        <v>2009</v>
      </c>
      <c r="J2105" s="10" t="s">
        <v>13961</v>
      </c>
      <c r="K2105" s="10">
        <v>349</v>
      </c>
      <c r="L2105" s="10" t="s">
        <v>15469</v>
      </c>
      <c r="M2105" s="10">
        <v>1</v>
      </c>
      <c r="N2105" s="10"/>
      <c r="O2105" s="10"/>
      <c r="P2105" s="10" t="s">
        <v>15470</v>
      </c>
      <c r="Q2105" s="10">
        <v>372.94099999999997</v>
      </c>
      <c r="R2105" s="10" t="s">
        <v>15471</v>
      </c>
      <c r="S2105" s="10" t="s">
        <v>53</v>
      </c>
      <c r="T2105" s="10" t="s">
        <v>54</v>
      </c>
    </row>
    <row r="2106" spans="1:20" ht="14.5" x14ac:dyDescent="0.35">
      <c r="A2106" s="10" t="s">
        <v>15472</v>
      </c>
      <c r="B2106" s="10" t="str">
        <f>"9781441194183"</f>
        <v>9781441194183</v>
      </c>
      <c r="C2106" s="10" t="str">
        <f>"9781441164353"</f>
        <v>9781441164353</v>
      </c>
      <c r="D2106" s="10" t="s">
        <v>13959</v>
      </c>
      <c r="E2106" s="10" t="s">
        <v>13960</v>
      </c>
      <c r="F2106" s="10" t="s">
        <v>139</v>
      </c>
      <c r="G2106" s="10" t="s">
        <v>6352</v>
      </c>
      <c r="H2106" s="11">
        <v>40934</v>
      </c>
      <c r="I2106" s="10">
        <v>2009</v>
      </c>
      <c r="J2106" s="10" t="s">
        <v>13960</v>
      </c>
      <c r="K2106" s="10">
        <v>335</v>
      </c>
      <c r="L2106" s="10" t="s">
        <v>15473</v>
      </c>
      <c r="M2106" s="10">
        <v>1</v>
      </c>
      <c r="N2106" s="10"/>
      <c r="O2106" s="10"/>
      <c r="P2106" s="10" t="s">
        <v>15474</v>
      </c>
      <c r="Q2106" s="10" t="s">
        <v>15475</v>
      </c>
      <c r="R2106" s="10" t="s">
        <v>15476</v>
      </c>
      <c r="S2106" s="10" t="s">
        <v>53</v>
      </c>
      <c r="T2106" s="10" t="s">
        <v>54</v>
      </c>
    </row>
    <row r="2107" spans="1:20" ht="14.5" x14ac:dyDescent="0.35">
      <c r="A2107" s="10" t="s">
        <v>15477</v>
      </c>
      <c r="B2107" s="10" t="str">
        <f>"9781441142733"</f>
        <v>9781441142733</v>
      </c>
      <c r="C2107" s="10" t="str">
        <f>"9781441158284"</f>
        <v>9781441158284</v>
      </c>
      <c r="D2107" s="10" t="s">
        <v>13959</v>
      </c>
      <c r="E2107" s="10" t="s">
        <v>13960</v>
      </c>
      <c r="F2107" s="10" t="s">
        <v>139</v>
      </c>
      <c r="G2107" s="10" t="s">
        <v>6352</v>
      </c>
      <c r="H2107" s="11">
        <v>40920</v>
      </c>
      <c r="I2107" s="10">
        <v>2009</v>
      </c>
      <c r="J2107" s="10" t="s">
        <v>13961</v>
      </c>
      <c r="K2107" s="10">
        <v>321</v>
      </c>
      <c r="L2107" s="10" t="s">
        <v>15478</v>
      </c>
      <c r="M2107" s="10">
        <v>1</v>
      </c>
      <c r="N2107" s="10"/>
      <c r="O2107" s="10"/>
      <c r="P2107" s="10" t="s">
        <v>15479</v>
      </c>
      <c r="Q2107" s="10">
        <v>370.1</v>
      </c>
      <c r="R2107" s="10" t="s">
        <v>15480</v>
      </c>
      <c r="S2107" s="10" t="s">
        <v>53</v>
      </c>
      <c r="T2107" s="10" t="s">
        <v>54</v>
      </c>
    </row>
    <row r="2108" spans="1:20" ht="14.5" x14ac:dyDescent="0.35">
      <c r="A2108" s="10" t="s">
        <v>15481</v>
      </c>
      <c r="B2108" s="10" t="str">
        <f>"9781441111753"</f>
        <v>9781441111753</v>
      </c>
      <c r="C2108" s="10" t="str">
        <f>"9781441143341"</f>
        <v>9781441143341</v>
      </c>
      <c r="D2108" s="10" t="s">
        <v>13959</v>
      </c>
      <c r="E2108" s="10" t="s">
        <v>13960</v>
      </c>
      <c r="F2108" s="10" t="s">
        <v>139</v>
      </c>
      <c r="G2108" s="10" t="s">
        <v>6352</v>
      </c>
      <c r="H2108" s="11">
        <v>40906</v>
      </c>
      <c r="I2108" s="10">
        <v>2009</v>
      </c>
      <c r="J2108" s="10" t="s">
        <v>13961</v>
      </c>
      <c r="K2108" s="10">
        <v>200</v>
      </c>
      <c r="L2108" s="10" t="s">
        <v>15482</v>
      </c>
      <c r="M2108" s="10">
        <v>1</v>
      </c>
      <c r="N2108" s="10" t="s">
        <v>14634</v>
      </c>
      <c r="O2108" s="10"/>
      <c r="P2108" s="10" t="s">
        <v>15483</v>
      </c>
      <c r="Q2108" s="10" t="s">
        <v>15484</v>
      </c>
      <c r="R2108" s="10" t="s">
        <v>15485</v>
      </c>
      <c r="S2108" s="10" t="s">
        <v>53</v>
      </c>
      <c r="T2108" s="10" t="s">
        <v>11186</v>
      </c>
    </row>
    <row r="2109" spans="1:20" ht="14.5" x14ac:dyDescent="0.35">
      <c r="A2109" s="10" t="s">
        <v>15486</v>
      </c>
      <c r="B2109" s="10" t="str">
        <f>"9781441104274"</f>
        <v>9781441104274</v>
      </c>
      <c r="C2109" s="10" t="str">
        <f>"9781441193841"</f>
        <v>9781441193841</v>
      </c>
      <c r="D2109" s="10" t="s">
        <v>13959</v>
      </c>
      <c r="E2109" s="10" t="s">
        <v>13960</v>
      </c>
      <c r="F2109" s="10" t="s">
        <v>139</v>
      </c>
      <c r="G2109" s="10" t="s">
        <v>6352</v>
      </c>
      <c r="H2109" s="11">
        <v>40913</v>
      </c>
      <c r="I2109" s="10">
        <v>2009</v>
      </c>
      <c r="J2109" s="10" t="s">
        <v>13961</v>
      </c>
      <c r="K2109" s="10">
        <v>190</v>
      </c>
      <c r="L2109" s="10" t="s">
        <v>14242</v>
      </c>
      <c r="M2109" s="10">
        <v>1</v>
      </c>
      <c r="N2109" s="10"/>
      <c r="O2109" s="10"/>
      <c r="P2109" s="10" t="s">
        <v>15487</v>
      </c>
      <c r="Q2109" s="10">
        <v>615.78</v>
      </c>
      <c r="R2109" s="10" t="s">
        <v>15488</v>
      </c>
      <c r="S2109" s="10" t="s">
        <v>53</v>
      </c>
      <c r="T2109" s="10" t="s">
        <v>15489</v>
      </c>
    </row>
    <row r="2110" spans="1:20" ht="14.5" x14ac:dyDescent="0.35">
      <c r="A2110" s="10" t="s">
        <v>15490</v>
      </c>
      <c r="B2110" s="10" t="str">
        <f>"9780874620801"</f>
        <v>9780874620801</v>
      </c>
      <c r="C2110" s="10" t="str">
        <f>"9780874623413"</f>
        <v>9780874623413</v>
      </c>
      <c r="D2110" s="10" t="s">
        <v>15491</v>
      </c>
      <c r="E2110" s="10" t="s">
        <v>15491</v>
      </c>
      <c r="F2110" s="10" t="s">
        <v>15492</v>
      </c>
      <c r="G2110" s="10" t="s">
        <v>6317</v>
      </c>
      <c r="H2110" s="11">
        <v>39083</v>
      </c>
      <c r="I2110" s="10">
        <v>2007</v>
      </c>
      <c r="J2110" s="10" t="s">
        <v>15491</v>
      </c>
      <c r="K2110" s="10">
        <v>438</v>
      </c>
      <c r="L2110" s="10" t="s">
        <v>15493</v>
      </c>
      <c r="M2110" s="10">
        <v>1</v>
      </c>
      <c r="N2110" s="10" t="s">
        <v>15494</v>
      </c>
      <c r="O2110" s="10"/>
      <c r="P2110" s="10" t="s">
        <v>15495</v>
      </c>
      <c r="Q2110" s="10" t="s">
        <v>15496</v>
      </c>
      <c r="R2110" s="10" t="s">
        <v>15497</v>
      </c>
      <c r="S2110" s="10" t="s">
        <v>53</v>
      </c>
      <c r="T2110" s="10" t="s">
        <v>54</v>
      </c>
    </row>
    <row r="2111" spans="1:20" ht="14.5" x14ac:dyDescent="0.35">
      <c r="A2111" s="10" t="s">
        <v>15498</v>
      </c>
      <c r="B2111" s="10" t="str">
        <f>""</f>
        <v/>
      </c>
      <c r="C2111" s="10" t="str">
        <f>"9789812833761"</f>
        <v>9789812833761</v>
      </c>
      <c r="D2111" s="10" t="s">
        <v>8571</v>
      </c>
      <c r="E2111" s="10" t="s">
        <v>8572</v>
      </c>
      <c r="F2111" s="10" t="s">
        <v>549</v>
      </c>
      <c r="G2111" s="10" t="s">
        <v>8573</v>
      </c>
      <c r="H2111" s="11">
        <v>39863</v>
      </c>
      <c r="I2111" s="10">
        <v>2009</v>
      </c>
      <c r="J2111" s="10" t="s">
        <v>8574</v>
      </c>
      <c r="K2111" s="10">
        <v>562</v>
      </c>
      <c r="L2111" s="10" t="s">
        <v>15499</v>
      </c>
      <c r="M2111" s="10">
        <v>1</v>
      </c>
      <c r="N2111" s="10" t="s">
        <v>8576</v>
      </c>
      <c r="O2111" s="10">
        <v>2</v>
      </c>
      <c r="P2111" s="10" t="s">
        <v>15500</v>
      </c>
      <c r="Q2111" s="10">
        <v>510.71</v>
      </c>
      <c r="R2111" s="10" t="s">
        <v>15501</v>
      </c>
      <c r="S2111" s="10" t="s">
        <v>53</v>
      </c>
      <c r="T2111" s="10" t="s">
        <v>389</v>
      </c>
    </row>
    <row r="2112" spans="1:20" ht="14.5" x14ac:dyDescent="0.35">
      <c r="A2112" s="10" t="s">
        <v>15502</v>
      </c>
      <c r="B2112" s="10" t="str">
        <f>"9780470550892"</f>
        <v>9780470550892</v>
      </c>
      <c r="C2112" s="10" t="str">
        <f>"9780470573136"</f>
        <v>9780470573136</v>
      </c>
      <c r="D2112" s="10" t="s">
        <v>6322</v>
      </c>
      <c r="E2112" s="10" t="s">
        <v>6323</v>
      </c>
      <c r="F2112" s="10" t="s">
        <v>4423</v>
      </c>
      <c r="G2112" s="10" t="s">
        <v>6317</v>
      </c>
      <c r="H2112" s="11">
        <v>40189</v>
      </c>
      <c r="I2112" s="10">
        <v>2010</v>
      </c>
      <c r="J2112" s="10" t="s">
        <v>6324</v>
      </c>
      <c r="K2112" s="10">
        <v>235</v>
      </c>
      <c r="L2112" s="10" t="s">
        <v>15503</v>
      </c>
      <c r="M2112" s="10">
        <v>1</v>
      </c>
      <c r="N2112" s="10"/>
      <c r="O2112" s="10"/>
      <c r="P2112" s="10" t="s">
        <v>15504</v>
      </c>
      <c r="Q2112" s="10" t="s">
        <v>15505</v>
      </c>
      <c r="R2112" s="10" t="s">
        <v>15506</v>
      </c>
      <c r="S2112" s="10" t="s">
        <v>53</v>
      </c>
      <c r="T2112" s="10" t="s">
        <v>54</v>
      </c>
    </row>
    <row r="2113" spans="1:20" ht="14.5" x14ac:dyDescent="0.35">
      <c r="A2113" s="10" t="s">
        <v>15507</v>
      </c>
      <c r="B2113" s="10" t="str">
        <f>"9780470259399"</f>
        <v>9780470259399</v>
      </c>
      <c r="C2113" s="10" t="str">
        <f>"9780470538463"</f>
        <v>9780470538463</v>
      </c>
      <c r="D2113" s="10" t="s">
        <v>6322</v>
      </c>
      <c r="E2113" s="10" t="s">
        <v>6323</v>
      </c>
      <c r="F2113" s="10" t="s">
        <v>1168</v>
      </c>
      <c r="G2113" s="10" t="s">
        <v>6317</v>
      </c>
      <c r="H2113" s="11">
        <v>40177</v>
      </c>
      <c r="I2113" s="10">
        <v>2009</v>
      </c>
      <c r="J2113" s="10" t="s">
        <v>6324</v>
      </c>
      <c r="K2113" s="10">
        <v>538</v>
      </c>
      <c r="L2113" s="10" t="s">
        <v>15508</v>
      </c>
      <c r="M2113" s="10">
        <v>2</v>
      </c>
      <c r="N2113" s="10"/>
      <c r="O2113" s="10"/>
      <c r="P2113" s="10" t="s">
        <v>15509</v>
      </c>
      <c r="Q2113" s="10">
        <v>371.90973000000002</v>
      </c>
      <c r="R2113" s="10" t="s">
        <v>15510</v>
      </c>
      <c r="S2113" s="10" t="s">
        <v>53</v>
      </c>
      <c r="T2113" s="10" t="s">
        <v>6472</v>
      </c>
    </row>
    <row r="2114" spans="1:20" ht="14.5" x14ac:dyDescent="0.35">
      <c r="A2114" s="10" t="s">
        <v>15511</v>
      </c>
      <c r="B2114" s="10" t="str">
        <f>"9780865715578"</f>
        <v>9780865715578</v>
      </c>
      <c r="C2114" s="10" t="str">
        <f>"9781550924053"</f>
        <v>9781550924053</v>
      </c>
      <c r="D2114" s="10" t="s">
        <v>9533</v>
      </c>
      <c r="E2114" s="10" t="s">
        <v>9534</v>
      </c>
      <c r="F2114" s="10" t="s">
        <v>9535</v>
      </c>
      <c r="G2114" s="10" t="s">
        <v>6317</v>
      </c>
      <c r="H2114" s="11">
        <v>38838</v>
      </c>
      <c r="I2114" s="10">
        <v>2009</v>
      </c>
      <c r="J2114" s="10" t="s">
        <v>9534</v>
      </c>
      <c r="K2114" s="10">
        <v>289</v>
      </c>
      <c r="L2114" s="10" t="s">
        <v>15512</v>
      </c>
      <c r="M2114" s="10">
        <v>1</v>
      </c>
      <c r="N2114" s="10"/>
      <c r="O2114" s="10"/>
      <c r="P2114" s="10" t="s">
        <v>15513</v>
      </c>
      <c r="Q2114" s="10">
        <v>727.30470000000003</v>
      </c>
      <c r="R2114" s="10" t="s">
        <v>15514</v>
      </c>
      <c r="S2114" s="10" t="s">
        <v>53</v>
      </c>
      <c r="T2114" s="10" t="s">
        <v>15515</v>
      </c>
    </row>
    <row r="2115" spans="1:20" ht="14.5" x14ac:dyDescent="0.35">
      <c r="A2115" s="10" t="s">
        <v>15516</v>
      </c>
      <c r="B2115" s="10" t="str">
        <f>"9780865716698"</f>
        <v>9780865716698</v>
      </c>
      <c r="C2115" s="10" t="str">
        <f>"9781550924244"</f>
        <v>9781550924244</v>
      </c>
      <c r="D2115" s="10" t="s">
        <v>9533</v>
      </c>
      <c r="E2115" s="10" t="s">
        <v>9534</v>
      </c>
      <c r="F2115" s="10" t="s">
        <v>9535</v>
      </c>
      <c r="G2115" s="10" t="s">
        <v>9536</v>
      </c>
      <c r="H2115" s="11">
        <v>40269</v>
      </c>
      <c r="I2115" s="10">
        <v>2010</v>
      </c>
      <c r="J2115" s="10" t="s">
        <v>9534</v>
      </c>
      <c r="K2115" s="10">
        <v>161</v>
      </c>
      <c r="L2115" s="10" t="s">
        <v>15517</v>
      </c>
      <c r="M2115" s="10">
        <v>1</v>
      </c>
      <c r="N2115" s="10"/>
      <c r="O2115" s="10"/>
      <c r="P2115" s="10" t="s">
        <v>15518</v>
      </c>
      <c r="Q2115" s="10">
        <v>379.23</v>
      </c>
      <c r="R2115" s="10" t="s">
        <v>15519</v>
      </c>
      <c r="S2115" s="10" t="s">
        <v>53</v>
      </c>
      <c r="T2115" s="10" t="s">
        <v>54</v>
      </c>
    </row>
    <row r="2116" spans="1:20" ht="14.5" x14ac:dyDescent="0.35">
      <c r="A2116" s="10" t="s">
        <v>15520</v>
      </c>
      <c r="B2116" s="10" t="str">
        <f>"9781594032370"</f>
        <v>9781594032370</v>
      </c>
      <c r="C2116" s="10" t="str">
        <f>"9781594033674"</f>
        <v>9781594033674</v>
      </c>
      <c r="D2116" s="10" t="s">
        <v>9533</v>
      </c>
      <c r="E2116" s="10" t="s">
        <v>15521</v>
      </c>
      <c r="F2116" s="10" t="s">
        <v>70</v>
      </c>
      <c r="G2116" s="10" t="s">
        <v>6317</v>
      </c>
      <c r="H2116" s="11">
        <v>39895</v>
      </c>
      <c r="I2116" s="10">
        <v>2009</v>
      </c>
      <c r="J2116" s="10" t="s">
        <v>15521</v>
      </c>
      <c r="K2116" s="10">
        <v>146</v>
      </c>
      <c r="L2116" s="10" t="s">
        <v>15522</v>
      </c>
      <c r="M2116" s="10">
        <v>1</v>
      </c>
      <c r="N2116" s="10"/>
      <c r="O2116" s="10"/>
      <c r="P2116" s="10" t="s">
        <v>15523</v>
      </c>
      <c r="Q2116" s="10">
        <v>378.12130000000002</v>
      </c>
      <c r="R2116" s="10" t="s">
        <v>15524</v>
      </c>
      <c r="S2116" s="10" t="s">
        <v>53</v>
      </c>
      <c r="T2116" s="10" t="s">
        <v>54</v>
      </c>
    </row>
    <row r="2117" spans="1:20" ht="14.5" x14ac:dyDescent="0.35">
      <c r="A2117" s="10" t="s">
        <v>15525</v>
      </c>
      <c r="B2117" s="10" t="str">
        <f>"9781555916510"</f>
        <v>9781555916510</v>
      </c>
      <c r="C2117" s="10" t="str">
        <f>"9781555918286"</f>
        <v>9781555918286</v>
      </c>
      <c r="D2117" s="10" t="s">
        <v>9215</v>
      </c>
      <c r="E2117" s="10" t="s">
        <v>15526</v>
      </c>
      <c r="F2117" s="10" t="s">
        <v>15527</v>
      </c>
      <c r="G2117" s="10" t="s">
        <v>6317</v>
      </c>
      <c r="H2117" s="11">
        <v>39873</v>
      </c>
      <c r="I2117" s="10">
        <v>2009</v>
      </c>
      <c r="J2117" s="10" t="s">
        <v>15526</v>
      </c>
      <c r="K2117" s="10">
        <v>44</v>
      </c>
      <c r="L2117" s="10" t="s">
        <v>15528</v>
      </c>
      <c r="M2117" s="10">
        <v>1</v>
      </c>
      <c r="N2117" s="10"/>
      <c r="O2117" s="10"/>
      <c r="P2117" s="10" t="s">
        <v>15529</v>
      </c>
      <c r="Q2117" s="10">
        <v>378.00099999999998</v>
      </c>
      <c r="R2117" s="10" t="s">
        <v>15530</v>
      </c>
      <c r="S2117" s="10" t="s">
        <v>53</v>
      </c>
      <c r="T2117" s="10" t="s">
        <v>54</v>
      </c>
    </row>
    <row r="2118" spans="1:20" ht="14.5" x14ac:dyDescent="0.35">
      <c r="A2118" s="10" t="s">
        <v>15531</v>
      </c>
      <c r="B2118" s="10" t="str">
        <f>"9780865715127"</f>
        <v>9780865715127</v>
      </c>
      <c r="C2118" s="10" t="str">
        <f>"9781550924077"</f>
        <v>9781550924077</v>
      </c>
      <c r="D2118" s="10" t="s">
        <v>9533</v>
      </c>
      <c r="E2118" s="10" t="s">
        <v>9534</v>
      </c>
      <c r="F2118" s="10" t="s">
        <v>9535</v>
      </c>
      <c r="G2118" s="10" t="s">
        <v>9536</v>
      </c>
      <c r="H2118" s="11">
        <v>38261</v>
      </c>
      <c r="I2118" s="10">
        <v>2004</v>
      </c>
      <c r="J2118" s="10" t="s">
        <v>9534</v>
      </c>
      <c r="K2118" s="10">
        <v>193</v>
      </c>
      <c r="L2118" s="10" t="s">
        <v>15532</v>
      </c>
      <c r="M2118" s="10">
        <v>1</v>
      </c>
      <c r="N2118" s="10"/>
      <c r="O2118" s="10"/>
      <c r="P2118" s="10" t="s">
        <v>15533</v>
      </c>
      <c r="Q2118" s="10">
        <v>370.1</v>
      </c>
      <c r="R2118" s="10" t="s">
        <v>15534</v>
      </c>
      <c r="S2118" s="10" t="s">
        <v>53</v>
      </c>
      <c r="T2118" s="10" t="s">
        <v>54</v>
      </c>
    </row>
    <row r="2119" spans="1:20" ht="14.5" x14ac:dyDescent="0.35">
      <c r="A2119" s="10" t="s">
        <v>15535</v>
      </c>
      <c r="B2119" s="10" t="str">
        <f>"9781610390972"</f>
        <v>9781610390972</v>
      </c>
      <c r="C2119" s="10" t="str">
        <f>"9780786746194"</f>
        <v>9780786746194</v>
      </c>
      <c r="D2119" s="10" t="s">
        <v>15536</v>
      </c>
      <c r="E2119" s="10" t="s">
        <v>15537</v>
      </c>
      <c r="F2119" s="10" t="s">
        <v>70</v>
      </c>
      <c r="G2119" s="10" t="s">
        <v>6317</v>
      </c>
      <c r="H2119" s="11">
        <v>40190</v>
      </c>
      <c r="I2119" s="10">
        <v>2010</v>
      </c>
      <c r="J2119" s="10" t="s">
        <v>15537</v>
      </c>
      <c r="K2119" s="10">
        <v>633</v>
      </c>
      <c r="L2119" s="10" t="s">
        <v>15538</v>
      </c>
      <c r="M2119" s="10">
        <v>1</v>
      </c>
      <c r="N2119" s="10"/>
      <c r="O2119" s="10"/>
      <c r="P2119" s="10" t="s">
        <v>15539</v>
      </c>
      <c r="Q2119" s="10">
        <v>378.73</v>
      </c>
      <c r="R2119" s="10" t="s">
        <v>15540</v>
      </c>
      <c r="S2119" s="10" t="s">
        <v>53</v>
      </c>
      <c r="T2119" s="10" t="s">
        <v>54</v>
      </c>
    </row>
    <row r="2120" spans="1:20" ht="14.5" x14ac:dyDescent="0.35">
      <c r="A2120" s="10" t="s">
        <v>15541</v>
      </c>
      <c r="B2120" s="10" t="str">
        <f>"9781606235560"</f>
        <v>9781606235560</v>
      </c>
      <c r="C2120" s="10" t="str">
        <f>"9781606235584"</f>
        <v>9781606235584</v>
      </c>
      <c r="D2120" s="10" t="s">
        <v>11213</v>
      </c>
      <c r="E2120" s="10" t="s">
        <v>11214</v>
      </c>
      <c r="F2120" s="10" t="s">
        <v>70</v>
      </c>
      <c r="G2120" s="10" t="s">
        <v>6317</v>
      </c>
      <c r="H2120" s="11">
        <v>40255</v>
      </c>
      <c r="I2120" s="10">
        <v>2010</v>
      </c>
      <c r="J2120" s="10" t="s">
        <v>11215</v>
      </c>
      <c r="K2120" s="10">
        <v>289</v>
      </c>
      <c r="L2120" s="10" t="s">
        <v>15542</v>
      </c>
      <c r="M2120" s="10">
        <v>1</v>
      </c>
      <c r="N2120" s="10"/>
      <c r="O2120" s="10"/>
      <c r="P2120" s="10" t="s">
        <v>15543</v>
      </c>
      <c r="Q2120" s="10" t="s">
        <v>14070</v>
      </c>
      <c r="R2120" s="10" t="s">
        <v>15544</v>
      </c>
      <c r="S2120" s="10" t="s">
        <v>53</v>
      </c>
      <c r="T2120" s="10" t="s">
        <v>15545</v>
      </c>
    </row>
    <row r="2121" spans="1:20" ht="14.5" x14ac:dyDescent="0.35">
      <c r="A2121" s="10" t="s">
        <v>15546</v>
      </c>
      <c r="B2121" s="10" t="str">
        <f>"9781606235652"</f>
        <v>9781606235652</v>
      </c>
      <c r="C2121" s="10" t="str">
        <f>"9781606235676"</f>
        <v>9781606235676</v>
      </c>
      <c r="D2121" s="10" t="s">
        <v>11213</v>
      </c>
      <c r="E2121" s="10" t="s">
        <v>11214</v>
      </c>
      <c r="F2121" s="10" t="s">
        <v>70</v>
      </c>
      <c r="G2121" s="10" t="s">
        <v>6317</v>
      </c>
      <c r="H2121" s="11">
        <v>40212</v>
      </c>
      <c r="I2121" s="10">
        <v>2010</v>
      </c>
      <c r="J2121" s="10" t="s">
        <v>11215</v>
      </c>
      <c r="K2121" s="10">
        <v>257</v>
      </c>
      <c r="L2121" s="10" t="s">
        <v>15547</v>
      </c>
      <c r="M2121" s="10">
        <v>1</v>
      </c>
      <c r="N2121" s="10"/>
      <c r="O2121" s="10"/>
      <c r="P2121" s="10" t="s">
        <v>15548</v>
      </c>
      <c r="Q2121" s="10">
        <v>371.9</v>
      </c>
      <c r="R2121" s="10" t="s">
        <v>15549</v>
      </c>
      <c r="S2121" s="10" t="s">
        <v>53</v>
      </c>
      <c r="T2121" s="10" t="s">
        <v>54</v>
      </c>
    </row>
    <row r="2122" spans="1:20" ht="14.5" x14ac:dyDescent="0.35">
      <c r="A2122" s="10" t="s">
        <v>15550</v>
      </c>
      <c r="B2122" s="10" t="str">
        <f>"9780759113237"</f>
        <v>9780759113237</v>
      </c>
      <c r="C2122" s="10" t="str">
        <f>"9780759113244"</f>
        <v>9780759113244</v>
      </c>
      <c r="D2122" s="10" t="s">
        <v>9752</v>
      </c>
      <c r="E2122" s="10" t="s">
        <v>15551</v>
      </c>
      <c r="F2122" s="10" t="s">
        <v>9754</v>
      </c>
      <c r="G2122" s="10" t="s">
        <v>6317</v>
      </c>
      <c r="H2122" s="11">
        <v>40194</v>
      </c>
      <c r="I2122" s="10">
        <v>2010</v>
      </c>
      <c r="J2122" s="10" t="s">
        <v>15551</v>
      </c>
      <c r="K2122" s="10">
        <v>497</v>
      </c>
      <c r="L2122" s="10" t="s">
        <v>15552</v>
      </c>
      <c r="M2122" s="10">
        <v>1</v>
      </c>
      <c r="N2122" s="10"/>
      <c r="O2122" s="10"/>
      <c r="P2122" s="10" t="s">
        <v>15553</v>
      </c>
      <c r="Q2122" s="10">
        <v>306.43</v>
      </c>
      <c r="R2122" s="10" t="s">
        <v>15554</v>
      </c>
      <c r="S2122" s="10" t="s">
        <v>53</v>
      </c>
      <c r="T2122" s="10" t="s">
        <v>6472</v>
      </c>
    </row>
    <row r="2123" spans="1:20" ht="14.5" x14ac:dyDescent="0.35">
      <c r="A2123" s="10" t="s">
        <v>15555</v>
      </c>
      <c r="B2123" s="10" t="str">
        <f>"9781607091493"</f>
        <v>9781607091493</v>
      </c>
      <c r="C2123" s="10" t="str">
        <f>"9781607091509"</f>
        <v>9781607091509</v>
      </c>
      <c r="D2123" s="10" t="s">
        <v>9752</v>
      </c>
      <c r="E2123" s="10" t="s">
        <v>15192</v>
      </c>
      <c r="F2123" s="10" t="s">
        <v>9754</v>
      </c>
      <c r="G2123" s="10" t="s">
        <v>6317</v>
      </c>
      <c r="H2123" s="11">
        <v>40194</v>
      </c>
      <c r="I2123" s="10">
        <v>2010</v>
      </c>
      <c r="J2123" s="10" t="s">
        <v>15192</v>
      </c>
      <c r="K2123" s="10">
        <v>179</v>
      </c>
      <c r="L2123" s="10" t="s">
        <v>15556</v>
      </c>
      <c r="M2123" s="10">
        <v>2</v>
      </c>
      <c r="N2123" s="10"/>
      <c r="O2123" s="10"/>
      <c r="P2123" s="10" t="s">
        <v>15557</v>
      </c>
      <c r="Q2123" s="10" t="s">
        <v>15558</v>
      </c>
      <c r="R2123" s="10" t="s">
        <v>15559</v>
      </c>
      <c r="S2123" s="10" t="s">
        <v>53</v>
      </c>
      <c r="T2123" s="10" t="s">
        <v>54</v>
      </c>
    </row>
    <row r="2124" spans="1:20" ht="14.5" x14ac:dyDescent="0.35">
      <c r="A2124" s="10" t="s">
        <v>15560</v>
      </c>
      <c r="B2124" s="10" t="str">
        <f>"9780335234165"</f>
        <v>9780335234165</v>
      </c>
      <c r="C2124" s="10" t="str">
        <f>"9780335239436"</f>
        <v>9780335239436</v>
      </c>
      <c r="D2124" s="10" t="s">
        <v>10342</v>
      </c>
      <c r="E2124" s="10" t="s">
        <v>10343</v>
      </c>
      <c r="F2124" s="10" t="s">
        <v>10344</v>
      </c>
      <c r="G2124" s="10" t="s">
        <v>6352</v>
      </c>
      <c r="H2124" s="11">
        <v>39873</v>
      </c>
      <c r="I2124" s="10">
        <v>2009</v>
      </c>
      <c r="J2124" s="10" t="s">
        <v>10345</v>
      </c>
      <c r="K2124" s="10">
        <v>145</v>
      </c>
      <c r="L2124" s="10" t="s">
        <v>15561</v>
      </c>
      <c r="M2124" s="10">
        <v>1</v>
      </c>
      <c r="N2124" s="10" t="s">
        <v>10347</v>
      </c>
      <c r="O2124" s="10"/>
      <c r="P2124" s="10" t="s">
        <v>15562</v>
      </c>
      <c r="Q2124" s="10">
        <v>371.10209409999999</v>
      </c>
      <c r="R2124" s="10" t="s">
        <v>15563</v>
      </c>
      <c r="S2124" s="10" t="s">
        <v>53</v>
      </c>
      <c r="T2124" s="10" t="s">
        <v>54</v>
      </c>
    </row>
    <row r="2125" spans="1:20" ht="14.5" x14ac:dyDescent="0.35">
      <c r="A2125" s="10" t="s">
        <v>15564</v>
      </c>
      <c r="B2125" s="10" t="str">
        <f>"9780335236046"</f>
        <v>9780335236046</v>
      </c>
      <c r="C2125" s="10" t="str">
        <f>"9780335239467"</f>
        <v>9780335239467</v>
      </c>
      <c r="D2125" s="10" t="s">
        <v>10342</v>
      </c>
      <c r="E2125" s="10" t="s">
        <v>10343</v>
      </c>
      <c r="F2125" s="10" t="s">
        <v>10344</v>
      </c>
      <c r="G2125" s="10" t="s">
        <v>6352</v>
      </c>
      <c r="H2125" s="11">
        <v>40057</v>
      </c>
      <c r="I2125" s="10">
        <v>2009</v>
      </c>
      <c r="J2125" s="10" t="s">
        <v>10345</v>
      </c>
      <c r="K2125" s="10">
        <v>176</v>
      </c>
      <c r="L2125" s="10" t="s">
        <v>15565</v>
      </c>
      <c r="M2125" s="10">
        <v>1</v>
      </c>
      <c r="N2125" s="10" t="s">
        <v>10347</v>
      </c>
      <c r="O2125" s="10"/>
      <c r="P2125" s="10" t="s">
        <v>15566</v>
      </c>
      <c r="Q2125" s="10"/>
      <c r="R2125" s="10" t="s">
        <v>15567</v>
      </c>
      <c r="S2125" s="10" t="s">
        <v>53</v>
      </c>
      <c r="T2125" s="10" t="s">
        <v>54</v>
      </c>
    </row>
    <row r="2126" spans="1:20" ht="14.5" x14ac:dyDescent="0.35">
      <c r="A2126" s="10" t="s">
        <v>15568</v>
      </c>
      <c r="B2126" s="10" t="str">
        <f>"9780335235322"</f>
        <v>9780335235322</v>
      </c>
      <c r="C2126" s="10" t="str">
        <f>"9780335239825"</f>
        <v>9780335239825</v>
      </c>
      <c r="D2126" s="10" t="s">
        <v>10342</v>
      </c>
      <c r="E2126" s="10" t="s">
        <v>10343</v>
      </c>
      <c r="F2126" s="10" t="s">
        <v>10344</v>
      </c>
      <c r="G2126" s="10" t="s">
        <v>6352</v>
      </c>
      <c r="H2126" s="11">
        <v>40087</v>
      </c>
      <c r="I2126" s="10">
        <v>2009</v>
      </c>
      <c r="J2126" s="10" t="s">
        <v>10345</v>
      </c>
      <c r="K2126" s="10">
        <v>210</v>
      </c>
      <c r="L2126" s="10" t="s">
        <v>15569</v>
      </c>
      <c r="M2126" s="10">
        <v>1</v>
      </c>
      <c r="N2126" s="10" t="s">
        <v>10347</v>
      </c>
      <c r="O2126" s="10"/>
      <c r="P2126" s="10" t="s">
        <v>15570</v>
      </c>
      <c r="Q2126" s="10"/>
      <c r="R2126" s="10" t="s">
        <v>15571</v>
      </c>
      <c r="S2126" s="10" t="s">
        <v>53</v>
      </c>
      <c r="T2126" s="10" t="s">
        <v>11880</v>
      </c>
    </row>
    <row r="2127" spans="1:20" ht="14.5" x14ac:dyDescent="0.35">
      <c r="A2127" s="10" t="s">
        <v>15572</v>
      </c>
      <c r="B2127" s="10" t="str">
        <f>"9780335210541"</f>
        <v>9780335210541</v>
      </c>
      <c r="C2127" s="10" t="str">
        <f>"9780335227754"</f>
        <v>9780335227754</v>
      </c>
      <c r="D2127" s="10" t="s">
        <v>10342</v>
      </c>
      <c r="E2127" s="10" t="s">
        <v>10343</v>
      </c>
      <c r="F2127" s="10" t="s">
        <v>10344</v>
      </c>
      <c r="G2127" s="10" t="s">
        <v>6352</v>
      </c>
      <c r="H2127" s="11">
        <v>37773</v>
      </c>
      <c r="I2127" s="10">
        <v>2003</v>
      </c>
      <c r="J2127" s="10" t="s">
        <v>10345</v>
      </c>
      <c r="K2127" s="10">
        <v>170</v>
      </c>
      <c r="L2127" s="10" t="s">
        <v>15573</v>
      </c>
      <c r="M2127" s="10">
        <v>1</v>
      </c>
      <c r="N2127" s="10"/>
      <c r="O2127" s="10"/>
      <c r="P2127" s="10" t="s">
        <v>15574</v>
      </c>
      <c r="Q2127" s="10">
        <v>378.17</v>
      </c>
      <c r="R2127" s="10" t="s">
        <v>15575</v>
      </c>
      <c r="S2127" s="10" t="s">
        <v>53</v>
      </c>
      <c r="T2127" s="10" t="s">
        <v>54</v>
      </c>
    </row>
    <row r="2128" spans="1:20" ht="14.5" x14ac:dyDescent="0.35">
      <c r="A2128" s="10" t="s">
        <v>15576</v>
      </c>
      <c r="B2128" s="10" t="str">
        <f>"9780335234271"</f>
        <v>9780335234271</v>
      </c>
      <c r="C2128" s="10" t="str">
        <f>"9780335238026"</f>
        <v>9780335238026</v>
      </c>
      <c r="D2128" s="10" t="s">
        <v>10342</v>
      </c>
      <c r="E2128" s="10" t="s">
        <v>10343</v>
      </c>
      <c r="F2128" s="10" t="s">
        <v>10344</v>
      </c>
      <c r="G2128" s="10" t="s">
        <v>6352</v>
      </c>
      <c r="H2128" s="11">
        <v>39873</v>
      </c>
      <c r="I2128" s="10">
        <v>2009</v>
      </c>
      <c r="J2128" s="10" t="s">
        <v>10345</v>
      </c>
      <c r="K2128" s="10">
        <v>202</v>
      </c>
      <c r="L2128" s="10" t="s">
        <v>15577</v>
      </c>
      <c r="M2128" s="10">
        <v>2</v>
      </c>
      <c r="N2128" s="10" t="s">
        <v>10347</v>
      </c>
      <c r="O2128" s="10"/>
      <c r="P2128" s="10" t="s">
        <v>15578</v>
      </c>
      <c r="Q2128" s="10">
        <v>372.60941000000003</v>
      </c>
      <c r="R2128" s="10" t="s">
        <v>15579</v>
      </c>
      <c r="S2128" s="10" t="s">
        <v>53</v>
      </c>
      <c r="T2128" s="10" t="s">
        <v>54</v>
      </c>
    </row>
    <row r="2129" spans="1:20" ht="14.5" x14ac:dyDescent="0.35">
      <c r="A2129" s="10" t="s">
        <v>15580</v>
      </c>
      <c r="B2129" s="10" t="str">
        <f>"9780415480154"</f>
        <v>9780415480154</v>
      </c>
      <c r="C2129" s="10" t="str">
        <f>"9780203863237"</f>
        <v>9780203863237</v>
      </c>
      <c r="D2129" s="10" t="s">
        <v>6350</v>
      </c>
      <c r="E2129" s="10" t="s">
        <v>6351</v>
      </c>
      <c r="F2129" s="10" t="s">
        <v>748</v>
      </c>
      <c r="G2129" s="10" t="s">
        <v>6352</v>
      </c>
      <c r="H2129" s="11">
        <v>40206</v>
      </c>
      <c r="I2129" s="10">
        <v>2010</v>
      </c>
      <c r="J2129" s="10" t="s">
        <v>6351</v>
      </c>
      <c r="K2129" s="10">
        <v>254</v>
      </c>
      <c r="L2129" s="10" t="s">
        <v>15581</v>
      </c>
      <c r="M2129" s="10">
        <v>1</v>
      </c>
      <c r="N2129" s="10" t="s">
        <v>14375</v>
      </c>
      <c r="O2129" s="10"/>
      <c r="P2129" s="10" t="s">
        <v>15582</v>
      </c>
      <c r="Q2129" s="10" t="s">
        <v>8011</v>
      </c>
      <c r="R2129" s="10" t="s">
        <v>15583</v>
      </c>
      <c r="S2129" s="10" t="s">
        <v>53</v>
      </c>
      <c r="T2129" s="10" t="s">
        <v>6526</v>
      </c>
    </row>
    <row r="2130" spans="1:20" ht="14.5" x14ac:dyDescent="0.35">
      <c r="A2130" s="10" t="s">
        <v>15584</v>
      </c>
      <c r="B2130" s="10" t="str">
        <f>"9780415560009"</f>
        <v>9780415560009</v>
      </c>
      <c r="C2130" s="10" t="str">
        <f>"9780203863275"</f>
        <v>9780203863275</v>
      </c>
      <c r="D2130" s="10" t="s">
        <v>6350</v>
      </c>
      <c r="E2130" s="10" t="s">
        <v>6351</v>
      </c>
      <c r="F2130" s="10" t="s">
        <v>748</v>
      </c>
      <c r="G2130" s="10" t="s">
        <v>6352</v>
      </c>
      <c r="H2130" s="11">
        <v>40205</v>
      </c>
      <c r="I2130" s="10">
        <v>2010</v>
      </c>
      <c r="J2130" s="10" t="s">
        <v>6351</v>
      </c>
      <c r="K2130" s="10">
        <v>231</v>
      </c>
      <c r="L2130" s="10" t="s">
        <v>15585</v>
      </c>
      <c r="M2130" s="10">
        <v>1</v>
      </c>
      <c r="N2130" s="10"/>
      <c r="O2130" s="10"/>
      <c r="P2130" s="10" t="s">
        <v>15586</v>
      </c>
      <c r="Q2130" s="10" t="s">
        <v>11314</v>
      </c>
      <c r="R2130" s="10" t="s">
        <v>15587</v>
      </c>
      <c r="S2130" s="10" t="s">
        <v>53</v>
      </c>
      <c r="T2130" s="10" t="s">
        <v>54</v>
      </c>
    </row>
    <row r="2131" spans="1:20" ht="14.5" x14ac:dyDescent="0.35">
      <c r="A2131" s="10" t="s">
        <v>15588</v>
      </c>
      <c r="B2131" s="10" t="str">
        <f>"9780805863390"</f>
        <v>9780805863390</v>
      </c>
      <c r="C2131" s="10" t="str">
        <f>"9780203859131"</f>
        <v>9780203859131</v>
      </c>
      <c r="D2131" s="10" t="s">
        <v>6350</v>
      </c>
      <c r="E2131" s="10" t="s">
        <v>6351</v>
      </c>
      <c r="F2131" s="10" t="s">
        <v>70</v>
      </c>
      <c r="G2131" s="10" t="s">
        <v>6317</v>
      </c>
      <c r="H2131" s="11">
        <v>40221</v>
      </c>
      <c r="I2131" s="10">
        <v>2010</v>
      </c>
      <c r="J2131" s="10" t="s">
        <v>6353</v>
      </c>
      <c r="K2131" s="10">
        <v>321</v>
      </c>
      <c r="L2131" s="10" t="s">
        <v>15589</v>
      </c>
      <c r="M2131" s="10">
        <v>1</v>
      </c>
      <c r="N2131" s="10" t="s">
        <v>15590</v>
      </c>
      <c r="O2131" s="10"/>
      <c r="P2131" s="10" t="s">
        <v>15591</v>
      </c>
      <c r="Q2131" s="10">
        <v>372.35043999999999</v>
      </c>
      <c r="R2131" s="10" t="s">
        <v>15592</v>
      </c>
      <c r="S2131" s="10" t="s">
        <v>53</v>
      </c>
      <c r="T2131" s="10" t="s">
        <v>54</v>
      </c>
    </row>
    <row r="2132" spans="1:20" ht="14.5" x14ac:dyDescent="0.35">
      <c r="A2132" s="10" t="s">
        <v>15593</v>
      </c>
      <c r="B2132" s="10" t="str">
        <f>"9780415996716"</f>
        <v>9780415996716</v>
      </c>
      <c r="C2132" s="10" t="str">
        <f>"9780203871447"</f>
        <v>9780203871447</v>
      </c>
      <c r="D2132" s="10" t="s">
        <v>6350</v>
      </c>
      <c r="E2132" s="10" t="s">
        <v>6351</v>
      </c>
      <c r="F2132" s="10" t="s">
        <v>139</v>
      </c>
      <c r="G2132" s="10" t="s">
        <v>6352</v>
      </c>
      <c r="H2132" s="11">
        <v>40113</v>
      </c>
      <c r="I2132" s="10">
        <v>2010</v>
      </c>
      <c r="J2132" s="10" t="s">
        <v>6353</v>
      </c>
      <c r="K2132" s="10">
        <v>431</v>
      </c>
      <c r="L2132" s="10" t="s">
        <v>15594</v>
      </c>
      <c r="M2132" s="10">
        <v>1</v>
      </c>
      <c r="N2132" s="10"/>
      <c r="O2132" s="10"/>
      <c r="P2132" s="10" t="s">
        <v>15595</v>
      </c>
      <c r="Q2132" s="10" t="s">
        <v>15596</v>
      </c>
      <c r="R2132" s="10" t="s">
        <v>15597</v>
      </c>
      <c r="S2132" s="10" t="s">
        <v>53</v>
      </c>
      <c r="T2132" s="10" t="s">
        <v>15598</v>
      </c>
    </row>
    <row r="2133" spans="1:20" ht="14.5" x14ac:dyDescent="0.35">
      <c r="A2133" s="10" t="s">
        <v>15599</v>
      </c>
      <c r="B2133" s="10" t="str">
        <f>"9780415497589"</f>
        <v>9780415497589</v>
      </c>
      <c r="C2133" s="10" t="str">
        <f>"9780203860106"</f>
        <v>9780203860106</v>
      </c>
      <c r="D2133" s="10" t="s">
        <v>6350</v>
      </c>
      <c r="E2133" s="10" t="s">
        <v>6351</v>
      </c>
      <c r="F2133" s="10" t="s">
        <v>748</v>
      </c>
      <c r="G2133" s="10" t="s">
        <v>6352</v>
      </c>
      <c r="H2133" s="11">
        <v>40232</v>
      </c>
      <c r="I2133" s="10">
        <v>2010</v>
      </c>
      <c r="J2133" s="10" t="s">
        <v>6351</v>
      </c>
      <c r="K2133" s="10">
        <v>269</v>
      </c>
      <c r="L2133" s="10" t="s">
        <v>15600</v>
      </c>
      <c r="M2133" s="10">
        <v>1</v>
      </c>
      <c r="N2133" s="10"/>
      <c r="O2133" s="10"/>
      <c r="P2133" s="10" t="s">
        <v>15601</v>
      </c>
      <c r="Q2133" s="10" t="s">
        <v>15602</v>
      </c>
      <c r="R2133" s="10" t="s">
        <v>15603</v>
      </c>
      <c r="S2133" s="10" t="s">
        <v>53</v>
      </c>
      <c r="T2133" s="10" t="s">
        <v>54</v>
      </c>
    </row>
    <row r="2134" spans="1:20" ht="14.5" x14ac:dyDescent="0.35">
      <c r="A2134" s="10" t="s">
        <v>15604</v>
      </c>
      <c r="B2134" s="10" t="str">
        <f>"9780415462150"</f>
        <v>9780415462150</v>
      </c>
      <c r="C2134" s="10" t="str">
        <f>"9780203863510"</f>
        <v>9780203863510</v>
      </c>
      <c r="D2134" s="10" t="s">
        <v>6350</v>
      </c>
      <c r="E2134" s="10" t="s">
        <v>6351</v>
      </c>
      <c r="F2134" s="10" t="s">
        <v>139</v>
      </c>
      <c r="G2134" s="10" t="s">
        <v>6352</v>
      </c>
      <c r="H2134" s="11">
        <v>40210</v>
      </c>
      <c r="I2134" s="10">
        <v>2010</v>
      </c>
      <c r="J2134" s="10" t="s">
        <v>6353</v>
      </c>
      <c r="K2134" s="10">
        <v>369</v>
      </c>
      <c r="L2134" s="10" t="s">
        <v>15605</v>
      </c>
      <c r="M2134" s="10">
        <v>1</v>
      </c>
      <c r="N2134" s="10"/>
      <c r="O2134" s="10"/>
      <c r="P2134" s="10" t="s">
        <v>15606</v>
      </c>
      <c r="Q2134" s="10" t="s">
        <v>12854</v>
      </c>
      <c r="R2134" s="10" t="s">
        <v>14084</v>
      </c>
      <c r="S2134" s="10" t="s">
        <v>53</v>
      </c>
      <c r="T2134" s="10" t="s">
        <v>54</v>
      </c>
    </row>
    <row r="2135" spans="1:20" ht="14.5" x14ac:dyDescent="0.35">
      <c r="A2135" s="10" t="s">
        <v>15607</v>
      </c>
      <c r="B2135" s="10" t="str">
        <f>"9780415806213"</f>
        <v>9780415806213</v>
      </c>
      <c r="C2135" s="10" t="str">
        <f>"9780203854709"</f>
        <v>9780203854709</v>
      </c>
      <c r="D2135" s="10" t="s">
        <v>6350</v>
      </c>
      <c r="E2135" s="10" t="s">
        <v>6351</v>
      </c>
      <c r="F2135" s="10" t="s">
        <v>139</v>
      </c>
      <c r="G2135" s="10" t="s">
        <v>6352</v>
      </c>
      <c r="H2135" s="11">
        <v>40212</v>
      </c>
      <c r="I2135" s="10">
        <v>2010</v>
      </c>
      <c r="J2135" s="10" t="s">
        <v>6353</v>
      </c>
      <c r="K2135" s="10">
        <v>251</v>
      </c>
      <c r="L2135" s="10" t="s">
        <v>15608</v>
      </c>
      <c r="M2135" s="10">
        <v>1</v>
      </c>
      <c r="N2135" s="10" t="s">
        <v>6954</v>
      </c>
      <c r="O2135" s="10"/>
      <c r="P2135" s="10" t="s">
        <v>15609</v>
      </c>
      <c r="Q2135" s="10">
        <v>378.10399999999998</v>
      </c>
      <c r="R2135" s="10" t="s">
        <v>15610</v>
      </c>
      <c r="S2135" s="10" t="s">
        <v>53</v>
      </c>
      <c r="T2135" s="10" t="s">
        <v>54</v>
      </c>
    </row>
    <row r="2136" spans="1:20" ht="14.5" x14ac:dyDescent="0.35">
      <c r="A2136" s="10" t="s">
        <v>15611</v>
      </c>
      <c r="B2136" s="10" t="str">
        <f>"9780415875189"</f>
        <v>9780415875189</v>
      </c>
      <c r="C2136" s="10" t="str">
        <f>"9780203858530"</f>
        <v>9780203858530</v>
      </c>
      <c r="D2136" s="10" t="s">
        <v>6350</v>
      </c>
      <c r="E2136" s="10" t="s">
        <v>6351</v>
      </c>
      <c r="F2136" s="10" t="s">
        <v>139</v>
      </c>
      <c r="G2136" s="10" t="s">
        <v>6352</v>
      </c>
      <c r="H2136" s="11">
        <v>40211</v>
      </c>
      <c r="I2136" s="10">
        <v>2010</v>
      </c>
      <c r="J2136" s="10" t="s">
        <v>6353</v>
      </c>
      <c r="K2136" s="10">
        <v>185</v>
      </c>
      <c r="L2136" s="10" t="s">
        <v>15612</v>
      </c>
      <c r="M2136" s="10">
        <v>1</v>
      </c>
      <c r="N2136" s="10" t="s">
        <v>8813</v>
      </c>
      <c r="O2136" s="10"/>
      <c r="P2136" s="10" t="s">
        <v>15613</v>
      </c>
      <c r="Q2136" s="10" t="s">
        <v>15614</v>
      </c>
      <c r="R2136" s="10" t="s">
        <v>15615</v>
      </c>
      <c r="S2136" s="10" t="s">
        <v>53</v>
      </c>
      <c r="T2136" s="10" t="s">
        <v>11880</v>
      </c>
    </row>
    <row r="2137" spans="1:20" ht="14.5" x14ac:dyDescent="0.35">
      <c r="A2137" s="10" t="s">
        <v>15616</v>
      </c>
      <c r="B2137" s="10" t="str">
        <f>"9780415872041"</f>
        <v>9780415872041</v>
      </c>
      <c r="C2137" s="10" t="str">
        <f>"9780203858325"</f>
        <v>9780203858325</v>
      </c>
      <c r="D2137" s="10" t="s">
        <v>6350</v>
      </c>
      <c r="E2137" s="10" t="s">
        <v>6351</v>
      </c>
      <c r="F2137" s="10" t="s">
        <v>139</v>
      </c>
      <c r="G2137" s="10" t="s">
        <v>6352</v>
      </c>
      <c r="H2137" s="11">
        <v>40218</v>
      </c>
      <c r="I2137" s="10">
        <v>2010</v>
      </c>
      <c r="J2137" s="10" t="s">
        <v>6353</v>
      </c>
      <c r="K2137" s="10">
        <v>209</v>
      </c>
      <c r="L2137" s="10" t="s">
        <v>15617</v>
      </c>
      <c r="M2137" s="10">
        <v>1</v>
      </c>
      <c r="N2137" s="10" t="s">
        <v>14406</v>
      </c>
      <c r="O2137" s="10"/>
      <c r="P2137" s="10" t="s">
        <v>15618</v>
      </c>
      <c r="Q2137" s="10">
        <v>372.91723999999999</v>
      </c>
      <c r="R2137" s="10" t="s">
        <v>15619</v>
      </c>
      <c r="S2137" s="10" t="s">
        <v>53</v>
      </c>
      <c r="T2137" s="10" t="s">
        <v>54</v>
      </c>
    </row>
    <row r="2138" spans="1:20" ht="14.5" x14ac:dyDescent="0.35">
      <c r="A2138" s="10" t="s">
        <v>15620</v>
      </c>
      <c r="B2138" s="10" t="str">
        <f>"9780415469012"</f>
        <v>9780415469012</v>
      </c>
      <c r="C2138" s="10" t="str">
        <f>"9780203860113"</f>
        <v>9780203860113</v>
      </c>
      <c r="D2138" s="10" t="s">
        <v>6350</v>
      </c>
      <c r="E2138" s="10" t="s">
        <v>6351</v>
      </c>
      <c r="F2138" s="10" t="s">
        <v>139</v>
      </c>
      <c r="G2138" s="10" t="s">
        <v>6352</v>
      </c>
      <c r="H2138" s="11">
        <v>40231</v>
      </c>
      <c r="I2138" s="10">
        <v>2010</v>
      </c>
      <c r="J2138" s="10" t="s">
        <v>6353</v>
      </c>
      <c r="K2138" s="10">
        <v>208</v>
      </c>
      <c r="L2138" s="10" t="s">
        <v>15621</v>
      </c>
      <c r="M2138" s="10">
        <v>1</v>
      </c>
      <c r="N2138" s="10"/>
      <c r="O2138" s="10"/>
      <c r="P2138" s="10" t="s">
        <v>15622</v>
      </c>
      <c r="Q2138" s="10" t="s">
        <v>7504</v>
      </c>
      <c r="R2138" s="10" t="s">
        <v>15623</v>
      </c>
      <c r="S2138" s="10" t="s">
        <v>53</v>
      </c>
      <c r="T2138" s="10" t="s">
        <v>54</v>
      </c>
    </row>
    <row r="2139" spans="1:20" ht="14.5" x14ac:dyDescent="0.35">
      <c r="A2139" s="10" t="s">
        <v>15624</v>
      </c>
      <c r="B2139" s="10" t="str">
        <f>"9780761965558"</f>
        <v>9780761965558</v>
      </c>
      <c r="C2139" s="10" t="str">
        <f>"9780857022219"</f>
        <v>9780857022219</v>
      </c>
      <c r="D2139" s="10" t="s">
        <v>9325</v>
      </c>
      <c r="E2139" s="10" t="s">
        <v>9326</v>
      </c>
      <c r="F2139" s="10" t="s">
        <v>139</v>
      </c>
      <c r="G2139" s="10" t="s">
        <v>6352</v>
      </c>
      <c r="H2139" s="11">
        <v>36917</v>
      </c>
      <c r="I2139" s="10">
        <v>2001</v>
      </c>
      <c r="J2139" s="10" t="s">
        <v>9326</v>
      </c>
      <c r="K2139" s="10">
        <v>255</v>
      </c>
      <c r="L2139" s="10" t="s">
        <v>15625</v>
      </c>
      <c r="M2139" s="10">
        <v>1</v>
      </c>
      <c r="N2139" s="10"/>
      <c r="O2139" s="10"/>
      <c r="P2139" s="10">
        <v>708558</v>
      </c>
      <c r="Q2139" s="10">
        <v>371.2</v>
      </c>
      <c r="R2139" s="10" t="s">
        <v>15626</v>
      </c>
      <c r="S2139" s="10" t="s">
        <v>53</v>
      </c>
      <c r="T2139" s="10" t="s">
        <v>54</v>
      </c>
    </row>
    <row r="2140" spans="1:20" ht="14.5" x14ac:dyDescent="0.35">
      <c r="A2140" s="10" t="s">
        <v>15627</v>
      </c>
      <c r="B2140" s="10" t="str">
        <f>"9781412922289"</f>
        <v>9781412922289</v>
      </c>
      <c r="C2140" s="10" t="str">
        <f>"9780857023049"</f>
        <v>9780857023049</v>
      </c>
      <c r="D2140" s="10" t="s">
        <v>9325</v>
      </c>
      <c r="E2140" s="10" t="s">
        <v>9326</v>
      </c>
      <c r="F2140" s="10" t="s">
        <v>139</v>
      </c>
      <c r="G2140" s="10" t="s">
        <v>6352</v>
      </c>
      <c r="H2140" s="11">
        <v>39765</v>
      </c>
      <c r="I2140" s="10">
        <v>2009</v>
      </c>
      <c r="J2140" s="10" t="s">
        <v>9326</v>
      </c>
      <c r="K2140" s="10">
        <v>161</v>
      </c>
      <c r="L2140" s="10" t="s">
        <v>15628</v>
      </c>
      <c r="M2140" s="10">
        <v>1</v>
      </c>
      <c r="N2140" s="10" t="s">
        <v>13617</v>
      </c>
      <c r="O2140" s="10"/>
      <c r="P2140" s="10" t="s">
        <v>15629</v>
      </c>
      <c r="Q2140" s="10">
        <v>796.01</v>
      </c>
      <c r="R2140" s="10" t="s">
        <v>15630</v>
      </c>
      <c r="S2140" s="10" t="s">
        <v>53</v>
      </c>
      <c r="T2140" s="10" t="s">
        <v>7340</v>
      </c>
    </row>
    <row r="2141" spans="1:20" ht="14.5" x14ac:dyDescent="0.35">
      <c r="A2141" s="10" t="s">
        <v>15631</v>
      </c>
      <c r="B2141" s="10" t="str">
        <f>"9780761943570"</f>
        <v>9780761943570</v>
      </c>
      <c r="C2141" s="10" t="str">
        <f>"9780857021830"</f>
        <v>9780857021830</v>
      </c>
      <c r="D2141" s="10" t="s">
        <v>9325</v>
      </c>
      <c r="E2141" s="10" t="s">
        <v>9326</v>
      </c>
      <c r="F2141" s="10" t="s">
        <v>139</v>
      </c>
      <c r="G2141" s="10" t="s">
        <v>6352</v>
      </c>
      <c r="H2141" s="11">
        <v>37957</v>
      </c>
      <c r="I2141" s="10">
        <v>2004</v>
      </c>
      <c r="J2141" s="10" t="s">
        <v>9326</v>
      </c>
      <c r="K2141" s="10">
        <v>169</v>
      </c>
      <c r="L2141" s="10" t="s">
        <v>15632</v>
      </c>
      <c r="M2141" s="10">
        <v>1</v>
      </c>
      <c r="N2141" s="10"/>
      <c r="O2141" s="10"/>
      <c r="P2141" s="10" t="s">
        <v>15633</v>
      </c>
      <c r="Q2141" s="10">
        <v>371.14123999999998</v>
      </c>
      <c r="R2141" s="10" t="s">
        <v>7206</v>
      </c>
      <c r="S2141" s="10" t="s">
        <v>53</v>
      </c>
      <c r="T2141" s="10" t="s">
        <v>54</v>
      </c>
    </row>
    <row r="2142" spans="1:20" ht="14.5" x14ac:dyDescent="0.35">
      <c r="A2142" s="10" t="s">
        <v>15634</v>
      </c>
      <c r="B2142" s="10" t="str">
        <f>"9781412903158"</f>
        <v>9781412903158</v>
      </c>
      <c r="C2142" s="10" t="str">
        <f>"9780857022998"</f>
        <v>9780857022998</v>
      </c>
      <c r="D2142" s="10" t="s">
        <v>9325</v>
      </c>
      <c r="E2142" s="10" t="s">
        <v>9326</v>
      </c>
      <c r="F2142" s="10" t="s">
        <v>139</v>
      </c>
      <c r="G2142" s="10" t="s">
        <v>6352</v>
      </c>
      <c r="H2142" s="11">
        <v>39744</v>
      </c>
      <c r="I2142" s="10">
        <v>2009</v>
      </c>
      <c r="J2142" s="10" t="s">
        <v>9326</v>
      </c>
      <c r="K2142" s="10">
        <v>204</v>
      </c>
      <c r="L2142" s="10" t="s">
        <v>15635</v>
      </c>
      <c r="M2142" s="10">
        <v>1</v>
      </c>
      <c r="N2142" s="10" t="s">
        <v>13617</v>
      </c>
      <c r="O2142" s="10"/>
      <c r="P2142" s="10" t="s">
        <v>15636</v>
      </c>
      <c r="Q2142" s="10">
        <v>370</v>
      </c>
      <c r="R2142" s="10" t="s">
        <v>54</v>
      </c>
      <c r="S2142" s="10" t="s">
        <v>53</v>
      </c>
      <c r="T2142" s="10" t="s">
        <v>54</v>
      </c>
    </row>
    <row r="2143" spans="1:20" ht="14.5" x14ac:dyDescent="0.35">
      <c r="A2143" s="10" t="s">
        <v>15637</v>
      </c>
      <c r="B2143" s="10" t="str">
        <f>"9780761965572"</f>
        <v>9780761965572</v>
      </c>
      <c r="C2143" s="10" t="str">
        <f>"9780857022226"</f>
        <v>9780857022226</v>
      </c>
      <c r="D2143" s="10" t="s">
        <v>9325</v>
      </c>
      <c r="E2143" s="10" t="s">
        <v>9326</v>
      </c>
      <c r="F2143" s="10" t="s">
        <v>139</v>
      </c>
      <c r="G2143" s="10" t="s">
        <v>6352</v>
      </c>
      <c r="H2143" s="11">
        <v>36917</v>
      </c>
      <c r="I2143" s="10">
        <v>2001</v>
      </c>
      <c r="J2143" s="10" t="s">
        <v>9326</v>
      </c>
      <c r="K2143" s="10">
        <v>224</v>
      </c>
      <c r="L2143" s="10" t="s">
        <v>15638</v>
      </c>
      <c r="M2143" s="10">
        <v>1</v>
      </c>
      <c r="N2143" s="10" t="s">
        <v>9328</v>
      </c>
      <c r="O2143" s="10">
        <v>4</v>
      </c>
      <c r="P2143" s="10" t="s">
        <v>15639</v>
      </c>
      <c r="Q2143" s="10">
        <v>371.20600000000002</v>
      </c>
      <c r="R2143" s="10" t="s">
        <v>15640</v>
      </c>
      <c r="S2143" s="10" t="s">
        <v>53</v>
      </c>
      <c r="T2143" s="10" t="s">
        <v>54</v>
      </c>
    </row>
    <row r="2144" spans="1:20" ht="14.5" x14ac:dyDescent="0.35">
      <c r="A2144" s="10" t="s">
        <v>15641</v>
      </c>
      <c r="B2144" s="10" t="str">
        <f>"9781412912372"</f>
        <v>9781412912372</v>
      </c>
      <c r="C2144" s="10" t="str">
        <f>"9780857023032"</f>
        <v>9780857023032</v>
      </c>
      <c r="D2144" s="10" t="s">
        <v>9325</v>
      </c>
      <c r="E2144" s="10" t="s">
        <v>9326</v>
      </c>
      <c r="F2144" s="10" t="s">
        <v>139</v>
      </c>
      <c r="G2144" s="10" t="s">
        <v>6352</v>
      </c>
      <c r="H2144" s="11">
        <v>39827</v>
      </c>
      <c r="I2144" s="10">
        <v>2009</v>
      </c>
      <c r="J2144" s="10" t="s">
        <v>9326</v>
      </c>
      <c r="K2144" s="10">
        <v>133</v>
      </c>
      <c r="L2144" s="10" t="s">
        <v>15642</v>
      </c>
      <c r="M2144" s="10">
        <v>1</v>
      </c>
      <c r="N2144" s="10" t="s">
        <v>11973</v>
      </c>
      <c r="O2144" s="10"/>
      <c r="P2144" s="10" t="s">
        <v>15643</v>
      </c>
      <c r="Q2144" s="10">
        <v>372.01139999999998</v>
      </c>
      <c r="R2144" s="10" t="s">
        <v>15644</v>
      </c>
      <c r="S2144" s="10" t="s">
        <v>53</v>
      </c>
      <c r="T2144" s="10" t="s">
        <v>6492</v>
      </c>
    </row>
    <row r="2145" spans="1:20" ht="14.5" x14ac:dyDescent="0.35">
      <c r="A2145" s="10" t="s">
        <v>15645</v>
      </c>
      <c r="B2145" s="10" t="str">
        <f>"9780761968733"</f>
        <v>9780761968733</v>
      </c>
      <c r="C2145" s="10" t="str">
        <f>"9780857022271"</f>
        <v>9780857022271</v>
      </c>
      <c r="D2145" s="10" t="s">
        <v>9325</v>
      </c>
      <c r="E2145" s="10" t="s">
        <v>9326</v>
      </c>
      <c r="F2145" s="10" t="s">
        <v>139</v>
      </c>
      <c r="G2145" s="10" t="s">
        <v>6352</v>
      </c>
      <c r="H2145" s="11">
        <v>36903</v>
      </c>
      <c r="I2145" s="10">
        <v>2001</v>
      </c>
      <c r="J2145" s="10" t="s">
        <v>9326</v>
      </c>
      <c r="K2145" s="10">
        <v>123</v>
      </c>
      <c r="L2145" s="10" t="s">
        <v>15646</v>
      </c>
      <c r="M2145" s="10">
        <v>1</v>
      </c>
      <c r="N2145" s="10" t="s">
        <v>9328</v>
      </c>
      <c r="O2145" s="10">
        <v>2</v>
      </c>
      <c r="P2145" s="10" t="s">
        <v>15647</v>
      </c>
      <c r="Q2145" s="10" t="s">
        <v>15648</v>
      </c>
      <c r="R2145" s="10" t="s">
        <v>15649</v>
      </c>
      <c r="S2145" s="10" t="s">
        <v>53</v>
      </c>
      <c r="T2145" s="10" t="s">
        <v>54</v>
      </c>
    </row>
    <row r="2146" spans="1:20" ht="14.5" x14ac:dyDescent="0.35">
      <c r="A2146" s="10" t="s">
        <v>15650</v>
      </c>
      <c r="B2146" s="10" t="str">
        <f>"9780761970460"</f>
        <v>9780761970460</v>
      </c>
      <c r="C2146" s="10" t="str">
        <f>"9781847876256"</f>
        <v>9781847876256</v>
      </c>
      <c r="D2146" s="10" t="s">
        <v>9325</v>
      </c>
      <c r="E2146" s="10" t="s">
        <v>9326</v>
      </c>
      <c r="F2146" s="10" t="s">
        <v>139</v>
      </c>
      <c r="G2146" s="10" t="s">
        <v>6352</v>
      </c>
      <c r="H2146" s="11">
        <v>37260</v>
      </c>
      <c r="I2146" s="10">
        <v>2002</v>
      </c>
      <c r="J2146" s="10" t="s">
        <v>9326</v>
      </c>
      <c r="K2146" s="10">
        <v>165</v>
      </c>
      <c r="L2146" s="10" t="s">
        <v>15651</v>
      </c>
      <c r="M2146" s="10">
        <v>1</v>
      </c>
      <c r="N2146" s="10"/>
      <c r="O2146" s="10"/>
      <c r="P2146" s="10" t="s">
        <v>15652</v>
      </c>
      <c r="Q2146" s="10">
        <v>370.15230000000003</v>
      </c>
      <c r="R2146" s="10" t="s">
        <v>6840</v>
      </c>
      <c r="S2146" s="10" t="s">
        <v>53</v>
      </c>
      <c r="T2146" s="10" t="s">
        <v>54</v>
      </c>
    </row>
    <row r="2147" spans="1:20" ht="14.5" x14ac:dyDescent="0.35">
      <c r="A2147" s="10" t="s">
        <v>15653</v>
      </c>
      <c r="B2147" s="10" t="str">
        <f>"9781847871824"</f>
        <v>9781847871824</v>
      </c>
      <c r="C2147" s="10" t="str">
        <f>"9780857023179"</f>
        <v>9780857023179</v>
      </c>
      <c r="D2147" s="10" t="s">
        <v>9325</v>
      </c>
      <c r="E2147" s="10" t="s">
        <v>9326</v>
      </c>
      <c r="F2147" s="10" t="s">
        <v>139</v>
      </c>
      <c r="G2147" s="10" t="s">
        <v>6352</v>
      </c>
      <c r="H2147" s="11">
        <v>39724</v>
      </c>
      <c r="I2147" s="10">
        <v>2008</v>
      </c>
      <c r="J2147" s="10" t="s">
        <v>9326</v>
      </c>
      <c r="K2147" s="10">
        <v>177</v>
      </c>
      <c r="L2147" s="10" t="s">
        <v>15654</v>
      </c>
      <c r="M2147" s="10">
        <v>1</v>
      </c>
      <c r="N2147" s="10"/>
      <c r="O2147" s="10"/>
      <c r="P2147" s="10" t="s">
        <v>15655</v>
      </c>
      <c r="Q2147" s="10">
        <v>373.23809419999998</v>
      </c>
      <c r="R2147" s="10" t="s">
        <v>15656</v>
      </c>
      <c r="S2147" s="10" t="s">
        <v>53</v>
      </c>
      <c r="T2147" s="10" t="s">
        <v>54</v>
      </c>
    </row>
    <row r="2148" spans="1:20" ht="14.5" x14ac:dyDescent="0.35">
      <c r="A2148" s="10" t="s">
        <v>15657</v>
      </c>
      <c r="B2148" s="10" t="str">
        <f>"9781853963179"</f>
        <v>9781853963179</v>
      </c>
      <c r="C2148" s="10" t="str">
        <f>"9780857023193"</f>
        <v>9780857023193</v>
      </c>
      <c r="D2148" s="10" t="s">
        <v>9325</v>
      </c>
      <c r="E2148" s="10" t="s">
        <v>9326</v>
      </c>
      <c r="F2148" s="10" t="s">
        <v>139</v>
      </c>
      <c r="G2148" s="10" t="s">
        <v>6352</v>
      </c>
      <c r="H2148" s="11">
        <v>35578</v>
      </c>
      <c r="I2148" s="10">
        <v>1997</v>
      </c>
      <c r="J2148" s="10" t="s">
        <v>9326</v>
      </c>
      <c r="K2148" s="10">
        <v>247</v>
      </c>
      <c r="L2148" s="10" t="s">
        <v>15658</v>
      </c>
      <c r="M2148" s="10">
        <v>1</v>
      </c>
      <c r="N2148" s="10" t="s">
        <v>15659</v>
      </c>
      <c r="O2148" s="10"/>
      <c r="P2148" s="10" t="s">
        <v>15660</v>
      </c>
      <c r="Q2148" s="10" t="s">
        <v>15661</v>
      </c>
      <c r="R2148" s="10" t="s">
        <v>15662</v>
      </c>
      <c r="S2148" s="10" t="s">
        <v>53</v>
      </c>
      <c r="T2148" s="10" t="s">
        <v>6660</v>
      </c>
    </row>
    <row r="2149" spans="1:20" ht="14.5" x14ac:dyDescent="0.35">
      <c r="A2149" s="10" t="s">
        <v>15663</v>
      </c>
      <c r="B2149" s="10" t="str">
        <f>"9781853964008"</f>
        <v>9781853964008</v>
      </c>
      <c r="C2149" s="10" t="str">
        <f>"9780857023209"</f>
        <v>9780857023209</v>
      </c>
      <c r="D2149" s="10" t="s">
        <v>9325</v>
      </c>
      <c r="E2149" s="10" t="s">
        <v>9326</v>
      </c>
      <c r="F2149" s="10" t="s">
        <v>139</v>
      </c>
      <c r="G2149" s="10" t="s">
        <v>6352</v>
      </c>
      <c r="H2149" s="11">
        <v>36118</v>
      </c>
      <c r="I2149" s="10">
        <v>1998</v>
      </c>
      <c r="J2149" s="10" t="s">
        <v>9326</v>
      </c>
      <c r="K2149" s="10">
        <v>193</v>
      </c>
      <c r="L2149" s="10" t="s">
        <v>12552</v>
      </c>
      <c r="M2149" s="10">
        <v>1</v>
      </c>
      <c r="N2149" s="10" t="s">
        <v>15664</v>
      </c>
      <c r="O2149" s="10"/>
      <c r="P2149" s="10" t="s">
        <v>15665</v>
      </c>
      <c r="Q2149" s="10">
        <v>372.40940999999998</v>
      </c>
      <c r="R2149" s="10" t="s">
        <v>6547</v>
      </c>
      <c r="S2149" s="10" t="s">
        <v>53</v>
      </c>
      <c r="T2149" s="10" t="s">
        <v>54</v>
      </c>
    </row>
    <row r="2150" spans="1:20" ht="14.5" x14ac:dyDescent="0.35">
      <c r="A2150" s="10" t="s">
        <v>15666</v>
      </c>
      <c r="B2150" s="10" t="str">
        <f>"9781853964046"</f>
        <v>9781853964046</v>
      </c>
      <c r="C2150" s="10" t="str">
        <f>"9780857023216"</f>
        <v>9780857023216</v>
      </c>
      <c r="D2150" s="10" t="s">
        <v>9325</v>
      </c>
      <c r="E2150" s="10" t="s">
        <v>9326</v>
      </c>
      <c r="F2150" s="10" t="s">
        <v>139</v>
      </c>
      <c r="G2150" s="10" t="s">
        <v>6352</v>
      </c>
      <c r="H2150" s="11">
        <v>36137</v>
      </c>
      <c r="I2150" s="10">
        <v>1998</v>
      </c>
      <c r="J2150" s="10" t="s">
        <v>9326</v>
      </c>
      <c r="K2150" s="10">
        <v>229</v>
      </c>
      <c r="L2150" s="10" t="s">
        <v>15667</v>
      </c>
      <c r="M2150" s="10">
        <v>1</v>
      </c>
      <c r="N2150" s="10" t="s">
        <v>15668</v>
      </c>
      <c r="O2150" s="10"/>
      <c r="P2150" s="10" t="s">
        <v>15669</v>
      </c>
      <c r="Q2150" s="10">
        <v>371.20699999999999</v>
      </c>
      <c r="R2150" s="10" t="s">
        <v>6543</v>
      </c>
      <c r="S2150" s="10" t="s">
        <v>53</v>
      </c>
      <c r="T2150" s="10" t="s">
        <v>54</v>
      </c>
    </row>
    <row r="2151" spans="1:20" ht="14.5" x14ac:dyDescent="0.35">
      <c r="A2151" s="10" t="s">
        <v>15670</v>
      </c>
      <c r="B2151" s="10" t="str">
        <f>"9780761974789"</f>
        <v>9780761974789</v>
      </c>
      <c r="C2151" s="10" t="str">
        <f>"9780857022769"</f>
        <v>9780857022769</v>
      </c>
      <c r="D2151" s="10" t="s">
        <v>9325</v>
      </c>
      <c r="E2151" s="10" t="s">
        <v>9326</v>
      </c>
      <c r="F2151" s="10" t="s">
        <v>139</v>
      </c>
      <c r="G2151" s="10" t="s">
        <v>6352</v>
      </c>
      <c r="H2151" s="11">
        <v>37733</v>
      </c>
      <c r="I2151" s="10">
        <v>2003</v>
      </c>
      <c r="J2151" s="10" t="s">
        <v>9326</v>
      </c>
      <c r="K2151" s="10">
        <v>230</v>
      </c>
      <c r="L2151" s="10" t="s">
        <v>15671</v>
      </c>
      <c r="M2151" s="10">
        <v>1</v>
      </c>
      <c r="N2151" s="10"/>
      <c r="O2151" s="10"/>
      <c r="P2151" s="10" t="s">
        <v>15672</v>
      </c>
      <c r="Q2151" s="10">
        <v>701.8</v>
      </c>
      <c r="R2151" s="10" t="s">
        <v>6392</v>
      </c>
      <c r="S2151" s="10" t="s">
        <v>53</v>
      </c>
      <c r="T2151" s="10" t="s">
        <v>6384</v>
      </c>
    </row>
    <row r="2152" spans="1:20" ht="14.5" x14ac:dyDescent="0.35">
      <c r="A2152" s="10" t="s">
        <v>15673</v>
      </c>
      <c r="B2152" s="10" t="str">
        <f>"9780761963486"</f>
        <v>9780761963486</v>
      </c>
      <c r="C2152" s="10" t="str">
        <f>"9780857022172"</f>
        <v>9780857022172</v>
      </c>
      <c r="D2152" s="10" t="s">
        <v>9325</v>
      </c>
      <c r="E2152" s="10" t="s">
        <v>9326</v>
      </c>
      <c r="F2152" s="10" t="s">
        <v>139</v>
      </c>
      <c r="G2152" s="10" t="s">
        <v>6352</v>
      </c>
      <c r="H2152" s="11">
        <v>36927</v>
      </c>
      <c r="I2152" s="10">
        <v>2001</v>
      </c>
      <c r="J2152" s="10" t="s">
        <v>9326</v>
      </c>
      <c r="K2152" s="10">
        <v>330</v>
      </c>
      <c r="L2152" s="10" t="s">
        <v>15671</v>
      </c>
      <c r="M2152" s="10">
        <v>1</v>
      </c>
      <c r="N2152" s="10"/>
      <c r="O2152" s="10"/>
      <c r="P2152" s="10" t="s">
        <v>15674</v>
      </c>
      <c r="Q2152" s="10">
        <v>372.35043999999999</v>
      </c>
      <c r="R2152" s="10" t="s">
        <v>6547</v>
      </c>
      <c r="S2152" s="10" t="s">
        <v>53</v>
      </c>
      <c r="T2152" s="10" t="s">
        <v>54</v>
      </c>
    </row>
    <row r="2153" spans="1:20" ht="14.5" x14ac:dyDescent="0.35">
      <c r="A2153" s="10" t="s">
        <v>15675</v>
      </c>
      <c r="B2153" s="10" t="str">
        <f>"9780691129853"</f>
        <v>9780691129853</v>
      </c>
      <c r="C2153" s="10" t="str">
        <f>"9781400831852"</f>
        <v>9781400831852</v>
      </c>
      <c r="D2153" s="10" t="s">
        <v>14335</v>
      </c>
      <c r="E2153" s="10" t="s">
        <v>14336</v>
      </c>
      <c r="F2153" s="10" t="s">
        <v>2246</v>
      </c>
      <c r="G2153" s="10" t="s">
        <v>6317</v>
      </c>
      <c r="H2153" s="11">
        <v>39285</v>
      </c>
      <c r="I2153" s="10">
        <v>2007</v>
      </c>
      <c r="J2153" s="10" t="s">
        <v>14336</v>
      </c>
      <c r="K2153" s="10">
        <v>358</v>
      </c>
      <c r="L2153" s="10" t="s">
        <v>15676</v>
      </c>
      <c r="M2153" s="10">
        <v>1</v>
      </c>
      <c r="N2153" s="10"/>
      <c r="O2153" s="10"/>
      <c r="P2153" s="10" t="s">
        <v>15677</v>
      </c>
      <c r="Q2153" s="10">
        <v>371.01</v>
      </c>
      <c r="R2153" s="10"/>
      <c r="S2153" s="10" t="s">
        <v>53</v>
      </c>
      <c r="T2153" s="10" t="s">
        <v>54</v>
      </c>
    </row>
    <row r="2154" spans="1:20" ht="14.5" x14ac:dyDescent="0.35">
      <c r="A2154" s="10" t="s">
        <v>15678</v>
      </c>
      <c r="B2154" s="10" t="str">
        <f>"9780691138008"</f>
        <v>9780691138008</v>
      </c>
      <c r="C2154" s="10" t="str">
        <f>"9781400831586"</f>
        <v>9781400831586</v>
      </c>
      <c r="D2154" s="10" t="s">
        <v>14335</v>
      </c>
      <c r="E2154" s="10" t="s">
        <v>14336</v>
      </c>
      <c r="F2154" s="10" t="s">
        <v>2246</v>
      </c>
      <c r="G2154" s="10" t="s">
        <v>6317</v>
      </c>
      <c r="H2154" s="11">
        <v>40104</v>
      </c>
      <c r="I2154" s="10">
        <v>2010</v>
      </c>
      <c r="J2154" s="10" t="s">
        <v>14336</v>
      </c>
      <c r="K2154" s="10">
        <v>201</v>
      </c>
      <c r="L2154" s="10" t="s">
        <v>15679</v>
      </c>
      <c r="M2154" s="10">
        <v>1</v>
      </c>
      <c r="N2154" s="10"/>
      <c r="O2154" s="10"/>
      <c r="P2154" s="10" t="s">
        <v>15680</v>
      </c>
      <c r="Q2154" s="10" t="s">
        <v>10227</v>
      </c>
      <c r="R2154" s="10"/>
      <c r="S2154" s="10" t="s">
        <v>53</v>
      </c>
      <c r="T2154" s="10" t="s">
        <v>54</v>
      </c>
    </row>
    <row r="2155" spans="1:20" ht="14.5" x14ac:dyDescent="0.35">
      <c r="A2155" s="10" t="s">
        <v>15681</v>
      </c>
      <c r="B2155" s="10" t="str">
        <f>"9781409401544"</f>
        <v>9781409401544</v>
      </c>
      <c r="C2155" s="10" t="str">
        <f>"9781409401551"</f>
        <v>9781409401551</v>
      </c>
      <c r="D2155" s="10" t="s">
        <v>6350</v>
      </c>
      <c r="E2155" s="10" t="s">
        <v>6351</v>
      </c>
      <c r="F2155" s="10" t="s">
        <v>15682</v>
      </c>
      <c r="G2155" s="10" t="s">
        <v>6352</v>
      </c>
      <c r="H2155" s="11">
        <v>40237</v>
      </c>
      <c r="I2155" s="10">
        <v>2010</v>
      </c>
      <c r="J2155" s="10" t="s">
        <v>6353</v>
      </c>
      <c r="K2155" s="10">
        <v>213</v>
      </c>
      <c r="L2155" s="10" t="s">
        <v>15683</v>
      </c>
      <c r="M2155" s="10">
        <v>1</v>
      </c>
      <c r="N2155" s="10"/>
      <c r="O2155" s="10"/>
      <c r="P2155" s="10" t="s">
        <v>15684</v>
      </c>
      <c r="Q2155" s="10">
        <v>378.00869999999998</v>
      </c>
      <c r="R2155" s="10" t="s">
        <v>15685</v>
      </c>
      <c r="S2155" s="10" t="s">
        <v>53</v>
      </c>
      <c r="T2155" s="10" t="s">
        <v>54</v>
      </c>
    </row>
    <row r="2156" spans="1:20" ht="14.5" x14ac:dyDescent="0.35">
      <c r="A2156" s="10" t="s">
        <v>15686</v>
      </c>
      <c r="B2156" s="10" t="str">
        <f>"9781578868629"</f>
        <v>9781578868629</v>
      </c>
      <c r="C2156" s="10" t="str">
        <f>"9781578868940"</f>
        <v>9781578868940</v>
      </c>
      <c r="D2156" s="10" t="s">
        <v>9752</v>
      </c>
      <c r="E2156" s="10" t="s">
        <v>15192</v>
      </c>
      <c r="F2156" s="10" t="s">
        <v>9754</v>
      </c>
      <c r="G2156" s="10" t="s">
        <v>6317</v>
      </c>
      <c r="H2156" s="11">
        <v>39720</v>
      </c>
      <c r="I2156" s="10">
        <v>2008</v>
      </c>
      <c r="J2156" s="10" t="s">
        <v>15192</v>
      </c>
      <c r="K2156" s="10">
        <v>168</v>
      </c>
      <c r="L2156" s="10" t="s">
        <v>15687</v>
      </c>
      <c r="M2156" s="10">
        <v>1</v>
      </c>
      <c r="N2156" s="10"/>
      <c r="O2156" s="10"/>
      <c r="P2156" s="10" t="s">
        <v>15688</v>
      </c>
      <c r="Q2156" s="10">
        <v>371.10199999999998</v>
      </c>
      <c r="R2156" s="10" t="s">
        <v>15689</v>
      </c>
      <c r="S2156" s="10" t="s">
        <v>53</v>
      </c>
      <c r="T2156" s="10" t="s">
        <v>54</v>
      </c>
    </row>
    <row r="2157" spans="1:20" ht="14.5" x14ac:dyDescent="0.35">
      <c r="A2157" s="10" t="s">
        <v>15690</v>
      </c>
      <c r="B2157" s="10" t="str">
        <f>"9781578869954"</f>
        <v>9781578869954</v>
      </c>
      <c r="C2157" s="10" t="str">
        <f>"9781578869978"</f>
        <v>9781578869978</v>
      </c>
      <c r="D2157" s="10" t="s">
        <v>9752</v>
      </c>
      <c r="E2157" s="10" t="s">
        <v>15192</v>
      </c>
      <c r="F2157" s="10" t="s">
        <v>9754</v>
      </c>
      <c r="G2157" s="10" t="s">
        <v>6317</v>
      </c>
      <c r="H2157" s="11">
        <v>39829</v>
      </c>
      <c r="I2157" s="10">
        <v>2009</v>
      </c>
      <c r="J2157" s="10" t="s">
        <v>15192</v>
      </c>
      <c r="K2157" s="10">
        <v>244</v>
      </c>
      <c r="L2157" s="10" t="s">
        <v>15691</v>
      </c>
      <c r="M2157" s="10">
        <v>1</v>
      </c>
      <c r="N2157" s="10"/>
      <c r="O2157" s="10"/>
      <c r="P2157" s="10" t="s">
        <v>15692</v>
      </c>
      <c r="Q2157" s="10" t="s">
        <v>15693</v>
      </c>
      <c r="R2157" s="10" t="s">
        <v>15694</v>
      </c>
      <c r="S2157" s="10" t="s">
        <v>53</v>
      </c>
      <c r="T2157" s="10" t="s">
        <v>54</v>
      </c>
    </row>
    <row r="2158" spans="1:20" ht="14.5" x14ac:dyDescent="0.35">
      <c r="A2158" s="10" t="s">
        <v>15695</v>
      </c>
      <c r="B2158" s="10" t="str">
        <f>"9781607093046"</f>
        <v>9781607093046</v>
      </c>
      <c r="C2158" s="10" t="str">
        <f>"9781607093060"</f>
        <v>9781607093060</v>
      </c>
      <c r="D2158" s="10" t="s">
        <v>9752</v>
      </c>
      <c r="E2158" s="10" t="s">
        <v>15192</v>
      </c>
      <c r="F2158" s="10" t="s">
        <v>9754</v>
      </c>
      <c r="G2158" s="10" t="s">
        <v>6317</v>
      </c>
      <c r="H2158" s="11">
        <v>40162</v>
      </c>
      <c r="I2158" s="10">
        <v>2009</v>
      </c>
      <c r="J2158" s="10" t="s">
        <v>15192</v>
      </c>
      <c r="K2158" s="10">
        <v>243</v>
      </c>
      <c r="L2158" s="10" t="s">
        <v>15696</v>
      </c>
      <c r="M2158" s="10">
        <v>1</v>
      </c>
      <c r="N2158" s="10"/>
      <c r="O2158" s="10"/>
      <c r="P2158" s="10" t="s">
        <v>15697</v>
      </c>
      <c r="Q2158" s="10">
        <v>780.71</v>
      </c>
      <c r="R2158" s="10" t="s">
        <v>15698</v>
      </c>
      <c r="S2158" s="10" t="s">
        <v>53</v>
      </c>
      <c r="T2158" s="10" t="s">
        <v>6384</v>
      </c>
    </row>
    <row r="2159" spans="1:20" ht="14.5" x14ac:dyDescent="0.35">
      <c r="A2159" s="10" t="s">
        <v>15699</v>
      </c>
      <c r="B2159" s="10" t="str">
        <f>"9780415805889"</f>
        <v>9780415805889</v>
      </c>
      <c r="C2159" s="10" t="str">
        <f>"9780203851951"</f>
        <v>9780203851951</v>
      </c>
      <c r="D2159" s="10" t="s">
        <v>6350</v>
      </c>
      <c r="E2159" s="10" t="s">
        <v>6351</v>
      </c>
      <c r="F2159" s="10" t="s">
        <v>139</v>
      </c>
      <c r="G2159" s="10" t="s">
        <v>6352</v>
      </c>
      <c r="H2159" s="11">
        <v>40255</v>
      </c>
      <c r="I2159" s="10">
        <v>2010</v>
      </c>
      <c r="J2159" s="10" t="s">
        <v>6353</v>
      </c>
      <c r="K2159" s="10">
        <v>229</v>
      </c>
      <c r="L2159" s="10" t="s">
        <v>15700</v>
      </c>
      <c r="M2159" s="10">
        <v>1</v>
      </c>
      <c r="N2159" s="10" t="s">
        <v>6954</v>
      </c>
      <c r="O2159" s="10"/>
      <c r="P2159" s="10" t="s">
        <v>15701</v>
      </c>
      <c r="Q2159" s="10">
        <v>620.00711000000001</v>
      </c>
      <c r="R2159" s="10" t="s">
        <v>15702</v>
      </c>
      <c r="S2159" s="10" t="s">
        <v>53</v>
      </c>
      <c r="T2159" s="10" t="s">
        <v>11508</v>
      </c>
    </row>
    <row r="2160" spans="1:20" ht="14.5" x14ac:dyDescent="0.35">
      <c r="A2160" s="10" t="s">
        <v>15703</v>
      </c>
      <c r="B2160" s="10" t="str">
        <f>"9780415802079"</f>
        <v>9780415802079</v>
      </c>
      <c r="C2160" s="10" t="str">
        <f>"9780203855874"</f>
        <v>9780203855874</v>
      </c>
      <c r="D2160" s="10" t="s">
        <v>6350</v>
      </c>
      <c r="E2160" s="10" t="s">
        <v>6351</v>
      </c>
      <c r="F2160" s="10" t="s">
        <v>139</v>
      </c>
      <c r="G2160" s="10" t="s">
        <v>6352</v>
      </c>
      <c r="H2160" s="11">
        <v>40227</v>
      </c>
      <c r="I2160" s="10">
        <v>2010</v>
      </c>
      <c r="J2160" s="10" t="s">
        <v>6353</v>
      </c>
      <c r="K2160" s="10">
        <v>293</v>
      </c>
      <c r="L2160" s="10" t="s">
        <v>15704</v>
      </c>
      <c r="M2160" s="10">
        <v>1</v>
      </c>
      <c r="N2160" s="10"/>
      <c r="O2160" s="10"/>
      <c r="P2160" s="10" t="s">
        <v>15705</v>
      </c>
      <c r="Q2160" s="10">
        <v>379.24</v>
      </c>
      <c r="R2160" s="10" t="s">
        <v>15706</v>
      </c>
      <c r="S2160" s="10" t="s">
        <v>53</v>
      </c>
      <c r="T2160" s="10" t="s">
        <v>6498</v>
      </c>
    </row>
    <row r="2161" spans="1:20" ht="14.5" x14ac:dyDescent="0.35">
      <c r="A2161" s="10" t="s">
        <v>15707</v>
      </c>
      <c r="B2161" s="10" t="str">
        <f>"9780415496421"</f>
        <v>9780415496421</v>
      </c>
      <c r="C2161" s="10" t="str">
        <f>"9780203858370"</f>
        <v>9780203858370</v>
      </c>
      <c r="D2161" s="10" t="s">
        <v>6350</v>
      </c>
      <c r="E2161" s="10" t="s">
        <v>6351</v>
      </c>
      <c r="F2161" s="10" t="s">
        <v>748</v>
      </c>
      <c r="G2161" s="10" t="s">
        <v>6352</v>
      </c>
      <c r="H2161" s="11">
        <v>40249</v>
      </c>
      <c r="I2161" s="10">
        <v>2010</v>
      </c>
      <c r="J2161" s="10" t="s">
        <v>6351</v>
      </c>
      <c r="K2161" s="10">
        <v>197</v>
      </c>
      <c r="L2161" s="10" t="s">
        <v>15708</v>
      </c>
      <c r="M2161" s="10">
        <v>1</v>
      </c>
      <c r="N2161" s="10"/>
      <c r="O2161" s="10"/>
      <c r="P2161" s="10" t="s">
        <v>15709</v>
      </c>
      <c r="Q2161" s="10" t="s">
        <v>7504</v>
      </c>
      <c r="R2161" s="10" t="s">
        <v>15710</v>
      </c>
      <c r="S2161" s="10" t="s">
        <v>53</v>
      </c>
      <c r="T2161" s="10" t="s">
        <v>54</v>
      </c>
    </row>
    <row r="2162" spans="1:20" ht="14.5" x14ac:dyDescent="0.35">
      <c r="A2162" s="10" t="s">
        <v>15711</v>
      </c>
      <c r="B2162" s="10" t="str">
        <f>"9780415998888"</f>
        <v>9780415998888</v>
      </c>
      <c r="C2162" s="10" t="str">
        <f>"9780203866771"</f>
        <v>9780203866771</v>
      </c>
      <c r="D2162" s="10" t="s">
        <v>6350</v>
      </c>
      <c r="E2162" s="10" t="s">
        <v>6351</v>
      </c>
      <c r="F2162" s="10" t="s">
        <v>5406</v>
      </c>
      <c r="G2162" s="10" t="s">
        <v>6317</v>
      </c>
      <c r="H2162" s="11">
        <v>40231</v>
      </c>
      <c r="I2162" s="10">
        <v>2010</v>
      </c>
      <c r="J2162" s="10" t="s">
        <v>6353</v>
      </c>
      <c r="K2162" s="10">
        <v>452</v>
      </c>
      <c r="L2162" s="10" t="s">
        <v>15712</v>
      </c>
      <c r="M2162" s="10">
        <v>1</v>
      </c>
      <c r="N2162" s="10"/>
      <c r="O2162" s="10"/>
      <c r="P2162" s="10" t="s">
        <v>15713</v>
      </c>
      <c r="Q2162" s="10" t="s">
        <v>15714</v>
      </c>
      <c r="R2162" s="10" t="s">
        <v>15715</v>
      </c>
      <c r="S2162" s="10" t="s">
        <v>53</v>
      </c>
      <c r="T2162" s="10" t="s">
        <v>54</v>
      </c>
    </row>
    <row r="2163" spans="1:20" ht="14.5" x14ac:dyDescent="0.35">
      <c r="A2163" s="10" t="s">
        <v>15716</v>
      </c>
      <c r="B2163" s="10" t="str">
        <f>"9780415458597"</f>
        <v>9780415458597</v>
      </c>
      <c r="C2163" s="10" t="str">
        <f>"9780203857588"</f>
        <v>9780203857588</v>
      </c>
      <c r="D2163" s="10" t="s">
        <v>6350</v>
      </c>
      <c r="E2163" s="10" t="s">
        <v>6351</v>
      </c>
      <c r="F2163" s="10" t="s">
        <v>139</v>
      </c>
      <c r="G2163" s="10" t="s">
        <v>6352</v>
      </c>
      <c r="H2163" s="11">
        <v>40259</v>
      </c>
      <c r="I2163" s="10">
        <v>2010</v>
      </c>
      <c r="J2163" s="10" t="s">
        <v>6353</v>
      </c>
      <c r="K2163" s="10">
        <v>238</v>
      </c>
      <c r="L2163" s="10" t="s">
        <v>15717</v>
      </c>
      <c r="M2163" s="10">
        <v>1</v>
      </c>
      <c r="N2163" s="10"/>
      <c r="O2163" s="10"/>
      <c r="P2163" s="10" t="s">
        <v>15718</v>
      </c>
      <c r="Q2163" s="10">
        <v>372.16</v>
      </c>
      <c r="R2163" s="10" t="s">
        <v>15719</v>
      </c>
      <c r="S2163" s="10" t="s">
        <v>53</v>
      </c>
      <c r="T2163" s="10" t="s">
        <v>54</v>
      </c>
    </row>
    <row r="2164" spans="1:20" ht="14.5" x14ac:dyDescent="0.35">
      <c r="A2164" s="10" t="s">
        <v>15720</v>
      </c>
      <c r="B2164" s="10" t="str">
        <f>"9780415553100"</f>
        <v>9780415553100</v>
      </c>
      <c r="C2164" s="10" t="str">
        <f>"9780203858035"</f>
        <v>9780203858035</v>
      </c>
      <c r="D2164" s="10" t="s">
        <v>6350</v>
      </c>
      <c r="E2164" s="10" t="s">
        <v>6351</v>
      </c>
      <c r="F2164" s="10" t="s">
        <v>5406</v>
      </c>
      <c r="G2164" s="10" t="s">
        <v>6317</v>
      </c>
      <c r="H2164" s="11">
        <v>40249</v>
      </c>
      <c r="I2164" s="10">
        <v>2010</v>
      </c>
      <c r="J2164" s="10" t="s">
        <v>6353</v>
      </c>
      <c r="K2164" s="10">
        <v>180</v>
      </c>
      <c r="L2164" s="10" t="s">
        <v>15721</v>
      </c>
      <c r="M2164" s="10">
        <v>1</v>
      </c>
      <c r="N2164" s="10"/>
      <c r="O2164" s="10"/>
      <c r="P2164" s="10" t="s">
        <v>15722</v>
      </c>
      <c r="Q2164" s="10" t="s">
        <v>15505</v>
      </c>
      <c r="R2164" s="10" t="s">
        <v>15723</v>
      </c>
      <c r="S2164" s="10" t="s">
        <v>53</v>
      </c>
      <c r="T2164" s="10" t="s">
        <v>54</v>
      </c>
    </row>
    <row r="2165" spans="1:20" ht="14.5" x14ac:dyDescent="0.35">
      <c r="A2165" s="10" t="s">
        <v>15724</v>
      </c>
      <c r="B2165" s="10" t="str">
        <f>"9780814415191"</f>
        <v>9780814415191</v>
      </c>
      <c r="C2165" s="10" t="str">
        <f>"9780814415207"</f>
        <v>9780814415207</v>
      </c>
      <c r="D2165" s="10" t="s">
        <v>9200</v>
      </c>
      <c r="E2165" s="10" t="s">
        <v>9201</v>
      </c>
      <c r="F2165" s="10" t="s">
        <v>403</v>
      </c>
      <c r="G2165" s="10" t="s">
        <v>6317</v>
      </c>
      <c r="H2165" s="11">
        <v>39988</v>
      </c>
      <c r="I2165" s="10">
        <v>2009</v>
      </c>
      <c r="J2165" s="10" t="s">
        <v>9201</v>
      </c>
      <c r="K2165" s="10">
        <v>241</v>
      </c>
      <c r="L2165" s="10" t="s">
        <v>15725</v>
      </c>
      <c r="M2165" s="10">
        <v>1</v>
      </c>
      <c r="N2165" s="10"/>
      <c r="O2165" s="10"/>
      <c r="P2165" s="10" t="s">
        <v>15726</v>
      </c>
      <c r="Q2165" s="10" t="s">
        <v>10940</v>
      </c>
      <c r="R2165" s="10" t="s">
        <v>15727</v>
      </c>
      <c r="S2165" s="10" t="s">
        <v>53</v>
      </c>
      <c r="T2165" s="10" t="s">
        <v>54</v>
      </c>
    </row>
    <row r="2166" spans="1:20" ht="14.5" x14ac:dyDescent="0.35">
      <c r="A2166" s="10" t="s">
        <v>15728</v>
      </c>
      <c r="B2166" s="10" t="str">
        <f>"9780814415344"</f>
        <v>9780814415344</v>
      </c>
      <c r="C2166" s="10" t="str">
        <f>"9780814415351"</f>
        <v>9780814415351</v>
      </c>
      <c r="D2166" s="10" t="s">
        <v>9200</v>
      </c>
      <c r="E2166" s="10" t="s">
        <v>9201</v>
      </c>
      <c r="F2166" s="10" t="s">
        <v>13259</v>
      </c>
      <c r="G2166" s="10" t="s">
        <v>6317</v>
      </c>
      <c r="H2166" s="11">
        <v>40210</v>
      </c>
      <c r="I2166" s="10">
        <v>2010</v>
      </c>
      <c r="J2166" s="10" t="s">
        <v>9201</v>
      </c>
      <c r="K2166" s="10">
        <v>256</v>
      </c>
      <c r="L2166" s="10" t="s">
        <v>15729</v>
      </c>
      <c r="M2166" s="10">
        <v>1</v>
      </c>
      <c r="N2166" s="10"/>
      <c r="O2166" s="10"/>
      <c r="P2166" s="10" t="s">
        <v>15730</v>
      </c>
      <c r="Q2166" s="10" t="s">
        <v>10213</v>
      </c>
      <c r="R2166" s="10" t="s">
        <v>15731</v>
      </c>
      <c r="S2166" s="10" t="s">
        <v>53</v>
      </c>
      <c r="T2166" s="10" t="s">
        <v>54</v>
      </c>
    </row>
    <row r="2167" spans="1:20" ht="14.5" x14ac:dyDescent="0.35">
      <c r="A2167" s="10" t="s">
        <v>15732</v>
      </c>
      <c r="B2167" s="10" t="str">
        <f>"9781416608837"</f>
        <v>9781416608837</v>
      </c>
      <c r="C2167" s="10" t="str">
        <f>"9781416609766"</f>
        <v>9781416609766</v>
      </c>
      <c r="D2167" s="10" t="s">
        <v>10014</v>
      </c>
      <c r="E2167" s="10" t="s">
        <v>10015</v>
      </c>
      <c r="F2167" s="10" t="s">
        <v>201</v>
      </c>
      <c r="G2167" s="10" t="s">
        <v>6317</v>
      </c>
      <c r="H2167" s="11">
        <v>40147</v>
      </c>
      <c r="I2167" s="10">
        <v>2009</v>
      </c>
      <c r="J2167" s="10" t="s">
        <v>10015</v>
      </c>
      <c r="K2167" s="10">
        <v>138</v>
      </c>
      <c r="L2167" s="10" t="s">
        <v>15733</v>
      </c>
      <c r="M2167" s="10">
        <v>1</v>
      </c>
      <c r="N2167" s="10"/>
      <c r="O2167" s="10"/>
      <c r="P2167" s="10" t="s">
        <v>15734</v>
      </c>
      <c r="Q2167" s="10" t="s">
        <v>15735</v>
      </c>
      <c r="R2167" s="10" t="s">
        <v>15736</v>
      </c>
      <c r="S2167" s="10" t="s">
        <v>53</v>
      </c>
      <c r="T2167" s="10" t="s">
        <v>54</v>
      </c>
    </row>
    <row r="2168" spans="1:20" ht="14.5" x14ac:dyDescent="0.35">
      <c r="A2168" s="10" t="s">
        <v>15737</v>
      </c>
      <c r="B2168" s="10" t="str">
        <f>"9781416608189"</f>
        <v>9781416608189</v>
      </c>
      <c r="C2168" s="10" t="str">
        <f>"9781416609339"</f>
        <v>9781416609339</v>
      </c>
      <c r="D2168" s="10" t="s">
        <v>10014</v>
      </c>
      <c r="E2168" s="10" t="s">
        <v>10015</v>
      </c>
      <c r="F2168" s="10" t="s">
        <v>201</v>
      </c>
      <c r="G2168" s="10" t="s">
        <v>6317</v>
      </c>
      <c r="H2168" s="11">
        <v>41376</v>
      </c>
      <c r="I2168" s="10">
        <v>2009</v>
      </c>
      <c r="J2168" s="10" t="s">
        <v>10015</v>
      </c>
      <c r="K2168" s="10">
        <v>331</v>
      </c>
      <c r="L2168" s="10" t="s">
        <v>15738</v>
      </c>
      <c r="M2168" s="10">
        <v>1</v>
      </c>
      <c r="N2168" s="10"/>
      <c r="O2168" s="10"/>
      <c r="P2168" s="10" t="s">
        <v>15739</v>
      </c>
      <c r="Q2168" s="10">
        <v>371.10199999999998</v>
      </c>
      <c r="R2168" s="10" t="s">
        <v>15740</v>
      </c>
      <c r="S2168" s="10" t="s">
        <v>53</v>
      </c>
      <c r="T2168" s="10" t="s">
        <v>54</v>
      </c>
    </row>
    <row r="2169" spans="1:20" ht="14.5" x14ac:dyDescent="0.35">
      <c r="A2169" s="10" t="s">
        <v>15741</v>
      </c>
      <c r="B2169" s="10" t="str">
        <f>"9781416607588"</f>
        <v>9781416607588</v>
      </c>
      <c r="C2169" s="10" t="str">
        <f>"9781416608806"</f>
        <v>9781416608806</v>
      </c>
      <c r="D2169" s="10" t="s">
        <v>10014</v>
      </c>
      <c r="E2169" s="10" t="s">
        <v>10015</v>
      </c>
      <c r="F2169" s="10" t="s">
        <v>201</v>
      </c>
      <c r="G2169" s="10" t="s">
        <v>6317</v>
      </c>
      <c r="H2169" s="11">
        <v>39845</v>
      </c>
      <c r="I2169" s="10">
        <v>2009</v>
      </c>
      <c r="J2169" s="10" t="s">
        <v>10015</v>
      </c>
      <c r="K2169" s="10">
        <v>310</v>
      </c>
      <c r="L2169" s="10" t="s">
        <v>15742</v>
      </c>
      <c r="M2169" s="10">
        <v>1</v>
      </c>
      <c r="N2169" s="10"/>
      <c r="O2169" s="10"/>
      <c r="P2169" s="10" t="s">
        <v>15743</v>
      </c>
      <c r="Q2169" s="10" t="s">
        <v>8460</v>
      </c>
      <c r="R2169" s="10" t="s">
        <v>15744</v>
      </c>
      <c r="S2169" s="10" t="s">
        <v>53</v>
      </c>
      <c r="T2169" s="10" t="s">
        <v>54</v>
      </c>
    </row>
    <row r="2170" spans="1:20" ht="14.5" x14ac:dyDescent="0.35">
      <c r="A2170" s="10" t="s">
        <v>15745</v>
      </c>
      <c r="B2170" s="10" t="str">
        <f>"9781416607687"</f>
        <v>9781416607687</v>
      </c>
      <c r="C2170" s="10" t="str">
        <f>"9781416608615"</f>
        <v>9781416608615</v>
      </c>
      <c r="D2170" s="10" t="s">
        <v>10014</v>
      </c>
      <c r="E2170" s="10" t="s">
        <v>10015</v>
      </c>
      <c r="F2170" s="10" t="s">
        <v>201</v>
      </c>
      <c r="G2170" s="10" t="s">
        <v>6317</v>
      </c>
      <c r="H2170" s="11">
        <v>39845</v>
      </c>
      <c r="I2170" s="10">
        <v>2009</v>
      </c>
      <c r="J2170" s="10" t="s">
        <v>10015</v>
      </c>
      <c r="K2170" s="10">
        <v>162</v>
      </c>
      <c r="L2170" s="10" t="s">
        <v>15746</v>
      </c>
      <c r="M2170" s="10">
        <v>1</v>
      </c>
      <c r="N2170" s="10"/>
      <c r="O2170" s="10"/>
      <c r="P2170" s="10" t="s">
        <v>15747</v>
      </c>
      <c r="Q2170" s="10" t="s">
        <v>11202</v>
      </c>
      <c r="R2170" s="10" t="s">
        <v>15748</v>
      </c>
      <c r="S2170" s="10" t="s">
        <v>53</v>
      </c>
      <c r="T2170" s="10" t="s">
        <v>54</v>
      </c>
    </row>
    <row r="2171" spans="1:20" ht="14.5" x14ac:dyDescent="0.35">
      <c r="A2171" s="10" t="s">
        <v>15749</v>
      </c>
      <c r="B2171" s="10" t="str">
        <f>"9781416607632"</f>
        <v>9781416607632</v>
      </c>
      <c r="C2171" s="10" t="str">
        <f>"9781416608776"</f>
        <v>9781416608776</v>
      </c>
      <c r="D2171" s="10" t="s">
        <v>10014</v>
      </c>
      <c r="E2171" s="10" t="s">
        <v>10015</v>
      </c>
      <c r="F2171" s="10" t="s">
        <v>201</v>
      </c>
      <c r="G2171" s="10" t="s">
        <v>6317</v>
      </c>
      <c r="H2171" s="11">
        <v>39843</v>
      </c>
      <c r="I2171" s="10">
        <v>2009</v>
      </c>
      <c r="J2171" s="10" t="s">
        <v>10015</v>
      </c>
      <c r="K2171" s="10">
        <v>257</v>
      </c>
      <c r="L2171" s="10" t="s">
        <v>13299</v>
      </c>
      <c r="M2171" s="10">
        <v>1</v>
      </c>
      <c r="N2171" s="10"/>
      <c r="O2171" s="10"/>
      <c r="P2171" s="10" t="s">
        <v>15750</v>
      </c>
      <c r="Q2171" s="10" t="s">
        <v>9870</v>
      </c>
      <c r="R2171" s="10" t="s">
        <v>15751</v>
      </c>
      <c r="S2171" s="10" t="s">
        <v>53</v>
      </c>
      <c r="T2171" s="10" t="s">
        <v>54</v>
      </c>
    </row>
    <row r="2172" spans="1:20" ht="14.5" x14ac:dyDescent="0.35">
      <c r="A2172" s="10" t="s">
        <v>15752</v>
      </c>
      <c r="B2172" s="10" t="str">
        <f>"9781416607892"</f>
        <v>9781416607892</v>
      </c>
      <c r="C2172" s="10" t="str">
        <f>"9781416609070"</f>
        <v>9781416609070</v>
      </c>
      <c r="D2172" s="10" t="s">
        <v>10014</v>
      </c>
      <c r="E2172" s="10" t="s">
        <v>10015</v>
      </c>
      <c r="F2172" s="10" t="s">
        <v>201</v>
      </c>
      <c r="G2172" s="10" t="s">
        <v>6317</v>
      </c>
      <c r="H2172" s="11">
        <v>39948</v>
      </c>
      <c r="I2172" s="10">
        <v>2009</v>
      </c>
      <c r="J2172" s="10" t="s">
        <v>10014</v>
      </c>
      <c r="K2172" s="10">
        <v>259</v>
      </c>
      <c r="L2172" s="10" t="s">
        <v>10452</v>
      </c>
      <c r="M2172" s="10">
        <v>3</v>
      </c>
      <c r="N2172" s="10"/>
      <c r="O2172" s="10"/>
      <c r="P2172" s="10" t="s">
        <v>15753</v>
      </c>
      <c r="Q2172" s="10" t="s">
        <v>6942</v>
      </c>
      <c r="R2172" s="10" t="s">
        <v>15754</v>
      </c>
      <c r="S2172" s="10" t="s">
        <v>53</v>
      </c>
      <c r="T2172" s="10" t="s">
        <v>54</v>
      </c>
    </row>
    <row r="2173" spans="1:20" ht="14.5" x14ac:dyDescent="0.35">
      <c r="A2173" s="10" t="s">
        <v>15755</v>
      </c>
      <c r="B2173" s="10" t="str">
        <f>"9781416608820"</f>
        <v>9781416608820</v>
      </c>
      <c r="C2173" s="10" t="str">
        <f>"9781416609735"</f>
        <v>9781416609735</v>
      </c>
      <c r="D2173" s="10" t="s">
        <v>10014</v>
      </c>
      <c r="E2173" s="10" t="s">
        <v>10015</v>
      </c>
      <c r="F2173" s="10" t="s">
        <v>201</v>
      </c>
      <c r="G2173" s="10" t="s">
        <v>6317</v>
      </c>
      <c r="H2173" s="11">
        <v>40147</v>
      </c>
      <c r="I2173" s="10">
        <v>2009</v>
      </c>
      <c r="J2173" s="10" t="s">
        <v>10015</v>
      </c>
      <c r="K2173" s="10">
        <v>227</v>
      </c>
      <c r="L2173" s="10" t="s">
        <v>15756</v>
      </c>
      <c r="M2173" s="10">
        <v>1</v>
      </c>
      <c r="N2173" s="10"/>
      <c r="O2173" s="10"/>
      <c r="P2173" s="10" t="s">
        <v>15757</v>
      </c>
      <c r="Q2173" s="10">
        <v>371.10199999999998</v>
      </c>
      <c r="R2173" s="10" t="s">
        <v>15758</v>
      </c>
      <c r="S2173" s="10" t="s">
        <v>53</v>
      </c>
      <c r="T2173" s="10" t="s">
        <v>54</v>
      </c>
    </row>
    <row r="2174" spans="1:20" ht="14.5" x14ac:dyDescent="0.35">
      <c r="A2174" s="10" t="s">
        <v>15759</v>
      </c>
      <c r="B2174" s="10" t="str">
        <f>"9781416608578"</f>
        <v>9781416608578</v>
      </c>
      <c r="C2174" s="10" t="str">
        <f>"9781416609599"</f>
        <v>9781416609599</v>
      </c>
      <c r="D2174" s="10" t="s">
        <v>10014</v>
      </c>
      <c r="E2174" s="10" t="s">
        <v>10015</v>
      </c>
      <c r="F2174" s="10" t="s">
        <v>201</v>
      </c>
      <c r="G2174" s="10" t="s">
        <v>6317</v>
      </c>
      <c r="H2174" s="11">
        <v>40055</v>
      </c>
      <c r="I2174" s="10">
        <v>2009</v>
      </c>
      <c r="J2174" s="10" t="s">
        <v>10015</v>
      </c>
      <c r="K2174" s="10">
        <v>131</v>
      </c>
      <c r="L2174" s="10" t="s">
        <v>15760</v>
      </c>
      <c r="M2174" s="10">
        <v>1</v>
      </c>
      <c r="N2174" s="10"/>
      <c r="O2174" s="10"/>
      <c r="P2174" s="10" t="s">
        <v>15761</v>
      </c>
      <c r="Q2174" s="10">
        <v>371.82100000000003</v>
      </c>
      <c r="R2174" s="10" t="s">
        <v>15762</v>
      </c>
      <c r="S2174" s="10" t="s">
        <v>53</v>
      </c>
      <c r="T2174" s="10" t="s">
        <v>54</v>
      </c>
    </row>
    <row r="2175" spans="1:20" ht="14.5" x14ac:dyDescent="0.35">
      <c r="A2175" s="10" t="s">
        <v>15763</v>
      </c>
      <c r="B2175" s="10" t="str">
        <f>"9781416608080"</f>
        <v>9781416608080</v>
      </c>
      <c r="C2175" s="10" t="str">
        <f>"9781416608929"</f>
        <v>9781416608929</v>
      </c>
      <c r="D2175" s="10" t="s">
        <v>10014</v>
      </c>
      <c r="E2175" s="10" t="s">
        <v>10015</v>
      </c>
      <c r="F2175" s="10" t="s">
        <v>201</v>
      </c>
      <c r="G2175" s="10" t="s">
        <v>6317</v>
      </c>
      <c r="H2175" s="11">
        <v>39933</v>
      </c>
      <c r="I2175" s="10">
        <v>2009</v>
      </c>
      <c r="J2175" s="10" t="s">
        <v>10015</v>
      </c>
      <c r="K2175" s="10">
        <v>194</v>
      </c>
      <c r="L2175" s="10" t="s">
        <v>10016</v>
      </c>
      <c r="M2175" s="10">
        <v>1</v>
      </c>
      <c r="N2175" s="10"/>
      <c r="O2175" s="10"/>
      <c r="P2175" s="10" t="s">
        <v>15764</v>
      </c>
      <c r="Q2175" s="10">
        <v>371.20097299999998</v>
      </c>
      <c r="R2175" s="10"/>
      <c r="S2175" s="10" t="s">
        <v>53</v>
      </c>
      <c r="T2175" s="10" t="s">
        <v>54</v>
      </c>
    </row>
    <row r="2176" spans="1:20" ht="14.5" x14ac:dyDescent="0.35">
      <c r="A2176" s="10" t="s">
        <v>15765</v>
      </c>
      <c r="B2176" s="10" t="str">
        <f>"9781416608936"</f>
        <v>9781416608936</v>
      </c>
      <c r="C2176" s="10" t="str">
        <f>"9781416608936"</f>
        <v>9781416608936</v>
      </c>
      <c r="D2176" s="10" t="s">
        <v>10014</v>
      </c>
      <c r="E2176" s="10" t="s">
        <v>10015</v>
      </c>
      <c r="F2176" s="10" t="s">
        <v>201</v>
      </c>
      <c r="G2176" s="10" t="s">
        <v>6317</v>
      </c>
      <c r="H2176" s="11">
        <v>40026</v>
      </c>
      <c r="I2176" s="10">
        <v>2009</v>
      </c>
      <c r="J2176" s="10" t="s">
        <v>10015</v>
      </c>
      <c r="K2176" s="10">
        <v>376</v>
      </c>
      <c r="L2176" s="10" t="s">
        <v>15766</v>
      </c>
      <c r="M2176" s="10">
        <v>1</v>
      </c>
      <c r="N2176" s="10"/>
      <c r="O2176" s="10"/>
      <c r="P2176" s="10" t="s">
        <v>15767</v>
      </c>
      <c r="Q2176" s="10"/>
      <c r="R2176" s="10" t="s">
        <v>15768</v>
      </c>
      <c r="S2176" s="10" t="s">
        <v>53</v>
      </c>
      <c r="T2176" s="10" t="s">
        <v>54</v>
      </c>
    </row>
    <row r="2177" spans="1:20" ht="14.5" x14ac:dyDescent="0.35">
      <c r="A2177" s="10" t="s">
        <v>15769</v>
      </c>
      <c r="B2177" s="10" t="str">
        <f>"9781416607427"</f>
        <v>9781416607427</v>
      </c>
      <c r="C2177" s="10" t="str">
        <f>"9781416608721"</f>
        <v>9781416608721</v>
      </c>
      <c r="D2177" s="10" t="s">
        <v>10014</v>
      </c>
      <c r="E2177" s="10" t="s">
        <v>10015</v>
      </c>
      <c r="F2177" s="10" t="s">
        <v>201</v>
      </c>
      <c r="G2177" s="10" t="s">
        <v>6317</v>
      </c>
      <c r="H2177" s="11">
        <v>39902</v>
      </c>
      <c r="I2177" s="10">
        <v>2009</v>
      </c>
      <c r="J2177" s="10" t="s">
        <v>10015</v>
      </c>
      <c r="K2177" s="10">
        <v>273</v>
      </c>
      <c r="L2177" s="10" t="s">
        <v>15770</v>
      </c>
      <c r="M2177" s="10">
        <v>1</v>
      </c>
      <c r="N2177" s="10"/>
      <c r="O2177" s="10"/>
      <c r="P2177" s="10" t="s">
        <v>15771</v>
      </c>
      <c r="Q2177" s="10">
        <v>371.1</v>
      </c>
      <c r="R2177" s="10" t="s">
        <v>15772</v>
      </c>
      <c r="S2177" s="10" t="s">
        <v>53</v>
      </c>
      <c r="T2177" s="10" t="s">
        <v>54</v>
      </c>
    </row>
    <row r="2178" spans="1:20" ht="14.5" x14ac:dyDescent="0.35">
      <c r="A2178" s="10" t="s">
        <v>15773</v>
      </c>
      <c r="B2178" s="10" t="str">
        <f>"9781416608103"</f>
        <v>9781416608103</v>
      </c>
      <c r="C2178" s="10" t="str">
        <f>"9781416609360"</f>
        <v>9781416609360</v>
      </c>
      <c r="D2178" s="10" t="s">
        <v>10014</v>
      </c>
      <c r="E2178" s="10" t="s">
        <v>10015</v>
      </c>
      <c r="F2178" s="10" t="s">
        <v>201</v>
      </c>
      <c r="G2178" s="10" t="s">
        <v>6317</v>
      </c>
      <c r="H2178" s="11">
        <v>39965</v>
      </c>
      <c r="I2178" s="10">
        <v>2009</v>
      </c>
      <c r="J2178" s="10" t="s">
        <v>10015</v>
      </c>
      <c r="K2178" s="10">
        <v>191</v>
      </c>
      <c r="L2178" s="10" t="s">
        <v>10434</v>
      </c>
      <c r="M2178" s="10">
        <v>1</v>
      </c>
      <c r="N2178" s="10"/>
      <c r="O2178" s="10"/>
      <c r="P2178" s="10" t="s">
        <v>15774</v>
      </c>
      <c r="Q2178" s="10" t="s">
        <v>10213</v>
      </c>
      <c r="R2178" s="10" t="s">
        <v>15775</v>
      </c>
      <c r="S2178" s="10" t="s">
        <v>53</v>
      </c>
      <c r="T2178" s="10" t="s">
        <v>54</v>
      </c>
    </row>
    <row r="2179" spans="1:20" ht="14.5" x14ac:dyDescent="0.35">
      <c r="A2179" s="10" t="s">
        <v>15776</v>
      </c>
      <c r="B2179" s="10" t="str">
        <f>"9781416608257"</f>
        <v>9781416608257</v>
      </c>
      <c r="C2179" s="10" t="str">
        <f>"9781416609391"</f>
        <v>9781416609391</v>
      </c>
      <c r="D2179" s="10" t="s">
        <v>10014</v>
      </c>
      <c r="E2179" s="10" t="s">
        <v>10015</v>
      </c>
      <c r="F2179" s="10" t="s">
        <v>201</v>
      </c>
      <c r="G2179" s="10" t="s">
        <v>6317</v>
      </c>
      <c r="H2179" s="11">
        <v>40001</v>
      </c>
      <c r="I2179" s="10">
        <v>2009</v>
      </c>
      <c r="J2179" s="10" t="s">
        <v>10014</v>
      </c>
      <c r="K2179" s="10">
        <v>195</v>
      </c>
      <c r="L2179" s="10" t="s">
        <v>15777</v>
      </c>
      <c r="M2179" s="10">
        <v>1</v>
      </c>
      <c r="N2179" s="10"/>
      <c r="O2179" s="10"/>
      <c r="P2179" s="10" t="s">
        <v>15778</v>
      </c>
      <c r="Q2179" s="10" t="s">
        <v>15779</v>
      </c>
      <c r="R2179" s="10" t="s">
        <v>15780</v>
      </c>
      <c r="S2179" s="10" t="s">
        <v>53</v>
      </c>
      <c r="T2179" s="10" t="s">
        <v>54</v>
      </c>
    </row>
    <row r="2180" spans="1:20" ht="14.5" x14ac:dyDescent="0.35">
      <c r="A2180" s="10" t="s">
        <v>15781</v>
      </c>
      <c r="B2180" s="10" t="str">
        <f>"9781416608585"</f>
        <v>9781416608585</v>
      </c>
      <c r="C2180" s="10" t="str">
        <f>"9781416609704"</f>
        <v>9781416609704</v>
      </c>
      <c r="D2180" s="10" t="s">
        <v>10014</v>
      </c>
      <c r="E2180" s="10" t="s">
        <v>10015</v>
      </c>
      <c r="F2180" s="10" t="s">
        <v>201</v>
      </c>
      <c r="G2180" s="10" t="s">
        <v>6317</v>
      </c>
      <c r="H2180" s="11">
        <v>40086</v>
      </c>
      <c r="I2180" s="10">
        <v>2009</v>
      </c>
      <c r="J2180" s="10" t="s">
        <v>10015</v>
      </c>
      <c r="K2180" s="10">
        <v>145</v>
      </c>
      <c r="L2180" s="10" t="s">
        <v>15782</v>
      </c>
      <c r="M2180" s="10">
        <v>1</v>
      </c>
      <c r="N2180" s="10"/>
      <c r="O2180" s="10"/>
      <c r="P2180" s="10" t="s">
        <v>15783</v>
      </c>
      <c r="Q2180" s="10">
        <v>371.20097299999998</v>
      </c>
      <c r="R2180" s="10" t="s">
        <v>15784</v>
      </c>
      <c r="S2180" s="10" t="s">
        <v>53</v>
      </c>
      <c r="T2180" s="10" t="s">
        <v>54</v>
      </c>
    </row>
    <row r="2181" spans="1:20" ht="14.5" x14ac:dyDescent="0.35">
      <c r="A2181" s="10" t="s">
        <v>15785</v>
      </c>
      <c r="B2181" s="10" t="str">
        <f>"9781416608738"</f>
        <v>9781416608738</v>
      </c>
      <c r="C2181" s="10" t="str">
        <f>"9781416609667"</f>
        <v>9781416609667</v>
      </c>
      <c r="D2181" s="10" t="s">
        <v>10014</v>
      </c>
      <c r="E2181" s="10" t="s">
        <v>10015</v>
      </c>
      <c r="F2181" s="10" t="s">
        <v>201</v>
      </c>
      <c r="G2181" s="10" t="s">
        <v>6317</v>
      </c>
      <c r="H2181" s="11">
        <v>40086</v>
      </c>
      <c r="I2181" s="10">
        <v>2009</v>
      </c>
      <c r="J2181" s="10" t="s">
        <v>10015</v>
      </c>
      <c r="K2181" s="10">
        <v>249</v>
      </c>
      <c r="L2181" s="10" t="s">
        <v>15786</v>
      </c>
      <c r="M2181" s="10">
        <v>1</v>
      </c>
      <c r="N2181" s="10"/>
      <c r="O2181" s="10"/>
      <c r="P2181" s="10" t="s">
        <v>15787</v>
      </c>
      <c r="Q2181" s="10">
        <v>370.97300000000001</v>
      </c>
      <c r="R2181" s="10" t="s">
        <v>15788</v>
      </c>
      <c r="S2181" s="10" t="s">
        <v>53</v>
      </c>
      <c r="T2181" s="10" t="s">
        <v>54</v>
      </c>
    </row>
    <row r="2182" spans="1:20" ht="14.5" x14ac:dyDescent="0.35">
      <c r="A2182" s="10" t="s">
        <v>15789</v>
      </c>
      <c r="B2182" s="10" t="str">
        <f>"9780226561707"</f>
        <v>9780226561707</v>
      </c>
      <c r="C2182" s="10" t="str">
        <f>"9780226561721"</f>
        <v>9780226561721</v>
      </c>
      <c r="D2182" s="10" t="s">
        <v>13157</v>
      </c>
      <c r="E2182" s="10" t="s">
        <v>13157</v>
      </c>
      <c r="F2182" s="10" t="s">
        <v>324</v>
      </c>
      <c r="G2182" s="10" t="s">
        <v>6317</v>
      </c>
      <c r="H2182" s="11">
        <v>33519</v>
      </c>
      <c r="I2182" s="10">
        <v>1991</v>
      </c>
      <c r="J2182" s="10" t="s">
        <v>13157</v>
      </c>
      <c r="K2182" s="10">
        <v>217</v>
      </c>
      <c r="L2182" s="10" t="s">
        <v>15790</v>
      </c>
      <c r="M2182" s="10">
        <v>1</v>
      </c>
      <c r="N2182" s="10" t="s">
        <v>15791</v>
      </c>
      <c r="O2182" s="10"/>
      <c r="P2182" s="10" t="s">
        <v>15792</v>
      </c>
      <c r="Q2182" s="10" t="s">
        <v>15793</v>
      </c>
      <c r="R2182" s="10" t="s">
        <v>15794</v>
      </c>
      <c r="S2182" s="10" t="s">
        <v>53</v>
      </c>
      <c r="T2182" s="10" t="s">
        <v>54</v>
      </c>
    </row>
    <row r="2183" spans="1:20" ht="14.5" x14ac:dyDescent="0.35">
      <c r="A2183" s="10" t="s">
        <v>15795</v>
      </c>
      <c r="B2183" s="10" t="str">
        <f>"9780470188965"</f>
        <v>9780470188965</v>
      </c>
      <c r="C2183" s="10" t="str">
        <f>"9780470639603"</f>
        <v>9780470639603</v>
      </c>
      <c r="D2183" s="10" t="s">
        <v>6322</v>
      </c>
      <c r="E2183" s="10" t="s">
        <v>6323</v>
      </c>
      <c r="F2183" s="10" t="s">
        <v>4423</v>
      </c>
      <c r="G2183" s="10" t="s">
        <v>6317</v>
      </c>
      <c r="H2183" s="11">
        <v>39657</v>
      </c>
      <c r="I2183" s="10">
        <v>2008</v>
      </c>
      <c r="J2183" s="10" t="s">
        <v>6324</v>
      </c>
      <c r="K2183" s="10">
        <v>241</v>
      </c>
      <c r="L2183" s="10" t="s">
        <v>15796</v>
      </c>
      <c r="M2183" s="10">
        <v>1</v>
      </c>
      <c r="N2183" s="10"/>
      <c r="O2183" s="10"/>
      <c r="P2183" s="10" t="s">
        <v>15797</v>
      </c>
      <c r="Q2183" s="10"/>
      <c r="R2183" s="10" t="s">
        <v>15798</v>
      </c>
      <c r="S2183" s="10" t="s">
        <v>53</v>
      </c>
      <c r="T2183" s="10" t="s">
        <v>54</v>
      </c>
    </row>
    <row r="2184" spans="1:20" ht="14.5" x14ac:dyDescent="0.35">
      <c r="A2184" s="10" t="s">
        <v>15799</v>
      </c>
      <c r="B2184" s="10" t="str">
        <f>"9780335236060"</f>
        <v>9780335236060</v>
      </c>
      <c r="C2184" s="10" t="str">
        <f>"9780335239207"</f>
        <v>9780335239207</v>
      </c>
      <c r="D2184" s="10" t="s">
        <v>10342</v>
      </c>
      <c r="E2184" s="10" t="s">
        <v>10343</v>
      </c>
      <c r="F2184" s="10" t="s">
        <v>10344</v>
      </c>
      <c r="G2184" s="10" t="s">
        <v>6352</v>
      </c>
      <c r="H2184" s="11">
        <v>40087</v>
      </c>
      <c r="I2184" s="10">
        <v>2009</v>
      </c>
      <c r="J2184" s="10" t="s">
        <v>10345</v>
      </c>
      <c r="K2184" s="10">
        <v>249</v>
      </c>
      <c r="L2184" s="10" t="s">
        <v>15800</v>
      </c>
      <c r="M2184" s="10">
        <v>1</v>
      </c>
      <c r="N2184" s="10" t="s">
        <v>10384</v>
      </c>
      <c r="O2184" s="10"/>
      <c r="P2184" s="10" t="s">
        <v>15801</v>
      </c>
      <c r="Q2184" s="10">
        <v>378.12</v>
      </c>
      <c r="R2184" s="10" t="s">
        <v>15802</v>
      </c>
      <c r="S2184" s="10" t="s">
        <v>53</v>
      </c>
      <c r="T2184" s="10" t="s">
        <v>54</v>
      </c>
    </row>
    <row r="2185" spans="1:20" ht="14.5" x14ac:dyDescent="0.35">
      <c r="A2185" s="10" t="s">
        <v>15803</v>
      </c>
      <c r="B2185" s="10" t="str">
        <f>"9780415488938"</f>
        <v>9780415488938</v>
      </c>
      <c r="C2185" s="10" t="str">
        <f>"9780203856888"</f>
        <v>9780203856888</v>
      </c>
      <c r="D2185" s="10" t="s">
        <v>6350</v>
      </c>
      <c r="E2185" s="10" t="s">
        <v>6351</v>
      </c>
      <c r="F2185" s="10" t="s">
        <v>748</v>
      </c>
      <c r="G2185" s="10" t="s">
        <v>6352</v>
      </c>
      <c r="H2185" s="11">
        <v>40233</v>
      </c>
      <c r="I2185" s="10">
        <v>2010</v>
      </c>
      <c r="J2185" s="10" t="s">
        <v>6351</v>
      </c>
      <c r="K2185" s="10">
        <v>150</v>
      </c>
      <c r="L2185" s="10" t="s">
        <v>15804</v>
      </c>
      <c r="M2185" s="10">
        <v>1</v>
      </c>
      <c r="N2185" s="10"/>
      <c r="O2185" s="10"/>
      <c r="P2185" s="10" t="s">
        <v>15805</v>
      </c>
      <c r="Q2185" s="10">
        <v>370.72</v>
      </c>
      <c r="R2185" s="10" t="s">
        <v>15806</v>
      </c>
      <c r="S2185" s="10" t="s">
        <v>53</v>
      </c>
      <c r="T2185" s="10" t="s">
        <v>54</v>
      </c>
    </row>
    <row r="2186" spans="1:20" ht="14.5" x14ac:dyDescent="0.35">
      <c r="A2186" s="10" t="s">
        <v>15807</v>
      </c>
      <c r="B2186" s="10" t="str">
        <f>"9780415493451"</f>
        <v>9780415493451</v>
      </c>
      <c r="C2186" s="10" t="str">
        <f>"9780203855065"</f>
        <v>9780203855065</v>
      </c>
      <c r="D2186" s="10" t="s">
        <v>6350</v>
      </c>
      <c r="E2186" s="10" t="s">
        <v>6351</v>
      </c>
      <c r="F2186" s="10" t="s">
        <v>139</v>
      </c>
      <c r="G2186" s="10" t="s">
        <v>6352</v>
      </c>
      <c r="H2186" s="11">
        <v>40234</v>
      </c>
      <c r="I2186" s="10">
        <v>2010</v>
      </c>
      <c r="J2186" s="10" t="s">
        <v>6353</v>
      </c>
      <c r="K2186" s="10">
        <v>183</v>
      </c>
      <c r="L2186" s="10" t="s">
        <v>15808</v>
      </c>
      <c r="M2186" s="10">
        <v>1</v>
      </c>
      <c r="N2186" s="10"/>
      <c r="O2186" s="10"/>
      <c r="P2186" s="10" t="s">
        <v>15809</v>
      </c>
      <c r="Q2186" s="10" t="s">
        <v>15810</v>
      </c>
      <c r="R2186" s="10" t="s">
        <v>15811</v>
      </c>
      <c r="S2186" s="10" t="s">
        <v>53</v>
      </c>
      <c r="T2186" s="10" t="s">
        <v>54</v>
      </c>
    </row>
    <row r="2187" spans="1:20" ht="14.5" x14ac:dyDescent="0.35">
      <c r="A2187" s="10" t="s">
        <v>15812</v>
      </c>
      <c r="B2187" s="10" t="str">
        <f>"9789004176850"</f>
        <v>9789004176850</v>
      </c>
      <c r="C2187" s="10" t="str">
        <f>"9789047430292"</f>
        <v>9789047430292</v>
      </c>
      <c r="D2187" s="10" t="s">
        <v>8564</v>
      </c>
      <c r="E2187" s="10" t="s">
        <v>8565</v>
      </c>
      <c r="F2187" s="10" t="s">
        <v>1420</v>
      </c>
      <c r="G2187" s="10" t="s">
        <v>6317</v>
      </c>
      <c r="H2187" s="11">
        <v>40025</v>
      </c>
      <c r="I2187" s="10">
        <v>2009</v>
      </c>
      <c r="J2187" s="10" t="s">
        <v>8565</v>
      </c>
      <c r="K2187" s="10">
        <v>448</v>
      </c>
      <c r="L2187" s="10" t="s">
        <v>15813</v>
      </c>
      <c r="M2187" s="10">
        <v>1</v>
      </c>
      <c r="N2187" s="10" t="s">
        <v>9254</v>
      </c>
      <c r="O2187" s="10">
        <v>179</v>
      </c>
      <c r="P2187" s="10" t="s">
        <v>15814</v>
      </c>
      <c r="Q2187" s="10" t="s">
        <v>15815</v>
      </c>
      <c r="R2187" s="10"/>
      <c r="S2187" s="10" t="s">
        <v>53</v>
      </c>
      <c r="T2187" s="10" t="s">
        <v>54</v>
      </c>
    </row>
    <row r="2188" spans="1:20" ht="14.5" x14ac:dyDescent="0.35">
      <c r="A2188" s="10" t="s">
        <v>15816</v>
      </c>
      <c r="B2188" s="10" t="str">
        <f>"9789004172555"</f>
        <v>9789004172555</v>
      </c>
      <c r="C2188" s="10" t="str">
        <f>"9789047426028"</f>
        <v>9789047426028</v>
      </c>
      <c r="D2188" s="10" t="s">
        <v>8564</v>
      </c>
      <c r="E2188" s="10" t="s">
        <v>8565</v>
      </c>
      <c r="F2188" s="10" t="s">
        <v>1420</v>
      </c>
      <c r="G2188" s="10" t="s">
        <v>6317</v>
      </c>
      <c r="H2188" s="11">
        <v>39888</v>
      </c>
      <c r="I2188" s="10">
        <v>2009</v>
      </c>
      <c r="J2188" s="10" t="s">
        <v>8565</v>
      </c>
      <c r="K2188" s="10">
        <v>376</v>
      </c>
      <c r="L2188" s="10" t="s">
        <v>15817</v>
      </c>
      <c r="M2188" s="10">
        <v>1</v>
      </c>
      <c r="N2188" s="10" t="s">
        <v>10126</v>
      </c>
      <c r="O2188" s="10">
        <v>34</v>
      </c>
      <c r="P2188" s="10" t="s">
        <v>15818</v>
      </c>
      <c r="Q2188" s="10" t="s">
        <v>15819</v>
      </c>
      <c r="R2188" s="10" t="s">
        <v>15820</v>
      </c>
      <c r="S2188" s="10" t="s">
        <v>53</v>
      </c>
      <c r="T2188" s="10" t="s">
        <v>54</v>
      </c>
    </row>
    <row r="2189" spans="1:20" ht="14.5" x14ac:dyDescent="0.35">
      <c r="A2189" s="10" t="s">
        <v>15821</v>
      </c>
      <c r="B2189" s="10" t="str">
        <f>"9780897898683"</f>
        <v>9780897898683</v>
      </c>
      <c r="C2189" s="10" t="str">
        <f>"9780313013911"</f>
        <v>9780313013911</v>
      </c>
      <c r="D2189" s="10" t="s">
        <v>9777</v>
      </c>
      <c r="E2189" s="10" t="s">
        <v>9792</v>
      </c>
      <c r="F2189" s="10" t="s">
        <v>70</v>
      </c>
      <c r="G2189" s="10" t="s">
        <v>6317</v>
      </c>
      <c r="H2189" s="11">
        <v>37651</v>
      </c>
      <c r="I2189" s="10">
        <v>2003</v>
      </c>
      <c r="J2189" s="10" t="s">
        <v>9793</v>
      </c>
      <c r="K2189" s="10">
        <v>246</v>
      </c>
      <c r="L2189" s="10" t="s">
        <v>15822</v>
      </c>
      <c r="M2189" s="10">
        <v>1</v>
      </c>
      <c r="N2189" s="10" t="s">
        <v>15823</v>
      </c>
      <c r="O2189" s="10"/>
      <c r="P2189" s="10" t="s">
        <v>15824</v>
      </c>
      <c r="Q2189" s="10">
        <v>378</v>
      </c>
      <c r="R2189" s="10" t="s">
        <v>15825</v>
      </c>
      <c r="S2189" s="10" t="s">
        <v>53</v>
      </c>
      <c r="T2189" s="10" t="s">
        <v>54</v>
      </c>
    </row>
    <row r="2190" spans="1:20" ht="14.5" x14ac:dyDescent="0.35">
      <c r="A2190" s="10" t="s">
        <v>15826</v>
      </c>
      <c r="B2190" s="10" t="str">
        <f>"9780897899161"</f>
        <v>9780897899161</v>
      </c>
      <c r="C2190" s="10" t="str">
        <f>"9780313084126"</f>
        <v>9780313084126</v>
      </c>
      <c r="D2190" s="10" t="s">
        <v>9777</v>
      </c>
      <c r="E2190" s="10" t="s">
        <v>9792</v>
      </c>
      <c r="F2190" s="10" t="s">
        <v>70</v>
      </c>
      <c r="G2190" s="10" t="s">
        <v>6317</v>
      </c>
      <c r="H2190" s="11">
        <v>37985</v>
      </c>
      <c r="I2190" s="10">
        <v>2004</v>
      </c>
      <c r="J2190" s="10" t="s">
        <v>9793</v>
      </c>
      <c r="K2190" s="10">
        <v>185</v>
      </c>
      <c r="L2190" s="10" t="s">
        <v>15827</v>
      </c>
      <c r="M2190" s="10">
        <v>1</v>
      </c>
      <c r="N2190" s="10"/>
      <c r="O2190" s="10"/>
      <c r="P2190" s="10" t="s">
        <v>15828</v>
      </c>
      <c r="Q2190" s="10">
        <v>373.11020000000002</v>
      </c>
      <c r="R2190" s="10" t="s">
        <v>8801</v>
      </c>
      <c r="S2190" s="10" t="s">
        <v>53</v>
      </c>
      <c r="T2190" s="10" t="s">
        <v>54</v>
      </c>
    </row>
    <row r="2191" spans="1:20" ht="14.5" x14ac:dyDescent="0.35">
      <c r="A2191" s="10" t="s">
        <v>15829</v>
      </c>
      <c r="B2191" s="10" t="str">
        <f>"9780275986933"</f>
        <v>9780275986933</v>
      </c>
      <c r="C2191" s="10" t="str">
        <f>"9780313050244"</f>
        <v>9780313050244</v>
      </c>
      <c r="D2191" s="10" t="s">
        <v>9777</v>
      </c>
      <c r="E2191" s="10" t="s">
        <v>9792</v>
      </c>
      <c r="F2191" s="10" t="s">
        <v>70</v>
      </c>
      <c r="G2191" s="10" t="s">
        <v>6317</v>
      </c>
      <c r="H2191" s="11">
        <v>38594</v>
      </c>
      <c r="I2191" s="10">
        <v>2005</v>
      </c>
      <c r="J2191" s="10" t="s">
        <v>9793</v>
      </c>
      <c r="K2191" s="10">
        <v>266</v>
      </c>
      <c r="L2191" s="10" t="s">
        <v>15830</v>
      </c>
      <c r="M2191" s="10">
        <v>1</v>
      </c>
      <c r="N2191" s="10" t="s">
        <v>15831</v>
      </c>
      <c r="O2191" s="10"/>
      <c r="P2191" s="10" t="s">
        <v>15832</v>
      </c>
      <c r="Q2191" s="10" t="s">
        <v>15833</v>
      </c>
      <c r="R2191" s="10" t="s">
        <v>15834</v>
      </c>
      <c r="S2191" s="10" t="s">
        <v>53</v>
      </c>
      <c r="T2191" s="10" t="s">
        <v>54</v>
      </c>
    </row>
    <row r="2192" spans="1:20" ht="14.5" x14ac:dyDescent="0.35">
      <c r="A2192" s="10" t="s">
        <v>15835</v>
      </c>
      <c r="B2192" s="10" t="str">
        <f>"9780897898980"</f>
        <v>9780897898980</v>
      </c>
      <c r="C2192" s="10" t="str">
        <f>"9780313096129"</f>
        <v>9780313096129</v>
      </c>
      <c r="D2192" s="10" t="s">
        <v>9777</v>
      </c>
      <c r="E2192" s="10" t="s">
        <v>9792</v>
      </c>
      <c r="F2192" s="10" t="s">
        <v>70</v>
      </c>
      <c r="G2192" s="10" t="s">
        <v>6317</v>
      </c>
      <c r="H2192" s="11">
        <v>37863</v>
      </c>
      <c r="I2192" s="10">
        <v>2003</v>
      </c>
      <c r="J2192" s="10" t="s">
        <v>9793</v>
      </c>
      <c r="K2192" s="10">
        <v>192</v>
      </c>
      <c r="L2192" s="10" t="s">
        <v>15836</v>
      </c>
      <c r="M2192" s="10">
        <v>1</v>
      </c>
      <c r="N2192" s="10"/>
      <c r="O2192" s="10"/>
      <c r="P2192" s="10" t="s">
        <v>15837</v>
      </c>
      <c r="Q2192" s="10">
        <v>371.82968073000001</v>
      </c>
      <c r="R2192" s="10" t="s">
        <v>15838</v>
      </c>
      <c r="S2192" s="10" t="s">
        <v>53</v>
      </c>
      <c r="T2192" s="10" t="s">
        <v>54</v>
      </c>
    </row>
    <row r="2193" spans="1:20" ht="14.5" x14ac:dyDescent="0.35">
      <c r="A2193" s="10" t="s">
        <v>15839</v>
      </c>
      <c r="B2193" s="10" t="str">
        <f>"9780275982027"</f>
        <v>9780275982027</v>
      </c>
      <c r="C2193" s="10" t="str">
        <f>"9780313064715"</f>
        <v>9780313064715</v>
      </c>
      <c r="D2193" s="10" t="s">
        <v>9777</v>
      </c>
      <c r="E2193" s="10" t="s">
        <v>9792</v>
      </c>
      <c r="F2193" s="10" t="s">
        <v>70</v>
      </c>
      <c r="G2193" s="10" t="s">
        <v>6317</v>
      </c>
      <c r="H2193" s="11">
        <v>38594</v>
      </c>
      <c r="I2193" s="10">
        <v>2005</v>
      </c>
      <c r="J2193" s="10" t="s">
        <v>9793</v>
      </c>
      <c r="K2193" s="10">
        <v>242</v>
      </c>
      <c r="L2193" s="10" t="s">
        <v>15840</v>
      </c>
      <c r="M2193" s="10">
        <v>1</v>
      </c>
      <c r="N2193" s="10" t="s">
        <v>15841</v>
      </c>
      <c r="O2193" s="10"/>
      <c r="P2193" s="10" t="s">
        <v>15842</v>
      </c>
      <c r="Q2193" s="10">
        <v>370.11709730000001</v>
      </c>
      <c r="R2193" s="10" t="s">
        <v>15843</v>
      </c>
      <c r="S2193" s="10" t="s">
        <v>53</v>
      </c>
      <c r="T2193" s="10" t="s">
        <v>54</v>
      </c>
    </row>
    <row r="2194" spans="1:20" ht="14.5" x14ac:dyDescent="0.35">
      <c r="A2194" s="10" t="s">
        <v>15844</v>
      </c>
      <c r="B2194" s="10" t="str">
        <f>"9780897899130"</f>
        <v>9780897899130</v>
      </c>
      <c r="C2194" s="10" t="str">
        <f>"9780313058714"</f>
        <v>9780313058714</v>
      </c>
      <c r="D2194" s="10" t="s">
        <v>9777</v>
      </c>
      <c r="E2194" s="10" t="s">
        <v>9792</v>
      </c>
      <c r="F2194" s="10" t="s">
        <v>70</v>
      </c>
      <c r="G2194" s="10" t="s">
        <v>6317</v>
      </c>
      <c r="H2194" s="11">
        <v>37955</v>
      </c>
      <c r="I2194" s="10">
        <v>2004</v>
      </c>
      <c r="J2194" s="10" t="s">
        <v>9793</v>
      </c>
      <c r="K2194" s="10">
        <v>160</v>
      </c>
      <c r="L2194" s="10" t="s">
        <v>15845</v>
      </c>
      <c r="M2194" s="10">
        <v>1</v>
      </c>
      <c r="N2194" s="10"/>
      <c r="O2194" s="10"/>
      <c r="P2194" s="10" t="s">
        <v>15846</v>
      </c>
      <c r="Q2194" s="10" t="s">
        <v>15847</v>
      </c>
      <c r="R2194" s="10" t="s">
        <v>15848</v>
      </c>
      <c r="S2194" s="10" t="s">
        <v>53</v>
      </c>
      <c r="T2194" s="10" t="s">
        <v>54</v>
      </c>
    </row>
    <row r="2195" spans="1:20" ht="14.5" x14ac:dyDescent="0.35">
      <c r="A2195" s="10" t="s">
        <v>15849</v>
      </c>
      <c r="B2195" s="10" t="str">
        <f>"9780313332852"</f>
        <v>9780313332852</v>
      </c>
      <c r="C2195" s="10" t="str">
        <f>"9780313038167"</f>
        <v>9780313038167</v>
      </c>
      <c r="D2195" s="10" t="s">
        <v>9777</v>
      </c>
      <c r="E2195" s="10" t="s">
        <v>9792</v>
      </c>
      <c r="F2195" s="10" t="s">
        <v>70</v>
      </c>
      <c r="G2195" s="10" t="s">
        <v>6317</v>
      </c>
      <c r="H2195" s="11">
        <v>38655</v>
      </c>
      <c r="I2195" s="10">
        <v>2006</v>
      </c>
      <c r="J2195" s="10" t="s">
        <v>15850</v>
      </c>
      <c r="K2195" s="10">
        <v>222</v>
      </c>
      <c r="L2195" s="10" t="s">
        <v>15851</v>
      </c>
      <c r="M2195" s="10">
        <v>1</v>
      </c>
      <c r="N2195" s="10" t="s">
        <v>15852</v>
      </c>
      <c r="O2195" s="10"/>
      <c r="P2195" s="10"/>
      <c r="Q2195" s="10" t="s">
        <v>15853</v>
      </c>
      <c r="R2195" s="10" t="s">
        <v>15854</v>
      </c>
      <c r="S2195" s="10" t="s">
        <v>53</v>
      </c>
      <c r="T2195" s="10" t="s">
        <v>54</v>
      </c>
    </row>
    <row r="2196" spans="1:20" ht="14.5" x14ac:dyDescent="0.35">
      <c r="A2196" s="10" t="s">
        <v>15855</v>
      </c>
      <c r="B2196" s="10" t="str">
        <f>"9781849509541"</f>
        <v>9781849509541</v>
      </c>
      <c r="C2196" s="10" t="str">
        <f>"9781849509558"</f>
        <v>9781849509558</v>
      </c>
      <c r="D2196" s="10" t="s">
        <v>8699</v>
      </c>
      <c r="E2196" s="10" t="s">
        <v>8699</v>
      </c>
      <c r="F2196" s="10" t="s">
        <v>559</v>
      </c>
      <c r="G2196" s="10" t="s">
        <v>6352</v>
      </c>
      <c r="H2196" s="11">
        <v>40214</v>
      </c>
      <c r="I2196" s="10">
        <v>2010</v>
      </c>
      <c r="J2196" s="10" t="s">
        <v>8699</v>
      </c>
      <c r="K2196" s="10">
        <v>216</v>
      </c>
      <c r="L2196" s="10" t="s">
        <v>15856</v>
      </c>
      <c r="M2196" s="10">
        <v>1</v>
      </c>
      <c r="N2196" s="10" t="s">
        <v>14550</v>
      </c>
      <c r="O2196" s="10">
        <v>20</v>
      </c>
      <c r="P2196" s="10" t="s">
        <v>15857</v>
      </c>
      <c r="Q2196" s="10"/>
      <c r="R2196" s="10" t="s">
        <v>15858</v>
      </c>
      <c r="S2196" s="10" t="s">
        <v>53</v>
      </c>
      <c r="T2196" s="10" t="s">
        <v>54</v>
      </c>
    </row>
    <row r="2197" spans="1:20" ht="14.5" x14ac:dyDescent="0.35">
      <c r="A2197" s="10" t="s">
        <v>15859</v>
      </c>
      <c r="B2197" s="10" t="str">
        <f>"9781849507769"</f>
        <v>9781849507769</v>
      </c>
      <c r="C2197" s="10" t="str">
        <f>"9781849507776"</f>
        <v>9781849507776</v>
      </c>
      <c r="D2197" s="10" t="s">
        <v>8699</v>
      </c>
      <c r="E2197" s="10" t="s">
        <v>8699</v>
      </c>
      <c r="F2197" s="10" t="s">
        <v>559</v>
      </c>
      <c r="G2197" s="10" t="s">
        <v>6352</v>
      </c>
      <c r="H2197" s="11">
        <v>40241</v>
      </c>
      <c r="I2197" s="10">
        <v>2010</v>
      </c>
      <c r="J2197" s="10" t="s">
        <v>8699</v>
      </c>
      <c r="K2197" s="10">
        <v>330</v>
      </c>
      <c r="L2197" s="10" t="s">
        <v>15860</v>
      </c>
      <c r="M2197" s="10">
        <v>1</v>
      </c>
      <c r="N2197" s="10" t="s">
        <v>14554</v>
      </c>
      <c r="O2197" s="10">
        <v>23</v>
      </c>
      <c r="P2197" s="10" t="s">
        <v>15861</v>
      </c>
      <c r="Q2197" s="10">
        <v>371.9</v>
      </c>
      <c r="R2197" s="10" t="s">
        <v>15862</v>
      </c>
      <c r="S2197" s="10" t="s">
        <v>53</v>
      </c>
      <c r="T2197" s="10" t="s">
        <v>54</v>
      </c>
    </row>
    <row r="2198" spans="1:20" ht="14.5" x14ac:dyDescent="0.35">
      <c r="A2198" s="10" t="s">
        <v>15863</v>
      </c>
      <c r="B2198" s="10" t="str">
        <f>"9780313351891"</f>
        <v>9780313351891</v>
      </c>
      <c r="C2198" s="10" t="str">
        <f>"9780313351907"</f>
        <v>9780313351907</v>
      </c>
      <c r="D2198" s="10" t="s">
        <v>9777</v>
      </c>
      <c r="E2198" s="10" t="s">
        <v>9792</v>
      </c>
      <c r="F2198" s="10" t="s">
        <v>70</v>
      </c>
      <c r="G2198" s="10" t="s">
        <v>6317</v>
      </c>
      <c r="H2198" s="11">
        <v>39659</v>
      </c>
      <c r="I2198" s="10">
        <v>2008</v>
      </c>
      <c r="J2198" s="10" t="s">
        <v>9793</v>
      </c>
      <c r="K2198" s="10">
        <v>206</v>
      </c>
      <c r="L2198" s="10" t="s">
        <v>15864</v>
      </c>
      <c r="M2198" s="10">
        <v>1</v>
      </c>
      <c r="N2198" s="10" t="s">
        <v>15831</v>
      </c>
      <c r="O2198" s="10"/>
      <c r="P2198" s="10" t="s">
        <v>15865</v>
      </c>
      <c r="Q2198" s="10">
        <v>371.07097299999998</v>
      </c>
      <c r="R2198" s="10" t="s">
        <v>15866</v>
      </c>
      <c r="S2198" s="10" t="s">
        <v>53</v>
      </c>
      <c r="T2198" s="10" t="s">
        <v>54</v>
      </c>
    </row>
    <row r="2199" spans="1:20" ht="14.5" x14ac:dyDescent="0.35">
      <c r="A2199" s="10" t="s">
        <v>15867</v>
      </c>
      <c r="B2199" s="10" t="str">
        <f>"9780313342943"</f>
        <v>9780313342943</v>
      </c>
      <c r="C2199" s="10" t="str">
        <f>"9780313342950"</f>
        <v>9780313342950</v>
      </c>
      <c r="D2199" s="10" t="s">
        <v>9777</v>
      </c>
      <c r="E2199" s="10" t="s">
        <v>9792</v>
      </c>
      <c r="F2199" s="10" t="s">
        <v>70</v>
      </c>
      <c r="G2199" s="10" t="s">
        <v>6317</v>
      </c>
      <c r="H2199" s="11">
        <v>39659</v>
      </c>
      <c r="I2199" s="10">
        <v>2008</v>
      </c>
      <c r="J2199" s="10" t="s">
        <v>9792</v>
      </c>
      <c r="K2199" s="10">
        <v>149</v>
      </c>
      <c r="L2199" s="10" t="s">
        <v>15868</v>
      </c>
      <c r="M2199" s="10">
        <v>1</v>
      </c>
      <c r="N2199" s="10" t="s">
        <v>15869</v>
      </c>
      <c r="O2199" s="10"/>
      <c r="P2199" s="10" t="s">
        <v>15870</v>
      </c>
      <c r="Q2199" s="10">
        <v>813</v>
      </c>
      <c r="R2199" s="10" t="s">
        <v>15871</v>
      </c>
      <c r="S2199" s="10" t="s">
        <v>53</v>
      </c>
      <c r="T2199" s="10" t="s">
        <v>6568</v>
      </c>
    </row>
    <row r="2200" spans="1:20" ht="14.5" x14ac:dyDescent="0.35">
      <c r="A2200" s="10" t="s">
        <v>15872</v>
      </c>
      <c r="B2200" s="10" t="str">
        <f>"9780275985127"</f>
        <v>9780275985127</v>
      </c>
      <c r="C2200" s="10" t="str">
        <f>"9780313040283"</f>
        <v>9780313040283</v>
      </c>
      <c r="D2200" s="10" t="s">
        <v>9777</v>
      </c>
      <c r="E2200" s="10" t="s">
        <v>9792</v>
      </c>
      <c r="F2200" s="10" t="s">
        <v>70</v>
      </c>
      <c r="G2200" s="10" t="s">
        <v>6317</v>
      </c>
      <c r="H2200" s="11">
        <v>38655</v>
      </c>
      <c r="I2200" s="10">
        <v>2006</v>
      </c>
      <c r="J2200" s="10" t="s">
        <v>9793</v>
      </c>
      <c r="K2200" s="10">
        <v>212</v>
      </c>
      <c r="L2200" s="10" t="s">
        <v>15873</v>
      </c>
      <c r="M2200" s="10">
        <v>1</v>
      </c>
      <c r="N2200" s="10" t="s">
        <v>15831</v>
      </c>
      <c r="O2200" s="10"/>
      <c r="P2200" s="10" t="s">
        <v>15874</v>
      </c>
      <c r="Q2200" s="10">
        <v>378.19799999999998</v>
      </c>
      <c r="R2200" s="10" t="s">
        <v>15875</v>
      </c>
      <c r="S2200" s="10" t="s">
        <v>53</v>
      </c>
      <c r="T2200" s="10" t="s">
        <v>54</v>
      </c>
    </row>
    <row r="2201" spans="1:20" ht="14.5" x14ac:dyDescent="0.35">
      <c r="A2201" s="10" t="s">
        <v>15876</v>
      </c>
      <c r="B2201" s="10" t="str">
        <f>"9781441129611"</f>
        <v>9781441129611</v>
      </c>
      <c r="C2201" s="10" t="str">
        <f>"9781441114365"</f>
        <v>9781441114365</v>
      </c>
      <c r="D2201" s="10" t="s">
        <v>13959</v>
      </c>
      <c r="E2201" s="10" t="s">
        <v>13960</v>
      </c>
      <c r="F2201" s="10" t="s">
        <v>139</v>
      </c>
      <c r="G2201" s="10" t="s">
        <v>6352</v>
      </c>
      <c r="H2201" s="11">
        <v>40913</v>
      </c>
      <c r="I2201" s="10">
        <v>2010</v>
      </c>
      <c r="J2201" s="10" t="s">
        <v>13961</v>
      </c>
      <c r="K2201" s="10">
        <v>219</v>
      </c>
      <c r="L2201" s="10" t="s">
        <v>15877</v>
      </c>
      <c r="M2201" s="10">
        <v>1</v>
      </c>
      <c r="N2201" s="10"/>
      <c r="O2201" s="10"/>
      <c r="P2201" s="10" t="s">
        <v>15878</v>
      </c>
      <c r="Q2201" s="10" t="s">
        <v>15879</v>
      </c>
      <c r="R2201" s="10" t="s">
        <v>15880</v>
      </c>
      <c r="S2201" s="10" t="s">
        <v>53</v>
      </c>
      <c r="T2201" s="10" t="s">
        <v>6568</v>
      </c>
    </row>
    <row r="2202" spans="1:20" ht="14.5" x14ac:dyDescent="0.35">
      <c r="A2202" s="10" t="s">
        <v>15881</v>
      </c>
      <c r="B2202" s="10" t="str">
        <f>"9781441116666"</f>
        <v>9781441116666</v>
      </c>
      <c r="C2202" s="10" t="str">
        <f>"9781441185655"</f>
        <v>9781441185655</v>
      </c>
      <c r="D2202" s="10" t="s">
        <v>13959</v>
      </c>
      <c r="E2202" s="10" t="s">
        <v>13960</v>
      </c>
      <c r="F2202" s="10" t="s">
        <v>139</v>
      </c>
      <c r="G2202" s="10" t="s">
        <v>6352</v>
      </c>
      <c r="H2202" s="11">
        <v>40920</v>
      </c>
      <c r="I2202" s="10">
        <v>2010</v>
      </c>
      <c r="J2202" s="10" t="s">
        <v>13961</v>
      </c>
      <c r="K2202" s="10">
        <v>193</v>
      </c>
      <c r="L2202" s="10" t="s">
        <v>15882</v>
      </c>
      <c r="M2202" s="10">
        <v>1</v>
      </c>
      <c r="N2202" s="10"/>
      <c r="O2202" s="10"/>
      <c r="P2202" s="10" t="s">
        <v>15883</v>
      </c>
      <c r="Q2202" s="10">
        <v>372.18</v>
      </c>
      <c r="R2202" s="10" t="s">
        <v>15884</v>
      </c>
      <c r="S2202" s="10" t="s">
        <v>53</v>
      </c>
      <c r="T2202" s="10" t="s">
        <v>54</v>
      </c>
    </row>
    <row r="2203" spans="1:20" ht="14.5" x14ac:dyDescent="0.35">
      <c r="A2203" s="10" t="s">
        <v>15885</v>
      </c>
      <c r="B2203" s="10" t="str">
        <f>"9781441122292"</f>
        <v>9781441122292</v>
      </c>
      <c r="C2203" s="10" t="str">
        <f>"9781441135483"</f>
        <v>9781441135483</v>
      </c>
      <c r="D2203" s="10" t="s">
        <v>13959</v>
      </c>
      <c r="E2203" s="10" t="s">
        <v>13960</v>
      </c>
      <c r="F2203" s="10" t="s">
        <v>139</v>
      </c>
      <c r="G2203" s="10" t="s">
        <v>6352</v>
      </c>
      <c r="H2203" s="11">
        <v>40906</v>
      </c>
      <c r="I2203" s="10">
        <v>2010</v>
      </c>
      <c r="J2203" s="10" t="s">
        <v>13961</v>
      </c>
      <c r="K2203" s="10">
        <v>204</v>
      </c>
      <c r="L2203" s="10" t="s">
        <v>15886</v>
      </c>
      <c r="M2203" s="10">
        <v>1</v>
      </c>
      <c r="N2203" s="10" t="s">
        <v>15887</v>
      </c>
      <c r="O2203" s="10"/>
      <c r="P2203" s="10" t="s">
        <v>15888</v>
      </c>
      <c r="Q2203" s="10">
        <v>193</v>
      </c>
      <c r="R2203" s="10" t="s">
        <v>15889</v>
      </c>
      <c r="S2203" s="10" t="s">
        <v>53</v>
      </c>
      <c r="T2203" s="10" t="s">
        <v>6534</v>
      </c>
    </row>
    <row r="2204" spans="1:20" ht="14.5" x14ac:dyDescent="0.35">
      <c r="A2204" s="10" t="s">
        <v>15890</v>
      </c>
      <c r="B2204" s="10" t="str">
        <f>"9781441187482"</f>
        <v>9781441187482</v>
      </c>
      <c r="C2204" s="10" t="str">
        <f>"9781441138958"</f>
        <v>9781441138958</v>
      </c>
      <c r="D2204" s="10" t="s">
        <v>13959</v>
      </c>
      <c r="E2204" s="10" t="s">
        <v>13960</v>
      </c>
      <c r="F2204" s="10" t="s">
        <v>139</v>
      </c>
      <c r="G2204" s="10" t="s">
        <v>6352</v>
      </c>
      <c r="H2204" s="11">
        <v>40913</v>
      </c>
      <c r="I2204" s="10">
        <v>2010</v>
      </c>
      <c r="J2204" s="10" t="s">
        <v>13961</v>
      </c>
      <c r="K2204" s="10">
        <v>206</v>
      </c>
      <c r="L2204" s="10" t="s">
        <v>15891</v>
      </c>
      <c r="M2204" s="10">
        <v>1</v>
      </c>
      <c r="N2204" s="10"/>
      <c r="O2204" s="10"/>
      <c r="P2204" s="10" t="s">
        <v>15892</v>
      </c>
      <c r="Q2204" s="10" t="s">
        <v>15893</v>
      </c>
      <c r="R2204" s="10" t="s">
        <v>15894</v>
      </c>
      <c r="S2204" s="10" t="s">
        <v>53</v>
      </c>
      <c r="T2204" s="10" t="s">
        <v>54</v>
      </c>
    </row>
    <row r="2205" spans="1:20" ht="14.5" x14ac:dyDescent="0.35">
      <c r="A2205" s="10" t="s">
        <v>15895</v>
      </c>
      <c r="B2205" s="10" t="str">
        <f>"9780415556767"</f>
        <v>9780415556767</v>
      </c>
      <c r="C2205" s="10" t="str">
        <f>"9780203854501"</f>
        <v>9780203854501</v>
      </c>
      <c r="D2205" s="10" t="s">
        <v>6350</v>
      </c>
      <c r="E2205" s="10" t="s">
        <v>6351</v>
      </c>
      <c r="F2205" s="10" t="s">
        <v>748</v>
      </c>
      <c r="G2205" s="10" t="s">
        <v>6352</v>
      </c>
      <c r="H2205" s="11">
        <v>40298</v>
      </c>
      <c r="I2205" s="10">
        <v>2010</v>
      </c>
      <c r="J2205" s="10" t="s">
        <v>6351</v>
      </c>
      <c r="K2205" s="10">
        <v>236</v>
      </c>
      <c r="L2205" s="10" t="s">
        <v>15896</v>
      </c>
      <c r="M2205" s="10">
        <v>1</v>
      </c>
      <c r="N2205" s="10"/>
      <c r="O2205" s="10"/>
      <c r="P2205" s="10" t="s">
        <v>15897</v>
      </c>
      <c r="Q2205" s="10" t="s">
        <v>15898</v>
      </c>
      <c r="R2205" s="10" t="s">
        <v>15899</v>
      </c>
      <c r="S2205" s="10" t="s">
        <v>53</v>
      </c>
      <c r="T2205" s="10" t="s">
        <v>54</v>
      </c>
    </row>
    <row r="2206" spans="1:20" ht="14.5" x14ac:dyDescent="0.35">
      <c r="A2206" s="10" t="s">
        <v>15900</v>
      </c>
      <c r="B2206" s="10" t="str">
        <f>"9780415996228"</f>
        <v>9780415996228</v>
      </c>
      <c r="C2206" s="10" t="str">
        <f>"9780203854273"</f>
        <v>9780203854273</v>
      </c>
      <c r="D2206" s="10" t="s">
        <v>6350</v>
      </c>
      <c r="E2206" s="10" t="s">
        <v>6351</v>
      </c>
      <c r="F2206" s="10" t="s">
        <v>139</v>
      </c>
      <c r="G2206" s="10" t="s">
        <v>6317</v>
      </c>
      <c r="H2206" s="11">
        <v>40261</v>
      </c>
      <c r="I2206" s="10">
        <v>2010</v>
      </c>
      <c r="J2206" s="10" t="s">
        <v>6353</v>
      </c>
      <c r="K2206" s="10">
        <v>289</v>
      </c>
      <c r="L2206" s="10" t="s">
        <v>15901</v>
      </c>
      <c r="M2206" s="10">
        <v>1</v>
      </c>
      <c r="N2206" s="10"/>
      <c r="O2206" s="10"/>
      <c r="P2206" s="10" t="s">
        <v>15902</v>
      </c>
      <c r="Q2206" s="10" t="s">
        <v>14888</v>
      </c>
      <c r="R2206" s="10" t="s">
        <v>15903</v>
      </c>
      <c r="S2206" s="10" t="s">
        <v>53</v>
      </c>
      <c r="T2206" s="10" t="s">
        <v>54</v>
      </c>
    </row>
    <row r="2207" spans="1:20" ht="14.5" x14ac:dyDescent="0.35">
      <c r="A2207" s="10" t="s">
        <v>15904</v>
      </c>
      <c r="B2207" s="10" t="str">
        <f>"9780415994989"</f>
        <v>9780415994989</v>
      </c>
      <c r="C2207" s="10" t="str">
        <f>"9780203859384"</f>
        <v>9780203859384</v>
      </c>
      <c r="D2207" s="10" t="s">
        <v>6350</v>
      </c>
      <c r="E2207" s="10" t="s">
        <v>6351</v>
      </c>
      <c r="F2207" s="10" t="s">
        <v>139</v>
      </c>
      <c r="G2207" s="10" t="s">
        <v>6352</v>
      </c>
      <c r="H2207" s="11">
        <v>40261</v>
      </c>
      <c r="I2207" s="10">
        <v>2010</v>
      </c>
      <c r="J2207" s="10" t="s">
        <v>6353</v>
      </c>
      <c r="K2207" s="10">
        <v>225</v>
      </c>
      <c r="L2207" s="10" t="s">
        <v>15905</v>
      </c>
      <c r="M2207" s="10">
        <v>1</v>
      </c>
      <c r="N2207" s="10"/>
      <c r="O2207" s="10"/>
      <c r="P2207" s="10" t="s">
        <v>15906</v>
      </c>
      <c r="Q2207" s="10" t="s">
        <v>15907</v>
      </c>
      <c r="R2207" s="10" t="s">
        <v>15908</v>
      </c>
      <c r="S2207" s="10" t="s">
        <v>53</v>
      </c>
      <c r="T2207" s="10" t="s">
        <v>54</v>
      </c>
    </row>
    <row r="2208" spans="1:20" ht="14.5" x14ac:dyDescent="0.35">
      <c r="A2208" s="10" t="s">
        <v>15909</v>
      </c>
      <c r="B2208" s="10" t="str">
        <f>"9780415468770"</f>
        <v>9780415468770</v>
      </c>
      <c r="C2208" s="10" t="str">
        <f>"9780203854679"</f>
        <v>9780203854679</v>
      </c>
      <c r="D2208" s="10" t="s">
        <v>6350</v>
      </c>
      <c r="E2208" s="10" t="s">
        <v>6351</v>
      </c>
      <c r="F2208" s="10" t="s">
        <v>3967</v>
      </c>
      <c r="G2208" s="10" t="s">
        <v>6352</v>
      </c>
      <c r="H2208" s="11">
        <v>40247</v>
      </c>
      <c r="I2208" s="10">
        <v>2010</v>
      </c>
      <c r="J2208" s="10" t="s">
        <v>6353</v>
      </c>
      <c r="K2208" s="10">
        <v>220</v>
      </c>
      <c r="L2208" s="10" t="s">
        <v>15910</v>
      </c>
      <c r="M2208" s="10">
        <v>1</v>
      </c>
      <c r="N2208" s="10" t="s">
        <v>7908</v>
      </c>
      <c r="O2208" s="10"/>
      <c r="P2208" s="10" t="s">
        <v>15911</v>
      </c>
      <c r="Q2208" s="10">
        <v>372.5</v>
      </c>
      <c r="R2208" s="10" t="s">
        <v>15912</v>
      </c>
      <c r="S2208" s="10" t="s">
        <v>53</v>
      </c>
      <c r="T2208" s="10" t="s">
        <v>54</v>
      </c>
    </row>
    <row r="2209" spans="1:20" ht="14.5" x14ac:dyDescent="0.35">
      <c r="A2209" s="10" t="s">
        <v>15913</v>
      </c>
      <c r="B2209" s="10" t="str">
        <f>"9780897898577"</f>
        <v>9780897898577</v>
      </c>
      <c r="C2209" s="10" t="str">
        <f>"9780313387234"</f>
        <v>9780313387234</v>
      </c>
      <c r="D2209" s="10" t="s">
        <v>9777</v>
      </c>
      <c r="E2209" s="10" t="s">
        <v>9792</v>
      </c>
      <c r="F2209" s="10" t="s">
        <v>70</v>
      </c>
      <c r="G2209" s="10" t="s">
        <v>6317</v>
      </c>
      <c r="H2209" s="11">
        <v>40200</v>
      </c>
      <c r="I2209" s="10">
        <v>2010</v>
      </c>
      <c r="J2209" s="10" t="s">
        <v>9793</v>
      </c>
      <c r="K2209" s="10">
        <v>238</v>
      </c>
      <c r="L2209" s="10" t="s">
        <v>15914</v>
      </c>
      <c r="M2209" s="10">
        <v>1</v>
      </c>
      <c r="N2209" s="10"/>
      <c r="O2209" s="10"/>
      <c r="P2209" s="10" t="s">
        <v>15915</v>
      </c>
      <c r="Q2209" s="10">
        <v>378.19829959999998</v>
      </c>
      <c r="R2209" s="10" t="s">
        <v>15916</v>
      </c>
      <c r="S2209" s="10" t="s">
        <v>53</v>
      </c>
      <c r="T2209" s="10" t="s">
        <v>54</v>
      </c>
    </row>
    <row r="2210" spans="1:20" ht="14.5" x14ac:dyDescent="0.35">
      <c r="A2210" s="10" t="s">
        <v>15917</v>
      </c>
      <c r="B2210" s="10" t="str">
        <f>"9780275981600"</f>
        <v>9780275981600</v>
      </c>
      <c r="C2210" s="10" t="str">
        <f>"9780313057755"</f>
        <v>9780313057755</v>
      </c>
      <c r="D2210" s="10" t="s">
        <v>9777</v>
      </c>
      <c r="E2210" s="10" t="s">
        <v>9792</v>
      </c>
      <c r="F2210" s="10" t="s">
        <v>70</v>
      </c>
      <c r="G2210" s="10" t="s">
        <v>6317</v>
      </c>
      <c r="H2210" s="11">
        <v>38168</v>
      </c>
      <c r="I2210" s="10">
        <v>2004</v>
      </c>
      <c r="J2210" s="10" t="s">
        <v>9793</v>
      </c>
      <c r="K2210" s="10">
        <v>216</v>
      </c>
      <c r="L2210" s="10" t="s">
        <v>15918</v>
      </c>
      <c r="M2210" s="10">
        <v>1</v>
      </c>
      <c r="N2210" s="10" t="s">
        <v>15919</v>
      </c>
      <c r="O2210" s="10"/>
      <c r="P2210" s="10" t="s">
        <v>15920</v>
      </c>
      <c r="Q2210" s="10">
        <v>370.11500000000001</v>
      </c>
      <c r="R2210" s="10" t="s">
        <v>15921</v>
      </c>
      <c r="S2210" s="10" t="s">
        <v>53</v>
      </c>
      <c r="T2210" s="10" t="s">
        <v>54</v>
      </c>
    </row>
    <row r="2211" spans="1:20" ht="14.5" x14ac:dyDescent="0.35">
      <c r="A2211" s="10" t="s">
        <v>15922</v>
      </c>
      <c r="B2211" s="10" t="str">
        <f>"9780275976873"</f>
        <v>9780275976873</v>
      </c>
      <c r="C2211" s="10" t="str">
        <f>"9780313057175"</f>
        <v>9780313057175</v>
      </c>
      <c r="D2211" s="10" t="s">
        <v>9777</v>
      </c>
      <c r="E2211" s="10" t="s">
        <v>9792</v>
      </c>
      <c r="F2211" s="10" t="s">
        <v>70</v>
      </c>
      <c r="G2211" s="10" t="s">
        <v>6317</v>
      </c>
      <c r="H2211" s="11">
        <v>38107</v>
      </c>
      <c r="I2211" s="10">
        <v>2004</v>
      </c>
      <c r="J2211" s="10" t="s">
        <v>9793</v>
      </c>
      <c r="K2211" s="10">
        <v>260</v>
      </c>
      <c r="L2211" s="10" t="s">
        <v>15923</v>
      </c>
      <c r="M2211" s="10">
        <v>1</v>
      </c>
      <c r="N2211" s="10"/>
      <c r="O2211" s="10"/>
      <c r="P2211" s="10" t="s">
        <v>15924</v>
      </c>
      <c r="Q2211" s="10" t="s">
        <v>11668</v>
      </c>
      <c r="R2211" s="10" t="s">
        <v>15925</v>
      </c>
      <c r="S2211" s="10" t="s">
        <v>53</v>
      </c>
      <c r="T2211" s="10" t="s">
        <v>54</v>
      </c>
    </row>
    <row r="2212" spans="1:20" ht="14.5" x14ac:dyDescent="0.35">
      <c r="A2212" s="10" t="s">
        <v>15926</v>
      </c>
      <c r="B2212" s="10" t="str">
        <f>"9780313335532"</f>
        <v>9780313335532</v>
      </c>
      <c r="C2212" s="10" t="str">
        <f>"9780313088773"</f>
        <v>9780313088773</v>
      </c>
      <c r="D2212" s="10" t="s">
        <v>9777</v>
      </c>
      <c r="E2212" s="10" t="s">
        <v>9792</v>
      </c>
      <c r="F2212" s="10" t="s">
        <v>70</v>
      </c>
      <c r="G2212" s="10" t="s">
        <v>6317</v>
      </c>
      <c r="H2212" s="11">
        <v>39141</v>
      </c>
      <c r="I2212" s="10">
        <v>2007</v>
      </c>
      <c r="J2212" s="10" t="s">
        <v>15850</v>
      </c>
      <c r="K2212" s="10">
        <v>221</v>
      </c>
      <c r="L2212" s="10" t="s">
        <v>15927</v>
      </c>
      <c r="M2212" s="10">
        <v>1</v>
      </c>
      <c r="N2212" s="10" t="s">
        <v>15869</v>
      </c>
      <c r="O2212" s="10"/>
      <c r="P2212" s="10" t="s">
        <v>15928</v>
      </c>
      <c r="Q2212" s="10">
        <v>370.95400000000001</v>
      </c>
      <c r="R2212" s="10" t="s">
        <v>15929</v>
      </c>
      <c r="S2212" s="10" t="s">
        <v>53</v>
      </c>
      <c r="T2212" s="10" t="s">
        <v>54</v>
      </c>
    </row>
    <row r="2213" spans="1:20" ht="14.5" x14ac:dyDescent="0.35">
      <c r="A2213" s="10" t="s">
        <v>15930</v>
      </c>
      <c r="B2213" s="10" t="str">
        <f>"9781607097020"</f>
        <v>9781607097020</v>
      </c>
      <c r="C2213" s="10" t="str">
        <f>"9781607097037"</f>
        <v>9781607097037</v>
      </c>
      <c r="D2213" s="10" t="s">
        <v>9752</v>
      </c>
      <c r="E2213" s="10" t="s">
        <v>15192</v>
      </c>
      <c r="F2213" s="10" t="s">
        <v>9754</v>
      </c>
      <c r="G2213" s="10" t="s">
        <v>6317</v>
      </c>
      <c r="H2213" s="11">
        <v>40253</v>
      </c>
      <c r="I2213" s="10">
        <v>2010</v>
      </c>
      <c r="J2213" s="10" t="s">
        <v>15192</v>
      </c>
      <c r="K2213" s="10">
        <v>133</v>
      </c>
      <c r="L2213" s="10" t="s">
        <v>12947</v>
      </c>
      <c r="M2213" s="10">
        <v>1</v>
      </c>
      <c r="N2213" s="10"/>
      <c r="O2213" s="10"/>
      <c r="P2213" s="10" t="s">
        <v>15931</v>
      </c>
      <c r="Q2213" s="10">
        <v>379.15699999999998</v>
      </c>
      <c r="R2213" s="10" t="s">
        <v>15932</v>
      </c>
      <c r="S2213" s="10" t="s">
        <v>53</v>
      </c>
      <c r="T2213" s="10" t="s">
        <v>54</v>
      </c>
    </row>
    <row r="2214" spans="1:20" ht="14.5" x14ac:dyDescent="0.35">
      <c r="A2214" s="10" t="s">
        <v>15933</v>
      </c>
      <c r="B2214" s="10" t="str">
        <f>"9780742564060"</f>
        <v>9780742564060</v>
      </c>
      <c r="C2214" s="10" t="str">
        <f>"9781442203648"</f>
        <v>9781442203648</v>
      </c>
      <c r="D2214" s="10" t="s">
        <v>15207</v>
      </c>
      <c r="E2214" s="10" t="s">
        <v>15187</v>
      </c>
      <c r="F2214" s="10" t="s">
        <v>9754</v>
      </c>
      <c r="G2214" s="10" t="s">
        <v>6317</v>
      </c>
      <c r="H2214" s="11">
        <v>40284</v>
      </c>
      <c r="I2214" s="10">
        <v>2010</v>
      </c>
      <c r="J2214" s="10" t="s">
        <v>15187</v>
      </c>
      <c r="K2214" s="10">
        <v>275</v>
      </c>
      <c r="L2214" s="10" t="s">
        <v>15934</v>
      </c>
      <c r="M2214" s="10">
        <v>1</v>
      </c>
      <c r="N2214" s="10"/>
      <c r="O2214" s="10"/>
      <c r="P2214" s="10" t="s">
        <v>15935</v>
      </c>
      <c r="Q2214" s="10" t="s">
        <v>7504</v>
      </c>
      <c r="R2214" s="10" t="s">
        <v>15936</v>
      </c>
      <c r="S2214" s="10" t="s">
        <v>53</v>
      </c>
      <c r="T2214" s="10" t="s">
        <v>54</v>
      </c>
    </row>
    <row r="2215" spans="1:20" ht="14.5" x14ac:dyDescent="0.35">
      <c r="A2215" s="10" t="s">
        <v>15937</v>
      </c>
      <c r="B2215" s="10" t="str">
        <f>"9781607090557"</f>
        <v>9781607090557</v>
      </c>
      <c r="C2215" s="10" t="str">
        <f>"9781607090571"</f>
        <v>9781607090571</v>
      </c>
      <c r="D2215" s="10" t="s">
        <v>9752</v>
      </c>
      <c r="E2215" s="10" t="s">
        <v>15192</v>
      </c>
      <c r="F2215" s="10" t="s">
        <v>9754</v>
      </c>
      <c r="G2215" s="10" t="s">
        <v>6317</v>
      </c>
      <c r="H2215" s="11">
        <v>40224</v>
      </c>
      <c r="I2215" s="10">
        <v>2010</v>
      </c>
      <c r="J2215" s="10" t="s">
        <v>15192</v>
      </c>
      <c r="K2215" s="10">
        <v>185</v>
      </c>
      <c r="L2215" s="10" t="s">
        <v>15938</v>
      </c>
      <c r="M2215" s="10">
        <v>1</v>
      </c>
      <c r="N2215" s="10" t="s">
        <v>15939</v>
      </c>
      <c r="O2215" s="10"/>
      <c r="P2215" s="10" t="s">
        <v>15940</v>
      </c>
      <c r="Q2215" s="10">
        <v>371.2</v>
      </c>
      <c r="R2215" s="10" t="s">
        <v>15941</v>
      </c>
      <c r="S2215" s="10" t="s">
        <v>53</v>
      </c>
      <c r="T2215" s="10" t="s">
        <v>54</v>
      </c>
    </row>
    <row r="2216" spans="1:20" ht="14.5" x14ac:dyDescent="0.35">
      <c r="A2216" s="10" t="s">
        <v>15942</v>
      </c>
      <c r="B2216" s="10" t="str">
        <f>"9781607096603"</f>
        <v>9781607096603</v>
      </c>
      <c r="C2216" s="10" t="str">
        <f>"9781607096610"</f>
        <v>9781607096610</v>
      </c>
      <c r="D2216" s="10" t="s">
        <v>9752</v>
      </c>
      <c r="E2216" s="10" t="s">
        <v>15187</v>
      </c>
      <c r="F2216" s="10" t="s">
        <v>9754</v>
      </c>
      <c r="G2216" s="10" t="s">
        <v>6317</v>
      </c>
      <c r="H2216" s="11">
        <v>39167</v>
      </c>
      <c r="I2216" s="10">
        <v>2007</v>
      </c>
      <c r="J2216" s="10" t="s">
        <v>15187</v>
      </c>
      <c r="K2216" s="10">
        <v>145</v>
      </c>
      <c r="L2216" s="10" t="s">
        <v>15943</v>
      </c>
      <c r="M2216" s="10">
        <v>1</v>
      </c>
      <c r="N2216" s="10"/>
      <c r="O2216" s="10"/>
      <c r="P2216" s="10" t="s">
        <v>15944</v>
      </c>
      <c r="Q2216" s="10">
        <v>371.20709729999999</v>
      </c>
      <c r="R2216" s="10" t="s">
        <v>15945</v>
      </c>
      <c r="S2216" s="10" t="s">
        <v>53</v>
      </c>
      <c r="T2216" s="10" t="s">
        <v>54</v>
      </c>
    </row>
    <row r="2217" spans="1:20" ht="14.5" x14ac:dyDescent="0.35">
      <c r="A2217" s="10" t="s">
        <v>15946</v>
      </c>
      <c r="B2217" s="10" t="str">
        <f>"9781607097082"</f>
        <v>9781607097082</v>
      </c>
      <c r="C2217" s="10" t="str">
        <f>"9781607097099"</f>
        <v>9781607097099</v>
      </c>
      <c r="D2217" s="10" t="s">
        <v>9752</v>
      </c>
      <c r="E2217" s="10" t="s">
        <v>15192</v>
      </c>
      <c r="F2217" s="10" t="s">
        <v>9754</v>
      </c>
      <c r="G2217" s="10" t="s">
        <v>6317</v>
      </c>
      <c r="H2217" s="11">
        <v>40284</v>
      </c>
      <c r="I2217" s="10">
        <v>2010</v>
      </c>
      <c r="J2217" s="10" t="s">
        <v>15192</v>
      </c>
      <c r="K2217" s="10">
        <v>457</v>
      </c>
      <c r="L2217" s="10" t="s">
        <v>15947</v>
      </c>
      <c r="M2217" s="10">
        <v>1</v>
      </c>
      <c r="N2217" s="10"/>
      <c r="O2217" s="10"/>
      <c r="P2217" s="10" t="s">
        <v>15948</v>
      </c>
      <c r="Q2217" s="10">
        <v>371.10199999999998</v>
      </c>
      <c r="R2217" s="10" t="s">
        <v>15949</v>
      </c>
      <c r="S2217" s="10" t="s">
        <v>53</v>
      </c>
      <c r="T2217" s="10" t="s">
        <v>54</v>
      </c>
    </row>
    <row r="2218" spans="1:20" ht="14.5" x14ac:dyDescent="0.35">
      <c r="A2218" s="10" t="s">
        <v>15950</v>
      </c>
      <c r="B2218" s="10" t="str">
        <f>"9781607096474"</f>
        <v>9781607096474</v>
      </c>
      <c r="C2218" s="10" t="str">
        <f>"9781607096481"</f>
        <v>9781607096481</v>
      </c>
      <c r="D2218" s="10" t="s">
        <v>9752</v>
      </c>
      <c r="E2218" s="10" t="s">
        <v>15187</v>
      </c>
      <c r="F2218" s="10" t="s">
        <v>9754</v>
      </c>
      <c r="G2218" s="10" t="s">
        <v>6317</v>
      </c>
      <c r="H2218" s="11">
        <v>40252</v>
      </c>
      <c r="I2218" s="10">
        <v>2010</v>
      </c>
      <c r="J2218" s="10" t="s">
        <v>15187</v>
      </c>
      <c r="K2218" s="10">
        <v>215</v>
      </c>
      <c r="L2218" s="10" t="s">
        <v>15951</v>
      </c>
      <c r="M2218" s="10">
        <v>2</v>
      </c>
      <c r="N2218" s="10" t="s">
        <v>15952</v>
      </c>
      <c r="O2218" s="10"/>
      <c r="P2218" s="10" t="s">
        <v>15953</v>
      </c>
      <c r="Q2218" s="10">
        <v>370</v>
      </c>
      <c r="R2218" s="10" t="s">
        <v>15954</v>
      </c>
      <c r="S2218" s="10" t="s">
        <v>53</v>
      </c>
      <c r="T2218" s="10" t="s">
        <v>54</v>
      </c>
    </row>
    <row r="2219" spans="1:20" ht="14.5" x14ac:dyDescent="0.35">
      <c r="A2219" s="10" t="s">
        <v>15955</v>
      </c>
      <c r="B2219" s="10" t="str">
        <f>"9780253354099"</f>
        <v>9780253354099</v>
      </c>
      <c r="C2219" s="10" t="str">
        <f>"9780253004055"</f>
        <v>9780253004055</v>
      </c>
      <c r="D2219" s="10" t="s">
        <v>2455</v>
      </c>
      <c r="E2219" s="10" t="s">
        <v>2455</v>
      </c>
      <c r="F2219" s="10" t="s">
        <v>3101</v>
      </c>
      <c r="G2219" s="10" t="s">
        <v>6317</v>
      </c>
      <c r="H2219" s="11">
        <v>40189</v>
      </c>
      <c r="I2219" s="10">
        <v>2010</v>
      </c>
      <c r="J2219" s="10" t="s">
        <v>2455</v>
      </c>
      <c r="K2219" s="10">
        <v>235</v>
      </c>
      <c r="L2219" s="10" t="s">
        <v>15956</v>
      </c>
      <c r="M2219" s="10">
        <v>1</v>
      </c>
      <c r="N2219" s="10" t="s">
        <v>15957</v>
      </c>
      <c r="O2219" s="10"/>
      <c r="P2219" s="10" t="s">
        <v>15958</v>
      </c>
      <c r="Q2219" s="10">
        <v>333.72071</v>
      </c>
      <c r="R2219" s="10" t="s">
        <v>15959</v>
      </c>
      <c r="S2219" s="10" t="s">
        <v>53</v>
      </c>
      <c r="T2219" s="10" t="s">
        <v>15960</v>
      </c>
    </row>
    <row r="2220" spans="1:20" ht="14.5" x14ac:dyDescent="0.35">
      <c r="A2220" s="10" t="s">
        <v>15961</v>
      </c>
      <c r="B2220" s="10" t="str">
        <f>"9780833047786"</f>
        <v>9780833047786</v>
      </c>
      <c r="C2220" s="10" t="str">
        <f>"9780833049407"</f>
        <v>9780833049407</v>
      </c>
      <c r="D2220" s="10" t="s">
        <v>8134</v>
      </c>
      <c r="E2220" s="10" t="s">
        <v>8135</v>
      </c>
      <c r="F2220" s="10" t="s">
        <v>8136</v>
      </c>
      <c r="G2220" s="10" t="s">
        <v>6317</v>
      </c>
      <c r="H2220" s="11">
        <v>39814</v>
      </c>
      <c r="I2220" s="10">
        <v>2010</v>
      </c>
      <c r="J2220" s="10" t="s">
        <v>8363</v>
      </c>
      <c r="K2220" s="10">
        <v>309</v>
      </c>
      <c r="L2220" s="10" t="s">
        <v>15962</v>
      </c>
      <c r="M2220" s="10">
        <v>1</v>
      </c>
      <c r="N2220" s="10"/>
      <c r="O2220" s="10"/>
      <c r="P2220" s="10" t="s">
        <v>15963</v>
      </c>
      <c r="Q2220" s="10" t="s">
        <v>15964</v>
      </c>
      <c r="R2220" s="10" t="s">
        <v>15965</v>
      </c>
      <c r="S2220" s="10" t="s">
        <v>53</v>
      </c>
      <c r="T2220" s="10" t="s">
        <v>54</v>
      </c>
    </row>
    <row r="2221" spans="1:20" ht="14.5" x14ac:dyDescent="0.35">
      <c r="A2221" s="10" t="s">
        <v>15966</v>
      </c>
      <c r="B2221" s="10" t="str">
        <f>"9780566089305"</f>
        <v>9780566089305</v>
      </c>
      <c r="C2221" s="10" t="str">
        <f>"9780566089312"</f>
        <v>9780566089312</v>
      </c>
      <c r="D2221" s="10" t="s">
        <v>6350</v>
      </c>
      <c r="E2221" s="10" t="s">
        <v>6351</v>
      </c>
      <c r="F2221" s="10" t="s">
        <v>15682</v>
      </c>
      <c r="G2221" s="10" t="s">
        <v>6352</v>
      </c>
      <c r="H2221" s="11">
        <v>40326</v>
      </c>
      <c r="I2221" s="10">
        <v>2010</v>
      </c>
      <c r="J2221" s="10" t="s">
        <v>6353</v>
      </c>
      <c r="K2221" s="10">
        <v>142</v>
      </c>
      <c r="L2221" s="10" t="s">
        <v>15967</v>
      </c>
      <c r="M2221" s="10">
        <v>1</v>
      </c>
      <c r="N2221" s="10"/>
      <c r="O2221" s="10"/>
      <c r="P2221" s="10" t="s">
        <v>15968</v>
      </c>
      <c r="Q2221" s="10">
        <v>378.17340000000002</v>
      </c>
      <c r="R2221" s="10" t="s">
        <v>15969</v>
      </c>
      <c r="S2221" s="10" t="s">
        <v>53</v>
      </c>
      <c r="T2221" s="10" t="s">
        <v>54</v>
      </c>
    </row>
    <row r="2222" spans="1:20" ht="14.5" x14ac:dyDescent="0.35">
      <c r="A2222" s="10" t="s">
        <v>15970</v>
      </c>
      <c r="B2222" s="10" t="str">
        <f>"9781416608868"</f>
        <v>9781416608868</v>
      </c>
      <c r="C2222" s="10" t="str">
        <f>"9781416610083"</f>
        <v>9781416610083</v>
      </c>
      <c r="D2222" s="10" t="s">
        <v>10014</v>
      </c>
      <c r="E2222" s="10" t="s">
        <v>10015</v>
      </c>
      <c r="F2222" s="10" t="s">
        <v>201</v>
      </c>
      <c r="G2222" s="10" t="s">
        <v>6317</v>
      </c>
      <c r="H2222" s="11">
        <v>40177</v>
      </c>
      <c r="I2222" s="10">
        <v>2009</v>
      </c>
      <c r="J2222" s="10" t="s">
        <v>10015</v>
      </c>
      <c r="K2222" s="10">
        <v>171</v>
      </c>
      <c r="L2222" s="10" t="s">
        <v>15971</v>
      </c>
      <c r="M2222" s="10">
        <v>1</v>
      </c>
      <c r="N2222" s="10"/>
      <c r="O2222" s="10"/>
      <c r="P2222" s="10" t="s">
        <v>15972</v>
      </c>
      <c r="Q2222" s="10" t="s">
        <v>12394</v>
      </c>
      <c r="R2222" s="10" t="s">
        <v>15973</v>
      </c>
      <c r="S2222" s="10" t="s">
        <v>53</v>
      </c>
      <c r="T2222" s="10" t="s">
        <v>54</v>
      </c>
    </row>
    <row r="2223" spans="1:20" ht="14.5" x14ac:dyDescent="0.35">
      <c r="A2223" s="10" t="s">
        <v>15974</v>
      </c>
      <c r="B2223" s="10" t="str">
        <f>"9780871202277"</f>
        <v>9780871202277</v>
      </c>
      <c r="C2223" s="10" t="str">
        <f>"9781416602989"</f>
        <v>9781416602989</v>
      </c>
      <c r="D2223" s="10" t="s">
        <v>10014</v>
      </c>
      <c r="E2223" s="10" t="s">
        <v>10015</v>
      </c>
      <c r="F2223" s="10" t="s">
        <v>201</v>
      </c>
      <c r="G2223" s="10" t="s">
        <v>6317</v>
      </c>
      <c r="H2223" s="11">
        <v>34394</v>
      </c>
      <c r="I2223" s="10">
        <v>1994</v>
      </c>
      <c r="J2223" s="10" t="s">
        <v>10015</v>
      </c>
      <c r="K2223" s="10">
        <v>116</v>
      </c>
      <c r="L2223" s="10" t="s">
        <v>15975</v>
      </c>
      <c r="M2223" s="10">
        <v>1</v>
      </c>
      <c r="N2223" s="10"/>
      <c r="O2223" s="10"/>
      <c r="P2223" s="10" t="s">
        <v>15976</v>
      </c>
      <c r="Q2223" s="10" t="s">
        <v>15977</v>
      </c>
      <c r="R2223" s="10" t="s">
        <v>15978</v>
      </c>
      <c r="S2223" s="10" t="s">
        <v>53</v>
      </c>
      <c r="T2223" s="10" t="s">
        <v>54</v>
      </c>
    </row>
    <row r="2224" spans="1:20" ht="14.5" x14ac:dyDescent="0.35">
      <c r="A2224" s="10" t="s">
        <v>15979</v>
      </c>
      <c r="B2224" s="10" t="str">
        <f>"9780871202291"</f>
        <v>9780871202291</v>
      </c>
      <c r="C2224" s="10" t="str">
        <f>"9781416610724"</f>
        <v>9781416610724</v>
      </c>
      <c r="D2224" s="10" t="s">
        <v>10014</v>
      </c>
      <c r="E2224" s="10" t="s">
        <v>10015</v>
      </c>
      <c r="F2224" s="10" t="s">
        <v>201</v>
      </c>
      <c r="G2224" s="10" t="s">
        <v>6317</v>
      </c>
      <c r="H2224" s="11">
        <v>34425</v>
      </c>
      <c r="I2224" s="10">
        <v>1994</v>
      </c>
      <c r="J2224" s="10" t="s">
        <v>10015</v>
      </c>
      <c r="K2224" s="10">
        <v>126</v>
      </c>
      <c r="L2224" s="10" t="s">
        <v>15980</v>
      </c>
      <c r="M2224" s="10">
        <v>1</v>
      </c>
      <c r="N2224" s="10"/>
      <c r="O2224" s="10"/>
      <c r="P2224" s="10" t="s">
        <v>15981</v>
      </c>
      <c r="Q2224" s="10">
        <v>370.72</v>
      </c>
      <c r="R2224" s="10" t="s">
        <v>15982</v>
      </c>
      <c r="S2224" s="10" t="s">
        <v>53</v>
      </c>
      <c r="T2224" s="10" t="s">
        <v>54</v>
      </c>
    </row>
    <row r="2225" spans="1:20" ht="14.5" x14ac:dyDescent="0.35">
      <c r="A2225" s="10" t="s">
        <v>15983</v>
      </c>
      <c r="B2225" s="10" t="str">
        <f>"9781416609032"</f>
        <v>9781416609032</v>
      </c>
      <c r="C2225" s="10" t="str">
        <f>"9781416610229"</f>
        <v>9781416610229</v>
      </c>
      <c r="D2225" s="10" t="s">
        <v>10014</v>
      </c>
      <c r="E2225" s="10" t="s">
        <v>10015</v>
      </c>
      <c r="F2225" s="10" t="s">
        <v>201</v>
      </c>
      <c r="G2225" s="10" t="s">
        <v>6317</v>
      </c>
      <c r="H2225" s="11">
        <v>40179</v>
      </c>
      <c r="I2225" s="10">
        <v>2010</v>
      </c>
      <c r="J2225" s="10" t="s">
        <v>10015</v>
      </c>
      <c r="K2225" s="10">
        <v>196</v>
      </c>
      <c r="L2225" s="10" t="s">
        <v>15984</v>
      </c>
      <c r="M2225" s="10">
        <v>1</v>
      </c>
      <c r="N2225" s="10"/>
      <c r="O2225" s="10"/>
      <c r="P2225" s="10" t="s">
        <v>15985</v>
      </c>
      <c r="Q2225" s="10" t="s">
        <v>12854</v>
      </c>
      <c r="R2225" s="10" t="s">
        <v>15986</v>
      </c>
      <c r="S2225" s="10" t="s">
        <v>53</v>
      </c>
      <c r="T2225" s="10" t="s">
        <v>54</v>
      </c>
    </row>
    <row r="2226" spans="1:20" ht="14.5" x14ac:dyDescent="0.35">
      <c r="A2226" s="10" t="s">
        <v>15987</v>
      </c>
      <c r="B2226" s="10" t="str">
        <f>"9781416609131"</f>
        <v>9781416609131</v>
      </c>
      <c r="C2226" s="10" t="str">
        <f>"9781416610526"</f>
        <v>9781416610526</v>
      </c>
      <c r="D2226" s="10" t="s">
        <v>10014</v>
      </c>
      <c r="E2226" s="10" t="s">
        <v>10015</v>
      </c>
      <c r="F2226" s="10" t="s">
        <v>201</v>
      </c>
      <c r="G2226" s="10" t="s">
        <v>6317</v>
      </c>
      <c r="H2226" s="11">
        <v>40210</v>
      </c>
      <c r="I2226" s="10">
        <v>2010</v>
      </c>
      <c r="J2226" s="10" t="s">
        <v>10015</v>
      </c>
      <c r="K2226" s="10">
        <v>195</v>
      </c>
      <c r="L2226" s="10" t="s">
        <v>15988</v>
      </c>
      <c r="M2226" s="10">
        <v>1</v>
      </c>
      <c r="N2226" s="10"/>
      <c r="O2226" s="10"/>
      <c r="P2226" s="10" t="s">
        <v>15989</v>
      </c>
      <c r="Q2226" s="10">
        <v>370.97300000000001</v>
      </c>
      <c r="R2226" s="10" t="s">
        <v>15990</v>
      </c>
      <c r="S2226" s="10" t="s">
        <v>53</v>
      </c>
      <c r="T2226" s="10" t="s">
        <v>54</v>
      </c>
    </row>
    <row r="2227" spans="1:20" ht="14.5" x14ac:dyDescent="0.35">
      <c r="A2227" s="10" t="s">
        <v>15991</v>
      </c>
      <c r="B2227" s="10" t="str">
        <f>"9781416609407"</f>
        <v>9781416609407</v>
      </c>
      <c r="C2227" s="10" t="str">
        <f>"9781416610311"</f>
        <v>9781416610311</v>
      </c>
      <c r="D2227" s="10" t="s">
        <v>10014</v>
      </c>
      <c r="E2227" s="10" t="s">
        <v>10015</v>
      </c>
      <c r="F2227" s="10" t="s">
        <v>201</v>
      </c>
      <c r="G2227" s="10" t="s">
        <v>6317</v>
      </c>
      <c r="H2227" s="11">
        <v>41834</v>
      </c>
      <c r="I2227" s="10">
        <v>2010</v>
      </c>
      <c r="J2227" s="10" t="s">
        <v>10015</v>
      </c>
      <c r="K2227" s="10">
        <v>267</v>
      </c>
      <c r="L2227" s="10" t="s">
        <v>15992</v>
      </c>
      <c r="M2227" s="10">
        <v>1</v>
      </c>
      <c r="N2227" s="10"/>
      <c r="O2227" s="10"/>
      <c r="P2227" s="10" t="s">
        <v>15993</v>
      </c>
      <c r="Q2227" s="10" t="s">
        <v>15994</v>
      </c>
      <c r="R2227" s="10" t="s">
        <v>15995</v>
      </c>
      <c r="S2227" s="10" t="s">
        <v>53</v>
      </c>
      <c r="T2227" s="10" t="s">
        <v>54</v>
      </c>
    </row>
    <row r="2228" spans="1:20" ht="14.5" x14ac:dyDescent="0.35">
      <c r="A2228" s="10" t="s">
        <v>15996</v>
      </c>
      <c r="B2228" s="10" t="str">
        <f>"9781416608851"</f>
        <v>9781416608851</v>
      </c>
      <c r="C2228" s="10" t="str">
        <f>"9781416610045"</f>
        <v>9781416610045</v>
      </c>
      <c r="D2228" s="10" t="s">
        <v>10014</v>
      </c>
      <c r="E2228" s="10" t="s">
        <v>10015</v>
      </c>
      <c r="F2228" s="10" t="s">
        <v>201</v>
      </c>
      <c r="G2228" s="10" t="s">
        <v>6317</v>
      </c>
      <c r="H2228" s="11">
        <v>40177</v>
      </c>
      <c r="I2228" s="10">
        <v>2009</v>
      </c>
      <c r="J2228" s="10" t="s">
        <v>10015</v>
      </c>
      <c r="K2228" s="10">
        <v>192</v>
      </c>
      <c r="L2228" s="10" t="s">
        <v>15997</v>
      </c>
      <c r="M2228" s="10">
        <v>1</v>
      </c>
      <c r="N2228" s="10"/>
      <c r="O2228" s="10"/>
      <c r="P2228" s="10" t="s">
        <v>15998</v>
      </c>
      <c r="Q2228" s="10" t="s">
        <v>15602</v>
      </c>
      <c r="R2228" s="10"/>
      <c r="S2228" s="10" t="s">
        <v>53</v>
      </c>
      <c r="T2228" s="10" t="s">
        <v>54</v>
      </c>
    </row>
    <row r="2229" spans="1:20" ht="14.5" x14ac:dyDescent="0.35">
      <c r="A2229" s="10" t="s">
        <v>15999</v>
      </c>
      <c r="B2229" s="10" t="str">
        <f>"9781416609186"</f>
        <v>9781416609186</v>
      </c>
      <c r="C2229" s="10" t="str">
        <f>"9781416610359"</f>
        <v>9781416610359</v>
      </c>
      <c r="D2229" s="10" t="s">
        <v>10014</v>
      </c>
      <c r="E2229" s="10" t="s">
        <v>10015</v>
      </c>
      <c r="F2229" s="10" t="s">
        <v>201</v>
      </c>
      <c r="G2229" s="10" t="s">
        <v>6317</v>
      </c>
      <c r="H2229" s="11">
        <v>40267</v>
      </c>
      <c r="I2229" s="10">
        <v>2010</v>
      </c>
      <c r="J2229" s="10" t="s">
        <v>10015</v>
      </c>
      <c r="K2229" s="10">
        <v>195</v>
      </c>
      <c r="L2229" s="10" t="s">
        <v>16000</v>
      </c>
      <c r="M2229" s="10">
        <v>1</v>
      </c>
      <c r="N2229" s="10"/>
      <c r="O2229" s="10"/>
      <c r="P2229" s="10" t="s">
        <v>16001</v>
      </c>
      <c r="Q2229" s="10">
        <v>370.15230000000003</v>
      </c>
      <c r="R2229" s="10"/>
      <c r="S2229" s="10" t="s">
        <v>53</v>
      </c>
      <c r="T2229" s="10" t="s">
        <v>54</v>
      </c>
    </row>
    <row r="2230" spans="1:20" ht="14.5" x14ac:dyDescent="0.35">
      <c r="A2230" s="10" t="s">
        <v>16002</v>
      </c>
      <c r="B2230" s="10" t="str">
        <f>""</f>
        <v/>
      </c>
      <c r="C2230" s="10" t="str">
        <f>"9781119964896"</f>
        <v>9781119964896</v>
      </c>
      <c r="D2230" s="10" t="s">
        <v>6322</v>
      </c>
      <c r="E2230" s="10" t="s">
        <v>6323</v>
      </c>
      <c r="F2230" s="10" t="s">
        <v>4423</v>
      </c>
      <c r="G2230" s="10" t="s">
        <v>6352</v>
      </c>
      <c r="H2230" s="11">
        <v>40294</v>
      </c>
      <c r="I2230" s="10">
        <v>2010</v>
      </c>
      <c r="J2230" s="10" t="s">
        <v>6323</v>
      </c>
      <c r="K2230" s="10">
        <v>397</v>
      </c>
      <c r="L2230" s="10" t="s">
        <v>16003</v>
      </c>
      <c r="M2230" s="10">
        <v>2</v>
      </c>
      <c r="N2230" s="10"/>
      <c r="O2230" s="10"/>
      <c r="P2230" s="10" t="s">
        <v>16004</v>
      </c>
      <c r="Q2230" s="10">
        <v>616.89</v>
      </c>
      <c r="R2230" s="10" t="s">
        <v>16005</v>
      </c>
      <c r="S2230" s="10" t="s">
        <v>53</v>
      </c>
      <c r="T2230" s="10" t="s">
        <v>8681</v>
      </c>
    </row>
    <row r="2231" spans="1:20" ht="14.5" x14ac:dyDescent="0.35">
      <c r="A2231" s="10" t="s">
        <v>16006</v>
      </c>
      <c r="B2231" s="10" t="str">
        <f>"9780415481755"</f>
        <v>9780415481755</v>
      </c>
      <c r="C2231" s="10" t="str">
        <f>"9780203851005"</f>
        <v>9780203851005</v>
      </c>
      <c r="D2231" s="10" t="s">
        <v>6350</v>
      </c>
      <c r="E2231" s="10" t="s">
        <v>6351</v>
      </c>
      <c r="F2231" s="10" t="s">
        <v>5406</v>
      </c>
      <c r="G2231" s="10" t="s">
        <v>6317</v>
      </c>
      <c r="H2231" s="11">
        <v>40325</v>
      </c>
      <c r="I2231" s="10">
        <v>2010</v>
      </c>
      <c r="J2231" s="10" t="s">
        <v>6353</v>
      </c>
      <c r="K2231" s="10">
        <v>376</v>
      </c>
      <c r="L2231" s="10" t="s">
        <v>16007</v>
      </c>
      <c r="M2231" s="10">
        <v>1</v>
      </c>
      <c r="N2231" s="10" t="s">
        <v>16008</v>
      </c>
      <c r="O2231" s="10"/>
      <c r="P2231" s="10" t="s">
        <v>16009</v>
      </c>
      <c r="Q2231" s="10">
        <v>370.72</v>
      </c>
      <c r="R2231" s="10" t="s">
        <v>16010</v>
      </c>
      <c r="S2231" s="10" t="s">
        <v>53</v>
      </c>
      <c r="T2231" s="10" t="s">
        <v>54</v>
      </c>
    </row>
    <row r="2232" spans="1:20" ht="14.5" x14ac:dyDescent="0.35">
      <c r="A2232" s="10" t="s">
        <v>16011</v>
      </c>
      <c r="B2232" s="10" t="str">
        <f>"9780415998918"</f>
        <v>9780415998918</v>
      </c>
      <c r="C2232" s="10" t="str">
        <f>"9780203854334"</f>
        <v>9780203854334</v>
      </c>
      <c r="D2232" s="10" t="s">
        <v>6350</v>
      </c>
      <c r="E2232" s="10" t="s">
        <v>6351</v>
      </c>
      <c r="F2232" s="10" t="s">
        <v>5406</v>
      </c>
      <c r="G2232" s="10" t="s">
        <v>6317</v>
      </c>
      <c r="H2232" s="11">
        <v>40287</v>
      </c>
      <c r="I2232" s="10">
        <v>2010</v>
      </c>
      <c r="J2232" s="10" t="s">
        <v>6353</v>
      </c>
      <c r="K2232" s="10">
        <v>150</v>
      </c>
      <c r="L2232" s="10" t="s">
        <v>16012</v>
      </c>
      <c r="M2232" s="10">
        <v>1</v>
      </c>
      <c r="N2232" s="10"/>
      <c r="O2232" s="10"/>
      <c r="P2232" s="10" t="s">
        <v>16013</v>
      </c>
      <c r="Q2232" s="10" t="s">
        <v>16014</v>
      </c>
      <c r="R2232" s="10" t="s">
        <v>16015</v>
      </c>
      <c r="S2232" s="10" t="s">
        <v>53</v>
      </c>
      <c r="T2232" s="10" t="s">
        <v>54</v>
      </c>
    </row>
    <row r="2233" spans="1:20" ht="14.5" x14ac:dyDescent="0.35">
      <c r="A2233" s="10" t="s">
        <v>16016</v>
      </c>
      <c r="B2233" s="10" t="str">
        <f>"9780415484138"</f>
        <v>9780415484138</v>
      </c>
      <c r="C2233" s="10" t="str">
        <f>"9780203851760"</f>
        <v>9780203851760</v>
      </c>
      <c r="D2233" s="10" t="s">
        <v>6350</v>
      </c>
      <c r="E2233" s="10" t="s">
        <v>6351</v>
      </c>
      <c r="F2233" s="10" t="s">
        <v>748</v>
      </c>
      <c r="G2233" s="10" t="s">
        <v>6352</v>
      </c>
      <c r="H2233" s="11">
        <v>40268</v>
      </c>
      <c r="I2233" s="10">
        <v>2010</v>
      </c>
      <c r="J2233" s="10" t="s">
        <v>6351</v>
      </c>
      <c r="K2233" s="10">
        <v>337</v>
      </c>
      <c r="L2233" s="10" t="s">
        <v>16017</v>
      </c>
      <c r="M2233" s="10">
        <v>1</v>
      </c>
      <c r="N2233" s="10" t="s">
        <v>16018</v>
      </c>
      <c r="O2233" s="10"/>
      <c r="P2233" s="10" t="s">
        <v>16019</v>
      </c>
      <c r="Q2233" s="10" t="s">
        <v>7504</v>
      </c>
      <c r="R2233" s="10" t="s">
        <v>16020</v>
      </c>
      <c r="S2233" s="10" t="s">
        <v>53</v>
      </c>
      <c r="T2233" s="10" t="s">
        <v>54</v>
      </c>
    </row>
    <row r="2234" spans="1:20" ht="14.5" x14ac:dyDescent="0.35">
      <c r="A2234" s="10" t="s">
        <v>16021</v>
      </c>
      <c r="B2234" s="10" t="str">
        <f>"9780415484114"</f>
        <v>9780415484114</v>
      </c>
      <c r="C2234" s="10" t="str">
        <f>"9780203852248"</f>
        <v>9780203852248</v>
      </c>
      <c r="D2234" s="10" t="s">
        <v>6350</v>
      </c>
      <c r="E2234" s="10" t="s">
        <v>6351</v>
      </c>
      <c r="F2234" s="10" t="s">
        <v>748</v>
      </c>
      <c r="G2234" s="10" t="s">
        <v>6352</v>
      </c>
      <c r="H2234" s="11">
        <v>40268</v>
      </c>
      <c r="I2234" s="10">
        <v>2010</v>
      </c>
      <c r="J2234" s="10" t="s">
        <v>6351</v>
      </c>
      <c r="K2234" s="10">
        <v>444</v>
      </c>
      <c r="L2234" s="10" t="s">
        <v>16022</v>
      </c>
      <c r="M2234" s="10">
        <v>1</v>
      </c>
      <c r="N2234" s="10" t="s">
        <v>16018</v>
      </c>
      <c r="O2234" s="10"/>
      <c r="P2234" s="10" t="s">
        <v>16023</v>
      </c>
      <c r="Q2234" s="10" t="s">
        <v>7504</v>
      </c>
      <c r="R2234" s="10" t="s">
        <v>16024</v>
      </c>
      <c r="S2234" s="10" t="s">
        <v>53</v>
      </c>
      <c r="T2234" s="10" t="s">
        <v>54</v>
      </c>
    </row>
    <row r="2235" spans="1:20" ht="14.5" x14ac:dyDescent="0.35">
      <c r="A2235" s="10" t="s">
        <v>16025</v>
      </c>
      <c r="B2235" s="10" t="str">
        <f>"9780415494793"</f>
        <v>9780415494793</v>
      </c>
      <c r="C2235" s="10" t="str">
        <f>"9780203855171"</f>
        <v>9780203855171</v>
      </c>
      <c r="D2235" s="10" t="s">
        <v>6350</v>
      </c>
      <c r="E2235" s="10" t="s">
        <v>6351</v>
      </c>
      <c r="F2235" s="10" t="s">
        <v>748</v>
      </c>
      <c r="G2235" s="10" t="s">
        <v>6352</v>
      </c>
      <c r="H2235" s="11">
        <v>40280</v>
      </c>
      <c r="I2235" s="10">
        <v>2010</v>
      </c>
      <c r="J2235" s="10" t="s">
        <v>6351</v>
      </c>
      <c r="K2235" s="10">
        <v>121</v>
      </c>
      <c r="L2235" s="10" t="s">
        <v>16026</v>
      </c>
      <c r="M2235" s="10">
        <v>1</v>
      </c>
      <c r="N2235" s="10" t="s">
        <v>16027</v>
      </c>
      <c r="O2235" s="10"/>
      <c r="P2235" s="10" t="s">
        <v>16028</v>
      </c>
      <c r="Q2235" s="10">
        <v>370.15230000000003</v>
      </c>
      <c r="R2235" s="10" t="s">
        <v>12268</v>
      </c>
      <c r="S2235" s="10" t="s">
        <v>53</v>
      </c>
      <c r="T2235" s="10" t="s">
        <v>54</v>
      </c>
    </row>
    <row r="2236" spans="1:20" ht="14.5" x14ac:dyDescent="0.35">
      <c r="A2236" s="10" t="s">
        <v>16029</v>
      </c>
      <c r="B2236" s="10" t="str">
        <f>"9780415567299"</f>
        <v>9780415567299</v>
      </c>
      <c r="C2236" s="10" t="str">
        <f>"9780203852453"</f>
        <v>9780203852453</v>
      </c>
      <c r="D2236" s="10" t="s">
        <v>6350</v>
      </c>
      <c r="E2236" s="10" t="s">
        <v>6351</v>
      </c>
      <c r="F2236" s="10" t="s">
        <v>748</v>
      </c>
      <c r="G2236" s="10" t="s">
        <v>6352</v>
      </c>
      <c r="H2236" s="11">
        <v>40316</v>
      </c>
      <c r="I2236" s="10">
        <v>2010</v>
      </c>
      <c r="J2236" s="10" t="s">
        <v>6351</v>
      </c>
      <c r="K2236" s="10">
        <v>142</v>
      </c>
      <c r="L2236" s="10" t="s">
        <v>6606</v>
      </c>
      <c r="M2236" s="10">
        <v>1</v>
      </c>
      <c r="N2236" s="10"/>
      <c r="O2236" s="10"/>
      <c r="P2236" s="10" t="s">
        <v>16030</v>
      </c>
      <c r="Q2236" s="10">
        <v>371.9</v>
      </c>
      <c r="R2236" s="10" t="s">
        <v>6415</v>
      </c>
      <c r="S2236" s="10" t="s">
        <v>53</v>
      </c>
      <c r="T2236" s="10" t="s">
        <v>54</v>
      </c>
    </row>
    <row r="2237" spans="1:20" ht="14.5" x14ac:dyDescent="0.35">
      <c r="A2237" s="10" t="s">
        <v>16031</v>
      </c>
      <c r="B2237" s="10" t="str">
        <f>"9780415565646"</f>
        <v>9780415565646</v>
      </c>
      <c r="C2237" s="10" t="str">
        <f>"9780203853160"</f>
        <v>9780203853160</v>
      </c>
      <c r="D2237" s="10" t="s">
        <v>6350</v>
      </c>
      <c r="E2237" s="10" t="s">
        <v>6351</v>
      </c>
      <c r="F2237" s="10" t="s">
        <v>748</v>
      </c>
      <c r="G2237" s="10" t="s">
        <v>6352</v>
      </c>
      <c r="H2237" s="11">
        <v>40308</v>
      </c>
      <c r="I2237" s="10">
        <v>2010</v>
      </c>
      <c r="J2237" s="10" t="s">
        <v>6351</v>
      </c>
      <c r="K2237" s="10">
        <v>268</v>
      </c>
      <c r="L2237" s="10" t="s">
        <v>16032</v>
      </c>
      <c r="M2237" s="10">
        <v>1</v>
      </c>
      <c r="N2237" s="10"/>
      <c r="O2237" s="10"/>
      <c r="P2237" s="10" t="s">
        <v>16033</v>
      </c>
      <c r="Q2237" s="10" t="s">
        <v>16034</v>
      </c>
      <c r="R2237" s="10" t="s">
        <v>16035</v>
      </c>
      <c r="S2237" s="10" t="s">
        <v>53</v>
      </c>
      <c r="T2237" s="10" t="s">
        <v>54</v>
      </c>
    </row>
    <row r="2238" spans="1:20" ht="14.5" x14ac:dyDescent="0.35">
      <c r="A2238" s="10" t="s">
        <v>16036</v>
      </c>
      <c r="B2238" s="10" t="str">
        <f>"9780415554411"</f>
        <v>9780415554411</v>
      </c>
      <c r="C2238" s="10" t="str">
        <f>"9780203854754"</f>
        <v>9780203854754</v>
      </c>
      <c r="D2238" s="10" t="s">
        <v>6350</v>
      </c>
      <c r="E2238" s="10" t="s">
        <v>6351</v>
      </c>
      <c r="F2238" s="10" t="s">
        <v>5406</v>
      </c>
      <c r="G2238" s="10" t="s">
        <v>6317</v>
      </c>
      <c r="H2238" s="11">
        <v>40308</v>
      </c>
      <c r="I2238" s="10">
        <v>2010</v>
      </c>
      <c r="J2238" s="10" t="s">
        <v>6353</v>
      </c>
      <c r="K2238" s="10">
        <v>209</v>
      </c>
      <c r="L2238" s="10" t="s">
        <v>16037</v>
      </c>
      <c r="M2238" s="10">
        <v>1</v>
      </c>
      <c r="N2238" s="10" t="s">
        <v>16038</v>
      </c>
      <c r="O2238" s="10"/>
      <c r="P2238" s="10" t="s">
        <v>16039</v>
      </c>
      <c r="Q2238" s="10">
        <v>371.33</v>
      </c>
      <c r="R2238" s="10" t="s">
        <v>16040</v>
      </c>
      <c r="S2238" s="10" t="s">
        <v>53</v>
      </c>
      <c r="T2238" s="10" t="s">
        <v>54</v>
      </c>
    </row>
    <row r="2239" spans="1:20" ht="14.5" x14ac:dyDescent="0.35">
      <c r="A2239" s="10" t="s">
        <v>16041</v>
      </c>
      <c r="B2239" s="10" t="str">
        <f>"9781848720459"</f>
        <v>9781848720459</v>
      </c>
      <c r="C2239" s="10" t="str">
        <f>"9780203853108"</f>
        <v>9780203853108</v>
      </c>
      <c r="D2239" s="10" t="s">
        <v>6350</v>
      </c>
      <c r="E2239" s="10" t="s">
        <v>6351</v>
      </c>
      <c r="F2239" s="10" t="s">
        <v>748</v>
      </c>
      <c r="G2239" s="10" t="s">
        <v>6352</v>
      </c>
      <c r="H2239" s="11">
        <v>40308</v>
      </c>
      <c r="I2239" s="10">
        <v>2010</v>
      </c>
      <c r="J2239" s="10" t="s">
        <v>6351</v>
      </c>
      <c r="K2239" s="10">
        <v>197</v>
      </c>
      <c r="L2239" s="10" t="s">
        <v>16042</v>
      </c>
      <c r="M2239" s="10">
        <v>1</v>
      </c>
      <c r="N2239" s="10" t="s">
        <v>16043</v>
      </c>
      <c r="O2239" s="10"/>
      <c r="P2239" s="10" t="s">
        <v>16044</v>
      </c>
      <c r="Q2239" s="10">
        <v>370.15209485000003</v>
      </c>
      <c r="R2239" s="10" t="s">
        <v>16045</v>
      </c>
      <c r="S2239" s="10" t="s">
        <v>53</v>
      </c>
      <c r="T2239" s="10" t="s">
        <v>54</v>
      </c>
    </row>
    <row r="2240" spans="1:20" ht="14.5" x14ac:dyDescent="0.35">
      <c r="A2240" s="10" t="s">
        <v>16046</v>
      </c>
      <c r="B2240" s="10" t="str">
        <f>"9781578069996"</f>
        <v>9781578069996</v>
      </c>
      <c r="C2240" s="10" t="str">
        <f>"9781604733105"</f>
        <v>9781604733105</v>
      </c>
      <c r="D2240" s="10" t="s">
        <v>16047</v>
      </c>
      <c r="E2240" s="10" t="s">
        <v>16047</v>
      </c>
      <c r="F2240" s="10" t="s">
        <v>16048</v>
      </c>
      <c r="G2240" s="10" t="s">
        <v>6317</v>
      </c>
      <c r="H2240" s="11">
        <v>39448</v>
      </c>
      <c r="I2240" s="10">
        <v>2008</v>
      </c>
      <c r="J2240" s="10" t="s">
        <v>16047</v>
      </c>
      <c r="K2240" s="10">
        <v>333</v>
      </c>
      <c r="L2240" s="10" t="s">
        <v>16049</v>
      </c>
      <c r="M2240" s="10">
        <v>1</v>
      </c>
      <c r="N2240" s="10"/>
      <c r="O2240" s="10"/>
      <c r="P2240" s="10" t="s">
        <v>16050</v>
      </c>
      <c r="Q2240" s="10" t="s">
        <v>16051</v>
      </c>
      <c r="R2240" s="10" t="s">
        <v>16052</v>
      </c>
      <c r="S2240" s="10" t="s">
        <v>53</v>
      </c>
      <c r="T2240" s="10" t="s">
        <v>54</v>
      </c>
    </row>
    <row r="2241" spans="1:20" ht="14.5" x14ac:dyDescent="0.35">
      <c r="A2241" s="10" t="s">
        <v>16053</v>
      </c>
      <c r="B2241" s="10" t="str">
        <f>"9781934110171"</f>
        <v>9781934110171</v>
      </c>
      <c r="C2241" s="10" t="str">
        <f>"9781604733051"</f>
        <v>9781604733051</v>
      </c>
      <c r="D2241" s="10" t="s">
        <v>16047</v>
      </c>
      <c r="E2241" s="10" t="s">
        <v>16047</v>
      </c>
      <c r="F2241" s="10" t="s">
        <v>16048</v>
      </c>
      <c r="G2241" s="10" t="s">
        <v>6317</v>
      </c>
      <c r="H2241" s="11">
        <v>39479</v>
      </c>
      <c r="I2241" s="10">
        <v>2008</v>
      </c>
      <c r="J2241" s="10" t="s">
        <v>16047</v>
      </c>
      <c r="K2241" s="10">
        <v>273</v>
      </c>
      <c r="L2241" s="10" t="s">
        <v>16054</v>
      </c>
      <c r="M2241" s="10">
        <v>1</v>
      </c>
      <c r="N2241" s="10"/>
      <c r="O2241" s="10"/>
      <c r="P2241" s="10" t="s">
        <v>16055</v>
      </c>
      <c r="Q2241" s="10" t="s">
        <v>16056</v>
      </c>
      <c r="R2241" s="10" t="s">
        <v>16057</v>
      </c>
      <c r="S2241" s="10" t="s">
        <v>53</v>
      </c>
      <c r="T2241" s="10" t="s">
        <v>54</v>
      </c>
    </row>
    <row r="2242" spans="1:20" ht="14.5" x14ac:dyDescent="0.35">
      <c r="A2242" s="10" t="s">
        <v>16058</v>
      </c>
      <c r="B2242" s="10" t="str">
        <f>"9781578063147"</f>
        <v>9781578063147</v>
      </c>
      <c r="C2242" s="10" t="str">
        <f>"9781604731422"</f>
        <v>9781604731422</v>
      </c>
      <c r="D2242" s="10" t="s">
        <v>16047</v>
      </c>
      <c r="E2242" s="10" t="s">
        <v>16047</v>
      </c>
      <c r="F2242" s="10" t="s">
        <v>16048</v>
      </c>
      <c r="G2242" s="10" t="s">
        <v>6317</v>
      </c>
      <c r="H2242" s="11">
        <v>39016</v>
      </c>
      <c r="I2242" s="10">
        <v>2006</v>
      </c>
      <c r="J2242" s="10" t="s">
        <v>16047</v>
      </c>
      <c r="K2242" s="10">
        <v>328</v>
      </c>
      <c r="L2242" s="10" t="s">
        <v>16059</v>
      </c>
      <c r="M2242" s="10">
        <v>1</v>
      </c>
      <c r="N2242" s="10"/>
      <c r="O2242" s="10"/>
      <c r="P2242" s="10" t="s">
        <v>16060</v>
      </c>
      <c r="Q2242" s="10" t="s">
        <v>16061</v>
      </c>
      <c r="R2242" s="10" t="s">
        <v>16062</v>
      </c>
      <c r="S2242" s="10" t="s">
        <v>53</v>
      </c>
      <c r="T2242" s="10" t="s">
        <v>6363</v>
      </c>
    </row>
    <row r="2243" spans="1:20" ht="14.5" x14ac:dyDescent="0.35">
      <c r="A2243" s="10" t="s">
        <v>16063</v>
      </c>
      <c r="B2243" s="10" t="str">
        <f>"9781578069941"</f>
        <v>9781578069941</v>
      </c>
      <c r="C2243" s="10" t="str">
        <f>"9781604733174"</f>
        <v>9781604733174</v>
      </c>
      <c r="D2243" s="10" t="s">
        <v>16047</v>
      </c>
      <c r="E2243" s="10" t="s">
        <v>16047</v>
      </c>
      <c r="F2243" s="10" t="s">
        <v>16048</v>
      </c>
      <c r="G2243" s="10" t="s">
        <v>6317</v>
      </c>
      <c r="H2243" s="11">
        <v>39356</v>
      </c>
      <c r="I2243" s="10">
        <v>2007</v>
      </c>
      <c r="J2243" s="10" t="s">
        <v>16047</v>
      </c>
      <c r="K2243" s="10">
        <v>252</v>
      </c>
      <c r="L2243" s="10" t="s">
        <v>15851</v>
      </c>
      <c r="M2243" s="10">
        <v>1</v>
      </c>
      <c r="N2243" s="10"/>
      <c r="O2243" s="10"/>
      <c r="P2243" s="10" t="s">
        <v>16064</v>
      </c>
      <c r="Q2243" s="10" t="s">
        <v>16065</v>
      </c>
      <c r="R2243" s="10" t="s">
        <v>16066</v>
      </c>
      <c r="S2243" s="10" t="s">
        <v>53</v>
      </c>
      <c r="T2243" s="10" t="s">
        <v>6534</v>
      </c>
    </row>
    <row r="2244" spans="1:20" ht="14.5" x14ac:dyDescent="0.35">
      <c r="A2244" s="10" t="s">
        <v>16067</v>
      </c>
      <c r="B2244" s="10" t="str">
        <f>"9780226042787"</f>
        <v>9780226042787</v>
      </c>
      <c r="C2244" s="10" t="str">
        <f>"9780226042770"</f>
        <v>9780226042770</v>
      </c>
      <c r="D2244" s="10" t="s">
        <v>13157</v>
      </c>
      <c r="E2244" s="10" t="s">
        <v>13157</v>
      </c>
      <c r="F2244" s="10" t="s">
        <v>324</v>
      </c>
      <c r="G2244" s="10" t="s">
        <v>6317</v>
      </c>
      <c r="H2244" s="11">
        <v>37667</v>
      </c>
      <c r="I2244" s="10">
        <v>2002</v>
      </c>
      <c r="J2244" s="10" t="s">
        <v>13157</v>
      </c>
      <c r="K2244" s="10">
        <v>241</v>
      </c>
      <c r="L2244" s="10" t="s">
        <v>16068</v>
      </c>
      <c r="M2244" s="10">
        <v>1</v>
      </c>
      <c r="N2244" s="10"/>
      <c r="O2244" s="10"/>
      <c r="P2244" s="10" t="s">
        <v>16069</v>
      </c>
      <c r="Q2244" s="10">
        <v>880.9</v>
      </c>
      <c r="R2244" s="10" t="s">
        <v>16070</v>
      </c>
      <c r="S2244" s="10" t="s">
        <v>53</v>
      </c>
      <c r="T2244" s="10" t="s">
        <v>9143</v>
      </c>
    </row>
    <row r="2245" spans="1:20" ht="14.5" x14ac:dyDescent="0.35">
      <c r="A2245" s="10" t="s">
        <v>16071</v>
      </c>
      <c r="B2245" s="10" t="str">
        <f>"9780821379325"</f>
        <v>9780821379325</v>
      </c>
      <c r="C2245" s="10" t="str">
        <f>"9780821379783"</f>
        <v>9780821379783</v>
      </c>
      <c r="D2245" s="10" t="s">
        <v>14731</v>
      </c>
      <c r="E2245" s="10" t="s">
        <v>14732</v>
      </c>
      <c r="F2245" s="10" t="s">
        <v>14733</v>
      </c>
      <c r="G2245" s="10" t="s">
        <v>6317</v>
      </c>
      <c r="H2245" s="11">
        <v>40211</v>
      </c>
      <c r="I2245" s="10">
        <v>2010</v>
      </c>
      <c r="J2245" s="10" t="s">
        <v>14734</v>
      </c>
      <c r="K2245" s="10">
        <v>115</v>
      </c>
      <c r="L2245" s="10" t="s">
        <v>16072</v>
      </c>
      <c r="M2245" s="10">
        <v>1</v>
      </c>
      <c r="N2245" s="10"/>
      <c r="O2245" s="10"/>
      <c r="P2245" s="10" t="s">
        <v>16073</v>
      </c>
      <c r="Q2245" s="10">
        <v>362.19697920096701</v>
      </c>
      <c r="R2245" s="10" t="s">
        <v>16074</v>
      </c>
      <c r="S2245" s="10" t="s">
        <v>53</v>
      </c>
      <c r="T2245" s="10" t="s">
        <v>8368</v>
      </c>
    </row>
    <row r="2246" spans="1:20" ht="14.5" x14ac:dyDescent="0.35">
      <c r="A2246" s="10" t="s">
        <v>16075</v>
      </c>
      <c r="B2246" s="10" t="str">
        <f>"9781606236598"</f>
        <v>9781606236598</v>
      </c>
      <c r="C2246" s="10" t="str">
        <f>"9781606236611"</f>
        <v>9781606236611</v>
      </c>
      <c r="D2246" s="10" t="s">
        <v>11213</v>
      </c>
      <c r="E2246" s="10" t="s">
        <v>11214</v>
      </c>
      <c r="F2246" s="10" t="s">
        <v>70</v>
      </c>
      <c r="G2246" s="10" t="s">
        <v>6317</v>
      </c>
      <c r="H2246" s="11">
        <v>40290</v>
      </c>
      <c r="I2246" s="10">
        <v>2010</v>
      </c>
      <c r="J2246" s="10" t="s">
        <v>11215</v>
      </c>
      <c r="K2246" s="10">
        <v>322</v>
      </c>
      <c r="L2246" s="10" t="s">
        <v>16076</v>
      </c>
      <c r="M2246" s="10">
        <v>1</v>
      </c>
      <c r="N2246" s="10" t="s">
        <v>11516</v>
      </c>
      <c r="O2246" s="10"/>
      <c r="P2246" s="10" t="s">
        <v>16077</v>
      </c>
      <c r="Q2246" s="10" t="s">
        <v>10440</v>
      </c>
      <c r="R2246" s="10" t="s">
        <v>16078</v>
      </c>
      <c r="S2246" s="10" t="s">
        <v>53</v>
      </c>
      <c r="T2246" s="10" t="s">
        <v>6616</v>
      </c>
    </row>
    <row r="2247" spans="1:20" ht="14.5" x14ac:dyDescent="0.35">
      <c r="A2247" s="10" t="s">
        <v>16079</v>
      </c>
      <c r="B2247" s="10" t="str">
        <f>"9781441124203"</f>
        <v>9781441124203</v>
      </c>
      <c r="C2247" s="10" t="str">
        <f>"9781441139061"</f>
        <v>9781441139061</v>
      </c>
      <c r="D2247" s="10" t="s">
        <v>13959</v>
      </c>
      <c r="E2247" s="10" t="s">
        <v>13960</v>
      </c>
      <c r="F2247" s="10" t="s">
        <v>139</v>
      </c>
      <c r="G2247" s="10" t="s">
        <v>6352</v>
      </c>
      <c r="H2247" s="11">
        <v>40906</v>
      </c>
      <c r="I2247" s="10">
        <v>2010</v>
      </c>
      <c r="J2247" s="10" t="s">
        <v>13961</v>
      </c>
      <c r="K2247" s="10">
        <v>171</v>
      </c>
      <c r="L2247" s="10" t="s">
        <v>16080</v>
      </c>
      <c r="M2247" s="10">
        <v>1</v>
      </c>
      <c r="N2247" s="10" t="s">
        <v>14634</v>
      </c>
      <c r="O2247" s="10"/>
      <c r="P2247" s="10" t="s">
        <v>16081</v>
      </c>
      <c r="Q2247" s="10" t="s">
        <v>14673</v>
      </c>
      <c r="R2247" s="10" t="s">
        <v>16082</v>
      </c>
      <c r="S2247" s="10" t="s">
        <v>53</v>
      </c>
      <c r="T2247" s="10" t="s">
        <v>54</v>
      </c>
    </row>
    <row r="2248" spans="1:20" ht="14.5" x14ac:dyDescent="0.35">
      <c r="A2248" s="10" t="s">
        <v>16083</v>
      </c>
      <c r="B2248" s="10" t="str">
        <f>"9781589011793"</f>
        <v>9781589011793</v>
      </c>
      <c r="C2248" s="10" t="str">
        <f>"9781589014367"</f>
        <v>9781589014367</v>
      </c>
      <c r="D2248" s="10" t="s">
        <v>16084</v>
      </c>
      <c r="E2248" s="10" t="s">
        <v>16084</v>
      </c>
      <c r="F2248" s="10" t="s">
        <v>88</v>
      </c>
      <c r="G2248" s="10" t="s">
        <v>6317</v>
      </c>
      <c r="H2248" s="11">
        <v>39377</v>
      </c>
      <c r="I2248" s="10">
        <v>2007</v>
      </c>
      <c r="J2248" s="10" t="s">
        <v>16084</v>
      </c>
      <c r="K2248" s="10">
        <v>271</v>
      </c>
      <c r="L2248" s="10" t="s">
        <v>16085</v>
      </c>
      <c r="M2248" s="10">
        <v>1</v>
      </c>
      <c r="N2248" s="10" t="s">
        <v>16086</v>
      </c>
      <c r="O2248" s="10"/>
      <c r="P2248" s="10" t="s">
        <v>16087</v>
      </c>
      <c r="Q2248" s="10" t="s">
        <v>15335</v>
      </c>
      <c r="R2248" s="10"/>
      <c r="S2248" s="10" t="s">
        <v>53</v>
      </c>
      <c r="T2248" s="10" t="s">
        <v>54</v>
      </c>
    </row>
    <row r="2249" spans="1:20" ht="14.5" x14ac:dyDescent="0.35">
      <c r="A2249" s="10" t="s">
        <v>16088</v>
      </c>
      <c r="B2249" s="10" t="str">
        <f>"9780805855739"</f>
        <v>9780805855739</v>
      </c>
      <c r="C2249" s="10" t="str">
        <f>"9780203851821"</f>
        <v>9780203851821</v>
      </c>
      <c r="D2249" s="10" t="s">
        <v>6350</v>
      </c>
      <c r="E2249" s="10" t="s">
        <v>6351</v>
      </c>
      <c r="F2249" s="10" t="s">
        <v>5406</v>
      </c>
      <c r="G2249" s="10" t="s">
        <v>6317</v>
      </c>
      <c r="H2249" s="11">
        <v>40315</v>
      </c>
      <c r="I2249" s="10">
        <v>2010</v>
      </c>
      <c r="J2249" s="10" t="s">
        <v>6353</v>
      </c>
      <c r="K2249" s="10">
        <v>287</v>
      </c>
      <c r="L2249" s="10" t="s">
        <v>16089</v>
      </c>
      <c r="M2249" s="10">
        <v>1</v>
      </c>
      <c r="N2249" s="10"/>
      <c r="O2249" s="10"/>
      <c r="P2249" s="10" t="s">
        <v>16090</v>
      </c>
      <c r="Q2249" s="10">
        <v>372.11020000000002</v>
      </c>
      <c r="R2249" s="10" t="s">
        <v>16091</v>
      </c>
      <c r="S2249" s="10" t="s">
        <v>53</v>
      </c>
      <c r="T2249" s="10" t="s">
        <v>54</v>
      </c>
    </row>
    <row r="2250" spans="1:20" ht="14.5" x14ac:dyDescent="0.35">
      <c r="A2250" s="10" t="s">
        <v>16092</v>
      </c>
      <c r="B2250" s="10" t="str">
        <f>"9780415873406"</f>
        <v>9780415873406</v>
      </c>
      <c r="C2250" s="10" t="str">
        <f>"9780203852415"</f>
        <v>9780203852415</v>
      </c>
      <c r="D2250" s="10" t="s">
        <v>6350</v>
      </c>
      <c r="E2250" s="10" t="s">
        <v>6351</v>
      </c>
      <c r="F2250" s="10" t="s">
        <v>5406</v>
      </c>
      <c r="G2250" s="10" t="s">
        <v>6317</v>
      </c>
      <c r="H2250" s="11">
        <v>40298</v>
      </c>
      <c r="I2250" s="10">
        <v>2010</v>
      </c>
      <c r="J2250" s="10" t="s">
        <v>6353</v>
      </c>
      <c r="K2250" s="10">
        <v>246</v>
      </c>
      <c r="L2250" s="10" t="s">
        <v>16093</v>
      </c>
      <c r="M2250" s="10">
        <v>1</v>
      </c>
      <c r="N2250" s="10" t="s">
        <v>6954</v>
      </c>
      <c r="O2250" s="10"/>
      <c r="P2250" s="10" t="s">
        <v>16094</v>
      </c>
      <c r="Q2250" s="10">
        <v>371.2</v>
      </c>
      <c r="R2250" s="10" t="s">
        <v>16095</v>
      </c>
      <c r="S2250" s="10" t="s">
        <v>53</v>
      </c>
      <c r="T2250" s="10" t="s">
        <v>54</v>
      </c>
    </row>
    <row r="2251" spans="1:20" ht="14.5" x14ac:dyDescent="0.35">
      <c r="A2251" s="10" t="s">
        <v>16096</v>
      </c>
      <c r="B2251" s="10" t="str">
        <f>"9780470484104"</f>
        <v>9780470484104</v>
      </c>
      <c r="C2251" s="10" t="str">
        <f>"9780470617595"</f>
        <v>9780470617595</v>
      </c>
      <c r="D2251" s="10" t="s">
        <v>6322</v>
      </c>
      <c r="E2251" s="10" t="s">
        <v>6323</v>
      </c>
      <c r="F2251" s="10" t="s">
        <v>4423</v>
      </c>
      <c r="G2251" s="10" t="s">
        <v>6317</v>
      </c>
      <c r="H2251" s="11">
        <v>40315</v>
      </c>
      <c r="I2251" s="10">
        <v>2010</v>
      </c>
      <c r="J2251" s="10" t="s">
        <v>6324</v>
      </c>
      <c r="K2251" s="10">
        <v>328</v>
      </c>
      <c r="L2251" s="10" t="s">
        <v>16097</v>
      </c>
      <c r="M2251" s="10">
        <v>1</v>
      </c>
      <c r="N2251" s="10"/>
      <c r="O2251" s="10"/>
      <c r="P2251" s="10"/>
      <c r="Q2251" s="10">
        <v>371.10199999999998</v>
      </c>
      <c r="R2251" s="10" t="s">
        <v>16098</v>
      </c>
      <c r="S2251" s="10" t="s">
        <v>53</v>
      </c>
      <c r="T2251" s="10" t="s">
        <v>54</v>
      </c>
    </row>
    <row r="2252" spans="1:20" ht="14.5" x14ac:dyDescent="0.35">
      <c r="A2252" s="10" t="s">
        <v>16099</v>
      </c>
      <c r="B2252" s="10" t="str">
        <f>"9780465019175"</f>
        <v>9780465019175</v>
      </c>
      <c r="C2252" s="10" t="str">
        <f>"9780786744558"</f>
        <v>9780786744558</v>
      </c>
      <c r="D2252" s="10" t="s">
        <v>15536</v>
      </c>
      <c r="E2252" s="10" t="s">
        <v>16100</v>
      </c>
      <c r="F2252" s="10" t="s">
        <v>70</v>
      </c>
      <c r="G2252" s="10" t="s">
        <v>6317</v>
      </c>
      <c r="H2252" s="11">
        <v>40008</v>
      </c>
      <c r="I2252" s="10">
        <v>2009</v>
      </c>
      <c r="J2252" s="10" t="s">
        <v>16100</v>
      </c>
      <c r="K2252" s="10">
        <v>241</v>
      </c>
      <c r="L2252" s="10" t="s">
        <v>16101</v>
      </c>
      <c r="M2252" s="10">
        <v>1</v>
      </c>
      <c r="N2252" s="10"/>
      <c r="O2252" s="10"/>
      <c r="P2252" s="10" t="s">
        <v>16102</v>
      </c>
      <c r="Q2252" s="10">
        <v>509.73</v>
      </c>
      <c r="R2252" s="10" t="s">
        <v>16103</v>
      </c>
      <c r="S2252" s="10" t="s">
        <v>53</v>
      </c>
      <c r="T2252" s="10" t="s">
        <v>7193</v>
      </c>
    </row>
    <row r="2253" spans="1:20" ht="14.5" x14ac:dyDescent="0.35">
      <c r="A2253" s="10" t="s">
        <v>16104</v>
      </c>
      <c r="B2253" s="10" t="str">
        <f>"9781921410758"</f>
        <v>9781921410758</v>
      </c>
      <c r="C2253" s="10" t="str">
        <f>"9781742231228"</f>
        <v>9781742231228</v>
      </c>
      <c r="D2253" s="10" t="s">
        <v>12973</v>
      </c>
      <c r="E2253" s="10" t="s">
        <v>12974</v>
      </c>
      <c r="F2253" s="10" t="s">
        <v>674</v>
      </c>
      <c r="G2253" s="10" t="s">
        <v>12975</v>
      </c>
      <c r="H2253" s="11">
        <v>40057</v>
      </c>
      <c r="I2253" s="10">
        <v>2009</v>
      </c>
      <c r="J2253" s="10" t="s">
        <v>12974</v>
      </c>
      <c r="K2253" s="10">
        <v>269</v>
      </c>
      <c r="L2253" s="10" t="s">
        <v>16105</v>
      </c>
      <c r="M2253" s="10">
        <v>1</v>
      </c>
      <c r="N2253" s="10"/>
      <c r="O2253" s="10"/>
      <c r="P2253" s="10" t="s">
        <v>16106</v>
      </c>
      <c r="Q2253" s="10" t="s">
        <v>16107</v>
      </c>
      <c r="R2253" s="10" t="s">
        <v>16108</v>
      </c>
      <c r="S2253" s="10" t="s">
        <v>53</v>
      </c>
      <c r="T2253" s="10" t="s">
        <v>54</v>
      </c>
    </row>
    <row r="2254" spans="1:20" ht="14.5" x14ac:dyDescent="0.35">
      <c r="A2254" s="10" t="s">
        <v>16109</v>
      </c>
      <c r="B2254" s="10" t="str">
        <f>"9781606236819"</f>
        <v>9781606236819</v>
      </c>
      <c r="C2254" s="10" t="str">
        <f>"9781606236857"</f>
        <v>9781606236857</v>
      </c>
      <c r="D2254" s="10" t="s">
        <v>11213</v>
      </c>
      <c r="E2254" s="10" t="s">
        <v>11214</v>
      </c>
      <c r="F2254" s="10" t="s">
        <v>70</v>
      </c>
      <c r="G2254" s="10" t="s">
        <v>6317</v>
      </c>
      <c r="H2254" s="11">
        <v>40332</v>
      </c>
      <c r="I2254" s="10">
        <v>2010</v>
      </c>
      <c r="J2254" s="10" t="s">
        <v>11215</v>
      </c>
      <c r="K2254" s="10">
        <v>273</v>
      </c>
      <c r="L2254" s="10" t="s">
        <v>16110</v>
      </c>
      <c r="M2254" s="10">
        <v>1</v>
      </c>
      <c r="N2254" s="10" t="s">
        <v>12889</v>
      </c>
      <c r="O2254" s="10"/>
      <c r="P2254" s="10" t="s">
        <v>16111</v>
      </c>
      <c r="Q2254" s="10">
        <v>371.5</v>
      </c>
      <c r="R2254" s="10" t="s">
        <v>16112</v>
      </c>
      <c r="S2254" s="10" t="s">
        <v>53</v>
      </c>
      <c r="T2254" s="10" t="s">
        <v>54</v>
      </c>
    </row>
    <row r="2255" spans="1:20" ht="14.5" x14ac:dyDescent="0.35">
      <c r="A2255" s="10" t="s">
        <v>16113</v>
      </c>
      <c r="B2255" s="10" t="str">
        <f>"9781606236949"</f>
        <v>9781606236949</v>
      </c>
      <c r="C2255" s="10" t="str">
        <f>"9781606236963"</f>
        <v>9781606236963</v>
      </c>
      <c r="D2255" s="10" t="s">
        <v>11213</v>
      </c>
      <c r="E2255" s="10" t="s">
        <v>11214</v>
      </c>
      <c r="F2255" s="10" t="s">
        <v>70</v>
      </c>
      <c r="G2255" s="10" t="s">
        <v>6317</v>
      </c>
      <c r="H2255" s="11">
        <v>40309</v>
      </c>
      <c r="I2255" s="10">
        <v>2010</v>
      </c>
      <c r="J2255" s="10" t="s">
        <v>11215</v>
      </c>
      <c r="K2255" s="10">
        <v>209</v>
      </c>
      <c r="L2255" s="10" t="s">
        <v>16114</v>
      </c>
      <c r="M2255" s="10">
        <v>1</v>
      </c>
      <c r="N2255" s="10"/>
      <c r="O2255" s="10"/>
      <c r="P2255" s="10" t="s">
        <v>16115</v>
      </c>
      <c r="Q2255" s="10">
        <v>372.11020000000002</v>
      </c>
      <c r="R2255" s="10" t="s">
        <v>16116</v>
      </c>
      <c r="S2255" s="10" t="s">
        <v>53</v>
      </c>
      <c r="T2255" s="10" t="s">
        <v>54</v>
      </c>
    </row>
    <row r="2256" spans="1:20" ht="14.5" x14ac:dyDescent="0.35">
      <c r="A2256" s="10" t="s">
        <v>16117</v>
      </c>
      <c r="B2256" s="10" t="str">
        <f>"9780415548762"</f>
        <v>9780415548762</v>
      </c>
      <c r="C2256" s="10" t="str">
        <f>"9780203850879"</f>
        <v>9780203850879</v>
      </c>
      <c r="D2256" s="10" t="s">
        <v>6350</v>
      </c>
      <c r="E2256" s="10" t="s">
        <v>6351</v>
      </c>
      <c r="F2256" s="10" t="s">
        <v>748</v>
      </c>
      <c r="G2256" s="10" t="s">
        <v>6352</v>
      </c>
      <c r="H2256" s="11">
        <v>40367</v>
      </c>
      <c r="I2256" s="10">
        <v>2010</v>
      </c>
      <c r="J2256" s="10" t="s">
        <v>6351</v>
      </c>
      <c r="K2256" s="10">
        <v>286</v>
      </c>
      <c r="L2256" s="10" t="s">
        <v>16118</v>
      </c>
      <c r="M2256" s="10">
        <v>1</v>
      </c>
      <c r="N2256" s="10"/>
      <c r="O2256" s="10"/>
      <c r="P2256" s="10" t="s">
        <v>16119</v>
      </c>
      <c r="Q2256" s="10" t="s">
        <v>7299</v>
      </c>
      <c r="R2256" s="10" t="s">
        <v>8169</v>
      </c>
      <c r="S2256" s="10" t="s">
        <v>53</v>
      </c>
      <c r="T2256" s="10" t="s">
        <v>54</v>
      </c>
    </row>
    <row r="2257" spans="1:20" ht="14.5" x14ac:dyDescent="0.35">
      <c r="A2257" s="10" t="s">
        <v>16120</v>
      </c>
      <c r="B2257" s="10" t="str">
        <f>"9780415564861"</f>
        <v>9780415564861</v>
      </c>
      <c r="C2257" s="10" t="str">
        <f>"9780203850299"</f>
        <v>9780203850299</v>
      </c>
      <c r="D2257" s="10" t="s">
        <v>6350</v>
      </c>
      <c r="E2257" s="10" t="s">
        <v>6351</v>
      </c>
      <c r="F2257" s="10" t="s">
        <v>748</v>
      </c>
      <c r="G2257" s="10" t="s">
        <v>6352</v>
      </c>
      <c r="H2257" s="11">
        <v>40371</v>
      </c>
      <c r="I2257" s="10">
        <v>2010</v>
      </c>
      <c r="J2257" s="10" t="s">
        <v>6351</v>
      </c>
      <c r="K2257" s="10">
        <v>166</v>
      </c>
      <c r="L2257" s="10" t="s">
        <v>16121</v>
      </c>
      <c r="M2257" s="10">
        <v>1</v>
      </c>
      <c r="N2257" s="10"/>
      <c r="O2257" s="10"/>
      <c r="P2257" s="10" t="s">
        <v>16122</v>
      </c>
      <c r="Q2257" s="10">
        <v>372.6044</v>
      </c>
      <c r="R2257" s="10" t="s">
        <v>16123</v>
      </c>
      <c r="S2257" s="10" t="s">
        <v>53</v>
      </c>
      <c r="T2257" s="10" t="s">
        <v>54</v>
      </c>
    </row>
    <row r="2258" spans="1:20" ht="14.5" x14ac:dyDescent="0.35">
      <c r="A2258" s="10" t="s">
        <v>16124</v>
      </c>
      <c r="B2258" s="10" t="str">
        <f>"9781934110744"</f>
        <v>9781934110744</v>
      </c>
      <c r="C2258" s="10" t="str">
        <f>"9781604730609"</f>
        <v>9781604730609</v>
      </c>
      <c r="D2258" s="10" t="s">
        <v>16047</v>
      </c>
      <c r="E2258" s="10" t="s">
        <v>16047</v>
      </c>
      <c r="F2258" s="10" t="s">
        <v>16048</v>
      </c>
      <c r="G2258" s="10" t="s">
        <v>6317</v>
      </c>
      <c r="H2258" s="11">
        <v>39363</v>
      </c>
      <c r="I2258" s="10">
        <v>2005</v>
      </c>
      <c r="J2258" s="10" t="s">
        <v>16047</v>
      </c>
      <c r="K2258" s="10">
        <v>240</v>
      </c>
      <c r="L2258" s="10" t="s">
        <v>16125</v>
      </c>
      <c r="M2258" s="10">
        <v>1</v>
      </c>
      <c r="N2258" s="10"/>
      <c r="O2258" s="10"/>
      <c r="P2258" s="10" t="s">
        <v>16126</v>
      </c>
      <c r="Q2258" s="10" t="s">
        <v>16127</v>
      </c>
      <c r="R2258" s="10" t="s">
        <v>16128</v>
      </c>
      <c r="S2258" s="10" t="s">
        <v>53</v>
      </c>
      <c r="T2258" s="10" t="s">
        <v>54</v>
      </c>
    </row>
    <row r="2259" spans="1:20" ht="14.5" x14ac:dyDescent="0.35">
      <c r="A2259" s="10" t="s">
        <v>16129</v>
      </c>
      <c r="B2259" s="10" t="str">
        <f>"9781578068012"</f>
        <v>9781578068012</v>
      </c>
      <c r="C2259" s="10" t="str">
        <f>"9781604730678"</f>
        <v>9781604730678</v>
      </c>
      <c r="D2259" s="10" t="s">
        <v>16047</v>
      </c>
      <c r="E2259" s="10" t="s">
        <v>16047</v>
      </c>
      <c r="F2259" s="10" t="s">
        <v>16048</v>
      </c>
      <c r="G2259" s="10" t="s">
        <v>6317</v>
      </c>
      <c r="H2259" s="11">
        <v>38643</v>
      </c>
      <c r="I2259" s="10">
        <v>2005</v>
      </c>
      <c r="J2259" s="10" t="s">
        <v>16047</v>
      </c>
      <c r="K2259" s="10">
        <v>276</v>
      </c>
      <c r="L2259" s="10" t="s">
        <v>16130</v>
      </c>
      <c r="M2259" s="10">
        <v>1</v>
      </c>
      <c r="N2259" s="10" t="s">
        <v>16131</v>
      </c>
      <c r="O2259" s="10"/>
      <c r="P2259" s="10" t="s">
        <v>16132</v>
      </c>
      <c r="Q2259" s="10" t="s">
        <v>16133</v>
      </c>
      <c r="R2259" s="10" t="s">
        <v>16134</v>
      </c>
      <c r="S2259" s="10" t="s">
        <v>53</v>
      </c>
      <c r="T2259" s="10" t="s">
        <v>16135</v>
      </c>
    </row>
    <row r="2260" spans="1:20" ht="14.5" x14ac:dyDescent="0.35">
      <c r="A2260" s="10" t="s">
        <v>16136</v>
      </c>
      <c r="B2260" s="10" t="str">
        <f>"9780226660394"</f>
        <v>9780226660394</v>
      </c>
      <c r="C2260" s="10" t="str">
        <f>"9780226660417"</f>
        <v>9780226660417</v>
      </c>
      <c r="D2260" s="10" t="s">
        <v>13157</v>
      </c>
      <c r="E2260" s="10" t="s">
        <v>13157</v>
      </c>
      <c r="F2260" s="10" t="s">
        <v>324</v>
      </c>
      <c r="G2260" s="10" t="s">
        <v>6317</v>
      </c>
      <c r="H2260" s="11">
        <v>36996</v>
      </c>
      <c r="I2260" s="10">
        <v>2001</v>
      </c>
      <c r="J2260" s="10" t="s">
        <v>13157</v>
      </c>
      <c r="K2260" s="10">
        <v>200</v>
      </c>
      <c r="L2260" s="10" t="s">
        <v>16137</v>
      </c>
      <c r="M2260" s="10">
        <v>1</v>
      </c>
      <c r="N2260" s="10"/>
      <c r="O2260" s="10"/>
      <c r="P2260" s="10" t="s">
        <v>16138</v>
      </c>
      <c r="Q2260" s="10" t="s">
        <v>16139</v>
      </c>
      <c r="R2260" s="10" t="s">
        <v>16140</v>
      </c>
      <c r="S2260" s="10" t="s">
        <v>53</v>
      </c>
      <c r="T2260" s="10" t="s">
        <v>54</v>
      </c>
    </row>
    <row r="2261" spans="1:20" ht="14.5" x14ac:dyDescent="0.35">
      <c r="A2261" s="10" t="s">
        <v>16141</v>
      </c>
      <c r="B2261" s="10" t="str">
        <f>"9780226449906"</f>
        <v>9780226449906</v>
      </c>
      <c r="C2261" s="10" t="str">
        <f>"9780226449920"</f>
        <v>9780226449920</v>
      </c>
      <c r="D2261" s="10" t="s">
        <v>13157</v>
      </c>
      <c r="E2261" s="10" t="s">
        <v>13157</v>
      </c>
      <c r="F2261" s="10" t="s">
        <v>324</v>
      </c>
      <c r="G2261" s="10" t="s">
        <v>6317</v>
      </c>
      <c r="H2261" s="11">
        <v>40313</v>
      </c>
      <c r="I2261" s="10">
        <v>2010</v>
      </c>
      <c r="J2261" s="10" t="s">
        <v>13157</v>
      </c>
      <c r="K2261" s="10">
        <v>381</v>
      </c>
      <c r="L2261" s="10" t="s">
        <v>16142</v>
      </c>
      <c r="M2261" s="10">
        <v>1</v>
      </c>
      <c r="N2261" s="10"/>
      <c r="O2261" s="10"/>
      <c r="P2261" s="10" t="s">
        <v>16143</v>
      </c>
      <c r="Q2261" s="10" t="s">
        <v>16144</v>
      </c>
      <c r="R2261" s="10" t="s">
        <v>16145</v>
      </c>
      <c r="S2261" s="10" t="s">
        <v>53</v>
      </c>
      <c r="T2261" s="10" t="s">
        <v>54</v>
      </c>
    </row>
    <row r="2262" spans="1:20" ht="14.5" x14ac:dyDescent="0.35">
      <c r="A2262" s="10" t="s">
        <v>16146</v>
      </c>
      <c r="B2262" s="10" t="str">
        <f>"9780253354488"</f>
        <v>9780253354488</v>
      </c>
      <c r="C2262" s="10" t="str">
        <f>"9780253004277"</f>
        <v>9780253004277</v>
      </c>
      <c r="D2262" s="10" t="s">
        <v>2455</v>
      </c>
      <c r="E2262" s="10" t="s">
        <v>2455</v>
      </c>
      <c r="F2262" s="10" t="s">
        <v>3101</v>
      </c>
      <c r="G2262" s="10" t="s">
        <v>6317</v>
      </c>
      <c r="H2262" s="11">
        <v>40301</v>
      </c>
      <c r="I2262" s="10">
        <v>2010</v>
      </c>
      <c r="J2262" s="10" t="s">
        <v>2455</v>
      </c>
      <c r="K2262" s="10">
        <v>241</v>
      </c>
      <c r="L2262" s="10" t="s">
        <v>16147</v>
      </c>
      <c r="M2262" s="10">
        <v>1</v>
      </c>
      <c r="N2262" s="10" t="s">
        <v>15957</v>
      </c>
      <c r="O2262" s="10"/>
      <c r="P2262" s="10" t="s">
        <v>16148</v>
      </c>
      <c r="Q2262" s="10">
        <v>378.01499999999999</v>
      </c>
      <c r="R2262" s="10" t="s">
        <v>16149</v>
      </c>
      <c r="S2262" s="10" t="s">
        <v>53</v>
      </c>
      <c r="T2262" s="10" t="s">
        <v>54</v>
      </c>
    </row>
    <row r="2263" spans="1:20" ht="14.5" x14ac:dyDescent="0.35">
      <c r="A2263" s="10" t="s">
        <v>16150</v>
      </c>
      <c r="B2263" s="10" t="str">
        <f>"9781589014862"</f>
        <v>9781589014862</v>
      </c>
      <c r="C2263" s="10" t="str">
        <f>"9781589016217"</f>
        <v>9781589016217</v>
      </c>
      <c r="D2263" s="10" t="s">
        <v>16084</v>
      </c>
      <c r="E2263" s="10" t="s">
        <v>16084</v>
      </c>
      <c r="F2263" s="10" t="s">
        <v>88</v>
      </c>
      <c r="G2263" s="10" t="s">
        <v>6317</v>
      </c>
      <c r="H2263" s="11">
        <v>40001</v>
      </c>
      <c r="I2263" s="10">
        <v>2009</v>
      </c>
      <c r="J2263" s="10" t="s">
        <v>16084</v>
      </c>
      <c r="K2263" s="10">
        <v>192</v>
      </c>
      <c r="L2263" s="10" t="s">
        <v>16151</v>
      </c>
      <c r="M2263" s="10">
        <v>1</v>
      </c>
      <c r="N2263" s="10"/>
      <c r="O2263" s="10"/>
      <c r="P2263" s="10" t="s">
        <v>16152</v>
      </c>
      <c r="Q2263" s="10" t="s">
        <v>16153</v>
      </c>
      <c r="R2263" s="10"/>
      <c r="S2263" s="10" t="s">
        <v>53</v>
      </c>
      <c r="T2263" s="10" t="s">
        <v>54</v>
      </c>
    </row>
    <row r="2264" spans="1:20" ht="14.5" x14ac:dyDescent="0.35">
      <c r="A2264" s="10" t="s">
        <v>16154</v>
      </c>
      <c r="B2264" s="10" t="str">
        <f>"9780691142661"</f>
        <v>9780691142661</v>
      </c>
      <c r="C2264" s="10" t="str">
        <f>"9781400831524"</f>
        <v>9781400831524</v>
      </c>
      <c r="D2264" s="10" t="s">
        <v>14335</v>
      </c>
      <c r="E2264" s="10" t="s">
        <v>14336</v>
      </c>
      <c r="F2264" s="10" t="s">
        <v>2246</v>
      </c>
      <c r="G2264" s="10" t="s">
        <v>6317</v>
      </c>
      <c r="H2264" s="11">
        <v>40104</v>
      </c>
      <c r="I2264" s="10">
        <v>2010</v>
      </c>
      <c r="J2264" s="10" t="s">
        <v>14336</v>
      </c>
      <c r="K2264" s="10">
        <v>369</v>
      </c>
      <c r="L2264" s="10" t="s">
        <v>16155</v>
      </c>
      <c r="M2264" s="10">
        <v>1</v>
      </c>
      <c r="N2264" s="10"/>
      <c r="O2264" s="10"/>
      <c r="P2264" s="10" t="s">
        <v>16156</v>
      </c>
      <c r="Q2264" s="10">
        <v>1.2</v>
      </c>
      <c r="R2264" s="10"/>
      <c r="S2264" s="10" t="s">
        <v>53</v>
      </c>
      <c r="T2264" s="10" t="s">
        <v>6601</v>
      </c>
    </row>
    <row r="2265" spans="1:20" ht="14.5" x14ac:dyDescent="0.35">
      <c r="A2265" s="10" t="s">
        <v>16157</v>
      </c>
      <c r="B2265" s="10" t="str">
        <f>"9780691162133"</f>
        <v>9780691162133</v>
      </c>
      <c r="C2265" s="10" t="str">
        <f>"9781400831531"</f>
        <v>9781400831531</v>
      </c>
      <c r="D2265" s="10" t="s">
        <v>14335</v>
      </c>
      <c r="E2265" s="10" t="s">
        <v>14336</v>
      </c>
      <c r="F2265" s="10" t="s">
        <v>2246</v>
      </c>
      <c r="G2265" s="10" t="s">
        <v>6317</v>
      </c>
      <c r="H2265" s="11">
        <v>40118</v>
      </c>
      <c r="I2265" s="10">
        <v>2009</v>
      </c>
      <c r="J2265" s="10" t="s">
        <v>14336</v>
      </c>
      <c r="K2265" s="10">
        <v>568</v>
      </c>
      <c r="L2265" s="10" t="s">
        <v>16158</v>
      </c>
      <c r="M2265" s="10">
        <v>1</v>
      </c>
      <c r="N2265" s="10"/>
      <c r="O2265" s="10"/>
      <c r="P2265" s="10" t="s">
        <v>16159</v>
      </c>
      <c r="Q2265" s="10">
        <v>371.82</v>
      </c>
      <c r="R2265" s="10"/>
      <c r="S2265" s="10" t="s">
        <v>53</v>
      </c>
      <c r="T2265" s="10" t="s">
        <v>54</v>
      </c>
    </row>
    <row r="2266" spans="1:20" ht="14.5" x14ac:dyDescent="0.35">
      <c r="A2266" s="10" t="s">
        <v>16160</v>
      </c>
      <c r="B2266" s="10" t="str">
        <f>"9780691092935"</f>
        <v>9780691092935</v>
      </c>
      <c r="C2266" s="10" t="str">
        <f>"9781400832149"</f>
        <v>9781400832149</v>
      </c>
      <c r="D2266" s="10" t="s">
        <v>14335</v>
      </c>
      <c r="E2266" s="10" t="s">
        <v>14336</v>
      </c>
      <c r="F2266" s="10" t="s">
        <v>2246</v>
      </c>
      <c r="G2266" s="10" t="s">
        <v>6317</v>
      </c>
      <c r="H2266" s="11">
        <v>40188</v>
      </c>
      <c r="I2266" s="10">
        <v>2010</v>
      </c>
      <c r="J2266" s="10" t="s">
        <v>14336</v>
      </c>
      <c r="K2266" s="10">
        <v>296</v>
      </c>
      <c r="L2266" s="10" t="s">
        <v>16161</v>
      </c>
      <c r="M2266" s="10">
        <v>1</v>
      </c>
      <c r="N2266" s="10" t="s">
        <v>16162</v>
      </c>
      <c r="O2266" s="10">
        <v>66</v>
      </c>
      <c r="P2266" s="10" t="s">
        <v>16163</v>
      </c>
      <c r="Q2266" s="10" t="s">
        <v>16164</v>
      </c>
      <c r="R2266" s="10"/>
      <c r="S2266" s="10" t="s">
        <v>53</v>
      </c>
      <c r="T2266" s="10" t="s">
        <v>54</v>
      </c>
    </row>
    <row r="2267" spans="1:20" ht="14.5" x14ac:dyDescent="0.35">
      <c r="A2267" s="10" t="s">
        <v>16165</v>
      </c>
      <c r="B2267" s="10" t="str">
        <f>"9780761972594"</f>
        <v>9780761972594</v>
      </c>
      <c r="C2267" s="10" t="str">
        <f>"9780857026521"</f>
        <v>9780857026521</v>
      </c>
      <c r="D2267" s="10" t="s">
        <v>9325</v>
      </c>
      <c r="E2267" s="10" t="s">
        <v>9326</v>
      </c>
      <c r="F2267" s="10" t="s">
        <v>139</v>
      </c>
      <c r="G2267" s="10" t="s">
        <v>6352</v>
      </c>
      <c r="H2267" s="11">
        <v>37260</v>
      </c>
      <c r="I2267" s="10">
        <v>2002</v>
      </c>
      <c r="J2267" s="10" t="s">
        <v>9326</v>
      </c>
      <c r="K2267" s="10">
        <v>179</v>
      </c>
      <c r="L2267" s="10" t="s">
        <v>16166</v>
      </c>
      <c r="M2267" s="10">
        <v>1</v>
      </c>
      <c r="N2267" s="10" t="s">
        <v>9328</v>
      </c>
      <c r="O2267" s="10"/>
      <c r="P2267" s="10">
        <v>2001132897</v>
      </c>
      <c r="Q2267" s="10" t="s">
        <v>15558</v>
      </c>
      <c r="R2267" s="10" t="s">
        <v>16167</v>
      </c>
      <c r="S2267" s="10" t="s">
        <v>53</v>
      </c>
      <c r="T2267" s="10" t="s">
        <v>54</v>
      </c>
    </row>
    <row r="2268" spans="1:20" ht="14.5" x14ac:dyDescent="0.35">
      <c r="A2268" s="10" t="s">
        <v>16168</v>
      </c>
      <c r="B2268" s="10" t="str">
        <f>"9781412948210"</f>
        <v>9781412948210</v>
      </c>
      <c r="C2268" s="10" t="str">
        <f>"9780857026927"</f>
        <v>9780857026927</v>
      </c>
      <c r="D2268" s="10" t="s">
        <v>9325</v>
      </c>
      <c r="E2268" s="10" t="s">
        <v>9326</v>
      </c>
      <c r="F2268" s="10" t="s">
        <v>139</v>
      </c>
      <c r="G2268" s="10" t="s">
        <v>6352</v>
      </c>
      <c r="H2268" s="11">
        <v>39644</v>
      </c>
      <c r="I2268" s="10">
        <v>2008</v>
      </c>
      <c r="J2268" s="10" t="s">
        <v>9326</v>
      </c>
      <c r="K2268" s="10">
        <v>132</v>
      </c>
      <c r="L2268" s="10" t="s">
        <v>16169</v>
      </c>
      <c r="M2268" s="10">
        <v>1</v>
      </c>
      <c r="N2268" s="10"/>
      <c r="O2268" s="10"/>
      <c r="P2268" s="10" t="s">
        <v>16170</v>
      </c>
      <c r="Q2268" s="10">
        <v>362.70940999999999</v>
      </c>
      <c r="R2268" s="10" t="s">
        <v>16171</v>
      </c>
      <c r="S2268" s="10" t="s">
        <v>53</v>
      </c>
      <c r="T2268" s="10" t="s">
        <v>6363</v>
      </c>
    </row>
    <row r="2269" spans="1:20" ht="14.5" x14ac:dyDescent="0.35">
      <c r="A2269" s="10" t="s">
        <v>16172</v>
      </c>
      <c r="B2269" s="10" t="str">
        <f>"9781412945370"</f>
        <v>9781412945370</v>
      </c>
      <c r="C2269" s="10" t="str">
        <f>"9780857026828"</f>
        <v>9780857026828</v>
      </c>
      <c r="D2269" s="10" t="s">
        <v>9325</v>
      </c>
      <c r="E2269" s="10" t="s">
        <v>9326</v>
      </c>
      <c r="F2269" s="10" t="s">
        <v>139</v>
      </c>
      <c r="G2269" s="10" t="s">
        <v>6352</v>
      </c>
      <c r="H2269" s="11">
        <v>39968</v>
      </c>
      <c r="I2269" s="10">
        <v>2009</v>
      </c>
      <c r="J2269" s="10" t="s">
        <v>9326</v>
      </c>
      <c r="K2269" s="10">
        <v>126</v>
      </c>
      <c r="L2269" s="10" t="s">
        <v>16173</v>
      </c>
      <c r="M2269" s="10">
        <v>1</v>
      </c>
      <c r="N2269" s="10"/>
      <c r="O2269" s="10"/>
      <c r="P2269" s="10" t="s">
        <v>16174</v>
      </c>
      <c r="Q2269" s="10">
        <v>796.077</v>
      </c>
      <c r="R2269" s="10" t="s">
        <v>7101</v>
      </c>
      <c r="S2269" s="10" t="s">
        <v>53</v>
      </c>
      <c r="T2269" s="10" t="s">
        <v>6752</v>
      </c>
    </row>
    <row r="2270" spans="1:20" ht="14.5" x14ac:dyDescent="0.35">
      <c r="A2270" s="10" t="s">
        <v>16175</v>
      </c>
      <c r="B2270" s="10" t="str">
        <f>"9781412948302"</f>
        <v>9781412948302</v>
      </c>
      <c r="C2270" s="10" t="str">
        <f>"9780857026910"</f>
        <v>9780857026910</v>
      </c>
      <c r="D2270" s="10" t="s">
        <v>9325</v>
      </c>
      <c r="E2270" s="10" t="s">
        <v>9326</v>
      </c>
      <c r="F2270" s="10" t="s">
        <v>139</v>
      </c>
      <c r="G2270" s="10" t="s">
        <v>6352</v>
      </c>
      <c r="H2270" s="11">
        <v>39877</v>
      </c>
      <c r="I2270" s="10">
        <v>2009</v>
      </c>
      <c r="J2270" s="10" t="s">
        <v>9326</v>
      </c>
      <c r="K2270" s="10">
        <v>177</v>
      </c>
      <c r="L2270" s="10" t="s">
        <v>16176</v>
      </c>
      <c r="M2270" s="10">
        <v>1</v>
      </c>
      <c r="N2270" s="10" t="s">
        <v>16177</v>
      </c>
      <c r="O2270" s="10"/>
      <c r="P2270" s="10" t="s">
        <v>16178</v>
      </c>
      <c r="Q2270" s="10">
        <v>371.19</v>
      </c>
      <c r="R2270" s="10" t="s">
        <v>16179</v>
      </c>
      <c r="S2270" s="10" t="s">
        <v>53</v>
      </c>
      <c r="T2270" s="10" t="s">
        <v>54</v>
      </c>
    </row>
    <row r="2271" spans="1:20" ht="14.5" x14ac:dyDescent="0.35">
      <c r="A2271" s="10" t="s">
        <v>16180</v>
      </c>
      <c r="B2271" s="10" t="str">
        <f>"9781412947596"</f>
        <v>9781412947596</v>
      </c>
      <c r="C2271" s="10" t="str">
        <f>"9780857026903"</f>
        <v>9780857026903</v>
      </c>
      <c r="D2271" s="10" t="s">
        <v>9325</v>
      </c>
      <c r="E2271" s="10" t="s">
        <v>9326</v>
      </c>
      <c r="F2271" s="10" t="s">
        <v>139</v>
      </c>
      <c r="G2271" s="10" t="s">
        <v>6352</v>
      </c>
      <c r="H2271" s="11">
        <v>39717</v>
      </c>
      <c r="I2271" s="10">
        <v>2008</v>
      </c>
      <c r="J2271" s="10" t="s">
        <v>9326</v>
      </c>
      <c r="K2271" s="10">
        <v>152</v>
      </c>
      <c r="L2271" s="10" t="s">
        <v>16181</v>
      </c>
      <c r="M2271" s="10">
        <v>1</v>
      </c>
      <c r="N2271" s="10"/>
      <c r="O2271" s="10"/>
      <c r="P2271" s="10" t="s">
        <v>16182</v>
      </c>
      <c r="Q2271" s="10">
        <v>371.92</v>
      </c>
      <c r="R2271" s="10" t="s">
        <v>16183</v>
      </c>
      <c r="S2271" s="10" t="s">
        <v>53</v>
      </c>
      <c r="T2271" s="10" t="s">
        <v>54</v>
      </c>
    </row>
    <row r="2272" spans="1:20" ht="14.5" x14ac:dyDescent="0.35">
      <c r="A2272" s="10" t="s">
        <v>16184</v>
      </c>
      <c r="B2272" s="10" t="str">
        <f>"9780761963370"</f>
        <v>9780761963370</v>
      </c>
      <c r="C2272" s="10" t="str">
        <f>"9780857026453"</f>
        <v>9780857026453</v>
      </c>
      <c r="D2272" s="10" t="s">
        <v>9325</v>
      </c>
      <c r="E2272" s="10" t="s">
        <v>9326</v>
      </c>
      <c r="F2272" s="10" t="s">
        <v>139</v>
      </c>
      <c r="G2272" s="10" t="s">
        <v>6352</v>
      </c>
      <c r="H2272" s="11">
        <v>36927</v>
      </c>
      <c r="I2272" s="10">
        <v>2001</v>
      </c>
      <c r="J2272" s="10" t="s">
        <v>9326</v>
      </c>
      <c r="K2272" s="10">
        <v>145</v>
      </c>
      <c r="L2272" s="10" t="s">
        <v>16185</v>
      </c>
      <c r="M2272" s="10">
        <v>1</v>
      </c>
      <c r="N2272" s="10"/>
      <c r="O2272" s="10"/>
      <c r="P2272" s="10" t="s">
        <v>16186</v>
      </c>
      <c r="Q2272" s="10">
        <v>371.5</v>
      </c>
      <c r="R2272" s="10" t="s">
        <v>16187</v>
      </c>
      <c r="S2272" s="10" t="s">
        <v>53</v>
      </c>
      <c r="T2272" s="10" t="s">
        <v>54</v>
      </c>
    </row>
    <row r="2273" spans="1:20" ht="14.5" x14ac:dyDescent="0.35">
      <c r="A2273" s="10" t="s">
        <v>16188</v>
      </c>
      <c r="B2273" s="10" t="str">
        <f>"9781847870087"</f>
        <v>9781847870087</v>
      </c>
      <c r="C2273" s="10" t="str">
        <f>"9780857026965"</f>
        <v>9780857026965</v>
      </c>
      <c r="D2273" s="10" t="s">
        <v>9325</v>
      </c>
      <c r="E2273" s="10" t="s">
        <v>9326</v>
      </c>
      <c r="F2273" s="10" t="s">
        <v>139</v>
      </c>
      <c r="G2273" s="10" t="s">
        <v>6352</v>
      </c>
      <c r="H2273" s="11">
        <v>39744</v>
      </c>
      <c r="I2273" s="10">
        <v>2009</v>
      </c>
      <c r="J2273" s="10" t="s">
        <v>9326</v>
      </c>
      <c r="K2273" s="10">
        <v>185</v>
      </c>
      <c r="L2273" s="10" t="s">
        <v>16189</v>
      </c>
      <c r="M2273" s="10">
        <v>1</v>
      </c>
      <c r="N2273" s="10"/>
      <c r="O2273" s="10"/>
      <c r="P2273" s="10" t="s">
        <v>16190</v>
      </c>
      <c r="Q2273" s="10">
        <v>507.1241</v>
      </c>
      <c r="R2273" s="10" t="s">
        <v>16191</v>
      </c>
      <c r="S2273" s="10" t="s">
        <v>53</v>
      </c>
      <c r="T2273" s="10" t="s">
        <v>9608</v>
      </c>
    </row>
    <row r="2274" spans="1:20" ht="14.5" x14ac:dyDescent="0.35">
      <c r="A2274" s="10" t="s">
        <v>16192</v>
      </c>
      <c r="B2274" s="10" t="str">
        <f>"9781412946056"</f>
        <v>9781412946056</v>
      </c>
      <c r="C2274" s="10" t="str">
        <f>"9780857026866"</f>
        <v>9780857026866</v>
      </c>
      <c r="D2274" s="10" t="s">
        <v>9325</v>
      </c>
      <c r="E2274" s="10" t="s">
        <v>9326</v>
      </c>
      <c r="F2274" s="10" t="s">
        <v>139</v>
      </c>
      <c r="G2274" s="10" t="s">
        <v>6352</v>
      </c>
      <c r="H2274" s="11">
        <v>39827</v>
      </c>
      <c r="I2274" s="10">
        <v>2009</v>
      </c>
      <c r="J2274" s="10" t="s">
        <v>9326</v>
      </c>
      <c r="K2274" s="10">
        <v>121</v>
      </c>
      <c r="L2274" s="10" t="s">
        <v>16193</v>
      </c>
      <c r="M2274" s="10">
        <v>1</v>
      </c>
      <c r="N2274" s="10" t="s">
        <v>11973</v>
      </c>
      <c r="O2274" s="10"/>
      <c r="P2274" s="10" t="s">
        <v>16194</v>
      </c>
      <c r="Q2274" s="10">
        <v>371.94</v>
      </c>
      <c r="R2274" s="10" t="s">
        <v>16195</v>
      </c>
      <c r="S2274" s="10" t="s">
        <v>53</v>
      </c>
      <c r="T2274" s="10" t="s">
        <v>54</v>
      </c>
    </row>
    <row r="2275" spans="1:20" ht="14.5" x14ac:dyDescent="0.35">
      <c r="A2275" s="10" t="s">
        <v>16196</v>
      </c>
      <c r="B2275" s="10" t="str">
        <f>"9781412945264"</f>
        <v>9781412945264</v>
      </c>
      <c r="C2275" s="10" t="str">
        <f>"9780857026842"</f>
        <v>9780857026842</v>
      </c>
      <c r="D2275" s="10" t="s">
        <v>9325</v>
      </c>
      <c r="E2275" s="10" t="s">
        <v>9326</v>
      </c>
      <c r="F2275" s="10" t="s">
        <v>139</v>
      </c>
      <c r="G2275" s="10" t="s">
        <v>6352</v>
      </c>
      <c r="H2275" s="11">
        <v>39827</v>
      </c>
      <c r="I2275" s="10">
        <v>2009</v>
      </c>
      <c r="J2275" s="10" t="s">
        <v>9326</v>
      </c>
      <c r="K2275" s="10">
        <v>217</v>
      </c>
      <c r="L2275" s="10" t="s">
        <v>16197</v>
      </c>
      <c r="M2275" s="10">
        <v>1</v>
      </c>
      <c r="N2275" s="10"/>
      <c r="O2275" s="10"/>
      <c r="P2275" s="10" t="s">
        <v>16198</v>
      </c>
      <c r="Q2275" s="10">
        <v>370.15</v>
      </c>
      <c r="R2275" s="10" t="s">
        <v>16199</v>
      </c>
      <c r="S2275" s="10" t="s">
        <v>53</v>
      </c>
      <c r="T2275" s="10" t="s">
        <v>54</v>
      </c>
    </row>
    <row r="2276" spans="1:20" ht="14.5" x14ac:dyDescent="0.35">
      <c r="A2276" s="10" t="s">
        <v>16200</v>
      </c>
      <c r="B2276" s="10" t="str">
        <f>"9781412928953"</f>
        <v>9781412928953</v>
      </c>
      <c r="C2276" s="10" t="str">
        <f>"9780857026712"</f>
        <v>9780857026712</v>
      </c>
      <c r="D2276" s="10" t="s">
        <v>9325</v>
      </c>
      <c r="E2276" s="10" t="s">
        <v>9326</v>
      </c>
      <c r="F2276" s="10" t="s">
        <v>139</v>
      </c>
      <c r="G2276" s="10" t="s">
        <v>6352</v>
      </c>
      <c r="H2276" s="11">
        <v>39479</v>
      </c>
      <c r="I2276" s="10">
        <v>2008</v>
      </c>
      <c r="J2276" s="10" t="s">
        <v>9326</v>
      </c>
      <c r="K2276" s="10">
        <v>100</v>
      </c>
      <c r="L2276" s="10" t="s">
        <v>16201</v>
      </c>
      <c r="M2276" s="10">
        <v>2</v>
      </c>
      <c r="N2276" s="10" t="s">
        <v>11973</v>
      </c>
      <c r="O2276" s="10"/>
      <c r="P2276" s="10" t="s">
        <v>16202</v>
      </c>
      <c r="Q2276" s="10">
        <v>371.94</v>
      </c>
      <c r="R2276" s="10" t="s">
        <v>16203</v>
      </c>
      <c r="S2276" s="10" t="s">
        <v>53</v>
      </c>
      <c r="T2276" s="10" t="s">
        <v>6640</v>
      </c>
    </row>
    <row r="2277" spans="1:20" ht="14.5" x14ac:dyDescent="0.35">
      <c r="A2277" s="10" t="s">
        <v>16204</v>
      </c>
      <c r="B2277" s="10" t="str">
        <f>"9781412935340"</f>
        <v>9781412935340</v>
      </c>
      <c r="C2277" s="10" t="str">
        <f>"9780857026781"</f>
        <v>9780857026781</v>
      </c>
      <c r="D2277" s="10" t="s">
        <v>9325</v>
      </c>
      <c r="E2277" s="10" t="s">
        <v>9326</v>
      </c>
      <c r="F2277" s="10" t="s">
        <v>139</v>
      </c>
      <c r="G2277" s="10" t="s">
        <v>6352</v>
      </c>
      <c r="H2277" s="11">
        <v>39862</v>
      </c>
      <c r="I2277" s="10">
        <v>2009</v>
      </c>
      <c r="J2277" s="10" t="s">
        <v>9326</v>
      </c>
      <c r="K2277" s="10">
        <v>201</v>
      </c>
      <c r="L2277" s="10" t="s">
        <v>16205</v>
      </c>
      <c r="M2277" s="10">
        <v>2</v>
      </c>
      <c r="N2277" s="10" t="s">
        <v>11973</v>
      </c>
      <c r="O2277" s="10"/>
      <c r="P2277" s="10" t="s">
        <v>16206</v>
      </c>
      <c r="Q2277" s="10">
        <v>152.4</v>
      </c>
      <c r="R2277" s="10" t="s">
        <v>16207</v>
      </c>
      <c r="S2277" s="10" t="s">
        <v>53</v>
      </c>
      <c r="T2277" s="10" t="s">
        <v>483</v>
      </c>
    </row>
    <row r="2278" spans="1:20" ht="14.5" x14ac:dyDescent="0.35">
      <c r="A2278" s="10" t="s">
        <v>16208</v>
      </c>
      <c r="B2278" s="10" t="str">
        <f>"9781412935357"</f>
        <v>9781412935357</v>
      </c>
      <c r="C2278" s="10" t="str">
        <f>"9780857026798"</f>
        <v>9780857026798</v>
      </c>
      <c r="D2278" s="10" t="s">
        <v>9325</v>
      </c>
      <c r="E2278" s="10" t="s">
        <v>9326</v>
      </c>
      <c r="F2278" s="10" t="s">
        <v>139</v>
      </c>
      <c r="G2278" s="10" t="s">
        <v>6352</v>
      </c>
      <c r="H2278" s="11">
        <v>39801</v>
      </c>
      <c r="I2278" s="10">
        <v>2009</v>
      </c>
      <c r="J2278" s="10" t="s">
        <v>9326</v>
      </c>
      <c r="K2278" s="10">
        <v>169</v>
      </c>
      <c r="L2278" s="10" t="s">
        <v>16209</v>
      </c>
      <c r="M2278" s="10">
        <v>2</v>
      </c>
      <c r="N2278" s="10" t="s">
        <v>11973</v>
      </c>
      <c r="O2278" s="10"/>
      <c r="P2278" s="10" t="s">
        <v>16210</v>
      </c>
      <c r="Q2278" s="10">
        <v>370.15</v>
      </c>
      <c r="R2278" s="10" t="s">
        <v>16211</v>
      </c>
      <c r="S2278" s="10" t="s">
        <v>53</v>
      </c>
      <c r="T2278" s="10" t="s">
        <v>6492</v>
      </c>
    </row>
    <row r="2279" spans="1:20" ht="14.5" x14ac:dyDescent="0.35">
      <c r="A2279" s="10" t="s">
        <v>16212</v>
      </c>
      <c r="B2279" s="10" t="str">
        <f>"9780804762533"</f>
        <v>9780804762533</v>
      </c>
      <c r="C2279" s="10" t="str">
        <f>"9780804773386"</f>
        <v>9780804773386</v>
      </c>
      <c r="D2279" s="10" t="s">
        <v>16213</v>
      </c>
      <c r="E2279" s="10" t="s">
        <v>16213</v>
      </c>
      <c r="F2279" s="10" t="s">
        <v>16214</v>
      </c>
      <c r="G2279" s="10" t="s">
        <v>6317</v>
      </c>
      <c r="H2279" s="11">
        <v>40149</v>
      </c>
      <c r="I2279" s="10">
        <v>2009</v>
      </c>
      <c r="J2279" s="10" t="s">
        <v>16213</v>
      </c>
      <c r="K2279" s="10">
        <v>280</v>
      </c>
      <c r="L2279" s="10" t="s">
        <v>16215</v>
      </c>
      <c r="M2279" s="10">
        <v>1</v>
      </c>
      <c r="N2279" s="10"/>
      <c r="O2279" s="10"/>
      <c r="P2279" s="10" t="s">
        <v>12453</v>
      </c>
      <c r="Q2279" s="10" t="s">
        <v>16216</v>
      </c>
      <c r="R2279" s="10" t="s">
        <v>16217</v>
      </c>
      <c r="S2279" s="10" t="s">
        <v>53</v>
      </c>
      <c r="T2279" s="10" t="s">
        <v>54</v>
      </c>
    </row>
    <row r="2280" spans="1:20" ht="14.5" x14ac:dyDescent="0.35">
      <c r="A2280" s="10" t="s">
        <v>16218</v>
      </c>
      <c r="B2280" s="10" t="str">
        <f>"9780415487443"</f>
        <v>9780415487443</v>
      </c>
      <c r="C2280" s="10" t="str">
        <f>"9780203881897"</f>
        <v>9780203881897</v>
      </c>
      <c r="D2280" s="10" t="s">
        <v>6350</v>
      </c>
      <c r="E2280" s="10" t="s">
        <v>6351</v>
      </c>
      <c r="F2280" s="10" t="s">
        <v>748</v>
      </c>
      <c r="G2280" s="10" t="s">
        <v>6352</v>
      </c>
      <c r="H2280" s="11">
        <v>40380</v>
      </c>
      <c r="I2280" s="10">
        <v>2010</v>
      </c>
      <c r="J2280" s="10" t="s">
        <v>6351</v>
      </c>
      <c r="K2280" s="10">
        <v>246</v>
      </c>
      <c r="L2280" s="10" t="s">
        <v>16219</v>
      </c>
      <c r="M2280" s="10">
        <v>1</v>
      </c>
      <c r="N2280" s="10" t="s">
        <v>14444</v>
      </c>
      <c r="O2280" s="10"/>
      <c r="P2280" s="10" t="s">
        <v>16220</v>
      </c>
      <c r="Q2280" s="10">
        <v>796.08299999999997</v>
      </c>
      <c r="R2280" s="10" t="s">
        <v>16221</v>
      </c>
      <c r="S2280" s="10" t="s">
        <v>53</v>
      </c>
      <c r="T2280" s="10" t="s">
        <v>7340</v>
      </c>
    </row>
    <row r="2281" spans="1:20" ht="14.5" x14ac:dyDescent="0.35">
      <c r="A2281" s="10" t="s">
        <v>16222</v>
      </c>
      <c r="B2281" s="10" t="str">
        <f>"9780805859485"</f>
        <v>9780805859485</v>
      </c>
      <c r="C2281" s="10" t="str">
        <f>"9780203874844"</f>
        <v>9780203874844</v>
      </c>
      <c r="D2281" s="10" t="s">
        <v>6350</v>
      </c>
      <c r="E2281" s="10" t="s">
        <v>6351</v>
      </c>
      <c r="F2281" s="10" t="s">
        <v>70</v>
      </c>
      <c r="G2281" s="10" t="s">
        <v>6317</v>
      </c>
      <c r="H2281" s="11">
        <v>40325</v>
      </c>
      <c r="I2281" s="10">
        <v>2010</v>
      </c>
      <c r="J2281" s="10" t="s">
        <v>6353</v>
      </c>
      <c r="K2281" s="10">
        <v>534</v>
      </c>
      <c r="L2281" s="10" t="s">
        <v>16223</v>
      </c>
      <c r="M2281" s="10">
        <v>1</v>
      </c>
      <c r="N2281" s="10"/>
      <c r="O2281" s="10"/>
      <c r="P2281" s="10" t="s">
        <v>16224</v>
      </c>
      <c r="Q2281" s="10">
        <v>370</v>
      </c>
      <c r="R2281" s="10" t="s">
        <v>16225</v>
      </c>
      <c r="S2281" s="10" t="s">
        <v>53</v>
      </c>
      <c r="T2281" s="10" t="s">
        <v>54</v>
      </c>
    </row>
    <row r="2282" spans="1:20" ht="14.5" x14ac:dyDescent="0.35">
      <c r="A2282" s="10" t="s">
        <v>16226</v>
      </c>
      <c r="B2282" s="10" t="str">
        <f>"9780415564991"</f>
        <v>9780415564991</v>
      </c>
      <c r="C2282" s="10" t="str">
        <f>"9780203851791"</f>
        <v>9780203851791</v>
      </c>
      <c r="D2282" s="10" t="s">
        <v>6350</v>
      </c>
      <c r="E2282" s="10" t="s">
        <v>6351</v>
      </c>
      <c r="F2282" s="10" t="s">
        <v>748</v>
      </c>
      <c r="G2282" s="10" t="s">
        <v>6352</v>
      </c>
      <c r="H2282" s="11">
        <v>40368</v>
      </c>
      <c r="I2282" s="10">
        <v>2010</v>
      </c>
      <c r="J2282" s="10" t="s">
        <v>6351</v>
      </c>
      <c r="K2282" s="10">
        <v>132</v>
      </c>
      <c r="L2282" s="10" t="s">
        <v>16227</v>
      </c>
      <c r="M2282" s="10">
        <v>2</v>
      </c>
      <c r="N2282" s="10" t="s">
        <v>16228</v>
      </c>
      <c r="O2282" s="10"/>
      <c r="P2282" s="10" t="s">
        <v>16229</v>
      </c>
      <c r="Q2282" s="10">
        <v>372.21094099999999</v>
      </c>
      <c r="R2282" s="10" t="s">
        <v>16230</v>
      </c>
      <c r="S2282" s="10" t="s">
        <v>53</v>
      </c>
      <c r="T2282" s="10" t="s">
        <v>54</v>
      </c>
    </row>
    <row r="2283" spans="1:20" ht="14.5" x14ac:dyDescent="0.35">
      <c r="A2283" s="10" t="s">
        <v>16231</v>
      </c>
      <c r="B2283" s="10" t="str">
        <f>"9780415957113"</f>
        <v>9780415957113</v>
      </c>
      <c r="C2283" s="10" t="str">
        <f>"9780203936450"</f>
        <v>9780203936450</v>
      </c>
      <c r="D2283" s="10" t="s">
        <v>6350</v>
      </c>
      <c r="E2283" s="10" t="s">
        <v>6351</v>
      </c>
      <c r="F2283" s="10" t="s">
        <v>748</v>
      </c>
      <c r="G2283" s="10" t="s">
        <v>6352</v>
      </c>
      <c r="H2283" s="11">
        <v>39161</v>
      </c>
      <c r="I2283" s="10">
        <v>2007</v>
      </c>
      <c r="J2283" s="10" t="s">
        <v>6351</v>
      </c>
      <c r="K2283" s="10">
        <v>223</v>
      </c>
      <c r="L2283" s="10" t="s">
        <v>16232</v>
      </c>
      <c r="M2283" s="10">
        <v>1</v>
      </c>
      <c r="N2283" s="10"/>
      <c r="O2283" s="10"/>
      <c r="P2283" s="10" t="s">
        <v>16233</v>
      </c>
      <c r="Q2283" s="10" t="s">
        <v>7335</v>
      </c>
      <c r="R2283" s="10" t="s">
        <v>16234</v>
      </c>
      <c r="S2283" s="10" t="s">
        <v>53</v>
      </c>
      <c r="T2283" s="10" t="s">
        <v>54</v>
      </c>
    </row>
    <row r="2284" spans="1:20" ht="14.5" x14ac:dyDescent="0.35">
      <c r="A2284" s="10" t="s">
        <v>16235</v>
      </c>
      <c r="B2284" s="10" t="str">
        <f>"9781849509763"</f>
        <v>9781849509763</v>
      </c>
      <c r="C2284" s="10" t="str">
        <f>"9781849509770"</f>
        <v>9781849509770</v>
      </c>
      <c r="D2284" s="10" t="s">
        <v>8699</v>
      </c>
      <c r="E2284" s="10" t="s">
        <v>8699</v>
      </c>
      <c r="F2284" s="10" t="s">
        <v>559</v>
      </c>
      <c r="G2284" s="10" t="s">
        <v>6352</v>
      </c>
      <c r="H2284" s="11">
        <v>40310</v>
      </c>
      <c r="I2284" s="10">
        <v>2010</v>
      </c>
      <c r="J2284" s="10" t="s">
        <v>8699</v>
      </c>
      <c r="K2284" s="10">
        <v>320</v>
      </c>
      <c r="L2284" s="10" t="s">
        <v>16236</v>
      </c>
      <c r="M2284" s="10">
        <v>1</v>
      </c>
      <c r="N2284" s="10" t="s">
        <v>14542</v>
      </c>
      <c r="O2284" s="10">
        <v>17</v>
      </c>
      <c r="P2284" s="10" t="s">
        <v>16237</v>
      </c>
      <c r="Q2284" s="10">
        <v>370.95</v>
      </c>
      <c r="R2284" s="10" t="s">
        <v>16238</v>
      </c>
      <c r="S2284" s="10" t="s">
        <v>53</v>
      </c>
      <c r="T2284" s="10" t="s">
        <v>54</v>
      </c>
    </row>
    <row r="2285" spans="1:20" ht="14.5" x14ac:dyDescent="0.35">
      <c r="A2285" s="10" t="s">
        <v>16239</v>
      </c>
      <c r="B2285" s="10" t="str">
        <f>"9789056296001"</f>
        <v>9789056296001</v>
      </c>
      <c r="C2285" s="10" t="str">
        <f>"9789048511792"</f>
        <v>9789048511792</v>
      </c>
      <c r="D2285" s="10" t="s">
        <v>13287</v>
      </c>
      <c r="E2285" s="10" t="s">
        <v>13287</v>
      </c>
      <c r="F2285" s="10" t="s">
        <v>1818</v>
      </c>
      <c r="G2285" s="10" t="s">
        <v>9233</v>
      </c>
      <c r="H2285" s="11">
        <v>39814</v>
      </c>
      <c r="I2285" s="10">
        <v>2010</v>
      </c>
      <c r="J2285" s="10" t="s">
        <v>13443</v>
      </c>
      <c r="K2285" s="10">
        <v>58</v>
      </c>
      <c r="L2285" s="10" t="s">
        <v>16240</v>
      </c>
      <c r="M2285" s="10">
        <v>1</v>
      </c>
      <c r="N2285" s="10" t="s">
        <v>16241</v>
      </c>
      <c r="O2285" s="10"/>
      <c r="P2285" s="10" t="s">
        <v>16242</v>
      </c>
      <c r="Q2285" s="10">
        <v>839.31</v>
      </c>
      <c r="R2285" s="10" t="s">
        <v>16243</v>
      </c>
      <c r="S2285" s="10" t="s">
        <v>3107</v>
      </c>
      <c r="T2285" s="10" t="s">
        <v>6568</v>
      </c>
    </row>
    <row r="2286" spans="1:20" ht="14.5" x14ac:dyDescent="0.35">
      <c r="A2286" s="10" t="s">
        <v>16244</v>
      </c>
      <c r="B2286" s="10" t="str">
        <f>"9789056296032"</f>
        <v>9789056296032</v>
      </c>
      <c r="C2286" s="10" t="str">
        <f>"9789048511839"</f>
        <v>9789048511839</v>
      </c>
      <c r="D2286" s="10" t="s">
        <v>13287</v>
      </c>
      <c r="E2286" s="10" t="s">
        <v>13287</v>
      </c>
      <c r="F2286" s="10" t="s">
        <v>1818</v>
      </c>
      <c r="G2286" s="10" t="s">
        <v>9233</v>
      </c>
      <c r="H2286" s="11">
        <v>39814</v>
      </c>
      <c r="I2286" s="10">
        <v>2009</v>
      </c>
      <c r="J2286" s="10" t="s">
        <v>13443</v>
      </c>
      <c r="K2286" s="10">
        <v>24</v>
      </c>
      <c r="L2286" s="10" t="s">
        <v>16245</v>
      </c>
      <c r="M2286" s="10">
        <v>1</v>
      </c>
      <c r="N2286" s="10" t="s">
        <v>16246</v>
      </c>
      <c r="O2286" s="10" t="s">
        <v>16247</v>
      </c>
      <c r="P2286" s="10" t="s">
        <v>16248</v>
      </c>
      <c r="Q2286" s="10">
        <v>900</v>
      </c>
      <c r="R2286" s="10" t="s">
        <v>16249</v>
      </c>
      <c r="S2286" s="10" t="s">
        <v>3107</v>
      </c>
      <c r="T2286" s="10" t="s">
        <v>16250</v>
      </c>
    </row>
    <row r="2287" spans="1:20" ht="14.5" x14ac:dyDescent="0.35">
      <c r="A2287" s="10" t="s">
        <v>16251</v>
      </c>
      <c r="B2287" s="10" t="str">
        <f>"9780521887014"</f>
        <v>9780521887014</v>
      </c>
      <c r="C2287" s="10" t="str">
        <f>"9780511767050"</f>
        <v>9780511767050</v>
      </c>
      <c r="D2287" s="10" t="s">
        <v>397</v>
      </c>
      <c r="E2287" s="10" t="s">
        <v>397</v>
      </c>
      <c r="F2287" s="10" t="s">
        <v>612</v>
      </c>
      <c r="G2287" s="10" t="s">
        <v>6352</v>
      </c>
      <c r="H2287" s="11">
        <v>40185</v>
      </c>
      <c r="I2287" s="10">
        <v>2010</v>
      </c>
      <c r="J2287" s="10" t="s">
        <v>397</v>
      </c>
      <c r="K2287" s="10">
        <v>330</v>
      </c>
      <c r="L2287" s="10" t="s">
        <v>16252</v>
      </c>
      <c r="M2287" s="10">
        <v>1</v>
      </c>
      <c r="N2287" s="10"/>
      <c r="O2287" s="10"/>
      <c r="P2287" s="10" t="s">
        <v>16253</v>
      </c>
      <c r="Q2287" s="10">
        <v>372.6</v>
      </c>
      <c r="R2287" s="10" t="s">
        <v>16254</v>
      </c>
      <c r="S2287" s="10" t="s">
        <v>53</v>
      </c>
      <c r="T2287" s="10" t="s">
        <v>54</v>
      </c>
    </row>
    <row r="2288" spans="1:20" ht="14.5" x14ac:dyDescent="0.35">
      <c r="A2288" s="10" t="s">
        <v>16255</v>
      </c>
      <c r="B2288" s="10" t="str">
        <f>"9781847692177"</f>
        <v>9781847692177</v>
      </c>
      <c r="C2288" s="10" t="str">
        <f>"9781847692184"</f>
        <v>9781847692184</v>
      </c>
      <c r="D2288" s="10" t="s">
        <v>8394</v>
      </c>
      <c r="E2288" s="10" t="s">
        <v>8395</v>
      </c>
      <c r="F2288" s="10" t="s">
        <v>10236</v>
      </c>
      <c r="G2288" s="10" t="s">
        <v>6352</v>
      </c>
      <c r="H2288" s="11">
        <v>40106</v>
      </c>
      <c r="I2288" s="10">
        <v>2009</v>
      </c>
      <c r="J2288" s="10" t="s">
        <v>8395</v>
      </c>
      <c r="K2288" s="10">
        <v>304</v>
      </c>
      <c r="L2288" s="10" t="s">
        <v>16256</v>
      </c>
      <c r="M2288" s="10">
        <v>1</v>
      </c>
      <c r="N2288" s="10" t="s">
        <v>8880</v>
      </c>
      <c r="O2288" s="10">
        <v>16</v>
      </c>
      <c r="P2288" s="10" t="s">
        <v>16257</v>
      </c>
      <c r="Q2288" s="10">
        <v>418.00709999999998</v>
      </c>
      <c r="R2288" s="10" t="s">
        <v>16258</v>
      </c>
      <c r="S2288" s="10" t="s">
        <v>53</v>
      </c>
      <c r="T2288" s="10" t="s">
        <v>6616</v>
      </c>
    </row>
    <row r="2289" spans="1:20" ht="14.5" x14ac:dyDescent="0.35">
      <c r="A2289" s="10" t="s">
        <v>16259</v>
      </c>
      <c r="B2289" s="10" t="str">
        <f>"9781847692115"</f>
        <v>9781847692115</v>
      </c>
      <c r="C2289" s="10" t="str">
        <f>"9781847692122"</f>
        <v>9781847692122</v>
      </c>
      <c r="D2289" s="10" t="s">
        <v>8394</v>
      </c>
      <c r="E2289" s="10" t="s">
        <v>8395</v>
      </c>
      <c r="F2289" s="10" t="s">
        <v>10236</v>
      </c>
      <c r="G2289" s="10" t="s">
        <v>6352</v>
      </c>
      <c r="H2289" s="11">
        <v>40114</v>
      </c>
      <c r="I2289" s="10">
        <v>2009</v>
      </c>
      <c r="J2289" s="10" t="s">
        <v>8395</v>
      </c>
      <c r="K2289" s="10">
        <v>324</v>
      </c>
      <c r="L2289" s="10" t="s">
        <v>16260</v>
      </c>
      <c r="M2289" s="10">
        <v>1</v>
      </c>
      <c r="N2289" s="10" t="s">
        <v>8403</v>
      </c>
      <c r="O2289" s="10">
        <v>74</v>
      </c>
      <c r="P2289" s="10"/>
      <c r="Q2289" s="10">
        <v>371.8290073</v>
      </c>
      <c r="R2289" s="10" t="s">
        <v>15843</v>
      </c>
      <c r="S2289" s="10" t="s">
        <v>53</v>
      </c>
      <c r="T2289" s="10" t="s">
        <v>54</v>
      </c>
    </row>
    <row r="2290" spans="1:20" ht="14.5" x14ac:dyDescent="0.35">
      <c r="A2290" s="10" t="s">
        <v>16261</v>
      </c>
      <c r="B2290" s="10" t="str">
        <f>"9781847692054"</f>
        <v>9781847692054</v>
      </c>
      <c r="C2290" s="10" t="str">
        <f>"9781847692061"</f>
        <v>9781847692061</v>
      </c>
      <c r="D2290" s="10" t="s">
        <v>8394</v>
      </c>
      <c r="E2290" s="10" t="s">
        <v>8395</v>
      </c>
      <c r="F2290" s="10" t="s">
        <v>10236</v>
      </c>
      <c r="G2290" s="10" t="s">
        <v>6352</v>
      </c>
      <c r="H2290" s="11">
        <v>40071</v>
      </c>
      <c r="I2290" s="10">
        <v>2009</v>
      </c>
      <c r="J2290" s="10" t="s">
        <v>8395</v>
      </c>
      <c r="K2290" s="10">
        <v>198</v>
      </c>
      <c r="L2290" s="10" t="s">
        <v>16262</v>
      </c>
      <c r="M2290" s="10">
        <v>1</v>
      </c>
      <c r="N2290" s="10" t="s">
        <v>8403</v>
      </c>
      <c r="O2290" s="10">
        <v>73</v>
      </c>
      <c r="P2290" s="10" t="s">
        <v>16263</v>
      </c>
      <c r="Q2290" s="10" t="s">
        <v>16264</v>
      </c>
      <c r="R2290" s="10" t="s">
        <v>16265</v>
      </c>
      <c r="S2290" s="10" t="s">
        <v>53</v>
      </c>
      <c r="T2290" s="10" t="s">
        <v>7425</v>
      </c>
    </row>
    <row r="2291" spans="1:20" ht="14.5" x14ac:dyDescent="0.35">
      <c r="A2291" s="10" t="s">
        <v>16266</v>
      </c>
      <c r="B2291" s="10" t="str">
        <f>"9781847692634"</f>
        <v>9781847692634</v>
      </c>
      <c r="C2291" s="10" t="str">
        <f>"9781847692641"</f>
        <v>9781847692641</v>
      </c>
      <c r="D2291" s="10" t="s">
        <v>8394</v>
      </c>
      <c r="E2291" s="10" t="s">
        <v>8395</v>
      </c>
      <c r="F2291" s="10" t="s">
        <v>10236</v>
      </c>
      <c r="G2291" s="10" t="s">
        <v>6352</v>
      </c>
      <c r="H2291" s="11">
        <v>40288</v>
      </c>
      <c r="I2291" s="10">
        <v>2010</v>
      </c>
      <c r="J2291" s="10" t="s">
        <v>8395</v>
      </c>
      <c r="K2291" s="10">
        <v>235</v>
      </c>
      <c r="L2291" s="10" t="s">
        <v>16267</v>
      </c>
      <c r="M2291" s="10">
        <v>1</v>
      </c>
      <c r="N2291" s="10" t="s">
        <v>14500</v>
      </c>
      <c r="O2291" s="10">
        <v>8</v>
      </c>
      <c r="P2291" s="10" t="s">
        <v>16268</v>
      </c>
      <c r="Q2291" s="10" t="s">
        <v>16269</v>
      </c>
      <c r="R2291" s="10" t="s">
        <v>16270</v>
      </c>
      <c r="S2291" s="10" t="s">
        <v>53</v>
      </c>
      <c r="T2291" s="10" t="s">
        <v>6472</v>
      </c>
    </row>
    <row r="2292" spans="1:20" ht="14.5" x14ac:dyDescent="0.35">
      <c r="A2292" s="10" t="s">
        <v>16271</v>
      </c>
      <c r="B2292" s="10" t="str">
        <f>"9780415875424"</f>
        <v>9780415875424</v>
      </c>
      <c r="C2292" s="10" t="str">
        <f>"9780203852064"</f>
        <v>9780203852064</v>
      </c>
      <c r="D2292" s="10" t="s">
        <v>6350</v>
      </c>
      <c r="E2292" s="10" t="s">
        <v>6351</v>
      </c>
      <c r="F2292" s="10" t="s">
        <v>139</v>
      </c>
      <c r="G2292" s="10" t="s">
        <v>6352</v>
      </c>
      <c r="H2292" s="11">
        <v>40345</v>
      </c>
      <c r="I2292" s="10">
        <v>2010</v>
      </c>
      <c r="J2292" s="10" t="s">
        <v>6353</v>
      </c>
      <c r="K2292" s="10">
        <v>254</v>
      </c>
      <c r="L2292" s="10" t="s">
        <v>16272</v>
      </c>
      <c r="M2292" s="10">
        <v>1</v>
      </c>
      <c r="N2292" s="10"/>
      <c r="O2292" s="10"/>
      <c r="P2292" s="10" t="s">
        <v>16273</v>
      </c>
      <c r="Q2292" s="10" t="s">
        <v>11314</v>
      </c>
      <c r="R2292" s="10" t="s">
        <v>7982</v>
      </c>
      <c r="S2292" s="10" t="s">
        <v>53</v>
      </c>
      <c r="T2292" s="10" t="s">
        <v>54</v>
      </c>
    </row>
    <row r="2293" spans="1:20" ht="14.5" x14ac:dyDescent="0.35">
      <c r="A2293" s="10" t="s">
        <v>16274</v>
      </c>
      <c r="B2293" s="10" t="str">
        <f>"9780415878500"</f>
        <v>9780415878500</v>
      </c>
      <c r="C2293" s="10" t="str">
        <f>"9780203852057"</f>
        <v>9780203852057</v>
      </c>
      <c r="D2293" s="10" t="s">
        <v>6350</v>
      </c>
      <c r="E2293" s="10" t="s">
        <v>6351</v>
      </c>
      <c r="F2293" s="10" t="s">
        <v>139</v>
      </c>
      <c r="G2293" s="10" t="s">
        <v>6352</v>
      </c>
      <c r="H2293" s="11">
        <v>40337</v>
      </c>
      <c r="I2293" s="10">
        <v>2010</v>
      </c>
      <c r="J2293" s="10" t="s">
        <v>6353</v>
      </c>
      <c r="K2293" s="10">
        <v>315</v>
      </c>
      <c r="L2293" s="10" t="s">
        <v>16275</v>
      </c>
      <c r="M2293" s="10">
        <v>1</v>
      </c>
      <c r="N2293" s="10" t="s">
        <v>6954</v>
      </c>
      <c r="O2293" s="10"/>
      <c r="P2293" s="10" t="s">
        <v>16276</v>
      </c>
      <c r="Q2293" s="10">
        <v>371.33</v>
      </c>
      <c r="R2293" s="10" t="s">
        <v>15587</v>
      </c>
      <c r="S2293" s="10" t="s">
        <v>53</v>
      </c>
      <c r="T2293" s="10" t="s">
        <v>54</v>
      </c>
    </row>
    <row r="2294" spans="1:20" ht="14.5" x14ac:dyDescent="0.35">
      <c r="A2294" s="10" t="s">
        <v>16277</v>
      </c>
      <c r="B2294" s="10" t="str">
        <f>"9780415876483"</f>
        <v>9780415876483</v>
      </c>
      <c r="C2294" s="10" t="str">
        <f>"9780203849262"</f>
        <v>9780203849262</v>
      </c>
      <c r="D2294" s="10" t="s">
        <v>6350</v>
      </c>
      <c r="E2294" s="10" t="s">
        <v>6351</v>
      </c>
      <c r="F2294" s="10" t="s">
        <v>748</v>
      </c>
      <c r="G2294" s="10" t="s">
        <v>6352</v>
      </c>
      <c r="H2294" s="11">
        <v>40352</v>
      </c>
      <c r="I2294" s="10">
        <v>2010</v>
      </c>
      <c r="J2294" s="10" t="s">
        <v>6351</v>
      </c>
      <c r="K2294" s="10">
        <v>298</v>
      </c>
      <c r="L2294" s="10" t="s">
        <v>16278</v>
      </c>
      <c r="M2294" s="10">
        <v>1</v>
      </c>
      <c r="N2294" s="10" t="s">
        <v>14416</v>
      </c>
      <c r="O2294" s="10"/>
      <c r="P2294" s="10" t="s">
        <v>16279</v>
      </c>
      <c r="Q2294" s="10" t="s">
        <v>10232</v>
      </c>
      <c r="R2294" s="10" t="s">
        <v>16280</v>
      </c>
      <c r="S2294" s="10" t="s">
        <v>53</v>
      </c>
      <c r="T2294" s="10" t="s">
        <v>54</v>
      </c>
    </row>
    <row r="2295" spans="1:20" ht="14.5" x14ac:dyDescent="0.35">
      <c r="A2295" s="10" t="s">
        <v>16281</v>
      </c>
      <c r="B2295" s="10" t="str">
        <f>"9780415492966"</f>
        <v>9780415492966</v>
      </c>
      <c r="C2295" s="10" t="str">
        <f>"9780203849088"</f>
        <v>9780203849088</v>
      </c>
      <c r="D2295" s="10" t="s">
        <v>6350</v>
      </c>
      <c r="E2295" s="10" t="s">
        <v>6351</v>
      </c>
      <c r="F2295" s="10" t="s">
        <v>748</v>
      </c>
      <c r="G2295" s="10" t="s">
        <v>6352</v>
      </c>
      <c r="H2295" s="11">
        <v>40326</v>
      </c>
      <c r="I2295" s="10">
        <v>2010</v>
      </c>
      <c r="J2295" s="10" t="s">
        <v>6351</v>
      </c>
      <c r="K2295" s="10">
        <v>200</v>
      </c>
      <c r="L2295" s="10" t="s">
        <v>16282</v>
      </c>
      <c r="M2295" s="10">
        <v>1</v>
      </c>
      <c r="N2295" s="10"/>
      <c r="O2295" s="10"/>
      <c r="P2295" s="10" t="s">
        <v>16283</v>
      </c>
      <c r="Q2295" s="10">
        <v>306.43</v>
      </c>
      <c r="R2295" s="10" t="s">
        <v>16284</v>
      </c>
      <c r="S2295" s="10" t="s">
        <v>53</v>
      </c>
      <c r="T2295" s="10" t="s">
        <v>6472</v>
      </c>
    </row>
    <row r="2296" spans="1:20" ht="14.5" x14ac:dyDescent="0.35">
      <c r="A2296" s="10" t="s">
        <v>16285</v>
      </c>
      <c r="B2296" s="10" t="str">
        <f>"9780415559959"</f>
        <v>9780415559959</v>
      </c>
      <c r="C2296" s="10" t="str">
        <f>"9780203849118"</f>
        <v>9780203849118</v>
      </c>
      <c r="D2296" s="10" t="s">
        <v>6350</v>
      </c>
      <c r="E2296" s="10" t="s">
        <v>6351</v>
      </c>
      <c r="F2296" s="10" t="s">
        <v>748</v>
      </c>
      <c r="G2296" s="10" t="s">
        <v>6352</v>
      </c>
      <c r="H2296" s="11">
        <v>40389</v>
      </c>
      <c r="I2296" s="10">
        <v>2010</v>
      </c>
      <c r="J2296" s="10" t="s">
        <v>6351</v>
      </c>
      <c r="K2296" s="10">
        <v>129</v>
      </c>
      <c r="L2296" s="10" t="s">
        <v>16286</v>
      </c>
      <c r="M2296" s="10">
        <v>1</v>
      </c>
      <c r="N2296" s="10"/>
      <c r="O2296" s="10"/>
      <c r="P2296" s="10" t="s">
        <v>16287</v>
      </c>
      <c r="Q2296" s="10" t="s">
        <v>16288</v>
      </c>
      <c r="R2296" s="10" t="s">
        <v>16289</v>
      </c>
      <c r="S2296" s="10" t="s">
        <v>53</v>
      </c>
      <c r="T2296" s="10" t="s">
        <v>54</v>
      </c>
    </row>
    <row r="2297" spans="1:20" ht="14.5" x14ac:dyDescent="0.35">
      <c r="A2297" s="10" t="s">
        <v>16290</v>
      </c>
      <c r="B2297" s="10" t="str">
        <f>"9780415806220"</f>
        <v>9780415806220</v>
      </c>
      <c r="C2297" s="10" t="str">
        <f>"9780203857397"</f>
        <v>9780203857397</v>
      </c>
      <c r="D2297" s="10" t="s">
        <v>6350</v>
      </c>
      <c r="E2297" s="10" t="s">
        <v>6351</v>
      </c>
      <c r="F2297" s="10" t="s">
        <v>139</v>
      </c>
      <c r="G2297" s="10" t="s">
        <v>6352</v>
      </c>
      <c r="H2297" s="11">
        <v>40337</v>
      </c>
      <c r="I2297" s="10">
        <v>2010</v>
      </c>
      <c r="J2297" s="10" t="s">
        <v>6353</v>
      </c>
      <c r="K2297" s="10">
        <v>272</v>
      </c>
      <c r="L2297" s="10" t="s">
        <v>16291</v>
      </c>
      <c r="M2297" s="10">
        <v>1</v>
      </c>
      <c r="N2297" s="10"/>
      <c r="O2297" s="10"/>
      <c r="P2297" s="10" t="s">
        <v>16292</v>
      </c>
      <c r="Q2297" s="10" t="s">
        <v>12010</v>
      </c>
      <c r="R2297" s="10" t="s">
        <v>9758</v>
      </c>
      <c r="S2297" s="10" t="s">
        <v>53</v>
      </c>
      <c r="T2297" s="10" t="s">
        <v>54</v>
      </c>
    </row>
    <row r="2298" spans="1:20" ht="14.5" x14ac:dyDescent="0.35">
      <c r="A2298" s="10" t="s">
        <v>16293</v>
      </c>
      <c r="B2298" s="10" t="str">
        <f>"9781551520155"</f>
        <v>9781551520155</v>
      </c>
      <c r="C2298" s="10" t="str">
        <f>"9781551523378"</f>
        <v>9781551523378</v>
      </c>
      <c r="D2298" s="10" t="s">
        <v>9533</v>
      </c>
      <c r="E2298" s="10" t="s">
        <v>16294</v>
      </c>
      <c r="F2298" s="10" t="s">
        <v>686</v>
      </c>
      <c r="G2298" s="10" t="s">
        <v>9536</v>
      </c>
      <c r="H2298" s="11">
        <v>37438</v>
      </c>
      <c r="I2298" s="10">
        <v>2002</v>
      </c>
      <c r="J2298" s="10" t="s">
        <v>16294</v>
      </c>
      <c r="K2298" s="10">
        <v>143</v>
      </c>
      <c r="L2298" s="10" t="s">
        <v>16295</v>
      </c>
      <c r="M2298" s="10">
        <v>1</v>
      </c>
      <c r="N2298" s="10"/>
      <c r="O2298" s="10"/>
      <c r="P2298" s="10" t="s">
        <v>16296</v>
      </c>
      <c r="Q2298" s="10">
        <v>371.97978999999998</v>
      </c>
      <c r="R2298" s="10" t="s">
        <v>16297</v>
      </c>
      <c r="S2298" s="10" t="s">
        <v>53</v>
      </c>
      <c r="T2298" s="10" t="s">
        <v>16298</v>
      </c>
    </row>
    <row r="2299" spans="1:20" ht="14.5" x14ac:dyDescent="0.35">
      <c r="A2299" s="10" t="s">
        <v>16299</v>
      </c>
      <c r="B2299" s="10" t="str">
        <f>"9780889782303"</f>
        <v>9780889782303</v>
      </c>
      <c r="C2299" s="10" t="str">
        <f>"9781551523323"</f>
        <v>9781551523323</v>
      </c>
      <c r="D2299" s="10" t="s">
        <v>9533</v>
      </c>
      <c r="E2299" s="10" t="s">
        <v>16294</v>
      </c>
      <c r="F2299" s="10" t="s">
        <v>686</v>
      </c>
      <c r="G2299" s="10" t="s">
        <v>9536</v>
      </c>
      <c r="H2299" s="11">
        <v>37438</v>
      </c>
      <c r="I2299" s="10">
        <v>2002</v>
      </c>
      <c r="J2299" s="10" t="s">
        <v>16294</v>
      </c>
      <c r="K2299" s="10">
        <v>123</v>
      </c>
      <c r="L2299" s="10" t="s">
        <v>16300</v>
      </c>
      <c r="M2299" s="10">
        <v>1</v>
      </c>
      <c r="N2299" s="10"/>
      <c r="O2299" s="10"/>
      <c r="P2299" s="10" t="s">
        <v>16301</v>
      </c>
      <c r="Q2299" s="10">
        <v>371.9</v>
      </c>
      <c r="R2299" s="10" t="s">
        <v>16302</v>
      </c>
      <c r="S2299" s="10" t="s">
        <v>53</v>
      </c>
      <c r="T2299" s="10" t="s">
        <v>16298</v>
      </c>
    </row>
    <row r="2300" spans="1:20" ht="14.5" x14ac:dyDescent="0.35">
      <c r="A2300" s="10" t="s">
        <v>16303</v>
      </c>
      <c r="B2300" s="10" t="str">
        <f>"9780253354914"</f>
        <v>9780253354914</v>
      </c>
      <c r="C2300" s="10" t="str">
        <f>"9780253004321"</f>
        <v>9780253004321</v>
      </c>
      <c r="D2300" s="10" t="s">
        <v>2455</v>
      </c>
      <c r="E2300" s="10" t="s">
        <v>2455</v>
      </c>
      <c r="F2300" s="10" t="s">
        <v>3101</v>
      </c>
      <c r="G2300" s="10" t="s">
        <v>6317</v>
      </c>
      <c r="H2300" s="11">
        <v>40315</v>
      </c>
      <c r="I2300" s="10">
        <v>2010</v>
      </c>
      <c r="J2300" s="10" t="s">
        <v>2455</v>
      </c>
      <c r="K2300" s="10">
        <v>271</v>
      </c>
      <c r="L2300" s="10" t="s">
        <v>16304</v>
      </c>
      <c r="M2300" s="10">
        <v>1</v>
      </c>
      <c r="N2300" s="10"/>
      <c r="O2300" s="10"/>
      <c r="P2300" s="10" t="s">
        <v>16305</v>
      </c>
      <c r="Q2300" s="10">
        <v>371.10097300000001</v>
      </c>
      <c r="R2300" s="10" t="s">
        <v>16306</v>
      </c>
      <c r="S2300" s="10" t="s">
        <v>53</v>
      </c>
      <c r="T2300" s="10" t="s">
        <v>54</v>
      </c>
    </row>
    <row r="2301" spans="1:20" ht="14.5" x14ac:dyDescent="0.35">
      <c r="A2301" s="10" t="s">
        <v>16307</v>
      </c>
      <c r="B2301" s="10" t="str">
        <f>"9780415494823"</f>
        <v>9780415494823</v>
      </c>
      <c r="C2301" s="10" t="str">
        <f>"9780203849170"</f>
        <v>9780203849170</v>
      </c>
      <c r="D2301" s="10" t="s">
        <v>6350</v>
      </c>
      <c r="E2301" s="10" t="s">
        <v>6351</v>
      </c>
      <c r="F2301" s="10" t="s">
        <v>748</v>
      </c>
      <c r="G2301" s="10" t="s">
        <v>6352</v>
      </c>
      <c r="H2301" s="11">
        <v>40392</v>
      </c>
      <c r="I2301" s="10">
        <v>2011</v>
      </c>
      <c r="J2301" s="10" t="s">
        <v>6351</v>
      </c>
      <c r="K2301" s="10">
        <v>297</v>
      </c>
      <c r="L2301" s="10" t="s">
        <v>16308</v>
      </c>
      <c r="M2301" s="10">
        <v>1</v>
      </c>
      <c r="N2301" s="10" t="s">
        <v>16309</v>
      </c>
      <c r="O2301" s="10"/>
      <c r="P2301" s="10" t="s">
        <v>16310</v>
      </c>
      <c r="Q2301" s="10">
        <v>370</v>
      </c>
      <c r="R2301" s="10" t="s">
        <v>12137</v>
      </c>
      <c r="S2301" s="10" t="s">
        <v>53</v>
      </c>
      <c r="T2301" s="10" t="s">
        <v>54</v>
      </c>
    </row>
    <row r="2302" spans="1:20" ht="14.5" x14ac:dyDescent="0.35">
      <c r="A2302" s="10" t="s">
        <v>16311</v>
      </c>
      <c r="B2302" s="10" t="str">
        <f>"9780415565486"</f>
        <v>9780415565486</v>
      </c>
      <c r="C2302" s="10" t="str">
        <f>"9780203846575"</f>
        <v>9780203846575</v>
      </c>
      <c r="D2302" s="10" t="s">
        <v>6350</v>
      </c>
      <c r="E2302" s="10" t="s">
        <v>6351</v>
      </c>
      <c r="F2302" s="10" t="s">
        <v>748</v>
      </c>
      <c r="G2302" s="10" t="s">
        <v>6352</v>
      </c>
      <c r="H2302" s="11">
        <v>40386</v>
      </c>
      <c r="I2302" s="10">
        <v>2010</v>
      </c>
      <c r="J2302" s="10" t="s">
        <v>6351</v>
      </c>
      <c r="K2302" s="10">
        <v>174</v>
      </c>
      <c r="L2302" s="10" t="s">
        <v>16312</v>
      </c>
      <c r="M2302" s="10">
        <v>1</v>
      </c>
      <c r="N2302" s="10"/>
      <c r="O2302" s="10"/>
      <c r="P2302" s="10" t="s">
        <v>16313</v>
      </c>
      <c r="Q2302" s="10">
        <v>370.1</v>
      </c>
      <c r="R2302" s="10" t="s">
        <v>16314</v>
      </c>
      <c r="S2302" s="10" t="s">
        <v>53</v>
      </c>
      <c r="T2302" s="10" t="s">
        <v>54</v>
      </c>
    </row>
    <row r="2303" spans="1:20" ht="14.5" x14ac:dyDescent="0.35">
      <c r="A2303" s="10" t="s">
        <v>16315</v>
      </c>
      <c r="B2303" s="10" t="str">
        <f>"9780415566070"</f>
        <v>9780415566070</v>
      </c>
      <c r="C2303" s="10" t="str">
        <f>"9780203848395"</f>
        <v>9780203848395</v>
      </c>
      <c r="D2303" s="10" t="s">
        <v>6350</v>
      </c>
      <c r="E2303" s="10" t="s">
        <v>6351</v>
      </c>
      <c r="F2303" s="10" t="s">
        <v>139</v>
      </c>
      <c r="G2303" s="10" t="s">
        <v>6352</v>
      </c>
      <c r="H2303" s="11">
        <v>40392</v>
      </c>
      <c r="I2303" s="10">
        <v>2010</v>
      </c>
      <c r="J2303" s="10" t="s">
        <v>6353</v>
      </c>
      <c r="K2303" s="10">
        <v>183</v>
      </c>
      <c r="L2303" s="10" t="s">
        <v>16316</v>
      </c>
      <c r="M2303" s="10">
        <v>1</v>
      </c>
      <c r="N2303" s="10"/>
      <c r="O2303" s="10"/>
      <c r="P2303" s="10" t="s">
        <v>16317</v>
      </c>
      <c r="Q2303" s="10">
        <v>372.21</v>
      </c>
      <c r="R2303" s="10" t="s">
        <v>16318</v>
      </c>
      <c r="S2303" s="10" t="s">
        <v>53</v>
      </c>
      <c r="T2303" s="10" t="s">
        <v>54</v>
      </c>
    </row>
    <row r="2304" spans="1:20" ht="14.5" x14ac:dyDescent="0.35">
      <c r="A2304" s="10" t="s">
        <v>16319</v>
      </c>
      <c r="B2304" s="10" t="str">
        <f>"9780415550178"</f>
        <v>9780415550178</v>
      </c>
      <c r="C2304" s="10" t="str">
        <f>"9780203848326"</f>
        <v>9780203848326</v>
      </c>
      <c r="D2304" s="10" t="s">
        <v>6350</v>
      </c>
      <c r="E2304" s="10" t="s">
        <v>6351</v>
      </c>
      <c r="F2304" s="10" t="s">
        <v>748</v>
      </c>
      <c r="G2304" s="10" t="s">
        <v>6352</v>
      </c>
      <c r="H2304" s="11">
        <v>40392</v>
      </c>
      <c r="I2304" s="10">
        <v>2010</v>
      </c>
      <c r="J2304" s="10" t="s">
        <v>6351</v>
      </c>
      <c r="K2304" s="10">
        <v>173</v>
      </c>
      <c r="L2304" s="10" t="s">
        <v>16320</v>
      </c>
      <c r="M2304" s="10">
        <v>1</v>
      </c>
      <c r="N2304" s="10"/>
      <c r="O2304" s="10"/>
      <c r="P2304" s="10" t="s">
        <v>16321</v>
      </c>
      <c r="Q2304" s="10" t="s">
        <v>16322</v>
      </c>
      <c r="R2304" s="10" t="s">
        <v>16323</v>
      </c>
      <c r="S2304" s="10" t="s">
        <v>53</v>
      </c>
      <c r="T2304" s="10" t="s">
        <v>54</v>
      </c>
    </row>
    <row r="2305" spans="1:20" ht="14.5" x14ac:dyDescent="0.35">
      <c r="A2305" s="10" t="s">
        <v>16324</v>
      </c>
      <c r="B2305" s="10" t="str">
        <f>"9781566399067"</f>
        <v>9781566399067</v>
      </c>
      <c r="C2305" s="10" t="str">
        <f>"9781439905265"</f>
        <v>9781439905265</v>
      </c>
      <c r="D2305" s="10" t="s">
        <v>11120</v>
      </c>
      <c r="E2305" s="10" t="s">
        <v>11120</v>
      </c>
      <c r="F2305" s="10" t="s">
        <v>319</v>
      </c>
      <c r="G2305" s="10" t="s">
        <v>6317</v>
      </c>
      <c r="H2305" s="11">
        <v>37208</v>
      </c>
      <c r="I2305" s="10">
        <v>2001</v>
      </c>
      <c r="J2305" s="10" t="s">
        <v>11120</v>
      </c>
      <c r="K2305" s="10">
        <v>241</v>
      </c>
      <c r="L2305" s="10" t="s">
        <v>16325</v>
      </c>
      <c r="M2305" s="10">
        <v>1</v>
      </c>
      <c r="N2305" s="10"/>
      <c r="O2305" s="10"/>
      <c r="P2305" s="10" t="s">
        <v>16326</v>
      </c>
      <c r="Q2305" s="10" t="s">
        <v>16327</v>
      </c>
      <c r="R2305" s="10" t="s">
        <v>16328</v>
      </c>
      <c r="S2305" s="10" t="s">
        <v>53</v>
      </c>
      <c r="T2305" s="10" t="s">
        <v>6363</v>
      </c>
    </row>
    <row r="2306" spans="1:20" ht="14.5" x14ac:dyDescent="0.35">
      <c r="A2306" s="10" t="s">
        <v>16329</v>
      </c>
      <c r="B2306" s="10" t="str">
        <f>"9781566399418"</f>
        <v>9781566399418</v>
      </c>
      <c r="C2306" s="10" t="str">
        <f>"9781592138012"</f>
        <v>9781592138012</v>
      </c>
      <c r="D2306" s="10" t="s">
        <v>11120</v>
      </c>
      <c r="E2306" s="10" t="s">
        <v>11120</v>
      </c>
      <c r="F2306" s="10" t="s">
        <v>319</v>
      </c>
      <c r="G2306" s="10" t="s">
        <v>6317</v>
      </c>
      <c r="H2306" s="11">
        <v>37316</v>
      </c>
      <c r="I2306" s="10">
        <v>2002</v>
      </c>
      <c r="J2306" s="10" t="s">
        <v>11120</v>
      </c>
      <c r="K2306" s="10">
        <v>241</v>
      </c>
      <c r="L2306" s="10" t="s">
        <v>16330</v>
      </c>
      <c r="M2306" s="10">
        <v>1</v>
      </c>
      <c r="N2306" s="10"/>
      <c r="O2306" s="10"/>
      <c r="P2306" s="10" t="s">
        <v>16331</v>
      </c>
      <c r="Q2306" s="10" t="s">
        <v>16332</v>
      </c>
      <c r="R2306" s="10" t="s">
        <v>16333</v>
      </c>
      <c r="S2306" s="10" t="s">
        <v>53</v>
      </c>
      <c r="T2306" s="10" t="s">
        <v>4490</v>
      </c>
    </row>
    <row r="2307" spans="1:20" ht="14.5" x14ac:dyDescent="0.35">
      <c r="A2307" s="10" t="s">
        <v>16334</v>
      </c>
      <c r="B2307" s="10" t="str">
        <f>"9780520262683"</f>
        <v>9780520262683</v>
      </c>
      <c r="C2307" s="10" t="str">
        <f>"9780520945999"</f>
        <v>9780520945999</v>
      </c>
      <c r="D2307" s="10" t="s">
        <v>8512</v>
      </c>
      <c r="E2307" s="10" t="s">
        <v>8512</v>
      </c>
      <c r="F2307" s="10" t="s">
        <v>717</v>
      </c>
      <c r="G2307" s="10" t="s">
        <v>6317</v>
      </c>
      <c r="H2307" s="11">
        <v>40275</v>
      </c>
      <c r="I2307" s="10">
        <v>2010</v>
      </c>
      <c r="J2307" s="10" t="s">
        <v>8512</v>
      </c>
      <c r="K2307" s="10">
        <v>209</v>
      </c>
      <c r="L2307" s="10" t="s">
        <v>16335</v>
      </c>
      <c r="M2307" s="10">
        <v>2</v>
      </c>
      <c r="N2307" s="10"/>
      <c r="O2307" s="10"/>
      <c r="P2307" s="10" t="s">
        <v>16336</v>
      </c>
      <c r="Q2307" s="10" t="s">
        <v>16337</v>
      </c>
      <c r="R2307" s="10" t="s">
        <v>16338</v>
      </c>
      <c r="S2307" s="10" t="s">
        <v>53</v>
      </c>
      <c r="T2307" s="10" t="s">
        <v>54</v>
      </c>
    </row>
    <row r="2308" spans="1:20" ht="14.5" x14ac:dyDescent="0.35">
      <c r="A2308" s="10" t="s">
        <v>16339</v>
      </c>
      <c r="B2308" s="10" t="str">
        <f>"9780520260597"</f>
        <v>9780520260597</v>
      </c>
      <c r="C2308" s="10" t="str">
        <f>"9780520945944"</f>
        <v>9780520945944</v>
      </c>
      <c r="D2308" s="10" t="s">
        <v>8512</v>
      </c>
      <c r="E2308" s="10" t="s">
        <v>8512</v>
      </c>
      <c r="F2308" s="10" t="s">
        <v>717</v>
      </c>
      <c r="G2308" s="10" t="s">
        <v>6317</v>
      </c>
      <c r="H2308" s="11">
        <v>40270</v>
      </c>
      <c r="I2308" s="10">
        <v>2010</v>
      </c>
      <c r="J2308" s="10" t="s">
        <v>8512</v>
      </c>
      <c r="K2308" s="10">
        <v>348</v>
      </c>
      <c r="L2308" s="10" t="s">
        <v>16340</v>
      </c>
      <c r="M2308" s="10">
        <v>1</v>
      </c>
      <c r="N2308" s="10"/>
      <c r="O2308" s="10"/>
      <c r="P2308" s="10" t="s">
        <v>16341</v>
      </c>
      <c r="Q2308" s="10">
        <v>378.18550979467</v>
      </c>
      <c r="R2308" s="10"/>
      <c r="S2308" s="10" t="s">
        <v>53</v>
      </c>
      <c r="T2308" s="10" t="s">
        <v>54</v>
      </c>
    </row>
    <row r="2309" spans="1:20" ht="14.5" x14ac:dyDescent="0.35">
      <c r="A2309" s="10" t="s">
        <v>16342</v>
      </c>
      <c r="B2309" s="10" t="str">
        <f>"9781589011182"</f>
        <v>9781589011182</v>
      </c>
      <c r="C2309" s="10" t="str">
        <f>"9781589013131"</f>
        <v>9781589013131</v>
      </c>
      <c r="D2309" s="10" t="s">
        <v>16084</v>
      </c>
      <c r="E2309" s="10" t="s">
        <v>16084</v>
      </c>
      <c r="F2309" s="10" t="s">
        <v>88</v>
      </c>
      <c r="G2309" s="10" t="s">
        <v>6317</v>
      </c>
      <c r="H2309" s="11">
        <v>38996</v>
      </c>
      <c r="I2309" s="10">
        <v>2006</v>
      </c>
      <c r="J2309" s="10" t="s">
        <v>16084</v>
      </c>
      <c r="K2309" s="10">
        <v>219</v>
      </c>
      <c r="L2309" s="10" t="s">
        <v>16343</v>
      </c>
      <c r="M2309" s="10">
        <v>1</v>
      </c>
      <c r="N2309" s="10" t="s">
        <v>16344</v>
      </c>
      <c r="O2309" s="10"/>
      <c r="P2309" s="10" t="s">
        <v>16345</v>
      </c>
      <c r="Q2309" s="10" t="s">
        <v>16346</v>
      </c>
      <c r="R2309" s="10"/>
      <c r="S2309" s="10" t="s">
        <v>53</v>
      </c>
      <c r="T2309" s="10" t="s">
        <v>6616</v>
      </c>
    </row>
    <row r="2310" spans="1:20" ht="14.5" x14ac:dyDescent="0.35">
      <c r="A2310" s="10" t="s">
        <v>16347</v>
      </c>
      <c r="B2310" s="10" t="str">
        <f>"9781589011991"</f>
        <v>9781589011991</v>
      </c>
      <c r="C2310" s="10" t="str">
        <f>"9781589012899"</f>
        <v>9781589012899</v>
      </c>
      <c r="D2310" s="10" t="s">
        <v>16084</v>
      </c>
      <c r="E2310" s="10" t="s">
        <v>16084</v>
      </c>
      <c r="F2310" s="10" t="s">
        <v>88</v>
      </c>
      <c r="G2310" s="10" t="s">
        <v>6317</v>
      </c>
      <c r="H2310" s="11">
        <v>39536</v>
      </c>
      <c r="I2310" s="10">
        <v>2008</v>
      </c>
      <c r="J2310" s="10" t="s">
        <v>16084</v>
      </c>
      <c r="K2310" s="10">
        <v>433</v>
      </c>
      <c r="L2310" s="10" t="s">
        <v>16348</v>
      </c>
      <c r="M2310" s="10">
        <v>8</v>
      </c>
      <c r="N2310" s="10"/>
      <c r="O2310" s="10"/>
      <c r="P2310" s="10" t="s">
        <v>16349</v>
      </c>
      <c r="Q2310" s="10" t="s">
        <v>16350</v>
      </c>
      <c r="R2310" s="10" t="s">
        <v>16351</v>
      </c>
      <c r="S2310" s="10" t="s">
        <v>53</v>
      </c>
      <c r="T2310" s="10" t="s">
        <v>4859</v>
      </c>
    </row>
    <row r="2311" spans="1:20" ht="14.5" x14ac:dyDescent="0.35">
      <c r="A2311" s="10" t="s">
        <v>16352</v>
      </c>
      <c r="B2311" s="10" t="str">
        <f>"9781589010765"</f>
        <v>9781589010765</v>
      </c>
      <c r="C2311" s="10" t="str">
        <f>"9781589014206"</f>
        <v>9781589014206</v>
      </c>
      <c r="D2311" s="10" t="s">
        <v>16084</v>
      </c>
      <c r="E2311" s="10" t="s">
        <v>16084</v>
      </c>
      <c r="F2311" s="10" t="s">
        <v>88</v>
      </c>
      <c r="G2311" s="10" t="s">
        <v>6317</v>
      </c>
      <c r="H2311" s="11">
        <v>38707</v>
      </c>
      <c r="I2311" s="10">
        <v>2006</v>
      </c>
      <c r="J2311" s="10" t="s">
        <v>16084</v>
      </c>
      <c r="K2311" s="10">
        <v>227</v>
      </c>
      <c r="L2311" s="10" t="s">
        <v>16353</v>
      </c>
      <c r="M2311" s="10">
        <v>1</v>
      </c>
      <c r="N2311" s="10" t="s">
        <v>16086</v>
      </c>
      <c r="O2311" s="10"/>
      <c r="P2311" s="10" t="s">
        <v>16354</v>
      </c>
      <c r="Q2311" s="10">
        <v>379.73</v>
      </c>
      <c r="R2311" s="10"/>
      <c r="S2311" s="10" t="s">
        <v>53</v>
      </c>
      <c r="T2311" s="10" t="s">
        <v>54</v>
      </c>
    </row>
    <row r="2312" spans="1:20" ht="14.5" x14ac:dyDescent="0.35">
      <c r="A2312" s="10" t="s">
        <v>16355</v>
      </c>
      <c r="B2312" s="10" t="str">
        <f>"9781589012127"</f>
        <v>9781589012127</v>
      </c>
      <c r="C2312" s="10" t="str">
        <f>"9781589016521"</f>
        <v>9781589016521</v>
      </c>
      <c r="D2312" s="10" t="s">
        <v>16084</v>
      </c>
      <c r="E2312" s="10" t="s">
        <v>16084</v>
      </c>
      <c r="F2312" s="10" t="s">
        <v>88</v>
      </c>
      <c r="G2312" s="10" t="s">
        <v>6317</v>
      </c>
      <c r="H2312" s="11">
        <v>39715</v>
      </c>
      <c r="I2312" s="10">
        <v>2008</v>
      </c>
      <c r="J2312" s="10" t="s">
        <v>16084</v>
      </c>
      <c r="K2312" s="10">
        <v>206</v>
      </c>
      <c r="L2312" s="10" t="s">
        <v>16356</v>
      </c>
      <c r="M2312" s="10">
        <v>1</v>
      </c>
      <c r="N2312" s="10"/>
      <c r="O2312" s="10"/>
      <c r="P2312" s="10" t="s">
        <v>16357</v>
      </c>
      <c r="Q2312" s="10">
        <v>418.00285000000002</v>
      </c>
      <c r="R2312" s="10" t="s">
        <v>16358</v>
      </c>
      <c r="S2312" s="10" t="s">
        <v>53</v>
      </c>
      <c r="T2312" s="10" t="s">
        <v>6634</v>
      </c>
    </row>
    <row r="2313" spans="1:20" ht="14.5" x14ac:dyDescent="0.35">
      <c r="A2313" s="10" t="s">
        <v>16359</v>
      </c>
      <c r="B2313" s="10" t="str">
        <f>"9781589010901"</f>
        <v>9781589010901</v>
      </c>
      <c r="C2313" s="10" t="str">
        <f>"9781589014107"</f>
        <v>9781589014107</v>
      </c>
      <c r="D2313" s="10" t="s">
        <v>16084</v>
      </c>
      <c r="E2313" s="10" t="s">
        <v>16084</v>
      </c>
      <c r="F2313" s="10" t="s">
        <v>88</v>
      </c>
      <c r="G2313" s="10" t="s">
        <v>6317</v>
      </c>
      <c r="H2313" s="11">
        <v>38869</v>
      </c>
      <c r="I2313" s="10">
        <v>2006</v>
      </c>
      <c r="J2313" s="10" t="s">
        <v>16084</v>
      </c>
      <c r="K2313" s="10">
        <v>222</v>
      </c>
      <c r="L2313" s="10" t="s">
        <v>16360</v>
      </c>
      <c r="M2313" s="10">
        <v>1</v>
      </c>
      <c r="N2313" s="10" t="s">
        <v>16086</v>
      </c>
      <c r="O2313" s="10"/>
      <c r="P2313" s="10" t="s">
        <v>16361</v>
      </c>
      <c r="Q2313" s="10">
        <v>379.73</v>
      </c>
      <c r="R2313" s="10"/>
      <c r="S2313" s="10" t="s">
        <v>53</v>
      </c>
      <c r="T2313" s="10" t="s">
        <v>54</v>
      </c>
    </row>
    <row r="2314" spans="1:20" ht="14.5" x14ac:dyDescent="0.35">
      <c r="A2314" s="10" t="s">
        <v>16362</v>
      </c>
      <c r="B2314" s="10" t="str">
        <f>"9781589010703"</f>
        <v>9781589010703</v>
      </c>
      <c r="C2314" s="10" t="str">
        <f>"9781589013735"</f>
        <v>9781589013735</v>
      </c>
      <c r="D2314" s="10" t="s">
        <v>16084</v>
      </c>
      <c r="E2314" s="10" t="s">
        <v>16084</v>
      </c>
      <c r="F2314" s="10" t="s">
        <v>88</v>
      </c>
      <c r="G2314" s="10" t="s">
        <v>6317</v>
      </c>
      <c r="H2314" s="11">
        <v>38658</v>
      </c>
      <c r="I2314" s="10">
        <v>2005</v>
      </c>
      <c r="J2314" s="10" t="s">
        <v>16084</v>
      </c>
      <c r="K2314" s="10">
        <v>345</v>
      </c>
      <c r="L2314" s="10" t="s">
        <v>16363</v>
      </c>
      <c r="M2314" s="10">
        <v>1</v>
      </c>
      <c r="N2314" s="10"/>
      <c r="O2314" s="10"/>
      <c r="P2314" s="10" t="s">
        <v>16364</v>
      </c>
      <c r="Q2314" s="10">
        <v>418</v>
      </c>
      <c r="R2314" s="10"/>
      <c r="S2314" s="10" t="s">
        <v>53</v>
      </c>
      <c r="T2314" s="10" t="s">
        <v>6616</v>
      </c>
    </row>
    <row r="2315" spans="1:20" ht="14.5" x14ac:dyDescent="0.35">
      <c r="A2315" s="10" t="s">
        <v>16365</v>
      </c>
      <c r="B2315" s="10" t="str">
        <f>"9780816656264"</f>
        <v>9780816656264</v>
      </c>
      <c r="C2315" s="10" t="str">
        <f>"9780816673346"</f>
        <v>9780816673346</v>
      </c>
      <c r="D2315" s="10" t="s">
        <v>11428</v>
      </c>
      <c r="E2315" s="10" t="s">
        <v>11428</v>
      </c>
      <c r="F2315" s="10" t="s">
        <v>2186</v>
      </c>
      <c r="G2315" s="10" t="s">
        <v>6317</v>
      </c>
      <c r="H2315" s="11">
        <v>40179</v>
      </c>
      <c r="I2315" s="10">
        <v>2010</v>
      </c>
      <c r="J2315" s="10" t="s">
        <v>11428</v>
      </c>
      <c r="K2315" s="10">
        <v>447</v>
      </c>
      <c r="L2315" s="10" t="s">
        <v>16366</v>
      </c>
      <c r="M2315" s="10">
        <v>1</v>
      </c>
      <c r="N2315" s="10"/>
      <c r="O2315" s="10"/>
      <c r="P2315" s="10" t="s">
        <v>16367</v>
      </c>
      <c r="Q2315" s="10" t="s">
        <v>16368</v>
      </c>
      <c r="R2315" s="10" t="s">
        <v>16369</v>
      </c>
      <c r="S2315" s="10" t="s">
        <v>53</v>
      </c>
      <c r="T2315" s="10" t="s">
        <v>54</v>
      </c>
    </row>
    <row r="2316" spans="1:20" ht="14.5" x14ac:dyDescent="0.35">
      <c r="A2316" s="10" t="s">
        <v>16370</v>
      </c>
      <c r="B2316" s="10" t="str">
        <f>"9781441163813"</f>
        <v>9781441163813</v>
      </c>
      <c r="C2316" s="10" t="str">
        <f>"9781441191885"</f>
        <v>9781441191885</v>
      </c>
      <c r="D2316" s="10" t="s">
        <v>13959</v>
      </c>
      <c r="E2316" s="10" t="s">
        <v>13960</v>
      </c>
      <c r="F2316" s="10" t="s">
        <v>139</v>
      </c>
      <c r="G2316" s="10" t="s">
        <v>6352</v>
      </c>
      <c r="H2316" s="11">
        <v>40997</v>
      </c>
      <c r="I2316" s="10">
        <v>2010</v>
      </c>
      <c r="J2316" s="10" t="s">
        <v>13961</v>
      </c>
      <c r="K2316" s="10">
        <v>209</v>
      </c>
      <c r="L2316" s="10" t="s">
        <v>16371</v>
      </c>
      <c r="M2316" s="10">
        <v>1</v>
      </c>
      <c r="N2316" s="10"/>
      <c r="O2316" s="10"/>
      <c r="P2316" s="10" t="s">
        <v>16372</v>
      </c>
      <c r="Q2316" s="10">
        <v>378.41</v>
      </c>
      <c r="R2316" s="10" t="s">
        <v>16373</v>
      </c>
      <c r="S2316" s="10" t="s">
        <v>53</v>
      </c>
      <c r="T2316" s="10" t="s">
        <v>54</v>
      </c>
    </row>
    <row r="2317" spans="1:20" ht="14.5" x14ac:dyDescent="0.35">
      <c r="A2317" s="10" t="s">
        <v>16374</v>
      </c>
      <c r="B2317" s="10" t="str">
        <f>"9781849507462"</f>
        <v>9781849507462</v>
      </c>
      <c r="C2317" s="10" t="str">
        <f>"9781849507479"</f>
        <v>9781849507479</v>
      </c>
      <c r="D2317" s="10" t="s">
        <v>8564</v>
      </c>
      <c r="E2317" s="10" t="s">
        <v>8565</v>
      </c>
      <c r="F2317" s="10" t="s">
        <v>1420</v>
      </c>
      <c r="G2317" s="10" t="s">
        <v>6317</v>
      </c>
      <c r="H2317" s="11">
        <v>40350</v>
      </c>
      <c r="I2317" s="10">
        <v>2010</v>
      </c>
      <c r="J2317" s="10" t="s">
        <v>8565</v>
      </c>
      <c r="K2317" s="10">
        <v>351</v>
      </c>
      <c r="L2317" s="10" t="s">
        <v>16375</v>
      </c>
      <c r="M2317" s="10">
        <v>1</v>
      </c>
      <c r="N2317" s="10" t="s">
        <v>16376</v>
      </c>
      <c r="O2317" s="10">
        <v>1</v>
      </c>
      <c r="P2317" s="10" t="s">
        <v>16377</v>
      </c>
      <c r="Q2317" s="10"/>
      <c r="R2317" s="10" t="s">
        <v>16378</v>
      </c>
      <c r="S2317" s="10" t="s">
        <v>53</v>
      </c>
      <c r="T2317" s="10" t="s">
        <v>6616</v>
      </c>
    </row>
    <row r="2318" spans="1:20" ht="14.5" x14ac:dyDescent="0.35">
      <c r="A2318" s="10" t="s">
        <v>16379</v>
      </c>
      <c r="B2318" s="10" t="str">
        <f>"9780230579286"</f>
        <v>9780230579286</v>
      </c>
      <c r="C2318" s="10" t="str">
        <f>"9780230245181"</f>
        <v>9780230245181</v>
      </c>
      <c r="D2318" s="10" t="s">
        <v>11249</v>
      </c>
      <c r="E2318" s="10" t="s">
        <v>13407</v>
      </c>
      <c r="F2318" s="10" t="s">
        <v>139</v>
      </c>
      <c r="G2318" s="10" t="s">
        <v>6352</v>
      </c>
      <c r="H2318" s="11">
        <v>40072</v>
      </c>
      <c r="I2318" s="10">
        <v>2009</v>
      </c>
      <c r="J2318" s="10" t="s">
        <v>16380</v>
      </c>
      <c r="K2318" s="10">
        <v>244</v>
      </c>
      <c r="L2318" s="10" t="s">
        <v>16381</v>
      </c>
      <c r="M2318" s="10">
        <v>1</v>
      </c>
      <c r="N2318" s="10"/>
      <c r="O2318" s="10"/>
      <c r="P2318" s="10" t="s">
        <v>16382</v>
      </c>
      <c r="Q2318" s="10">
        <v>362.4</v>
      </c>
      <c r="R2318" s="10" t="s">
        <v>16383</v>
      </c>
      <c r="S2318" s="10" t="s">
        <v>53</v>
      </c>
      <c r="T2318" s="10" t="s">
        <v>6363</v>
      </c>
    </row>
    <row r="2319" spans="1:20" ht="14.5" x14ac:dyDescent="0.35">
      <c r="A2319" s="10" t="s">
        <v>16384</v>
      </c>
      <c r="B2319" s="10" t="str">
        <f>"9780230606296"</f>
        <v>9780230606296</v>
      </c>
      <c r="C2319" s="10" t="str">
        <f>"9780230623934"</f>
        <v>9780230623934</v>
      </c>
      <c r="D2319" s="10" t="s">
        <v>11249</v>
      </c>
      <c r="E2319" s="10" t="s">
        <v>2400</v>
      </c>
      <c r="F2319" s="10" t="s">
        <v>70</v>
      </c>
      <c r="G2319" s="10" t="s">
        <v>6317</v>
      </c>
      <c r="H2319" s="11">
        <v>40135</v>
      </c>
      <c r="I2319" s="10">
        <v>2009</v>
      </c>
      <c r="J2319" s="10" t="s">
        <v>2400</v>
      </c>
      <c r="K2319" s="10">
        <v>257</v>
      </c>
      <c r="L2319" s="10" t="s">
        <v>16385</v>
      </c>
      <c r="M2319" s="10">
        <v>1</v>
      </c>
      <c r="N2319" s="10"/>
      <c r="O2319" s="10"/>
      <c r="P2319" s="10" t="s">
        <v>11275</v>
      </c>
      <c r="Q2319" s="10"/>
      <c r="R2319" s="10" t="s">
        <v>16386</v>
      </c>
      <c r="S2319" s="10" t="s">
        <v>53</v>
      </c>
      <c r="T2319" s="10" t="s">
        <v>54</v>
      </c>
    </row>
    <row r="2320" spans="1:20" ht="14.5" x14ac:dyDescent="0.35">
      <c r="A2320" s="10" t="s">
        <v>16387</v>
      </c>
      <c r="B2320" s="10" t="str">
        <f>"9780857242532"</f>
        <v>9780857242532</v>
      </c>
      <c r="C2320" s="10" t="str">
        <f>"9780857242549"</f>
        <v>9780857242549</v>
      </c>
      <c r="D2320" s="10" t="s">
        <v>8699</v>
      </c>
      <c r="E2320" s="10" t="s">
        <v>8699</v>
      </c>
      <c r="F2320" s="10" t="s">
        <v>559</v>
      </c>
      <c r="G2320" s="10" t="s">
        <v>6352</v>
      </c>
      <c r="H2320" s="11">
        <v>40352</v>
      </c>
      <c r="I2320" s="10">
        <v>2010</v>
      </c>
      <c r="J2320" s="10" t="s">
        <v>8699</v>
      </c>
      <c r="K2320" s="10">
        <v>262</v>
      </c>
      <c r="L2320" s="10" t="s">
        <v>16388</v>
      </c>
      <c r="M2320" s="10">
        <v>1</v>
      </c>
      <c r="N2320" s="10" t="s">
        <v>16389</v>
      </c>
      <c r="O2320" s="10" t="s">
        <v>16390</v>
      </c>
      <c r="P2320" s="10" t="s">
        <v>16391</v>
      </c>
      <c r="Q2320" s="10">
        <v>370.154</v>
      </c>
      <c r="R2320" s="10" t="s">
        <v>11395</v>
      </c>
      <c r="S2320" s="10" t="s">
        <v>53</v>
      </c>
      <c r="T2320" s="10" t="s">
        <v>54</v>
      </c>
    </row>
    <row r="2321" spans="1:20" ht="14.5" x14ac:dyDescent="0.35">
      <c r="A2321" s="10" t="s">
        <v>16392</v>
      </c>
      <c r="B2321" s="10" t="str">
        <f>"9789042016996"</f>
        <v>9789042016996</v>
      </c>
      <c r="C2321" s="10" t="str">
        <f>"9789401201612"</f>
        <v>9789401201612</v>
      </c>
      <c r="D2321" s="10" t="s">
        <v>8564</v>
      </c>
      <c r="E2321" s="10" t="s">
        <v>8565</v>
      </c>
      <c r="F2321" s="10" t="s">
        <v>1818</v>
      </c>
      <c r="G2321" s="10" t="s">
        <v>9233</v>
      </c>
      <c r="H2321" s="11">
        <v>38718</v>
      </c>
      <c r="I2321" s="10">
        <v>2006</v>
      </c>
      <c r="J2321" s="10" t="s">
        <v>16393</v>
      </c>
      <c r="K2321" s="10">
        <v>215</v>
      </c>
      <c r="L2321" s="10" t="s">
        <v>16394</v>
      </c>
      <c r="M2321" s="10">
        <v>1</v>
      </c>
      <c r="N2321" s="10" t="s">
        <v>16395</v>
      </c>
      <c r="O2321" s="10" t="s">
        <v>16396</v>
      </c>
      <c r="P2321" s="10" t="s">
        <v>16397</v>
      </c>
      <c r="Q2321" s="10">
        <v>370.9</v>
      </c>
      <c r="R2321" s="10" t="s">
        <v>16398</v>
      </c>
      <c r="S2321" s="10" t="s">
        <v>53</v>
      </c>
      <c r="T2321" s="10" t="s">
        <v>54</v>
      </c>
    </row>
    <row r="2322" spans="1:20" ht="14.5" x14ac:dyDescent="0.35">
      <c r="A2322" s="10" t="s">
        <v>16399</v>
      </c>
      <c r="B2322" s="10" t="str">
        <f>"9789042024335"</f>
        <v>9789042024335</v>
      </c>
      <c r="C2322" s="10" t="str">
        <f>"9789042029118"</f>
        <v>9789042029118</v>
      </c>
      <c r="D2322" s="10" t="s">
        <v>8564</v>
      </c>
      <c r="E2322" s="10" t="s">
        <v>8565</v>
      </c>
      <c r="F2322" s="10" t="s">
        <v>1420</v>
      </c>
      <c r="G2322" s="10" t="s">
        <v>6317</v>
      </c>
      <c r="H2322" s="11">
        <v>39448</v>
      </c>
      <c r="I2322" s="10">
        <v>2008</v>
      </c>
      <c r="J2322" s="10" t="s">
        <v>16400</v>
      </c>
      <c r="K2322" s="10">
        <v>204</v>
      </c>
      <c r="L2322" s="10" t="s">
        <v>16401</v>
      </c>
      <c r="M2322" s="10">
        <v>1</v>
      </c>
      <c r="N2322" s="10" t="s">
        <v>16402</v>
      </c>
      <c r="O2322" s="10">
        <v>42</v>
      </c>
      <c r="P2322" s="10" t="s">
        <v>16403</v>
      </c>
      <c r="Q2322" s="10"/>
      <c r="R2322" s="10"/>
      <c r="S2322" s="10" t="s">
        <v>53</v>
      </c>
      <c r="T2322" s="10" t="s">
        <v>6384</v>
      </c>
    </row>
    <row r="2323" spans="1:20" ht="14.5" x14ac:dyDescent="0.35">
      <c r="A2323" s="10" t="s">
        <v>16404</v>
      </c>
      <c r="B2323" s="10" t="str">
        <f>"9789042016842"</f>
        <v>9789042016842</v>
      </c>
      <c r="C2323" s="10" t="str">
        <f>"9789401201520"</f>
        <v>9789401201520</v>
      </c>
      <c r="D2323" s="10" t="s">
        <v>8564</v>
      </c>
      <c r="E2323" s="10" t="s">
        <v>8565</v>
      </c>
      <c r="F2323" s="10" t="s">
        <v>1420</v>
      </c>
      <c r="G2323" s="10" t="s">
        <v>6317</v>
      </c>
      <c r="H2323" s="11">
        <v>38353</v>
      </c>
      <c r="I2323" s="10">
        <v>2005</v>
      </c>
      <c r="J2323" s="10" t="s">
        <v>8565</v>
      </c>
      <c r="K2323" s="10">
        <v>203</v>
      </c>
      <c r="L2323" s="10" t="s">
        <v>16405</v>
      </c>
      <c r="M2323" s="10">
        <v>1</v>
      </c>
      <c r="N2323" s="10" t="s">
        <v>16406</v>
      </c>
      <c r="O2323" s="10">
        <v>22</v>
      </c>
      <c r="P2323" s="10" t="s">
        <v>16407</v>
      </c>
      <c r="Q2323" s="10">
        <v>378</v>
      </c>
      <c r="R2323" s="10" t="s">
        <v>16408</v>
      </c>
      <c r="S2323" s="10" t="s">
        <v>53</v>
      </c>
      <c r="T2323" s="10" t="s">
        <v>54</v>
      </c>
    </row>
    <row r="2324" spans="1:20" ht="14.5" x14ac:dyDescent="0.35">
      <c r="A2324" s="10" t="s">
        <v>16409</v>
      </c>
      <c r="B2324" s="10" t="str">
        <f>"9789042020542"</f>
        <v>9789042020542</v>
      </c>
      <c r="C2324" s="10" t="str">
        <f>"9789401203289"</f>
        <v>9789401203289</v>
      </c>
      <c r="D2324" s="10" t="s">
        <v>8564</v>
      </c>
      <c r="E2324" s="10" t="s">
        <v>8565</v>
      </c>
      <c r="F2324" s="10" t="s">
        <v>1420</v>
      </c>
      <c r="G2324" s="10" t="s">
        <v>6317</v>
      </c>
      <c r="H2324" s="11">
        <v>38718</v>
      </c>
      <c r="I2324" s="10">
        <v>2006</v>
      </c>
      <c r="J2324" s="10" t="s">
        <v>8565</v>
      </c>
      <c r="K2324" s="10">
        <v>215</v>
      </c>
      <c r="L2324" s="10" t="s">
        <v>16410</v>
      </c>
      <c r="M2324" s="10">
        <v>1</v>
      </c>
      <c r="N2324" s="10" t="s">
        <v>16406</v>
      </c>
      <c r="O2324" s="10">
        <v>34</v>
      </c>
      <c r="P2324" s="10" t="s">
        <v>16411</v>
      </c>
      <c r="Q2324" s="10">
        <v>371.33</v>
      </c>
      <c r="R2324" s="10"/>
      <c r="S2324" s="10" t="s">
        <v>53</v>
      </c>
      <c r="T2324" s="10" t="s">
        <v>54</v>
      </c>
    </row>
    <row r="2325" spans="1:20" ht="14.5" x14ac:dyDescent="0.35">
      <c r="A2325" s="10" t="s">
        <v>16412</v>
      </c>
      <c r="B2325" s="10" t="str">
        <f>"9789042021532"</f>
        <v>9789042021532</v>
      </c>
      <c r="C2325" s="10" t="str">
        <f>"9789401203999"</f>
        <v>9789401203999</v>
      </c>
      <c r="D2325" s="10" t="s">
        <v>8564</v>
      </c>
      <c r="E2325" s="10" t="s">
        <v>8565</v>
      </c>
      <c r="F2325" s="10" t="s">
        <v>1420</v>
      </c>
      <c r="G2325" s="10" t="s">
        <v>6317</v>
      </c>
      <c r="H2325" s="11">
        <v>39083</v>
      </c>
      <c r="I2325" s="10">
        <v>2007</v>
      </c>
      <c r="J2325" s="10" t="s">
        <v>16400</v>
      </c>
      <c r="K2325" s="10">
        <v>226</v>
      </c>
      <c r="L2325" s="10" t="s">
        <v>16413</v>
      </c>
      <c r="M2325" s="10">
        <v>1</v>
      </c>
      <c r="N2325" s="10" t="s">
        <v>16414</v>
      </c>
      <c r="O2325" s="10">
        <v>179</v>
      </c>
      <c r="P2325" s="10" t="s">
        <v>16415</v>
      </c>
      <c r="Q2325" s="10"/>
      <c r="R2325" s="10"/>
      <c r="S2325" s="10" t="s">
        <v>53</v>
      </c>
      <c r="T2325" s="10" t="s">
        <v>54</v>
      </c>
    </row>
    <row r="2326" spans="1:20" ht="14.5" x14ac:dyDescent="0.35">
      <c r="A2326" s="10" t="s">
        <v>16416</v>
      </c>
      <c r="B2326" s="10" t="str">
        <f>"9789042023093"</f>
        <v>9789042023093</v>
      </c>
      <c r="C2326" s="10" t="str">
        <f>"9789401205207"</f>
        <v>9789401205207</v>
      </c>
      <c r="D2326" s="10" t="s">
        <v>8564</v>
      </c>
      <c r="E2326" s="10" t="s">
        <v>8565</v>
      </c>
      <c r="F2326" s="10" t="s">
        <v>1420</v>
      </c>
      <c r="G2326" s="10" t="s">
        <v>6317</v>
      </c>
      <c r="H2326" s="11">
        <v>39083</v>
      </c>
      <c r="I2326" s="10">
        <v>2007</v>
      </c>
      <c r="J2326" s="10" t="s">
        <v>16400</v>
      </c>
      <c r="K2326" s="10">
        <v>231</v>
      </c>
      <c r="L2326" s="10" t="s">
        <v>16417</v>
      </c>
      <c r="M2326" s="10">
        <v>1</v>
      </c>
      <c r="N2326" s="10" t="s">
        <v>16406</v>
      </c>
      <c r="O2326" s="10">
        <v>40</v>
      </c>
      <c r="P2326" s="10" t="s">
        <v>16418</v>
      </c>
      <c r="Q2326" s="10" t="s">
        <v>8223</v>
      </c>
      <c r="R2326" s="10"/>
      <c r="S2326" s="10" t="s">
        <v>53</v>
      </c>
      <c r="T2326" s="10" t="s">
        <v>54</v>
      </c>
    </row>
    <row r="2327" spans="1:20" ht="14.5" x14ac:dyDescent="0.35">
      <c r="A2327" s="10" t="s">
        <v>16419</v>
      </c>
      <c r="B2327" s="10" t="str">
        <f>"9789042025882"</f>
        <v>9789042025882</v>
      </c>
      <c r="C2327" s="10" t="str">
        <f>"9789042029224"</f>
        <v>9789042029224</v>
      </c>
      <c r="D2327" s="10" t="s">
        <v>8564</v>
      </c>
      <c r="E2327" s="10" t="s">
        <v>8565</v>
      </c>
      <c r="F2327" s="10" t="s">
        <v>1420</v>
      </c>
      <c r="G2327" s="10" t="s">
        <v>6317</v>
      </c>
      <c r="H2327" s="11">
        <v>39814</v>
      </c>
      <c r="I2327" s="10">
        <v>2009</v>
      </c>
      <c r="J2327" s="10" t="s">
        <v>16400</v>
      </c>
      <c r="K2327" s="10">
        <v>240</v>
      </c>
      <c r="L2327" s="10" t="s">
        <v>16420</v>
      </c>
      <c r="M2327" s="10">
        <v>1</v>
      </c>
      <c r="N2327" s="10" t="s">
        <v>16414</v>
      </c>
      <c r="O2327" s="10">
        <v>204</v>
      </c>
      <c r="P2327" s="10" t="s">
        <v>16421</v>
      </c>
      <c r="Q2327" s="10"/>
      <c r="R2327" s="10"/>
      <c r="S2327" s="10" t="s">
        <v>53</v>
      </c>
      <c r="T2327" s="10" t="s">
        <v>54</v>
      </c>
    </row>
    <row r="2328" spans="1:20" ht="14.5" x14ac:dyDescent="0.35">
      <c r="A2328" s="10" t="s">
        <v>16422</v>
      </c>
      <c r="B2328" s="10" t="str">
        <f>"9789042017269"</f>
        <v>9789042017269</v>
      </c>
      <c r="C2328" s="10" t="str">
        <f>"9789401201704"</f>
        <v>9789401201704</v>
      </c>
      <c r="D2328" s="10" t="s">
        <v>8564</v>
      </c>
      <c r="E2328" s="10" t="s">
        <v>8565</v>
      </c>
      <c r="F2328" s="10" t="s">
        <v>1420</v>
      </c>
      <c r="G2328" s="10" t="s">
        <v>6317</v>
      </c>
      <c r="H2328" s="11">
        <v>38353</v>
      </c>
      <c r="I2328" s="10">
        <v>2005</v>
      </c>
      <c r="J2328" s="10" t="s">
        <v>8565</v>
      </c>
      <c r="K2328" s="10">
        <v>230</v>
      </c>
      <c r="L2328" s="10" t="s">
        <v>16423</v>
      </c>
      <c r="M2328" s="10">
        <v>1</v>
      </c>
      <c r="N2328" s="10" t="s">
        <v>16424</v>
      </c>
      <c r="O2328" s="10">
        <v>87</v>
      </c>
      <c r="P2328" s="10" t="s">
        <v>16425</v>
      </c>
      <c r="Q2328" s="10"/>
      <c r="R2328" s="10"/>
      <c r="S2328" s="10" t="s">
        <v>53</v>
      </c>
      <c r="T2328" s="10" t="s">
        <v>6534</v>
      </c>
    </row>
    <row r="2329" spans="1:20" ht="14.5" x14ac:dyDescent="0.35">
      <c r="A2329" s="10" t="s">
        <v>16426</v>
      </c>
      <c r="B2329" s="10" t="str">
        <f>"9789042019355"</f>
        <v>9789042019355</v>
      </c>
      <c r="C2329" s="10" t="str">
        <f>"9789401202633"</f>
        <v>9789401202633</v>
      </c>
      <c r="D2329" s="10" t="s">
        <v>8564</v>
      </c>
      <c r="E2329" s="10" t="s">
        <v>8565</v>
      </c>
      <c r="F2329" s="10" t="s">
        <v>1420</v>
      </c>
      <c r="G2329" s="10" t="s">
        <v>6317</v>
      </c>
      <c r="H2329" s="11">
        <v>38353</v>
      </c>
      <c r="I2329" s="10">
        <v>2005</v>
      </c>
      <c r="J2329" s="10" t="s">
        <v>8565</v>
      </c>
      <c r="K2329" s="10">
        <v>243</v>
      </c>
      <c r="L2329" s="10" t="s">
        <v>16427</v>
      </c>
      <c r="M2329" s="10">
        <v>1</v>
      </c>
      <c r="N2329" s="10" t="s">
        <v>16428</v>
      </c>
      <c r="O2329" s="10">
        <v>87</v>
      </c>
      <c r="P2329" s="10" t="s">
        <v>16429</v>
      </c>
      <c r="Q2329" s="10"/>
      <c r="R2329" s="10" t="s">
        <v>16430</v>
      </c>
      <c r="S2329" s="10" t="s">
        <v>53</v>
      </c>
      <c r="T2329" s="10" t="s">
        <v>1166</v>
      </c>
    </row>
    <row r="2330" spans="1:20" ht="14.5" x14ac:dyDescent="0.35">
      <c r="A2330" s="10" t="s">
        <v>16431</v>
      </c>
      <c r="B2330" s="10" t="str">
        <f>"9789042023420"</f>
        <v>9789042023420</v>
      </c>
      <c r="C2330" s="10" t="str">
        <f>"9789401205412"</f>
        <v>9789401205412</v>
      </c>
      <c r="D2330" s="10" t="s">
        <v>8564</v>
      </c>
      <c r="E2330" s="10" t="s">
        <v>8565</v>
      </c>
      <c r="F2330" s="10" t="s">
        <v>1420</v>
      </c>
      <c r="G2330" s="10" t="s">
        <v>6317</v>
      </c>
      <c r="H2330" s="11">
        <v>39448</v>
      </c>
      <c r="I2330" s="10">
        <v>2008</v>
      </c>
      <c r="J2330" s="10" t="s">
        <v>16400</v>
      </c>
      <c r="K2330" s="10">
        <v>264</v>
      </c>
      <c r="L2330" s="10" t="s">
        <v>16432</v>
      </c>
      <c r="M2330" s="10">
        <v>1</v>
      </c>
      <c r="N2330" s="10" t="s">
        <v>16414</v>
      </c>
      <c r="O2330" s="10">
        <v>192</v>
      </c>
      <c r="P2330" s="10" t="s">
        <v>16415</v>
      </c>
      <c r="Q2330" s="10"/>
      <c r="R2330" s="10"/>
      <c r="S2330" s="10" t="s">
        <v>53</v>
      </c>
      <c r="T2330" s="10" t="s">
        <v>54</v>
      </c>
    </row>
    <row r="2331" spans="1:20" ht="14.5" x14ac:dyDescent="0.35">
      <c r="A2331" s="10" t="s">
        <v>16433</v>
      </c>
      <c r="B2331" s="10" t="str">
        <f>"9789042022782"</f>
        <v>9789042022782</v>
      </c>
      <c r="C2331" s="10" t="str">
        <f>"9789401204965"</f>
        <v>9789401204965</v>
      </c>
      <c r="D2331" s="10" t="s">
        <v>8564</v>
      </c>
      <c r="E2331" s="10" t="s">
        <v>8565</v>
      </c>
      <c r="F2331" s="10" t="s">
        <v>1420</v>
      </c>
      <c r="G2331" s="10" t="s">
        <v>6317</v>
      </c>
      <c r="H2331" s="11">
        <v>39083</v>
      </c>
      <c r="I2331" s="10">
        <v>2007</v>
      </c>
      <c r="J2331" s="10" t="s">
        <v>16400</v>
      </c>
      <c r="K2331" s="10">
        <v>283</v>
      </c>
      <c r="L2331" s="10" t="s">
        <v>16434</v>
      </c>
      <c r="M2331" s="10">
        <v>1</v>
      </c>
      <c r="N2331" s="10" t="s">
        <v>16435</v>
      </c>
      <c r="O2331" s="10">
        <v>20</v>
      </c>
      <c r="P2331" s="10" t="s">
        <v>16436</v>
      </c>
      <c r="Q2331" s="10"/>
      <c r="R2331" s="10"/>
      <c r="S2331" s="10" t="s">
        <v>53</v>
      </c>
      <c r="T2331" s="10" t="s">
        <v>54</v>
      </c>
    </row>
    <row r="2332" spans="1:20" ht="14.5" x14ac:dyDescent="0.35">
      <c r="A2332" s="10" t="s">
        <v>16437</v>
      </c>
      <c r="B2332" s="10" t="str">
        <f>"9789042024045"</f>
        <v>9789042024045</v>
      </c>
      <c r="C2332" s="10" t="str">
        <f>"9789401205900"</f>
        <v>9789401205900</v>
      </c>
      <c r="D2332" s="10" t="s">
        <v>8564</v>
      </c>
      <c r="E2332" s="10" t="s">
        <v>8565</v>
      </c>
      <c r="F2332" s="10" t="s">
        <v>1420</v>
      </c>
      <c r="G2332" s="10" t="s">
        <v>6317</v>
      </c>
      <c r="H2332" s="11">
        <v>39448</v>
      </c>
      <c r="I2332" s="10">
        <v>2008</v>
      </c>
      <c r="J2332" s="10" t="s">
        <v>16400</v>
      </c>
      <c r="K2332" s="10">
        <v>365</v>
      </c>
      <c r="L2332" s="10" t="s">
        <v>16438</v>
      </c>
      <c r="M2332" s="10">
        <v>1</v>
      </c>
      <c r="N2332" s="10" t="s">
        <v>16406</v>
      </c>
      <c r="O2332" s="10">
        <v>48</v>
      </c>
      <c r="P2332" s="10" t="s">
        <v>16439</v>
      </c>
      <c r="Q2332" s="10">
        <v>378.73</v>
      </c>
      <c r="R2332" s="10"/>
      <c r="S2332" s="10" t="s">
        <v>53</v>
      </c>
      <c r="T2332" s="10" t="s">
        <v>54</v>
      </c>
    </row>
    <row r="2333" spans="1:20" ht="14.5" x14ac:dyDescent="0.35">
      <c r="A2333" s="10" t="s">
        <v>16440</v>
      </c>
      <c r="B2333" s="10" t="str">
        <f>"9789042030824"</f>
        <v>9789042030824</v>
      </c>
      <c r="C2333" s="10" t="str">
        <f>"9789042030831"</f>
        <v>9789042030831</v>
      </c>
      <c r="D2333" s="10" t="s">
        <v>8564</v>
      </c>
      <c r="E2333" s="10" t="s">
        <v>8565</v>
      </c>
      <c r="F2333" s="10" t="s">
        <v>1420</v>
      </c>
      <c r="G2333" s="10" t="s">
        <v>6317</v>
      </c>
      <c r="H2333" s="11">
        <v>40179</v>
      </c>
      <c r="I2333" s="10">
        <v>2010</v>
      </c>
      <c r="J2333" s="10" t="s">
        <v>16400</v>
      </c>
      <c r="K2333" s="10">
        <v>209</v>
      </c>
      <c r="L2333" s="10" t="s">
        <v>16441</v>
      </c>
      <c r="M2333" s="10">
        <v>1</v>
      </c>
      <c r="N2333" s="10" t="s">
        <v>16406</v>
      </c>
      <c r="O2333" s="10">
        <v>69</v>
      </c>
      <c r="P2333" s="10" t="s">
        <v>16442</v>
      </c>
      <c r="Q2333" s="10">
        <v>303.48329999999999</v>
      </c>
      <c r="R2333" s="10"/>
      <c r="S2333" s="10" t="s">
        <v>53</v>
      </c>
      <c r="T2333" s="10" t="s">
        <v>16443</v>
      </c>
    </row>
    <row r="2334" spans="1:20" ht="14.5" x14ac:dyDescent="0.35">
      <c r="A2334" s="10" t="s">
        <v>16444</v>
      </c>
      <c r="B2334" s="10" t="str">
        <f>"9780335236084"</f>
        <v>9780335236084</v>
      </c>
      <c r="C2334" s="10" t="str">
        <f>"9780335239313"</f>
        <v>9780335239313</v>
      </c>
      <c r="D2334" s="10" t="s">
        <v>10342</v>
      </c>
      <c r="E2334" s="10" t="s">
        <v>10343</v>
      </c>
      <c r="F2334" s="10" t="s">
        <v>10344</v>
      </c>
      <c r="G2334" s="10" t="s">
        <v>6352</v>
      </c>
      <c r="H2334" s="11">
        <v>40269</v>
      </c>
      <c r="I2334" s="10">
        <v>2010</v>
      </c>
      <c r="J2334" s="10" t="s">
        <v>10345</v>
      </c>
      <c r="K2334" s="10">
        <v>205</v>
      </c>
      <c r="L2334" s="10" t="s">
        <v>16445</v>
      </c>
      <c r="M2334" s="10">
        <v>1</v>
      </c>
      <c r="N2334" s="10" t="s">
        <v>10347</v>
      </c>
      <c r="O2334" s="10"/>
      <c r="P2334" s="10" t="s">
        <v>16446</v>
      </c>
      <c r="Q2334" s="10">
        <v>371.20699999999999</v>
      </c>
      <c r="R2334" s="10" t="s">
        <v>10073</v>
      </c>
      <c r="S2334" s="10" t="s">
        <v>53</v>
      </c>
      <c r="T2334" s="10" t="s">
        <v>54</v>
      </c>
    </row>
    <row r="2335" spans="1:20" ht="14.5" x14ac:dyDescent="0.35">
      <c r="A2335" s="10" t="s">
        <v>16447</v>
      </c>
      <c r="B2335" s="10" t="str">
        <f>"9780335216123"</f>
        <v>9780335216123</v>
      </c>
      <c r="C2335" s="10" t="str">
        <f>"9780335242511"</f>
        <v>9780335242511</v>
      </c>
      <c r="D2335" s="10" t="s">
        <v>10342</v>
      </c>
      <c r="E2335" s="10" t="s">
        <v>10343</v>
      </c>
      <c r="F2335" s="10" t="s">
        <v>10344</v>
      </c>
      <c r="G2335" s="10" t="s">
        <v>6352</v>
      </c>
      <c r="H2335" s="11">
        <v>40087</v>
      </c>
      <c r="I2335" s="10">
        <v>2009</v>
      </c>
      <c r="J2335" s="10" t="s">
        <v>10345</v>
      </c>
      <c r="K2335" s="10">
        <v>174</v>
      </c>
      <c r="L2335" s="10" t="s">
        <v>16448</v>
      </c>
      <c r="M2335" s="10">
        <v>1</v>
      </c>
      <c r="N2335" s="10"/>
      <c r="O2335" s="10"/>
      <c r="P2335" s="10" t="s">
        <v>16449</v>
      </c>
      <c r="Q2335" s="10">
        <v>158.69999999999999</v>
      </c>
      <c r="R2335" s="10" t="s">
        <v>16450</v>
      </c>
      <c r="S2335" s="10" t="s">
        <v>53</v>
      </c>
      <c r="T2335" s="10" t="s">
        <v>9448</v>
      </c>
    </row>
    <row r="2336" spans="1:20" ht="14.5" x14ac:dyDescent="0.35">
      <c r="A2336" s="10" t="s">
        <v>16451</v>
      </c>
      <c r="B2336" s="10" t="str">
        <f>"9780335236183"</f>
        <v>9780335236183</v>
      </c>
      <c r="C2336" s="10" t="str">
        <f>"9780335239924"</f>
        <v>9780335239924</v>
      </c>
      <c r="D2336" s="10" t="s">
        <v>10342</v>
      </c>
      <c r="E2336" s="10" t="s">
        <v>10343</v>
      </c>
      <c r="F2336" s="10" t="s">
        <v>10344</v>
      </c>
      <c r="G2336" s="10" t="s">
        <v>6352</v>
      </c>
      <c r="H2336" s="11">
        <v>40238</v>
      </c>
      <c r="I2336" s="10">
        <v>2010</v>
      </c>
      <c r="J2336" s="10" t="s">
        <v>10345</v>
      </c>
      <c r="K2336" s="10">
        <v>231</v>
      </c>
      <c r="L2336" s="10" t="s">
        <v>16452</v>
      </c>
      <c r="M2336" s="10">
        <v>1</v>
      </c>
      <c r="N2336" s="10" t="s">
        <v>10347</v>
      </c>
      <c r="O2336" s="10"/>
      <c r="P2336" s="10" t="s">
        <v>16453</v>
      </c>
      <c r="Q2336" s="10"/>
      <c r="R2336" s="10"/>
      <c r="S2336" s="10" t="s">
        <v>53</v>
      </c>
      <c r="T2336" s="10" t="s">
        <v>13819</v>
      </c>
    </row>
    <row r="2337" spans="1:20" ht="14.5" x14ac:dyDescent="0.35">
      <c r="A2337" s="10" t="s">
        <v>16454</v>
      </c>
      <c r="B2337" s="10" t="str">
        <f>"9780335237975"</f>
        <v>9780335237975</v>
      </c>
      <c r="C2337" s="10" t="str">
        <f>"9780335240166"</f>
        <v>9780335240166</v>
      </c>
      <c r="D2337" s="10" t="s">
        <v>10342</v>
      </c>
      <c r="E2337" s="10" t="s">
        <v>10343</v>
      </c>
      <c r="F2337" s="10" t="s">
        <v>10344</v>
      </c>
      <c r="G2337" s="10" t="s">
        <v>6352</v>
      </c>
      <c r="H2337" s="11">
        <v>40238</v>
      </c>
      <c r="I2337" s="10">
        <v>2010</v>
      </c>
      <c r="J2337" s="10" t="s">
        <v>10345</v>
      </c>
      <c r="K2337" s="10">
        <v>190</v>
      </c>
      <c r="L2337" s="10" t="s">
        <v>16455</v>
      </c>
      <c r="M2337" s="10">
        <v>2</v>
      </c>
      <c r="N2337" s="10" t="s">
        <v>10408</v>
      </c>
      <c r="O2337" s="10"/>
      <c r="P2337" s="10" t="s">
        <v>16456</v>
      </c>
      <c r="Q2337" s="10">
        <v>500</v>
      </c>
      <c r="R2337" s="10" t="s">
        <v>16457</v>
      </c>
      <c r="S2337" s="10" t="s">
        <v>53</v>
      </c>
      <c r="T2337" s="10" t="s">
        <v>9608</v>
      </c>
    </row>
    <row r="2338" spans="1:20" ht="14.5" x14ac:dyDescent="0.35">
      <c r="A2338" s="10" t="s">
        <v>16458</v>
      </c>
      <c r="B2338" s="10" t="str">
        <f>"9780335238583"</f>
        <v>9780335238583</v>
      </c>
      <c r="C2338" s="10" t="str">
        <f>"9780335238590"</f>
        <v>9780335238590</v>
      </c>
      <c r="D2338" s="10" t="s">
        <v>10342</v>
      </c>
      <c r="E2338" s="10" t="s">
        <v>10343</v>
      </c>
      <c r="F2338" s="10" t="s">
        <v>10344</v>
      </c>
      <c r="G2338" s="10" t="s">
        <v>6352</v>
      </c>
      <c r="H2338" s="11">
        <v>40238</v>
      </c>
      <c r="I2338" s="10">
        <v>2010</v>
      </c>
      <c r="J2338" s="10" t="s">
        <v>10345</v>
      </c>
      <c r="K2338" s="10">
        <v>367</v>
      </c>
      <c r="L2338" s="10" t="s">
        <v>16459</v>
      </c>
      <c r="M2338" s="10">
        <v>2</v>
      </c>
      <c r="N2338" s="10" t="s">
        <v>10347</v>
      </c>
      <c r="O2338" s="10"/>
      <c r="P2338" s="10" t="s">
        <v>16460</v>
      </c>
      <c r="Q2338" s="10">
        <v>507.1</v>
      </c>
      <c r="R2338" s="10" t="s">
        <v>16461</v>
      </c>
      <c r="S2338" s="10" t="s">
        <v>53</v>
      </c>
      <c r="T2338" s="10" t="s">
        <v>7193</v>
      </c>
    </row>
    <row r="2339" spans="1:20" ht="14.5" x14ac:dyDescent="0.35">
      <c r="A2339" s="10" t="s">
        <v>16462</v>
      </c>
      <c r="B2339" s="10" t="str">
        <f>"9780335237876"</f>
        <v>9780335237876</v>
      </c>
      <c r="C2339" s="10" t="str">
        <f>"9780335240814"</f>
        <v>9780335240814</v>
      </c>
      <c r="D2339" s="10" t="s">
        <v>10342</v>
      </c>
      <c r="E2339" s="10" t="s">
        <v>10343</v>
      </c>
      <c r="F2339" s="10" t="s">
        <v>10344</v>
      </c>
      <c r="G2339" s="10" t="s">
        <v>6352</v>
      </c>
      <c r="H2339" s="11">
        <v>40238</v>
      </c>
      <c r="I2339" s="10">
        <v>2010</v>
      </c>
      <c r="J2339" s="10" t="s">
        <v>10345</v>
      </c>
      <c r="K2339" s="10">
        <v>287</v>
      </c>
      <c r="L2339" s="10" t="s">
        <v>11081</v>
      </c>
      <c r="M2339" s="10">
        <v>1</v>
      </c>
      <c r="N2339" s="10" t="s">
        <v>10347</v>
      </c>
      <c r="O2339" s="10"/>
      <c r="P2339" s="10" t="s">
        <v>16463</v>
      </c>
      <c r="Q2339" s="10">
        <v>372.21</v>
      </c>
      <c r="R2339" s="10" t="s">
        <v>16464</v>
      </c>
      <c r="S2339" s="10" t="s">
        <v>53</v>
      </c>
      <c r="T2339" s="10" t="s">
        <v>54</v>
      </c>
    </row>
    <row r="2340" spans="1:20" ht="14.5" x14ac:dyDescent="0.35">
      <c r="A2340" s="10" t="s">
        <v>16465</v>
      </c>
      <c r="B2340" s="10" t="str">
        <f>"9780833049599"</f>
        <v>9780833049599</v>
      </c>
      <c r="C2340" s="10" t="str">
        <f>"9780833049858"</f>
        <v>9780833049858</v>
      </c>
      <c r="D2340" s="10" t="s">
        <v>8134</v>
      </c>
      <c r="E2340" s="10" t="s">
        <v>8135</v>
      </c>
      <c r="F2340" s="10" t="s">
        <v>8136</v>
      </c>
      <c r="G2340" s="10" t="s">
        <v>6317</v>
      </c>
      <c r="H2340" s="11">
        <v>40276</v>
      </c>
      <c r="I2340" s="10">
        <v>2010</v>
      </c>
      <c r="J2340" s="10" t="s">
        <v>8363</v>
      </c>
      <c r="K2340" s="10">
        <v>70</v>
      </c>
      <c r="L2340" s="10" t="s">
        <v>16466</v>
      </c>
      <c r="M2340" s="10">
        <v>1</v>
      </c>
      <c r="N2340" s="10"/>
      <c r="O2340" s="10"/>
      <c r="P2340" s="10" t="s">
        <v>16467</v>
      </c>
      <c r="Q2340" s="10" t="s">
        <v>11803</v>
      </c>
      <c r="R2340" s="10" t="s">
        <v>16468</v>
      </c>
      <c r="S2340" s="10" t="s">
        <v>53</v>
      </c>
      <c r="T2340" s="10" t="s">
        <v>54</v>
      </c>
    </row>
    <row r="2341" spans="1:20" ht="14.5" x14ac:dyDescent="0.35">
      <c r="A2341" s="10" t="s">
        <v>16469</v>
      </c>
      <c r="B2341" s="10" t="str">
        <f>"9780415876742"</f>
        <v>9780415876742</v>
      </c>
      <c r="C2341" s="10" t="str">
        <f>"9780203848586"</f>
        <v>9780203848586</v>
      </c>
      <c r="D2341" s="10" t="s">
        <v>6350</v>
      </c>
      <c r="E2341" s="10" t="s">
        <v>6351</v>
      </c>
      <c r="F2341" s="10" t="s">
        <v>139</v>
      </c>
      <c r="G2341" s="10" t="s">
        <v>6352</v>
      </c>
      <c r="H2341" s="11">
        <v>40378</v>
      </c>
      <c r="I2341" s="10">
        <v>2010</v>
      </c>
      <c r="J2341" s="10" t="s">
        <v>6353</v>
      </c>
      <c r="K2341" s="10">
        <v>366</v>
      </c>
      <c r="L2341" s="10" t="s">
        <v>16470</v>
      </c>
      <c r="M2341" s="10">
        <v>1</v>
      </c>
      <c r="N2341" s="10" t="s">
        <v>6954</v>
      </c>
      <c r="O2341" s="10"/>
      <c r="P2341" s="10" t="s">
        <v>16471</v>
      </c>
      <c r="Q2341" s="10">
        <v>370.11700000000002</v>
      </c>
      <c r="R2341" s="10" t="s">
        <v>6809</v>
      </c>
      <c r="S2341" s="10" t="s">
        <v>53</v>
      </c>
      <c r="T2341" s="10" t="s">
        <v>54</v>
      </c>
    </row>
    <row r="2342" spans="1:20" ht="14.5" x14ac:dyDescent="0.35">
      <c r="A2342" s="10" t="s">
        <v>16472</v>
      </c>
      <c r="B2342" s="10" t="str">
        <f>"9780415998819"</f>
        <v>9780415998819</v>
      </c>
      <c r="C2342" s="10" t="str">
        <f>"9780203845219"</f>
        <v>9780203845219</v>
      </c>
      <c r="D2342" s="10" t="s">
        <v>6350</v>
      </c>
      <c r="E2342" s="10" t="s">
        <v>6351</v>
      </c>
      <c r="F2342" s="10" t="s">
        <v>139</v>
      </c>
      <c r="G2342" s="10" t="s">
        <v>6352</v>
      </c>
      <c r="H2342" s="11">
        <v>40352</v>
      </c>
      <c r="I2342" s="10">
        <v>2010</v>
      </c>
      <c r="J2342" s="10" t="s">
        <v>6353</v>
      </c>
      <c r="K2342" s="10">
        <v>132</v>
      </c>
      <c r="L2342" s="10" t="s">
        <v>16473</v>
      </c>
      <c r="M2342" s="10">
        <v>1</v>
      </c>
      <c r="N2342" s="10" t="s">
        <v>6954</v>
      </c>
      <c r="O2342" s="10"/>
      <c r="P2342" s="10" t="s">
        <v>16474</v>
      </c>
      <c r="Q2342" s="10">
        <v>371.90460960000001</v>
      </c>
      <c r="R2342" s="10" t="s">
        <v>16475</v>
      </c>
      <c r="S2342" s="10" t="s">
        <v>53</v>
      </c>
      <c r="T2342" s="10" t="s">
        <v>54</v>
      </c>
    </row>
    <row r="2343" spans="1:20" ht="14.5" x14ac:dyDescent="0.35">
      <c r="A2343" s="10" t="s">
        <v>16476</v>
      </c>
      <c r="B2343" s="10" t="str">
        <f>"9780415487467"</f>
        <v>9780415487467</v>
      </c>
      <c r="C2343" s="10" t="str">
        <f>"9780203881880"</f>
        <v>9780203881880</v>
      </c>
      <c r="D2343" s="10" t="s">
        <v>6350</v>
      </c>
      <c r="E2343" s="10" t="s">
        <v>6351</v>
      </c>
      <c r="F2343" s="10" t="s">
        <v>748</v>
      </c>
      <c r="G2343" s="10" t="s">
        <v>6352</v>
      </c>
      <c r="H2343" s="11">
        <v>40413</v>
      </c>
      <c r="I2343" s="10">
        <v>2011</v>
      </c>
      <c r="J2343" s="10" t="s">
        <v>6351</v>
      </c>
      <c r="K2343" s="10">
        <v>256</v>
      </c>
      <c r="L2343" s="10" t="s">
        <v>16477</v>
      </c>
      <c r="M2343" s="10">
        <v>1</v>
      </c>
      <c r="N2343" s="10" t="s">
        <v>16478</v>
      </c>
      <c r="O2343" s="10"/>
      <c r="P2343" s="10" t="s">
        <v>16479</v>
      </c>
      <c r="Q2343" s="10">
        <v>370.1</v>
      </c>
      <c r="R2343" s="10" t="s">
        <v>16480</v>
      </c>
      <c r="S2343" s="10" t="s">
        <v>53</v>
      </c>
      <c r="T2343" s="10" t="s">
        <v>54</v>
      </c>
    </row>
    <row r="2344" spans="1:20" ht="14.5" x14ac:dyDescent="0.35">
      <c r="A2344" s="10" t="s">
        <v>16481</v>
      </c>
      <c r="B2344" s="10" t="str">
        <f>"9780415489843"</f>
        <v>9780415489843</v>
      </c>
      <c r="C2344" s="10" t="str">
        <f>"9780203846797"</f>
        <v>9780203846797</v>
      </c>
      <c r="D2344" s="10" t="s">
        <v>6350</v>
      </c>
      <c r="E2344" s="10" t="s">
        <v>6351</v>
      </c>
      <c r="F2344" s="10" t="s">
        <v>748</v>
      </c>
      <c r="G2344" s="10" t="s">
        <v>6352</v>
      </c>
      <c r="H2344" s="11">
        <v>40417</v>
      </c>
      <c r="I2344" s="10">
        <v>2011</v>
      </c>
      <c r="J2344" s="10" t="s">
        <v>6351</v>
      </c>
      <c r="K2344" s="10">
        <v>193</v>
      </c>
      <c r="L2344" s="10" t="s">
        <v>16482</v>
      </c>
      <c r="M2344" s="10">
        <v>1</v>
      </c>
      <c r="N2344" s="10"/>
      <c r="O2344" s="10"/>
      <c r="P2344" s="10" t="s">
        <v>16483</v>
      </c>
      <c r="Q2344" s="10" t="s">
        <v>16484</v>
      </c>
      <c r="R2344" s="10" t="s">
        <v>16485</v>
      </c>
      <c r="S2344" s="10" t="s">
        <v>53</v>
      </c>
      <c r="T2344" s="10" t="s">
        <v>54</v>
      </c>
    </row>
    <row r="2345" spans="1:20" ht="14.5" x14ac:dyDescent="0.35">
      <c r="A2345" s="10" t="s">
        <v>16486</v>
      </c>
      <c r="B2345" s="10" t="str">
        <f>"9780816669608"</f>
        <v>9780816669608</v>
      </c>
      <c r="C2345" s="10" t="str">
        <f>"9780816673773"</f>
        <v>9780816673773</v>
      </c>
      <c r="D2345" s="10" t="s">
        <v>11428</v>
      </c>
      <c r="E2345" s="10" t="s">
        <v>11428</v>
      </c>
      <c r="F2345" s="10" t="s">
        <v>2186</v>
      </c>
      <c r="G2345" s="10" t="s">
        <v>6317</v>
      </c>
      <c r="H2345" s="11">
        <v>40179</v>
      </c>
      <c r="I2345" s="10">
        <v>2010</v>
      </c>
      <c r="J2345" s="10" t="s">
        <v>11428</v>
      </c>
      <c r="K2345" s="10">
        <v>305</v>
      </c>
      <c r="L2345" s="10" t="s">
        <v>16487</v>
      </c>
      <c r="M2345" s="10">
        <v>1</v>
      </c>
      <c r="N2345" s="10"/>
      <c r="O2345" s="10"/>
      <c r="P2345" s="10" t="s">
        <v>16488</v>
      </c>
      <c r="Q2345" s="10" t="s">
        <v>16489</v>
      </c>
      <c r="R2345" s="10" t="s">
        <v>16490</v>
      </c>
      <c r="S2345" s="10" t="s">
        <v>53</v>
      </c>
      <c r="T2345" s="10" t="s">
        <v>54</v>
      </c>
    </row>
    <row r="2346" spans="1:20" ht="14.5" x14ac:dyDescent="0.35">
      <c r="A2346" s="10" t="s">
        <v>16491</v>
      </c>
      <c r="B2346" s="10" t="str">
        <f>"9780816667567"</f>
        <v>9780816667567</v>
      </c>
      <c r="C2346" s="10" t="str">
        <f>"9780816670697"</f>
        <v>9780816670697</v>
      </c>
      <c r="D2346" s="10" t="s">
        <v>11428</v>
      </c>
      <c r="E2346" s="10" t="s">
        <v>11428</v>
      </c>
      <c r="F2346" s="10" t="s">
        <v>2186</v>
      </c>
      <c r="G2346" s="10" t="s">
        <v>6317</v>
      </c>
      <c r="H2346" s="11">
        <v>39814</v>
      </c>
      <c r="I2346" s="10">
        <v>2009</v>
      </c>
      <c r="J2346" s="10" t="s">
        <v>11428</v>
      </c>
      <c r="K2346" s="10">
        <v>222</v>
      </c>
      <c r="L2346" s="10" t="s">
        <v>16492</v>
      </c>
      <c r="M2346" s="10">
        <v>1</v>
      </c>
      <c r="N2346" s="10"/>
      <c r="O2346" s="10"/>
      <c r="P2346" s="10" t="s">
        <v>16493</v>
      </c>
      <c r="Q2346" s="10" t="s">
        <v>16494</v>
      </c>
      <c r="R2346" s="10" t="s">
        <v>16495</v>
      </c>
      <c r="S2346" s="10" t="s">
        <v>53</v>
      </c>
      <c r="T2346" s="10" t="s">
        <v>7340</v>
      </c>
    </row>
    <row r="2347" spans="1:20" ht="14.5" x14ac:dyDescent="0.35">
      <c r="A2347" s="10" t="s">
        <v>16496</v>
      </c>
      <c r="B2347" s="10" t="str">
        <f>"9789089642295"</f>
        <v>9789089642295</v>
      </c>
      <c r="C2347" s="10" t="str">
        <f>"9789048512386"</f>
        <v>9789048512386</v>
      </c>
      <c r="D2347" s="10" t="s">
        <v>13287</v>
      </c>
      <c r="E2347" s="10" t="s">
        <v>13287</v>
      </c>
      <c r="F2347" s="10" t="s">
        <v>1818</v>
      </c>
      <c r="G2347" s="10" t="s">
        <v>9233</v>
      </c>
      <c r="H2347" s="11">
        <v>40179</v>
      </c>
      <c r="I2347" s="10">
        <v>2009</v>
      </c>
      <c r="J2347" s="10" t="s">
        <v>13287</v>
      </c>
      <c r="K2347" s="10">
        <v>225</v>
      </c>
      <c r="L2347" s="10" t="s">
        <v>16497</v>
      </c>
      <c r="M2347" s="10">
        <v>1</v>
      </c>
      <c r="N2347" s="10"/>
      <c r="O2347" s="10"/>
      <c r="P2347" s="10" t="s">
        <v>16498</v>
      </c>
      <c r="Q2347" s="10">
        <v>378.4</v>
      </c>
      <c r="R2347" s="10" t="s">
        <v>16499</v>
      </c>
      <c r="S2347" s="10" t="s">
        <v>53</v>
      </c>
      <c r="T2347" s="10" t="s">
        <v>54</v>
      </c>
    </row>
    <row r="2348" spans="1:20" ht="14.5" x14ac:dyDescent="0.35">
      <c r="A2348" s="10" t="s">
        <v>16500</v>
      </c>
      <c r="B2348" s="10" t="str">
        <f>"9781409401070"</f>
        <v>9781409401070</v>
      </c>
      <c r="C2348" s="10" t="str">
        <f>"9781409401087"</f>
        <v>9781409401087</v>
      </c>
      <c r="D2348" s="10" t="s">
        <v>6350</v>
      </c>
      <c r="E2348" s="10" t="s">
        <v>6351</v>
      </c>
      <c r="F2348" s="10" t="s">
        <v>3967</v>
      </c>
      <c r="G2348" s="10" t="s">
        <v>6352</v>
      </c>
      <c r="H2348" s="11">
        <v>40449</v>
      </c>
      <c r="I2348" s="10">
        <v>2010</v>
      </c>
      <c r="J2348" s="10" t="s">
        <v>6353</v>
      </c>
      <c r="K2348" s="10">
        <v>207</v>
      </c>
      <c r="L2348" s="10" t="s">
        <v>16501</v>
      </c>
      <c r="M2348" s="10">
        <v>1</v>
      </c>
      <c r="N2348" s="10"/>
      <c r="O2348" s="10"/>
      <c r="P2348" s="10" t="s">
        <v>16502</v>
      </c>
      <c r="Q2348" s="10">
        <v>303.48340954960003</v>
      </c>
      <c r="R2348" s="10" t="s">
        <v>16503</v>
      </c>
      <c r="S2348" s="10" t="s">
        <v>53</v>
      </c>
      <c r="T2348" s="10" t="s">
        <v>6363</v>
      </c>
    </row>
    <row r="2349" spans="1:20" ht="14.5" x14ac:dyDescent="0.35">
      <c r="A2349" s="10" t="s">
        <v>16504</v>
      </c>
      <c r="B2349" s="10" t="str">
        <f>"9780754678779"</f>
        <v>9780754678779</v>
      </c>
      <c r="C2349" s="10" t="str">
        <f>"9780754697329"</f>
        <v>9780754697329</v>
      </c>
      <c r="D2349" s="10" t="s">
        <v>6350</v>
      </c>
      <c r="E2349" s="10" t="s">
        <v>6351</v>
      </c>
      <c r="F2349" s="10" t="s">
        <v>15682</v>
      </c>
      <c r="G2349" s="10" t="s">
        <v>6352</v>
      </c>
      <c r="H2349" s="11">
        <v>42440</v>
      </c>
      <c r="I2349" s="10">
        <v>2010</v>
      </c>
      <c r="J2349" s="10" t="s">
        <v>6353</v>
      </c>
      <c r="K2349" s="10">
        <v>201</v>
      </c>
      <c r="L2349" s="10" t="s">
        <v>16505</v>
      </c>
      <c r="M2349" s="10">
        <v>1</v>
      </c>
      <c r="N2349" s="10" t="s">
        <v>16506</v>
      </c>
      <c r="O2349" s="10"/>
      <c r="P2349" s="10" t="s">
        <v>16507</v>
      </c>
      <c r="Q2349" s="10">
        <v>307.14096762000003</v>
      </c>
      <c r="R2349" s="10" t="s">
        <v>16508</v>
      </c>
      <c r="S2349" s="10" t="s">
        <v>53</v>
      </c>
      <c r="T2349" s="10" t="s">
        <v>6363</v>
      </c>
    </row>
    <row r="2350" spans="1:20" ht="14.5" x14ac:dyDescent="0.35">
      <c r="A2350" s="10" t="s">
        <v>16509</v>
      </c>
      <c r="B2350" s="10" t="str">
        <f>"9780754678670"</f>
        <v>9780754678670</v>
      </c>
      <c r="C2350" s="10" t="str">
        <f>"9780754697107"</f>
        <v>9780754697107</v>
      </c>
      <c r="D2350" s="10" t="s">
        <v>6350</v>
      </c>
      <c r="E2350" s="10" t="s">
        <v>6351</v>
      </c>
      <c r="F2350" s="10" t="s">
        <v>748</v>
      </c>
      <c r="G2350" s="10" t="s">
        <v>6352</v>
      </c>
      <c r="H2350" s="11">
        <v>40444</v>
      </c>
      <c r="I2350" s="10">
        <v>2010</v>
      </c>
      <c r="J2350" s="10" t="s">
        <v>6351</v>
      </c>
      <c r="K2350" s="10">
        <v>218</v>
      </c>
      <c r="L2350" s="10" t="s">
        <v>16510</v>
      </c>
      <c r="M2350" s="10">
        <v>1</v>
      </c>
      <c r="N2350" s="10"/>
      <c r="O2350" s="10"/>
      <c r="P2350" s="10" t="s">
        <v>16511</v>
      </c>
      <c r="Q2350" s="10" t="s">
        <v>16512</v>
      </c>
      <c r="R2350" s="10" t="s">
        <v>16513</v>
      </c>
      <c r="S2350" s="10" t="s">
        <v>53</v>
      </c>
      <c r="T2350" s="10" t="s">
        <v>54</v>
      </c>
    </row>
    <row r="2351" spans="1:20" ht="14.5" x14ac:dyDescent="0.35">
      <c r="A2351" s="10" t="s">
        <v>16514</v>
      </c>
      <c r="B2351" s="10" t="str">
        <f>"9781416610236"</f>
        <v>9781416610236</v>
      </c>
      <c r="C2351" s="10" t="str">
        <f>"9781416611295"</f>
        <v>9781416611295</v>
      </c>
      <c r="D2351" s="10" t="s">
        <v>10014</v>
      </c>
      <c r="E2351" s="10" t="s">
        <v>10015</v>
      </c>
      <c r="F2351" s="10" t="s">
        <v>201</v>
      </c>
      <c r="G2351" s="10" t="s">
        <v>6317</v>
      </c>
      <c r="H2351" s="11">
        <v>40420</v>
      </c>
      <c r="I2351" s="10">
        <v>2010</v>
      </c>
      <c r="J2351" s="10" t="s">
        <v>10015</v>
      </c>
      <c r="K2351" s="10">
        <v>206</v>
      </c>
      <c r="L2351" s="10" t="s">
        <v>16515</v>
      </c>
      <c r="M2351" s="10">
        <v>1</v>
      </c>
      <c r="N2351" s="10"/>
      <c r="O2351" s="10"/>
      <c r="P2351" s="10" t="s">
        <v>16516</v>
      </c>
      <c r="Q2351" s="10">
        <v>371.2</v>
      </c>
      <c r="R2351" s="10" t="s">
        <v>16517</v>
      </c>
      <c r="S2351" s="10" t="s">
        <v>53</v>
      </c>
      <c r="T2351" s="10" t="s">
        <v>54</v>
      </c>
    </row>
    <row r="2352" spans="1:20" ht="14.5" x14ac:dyDescent="0.35">
      <c r="A2352" s="10" t="s">
        <v>16518</v>
      </c>
      <c r="B2352" s="10" t="str">
        <f>"9781416610243"</f>
        <v>9781416610243</v>
      </c>
      <c r="C2352" s="10" t="str">
        <f>"9781416611172"</f>
        <v>9781416611172</v>
      </c>
      <c r="D2352" s="10" t="s">
        <v>10014</v>
      </c>
      <c r="E2352" s="10" t="s">
        <v>10015</v>
      </c>
      <c r="F2352" s="10" t="s">
        <v>201</v>
      </c>
      <c r="G2352" s="10" t="s">
        <v>6317</v>
      </c>
      <c r="H2352" s="11">
        <v>40389</v>
      </c>
      <c r="I2352" s="10">
        <v>2010</v>
      </c>
      <c r="J2352" s="10" t="s">
        <v>10015</v>
      </c>
      <c r="K2352" s="10">
        <v>185</v>
      </c>
      <c r="L2352" s="10" t="s">
        <v>16519</v>
      </c>
      <c r="M2352" s="10">
        <v>1</v>
      </c>
      <c r="N2352" s="10"/>
      <c r="O2352" s="10"/>
      <c r="P2352" s="10" t="s">
        <v>16520</v>
      </c>
      <c r="Q2352" s="10" t="s">
        <v>6428</v>
      </c>
      <c r="R2352" s="10" t="s">
        <v>16521</v>
      </c>
      <c r="S2352" s="10" t="s">
        <v>53</v>
      </c>
      <c r="T2352" s="10" t="s">
        <v>54</v>
      </c>
    </row>
    <row r="2353" spans="1:20" ht="14.5" x14ac:dyDescent="0.35">
      <c r="A2353" s="10" t="s">
        <v>16522</v>
      </c>
      <c r="B2353" s="10" t="str">
        <f>"9781416610366"</f>
        <v>9781416610366</v>
      </c>
      <c r="C2353" s="10" t="str">
        <f>"9781416611226"</f>
        <v>9781416611226</v>
      </c>
      <c r="D2353" s="10" t="s">
        <v>10014</v>
      </c>
      <c r="E2353" s="10" t="s">
        <v>10015</v>
      </c>
      <c r="F2353" s="10" t="s">
        <v>201</v>
      </c>
      <c r="G2353" s="10" t="s">
        <v>6317</v>
      </c>
      <c r="H2353" s="11">
        <v>40389</v>
      </c>
      <c r="I2353" s="10">
        <v>2010</v>
      </c>
      <c r="J2353" s="10" t="s">
        <v>10015</v>
      </c>
      <c r="K2353" s="10">
        <v>209</v>
      </c>
      <c r="L2353" s="10" t="s">
        <v>11196</v>
      </c>
      <c r="M2353" s="10">
        <v>1</v>
      </c>
      <c r="N2353" s="10"/>
      <c r="O2353" s="10"/>
      <c r="P2353" s="10" t="s">
        <v>16523</v>
      </c>
      <c r="Q2353" s="10">
        <v>510.71</v>
      </c>
      <c r="R2353" s="10" t="s">
        <v>16524</v>
      </c>
      <c r="S2353" s="10" t="s">
        <v>53</v>
      </c>
      <c r="T2353" s="10" t="s">
        <v>389</v>
      </c>
    </row>
    <row r="2354" spans="1:20" ht="14.5" x14ac:dyDescent="0.35">
      <c r="A2354" s="10" t="s">
        <v>16525</v>
      </c>
      <c r="B2354" s="10" t="str">
        <f>"9781416609933"</f>
        <v>9781416609933</v>
      </c>
      <c r="C2354" s="10" t="str">
        <f>"9781416611059"</f>
        <v>9781416611059</v>
      </c>
      <c r="D2354" s="10" t="s">
        <v>10014</v>
      </c>
      <c r="E2354" s="10" t="s">
        <v>10015</v>
      </c>
      <c r="F2354" s="10" t="s">
        <v>201</v>
      </c>
      <c r="G2354" s="10" t="s">
        <v>6317</v>
      </c>
      <c r="H2354" s="11">
        <v>40359</v>
      </c>
      <c r="I2354" s="10">
        <v>2010</v>
      </c>
      <c r="J2354" s="10" t="s">
        <v>10015</v>
      </c>
      <c r="K2354" s="10">
        <v>213</v>
      </c>
      <c r="L2354" s="10" t="s">
        <v>16526</v>
      </c>
      <c r="M2354" s="10">
        <v>1</v>
      </c>
      <c r="N2354" s="10"/>
      <c r="O2354" s="10"/>
      <c r="P2354" s="10" t="s">
        <v>16527</v>
      </c>
      <c r="Q2354" s="10">
        <v>372.43</v>
      </c>
      <c r="R2354" s="10" t="s">
        <v>16528</v>
      </c>
      <c r="S2354" s="10" t="s">
        <v>53</v>
      </c>
      <c r="T2354" s="10" t="s">
        <v>54</v>
      </c>
    </row>
    <row r="2355" spans="1:20" ht="14.5" x14ac:dyDescent="0.35">
      <c r="A2355" s="10" t="s">
        <v>16529</v>
      </c>
      <c r="B2355" s="10" t="str">
        <f>"9781416609964"</f>
        <v>9781416609964</v>
      </c>
      <c r="C2355" s="10" t="str">
        <f>"9781416611097"</f>
        <v>9781416611097</v>
      </c>
      <c r="D2355" s="10" t="s">
        <v>10014</v>
      </c>
      <c r="E2355" s="10" t="s">
        <v>10015</v>
      </c>
      <c r="F2355" s="10" t="s">
        <v>201</v>
      </c>
      <c r="G2355" s="10" t="s">
        <v>6317</v>
      </c>
      <c r="H2355" s="11">
        <v>40359</v>
      </c>
      <c r="I2355" s="10">
        <v>2010</v>
      </c>
      <c r="J2355" s="10" t="s">
        <v>10015</v>
      </c>
      <c r="K2355" s="10">
        <v>205</v>
      </c>
      <c r="L2355" s="10" t="s">
        <v>16530</v>
      </c>
      <c r="M2355" s="10">
        <v>1</v>
      </c>
      <c r="N2355" s="10"/>
      <c r="O2355" s="10"/>
      <c r="P2355" s="10" t="s">
        <v>16531</v>
      </c>
      <c r="Q2355" s="10" t="s">
        <v>8376</v>
      </c>
      <c r="R2355" s="10" t="s">
        <v>16532</v>
      </c>
      <c r="S2355" s="10" t="s">
        <v>53</v>
      </c>
      <c r="T2355" s="10" t="s">
        <v>54</v>
      </c>
    </row>
    <row r="2356" spans="1:20" ht="14.5" x14ac:dyDescent="0.35">
      <c r="A2356" s="10" t="s">
        <v>16533</v>
      </c>
      <c r="B2356" s="10" t="str">
        <f>"9781416609797"</f>
        <v>9781416609797</v>
      </c>
      <c r="C2356" s="10" t="str">
        <f>"9781416611011"</f>
        <v>9781416611011</v>
      </c>
      <c r="D2356" s="10" t="s">
        <v>10014</v>
      </c>
      <c r="E2356" s="10" t="s">
        <v>10015</v>
      </c>
      <c r="F2356" s="10" t="s">
        <v>201</v>
      </c>
      <c r="G2356" s="10" t="s">
        <v>6317</v>
      </c>
      <c r="H2356" s="11">
        <v>40298</v>
      </c>
      <c r="I2356" s="10">
        <v>2010</v>
      </c>
      <c r="J2356" s="10" t="s">
        <v>10015</v>
      </c>
      <c r="K2356" s="10">
        <v>225</v>
      </c>
      <c r="L2356" s="10" t="s">
        <v>16534</v>
      </c>
      <c r="M2356" s="10">
        <v>1</v>
      </c>
      <c r="N2356" s="10"/>
      <c r="O2356" s="10"/>
      <c r="P2356" s="10" t="s">
        <v>16535</v>
      </c>
      <c r="Q2356" s="10" t="s">
        <v>10213</v>
      </c>
      <c r="R2356" s="10" t="s">
        <v>16536</v>
      </c>
      <c r="S2356" s="10" t="s">
        <v>53</v>
      </c>
      <c r="T2356" s="10" t="s">
        <v>54</v>
      </c>
    </row>
    <row r="2357" spans="1:20" ht="14.5" x14ac:dyDescent="0.35">
      <c r="A2357" s="10" t="s">
        <v>16537</v>
      </c>
      <c r="B2357" s="10" t="str">
        <f>"9781416609568"</f>
        <v>9781416609568</v>
      </c>
      <c r="C2357" s="10" t="str">
        <f>"9781416610564"</f>
        <v>9781416610564</v>
      </c>
      <c r="D2357" s="10" t="s">
        <v>10014</v>
      </c>
      <c r="E2357" s="10" t="s">
        <v>10015</v>
      </c>
      <c r="F2357" s="10" t="s">
        <v>201</v>
      </c>
      <c r="G2357" s="10" t="s">
        <v>6317</v>
      </c>
      <c r="H2357" s="11">
        <v>40298</v>
      </c>
      <c r="I2357" s="10">
        <v>2010</v>
      </c>
      <c r="J2357" s="10" t="s">
        <v>10015</v>
      </c>
      <c r="K2357" s="10">
        <v>195</v>
      </c>
      <c r="L2357" s="10" t="s">
        <v>16538</v>
      </c>
      <c r="M2357" s="10">
        <v>1</v>
      </c>
      <c r="N2357" s="10"/>
      <c r="O2357" s="10"/>
      <c r="P2357" s="10" t="s">
        <v>16539</v>
      </c>
      <c r="Q2357" s="10" t="s">
        <v>16540</v>
      </c>
      <c r="R2357" s="10" t="s">
        <v>16541</v>
      </c>
      <c r="S2357" s="10" t="s">
        <v>53</v>
      </c>
      <c r="T2357" s="10" t="s">
        <v>54</v>
      </c>
    </row>
    <row r="2358" spans="1:20" ht="14.5" x14ac:dyDescent="0.35">
      <c r="A2358" s="10" t="s">
        <v>16542</v>
      </c>
      <c r="B2358" s="10" t="str">
        <f>"9781416609872"</f>
        <v>9781416609872</v>
      </c>
      <c r="C2358" s="10" t="str">
        <f>"9781416609902"</f>
        <v>9781416609902</v>
      </c>
      <c r="D2358" s="10" t="s">
        <v>10014</v>
      </c>
      <c r="E2358" s="10" t="s">
        <v>10015</v>
      </c>
      <c r="F2358" s="10" t="s">
        <v>201</v>
      </c>
      <c r="G2358" s="10" t="s">
        <v>6317</v>
      </c>
      <c r="H2358" s="11">
        <v>40179</v>
      </c>
      <c r="I2358" s="10">
        <v>2010</v>
      </c>
      <c r="J2358" s="10" t="s">
        <v>10015</v>
      </c>
      <c r="K2358" s="10">
        <v>170</v>
      </c>
      <c r="L2358" s="10" t="s">
        <v>16543</v>
      </c>
      <c r="M2358" s="10">
        <v>1</v>
      </c>
      <c r="N2358" s="10"/>
      <c r="O2358" s="10"/>
      <c r="P2358" s="10" t="s">
        <v>16544</v>
      </c>
      <c r="Q2358" s="10">
        <v>372.43</v>
      </c>
      <c r="R2358" s="10" t="s">
        <v>16545</v>
      </c>
      <c r="S2358" s="10" t="s">
        <v>53</v>
      </c>
      <c r="T2358" s="10" t="s">
        <v>54</v>
      </c>
    </row>
    <row r="2359" spans="1:20" ht="14.5" x14ac:dyDescent="0.35">
      <c r="A2359" s="10" t="s">
        <v>16546</v>
      </c>
      <c r="B2359" s="10" t="str">
        <f>"9780826470584"</f>
        <v>9780826470584</v>
      </c>
      <c r="C2359" s="10" t="str">
        <f>"9781441117274"</f>
        <v>9781441117274</v>
      </c>
      <c r="D2359" s="10" t="s">
        <v>13959</v>
      </c>
      <c r="E2359" s="10" t="s">
        <v>13960</v>
      </c>
      <c r="F2359" s="10" t="s">
        <v>139</v>
      </c>
      <c r="G2359" s="10" t="s">
        <v>6352</v>
      </c>
      <c r="H2359" s="11">
        <v>38487</v>
      </c>
      <c r="I2359" s="10">
        <v>2010</v>
      </c>
      <c r="J2359" s="10" t="s">
        <v>13961</v>
      </c>
      <c r="K2359" s="10">
        <v>167</v>
      </c>
      <c r="L2359" s="10" t="s">
        <v>16547</v>
      </c>
      <c r="M2359" s="10">
        <v>1</v>
      </c>
      <c r="N2359" s="10" t="s">
        <v>16548</v>
      </c>
      <c r="O2359" s="10"/>
      <c r="P2359" s="10" t="s">
        <v>16549</v>
      </c>
      <c r="Q2359" s="10">
        <v>371.2</v>
      </c>
      <c r="R2359" s="10" t="s">
        <v>16550</v>
      </c>
      <c r="S2359" s="10" t="s">
        <v>53</v>
      </c>
      <c r="T2359" s="10" t="s">
        <v>54</v>
      </c>
    </row>
    <row r="2360" spans="1:20" ht="14.5" x14ac:dyDescent="0.35">
      <c r="A2360" s="10" t="s">
        <v>16551</v>
      </c>
      <c r="B2360" s="10" t="str">
        <f>"9781855394667"</f>
        <v>9781855394667</v>
      </c>
      <c r="C2360" s="10" t="str">
        <f>"9781855397378"</f>
        <v>9781855397378</v>
      </c>
      <c r="D2360" s="10" t="s">
        <v>13959</v>
      </c>
      <c r="E2360" s="10" t="s">
        <v>13960</v>
      </c>
      <c r="F2360" s="10" t="s">
        <v>139</v>
      </c>
      <c r="G2360" s="10" t="s">
        <v>6352</v>
      </c>
      <c r="H2360" s="11">
        <v>40159</v>
      </c>
      <c r="I2360" s="10">
        <v>2009</v>
      </c>
      <c r="J2360" s="10" t="s">
        <v>14120</v>
      </c>
      <c r="K2360" s="10">
        <v>173</v>
      </c>
      <c r="L2360" s="10" t="s">
        <v>16552</v>
      </c>
      <c r="M2360" s="10">
        <v>1</v>
      </c>
      <c r="N2360" s="10"/>
      <c r="O2360" s="10"/>
      <c r="P2360" s="10" t="s">
        <v>16553</v>
      </c>
      <c r="Q2360" s="10" t="s">
        <v>9007</v>
      </c>
      <c r="R2360" s="10" t="s">
        <v>16554</v>
      </c>
      <c r="S2360" s="10" t="s">
        <v>53</v>
      </c>
      <c r="T2360" s="10" t="s">
        <v>54</v>
      </c>
    </row>
    <row r="2361" spans="1:20" ht="14.5" x14ac:dyDescent="0.35">
      <c r="A2361" s="10" t="s">
        <v>16555</v>
      </c>
      <c r="B2361" s="10" t="str">
        <f>"9780826471970"</f>
        <v>9780826471970</v>
      </c>
      <c r="C2361" s="10" t="str">
        <f>"9781441123008"</f>
        <v>9781441123008</v>
      </c>
      <c r="D2361" s="10" t="s">
        <v>13959</v>
      </c>
      <c r="E2361" s="10" t="s">
        <v>13960</v>
      </c>
      <c r="F2361" s="10" t="s">
        <v>139</v>
      </c>
      <c r="G2361" s="10" t="s">
        <v>6352</v>
      </c>
      <c r="H2361" s="11">
        <v>38344</v>
      </c>
      <c r="I2361" s="10">
        <v>2010</v>
      </c>
      <c r="J2361" s="10" t="s">
        <v>13961</v>
      </c>
      <c r="K2361" s="10">
        <v>174</v>
      </c>
      <c r="L2361" s="10" t="s">
        <v>16556</v>
      </c>
      <c r="M2361" s="10">
        <v>1</v>
      </c>
      <c r="N2361" s="10"/>
      <c r="O2361" s="10"/>
      <c r="P2361" s="10" t="s">
        <v>16557</v>
      </c>
      <c r="Q2361" s="10" t="s">
        <v>16558</v>
      </c>
      <c r="R2361" s="10" t="s">
        <v>16559</v>
      </c>
      <c r="S2361" s="10" t="s">
        <v>53</v>
      </c>
      <c r="T2361" s="10" t="s">
        <v>54</v>
      </c>
    </row>
    <row r="2362" spans="1:20" ht="14.5" x14ac:dyDescent="0.35">
      <c r="A2362" s="10" t="s">
        <v>16560</v>
      </c>
      <c r="B2362" s="10" t="str">
        <f>"9780826451989"</f>
        <v>9780826451989</v>
      </c>
      <c r="C2362" s="10" t="str">
        <f>"9780826426659"</f>
        <v>9780826426659</v>
      </c>
      <c r="D2362" s="10" t="s">
        <v>13959</v>
      </c>
      <c r="E2362" s="10" t="s">
        <v>13960</v>
      </c>
      <c r="F2362" s="10" t="s">
        <v>139</v>
      </c>
      <c r="G2362" s="10" t="s">
        <v>6352</v>
      </c>
      <c r="H2362" s="11">
        <v>37580</v>
      </c>
      <c r="I2362" s="10">
        <v>2010</v>
      </c>
      <c r="J2362" s="10" t="s">
        <v>13961</v>
      </c>
      <c r="K2362" s="10">
        <v>191</v>
      </c>
      <c r="L2362" s="10" t="s">
        <v>6767</v>
      </c>
      <c r="M2362" s="10">
        <v>1</v>
      </c>
      <c r="N2362" s="10"/>
      <c r="O2362" s="10"/>
      <c r="P2362" s="10" t="s">
        <v>16561</v>
      </c>
      <c r="Q2362" s="10">
        <v>370.72</v>
      </c>
      <c r="R2362" s="10" t="s">
        <v>16562</v>
      </c>
      <c r="S2362" s="10" t="s">
        <v>53</v>
      </c>
      <c r="T2362" s="10" t="s">
        <v>54</v>
      </c>
    </row>
    <row r="2363" spans="1:20" ht="14.5" x14ac:dyDescent="0.35">
      <c r="A2363" s="10" t="s">
        <v>16563</v>
      </c>
      <c r="B2363" s="10" t="str">
        <f>"9780826447937"</f>
        <v>9780826447937</v>
      </c>
      <c r="C2363" s="10" t="str">
        <f>"9781441148759"</f>
        <v>9781441148759</v>
      </c>
      <c r="D2363" s="10" t="s">
        <v>13959</v>
      </c>
      <c r="E2363" s="10" t="s">
        <v>13960</v>
      </c>
      <c r="F2363" s="10" t="s">
        <v>139</v>
      </c>
      <c r="G2363" s="10" t="s">
        <v>6352</v>
      </c>
      <c r="H2363" s="11">
        <v>36886</v>
      </c>
      <c r="I2363" s="10">
        <v>2010</v>
      </c>
      <c r="J2363" s="10" t="s">
        <v>13961</v>
      </c>
      <c r="K2363" s="10">
        <v>233</v>
      </c>
      <c r="L2363" s="10" t="s">
        <v>16564</v>
      </c>
      <c r="M2363" s="10">
        <v>1</v>
      </c>
      <c r="N2363" s="10"/>
      <c r="O2363" s="10"/>
      <c r="P2363" s="10" t="s">
        <v>16565</v>
      </c>
      <c r="Q2363" s="10">
        <v>910.71</v>
      </c>
      <c r="R2363" s="10" t="s">
        <v>16566</v>
      </c>
      <c r="S2363" s="10" t="s">
        <v>53</v>
      </c>
      <c r="T2363" s="10" t="s">
        <v>12094</v>
      </c>
    </row>
    <row r="2364" spans="1:20" ht="14.5" x14ac:dyDescent="0.35">
      <c r="A2364" s="10" t="s">
        <v>16567</v>
      </c>
      <c r="B2364" s="10" t="str">
        <f>"9780826488701"</f>
        <v>9780826488701</v>
      </c>
      <c r="C2364" s="10" t="str">
        <f>"9781441112811"</f>
        <v>9781441112811</v>
      </c>
      <c r="D2364" s="10" t="s">
        <v>13959</v>
      </c>
      <c r="E2364" s="10" t="s">
        <v>13960</v>
      </c>
      <c r="F2364" s="10" t="s">
        <v>139</v>
      </c>
      <c r="G2364" s="10" t="s">
        <v>6352</v>
      </c>
      <c r="H2364" s="11">
        <v>38831</v>
      </c>
      <c r="I2364" s="10">
        <v>2010</v>
      </c>
      <c r="J2364" s="10" t="s">
        <v>13961</v>
      </c>
      <c r="K2364" s="10">
        <v>117</v>
      </c>
      <c r="L2364" s="10" t="s">
        <v>16568</v>
      </c>
      <c r="M2364" s="10">
        <v>1</v>
      </c>
      <c r="N2364" s="10" t="s">
        <v>16569</v>
      </c>
      <c r="O2364" s="10"/>
      <c r="P2364" s="10" t="s">
        <v>16570</v>
      </c>
      <c r="Q2364" s="10">
        <v>373.11020000000002</v>
      </c>
      <c r="R2364" s="10" t="s">
        <v>16571</v>
      </c>
      <c r="S2364" s="10" t="s">
        <v>53</v>
      </c>
      <c r="T2364" s="10" t="s">
        <v>54</v>
      </c>
    </row>
    <row r="2365" spans="1:20" ht="14.5" x14ac:dyDescent="0.35">
      <c r="A2365" s="10" t="s">
        <v>16572</v>
      </c>
      <c r="B2365" s="10" t="str">
        <f>"9781847061195"</f>
        <v>9781847061195</v>
      </c>
      <c r="C2365" s="10" t="str">
        <f>"9781441193209"</f>
        <v>9781441193209</v>
      </c>
      <c r="D2365" s="10" t="s">
        <v>13959</v>
      </c>
      <c r="E2365" s="10" t="s">
        <v>13960</v>
      </c>
      <c r="F2365" s="10" t="s">
        <v>139</v>
      </c>
      <c r="G2365" s="10" t="s">
        <v>6352</v>
      </c>
      <c r="H2365" s="11">
        <v>40113</v>
      </c>
      <c r="I2365" s="10">
        <v>2009</v>
      </c>
      <c r="J2365" s="10" t="s">
        <v>13961</v>
      </c>
      <c r="K2365" s="10">
        <v>215</v>
      </c>
      <c r="L2365" s="10" t="s">
        <v>14157</v>
      </c>
      <c r="M2365" s="10">
        <v>2</v>
      </c>
      <c r="N2365" s="10" t="s">
        <v>16573</v>
      </c>
      <c r="O2365" s="10"/>
      <c r="P2365" s="10" t="s">
        <v>16574</v>
      </c>
      <c r="Q2365" s="10">
        <v>372</v>
      </c>
      <c r="R2365" s="10" t="s">
        <v>16575</v>
      </c>
      <c r="S2365" s="10" t="s">
        <v>53</v>
      </c>
      <c r="T2365" s="10" t="s">
        <v>8777</v>
      </c>
    </row>
    <row r="2366" spans="1:20" ht="14.5" x14ac:dyDescent="0.35">
      <c r="A2366" s="10" t="s">
        <v>16576</v>
      </c>
      <c r="B2366" s="10" t="str">
        <f>"9781902459356"</f>
        <v>9781902459356</v>
      </c>
      <c r="C2366" s="10" t="str">
        <f>"9780567271051"</f>
        <v>9780567271051</v>
      </c>
      <c r="D2366" s="10" t="s">
        <v>13959</v>
      </c>
      <c r="E2366" s="10" t="s">
        <v>13960</v>
      </c>
      <c r="F2366" s="10" t="s">
        <v>139</v>
      </c>
      <c r="G2366" s="10" t="s">
        <v>6352</v>
      </c>
      <c r="H2366" s="11">
        <v>37195</v>
      </c>
      <c r="I2366" s="10">
        <v>2001</v>
      </c>
      <c r="J2366" s="10" t="s">
        <v>16577</v>
      </c>
      <c r="K2366" s="10">
        <v>168</v>
      </c>
      <c r="L2366" s="10" t="s">
        <v>16578</v>
      </c>
      <c r="M2366" s="10">
        <v>1</v>
      </c>
      <c r="N2366" s="10"/>
      <c r="O2366" s="10"/>
      <c r="P2366" s="10" t="s">
        <v>16579</v>
      </c>
      <c r="Q2366" s="10">
        <v>300.72041000000002</v>
      </c>
      <c r="R2366" s="10" t="s">
        <v>16580</v>
      </c>
      <c r="S2366" s="10" t="s">
        <v>53</v>
      </c>
      <c r="T2366" s="10" t="s">
        <v>6526</v>
      </c>
    </row>
    <row r="2367" spans="1:20" ht="14.5" x14ac:dyDescent="0.35">
      <c r="A2367" s="10" t="s">
        <v>16581</v>
      </c>
      <c r="B2367" s="10" t="str">
        <f>"9780718500535"</f>
        <v>9780718500535</v>
      </c>
      <c r="C2367" s="10" t="str">
        <f>"9780826426369"</f>
        <v>9780826426369</v>
      </c>
      <c r="D2367" s="10" t="s">
        <v>13959</v>
      </c>
      <c r="E2367" s="10" t="s">
        <v>13960</v>
      </c>
      <c r="F2367" s="10" t="s">
        <v>139</v>
      </c>
      <c r="G2367" s="10" t="s">
        <v>6352</v>
      </c>
      <c r="H2367" s="11">
        <v>36151</v>
      </c>
      <c r="I2367" s="10">
        <v>2010</v>
      </c>
      <c r="J2367" s="10" t="s">
        <v>14120</v>
      </c>
      <c r="K2367" s="10">
        <v>176</v>
      </c>
      <c r="L2367" s="10" t="s">
        <v>16582</v>
      </c>
      <c r="M2367" s="10">
        <v>1</v>
      </c>
      <c r="N2367" s="10"/>
      <c r="O2367" s="10"/>
      <c r="P2367" s="10" t="s">
        <v>16583</v>
      </c>
      <c r="Q2367" s="10">
        <v>379.15310799999997</v>
      </c>
      <c r="R2367" s="10" t="s">
        <v>16584</v>
      </c>
      <c r="S2367" s="10" t="s">
        <v>53</v>
      </c>
      <c r="T2367" s="10" t="s">
        <v>54</v>
      </c>
    </row>
    <row r="2368" spans="1:20" ht="14.5" x14ac:dyDescent="0.35">
      <c r="A2368" s="10" t="s">
        <v>16585</v>
      </c>
      <c r="B2368" s="10" t="str">
        <f>"9781855394704"</f>
        <v>9781855394704</v>
      </c>
      <c r="C2368" s="10" t="str">
        <f>"9781855395060"</f>
        <v>9781855395060</v>
      </c>
      <c r="D2368" s="10" t="s">
        <v>13959</v>
      </c>
      <c r="E2368" s="10" t="s">
        <v>13960</v>
      </c>
      <c r="F2368" s="10" t="s">
        <v>139</v>
      </c>
      <c r="G2368" s="10" t="s">
        <v>6352</v>
      </c>
      <c r="H2368" s="11">
        <v>40092</v>
      </c>
      <c r="I2368" s="10">
        <v>2009</v>
      </c>
      <c r="J2368" s="10" t="s">
        <v>14120</v>
      </c>
      <c r="K2368" s="10">
        <v>177</v>
      </c>
      <c r="L2368" s="10" t="s">
        <v>16586</v>
      </c>
      <c r="M2368" s="10">
        <v>1</v>
      </c>
      <c r="N2368" s="10"/>
      <c r="O2368" s="10"/>
      <c r="P2368" s="10" t="s">
        <v>16587</v>
      </c>
      <c r="Q2368" s="10">
        <v>372.12</v>
      </c>
      <c r="R2368" s="10" t="s">
        <v>16588</v>
      </c>
      <c r="S2368" s="10" t="s">
        <v>53</v>
      </c>
      <c r="T2368" s="10" t="s">
        <v>54</v>
      </c>
    </row>
    <row r="2369" spans="1:20" ht="14.5" x14ac:dyDescent="0.35">
      <c r="A2369" s="10" t="s">
        <v>16589</v>
      </c>
      <c r="B2369" s="10" t="str">
        <f>"9780826472601"</f>
        <v>9780826472601</v>
      </c>
      <c r="C2369" s="10" t="str">
        <f>"9781441137906"</f>
        <v>9781441137906</v>
      </c>
      <c r="D2369" s="10" t="s">
        <v>13959</v>
      </c>
      <c r="E2369" s="10" t="s">
        <v>13960</v>
      </c>
      <c r="F2369" s="10" t="s">
        <v>139</v>
      </c>
      <c r="G2369" s="10" t="s">
        <v>6352</v>
      </c>
      <c r="H2369" s="11">
        <v>38196</v>
      </c>
      <c r="I2369" s="10">
        <v>2010</v>
      </c>
      <c r="J2369" s="10" t="s">
        <v>13961</v>
      </c>
      <c r="K2369" s="10">
        <v>183</v>
      </c>
      <c r="L2369" s="10" t="s">
        <v>14218</v>
      </c>
      <c r="M2369" s="10">
        <v>2</v>
      </c>
      <c r="N2369" s="10"/>
      <c r="O2369" s="10"/>
      <c r="P2369" s="10" t="s">
        <v>16590</v>
      </c>
      <c r="Q2369" s="10">
        <v>370.72</v>
      </c>
      <c r="R2369" s="10" t="s">
        <v>16591</v>
      </c>
      <c r="S2369" s="10" t="s">
        <v>53</v>
      </c>
      <c r="T2369" s="10" t="s">
        <v>54</v>
      </c>
    </row>
    <row r="2370" spans="1:20" ht="14.5" x14ac:dyDescent="0.35">
      <c r="A2370" s="10" t="s">
        <v>16592</v>
      </c>
      <c r="B2370" s="10" t="str">
        <f>"9780826485014"</f>
        <v>9780826485014</v>
      </c>
      <c r="C2370" s="10" t="str">
        <f>"9781441109781"</f>
        <v>9781441109781</v>
      </c>
      <c r="D2370" s="10" t="s">
        <v>13959</v>
      </c>
      <c r="E2370" s="10" t="s">
        <v>13960</v>
      </c>
      <c r="F2370" s="10" t="s">
        <v>139</v>
      </c>
      <c r="G2370" s="10" t="s">
        <v>6352</v>
      </c>
      <c r="H2370" s="11">
        <v>38771</v>
      </c>
      <c r="I2370" s="10">
        <v>2010</v>
      </c>
      <c r="J2370" s="10" t="s">
        <v>13961</v>
      </c>
      <c r="K2370" s="10">
        <v>160</v>
      </c>
      <c r="L2370" s="10" t="s">
        <v>16593</v>
      </c>
      <c r="M2370" s="10">
        <v>1</v>
      </c>
      <c r="N2370" s="10"/>
      <c r="O2370" s="10"/>
      <c r="P2370" s="10" t="s">
        <v>16594</v>
      </c>
      <c r="Q2370" s="10">
        <v>371.10239999999999</v>
      </c>
      <c r="R2370" s="10" t="s">
        <v>16187</v>
      </c>
      <c r="S2370" s="10" t="s">
        <v>53</v>
      </c>
      <c r="T2370" s="10" t="s">
        <v>54</v>
      </c>
    </row>
    <row r="2371" spans="1:20" ht="14.5" x14ac:dyDescent="0.35">
      <c r="A2371" s="10" t="s">
        <v>16595</v>
      </c>
      <c r="B2371" s="10" t="str">
        <f>"9780826492364"</f>
        <v>9780826492364</v>
      </c>
      <c r="C2371" s="10" t="str">
        <f>"9781441136541"</f>
        <v>9781441136541</v>
      </c>
      <c r="D2371" s="10" t="s">
        <v>13959</v>
      </c>
      <c r="E2371" s="10" t="s">
        <v>13960</v>
      </c>
      <c r="F2371" s="10" t="s">
        <v>139</v>
      </c>
      <c r="G2371" s="10" t="s">
        <v>6352</v>
      </c>
      <c r="H2371" s="11">
        <v>39194</v>
      </c>
      <c r="I2371" s="10">
        <v>2010</v>
      </c>
      <c r="J2371" s="10" t="s">
        <v>13961</v>
      </c>
      <c r="K2371" s="10">
        <v>215</v>
      </c>
      <c r="L2371" s="10" t="s">
        <v>16596</v>
      </c>
      <c r="M2371" s="10">
        <v>2</v>
      </c>
      <c r="N2371" s="10" t="s">
        <v>14063</v>
      </c>
      <c r="O2371" s="10"/>
      <c r="P2371" s="10" t="s">
        <v>16597</v>
      </c>
      <c r="Q2371" s="10" t="s">
        <v>8596</v>
      </c>
      <c r="R2371" s="10" t="s">
        <v>16598</v>
      </c>
      <c r="S2371" s="10" t="s">
        <v>53</v>
      </c>
      <c r="T2371" s="10" t="s">
        <v>54</v>
      </c>
    </row>
    <row r="2372" spans="1:20" ht="14.5" x14ac:dyDescent="0.35">
      <c r="A2372" s="10" t="s">
        <v>16599</v>
      </c>
      <c r="B2372" s="10" t="str">
        <f>"9781441180568"</f>
        <v>9781441180568</v>
      </c>
      <c r="C2372" s="10" t="str">
        <f>"9781441131560"</f>
        <v>9781441131560</v>
      </c>
      <c r="D2372" s="10" t="s">
        <v>13959</v>
      </c>
      <c r="E2372" s="10" t="s">
        <v>13960</v>
      </c>
      <c r="F2372" s="10" t="s">
        <v>139</v>
      </c>
      <c r="G2372" s="10" t="s">
        <v>6352</v>
      </c>
      <c r="H2372" s="11">
        <v>41025</v>
      </c>
      <c r="I2372" s="10">
        <v>2010</v>
      </c>
      <c r="J2372" s="10" t="s">
        <v>13961</v>
      </c>
      <c r="K2372" s="10">
        <v>182</v>
      </c>
      <c r="L2372" s="10" t="s">
        <v>16600</v>
      </c>
      <c r="M2372" s="10">
        <v>1</v>
      </c>
      <c r="N2372" s="10"/>
      <c r="O2372" s="10"/>
      <c r="P2372" s="10" t="s">
        <v>16601</v>
      </c>
      <c r="Q2372" s="10" t="s">
        <v>12010</v>
      </c>
      <c r="R2372" s="10" t="s">
        <v>6932</v>
      </c>
      <c r="S2372" s="10" t="s">
        <v>53</v>
      </c>
      <c r="T2372" s="10" t="s">
        <v>54</v>
      </c>
    </row>
    <row r="2373" spans="1:20" ht="14.5" x14ac:dyDescent="0.35">
      <c r="A2373" s="10" t="s">
        <v>16602</v>
      </c>
      <c r="B2373" s="10" t="str">
        <f>"9780521194747"</f>
        <v>9780521194747</v>
      </c>
      <c r="C2373" s="10" t="str">
        <f>"9780511798832"</f>
        <v>9780511798832</v>
      </c>
      <c r="D2373" s="10" t="s">
        <v>397</v>
      </c>
      <c r="E2373" s="10" t="s">
        <v>397</v>
      </c>
      <c r="F2373" s="10" t="s">
        <v>612</v>
      </c>
      <c r="G2373" s="10" t="s">
        <v>6352</v>
      </c>
      <c r="H2373" s="11">
        <v>40437</v>
      </c>
      <c r="I2373" s="10">
        <v>2010</v>
      </c>
      <c r="J2373" s="10" t="s">
        <v>397</v>
      </c>
      <c r="K2373" s="10">
        <v>212</v>
      </c>
      <c r="L2373" s="10" t="s">
        <v>16603</v>
      </c>
      <c r="M2373" s="10">
        <v>1</v>
      </c>
      <c r="N2373" s="10"/>
      <c r="O2373" s="10"/>
      <c r="P2373" s="10" t="s">
        <v>16604</v>
      </c>
      <c r="Q2373" s="10" t="s">
        <v>6942</v>
      </c>
      <c r="R2373" s="10" t="s">
        <v>12537</v>
      </c>
      <c r="S2373" s="10" t="s">
        <v>53</v>
      </c>
      <c r="T2373" s="10" t="s">
        <v>54</v>
      </c>
    </row>
    <row r="2374" spans="1:20" ht="14.5" x14ac:dyDescent="0.35">
      <c r="A2374" s="10" t="s">
        <v>16605</v>
      </c>
      <c r="B2374" s="10" t="str">
        <f>"9780748640256"</f>
        <v>9780748640256</v>
      </c>
      <c r="C2374" s="10" t="str">
        <f>"9780748642335"</f>
        <v>9780748642335</v>
      </c>
      <c r="D2374" s="10" t="s">
        <v>16606</v>
      </c>
      <c r="E2374" s="10" t="s">
        <v>16606</v>
      </c>
      <c r="F2374" s="10" t="s">
        <v>3289</v>
      </c>
      <c r="G2374" s="10" t="s">
        <v>6352</v>
      </c>
      <c r="H2374" s="11">
        <v>40281</v>
      </c>
      <c r="I2374" s="10">
        <v>2010</v>
      </c>
      <c r="J2374" s="10" t="s">
        <v>16606</v>
      </c>
      <c r="K2374" s="10">
        <v>249</v>
      </c>
      <c r="L2374" s="10" t="s">
        <v>16607</v>
      </c>
      <c r="M2374" s="10">
        <v>1</v>
      </c>
      <c r="N2374" s="10"/>
      <c r="O2374" s="10"/>
      <c r="P2374" s="10" t="s">
        <v>16608</v>
      </c>
      <c r="Q2374" s="10" t="s">
        <v>16609</v>
      </c>
      <c r="R2374" s="10" t="s">
        <v>16610</v>
      </c>
      <c r="S2374" s="10" t="s">
        <v>53</v>
      </c>
      <c r="T2374" s="10" t="s">
        <v>1166</v>
      </c>
    </row>
    <row r="2375" spans="1:20" ht="14.5" x14ac:dyDescent="0.35">
      <c r="A2375" s="10" t="s">
        <v>16611</v>
      </c>
      <c r="B2375" s="10" t="str">
        <f>"9780415996242"</f>
        <v>9780415996242</v>
      </c>
      <c r="C2375" s="10" t="str">
        <f>"9780203850572"</f>
        <v>9780203850572</v>
      </c>
      <c r="D2375" s="10" t="s">
        <v>6350</v>
      </c>
      <c r="E2375" s="10" t="s">
        <v>6351</v>
      </c>
      <c r="F2375" s="10" t="s">
        <v>139</v>
      </c>
      <c r="G2375" s="10" t="s">
        <v>6352</v>
      </c>
      <c r="H2375" s="11">
        <v>40392</v>
      </c>
      <c r="I2375" s="10">
        <v>2010</v>
      </c>
      <c r="J2375" s="10" t="s">
        <v>6353</v>
      </c>
      <c r="K2375" s="10">
        <v>204</v>
      </c>
      <c r="L2375" s="10" t="s">
        <v>16612</v>
      </c>
      <c r="M2375" s="10">
        <v>1</v>
      </c>
      <c r="N2375" s="10"/>
      <c r="O2375" s="10"/>
      <c r="P2375" s="10" t="s">
        <v>16613</v>
      </c>
      <c r="Q2375" s="10">
        <v>507.1</v>
      </c>
      <c r="R2375" s="10" t="s">
        <v>16614</v>
      </c>
      <c r="S2375" s="10" t="s">
        <v>53</v>
      </c>
      <c r="T2375" s="10" t="s">
        <v>10979</v>
      </c>
    </row>
    <row r="2376" spans="1:20" ht="14.5" x14ac:dyDescent="0.35">
      <c r="A2376" s="10" t="s">
        <v>16615</v>
      </c>
      <c r="B2376" s="10" t="str">
        <f>"9780415877091"</f>
        <v>9780415877091</v>
      </c>
      <c r="C2376" s="10" t="str">
        <f>"9780203853214"</f>
        <v>9780203853214</v>
      </c>
      <c r="D2376" s="10" t="s">
        <v>6350</v>
      </c>
      <c r="E2376" s="10" t="s">
        <v>6351</v>
      </c>
      <c r="F2376" s="10" t="s">
        <v>139</v>
      </c>
      <c r="G2376" s="10" t="s">
        <v>6352</v>
      </c>
      <c r="H2376" s="11">
        <v>40274</v>
      </c>
      <c r="I2376" s="10">
        <v>2010</v>
      </c>
      <c r="J2376" s="10" t="s">
        <v>6353</v>
      </c>
      <c r="K2376" s="10">
        <v>244</v>
      </c>
      <c r="L2376" s="10" t="s">
        <v>16616</v>
      </c>
      <c r="M2376" s="10">
        <v>1</v>
      </c>
      <c r="N2376" s="10"/>
      <c r="O2376" s="10"/>
      <c r="P2376" s="10" t="s">
        <v>16617</v>
      </c>
      <c r="Q2376" s="10">
        <v>370.1</v>
      </c>
      <c r="R2376" s="10" t="s">
        <v>16618</v>
      </c>
      <c r="S2376" s="10" t="s">
        <v>53</v>
      </c>
      <c r="T2376" s="10" t="s">
        <v>54</v>
      </c>
    </row>
    <row r="2377" spans="1:20" ht="14.5" x14ac:dyDescent="0.35">
      <c r="A2377" s="10" t="s">
        <v>16619</v>
      </c>
      <c r="B2377" s="10" t="str">
        <f>"9783110226638"</f>
        <v>9783110226638</v>
      </c>
      <c r="C2377" s="10" t="str">
        <f>"9783110226645"</f>
        <v>9783110226645</v>
      </c>
      <c r="D2377" s="10" t="s">
        <v>9995</v>
      </c>
      <c r="E2377" s="10" t="s">
        <v>9996</v>
      </c>
      <c r="F2377" s="10" t="s">
        <v>9997</v>
      </c>
      <c r="G2377" s="10" t="s">
        <v>9998</v>
      </c>
      <c r="H2377" s="11">
        <v>40375</v>
      </c>
      <c r="I2377" s="10">
        <v>2010</v>
      </c>
      <c r="J2377" s="10" t="s">
        <v>10009</v>
      </c>
      <c r="K2377" s="10">
        <v>430</v>
      </c>
      <c r="L2377" s="10" t="s">
        <v>16620</v>
      </c>
      <c r="M2377" s="10">
        <v>1</v>
      </c>
      <c r="N2377" s="10" t="s">
        <v>16621</v>
      </c>
      <c r="O2377" s="10">
        <v>27</v>
      </c>
      <c r="P2377" s="10" t="s">
        <v>16622</v>
      </c>
      <c r="Q2377" s="10" t="s">
        <v>16623</v>
      </c>
      <c r="R2377" s="10" t="s">
        <v>16624</v>
      </c>
      <c r="S2377" s="10" t="s">
        <v>53</v>
      </c>
      <c r="T2377" s="10" t="s">
        <v>54</v>
      </c>
    </row>
    <row r="2378" spans="1:20" ht="14.5" x14ac:dyDescent="0.35">
      <c r="A2378" s="10" t="s">
        <v>16625</v>
      </c>
      <c r="B2378" s="10" t="str">
        <f>"9780080447179"</f>
        <v>9780080447179</v>
      </c>
      <c r="C2378" s="10" t="str">
        <f>"9780857245151"</f>
        <v>9780857245151</v>
      </c>
      <c r="D2378" s="10" t="s">
        <v>8699</v>
      </c>
      <c r="E2378" s="10" t="s">
        <v>8699</v>
      </c>
      <c r="F2378" s="10" t="s">
        <v>559</v>
      </c>
      <c r="G2378" s="10" t="s">
        <v>6352</v>
      </c>
      <c r="H2378" s="11">
        <v>39539</v>
      </c>
      <c r="I2378" s="10">
        <v>2008</v>
      </c>
      <c r="J2378" s="10" t="s">
        <v>8699</v>
      </c>
      <c r="K2378" s="10">
        <v>907</v>
      </c>
      <c r="L2378" s="10" t="s">
        <v>16626</v>
      </c>
      <c r="M2378" s="10">
        <v>1</v>
      </c>
      <c r="N2378" s="10"/>
      <c r="O2378" s="10"/>
      <c r="P2378" s="10" t="s">
        <v>16627</v>
      </c>
      <c r="Q2378" s="10">
        <v>371.35</v>
      </c>
      <c r="R2378" s="10" t="s">
        <v>54</v>
      </c>
      <c r="S2378" s="10" t="s">
        <v>53</v>
      </c>
      <c r="T2378" s="10" t="s">
        <v>54</v>
      </c>
    </row>
    <row r="2379" spans="1:20" ht="14.5" x14ac:dyDescent="0.35">
      <c r="A2379" s="10" t="s">
        <v>16628</v>
      </c>
      <c r="B2379" s="10" t="str">
        <f>"9780470564905"</f>
        <v>9780470564905</v>
      </c>
      <c r="C2379" s="10" t="str">
        <f>"9780470873090"</f>
        <v>9780470873090</v>
      </c>
      <c r="D2379" s="10" t="s">
        <v>6322</v>
      </c>
      <c r="E2379" s="10" t="s">
        <v>6323</v>
      </c>
      <c r="F2379" s="10" t="s">
        <v>4423</v>
      </c>
      <c r="G2379" s="10" t="s">
        <v>6317</v>
      </c>
      <c r="H2379" s="11">
        <v>40420</v>
      </c>
      <c r="I2379" s="10">
        <v>2011</v>
      </c>
      <c r="J2379" s="10" t="s">
        <v>6324</v>
      </c>
      <c r="K2379" s="10">
        <v>162</v>
      </c>
      <c r="L2379" s="10" t="s">
        <v>16629</v>
      </c>
      <c r="M2379" s="10">
        <v>1</v>
      </c>
      <c r="N2379" s="10" t="s">
        <v>16630</v>
      </c>
      <c r="O2379" s="10">
        <v>18</v>
      </c>
      <c r="P2379" s="10" t="s">
        <v>16631</v>
      </c>
      <c r="Q2379" s="10">
        <v>371.358</v>
      </c>
      <c r="R2379" s="10" t="s">
        <v>16632</v>
      </c>
      <c r="S2379" s="10" t="s">
        <v>53</v>
      </c>
      <c r="T2379" s="10" t="s">
        <v>54</v>
      </c>
    </row>
    <row r="2380" spans="1:20" ht="14.5" x14ac:dyDescent="0.35">
      <c r="A2380" s="10" t="s">
        <v>16633</v>
      </c>
      <c r="B2380" s="10" t="str">
        <f>"9780415556736"</f>
        <v>9780415556736</v>
      </c>
      <c r="C2380" s="10" t="str">
        <f>"9780203847824"</f>
        <v>9780203847824</v>
      </c>
      <c r="D2380" s="10" t="s">
        <v>6350</v>
      </c>
      <c r="E2380" s="10" t="s">
        <v>6351</v>
      </c>
      <c r="F2380" s="10" t="s">
        <v>139</v>
      </c>
      <c r="G2380" s="10" t="s">
        <v>6352</v>
      </c>
      <c r="H2380" s="11">
        <v>40417</v>
      </c>
      <c r="I2380" s="10">
        <v>2011</v>
      </c>
      <c r="J2380" s="10" t="s">
        <v>6353</v>
      </c>
      <c r="K2380" s="10">
        <v>271</v>
      </c>
      <c r="L2380" s="10" t="s">
        <v>16634</v>
      </c>
      <c r="M2380" s="10">
        <v>1</v>
      </c>
      <c r="N2380" s="10" t="s">
        <v>16309</v>
      </c>
      <c r="O2380" s="10"/>
      <c r="P2380" s="10" t="s">
        <v>16635</v>
      </c>
      <c r="Q2380" s="10">
        <v>370.1524</v>
      </c>
      <c r="R2380" s="10" t="s">
        <v>16636</v>
      </c>
      <c r="S2380" s="10" t="s">
        <v>53</v>
      </c>
      <c r="T2380" s="10" t="s">
        <v>54</v>
      </c>
    </row>
    <row r="2381" spans="1:20" ht="14.5" x14ac:dyDescent="0.35">
      <c r="A2381" s="10" t="s">
        <v>16637</v>
      </c>
      <c r="B2381" s="10" t="str">
        <f>"9780415575768"</f>
        <v>9780415575768</v>
      </c>
      <c r="C2381" s="10" t="str">
        <f>"9780203843406"</f>
        <v>9780203843406</v>
      </c>
      <c r="D2381" s="10" t="s">
        <v>6350</v>
      </c>
      <c r="E2381" s="10" t="s">
        <v>6351</v>
      </c>
      <c r="F2381" s="10" t="s">
        <v>139</v>
      </c>
      <c r="G2381" s="10" t="s">
        <v>6352</v>
      </c>
      <c r="H2381" s="11">
        <v>40470</v>
      </c>
      <c r="I2381" s="10">
        <v>2011</v>
      </c>
      <c r="J2381" s="10" t="s">
        <v>6353</v>
      </c>
      <c r="K2381" s="10">
        <v>204</v>
      </c>
      <c r="L2381" s="10" t="s">
        <v>16638</v>
      </c>
      <c r="M2381" s="10">
        <v>1</v>
      </c>
      <c r="N2381" s="10"/>
      <c r="O2381" s="10"/>
      <c r="P2381" s="10" t="s">
        <v>16639</v>
      </c>
      <c r="Q2381" s="10">
        <v>370.11700000000002</v>
      </c>
      <c r="R2381" s="10" t="s">
        <v>8169</v>
      </c>
      <c r="S2381" s="10" t="s">
        <v>53</v>
      </c>
      <c r="T2381" s="10" t="s">
        <v>54</v>
      </c>
    </row>
    <row r="2382" spans="1:20" ht="14.5" x14ac:dyDescent="0.35">
      <c r="A2382" s="10" t="s">
        <v>16640</v>
      </c>
      <c r="B2382" s="10" t="str">
        <f>"9780415582056"</f>
        <v>9780415582056</v>
      </c>
      <c r="C2382" s="10" t="str">
        <f>"9780203844137"</f>
        <v>9780203844137</v>
      </c>
      <c r="D2382" s="10" t="s">
        <v>6350</v>
      </c>
      <c r="E2382" s="10" t="s">
        <v>6351</v>
      </c>
      <c r="F2382" s="10" t="s">
        <v>139</v>
      </c>
      <c r="G2382" s="10" t="s">
        <v>6352</v>
      </c>
      <c r="H2382" s="11">
        <v>40441</v>
      </c>
      <c r="I2382" s="10">
        <v>2011</v>
      </c>
      <c r="J2382" s="10" t="s">
        <v>6353</v>
      </c>
      <c r="K2382" s="10">
        <v>213</v>
      </c>
      <c r="L2382" s="10" t="s">
        <v>16641</v>
      </c>
      <c r="M2382" s="10">
        <v>1</v>
      </c>
      <c r="N2382" s="10"/>
      <c r="O2382" s="10"/>
      <c r="P2382" s="10" t="s">
        <v>16642</v>
      </c>
      <c r="Q2382" s="10">
        <v>370.72094099999998</v>
      </c>
      <c r="R2382" s="10" t="s">
        <v>16643</v>
      </c>
      <c r="S2382" s="10" t="s">
        <v>53</v>
      </c>
      <c r="T2382" s="10" t="s">
        <v>54</v>
      </c>
    </row>
    <row r="2383" spans="1:20" ht="14.5" x14ac:dyDescent="0.35">
      <c r="A2383" s="10" t="s">
        <v>16644</v>
      </c>
      <c r="B2383" s="10" t="str">
        <f>"9780415801768"</f>
        <v>9780415801768</v>
      </c>
      <c r="C2383" s="10" t="str">
        <f>"9780203847107"</f>
        <v>9780203847107</v>
      </c>
      <c r="D2383" s="10" t="s">
        <v>6350</v>
      </c>
      <c r="E2383" s="10" t="s">
        <v>6351</v>
      </c>
      <c r="F2383" s="10" t="s">
        <v>139</v>
      </c>
      <c r="G2383" s="10" t="s">
        <v>6352</v>
      </c>
      <c r="H2383" s="11">
        <v>40402</v>
      </c>
      <c r="I2383" s="10">
        <v>2011</v>
      </c>
      <c r="J2383" s="10" t="s">
        <v>6353</v>
      </c>
      <c r="K2383" s="10">
        <v>380</v>
      </c>
      <c r="L2383" s="10" t="s">
        <v>16645</v>
      </c>
      <c r="M2383" s="10">
        <v>1</v>
      </c>
      <c r="N2383" s="10"/>
      <c r="O2383" s="10"/>
      <c r="P2383" s="10" t="s">
        <v>16646</v>
      </c>
      <c r="Q2383" s="10">
        <v>373.23599999999999</v>
      </c>
      <c r="R2383" s="10" t="s">
        <v>16647</v>
      </c>
      <c r="S2383" s="10" t="s">
        <v>53</v>
      </c>
      <c r="T2383" s="10" t="s">
        <v>54</v>
      </c>
    </row>
    <row r="2384" spans="1:20" ht="14.5" x14ac:dyDescent="0.35">
      <c r="A2384" s="10" t="s">
        <v>16648</v>
      </c>
      <c r="B2384" s="10" t="str">
        <f>"9780415873420"</f>
        <v>9780415873420</v>
      </c>
      <c r="C2384" s="10" t="str">
        <f>"9780203841846"</f>
        <v>9780203841846</v>
      </c>
      <c r="D2384" s="10" t="s">
        <v>6350</v>
      </c>
      <c r="E2384" s="10" t="s">
        <v>6351</v>
      </c>
      <c r="F2384" s="10" t="s">
        <v>139</v>
      </c>
      <c r="G2384" s="10" t="s">
        <v>6352</v>
      </c>
      <c r="H2384" s="11">
        <v>40379</v>
      </c>
      <c r="I2384" s="10">
        <v>2011</v>
      </c>
      <c r="J2384" s="10" t="s">
        <v>6353</v>
      </c>
      <c r="K2384" s="10">
        <v>218</v>
      </c>
      <c r="L2384" s="10" t="s">
        <v>16649</v>
      </c>
      <c r="M2384" s="10">
        <v>1</v>
      </c>
      <c r="N2384" s="10" t="s">
        <v>6954</v>
      </c>
      <c r="O2384" s="10"/>
      <c r="P2384" s="10" t="s">
        <v>16650</v>
      </c>
      <c r="Q2384" s="10">
        <v>371.1</v>
      </c>
      <c r="R2384" s="10" t="s">
        <v>16651</v>
      </c>
      <c r="S2384" s="10" t="s">
        <v>53</v>
      </c>
      <c r="T2384" s="10" t="s">
        <v>54</v>
      </c>
    </row>
    <row r="2385" spans="1:20" ht="14.5" x14ac:dyDescent="0.35">
      <c r="A2385" s="10" t="s">
        <v>16652</v>
      </c>
      <c r="B2385" s="10" t="str">
        <f>"9780415990530"</f>
        <v>9780415990530</v>
      </c>
      <c r="C2385" s="10" t="str">
        <f>"9780203843444"</f>
        <v>9780203843444</v>
      </c>
      <c r="D2385" s="10" t="s">
        <v>6350</v>
      </c>
      <c r="E2385" s="10" t="s">
        <v>6351</v>
      </c>
      <c r="F2385" s="10" t="s">
        <v>139</v>
      </c>
      <c r="G2385" s="10" t="s">
        <v>6352</v>
      </c>
      <c r="H2385" s="11">
        <v>40414</v>
      </c>
      <c r="I2385" s="10">
        <v>2011</v>
      </c>
      <c r="J2385" s="10" t="s">
        <v>6353</v>
      </c>
      <c r="K2385" s="10">
        <v>238</v>
      </c>
      <c r="L2385" s="10" t="s">
        <v>16653</v>
      </c>
      <c r="M2385" s="10">
        <v>1</v>
      </c>
      <c r="N2385" s="10"/>
      <c r="O2385" s="10"/>
      <c r="P2385" s="10" t="s">
        <v>16654</v>
      </c>
      <c r="Q2385" s="10">
        <v>371.19200000000001</v>
      </c>
      <c r="R2385" s="10" t="s">
        <v>16655</v>
      </c>
      <c r="S2385" s="10" t="s">
        <v>53</v>
      </c>
      <c r="T2385" s="10" t="s">
        <v>54</v>
      </c>
    </row>
    <row r="2386" spans="1:20" ht="14.5" x14ac:dyDescent="0.35">
      <c r="A2386" s="10" t="s">
        <v>16656</v>
      </c>
      <c r="B2386" s="10" t="str">
        <f>"9780415871938"</f>
        <v>9780415871938</v>
      </c>
      <c r="C2386" s="10" t="str">
        <f>"9780203847527"</f>
        <v>9780203847527</v>
      </c>
      <c r="D2386" s="10" t="s">
        <v>6350</v>
      </c>
      <c r="E2386" s="10" t="s">
        <v>6351</v>
      </c>
      <c r="F2386" s="10" t="s">
        <v>139</v>
      </c>
      <c r="G2386" s="10" t="s">
        <v>6352</v>
      </c>
      <c r="H2386" s="11">
        <v>40428</v>
      </c>
      <c r="I2386" s="10">
        <v>2011</v>
      </c>
      <c r="J2386" s="10" t="s">
        <v>6353</v>
      </c>
      <c r="K2386" s="10">
        <v>466</v>
      </c>
      <c r="L2386" s="10" t="s">
        <v>16657</v>
      </c>
      <c r="M2386" s="10">
        <v>1</v>
      </c>
      <c r="N2386" s="10"/>
      <c r="O2386" s="10"/>
      <c r="P2386" s="10" t="s">
        <v>16658</v>
      </c>
      <c r="Q2386" s="10" t="s">
        <v>16659</v>
      </c>
      <c r="R2386" s="10" t="s">
        <v>16636</v>
      </c>
      <c r="S2386" s="10" t="s">
        <v>53</v>
      </c>
      <c r="T2386" s="10" t="s">
        <v>483</v>
      </c>
    </row>
    <row r="2387" spans="1:20" ht="14.5" x14ac:dyDescent="0.35">
      <c r="A2387" s="10" t="s">
        <v>16660</v>
      </c>
      <c r="B2387" s="10" t="str">
        <f>"9780415997911"</f>
        <v>9780415997911</v>
      </c>
      <c r="C2387" s="10" t="str">
        <f>"9780203843239"</f>
        <v>9780203843239</v>
      </c>
      <c r="D2387" s="10" t="s">
        <v>6350</v>
      </c>
      <c r="E2387" s="10" t="s">
        <v>6351</v>
      </c>
      <c r="F2387" s="10" t="s">
        <v>139</v>
      </c>
      <c r="G2387" s="10" t="s">
        <v>6352</v>
      </c>
      <c r="H2387" s="11">
        <v>40413</v>
      </c>
      <c r="I2387" s="10">
        <v>2011</v>
      </c>
      <c r="J2387" s="10" t="s">
        <v>6353</v>
      </c>
      <c r="K2387" s="10">
        <v>252</v>
      </c>
      <c r="L2387" s="10" t="s">
        <v>16661</v>
      </c>
      <c r="M2387" s="10">
        <v>1</v>
      </c>
      <c r="N2387" s="10"/>
      <c r="O2387" s="10"/>
      <c r="P2387" s="10" t="s">
        <v>16662</v>
      </c>
      <c r="Q2387" s="10">
        <v>370.71172999999999</v>
      </c>
      <c r="R2387" s="10" t="s">
        <v>15138</v>
      </c>
      <c r="S2387" s="10" t="s">
        <v>53</v>
      </c>
      <c r="T2387" s="10" t="s">
        <v>54</v>
      </c>
    </row>
    <row r="2388" spans="1:20" ht="14.5" x14ac:dyDescent="0.35">
      <c r="A2388" s="10" t="s">
        <v>16663</v>
      </c>
      <c r="B2388" s="10" t="str">
        <f>"9780415562614"</f>
        <v>9780415562614</v>
      </c>
      <c r="C2388" s="10" t="str">
        <f>"9780203845783"</f>
        <v>9780203845783</v>
      </c>
      <c r="D2388" s="10" t="s">
        <v>6350</v>
      </c>
      <c r="E2388" s="10" t="s">
        <v>6351</v>
      </c>
      <c r="F2388" s="10" t="s">
        <v>139</v>
      </c>
      <c r="G2388" s="10" t="s">
        <v>6352</v>
      </c>
      <c r="H2388" s="11">
        <v>40448</v>
      </c>
      <c r="I2388" s="10">
        <v>2011</v>
      </c>
      <c r="J2388" s="10" t="s">
        <v>6353</v>
      </c>
      <c r="K2388" s="10">
        <v>200</v>
      </c>
      <c r="L2388" s="10" t="s">
        <v>16664</v>
      </c>
      <c r="M2388" s="10">
        <v>1</v>
      </c>
      <c r="N2388" s="10"/>
      <c r="O2388" s="10"/>
      <c r="P2388" s="10" t="s">
        <v>16665</v>
      </c>
      <c r="Q2388" s="10" t="s">
        <v>8836</v>
      </c>
      <c r="R2388" s="10" t="s">
        <v>16666</v>
      </c>
      <c r="S2388" s="10" t="s">
        <v>53</v>
      </c>
      <c r="T2388" s="10" t="s">
        <v>54</v>
      </c>
    </row>
    <row r="2389" spans="1:20" ht="14.5" x14ac:dyDescent="0.35">
      <c r="A2389" s="10" t="s">
        <v>16667</v>
      </c>
      <c r="B2389" s="10" t="str">
        <f>"9780415589291"</f>
        <v>9780415589291</v>
      </c>
      <c r="C2389" s="10" t="str">
        <f>"9780203840795"</f>
        <v>9780203840795</v>
      </c>
      <c r="D2389" s="10" t="s">
        <v>6350</v>
      </c>
      <c r="E2389" s="10" t="s">
        <v>6351</v>
      </c>
      <c r="F2389" s="10" t="s">
        <v>139</v>
      </c>
      <c r="G2389" s="10" t="s">
        <v>6352</v>
      </c>
      <c r="H2389" s="11">
        <v>40452</v>
      </c>
      <c r="I2389" s="10">
        <v>2011</v>
      </c>
      <c r="J2389" s="10" t="s">
        <v>6353</v>
      </c>
      <c r="K2389" s="10">
        <v>190</v>
      </c>
      <c r="L2389" s="10" t="s">
        <v>16668</v>
      </c>
      <c r="M2389" s="10">
        <v>1</v>
      </c>
      <c r="N2389" s="10" t="s">
        <v>16038</v>
      </c>
      <c r="O2389" s="10"/>
      <c r="P2389" s="10" t="s">
        <v>16669</v>
      </c>
      <c r="Q2389" s="10">
        <v>370.28500000000003</v>
      </c>
      <c r="R2389" s="10" t="s">
        <v>7982</v>
      </c>
      <c r="S2389" s="10" t="s">
        <v>53</v>
      </c>
      <c r="T2389" s="10" t="s">
        <v>54</v>
      </c>
    </row>
    <row r="2390" spans="1:20" ht="14.5" x14ac:dyDescent="0.35">
      <c r="A2390" s="10" t="s">
        <v>16670</v>
      </c>
      <c r="B2390" s="10" t="str">
        <f>"9780415883290"</f>
        <v>9780415883290</v>
      </c>
      <c r="C2390" s="10" t="str">
        <f>"9780203843901"</f>
        <v>9780203843901</v>
      </c>
      <c r="D2390" s="10" t="s">
        <v>6350</v>
      </c>
      <c r="E2390" s="10" t="s">
        <v>6351</v>
      </c>
      <c r="F2390" s="10" t="s">
        <v>139</v>
      </c>
      <c r="G2390" s="10" t="s">
        <v>6352</v>
      </c>
      <c r="H2390" s="11">
        <v>40402</v>
      </c>
      <c r="I2390" s="10">
        <v>2011</v>
      </c>
      <c r="J2390" s="10" t="s">
        <v>6353</v>
      </c>
      <c r="K2390" s="10">
        <v>165</v>
      </c>
      <c r="L2390" s="10" t="s">
        <v>8897</v>
      </c>
      <c r="M2390" s="10">
        <v>1</v>
      </c>
      <c r="N2390" s="10"/>
      <c r="O2390" s="10"/>
      <c r="P2390" s="10" t="s">
        <v>16671</v>
      </c>
      <c r="Q2390" s="10">
        <v>371.9</v>
      </c>
      <c r="R2390" s="10" t="s">
        <v>16672</v>
      </c>
      <c r="S2390" s="10" t="s">
        <v>53</v>
      </c>
      <c r="T2390" s="10" t="s">
        <v>54</v>
      </c>
    </row>
    <row r="2391" spans="1:20" ht="14.5" x14ac:dyDescent="0.35">
      <c r="A2391" s="10" t="s">
        <v>16673</v>
      </c>
      <c r="B2391" s="10" t="str">
        <f>"9789290216940"</f>
        <v>9789290216940</v>
      </c>
      <c r="C2391" s="10" t="str">
        <f>"9789290216957"</f>
        <v>9789290216957</v>
      </c>
      <c r="D2391" s="10" t="s">
        <v>16674</v>
      </c>
      <c r="E2391" s="10" t="s">
        <v>16675</v>
      </c>
      <c r="F2391" s="10" t="s">
        <v>5707</v>
      </c>
      <c r="G2391" s="10" t="s">
        <v>16676</v>
      </c>
      <c r="H2391" s="11">
        <v>40179</v>
      </c>
      <c r="I2391" s="10">
        <v>2009</v>
      </c>
      <c r="J2391" s="10" t="s">
        <v>16677</v>
      </c>
      <c r="K2391" s="10">
        <v>27</v>
      </c>
      <c r="L2391" s="10" t="s">
        <v>16678</v>
      </c>
      <c r="M2391" s="10">
        <v>1</v>
      </c>
      <c r="N2391" s="10"/>
      <c r="O2391" s="10"/>
      <c r="P2391" s="10" t="s">
        <v>16679</v>
      </c>
      <c r="Q2391" s="10">
        <v>372.37</v>
      </c>
      <c r="R2391" s="10" t="s">
        <v>16680</v>
      </c>
      <c r="S2391" s="10" t="s">
        <v>53</v>
      </c>
      <c r="T2391" s="10" t="s">
        <v>54</v>
      </c>
    </row>
    <row r="2392" spans="1:20" ht="14.5" x14ac:dyDescent="0.35">
      <c r="A2392" s="10" t="s">
        <v>16681</v>
      </c>
      <c r="B2392" s="10" t="str">
        <f>"9781849050203"</f>
        <v>9781849050203</v>
      </c>
      <c r="C2392" s="10" t="str">
        <f>"9780857003638"</f>
        <v>9780857003638</v>
      </c>
      <c r="D2392" s="10" t="s">
        <v>10516</v>
      </c>
      <c r="E2392" s="10" t="s">
        <v>10516</v>
      </c>
      <c r="F2392" s="10" t="s">
        <v>139</v>
      </c>
      <c r="G2392" s="10" t="s">
        <v>6352</v>
      </c>
      <c r="H2392" s="11">
        <v>40224</v>
      </c>
      <c r="I2392" s="10">
        <v>2010</v>
      </c>
      <c r="J2392" s="10" t="s">
        <v>10516</v>
      </c>
      <c r="K2392" s="10">
        <v>178</v>
      </c>
      <c r="L2392" s="10" t="s">
        <v>16682</v>
      </c>
      <c r="M2392" s="10">
        <v>1</v>
      </c>
      <c r="N2392" s="10"/>
      <c r="O2392" s="10"/>
      <c r="P2392" s="10" t="s">
        <v>16683</v>
      </c>
      <c r="Q2392" s="10" t="s">
        <v>16684</v>
      </c>
      <c r="R2392" s="10"/>
      <c r="S2392" s="10" t="s">
        <v>53</v>
      </c>
      <c r="T2392" s="10" t="s">
        <v>483</v>
      </c>
    </row>
    <row r="2393" spans="1:20" ht="14.5" x14ac:dyDescent="0.35">
      <c r="A2393" s="10" t="s">
        <v>16685</v>
      </c>
      <c r="B2393" s="10" t="str">
        <f>"9781849050524"</f>
        <v>9781849050524</v>
      </c>
      <c r="C2393" s="10" t="str">
        <f>"9780857003584"</f>
        <v>9780857003584</v>
      </c>
      <c r="D2393" s="10" t="s">
        <v>10516</v>
      </c>
      <c r="E2393" s="10" t="s">
        <v>10516</v>
      </c>
      <c r="F2393" s="10" t="s">
        <v>139</v>
      </c>
      <c r="G2393" s="10" t="s">
        <v>6352</v>
      </c>
      <c r="H2393" s="11">
        <v>40193</v>
      </c>
      <c r="I2393" s="10">
        <v>2010</v>
      </c>
      <c r="J2393" s="10" t="s">
        <v>10516</v>
      </c>
      <c r="K2393" s="10">
        <v>164</v>
      </c>
      <c r="L2393" s="10" t="s">
        <v>16686</v>
      </c>
      <c r="M2393" s="10">
        <v>1</v>
      </c>
      <c r="N2393" s="10"/>
      <c r="O2393" s="10"/>
      <c r="P2393" s="10" t="s">
        <v>16687</v>
      </c>
      <c r="Q2393" s="10">
        <v>371.94</v>
      </c>
      <c r="R2393" s="10" t="s">
        <v>16688</v>
      </c>
      <c r="S2393" s="10" t="s">
        <v>53</v>
      </c>
      <c r="T2393" s="10" t="s">
        <v>54</v>
      </c>
    </row>
    <row r="2394" spans="1:20" ht="14.5" x14ac:dyDescent="0.35">
      <c r="A2394" s="10" t="s">
        <v>16689</v>
      </c>
      <c r="B2394" s="10" t="str">
        <f>"9780691089836"</f>
        <v>9780691089836</v>
      </c>
      <c r="C2394" s="10" t="str">
        <f>"9781400823314"</f>
        <v>9781400823314</v>
      </c>
      <c r="D2394" s="10" t="s">
        <v>14335</v>
      </c>
      <c r="E2394" s="10" t="s">
        <v>14336</v>
      </c>
      <c r="F2394" s="10" t="s">
        <v>2246</v>
      </c>
      <c r="G2394" s="10" t="s">
        <v>6317</v>
      </c>
      <c r="H2394" s="11">
        <v>36521</v>
      </c>
      <c r="I2394" s="10">
        <v>1999</v>
      </c>
      <c r="J2394" s="10" t="s">
        <v>14336</v>
      </c>
      <c r="K2394" s="10">
        <v>238</v>
      </c>
      <c r="L2394" s="10" t="s">
        <v>16690</v>
      </c>
      <c r="M2394" s="10">
        <v>1</v>
      </c>
      <c r="N2394" s="10"/>
      <c r="O2394" s="10"/>
      <c r="P2394" s="10" t="s">
        <v>16691</v>
      </c>
      <c r="Q2394" s="10" t="s">
        <v>8659</v>
      </c>
      <c r="R2394" s="10" t="s">
        <v>16692</v>
      </c>
      <c r="S2394" s="10" t="s">
        <v>53</v>
      </c>
      <c r="T2394" s="10" t="s">
        <v>54</v>
      </c>
    </row>
    <row r="2395" spans="1:20" ht="14.5" x14ac:dyDescent="0.35">
      <c r="A2395" s="10" t="s">
        <v>16693</v>
      </c>
      <c r="B2395" s="10" t="str">
        <f>"9780226110448"</f>
        <v>9780226110448</v>
      </c>
      <c r="C2395" s="10" t="str">
        <f>"9780226110455"</f>
        <v>9780226110455</v>
      </c>
      <c r="D2395" s="10" t="s">
        <v>13157</v>
      </c>
      <c r="E2395" s="10" t="s">
        <v>13157</v>
      </c>
      <c r="F2395" s="10" t="s">
        <v>324</v>
      </c>
      <c r="G2395" s="10" t="s">
        <v>6317</v>
      </c>
      <c r="H2395" s="11">
        <v>40344</v>
      </c>
      <c r="I2395" s="10">
        <v>2010</v>
      </c>
      <c r="J2395" s="10" t="s">
        <v>13157</v>
      </c>
      <c r="K2395" s="10">
        <v>427</v>
      </c>
      <c r="L2395" s="10" t="s">
        <v>16694</v>
      </c>
      <c r="M2395" s="10">
        <v>1</v>
      </c>
      <c r="N2395" s="10" t="s">
        <v>13164</v>
      </c>
      <c r="O2395" s="10"/>
      <c r="P2395" s="10" t="s">
        <v>16695</v>
      </c>
      <c r="Q2395" s="10">
        <v>378.73</v>
      </c>
      <c r="R2395" s="10" t="s">
        <v>16696</v>
      </c>
      <c r="S2395" s="10" t="s">
        <v>53</v>
      </c>
      <c r="T2395" s="10" t="s">
        <v>54</v>
      </c>
    </row>
    <row r="2396" spans="1:20" ht="14.5" x14ac:dyDescent="0.35">
      <c r="A2396" s="10" t="s">
        <v>16697</v>
      </c>
      <c r="B2396" s="10" t="str">
        <f>"9780691148090"</f>
        <v>9780691148090</v>
      </c>
      <c r="C2396" s="10" t="str">
        <f>"9781400829019"</f>
        <v>9781400829019</v>
      </c>
      <c r="D2396" s="10" t="s">
        <v>14335</v>
      </c>
      <c r="E2396" s="10" t="s">
        <v>14336</v>
      </c>
      <c r="F2396" s="10" t="s">
        <v>2246</v>
      </c>
      <c r="G2396" s="10" t="s">
        <v>6317</v>
      </c>
      <c r="H2396" s="11">
        <v>39670</v>
      </c>
      <c r="I2396" s="10">
        <v>2008</v>
      </c>
      <c r="J2396" s="10" t="s">
        <v>14336</v>
      </c>
      <c r="K2396" s="10">
        <v>220</v>
      </c>
      <c r="L2396" s="10" t="s">
        <v>16698</v>
      </c>
      <c r="M2396" s="10">
        <v>1</v>
      </c>
      <c r="N2396" s="10"/>
      <c r="O2396" s="10"/>
      <c r="P2396" s="10" t="s">
        <v>16699</v>
      </c>
      <c r="Q2396" s="10">
        <v>371.82900973</v>
      </c>
      <c r="R2396" s="10"/>
      <c r="S2396" s="10" t="s">
        <v>53</v>
      </c>
      <c r="T2396" s="10" t="s">
        <v>54</v>
      </c>
    </row>
    <row r="2397" spans="1:20" ht="14.5" x14ac:dyDescent="0.35">
      <c r="A2397" s="10" t="s">
        <v>16700</v>
      </c>
      <c r="B2397" s="10" t="str">
        <f>"9781606239391"</f>
        <v>9781606239391</v>
      </c>
      <c r="C2397" s="10" t="str">
        <f>"9781606239414"</f>
        <v>9781606239414</v>
      </c>
      <c r="D2397" s="10" t="s">
        <v>11213</v>
      </c>
      <c r="E2397" s="10" t="s">
        <v>11214</v>
      </c>
      <c r="F2397" s="10" t="s">
        <v>70</v>
      </c>
      <c r="G2397" s="10" t="s">
        <v>6317</v>
      </c>
      <c r="H2397" s="11">
        <v>40444</v>
      </c>
      <c r="I2397" s="10">
        <v>2011</v>
      </c>
      <c r="J2397" s="10" t="s">
        <v>11215</v>
      </c>
      <c r="K2397" s="10">
        <v>257</v>
      </c>
      <c r="L2397" s="10" t="s">
        <v>16701</v>
      </c>
      <c r="M2397" s="10">
        <v>1</v>
      </c>
      <c r="N2397" s="10" t="s">
        <v>11221</v>
      </c>
      <c r="O2397" s="10"/>
      <c r="P2397" s="10" t="s">
        <v>16702</v>
      </c>
      <c r="Q2397" s="10">
        <v>372.64</v>
      </c>
      <c r="R2397" s="10" t="s">
        <v>16703</v>
      </c>
      <c r="S2397" s="10" t="s">
        <v>53</v>
      </c>
      <c r="T2397" s="10" t="s">
        <v>54</v>
      </c>
    </row>
    <row r="2398" spans="1:20" ht="14.5" x14ac:dyDescent="0.35">
      <c r="A2398" s="10" t="s">
        <v>16704</v>
      </c>
      <c r="B2398" s="10" t="str">
        <f>""</f>
        <v/>
      </c>
      <c r="C2398" s="10" t="str">
        <f>"9781776512317"</f>
        <v>9781776512317</v>
      </c>
      <c r="D2398" s="10" t="s">
        <v>12228</v>
      </c>
      <c r="E2398" s="10" t="s">
        <v>12229</v>
      </c>
      <c r="F2398" s="10" t="s">
        <v>12230</v>
      </c>
      <c r="G2398" s="10" t="s">
        <v>12231</v>
      </c>
      <c r="H2398" s="11">
        <v>40118</v>
      </c>
      <c r="I2398" s="10">
        <v>2010</v>
      </c>
      <c r="J2398" s="10" t="s">
        <v>12229</v>
      </c>
      <c r="K2398" s="10">
        <v>392</v>
      </c>
      <c r="L2398" s="10" t="s">
        <v>16705</v>
      </c>
      <c r="M2398" s="10">
        <v>1</v>
      </c>
      <c r="N2398" s="10"/>
      <c r="O2398" s="10"/>
      <c r="P2398" s="10" t="s">
        <v>16706</v>
      </c>
      <c r="Q2398" s="10">
        <v>842.8</v>
      </c>
      <c r="R2398" s="10" t="s">
        <v>16707</v>
      </c>
      <c r="S2398" s="10" t="s">
        <v>53</v>
      </c>
      <c r="T2398" s="10" t="s">
        <v>1166</v>
      </c>
    </row>
    <row r="2399" spans="1:20" ht="14.5" x14ac:dyDescent="0.35">
      <c r="A2399" s="10" t="s">
        <v>16708</v>
      </c>
      <c r="B2399" s="10" t="str">
        <f>"9781416609490"</f>
        <v>9781416609490</v>
      </c>
      <c r="C2399" s="10" t="str">
        <f>"9781416609537"</f>
        <v>9781416609537</v>
      </c>
      <c r="D2399" s="10" t="s">
        <v>10014</v>
      </c>
      <c r="E2399" s="10" t="s">
        <v>10015</v>
      </c>
      <c r="F2399" s="10" t="s">
        <v>201</v>
      </c>
      <c r="G2399" s="10" t="s">
        <v>6317</v>
      </c>
      <c r="H2399" s="11">
        <v>40298</v>
      </c>
      <c r="I2399" s="10">
        <v>2010</v>
      </c>
      <c r="J2399" s="10" t="s">
        <v>10015</v>
      </c>
      <c r="K2399" s="10">
        <v>170</v>
      </c>
      <c r="L2399" s="10" t="s">
        <v>10016</v>
      </c>
      <c r="M2399" s="10">
        <v>1</v>
      </c>
      <c r="N2399" s="10"/>
      <c r="O2399" s="10"/>
      <c r="P2399" s="10" t="s">
        <v>16709</v>
      </c>
      <c r="Q2399" s="10" t="s">
        <v>15602</v>
      </c>
      <c r="R2399" s="10" t="s">
        <v>16710</v>
      </c>
      <c r="S2399" s="10" t="s">
        <v>53</v>
      </c>
      <c r="T2399" s="10" t="s">
        <v>54</v>
      </c>
    </row>
    <row r="2400" spans="1:20" ht="14.5" x14ac:dyDescent="0.35">
      <c r="A2400" s="10" t="s">
        <v>16711</v>
      </c>
      <c r="B2400" s="10" t="str">
        <f>"9789004184138"</f>
        <v>9789004184138</v>
      </c>
      <c r="C2400" s="10" t="str">
        <f>"9789004184152"</f>
        <v>9789004184152</v>
      </c>
      <c r="D2400" s="10" t="s">
        <v>8564</v>
      </c>
      <c r="E2400" s="10" t="s">
        <v>8565</v>
      </c>
      <c r="F2400" s="10" t="s">
        <v>1420</v>
      </c>
      <c r="G2400" s="10" t="s">
        <v>6317</v>
      </c>
      <c r="H2400" s="11">
        <v>40274</v>
      </c>
      <c r="I2400" s="10">
        <v>2010</v>
      </c>
      <c r="J2400" s="10" t="s">
        <v>8565</v>
      </c>
      <c r="K2400" s="10">
        <v>253</v>
      </c>
      <c r="L2400" s="10" t="s">
        <v>16712</v>
      </c>
      <c r="M2400" s="10">
        <v>1</v>
      </c>
      <c r="N2400" s="10" t="s">
        <v>16713</v>
      </c>
      <c r="O2400" s="10">
        <v>2</v>
      </c>
      <c r="P2400" s="10" t="s">
        <v>16714</v>
      </c>
      <c r="Q2400" s="10"/>
      <c r="R2400" s="10"/>
      <c r="S2400" s="10" t="s">
        <v>53</v>
      </c>
      <c r="T2400" s="10" t="s">
        <v>54</v>
      </c>
    </row>
    <row r="2401" spans="1:20" ht="14.5" x14ac:dyDescent="0.35">
      <c r="A2401" s="10" t="s">
        <v>16715</v>
      </c>
      <c r="B2401" s="10" t="str">
        <f>"9781441177094"</f>
        <v>9781441177094</v>
      </c>
      <c r="C2401" s="10" t="str">
        <f>"9781441166739"</f>
        <v>9781441166739</v>
      </c>
      <c r="D2401" s="10" t="s">
        <v>13959</v>
      </c>
      <c r="E2401" s="10" t="s">
        <v>13960</v>
      </c>
      <c r="F2401" s="10" t="s">
        <v>139</v>
      </c>
      <c r="G2401" s="10" t="s">
        <v>6352</v>
      </c>
      <c r="H2401" s="11">
        <v>41365</v>
      </c>
      <c r="I2401" s="10">
        <v>2012</v>
      </c>
      <c r="J2401" s="10" t="s">
        <v>14057</v>
      </c>
      <c r="K2401" s="10">
        <v>338</v>
      </c>
      <c r="L2401" s="10" t="s">
        <v>16716</v>
      </c>
      <c r="M2401" s="10">
        <v>1</v>
      </c>
      <c r="N2401" s="10"/>
      <c r="O2401" s="10"/>
      <c r="P2401" s="10" t="s">
        <v>16717</v>
      </c>
      <c r="Q2401" s="10">
        <v>378.01600000000002</v>
      </c>
      <c r="R2401" s="10" t="s">
        <v>16718</v>
      </c>
      <c r="S2401" s="10" t="s">
        <v>53</v>
      </c>
      <c r="T2401" s="10" t="s">
        <v>54</v>
      </c>
    </row>
    <row r="2402" spans="1:20" ht="14.5" x14ac:dyDescent="0.35">
      <c r="A2402" s="10" t="s">
        <v>16719</v>
      </c>
      <c r="B2402" s="10" t="str">
        <f>"9781441198778"</f>
        <v>9781441198778</v>
      </c>
      <c r="C2402" s="10" t="str">
        <f>"9781441110084"</f>
        <v>9781441110084</v>
      </c>
      <c r="D2402" s="10" t="s">
        <v>13959</v>
      </c>
      <c r="E2402" s="10" t="s">
        <v>13960</v>
      </c>
      <c r="F2402" s="10" t="s">
        <v>139</v>
      </c>
      <c r="G2402" s="10" t="s">
        <v>6352</v>
      </c>
      <c r="H2402" s="11">
        <v>41036</v>
      </c>
      <c r="I2402" s="10">
        <v>2010</v>
      </c>
      <c r="J2402" s="10" t="s">
        <v>13961</v>
      </c>
      <c r="K2402" s="10">
        <v>225</v>
      </c>
      <c r="L2402" s="10" t="s">
        <v>16720</v>
      </c>
      <c r="M2402" s="10">
        <v>1</v>
      </c>
      <c r="N2402" s="10"/>
      <c r="O2402" s="10"/>
      <c r="P2402" s="10" t="s">
        <v>16721</v>
      </c>
      <c r="Q2402" s="10">
        <v>370.72</v>
      </c>
      <c r="R2402" s="10" t="s">
        <v>16722</v>
      </c>
      <c r="S2402" s="10" t="s">
        <v>53</v>
      </c>
      <c r="T2402" s="10" t="s">
        <v>54</v>
      </c>
    </row>
    <row r="2403" spans="1:20" ht="14.5" x14ac:dyDescent="0.35">
      <c r="A2403" s="10" t="s">
        <v>16723</v>
      </c>
      <c r="B2403" s="10" t="str">
        <f>"9781892005069"</f>
        <v>9781892005069</v>
      </c>
      <c r="C2403" s="10" t="str">
        <f>"9781892005458"</f>
        <v>9781892005458</v>
      </c>
      <c r="D2403" s="10" t="s">
        <v>9215</v>
      </c>
      <c r="E2403" s="10" t="s">
        <v>16724</v>
      </c>
      <c r="F2403" s="10" t="s">
        <v>16725</v>
      </c>
      <c r="G2403" s="10" t="s">
        <v>6317</v>
      </c>
      <c r="H2403" s="11">
        <v>38231</v>
      </c>
      <c r="I2403" s="10">
        <v>2004</v>
      </c>
      <c r="J2403" s="10" t="s">
        <v>16724</v>
      </c>
      <c r="K2403" s="10">
        <v>210</v>
      </c>
      <c r="L2403" s="10" t="s">
        <v>16726</v>
      </c>
      <c r="M2403" s="10">
        <v>1</v>
      </c>
      <c r="N2403" s="10"/>
      <c r="O2403" s="10"/>
      <c r="P2403" s="10" t="s">
        <v>16727</v>
      </c>
      <c r="Q2403" s="10" t="s">
        <v>8836</v>
      </c>
      <c r="R2403" s="10" t="s">
        <v>16728</v>
      </c>
      <c r="S2403" s="10" t="s">
        <v>53</v>
      </c>
      <c r="T2403" s="10" t="s">
        <v>54</v>
      </c>
    </row>
    <row r="2404" spans="1:20" ht="14.5" x14ac:dyDescent="0.35">
      <c r="A2404" s="10" t="s">
        <v>16729</v>
      </c>
      <c r="B2404" s="10" t="str">
        <f>"9781892005113"</f>
        <v>9781892005113</v>
      </c>
      <c r="C2404" s="10" t="str">
        <f>"9781892005441"</f>
        <v>9781892005441</v>
      </c>
      <c r="D2404" s="10" t="s">
        <v>9215</v>
      </c>
      <c r="E2404" s="10" t="s">
        <v>16724</v>
      </c>
      <c r="F2404" s="10" t="s">
        <v>16725</v>
      </c>
      <c r="G2404" s="10" t="s">
        <v>6317</v>
      </c>
      <c r="H2404" s="11">
        <v>38231</v>
      </c>
      <c r="I2404" s="10">
        <v>2004</v>
      </c>
      <c r="J2404" s="10" t="s">
        <v>16724</v>
      </c>
      <c r="K2404" s="10">
        <v>50</v>
      </c>
      <c r="L2404" s="10" t="s">
        <v>16730</v>
      </c>
      <c r="M2404" s="10"/>
      <c r="N2404" s="10" t="s">
        <v>16731</v>
      </c>
      <c r="O2404" s="10"/>
      <c r="P2404" s="10" t="s">
        <v>16732</v>
      </c>
      <c r="Q2404" s="10">
        <v>371.3</v>
      </c>
      <c r="R2404" s="10" t="s">
        <v>16733</v>
      </c>
      <c r="S2404" s="10" t="s">
        <v>53</v>
      </c>
      <c r="T2404" s="10" t="s">
        <v>54</v>
      </c>
    </row>
    <row r="2405" spans="1:20" ht="14.5" x14ac:dyDescent="0.35">
      <c r="A2405" s="10" t="s">
        <v>16734</v>
      </c>
      <c r="B2405" s="10" t="str">
        <f>"9781847873583"</f>
        <v>9781847873583</v>
      </c>
      <c r="C2405" s="10" t="str">
        <f>"9780857029454"</f>
        <v>9780857029454</v>
      </c>
      <c r="D2405" s="10" t="s">
        <v>9325</v>
      </c>
      <c r="E2405" s="10" t="s">
        <v>9326</v>
      </c>
      <c r="F2405" s="10" t="s">
        <v>139</v>
      </c>
      <c r="G2405" s="10" t="s">
        <v>6352</v>
      </c>
      <c r="H2405" s="11">
        <v>39968</v>
      </c>
      <c r="I2405" s="10">
        <v>2009</v>
      </c>
      <c r="J2405" s="10" t="s">
        <v>9326</v>
      </c>
      <c r="K2405" s="10">
        <v>179</v>
      </c>
      <c r="L2405" s="10" t="s">
        <v>16735</v>
      </c>
      <c r="M2405" s="10">
        <v>1</v>
      </c>
      <c r="N2405" s="10" t="s">
        <v>16736</v>
      </c>
      <c r="O2405" s="10"/>
      <c r="P2405" s="10" t="s">
        <v>16737</v>
      </c>
      <c r="Q2405" s="10">
        <v>370.72</v>
      </c>
      <c r="R2405" s="10" t="s">
        <v>16738</v>
      </c>
      <c r="S2405" s="10" t="s">
        <v>53</v>
      </c>
      <c r="T2405" s="10" t="s">
        <v>54</v>
      </c>
    </row>
    <row r="2406" spans="1:20" ht="14.5" x14ac:dyDescent="0.35">
      <c r="A2406" s="10" t="s">
        <v>16739</v>
      </c>
      <c r="B2406" s="10" t="str">
        <f>"9780804770477"</f>
        <v>9780804770477</v>
      </c>
      <c r="C2406" s="10" t="str">
        <f>"9780804775113"</f>
        <v>9780804775113</v>
      </c>
      <c r="D2406" s="10" t="s">
        <v>16213</v>
      </c>
      <c r="E2406" s="10" t="s">
        <v>16213</v>
      </c>
      <c r="F2406" s="10" t="s">
        <v>16214</v>
      </c>
      <c r="G2406" s="10" t="s">
        <v>6317</v>
      </c>
      <c r="H2406" s="11">
        <v>40387</v>
      </c>
      <c r="I2406" s="10">
        <v>2010</v>
      </c>
      <c r="J2406" s="10" t="s">
        <v>16213</v>
      </c>
      <c r="K2406" s="10">
        <v>296</v>
      </c>
      <c r="L2406" s="10" t="s">
        <v>16740</v>
      </c>
      <c r="M2406" s="10">
        <v>1</v>
      </c>
      <c r="N2406" s="10"/>
      <c r="O2406" s="10"/>
      <c r="P2406" s="10" t="s">
        <v>13948</v>
      </c>
      <c r="Q2406" s="10">
        <v>378.73088999999999</v>
      </c>
      <c r="R2406" s="10" t="s">
        <v>16741</v>
      </c>
      <c r="S2406" s="10" t="s">
        <v>53</v>
      </c>
      <c r="T2406" s="10" t="s">
        <v>54</v>
      </c>
    </row>
    <row r="2407" spans="1:20" ht="14.5" x14ac:dyDescent="0.35">
      <c r="A2407" s="10" t="s">
        <v>16742</v>
      </c>
      <c r="B2407" s="10" t="str">
        <f>"9780813344157"</f>
        <v>9780813344157</v>
      </c>
      <c r="C2407" s="10" t="str">
        <f>"9780813391892"</f>
        <v>9780813391892</v>
      </c>
      <c r="D2407" s="10" t="s">
        <v>6350</v>
      </c>
      <c r="E2407" s="10" t="s">
        <v>6351</v>
      </c>
      <c r="F2407" s="10" t="s">
        <v>1614</v>
      </c>
      <c r="G2407" s="10" t="s">
        <v>6317</v>
      </c>
      <c r="H2407" s="11">
        <v>40386</v>
      </c>
      <c r="I2407" s="10">
        <v>2011</v>
      </c>
      <c r="J2407" s="10" t="s">
        <v>6353</v>
      </c>
      <c r="K2407" s="10">
        <v>257</v>
      </c>
      <c r="L2407" s="10" t="s">
        <v>16743</v>
      </c>
      <c r="M2407" s="10">
        <v>1</v>
      </c>
      <c r="N2407" s="10"/>
      <c r="O2407" s="10"/>
      <c r="P2407" s="10" t="s">
        <v>16744</v>
      </c>
      <c r="Q2407" s="10">
        <v>372.44</v>
      </c>
      <c r="R2407" s="10" t="s">
        <v>16745</v>
      </c>
      <c r="S2407" s="10" t="s">
        <v>53</v>
      </c>
      <c r="T2407" s="10" t="s">
        <v>54</v>
      </c>
    </row>
    <row r="2408" spans="1:20" ht="14.5" x14ac:dyDescent="0.35">
      <c r="A2408" s="10" t="s">
        <v>16746</v>
      </c>
      <c r="B2408" s="10" t="str">
        <f>"9780521515658"</f>
        <v>9780521515658</v>
      </c>
      <c r="C2408" s="10" t="str">
        <f>"9780511914768"</f>
        <v>9780511914768</v>
      </c>
      <c r="D2408" s="10" t="s">
        <v>397</v>
      </c>
      <c r="E2408" s="10" t="s">
        <v>397</v>
      </c>
      <c r="F2408" s="10" t="s">
        <v>70</v>
      </c>
      <c r="G2408" s="10" t="s">
        <v>6317</v>
      </c>
      <c r="H2408" s="11">
        <v>40420</v>
      </c>
      <c r="I2408" s="10">
        <v>2010</v>
      </c>
      <c r="J2408" s="10" t="s">
        <v>397</v>
      </c>
      <c r="K2408" s="10">
        <v>240</v>
      </c>
      <c r="L2408" s="10" t="s">
        <v>16747</v>
      </c>
      <c r="M2408" s="10">
        <v>1</v>
      </c>
      <c r="N2408" s="10" t="s">
        <v>8349</v>
      </c>
      <c r="O2408" s="10"/>
      <c r="P2408" s="10" t="s">
        <v>16748</v>
      </c>
      <c r="Q2408" s="10" t="s">
        <v>16749</v>
      </c>
      <c r="R2408" s="10" t="s">
        <v>16750</v>
      </c>
      <c r="S2408" s="10" t="s">
        <v>53</v>
      </c>
      <c r="T2408" s="10" t="s">
        <v>54</v>
      </c>
    </row>
    <row r="2409" spans="1:20" ht="14.5" x14ac:dyDescent="0.35">
      <c r="A2409" s="10" t="s">
        <v>16751</v>
      </c>
      <c r="B2409" s="10" t="str">
        <f>"9781844078776"</f>
        <v>9781844078776</v>
      </c>
      <c r="C2409" s="10" t="str">
        <f>"9781849776516"</f>
        <v>9781849776516</v>
      </c>
      <c r="D2409" s="10" t="s">
        <v>6350</v>
      </c>
      <c r="E2409" s="10" t="s">
        <v>6351</v>
      </c>
      <c r="F2409" s="10" t="s">
        <v>139</v>
      </c>
      <c r="G2409" s="10" t="s">
        <v>6352</v>
      </c>
      <c r="H2409" s="11">
        <v>40352</v>
      </c>
      <c r="I2409" s="10">
        <v>2010</v>
      </c>
      <c r="J2409" s="10" t="s">
        <v>6353</v>
      </c>
      <c r="K2409" s="10">
        <v>373</v>
      </c>
      <c r="L2409" s="10" t="s">
        <v>16752</v>
      </c>
      <c r="M2409" s="10">
        <v>1</v>
      </c>
      <c r="N2409" s="10"/>
      <c r="O2409" s="10"/>
      <c r="P2409" s="10" t="s">
        <v>16753</v>
      </c>
      <c r="Q2409" s="10" t="s">
        <v>16754</v>
      </c>
      <c r="R2409" s="10" t="s">
        <v>16755</v>
      </c>
      <c r="S2409" s="10" t="s">
        <v>53</v>
      </c>
      <c r="T2409" s="10" t="s">
        <v>16756</v>
      </c>
    </row>
    <row r="2410" spans="1:20" ht="14.5" x14ac:dyDescent="0.35">
      <c r="A2410" s="10" t="s">
        <v>16757</v>
      </c>
      <c r="B2410" s="10" t="str">
        <f>"9789042030961"</f>
        <v>9789042030961</v>
      </c>
      <c r="C2410" s="10" t="str">
        <f>"9789042030978"</f>
        <v>9789042030978</v>
      </c>
      <c r="D2410" s="10" t="s">
        <v>8564</v>
      </c>
      <c r="E2410" s="10" t="s">
        <v>8565</v>
      </c>
      <c r="F2410" s="10" t="s">
        <v>1420</v>
      </c>
      <c r="G2410" s="10" t="s">
        <v>6317</v>
      </c>
      <c r="H2410" s="11">
        <v>40179</v>
      </c>
      <c r="I2410" s="10">
        <v>2010</v>
      </c>
      <c r="J2410" s="10" t="s">
        <v>16400</v>
      </c>
      <c r="K2410" s="10">
        <v>252</v>
      </c>
      <c r="L2410" s="10" t="s">
        <v>16758</v>
      </c>
      <c r="M2410" s="10">
        <v>1</v>
      </c>
      <c r="N2410" s="10" t="s">
        <v>16406</v>
      </c>
      <c r="O2410" s="10">
        <v>72</v>
      </c>
      <c r="P2410" s="10" t="s">
        <v>16759</v>
      </c>
      <c r="Q2410" s="10">
        <v>378</v>
      </c>
      <c r="R2410" s="10"/>
      <c r="S2410" s="10" t="s">
        <v>53</v>
      </c>
      <c r="T2410" s="10" t="s">
        <v>54</v>
      </c>
    </row>
    <row r="2411" spans="1:20" ht="14.5" x14ac:dyDescent="0.35">
      <c r="A2411" s="10" t="s">
        <v>16760</v>
      </c>
      <c r="B2411" s="10" t="str">
        <f>"9780857243034"</f>
        <v>9780857243034</v>
      </c>
      <c r="C2411" s="10" t="str">
        <f>"9780857243041"</f>
        <v>9780857243041</v>
      </c>
      <c r="D2411" s="10" t="s">
        <v>8699</v>
      </c>
      <c r="E2411" s="10" t="s">
        <v>8699</v>
      </c>
      <c r="F2411" s="10" t="s">
        <v>559</v>
      </c>
      <c r="G2411" s="10" t="s">
        <v>6352</v>
      </c>
      <c r="H2411" s="11">
        <v>40448</v>
      </c>
      <c r="I2411" s="10">
        <v>2010</v>
      </c>
      <c r="J2411" s="10" t="s">
        <v>8699</v>
      </c>
      <c r="K2411" s="10">
        <v>272</v>
      </c>
      <c r="L2411" s="10" t="s">
        <v>16761</v>
      </c>
      <c r="M2411" s="10">
        <v>1</v>
      </c>
      <c r="N2411" s="10" t="s">
        <v>14534</v>
      </c>
      <c r="O2411" s="10">
        <v>12</v>
      </c>
      <c r="P2411" s="10" t="s">
        <v>13844</v>
      </c>
      <c r="Q2411" s="10">
        <v>379.15</v>
      </c>
      <c r="R2411" s="10" t="s">
        <v>16762</v>
      </c>
      <c r="S2411" s="10" t="s">
        <v>53</v>
      </c>
      <c r="T2411" s="10" t="s">
        <v>54</v>
      </c>
    </row>
    <row r="2412" spans="1:20" ht="14.5" x14ac:dyDescent="0.35">
      <c r="A2412" s="10" t="s">
        <v>16763</v>
      </c>
      <c r="B2412" s="10" t="str">
        <f>"9780253222442"</f>
        <v>9780253222442</v>
      </c>
      <c r="C2412" s="10" t="str">
        <f>"9780253004680"</f>
        <v>9780253004680</v>
      </c>
      <c r="D2412" s="10" t="s">
        <v>2455</v>
      </c>
      <c r="E2412" s="10" t="s">
        <v>2455</v>
      </c>
      <c r="F2412" s="10" t="s">
        <v>3101</v>
      </c>
      <c r="G2412" s="10" t="s">
        <v>6317</v>
      </c>
      <c r="H2412" s="11">
        <v>40427</v>
      </c>
      <c r="I2412" s="10">
        <v>2010</v>
      </c>
      <c r="J2412" s="10" t="s">
        <v>2455</v>
      </c>
      <c r="K2412" s="10">
        <v>191</v>
      </c>
      <c r="L2412" s="10" t="s">
        <v>16764</v>
      </c>
      <c r="M2412" s="10">
        <v>1</v>
      </c>
      <c r="N2412" s="10"/>
      <c r="O2412" s="10"/>
      <c r="P2412" s="10" t="s">
        <v>16765</v>
      </c>
      <c r="Q2412" s="10" t="s">
        <v>8289</v>
      </c>
      <c r="R2412" s="10" t="s">
        <v>16766</v>
      </c>
      <c r="S2412" s="10" t="s">
        <v>53</v>
      </c>
      <c r="T2412" s="10" t="s">
        <v>54</v>
      </c>
    </row>
    <row r="2413" spans="1:20" ht="14.5" x14ac:dyDescent="0.35">
      <c r="A2413" s="10" t="s">
        <v>16767</v>
      </c>
      <c r="B2413" s="10" t="str">
        <f>"9780787902445"</f>
        <v>9780787902445</v>
      </c>
      <c r="C2413" s="10" t="str">
        <f>"9780470545102"</f>
        <v>9780470545102</v>
      </c>
      <c r="D2413" s="10" t="s">
        <v>6322</v>
      </c>
      <c r="E2413" s="10" t="s">
        <v>6323</v>
      </c>
      <c r="F2413" s="10" t="s">
        <v>4423</v>
      </c>
      <c r="G2413" s="10" t="s">
        <v>6317</v>
      </c>
      <c r="H2413" s="11">
        <v>35293</v>
      </c>
      <c r="I2413" s="10">
        <v>1996</v>
      </c>
      <c r="J2413" s="10" t="s">
        <v>6324</v>
      </c>
      <c r="K2413" s="10">
        <v>258</v>
      </c>
      <c r="L2413" s="10" t="s">
        <v>16768</v>
      </c>
      <c r="M2413" s="10">
        <v>1</v>
      </c>
      <c r="N2413" s="10"/>
      <c r="O2413" s="10"/>
      <c r="P2413" s="10" t="s">
        <v>16769</v>
      </c>
      <c r="Q2413" s="10"/>
      <c r="R2413" s="10" t="s">
        <v>16770</v>
      </c>
      <c r="S2413" s="10" t="s">
        <v>53</v>
      </c>
      <c r="T2413" s="10" t="s">
        <v>6660</v>
      </c>
    </row>
    <row r="2414" spans="1:20" ht="14.5" x14ac:dyDescent="0.35">
      <c r="A2414" s="10" t="s">
        <v>16771</v>
      </c>
      <c r="B2414" s="10" t="str">
        <f>"9780787972301"</f>
        <v>9780787972301</v>
      </c>
      <c r="C2414" s="10" t="str">
        <f>"9780470924327"</f>
        <v>9780470924327</v>
      </c>
      <c r="D2414" s="10" t="s">
        <v>6322</v>
      </c>
      <c r="E2414" s="10" t="s">
        <v>6323</v>
      </c>
      <c r="F2414" s="10" t="s">
        <v>4423</v>
      </c>
      <c r="G2414" s="10" t="s">
        <v>6317</v>
      </c>
      <c r="H2414" s="11">
        <v>38334</v>
      </c>
      <c r="I2414" s="10">
        <v>2005</v>
      </c>
      <c r="J2414" s="10" t="s">
        <v>6324</v>
      </c>
      <c r="K2414" s="10">
        <v>178</v>
      </c>
      <c r="L2414" s="10" t="s">
        <v>16772</v>
      </c>
      <c r="M2414" s="10">
        <v>1</v>
      </c>
      <c r="N2414" s="10"/>
      <c r="O2414" s="10"/>
      <c r="P2414" s="10" t="s">
        <v>16773</v>
      </c>
      <c r="Q2414" s="10">
        <v>371.33</v>
      </c>
      <c r="R2414" s="10" t="s">
        <v>16774</v>
      </c>
      <c r="S2414" s="10" t="s">
        <v>53</v>
      </c>
      <c r="T2414" s="10" t="s">
        <v>54</v>
      </c>
    </row>
    <row r="2415" spans="1:20" ht="14.5" x14ac:dyDescent="0.35">
      <c r="A2415" s="10" t="s">
        <v>16775</v>
      </c>
      <c r="B2415" s="10" t="str">
        <f>"9780470499047"</f>
        <v>9780470499047</v>
      </c>
      <c r="C2415" s="10" t="str">
        <f>"9780470892428"</f>
        <v>9780470892428</v>
      </c>
      <c r="D2415" s="10" t="s">
        <v>6322</v>
      </c>
      <c r="E2415" s="10" t="s">
        <v>6323</v>
      </c>
      <c r="F2415" s="10" t="s">
        <v>4423</v>
      </c>
      <c r="G2415" s="10" t="s">
        <v>6317</v>
      </c>
      <c r="H2415" s="11">
        <v>40463</v>
      </c>
      <c r="I2415" s="10">
        <v>2010</v>
      </c>
      <c r="J2415" s="10" t="s">
        <v>6324</v>
      </c>
      <c r="K2415" s="10">
        <v>190</v>
      </c>
      <c r="L2415" s="10" t="s">
        <v>16776</v>
      </c>
      <c r="M2415" s="10">
        <v>1</v>
      </c>
      <c r="N2415" s="10" t="s">
        <v>16630</v>
      </c>
      <c r="O2415" s="10">
        <v>17</v>
      </c>
      <c r="P2415" s="10" t="s">
        <v>16777</v>
      </c>
      <c r="Q2415" s="10" t="s">
        <v>10380</v>
      </c>
      <c r="R2415" s="10" t="s">
        <v>16778</v>
      </c>
      <c r="S2415" s="10" t="s">
        <v>53</v>
      </c>
      <c r="T2415" s="10" t="s">
        <v>54</v>
      </c>
    </row>
    <row r="2416" spans="1:20" ht="14.5" x14ac:dyDescent="0.35">
      <c r="A2416" s="10" t="s">
        <v>16779</v>
      </c>
      <c r="B2416" s="10" t="str">
        <f>"9780719062421"</f>
        <v>9780719062421</v>
      </c>
      <c r="C2416" s="10" t="str">
        <f>"9781847791252"</f>
        <v>9781847791252</v>
      </c>
      <c r="D2416" s="10" t="s">
        <v>16780</v>
      </c>
      <c r="E2416" s="10" t="s">
        <v>16780</v>
      </c>
      <c r="F2416" s="10" t="s">
        <v>2829</v>
      </c>
      <c r="G2416" s="10" t="s">
        <v>6317</v>
      </c>
      <c r="H2416" s="11">
        <v>41914</v>
      </c>
      <c r="I2416" s="10">
        <v>2001</v>
      </c>
      <c r="J2416" s="10" t="s">
        <v>16780</v>
      </c>
      <c r="K2416" s="10">
        <v>349</v>
      </c>
      <c r="L2416" s="10" t="s">
        <v>16781</v>
      </c>
      <c r="M2416" s="10">
        <v>1</v>
      </c>
      <c r="N2416" s="10"/>
      <c r="O2416" s="10"/>
      <c r="P2416" s="10" t="s">
        <v>16782</v>
      </c>
      <c r="Q2416" s="10"/>
      <c r="R2416" s="10"/>
      <c r="S2416" s="10" t="s">
        <v>53</v>
      </c>
      <c r="T2416" s="10" t="s">
        <v>54</v>
      </c>
    </row>
    <row r="2417" spans="1:20" ht="14.5" x14ac:dyDescent="0.35">
      <c r="A2417" s="10" t="s">
        <v>16783</v>
      </c>
      <c r="B2417" s="10" t="str">
        <f>"9780415490214"</f>
        <v>9780415490214</v>
      </c>
      <c r="C2417" s="10" t="str">
        <f>"9780203841006"</f>
        <v>9780203841006</v>
      </c>
      <c r="D2417" s="10" t="s">
        <v>6350</v>
      </c>
      <c r="E2417" s="10" t="s">
        <v>6351</v>
      </c>
      <c r="F2417" s="10" t="s">
        <v>139</v>
      </c>
      <c r="G2417" s="10" t="s">
        <v>6352</v>
      </c>
      <c r="H2417" s="11">
        <v>40472</v>
      </c>
      <c r="I2417" s="10">
        <v>2011</v>
      </c>
      <c r="J2417" s="10" t="s">
        <v>6353</v>
      </c>
      <c r="K2417" s="10">
        <v>142</v>
      </c>
      <c r="L2417" s="10" t="s">
        <v>16784</v>
      </c>
      <c r="M2417" s="10">
        <v>1</v>
      </c>
      <c r="N2417" s="10"/>
      <c r="O2417" s="10"/>
      <c r="P2417" s="10" t="s">
        <v>16785</v>
      </c>
      <c r="Q2417" s="10" t="s">
        <v>16786</v>
      </c>
      <c r="R2417" s="10" t="s">
        <v>16787</v>
      </c>
      <c r="S2417" s="10" t="s">
        <v>53</v>
      </c>
      <c r="T2417" s="10" t="s">
        <v>9590</v>
      </c>
    </row>
    <row r="2418" spans="1:20" ht="14.5" x14ac:dyDescent="0.35">
      <c r="A2418" s="10" t="s">
        <v>16788</v>
      </c>
      <c r="B2418" s="10" t="str">
        <f>"9780415574624"</f>
        <v>9780415574624</v>
      </c>
      <c r="C2418" s="10" t="str">
        <f>"9780203846605"</f>
        <v>9780203846605</v>
      </c>
      <c r="D2418" s="10" t="s">
        <v>6350</v>
      </c>
      <c r="E2418" s="10" t="s">
        <v>6351</v>
      </c>
      <c r="F2418" s="10" t="s">
        <v>139</v>
      </c>
      <c r="G2418" s="10" t="s">
        <v>6352</v>
      </c>
      <c r="H2418" s="11">
        <v>40477</v>
      </c>
      <c r="I2418" s="10">
        <v>2011</v>
      </c>
      <c r="J2418" s="10" t="s">
        <v>6353</v>
      </c>
      <c r="K2418" s="10">
        <v>159</v>
      </c>
      <c r="L2418" s="10" t="s">
        <v>16789</v>
      </c>
      <c r="M2418" s="10">
        <v>1</v>
      </c>
      <c r="N2418" s="10"/>
      <c r="O2418" s="10"/>
      <c r="P2418" s="10" t="s">
        <v>16790</v>
      </c>
      <c r="Q2418" s="10" t="s">
        <v>7931</v>
      </c>
      <c r="R2418" s="10" t="s">
        <v>16791</v>
      </c>
      <c r="S2418" s="10" t="s">
        <v>53</v>
      </c>
      <c r="T2418" s="10" t="s">
        <v>6640</v>
      </c>
    </row>
    <row r="2419" spans="1:20" ht="14.5" x14ac:dyDescent="0.35">
      <c r="A2419" s="10" t="s">
        <v>16792</v>
      </c>
      <c r="B2419" s="10" t="str">
        <f>"9780415565059"</f>
        <v>9780415565059</v>
      </c>
      <c r="C2419" s="10" t="str">
        <f>"9780203845325"</f>
        <v>9780203845325</v>
      </c>
      <c r="D2419" s="10" t="s">
        <v>6350</v>
      </c>
      <c r="E2419" s="10" t="s">
        <v>6351</v>
      </c>
      <c r="F2419" s="10" t="s">
        <v>748</v>
      </c>
      <c r="G2419" s="10" t="s">
        <v>6352</v>
      </c>
      <c r="H2419" s="11">
        <v>40491</v>
      </c>
      <c r="I2419" s="10">
        <v>2011</v>
      </c>
      <c r="J2419" s="10" t="s">
        <v>6351</v>
      </c>
      <c r="K2419" s="10">
        <v>222</v>
      </c>
      <c r="L2419" s="10" t="s">
        <v>6403</v>
      </c>
      <c r="M2419" s="10">
        <v>1</v>
      </c>
      <c r="N2419" s="10"/>
      <c r="O2419" s="10"/>
      <c r="P2419" s="10" t="s">
        <v>16793</v>
      </c>
      <c r="Q2419" s="10">
        <v>372.6</v>
      </c>
      <c r="R2419" s="10" t="s">
        <v>16794</v>
      </c>
      <c r="S2419" s="10" t="s">
        <v>53</v>
      </c>
      <c r="T2419" s="10" t="s">
        <v>54</v>
      </c>
    </row>
    <row r="2420" spans="1:20" ht="14.5" x14ac:dyDescent="0.35">
      <c r="A2420" s="10" t="s">
        <v>16795</v>
      </c>
      <c r="B2420" s="10" t="str">
        <f>"9781586489274"</f>
        <v>9781586489274</v>
      </c>
      <c r="C2420" s="10" t="str">
        <f>"9781586489281"</f>
        <v>9781586489281</v>
      </c>
      <c r="D2420" s="10" t="s">
        <v>15536</v>
      </c>
      <c r="E2420" s="10" t="s">
        <v>15537</v>
      </c>
      <c r="F2420" s="10" t="s">
        <v>70</v>
      </c>
      <c r="G2420" s="10" t="s">
        <v>6317</v>
      </c>
      <c r="H2420" s="11">
        <v>40435</v>
      </c>
      <c r="I2420" s="10">
        <v>2010</v>
      </c>
      <c r="J2420" s="10" t="s">
        <v>15537</v>
      </c>
      <c r="K2420" s="10">
        <v>289</v>
      </c>
      <c r="L2420" s="10" t="s">
        <v>16796</v>
      </c>
      <c r="M2420" s="10">
        <v>1</v>
      </c>
      <c r="N2420" s="10"/>
      <c r="O2420" s="10"/>
      <c r="P2420" s="10" t="s">
        <v>16797</v>
      </c>
      <c r="Q2420" s="10">
        <v>379.10973000000001</v>
      </c>
      <c r="R2420" s="10" t="s">
        <v>16798</v>
      </c>
      <c r="S2420" s="10" t="s">
        <v>53</v>
      </c>
      <c r="T2420" s="10" t="s">
        <v>54</v>
      </c>
    </row>
    <row r="2421" spans="1:20" ht="14.5" x14ac:dyDescent="0.35">
      <c r="A2421" s="10" t="s">
        <v>16799</v>
      </c>
      <c r="B2421" s="10" t="str">
        <f>"9780821381830"</f>
        <v>9780821381830</v>
      </c>
      <c r="C2421" s="10" t="str">
        <f>"9780821382363"</f>
        <v>9780821382363</v>
      </c>
      <c r="D2421" s="10" t="s">
        <v>14731</v>
      </c>
      <c r="E2421" s="10" t="s">
        <v>14732</v>
      </c>
      <c r="F2421" s="10" t="s">
        <v>14733</v>
      </c>
      <c r="G2421" s="10" t="s">
        <v>6317</v>
      </c>
      <c r="H2421" s="11">
        <v>40269</v>
      </c>
      <c r="I2421" s="10">
        <v>2010</v>
      </c>
      <c r="J2421" s="10" t="s">
        <v>14734</v>
      </c>
      <c r="K2421" s="10">
        <v>189</v>
      </c>
      <c r="L2421" s="10" t="s">
        <v>16800</v>
      </c>
      <c r="M2421" s="10">
        <v>1</v>
      </c>
      <c r="N2421" s="10" t="s">
        <v>14756</v>
      </c>
      <c r="O2421" s="10"/>
      <c r="P2421" s="10" t="s">
        <v>16801</v>
      </c>
      <c r="Q2421" s="10">
        <v>373.67</v>
      </c>
      <c r="R2421" s="10" t="s">
        <v>14840</v>
      </c>
      <c r="S2421" s="10" t="s">
        <v>53</v>
      </c>
      <c r="T2421" s="10" t="s">
        <v>54</v>
      </c>
    </row>
    <row r="2422" spans="1:20" ht="14.5" x14ac:dyDescent="0.35">
      <c r="A2422" s="10" t="s">
        <v>16802</v>
      </c>
      <c r="B2422" s="10" t="str">
        <f>"9780821383414"</f>
        <v>9780821383414</v>
      </c>
      <c r="C2422" s="10" t="str">
        <f>"9780821383551"</f>
        <v>9780821383551</v>
      </c>
      <c r="D2422" s="10" t="s">
        <v>14731</v>
      </c>
      <c r="E2422" s="10" t="s">
        <v>14732</v>
      </c>
      <c r="F2422" s="10" t="s">
        <v>14733</v>
      </c>
      <c r="G2422" s="10" t="s">
        <v>6317</v>
      </c>
      <c r="H2422" s="11">
        <v>40282</v>
      </c>
      <c r="I2422" s="10">
        <v>2010</v>
      </c>
      <c r="J2422" s="10" t="s">
        <v>14734</v>
      </c>
      <c r="K2422" s="10">
        <v>114</v>
      </c>
      <c r="L2422" s="10" t="s">
        <v>16803</v>
      </c>
      <c r="M2422" s="10">
        <v>1</v>
      </c>
      <c r="N2422" s="10" t="s">
        <v>14741</v>
      </c>
      <c r="O2422" s="10"/>
      <c r="P2422" s="10" t="s">
        <v>16804</v>
      </c>
      <c r="Q2422" s="10" t="s">
        <v>16805</v>
      </c>
      <c r="R2422" s="10" t="s">
        <v>16806</v>
      </c>
      <c r="S2422" s="10" t="s">
        <v>53</v>
      </c>
      <c r="T2422" s="10" t="s">
        <v>11508</v>
      </c>
    </row>
    <row r="2423" spans="1:20" ht="14.5" x14ac:dyDescent="0.35">
      <c r="A2423" s="10" t="s">
        <v>16807</v>
      </c>
      <c r="B2423" s="10" t="str">
        <f>"9780821383247"</f>
        <v>9780821383247</v>
      </c>
      <c r="C2423" s="10" t="str">
        <f>"9780821383612"</f>
        <v>9780821383612</v>
      </c>
      <c r="D2423" s="10" t="s">
        <v>14731</v>
      </c>
      <c r="E2423" s="10" t="s">
        <v>14732</v>
      </c>
      <c r="F2423" s="10" t="s">
        <v>14733</v>
      </c>
      <c r="G2423" s="10" t="s">
        <v>6317</v>
      </c>
      <c r="H2423" s="11">
        <v>40296</v>
      </c>
      <c r="I2423" s="10">
        <v>2010</v>
      </c>
      <c r="J2423" s="10" t="s">
        <v>14734</v>
      </c>
      <c r="K2423" s="10">
        <v>200</v>
      </c>
      <c r="L2423" s="10" t="s">
        <v>16808</v>
      </c>
      <c r="M2423" s="10">
        <v>1</v>
      </c>
      <c r="N2423" s="10"/>
      <c r="O2423" s="10"/>
      <c r="P2423" s="10" t="s">
        <v>16809</v>
      </c>
      <c r="Q2423" s="10">
        <v>370.96886999999998</v>
      </c>
      <c r="R2423" s="10" t="s">
        <v>16810</v>
      </c>
      <c r="S2423" s="10" t="s">
        <v>53</v>
      </c>
      <c r="T2423" s="10" t="s">
        <v>54</v>
      </c>
    </row>
    <row r="2424" spans="1:20" ht="14.5" x14ac:dyDescent="0.35">
      <c r="A2424" s="10" t="s">
        <v>16811</v>
      </c>
      <c r="B2424" s="10" t="str">
        <f>"9780821383773"</f>
        <v>9780821383773</v>
      </c>
      <c r="C2424" s="10" t="str">
        <f>"9780821383797"</f>
        <v>9780821383797</v>
      </c>
      <c r="D2424" s="10" t="s">
        <v>14731</v>
      </c>
      <c r="E2424" s="10" t="s">
        <v>14732</v>
      </c>
      <c r="F2424" s="10" t="s">
        <v>14733</v>
      </c>
      <c r="G2424" s="10" t="s">
        <v>6317</v>
      </c>
      <c r="H2424" s="11">
        <v>40302</v>
      </c>
      <c r="I2424" s="10">
        <v>2010</v>
      </c>
      <c r="J2424" s="10" t="s">
        <v>14734</v>
      </c>
      <c r="K2424" s="10">
        <v>85</v>
      </c>
      <c r="L2424" s="10" t="s">
        <v>14734</v>
      </c>
      <c r="M2424" s="10">
        <v>1</v>
      </c>
      <c r="N2424" s="10" t="s">
        <v>14843</v>
      </c>
      <c r="O2424" s="10" t="s">
        <v>16812</v>
      </c>
      <c r="P2424" s="10" t="s">
        <v>16813</v>
      </c>
      <c r="Q2424" s="10">
        <v>371.2</v>
      </c>
      <c r="R2424" s="10" t="s">
        <v>16814</v>
      </c>
      <c r="S2424" s="10" t="s">
        <v>53</v>
      </c>
      <c r="T2424" s="10" t="s">
        <v>54</v>
      </c>
    </row>
    <row r="2425" spans="1:20" ht="14.5" x14ac:dyDescent="0.35">
      <c r="A2425" s="10" t="s">
        <v>16815</v>
      </c>
      <c r="B2425" s="10" t="str">
        <f>"9780754678793"</f>
        <v>9780754678793</v>
      </c>
      <c r="C2425" s="10" t="str">
        <f>"9780754697343"</f>
        <v>9780754697343</v>
      </c>
      <c r="D2425" s="10" t="s">
        <v>6350</v>
      </c>
      <c r="E2425" s="10" t="s">
        <v>9320</v>
      </c>
      <c r="F2425" s="10" t="s">
        <v>15682</v>
      </c>
      <c r="G2425" s="10" t="s">
        <v>6352</v>
      </c>
      <c r="H2425" s="11">
        <v>40510</v>
      </c>
      <c r="I2425" s="10">
        <v>2010</v>
      </c>
      <c r="J2425" s="10" t="s">
        <v>6353</v>
      </c>
      <c r="K2425" s="10">
        <v>194</v>
      </c>
      <c r="L2425" s="10" t="s">
        <v>16816</v>
      </c>
      <c r="M2425" s="10">
        <v>1</v>
      </c>
      <c r="N2425" s="10" t="s">
        <v>16817</v>
      </c>
      <c r="O2425" s="10"/>
      <c r="P2425" s="10" t="s">
        <v>16818</v>
      </c>
      <c r="Q2425" s="10" t="s">
        <v>16819</v>
      </c>
      <c r="R2425" s="10" t="s">
        <v>16820</v>
      </c>
      <c r="S2425" s="10" t="s">
        <v>53</v>
      </c>
      <c r="T2425" s="10" t="s">
        <v>16821</v>
      </c>
    </row>
    <row r="2426" spans="1:20" ht="14.5" x14ac:dyDescent="0.35">
      <c r="A2426" s="10" t="s">
        <v>16822</v>
      </c>
      <c r="B2426" s="10" t="str">
        <f>"9781441125712"</f>
        <v>9781441125712</v>
      </c>
      <c r="C2426" s="10" t="str">
        <f>"9781441153364"</f>
        <v>9781441153364</v>
      </c>
      <c r="D2426" s="10" t="s">
        <v>13959</v>
      </c>
      <c r="E2426" s="10" t="s">
        <v>13960</v>
      </c>
      <c r="F2426" s="10" t="s">
        <v>139</v>
      </c>
      <c r="G2426" s="10" t="s">
        <v>6352</v>
      </c>
      <c r="H2426" s="11">
        <v>40514</v>
      </c>
      <c r="I2426" s="10">
        <v>2010</v>
      </c>
      <c r="J2426" s="10" t="s">
        <v>13961</v>
      </c>
      <c r="K2426" s="10">
        <v>206</v>
      </c>
      <c r="L2426" s="10" t="s">
        <v>16823</v>
      </c>
      <c r="M2426" s="10">
        <v>1</v>
      </c>
      <c r="N2426" s="10"/>
      <c r="O2426" s="10"/>
      <c r="P2426" s="10" t="s">
        <v>16824</v>
      </c>
      <c r="Q2426" s="10" t="s">
        <v>16825</v>
      </c>
      <c r="R2426" s="10" t="s">
        <v>16826</v>
      </c>
      <c r="S2426" s="10" t="s">
        <v>53</v>
      </c>
      <c r="T2426" s="10" t="s">
        <v>16827</v>
      </c>
    </row>
    <row r="2427" spans="1:20" ht="14.5" x14ac:dyDescent="0.35">
      <c r="A2427" s="10" t="s">
        <v>16828</v>
      </c>
      <c r="B2427" s="10" t="str">
        <f>"9781441127044"</f>
        <v>9781441127044</v>
      </c>
      <c r="C2427" s="10" t="str">
        <f>"9781441192882"</f>
        <v>9781441192882</v>
      </c>
      <c r="D2427" s="10" t="s">
        <v>13959</v>
      </c>
      <c r="E2427" s="10" t="s">
        <v>13960</v>
      </c>
      <c r="F2427" s="10" t="s">
        <v>139</v>
      </c>
      <c r="G2427" s="10" t="s">
        <v>6352</v>
      </c>
      <c r="H2427" s="11">
        <v>41116</v>
      </c>
      <c r="I2427" s="10">
        <v>2010</v>
      </c>
      <c r="J2427" s="10" t="s">
        <v>13961</v>
      </c>
      <c r="K2427" s="10">
        <v>209</v>
      </c>
      <c r="L2427" s="10" t="s">
        <v>16829</v>
      </c>
      <c r="M2427" s="10">
        <v>1</v>
      </c>
      <c r="N2427" s="10"/>
      <c r="O2427" s="10"/>
      <c r="P2427" s="10" t="s">
        <v>16830</v>
      </c>
      <c r="Q2427" s="10">
        <v>418.00709999999998</v>
      </c>
      <c r="R2427" s="10" t="s">
        <v>16831</v>
      </c>
      <c r="S2427" s="10" t="s">
        <v>53</v>
      </c>
      <c r="T2427" s="10" t="s">
        <v>6616</v>
      </c>
    </row>
    <row r="2428" spans="1:20" ht="14.5" x14ac:dyDescent="0.35">
      <c r="A2428" s="10" t="s">
        <v>16832</v>
      </c>
      <c r="B2428" s="10" t="str">
        <f>"9781441128607"</f>
        <v>9781441128607</v>
      </c>
      <c r="C2428" s="10" t="str">
        <f>"9781441147509"</f>
        <v>9781441147509</v>
      </c>
      <c r="D2428" s="10" t="s">
        <v>13959</v>
      </c>
      <c r="E2428" s="10" t="s">
        <v>13960</v>
      </c>
      <c r="F2428" s="10" t="s">
        <v>139</v>
      </c>
      <c r="G2428" s="10" t="s">
        <v>6352</v>
      </c>
      <c r="H2428" s="11">
        <v>40486</v>
      </c>
      <c r="I2428" s="10">
        <v>2010</v>
      </c>
      <c r="J2428" s="10" t="s">
        <v>13961</v>
      </c>
      <c r="K2428" s="10">
        <v>241</v>
      </c>
      <c r="L2428" s="10" t="s">
        <v>16833</v>
      </c>
      <c r="M2428" s="10">
        <v>1</v>
      </c>
      <c r="N2428" s="10"/>
      <c r="O2428" s="10"/>
      <c r="P2428" s="10" t="s">
        <v>16834</v>
      </c>
      <c r="Q2428" s="10" t="s">
        <v>9954</v>
      </c>
      <c r="R2428" s="10" t="s">
        <v>16835</v>
      </c>
      <c r="S2428" s="10" t="s">
        <v>53</v>
      </c>
      <c r="T2428" s="10" t="s">
        <v>54</v>
      </c>
    </row>
    <row r="2429" spans="1:20" ht="14.5" x14ac:dyDescent="0.35">
      <c r="A2429" s="10" t="s">
        <v>16836</v>
      </c>
      <c r="B2429" s="10" t="str">
        <f>"9781847060709"</f>
        <v>9781847060709</v>
      </c>
      <c r="C2429" s="10" t="str">
        <f>"9781441186409"</f>
        <v>9781441186409</v>
      </c>
      <c r="D2429" s="10" t="s">
        <v>13959</v>
      </c>
      <c r="E2429" s="10" t="s">
        <v>13960</v>
      </c>
      <c r="F2429" s="10" t="s">
        <v>139</v>
      </c>
      <c r="G2429" s="10" t="s">
        <v>6352</v>
      </c>
      <c r="H2429" s="11">
        <v>40423</v>
      </c>
      <c r="I2429" s="10">
        <v>2010</v>
      </c>
      <c r="J2429" s="10" t="s">
        <v>13961</v>
      </c>
      <c r="K2429" s="10">
        <v>188</v>
      </c>
      <c r="L2429" s="10" t="s">
        <v>16837</v>
      </c>
      <c r="M2429" s="10">
        <v>1</v>
      </c>
      <c r="N2429" s="10"/>
      <c r="O2429" s="10"/>
      <c r="P2429" s="10" t="s">
        <v>16838</v>
      </c>
      <c r="Q2429" s="10">
        <v>371.30279999999999</v>
      </c>
      <c r="R2429" s="10" t="s">
        <v>16839</v>
      </c>
      <c r="S2429" s="10" t="s">
        <v>53</v>
      </c>
      <c r="T2429" s="10" t="s">
        <v>54</v>
      </c>
    </row>
    <row r="2430" spans="1:20" ht="14.5" x14ac:dyDescent="0.35">
      <c r="A2430" s="10" t="s">
        <v>16840</v>
      </c>
      <c r="B2430" s="10" t="str">
        <f>"9780826424556"</f>
        <v>9780826424556</v>
      </c>
      <c r="C2430" s="10" t="str">
        <f>"9781441191601"</f>
        <v>9781441191601</v>
      </c>
      <c r="D2430" s="10" t="s">
        <v>13959</v>
      </c>
      <c r="E2430" s="10" t="s">
        <v>13960</v>
      </c>
      <c r="F2430" s="10" t="s">
        <v>139</v>
      </c>
      <c r="G2430" s="10" t="s">
        <v>6352</v>
      </c>
      <c r="H2430" s="11">
        <v>40486</v>
      </c>
      <c r="I2430" s="10">
        <v>2010</v>
      </c>
      <c r="J2430" s="10" t="s">
        <v>13961</v>
      </c>
      <c r="K2430" s="10">
        <v>199</v>
      </c>
      <c r="L2430" s="10" t="s">
        <v>16841</v>
      </c>
      <c r="M2430" s="10">
        <v>1</v>
      </c>
      <c r="N2430" s="10" t="s">
        <v>16842</v>
      </c>
      <c r="O2430" s="10"/>
      <c r="P2430" s="10" t="s">
        <v>16843</v>
      </c>
      <c r="Q2430" s="10" t="s">
        <v>16844</v>
      </c>
      <c r="R2430" s="10" t="s">
        <v>16845</v>
      </c>
      <c r="S2430" s="10" t="s">
        <v>53</v>
      </c>
      <c r="T2430" s="10" t="s">
        <v>7711</v>
      </c>
    </row>
    <row r="2431" spans="1:20" ht="14.5" x14ac:dyDescent="0.35">
      <c r="A2431" s="10" t="s">
        <v>16846</v>
      </c>
      <c r="B2431" s="10" t="str">
        <f>"9780415584456"</f>
        <v>9780415584456</v>
      </c>
      <c r="C2431" s="10" t="str">
        <f>"9780203842829"</f>
        <v>9780203842829</v>
      </c>
      <c r="D2431" s="10" t="s">
        <v>6350</v>
      </c>
      <c r="E2431" s="10" t="s">
        <v>6351</v>
      </c>
      <c r="F2431" s="10" t="s">
        <v>748</v>
      </c>
      <c r="G2431" s="10" t="s">
        <v>6352</v>
      </c>
      <c r="H2431" s="11">
        <v>40493</v>
      </c>
      <c r="I2431" s="10">
        <v>2011</v>
      </c>
      <c r="J2431" s="10" t="s">
        <v>6351</v>
      </c>
      <c r="K2431" s="10">
        <v>263</v>
      </c>
      <c r="L2431" s="10" t="s">
        <v>16847</v>
      </c>
      <c r="M2431" s="10">
        <v>1</v>
      </c>
      <c r="N2431" s="10"/>
      <c r="O2431" s="10"/>
      <c r="P2431" s="10" t="s">
        <v>16848</v>
      </c>
      <c r="Q2431" s="10">
        <v>378.101</v>
      </c>
      <c r="R2431" s="10" t="s">
        <v>16849</v>
      </c>
      <c r="S2431" s="10" t="s">
        <v>53</v>
      </c>
      <c r="T2431" s="10" t="s">
        <v>54</v>
      </c>
    </row>
    <row r="2432" spans="1:20" ht="14.5" x14ac:dyDescent="0.35">
      <c r="A2432" s="10" t="s">
        <v>16850</v>
      </c>
      <c r="B2432" s="10" t="str">
        <f>"9780415873673"</f>
        <v>9780415873673</v>
      </c>
      <c r="C2432" s="10" t="str">
        <f>"9780203840009"</f>
        <v>9780203840009</v>
      </c>
      <c r="D2432" s="10" t="s">
        <v>6350</v>
      </c>
      <c r="E2432" s="10" t="s">
        <v>6351</v>
      </c>
      <c r="F2432" s="10" t="s">
        <v>139</v>
      </c>
      <c r="G2432" s="10" t="s">
        <v>6352</v>
      </c>
      <c r="H2432" s="11">
        <v>40415</v>
      </c>
      <c r="I2432" s="10">
        <v>2011</v>
      </c>
      <c r="J2432" s="10" t="s">
        <v>6353</v>
      </c>
      <c r="K2432" s="10">
        <v>219</v>
      </c>
      <c r="L2432" s="10" t="s">
        <v>16851</v>
      </c>
      <c r="M2432" s="10">
        <v>1</v>
      </c>
      <c r="N2432" s="10" t="s">
        <v>6954</v>
      </c>
      <c r="O2432" s="10"/>
      <c r="P2432" s="10" t="s">
        <v>16852</v>
      </c>
      <c r="Q2432" s="10">
        <v>300.70999999999998</v>
      </c>
      <c r="R2432" s="10" t="s">
        <v>16853</v>
      </c>
      <c r="S2432" s="10" t="s">
        <v>53</v>
      </c>
      <c r="T2432" s="10" t="s">
        <v>6363</v>
      </c>
    </row>
    <row r="2433" spans="1:20" ht="14.5" x14ac:dyDescent="0.35">
      <c r="A2433" s="10" t="s">
        <v>16854</v>
      </c>
      <c r="B2433" s="10" t="str">
        <f>"9780415580991"</f>
        <v>9780415580991</v>
      </c>
      <c r="C2433" s="10" t="str">
        <f>"9780203830581"</f>
        <v>9780203830581</v>
      </c>
      <c r="D2433" s="10" t="s">
        <v>6350</v>
      </c>
      <c r="E2433" s="10" t="s">
        <v>6351</v>
      </c>
      <c r="F2433" s="10" t="s">
        <v>748</v>
      </c>
      <c r="G2433" s="10" t="s">
        <v>6352</v>
      </c>
      <c r="H2433" s="11">
        <v>40462</v>
      </c>
      <c r="I2433" s="10">
        <v>2011</v>
      </c>
      <c r="J2433" s="10" t="s">
        <v>6351</v>
      </c>
      <c r="K2433" s="10">
        <v>143</v>
      </c>
      <c r="L2433" s="10" t="s">
        <v>16855</v>
      </c>
      <c r="M2433" s="10">
        <v>1</v>
      </c>
      <c r="N2433" s="10" t="s">
        <v>16856</v>
      </c>
      <c r="O2433" s="10"/>
      <c r="P2433" s="10" t="s">
        <v>16857</v>
      </c>
      <c r="Q2433" s="10">
        <v>155.41800000000001</v>
      </c>
      <c r="R2433" s="10" t="s">
        <v>16858</v>
      </c>
      <c r="S2433" s="10" t="s">
        <v>53</v>
      </c>
      <c r="T2433" s="10" t="s">
        <v>483</v>
      </c>
    </row>
    <row r="2434" spans="1:20" ht="14.5" x14ac:dyDescent="0.35">
      <c r="A2434" s="10" t="s">
        <v>16859</v>
      </c>
      <c r="B2434" s="10" t="str">
        <f>"9780415871488"</f>
        <v>9780415871488</v>
      </c>
      <c r="C2434" s="10" t="str">
        <f>"9780203846926"</f>
        <v>9780203846926</v>
      </c>
      <c r="D2434" s="10" t="s">
        <v>6350</v>
      </c>
      <c r="E2434" s="10" t="s">
        <v>6351</v>
      </c>
      <c r="F2434" s="10" t="s">
        <v>139</v>
      </c>
      <c r="G2434" s="10" t="s">
        <v>6352</v>
      </c>
      <c r="H2434" s="11">
        <v>40448</v>
      </c>
      <c r="I2434" s="10">
        <v>2011</v>
      </c>
      <c r="J2434" s="10" t="s">
        <v>6353</v>
      </c>
      <c r="K2434" s="10">
        <v>314</v>
      </c>
      <c r="L2434" s="10" t="s">
        <v>16860</v>
      </c>
      <c r="M2434" s="10">
        <v>1</v>
      </c>
      <c r="N2434" s="10"/>
      <c r="O2434" s="10"/>
      <c r="P2434" s="10" t="s">
        <v>16861</v>
      </c>
      <c r="Q2434" s="10" t="s">
        <v>16862</v>
      </c>
      <c r="R2434" s="10" t="s">
        <v>16863</v>
      </c>
      <c r="S2434" s="10" t="s">
        <v>53</v>
      </c>
      <c r="T2434" s="10" t="s">
        <v>54</v>
      </c>
    </row>
    <row r="2435" spans="1:20" ht="14.5" x14ac:dyDescent="0.35">
      <c r="A2435" s="10" t="s">
        <v>16864</v>
      </c>
      <c r="B2435" s="10" t="str">
        <f>"9780415878258"</f>
        <v>9780415878258</v>
      </c>
      <c r="C2435" s="10" t="str">
        <f>"9781136902765"</f>
        <v>9781136902765</v>
      </c>
      <c r="D2435" s="10" t="s">
        <v>6350</v>
      </c>
      <c r="E2435" s="10" t="s">
        <v>6351</v>
      </c>
      <c r="F2435" s="10" t="s">
        <v>5406</v>
      </c>
      <c r="G2435" s="10" t="s">
        <v>6317</v>
      </c>
      <c r="H2435" s="11">
        <v>40435</v>
      </c>
      <c r="I2435" s="10">
        <v>2011</v>
      </c>
      <c r="J2435" s="10" t="s">
        <v>6353</v>
      </c>
      <c r="K2435" s="10">
        <v>177</v>
      </c>
      <c r="L2435" s="10" t="s">
        <v>16865</v>
      </c>
      <c r="M2435" s="10">
        <v>2</v>
      </c>
      <c r="N2435" s="10"/>
      <c r="O2435" s="10"/>
      <c r="P2435" s="10" t="s">
        <v>16866</v>
      </c>
      <c r="Q2435" s="10">
        <v>372.21097300000002</v>
      </c>
      <c r="R2435" s="10" t="s">
        <v>16867</v>
      </c>
      <c r="S2435" s="10" t="s">
        <v>53</v>
      </c>
      <c r="T2435" s="10" t="s">
        <v>54</v>
      </c>
    </row>
    <row r="2436" spans="1:20" ht="14.5" x14ac:dyDescent="0.35">
      <c r="A2436" s="10" t="s">
        <v>16868</v>
      </c>
      <c r="B2436" s="10" t="str">
        <f>"9780415872065"</f>
        <v>9780415872065</v>
      </c>
      <c r="C2436" s="10" t="str">
        <f>"9780203847930"</f>
        <v>9780203847930</v>
      </c>
      <c r="D2436" s="10" t="s">
        <v>6350</v>
      </c>
      <c r="E2436" s="10" t="s">
        <v>6351</v>
      </c>
      <c r="F2436" s="10" t="s">
        <v>139</v>
      </c>
      <c r="G2436" s="10" t="s">
        <v>6352</v>
      </c>
      <c r="H2436" s="11">
        <v>40420</v>
      </c>
      <c r="I2436" s="10">
        <v>2011</v>
      </c>
      <c r="J2436" s="10" t="s">
        <v>6353</v>
      </c>
      <c r="K2436" s="10">
        <v>257</v>
      </c>
      <c r="L2436" s="10" t="s">
        <v>16869</v>
      </c>
      <c r="M2436" s="10">
        <v>1</v>
      </c>
      <c r="N2436" s="10"/>
      <c r="O2436" s="10"/>
      <c r="P2436" s="10" t="s">
        <v>16870</v>
      </c>
      <c r="Q2436" s="10" t="s">
        <v>16871</v>
      </c>
      <c r="R2436" s="10" t="s">
        <v>16872</v>
      </c>
      <c r="S2436" s="10" t="s">
        <v>53</v>
      </c>
      <c r="T2436" s="10" t="s">
        <v>54</v>
      </c>
    </row>
    <row r="2437" spans="1:20" ht="14.5" x14ac:dyDescent="0.35">
      <c r="A2437" s="10" t="s">
        <v>16873</v>
      </c>
      <c r="B2437" s="10" t="str">
        <f>"9781606239544"</f>
        <v>9781606239544</v>
      </c>
      <c r="C2437" s="10" t="str">
        <f>"9781606239568"</f>
        <v>9781606239568</v>
      </c>
      <c r="D2437" s="10" t="s">
        <v>11213</v>
      </c>
      <c r="E2437" s="10" t="s">
        <v>11214</v>
      </c>
      <c r="F2437" s="10" t="s">
        <v>70</v>
      </c>
      <c r="G2437" s="10" t="s">
        <v>6317</v>
      </c>
      <c r="H2437" s="11">
        <v>40497</v>
      </c>
      <c r="I2437" s="10">
        <v>2011</v>
      </c>
      <c r="J2437" s="10" t="s">
        <v>11214</v>
      </c>
      <c r="K2437" s="10">
        <v>384</v>
      </c>
      <c r="L2437" s="10" t="s">
        <v>16874</v>
      </c>
      <c r="M2437" s="10">
        <v>1</v>
      </c>
      <c r="N2437" s="10" t="s">
        <v>11516</v>
      </c>
      <c r="O2437" s="10"/>
      <c r="P2437" s="10" t="s">
        <v>16875</v>
      </c>
      <c r="Q2437" s="10">
        <v>401.93</v>
      </c>
      <c r="R2437" s="10" t="s">
        <v>16876</v>
      </c>
      <c r="S2437" s="10" t="s">
        <v>53</v>
      </c>
      <c r="T2437" s="10" t="s">
        <v>6616</v>
      </c>
    </row>
    <row r="2438" spans="1:20" ht="14.5" x14ac:dyDescent="0.35">
      <c r="A2438" s="10" t="s">
        <v>16877</v>
      </c>
      <c r="B2438" s="10" t="str">
        <f>"9780826435934"</f>
        <v>9780826435934</v>
      </c>
      <c r="C2438" s="10" t="str">
        <f>"9781855396548"</f>
        <v>9781855396548</v>
      </c>
      <c r="D2438" s="10" t="s">
        <v>13959</v>
      </c>
      <c r="E2438" s="10" t="s">
        <v>13960</v>
      </c>
      <c r="F2438" s="10" t="s">
        <v>139</v>
      </c>
      <c r="G2438" s="10" t="s">
        <v>6352</v>
      </c>
      <c r="H2438" s="11">
        <v>40197</v>
      </c>
      <c r="I2438" s="10">
        <v>2009</v>
      </c>
      <c r="J2438" s="10" t="s">
        <v>14120</v>
      </c>
      <c r="K2438" s="10">
        <v>119</v>
      </c>
      <c r="L2438" s="10" t="s">
        <v>16878</v>
      </c>
      <c r="M2438" s="10">
        <v>1</v>
      </c>
      <c r="N2438" s="10" t="s">
        <v>16879</v>
      </c>
      <c r="O2438" s="10"/>
      <c r="P2438" s="10" t="s">
        <v>16880</v>
      </c>
      <c r="Q2438" s="10" t="s">
        <v>16881</v>
      </c>
      <c r="R2438" s="10" t="s">
        <v>16882</v>
      </c>
      <c r="S2438" s="10" t="s">
        <v>53</v>
      </c>
      <c r="T2438" s="10" t="s">
        <v>54</v>
      </c>
    </row>
    <row r="2439" spans="1:20" ht="14.5" x14ac:dyDescent="0.35">
      <c r="A2439" s="10" t="s">
        <v>16883</v>
      </c>
      <c r="B2439" s="10" t="str">
        <f>"9781847064721"</f>
        <v>9781847064721</v>
      </c>
      <c r="C2439" s="10" t="str">
        <f>"9781441179074"</f>
        <v>9781441179074</v>
      </c>
      <c r="D2439" s="10" t="s">
        <v>13959</v>
      </c>
      <c r="E2439" s="10" t="s">
        <v>13960</v>
      </c>
      <c r="F2439" s="10" t="s">
        <v>139</v>
      </c>
      <c r="G2439" s="10" t="s">
        <v>6352</v>
      </c>
      <c r="H2439" s="11">
        <v>39944</v>
      </c>
      <c r="I2439" s="10">
        <v>2009</v>
      </c>
      <c r="J2439" s="10" t="s">
        <v>13961</v>
      </c>
      <c r="K2439" s="10">
        <v>186</v>
      </c>
      <c r="L2439" s="10" t="s">
        <v>16884</v>
      </c>
      <c r="M2439" s="10">
        <v>1</v>
      </c>
      <c r="N2439" s="10"/>
      <c r="O2439" s="10"/>
      <c r="P2439" s="10" t="s">
        <v>16885</v>
      </c>
      <c r="Q2439" s="10">
        <v>378.41</v>
      </c>
      <c r="R2439" s="10" t="s">
        <v>16886</v>
      </c>
      <c r="S2439" s="10" t="s">
        <v>53</v>
      </c>
      <c r="T2439" s="10" t="s">
        <v>54</v>
      </c>
    </row>
    <row r="2440" spans="1:20" ht="14.5" x14ac:dyDescent="0.35">
      <c r="A2440" s="10" t="s">
        <v>16887</v>
      </c>
      <c r="B2440" s="10" t="str">
        <f>"9781441180063"</f>
        <v>9781441180063</v>
      </c>
      <c r="C2440" s="10" t="str">
        <f>"9781441125934"</f>
        <v>9781441125934</v>
      </c>
      <c r="D2440" s="10" t="s">
        <v>13959</v>
      </c>
      <c r="E2440" s="10" t="s">
        <v>13960</v>
      </c>
      <c r="F2440" s="10" t="s">
        <v>139</v>
      </c>
      <c r="G2440" s="10" t="s">
        <v>6352</v>
      </c>
      <c r="H2440" s="11">
        <v>40913</v>
      </c>
      <c r="I2440" s="10">
        <v>2008</v>
      </c>
      <c r="J2440" s="10" t="s">
        <v>13961</v>
      </c>
      <c r="K2440" s="10">
        <v>355</v>
      </c>
      <c r="L2440" s="10" t="s">
        <v>16888</v>
      </c>
      <c r="M2440" s="10">
        <v>1</v>
      </c>
      <c r="N2440" s="10"/>
      <c r="O2440" s="10"/>
      <c r="P2440" s="10" t="s">
        <v>16889</v>
      </c>
      <c r="Q2440" s="10" t="s">
        <v>16890</v>
      </c>
      <c r="R2440" s="10" t="s">
        <v>16891</v>
      </c>
      <c r="S2440" s="10" t="s">
        <v>53</v>
      </c>
      <c r="T2440" s="10" t="s">
        <v>6526</v>
      </c>
    </row>
    <row r="2441" spans="1:20" ht="14.5" x14ac:dyDescent="0.35">
      <c r="A2441" s="10" t="s">
        <v>16892</v>
      </c>
      <c r="B2441" s="10" t="str">
        <f>"9781441180155"</f>
        <v>9781441180155</v>
      </c>
      <c r="C2441" s="10" t="str">
        <f>"9781441160386"</f>
        <v>9781441160386</v>
      </c>
      <c r="D2441" s="10" t="s">
        <v>13959</v>
      </c>
      <c r="E2441" s="10" t="s">
        <v>13960</v>
      </c>
      <c r="F2441" s="10" t="s">
        <v>139</v>
      </c>
      <c r="G2441" s="10" t="s">
        <v>6352</v>
      </c>
      <c r="H2441" s="11">
        <v>40332</v>
      </c>
      <c r="I2441" s="10">
        <v>2010</v>
      </c>
      <c r="J2441" s="10" t="s">
        <v>13961</v>
      </c>
      <c r="K2441" s="10">
        <v>184</v>
      </c>
      <c r="L2441" s="10" t="s">
        <v>16893</v>
      </c>
      <c r="M2441" s="10">
        <v>2</v>
      </c>
      <c r="N2441" s="10" t="s">
        <v>16894</v>
      </c>
      <c r="O2441" s="10"/>
      <c r="P2441" s="10" t="s">
        <v>16895</v>
      </c>
      <c r="Q2441" s="10">
        <v>371.90940999999998</v>
      </c>
      <c r="R2441" s="10" t="s">
        <v>16896</v>
      </c>
      <c r="S2441" s="10" t="s">
        <v>53</v>
      </c>
      <c r="T2441" s="10" t="s">
        <v>54</v>
      </c>
    </row>
    <row r="2442" spans="1:20" ht="14.5" x14ac:dyDescent="0.35">
      <c r="A2442" s="10" t="s">
        <v>16897</v>
      </c>
      <c r="B2442" s="10" t="str">
        <f>"9781441184832"</f>
        <v>9781441184832</v>
      </c>
      <c r="C2442" s="10" t="str">
        <f>"9781441116864"</f>
        <v>9781441116864</v>
      </c>
      <c r="D2442" s="10" t="s">
        <v>13959</v>
      </c>
      <c r="E2442" s="10" t="s">
        <v>13960</v>
      </c>
      <c r="F2442" s="10" t="s">
        <v>139</v>
      </c>
      <c r="G2442" s="10" t="s">
        <v>6352</v>
      </c>
      <c r="H2442" s="11">
        <v>40316</v>
      </c>
      <c r="I2442" s="10">
        <v>2010</v>
      </c>
      <c r="J2442" s="10" t="s">
        <v>13961</v>
      </c>
      <c r="K2442" s="10">
        <v>157</v>
      </c>
      <c r="L2442" s="10" t="s">
        <v>16898</v>
      </c>
      <c r="M2442" s="10">
        <v>2</v>
      </c>
      <c r="N2442" s="10" t="s">
        <v>16894</v>
      </c>
      <c r="O2442" s="10"/>
      <c r="P2442" s="10" t="s">
        <v>16899</v>
      </c>
      <c r="Q2442" s="10">
        <v>379.26</v>
      </c>
      <c r="R2442" s="10" t="s">
        <v>16900</v>
      </c>
      <c r="S2442" s="10" t="s">
        <v>53</v>
      </c>
      <c r="T2442" s="10" t="s">
        <v>54</v>
      </c>
    </row>
    <row r="2443" spans="1:20" ht="14.5" x14ac:dyDescent="0.35">
      <c r="A2443" s="10" t="s">
        <v>16901</v>
      </c>
      <c r="B2443" s="10" t="str">
        <f>"9781441186560"</f>
        <v>9781441186560</v>
      </c>
      <c r="C2443" s="10" t="str">
        <f>"9781441187086"</f>
        <v>9781441187086</v>
      </c>
      <c r="D2443" s="10" t="s">
        <v>13959</v>
      </c>
      <c r="E2443" s="10" t="s">
        <v>13960</v>
      </c>
      <c r="F2443" s="10" t="s">
        <v>139</v>
      </c>
      <c r="G2443" s="10" t="s">
        <v>6352</v>
      </c>
      <c r="H2443" s="11">
        <v>40316</v>
      </c>
      <c r="I2443" s="10">
        <v>2010</v>
      </c>
      <c r="J2443" s="10" t="s">
        <v>13961</v>
      </c>
      <c r="K2443" s="10">
        <v>144</v>
      </c>
      <c r="L2443" s="10" t="s">
        <v>16902</v>
      </c>
      <c r="M2443" s="10">
        <v>2</v>
      </c>
      <c r="N2443" s="10" t="s">
        <v>16894</v>
      </c>
      <c r="O2443" s="10"/>
      <c r="P2443" s="10" t="s">
        <v>16903</v>
      </c>
      <c r="Q2443" s="10">
        <v>370.15199999999999</v>
      </c>
      <c r="R2443" s="10" t="s">
        <v>16904</v>
      </c>
      <c r="S2443" s="10" t="s">
        <v>53</v>
      </c>
      <c r="T2443" s="10" t="s">
        <v>54</v>
      </c>
    </row>
    <row r="2444" spans="1:20" ht="14.5" x14ac:dyDescent="0.35">
      <c r="A2444" s="10" t="s">
        <v>16905</v>
      </c>
      <c r="B2444" s="10" t="str">
        <f>"9781847063847"</f>
        <v>9781847063847</v>
      </c>
      <c r="C2444" s="10" t="str">
        <f>"9781441126467"</f>
        <v>9781441126467</v>
      </c>
      <c r="D2444" s="10" t="s">
        <v>13959</v>
      </c>
      <c r="E2444" s="10" t="s">
        <v>13960</v>
      </c>
      <c r="F2444" s="10" t="s">
        <v>139</v>
      </c>
      <c r="G2444" s="10" t="s">
        <v>6352</v>
      </c>
      <c r="H2444" s="11">
        <v>39943</v>
      </c>
      <c r="I2444" s="10">
        <v>2009</v>
      </c>
      <c r="J2444" s="10" t="s">
        <v>13961</v>
      </c>
      <c r="K2444" s="10">
        <v>161</v>
      </c>
      <c r="L2444" s="10" t="s">
        <v>16906</v>
      </c>
      <c r="M2444" s="10">
        <v>1</v>
      </c>
      <c r="N2444" s="10"/>
      <c r="O2444" s="10"/>
      <c r="P2444" s="10" t="s">
        <v>16907</v>
      </c>
      <c r="Q2444" s="10">
        <v>371.14123999999998</v>
      </c>
      <c r="R2444" s="10" t="s">
        <v>16908</v>
      </c>
      <c r="S2444" s="10" t="s">
        <v>53</v>
      </c>
      <c r="T2444" s="10" t="s">
        <v>54</v>
      </c>
    </row>
    <row r="2445" spans="1:20" ht="14.5" x14ac:dyDescent="0.35">
      <c r="A2445" s="10" t="s">
        <v>16909</v>
      </c>
      <c r="B2445" s="10" t="str">
        <f>"9781441155726"</f>
        <v>9781441155726</v>
      </c>
      <c r="C2445" s="10" t="str">
        <f>"9781441187857"</f>
        <v>9781441187857</v>
      </c>
      <c r="D2445" s="10" t="s">
        <v>13959</v>
      </c>
      <c r="E2445" s="10" t="s">
        <v>13960</v>
      </c>
      <c r="F2445" s="10" t="s">
        <v>139</v>
      </c>
      <c r="G2445" s="10" t="s">
        <v>6352</v>
      </c>
      <c r="H2445" s="11">
        <v>40303</v>
      </c>
      <c r="I2445" s="10">
        <v>2010</v>
      </c>
      <c r="J2445" s="10" t="s">
        <v>13961</v>
      </c>
      <c r="K2445" s="10">
        <v>191</v>
      </c>
      <c r="L2445" s="10" t="s">
        <v>16910</v>
      </c>
      <c r="M2445" s="10">
        <v>1</v>
      </c>
      <c r="N2445" s="10"/>
      <c r="O2445" s="10"/>
      <c r="P2445" s="10" t="s">
        <v>16911</v>
      </c>
      <c r="Q2445" s="10">
        <v>370.1</v>
      </c>
      <c r="R2445" s="10" t="s">
        <v>16912</v>
      </c>
      <c r="S2445" s="10" t="s">
        <v>53</v>
      </c>
      <c r="T2445" s="10" t="s">
        <v>54</v>
      </c>
    </row>
    <row r="2446" spans="1:20" ht="14.5" x14ac:dyDescent="0.35">
      <c r="A2446" s="10" t="s">
        <v>16913</v>
      </c>
      <c r="B2446" s="10" t="str">
        <f>"9780826494658"</f>
        <v>9780826494658</v>
      </c>
      <c r="C2446" s="10" t="str">
        <f>"9781441151360"</f>
        <v>9781441151360</v>
      </c>
      <c r="D2446" s="10" t="s">
        <v>13959</v>
      </c>
      <c r="E2446" s="10" t="s">
        <v>13960</v>
      </c>
      <c r="F2446" s="10" t="s">
        <v>139</v>
      </c>
      <c r="G2446" s="10" t="s">
        <v>6352</v>
      </c>
      <c r="H2446" s="11">
        <v>39948</v>
      </c>
      <c r="I2446" s="10">
        <v>2009</v>
      </c>
      <c r="J2446" s="10" t="s">
        <v>13961</v>
      </c>
      <c r="K2446" s="10">
        <v>217</v>
      </c>
      <c r="L2446" s="10" t="s">
        <v>16914</v>
      </c>
      <c r="M2446" s="10">
        <v>1</v>
      </c>
      <c r="N2446" s="10"/>
      <c r="O2446" s="10"/>
      <c r="P2446" s="10" t="s">
        <v>16915</v>
      </c>
      <c r="Q2446" s="10">
        <v>371.200941</v>
      </c>
      <c r="R2446" s="10" t="s">
        <v>16916</v>
      </c>
      <c r="S2446" s="10" t="s">
        <v>53</v>
      </c>
      <c r="T2446" s="10" t="s">
        <v>54</v>
      </c>
    </row>
    <row r="2447" spans="1:20" ht="14.5" x14ac:dyDescent="0.35">
      <c r="A2447" s="10" t="s">
        <v>16917</v>
      </c>
      <c r="B2447" s="10" t="str">
        <f>"9781847065469"</f>
        <v>9781847065469</v>
      </c>
      <c r="C2447" s="10" t="str">
        <f>"9781441105851"</f>
        <v>9781441105851</v>
      </c>
      <c r="D2447" s="10" t="s">
        <v>13959</v>
      </c>
      <c r="E2447" s="10" t="s">
        <v>13960</v>
      </c>
      <c r="F2447" s="10" t="s">
        <v>139</v>
      </c>
      <c r="G2447" s="10" t="s">
        <v>6352</v>
      </c>
      <c r="H2447" s="11">
        <v>39995</v>
      </c>
      <c r="I2447" s="10">
        <v>2009</v>
      </c>
      <c r="J2447" s="10" t="s">
        <v>13961</v>
      </c>
      <c r="K2447" s="10">
        <v>191</v>
      </c>
      <c r="L2447" s="10" t="s">
        <v>16918</v>
      </c>
      <c r="M2447" s="10">
        <v>1</v>
      </c>
      <c r="N2447" s="10" t="s">
        <v>16919</v>
      </c>
      <c r="O2447" s="10"/>
      <c r="P2447" s="10" t="s">
        <v>16920</v>
      </c>
      <c r="Q2447" s="10">
        <v>323.60712410000002</v>
      </c>
      <c r="R2447" s="10" t="s">
        <v>16921</v>
      </c>
      <c r="S2447" s="10" t="s">
        <v>53</v>
      </c>
      <c r="T2447" s="10" t="s">
        <v>16922</v>
      </c>
    </row>
    <row r="2448" spans="1:20" ht="14.5" x14ac:dyDescent="0.35">
      <c r="A2448" s="10" t="s">
        <v>16923</v>
      </c>
      <c r="B2448" s="10" t="str">
        <f>"9781855394728"</f>
        <v>9781855394728</v>
      </c>
      <c r="C2448" s="10" t="str">
        <f>"9781441158727"</f>
        <v>9781441158727</v>
      </c>
      <c r="D2448" s="10" t="s">
        <v>13959</v>
      </c>
      <c r="E2448" s="10" t="s">
        <v>13960</v>
      </c>
      <c r="F2448" s="10" t="s">
        <v>139</v>
      </c>
      <c r="G2448" s="10" t="s">
        <v>6352</v>
      </c>
      <c r="H2448" s="11">
        <v>40339</v>
      </c>
      <c r="I2448" s="10">
        <v>2010</v>
      </c>
      <c r="J2448" s="10" t="s">
        <v>13961</v>
      </c>
      <c r="K2448" s="10">
        <v>161</v>
      </c>
      <c r="L2448" s="10" t="s">
        <v>16924</v>
      </c>
      <c r="M2448" s="10">
        <v>2</v>
      </c>
      <c r="N2448" s="10"/>
      <c r="O2448" s="10"/>
      <c r="P2448" s="10" t="s">
        <v>16925</v>
      </c>
      <c r="Q2448" s="10" t="s">
        <v>9870</v>
      </c>
      <c r="R2448" s="10" t="s">
        <v>16926</v>
      </c>
      <c r="S2448" s="10" t="s">
        <v>53</v>
      </c>
      <c r="T2448" s="10" t="s">
        <v>54</v>
      </c>
    </row>
    <row r="2449" spans="1:20" ht="14.5" x14ac:dyDescent="0.35">
      <c r="A2449" s="10" t="s">
        <v>16927</v>
      </c>
      <c r="B2449" s="10" t="str">
        <f>"9781855397415"</f>
        <v>9781855397415</v>
      </c>
      <c r="C2449" s="10" t="str">
        <f>"9781441108036"</f>
        <v>9781441108036</v>
      </c>
      <c r="D2449" s="10" t="s">
        <v>13959</v>
      </c>
      <c r="E2449" s="10" t="s">
        <v>13960</v>
      </c>
      <c r="F2449" s="10" t="s">
        <v>139</v>
      </c>
      <c r="G2449" s="10" t="s">
        <v>6352</v>
      </c>
      <c r="H2449" s="11">
        <v>40409</v>
      </c>
      <c r="I2449" s="10">
        <v>2010</v>
      </c>
      <c r="J2449" s="10" t="s">
        <v>13961</v>
      </c>
      <c r="K2449" s="10">
        <v>191</v>
      </c>
      <c r="L2449" s="10" t="s">
        <v>16924</v>
      </c>
      <c r="M2449" s="10">
        <v>2</v>
      </c>
      <c r="N2449" s="10"/>
      <c r="O2449" s="10"/>
      <c r="P2449" s="10" t="s">
        <v>16928</v>
      </c>
      <c r="Q2449" s="10" t="s">
        <v>9870</v>
      </c>
      <c r="R2449" s="10" t="s">
        <v>16926</v>
      </c>
      <c r="S2449" s="10" t="s">
        <v>53</v>
      </c>
      <c r="T2449" s="10" t="s">
        <v>54</v>
      </c>
    </row>
    <row r="2450" spans="1:20" ht="14.5" x14ac:dyDescent="0.35">
      <c r="A2450" s="10" t="s">
        <v>16929</v>
      </c>
      <c r="B2450" s="10" t="str">
        <f>"9781847065322"</f>
        <v>9781847065322</v>
      </c>
      <c r="C2450" s="10" t="str">
        <f>"9781441197702"</f>
        <v>9781441197702</v>
      </c>
      <c r="D2450" s="10" t="s">
        <v>13959</v>
      </c>
      <c r="E2450" s="10" t="s">
        <v>13960</v>
      </c>
      <c r="F2450" s="10" t="s">
        <v>139</v>
      </c>
      <c r="G2450" s="10" t="s">
        <v>6352</v>
      </c>
      <c r="H2450" s="11">
        <v>40066</v>
      </c>
      <c r="I2450" s="10">
        <v>2009</v>
      </c>
      <c r="J2450" s="10" t="s">
        <v>13961</v>
      </c>
      <c r="K2450" s="10">
        <v>108</v>
      </c>
      <c r="L2450" s="10" t="s">
        <v>16930</v>
      </c>
      <c r="M2450" s="10">
        <v>1</v>
      </c>
      <c r="N2450" s="10" t="s">
        <v>16931</v>
      </c>
      <c r="O2450" s="10"/>
      <c r="P2450" s="10" t="s">
        <v>16932</v>
      </c>
      <c r="Q2450" s="10">
        <v>371.10199999999998</v>
      </c>
      <c r="R2450" s="10" t="s">
        <v>16933</v>
      </c>
      <c r="S2450" s="10" t="s">
        <v>53</v>
      </c>
      <c r="T2450" s="10" t="s">
        <v>54</v>
      </c>
    </row>
    <row r="2451" spans="1:20" ht="14.5" x14ac:dyDescent="0.35">
      <c r="A2451" s="10" t="s">
        <v>16934</v>
      </c>
      <c r="B2451" s="10" t="str">
        <f>"9780826445018"</f>
        <v>9780826445018</v>
      </c>
      <c r="C2451" s="10" t="str">
        <f>"9781441190161"</f>
        <v>9781441190161</v>
      </c>
      <c r="D2451" s="10" t="s">
        <v>13959</v>
      </c>
      <c r="E2451" s="10" t="s">
        <v>13960</v>
      </c>
      <c r="F2451" s="10" t="s">
        <v>139</v>
      </c>
      <c r="G2451" s="10" t="s">
        <v>6352</v>
      </c>
      <c r="H2451" s="11">
        <v>39956</v>
      </c>
      <c r="I2451" s="10">
        <v>2009</v>
      </c>
      <c r="J2451" s="10" t="s">
        <v>13961</v>
      </c>
      <c r="K2451" s="10">
        <v>184</v>
      </c>
      <c r="L2451" s="10" t="s">
        <v>16935</v>
      </c>
      <c r="M2451" s="10">
        <v>1</v>
      </c>
      <c r="N2451" s="10"/>
      <c r="O2451" s="10"/>
      <c r="P2451" s="10" t="s">
        <v>16936</v>
      </c>
      <c r="Q2451" s="10" t="s">
        <v>14377</v>
      </c>
      <c r="R2451" s="10" t="s">
        <v>16937</v>
      </c>
      <c r="S2451" s="10" t="s">
        <v>53</v>
      </c>
      <c r="T2451" s="10" t="s">
        <v>54</v>
      </c>
    </row>
    <row r="2452" spans="1:20" ht="14.5" x14ac:dyDescent="0.35">
      <c r="A2452" s="10" t="s">
        <v>16938</v>
      </c>
      <c r="B2452" s="10" t="str">
        <f>"9780826499745"</f>
        <v>9780826499745</v>
      </c>
      <c r="C2452" s="10" t="str">
        <f>"9781441175267"</f>
        <v>9781441175267</v>
      </c>
      <c r="D2452" s="10" t="s">
        <v>13959</v>
      </c>
      <c r="E2452" s="10" t="s">
        <v>13960</v>
      </c>
      <c r="F2452" s="10" t="s">
        <v>139</v>
      </c>
      <c r="G2452" s="10" t="s">
        <v>6352</v>
      </c>
      <c r="H2452" s="11">
        <v>39716</v>
      </c>
      <c r="I2452" s="10">
        <v>2008</v>
      </c>
      <c r="J2452" s="10" t="s">
        <v>13961</v>
      </c>
      <c r="K2452" s="10">
        <v>139</v>
      </c>
      <c r="L2452" s="10" t="s">
        <v>16939</v>
      </c>
      <c r="M2452" s="10">
        <v>1</v>
      </c>
      <c r="N2452" s="10"/>
      <c r="O2452" s="10"/>
      <c r="P2452" s="10" t="s">
        <v>16940</v>
      </c>
      <c r="Q2452" s="10">
        <v>372.01139999999998</v>
      </c>
      <c r="R2452" s="10" t="s">
        <v>16941</v>
      </c>
      <c r="S2452" s="10" t="s">
        <v>53</v>
      </c>
      <c r="T2452" s="10" t="s">
        <v>54</v>
      </c>
    </row>
    <row r="2453" spans="1:20" ht="14.5" x14ac:dyDescent="0.35">
      <c r="A2453" s="10" t="s">
        <v>16942</v>
      </c>
      <c r="B2453" s="10" t="str">
        <f>"9781847061775"</f>
        <v>9781847061775</v>
      </c>
      <c r="C2453" s="10" t="str">
        <f>"9781441167606"</f>
        <v>9781441167606</v>
      </c>
      <c r="D2453" s="10" t="s">
        <v>13959</v>
      </c>
      <c r="E2453" s="10" t="s">
        <v>13960</v>
      </c>
      <c r="F2453" s="10" t="s">
        <v>139</v>
      </c>
      <c r="G2453" s="10" t="s">
        <v>6352</v>
      </c>
      <c r="H2453" s="11">
        <v>39937</v>
      </c>
      <c r="I2453" s="10">
        <v>2009</v>
      </c>
      <c r="J2453" s="10" t="s">
        <v>13961</v>
      </c>
      <c r="K2453" s="10">
        <v>272</v>
      </c>
      <c r="L2453" s="10" t="s">
        <v>16943</v>
      </c>
      <c r="M2453" s="10">
        <v>1</v>
      </c>
      <c r="N2453" s="10" t="s">
        <v>16944</v>
      </c>
      <c r="O2453" s="10"/>
      <c r="P2453" s="10" t="s">
        <v>16945</v>
      </c>
      <c r="Q2453" s="10">
        <v>418.02096</v>
      </c>
      <c r="R2453" s="10" t="s">
        <v>16946</v>
      </c>
      <c r="S2453" s="10" t="s">
        <v>53</v>
      </c>
      <c r="T2453" s="10" t="s">
        <v>6616</v>
      </c>
    </row>
    <row r="2454" spans="1:20" ht="14.5" x14ac:dyDescent="0.35">
      <c r="A2454" s="10" t="s">
        <v>16947</v>
      </c>
      <c r="B2454" s="10" t="str">
        <f>"9781472906915"</f>
        <v>9781472906915</v>
      </c>
      <c r="C2454" s="10" t="str">
        <f>"9781472912831"</f>
        <v>9781472912831</v>
      </c>
      <c r="D2454" s="10" t="s">
        <v>13959</v>
      </c>
      <c r="E2454" s="10" t="s">
        <v>13960</v>
      </c>
      <c r="F2454" s="10" t="s">
        <v>139</v>
      </c>
      <c r="G2454" s="10" t="s">
        <v>6352</v>
      </c>
      <c r="H2454" s="11">
        <v>41907</v>
      </c>
      <c r="I2454" s="10">
        <v>2014</v>
      </c>
      <c r="J2454" s="10" t="s">
        <v>16948</v>
      </c>
      <c r="K2454" s="10">
        <v>161</v>
      </c>
      <c r="L2454" s="10" t="s">
        <v>16949</v>
      </c>
      <c r="M2454" s="10">
        <v>2</v>
      </c>
      <c r="N2454" s="10"/>
      <c r="O2454" s="10"/>
      <c r="P2454" s="10" t="s">
        <v>16950</v>
      </c>
      <c r="Q2454" s="10">
        <v>372.19094100000001</v>
      </c>
      <c r="R2454" s="10" t="s">
        <v>16951</v>
      </c>
      <c r="S2454" s="10" t="s">
        <v>53</v>
      </c>
      <c r="T2454" s="10" t="s">
        <v>54</v>
      </c>
    </row>
    <row r="2455" spans="1:20" ht="14.5" x14ac:dyDescent="0.35">
      <c r="A2455" s="10" t="s">
        <v>16952</v>
      </c>
      <c r="B2455" s="10" t="str">
        <f>"9781847063113"</f>
        <v>9781847063113</v>
      </c>
      <c r="C2455" s="10" t="str">
        <f>"9781441156648"</f>
        <v>9781441156648</v>
      </c>
      <c r="D2455" s="10" t="s">
        <v>13959</v>
      </c>
      <c r="E2455" s="10" t="s">
        <v>13960</v>
      </c>
      <c r="F2455" s="10" t="s">
        <v>139</v>
      </c>
      <c r="G2455" s="10" t="s">
        <v>6352</v>
      </c>
      <c r="H2455" s="11">
        <v>39894</v>
      </c>
      <c r="I2455" s="10">
        <v>2009</v>
      </c>
      <c r="J2455" s="10" t="s">
        <v>13961</v>
      </c>
      <c r="K2455" s="10">
        <v>206</v>
      </c>
      <c r="L2455" s="10" t="s">
        <v>16953</v>
      </c>
      <c r="M2455" s="10">
        <v>1</v>
      </c>
      <c r="N2455" s="10" t="s">
        <v>16954</v>
      </c>
      <c r="O2455" s="10"/>
      <c r="P2455" s="10" t="s">
        <v>16955</v>
      </c>
      <c r="Q2455" s="10">
        <v>207.5</v>
      </c>
      <c r="R2455" s="10" t="s">
        <v>16956</v>
      </c>
      <c r="S2455" s="10" t="s">
        <v>53</v>
      </c>
      <c r="T2455" s="10" t="s">
        <v>8346</v>
      </c>
    </row>
    <row r="2456" spans="1:20" ht="14.5" x14ac:dyDescent="0.35">
      <c r="A2456" s="10" t="s">
        <v>16957</v>
      </c>
      <c r="B2456" s="10" t="str">
        <f>"9781855394438"</f>
        <v>9781855394438</v>
      </c>
      <c r="C2456" s="10" t="str">
        <f>"9781855395329"</f>
        <v>9781855395329</v>
      </c>
      <c r="D2456" s="10" t="s">
        <v>13959</v>
      </c>
      <c r="E2456" s="10" t="s">
        <v>13960</v>
      </c>
      <c r="F2456" s="10" t="s">
        <v>139</v>
      </c>
      <c r="G2456" s="10" t="s">
        <v>6352</v>
      </c>
      <c r="H2456" s="11">
        <v>40110</v>
      </c>
      <c r="I2456" s="10">
        <v>2009</v>
      </c>
      <c r="J2456" s="10" t="s">
        <v>14120</v>
      </c>
      <c r="K2456" s="10">
        <v>165</v>
      </c>
      <c r="L2456" s="10" t="s">
        <v>16958</v>
      </c>
      <c r="M2456" s="10">
        <v>1</v>
      </c>
      <c r="N2456" s="10"/>
      <c r="O2456" s="10"/>
      <c r="P2456" s="10" t="s">
        <v>16959</v>
      </c>
      <c r="Q2456" s="10">
        <v>371.39299999999997</v>
      </c>
      <c r="R2456" s="10" t="s">
        <v>16960</v>
      </c>
      <c r="S2456" s="10" t="s">
        <v>53</v>
      </c>
      <c r="T2456" s="10" t="s">
        <v>54</v>
      </c>
    </row>
    <row r="2457" spans="1:20" ht="14.5" x14ac:dyDescent="0.35">
      <c r="A2457" s="10" t="s">
        <v>16961</v>
      </c>
      <c r="B2457" s="10" t="str">
        <f>"9780826483768"</f>
        <v>9780826483768</v>
      </c>
      <c r="C2457" s="10" t="str">
        <f>"9781441188199"</f>
        <v>9781441188199</v>
      </c>
      <c r="D2457" s="10" t="s">
        <v>13959</v>
      </c>
      <c r="E2457" s="10" t="s">
        <v>13960</v>
      </c>
      <c r="F2457" s="10" t="s">
        <v>139</v>
      </c>
      <c r="G2457" s="10" t="s">
        <v>6352</v>
      </c>
      <c r="H2457" s="11">
        <v>39791</v>
      </c>
      <c r="I2457" s="10">
        <v>2008</v>
      </c>
      <c r="J2457" s="10" t="s">
        <v>13961</v>
      </c>
      <c r="K2457" s="10">
        <v>240</v>
      </c>
      <c r="L2457" s="10" t="s">
        <v>16962</v>
      </c>
      <c r="M2457" s="10">
        <v>1</v>
      </c>
      <c r="N2457" s="10"/>
      <c r="O2457" s="10"/>
      <c r="P2457" s="10" t="s">
        <v>16963</v>
      </c>
      <c r="Q2457" s="10">
        <v>371.10199999999998</v>
      </c>
      <c r="R2457" s="10" t="s">
        <v>15689</v>
      </c>
      <c r="S2457" s="10" t="s">
        <v>53</v>
      </c>
      <c r="T2457" s="10" t="s">
        <v>54</v>
      </c>
    </row>
    <row r="2458" spans="1:20" ht="14.5" x14ac:dyDescent="0.35">
      <c r="A2458" s="10" t="s">
        <v>16964</v>
      </c>
      <c r="B2458" s="10" t="str">
        <f>"9781847061935"</f>
        <v>9781847061935</v>
      </c>
      <c r="C2458" s="10" t="str">
        <f>"9781441118479"</f>
        <v>9781441118479</v>
      </c>
      <c r="D2458" s="10" t="s">
        <v>13959</v>
      </c>
      <c r="E2458" s="10" t="s">
        <v>13960</v>
      </c>
      <c r="F2458" s="10" t="s">
        <v>139</v>
      </c>
      <c r="G2458" s="10" t="s">
        <v>6352</v>
      </c>
      <c r="H2458" s="11">
        <v>39921</v>
      </c>
      <c r="I2458" s="10">
        <v>2009</v>
      </c>
      <c r="J2458" s="10" t="s">
        <v>13961</v>
      </c>
      <c r="K2458" s="10">
        <v>136</v>
      </c>
      <c r="L2458" s="10" t="s">
        <v>16965</v>
      </c>
      <c r="M2458" s="10">
        <v>1</v>
      </c>
      <c r="N2458" s="10" t="s">
        <v>16966</v>
      </c>
      <c r="O2458" s="10"/>
      <c r="P2458" s="10" t="s">
        <v>16967</v>
      </c>
      <c r="Q2458" s="10">
        <v>372.21094099999999</v>
      </c>
      <c r="R2458" s="10" t="s">
        <v>16968</v>
      </c>
      <c r="S2458" s="10" t="s">
        <v>53</v>
      </c>
      <c r="T2458" s="10" t="s">
        <v>54</v>
      </c>
    </row>
    <row r="2459" spans="1:20" ht="14.5" x14ac:dyDescent="0.35">
      <c r="A2459" s="10" t="s">
        <v>16969</v>
      </c>
      <c r="B2459" s="10" t="str">
        <f>"9781847063830"</f>
        <v>9781847063830</v>
      </c>
      <c r="C2459" s="10" t="str">
        <f>"9781441181800"</f>
        <v>9781441181800</v>
      </c>
      <c r="D2459" s="10" t="s">
        <v>13959</v>
      </c>
      <c r="E2459" s="10" t="s">
        <v>13960</v>
      </c>
      <c r="F2459" s="10" t="s">
        <v>139</v>
      </c>
      <c r="G2459" s="10" t="s">
        <v>6352</v>
      </c>
      <c r="H2459" s="11">
        <v>40318</v>
      </c>
      <c r="I2459" s="10">
        <v>2010</v>
      </c>
      <c r="J2459" s="10" t="s">
        <v>13961</v>
      </c>
      <c r="K2459" s="10">
        <v>156</v>
      </c>
      <c r="L2459" s="10" t="s">
        <v>16564</v>
      </c>
      <c r="M2459" s="10">
        <v>1</v>
      </c>
      <c r="N2459" s="10"/>
      <c r="O2459" s="10"/>
      <c r="P2459" s="10" t="s">
        <v>16970</v>
      </c>
      <c r="Q2459" s="10">
        <v>371.26</v>
      </c>
      <c r="R2459" s="10" t="s">
        <v>14830</v>
      </c>
      <c r="S2459" s="10" t="s">
        <v>53</v>
      </c>
      <c r="T2459" s="10" t="s">
        <v>54</v>
      </c>
    </row>
    <row r="2460" spans="1:20" ht="14.5" x14ac:dyDescent="0.35">
      <c r="A2460" s="10" t="s">
        <v>16971</v>
      </c>
      <c r="B2460" s="10" t="str">
        <f>"9781847060723"</f>
        <v>9781847060723</v>
      </c>
      <c r="C2460" s="10" t="str">
        <f>"9781441172785"</f>
        <v>9781441172785</v>
      </c>
      <c r="D2460" s="10" t="s">
        <v>13959</v>
      </c>
      <c r="E2460" s="10" t="s">
        <v>13960</v>
      </c>
      <c r="F2460" s="10" t="s">
        <v>139</v>
      </c>
      <c r="G2460" s="10" t="s">
        <v>6352</v>
      </c>
      <c r="H2460" s="11">
        <v>39974</v>
      </c>
      <c r="I2460" s="10">
        <v>2009</v>
      </c>
      <c r="J2460" s="10" t="s">
        <v>13961</v>
      </c>
      <c r="K2460" s="10">
        <v>171</v>
      </c>
      <c r="L2460" s="10" t="s">
        <v>16972</v>
      </c>
      <c r="M2460" s="10">
        <v>1</v>
      </c>
      <c r="N2460" s="10" t="s">
        <v>16919</v>
      </c>
      <c r="O2460" s="10"/>
      <c r="P2460" s="10" t="s">
        <v>16973</v>
      </c>
      <c r="Q2460" s="10">
        <v>428.0071241</v>
      </c>
      <c r="R2460" s="10" t="s">
        <v>16974</v>
      </c>
      <c r="S2460" s="10" t="s">
        <v>53</v>
      </c>
      <c r="T2460" s="10" t="s">
        <v>6498</v>
      </c>
    </row>
    <row r="2461" spans="1:20" ht="14.5" x14ac:dyDescent="0.35">
      <c r="A2461" s="10" t="s">
        <v>16975</v>
      </c>
      <c r="B2461" s="10" t="str">
        <f>"9781855394469"</f>
        <v>9781855394469</v>
      </c>
      <c r="C2461" s="10" t="str">
        <f>"9781855397057"</f>
        <v>9781855397057</v>
      </c>
      <c r="D2461" s="10" t="s">
        <v>13959</v>
      </c>
      <c r="E2461" s="10" t="s">
        <v>13960</v>
      </c>
      <c r="F2461" s="10" t="s">
        <v>139</v>
      </c>
      <c r="G2461" s="10" t="s">
        <v>6352</v>
      </c>
      <c r="H2461" s="11">
        <v>39985</v>
      </c>
      <c r="I2461" s="10">
        <v>2009</v>
      </c>
      <c r="J2461" s="10" t="s">
        <v>14120</v>
      </c>
      <c r="K2461" s="10">
        <v>161</v>
      </c>
      <c r="L2461" s="10" t="s">
        <v>16976</v>
      </c>
      <c r="M2461" s="10">
        <v>1</v>
      </c>
      <c r="N2461" s="10"/>
      <c r="O2461" s="10"/>
      <c r="P2461" s="10" t="s">
        <v>16977</v>
      </c>
      <c r="Q2461" s="10">
        <v>372.13990000000001</v>
      </c>
      <c r="R2461" s="10" t="s">
        <v>16978</v>
      </c>
      <c r="S2461" s="10" t="s">
        <v>53</v>
      </c>
      <c r="T2461" s="10" t="s">
        <v>6815</v>
      </c>
    </row>
    <row r="2462" spans="1:20" ht="14.5" x14ac:dyDescent="0.35">
      <c r="A2462" s="10" t="s">
        <v>16979</v>
      </c>
      <c r="B2462" s="10" t="str">
        <f>"9780826493903"</f>
        <v>9780826493903</v>
      </c>
      <c r="C2462" s="10" t="str">
        <f>"9781441193636"</f>
        <v>9781441193636</v>
      </c>
      <c r="D2462" s="10" t="s">
        <v>13959</v>
      </c>
      <c r="E2462" s="10" t="s">
        <v>13960</v>
      </c>
      <c r="F2462" s="10" t="s">
        <v>139</v>
      </c>
      <c r="G2462" s="10" t="s">
        <v>6352</v>
      </c>
      <c r="H2462" s="11">
        <v>39943</v>
      </c>
      <c r="I2462" s="10">
        <v>2009</v>
      </c>
      <c r="J2462" s="10" t="s">
        <v>13961</v>
      </c>
      <c r="K2462" s="10">
        <v>186</v>
      </c>
      <c r="L2462" s="10" t="s">
        <v>16980</v>
      </c>
      <c r="M2462" s="10">
        <v>2</v>
      </c>
      <c r="N2462" s="10"/>
      <c r="O2462" s="10"/>
      <c r="P2462" s="10" t="s">
        <v>16981</v>
      </c>
      <c r="Q2462" s="10">
        <v>371.1024094</v>
      </c>
      <c r="R2462" s="10" t="s">
        <v>16982</v>
      </c>
      <c r="S2462" s="10" t="s">
        <v>53</v>
      </c>
      <c r="T2462" s="10" t="s">
        <v>54</v>
      </c>
    </row>
    <row r="2463" spans="1:20" ht="14.5" x14ac:dyDescent="0.35">
      <c r="A2463" s="10" t="s">
        <v>16983</v>
      </c>
      <c r="B2463" s="10" t="str">
        <f>"9781855394650"</f>
        <v>9781855394650</v>
      </c>
      <c r="C2463" s="10" t="str">
        <f>"9781855393929"</f>
        <v>9781855393929</v>
      </c>
      <c r="D2463" s="10" t="s">
        <v>13959</v>
      </c>
      <c r="E2463" s="10" t="s">
        <v>13960</v>
      </c>
      <c r="F2463" s="10" t="s">
        <v>139</v>
      </c>
      <c r="G2463" s="10" t="s">
        <v>6352</v>
      </c>
      <c r="H2463" s="11">
        <v>39929</v>
      </c>
      <c r="I2463" s="10">
        <v>2009</v>
      </c>
      <c r="J2463" s="10" t="s">
        <v>14120</v>
      </c>
      <c r="K2463" s="10">
        <v>158</v>
      </c>
      <c r="L2463" s="10" t="s">
        <v>16984</v>
      </c>
      <c r="M2463" s="10">
        <v>1</v>
      </c>
      <c r="N2463" s="10" t="s">
        <v>16985</v>
      </c>
      <c r="O2463" s="10"/>
      <c r="P2463" s="10" t="s">
        <v>16986</v>
      </c>
      <c r="Q2463" s="10">
        <v>371.95</v>
      </c>
      <c r="R2463" s="10" t="s">
        <v>16987</v>
      </c>
      <c r="S2463" s="10" t="s">
        <v>53</v>
      </c>
      <c r="T2463" s="10" t="s">
        <v>54</v>
      </c>
    </row>
    <row r="2464" spans="1:20" ht="14.5" x14ac:dyDescent="0.35">
      <c r="A2464" s="10" t="s">
        <v>16988</v>
      </c>
      <c r="B2464" s="10" t="str">
        <f>"9780826499738"</f>
        <v>9780826499738</v>
      </c>
      <c r="C2464" s="10" t="str">
        <f>"9781441161598"</f>
        <v>9781441161598</v>
      </c>
      <c r="D2464" s="10" t="s">
        <v>13959</v>
      </c>
      <c r="E2464" s="10" t="s">
        <v>13960</v>
      </c>
      <c r="F2464" s="10" t="s">
        <v>139</v>
      </c>
      <c r="G2464" s="10" t="s">
        <v>6352</v>
      </c>
      <c r="H2464" s="11">
        <v>39767</v>
      </c>
      <c r="I2464" s="10">
        <v>2008</v>
      </c>
      <c r="J2464" s="10" t="s">
        <v>13961</v>
      </c>
      <c r="K2464" s="10">
        <v>225</v>
      </c>
      <c r="L2464" s="10" t="s">
        <v>14157</v>
      </c>
      <c r="M2464" s="10">
        <v>1</v>
      </c>
      <c r="N2464" s="10" t="s">
        <v>16573</v>
      </c>
      <c r="O2464" s="10"/>
      <c r="P2464" s="10" t="s">
        <v>16989</v>
      </c>
      <c r="Q2464" s="10">
        <v>28.707100000000001</v>
      </c>
      <c r="R2464" s="10" t="s">
        <v>16575</v>
      </c>
      <c r="S2464" s="10" t="s">
        <v>53</v>
      </c>
      <c r="T2464" s="10" t="s">
        <v>16990</v>
      </c>
    </row>
    <row r="2465" spans="1:20" ht="14.5" x14ac:dyDescent="0.35">
      <c r="A2465" s="10" t="s">
        <v>16991</v>
      </c>
      <c r="B2465" s="10" t="str">
        <f>"9780826438775"</f>
        <v>9780826438775</v>
      </c>
      <c r="C2465" s="10" t="str">
        <f>"9781441152466"</f>
        <v>9781441152466</v>
      </c>
      <c r="D2465" s="10" t="s">
        <v>13959</v>
      </c>
      <c r="E2465" s="10" t="s">
        <v>13960</v>
      </c>
      <c r="F2465" s="10" t="s">
        <v>139</v>
      </c>
      <c r="G2465" s="10" t="s">
        <v>6352</v>
      </c>
      <c r="H2465" s="11">
        <v>40157</v>
      </c>
      <c r="I2465" s="10">
        <v>2009</v>
      </c>
      <c r="J2465" s="10" t="s">
        <v>13961</v>
      </c>
      <c r="K2465" s="10">
        <v>142</v>
      </c>
      <c r="L2465" s="10" t="s">
        <v>16992</v>
      </c>
      <c r="M2465" s="10">
        <v>2</v>
      </c>
      <c r="N2465" s="10"/>
      <c r="O2465" s="10"/>
      <c r="P2465" s="10" t="s">
        <v>16993</v>
      </c>
      <c r="Q2465" s="10">
        <v>371.5</v>
      </c>
      <c r="R2465" s="10" t="s">
        <v>16994</v>
      </c>
      <c r="S2465" s="10" t="s">
        <v>53</v>
      </c>
      <c r="T2465" s="10" t="s">
        <v>54</v>
      </c>
    </row>
    <row r="2466" spans="1:20" ht="14.5" x14ac:dyDescent="0.35">
      <c r="A2466" s="10" t="s">
        <v>16995</v>
      </c>
      <c r="B2466" s="10" t="str">
        <f>"9780826435439"</f>
        <v>9780826435439</v>
      </c>
      <c r="C2466" s="10" t="str">
        <f>"9781441179005"</f>
        <v>9781441179005</v>
      </c>
      <c r="D2466" s="10" t="s">
        <v>13959</v>
      </c>
      <c r="E2466" s="10" t="s">
        <v>13960</v>
      </c>
      <c r="F2466" s="10" t="s">
        <v>139</v>
      </c>
      <c r="G2466" s="10" t="s">
        <v>6352</v>
      </c>
      <c r="H2466" s="11">
        <v>40208</v>
      </c>
      <c r="I2466" s="10">
        <v>2009</v>
      </c>
      <c r="J2466" s="10" t="s">
        <v>13961</v>
      </c>
      <c r="K2466" s="10">
        <v>135</v>
      </c>
      <c r="L2466" s="10" t="s">
        <v>9307</v>
      </c>
      <c r="M2466" s="10">
        <v>1</v>
      </c>
      <c r="N2466" s="10" t="s">
        <v>16931</v>
      </c>
      <c r="O2466" s="10"/>
      <c r="P2466" s="10" t="s">
        <v>16996</v>
      </c>
      <c r="Q2466" s="10">
        <v>370.15199999999999</v>
      </c>
      <c r="R2466" s="10" t="s">
        <v>16997</v>
      </c>
      <c r="S2466" s="10" t="s">
        <v>53</v>
      </c>
      <c r="T2466" s="10" t="s">
        <v>54</v>
      </c>
    </row>
    <row r="2467" spans="1:20" ht="14.5" x14ac:dyDescent="0.35">
      <c r="A2467" s="10" t="s">
        <v>16998</v>
      </c>
      <c r="B2467" s="10" t="str">
        <f>"9781847060228"</f>
        <v>9781847060228</v>
      </c>
      <c r="C2467" s="10" t="str">
        <f>"9781441178763"</f>
        <v>9781441178763</v>
      </c>
      <c r="D2467" s="10" t="s">
        <v>13959</v>
      </c>
      <c r="E2467" s="10" t="s">
        <v>13960</v>
      </c>
      <c r="F2467" s="10" t="s">
        <v>139</v>
      </c>
      <c r="G2467" s="10" t="s">
        <v>6352</v>
      </c>
      <c r="H2467" s="11">
        <v>39864</v>
      </c>
      <c r="I2467" s="10">
        <v>2008</v>
      </c>
      <c r="J2467" s="10" t="s">
        <v>13961</v>
      </c>
      <c r="K2467" s="10">
        <v>174</v>
      </c>
      <c r="L2467" s="10" t="s">
        <v>16999</v>
      </c>
      <c r="M2467" s="10">
        <v>1</v>
      </c>
      <c r="N2467" s="10" t="s">
        <v>17000</v>
      </c>
      <c r="O2467" s="10"/>
      <c r="P2467" s="10" t="s">
        <v>17001</v>
      </c>
      <c r="Q2467" s="10">
        <v>371.2</v>
      </c>
      <c r="R2467" s="10" t="s">
        <v>17002</v>
      </c>
      <c r="S2467" s="10" t="s">
        <v>53</v>
      </c>
      <c r="T2467" s="10" t="s">
        <v>54</v>
      </c>
    </row>
    <row r="2468" spans="1:20" ht="14.5" x14ac:dyDescent="0.35">
      <c r="A2468" s="10" t="s">
        <v>17003</v>
      </c>
      <c r="B2468" s="10" t="str">
        <f>"9781847060112"</f>
        <v>9781847060112</v>
      </c>
      <c r="C2468" s="10" t="str">
        <f>"9781441171559"</f>
        <v>9781441171559</v>
      </c>
      <c r="D2468" s="10" t="s">
        <v>13959</v>
      </c>
      <c r="E2468" s="10" t="s">
        <v>13960</v>
      </c>
      <c r="F2468" s="10" t="s">
        <v>139</v>
      </c>
      <c r="G2468" s="10" t="s">
        <v>6352</v>
      </c>
      <c r="H2468" s="11">
        <v>39974</v>
      </c>
      <c r="I2468" s="10">
        <v>2009</v>
      </c>
      <c r="J2468" s="10" t="s">
        <v>13961</v>
      </c>
      <c r="K2468" s="10">
        <v>189</v>
      </c>
      <c r="L2468" s="10" t="s">
        <v>17004</v>
      </c>
      <c r="M2468" s="10">
        <v>1</v>
      </c>
      <c r="N2468" s="10" t="s">
        <v>16919</v>
      </c>
      <c r="O2468" s="10"/>
      <c r="P2468" s="10" t="s">
        <v>17005</v>
      </c>
      <c r="Q2468" s="10">
        <v>510.71</v>
      </c>
      <c r="R2468" s="10" t="s">
        <v>17006</v>
      </c>
      <c r="S2468" s="10" t="s">
        <v>53</v>
      </c>
      <c r="T2468" s="10" t="s">
        <v>389</v>
      </c>
    </row>
    <row r="2469" spans="1:20" ht="14.5" x14ac:dyDescent="0.35">
      <c r="A2469" s="10" t="s">
        <v>17007</v>
      </c>
      <c r="B2469" s="10" t="str">
        <f>"9781855394445"</f>
        <v>9781855394445</v>
      </c>
      <c r="C2469" s="10" t="str">
        <f>"9781855397408"</f>
        <v>9781855397408</v>
      </c>
      <c r="D2469" s="10" t="s">
        <v>13959</v>
      </c>
      <c r="E2469" s="10" t="s">
        <v>13960</v>
      </c>
      <c r="F2469" s="10" t="s">
        <v>139</v>
      </c>
      <c r="G2469" s="10" t="s">
        <v>6352</v>
      </c>
      <c r="H2469" s="11">
        <v>39901</v>
      </c>
      <c r="I2469" s="10">
        <v>2009</v>
      </c>
      <c r="J2469" s="10" t="s">
        <v>14120</v>
      </c>
      <c r="K2469" s="10">
        <v>112</v>
      </c>
      <c r="L2469" s="10" t="s">
        <v>17008</v>
      </c>
      <c r="M2469" s="10">
        <v>2</v>
      </c>
      <c r="N2469" s="10"/>
      <c r="O2469" s="10"/>
      <c r="P2469" s="10" t="s">
        <v>17009</v>
      </c>
      <c r="Q2469" s="10">
        <v>370.15230000000003</v>
      </c>
      <c r="R2469" s="10" t="s">
        <v>17010</v>
      </c>
      <c r="S2469" s="10" t="s">
        <v>53</v>
      </c>
      <c r="T2469" s="10" t="s">
        <v>54</v>
      </c>
    </row>
    <row r="2470" spans="1:20" ht="14.5" x14ac:dyDescent="0.35">
      <c r="A2470" s="10" t="s">
        <v>17011</v>
      </c>
      <c r="B2470" s="10" t="str">
        <f>"9781847062673"</f>
        <v>9781847062673</v>
      </c>
      <c r="C2470" s="10" t="str">
        <f>"9781441147219"</f>
        <v>9781441147219</v>
      </c>
      <c r="D2470" s="10" t="s">
        <v>13959</v>
      </c>
      <c r="E2470" s="10" t="s">
        <v>13960</v>
      </c>
      <c r="F2470" s="10" t="s">
        <v>139</v>
      </c>
      <c r="G2470" s="10" t="s">
        <v>6352</v>
      </c>
      <c r="H2470" s="11">
        <v>39905</v>
      </c>
      <c r="I2470" s="10">
        <v>2009</v>
      </c>
      <c r="J2470" s="10" t="s">
        <v>13961</v>
      </c>
      <c r="K2470" s="10">
        <v>182</v>
      </c>
      <c r="L2470" s="10" t="s">
        <v>17012</v>
      </c>
      <c r="M2470" s="10">
        <v>1</v>
      </c>
      <c r="N2470" s="10"/>
      <c r="O2470" s="10"/>
      <c r="P2470" s="10" t="s">
        <v>17013</v>
      </c>
      <c r="Q2470" s="10">
        <v>373.11094100000003</v>
      </c>
      <c r="R2470" s="10" t="s">
        <v>17014</v>
      </c>
      <c r="S2470" s="10" t="s">
        <v>53</v>
      </c>
      <c r="T2470" s="10" t="s">
        <v>54</v>
      </c>
    </row>
    <row r="2471" spans="1:20" ht="14.5" x14ac:dyDescent="0.35">
      <c r="A2471" s="10" t="s">
        <v>17015</v>
      </c>
      <c r="B2471" s="10" t="str">
        <f>"9780567426642"</f>
        <v>9780567426642</v>
      </c>
      <c r="C2471" s="10" t="str">
        <f>"9780567601117"</f>
        <v>9780567601117</v>
      </c>
      <c r="D2471" s="10" t="s">
        <v>13959</v>
      </c>
      <c r="E2471" s="10" t="s">
        <v>13960</v>
      </c>
      <c r="F2471" s="10" t="s">
        <v>139</v>
      </c>
      <c r="G2471" s="10" t="s">
        <v>6352</v>
      </c>
      <c r="H2471" s="11">
        <v>39945</v>
      </c>
      <c r="I2471" s="10">
        <v>2009</v>
      </c>
      <c r="J2471" s="10" t="s">
        <v>17016</v>
      </c>
      <c r="K2471" s="10">
        <v>338</v>
      </c>
      <c r="L2471" s="10" t="s">
        <v>17017</v>
      </c>
      <c r="M2471" s="10">
        <v>1</v>
      </c>
      <c r="N2471" s="10" t="s">
        <v>17018</v>
      </c>
      <c r="O2471" s="10">
        <v>400</v>
      </c>
      <c r="P2471" s="10" t="s">
        <v>17019</v>
      </c>
      <c r="Q2471" s="10">
        <v>270.10000000000002</v>
      </c>
      <c r="R2471" s="10" t="s">
        <v>17020</v>
      </c>
      <c r="S2471" s="10" t="s">
        <v>53</v>
      </c>
      <c r="T2471" s="10" t="s">
        <v>17021</v>
      </c>
    </row>
    <row r="2472" spans="1:20" ht="14.5" x14ac:dyDescent="0.35">
      <c r="A2472" s="10" t="s">
        <v>17022</v>
      </c>
      <c r="B2472" s="10" t="str">
        <f>"9781847063571"</f>
        <v>9781847063571</v>
      </c>
      <c r="C2472" s="10" t="str">
        <f>"9781441170729"</f>
        <v>9781441170729</v>
      </c>
      <c r="D2472" s="10" t="s">
        <v>13959</v>
      </c>
      <c r="E2472" s="10" t="s">
        <v>13960</v>
      </c>
      <c r="F2472" s="10" t="s">
        <v>139</v>
      </c>
      <c r="G2472" s="10" t="s">
        <v>6352</v>
      </c>
      <c r="H2472" s="11">
        <v>40302</v>
      </c>
      <c r="I2472" s="10">
        <v>2010</v>
      </c>
      <c r="J2472" s="10" t="s">
        <v>13961</v>
      </c>
      <c r="K2472" s="10">
        <v>145</v>
      </c>
      <c r="L2472" s="10" t="s">
        <v>6403</v>
      </c>
      <c r="M2472" s="10">
        <v>1</v>
      </c>
      <c r="N2472" s="10" t="s">
        <v>17023</v>
      </c>
      <c r="O2472" s="10"/>
      <c r="P2472" s="10" t="s">
        <v>17024</v>
      </c>
      <c r="Q2472" s="10">
        <v>372.6044</v>
      </c>
      <c r="R2472" s="10" t="s">
        <v>17025</v>
      </c>
      <c r="S2472" s="10" t="s">
        <v>53</v>
      </c>
      <c r="T2472" s="10" t="s">
        <v>54</v>
      </c>
    </row>
    <row r="2473" spans="1:20" ht="14.5" x14ac:dyDescent="0.35">
      <c r="A2473" s="10" t="s">
        <v>17026</v>
      </c>
      <c r="B2473" s="10" t="str">
        <f>"9780826430823"</f>
        <v>9780826430823</v>
      </c>
      <c r="C2473" s="10" t="str">
        <f>"9781441167545"</f>
        <v>9781441167545</v>
      </c>
      <c r="D2473" s="10" t="s">
        <v>13959</v>
      </c>
      <c r="E2473" s="10" t="s">
        <v>13960</v>
      </c>
      <c r="F2473" s="10" t="s">
        <v>139</v>
      </c>
      <c r="G2473" s="10" t="s">
        <v>6352</v>
      </c>
      <c r="H2473" s="11">
        <v>40266</v>
      </c>
      <c r="I2473" s="10">
        <v>2010</v>
      </c>
      <c r="J2473" s="10" t="s">
        <v>13961</v>
      </c>
      <c r="K2473" s="10">
        <v>217</v>
      </c>
      <c r="L2473" s="10" t="s">
        <v>17027</v>
      </c>
      <c r="M2473" s="10">
        <v>1</v>
      </c>
      <c r="N2473" s="10"/>
      <c r="O2473" s="10"/>
      <c r="P2473" s="10" t="s">
        <v>17028</v>
      </c>
      <c r="Q2473" s="10" t="s">
        <v>17029</v>
      </c>
      <c r="R2473" s="10" t="s">
        <v>17030</v>
      </c>
      <c r="S2473" s="10" t="s">
        <v>53</v>
      </c>
      <c r="T2473" s="10" t="s">
        <v>54</v>
      </c>
    </row>
    <row r="2474" spans="1:20" ht="14.5" x14ac:dyDescent="0.35">
      <c r="A2474" s="10" t="s">
        <v>17031</v>
      </c>
      <c r="B2474" s="10" t="str">
        <f>"9781847064110"</f>
        <v>9781847064110</v>
      </c>
      <c r="C2474" s="10" t="str">
        <f>"9781441170781"</f>
        <v>9781441170781</v>
      </c>
      <c r="D2474" s="10" t="s">
        <v>13959</v>
      </c>
      <c r="E2474" s="10" t="s">
        <v>13960</v>
      </c>
      <c r="F2474" s="10" t="s">
        <v>139</v>
      </c>
      <c r="G2474" s="10" t="s">
        <v>6352</v>
      </c>
      <c r="H2474" s="11">
        <v>39882</v>
      </c>
      <c r="I2474" s="10">
        <v>2009</v>
      </c>
      <c r="J2474" s="10" t="s">
        <v>13961</v>
      </c>
      <c r="K2474" s="10">
        <v>113</v>
      </c>
      <c r="L2474" s="10" t="s">
        <v>17032</v>
      </c>
      <c r="M2474" s="10">
        <v>1</v>
      </c>
      <c r="N2474" s="10" t="s">
        <v>16931</v>
      </c>
      <c r="O2474" s="10"/>
      <c r="P2474" s="10" t="s">
        <v>17033</v>
      </c>
      <c r="Q2474" s="10">
        <v>370.15339999999998</v>
      </c>
      <c r="R2474" s="10" t="s">
        <v>17034</v>
      </c>
      <c r="S2474" s="10" t="s">
        <v>53</v>
      </c>
      <c r="T2474" s="10" t="s">
        <v>54</v>
      </c>
    </row>
    <row r="2475" spans="1:20" ht="14.5" x14ac:dyDescent="0.35">
      <c r="A2475" s="10" t="s">
        <v>17035</v>
      </c>
      <c r="B2475" s="10" t="str">
        <f>"9780826493330"</f>
        <v>9780826493330</v>
      </c>
      <c r="C2475" s="10" t="str">
        <f>"9781441173829"</f>
        <v>9781441173829</v>
      </c>
      <c r="D2475" s="10" t="s">
        <v>13959</v>
      </c>
      <c r="E2475" s="10" t="s">
        <v>13960</v>
      </c>
      <c r="F2475" s="10" t="s">
        <v>139</v>
      </c>
      <c r="G2475" s="10" t="s">
        <v>6352</v>
      </c>
      <c r="H2475" s="11">
        <v>39943</v>
      </c>
      <c r="I2475" s="10">
        <v>2009</v>
      </c>
      <c r="J2475" s="10" t="s">
        <v>13961</v>
      </c>
      <c r="K2475" s="10">
        <v>185</v>
      </c>
      <c r="L2475" s="10" t="s">
        <v>17036</v>
      </c>
      <c r="M2475" s="10">
        <v>2</v>
      </c>
      <c r="N2475" s="10" t="s">
        <v>17037</v>
      </c>
      <c r="O2475" s="10"/>
      <c r="P2475" s="10" t="s">
        <v>17038</v>
      </c>
      <c r="Q2475" s="10">
        <v>371.10094099999998</v>
      </c>
      <c r="R2475" s="10" t="s">
        <v>17039</v>
      </c>
      <c r="S2475" s="10" t="s">
        <v>53</v>
      </c>
      <c r="T2475" s="10" t="s">
        <v>54</v>
      </c>
    </row>
    <row r="2476" spans="1:20" ht="14.5" x14ac:dyDescent="0.35">
      <c r="A2476" s="10" t="s">
        <v>17040</v>
      </c>
      <c r="B2476" s="10" t="str">
        <f>"9781847063816"</f>
        <v>9781847063816</v>
      </c>
      <c r="C2476" s="10" t="str">
        <f>"9781441126245"</f>
        <v>9781441126245</v>
      </c>
      <c r="D2476" s="10" t="s">
        <v>13959</v>
      </c>
      <c r="E2476" s="10" t="s">
        <v>13960</v>
      </c>
      <c r="F2476" s="10" t="s">
        <v>139</v>
      </c>
      <c r="G2476" s="10" t="s">
        <v>6352</v>
      </c>
      <c r="H2476" s="11">
        <v>39792</v>
      </c>
      <c r="I2476" s="10">
        <v>2008</v>
      </c>
      <c r="J2476" s="10" t="s">
        <v>13961</v>
      </c>
      <c r="K2476" s="10">
        <v>145</v>
      </c>
      <c r="L2476" s="10" t="s">
        <v>17041</v>
      </c>
      <c r="M2476" s="10">
        <v>1</v>
      </c>
      <c r="N2476" s="10" t="s">
        <v>17023</v>
      </c>
      <c r="O2476" s="10"/>
      <c r="P2476" s="10" t="s">
        <v>17042</v>
      </c>
      <c r="Q2476" s="10">
        <v>372.70440000000002</v>
      </c>
      <c r="R2476" s="10" t="s">
        <v>17043</v>
      </c>
      <c r="S2476" s="10" t="s">
        <v>53</v>
      </c>
      <c r="T2476" s="10" t="s">
        <v>6448</v>
      </c>
    </row>
    <row r="2477" spans="1:20" ht="14.5" x14ac:dyDescent="0.35">
      <c r="A2477" s="10" t="s">
        <v>17044</v>
      </c>
      <c r="B2477" s="10" t="str">
        <f>"9781847061065"</f>
        <v>9781847061065</v>
      </c>
      <c r="C2477" s="10" t="str">
        <f>"9781441163202"</f>
        <v>9781441163202</v>
      </c>
      <c r="D2477" s="10" t="s">
        <v>13959</v>
      </c>
      <c r="E2477" s="10" t="s">
        <v>13960</v>
      </c>
      <c r="F2477" s="10" t="s">
        <v>139</v>
      </c>
      <c r="G2477" s="10" t="s">
        <v>6352</v>
      </c>
      <c r="H2477" s="11">
        <v>39974</v>
      </c>
      <c r="I2477" s="10">
        <v>2009</v>
      </c>
      <c r="J2477" s="10" t="s">
        <v>13961</v>
      </c>
      <c r="K2477" s="10">
        <v>225</v>
      </c>
      <c r="L2477" s="10" t="s">
        <v>17045</v>
      </c>
      <c r="M2477" s="10">
        <v>1</v>
      </c>
      <c r="N2477" s="10"/>
      <c r="O2477" s="10"/>
      <c r="P2477" s="10" t="s">
        <v>17046</v>
      </c>
      <c r="Q2477" s="10" t="s">
        <v>6942</v>
      </c>
      <c r="R2477" s="10" t="s">
        <v>17047</v>
      </c>
      <c r="S2477" s="10" t="s">
        <v>53</v>
      </c>
      <c r="T2477" s="10" t="s">
        <v>54</v>
      </c>
    </row>
    <row r="2478" spans="1:20" ht="14.5" x14ac:dyDescent="0.35">
      <c r="A2478" s="10" t="s">
        <v>17048</v>
      </c>
      <c r="B2478" s="10" t="str">
        <f>"9780826434654"</f>
        <v>9780826434654</v>
      </c>
      <c r="C2478" s="10" t="str">
        <f>"9781855394377"</f>
        <v>9781855394377</v>
      </c>
      <c r="D2478" s="10" t="s">
        <v>13959</v>
      </c>
      <c r="E2478" s="10" t="s">
        <v>13960</v>
      </c>
      <c r="F2478" s="10" t="s">
        <v>139</v>
      </c>
      <c r="G2478" s="10" t="s">
        <v>6352</v>
      </c>
      <c r="H2478" s="11">
        <v>40110</v>
      </c>
      <c r="I2478" s="10">
        <v>2009</v>
      </c>
      <c r="J2478" s="10" t="s">
        <v>14120</v>
      </c>
      <c r="K2478" s="10">
        <v>133</v>
      </c>
      <c r="L2478" s="10" t="s">
        <v>17049</v>
      </c>
      <c r="M2478" s="10">
        <v>1</v>
      </c>
      <c r="N2478" s="10" t="s">
        <v>16985</v>
      </c>
      <c r="O2478" s="10"/>
      <c r="P2478" s="10" t="s">
        <v>17050</v>
      </c>
      <c r="Q2478" s="10">
        <v>371.93</v>
      </c>
      <c r="R2478" s="10" t="s">
        <v>17051</v>
      </c>
      <c r="S2478" s="10" t="s">
        <v>53</v>
      </c>
      <c r="T2478" s="10" t="s">
        <v>54</v>
      </c>
    </row>
    <row r="2479" spans="1:20" ht="14.5" x14ac:dyDescent="0.35">
      <c r="A2479" s="10" t="s">
        <v>17052</v>
      </c>
      <c r="B2479" s="10" t="str">
        <f>"9781847060235"</f>
        <v>9781847060235</v>
      </c>
      <c r="C2479" s="10" t="str">
        <f>"9781441148469"</f>
        <v>9781441148469</v>
      </c>
      <c r="D2479" s="10" t="s">
        <v>13959</v>
      </c>
      <c r="E2479" s="10" t="s">
        <v>13960</v>
      </c>
      <c r="F2479" s="10" t="s">
        <v>139</v>
      </c>
      <c r="G2479" s="10" t="s">
        <v>6352</v>
      </c>
      <c r="H2479" s="11">
        <v>39864</v>
      </c>
      <c r="I2479" s="10">
        <v>2008</v>
      </c>
      <c r="J2479" s="10" t="s">
        <v>13961</v>
      </c>
      <c r="K2479" s="10">
        <v>116</v>
      </c>
      <c r="L2479" s="10" t="s">
        <v>17053</v>
      </c>
      <c r="M2479" s="10">
        <v>1</v>
      </c>
      <c r="N2479" s="10" t="s">
        <v>17000</v>
      </c>
      <c r="O2479" s="10"/>
      <c r="P2479" s="10" t="s">
        <v>17054</v>
      </c>
      <c r="Q2479" s="10" t="s">
        <v>17055</v>
      </c>
      <c r="R2479" s="10" t="s">
        <v>17056</v>
      </c>
      <c r="S2479" s="10" t="s">
        <v>53</v>
      </c>
      <c r="T2479" s="10" t="s">
        <v>54</v>
      </c>
    </row>
    <row r="2480" spans="1:20" ht="14.5" x14ac:dyDescent="0.35">
      <c r="A2480" s="10" t="s">
        <v>17057</v>
      </c>
      <c r="B2480" s="10" t="str">
        <f>"9780826487261"</f>
        <v>9780826487261</v>
      </c>
      <c r="C2480" s="10" t="str">
        <f>"9781441192707"</f>
        <v>9781441192707</v>
      </c>
      <c r="D2480" s="10" t="s">
        <v>13959</v>
      </c>
      <c r="E2480" s="10" t="s">
        <v>13960</v>
      </c>
      <c r="F2480" s="10" t="s">
        <v>139</v>
      </c>
      <c r="G2480" s="10" t="s">
        <v>6352</v>
      </c>
      <c r="H2480" s="11">
        <v>39965</v>
      </c>
      <c r="I2480" s="10">
        <v>2009</v>
      </c>
      <c r="J2480" s="10" t="s">
        <v>13961</v>
      </c>
      <c r="K2480" s="10">
        <v>193</v>
      </c>
      <c r="L2480" s="10" t="s">
        <v>17058</v>
      </c>
      <c r="M2480" s="10">
        <v>1</v>
      </c>
      <c r="N2480" s="10"/>
      <c r="O2480" s="10"/>
      <c r="P2480" s="10" t="s">
        <v>17059</v>
      </c>
      <c r="Q2480" s="10" t="s">
        <v>11975</v>
      </c>
      <c r="R2480" s="10" t="s">
        <v>17060</v>
      </c>
      <c r="S2480" s="10" t="s">
        <v>53</v>
      </c>
      <c r="T2480" s="10" t="s">
        <v>54</v>
      </c>
    </row>
    <row r="2481" spans="1:20" ht="14.5" x14ac:dyDescent="0.35">
      <c r="A2481" s="10" t="s">
        <v>17061</v>
      </c>
      <c r="B2481" s="10" t="str">
        <f>"9781441141347"</f>
        <v>9781441141347</v>
      </c>
      <c r="C2481" s="10" t="str">
        <f>"9781441190802"</f>
        <v>9781441190802</v>
      </c>
      <c r="D2481" s="10" t="s">
        <v>13959</v>
      </c>
      <c r="E2481" s="10" t="s">
        <v>13960</v>
      </c>
      <c r="F2481" s="10" t="s">
        <v>139</v>
      </c>
      <c r="G2481" s="10" t="s">
        <v>6352</v>
      </c>
      <c r="H2481" s="11">
        <v>40409</v>
      </c>
      <c r="I2481" s="10">
        <v>2010</v>
      </c>
      <c r="J2481" s="10" t="s">
        <v>13961</v>
      </c>
      <c r="K2481" s="10">
        <v>185</v>
      </c>
      <c r="L2481" s="10" t="s">
        <v>17062</v>
      </c>
      <c r="M2481" s="10">
        <v>1</v>
      </c>
      <c r="N2481" s="10"/>
      <c r="O2481" s="10"/>
      <c r="P2481" s="10" t="s">
        <v>17063</v>
      </c>
      <c r="Q2481" s="10">
        <v>428.00709999999998</v>
      </c>
      <c r="R2481" s="10" t="s">
        <v>17064</v>
      </c>
      <c r="S2481" s="10" t="s">
        <v>53</v>
      </c>
      <c r="T2481" s="10" t="s">
        <v>6634</v>
      </c>
    </row>
    <row r="2482" spans="1:20" ht="14.5" x14ac:dyDescent="0.35">
      <c r="A2482" s="10" t="s">
        <v>17065</v>
      </c>
      <c r="B2482" s="10" t="str">
        <f>"9781855396586"</f>
        <v>9781855396586</v>
      </c>
      <c r="C2482" s="10" t="str">
        <f>"9781441174277"</f>
        <v>9781441174277</v>
      </c>
      <c r="D2482" s="10" t="s">
        <v>13959</v>
      </c>
      <c r="E2482" s="10" t="s">
        <v>13960</v>
      </c>
      <c r="F2482" s="10" t="s">
        <v>139</v>
      </c>
      <c r="G2482" s="10" t="s">
        <v>6352</v>
      </c>
      <c r="H2482" s="11">
        <v>40023</v>
      </c>
      <c r="I2482" s="10">
        <v>2009</v>
      </c>
      <c r="J2482" s="10" t="s">
        <v>13961</v>
      </c>
      <c r="K2482" s="10">
        <v>153</v>
      </c>
      <c r="L2482" s="10" t="s">
        <v>17066</v>
      </c>
      <c r="M2482" s="10">
        <v>1</v>
      </c>
      <c r="N2482" s="10"/>
      <c r="O2482" s="10"/>
      <c r="P2482" s="10" t="s">
        <v>17067</v>
      </c>
      <c r="Q2482" s="10">
        <v>371.2</v>
      </c>
      <c r="R2482" s="10" t="s">
        <v>10462</v>
      </c>
      <c r="S2482" s="10" t="s">
        <v>53</v>
      </c>
      <c r="T2482" s="10" t="s">
        <v>54</v>
      </c>
    </row>
    <row r="2483" spans="1:20" ht="14.5" x14ac:dyDescent="0.35">
      <c r="A2483" s="10" t="s">
        <v>17068</v>
      </c>
      <c r="B2483" s="10" t="str">
        <f>"9781892005182"</f>
        <v>9781892005182</v>
      </c>
      <c r="C2483" s="10" t="str">
        <f>"9781892005359"</f>
        <v>9781892005359</v>
      </c>
      <c r="D2483" s="10" t="s">
        <v>9215</v>
      </c>
      <c r="E2483" s="10" t="s">
        <v>16724</v>
      </c>
      <c r="F2483" s="10" t="s">
        <v>16725</v>
      </c>
      <c r="G2483" s="10" t="s">
        <v>6317</v>
      </c>
      <c r="H2483" s="11">
        <v>39692</v>
      </c>
      <c r="I2483" s="10">
        <v>2008</v>
      </c>
      <c r="J2483" s="10" t="s">
        <v>16724</v>
      </c>
      <c r="K2483" s="10">
        <v>258</v>
      </c>
      <c r="L2483" s="10" t="s">
        <v>16726</v>
      </c>
      <c r="M2483" s="10">
        <v>1</v>
      </c>
      <c r="N2483" s="10"/>
      <c r="O2483" s="10"/>
      <c r="P2483" s="10" t="s">
        <v>17069</v>
      </c>
      <c r="Q2483" s="10" t="s">
        <v>17070</v>
      </c>
      <c r="R2483" s="10" t="s">
        <v>17071</v>
      </c>
      <c r="S2483" s="10" t="s">
        <v>53</v>
      </c>
      <c r="T2483" s="10" t="s">
        <v>54</v>
      </c>
    </row>
    <row r="2484" spans="1:20" ht="14.5" x14ac:dyDescent="0.35">
      <c r="A2484" s="10" t="s">
        <v>17072</v>
      </c>
      <c r="B2484" s="10" t="str">
        <f>"9780387781761"</f>
        <v>9780387781761</v>
      </c>
      <c r="C2484" s="10" t="str">
        <f>"9780387781778"</f>
        <v>9780387781778</v>
      </c>
      <c r="D2484" s="10" t="s">
        <v>11249</v>
      </c>
      <c r="E2484" s="10" t="s">
        <v>13067</v>
      </c>
      <c r="F2484" s="10" t="s">
        <v>13068</v>
      </c>
      <c r="G2484" s="10" t="s">
        <v>6317</v>
      </c>
      <c r="H2484" s="11">
        <v>39675</v>
      </c>
      <c r="I2484" s="10">
        <v>2008</v>
      </c>
      <c r="J2484" s="10" t="s">
        <v>13067</v>
      </c>
      <c r="K2484" s="10">
        <v>248</v>
      </c>
      <c r="L2484" s="10" t="s">
        <v>17073</v>
      </c>
      <c r="M2484" s="10">
        <v>1</v>
      </c>
      <c r="N2484" s="10"/>
      <c r="O2484" s="10"/>
      <c r="P2484" s="10" t="s">
        <v>17074</v>
      </c>
      <c r="Q2484" s="10">
        <v>535.35202500000003</v>
      </c>
      <c r="R2484" s="10" t="s">
        <v>17075</v>
      </c>
      <c r="S2484" s="10" t="s">
        <v>53</v>
      </c>
      <c r="T2484" s="10" t="s">
        <v>17076</v>
      </c>
    </row>
    <row r="2485" spans="1:20" ht="14.5" x14ac:dyDescent="0.35">
      <c r="A2485" s="10" t="s">
        <v>17077</v>
      </c>
      <c r="B2485" s="10" t="str">
        <f>"9789048139286"</f>
        <v>9789048139286</v>
      </c>
      <c r="C2485" s="10" t="str">
        <f>"9789048139293"</f>
        <v>9789048139293</v>
      </c>
      <c r="D2485" s="10" t="s">
        <v>11249</v>
      </c>
      <c r="E2485" s="10" t="s">
        <v>12215</v>
      </c>
      <c r="F2485" s="10" t="s">
        <v>206</v>
      </c>
      <c r="G2485" s="10" t="s">
        <v>9233</v>
      </c>
      <c r="H2485" s="11">
        <v>40408</v>
      </c>
      <c r="I2485" s="10">
        <v>2010</v>
      </c>
      <c r="J2485" s="10" t="s">
        <v>13067</v>
      </c>
      <c r="K2485" s="10">
        <v>502</v>
      </c>
      <c r="L2485" s="10" t="s">
        <v>17078</v>
      </c>
      <c r="M2485" s="10">
        <v>1</v>
      </c>
      <c r="N2485" s="10" t="s">
        <v>17079</v>
      </c>
      <c r="O2485" s="10">
        <v>3</v>
      </c>
      <c r="P2485" s="10" t="s">
        <v>12218</v>
      </c>
      <c r="Q2485" s="10">
        <v>370.11500000000001</v>
      </c>
      <c r="R2485" s="10" t="s">
        <v>17080</v>
      </c>
      <c r="S2485" s="10" t="s">
        <v>53</v>
      </c>
      <c r="T2485" s="10" t="s">
        <v>9291</v>
      </c>
    </row>
    <row r="2486" spans="1:20" ht="14.5" x14ac:dyDescent="0.35">
      <c r="A2486" s="10" t="s">
        <v>17081</v>
      </c>
      <c r="B2486" s="10" t="str">
        <f>"9781609180270"</f>
        <v>9781609180270</v>
      </c>
      <c r="C2486" s="10" t="str">
        <f>"9781609180287"</f>
        <v>9781609180287</v>
      </c>
      <c r="D2486" s="10" t="s">
        <v>11213</v>
      </c>
      <c r="E2486" s="10" t="s">
        <v>11214</v>
      </c>
      <c r="F2486" s="10" t="s">
        <v>70</v>
      </c>
      <c r="G2486" s="10" t="s">
        <v>6317</v>
      </c>
      <c r="H2486" s="11">
        <v>40506</v>
      </c>
      <c r="I2486" s="10">
        <v>2011</v>
      </c>
      <c r="J2486" s="10" t="s">
        <v>11215</v>
      </c>
      <c r="K2486" s="10">
        <v>494</v>
      </c>
      <c r="L2486" s="10" t="s">
        <v>17082</v>
      </c>
      <c r="M2486" s="10">
        <v>1</v>
      </c>
      <c r="N2486" s="10"/>
      <c r="O2486" s="10"/>
      <c r="P2486" s="10" t="s">
        <v>17083</v>
      </c>
      <c r="Q2486" s="10">
        <v>372.6</v>
      </c>
      <c r="R2486" s="10" t="s">
        <v>12896</v>
      </c>
      <c r="S2486" s="10" t="s">
        <v>53</v>
      </c>
      <c r="T2486" s="10" t="s">
        <v>54</v>
      </c>
    </row>
    <row r="2487" spans="1:20" ht="14.5" x14ac:dyDescent="0.35">
      <c r="A2487" s="10" t="s">
        <v>17084</v>
      </c>
      <c r="B2487" s="10" t="str">
        <f>"9789221215035"</f>
        <v>9789221215035</v>
      </c>
      <c r="C2487" s="10" t="str">
        <f>"9789221215042"</f>
        <v>9789221215042</v>
      </c>
      <c r="D2487" s="10" t="s">
        <v>17085</v>
      </c>
      <c r="E2487" s="10" t="s">
        <v>17086</v>
      </c>
      <c r="F2487" s="10" t="s">
        <v>88</v>
      </c>
      <c r="G2487" s="10" t="s">
        <v>16676</v>
      </c>
      <c r="H2487" s="11">
        <v>39448</v>
      </c>
      <c r="I2487" s="10">
        <v>2008</v>
      </c>
      <c r="J2487" s="10" t="s">
        <v>17087</v>
      </c>
      <c r="K2487" s="10">
        <v>258</v>
      </c>
      <c r="L2487" s="10" t="s">
        <v>17088</v>
      </c>
      <c r="M2487" s="10">
        <v>1</v>
      </c>
      <c r="N2487" s="10"/>
      <c r="O2487" s="10"/>
      <c r="P2487" s="10" t="s">
        <v>17089</v>
      </c>
      <c r="Q2487" s="10">
        <v>331.3</v>
      </c>
      <c r="R2487" s="10" t="s">
        <v>17090</v>
      </c>
      <c r="S2487" s="10" t="s">
        <v>53</v>
      </c>
      <c r="T2487" s="10" t="s">
        <v>7545</v>
      </c>
    </row>
    <row r="2488" spans="1:20" ht="14.5" x14ac:dyDescent="0.35">
      <c r="A2488" s="10" t="s">
        <v>17091</v>
      </c>
      <c r="B2488" s="10" t="str">
        <f>"9781841503783"</f>
        <v>9781841503783</v>
      </c>
      <c r="C2488" s="10" t="str">
        <f>"9781841504407"</f>
        <v>9781841504407</v>
      </c>
      <c r="D2488" s="10" t="s">
        <v>9533</v>
      </c>
      <c r="E2488" s="10" t="s">
        <v>10235</v>
      </c>
      <c r="F2488" s="10" t="s">
        <v>10236</v>
      </c>
      <c r="G2488" s="10" t="s">
        <v>6317</v>
      </c>
      <c r="H2488" s="11">
        <v>40436</v>
      </c>
      <c r="I2488" s="10">
        <v>2010</v>
      </c>
      <c r="J2488" s="10" t="s">
        <v>10235</v>
      </c>
      <c r="K2488" s="10">
        <v>208</v>
      </c>
      <c r="L2488" s="10" t="s">
        <v>10241</v>
      </c>
      <c r="M2488" s="10">
        <v>2</v>
      </c>
      <c r="N2488" s="10"/>
      <c r="O2488" s="10"/>
      <c r="P2488" s="10" t="s">
        <v>17092</v>
      </c>
      <c r="Q2488" s="10">
        <v>707</v>
      </c>
      <c r="R2488" s="10" t="s">
        <v>17093</v>
      </c>
      <c r="S2488" s="10" t="s">
        <v>53</v>
      </c>
      <c r="T2488" s="10" t="s">
        <v>6384</v>
      </c>
    </row>
    <row r="2489" spans="1:20" ht="14.5" x14ac:dyDescent="0.35">
      <c r="A2489" s="10" t="s">
        <v>17094</v>
      </c>
      <c r="B2489" s="10" t="str">
        <f>"9780807834206"</f>
        <v>9780807834206</v>
      </c>
      <c r="C2489" s="10" t="str">
        <f>"9780807899342"</f>
        <v>9780807899342</v>
      </c>
      <c r="D2489" s="10" t="s">
        <v>13324</v>
      </c>
      <c r="E2489" s="10" t="s">
        <v>13335</v>
      </c>
      <c r="F2489" s="10" t="s">
        <v>2388</v>
      </c>
      <c r="G2489" s="10" t="s">
        <v>6317</v>
      </c>
      <c r="H2489" s="11">
        <v>40448</v>
      </c>
      <c r="I2489" s="10">
        <v>2010</v>
      </c>
      <c r="J2489" s="10" t="s">
        <v>13335</v>
      </c>
      <c r="K2489" s="10">
        <v>337</v>
      </c>
      <c r="L2489" s="10" t="s">
        <v>17095</v>
      </c>
      <c r="M2489" s="10">
        <v>1</v>
      </c>
      <c r="N2489" s="10"/>
      <c r="O2489" s="10"/>
      <c r="P2489" s="10" t="s">
        <v>17096</v>
      </c>
      <c r="Q2489" s="10" t="s">
        <v>17097</v>
      </c>
      <c r="R2489" s="10" t="s">
        <v>17098</v>
      </c>
      <c r="S2489" s="10" t="s">
        <v>53</v>
      </c>
      <c r="T2489" s="10" t="s">
        <v>54</v>
      </c>
    </row>
    <row r="2490" spans="1:20" ht="14.5" x14ac:dyDescent="0.35">
      <c r="A2490" s="10" t="s">
        <v>17099</v>
      </c>
      <c r="B2490" s="10" t="str">
        <f>"9780807834190"</f>
        <v>9780807834190</v>
      </c>
      <c r="C2490" s="10" t="str">
        <f>"9780807899533"</f>
        <v>9780807899533</v>
      </c>
      <c r="D2490" s="10" t="s">
        <v>13324</v>
      </c>
      <c r="E2490" s="10" t="s">
        <v>13335</v>
      </c>
      <c r="F2490" s="10" t="s">
        <v>2388</v>
      </c>
      <c r="G2490" s="10" t="s">
        <v>6317</v>
      </c>
      <c r="H2490" s="11">
        <v>40457</v>
      </c>
      <c r="I2490" s="10">
        <v>2010</v>
      </c>
      <c r="J2490" s="10" t="s">
        <v>13335</v>
      </c>
      <c r="K2490" s="10">
        <v>265</v>
      </c>
      <c r="L2490" s="10" t="s">
        <v>17100</v>
      </c>
      <c r="M2490" s="10">
        <v>1</v>
      </c>
      <c r="N2490" s="10"/>
      <c r="O2490" s="10"/>
      <c r="P2490" s="10" t="s">
        <v>17101</v>
      </c>
      <c r="Q2490" s="10" t="s">
        <v>9527</v>
      </c>
      <c r="R2490" s="10" t="s">
        <v>17102</v>
      </c>
      <c r="S2490" s="10" t="s">
        <v>53</v>
      </c>
      <c r="T2490" s="10" t="s">
        <v>6526</v>
      </c>
    </row>
    <row r="2491" spans="1:20" ht="14.5" x14ac:dyDescent="0.35">
      <c r="A2491" s="10" t="s">
        <v>17103</v>
      </c>
      <c r="B2491" s="10" t="str">
        <f>"9780807871379"</f>
        <v>9780807871379</v>
      </c>
      <c r="C2491" s="10" t="str">
        <f>"9780807899441"</f>
        <v>9780807899441</v>
      </c>
      <c r="D2491" s="10" t="s">
        <v>13324</v>
      </c>
      <c r="E2491" s="10" t="s">
        <v>13335</v>
      </c>
      <c r="F2491" s="10" t="s">
        <v>2388</v>
      </c>
      <c r="G2491" s="10" t="s">
        <v>6317</v>
      </c>
      <c r="H2491" s="11">
        <v>40434</v>
      </c>
      <c r="I2491" s="10">
        <v>2010</v>
      </c>
      <c r="J2491" s="10" t="s">
        <v>13335</v>
      </c>
      <c r="K2491" s="10">
        <v>246</v>
      </c>
      <c r="L2491" s="10" t="s">
        <v>17104</v>
      </c>
      <c r="M2491" s="10">
        <v>1</v>
      </c>
      <c r="N2491" s="10"/>
      <c r="O2491" s="10"/>
      <c r="P2491" s="10" t="s">
        <v>17105</v>
      </c>
      <c r="Q2491" s="10" t="s">
        <v>17106</v>
      </c>
      <c r="R2491" s="10" t="s">
        <v>17107</v>
      </c>
      <c r="S2491" s="10" t="s">
        <v>53</v>
      </c>
      <c r="T2491" s="10" t="s">
        <v>54</v>
      </c>
    </row>
    <row r="2492" spans="1:20" ht="14.5" x14ac:dyDescent="0.35">
      <c r="A2492" s="10" t="s">
        <v>17108</v>
      </c>
      <c r="B2492" s="10" t="str">
        <f>"9780230615175"</f>
        <v>9780230615175</v>
      </c>
      <c r="C2492" s="10" t="str">
        <f>"9780230105539"</f>
        <v>9780230105539</v>
      </c>
      <c r="D2492" s="10" t="s">
        <v>11249</v>
      </c>
      <c r="E2492" s="10" t="s">
        <v>2400</v>
      </c>
      <c r="F2492" s="10" t="s">
        <v>70</v>
      </c>
      <c r="G2492" s="10" t="s">
        <v>6317</v>
      </c>
      <c r="H2492" s="11">
        <v>40221</v>
      </c>
      <c r="I2492" s="10">
        <v>2010</v>
      </c>
      <c r="J2492" s="10" t="s">
        <v>2400</v>
      </c>
      <c r="K2492" s="10">
        <v>247</v>
      </c>
      <c r="L2492" s="10" t="s">
        <v>17109</v>
      </c>
      <c r="M2492" s="10">
        <v>1</v>
      </c>
      <c r="N2492" s="10"/>
      <c r="O2492" s="10"/>
      <c r="P2492" s="10" t="s">
        <v>17110</v>
      </c>
      <c r="Q2492" s="10">
        <v>796.08996073000003</v>
      </c>
      <c r="R2492" s="10" t="s">
        <v>6765</v>
      </c>
      <c r="S2492" s="10" t="s">
        <v>53</v>
      </c>
      <c r="T2492" s="10" t="s">
        <v>6752</v>
      </c>
    </row>
    <row r="2493" spans="1:20" ht="14.5" x14ac:dyDescent="0.35">
      <c r="A2493" s="10" t="s">
        <v>17111</v>
      </c>
      <c r="B2493" s="10" t="str">
        <f>"9780230621015"</f>
        <v>9780230621015</v>
      </c>
      <c r="C2493" s="10" t="str">
        <f>"9780230111813"</f>
        <v>9780230111813</v>
      </c>
      <c r="D2493" s="10" t="s">
        <v>11249</v>
      </c>
      <c r="E2493" s="10" t="s">
        <v>2400</v>
      </c>
      <c r="F2493" s="10" t="s">
        <v>70</v>
      </c>
      <c r="G2493" s="10" t="s">
        <v>6317</v>
      </c>
      <c r="H2493" s="11">
        <v>40469</v>
      </c>
      <c r="I2493" s="10">
        <v>2010</v>
      </c>
      <c r="J2493" s="10" t="s">
        <v>2400</v>
      </c>
      <c r="K2493" s="10">
        <v>267</v>
      </c>
      <c r="L2493" s="10" t="s">
        <v>17112</v>
      </c>
      <c r="M2493" s="10">
        <v>1</v>
      </c>
      <c r="N2493" s="10"/>
      <c r="O2493" s="10"/>
      <c r="P2493" s="10" t="s">
        <v>11283</v>
      </c>
      <c r="Q2493" s="10"/>
      <c r="R2493" s="10" t="s">
        <v>17113</v>
      </c>
      <c r="S2493" s="10" t="s">
        <v>53</v>
      </c>
      <c r="T2493" s="10" t="s">
        <v>17114</v>
      </c>
    </row>
    <row r="2494" spans="1:20" ht="14.5" x14ac:dyDescent="0.35">
      <c r="A2494" s="10" t="s">
        <v>17115</v>
      </c>
      <c r="B2494" s="10" t="str">
        <f>"9780415492027"</f>
        <v>9780415492027</v>
      </c>
      <c r="C2494" s="10" t="str">
        <f>"9780203841723"</f>
        <v>9780203841723</v>
      </c>
      <c r="D2494" s="10" t="s">
        <v>6350</v>
      </c>
      <c r="E2494" s="10" t="s">
        <v>6351</v>
      </c>
      <c r="F2494" s="10" t="s">
        <v>748</v>
      </c>
      <c r="G2494" s="10" t="s">
        <v>6352</v>
      </c>
      <c r="H2494" s="11">
        <v>40513</v>
      </c>
      <c r="I2494" s="10">
        <v>2011</v>
      </c>
      <c r="J2494" s="10" t="s">
        <v>6351</v>
      </c>
      <c r="K2494" s="10">
        <v>120</v>
      </c>
      <c r="L2494" s="10" t="s">
        <v>17116</v>
      </c>
      <c r="M2494" s="10">
        <v>3</v>
      </c>
      <c r="N2494" s="10" t="s">
        <v>17117</v>
      </c>
      <c r="O2494" s="10"/>
      <c r="P2494" s="10" t="s">
        <v>17118</v>
      </c>
      <c r="Q2494" s="10" t="s">
        <v>17119</v>
      </c>
      <c r="R2494" s="10" t="s">
        <v>17120</v>
      </c>
      <c r="S2494" s="10" t="s">
        <v>53</v>
      </c>
      <c r="T2494" s="10" t="s">
        <v>8681</v>
      </c>
    </row>
    <row r="2495" spans="1:20" ht="14.5" x14ac:dyDescent="0.35">
      <c r="A2495" s="10" t="s">
        <v>17121</v>
      </c>
      <c r="B2495" s="10" t="str">
        <f>"9780415873345"</f>
        <v>9780415873345</v>
      </c>
      <c r="C2495" s="10" t="str">
        <f>"9780203834947"</f>
        <v>9780203834947</v>
      </c>
      <c r="D2495" s="10" t="s">
        <v>6350</v>
      </c>
      <c r="E2495" s="10" t="s">
        <v>6351</v>
      </c>
      <c r="F2495" s="10" t="s">
        <v>748</v>
      </c>
      <c r="G2495" s="10" t="s">
        <v>6352</v>
      </c>
      <c r="H2495" s="11">
        <v>40472</v>
      </c>
      <c r="I2495" s="10">
        <v>2011</v>
      </c>
      <c r="J2495" s="10" t="s">
        <v>6351</v>
      </c>
      <c r="K2495" s="10">
        <v>248</v>
      </c>
      <c r="L2495" s="10" t="s">
        <v>17122</v>
      </c>
      <c r="M2495" s="10">
        <v>1</v>
      </c>
      <c r="N2495" s="10" t="s">
        <v>12831</v>
      </c>
      <c r="O2495" s="10"/>
      <c r="P2495" s="10" t="s">
        <v>17123</v>
      </c>
      <c r="Q2495" s="10">
        <v>371.01097299999998</v>
      </c>
      <c r="R2495" s="10" t="s">
        <v>17124</v>
      </c>
      <c r="S2495" s="10" t="s">
        <v>53</v>
      </c>
      <c r="T2495" s="10" t="s">
        <v>54</v>
      </c>
    </row>
    <row r="2496" spans="1:20" ht="14.5" x14ac:dyDescent="0.35">
      <c r="A2496" s="10" t="s">
        <v>17125</v>
      </c>
      <c r="B2496" s="10" t="str">
        <f>"9780415596091"</f>
        <v>9780415596091</v>
      </c>
      <c r="C2496" s="10" t="str">
        <f>"9780203837467"</f>
        <v>9780203837467</v>
      </c>
      <c r="D2496" s="10" t="s">
        <v>6350</v>
      </c>
      <c r="E2496" s="10" t="s">
        <v>6351</v>
      </c>
      <c r="F2496" s="10" t="s">
        <v>139</v>
      </c>
      <c r="G2496" s="10" t="s">
        <v>6352</v>
      </c>
      <c r="H2496" s="11">
        <v>40568</v>
      </c>
      <c r="I2496" s="10">
        <v>2011</v>
      </c>
      <c r="J2496" s="10" t="s">
        <v>6353</v>
      </c>
      <c r="K2496" s="10">
        <v>394</v>
      </c>
      <c r="L2496" s="10" t="s">
        <v>17126</v>
      </c>
      <c r="M2496" s="10">
        <v>1</v>
      </c>
      <c r="N2496" s="10" t="s">
        <v>17127</v>
      </c>
      <c r="O2496" s="10"/>
      <c r="P2496" s="10" t="s">
        <v>17128</v>
      </c>
      <c r="Q2496" s="10">
        <v>370.96690000000001</v>
      </c>
      <c r="R2496" s="10" t="s">
        <v>17129</v>
      </c>
      <c r="S2496" s="10" t="s">
        <v>53</v>
      </c>
      <c r="T2496" s="10" t="s">
        <v>54</v>
      </c>
    </row>
    <row r="2497" spans="1:20" ht="14.5" x14ac:dyDescent="0.35">
      <c r="A2497" s="10" t="s">
        <v>17130</v>
      </c>
      <c r="B2497" s="10" t="str">
        <f>"9780415594943"</f>
        <v>9780415594943</v>
      </c>
      <c r="C2497" s="10" t="str">
        <f>"9780203837498"</f>
        <v>9780203837498</v>
      </c>
      <c r="D2497" s="10" t="s">
        <v>6350</v>
      </c>
      <c r="E2497" s="10" t="s">
        <v>6351</v>
      </c>
      <c r="F2497" s="10" t="s">
        <v>139</v>
      </c>
      <c r="G2497" s="10" t="s">
        <v>6352</v>
      </c>
      <c r="H2497" s="11">
        <v>40563</v>
      </c>
      <c r="I2497" s="10">
        <v>2011</v>
      </c>
      <c r="J2497" s="10" t="s">
        <v>6353</v>
      </c>
      <c r="K2497" s="10">
        <v>287</v>
      </c>
      <c r="L2497" s="10" t="s">
        <v>17131</v>
      </c>
      <c r="M2497" s="10">
        <v>1</v>
      </c>
      <c r="N2497" s="10" t="s">
        <v>17127</v>
      </c>
      <c r="O2497" s="10"/>
      <c r="P2497" s="10" t="s">
        <v>17132</v>
      </c>
      <c r="Q2497" s="10" t="s">
        <v>17133</v>
      </c>
      <c r="R2497" s="10" t="s">
        <v>17134</v>
      </c>
      <c r="S2497" s="10" t="s">
        <v>53</v>
      </c>
      <c r="T2497" s="10" t="s">
        <v>8760</v>
      </c>
    </row>
    <row r="2498" spans="1:20" ht="14.5" x14ac:dyDescent="0.35">
      <c r="A2498" s="10" t="s">
        <v>17135</v>
      </c>
      <c r="B2498" s="10" t="str">
        <f>"9780415594936"</f>
        <v>9780415594936</v>
      </c>
      <c r="C2498" s="10" t="str">
        <f>"9780203837481"</f>
        <v>9780203837481</v>
      </c>
      <c r="D2498" s="10" t="s">
        <v>6350</v>
      </c>
      <c r="E2498" s="10" t="s">
        <v>6351</v>
      </c>
      <c r="F2498" s="10" t="s">
        <v>139</v>
      </c>
      <c r="G2498" s="10" t="s">
        <v>6352</v>
      </c>
      <c r="H2498" s="11">
        <v>40562</v>
      </c>
      <c r="I2498" s="10">
        <v>2011</v>
      </c>
      <c r="J2498" s="10" t="s">
        <v>6353</v>
      </c>
      <c r="K2498" s="10">
        <v>131</v>
      </c>
      <c r="L2498" s="10" t="s">
        <v>17136</v>
      </c>
      <c r="M2498" s="10">
        <v>1</v>
      </c>
      <c r="N2498" s="10" t="s">
        <v>17127</v>
      </c>
      <c r="O2498" s="10"/>
      <c r="P2498" s="10" t="s">
        <v>17137</v>
      </c>
      <c r="Q2498" s="10" t="s">
        <v>17138</v>
      </c>
      <c r="R2498" s="10" t="s">
        <v>17139</v>
      </c>
      <c r="S2498" s="10" t="s">
        <v>53</v>
      </c>
      <c r="T2498" s="10" t="s">
        <v>54</v>
      </c>
    </row>
    <row r="2499" spans="1:20" ht="14.5" x14ac:dyDescent="0.35">
      <c r="A2499" s="10" t="s">
        <v>17140</v>
      </c>
      <c r="B2499" s="10" t="str">
        <f>"9780415594615"</f>
        <v>9780415594615</v>
      </c>
      <c r="C2499" s="10" t="str">
        <f>"9780203837504"</f>
        <v>9780203837504</v>
      </c>
      <c r="D2499" s="10" t="s">
        <v>6350</v>
      </c>
      <c r="E2499" s="10" t="s">
        <v>6351</v>
      </c>
      <c r="F2499" s="10" t="s">
        <v>139</v>
      </c>
      <c r="G2499" s="10" t="s">
        <v>6352</v>
      </c>
      <c r="H2499" s="11">
        <v>40508</v>
      </c>
      <c r="I2499" s="10">
        <v>2011</v>
      </c>
      <c r="J2499" s="10" t="s">
        <v>6353</v>
      </c>
      <c r="K2499" s="10">
        <v>195</v>
      </c>
      <c r="L2499" s="10" t="s">
        <v>17141</v>
      </c>
      <c r="M2499" s="10">
        <v>1</v>
      </c>
      <c r="N2499" s="10" t="s">
        <v>17127</v>
      </c>
      <c r="O2499" s="10"/>
      <c r="P2499" s="10" t="s">
        <v>17142</v>
      </c>
      <c r="Q2499" s="10" t="s">
        <v>17143</v>
      </c>
      <c r="R2499" s="10" t="s">
        <v>17144</v>
      </c>
      <c r="S2499" s="10" t="s">
        <v>53</v>
      </c>
      <c r="T2499" s="10" t="s">
        <v>54</v>
      </c>
    </row>
    <row r="2500" spans="1:20" ht="14.5" x14ac:dyDescent="0.35">
      <c r="A2500" s="10" t="s">
        <v>17145</v>
      </c>
      <c r="B2500" s="10" t="str">
        <f>"9780415594950"</f>
        <v>9780415594950</v>
      </c>
      <c r="C2500" s="10" t="str">
        <f>"9780203837511"</f>
        <v>9780203837511</v>
      </c>
      <c r="D2500" s="10" t="s">
        <v>6350</v>
      </c>
      <c r="E2500" s="10" t="s">
        <v>6351</v>
      </c>
      <c r="F2500" s="10" t="s">
        <v>139</v>
      </c>
      <c r="G2500" s="10" t="s">
        <v>6352</v>
      </c>
      <c r="H2500" s="11">
        <v>40563</v>
      </c>
      <c r="I2500" s="10">
        <v>2011</v>
      </c>
      <c r="J2500" s="10" t="s">
        <v>6353</v>
      </c>
      <c r="K2500" s="10">
        <v>195</v>
      </c>
      <c r="L2500" s="10" t="s">
        <v>17146</v>
      </c>
      <c r="M2500" s="10">
        <v>1</v>
      </c>
      <c r="N2500" s="10" t="s">
        <v>17127</v>
      </c>
      <c r="O2500" s="10"/>
      <c r="P2500" s="10" t="s">
        <v>17147</v>
      </c>
      <c r="Q2500" s="10">
        <v>379</v>
      </c>
      <c r="R2500" s="10" t="s">
        <v>17148</v>
      </c>
      <c r="S2500" s="10" t="s">
        <v>53</v>
      </c>
      <c r="T2500" s="10" t="s">
        <v>54</v>
      </c>
    </row>
    <row r="2501" spans="1:20" ht="14.5" x14ac:dyDescent="0.35">
      <c r="A2501" s="10" t="s">
        <v>17149</v>
      </c>
      <c r="B2501" s="10" t="str">
        <f>"9780521518543"</f>
        <v>9780521518543</v>
      </c>
      <c r="C2501" s="10" t="str">
        <f>"9780511858024"</f>
        <v>9780511858024</v>
      </c>
      <c r="D2501" s="10" t="s">
        <v>397</v>
      </c>
      <c r="E2501" s="10" t="s">
        <v>397</v>
      </c>
      <c r="F2501" s="10" t="s">
        <v>70</v>
      </c>
      <c r="G2501" s="10" t="s">
        <v>6317</v>
      </c>
      <c r="H2501" s="11">
        <v>40451</v>
      </c>
      <c r="I2501" s="10">
        <v>2010</v>
      </c>
      <c r="J2501" s="10" t="s">
        <v>397</v>
      </c>
      <c r="K2501" s="10">
        <v>319</v>
      </c>
      <c r="L2501" s="10" t="s">
        <v>17150</v>
      </c>
      <c r="M2501" s="10">
        <v>1</v>
      </c>
      <c r="N2501" s="10"/>
      <c r="O2501" s="10"/>
      <c r="P2501" s="10" t="s">
        <v>17151</v>
      </c>
      <c r="Q2501" s="10">
        <v>371.95</v>
      </c>
      <c r="R2501" s="10" t="s">
        <v>17152</v>
      </c>
      <c r="S2501" s="10" t="s">
        <v>53</v>
      </c>
      <c r="T2501" s="10" t="s">
        <v>54</v>
      </c>
    </row>
    <row r="2502" spans="1:20" ht="14.5" x14ac:dyDescent="0.35">
      <c r="A2502" s="10" t="s">
        <v>17153</v>
      </c>
      <c r="B2502" s="10" t="str">
        <f>"9781848556683"</f>
        <v>9781848556683</v>
      </c>
      <c r="C2502" s="10" t="str">
        <f>"9781848556690"</f>
        <v>9781848556690</v>
      </c>
      <c r="D2502" s="10" t="s">
        <v>8699</v>
      </c>
      <c r="E2502" s="10" t="s">
        <v>8699</v>
      </c>
      <c r="F2502" s="10" t="s">
        <v>559</v>
      </c>
      <c r="G2502" s="10" t="s">
        <v>6352</v>
      </c>
      <c r="H2502" s="11">
        <v>40203</v>
      </c>
      <c r="I2502" s="10">
        <v>2010</v>
      </c>
      <c r="J2502" s="10" t="s">
        <v>8699</v>
      </c>
      <c r="K2502" s="10">
        <v>251</v>
      </c>
      <c r="L2502" s="10" t="s">
        <v>15856</v>
      </c>
      <c r="M2502" s="10">
        <v>1</v>
      </c>
      <c r="N2502" s="10" t="s">
        <v>14550</v>
      </c>
      <c r="O2502" s="10">
        <v>19</v>
      </c>
      <c r="P2502" s="10" t="s">
        <v>17154</v>
      </c>
      <c r="Q2502" s="10">
        <v>371.90973000000002</v>
      </c>
      <c r="R2502" s="10" t="s">
        <v>15858</v>
      </c>
      <c r="S2502" s="10" t="s">
        <v>53</v>
      </c>
      <c r="T2502" s="10" t="s">
        <v>6526</v>
      </c>
    </row>
    <row r="2503" spans="1:20" ht="14.5" x14ac:dyDescent="0.35">
      <c r="A2503" s="10" t="s">
        <v>17155</v>
      </c>
      <c r="B2503" s="10" t="str">
        <f>"9781609180249"</f>
        <v>9781609180249</v>
      </c>
      <c r="C2503" s="10" t="str">
        <f>"9781609180256"</f>
        <v>9781609180256</v>
      </c>
      <c r="D2503" s="10" t="s">
        <v>11213</v>
      </c>
      <c r="E2503" s="10" t="s">
        <v>11214</v>
      </c>
      <c r="F2503" s="10" t="s">
        <v>70</v>
      </c>
      <c r="G2503" s="10" t="s">
        <v>6317</v>
      </c>
      <c r="H2503" s="11">
        <v>40510</v>
      </c>
      <c r="I2503" s="10">
        <v>2011</v>
      </c>
      <c r="J2503" s="10" t="s">
        <v>11214</v>
      </c>
      <c r="K2503" s="10">
        <v>257</v>
      </c>
      <c r="L2503" s="10" t="s">
        <v>17156</v>
      </c>
      <c r="M2503" s="10">
        <v>1</v>
      </c>
      <c r="N2503" s="10" t="s">
        <v>11221</v>
      </c>
      <c r="O2503" s="10"/>
      <c r="P2503" s="10" t="s">
        <v>17157</v>
      </c>
      <c r="Q2503" s="10" t="s">
        <v>17158</v>
      </c>
      <c r="R2503" s="10" t="s">
        <v>17159</v>
      </c>
      <c r="S2503" s="10" t="s">
        <v>53</v>
      </c>
      <c r="T2503" s="10" t="s">
        <v>6634</v>
      </c>
    </row>
    <row r="2504" spans="1:20" ht="14.5" x14ac:dyDescent="0.35">
      <c r="A2504" s="10" t="s">
        <v>17160</v>
      </c>
      <c r="B2504" s="10" t="str">
        <f>"9781566399593"</f>
        <v>9781566399593</v>
      </c>
      <c r="C2504" s="10" t="str">
        <f>"9781439905968"</f>
        <v>9781439905968</v>
      </c>
      <c r="D2504" s="10" t="s">
        <v>11120</v>
      </c>
      <c r="E2504" s="10" t="s">
        <v>11120</v>
      </c>
      <c r="F2504" s="10" t="s">
        <v>319</v>
      </c>
      <c r="G2504" s="10" t="s">
        <v>6317</v>
      </c>
      <c r="H2504" s="11">
        <v>37316</v>
      </c>
      <c r="I2504" s="10">
        <v>2002</v>
      </c>
      <c r="J2504" s="10" t="s">
        <v>11120</v>
      </c>
      <c r="K2504" s="10">
        <v>271</v>
      </c>
      <c r="L2504" s="10" t="s">
        <v>17161</v>
      </c>
      <c r="M2504" s="10">
        <v>1</v>
      </c>
      <c r="N2504" s="10"/>
      <c r="O2504" s="10"/>
      <c r="P2504" s="10" t="s">
        <v>17162</v>
      </c>
      <c r="Q2504" s="10" t="s">
        <v>17163</v>
      </c>
      <c r="R2504" s="10" t="s">
        <v>17164</v>
      </c>
      <c r="S2504" s="10" t="s">
        <v>53</v>
      </c>
      <c r="T2504" s="10" t="s">
        <v>17165</v>
      </c>
    </row>
    <row r="2505" spans="1:20" ht="14.5" x14ac:dyDescent="0.35">
      <c r="A2505" s="10" t="s">
        <v>17166</v>
      </c>
      <c r="B2505" s="10" t="str">
        <f>"9780761846277"</f>
        <v>9780761846277</v>
      </c>
      <c r="C2505" s="10" t="str">
        <f>"9780761846284"</f>
        <v>9780761846284</v>
      </c>
      <c r="D2505" s="10" t="s">
        <v>9752</v>
      </c>
      <c r="E2505" s="10" t="s">
        <v>17167</v>
      </c>
      <c r="F2505" s="10" t="s">
        <v>9754</v>
      </c>
      <c r="G2505" s="10" t="s">
        <v>6317</v>
      </c>
      <c r="H2505" s="11">
        <v>40367</v>
      </c>
      <c r="I2505" s="10">
        <v>2010</v>
      </c>
      <c r="J2505" s="10" t="s">
        <v>17167</v>
      </c>
      <c r="K2505" s="10">
        <v>65</v>
      </c>
      <c r="L2505" s="10" t="s">
        <v>17168</v>
      </c>
      <c r="M2505" s="10">
        <v>1</v>
      </c>
      <c r="N2505" s="10"/>
      <c r="O2505" s="10"/>
      <c r="P2505" s="10" t="s">
        <v>17169</v>
      </c>
      <c r="Q2505" s="10"/>
      <c r="R2505" s="10" t="s">
        <v>17170</v>
      </c>
      <c r="S2505" s="10" t="s">
        <v>53</v>
      </c>
      <c r="T2505" s="10" t="s">
        <v>8346</v>
      </c>
    </row>
    <row r="2506" spans="1:20" ht="14.5" x14ac:dyDescent="0.35">
      <c r="A2506" s="10" t="s">
        <v>17171</v>
      </c>
      <c r="B2506" s="10" t="str">
        <f>"9780761850854"</f>
        <v>9780761850854</v>
      </c>
      <c r="C2506" s="10" t="str">
        <f>"9780761850861"</f>
        <v>9780761850861</v>
      </c>
      <c r="D2506" s="10" t="s">
        <v>9752</v>
      </c>
      <c r="E2506" s="10" t="s">
        <v>17167</v>
      </c>
      <c r="F2506" s="10" t="s">
        <v>9754</v>
      </c>
      <c r="G2506" s="10" t="s">
        <v>6317</v>
      </c>
      <c r="H2506" s="11">
        <v>40404</v>
      </c>
      <c r="I2506" s="10">
        <v>2010</v>
      </c>
      <c r="J2506" s="10" t="s">
        <v>17167</v>
      </c>
      <c r="K2506" s="10">
        <v>149</v>
      </c>
      <c r="L2506" s="10" t="s">
        <v>17172</v>
      </c>
      <c r="M2506" s="10">
        <v>1</v>
      </c>
      <c r="N2506" s="10"/>
      <c r="O2506" s="10"/>
      <c r="P2506" s="10" t="s">
        <v>17173</v>
      </c>
      <c r="Q2506" s="10">
        <v>371.1</v>
      </c>
      <c r="R2506" s="10" t="s">
        <v>17174</v>
      </c>
      <c r="S2506" s="10" t="s">
        <v>53</v>
      </c>
      <c r="T2506" s="10" t="s">
        <v>54</v>
      </c>
    </row>
    <row r="2507" spans="1:20" ht="14.5" x14ac:dyDescent="0.35">
      <c r="A2507" s="10" t="s">
        <v>17175</v>
      </c>
      <c r="B2507" s="10" t="str">
        <f>"9780761851714"</f>
        <v>9780761851714</v>
      </c>
      <c r="C2507" s="10" t="str">
        <f>"9780761851721"</f>
        <v>9780761851721</v>
      </c>
      <c r="D2507" s="10" t="s">
        <v>9752</v>
      </c>
      <c r="E2507" s="10" t="s">
        <v>17176</v>
      </c>
      <c r="F2507" s="10" t="s">
        <v>9754</v>
      </c>
      <c r="G2507" s="10" t="s">
        <v>6317</v>
      </c>
      <c r="H2507" s="11">
        <v>40367</v>
      </c>
      <c r="I2507" s="10">
        <v>2010</v>
      </c>
      <c r="J2507" s="10" t="s">
        <v>17176</v>
      </c>
      <c r="K2507" s="10">
        <v>79</v>
      </c>
      <c r="L2507" s="10" t="s">
        <v>17177</v>
      </c>
      <c r="M2507" s="10">
        <v>1</v>
      </c>
      <c r="N2507" s="10"/>
      <c r="O2507" s="10"/>
      <c r="P2507" s="10" t="s">
        <v>17178</v>
      </c>
      <c r="Q2507" s="10"/>
      <c r="R2507" s="10" t="s">
        <v>17179</v>
      </c>
      <c r="S2507" s="10" t="s">
        <v>53</v>
      </c>
      <c r="T2507" s="10" t="s">
        <v>54</v>
      </c>
    </row>
    <row r="2508" spans="1:20" ht="14.5" x14ac:dyDescent="0.35">
      <c r="A2508" s="10" t="s">
        <v>17180</v>
      </c>
      <c r="B2508" s="10" t="str">
        <f>"9780810877030"</f>
        <v>9780810877030</v>
      </c>
      <c r="C2508" s="10" t="str">
        <f>"9780810877047"</f>
        <v>9780810877047</v>
      </c>
      <c r="D2508" s="10" t="s">
        <v>9752</v>
      </c>
      <c r="E2508" s="10" t="s">
        <v>17181</v>
      </c>
      <c r="F2508" s="10" t="s">
        <v>9754</v>
      </c>
      <c r="G2508" s="10" t="s">
        <v>6317</v>
      </c>
      <c r="H2508" s="11">
        <v>40378</v>
      </c>
      <c r="I2508" s="10">
        <v>2010</v>
      </c>
      <c r="J2508" s="10" t="s">
        <v>17181</v>
      </c>
      <c r="K2508" s="10">
        <v>171</v>
      </c>
      <c r="L2508" s="10" t="s">
        <v>17182</v>
      </c>
      <c r="M2508" s="10">
        <v>1</v>
      </c>
      <c r="N2508" s="10"/>
      <c r="O2508" s="10"/>
      <c r="P2508" s="10" t="s">
        <v>17183</v>
      </c>
      <c r="Q2508" s="10">
        <v>20.710999999999999</v>
      </c>
      <c r="R2508" s="10" t="s">
        <v>17184</v>
      </c>
      <c r="S2508" s="10" t="s">
        <v>53</v>
      </c>
      <c r="T2508" s="10" t="s">
        <v>10302</v>
      </c>
    </row>
    <row r="2509" spans="1:20" ht="14.5" x14ac:dyDescent="0.35">
      <c r="A2509" s="10" t="s">
        <v>17185</v>
      </c>
      <c r="B2509" s="10" t="str">
        <f>"9780742510357"</f>
        <v>9780742510357</v>
      </c>
      <c r="C2509" s="10" t="str">
        <f>"9781442203839"</f>
        <v>9781442203839</v>
      </c>
      <c r="D2509" s="10" t="s">
        <v>9752</v>
      </c>
      <c r="E2509" s="10" t="s">
        <v>15187</v>
      </c>
      <c r="F2509" s="10" t="s">
        <v>9754</v>
      </c>
      <c r="G2509" s="10" t="s">
        <v>6317</v>
      </c>
      <c r="H2509" s="11">
        <v>40345</v>
      </c>
      <c r="I2509" s="10">
        <v>2010</v>
      </c>
      <c r="J2509" s="10" t="s">
        <v>15187</v>
      </c>
      <c r="K2509" s="10">
        <v>291</v>
      </c>
      <c r="L2509" s="10" t="s">
        <v>17186</v>
      </c>
      <c r="M2509" s="10">
        <v>1</v>
      </c>
      <c r="N2509" s="10" t="s">
        <v>17187</v>
      </c>
      <c r="O2509" s="10"/>
      <c r="P2509" s="10" t="s">
        <v>17188</v>
      </c>
      <c r="Q2509" s="10" t="s">
        <v>17189</v>
      </c>
      <c r="R2509" s="10" t="s">
        <v>17190</v>
      </c>
      <c r="S2509" s="10" t="s">
        <v>53</v>
      </c>
      <c r="T2509" s="10" t="s">
        <v>54</v>
      </c>
    </row>
    <row r="2510" spans="1:20" ht="14.5" x14ac:dyDescent="0.35">
      <c r="A2510" s="10" t="s">
        <v>17191</v>
      </c>
      <c r="B2510" s="10" t="str">
        <f>"9781607092209"</f>
        <v>9781607092209</v>
      </c>
      <c r="C2510" s="10" t="str">
        <f>"9781607092223"</f>
        <v>9781607092223</v>
      </c>
      <c r="D2510" s="10" t="s">
        <v>9752</v>
      </c>
      <c r="E2510" s="10" t="s">
        <v>15192</v>
      </c>
      <c r="F2510" s="10" t="s">
        <v>9754</v>
      </c>
      <c r="G2510" s="10" t="s">
        <v>6317</v>
      </c>
      <c r="H2510" s="11">
        <v>40163</v>
      </c>
      <c r="I2510" s="10">
        <v>2009</v>
      </c>
      <c r="J2510" s="10" t="s">
        <v>15192</v>
      </c>
      <c r="K2510" s="10">
        <v>213</v>
      </c>
      <c r="L2510" s="10" t="s">
        <v>17192</v>
      </c>
      <c r="M2510" s="10">
        <v>1</v>
      </c>
      <c r="N2510" s="10"/>
      <c r="O2510" s="10"/>
      <c r="P2510" s="10" t="s">
        <v>17193</v>
      </c>
      <c r="Q2510" s="10" t="s">
        <v>6920</v>
      </c>
      <c r="R2510" s="10" t="s">
        <v>17194</v>
      </c>
      <c r="S2510" s="10" t="s">
        <v>53</v>
      </c>
      <c r="T2510" s="10" t="s">
        <v>54</v>
      </c>
    </row>
    <row r="2511" spans="1:20" ht="14.5" x14ac:dyDescent="0.35">
      <c r="A2511" s="10" t="s">
        <v>17195</v>
      </c>
      <c r="B2511" s="10" t="str">
        <f>"9781607093596"</f>
        <v>9781607093596</v>
      </c>
      <c r="C2511" s="10" t="str">
        <f>"9781607093602"</f>
        <v>9781607093602</v>
      </c>
      <c r="D2511" s="10" t="s">
        <v>9752</v>
      </c>
      <c r="E2511" s="10" t="s">
        <v>15192</v>
      </c>
      <c r="F2511" s="10" t="s">
        <v>9754</v>
      </c>
      <c r="G2511" s="10" t="s">
        <v>6317</v>
      </c>
      <c r="H2511" s="11">
        <v>40314</v>
      </c>
      <c r="I2511" s="10">
        <v>2010</v>
      </c>
      <c r="J2511" s="10" t="s">
        <v>15192</v>
      </c>
      <c r="K2511" s="10">
        <v>237</v>
      </c>
      <c r="L2511" s="10" t="s">
        <v>17196</v>
      </c>
      <c r="M2511" s="10">
        <v>1</v>
      </c>
      <c r="N2511" s="10" t="s">
        <v>15939</v>
      </c>
      <c r="O2511" s="10"/>
      <c r="P2511" s="10" t="s">
        <v>17197</v>
      </c>
      <c r="Q2511" s="10">
        <v>371</v>
      </c>
      <c r="R2511" s="10" t="s">
        <v>17198</v>
      </c>
      <c r="S2511" s="10" t="s">
        <v>53</v>
      </c>
      <c r="T2511" s="10" t="s">
        <v>54</v>
      </c>
    </row>
    <row r="2512" spans="1:20" ht="14.5" x14ac:dyDescent="0.35">
      <c r="A2512" s="10" t="s">
        <v>17199</v>
      </c>
      <c r="B2512" s="10" t="str">
        <f>"9781607094296"</f>
        <v>9781607094296</v>
      </c>
      <c r="C2512" s="10" t="str">
        <f>"9781607094302"</f>
        <v>9781607094302</v>
      </c>
      <c r="D2512" s="10" t="s">
        <v>9752</v>
      </c>
      <c r="E2512" s="10" t="s">
        <v>15192</v>
      </c>
      <c r="F2512" s="10" t="s">
        <v>9754</v>
      </c>
      <c r="G2512" s="10" t="s">
        <v>6317</v>
      </c>
      <c r="H2512" s="11">
        <v>40406</v>
      </c>
      <c r="I2512" s="10">
        <v>2010</v>
      </c>
      <c r="J2512" s="10" t="s">
        <v>15192</v>
      </c>
      <c r="K2512" s="10">
        <v>155</v>
      </c>
      <c r="L2512" s="10" t="s">
        <v>17200</v>
      </c>
      <c r="M2512" s="10">
        <v>1</v>
      </c>
      <c r="N2512" s="10"/>
      <c r="O2512" s="10"/>
      <c r="P2512" s="10" t="s">
        <v>17201</v>
      </c>
      <c r="Q2512" s="10" t="s">
        <v>17202</v>
      </c>
      <c r="R2512" s="10" t="s">
        <v>17203</v>
      </c>
      <c r="S2512" s="10" t="s">
        <v>53</v>
      </c>
      <c r="T2512" s="10" t="s">
        <v>54</v>
      </c>
    </row>
    <row r="2513" spans="1:20" ht="14.5" x14ac:dyDescent="0.35">
      <c r="A2513" s="10" t="s">
        <v>17204</v>
      </c>
      <c r="B2513" s="10" t="str">
        <f>"9781607094494"</f>
        <v>9781607094494</v>
      </c>
      <c r="C2513" s="10" t="str">
        <f>"9781607094517"</f>
        <v>9781607094517</v>
      </c>
      <c r="D2513" s="10" t="s">
        <v>9752</v>
      </c>
      <c r="E2513" s="10" t="s">
        <v>15192</v>
      </c>
      <c r="F2513" s="10" t="s">
        <v>9754</v>
      </c>
      <c r="G2513" s="10" t="s">
        <v>6317</v>
      </c>
      <c r="H2513" s="11">
        <v>40406</v>
      </c>
      <c r="I2513" s="10">
        <v>2010</v>
      </c>
      <c r="J2513" s="10" t="s">
        <v>15192</v>
      </c>
      <c r="K2513" s="10">
        <v>163</v>
      </c>
      <c r="L2513" s="10" t="s">
        <v>17205</v>
      </c>
      <c r="M2513" s="10">
        <v>1</v>
      </c>
      <c r="N2513" s="10"/>
      <c r="O2513" s="10"/>
      <c r="P2513" s="10" t="s">
        <v>17206</v>
      </c>
      <c r="Q2513" s="10">
        <v>378.2</v>
      </c>
      <c r="R2513" s="10" t="s">
        <v>17207</v>
      </c>
      <c r="S2513" s="10" t="s">
        <v>53</v>
      </c>
      <c r="T2513" s="10" t="s">
        <v>54</v>
      </c>
    </row>
    <row r="2514" spans="1:20" ht="14.5" x14ac:dyDescent="0.35">
      <c r="A2514" s="10" t="s">
        <v>17208</v>
      </c>
      <c r="B2514" s="10" t="str">
        <f>"9781607095019"</f>
        <v>9781607095019</v>
      </c>
      <c r="C2514" s="10" t="str">
        <f>"9781607095026"</f>
        <v>9781607095026</v>
      </c>
      <c r="D2514" s="10" t="s">
        <v>9752</v>
      </c>
      <c r="E2514" s="10" t="s">
        <v>15192</v>
      </c>
      <c r="F2514" s="10" t="s">
        <v>9754</v>
      </c>
      <c r="G2514" s="10" t="s">
        <v>6317</v>
      </c>
      <c r="H2514" s="11">
        <v>40284</v>
      </c>
      <c r="I2514" s="10">
        <v>2010</v>
      </c>
      <c r="J2514" s="10" t="s">
        <v>15192</v>
      </c>
      <c r="K2514" s="10">
        <v>457</v>
      </c>
      <c r="L2514" s="10" t="s">
        <v>17209</v>
      </c>
      <c r="M2514" s="10">
        <v>2</v>
      </c>
      <c r="N2514" s="10"/>
      <c r="O2514" s="10"/>
      <c r="P2514" s="10" t="s">
        <v>17210</v>
      </c>
      <c r="Q2514" s="10">
        <v>370.9</v>
      </c>
      <c r="R2514" s="10" t="s">
        <v>17211</v>
      </c>
      <c r="S2514" s="10" t="s">
        <v>53</v>
      </c>
      <c r="T2514" s="10" t="s">
        <v>54</v>
      </c>
    </row>
    <row r="2515" spans="1:20" ht="14.5" x14ac:dyDescent="0.35">
      <c r="A2515" s="10" t="s">
        <v>17212</v>
      </c>
      <c r="B2515" s="10" t="str">
        <f>"9781607095248"</f>
        <v>9781607095248</v>
      </c>
      <c r="C2515" s="10" t="str">
        <f>"9781607095262"</f>
        <v>9781607095262</v>
      </c>
      <c r="D2515" s="10" t="s">
        <v>9752</v>
      </c>
      <c r="E2515" s="10" t="s">
        <v>15192</v>
      </c>
      <c r="F2515" s="10" t="s">
        <v>9754</v>
      </c>
      <c r="G2515" s="10" t="s">
        <v>6317</v>
      </c>
      <c r="H2515" s="11">
        <v>40375</v>
      </c>
      <c r="I2515" s="10">
        <v>2010</v>
      </c>
      <c r="J2515" s="10" t="s">
        <v>15192</v>
      </c>
      <c r="K2515" s="10">
        <v>171</v>
      </c>
      <c r="L2515" s="10" t="s">
        <v>17213</v>
      </c>
      <c r="M2515" s="10">
        <v>1</v>
      </c>
      <c r="N2515" s="10"/>
      <c r="O2515" s="10"/>
      <c r="P2515" s="10" t="s">
        <v>17214</v>
      </c>
      <c r="Q2515" s="10" t="s">
        <v>8223</v>
      </c>
      <c r="R2515" s="10" t="s">
        <v>17215</v>
      </c>
      <c r="S2515" s="10" t="s">
        <v>53</v>
      </c>
      <c r="T2515" s="10" t="s">
        <v>54</v>
      </c>
    </row>
    <row r="2516" spans="1:20" ht="14.5" x14ac:dyDescent="0.35">
      <c r="A2516" s="10" t="s">
        <v>17216</v>
      </c>
      <c r="B2516" s="10" t="str">
        <f>"9781607095590"</f>
        <v>9781607095590</v>
      </c>
      <c r="C2516" s="10" t="str">
        <f>"9781607095613"</f>
        <v>9781607095613</v>
      </c>
      <c r="D2516" s="10" t="s">
        <v>9752</v>
      </c>
      <c r="E2516" s="10" t="s">
        <v>15192</v>
      </c>
      <c r="F2516" s="10" t="s">
        <v>9754</v>
      </c>
      <c r="G2516" s="10" t="s">
        <v>6317</v>
      </c>
      <c r="H2516" s="11">
        <v>40345</v>
      </c>
      <c r="I2516" s="10">
        <v>2010</v>
      </c>
      <c r="J2516" s="10" t="s">
        <v>15192</v>
      </c>
      <c r="K2516" s="10">
        <v>137</v>
      </c>
      <c r="L2516" s="10" t="s">
        <v>17217</v>
      </c>
      <c r="M2516" s="10">
        <v>1</v>
      </c>
      <c r="N2516" s="10"/>
      <c r="O2516" s="10"/>
      <c r="P2516" s="10" t="s">
        <v>17218</v>
      </c>
      <c r="Q2516" s="10" t="s">
        <v>8460</v>
      </c>
      <c r="R2516" s="10" t="s">
        <v>17219</v>
      </c>
      <c r="S2516" s="10" t="s">
        <v>53</v>
      </c>
      <c r="T2516" s="10" t="s">
        <v>54</v>
      </c>
    </row>
    <row r="2517" spans="1:20" ht="14.5" x14ac:dyDescent="0.35">
      <c r="A2517" s="10" t="s">
        <v>17220</v>
      </c>
      <c r="B2517" s="10" t="str">
        <f>"9781607096078"</f>
        <v>9781607096078</v>
      </c>
      <c r="C2517" s="10" t="str">
        <f>"9781607096085"</f>
        <v>9781607096085</v>
      </c>
      <c r="D2517" s="10" t="s">
        <v>9752</v>
      </c>
      <c r="E2517" s="10" t="s">
        <v>15192</v>
      </c>
      <c r="F2517" s="10" t="s">
        <v>9754</v>
      </c>
      <c r="G2517" s="10" t="s">
        <v>6317</v>
      </c>
      <c r="H2517" s="11">
        <v>40253</v>
      </c>
      <c r="I2517" s="10">
        <v>2010</v>
      </c>
      <c r="J2517" s="10" t="s">
        <v>15192</v>
      </c>
      <c r="K2517" s="10">
        <v>179</v>
      </c>
      <c r="L2517" s="10" t="s">
        <v>17221</v>
      </c>
      <c r="M2517" s="10">
        <v>1</v>
      </c>
      <c r="N2517" s="10"/>
      <c r="O2517" s="10"/>
      <c r="P2517" s="10" t="s">
        <v>17222</v>
      </c>
      <c r="Q2517" s="10" t="s">
        <v>8460</v>
      </c>
      <c r="R2517" s="10" t="s">
        <v>17223</v>
      </c>
      <c r="S2517" s="10" t="s">
        <v>53</v>
      </c>
      <c r="T2517" s="10" t="s">
        <v>54</v>
      </c>
    </row>
    <row r="2518" spans="1:20" ht="14.5" x14ac:dyDescent="0.35">
      <c r="A2518" s="10" t="s">
        <v>17224</v>
      </c>
      <c r="B2518" s="10" t="str">
        <f>"9781607097471"</f>
        <v>9781607097471</v>
      </c>
      <c r="C2518" s="10" t="str">
        <f>"9781607097495"</f>
        <v>9781607097495</v>
      </c>
      <c r="D2518" s="10" t="s">
        <v>9752</v>
      </c>
      <c r="E2518" s="10" t="s">
        <v>15192</v>
      </c>
      <c r="F2518" s="10" t="s">
        <v>9754</v>
      </c>
      <c r="G2518" s="10" t="s">
        <v>6317</v>
      </c>
      <c r="H2518" s="11">
        <v>40406</v>
      </c>
      <c r="I2518" s="10">
        <v>2010</v>
      </c>
      <c r="J2518" s="10" t="s">
        <v>15192</v>
      </c>
      <c r="K2518" s="10">
        <v>149</v>
      </c>
      <c r="L2518" s="10" t="s">
        <v>17225</v>
      </c>
      <c r="M2518" s="10">
        <v>1</v>
      </c>
      <c r="N2518" s="10"/>
      <c r="O2518" s="10"/>
      <c r="P2518" s="10" t="s">
        <v>17226</v>
      </c>
      <c r="Q2518" s="10" t="s">
        <v>14582</v>
      </c>
      <c r="R2518" s="10" t="s">
        <v>17227</v>
      </c>
      <c r="S2518" s="10" t="s">
        <v>53</v>
      </c>
      <c r="T2518" s="10" t="s">
        <v>54</v>
      </c>
    </row>
    <row r="2519" spans="1:20" ht="14.5" x14ac:dyDescent="0.35">
      <c r="A2519" s="10" t="s">
        <v>17228</v>
      </c>
      <c r="B2519" s="10" t="str">
        <f>"9781607097518"</f>
        <v>9781607097518</v>
      </c>
      <c r="C2519" s="10" t="str">
        <f>"9781607097525"</f>
        <v>9781607097525</v>
      </c>
      <c r="D2519" s="10" t="s">
        <v>9752</v>
      </c>
      <c r="E2519" s="10" t="s">
        <v>15192</v>
      </c>
      <c r="F2519" s="10" t="s">
        <v>9754</v>
      </c>
      <c r="G2519" s="10" t="s">
        <v>6317</v>
      </c>
      <c r="H2519" s="11">
        <v>40375</v>
      </c>
      <c r="I2519" s="10">
        <v>2010</v>
      </c>
      <c r="J2519" s="10" t="s">
        <v>15192</v>
      </c>
      <c r="K2519" s="10">
        <v>135</v>
      </c>
      <c r="L2519" s="10" t="s">
        <v>17229</v>
      </c>
      <c r="M2519" s="10">
        <v>1</v>
      </c>
      <c r="N2519" s="10"/>
      <c r="O2519" s="10"/>
      <c r="P2519" s="10" t="s">
        <v>17230</v>
      </c>
      <c r="Q2519" s="10" t="s">
        <v>11190</v>
      </c>
      <c r="R2519" s="10" t="s">
        <v>17231</v>
      </c>
      <c r="S2519" s="10" t="s">
        <v>53</v>
      </c>
      <c r="T2519" s="10" t="s">
        <v>6363</v>
      </c>
    </row>
    <row r="2520" spans="1:20" ht="14.5" x14ac:dyDescent="0.35">
      <c r="A2520" s="10" t="s">
        <v>17232</v>
      </c>
      <c r="B2520" s="10" t="str">
        <f>"9780761850342"</f>
        <v>9780761850342</v>
      </c>
      <c r="C2520" s="10" t="str">
        <f>"9780761850359"</f>
        <v>9780761850359</v>
      </c>
      <c r="D2520" s="10" t="s">
        <v>9752</v>
      </c>
      <c r="E2520" s="10" t="s">
        <v>17167</v>
      </c>
      <c r="F2520" s="10" t="s">
        <v>9754</v>
      </c>
      <c r="G2520" s="10" t="s">
        <v>6317</v>
      </c>
      <c r="H2520" s="11">
        <v>40367</v>
      </c>
      <c r="I2520" s="10">
        <v>2010</v>
      </c>
      <c r="J2520" s="10" t="s">
        <v>17167</v>
      </c>
      <c r="K2520" s="10">
        <v>83</v>
      </c>
      <c r="L2520" s="10" t="s">
        <v>17233</v>
      </c>
      <c r="M2520" s="10">
        <v>1</v>
      </c>
      <c r="N2520" s="10"/>
      <c r="O2520" s="10"/>
      <c r="P2520" s="10" t="s">
        <v>17234</v>
      </c>
      <c r="Q2520" s="10">
        <v>371.10199999999998</v>
      </c>
      <c r="R2520" s="10" t="s">
        <v>17235</v>
      </c>
      <c r="S2520" s="10" t="s">
        <v>53</v>
      </c>
      <c r="T2520" s="10" t="s">
        <v>54</v>
      </c>
    </row>
    <row r="2521" spans="1:20" ht="14.5" x14ac:dyDescent="0.35">
      <c r="A2521" s="10" t="s">
        <v>17236</v>
      </c>
      <c r="B2521" s="10" t="str">
        <f>"9781607098744"</f>
        <v>9781607098744</v>
      </c>
      <c r="C2521" s="10" t="str">
        <f>"9781607098751"</f>
        <v>9781607098751</v>
      </c>
      <c r="D2521" s="10" t="s">
        <v>9752</v>
      </c>
      <c r="E2521" s="10" t="s">
        <v>15192</v>
      </c>
      <c r="F2521" s="10" t="s">
        <v>9754</v>
      </c>
      <c r="G2521" s="10" t="s">
        <v>6317</v>
      </c>
      <c r="H2521" s="11">
        <v>40437</v>
      </c>
      <c r="I2521" s="10">
        <v>2010</v>
      </c>
      <c r="J2521" s="10" t="s">
        <v>15192</v>
      </c>
      <c r="K2521" s="10">
        <v>135</v>
      </c>
      <c r="L2521" s="10" t="s">
        <v>17237</v>
      </c>
      <c r="M2521" s="10">
        <v>1</v>
      </c>
      <c r="N2521" s="10"/>
      <c r="O2521" s="10"/>
      <c r="P2521" s="10" t="s">
        <v>17238</v>
      </c>
      <c r="Q2521" s="10" t="s">
        <v>17239</v>
      </c>
      <c r="R2521" s="10" t="s">
        <v>17240</v>
      </c>
      <c r="S2521" s="10" t="s">
        <v>53</v>
      </c>
      <c r="T2521" s="10" t="s">
        <v>54</v>
      </c>
    </row>
    <row r="2522" spans="1:20" ht="14.5" x14ac:dyDescent="0.35">
      <c r="A2522" s="10" t="s">
        <v>17241</v>
      </c>
      <c r="B2522" s="10" t="str">
        <f>"9781607092711"</f>
        <v>9781607092711</v>
      </c>
      <c r="C2522" s="10" t="str">
        <f>"9781607092735"</f>
        <v>9781607092735</v>
      </c>
      <c r="D2522" s="10" t="s">
        <v>9752</v>
      </c>
      <c r="E2522" s="10" t="s">
        <v>15192</v>
      </c>
      <c r="F2522" s="10" t="s">
        <v>9754</v>
      </c>
      <c r="G2522" s="10" t="s">
        <v>6317</v>
      </c>
      <c r="H2522" s="11">
        <v>40072</v>
      </c>
      <c r="I2522" s="10">
        <v>2009</v>
      </c>
      <c r="J2522" s="10" t="s">
        <v>15192</v>
      </c>
      <c r="K2522" s="10">
        <v>352</v>
      </c>
      <c r="L2522" s="10" t="s">
        <v>17242</v>
      </c>
      <c r="M2522" s="10">
        <v>1</v>
      </c>
      <c r="N2522" s="10"/>
      <c r="O2522" s="10"/>
      <c r="P2522" s="10" t="s">
        <v>17243</v>
      </c>
      <c r="Q2522" s="10">
        <v>306.43</v>
      </c>
      <c r="R2522" s="10" t="s">
        <v>17244</v>
      </c>
      <c r="S2522" s="10" t="s">
        <v>53</v>
      </c>
      <c r="T2522" s="10" t="s">
        <v>6472</v>
      </c>
    </row>
    <row r="2523" spans="1:20" ht="14.5" x14ac:dyDescent="0.35">
      <c r="A2523" s="10" t="s">
        <v>17245</v>
      </c>
      <c r="B2523" s="10" t="str">
        <f>"9781607092810"</f>
        <v>9781607092810</v>
      </c>
      <c r="C2523" s="10" t="str">
        <f>"9781607092827"</f>
        <v>9781607092827</v>
      </c>
      <c r="D2523" s="10" t="s">
        <v>9752</v>
      </c>
      <c r="E2523" s="10" t="s">
        <v>15192</v>
      </c>
      <c r="F2523" s="10" t="s">
        <v>9754</v>
      </c>
      <c r="G2523" s="10" t="s">
        <v>6317</v>
      </c>
      <c r="H2523" s="11">
        <v>40072</v>
      </c>
      <c r="I2523" s="10">
        <v>2009</v>
      </c>
      <c r="J2523" s="10" t="s">
        <v>15192</v>
      </c>
      <c r="K2523" s="10">
        <v>260</v>
      </c>
      <c r="L2523" s="10" t="s">
        <v>17246</v>
      </c>
      <c r="M2523" s="10">
        <v>1</v>
      </c>
      <c r="N2523" s="10"/>
      <c r="O2523" s="10"/>
      <c r="P2523" s="10" t="s">
        <v>17247</v>
      </c>
      <c r="Q2523" s="10">
        <v>371.94</v>
      </c>
      <c r="R2523" s="10" t="s">
        <v>17248</v>
      </c>
      <c r="S2523" s="10" t="s">
        <v>53</v>
      </c>
      <c r="T2523" s="10" t="s">
        <v>54</v>
      </c>
    </row>
    <row r="2524" spans="1:20" ht="14.5" x14ac:dyDescent="0.35">
      <c r="A2524" s="10" t="s">
        <v>17249</v>
      </c>
      <c r="B2524" s="10" t="str">
        <f>"9780313393792"</f>
        <v>9780313393792</v>
      </c>
      <c r="C2524" s="10" t="str">
        <f>"9780313393808"</f>
        <v>9780313393808</v>
      </c>
      <c r="D2524" s="10" t="s">
        <v>9777</v>
      </c>
      <c r="E2524" s="10" t="s">
        <v>9792</v>
      </c>
      <c r="F2524" s="10" t="s">
        <v>70</v>
      </c>
      <c r="G2524" s="10" t="s">
        <v>6317</v>
      </c>
      <c r="H2524" s="11">
        <v>40472</v>
      </c>
      <c r="I2524" s="10">
        <v>2010</v>
      </c>
      <c r="J2524" s="10" t="s">
        <v>9793</v>
      </c>
      <c r="K2524" s="10">
        <v>256</v>
      </c>
      <c r="L2524" s="10" t="s">
        <v>17250</v>
      </c>
      <c r="M2524" s="10">
        <v>1</v>
      </c>
      <c r="N2524" s="10"/>
      <c r="O2524" s="10"/>
      <c r="P2524" s="10" t="s">
        <v>17251</v>
      </c>
      <c r="Q2524" s="10">
        <v>331.2813711</v>
      </c>
      <c r="R2524" s="10" t="s">
        <v>17252</v>
      </c>
      <c r="S2524" s="10" t="s">
        <v>53</v>
      </c>
      <c r="T2524" s="10" t="s">
        <v>8723</v>
      </c>
    </row>
    <row r="2525" spans="1:20" ht="14.5" x14ac:dyDescent="0.35">
      <c r="A2525" s="10" t="s">
        <v>17253</v>
      </c>
      <c r="B2525" s="10" t="str">
        <f>"9781441136985"</f>
        <v>9781441136985</v>
      </c>
      <c r="C2525" s="10" t="str">
        <f>"9781441172020"</f>
        <v>9781441172020</v>
      </c>
      <c r="D2525" s="10" t="s">
        <v>13959</v>
      </c>
      <c r="E2525" s="10" t="s">
        <v>13960</v>
      </c>
      <c r="F2525" s="10" t="s">
        <v>139</v>
      </c>
      <c r="G2525" s="10" t="s">
        <v>6352</v>
      </c>
      <c r="H2525" s="11">
        <v>41116</v>
      </c>
      <c r="I2525" s="10">
        <v>2010</v>
      </c>
      <c r="J2525" s="10" t="s">
        <v>13961</v>
      </c>
      <c r="K2525" s="10">
        <v>333</v>
      </c>
      <c r="L2525" s="10" t="s">
        <v>17254</v>
      </c>
      <c r="M2525" s="10">
        <v>1</v>
      </c>
      <c r="N2525" s="10"/>
      <c r="O2525" s="10"/>
      <c r="P2525" s="10" t="s">
        <v>17255</v>
      </c>
      <c r="Q2525" s="10" t="s">
        <v>8011</v>
      </c>
      <c r="R2525" s="10" t="s">
        <v>17256</v>
      </c>
      <c r="S2525" s="10" t="s">
        <v>53</v>
      </c>
      <c r="T2525" s="10" t="s">
        <v>6472</v>
      </c>
    </row>
    <row r="2526" spans="1:20" ht="14.5" x14ac:dyDescent="0.35">
      <c r="A2526" s="10" t="s">
        <v>17257</v>
      </c>
      <c r="B2526" s="10" t="str">
        <f>"9781441101457"</f>
        <v>9781441101457</v>
      </c>
      <c r="C2526" s="10" t="str">
        <f>"9781441128621"</f>
        <v>9781441128621</v>
      </c>
      <c r="D2526" s="10" t="s">
        <v>13959</v>
      </c>
      <c r="E2526" s="10" t="s">
        <v>13960</v>
      </c>
      <c r="F2526" s="10" t="s">
        <v>139</v>
      </c>
      <c r="G2526" s="10" t="s">
        <v>6352</v>
      </c>
      <c r="H2526" s="11">
        <v>40563</v>
      </c>
      <c r="I2526" s="10">
        <v>2010</v>
      </c>
      <c r="J2526" s="10" t="s">
        <v>13961</v>
      </c>
      <c r="K2526" s="10">
        <v>447</v>
      </c>
      <c r="L2526" s="10" t="s">
        <v>17258</v>
      </c>
      <c r="M2526" s="10">
        <v>1</v>
      </c>
      <c r="N2526" s="10" t="s">
        <v>14044</v>
      </c>
      <c r="O2526" s="10"/>
      <c r="P2526" s="10" t="s">
        <v>17259</v>
      </c>
      <c r="Q2526" s="10">
        <v>418.00779999999997</v>
      </c>
      <c r="R2526" s="10" t="s">
        <v>17260</v>
      </c>
      <c r="S2526" s="10" t="s">
        <v>53</v>
      </c>
      <c r="T2526" s="10" t="s">
        <v>6616</v>
      </c>
    </row>
    <row r="2527" spans="1:20" ht="14.5" x14ac:dyDescent="0.35">
      <c r="A2527" s="10" t="s">
        <v>17261</v>
      </c>
      <c r="B2527" s="10" t="str">
        <f>"9781441100702"</f>
        <v>9781441100702</v>
      </c>
      <c r="C2527" s="10" t="str">
        <f>"9780826426833"</f>
        <v>9780826426833</v>
      </c>
      <c r="D2527" s="10" t="s">
        <v>13959</v>
      </c>
      <c r="E2527" s="10" t="s">
        <v>13960</v>
      </c>
      <c r="F2527" s="10" t="s">
        <v>139</v>
      </c>
      <c r="G2527" s="10" t="s">
        <v>6352</v>
      </c>
      <c r="H2527" s="11">
        <v>41193</v>
      </c>
      <c r="I2527" s="10">
        <v>2010</v>
      </c>
      <c r="J2527" s="10" t="s">
        <v>13961</v>
      </c>
      <c r="K2527" s="10">
        <v>177</v>
      </c>
      <c r="L2527" s="10" t="s">
        <v>17262</v>
      </c>
      <c r="M2527" s="10">
        <v>1</v>
      </c>
      <c r="N2527" s="10"/>
      <c r="O2527" s="10"/>
      <c r="P2527" s="10" t="s">
        <v>17263</v>
      </c>
      <c r="Q2527" s="10">
        <v>370.1</v>
      </c>
      <c r="R2527" s="10" t="s">
        <v>17264</v>
      </c>
      <c r="S2527" s="10" t="s">
        <v>53</v>
      </c>
      <c r="T2527" s="10" t="s">
        <v>54</v>
      </c>
    </row>
    <row r="2528" spans="1:20" ht="14.5" x14ac:dyDescent="0.35">
      <c r="A2528" s="10" t="s">
        <v>17265</v>
      </c>
      <c r="B2528" s="10" t="str">
        <f>"9781441164919"</f>
        <v>9781441164919</v>
      </c>
      <c r="C2528" s="10" t="str">
        <f>"9781441186102"</f>
        <v>9781441186102</v>
      </c>
      <c r="D2528" s="10" t="s">
        <v>13959</v>
      </c>
      <c r="E2528" s="10" t="s">
        <v>13960</v>
      </c>
      <c r="F2528" s="10" t="s">
        <v>139</v>
      </c>
      <c r="G2528" s="10" t="s">
        <v>6352</v>
      </c>
      <c r="H2528" s="11">
        <v>41172</v>
      </c>
      <c r="I2528" s="10">
        <v>2010</v>
      </c>
      <c r="J2528" s="10" t="s">
        <v>13961</v>
      </c>
      <c r="K2528" s="10">
        <v>167</v>
      </c>
      <c r="L2528" s="10" t="s">
        <v>17266</v>
      </c>
      <c r="M2528" s="10">
        <v>1</v>
      </c>
      <c r="N2528" s="10"/>
      <c r="O2528" s="10"/>
      <c r="P2528" s="10" t="s">
        <v>17267</v>
      </c>
      <c r="Q2528" s="10" t="s">
        <v>17268</v>
      </c>
      <c r="R2528" s="10" t="s">
        <v>17269</v>
      </c>
      <c r="S2528" s="10" t="s">
        <v>53</v>
      </c>
      <c r="T2528" s="10" t="s">
        <v>54</v>
      </c>
    </row>
    <row r="2529" spans="1:20" ht="14.5" x14ac:dyDescent="0.35">
      <c r="A2529" s="10" t="s">
        <v>17270</v>
      </c>
      <c r="B2529" s="10" t="str">
        <f>"9781441104496"</f>
        <v>9781441104496</v>
      </c>
      <c r="C2529" s="10" t="str">
        <f>"9781441186676"</f>
        <v>9781441186676</v>
      </c>
      <c r="D2529" s="10" t="s">
        <v>13959</v>
      </c>
      <c r="E2529" s="10" t="s">
        <v>13960</v>
      </c>
      <c r="F2529" s="10" t="s">
        <v>139</v>
      </c>
      <c r="G2529" s="10" t="s">
        <v>6352</v>
      </c>
      <c r="H2529" s="11">
        <v>40563</v>
      </c>
      <c r="I2529" s="10">
        <v>2010</v>
      </c>
      <c r="J2529" s="10" t="s">
        <v>13961</v>
      </c>
      <c r="K2529" s="10">
        <v>191</v>
      </c>
      <c r="L2529" s="10" t="s">
        <v>17271</v>
      </c>
      <c r="M2529" s="10">
        <v>1</v>
      </c>
      <c r="N2529" s="10"/>
      <c r="O2529" s="10"/>
      <c r="P2529" s="10" t="s">
        <v>17272</v>
      </c>
      <c r="Q2529" s="10">
        <v>378.15499999999997</v>
      </c>
      <c r="R2529" s="10" t="s">
        <v>17273</v>
      </c>
      <c r="S2529" s="10" t="s">
        <v>53</v>
      </c>
      <c r="T2529" s="10" t="s">
        <v>54</v>
      </c>
    </row>
    <row r="2530" spans="1:20" ht="14.5" x14ac:dyDescent="0.35">
      <c r="A2530" s="10" t="s">
        <v>17274</v>
      </c>
      <c r="B2530" s="10" t="str">
        <f>"9780691086323"</f>
        <v>9780691086323</v>
      </c>
      <c r="C2530" s="10" t="str">
        <f>"9781400820788"</f>
        <v>9781400820788</v>
      </c>
      <c r="D2530" s="10" t="s">
        <v>14335</v>
      </c>
      <c r="E2530" s="10" t="s">
        <v>14336</v>
      </c>
      <c r="F2530" s="10" t="s">
        <v>2246</v>
      </c>
      <c r="G2530" s="10" t="s">
        <v>6317</v>
      </c>
      <c r="H2530" s="11">
        <v>33853</v>
      </c>
      <c r="I2530" s="10">
        <v>1993</v>
      </c>
      <c r="J2530" s="10" t="s">
        <v>14336</v>
      </c>
      <c r="K2530" s="10">
        <v>225</v>
      </c>
      <c r="L2530" s="10" t="s">
        <v>17275</v>
      </c>
      <c r="M2530" s="10">
        <v>1</v>
      </c>
      <c r="N2530" s="10"/>
      <c r="O2530" s="10"/>
      <c r="P2530" s="10" t="s">
        <v>17276</v>
      </c>
      <c r="Q2530" s="10" t="s">
        <v>17277</v>
      </c>
      <c r="R2530" s="10"/>
      <c r="S2530" s="10" t="s">
        <v>53</v>
      </c>
      <c r="T2530" s="10" t="s">
        <v>483</v>
      </c>
    </row>
    <row r="2531" spans="1:20" ht="14.5" x14ac:dyDescent="0.35">
      <c r="A2531" s="10" t="s">
        <v>17278</v>
      </c>
      <c r="B2531" s="10" t="str">
        <f>"9780691044729"</f>
        <v>9780691044729</v>
      </c>
      <c r="C2531" s="10" t="str">
        <f>"9781400821037"</f>
        <v>9781400821037</v>
      </c>
      <c r="D2531" s="10" t="s">
        <v>14335</v>
      </c>
      <c r="E2531" s="10" t="s">
        <v>14336</v>
      </c>
      <c r="F2531" s="10" t="s">
        <v>2246</v>
      </c>
      <c r="G2531" s="10" t="s">
        <v>6317</v>
      </c>
      <c r="H2531" s="11">
        <v>34403</v>
      </c>
      <c r="I2531" s="10">
        <v>1995</v>
      </c>
      <c r="J2531" s="10" t="s">
        <v>14336</v>
      </c>
      <c r="K2531" s="10">
        <v>292</v>
      </c>
      <c r="L2531" s="10" t="s">
        <v>17279</v>
      </c>
      <c r="M2531" s="10">
        <v>1</v>
      </c>
      <c r="N2531" s="10"/>
      <c r="O2531" s="10"/>
      <c r="P2531" s="10" t="s">
        <v>17280</v>
      </c>
      <c r="Q2531" s="10">
        <v>371.01</v>
      </c>
      <c r="R2531" s="10"/>
      <c r="S2531" s="10" t="s">
        <v>53</v>
      </c>
      <c r="T2531" s="10" t="s">
        <v>54</v>
      </c>
    </row>
    <row r="2532" spans="1:20" ht="14.5" x14ac:dyDescent="0.35">
      <c r="A2532" s="10" t="s">
        <v>17281</v>
      </c>
      <c r="B2532" s="10" t="str">
        <f>"9780691115719"</f>
        <v>9780691115719</v>
      </c>
      <c r="C2532" s="10" t="str">
        <f>"9781400824670"</f>
        <v>9781400824670</v>
      </c>
      <c r="D2532" s="10" t="s">
        <v>14335</v>
      </c>
      <c r="E2532" s="10" t="s">
        <v>14336</v>
      </c>
      <c r="F2532" s="10" t="s">
        <v>2246</v>
      </c>
      <c r="G2532" s="10" t="s">
        <v>6317</v>
      </c>
      <c r="H2532" s="11">
        <v>36870</v>
      </c>
      <c r="I2532" s="10">
        <v>2000</v>
      </c>
      <c r="J2532" s="10" t="s">
        <v>14336</v>
      </c>
      <c r="K2532" s="10">
        <v>198</v>
      </c>
      <c r="L2532" s="10" t="s">
        <v>17282</v>
      </c>
      <c r="M2532" s="10">
        <v>1</v>
      </c>
      <c r="N2532" s="10"/>
      <c r="O2532" s="10"/>
      <c r="P2532" s="10" t="s">
        <v>17283</v>
      </c>
      <c r="Q2532" s="10"/>
      <c r="R2532" s="10"/>
      <c r="S2532" s="10" t="s">
        <v>53</v>
      </c>
      <c r="T2532" s="10" t="s">
        <v>6601</v>
      </c>
    </row>
    <row r="2533" spans="1:20" ht="14.5" x14ac:dyDescent="0.35">
      <c r="A2533" s="10" t="s">
        <v>17284</v>
      </c>
      <c r="B2533" s="10" t="str">
        <f>"9780275984243"</f>
        <v>9780275984243</v>
      </c>
      <c r="C2533" s="10" t="str">
        <f>"9780313027703"</f>
        <v>9780313027703</v>
      </c>
      <c r="D2533" s="10" t="s">
        <v>9777</v>
      </c>
      <c r="E2533" s="10" t="s">
        <v>9792</v>
      </c>
      <c r="F2533" s="10" t="s">
        <v>70</v>
      </c>
      <c r="G2533" s="10" t="s">
        <v>6317</v>
      </c>
      <c r="H2533" s="11">
        <v>38290</v>
      </c>
      <c r="I2533" s="10">
        <v>2005</v>
      </c>
      <c r="J2533" s="10" t="s">
        <v>9793</v>
      </c>
      <c r="K2533" s="10">
        <v>230</v>
      </c>
      <c r="L2533" s="10" t="s">
        <v>17285</v>
      </c>
      <c r="M2533" s="10">
        <v>1</v>
      </c>
      <c r="N2533" s="10" t="s">
        <v>15831</v>
      </c>
      <c r="O2533" s="10"/>
      <c r="P2533" s="10" t="s">
        <v>17286</v>
      </c>
      <c r="Q2533" s="10">
        <v>372.4</v>
      </c>
      <c r="R2533" s="10" t="s">
        <v>17287</v>
      </c>
      <c r="S2533" s="10" t="s">
        <v>53</v>
      </c>
      <c r="T2533" s="10" t="s">
        <v>54</v>
      </c>
    </row>
    <row r="2534" spans="1:20" ht="14.5" x14ac:dyDescent="0.35">
      <c r="A2534" s="10" t="s">
        <v>17288</v>
      </c>
      <c r="B2534" s="10" t="str">
        <f>"9780313378980"</f>
        <v>9780313378980</v>
      </c>
      <c r="C2534" s="10" t="str">
        <f>"9780313378997"</f>
        <v>9780313378997</v>
      </c>
      <c r="D2534" s="10" t="s">
        <v>9777</v>
      </c>
      <c r="E2534" s="10" t="s">
        <v>9792</v>
      </c>
      <c r="F2534" s="10" t="s">
        <v>70</v>
      </c>
      <c r="G2534" s="10" t="s">
        <v>6317</v>
      </c>
      <c r="H2534" s="11">
        <v>40129</v>
      </c>
      <c r="I2534" s="10">
        <v>2010</v>
      </c>
      <c r="J2534" s="10" t="s">
        <v>9793</v>
      </c>
      <c r="K2534" s="10">
        <v>225</v>
      </c>
      <c r="L2534" s="10" t="s">
        <v>17289</v>
      </c>
      <c r="M2534" s="10">
        <v>1</v>
      </c>
      <c r="N2534" s="10"/>
      <c r="O2534" s="10"/>
      <c r="P2534" s="10" t="s">
        <v>17290</v>
      </c>
      <c r="Q2534" s="10">
        <v>378.73</v>
      </c>
      <c r="R2534" s="10" t="s">
        <v>17291</v>
      </c>
      <c r="S2534" s="10" t="s">
        <v>53</v>
      </c>
      <c r="T2534" s="10" t="s">
        <v>54</v>
      </c>
    </row>
    <row r="2535" spans="1:20" ht="14.5" x14ac:dyDescent="0.35">
      <c r="A2535" s="10" t="s">
        <v>17292</v>
      </c>
      <c r="B2535" s="10" t="str">
        <f>"9781897425084"</f>
        <v>9781897425084</v>
      </c>
      <c r="C2535" s="10" t="str">
        <f>"9781897425077"</f>
        <v>9781897425077</v>
      </c>
      <c r="D2535" s="10" t="s">
        <v>17293</v>
      </c>
      <c r="E2535" s="10" t="s">
        <v>17293</v>
      </c>
      <c r="F2535" s="10" t="s">
        <v>99</v>
      </c>
      <c r="G2535" s="10" t="s">
        <v>9536</v>
      </c>
      <c r="H2535" s="11">
        <v>39569</v>
      </c>
      <c r="I2535" s="10">
        <v>2008</v>
      </c>
      <c r="J2535" s="10" t="s">
        <v>17293</v>
      </c>
      <c r="K2535" s="10">
        <v>485</v>
      </c>
      <c r="L2535" s="10" t="s">
        <v>17294</v>
      </c>
      <c r="M2535" s="10">
        <v>2</v>
      </c>
      <c r="N2535" s="10" t="s">
        <v>17295</v>
      </c>
      <c r="O2535" s="10"/>
      <c r="P2535" s="10" t="s">
        <v>17296</v>
      </c>
      <c r="Q2535" s="10">
        <v>813</v>
      </c>
      <c r="R2535" s="10"/>
      <c r="S2535" s="10" t="s">
        <v>53</v>
      </c>
      <c r="T2535" s="10" t="s">
        <v>6568</v>
      </c>
    </row>
    <row r="2536" spans="1:20" ht="14.5" x14ac:dyDescent="0.35">
      <c r="A2536" s="10" t="s">
        <v>17297</v>
      </c>
      <c r="B2536" s="10" t="str">
        <f>"9789042031517"</f>
        <v>9789042031517</v>
      </c>
      <c r="C2536" s="10" t="str">
        <f>"9789042031524"</f>
        <v>9789042031524</v>
      </c>
      <c r="D2536" s="10" t="s">
        <v>8564</v>
      </c>
      <c r="E2536" s="10" t="s">
        <v>8565</v>
      </c>
      <c r="F2536" s="10" t="s">
        <v>1420</v>
      </c>
      <c r="G2536" s="10" t="s">
        <v>6317</v>
      </c>
      <c r="H2536" s="11">
        <v>40179</v>
      </c>
      <c r="I2536" s="10">
        <v>2010</v>
      </c>
      <c r="J2536" s="10" t="s">
        <v>16400</v>
      </c>
      <c r="K2536" s="10">
        <v>186</v>
      </c>
      <c r="L2536" s="10" t="s">
        <v>17298</v>
      </c>
      <c r="M2536" s="10">
        <v>1</v>
      </c>
      <c r="N2536" s="10" t="s">
        <v>17299</v>
      </c>
      <c r="O2536" s="10">
        <v>81</v>
      </c>
      <c r="P2536" s="10" t="s">
        <v>17300</v>
      </c>
      <c r="Q2536" s="10"/>
      <c r="R2536" s="10"/>
      <c r="S2536" s="10" t="s">
        <v>1519</v>
      </c>
      <c r="T2536" s="10" t="s">
        <v>54</v>
      </c>
    </row>
    <row r="2537" spans="1:20" ht="14.5" x14ac:dyDescent="0.35">
      <c r="A2537" s="10" t="s">
        <v>17301</v>
      </c>
      <c r="B2537" s="10" t="str">
        <f>"9788184884845"</f>
        <v>9788184884845</v>
      </c>
      <c r="C2537" s="10" t="str">
        <f>"9789350440551"</f>
        <v>9789350440551</v>
      </c>
      <c r="D2537" s="10" t="s">
        <v>17302</v>
      </c>
      <c r="E2537" s="10" t="s">
        <v>17303</v>
      </c>
      <c r="F2537" s="10" t="s">
        <v>1811</v>
      </c>
      <c r="G2537" s="10" t="s">
        <v>13425</v>
      </c>
      <c r="H2537" s="11">
        <v>40179</v>
      </c>
      <c r="I2537" s="10">
        <v>2010</v>
      </c>
      <c r="J2537" s="10" t="s">
        <v>17303</v>
      </c>
      <c r="K2537" s="10">
        <v>503</v>
      </c>
      <c r="L2537" s="10" t="s">
        <v>17304</v>
      </c>
      <c r="M2537" s="10">
        <v>1</v>
      </c>
      <c r="N2537" s="10"/>
      <c r="O2537" s="10"/>
      <c r="P2537" s="10" t="s">
        <v>17305</v>
      </c>
      <c r="Q2537" s="10" t="s">
        <v>7600</v>
      </c>
      <c r="R2537" s="10" t="s">
        <v>6899</v>
      </c>
      <c r="S2537" s="10" t="s">
        <v>53</v>
      </c>
      <c r="T2537" s="10" t="s">
        <v>54</v>
      </c>
    </row>
    <row r="2538" spans="1:20" ht="14.5" x14ac:dyDescent="0.35">
      <c r="A2538" s="10" t="s">
        <v>6623</v>
      </c>
      <c r="B2538" s="10" t="str">
        <f>"9788184888966"</f>
        <v>9788184888966</v>
      </c>
      <c r="C2538" s="10" t="str">
        <f>"9789350440025"</f>
        <v>9789350440025</v>
      </c>
      <c r="D2538" s="10" t="s">
        <v>17302</v>
      </c>
      <c r="E2538" s="10" t="s">
        <v>17303</v>
      </c>
      <c r="F2538" s="10" t="s">
        <v>1811</v>
      </c>
      <c r="G2538" s="10" t="s">
        <v>13425</v>
      </c>
      <c r="H2538" s="11">
        <v>40179</v>
      </c>
      <c r="I2538" s="10">
        <v>2010</v>
      </c>
      <c r="J2538" s="10" t="s">
        <v>17303</v>
      </c>
      <c r="K2538" s="10">
        <v>613</v>
      </c>
      <c r="L2538" s="10" t="s">
        <v>17306</v>
      </c>
      <c r="M2538" s="10">
        <v>1</v>
      </c>
      <c r="N2538" s="10"/>
      <c r="O2538" s="10"/>
      <c r="P2538" s="10" t="s">
        <v>17307</v>
      </c>
      <c r="Q2538" s="10">
        <v>371.2</v>
      </c>
      <c r="R2538" s="10" t="s">
        <v>16762</v>
      </c>
      <c r="S2538" s="10" t="s">
        <v>53</v>
      </c>
      <c r="T2538" s="10" t="s">
        <v>54</v>
      </c>
    </row>
    <row r="2539" spans="1:20" ht="14.5" x14ac:dyDescent="0.35">
      <c r="A2539" s="10" t="s">
        <v>17308</v>
      </c>
      <c r="B2539" s="10" t="str">
        <f>"9788189645151"</f>
        <v>9788189645151</v>
      </c>
      <c r="C2539" s="10" t="str">
        <f>"9789350440018"</f>
        <v>9789350440018</v>
      </c>
      <c r="D2539" s="10" t="s">
        <v>17302</v>
      </c>
      <c r="E2539" s="10" t="s">
        <v>17309</v>
      </c>
      <c r="F2539" s="10" t="s">
        <v>17310</v>
      </c>
      <c r="G2539" s="10" t="s">
        <v>13425</v>
      </c>
      <c r="H2539" s="11">
        <v>38718</v>
      </c>
      <c r="I2539" s="10">
        <v>2006</v>
      </c>
      <c r="J2539" s="10" t="s">
        <v>17309</v>
      </c>
      <c r="K2539" s="10">
        <v>409</v>
      </c>
      <c r="L2539" s="10" t="s">
        <v>17311</v>
      </c>
      <c r="M2539" s="10">
        <v>1</v>
      </c>
      <c r="N2539" s="10"/>
      <c r="O2539" s="10"/>
      <c r="P2539" s="10" t="s">
        <v>17312</v>
      </c>
      <c r="Q2539" s="10">
        <v>370.7</v>
      </c>
      <c r="R2539" s="10" t="s">
        <v>17313</v>
      </c>
      <c r="S2539" s="10" t="s">
        <v>53</v>
      </c>
      <c r="T2539" s="10" t="s">
        <v>54</v>
      </c>
    </row>
    <row r="2540" spans="1:20" ht="14.5" x14ac:dyDescent="0.35">
      <c r="A2540" s="10" t="s">
        <v>17314</v>
      </c>
      <c r="B2540" s="10" t="str">
        <f>"9788189645113"</f>
        <v>9788189645113</v>
      </c>
      <c r="C2540" s="10" t="str">
        <f>"9789350440704"</f>
        <v>9789350440704</v>
      </c>
      <c r="D2540" s="10" t="s">
        <v>17302</v>
      </c>
      <c r="E2540" s="10" t="s">
        <v>17309</v>
      </c>
      <c r="F2540" s="10" t="s">
        <v>17310</v>
      </c>
      <c r="G2540" s="10" t="s">
        <v>13425</v>
      </c>
      <c r="H2540" s="11">
        <v>38718</v>
      </c>
      <c r="I2540" s="10">
        <v>2006</v>
      </c>
      <c r="J2540" s="10" t="s">
        <v>17309</v>
      </c>
      <c r="K2540" s="10">
        <v>377</v>
      </c>
      <c r="L2540" s="10" t="s">
        <v>17315</v>
      </c>
      <c r="M2540" s="10">
        <v>1</v>
      </c>
      <c r="N2540" s="10"/>
      <c r="O2540" s="10"/>
      <c r="P2540" s="10" t="s">
        <v>17316</v>
      </c>
      <c r="Q2540" s="10">
        <v>371.9</v>
      </c>
      <c r="R2540" s="10" t="s">
        <v>17317</v>
      </c>
      <c r="S2540" s="10" t="s">
        <v>53</v>
      </c>
      <c r="T2540" s="10" t="s">
        <v>54</v>
      </c>
    </row>
    <row r="2541" spans="1:20" ht="14.5" x14ac:dyDescent="0.35">
      <c r="A2541" s="10" t="s">
        <v>17318</v>
      </c>
      <c r="B2541" s="10" t="str">
        <f>"9788189645120"</f>
        <v>9788189645120</v>
      </c>
      <c r="C2541" s="10" t="str">
        <f>"9789350440124"</f>
        <v>9789350440124</v>
      </c>
      <c r="D2541" s="10" t="s">
        <v>17302</v>
      </c>
      <c r="E2541" s="10" t="s">
        <v>17309</v>
      </c>
      <c r="F2541" s="10" t="s">
        <v>17310</v>
      </c>
      <c r="G2541" s="10" t="s">
        <v>13425</v>
      </c>
      <c r="H2541" s="11">
        <v>38718</v>
      </c>
      <c r="I2541" s="10">
        <v>2006</v>
      </c>
      <c r="J2541" s="10" t="s">
        <v>17309</v>
      </c>
      <c r="K2541" s="10">
        <v>397</v>
      </c>
      <c r="L2541" s="10" t="s">
        <v>17319</v>
      </c>
      <c r="M2541" s="10">
        <v>1</v>
      </c>
      <c r="N2541" s="10"/>
      <c r="O2541" s="10"/>
      <c r="P2541" s="10" t="s">
        <v>17320</v>
      </c>
      <c r="Q2541" s="10"/>
      <c r="R2541" s="10" t="s">
        <v>17321</v>
      </c>
      <c r="S2541" s="10" t="s">
        <v>53</v>
      </c>
      <c r="T2541" s="10" t="s">
        <v>54</v>
      </c>
    </row>
    <row r="2542" spans="1:20" ht="14.5" x14ac:dyDescent="0.35">
      <c r="A2542" s="10" t="s">
        <v>17322</v>
      </c>
      <c r="B2542" s="10" t="str">
        <f>"9788189645144"</f>
        <v>9788189645144</v>
      </c>
      <c r="C2542" s="10" t="str">
        <f>"9789350440759"</f>
        <v>9789350440759</v>
      </c>
      <c r="D2542" s="10" t="s">
        <v>17302</v>
      </c>
      <c r="E2542" s="10" t="s">
        <v>17309</v>
      </c>
      <c r="F2542" s="10" t="s">
        <v>17310</v>
      </c>
      <c r="G2542" s="10" t="s">
        <v>13425</v>
      </c>
      <c r="H2542" s="11">
        <v>38718</v>
      </c>
      <c r="I2542" s="10">
        <v>2006</v>
      </c>
      <c r="J2542" s="10" t="s">
        <v>17309</v>
      </c>
      <c r="K2542" s="10">
        <v>409</v>
      </c>
      <c r="L2542" s="10" t="s">
        <v>17323</v>
      </c>
      <c r="M2542" s="10">
        <v>1</v>
      </c>
      <c r="N2542" s="10"/>
      <c r="O2542" s="10"/>
      <c r="P2542" s="10" t="s">
        <v>17324</v>
      </c>
      <c r="Q2542" s="10">
        <v>371.3</v>
      </c>
      <c r="R2542" s="10" t="s">
        <v>10018</v>
      </c>
      <c r="S2542" s="10" t="s">
        <v>53</v>
      </c>
      <c r="T2542" s="10" t="s">
        <v>54</v>
      </c>
    </row>
    <row r="2543" spans="1:20" ht="14.5" x14ac:dyDescent="0.35">
      <c r="A2543" s="10" t="s">
        <v>17325</v>
      </c>
      <c r="B2543" s="10" t="str">
        <f>"9788189645076"</f>
        <v>9788189645076</v>
      </c>
      <c r="C2543" s="10" t="str">
        <f>"9789350440834"</f>
        <v>9789350440834</v>
      </c>
      <c r="D2543" s="10" t="s">
        <v>17302</v>
      </c>
      <c r="E2543" s="10" t="s">
        <v>17309</v>
      </c>
      <c r="F2543" s="10" t="s">
        <v>17310</v>
      </c>
      <c r="G2543" s="10" t="s">
        <v>13425</v>
      </c>
      <c r="H2543" s="11">
        <v>38718</v>
      </c>
      <c r="I2543" s="10">
        <v>2006</v>
      </c>
      <c r="J2543" s="10" t="s">
        <v>17309</v>
      </c>
      <c r="K2543" s="10">
        <v>273</v>
      </c>
      <c r="L2543" s="10" t="s">
        <v>17326</v>
      </c>
      <c r="M2543" s="10">
        <v>1</v>
      </c>
      <c r="N2543" s="10"/>
      <c r="O2543" s="10"/>
      <c r="P2543" s="10" t="s">
        <v>17327</v>
      </c>
      <c r="Q2543" s="10">
        <v>371.334</v>
      </c>
      <c r="R2543" s="10" t="s">
        <v>17328</v>
      </c>
      <c r="S2543" s="10" t="s">
        <v>53</v>
      </c>
      <c r="T2543" s="10" t="s">
        <v>54</v>
      </c>
    </row>
    <row r="2544" spans="1:20" ht="14.5" x14ac:dyDescent="0.35">
      <c r="A2544" s="10" t="s">
        <v>17329</v>
      </c>
      <c r="B2544" s="10" t="str">
        <f>"9781578068388"</f>
        <v>9781578068388</v>
      </c>
      <c r="C2544" s="10" t="str">
        <f>"9781604730746"</f>
        <v>9781604730746</v>
      </c>
      <c r="D2544" s="10" t="s">
        <v>16047</v>
      </c>
      <c r="E2544" s="10" t="s">
        <v>16047</v>
      </c>
      <c r="F2544" s="10" t="s">
        <v>16048</v>
      </c>
      <c r="G2544" s="10" t="s">
        <v>6317</v>
      </c>
      <c r="H2544" s="11">
        <v>38797</v>
      </c>
      <c r="I2544" s="10">
        <v>2006</v>
      </c>
      <c r="J2544" s="10" t="s">
        <v>16047</v>
      </c>
      <c r="K2544" s="10">
        <v>279</v>
      </c>
      <c r="L2544" s="10" t="s">
        <v>17330</v>
      </c>
      <c r="M2544" s="10">
        <v>1</v>
      </c>
      <c r="N2544" s="10"/>
      <c r="O2544" s="10"/>
      <c r="P2544" s="10" t="s">
        <v>17331</v>
      </c>
      <c r="Q2544" s="10" t="s">
        <v>17332</v>
      </c>
      <c r="R2544" s="10" t="s">
        <v>17333</v>
      </c>
      <c r="S2544" s="10" t="s">
        <v>53</v>
      </c>
      <c r="T2544" s="10" t="s">
        <v>7340</v>
      </c>
    </row>
    <row r="2545" spans="1:20" ht="14.5" x14ac:dyDescent="0.35">
      <c r="A2545" s="10" t="s">
        <v>17334</v>
      </c>
      <c r="B2545" s="10" t="str">
        <f>"9789027234742"</f>
        <v>9789027234742</v>
      </c>
      <c r="C2545" s="10" t="str">
        <f>"9789027294494"</f>
        <v>9789027294494</v>
      </c>
      <c r="D2545" s="10" t="s">
        <v>17335</v>
      </c>
      <c r="E2545" s="10" t="s">
        <v>17336</v>
      </c>
      <c r="F2545" s="10" t="s">
        <v>319</v>
      </c>
      <c r="G2545" s="10" t="s">
        <v>9233</v>
      </c>
      <c r="H2545" s="11">
        <v>38498</v>
      </c>
      <c r="I2545" s="10">
        <v>2005</v>
      </c>
      <c r="J2545" s="10" t="s">
        <v>17336</v>
      </c>
      <c r="K2545" s="10">
        <v>227</v>
      </c>
      <c r="L2545" s="10" t="s">
        <v>17337</v>
      </c>
      <c r="M2545" s="10">
        <v>1</v>
      </c>
      <c r="N2545" s="10"/>
      <c r="O2545" s="10"/>
      <c r="P2545" s="10" t="s">
        <v>17338</v>
      </c>
      <c r="Q2545" s="10" t="s">
        <v>10162</v>
      </c>
      <c r="R2545" s="10" t="s">
        <v>17339</v>
      </c>
      <c r="S2545" s="10" t="s">
        <v>53</v>
      </c>
      <c r="T2545" s="10" t="s">
        <v>6616</v>
      </c>
    </row>
    <row r="2546" spans="1:20" ht="14.5" x14ac:dyDescent="0.35">
      <c r="A2546" s="10" t="s">
        <v>17340</v>
      </c>
      <c r="B2546" s="10" t="str">
        <f>"9789027219794"</f>
        <v>9789027219794</v>
      </c>
      <c r="C2546" s="10" t="str">
        <f>"9789027291936"</f>
        <v>9789027291936</v>
      </c>
      <c r="D2546" s="10" t="s">
        <v>17335</v>
      </c>
      <c r="E2546" s="10" t="s">
        <v>17336</v>
      </c>
      <c r="F2546" s="10" t="s">
        <v>1818</v>
      </c>
      <c r="G2546" s="10" t="s">
        <v>9233</v>
      </c>
      <c r="H2546" s="11">
        <v>39352</v>
      </c>
      <c r="I2546" s="10">
        <v>2007</v>
      </c>
      <c r="J2546" s="10" t="s">
        <v>17336</v>
      </c>
      <c r="K2546" s="10">
        <v>343</v>
      </c>
      <c r="L2546" s="10" t="s">
        <v>17341</v>
      </c>
      <c r="M2546" s="10">
        <v>1</v>
      </c>
      <c r="N2546" s="10"/>
      <c r="O2546" s="10"/>
      <c r="P2546" s="10" t="s">
        <v>17342</v>
      </c>
      <c r="Q2546" s="10">
        <v>418.00709999999998</v>
      </c>
      <c r="R2546" s="10" t="s">
        <v>17343</v>
      </c>
      <c r="S2546" s="10" t="s">
        <v>53</v>
      </c>
      <c r="T2546" s="10" t="s">
        <v>6616</v>
      </c>
    </row>
    <row r="2547" spans="1:20" ht="14.5" x14ac:dyDescent="0.35">
      <c r="A2547" s="10" t="s">
        <v>17344</v>
      </c>
      <c r="B2547" s="10" t="str">
        <f>"9789027216915"</f>
        <v>9789027216915</v>
      </c>
      <c r="C2547" s="10" t="str">
        <f>"9789027297525"</f>
        <v>9789027297525</v>
      </c>
      <c r="D2547" s="10" t="s">
        <v>17335</v>
      </c>
      <c r="E2547" s="10" t="s">
        <v>17336</v>
      </c>
      <c r="F2547" s="10" t="s">
        <v>319</v>
      </c>
      <c r="G2547" s="10" t="s">
        <v>9233</v>
      </c>
      <c r="H2547" s="11">
        <v>37354</v>
      </c>
      <c r="I2547" s="10">
        <v>2002</v>
      </c>
      <c r="J2547" s="10" t="s">
        <v>17336</v>
      </c>
      <c r="K2547" s="10">
        <v>303</v>
      </c>
      <c r="L2547" s="10" t="s">
        <v>17345</v>
      </c>
      <c r="M2547" s="10">
        <v>1</v>
      </c>
      <c r="N2547" s="10"/>
      <c r="O2547" s="10"/>
      <c r="P2547" s="10" t="s">
        <v>17346</v>
      </c>
      <c r="Q2547" s="10" t="s">
        <v>6950</v>
      </c>
      <c r="R2547" s="10" t="s">
        <v>17347</v>
      </c>
      <c r="S2547" s="10" t="s">
        <v>53</v>
      </c>
      <c r="T2547" s="10" t="s">
        <v>6616</v>
      </c>
    </row>
    <row r="2548" spans="1:20" ht="14.5" x14ac:dyDescent="0.35">
      <c r="A2548" s="10" t="s">
        <v>17348</v>
      </c>
      <c r="B2548" s="10" t="str">
        <f>"9789027222923"</f>
        <v>9789027222923</v>
      </c>
      <c r="C2548" s="10" t="str">
        <f>"9789027293930"</f>
        <v>9789027293930</v>
      </c>
      <c r="D2548" s="10" t="s">
        <v>17335</v>
      </c>
      <c r="E2548" s="10" t="s">
        <v>17336</v>
      </c>
      <c r="F2548" s="10" t="s">
        <v>1818</v>
      </c>
      <c r="G2548" s="10" t="s">
        <v>9233</v>
      </c>
      <c r="H2548" s="11">
        <v>38707</v>
      </c>
      <c r="I2548" s="10">
        <v>2005</v>
      </c>
      <c r="J2548" s="10" t="s">
        <v>17336</v>
      </c>
      <c r="K2548" s="10">
        <v>189</v>
      </c>
      <c r="L2548" s="10" t="s">
        <v>17349</v>
      </c>
      <c r="M2548" s="10">
        <v>1</v>
      </c>
      <c r="N2548" s="10"/>
      <c r="O2548" s="10"/>
      <c r="P2548" s="10" t="s">
        <v>17350</v>
      </c>
      <c r="Q2548" s="10">
        <v>428.00709999999998</v>
      </c>
      <c r="R2548" s="10" t="s">
        <v>17351</v>
      </c>
      <c r="S2548" s="10" t="s">
        <v>53</v>
      </c>
      <c r="T2548" s="10" t="s">
        <v>6616</v>
      </c>
    </row>
    <row r="2549" spans="1:20" ht="14.5" x14ac:dyDescent="0.35">
      <c r="A2549" s="10" t="s">
        <v>17352</v>
      </c>
      <c r="B2549" s="10" t="str">
        <f>"9789027216533"</f>
        <v>9789027216533</v>
      </c>
      <c r="C2549" s="10" t="str">
        <f>"9789027295682"</f>
        <v>9789027295682</v>
      </c>
      <c r="D2549" s="10" t="s">
        <v>17335</v>
      </c>
      <c r="E2549" s="10" t="s">
        <v>17336</v>
      </c>
      <c r="F2549" s="10" t="s">
        <v>319</v>
      </c>
      <c r="G2549" s="10" t="s">
        <v>9233</v>
      </c>
      <c r="H2549" s="11">
        <v>38120</v>
      </c>
      <c r="I2549" s="10">
        <v>2004</v>
      </c>
      <c r="J2549" s="10" t="s">
        <v>17336</v>
      </c>
      <c r="K2549" s="10">
        <v>330</v>
      </c>
      <c r="L2549" s="10" t="s">
        <v>17353</v>
      </c>
      <c r="M2549" s="10">
        <v>1</v>
      </c>
      <c r="N2549" s="10"/>
      <c r="O2549" s="10"/>
      <c r="P2549" s="10" t="s">
        <v>17354</v>
      </c>
      <c r="Q2549" s="10" t="s">
        <v>17355</v>
      </c>
      <c r="R2549" s="10" t="s">
        <v>17356</v>
      </c>
      <c r="S2549" s="10" t="s">
        <v>53</v>
      </c>
      <c r="T2549" s="10" t="s">
        <v>6616</v>
      </c>
    </row>
    <row r="2550" spans="1:20" ht="14.5" x14ac:dyDescent="0.35">
      <c r="A2550" s="10" t="s">
        <v>17357</v>
      </c>
      <c r="B2550" s="10" t="str">
        <f>"9789027219695"</f>
        <v>9789027219695</v>
      </c>
      <c r="C2550" s="10" t="str">
        <f>"9789027293312"</f>
        <v>9789027293312</v>
      </c>
      <c r="D2550" s="10" t="s">
        <v>17335</v>
      </c>
      <c r="E2550" s="10" t="s">
        <v>17336</v>
      </c>
      <c r="F2550" s="10" t="s">
        <v>1818</v>
      </c>
      <c r="G2550" s="10" t="s">
        <v>9233</v>
      </c>
      <c r="H2550" s="11">
        <v>38939</v>
      </c>
      <c r="I2550" s="10">
        <v>2006</v>
      </c>
      <c r="J2550" s="10" t="s">
        <v>17336</v>
      </c>
      <c r="K2550" s="10">
        <v>217</v>
      </c>
      <c r="L2550" s="10" t="s">
        <v>17358</v>
      </c>
      <c r="M2550" s="10">
        <v>1</v>
      </c>
      <c r="N2550" s="10"/>
      <c r="O2550" s="10"/>
      <c r="P2550" s="10" t="s">
        <v>17359</v>
      </c>
      <c r="Q2550" s="10">
        <v>808.04200000000003</v>
      </c>
      <c r="R2550" s="10" t="s">
        <v>17360</v>
      </c>
      <c r="S2550" s="10" t="s">
        <v>53</v>
      </c>
      <c r="T2550" s="10" t="s">
        <v>8424</v>
      </c>
    </row>
    <row r="2551" spans="1:20" ht="14.5" x14ac:dyDescent="0.35">
      <c r="A2551" s="10" t="s">
        <v>17361</v>
      </c>
      <c r="B2551" s="10" t="str">
        <f>"9789027241436"</f>
        <v>9789027241436</v>
      </c>
      <c r="C2551" s="10" t="str">
        <f>"9789027292780"</f>
        <v>9789027292780</v>
      </c>
      <c r="D2551" s="10" t="s">
        <v>17335</v>
      </c>
      <c r="E2551" s="10" t="s">
        <v>17336</v>
      </c>
      <c r="F2551" s="10" t="s">
        <v>1818</v>
      </c>
      <c r="G2551" s="10" t="s">
        <v>9233</v>
      </c>
      <c r="H2551" s="11">
        <v>39064</v>
      </c>
      <c r="I2551" s="10">
        <v>2006</v>
      </c>
      <c r="J2551" s="10" t="s">
        <v>17336</v>
      </c>
      <c r="K2551" s="10">
        <v>293</v>
      </c>
      <c r="L2551" s="10" t="s">
        <v>17362</v>
      </c>
      <c r="M2551" s="10">
        <v>1</v>
      </c>
      <c r="N2551" s="10"/>
      <c r="O2551" s="10"/>
      <c r="P2551" s="10" t="s">
        <v>17363</v>
      </c>
      <c r="Q2551" s="10" t="s">
        <v>10162</v>
      </c>
      <c r="R2551" s="10" t="s">
        <v>17364</v>
      </c>
      <c r="S2551" s="10" t="s">
        <v>53</v>
      </c>
      <c r="T2551" s="10" t="s">
        <v>6616</v>
      </c>
    </row>
    <row r="2552" spans="1:20" ht="14.5" x14ac:dyDescent="0.35">
      <c r="A2552" s="10" t="s">
        <v>17365</v>
      </c>
      <c r="B2552" s="10" t="str">
        <f>"9789027222824"</f>
        <v>9789027222824</v>
      </c>
      <c r="C2552" s="10" t="str">
        <f>"9789027295576"</f>
        <v>9789027295576</v>
      </c>
      <c r="D2552" s="10" t="s">
        <v>17335</v>
      </c>
      <c r="E2552" s="10" t="s">
        <v>17336</v>
      </c>
      <c r="F2552" s="10" t="s">
        <v>319</v>
      </c>
      <c r="G2552" s="10" t="s">
        <v>9233</v>
      </c>
      <c r="H2552" s="11">
        <v>38106</v>
      </c>
      <c r="I2552" s="10">
        <v>2004</v>
      </c>
      <c r="J2552" s="10" t="s">
        <v>17336</v>
      </c>
      <c r="K2552" s="10">
        <v>316</v>
      </c>
      <c r="L2552" s="10" t="s">
        <v>17366</v>
      </c>
      <c r="M2552" s="10">
        <v>1</v>
      </c>
      <c r="N2552" s="10"/>
      <c r="O2552" s="10"/>
      <c r="P2552" s="10" t="s">
        <v>17367</v>
      </c>
      <c r="Q2552" s="10" t="s">
        <v>15412</v>
      </c>
      <c r="R2552" s="10" t="s">
        <v>17368</v>
      </c>
      <c r="S2552" s="10" t="s">
        <v>53</v>
      </c>
      <c r="T2552" s="10" t="s">
        <v>6616</v>
      </c>
    </row>
    <row r="2553" spans="1:20" ht="14.5" x14ac:dyDescent="0.35">
      <c r="A2553" s="10" t="s">
        <v>17369</v>
      </c>
      <c r="B2553" s="10" t="str">
        <f>"9789027216939"</f>
        <v>9789027216939</v>
      </c>
      <c r="C2553" s="10" t="str">
        <f>"9789027297518"</f>
        <v>9789027297518</v>
      </c>
      <c r="D2553" s="10" t="s">
        <v>17335</v>
      </c>
      <c r="E2553" s="10" t="s">
        <v>17336</v>
      </c>
      <c r="F2553" s="10" t="s">
        <v>319</v>
      </c>
      <c r="G2553" s="10" t="s">
        <v>9233</v>
      </c>
      <c r="H2553" s="11">
        <v>37526</v>
      </c>
      <c r="I2553" s="10">
        <v>2002</v>
      </c>
      <c r="J2553" s="10" t="s">
        <v>17336</v>
      </c>
      <c r="K2553" s="10">
        <v>400</v>
      </c>
      <c r="L2553" s="10" t="s">
        <v>17370</v>
      </c>
      <c r="M2553" s="10">
        <v>1</v>
      </c>
      <c r="N2553" s="10"/>
      <c r="O2553" s="10"/>
      <c r="P2553" s="10" t="s">
        <v>17371</v>
      </c>
      <c r="Q2553" s="10" t="s">
        <v>6950</v>
      </c>
      <c r="R2553" s="10" t="s">
        <v>17372</v>
      </c>
      <c r="S2553" s="10" t="s">
        <v>53</v>
      </c>
      <c r="T2553" s="10" t="s">
        <v>6616</v>
      </c>
    </row>
    <row r="2554" spans="1:20" ht="14.5" x14ac:dyDescent="0.35">
      <c r="A2554" s="10" t="s">
        <v>17373</v>
      </c>
      <c r="B2554" s="10" t="str">
        <f>"9789027218001"</f>
        <v>9789027218001</v>
      </c>
      <c r="C2554" s="10" t="str">
        <f>"9789027298676"</f>
        <v>9789027298676</v>
      </c>
      <c r="D2554" s="10" t="s">
        <v>17335</v>
      </c>
      <c r="E2554" s="10" t="s">
        <v>17336</v>
      </c>
      <c r="F2554" s="10" t="s">
        <v>319</v>
      </c>
      <c r="G2554" s="10" t="s">
        <v>9233</v>
      </c>
      <c r="H2554" s="11">
        <v>36234</v>
      </c>
      <c r="I2554" s="10">
        <v>1999</v>
      </c>
      <c r="J2554" s="10" t="s">
        <v>17336</v>
      </c>
      <c r="K2554" s="10">
        <v>252</v>
      </c>
      <c r="L2554" s="10" t="s">
        <v>17374</v>
      </c>
      <c r="M2554" s="10">
        <v>1</v>
      </c>
      <c r="N2554" s="10" t="s">
        <v>17375</v>
      </c>
      <c r="O2554" s="10"/>
      <c r="P2554" s="10" t="s">
        <v>17376</v>
      </c>
      <c r="Q2554" s="10" t="s">
        <v>17377</v>
      </c>
      <c r="R2554" s="10" t="s">
        <v>17378</v>
      </c>
      <c r="S2554" s="10" t="s">
        <v>53</v>
      </c>
      <c r="T2554" s="10" t="s">
        <v>16298</v>
      </c>
    </row>
    <row r="2555" spans="1:20" ht="14.5" x14ac:dyDescent="0.35">
      <c r="A2555" s="10" t="s">
        <v>17379</v>
      </c>
      <c r="B2555" s="10" t="str">
        <f>"9789027216977"</f>
        <v>9789027216977</v>
      </c>
      <c r="C2555" s="10" t="str">
        <f>"9789027296245"</f>
        <v>9789027296245</v>
      </c>
      <c r="D2555" s="10" t="s">
        <v>17335</v>
      </c>
      <c r="E2555" s="10" t="s">
        <v>17336</v>
      </c>
      <c r="F2555" s="10" t="s">
        <v>319</v>
      </c>
      <c r="G2555" s="10" t="s">
        <v>9233</v>
      </c>
      <c r="H2555" s="11">
        <v>37601</v>
      </c>
      <c r="I2555" s="10">
        <v>2002</v>
      </c>
      <c r="J2555" s="10" t="s">
        <v>17336</v>
      </c>
      <c r="K2555" s="10">
        <v>264</v>
      </c>
      <c r="L2555" s="10" t="s">
        <v>17380</v>
      </c>
      <c r="M2555" s="10">
        <v>1</v>
      </c>
      <c r="N2555" s="10"/>
      <c r="O2555" s="10"/>
      <c r="P2555" s="10" t="s">
        <v>17381</v>
      </c>
      <c r="Q2555" s="10" t="s">
        <v>17382</v>
      </c>
      <c r="R2555" s="10" t="s">
        <v>17383</v>
      </c>
      <c r="S2555" s="10" t="s">
        <v>53</v>
      </c>
      <c r="T2555" s="10" t="s">
        <v>6616</v>
      </c>
    </row>
    <row r="2556" spans="1:20" ht="14.5" x14ac:dyDescent="0.35">
      <c r="A2556" s="10" t="s">
        <v>17384</v>
      </c>
      <c r="B2556" s="10" t="str">
        <f>"9789027205179"</f>
        <v>9789027205179</v>
      </c>
      <c r="C2556" s="10" t="str">
        <f>"9789027291691"</f>
        <v>9789027291691</v>
      </c>
      <c r="D2556" s="10" t="s">
        <v>17335</v>
      </c>
      <c r="E2556" s="10" t="s">
        <v>17336</v>
      </c>
      <c r="F2556" s="10" t="s">
        <v>17385</v>
      </c>
      <c r="G2556" s="10" t="s">
        <v>9233</v>
      </c>
      <c r="H2556" s="11">
        <v>39484</v>
      </c>
      <c r="I2556" s="10">
        <v>2008</v>
      </c>
      <c r="J2556" s="10" t="s">
        <v>17336</v>
      </c>
      <c r="K2556" s="10">
        <v>296</v>
      </c>
      <c r="L2556" s="10" t="s">
        <v>17386</v>
      </c>
      <c r="M2556" s="10">
        <v>1</v>
      </c>
      <c r="N2556" s="10" t="s">
        <v>17387</v>
      </c>
      <c r="O2556" s="10">
        <v>1</v>
      </c>
      <c r="P2556" s="10" t="s">
        <v>17388</v>
      </c>
      <c r="Q2556" s="10">
        <v>418.00709999999998</v>
      </c>
      <c r="R2556" s="10" t="s">
        <v>17389</v>
      </c>
      <c r="S2556" s="10" t="s">
        <v>53</v>
      </c>
      <c r="T2556" s="10" t="s">
        <v>6616</v>
      </c>
    </row>
    <row r="2557" spans="1:20" ht="14.5" x14ac:dyDescent="0.35">
      <c r="A2557" s="10" t="s">
        <v>17390</v>
      </c>
      <c r="B2557" s="10" t="str">
        <f>"9789027219749"</f>
        <v>9789027219749</v>
      </c>
      <c r="C2557" s="10" t="str">
        <f>"9789027292612"</f>
        <v>9789027292612</v>
      </c>
      <c r="D2557" s="10" t="s">
        <v>17335</v>
      </c>
      <c r="E2557" s="10" t="s">
        <v>17336</v>
      </c>
      <c r="F2557" s="10" t="s">
        <v>1818</v>
      </c>
      <c r="G2557" s="10" t="s">
        <v>9233</v>
      </c>
      <c r="H2557" s="11">
        <v>39155</v>
      </c>
      <c r="I2557" s="10">
        <v>2007</v>
      </c>
      <c r="J2557" s="10" t="s">
        <v>17336</v>
      </c>
      <c r="K2557" s="10">
        <v>185</v>
      </c>
      <c r="L2557" s="10" t="s">
        <v>17391</v>
      </c>
      <c r="M2557" s="10">
        <v>1</v>
      </c>
      <c r="N2557" s="10"/>
      <c r="O2557" s="10"/>
      <c r="P2557" s="10" t="s">
        <v>17392</v>
      </c>
      <c r="Q2557" s="10">
        <v>407.1</v>
      </c>
      <c r="R2557" s="10" t="s">
        <v>11814</v>
      </c>
      <c r="S2557" s="10" t="s">
        <v>53</v>
      </c>
      <c r="T2557" s="10" t="s">
        <v>6616</v>
      </c>
    </row>
    <row r="2558" spans="1:20" ht="14.5" x14ac:dyDescent="0.35">
      <c r="A2558" s="10" t="s">
        <v>17393</v>
      </c>
      <c r="B2558" s="10" t="str">
        <f>"9789027254023"</f>
        <v>9789027254023</v>
      </c>
      <c r="C2558" s="10" t="str">
        <f>"9789027292285"</f>
        <v>9789027292285</v>
      </c>
      <c r="D2558" s="10" t="s">
        <v>17335</v>
      </c>
      <c r="E2558" s="10" t="s">
        <v>17336</v>
      </c>
      <c r="F2558" s="10" t="s">
        <v>1818</v>
      </c>
      <c r="G2558" s="10" t="s">
        <v>9233</v>
      </c>
      <c r="H2558" s="11">
        <v>39276</v>
      </c>
      <c r="I2558" s="10">
        <v>2007</v>
      </c>
      <c r="J2558" s="10" t="s">
        <v>17336</v>
      </c>
      <c r="K2558" s="10">
        <v>378</v>
      </c>
      <c r="L2558" s="10" t="s">
        <v>17394</v>
      </c>
      <c r="M2558" s="10">
        <v>1</v>
      </c>
      <c r="N2558" s="10"/>
      <c r="O2558" s="10"/>
      <c r="P2558" s="10" t="s">
        <v>17395</v>
      </c>
      <c r="Q2558" s="10" t="s">
        <v>17396</v>
      </c>
      <c r="R2558" s="10" t="s">
        <v>17397</v>
      </c>
      <c r="S2558" s="10" t="s">
        <v>53</v>
      </c>
      <c r="T2558" s="10" t="s">
        <v>6616</v>
      </c>
    </row>
    <row r="2559" spans="1:20" ht="14.5" x14ac:dyDescent="0.35">
      <c r="A2559" s="10" t="s">
        <v>17398</v>
      </c>
      <c r="B2559" s="10" t="str">
        <f>"9789027250889"</f>
        <v>9789027250889</v>
      </c>
      <c r="C2559" s="10" t="str">
        <f>"9789027298997"</f>
        <v>9789027298997</v>
      </c>
      <c r="D2559" s="10" t="s">
        <v>17335</v>
      </c>
      <c r="E2559" s="10" t="s">
        <v>17336</v>
      </c>
      <c r="F2559" s="10" t="s">
        <v>319</v>
      </c>
      <c r="G2559" s="10" t="s">
        <v>9233</v>
      </c>
      <c r="H2559" s="11">
        <v>36722</v>
      </c>
      <c r="I2559" s="10">
        <v>2000</v>
      </c>
      <c r="J2559" s="10" t="s">
        <v>17336</v>
      </c>
      <c r="K2559" s="10">
        <v>334</v>
      </c>
      <c r="L2559" s="10" t="s">
        <v>17399</v>
      </c>
      <c r="M2559" s="10">
        <v>1</v>
      </c>
      <c r="N2559" s="10"/>
      <c r="O2559" s="10"/>
      <c r="P2559" s="10" t="s">
        <v>17400</v>
      </c>
      <c r="Q2559" s="10">
        <v>306.43</v>
      </c>
      <c r="R2559" s="10" t="s">
        <v>17401</v>
      </c>
      <c r="S2559" s="10" t="s">
        <v>53</v>
      </c>
      <c r="T2559" s="10" t="s">
        <v>6472</v>
      </c>
    </row>
    <row r="2560" spans="1:20" ht="14.5" x14ac:dyDescent="0.35">
      <c r="A2560" s="10" t="s">
        <v>17402</v>
      </c>
      <c r="B2560" s="10" t="str">
        <f>"9789027216601"</f>
        <v>9789027216601</v>
      </c>
      <c r="C2560" s="10" t="str">
        <f>"9789027295446"</f>
        <v>9789027295446</v>
      </c>
      <c r="D2560" s="10" t="s">
        <v>17335</v>
      </c>
      <c r="E2560" s="10" t="s">
        <v>17336</v>
      </c>
      <c r="F2560" s="10" t="s">
        <v>319</v>
      </c>
      <c r="G2560" s="10" t="s">
        <v>9233</v>
      </c>
      <c r="H2560" s="11">
        <v>38183</v>
      </c>
      <c r="I2560" s="10">
        <v>2004</v>
      </c>
      <c r="J2560" s="10" t="s">
        <v>17336</v>
      </c>
      <c r="K2560" s="10">
        <v>274</v>
      </c>
      <c r="L2560" s="10" t="s">
        <v>17403</v>
      </c>
      <c r="M2560" s="10">
        <v>1</v>
      </c>
      <c r="N2560" s="10"/>
      <c r="O2560" s="10"/>
      <c r="P2560" s="10" t="s">
        <v>17404</v>
      </c>
      <c r="Q2560" s="10" t="s">
        <v>17355</v>
      </c>
      <c r="R2560" s="10" t="s">
        <v>17405</v>
      </c>
      <c r="S2560" s="10" t="s">
        <v>53</v>
      </c>
      <c r="T2560" s="10" t="s">
        <v>6616</v>
      </c>
    </row>
    <row r="2561" spans="1:20" ht="14.5" x14ac:dyDescent="0.35">
      <c r="A2561" s="10" t="s">
        <v>17406</v>
      </c>
      <c r="B2561" s="10" t="str">
        <f>"9789027216991"</f>
        <v>9789027216991</v>
      </c>
      <c r="C2561" s="10" t="str">
        <f>"9789027297495"</f>
        <v>9789027297495</v>
      </c>
      <c r="D2561" s="10" t="s">
        <v>17335</v>
      </c>
      <c r="E2561" s="10" t="s">
        <v>17336</v>
      </c>
      <c r="F2561" s="10" t="s">
        <v>319</v>
      </c>
      <c r="G2561" s="10" t="s">
        <v>9233</v>
      </c>
      <c r="H2561" s="11">
        <v>37502</v>
      </c>
      <c r="I2561" s="10">
        <v>2002</v>
      </c>
      <c r="J2561" s="10" t="s">
        <v>17336</v>
      </c>
      <c r="K2561" s="10">
        <v>311</v>
      </c>
      <c r="L2561" s="10" t="s">
        <v>17407</v>
      </c>
      <c r="M2561" s="10">
        <v>1</v>
      </c>
      <c r="N2561" s="10"/>
      <c r="O2561" s="10"/>
      <c r="P2561" s="10" t="s">
        <v>17408</v>
      </c>
      <c r="Q2561" s="10" t="s">
        <v>6950</v>
      </c>
      <c r="R2561" s="10" t="s">
        <v>17409</v>
      </c>
      <c r="S2561" s="10" t="s">
        <v>53</v>
      </c>
      <c r="T2561" s="10" t="s">
        <v>6616</v>
      </c>
    </row>
    <row r="2562" spans="1:20" ht="14.5" x14ac:dyDescent="0.35">
      <c r="A2562" s="10" t="s">
        <v>17410</v>
      </c>
      <c r="B2562" s="10" t="str">
        <f>"9789027232441"</f>
        <v>9789027232441</v>
      </c>
      <c r="C2562" s="10" t="str">
        <f>"9789027291318"</f>
        <v>9789027291318</v>
      </c>
      <c r="D2562" s="10" t="s">
        <v>17335</v>
      </c>
      <c r="E2562" s="10" t="s">
        <v>17336</v>
      </c>
      <c r="F2562" s="10" t="s">
        <v>1818</v>
      </c>
      <c r="G2562" s="10" t="s">
        <v>9233</v>
      </c>
      <c r="H2562" s="11">
        <v>37622</v>
      </c>
      <c r="I2562" s="10">
        <v>2007</v>
      </c>
      <c r="J2562" s="10" t="s">
        <v>17336</v>
      </c>
      <c r="K2562" s="10">
        <v>272</v>
      </c>
      <c r="L2562" s="10" t="s">
        <v>17411</v>
      </c>
      <c r="M2562" s="10">
        <v>1</v>
      </c>
      <c r="N2562" s="10"/>
      <c r="O2562" s="10"/>
      <c r="P2562" s="10" t="s">
        <v>17412</v>
      </c>
      <c r="Q2562" s="10" t="s">
        <v>10162</v>
      </c>
      <c r="R2562" s="10" t="s">
        <v>17413</v>
      </c>
      <c r="S2562" s="10" t="s">
        <v>53</v>
      </c>
      <c r="T2562" s="10" t="s">
        <v>6616</v>
      </c>
    </row>
    <row r="2563" spans="1:20" ht="14.5" x14ac:dyDescent="0.35">
      <c r="A2563" s="10" t="s">
        <v>17414</v>
      </c>
      <c r="B2563" s="10" t="str">
        <f>"9789027254078"</f>
        <v>9789027254078</v>
      </c>
      <c r="C2563" s="10" t="str">
        <f>"9789027291783"</f>
        <v>9789027291783</v>
      </c>
      <c r="D2563" s="10" t="s">
        <v>17335</v>
      </c>
      <c r="E2563" s="10" t="s">
        <v>17336</v>
      </c>
      <c r="F2563" s="10" t="s">
        <v>1818</v>
      </c>
      <c r="G2563" s="10" t="s">
        <v>9233</v>
      </c>
      <c r="H2563" s="11">
        <v>39401</v>
      </c>
      <c r="I2563" s="10">
        <v>2007</v>
      </c>
      <c r="J2563" s="10" t="s">
        <v>17336</v>
      </c>
      <c r="K2563" s="10">
        <v>318</v>
      </c>
      <c r="L2563" s="10" t="s">
        <v>17415</v>
      </c>
      <c r="M2563" s="10">
        <v>1</v>
      </c>
      <c r="N2563" s="10"/>
      <c r="O2563" s="10"/>
      <c r="P2563" s="10" t="s">
        <v>17416</v>
      </c>
      <c r="Q2563" s="10" t="s">
        <v>17417</v>
      </c>
      <c r="R2563" s="10" t="s">
        <v>17418</v>
      </c>
      <c r="S2563" s="10" t="s">
        <v>53</v>
      </c>
      <c r="T2563" s="10" t="s">
        <v>54</v>
      </c>
    </row>
    <row r="2564" spans="1:20" ht="14.5" x14ac:dyDescent="0.35">
      <c r="A2564" s="10" t="s">
        <v>17419</v>
      </c>
      <c r="B2564" s="10" t="str">
        <f>"9789027218063"</f>
        <v>9789027218063</v>
      </c>
      <c r="C2564" s="10" t="str">
        <f>"9789027296108"</f>
        <v>9789027296108</v>
      </c>
      <c r="D2564" s="10" t="s">
        <v>17335</v>
      </c>
      <c r="E2564" s="10" t="s">
        <v>17336</v>
      </c>
      <c r="F2564" s="10" t="s">
        <v>319</v>
      </c>
      <c r="G2564" s="10" t="s">
        <v>9233</v>
      </c>
      <c r="H2564" s="11">
        <v>37578</v>
      </c>
      <c r="I2564" s="10">
        <v>2002</v>
      </c>
      <c r="J2564" s="10" t="s">
        <v>17336</v>
      </c>
      <c r="K2564" s="10">
        <v>368</v>
      </c>
      <c r="L2564" s="10" t="s">
        <v>17420</v>
      </c>
      <c r="M2564" s="10">
        <v>1</v>
      </c>
      <c r="N2564" s="10"/>
      <c r="O2564" s="10"/>
      <c r="P2564" s="10" t="s">
        <v>17421</v>
      </c>
      <c r="Q2564" s="10" t="s">
        <v>9527</v>
      </c>
      <c r="R2564" s="10" t="s">
        <v>17422</v>
      </c>
      <c r="S2564" s="10" t="s">
        <v>53</v>
      </c>
      <c r="T2564" s="10" t="s">
        <v>8412</v>
      </c>
    </row>
    <row r="2565" spans="1:20" ht="14.5" x14ac:dyDescent="0.35">
      <c r="A2565" s="10" t="s">
        <v>17423</v>
      </c>
      <c r="B2565" s="10" t="str">
        <f>"9789027232397"</f>
        <v>9789027232397</v>
      </c>
      <c r="C2565" s="10" t="str">
        <f>"9789027293039"</f>
        <v>9789027293039</v>
      </c>
      <c r="D2565" s="10" t="s">
        <v>17335</v>
      </c>
      <c r="E2565" s="10" t="s">
        <v>17336</v>
      </c>
      <c r="F2565" s="10" t="s">
        <v>1818</v>
      </c>
      <c r="G2565" s="10" t="s">
        <v>9233</v>
      </c>
      <c r="H2565" s="11">
        <v>39051</v>
      </c>
      <c r="I2565" s="10">
        <v>2006</v>
      </c>
      <c r="J2565" s="10" t="s">
        <v>17336</v>
      </c>
      <c r="K2565" s="10">
        <v>235</v>
      </c>
      <c r="L2565" s="10" t="s">
        <v>17424</v>
      </c>
      <c r="M2565" s="10">
        <v>1</v>
      </c>
      <c r="N2565" s="10" t="s">
        <v>17425</v>
      </c>
      <c r="O2565" s="10">
        <v>1</v>
      </c>
      <c r="P2565" s="10" t="s">
        <v>17426</v>
      </c>
      <c r="Q2565" s="10">
        <v>306.44</v>
      </c>
      <c r="R2565" s="10" t="s">
        <v>17427</v>
      </c>
      <c r="S2565" s="10" t="s">
        <v>53</v>
      </c>
      <c r="T2565" s="10" t="s">
        <v>8412</v>
      </c>
    </row>
    <row r="2566" spans="1:20" ht="14.5" x14ac:dyDescent="0.35">
      <c r="A2566" s="10" t="s">
        <v>17428</v>
      </c>
      <c r="B2566" s="10" t="str">
        <f>"9789027232403"</f>
        <v>9789027232403</v>
      </c>
      <c r="C2566" s="10" t="str">
        <f>"9789027293022"</f>
        <v>9789027293022</v>
      </c>
      <c r="D2566" s="10" t="s">
        <v>17335</v>
      </c>
      <c r="E2566" s="10" t="s">
        <v>17336</v>
      </c>
      <c r="F2566" s="10" t="s">
        <v>1818</v>
      </c>
      <c r="G2566" s="10" t="s">
        <v>9233</v>
      </c>
      <c r="H2566" s="11">
        <v>39051</v>
      </c>
      <c r="I2566" s="10">
        <v>2006</v>
      </c>
      <c r="J2566" s="10" t="s">
        <v>17336</v>
      </c>
      <c r="K2566" s="10">
        <v>251</v>
      </c>
      <c r="L2566" s="10" t="s">
        <v>17429</v>
      </c>
      <c r="M2566" s="10">
        <v>1</v>
      </c>
      <c r="N2566" s="10" t="s">
        <v>17425</v>
      </c>
      <c r="O2566" s="10">
        <v>2</v>
      </c>
      <c r="P2566" s="10" t="s">
        <v>17430</v>
      </c>
      <c r="Q2566" s="10">
        <v>306.44</v>
      </c>
      <c r="R2566" s="10" t="s">
        <v>17427</v>
      </c>
      <c r="S2566" s="10" t="s">
        <v>53</v>
      </c>
      <c r="T2566" s="10" t="s">
        <v>8412</v>
      </c>
    </row>
    <row r="2567" spans="1:20" ht="14.5" x14ac:dyDescent="0.35">
      <c r="A2567" s="10" t="s">
        <v>17431</v>
      </c>
      <c r="B2567" s="10" t="str">
        <f>"9789027252944"</f>
        <v>9789027252944</v>
      </c>
      <c r="C2567" s="10" t="str">
        <f>"9789027295965"</f>
        <v>9789027295965</v>
      </c>
      <c r="D2567" s="10" t="s">
        <v>17335</v>
      </c>
      <c r="E2567" s="10" t="s">
        <v>17336</v>
      </c>
      <c r="F2567" s="10" t="s">
        <v>319</v>
      </c>
      <c r="G2567" s="10" t="s">
        <v>9233</v>
      </c>
      <c r="H2567" s="11">
        <v>37974</v>
      </c>
      <c r="I2567" s="10">
        <v>2003</v>
      </c>
      <c r="J2567" s="10" t="s">
        <v>17336</v>
      </c>
      <c r="K2567" s="10">
        <v>199</v>
      </c>
      <c r="L2567" s="10" t="s">
        <v>17432</v>
      </c>
      <c r="M2567" s="10">
        <v>1</v>
      </c>
      <c r="N2567" s="10"/>
      <c r="O2567" s="10"/>
      <c r="P2567" s="10" t="s">
        <v>17433</v>
      </c>
      <c r="Q2567" s="10" t="s">
        <v>17434</v>
      </c>
      <c r="R2567" s="10" t="s">
        <v>17435</v>
      </c>
      <c r="S2567" s="10" t="s">
        <v>53</v>
      </c>
      <c r="T2567" s="10" t="s">
        <v>6616</v>
      </c>
    </row>
    <row r="2568" spans="1:20" ht="14.5" x14ac:dyDescent="0.35">
      <c r="A2568" s="10" t="s">
        <v>17436</v>
      </c>
      <c r="B2568" s="10" t="str">
        <f>"9789027233165"</f>
        <v>9789027233165</v>
      </c>
      <c r="C2568" s="10" t="str">
        <f>"9789027293459"</f>
        <v>9789027293459</v>
      </c>
      <c r="D2568" s="10" t="s">
        <v>17335</v>
      </c>
      <c r="E2568" s="10" t="s">
        <v>17336</v>
      </c>
      <c r="F2568" s="10" t="s">
        <v>1818</v>
      </c>
      <c r="G2568" s="10" t="s">
        <v>9233</v>
      </c>
      <c r="H2568" s="11">
        <v>38898</v>
      </c>
      <c r="I2568" s="10">
        <v>2006</v>
      </c>
      <c r="J2568" s="10" t="s">
        <v>17336</v>
      </c>
      <c r="K2568" s="10">
        <v>281</v>
      </c>
      <c r="L2568" s="10" t="s">
        <v>17437</v>
      </c>
      <c r="M2568" s="10">
        <v>1</v>
      </c>
      <c r="N2568" s="10"/>
      <c r="O2568" s="10"/>
      <c r="P2568" s="10" t="s">
        <v>17438</v>
      </c>
      <c r="Q2568" s="10" t="s">
        <v>17439</v>
      </c>
      <c r="R2568" s="10" t="s">
        <v>17440</v>
      </c>
      <c r="S2568" s="10" t="s">
        <v>53</v>
      </c>
      <c r="T2568" s="10" t="s">
        <v>6616</v>
      </c>
    </row>
    <row r="2569" spans="1:20" ht="14.5" x14ac:dyDescent="0.35">
      <c r="A2569" s="10" t="s">
        <v>17441</v>
      </c>
      <c r="B2569" s="10" t="str">
        <f>"9789027225849"</f>
        <v>9789027225849</v>
      </c>
      <c r="C2569" s="10" t="str">
        <f>"9789027297167"</f>
        <v>9789027297167</v>
      </c>
      <c r="D2569" s="10" t="s">
        <v>17335</v>
      </c>
      <c r="E2569" s="10" t="s">
        <v>17336</v>
      </c>
      <c r="F2569" s="10" t="s">
        <v>319</v>
      </c>
      <c r="G2569" s="10" t="s">
        <v>9233</v>
      </c>
      <c r="H2569" s="11">
        <v>36892</v>
      </c>
      <c r="I2569" s="10">
        <v>2001</v>
      </c>
      <c r="J2569" s="10" t="s">
        <v>17336</v>
      </c>
      <c r="K2569" s="10">
        <v>400</v>
      </c>
      <c r="L2569" s="10" t="s">
        <v>17442</v>
      </c>
      <c r="M2569" s="10">
        <v>1</v>
      </c>
      <c r="N2569" s="10"/>
      <c r="O2569" s="10"/>
      <c r="P2569" s="10" t="s">
        <v>17443</v>
      </c>
      <c r="Q2569" s="10" t="s">
        <v>6950</v>
      </c>
      <c r="R2569" s="10" t="s">
        <v>17444</v>
      </c>
      <c r="S2569" s="10" t="s">
        <v>53</v>
      </c>
      <c r="T2569" s="10" t="s">
        <v>6616</v>
      </c>
    </row>
    <row r="2570" spans="1:20" ht="14.5" x14ac:dyDescent="0.35">
      <c r="A2570" s="10" t="s">
        <v>17445</v>
      </c>
      <c r="B2570" s="10" t="str">
        <f>"9789027218018"</f>
        <v>9789027218018</v>
      </c>
      <c r="C2570" s="10" t="str">
        <f>"9789027294821"</f>
        <v>9789027294821</v>
      </c>
      <c r="D2570" s="10" t="s">
        <v>17335</v>
      </c>
      <c r="E2570" s="10" t="s">
        <v>17336</v>
      </c>
      <c r="F2570" s="10" t="s">
        <v>319</v>
      </c>
      <c r="G2570" s="10" t="s">
        <v>9233</v>
      </c>
      <c r="H2570" s="11">
        <v>36161</v>
      </c>
      <c r="I2570" s="10">
        <v>1999</v>
      </c>
      <c r="J2570" s="10" t="s">
        <v>17336</v>
      </c>
      <c r="K2570" s="10">
        <v>256</v>
      </c>
      <c r="L2570" s="10" t="s">
        <v>17446</v>
      </c>
      <c r="M2570" s="10">
        <v>1</v>
      </c>
      <c r="N2570" s="10"/>
      <c r="O2570" s="10"/>
      <c r="P2570" s="10" t="s">
        <v>17447</v>
      </c>
      <c r="Q2570" s="10" t="s">
        <v>17448</v>
      </c>
      <c r="R2570" s="10" t="s">
        <v>17449</v>
      </c>
      <c r="S2570" s="10" t="s">
        <v>53</v>
      </c>
      <c r="T2570" s="10" t="s">
        <v>9143</v>
      </c>
    </row>
    <row r="2571" spans="1:20" ht="14.5" x14ac:dyDescent="0.35">
      <c r="A2571" s="10" t="s">
        <v>17450</v>
      </c>
      <c r="B2571" s="10" t="str">
        <f>"9789027219671"</f>
        <v>9789027219671</v>
      </c>
      <c r="C2571" s="10" t="str">
        <f>"9789027293329"</f>
        <v>9789027293329</v>
      </c>
      <c r="D2571" s="10" t="s">
        <v>17335</v>
      </c>
      <c r="E2571" s="10" t="s">
        <v>17336</v>
      </c>
      <c r="F2571" s="10" t="s">
        <v>1818</v>
      </c>
      <c r="G2571" s="10" t="s">
        <v>9233</v>
      </c>
      <c r="H2571" s="11">
        <v>38961</v>
      </c>
      <c r="I2571" s="10">
        <v>2006</v>
      </c>
      <c r="J2571" s="10" t="s">
        <v>17336</v>
      </c>
      <c r="K2571" s="10">
        <v>368</v>
      </c>
      <c r="L2571" s="10" t="s">
        <v>17451</v>
      </c>
      <c r="M2571" s="10">
        <v>1</v>
      </c>
      <c r="N2571" s="10"/>
      <c r="O2571" s="10"/>
      <c r="P2571" s="10" t="s">
        <v>17452</v>
      </c>
      <c r="Q2571" s="10" t="s">
        <v>14002</v>
      </c>
      <c r="R2571" s="10" t="s">
        <v>17453</v>
      </c>
      <c r="S2571" s="10" t="s">
        <v>53</v>
      </c>
      <c r="T2571" s="10" t="s">
        <v>6616</v>
      </c>
    </row>
    <row r="2572" spans="1:20" ht="14.5" x14ac:dyDescent="0.35">
      <c r="A2572" s="10" t="s">
        <v>17454</v>
      </c>
      <c r="B2572" s="10" t="str">
        <f>"9789027216656"</f>
        <v>9789027216656</v>
      </c>
      <c r="C2572" s="10" t="str">
        <f>"9789027294975"</f>
        <v>9789027294975</v>
      </c>
      <c r="D2572" s="10" t="s">
        <v>17335</v>
      </c>
      <c r="E2572" s="10" t="s">
        <v>17336</v>
      </c>
      <c r="F2572" s="10" t="s">
        <v>319</v>
      </c>
      <c r="G2572" s="10" t="s">
        <v>9233</v>
      </c>
      <c r="H2572" s="11">
        <v>38344</v>
      </c>
      <c r="I2572" s="10">
        <v>2004</v>
      </c>
      <c r="J2572" s="10" t="s">
        <v>17336</v>
      </c>
      <c r="K2572" s="10">
        <v>208</v>
      </c>
      <c r="L2572" s="10" t="s">
        <v>17455</v>
      </c>
      <c r="M2572" s="10">
        <v>1</v>
      </c>
      <c r="N2572" s="10" t="s">
        <v>17456</v>
      </c>
      <c r="O2572" s="10">
        <v>59</v>
      </c>
      <c r="P2572" s="10" t="s">
        <v>17457</v>
      </c>
      <c r="Q2572" s="10" t="s">
        <v>17355</v>
      </c>
      <c r="R2572" s="10" t="s">
        <v>17458</v>
      </c>
      <c r="S2572" s="10" t="s">
        <v>53</v>
      </c>
      <c r="T2572" s="10" t="s">
        <v>6616</v>
      </c>
    </row>
    <row r="2573" spans="1:20" ht="14.5" x14ac:dyDescent="0.35">
      <c r="A2573" s="10" t="s">
        <v>17459</v>
      </c>
      <c r="B2573" s="10" t="str">
        <f>"9789027217097"</f>
        <v>9789027217097</v>
      </c>
      <c r="C2573" s="10" t="str">
        <f>"9789027295316"</f>
        <v>9789027295316</v>
      </c>
      <c r="D2573" s="10" t="s">
        <v>17335</v>
      </c>
      <c r="E2573" s="10" t="s">
        <v>17336</v>
      </c>
      <c r="F2573" s="10" t="s">
        <v>17385</v>
      </c>
      <c r="G2573" s="10" t="s">
        <v>9233</v>
      </c>
      <c r="H2573" s="11">
        <v>38197</v>
      </c>
      <c r="I2573" s="10">
        <v>2004</v>
      </c>
      <c r="J2573" s="10" t="s">
        <v>17336</v>
      </c>
      <c r="K2573" s="10">
        <v>248</v>
      </c>
      <c r="L2573" s="10" t="s">
        <v>17460</v>
      </c>
      <c r="M2573" s="10">
        <v>1</v>
      </c>
      <c r="N2573" s="10" t="s">
        <v>17461</v>
      </c>
      <c r="O2573" s="10">
        <v>10</v>
      </c>
      <c r="P2573" s="10" t="s">
        <v>17462</v>
      </c>
      <c r="Q2573" s="10" t="s">
        <v>6950</v>
      </c>
      <c r="R2573" s="10" t="s">
        <v>17463</v>
      </c>
      <c r="S2573" s="10" t="s">
        <v>53</v>
      </c>
      <c r="T2573" s="10" t="s">
        <v>6616</v>
      </c>
    </row>
    <row r="2574" spans="1:20" ht="14.5" x14ac:dyDescent="0.35">
      <c r="A2574" s="10" t="s">
        <v>17464</v>
      </c>
      <c r="B2574" s="10" t="str">
        <f>"9789027252586"</f>
        <v>9789027252586</v>
      </c>
      <c r="C2574" s="10" t="str">
        <f>"9789027288202"</f>
        <v>9789027288202</v>
      </c>
      <c r="D2574" s="10" t="s">
        <v>17335</v>
      </c>
      <c r="E2574" s="10" t="s">
        <v>17336</v>
      </c>
      <c r="F2574" s="10" t="s">
        <v>1818</v>
      </c>
      <c r="G2574" s="10" t="s">
        <v>9233</v>
      </c>
      <c r="H2574" s="11">
        <v>40315</v>
      </c>
      <c r="I2574" s="10">
        <v>2010</v>
      </c>
      <c r="J2574" s="10" t="s">
        <v>17336</v>
      </c>
      <c r="K2574" s="10">
        <v>366</v>
      </c>
      <c r="L2574" s="10" t="s">
        <v>17465</v>
      </c>
      <c r="M2574" s="10">
        <v>1</v>
      </c>
      <c r="N2574" s="10"/>
      <c r="O2574" s="10"/>
      <c r="P2574" s="10" t="s">
        <v>17466</v>
      </c>
      <c r="Q2574" s="10" t="s">
        <v>14718</v>
      </c>
      <c r="R2574" s="10" t="s">
        <v>17467</v>
      </c>
      <c r="S2574" s="10" t="s">
        <v>53</v>
      </c>
      <c r="T2574" s="10" t="s">
        <v>54</v>
      </c>
    </row>
    <row r="2575" spans="1:20" ht="14.5" x14ac:dyDescent="0.35">
      <c r="A2575" s="10" t="s">
        <v>17468</v>
      </c>
      <c r="B2575" s="10" t="str">
        <f>"9780230620681"</f>
        <v>9780230620681</v>
      </c>
      <c r="C2575" s="10" t="str">
        <f>"9780230107885"</f>
        <v>9780230107885</v>
      </c>
      <c r="D2575" s="10" t="s">
        <v>11249</v>
      </c>
      <c r="E2575" s="10" t="s">
        <v>2400</v>
      </c>
      <c r="F2575" s="10" t="s">
        <v>70</v>
      </c>
      <c r="G2575" s="10" t="s">
        <v>6317</v>
      </c>
      <c r="H2575" s="11">
        <v>40380</v>
      </c>
      <c r="I2575" s="10">
        <v>2010</v>
      </c>
      <c r="J2575" s="10" t="s">
        <v>2400</v>
      </c>
      <c r="K2575" s="10">
        <v>256</v>
      </c>
      <c r="L2575" s="10" t="s">
        <v>17469</v>
      </c>
      <c r="M2575" s="10">
        <v>1</v>
      </c>
      <c r="N2575" s="10" t="s">
        <v>17470</v>
      </c>
      <c r="O2575" s="10"/>
      <c r="P2575" s="10" t="s">
        <v>11360</v>
      </c>
      <c r="Q2575" s="10"/>
      <c r="R2575" s="10" t="s">
        <v>17471</v>
      </c>
      <c r="S2575" s="10" t="s">
        <v>53</v>
      </c>
      <c r="T2575" s="10" t="s">
        <v>54</v>
      </c>
    </row>
    <row r="2576" spans="1:20" ht="14.5" x14ac:dyDescent="0.35">
      <c r="A2576" s="10" t="s">
        <v>17472</v>
      </c>
      <c r="B2576" s="10" t="str">
        <f>"9780230612341"</f>
        <v>9780230612341</v>
      </c>
      <c r="C2576" s="10" t="str">
        <f>"9780230105744"</f>
        <v>9780230105744</v>
      </c>
      <c r="D2576" s="10" t="s">
        <v>11249</v>
      </c>
      <c r="E2576" s="10" t="s">
        <v>2400</v>
      </c>
      <c r="F2576" s="10" t="s">
        <v>70</v>
      </c>
      <c r="G2576" s="10" t="s">
        <v>6317</v>
      </c>
      <c r="H2576" s="11">
        <v>40254</v>
      </c>
      <c r="I2576" s="10">
        <v>2010</v>
      </c>
      <c r="J2576" s="10" t="s">
        <v>2400</v>
      </c>
      <c r="K2576" s="10">
        <v>263</v>
      </c>
      <c r="L2576" s="10" t="s">
        <v>17473</v>
      </c>
      <c r="M2576" s="10">
        <v>1</v>
      </c>
      <c r="N2576" s="10" t="s">
        <v>11274</v>
      </c>
      <c r="O2576" s="10"/>
      <c r="P2576" s="10" t="s">
        <v>17474</v>
      </c>
      <c r="Q2576" s="10"/>
      <c r="R2576" s="10" t="s">
        <v>17475</v>
      </c>
      <c r="S2576" s="10" t="s">
        <v>53</v>
      </c>
      <c r="T2576" s="10" t="s">
        <v>54</v>
      </c>
    </row>
    <row r="2577" spans="1:20" ht="14.5" x14ac:dyDescent="0.35">
      <c r="A2577" s="10" t="s">
        <v>17476</v>
      </c>
      <c r="B2577" s="10" t="str">
        <f>"9781416610694"</f>
        <v>9781416610694</v>
      </c>
      <c r="C2577" s="10" t="str">
        <f>"9781416611547"</f>
        <v>9781416611547</v>
      </c>
      <c r="D2577" s="10" t="s">
        <v>10014</v>
      </c>
      <c r="E2577" s="10" t="s">
        <v>10015</v>
      </c>
      <c r="F2577" s="10" t="s">
        <v>201</v>
      </c>
      <c r="G2577" s="10" t="s">
        <v>6317</v>
      </c>
      <c r="H2577" s="11">
        <v>40451</v>
      </c>
      <c r="I2577" s="10">
        <v>2010</v>
      </c>
      <c r="J2577" s="10" t="s">
        <v>10015</v>
      </c>
      <c r="K2577" s="10">
        <v>147</v>
      </c>
      <c r="L2577" s="10" t="s">
        <v>17477</v>
      </c>
      <c r="M2577" s="10">
        <v>1</v>
      </c>
      <c r="N2577" s="10"/>
      <c r="O2577" s="10"/>
      <c r="P2577" s="10" t="s">
        <v>17478</v>
      </c>
      <c r="Q2577" s="10">
        <v>371.1</v>
      </c>
      <c r="R2577" s="10" t="s">
        <v>17479</v>
      </c>
      <c r="S2577" s="10" t="s">
        <v>53</v>
      </c>
      <c r="T2577" s="10" t="s">
        <v>54</v>
      </c>
    </row>
    <row r="2578" spans="1:20" ht="14.5" x14ac:dyDescent="0.35">
      <c r="A2578" s="10" t="s">
        <v>17480</v>
      </c>
      <c r="B2578" s="10" t="str">
        <f>"9781416610489"</f>
        <v>9781416610489</v>
      </c>
      <c r="C2578" s="10" t="str">
        <f>"9781416611721"</f>
        <v>9781416611721</v>
      </c>
      <c r="D2578" s="10" t="s">
        <v>10014</v>
      </c>
      <c r="E2578" s="10" t="s">
        <v>10015</v>
      </c>
      <c r="F2578" s="10" t="s">
        <v>201</v>
      </c>
      <c r="G2578" s="10" t="s">
        <v>6317</v>
      </c>
      <c r="H2578" s="11">
        <v>40451</v>
      </c>
      <c r="I2578" s="10">
        <v>2010</v>
      </c>
      <c r="J2578" s="10" t="s">
        <v>10015</v>
      </c>
      <c r="K2578" s="10">
        <v>169</v>
      </c>
      <c r="L2578" s="10" t="s">
        <v>12852</v>
      </c>
      <c r="M2578" s="10">
        <v>1</v>
      </c>
      <c r="N2578" s="10"/>
      <c r="O2578" s="10"/>
      <c r="P2578" s="10" t="s">
        <v>17481</v>
      </c>
      <c r="Q2578" s="10" t="s">
        <v>17482</v>
      </c>
      <c r="R2578" s="10" t="s">
        <v>17483</v>
      </c>
      <c r="S2578" s="10" t="s">
        <v>53</v>
      </c>
      <c r="T2578" s="10" t="s">
        <v>54</v>
      </c>
    </row>
    <row r="2579" spans="1:20" ht="14.5" x14ac:dyDescent="0.35">
      <c r="A2579" s="10" t="s">
        <v>17484</v>
      </c>
      <c r="B2579" s="10" t="str">
        <f>"9781416610892"</f>
        <v>9781416610892</v>
      </c>
      <c r="C2579" s="10" t="str">
        <f>"9781416611837"</f>
        <v>9781416611837</v>
      </c>
      <c r="D2579" s="10" t="s">
        <v>10014</v>
      </c>
      <c r="E2579" s="10" t="s">
        <v>10015</v>
      </c>
      <c r="F2579" s="10" t="s">
        <v>201</v>
      </c>
      <c r="G2579" s="10" t="s">
        <v>6317</v>
      </c>
      <c r="H2579" s="11">
        <v>40512</v>
      </c>
      <c r="I2579" s="10">
        <v>2010</v>
      </c>
      <c r="J2579" s="10" t="s">
        <v>10015</v>
      </c>
      <c r="K2579" s="10">
        <v>219</v>
      </c>
      <c r="L2579" s="10" t="s">
        <v>17485</v>
      </c>
      <c r="M2579" s="10">
        <v>1</v>
      </c>
      <c r="N2579" s="10"/>
      <c r="O2579" s="10"/>
      <c r="P2579" s="10" t="s">
        <v>17486</v>
      </c>
      <c r="Q2579" s="10" t="s">
        <v>15602</v>
      </c>
      <c r="R2579" s="10"/>
      <c r="S2579" s="10" t="s">
        <v>53</v>
      </c>
      <c r="T2579" s="10" t="s">
        <v>54</v>
      </c>
    </row>
    <row r="2580" spans="1:20" ht="14.5" x14ac:dyDescent="0.35">
      <c r="A2580" s="10" t="s">
        <v>17487</v>
      </c>
      <c r="B2580" s="10" t="str">
        <f>"9781416610687"</f>
        <v>9781416610687</v>
      </c>
      <c r="C2580" s="10" t="str">
        <f>"9781416611769"</f>
        <v>9781416611769</v>
      </c>
      <c r="D2580" s="10" t="s">
        <v>10014</v>
      </c>
      <c r="E2580" s="10" t="s">
        <v>10015</v>
      </c>
      <c r="F2580" s="10" t="s">
        <v>201</v>
      </c>
      <c r="G2580" s="10" t="s">
        <v>6317</v>
      </c>
      <c r="H2580" s="11">
        <v>40481</v>
      </c>
      <c r="I2580" s="10">
        <v>2010</v>
      </c>
      <c r="J2580" s="10" t="s">
        <v>10015</v>
      </c>
      <c r="K2580" s="10">
        <v>161</v>
      </c>
      <c r="L2580" s="10" t="s">
        <v>16543</v>
      </c>
      <c r="M2580" s="10">
        <v>1</v>
      </c>
      <c r="N2580" s="10"/>
      <c r="O2580" s="10"/>
      <c r="P2580" s="10" t="s">
        <v>17488</v>
      </c>
      <c r="Q2580" s="10">
        <v>371.39</v>
      </c>
      <c r="R2580" s="10" t="s">
        <v>17489</v>
      </c>
      <c r="S2580" s="10" t="s">
        <v>53</v>
      </c>
      <c r="T2580" s="10" t="s">
        <v>54</v>
      </c>
    </row>
    <row r="2581" spans="1:20" ht="14.5" x14ac:dyDescent="0.35">
      <c r="A2581" s="10" t="s">
        <v>17490</v>
      </c>
      <c r="B2581" s="10" t="str">
        <f>"9781416610854"</f>
        <v>9781416610854</v>
      </c>
      <c r="C2581" s="10" t="str">
        <f>"9781416611998"</f>
        <v>9781416611998</v>
      </c>
      <c r="D2581" s="10" t="s">
        <v>10014</v>
      </c>
      <c r="E2581" s="10" t="s">
        <v>10015</v>
      </c>
      <c r="F2581" s="10" t="s">
        <v>201</v>
      </c>
      <c r="G2581" s="10" t="s">
        <v>6317</v>
      </c>
      <c r="H2581" s="11">
        <v>41273</v>
      </c>
      <c r="I2581" s="10">
        <v>2010</v>
      </c>
      <c r="J2581" s="10" t="s">
        <v>10015</v>
      </c>
      <c r="K2581" s="10">
        <v>211</v>
      </c>
      <c r="L2581" s="10" t="s">
        <v>17491</v>
      </c>
      <c r="M2581" s="10">
        <v>1</v>
      </c>
      <c r="N2581" s="10"/>
      <c r="O2581" s="10"/>
      <c r="P2581" s="10" t="s">
        <v>17492</v>
      </c>
      <c r="Q2581" s="10">
        <v>371.39</v>
      </c>
      <c r="R2581" s="10" t="s">
        <v>17493</v>
      </c>
      <c r="S2581" s="10" t="s">
        <v>53</v>
      </c>
      <c r="T2581" s="10" t="s">
        <v>54</v>
      </c>
    </row>
    <row r="2582" spans="1:20" ht="14.5" x14ac:dyDescent="0.35">
      <c r="A2582" s="10" t="s">
        <v>17494</v>
      </c>
      <c r="B2582" s="10" t="str">
        <f>"9781416610595"</f>
        <v>9781416610595</v>
      </c>
      <c r="C2582" s="10" t="str">
        <f>"9781416612032"</f>
        <v>9781416612032</v>
      </c>
      <c r="D2582" s="10" t="s">
        <v>10014</v>
      </c>
      <c r="E2582" s="10" t="s">
        <v>10015</v>
      </c>
      <c r="F2582" s="10" t="s">
        <v>201</v>
      </c>
      <c r="G2582" s="10" t="s">
        <v>6317</v>
      </c>
      <c r="H2582" s="11">
        <v>40512</v>
      </c>
      <c r="I2582" s="10">
        <v>2010</v>
      </c>
      <c r="J2582" s="10" t="s">
        <v>10015</v>
      </c>
      <c r="K2582" s="10">
        <v>227</v>
      </c>
      <c r="L2582" s="10" t="s">
        <v>17495</v>
      </c>
      <c r="M2582" s="10">
        <v>1</v>
      </c>
      <c r="N2582" s="10"/>
      <c r="O2582" s="10"/>
      <c r="P2582" s="10" t="s">
        <v>17496</v>
      </c>
      <c r="Q2582" s="10" t="s">
        <v>17497</v>
      </c>
      <c r="R2582" s="10" t="s">
        <v>17498</v>
      </c>
      <c r="S2582" s="10" t="s">
        <v>53</v>
      </c>
      <c r="T2582" s="10" t="s">
        <v>54</v>
      </c>
    </row>
    <row r="2583" spans="1:20" ht="14.5" x14ac:dyDescent="0.35">
      <c r="A2583" s="10" t="s">
        <v>17499</v>
      </c>
      <c r="B2583" s="10" t="str">
        <f>"9781416610748"</f>
        <v>9781416610748</v>
      </c>
      <c r="C2583" s="10" t="str">
        <f>"9781416611868"</f>
        <v>9781416611868</v>
      </c>
      <c r="D2583" s="10" t="s">
        <v>10014</v>
      </c>
      <c r="E2583" s="10" t="s">
        <v>10015</v>
      </c>
      <c r="F2583" s="10" t="s">
        <v>201</v>
      </c>
      <c r="G2583" s="10" t="s">
        <v>6317</v>
      </c>
      <c r="H2583" s="11">
        <v>41330</v>
      </c>
      <c r="I2583" s="10">
        <v>2010</v>
      </c>
      <c r="J2583" s="10" t="s">
        <v>10015</v>
      </c>
      <c r="K2583" s="10">
        <v>211</v>
      </c>
      <c r="L2583" s="10" t="s">
        <v>17500</v>
      </c>
      <c r="M2583" s="10">
        <v>1</v>
      </c>
      <c r="N2583" s="10"/>
      <c r="O2583" s="10"/>
      <c r="P2583" s="10" t="s">
        <v>17501</v>
      </c>
      <c r="Q2583" s="10" t="s">
        <v>10031</v>
      </c>
      <c r="R2583" s="10" t="s">
        <v>17502</v>
      </c>
      <c r="S2583" s="10" t="s">
        <v>53</v>
      </c>
      <c r="T2583" s="10" t="s">
        <v>54</v>
      </c>
    </row>
    <row r="2584" spans="1:20" ht="14.5" x14ac:dyDescent="0.35">
      <c r="A2584" s="10" t="s">
        <v>17503</v>
      </c>
      <c r="B2584" s="10" t="str">
        <f>"9781416610670"</f>
        <v>9781416610670</v>
      </c>
      <c r="C2584" s="10" t="str">
        <f>"9781416611660"</f>
        <v>9781416611660</v>
      </c>
      <c r="D2584" s="10" t="s">
        <v>10014</v>
      </c>
      <c r="E2584" s="10" t="s">
        <v>10015</v>
      </c>
      <c r="F2584" s="10" t="s">
        <v>201</v>
      </c>
      <c r="G2584" s="10" t="s">
        <v>6317</v>
      </c>
      <c r="H2584" s="11">
        <v>40451</v>
      </c>
      <c r="I2584" s="10">
        <v>2010</v>
      </c>
      <c r="J2584" s="10" t="s">
        <v>10015</v>
      </c>
      <c r="K2584" s="10">
        <v>265</v>
      </c>
      <c r="L2584" s="10" t="s">
        <v>17504</v>
      </c>
      <c r="M2584" s="10">
        <v>2</v>
      </c>
      <c r="N2584" s="10"/>
      <c r="O2584" s="10"/>
      <c r="P2584" s="10" t="s">
        <v>17505</v>
      </c>
      <c r="Q2584" s="10" t="s">
        <v>6942</v>
      </c>
      <c r="R2584" s="10" t="s">
        <v>17506</v>
      </c>
      <c r="S2584" s="10" t="s">
        <v>53</v>
      </c>
      <c r="T2584" s="10" t="s">
        <v>54</v>
      </c>
    </row>
    <row r="2585" spans="1:20" ht="14.5" x14ac:dyDescent="0.35">
      <c r="A2585" s="10" t="s">
        <v>17507</v>
      </c>
      <c r="B2585" s="10" t="str">
        <f>"9781416610915"</f>
        <v>9781416610915</v>
      </c>
      <c r="C2585" s="10" t="str">
        <f>"9781416612766"</f>
        <v>9781416612766</v>
      </c>
      <c r="D2585" s="10" t="s">
        <v>10014</v>
      </c>
      <c r="E2585" s="10" t="s">
        <v>10015</v>
      </c>
      <c r="F2585" s="10" t="s">
        <v>201</v>
      </c>
      <c r="G2585" s="10" t="s">
        <v>6317</v>
      </c>
      <c r="H2585" s="11">
        <v>40512</v>
      </c>
      <c r="I2585" s="10">
        <v>2010</v>
      </c>
      <c r="J2585" s="10" t="s">
        <v>10015</v>
      </c>
      <c r="K2585" s="10">
        <v>211</v>
      </c>
      <c r="L2585" s="10" t="s">
        <v>17508</v>
      </c>
      <c r="M2585" s="10">
        <v>1</v>
      </c>
      <c r="N2585" s="10"/>
      <c r="O2585" s="10"/>
      <c r="P2585" s="10" t="s">
        <v>17509</v>
      </c>
      <c r="Q2585" s="10" t="s">
        <v>8460</v>
      </c>
      <c r="R2585" s="10" t="s">
        <v>17510</v>
      </c>
      <c r="S2585" s="10" t="s">
        <v>53</v>
      </c>
      <c r="T2585" s="10" t="s">
        <v>54</v>
      </c>
    </row>
    <row r="2586" spans="1:20" ht="14.5" x14ac:dyDescent="0.35">
      <c r="A2586" s="10" t="s">
        <v>17511</v>
      </c>
      <c r="B2586" s="10" t="str">
        <f>"9780253223302"</f>
        <v>9780253223302</v>
      </c>
      <c r="C2586" s="10" t="str">
        <f>"9780253004949"</f>
        <v>9780253004949</v>
      </c>
      <c r="D2586" s="10" t="s">
        <v>2455</v>
      </c>
      <c r="E2586" s="10" t="s">
        <v>2455</v>
      </c>
      <c r="F2586" s="10" t="s">
        <v>3101</v>
      </c>
      <c r="G2586" s="10" t="s">
        <v>6317</v>
      </c>
      <c r="H2586" s="11">
        <v>40497</v>
      </c>
      <c r="I2586" s="10">
        <v>2010</v>
      </c>
      <c r="J2586" s="10" t="s">
        <v>2455</v>
      </c>
      <c r="K2586" s="10">
        <v>197</v>
      </c>
      <c r="L2586" s="10" t="s">
        <v>17512</v>
      </c>
      <c r="M2586" s="10">
        <v>1</v>
      </c>
      <c r="N2586" s="10"/>
      <c r="O2586" s="10"/>
      <c r="P2586" s="10" t="s">
        <v>17513</v>
      </c>
      <c r="Q2586" s="10" t="s">
        <v>8800</v>
      </c>
      <c r="R2586" s="10" t="s">
        <v>17514</v>
      </c>
      <c r="S2586" s="10" t="s">
        <v>53</v>
      </c>
      <c r="T2586" s="10" t="s">
        <v>6526</v>
      </c>
    </row>
    <row r="2587" spans="1:20" ht="14.5" x14ac:dyDescent="0.35">
      <c r="A2587" s="10" t="s">
        <v>17515</v>
      </c>
      <c r="B2587" s="10" t="str">
        <f>"9780470547441"</f>
        <v>9780470547441</v>
      </c>
      <c r="C2587" s="10" t="str">
        <f>"9780470880890"</f>
        <v>9780470880890</v>
      </c>
      <c r="D2587" s="10" t="s">
        <v>6322</v>
      </c>
      <c r="E2587" s="10" t="s">
        <v>15260</v>
      </c>
      <c r="F2587" s="10" t="s">
        <v>4423</v>
      </c>
      <c r="G2587" s="10" t="s">
        <v>6317</v>
      </c>
      <c r="H2587" s="11">
        <v>40484</v>
      </c>
      <c r="I2587" s="10">
        <v>2011</v>
      </c>
      <c r="J2587" s="10" t="s">
        <v>15260</v>
      </c>
      <c r="K2587" s="10">
        <v>423</v>
      </c>
      <c r="L2587" s="10" t="s">
        <v>17516</v>
      </c>
      <c r="M2587" s="10">
        <v>2</v>
      </c>
      <c r="N2587" s="10"/>
      <c r="O2587" s="10"/>
      <c r="P2587" s="10" t="s">
        <v>17517</v>
      </c>
      <c r="Q2587" s="10"/>
      <c r="R2587" s="10" t="s">
        <v>6832</v>
      </c>
      <c r="S2587" s="10" t="s">
        <v>53</v>
      </c>
      <c r="T2587" s="10" t="s">
        <v>54</v>
      </c>
    </row>
    <row r="2588" spans="1:20" ht="14.5" x14ac:dyDescent="0.35">
      <c r="A2588" s="10" t="s">
        <v>17518</v>
      </c>
      <c r="B2588" s="10" t="str">
        <f>"9780470903001"</f>
        <v>9780470903001</v>
      </c>
      <c r="C2588" s="10" t="str">
        <f>"9780470907597"</f>
        <v>9780470907597</v>
      </c>
      <c r="D2588" s="10" t="s">
        <v>6322</v>
      </c>
      <c r="E2588" s="10" t="s">
        <v>6323</v>
      </c>
      <c r="F2588" s="10" t="s">
        <v>4423</v>
      </c>
      <c r="G2588" s="10" t="s">
        <v>6317</v>
      </c>
      <c r="H2588" s="11">
        <v>40477</v>
      </c>
      <c r="I2588" s="10">
        <v>2011</v>
      </c>
      <c r="J2588" s="10" t="s">
        <v>6324</v>
      </c>
      <c r="K2588" s="10">
        <v>339</v>
      </c>
      <c r="L2588" s="10" t="s">
        <v>17519</v>
      </c>
      <c r="M2588" s="10">
        <v>1</v>
      </c>
      <c r="N2588" s="10"/>
      <c r="O2588" s="10"/>
      <c r="P2588" s="10" t="s">
        <v>17520</v>
      </c>
      <c r="Q2588" s="10" t="s">
        <v>7307</v>
      </c>
      <c r="R2588" s="10" t="s">
        <v>17521</v>
      </c>
      <c r="S2588" s="10" t="s">
        <v>53</v>
      </c>
      <c r="T2588" s="10" t="s">
        <v>54</v>
      </c>
    </row>
    <row r="2589" spans="1:20" ht="14.5" x14ac:dyDescent="0.35">
      <c r="A2589" s="10" t="s">
        <v>17522</v>
      </c>
      <c r="B2589" s="10" t="str">
        <f>"9780470503768"</f>
        <v>9780470503768</v>
      </c>
      <c r="C2589" s="10" t="str">
        <f>"9780470901274"</f>
        <v>9780470901274</v>
      </c>
      <c r="D2589" s="10" t="s">
        <v>6322</v>
      </c>
      <c r="E2589" s="10" t="s">
        <v>6323</v>
      </c>
      <c r="F2589" s="10" t="s">
        <v>1168</v>
      </c>
      <c r="G2589" s="10" t="s">
        <v>6317</v>
      </c>
      <c r="H2589" s="11">
        <v>40484</v>
      </c>
      <c r="I2589" s="10">
        <v>2010</v>
      </c>
      <c r="J2589" s="10" t="s">
        <v>6324</v>
      </c>
      <c r="K2589" s="10">
        <v>282</v>
      </c>
      <c r="L2589" s="10" t="s">
        <v>17523</v>
      </c>
      <c r="M2589" s="10">
        <v>1</v>
      </c>
      <c r="N2589" s="10"/>
      <c r="O2589" s="10"/>
      <c r="P2589" s="10" t="s">
        <v>17524</v>
      </c>
      <c r="Q2589" s="10">
        <v>378.166</v>
      </c>
      <c r="R2589" s="10" t="s">
        <v>17525</v>
      </c>
      <c r="S2589" s="10" t="s">
        <v>53</v>
      </c>
      <c r="T2589" s="10" t="s">
        <v>54</v>
      </c>
    </row>
    <row r="2590" spans="1:20" ht="14.5" x14ac:dyDescent="0.35">
      <c r="A2590" s="10" t="s">
        <v>17526</v>
      </c>
      <c r="B2590" s="10" t="str">
        <f>"9780826106049"</f>
        <v>9780826106049</v>
      </c>
      <c r="C2590" s="10" t="str">
        <f>"9780826106056"</f>
        <v>9780826106056</v>
      </c>
      <c r="D2590" s="10" t="s">
        <v>3370</v>
      </c>
      <c r="E2590" s="10" t="s">
        <v>10927</v>
      </c>
      <c r="F2590" s="10" t="s">
        <v>70</v>
      </c>
      <c r="G2590" s="10" t="s">
        <v>6317</v>
      </c>
      <c r="H2590" s="11">
        <v>40502</v>
      </c>
      <c r="I2590" s="10">
        <v>2011</v>
      </c>
      <c r="J2590" s="10" t="s">
        <v>10927</v>
      </c>
      <c r="K2590" s="10">
        <v>338</v>
      </c>
      <c r="L2590" s="10" t="s">
        <v>17527</v>
      </c>
      <c r="M2590" s="10">
        <v>2</v>
      </c>
      <c r="N2590" s="10"/>
      <c r="O2590" s="10"/>
      <c r="P2590" s="10" t="s">
        <v>17528</v>
      </c>
      <c r="Q2590" s="10"/>
      <c r="R2590" s="10" t="s">
        <v>17529</v>
      </c>
      <c r="S2590" s="10" t="s">
        <v>53</v>
      </c>
      <c r="T2590" s="10" t="s">
        <v>54</v>
      </c>
    </row>
    <row r="2591" spans="1:20" ht="14.5" x14ac:dyDescent="0.35">
      <c r="A2591" s="10" t="s">
        <v>17530</v>
      </c>
      <c r="B2591" s="10" t="str">
        <f>"9780465022229"</f>
        <v>9780465022229</v>
      </c>
      <c r="C2591" s="10" t="str">
        <f>"9780465025336"</f>
        <v>9780465025336</v>
      </c>
      <c r="D2591" s="10" t="s">
        <v>15536</v>
      </c>
      <c r="E2591" s="10" t="s">
        <v>16100</v>
      </c>
      <c r="F2591" s="10" t="s">
        <v>70</v>
      </c>
      <c r="G2591" s="10" t="s">
        <v>6317</v>
      </c>
      <c r="H2591" s="11">
        <v>40554</v>
      </c>
      <c r="I2591" s="10">
        <v>2011</v>
      </c>
      <c r="J2591" s="10" t="s">
        <v>16100</v>
      </c>
      <c r="K2591" s="10">
        <v>165</v>
      </c>
      <c r="L2591" s="10" t="s">
        <v>17531</v>
      </c>
      <c r="M2591" s="10">
        <v>2</v>
      </c>
      <c r="N2591" s="10"/>
      <c r="O2591" s="10"/>
      <c r="P2591" s="10" t="s">
        <v>17532</v>
      </c>
      <c r="Q2591" s="10">
        <v>502.3</v>
      </c>
      <c r="R2591" s="10" t="s">
        <v>17533</v>
      </c>
      <c r="S2591" s="10" t="s">
        <v>53</v>
      </c>
      <c r="T2591" s="10" t="s">
        <v>7193</v>
      </c>
    </row>
    <row r="2592" spans="1:20" ht="14.5" x14ac:dyDescent="0.35">
      <c r="A2592" s="10" t="s">
        <v>17534</v>
      </c>
      <c r="B2592" s="10" t="str">
        <f>"9780465072101"</f>
        <v>9780465072101</v>
      </c>
      <c r="C2592" s="10" t="str">
        <f>"9780786743629"</f>
        <v>9780786743629</v>
      </c>
      <c r="D2592" s="10" t="s">
        <v>15536</v>
      </c>
      <c r="E2592" s="10" t="s">
        <v>16100</v>
      </c>
      <c r="F2592" s="10" t="s">
        <v>70</v>
      </c>
      <c r="G2592" s="10" t="s">
        <v>6317</v>
      </c>
      <c r="H2592" s="11">
        <v>38455</v>
      </c>
      <c r="I2592" s="10">
        <v>2009</v>
      </c>
      <c r="J2592" s="10" t="s">
        <v>16100</v>
      </c>
      <c r="K2592" s="10">
        <v>289</v>
      </c>
      <c r="L2592" s="10" t="s">
        <v>17535</v>
      </c>
      <c r="M2592" s="10">
        <v>1</v>
      </c>
      <c r="N2592" s="10" t="s">
        <v>17536</v>
      </c>
      <c r="O2592" s="10"/>
      <c r="P2592" s="10" t="s">
        <v>17537</v>
      </c>
      <c r="Q2592" s="10" t="s">
        <v>17538</v>
      </c>
      <c r="R2592" s="10" t="s">
        <v>17539</v>
      </c>
      <c r="S2592" s="10" t="s">
        <v>53</v>
      </c>
      <c r="T2592" s="10" t="s">
        <v>6472</v>
      </c>
    </row>
    <row r="2593" spans="1:20" ht="14.5" x14ac:dyDescent="0.35">
      <c r="A2593" s="10" t="s">
        <v>17540</v>
      </c>
      <c r="B2593" s="10" t="str">
        <f>"9781845202644"</f>
        <v>9781845202644</v>
      </c>
      <c r="C2593" s="10" t="str">
        <f>"9781847887658"</f>
        <v>9781847887658</v>
      </c>
      <c r="D2593" s="10" t="s">
        <v>13959</v>
      </c>
      <c r="E2593" s="10" t="s">
        <v>13960</v>
      </c>
      <c r="F2593" s="10" t="s">
        <v>139</v>
      </c>
      <c r="G2593" s="10" t="s">
        <v>6352</v>
      </c>
      <c r="H2593" s="11">
        <v>40513</v>
      </c>
      <c r="I2593" s="10">
        <v>2010</v>
      </c>
      <c r="J2593" s="10" t="s">
        <v>17541</v>
      </c>
      <c r="K2593" s="10">
        <v>168</v>
      </c>
      <c r="L2593" s="10" t="s">
        <v>17542</v>
      </c>
      <c r="M2593" s="10">
        <v>1</v>
      </c>
      <c r="N2593" s="10"/>
      <c r="O2593" s="10"/>
      <c r="P2593" s="10" t="s">
        <v>17543</v>
      </c>
      <c r="Q2593" s="10">
        <v>379.43</v>
      </c>
      <c r="R2593" s="10" t="s">
        <v>17544</v>
      </c>
      <c r="S2593" s="10" t="s">
        <v>53</v>
      </c>
      <c r="T2593" s="10" t="s">
        <v>54</v>
      </c>
    </row>
    <row r="2594" spans="1:20" ht="14.5" x14ac:dyDescent="0.35">
      <c r="A2594" s="10" t="s">
        <v>17545</v>
      </c>
      <c r="B2594" s="10" t="str">
        <f>"9781442204539"</f>
        <v>9781442204539</v>
      </c>
      <c r="C2594" s="10" t="str">
        <f>"9781442204546"</f>
        <v>9781442204546</v>
      </c>
      <c r="D2594" s="10" t="s">
        <v>15207</v>
      </c>
      <c r="E2594" s="10" t="s">
        <v>15187</v>
      </c>
      <c r="F2594" s="10" t="s">
        <v>9754</v>
      </c>
      <c r="G2594" s="10" t="s">
        <v>6317</v>
      </c>
      <c r="H2594" s="11">
        <v>40528</v>
      </c>
      <c r="I2594" s="10">
        <v>2010</v>
      </c>
      <c r="J2594" s="10" t="s">
        <v>15187</v>
      </c>
      <c r="K2594" s="10">
        <v>133</v>
      </c>
      <c r="L2594" s="10" t="s">
        <v>17546</v>
      </c>
      <c r="M2594" s="10">
        <v>1</v>
      </c>
      <c r="N2594" s="10"/>
      <c r="O2594" s="10"/>
      <c r="P2594" s="10" t="s">
        <v>17547</v>
      </c>
      <c r="Q2594" s="10">
        <v>371.1</v>
      </c>
      <c r="R2594" s="10" t="s">
        <v>17548</v>
      </c>
      <c r="S2594" s="10" t="s">
        <v>53</v>
      </c>
      <c r="T2594" s="10" t="s">
        <v>54</v>
      </c>
    </row>
    <row r="2595" spans="1:20" ht="14.5" x14ac:dyDescent="0.35">
      <c r="A2595" s="10" t="s">
        <v>17549</v>
      </c>
      <c r="B2595" s="10" t="str">
        <f>"9781442205666"</f>
        <v>9781442205666</v>
      </c>
      <c r="C2595" s="10" t="str">
        <f>"9781442205673"</f>
        <v>9781442205673</v>
      </c>
      <c r="D2595" s="10" t="s">
        <v>9752</v>
      </c>
      <c r="E2595" s="10" t="s">
        <v>15187</v>
      </c>
      <c r="F2595" s="10" t="s">
        <v>9754</v>
      </c>
      <c r="G2595" s="10" t="s">
        <v>6317</v>
      </c>
      <c r="H2595" s="11">
        <v>40467</v>
      </c>
      <c r="I2595" s="10">
        <v>2011</v>
      </c>
      <c r="J2595" s="10" t="s">
        <v>15187</v>
      </c>
      <c r="K2595" s="10">
        <v>151</v>
      </c>
      <c r="L2595" s="10" t="s">
        <v>17550</v>
      </c>
      <c r="M2595" s="10">
        <v>25</v>
      </c>
      <c r="N2595" s="10"/>
      <c r="O2595" s="10"/>
      <c r="P2595" s="10" t="s">
        <v>17551</v>
      </c>
      <c r="Q2595" s="10" t="s">
        <v>17552</v>
      </c>
      <c r="R2595" s="10" t="s">
        <v>17553</v>
      </c>
      <c r="S2595" s="10" t="s">
        <v>53</v>
      </c>
      <c r="T2595" s="10" t="s">
        <v>12015</v>
      </c>
    </row>
    <row r="2596" spans="1:20" ht="14.5" x14ac:dyDescent="0.35">
      <c r="A2596" s="10" t="s">
        <v>17554</v>
      </c>
      <c r="B2596" s="10" t="str">
        <f>"9781442206168"</f>
        <v>9781442206168</v>
      </c>
      <c r="C2596" s="10" t="str">
        <f>"9781442206182"</f>
        <v>9781442206182</v>
      </c>
      <c r="D2596" s="10" t="s">
        <v>9752</v>
      </c>
      <c r="E2596" s="10" t="s">
        <v>15187</v>
      </c>
      <c r="F2596" s="10" t="s">
        <v>9754</v>
      </c>
      <c r="G2596" s="10" t="s">
        <v>6317</v>
      </c>
      <c r="H2596" s="11">
        <v>40467</v>
      </c>
      <c r="I2596" s="10">
        <v>2010</v>
      </c>
      <c r="J2596" s="10" t="s">
        <v>15187</v>
      </c>
      <c r="K2596" s="10">
        <v>133</v>
      </c>
      <c r="L2596" s="10" t="s">
        <v>17555</v>
      </c>
      <c r="M2596" s="10">
        <v>1</v>
      </c>
      <c r="N2596" s="10"/>
      <c r="O2596" s="10"/>
      <c r="P2596" s="10" t="s">
        <v>17556</v>
      </c>
      <c r="Q2596" s="10">
        <v>371.20120951248998</v>
      </c>
      <c r="R2596" s="10" t="s">
        <v>17557</v>
      </c>
      <c r="S2596" s="10" t="s">
        <v>53</v>
      </c>
      <c r="T2596" s="10" t="s">
        <v>54</v>
      </c>
    </row>
    <row r="2597" spans="1:20" ht="14.5" x14ac:dyDescent="0.35">
      <c r="A2597" s="10" t="s">
        <v>17558</v>
      </c>
      <c r="B2597" s="10" t="str">
        <f>"9781607094975"</f>
        <v>9781607094975</v>
      </c>
      <c r="C2597" s="10" t="str">
        <f>"9781607094999"</f>
        <v>9781607094999</v>
      </c>
      <c r="D2597" s="10" t="s">
        <v>9752</v>
      </c>
      <c r="E2597" s="10" t="s">
        <v>15192</v>
      </c>
      <c r="F2597" s="10" t="s">
        <v>9754</v>
      </c>
      <c r="G2597" s="10" t="s">
        <v>6317</v>
      </c>
      <c r="H2597" s="11">
        <v>40467</v>
      </c>
      <c r="I2597" s="10">
        <v>2010</v>
      </c>
      <c r="J2597" s="10" t="s">
        <v>15192</v>
      </c>
      <c r="K2597" s="10">
        <v>123</v>
      </c>
      <c r="L2597" s="10" t="s">
        <v>17559</v>
      </c>
      <c r="M2597" s="10">
        <v>1</v>
      </c>
      <c r="N2597" s="10"/>
      <c r="O2597" s="10"/>
      <c r="P2597" s="10" t="s">
        <v>17560</v>
      </c>
      <c r="Q2597" s="10" t="s">
        <v>17561</v>
      </c>
      <c r="R2597" s="10" t="s">
        <v>17562</v>
      </c>
      <c r="S2597" s="10" t="s">
        <v>53</v>
      </c>
      <c r="T2597" s="10" t="s">
        <v>6384</v>
      </c>
    </row>
    <row r="2598" spans="1:20" ht="14.5" x14ac:dyDescent="0.35">
      <c r="A2598" s="10" t="s">
        <v>17563</v>
      </c>
      <c r="B2598" s="10" t="str">
        <f>"9781607095040"</f>
        <v>9781607095040</v>
      </c>
      <c r="C2598" s="10" t="str">
        <f>"9781607095057"</f>
        <v>9781607095057</v>
      </c>
      <c r="D2598" s="10" t="s">
        <v>9752</v>
      </c>
      <c r="E2598" s="10" t="s">
        <v>15192</v>
      </c>
      <c r="F2598" s="10" t="s">
        <v>9754</v>
      </c>
      <c r="G2598" s="10" t="s">
        <v>6317</v>
      </c>
      <c r="H2598" s="11">
        <v>40253</v>
      </c>
      <c r="I2598" s="10">
        <v>2009</v>
      </c>
      <c r="J2598" s="10" t="s">
        <v>15192</v>
      </c>
      <c r="K2598" s="10">
        <v>175</v>
      </c>
      <c r="L2598" s="10" t="s">
        <v>17564</v>
      </c>
      <c r="M2598" s="10">
        <v>1</v>
      </c>
      <c r="N2598" s="10"/>
      <c r="O2598" s="10"/>
      <c r="P2598" s="10" t="s">
        <v>17565</v>
      </c>
      <c r="Q2598" s="10">
        <v>371.26097299999998</v>
      </c>
      <c r="R2598" s="10" t="s">
        <v>17566</v>
      </c>
      <c r="S2598" s="10" t="s">
        <v>53</v>
      </c>
      <c r="T2598" s="10" t="s">
        <v>54</v>
      </c>
    </row>
    <row r="2599" spans="1:20" ht="14.5" x14ac:dyDescent="0.35">
      <c r="A2599" s="10" t="s">
        <v>17567</v>
      </c>
      <c r="B2599" s="10" t="str">
        <f>"9781607095361"</f>
        <v>9781607095361</v>
      </c>
      <c r="C2599" s="10" t="str">
        <f>"9781607095385"</f>
        <v>9781607095385</v>
      </c>
      <c r="D2599" s="10" t="s">
        <v>9752</v>
      </c>
      <c r="E2599" s="10" t="s">
        <v>15187</v>
      </c>
      <c r="F2599" s="10" t="s">
        <v>9754</v>
      </c>
      <c r="G2599" s="10" t="s">
        <v>6317</v>
      </c>
      <c r="H2599" s="11">
        <v>40194</v>
      </c>
      <c r="I2599" s="10">
        <v>2009</v>
      </c>
      <c r="J2599" s="10" t="s">
        <v>15187</v>
      </c>
      <c r="K2599" s="10">
        <v>113</v>
      </c>
      <c r="L2599" s="10" t="s">
        <v>17568</v>
      </c>
      <c r="M2599" s="10">
        <v>1</v>
      </c>
      <c r="N2599" s="10"/>
      <c r="O2599" s="10"/>
      <c r="P2599" s="10" t="s">
        <v>17569</v>
      </c>
      <c r="Q2599" s="10" t="s">
        <v>10227</v>
      </c>
      <c r="R2599" s="10" t="s">
        <v>17570</v>
      </c>
      <c r="S2599" s="10" t="s">
        <v>53</v>
      </c>
      <c r="T2599" s="10" t="s">
        <v>54</v>
      </c>
    </row>
    <row r="2600" spans="1:20" ht="14.5" x14ac:dyDescent="0.35">
      <c r="A2600" s="10" t="s">
        <v>17571</v>
      </c>
      <c r="B2600" s="10" t="str">
        <f>"9781607096795"</f>
        <v>9781607096795</v>
      </c>
      <c r="C2600" s="10" t="str">
        <f>"9781607096818"</f>
        <v>9781607096818</v>
      </c>
      <c r="D2600" s="10" t="s">
        <v>9752</v>
      </c>
      <c r="E2600" s="10" t="s">
        <v>15192</v>
      </c>
      <c r="F2600" s="10" t="s">
        <v>9754</v>
      </c>
      <c r="G2600" s="10" t="s">
        <v>6317</v>
      </c>
      <c r="H2600" s="11">
        <v>40498</v>
      </c>
      <c r="I2600" s="10">
        <v>2010</v>
      </c>
      <c r="J2600" s="10" t="s">
        <v>15192</v>
      </c>
      <c r="K2600" s="10">
        <v>185</v>
      </c>
      <c r="L2600" s="10" t="s">
        <v>17572</v>
      </c>
      <c r="M2600" s="10">
        <v>1</v>
      </c>
      <c r="N2600" s="10"/>
      <c r="O2600" s="10"/>
      <c r="P2600" s="10" t="s">
        <v>17573</v>
      </c>
      <c r="Q2600" s="10" t="s">
        <v>17574</v>
      </c>
      <c r="R2600" s="10" t="s">
        <v>17575</v>
      </c>
      <c r="S2600" s="10" t="s">
        <v>53</v>
      </c>
      <c r="T2600" s="10" t="s">
        <v>54</v>
      </c>
    </row>
    <row r="2601" spans="1:20" ht="14.5" x14ac:dyDescent="0.35">
      <c r="A2601" s="10" t="s">
        <v>17576</v>
      </c>
      <c r="B2601" s="10" t="str">
        <f>"9781607096924"</f>
        <v>9781607096924</v>
      </c>
      <c r="C2601" s="10" t="str">
        <f>"9781607096948"</f>
        <v>9781607096948</v>
      </c>
      <c r="D2601" s="10" t="s">
        <v>9752</v>
      </c>
      <c r="E2601" s="10" t="s">
        <v>15192</v>
      </c>
      <c r="F2601" s="10" t="s">
        <v>9754</v>
      </c>
      <c r="G2601" s="10" t="s">
        <v>6317</v>
      </c>
      <c r="H2601" s="11">
        <v>40467</v>
      </c>
      <c r="I2601" s="10">
        <v>2010</v>
      </c>
      <c r="J2601" s="10" t="s">
        <v>15192</v>
      </c>
      <c r="K2601" s="10">
        <v>229</v>
      </c>
      <c r="L2601" s="10" t="s">
        <v>17577</v>
      </c>
      <c r="M2601" s="10">
        <v>1</v>
      </c>
      <c r="N2601" s="10"/>
      <c r="O2601" s="10"/>
      <c r="P2601" s="10" t="s">
        <v>17578</v>
      </c>
      <c r="Q2601" s="10">
        <v>370.72</v>
      </c>
      <c r="R2601" s="10" t="s">
        <v>17579</v>
      </c>
      <c r="S2601" s="10" t="s">
        <v>53</v>
      </c>
      <c r="T2601" s="10" t="s">
        <v>54</v>
      </c>
    </row>
    <row r="2602" spans="1:20" ht="14.5" x14ac:dyDescent="0.35">
      <c r="A2602" s="10" t="s">
        <v>17580</v>
      </c>
      <c r="B2602" s="10" t="str">
        <f>"9781607097327"</f>
        <v>9781607097327</v>
      </c>
      <c r="C2602" s="10" t="str">
        <f>"9781607097341"</f>
        <v>9781607097341</v>
      </c>
      <c r="D2602" s="10" t="s">
        <v>9752</v>
      </c>
      <c r="E2602" s="10" t="s">
        <v>15192</v>
      </c>
      <c r="F2602" s="10" t="s">
        <v>9754</v>
      </c>
      <c r="G2602" s="10" t="s">
        <v>6317</v>
      </c>
      <c r="H2602" s="11">
        <v>40467</v>
      </c>
      <c r="I2602" s="10">
        <v>2010</v>
      </c>
      <c r="J2602" s="10" t="s">
        <v>15192</v>
      </c>
      <c r="K2602" s="10">
        <v>267</v>
      </c>
      <c r="L2602" s="10" t="s">
        <v>17581</v>
      </c>
      <c r="M2602" s="10">
        <v>1</v>
      </c>
      <c r="N2602" s="10"/>
      <c r="O2602" s="10"/>
      <c r="P2602" s="10" t="s">
        <v>17582</v>
      </c>
      <c r="Q2602" s="10">
        <v>371.1</v>
      </c>
      <c r="R2602" s="10" t="s">
        <v>17583</v>
      </c>
      <c r="S2602" s="10" t="s">
        <v>53</v>
      </c>
      <c r="T2602" s="10" t="s">
        <v>54</v>
      </c>
    </row>
    <row r="2603" spans="1:20" ht="14.5" x14ac:dyDescent="0.35">
      <c r="A2603" s="10" t="s">
        <v>17584</v>
      </c>
      <c r="B2603" s="10" t="str">
        <f>"9781607098492"</f>
        <v>9781607098492</v>
      </c>
      <c r="C2603" s="10" t="str">
        <f>"9781607098515"</f>
        <v>9781607098515</v>
      </c>
      <c r="D2603" s="10" t="s">
        <v>9752</v>
      </c>
      <c r="E2603" s="10" t="s">
        <v>15192</v>
      </c>
      <c r="F2603" s="10" t="s">
        <v>9754</v>
      </c>
      <c r="G2603" s="10" t="s">
        <v>6317</v>
      </c>
      <c r="H2603" s="11">
        <v>40467</v>
      </c>
      <c r="I2603" s="10">
        <v>2010</v>
      </c>
      <c r="J2603" s="10" t="s">
        <v>15192</v>
      </c>
      <c r="K2603" s="10">
        <v>213</v>
      </c>
      <c r="L2603" s="10" t="s">
        <v>17585</v>
      </c>
      <c r="M2603" s="10">
        <v>1</v>
      </c>
      <c r="N2603" s="10"/>
      <c r="O2603" s="10"/>
      <c r="P2603" s="10" t="s">
        <v>17586</v>
      </c>
      <c r="Q2603" s="10">
        <v>370.97300000000001</v>
      </c>
      <c r="R2603" s="10" t="s">
        <v>17587</v>
      </c>
      <c r="S2603" s="10" t="s">
        <v>53</v>
      </c>
      <c r="T2603" s="10" t="s">
        <v>54</v>
      </c>
    </row>
    <row r="2604" spans="1:20" ht="14.5" x14ac:dyDescent="0.35">
      <c r="A2604" s="10" t="s">
        <v>17588</v>
      </c>
      <c r="B2604" s="10" t="str">
        <f>"9781607099130"</f>
        <v>9781607099130</v>
      </c>
      <c r="C2604" s="10" t="str">
        <f>"9781607099147"</f>
        <v>9781607099147</v>
      </c>
      <c r="D2604" s="10" t="s">
        <v>9752</v>
      </c>
      <c r="E2604" s="10" t="s">
        <v>15192</v>
      </c>
      <c r="F2604" s="10" t="s">
        <v>9754</v>
      </c>
      <c r="G2604" s="10" t="s">
        <v>6317</v>
      </c>
      <c r="H2604" s="11">
        <v>40467</v>
      </c>
      <c r="I2604" s="10">
        <v>2010</v>
      </c>
      <c r="J2604" s="10" t="s">
        <v>15192</v>
      </c>
      <c r="K2604" s="10">
        <v>203</v>
      </c>
      <c r="L2604" s="10" t="s">
        <v>17589</v>
      </c>
      <c r="M2604" s="10">
        <v>2</v>
      </c>
      <c r="N2604" s="10"/>
      <c r="O2604" s="10"/>
      <c r="P2604" s="10" t="s">
        <v>17590</v>
      </c>
      <c r="Q2604" s="10">
        <v>372.43</v>
      </c>
      <c r="R2604" s="10" t="s">
        <v>17591</v>
      </c>
      <c r="S2604" s="10" t="s">
        <v>53</v>
      </c>
      <c r="T2604" s="10" t="s">
        <v>54</v>
      </c>
    </row>
    <row r="2605" spans="1:20" ht="14.5" x14ac:dyDescent="0.35">
      <c r="A2605" s="10" t="s">
        <v>17592</v>
      </c>
      <c r="B2605" s="10" t="str">
        <f>"9781607099697"</f>
        <v>9781607099697</v>
      </c>
      <c r="C2605" s="10" t="str">
        <f>"9781607099710"</f>
        <v>9781607099710</v>
      </c>
      <c r="D2605" s="10" t="s">
        <v>9752</v>
      </c>
      <c r="E2605" s="10" t="s">
        <v>15192</v>
      </c>
      <c r="F2605" s="10" t="s">
        <v>9754</v>
      </c>
      <c r="G2605" s="10" t="s">
        <v>6317</v>
      </c>
      <c r="H2605" s="11">
        <v>40498</v>
      </c>
      <c r="I2605" s="10">
        <v>2010</v>
      </c>
      <c r="J2605" s="10" t="s">
        <v>15192</v>
      </c>
      <c r="K2605" s="10">
        <v>135</v>
      </c>
      <c r="L2605" s="10" t="s">
        <v>17593</v>
      </c>
      <c r="M2605" s="10">
        <v>1</v>
      </c>
      <c r="N2605" s="10"/>
      <c r="O2605" s="10"/>
      <c r="P2605" s="10" t="s">
        <v>17594</v>
      </c>
      <c r="Q2605" s="10" t="s">
        <v>10940</v>
      </c>
      <c r="R2605" s="10" t="s">
        <v>17595</v>
      </c>
      <c r="S2605" s="10" t="s">
        <v>53</v>
      </c>
      <c r="T2605" s="10" t="s">
        <v>54</v>
      </c>
    </row>
    <row r="2606" spans="1:20" ht="14.5" x14ac:dyDescent="0.35">
      <c r="A2606" s="10" t="s">
        <v>17596</v>
      </c>
      <c r="B2606" s="10" t="str">
        <f>"9781607099826"</f>
        <v>9781607099826</v>
      </c>
      <c r="C2606" s="10" t="str">
        <f>"9781607099833"</f>
        <v>9781607099833</v>
      </c>
      <c r="D2606" s="10" t="s">
        <v>9752</v>
      </c>
      <c r="E2606" s="10" t="s">
        <v>15192</v>
      </c>
      <c r="F2606" s="10" t="s">
        <v>9754</v>
      </c>
      <c r="G2606" s="10" t="s">
        <v>6317</v>
      </c>
      <c r="H2606" s="11">
        <v>40498</v>
      </c>
      <c r="I2606" s="10">
        <v>2010</v>
      </c>
      <c r="J2606" s="10" t="s">
        <v>15192</v>
      </c>
      <c r="K2606" s="10">
        <v>161</v>
      </c>
      <c r="L2606" s="10" t="s">
        <v>17597</v>
      </c>
      <c r="M2606" s="10">
        <v>1</v>
      </c>
      <c r="N2606" s="10"/>
      <c r="O2606" s="10"/>
      <c r="P2606" s="10" t="s">
        <v>17598</v>
      </c>
      <c r="Q2606" s="10" t="s">
        <v>11803</v>
      </c>
      <c r="R2606" s="10" t="s">
        <v>17599</v>
      </c>
      <c r="S2606" s="10" t="s">
        <v>53</v>
      </c>
      <c r="T2606" s="10" t="s">
        <v>54</v>
      </c>
    </row>
    <row r="2607" spans="1:20" ht="14.5" x14ac:dyDescent="0.35">
      <c r="A2607" s="10" t="s">
        <v>17600</v>
      </c>
      <c r="B2607" s="10" t="str">
        <f>"9780739147795"</f>
        <v>9780739147795</v>
      </c>
      <c r="C2607" s="10" t="str">
        <f>"9780739147818"</f>
        <v>9780739147818</v>
      </c>
      <c r="D2607" s="10" t="s">
        <v>9752</v>
      </c>
      <c r="E2607" s="10" t="s">
        <v>15182</v>
      </c>
      <c r="F2607" s="10" t="s">
        <v>9754</v>
      </c>
      <c r="G2607" s="10" t="s">
        <v>6317</v>
      </c>
      <c r="H2607" s="11">
        <v>40497</v>
      </c>
      <c r="I2607" s="10">
        <v>2011</v>
      </c>
      <c r="J2607" s="10" t="s">
        <v>15182</v>
      </c>
      <c r="K2607" s="10">
        <v>241</v>
      </c>
      <c r="L2607" s="10" t="s">
        <v>17601</v>
      </c>
      <c r="M2607" s="10">
        <v>1</v>
      </c>
      <c r="N2607" s="10"/>
      <c r="O2607" s="10"/>
      <c r="P2607" s="10" t="s">
        <v>17602</v>
      </c>
      <c r="Q2607" s="10" t="s">
        <v>9797</v>
      </c>
      <c r="R2607" s="10" t="s">
        <v>17603</v>
      </c>
      <c r="S2607" s="10" t="s">
        <v>53</v>
      </c>
      <c r="T2607" s="10" t="s">
        <v>54</v>
      </c>
    </row>
    <row r="2608" spans="1:20" ht="14.5" x14ac:dyDescent="0.35">
      <c r="A2608" s="10" t="s">
        <v>17604</v>
      </c>
      <c r="B2608" s="10" t="str">
        <f>"9780739148297"</f>
        <v>9780739148297</v>
      </c>
      <c r="C2608" s="10" t="str">
        <f>"9780739148310"</f>
        <v>9780739148310</v>
      </c>
      <c r="D2608" s="10" t="s">
        <v>9752</v>
      </c>
      <c r="E2608" s="10" t="s">
        <v>15182</v>
      </c>
      <c r="F2608" s="10" t="s">
        <v>9754</v>
      </c>
      <c r="G2608" s="10" t="s">
        <v>6317</v>
      </c>
      <c r="H2608" s="11">
        <v>40477</v>
      </c>
      <c r="I2608" s="10">
        <v>2011</v>
      </c>
      <c r="J2608" s="10" t="s">
        <v>15182</v>
      </c>
      <c r="K2608" s="10">
        <v>174</v>
      </c>
      <c r="L2608" s="10" t="s">
        <v>17605</v>
      </c>
      <c r="M2608" s="10">
        <v>1</v>
      </c>
      <c r="N2608" s="10"/>
      <c r="O2608" s="10"/>
      <c r="P2608" s="10" t="s">
        <v>17606</v>
      </c>
      <c r="Q2608" s="10" t="s">
        <v>17607</v>
      </c>
      <c r="R2608" s="10" t="s">
        <v>17608</v>
      </c>
      <c r="S2608" s="10" t="s">
        <v>53</v>
      </c>
      <c r="T2608" s="10" t="s">
        <v>54</v>
      </c>
    </row>
    <row r="2609" spans="1:20" ht="14.5" x14ac:dyDescent="0.35">
      <c r="A2609" s="10" t="s">
        <v>17609</v>
      </c>
      <c r="B2609" s="10" t="str">
        <f>"9781442206939"</f>
        <v>9781442206939</v>
      </c>
      <c r="C2609" s="10" t="str">
        <f>"9781442206946"</f>
        <v>9781442206946</v>
      </c>
      <c r="D2609" s="10" t="s">
        <v>15207</v>
      </c>
      <c r="E2609" s="10" t="s">
        <v>15187</v>
      </c>
      <c r="F2609" s="10" t="s">
        <v>9754</v>
      </c>
      <c r="G2609" s="10" t="s">
        <v>6317</v>
      </c>
      <c r="H2609" s="11">
        <v>40498</v>
      </c>
      <c r="I2609" s="10">
        <v>2010</v>
      </c>
      <c r="J2609" s="10" t="s">
        <v>15187</v>
      </c>
      <c r="K2609" s="10">
        <v>201</v>
      </c>
      <c r="L2609" s="10" t="s">
        <v>17610</v>
      </c>
      <c r="M2609" s="10">
        <v>1</v>
      </c>
      <c r="N2609" s="10"/>
      <c r="O2609" s="10"/>
      <c r="P2609" s="10" t="s">
        <v>17611</v>
      </c>
      <c r="Q2609" s="10">
        <v>370.72</v>
      </c>
      <c r="R2609" s="10" t="s">
        <v>17612</v>
      </c>
      <c r="S2609" s="10" t="s">
        <v>53</v>
      </c>
      <c r="T2609" s="10" t="s">
        <v>54</v>
      </c>
    </row>
    <row r="2610" spans="1:20" ht="14.5" x14ac:dyDescent="0.35">
      <c r="A2610" s="10" t="s">
        <v>17613</v>
      </c>
      <c r="B2610" s="10" t="str">
        <f>"9781607094203"</f>
        <v>9781607094203</v>
      </c>
      <c r="C2610" s="10" t="str">
        <f>"9781607094210"</f>
        <v>9781607094210</v>
      </c>
      <c r="D2610" s="10" t="s">
        <v>9752</v>
      </c>
      <c r="E2610" s="10" t="s">
        <v>15192</v>
      </c>
      <c r="F2610" s="10" t="s">
        <v>9754</v>
      </c>
      <c r="G2610" s="10" t="s">
        <v>6317</v>
      </c>
      <c r="H2610" s="11">
        <v>40498</v>
      </c>
      <c r="I2610" s="10">
        <v>2010</v>
      </c>
      <c r="J2610" s="10" t="s">
        <v>15192</v>
      </c>
      <c r="K2610" s="10">
        <v>209</v>
      </c>
      <c r="L2610" s="10" t="s">
        <v>17614</v>
      </c>
      <c r="M2610" s="10">
        <v>1</v>
      </c>
      <c r="N2610" s="10"/>
      <c r="O2610" s="10"/>
      <c r="P2610" s="10" t="s">
        <v>17615</v>
      </c>
      <c r="Q2610" s="10" t="s">
        <v>7335</v>
      </c>
      <c r="R2610" s="10" t="s">
        <v>17616</v>
      </c>
      <c r="S2610" s="10" t="s">
        <v>53</v>
      </c>
      <c r="T2610" s="10" t="s">
        <v>54</v>
      </c>
    </row>
    <row r="2611" spans="1:20" ht="14.5" x14ac:dyDescent="0.35">
      <c r="A2611" s="10" t="s">
        <v>17617</v>
      </c>
      <c r="B2611" s="10" t="str">
        <f>"9781607098539"</f>
        <v>9781607098539</v>
      </c>
      <c r="C2611" s="10" t="str">
        <f>"9781607098546"</f>
        <v>9781607098546</v>
      </c>
      <c r="D2611" s="10" t="s">
        <v>9752</v>
      </c>
      <c r="E2611" s="10" t="s">
        <v>15192</v>
      </c>
      <c r="F2611" s="10" t="s">
        <v>9754</v>
      </c>
      <c r="G2611" s="10" t="s">
        <v>6317</v>
      </c>
      <c r="H2611" s="11">
        <v>40406</v>
      </c>
      <c r="I2611" s="10">
        <v>2010</v>
      </c>
      <c r="J2611" s="10" t="s">
        <v>15192</v>
      </c>
      <c r="K2611" s="10">
        <v>319</v>
      </c>
      <c r="L2611" s="10" t="s">
        <v>17618</v>
      </c>
      <c r="M2611" s="10">
        <v>1</v>
      </c>
      <c r="N2611" s="10" t="s">
        <v>17619</v>
      </c>
      <c r="O2611" s="10"/>
      <c r="P2611" s="10" t="s">
        <v>17620</v>
      </c>
      <c r="Q2611" s="10" t="s">
        <v>17621</v>
      </c>
      <c r="R2611" s="10" t="s">
        <v>17622</v>
      </c>
      <c r="S2611" s="10" t="s">
        <v>53</v>
      </c>
      <c r="T2611" s="10" t="s">
        <v>54</v>
      </c>
    </row>
    <row r="2612" spans="1:20" ht="14.5" x14ac:dyDescent="0.35">
      <c r="A2612" s="10" t="s">
        <v>17623</v>
      </c>
      <c r="B2612" s="10" t="str">
        <f>"9781607099673"</f>
        <v>9781607099673</v>
      </c>
      <c r="C2612" s="10" t="str">
        <f>"9781607099680"</f>
        <v>9781607099680</v>
      </c>
      <c r="D2612" s="10" t="s">
        <v>9752</v>
      </c>
      <c r="E2612" s="10" t="s">
        <v>15192</v>
      </c>
      <c r="F2612" s="10" t="s">
        <v>9754</v>
      </c>
      <c r="G2612" s="10" t="s">
        <v>6317</v>
      </c>
      <c r="H2612" s="11">
        <v>40498</v>
      </c>
      <c r="I2612" s="10">
        <v>2010</v>
      </c>
      <c r="J2612" s="10" t="s">
        <v>15192</v>
      </c>
      <c r="K2612" s="10">
        <v>133</v>
      </c>
      <c r="L2612" s="10" t="s">
        <v>17624</v>
      </c>
      <c r="M2612" s="10">
        <v>1</v>
      </c>
      <c r="N2612" s="10"/>
      <c r="O2612" s="10"/>
      <c r="P2612" s="10" t="s">
        <v>17625</v>
      </c>
      <c r="Q2612" s="10"/>
      <c r="R2612" s="10" t="s">
        <v>17626</v>
      </c>
      <c r="S2612" s="10" t="s">
        <v>53</v>
      </c>
      <c r="T2612" s="10" t="s">
        <v>54</v>
      </c>
    </row>
    <row r="2613" spans="1:20" ht="14.5" x14ac:dyDescent="0.35">
      <c r="A2613" s="10" t="s">
        <v>17627</v>
      </c>
      <c r="B2613" s="10" t="str">
        <f>"9781607099758"</f>
        <v>9781607099758</v>
      </c>
      <c r="C2613" s="10" t="str">
        <f>"9781607099772"</f>
        <v>9781607099772</v>
      </c>
      <c r="D2613" s="10" t="s">
        <v>9752</v>
      </c>
      <c r="E2613" s="10" t="s">
        <v>15192</v>
      </c>
      <c r="F2613" s="10" t="s">
        <v>9754</v>
      </c>
      <c r="G2613" s="10" t="s">
        <v>6317</v>
      </c>
      <c r="H2613" s="11">
        <v>40498</v>
      </c>
      <c r="I2613" s="10">
        <v>2010</v>
      </c>
      <c r="J2613" s="10" t="s">
        <v>15192</v>
      </c>
      <c r="K2613" s="10">
        <v>164</v>
      </c>
      <c r="L2613" s="10" t="s">
        <v>17628</v>
      </c>
      <c r="M2613" s="10">
        <v>1</v>
      </c>
      <c r="N2613" s="10"/>
      <c r="O2613" s="10"/>
      <c r="P2613" s="10" t="s">
        <v>17629</v>
      </c>
      <c r="Q2613" s="10" t="s">
        <v>11202</v>
      </c>
      <c r="R2613" s="10" t="s">
        <v>17630</v>
      </c>
      <c r="S2613" s="10" t="s">
        <v>53</v>
      </c>
      <c r="T2613" s="10" t="s">
        <v>54</v>
      </c>
    </row>
    <row r="2614" spans="1:20" ht="14.5" x14ac:dyDescent="0.35">
      <c r="A2614" s="10" t="s">
        <v>17631</v>
      </c>
      <c r="B2614" s="10" t="str">
        <f>"9781610480000"</f>
        <v>9781610480000</v>
      </c>
      <c r="C2614" s="10" t="str">
        <f>"9781610480017"</f>
        <v>9781610480017</v>
      </c>
      <c r="D2614" s="10" t="s">
        <v>9752</v>
      </c>
      <c r="E2614" s="10" t="s">
        <v>15192</v>
      </c>
      <c r="F2614" s="10" t="s">
        <v>9754</v>
      </c>
      <c r="G2614" s="10" t="s">
        <v>6317</v>
      </c>
      <c r="H2614" s="11">
        <v>40498</v>
      </c>
      <c r="I2614" s="10">
        <v>2010</v>
      </c>
      <c r="J2614" s="10" t="s">
        <v>15192</v>
      </c>
      <c r="K2614" s="10">
        <v>106</v>
      </c>
      <c r="L2614" s="10" t="s">
        <v>17632</v>
      </c>
      <c r="M2614" s="10">
        <v>1</v>
      </c>
      <c r="N2614" s="10"/>
      <c r="O2614" s="10"/>
      <c r="P2614" s="10" t="s">
        <v>17633</v>
      </c>
      <c r="Q2614" s="10" t="s">
        <v>17634</v>
      </c>
      <c r="R2614" s="10" t="s">
        <v>17635</v>
      </c>
      <c r="S2614" s="10" t="s">
        <v>53</v>
      </c>
      <c r="T2614" s="10" t="s">
        <v>54</v>
      </c>
    </row>
    <row r="2615" spans="1:20" ht="14.5" x14ac:dyDescent="0.35">
      <c r="A2615" s="10" t="s">
        <v>17636</v>
      </c>
      <c r="B2615" s="10" t="str">
        <f>"9781578867318"</f>
        <v>9781578867318</v>
      </c>
      <c r="C2615" s="10" t="str">
        <f>"9781610484626"</f>
        <v>9781610484626</v>
      </c>
      <c r="D2615" s="10" t="s">
        <v>9752</v>
      </c>
      <c r="E2615" s="10" t="s">
        <v>15192</v>
      </c>
      <c r="F2615" s="10" t="s">
        <v>9754</v>
      </c>
      <c r="G2615" s="10" t="s">
        <v>6317</v>
      </c>
      <c r="H2615" s="11">
        <v>39444</v>
      </c>
      <c r="I2615" s="10">
        <v>2008</v>
      </c>
      <c r="J2615" s="10" t="s">
        <v>15192</v>
      </c>
      <c r="K2615" s="10">
        <v>214</v>
      </c>
      <c r="L2615" s="10" t="s">
        <v>17637</v>
      </c>
      <c r="M2615" s="10">
        <v>1</v>
      </c>
      <c r="N2615" s="10"/>
      <c r="O2615" s="10"/>
      <c r="P2615" s="10" t="s">
        <v>17638</v>
      </c>
      <c r="Q2615" s="10">
        <v>370.15</v>
      </c>
      <c r="R2615" s="10" t="s">
        <v>17639</v>
      </c>
      <c r="S2615" s="10" t="s">
        <v>53</v>
      </c>
      <c r="T2615" s="10" t="s">
        <v>54</v>
      </c>
    </row>
    <row r="2616" spans="1:20" ht="14.5" x14ac:dyDescent="0.35">
      <c r="A2616" s="10" t="s">
        <v>17640</v>
      </c>
      <c r="B2616" s="10" t="str">
        <f>"9781607096146"</f>
        <v>9781607096146</v>
      </c>
      <c r="C2616" s="10" t="str">
        <f>"9781607095934"</f>
        <v>9781607095934</v>
      </c>
      <c r="D2616" s="10" t="s">
        <v>9752</v>
      </c>
      <c r="E2616" s="10" t="s">
        <v>15192</v>
      </c>
      <c r="F2616" s="10" t="s">
        <v>9754</v>
      </c>
      <c r="G2616" s="10" t="s">
        <v>6317</v>
      </c>
      <c r="H2616" s="11">
        <v>40437</v>
      </c>
      <c r="I2616" s="10">
        <v>2010</v>
      </c>
      <c r="J2616" s="10" t="s">
        <v>15192</v>
      </c>
      <c r="K2616" s="10">
        <v>127</v>
      </c>
      <c r="L2616" s="10" t="s">
        <v>17641</v>
      </c>
      <c r="M2616" s="10">
        <v>1</v>
      </c>
      <c r="N2616" s="10"/>
      <c r="O2616" s="10"/>
      <c r="P2616" s="10" t="s">
        <v>17642</v>
      </c>
      <c r="Q2616" s="10">
        <v>371.2</v>
      </c>
      <c r="R2616" s="10" t="s">
        <v>17643</v>
      </c>
      <c r="S2616" s="10" t="s">
        <v>53</v>
      </c>
      <c r="T2616" s="10" t="s">
        <v>54</v>
      </c>
    </row>
    <row r="2617" spans="1:20" ht="14.5" x14ac:dyDescent="0.35">
      <c r="A2617" s="10" t="s">
        <v>17644</v>
      </c>
      <c r="B2617" s="10" t="str">
        <f>"9781607097389"</f>
        <v>9781607097389</v>
      </c>
      <c r="C2617" s="10" t="str">
        <f>"9781607097402"</f>
        <v>9781607097402</v>
      </c>
      <c r="D2617" s="10" t="s">
        <v>9752</v>
      </c>
      <c r="E2617" s="10" t="s">
        <v>15192</v>
      </c>
      <c r="F2617" s="10" t="s">
        <v>9754</v>
      </c>
      <c r="G2617" s="10" t="s">
        <v>6317</v>
      </c>
      <c r="H2617" s="11">
        <v>40406</v>
      </c>
      <c r="I2617" s="10">
        <v>2010</v>
      </c>
      <c r="J2617" s="10" t="s">
        <v>15192</v>
      </c>
      <c r="K2617" s="10">
        <v>181</v>
      </c>
      <c r="L2617" s="10" t="s">
        <v>17645</v>
      </c>
      <c r="M2617" s="10">
        <v>1</v>
      </c>
      <c r="N2617" s="10"/>
      <c r="O2617" s="10"/>
      <c r="P2617" s="10" t="s">
        <v>17646</v>
      </c>
      <c r="Q2617" s="10">
        <v>371.10199999999998</v>
      </c>
      <c r="R2617" s="10" t="s">
        <v>17647</v>
      </c>
      <c r="S2617" s="10" t="s">
        <v>53</v>
      </c>
      <c r="T2617" s="10" t="s">
        <v>54</v>
      </c>
    </row>
    <row r="2618" spans="1:20" ht="14.5" x14ac:dyDescent="0.35">
      <c r="A2618" s="10" t="s">
        <v>17648</v>
      </c>
      <c r="B2618" s="10" t="str">
        <f>"9780759119918"</f>
        <v>9780759119918</v>
      </c>
      <c r="C2618" s="10" t="str">
        <f>"9780759119932"</f>
        <v>9780759119932</v>
      </c>
      <c r="D2618" s="10" t="s">
        <v>9752</v>
      </c>
      <c r="E2618" s="10" t="s">
        <v>15551</v>
      </c>
      <c r="F2618" s="10" t="s">
        <v>9754</v>
      </c>
      <c r="G2618" s="10" t="s">
        <v>6317</v>
      </c>
      <c r="H2618" s="11">
        <v>40498</v>
      </c>
      <c r="I2618" s="10">
        <v>2010</v>
      </c>
      <c r="J2618" s="10" t="s">
        <v>15551</v>
      </c>
      <c r="K2618" s="10">
        <v>279</v>
      </c>
      <c r="L2618" s="10" t="s">
        <v>17649</v>
      </c>
      <c r="M2618" s="10">
        <v>1</v>
      </c>
      <c r="N2618" s="10" t="s">
        <v>17650</v>
      </c>
      <c r="O2618" s="10"/>
      <c r="P2618" s="10" t="s">
        <v>17651</v>
      </c>
      <c r="Q2618" s="10" t="s">
        <v>17652</v>
      </c>
      <c r="R2618" s="10" t="s">
        <v>17653</v>
      </c>
      <c r="S2618" s="10" t="s">
        <v>53</v>
      </c>
      <c r="T2618" s="10" t="s">
        <v>16298</v>
      </c>
    </row>
    <row r="2619" spans="1:20" ht="14.5" x14ac:dyDescent="0.35">
      <c r="A2619" s="10" t="s">
        <v>17654</v>
      </c>
      <c r="B2619" s="10" t="str">
        <f>"9781441175885"</f>
        <v>9781441175885</v>
      </c>
      <c r="C2619" s="10" t="str">
        <f>"9781441149466"</f>
        <v>9781441149466</v>
      </c>
      <c r="D2619" s="10" t="s">
        <v>13959</v>
      </c>
      <c r="E2619" s="10" t="s">
        <v>13960</v>
      </c>
      <c r="F2619" s="10" t="s">
        <v>139</v>
      </c>
      <c r="G2619" s="10" t="s">
        <v>6352</v>
      </c>
      <c r="H2619" s="11">
        <v>41176</v>
      </c>
      <c r="I2619" s="10">
        <v>2010</v>
      </c>
      <c r="J2619" s="10" t="s">
        <v>13961</v>
      </c>
      <c r="K2619" s="10">
        <v>261</v>
      </c>
      <c r="L2619" s="10" t="s">
        <v>17655</v>
      </c>
      <c r="M2619" s="10">
        <v>1</v>
      </c>
      <c r="N2619" s="10" t="s">
        <v>14044</v>
      </c>
      <c r="O2619" s="10"/>
      <c r="P2619" s="10" t="s">
        <v>17656</v>
      </c>
      <c r="Q2619" s="10" t="s">
        <v>17657</v>
      </c>
      <c r="R2619" s="10" t="s">
        <v>17658</v>
      </c>
      <c r="S2619" s="10" t="s">
        <v>53</v>
      </c>
      <c r="T2619" s="10" t="s">
        <v>6526</v>
      </c>
    </row>
    <row r="2620" spans="1:20" ht="14.5" x14ac:dyDescent="0.35">
      <c r="A2620" s="10" t="s">
        <v>17659</v>
      </c>
      <c r="B2620" s="10" t="str">
        <f>"9781441101662"</f>
        <v>9781441101662</v>
      </c>
      <c r="C2620" s="10" t="str">
        <f>"9781441153128"</f>
        <v>9781441153128</v>
      </c>
      <c r="D2620" s="10" t="s">
        <v>13959</v>
      </c>
      <c r="E2620" s="10" t="s">
        <v>13960</v>
      </c>
      <c r="F2620" s="10" t="s">
        <v>139</v>
      </c>
      <c r="G2620" s="10" t="s">
        <v>6352</v>
      </c>
      <c r="H2620" s="11">
        <v>40591</v>
      </c>
      <c r="I2620" s="10">
        <v>2010</v>
      </c>
      <c r="J2620" s="10" t="s">
        <v>13961</v>
      </c>
      <c r="K2620" s="10">
        <v>214</v>
      </c>
      <c r="L2620" s="10" t="s">
        <v>6767</v>
      </c>
      <c r="M2620" s="10">
        <v>2</v>
      </c>
      <c r="N2620" s="10" t="s">
        <v>14068</v>
      </c>
      <c r="O2620" s="10"/>
      <c r="P2620" s="10" t="s">
        <v>17660</v>
      </c>
      <c r="Q2620" s="10">
        <v>370.72</v>
      </c>
      <c r="R2620" s="10" t="s">
        <v>6769</v>
      </c>
      <c r="S2620" s="10" t="s">
        <v>53</v>
      </c>
      <c r="T2620" s="10" t="s">
        <v>54</v>
      </c>
    </row>
    <row r="2621" spans="1:20" ht="14.5" x14ac:dyDescent="0.35">
      <c r="A2621" s="10" t="s">
        <v>17661</v>
      </c>
      <c r="B2621" s="10" t="str">
        <f>"9780335238170"</f>
        <v>9780335238170</v>
      </c>
      <c r="C2621" s="10" t="str">
        <f>"9780335238194"</f>
        <v>9780335238194</v>
      </c>
      <c r="D2621" s="10" t="s">
        <v>10342</v>
      </c>
      <c r="E2621" s="10" t="s">
        <v>10343</v>
      </c>
      <c r="F2621" s="10" t="s">
        <v>10344</v>
      </c>
      <c r="G2621" s="10" t="s">
        <v>6352</v>
      </c>
      <c r="H2621" s="11">
        <v>40544</v>
      </c>
      <c r="I2621" s="10">
        <v>2011</v>
      </c>
      <c r="J2621" s="10" t="s">
        <v>10345</v>
      </c>
      <c r="K2621" s="10">
        <v>174</v>
      </c>
      <c r="L2621" s="10" t="s">
        <v>17662</v>
      </c>
      <c r="M2621" s="10">
        <v>1</v>
      </c>
      <c r="N2621" s="10" t="s">
        <v>10347</v>
      </c>
      <c r="O2621" s="10"/>
      <c r="P2621" s="10" t="s">
        <v>17663</v>
      </c>
      <c r="Q2621" s="10">
        <v>370.71499999999997</v>
      </c>
      <c r="R2621" s="10"/>
      <c r="S2621" s="10" t="s">
        <v>53</v>
      </c>
      <c r="T2621" s="10" t="s">
        <v>54</v>
      </c>
    </row>
    <row r="2622" spans="1:20" ht="14.5" x14ac:dyDescent="0.35">
      <c r="A2622" s="10" t="s">
        <v>17664</v>
      </c>
      <c r="B2622" s="10" t="str">
        <f>"9780816674572"</f>
        <v>9780816674572</v>
      </c>
      <c r="C2622" s="10" t="str">
        <f>"9780816674930"</f>
        <v>9780816674930</v>
      </c>
      <c r="D2622" s="10" t="s">
        <v>11428</v>
      </c>
      <c r="E2622" s="10" t="s">
        <v>11428</v>
      </c>
      <c r="F2622" s="10" t="s">
        <v>2186</v>
      </c>
      <c r="G2622" s="10" t="s">
        <v>6317</v>
      </c>
      <c r="H2622" s="11">
        <v>40432</v>
      </c>
      <c r="I2622" s="10">
        <v>2010</v>
      </c>
      <c r="J2622" s="10" t="s">
        <v>11428</v>
      </c>
      <c r="K2622" s="10">
        <v>323</v>
      </c>
      <c r="L2622" s="10" t="s">
        <v>17665</v>
      </c>
      <c r="M2622" s="10">
        <v>1</v>
      </c>
      <c r="N2622" s="10"/>
      <c r="O2622" s="10"/>
      <c r="P2622" s="10" t="s">
        <v>17666</v>
      </c>
      <c r="Q2622" s="10" t="s">
        <v>17189</v>
      </c>
      <c r="R2622" s="10" t="s">
        <v>17667</v>
      </c>
      <c r="S2622" s="10" t="s">
        <v>53</v>
      </c>
      <c r="T2622" s="10" t="s">
        <v>54</v>
      </c>
    </row>
    <row r="2623" spans="1:20" ht="14.5" x14ac:dyDescent="0.35">
      <c r="A2623" s="10" t="s">
        <v>17668</v>
      </c>
      <c r="B2623" s="10" t="str">
        <f>"9781409400059"</f>
        <v>9781409400059</v>
      </c>
      <c r="C2623" s="10" t="str">
        <f>"9780754698463"</f>
        <v>9780754698463</v>
      </c>
      <c r="D2623" s="10" t="s">
        <v>6350</v>
      </c>
      <c r="E2623" s="10" t="s">
        <v>6351</v>
      </c>
      <c r="F2623" s="10" t="s">
        <v>15682</v>
      </c>
      <c r="G2623" s="10" t="s">
        <v>6352</v>
      </c>
      <c r="H2623" s="11">
        <v>40571</v>
      </c>
      <c r="I2623" s="10">
        <v>2011</v>
      </c>
      <c r="J2623" s="10" t="s">
        <v>6353</v>
      </c>
      <c r="K2623" s="10">
        <v>351</v>
      </c>
      <c r="L2623" s="10" t="s">
        <v>17669</v>
      </c>
      <c r="M2623" s="10">
        <v>1</v>
      </c>
      <c r="N2623" s="10" t="s">
        <v>14366</v>
      </c>
      <c r="O2623" s="10"/>
      <c r="P2623" s="10" t="s">
        <v>17670</v>
      </c>
      <c r="Q2623" s="10" t="s">
        <v>17671</v>
      </c>
      <c r="R2623" s="10" t="s">
        <v>17672</v>
      </c>
      <c r="S2623" s="10" t="s">
        <v>53</v>
      </c>
      <c r="T2623" s="10" t="s">
        <v>54</v>
      </c>
    </row>
    <row r="2624" spans="1:20" ht="14.5" x14ac:dyDescent="0.35">
      <c r="A2624" s="10" t="s">
        <v>17673</v>
      </c>
      <c r="B2624" s="10" t="str">
        <f>"9780857244178"</f>
        <v>9780857244178</v>
      </c>
      <c r="C2624" s="10" t="str">
        <f>"9780857244185"</f>
        <v>9780857244185</v>
      </c>
      <c r="D2624" s="10" t="s">
        <v>8699</v>
      </c>
      <c r="E2624" s="10" t="s">
        <v>8699</v>
      </c>
      <c r="F2624" s="10" t="s">
        <v>559</v>
      </c>
      <c r="G2624" s="10" t="s">
        <v>6352</v>
      </c>
      <c r="H2624" s="11">
        <v>40525</v>
      </c>
      <c r="I2624" s="10">
        <v>2010</v>
      </c>
      <c r="J2624" s="10" t="s">
        <v>8699</v>
      </c>
      <c r="K2624" s="10">
        <v>455</v>
      </c>
      <c r="L2624" s="10" t="s">
        <v>17674</v>
      </c>
      <c r="M2624" s="10">
        <v>1</v>
      </c>
      <c r="N2624" s="10" t="s">
        <v>14534</v>
      </c>
      <c r="O2624" s="10">
        <v>14</v>
      </c>
      <c r="P2624" s="10" t="s">
        <v>17675</v>
      </c>
      <c r="Q2624" s="10">
        <v>379.47</v>
      </c>
      <c r="R2624" s="10" t="s">
        <v>11337</v>
      </c>
      <c r="S2624" s="10" t="s">
        <v>53</v>
      </c>
      <c r="T2624" s="10" t="s">
        <v>54</v>
      </c>
    </row>
    <row r="2625" spans="1:20" ht="14.5" x14ac:dyDescent="0.35">
      <c r="A2625" s="10" t="s">
        <v>17676</v>
      </c>
      <c r="B2625" s="10" t="str">
        <f>"9781889057781"</f>
        <v>9781889057781</v>
      </c>
      <c r="C2625" s="10" t="str">
        <f>"9781889057804"</f>
        <v>9781889057804</v>
      </c>
      <c r="D2625" s="10" t="s">
        <v>6315</v>
      </c>
      <c r="E2625" s="10" t="s">
        <v>6315</v>
      </c>
      <c r="F2625" s="10" t="s">
        <v>15390</v>
      </c>
      <c r="G2625" s="10" t="s">
        <v>6317</v>
      </c>
      <c r="H2625" s="11">
        <v>40550</v>
      </c>
      <c r="I2625" s="10">
        <v>2011</v>
      </c>
      <c r="J2625" s="10" t="s">
        <v>6315</v>
      </c>
      <c r="K2625" s="10">
        <v>154</v>
      </c>
      <c r="L2625" s="10" t="s">
        <v>15391</v>
      </c>
      <c r="M2625" s="10">
        <v>1</v>
      </c>
      <c r="N2625" s="10"/>
      <c r="O2625" s="10"/>
      <c r="P2625" s="10" t="s">
        <v>17677</v>
      </c>
      <c r="Q2625" s="10">
        <v>378.1662</v>
      </c>
      <c r="R2625" s="10" t="s">
        <v>17678</v>
      </c>
      <c r="S2625" s="10" t="s">
        <v>53</v>
      </c>
      <c r="T2625" s="10" t="s">
        <v>54</v>
      </c>
    </row>
    <row r="2626" spans="1:20" ht="14.5" x14ac:dyDescent="0.35">
      <c r="A2626" s="10" t="s">
        <v>17679</v>
      </c>
      <c r="B2626" s="10" t="str">
        <f>"9781610482868"</f>
        <v>9781610482868</v>
      </c>
      <c r="C2626" s="10" t="str">
        <f>"9781610482875"</f>
        <v>9781610482875</v>
      </c>
      <c r="D2626" s="10" t="s">
        <v>9752</v>
      </c>
      <c r="E2626" s="10" t="s">
        <v>15192</v>
      </c>
      <c r="F2626" s="10" t="s">
        <v>9754</v>
      </c>
      <c r="G2626" s="10" t="s">
        <v>6317</v>
      </c>
      <c r="H2626" s="11">
        <v>40590</v>
      </c>
      <c r="I2626" s="10">
        <v>2011</v>
      </c>
      <c r="J2626" s="10" t="s">
        <v>15192</v>
      </c>
      <c r="K2626" s="10">
        <v>161</v>
      </c>
      <c r="L2626" s="10" t="s">
        <v>17680</v>
      </c>
      <c r="M2626" s="10">
        <v>1</v>
      </c>
      <c r="N2626" s="10"/>
      <c r="O2626" s="10"/>
      <c r="P2626" s="10" t="s">
        <v>17681</v>
      </c>
      <c r="Q2626" s="10" t="s">
        <v>17682</v>
      </c>
      <c r="R2626" s="10" t="s">
        <v>17683</v>
      </c>
      <c r="S2626" s="10" t="s">
        <v>53</v>
      </c>
      <c r="T2626" s="10" t="s">
        <v>54</v>
      </c>
    </row>
    <row r="2627" spans="1:20" ht="14.5" x14ac:dyDescent="0.35">
      <c r="A2627" s="10" t="s">
        <v>17684</v>
      </c>
      <c r="B2627" s="10" t="str">
        <f>"9780335236565"</f>
        <v>9780335236565</v>
      </c>
      <c r="C2627" s="10" t="str">
        <f>"9780335239818"</f>
        <v>9780335239818</v>
      </c>
      <c r="D2627" s="10" t="s">
        <v>10342</v>
      </c>
      <c r="E2627" s="10" t="s">
        <v>10343</v>
      </c>
      <c r="F2627" s="10" t="s">
        <v>10344</v>
      </c>
      <c r="G2627" s="10" t="s">
        <v>6352</v>
      </c>
      <c r="H2627" s="11">
        <v>40452</v>
      </c>
      <c r="I2627" s="10">
        <v>2010</v>
      </c>
      <c r="J2627" s="10" t="s">
        <v>10345</v>
      </c>
      <c r="K2627" s="10">
        <v>311</v>
      </c>
      <c r="L2627" s="10" t="s">
        <v>17685</v>
      </c>
      <c r="M2627" s="10">
        <v>1</v>
      </c>
      <c r="N2627" s="10" t="s">
        <v>10347</v>
      </c>
      <c r="O2627" s="10"/>
      <c r="P2627" s="10" t="s">
        <v>17686</v>
      </c>
      <c r="Q2627" s="10"/>
      <c r="R2627" s="10"/>
      <c r="S2627" s="10" t="s">
        <v>53</v>
      </c>
      <c r="T2627" s="10" t="s">
        <v>54</v>
      </c>
    </row>
    <row r="2628" spans="1:20" ht="14.5" x14ac:dyDescent="0.35">
      <c r="A2628" s="10" t="s">
        <v>17687</v>
      </c>
      <c r="B2628" s="10" t="str">
        <f>"9780335238675"</f>
        <v>9780335238675</v>
      </c>
      <c r="C2628" s="10" t="str">
        <f>"9780335238699"</f>
        <v>9780335238699</v>
      </c>
      <c r="D2628" s="10" t="s">
        <v>10342</v>
      </c>
      <c r="E2628" s="10" t="s">
        <v>10343</v>
      </c>
      <c r="F2628" s="10" t="s">
        <v>10344</v>
      </c>
      <c r="G2628" s="10" t="s">
        <v>6352</v>
      </c>
      <c r="H2628" s="11">
        <v>40391</v>
      </c>
      <c r="I2628" s="10">
        <v>2010</v>
      </c>
      <c r="J2628" s="10" t="s">
        <v>10345</v>
      </c>
      <c r="K2628" s="10">
        <v>329</v>
      </c>
      <c r="L2628" s="10" t="s">
        <v>17688</v>
      </c>
      <c r="M2628" s="10">
        <v>4</v>
      </c>
      <c r="N2628" s="10" t="s">
        <v>10408</v>
      </c>
      <c r="O2628" s="10"/>
      <c r="P2628" s="10" t="s">
        <v>17689</v>
      </c>
      <c r="Q2628" s="10">
        <v>1.42</v>
      </c>
      <c r="R2628" s="10" t="s">
        <v>17690</v>
      </c>
      <c r="S2628" s="10" t="s">
        <v>53</v>
      </c>
      <c r="T2628" s="10" t="s">
        <v>9590</v>
      </c>
    </row>
    <row r="2629" spans="1:20" ht="14.5" x14ac:dyDescent="0.35">
      <c r="A2629" s="10" t="s">
        <v>17691</v>
      </c>
      <c r="B2629" s="10" t="str">
        <f>"9780335236664"</f>
        <v>9780335236664</v>
      </c>
      <c r="C2629" s="10" t="str">
        <f>"9780335239665"</f>
        <v>9780335239665</v>
      </c>
      <c r="D2629" s="10" t="s">
        <v>10342</v>
      </c>
      <c r="E2629" s="10" t="s">
        <v>10343</v>
      </c>
      <c r="F2629" s="10" t="s">
        <v>10344</v>
      </c>
      <c r="G2629" s="10" t="s">
        <v>6352</v>
      </c>
      <c r="H2629" s="11">
        <v>40513</v>
      </c>
      <c r="I2629" s="10">
        <v>2010</v>
      </c>
      <c r="J2629" s="10" t="s">
        <v>10345</v>
      </c>
      <c r="K2629" s="10">
        <v>164</v>
      </c>
      <c r="L2629" s="10" t="s">
        <v>17692</v>
      </c>
      <c r="M2629" s="10">
        <v>1</v>
      </c>
      <c r="N2629" s="10" t="s">
        <v>10408</v>
      </c>
      <c r="O2629" s="10"/>
      <c r="P2629" s="10" t="s">
        <v>17693</v>
      </c>
      <c r="Q2629" s="10">
        <v>658.15</v>
      </c>
      <c r="R2629" s="10" t="s">
        <v>17694</v>
      </c>
      <c r="S2629" s="10" t="s">
        <v>53</v>
      </c>
      <c r="T2629" s="10" t="s">
        <v>6660</v>
      </c>
    </row>
    <row r="2630" spans="1:20" ht="14.5" x14ac:dyDescent="0.35">
      <c r="A2630" s="10" t="s">
        <v>17695</v>
      </c>
      <c r="B2630" s="10" t="str">
        <f>"9780335237913"</f>
        <v>9780335237913</v>
      </c>
      <c r="C2630" s="10" t="str">
        <f>"9780335239634"</f>
        <v>9780335239634</v>
      </c>
      <c r="D2630" s="10" t="s">
        <v>10342</v>
      </c>
      <c r="E2630" s="10" t="s">
        <v>10343</v>
      </c>
      <c r="F2630" s="10" t="s">
        <v>10344</v>
      </c>
      <c r="G2630" s="10" t="s">
        <v>6352</v>
      </c>
      <c r="H2630" s="11">
        <v>40452</v>
      </c>
      <c r="I2630" s="10">
        <v>2010</v>
      </c>
      <c r="J2630" s="10" t="s">
        <v>10345</v>
      </c>
      <c r="K2630" s="10">
        <v>142</v>
      </c>
      <c r="L2630" s="10" t="s">
        <v>17696</v>
      </c>
      <c r="M2630" s="10">
        <v>1</v>
      </c>
      <c r="N2630" s="10" t="s">
        <v>10347</v>
      </c>
      <c r="O2630" s="10"/>
      <c r="P2630" s="10" t="s">
        <v>17697</v>
      </c>
      <c r="Q2630" s="10"/>
      <c r="R2630" s="10" t="s">
        <v>17698</v>
      </c>
      <c r="S2630" s="10" t="s">
        <v>53</v>
      </c>
      <c r="T2630" s="10" t="s">
        <v>54</v>
      </c>
    </row>
    <row r="2631" spans="1:20" ht="14.5" x14ac:dyDescent="0.35">
      <c r="A2631" s="10" t="s">
        <v>17699</v>
      </c>
      <c r="B2631" s="10" t="str">
        <f>"9780335237456"</f>
        <v>9780335237456</v>
      </c>
      <c r="C2631" s="10" t="str">
        <f>"9780335239238"</f>
        <v>9780335239238</v>
      </c>
      <c r="D2631" s="10" t="s">
        <v>10342</v>
      </c>
      <c r="E2631" s="10" t="s">
        <v>10343</v>
      </c>
      <c r="F2631" s="10" t="s">
        <v>10344</v>
      </c>
      <c r="G2631" s="10" t="s">
        <v>6352</v>
      </c>
      <c r="H2631" s="11">
        <v>40452</v>
      </c>
      <c r="I2631" s="10">
        <v>2010</v>
      </c>
      <c r="J2631" s="10" t="s">
        <v>10345</v>
      </c>
      <c r="K2631" s="10">
        <v>204</v>
      </c>
      <c r="L2631" s="10" t="s">
        <v>17700</v>
      </c>
      <c r="M2631" s="10">
        <v>1</v>
      </c>
      <c r="N2631" s="10" t="s">
        <v>10408</v>
      </c>
      <c r="O2631" s="10"/>
      <c r="P2631" s="10" t="s">
        <v>17701</v>
      </c>
      <c r="Q2631" s="10">
        <v>378.16609410000001</v>
      </c>
      <c r="R2631" s="10" t="s">
        <v>17702</v>
      </c>
      <c r="S2631" s="10" t="s">
        <v>53</v>
      </c>
      <c r="T2631" s="10" t="s">
        <v>54</v>
      </c>
    </row>
    <row r="2632" spans="1:20" ht="14.5" x14ac:dyDescent="0.35">
      <c r="A2632" s="10" t="s">
        <v>17703</v>
      </c>
      <c r="B2632" s="10" t="str">
        <f>"9780335238798"</f>
        <v>9780335238798</v>
      </c>
      <c r="C2632" s="10" t="str">
        <f>"9780335238804"</f>
        <v>9780335238804</v>
      </c>
      <c r="D2632" s="10" t="s">
        <v>10342</v>
      </c>
      <c r="E2632" s="10" t="s">
        <v>10343</v>
      </c>
      <c r="F2632" s="10" t="s">
        <v>10344</v>
      </c>
      <c r="G2632" s="10" t="s">
        <v>6352</v>
      </c>
      <c r="H2632" s="11">
        <v>40452</v>
      </c>
      <c r="I2632" s="10">
        <v>2010</v>
      </c>
      <c r="J2632" s="10" t="s">
        <v>10345</v>
      </c>
      <c r="K2632" s="10">
        <v>157</v>
      </c>
      <c r="L2632" s="10" t="s">
        <v>9307</v>
      </c>
      <c r="M2632" s="10">
        <v>1</v>
      </c>
      <c r="N2632" s="10" t="s">
        <v>10347</v>
      </c>
      <c r="O2632" s="10"/>
      <c r="P2632" s="10" t="s">
        <v>17704</v>
      </c>
      <c r="Q2632" s="10"/>
      <c r="R2632" s="10" t="s">
        <v>17705</v>
      </c>
      <c r="S2632" s="10" t="s">
        <v>53</v>
      </c>
      <c r="T2632" s="10" t="s">
        <v>54</v>
      </c>
    </row>
    <row r="2633" spans="1:20" ht="14.5" x14ac:dyDescent="0.35">
      <c r="A2633" s="10" t="s">
        <v>17706</v>
      </c>
      <c r="B2633" s="10" t="str">
        <f>"9780335241088"</f>
        <v>9780335241088</v>
      </c>
      <c r="C2633" s="10" t="str">
        <f>"9780335241101"</f>
        <v>9780335241101</v>
      </c>
      <c r="D2633" s="10" t="s">
        <v>10342</v>
      </c>
      <c r="E2633" s="10" t="s">
        <v>10343</v>
      </c>
      <c r="F2633" s="10" t="s">
        <v>10344</v>
      </c>
      <c r="G2633" s="10" t="s">
        <v>6352</v>
      </c>
      <c r="H2633" s="11">
        <v>40391</v>
      </c>
      <c r="I2633" s="10">
        <v>2010</v>
      </c>
      <c r="J2633" s="10" t="s">
        <v>10345</v>
      </c>
      <c r="K2633" s="10">
        <v>281</v>
      </c>
      <c r="L2633" s="10" t="s">
        <v>11627</v>
      </c>
      <c r="M2633" s="10">
        <v>1</v>
      </c>
      <c r="N2633" s="10" t="s">
        <v>10347</v>
      </c>
      <c r="O2633" s="10"/>
      <c r="P2633" s="10" t="s">
        <v>17707</v>
      </c>
      <c r="Q2633" s="10"/>
      <c r="R2633" s="10" t="s">
        <v>17708</v>
      </c>
      <c r="S2633" s="10" t="s">
        <v>53</v>
      </c>
      <c r="T2633" s="10" t="s">
        <v>54</v>
      </c>
    </row>
    <row r="2634" spans="1:20" ht="14.5" x14ac:dyDescent="0.35">
      <c r="A2634" s="10" t="s">
        <v>17709</v>
      </c>
      <c r="B2634" s="10" t="str">
        <f>"9780335222285"</f>
        <v>9780335222285</v>
      </c>
      <c r="C2634" s="10" t="str">
        <f>"9780335240395"</f>
        <v>9780335240395</v>
      </c>
      <c r="D2634" s="10" t="s">
        <v>10342</v>
      </c>
      <c r="E2634" s="10" t="s">
        <v>10343</v>
      </c>
      <c r="F2634" s="10" t="s">
        <v>10344</v>
      </c>
      <c r="G2634" s="10" t="s">
        <v>6352</v>
      </c>
      <c r="H2634" s="11">
        <v>40452</v>
      </c>
      <c r="I2634" s="10">
        <v>2010</v>
      </c>
      <c r="J2634" s="10" t="s">
        <v>10345</v>
      </c>
      <c r="K2634" s="10">
        <v>211</v>
      </c>
      <c r="L2634" s="10" t="s">
        <v>17710</v>
      </c>
      <c r="M2634" s="10">
        <v>1</v>
      </c>
      <c r="N2634" s="10" t="s">
        <v>10347</v>
      </c>
      <c r="O2634" s="10"/>
      <c r="P2634" s="10" t="s">
        <v>17711</v>
      </c>
      <c r="Q2634" s="10"/>
      <c r="R2634" s="10" t="s">
        <v>17712</v>
      </c>
      <c r="S2634" s="10" t="s">
        <v>53</v>
      </c>
      <c r="T2634" s="10" t="s">
        <v>5557</v>
      </c>
    </row>
    <row r="2635" spans="1:20" ht="14.5" x14ac:dyDescent="0.35">
      <c r="A2635" s="10" t="s">
        <v>17713</v>
      </c>
      <c r="B2635" s="10" t="str">
        <f>"9780335233731"</f>
        <v>9780335233731</v>
      </c>
      <c r="C2635" s="10" t="str">
        <f>"9780335240715"</f>
        <v>9780335240715</v>
      </c>
      <c r="D2635" s="10" t="s">
        <v>10342</v>
      </c>
      <c r="E2635" s="10" t="s">
        <v>10343</v>
      </c>
      <c r="F2635" s="10" t="s">
        <v>10344</v>
      </c>
      <c r="G2635" s="10" t="s">
        <v>6352</v>
      </c>
      <c r="H2635" s="11">
        <v>40391</v>
      </c>
      <c r="I2635" s="10">
        <v>2010</v>
      </c>
      <c r="J2635" s="10" t="s">
        <v>10345</v>
      </c>
      <c r="K2635" s="10">
        <v>183</v>
      </c>
      <c r="L2635" s="10" t="s">
        <v>17714</v>
      </c>
      <c r="M2635" s="10">
        <v>1</v>
      </c>
      <c r="N2635" s="10" t="s">
        <v>10347</v>
      </c>
      <c r="O2635" s="10"/>
      <c r="P2635" s="10" t="s">
        <v>17715</v>
      </c>
      <c r="Q2635" s="10"/>
      <c r="R2635" s="10" t="s">
        <v>17716</v>
      </c>
      <c r="S2635" s="10" t="s">
        <v>53</v>
      </c>
      <c r="T2635" s="10" t="s">
        <v>54</v>
      </c>
    </row>
    <row r="2636" spans="1:20" ht="14.5" x14ac:dyDescent="0.35">
      <c r="A2636" s="10" t="s">
        <v>17717</v>
      </c>
      <c r="B2636" s="10" t="str">
        <f>"9780230110496"</f>
        <v>9780230110496</v>
      </c>
      <c r="C2636" s="10" t="str">
        <f>"9780230116306"</f>
        <v>9780230116306</v>
      </c>
      <c r="D2636" s="10" t="s">
        <v>11249</v>
      </c>
      <c r="E2636" s="10" t="s">
        <v>2400</v>
      </c>
      <c r="F2636" s="10" t="s">
        <v>70</v>
      </c>
      <c r="G2636" s="10" t="s">
        <v>6317</v>
      </c>
      <c r="H2636" s="11">
        <v>40526</v>
      </c>
      <c r="I2636" s="10">
        <v>2011</v>
      </c>
      <c r="J2636" s="10" t="s">
        <v>2400</v>
      </c>
      <c r="K2636" s="10">
        <v>206</v>
      </c>
      <c r="L2636" s="10" t="s">
        <v>17718</v>
      </c>
      <c r="M2636" s="10">
        <v>1</v>
      </c>
      <c r="N2636" s="10"/>
      <c r="O2636" s="10"/>
      <c r="P2636" s="10" t="s">
        <v>11364</v>
      </c>
      <c r="Q2636" s="10"/>
      <c r="R2636" s="10" t="s">
        <v>7275</v>
      </c>
      <c r="S2636" s="10" t="s">
        <v>53</v>
      </c>
      <c r="T2636" s="10" t="s">
        <v>54</v>
      </c>
    </row>
    <row r="2637" spans="1:20" ht="14.5" x14ac:dyDescent="0.35">
      <c r="A2637" s="10" t="s">
        <v>17719</v>
      </c>
      <c r="B2637" s="10" t="str">
        <f>"9780230109575"</f>
        <v>9780230109575</v>
      </c>
      <c r="C2637" s="10" t="str">
        <f>"9780230115378"</f>
        <v>9780230115378</v>
      </c>
      <c r="D2637" s="10" t="s">
        <v>11249</v>
      </c>
      <c r="E2637" s="10" t="s">
        <v>2400</v>
      </c>
      <c r="F2637" s="10" t="s">
        <v>70</v>
      </c>
      <c r="G2637" s="10" t="s">
        <v>6317</v>
      </c>
      <c r="H2637" s="11">
        <v>40562</v>
      </c>
      <c r="I2637" s="10">
        <v>2010</v>
      </c>
      <c r="J2637" s="10" t="s">
        <v>2400</v>
      </c>
      <c r="K2637" s="10">
        <v>211</v>
      </c>
      <c r="L2637" s="10" t="s">
        <v>17720</v>
      </c>
      <c r="M2637" s="10">
        <v>1</v>
      </c>
      <c r="N2637" s="10" t="s">
        <v>17721</v>
      </c>
      <c r="O2637" s="10"/>
      <c r="P2637" s="10" t="s">
        <v>17110</v>
      </c>
      <c r="Q2637" s="10"/>
      <c r="R2637" s="10" t="s">
        <v>17722</v>
      </c>
      <c r="S2637" s="10" t="s">
        <v>53</v>
      </c>
      <c r="T2637" s="10" t="s">
        <v>54</v>
      </c>
    </row>
    <row r="2638" spans="1:20" ht="14.5" x14ac:dyDescent="0.35">
      <c r="A2638" s="10" t="s">
        <v>17723</v>
      </c>
      <c r="B2638" s="10" t="str">
        <f>"9780230105386"</f>
        <v>9780230105386</v>
      </c>
      <c r="C2638" s="10" t="str">
        <f>"9780230115293"</f>
        <v>9780230115293</v>
      </c>
      <c r="D2638" s="10" t="s">
        <v>11249</v>
      </c>
      <c r="E2638" s="10" t="s">
        <v>2400</v>
      </c>
      <c r="F2638" s="10" t="s">
        <v>70</v>
      </c>
      <c r="G2638" s="10" t="s">
        <v>6317</v>
      </c>
      <c r="H2638" s="11">
        <v>40562</v>
      </c>
      <c r="I2638" s="10">
        <v>2010</v>
      </c>
      <c r="J2638" s="10" t="s">
        <v>2400</v>
      </c>
      <c r="K2638" s="10">
        <v>202</v>
      </c>
      <c r="L2638" s="10" t="s">
        <v>17724</v>
      </c>
      <c r="M2638" s="10">
        <v>1</v>
      </c>
      <c r="N2638" s="10" t="s">
        <v>17721</v>
      </c>
      <c r="O2638" s="10"/>
      <c r="P2638" s="10" t="s">
        <v>11275</v>
      </c>
      <c r="Q2638" s="10"/>
      <c r="R2638" s="10" t="s">
        <v>17725</v>
      </c>
      <c r="S2638" s="10" t="s">
        <v>53</v>
      </c>
      <c r="T2638" s="10" t="s">
        <v>54</v>
      </c>
    </row>
    <row r="2639" spans="1:20" ht="14.5" x14ac:dyDescent="0.35">
      <c r="A2639" s="10" t="s">
        <v>17726</v>
      </c>
      <c r="B2639" s="10" t="str">
        <f>"9780230615120"</f>
        <v>9780230615120</v>
      </c>
      <c r="C2639" s="10" t="str">
        <f>"9780230114432"</f>
        <v>9780230114432</v>
      </c>
      <c r="D2639" s="10" t="s">
        <v>11249</v>
      </c>
      <c r="E2639" s="10" t="s">
        <v>2400</v>
      </c>
      <c r="F2639" s="10" t="s">
        <v>70</v>
      </c>
      <c r="G2639" s="10" t="s">
        <v>6317</v>
      </c>
      <c r="H2639" s="11">
        <v>40511</v>
      </c>
      <c r="I2639" s="10">
        <v>2010</v>
      </c>
      <c r="J2639" s="10" t="s">
        <v>2400</v>
      </c>
      <c r="K2639" s="10">
        <v>296</v>
      </c>
      <c r="L2639" s="10" t="s">
        <v>17727</v>
      </c>
      <c r="M2639" s="10">
        <v>1</v>
      </c>
      <c r="N2639" s="10"/>
      <c r="O2639" s="10"/>
      <c r="P2639" s="10" t="s">
        <v>11364</v>
      </c>
      <c r="Q2639" s="10"/>
      <c r="R2639" s="10" t="s">
        <v>17475</v>
      </c>
      <c r="S2639" s="10" t="s">
        <v>53</v>
      </c>
      <c r="T2639" s="10" t="s">
        <v>54</v>
      </c>
    </row>
    <row r="2640" spans="1:20" ht="14.5" x14ac:dyDescent="0.35">
      <c r="A2640" s="10" t="s">
        <v>17728</v>
      </c>
      <c r="B2640" s="10" t="str">
        <f>"9780415880602"</f>
        <v>9780415880602</v>
      </c>
      <c r="C2640" s="10" t="str">
        <f>"9780203835982"</f>
        <v>9780203835982</v>
      </c>
      <c r="D2640" s="10" t="s">
        <v>6350</v>
      </c>
      <c r="E2640" s="10" t="s">
        <v>6351</v>
      </c>
      <c r="F2640" s="10" t="s">
        <v>748</v>
      </c>
      <c r="G2640" s="10" t="s">
        <v>6352</v>
      </c>
      <c r="H2640" s="11">
        <v>40528</v>
      </c>
      <c r="I2640" s="10">
        <v>2011</v>
      </c>
      <c r="J2640" s="10" t="s">
        <v>6351</v>
      </c>
      <c r="K2640" s="10">
        <v>317</v>
      </c>
      <c r="L2640" s="10" t="s">
        <v>16616</v>
      </c>
      <c r="M2640" s="10">
        <v>3</v>
      </c>
      <c r="N2640" s="10"/>
      <c r="O2640" s="10"/>
      <c r="P2640" s="10" t="s">
        <v>17729</v>
      </c>
      <c r="Q2640" s="10" t="s">
        <v>8284</v>
      </c>
      <c r="R2640" s="10" t="s">
        <v>17730</v>
      </c>
      <c r="S2640" s="10" t="s">
        <v>53</v>
      </c>
      <c r="T2640" s="10" t="s">
        <v>54</v>
      </c>
    </row>
    <row r="2641" spans="1:20" ht="14.5" x14ac:dyDescent="0.35">
      <c r="A2641" s="10" t="s">
        <v>17731</v>
      </c>
      <c r="B2641" s="10" t="str">
        <f>"9781843121954"</f>
        <v>9781843121954</v>
      </c>
      <c r="C2641" s="10" t="str">
        <f>"9780203823767"</f>
        <v>9780203823767</v>
      </c>
      <c r="D2641" s="10" t="s">
        <v>6350</v>
      </c>
      <c r="E2641" s="10" t="s">
        <v>6351</v>
      </c>
      <c r="F2641" s="10" t="s">
        <v>748</v>
      </c>
      <c r="G2641" s="10" t="s">
        <v>6352</v>
      </c>
      <c r="H2641" s="11">
        <v>38162</v>
      </c>
      <c r="I2641" s="10">
        <v>2004</v>
      </c>
      <c r="J2641" s="10" t="s">
        <v>6351</v>
      </c>
      <c r="K2641" s="10">
        <v>193</v>
      </c>
      <c r="L2641" s="10" t="s">
        <v>17732</v>
      </c>
      <c r="M2641" s="10">
        <v>1</v>
      </c>
      <c r="N2641" s="10"/>
      <c r="O2641" s="10"/>
      <c r="P2641" s="10" t="s">
        <v>17733</v>
      </c>
      <c r="Q2641" s="10">
        <v>371.9</v>
      </c>
      <c r="R2641" s="10" t="s">
        <v>17734</v>
      </c>
      <c r="S2641" s="10" t="s">
        <v>53</v>
      </c>
      <c r="T2641" s="10" t="s">
        <v>54</v>
      </c>
    </row>
    <row r="2642" spans="1:20" ht="14.5" x14ac:dyDescent="0.35">
      <c r="A2642" s="10" t="s">
        <v>17735</v>
      </c>
      <c r="B2642" s="10" t="str">
        <f>"9781843123453"</f>
        <v>9781843123453</v>
      </c>
      <c r="C2642" s="10" t="str">
        <f>"9780203820957"</f>
        <v>9780203820957</v>
      </c>
      <c r="D2642" s="10" t="s">
        <v>6350</v>
      </c>
      <c r="E2642" s="10" t="s">
        <v>6351</v>
      </c>
      <c r="F2642" s="10" t="s">
        <v>748</v>
      </c>
      <c r="G2642" s="10" t="s">
        <v>6352</v>
      </c>
      <c r="H2642" s="11">
        <v>38316</v>
      </c>
      <c r="I2642" s="10">
        <v>2005</v>
      </c>
      <c r="J2642" s="10" t="s">
        <v>6351</v>
      </c>
      <c r="K2642" s="10">
        <v>89</v>
      </c>
      <c r="L2642" s="10" t="s">
        <v>17736</v>
      </c>
      <c r="M2642" s="10">
        <v>1</v>
      </c>
      <c r="N2642" s="10" t="s">
        <v>17737</v>
      </c>
      <c r="O2642" s="10"/>
      <c r="P2642" s="10" t="s">
        <v>17738</v>
      </c>
      <c r="Q2642" s="10">
        <v>372.13839999999999</v>
      </c>
      <c r="R2642" s="10" t="s">
        <v>17739</v>
      </c>
      <c r="S2642" s="10" t="s">
        <v>53</v>
      </c>
      <c r="T2642" s="10" t="s">
        <v>54</v>
      </c>
    </row>
    <row r="2643" spans="1:20" ht="14.5" x14ac:dyDescent="0.35">
      <c r="A2643" s="10" t="s">
        <v>17740</v>
      </c>
      <c r="B2643" s="10" t="str">
        <f>"9789027222572"</f>
        <v>9789027222572</v>
      </c>
      <c r="C2643" s="10" t="str">
        <f>"9789027287458"</f>
        <v>9789027287458</v>
      </c>
      <c r="D2643" s="10" t="s">
        <v>17335</v>
      </c>
      <c r="E2643" s="10" t="s">
        <v>17336</v>
      </c>
      <c r="F2643" s="10" t="s">
        <v>319</v>
      </c>
      <c r="G2643" s="10" t="s">
        <v>9233</v>
      </c>
      <c r="H2643" s="11">
        <v>40558</v>
      </c>
      <c r="I2643" s="10">
        <v>2011</v>
      </c>
      <c r="J2643" s="10" t="s">
        <v>17336</v>
      </c>
      <c r="K2643" s="10">
        <v>276</v>
      </c>
      <c r="L2643" s="10" t="s">
        <v>17741</v>
      </c>
      <c r="M2643" s="10">
        <v>1</v>
      </c>
      <c r="N2643" s="10"/>
      <c r="O2643" s="10"/>
      <c r="P2643" s="10" t="s">
        <v>17742</v>
      </c>
      <c r="Q2643" s="10">
        <v>371.33</v>
      </c>
      <c r="R2643" s="10" t="s">
        <v>17743</v>
      </c>
      <c r="S2643" s="10" t="s">
        <v>53</v>
      </c>
      <c r="T2643" s="10" t="s">
        <v>54</v>
      </c>
    </row>
    <row r="2644" spans="1:20" ht="14.5" x14ac:dyDescent="0.35">
      <c r="A2644" s="10" t="s">
        <v>17744</v>
      </c>
      <c r="B2644" s="10" t="str">
        <f>"9781607098959"</f>
        <v>9781607098959</v>
      </c>
      <c r="C2644" s="10" t="str">
        <f>"9781607098966"</f>
        <v>9781607098966</v>
      </c>
      <c r="D2644" s="10" t="s">
        <v>9752</v>
      </c>
      <c r="E2644" s="10" t="s">
        <v>15192</v>
      </c>
      <c r="F2644" s="10" t="s">
        <v>9754</v>
      </c>
      <c r="G2644" s="10" t="s">
        <v>6317</v>
      </c>
      <c r="H2644" s="11">
        <v>40528</v>
      </c>
      <c r="I2644" s="10">
        <v>2011</v>
      </c>
      <c r="J2644" s="10" t="s">
        <v>15192</v>
      </c>
      <c r="K2644" s="10">
        <v>317</v>
      </c>
      <c r="L2644" s="10" t="s">
        <v>17745</v>
      </c>
      <c r="M2644" s="10">
        <v>1</v>
      </c>
      <c r="N2644" s="10"/>
      <c r="O2644" s="10"/>
      <c r="P2644" s="10" t="s">
        <v>17746</v>
      </c>
      <c r="Q2644" s="10">
        <v>371.12097299999999</v>
      </c>
      <c r="R2644" s="10" t="s">
        <v>17747</v>
      </c>
      <c r="S2644" s="10" t="s">
        <v>53</v>
      </c>
      <c r="T2644" s="10" t="s">
        <v>54</v>
      </c>
    </row>
    <row r="2645" spans="1:20" ht="14.5" x14ac:dyDescent="0.35">
      <c r="A2645" s="10" t="s">
        <v>17748</v>
      </c>
      <c r="B2645" s="10" t="str">
        <f>"9780761853022"</f>
        <v>9780761853022</v>
      </c>
      <c r="C2645" s="10" t="str">
        <f>"9780761853039"</f>
        <v>9780761853039</v>
      </c>
      <c r="D2645" s="10" t="s">
        <v>9752</v>
      </c>
      <c r="E2645" s="10" t="s">
        <v>17176</v>
      </c>
      <c r="F2645" s="10" t="s">
        <v>9754</v>
      </c>
      <c r="G2645" s="10" t="s">
        <v>6317</v>
      </c>
      <c r="H2645" s="11">
        <v>40581</v>
      </c>
      <c r="I2645" s="10">
        <v>2011</v>
      </c>
      <c r="J2645" s="10" t="s">
        <v>17176</v>
      </c>
      <c r="K2645" s="10">
        <v>141</v>
      </c>
      <c r="L2645" s="10" t="s">
        <v>17749</v>
      </c>
      <c r="M2645" s="10">
        <v>1</v>
      </c>
      <c r="N2645" s="10"/>
      <c r="O2645" s="10"/>
      <c r="P2645" s="10" t="s">
        <v>17750</v>
      </c>
      <c r="Q2645" s="10"/>
      <c r="R2645" s="10" t="s">
        <v>17751</v>
      </c>
      <c r="S2645" s="10" t="s">
        <v>53</v>
      </c>
      <c r="T2645" s="10" t="s">
        <v>4490</v>
      </c>
    </row>
    <row r="2646" spans="1:20" ht="14.5" x14ac:dyDescent="0.35">
      <c r="A2646" s="10" t="s">
        <v>17752</v>
      </c>
      <c r="B2646" s="10" t="str">
        <f>"9781607098881"</f>
        <v>9781607098881</v>
      </c>
      <c r="C2646" s="10" t="str">
        <f>"9781607098904"</f>
        <v>9781607098904</v>
      </c>
      <c r="D2646" s="10" t="s">
        <v>9752</v>
      </c>
      <c r="E2646" s="10" t="s">
        <v>15192</v>
      </c>
      <c r="F2646" s="10" t="s">
        <v>9754</v>
      </c>
      <c r="G2646" s="10" t="s">
        <v>6317</v>
      </c>
      <c r="H2646" s="11">
        <v>40618</v>
      </c>
      <c r="I2646" s="10">
        <v>2011</v>
      </c>
      <c r="J2646" s="10" t="s">
        <v>15192</v>
      </c>
      <c r="K2646" s="10">
        <v>177</v>
      </c>
      <c r="L2646" s="10" t="s">
        <v>17753</v>
      </c>
      <c r="M2646" s="10">
        <v>1</v>
      </c>
      <c r="N2646" s="10"/>
      <c r="O2646" s="10"/>
      <c r="P2646" s="10" t="s">
        <v>17754</v>
      </c>
      <c r="Q2646" s="10">
        <v>306.43097299999999</v>
      </c>
      <c r="R2646" s="10" t="s">
        <v>17755</v>
      </c>
      <c r="S2646" s="10" t="s">
        <v>53</v>
      </c>
      <c r="T2646" s="10" t="s">
        <v>6472</v>
      </c>
    </row>
    <row r="2647" spans="1:20" ht="14.5" x14ac:dyDescent="0.35">
      <c r="A2647" s="10" t="s">
        <v>17756</v>
      </c>
      <c r="B2647" s="10" t="str">
        <f>"9781607095514"</f>
        <v>9781607095514</v>
      </c>
      <c r="C2647" s="10" t="str">
        <f>"9781607095538"</f>
        <v>9781607095538</v>
      </c>
      <c r="D2647" s="10" t="s">
        <v>9752</v>
      </c>
      <c r="E2647" s="10" t="s">
        <v>15192</v>
      </c>
      <c r="F2647" s="10" t="s">
        <v>9754</v>
      </c>
      <c r="G2647" s="10" t="s">
        <v>6317</v>
      </c>
      <c r="H2647" s="11">
        <v>40590</v>
      </c>
      <c r="I2647" s="10">
        <v>2011</v>
      </c>
      <c r="J2647" s="10" t="s">
        <v>15192</v>
      </c>
      <c r="K2647" s="10">
        <v>315</v>
      </c>
      <c r="L2647" s="10" t="s">
        <v>17757</v>
      </c>
      <c r="M2647" s="10">
        <v>1</v>
      </c>
      <c r="N2647" s="10"/>
      <c r="O2647" s="10"/>
      <c r="P2647" s="10" t="s">
        <v>17758</v>
      </c>
      <c r="Q2647" s="10">
        <v>370.71100000000001</v>
      </c>
      <c r="R2647" s="10" t="s">
        <v>17759</v>
      </c>
      <c r="S2647" s="10" t="s">
        <v>53</v>
      </c>
      <c r="T2647" s="10" t="s">
        <v>54</v>
      </c>
    </row>
    <row r="2648" spans="1:20" ht="14.5" x14ac:dyDescent="0.35">
      <c r="A2648" s="10" t="s">
        <v>17760</v>
      </c>
      <c r="B2648" s="10" t="str">
        <f>"9781610480512"</f>
        <v>9781610480512</v>
      </c>
      <c r="C2648" s="10" t="str">
        <f>"9781610480529"</f>
        <v>9781610480529</v>
      </c>
      <c r="D2648" s="10" t="s">
        <v>9752</v>
      </c>
      <c r="E2648" s="10" t="s">
        <v>15192</v>
      </c>
      <c r="F2648" s="10" t="s">
        <v>9754</v>
      </c>
      <c r="G2648" s="10" t="s">
        <v>6317</v>
      </c>
      <c r="H2648" s="11">
        <v>40559</v>
      </c>
      <c r="I2648" s="10">
        <v>2011</v>
      </c>
      <c r="J2648" s="10" t="s">
        <v>15192</v>
      </c>
      <c r="K2648" s="10">
        <v>131</v>
      </c>
      <c r="L2648" s="10" t="s">
        <v>17761</v>
      </c>
      <c r="M2648" s="10">
        <v>1</v>
      </c>
      <c r="N2648" s="10"/>
      <c r="O2648" s="10"/>
      <c r="P2648" s="10" t="s">
        <v>17762</v>
      </c>
      <c r="Q2648" s="10">
        <v>305.23500000000001</v>
      </c>
      <c r="R2648" s="10" t="s">
        <v>17763</v>
      </c>
      <c r="S2648" s="10" t="s">
        <v>53</v>
      </c>
      <c r="T2648" s="10" t="s">
        <v>6363</v>
      </c>
    </row>
    <row r="2649" spans="1:20" ht="14.5" x14ac:dyDescent="0.35">
      <c r="A2649" s="10" t="s">
        <v>17764</v>
      </c>
      <c r="B2649" s="10" t="str">
        <f>"9781847065612"</f>
        <v>9781847065612</v>
      </c>
      <c r="C2649" s="10" t="str">
        <f>"9781441181015"</f>
        <v>9781441181015</v>
      </c>
      <c r="D2649" s="10" t="s">
        <v>13959</v>
      </c>
      <c r="E2649" s="10" t="s">
        <v>13960</v>
      </c>
      <c r="F2649" s="10" t="s">
        <v>139</v>
      </c>
      <c r="G2649" s="10" t="s">
        <v>6352</v>
      </c>
      <c r="H2649" s="11">
        <v>40619</v>
      </c>
      <c r="I2649" s="10">
        <v>2011</v>
      </c>
      <c r="J2649" s="10" t="s">
        <v>13961</v>
      </c>
      <c r="K2649" s="10">
        <v>213</v>
      </c>
      <c r="L2649" s="10" t="s">
        <v>17765</v>
      </c>
      <c r="M2649" s="10">
        <v>1</v>
      </c>
      <c r="N2649" s="10" t="s">
        <v>14634</v>
      </c>
      <c r="O2649" s="10"/>
      <c r="P2649" s="10">
        <v>2010015917</v>
      </c>
      <c r="Q2649" s="10" t="s">
        <v>17766</v>
      </c>
      <c r="R2649" s="10" t="s">
        <v>17767</v>
      </c>
      <c r="S2649" s="10" t="s">
        <v>53</v>
      </c>
      <c r="T2649" s="10" t="s">
        <v>54</v>
      </c>
    </row>
    <row r="2650" spans="1:20" ht="14.5" x14ac:dyDescent="0.35">
      <c r="A2650" s="10" t="s">
        <v>17768</v>
      </c>
      <c r="B2650" s="10" t="str">
        <f>"9780826421371"</f>
        <v>9780826421371</v>
      </c>
      <c r="C2650" s="10" t="str">
        <f>"9781441177193"</f>
        <v>9781441177193</v>
      </c>
      <c r="D2650" s="10" t="s">
        <v>13959</v>
      </c>
      <c r="E2650" s="10" t="s">
        <v>13960</v>
      </c>
      <c r="F2650" s="10" t="s">
        <v>139</v>
      </c>
      <c r="G2650" s="10" t="s">
        <v>6352</v>
      </c>
      <c r="H2650" s="11">
        <v>40633</v>
      </c>
      <c r="I2650" s="10">
        <v>2011</v>
      </c>
      <c r="J2650" s="10" t="s">
        <v>13961</v>
      </c>
      <c r="K2650" s="10">
        <v>309</v>
      </c>
      <c r="L2650" s="10" t="s">
        <v>17769</v>
      </c>
      <c r="M2650" s="10">
        <v>1</v>
      </c>
      <c r="N2650" s="10"/>
      <c r="O2650" s="10"/>
      <c r="P2650" s="10" t="s">
        <v>17770</v>
      </c>
      <c r="Q2650" s="10" t="s">
        <v>17771</v>
      </c>
      <c r="R2650" s="10" t="s">
        <v>17772</v>
      </c>
      <c r="S2650" s="10" t="s">
        <v>53</v>
      </c>
      <c r="T2650" s="10" t="s">
        <v>54</v>
      </c>
    </row>
    <row r="2651" spans="1:20" ht="14.5" x14ac:dyDescent="0.35">
      <c r="A2651" s="10" t="s">
        <v>17773</v>
      </c>
      <c r="B2651" s="10" t="str">
        <f>"9781441133267"</f>
        <v>9781441133267</v>
      </c>
      <c r="C2651" s="10" t="str">
        <f>"9781441174833"</f>
        <v>9781441174833</v>
      </c>
      <c r="D2651" s="10" t="s">
        <v>13959</v>
      </c>
      <c r="E2651" s="10" t="s">
        <v>13960</v>
      </c>
      <c r="F2651" s="10" t="s">
        <v>139</v>
      </c>
      <c r="G2651" s="10" t="s">
        <v>6352</v>
      </c>
      <c r="H2651" s="11">
        <v>40626</v>
      </c>
      <c r="I2651" s="10">
        <v>2011</v>
      </c>
      <c r="J2651" s="10" t="s">
        <v>13961</v>
      </c>
      <c r="K2651" s="10">
        <v>143</v>
      </c>
      <c r="L2651" s="10" t="s">
        <v>17774</v>
      </c>
      <c r="M2651" s="10">
        <v>2</v>
      </c>
      <c r="N2651" s="10" t="s">
        <v>14068</v>
      </c>
      <c r="O2651" s="10"/>
      <c r="P2651" s="10" t="s">
        <v>17775</v>
      </c>
      <c r="Q2651" s="10">
        <v>370.72</v>
      </c>
      <c r="R2651" s="10" t="s">
        <v>17776</v>
      </c>
      <c r="S2651" s="10" t="s">
        <v>53</v>
      </c>
      <c r="T2651" s="10" t="s">
        <v>54</v>
      </c>
    </row>
    <row r="2652" spans="1:20" ht="14.5" x14ac:dyDescent="0.35">
      <c r="A2652" s="10" t="s">
        <v>17777</v>
      </c>
      <c r="B2652" s="10" t="str">
        <f>"9781441162670"</f>
        <v>9781441162670</v>
      </c>
      <c r="C2652" s="10" t="str">
        <f>"9781441144249"</f>
        <v>9781441144249</v>
      </c>
      <c r="D2652" s="10" t="s">
        <v>13959</v>
      </c>
      <c r="E2652" s="10" t="s">
        <v>13960</v>
      </c>
      <c r="F2652" s="10" t="s">
        <v>139</v>
      </c>
      <c r="G2652" s="10" t="s">
        <v>6352</v>
      </c>
      <c r="H2652" s="11">
        <v>40626</v>
      </c>
      <c r="I2652" s="10">
        <v>2011</v>
      </c>
      <c r="J2652" s="10" t="s">
        <v>13961</v>
      </c>
      <c r="K2652" s="10">
        <v>157</v>
      </c>
      <c r="L2652" s="10" t="s">
        <v>17778</v>
      </c>
      <c r="M2652" s="10">
        <v>1</v>
      </c>
      <c r="N2652" s="10"/>
      <c r="O2652" s="10"/>
      <c r="P2652" s="10" t="s">
        <v>17779</v>
      </c>
      <c r="Q2652" s="10" t="s">
        <v>10440</v>
      </c>
      <c r="R2652" s="10" t="s">
        <v>17780</v>
      </c>
      <c r="S2652" s="10" t="s">
        <v>53</v>
      </c>
      <c r="T2652" s="10" t="s">
        <v>6616</v>
      </c>
    </row>
    <row r="2653" spans="1:20" ht="14.5" x14ac:dyDescent="0.35">
      <c r="A2653" s="10" t="s">
        <v>17781</v>
      </c>
      <c r="B2653" s="10" t="str">
        <f>"9781441182937"</f>
        <v>9781441182937</v>
      </c>
      <c r="C2653" s="10" t="str">
        <f>"9781441175571"</f>
        <v>9781441175571</v>
      </c>
      <c r="D2653" s="10" t="s">
        <v>13959</v>
      </c>
      <c r="E2653" s="10" t="s">
        <v>13960</v>
      </c>
      <c r="F2653" s="10" t="s">
        <v>139</v>
      </c>
      <c r="G2653" s="10" t="s">
        <v>6352</v>
      </c>
      <c r="H2653" s="11">
        <v>40619</v>
      </c>
      <c r="I2653" s="10">
        <v>2011</v>
      </c>
      <c r="J2653" s="10" t="s">
        <v>13961</v>
      </c>
      <c r="K2653" s="10">
        <v>167</v>
      </c>
      <c r="L2653" s="10" t="s">
        <v>17782</v>
      </c>
      <c r="M2653" s="10">
        <v>1</v>
      </c>
      <c r="N2653" s="10"/>
      <c r="O2653" s="10"/>
      <c r="P2653" s="10" t="s">
        <v>17783</v>
      </c>
      <c r="Q2653" s="10">
        <v>428.00760000000002</v>
      </c>
      <c r="R2653" s="10" t="s">
        <v>17784</v>
      </c>
      <c r="S2653" s="10" t="s">
        <v>53</v>
      </c>
      <c r="T2653" s="10" t="s">
        <v>6634</v>
      </c>
    </row>
    <row r="2654" spans="1:20" ht="14.5" x14ac:dyDescent="0.35">
      <c r="A2654" s="10" t="s">
        <v>17785</v>
      </c>
      <c r="B2654" s="10" t="str">
        <f>"9780857246295"</f>
        <v>9780857246295</v>
      </c>
      <c r="C2654" s="10" t="str">
        <f>"9780857246301"</f>
        <v>9780857246301</v>
      </c>
      <c r="D2654" s="10" t="s">
        <v>8699</v>
      </c>
      <c r="E2654" s="10" t="s">
        <v>8699</v>
      </c>
      <c r="F2654" s="10" t="s">
        <v>559</v>
      </c>
      <c r="G2654" s="10" t="s">
        <v>6352</v>
      </c>
      <c r="H2654" s="11">
        <v>40568</v>
      </c>
      <c r="I2654" s="10">
        <v>2011</v>
      </c>
      <c r="J2654" s="10" t="s">
        <v>8699</v>
      </c>
      <c r="K2654" s="10">
        <v>389</v>
      </c>
      <c r="L2654" s="10" t="s">
        <v>17786</v>
      </c>
      <c r="M2654" s="10">
        <v>1</v>
      </c>
      <c r="N2654" s="10" t="s">
        <v>14550</v>
      </c>
      <c r="O2654" s="10">
        <v>21</v>
      </c>
      <c r="P2654" s="10" t="s">
        <v>17787</v>
      </c>
      <c r="Q2654" s="10">
        <v>371.90899999999999</v>
      </c>
      <c r="R2654" s="10" t="s">
        <v>17788</v>
      </c>
      <c r="S2654" s="10" t="s">
        <v>53</v>
      </c>
      <c r="T2654" s="10" t="s">
        <v>54</v>
      </c>
    </row>
    <row r="2655" spans="1:20" ht="14.5" x14ac:dyDescent="0.35">
      <c r="A2655" s="10" t="s">
        <v>17789</v>
      </c>
      <c r="B2655" s="10" t="str">
        <f>"9780857244499"</f>
        <v>9780857244499</v>
      </c>
      <c r="C2655" s="10" t="str">
        <f>"9780857244505"</f>
        <v>9780857244505</v>
      </c>
      <c r="D2655" s="10" t="s">
        <v>8699</v>
      </c>
      <c r="E2655" s="10" t="s">
        <v>8699</v>
      </c>
      <c r="F2655" s="10" t="s">
        <v>559</v>
      </c>
      <c r="G2655" s="10" t="s">
        <v>6352</v>
      </c>
      <c r="H2655" s="11">
        <v>40525</v>
      </c>
      <c r="I2655" s="10">
        <v>2010</v>
      </c>
      <c r="J2655" s="10" t="s">
        <v>8699</v>
      </c>
      <c r="K2655" s="10">
        <v>381</v>
      </c>
      <c r="L2655" s="10" t="s">
        <v>17790</v>
      </c>
      <c r="M2655" s="10">
        <v>1</v>
      </c>
      <c r="N2655" s="10" t="s">
        <v>14534</v>
      </c>
      <c r="O2655" s="10">
        <v>13</v>
      </c>
      <c r="P2655" s="10" t="s">
        <v>17791</v>
      </c>
      <c r="Q2655" s="10">
        <v>379</v>
      </c>
      <c r="R2655" s="10" t="s">
        <v>17792</v>
      </c>
      <c r="S2655" s="10" t="s">
        <v>53</v>
      </c>
      <c r="T2655" s="10" t="s">
        <v>54</v>
      </c>
    </row>
    <row r="2656" spans="1:20" ht="14.5" x14ac:dyDescent="0.35">
      <c r="A2656" s="10" t="s">
        <v>17793</v>
      </c>
      <c r="B2656" s="10" t="str">
        <f>"9781609180461"</f>
        <v>9781609180461</v>
      </c>
      <c r="C2656" s="10" t="str">
        <f>"9781609180478"</f>
        <v>9781609180478</v>
      </c>
      <c r="D2656" s="10" t="s">
        <v>11213</v>
      </c>
      <c r="E2656" s="10" t="s">
        <v>11214</v>
      </c>
      <c r="F2656" s="10" t="s">
        <v>70</v>
      </c>
      <c r="G2656" s="10" t="s">
        <v>6317</v>
      </c>
      <c r="H2656" s="11">
        <v>40568</v>
      </c>
      <c r="I2656" s="10">
        <v>2011</v>
      </c>
      <c r="J2656" s="10" t="s">
        <v>11215</v>
      </c>
      <c r="K2656" s="10">
        <v>368</v>
      </c>
      <c r="L2656" s="10" t="s">
        <v>17794</v>
      </c>
      <c r="M2656" s="10">
        <v>1</v>
      </c>
      <c r="N2656" s="10"/>
      <c r="O2656" s="10"/>
      <c r="P2656" s="10" t="s">
        <v>17795</v>
      </c>
      <c r="Q2656" s="10" t="s">
        <v>10902</v>
      </c>
      <c r="R2656" s="10" t="s">
        <v>17796</v>
      </c>
      <c r="S2656" s="10" t="s">
        <v>53</v>
      </c>
      <c r="T2656" s="10" t="s">
        <v>8510</v>
      </c>
    </row>
    <row r="2657" spans="1:20" ht="14.5" x14ac:dyDescent="0.35">
      <c r="A2657" s="10" t="s">
        <v>17797</v>
      </c>
      <c r="B2657" s="10" t="str">
        <f>"9780313381577"</f>
        <v>9780313381577</v>
      </c>
      <c r="C2657" s="10" t="str">
        <f>"9780313381584"</f>
        <v>9780313381584</v>
      </c>
      <c r="D2657" s="10" t="s">
        <v>9777</v>
      </c>
      <c r="E2657" s="10" t="s">
        <v>9792</v>
      </c>
      <c r="F2657" s="10" t="s">
        <v>70</v>
      </c>
      <c r="G2657" s="10" t="s">
        <v>6317</v>
      </c>
      <c r="H2657" s="11">
        <v>40303</v>
      </c>
      <c r="I2657" s="10">
        <v>2010</v>
      </c>
      <c r="J2657" s="10" t="s">
        <v>9793</v>
      </c>
      <c r="K2657" s="10">
        <v>200</v>
      </c>
      <c r="L2657" s="10" t="s">
        <v>17798</v>
      </c>
      <c r="M2657" s="10">
        <v>1</v>
      </c>
      <c r="N2657" s="10"/>
      <c r="O2657" s="10"/>
      <c r="P2657" s="10" t="s">
        <v>17799</v>
      </c>
      <c r="Q2657" s="10">
        <v>371.3</v>
      </c>
      <c r="R2657" s="10" t="s">
        <v>17800</v>
      </c>
      <c r="S2657" s="10" t="s">
        <v>53</v>
      </c>
      <c r="T2657" s="10" t="s">
        <v>54</v>
      </c>
    </row>
    <row r="2658" spans="1:20" ht="14.5" x14ac:dyDescent="0.35">
      <c r="A2658" s="10" t="s">
        <v>17801</v>
      </c>
      <c r="B2658" s="10" t="str">
        <f>"9781847063588"</f>
        <v>9781847063588</v>
      </c>
      <c r="C2658" s="10" t="str">
        <f>"9781441145246"</f>
        <v>9781441145246</v>
      </c>
      <c r="D2658" s="10" t="s">
        <v>13959</v>
      </c>
      <c r="E2658" s="10" t="s">
        <v>13960</v>
      </c>
      <c r="F2658" s="10" t="s">
        <v>139</v>
      </c>
      <c r="G2658" s="10" t="s">
        <v>6352</v>
      </c>
      <c r="H2658" s="11">
        <v>40654</v>
      </c>
      <c r="I2658" s="10">
        <v>2011</v>
      </c>
      <c r="J2658" s="10" t="s">
        <v>13961</v>
      </c>
      <c r="K2658" s="10">
        <v>180</v>
      </c>
      <c r="L2658" s="10" t="s">
        <v>17802</v>
      </c>
      <c r="M2658" s="10">
        <v>1</v>
      </c>
      <c r="N2658" s="10"/>
      <c r="O2658" s="10"/>
      <c r="P2658" s="10" t="s">
        <v>17803</v>
      </c>
      <c r="Q2658" s="10">
        <v>371.33446780000003</v>
      </c>
      <c r="R2658" s="10" t="s">
        <v>17804</v>
      </c>
      <c r="S2658" s="10" t="s">
        <v>53</v>
      </c>
      <c r="T2658" s="10" t="s">
        <v>54</v>
      </c>
    </row>
    <row r="2659" spans="1:20" ht="14.5" x14ac:dyDescent="0.35">
      <c r="A2659" s="10" t="s">
        <v>17805</v>
      </c>
      <c r="B2659" s="10" t="str">
        <f>"9781441191724"</f>
        <v>9781441191724</v>
      </c>
      <c r="C2659" s="10" t="str">
        <f>"9781441141682"</f>
        <v>9781441141682</v>
      </c>
      <c r="D2659" s="10" t="s">
        <v>13959</v>
      </c>
      <c r="E2659" s="10" t="s">
        <v>13960</v>
      </c>
      <c r="F2659" s="10" t="s">
        <v>139</v>
      </c>
      <c r="G2659" s="10" t="s">
        <v>6352</v>
      </c>
      <c r="H2659" s="11">
        <v>40654</v>
      </c>
      <c r="I2659" s="10">
        <v>2011</v>
      </c>
      <c r="J2659" s="10" t="s">
        <v>13961</v>
      </c>
      <c r="K2659" s="10">
        <v>247</v>
      </c>
      <c r="L2659" s="10" t="s">
        <v>17806</v>
      </c>
      <c r="M2659" s="10">
        <v>1</v>
      </c>
      <c r="N2659" s="10"/>
      <c r="O2659" s="10"/>
      <c r="P2659" s="10" t="s">
        <v>17807</v>
      </c>
      <c r="Q2659" s="10">
        <v>371.90100000000001</v>
      </c>
      <c r="R2659" s="10" t="s">
        <v>17808</v>
      </c>
      <c r="S2659" s="10" t="s">
        <v>53</v>
      </c>
      <c r="T2659" s="10" t="s">
        <v>54</v>
      </c>
    </row>
    <row r="2660" spans="1:20" ht="14.5" x14ac:dyDescent="0.35">
      <c r="A2660" s="10" t="s">
        <v>17809</v>
      </c>
      <c r="B2660" s="10" t="str">
        <f>"9781441108401"</f>
        <v>9781441108401</v>
      </c>
      <c r="C2660" s="10" t="str">
        <f>"9781441135452"</f>
        <v>9781441135452</v>
      </c>
      <c r="D2660" s="10" t="s">
        <v>13959</v>
      </c>
      <c r="E2660" s="10" t="s">
        <v>13960</v>
      </c>
      <c r="F2660" s="10" t="s">
        <v>139</v>
      </c>
      <c r="G2660" s="10" t="s">
        <v>6352</v>
      </c>
      <c r="H2660" s="11">
        <v>41316</v>
      </c>
      <c r="I2660" s="10">
        <v>2010</v>
      </c>
      <c r="J2660" s="10" t="s">
        <v>13961</v>
      </c>
      <c r="K2660" s="10">
        <v>321</v>
      </c>
      <c r="L2660" s="10" t="s">
        <v>17810</v>
      </c>
      <c r="M2660" s="10">
        <v>1</v>
      </c>
      <c r="N2660" s="10"/>
      <c r="O2660" s="10"/>
      <c r="P2660" s="10" t="s">
        <v>17675</v>
      </c>
      <c r="Q2660" s="10">
        <v>379.42</v>
      </c>
      <c r="R2660" s="10" t="s">
        <v>17811</v>
      </c>
      <c r="S2660" s="10" t="s">
        <v>53</v>
      </c>
      <c r="T2660" s="10" t="s">
        <v>54</v>
      </c>
    </row>
    <row r="2661" spans="1:20" ht="14.5" x14ac:dyDescent="0.35">
      <c r="A2661" s="10" t="s">
        <v>17812</v>
      </c>
      <c r="B2661" s="10" t="str">
        <f>"9781441195326"</f>
        <v>9781441195326</v>
      </c>
      <c r="C2661" s="10" t="str">
        <f>"9781441123114"</f>
        <v>9781441123114</v>
      </c>
      <c r="D2661" s="10" t="s">
        <v>13959</v>
      </c>
      <c r="E2661" s="10" t="s">
        <v>13960</v>
      </c>
      <c r="F2661" s="10" t="s">
        <v>139</v>
      </c>
      <c r="G2661" s="10" t="s">
        <v>6352</v>
      </c>
      <c r="H2661" s="11">
        <v>41362</v>
      </c>
      <c r="I2661" s="10">
        <v>2011</v>
      </c>
      <c r="J2661" s="10" t="s">
        <v>13961</v>
      </c>
      <c r="K2661" s="10">
        <v>142</v>
      </c>
      <c r="L2661" s="10" t="s">
        <v>14698</v>
      </c>
      <c r="M2661" s="10">
        <v>1</v>
      </c>
      <c r="N2661" s="10"/>
      <c r="O2661" s="10"/>
      <c r="P2661" s="10" t="s">
        <v>17813</v>
      </c>
      <c r="Q2661" s="10" t="s">
        <v>13840</v>
      </c>
      <c r="R2661" s="10" t="s">
        <v>17814</v>
      </c>
      <c r="S2661" s="10" t="s">
        <v>53</v>
      </c>
      <c r="T2661" s="10" t="s">
        <v>54</v>
      </c>
    </row>
    <row r="2662" spans="1:20" ht="14.5" x14ac:dyDescent="0.35">
      <c r="A2662" s="10" t="s">
        <v>17815</v>
      </c>
      <c r="B2662" s="10" t="str">
        <f>"9781441150363"</f>
        <v>9781441150363</v>
      </c>
      <c r="C2662" s="10" t="str">
        <f>"9781441108890"</f>
        <v>9781441108890</v>
      </c>
      <c r="D2662" s="10" t="s">
        <v>17816</v>
      </c>
      <c r="E2662" s="10" t="s">
        <v>13960</v>
      </c>
      <c r="F2662" s="10" t="s">
        <v>139</v>
      </c>
      <c r="G2662" s="10" t="s">
        <v>6352</v>
      </c>
      <c r="H2662" s="11">
        <v>40682</v>
      </c>
      <c r="I2662" s="10">
        <v>2011</v>
      </c>
      <c r="J2662" s="10" t="s">
        <v>13961</v>
      </c>
      <c r="K2662" s="10">
        <v>233</v>
      </c>
      <c r="L2662" s="10" t="s">
        <v>16668</v>
      </c>
      <c r="M2662" s="10">
        <v>1</v>
      </c>
      <c r="N2662" s="10"/>
      <c r="O2662" s="10"/>
      <c r="P2662" s="10" t="s">
        <v>17817</v>
      </c>
      <c r="Q2662" s="10">
        <v>371.33</v>
      </c>
      <c r="R2662" s="10" t="s">
        <v>12537</v>
      </c>
      <c r="S2662" s="10" t="s">
        <v>53</v>
      </c>
      <c r="T2662" s="10" t="s">
        <v>54</v>
      </c>
    </row>
    <row r="2663" spans="1:20" ht="14.5" x14ac:dyDescent="0.35">
      <c r="A2663" s="10" t="s">
        <v>17818</v>
      </c>
      <c r="B2663" s="10" t="str">
        <f>"9780470607046"</f>
        <v>9780470607046</v>
      </c>
      <c r="C2663" s="10" t="str">
        <f>"9781118009994"</f>
        <v>9781118009994</v>
      </c>
      <c r="D2663" s="10" t="s">
        <v>6322</v>
      </c>
      <c r="E2663" s="10" t="s">
        <v>6323</v>
      </c>
      <c r="F2663" s="10" t="s">
        <v>13068</v>
      </c>
      <c r="G2663" s="10" t="s">
        <v>6317</v>
      </c>
      <c r="H2663" s="11">
        <v>40610</v>
      </c>
      <c r="I2663" s="10">
        <v>2011</v>
      </c>
      <c r="J2663" s="10" t="s">
        <v>6324</v>
      </c>
      <c r="K2663" s="10">
        <v>199</v>
      </c>
      <c r="L2663" s="10" t="s">
        <v>17819</v>
      </c>
      <c r="M2663" s="10">
        <v>1</v>
      </c>
      <c r="N2663" s="10" t="s">
        <v>16630</v>
      </c>
      <c r="O2663" s="10">
        <v>29</v>
      </c>
      <c r="P2663" s="10" t="s">
        <v>17820</v>
      </c>
      <c r="Q2663" s="10">
        <v>507.8</v>
      </c>
      <c r="R2663" s="10" t="s">
        <v>17821</v>
      </c>
      <c r="S2663" s="10" t="s">
        <v>53</v>
      </c>
      <c r="T2663" s="10" t="s">
        <v>7193</v>
      </c>
    </row>
    <row r="2664" spans="1:20" ht="14.5" x14ac:dyDescent="0.35">
      <c r="A2664" s="10" t="s">
        <v>17822</v>
      </c>
      <c r="B2664" s="10" t="str">
        <f>"9781607098768"</f>
        <v>9781607098768</v>
      </c>
      <c r="C2664" s="10" t="str">
        <f>"9781607098782"</f>
        <v>9781607098782</v>
      </c>
      <c r="D2664" s="10" t="s">
        <v>9752</v>
      </c>
      <c r="E2664" s="10" t="s">
        <v>15192</v>
      </c>
      <c r="F2664" s="10" t="s">
        <v>9754</v>
      </c>
      <c r="G2664" s="10" t="s">
        <v>6317</v>
      </c>
      <c r="H2664" s="11">
        <v>40467</v>
      </c>
      <c r="I2664" s="10">
        <v>2010</v>
      </c>
      <c r="J2664" s="10" t="s">
        <v>15192</v>
      </c>
      <c r="K2664" s="10">
        <v>199</v>
      </c>
      <c r="L2664" s="10" t="s">
        <v>17823</v>
      </c>
      <c r="M2664" s="10">
        <v>1</v>
      </c>
      <c r="N2664" s="10"/>
      <c r="O2664" s="10"/>
      <c r="P2664" s="10" t="s">
        <v>17824</v>
      </c>
      <c r="Q2664" s="10" t="s">
        <v>17825</v>
      </c>
      <c r="R2664" s="10" t="s">
        <v>17826</v>
      </c>
      <c r="S2664" s="10" t="s">
        <v>53</v>
      </c>
      <c r="T2664" s="10" t="s">
        <v>54</v>
      </c>
    </row>
    <row r="2665" spans="1:20" ht="14.5" x14ac:dyDescent="0.35">
      <c r="A2665" s="10" t="s">
        <v>17827</v>
      </c>
      <c r="B2665" s="10" t="str">
        <f>"9781610480444"</f>
        <v>9781610480444</v>
      </c>
      <c r="C2665" s="10" t="str">
        <f>"9781610480468"</f>
        <v>9781610480468</v>
      </c>
      <c r="D2665" s="10" t="s">
        <v>9752</v>
      </c>
      <c r="E2665" s="10" t="s">
        <v>15192</v>
      </c>
      <c r="F2665" s="10" t="s">
        <v>9754</v>
      </c>
      <c r="G2665" s="10" t="s">
        <v>6317</v>
      </c>
      <c r="H2665" s="11">
        <v>40559</v>
      </c>
      <c r="I2665" s="10">
        <v>2010</v>
      </c>
      <c r="J2665" s="10" t="s">
        <v>15192</v>
      </c>
      <c r="K2665" s="10">
        <v>299</v>
      </c>
      <c r="L2665" s="10" t="s">
        <v>17828</v>
      </c>
      <c r="M2665" s="10">
        <v>1</v>
      </c>
      <c r="N2665" s="10"/>
      <c r="O2665" s="10"/>
      <c r="P2665" s="10" t="s">
        <v>17829</v>
      </c>
      <c r="Q2665" s="10">
        <v>370.97300000000001</v>
      </c>
      <c r="R2665" s="10" t="s">
        <v>17830</v>
      </c>
      <c r="S2665" s="10" t="s">
        <v>53</v>
      </c>
      <c r="T2665" s="10" t="s">
        <v>54</v>
      </c>
    </row>
    <row r="2666" spans="1:20" ht="14.5" x14ac:dyDescent="0.35">
      <c r="A2666" s="10" t="s">
        <v>17831</v>
      </c>
      <c r="B2666" s="10" t="str">
        <f>"9780739134283"</f>
        <v>9780739134283</v>
      </c>
      <c r="C2666" s="10" t="str">
        <f>"9780739134306"</f>
        <v>9780739134306</v>
      </c>
      <c r="D2666" s="10" t="s">
        <v>9752</v>
      </c>
      <c r="E2666" s="10" t="s">
        <v>15182</v>
      </c>
      <c r="F2666" s="10" t="s">
        <v>9754</v>
      </c>
      <c r="G2666" s="10" t="s">
        <v>6317</v>
      </c>
      <c r="H2666" s="11">
        <v>40255</v>
      </c>
      <c r="I2666" s="10">
        <v>2010</v>
      </c>
      <c r="J2666" s="10" t="s">
        <v>15182</v>
      </c>
      <c r="K2666" s="10">
        <v>165</v>
      </c>
      <c r="L2666" s="10" t="s">
        <v>17832</v>
      </c>
      <c r="M2666" s="10">
        <v>1</v>
      </c>
      <c r="N2666" s="10" t="s">
        <v>17833</v>
      </c>
      <c r="O2666" s="10"/>
      <c r="P2666" s="10" t="s">
        <v>17834</v>
      </c>
      <c r="Q2666" s="10" t="s">
        <v>17835</v>
      </c>
      <c r="R2666" s="10" t="s">
        <v>17836</v>
      </c>
      <c r="S2666" s="10" t="s">
        <v>53</v>
      </c>
      <c r="T2666" s="10" t="s">
        <v>54</v>
      </c>
    </row>
    <row r="2667" spans="1:20" ht="14.5" x14ac:dyDescent="0.35">
      <c r="A2667" s="10" t="s">
        <v>17837</v>
      </c>
      <c r="B2667" s="10" t="str">
        <f>"9781607093107"</f>
        <v>9781607093107</v>
      </c>
      <c r="C2667" s="10" t="str">
        <f>"9781607093121"</f>
        <v>9781607093121</v>
      </c>
      <c r="D2667" s="10" t="s">
        <v>9752</v>
      </c>
      <c r="E2667" s="10" t="s">
        <v>15192</v>
      </c>
      <c r="F2667" s="10" t="s">
        <v>9754</v>
      </c>
      <c r="G2667" s="10" t="s">
        <v>6317</v>
      </c>
      <c r="H2667" s="11">
        <v>40528</v>
      </c>
      <c r="I2667" s="10">
        <v>2010</v>
      </c>
      <c r="J2667" s="10" t="s">
        <v>15192</v>
      </c>
      <c r="K2667" s="10">
        <v>75</v>
      </c>
      <c r="L2667" s="10" t="s">
        <v>17838</v>
      </c>
      <c r="M2667" s="10">
        <v>1</v>
      </c>
      <c r="N2667" s="10"/>
      <c r="O2667" s="10"/>
      <c r="P2667" s="10" t="s">
        <v>17839</v>
      </c>
      <c r="Q2667" s="10">
        <v>780.71</v>
      </c>
      <c r="R2667" s="10" t="s">
        <v>17840</v>
      </c>
      <c r="S2667" s="10" t="s">
        <v>53</v>
      </c>
      <c r="T2667" s="10" t="s">
        <v>6384</v>
      </c>
    </row>
    <row r="2668" spans="1:20" ht="14.5" x14ac:dyDescent="0.35">
      <c r="A2668" s="10" t="s">
        <v>17841</v>
      </c>
      <c r="B2668" s="10" t="str">
        <f>"9781605907352"</f>
        <v>9781605907352</v>
      </c>
      <c r="C2668" s="10" t="str">
        <f>"9781605907116"</f>
        <v>9781605907116</v>
      </c>
      <c r="D2668" s="10" t="s">
        <v>9752</v>
      </c>
      <c r="E2668" s="10" t="s">
        <v>17842</v>
      </c>
      <c r="F2668" s="10" t="s">
        <v>9754</v>
      </c>
      <c r="G2668" s="10" t="s">
        <v>6317</v>
      </c>
      <c r="H2668" s="11">
        <v>40528</v>
      </c>
      <c r="I2668" s="10">
        <v>2011</v>
      </c>
      <c r="J2668" s="10" t="s">
        <v>17842</v>
      </c>
      <c r="K2668" s="10">
        <v>223</v>
      </c>
      <c r="L2668" s="10" t="s">
        <v>17843</v>
      </c>
      <c r="M2668" s="10">
        <v>1</v>
      </c>
      <c r="N2668" s="10" t="s">
        <v>17844</v>
      </c>
      <c r="O2668" s="10">
        <v>8</v>
      </c>
      <c r="P2668" s="10" t="s">
        <v>17845</v>
      </c>
      <c r="Q2668" s="10">
        <v>500</v>
      </c>
      <c r="R2668" s="10" t="s">
        <v>17846</v>
      </c>
      <c r="S2668" s="10" t="s">
        <v>53</v>
      </c>
      <c r="T2668" s="10" t="s">
        <v>9608</v>
      </c>
    </row>
    <row r="2669" spans="1:20" ht="14.5" x14ac:dyDescent="0.35">
      <c r="A2669" s="10" t="s">
        <v>17847</v>
      </c>
      <c r="B2669" s="10" t="str">
        <f>"9781607097136"</f>
        <v>9781607097136</v>
      </c>
      <c r="C2669" s="10" t="str">
        <f>"9781607097150"</f>
        <v>9781607097150</v>
      </c>
      <c r="D2669" s="10" t="s">
        <v>9752</v>
      </c>
      <c r="E2669" s="10" t="s">
        <v>15192</v>
      </c>
      <c r="F2669" s="10" t="s">
        <v>9754</v>
      </c>
      <c r="G2669" s="10" t="s">
        <v>6317</v>
      </c>
      <c r="H2669" s="11">
        <v>40528</v>
      </c>
      <c r="I2669" s="10">
        <v>2010</v>
      </c>
      <c r="J2669" s="10" t="s">
        <v>15192</v>
      </c>
      <c r="K2669" s="10">
        <v>147</v>
      </c>
      <c r="L2669" s="10" t="s">
        <v>17848</v>
      </c>
      <c r="M2669" s="10">
        <v>1</v>
      </c>
      <c r="N2669" s="10"/>
      <c r="O2669" s="10"/>
      <c r="P2669" s="10" t="s">
        <v>17849</v>
      </c>
      <c r="Q2669" s="10">
        <v>373.11020000000002</v>
      </c>
      <c r="R2669" s="10" t="s">
        <v>17850</v>
      </c>
      <c r="S2669" s="10" t="s">
        <v>53</v>
      </c>
      <c r="T2669" s="10" t="s">
        <v>54</v>
      </c>
    </row>
    <row r="2670" spans="1:20" ht="14.5" x14ac:dyDescent="0.35">
      <c r="A2670" s="10" t="s">
        <v>17851</v>
      </c>
      <c r="B2670" s="10" t="str">
        <f>"9780761852728"</f>
        <v>9780761852728</v>
      </c>
      <c r="C2670" s="10" t="str">
        <f>"9780761852735"</f>
        <v>9780761852735</v>
      </c>
      <c r="D2670" s="10" t="s">
        <v>9752</v>
      </c>
      <c r="E2670" s="10" t="s">
        <v>17167</v>
      </c>
      <c r="F2670" s="10" t="s">
        <v>9754</v>
      </c>
      <c r="G2670" s="10" t="s">
        <v>6317</v>
      </c>
      <c r="H2670" s="11">
        <v>40514</v>
      </c>
      <c r="I2670" s="10">
        <v>2010</v>
      </c>
      <c r="J2670" s="10" t="s">
        <v>17167</v>
      </c>
      <c r="K2670" s="10">
        <v>101</v>
      </c>
      <c r="L2670" s="10" t="s">
        <v>17852</v>
      </c>
      <c r="M2670" s="10">
        <v>1</v>
      </c>
      <c r="N2670" s="10"/>
      <c r="O2670" s="10"/>
      <c r="P2670" s="10" t="s">
        <v>17853</v>
      </c>
      <c r="Q2670" s="10">
        <v>155.418240973</v>
      </c>
      <c r="R2670" s="10" t="s">
        <v>17854</v>
      </c>
      <c r="S2670" s="10" t="s">
        <v>53</v>
      </c>
      <c r="T2670" s="10" t="s">
        <v>6640</v>
      </c>
    </row>
    <row r="2671" spans="1:20" ht="14.5" x14ac:dyDescent="0.35">
      <c r="A2671" s="10" t="s">
        <v>17855</v>
      </c>
      <c r="B2671" s="10" t="str">
        <f>"9781607098430"</f>
        <v>9781607098430</v>
      </c>
      <c r="C2671" s="10" t="str">
        <f>"9781607098454"</f>
        <v>9781607098454</v>
      </c>
      <c r="D2671" s="10" t="s">
        <v>9752</v>
      </c>
      <c r="E2671" s="10" t="s">
        <v>15192</v>
      </c>
      <c r="F2671" s="10" t="s">
        <v>9754</v>
      </c>
      <c r="G2671" s="10" t="s">
        <v>6317</v>
      </c>
      <c r="H2671" s="11">
        <v>40528</v>
      </c>
      <c r="I2671" s="10">
        <v>2011</v>
      </c>
      <c r="J2671" s="10" t="s">
        <v>15192</v>
      </c>
      <c r="K2671" s="10">
        <v>192</v>
      </c>
      <c r="L2671" s="10" t="s">
        <v>17856</v>
      </c>
      <c r="M2671" s="10">
        <v>1</v>
      </c>
      <c r="N2671" s="10"/>
      <c r="O2671" s="10"/>
      <c r="P2671" s="10" t="s">
        <v>17857</v>
      </c>
      <c r="Q2671" s="10" t="s">
        <v>8460</v>
      </c>
      <c r="R2671" s="10" t="s">
        <v>17858</v>
      </c>
      <c r="S2671" s="10" t="s">
        <v>53</v>
      </c>
      <c r="T2671" s="10" t="s">
        <v>54</v>
      </c>
    </row>
    <row r="2672" spans="1:20" ht="14.5" x14ac:dyDescent="0.35">
      <c r="A2672" s="10" t="s">
        <v>17859</v>
      </c>
      <c r="B2672" s="10" t="str">
        <f>"9781607099246"</f>
        <v>9781607099246</v>
      </c>
      <c r="C2672" s="10" t="str">
        <f>"9781607099260"</f>
        <v>9781607099260</v>
      </c>
      <c r="D2672" s="10" t="s">
        <v>9752</v>
      </c>
      <c r="E2672" s="10" t="s">
        <v>15192</v>
      </c>
      <c r="F2672" s="10" t="s">
        <v>9754</v>
      </c>
      <c r="G2672" s="10" t="s">
        <v>6317</v>
      </c>
      <c r="H2672" s="11">
        <v>40528</v>
      </c>
      <c r="I2672" s="10">
        <v>2011</v>
      </c>
      <c r="J2672" s="10" t="s">
        <v>15192</v>
      </c>
      <c r="K2672" s="10">
        <v>155</v>
      </c>
      <c r="L2672" s="10" t="s">
        <v>17860</v>
      </c>
      <c r="M2672" s="10">
        <v>1</v>
      </c>
      <c r="N2672" s="10"/>
      <c r="O2672" s="10"/>
      <c r="P2672" s="10" t="s">
        <v>17861</v>
      </c>
      <c r="Q2672" s="10">
        <v>371.1</v>
      </c>
      <c r="R2672" s="10" t="s">
        <v>17862</v>
      </c>
      <c r="S2672" s="10" t="s">
        <v>53</v>
      </c>
      <c r="T2672" s="10" t="s">
        <v>6640</v>
      </c>
    </row>
    <row r="2673" spans="1:20" ht="14.5" x14ac:dyDescent="0.35">
      <c r="A2673" s="10" t="s">
        <v>17863</v>
      </c>
      <c r="B2673" s="10" t="str">
        <f>"9781442208063"</f>
        <v>9781442208063</v>
      </c>
      <c r="C2673" s="10" t="str">
        <f>"9781442208087"</f>
        <v>9781442208087</v>
      </c>
      <c r="D2673" s="10" t="s">
        <v>9752</v>
      </c>
      <c r="E2673" s="10" t="s">
        <v>15187</v>
      </c>
      <c r="F2673" s="10" t="s">
        <v>9754</v>
      </c>
      <c r="G2673" s="10" t="s">
        <v>6317</v>
      </c>
      <c r="H2673" s="11">
        <v>40559</v>
      </c>
      <c r="I2673" s="10">
        <v>2010</v>
      </c>
      <c r="J2673" s="10" t="s">
        <v>15187</v>
      </c>
      <c r="K2673" s="10">
        <v>295</v>
      </c>
      <c r="L2673" s="10" t="s">
        <v>17864</v>
      </c>
      <c r="M2673" s="10">
        <v>1</v>
      </c>
      <c r="N2673" s="10"/>
      <c r="O2673" s="10"/>
      <c r="P2673" s="10" t="s">
        <v>17865</v>
      </c>
      <c r="Q2673" s="10">
        <v>378.73</v>
      </c>
      <c r="R2673" s="10" t="s">
        <v>17866</v>
      </c>
      <c r="S2673" s="10" t="s">
        <v>53</v>
      </c>
      <c r="T2673" s="10" t="s">
        <v>54</v>
      </c>
    </row>
    <row r="2674" spans="1:20" ht="14.5" x14ac:dyDescent="0.35">
      <c r="A2674" s="10" t="s">
        <v>17867</v>
      </c>
      <c r="B2674" s="10" t="str">
        <f>"9781607095897"</f>
        <v>9781607095897</v>
      </c>
      <c r="C2674" s="10" t="str">
        <f>"9781607095910"</f>
        <v>9781607095910</v>
      </c>
      <c r="D2674" s="10" t="s">
        <v>9752</v>
      </c>
      <c r="E2674" s="10" t="s">
        <v>15192</v>
      </c>
      <c r="F2674" s="10" t="s">
        <v>9754</v>
      </c>
      <c r="G2674" s="10" t="s">
        <v>6317</v>
      </c>
      <c r="H2674" s="11">
        <v>40467</v>
      </c>
      <c r="I2674" s="10">
        <v>2010</v>
      </c>
      <c r="J2674" s="10" t="s">
        <v>15192</v>
      </c>
      <c r="K2674" s="10">
        <v>195</v>
      </c>
      <c r="L2674" s="10" t="s">
        <v>17868</v>
      </c>
      <c r="M2674" s="10">
        <v>1</v>
      </c>
      <c r="N2674" s="10"/>
      <c r="O2674" s="10"/>
      <c r="P2674" s="10" t="s">
        <v>17869</v>
      </c>
      <c r="Q2674" s="10">
        <v>371.10199999999998</v>
      </c>
      <c r="R2674" s="10" t="s">
        <v>17870</v>
      </c>
      <c r="S2674" s="10" t="s">
        <v>53</v>
      </c>
      <c r="T2674" s="10" t="s">
        <v>54</v>
      </c>
    </row>
    <row r="2675" spans="1:20" ht="14.5" x14ac:dyDescent="0.35">
      <c r="A2675" s="10" t="s">
        <v>17871</v>
      </c>
      <c r="B2675" s="10" t="str">
        <f>"9781607098386"</f>
        <v>9781607098386</v>
      </c>
      <c r="C2675" s="10" t="str">
        <f>"9781607098393"</f>
        <v>9781607098393</v>
      </c>
      <c r="D2675" s="10" t="s">
        <v>9752</v>
      </c>
      <c r="E2675" s="10" t="s">
        <v>15192</v>
      </c>
      <c r="F2675" s="10" t="s">
        <v>9754</v>
      </c>
      <c r="G2675" s="10" t="s">
        <v>6317</v>
      </c>
      <c r="H2675" s="11">
        <v>40528</v>
      </c>
      <c r="I2675" s="10">
        <v>2011</v>
      </c>
      <c r="J2675" s="10" t="s">
        <v>15192</v>
      </c>
      <c r="K2675" s="10">
        <v>169</v>
      </c>
      <c r="L2675" s="10" t="s">
        <v>17872</v>
      </c>
      <c r="M2675" s="10">
        <v>1</v>
      </c>
      <c r="N2675" s="10"/>
      <c r="O2675" s="10"/>
      <c r="P2675" s="10" t="s">
        <v>17873</v>
      </c>
      <c r="Q2675" s="10" t="s">
        <v>12010</v>
      </c>
      <c r="R2675" s="10" t="s">
        <v>17874</v>
      </c>
      <c r="S2675" s="10" t="s">
        <v>53</v>
      </c>
      <c r="T2675" s="10" t="s">
        <v>54</v>
      </c>
    </row>
    <row r="2676" spans="1:20" ht="14.5" x14ac:dyDescent="0.35">
      <c r="A2676" s="10" t="s">
        <v>17875</v>
      </c>
      <c r="B2676" s="10" t="str">
        <f>"9780857245915"</f>
        <v>9780857245915</v>
      </c>
      <c r="C2676" s="10" t="str">
        <f>"9780857245922"</f>
        <v>9780857245922</v>
      </c>
      <c r="D2676" s="10" t="s">
        <v>8699</v>
      </c>
      <c r="E2676" s="10" t="s">
        <v>8699</v>
      </c>
      <c r="F2676" s="10" t="s">
        <v>559</v>
      </c>
      <c r="G2676" s="10" t="s">
        <v>6352</v>
      </c>
      <c r="H2676" s="11">
        <v>40589</v>
      </c>
      <c r="I2676" s="10">
        <v>2011</v>
      </c>
      <c r="J2676" s="10" t="s">
        <v>8699</v>
      </c>
      <c r="K2676" s="10">
        <v>314</v>
      </c>
      <c r="L2676" s="10" t="s">
        <v>17876</v>
      </c>
      <c r="M2676" s="10">
        <v>1</v>
      </c>
      <c r="N2676" s="10" t="s">
        <v>17877</v>
      </c>
      <c r="O2676" s="10">
        <v>13</v>
      </c>
      <c r="P2676" s="10" t="s">
        <v>17878</v>
      </c>
      <c r="Q2676" s="10"/>
      <c r="R2676" s="10" t="s">
        <v>15710</v>
      </c>
      <c r="S2676" s="10" t="s">
        <v>53</v>
      </c>
      <c r="T2676" s="10" t="s">
        <v>54</v>
      </c>
    </row>
    <row r="2677" spans="1:20" ht="14.5" x14ac:dyDescent="0.35">
      <c r="A2677" s="10" t="s">
        <v>17879</v>
      </c>
      <c r="B2677" s="10" t="str">
        <f>"9780691148748"</f>
        <v>9780691148748</v>
      </c>
      <c r="C2677" s="10" t="str">
        <f>"9781400838578"</f>
        <v>9781400838578</v>
      </c>
      <c r="D2677" s="10" t="s">
        <v>14335</v>
      </c>
      <c r="E2677" s="10" t="s">
        <v>14336</v>
      </c>
      <c r="F2677" s="10" t="s">
        <v>2246</v>
      </c>
      <c r="G2677" s="10" t="s">
        <v>6317</v>
      </c>
      <c r="H2677" s="11">
        <v>40560</v>
      </c>
      <c r="I2677" s="10">
        <v>2011</v>
      </c>
      <c r="J2677" s="10" t="s">
        <v>14336</v>
      </c>
      <c r="K2677" s="10">
        <v>240</v>
      </c>
      <c r="L2677" s="10" t="s">
        <v>17880</v>
      </c>
      <c r="M2677" s="10">
        <v>1</v>
      </c>
      <c r="N2677" s="10" t="s">
        <v>14345</v>
      </c>
      <c r="O2677" s="10">
        <v>57</v>
      </c>
      <c r="P2677" s="10" t="s">
        <v>17881</v>
      </c>
      <c r="Q2677" s="10">
        <v>378.17579999999998</v>
      </c>
      <c r="R2677" s="10"/>
      <c r="S2677" s="10" t="s">
        <v>53</v>
      </c>
      <c r="T2677" s="10" t="s">
        <v>54</v>
      </c>
    </row>
    <row r="2678" spans="1:20" ht="14.5" x14ac:dyDescent="0.35">
      <c r="A2678" s="10" t="s">
        <v>17882</v>
      </c>
      <c r="B2678" s="10" t="str">
        <f>"9780195306958"</f>
        <v>9780195306958</v>
      </c>
      <c r="C2678" s="10" t="str">
        <f>"9780199774845"</f>
        <v>9780199774845</v>
      </c>
      <c r="D2678" s="10" t="s">
        <v>9122</v>
      </c>
      <c r="E2678" s="10" t="s">
        <v>9133</v>
      </c>
      <c r="F2678" s="10" t="s">
        <v>70</v>
      </c>
      <c r="G2678" s="10" t="s">
        <v>6317</v>
      </c>
      <c r="H2678" s="11">
        <v>38897</v>
      </c>
      <c r="I2678" s="10">
        <v>2006</v>
      </c>
      <c r="J2678" s="10" t="s">
        <v>9133</v>
      </c>
      <c r="K2678" s="10">
        <v>158</v>
      </c>
      <c r="L2678" s="10" t="s">
        <v>17883</v>
      </c>
      <c r="M2678" s="10">
        <v>1</v>
      </c>
      <c r="N2678" s="10"/>
      <c r="O2678" s="10"/>
      <c r="P2678" s="10" t="s">
        <v>17884</v>
      </c>
      <c r="Q2678" s="10">
        <v>378.73</v>
      </c>
      <c r="R2678" s="10" t="s">
        <v>17885</v>
      </c>
      <c r="S2678" s="10" t="s">
        <v>53</v>
      </c>
      <c r="T2678" s="10" t="s">
        <v>54</v>
      </c>
    </row>
    <row r="2679" spans="1:20" ht="14.5" x14ac:dyDescent="0.35">
      <c r="A2679" s="10" t="s">
        <v>17886</v>
      </c>
      <c r="B2679" s="10" t="str">
        <f>"9780199733187"</f>
        <v>9780199733187</v>
      </c>
      <c r="C2679" s="10" t="str">
        <f>"9780199837939"</f>
        <v>9780199837939</v>
      </c>
      <c r="D2679" s="10" t="s">
        <v>9122</v>
      </c>
      <c r="E2679" s="10" t="s">
        <v>9133</v>
      </c>
      <c r="F2679" s="10" t="s">
        <v>330</v>
      </c>
      <c r="G2679" s="10" t="s">
        <v>6317</v>
      </c>
      <c r="H2679" s="11">
        <v>40576</v>
      </c>
      <c r="I2679" s="10">
        <v>2011</v>
      </c>
      <c r="J2679" s="10" t="s">
        <v>9133</v>
      </c>
      <c r="K2679" s="10">
        <v>353</v>
      </c>
      <c r="L2679" s="10" t="s">
        <v>17887</v>
      </c>
      <c r="M2679" s="10">
        <v>1</v>
      </c>
      <c r="N2679" s="10"/>
      <c r="O2679" s="10"/>
      <c r="P2679" s="10" t="s">
        <v>17888</v>
      </c>
      <c r="Q2679" s="10" t="s">
        <v>8748</v>
      </c>
      <c r="R2679" s="10" t="s">
        <v>17889</v>
      </c>
      <c r="S2679" s="10" t="s">
        <v>53</v>
      </c>
      <c r="T2679" s="10" t="s">
        <v>54</v>
      </c>
    </row>
    <row r="2680" spans="1:20" ht="14.5" x14ac:dyDescent="0.35">
      <c r="A2680" s="10" t="s">
        <v>17890</v>
      </c>
      <c r="B2680" s="10" t="str">
        <f>"9780465024339"</f>
        <v>9780465024339</v>
      </c>
      <c r="C2680" s="10" t="str">
        <f>"9780465024346"</f>
        <v>9780465024346</v>
      </c>
      <c r="D2680" s="10" t="s">
        <v>15536</v>
      </c>
      <c r="E2680" s="10" t="s">
        <v>16100</v>
      </c>
      <c r="F2680" s="10" t="s">
        <v>70</v>
      </c>
      <c r="G2680" s="10" t="s">
        <v>6317</v>
      </c>
      <c r="H2680" s="11">
        <v>40631</v>
      </c>
      <c r="I2680" s="10">
        <v>2011</v>
      </c>
      <c r="J2680" s="10" t="s">
        <v>16100</v>
      </c>
      <c r="K2680" s="10">
        <v>529</v>
      </c>
      <c r="L2680" s="10" t="s">
        <v>17891</v>
      </c>
      <c r="M2680" s="10">
        <v>3</v>
      </c>
      <c r="N2680" s="10"/>
      <c r="O2680" s="10"/>
      <c r="P2680" s="10" t="s">
        <v>17892</v>
      </c>
      <c r="Q2680" s="10">
        <v>153.9</v>
      </c>
      <c r="R2680" s="10" t="s">
        <v>17893</v>
      </c>
      <c r="S2680" s="10" t="s">
        <v>53</v>
      </c>
      <c r="T2680" s="10" t="s">
        <v>483</v>
      </c>
    </row>
    <row r="2681" spans="1:20" ht="14.5" x14ac:dyDescent="0.35">
      <c r="A2681" s="10" t="s">
        <v>17894</v>
      </c>
      <c r="B2681" s="10" t="str">
        <f>"9781607093473"</f>
        <v>9781607093473</v>
      </c>
      <c r="C2681" s="10" t="str">
        <f>"9781607093480"</f>
        <v>9781607093480</v>
      </c>
      <c r="D2681" s="10" t="s">
        <v>9752</v>
      </c>
      <c r="E2681" s="10" t="s">
        <v>15192</v>
      </c>
      <c r="F2681" s="10" t="s">
        <v>9754</v>
      </c>
      <c r="G2681" s="10" t="s">
        <v>6317</v>
      </c>
      <c r="H2681" s="11">
        <v>40133</v>
      </c>
      <c r="I2681" s="10">
        <v>2010</v>
      </c>
      <c r="J2681" s="10" t="s">
        <v>15192</v>
      </c>
      <c r="K2681" s="10">
        <v>170</v>
      </c>
      <c r="L2681" s="10" t="s">
        <v>17895</v>
      </c>
      <c r="M2681" s="10">
        <v>1</v>
      </c>
      <c r="N2681" s="10"/>
      <c r="O2681" s="10"/>
      <c r="P2681" s="10" t="s">
        <v>17896</v>
      </c>
      <c r="Q2681" s="10">
        <v>370.73</v>
      </c>
      <c r="R2681" s="10" t="s">
        <v>17897</v>
      </c>
      <c r="S2681" s="10" t="s">
        <v>53</v>
      </c>
      <c r="T2681" s="10" t="s">
        <v>54</v>
      </c>
    </row>
    <row r="2682" spans="1:20" ht="14.5" x14ac:dyDescent="0.35">
      <c r="A2682" s="10" t="s">
        <v>17898</v>
      </c>
      <c r="B2682" s="10" t="str">
        <f>"9780415800280"</f>
        <v>9780415800280</v>
      </c>
      <c r="C2682" s="10" t="str">
        <f>"9780203842171"</f>
        <v>9780203842171</v>
      </c>
      <c r="D2682" s="10" t="s">
        <v>6350</v>
      </c>
      <c r="E2682" s="10" t="s">
        <v>6351</v>
      </c>
      <c r="F2682" s="10" t="s">
        <v>139</v>
      </c>
      <c r="G2682" s="10" t="s">
        <v>6352</v>
      </c>
      <c r="H2682" s="11">
        <v>40491</v>
      </c>
      <c r="I2682" s="10">
        <v>2011</v>
      </c>
      <c r="J2682" s="10" t="s">
        <v>6353</v>
      </c>
      <c r="K2682" s="10">
        <v>270</v>
      </c>
      <c r="L2682" s="10" t="s">
        <v>17899</v>
      </c>
      <c r="M2682" s="10">
        <v>1</v>
      </c>
      <c r="N2682" s="10"/>
      <c r="O2682" s="10"/>
      <c r="P2682" s="10" t="s">
        <v>17900</v>
      </c>
      <c r="Q2682" s="10" t="s">
        <v>17901</v>
      </c>
      <c r="R2682" s="10" t="s">
        <v>17902</v>
      </c>
      <c r="S2682" s="10" t="s">
        <v>53</v>
      </c>
      <c r="T2682" s="10" t="s">
        <v>54</v>
      </c>
    </row>
    <row r="2683" spans="1:20" ht="14.5" x14ac:dyDescent="0.35">
      <c r="A2683" s="10" t="s">
        <v>17903</v>
      </c>
      <c r="B2683" s="10" t="str">
        <f>"9780415876216"</f>
        <v>9780415876216</v>
      </c>
      <c r="C2683" s="10" t="str">
        <f>"9780203835050"</f>
        <v>9780203835050</v>
      </c>
      <c r="D2683" s="10" t="s">
        <v>6350</v>
      </c>
      <c r="E2683" s="10" t="s">
        <v>6351</v>
      </c>
      <c r="F2683" s="10" t="s">
        <v>139</v>
      </c>
      <c r="G2683" s="10" t="s">
        <v>6352</v>
      </c>
      <c r="H2683" s="11">
        <v>40499</v>
      </c>
      <c r="I2683" s="10">
        <v>2011</v>
      </c>
      <c r="J2683" s="10" t="s">
        <v>6353</v>
      </c>
      <c r="K2683" s="10">
        <v>233</v>
      </c>
      <c r="L2683" s="10" t="s">
        <v>17904</v>
      </c>
      <c r="M2683" s="10">
        <v>1</v>
      </c>
      <c r="N2683" s="10"/>
      <c r="O2683" s="10"/>
      <c r="P2683" s="10" t="s">
        <v>17905</v>
      </c>
      <c r="Q2683" s="10">
        <v>375.00097299999999</v>
      </c>
      <c r="R2683" s="10" t="s">
        <v>17906</v>
      </c>
      <c r="S2683" s="10" t="s">
        <v>53</v>
      </c>
      <c r="T2683" s="10" t="s">
        <v>54</v>
      </c>
    </row>
    <row r="2684" spans="1:20" ht="14.5" x14ac:dyDescent="0.35">
      <c r="A2684" s="10" t="s">
        <v>17907</v>
      </c>
      <c r="B2684" s="10" t="str">
        <f>"9780415877398"</f>
        <v>9780415877398</v>
      </c>
      <c r="C2684" s="10" t="str">
        <f>"9780203850978"</f>
        <v>9780203850978</v>
      </c>
      <c r="D2684" s="10" t="s">
        <v>6350</v>
      </c>
      <c r="E2684" s="10" t="s">
        <v>6351</v>
      </c>
      <c r="F2684" s="10" t="s">
        <v>139</v>
      </c>
      <c r="G2684" s="10" t="s">
        <v>6352</v>
      </c>
      <c r="H2684" s="11">
        <v>40500</v>
      </c>
      <c r="I2684" s="10">
        <v>2011</v>
      </c>
      <c r="J2684" s="10" t="s">
        <v>6353</v>
      </c>
      <c r="K2684" s="10">
        <v>273</v>
      </c>
      <c r="L2684" s="10" t="s">
        <v>17908</v>
      </c>
      <c r="M2684" s="10">
        <v>1</v>
      </c>
      <c r="N2684" s="10"/>
      <c r="O2684" s="10"/>
      <c r="P2684" s="10" t="s">
        <v>17909</v>
      </c>
      <c r="Q2684" s="10">
        <v>370.71100000000001</v>
      </c>
      <c r="R2684" s="10" t="s">
        <v>15138</v>
      </c>
      <c r="S2684" s="10" t="s">
        <v>53</v>
      </c>
      <c r="T2684" s="10" t="s">
        <v>54</v>
      </c>
    </row>
    <row r="2685" spans="1:20" ht="14.5" x14ac:dyDescent="0.35">
      <c r="A2685" s="10" t="s">
        <v>17910</v>
      </c>
      <c r="B2685" s="10" t="str">
        <f>"9780415589277"</f>
        <v>9780415589277</v>
      </c>
      <c r="C2685" s="10" t="str">
        <f>"9780203834800"</f>
        <v>9780203834800</v>
      </c>
      <c r="D2685" s="10" t="s">
        <v>6350</v>
      </c>
      <c r="E2685" s="10" t="s">
        <v>6351</v>
      </c>
      <c r="F2685" s="10" t="s">
        <v>139</v>
      </c>
      <c r="G2685" s="10" t="s">
        <v>6352</v>
      </c>
      <c r="H2685" s="11">
        <v>40533</v>
      </c>
      <c r="I2685" s="10">
        <v>2011</v>
      </c>
      <c r="J2685" s="10" t="s">
        <v>6353</v>
      </c>
      <c r="K2685" s="10">
        <v>221</v>
      </c>
      <c r="L2685" s="10" t="s">
        <v>17911</v>
      </c>
      <c r="M2685" s="10">
        <v>1</v>
      </c>
      <c r="N2685" s="10"/>
      <c r="O2685" s="10"/>
      <c r="P2685" s="10" t="s">
        <v>17912</v>
      </c>
      <c r="Q2685" s="10">
        <v>370.11599999999999</v>
      </c>
      <c r="R2685" s="10" t="s">
        <v>7884</v>
      </c>
      <c r="S2685" s="10" t="s">
        <v>53</v>
      </c>
      <c r="T2685" s="10" t="s">
        <v>54</v>
      </c>
    </row>
    <row r="2686" spans="1:20" ht="14.5" x14ac:dyDescent="0.35">
      <c r="A2686" s="10" t="s">
        <v>17913</v>
      </c>
      <c r="B2686" s="10" t="str">
        <f>"9780415550536"</f>
        <v>9780415550536</v>
      </c>
      <c r="C2686" s="10" t="str">
        <f>"9780203858028"</f>
        <v>9780203858028</v>
      </c>
      <c r="D2686" s="10" t="s">
        <v>6350</v>
      </c>
      <c r="E2686" s="10" t="s">
        <v>6351</v>
      </c>
      <c r="F2686" s="10" t="s">
        <v>748</v>
      </c>
      <c r="G2686" s="10" t="s">
        <v>6352</v>
      </c>
      <c r="H2686" s="11">
        <v>40534</v>
      </c>
      <c r="I2686" s="10">
        <v>2010</v>
      </c>
      <c r="J2686" s="10" t="s">
        <v>6351</v>
      </c>
      <c r="K2686" s="10">
        <v>168</v>
      </c>
      <c r="L2686" s="10" t="s">
        <v>17914</v>
      </c>
      <c r="M2686" s="10">
        <v>1</v>
      </c>
      <c r="N2686" s="10"/>
      <c r="O2686" s="10"/>
      <c r="P2686" s="10" t="s">
        <v>17915</v>
      </c>
      <c r="Q2686" s="10">
        <v>371.33467999999999</v>
      </c>
      <c r="R2686" s="10" t="s">
        <v>17916</v>
      </c>
      <c r="S2686" s="10" t="s">
        <v>53</v>
      </c>
      <c r="T2686" s="10" t="s">
        <v>54</v>
      </c>
    </row>
    <row r="2687" spans="1:20" ht="14.5" x14ac:dyDescent="0.35">
      <c r="A2687" s="10" t="s">
        <v>17917</v>
      </c>
      <c r="B2687" s="10" t="str">
        <f>"9780415802048"</f>
        <v>9780415802048</v>
      </c>
      <c r="C2687" s="10" t="str">
        <f>"9780203850961"</f>
        <v>9780203850961</v>
      </c>
      <c r="D2687" s="10" t="s">
        <v>6350</v>
      </c>
      <c r="E2687" s="10" t="s">
        <v>6351</v>
      </c>
      <c r="F2687" s="10" t="s">
        <v>5406</v>
      </c>
      <c r="G2687" s="10" t="s">
        <v>6317</v>
      </c>
      <c r="H2687" s="11">
        <v>40490</v>
      </c>
      <c r="I2687" s="10">
        <v>2011</v>
      </c>
      <c r="J2687" s="10" t="s">
        <v>6353</v>
      </c>
      <c r="K2687" s="10">
        <v>178</v>
      </c>
      <c r="L2687" s="10" t="s">
        <v>17918</v>
      </c>
      <c r="M2687" s="10">
        <v>1</v>
      </c>
      <c r="N2687" s="10" t="s">
        <v>8644</v>
      </c>
      <c r="O2687" s="10"/>
      <c r="P2687" s="10" t="s">
        <v>17919</v>
      </c>
      <c r="Q2687" s="10">
        <v>418.00709999999998</v>
      </c>
      <c r="R2687" s="10" t="s">
        <v>17920</v>
      </c>
      <c r="S2687" s="10" t="s">
        <v>53</v>
      </c>
      <c r="T2687" s="10" t="s">
        <v>6616</v>
      </c>
    </row>
    <row r="2688" spans="1:20" ht="14.5" x14ac:dyDescent="0.35">
      <c r="A2688" s="10" t="s">
        <v>17921</v>
      </c>
      <c r="B2688" s="10" t="str">
        <f>"9780415991865"</f>
        <v>9780415991865</v>
      </c>
      <c r="C2688" s="10" t="str">
        <f>"9780203837276"</f>
        <v>9780203837276</v>
      </c>
      <c r="D2688" s="10" t="s">
        <v>6350</v>
      </c>
      <c r="E2688" s="10" t="s">
        <v>6351</v>
      </c>
      <c r="F2688" s="10" t="s">
        <v>139</v>
      </c>
      <c r="G2688" s="10" t="s">
        <v>6352</v>
      </c>
      <c r="H2688" s="11">
        <v>40490</v>
      </c>
      <c r="I2688" s="10">
        <v>2011</v>
      </c>
      <c r="J2688" s="10" t="s">
        <v>6353</v>
      </c>
      <c r="K2688" s="10">
        <v>321</v>
      </c>
      <c r="L2688" s="10" t="s">
        <v>17922</v>
      </c>
      <c r="M2688" s="10">
        <v>2</v>
      </c>
      <c r="N2688" s="10" t="s">
        <v>12310</v>
      </c>
      <c r="O2688" s="10"/>
      <c r="P2688" s="10" t="s">
        <v>17923</v>
      </c>
      <c r="Q2688" s="10">
        <v>375.00099999999998</v>
      </c>
      <c r="R2688" s="10" t="s">
        <v>17924</v>
      </c>
      <c r="S2688" s="10" t="s">
        <v>53</v>
      </c>
      <c r="T2688" s="10" t="s">
        <v>54</v>
      </c>
    </row>
    <row r="2689" spans="1:20" ht="14.5" x14ac:dyDescent="0.35">
      <c r="A2689" s="10" t="s">
        <v>17925</v>
      </c>
      <c r="B2689" s="10" t="str">
        <f>"9780415497534"</f>
        <v>9780415497534</v>
      </c>
      <c r="C2689" s="10" t="str">
        <f>"9780203840627"</f>
        <v>9780203840627</v>
      </c>
      <c r="D2689" s="10" t="s">
        <v>6350</v>
      </c>
      <c r="E2689" s="10" t="s">
        <v>6351</v>
      </c>
      <c r="F2689" s="10" t="s">
        <v>748</v>
      </c>
      <c r="G2689" s="10" t="s">
        <v>6352</v>
      </c>
      <c r="H2689" s="11">
        <v>40533</v>
      </c>
      <c r="I2689" s="10">
        <v>2011</v>
      </c>
      <c r="J2689" s="10" t="s">
        <v>6351</v>
      </c>
      <c r="K2689" s="10">
        <v>185</v>
      </c>
      <c r="L2689" s="10" t="s">
        <v>17926</v>
      </c>
      <c r="M2689" s="10">
        <v>1</v>
      </c>
      <c r="N2689" s="10"/>
      <c r="O2689" s="10"/>
      <c r="P2689" s="10" t="s">
        <v>17927</v>
      </c>
      <c r="Q2689" s="10">
        <v>372.21</v>
      </c>
      <c r="R2689" s="10" t="s">
        <v>17928</v>
      </c>
      <c r="S2689" s="10" t="s">
        <v>53</v>
      </c>
      <c r="T2689" s="10" t="s">
        <v>54</v>
      </c>
    </row>
    <row r="2690" spans="1:20" ht="14.5" x14ac:dyDescent="0.35">
      <c r="A2690" s="10" t="s">
        <v>17929</v>
      </c>
      <c r="B2690" s="10" t="str">
        <f>"9780415584234"</f>
        <v>9780415584234</v>
      </c>
      <c r="C2690" s="10" t="str">
        <f>"9780203839782"</f>
        <v>9780203839782</v>
      </c>
      <c r="D2690" s="10" t="s">
        <v>6350</v>
      </c>
      <c r="E2690" s="10" t="s">
        <v>6351</v>
      </c>
      <c r="F2690" s="10" t="s">
        <v>5406</v>
      </c>
      <c r="G2690" s="10" t="s">
        <v>6352</v>
      </c>
      <c r="H2690" s="11">
        <v>40533</v>
      </c>
      <c r="I2690" s="10">
        <v>2011</v>
      </c>
      <c r="J2690" s="10" t="s">
        <v>6353</v>
      </c>
      <c r="K2690" s="10">
        <v>350</v>
      </c>
      <c r="L2690" s="10" t="s">
        <v>17930</v>
      </c>
      <c r="M2690" s="10">
        <v>2</v>
      </c>
      <c r="N2690" s="10"/>
      <c r="O2690" s="10"/>
      <c r="P2690" s="10" t="s">
        <v>17931</v>
      </c>
      <c r="Q2690" s="10">
        <v>371.90460000000002</v>
      </c>
      <c r="R2690" s="10" t="s">
        <v>6577</v>
      </c>
      <c r="S2690" s="10" t="s">
        <v>53</v>
      </c>
      <c r="T2690" s="10" t="s">
        <v>54</v>
      </c>
    </row>
    <row r="2691" spans="1:20" ht="14.5" x14ac:dyDescent="0.35">
      <c r="A2691" s="10" t="s">
        <v>17932</v>
      </c>
      <c r="B2691" s="10" t="str">
        <f>"9780415584258"</f>
        <v>9780415584258</v>
      </c>
      <c r="C2691" s="10" t="str">
        <f>"9780203839775"</f>
        <v>9780203839775</v>
      </c>
      <c r="D2691" s="10" t="s">
        <v>6350</v>
      </c>
      <c r="E2691" s="10" t="s">
        <v>6351</v>
      </c>
      <c r="F2691" s="10" t="s">
        <v>5406</v>
      </c>
      <c r="G2691" s="10" t="s">
        <v>6317</v>
      </c>
      <c r="H2691" s="11">
        <v>40533</v>
      </c>
      <c r="I2691" s="10">
        <v>2011</v>
      </c>
      <c r="J2691" s="10" t="s">
        <v>6353</v>
      </c>
      <c r="K2691" s="10">
        <v>352</v>
      </c>
      <c r="L2691" s="10" t="s">
        <v>17933</v>
      </c>
      <c r="M2691" s="10">
        <v>2</v>
      </c>
      <c r="N2691" s="10"/>
      <c r="O2691" s="10"/>
      <c r="P2691" s="10" t="s">
        <v>17934</v>
      </c>
      <c r="Q2691" s="10" t="s">
        <v>6576</v>
      </c>
      <c r="R2691" s="10" t="s">
        <v>17935</v>
      </c>
      <c r="S2691" s="10" t="s">
        <v>53</v>
      </c>
      <c r="T2691" s="10" t="s">
        <v>54</v>
      </c>
    </row>
    <row r="2692" spans="1:20" ht="14.5" x14ac:dyDescent="0.35">
      <c r="A2692" s="10" t="s">
        <v>17936</v>
      </c>
      <c r="B2692" s="10" t="str">
        <f>"9780415486897"</f>
        <v>9780415486897</v>
      </c>
      <c r="C2692" s="10" t="str">
        <f>"9780203840092"</f>
        <v>9780203840092</v>
      </c>
      <c r="D2692" s="10" t="s">
        <v>6350</v>
      </c>
      <c r="E2692" s="10" t="s">
        <v>6351</v>
      </c>
      <c r="F2692" s="10" t="s">
        <v>748</v>
      </c>
      <c r="G2692" s="10" t="s">
        <v>6352</v>
      </c>
      <c r="H2692" s="11">
        <v>40533</v>
      </c>
      <c r="I2692" s="10">
        <v>2011</v>
      </c>
      <c r="J2692" s="10" t="s">
        <v>6351</v>
      </c>
      <c r="K2692" s="10">
        <v>449</v>
      </c>
      <c r="L2692" s="10" t="s">
        <v>17937</v>
      </c>
      <c r="M2692" s="10">
        <v>2</v>
      </c>
      <c r="N2692" s="10"/>
      <c r="O2692" s="10"/>
      <c r="P2692" s="10" t="s">
        <v>17938</v>
      </c>
      <c r="Q2692" s="10">
        <v>370.15</v>
      </c>
      <c r="R2692" s="10" t="s">
        <v>6415</v>
      </c>
      <c r="S2692" s="10" t="s">
        <v>53</v>
      </c>
      <c r="T2692" s="10" t="s">
        <v>54</v>
      </c>
    </row>
    <row r="2693" spans="1:20" ht="14.5" x14ac:dyDescent="0.35">
      <c r="A2693" s="10" t="s">
        <v>17939</v>
      </c>
      <c r="B2693" s="10" t="str">
        <f>"9780415883320"</f>
        <v>9780415883320</v>
      </c>
      <c r="C2693" s="10" t="str">
        <f>"9780203844991"</f>
        <v>9780203844991</v>
      </c>
      <c r="D2693" s="10" t="s">
        <v>6350</v>
      </c>
      <c r="E2693" s="10" t="s">
        <v>6351</v>
      </c>
      <c r="F2693" s="10" t="s">
        <v>139</v>
      </c>
      <c r="G2693" s="10" t="s">
        <v>6352</v>
      </c>
      <c r="H2693" s="11">
        <v>40506</v>
      </c>
      <c r="I2693" s="10">
        <v>2011</v>
      </c>
      <c r="J2693" s="10" t="s">
        <v>6353</v>
      </c>
      <c r="K2693" s="10">
        <v>300</v>
      </c>
      <c r="L2693" s="10" t="s">
        <v>17940</v>
      </c>
      <c r="M2693" s="10">
        <v>1</v>
      </c>
      <c r="N2693" s="10" t="s">
        <v>8644</v>
      </c>
      <c r="O2693" s="10"/>
      <c r="P2693" s="10" t="s">
        <v>17941</v>
      </c>
      <c r="Q2693" s="10" t="s">
        <v>13877</v>
      </c>
      <c r="R2693" s="10" t="s">
        <v>17942</v>
      </c>
      <c r="S2693" s="10" t="s">
        <v>53</v>
      </c>
      <c r="T2693" s="10" t="s">
        <v>6616</v>
      </c>
    </row>
    <row r="2694" spans="1:20" ht="14.5" x14ac:dyDescent="0.35">
      <c r="A2694" s="10" t="s">
        <v>17943</v>
      </c>
      <c r="B2694" s="10" t="str">
        <f>"9780415562638"</f>
        <v>9780415562638</v>
      </c>
      <c r="C2694" s="10" t="str">
        <f>"9780203838884"</f>
        <v>9780203838884</v>
      </c>
      <c r="D2694" s="10" t="s">
        <v>6350</v>
      </c>
      <c r="E2694" s="10" t="s">
        <v>6351</v>
      </c>
      <c r="F2694" s="10" t="s">
        <v>748</v>
      </c>
      <c r="G2694" s="10" t="s">
        <v>6352</v>
      </c>
      <c r="H2694" s="11">
        <v>40563</v>
      </c>
      <c r="I2694" s="10">
        <v>2011</v>
      </c>
      <c r="J2694" s="10" t="s">
        <v>6351</v>
      </c>
      <c r="K2694" s="10">
        <v>289</v>
      </c>
      <c r="L2694" s="10" t="s">
        <v>17944</v>
      </c>
      <c r="M2694" s="10">
        <v>1</v>
      </c>
      <c r="N2694" s="10"/>
      <c r="O2694" s="10"/>
      <c r="P2694" s="10" t="s">
        <v>17945</v>
      </c>
      <c r="Q2694" s="10">
        <v>370.15</v>
      </c>
      <c r="R2694" s="10" t="s">
        <v>17946</v>
      </c>
      <c r="S2694" s="10" t="s">
        <v>53</v>
      </c>
      <c r="T2694" s="10" t="s">
        <v>54</v>
      </c>
    </row>
    <row r="2695" spans="1:20" ht="14.5" x14ac:dyDescent="0.35">
      <c r="A2695" s="10" t="s">
        <v>17947</v>
      </c>
      <c r="B2695" s="10" t="str">
        <f>"9780415565684"</f>
        <v>9780415565684</v>
      </c>
      <c r="C2695" s="10" t="str">
        <f>"9781136848872"</f>
        <v>9781136848872</v>
      </c>
      <c r="D2695" s="10" t="s">
        <v>6350</v>
      </c>
      <c r="E2695" s="10" t="s">
        <v>6351</v>
      </c>
      <c r="F2695" s="10" t="s">
        <v>748</v>
      </c>
      <c r="G2695" s="10" t="s">
        <v>6352</v>
      </c>
      <c r="H2695" s="11">
        <v>40556</v>
      </c>
      <c r="I2695" s="10">
        <v>2011</v>
      </c>
      <c r="J2695" s="10" t="s">
        <v>6351</v>
      </c>
      <c r="K2695" s="10">
        <v>137</v>
      </c>
      <c r="L2695" s="10" t="s">
        <v>6606</v>
      </c>
      <c r="M2695" s="10">
        <v>2</v>
      </c>
      <c r="N2695" s="10" t="s">
        <v>17948</v>
      </c>
      <c r="O2695" s="10"/>
      <c r="P2695" s="10" t="s">
        <v>17949</v>
      </c>
      <c r="Q2695" s="10">
        <v>371.94</v>
      </c>
      <c r="R2695" s="10" t="s">
        <v>17950</v>
      </c>
      <c r="S2695" s="10" t="s">
        <v>53</v>
      </c>
      <c r="T2695" s="10" t="s">
        <v>54</v>
      </c>
    </row>
    <row r="2696" spans="1:20" ht="14.5" x14ac:dyDescent="0.35">
      <c r="A2696" s="10" t="s">
        <v>17951</v>
      </c>
      <c r="B2696" s="10" t="str">
        <f>"9780415565677"</f>
        <v>9780415565677</v>
      </c>
      <c r="C2696" s="10" t="str">
        <f>"9780203834312"</f>
        <v>9780203834312</v>
      </c>
      <c r="D2696" s="10" t="s">
        <v>6350</v>
      </c>
      <c r="E2696" s="10" t="s">
        <v>6351</v>
      </c>
      <c r="F2696" s="10" t="s">
        <v>748</v>
      </c>
      <c r="G2696" s="10" t="s">
        <v>6352</v>
      </c>
      <c r="H2696" s="11">
        <v>40556</v>
      </c>
      <c r="I2696" s="10">
        <v>2011</v>
      </c>
      <c r="J2696" s="10" t="s">
        <v>6351</v>
      </c>
      <c r="K2696" s="10">
        <v>145</v>
      </c>
      <c r="L2696" s="10" t="s">
        <v>6606</v>
      </c>
      <c r="M2696" s="10">
        <v>2</v>
      </c>
      <c r="N2696" s="10" t="s">
        <v>17948</v>
      </c>
      <c r="O2696" s="10"/>
      <c r="P2696" s="10" t="s">
        <v>17952</v>
      </c>
      <c r="Q2696" s="10">
        <v>371.91</v>
      </c>
      <c r="R2696" s="10" t="s">
        <v>15060</v>
      </c>
      <c r="S2696" s="10" t="s">
        <v>53</v>
      </c>
      <c r="T2696" s="10" t="s">
        <v>54</v>
      </c>
    </row>
    <row r="2697" spans="1:20" ht="14.5" x14ac:dyDescent="0.35">
      <c r="A2697" s="10" t="s">
        <v>17953</v>
      </c>
      <c r="B2697" s="10" t="str">
        <f>"9780415570961"</f>
        <v>9780415570961</v>
      </c>
      <c r="C2697" s="10" t="str">
        <f>"9780203833322"</f>
        <v>9780203833322</v>
      </c>
      <c r="D2697" s="10" t="s">
        <v>6350</v>
      </c>
      <c r="E2697" s="10" t="s">
        <v>6351</v>
      </c>
      <c r="F2697" s="10" t="s">
        <v>139</v>
      </c>
      <c r="G2697" s="10" t="s">
        <v>6352</v>
      </c>
      <c r="H2697" s="11">
        <v>40555</v>
      </c>
      <c r="I2697" s="10">
        <v>2011</v>
      </c>
      <c r="J2697" s="10" t="s">
        <v>6353</v>
      </c>
      <c r="K2697" s="10">
        <v>221</v>
      </c>
      <c r="L2697" s="10" t="s">
        <v>17954</v>
      </c>
      <c r="M2697" s="10">
        <v>2</v>
      </c>
      <c r="N2697" s="10"/>
      <c r="O2697" s="10"/>
      <c r="P2697" s="10" t="s">
        <v>17955</v>
      </c>
      <c r="Q2697" s="10">
        <v>371.10199999999998</v>
      </c>
      <c r="R2697" s="10" t="s">
        <v>14378</v>
      </c>
      <c r="S2697" s="10" t="s">
        <v>53</v>
      </c>
      <c r="T2697" s="10" t="s">
        <v>54</v>
      </c>
    </row>
    <row r="2698" spans="1:20" ht="14.5" x14ac:dyDescent="0.35">
      <c r="A2698" s="10" t="s">
        <v>17956</v>
      </c>
      <c r="B2698" s="10" t="str">
        <f>"9780415997133"</f>
        <v>9780415997133</v>
      </c>
      <c r="C2698" s="10" t="str">
        <f>"9780203841617"</f>
        <v>9780203841617</v>
      </c>
      <c r="D2698" s="10" t="s">
        <v>6350</v>
      </c>
      <c r="E2698" s="10" t="s">
        <v>6351</v>
      </c>
      <c r="F2698" s="10" t="s">
        <v>748</v>
      </c>
      <c r="G2698" s="10" t="s">
        <v>6352</v>
      </c>
      <c r="H2698" s="11">
        <v>40547</v>
      </c>
      <c r="I2698" s="10">
        <v>2011</v>
      </c>
      <c r="J2698" s="10" t="s">
        <v>6351</v>
      </c>
      <c r="K2698" s="10">
        <v>457</v>
      </c>
      <c r="L2698" s="10" t="s">
        <v>17957</v>
      </c>
      <c r="M2698" s="10">
        <v>1</v>
      </c>
      <c r="N2698" s="10"/>
      <c r="O2698" s="10"/>
      <c r="P2698" s="10" t="s">
        <v>17958</v>
      </c>
      <c r="Q2698" s="10">
        <v>160</v>
      </c>
      <c r="R2698" s="10" t="s">
        <v>6587</v>
      </c>
      <c r="S2698" s="10" t="s">
        <v>53</v>
      </c>
      <c r="T2698" s="10" t="s">
        <v>6534</v>
      </c>
    </row>
    <row r="2699" spans="1:20" ht="14.5" x14ac:dyDescent="0.35">
      <c r="A2699" s="10" t="s">
        <v>17959</v>
      </c>
      <c r="B2699" s="10" t="str">
        <f>"9780415884419"</f>
        <v>9780415884419</v>
      </c>
      <c r="C2699" s="10" t="str">
        <f>"9780203838983"</f>
        <v>9780203838983</v>
      </c>
      <c r="D2699" s="10" t="s">
        <v>6350</v>
      </c>
      <c r="E2699" s="10" t="s">
        <v>6351</v>
      </c>
      <c r="F2699" s="10" t="s">
        <v>139</v>
      </c>
      <c r="G2699" s="10" t="s">
        <v>6352</v>
      </c>
      <c r="H2699" s="11">
        <v>40519</v>
      </c>
      <c r="I2699" s="10">
        <v>2011</v>
      </c>
      <c r="J2699" s="10" t="s">
        <v>6353</v>
      </c>
      <c r="K2699" s="10">
        <v>341</v>
      </c>
      <c r="L2699" s="10" t="s">
        <v>17960</v>
      </c>
      <c r="M2699" s="10">
        <v>1</v>
      </c>
      <c r="N2699" s="10"/>
      <c r="O2699" s="10"/>
      <c r="P2699" s="10" t="s">
        <v>17961</v>
      </c>
      <c r="Q2699" s="10">
        <v>371.39</v>
      </c>
      <c r="R2699" s="10" t="s">
        <v>17962</v>
      </c>
      <c r="S2699" s="10" t="s">
        <v>53</v>
      </c>
      <c r="T2699" s="10" t="s">
        <v>54</v>
      </c>
    </row>
    <row r="2700" spans="1:20" ht="14.5" x14ac:dyDescent="0.35">
      <c r="A2700" s="10" t="s">
        <v>17963</v>
      </c>
      <c r="B2700" s="10" t="str">
        <f>"9780415886468"</f>
        <v>9780415886468</v>
      </c>
      <c r="C2700" s="10" t="str">
        <f>"9780203836026"</f>
        <v>9780203836026</v>
      </c>
      <c r="D2700" s="10" t="s">
        <v>6350</v>
      </c>
      <c r="E2700" s="10" t="s">
        <v>6351</v>
      </c>
      <c r="F2700" s="10" t="s">
        <v>748</v>
      </c>
      <c r="G2700" s="10" t="s">
        <v>6352</v>
      </c>
      <c r="H2700" s="11">
        <v>40514</v>
      </c>
      <c r="I2700" s="10">
        <v>2011</v>
      </c>
      <c r="J2700" s="10" t="s">
        <v>6351</v>
      </c>
      <c r="K2700" s="10">
        <v>356</v>
      </c>
      <c r="L2700" s="10" t="s">
        <v>17964</v>
      </c>
      <c r="M2700" s="10">
        <v>1</v>
      </c>
      <c r="N2700" s="10"/>
      <c r="O2700" s="10"/>
      <c r="P2700" s="10" t="s">
        <v>17965</v>
      </c>
      <c r="Q2700" s="10" t="s">
        <v>17966</v>
      </c>
      <c r="R2700" s="10" t="s">
        <v>17967</v>
      </c>
      <c r="S2700" s="10" t="s">
        <v>53</v>
      </c>
      <c r="T2700" s="10" t="s">
        <v>54</v>
      </c>
    </row>
    <row r="2701" spans="1:20" ht="14.5" x14ac:dyDescent="0.35">
      <c r="A2701" s="10" t="s">
        <v>17968</v>
      </c>
      <c r="B2701" s="10" t="str">
        <f>"9780415570626"</f>
        <v>9780415570626</v>
      </c>
      <c r="C2701" s="10" t="str">
        <f>"9780203835890"</f>
        <v>9780203835890</v>
      </c>
      <c r="D2701" s="10" t="s">
        <v>6350</v>
      </c>
      <c r="E2701" s="10" t="s">
        <v>6351</v>
      </c>
      <c r="F2701" s="10" t="s">
        <v>139</v>
      </c>
      <c r="G2701" s="10" t="s">
        <v>6352</v>
      </c>
      <c r="H2701" s="11">
        <v>40555</v>
      </c>
      <c r="I2701" s="10">
        <v>2011</v>
      </c>
      <c r="J2701" s="10" t="s">
        <v>6353</v>
      </c>
      <c r="K2701" s="10">
        <v>205</v>
      </c>
      <c r="L2701" s="10" t="s">
        <v>17969</v>
      </c>
      <c r="M2701" s="10">
        <v>1</v>
      </c>
      <c r="N2701" s="10"/>
      <c r="O2701" s="10"/>
      <c r="P2701" s="10" t="s">
        <v>17970</v>
      </c>
      <c r="Q2701" s="10">
        <v>727</v>
      </c>
      <c r="R2701" s="10" t="s">
        <v>17971</v>
      </c>
      <c r="S2701" s="10" t="s">
        <v>53</v>
      </c>
      <c r="T2701" s="10" t="s">
        <v>2769</v>
      </c>
    </row>
    <row r="2702" spans="1:20" ht="14.5" x14ac:dyDescent="0.35">
      <c r="A2702" s="10" t="s">
        <v>17972</v>
      </c>
      <c r="B2702" s="10" t="str">
        <f>"9780415562799"</f>
        <v>9780415562799</v>
      </c>
      <c r="C2702" s="10" t="str">
        <f>"9780203838266"</f>
        <v>9780203838266</v>
      </c>
      <c r="D2702" s="10" t="s">
        <v>6350</v>
      </c>
      <c r="E2702" s="10" t="s">
        <v>6351</v>
      </c>
      <c r="F2702" s="10" t="s">
        <v>139</v>
      </c>
      <c r="G2702" s="10" t="s">
        <v>6352</v>
      </c>
      <c r="H2702" s="11">
        <v>40561</v>
      </c>
      <c r="I2702" s="10">
        <v>2011</v>
      </c>
      <c r="J2702" s="10" t="s">
        <v>6353</v>
      </c>
      <c r="K2702" s="10">
        <v>169</v>
      </c>
      <c r="L2702" s="10" t="s">
        <v>17973</v>
      </c>
      <c r="M2702" s="10">
        <v>1</v>
      </c>
      <c r="N2702" s="10"/>
      <c r="O2702" s="10"/>
      <c r="P2702" s="10" t="s">
        <v>17974</v>
      </c>
      <c r="Q2702" s="10" t="s">
        <v>17975</v>
      </c>
      <c r="R2702" s="10" t="s">
        <v>17976</v>
      </c>
      <c r="S2702" s="10" t="s">
        <v>53</v>
      </c>
      <c r="T2702" s="10" t="s">
        <v>7193</v>
      </c>
    </row>
    <row r="2703" spans="1:20" ht="14.5" x14ac:dyDescent="0.35">
      <c r="A2703" s="10" t="s">
        <v>17977</v>
      </c>
      <c r="B2703" s="10" t="str">
        <f>"9780415478182"</f>
        <v>9780415478182</v>
      </c>
      <c r="C2703" s="10" t="str">
        <f>"9780203832240"</f>
        <v>9780203832240</v>
      </c>
      <c r="D2703" s="10" t="s">
        <v>6350</v>
      </c>
      <c r="E2703" s="10" t="s">
        <v>6351</v>
      </c>
      <c r="F2703" s="10" t="s">
        <v>139</v>
      </c>
      <c r="G2703" s="10" t="s">
        <v>6352</v>
      </c>
      <c r="H2703" s="11">
        <v>40575</v>
      </c>
      <c r="I2703" s="10">
        <v>2011</v>
      </c>
      <c r="J2703" s="10" t="s">
        <v>6353</v>
      </c>
      <c r="K2703" s="10">
        <v>196</v>
      </c>
      <c r="L2703" s="10" t="s">
        <v>17978</v>
      </c>
      <c r="M2703" s="10">
        <v>1</v>
      </c>
      <c r="N2703" s="10"/>
      <c r="O2703" s="10"/>
      <c r="P2703" s="10" t="s">
        <v>17979</v>
      </c>
      <c r="Q2703" s="10">
        <v>372.35043999999999</v>
      </c>
      <c r="R2703" s="10" t="s">
        <v>7517</v>
      </c>
      <c r="S2703" s="10" t="s">
        <v>53</v>
      </c>
      <c r="T2703" s="10" t="s">
        <v>54</v>
      </c>
    </row>
    <row r="2704" spans="1:20" ht="14.5" x14ac:dyDescent="0.35">
      <c r="A2704" s="10" t="s">
        <v>17980</v>
      </c>
      <c r="B2704" s="10" t="str">
        <f>"9780415883801"</f>
        <v>9780415883801</v>
      </c>
      <c r="C2704" s="10" t="str">
        <f>"9780203835586"</f>
        <v>9780203835586</v>
      </c>
      <c r="D2704" s="10" t="s">
        <v>6350</v>
      </c>
      <c r="E2704" s="10" t="s">
        <v>6351</v>
      </c>
      <c r="F2704" s="10" t="s">
        <v>139</v>
      </c>
      <c r="G2704" s="10" t="s">
        <v>6352</v>
      </c>
      <c r="H2704" s="11">
        <v>40521</v>
      </c>
      <c r="I2704" s="10">
        <v>2011</v>
      </c>
      <c r="J2704" s="10" t="s">
        <v>6353</v>
      </c>
      <c r="K2704" s="10">
        <v>331</v>
      </c>
      <c r="L2704" s="10" t="s">
        <v>17981</v>
      </c>
      <c r="M2704" s="10">
        <v>1</v>
      </c>
      <c r="N2704" s="10" t="s">
        <v>6954</v>
      </c>
      <c r="O2704" s="10"/>
      <c r="P2704" s="10" t="s">
        <v>17982</v>
      </c>
      <c r="Q2704" s="10" t="s">
        <v>7335</v>
      </c>
      <c r="R2704" s="10" t="s">
        <v>17983</v>
      </c>
      <c r="S2704" s="10" t="s">
        <v>53</v>
      </c>
      <c r="T2704" s="10" t="s">
        <v>54</v>
      </c>
    </row>
    <row r="2705" spans="1:20" ht="14.5" x14ac:dyDescent="0.35">
      <c r="A2705" s="10" t="s">
        <v>17984</v>
      </c>
      <c r="B2705" s="10" t="str">
        <f>"9780415879255"</f>
        <v>9780415879255</v>
      </c>
      <c r="C2705" s="10" t="str">
        <f>"9780203832561"</f>
        <v>9780203832561</v>
      </c>
      <c r="D2705" s="10" t="s">
        <v>6350</v>
      </c>
      <c r="E2705" s="10" t="s">
        <v>6351</v>
      </c>
      <c r="F2705" s="10" t="s">
        <v>748</v>
      </c>
      <c r="G2705" s="10" t="s">
        <v>6352</v>
      </c>
      <c r="H2705" s="11">
        <v>40519</v>
      </c>
      <c r="I2705" s="10">
        <v>2011</v>
      </c>
      <c r="J2705" s="10" t="s">
        <v>6351</v>
      </c>
      <c r="K2705" s="10">
        <v>280</v>
      </c>
      <c r="L2705" s="10" t="s">
        <v>17985</v>
      </c>
      <c r="M2705" s="10">
        <v>1</v>
      </c>
      <c r="N2705" s="10" t="s">
        <v>6636</v>
      </c>
      <c r="O2705" s="10"/>
      <c r="P2705" s="10" t="s">
        <v>17986</v>
      </c>
      <c r="Q2705" s="10">
        <v>379.15800000000002</v>
      </c>
      <c r="R2705" s="10" t="s">
        <v>17987</v>
      </c>
      <c r="S2705" s="10" t="s">
        <v>53</v>
      </c>
      <c r="T2705" s="10" t="s">
        <v>54</v>
      </c>
    </row>
    <row r="2706" spans="1:20" ht="14.5" x14ac:dyDescent="0.35">
      <c r="A2706" s="10" t="s">
        <v>17988</v>
      </c>
      <c r="B2706" s="10" t="str">
        <f>"9780415885010"</f>
        <v>9780415885010</v>
      </c>
      <c r="C2706" s="10" t="str">
        <f>"9780203832332"</f>
        <v>9780203832332</v>
      </c>
      <c r="D2706" s="10" t="s">
        <v>6350</v>
      </c>
      <c r="E2706" s="10" t="s">
        <v>6351</v>
      </c>
      <c r="F2706" s="10" t="s">
        <v>139</v>
      </c>
      <c r="G2706" s="10" t="s">
        <v>6352</v>
      </c>
      <c r="H2706" s="11">
        <v>40519</v>
      </c>
      <c r="I2706" s="10">
        <v>2011</v>
      </c>
      <c r="J2706" s="10" t="s">
        <v>6353</v>
      </c>
      <c r="K2706" s="10">
        <v>299</v>
      </c>
      <c r="L2706" s="10" t="s">
        <v>17989</v>
      </c>
      <c r="M2706" s="10">
        <v>1</v>
      </c>
      <c r="N2706" s="10" t="s">
        <v>6954</v>
      </c>
      <c r="O2706" s="10"/>
      <c r="P2706" s="10" t="s">
        <v>17990</v>
      </c>
      <c r="Q2706" s="10" t="s">
        <v>8916</v>
      </c>
      <c r="R2706" s="10" t="s">
        <v>12199</v>
      </c>
      <c r="S2706" s="10" t="s">
        <v>53</v>
      </c>
      <c r="T2706" s="10" t="s">
        <v>54</v>
      </c>
    </row>
    <row r="2707" spans="1:20" ht="14.5" x14ac:dyDescent="0.35">
      <c r="A2707" s="10" t="s">
        <v>17991</v>
      </c>
      <c r="B2707" s="10" t="str">
        <f>"9780415999793"</f>
        <v>9780415999793</v>
      </c>
      <c r="C2707" s="10" t="str">
        <f>"9780203850954"</f>
        <v>9780203850954</v>
      </c>
      <c r="D2707" s="10" t="s">
        <v>6350</v>
      </c>
      <c r="E2707" s="10" t="s">
        <v>6351</v>
      </c>
      <c r="F2707" s="10" t="s">
        <v>139</v>
      </c>
      <c r="G2707" s="10" t="s">
        <v>6352</v>
      </c>
      <c r="H2707" s="11">
        <v>40532</v>
      </c>
      <c r="I2707" s="10">
        <v>2011</v>
      </c>
      <c r="J2707" s="10" t="s">
        <v>6353</v>
      </c>
      <c r="K2707" s="10">
        <v>317</v>
      </c>
      <c r="L2707" s="10" t="s">
        <v>17992</v>
      </c>
      <c r="M2707" s="10">
        <v>1</v>
      </c>
      <c r="N2707" s="10" t="s">
        <v>12872</v>
      </c>
      <c r="O2707" s="10"/>
      <c r="P2707" s="10" t="s">
        <v>17993</v>
      </c>
      <c r="Q2707" s="10">
        <v>371.260130973</v>
      </c>
      <c r="R2707" s="10" t="s">
        <v>17994</v>
      </c>
      <c r="S2707" s="10" t="s">
        <v>53</v>
      </c>
      <c r="T2707" s="10" t="s">
        <v>54</v>
      </c>
    </row>
    <row r="2708" spans="1:20" ht="14.5" x14ac:dyDescent="0.35">
      <c r="A2708" s="10" t="s">
        <v>17995</v>
      </c>
      <c r="B2708" s="10" t="str">
        <f>"9780415992268"</f>
        <v>9780415992268</v>
      </c>
      <c r="C2708" s="10" t="str">
        <f>"9780203856048"</f>
        <v>9780203856048</v>
      </c>
      <c r="D2708" s="10" t="s">
        <v>6350</v>
      </c>
      <c r="E2708" s="10" t="s">
        <v>6351</v>
      </c>
      <c r="F2708" s="10" t="s">
        <v>139</v>
      </c>
      <c r="G2708" s="10" t="s">
        <v>6352</v>
      </c>
      <c r="H2708" s="11">
        <v>40525</v>
      </c>
      <c r="I2708" s="10">
        <v>2010</v>
      </c>
      <c r="J2708" s="10" t="s">
        <v>6353</v>
      </c>
      <c r="K2708" s="10">
        <v>257</v>
      </c>
      <c r="L2708" s="10" t="s">
        <v>17996</v>
      </c>
      <c r="M2708" s="10">
        <v>2</v>
      </c>
      <c r="N2708" s="10"/>
      <c r="O2708" s="10"/>
      <c r="P2708" s="10" t="s">
        <v>17997</v>
      </c>
      <c r="Q2708" s="10">
        <v>973</v>
      </c>
      <c r="R2708" s="10" t="s">
        <v>17998</v>
      </c>
      <c r="S2708" s="10" t="s">
        <v>53</v>
      </c>
      <c r="T2708" s="10" t="s">
        <v>4490</v>
      </c>
    </row>
    <row r="2709" spans="1:20" ht="14.5" x14ac:dyDescent="0.35">
      <c r="A2709" s="10" t="s">
        <v>17999</v>
      </c>
      <c r="B2709" s="10" t="str">
        <f>"9780415886659"</f>
        <v>9780415886659</v>
      </c>
      <c r="C2709" s="10" t="str">
        <f>"9780203835692"</f>
        <v>9780203835692</v>
      </c>
      <c r="D2709" s="10" t="s">
        <v>6350</v>
      </c>
      <c r="E2709" s="10" t="s">
        <v>6351</v>
      </c>
      <c r="F2709" s="10" t="s">
        <v>139</v>
      </c>
      <c r="G2709" s="10" t="s">
        <v>6352</v>
      </c>
      <c r="H2709" s="11">
        <v>40553</v>
      </c>
      <c r="I2709" s="10">
        <v>2011</v>
      </c>
      <c r="J2709" s="10" t="s">
        <v>6353</v>
      </c>
      <c r="K2709" s="10">
        <v>263</v>
      </c>
      <c r="L2709" s="10" t="s">
        <v>18000</v>
      </c>
      <c r="M2709" s="10">
        <v>1</v>
      </c>
      <c r="N2709" s="10"/>
      <c r="O2709" s="10"/>
      <c r="P2709" s="10" t="s">
        <v>18001</v>
      </c>
      <c r="Q2709" s="10" t="s">
        <v>10094</v>
      </c>
      <c r="R2709" s="10" t="s">
        <v>18002</v>
      </c>
      <c r="S2709" s="10" t="s">
        <v>53</v>
      </c>
      <c r="T2709" s="10" t="s">
        <v>54</v>
      </c>
    </row>
    <row r="2710" spans="1:20" ht="14.5" x14ac:dyDescent="0.35">
      <c r="A2710" s="10" t="s">
        <v>18003</v>
      </c>
      <c r="B2710" s="10" t="str">
        <f>"9780415995566"</f>
        <v>9780415995566</v>
      </c>
      <c r="C2710" s="10" t="str">
        <f>"9780203839676"</f>
        <v>9780203839676</v>
      </c>
      <c r="D2710" s="10" t="s">
        <v>6350</v>
      </c>
      <c r="E2710" s="10" t="s">
        <v>6351</v>
      </c>
      <c r="F2710" s="10" t="s">
        <v>748</v>
      </c>
      <c r="G2710" s="10" t="s">
        <v>6352</v>
      </c>
      <c r="H2710" s="11">
        <v>40514</v>
      </c>
      <c r="I2710" s="10">
        <v>2011</v>
      </c>
      <c r="J2710" s="10" t="s">
        <v>6351</v>
      </c>
      <c r="K2710" s="10">
        <v>146</v>
      </c>
      <c r="L2710" s="10" t="s">
        <v>18004</v>
      </c>
      <c r="M2710" s="10">
        <v>1</v>
      </c>
      <c r="N2710" s="10" t="s">
        <v>6954</v>
      </c>
      <c r="O2710" s="10"/>
      <c r="P2710" s="10" t="s">
        <v>18005</v>
      </c>
      <c r="Q2710" s="10">
        <v>379.09173199999998</v>
      </c>
      <c r="R2710" s="10" t="s">
        <v>18006</v>
      </c>
      <c r="S2710" s="10" t="s">
        <v>53</v>
      </c>
      <c r="T2710" s="10" t="s">
        <v>54</v>
      </c>
    </row>
    <row r="2711" spans="1:20" ht="14.5" x14ac:dyDescent="0.35">
      <c r="A2711" s="10" t="s">
        <v>18007</v>
      </c>
      <c r="B2711" s="10" t="str">
        <f>"9780415877848"</f>
        <v>9780415877848</v>
      </c>
      <c r="C2711" s="10" t="str">
        <f>"9780203842676"</f>
        <v>9780203842676</v>
      </c>
      <c r="D2711" s="10" t="s">
        <v>6350</v>
      </c>
      <c r="E2711" s="10" t="s">
        <v>6351</v>
      </c>
      <c r="F2711" s="10" t="s">
        <v>139</v>
      </c>
      <c r="G2711" s="10" t="s">
        <v>6352</v>
      </c>
      <c r="H2711" s="11">
        <v>40500</v>
      </c>
      <c r="I2711" s="10">
        <v>2011</v>
      </c>
      <c r="J2711" s="10" t="s">
        <v>6353</v>
      </c>
      <c r="K2711" s="10">
        <v>278</v>
      </c>
      <c r="L2711" s="10" t="s">
        <v>18008</v>
      </c>
      <c r="M2711" s="10">
        <v>1</v>
      </c>
      <c r="N2711" s="10" t="s">
        <v>15104</v>
      </c>
      <c r="O2711" s="10"/>
      <c r="P2711" s="10" t="s">
        <v>18009</v>
      </c>
      <c r="Q2711" s="10">
        <v>371.33446780000003</v>
      </c>
      <c r="R2711" s="10" t="s">
        <v>18010</v>
      </c>
      <c r="S2711" s="10" t="s">
        <v>53</v>
      </c>
      <c r="T2711" s="10" t="s">
        <v>54</v>
      </c>
    </row>
    <row r="2712" spans="1:20" ht="14.5" x14ac:dyDescent="0.35">
      <c r="A2712" s="10" t="s">
        <v>18011</v>
      </c>
      <c r="B2712" s="10" t="str">
        <f>"9780415932998"</f>
        <v>9780415932998</v>
      </c>
      <c r="C2712" s="10" t="str">
        <f>"9780203819838"</f>
        <v>9780203819838</v>
      </c>
      <c r="D2712" s="10" t="s">
        <v>6350</v>
      </c>
      <c r="E2712" s="10" t="s">
        <v>6351</v>
      </c>
      <c r="F2712" s="10" t="s">
        <v>5406</v>
      </c>
      <c r="G2712" s="10" t="s">
        <v>6352</v>
      </c>
      <c r="H2712" s="11">
        <v>37463</v>
      </c>
      <c r="I2712" s="10">
        <v>2003</v>
      </c>
      <c r="J2712" s="10" t="s">
        <v>6353</v>
      </c>
      <c r="K2712" s="10">
        <v>209</v>
      </c>
      <c r="L2712" s="10" t="s">
        <v>18012</v>
      </c>
      <c r="M2712" s="10">
        <v>1</v>
      </c>
      <c r="N2712" s="10" t="s">
        <v>18013</v>
      </c>
      <c r="O2712" s="10"/>
      <c r="P2712" s="10" t="s">
        <v>18014</v>
      </c>
      <c r="Q2712" s="10" t="s">
        <v>8011</v>
      </c>
      <c r="R2712" s="10" t="s">
        <v>18015</v>
      </c>
      <c r="S2712" s="10" t="s">
        <v>53</v>
      </c>
      <c r="T2712" s="10" t="s">
        <v>6472</v>
      </c>
    </row>
    <row r="2713" spans="1:20" ht="14.5" x14ac:dyDescent="0.35">
      <c r="A2713" s="10" t="s">
        <v>18016</v>
      </c>
      <c r="B2713" s="10" t="str">
        <f>"9780415996204"</f>
        <v>9780415996204</v>
      </c>
      <c r="C2713" s="10" t="str">
        <f>"9780203836095"</f>
        <v>9780203836095</v>
      </c>
      <c r="D2713" s="10" t="s">
        <v>6350</v>
      </c>
      <c r="E2713" s="10" t="s">
        <v>6351</v>
      </c>
      <c r="F2713" s="10" t="s">
        <v>748</v>
      </c>
      <c r="G2713" s="10" t="s">
        <v>6352</v>
      </c>
      <c r="H2713" s="11">
        <v>40561</v>
      </c>
      <c r="I2713" s="10">
        <v>2011</v>
      </c>
      <c r="J2713" s="10" t="s">
        <v>6351</v>
      </c>
      <c r="K2713" s="10">
        <v>289</v>
      </c>
      <c r="L2713" s="10" t="s">
        <v>18017</v>
      </c>
      <c r="M2713" s="10">
        <v>1</v>
      </c>
      <c r="N2713" s="10"/>
      <c r="O2713" s="10"/>
      <c r="P2713" s="10" t="s">
        <v>18018</v>
      </c>
      <c r="Q2713" s="10">
        <v>372.60719999999998</v>
      </c>
      <c r="R2713" s="10" t="s">
        <v>18019</v>
      </c>
      <c r="S2713" s="10" t="s">
        <v>53</v>
      </c>
      <c r="T2713" s="10" t="s">
        <v>54</v>
      </c>
    </row>
    <row r="2714" spans="1:20" ht="14.5" x14ac:dyDescent="0.35">
      <c r="A2714" s="10" t="s">
        <v>18020</v>
      </c>
      <c r="B2714" s="10" t="str">
        <f>"9780415583428"</f>
        <v>9780415583428</v>
      </c>
      <c r="C2714" s="10" t="str">
        <f>"9780203830741"</f>
        <v>9780203830741</v>
      </c>
      <c r="D2714" s="10" t="s">
        <v>6350</v>
      </c>
      <c r="E2714" s="10" t="s">
        <v>6351</v>
      </c>
      <c r="F2714" s="10" t="s">
        <v>5406</v>
      </c>
      <c r="G2714" s="10" t="s">
        <v>6317</v>
      </c>
      <c r="H2714" s="11">
        <v>40612</v>
      </c>
      <c r="I2714" s="10">
        <v>2011</v>
      </c>
      <c r="J2714" s="10" t="s">
        <v>6353</v>
      </c>
      <c r="K2714" s="10">
        <v>198</v>
      </c>
      <c r="L2714" s="10" t="s">
        <v>18021</v>
      </c>
      <c r="M2714" s="10">
        <v>1</v>
      </c>
      <c r="N2714" s="10"/>
      <c r="O2714" s="10"/>
      <c r="P2714" s="10" t="s">
        <v>18022</v>
      </c>
      <c r="Q2714" s="10">
        <v>379.4</v>
      </c>
      <c r="R2714" s="10" t="s">
        <v>18023</v>
      </c>
      <c r="S2714" s="10" t="s">
        <v>53</v>
      </c>
      <c r="T2714" s="10" t="s">
        <v>54</v>
      </c>
    </row>
    <row r="2715" spans="1:20" ht="14.5" x14ac:dyDescent="0.35">
      <c r="A2715" s="10" t="s">
        <v>18024</v>
      </c>
      <c r="B2715" s="10" t="str">
        <f>"9780415888066"</f>
        <v>9780415888066</v>
      </c>
      <c r="C2715" s="10" t="str">
        <f>"9780203832691"</f>
        <v>9780203832691</v>
      </c>
      <c r="D2715" s="10" t="s">
        <v>6350</v>
      </c>
      <c r="E2715" s="10" t="s">
        <v>6351</v>
      </c>
      <c r="F2715" s="10" t="s">
        <v>139</v>
      </c>
      <c r="G2715" s="10" t="s">
        <v>6352</v>
      </c>
      <c r="H2715" s="11">
        <v>40576</v>
      </c>
      <c r="I2715" s="10">
        <v>2011</v>
      </c>
      <c r="J2715" s="10" t="s">
        <v>6353</v>
      </c>
      <c r="K2715" s="10">
        <v>137</v>
      </c>
      <c r="L2715" s="10" t="s">
        <v>18025</v>
      </c>
      <c r="M2715" s="10">
        <v>1</v>
      </c>
      <c r="N2715" s="10"/>
      <c r="O2715" s="10"/>
      <c r="P2715" s="10" t="s">
        <v>18026</v>
      </c>
      <c r="Q2715" s="10" t="s">
        <v>7299</v>
      </c>
      <c r="R2715" s="10" t="s">
        <v>7022</v>
      </c>
      <c r="S2715" s="10" t="s">
        <v>53</v>
      </c>
      <c r="T2715" s="10" t="s">
        <v>54</v>
      </c>
    </row>
    <row r="2716" spans="1:20" ht="14.5" x14ac:dyDescent="0.35">
      <c r="A2716" s="10" t="s">
        <v>18027</v>
      </c>
      <c r="B2716" s="10" t="str">
        <f>"9780415965514"</f>
        <v>9780415965514</v>
      </c>
      <c r="C2716" s="10" t="str">
        <f>"9780203893432"</f>
        <v>9780203893432</v>
      </c>
      <c r="D2716" s="10" t="s">
        <v>6350</v>
      </c>
      <c r="E2716" s="10" t="s">
        <v>6351</v>
      </c>
      <c r="F2716" s="10" t="s">
        <v>139</v>
      </c>
      <c r="G2716" s="10" t="s">
        <v>6352</v>
      </c>
      <c r="H2716" s="11">
        <v>40071</v>
      </c>
      <c r="I2716" s="10">
        <v>2010</v>
      </c>
      <c r="J2716" s="10" t="s">
        <v>6353</v>
      </c>
      <c r="K2716" s="10">
        <v>233</v>
      </c>
      <c r="L2716" s="10" t="s">
        <v>18028</v>
      </c>
      <c r="M2716" s="10">
        <v>1</v>
      </c>
      <c r="N2716" s="10"/>
      <c r="O2716" s="10"/>
      <c r="P2716" s="10" t="s">
        <v>18029</v>
      </c>
      <c r="Q2716" s="10" t="s">
        <v>18030</v>
      </c>
      <c r="R2716" s="10" t="s">
        <v>18031</v>
      </c>
      <c r="S2716" s="10" t="s">
        <v>53</v>
      </c>
      <c r="T2716" s="10" t="s">
        <v>6363</v>
      </c>
    </row>
    <row r="2717" spans="1:20" ht="14.5" x14ac:dyDescent="0.35">
      <c r="A2717" s="10" t="s">
        <v>18032</v>
      </c>
      <c r="B2717" s="10" t="str">
        <f>"9780415573726"</f>
        <v>9780415573726</v>
      </c>
      <c r="C2717" s="10" t="str">
        <f>"9780203828649"</f>
        <v>9780203828649</v>
      </c>
      <c r="D2717" s="10" t="s">
        <v>6350</v>
      </c>
      <c r="E2717" s="10" t="s">
        <v>6351</v>
      </c>
      <c r="F2717" s="10" t="s">
        <v>5406</v>
      </c>
      <c r="G2717" s="10" t="s">
        <v>6317</v>
      </c>
      <c r="H2717" s="11">
        <v>40595</v>
      </c>
      <c r="I2717" s="10">
        <v>2011</v>
      </c>
      <c r="J2717" s="10" t="s">
        <v>6353</v>
      </c>
      <c r="K2717" s="10">
        <v>153</v>
      </c>
      <c r="L2717" s="10" t="s">
        <v>18033</v>
      </c>
      <c r="M2717" s="10">
        <v>1</v>
      </c>
      <c r="N2717" s="10" t="s">
        <v>14375</v>
      </c>
      <c r="O2717" s="10"/>
      <c r="P2717" s="10" t="s">
        <v>18034</v>
      </c>
      <c r="Q2717" s="10">
        <v>374</v>
      </c>
      <c r="R2717" s="10" t="s">
        <v>18035</v>
      </c>
      <c r="S2717" s="10" t="s">
        <v>53</v>
      </c>
      <c r="T2717" s="10" t="s">
        <v>54</v>
      </c>
    </row>
    <row r="2718" spans="1:20" ht="14.5" x14ac:dyDescent="0.35">
      <c r="A2718" s="10" t="s">
        <v>18036</v>
      </c>
      <c r="B2718" s="10" t="str">
        <f>"9780415565349"</f>
        <v>9780415565349</v>
      </c>
      <c r="C2718" s="10" t="str">
        <f>"9780203828854"</f>
        <v>9780203828854</v>
      </c>
      <c r="D2718" s="10" t="s">
        <v>6350</v>
      </c>
      <c r="E2718" s="10" t="s">
        <v>6351</v>
      </c>
      <c r="F2718" s="10" t="s">
        <v>5406</v>
      </c>
      <c r="G2718" s="10" t="s">
        <v>6352</v>
      </c>
      <c r="H2718" s="11">
        <v>40591</v>
      </c>
      <c r="I2718" s="10">
        <v>2011</v>
      </c>
      <c r="J2718" s="10" t="s">
        <v>6353</v>
      </c>
      <c r="K2718" s="10">
        <v>153</v>
      </c>
      <c r="L2718" s="10" t="s">
        <v>18037</v>
      </c>
      <c r="M2718" s="10">
        <v>1</v>
      </c>
      <c r="N2718" s="10" t="s">
        <v>16038</v>
      </c>
      <c r="O2718" s="10"/>
      <c r="P2718" s="10" t="s">
        <v>18038</v>
      </c>
      <c r="Q2718" s="10">
        <v>370.9</v>
      </c>
      <c r="R2718" s="10" t="s">
        <v>15110</v>
      </c>
      <c r="S2718" s="10" t="s">
        <v>53</v>
      </c>
      <c r="T2718" s="10" t="s">
        <v>54</v>
      </c>
    </row>
    <row r="2719" spans="1:20" ht="14.5" x14ac:dyDescent="0.35">
      <c r="A2719" s="10" t="s">
        <v>18039</v>
      </c>
      <c r="B2719" s="10" t="str">
        <f>"9780415481946"</f>
        <v>9780415481946</v>
      </c>
      <c r="C2719" s="10" t="str">
        <f>"9780203832912"</f>
        <v>9780203832912</v>
      </c>
      <c r="D2719" s="10" t="s">
        <v>6350</v>
      </c>
      <c r="E2719" s="10" t="s">
        <v>6351</v>
      </c>
      <c r="F2719" s="10" t="s">
        <v>5406</v>
      </c>
      <c r="G2719" s="10" t="s">
        <v>6317</v>
      </c>
      <c r="H2719" s="11">
        <v>40640</v>
      </c>
      <c r="I2719" s="10">
        <v>2010</v>
      </c>
      <c r="J2719" s="10" t="s">
        <v>6353</v>
      </c>
      <c r="K2719" s="10">
        <v>273</v>
      </c>
      <c r="L2719" s="10" t="s">
        <v>18040</v>
      </c>
      <c r="M2719" s="10">
        <v>1</v>
      </c>
      <c r="N2719" s="10" t="s">
        <v>18041</v>
      </c>
      <c r="O2719" s="10"/>
      <c r="P2719" s="10" t="s">
        <v>18042</v>
      </c>
      <c r="Q2719" s="10">
        <v>370.11609499999997</v>
      </c>
      <c r="R2719" s="10" t="s">
        <v>18043</v>
      </c>
      <c r="S2719" s="10" t="s">
        <v>53</v>
      </c>
      <c r="T2719" s="10" t="s">
        <v>54</v>
      </c>
    </row>
    <row r="2720" spans="1:20" ht="14.5" x14ac:dyDescent="0.35">
      <c r="A2720" s="10" t="s">
        <v>18044</v>
      </c>
      <c r="B2720" s="10" t="str">
        <f>"9780415883467"</f>
        <v>9780415883467</v>
      </c>
      <c r="C2720" s="10" t="str">
        <f>"9780203840252"</f>
        <v>9780203840252</v>
      </c>
      <c r="D2720" s="10" t="s">
        <v>6350</v>
      </c>
      <c r="E2720" s="10" t="s">
        <v>6351</v>
      </c>
      <c r="F2720" s="10" t="s">
        <v>139</v>
      </c>
      <c r="G2720" s="10" t="s">
        <v>6352</v>
      </c>
      <c r="H2720" s="11">
        <v>40526</v>
      </c>
      <c r="I2720" s="10">
        <v>2011</v>
      </c>
      <c r="J2720" s="10" t="s">
        <v>6353</v>
      </c>
      <c r="K2720" s="10">
        <v>449</v>
      </c>
      <c r="L2720" s="10" t="s">
        <v>18045</v>
      </c>
      <c r="M2720" s="10">
        <v>2</v>
      </c>
      <c r="N2720" s="10"/>
      <c r="O2720" s="10"/>
      <c r="P2720" s="10" t="s">
        <v>18046</v>
      </c>
      <c r="Q2720" s="10">
        <v>707.1</v>
      </c>
      <c r="R2720" s="10" t="s">
        <v>18047</v>
      </c>
      <c r="S2720" s="10" t="s">
        <v>53</v>
      </c>
      <c r="T2720" s="10" t="s">
        <v>6384</v>
      </c>
    </row>
    <row r="2721" spans="1:20" ht="14.5" x14ac:dyDescent="0.35">
      <c r="A2721" s="10" t="s">
        <v>18048</v>
      </c>
      <c r="B2721" s="10" t="str">
        <f>"9781843120100"</f>
        <v>9781843120100</v>
      </c>
      <c r="C2721" s="10" t="str">
        <f>"9780203825327"</f>
        <v>9780203825327</v>
      </c>
      <c r="D2721" s="10" t="s">
        <v>6350</v>
      </c>
      <c r="E2721" s="10" t="s">
        <v>6351</v>
      </c>
      <c r="F2721" s="10" t="s">
        <v>748</v>
      </c>
      <c r="G2721" s="10" t="s">
        <v>6352</v>
      </c>
      <c r="H2721" s="11">
        <v>37785</v>
      </c>
      <c r="I2721" s="10">
        <v>2003</v>
      </c>
      <c r="J2721" s="10" t="s">
        <v>6351</v>
      </c>
      <c r="K2721" s="10">
        <v>143</v>
      </c>
      <c r="L2721" s="10" t="s">
        <v>18049</v>
      </c>
      <c r="M2721" s="10">
        <v>1</v>
      </c>
      <c r="N2721" s="10"/>
      <c r="O2721" s="10"/>
      <c r="P2721" s="10" t="s">
        <v>18050</v>
      </c>
      <c r="Q2721" s="10" t="s">
        <v>18051</v>
      </c>
      <c r="R2721" s="10" t="s">
        <v>18052</v>
      </c>
      <c r="S2721" s="10" t="s">
        <v>53</v>
      </c>
      <c r="T2721" s="10" t="s">
        <v>54</v>
      </c>
    </row>
    <row r="2722" spans="1:20" ht="14.5" x14ac:dyDescent="0.35">
      <c r="A2722" s="10" t="s">
        <v>18053</v>
      </c>
      <c r="B2722" s="10" t="str">
        <f>"9781843122401"</f>
        <v>9781843122401</v>
      </c>
      <c r="C2722" s="10" t="str">
        <f>"9780203824511"</f>
        <v>9780203824511</v>
      </c>
      <c r="D2722" s="10" t="s">
        <v>6350</v>
      </c>
      <c r="E2722" s="10" t="s">
        <v>15120</v>
      </c>
      <c r="F2722" s="10" t="s">
        <v>748</v>
      </c>
      <c r="G2722" s="10" t="s">
        <v>6352</v>
      </c>
      <c r="H2722" s="11">
        <v>38198</v>
      </c>
      <c r="I2722" s="10">
        <v>2004</v>
      </c>
      <c r="J2722" s="10" t="s">
        <v>15120</v>
      </c>
      <c r="K2722" s="10">
        <v>104</v>
      </c>
      <c r="L2722" s="10" t="s">
        <v>14434</v>
      </c>
      <c r="M2722" s="10">
        <v>1</v>
      </c>
      <c r="N2722" s="10"/>
      <c r="O2722" s="10"/>
      <c r="P2722" s="10" t="s">
        <v>18054</v>
      </c>
      <c r="Q2722" s="10">
        <v>371.90460940999998</v>
      </c>
      <c r="R2722" s="10" t="s">
        <v>18055</v>
      </c>
      <c r="S2722" s="10" t="s">
        <v>53</v>
      </c>
      <c r="T2722" s="10" t="s">
        <v>54</v>
      </c>
    </row>
    <row r="2723" spans="1:20" ht="14.5" x14ac:dyDescent="0.35">
      <c r="A2723" s="10" t="s">
        <v>18056</v>
      </c>
      <c r="B2723" s="10" t="str">
        <f>"9781843122159"</f>
        <v>9781843122159</v>
      </c>
      <c r="C2723" s="10" t="str">
        <f>"9780203822876"</f>
        <v>9780203822876</v>
      </c>
      <c r="D2723" s="10" t="s">
        <v>6350</v>
      </c>
      <c r="E2723" s="10" t="s">
        <v>15120</v>
      </c>
      <c r="F2723" s="10" t="s">
        <v>748</v>
      </c>
      <c r="G2723" s="10" t="s">
        <v>6352</v>
      </c>
      <c r="H2723" s="11">
        <v>38352</v>
      </c>
      <c r="I2723" s="10">
        <v>2005</v>
      </c>
      <c r="J2723" s="10" t="s">
        <v>15120</v>
      </c>
      <c r="K2723" s="10">
        <v>151</v>
      </c>
      <c r="L2723" s="10" t="s">
        <v>18057</v>
      </c>
      <c r="M2723" s="10">
        <v>1</v>
      </c>
      <c r="N2723" s="10"/>
      <c r="O2723" s="10"/>
      <c r="P2723" s="10" t="s">
        <v>18058</v>
      </c>
      <c r="Q2723" s="10" t="s">
        <v>7205</v>
      </c>
      <c r="R2723" s="10" t="s">
        <v>18059</v>
      </c>
      <c r="S2723" s="10" t="s">
        <v>53</v>
      </c>
      <c r="T2723" s="10" t="s">
        <v>54</v>
      </c>
    </row>
    <row r="2724" spans="1:20" ht="14.5" x14ac:dyDescent="0.35">
      <c r="A2724" s="10" t="s">
        <v>18060</v>
      </c>
      <c r="B2724" s="10" t="str">
        <f>"9780805860481"</f>
        <v>9780805860481</v>
      </c>
      <c r="C2724" s="10" t="str">
        <f>"9780203823132"</f>
        <v>9780203823132</v>
      </c>
      <c r="D2724" s="10" t="s">
        <v>6350</v>
      </c>
      <c r="E2724" s="10" t="s">
        <v>6351</v>
      </c>
      <c r="F2724" s="10" t="s">
        <v>139</v>
      </c>
      <c r="G2724" s="10" t="s">
        <v>6352</v>
      </c>
      <c r="H2724" s="11">
        <v>41407</v>
      </c>
      <c r="I2724" s="10">
        <v>2008</v>
      </c>
      <c r="J2724" s="10" t="s">
        <v>6353</v>
      </c>
      <c r="K2724" s="10">
        <v>361</v>
      </c>
      <c r="L2724" s="10" t="s">
        <v>18061</v>
      </c>
      <c r="M2724" s="10">
        <v>3</v>
      </c>
      <c r="N2724" s="10"/>
      <c r="O2724" s="10"/>
      <c r="P2724" s="10" t="s">
        <v>18062</v>
      </c>
      <c r="Q2724" s="10" t="s">
        <v>10213</v>
      </c>
      <c r="R2724" s="10" t="s">
        <v>15731</v>
      </c>
      <c r="S2724" s="10" t="s">
        <v>53</v>
      </c>
      <c r="T2724" s="10" t="s">
        <v>54</v>
      </c>
    </row>
    <row r="2725" spans="1:20" ht="14.5" x14ac:dyDescent="0.35">
      <c r="A2725" s="10" t="s">
        <v>18063</v>
      </c>
      <c r="B2725" s="10" t="str">
        <f>"9780415652124"</f>
        <v>9780415652124</v>
      </c>
      <c r="C2725" s="10" t="str">
        <f>"9780203821466"</f>
        <v>9780203821466</v>
      </c>
      <c r="D2725" s="10" t="s">
        <v>6350</v>
      </c>
      <c r="E2725" s="10" t="s">
        <v>6351</v>
      </c>
      <c r="F2725" s="10" t="s">
        <v>139</v>
      </c>
      <c r="G2725" s="10" t="s">
        <v>6352</v>
      </c>
      <c r="H2725" s="11">
        <v>41257</v>
      </c>
      <c r="I2725" s="10">
        <v>2006</v>
      </c>
      <c r="J2725" s="10" t="s">
        <v>6353</v>
      </c>
      <c r="K2725" s="10">
        <v>193</v>
      </c>
      <c r="L2725" s="10" t="s">
        <v>18064</v>
      </c>
      <c r="M2725" s="10">
        <v>1</v>
      </c>
      <c r="N2725" s="10" t="s">
        <v>12310</v>
      </c>
      <c r="O2725" s="10"/>
      <c r="P2725" s="10" t="s">
        <v>18065</v>
      </c>
      <c r="Q2725" s="10">
        <v>375.00099999999998</v>
      </c>
      <c r="R2725" s="10" t="s">
        <v>18066</v>
      </c>
      <c r="S2725" s="10" t="s">
        <v>53</v>
      </c>
      <c r="T2725" s="10" t="s">
        <v>54</v>
      </c>
    </row>
    <row r="2726" spans="1:20" ht="14.5" x14ac:dyDescent="0.35">
      <c r="A2726" s="10" t="s">
        <v>18067</v>
      </c>
      <c r="B2726" s="10" t="str">
        <f>"9780415887557"</f>
        <v>9780415887557</v>
      </c>
      <c r="C2726" s="10" t="str">
        <f>"9780203833834"</f>
        <v>9780203833834</v>
      </c>
      <c r="D2726" s="10" t="s">
        <v>6350</v>
      </c>
      <c r="E2726" s="10" t="s">
        <v>6351</v>
      </c>
      <c r="F2726" s="10" t="s">
        <v>139</v>
      </c>
      <c r="G2726" s="10" t="s">
        <v>6352</v>
      </c>
      <c r="H2726" s="11">
        <v>40602</v>
      </c>
      <c r="I2726" s="10">
        <v>2011</v>
      </c>
      <c r="J2726" s="10" t="s">
        <v>6353</v>
      </c>
      <c r="K2726" s="10">
        <v>273</v>
      </c>
      <c r="L2726" s="10" t="s">
        <v>18068</v>
      </c>
      <c r="M2726" s="10">
        <v>1</v>
      </c>
      <c r="N2726" s="10"/>
      <c r="O2726" s="10"/>
      <c r="P2726" s="10" t="s">
        <v>18069</v>
      </c>
      <c r="Q2726" s="10" t="s">
        <v>18070</v>
      </c>
      <c r="R2726" s="10" t="s">
        <v>18071</v>
      </c>
      <c r="S2726" s="10" t="s">
        <v>53</v>
      </c>
      <c r="T2726" s="10" t="s">
        <v>54</v>
      </c>
    </row>
    <row r="2727" spans="1:20" ht="14.5" x14ac:dyDescent="0.35">
      <c r="A2727" s="10" t="s">
        <v>18072</v>
      </c>
      <c r="B2727" s="10" t="str">
        <f>"9780415600910"</f>
        <v>9780415600910</v>
      </c>
      <c r="C2727" s="10" t="str">
        <f>"9780203830567"</f>
        <v>9780203830567</v>
      </c>
      <c r="D2727" s="10" t="s">
        <v>6350</v>
      </c>
      <c r="E2727" s="10" t="s">
        <v>6351</v>
      </c>
      <c r="F2727" s="10" t="s">
        <v>5406</v>
      </c>
      <c r="G2727" s="10" t="s">
        <v>6317</v>
      </c>
      <c r="H2727" s="11">
        <v>40638</v>
      </c>
      <c r="I2727" s="10">
        <v>2011</v>
      </c>
      <c r="J2727" s="10" t="s">
        <v>6353</v>
      </c>
      <c r="K2727" s="10">
        <v>129</v>
      </c>
      <c r="L2727" s="10" t="s">
        <v>18073</v>
      </c>
      <c r="M2727" s="10">
        <v>1</v>
      </c>
      <c r="N2727" s="10"/>
      <c r="O2727" s="10"/>
      <c r="P2727" s="10" t="s">
        <v>18074</v>
      </c>
      <c r="Q2727" s="10">
        <v>153.9</v>
      </c>
      <c r="R2727" s="10" t="s">
        <v>18075</v>
      </c>
      <c r="S2727" s="10" t="s">
        <v>53</v>
      </c>
      <c r="T2727" s="10" t="s">
        <v>483</v>
      </c>
    </row>
    <row r="2728" spans="1:20" ht="14.5" x14ac:dyDescent="0.35">
      <c r="A2728" s="10" t="s">
        <v>18076</v>
      </c>
      <c r="B2728" s="10" t="str">
        <f>"9780415604901"</f>
        <v>9780415604901</v>
      </c>
      <c r="C2728" s="10" t="str">
        <f>"9780203830437"</f>
        <v>9780203830437</v>
      </c>
      <c r="D2728" s="10" t="s">
        <v>6350</v>
      </c>
      <c r="E2728" s="10" t="s">
        <v>6351</v>
      </c>
      <c r="F2728" s="10" t="s">
        <v>5406</v>
      </c>
      <c r="G2728" s="10" t="s">
        <v>6317</v>
      </c>
      <c r="H2728" s="11">
        <v>40653</v>
      </c>
      <c r="I2728" s="10">
        <v>2011</v>
      </c>
      <c r="J2728" s="10" t="s">
        <v>6353</v>
      </c>
      <c r="K2728" s="10">
        <v>225</v>
      </c>
      <c r="L2728" s="10" t="s">
        <v>18077</v>
      </c>
      <c r="M2728" s="10">
        <v>1</v>
      </c>
      <c r="N2728" s="10"/>
      <c r="O2728" s="10"/>
      <c r="P2728" s="10" t="s">
        <v>18078</v>
      </c>
      <c r="Q2728" s="10">
        <v>370.72</v>
      </c>
      <c r="R2728" s="10" t="s">
        <v>18079</v>
      </c>
      <c r="S2728" s="10" t="s">
        <v>53</v>
      </c>
      <c r="T2728" s="10" t="s">
        <v>54</v>
      </c>
    </row>
    <row r="2729" spans="1:20" ht="14.5" x14ac:dyDescent="0.35">
      <c r="A2729" s="10" t="s">
        <v>18080</v>
      </c>
      <c r="B2729" s="10" t="str">
        <f>"9780415570664"</f>
        <v>9780415570664</v>
      </c>
      <c r="C2729" s="10" t="str">
        <f>"9780203827826"</f>
        <v>9780203827826</v>
      </c>
      <c r="D2729" s="10" t="s">
        <v>6350</v>
      </c>
      <c r="E2729" s="10" t="s">
        <v>6351</v>
      </c>
      <c r="F2729" s="10" t="s">
        <v>139</v>
      </c>
      <c r="G2729" s="10" t="s">
        <v>6352</v>
      </c>
      <c r="H2729" s="11">
        <v>40653</v>
      </c>
      <c r="I2729" s="10">
        <v>2011</v>
      </c>
      <c r="J2729" s="10" t="s">
        <v>6353</v>
      </c>
      <c r="K2729" s="10">
        <v>257</v>
      </c>
      <c r="L2729" s="10" t="s">
        <v>18081</v>
      </c>
      <c r="M2729" s="10">
        <v>1</v>
      </c>
      <c r="N2729" s="10" t="s">
        <v>18082</v>
      </c>
      <c r="O2729" s="10"/>
      <c r="P2729" s="10" t="s">
        <v>18083</v>
      </c>
      <c r="Q2729" s="10" t="s">
        <v>15344</v>
      </c>
      <c r="R2729" s="10" t="s">
        <v>9433</v>
      </c>
      <c r="S2729" s="10" t="s">
        <v>53</v>
      </c>
      <c r="T2729" s="10" t="s">
        <v>6634</v>
      </c>
    </row>
    <row r="2730" spans="1:20" ht="14.5" x14ac:dyDescent="0.35">
      <c r="A2730" s="10" t="s">
        <v>18084</v>
      </c>
      <c r="B2730" s="10" t="str">
        <f>"9780415582254"</f>
        <v>9780415582254</v>
      </c>
      <c r="C2730" s="10" t="str">
        <f>"9780203842775"</f>
        <v>9780203842775</v>
      </c>
      <c r="D2730" s="10" t="s">
        <v>6350</v>
      </c>
      <c r="E2730" s="10" t="s">
        <v>6351</v>
      </c>
      <c r="F2730" s="10" t="s">
        <v>139</v>
      </c>
      <c r="G2730" s="10" t="s">
        <v>6352</v>
      </c>
      <c r="H2730" s="11">
        <v>40463</v>
      </c>
      <c r="I2730" s="10">
        <v>2011</v>
      </c>
      <c r="J2730" s="10" t="s">
        <v>6353</v>
      </c>
      <c r="K2730" s="10">
        <v>289</v>
      </c>
      <c r="L2730" s="10" t="s">
        <v>18085</v>
      </c>
      <c r="M2730" s="10">
        <v>1</v>
      </c>
      <c r="N2730" s="10" t="s">
        <v>18086</v>
      </c>
      <c r="O2730" s="10"/>
      <c r="P2730" s="10" t="s">
        <v>18087</v>
      </c>
      <c r="Q2730" s="10">
        <v>378.51</v>
      </c>
      <c r="R2730" s="10" t="s">
        <v>18088</v>
      </c>
      <c r="S2730" s="10" t="s">
        <v>53</v>
      </c>
      <c r="T2730" s="10" t="s">
        <v>54</v>
      </c>
    </row>
    <row r="2731" spans="1:20" ht="14.5" x14ac:dyDescent="0.35">
      <c r="A2731" s="10" t="s">
        <v>18089</v>
      </c>
      <c r="B2731" s="10" t="str">
        <f>"9780415571708"</f>
        <v>9780415571708</v>
      </c>
      <c r="C2731" s="10" t="str">
        <f>"9780203818978"</f>
        <v>9780203818978</v>
      </c>
      <c r="D2731" s="10" t="s">
        <v>6350</v>
      </c>
      <c r="E2731" s="10" t="s">
        <v>6351</v>
      </c>
      <c r="F2731" s="10" t="s">
        <v>139</v>
      </c>
      <c r="G2731" s="10" t="s">
        <v>6352</v>
      </c>
      <c r="H2731" s="11">
        <v>40653</v>
      </c>
      <c r="I2731" s="10">
        <v>2011</v>
      </c>
      <c r="J2731" s="10" t="s">
        <v>6353</v>
      </c>
      <c r="K2731" s="10">
        <v>177</v>
      </c>
      <c r="L2731" s="10" t="s">
        <v>18090</v>
      </c>
      <c r="M2731" s="10">
        <v>1</v>
      </c>
      <c r="N2731" s="10"/>
      <c r="O2731" s="10"/>
      <c r="P2731" s="10" t="s">
        <v>18091</v>
      </c>
      <c r="Q2731" s="10" t="s">
        <v>18092</v>
      </c>
      <c r="R2731" s="10" t="s">
        <v>8189</v>
      </c>
      <c r="S2731" s="10" t="s">
        <v>53</v>
      </c>
      <c r="T2731" s="10" t="s">
        <v>54</v>
      </c>
    </row>
    <row r="2732" spans="1:20" ht="14.5" x14ac:dyDescent="0.35">
      <c r="A2732" s="10" t="s">
        <v>18093</v>
      </c>
      <c r="B2732" s="10" t="str">
        <f>"9780415889629"</f>
        <v>9780415889629</v>
      </c>
      <c r="C2732" s="10" t="str">
        <f>"9780203829141"</f>
        <v>9780203829141</v>
      </c>
      <c r="D2732" s="10" t="s">
        <v>6350</v>
      </c>
      <c r="E2732" s="10" t="s">
        <v>6351</v>
      </c>
      <c r="F2732" s="10" t="s">
        <v>139</v>
      </c>
      <c r="G2732" s="10" t="s">
        <v>6352</v>
      </c>
      <c r="H2732" s="11">
        <v>40616</v>
      </c>
      <c r="I2732" s="10">
        <v>2011</v>
      </c>
      <c r="J2732" s="10" t="s">
        <v>6353</v>
      </c>
      <c r="K2732" s="10">
        <v>257</v>
      </c>
      <c r="L2732" s="10" t="s">
        <v>18094</v>
      </c>
      <c r="M2732" s="10">
        <v>1</v>
      </c>
      <c r="N2732" s="10"/>
      <c r="O2732" s="10"/>
      <c r="P2732" s="10" t="s">
        <v>18095</v>
      </c>
      <c r="Q2732" s="10">
        <v>370.1</v>
      </c>
      <c r="R2732" s="10" t="s">
        <v>7093</v>
      </c>
      <c r="S2732" s="10" t="s">
        <v>53</v>
      </c>
      <c r="T2732" s="10" t="s">
        <v>54</v>
      </c>
    </row>
    <row r="2733" spans="1:20" ht="14.5" x14ac:dyDescent="0.35">
      <c r="A2733" s="10" t="s">
        <v>18096</v>
      </c>
      <c r="B2733" s="10" t="str">
        <f>"9780415589239"</f>
        <v>9780415589239</v>
      </c>
      <c r="C2733" s="10" t="str">
        <f>"9780203826027"</f>
        <v>9780203826027</v>
      </c>
      <c r="D2733" s="10" t="s">
        <v>6350</v>
      </c>
      <c r="E2733" s="10" t="s">
        <v>6351</v>
      </c>
      <c r="F2733" s="10" t="s">
        <v>139</v>
      </c>
      <c r="G2733" s="10" t="s">
        <v>6352</v>
      </c>
      <c r="H2733" s="11">
        <v>40653</v>
      </c>
      <c r="I2733" s="10">
        <v>2011</v>
      </c>
      <c r="J2733" s="10" t="s">
        <v>6353</v>
      </c>
      <c r="K2733" s="10">
        <v>201</v>
      </c>
      <c r="L2733" s="10" t="s">
        <v>18097</v>
      </c>
      <c r="M2733" s="10">
        <v>2</v>
      </c>
      <c r="N2733" s="10" t="s">
        <v>9322</v>
      </c>
      <c r="O2733" s="10"/>
      <c r="P2733" s="10" t="s">
        <v>18098</v>
      </c>
      <c r="Q2733" s="10" t="s">
        <v>6942</v>
      </c>
      <c r="R2733" s="10" t="s">
        <v>18099</v>
      </c>
      <c r="S2733" s="10" t="s">
        <v>53</v>
      </c>
      <c r="T2733" s="10" t="s">
        <v>54</v>
      </c>
    </row>
    <row r="2734" spans="1:20" ht="14.5" x14ac:dyDescent="0.35">
      <c r="A2734" s="10" t="s">
        <v>18100</v>
      </c>
      <c r="B2734" s="10" t="str">
        <f>"9780415603386"</f>
        <v>9780415603386</v>
      </c>
      <c r="C2734" s="10" t="str">
        <f>"9780203827307"</f>
        <v>9780203827307</v>
      </c>
      <c r="D2734" s="10" t="s">
        <v>6350</v>
      </c>
      <c r="E2734" s="10" t="s">
        <v>6351</v>
      </c>
      <c r="F2734" s="10" t="s">
        <v>748</v>
      </c>
      <c r="G2734" s="10" t="s">
        <v>6352</v>
      </c>
      <c r="H2734" s="11">
        <v>40653</v>
      </c>
      <c r="I2734" s="10">
        <v>2011</v>
      </c>
      <c r="J2734" s="10" t="s">
        <v>6351</v>
      </c>
      <c r="K2734" s="10">
        <v>113</v>
      </c>
      <c r="L2734" s="10" t="s">
        <v>18101</v>
      </c>
      <c r="M2734" s="10">
        <v>1</v>
      </c>
      <c r="N2734" s="10"/>
      <c r="O2734" s="10"/>
      <c r="P2734" s="10" t="s">
        <v>18102</v>
      </c>
      <c r="Q2734" s="10">
        <v>372.66044094099999</v>
      </c>
      <c r="R2734" s="10" t="s">
        <v>18103</v>
      </c>
      <c r="S2734" s="10" t="s">
        <v>53</v>
      </c>
      <c r="T2734" s="10" t="s">
        <v>6815</v>
      </c>
    </row>
    <row r="2735" spans="1:20" ht="14.5" x14ac:dyDescent="0.35">
      <c r="A2735" s="10" t="s">
        <v>18104</v>
      </c>
      <c r="B2735" s="10" t="str">
        <f>"9780415800518"</f>
        <v>9780415800518</v>
      </c>
      <c r="C2735" s="10" t="str">
        <f>"9780203835036"</f>
        <v>9780203835036</v>
      </c>
      <c r="D2735" s="10" t="s">
        <v>6350</v>
      </c>
      <c r="E2735" s="10" t="s">
        <v>6351</v>
      </c>
      <c r="F2735" s="10" t="s">
        <v>139</v>
      </c>
      <c r="G2735" s="10" t="s">
        <v>6352</v>
      </c>
      <c r="H2735" s="11">
        <v>40609</v>
      </c>
      <c r="I2735" s="10">
        <v>2011</v>
      </c>
      <c r="J2735" s="10" t="s">
        <v>6353</v>
      </c>
      <c r="K2735" s="10">
        <v>185</v>
      </c>
      <c r="L2735" s="10" t="s">
        <v>18105</v>
      </c>
      <c r="M2735" s="10">
        <v>2</v>
      </c>
      <c r="N2735" s="10"/>
      <c r="O2735" s="10"/>
      <c r="P2735" s="10" t="s">
        <v>18106</v>
      </c>
      <c r="Q2735" s="10">
        <v>372.21</v>
      </c>
      <c r="R2735" s="10" t="s">
        <v>18107</v>
      </c>
      <c r="S2735" s="10" t="s">
        <v>53</v>
      </c>
      <c r="T2735" s="10" t="s">
        <v>54</v>
      </c>
    </row>
    <row r="2736" spans="1:20" ht="14.5" x14ac:dyDescent="0.35">
      <c r="A2736" s="10" t="s">
        <v>18108</v>
      </c>
      <c r="B2736" s="10" t="str">
        <f>"9780415882316"</f>
        <v>9780415882316</v>
      </c>
      <c r="C2736" s="10" t="str">
        <f>"9780203847855"</f>
        <v>9780203847855</v>
      </c>
      <c r="D2736" s="10" t="s">
        <v>6350</v>
      </c>
      <c r="E2736" s="10" t="s">
        <v>6351</v>
      </c>
      <c r="F2736" s="10" t="s">
        <v>139</v>
      </c>
      <c r="G2736" s="10" t="s">
        <v>6352</v>
      </c>
      <c r="H2736" s="11">
        <v>40616</v>
      </c>
      <c r="I2736" s="10">
        <v>2011</v>
      </c>
      <c r="J2736" s="10" t="s">
        <v>6353</v>
      </c>
      <c r="K2736" s="10">
        <v>225</v>
      </c>
      <c r="L2736" s="10" t="s">
        <v>18109</v>
      </c>
      <c r="M2736" s="10">
        <v>1</v>
      </c>
      <c r="N2736" s="10" t="s">
        <v>8644</v>
      </c>
      <c r="O2736" s="10"/>
      <c r="P2736" s="10" t="s">
        <v>18110</v>
      </c>
      <c r="Q2736" s="10">
        <v>428.24070999999998</v>
      </c>
      <c r="R2736" s="10" t="s">
        <v>12109</v>
      </c>
      <c r="S2736" s="10" t="s">
        <v>53</v>
      </c>
      <c r="T2736" s="10" t="s">
        <v>6616</v>
      </c>
    </row>
    <row r="2737" spans="1:20" ht="14.5" x14ac:dyDescent="0.35">
      <c r="A2737" s="10" t="s">
        <v>18111</v>
      </c>
      <c r="B2737" s="10" t="str">
        <f>"9781416611301"</f>
        <v>9781416611301</v>
      </c>
      <c r="C2737" s="10" t="str">
        <f>"9781416612926"</f>
        <v>9781416612926</v>
      </c>
      <c r="D2737" s="10" t="s">
        <v>10014</v>
      </c>
      <c r="E2737" s="10" t="s">
        <v>10015</v>
      </c>
      <c r="F2737" s="10" t="s">
        <v>201</v>
      </c>
      <c r="G2737" s="10" t="s">
        <v>6317</v>
      </c>
      <c r="H2737" s="11">
        <v>40564</v>
      </c>
      <c r="I2737" s="10">
        <v>2011</v>
      </c>
      <c r="J2737" s="10" t="s">
        <v>10014</v>
      </c>
      <c r="K2737" s="10">
        <v>251</v>
      </c>
      <c r="L2737" s="10" t="s">
        <v>10092</v>
      </c>
      <c r="M2737" s="10">
        <v>1</v>
      </c>
      <c r="N2737" s="10"/>
      <c r="O2737" s="10"/>
      <c r="P2737" s="10" t="s">
        <v>18112</v>
      </c>
      <c r="Q2737" s="10">
        <v>371.10199999999998</v>
      </c>
      <c r="R2737" s="10" t="s">
        <v>18113</v>
      </c>
      <c r="S2737" s="10" t="s">
        <v>53</v>
      </c>
      <c r="T2737" s="10" t="s">
        <v>54</v>
      </c>
    </row>
    <row r="2738" spans="1:20" ht="14.5" x14ac:dyDescent="0.35">
      <c r="A2738" s="10" t="s">
        <v>18114</v>
      </c>
      <c r="B2738" s="10" t="str">
        <f>"9781416611257"</f>
        <v>9781416611257</v>
      </c>
      <c r="C2738" s="10" t="str">
        <f>"9781416612858"</f>
        <v>9781416612858</v>
      </c>
      <c r="D2738" s="10" t="s">
        <v>10014</v>
      </c>
      <c r="E2738" s="10" t="s">
        <v>10015</v>
      </c>
      <c r="F2738" s="10" t="s">
        <v>201</v>
      </c>
      <c r="G2738" s="10" t="s">
        <v>6317</v>
      </c>
      <c r="H2738" s="11">
        <v>40573</v>
      </c>
      <c r="I2738" s="10">
        <v>2011</v>
      </c>
      <c r="J2738" s="10" t="s">
        <v>10015</v>
      </c>
      <c r="K2738" s="10">
        <v>229</v>
      </c>
      <c r="L2738" s="10" t="s">
        <v>10471</v>
      </c>
      <c r="M2738" s="10">
        <v>1</v>
      </c>
      <c r="N2738" s="10"/>
      <c r="O2738" s="10"/>
      <c r="P2738" s="10" t="s">
        <v>18115</v>
      </c>
      <c r="Q2738" s="10" t="s">
        <v>18116</v>
      </c>
      <c r="R2738" s="10" t="s">
        <v>18117</v>
      </c>
      <c r="S2738" s="10" t="s">
        <v>53</v>
      </c>
      <c r="T2738" s="10" t="s">
        <v>54</v>
      </c>
    </row>
    <row r="2739" spans="1:20" ht="14.5" x14ac:dyDescent="0.35">
      <c r="A2739" s="10" t="s">
        <v>18118</v>
      </c>
      <c r="B2739" s="10" t="str">
        <f>"9781416610939"</f>
        <v>9781416610939</v>
      </c>
      <c r="C2739" s="10" t="str">
        <f>"9781416612889"</f>
        <v>9781416612889</v>
      </c>
      <c r="D2739" s="10" t="s">
        <v>10014</v>
      </c>
      <c r="E2739" s="10" t="s">
        <v>10015</v>
      </c>
      <c r="F2739" s="10" t="s">
        <v>201</v>
      </c>
      <c r="G2739" s="10" t="s">
        <v>6317</v>
      </c>
      <c r="H2739" s="11">
        <v>40573</v>
      </c>
      <c r="I2739" s="10">
        <v>2011</v>
      </c>
      <c r="J2739" s="10" t="s">
        <v>10015</v>
      </c>
      <c r="K2739" s="10">
        <v>127</v>
      </c>
      <c r="L2739" s="10" t="s">
        <v>13292</v>
      </c>
      <c r="M2739" s="10">
        <v>1</v>
      </c>
      <c r="N2739" s="10"/>
      <c r="O2739" s="10"/>
      <c r="P2739" s="10" t="s">
        <v>18119</v>
      </c>
      <c r="Q2739" s="10">
        <v>371.30279999999999</v>
      </c>
      <c r="R2739" s="10" t="s">
        <v>18120</v>
      </c>
      <c r="S2739" s="10" t="s">
        <v>53</v>
      </c>
      <c r="T2739" s="10" t="s">
        <v>54</v>
      </c>
    </row>
    <row r="2740" spans="1:20" ht="14.5" x14ac:dyDescent="0.35">
      <c r="A2740" s="10" t="s">
        <v>18121</v>
      </c>
      <c r="B2740" s="10" t="str">
        <f>"9781416610908"</f>
        <v>9781416610908</v>
      </c>
      <c r="C2740" s="10" t="str">
        <f>"9781416612810"</f>
        <v>9781416612810</v>
      </c>
      <c r="D2740" s="10" t="s">
        <v>10014</v>
      </c>
      <c r="E2740" s="10" t="s">
        <v>10015</v>
      </c>
      <c r="F2740" s="10" t="s">
        <v>201</v>
      </c>
      <c r="G2740" s="10" t="s">
        <v>6317</v>
      </c>
      <c r="H2740" s="11">
        <v>40542</v>
      </c>
      <c r="I2740" s="10">
        <v>2010</v>
      </c>
      <c r="J2740" s="10" t="s">
        <v>10015</v>
      </c>
      <c r="K2740" s="10">
        <v>195</v>
      </c>
      <c r="L2740" s="10" t="s">
        <v>18122</v>
      </c>
      <c r="M2740" s="10">
        <v>1</v>
      </c>
      <c r="N2740" s="10"/>
      <c r="O2740" s="10"/>
      <c r="P2740" s="10" t="s">
        <v>18123</v>
      </c>
      <c r="Q2740" s="10">
        <v>371.10199999999998</v>
      </c>
      <c r="R2740" s="10" t="s">
        <v>18113</v>
      </c>
      <c r="S2740" s="10" t="s">
        <v>53</v>
      </c>
      <c r="T2740" s="10" t="s">
        <v>54</v>
      </c>
    </row>
    <row r="2741" spans="1:20" ht="14.5" x14ac:dyDescent="0.35">
      <c r="A2741" s="10" t="s">
        <v>18124</v>
      </c>
      <c r="B2741" s="10" t="str">
        <f>"9781572336773"</f>
        <v>9781572336773</v>
      </c>
      <c r="C2741" s="10" t="str">
        <f>"9781572336889"</f>
        <v>9781572336889</v>
      </c>
      <c r="D2741" s="10" t="s">
        <v>18125</v>
      </c>
      <c r="E2741" s="10" t="s">
        <v>18125</v>
      </c>
      <c r="F2741" s="10" t="s">
        <v>2644</v>
      </c>
      <c r="G2741" s="10" t="s">
        <v>6317</v>
      </c>
      <c r="H2741" s="11">
        <v>40147</v>
      </c>
      <c r="I2741" s="10">
        <v>2009</v>
      </c>
      <c r="J2741" s="10" t="s">
        <v>18125</v>
      </c>
      <c r="K2741" s="10">
        <v>183</v>
      </c>
      <c r="L2741" s="10" t="s">
        <v>18126</v>
      </c>
      <c r="M2741" s="10">
        <v>1</v>
      </c>
      <c r="N2741" s="10"/>
      <c r="O2741" s="10"/>
      <c r="P2741" s="10" t="s">
        <v>18127</v>
      </c>
      <c r="Q2741" s="10" t="s">
        <v>18128</v>
      </c>
      <c r="R2741" s="10"/>
      <c r="S2741" s="10" t="s">
        <v>53</v>
      </c>
      <c r="T2741" s="10" t="s">
        <v>1166</v>
      </c>
    </row>
    <row r="2742" spans="1:20" ht="14.5" x14ac:dyDescent="0.35">
      <c r="A2742" s="10" t="s">
        <v>18129</v>
      </c>
      <c r="B2742" s="10" t="str">
        <f>"9780833050496"</f>
        <v>9780833050496</v>
      </c>
      <c r="C2742" s="10" t="str">
        <f>"9780833051028"</f>
        <v>9780833051028</v>
      </c>
      <c r="D2742" s="10" t="s">
        <v>8134</v>
      </c>
      <c r="E2742" s="10" t="s">
        <v>8135</v>
      </c>
      <c r="F2742" s="10" t="s">
        <v>8136</v>
      </c>
      <c r="G2742" s="10" t="s">
        <v>6317</v>
      </c>
      <c r="H2742" s="11">
        <v>40472</v>
      </c>
      <c r="I2742" s="10">
        <v>2010</v>
      </c>
      <c r="J2742" s="10" t="s">
        <v>8363</v>
      </c>
      <c r="K2742" s="10">
        <v>91</v>
      </c>
      <c r="L2742" s="10" t="s">
        <v>18130</v>
      </c>
      <c r="M2742" s="10">
        <v>1</v>
      </c>
      <c r="N2742" s="10"/>
      <c r="O2742" s="10"/>
      <c r="P2742" s="10" t="s">
        <v>18131</v>
      </c>
      <c r="Q2742" s="10">
        <v>371.8</v>
      </c>
      <c r="R2742" s="10" t="s">
        <v>18132</v>
      </c>
      <c r="S2742" s="10" t="s">
        <v>53</v>
      </c>
      <c r="T2742" s="10" t="s">
        <v>54</v>
      </c>
    </row>
    <row r="2743" spans="1:20" ht="14.5" x14ac:dyDescent="0.35">
      <c r="A2743" s="10" t="s">
        <v>18133</v>
      </c>
      <c r="B2743" s="10" t="str">
        <f>"9780833050489"</f>
        <v>9780833050489</v>
      </c>
      <c r="C2743" s="10" t="str">
        <f>"9780833050540"</f>
        <v>9780833050540</v>
      </c>
      <c r="D2743" s="10" t="s">
        <v>8134</v>
      </c>
      <c r="E2743" s="10" t="s">
        <v>8135</v>
      </c>
      <c r="F2743" s="10" t="s">
        <v>8136</v>
      </c>
      <c r="G2743" s="10" t="s">
        <v>6317</v>
      </c>
      <c r="H2743" s="11">
        <v>40472</v>
      </c>
      <c r="I2743" s="10">
        <v>2010</v>
      </c>
      <c r="J2743" s="10" t="s">
        <v>8363</v>
      </c>
      <c r="K2743" s="10">
        <v>84</v>
      </c>
      <c r="L2743" s="10" t="s">
        <v>18134</v>
      </c>
      <c r="M2743" s="10">
        <v>1</v>
      </c>
      <c r="N2743" s="10"/>
      <c r="O2743" s="10"/>
      <c r="P2743" s="10" t="s">
        <v>18135</v>
      </c>
      <c r="Q2743" s="10">
        <v>371.8</v>
      </c>
      <c r="R2743" s="10" t="s">
        <v>18136</v>
      </c>
      <c r="S2743" s="10" t="s">
        <v>53</v>
      </c>
      <c r="T2743" s="10" t="s">
        <v>54</v>
      </c>
    </row>
    <row r="2744" spans="1:20" ht="14.5" x14ac:dyDescent="0.35">
      <c r="A2744" s="10" t="s">
        <v>18137</v>
      </c>
      <c r="B2744" s="10" t="str">
        <f>"9780833051240"</f>
        <v>9780833051240</v>
      </c>
      <c r="C2744" s="10" t="str">
        <f>"9780833051257"</f>
        <v>9780833051257</v>
      </c>
      <c r="D2744" s="10" t="s">
        <v>8134</v>
      </c>
      <c r="E2744" s="10" t="s">
        <v>8135</v>
      </c>
      <c r="F2744" s="10" t="s">
        <v>8136</v>
      </c>
      <c r="G2744" s="10" t="s">
        <v>6317</v>
      </c>
      <c r="H2744" s="11">
        <v>40520</v>
      </c>
      <c r="I2744" s="10">
        <v>2010</v>
      </c>
      <c r="J2744" s="10" t="s">
        <v>8363</v>
      </c>
      <c r="K2744" s="10">
        <v>72</v>
      </c>
      <c r="L2744" s="10" t="s">
        <v>18138</v>
      </c>
      <c r="M2744" s="10">
        <v>2</v>
      </c>
      <c r="N2744" s="10"/>
      <c r="O2744" s="10"/>
      <c r="P2744" s="10" t="s">
        <v>18139</v>
      </c>
      <c r="Q2744" s="10"/>
      <c r="R2744" s="10" t="s">
        <v>18140</v>
      </c>
      <c r="S2744" s="10" t="s">
        <v>53</v>
      </c>
      <c r="T2744" s="10" t="s">
        <v>54</v>
      </c>
    </row>
    <row r="2745" spans="1:20" ht="14.5" x14ac:dyDescent="0.35">
      <c r="A2745" s="10" t="s">
        <v>18141</v>
      </c>
      <c r="B2745" s="10" t="str">
        <f>"9780253356994"</f>
        <v>9780253356994</v>
      </c>
      <c r="C2745" s="10" t="str">
        <f>"9780253005595"</f>
        <v>9780253005595</v>
      </c>
      <c r="D2745" s="10" t="s">
        <v>2455</v>
      </c>
      <c r="E2745" s="10" t="s">
        <v>2455</v>
      </c>
      <c r="F2745" s="10" t="s">
        <v>3101</v>
      </c>
      <c r="G2745" s="10" t="s">
        <v>6317</v>
      </c>
      <c r="H2745" s="11">
        <v>40821</v>
      </c>
      <c r="I2745" s="10">
        <v>2011</v>
      </c>
      <c r="J2745" s="10" t="s">
        <v>2455</v>
      </c>
      <c r="K2745" s="10">
        <v>183</v>
      </c>
      <c r="L2745" s="10" t="s">
        <v>18142</v>
      </c>
      <c r="M2745" s="10">
        <v>1</v>
      </c>
      <c r="N2745" s="10" t="s">
        <v>18143</v>
      </c>
      <c r="O2745" s="10"/>
      <c r="P2745" s="10" t="s">
        <v>18144</v>
      </c>
      <c r="Q2745" s="10" t="s">
        <v>18145</v>
      </c>
      <c r="R2745" s="10" t="s">
        <v>18146</v>
      </c>
      <c r="S2745" s="10" t="s">
        <v>53</v>
      </c>
      <c r="T2745" s="10" t="s">
        <v>1166</v>
      </c>
    </row>
    <row r="2746" spans="1:20" ht="14.5" x14ac:dyDescent="0.35">
      <c r="A2746" s="10" t="s">
        <v>18147</v>
      </c>
      <c r="B2746" s="10" t="str">
        <f>"9780415802239"</f>
        <v>9780415802239</v>
      </c>
      <c r="C2746" s="10" t="str">
        <f>"9780203821800"</f>
        <v>9780203821800</v>
      </c>
      <c r="D2746" s="10" t="s">
        <v>6350</v>
      </c>
      <c r="E2746" s="10" t="s">
        <v>6351</v>
      </c>
      <c r="F2746" s="10" t="s">
        <v>5406</v>
      </c>
      <c r="G2746" s="10" t="s">
        <v>6317</v>
      </c>
      <c r="H2746" s="11">
        <v>40624</v>
      </c>
      <c r="I2746" s="10">
        <v>2011</v>
      </c>
      <c r="J2746" s="10" t="s">
        <v>6353</v>
      </c>
      <c r="K2746" s="10">
        <v>225</v>
      </c>
      <c r="L2746" s="10" t="s">
        <v>8025</v>
      </c>
      <c r="M2746" s="10">
        <v>1</v>
      </c>
      <c r="N2746" s="10" t="s">
        <v>7735</v>
      </c>
      <c r="O2746" s="10"/>
      <c r="P2746" s="10" t="s">
        <v>18148</v>
      </c>
      <c r="Q2746" s="10" t="s">
        <v>18149</v>
      </c>
      <c r="R2746" s="10" t="s">
        <v>18150</v>
      </c>
      <c r="S2746" s="10" t="s">
        <v>53</v>
      </c>
      <c r="T2746" s="10" t="s">
        <v>54</v>
      </c>
    </row>
    <row r="2747" spans="1:20" ht="14.5" x14ac:dyDescent="0.35">
      <c r="A2747" s="10" t="s">
        <v>18151</v>
      </c>
      <c r="B2747" s="10" t="str">
        <f>"9780415563611"</f>
        <v>9780415563611</v>
      </c>
      <c r="C2747" s="10" t="str">
        <f>"9780203821824"</f>
        <v>9780203821824</v>
      </c>
      <c r="D2747" s="10" t="s">
        <v>6350</v>
      </c>
      <c r="E2747" s="10" t="s">
        <v>6351</v>
      </c>
      <c r="F2747" s="10" t="s">
        <v>5406</v>
      </c>
      <c r="G2747" s="10" t="s">
        <v>6317</v>
      </c>
      <c r="H2747" s="11">
        <v>40653</v>
      </c>
      <c r="I2747" s="10">
        <v>2011</v>
      </c>
      <c r="J2747" s="10" t="s">
        <v>6353</v>
      </c>
      <c r="K2747" s="10">
        <v>153</v>
      </c>
      <c r="L2747" s="10" t="s">
        <v>18152</v>
      </c>
      <c r="M2747" s="10">
        <v>1</v>
      </c>
      <c r="N2747" s="10"/>
      <c r="O2747" s="10"/>
      <c r="P2747" s="10" t="s">
        <v>18153</v>
      </c>
      <c r="Q2747" s="10">
        <v>371.10199999999998</v>
      </c>
      <c r="R2747" s="10" t="s">
        <v>18154</v>
      </c>
      <c r="S2747" s="10" t="s">
        <v>53</v>
      </c>
      <c r="T2747" s="10" t="s">
        <v>54</v>
      </c>
    </row>
    <row r="2748" spans="1:20" ht="14.5" x14ac:dyDescent="0.35">
      <c r="A2748" s="10" t="s">
        <v>18155</v>
      </c>
      <c r="B2748" s="10" t="str">
        <f>"9780415581424"</f>
        <v>9780415581424</v>
      </c>
      <c r="C2748" s="10" t="str">
        <f>"9780203817308"</f>
        <v>9780203817308</v>
      </c>
      <c r="D2748" s="10" t="s">
        <v>6350</v>
      </c>
      <c r="E2748" s="10" t="s">
        <v>6351</v>
      </c>
      <c r="F2748" s="10" t="s">
        <v>5406</v>
      </c>
      <c r="G2748" s="10" t="s">
        <v>6352</v>
      </c>
      <c r="H2748" s="11">
        <v>40661</v>
      </c>
      <c r="I2748" s="10">
        <v>2011</v>
      </c>
      <c r="J2748" s="10" t="s">
        <v>6353</v>
      </c>
      <c r="K2748" s="10">
        <v>193</v>
      </c>
      <c r="L2748" s="10" t="s">
        <v>18156</v>
      </c>
      <c r="M2748" s="10">
        <v>1</v>
      </c>
      <c r="N2748" s="10"/>
      <c r="O2748" s="10"/>
      <c r="P2748" s="10" t="s">
        <v>18157</v>
      </c>
      <c r="Q2748" s="10">
        <v>306.43</v>
      </c>
      <c r="R2748" s="10" t="s">
        <v>18158</v>
      </c>
      <c r="S2748" s="10" t="s">
        <v>53</v>
      </c>
      <c r="T2748" s="10" t="s">
        <v>6526</v>
      </c>
    </row>
    <row r="2749" spans="1:20" ht="14.5" x14ac:dyDescent="0.35">
      <c r="A2749" s="10" t="s">
        <v>18159</v>
      </c>
      <c r="B2749" s="10" t="str">
        <f>"9780415579285"</f>
        <v>9780415579285</v>
      </c>
      <c r="C2749" s="10" t="str">
        <f>"9781136808517"</f>
        <v>9781136808517</v>
      </c>
      <c r="D2749" s="10" t="s">
        <v>6350</v>
      </c>
      <c r="E2749" s="10" t="s">
        <v>6351</v>
      </c>
      <c r="F2749" s="10" t="s">
        <v>5406</v>
      </c>
      <c r="G2749" s="10" t="s">
        <v>6317</v>
      </c>
      <c r="H2749" s="11">
        <v>40653</v>
      </c>
      <c r="I2749" s="10">
        <v>2011</v>
      </c>
      <c r="J2749" s="10" t="s">
        <v>6353</v>
      </c>
      <c r="K2749" s="10">
        <v>201</v>
      </c>
      <c r="L2749" s="10" t="s">
        <v>18160</v>
      </c>
      <c r="M2749" s="10">
        <v>2</v>
      </c>
      <c r="N2749" s="10"/>
      <c r="O2749" s="10"/>
      <c r="P2749" s="10" t="s">
        <v>18161</v>
      </c>
      <c r="Q2749" s="10">
        <v>372.7</v>
      </c>
      <c r="R2749" s="10" t="s">
        <v>18162</v>
      </c>
      <c r="S2749" s="10" t="s">
        <v>53</v>
      </c>
      <c r="T2749" s="10" t="s">
        <v>7425</v>
      </c>
    </row>
    <row r="2750" spans="1:20" ht="14.5" x14ac:dyDescent="0.35">
      <c r="A2750" s="10" t="s">
        <v>18163</v>
      </c>
      <c r="B2750" s="10" t="str">
        <f>"9780415885669"</f>
        <v>9780415885669</v>
      </c>
      <c r="C2750" s="10" t="str">
        <f>"9780203839003"</f>
        <v>9780203839003</v>
      </c>
      <c r="D2750" s="10" t="s">
        <v>6350</v>
      </c>
      <c r="E2750" s="10" t="s">
        <v>6351</v>
      </c>
      <c r="F2750" s="10" t="s">
        <v>5406</v>
      </c>
      <c r="G2750" s="10" t="s">
        <v>6317</v>
      </c>
      <c r="H2750" s="11">
        <v>40631</v>
      </c>
      <c r="I2750" s="10">
        <v>2011</v>
      </c>
      <c r="J2750" s="10" t="s">
        <v>6353</v>
      </c>
      <c r="K2750" s="10">
        <v>273</v>
      </c>
      <c r="L2750" s="10" t="s">
        <v>18164</v>
      </c>
      <c r="M2750" s="10">
        <v>1</v>
      </c>
      <c r="N2750" s="10" t="s">
        <v>12310</v>
      </c>
      <c r="O2750" s="10"/>
      <c r="P2750" s="10" t="s">
        <v>18165</v>
      </c>
      <c r="Q2750" s="10" t="s">
        <v>18166</v>
      </c>
      <c r="R2750" s="10" t="s">
        <v>18167</v>
      </c>
      <c r="S2750" s="10" t="s">
        <v>53</v>
      </c>
      <c r="T2750" s="10" t="s">
        <v>54</v>
      </c>
    </row>
    <row r="2751" spans="1:20" ht="14.5" x14ac:dyDescent="0.35">
      <c r="A2751" s="10" t="s">
        <v>18168</v>
      </c>
      <c r="B2751" s="10" t="str">
        <f>"9780415874656"</f>
        <v>9780415874656</v>
      </c>
      <c r="C2751" s="10" t="str">
        <f>"9780203818763"</f>
        <v>9780203818763</v>
      </c>
      <c r="D2751" s="10" t="s">
        <v>6350</v>
      </c>
      <c r="E2751" s="10" t="s">
        <v>6351</v>
      </c>
      <c r="F2751" s="10" t="s">
        <v>5406</v>
      </c>
      <c r="G2751" s="10" t="s">
        <v>6317</v>
      </c>
      <c r="H2751" s="11">
        <v>40639</v>
      </c>
      <c r="I2751" s="10">
        <v>2011</v>
      </c>
      <c r="J2751" s="10" t="s">
        <v>6353</v>
      </c>
      <c r="K2751" s="10">
        <v>307</v>
      </c>
      <c r="L2751" s="10" t="s">
        <v>18169</v>
      </c>
      <c r="M2751" s="10">
        <v>1</v>
      </c>
      <c r="N2751" s="10" t="s">
        <v>14416</v>
      </c>
      <c r="O2751" s="10"/>
      <c r="P2751" s="10" t="s">
        <v>18170</v>
      </c>
      <c r="Q2751" s="10">
        <v>378.10300000000001</v>
      </c>
      <c r="R2751" s="10" t="s">
        <v>18171</v>
      </c>
      <c r="S2751" s="10" t="s">
        <v>53</v>
      </c>
      <c r="T2751" s="10" t="s">
        <v>54</v>
      </c>
    </row>
    <row r="2752" spans="1:20" ht="14.5" x14ac:dyDescent="0.35">
      <c r="A2752" s="10" t="s">
        <v>18172</v>
      </c>
      <c r="B2752" s="10" t="str">
        <f>"9780415591300"</f>
        <v>9780415591300</v>
      </c>
      <c r="C2752" s="10" t="str">
        <f>"9780203818497"</f>
        <v>9780203818497</v>
      </c>
      <c r="D2752" s="10" t="s">
        <v>6350</v>
      </c>
      <c r="E2752" s="10" t="s">
        <v>6351</v>
      </c>
      <c r="F2752" s="10" t="s">
        <v>748</v>
      </c>
      <c r="G2752" s="10" t="s">
        <v>6352</v>
      </c>
      <c r="H2752" s="11">
        <v>40666</v>
      </c>
      <c r="I2752" s="10">
        <v>2011</v>
      </c>
      <c r="J2752" s="10" t="s">
        <v>6351</v>
      </c>
      <c r="K2752" s="10">
        <v>145</v>
      </c>
      <c r="L2752" s="10" t="s">
        <v>18173</v>
      </c>
      <c r="M2752" s="10">
        <v>1</v>
      </c>
      <c r="N2752" s="10"/>
      <c r="O2752" s="10"/>
      <c r="P2752" s="10" t="s">
        <v>18174</v>
      </c>
      <c r="Q2752" s="10">
        <v>372.21600000000001</v>
      </c>
      <c r="R2752" s="10" t="s">
        <v>18175</v>
      </c>
      <c r="S2752" s="10" t="s">
        <v>53</v>
      </c>
      <c r="T2752" s="10" t="s">
        <v>18176</v>
      </c>
    </row>
    <row r="2753" spans="1:20" ht="14.5" x14ac:dyDescent="0.35">
      <c r="A2753" s="10" t="s">
        <v>18177</v>
      </c>
      <c r="B2753" s="10" t="str">
        <f>"9781853468285"</f>
        <v>9781853468285</v>
      </c>
      <c r="C2753" s="10" t="str">
        <f>"9780203821305"</f>
        <v>9780203821305</v>
      </c>
      <c r="D2753" s="10" t="s">
        <v>6350</v>
      </c>
      <c r="E2753" s="10" t="s">
        <v>15120</v>
      </c>
      <c r="F2753" s="10" t="s">
        <v>748</v>
      </c>
      <c r="G2753" s="10" t="s">
        <v>6352</v>
      </c>
      <c r="H2753" s="11">
        <v>37463</v>
      </c>
      <c r="I2753" s="10">
        <v>2002</v>
      </c>
      <c r="J2753" s="10" t="s">
        <v>15120</v>
      </c>
      <c r="K2753" s="10">
        <v>145</v>
      </c>
      <c r="L2753" s="10" t="s">
        <v>18178</v>
      </c>
      <c r="M2753" s="10">
        <v>1</v>
      </c>
      <c r="N2753" s="10"/>
      <c r="O2753" s="10"/>
      <c r="P2753" s="10" t="s">
        <v>18179</v>
      </c>
      <c r="Q2753" s="10" t="s">
        <v>18180</v>
      </c>
      <c r="R2753" s="10" t="s">
        <v>18181</v>
      </c>
      <c r="S2753" s="10" t="s">
        <v>53</v>
      </c>
      <c r="T2753" s="10" t="s">
        <v>54</v>
      </c>
    </row>
    <row r="2754" spans="1:20" ht="14.5" x14ac:dyDescent="0.35">
      <c r="A2754" s="10" t="s">
        <v>18182</v>
      </c>
      <c r="B2754" s="10" t="str">
        <f>"9780415933117"</f>
        <v>9780415933117</v>
      </c>
      <c r="C2754" s="10" t="str">
        <f>"9780203819753"</f>
        <v>9780203819753</v>
      </c>
      <c r="D2754" s="10" t="s">
        <v>6350</v>
      </c>
      <c r="E2754" s="10" t="s">
        <v>6351</v>
      </c>
      <c r="F2754" s="10" t="s">
        <v>5406</v>
      </c>
      <c r="G2754" s="10" t="s">
        <v>6352</v>
      </c>
      <c r="H2754" s="11">
        <v>37435</v>
      </c>
      <c r="I2754" s="10">
        <v>2002</v>
      </c>
      <c r="J2754" s="10" t="s">
        <v>6353</v>
      </c>
      <c r="K2754" s="10">
        <v>241</v>
      </c>
      <c r="L2754" s="10" t="s">
        <v>18183</v>
      </c>
      <c r="M2754" s="10">
        <v>1</v>
      </c>
      <c r="N2754" s="10"/>
      <c r="O2754" s="10"/>
      <c r="P2754" s="10" t="s">
        <v>18184</v>
      </c>
      <c r="Q2754" s="10">
        <v>370</v>
      </c>
      <c r="R2754" s="10" t="s">
        <v>18185</v>
      </c>
      <c r="S2754" s="10" t="s">
        <v>53</v>
      </c>
      <c r="T2754" s="10" t="s">
        <v>54</v>
      </c>
    </row>
    <row r="2755" spans="1:20" ht="14.5" x14ac:dyDescent="0.35">
      <c r="A2755" s="10" t="s">
        <v>18186</v>
      </c>
      <c r="B2755" s="10" t="str">
        <f>"9780415932349"</f>
        <v>9780415932349</v>
      </c>
      <c r="C2755" s="10" t="str">
        <f>"9780203819487"</f>
        <v>9780203819487</v>
      </c>
      <c r="D2755" s="10" t="s">
        <v>6350</v>
      </c>
      <c r="E2755" s="10" t="s">
        <v>6351</v>
      </c>
      <c r="F2755" s="10" t="s">
        <v>5406</v>
      </c>
      <c r="G2755" s="10" t="s">
        <v>6352</v>
      </c>
      <c r="H2755" s="11">
        <v>37239</v>
      </c>
      <c r="I2755" s="10">
        <v>2002</v>
      </c>
      <c r="J2755" s="10" t="s">
        <v>6353</v>
      </c>
      <c r="K2755" s="10">
        <v>217</v>
      </c>
      <c r="L2755" s="10" t="s">
        <v>18187</v>
      </c>
      <c r="M2755" s="10">
        <v>1</v>
      </c>
      <c r="N2755" s="10" t="s">
        <v>18188</v>
      </c>
      <c r="O2755" s="10"/>
      <c r="P2755" s="10" t="s">
        <v>18189</v>
      </c>
      <c r="Q2755" s="10">
        <v>305.89952079777203</v>
      </c>
      <c r="R2755" s="10" t="s">
        <v>18190</v>
      </c>
      <c r="S2755" s="10" t="s">
        <v>53</v>
      </c>
      <c r="T2755" s="10" t="s">
        <v>6526</v>
      </c>
    </row>
    <row r="2756" spans="1:20" ht="14.5" x14ac:dyDescent="0.35">
      <c r="A2756" s="10" t="s">
        <v>18191</v>
      </c>
      <c r="B2756" s="10" t="str">
        <f>"9780415882507"</f>
        <v>9780415882507</v>
      </c>
      <c r="C2756" s="10" t="str">
        <f>"9780203832899"</f>
        <v>9780203832899</v>
      </c>
      <c r="D2756" s="10" t="s">
        <v>6350</v>
      </c>
      <c r="E2756" s="10" t="s">
        <v>6351</v>
      </c>
      <c r="F2756" s="10" t="s">
        <v>748</v>
      </c>
      <c r="G2756" s="10" t="s">
        <v>6352</v>
      </c>
      <c r="H2756" s="11">
        <v>40532</v>
      </c>
      <c r="I2756" s="10">
        <v>2011</v>
      </c>
      <c r="J2756" s="10" t="s">
        <v>6351</v>
      </c>
      <c r="K2756" s="10">
        <v>205</v>
      </c>
      <c r="L2756" s="10" t="s">
        <v>18192</v>
      </c>
      <c r="M2756" s="10">
        <v>1</v>
      </c>
      <c r="N2756" s="10"/>
      <c r="O2756" s="10"/>
      <c r="P2756" s="10" t="s">
        <v>18193</v>
      </c>
      <c r="Q2756" s="10">
        <v>428.24070999999998</v>
      </c>
      <c r="R2756" s="10" t="s">
        <v>12109</v>
      </c>
      <c r="S2756" s="10" t="s">
        <v>53</v>
      </c>
      <c r="T2756" s="10" t="s">
        <v>6616</v>
      </c>
    </row>
    <row r="2757" spans="1:20" ht="14.5" x14ac:dyDescent="0.35">
      <c r="A2757" s="10" t="s">
        <v>18194</v>
      </c>
      <c r="B2757" s="10" t="str">
        <f>"9780966594751"</f>
        <v>9780966594751</v>
      </c>
      <c r="C2757" s="10" t="str">
        <f>"9780966594799"</f>
        <v>9780966594799</v>
      </c>
      <c r="D2757" s="10" t="s">
        <v>9215</v>
      </c>
      <c r="E2757" s="10" t="s">
        <v>18195</v>
      </c>
      <c r="F2757" s="10" t="s">
        <v>324</v>
      </c>
      <c r="G2757" s="10" t="s">
        <v>6317</v>
      </c>
      <c r="H2757" s="11">
        <v>38988</v>
      </c>
      <c r="I2757" s="10">
        <v>2006</v>
      </c>
      <c r="J2757" s="10" t="s">
        <v>18195</v>
      </c>
      <c r="K2757" s="10">
        <v>233</v>
      </c>
      <c r="L2757" s="10" t="s">
        <v>18196</v>
      </c>
      <c r="M2757" s="10">
        <v>2</v>
      </c>
      <c r="N2757" s="10"/>
      <c r="O2757" s="10"/>
      <c r="P2757" s="10" t="s">
        <v>18197</v>
      </c>
      <c r="Q2757" s="10">
        <v>371.9</v>
      </c>
      <c r="R2757" s="10" t="s">
        <v>18198</v>
      </c>
      <c r="S2757" s="10" t="s">
        <v>53</v>
      </c>
      <c r="T2757" s="10" t="s">
        <v>54</v>
      </c>
    </row>
    <row r="2758" spans="1:20" ht="14.5" x14ac:dyDescent="0.35">
      <c r="A2758" s="10" t="s">
        <v>18199</v>
      </c>
      <c r="B2758" s="10" t="str">
        <f>"9781607099871"</f>
        <v>9781607099871</v>
      </c>
      <c r="C2758" s="10" t="str">
        <f>"9781607099895"</f>
        <v>9781607099895</v>
      </c>
      <c r="D2758" s="10" t="s">
        <v>9752</v>
      </c>
      <c r="E2758" s="10" t="s">
        <v>15192</v>
      </c>
      <c r="F2758" s="10" t="s">
        <v>9754</v>
      </c>
      <c r="G2758" s="10" t="s">
        <v>6317</v>
      </c>
      <c r="H2758" s="11">
        <v>40559</v>
      </c>
      <c r="I2758" s="10">
        <v>2011</v>
      </c>
      <c r="J2758" s="10" t="s">
        <v>15192</v>
      </c>
      <c r="K2758" s="10">
        <v>213</v>
      </c>
      <c r="L2758" s="10" t="s">
        <v>18200</v>
      </c>
      <c r="M2758" s="10">
        <v>1</v>
      </c>
      <c r="N2758" s="10"/>
      <c r="O2758" s="10"/>
      <c r="P2758" s="10" t="s">
        <v>18201</v>
      </c>
      <c r="Q2758" s="10" t="s">
        <v>8460</v>
      </c>
      <c r="R2758" s="10" t="s">
        <v>18202</v>
      </c>
      <c r="S2758" s="10" t="s">
        <v>53</v>
      </c>
      <c r="T2758" s="10" t="s">
        <v>54</v>
      </c>
    </row>
    <row r="2759" spans="1:20" ht="14.5" x14ac:dyDescent="0.35">
      <c r="A2759" s="10" t="s">
        <v>18203</v>
      </c>
      <c r="B2759" s="10" t="str">
        <f>"9781607099550"</f>
        <v>9781607099550</v>
      </c>
      <c r="C2759" s="10" t="str">
        <f>"9781607099567"</f>
        <v>9781607099567</v>
      </c>
      <c r="D2759" s="10" t="s">
        <v>9752</v>
      </c>
      <c r="E2759" s="10" t="s">
        <v>15192</v>
      </c>
      <c r="F2759" s="10" t="s">
        <v>9754</v>
      </c>
      <c r="G2759" s="10" t="s">
        <v>6317</v>
      </c>
      <c r="H2759" s="11">
        <v>40559</v>
      </c>
      <c r="I2759" s="10">
        <v>2011</v>
      </c>
      <c r="J2759" s="10" t="s">
        <v>15192</v>
      </c>
      <c r="K2759" s="10">
        <v>109</v>
      </c>
      <c r="L2759" s="10" t="s">
        <v>18204</v>
      </c>
      <c r="M2759" s="10">
        <v>1</v>
      </c>
      <c r="N2759" s="10"/>
      <c r="O2759" s="10"/>
      <c r="P2759" s="10" t="s">
        <v>18205</v>
      </c>
      <c r="Q2759" s="10" t="s">
        <v>8460</v>
      </c>
      <c r="R2759" s="10" t="s">
        <v>18206</v>
      </c>
      <c r="S2759" s="10" t="s">
        <v>53</v>
      </c>
      <c r="T2759" s="10" t="s">
        <v>54</v>
      </c>
    </row>
    <row r="2760" spans="1:20" ht="14.5" x14ac:dyDescent="0.35">
      <c r="A2760" s="10" t="s">
        <v>18207</v>
      </c>
      <c r="B2760" s="10" t="str">
        <f>"9780739145500"</f>
        <v>9780739145500</v>
      </c>
      <c r="C2760" s="10" t="str">
        <f>"9780739145524"</f>
        <v>9780739145524</v>
      </c>
      <c r="D2760" s="10" t="s">
        <v>9752</v>
      </c>
      <c r="E2760" s="10" t="s">
        <v>15182</v>
      </c>
      <c r="F2760" s="10" t="s">
        <v>9754</v>
      </c>
      <c r="G2760" s="10" t="s">
        <v>6317</v>
      </c>
      <c r="H2760" s="11">
        <v>40626</v>
      </c>
      <c r="I2760" s="10">
        <v>2011</v>
      </c>
      <c r="J2760" s="10" t="s">
        <v>15182</v>
      </c>
      <c r="K2760" s="10">
        <v>169</v>
      </c>
      <c r="L2760" s="10" t="s">
        <v>18208</v>
      </c>
      <c r="M2760" s="10">
        <v>1</v>
      </c>
      <c r="N2760" s="10" t="s">
        <v>17833</v>
      </c>
      <c r="O2760" s="10"/>
      <c r="P2760" s="10" t="s">
        <v>18209</v>
      </c>
      <c r="Q2760" s="10" t="s">
        <v>18210</v>
      </c>
      <c r="R2760" s="10" t="s">
        <v>18211</v>
      </c>
      <c r="S2760" s="10" t="s">
        <v>53</v>
      </c>
      <c r="T2760" s="10" t="s">
        <v>54</v>
      </c>
    </row>
    <row r="2761" spans="1:20" ht="14.5" x14ac:dyDescent="0.35">
      <c r="A2761" s="10" t="s">
        <v>18212</v>
      </c>
      <c r="B2761" s="10" t="str">
        <f>"9780807834480"</f>
        <v>9780807834480</v>
      </c>
      <c r="C2761" s="10" t="str">
        <f>"9780807877913"</f>
        <v>9780807877913</v>
      </c>
      <c r="D2761" s="10" t="s">
        <v>13324</v>
      </c>
      <c r="E2761" s="10" t="s">
        <v>13335</v>
      </c>
      <c r="F2761" s="10" t="s">
        <v>2388</v>
      </c>
      <c r="G2761" s="10" t="s">
        <v>6317</v>
      </c>
      <c r="H2761" s="11">
        <v>40623</v>
      </c>
      <c r="I2761" s="10">
        <v>2011</v>
      </c>
      <c r="J2761" s="10" t="s">
        <v>13335</v>
      </c>
      <c r="K2761" s="10">
        <v>382</v>
      </c>
      <c r="L2761" s="10" t="s">
        <v>18213</v>
      </c>
      <c r="M2761" s="10">
        <v>1</v>
      </c>
      <c r="N2761" s="10"/>
      <c r="O2761" s="10"/>
      <c r="P2761" s="10" t="s">
        <v>18214</v>
      </c>
      <c r="Q2761" s="10" t="s">
        <v>18215</v>
      </c>
      <c r="R2761" s="10" t="s">
        <v>18216</v>
      </c>
      <c r="S2761" s="10" t="s">
        <v>53</v>
      </c>
      <c r="T2761" s="10" t="s">
        <v>54</v>
      </c>
    </row>
    <row r="2762" spans="1:20" ht="14.5" x14ac:dyDescent="0.35">
      <c r="A2762" s="10" t="s">
        <v>18217</v>
      </c>
      <c r="B2762" s="10" t="str">
        <f>"9780520255760"</f>
        <v>9780520255760</v>
      </c>
      <c r="C2762" s="10" t="str">
        <f>"9780520948402"</f>
        <v>9780520948402</v>
      </c>
      <c r="D2762" s="10" t="s">
        <v>8512</v>
      </c>
      <c r="E2762" s="10" t="s">
        <v>8512</v>
      </c>
      <c r="F2762" s="10" t="s">
        <v>717</v>
      </c>
      <c r="G2762" s="10" t="s">
        <v>6317</v>
      </c>
      <c r="H2762" s="11">
        <v>40660</v>
      </c>
      <c r="I2762" s="10">
        <v>2011</v>
      </c>
      <c r="J2762" s="10" t="s">
        <v>8512</v>
      </c>
      <c r="K2762" s="10">
        <v>300</v>
      </c>
      <c r="L2762" s="10" t="s">
        <v>18218</v>
      </c>
      <c r="M2762" s="10">
        <v>1</v>
      </c>
      <c r="N2762" s="10"/>
      <c r="O2762" s="10"/>
      <c r="P2762" s="10" t="s">
        <v>18219</v>
      </c>
      <c r="Q2762" s="10">
        <v>370.93700000000001</v>
      </c>
      <c r="R2762" s="10" t="s">
        <v>18220</v>
      </c>
      <c r="S2762" s="10" t="s">
        <v>53</v>
      </c>
      <c r="T2762" s="10" t="s">
        <v>54</v>
      </c>
    </row>
    <row r="2763" spans="1:20" ht="14.5" x14ac:dyDescent="0.35">
      <c r="A2763" s="10" t="s">
        <v>18221</v>
      </c>
      <c r="B2763" s="10" t="str">
        <f>"9781934155387"</f>
        <v>9781934155387</v>
      </c>
      <c r="C2763" s="10" t="str">
        <f>"9781934155646"</f>
        <v>9781934155646</v>
      </c>
      <c r="D2763" s="10" t="s">
        <v>9215</v>
      </c>
      <c r="E2763" s="10" t="s">
        <v>14714</v>
      </c>
      <c r="F2763" s="10" t="s">
        <v>324</v>
      </c>
      <c r="G2763" s="10" t="s">
        <v>6317</v>
      </c>
      <c r="H2763" s="11">
        <v>40555</v>
      </c>
      <c r="I2763" s="10">
        <v>2011</v>
      </c>
      <c r="J2763" s="10" t="s">
        <v>14714</v>
      </c>
      <c r="K2763" s="10">
        <v>129</v>
      </c>
      <c r="L2763" s="10" t="s">
        <v>14716</v>
      </c>
      <c r="M2763" s="10"/>
      <c r="N2763" s="10"/>
      <c r="O2763" s="10"/>
      <c r="P2763" s="10" t="s">
        <v>18222</v>
      </c>
      <c r="Q2763" s="10">
        <v>370.15230810000003</v>
      </c>
      <c r="R2763" s="10" t="s">
        <v>18223</v>
      </c>
      <c r="S2763" s="10" t="s">
        <v>53</v>
      </c>
      <c r="T2763" s="10" t="s">
        <v>54</v>
      </c>
    </row>
    <row r="2764" spans="1:20" ht="14.5" x14ac:dyDescent="0.35">
      <c r="A2764" s="10" t="s">
        <v>18224</v>
      </c>
      <c r="B2764" s="10" t="str">
        <f>"9781441134301"</f>
        <v>9781441134301</v>
      </c>
      <c r="C2764" s="10" t="str">
        <f>"9781441174109"</f>
        <v>9781441174109</v>
      </c>
      <c r="D2764" s="10" t="s">
        <v>13959</v>
      </c>
      <c r="E2764" s="10" t="s">
        <v>13960</v>
      </c>
      <c r="F2764" s="10" t="s">
        <v>139</v>
      </c>
      <c r="G2764" s="10" t="s">
        <v>6352</v>
      </c>
      <c r="H2764" s="11">
        <v>41211</v>
      </c>
      <c r="I2764" s="10">
        <v>2011</v>
      </c>
      <c r="J2764" s="10" t="s">
        <v>13961</v>
      </c>
      <c r="K2764" s="10">
        <v>193</v>
      </c>
      <c r="L2764" s="10" t="s">
        <v>18225</v>
      </c>
      <c r="M2764" s="10">
        <v>1</v>
      </c>
      <c r="N2764" s="10"/>
      <c r="O2764" s="10"/>
      <c r="P2764" s="10" t="s">
        <v>18226</v>
      </c>
      <c r="Q2764" s="10">
        <v>378.10300000000001</v>
      </c>
      <c r="R2764" s="10" t="s">
        <v>18227</v>
      </c>
      <c r="S2764" s="10" t="s">
        <v>53</v>
      </c>
      <c r="T2764" s="10" t="s">
        <v>54</v>
      </c>
    </row>
    <row r="2765" spans="1:20" ht="14.5" x14ac:dyDescent="0.35">
      <c r="A2765" s="10" t="s">
        <v>18228</v>
      </c>
      <c r="B2765" s="10" t="str">
        <f>"9781609181512"</f>
        <v>9781609181512</v>
      </c>
      <c r="C2765" s="10" t="str">
        <f>"9781609181529"</f>
        <v>9781609181529</v>
      </c>
      <c r="D2765" s="10" t="s">
        <v>11213</v>
      </c>
      <c r="E2765" s="10" t="s">
        <v>11214</v>
      </c>
      <c r="F2765" s="10" t="s">
        <v>70</v>
      </c>
      <c r="G2765" s="10" t="s">
        <v>6317</v>
      </c>
      <c r="H2765" s="11">
        <v>40631</v>
      </c>
      <c r="I2765" s="10">
        <v>2011</v>
      </c>
      <c r="J2765" s="10" t="s">
        <v>11214</v>
      </c>
      <c r="K2765" s="10">
        <v>448</v>
      </c>
      <c r="L2765" s="10" t="s">
        <v>18229</v>
      </c>
      <c r="M2765" s="10">
        <v>1</v>
      </c>
      <c r="N2765" s="10"/>
      <c r="O2765" s="10"/>
      <c r="P2765" s="10" t="s">
        <v>18230</v>
      </c>
      <c r="Q2765" s="10">
        <v>372.43</v>
      </c>
      <c r="R2765" s="10" t="s">
        <v>18231</v>
      </c>
      <c r="S2765" s="10" t="s">
        <v>53</v>
      </c>
      <c r="T2765" s="10" t="s">
        <v>54</v>
      </c>
    </row>
    <row r="2766" spans="1:20" ht="14.5" x14ac:dyDescent="0.35">
      <c r="A2766" s="10" t="s">
        <v>18232</v>
      </c>
      <c r="B2766" s="10" t="str">
        <f>"9780470648292"</f>
        <v>9780470648292</v>
      </c>
      <c r="C2766" s="10" t="str">
        <f>"9781118023075"</f>
        <v>9781118023075</v>
      </c>
      <c r="D2766" s="10" t="s">
        <v>6322</v>
      </c>
      <c r="E2766" s="10" t="s">
        <v>6323</v>
      </c>
      <c r="F2766" s="10" t="s">
        <v>4423</v>
      </c>
      <c r="G2766" s="10" t="s">
        <v>6317</v>
      </c>
      <c r="H2766" s="11">
        <v>40666</v>
      </c>
      <c r="I2766" s="10">
        <v>2011</v>
      </c>
      <c r="J2766" s="10" t="s">
        <v>6324</v>
      </c>
      <c r="K2766" s="10">
        <v>225</v>
      </c>
      <c r="L2766" s="10" t="s">
        <v>18233</v>
      </c>
      <c r="M2766" s="10">
        <v>1</v>
      </c>
      <c r="N2766" s="10" t="s">
        <v>18234</v>
      </c>
      <c r="O2766" s="10">
        <v>14</v>
      </c>
      <c r="P2766" s="10" t="s">
        <v>18235</v>
      </c>
      <c r="Q2766" s="10" t="s">
        <v>12394</v>
      </c>
      <c r="R2766" s="10" t="s">
        <v>18236</v>
      </c>
      <c r="S2766" s="10" t="s">
        <v>53</v>
      </c>
      <c r="T2766" s="10" t="s">
        <v>54</v>
      </c>
    </row>
    <row r="2767" spans="1:20" ht="14.5" x14ac:dyDescent="0.35">
      <c r="A2767" s="10" t="s">
        <v>18237</v>
      </c>
      <c r="B2767" s="10" t="str">
        <f>"9781442208377"</f>
        <v>9781442208377</v>
      </c>
      <c r="C2767" s="10" t="str">
        <f>"9781442208384"</f>
        <v>9781442208384</v>
      </c>
      <c r="D2767" s="10" t="s">
        <v>15207</v>
      </c>
      <c r="E2767" s="10" t="s">
        <v>15187</v>
      </c>
      <c r="F2767" s="10" t="s">
        <v>9754</v>
      </c>
      <c r="G2767" s="10" t="s">
        <v>6317</v>
      </c>
      <c r="H2767" s="11">
        <v>40679</v>
      </c>
      <c r="I2767" s="10">
        <v>2011</v>
      </c>
      <c r="J2767" s="10" t="s">
        <v>15187</v>
      </c>
      <c r="K2767" s="10">
        <v>559</v>
      </c>
      <c r="L2767" s="10" t="s">
        <v>18238</v>
      </c>
      <c r="M2767" s="10">
        <v>1</v>
      </c>
      <c r="N2767" s="10"/>
      <c r="O2767" s="10"/>
      <c r="P2767" s="10" t="s">
        <v>18239</v>
      </c>
      <c r="Q2767" s="10">
        <v>371.27100000000002</v>
      </c>
      <c r="R2767" s="10" t="s">
        <v>18240</v>
      </c>
      <c r="S2767" s="10" t="s">
        <v>53</v>
      </c>
      <c r="T2767" s="10" t="s">
        <v>54</v>
      </c>
    </row>
    <row r="2768" spans="1:20" ht="14.5" x14ac:dyDescent="0.35">
      <c r="A2768" s="10" t="s">
        <v>18241</v>
      </c>
      <c r="B2768" s="10" t="str">
        <f>"9789085550358"</f>
        <v>9789085550358</v>
      </c>
      <c r="C2768" s="10" t="str">
        <f>"9789048514694"</f>
        <v>9789048514694</v>
      </c>
      <c r="D2768" s="10" t="s">
        <v>13287</v>
      </c>
      <c r="E2768" s="10" t="s">
        <v>13287</v>
      </c>
      <c r="F2768" s="10" t="s">
        <v>1818</v>
      </c>
      <c r="G2768" s="10" t="s">
        <v>9233</v>
      </c>
      <c r="H2768" s="11">
        <v>40179</v>
      </c>
      <c r="I2768" s="10">
        <v>2010</v>
      </c>
      <c r="J2768" s="10" t="s">
        <v>13513</v>
      </c>
      <c r="K2768" s="10">
        <v>281</v>
      </c>
      <c r="L2768" s="10" t="s">
        <v>18242</v>
      </c>
      <c r="M2768" s="10">
        <v>1</v>
      </c>
      <c r="N2768" s="10" t="s">
        <v>18243</v>
      </c>
      <c r="O2768" s="10"/>
      <c r="P2768" s="10" t="s">
        <v>18244</v>
      </c>
      <c r="Q2768" s="10">
        <v>658.31110000000001</v>
      </c>
      <c r="R2768" s="10" t="s">
        <v>18245</v>
      </c>
      <c r="S2768" s="10" t="s">
        <v>53</v>
      </c>
      <c r="T2768" s="10" t="s">
        <v>8755</v>
      </c>
    </row>
    <row r="2769" spans="1:20" ht="14.5" x14ac:dyDescent="0.35">
      <c r="A2769" s="10" t="s">
        <v>18246</v>
      </c>
      <c r="B2769" s="10" t="str">
        <f>"9780838910801"</f>
        <v>9780838910801</v>
      </c>
      <c r="C2769" s="10" t="str">
        <f>"9780838992463"</f>
        <v>9780838992463</v>
      </c>
      <c r="D2769" s="10" t="s">
        <v>15366</v>
      </c>
      <c r="E2769" s="10" t="s">
        <v>382</v>
      </c>
      <c r="F2769" s="10" t="s">
        <v>324</v>
      </c>
      <c r="G2769" s="10" t="s">
        <v>6317</v>
      </c>
      <c r="H2769" s="11">
        <v>40483</v>
      </c>
      <c r="I2769" s="10">
        <v>2011</v>
      </c>
      <c r="J2769" s="10" t="s">
        <v>382</v>
      </c>
      <c r="K2769" s="10">
        <v>134</v>
      </c>
      <c r="L2769" s="10" t="s">
        <v>18247</v>
      </c>
      <c r="M2769" s="10">
        <v>1</v>
      </c>
      <c r="N2769" s="10"/>
      <c r="O2769" s="10"/>
      <c r="P2769" s="10" t="s">
        <v>15368</v>
      </c>
      <c r="Q2769" s="10">
        <v>20</v>
      </c>
      <c r="R2769" s="10" t="s">
        <v>18248</v>
      </c>
      <c r="S2769" s="10" t="s">
        <v>53</v>
      </c>
      <c r="T2769" s="10" t="s">
        <v>10302</v>
      </c>
    </row>
    <row r="2770" spans="1:20" ht="14.5" x14ac:dyDescent="0.35">
      <c r="A2770" s="10" t="s">
        <v>18249</v>
      </c>
      <c r="B2770" s="10" t="str">
        <f>"9789622097575"</f>
        <v>9789622097575</v>
      </c>
      <c r="C2770" s="10" t="str">
        <f>"9789882201347"</f>
        <v>9789882201347</v>
      </c>
      <c r="D2770" s="10" t="s">
        <v>18250</v>
      </c>
      <c r="E2770" s="10" t="s">
        <v>18250</v>
      </c>
      <c r="F2770" s="10" t="s">
        <v>535</v>
      </c>
      <c r="G2770" s="10" t="s">
        <v>18251</v>
      </c>
      <c r="H2770" s="11">
        <v>38596</v>
      </c>
      <c r="I2770" s="10">
        <v>2005</v>
      </c>
      <c r="J2770" s="10" t="s">
        <v>18250</v>
      </c>
      <c r="K2770" s="10">
        <v>189</v>
      </c>
      <c r="L2770" s="10" t="s">
        <v>18252</v>
      </c>
      <c r="M2770" s="10">
        <v>1</v>
      </c>
      <c r="N2770" s="10"/>
      <c r="O2770" s="10"/>
      <c r="P2770" s="10" t="s">
        <v>18253</v>
      </c>
      <c r="Q2770" s="10">
        <v>371.90460951249997</v>
      </c>
      <c r="R2770" s="10" t="s">
        <v>18254</v>
      </c>
      <c r="S2770" s="10" t="s">
        <v>53</v>
      </c>
      <c r="T2770" s="10" t="s">
        <v>54</v>
      </c>
    </row>
    <row r="2771" spans="1:20" ht="14.5" x14ac:dyDescent="0.35">
      <c r="A2771" s="10" t="s">
        <v>18255</v>
      </c>
      <c r="B2771" s="10" t="str">
        <f>"9789622098237"</f>
        <v>9789622098237</v>
      </c>
      <c r="C2771" s="10" t="str">
        <f>"9789888052387"</f>
        <v>9789888052387</v>
      </c>
      <c r="D2771" s="10" t="s">
        <v>18250</v>
      </c>
      <c r="E2771" s="10" t="s">
        <v>18250</v>
      </c>
      <c r="F2771" s="10" t="s">
        <v>535</v>
      </c>
      <c r="G2771" s="10" t="s">
        <v>18251</v>
      </c>
      <c r="H2771" s="11">
        <v>39063</v>
      </c>
      <c r="I2771" s="10">
        <v>2006</v>
      </c>
      <c r="J2771" s="10" t="s">
        <v>18250</v>
      </c>
      <c r="K2771" s="10">
        <v>191</v>
      </c>
      <c r="L2771" s="10" t="s">
        <v>18256</v>
      </c>
      <c r="M2771" s="10">
        <v>1</v>
      </c>
      <c r="N2771" s="10"/>
      <c r="O2771" s="10"/>
      <c r="P2771" s="10" t="s">
        <v>18257</v>
      </c>
      <c r="Q2771" s="10">
        <v>378.167095125</v>
      </c>
      <c r="R2771" s="10" t="s">
        <v>18258</v>
      </c>
      <c r="S2771" s="10" t="s">
        <v>53</v>
      </c>
      <c r="T2771" s="10" t="s">
        <v>54</v>
      </c>
    </row>
    <row r="2772" spans="1:20" ht="14.5" x14ac:dyDescent="0.35">
      <c r="A2772" s="10" t="s">
        <v>18259</v>
      </c>
      <c r="B2772" s="10" t="str">
        <f>"9789888028016"</f>
        <v>9789888028016</v>
      </c>
      <c r="C2772" s="10" t="str">
        <f>"9789882205451"</f>
        <v>9789882205451</v>
      </c>
      <c r="D2772" s="10" t="s">
        <v>18250</v>
      </c>
      <c r="E2772" s="10" t="s">
        <v>18250</v>
      </c>
      <c r="F2772" s="10" t="s">
        <v>535</v>
      </c>
      <c r="G2772" s="10" t="s">
        <v>18251</v>
      </c>
      <c r="H2772" s="11">
        <v>40210</v>
      </c>
      <c r="I2772" s="10">
        <v>2010</v>
      </c>
      <c r="J2772" s="10" t="s">
        <v>18250</v>
      </c>
      <c r="K2772" s="10">
        <v>229</v>
      </c>
      <c r="L2772" s="10" t="s">
        <v>18260</v>
      </c>
      <c r="M2772" s="10">
        <v>1</v>
      </c>
      <c r="N2772" s="10"/>
      <c r="O2772" s="10"/>
      <c r="P2772" s="10" t="s">
        <v>18261</v>
      </c>
      <c r="Q2772" s="10">
        <v>375.00609509999998</v>
      </c>
      <c r="R2772" s="10" t="s">
        <v>18262</v>
      </c>
      <c r="S2772" s="10" t="s">
        <v>53</v>
      </c>
      <c r="T2772" s="10" t="s">
        <v>54</v>
      </c>
    </row>
    <row r="2773" spans="1:20" ht="14.5" x14ac:dyDescent="0.35">
      <c r="A2773" s="10" t="s">
        <v>18263</v>
      </c>
      <c r="B2773" s="10" t="str">
        <f>"9789622097285"</f>
        <v>9789622097285</v>
      </c>
      <c r="C2773" s="10" t="str">
        <f>"9789882201125"</f>
        <v>9789882201125</v>
      </c>
      <c r="D2773" s="10" t="s">
        <v>18250</v>
      </c>
      <c r="E2773" s="10" t="s">
        <v>18250</v>
      </c>
      <c r="F2773" s="10" t="s">
        <v>535</v>
      </c>
      <c r="G2773" s="10" t="s">
        <v>18251</v>
      </c>
      <c r="H2773" s="11">
        <v>38412</v>
      </c>
      <c r="I2773" s="10">
        <v>2005</v>
      </c>
      <c r="J2773" s="10" t="s">
        <v>18250</v>
      </c>
      <c r="K2773" s="10">
        <v>305</v>
      </c>
      <c r="L2773" s="10" t="s">
        <v>18264</v>
      </c>
      <c r="M2773" s="10">
        <v>1</v>
      </c>
      <c r="N2773" s="10"/>
      <c r="O2773" s="10"/>
      <c r="P2773" s="10" t="s">
        <v>18265</v>
      </c>
      <c r="Q2773" s="10">
        <v>370.11500000000001</v>
      </c>
      <c r="R2773" s="10" t="s">
        <v>14636</v>
      </c>
      <c r="S2773" s="10" t="s">
        <v>53</v>
      </c>
      <c r="T2773" s="10" t="s">
        <v>54</v>
      </c>
    </row>
    <row r="2774" spans="1:20" ht="14.5" x14ac:dyDescent="0.35">
      <c r="A2774" s="10" t="s">
        <v>18266</v>
      </c>
      <c r="B2774" s="10" t="str">
        <f>"9789622098886"</f>
        <v>9789622098886</v>
      </c>
      <c r="C2774" s="10" t="str">
        <f>"9789888052110"</f>
        <v>9789888052110</v>
      </c>
      <c r="D2774" s="10" t="s">
        <v>18250</v>
      </c>
      <c r="E2774" s="10" t="s">
        <v>18250</v>
      </c>
      <c r="F2774" s="10" t="s">
        <v>535</v>
      </c>
      <c r="G2774" s="10" t="s">
        <v>18251</v>
      </c>
      <c r="H2774" s="11">
        <v>39455</v>
      </c>
      <c r="I2774" s="10">
        <v>2008</v>
      </c>
      <c r="J2774" s="10" t="s">
        <v>18250</v>
      </c>
      <c r="K2774" s="10">
        <v>221</v>
      </c>
      <c r="L2774" s="10" t="s">
        <v>18267</v>
      </c>
      <c r="M2774" s="10">
        <v>1</v>
      </c>
      <c r="N2774" s="10" t="s">
        <v>18268</v>
      </c>
      <c r="O2774" s="10"/>
      <c r="P2774" s="10" t="s">
        <v>18269</v>
      </c>
      <c r="Q2774" s="10" t="s">
        <v>18270</v>
      </c>
      <c r="R2774" s="10" t="s">
        <v>8205</v>
      </c>
      <c r="S2774" s="10" t="s">
        <v>53</v>
      </c>
      <c r="T2774" s="10" t="s">
        <v>54</v>
      </c>
    </row>
    <row r="2775" spans="1:20" ht="14.5" x14ac:dyDescent="0.35">
      <c r="A2775" s="10" t="s">
        <v>18271</v>
      </c>
      <c r="B2775" s="10" t="str">
        <f>"9789888028467"</f>
        <v>9789888028467</v>
      </c>
      <c r="C2775" s="10" t="str">
        <f>"9789882206199"</f>
        <v>9789882206199</v>
      </c>
      <c r="D2775" s="10" t="s">
        <v>18250</v>
      </c>
      <c r="E2775" s="10" t="s">
        <v>18250</v>
      </c>
      <c r="F2775" s="10" t="s">
        <v>535</v>
      </c>
      <c r="G2775" s="10" t="s">
        <v>18251</v>
      </c>
      <c r="H2775" s="11">
        <v>40360</v>
      </c>
      <c r="I2775" s="10">
        <v>2010</v>
      </c>
      <c r="J2775" s="10" t="s">
        <v>18250</v>
      </c>
      <c r="K2775" s="10">
        <v>190</v>
      </c>
      <c r="L2775" s="10" t="s">
        <v>18272</v>
      </c>
      <c r="M2775" s="10">
        <v>1</v>
      </c>
      <c r="N2775" s="10"/>
      <c r="O2775" s="10"/>
      <c r="P2775" s="10" t="s">
        <v>18273</v>
      </c>
      <c r="Q2775" s="10">
        <v>378.103095</v>
      </c>
      <c r="R2775" s="10" t="s">
        <v>18274</v>
      </c>
      <c r="S2775" s="10" t="s">
        <v>53</v>
      </c>
      <c r="T2775" s="10" t="s">
        <v>54</v>
      </c>
    </row>
    <row r="2776" spans="1:20" ht="14.5" x14ac:dyDescent="0.35">
      <c r="A2776" s="10" t="s">
        <v>18275</v>
      </c>
      <c r="B2776" s="10" t="str">
        <f>"9789622099586"</f>
        <v>9789622099586</v>
      </c>
      <c r="C2776" s="10" t="str">
        <f>"9789888052073"</f>
        <v>9789888052073</v>
      </c>
      <c r="D2776" s="10" t="s">
        <v>18250</v>
      </c>
      <c r="E2776" s="10" t="s">
        <v>18250</v>
      </c>
      <c r="F2776" s="10" t="s">
        <v>535</v>
      </c>
      <c r="G2776" s="10" t="s">
        <v>18251</v>
      </c>
      <c r="H2776" s="11">
        <v>39873</v>
      </c>
      <c r="I2776" s="10">
        <v>2009</v>
      </c>
      <c r="J2776" s="10" t="s">
        <v>18250</v>
      </c>
      <c r="K2776" s="10">
        <v>177</v>
      </c>
      <c r="L2776" s="10" t="s">
        <v>18276</v>
      </c>
      <c r="M2776" s="10">
        <v>1</v>
      </c>
      <c r="N2776" s="10"/>
      <c r="O2776" s="10"/>
      <c r="P2776" s="10" t="s">
        <v>18277</v>
      </c>
      <c r="Q2776" s="10">
        <v>370.11750959</v>
      </c>
      <c r="R2776" s="10" t="s">
        <v>18278</v>
      </c>
      <c r="S2776" s="10" t="s">
        <v>53</v>
      </c>
      <c r="T2776" s="10" t="s">
        <v>54</v>
      </c>
    </row>
    <row r="2777" spans="1:20" ht="14.5" x14ac:dyDescent="0.35">
      <c r="A2777" s="10" t="s">
        <v>18279</v>
      </c>
      <c r="B2777" s="10" t="str">
        <f>"9789888028450"</f>
        <v>9789888028450</v>
      </c>
      <c r="C2777" s="10" t="str">
        <f>"9789882206151"</f>
        <v>9789882206151</v>
      </c>
      <c r="D2777" s="10" t="s">
        <v>18250</v>
      </c>
      <c r="E2777" s="10" t="s">
        <v>18250</v>
      </c>
      <c r="F2777" s="10" t="s">
        <v>535</v>
      </c>
      <c r="G2777" s="10" t="s">
        <v>18251</v>
      </c>
      <c r="H2777" s="11">
        <v>40391</v>
      </c>
      <c r="I2777" s="10">
        <v>2010</v>
      </c>
      <c r="J2777" s="10" t="s">
        <v>18250</v>
      </c>
      <c r="K2777" s="10">
        <v>214</v>
      </c>
      <c r="L2777" s="10" t="s">
        <v>18280</v>
      </c>
      <c r="M2777" s="10">
        <v>1</v>
      </c>
      <c r="N2777" s="10"/>
      <c r="O2777" s="10"/>
      <c r="P2777" s="10" t="s">
        <v>18281</v>
      </c>
      <c r="Q2777" s="10">
        <v>370</v>
      </c>
      <c r="R2777" s="10" t="s">
        <v>18282</v>
      </c>
      <c r="S2777" s="10" t="s">
        <v>53</v>
      </c>
      <c r="T2777" s="10" t="s">
        <v>54</v>
      </c>
    </row>
    <row r="2778" spans="1:20" ht="14.5" x14ac:dyDescent="0.35">
      <c r="A2778" s="10" t="s">
        <v>10341</v>
      </c>
      <c r="B2778" s="10" t="str">
        <f>"9789622099579"</f>
        <v>9789622099579</v>
      </c>
      <c r="C2778" s="10" t="str">
        <f>"9789888052059"</f>
        <v>9789888052059</v>
      </c>
      <c r="D2778" s="10" t="s">
        <v>18250</v>
      </c>
      <c r="E2778" s="10" t="s">
        <v>18250</v>
      </c>
      <c r="F2778" s="10" t="s">
        <v>535</v>
      </c>
      <c r="G2778" s="10" t="s">
        <v>18251</v>
      </c>
      <c r="H2778" s="11">
        <v>39698</v>
      </c>
      <c r="I2778" s="10">
        <v>2008</v>
      </c>
      <c r="J2778" s="10" t="s">
        <v>18250</v>
      </c>
      <c r="K2778" s="10">
        <v>221</v>
      </c>
      <c r="L2778" s="10" t="s">
        <v>18283</v>
      </c>
      <c r="M2778" s="10">
        <v>1</v>
      </c>
      <c r="N2778" s="10" t="s">
        <v>18268</v>
      </c>
      <c r="O2778" s="10"/>
      <c r="P2778" s="10" t="s">
        <v>18284</v>
      </c>
      <c r="Q2778" s="10">
        <v>371.26</v>
      </c>
      <c r="R2778" s="10" t="s">
        <v>18285</v>
      </c>
      <c r="S2778" s="10" t="s">
        <v>53</v>
      </c>
      <c r="T2778" s="10" t="s">
        <v>54</v>
      </c>
    </row>
    <row r="2779" spans="1:20" ht="14.5" x14ac:dyDescent="0.35">
      <c r="A2779" s="10" t="s">
        <v>18286</v>
      </c>
      <c r="B2779" s="10" t="str">
        <f>"9789622095182"</f>
        <v>9789622095182</v>
      </c>
      <c r="C2779" s="10" t="str">
        <f>"9789882201224"</f>
        <v>9789882201224</v>
      </c>
      <c r="D2779" s="10" t="s">
        <v>18250</v>
      </c>
      <c r="E2779" s="10" t="s">
        <v>18250</v>
      </c>
      <c r="F2779" s="10" t="s">
        <v>535</v>
      </c>
      <c r="G2779" s="10" t="s">
        <v>18251</v>
      </c>
      <c r="H2779" s="11">
        <v>36831</v>
      </c>
      <c r="I2779" s="10">
        <v>2000</v>
      </c>
      <c r="J2779" s="10" t="s">
        <v>18250</v>
      </c>
      <c r="K2779" s="10">
        <v>209</v>
      </c>
      <c r="L2779" s="10" t="s">
        <v>18287</v>
      </c>
      <c r="M2779" s="10">
        <v>1</v>
      </c>
      <c r="N2779" s="10"/>
      <c r="O2779" s="10"/>
      <c r="P2779" s="10" t="s">
        <v>18288</v>
      </c>
      <c r="Q2779" s="10">
        <v>378.00920000000002</v>
      </c>
      <c r="R2779" s="10" t="s">
        <v>18289</v>
      </c>
      <c r="S2779" s="10" t="s">
        <v>53</v>
      </c>
      <c r="T2779" s="10" t="s">
        <v>54</v>
      </c>
    </row>
    <row r="2780" spans="1:20" ht="14.5" x14ac:dyDescent="0.35">
      <c r="A2780" s="10" t="s">
        <v>18290</v>
      </c>
      <c r="B2780" s="10" t="str">
        <f>"9789622099364"</f>
        <v>9789622099364</v>
      </c>
      <c r="C2780" s="10" t="str">
        <f>"9789888053032"</f>
        <v>9789888053032</v>
      </c>
      <c r="D2780" s="10" t="s">
        <v>18250</v>
      </c>
      <c r="E2780" s="10" t="s">
        <v>18250</v>
      </c>
      <c r="F2780" s="10" t="s">
        <v>535</v>
      </c>
      <c r="G2780" s="10" t="s">
        <v>18251</v>
      </c>
      <c r="H2780" s="11">
        <v>39880</v>
      </c>
      <c r="I2780" s="10">
        <v>2009</v>
      </c>
      <c r="J2780" s="10" t="s">
        <v>18250</v>
      </c>
      <c r="K2780" s="10">
        <v>277</v>
      </c>
      <c r="L2780" s="10" t="s">
        <v>18291</v>
      </c>
      <c r="M2780" s="10">
        <v>1</v>
      </c>
      <c r="N2780" s="10" t="s">
        <v>18292</v>
      </c>
      <c r="O2780" s="10"/>
      <c r="P2780" s="10" t="s">
        <v>18293</v>
      </c>
      <c r="Q2780" s="10" t="s">
        <v>18294</v>
      </c>
      <c r="R2780" s="10" t="s">
        <v>18295</v>
      </c>
      <c r="S2780" s="10" t="s">
        <v>53</v>
      </c>
      <c r="T2780" s="10" t="s">
        <v>54</v>
      </c>
    </row>
    <row r="2781" spans="1:20" ht="14.5" x14ac:dyDescent="0.35">
      <c r="A2781" s="10" t="s">
        <v>18296</v>
      </c>
      <c r="B2781" s="10" t="str">
        <f>"9789622098725"</f>
        <v>9789622098725</v>
      </c>
      <c r="C2781" s="10" t="str">
        <f>"9789888052493"</f>
        <v>9789888052493</v>
      </c>
      <c r="D2781" s="10" t="s">
        <v>18250</v>
      </c>
      <c r="E2781" s="10" t="s">
        <v>18250</v>
      </c>
      <c r="F2781" s="10" t="s">
        <v>535</v>
      </c>
      <c r="G2781" s="10" t="s">
        <v>18251</v>
      </c>
      <c r="H2781" s="11">
        <v>39356</v>
      </c>
      <c r="I2781" s="10">
        <v>2007</v>
      </c>
      <c r="J2781" s="10" t="s">
        <v>18250</v>
      </c>
      <c r="K2781" s="10">
        <v>521</v>
      </c>
      <c r="L2781" s="10" t="s">
        <v>18297</v>
      </c>
      <c r="M2781" s="10">
        <v>1</v>
      </c>
      <c r="N2781" s="10"/>
      <c r="O2781" s="10"/>
      <c r="P2781" s="10" t="s">
        <v>18298</v>
      </c>
      <c r="Q2781" s="10">
        <v>371.90460951</v>
      </c>
      <c r="R2781" s="10" t="s">
        <v>18299</v>
      </c>
      <c r="S2781" s="10" t="s">
        <v>53</v>
      </c>
      <c r="T2781" s="10" t="s">
        <v>54</v>
      </c>
    </row>
    <row r="2782" spans="1:20" ht="14.5" x14ac:dyDescent="0.35">
      <c r="A2782" s="10" t="s">
        <v>18300</v>
      </c>
      <c r="B2782" s="10" t="str">
        <f>"9781843109648"</f>
        <v>9781843109648</v>
      </c>
      <c r="C2782" s="10" t="str">
        <f>"9780857003867"</f>
        <v>9780857003867</v>
      </c>
      <c r="D2782" s="10" t="s">
        <v>10516</v>
      </c>
      <c r="E2782" s="10" t="s">
        <v>10516</v>
      </c>
      <c r="F2782" s="10" t="s">
        <v>139</v>
      </c>
      <c r="G2782" s="10" t="s">
        <v>6352</v>
      </c>
      <c r="H2782" s="11">
        <v>40344</v>
      </c>
      <c r="I2782" s="10">
        <v>2010</v>
      </c>
      <c r="J2782" s="10" t="s">
        <v>10516</v>
      </c>
      <c r="K2782" s="10">
        <v>178</v>
      </c>
      <c r="L2782" s="10" t="s">
        <v>18301</v>
      </c>
      <c r="M2782" s="10">
        <v>1</v>
      </c>
      <c r="N2782" s="10"/>
      <c r="O2782" s="10"/>
      <c r="P2782" s="10" t="s">
        <v>18302</v>
      </c>
      <c r="Q2782" s="10">
        <v>371.94</v>
      </c>
      <c r="R2782" s="10" t="s">
        <v>18303</v>
      </c>
      <c r="S2782" s="10" t="s">
        <v>53</v>
      </c>
      <c r="T2782" s="10" t="s">
        <v>54</v>
      </c>
    </row>
    <row r="2783" spans="1:20" ht="14.5" x14ac:dyDescent="0.35">
      <c r="A2783" s="10" t="s">
        <v>18304</v>
      </c>
      <c r="B2783" s="10" t="str">
        <f>"9781849051316"</f>
        <v>9781849051316</v>
      </c>
      <c r="C2783" s="10" t="str">
        <f>"9780857002259"</f>
        <v>9780857002259</v>
      </c>
      <c r="D2783" s="10" t="s">
        <v>10516</v>
      </c>
      <c r="E2783" s="10" t="s">
        <v>10516</v>
      </c>
      <c r="F2783" s="10" t="s">
        <v>139</v>
      </c>
      <c r="G2783" s="10" t="s">
        <v>6352</v>
      </c>
      <c r="H2783" s="11">
        <v>40466</v>
      </c>
      <c r="I2783" s="10">
        <v>2010</v>
      </c>
      <c r="J2783" s="10" t="s">
        <v>10516</v>
      </c>
      <c r="K2783" s="10">
        <v>178</v>
      </c>
      <c r="L2783" s="10" t="s">
        <v>18305</v>
      </c>
      <c r="M2783" s="10">
        <v>1</v>
      </c>
      <c r="N2783" s="10"/>
      <c r="O2783" s="10"/>
      <c r="P2783" s="10" t="s">
        <v>18306</v>
      </c>
      <c r="Q2783" s="10">
        <v>362.19685888999999</v>
      </c>
      <c r="R2783" s="10" t="s">
        <v>18307</v>
      </c>
      <c r="S2783" s="10" t="s">
        <v>53</v>
      </c>
      <c r="T2783" s="10" t="s">
        <v>18308</v>
      </c>
    </row>
    <row r="2784" spans="1:20" ht="14.5" x14ac:dyDescent="0.35">
      <c r="A2784" s="10" t="s">
        <v>18309</v>
      </c>
      <c r="B2784" s="10" t="str">
        <f>"9781849050371"</f>
        <v>9781849050371</v>
      </c>
      <c r="C2784" s="10" t="str">
        <f>"9780857003706"</f>
        <v>9780857003706</v>
      </c>
      <c r="D2784" s="10" t="s">
        <v>10516</v>
      </c>
      <c r="E2784" s="10" t="s">
        <v>10516</v>
      </c>
      <c r="F2784" s="10" t="s">
        <v>139</v>
      </c>
      <c r="G2784" s="10" t="s">
        <v>6352</v>
      </c>
      <c r="H2784" s="11">
        <v>40252</v>
      </c>
      <c r="I2784" s="10">
        <v>2010</v>
      </c>
      <c r="J2784" s="10" t="s">
        <v>10516</v>
      </c>
      <c r="K2784" s="10">
        <v>226</v>
      </c>
      <c r="L2784" s="10" t="s">
        <v>18310</v>
      </c>
      <c r="M2784" s="10">
        <v>1</v>
      </c>
      <c r="N2784" s="10"/>
      <c r="O2784" s="10"/>
      <c r="P2784" s="10" t="s">
        <v>18311</v>
      </c>
      <c r="Q2784" s="10"/>
      <c r="R2784" s="10" t="s">
        <v>18312</v>
      </c>
      <c r="S2784" s="10" t="s">
        <v>53</v>
      </c>
      <c r="T2784" s="10" t="s">
        <v>6660</v>
      </c>
    </row>
    <row r="2785" spans="1:20" ht="14.5" x14ac:dyDescent="0.35">
      <c r="A2785" s="10" t="s">
        <v>18313</v>
      </c>
      <c r="B2785" s="10" t="str">
        <f>"9781849058377"</f>
        <v>9781849058377</v>
      </c>
      <c r="C2785" s="10" t="str">
        <f>"9780857003324"</f>
        <v>9780857003324</v>
      </c>
      <c r="D2785" s="10" t="s">
        <v>10516</v>
      </c>
      <c r="E2785" s="10" t="s">
        <v>10516</v>
      </c>
      <c r="F2785" s="10" t="s">
        <v>139</v>
      </c>
      <c r="G2785" s="10" t="s">
        <v>6352</v>
      </c>
      <c r="H2785" s="11">
        <v>40497</v>
      </c>
      <c r="I2785" s="10">
        <v>2011</v>
      </c>
      <c r="J2785" s="10" t="s">
        <v>10516</v>
      </c>
      <c r="K2785" s="10">
        <v>146</v>
      </c>
      <c r="L2785" s="10" t="s">
        <v>18314</v>
      </c>
      <c r="M2785" s="10">
        <v>1</v>
      </c>
      <c r="N2785" s="10"/>
      <c r="O2785" s="10"/>
      <c r="P2785" s="10" t="s">
        <v>18315</v>
      </c>
      <c r="Q2785" s="10">
        <v>371.94</v>
      </c>
      <c r="R2785" s="10" t="s">
        <v>18316</v>
      </c>
      <c r="S2785" s="10" t="s">
        <v>53</v>
      </c>
      <c r="T2785" s="10" t="s">
        <v>54</v>
      </c>
    </row>
    <row r="2786" spans="1:20" ht="14.5" x14ac:dyDescent="0.35">
      <c r="A2786" s="10" t="s">
        <v>18317</v>
      </c>
      <c r="B2786" s="10" t="str">
        <f>"9781849051569"</f>
        <v>9781849051569</v>
      </c>
      <c r="C2786" s="10" t="str">
        <f>"9780857003539"</f>
        <v>9780857003539</v>
      </c>
      <c r="D2786" s="10" t="s">
        <v>10516</v>
      </c>
      <c r="E2786" s="10" t="s">
        <v>10516</v>
      </c>
      <c r="F2786" s="10" t="s">
        <v>139</v>
      </c>
      <c r="G2786" s="10" t="s">
        <v>6352</v>
      </c>
      <c r="H2786" s="11">
        <v>40466</v>
      </c>
      <c r="I2786" s="10">
        <v>2011</v>
      </c>
      <c r="J2786" s="10" t="s">
        <v>10516</v>
      </c>
      <c r="K2786" s="10">
        <v>178</v>
      </c>
      <c r="L2786" s="10" t="s">
        <v>18318</v>
      </c>
      <c r="M2786" s="10">
        <v>1</v>
      </c>
      <c r="N2786" s="10"/>
      <c r="O2786" s="10"/>
      <c r="P2786" s="10" t="s">
        <v>18319</v>
      </c>
      <c r="Q2786" s="10">
        <v>371.94</v>
      </c>
      <c r="R2786" s="10" t="s">
        <v>18320</v>
      </c>
      <c r="S2786" s="10" t="s">
        <v>53</v>
      </c>
      <c r="T2786" s="10" t="s">
        <v>54</v>
      </c>
    </row>
    <row r="2787" spans="1:20" ht="14.5" x14ac:dyDescent="0.35">
      <c r="A2787" s="10" t="s">
        <v>18321</v>
      </c>
      <c r="B2787" s="10" t="str">
        <f>"9781843109174"</f>
        <v>9781843109174</v>
      </c>
      <c r="C2787" s="10" t="str">
        <f>"9780857002921"</f>
        <v>9780857002921</v>
      </c>
      <c r="D2787" s="10" t="s">
        <v>10516</v>
      </c>
      <c r="E2787" s="10" t="s">
        <v>10516</v>
      </c>
      <c r="F2787" s="10" t="s">
        <v>139</v>
      </c>
      <c r="G2787" s="10" t="s">
        <v>6352</v>
      </c>
      <c r="H2787" s="11">
        <v>40313</v>
      </c>
      <c r="I2787" s="10">
        <v>2010</v>
      </c>
      <c r="J2787" s="10" t="s">
        <v>10516</v>
      </c>
      <c r="K2787" s="10">
        <v>228</v>
      </c>
      <c r="L2787" s="10" t="s">
        <v>18322</v>
      </c>
      <c r="M2787" s="10">
        <v>1</v>
      </c>
      <c r="N2787" s="10"/>
      <c r="O2787" s="10"/>
      <c r="P2787" s="10" t="s">
        <v>18323</v>
      </c>
      <c r="Q2787" s="10">
        <v>371.92</v>
      </c>
      <c r="R2787" s="10" t="s">
        <v>18324</v>
      </c>
      <c r="S2787" s="10" t="s">
        <v>53</v>
      </c>
      <c r="T2787" s="10" t="s">
        <v>54</v>
      </c>
    </row>
    <row r="2788" spans="1:20" ht="14.5" x14ac:dyDescent="0.35">
      <c r="A2788" s="10" t="s">
        <v>18325</v>
      </c>
      <c r="B2788" s="10" t="str">
        <f>"9781849050579"</f>
        <v>9781849050579</v>
      </c>
      <c r="C2788" s="10" t="str">
        <f>"9780857002471"</f>
        <v>9780857002471</v>
      </c>
      <c r="D2788" s="10" t="s">
        <v>10516</v>
      </c>
      <c r="E2788" s="10" t="s">
        <v>10516</v>
      </c>
      <c r="F2788" s="10" t="s">
        <v>139</v>
      </c>
      <c r="G2788" s="10" t="s">
        <v>6352</v>
      </c>
      <c r="H2788" s="11">
        <v>40436</v>
      </c>
      <c r="I2788" s="10">
        <v>2011</v>
      </c>
      <c r="J2788" s="10" t="s">
        <v>10516</v>
      </c>
      <c r="K2788" s="10">
        <v>274</v>
      </c>
      <c r="L2788" s="10" t="s">
        <v>18326</v>
      </c>
      <c r="M2788" s="10">
        <v>1</v>
      </c>
      <c r="N2788" s="10"/>
      <c r="O2788" s="10"/>
      <c r="P2788" s="10" t="s">
        <v>18327</v>
      </c>
      <c r="Q2788" s="10">
        <v>371.9</v>
      </c>
      <c r="R2788" s="10" t="s">
        <v>17317</v>
      </c>
      <c r="S2788" s="10" t="s">
        <v>53</v>
      </c>
      <c r="T2788" s="10" t="s">
        <v>54</v>
      </c>
    </row>
    <row r="2789" spans="1:20" ht="14.5" x14ac:dyDescent="0.35">
      <c r="A2789" s="10" t="s">
        <v>18328</v>
      </c>
      <c r="B2789" s="10" t="str">
        <f>"9781843109990"</f>
        <v>9781843109990</v>
      </c>
      <c r="C2789" s="10" t="str">
        <f>"9780857003928"</f>
        <v>9780857003928</v>
      </c>
      <c r="D2789" s="10" t="s">
        <v>10516</v>
      </c>
      <c r="E2789" s="10" t="s">
        <v>10516</v>
      </c>
      <c r="F2789" s="10" t="s">
        <v>139</v>
      </c>
      <c r="G2789" s="10" t="s">
        <v>6352</v>
      </c>
      <c r="H2789" s="11">
        <v>40405</v>
      </c>
      <c r="I2789" s="10">
        <v>2011</v>
      </c>
      <c r="J2789" s="10" t="s">
        <v>10516</v>
      </c>
      <c r="K2789" s="10">
        <v>162</v>
      </c>
      <c r="L2789" s="10" t="s">
        <v>18329</v>
      </c>
      <c r="M2789" s="10">
        <v>1</v>
      </c>
      <c r="N2789" s="10"/>
      <c r="O2789" s="10"/>
      <c r="P2789" s="10" t="s">
        <v>18330</v>
      </c>
      <c r="Q2789" s="10">
        <v>371.904</v>
      </c>
      <c r="R2789" s="10" t="s">
        <v>18331</v>
      </c>
      <c r="S2789" s="10" t="s">
        <v>53</v>
      </c>
      <c r="T2789" s="10" t="s">
        <v>54</v>
      </c>
    </row>
    <row r="2790" spans="1:20" ht="14.5" x14ac:dyDescent="0.35">
      <c r="A2790" s="10" t="s">
        <v>18332</v>
      </c>
      <c r="B2790" s="10" t="str">
        <f>"9781849058094"</f>
        <v>9781849058094</v>
      </c>
      <c r="C2790" s="10" t="str">
        <f>"9780857003850"</f>
        <v>9780857003850</v>
      </c>
      <c r="D2790" s="10" t="s">
        <v>10516</v>
      </c>
      <c r="E2790" s="10" t="s">
        <v>10516</v>
      </c>
      <c r="F2790" s="10" t="s">
        <v>139</v>
      </c>
      <c r="G2790" s="10" t="s">
        <v>6352</v>
      </c>
      <c r="H2790" s="11">
        <v>40344</v>
      </c>
      <c r="I2790" s="10">
        <v>2010</v>
      </c>
      <c r="J2790" s="10" t="s">
        <v>10516</v>
      </c>
      <c r="K2790" s="10">
        <v>258</v>
      </c>
      <c r="L2790" s="10" t="s">
        <v>18333</v>
      </c>
      <c r="M2790" s="10">
        <v>1</v>
      </c>
      <c r="N2790" s="10"/>
      <c r="O2790" s="10"/>
      <c r="P2790" s="10" t="s">
        <v>18334</v>
      </c>
      <c r="Q2790" s="10" t="s">
        <v>8552</v>
      </c>
      <c r="R2790" s="10" t="s">
        <v>18335</v>
      </c>
      <c r="S2790" s="10" t="s">
        <v>53</v>
      </c>
      <c r="T2790" s="10" t="s">
        <v>10838</v>
      </c>
    </row>
    <row r="2791" spans="1:20" ht="14.5" x14ac:dyDescent="0.35">
      <c r="A2791" s="10" t="s">
        <v>18336</v>
      </c>
      <c r="B2791" s="10" t="str">
        <f>"9781598741087"</f>
        <v>9781598741087</v>
      </c>
      <c r="C2791" s="10" t="str">
        <f>"9781598747430"</f>
        <v>9781598747430</v>
      </c>
      <c r="D2791" s="10" t="s">
        <v>6350</v>
      </c>
      <c r="E2791" s="10" t="s">
        <v>6351</v>
      </c>
      <c r="F2791" s="10" t="s">
        <v>3967</v>
      </c>
      <c r="G2791" s="10" t="s">
        <v>6352</v>
      </c>
      <c r="H2791" s="11">
        <v>39233</v>
      </c>
      <c r="I2791" s="10">
        <v>2007</v>
      </c>
      <c r="J2791" s="10" t="s">
        <v>6353</v>
      </c>
      <c r="K2791" s="10">
        <v>149</v>
      </c>
      <c r="L2791" s="10" t="s">
        <v>18337</v>
      </c>
      <c r="M2791" s="10">
        <v>1</v>
      </c>
      <c r="N2791" s="10"/>
      <c r="O2791" s="10"/>
      <c r="P2791" s="10" t="s">
        <v>18338</v>
      </c>
      <c r="Q2791" s="10" t="s">
        <v>18339</v>
      </c>
      <c r="R2791" s="10" t="s">
        <v>18340</v>
      </c>
      <c r="S2791" s="10" t="s">
        <v>53</v>
      </c>
      <c r="T2791" s="10" t="s">
        <v>483</v>
      </c>
    </row>
    <row r="2792" spans="1:20" ht="14.5" x14ac:dyDescent="0.35">
      <c r="A2792" s="10" t="s">
        <v>18341</v>
      </c>
      <c r="B2792" s="10" t="str">
        <f>"9781598740264"</f>
        <v>9781598740264</v>
      </c>
      <c r="C2792" s="10" t="str">
        <f>"9781598747997"</f>
        <v>9781598747997</v>
      </c>
      <c r="D2792" s="10" t="s">
        <v>6350</v>
      </c>
      <c r="E2792" s="10" t="s">
        <v>6351</v>
      </c>
      <c r="F2792" s="10" t="s">
        <v>18342</v>
      </c>
      <c r="G2792" s="10" t="s">
        <v>6317</v>
      </c>
      <c r="H2792" s="11">
        <v>38701</v>
      </c>
      <c r="I2792" s="10">
        <v>2005</v>
      </c>
      <c r="J2792" s="10" t="s">
        <v>6353</v>
      </c>
      <c r="K2792" s="10">
        <v>326</v>
      </c>
      <c r="L2792" s="10" t="s">
        <v>18343</v>
      </c>
      <c r="M2792" s="10">
        <v>1</v>
      </c>
      <c r="N2792" s="10" t="s">
        <v>18344</v>
      </c>
      <c r="O2792" s="10"/>
      <c r="P2792" s="10" t="s">
        <v>18345</v>
      </c>
      <c r="Q2792" s="10">
        <v>378.00819999999999</v>
      </c>
      <c r="R2792" s="10" t="s">
        <v>18346</v>
      </c>
      <c r="S2792" s="10" t="s">
        <v>53</v>
      </c>
      <c r="T2792" s="10" t="s">
        <v>54</v>
      </c>
    </row>
    <row r="2793" spans="1:20" ht="14.5" x14ac:dyDescent="0.35">
      <c r="A2793" s="10" t="s">
        <v>18347</v>
      </c>
      <c r="B2793" s="10" t="str">
        <f>"9781598741162"</f>
        <v>9781598741162</v>
      </c>
      <c r="C2793" s="10" t="str">
        <f>"9781598747287"</f>
        <v>9781598747287</v>
      </c>
      <c r="D2793" s="10" t="s">
        <v>6350</v>
      </c>
      <c r="E2793" s="10" t="s">
        <v>6351</v>
      </c>
      <c r="F2793" s="10" t="s">
        <v>3967</v>
      </c>
      <c r="G2793" s="10" t="s">
        <v>6352</v>
      </c>
      <c r="H2793" s="11">
        <v>39217</v>
      </c>
      <c r="I2793" s="10">
        <v>2006</v>
      </c>
      <c r="J2793" s="10" t="s">
        <v>6353</v>
      </c>
      <c r="K2793" s="10">
        <v>489</v>
      </c>
      <c r="L2793" s="10" t="s">
        <v>18348</v>
      </c>
      <c r="M2793" s="10">
        <v>1</v>
      </c>
      <c r="N2793" s="10"/>
      <c r="O2793" s="10"/>
      <c r="P2793" s="10" t="s">
        <v>18349</v>
      </c>
      <c r="Q2793" s="10" t="s">
        <v>18350</v>
      </c>
      <c r="R2793" s="10" t="s">
        <v>18351</v>
      </c>
      <c r="S2793" s="10" t="s">
        <v>53</v>
      </c>
      <c r="T2793" s="10" t="s">
        <v>18352</v>
      </c>
    </row>
    <row r="2794" spans="1:20" ht="14.5" x14ac:dyDescent="0.35">
      <c r="A2794" s="10" t="s">
        <v>18353</v>
      </c>
      <c r="B2794" s="10" t="str">
        <f>"9781442208452"</f>
        <v>9781442208452</v>
      </c>
      <c r="C2794" s="10" t="str">
        <f>"9781442208469"</f>
        <v>9781442208469</v>
      </c>
      <c r="D2794" s="10" t="s">
        <v>15207</v>
      </c>
      <c r="E2794" s="10" t="s">
        <v>15187</v>
      </c>
      <c r="F2794" s="10" t="s">
        <v>9754</v>
      </c>
      <c r="G2794" s="10" t="s">
        <v>6317</v>
      </c>
      <c r="H2794" s="11">
        <v>40679</v>
      </c>
      <c r="I2794" s="10">
        <v>2011</v>
      </c>
      <c r="J2794" s="10" t="s">
        <v>15187</v>
      </c>
      <c r="K2794" s="10">
        <v>111</v>
      </c>
      <c r="L2794" s="10" t="s">
        <v>18354</v>
      </c>
      <c r="M2794" s="10">
        <v>4</v>
      </c>
      <c r="N2794" s="10"/>
      <c r="O2794" s="10"/>
      <c r="P2794" s="10" t="s">
        <v>18355</v>
      </c>
      <c r="Q2794" s="10" t="s">
        <v>18356</v>
      </c>
      <c r="R2794" s="10" t="s">
        <v>18357</v>
      </c>
      <c r="S2794" s="10" t="s">
        <v>53</v>
      </c>
      <c r="T2794" s="10" t="s">
        <v>54</v>
      </c>
    </row>
    <row r="2795" spans="1:20" ht="14.5" x14ac:dyDescent="0.35">
      <c r="A2795" s="10" t="s">
        <v>18358</v>
      </c>
      <c r="B2795" s="10" t="str">
        <f>"9780857246516"</f>
        <v>9780857246516</v>
      </c>
      <c r="C2795" s="10" t="str">
        <f>"9780857246523"</f>
        <v>9780857246523</v>
      </c>
      <c r="D2795" s="10" t="s">
        <v>8699</v>
      </c>
      <c r="E2795" s="10" t="s">
        <v>8699</v>
      </c>
      <c r="F2795" s="10" t="s">
        <v>559</v>
      </c>
      <c r="G2795" s="10" t="s">
        <v>6352</v>
      </c>
      <c r="H2795" s="11">
        <v>40561</v>
      </c>
      <c r="I2795" s="10">
        <v>2011</v>
      </c>
      <c r="J2795" s="10" t="s">
        <v>8699</v>
      </c>
      <c r="K2795" s="10">
        <v>302</v>
      </c>
      <c r="L2795" s="10" t="s">
        <v>18359</v>
      </c>
      <c r="M2795" s="10">
        <v>1</v>
      </c>
      <c r="N2795" s="10" t="s">
        <v>18360</v>
      </c>
      <c r="O2795" s="10">
        <v>2</v>
      </c>
      <c r="P2795" s="10" t="s">
        <v>18361</v>
      </c>
      <c r="Q2795" s="10">
        <v>378.10102849999998</v>
      </c>
      <c r="R2795" s="10" t="s">
        <v>18362</v>
      </c>
      <c r="S2795" s="10" t="s">
        <v>53</v>
      </c>
      <c r="T2795" s="10" t="s">
        <v>54</v>
      </c>
    </row>
    <row r="2796" spans="1:20" ht="14.5" x14ac:dyDescent="0.35">
      <c r="A2796" s="10" t="s">
        <v>18363</v>
      </c>
      <c r="B2796" s="10" t="str">
        <f>"9780857246493"</f>
        <v>9780857246493</v>
      </c>
      <c r="C2796" s="10" t="str">
        <f>"9780857246509"</f>
        <v>9780857246509</v>
      </c>
      <c r="D2796" s="10" t="s">
        <v>8699</v>
      </c>
      <c r="E2796" s="10" t="s">
        <v>8699</v>
      </c>
      <c r="F2796" s="10" t="s">
        <v>559</v>
      </c>
      <c r="G2796" s="10" t="s">
        <v>6352</v>
      </c>
      <c r="H2796" s="11">
        <v>40560</v>
      </c>
      <c r="I2796" s="10">
        <v>2011</v>
      </c>
      <c r="J2796" s="10" t="s">
        <v>8699</v>
      </c>
      <c r="K2796" s="10">
        <v>420</v>
      </c>
      <c r="L2796" s="10" t="s">
        <v>18364</v>
      </c>
      <c r="M2796" s="10">
        <v>1</v>
      </c>
      <c r="N2796" s="10" t="s">
        <v>18360</v>
      </c>
      <c r="O2796" s="10">
        <v>1</v>
      </c>
      <c r="P2796" s="10" t="s">
        <v>18365</v>
      </c>
      <c r="Q2796" s="10">
        <v>371.7110285</v>
      </c>
      <c r="R2796" s="10" t="s">
        <v>18366</v>
      </c>
      <c r="S2796" s="10" t="s">
        <v>53</v>
      </c>
      <c r="T2796" s="10" t="s">
        <v>54</v>
      </c>
    </row>
    <row r="2797" spans="1:20" ht="14.5" x14ac:dyDescent="0.35">
      <c r="A2797" s="10" t="s">
        <v>18367</v>
      </c>
      <c r="B2797" s="10" t="str">
        <f>"9781589017290"</f>
        <v>9781589017290</v>
      </c>
      <c r="C2797" s="10" t="str">
        <f>"9781589017535"</f>
        <v>9781589017535</v>
      </c>
      <c r="D2797" s="10" t="s">
        <v>16084</v>
      </c>
      <c r="E2797" s="10" t="s">
        <v>16084</v>
      </c>
      <c r="F2797" s="10" t="s">
        <v>88</v>
      </c>
      <c r="G2797" s="10" t="s">
        <v>6317</v>
      </c>
      <c r="H2797" s="11">
        <v>40613</v>
      </c>
      <c r="I2797" s="10">
        <v>2015</v>
      </c>
      <c r="J2797" s="10" t="s">
        <v>16084</v>
      </c>
      <c r="K2797" s="10">
        <v>242</v>
      </c>
      <c r="L2797" s="10" t="s">
        <v>18368</v>
      </c>
      <c r="M2797" s="10">
        <v>1</v>
      </c>
      <c r="N2797" s="10" t="s">
        <v>16344</v>
      </c>
      <c r="O2797" s="10"/>
      <c r="P2797" s="10" t="s">
        <v>18369</v>
      </c>
      <c r="Q2797" s="10">
        <v>418.00709999999998</v>
      </c>
      <c r="R2797" s="10"/>
      <c r="S2797" s="10" t="s">
        <v>53</v>
      </c>
      <c r="T2797" s="10" t="s">
        <v>6616</v>
      </c>
    </row>
    <row r="2798" spans="1:20" ht="14.5" x14ac:dyDescent="0.35">
      <c r="A2798" s="10" t="s">
        <v>18370</v>
      </c>
      <c r="B2798" s="10" t="str">
        <f>"9780816665648"</f>
        <v>9780816665648</v>
      </c>
      <c r="C2798" s="10" t="str">
        <f>"9780816675135"</f>
        <v>9780816675135</v>
      </c>
      <c r="D2798" s="10" t="s">
        <v>11428</v>
      </c>
      <c r="E2798" s="10" t="s">
        <v>11428</v>
      </c>
      <c r="F2798" s="10" t="s">
        <v>2186</v>
      </c>
      <c r="G2798" s="10" t="s">
        <v>6317</v>
      </c>
      <c r="H2798" s="11">
        <v>40534</v>
      </c>
      <c r="I2798" s="10">
        <v>2011</v>
      </c>
      <c r="J2798" s="10" t="s">
        <v>11428</v>
      </c>
      <c r="K2798" s="10">
        <v>277</v>
      </c>
      <c r="L2798" s="10" t="s">
        <v>18371</v>
      </c>
      <c r="M2798" s="10">
        <v>1</v>
      </c>
      <c r="N2798" s="10"/>
      <c r="O2798" s="10"/>
      <c r="P2798" s="10" t="s">
        <v>18372</v>
      </c>
      <c r="Q2798" s="10" t="s">
        <v>18373</v>
      </c>
      <c r="R2798" s="10" t="s">
        <v>18374</v>
      </c>
      <c r="S2798" s="10" t="s">
        <v>53</v>
      </c>
      <c r="T2798" s="10" t="s">
        <v>54</v>
      </c>
    </row>
    <row r="2799" spans="1:20" ht="14.5" x14ac:dyDescent="0.35">
      <c r="A2799" s="10" t="s">
        <v>18375</v>
      </c>
      <c r="B2799" s="10" t="str">
        <f>"9781844452835"</f>
        <v>9781844452835</v>
      </c>
      <c r="C2799" s="10" t="str">
        <f>"9780857255495"</f>
        <v>9780857255495</v>
      </c>
      <c r="D2799" s="10" t="s">
        <v>9325</v>
      </c>
      <c r="E2799" s="10" t="s">
        <v>9326</v>
      </c>
      <c r="F2799" s="10" t="s">
        <v>139</v>
      </c>
      <c r="G2799" s="10" t="s">
        <v>6352</v>
      </c>
      <c r="H2799" s="11">
        <v>39934</v>
      </c>
      <c r="I2799" s="10">
        <v>2009</v>
      </c>
      <c r="J2799" s="10" t="s">
        <v>18376</v>
      </c>
      <c r="K2799" s="10">
        <v>120</v>
      </c>
      <c r="L2799" s="10" t="s">
        <v>18377</v>
      </c>
      <c r="M2799" s="10">
        <v>2</v>
      </c>
      <c r="N2799" s="10" t="s">
        <v>18378</v>
      </c>
      <c r="O2799" s="10"/>
      <c r="P2799" s="10" t="s">
        <v>18379</v>
      </c>
      <c r="Q2799" s="10">
        <v>372.21</v>
      </c>
      <c r="R2799" s="10" t="s">
        <v>18380</v>
      </c>
      <c r="S2799" s="10" t="s">
        <v>53</v>
      </c>
      <c r="T2799" s="10" t="s">
        <v>54</v>
      </c>
    </row>
    <row r="2800" spans="1:20" ht="14.5" x14ac:dyDescent="0.35">
      <c r="A2800" s="10" t="s">
        <v>18381</v>
      </c>
      <c r="B2800" s="10" t="str">
        <f>"9781844453504"</f>
        <v>9781844453504</v>
      </c>
      <c r="C2800" s="10" t="str">
        <f>"9780857255624"</f>
        <v>9780857255624</v>
      </c>
      <c r="D2800" s="10" t="s">
        <v>9325</v>
      </c>
      <c r="E2800" s="10" t="s">
        <v>9326</v>
      </c>
      <c r="F2800" s="10" t="s">
        <v>139</v>
      </c>
      <c r="G2800" s="10" t="s">
        <v>6352</v>
      </c>
      <c r="H2800" s="11">
        <v>40182</v>
      </c>
      <c r="I2800" s="10">
        <v>2010</v>
      </c>
      <c r="J2800" s="10" t="s">
        <v>18376</v>
      </c>
      <c r="K2800" s="10">
        <v>176</v>
      </c>
      <c r="L2800" s="10" t="s">
        <v>18382</v>
      </c>
      <c r="M2800" s="10">
        <v>1</v>
      </c>
      <c r="N2800" s="10" t="s">
        <v>18383</v>
      </c>
      <c r="O2800" s="10"/>
      <c r="P2800" s="10" t="s">
        <v>18384</v>
      </c>
      <c r="Q2800" s="10">
        <v>374.94099999999997</v>
      </c>
      <c r="R2800" s="10" t="s">
        <v>18385</v>
      </c>
      <c r="S2800" s="10" t="s">
        <v>53</v>
      </c>
      <c r="T2800" s="10" t="s">
        <v>54</v>
      </c>
    </row>
    <row r="2801" spans="1:20" ht="14.5" x14ac:dyDescent="0.35">
      <c r="A2801" s="10" t="s">
        <v>18386</v>
      </c>
      <c r="B2801" s="10" t="str">
        <f>"9781844453030"</f>
        <v>9781844453030</v>
      </c>
      <c r="C2801" s="10" t="str">
        <f>"9780857255914"</f>
        <v>9780857255914</v>
      </c>
      <c r="D2801" s="10" t="s">
        <v>9325</v>
      </c>
      <c r="E2801" s="10" t="s">
        <v>9326</v>
      </c>
      <c r="F2801" s="10" t="s">
        <v>139</v>
      </c>
      <c r="G2801" s="10" t="s">
        <v>6352</v>
      </c>
      <c r="H2801" s="11">
        <v>40330</v>
      </c>
      <c r="I2801" s="10">
        <v>2010</v>
      </c>
      <c r="J2801" s="10" t="s">
        <v>18376</v>
      </c>
      <c r="K2801" s="10">
        <v>142</v>
      </c>
      <c r="L2801" s="10" t="s">
        <v>18387</v>
      </c>
      <c r="M2801" s="10">
        <v>2</v>
      </c>
      <c r="N2801" s="10" t="s">
        <v>18383</v>
      </c>
      <c r="O2801" s="10"/>
      <c r="P2801" s="10" t="s">
        <v>18388</v>
      </c>
      <c r="Q2801" s="10">
        <v>378.12</v>
      </c>
      <c r="R2801" s="10" t="s">
        <v>18389</v>
      </c>
      <c r="S2801" s="10" t="s">
        <v>53</v>
      </c>
      <c r="T2801" s="10" t="s">
        <v>54</v>
      </c>
    </row>
    <row r="2802" spans="1:20" ht="14.5" x14ac:dyDescent="0.35">
      <c r="A2802" s="10" t="s">
        <v>18390</v>
      </c>
      <c r="B2802" s="10" t="str">
        <f>"9781844453771"</f>
        <v>9781844453771</v>
      </c>
      <c r="C2802" s="10" t="str">
        <f>"9780857255792"</f>
        <v>9780857255792</v>
      </c>
      <c r="D2802" s="10" t="s">
        <v>9325</v>
      </c>
      <c r="E2802" s="10" t="s">
        <v>9326</v>
      </c>
      <c r="F2802" s="10" t="s">
        <v>139</v>
      </c>
      <c r="G2802" s="10" t="s">
        <v>6352</v>
      </c>
      <c r="H2802" s="11">
        <v>40297</v>
      </c>
      <c r="I2802" s="10">
        <v>2010</v>
      </c>
      <c r="J2802" s="10" t="s">
        <v>18376</v>
      </c>
      <c r="K2802" s="10">
        <v>183</v>
      </c>
      <c r="L2802" s="10" t="s">
        <v>18391</v>
      </c>
      <c r="M2802" s="10">
        <v>1</v>
      </c>
      <c r="N2802" s="10" t="s">
        <v>18383</v>
      </c>
      <c r="O2802" s="10"/>
      <c r="P2802" s="10" t="s">
        <v>18392</v>
      </c>
      <c r="Q2802" s="10">
        <v>371.11020000000002</v>
      </c>
      <c r="R2802" s="10" t="s">
        <v>18393</v>
      </c>
      <c r="S2802" s="10" t="s">
        <v>53</v>
      </c>
      <c r="T2802" s="10" t="s">
        <v>54</v>
      </c>
    </row>
    <row r="2803" spans="1:20" ht="14.5" x14ac:dyDescent="0.35">
      <c r="A2803" s="10" t="s">
        <v>18394</v>
      </c>
      <c r="B2803" s="10" t="str">
        <f>"9781844451906"</f>
        <v>9781844451906</v>
      </c>
      <c r="C2803" s="10" t="str">
        <f>"9780857255464"</f>
        <v>9780857255464</v>
      </c>
      <c r="D2803" s="10" t="s">
        <v>9325</v>
      </c>
      <c r="E2803" s="10" t="s">
        <v>9326</v>
      </c>
      <c r="F2803" s="10" t="s">
        <v>139</v>
      </c>
      <c r="G2803" s="10" t="s">
        <v>6352</v>
      </c>
      <c r="H2803" s="11">
        <v>39821</v>
      </c>
      <c r="I2803" s="10">
        <v>2009</v>
      </c>
      <c r="J2803" s="10" t="s">
        <v>18376</v>
      </c>
      <c r="K2803" s="10">
        <v>121</v>
      </c>
      <c r="L2803" s="10" t="s">
        <v>18395</v>
      </c>
      <c r="M2803" s="10">
        <v>1</v>
      </c>
      <c r="N2803" s="10" t="s">
        <v>18396</v>
      </c>
      <c r="O2803" s="10"/>
      <c r="P2803" s="10" t="s">
        <v>18397</v>
      </c>
      <c r="Q2803" s="10">
        <v>25.524000000000001</v>
      </c>
      <c r="R2803" s="10" t="s">
        <v>18398</v>
      </c>
      <c r="S2803" s="10" t="s">
        <v>53</v>
      </c>
      <c r="T2803" s="10" t="s">
        <v>10302</v>
      </c>
    </row>
    <row r="2804" spans="1:20" ht="14.5" x14ac:dyDescent="0.35">
      <c r="A2804" s="10" t="s">
        <v>18399</v>
      </c>
      <c r="B2804" s="10" t="str">
        <f>"9781844452170"</f>
        <v>9781844452170</v>
      </c>
      <c r="C2804" s="10" t="str">
        <f>"9780857253408"</f>
        <v>9780857253408</v>
      </c>
      <c r="D2804" s="10" t="s">
        <v>9325</v>
      </c>
      <c r="E2804" s="10" t="s">
        <v>9326</v>
      </c>
      <c r="F2804" s="10" t="s">
        <v>139</v>
      </c>
      <c r="G2804" s="10" t="s">
        <v>6352</v>
      </c>
      <c r="H2804" s="11">
        <v>39966</v>
      </c>
      <c r="I2804" s="10">
        <v>2009</v>
      </c>
      <c r="J2804" s="10" t="s">
        <v>18376</v>
      </c>
      <c r="K2804" s="10">
        <v>157</v>
      </c>
      <c r="L2804" s="10" t="s">
        <v>18400</v>
      </c>
      <c r="M2804" s="10">
        <v>1</v>
      </c>
      <c r="N2804" s="10" t="s">
        <v>18383</v>
      </c>
      <c r="O2804" s="10"/>
      <c r="P2804" s="10" t="s">
        <v>18401</v>
      </c>
      <c r="Q2804" s="10">
        <v>733.07440999999994</v>
      </c>
      <c r="R2804" s="10" t="s">
        <v>18402</v>
      </c>
      <c r="S2804" s="10" t="s">
        <v>53</v>
      </c>
      <c r="T2804" s="10" t="s">
        <v>18403</v>
      </c>
    </row>
    <row r="2805" spans="1:20" ht="14.5" x14ac:dyDescent="0.35">
      <c r="A2805" s="10" t="s">
        <v>18404</v>
      </c>
      <c r="B2805" s="10" t="str">
        <f>"9789027250537"</f>
        <v>9789027250537</v>
      </c>
      <c r="C2805" s="10" t="str">
        <f>"9789027285652"</f>
        <v>9789027285652</v>
      </c>
      <c r="D2805" s="10" t="s">
        <v>17335</v>
      </c>
      <c r="E2805" s="10" t="s">
        <v>17336</v>
      </c>
      <c r="F2805" s="10" t="s">
        <v>1818</v>
      </c>
      <c r="G2805" s="10" t="s">
        <v>9233</v>
      </c>
      <c r="H2805" s="11">
        <v>35139</v>
      </c>
      <c r="I2805" s="10">
        <v>1996</v>
      </c>
      <c r="J2805" s="10" t="s">
        <v>17336</v>
      </c>
      <c r="K2805" s="10">
        <v>276</v>
      </c>
      <c r="L2805" s="10" t="s">
        <v>18405</v>
      </c>
      <c r="M2805" s="10">
        <v>1</v>
      </c>
      <c r="N2805" s="10" t="s">
        <v>18406</v>
      </c>
      <c r="O2805" s="10"/>
      <c r="P2805" s="10" t="s">
        <v>18407</v>
      </c>
      <c r="Q2805" s="10" t="s">
        <v>9141</v>
      </c>
      <c r="R2805" s="10" t="s">
        <v>18408</v>
      </c>
      <c r="S2805" s="10" t="s">
        <v>53</v>
      </c>
      <c r="T2805" s="10" t="s">
        <v>9143</v>
      </c>
    </row>
    <row r="2806" spans="1:20" ht="14.5" x14ac:dyDescent="0.35">
      <c r="A2806" s="10" t="s">
        <v>18409</v>
      </c>
      <c r="B2806" s="10" t="str">
        <f>"9780335242337"</f>
        <v>9780335242337</v>
      </c>
      <c r="C2806" s="10" t="str">
        <f>"9780335242344"</f>
        <v>9780335242344</v>
      </c>
      <c r="D2806" s="10" t="s">
        <v>10342</v>
      </c>
      <c r="E2806" s="10" t="s">
        <v>10343</v>
      </c>
      <c r="F2806" s="10" t="s">
        <v>10344</v>
      </c>
      <c r="G2806" s="10" t="s">
        <v>6352</v>
      </c>
      <c r="H2806" s="11">
        <v>40679</v>
      </c>
      <c r="I2806" s="10">
        <v>2011</v>
      </c>
      <c r="J2806" s="10" t="s">
        <v>10345</v>
      </c>
      <c r="K2806" s="10">
        <v>170</v>
      </c>
      <c r="L2806" s="10" t="s">
        <v>18410</v>
      </c>
      <c r="M2806" s="10">
        <v>1</v>
      </c>
      <c r="N2806" s="10" t="s">
        <v>10347</v>
      </c>
      <c r="O2806" s="10"/>
      <c r="P2806" s="10" t="s">
        <v>18411</v>
      </c>
      <c r="Q2806" s="10"/>
      <c r="R2806" s="10" t="s">
        <v>18412</v>
      </c>
      <c r="S2806" s="10" t="s">
        <v>53</v>
      </c>
      <c r="T2806" s="10" t="s">
        <v>7340</v>
      </c>
    </row>
    <row r="2807" spans="1:20" ht="14.5" x14ac:dyDescent="0.35">
      <c r="A2807" s="10" t="s">
        <v>18413</v>
      </c>
      <c r="B2807" s="10" t="str">
        <f>"9780335243730"</f>
        <v>9780335243730</v>
      </c>
      <c r="C2807" s="10" t="str">
        <f>"9780335243747"</f>
        <v>9780335243747</v>
      </c>
      <c r="D2807" s="10" t="s">
        <v>10342</v>
      </c>
      <c r="E2807" s="10" t="s">
        <v>10343</v>
      </c>
      <c r="F2807" s="10" t="s">
        <v>10344</v>
      </c>
      <c r="G2807" s="10" t="s">
        <v>6352</v>
      </c>
      <c r="H2807" s="11">
        <v>40575</v>
      </c>
      <c r="I2807" s="10">
        <v>2011</v>
      </c>
      <c r="J2807" s="10" t="s">
        <v>10345</v>
      </c>
      <c r="K2807" s="10">
        <v>234</v>
      </c>
      <c r="L2807" s="10" t="s">
        <v>13273</v>
      </c>
      <c r="M2807" s="10">
        <v>1</v>
      </c>
      <c r="N2807" s="10" t="s">
        <v>10347</v>
      </c>
      <c r="O2807" s="10"/>
      <c r="P2807" s="10" t="s">
        <v>7986</v>
      </c>
      <c r="Q2807" s="10">
        <v>372.21</v>
      </c>
      <c r="R2807" s="10"/>
      <c r="S2807" s="10" t="s">
        <v>53</v>
      </c>
      <c r="T2807" s="10" t="s">
        <v>54</v>
      </c>
    </row>
    <row r="2808" spans="1:20" ht="14.5" x14ac:dyDescent="0.35">
      <c r="A2808" s="10" t="s">
        <v>18414</v>
      </c>
      <c r="B2808" s="10" t="str">
        <f>"9789004166646"</f>
        <v>9789004166646</v>
      </c>
      <c r="C2808" s="10" t="str">
        <f>"9789047433392"</f>
        <v>9789047433392</v>
      </c>
      <c r="D2808" s="10" t="s">
        <v>8564</v>
      </c>
      <c r="E2808" s="10" t="s">
        <v>8565</v>
      </c>
      <c r="F2808" s="10" t="s">
        <v>1420</v>
      </c>
      <c r="G2808" s="10" t="s">
        <v>6317</v>
      </c>
      <c r="H2808" s="11">
        <v>39603</v>
      </c>
      <c r="I2808" s="10">
        <v>2008</v>
      </c>
      <c r="J2808" s="10" t="s">
        <v>8565</v>
      </c>
      <c r="K2808" s="10">
        <v>433</v>
      </c>
      <c r="L2808" s="10" t="s">
        <v>18415</v>
      </c>
      <c r="M2808" s="10">
        <v>1</v>
      </c>
      <c r="N2808" s="10" t="s">
        <v>10126</v>
      </c>
      <c r="O2808" s="10">
        <v>33</v>
      </c>
      <c r="P2808" s="10" t="s">
        <v>18416</v>
      </c>
      <c r="Q2808" s="10" t="s">
        <v>18417</v>
      </c>
      <c r="R2808" s="10" t="s">
        <v>18418</v>
      </c>
      <c r="S2808" s="10" t="s">
        <v>53</v>
      </c>
      <c r="T2808" s="10" t="s">
        <v>54</v>
      </c>
    </row>
    <row r="2809" spans="1:20" ht="14.5" x14ac:dyDescent="0.35">
      <c r="A2809" s="10" t="s">
        <v>18419</v>
      </c>
      <c r="B2809" s="10" t="str">
        <f>"9781551439259"</f>
        <v>9781551439259</v>
      </c>
      <c r="C2809" s="10" t="str">
        <f>"9781554693764"</f>
        <v>9781554693764</v>
      </c>
      <c r="D2809" s="10" t="s">
        <v>18420</v>
      </c>
      <c r="E2809" s="10" t="s">
        <v>18421</v>
      </c>
      <c r="F2809" s="10" t="s">
        <v>2737</v>
      </c>
      <c r="G2809" s="10" t="s">
        <v>9536</v>
      </c>
      <c r="H2809" s="11">
        <v>40057</v>
      </c>
      <c r="I2809" s="10">
        <v>2009</v>
      </c>
      <c r="J2809" s="10" t="s">
        <v>18421</v>
      </c>
      <c r="K2809" s="10">
        <v>155</v>
      </c>
      <c r="L2809" s="10" t="s">
        <v>18422</v>
      </c>
      <c r="M2809" s="10">
        <v>1</v>
      </c>
      <c r="N2809" s="10"/>
      <c r="O2809" s="10"/>
      <c r="P2809" s="10" t="s">
        <v>18423</v>
      </c>
      <c r="Q2809" s="10">
        <v>372.6044</v>
      </c>
      <c r="R2809" s="10" t="s">
        <v>18424</v>
      </c>
      <c r="S2809" s="10" t="s">
        <v>53</v>
      </c>
      <c r="T2809" s="10" t="s">
        <v>54</v>
      </c>
    </row>
    <row r="2810" spans="1:20" ht="14.5" x14ac:dyDescent="0.35">
      <c r="A2810" s="10" t="s">
        <v>18425</v>
      </c>
      <c r="B2810" s="10" t="str">
        <f>"9781551439563"</f>
        <v>9781551439563</v>
      </c>
      <c r="C2810" s="10" t="str">
        <f>"9781554693757"</f>
        <v>9781554693757</v>
      </c>
      <c r="D2810" s="10" t="s">
        <v>18420</v>
      </c>
      <c r="E2810" s="10" t="s">
        <v>18421</v>
      </c>
      <c r="F2810" s="10" t="s">
        <v>2737</v>
      </c>
      <c r="G2810" s="10" t="s">
        <v>9536</v>
      </c>
      <c r="H2810" s="11">
        <v>40057</v>
      </c>
      <c r="I2810" s="10">
        <v>2009</v>
      </c>
      <c r="J2810" s="10" t="s">
        <v>18421</v>
      </c>
      <c r="K2810" s="10">
        <v>378</v>
      </c>
      <c r="L2810" s="10" t="s">
        <v>18426</v>
      </c>
      <c r="M2810" s="10">
        <v>1</v>
      </c>
      <c r="N2810" s="10" t="s">
        <v>18427</v>
      </c>
      <c r="O2810" s="10"/>
      <c r="P2810" s="10" t="s">
        <v>18428</v>
      </c>
      <c r="Q2810" s="10">
        <v>372.43</v>
      </c>
      <c r="R2810" s="10" t="s">
        <v>18429</v>
      </c>
      <c r="S2810" s="10" t="s">
        <v>53</v>
      </c>
      <c r="T2810" s="10" t="s">
        <v>54</v>
      </c>
    </row>
    <row r="2811" spans="1:20" ht="14.5" x14ac:dyDescent="0.35">
      <c r="A2811" s="10" t="s">
        <v>18430</v>
      </c>
      <c r="B2811" s="10" t="str">
        <f>"9781551439549"</f>
        <v>9781551439549</v>
      </c>
      <c r="C2811" s="10" t="str">
        <f>"9781554693887"</f>
        <v>9781554693887</v>
      </c>
      <c r="D2811" s="10" t="s">
        <v>18420</v>
      </c>
      <c r="E2811" s="10" t="s">
        <v>18421</v>
      </c>
      <c r="F2811" s="10" t="s">
        <v>2737</v>
      </c>
      <c r="G2811" s="10" t="s">
        <v>9536</v>
      </c>
      <c r="H2811" s="11">
        <v>40057</v>
      </c>
      <c r="I2811" s="10">
        <v>2009</v>
      </c>
      <c r="J2811" s="10" t="s">
        <v>18421</v>
      </c>
      <c r="K2811" s="10">
        <v>298</v>
      </c>
      <c r="L2811" s="10" t="s">
        <v>18431</v>
      </c>
      <c r="M2811" s="10">
        <v>1</v>
      </c>
      <c r="N2811" s="10"/>
      <c r="O2811" s="10"/>
      <c r="P2811" s="10" t="s">
        <v>18432</v>
      </c>
      <c r="Q2811" s="10">
        <v>428.40712000000002</v>
      </c>
      <c r="R2811" s="10" t="s">
        <v>18433</v>
      </c>
      <c r="S2811" s="10" t="s">
        <v>53</v>
      </c>
      <c r="T2811" s="10" t="s">
        <v>6498</v>
      </c>
    </row>
    <row r="2812" spans="1:20" ht="14.5" x14ac:dyDescent="0.35">
      <c r="A2812" s="10" t="s">
        <v>18434</v>
      </c>
      <c r="B2812" s="10" t="str">
        <f>"9781554692408"</f>
        <v>9781554692408</v>
      </c>
      <c r="C2812" s="10" t="str">
        <f>"9781554693788"</f>
        <v>9781554693788</v>
      </c>
      <c r="D2812" s="10" t="s">
        <v>18420</v>
      </c>
      <c r="E2812" s="10" t="s">
        <v>18421</v>
      </c>
      <c r="F2812" s="10" t="s">
        <v>2737</v>
      </c>
      <c r="G2812" s="10" t="s">
        <v>9536</v>
      </c>
      <c r="H2812" s="11">
        <v>40057</v>
      </c>
      <c r="I2812" s="10">
        <v>2014</v>
      </c>
      <c r="J2812" s="10" t="s">
        <v>18421</v>
      </c>
      <c r="K2812" s="10">
        <v>163</v>
      </c>
      <c r="L2812" s="10" t="s">
        <v>18435</v>
      </c>
      <c r="M2812" s="10">
        <v>1</v>
      </c>
      <c r="N2812" s="10"/>
      <c r="O2812" s="10"/>
      <c r="P2812" s="10" t="s">
        <v>18436</v>
      </c>
      <c r="Q2812" s="10">
        <v>372.6044</v>
      </c>
      <c r="R2812" s="10" t="s">
        <v>18437</v>
      </c>
      <c r="S2812" s="10" t="s">
        <v>53</v>
      </c>
      <c r="T2812" s="10" t="s">
        <v>54</v>
      </c>
    </row>
    <row r="2813" spans="1:20" ht="14.5" x14ac:dyDescent="0.35">
      <c r="A2813" s="10" t="s">
        <v>18438</v>
      </c>
      <c r="B2813" s="10" t="str">
        <f>"9780833051523"</f>
        <v>9780833051523</v>
      </c>
      <c r="C2813" s="10" t="str">
        <f>"9780833051646"</f>
        <v>9780833051646</v>
      </c>
      <c r="D2813" s="10" t="s">
        <v>8134</v>
      </c>
      <c r="E2813" s="10" t="s">
        <v>8135</v>
      </c>
      <c r="F2813" s="10" t="s">
        <v>8136</v>
      </c>
      <c r="G2813" s="10" t="s">
        <v>6317</v>
      </c>
      <c r="H2813" s="11">
        <v>40605</v>
      </c>
      <c r="I2813" s="10">
        <v>2011</v>
      </c>
      <c r="J2813" s="10" t="s">
        <v>8363</v>
      </c>
      <c r="K2813" s="10">
        <v>99</v>
      </c>
      <c r="L2813" s="10" t="s">
        <v>18439</v>
      </c>
      <c r="M2813" s="10">
        <v>1</v>
      </c>
      <c r="N2813" s="10"/>
      <c r="O2813" s="10"/>
      <c r="P2813" s="10" t="s">
        <v>18440</v>
      </c>
      <c r="Q2813" s="10" t="s">
        <v>8460</v>
      </c>
      <c r="R2813" s="10" t="s">
        <v>18441</v>
      </c>
      <c r="S2813" s="10" t="s">
        <v>53</v>
      </c>
      <c r="T2813" s="10" t="s">
        <v>54</v>
      </c>
    </row>
    <row r="2814" spans="1:20" ht="14.5" x14ac:dyDescent="0.35">
      <c r="A2814" s="10" t="s">
        <v>18442</v>
      </c>
      <c r="B2814" s="10" t="str">
        <f>"9780804763554"</f>
        <v>9780804763554</v>
      </c>
      <c r="C2814" s="10" t="str">
        <f>"9780804776387"</f>
        <v>9780804776387</v>
      </c>
      <c r="D2814" s="10" t="s">
        <v>16213</v>
      </c>
      <c r="E2814" s="10" t="s">
        <v>16213</v>
      </c>
      <c r="F2814" s="10" t="s">
        <v>16214</v>
      </c>
      <c r="G2814" s="10" t="s">
        <v>6317</v>
      </c>
      <c r="H2814" s="11">
        <v>40499</v>
      </c>
      <c r="I2814" s="10">
        <v>2010</v>
      </c>
      <c r="J2814" s="10" t="s">
        <v>16213</v>
      </c>
      <c r="K2814" s="10">
        <v>346</v>
      </c>
      <c r="L2814" s="10" t="s">
        <v>18443</v>
      </c>
      <c r="M2814" s="10">
        <v>1</v>
      </c>
      <c r="N2814" s="10"/>
      <c r="O2814" s="10"/>
      <c r="P2814" s="10" t="s">
        <v>18444</v>
      </c>
      <c r="Q2814" s="10">
        <v>371.19</v>
      </c>
      <c r="R2814" s="10" t="s">
        <v>18445</v>
      </c>
      <c r="S2814" s="10" t="s">
        <v>53</v>
      </c>
      <c r="T2814" s="10" t="s">
        <v>54</v>
      </c>
    </row>
    <row r="2815" spans="1:20" ht="14.5" x14ac:dyDescent="0.35">
      <c r="A2815" s="10" t="s">
        <v>18446</v>
      </c>
      <c r="B2815" s="10" t="str">
        <f>"9781441156181"</f>
        <v>9781441156181</v>
      </c>
      <c r="C2815" s="10" t="str">
        <f>"9781441132598"</f>
        <v>9781441132598</v>
      </c>
      <c r="D2815" s="10" t="s">
        <v>13959</v>
      </c>
      <c r="E2815" s="10" t="s">
        <v>13960</v>
      </c>
      <c r="F2815" s="10" t="s">
        <v>139</v>
      </c>
      <c r="G2815" s="10" t="s">
        <v>6352</v>
      </c>
      <c r="H2815" s="11">
        <v>41211</v>
      </c>
      <c r="I2815" s="10">
        <v>2011</v>
      </c>
      <c r="J2815" s="10" t="s">
        <v>13961</v>
      </c>
      <c r="K2815" s="10">
        <v>208</v>
      </c>
      <c r="L2815" s="10" t="s">
        <v>18447</v>
      </c>
      <c r="M2815" s="10">
        <v>1</v>
      </c>
      <c r="N2815" s="10"/>
      <c r="O2815" s="10"/>
      <c r="P2815" s="10" t="s">
        <v>18448</v>
      </c>
      <c r="Q2815" s="10" t="s">
        <v>12010</v>
      </c>
      <c r="R2815" s="10" t="s">
        <v>18449</v>
      </c>
      <c r="S2815" s="10" t="s">
        <v>53</v>
      </c>
      <c r="T2815" s="10" t="s">
        <v>54</v>
      </c>
    </row>
    <row r="2816" spans="1:20" ht="14.5" x14ac:dyDescent="0.35">
      <c r="A2816" s="10" t="s">
        <v>18450</v>
      </c>
      <c r="B2816" s="10" t="str">
        <f>"9781441137876"</f>
        <v>9781441137876</v>
      </c>
      <c r="C2816" s="10" t="str">
        <f>"9781441106513"</f>
        <v>9781441106513</v>
      </c>
      <c r="D2816" s="10" t="s">
        <v>13959</v>
      </c>
      <c r="E2816" s="10" t="s">
        <v>13960</v>
      </c>
      <c r="F2816" s="10" t="s">
        <v>139</v>
      </c>
      <c r="G2816" s="10" t="s">
        <v>6352</v>
      </c>
      <c r="H2816" s="11">
        <v>41211</v>
      </c>
      <c r="I2816" s="10">
        <v>2011</v>
      </c>
      <c r="J2816" s="10" t="s">
        <v>13961</v>
      </c>
      <c r="K2816" s="10">
        <v>257</v>
      </c>
      <c r="L2816" s="10" t="s">
        <v>18451</v>
      </c>
      <c r="M2816" s="10">
        <v>1</v>
      </c>
      <c r="N2816" s="10" t="s">
        <v>14634</v>
      </c>
      <c r="O2816" s="10"/>
      <c r="P2816" s="10" t="s">
        <v>18452</v>
      </c>
      <c r="Q2816" s="10">
        <v>378.17</v>
      </c>
      <c r="R2816" s="10" t="s">
        <v>18453</v>
      </c>
      <c r="S2816" s="10" t="s">
        <v>53</v>
      </c>
      <c r="T2816" s="10" t="s">
        <v>54</v>
      </c>
    </row>
    <row r="2817" spans="1:20" ht="14.5" x14ac:dyDescent="0.35">
      <c r="A2817" s="10" t="s">
        <v>18454</v>
      </c>
      <c r="B2817" s="10" t="str">
        <f>"9781441194138"</f>
        <v>9781441194138</v>
      </c>
      <c r="C2817" s="10" t="str">
        <f>"9781441155474"</f>
        <v>9781441155474</v>
      </c>
      <c r="D2817" s="10" t="s">
        <v>13959</v>
      </c>
      <c r="E2817" s="10" t="s">
        <v>13960</v>
      </c>
      <c r="F2817" s="10" t="s">
        <v>139</v>
      </c>
      <c r="G2817" s="10" t="s">
        <v>6352</v>
      </c>
      <c r="H2817" s="11">
        <v>41235</v>
      </c>
      <c r="I2817" s="10">
        <v>2011</v>
      </c>
      <c r="J2817" s="10" t="s">
        <v>13961</v>
      </c>
      <c r="K2817" s="10">
        <v>193</v>
      </c>
      <c r="L2817" s="10" t="s">
        <v>18455</v>
      </c>
      <c r="M2817" s="10">
        <v>1</v>
      </c>
      <c r="N2817" s="10"/>
      <c r="O2817" s="10"/>
      <c r="P2817" s="10" t="s">
        <v>18456</v>
      </c>
      <c r="Q2817" s="10" t="s">
        <v>9527</v>
      </c>
      <c r="R2817" s="10" t="s">
        <v>18457</v>
      </c>
      <c r="S2817" s="10" t="s">
        <v>53</v>
      </c>
      <c r="T2817" s="10" t="s">
        <v>6472</v>
      </c>
    </row>
    <row r="2818" spans="1:20" ht="14.5" x14ac:dyDescent="0.35">
      <c r="A2818" s="10" t="s">
        <v>18458</v>
      </c>
      <c r="B2818" s="10" t="str">
        <f>"9780857248855"</f>
        <v>9780857248855</v>
      </c>
      <c r="C2818" s="10" t="str">
        <f>"9780857248862"</f>
        <v>9780857248862</v>
      </c>
      <c r="D2818" s="10" t="s">
        <v>8699</v>
      </c>
      <c r="E2818" s="10" t="s">
        <v>8699</v>
      </c>
      <c r="F2818" s="10" t="s">
        <v>1019</v>
      </c>
      <c r="G2818" s="10" t="s">
        <v>6352</v>
      </c>
      <c r="H2818" s="11">
        <v>40571</v>
      </c>
      <c r="I2818" s="10">
        <v>2011</v>
      </c>
      <c r="J2818" s="10" t="s">
        <v>115</v>
      </c>
      <c r="K2818" s="10">
        <v>68</v>
      </c>
      <c r="L2818" s="10" t="s">
        <v>18459</v>
      </c>
      <c r="M2818" s="10">
        <v>1</v>
      </c>
      <c r="N2818" s="10" t="s">
        <v>18460</v>
      </c>
      <c r="O2818" s="10">
        <v>19</v>
      </c>
      <c r="P2818" s="10" t="s">
        <v>18461</v>
      </c>
      <c r="Q2818" s="10" t="s">
        <v>18462</v>
      </c>
      <c r="R2818" s="10" t="s">
        <v>18463</v>
      </c>
      <c r="S2818" s="10" t="s">
        <v>53</v>
      </c>
      <c r="T2818" s="10" t="s">
        <v>6526</v>
      </c>
    </row>
    <row r="2819" spans="1:20" ht="14.5" x14ac:dyDescent="0.35">
      <c r="A2819" s="10" t="s">
        <v>18464</v>
      </c>
      <c r="B2819" s="10" t="str">
        <f>"9780857248879"</f>
        <v>9780857248879</v>
      </c>
      <c r="C2819" s="10" t="str">
        <f>"9780857248886"</f>
        <v>9780857248886</v>
      </c>
      <c r="D2819" s="10" t="s">
        <v>8699</v>
      </c>
      <c r="E2819" s="10" t="s">
        <v>8699</v>
      </c>
      <c r="F2819" s="10" t="s">
        <v>1019</v>
      </c>
      <c r="G2819" s="10" t="s">
        <v>6352</v>
      </c>
      <c r="H2819" s="11">
        <v>40592</v>
      </c>
      <c r="I2819" s="10">
        <v>2011</v>
      </c>
      <c r="J2819" s="10" t="s">
        <v>115</v>
      </c>
      <c r="K2819" s="10">
        <v>181</v>
      </c>
      <c r="L2819" s="10" t="s">
        <v>18465</v>
      </c>
      <c r="M2819" s="10">
        <v>1</v>
      </c>
      <c r="N2819" s="10" t="s">
        <v>18466</v>
      </c>
      <c r="O2819" s="10">
        <v>39</v>
      </c>
      <c r="P2819" s="10" t="s">
        <v>18467</v>
      </c>
      <c r="Q2819" s="10" t="s">
        <v>18468</v>
      </c>
      <c r="R2819" s="10" t="s">
        <v>18469</v>
      </c>
      <c r="S2819" s="10" t="s">
        <v>53</v>
      </c>
      <c r="T2819" s="10" t="s">
        <v>18470</v>
      </c>
    </row>
    <row r="2820" spans="1:20" ht="14.5" x14ac:dyDescent="0.35">
      <c r="A2820" s="10" t="s">
        <v>18471</v>
      </c>
      <c r="B2820" s="10" t="str">
        <f>"9781604739213"</f>
        <v>9781604739213</v>
      </c>
      <c r="C2820" s="10" t="str">
        <f>"9781604739220"</f>
        <v>9781604739220</v>
      </c>
      <c r="D2820" s="10" t="s">
        <v>16047</v>
      </c>
      <c r="E2820" s="10" t="s">
        <v>16047</v>
      </c>
      <c r="F2820" s="10" t="s">
        <v>16048</v>
      </c>
      <c r="G2820" s="10" t="s">
        <v>6317</v>
      </c>
      <c r="H2820" s="11">
        <v>40544</v>
      </c>
      <c r="I2820" s="10">
        <v>2011</v>
      </c>
      <c r="J2820" s="10" t="s">
        <v>16047</v>
      </c>
      <c r="K2820" s="10">
        <v>318</v>
      </c>
      <c r="L2820" s="10" t="s">
        <v>18472</v>
      </c>
      <c r="M2820" s="10">
        <v>1</v>
      </c>
      <c r="N2820" s="10"/>
      <c r="O2820" s="10"/>
      <c r="P2820" s="10" t="s">
        <v>18473</v>
      </c>
      <c r="Q2820" s="10" t="s">
        <v>18474</v>
      </c>
      <c r="R2820" s="10" t="s">
        <v>18475</v>
      </c>
      <c r="S2820" s="10" t="s">
        <v>53</v>
      </c>
      <c r="T2820" s="10" t="s">
        <v>54</v>
      </c>
    </row>
    <row r="2821" spans="1:20" ht="14.5" x14ac:dyDescent="0.35">
      <c r="A2821" s="10" t="s">
        <v>18476</v>
      </c>
      <c r="B2821" s="10" t="str">
        <f>"9780415564137"</f>
        <v>9780415564137</v>
      </c>
      <c r="C2821" s="10" t="str">
        <f>"9780203828953"</f>
        <v>9780203828953</v>
      </c>
      <c r="D2821" s="10" t="s">
        <v>6350</v>
      </c>
      <c r="E2821" s="10" t="s">
        <v>6351</v>
      </c>
      <c r="F2821" s="10" t="s">
        <v>748</v>
      </c>
      <c r="G2821" s="10" t="s">
        <v>6352</v>
      </c>
      <c r="H2821" s="11">
        <v>40661</v>
      </c>
      <c r="I2821" s="10">
        <v>2011</v>
      </c>
      <c r="J2821" s="10" t="s">
        <v>6351</v>
      </c>
      <c r="K2821" s="10">
        <v>193</v>
      </c>
      <c r="L2821" s="10" t="s">
        <v>18477</v>
      </c>
      <c r="M2821" s="10">
        <v>1</v>
      </c>
      <c r="N2821" s="10" t="s">
        <v>18478</v>
      </c>
      <c r="O2821" s="10"/>
      <c r="P2821" s="10" t="s">
        <v>18479</v>
      </c>
      <c r="Q2821" s="10" t="s">
        <v>18480</v>
      </c>
      <c r="R2821" s="10" t="s">
        <v>18481</v>
      </c>
      <c r="S2821" s="10" t="s">
        <v>53</v>
      </c>
      <c r="T2821" s="10" t="s">
        <v>54</v>
      </c>
    </row>
    <row r="2822" spans="1:20" ht="14.5" x14ac:dyDescent="0.35">
      <c r="A2822" s="10" t="s">
        <v>18482</v>
      </c>
      <c r="B2822" s="10" t="str">
        <f>"9780415569224"</f>
        <v>9780415569224</v>
      </c>
      <c r="C2822" s="10" t="str">
        <f>"9780203829486"</f>
        <v>9780203829486</v>
      </c>
      <c r="D2822" s="10" t="s">
        <v>6350</v>
      </c>
      <c r="E2822" s="10" t="s">
        <v>6351</v>
      </c>
      <c r="F2822" s="10" t="s">
        <v>748</v>
      </c>
      <c r="G2822" s="10" t="s">
        <v>6352</v>
      </c>
      <c r="H2822" s="11">
        <v>40665</v>
      </c>
      <c r="I2822" s="10">
        <v>2011</v>
      </c>
      <c r="J2822" s="10" t="s">
        <v>6351</v>
      </c>
      <c r="K2822" s="10">
        <v>227</v>
      </c>
      <c r="L2822" s="10" t="s">
        <v>7317</v>
      </c>
      <c r="M2822" s="10">
        <v>2</v>
      </c>
      <c r="N2822" s="10"/>
      <c r="O2822" s="10"/>
      <c r="P2822" s="10" t="s">
        <v>18483</v>
      </c>
      <c r="Q2822" s="10">
        <v>305.23099999999999</v>
      </c>
      <c r="R2822" s="10" t="s">
        <v>7206</v>
      </c>
      <c r="S2822" s="10" t="s">
        <v>53</v>
      </c>
      <c r="T2822" s="10" t="s">
        <v>6472</v>
      </c>
    </row>
    <row r="2823" spans="1:20" ht="14.5" x14ac:dyDescent="0.35">
      <c r="A2823" s="10" t="s">
        <v>18484</v>
      </c>
      <c r="B2823" s="10" t="str">
        <f>"9780805864458"</f>
        <v>9780805864458</v>
      </c>
      <c r="C2823" s="10" t="str">
        <f>"9780203816318"</f>
        <v>9780203816318</v>
      </c>
      <c r="D2823" s="10" t="s">
        <v>6350</v>
      </c>
      <c r="E2823" s="10" t="s">
        <v>6351</v>
      </c>
      <c r="F2823" s="10" t="s">
        <v>70</v>
      </c>
      <c r="G2823" s="10" t="s">
        <v>6317</v>
      </c>
      <c r="H2823" s="11">
        <v>40513</v>
      </c>
      <c r="I2823" s="10">
        <v>2011</v>
      </c>
      <c r="J2823" s="10" t="s">
        <v>6353</v>
      </c>
      <c r="K2823" s="10">
        <v>572</v>
      </c>
      <c r="L2823" s="10" t="s">
        <v>18485</v>
      </c>
      <c r="M2823" s="10">
        <v>1</v>
      </c>
      <c r="N2823" s="10"/>
      <c r="O2823" s="10"/>
      <c r="P2823" s="10" t="s">
        <v>18486</v>
      </c>
      <c r="Q2823" s="10">
        <v>370.95</v>
      </c>
      <c r="R2823" s="10" t="s">
        <v>18487</v>
      </c>
      <c r="S2823" s="10" t="s">
        <v>53</v>
      </c>
      <c r="T2823" s="10" t="s">
        <v>54</v>
      </c>
    </row>
    <row r="2824" spans="1:20" ht="14.5" x14ac:dyDescent="0.35">
      <c r="A2824" s="10" t="s">
        <v>18488</v>
      </c>
      <c r="B2824" s="10" t="str">
        <f>"9780415435017"</f>
        <v>9780415435017</v>
      </c>
      <c r="C2824" s="10" t="str">
        <f>"9780203828540"</f>
        <v>9780203828540</v>
      </c>
      <c r="D2824" s="10" t="s">
        <v>6350</v>
      </c>
      <c r="E2824" s="10" t="s">
        <v>6351</v>
      </c>
      <c r="F2824" s="10" t="s">
        <v>5406</v>
      </c>
      <c r="G2824" s="10" t="s">
        <v>6317</v>
      </c>
      <c r="H2824" s="11">
        <v>40665</v>
      </c>
      <c r="I2824" s="10">
        <v>2011</v>
      </c>
      <c r="J2824" s="10" t="s">
        <v>6353</v>
      </c>
      <c r="K2824" s="10">
        <v>206</v>
      </c>
      <c r="L2824" s="10" t="s">
        <v>18489</v>
      </c>
      <c r="M2824" s="10">
        <v>1</v>
      </c>
      <c r="N2824" s="10" t="s">
        <v>18490</v>
      </c>
      <c r="O2824" s="10"/>
      <c r="P2824" s="10" t="s">
        <v>18491</v>
      </c>
      <c r="Q2824" s="10">
        <v>378.59</v>
      </c>
      <c r="R2824" s="10" t="s">
        <v>18492</v>
      </c>
      <c r="S2824" s="10" t="s">
        <v>53</v>
      </c>
      <c r="T2824" s="10" t="s">
        <v>54</v>
      </c>
    </row>
    <row r="2825" spans="1:20" ht="14.5" x14ac:dyDescent="0.35">
      <c r="A2825" s="10" t="s">
        <v>18493</v>
      </c>
      <c r="B2825" s="10" t="str">
        <f>"9780415548663"</f>
        <v>9780415548663</v>
      </c>
      <c r="C2825" s="10" t="str">
        <f>"9780203828700"</f>
        <v>9780203828700</v>
      </c>
      <c r="D2825" s="10" t="s">
        <v>6350</v>
      </c>
      <c r="E2825" s="10" t="s">
        <v>6351</v>
      </c>
      <c r="F2825" s="10" t="s">
        <v>139</v>
      </c>
      <c r="G2825" s="10" t="s">
        <v>6352</v>
      </c>
      <c r="H2825" s="11">
        <v>40688</v>
      </c>
      <c r="I2825" s="10">
        <v>2011</v>
      </c>
      <c r="J2825" s="10" t="s">
        <v>6353</v>
      </c>
      <c r="K2825" s="10">
        <v>151</v>
      </c>
      <c r="L2825" s="10" t="s">
        <v>18494</v>
      </c>
      <c r="M2825" s="10">
        <v>1</v>
      </c>
      <c r="N2825" s="10"/>
      <c r="O2825" s="10"/>
      <c r="P2825" s="10" t="s">
        <v>18495</v>
      </c>
      <c r="Q2825" s="10">
        <v>371.19</v>
      </c>
      <c r="R2825" s="10" t="s">
        <v>14441</v>
      </c>
      <c r="S2825" s="10" t="s">
        <v>53</v>
      </c>
      <c r="T2825" s="10" t="s">
        <v>54</v>
      </c>
    </row>
    <row r="2826" spans="1:20" ht="14.5" x14ac:dyDescent="0.35">
      <c r="A2826" s="10" t="s">
        <v>18496</v>
      </c>
      <c r="B2826" s="10" t="str">
        <f>"9780415883603"</f>
        <v>9780415883603</v>
      </c>
      <c r="C2826" s="10" t="str">
        <f>"9780203843598"</f>
        <v>9780203843598</v>
      </c>
      <c r="D2826" s="10" t="s">
        <v>6350</v>
      </c>
      <c r="E2826" s="10" t="s">
        <v>6351</v>
      </c>
      <c r="F2826" s="10" t="s">
        <v>139</v>
      </c>
      <c r="G2826" s="10" t="s">
        <v>6352</v>
      </c>
      <c r="H2826" s="11">
        <v>40641</v>
      </c>
      <c r="I2826" s="10">
        <v>2011</v>
      </c>
      <c r="J2826" s="10" t="s">
        <v>6353</v>
      </c>
      <c r="K2826" s="10">
        <v>253</v>
      </c>
      <c r="L2826" s="10" t="s">
        <v>18497</v>
      </c>
      <c r="M2826" s="10">
        <v>1</v>
      </c>
      <c r="N2826" s="10"/>
      <c r="O2826" s="10"/>
      <c r="P2826" s="10" t="s">
        <v>18498</v>
      </c>
      <c r="Q2826" s="10" t="s">
        <v>18499</v>
      </c>
      <c r="R2826" s="10" t="s">
        <v>18500</v>
      </c>
      <c r="S2826" s="10" t="s">
        <v>53</v>
      </c>
      <c r="T2826" s="10" t="s">
        <v>54</v>
      </c>
    </row>
    <row r="2827" spans="1:20" ht="14.5" x14ac:dyDescent="0.35">
      <c r="A2827" s="10" t="s">
        <v>18501</v>
      </c>
      <c r="B2827" s="10" t="str">
        <f>"9780805860542"</f>
        <v>9780805860542</v>
      </c>
      <c r="C2827" s="10" t="str">
        <f>"9780203806524"</f>
        <v>9780203806524</v>
      </c>
      <c r="D2827" s="10" t="s">
        <v>6350</v>
      </c>
      <c r="E2827" s="10" t="s">
        <v>6351</v>
      </c>
      <c r="F2827" s="10" t="s">
        <v>5406</v>
      </c>
      <c r="G2827" s="10" t="s">
        <v>6317</v>
      </c>
      <c r="H2827" s="11">
        <v>40644</v>
      </c>
      <c r="I2827" s="10">
        <v>2011</v>
      </c>
      <c r="J2827" s="10" t="s">
        <v>6353</v>
      </c>
      <c r="K2827" s="10">
        <v>361</v>
      </c>
      <c r="L2827" s="10" t="s">
        <v>18502</v>
      </c>
      <c r="M2827" s="10">
        <v>1</v>
      </c>
      <c r="N2827" s="10"/>
      <c r="O2827" s="10"/>
      <c r="P2827" s="10" t="s">
        <v>18503</v>
      </c>
      <c r="Q2827" s="10">
        <v>372.35043999999999</v>
      </c>
      <c r="R2827" s="10" t="s">
        <v>18504</v>
      </c>
      <c r="S2827" s="10" t="s">
        <v>53</v>
      </c>
      <c r="T2827" s="10" t="s">
        <v>54</v>
      </c>
    </row>
    <row r="2828" spans="1:20" ht="14.5" x14ac:dyDescent="0.35">
      <c r="A2828" s="10" t="s">
        <v>18505</v>
      </c>
      <c r="B2828" s="10" t="str">
        <f>"9780415874632"</f>
        <v>9780415874632</v>
      </c>
      <c r="C2828" s="10" t="str">
        <f>"9780203833056"</f>
        <v>9780203833056</v>
      </c>
      <c r="D2828" s="10" t="s">
        <v>6350</v>
      </c>
      <c r="E2828" s="10" t="s">
        <v>6351</v>
      </c>
      <c r="F2828" s="10" t="s">
        <v>5406</v>
      </c>
      <c r="G2828" s="10" t="s">
        <v>6317</v>
      </c>
      <c r="H2828" s="11">
        <v>40651</v>
      </c>
      <c r="I2828" s="10">
        <v>2011</v>
      </c>
      <c r="J2828" s="10" t="s">
        <v>6353</v>
      </c>
      <c r="K2828" s="10">
        <v>249</v>
      </c>
      <c r="L2828" s="10" t="s">
        <v>18506</v>
      </c>
      <c r="M2828" s="10">
        <v>1</v>
      </c>
      <c r="N2828" s="10"/>
      <c r="O2828" s="10"/>
      <c r="P2828" s="10" t="s">
        <v>18507</v>
      </c>
      <c r="Q2828" s="10" t="s">
        <v>18508</v>
      </c>
      <c r="R2828" s="10" t="s">
        <v>18509</v>
      </c>
      <c r="S2828" s="10" t="s">
        <v>53</v>
      </c>
      <c r="T2828" s="10" t="s">
        <v>54</v>
      </c>
    </row>
    <row r="2829" spans="1:20" ht="14.5" x14ac:dyDescent="0.35">
      <c r="A2829" s="10" t="s">
        <v>18510</v>
      </c>
      <c r="B2829" s="10" t="str">
        <f>"9780415889933"</f>
        <v>9780415889933</v>
      </c>
      <c r="C2829" s="10" t="str">
        <f>"9780203818848"</f>
        <v>9780203818848</v>
      </c>
      <c r="D2829" s="10" t="s">
        <v>6350</v>
      </c>
      <c r="E2829" s="10" t="s">
        <v>6351</v>
      </c>
      <c r="F2829" s="10" t="s">
        <v>139</v>
      </c>
      <c r="G2829" s="10" t="s">
        <v>6352</v>
      </c>
      <c r="H2829" s="11">
        <v>40637</v>
      </c>
      <c r="I2829" s="10">
        <v>2011</v>
      </c>
      <c r="J2829" s="10" t="s">
        <v>6353</v>
      </c>
      <c r="K2829" s="10">
        <v>233</v>
      </c>
      <c r="L2829" s="10" t="s">
        <v>18511</v>
      </c>
      <c r="M2829" s="10">
        <v>1</v>
      </c>
      <c r="N2829" s="10"/>
      <c r="O2829" s="10"/>
      <c r="P2829" s="10" t="s">
        <v>18512</v>
      </c>
      <c r="Q2829" s="10" t="s">
        <v>8748</v>
      </c>
      <c r="R2829" s="10" t="s">
        <v>18513</v>
      </c>
      <c r="S2829" s="10" t="s">
        <v>53</v>
      </c>
      <c r="T2829" s="10" t="s">
        <v>54</v>
      </c>
    </row>
    <row r="2830" spans="1:20" ht="14.5" x14ac:dyDescent="0.35">
      <c r="A2830" s="10" t="s">
        <v>18514</v>
      </c>
      <c r="B2830" s="10" t="str">
        <f>"9780415603911"</f>
        <v>9780415603911</v>
      </c>
      <c r="C2830" s="10" t="str">
        <f>"9780203818022"</f>
        <v>9780203818022</v>
      </c>
      <c r="D2830" s="10" t="s">
        <v>6350</v>
      </c>
      <c r="E2830" s="10" t="s">
        <v>6351</v>
      </c>
      <c r="F2830" s="10" t="s">
        <v>5406</v>
      </c>
      <c r="G2830" s="10" t="s">
        <v>6317</v>
      </c>
      <c r="H2830" s="11">
        <v>40652</v>
      </c>
      <c r="I2830" s="10">
        <v>2011</v>
      </c>
      <c r="J2830" s="10" t="s">
        <v>6353</v>
      </c>
      <c r="K2830" s="10">
        <v>153</v>
      </c>
      <c r="L2830" s="10" t="s">
        <v>18515</v>
      </c>
      <c r="M2830" s="10">
        <v>1</v>
      </c>
      <c r="N2830" s="10"/>
      <c r="O2830" s="10"/>
      <c r="P2830" s="10" t="s">
        <v>18516</v>
      </c>
      <c r="Q2830" s="10">
        <v>372.21800000000002</v>
      </c>
      <c r="R2830" s="10" t="s">
        <v>18175</v>
      </c>
      <c r="S2830" s="10" t="s">
        <v>53</v>
      </c>
      <c r="T2830" s="10" t="s">
        <v>54</v>
      </c>
    </row>
    <row r="2831" spans="1:20" ht="14.5" x14ac:dyDescent="0.35">
      <c r="A2831" s="10" t="s">
        <v>18517</v>
      </c>
      <c r="B2831" s="10" t="str">
        <f>"9780415493901"</f>
        <v>9780415493901</v>
      </c>
      <c r="C2831" s="10" t="str">
        <f>"9780203850688"</f>
        <v>9780203850688</v>
      </c>
      <c r="D2831" s="10" t="s">
        <v>6350</v>
      </c>
      <c r="E2831" s="10" t="s">
        <v>6351</v>
      </c>
      <c r="F2831" s="10" t="s">
        <v>139</v>
      </c>
      <c r="G2831" s="10" t="s">
        <v>6352</v>
      </c>
      <c r="H2831" s="11">
        <v>40703</v>
      </c>
      <c r="I2831" s="10">
        <v>2011</v>
      </c>
      <c r="J2831" s="10" t="s">
        <v>6353</v>
      </c>
      <c r="K2831" s="10">
        <v>321</v>
      </c>
      <c r="L2831" s="10" t="s">
        <v>18518</v>
      </c>
      <c r="M2831" s="10">
        <v>1</v>
      </c>
      <c r="N2831" s="10"/>
      <c r="O2831" s="10"/>
      <c r="P2831" s="10" t="s">
        <v>18519</v>
      </c>
      <c r="Q2831" s="10">
        <v>796.077</v>
      </c>
      <c r="R2831" s="10" t="s">
        <v>18520</v>
      </c>
      <c r="S2831" s="10" t="s">
        <v>53</v>
      </c>
      <c r="T2831" s="10" t="s">
        <v>7340</v>
      </c>
    </row>
    <row r="2832" spans="1:20" ht="14.5" x14ac:dyDescent="0.35">
      <c r="A2832" s="10" t="s">
        <v>18521</v>
      </c>
      <c r="B2832" s="10" t="str">
        <f>"9780415571838"</f>
        <v>9780415571838</v>
      </c>
      <c r="C2832" s="10" t="str">
        <f>"9780203856758"</f>
        <v>9780203856758</v>
      </c>
      <c r="D2832" s="10" t="s">
        <v>6350</v>
      </c>
      <c r="E2832" s="10" t="s">
        <v>6351</v>
      </c>
      <c r="F2832" s="10" t="s">
        <v>139</v>
      </c>
      <c r="G2832" s="10" t="s">
        <v>6352</v>
      </c>
      <c r="H2832" s="11">
        <v>40687</v>
      </c>
      <c r="I2832" s="10">
        <v>2011</v>
      </c>
      <c r="J2832" s="10" t="s">
        <v>6353</v>
      </c>
      <c r="K2832" s="10">
        <v>273</v>
      </c>
      <c r="L2832" s="10" t="s">
        <v>18522</v>
      </c>
      <c r="M2832" s="10">
        <v>1</v>
      </c>
      <c r="N2832" s="10"/>
      <c r="O2832" s="10"/>
      <c r="P2832" s="10" t="s">
        <v>18523</v>
      </c>
      <c r="Q2832" s="10" t="s">
        <v>18524</v>
      </c>
      <c r="R2832" s="10" t="s">
        <v>18525</v>
      </c>
      <c r="S2832" s="10" t="s">
        <v>53</v>
      </c>
      <c r="T2832" s="10" t="s">
        <v>54</v>
      </c>
    </row>
    <row r="2833" spans="1:20" ht="14.5" x14ac:dyDescent="0.35">
      <c r="A2833" s="10" t="s">
        <v>18526</v>
      </c>
      <c r="B2833" s="10" t="str">
        <f>"9780415479899"</f>
        <v>9780415479899</v>
      </c>
      <c r="C2833" s="10" t="str">
        <f>"9780203831564"</f>
        <v>9780203831564</v>
      </c>
      <c r="D2833" s="10" t="s">
        <v>6350</v>
      </c>
      <c r="E2833" s="10" t="s">
        <v>6351</v>
      </c>
      <c r="F2833" s="10" t="s">
        <v>5406</v>
      </c>
      <c r="G2833" s="10" t="s">
        <v>6317</v>
      </c>
      <c r="H2833" s="11">
        <v>40561</v>
      </c>
      <c r="I2833" s="10">
        <v>2011</v>
      </c>
      <c r="J2833" s="10" t="s">
        <v>6353</v>
      </c>
      <c r="K2833" s="10">
        <v>233</v>
      </c>
      <c r="L2833" s="10" t="s">
        <v>18527</v>
      </c>
      <c r="M2833" s="10">
        <v>1</v>
      </c>
      <c r="N2833" s="10" t="s">
        <v>16038</v>
      </c>
      <c r="O2833" s="10"/>
      <c r="P2833" s="10" t="s">
        <v>18528</v>
      </c>
      <c r="Q2833" s="10">
        <v>371.90460000000002</v>
      </c>
      <c r="R2833" s="10" t="s">
        <v>9113</v>
      </c>
      <c r="S2833" s="10" t="s">
        <v>53</v>
      </c>
      <c r="T2833" s="10" t="s">
        <v>54</v>
      </c>
    </row>
    <row r="2834" spans="1:20" ht="14.5" x14ac:dyDescent="0.35">
      <c r="A2834" s="10" t="s">
        <v>18529</v>
      </c>
      <c r="B2834" s="10" t="str">
        <f>"9781586484101"</f>
        <v>9781586484101</v>
      </c>
      <c r="C2834" s="10" t="str">
        <f>"9781586485900"</f>
        <v>9781586485900</v>
      </c>
      <c r="D2834" s="10" t="s">
        <v>15536</v>
      </c>
      <c r="E2834" s="10" t="s">
        <v>15537</v>
      </c>
      <c r="F2834" s="10" t="s">
        <v>70</v>
      </c>
      <c r="G2834" s="10" t="s">
        <v>6317</v>
      </c>
      <c r="H2834" s="11">
        <v>39224</v>
      </c>
      <c r="I2834" s="10">
        <v>2007</v>
      </c>
      <c r="J2834" s="10" t="s">
        <v>15537</v>
      </c>
      <c r="K2834" s="10">
        <v>353</v>
      </c>
      <c r="L2834" s="10" t="s">
        <v>18530</v>
      </c>
      <c r="M2834" s="10">
        <v>1</v>
      </c>
      <c r="N2834" s="10"/>
      <c r="O2834" s="10"/>
      <c r="P2834" s="10" t="s">
        <v>18531</v>
      </c>
      <c r="Q2834" s="10">
        <v>371.8220973</v>
      </c>
      <c r="R2834" s="10" t="s">
        <v>18532</v>
      </c>
      <c r="S2834" s="10" t="s">
        <v>53</v>
      </c>
      <c r="T2834" s="10" t="s">
        <v>54</v>
      </c>
    </row>
    <row r="2835" spans="1:20" ht="14.5" x14ac:dyDescent="0.35">
      <c r="A2835" s="10" t="s">
        <v>18533</v>
      </c>
      <c r="B2835" s="10" t="str">
        <f>"9781609180058"</f>
        <v>9781609180058</v>
      </c>
      <c r="C2835" s="10" t="str">
        <f>"9781609187576"</f>
        <v>9781609187576</v>
      </c>
      <c r="D2835" s="10" t="s">
        <v>11213</v>
      </c>
      <c r="E2835" s="10" t="s">
        <v>11214</v>
      </c>
      <c r="F2835" s="10" t="s">
        <v>70</v>
      </c>
      <c r="G2835" s="10" t="s">
        <v>6317</v>
      </c>
      <c r="H2835" s="11">
        <v>40485</v>
      </c>
      <c r="I2835" s="10">
        <v>2011</v>
      </c>
      <c r="J2835" s="10" t="s">
        <v>11215</v>
      </c>
      <c r="K2835" s="10">
        <v>169</v>
      </c>
      <c r="L2835" s="10" t="s">
        <v>18534</v>
      </c>
      <c r="M2835" s="10">
        <v>3</v>
      </c>
      <c r="N2835" s="10" t="s">
        <v>18535</v>
      </c>
      <c r="O2835" s="10"/>
      <c r="P2835" s="10" t="s">
        <v>18536</v>
      </c>
      <c r="Q2835" s="10">
        <v>372.44</v>
      </c>
      <c r="R2835" s="10" t="s">
        <v>18537</v>
      </c>
      <c r="S2835" s="10" t="s">
        <v>53</v>
      </c>
      <c r="T2835" s="10" t="s">
        <v>54</v>
      </c>
    </row>
    <row r="2836" spans="1:20" ht="14.5" x14ac:dyDescent="0.35">
      <c r="A2836" s="10" t="s">
        <v>18538</v>
      </c>
      <c r="B2836" s="10" t="str">
        <f>"9780889202313"</f>
        <v>9780889202313</v>
      </c>
      <c r="C2836" s="10" t="str">
        <f>"9780889208919"</f>
        <v>9780889208919</v>
      </c>
      <c r="D2836" s="10" t="s">
        <v>18539</v>
      </c>
      <c r="E2836" s="10" t="s">
        <v>18540</v>
      </c>
      <c r="F2836" s="10" t="s">
        <v>18541</v>
      </c>
      <c r="G2836" s="10" t="s">
        <v>9536</v>
      </c>
      <c r="H2836" s="11">
        <v>38747</v>
      </c>
      <c r="I2836" s="10">
        <v>2006</v>
      </c>
      <c r="J2836" s="10" t="s">
        <v>18540</v>
      </c>
      <c r="K2836" s="10">
        <v>360</v>
      </c>
      <c r="L2836" s="10" t="s">
        <v>18542</v>
      </c>
      <c r="M2836" s="10">
        <v>1</v>
      </c>
      <c r="N2836" s="10"/>
      <c r="O2836" s="10"/>
      <c r="P2836" s="10" t="s">
        <v>18543</v>
      </c>
      <c r="Q2836" s="10" t="s">
        <v>18544</v>
      </c>
      <c r="R2836" s="10" t="s">
        <v>18545</v>
      </c>
      <c r="S2836" s="10" t="s">
        <v>53</v>
      </c>
      <c r="T2836" s="10" t="s">
        <v>54</v>
      </c>
    </row>
    <row r="2837" spans="1:20" ht="14.5" x14ac:dyDescent="0.35">
      <c r="A2837" s="10" t="s">
        <v>18546</v>
      </c>
      <c r="B2837" s="10" t="str">
        <f>"9780889209824"</f>
        <v>9780889209824</v>
      </c>
      <c r="C2837" s="10" t="str">
        <f>"9780889208896"</f>
        <v>9780889208896</v>
      </c>
      <c r="D2837" s="10" t="s">
        <v>18539</v>
      </c>
      <c r="E2837" s="10" t="s">
        <v>18540</v>
      </c>
      <c r="F2837" s="10" t="s">
        <v>18541</v>
      </c>
      <c r="G2837" s="10" t="s">
        <v>9536</v>
      </c>
      <c r="H2837" s="11">
        <v>33054</v>
      </c>
      <c r="I2837" s="10">
        <v>1990</v>
      </c>
      <c r="J2837" s="10" t="s">
        <v>18540</v>
      </c>
      <c r="K2837" s="10">
        <v>433</v>
      </c>
      <c r="L2837" s="10" t="s">
        <v>18542</v>
      </c>
      <c r="M2837" s="10">
        <v>1</v>
      </c>
      <c r="N2837" s="10"/>
      <c r="O2837" s="10"/>
      <c r="P2837" s="10" t="s">
        <v>18547</v>
      </c>
      <c r="Q2837" s="10">
        <v>370.9</v>
      </c>
      <c r="R2837" s="10" t="s">
        <v>18548</v>
      </c>
      <c r="S2837" s="10" t="s">
        <v>53</v>
      </c>
      <c r="T2837" s="10" t="s">
        <v>54</v>
      </c>
    </row>
    <row r="2838" spans="1:20" ht="14.5" x14ac:dyDescent="0.35">
      <c r="A2838" s="10" t="s">
        <v>18549</v>
      </c>
      <c r="B2838" s="10" t="str">
        <f>"9780889204430"</f>
        <v>9780889204430</v>
      </c>
      <c r="C2838" s="10" t="str">
        <f>"9781554581160"</f>
        <v>9781554581160</v>
      </c>
      <c r="D2838" s="10" t="s">
        <v>18539</v>
      </c>
      <c r="E2838" s="10" t="s">
        <v>18540</v>
      </c>
      <c r="F2838" s="10" t="s">
        <v>18541</v>
      </c>
      <c r="G2838" s="10" t="s">
        <v>9536</v>
      </c>
      <c r="H2838" s="11">
        <v>37428</v>
      </c>
      <c r="I2838" s="10">
        <v>2004</v>
      </c>
      <c r="J2838" s="10" t="s">
        <v>18540</v>
      </c>
      <c r="K2838" s="10">
        <v>253</v>
      </c>
      <c r="L2838" s="10" t="s">
        <v>18550</v>
      </c>
      <c r="M2838" s="10">
        <v>1</v>
      </c>
      <c r="N2838" s="10"/>
      <c r="O2838" s="10"/>
      <c r="P2838" s="10" t="s">
        <v>18551</v>
      </c>
      <c r="Q2838" s="10" t="s">
        <v>18552</v>
      </c>
      <c r="R2838" s="10" t="s">
        <v>18553</v>
      </c>
      <c r="S2838" s="10" t="s">
        <v>53</v>
      </c>
      <c r="T2838" s="10" t="s">
        <v>54</v>
      </c>
    </row>
    <row r="2839" spans="1:20" ht="14.5" x14ac:dyDescent="0.35">
      <c r="A2839" s="10" t="s">
        <v>18554</v>
      </c>
      <c r="B2839" s="10" t="str">
        <f>"9780889201835"</f>
        <v>9780889201835</v>
      </c>
      <c r="C2839" s="10" t="str">
        <f>"9780889206571"</f>
        <v>9780889206571</v>
      </c>
      <c r="D2839" s="10" t="s">
        <v>18539</v>
      </c>
      <c r="E2839" s="10" t="s">
        <v>18540</v>
      </c>
      <c r="F2839" s="10" t="s">
        <v>18541</v>
      </c>
      <c r="G2839" s="10" t="s">
        <v>9536</v>
      </c>
      <c r="H2839" s="11">
        <v>31188</v>
      </c>
      <c r="I2839" s="10">
        <v>1985</v>
      </c>
      <c r="J2839" s="10" t="s">
        <v>18540</v>
      </c>
      <c r="K2839" s="10">
        <v>685</v>
      </c>
      <c r="L2839" s="10" t="s">
        <v>18555</v>
      </c>
      <c r="M2839" s="10">
        <v>1</v>
      </c>
      <c r="N2839" s="10" t="s">
        <v>18556</v>
      </c>
      <c r="O2839" s="10">
        <v>7</v>
      </c>
      <c r="P2839" s="10" t="s">
        <v>18557</v>
      </c>
      <c r="Q2839" s="10" t="s">
        <v>18558</v>
      </c>
      <c r="R2839" s="10" t="s">
        <v>18559</v>
      </c>
      <c r="S2839" s="10" t="s">
        <v>5404</v>
      </c>
      <c r="T2839" s="10" t="s">
        <v>8346</v>
      </c>
    </row>
    <row r="2840" spans="1:20" ht="14.5" x14ac:dyDescent="0.35">
      <c r="A2840" s="10" t="s">
        <v>18560</v>
      </c>
      <c r="B2840" s="10" t="str">
        <f>"9780889204737"</f>
        <v>9780889204737</v>
      </c>
      <c r="C2840" s="10" t="str">
        <f>"9780889209374"</f>
        <v>9780889209374</v>
      </c>
      <c r="D2840" s="10" t="s">
        <v>18539</v>
      </c>
      <c r="E2840" s="10" t="s">
        <v>18540</v>
      </c>
      <c r="F2840" s="10" t="s">
        <v>18541</v>
      </c>
      <c r="G2840" s="10" t="s">
        <v>9536</v>
      </c>
      <c r="H2840" s="11">
        <v>38260</v>
      </c>
      <c r="I2840" s="10">
        <v>2004</v>
      </c>
      <c r="J2840" s="10" t="s">
        <v>18540</v>
      </c>
      <c r="K2840" s="10">
        <v>161</v>
      </c>
      <c r="L2840" s="10" t="s">
        <v>18561</v>
      </c>
      <c r="M2840" s="10">
        <v>1</v>
      </c>
      <c r="N2840" s="10"/>
      <c r="O2840" s="10"/>
      <c r="P2840" s="10" t="s">
        <v>18562</v>
      </c>
      <c r="Q2840" s="10" t="s">
        <v>18563</v>
      </c>
      <c r="R2840" s="10" t="s">
        <v>18564</v>
      </c>
      <c r="S2840" s="10" t="s">
        <v>53</v>
      </c>
      <c r="T2840" s="10" t="s">
        <v>54</v>
      </c>
    </row>
    <row r="2841" spans="1:20" ht="14.5" x14ac:dyDescent="0.35">
      <c r="A2841" s="10" t="s">
        <v>18565</v>
      </c>
      <c r="B2841" s="10" t="str">
        <f>"9780889209961"</f>
        <v>9780889209961</v>
      </c>
      <c r="C2841" s="10" t="str">
        <f>"9780889205550"</f>
        <v>9780889205550</v>
      </c>
      <c r="D2841" s="10" t="s">
        <v>18539</v>
      </c>
      <c r="E2841" s="10" t="s">
        <v>18540</v>
      </c>
      <c r="F2841" s="10" t="s">
        <v>18541</v>
      </c>
      <c r="G2841" s="10" t="s">
        <v>9536</v>
      </c>
      <c r="H2841" s="11">
        <v>33161</v>
      </c>
      <c r="I2841" s="10">
        <v>1990</v>
      </c>
      <c r="J2841" s="10" t="s">
        <v>18540</v>
      </c>
      <c r="K2841" s="10">
        <v>328</v>
      </c>
      <c r="L2841" s="10" t="s">
        <v>18566</v>
      </c>
      <c r="M2841" s="10">
        <v>1</v>
      </c>
      <c r="N2841" s="10"/>
      <c r="O2841" s="10"/>
      <c r="P2841" s="10" t="s">
        <v>18567</v>
      </c>
      <c r="Q2841" s="10" t="s">
        <v>18568</v>
      </c>
      <c r="R2841" s="10" t="s">
        <v>18569</v>
      </c>
      <c r="S2841" s="10" t="s">
        <v>53</v>
      </c>
      <c r="T2841" s="10" t="s">
        <v>54</v>
      </c>
    </row>
    <row r="2842" spans="1:20" ht="14.5" x14ac:dyDescent="0.35">
      <c r="A2842" s="10" t="s">
        <v>18570</v>
      </c>
      <c r="B2842" s="10" t="str">
        <f>"9780739150436"</f>
        <v>9780739150436</v>
      </c>
      <c r="C2842" s="10" t="str">
        <f>"9780739150450"</f>
        <v>9780739150450</v>
      </c>
      <c r="D2842" s="10" t="s">
        <v>9752</v>
      </c>
      <c r="E2842" s="10" t="s">
        <v>15182</v>
      </c>
      <c r="F2842" s="10" t="s">
        <v>9754</v>
      </c>
      <c r="G2842" s="10" t="s">
        <v>6317</v>
      </c>
      <c r="H2842" s="11">
        <v>40633</v>
      </c>
      <c r="I2842" s="10">
        <v>2011</v>
      </c>
      <c r="J2842" s="10" t="s">
        <v>15182</v>
      </c>
      <c r="K2842" s="10">
        <v>185</v>
      </c>
      <c r="L2842" s="10" t="s">
        <v>18571</v>
      </c>
      <c r="M2842" s="10">
        <v>1</v>
      </c>
      <c r="N2842" s="10"/>
      <c r="O2842" s="10"/>
      <c r="P2842" s="10" t="s">
        <v>18572</v>
      </c>
      <c r="Q2842" s="10" t="s">
        <v>18573</v>
      </c>
      <c r="R2842" s="10" t="s">
        <v>18574</v>
      </c>
      <c r="S2842" s="10" t="s">
        <v>53</v>
      </c>
      <c r="T2842" s="10" t="s">
        <v>6363</v>
      </c>
    </row>
    <row r="2843" spans="1:20" ht="14.5" x14ac:dyDescent="0.35">
      <c r="A2843" s="10" t="s">
        <v>18575</v>
      </c>
      <c r="B2843" s="10" t="str">
        <f>"9781610480239"</f>
        <v>9781610480239</v>
      </c>
      <c r="C2843" s="10" t="str">
        <f>"9781610480253"</f>
        <v>9781610480253</v>
      </c>
      <c r="D2843" s="10" t="s">
        <v>9752</v>
      </c>
      <c r="E2843" s="10" t="s">
        <v>15192</v>
      </c>
      <c r="F2843" s="10" t="s">
        <v>9754</v>
      </c>
      <c r="G2843" s="10" t="s">
        <v>6317</v>
      </c>
      <c r="H2843" s="11">
        <v>40710</v>
      </c>
      <c r="I2843" s="10">
        <v>2011</v>
      </c>
      <c r="J2843" s="10" t="s">
        <v>15192</v>
      </c>
      <c r="K2843" s="10">
        <v>167</v>
      </c>
      <c r="L2843" s="10" t="s">
        <v>18576</v>
      </c>
      <c r="M2843" s="10">
        <v>1</v>
      </c>
      <c r="N2843" s="10"/>
      <c r="O2843" s="10"/>
      <c r="P2843" s="10" t="s">
        <v>18577</v>
      </c>
      <c r="Q2843" s="10">
        <v>371.10199999999998</v>
      </c>
      <c r="R2843" s="10" t="s">
        <v>18578</v>
      </c>
      <c r="S2843" s="10" t="s">
        <v>53</v>
      </c>
      <c r="T2843" s="10" t="s">
        <v>54</v>
      </c>
    </row>
    <row r="2844" spans="1:20" ht="14.5" x14ac:dyDescent="0.35">
      <c r="A2844" s="10" t="s">
        <v>18579</v>
      </c>
      <c r="B2844" s="10" t="str">
        <f>"9781610480420"</f>
        <v>9781610480420</v>
      </c>
      <c r="C2844" s="10" t="str">
        <f>"9781610480437"</f>
        <v>9781610480437</v>
      </c>
      <c r="D2844" s="10" t="s">
        <v>9752</v>
      </c>
      <c r="E2844" s="10" t="s">
        <v>15192</v>
      </c>
      <c r="F2844" s="10" t="s">
        <v>9754</v>
      </c>
      <c r="G2844" s="10" t="s">
        <v>6317</v>
      </c>
      <c r="H2844" s="11">
        <v>40679</v>
      </c>
      <c r="I2844" s="10">
        <v>2011</v>
      </c>
      <c r="J2844" s="10" t="s">
        <v>15192</v>
      </c>
      <c r="K2844" s="10">
        <v>133</v>
      </c>
      <c r="L2844" s="10" t="s">
        <v>18580</v>
      </c>
      <c r="M2844" s="10">
        <v>1</v>
      </c>
      <c r="N2844" s="10"/>
      <c r="O2844" s="10"/>
      <c r="P2844" s="10" t="s">
        <v>18581</v>
      </c>
      <c r="Q2844" s="10" t="s">
        <v>14668</v>
      </c>
      <c r="R2844" s="10" t="s">
        <v>18582</v>
      </c>
      <c r="S2844" s="10" t="s">
        <v>53</v>
      </c>
      <c r="T2844" s="10" t="s">
        <v>54</v>
      </c>
    </row>
    <row r="2845" spans="1:20" ht="14.5" x14ac:dyDescent="0.35">
      <c r="A2845" s="10" t="s">
        <v>18583</v>
      </c>
      <c r="B2845" s="10" t="str">
        <f>"9781607098973"</f>
        <v>9781607098973</v>
      </c>
      <c r="C2845" s="10" t="str">
        <f>"9781607098997"</f>
        <v>9781607098997</v>
      </c>
      <c r="D2845" s="10" t="s">
        <v>9752</v>
      </c>
      <c r="E2845" s="10" t="s">
        <v>15192</v>
      </c>
      <c r="F2845" s="10" t="s">
        <v>9754</v>
      </c>
      <c r="G2845" s="10" t="s">
        <v>6317</v>
      </c>
      <c r="H2845" s="11">
        <v>40528</v>
      </c>
      <c r="I2845" s="10">
        <v>2010</v>
      </c>
      <c r="J2845" s="10" t="s">
        <v>15192</v>
      </c>
      <c r="K2845" s="10">
        <v>232</v>
      </c>
      <c r="L2845" s="10" t="s">
        <v>18584</v>
      </c>
      <c r="M2845" s="10">
        <v>2</v>
      </c>
      <c r="N2845" s="10"/>
      <c r="O2845" s="10"/>
      <c r="P2845" s="10" t="s">
        <v>18585</v>
      </c>
      <c r="Q2845" s="10">
        <v>371.20600000000002</v>
      </c>
      <c r="R2845" s="10" t="s">
        <v>18586</v>
      </c>
      <c r="S2845" s="10" t="s">
        <v>53</v>
      </c>
      <c r="T2845" s="10" t="s">
        <v>54</v>
      </c>
    </row>
    <row r="2846" spans="1:20" ht="14.5" x14ac:dyDescent="0.35">
      <c r="A2846" s="10" t="s">
        <v>18587</v>
      </c>
      <c r="B2846" s="10" t="str">
        <f>"9781844452026"</f>
        <v>9781844452026</v>
      </c>
      <c r="C2846" s="10" t="str">
        <f>"9781844458233"</f>
        <v>9781844458233</v>
      </c>
      <c r="D2846" s="10" t="s">
        <v>9325</v>
      </c>
      <c r="E2846" s="10" t="s">
        <v>9326</v>
      </c>
      <c r="F2846" s="10" t="s">
        <v>139</v>
      </c>
      <c r="G2846" s="10" t="s">
        <v>6352</v>
      </c>
      <c r="H2846" s="11">
        <v>39905</v>
      </c>
      <c r="I2846" s="10">
        <v>2009</v>
      </c>
      <c r="J2846" s="10" t="s">
        <v>18376</v>
      </c>
      <c r="K2846" s="10">
        <v>207</v>
      </c>
      <c r="L2846" s="10" t="s">
        <v>18588</v>
      </c>
      <c r="M2846" s="10">
        <v>1</v>
      </c>
      <c r="N2846" s="10" t="s">
        <v>18589</v>
      </c>
      <c r="O2846" s="10"/>
      <c r="P2846" s="10" t="s">
        <v>18590</v>
      </c>
      <c r="Q2846" s="10">
        <v>372.11020000000002</v>
      </c>
      <c r="R2846" s="10" t="s">
        <v>18591</v>
      </c>
      <c r="S2846" s="10" t="s">
        <v>53</v>
      </c>
      <c r="T2846" s="10" t="s">
        <v>54</v>
      </c>
    </row>
    <row r="2847" spans="1:20" ht="14.5" x14ac:dyDescent="0.35">
      <c r="A2847" s="10" t="s">
        <v>18592</v>
      </c>
      <c r="B2847" s="10" t="str">
        <f>"9781844451074"</f>
        <v>9781844451074</v>
      </c>
      <c r="C2847" s="10" t="str">
        <f>"9781844458028"</f>
        <v>9781844458028</v>
      </c>
      <c r="D2847" s="10" t="s">
        <v>9325</v>
      </c>
      <c r="E2847" s="10" t="s">
        <v>9326</v>
      </c>
      <c r="F2847" s="10" t="s">
        <v>139</v>
      </c>
      <c r="G2847" s="10" t="s">
        <v>6352</v>
      </c>
      <c r="H2847" s="11">
        <v>41096</v>
      </c>
      <c r="I2847" s="10">
        <v>2008</v>
      </c>
      <c r="J2847" s="10" t="s">
        <v>18376</v>
      </c>
      <c r="K2847" s="10">
        <v>174</v>
      </c>
      <c r="L2847" s="10" t="s">
        <v>18593</v>
      </c>
      <c r="M2847" s="10">
        <v>1</v>
      </c>
      <c r="N2847" s="10" t="s">
        <v>18589</v>
      </c>
      <c r="O2847" s="10"/>
      <c r="P2847" s="10" t="s">
        <v>18594</v>
      </c>
      <c r="Q2847" s="10">
        <v>373.11020000000002</v>
      </c>
      <c r="R2847" s="10" t="s">
        <v>18595</v>
      </c>
      <c r="S2847" s="10" t="s">
        <v>53</v>
      </c>
      <c r="T2847" s="10" t="s">
        <v>54</v>
      </c>
    </row>
    <row r="2848" spans="1:20" ht="14.5" x14ac:dyDescent="0.35">
      <c r="A2848" s="10" t="s">
        <v>18596</v>
      </c>
      <c r="B2848" s="10" t="str">
        <f>"9781844451043"</f>
        <v>9781844451043</v>
      </c>
      <c r="C2848" s="10" t="str">
        <f>"9781844453146"</f>
        <v>9781844453146</v>
      </c>
      <c r="D2848" s="10" t="s">
        <v>9325</v>
      </c>
      <c r="E2848" s="10" t="s">
        <v>9326</v>
      </c>
      <c r="F2848" s="10" t="s">
        <v>139</v>
      </c>
      <c r="G2848" s="10" t="s">
        <v>6352</v>
      </c>
      <c r="H2848" s="11">
        <v>39512</v>
      </c>
      <c r="I2848" s="10">
        <v>2008</v>
      </c>
      <c r="J2848" s="10" t="s">
        <v>18376</v>
      </c>
      <c r="K2848" s="10">
        <v>156</v>
      </c>
      <c r="L2848" s="10" t="s">
        <v>18597</v>
      </c>
      <c r="M2848" s="10">
        <v>1</v>
      </c>
      <c r="N2848" s="10" t="s">
        <v>18598</v>
      </c>
      <c r="O2848" s="10"/>
      <c r="P2848" s="10" t="s">
        <v>18599</v>
      </c>
      <c r="Q2848" s="10">
        <v>372.6044</v>
      </c>
      <c r="R2848" s="10" t="s">
        <v>16794</v>
      </c>
      <c r="S2848" s="10" t="s">
        <v>53</v>
      </c>
      <c r="T2848" s="10" t="s">
        <v>54</v>
      </c>
    </row>
    <row r="2849" spans="1:20" ht="14.5" x14ac:dyDescent="0.35">
      <c r="A2849" s="10" t="s">
        <v>18600</v>
      </c>
      <c r="B2849" s="10" t="str">
        <f>"9781844451029"</f>
        <v>9781844451029</v>
      </c>
      <c r="C2849" s="10" t="str">
        <f>"9781844453245"</f>
        <v>9781844453245</v>
      </c>
      <c r="D2849" s="10" t="s">
        <v>9325</v>
      </c>
      <c r="E2849" s="10" t="s">
        <v>9326</v>
      </c>
      <c r="F2849" s="10" t="s">
        <v>139</v>
      </c>
      <c r="G2849" s="10" t="s">
        <v>6352</v>
      </c>
      <c r="H2849" s="11">
        <v>39237</v>
      </c>
      <c r="I2849" s="10">
        <v>2007</v>
      </c>
      <c r="J2849" s="10" t="s">
        <v>18376</v>
      </c>
      <c r="K2849" s="10">
        <v>129</v>
      </c>
      <c r="L2849" s="10" t="s">
        <v>18601</v>
      </c>
      <c r="M2849" s="10">
        <v>2</v>
      </c>
      <c r="N2849" s="10" t="s">
        <v>18602</v>
      </c>
      <c r="O2849" s="10"/>
      <c r="P2849" s="10" t="s">
        <v>18603</v>
      </c>
      <c r="Q2849" s="10">
        <v>371.10199999999998</v>
      </c>
      <c r="R2849" s="10" t="s">
        <v>18604</v>
      </c>
      <c r="S2849" s="10" t="s">
        <v>53</v>
      </c>
      <c r="T2849" s="10" t="s">
        <v>54</v>
      </c>
    </row>
    <row r="2850" spans="1:20" ht="14.5" x14ac:dyDescent="0.35">
      <c r="A2850" s="10" t="s">
        <v>18605</v>
      </c>
      <c r="B2850" s="10" t="str">
        <f>"9781844450541"</f>
        <v>9781844450541</v>
      </c>
      <c r="C2850" s="10" t="str">
        <f>"9781844453160"</f>
        <v>9781844453160</v>
      </c>
      <c r="D2850" s="10" t="s">
        <v>9325</v>
      </c>
      <c r="E2850" s="10" t="s">
        <v>9326</v>
      </c>
      <c r="F2850" s="10" t="s">
        <v>139</v>
      </c>
      <c r="G2850" s="10" t="s">
        <v>6352</v>
      </c>
      <c r="H2850" s="11">
        <v>39742</v>
      </c>
      <c r="I2850" s="10">
        <v>2008</v>
      </c>
      <c r="J2850" s="10" t="s">
        <v>18376</v>
      </c>
      <c r="K2850" s="10">
        <v>167</v>
      </c>
      <c r="L2850" s="10" t="s">
        <v>18606</v>
      </c>
      <c r="M2850" s="10">
        <v>1</v>
      </c>
      <c r="N2850" s="10" t="s">
        <v>18598</v>
      </c>
      <c r="O2850" s="10"/>
      <c r="P2850" s="10" t="s">
        <v>18607</v>
      </c>
      <c r="Q2850" s="10">
        <v>510.24372</v>
      </c>
      <c r="R2850" s="10" t="s">
        <v>12598</v>
      </c>
      <c r="S2850" s="10" t="s">
        <v>53</v>
      </c>
      <c r="T2850" s="10" t="s">
        <v>389</v>
      </c>
    </row>
    <row r="2851" spans="1:20" ht="14.5" x14ac:dyDescent="0.35">
      <c r="A2851" s="10" t="s">
        <v>18608</v>
      </c>
      <c r="B2851" s="10" t="str">
        <f>"9781844451883"</f>
        <v>9781844451883</v>
      </c>
      <c r="C2851" s="10" t="str">
        <f>"9781844458196"</f>
        <v>9781844458196</v>
      </c>
      <c r="D2851" s="10" t="s">
        <v>9325</v>
      </c>
      <c r="E2851" s="10" t="s">
        <v>9326</v>
      </c>
      <c r="F2851" s="10" t="s">
        <v>139</v>
      </c>
      <c r="G2851" s="10" t="s">
        <v>6352</v>
      </c>
      <c r="H2851" s="11">
        <v>39822</v>
      </c>
      <c r="I2851" s="10">
        <v>2009</v>
      </c>
      <c r="J2851" s="10" t="s">
        <v>18376</v>
      </c>
      <c r="K2851" s="10">
        <v>143</v>
      </c>
      <c r="L2851" s="10" t="s">
        <v>18609</v>
      </c>
      <c r="M2851" s="10">
        <v>1</v>
      </c>
      <c r="N2851" s="10" t="s">
        <v>18589</v>
      </c>
      <c r="O2851" s="10"/>
      <c r="P2851" s="10" t="s">
        <v>18610</v>
      </c>
      <c r="Q2851" s="10">
        <v>370.15230000000003</v>
      </c>
      <c r="R2851" s="10" t="s">
        <v>18611</v>
      </c>
      <c r="S2851" s="10" t="s">
        <v>53</v>
      </c>
      <c r="T2851" s="10" t="s">
        <v>54</v>
      </c>
    </row>
    <row r="2852" spans="1:20" ht="14.5" x14ac:dyDescent="0.35">
      <c r="A2852" s="10" t="s">
        <v>18612</v>
      </c>
      <c r="B2852" s="10" t="str">
        <f>"9781844451722"</f>
        <v>9781844451722</v>
      </c>
      <c r="C2852" s="10" t="str">
        <f>"9781844458158"</f>
        <v>9781844458158</v>
      </c>
      <c r="D2852" s="10" t="s">
        <v>9325</v>
      </c>
      <c r="E2852" s="10" t="s">
        <v>9326</v>
      </c>
      <c r="F2852" s="10" t="s">
        <v>139</v>
      </c>
      <c r="G2852" s="10" t="s">
        <v>6352</v>
      </c>
      <c r="H2852" s="11">
        <v>39654</v>
      </c>
      <c r="I2852" s="10">
        <v>2008</v>
      </c>
      <c r="J2852" s="10" t="s">
        <v>18376</v>
      </c>
      <c r="K2852" s="10">
        <v>153</v>
      </c>
      <c r="L2852" s="10" t="s">
        <v>18613</v>
      </c>
      <c r="M2852" s="10">
        <v>1</v>
      </c>
      <c r="N2852" s="10" t="s">
        <v>18378</v>
      </c>
      <c r="O2852" s="10"/>
      <c r="P2852" s="10" t="s">
        <v>18614</v>
      </c>
      <c r="Q2852" s="10">
        <v>372.21</v>
      </c>
      <c r="R2852" s="10" t="s">
        <v>18615</v>
      </c>
      <c r="S2852" s="10" t="s">
        <v>53</v>
      </c>
      <c r="T2852" s="10" t="s">
        <v>6472</v>
      </c>
    </row>
    <row r="2853" spans="1:20" ht="14.5" x14ac:dyDescent="0.35">
      <c r="A2853" s="10" t="s">
        <v>18616</v>
      </c>
      <c r="B2853" s="10" t="str">
        <f>"9781844450732"</f>
        <v>9781844450732</v>
      </c>
      <c r="C2853" s="10" t="str">
        <f>"9781844453115"</f>
        <v>9781844453115</v>
      </c>
      <c r="D2853" s="10" t="s">
        <v>9325</v>
      </c>
      <c r="E2853" s="10" t="s">
        <v>9326</v>
      </c>
      <c r="F2853" s="10" t="s">
        <v>139</v>
      </c>
      <c r="G2853" s="10" t="s">
        <v>6352</v>
      </c>
      <c r="H2853" s="11">
        <v>39126</v>
      </c>
      <c r="I2853" s="10">
        <v>2007</v>
      </c>
      <c r="J2853" s="10" t="s">
        <v>18376</v>
      </c>
      <c r="K2853" s="10">
        <v>179</v>
      </c>
      <c r="L2853" s="10" t="s">
        <v>18617</v>
      </c>
      <c r="M2853" s="10">
        <v>1</v>
      </c>
      <c r="N2853" s="10" t="s">
        <v>18618</v>
      </c>
      <c r="O2853" s="10"/>
      <c r="P2853" s="10" t="s">
        <v>18619</v>
      </c>
      <c r="Q2853" s="10">
        <v>373.01180941000001</v>
      </c>
      <c r="R2853" s="10" t="s">
        <v>18620</v>
      </c>
      <c r="S2853" s="10" t="s">
        <v>53</v>
      </c>
      <c r="T2853" s="10" t="s">
        <v>54</v>
      </c>
    </row>
    <row r="2854" spans="1:20" ht="14.5" x14ac:dyDescent="0.35">
      <c r="A2854" s="10" t="s">
        <v>18621</v>
      </c>
      <c r="B2854" s="10" t="str">
        <f>"9781844451388"</f>
        <v>9781844451388</v>
      </c>
      <c r="C2854" s="10" t="str">
        <f>"9781844458059"</f>
        <v>9781844458059</v>
      </c>
      <c r="D2854" s="10" t="s">
        <v>9325</v>
      </c>
      <c r="E2854" s="10" t="s">
        <v>9326</v>
      </c>
      <c r="F2854" s="10" t="s">
        <v>139</v>
      </c>
      <c r="G2854" s="10" t="s">
        <v>6352</v>
      </c>
      <c r="H2854" s="11">
        <v>39737</v>
      </c>
      <c r="I2854" s="10">
        <v>2009</v>
      </c>
      <c r="J2854" s="10" t="s">
        <v>18376</v>
      </c>
      <c r="K2854" s="10">
        <v>218</v>
      </c>
      <c r="L2854" s="10" t="s">
        <v>18622</v>
      </c>
      <c r="M2854" s="10">
        <v>1</v>
      </c>
      <c r="N2854" s="10" t="s">
        <v>18589</v>
      </c>
      <c r="O2854" s="10"/>
      <c r="P2854" s="10" t="s">
        <v>18623</v>
      </c>
      <c r="Q2854" s="10">
        <v>372.65</v>
      </c>
      <c r="R2854" s="10" t="s">
        <v>18624</v>
      </c>
      <c r="S2854" s="10" t="s">
        <v>53</v>
      </c>
      <c r="T2854" s="10" t="s">
        <v>6634</v>
      </c>
    </row>
    <row r="2855" spans="1:20" ht="14.5" x14ac:dyDescent="0.35">
      <c r="A2855" s="10" t="s">
        <v>18625</v>
      </c>
      <c r="B2855" s="10" t="str">
        <f>"9781844452149"</f>
        <v>9781844452149</v>
      </c>
      <c r="C2855" s="10" t="str">
        <f>"9780857253484"</f>
        <v>9780857253484</v>
      </c>
      <c r="D2855" s="10" t="s">
        <v>9325</v>
      </c>
      <c r="E2855" s="10" t="s">
        <v>9326</v>
      </c>
      <c r="F2855" s="10" t="s">
        <v>139</v>
      </c>
      <c r="G2855" s="10" t="s">
        <v>6352</v>
      </c>
      <c r="H2855" s="11">
        <v>40218</v>
      </c>
      <c r="I2855" s="10">
        <v>2010</v>
      </c>
      <c r="J2855" s="10" t="s">
        <v>18376</v>
      </c>
      <c r="K2855" s="10">
        <v>208</v>
      </c>
      <c r="L2855" s="10" t="s">
        <v>18626</v>
      </c>
      <c r="M2855" s="10">
        <v>1</v>
      </c>
      <c r="N2855" s="10" t="s">
        <v>18627</v>
      </c>
      <c r="O2855" s="10"/>
      <c r="P2855" s="10" t="s">
        <v>18628</v>
      </c>
      <c r="Q2855" s="10">
        <v>370.71100000000001</v>
      </c>
      <c r="R2855" s="10" t="s">
        <v>18629</v>
      </c>
      <c r="S2855" s="10" t="s">
        <v>53</v>
      </c>
      <c r="T2855" s="10" t="s">
        <v>54</v>
      </c>
    </row>
    <row r="2856" spans="1:20" ht="14.5" x14ac:dyDescent="0.35">
      <c r="A2856" s="10" t="s">
        <v>18630</v>
      </c>
      <c r="B2856" s="10" t="str">
        <f>"9781844450756"</f>
        <v>9781844450756</v>
      </c>
      <c r="C2856" s="10" t="str">
        <f>"9781844453207"</f>
        <v>9781844453207</v>
      </c>
      <c r="D2856" s="10" t="s">
        <v>9325</v>
      </c>
      <c r="E2856" s="10" t="s">
        <v>9326</v>
      </c>
      <c r="F2856" s="10" t="s">
        <v>139</v>
      </c>
      <c r="G2856" s="10" t="s">
        <v>6352</v>
      </c>
      <c r="H2856" s="11">
        <v>39290</v>
      </c>
      <c r="I2856" s="10">
        <v>2007</v>
      </c>
      <c r="J2856" s="10" t="s">
        <v>18376</v>
      </c>
      <c r="K2856" s="10">
        <v>254</v>
      </c>
      <c r="L2856" s="10" t="s">
        <v>18631</v>
      </c>
      <c r="M2856" s="10">
        <v>1</v>
      </c>
      <c r="N2856" s="10" t="s">
        <v>18632</v>
      </c>
      <c r="O2856" s="10"/>
      <c r="P2856" s="10" t="s">
        <v>18633</v>
      </c>
      <c r="Q2856" s="10">
        <v>305.23</v>
      </c>
      <c r="R2856" s="10" t="s">
        <v>18634</v>
      </c>
      <c r="S2856" s="10" t="s">
        <v>53</v>
      </c>
      <c r="T2856" s="10" t="s">
        <v>6363</v>
      </c>
    </row>
    <row r="2857" spans="1:20" ht="14.5" x14ac:dyDescent="0.35">
      <c r="A2857" s="10" t="s">
        <v>18635</v>
      </c>
      <c r="B2857" s="10" t="str">
        <f>"9781441123169"</f>
        <v>9781441123169</v>
      </c>
      <c r="C2857" s="10" t="str">
        <f>"9781441169433"</f>
        <v>9781441169433</v>
      </c>
      <c r="D2857" s="10" t="s">
        <v>13959</v>
      </c>
      <c r="E2857" s="10" t="s">
        <v>13960</v>
      </c>
      <c r="F2857" s="10" t="s">
        <v>139</v>
      </c>
      <c r="G2857" s="10" t="s">
        <v>6352</v>
      </c>
      <c r="H2857" s="11">
        <v>41235</v>
      </c>
      <c r="I2857" s="10">
        <v>2011</v>
      </c>
      <c r="J2857" s="10" t="s">
        <v>13960</v>
      </c>
      <c r="K2857" s="10">
        <v>98</v>
      </c>
      <c r="L2857" s="10" t="s">
        <v>18636</v>
      </c>
      <c r="M2857" s="10">
        <v>1</v>
      </c>
      <c r="N2857" s="10" t="s">
        <v>14634</v>
      </c>
      <c r="O2857" s="10"/>
      <c r="P2857" s="10" t="s">
        <v>18637</v>
      </c>
      <c r="Q2857" s="10" t="s">
        <v>18638</v>
      </c>
      <c r="R2857" s="10" t="s">
        <v>18639</v>
      </c>
      <c r="S2857" s="10" t="s">
        <v>53</v>
      </c>
      <c r="T2857" s="10" t="s">
        <v>54</v>
      </c>
    </row>
    <row r="2858" spans="1:20" ht="14.5" x14ac:dyDescent="0.35">
      <c r="A2858" s="10" t="s">
        <v>18640</v>
      </c>
      <c r="B2858" s="10" t="str">
        <f>"9781441102119"</f>
        <v>9781441102119</v>
      </c>
      <c r="C2858" s="10" t="str">
        <f>"9780826434760"</f>
        <v>9780826434760</v>
      </c>
      <c r="D2858" s="10" t="s">
        <v>13959</v>
      </c>
      <c r="E2858" s="10" t="s">
        <v>13960</v>
      </c>
      <c r="F2858" s="10" t="s">
        <v>139</v>
      </c>
      <c r="G2858" s="10" t="s">
        <v>6352</v>
      </c>
      <c r="H2858" s="11">
        <v>40724</v>
      </c>
      <c r="I2858" s="10">
        <v>2011</v>
      </c>
      <c r="J2858" s="10" t="s">
        <v>13961</v>
      </c>
      <c r="K2858" s="10">
        <v>169</v>
      </c>
      <c r="L2858" s="10" t="s">
        <v>16972</v>
      </c>
      <c r="M2858" s="10">
        <v>1</v>
      </c>
      <c r="N2858" s="10" t="s">
        <v>16842</v>
      </c>
      <c r="O2858" s="10"/>
      <c r="P2858" s="10" t="s">
        <v>18641</v>
      </c>
      <c r="Q2858" s="10">
        <v>428.40712000000002</v>
      </c>
      <c r="R2858" s="10" t="s">
        <v>18642</v>
      </c>
      <c r="S2858" s="10" t="s">
        <v>53</v>
      </c>
      <c r="T2858" s="10" t="s">
        <v>6634</v>
      </c>
    </row>
    <row r="2859" spans="1:20" ht="14.5" x14ac:dyDescent="0.35">
      <c r="A2859" s="10" t="s">
        <v>18643</v>
      </c>
      <c r="B2859" s="10" t="str">
        <f>"9781441132185"</f>
        <v>9781441132185</v>
      </c>
      <c r="C2859" s="10" t="str">
        <f>"9781441128201"</f>
        <v>9781441128201</v>
      </c>
      <c r="D2859" s="10" t="s">
        <v>13959</v>
      </c>
      <c r="E2859" s="10" t="s">
        <v>13960</v>
      </c>
      <c r="F2859" s="10" t="s">
        <v>139</v>
      </c>
      <c r="G2859" s="10" t="s">
        <v>6352</v>
      </c>
      <c r="H2859" s="11">
        <v>40710</v>
      </c>
      <c r="I2859" s="10">
        <v>2011</v>
      </c>
      <c r="J2859" s="10" t="s">
        <v>13961</v>
      </c>
      <c r="K2859" s="10">
        <v>217</v>
      </c>
      <c r="L2859" s="10" t="s">
        <v>18644</v>
      </c>
      <c r="M2859" s="10">
        <v>1</v>
      </c>
      <c r="N2859" s="10"/>
      <c r="O2859" s="10"/>
      <c r="P2859" s="10" t="s">
        <v>18645</v>
      </c>
      <c r="Q2859" s="10">
        <v>371.1</v>
      </c>
      <c r="R2859" s="10" t="s">
        <v>18646</v>
      </c>
      <c r="S2859" s="10" t="s">
        <v>53</v>
      </c>
      <c r="T2859" s="10" t="s">
        <v>54</v>
      </c>
    </row>
    <row r="2860" spans="1:20" ht="14.5" x14ac:dyDescent="0.35">
      <c r="A2860" s="10" t="s">
        <v>18647</v>
      </c>
      <c r="B2860" s="10" t="str">
        <f>"9781441138415"</f>
        <v>9781441138415</v>
      </c>
      <c r="C2860" s="10" t="str">
        <f>"9781441134097"</f>
        <v>9781441134097</v>
      </c>
      <c r="D2860" s="10" t="s">
        <v>13959</v>
      </c>
      <c r="E2860" s="10" t="s">
        <v>13960</v>
      </c>
      <c r="F2860" s="10" t="s">
        <v>139</v>
      </c>
      <c r="G2860" s="10" t="s">
        <v>6352</v>
      </c>
      <c r="H2860" s="11">
        <v>40703</v>
      </c>
      <c r="I2860" s="10">
        <v>2011</v>
      </c>
      <c r="J2860" s="10" t="s">
        <v>13961</v>
      </c>
      <c r="K2860" s="10">
        <v>129</v>
      </c>
      <c r="L2860" s="10" t="s">
        <v>18648</v>
      </c>
      <c r="M2860" s="10">
        <v>1</v>
      </c>
      <c r="N2860" s="10" t="s">
        <v>18649</v>
      </c>
      <c r="O2860" s="10"/>
      <c r="P2860" s="10" t="s">
        <v>18650</v>
      </c>
      <c r="Q2860" s="10">
        <v>372.11020000000002</v>
      </c>
      <c r="R2860" s="10" t="s">
        <v>18651</v>
      </c>
      <c r="S2860" s="10" t="s">
        <v>53</v>
      </c>
      <c r="T2860" s="10" t="s">
        <v>54</v>
      </c>
    </row>
    <row r="2861" spans="1:20" ht="14.5" x14ac:dyDescent="0.35">
      <c r="A2861" s="10" t="s">
        <v>18652</v>
      </c>
      <c r="B2861" s="10" t="str">
        <f>"9781441169082"</f>
        <v>9781441169082</v>
      </c>
      <c r="C2861" s="10" t="str">
        <f>"9781441104670"</f>
        <v>9781441104670</v>
      </c>
      <c r="D2861" s="10" t="s">
        <v>13959</v>
      </c>
      <c r="E2861" s="10" t="s">
        <v>13960</v>
      </c>
      <c r="F2861" s="10" t="s">
        <v>139</v>
      </c>
      <c r="G2861" s="10" t="s">
        <v>6352</v>
      </c>
      <c r="H2861" s="11">
        <v>40710</v>
      </c>
      <c r="I2861" s="10">
        <v>2011</v>
      </c>
      <c r="J2861" s="10" t="s">
        <v>13961</v>
      </c>
      <c r="K2861" s="10">
        <v>105</v>
      </c>
      <c r="L2861" s="10" t="s">
        <v>18653</v>
      </c>
      <c r="M2861" s="10">
        <v>1</v>
      </c>
      <c r="N2861" s="10" t="s">
        <v>17023</v>
      </c>
      <c r="O2861" s="10"/>
      <c r="P2861" s="10" t="s">
        <v>18654</v>
      </c>
      <c r="Q2861" s="10">
        <v>371.10239999999999</v>
      </c>
      <c r="R2861" s="10" t="s">
        <v>18655</v>
      </c>
      <c r="S2861" s="10" t="s">
        <v>53</v>
      </c>
      <c r="T2861" s="10" t="s">
        <v>54</v>
      </c>
    </row>
    <row r="2862" spans="1:20" ht="14.5" x14ac:dyDescent="0.35">
      <c r="A2862" s="10" t="s">
        <v>18656</v>
      </c>
      <c r="B2862" s="10" t="str">
        <f>"9781409408055"</f>
        <v>9781409408055</v>
      </c>
      <c r="C2862" s="10" t="str">
        <f>"9781409408062"</f>
        <v>9781409408062</v>
      </c>
      <c r="D2862" s="10" t="s">
        <v>6350</v>
      </c>
      <c r="E2862" s="10" t="s">
        <v>6351</v>
      </c>
      <c r="F2862" s="10" t="s">
        <v>15682</v>
      </c>
      <c r="G2862" s="10" t="s">
        <v>6352</v>
      </c>
      <c r="H2862" s="11">
        <v>40722</v>
      </c>
      <c r="I2862" s="10">
        <v>2011</v>
      </c>
      <c r="J2862" s="10" t="s">
        <v>6353</v>
      </c>
      <c r="K2862" s="10">
        <v>215</v>
      </c>
      <c r="L2862" s="10" t="s">
        <v>18657</v>
      </c>
      <c r="M2862" s="10">
        <v>1</v>
      </c>
      <c r="N2862" s="10"/>
      <c r="O2862" s="10"/>
      <c r="P2862" s="10" t="s">
        <v>18658</v>
      </c>
      <c r="Q2862" s="10">
        <v>153.15199999999999</v>
      </c>
      <c r="R2862" s="10" t="s">
        <v>18659</v>
      </c>
      <c r="S2862" s="10" t="s">
        <v>53</v>
      </c>
      <c r="T2862" s="10" t="s">
        <v>6640</v>
      </c>
    </row>
    <row r="2863" spans="1:20" ht="14.5" x14ac:dyDescent="0.35">
      <c r="A2863" s="10" t="s">
        <v>18660</v>
      </c>
      <c r="B2863" s="10" t="str">
        <f>"9781849208093"</f>
        <v>9781849208093</v>
      </c>
      <c r="C2863" s="10" t="str">
        <f>"9781446210383"</f>
        <v>9781446210383</v>
      </c>
      <c r="D2863" s="10" t="s">
        <v>9325</v>
      </c>
      <c r="E2863" s="10" t="s">
        <v>9326</v>
      </c>
      <c r="F2863" s="10" t="s">
        <v>139</v>
      </c>
      <c r="G2863" s="10" t="s">
        <v>6352</v>
      </c>
      <c r="H2863" s="11">
        <v>40652</v>
      </c>
      <c r="I2863" s="10">
        <v>2011</v>
      </c>
      <c r="J2863" s="10" t="s">
        <v>9326</v>
      </c>
      <c r="K2863" s="10">
        <v>166</v>
      </c>
      <c r="L2863" s="10" t="s">
        <v>12525</v>
      </c>
      <c r="M2863" s="10">
        <v>2</v>
      </c>
      <c r="N2863" s="10"/>
      <c r="O2863" s="10"/>
      <c r="P2863" s="10" t="s">
        <v>18661</v>
      </c>
      <c r="Q2863" s="10">
        <v>371.200941</v>
      </c>
      <c r="R2863" s="10" t="s">
        <v>18662</v>
      </c>
      <c r="S2863" s="10" t="s">
        <v>53</v>
      </c>
      <c r="T2863" s="10" t="s">
        <v>54</v>
      </c>
    </row>
    <row r="2864" spans="1:20" ht="14.5" x14ac:dyDescent="0.35">
      <c r="A2864" s="10" t="s">
        <v>18663</v>
      </c>
      <c r="B2864" s="10" t="str">
        <f>"9780857027375"</f>
        <v>9780857027375</v>
      </c>
      <c r="C2864" s="10" t="str">
        <f>"9781446209523"</f>
        <v>9781446209523</v>
      </c>
      <c r="D2864" s="10" t="s">
        <v>9325</v>
      </c>
      <c r="E2864" s="10" t="s">
        <v>9326</v>
      </c>
      <c r="F2864" s="10" t="s">
        <v>139</v>
      </c>
      <c r="G2864" s="10" t="s">
        <v>6352</v>
      </c>
      <c r="H2864" s="11">
        <v>40630</v>
      </c>
      <c r="I2864" s="10">
        <v>2011</v>
      </c>
      <c r="J2864" s="10" t="s">
        <v>9326</v>
      </c>
      <c r="K2864" s="10">
        <v>173</v>
      </c>
      <c r="L2864" s="10" t="s">
        <v>18664</v>
      </c>
      <c r="M2864" s="10">
        <v>1</v>
      </c>
      <c r="N2864" s="10"/>
      <c r="O2864" s="10"/>
      <c r="P2864" s="10" t="s">
        <v>18665</v>
      </c>
      <c r="Q2864" s="10">
        <v>371.1</v>
      </c>
      <c r="R2864" s="10" t="s">
        <v>7101</v>
      </c>
      <c r="S2864" s="10" t="s">
        <v>53</v>
      </c>
      <c r="T2864" s="10" t="s">
        <v>54</v>
      </c>
    </row>
    <row r="2865" spans="1:20" ht="14.5" x14ac:dyDescent="0.35">
      <c r="A2865" s="10" t="s">
        <v>18666</v>
      </c>
      <c r="B2865" s="10" t="str">
        <f>"9781416608073"</f>
        <v>9781416608073</v>
      </c>
      <c r="C2865" s="10" t="str">
        <f>"9781416609100"</f>
        <v>9781416609100</v>
      </c>
      <c r="D2865" s="10" t="s">
        <v>10014</v>
      </c>
      <c r="E2865" s="10" t="s">
        <v>10015</v>
      </c>
      <c r="F2865" s="10" t="s">
        <v>201</v>
      </c>
      <c r="G2865" s="10" t="s">
        <v>6317</v>
      </c>
      <c r="H2865" s="11">
        <v>39934</v>
      </c>
      <c r="I2865" s="10">
        <v>2009</v>
      </c>
      <c r="J2865" s="10" t="s">
        <v>10015</v>
      </c>
      <c r="K2865" s="10">
        <v>189</v>
      </c>
      <c r="L2865" s="10" t="s">
        <v>18667</v>
      </c>
      <c r="M2865" s="10">
        <v>1</v>
      </c>
      <c r="N2865" s="10"/>
      <c r="O2865" s="10"/>
      <c r="P2865" s="10" t="s">
        <v>18668</v>
      </c>
      <c r="Q2865" s="10">
        <v>371.10199999999998</v>
      </c>
      <c r="R2865" s="10" t="s">
        <v>18669</v>
      </c>
      <c r="S2865" s="10" t="s">
        <v>53</v>
      </c>
      <c r="T2865" s="10" t="s">
        <v>54</v>
      </c>
    </row>
    <row r="2866" spans="1:20" ht="14.5" x14ac:dyDescent="0.35">
      <c r="A2866" s="10" t="s">
        <v>18670</v>
      </c>
      <c r="B2866" s="10" t="str">
        <f>"9781416604228"</f>
        <v>9781416604228</v>
      </c>
      <c r="C2866" s="10" t="str">
        <f>"9781416605904"</f>
        <v>9781416605904</v>
      </c>
      <c r="D2866" s="10" t="s">
        <v>10014</v>
      </c>
      <c r="E2866" s="10" t="s">
        <v>10015</v>
      </c>
      <c r="F2866" s="10" t="s">
        <v>201</v>
      </c>
      <c r="G2866" s="10" t="s">
        <v>6317</v>
      </c>
      <c r="H2866" s="11">
        <v>39081</v>
      </c>
      <c r="I2866" s="10">
        <v>2006</v>
      </c>
      <c r="J2866" s="10" t="s">
        <v>10015</v>
      </c>
      <c r="K2866" s="10">
        <v>201</v>
      </c>
      <c r="L2866" s="10" t="s">
        <v>18671</v>
      </c>
      <c r="M2866" s="10">
        <v>1</v>
      </c>
      <c r="N2866" s="10"/>
      <c r="O2866" s="10"/>
      <c r="P2866" s="10" t="s">
        <v>18672</v>
      </c>
      <c r="Q2866" s="10">
        <v>371.27</v>
      </c>
      <c r="R2866" s="10"/>
      <c r="S2866" s="10" t="s">
        <v>53</v>
      </c>
      <c r="T2866" s="10" t="s">
        <v>54</v>
      </c>
    </row>
    <row r="2867" spans="1:20" ht="14.5" x14ac:dyDescent="0.35">
      <c r="A2867" s="10" t="s">
        <v>18673</v>
      </c>
      <c r="B2867" s="10" t="str">
        <f>"9781416607649"</f>
        <v>9781416607649</v>
      </c>
      <c r="C2867" s="10" t="str">
        <f>"9781416608967"</f>
        <v>9781416608967</v>
      </c>
      <c r="D2867" s="10" t="s">
        <v>10014</v>
      </c>
      <c r="E2867" s="10" t="s">
        <v>10015</v>
      </c>
      <c r="F2867" s="10" t="s">
        <v>201</v>
      </c>
      <c r="G2867" s="10" t="s">
        <v>6317</v>
      </c>
      <c r="H2867" s="11">
        <v>39904</v>
      </c>
      <c r="I2867" s="10">
        <v>2009</v>
      </c>
      <c r="J2867" s="10" t="s">
        <v>10015</v>
      </c>
      <c r="K2867" s="10">
        <v>183</v>
      </c>
      <c r="L2867" s="10" t="s">
        <v>8278</v>
      </c>
      <c r="M2867" s="10">
        <v>1</v>
      </c>
      <c r="N2867" s="10"/>
      <c r="O2867" s="10"/>
      <c r="P2867" s="10" t="s">
        <v>18674</v>
      </c>
      <c r="Q2867" s="10">
        <v>371.10199999999998</v>
      </c>
      <c r="R2867" s="10" t="s">
        <v>18675</v>
      </c>
      <c r="S2867" s="10" t="s">
        <v>53</v>
      </c>
      <c r="T2867" s="10" t="s">
        <v>54</v>
      </c>
    </row>
    <row r="2868" spans="1:20" ht="14.5" x14ac:dyDescent="0.35">
      <c r="A2868" s="10" t="s">
        <v>18676</v>
      </c>
      <c r="B2868" s="10" t="str">
        <f>"9781416606482"</f>
        <v>9781416606482</v>
      </c>
      <c r="C2868" s="10" t="str">
        <f>"9781416607502"</f>
        <v>9781416607502</v>
      </c>
      <c r="D2868" s="10" t="s">
        <v>10014</v>
      </c>
      <c r="E2868" s="10" t="s">
        <v>10015</v>
      </c>
      <c r="F2868" s="10" t="s">
        <v>201</v>
      </c>
      <c r="G2868" s="10" t="s">
        <v>6317</v>
      </c>
      <c r="H2868" s="11">
        <v>39448</v>
      </c>
      <c r="I2868" s="10">
        <v>2008</v>
      </c>
      <c r="J2868" s="10" t="s">
        <v>10015</v>
      </c>
      <c r="K2868" s="10">
        <v>307</v>
      </c>
      <c r="L2868" s="10" t="s">
        <v>18677</v>
      </c>
      <c r="M2868" s="10">
        <v>1</v>
      </c>
      <c r="N2868" s="10"/>
      <c r="O2868" s="10"/>
      <c r="P2868" s="10" t="s">
        <v>18678</v>
      </c>
      <c r="Q2868" s="10" t="s">
        <v>18679</v>
      </c>
      <c r="R2868" s="10"/>
      <c r="S2868" s="10" t="s">
        <v>53</v>
      </c>
      <c r="T2868" s="10" t="s">
        <v>54</v>
      </c>
    </row>
    <row r="2869" spans="1:20" ht="14.5" x14ac:dyDescent="0.35">
      <c r="A2869" s="10" t="s">
        <v>18680</v>
      </c>
      <c r="B2869" s="10" t="str">
        <f>"9781855756915"</f>
        <v>9781855756915</v>
      </c>
      <c r="C2869" s="10" t="str">
        <f>"9781849408332"</f>
        <v>9781849408332</v>
      </c>
      <c r="D2869" s="10" t="s">
        <v>6350</v>
      </c>
      <c r="E2869" s="10" t="s">
        <v>6351</v>
      </c>
      <c r="F2869" s="10" t="s">
        <v>3967</v>
      </c>
      <c r="G2869" s="10" t="s">
        <v>6352</v>
      </c>
      <c r="H2869" s="11">
        <v>39814</v>
      </c>
      <c r="I2869" s="10">
        <v>2009</v>
      </c>
      <c r="J2869" s="10" t="s">
        <v>6353</v>
      </c>
      <c r="K2869" s="10">
        <v>513</v>
      </c>
      <c r="L2869" s="10" t="s">
        <v>18681</v>
      </c>
      <c r="M2869" s="10">
        <v>1</v>
      </c>
      <c r="N2869" s="10"/>
      <c r="O2869" s="10"/>
      <c r="P2869" s="10" t="s">
        <v>18682</v>
      </c>
      <c r="Q2869" s="10">
        <v>370.92</v>
      </c>
      <c r="R2869" s="10" t="s">
        <v>18683</v>
      </c>
      <c r="S2869" s="10" t="s">
        <v>53</v>
      </c>
      <c r="T2869" s="10" t="s">
        <v>10829</v>
      </c>
    </row>
    <row r="2870" spans="1:20" ht="14.5" x14ac:dyDescent="0.35">
      <c r="A2870" s="10" t="s">
        <v>18684</v>
      </c>
      <c r="B2870" s="10" t="str">
        <f>"9781855756137"</f>
        <v>9781855756137</v>
      </c>
      <c r="C2870" s="10" t="str">
        <f>"9781849406949"</f>
        <v>9781849406949</v>
      </c>
      <c r="D2870" s="10" t="s">
        <v>6350</v>
      </c>
      <c r="E2870" s="10" t="s">
        <v>6351</v>
      </c>
      <c r="F2870" s="10" t="s">
        <v>139</v>
      </c>
      <c r="G2870" s="10" t="s">
        <v>6352</v>
      </c>
      <c r="H2870" s="11">
        <v>39994</v>
      </c>
      <c r="I2870" s="10">
        <v>2009</v>
      </c>
      <c r="J2870" s="10" t="s">
        <v>6353</v>
      </c>
      <c r="K2870" s="10">
        <v>158</v>
      </c>
      <c r="L2870" s="10" t="s">
        <v>18685</v>
      </c>
      <c r="M2870" s="10">
        <v>1</v>
      </c>
      <c r="N2870" s="10"/>
      <c r="O2870" s="10"/>
      <c r="P2870" s="10" t="s">
        <v>18686</v>
      </c>
      <c r="Q2870" s="10">
        <v>371.78199999999998</v>
      </c>
      <c r="R2870" s="10" t="s">
        <v>18687</v>
      </c>
      <c r="S2870" s="10" t="s">
        <v>53</v>
      </c>
      <c r="T2870" s="10" t="s">
        <v>54</v>
      </c>
    </row>
    <row r="2871" spans="1:20" ht="14.5" x14ac:dyDescent="0.35">
      <c r="A2871" s="10" t="s">
        <v>18688</v>
      </c>
      <c r="B2871" s="10" t="str">
        <f>"9781855755987"</f>
        <v>9781855755987</v>
      </c>
      <c r="C2871" s="10" t="str">
        <f>"9781849406475"</f>
        <v>9781849406475</v>
      </c>
      <c r="D2871" s="10" t="s">
        <v>6350</v>
      </c>
      <c r="E2871" s="10" t="s">
        <v>6351</v>
      </c>
      <c r="F2871" s="10" t="s">
        <v>748</v>
      </c>
      <c r="G2871" s="10" t="s">
        <v>6352</v>
      </c>
      <c r="H2871" s="11">
        <v>39689</v>
      </c>
      <c r="I2871" s="10">
        <v>2008</v>
      </c>
      <c r="J2871" s="10" t="s">
        <v>6351</v>
      </c>
      <c r="K2871" s="10">
        <v>148</v>
      </c>
      <c r="L2871" s="10" t="s">
        <v>18689</v>
      </c>
      <c r="M2871" s="10">
        <v>1</v>
      </c>
      <c r="N2871" s="10"/>
      <c r="O2871" s="10"/>
      <c r="P2871" s="10" t="s">
        <v>18690</v>
      </c>
      <c r="Q2871" s="10">
        <v>618.92858820650997</v>
      </c>
      <c r="R2871" s="10" t="s">
        <v>18691</v>
      </c>
      <c r="S2871" s="10" t="s">
        <v>53</v>
      </c>
      <c r="T2871" s="10" t="s">
        <v>10829</v>
      </c>
    </row>
    <row r="2872" spans="1:20" ht="14.5" x14ac:dyDescent="0.35">
      <c r="A2872" s="10" t="s">
        <v>18692</v>
      </c>
      <c r="B2872" s="10" t="str">
        <f>"9781855752306"</f>
        <v>9781855752306</v>
      </c>
      <c r="C2872" s="10" t="str">
        <f>"9781849401517"</f>
        <v>9781849401517</v>
      </c>
      <c r="D2872" s="10" t="s">
        <v>6350</v>
      </c>
      <c r="E2872" s="10" t="s">
        <v>6351</v>
      </c>
      <c r="F2872" s="10" t="s">
        <v>3967</v>
      </c>
      <c r="G2872" s="10" t="s">
        <v>6352</v>
      </c>
      <c r="H2872" s="11">
        <v>34334</v>
      </c>
      <c r="I2872" s="10">
        <v>1993</v>
      </c>
      <c r="J2872" s="10" t="s">
        <v>6353</v>
      </c>
      <c r="K2872" s="10">
        <v>174</v>
      </c>
      <c r="L2872" s="10" t="s">
        <v>18693</v>
      </c>
      <c r="M2872" s="10">
        <v>1</v>
      </c>
      <c r="N2872" s="10"/>
      <c r="O2872" s="10"/>
      <c r="P2872" s="10" t="s">
        <v>18694</v>
      </c>
      <c r="Q2872" s="10">
        <v>371.10199999999998</v>
      </c>
      <c r="R2872" s="10" t="s">
        <v>18695</v>
      </c>
      <c r="S2872" s="10" t="s">
        <v>53</v>
      </c>
      <c r="T2872" s="10" t="s">
        <v>54</v>
      </c>
    </row>
    <row r="2873" spans="1:20" ht="14.5" x14ac:dyDescent="0.35">
      <c r="A2873" s="10" t="s">
        <v>18696</v>
      </c>
      <c r="B2873" s="10" t="str">
        <f>"9789027220806"</f>
        <v>9789027220806</v>
      </c>
      <c r="C2873" s="10" t="str">
        <f>"9789027284785"</f>
        <v>9789027284785</v>
      </c>
      <c r="D2873" s="10" t="s">
        <v>17335</v>
      </c>
      <c r="E2873" s="10" t="s">
        <v>17336</v>
      </c>
      <c r="F2873" s="10" t="s">
        <v>319</v>
      </c>
      <c r="G2873" s="10" t="s">
        <v>9233</v>
      </c>
      <c r="H2873" s="11">
        <v>33424</v>
      </c>
      <c r="I2873" s="10">
        <v>1991</v>
      </c>
      <c r="J2873" s="10" t="s">
        <v>17336</v>
      </c>
      <c r="K2873" s="10">
        <v>356</v>
      </c>
      <c r="L2873" s="10" t="s">
        <v>18697</v>
      </c>
      <c r="M2873" s="10">
        <v>1</v>
      </c>
      <c r="N2873" s="10"/>
      <c r="O2873" s="10"/>
      <c r="P2873" s="10" t="s">
        <v>18698</v>
      </c>
      <c r="Q2873" s="10">
        <v>371.97</v>
      </c>
      <c r="R2873" s="10" t="s">
        <v>18699</v>
      </c>
      <c r="S2873" s="10" t="s">
        <v>53</v>
      </c>
      <c r="T2873" s="10" t="s">
        <v>54</v>
      </c>
    </row>
    <row r="2874" spans="1:20" ht="14.5" x14ac:dyDescent="0.35">
      <c r="A2874" s="10" t="s">
        <v>18700</v>
      </c>
      <c r="B2874" s="10" t="str">
        <f>"9781593858292"</f>
        <v>9781593858292</v>
      </c>
      <c r="C2874" s="10" t="str">
        <f>"9781606230909"</f>
        <v>9781606230909</v>
      </c>
      <c r="D2874" s="10" t="s">
        <v>11213</v>
      </c>
      <c r="E2874" s="10" t="s">
        <v>11214</v>
      </c>
      <c r="F2874" s="10" t="s">
        <v>70</v>
      </c>
      <c r="G2874" s="10" t="s">
        <v>6317</v>
      </c>
      <c r="H2874" s="11">
        <v>39717</v>
      </c>
      <c r="I2874" s="10">
        <v>2008</v>
      </c>
      <c r="J2874" s="10" t="s">
        <v>11215</v>
      </c>
      <c r="K2874" s="10">
        <v>465</v>
      </c>
      <c r="L2874" s="10" t="s">
        <v>18701</v>
      </c>
      <c r="M2874" s="10">
        <v>1</v>
      </c>
      <c r="N2874" s="10"/>
      <c r="O2874" s="10"/>
      <c r="P2874" s="10" t="s">
        <v>18702</v>
      </c>
      <c r="Q2874" s="10" t="s">
        <v>17158</v>
      </c>
      <c r="R2874" s="10" t="s">
        <v>18703</v>
      </c>
      <c r="S2874" s="10" t="s">
        <v>53</v>
      </c>
      <c r="T2874" s="10" t="s">
        <v>6634</v>
      </c>
    </row>
    <row r="2875" spans="1:20" ht="14.5" x14ac:dyDescent="0.35">
      <c r="A2875" s="10" t="s">
        <v>18704</v>
      </c>
      <c r="B2875" s="10" t="str">
        <f>"9781593858865"</f>
        <v>9781593858865</v>
      </c>
      <c r="C2875" s="10" t="str">
        <f>"9781606232811"</f>
        <v>9781606232811</v>
      </c>
      <c r="D2875" s="10" t="s">
        <v>11213</v>
      </c>
      <c r="E2875" s="10" t="s">
        <v>11214</v>
      </c>
      <c r="F2875" s="10" t="s">
        <v>70</v>
      </c>
      <c r="G2875" s="10" t="s">
        <v>6317</v>
      </c>
      <c r="H2875" s="11">
        <v>39703</v>
      </c>
      <c r="I2875" s="10">
        <v>2009</v>
      </c>
      <c r="J2875" s="10" t="s">
        <v>11214</v>
      </c>
      <c r="K2875" s="10">
        <v>289</v>
      </c>
      <c r="L2875" s="10" t="s">
        <v>18705</v>
      </c>
      <c r="M2875" s="10">
        <v>1</v>
      </c>
      <c r="N2875" s="10" t="s">
        <v>11221</v>
      </c>
      <c r="O2875" s="10"/>
      <c r="P2875" s="10" t="s">
        <v>11517</v>
      </c>
      <c r="Q2875" s="10" t="s">
        <v>18706</v>
      </c>
      <c r="R2875" s="10" t="s">
        <v>18707</v>
      </c>
      <c r="S2875" s="10" t="s">
        <v>53</v>
      </c>
      <c r="T2875" s="10" t="s">
        <v>54</v>
      </c>
    </row>
    <row r="2876" spans="1:20" ht="14.5" x14ac:dyDescent="0.35">
      <c r="A2876" s="10" t="s">
        <v>18708</v>
      </c>
      <c r="B2876" s="10" t="str">
        <f>"9781609182090"</f>
        <v>9781609182090</v>
      </c>
      <c r="C2876" s="10" t="str">
        <f>"9781609182106"</f>
        <v>9781609182106</v>
      </c>
      <c r="D2876" s="10" t="s">
        <v>11213</v>
      </c>
      <c r="E2876" s="10" t="s">
        <v>11214</v>
      </c>
      <c r="F2876" s="10" t="s">
        <v>70</v>
      </c>
      <c r="G2876" s="10" t="s">
        <v>6317</v>
      </c>
      <c r="H2876" s="11">
        <v>40679</v>
      </c>
      <c r="I2876" s="10">
        <v>2011</v>
      </c>
      <c r="J2876" s="10" t="s">
        <v>11215</v>
      </c>
      <c r="K2876" s="10">
        <v>193</v>
      </c>
      <c r="L2876" s="10" t="s">
        <v>18709</v>
      </c>
      <c r="M2876" s="10">
        <v>1</v>
      </c>
      <c r="N2876" s="10"/>
      <c r="O2876" s="10"/>
      <c r="P2876" s="10" t="s">
        <v>18710</v>
      </c>
      <c r="Q2876" s="10" t="s">
        <v>18711</v>
      </c>
      <c r="R2876" s="10" t="s">
        <v>18712</v>
      </c>
      <c r="S2876" s="10" t="s">
        <v>53</v>
      </c>
      <c r="T2876" s="10" t="s">
        <v>13383</v>
      </c>
    </row>
    <row r="2877" spans="1:20" ht="14.5" x14ac:dyDescent="0.35">
      <c r="A2877" s="10" t="s">
        <v>18713</v>
      </c>
      <c r="B2877" s="10" t="str">
        <f>"9780807834916"</f>
        <v>9780807834916</v>
      </c>
      <c r="C2877" s="10" t="str">
        <f>"9781469603162"</f>
        <v>9781469603162</v>
      </c>
      <c r="D2877" s="10" t="s">
        <v>13324</v>
      </c>
      <c r="E2877" s="10" t="s">
        <v>13335</v>
      </c>
      <c r="F2877" s="10" t="s">
        <v>2388</v>
      </c>
      <c r="G2877" s="10" t="s">
        <v>6317</v>
      </c>
      <c r="H2877" s="11">
        <v>40679</v>
      </c>
      <c r="I2877" s="10">
        <v>2011</v>
      </c>
      <c r="J2877" s="10" t="s">
        <v>13335</v>
      </c>
      <c r="K2877" s="10">
        <v>400</v>
      </c>
      <c r="L2877" s="10" t="s">
        <v>18714</v>
      </c>
      <c r="M2877" s="10">
        <v>1</v>
      </c>
      <c r="N2877" s="10" t="s">
        <v>18715</v>
      </c>
      <c r="O2877" s="10">
        <v>17</v>
      </c>
      <c r="P2877" s="10" t="s">
        <v>18716</v>
      </c>
      <c r="Q2877" s="10"/>
      <c r="R2877" s="10"/>
      <c r="S2877" s="10" t="s">
        <v>53</v>
      </c>
      <c r="T2877" s="10" t="s">
        <v>54</v>
      </c>
    </row>
    <row r="2878" spans="1:20" ht="14.5" x14ac:dyDescent="0.35">
      <c r="A2878" s="10" t="s">
        <v>18717</v>
      </c>
      <c r="B2878" s="10" t="str">
        <f>"9780521193542"</f>
        <v>9780521193542</v>
      </c>
      <c r="C2878" s="10" t="str">
        <f>"9781139080064"</f>
        <v>9781139080064</v>
      </c>
      <c r="D2878" s="10" t="s">
        <v>397</v>
      </c>
      <c r="E2878" s="10" t="s">
        <v>397</v>
      </c>
      <c r="F2878" s="10" t="s">
        <v>612</v>
      </c>
      <c r="G2878" s="10" t="s">
        <v>6352</v>
      </c>
      <c r="H2878" s="11">
        <v>40640</v>
      </c>
      <c r="I2878" s="10">
        <v>2011</v>
      </c>
      <c r="J2878" s="10" t="s">
        <v>397</v>
      </c>
      <c r="K2878" s="10">
        <v>356</v>
      </c>
      <c r="L2878" s="10" t="s">
        <v>18718</v>
      </c>
      <c r="M2878" s="10">
        <v>1</v>
      </c>
      <c r="N2878" s="10"/>
      <c r="O2878" s="10"/>
      <c r="P2878" s="10" t="s">
        <v>18719</v>
      </c>
      <c r="Q2878" s="10">
        <v>372.6</v>
      </c>
      <c r="R2878" s="10" t="s">
        <v>8423</v>
      </c>
      <c r="S2878" s="10" t="s">
        <v>53</v>
      </c>
      <c r="T2878" s="10" t="s">
        <v>54</v>
      </c>
    </row>
    <row r="2879" spans="1:20" ht="14.5" x14ac:dyDescent="0.35">
      <c r="A2879" s="10" t="s">
        <v>18720</v>
      </c>
      <c r="B2879" s="10" t="str">
        <f>"9780415889001"</f>
        <v>9780415889001</v>
      </c>
      <c r="C2879" s="10" t="str">
        <f>"9780203818053"</f>
        <v>9780203818053</v>
      </c>
      <c r="D2879" s="10" t="s">
        <v>6350</v>
      </c>
      <c r="E2879" s="10" t="s">
        <v>6351</v>
      </c>
      <c r="F2879" s="10" t="s">
        <v>5406</v>
      </c>
      <c r="G2879" s="10" t="s">
        <v>6317</v>
      </c>
      <c r="H2879" s="11">
        <v>40624</v>
      </c>
      <c r="I2879" s="10">
        <v>2011</v>
      </c>
      <c r="J2879" s="10" t="s">
        <v>6353</v>
      </c>
      <c r="K2879" s="10">
        <v>320</v>
      </c>
      <c r="L2879" s="10" t="s">
        <v>18721</v>
      </c>
      <c r="M2879" s="10">
        <v>1</v>
      </c>
      <c r="N2879" s="10" t="s">
        <v>6954</v>
      </c>
      <c r="O2879" s="10"/>
      <c r="P2879" s="10" t="s">
        <v>18722</v>
      </c>
      <c r="Q2879" s="10">
        <v>370.90339999999998</v>
      </c>
      <c r="R2879" s="10" t="s">
        <v>18723</v>
      </c>
      <c r="S2879" s="10" t="s">
        <v>53</v>
      </c>
      <c r="T2879" s="10" t="s">
        <v>54</v>
      </c>
    </row>
    <row r="2880" spans="1:20" ht="14.5" x14ac:dyDescent="0.35">
      <c r="A2880" s="10" t="s">
        <v>18724</v>
      </c>
      <c r="B2880" s="10" t="str">
        <f>"9780415993302"</f>
        <v>9780415993302</v>
      </c>
      <c r="C2880" s="10" t="str">
        <f>"9780203830857"</f>
        <v>9780203830857</v>
      </c>
      <c r="D2880" s="10" t="s">
        <v>6350</v>
      </c>
      <c r="E2880" s="10" t="s">
        <v>6351</v>
      </c>
      <c r="F2880" s="10" t="s">
        <v>139</v>
      </c>
      <c r="G2880" s="10" t="s">
        <v>6352</v>
      </c>
      <c r="H2880" s="11">
        <v>40638</v>
      </c>
      <c r="I2880" s="10">
        <v>2011</v>
      </c>
      <c r="J2880" s="10" t="s">
        <v>6353</v>
      </c>
      <c r="K2880" s="10">
        <v>251</v>
      </c>
      <c r="L2880" s="10" t="s">
        <v>18725</v>
      </c>
      <c r="M2880" s="10">
        <v>1</v>
      </c>
      <c r="N2880" s="10" t="s">
        <v>6954</v>
      </c>
      <c r="O2880" s="10"/>
      <c r="P2880" s="10" t="s">
        <v>18726</v>
      </c>
      <c r="Q2880" s="10" t="s">
        <v>8460</v>
      </c>
      <c r="R2880" s="10" t="s">
        <v>18727</v>
      </c>
      <c r="S2880" s="10" t="s">
        <v>53</v>
      </c>
      <c r="T2880" s="10" t="s">
        <v>54</v>
      </c>
    </row>
    <row r="2881" spans="1:20" ht="14.5" x14ac:dyDescent="0.35">
      <c r="A2881" s="10" t="s">
        <v>18728</v>
      </c>
      <c r="B2881" s="10" t="str">
        <f>"9780415873444"</f>
        <v>9780415873444</v>
      </c>
      <c r="C2881" s="10" t="str">
        <f>"9780203864623"</f>
        <v>9780203864623</v>
      </c>
      <c r="D2881" s="10" t="s">
        <v>6350</v>
      </c>
      <c r="E2881" s="10" t="s">
        <v>6351</v>
      </c>
      <c r="F2881" s="10" t="s">
        <v>139</v>
      </c>
      <c r="G2881" s="10" t="s">
        <v>6352</v>
      </c>
      <c r="H2881" s="11">
        <v>40672</v>
      </c>
      <c r="I2881" s="10">
        <v>2011</v>
      </c>
      <c r="J2881" s="10" t="s">
        <v>6353</v>
      </c>
      <c r="K2881" s="10">
        <v>172</v>
      </c>
      <c r="L2881" s="10" t="s">
        <v>18729</v>
      </c>
      <c r="M2881" s="10">
        <v>1</v>
      </c>
      <c r="N2881" s="10"/>
      <c r="O2881" s="10"/>
      <c r="P2881" s="10" t="s">
        <v>18730</v>
      </c>
      <c r="Q2881" s="10">
        <v>302.3</v>
      </c>
      <c r="R2881" s="10" t="s">
        <v>18731</v>
      </c>
      <c r="S2881" s="10" t="s">
        <v>53</v>
      </c>
      <c r="T2881" s="10" t="s">
        <v>8895</v>
      </c>
    </row>
    <row r="2882" spans="1:20" ht="14.5" x14ac:dyDescent="0.35">
      <c r="A2882" s="10" t="s">
        <v>18732</v>
      </c>
      <c r="B2882" s="10" t="str">
        <f>"9780415882156"</f>
        <v>9780415882156</v>
      </c>
      <c r="C2882" s="10" t="str">
        <f>"9780203825723"</f>
        <v>9780203825723</v>
      </c>
      <c r="D2882" s="10" t="s">
        <v>6350</v>
      </c>
      <c r="E2882" s="10" t="s">
        <v>6351</v>
      </c>
      <c r="F2882" s="10" t="s">
        <v>5406</v>
      </c>
      <c r="G2882" s="10" t="s">
        <v>6317</v>
      </c>
      <c r="H2882" s="11">
        <v>40630</v>
      </c>
      <c r="I2882" s="10">
        <v>2011</v>
      </c>
      <c r="J2882" s="10" t="s">
        <v>6353</v>
      </c>
      <c r="K2882" s="10">
        <v>307</v>
      </c>
      <c r="L2882" s="10" t="s">
        <v>18733</v>
      </c>
      <c r="M2882" s="10">
        <v>1</v>
      </c>
      <c r="N2882" s="10" t="s">
        <v>6954</v>
      </c>
      <c r="O2882" s="10"/>
      <c r="P2882" s="10" t="s">
        <v>18734</v>
      </c>
      <c r="Q2882" s="10">
        <v>370.11700000000002</v>
      </c>
      <c r="R2882" s="10" t="s">
        <v>18735</v>
      </c>
      <c r="S2882" s="10" t="s">
        <v>53</v>
      </c>
      <c r="T2882" s="10" t="s">
        <v>54</v>
      </c>
    </row>
    <row r="2883" spans="1:20" ht="14.5" x14ac:dyDescent="0.35">
      <c r="A2883" s="10" t="s">
        <v>18736</v>
      </c>
      <c r="B2883" s="10" t="str">
        <f>"9780415582230"</f>
        <v>9780415582230</v>
      </c>
      <c r="C2883" s="10" t="str">
        <f>"9780203816028"</f>
        <v>9780203816028</v>
      </c>
      <c r="D2883" s="10" t="s">
        <v>6350</v>
      </c>
      <c r="E2883" s="10" t="s">
        <v>6351</v>
      </c>
      <c r="F2883" s="10" t="s">
        <v>5406</v>
      </c>
      <c r="G2883" s="10" t="s">
        <v>6317</v>
      </c>
      <c r="H2883" s="11">
        <v>40737</v>
      </c>
      <c r="I2883" s="10">
        <v>2011</v>
      </c>
      <c r="J2883" s="10" t="s">
        <v>6353</v>
      </c>
      <c r="K2883" s="10">
        <v>253</v>
      </c>
      <c r="L2883" s="10" t="s">
        <v>18085</v>
      </c>
      <c r="M2883" s="10">
        <v>1</v>
      </c>
      <c r="N2883" s="10" t="s">
        <v>18086</v>
      </c>
      <c r="O2883" s="10"/>
      <c r="P2883" s="10" t="s">
        <v>18737</v>
      </c>
      <c r="Q2883" s="10">
        <v>370.95100000000002</v>
      </c>
      <c r="R2883" s="10" t="s">
        <v>18088</v>
      </c>
      <c r="S2883" s="10" t="s">
        <v>53</v>
      </c>
      <c r="T2883" s="10" t="s">
        <v>54</v>
      </c>
    </row>
    <row r="2884" spans="1:20" ht="14.5" x14ac:dyDescent="0.35">
      <c r="A2884" s="10" t="s">
        <v>18738</v>
      </c>
      <c r="B2884" s="10" t="str">
        <f>"9780520265387"</f>
        <v>9780520265387</v>
      </c>
      <c r="C2884" s="10" t="str">
        <f>"9780520948723"</f>
        <v>9780520948723</v>
      </c>
      <c r="D2884" s="10" t="s">
        <v>8512</v>
      </c>
      <c r="E2884" s="10" t="s">
        <v>8512</v>
      </c>
      <c r="F2884" s="10" t="s">
        <v>717</v>
      </c>
      <c r="G2884" s="10" t="s">
        <v>6317</v>
      </c>
      <c r="H2884" s="11">
        <v>40688</v>
      </c>
      <c r="I2884" s="10">
        <v>2011</v>
      </c>
      <c r="J2884" s="10" t="s">
        <v>8512</v>
      </c>
      <c r="K2884" s="10">
        <v>135</v>
      </c>
      <c r="L2884" s="10" t="s">
        <v>18739</v>
      </c>
      <c r="M2884" s="10">
        <v>1</v>
      </c>
      <c r="N2884" s="10"/>
      <c r="O2884" s="10"/>
      <c r="P2884" s="10" t="s">
        <v>18740</v>
      </c>
      <c r="Q2884" s="10">
        <v>333.70710000000003</v>
      </c>
      <c r="R2884" s="10"/>
      <c r="S2884" s="10" t="s">
        <v>53</v>
      </c>
      <c r="T2884" s="10" t="s">
        <v>7664</v>
      </c>
    </row>
    <row r="2885" spans="1:20" ht="14.5" x14ac:dyDescent="0.35">
      <c r="A2885" s="10" t="s">
        <v>18741</v>
      </c>
      <c r="B2885" s="10" t="str">
        <f>"9780804763653"</f>
        <v>9780804763653</v>
      </c>
      <c r="C2885" s="10" t="str">
        <f>"9780804777537"</f>
        <v>9780804777537</v>
      </c>
      <c r="D2885" s="10" t="s">
        <v>16213</v>
      </c>
      <c r="E2885" s="10" t="s">
        <v>16213</v>
      </c>
      <c r="F2885" s="10" t="s">
        <v>16214</v>
      </c>
      <c r="G2885" s="10" t="s">
        <v>6317</v>
      </c>
      <c r="H2885" s="11">
        <v>40624</v>
      </c>
      <c r="I2885" s="10">
        <v>2011</v>
      </c>
      <c r="J2885" s="10" t="s">
        <v>16213</v>
      </c>
      <c r="K2885" s="10">
        <v>206</v>
      </c>
      <c r="L2885" s="10" t="s">
        <v>18742</v>
      </c>
      <c r="M2885" s="10">
        <v>1</v>
      </c>
      <c r="N2885" s="10"/>
      <c r="O2885" s="10"/>
      <c r="P2885" s="10" t="s">
        <v>18743</v>
      </c>
      <c r="Q2885" s="10" t="s">
        <v>18744</v>
      </c>
      <c r="R2885" s="10" t="s">
        <v>18745</v>
      </c>
      <c r="S2885" s="10" t="s">
        <v>53</v>
      </c>
      <c r="T2885" s="10" t="s">
        <v>6634</v>
      </c>
    </row>
    <row r="2886" spans="1:20" ht="14.5" x14ac:dyDescent="0.35">
      <c r="A2886" s="10" t="s">
        <v>18746</v>
      </c>
      <c r="B2886" s="10" t="str">
        <f>"9780804772105"</f>
        <v>9780804772105</v>
      </c>
      <c r="C2886" s="10" t="str">
        <f>"9780804779074"</f>
        <v>9780804779074</v>
      </c>
      <c r="D2886" s="10" t="s">
        <v>16213</v>
      </c>
      <c r="E2886" s="10" t="s">
        <v>16213</v>
      </c>
      <c r="F2886" s="10" t="s">
        <v>16214</v>
      </c>
      <c r="G2886" s="10" t="s">
        <v>6317</v>
      </c>
      <c r="H2886" s="11">
        <v>40626</v>
      </c>
      <c r="I2886" s="10">
        <v>2011</v>
      </c>
      <c r="J2886" s="10" t="s">
        <v>16213</v>
      </c>
      <c r="K2886" s="10">
        <v>286</v>
      </c>
      <c r="L2886" s="10" t="s">
        <v>18747</v>
      </c>
      <c r="M2886" s="10">
        <v>1</v>
      </c>
      <c r="N2886" s="10"/>
      <c r="O2886" s="10"/>
      <c r="P2886" s="10" t="s">
        <v>13342</v>
      </c>
      <c r="Q2886" s="10" t="s">
        <v>13084</v>
      </c>
      <c r="R2886" s="10" t="s">
        <v>18748</v>
      </c>
      <c r="S2886" s="10" t="s">
        <v>53</v>
      </c>
      <c r="T2886" s="10" t="s">
        <v>54</v>
      </c>
    </row>
    <row r="2887" spans="1:20" ht="14.5" x14ac:dyDescent="0.35">
      <c r="A2887" s="10" t="s">
        <v>18749</v>
      </c>
      <c r="B2887" s="10" t="str">
        <f>"9780804760737"</f>
        <v>9780804760737</v>
      </c>
      <c r="C2887" s="10" t="str">
        <f>"9780804779135"</f>
        <v>9780804779135</v>
      </c>
      <c r="D2887" s="10" t="s">
        <v>16213</v>
      </c>
      <c r="E2887" s="10" t="s">
        <v>16213</v>
      </c>
      <c r="F2887" s="10" t="s">
        <v>16214</v>
      </c>
      <c r="G2887" s="10" t="s">
        <v>6317</v>
      </c>
      <c r="H2887" s="11">
        <v>40680</v>
      </c>
      <c r="I2887" s="10">
        <v>2011</v>
      </c>
      <c r="J2887" s="10" t="s">
        <v>16213</v>
      </c>
      <c r="K2887" s="10">
        <v>361</v>
      </c>
      <c r="L2887" s="10" t="s">
        <v>18750</v>
      </c>
      <c r="M2887" s="10">
        <v>1</v>
      </c>
      <c r="N2887" s="10"/>
      <c r="O2887" s="10"/>
      <c r="P2887" s="10" t="s">
        <v>17787</v>
      </c>
      <c r="Q2887" s="10">
        <v>371.9</v>
      </c>
      <c r="R2887" s="10"/>
      <c r="S2887" s="10" t="s">
        <v>53</v>
      </c>
      <c r="T2887" s="10" t="s">
        <v>54</v>
      </c>
    </row>
    <row r="2888" spans="1:20" ht="14.5" x14ac:dyDescent="0.35">
      <c r="A2888" s="10" t="s">
        <v>18751</v>
      </c>
      <c r="B2888" s="10" t="str">
        <f>"9781439905067"</f>
        <v>9781439905067</v>
      </c>
      <c r="C2888" s="10" t="str">
        <f>"9781439905081"</f>
        <v>9781439905081</v>
      </c>
      <c r="D2888" s="10" t="s">
        <v>11120</v>
      </c>
      <c r="E2888" s="10" t="s">
        <v>11120</v>
      </c>
      <c r="F2888" s="10" t="s">
        <v>319</v>
      </c>
      <c r="G2888" s="10" t="s">
        <v>6317</v>
      </c>
      <c r="H2888" s="11">
        <v>40704</v>
      </c>
      <c r="I2888" s="10">
        <v>2012</v>
      </c>
      <c r="J2888" s="10" t="s">
        <v>11120</v>
      </c>
      <c r="K2888" s="10">
        <v>327</v>
      </c>
      <c r="L2888" s="10" t="s">
        <v>18752</v>
      </c>
      <c r="M2888" s="10">
        <v>1</v>
      </c>
      <c r="N2888" s="10"/>
      <c r="O2888" s="10"/>
      <c r="P2888" s="10" t="s">
        <v>16695</v>
      </c>
      <c r="Q2888" s="10" t="s">
        <v>15907</v>
      </c>
      <c r="R2888" s="10" t="s">
        <v>18753</v>
      </c>
      <c r="S2888" s="10" t="s">
        <v>53</v>
      </c>
      <c r="T2888" s="10" t="s">
        <v>54</v>
      </c>
    </row>
    <row r="2889" spans="1:20" ht="14.5" x14ac:dyDescent="0.35">
      <c r="A2889" s="10" t="s">
        <v>18754</v>
      </c>
      <c r="B2889" s="10" t="str">
        <f>"9781572337527"</f>
        <v>9781572337527</v>
      </c>
      <c r="C2889" s="10" t="str">
        <f>"9781572338036"</f>
        <v>9781572338036</v>
      </c>
      <c r="D2889" s="10" t="s">
        <v>18125</v>
      </c>
      <c r="E2889" s="10" t="s">
        <v>18125</v>
      </c>
      <c r="F2889" s="10" t="s">
        <v>2644</v>
      </c>
      <c r="G2889" s="10" t="s">
        <v>6317</v>
      </c>
      <c r="H2889" s="11">
        <v>40663</v>
      </c>
      <c r="I2889" s="10">
        <v>2011</v>
      </c>
      <c r="J2889" s="10" t="s">
        <v>18125</v>
      </c>
      <c r="K2889" s="10">
        <v>340</v>
      </c>
      <c r="L2889" s="10" t="s">
        <v>18755</v>
      </c>
      <c r="M2889" s="10">
        <v>1</v>
      </c>
      <c r="N2889" s="10"/>
      <c r="O2889" s="10"/>
      <c r="P2889" s="10" t="s">
        <v>18756</v>
      </c>
      <c r="Q2889" s="10"/>
      <c r="R2889" s="10"/>
      <c r="S2889" s="10" t="s">
        <v>53</v>
      </c>
      <c r="T2889" s="10" t="s">
        <v>54</v>
      </c>
    </row>
    <row r="2890" spans="1:20" ht="14.5" x14ac:dyDescent="0.35">
      <c r="A2890" s="10" t="s">
        <v>18757</v>
      </c>
      <c r="B2890" s="10" t="str">
        <f>"9780821386774"</f>
        <v>9780821386774</v>
      </c>
      <c r="C2890" s="10" t="str">
        <f>"9780821386781"</f>
        <v>9780821386781</v>
      </c>
      <c r="D2890" s="10" t="s">
        <v>14731</v>
      </c>
      <c r="E2890" s="10" t="s">
        <v>14732</v>
      </c>
      <c r="F2890" s="10" t="s">
        <v>14733</v>
      </c>
      <c r="G2890" s="10" t="s">
        <v>6317</v>
      </c>
      <c r="H2890" s="11">
        <v>40598</v>
      </c>
      <c r="I2890" s="10">
        <v>2011</v>
      </c>
      <c r="J2890" s="10" t="s">
        <v>14734</v>
      </c>
      <c r="K2890" s="10">
        <v>183</v>
      </c>
      <c r="L2890" s="10" t="s">
        <v>18758</v>
      </c>
      <c r="M2890" s="10">
        <v>1</v>
      </c>
      <c r="N2890" s="10"/>
      <c r="O2890" s="10"/>
      <c r="P2890" s="10" t="s">
        <v>18759</v>
      </c>
      <c r="Q2890" s="10" t="s">
        <v>18760</v>
      </c>
      <c r="R2890" s="10" t="s">
        <v>18761</v>
      </c>
      <c r="S2890" s="10" t="s">
        <v>53</v>
      </c>
      <c r="T2890" s="10" t="s">
        <v>10711</v>
      </c>
    </row>
    <row r="2891" spans="1:20" ht="14.5" x14ac:dyDescent="0.35">
      <c r="A2891" s="10" t="s">
        <v>18762</v>
      </c>
      <c r="B2891" s="10" t="str">
        <f>"9780821379073"</f>
        <v>9780821379073</v>
      </c>
      <c r="C2891" s="10" t="str">
        <f>"9780821383971"</f>
        <v>9780821383971</v>
      </c>
      <c r="D2891" s="10" t="s">
        <v>14731</v>
      </c>
      <c r="E2891" s="10" t="s">
        <v>14732</v>
      </c>
      <c r="F2891" s="10" t="s">
        <v>14733</v>
      </c>
      <c r="G2891" s="10" t="s">
        <v>6317</v>
      </c>
      <c r="H2891" s="11">
        <v>40598</v>
      </c>
      <c r="I2891" s="10">
        <v>2011</v>
      </c>
      <c r="J2891" s="10" t="s">
        <v>14734</v>
      </c>
      <c r="K2891" s="10">
        <v>320</v>
      </c>
      <c r="L2891" s="10" t="s">
        <v>18763</v>
      </c>
      <c r="M2891" s="10">
        <v>1</v>
      </c>
      <c r="N2891" s="10" t="s">
        <v>14770</v>
      </c>
      <c r="O2891" s="10"/>
      <c r="P2891" s="10" t="s">
        <v>18764</v>
      </c>
      <c r="Q2891" s="10" t="s">
        <v>7246</v>
      </c>
      <c r="R2891" s="10" t="s">
        <v>18765</v>
      </c>
      <c r="S2891" s="10" t="s">
        <v>53</v>
      </c>
      <c r="T2891" s="10" t="s">
        <v>54</v>
      </c>
    </row>
    <row r="2892" spans="1:20" ht="14.5" x14ac:dyDescent="0.35">
      <c r="A2892" s="10" t="s">
        <v>18766</v>
      </c>
      <c r="B2892" s="10" t="str">
        <f>"9780415881746"</f>
        <v>9780415881746</v>
      </c>
      <c r="C2892" s="10" t="str">
        <f>"9781136723889"</f>
        <v>9781136723889</v>
      </c>
      <c r="D2892" s="10" t="s">
        <v>6350</v>
      </c>
      <c r="E2892" s="10" t="s">
        <v>6351</v>
      </c>
      <c r="F2892" s="10" t="s">
        <v>5406</v>
      </c>
      <c r="G2892" s="10" t="s">
        <v>6317</v>
      </c>
      <c r="H2892" s="11">
        <v>40721</v>
      </c>
      <c r="I2892" s="10">
        <v>2011</v>
      </c>
      <c r="J2892" s="10" t="s">
        <v>6353</v>
      </c>
      <c r="K2892" s="10">
        <v>286</v>
      </c>
      <c r="L2892" s="10" t="s">
        <v>18767</v>
      </c>
      <c r="M2892" s="10">
        <v>3</v>
      </c>
      <c r="N2892" s="10"/>
      <c r="O2892" s="10"/>
      <c r="P2892" s="10" t="s">
        <v>18768</v>
      </c>
      <c r="Q2892" s="10" t="s">
        <v>11314</v>
      </c>
      <c r="R2892" s="10" t="s">
        <v>6343</v>
      </c>
      <c r="S2892" s="10" t="s">
        <v>53</v>
      </c>
      <c r="T2892" s="10" t="s">
        <v>54</v>
      </c>
    </row>
    <row r="2893" spans="1:20" ht="14.5" x14ac:dyDescent="0.35">
      <c r="A2893" s="10" t="s">
        <v>18769</v>
      </c>
      <c r="B2893" s="10" t="str">
        <f>"9780415583077"</f>
        <v>9780415583077</v>
      </c>
      <c r="C2893" s="10" t="str">
        <f>"9781136718007"</f>
        <v>9781136718007</v>
      </c>
      <c r="D2893" s="10" t="s">
        <v>6350</v>
      </c>
      <c r="E2893" s="10" t="s">
        <v>6351</v>
      </c>
      <c r="F2893" s="10" t="s">
        <v>748</v>
      </c>
      <c r="G2893" s="10" t="s">
        <v>6352</v>
      </c>
      <c r="H2893" s="11">
        <v>40737</v>
      </c>
      <c r="I2893" s="10">
        <v>2011</v>
      </c>
      <c r="J2893" s="10" t="s">
        <v>6351</v>
      </c>
      <c r="K2893" s="10">
        <v>201</v>
      </c>
      <c r="L2893" s="10" t="s">
        <v>18770</v>
      </c>
      <c r="M2893" s="10">
        <v>2</v>
      </c>
      <c r="N2893" s="10"/>
      <c r="O2893" s="10"/>
      <c r="P2893" s="10" t="s">
        <v>18771</v>
      </c>
      <c r="Q2893" s="10" t="s">
        <v>11314</v>
      </c>
      <c r="R2893" s="10" t="s">
        <v>18772</v>
      </c>
      <c r="S2893" s="10" t="s">
        <v>53</v>
      </c>
      <c r="T2893" s="10" t="s">
        <v>54</v>
      </c>
    </row>
    <row r="2894" spans="1:20" ht="14.5" x14ac:dyDescent="0.35">
      <c r="A2894" s="10" t="s">
        <v>18773</v>
      </c>
      <c r="B2894" s="10" t="str">
        <f>"9780470474457"</f>
        <v>9780470474457</v>
      </c>
      <c r="C2894" s="10" t="str">
        <f>"9781118025925"</f>
        <v>9781118025925</v>
      </c>
      <c r="D2894" s="10" t="s">
        <v>6322</v>
      </c>
      <c r="E2894" s="10" t="s">
        <v>6323</v>
      </c>
      <c r="F2894" s="10" t="s">
        <v>4423</v>
      </c>
      <c r="G2894" s="10" t="s">
        <v>6317</v>
      </c>
      <c r="H2894" s="11">
        <v>40687</v>
      </c>
      <c r="I2894" s="10">
        <v>2011</v>
      </c>
      <c r="J2894" s="10" t="s">
        <v>6324</v>
      </c>
      <c r="K2894" s="10">
        <v>290</v>
      </c>
      <c r="L2894" s="10" t="s">
        <v>18774</v>
      </c>
      <c r="M2894" s="10">
        <v>1</v>
      </c>
      <c r="N2894" s="10"/>
      <c r="O2894" s="10"/>
      <c r="P2894" s="10" t="s">
        <v>18775</v>
      </c>
      <c r="Q2894" s="10" t="s">
        <v>9298</v>
      </c>
      <c r="R2894" s="10" t="s">
        <v>8224</v>
      </c>
      <c r="S2894" s="10" t="s">
        <v>53</v>
      </c>
      <c r="T2894" s="10" t="s">
        <v>54</v>
      </c>
    </row>
    <row r="2895" spans="1:20" ht="14.5" x14ac:dyDescent="0.35">
      <c r="A2895" s="10" t="s">
        <v>18776</v>
      </c>
      <c r="B2895" s="10" t="str">
        <f>"9780470873922"</f>
        <v>9780470873922</v>
      </c>
      <c r="C2895" s="10" t="str">
        <f>"9781118041680"</f>
        <v>9781118041680</v>
      </c>
      <c r="D2895" s="10" t="s">
        <v>6322</v>
      </c>
      <c r="E2895" s="10" t="s">
        <v>6323</v>
      </c>
      <c r="F2895" s="10" t="s">
        <v>4423</v>
      </c>
      <c r="G2895" s="10" t="s">
        <v>6317</v>
      </c>
      <c r="H2895" s="11">
        <v>40701</v>
      </c>
      <c r="I2895" s="10">
        <v>2011</v>
      </c>
      <c r="J2895" s="10" t="s">
        <v>6323</v>
      </c>
      <c r="K2895" s="10">
        <v>306</v>
      </c>
      <c r="L2895" s="10" t="s">
        <v>18777</v>
      </c>
      <c r="M2895" s="10">
        <v>1</v>
      </c>
      <c r="N2895" s="10" t="s">
        <v>18778</v>
      </c>
      <c r="O2895" s="10">
        <v>86</v>
      </c>
      <c r="P2895" s="10" t="s">
        <v>18779</v>
      </c>
      <c r="Q2895" s="10">
        <v>371.90973000000002</v>
      </c>
      <c r="R2895" s="10" t="s">
        <v>18780</v>
      </c>
      <c r="S2895" s="10" t="s">
        <v>53</v>
      </c>
      <c r="T2895" s="10" t="s">
        <v>6526</v>
      </c>
    </row>
    <row r="2896" spans="1:20" ht="14.5" x14ac:dyDescent="0.35">
      <c r="A2896" s="10" t="s">
        <v>18781</v>
      </c>
      <c r="B2896" s="10" t="str">
        <f>"9780470874127"</f>
        <v>9780470874127</v>
      </c>
      <c r="C2896" s="10" t="str">
        <f>"9781118138939"</f>
        <v>9781118138939</v>
      </c>
      <c r="D2896" s="10" t="s">
        <v>6322</v>
      </c>
      <c r="E2896" s="10" t="s">
        <v>6323</v>
      </c>
      <c r="F2896" s="10" t="s">
        <v>4423</v>
      </c>
      <c r="G2896" s="10" t="s">
        <v>6317</v>
      </c>
      <c r="H2896" s="11">
        <v>40890</v>
      </c>
      <c r="I2896" s="10">
        <v>2012</v>
      </c>
      <c r="J2896" s="10" t="s">
        <v>6324</v>
      </c>
      <c r="K2896" s="10">
        <v>194</v>
      </c>
      <c r="L2896" s="10" t="s">
        <v>18782</v>
      </c>
      <c r="M2896" s="10">
        <v>1</v>
      </c>
      <c r="N2896" s="10"/>
      <c r="O2896" s="10"/>
      <c r="P2896" s="10" t="s">
        <v>18783</v>
      </c>
      <c r="Q2896" s="10">
        <v>371.10209730000003</v>
      </c>
      <c r="R2896" s="10" t="s">
        <v>18784</v>
      </c>
      <c r="S2896" s="10" t="s">
        <v>53</v>
      </c>
      <c r="T2896" s="10" t="s">
        <v>54</v>
      </c>
    </row>
    <row r="2897" spans="1:20" ht="14.5" x14ac:dyDescent="0.35">
      <c r="A2897" s="10" t="s">
        <v>18785</v>
      </c>
      <c r="B2897" s="10" t="str">
        <f>"9781118007235"</f>
        <v>9781118007235</v>
      </c>
      <c r="C2897" s="10" t="str">
        <f>"9781118115855"</f>
        <v>9781118115855</v>
      </c>
      <c r="D2897" s="10" t="s">
        <v>6322</v>
      </c>
      <c r="E2897" s="10" t="s">
        <v>6323</v>
      </c>
      <c r="F2897" s="10" t="s">
        <v>4423</v>
      </c>
      <c r="G2897" s="10" t="s">
        <v>6317</v>
      </c>
      <c r="H2897" s="11">
        <v>40834</v>
      </c>
      <c r="I2897" s="10">
        <v>2012</v>
      </c>
      <c r="J2897" s="10" t="s">
        <v>6324</v>
      </c>
      <c r="K2897" s="10">
        <v>241</v>
      </c>
      <c r="L2897" s="10" t="s">
        <v>18786</v>
      </c>
      <c r="M2897" s="10">
        <v>1</v>
      </c>
      <c r="N2897" s="10"/>
      <c r="O2897" s="10"/>
      <c r="P2897" s="10" t="s">
        <v>18787</v>
      </c>
      <c r="Q2897" s="10"/>
      <c r="R2897" s="10" t="s">
        <v>18788</v>
      </c>
      <c r="S2897" s="10" t="s">
        <v>53</v>
      </c>
      <c r="T2897" s="10" t="s">
        <v>54</v>
      </c>
    </row>
    <row r="2898" spans="1:20" ht="14.5" x14ac:dyDescent="0.35">
      <c r="A2898" s="10" t="s">
        <v>18789</v>
      </c>
      <c r="B2898" s="10" t="str">
        <f>"9780195119008"</f>
        <v>9780195119008</v>
      </c>
      <c r="C2898" s="10" t="str">
        <f>"9780199774821"</f>
        <v>9780199774821</v>
      </c>
      <c r="D2898" s="10" t="s">
        <v>9122</v>
      </c>
      <c r="E2898" s="10" t="s">
        <v>9133</v>
      </c>
      <c r="F2898" s="10" t="s">
        <v>330</v>
      </c>
      <c r="G2898" s="10" t="s">
        <v>6317</v>
      </c>
      <c r="H2898" s="11">
        <v>36216</v>
      </c>
      <c r="I2898" s="10">
        <v>1998</v>
      </c>
      <c r="J2898" s="10" t="s">
        <v>9133</v>
      </c>
      <c r="K2898" s="10">
        <v>224</v>
      </c>
      <c r="L2898" s="10" t="s">
        <v>18790</v>
      </c>
      <c r="M2898" s="10">
        <v>1</v>
      </c>
      <c r="N2898" s="10"/>
      <c r="O2898" s="10"/>
      <c r="P2898" s="10" t="s">
        <v>18791</v>
      </c>
      <c r="Q2898" s="10" t="s">
        <v>12647</v>
      </c>
      <c r="R2898" s="10" t="s">
        <v>18792</v>
      </c>
      <c r="S2898" s="10" t="s">
        <v>53</v>
      </c>
      <c r="T2898" s="10" t="s">
        <v>7193</v>
      </c>
    </row>
    <row r="2899" spans="1:20" ht="14.5" x14ac:dyDescent="0.35">
      <c r="A2899" s="10" t="s">
        <v>18793</v>
      </c>
      <c r="B2899" s="10" t="str">
        <f>"9781118072653"</f>
        <v>9781118072653</v>
      </c>
      <c r="C2899" s="10" t="str">
        <f>"9781118146033"</f>
        <v>9781118146033</v>
      </c>
      <c r="D2899" s="10" t="s">
        <v>6322</v>
      </c>
      <c r="E2899" s="10" t="s">
        <v>6323</v>
      </c>
      <c r="F2899" s="10" t="s">
        <v>13068</v>
      </c>
      <c r="G2899" s="10" t="s">
        <v>6317</v>
      </c>
      <c r="H2899" s="11">
        <v>40834</v>
      </c>
      <c r="I2899" s="10">
        <v>2012</v>
      </c>
      <c r="J2899" s="10" t="s">
        <v>6324</v>
      </c>
      <c r="K2899" s="10">
        <v>146</v>
      </c>
      <c r="L2899" s="10" t="s">
        <v>18794</v>
      </c>
      <c r="M2899" s="10">
        <v>1</v>
      </c>
      <c r="N2899" s="10" t="s">
        <v>18795</v>
      </c>
      <c r="O2899" s="10"/>
      <c r="P2899" s="10" t="s">
        <v>18796</v>
      </c>
      <c r="Q2899" s="10" t="s">
        <v>14582</v>
      </c>
      <c r="R2899" s="10" t="s">
        <v>18797</v>
      </c>
      <c r="S2899" s="10" t="s">
        <v>53</v>
      </c>
      <c r="T2899" s="10" t="s">
        <v>54</v>
      </c>
    </row>
    <row r="2900" spans="1:20" ht="14.5" x14ac:dyDescent="0.35">
      <c r="A2900" s="10" t="s">
        <v>18798</v>
      </c>
      <c r="B2900" s="10" t="str">
        <f>"9780470543962"</f>
        <v>9780470543962</v>
      </c>
      <c r="C2900" s="10" t="str">
        <f>"9781118101780"</f>
        <v>9781118101780</v>
      </c>
      <c r="D2900" s="10" t="s">
        <v>6322</v>
      </c>
      <c r="E2900" s="10" t="s">
        <v>6323</v>
      </c>
      <c r="F2900" s="10" t="s">
        <v>4423</v>
      </c>
      <c r="G2900" s="10" t="s">
        <v>6317</v>
      </c>
      <c r="H2900" s="11">
        <v>40813</v>
      </c>
      <c r="I2900" s="10">
        <v>2011</v>
      </c>
      <c r="J2900" s="10" t="s">
        <v>8436</v>
      </c>
      <c r="K2900" s="10">
        <v>278</v>
      </c>
      <c r="L2900" s="10" t="s">
        <v>18799</v>
      </c>
      <c r="M2900" s="10">
        <v>1</v>
      </c>
      <c r="N2900" s="10"/>
      <c r="O2900" s="10"/>
      <c r="P2900" s="10" t="s">
        <v>18800</v>
      </c>
      <c r="Q2900" s="10">
        <v>612.82330000000002</v>
      </c>
      <c r="R2900" s="10" t="s">
        <v>18801</v>
      </c>
      <c r="S2900" s="10" t="s">
        <v>53</v>
      </c>
      <c r="T2900" s="10" t="s">
        <v>18802</v>
      </c>
    </row>
    <row r="2901" spans="1:20" ht="14.5" x14ac:dyDescent="0.35">
      <c r="A2901" s="10" t="s">
        <v>18803</v>
      </c>
      <c r="B2901" s="10" t="str">
        <f>"9780470644096"</f>
        <v>9780470644096</v>
      </c>
      <c r="C2901" s="10" t="str">
        <f>"9781118102671"</f>
        <v>9781118102671</v>
      </c>
      <c r="D2901" s="10" t="s">
        <v>6322</v>
      </c>
      <c r="E2901" s="10" t="s">
        <v>6323</v>
      </c>
      <c r="F2901" s="10" t="s">
        <v>4423</v>
      </c>
      <c r="G2901" s="10" t="s">
        <v>6317</v>
      </c>
      <c r="H2901" s="11">
        <v>40848</v>
      </c>
      <c r="I2901" s="10">
        <v>2012</v>
      </c>
      <c r="J2901" s="10" t="s">
        <v>6324</v>
      </c>
      <c r="K2901" s="10">
        <v>224</v>
      </c>
      <c r="L2901" s="10" t="s">
        <v>18804</v>
      </c>
      <c r="M2901" s="10">
        <v>1</v>
      </c>
      <c r="N2901" s="10"/>
      <c r="O2901" s="10"/>
      <c r="P2901" s="10" t="s">
        <v>18805</v>
      </c>
      <c r="Q2901" s="10" t="s">
        <v>18806</v>
      </c>
      <c r="R2901" s="10" t="s">
        <v>18807</v>
      </c>
      <c r="S2901" s="10" t="s">
        <v>53</v>
      </c>
      <c r="T2901" s="10" t="s">
        <v>54</v>
      </c>
    </row>
    <row r="2902" spans="1:20" ht="14.5" x14ac:dyDescent="0.35">
      <c r="A2902" s="10" t="s">
        <v>18808</v>
      </c>
      <c r="B2902" s="10" t="str">
        <f>"9781118022245"</f>
        <v>9781118022245</v>
      </c>
      <c r="C2902" s="10" t="str">
        <f>"9781118116708"</f>
        <v>9781118116708</v>
      </c>
      <c r="D2902" s="10" t="s">
        <v>6322</v>
      </c>
      <c r="E2902" s="10" t="s">
        <v>6323</v>
      </c>
      <c r="F2902" s="10" t="s">
        <v>4423</v>
      </c>
      <c r="G2902" s="10" t="s">
        <v>6317</v>
      </c>
      <c r="H2902" s="11">
        <v>40841</v>
      </c>
      <c r="I2902" s="10">
        <v>2012</v>
      </c>
      <c r="J2902" s="10" t="s">
        <v>6324</v>
      </c>
      <c r="K2902" s="10">
        <v>226</v>
      </c>
      <c r="L2902" s="10" t="s">
        <v>18809</v>
      </c>
      <c r="M2902" s="10">
        <v>1</v>
      </c>
      <c r="N2902" s="10"/>
      <c r="O2902" s="10"/>
      <c r="P2902" s="10" t="s">
        <v>18810</v>
      </c>
      <c r="Q2902" s="10">
        <v>371.33</v>
      </c>
      <c r="R2902" s="10" t="s">
        <v>18811</v>
      </c>
      <c r="S2902" s="10" t="s">
        <v>53</v>
      </c>
      <c r="T2902" s="10" t="s">
        <v>54</v>
      </c>
    </row>
    <row r="2903" spans="1:20" ht="14.5" x14ac:dyDescent="0.35">
      <c r="A2903" s="10" t="s">
        <v>18812</v>
      </c>
      <c r="B2903" s="10" t="str">
        <f>"9780470874134"</f>
        <v>9780470874134</v>
      </c>
      <c r="C2903" s="10" t="str">
        <f>"9781118090275"</f>
        <v>9781118090275</v>
      </c>
      <c r="D2903" s="10" t="s">
        <v>6322</v>
      </c>
      <c r="E2903" s="10" t="s">
        <v>6323</v>
      </c>
      <c r="F2903" s="10" t="s">
        <v>4423</v>
      </c>
      <c r="G2903" s="10" t="s">
        <v>6317</v>
      </c>
      <c r="H2903" s="11">
        <v>40771</v>
      </c>
      <c r="I2903" s="10">
        <v>2011</v>
      </c>
      <c r="J2903" s="10" t="s">
        <v>6324</v>
      </c>
      <c r="K2903" s="10">
        <v>193</v>
      </c>
      <c r="L2903" s="10" t="s">
        <v>18813</v>
      </c>
      <c r="M2903" s="10">
        <v>1</v>
      </c>
      <c r="N2903" s="10" t="s">
        <v>18234</v>
      </c>
      <c r="O2903" s="10">
        <v>15</v>
      </c>
      <c r="P2903" s="10" t="s">
        <v>18814</v>
      </c>
      <c r="Q2903" s="10"/>
      <c r="R2903" s="10" t="s">
        <v>18815</v>
      </c>
      <c r="S2903" s="10" t="s">
        <v>53</v>
      </c>
      <c r="T2903" s="10" t="s">
        <v>54</v>
      </c>
    </row>
    <row r="2904" spans="1:20" ht="14.5" x14ac:dyDescent="0.35">
      <c r="A2904" s="10" t="s">
        <v>18816</v>
      </c>
      <c r="B2904" s="10" t="str">
        <f>"9780470888421"</f>
        <v>9780470888421</v>
      </c>
      <c r="C2904" s="10" t="str">
        <f>"9781118075524"</f>
        <v>9781118075524</v>
      </c>
      <c r="D2904" s="10" t="s">
        <v>6322</v>
      </c>
      <c r="E2904" s="10" t="s">
        <v>6323</v>
      </c>
      <c r="F2904" s="10" t="s">
        <v>4423</v>
      </c>
      <c r="G2904" s="10" t="s">
        <v>6317</v>
      </c>
      <c r="H2904" s="11">
        <v>40744</v>
      </c>
      <c r="I2904" s="10">
        <v>2011</v>
      </c>
      <c r="J2904" s="10" t="s">
        <v>6324</v>
      </c>
      <c r="K2904" s="10">
        <v>137</v>
      </c>
      <c r="L2904" s="10" t="s">
        <v>18817</v>
      </c>
      <c r="M2904" s="10">
        <v>1</v>
      </c>
      <c r="N2904" s="10" t="s">
        <v>16630</v>
      </c>
      <c r="O2904" s="10">
        <v>33</v>
      </c>
      <c r="P2904" s="10" t="s">
        <v>18818</v>
      </c>
      <c r="Q2904" s="10"/>
      <c r="R2904" s="10" t="s">
        <v>18819</v>
      </c>
      <c r="S2904" s="10" t="s">
        <v>53</v>
      </c>
      <c r="T2904" s="10" t="s">
        <v>54</v>
      </c>
    </row>
    <row r="2905" spans="1:20" ht="14.5" x14ac:dyDescent="0.35">
      <c r="A2905" s="10" t="s">
        <v>18820</v>
      </c>
      <c r="B2905" s="10" t="str">
        <f>""</f>
        <v/>
      </c>
      <c r="C2905" s="10" t="str">
        <f>"9781118088579"</f>
        <v>9781118088579</v>
      </c>
      <c r="D2905" s="10" t="s">
        <v>6322</v>
      </c>
      <c r="E2905" s="10" t="s">
        <v>6323</v>
      </c>
      <c r="F2905" s="10" t="s">
        <v>4423</v>
      </c>
      <c r="G2905" s="10" t="s">
        <v>6317</v>
      </c>
      <c r="H2905" s="11">
        <v>40764</v>
      </c>
      <c r="I2905" s="10">
        <v>2011</v>
      </c>
      <c r="J2905" s="10" t="s">
        <v>6323</v>
      </c>
      <c r="K2905" s="10">
        <v>644</v>
      </c>
      <c r="L2905" s="10" t="s">
        <v>18821</v>
      </c>
      <c r="M2905" s="10">
        <v>1</v>
      </c>
      <c r="N2905" s="10" t="s">
        <v>18822</v>
      </c>
      <c r="O2905" s="10">
        <v>10</v>
      </c>
      <c r="P2905" s="10" t="s">
        <v>18823</v>
      </c>
      <c r="Q2905" s="10" t="s">
        <v>18824</v>
      </c>
      <c r="R2905" s="10" t="s">
        <v>18825</v>
      </c>
      <c r="S2905" s="10" t="s">
        <v>53</v>
      </c>
      <c r="T2905" s="10" t="s">
        <v>5396</v>
      </c>
    </row>
    <row r="2906" spans="1:20" ht="14.5" x14ac:dyDescent="0.35">
      <c r="A2906" s="10" t="s">
        <v>18826</v>
      </c>
      <c r="B2906" s="10" t="str">
        <f>"9781118024317"</f>
        <v>9781118024317</v>
      </c>
      <c r="C2906" s="10" t="str">
        <f>"9781118132272"</f>
        <v>9781118132272</v>
      </c>
      <c r="D2906" s="10" t="s">
        <v>6322</v>
      </c>
      <c r="E2906" s="10" t="s">
        <v>6323</v>
      </c>
      <c r="F2906" s="10" t="s">
        <v>4423</v>
      </c>
      <c r="G2906" s="10" t="s">
        <v>6317</v>
      </c>
      <c r="H2906" s="11">
        <v>40827</v>
      </c>
      <c r="I2906" s="10">
        <v>2012</v>
      </c>
      <c r="J2906" s="10" t="s">
        <v>6323</v>
      </c>
      <c r="K2906" s="10">
        <v>288</v>
      </c>
      <c r="L2906" s="10" t="s">
        <v>18827</v>
      </c>
      <c r="M2906" s="10">
        <v>1</v>
      </c>
      <c r="N2906" s="10"/>
      <c r="O2906" s="10"/>
      <c r="P2906" s="10" t="s">
        <v>18828</v>
      </c>
      <c r="Q2906" s="10"/>
      <c r="R2906" s="10" t="s">
        <v>18829</v>
      </c>
      <c r="S2906" s="10" t="s">
        <v>53</v>
      </c>
      <c r="T2906" s="10" t="s">
        <v>54</v>
      </c>
    </row>
    <row r="2907" spans="1:20" ht="14.5" x14ac:dyDescent="0.35">
      <c r="A2907" s="10" t="s">
        <v>18830</v>
      </c>
      <c r="B2907" s="10" t="str">
        <f>"9781118024324"</f>
        <v>9781118024324</v>
      </c>
      <c r="C2907" s="10" t="str">
        <f>"9781118132302"</f>
        <v>9781118132302</v>
      </c>
      <c r="D2907" s="10" t="s">
        <v>6322</v>
      </c>
      <c r="E2907" s="10" t="s">
        <v>6323</v>
      </c>
      <c r="F2907" s="10" t="s">
        <v>4423</v>
      </c>
      <c r="G2907" s="10" t="s">
        <v>6317</v>
      </c>
      <c r="H2907" s="11">
        <v>40827</v>
      </c>
      <c r="I2907" s="10">
        <v>2012</v>
      </c>
      <c r="J2907" s="10" t="s">
        <v>6324</v>
      </c>
      <c r="K2907" s="10">
        <v>242</v>
      </c>
      <c r="L2907" s="10" t="s">
        <v>18827</v>
      </c>
      <c r="M2907" s="10">
        <v>1</v>
      </c>
      <c r="N2907" s="10"/>
      <c r="O2907" s="10"/>
      <c r="P2907" s="10" t="s">
        <v>18831</v>
      </c>
      <c r="Q2907" s="10"/>
      <c r="R2907" s="10" t="s">
        <v>18832</v>
      </c>
      <c r="S2907" s="10" t="s">
        <v>53</v>
      </c>
      <c r="T2907" s="10" t="s">
        <v>54</v>
      </c>
    </row>
    <row r="2908" spans="1:20" ht="14.5" x14ac:dyDescent="0.35">
      <c r="A2908" s="10" t="s">
        <v>18833</v>
      </c>
      <c r="B2908" s="10" t="str">
        <f>"9781118108222"</f>
        <v>9781118108222</v>
      </c>
      <c r="C2908" s="10" t="str">
        <f>"9781118137109"</f>
        <v>9781118137109</v>
      </c>
      <c r="D2908" s="10" t="s">
        <v>6322</v>
      </c>
      <c r="E2908" s="10" t="s">
        <v>6323</v>
      </c>
      <c r="F2908" s="10" t="s">
        <v>1168</v>
      </c>
      <c r="G2908" s="10" t="s">
        <v>6317</v>
      </c>
      <c r="H2908" s="11">
        <v>40820</v>
      </c>
      <c r="I2908" s="10">
        <v>2011</v>
      </c>
      <c r="J2908" s="10" t="s">
        <v>6324</v>
      </c>
      <c r="K2908" s="10">
        <v>464</v>
      </c>
      <c r="L2908" s="10" t="s">
        <v>18834</v>
      </c>
      <c r="M2908" s="10">
        <v>1</v>
      </c>
      <c r="N2908" s="10"/>
      <c r="O2908" s="10"/>
      <c r="P2908" s="10" t="s">
        <v>18835</v>
      </c>
      <c r="Q2908" s="10">
        <v>372.6044</v>
      </c>
      <c r="R2908" s="10" t="s">
        <v>18836</v>
      </c>
      <c r="S2908" s="10" t="s">
        <v>53</v>
      </c>
      <c r="T2908" s="10" t="s">
        <v>54</v>
      </c>
    </row>
    <row r="2909" spans="1:20" ht="14.5" x14ac:dyDescent="0.35">
      <c r="A2909" s="10" t="s">
        <v>18837</v>
      </c>
      <c r="B2909" s="10" t="str">
        <f>"9781444339307"</f>
        <v>9781444339307</v>
      </c>
      <c r="C2909" s="10" t="str">
        <f>"9781444346503"</f>
        <v>9781444346503</v>
      </c>
      <c r="D2909" s="10" t="s">
        <v>6322</v>
      </c>
      <c r="E2909" s="10" t="s">
        <v>6323</v>
      </c>
      <c r="F2909" s="10" t="s">
        <v>4423</v>
      </c>
      <c r="G2909" s="10" t="s">
        <v>6352</v>
      </c>
      <c r="H2909" s="11">
        <v>40833</v>
      </c>
      <c r="I2909" s="10">
        <v>2011</v>
      </c>
      <c r="J2909" s="10" t="s">
        <v>8436</v>
      </c>
      <c r="K2909" s="10">
        <v>322</v>
      </c>
      <c r="L2909" s="10" t="s">
        <v>18838</v>
      </c>
      <c r="M2909" s="10">
        <v>1</v>
      </c>
      <c r="N2909" s="10" t="s">
        <v>18839</v>
      </c>
      <c r="O2909" s="10">
        <v>18</v>
      </c>
      <c r="P2909" s="10" t="s">
        <v>18840</v>
      </c>
      <c r="Q2909" s="10"/>
      <c r="R2909" s="10" t="s">
        <v>18841</v>
      </c>
      <c r="S2909" s="10" t="s">
        <v>53</v>
      </c>
      <c r="T2909" s="10" t="s">
        <v>54</v>
      </c>
    </row>
    <row r="2910" spans="1:20" ht="14.5" x14ac:dyDescent="0.35">
      <c r="A2910" s="10" t="s">
        <v>18842</v>
      </c>
      <c r="B2910" s="10" t="str">
        <f>"9781444339857"</f>
        <v>9781444339857</v>
      </c>
      <c r="C2910" s="10" t="str">
        <f>"9781444345797"</f>
        <v>9781444345797</v>
      </c>
      <c r="D2910" s="10" t="s">
        <v>6322</v>
      </c>
      <c r="E2910" s="10" t="s">
        <v>6323</v>
      </c>
      <c r="F2910" s="10" t="s">
        <v>4423</v>
      </c>
      <c r="G2910" s="10" t="s">
        <v>6352</v>
      </c>
      <c r="H2910" s="11">
        <v>40819</v>
      </c>
      <c r="I2910" s="10">
        <v>2011</v>
      </c>
      <c r="J2910" s="10" t="s">
        <v>6323</v>
      </c>
      <c r="K2910" s="10">
        <v>122</v>
      </c>
      <c r="L2910" s="10" t="s">
        <v>18843</v>
      </c>
      <c r="M2910" s="10">
        <v>1</v>
      </c>
      <c r="N2910" s="10" t="s">
        <v>18844</v>
      </c>
      <c r="O2910" s="10">
        <v>25</v>
      </c>
      <c r="P2910" s="10" t="s">
        <v>18845</v>
      </c>
      <c r="Q2910" s="10"/>
      <c r="R2910" s="10" t="s">
        <v>6415</v>
      </c>
      <c r="S2910" s="10" t="s">
        <v>53</v>
      </c>
      <c r="T2910" s="10" t="s">
        <v>54</v>
      </c>
    </row>
    <row r="2911" spans="1:20" ht="14.5" x14ac:dyDescent="0.35">
      <c r="A2911" s="10" t="s">
        <v>18846</v>
      </c>
      <c r="B2911" s="10" t="str">
        <f>"9781416611691"</f>
        <v>9781416611691</v>
      </c>
      <c r="C2911" s="10" t="str">
        <f>"9781416613374"</f>
        <v>9781416613374</v>
      </c>
      <c r="D2911" s="10" t="s">
        <v>10014</v>
      </c>
      <c r="E2911" s="10" t="s">
        <v>10015</v>
      </c>
      <c r="F2911" s="10" t="s">
        <v>201</v>
      </c>
      <c r="G2911" s="10" t="s">
        <v>6317</v>
      </c>
      <c r="H2911" s="11">
        <v>40544</v>
      </c>
      <c r="I2911" s="10">
        <v>2011</v>
      </c>
      <c r="J2911" s="10" t="s">
        <v>10015</v>
      </c>
      <c r="K2911" s="10">
        <v>163</v>
      </c>
      <c r="L2911" s="10" t="s">
        <v>15733</v>
      </c>
      <c r="M2911" s="10">
        <v>1</v>
      </c>
      <c r="N2911" s="10"/>
      <c r="O2911" s="10"/>
      <c r="P2911" s="10" t="s">
        <v>18847</v>
      </c>
      <c r="Q2911" s="10">
        <v>371.10199999999998</v>
      </c>
      <c r="R2911" s="10"/>
      <c r="S2911" s="10" t="s">
        <v>53</v>
      </c>
      <c r="T2911" s="10" t="s">
        <v>54</v>
      </c>
    </row>
    <row r="2912" spans="1:20" ht="14.5" x14ac:dyDescent="0.35">
      <c r="A2912" s="10" t="s">
        <v>18848</v>
      </c>
      <c r="B2912" s="10" t="str">
        <f>"9781416611554"</f>
        <v>9781416611554</v>
      </c>
      <c r="C2912" s="10" t="str">
        <f>"9781416613183"</f>
        <v>9781416613183</v>
      </c>
      <c r="D2912" s="10" t="s">
        <v>10014</v>
      </c>
      <c r="E2912" s="10" t="s">
        <v>10015</v>
      </c>
      <c r="F2912" s="10" t="s">
        <v>201</v>
      </c>
      <c r="G2912" s="10" t="s">
        <v>6317</v>
      </c>
      <c r="H2912" s="11">
        <v>40693</v>
      </c>
      <c r="I2912" s="10">
        <v>2011</v>
      </c>
      <c r="J2912" s="10" t="s">
        <v>10015</v>
      </c>
      <c r="K2912" s="10">
        <v>190</v>
      </c>
      <c r="L2912" s="10" t="s">
        <v>18849</v>
      </c>
      <c r="M2912" s="10">
        <v>1</v>
      </c>
      <c r="N2912" s="10"/>
      <c r="O2912" s="10"/>
      <c r="P2912" s="10" t="s">
        <v>18850</v>
      </c>
      <c r="Q2912" s="10" t="s">
        <v>10094</v>
      </c>
      <c r="R2912" s="10"/>
      <c r="S2912" s="10" t="s">
        <v>53</v>
      </c>
      <c r="T2912" s="10" t="s">
        <v>54</v>
      </c>
    </row>
    <row r="2913" spans="1:20" ht="14.5" x14ac:dyDescent="0.35">
      <c r="A2913" s="10" t="s">
        <v>18851</v>
      </c>
      <c r="B2913" s="10" t="str">
        <f>"9781416611493"</f>
        <v>9781416611493</v>
      </c>
      <c r="C2913" s="10" t="str">
        <f>"9781416613305"</f>
        <v>9781416613305</v>
      </c>
      <c r="D2913" s="10" t="s">
        <v>10014</v>
      </c>
      <c r="E2913" s="10" t="s">
        <v>10015</v>
      </c>
      <c r="F2913" s="10" t="s">
        <v>201</v>
      </c>
      <c r="G2913" s="10" t="s">
        <v>6317</v>
      </c>
      <c r="H2913" s="11">
        <v>40544</v>
      </c>
      <c r="I2913" s="10">
        <v>2011</v>
      </c>
      <c r="J2913" s="10" t="s">
        <v>10015</v>
      </c>
      <c r="K2913" s="10">
        <v>139</v>
      </c>
      <c r="L2913" s="10" t="s">
        <v>18852</v>
      </c>
      <c r="M2913" s="10">
        <v>1</v>
      </c>
      <c r="N2913" s="10"/>
      <c r="O2913" s="10"/>
      <c r="P2913" s="10" t="s">
        <v>18853</v>
      </c>
      <c r="Q2913" s="10" t="s">
        <v>9360</v>
      </c>
      <c r="R2913" s="10"/>
      <c r="S2913" s="10" t="s">
        <v>53</v>
      </c>
      <c r="T2913" s="10" t="s">
        <v>54</v>
      </c>
    </row>
    <row r="2914" spans="1:20" ht="14.5" x14ac:dyDescent="0.35">
      <c r="A2914" s="10" t="s">
        <v>18854</v>
      </c>
      <c r="B2914" s="10" t="str">
        <f>"9781416608974"</f>
        <v>9781416608974</v>
      </c>
      <c r="C2914" s="10" t="str">
        <f>"9781416613442"</f>
        <v>9781416613442</v>
      </c>
      <c r="D2914" s="10" t="s">
        <v>10014</v>
      </c>
      <c r="E2914" s="10" t="s">
        <v>10015</v>
      </c>
      <c r="F2914" s="10" t="s">
        <v>201</v>
      </c>
      <c r="G2914" s="10" t="s">
        <v>6317</v>
      </c>
      <c r="H2914" s="11">
        <v>39965</v>
      </c>
      <c r="I2914" s="10">
        <v>2011</v>
      </c>
      <c r="J2914" s="10" t="s">
        <v>10015</v>
      </c>
      <c r="K2914" s="10">
        <v>375</v>
      </c>
      <c r="L2914" s="10" t="s">
        <v>18855</v>
      </c>
      <c r="M2914" s="10">
        <v>2</v>
      </c>
      <c r="N2914" s="10"/>
      <c r="O2914" s="10"/>
      <c r="P2914" s="10" t="s">
        <v>18856</v>
      </c>
      <c r="Q2914" s="10">
        <v>371.10199999999998</v>
      </c>
      <c r="R2914" s="10" t="s">
        <v>18857</v>
      </c>
      <c r="S2914" s="10" t="s">
        <v>53</v>
      </c>
      <c r="T2914" s="10" t="s">
        <v>54</v>
      </c>
    </row>
    <row r="2915" spans="1:20" ht="14.5" x14ac:dyDescent="0.35">
      <c r="A2915" s="10" t="s">
        <v>18858</v>
      </c>
      <c r="B2915" s="10" t="str">
        <f>"9781416611509"</f>
        <v>9781416611509</v>
      </c>
      <c r="C2915" s="10" t="str">
        <f>"9781416613268"</f>
        <v>9781416613268</v>
      </c>
      <c r="D2915" s="10" t="s">
        <v>10014</v>
      </c>
      <c r="E2915" s="10" t="s">
        <v>10015</v>
      </c>
      <c r="F2915" s="10" t="s">
        <v>201</v>
      </c>
      <c r="G2915" s="10" t="s">
        <v>6317</v>
      </c>
      <c r="H2915" s="11">
        <v>40663</v>
      </c>
      <c r="I2915" s="10">
        <v>2011</v>
      </c>
      <c r="J2915" s="10" t="s">
        <v>10015</v>
      </c>
      <c r="K2915" s="10">
        <v>251</v>
      </c>
      <c r="L2915" s="10" t="s">
        <v>18859</v>
      </c>
      <c r="M2915" s="10">
        <v>1</v>
      </c>
      <c r="N2915" s="10"/>
      <c r="O2915" s="10"/>
      <c r="P2915" s="10" t="s">
        <v>18860</v>
      </c>
      <c r="Q2915" s="10"/>
      <c r="R2915" s="10"/>
      <c r="S2915" s="10" t="s">
        <v>53</v>
      </c>
      <c r="T2915" s="10" t="s">
        <v>54</v>
      </c>
    </row>
    <row r="2916" spans="1:20" ht="14.5" x14ac:dyDescent="0.35">
      <c r="A2916" s="10" t="s">
        <v>18861</v>
      </c>
      <c r="B2916" s="10" t="str">
        <f>"9781416611240"</f>
        <v>9781416611240</v>
      </c>
      <c r="C2916" s="10" t="str">
        <f>"9781416612995"</f>
        <v>9781416612995</v>
      </c>
      <c r="D2916" s="10" t="s">
        <v>10014</v>
      </c>
      <c r="E2916" s="10" t="s">
        <v>10015</v>
      </c>
      <c r="F2916" s="10" t="s">
        <v>201</v>
      </c>
      <c r="G2916" s="10" t="s">
        <v>6317</v>
      </c>
      <c r="H2916" s="11">
        <v>40632</v>
      </c>
      <c r="I2916" s="10">
        <v>2011</v>
      </c>
      <c r="J2916" s="10" t="s">
        <v>10015</v>
      </c>
      <c r="K2916" s="10">
        <v>212</v>
      </c>
      <c r="L2916" s="10" t="s">
        <v>8278</v>
      </c>
      <c r="M2916" s="10">
        <v>1</v>
      </c>
      <c r="N2916" s="10"/>
      <c r="O2916" s="10"/>
      <c r="P2916" s="10" t="s">
        <v>18862</v>
      </c>
      <c r="Q2916" s="10">
        <v>371.26</v>
      </c>
      <c r="R2916" s="10"/>
      <c r="S2916" s="10" t="s">
        <v>53</v>
      </c>
      <c r="T2916" s="10" t="s">
        <v>54</v>
      </c>
    </row>
    <row r="2917" spans="1:20" ht="14.5" x14ac:dyDescent="0.35">
      <c r="A2917" s="10" t="s">
        <v>18863</v>
      </c>
      <c r="B2917" s="10" t="str">
        <f>"9781416611134"</f>
        <v>9781416611134</v>
      </c>
      <c r="C2917" s="10" t="str">
        <f>"9781416613114"</f>
        <v>9781416613114</v>
      </c>
      <c r="D2917" s="10" t="s">
        <v>10014</v>
      </c>
      <c r="E2917" s="10" t="s">
        <v>10015</v>
      </c>
      <c r="F2917" s="10" t="s">
        <v>201</v>
      </c>
      <c r="G2917" s="10" t="s">
        <v>6317</v>
      </c>
      <c r="H2917" s="11">
        <v>40589</v>
      </c>
      <c r="I2917" s="10">
        <v>2011</v>
      </c>
      <c r="J2917" s="10" t="s">
        <v>10015</v>
      </c>
      <c r="K2917" s="10">
        <v>171</v>
      </c>
      <c r="L2917" s="10" t="s">
        <v>18864</v>
      </c>
      <c r="M2917" s="10">
        <v>1</v>
      </c>
      <c r="N2917" s="10"/>
      <c r="O2917" s="10"/>
      <c r="P2917" s="10" t="s">
        <v>18865</v>
      </c>
      <c r="Q2917" s="10" t="s">
        <v>18866</v>
      </c>
      <c r="R2917" s="10"/>
      <c r="S2917" s="10" t="s">
        <v>53</v>
      </c>
      <c r="T2917" s="10" t="s">
        <v>54</v>
      </c>
    </row>
    <row r="2918" spans="1:20" ht="14.5" x14ac:dyDescent="0.35">
      <c r="A2918" s="10" t="s">
        <v>18867</v>
      </c>
      <c r="B2918" s="10" t="str">
        <f>"9781416611318"</f>
        <v>9781416611318</v>
      </c>
      <c r="C2918" s="10" t="str">
        <f>"9781416613046"</f>
        <v>9781416613046</v>
      </c>
      <c r="D2918" s="10" t="s">
        <v>10014</v>
      </c>
      <c r="E2918" s="10" t="s">
        <v>10015</v>
      </c>
      <c r="F2918" s="10" t="s">
        <v>201</v>
      </c>
      <c r="G2918" s="10" t="s">
        <v>6317</v>
      </c>
      <c r="H2918" s="11">
        <v>40602</v>
      </c>
      <c r="I2918" s="10">
        <v>2011</v>
      </c>
      <c r="J2918" s="10" t="s">
        <v>10015</v>
      </c>
      <c r="K2918" s="10">
        <v>219</v>
      </c>
      <c r="L2918" s="10" t="s">
        <v>18868</v>
      </c>
      <c r="M2918" s="10">
        <v>1</v>
      </c>
      <c r="N2918" s="10"/>
      <c r="O2918" s="10"/>
      <c r="P2918" s="10" t="s">
        <v>18869</v>
      </c>
      <c r="Q2918" s="10">
        <v>370.97300000000001</v>
      </c>
      <c r="R2918" s="10"/>
      <c r="S2918" s="10" t="s">
        <v>53</v>
      </c>
      <c r="T2918" s="10" t="s">
        <v>54</v>
      </c>
    </row>
    <row r="2919" spans="1:20" ht="14.5" x14ac:dyDescent="0.35">
      <c r="A2919" s="10" t="s">
        <v>18870</v>
      </c>
      <c r="B2919" s="10" t="str">
        <f>"9780470663288"</f>
        <v>9780470663288</v>
      </c>
      <c r="C2919" s="10" t="str">
        <f>"9780470717868"</f>
        <v>9780470717868</v>
      </c>
      <c r="D2919" s="10" t="s">
        <v>6322</v>
      </c>
      <c r="E2919" s="10" t="s">
        <v>6323</v>
      </c>
      <c r="F2919" s="10" t="s">
        <v>4423</v>
      </c>
      <c r="G2919" s="10" t="s">
        <v>6352</v>
      </c>
      <c r="H2919" s="11">
        <v>40072</v>
      </c>
      <c r="I2919" s="10">
        <v>1975</v>
      </c>
      <c r="J2919" s="10" t="s">
        <v>6323</v>
      </c>
      <c r="K2919" s="10">
        <v>242</v>
      </c>
      <c r="L2919" s="10" t="s">
        <v>18871</v>
      </c>
      <c r="M2919" s="10">
        <v>1</v>
      </c>
      <c r="N2919" s="10" t="s">
        <v>18872</v>
      </c>
      <c r="O2919" s="10">
        <v>36</v>
      </c>
      <c r="P2919" s="10" t="s">
        <v>18873</v>
      </c>
      <c r="Q2919" s="10"/>
      <c r="R2919" s="10" t="s">
        <v>18874</v>
      </c>
      <c r="S2919" s="10" t="s">
        <v>53</v>
      </c>
      <c r="T2919" s="10" t="s">
        <v>4490</v>
      </c>
    </row>
    <row r="2920" spans="1:20" ht="14.5" x14ac:dyDescent="0.35">
      <c r="A2920" s="10" t="s">
        <v>18875</v>
      </c>
      <c r="B2920" s="10" t="str">
        <f>"9780130452986"</f>
        <v>9780130452986</v>
      </c>
      <c r="C2920" s="10" t="str">
        <f>"9781118979532"</f>
        <v>9781118979532</v>
      </c>
      <c r="D2920" s="10" t="s">
        <v>6322</v>
      </c>
      <c r="E2920" s="10" t="s">
        <v>6323</v>
      </c>
      <c r="F2920" s="10" t="s">
        <v>4423</v>
      </c>
      <c r="G2920" s="10" t="s">
        <v>6317</v>
      </c>
      <c r="H2920" s="11">
        <v>37533</v>
      </c>
      <c r="I2920" s="10">
        <v>2002</v>
      </c>
      <c r="J2920" s="10" t="s">
        <v>6324</v>
      </c>
      <c r="K2920" s="10">
        <v>272</v>
      </c>
      <c r="L2920" s="10" t="s">
        <v>18876</v>
      </c>
      <c r="M2920" s="10">
        <v>1</v>
      </c>
      <c r="N2920" s="10"/>
      <c r="O2920" s="10"/>
      <c r="P2920" s="10" t="s">
        <v>18877</v>
      </c>
      <c r="Q2920" s="10" t="s">
        <v>9954</v>
      </c>
      <c r="R2920" s="10" t="s">
        <v>18878</v>
      </c>
      <c r="S2920" s="10" t="s">
        <v>53</v>
      </c>
      <c r="T2920" s="10" t="s">
        <v>54</v>
      </c>
    </row>
    <row r="2921" spans="1:20" ht="14.5" x14ac:dyDescent="0.35">
      <c r="A2921" s="10" t="s">
        <v>18879</v>
      </c>
      <c r="B2921" s="10" t="str">
        <f>"9780470230817"</f>
        <v>9780470230817</v>
      </c>
      <c r="C2921" s="10" t="str">
        <f>"9780470909652"</f>
        <v>9780470909652</v>
      </c>
      <c r="D2921" s="10" t="s">
        <v>6322</v>
      </c>
      <c r="E2921" s="10" t="s">
        <v>6323</v>
      </c>
      <c r="F2921" s="10" t="s">
        <v>4423</v>
      </c>
      <c r="G2921" s="10" t="s">
        <v>6317</v>
      </c>
      <c r="H2921" s="11">
        <v>40519</v>
      </c>
      <c r="I2921" s="10">
        <v>2010</v>
      </c>
      <c r="J2921" s="10" t="s">
        <v>6324</v>
      </c>
      <c r="K2921" s="10">
        <v>194</v>
      </c>
      <c r="L2921" s="10" t="s">
        <v>18880</v>
      </c>
      <c r="M2921" s="10">
        <v>1</v>
      </c>
      <c r="N2921" s="10"/>
      <c r="O2921" s="10"/>
      <c r="P2921" s="10" t="s">
        <v>18881</v>
      </c>
      <c r="Q2921" s="10">
        <v>373.12639999999999</v>
      </c>
      <c r="R2921" s="10" t="s">
        <v>18882</v>
      </c>
      <c r="S2921" s="10" t="s">
        <v>53</v>
      </c>
      <c r="T2921" s="10" t="s">
        <v>54</v>
      </c>
    </row>
    <row r="2922" spans="1:20" ht="14.5" x14ac:dyDescent="0.35">
      <c r="A2922" s="10" t="s">
        <v>18883</v>
      </c>
      <c r="B2922" s="10" t="str">
        <f>"9780470470435"</f>
        <v>9780470470435</v>
      </c>
      <c r="C2922" s="10" t="str">
        <f>"9780470933473"</f>
        <v>9780470933473</v>
      </c>
      <c r="D2922" s="10" t="s">
        <v>6322</v>
      </c>
      <c r="E2922" s="10" t="s">
        <v>6323</v>
      </c>
      <c r="F2922" s="10" t="s">
        <v>4423</v>
      </c>
      <c r="G2922" s="10" t="s">
        <v>6317</v>
      </c>
      <c r="H2922" s="11">
        <v>40526</v>
      </c>
      <c r="I2922" s="10">
        <v>2010</v>
      </c>
      <c r="J2922" s="10" t="s">
        <v>6324</v>
      </c>
      <c r="K2922" s="10">
        <v>146</v>
      </c>
      <c r="L2922" s="10" t="s">
        <v>18884</v>
      </c>
      <c r="M2922" s="10">
        <v>1</v>
      </c>
      <c r="N2922" s="10" t="s">
        <v>18234</v>
      </c>
      <c r="O2922" s="10">
        <v>10</v>
      </c>
      <c r="P2922" s="10" t="s">
        <v>18885</v>
      </c>
      <c r="Q2922" s="10">
        <v>371.2</v>
      </c>
      <c r="R2922" s="10" t="s">
        <v>18886</v>
      </c>
      <c r="S2922" s="10" t="s">
        <v>53</v>
      </c>
      <c r="T2922" s="10" t="s">
        <v>54</v>
      </c>
    </row>
    <row r="2923" spans="1:20" ht="14.5" x14ac:dyDescent="0.35">
      <c r="A2923" s="10" t="s">
        <v>18887</v>
      </c>
      <c r="B2923" s="10" t="str">
        <f>"9780470501986"</f>
        <v>9780470501986</v>
      </c>
      <c r="C2923" s="10" t="str">
        <f>"9780470905012"</f>
        <v>9780470905012</v>
      </c>
      <c r="D2923" s="10" t="s">
        <v>6322</v>
      </c>
      <c r="E2923" s="10" t="s">
        <v>6323</v>
      </c>
      <c r="F2923" s="10" t="s">
        <v>4423</v>
      </c>
      <c r="G2923" s="10" t="s">
        <v>6317</v>
      </c>
      <c r="H2923" s="11">
        <v>40519</v>
      </c>
      <c r="I2923" s="10">
        <v>2010</v>
      </c>
      <c r="J2923" s="10" t="s">
        <v>6324</v>
      </c>
      <c r="K2923" s="10">
        <v>401</v>
      </c>
      <c r="L2923" s="10" t="s">
        <v>18888</v>
      </c>
      <c r="M2923" s="10">
        <v>1</v>
      </c>
      <c r="N2923" s="10" t="s">
        <v>18889</v>
      </c>
      <c r="O2923" s="10">
        <v>65</v>
      </c>
      <c r="P2923" s="10" t="s">
        <v>18890</v>
      </c>
      <c r="Q2923" s="10">
        <v>372.11020215999997</v>
      </c>
      <c r="R2923" s="10" t="s">
        <v>18891</v>
      </c>
      <c r="S2923" s="10" t="s">
        <v>53</v>
      </c>
      <c r="T2923" s="10" t="s">
        <v>54</v>
      </c>
    </row>
    <row r="2924" spans="1:20" ht="14.5" x14ac:dyDescent="0.35">
      <c r="A2924" s="10" t="s">
        <v>18892</v>
      </c>
      <c r="B2924" s="10" t="str">
        <f>"9780787986216"</f>
        <v>9780787986216</v>
      </c>
      <c r="C2924" s="10" t="str">
        <f>"9780470918357"</f>
        <v>9780470918357</v>
      </c>
      <c r="D2924" s="10" t="s">
        <v>6322</v>
      </c>
      <c r="E2924" s="10" t="s">
        <v>6323</v>
      </c>
      <c r="F2924" s="10" t="s">
        <v>4423</v>
      </c>
      <c r="G2924" s="10" t="s">
        <v>6317</v>
      </c>
      <c r="H2924" s="11">
        <v>40526</v>
      </c>
      <c r="I2924" s="10">
        <v>2010</v>
      </c>
      <c r="J2924" s="10" t="s">
        <v>6324</v>
      </c>
      <c r="K2924" s="10">
        <v>142</v>
      </c>
      <c r="L2924" s="10" t="s">
        <v>18893</v>
      </c>
      <c r="M2924" s="10">
        <v>1</v>
      </c>
      <c r="N2924" s="10" t="s">
        <v>18234</v>
      </c>
      <c r="O2924" s="10">
        <v>9</v>
      </c>
      <c r="P2924" s="10" t="s">
        <v>18894</v>
      </c>
      <c r="Q2924" s="10">
        <v>371.20091730000001</v>
      </c>
      <c r="R2924" s="10" t="s">
        <v>18895</v>
      </c>
      <c r="S2924" s="10" t="s">
        <v>53</v>
      </c>
      <c r="T2924" s="10" t="s">
        <v>54</v>
      </c>
    </row>
    <row r="2925" spans="1:20" ht="14.5" x14ac:dyDescent="0.35">
      <c r="A2925" s="10" t="s">
        <v>18896</v>
      </c>
      <c r="B2925" s="10" t="str">
        <f>"9780787987664"</f>
        <v>9780787987664</v>
      </c>
      <c r="C2925" s="10" t="str">
        <f>"9781118622995"</f>
        <v>9781118622995</v>
      </c>
      <c r="D2925" s="10" t="s">
        <v>6322</v>
      </c>
      <c r="E2925" s="10" t="s">
        <v>6323</v>
      </c>
      <c r="F2925" s="10" t="s">
        <v>6339</v>
      </c>
      <c r="G2925" s="10" t="s">
        <v>6317</v>
      </c>
      <c r="H2925" s="11">
        <v>39115</v>
      </c>
      <c r="I2925" s="10">
        <v>2001</v>
      </c>
      <c r="J2925" s="10" t="s">
        <v>6324</v>
      </c>
      <c r="K2925" s="10">
        <v>178</v>
      </c>
      <c r="L2925" s="10" t="s">
        <v>7403</v>
      </c>
      <c r="M2925" s="10">
        <v>1</v>
      </c>
      <c r="N2925" s="10"/>
      <c r="O2925" s="10"/>
      <c r="P2925" s="10" t="s">
        <v>18897</v>
      </c>
      <c r="Q2925" s="10">
        <v>371.2</v>
      </c>
      <c r="R2925" s="10" t="s">
        <v>18898</v>
      </c>
      <c r="S2925" s="10" t="s">
        <v>53</v>
      </c>
      <c r="T2925" s="10" t="s">
        <v>54</v>
      </c>
    </row>
    <row r="2926" spans="1:20" ht="14.5" x14ac:dyDescent="0.35">
      <c r="A2926" s="10" t="s">
        <v>18899</v>
      </c>
      <c r="B2926" s="10" t="str">
        <f>"9780787978778"</f>
        <v>9780787978778</v>
      </c>
      <c r="C2926" s="10" t="str">
        <f>"9781118113332"</f>
        <v>9781118113332</v>
      </c>
      <c r="D2926" s="10" t="s">
        <v>6322</v>
      </c>
      <c r="E2926" s="10" t="s">
        <v>6323</v>
      </c>
      <c r="F2926" s="10" t="s">
        <v>4423</v>
      </c>
      <c r="G2926" s="10" t="s">
        <v>6317</v>
      </c>
      <c r="H2926" s="11">
        <v>41939</v>
      </c>
      <c r="I2926" s="10">
        <v>2006</v>
      </c>
      <c r="J2926" s="10" t="s">
        <v>6324</v>
      </c>
      <c r="K2926" s="10">
        <v>291</v>
      </c>
      <c r="L2926" s="10" t="s">
        <v>18900</v>
      </c>
      <c r="M2926" s="10">
        <v>1</v>
      </c>
      <c r="N2926" s="10"/>
      <c r="O2926" s="10"/>
      <c r="P2926" s="10" t="s">
        <v>18901</v>
      </c>
      <c r="Q2926" s="10"/>
      <c r="R2926" s="10" t="s">
        <v>18902</v>
      </c>
      <c r="S2926" s="10" t="s">
        <v>53</v>
      </c>
      <c r="T2926" s="10" t="s">
        <v>54</v>
      </c>
    </row>
    <row r="2927" spans="1:20" ht="14.5" x14ac:dyDescent="0.35">
      <c r="A2927" s="10" t="s">
        <v>18903</v>
      </c>
      <c r="B2927" s="10" t="str">
        <f>"9780813344904"</f>
        <v>9780813344904</v>
      </c>
      <c r="C2927" s="10" t="str">
        <f>"9780813345192"</f>
        <v>9780813345192</v>
      </c>
      <c r="D2927" s="10" t="s">
        <v>6350</v>
      </c>
      <c r="E2927" s="10" t="s">
        <v>6351</v>
      </c>
      <c r="F2927" s="10" t="s">
        <v>1614</v>
      </c>
      <c r="G2927" s="10" t="s">
        <v>6317</v>
      </c>
      <c r="H2927" s="11">
        <v>40610</v>
      </c>
      <c r="I2927" s="10">
        <v>2011</v>
      </c>
      <c r="J2927" s="10" t="s">
        <v>6353</v>
      </c>
      <c r="K2927" s="10">
        <v>560</v>
      </c>
      <c r="L2927" s="10" t="s">
        <v>18904</v>
      </c>
      <c r="M2927" s="10">
        <v>1</v>
      </c>
      <c r="N2927" s="10"/>
      <c r="O2927" s="10"/>
      <c r="P2927" s="10" t="s">
        <v>18905</v>
      </c>
      <c r="Q2927" s="10">
        <v>370.97300000000001</v>
      </c>
      <c r="R2927" s="10" t="s">
        <v>18906</v>
      </c>
      <c r="S2927" s="10" t="s">
        <v>53</v>
      </c>
      <c r="T2927" s="10" t="s">
        <v>54</v>
      </c>
    </row>
    <row r="2928" spans="1:20" ht="14.5" x14ac:dyDescent="0.35">
      <c r="A2928" s="10" t="s">
        <v>18907</v>
      </c>
      <c r="B2928" s="10" t="str">
        <f>"9781442211964"</f>
        <v>9781442211964</v>
      </c>
      <c r="C2928" s="10" t="str">
        <f>"9781442211971"</f>
        <v>9781442211971</v>
      </c>
      <c r="D2928" s="10" t="s">
        <v>15207</v>
      </c>
      <c r="E2928" s="10" t="s">
        <v>15187</v>
      </c>
      <c r="F2928" s="10" t="s">
        <v>9754</v>
      </c>
      <c r="G2928" s="10" t="s">
        <v>6317</v>
      </c>
      <c r="H2928" s="11">
        <v>40740</v>
      </c>
      <c r="I2928" s="10">
        <v>2010</v>
      </c>
      <c r="J2928" s="10" t="s">
        <v>15187</v>
      </c>
      <c r="K2928" s="10">
        <v>93</v>
      </c>
      <c r="L2928" s="10" t="s">
        <v>18908</v>
      </c>
      <c r="M2928" s="10">
        <v>1</v>
      </c>
      <c r="N2928" s="10"/>
      <c r="O2928" s="10"/>
      <c r="P2928" s="10" t="s">
        <v>18909</v>
      </c>
      <c r="Q2928" s="10" t="s">
        <v>16264</v>
      </c>
      <c r="R2928" s="10" t="s">
        <v>18910</v>
      </c>
      <c r="S2928" s="10" t="s">
        <v>53</v>
      </c>
      <c r="T2928" s="10" t="s">
        <v>6448</v>
      </c>
    </row>
    <row r="2929" spans="1:20" ht="14.5" x14ac:dyDescent="0.35">
      <c r="A2929" s="10" t="s">
        <v>18911</v>
      </c>
      <c r="B2929" s="10" t="str">
        <f>"9780810881082"</f>
        <v>9780810881082</v>
      </c>
      <c r="C2929" s="10" t="str">
        <f>"9780810881099"</f>
        <v>9780810881099</v>
      </c>
      <c r="D2929" s="10" t="s">
        <v>9752</v>
      </c>
      <c r="E2929" s="10" t="s">
        <v>17181</v>
      </c>
      <c r="F2929" s="10" t="s">
        <v>9754</v>
      </c>
      <c r="G2929" s="10" t="s">
        <v>6317</v>
      </c>
      <c r="H2929" s="11">
        <v>40708</v>
      </c>
      <c r="I2929" s="10">
        <v>2011</v>
      </c>
      <c r="J2929" s="10" t="s">
        <v>17181</v>
      </c>
      <c r="K2929" s="10">
        <v>319</v>
      </c>
      <c r="L2929" s="10" t="s">
        <v>18912</v>
      </c>
      <c r="M2929" s="10">
        <v>1</v>
      </c>
      <c r="N2929" s="10"/>
      <c r="O2929" s="10"/>
      <c r="P2929" s="10" t="s">
        <v>18913</v>
      </c>
      <c r="Q2929" s="10" t="s">
        <v>14582</v>
      </c>
      <c r="R2929" s="10" t="s">
        <v>18914</v>
      </c>
      <c r="S2929" s="10" t="s">
        <v>53</v>
      </c>
      <c r="T2929" s="10" t="s">
        <v>54</v>
      </c>
    </row>
    <row r="2930" spans="1:20" ht="14.5" x14ac:dyDescent="0.35">
      <c r="A2930" s="10" t="s">
        <v>18915</v>
      </c>
      <c r="B2930" s="10" t="str">
        <f>"9780826494177"</f>
        <v>9780826494177</v>
      </c>
      <c r="C2930" s="10" t="str">
        <f>"9781441126191"</f>
        <v>9781441126191</v>
      </c>
      <c r="D2930" s="10" t="s">
        <v>13959</v>
      </c>
      <c r="E2930" s="10" t="s">
        <v>13960</v>
      </c>
      <c r="F2930" s="10" t="s">
        <v>139</v>
      </c>
      <c r="G2930" s="10" t="s">
        <v>6352</v>
      </c>
      <c r="H2930" s="11">
        <v>39400</v>
      </c>
      <c r="I2930" s="10">
        <v>2007</v>
      </c>
      <c r="J2930" s="10" t="s">
        <v>13961</v>
      </c>
      <c r="K2930" s="10">
        <v>204</v>
      </c>
      <c r="L2930" s="10" t="s">
        <v>18916</v>
      </c>
      <c r="M2930" s="10">
        <v>1</v>
      </c>
      <c r="N2930" s="10"/>
      <c r="O2930" s="10"/>
      <c r="P2930" s="10" t="s">
        <v>18917</v>
      </c>
      <c r="Q2930" s="10">
        <v>378.00700000000001</v>
      </c>
      <c r="R2930" s="10" t="s">
        <v>18918</v>
      </c>
      <c r="S2930" s="10" t="s">
        <v>53</v>
      </c>
      <c r="T2930" s="10" t="s">
        <v>54</v>
      </c>
    </row>
    <row r="2931" spans="1:20" ht="14.5" x14ac:dyDescent="0.35">
      <c r="A2931" s="10" t="s">
        <v>18919</v>
      </c>
      <c r="B2931" s="10" t="str">
        <f>"9781441187031"</f>
        <v>9781441187031</v>
      </c>
      <c r="C2931" s="10" t="str">
        <f>"9781441199607"</f>
        <v>9781441199607</v>
      </c>
      <c r="D2931" s="10" t="s">
        <v>13959</v>
      </c>
      <c r="E2931" s="10" t="s">
        <v>13960</v>
      </c>
      <c r="F2931" s="10" t="s">
        <v>139</v>
      </c>
      <c r="G2931" s="10" t="s">
        <v>6352</v>
      </c>
      <c r="H2931" s="11">
        <v>40745</v>
      </c>
      <c r="I2931" s="10">
        <v>2011</v>
      </c>
      <c r="J2931" s="10" t="s">
        <v>13961</v>
      </c>
      <c r="K2931" s="10">
        <v>155</v>
      </c>
      <c r="L2931" s="10" t="s">
        <v>18920</v>
      </c>
      <c r="M2931" s="10">
        <v>1</v>
      </c>
      <c r="N2931" s="10"/>
      <c r="O2931" s="10"/>
      <c r="P2931" s="10" t="s">
        <v>18921</v>
      </c>
      <c r="Q2931" s="10" t="s">
        <v>18922</v>
      </c>
      <c r="R2931" s="10" t="s">
        <v>18923</v>
      </c>
      <c r="S2931" s="10" t="s">
        <v>53</v>
      </c>
      <c r="T2931" s="10" t="s">
        <v>54</v>
      </c>
    </row>
    <row r="2932" spans="1:20" ht="14.5" x14ac:dyDescent="0.35">
      <c r="A2932" s="10" t="s">
        <v>18924</v>
      </c>
      <c r="B2932" s="10" t="str">
        <f>"9780826492333"</f>
        <v>9780826492333</v>
      </c>
      <c r="C2932" s="10" t="str">
        <f>"9781441110596"</f>
        <v>9781441110596</v>
      </c>
      <c r="D2932" s="10" t="s">
        <v>13959</v>
      </c>
      <c r="E2932" s="10" t="s">
        <v>13960</v>
      </c>
      <c r="F2932" s="10" t="s">
        <v>139</v>
      </c>
      <c r="G2932" s="10" t="s">
        <v>6352</v>
      </c>
      <c r="H2932" s="11">
        <v>39091</v>
      </c>
      <c r="I2932" s="10">
        <v>2006</v>
      </c>
      <c r="J2932" s="10" t="s">
        <v>13961</v>
      </c>
      <c r="K2932" s="10">
        <v>193</v>
      </c>
      <c r="L2932" s="10" t="s">
        <v>18925</v>
      </c>
      <c r="M2932" s="10">
        <v>1</v>
      </c>
      <c r="N2932" s="10"/>
      <c r="O2932" s="10"/>
      <c r="P2932" s="10" t="s">
        <v>18926</v>
      </c>
      <c r="Q2932" s="10">
        <v>371.10199999999998</v>
      </c>
      <c r="R2932" s="10" t="s">
        <v>18927</v>
      </c>
      <c r="S2932" s="10" t="s">
        <v>53</v>
      </c>
      <c r="T2932" s="10" t="s">
        <v>54</v>
      </c>
    </row>
    <row r="2933" spans="1:20" ht="14.5" x14ac:dyDescent="0.35">
      <c r="A2933" s="10" t="s">
        <v>18928</v>
      </c>
      <c r="B2933" s="10" t="str">
        <f>"9781441120960"</f>
        <v>9781441120960</v>
      </c>
      <c r="C2933" s="10" t="str">
        <f>"9781441167637"</f>
        <v>9781441167637</v>
      </c>
      <c r="D2933" s="10" t="s">
        <v>13959</v>
      </c>
      <c r="E2933" s="10" t="s">
        <v>13960</v>
      </c>
      <c r="F2933" s="10" t="s">
        <v>139</v>
      </c>
      <c r="G2933" s="10" t="s">
        <v>6352</v>
      </c>
      <c r="H2933" s="11">
        <v>40745</v>
      </c>
      <c r="I2933" s="10">
        <v>2011</v>
      </c>
      <c r="J2933" s="10" t="s">
        <v>13961</v>
      </c>
      <c r="K2933" s="10">
        <v>222</v>
      </c>
      <c r="L2933" s="10" t="s">
        <v>16833</v>
      </c>
      <c r="M2933" s="10">
        <v>1</v>
      </c>
      <c r="N2933" s="10"/>
      <c r="O2933" s="10"/>
      <c r="P2933" s="10" t="s">
        <v>18929</v>
      </c>
      <c r="Q2933" s="10" t="s">
        <v>18930</v>
      </c>
      <c r="R2933" s="10" t="s">
        <v>18931</v>
      </c>
      <c r="S2933" s="10" t="s">
        <v>53</v>
      </c>
      <c r="T2933" s="10" t="s">
        <v>54</v>
      </c>
    </row>
    <row r="2934" spans="1:20" ht="14.5" x14ac:dyDescent="0.35">
      <c r="A2934" s="10" t="s">
        <v>18932</v>
      </c>
      <c r="B2934" s="10" t="str">
        <f>"9780826492357"</f>
        <v>9780826492357</v>
      </c>
      <c r="C2934" s="10" t="str">
        <f>"9781441171818"</f>
        <v>9781441171818</v>
      </c>
      <c r="D2934" s="10" t="s">
        <v>13959</v>
      </c>
      <c r="E2934" s="10" t="s">
        <v>13960</v>
      </c>
      <c r="F2934" s="10" t="s">
        <v>139</v>
      </c>
      <c r="G2934" s="10" t="s">
        <v>6352</v>
      </c>
      <c r="H2934" s="11">
        <v>39231</v>
      </c>
      <c r="I2934" s="10">
        <v>2007</v>
      </c>
      <c r="J2934" s="10" t="s">
        <v>13961</v>
      </c>
      <c r="K2934" s="10">
        <v>94</v>
      </c>
      <c r="L2934" s="10" t="s">
        <v>18933</v>
      </c>
      <c r="M2934" s="10">
        <v>2</v>
      </c>
      <c r="N2934" s="10" t="s">
        <v>14063</v>
      </c>
      <c r="O2934" s="10"/>
      <c r="P2934" s="10" t="s">
        <v>18934</v>
      </c>
      <c r="Q2934" s="10">
        <v>371.916</v>
      </c>
      <c r="R2934" s="10" t="s">
        <v>18935</v>
      </c>
      <c r="S2934" s="10" t="s">
        <v>53</v>
      </c>
      <c r="T2934" s="10" t="s">
        <v>54</v>
      </c>
    </row>
    <row r="2935" spans="1:20" ht="14.5" x14ac:dyDescent="0.35">
      <c r="A2935" s="10" t="s">
        <v>18936</v>
      </c>
      <c r="B2935" s="10" t="str">
        <f>"9780826496072"</f>
        <v>9780826496072</v>
      </c>
      <c r="C2935" s="10" t="str">
        <f>"9781441137432"</f>
        <v>9781441137432</v>
      </c>
      <c r="D2935" s="10" t="s">
        <v>13959</v>
      </c>
      <c r="E2935" s="10" t="s">
        <v>13960</v>
      </c>
      <c r="F2935" s="10" t="s">
        <v>139</v>
      </c>
      <c r="G2935" s="10" t="s">
        <v>6352</v>
      </c>
      <c r="H2935" s="11">
        <v>39621</v>
      </c>
      <c r="I2935" s="10">
        <v>2008</v>
      </c>
      <c r="J2935" s="10" t="s">
        <v>13961</v>
      </c>
      <c r="K2935" s="10">
        <v>135</v>
      </c>
      <c r="L2935" s="10" t="s">
        <v>18937</v>
      </c>
      <c r="M2935" s="10">
        <v>1</v>
      </c>
      <c r="N2935" s="10"/>
      <c r="O2935" s="10"/>
      <c r="P2935" s="10" t="s">
        <v>18938</v>
      </c>
      <c r="Q2935" s="10">
        <v>155.9</v>
      </c>
      <c r="R2935" s="10" t="s">
        <v>18939</v>
      </c>
      <c r="S2935" s="10" t="s">
        <v>53</v>
      </c>
      <c r="T2935" s="10" t="s">
        <v>18940</v>
      </c>
    </row>
    <row r="2936" spans="1:20" ht="14.5" x14ac:dyDescent="0.35">
      <c r="A2936" s="10" t="s">
        <v>18941</v>
      </c>
      <c r="B2936" s="10" t="str">
        <f>"9780826483089"</f>
        <v>9780826483089</v>
      </c>
      <c r="C2936" s="10" t="str">
        <f>"9781441133137"</f>
        <v>9781441133137</v>
      </c>
      <c r="D2936" s="10" t="s">
        <v>13959</v>
      </c>
      <c r="E2936" s="10" t="s">
        <v>13960</v>
      </c>
      <c r="F2936" s="10" t="s">
        <v>139</v>
      </c>
      <c r="G2936" s="10" t="s">
        <v>6352</v>
      </c>
      <c r="H2936" s="11">
        <v>39212</v>
      </c>
      <c r="I2936" s="10">
        <v>2007</v>
      </c>
      <c r="J2936" s="10" t="s">
        <v>13961</v>
      </c>
      <c r="K2936" s="10">
        <v>124</v>
      </c>
      <c r="L2936" s="10" t="s">
        <v>16837</v>
      </c>
      <c r="M2936" s="10">
        <v>1</v>
      </c>
      <c r="N2936" s="10" t="s">
        <v>17023</v>
      </c>
      <c r="O2936" s="10"/>
      <c r="P2936" s="10" t="s">
        <v>18942</v>
      </c>
      <c r="Q2936" s="10">
        <v>371.3</v>
      </c>
      <c r="R2936" s="10" t="s">
        <v>18943</v>
      </c>
      <c r="S2936" s="10" t="s">
        <v>53</v>
      </c>
      <c r="T2936" s="10" t="s">
        <v>54</v>
      </c>
    </row>
    <row r="2937" spans="1:20" ht="14.5" x14ac:dyDescent="0.35">
      <c r="A2937" s="10" t="s">
        <v>18944</v>
      </c>
      <c r="B2937" s="10" t="str">
        <f>"9780826488565"</f>
        <v>9780826488565</v>
      </c>
      <c r="C2937" s="10" t="str">
        <f>"9781441189028"</f>
        <v>9781441189028</v>
      </c>
      <c r="D2937" s="10" t="s">
        <v>13959</v>
      </c>
      <c r="E2937" s="10" t="s">
        <v>13960</v>
      </c>
      <c r="F2937" s="10" t="s">
        <v>139</v>
      </c>
      <c r="G2937" s="10" t="s">
        <v>6352</v>
      </c>
      <c r="H2937" s="11">
        <v>39156</v>
      </c>
      <c r="I2937" s="10">
        <v>2007</v>
      </c>
      <c r="J2937" s="10" t="s">
        <v>13961</v>
      </c>
      <c r="K2937" s="10">
        <v>249</v>
      </c>
      <c r="L2937" s="10" t="s">
        <v>16720</v>
      </c>
      <c r="M2937" s="10">
        <v>1</v>
      </c>
      <c r="N2937" s="10"/>
      <c r="O2937" s="10"/>
      <c r="P2937" s="10" t="s">
        <v>18945</v>
      </c>
      <c r="Q2937" s="10">
        <v>370.15</v>
      </c>
      <c r="R2937" s="10" t="s">
        <v>18946</v>
      </c>
      <c r="S2937" s="10" t="s">
        <v>53</v>
      </c>
      <c r="T2937" s="10" t="s">
        <v>54</v>
      </c>
    </row>
    <row r="2938" spans="1:20" ht="14.5" x14ac:dyDescent="0.35">
      <c r="A2938" s="10" t="s">
        <v>18947</v>
      </c>
      <c r="B2938" s="10" t="str">
        <f>"9780826498380"</f>
        <v>9780826498380</v>
      </c>
      <c r="C2938" s="10" t="str">
        <f>"9781441193681"</f>
        <v>9781441193681</v>
      </c>
      <c r="D2938" s="10" t="s">
        <v>13959</v>
      </c>
      <c r="E2938" s="10" t="s">
        <v>13960</v>
      </c>
      <c r="F2938" s="10" t="s">
        <v>139</v>
      </c>
      <c r="G2938" s="10" t="s">
        <v>6352</v>
      </c>
      <c r="H2938" s="11">
        <v>39578</v>
      </c>
      <c r="I2938" s="10">
        <v>2008</v>
      </c>
      <c r="J2938" s="10" t="s">
        <v>13961</v>
      </c>
      <c r="K2938" s="10">
        <v>89</v>
      </c>
      <c r="L2938" s="10" t="s">
        <v>18948</v>
      </c>
      <c r="M2938" s="10">
        <v>1</v>
      </c>
      <c r="N2938" s="10" t="s">
        <v>18949</v>
      </c>
      <c r="O2938" s="10"/>
      <c r="P2938" s="10" t="s">
        <v>18950</v>
      </c>
      <c r="Q2938" s="10">
        <v>371.93</v>
      </c>
      <c r="R2938" s="10" t="s">
        <v>18951</v>
      </c>
      <c r="S2938" s="10" t="s">
        <v>53</v>
      </c>
      <c r="T2938" s="10" t="s">
        <v>54</v>
      </c>
    </row>
    <row r="2939" spans="1:20" ht="14.5" x14ac:dyDescent="0.35">
      <c r="A2939" s="10" t="s">
        <v>18952</v>
      </c>
      <c r="B2939" s="10" t="str">
        <f>"9780826491589"</f>
        <v>9780826491589</v>
      </c>
      <c r="C2939" s="10" t="str">
        <f>"9780826441065"</f>
        <v>9780826441065</v>
      </c>
      <c r="D2939" s="10" t="s">
        <v>13959</v>
      </c>
      <c r="E2939" s="10" t="s">
        <v>13960</v>
      </c>
      <c r="F2939" s="10" t="s">
        <v>139</v>
      </c>
      <c r="G2939" s="10" t="s">
        <v>6352</v>
      </c>
      <c r="H2939" s="11">
        <v>39074</v>
      </c>
      <c r="I2939" s="10">
        <v>2006</v>
      </c>
      <c r="J2939" s="10" t="s">
        <v>13960</v>
      </c>
      <c r="K2939" s="10">
        <v>79</v>
      </c>
      <c r="L2939" s="10" t="s">
        <v>18953</v>
      </c>
      <c r="M2939" s="10">
        <v>1</v>
      </c>
      <c r="N2939" s="10" t="s">
        <v>17037</v>
      </c>
      <c r="O2939" s="10"/>
      <c r="P2939" s="10" t="s">
        <v>18954</v>
      </c>
      <c r="Q2939" s="10">
        <v>371.10199999999998</v>
      </c>
      <c r="R2939" s="10" t="s">
        <v>18955</v>
      </c>
      <c r="S2939" s="10" t="s">
        <v>53</v>
      </c>
      <c r="T2939" s="10" t="s">
        <v>54</v>
      </c>
    </row>
    <row r="2940" spans="1:20" ht="14.5" x14ac:dyDescent="0.35">
      <c r="A2940" s="10" t="s">
        <v>18956</v>
      </c>
      <c r="B2940" s="10" t="str">
        <f>"9781598746259"</f>
        <v>9781598746259</v>
      </c>
      <c r="C2940" s="10" t="str">
        <f>"9781598746273"</f>
        <v>9781598746273</v>
      </c>
      <c r="D2940" s="10" t="s">
        <v>6350</v>
      </c>
      <c r="E2940" s="10" t="s">
        <v>6351</v>
      </c>
      <c r="F2940" s="10" t="s">
        <v>3967</v>
      </c>
      <c r="G2940" s="10" t="s">
        <v>6352</v>
      </c>
      <c r="H2940" s="11">
        <v>40617</v>
      </c>
      <c r="I2940" s="10">
        <v>2011</v>
      </c>
      <c r="J2940" s="10" t="s">
        <v>6353</v>
      </c>
      <c r="K2940" s="10">
        <v>267</v>
      </c>
      <c r="L2940" s="10" t="s">
        <v>18957</v>
      </c>
      <c r="M2940" s="10">
        <v>1</v>
      </c>
      <c r="N2940" s="10"/>
      <c r="O2940" s="10"/>
      <c r="P2940" s="10" t="s">
        <v>18958</v>
      </c>
      <c r="Q2940" s="10">
        <v>378.01</v>
      </c>
      <c r="R2940" s="10" t="s">
        <v>18959</v>
      </c>
      <c r="S2940" s="10" t="s">
        <v>53</v>
      </c>
      <c r="T2940" s="10" t="s">
        <v>54</v>
      </c>
    </row>
    <row r="2941" spans="1:20" ht="14.5" x14ac:dyDescent="0.35">
      <c r="A2941" s="10" t="s">
        <v>18960</v>
      </c>
      <c r="B2941" s="10" t="str">
        <f>"9780521194112"</f>
        <v>9780521194112</v>
      </c>
      <c r="C2941" s="10" t="str">
        <f>"9781139091022"</f>
        <v>9781139091022</v>
      </c>
      <c r="D2941" s="10" t="s">
        <v>397</v>
      </c>
      <c r="E2941" s="10" t="s">
        <v>397</v>
      </c>
      <c r="F2941" s="10" t="s">
        <v>70</v>
      </c>
      <c r="G2941" s="10" t="s">
        <v>6317</v>
      </c>
      <c r="H2941" s="11">
        <v>40707</v>
      </c>
      <c r="I2941" s="10">
        <v>2011</v>
      </c>
      <c r="J2941" s="10" t="s">
        <v>397</v>
      </c>
      <c r="K2941" s="10">
        <v>278</v>
      </c>
      <c r="L2941" s="10" t="s">
        <v>18961</v>
      </c>
      <c r="M2941" s="10">
        <v>1</v>
      </c>
      <c r="N2941" s="10"/>
      <c r="O2941" s="10"/>
      <c r="P2941" s="10" t="s">
        <v>18962</v>
      </c>
      <c r="Q2941" s="10">
        <v>371.26097299999998</v>
      </c>
      <c r="R2941" s="10" t="s">
        <v>6415</v>
      </c>
      <c r="S2941" s="10" t="s">
        <v>53</v>
      </c>
      <c r="T2941" s="10" t="s">
        <v>54</v>
      </c>
    </row>
    <row r="2942" spans="1:20" ht="14.5" x14ac:dyDescent="0.35">
      <c r="A2942" s="10" t="s">
        <v>18963</v>
      </c>
      <c r="B2942" s="10" t="str">
        <f>"9780857249432"</f>
        <v>9780857249432</v>
      </c>
      <c r="C2942" s="10" t="str">
        <f>"9780857249449"</f>
        <v>9780857249449</v>
      </c>
      <c r="D2942" s="10" t="s">
        <v>8699</v>
      </c>
      <c r="E2942" s="10" t="s">
        <v>8699</v>
      </c>
      <c r="F2942" s="10" t="s">
        <v>559</v>
      </c>
      <c r="G2942" s="10" t="s">
        <v>6352</v>
      </c>
      <c r="H2942" s="11">
        <v>40695</v>
      </c>
      <c r="I2942" s="10">
        <v>2011</v>
      </c>
      <c r="J2942" s="10" t="s">
        <v>8699</v>
      </c>
      <c r="K2942" s="10">
        <v>226</v>
      </c>
      <c r="L2942" s="10" t="s">
        <v>18964</v>
      </c>
      <c r="M2942" s="10">
        <v>1</v>
      </c>
      <c r="N2942" s="10" t="s">
        <v>18965</v>
      </c>
      <c r="O2942" s="10">
        <v>8</v>
      </c>
      <c r="P2942" s="10" t="s">
        <v>18966</v>
      </c>
      <c r="Q2942" s="10">
        <v>378.19829607299999</v>
      </c>
      <c r="R2942" s="10" t="s">
        <v>18967</v>
      </c>
      <c r="S2942" s="10" t="s">
        <v>53</v>
      </c>
      <c r="T2942" s="10" t="s">
        <v>54</v>
      </c>
    </row>
    <row r="2943" spans="1:20" ht="14.5" x14ac:dyDescent="0.35">
      <c r="A2943" s="10" t="s">
        <v>18968</v>
      </c>
      <c r="B2943" s="10" t="str">
        <f>"9780857246271"</f>
        <v>9780857246271</v>
      </c>
      <c r="C2943" s="10" t="str">
        <f>"9780857246288"</f>
        <v>9780857246288</v>
      </c>
      <c r="D2943" s="10" t="s">
        <v>8564</v>
      </c>
      <c r="E2943" s="10" t="s">
        <v>8565</v>
      </c>
      <c r="F2943" s="10" t="s">
        <v>1420</v>
      </c>
      <c r="G2943" s="10" t="s">
        <v>6317</v>
      </c>
      <c r="H2943" s="11">
        <v>40674</v>
      </c>
      <c r="I2943" s="10">
        <v>2011</v>
      </c>
      <c r="J2943" s="10" t="s">
        <v>8565</v>
      </c>
      <c r="K2943" s="10">
        <v>218</v>
      </c>
      <c r="L2943" s="10" t="s">
        <v>18969</v>
      </c>
      <c r="M2943" s="10">
        <v>1</v>
      </c>
      <c r="N2943" s="10" t="s">
        <v>16376</v>
      </c>
      <c r="O2943" s="10">
        <v>3</v>
      </c>
      <c r="P2943" s="10" t="s">
        <v>18970</v>
      </c>
      <c r="Q2943" s="10">
        <v>428.00709999999998</v>
      </c>
      <c r="R2943" s="10" t="s">
        <v>18971</v>
      </c>
      <c r="S2943" s="10" t="s">
        <v>53</v>
      </c>
      <c r="T2943" s="10" t="s">
        <v>6634</v>
      </c>
    </row>
    <row r="2944" spans="1:20" ht="14.5" x14ac:dyDescent="0.35">
      <c r="A2944" s="10" t="s">
        <v>18972</v>
      </c>
      <c r="B2944" s="10" t="str">
        <f>"9780739148983"</f>
        <v>9780739148983</v>
      </c>
      <c r="C2944" s="10" t="str">
        <f>"9780739149003"</f>
        <v>9780739149003</v>
      </c>
      <c r="D2944" s="10" t="s">
        <v>9752</v>
      </c>
      <c r="E2944" s="10" t="s">
        <v>15182</v>
      </c>
      <c r="F2944" s="10" t="s">
        <v>9754</v>
      </c>
      <c r="G2944" s="10" t="s">
        <v>6317</v>
      </c>
      <c r="H2944" s="11">
        <v>40717</v>
      </c>
      <c r="I2944" s="10">
        <v>2011</v>
      </c>
      <c r="J2944" s="10" t="s">
        <v>15182</v>
      </c>
      <c r="K2944" s="10">
        <v>209</v>
      </c>
      <c r="L2944" s="10" t="s">
        <v>18973</v>
      </c>
      <c r="M2944" s="10">
        <v>1</v>
      </c>
      <c r="N2944" s="10"/>
      <c r="O2944" s="10"/>
      <c r="P2944" s="10" t="s">
        <v>18974</v>
      </c>
      <c r="Q2944" s="10">
        <v>378.73</v>
      </c>
      <c r="R2944" s="10" t="s">
        <v>18975</v>
      </c>
      <c r="S2944" s="10" t="s">
        <v>53</v>
      </c>
      <c r="T2944" s="10" t="s">
        <v>54</v>
      </c>
    </row>
    <row r="2945" spans="1:20" ht="14.5" x14ac:dyDescent="0.35">
      <c r="A2945" s="10" t="s">
        <v>18976</v>
      </c>
      <c r="B2945" s="10" t="str">
        <f>"9780253356147"</f>
        <v>9780253356147</v>
      </c>
      <c r="C2945" s="10" t="str">
        <f>"9780253000934"</f>
        <v>9780253000934</v>
      </c>
      <c r="D2945" s="10" t="s">
        <v>2455</v>
      </c>
      <c r="E2945" s="10" t="s">
        <v>2455</v>
      </c>
      <c r="F2945" s="10" t="s">
        <v>3101</v>
      </c>
      <c r="G2945" s="10" t="s">
        <v>6317</v>
      </c>
      <c r="H2945" s="11">
        <v>40648</v>
      </c>
      <c r="I2945" s="10">
        <v>2011</v>
      </c>
      <c r="J2945" s="10" t="s">
        <v>2455</v>
      </c>
      <c r="K2945" s="10">
        <v>278</v>
      </c>
      <c r="L2945" s="10" t="s">
        <v>18977</v>
      </c>
      <c r="M2945" s="10">
        <v>1</v>
      </c>
      <c r="N2945" s="10" t="s">
        <v>18978</v>
      </c>
      <c r="O2945" s="10"/>
      <c r="P2945" s="10" t="s">
        <v>18979</v>
      </c>
      <c r="Q2945" s="10" t="s">
        <v>18980</v>
      </c>
      <c r="R2945" s="10" t="s">
        <v>18981</v>
      </c>
      <c r="S2945" s="10" t="s">
        <v>53</v>
      </c>
      <c r="T2945" s="10" t="s">
        <v>54</v>
      </c>
    </row>
    <row r="2946" spans="1:20" ht="14.5" x14ac:dyDescent="0.35">
      <c r="A2946" s="10" t="s">
        <v>18982</v>
      </c>
      <c r="B2946" s="10" t="str">
        <f>"9780253356420"</f>
        <v>9780253356420</v>
      </c>
      <c r="C2946" s="10" t="str">
        <f>"9780253001658"</f>
        <v>9780253001658</v>
      </c>
      <c r="D2946" s="10" t="s">
        <v>2455</v>
      </c>
      <c r="E2946" s="10" t="s">
        <v>2455</v>
      </c>
      <c r="F2946" s="10" t="s">
        <v>3101</v>
      </c>
      <c r="G2946" s="10" t="s">
        <v>6317</v>
      </c>
      <c r="H2946" s="11">
        <v>40718</v>
      </c>
      <c r="I2946" s="10">
        <v>2011</v>
      </c>
      <c r="J2946" s="10" t="s">
        <v>2455</v>
      </c>
      <c r="K2946" s="10">
        <v>289</v>
      </c>
      <c r="L2946" s="10" t="s">
        <v>18983</v>
      </c>
      <c r="M2946" s="10">
        <v>1</v>
      </c>
      <c r="N2946" s="10"/>
      <c r="O2946" s="10"/>
      <c r="P2946" s="10" t="s">
        <v>18984</v>
      </c>
      <c r="Q2946" s="10" t="s">
        <v>8011</v>
      </c>
      <c r="R2946" s="10" t="s">
        <v>18985</v>
      </c>
      <c r="S2946" s="10" t="s">
        <v>53</v>
      </c>
      <c r="T2946" s="10" t="s">
        <v>6472</v>
      </c>
    </row>
    <row r="2947" spans="1:20" ht="14.5" x14ac:dyDescent="0.35">
      <c r="A2947" s="10" t="s">
        <v>18986</v>
      </c>
      <c r="B2947" s="10" t="str">
        <f>"9781566399524"</f>
        <v>9781566399524</v>
      </c>
      <c r="C2947" s="10" t="str">
        <f>"9781439905807"</f>
        <v>9781439905807</v>
      </c>
      <c r="D2947" s="10" t="s">
        <v>11120</v>
      </c>
      <c r="E2947" s="10" t="s">
        <v>11120</v>
      </c>
      <c r="F2947" s="10" t="s">
        <v>319</v>
      </c>
      <c r="G2947" s="10" t="s">
        <v>6317</v>
      </c>
      <c r="H2947" s="11">
        <v>37398</v>
      </c>
      <c r="I2947" s="10">
        <v>2002</v>
      </c>
      <c r="J2947" s="10" t="s">
        <v>11120</v>
      </c>
      <c r="K2947" s="10">
        <v>225</v>
      </c>
      <c r="L2947" s="10" t="s">
        <v>18987</v>
      </c>
      <c r="M2947" s="10">
        <v>1</v>
      </c>
      <c r="N2947" s="10"/>
      <c r="O2947" s="10"/>
      <c r="P2947" s="10" t="s">
        <v>18988</v>
      </c>
      <c r="Q2947" s="10" t="s">
        <v>18989</v>
      </c>
      <c r="R2947" s="10" t="s">
        <v>18990</v>
      </c>
      <c r="S2947" s="10" t="s">
        <v>53</v>
      </c>
      <c r="T2947" s="10" t="s">
        <v>6363</v>
      </c>
    </row>
    <row r="2948" spans="1:20" ht="14.5" x14ac:dyDescent="0.35">
      <c r="A2948" s="10" t="s">
        <v>18991</v>
      </c>
      <c r="B2948" s="10" t="str">
        <f>"9781439900376"</f>
        <v>9781439900376</v>
      </c>
      <c r="C2948" s="10" t="str">
        <f>"9781439900390"</f>
        <v>9781439900390</v>
      </c>
      <c r="D2948" s="10" t="s">
        <v>11120</v>
      </c>
      <c r="E2948" s="10" t="s">
        <v>11120</v>
      </c>
      <c r="F2948" s="10" t="s">
        <v>319</v>
      </c>
      <c r="G2948" s="10" t="s">
        <v>6317</v>
      </c>
      <c r="H2948" s="11">
        <v>40571</v>
      </c>
      <c r="I2948" s="10">
        <v>2011</v>
      </c>
      <c r="J2948" s="10" t="s">
        <v>11120</v>
      </c>
      <c r="K2948" s="10">
        <v>417</v>
      </c>
      <c r="L2948" s="10" t="s">
        <v>18992</v>
      </c>
      <c r="M2948" s="10">
        <v>1</v>
      </c>
      <c r="N2948" s="10"/>
      <c r="O2948" s="10"/>
      <c r="P2948" s="10" t="s">
        <v>18993</v>
      </c>
      <c r="Q2948" s="10" t="s">
        <v>15907</v>
      </c>
      <c r="R2948" s="10" t="s">
        <v>18994</v>
      </c>
      <c r="S2948" s="10" t="s">
        <v>53</v>
      </c>
      <c r="T2948" s="10" t="s">
        <v>54</v>
      </c>
    </row>
    <row r="2949" spans="1:20" ht="14.5" x14ac:dyDescent="0.35">
      <c r="A2949" s="10" t="s">
        <v>18995</v>
      </c>
      <c r="B2949" s="10" t="str">
        <f>"9780691123141"</f>
        <v>9780691123141</v>
      </c>
      <c r="C2949" s="10" t="str">
        <f>"9781400840700"</f>
        <v>9781400840700</v>
      </c>
      <c r="D2949" s="10" t="s">
        <v>14335</v>
      </c>
      <c r="E2949" s="10" t="s">
        <v>14336</v>
      </c>
      <c r="F2949" s="10" t="s">
        <v>2246</v>
      </c>
      <c r="G2949" s="10" t="s">
        <v>6317</v>
      </c>
      <c r="H2949" s="11">
        <v>37836</v>
      </c>
      <c r="I2949" s="10">
        <v>2003</v>
      </c>
      <c r="J2949" s="10" t="s">
        <v>14336</v>
      </c>
      <c r="K2949" s="10">
        <v>413</v>
      </c>
      <c r="L2949" s="10" t="s">
        <v>18996</v>
      </c>
      <c r="M2949" s="10">
        <v>1</v>
      </c>
      <c r="N2949" s="10" t="s">
        <v>14345</v>
      </c>
      <c r="O2949" s="10">
        <v>40</v>
      </c>
      <c r="P2949" s="10" t="s">
        <v>18997</v>
      </c>
      <c r="Q2949" s="10" t="s">
        <v>18998</v>
      </c>
      <c r="R2949" s="10"/>
      <c r="S2949" s="10" t="s">
        <v>53</v>
      </c>
      <c r="T2949" s="10" t="s">
        <v>7340</v>
      </c>
    </row>
    <row r="2950" spans="1:20" ht="14.5" x14ac:dyDescent="0.35">
      <c r="A2950" s="10" t="s">
        <v>18999</v>
      </c>
      <c r="B2950" s="10" t="str">
        <f>"9780415885126"</f>
        <v>9780415885126</v>
      </c>
      <c r="C2950" s="10" t="str">
        <f>"9780203816608"</f>
        <v>9780203816608</v>
      </c>
      <c r="D2950" s="10" t="s">
        <v>6350</v>
      </c>
      <c r="E2950" s="10" t="s">
        <v>6351</v>
      </c>
      <c r="F2950" s="10" t="s">
        <v>5406</v>
      </c>
      <c r="G2950" s="10" t="s">
        <v>6317</v>
      </c>
      <c r="H2950" s="11">
        <v>40688</v>
      </c>
      <c r="I2950" s="10">
        <v>2011</v>
      </c>
      <c r="J2950" s="10" t="s">
        <v>6353</v>
      </c>
      <c r="K2950" s="10">
        <v>288</v>
      </c>
      <c r="L2950" s="10" t="s">
        <v>19000</v>
      </c>
      <c r="M2950" s="10">
        <v>1</v>
      </c>
      <c r="N2950" s="10" t="s">
        <v>6954</v>
      </c>
      <c r="O2950" s="10"/>
      <c r="P2950" s="10" t="s">
        <v>19001</v>
      </c>
      <c r="Q2950" s="10">
        <v>379.26</v>
      </c>
      <c r="R2950" s="10" t="s">
        <v>16010</v>
      </c>
      <c r="S2950" s="10" t="s">
        <v>53</v>
      </c>
      <c r="T2950" s="10" t="s">
        <v>54</v>
      </c>
    </row>
    <row r="2951" spans="1:20" ht="14.5" x14ac:dyDescent="0.35">
      <c r="A2951" s="10" t="s">
        <v>19002</v>
      </c>
      <c r="B2951" s="10" t="str">
        <f>"9780415888394"</f>
        <v>9780415888394</v>
      </c>
      <c r="C2951" s="10" t="str">
        <f>"9780203813317"</f>
        <v>9780203813317</v>
      </c>
      <c r="D2951" s="10" t="s">
        <v>6350</v>
      </c>
      <c r="E2951" s="10" t="s">
        <v>6351</v>
      </c>
      <c r="F2951" s="10" t="s">
        <v>139</v>
      </c>
      <c r="G2951" s="10" t="s">
        <v>6352</v>
      </c>
      <c r="H2951" s="11">
        <v>40688</v>
      </c>
      <c r="I2951" s="10">
        <v>2011</v>
      </c>
      <c r="J2951" s="10" t="s">
        <v>6353</v>
      </c>
      <c r="K2951" s="10">
        <v>273</v>
      </c>
      <c r="L2951" s="10" t="s">
        <v>19003</v>
      </c>
      <c r="M2951" s="10">
        <v>1</v>
      </c>
      <c r="N2951" s="10" t="s">
        <v>19004</v>
      </c>
      <c r="O2951" s="10"/>
      <c r="P2951" s="10" t="s">
        <v>19005</v>
      </c>
      <c r="Q2951" s="10">
        <v>370.11709500000001</v>
      </c>
      <c r="R2951" s="10" t="s">
        <v>19006</v>
      </c>
      <c r="S2951" s="10" t="s">
        <v>53</v>
      </c>
      <c r="T2951" s="10" t="s">
        <v>54</v>
      </c>
    </row>
    <row r="2952" spans="1:20" ht="14.5" x14ac:dyDescent="0.35">
      <c r="A2952" s="10" t="s">
        <v>19007</v>
      </c>
      <c r="B2952" s="10" t="str">
        <f>"9780335242351"</f>
        <v>9780335242351</v>
      </c>
      <c r="C2952" s="10" t="str">
        <f>"9780335242368"</f>
        <v>9780335242368</v>
      </c>
      <c r="D2952" s="10" t="s">
        <v>10342</v>
      </c>
      <c r="E2952" s="10" t="s">
        <v>10343</v>
      </c>
      <c r="F2952" s="10" t="s">
        <v>10344</v>
      </c>
      <c r="G2952" s="10" t="s">
        <v>6352</v>
      </c>
      <c r="H2952" s="11">
        <v>40664</v>
      </c>
      <c r="I2952" s="10">
        <v>2011</v>
      </c>
      <c r="J2952" s="10" t="s">
        <v>10345</v>
      </c>
      <c r="K2952" s="10">
        <v>202</v>
      </c>
      <c r="L2952" s="10" t="s">
        <v>19008</v>
      </c>
      <c r="M2952" s="10">
        <v>2</v>
      </c>
      <c r="N2952" s="10" t="s">
        <v>10347</v>
      </c>
      <c r="O2952" s="10"/>
      <c r="P2952" s="10" t="s">
        <v>19009</v>
      </c>
      <c r="Q2952" s="10">
        <v>372.11020000000002</v>
      </c>
      <c r="R2952" s="10" t="s">
        <v>19010</v>
      </c>
      <c r="S2952" s="10" t="s">
        <v>53</v>
      </c>
      <c r="T2952" s="10" t="s">
        <v>54</v>
      </c>
    </row>
    <row r="2953" spans="1:20" ht="14.5" x14ac:dyDescent="0.35">
      <c r="A2953" s="10" t="s">
        <v>19011</v>
      </c>
      <c r="B2953" s="10" t="str">
        <f>"9780335242436"</f>
        <v>9780335242436</v>
      </c>
      <c r="C2953" s="10" t="str">
        <f>"9780335242450"</f>
        <v>9780335242450</v>
      </c>
      <c r="D2953" s="10" t="s">
        <v>10342</v>
      </c>
      <c r="E2953" s="10" t="s">
        <v>10343</v>
      </c>
      <c r="F2953" s="10" t="s">
        <v>10344</v>
      </c>
      <c r="G2953" s="10" t="s">
        <v>6352</v>
      </c>
      <c r="H2953" s="11">
        <v>40664</v>
      </c>
      <c r="I2953" s="10">
        <v>2011</v>
      </c>
      <c r="J2953" s="10" t="s">
        <v>10345</v>
      </c>
      <c r="K2953" s="10">
        <v>306</v>
      </c>
      <c r="L2953" s="10" t="s">
        <v>19012</v>
      </c>
      <c r="M2953" s="10">
        <v>1</v>
      </c>
      <c r="N2953" s="10" t="s">
        <v>10347</v>
      </c>
      <c r="O2953" s="10"/>
      <c r="P2953" s="10" t="s">
        <v>19013</v>
      </c>
      <c r="Q2953" s="10">
        <v>371.2011</v>
      </c>
      <c r="R2953" s="10" t="s">
        <v>18815</v>
      </c>
      <c r="S2953" s="10" t="s">
        <v>53</v>
      </c>
      <c r="T2953" s="10" t="s">
        <v>54</v>
      </c>
    </row>
    <row r="2954" spans="1:20" ht="14.5" x14ac:dyDescent="0.35">
      <c r="A2954" s="10" t="s">
        <v>19014</v>
      </c>
      <c r="B2954" s="10" t="str">
        <f>"9780335238736"</f>
        <v>9780335238736</v>
      </c>
      <c r="C2954" s="10" t="str">
        <f>"9780335238750"</f>
        <v>9780335238750</v>
      </c>
      <c r="D2954" s="10" t="s">
        <v>10342</v>
      </c>
      <c r="E2954" s="10" t="s">
        <v>10343</v>
      </c>
      <c r="F2954" s="10" t="s">
        <v>10344</v>
      </c>
      <c r="G2954" s="10" t="s">
        <v>6352</v>
      </c>
      <c r="H2954" s="11">
        <v>40575</v>
      </c>
      <c r="I2954" s="10">
        <v>2011</v>
      </c>
      <c r="J2954" s="10" t="s">
        <v>10345</v>
      </c>
      <c r="K2954" s="10">
        <v>178</v>
      </c>
      <c r="L2954" s="10" t="s">
        <v>19015</v>
      </c>
      <c r="M2954" s="10">
        <v>1</v>
      </c>
      <c r="N2954" s="10" t="s">
        <v>10347</v>
      </c>
      <c r="O2954" s="10"/>
      <c r="P2954" s="10" t="s">
        <v>19016</v>
      </c>
      <c r="Q2954" s="10"/>
      <c r="R2954" s="10"/>
      <c r="S2954" s="10" t="s">
        <v>53</v>
      </c>
      <c r="T2954" s="10" t="s">
        <v>6363</v>
      </c>
    </row>
    <row r="2955" spans="1:20" ht="14.5" x14ac:dyDescent="0.35">
      <c r="A2955" s="10" t="s">
        <v>19017</v>
      </c>
      <c r="B2955" s="10" t="str">
        <f>"9781412900164"</f>
        <v>9781412900164</v>
      </c>
      <c r="C2955" s="10" t="str">
        <f>"9781847877680"</f>
        <v>9781847877680</v>
      </c>
      <c r="D2955" s="10" t="s">
        <v>9325</v>
      </c>
      <c r="E2955" s="10" t="s">
        <v>9326</v>
      </c>
      <c r="F2955" s="10" t="s">
        <v>139</v>
      </c>
      <c r="G2955" s="10" t="s">
        <v>6352</v>
      </c>
      <c r="H2955" s="11">
        <v>38373</v>
      </c>
      <c r="I2955" s="10">
        <v>2005</v>
      </c>
      <c r="J2955" s="10" t="s">
        <v>9326</v>
      </c>
      <c r="K2955" s="10">
        <v>113</v>
      </c>
      <c r="L2955" s="10" t="s">
        <v>19018</v>
      </c>
      <c r="M2955" s="10">
        <v>1</v>
      </c>
      <c r="N2955" s="10"/>
      <c r="O2955" s="10"/>
      <c r="P2955" s="10" t="s">
        <v>19019</v>
      </c>
      <c r="Q2955" s="10">
        <v>372.11020000000002</v>
      </c>
      <c r="R2955" s="10" t="s">
        <v>19020</v>
      </c>
      <c r="S2955" s="10" t="s">
        <v>53</v>
      </c>
      <c r="T2955" s="10" t="s">
        <v>54</v>
      </c>
    </row>
    <row r="2956" spans="1:20" ht="14.5" x14ac:dyDescent="0.35">
      <c r="A2956" s="10" t="s">
        <v>19021</v>
      </c>
      <c r="B2956" s="10" t="str">
        <f>"9781442208599"</f>
        <v>9781442208599</v>
      </c>
      <c r="C2956" s="10" t="str">
        <f>"9781442208605"</f>
        <v>9781442208605</v>
      </c>
      <c r="D2956" s="10" t="s">
        <v>9752</v>
      </c>
      <c r="E2956" s="10" t="s">
        <v>15187</v>
      </c>
      <c r="F2956" s="10" t="s">
        <v>9754</v>
      </c>
      <c r="G2956" s="10" t="s">
        <v>6317</v>
      </c>
      <c r="H2956" s="11">
        <v>40725</v>
      </c>
      <c r="I2956" s="10">
        <v>2011</v>
      </c>
      <c r="J2956" s="10" t="s">
        <v>15187</v>
      </c>
      <c r="K2956" s="10">
        <v>155</v>
      </c>
      <c r="L2956" s="10" t="s">
        <v>19022</v>
      </c>
      <c r="M2956" s="10">
        <v>1</v>
      </c>
      <c r="N2956" s="10"/>
      <c r="O2956" s="10"/>
      <c r="P2956" s="10" t="s">
        <v>19023</v>
      </c>
      <c r="Q2956" s="10">
        <v>378.08199999999999</v>
      </c>
      <c r="R2956" s="10" t="s">
        <v>19024</v>
      </c>
      <c r="S2956" s="10" t="s">
        <v>53</v>
      </c>
      <c r="T2956" s="10" t="s">
        <v>54</v>
      </c>
    </row>
    <row r="2957" spans="1:20" ht="14.5" x14ac:dyDescent="0.35">
      <c r="A2957" s="10" t="s">
        <v>19025</v>
      </c>
      <c r="B2957" s="10" t="str">
        <f>"9780739150856"</f>
        <v>9780739150856</v>
      </c>
      <c r="C2957" s="10" t="str">
        <f>"9780739150870"</f>
        <v>9780739150870</v>
      </c>
      <c r="D2957" s="10" t="s">
        <v>9752</v>
      </c>
      <c r="E2957" s="10" t="s">
        <v>15182</v>
      </c>
      <c r="F2957" s="10" t="s">
        <v>9754</v>
      </c>
      <c r="G2957" s="10" t="s">
        <v>6317</v>
      </c>
      <c r="H2957" s="11">
        <v>40563</v>
      </c>
      <c r="I2957" s="10">
        <v>2011</v>
      </c>
      <c r="J2957" s="10" t="s">
        <v>15182</v>
      </c>
      <c r="K2957" s="10">
        <v>177</v>
      </c>
      <c r="L2957" s="10" t="s">
        <v>19026</v>
      </c>
      <c r="M2957" s="10">
        <v>1</v>
      </c>
      <c r="N2957" s="10"/>
      <c r="O2957" s="10"/>
      <c r="P2957" s="10" t="s">
        <v>19027</v>
      </c>
      <c r="Q2957" s="10" t="s">
        <v>19028</v>
      </c>
      <c r="R2957" s="10" t="s">
        <v>19029</v>
      </c>
      <c r="S2957" s="10" t="s">
        <v>53</v>
      </c>
      <c r="T2957" s="10" t="s">
        <v>17165</v>
      </c>
    </row>
    <row r="2958" spans="1:20" ht="14.5" x14ac:dyDescent="0.35">
      <c r="A2958" s="10" t="s">
        <v>19030</v>
      </c>
      <c r="B2958" s="10" t="str">
        <f>"9780739143797"</f>
        <v>9780739143797</v>
      </c>
      <c r="C2958" s="10" t="str">
        <f>"9780739143810"</f>
        <v>9780739143810</v>
      </c>
      <c r="D2958" s="10" t="s">
        <v>9752</v>
      </c>
      <c r="E2958" s="10" t="s">
        <v>15182</v>
      </c>
      <c r="F2958" s="10" t="s">
        <v>9754</v>
      </c>
      <c r="G2958" s="10" t="s">
        <v>6317</v>
      </c>
      <c r="H2958" s="11">
        <v>40676</v>
      </c>
      <c r="I2958" s="10">
        <v>2011</v>
      </c>
      <c r="J2958" s="10" t="s">
        <v>15182</v>
      </c>
      <c r="K2958" s="10">
        <v>215</v>
      </c>
      <c r="L2958" s="10" t="s">
        <v>19031</v>
      </c>
      <c r="M2958" s="10">
        <v>1</v>
      </c>
      <c r="N2958" s="10" t="s">
        <v>17833</v>
      </c>
      <c r="O2958" s="10"/>
      <c r="P2958" s="10" t="s">
        <v>19032</v>
      </c>
      <c r="Q2958" s="10">
        <v>379.51</v>
      </c>
      <c r="R2958" s="10" t="s">
        <v>19033</v>
      </c>
      <c r="S2958" s="10" t="s">
        <v>53</v>
      </c>
      <c r="T2958" s="10" t="s">
        <v>54</v>
      </c>
    </row>
    <row r="2959" spans="1:20" ht="14.5" x14ac:dyDescent="0.35">
      <c r="A2959" s="10" t="s">
        <v>19034</v>
      </c>
      <c r="B2959" s="10" t="str">
        <f>"9780739149157"</f>
        <v>9780739149157</v>
      </c>
      <c r="C2959" s="10" t="str">
        <f>"9780739149171"</f>
        <v>9780739149171</v>
      </c>
      <c r="D2959" s="10" t="s">
        <v>9752</v>
      </c>
      <c r="E2959" s="10" t="s">
        <v>15182</v>
      </c>
      <c r="F2959" s="10" t="s">
        <v>9754</v>
      </c>
      <c r="G2959" s="10" t="s">
        <v>6317</v>
      </c>
      <c r="H2959" s="11">
        <v>40540</v>
      </c>
      <c r="I2959" s="10">
        <v>2011</v>
      </c>
      <c r="J2959" s="10" t="s">
        <v>15182</v>
      </c>
      <c r="K2959" s="10">
        <v>175</v>
      </c>
      <c r="L2959" s="10" t="s">
        <v>19035</v>
      </c>
      <c r="M2959" s="10">
        <v>1</v>
      </c>
      <c r="N2959" s="10"/>
      <c r="O2959" s="10"/>
      <c r="P2959" s="10" t="s">
        <v>19036</v>
      </c>
      <c r="Q2959" s="10">
        <v>378.73</v>
      </c>
      <c r="R2959" s="10" t="s">
        <v>19037</v>
      </c>
      <c r="S2959" s="10" t="s">
        <v>53</v>
      </c>
      <c r="T2959" s="10" t="s">
        <v>54</v>
      </c>
    </row>
    <row r="2960" spans="1:20" ht="14.5" x14ac:dyDescent="0.35">
      <c r="A2960" s="10" t="s">
        <v>19038</v>
      </c>
      <c r="B2960" s="10" t="str">
        <f>"9780415598767"</f>
        <v>9780415598767</v>
      </c>
      <c r="C2960" s="10" t="str">
        <f>"9780203818060"</f>
        <v>9780203818060</v>
      </c>
      <c r="D2960" s="10" t="s">
        <v>6350</v>
      </c>
      <c r="E2960" s="10" t="s">
        <v>6351</v>
      </c>
      <c r="F2960" s="10" t="s">
        <v>748</v>
      </c>
      <c r="G2960" s="10" t="s">
        <v>6352</v>
      </c>
      <c r="H2960" s="11">
        <v>40749</v>
      </c>
      <c r="I2960" s="10">
        <v>2011</v>
      </c>
      <c r="J2960" s="10" t="s">
        <v>6351</v>
      </c>
      <c r="K2960" s="10">
        <v>227</v>
      </c>
      <c r="L2960" s="10" t="s">
        <v>19039</v>
      </c>
      <c r="M2960" s="10">
        <v>1</v>
      </c>
      <c r="N2960" s="10"/>
      <c r="O2960" s="10"/>
      <c r="P2960" s="10" t="s">
        <v>19040</v>
      </c>
      <c r="Q2960" s="10" t="s">
        <v>19041</v>
      </c>
      <c r="R2960" s="10" t="s">
        <v>19042</v>
      </c>
      <c r="S2960" s="10" t="s">
        <v>53</v>
      </c>
      <c r="T2960" s="10" t="s">
        <v>54</v>
      </c>
    </row>
    <row r="2961" spans="1:20" ht="14.5" x14ac:dyDescent="0.35">
      <c r="A2961" s="10" t="s">
        <v>19043</v>
      </c>
      <c r="B2961" s="10" t="str">
        <f>"9780415885867"</f>
        <v>9780415885867</v>
      </c>
      <c r="C2961" s="10" t="str">
        <f>"9780203838730"</f>
        <v>9780203838730</v>
      </c>
      <c r="D2961" s="10" t="s">
        <v>6350</v>
      </c>
      <c r="E2961" s="10" t="s">
        <v>6351</v>
      </c>
      <c r="F2961" s="10" t="s">
        <v>5406</v>
      </c>
      <c r="G2961" s="10" t="s">
        <v>6317</v>
      </c>
      <c r="H2961" s="11">
        <v>40714</v>
      </c>
      <c r="I2961" s="10">
        <v>2011</v>
      </c>
      <c r="J2961" s="10" t="s">
        <v>6353</v>
      </c>
      <c r="K2961" s="10">
        <v>278</v>
      </c>
      <c r="L2961" s="10" t="s">
        <v>19044</v>
      </c>
      <c r="M2961" s="10">
        <v>1</v>
      </c>
      <c r="N2961" s="10"/>
      <c r="O2961" s="10"/>
      <c r="P2961" s="10" t="s">
        <v>19045</v>
      </c>
      <c r="Q2961" s="10">
        <v>428.00709999999998</v>
      </c>
      <c r="R2961" s="10" t="s">
        <v>19046</v>
      </c>
      <c r="S2961" s="10" t="s">
        <v>53</v>
      </c>
      <c r="T2961" s="10" t="s">
        <v>6634</v>
      </c>
    </row>
    <row r="2962" spans="1:20" ht="14.5" x14ac:dyDescent="0.35">
      <c r="A2962" s="10" t="s">
        <v>19047</v>
      </c>
      <c r="B2962" s="10" t="str">
        <f>"9781439906958"</f>
        <v>9781439906958</v>
      </c>
      <c r="C2962" s="10" t="str">
        <f>"9781439906972"</f>
        <v>9781439906972</v>
      </c>
      <c r="D2962" s="10" t="s">
        <v>11120</v>
      </c>
      <c r="E2962" s="10" t="s">
        <v>11120</v>
      </c>
      <c r="F2962" s="10" t="s">
        <v>319</v>
      </c>
      <c r="G2962" s="10" t="s">
        <v>6317</v>
      </c>
      <c r="H2962" s="11">
        <v>40711</v>
      </c>
      <c r="I2962" s="10">
        <v>2012</v>
      </c>
      <c r="J2962" s="10" t="s">
        <v>11120</v>
      </c>
      <c r="K2962" s="10">
        <v>273</v>
      </c>
      <c r="L2962" s="10" t="s">
        <v>19048</v>
      </c>
      <c r="M2962" s="10">
        <v>1</v>
      </c>
      <c r="N2962" s="10"/>
      <c r="O2962" s="10"/>
      <c r="P2962" s="10" t="s">
        <v>19049</v>
      </c>
      <c r="Q2962" s="10" t="s">
        <v>8223</v>
      </c>
      <c r="R2962" s="10" t="s">
        <v>19050</v>
      </c>
      <c r="S2962" s="10" t="s">
        <v>53</v>
      </c>
      <c r="T2962" s="10" t="s">
        <v>54</v>
      </c>
    </row>
    <row r="2963" spans="1:20" ht="14.5" x14ac:dyDescent="0.35">
      <c r="A2963" s="10" t="s">
        <v>19051</v>
      </c>
      <c r="B2963" s="10" t="str">
        <f>"9789004192157"</f>
        <v>9789004192157</v>
      </c>
      <c r="C2963" s="10" t="str">
        <f>"9789004192164"</f>
        <v>9789004192164</v>
      </c>
      <c r="D2963" s="10" t="s">
        <v>8564</v>
      </c>
      <c r="E2963" s="10" t="s">
        <v>8565</v>
      </c>
      <c r="F2963" s="10" t="s">
        <v>1420</v>
      </c>
      <c r="G2963" s="10" t="s">
        <v>6317</v>
      </c>
      <c r="H2963" s="11">
        <v>40508</v>
      </c>
      <c r="I2963" s="10">
        <v>2011</v>
      </c>
      <c r="J2963" s="10" t="s">
        <v>8565</v>
      </c>
      <c r="K2963" s="10">
        <v>360</v>
      </c>
      <c r="L2963" s="10" t="s">
        <v>19052</v>
      </c>
      <c r="M2963" s="10">
        <v>1</v>
      </c>
      <c r="N2963" s="10" t="s">
        <v>10126</v>
      </c>
      <c r="O2963" s="10">
        <v>36</v>
      </c>
      <c r="P2963" s="10" t="s">
        <v>19053</v>
      </c>
      <c r="Q2963" s="10">
        <v>378.40902</v>
      </c>
      <c r="R2963" s="10" t="s">
        <v>19054</v>
      </c>
      <c r="S2963" s="10" t="s">
        <v>53</v>
      </c>
      <c r="T2963" s="10" t="s">
        <v>54</v>
      </c>
    </row>
    <row r="2964" spans="1:20" ht="14.5" x14ac:dyDescent="0.35">
      <c r="A2964" s="10" t="s">
        <v>19055</v>
      </c>
      <c r="B2964" s="10" t="str">
        <f>"9781847693532"</f>
        <v>9781847693532</v>
      </c>
      <c r="C2964" s="10" t="str">
        <f>"9781847693549"</f>
        <v>9781847693549</v>
      </c>
      <c r="D2964" s="10" t="s">
        <v>8394</v>
      </c>
      <c r="E2964" s="10" t="s">
        <v>8395</v>
      </c>
      <c r="F2964" s="10" t="s">
        <v>10236</v>
      </c>
      <c r="G2964" s="10" t="s">
        <v>6352</v>
      </c>
      <c r="H2964" s="11">
        <v>40597</v>
      </c>
      <c r="I2964" s="10">
        <v>2011</v>
      </c>
      <c r="J2964" s="10" t="s">
        <v>8395</v>
      </c>
      <c r="K2964" s="10">
        <v>209</v>
      </c>
      <c r="L2964" s="10" t="s">
        <v>19056</v>
      </c>
      <c r="M2964" s="10">
        <v>1</v>
      </c>
      <c r="N2964" s="10" t="s">
        <v>8403</v>
      </c>
      <c r="O2964" s="10">
        <v>78</v>
      </c>
      <c r="P2964" s="10" t="s">
        <v>19057</v>
      </c>
      <c r="Q2964" s="10" t="s">
        <v>19058</v>
      </c>
      <c r="R2964" s="10" t="s">
        <v>19059</v>
      </c>
      <c r="S2964" s="10" t="s">
        <v>53</v>
      </c>
      <c r="T2964" s="10" t="s">
        <v>6616</v>
      </c>
    </row>
    <row r="2965" spans="1:20" ht="14.5" x14ac:dyDescent="0.35">
      <c r="A2965" s="10" t="s">
        <v>19060</v>
      </c>
      <c r="B2965" s="10" t="str">
        <f>"9781847693198"</f>
        <v>9781847693198</v>
      </c>
      <c r="C2965" s="10" t="str">
        <f>"9781847693204"</f>
        <v>9781847693204</v>
      </c>
      <c r="D2965" s="10" t="s">
        <v>8394</v>
      </c>
      <c r="E2965" s="10" t="s">
        <v>8395</v>
      </c>
      <c r="F2965" s="10" t="s">
        <v>10236</v>
      </c>
      <c r="G2965" s="10" t="s">
        <v>6352</v>
      </c>
      <c r="H2965" s="11">
        <v>40513</v>
      </c>
      <c r="I2965" s="10">
        <v>2010</v>
      </c>
      <c r="J2965" s="10" t="s">
        <v>8395</v>
      </c>
      <c r="K2965" s="10">
        <v>165</v>
      </c>
      <c r="L2965" s="10" t="s">
        <v>19061</v>
      </c>
      <c r="M2965" s="10">
        <v>1</v>
      </c>
      <c r="N2965" s="10" t="s">
        <v>8880</v>
      </c>
      <c r="O2965" s="10">
        <v>21</v>
      </c>
      <c r="P2965" s="10" t="s">
        <v>19062</v>
      </c>
      <c r="Q2965" s="10">
        <v>418.00709999999998</v>
      </c>
      <c r="R2965" s="10" t="s">
        <v>19063</v>
      </c>
      <c r="S2965" s="10" t="s">
        <v>53</v>
      </c>
      <c r="T2965" s="10" t="s">
        <v>6634</v>
      </c>
    </row>
    <row r="2966" spans="1:20" ht="14.5" x14ac:dyDescent="0.35">
      <c r="A2966" s="10" t="s">
        <v>19064</v>
      </c>
      <c r="B2966" s="10" t="str">
        <f>"9780981709154"</f>
        <v>9780981709154</v>
      </c>
      <c r="C2966" s="10" t="str">
        <f>"9781609944735"</f>
        <v>9781609944735</v>
      </c>
      <c r="D2966" s="10" t="s">
        <v>11771</v>
      </c>
      <c r="E2966" s="10" t="s">
        <v>11772</v>
      </c>
      <c r="F2966" s="10" t="s">
        <v>2612</v>
      </c>
      <c r="G2966" s="10" t="s">
        <v>6317</v>
      </c>
      <c r="H2966" s="11">
        <v>40087</v>
      </c>
      <c r="I2966" s="10">
        <v>2009</v>
      </c>
      <c r="J2966" s="10" t="s">
        <v>11772</v>
      </c>
      <c r="K2966" s="10">
        <v>264</v>
      </c>
      <c r="L2966" s="10" t="s">
        <v>19065</v>
      </c>
      <c r="M2966" s="10">
        <v>1</v>
      </c>
      <c r="N2966" s="10"/>
      <c r="O2966" s="10"/>
      <c r="P2966" s="10" t="s">
        <v>19066</v>
      </c>
      <c r="Q2966" s="10" t="s">
        <v>12332</v>
      </c>
      <c r="R2966" s="10" t="s">
        <v>19067</v>
      </c>
      <c r="S2966" s="10" t="s">
        <v>53</v>
      </c>
      <c r="T2966" s="10" t="s">
        <v>54</v>
      </c>
    </row>
    <row r="2967" spans="1:20" ht="14.5" x14ac:dyDescent="0.35">
      <c r="A2967" s="10" t="s">
        <v>19068</v>
      </c>
      <c r="B2967" s="10" t="str">
        <f>"9780520268296"</f>
        <v>9780520268296</v>
      </c>
      <c r="C2967" s="10" t="str">
        <f>"9780520950412"</f>
        <v>9780520950412</v>
      </c>
      <c r="D2967" s="10" t="s">
        <v>8512</v>
      </c>
      <c r="E2967" s="10" t="s">
        <v>8512</v>
      </c>
      <c r="F2967" s="10" t="s">
        <v>717</v>
      </c>
      <c r="G2967" s="10" t="s">
        <v>6317</v>
      </c>
      <c r="H2967" s="11">
        <v>40768</v>
      </c>
      <c r="I2967" s="10">
        <v>2011</v>
      </c>
      <c r="J2967" s="10" t="s">
        <v>8512</v>
      </c>
      <c r="K2967" s="10">
        <v>168</v>
      </c>
      <c r="L2967" s="10" t="s">
        <v>19069</v>
      </c>
      <c r="M2967" s="10">
        <v>1</v>
      </c>
      <c r="N2967" s="10"/>
      <c r="O2967" s="10"/>
      <c r="P2967" s="10" t="s">
        <v>19070</v>
      </c>
      <c r="Q2967" s="10" t="s">
        <v>19071</v>
      </c>
      <c r="R2967" s="10" t="s">
        <v>19072</v>
      </c>
      <c r="S2967" s="10" t="s">
        <v>53</v>
      </c>
      <c r="T2967" s="10" t="s">
        <v>54</v>
      </c>
    </row>
    <row r="2968" spans="1:20" ht="14.5" x14ac:dyDescent="0.35">
      <c r="A2968" s="10" t="s">
        <v>19073</v>
      </c>
      <c r="B2968" s="10" t="str">
        <f>"9780821383346"</f>
        <v>9780821383346</v>
      </c>
      <c r="C2968" s="10" t="str">
        <f>"9780821383377"</f>
        <v>9780821383377</v>
      </c>
      <c r="D2968" s="10" t="s">
        <v>14731</v>
      </c>
      <c r="E2968" s="10" t="s">
        <v>14732</v>
      </c>
      <c r="F2968" s="10" t="s">
        <v>14733</v>
      </c>
      <c r="G2968" s="10" t="s">
        <v>6317</v>
      </c>
      <c r="H2968" s="11">
        <v>40289</v>
      </c>
      <c r="I2968" s="10">
        <v>2010</v>
      </c>
      <c r="J2968" s="10" t="s">
        <v>14734</v>
      </c>
      <c r="K2968" s="10">
        <v>194</v>
      </c>
      <c r="L2968" s="10" t="s">
        <v>14731</v>
      </c>
      <c r="M2968" s="10">
        <v>1</v>
      </c>
      <c r="N2968" s="10"/>
      <c r="O2968" s="10"/>
      <c r="P2968" s="10" t="s">
        <v>19074</v>
      </c>
      <c r="Q2968" s="10">
        <v>378</v>
      </c>
      <c r="R2968" s="10" t="s">
        <v>19075</v>
      </c>
      <c r="S2968" s="10" t="s">
        <v>53</v>
      </c>
      <c r="T2968" s="10" t="s">
        <v>54</v>
      </c>
    </row>
    <row r="2969" spans="1:20" ht="14.5" x14ac:dyDescent="0.35">
      <c r="A2969" s="10" t="s">
        <v>19076</v>
      </c>
      <c r="B2969" s="10" t="str">
        <f>"9780415570824"</f>
        <v>9780415570824</v>
      </c>
      <c r="C2969" s="10" t="str">
        <f>"9780203817445"</f>
        <v>9780203817445</v>
      </c>
      <c r="D2969" s="10" t="s">
        <v>6350</v>
      </c>
      <c r="E2969" s="10" t="s">
        <v>6351</v>
      </c>
      <c r="F2969" s="10" t="s">
        <v>748</v>
      </c>
      <c r="G2969" s="10" t="s">
        <v>6352</v>
      </c>
      <c r="H2969" s="11">
        <v>40764</v>
      </c>
      <c r="I2969" s="10">
        <v>2011</v>
      </c>
      <c r="J2969" s="10" t="s">
        <v>6351</v>
      </c>
      <c r="K2969" s="10">
        <v>127</v>
      </c>
      <c r="L2969" s="10" t="s">
        <v>19077</v>
      </c>
      <c r="M2969" s="10">
        <v>1</v>
      </c>
      <c r="N2969" s="10" t="s">
        <v>19078</v>
      </c>
      <c r="O2969" s="10"/>
      <c r="P2969" s="10" t="s">
        <v>19079</v>
      </c>
      <c r="Q2969" s="10">
        <v>371.2011</v>
      </c>
      <c r="R2969" s="10" t="s">
        <v>6543</v>
      </c>
      <c r="S2969" s="10" t="s">
        <v>53</v>
      </c>
      <c r="T2969" s="10" t="s">
        <v>54</v>
      </c>
    </row>
    <row r="2970" spans="1:20" ht="14.5" x14ac:dyDescent="0.35">
      <c r="A2970" s="10" t="s">
        <v>19080</v>
      </c>
      <c r="B2970" s="10" t="str">
        <f>"9781416610922"</f>
        <v>9781416610922</v>
      </c>
      <c r="C2970" s="10" t="str">
        <f>"9781416613541"</f>
        <v>9781416613541</v>
      </c>
      <c r="D2970" s="10" t="s">
        <v>10014</v>
      </c>
      <c r="E2970" s="10" t="s">
        <v>10015</v>
      </c>
      <c r="F2970" s="10" t="s">
        <v>201</v>
      </c>
      <c r="G2970" s="10" t="s">
        <v>6317</v>
      </c>
      <c r="H2970" s="11">
        <v>40693</v>
      </c>
      <c r="I2970" s="10">
        <v>2011</v>
      </c>
      <c r="J2970" s="10" t="s">
        <v>10015</v>
      </c>
      <c r="K2970" s="10">
        <v>127</v>
      </c>
      <c r="L2970" s="10" t="s">
        <v>13292</v>
      </c>
      <c r="M2970" s="10">
        <v>1</v>
      </c>
      <c r="N2970" s="10"/>
      <c r="O2970" s="10"/>
      <c r="P2970" s="10" t="s">
        <v>19081</v>
      </c>
      <c r="Q2970" s="10" t="s">
        <v>10213</v>
      </c>
      <c r="R2970" s="10" t="s">
        <v>19082</v>
      </c>
      <c r="S2970" s="10" t="s">
        <v>53</v>
      </c>
      <c r="T2970" s="10" t="s">
        <v>54</v>
      </c>
    </row>
    <row r="2971" spans="1:20" ht="14.5" x14ac:dyDescent="0.35">
      <c r="A2971" s="10" t="s">
        <v>19083</v>
      </c>
      <c r="B2971" s="10" t="str">
        <f>"9781439907405"</f>
        <v>9781439907405</v>
      </c>
      <c r="C2971" s="10" t="str">
        <f>"9781439907429"</f>
        <v>9781439907429</v>
      </c>
      <c r="D2971" s="10" t="s">
        <v>11120</v>
      </c>
      <c r="E2971" s="10" t="s">
        <v>11120</v>
      </c>
      <c r="F2971" s="10" t="s">
        <v>319</v>
      </c>
      <c r="G2971" s="10" t="s">
        <v>6317</v>
      </c>
      <c r="H2971" s="11">
        <v>40744</v>
      </c>
      <c r="I2971" s="10">
        <v>2011</v>
      </c>
      <c r="J2971" s="10" t="s">
        <v>11120</v>
      </c>
      <c r="K2971" s="10">
        <v>240</v>
      </c>
      <c r="L2971" s="10" t="s">
        <v>19084</v>
      </c>
      <c r="M2971" s="10">
        <v>2</v>
      </c>
      <c r="N2971" s="10"/>
      <c r="O2971" s="10"/>
      <c r="P2971" s="10" t="s">
        <v>19085</v>
      </c>
      <c r="Q2971" s="10" t="s">
        <v>10031</v>
      </c>
      <c r="R2971" s="10" t="s">
        <v>19086</v>
      </c>
      <c r="S2971" s="10" t="s">
        <v>53</v>
      </c>
      <c r="T2971" s="10" t="s">
        <v>54</v>
      </c>
    </row>
    <row r="2972" spans="1:20" ht="14.5" x14ac:dyDescent="0.35">
      <c r="A2972" s="10" t="s">
        <v>19087</v>
      </c>
      <c r="B2972" s="10" t="str">
        <f>"9780415877565"</f>
        <v>9780415877565</v>
      </c>
      <c r="C2972" s="10" t="str">
        <f>"9780203848180"</f>
        <v>9780203848180</v>
      </c>
      <c r="D2972" s="10" t="s">
        <v>6350</v>
      </c>
      <c r="E2972" s="10" t="s">
        <v>6351</v>
      </c>
      <c r="F2972" s="10" t="s">
        <v>5406</v>
      </c>
      <c r="G2972" s="10" t="s">
        <v>6317</v>
      </c>
      <c r="H2972" s="11">
        <v>40722</v>
      </c>
      <c r="I2972" s="10">
        <v>2011</v>
      </c>
      <c r="J2972" s="10" t="s">
        <v>6353</v>
      </c>
      <c r="K2972" s="10">
        <v>345</v>
      </c>
      <c r="L2972" s="10" t="s">
        <v>19088</v>
      </c>
      <c r="M2972" s="10">
        <v>1</v>
      </c>
      <c r="N2972" s="10"/>
      <c r="O2972" s="10"/>
      <c r="P2972" s="10" t="s">
        <v>19089</v>
      </c>
      <c r="Q2972" s="10">
        <v>371.94</v>
      </c>
      <c r="R2972" s="10" t="s">
        <v>19090</v>
      </c>
      <c r="S2972" s="10" t="s">
        <v>53</v>
      </c>
      <c r="T2972" s="10" t="s">
        <v>54</v>
      </c>
    </row>
    <row r="2973" spans="1:20" ht="14.5" x14ac:dyDescent="0.35">
      <c r="A2973" s="10" t="s">
        <v>19091</v>
      </c>
      <c r="B2973" s="10" t="str">
        <f>"9780415669771"</f>
        <v>9780415669771</v>
      </c>
      <c r="C2973" s="10" t="str">
        <f>"9780203806753"</f>
        <v>9780203806753</v>
      </c>
      <c r="D2973" s="10" t="s">
        <v>6350</v>
      </c>
      <c r="E2973" s="10" t="s">
        <v>6351</v>
      </c>
      <c r="F2973" s="10" t="s">
        <v>5406</v>
      </c>
      <c r="G2973" s="10" t="s">
        <v>6317</v>
      </c>
      <c r="H2973" s="11">
        <v>40781</v>
      </c>
      <c r="I2973" s="10">
        <v>2012</v>
      </c>
      <c r="J2973" s="10" t="s">
        <v>6353</v>
      </c>
      <c r="K2973" s="10">
        <v>129</v>
      </c>
      <c r="L2973" s="10" t="s">
        <v>19092</v>
      </c>
      <c r="M2973" s="10">
        <v>1</v>
      </c>
      <c r="N2973" s="10"/>
      <c r="O2973" s="10"/>
      <c r="P2973" s="10" t="s">
        <v>19093</v>
      </c>
      <c r="Q2973" s="10">
        <v>305.23099999999999</v>
      </c>
      <c r="R2973" s="10" t="s">
        <v>18175</v>
      </c>
      <c r="S2973" s="10" t="s">
        <v>53</v>
      </c>
      <c r="T2973" s="10" t="s">
        <v>6472</v>
      </c>
    </row>
    <row r="2974" spans="1:20" ht="14.5" x14ac:dyDescent="0.35">
      <c r="A2974" s="10" t="s">
        <v>19094</v>
      </c>
      <c r="B2974" s="10" t="str">
        <f>"9781572337589"</f>
        <v>9781572337589</v>
      </c>
      <c r="C2974" s="10" t="str">
        <f>"9781572337954"</f>
        <v>9781572337954</v>
      </c>
      <c r="D2974" s="10" t="s">
        <v>18125</v>
      </c>
      <c r="E2974" s="10" t="s">
        <v>18125</v>
      </c>
      <c r="F2974" s="10" t="s">
        <v>2644</v>
      </c>
      <c r="G2974" s="10" t="s">
        <v>6317</v>
      </c>
      <c r="H2974" s="11">
        <v>40724</v>
      </c>
      <c r="I2974" s="10">
        <v>2011</v>
      </c>
      <c r="J2974" s="10" t="s">
        <v>18125</v>
      </c>
      <c r="K2974" s="10">
        <v>185</v>
      </c>
      <c r="L2974" s="10" t="s">
        <v>19095</v>
      </c>
      <c r="M2974" s="10">
        <v>1</v>
      </c>
      <c r="N2974" s="10"/>
      <c r="O2974" s="10"/>
      <c r="P2974" s="10" t="s">
        <v>19096</v>
      </c>
      <c r="Q2974" s="10" t="s">
        <v>10427</v>
      </c>
      <c r="R2974" s="10"/>
      <c r="S2974" s="10" t="s">
        <v>53</v>
      </c>
      <c r="T2974" s="10" t="s">
        <v>54</v>
      </c>
    </row>
    <row r="2975" spans="1:20" ht="14.5" x14ac:dyDescent="0.35">
      <c r="A2975" s="10" t="s">
        <v>19097</v>
      </c>
      <c r="B2975" s="10" t="str">
        <f>"9780230103795"</f>
        <v>9780230103795</v>
      </c>
      <c r="C2975" s="10" t="str">
        <f>"9780230119352"</f>
        <v>9780230119352</v>
      </c>
      <c r="D2975" s="10" t="s">
        <v>11249</v>
      </c>
      <c r="E2975" s="10" t="s">
        <v>2400</v>
      </c>
      <c r="F2975" s="10" t="s">
        <v>70</v>
      </c>
      <c r="G2975" s="10" t="s">
        <v>6317</v>
      </c>
      <c r="H2975" s="11">
        <v>40739</v>
      </c>
      <c r="I2975" s="10">
        <v>2011</v>
      </c>
      <c r="J2975" s="10" t="s">
        <v>2400</v>
      </c>
      <c r="K2975" s="10">
        <v>247</v>
      </c>
      <c r="L2975" s="10" t="s">
        <v>15473</v>
      </c>
      <c r="M2975" s="10">
        <v>1</v>
      </c>
      <c r="N2975" s="10" t="s">
        <v>19098</v>
      </c>
      <c r="O2975" s="10"/>
      <c r="P2975" s="10" t="s">
        <v>17110</v>
      </c>
      <c r="Q2975" s="10" t="s">
        <v>14440</v>
      </c>
      <c r="R2975" s="10" t="s">
        <v>19099</v>
      </c>
      <c r="S2975" s="10" t="s">
        <v>53</v>
      </c>
      <c r="T2975" s="10" t="s">
        <v>54</v>
      </c>
    </row>
    <row r="2976" spans="1:20" ht="14.5" x14ac:dyDescent="0.35">
      <c r="A2976" s="10" t="s">
        <v>19100</v>
      </c>
      <c r="B2976" s="10" t="str">
        <f>"9780567250285"</f>
        <v>9780567250285</v>
      </c>
      <c r="C2976" s="10" t="str">
        <f>"9781441189004"</f>
        <v>9781441189004</v>
      </c>
      <c r="D2976" s="10" t="s">
        <v>13959</v>
      </c>
      <c r="E2976" s="10" t="s">
        <v>13960</v>
      </c>
      <c r="F2976" s="10" t="s">
        <v>139</v>
      </c>
      <c r="G2976" s="10" t="s">
        <v>6352</v>
      </c>
      <c r="H2976" s="11">
        <v>41403</v>
      </c>
      <c r="I2976" s="10">
        <v>2011</v>
      </c>
      <c r="J2976" s="10" t="s">
        <v>13961</v>
      </c>
      <c r="K2976" s="10">
        <v>305</v>
      </c>
      <c r="L2976" s="10" t="s">
        <v>19101</v>
      </c>
      <c r="M2976" s="10">
        <v>1</v>
      </c>
      <c r="N2976" s="10" t="s">
        <v>14628</v>
      </c>
      <c r="O2976" s="10"/>
      <c r="P2976" s="10" t="s">
        <v>19102</v>
      </c>
      <c r="Q2976" s="10">
        <v>510.71</v>
      </c>
      <c r="R2976" s="10" t="s">
        <v>19103</v>
      </c>
      <c r="S2976" s="10" t="s">
        <v>53</v>
      </c>
      <c r="T2976" s="10" t="s">
        <v>389</v>
      </c>
    </row>
    <row r="2977" spans="1:20" ht="14.5" x14ac:dyDescent="0.35">
      <c r="A2977" s="10" t="s">
        <v>19104</v>
      </c>
      <c r="B2977" s="10" t="str">
        <f>"9780567092199"</f>
        <v>9780567092199</v>
      </c>
      <c r="C2977" s="10" t="str">
        <f>"9781441106049"</f>
        <v>9781441106049</v>
      </c>
      <c r="D2977" s="10" t="s">
        <v>13959</v>
      </c>
      <c r="E2977" s="10" t="s">
        <v>13960</v>
      </c>
      <c r="F2977" s="10" t="s">
        <v>139</v>
      </c>
      <c r="G2977" s="10" t="s">
        <v>6352</v>
      </c>
      <c r="H2977" s="11">
        <v>41277</v>
      </c>
      <c r="I2977" s="10">
        <v>2011</v>
      </c>
      <c r="J2977" s="10" t="s">
        <v>13960</v>
      </c>
      <c r="K2977" s="10">
        <v>209</v>
      </c>
      <c r="L2977" s="10" t="s">
        <v>19105</v>
      </c>
      <c r="M2977" s="10">
        <v>1</v>
      </c>
      <c r="N2977" s="10"/>
      <c r="O2977" s="10"/>
      <c r="P2977" s="10" t="s">
        <v>19106</v>
      </c>
      <c r="Q2977" s="10">
        <v>370.72</v>
      </c>
      <c r="R2977" s="10" t="s">
        <v>19107</v>
      </c>
      <c r="S2977" s="10" t="s">
        <v>53</v>
      </c>
      <c r="T2977" s="10" t="s">
        <v>54</v>
      </c>
    </row>
    <row r="2978" spans="1:20" ht="14.5" x14ac:dyDescent="0.35">
      <c r="A2978" s="10" t="s">
        <v>19108</v>
      </c>
      <c r="B2978" s="10" t="str">
        <f>"9780833052667"</f>
        <v>9780833052667</v>
      </c>
      <c r="C2978" s="10" t="str">
        <f>"9780833052711"</f>
        <v>9780833052711</v>
      </c>
      <c r="D2978" s="10" t="s">
        <v>8134</v>
      </c>
      <c r="E2978" s="10" t="s">
        <v>8135</v>
      </c>
      <c r="F2978" s="10" t="s">
        <v>8136</v>
      </c>
      <c r="G2978" s="10" t="s">
        <v>6317</v>
      </c>
      <c r="H2978" s="11">
        <v>40707</v>
      </c>
      <c r="I2978" s="10">
        <v>2011</v>
      </c>
      <c r="J2978" s="10" t="s">
        <v>8363</v>
      </c>
      <c r="K2978" s="10">
        <v>107</v>
      </c>
      <c r="L2978" s="10" t="s">
        <v>19109</v>
      </c>
      <c r="M2978" s="10">
        <v>1</v>
      </c>
      <c r="N2978" s="10"/>
      <c r="O2978" s="10"/>
      <c r="P2978" s="10" t="s">
        <v>19110</v>
      </c>
      <c r="Q2978" s="10" t="s">
        <v>19111</v>
      </c>
      <c r="R2978" s="10" t="s">
        <v>19112</v>
      </c>
      <c r="S2978" s="10" t="s">
        <v>53</v>
      </c>
      <c r="T2978" s="10" t="s">
        <v>54</v>
      </c>
    </row>
    <row r="2979" spans="1:20" ht="14.5" x14ac:dyDescent="0.35">
      <c r="A2979" s="10" t="s">
        <v>19113</v>
      </c>
      <c r="B2979" s="10" t="str">
        <f>"9780816674664"</f>
        <v>9780816674664</v>
      </c>
      <c r="C2979" s="10" t="str">
        <f>"9780816677108"</f>
        <v>9780816677108</v>
      </c>
      <c r="D2979" s="10" t="s">
        <v>11428</v>
      </c>
      <c r="E2979" s="10" t="s">
        <v>11428</v>
      </c>
      <c r="F2979" s="10" t="s">
        <v>2186</v>
      </c>
      <c r="G2979" s="10" t="s">
        <v>6317</v>
      </c>
      <c r="H2979" s="11">
        <v>40671</v>
      </c>
      <c r="I2979" s="10">
        <v>2011</v>
      </c>
      <c r="J2979" s="10" t="s">
        <v>11428</v>
      </c>
      <c r="K2979" s="10">
        <v>270</v>
      </c>
      <c r="L2979" s="10" t="s">
        <v>19114</v>
      </c>
      <c r="M2979" s="10">
        <v>1</v>
      </c>
      <c r="N2979" s="10"/>
      <c r="O2979" s="10"/>
      <c r="P2979" s="10" t="s">
        <v>19115</v>
      </c>
      <c r="Q2979" s="10" t="s">
        <v>19116</v>
      </c>
      <c r="R2979" s="10" t="s">
        <v>19117</v>
      </c>
      <c r="S2979" s="10" t="s">
        <v>53</v>
      </c>
      <c r="T2979" s="10" t="s">
        <v>54</v>
      </c>
    </row>
    <row r="2980" spans="1:20" ht="14.5" x14ac:dyDescent="0.35">
      <c r="A2980" s="10" t="s">
        <v>19118</v>
      </c>
      <c r="B2980" s="10" t="str">
        <f>"9780804775410"</f>
        <v>9780804775410</v>
      </c>
      <c r="C2980" s="10" t="str">
        <f>"9780804777803"</f>
        <v>9780804777803</v>
      </c>
      <c r="D2980" s="10" t="s">
        <v>16213</v>
      </c>
      <c r="E2980" s="10" t="s">
        <v>16213</v>
      </c>
      <c r="F2980" s="10" t="s">
        <v>16214</v>
      </c>
      <c r="G2980" s="10" t="s">
        <v>6317</v>
      </c>
      <c r="H2980" s="11">
        <v>40667</v>
      </c>
      <c r="I2980" s="10">
        <v>2011</v>
      </c>
      <c r="J2980" s="10" t="s">
        <v>16213</v>
      </c>
      <c r="K2980" s="10">
        <v>336</v>
      </c>
      <c r="L2980" s="10" t="s">
        <v>19119</v>
      </c>
      <c r="M2980" s="10">
        <v>1</v>
      </c>
      <c r="N2980" s="10"/>
      <c r="O2980" s="10"/>
      <c r="P2980" s="10" t="s">
        <v>19120</v>
      </c>
      <c r="Q2980" s="10" t="s">
        <v>8011</v>
      </c>
      <c r="R2980" s="10" t="s">
        <v>19121</v>
      </c>
      <c r="S2980" s="10" t="s">
        <v>53</v>
      </c>
      <c r="T2980" s="10" t="s">
        <v>6472</v>
      </c>
    </row>
    <row r="2981" spans="1:20" ht="14.5" x14ac:dyDescent="0.35">
      <c r="A2981" s="10" t="s">
        <v>19122</v>
      </c>
      <c r="B2981" s="10" t="str">
        <f>"9781442208094"</f>
        <v>9781442208094</v>
      </c>
      <c r="C2981" s="10" t="str">
        <f>"9781442208117"</f>
        <v>9781442208117</v>
      </c>
      <c r="D2981" s="10" t="s">
        <v>9752</v>
      </c>
      <c r="E2981" s="10" t="s">
        <v>15187</v>
      </c>
      <c r="F2981" s="10" t="s">
        <v>9754</v>
      </c>
      <c r="G2981" s="10" t="s">
        <v>6317</v>
      </c>
      <c r="H2981" s="11">
        <v>40559</v>
      </c>
      <c r="I2981" s="10">
        <v>2010</v>
      </c>
      <c r="J2981" s="10" t="s">
        <v>15187</v>
      </c>
      <c r="K2981" s="10">
        <v>207</v>
      </c>
      <c r="L2981" s="10" t="s">
        <v>19123</v>
      </c>
      <c r="M2981" s="10">
        <v>1</v>
      </c>
      <c r="N2981" s="10"/>
      <c r="O2981" s="10"/>
      <c r="P2981" s="10" t="s">
        <v>19124</v>
      </c>
      <c r="Q2981" s="10" t="s">
        <v>8376</v>
      </c>
      <c r="R2981" s="10" t="s">
        <v>19125</v>
      </c>
      <c r="S2981" s="10" t="s">
        <v>53</v>
      </c>
      <c r="T2981" s="10" t="s">
        <v>54</v>
      </c>
    </row>
    <row r="2982" spans="1:20" ht="14.5" x14ac:dyDescent="0.35">
      <c r="A2982" s="10" t="s">
        <v>19126</v>
      </c>
      <c r="B2982" s="10" t="str">
        <f>""</f>
        <v/>
      </c>
      <c r="C2982" s="10" t="str">
        <f>"9789814277068"</f>
        <v>9789814277068</v>
      </c>
      <c r="D2982" s="10" t="s">
        <v>8571</v>
      </c>
      <c r="E2982" s="10" t="s">
        <v>8572</v>
      </c>
      <c r="F2982" s="10" t="s">
        <v>549</v>
      </c>
      <c r="G2982" s="10" t="s">
        <v>8573</v>
      </c>
      <c r="H2982" s="11">
        <v>40266</v>
      </c>
      <c r="I2982" s="10">
        <v>2010</v>
      </c>
      <c r="J2982" s="10" t="s">
        <v>8574</v>
      </c>
      <c r="K2982" s="10">
        <v>398</v>
      </c>
      <c r="L2982" s="10" t="s">
        <v>19127</v>
      </c>
      <c r="M2982" s="10">
        <v>1</v>
      </c>
      <c r="N2982" s="10" t="s">
        <v>8576</v>
      </c>
      <c r="O2982" s="10">
        <v>4</v>
      </c>
      <c r="P2982" s="10" t="s">
        <v>19128</v>
      </c>
      <c r="Q2982" s="10">
        <v>510.71046999999999</v>
      </c>
      <c r="R2982" s="10" t="s">
        <v>19129</v>
      </c>
      <c r="S2982" s="10" t="s">
        <v>53</v>
      </c>
      <c r="T2982" s="10" t="s">
        <v>389</v>
      </c>
    </row>
    <row r="2983" spans="1:20" ht="14.5" x14ac:dyDescent="0.35">
      <c r="A2983" s="10" t="s">
        <v>19130</v>
      </c>
      <c r="B2983" s="10" t="str">
        <f>""</f>
        <v/>
      </c>
      <c r="C2983" s="10" t="str">
        <f>"9789814299046"</f>
        <v>9789814299046</v>
      </c>
      <c r="D2983" s="10" t="s">
        <v>8571</v>
      </c>
      <c r="E2983" s="10" t="s">
        <v>8572</v>
      </c>
      <c r="F2983" s="10" t="s">
        <v>549</v>
      </c>
      <c r="G2983" s="10" t="s">
        <v>8573</v>
      </c>
      <c r="H2983" s="11">
        <v>40219</v>
      </c>
      <c r="I2983" s="10">
        <v>2010</v>
      </c>
      <c r="J2983" s="10" t="s">
        <v>8574</v>
      </c>
      <c r="K2983" s="10">
        <v>321</v>
      </c>
      <c r="L2983" s="10" t="s">
        <v>19131</v>
      </c>
      <c r="M2983" s="10">
        <v>1</v>
      </c>
      <c r="N2983" s="10"/>
      <c r="O2983" s="10"/>
      <c r="P2983" s="10" t="s">
        <v>19132</v>
      </c>
      <c r="Q2983" s="10">
        <v>378.5</v>
      </c>
      <c r="R2983" s="10" t="s">
        <v>19133</v>
      </c>
      <c r="S2983" s="10" t="s">
        <v>53</v>
      </c>
      <c r="T2983" s="10" t="s">
        <v>54</v>
      </c>
    </row>
    <row r="2984" spans="1:20" ht="14.5" x14ac:dyDescent="0.35">
      <c r="A2984" s="10" t="s">
        <v>19134</v>
      </c>
      <c r="B2984" s="10" t="str">
        <f>"9780838910566"</f>
        <v>9780838910566</v>
      </c>
      <c r="C2984" s="10" t="str">
        <f>"9780838990797"</f>
        <v>9780838990797</v>
      </c>
      <c r="D2984" s="10" t="s">
        <v>15366</v>
      </c>
      <c r="E2984" s="10" t="s">
        <v>382</v>
      </c>
      <c r="F2984" s="10" t="s">
        <v>324</v>
      </c>
      <c r="G2984" s="10" t="s">
        <v>6317</v>
      </c>
      <c r="H2984" s="11">
        <v>40368</v>
      </c>
      <c r="I2984" s="10">
        <v>2010</v>
      </c>
      <c r="J2984" s="10" t="s">
        <v>382</v>
      </c>
      <c r="K2984" s="10">
        <v>232</v>
      </c>
      <c r="L2984" s="10" t="s">
        <v>19135</v>
      </c>
      <c r="M2984" s="10">
        <v>3</v>
      </c>
      <c r="N2984" s="10"/>
      <c r="O2984" s="10"/>
      <c r="P2984" s="10" t="s">
        <v>15368</v>
      </c>
      <c r="Q2984" s="10" t="s">
        <v>19136</v>
      </c>
      <c r="R2984" s="10" t="s">
        <v>19137</v>
      </c>
      <c r="S2984" s="10" t="s">
        <v>53</v>
      </c>
      <c r="T2984" s="10" t="s">
        <v>10302</v>
      </c>
    </row>
    <row r="2985" spans="1:20" ht="14.5" x14ac:dyDescent="0.35">
      <c r="A2985" s="10" t="s">
        <v>19138</v>
      </c>
      <c r="B2985" s="10" t="str">
        <f>"9780838935927"</f>
        <v>9780838935927</v>
      </c>
      <c r="C2985" s="10" t="str">
        <f>"9780838990995"</f>
        <v>9780838990995</v>
      </c>
      <c r="D2985" s="10" t="s">
        <v>15366</v>
      </c>
      <c r="E2985" s="10" t="s">
        <v>382</v>
      </c>
      <c r="F2985" s="10" t="s">
        <v>324</v>
      </c>
      <c r="G2985" s="10" t="s">
        <v>6317</v>
      </c>
      <c r="H2985" s="11">
        <v>40422</v>
      </c>
      <c r="I2985" s="10">
        <v>2010</v>
      </c>
      <c r="J2985" s="10" t="s">
        <v>382</v>
      </c>
      <c r="K2985" s="10">
        <v>136</v>
      </c>
      <c r="L2985" s="10" t="s">
        <v>19139</v>
      </c>
      <c r="M2985" s="10">
        <v>1</v>
      </c>
      <c r="N2985" s="10" t="s">
        <v>19140</v>
      </c>
      <c r="O2985" s="10"/>
      <c r="P2985" s="10" t="s">
        <v>15368</v>
      </c>
      <c r="Q2985" s="10">
        <v>20.23</v>
      </c>
      <c r="R2985" s="10" t="s">
        <v>19141</v>
      </c>
      <c r="S2985" s="10" t="s">
        <v>53</v>
      </c>
      <c r="T2985" s="10" t="s">
        <v>10302</v>
      </c>
    </row>
    <row r="2986" spans="1:20" ht="14.5" x14ac:dyDescent="0.35">
      <c r="A2986" s="10" t="s">
        <v>19142</v>
      </c>
      <c r="B2986" s="10" t="str">
        <f>"9780972425544"</f>
        <v>9780972425544</v>
      </c>
      <c r="C2986" s="10" t="str">
        <f>"9781937295011"</f>
        <v>9781937295011</v>
      </c>
      <c r="D2986" s="10" t="s">
        <v>9215</v>
      </c>
      <c r="E2986" s="10" t="s">
        <v>19143</v>
      </c>
      <c r="F2986" s="10" t="s">
        <v>70</v>
      </c>
      <c r="G2986" s="10" t="s">
        <v>6317</v>
      </c>
      <c r="H2986" s="11">
        <v>40725</v>
      </c>
      <c r="I2986" s="10">
        <v>2011</v>
      </c>
      <c r="J2986" s="10" t="s">
        <v>19143</v>
      </c>
      <c r="K2986" s="10">
        <v>177</v>
      </c>
      <c r="L2986" s="10" t="s">
        <v>19144</v>
      </c>
      <c r="M2986" s="10"/>
      <c r="N2986" s="10" t="s">
        <v>19145</v>
      </c>
      <c r="O2986" s="10"/>
      <c r="P2986" s="10" t="s">
        <v>19146</v>
      </c>
      <c r="Q2986" s="10">
        <v>371.10199999999998</v>
      </c>
      <c r="R2986" s="10" t="s">
        <v>19147</v>
      </c>
      <c r="S2986" s="10" t="s">
        <v>53</v>
      </c>
      <c r="T2986" s="10" t="s">
        <v>54</v>
      </c>
    </row>
    <row r="2987" spans="1:20" ht="14.5" x14ac:dyDescent="0.35">
      <c r="A2987" s="10" t="s">
        <v>19148</v>
      </c>
      <c r="B2987" s="10" t="str">
        <f>"9780415570916"</f>
        <v>9780415570916</v>
      </c>
      <c r="C2987" s="10" t="str">
        <f>"9780203817582"</f>
        <v>9780203817582</v>
      </c>
      <c r="D2987" s="10" t="s">
        <v>6350</v>
      </c>
      <c r="E2987" s="10" t="s">
        <v>6351</v>
      </c>
      <c r="F2987" s="10" t="s">
        <v>5406</v>
      </c>
      <c r="G2987" s="10" t="s">
        <v>6317</v>
      </c>
      <c r="H2987" s="11">
        <v>40779</v>
      </c>
      <c r="I2987" s="10">
        <v>2012</v>
      </c>
      <c r="J2987" s="10" t="s">
        <v>6353</v>
      </c>
      <c r="K2987" s="10">
        <v>233</v>
      </c>
      <c r="L2987" s="10" t="s">
        <v>19149</v>
      </c>
      <c r="M2987" s="10">
        <v>1</v>
      </c>
      <c r="N2987" s="10"/>
      <c r="O2987" s="10"/>
      <c r="P2987" s="10" t="s">
        <v>19150</v>
      </c>
      <c r="Q2987" s="10">
        <v>370.72</v>
      </c>
      <c r="R2987" s="10" t="s">
        <v>19151</v>
      </c>
      <c r="S2987" s="10" t="s">
        <v>53</v>
      </c>
      <c r="T2987" s="10" t="s">
        <v>54</v>
      </c>
    </row>
    <row r="2988" spans="1:20" ht="14.5" x14ac:dyDescent="0.35">
      <c r="A2988" s="10" t="s">
        <v>19152</v>
      </c>
      <c r="B2988" s="10" t="str">
        <f>"9780415548892"</f>
        <v>9780415548892</v>
      </c>
      <c r="C2988" s="10" t="str">
        <f>"9780203817568"</f>
        <v>9780203817568</v>
      </c>
      <c r="D2988" s="10" t="s">
        <v>6350</v>
      </c>
      <c r="E2988" s="10" t="s">
        <v>6351</v>
      </c>
      <c r="F2988" s="10" t="s">
        <v>5406</v>
      </c>
      <c r="G2988" s="10" t="s">
        <v>6317</v>
      </c>
      <c r="H2988" s="11">
        <v>40739</v>
      </c>
      <c r="I2988" s="10">
        <v>2011</v>
      </c>
      <c r="J2988" s="10" t="s">
        <v>6353</v>
      </c>
      <c r="K2988" s="10">
        <v>504</v>
      </c>
      <c r="L2988" s="10" t="s">
        <v>19153</v>
      </c>
      <c r="M2988" s="10">
        <v>1</v>
      </c>
      <c r="N2988" s="10" t="s">
        <v>14431</v>
      </c>
      <c r="O2988" s="10"/>
      <c r="P2988" s="10" t="s">
        <v>19154</v>
      </c>
      <c r="Q2988" s="10" t="s">
        <v>9870</v>
      </c>
      <c r="R2988" s="10" t="s">
        <v>19155</v>
      </c>
      <c r="S2988" s="10" t="s">
        <v>53</v>
      </c>
      <c r="T2988" s="10" t="s">
        <v>54</v>
      </c>
    </row>
    <row r="2989" spans="1:20" ht="14.5" x14ac:dyDescent="0.35">
      <c r="A2989" s="10" t="s">
        <v>19156</v>
      </c>
      <c r="B2989" s="10" t="str">
        <f>"9780415680233"</f>
        <v>9780415680233</v>
      </c>
      <c r="C2989" s="10" t="str">
        <f>"9780203805046"</f>
        <v>9780203805046</v>
      </c>
      <c r="D2989" s="10" t="s">
        <v>6350</v>
      </c>
      <c r="E2989" s="10" t="s">
        <v>6351</v>
      </c>
      <c r="F2989" s="10" t="s">
        <v>748</v>
      </c>
      <c r="G2989" s="10" t="s">
        <v>6352</v>
      </c>
      <c r="H2989" s="11">
        <v>40739</v>
      </c>
      <c r="I2989" s="10">
        <v>2012</v>
      </c>
      <c r="J2989" s="10" t="s">
        <v>6351</v>
      </c>
      <c r="K2989" s="10">
        <v>185</v>
      </c>
      <c r="L2989" s="10" t="s">
        <v>19157</v>
      </c>
      <c r="M2989" s="10">
        <v>1</v>
      </c>
      <c r="N2989" s="10"/>
      <c r="O2989" s="10"/>
      <c r="P2989" s="10" t="s">
        <v>19158</v>
      </c>
      <c r="Q2989" s="10">
        <v>808</v>
      </c>
      <c r="R2989" s="10" t="s">
        <v>15710</v>
      </c>
      <c r="S2989" s="10" t="s">
        <v>53</v>
      </c>
      <c r="T2989" s="10" t="s">
        <v>9143</v>
      </c>
    </row>
    <row r="2990" spans="1:20" ht="14.5" x14ac:dyDescent="0.35">
      <c r="A2990" s="10" t="s">
        <v>19159</v>
      </c>
      <c r="B2990" s="10" t="str">
        <f>"9780691131276"</f>
        <v>9780691131276</v>
      </c>
      <c r="C2990" s="10" t="str">
        <f>"9781400832156"</f>
        <v>9781400832156</v>
      </c>
      <c r="D2990" s="10" t="s">
        <v>14335</v>
      </c>
      <c r="E2990" s="10" t="s">
        <v>14336</v>
      </c>
      <c r="F2990" s="10" t="s">
        <v>2246</v>
      </c>
      <c r="G2990" s="10" t="s">
        <v>6317</v>
      </c>
      <c r="H2990" s="11">
        <v>40188</v>
      </c>
      <c r="I2990" s="10">
        <v>2010</v>
      </c>
      <c r="J2990" s="10" t="s">
        <v>14336</v>
      </c>
      <c r="K2990" s="10">
        <v>276</v>
      </c>
      <c r="L2990" s="10" t="s">
        <v>19160</v>
      </c>
      <c r="M2990" s="10">
        <v>1</v>
      </c>
      <c r="N2990" s="10" t="s">
        <v>19161</v>
      </c>
      <c r="O2990" s="10">
        <v>7</v>
      </c>
      <c r="P2990" s="10" t="s">
        <v>19162</v>
      </c>
      <c r="Q2990" s="10" t="s">
        <v>19163</v>
      </c>
      <c r="R2990" s="10"/>
      <c r="S2990" s="10" t="s">
        <v>53</v>
      </c>
      <c r="T2990" s="10" t="s">
        <v>54</v>
      </c>
    </row>
    <row r="2991" spans="1:20" ht="14.5" x14ac:dyDescent="0.35">
      <c r="A2991" s="10" t="s">
        <v>19164</v>
      </c>
      <c r="B2991" s="10" t="str">
        <f>"9780691149288"</f>
        <v>9780691149288</v>
      </c>
      <c r="C2991" s="10" t="str">
        <f>"9781400839575"</f>
        <v>9781400839575</v>
      </c>
      <c r="D2991" s="10" t="s">
        <v>14335</v>
      </c>
      <c r="E2991" s="10" t="s">
        <v>14336</v>
      </c>
      <c r="F2991" s="10" t="s">
        <v>2246</v>
      </c>
      <c r="G2991" s="10" t="s">
        <v>6317</v>
      </c>
      <c r="H2991" s="11">
        <v>40783</v>
      </c>
      <c r="I2991" s="10">
        <v>2011</v>
      </c>
      <c r="J2991" s="10" t="s">
        <v>14336</v>
      </c>
      <c r="K2991" s="10">
        <v>144</v>
      </c>
      <c r="L2991" s="10" t="s">
        <v>19165</v>
      </c>
      <c r="M2991" s="10">
        <v>1</v>
      </c>
      <c r="N2991" s="10"/>
      <c r="O2991" s="10"/>
      <c r="P2991" s="10" t="s">
        <v>19166</v>
      </c>
      <c r="Q2991" s="10" t="s">
        <v>19167</v>
      </c>
      <c r="R2991" s="10"/>
      <c r="S2991" s="10" t="s">
        <v>53</v>
      </c>
      <c r="T2991" s="10" t="s">
        <v>54</v>
      </c>
    </row>
    <row r="2992" spans="1:20" ht="14.5" x14ac:dyDescent="0.35">
      <c r="A2992" s="10" t="s">
        <v>19168</v>
      </c>
      <c r="B2992" s="10" t="str">
        <f>"9783110232202"</f>
        <v>9783110232202</v>
      </c>
      <c r="C2992" s="10" t="str">
        <f>"9783110232219"</f>
        <v>9783110232219</v>
      </c>
      <c r="D2992" s="10" t="s">
        <v>9995</v>
      </c>
      <c r="E2992" s="10" t="s">
        <v>2515</v>
      </c>
      <c r="F2992" s="10" t="s">
        <v>9997</v>
      </c>
      <c r="G2992" s="10" t="s">
        <v>9998</v>
      </c>
      <c r="H2992" s="11">
        <v>40710</v>
      </c>
      <c r="I2992" s="10">
        <v>2011</v>
      </c>
      <c r="J2992" s="10" t="s">
        <v>2515</v>
      </c>
      <c r="K2992" s="10">
        <v>344</v>
      </c>
      <c r="L2992" s="10" t="s">
        <v>19169</v>
      </c>
      <c r="M2992" s="10">
        <v>1</v>
      </c>
      <c r="N2992" s="10" t="s">
        <v>13033</v>
      </c>
      <c r="O2992" s="10">
        <v>148</v>
      </c>
      <c r="P2992" s="10" t="s">
        <v>19170</v>
      </c>
      <c r="Q2992" s="10"/>
      <c r="R2992" s="10" t="s">
        <v>19171</v>
      </c>
      <c r="S2992" s="10" t="s">
        <v>53</v>
      </c>
      <c r="T2992" s="10" t="s">
        <v>10302</v>
      </c>
    </row>
    <row r="2993" spans="1:20" ht="14.5" x14ac:dyDescent="0.35">
      <c r="A2993" s="10" t="s">
        <v>19172</v>
      </c>
      <c r="B2993" s="10" t="str">
        <f>"9780199782444"</f>
        <v>9780199782444</v>
      </c>
      <c r="C2993" s="10" t="str">
        <f>"9780199782680"</f>
        <v>9780199782680</v>
      </c>
      <c r="D2993" s="10" t="s">
        <v>9122</v>
      </c>
      <c r="E2993" s="10" t="s">
        <v>9133</v>
      </c>
      <c r="F2993" s="10" t="s">
        <v>748</v>
      </c>
      <c r="G2993" s="10" t="s">
        <v>6317</v>
      </c>
      <c r="H2993" s="11">
        <v>40767</v>
      </c>
      <c r="I2993" s="10">
        <v>2011</v>
      </c>
      <c r="J2993" s="10" t="s">
        <v>9133</v>
      </c>
      <c r="K2993" s="10">
        <v>261</v>
      </c>
      <c r="L2993" s="10" t="s">
        <v>19173</v>
      </c>
      <c r="M2993" s="10">
        <v>1</v>
      </c>
      <c r="N2993" s="10"/>
      <c r="O2993" s="10"/>
      <c r="P2993" s="10" t="s">
        <v>19174</v>
      </c>
      <c r="Q2993" s="10">
        <v>378.10109729999999</v>
      </c>
      <c r="R2993" s="10" t="s">
        <v>19175</v>
      </c>
      <c r="S2993" s="10" t="s">
        <v>53</v>
      </c>
      <c r="T2993" s="10" t="s">
        <v>54</v>
      </c>
    </row>
    <row r="2994" spans="1:20" ht="14.5" x14ac:dyDescent="0.35">
      <c r="A2994" s="10" t="s">
        <v>19176</v>
      </c>
      <c r="B2994" s="10" t="str">
        <f>"9780415615624"</f>
        <v>9780415615624</v>
      </c>
      <c r="C2994" s="10" t="str">
        <f>"9780203817391"</f>
        <v>9780203817391</v>
      </c>
      <c r="D2994" s="10" t="s">
        <v>6350</v>
      </c>
      <c r="E2994" s="10" t="s">
        <v>6351</v>
      </c>
      <c r="F2994" s="10" t="s">
        <v>748</v>
      </c>
      <c r="G2994" s="10" t="s">
        <v>6352</v>
      </c>
      <c r="H2994" s="11">
        <v>40778</v>
      </c>
      <c r="I2994" s="10">
        <v>2012</v>
      </c>
      <c r="J2994" s="10" t="s">
        <v>6351</v>
      </c>
      <c r="K2994" s="10">
        <v>129</v>
      </c>
      <c r="L2994" s="10" t="s">
        <v>16121</v>
      </c>
      <c r="M2994" s="10">
        <v>1</v>
      </c>
      <c r="N2994" s="10"/>
      <c r="O2994" s="10"/>
      <c r="P2994" s="10" t="s">
        <v>19177</v>
      </c>
      <c r="Q2994" s="10" t="s">
        <v>19178</v>
      </c>
      <c r="R2994" s="10" t="s">
        <v>19179</v>
      </c>
      <c r="S2994" s="10" t="s">
        <v>53</v>
      </c>
      <c r="T2994" s="10" t="s">
        <v>54</v>
      </c>
    </row>
    <row r="2995" spans="1:20" ht="14.5" x14ac:dyDescent="0.35">
      <c r="A2995" s="10" t="s">
        <v>19180</v>
      </c>
      <c r="B2995" s="10" t="str">
        <f>"9789027226549"</f>
        <v>9789027226549</v>
      </c>
      <c r="C2995" s="10" t="str">
        <f>"9789027286789"</f>
        <v>9789027286789</v>
      </c>
      <c r="D2995" s="10" t="s">
        <v>17335</v>
      </c>
      <c r="E2995" s="10" t="s">
        <v>17336</v>
      </c>
      <c r="F2995" s="10" t="s">
        <v>1818</v>
      </c>
      <c r="G2995" s="10" t="s">
        <v>9233</v>
      </c>
      <c r="H2995" s="11">
        <v>40770</v>
      </c>
      <c r="I2995" s="10">
        <v>2011</v>
      </c>
      <c r="J2995" s="10" t="s">
        <v>17336</v>
      </c>
      <c r="K2995" s="10">
        <v>184</v>
      </c>
      <c r="L2995" s="10" t="s">
        <v>19181</v>
      </c>
      <c r="M2995" s="10">
        <v>1</v>
      </c>
      <c r="N2995" s="10"/>
      <c r="O2995" s="10"/>
      <c r="P2995" s="10" t="s">
        <v>19182</v>
      </c>
      <c r="Q2995" s="10">
        <v>370.72</v>
      </c>
      <c r="R2995" s="10" t="s">
        <v>19183</v>
      </c>
      <c r="S2995" s="10" t="s">
        <v>53</v>
      </c>
      <c r="T2995" s="10" t="s">
        <v>54</v>
      </c>
    </row>
    <row r="2996" spans="1:20" ht="14.5" x14ac:dyDescent="0.35">
      <c r="A2996" s="10" t="s">
        <v>19184</v>
      </c>
      <c r="B2996" s="10" t="str">
        <f>"9789027217950"</f>
        <v>9789027217950</v>
      </c>
      <c r="C2996" s="10" t="str">
        <f>"9789027282996"</f>
        <v>9789027282996</v>
      </c>
      <c r="D2996" s="10" t="s">
        <v>17335</v>
      </c>
      <c r="E2996" s="10" t="s">
        <v>17336</v>
      </c>
      <c r="F2996" s="10" t="s">
        <v>1818</v>
      </c>
      <c r="G2996" s="10" t="s">
        <v>9233</v>
      </c>
      <c r="H2996" s="11">
        <v>35346</v>
      </c>
      <c r="I2996" s="10">
        <v>1996</v>
      </c>
      <c r="J2996" s="10" t="s">
        <v>17336</v>
      </c>
      <c r="K2996" s="10">
        <v>287</v>
      </c>
      <c r="L2996" s="10" t="s">
        <v>19185</v>
      </c>
      <c r="M2996" s="10">
        <v>1</v>
      </c>
      <c r="N2996" s="10" t="s">
        <v>17375</v>
      </c>
      <c r="O2996" s="10">
        <v>4</v>
      </c>
      <c r="P2996" s="10" t="s">
        <v>19186</v>
      </c>
      <c r="Q2996" s="10" t="s">
        <v>19187</v>
      </c>
      <c r="R2996" s="10" t="s">
        <v>19188</v>
      </c>
      <c r="S2996" s="10" t="s">
        <v>53</v>
      </c>
      <c r="T2996" s="10" t="s">
        <v>6472</v>
      </c>
    </row>
    <row r="2997" spans="1:20" ht="14.5" x14ac:dyDescent="0.35">
      <c r="A2997" s="10" t="s">
        <v>19189</v>
      </c>
      <c r="B2997" s="10" t="str">
        <f>"9781439905739"</f>
        <v>9781439905739</v>
      </c>
      <c r="C2997" s="10" t="str">
        <f>"9781439905753"</f>
        <v>9781439905753</v>
      </c>
      <c r="D2997" s="10" t="s">
        <v>11120</v>
      </c>
      <c r="E2997" s="10" t="s">
        <v>11120</v>
      </c>
      <c r="F2997" s="10" t="s">
        <v>319</v>
      </c>
      <c r="G2997" s="10" t="s">
        <v>6317</v>
      </c>
      <c r="H2997" s="11">
        <v>40774</v>
      </c>
      <c r="I2997" s="10">
        <v>2011</v>
      </c>
      <c r="J2997" s="10" t="s">
        <v>11120</v>
      </c>
      <c r="K2997" s="10">
        <v>214</v>
      </c>
      <c r="L2997" s="10" t="s">
        <v>19190</v>
      </c>
      <c r="M2997" s="10">
        <v>1</v>
      </c>
      <c r="N2997" s="10"/>
      <c r="O2997" s="10"/>
      <c r="P2997" s="10" t="s">
        <v>13176</v>
      </c>
      <c r="Q2997" s="10">
        <v>378.4</v>
      </c>
      <c r="R2997" s="10" t="s">
        <v>19191</v>
      </c>
      <c r="S2997" s="10" t="s">
        <v>53</v>
      </c>
      <c r="T2997" s="10" t="s">
        <v>54</v>
      </c>
    </row>
    <row r="2998" spans="1:20" ht="14.5" x14ac:dyDescent="0.35">
      <c r="A2998" s="10" t="s">
        <v>19192</v>
      </c>
      <c r="B2998" s="10" t="str">
        <f>"9789027250292"</f>
        <v>9789027250292</v>
      </c>
      <c r="C2998" s="10" t="str">
        <f>"9789027282934"</f>
        <v>9789027282934</v>
      </c>
      <c r="D2998" s="10" t="s">
        <v>17335</v>
      </c>
      <c r="E2998" s="10" t="s">
        <v>17336</v>
      </c>
      <c r="F2998" s="10" t="s">
        <v>1818</v>
      </c>
      <c r="G2998" s="10" t="s">
        <v>9233</v>
      </c>
      <c r="H2998" s="11">
        <v>33417</v>
      </c>
      <c r="I2998" s="10">
        <v>1991</v>
      </c>
      <c r="J2998" s="10" t="s">
        <v>17336</v>
      </c>
      <c r="K2998" s="10">
        <v>300</v>
      </c>
      <c r="L2998" s="10" t="s">
        <v>19193</v>
      </c>
      <c r="M2998" s="10">
        <v>1</v>
      </c>
      <c r="N2998" s="10" t="s">
        <v>18406</v>
      </c>
      <c r="O2998" s="10"/>
      <c r="P2998" s="10" t="s">
        <v>19194</v>
      </c>
      <c r="Q2998" s="10">
        <v>428.4</v>
      </c>
      <c r="R2998" s="10" t="s">
        <v>19195</v>
      </c>
      <c r="S2998" s="10" t="s">
        <v>53</v>
      </c>
      <c r="T2998" s="10" t="s">
        <v>6498</v>
      </c>
    </row>
    <row r="2999" spans="1:20" ht="14.5" x14ac:dyDescent="0.35">
      <c r="A2999" s="10" t="s">
        <v>19196</v>
      </c>
      <c r="B2999" s="10" t="str">
        <f>"9780691096193"</f>
        <v>9780691096193</v>
      </c>
      <c r="C2999" s="10" t="str">
        <f>"9781400840694"</f>
        <v>9781400840694</v>
      </c>
      <c r="D2999" s="10" t="s">
        <v>14335</v>
      </c>
      <c r="E2999" s="10" t="s">
        <v>14336</v>
      </c>
      <c r="F2999" s="10" t="s">
        <v>2246</v>
      </c>
      <c r="G2999" s="10" t="s">
        <v>6317</v>
      </c>
      <c r="H2999" s="11">
        <v>36877</v>
      </c>
      <c r="I2999" s="10">
        <v>2000</v>
      </c>
      <c r="J2999" s="10" t="s">
        <v>14336</v>
      </c>
      <c r="K2999" s="10">
        <v>408</v>
      </c>
      <c r="L2999" s="10" t="s">
        <v>19197</v>
      </c>
      <c r="M2999" s="10">
        <v>1</v>
      </c>
      <c r="N2999" s="10" t="s">
        <v>14345</v>
      </c>
      <c r="O2999" s="10">
        <v>35</v>
      </c>
      <c r="P2999" s="10" t="s">
        <v>19198</v>
      </c>
      <c r="Q2999" s="10"/>
      <c r="R2999" s="10"/>
      <c r="S2999" s="10" t="s">
        <v>53</v>
      </c>
      <c r="T2999" s="10" t="s">
        <v>7340</v>
      </c>
    </row>
    <row r="3000" spans="1:20" ht="14.5" x14ac:dyDescent="0.35">
      <c r="A3000" s="10" t="s">
        <v>19199</v>
      </c>
      <c r="B3000" s="10" t="str">
        <f>"9780313391538"</f>
        <v>9780313391538</v>
      </c>
      <c r="C3000" s="10" t="str">
        <f>"9780313391545"</f>
        <v>9780313391545</v>
      </c>
      <c r="D3000" s="10" t="s">
        <v>9777</v>
      </c>
      <c r="E3000" s="10" t="s">
        <v>9792</v>
      </c>
      <c r="F3000" s="10" t="s">
        <v>70</v>
      </c>
      <c r="G3000" s="10" t="s">
        <v>6317</v>
      </c>
      <c r="H3000" s="11">
        <v>40758</v>
      </c>
      <c r="I3000" s="10">
        <v>2011</v>
      </c>
      <c r="J3000" s="10" t="s">
        <v>9793</v>
      </c>
      <c r="K3000" s="10">
        <v>304</v>
      </c>
      <c r="L3000" s="10" t="s">
        <v>19200</v>
      </c>
      <c r="M3000" s="10">
        <v>1</v>
      </c>
      <c r="N3000" s="10"/>
      <c r="O3000" s="10"/>
      <c r="P3000" s="10" t="s">
        <v>19201</v>
      </c>
      <c r="Q3000" s="10" t="s">
        <v>10031</v>
      </c>
      <c r="R3000" s="10" t="s">
        <v>19202</v>
      </c>
      <c r="S3000" s="10" t="s">
        <v>53</v>
      </c>
      <c r="T3000" s="10" t="s">
        <v>54</v>
      </c>
    </row>
    <row r="3001" spans="1:20" ht="14.5" x14ac:dyDescent="0.35">
      <c r="A3001" s="10" t="s">
        <v>19203</v>
      </c>
      <c r="B3001" s="10" t="str">
        <f>"9780838910658"</f>
        <v>9780838910658</v>
      </c>
      <c r="C3001" s="10" t="str">
        <f>"9780838992128"</f>
        <v>9780838992128</v>
      </c>
      <c r="D3001" s="10" t="s">
        <v>15366</v>
      </c>
      <c r="E3001" s="10" t="s">
        <v>382</v>
      </c>
      <c r="F3001" s="10" t="s">
        <v>324</v>
      </c>
      <c r="G3001" s="10" t="s">
        <v>6317</v>
      </c>
      <c r="H3001" s="11">
        <v>40391</v>
      </c>
      <c r="I3001" s="10">
        <v>2011</v>
      </c>
      <c r="J3001" s="10" t="s">
        <v>382</v>
      </c>
      <c r="K3001" s="10">
        <v>170</v>
      </c>
      <c r="L3001" s="10" t="s">
        <v>19204</v>
      </c>
      <c r="M3001" s="10">
        <v>1</v>
      </c>
      <c r="N3001" s="10"/>
      <c r="O3001" s="10"/>
      <c r="P3001" s="10" t="s">
        <v>15368</v>
      </c>
      <c r="Q3001" s="10" t="s">
        <v>19205</v>
      </c>
      <c r="R3001" s="10" t="s">
        <v>19206</v>
      </c>
      <c r="S3001" s="10" t="s">
        <v>53</v>
      </c>
      <c r="T3001" s="10" t="s">
        <v>10302</v>
      </c>
    </row>
    <row r="3002" spans="1:20" ht="14.5" x14ac:dyDescent="0.35">
      <c r="A3002" s="10" t="s">
        <v>19207</v>
      </c>
      <c r="B3002" s="10" t="str">
        <f>"9781416612728"</f>
        <v>9781416612728</v>
      </c>
      <c r="C3002" s="10" t="str">
        <f>"9781416613886"</f>
        <v>9781416613886</v>
      </c>
      <c r="D3002" s="10" t="s">
        <v>10014</v>
      </c>
      <c r="E3002" s="10" t="s">
        <v>10015</v>
      </c>
      <c r="F3002" s="10" t="s">
        <v>201</v>
      </c>
      <c r="G3002" s="10" t="s">
        <v>6317</v>
      </c>
      <c r="H3002" s="11">
        <v>40754</v>
      </c>
      <c r="I3002" s="10">
        <v>2011</v>
      </c>
      <c r="J3002" s="10" t="s">
        <v>10015</v>
      </c>
      <c r="K3002" s="10">
        <v>235</v>
      </c>
      <c r="L3002" s="10" t="s">
        <v>19208</v>
      </c>
      <c r="M3002" s="10">
        <v>1</v>
      </c>
      <c r="N3002" s="10"/>
      <c r="O3002" s="10"/>
      <c r="P3002" s="10" t="s">
        <v>19209</v>
      </c>
      <c r="Q3002" s="10" t="s">
        <v>9797</v>
      </c>
      <c r="R3002" s="10" t="s">
        <v>19210</v>
      </c>
      <c r="S3002" s="10" t="s">
        <v>53</v>
      </c>
      <c r="T3002" s="10" t="s">
        <v>54</v>
      </c>
    </row>
    <row r="3003" spans="1:20" ht="14.5" x14ac:dyDescent="0.35">
      <c r="A3003" s="10" t="s">
        <v>19211</v>
      </c>
      <c r="B3003" s="10" t="str">
        <f>"9781416612940"</f>
        <v>9781416612940</v>
      </c>
      <c r="C3003" s="10" t="str">
        <f>"9781416613831"</f>
        <v>9781416613831</v>
      </c>
      <c r="D3003" s="10" t="s">
        <v>10014</v>
      </c>
      <c r="E3003" s="10" t="s">
        <v>10015</v>
      </c>
      <c r="F3003" s="10" t="s">
        <v>201</v>
      </c>
      <c r="G3003" s="10" t="s">
        <v>6317</v>
      </c>
      <c r="H3003" s="11">
        <v>40738</v>
      </c>
      <c r="I3003" s="10">
        <v>2011</v>
      </c>
      <c r="J3003" s="10" t="s">
        <v>10014</v>
      </c>
      <c r="K3003" s="10">
        <v>150</v>
      </c>
      <c r="L3003" s="10" t="s">
        <v>19212</v>
      </c>
      <c r="M3003" s="10">
        <v>1</v>
      </c>
      <c r="N3003" s="10"/>
      <c r="O3003" s="10"/>
      <c r="P3003" s="10" t="s">
        <v>19213</v>
      </c>
      <c r="Q3003" s="10">
        <v>371.1</v>
      </c>
      <c r="R3003" s="10" t="s">
        <v>19214</v>
      </c>
      <c r="S3003" s="10" t="s">
        <v>53</v>
      </c>
      <c r="T3003" s="10" t="s">
        <v>54</v>
      </c>
    </row>
    <row r="3004" spans="1:20" ht="14.5" x14ac:dyDescent="0.35">
      <c r="A3004" s="10" t="s">
        <v>19215</v>
      </c>
      <c r="B3004" s="10" t="str">
        <f>"9781416612049"</f>
        <v>9781416612049</v>
      </c>
      <c r="C3004" s="10" t="str">
        <f>"9781416613602"</f>
        <v>9781416613602</v>
      </c>
      <c r="D3004" s="10" t="s">
        <v>10014</v>
      </c>
      <c r="E3004" s="10" t="s">
        <v>10015</v>
      </c>
      <c r="F3004" s="10" t="s">
        <v>201</v>
      </c>
      <c r="G3004" s="10" t="s">
        <v>6317</v>
      </c>
      <c r="H3004" s="11">
        <v>40709</v>
      </c>
      <c r="I3004" s="10">
        <v>2011</v>
      </c>
      <c r="J3004" s="10" t="s">
        <v>10015</v>
      </c>
      <c r="K3004" s="10">
        <v>195</v>
      </c>
      <c r="L3004" s="10" t="s">
        <v>19216</v>
      </c>
      <c r="M3004" s="10">
        <v>1</v>
      </c>
      <c r="N3004" s="10"/>
      <c r="O3004" s="10"/>
      <c r="P3004" s="10" t="s">
        <v>19217</v>
      </c>
      <c r="Q3004" s="10">
        <v>371.10199999999998</v>
      </c>
      <c r="R3004" s="10" t="s">
        <v>19218</v>
      </c>
      <c r="S3004" s="10" t="s">
        <v>53</v>
      </c>
      <c r="T3004" s="10" t="s">
        <v>54</v>
      </c>
    </row>
    <row r="3005" spans="1:20" ht="14.5" x14ac:dyDescent="0.35">
      <c r="A3005" s="10" t="s">
        <v>19219</v>
      </c>
      <c r="B3005" s="10" t="str">
        <f>"9781416610847"</f>
        <v>9781416610847</v>
      </c>
      <c r="C3005" s="10" t="str">
        <f>"9781416611592"</f>
        <v>9781416611592</v>
      </c>
      <c r="D3005" s="10" t="s">
        <v>10014</v>
      </c>
      <c r="E3005" s="10" t="s">
        <v>10015</v>
      </c>
      <c r="F3005" s="10" t="s">
        <v>201</v>
      </c>
      <c r="G3005" s="10" t="s">
        <v>6317</v>
      </c>
      <c r="H3005" s="11">
        <v>40389</v>
      </c>
      <c r="I3005" s="10">
        <v>2010</v>
      </c>
      <c r="J3005" s="10" t="s">
        <v>10015</v>
      </c>
      <c r="K3005" s="10">
        <v>130</v>
      </c>
      <c r="L3005" s="10" t="s">
        <v>19220</v>
      </c>
      <c r="M3005" s="10">
        <v>1</v>
      </c>
      <c r="N3005" s="10"/>
      <c r="O3005" s="10"/>
      <c r="P3005" s="10" t="s">
        <v>19221</v>
      </c>
      <c r="Q3005" s="10"/>
      <c r="R3005" s="10" t="s">
        <v>19222</v>
      </c>
      <c r="S3005" s="10" t="s">
        <v>53</v>
      </c>
      <c r="T3005" s="10" t="s">
        <v>54</v>
      </c>
    </row>
    <row r="3006" spans="1:20" ht="14.5" x14ac:dyDescent="0.35">
      <c r="A3006" s="10" t="s">
        <v>19223</v>
      </c>
      <c r="B3006" s="10" t="str">
        <f>"9781416606253"</f>
        <v>9781416606253</v>
      </c>
      <c r="C3006" s="10" t="str">
        <f>"9781416607403"</f>
        <v>9781416607403</v>
      </c>
      <c r="D3006" s="10" t="s">
        <v>10014</v>
      </c>
      <c r="E3006" s="10" t="s">
        <v>10015</v>
      </c>
      <c r="F3006" s="10" t="s">
        <v>201</v>
      </c>
      <c r="G3006" s="10" t="s">
        <v>6317</v>
      </c>
      <c r="H3006" s="11">
        <v>39506</v>
      </c>
      <c r="I3006" s="10">
        <v>2008</v>
      </c>
      <c r="J3006" s="10" t="s">
        <v>10015</v>
      </c>
      <c r="K3006" s="10">
        <v>225</v>
      </c>
      <c r="L3006" s="10" t="s">
        <v>19224</v>
      </c>
      <c r="M3006" s="10">
        <v>1</v>
      </c>
      <c r="N3006" s="10"/>
      <c r="O3006" s="10"/>
      <c r="P3006" s="10" t="s">
        <v>19225</v>
      </c>
      <c r="Q3006" s="10">
        <v>371.20097299999998</v>
      </c>
      <c r="R3006" s="10" t="s">
        <v>19226</v>
      </c>
      <c r="S3006" s="10" t="s">
        <v>53</v>
      </c>
      <c r="T3006" s="10" t="s">
        <v>54</v>
      </c>
    </row>
    <row r="3007" spans="1:20" ht="14.5" x14ac:dyDescent="0.35">
      <c r="A3007" s="10" t="s">
        <v>19227</v>
      </c>
      <c r="B3007" s="10" t="str">
        <f>"9781416611776"</f>
        <v>9781416611776</v>
      </c>
      <c r="C3007" s="10" t="str">
        <f>"9781416613510"</f>
        <v>9781416613510</v>
      </c>
      <c r="D3007" s="10" t="s">
        <v>10014</v>
      </c>
      <c r="E3007" s="10" t="s">
        <v>10015</v>
      </c>
      <c r="F3007" s="10" t="s">
        <v>201</v>
      </c>
      <c r="G3007" s="10" t="s">
        <v>6317</v>
      </c>
      <c r="H3007" s="11">
        <v>40709</v>
      </c>
      <c r="I3007" s="10">
        <v>2011</v>
      </c>
      <c r="J3007" s="10" t="s">
        <v>10015</v>
      </c>
      <c r="K3007" s="10">
        <v>231</v>
      </c>
      <c r="L3007" s="10" t="s">
        <v>19228</v>
      </c>
      <c r="M3007" s="10">
        <v>2</v>
      </c>
      <c r="N3007" s="10"/>
      <c r="O3007" s="10"/>
      <c r="P3007" s="10" t="s">
        <v>19229</v>
      </c>
      <c r="Q3007" s="10">
        <v>371.3</v>
      </c>
      <c r="R3007" s="10" t="s">
        <v>19230</v>
      </c>
      <c r="S3007" s="10" t="s">
        <v>53</v>
      </c>
      <c r="T3007" s="10" t="s">
        <v>54</v>
      </c>
    </row>
    <row r="3008" spans="1:20" ht="14.5" x14ac:dyDescent="0.35">
      <c r="A3008" s="10" t="s">
        <v>19231</v>
      </c>
      <c r="B3008" s="10" t="str">
        <f>"9781416608370"</f>
        <v>9781416608370</v>
      </c>
      <c r="C3008" s="10" t="str">
        <f>"9781416609469"</f>
        <v>9781416609469</v>
      </c>
      <c r="D3008" s="10" t="s">
        <v>10014</v>
      </c>
      <c r="E3008" s="10" t="s">
        <v>10015</v>
      </c>
      <c r="F3008" s="10" t="s">
        <v>201</v>
      </c>
      <c r="G3008" s="10" t="s">
        <v>6317</v>
      </c>
      <c r="H3008" s="11">
        <v>39963</v>
      </c>
      <c r="I3008" s="10">
        <v>2009</v>
      </c>
      <c r="J3008" s="10" t="s">
        <v>10015</v>
      </c>
      <c r="K3008" s="10">
        <v>104</v>
      </c>
      <c r="L3008" s="10" t="s">
        <v>19232</v>
      </c>
      <c r="M3008" s="10">
        <v>1</v>
      </c>
      <c r="N3008" s="10"/>
      <c r="O3008" s="10"/>
      <c r="P3008" s="10" t="s">
        <v>19233</v>
      </c>
      <c r="Q3008" s="10"/>
      <c r="R3008" s="10" t="s">
        <v>19234</v>
      </c>
      <c r="S3008" s="10" t="s">
        <v>53</v>
      </c>
      <c r="T3008" s="10" t="s">
        <v>54</v>
      </c>
    </row>
    <row r="3009" spans="1:20" ht="14.5" x14ac:dyDescent="0.35">
      <c r="A3009" s="10" t="s">
        <v>19235</v>
      </c>
      <c r="B3009" s="10" t="str">
        <f>"9781416613312"</f>
        <v>9781416613312</v>
      </c>
      <c r="C3009" s="10" t="str">
        <f>"9781416613947"</f>
        <v>9781416613947</v>
      </c>
      <c r="D3009" s="10" t="s">
        <v>10014</v>
      </c>
      <c r="E3009" s="10" t="s">
        <v>10015</v>
      </c>
      <c r="F3009" s="10" t="s">
        <v>201</v>
      </c>
      <c r="G3009" s="10" t="s">
        <v>6317</v>
      </c>
      <c r="H3009" s="11">
        <v>40544</v>
      </c>
      <c r="I3009" s="10">
        <v>2011</v>
      </c>
      <c r="J3009" s="10" t="s">
        <v>10015</v>
      </c>
      <c r="K3009" s="10">
        <v>74</v>
      </c>
      <c r="L3009" s="10" t="s">
        <v>19236</v>
      </c>
      <c r="M3009" s="10">
        <v>1</v>
      </c>
      <c r="N3009" s="10"/>
      <c r="O3009" s="10"/>
      <c r="P3009" s="10" t="s">
        <v>19237</v>
      </c>
      <c r="Q3009" s="10">
        <v>379.73</v>
      </c>
      <c r="R3009" s="10" t="s">
        <v>19238</v>
      </c>
      <c r="S3009" s="10" t="s">
        <v>53</v>
      </c>
      <c r="T3009" s="10" t="s">
        <v>54</v>
      </c>
    </row>
    <row r="3010" spans="1:20" ht="14.5" x14ac:dyDescent="0.35">
      <c r="A3010" s="10" t="s">
        <v>19239</v>
      </c>
      <c r="B3010" s="10" t="str">
        <f>"9781416606673"</f>
        <v>9781416606673</v>
      </c>
      <c r="C3010" s="10" t="str">
        <f>"9781416607267"</f>
        <v>9781416607267</v>
      </c>
      <c r="D3010" s="10" t="s">
        <v>10014</v>
      </c>
      <c r="E3010" s="10" t="s">
        <v>10015</v>
      </c>
      <c r="F3010" s="10" t="s">
        <v>201</v>
      </c>
      <c r="G3010" s="10" t="s">
        <v>6317</v>
      </c>
      <c r="H3010" s="11">
        <v>39568</v>
      </c>
      <c r="I3010" s="10">
        <v>2008</v>
      </c>
      <c r="J3010" s="10" t="s">
        <v>10015</v>
      </c>
      <c r="K3010" s="10">
        <v>164</v>
      </c>
      <c r="L3010" s="10" t="s">
        <v>8278</v>
      </c>
      <c r="M3010" s="10">
        <v>1</v>
      </c>
      <c r="N3010" s="10"/>
      <c r="O3010" s="10"/>
      <c r="P3010" s="10" t="s">
        <v>19240</v>
      </c>
      <c r="Q3010" s="10" t="s">
        <v>17482</v>
      </c>
      <c r="R3010" s="10" t="s">
        <v>19241</v>
      </c>
      <c r="S3010" s="10" t="s">
        <v>53</v>
      </c>
      <c r="T3010" s="10" t="s">
        <v>54</v>
      </c>
    </row>
    <row r="3011" spans="1:20" ht="14.5" x14ac:dyDescent="0.35">
      <c r="A3011" s="10" t="s">
        <v>19242</v>
      </c>
      <c r="B3011" s="10" t="str">
        <f>"9780739134412"</f>
        <v>9780739134412</v>
      </c>
      <c r="C3011" s="10" t="str">
        <f>"9780739134436"</f>
        <v>9780739134436</v>
      </c>
      <c r="D3011" s="10" t="s">
        <v>9752</v>
      </c>
      <c r="E3011" s="10" t="s">
        <v>15182</v>
      </c>
      <c r="F3011" s="10" t="s">
        <v>9754</v>
      </c>
      <c r="G3011" s="10" t="s">
        <v>6317</v>
      </c>
      <c r="H3011" s="11">
        <v>40787</v>
      </c>
      <c r="I3011" s="10">
        <v>2011</v>
      </c>
      <c r="J3011" s="10" t="s">
        <v>15182</v>
      </c>
      <c r="K3011" s="10">
        <v>225</v>
      </c>
      <c r="L3011" s="10" t="s">
        <v>19243</v>
      </c>
      <c r="M3011" s="10">
        <v>1</v>
      </c>
      <c r="N3011" s="10" t="s">
        <v>17833</v>
      </c>
      <c r="O3011" s="10"/>
      <c r="P3011" s="10" t="s">
        <v>19244</v>
      </c>
      <c r="Q3011" s="10">
        <v>378.51</v>
      </c>
      <c r="R3011" s="10" t="s">
        <v>19245</v>
      </c>
      <c r="S3011" s="10" t="s">
        <v>53</v>
      </c>
      <c r="T3011" s="10" t="s">
        <v>54</v>
      </c>
    </row>
    <row r="3012" spans="1:20" ht="14.5" x14ac:dyDescent="0.35">
      <c r="A3012" s="10" t="s">
        <v>19246</v>
      </c>
      <c r="B3012" s="10" t="str">
        <f>"9781441132161"</f>
        <v>9781441132161</v>
      </c>
      <c r="C3012" s="10" t="str">
        <f>"9781441189752"</f>
        <v>9781441189752</v>
      </c>
      <c r="D3012" s="10" t="s">
        <v>13959</v>
      </c>
      <c r="E3012" s="10" t="s">
        <v>13960</v>
      </c>
      <c r="F3012" s="10" t="s">
        <v>139</v>
      </c>
      <c r="G3012" s="10" t="s">
        <v>6352</v>
      </c>
      <c r="H3012" s="11">
        <v>40479</v>
      </c>
      <c r="I3012" s="10">
        <v>2010</v>
      </c>
      <c r="J3012" s="10" t="s">
        <v>13961</v>
      </c>
      <c r="K3012" s="10">
        <v>177</v>
      </c>
      <c r="L3012" s="10" t="s">
        <v>19247</v>
      </c>
      <c r="M3012" s="10">
        <v>1</v>
      </c>
      <c r="N3012" s="10"/>
      <c r="O3012" s="10"/>
      <c r="P3012" s="10" t="s">
        <v>19248</v>
      </c>
      <c r="Q3012" s="10">
        <v>370.1</v>
      </c>
      <c r="R3012" s="10" t="s">
        <v>19249</v>
      </c>
      <c r="S3012" s="10" t="s">
        <v>53</v>
      </c>
      <c r="T3012" s="10" t="s">
        <v>54</v>
      </c>
    </row>
    <row r="3013" spans="1:20" ht="14.5" x14ac:dyDescent="0.35">
      <c r="A3013" s="10" t="s">
        <v>19250</v>
      </c>
      <c r="B3013" s="10" t="str">
        <f>"9781841900551"</f>
        <v>9781841900551</v>
      </c>
      <c r="C3013" s="10" t="str">
        <f>"9781441179968"</f>
        <v>9781441179968</v>
      </c>
      <c r="D3013" s="10" t="s">
        <v>13959</v>
      </c>
      <c r="E3013" s="10" t="s">
        <v>13960</v>
      </c>
      <c r="F3013" s="10" t="s">
        <v>139</v>
      </c>
      <c r="G3013" s="10" t="s">
        <v>6352</v>
      </c>
      <c r="H3013" s="11">
        <v>37347</v>
      </c>
      <c r="I3013" s="10">
        <v>2003</v>
      </c>
      <c r="J3013" s="10" t="s">
        <v>13961</v>
      </c>
      <c r="K3013" s="10">
        <v>79</v>
      </c>
      <c r="L3013" s="10" t="s">
        <v>19251</v>
      </c>
      <c r="M3013" s="10">
        <v>1</v>
      </c>
      <c r="N3013" s="10" t="s">
        <v>19252</v>
      </c>
      <c r="O3013" s="10"/>
      <c r="P3013" s="10" t="s">
        <v>19253</v>
      </c>
      <c r="Q3013" s="10">
        <v>371.94</v>
      </c>
      <c r="R3013" s="10" t="s">
        <v>19254</v>
      </c>
      <c r="S3013" s="10" t="s">
        <v>53</v>
      </c>
      <c r="T3013" s="10" t="s">
        <v>54</v>
      </c>
    </row>
    <row r="3014" spans="1:20" ht="14.5" x14ac:dyDescent="0.35">
      <c r="A3014" s="10" t="s">
        <v>19255</v>
      </c>
      <c r="B3014" s="10" t="str">
        <f>"9781898149705"</f>
        <v>9781898149705</v>
      </c>
      <c r="C3014" s="10" t="str">
        <f>"9781441110336"</f>
        <v>9781441110336</v>
      </c>
      <c r="D3014" s="10" t="s">
        <v>13959</v>
      </c>
      <c r="E3014" s="10" t="s">
        <v>13960</v>
      </c>
      <c r="F3014" s="10" t="s">
        <v>139</v>
      </c>
      <c r="G3014" s="10" t="s">
        <v>6352</v>
      </c>
      <c r="H3014" s="11">
        <v>38869</v>
      </c>
      <c r="I3014" s="10">
        <v>1996</v>
      </c>
      <c r="J3014" s="10" t="s">
        <v>13961</v>
      </c>
      <c r="K3014" s="10">
        <v>73</v>
      </c>
      <c r="L3014" s="10" t="s">
        <v>19256</v>
      </c>
      <c r="M3014" s="10">
        <v>1</v>
      </c>
      <c r="N3014" s="10"/>
      <c r="O3014" s="10"/>
      <c r="P3014" s="10" t="s">
        <v>19257</v>
      </c>
      <c r="Q3014" s="10">
        <v>510.3</v>
      </c>
      <c r="R3014" s="10" t="s">
        <v>19258</v>
      </c>
      <c r="S3014" s="10" t="s">
        <v>53</v>
      </c>
      <c r="T3014" s="10" t="s">
        <v>389</v>
      </c>
    </row>
    <row r="3015" spans="1:20" ht="14.5" x14ac:dyDescent="0.35">
      <c r="A3015" s="10" t="s">
        <v>19259</v>
      </c>
      <c r="B3015" s="10" t="str">
        <f>"9780826488466"</f>
        <v>9780826488466</v>
      </c>
      <c r="C3015" s="10" t="str">
        <f>"9781441147714"</f>
        <v>9781441147714</v>
      </c>
      <c r="D3015" s="10" t="s">
        <v>13959</v>
      </c>
      <c r="E3015" s="10" t="s">
        <v>13960</v>
      </c>
      <c r="F3015" s="10" t="s">
        <v>139</v>
      </c>
      <c r="G3015" s="10" t="s">
        <v>6352</v>
      </c>
      <c r="H3015" s="11">
        <v>39097</v>
      </c>
      <c r="I3015" s="10">
        <v>2006</v>
      </c>
      <c r="J3015" s="10" t="s">
        <v>13961</v>
      </c>
      <c r="K3015" s="10">
        <v>181</v>
      </c>
      <c r="L3015" s="10" t="s">
        <v>19260</v>
      </c>
      <c r="M3015" s="10">
        <v>1</v>
      </c>
      <c r="N3015" s="10" t="s">
        <v>19261</v>
      </c>
      <c r="O3015" s="10"/>
      <c r="P3015" s="10" t="s">
        <v>19262</v>
      </c>
      <c r="Q3015" s="10">
        <v>378.1040941</v>
      </c>
      <c r="R3015" s="10" t="s">
        <v>19263</v>
      </c>
      <c r="S3015" s="10" t="s">
        <v>53</v>
      </c>
      <c r="T3015" s="10" t="s">
        <v>54</v>
      </c>
    </row>
    <row r="3016" spans="1:20" ht="14.5" x14ac:dyDescent="0.35">
      <c r="A3016" s="10" t="s">
        <v>19264</v>
      </c>
      <c r="B3016" s="10" t="str">
        <f>"9780826488763"</f>
        <v>9780826488763</v>
      </c>
      <c r="C3016" s="10" t="str">
        <f>"9781441167224"</f>
        <v>9781441167224</v>
      </c>
      <c r="D3016" s="10" t="s">
        <v>13959</v>
      </c>
      <c r="E3016" s="10" t="s">
        <v>13960</v>
      </c>
      <c r="F3016" s="10" t="s">
        <v>139</v>
      </c>
      <c r="G3016" s="10" t="s">
        <v>6352</v>
      </c>
      <c r="H3016" s="11">
        <v>39558</v>
      </c>
      <c r="I3016" s="10">
        <v>2008</v>
      </c>
      <c r="J3016" s="10" t="s">
        <v>13961</v>
      </c>
      <c r="K3016" s="10">
        <v>233</v>
      </c>
      <c r="L3016" s="10" t="s">
        <v>19265</v>
      </c>
      <c r="M3016" s="10">
        <v>1</v>
      </c>
      <c r="N3016" s="10"/>
      <c r="O3016" s="10"/>
      <c r="P3016" s="10" t="s">
        <v>19266</v>
      </c>
      <c r="Q3016" s="10">
        <v>428.0071251</v>
      </c>
      <c r="R3016" s="10" t="s">
        <v>19267</v>
      </c>
      <c r="S3016" s="10" t="s">
        <v>53</v>
      </c>
      <c r="T3016" s="10" t="s">
        <v>6616</v>
      </c>
    </row>
    <row r="3017" spans="1:20" ht="14.5" x14ac:dyDescent="0.35">
      <c r="A3017" s="10" t="s">
        <v>19268</v>
      </c>
      <c r="B3017" s="10" t="str">
        <f>"9780826490254"</f>
        <v>9780826490254</v>
      </c>
      <c r="C3017" s="10" t="str">
        <f>"9781441153203"</f>
        <v>9781441153203</v>
      </c>
      <c r="D3017" s="10" t="s">
        <v>13959</v>
      </c>
      <c r="E3017" s="10" t="s">
        <v>13960</v>
      </c>
      <c r="F3017" s="10" t="s">
        <v>139</v>
      </c>
      <c r="G3017" s="10" t="s">
        <v>6352</v>
      </c>
      <c r="H3017" s="11">
        <v>39128</v>
      </c>
      <c r="I3017" s="10">
        <v>2006</v>
      </c>
      <c r="J3017" s="10" t="s">
        <v>13961</v>
      </c>
      <c r="K3017" s="10">
        <v>270</v>
      </c>
      <c r="L3017" s="10" t="s">
        <v>19269</v>
      </c>
      <c r="M3017" s="10">
        <v>1</v>
      </c>
      <c r="N3017" s="10" t="s">
        <v>19261</v>
      </c>
      <c r="O3017" s="10"/>
      <c r="P3017" s="10" t="s">
        <v>19270</v>
      </c>
      <c r="Q3017" s="10">
        <v>374.07119999999998</v>
      </c>
      <c r="R3017" s="10" t="s">
        <v>19271</v>
      </c>
      <c r="S3017" s="10" t="s">
        <v>53</v>
      </c>
      <c r="T3017" s="10" t="s">
        <v>54</v>
      </c>
    </row>
    <row r="3018" spans="1:20" ht="14.5" x14ac:dyDescent="0.35">
      <c r="A3018" s="10" t="s">
        <v>19272</v>
      </c>
      <c r="B3018" s="10" t="str">
        <f>"9780826461292"</f>
        <v>9780826461292</v>
      </c>
      <c r="C3018" s="10" t="str">
        <f>"9781441184238"</f>
        <v>9781441184238</v>
      </c>
      <c r="D3018" s="10" t="s">
        <v>13959</v>
      </c>
      <c r="E3018" s="10" t="s">
        <v>13960</v>
      </c>
      <c r="F3018" s="10" t="s">
        <v>139</v>
      </c>
      <c r="G3018" s="10" t="s">
        <v>6352</v>
      </c>
      <c r="H3018" s="11">
        <v>38040</v>
      </c>
      <c r="I3018" s="10">
        <v>2003</v>
      </c>
      <c r="J3018" s="10" t="s">
        <v>13961</v>
      </c>
      <c r="K3018" s="10">
        <v>232</v>
      </c>
      <c r="L3018" s="10" t="s">
        <v>19273</v>
      </c>
      <c r="M3018" s="10">
        <v>2</v>
      </c>
      <c r="N3018" s="10"/>
      <c r="O3018" s="10"/>
      <c r="P3018" s="10" t="s">
        <v>19274</v>
      </c>
      <c r="Q3018" s="10" t="s">
        <v>19275</v>
      </c>
      <c r="R3018" s="10" t="s">
        <v>19276</v>
      </c>
      <c r="S3018" s="10" t="s">
        <v>53</v>
      </c>
      <c r="T3018" s="10" t="s">
        <v>54</v>
      </c>
    </row>
    <row r="3019" spans="1:20" ht="14.5" x14ac:dyDescent="0.35">
      <c r="A3019" s="10" t="s">
        <v>19277</v>
      </c>
      <c r="B3019" s="10" t="str">
        <f>"9780485115246"</f>
        <v>9780485115246</v>
      </c>
      <c r="C3019" s="10" t="str">
        <f>"9780567137142"</f>
        <v>9780567137142</v>
      </c>
      <c r="D3019" s="10" t="s">
        <v>13959</v>
      </c>
      <c r="E3019" s="10" t="s">
        <v>13960</v>
      </c>
      <c r="F3019" s="10" t="s">
        <v>139</v>
      </c>
      <c r="G3019" s="10" t="s">
        <v>6352</v>
      </c>
      <c r="H3019" s="11">
        <v>37257</v>
      </c>
      <c r="I3019" s="10">
        <v>2000</v>
      </c>
      <c r="J3019" s="10" t="s">
        <v>19278</v>
      </c>
      <c r="K3019" s="10">
        <v>337</v>
      </c>
      <c r="L3019" s="10" t="s">
        <v>19279</v>
      </c>
      <c r="M3019" s="10">
        <v>1</v>
      </c>
      <c r="N3019" s="10"/>
      <c r="O3019" s="10"/>
      <c r="P3019" s="10" t="s">
        <v>19280</v>
      </c>
      <c r="Q3019" s="10" t="s">
        <v>19281</v>
      </c>
      <c r="R3019" s="10" t="s">
        <v>19282</v>
      </c>
      <c r="S3019" s="10" t="s">
        <v>53</v>
      </c>
      <c r="T3019" s="10" t="s">
        <v>54</v>
      </c>
    </row>
    <row r="3020" spans="1:20" ht="14.5" x14ac:dyDescent="0.35">
      <c r="A3020" s="10" t="s">
        <v>19283</v>
      </c>
      <c r="B3020" s="10" t="str">
        <f>"9780826478375"</f>
        <v>9780826478375</v>
      </c>
      <c r="C3020" s="10" t="str">
        <f>"9780826451514"</f>
        <v>9780826451514</v>
      </c>
      <c r="D3020" s="10" t="s">
        <v>13959</v>
      </c>
      <c r="E3020" s="10" t="s">
        <v>13960</v>
      </c>
      <c r="F3020" s="10" t="s">
        <v>139</v>
      </c>
      <c r="G3020" s="10" t="s">
        <v>6352</v>
      </c>
      <c r="H3020" s="11">
        <v>38460</v>
      </c>
      <c r="I3020" s="10">
        <v>2005</v>
      </c>
      <c r="J3020" s="10" t="s">
        <v>13961</v>
      </c>
      <c r="K3020" s="10">
        <v>113</v>
      </c>
      <c r="L3020" s="10" t="s">
        <v>19284</v>
      </c>
      <c r="M3020" s="10">
        <v>1</v>
      </c>
      <c r="N3020" s="10" t="s">
        <v>14063</v>
      </c>
      <c r="O3020" s="10"/>
      <c r="P3020" s="10" t="s">
        <v>19285</v>
      </c>
      <c r="Q3020" s="10">
        <v>371.950941</v>
      </c>
      <c r="R3020" s="10" t="s">
        <v>19286</v>
      </c>
      <c r="S3020" s="10" t="s">
        <v>53</v>
      </c>
      <c r="T3020" s="10" t="s">
        <v>54</v>
      </c>
    </row>
    <row r="3021" spans="1:20" ht="14.5" x14ac:dyDescent="0.35">
      <c r="A3021" s="10" t="s">
        <v>19287</v>
      </c>
      <c r="B3021" s="10" t="str">
        <f>"9780826497833"</f>
        <v>9780826497833</v>
      </c>
      <c r="C3021" s="10" t="str">
        <f>"9781441153470"</f>
        <v>9781441153470</v>
      </c>
      <c r="D3021" s="10" t="s">
        <v>13959</v>
      </c>
      <c r="E3021" s="10" t="s">
        <v>13960</v>
      </c>
      <c r="F3021" s="10" t="s">
        <v>139</v>
      </c>
      <c r="G3021" s="10" t="s">
        <v>6352</v>
      </c>
      <c r="H3021" s="11">
        <v>39578</v>
      </c>
      <c r="I3021" s="10">
        <v>2008</v>
      </c>
      <c r="J3021" s="10" t="s">
        <v>13961</v>
      </c>
      <c r="K3021" s="10">
        <v>190</v>
      </c>
      <c r="L3021" s="10" t="s">
        <v>19288</v>
      </c>
      <c r="M3021" s="10">
        <v>1</v>
      </c>
      <c r="N3021" s="10"/>
      <c r="O3021" s="10"/>
      <c r="P3021" s="10" t="s">
        <v>19289</v>
      </c>
      <c r="Q3021" s="10">
        <v>378.01600000000002</v>
      </c>
      <c r="R3021" s="10" t="s">
        <v>19290</v>
      </c>
      <c r="S3021" s="10" t="s">
        <v>53</v>
      </c>
      <c r="T3021" s="10" t="s">
        <v>54</v>
      </c>
    </row>
    <row r="3022" spans="1:20" ht="14.5" x14ac:dyDescent="0.35">
      <c r="A3022" s="10" t="s">
        <v>19291</v>
      </c>
      <c r="B3022" s="10" t="str">
        <f>"9780826484635"</f>
        <v>9780826484635</v>
      </c>
      <c r="C3022" s="10" t="str">
        <f>"9781441128966"</f>
        <v>9781441128966</v>
      </c>
      <c r="D3022" s="10" t="s">
        <v>13959</v>
      </c>
      <c r="E3022" s="10" t="s">
        <v>13960</v>
      </c>
      <c r="F3022" s="10" t="s">
        <v>139</v>
      </c>
      <c r="G3022" s="10" t="s">
        <v>6352</v>
      </c>
      <c r="H3022" s="11">
        <v>38847</v>
      </c>
      <c r="I3022" s="10">
        <v>2006</v>
      </c>
      <c r="J3022" s="10" t="s">
        <v>13961</v>
      </c>
      <c r="K3022" s="10">
        <v>176</v>
      </c>
      <c r="L3022" s="10" t="s">
        <v>19292</v>
      </c>
      <c r="M3022" s="10">
        <v>1</v>
      </c>
      <c r="N3022" s="10"/>
      <c r="O3022" s="10"/>
      <c r="P3022" s="10" t="s">
        <v>19293</v>
      </c>
      <c r="Q3022" s="10">
        <v>372.12599999999998</v>
      </c>
      <c r="R3022" s="10" t="s">
        <v>19294</v>
      </c>
      <c r="S3022" s="10" t="s">
        <v>53</v>
      </c>
      <c r="T3022" s="10" t="s">
        <v>54</v>
      </c>
    </row>
    <row r="3023" spans="1:20" ht="14.5" x14ac:dyDescent="0.35">
      <c r="A3023" s="10" t="s">
        <v>19295</v>
      </c>
      <c r="B3023" s="10" t="str">
        <f>"9781441180476"</f>
        <v>9781441180476</v>
      </c>
      <c r="C3023" s="10" t="str">
        <f>"9781441172556"</f>
        <v>9781441172556</v>
      </c>
      <c r="D3023" s="10" t="s">
        <v>13959</v>
      </c>
      <c r="E3023" s="10" t="s">
        <v>13960</v>
      </c>
      <c r="F3023" s="10" t="s">
        <v>139</v>
      </c>
      <c r="G3023" s="10" t="s">
        <v>6352</v>
      </c>
      <c r="H3023" s="11">
        <v>40198</v>
      </c>
      <c r="I3023" s="10">
        <v>2010</v>
      </c>
      <c r="J3023" s="10" t="s">
        <v>13961</v>
      </c>
      <c r="K3023" s="10">
        <v>145</v>
      </c>
      <c r="L3023" s="10" t="s">
        <v>19296</v>
      </c>
      <c r="M3023" s="10">
        <v>1</v>
      </c>
      <c r="N3023" s="10"/>
      <c r="O3023" s="10"/>
      <c r="P3023" s="10" t="s">
        <v>19297</v>
      </c>
      <c r="Q3023" s="10">
        <v>373.12599999999998</v>
      </c>
      <c r="R3023" s="10" t="s">
        <v>19298</v>
      </c>
      <c r="S3023" s="10" t="s">
        <v>53</v>
      </c>
      <c r="T3023" s="10" t="s">
        <v>54</v>
      </c>
    </row>
    <row r="3024" spans="1:20" ht="14.5" x14ac:dyDescent="0.35">
      <c r="A3024" s="10" t="s">
        <v>19299</v>
      </c>
      <c r="B3024" s="10" t="str">
        <f>"9781855391987"</f>
        <v>9781855391987</v>
      </c>
      <c r="C3024" s="10" t="str">
        <f>"9781855395466"</f>
        <v>9781855395466</v>
      </c>
      <c r="D3024" s="10" t="s">
        <v>13959</v>
      </c>
      <c r="E3024" s="10" t="s">
        <v>13960</v>
      </c>
      <c r="F3024" s="10" t="s">
        <v>139</v>
      </c>
      <c r="G3024" s="10" t="s">
        <v>6352</v>
      </c>
      <c r="H3024" s="11">
        <v>38626</v>
      </c>
      <c r="I3024" s="10">
        <v>2005</v>
      </c>
      <c r="J3024" s="10" t="s">
        <v>14120</v>
      </c>
      <c r="K3024" s="10">
        <v>193</v>
      </c>
      <c r="L3024" s="10" t="s">
        <v>19300</v>
      </c>
      <c r="M3024" s="10">
        <v>1</v>
      </c>
      <c r="N3024" s="10"/>
      <c r="O3024" s="10"/>
      <c r="P3024" s="10" t="s">
        <v>19301</v>
      </c>
      <c r="Q3024" s="10">
        <v>373.01139999999998</v>
      </c>
      <c r="R3024" s="10" t="s">
        <v>19302</v>
      </c>
      <c r="S3024" s="10" t="s">
        <v>53</v>
      </c>
      <c r="T3024" s="10" t="s">
        <v>54</v>
      </c>
    </row>
    <row r="3025" spans="1:20" ht="14.5" x14ac:dyDescent="0.35">
      <c r="A3025" s="10" t="s">
        <v>19303</v>
      </c>
      <c r="B3025" s="10" t="str">
        <f>"9781841900094"</f>
        <v>9781841900094</v>
      </c>
      <c r="C3025" s="10" t="str">
        <f>"9781441191649"</f>
        <v>9781441191649</v>
      </c>
      <c r="D3025" s="10" t="s">
        <v>13959</v>
      </c>
      <c r="E3025" s="10" t="s">
        <v>13960</v>
      </c>
      <c r="F3025" s="10" t="s">
        <v>139</v>
      </c>
      <c r="G3025" s="10" t="s">
        <v>6352</v>
      </c>
      <c r="H3025" s="11">
        <v>36557</v>
      </c>
      <c r="I3025" s="10">
        <v>1999</v>
      </c>
      <c r="J3025" s="10" t="s">
        <v>13961</v>
      </c>
      <c r="K3025" s="10">
        <v>142</v>
      </c>
      <c r="L3025" s="10" t="s">
        <v>19304</v>
      </c>
      <c r="M3025" s="10">
        <v>1</v>
      </c>
      <c r="N3025" s="10"/>
      <c r="O3025" s="10"/>
      <c r="P3025" s="10" t="s">
        <v>19305</v>
      </c>
      <c r="Q3025" s="10" t="s">
        <v>19306</v>
      </c>
      <c r="R3025" s="10" t="s">
        <v>19307</v>
      </c>
      <c r="S3025" s="10" t="s">
        <v>53</v>
      </c>
      <c r="T3025" s="10" t="s">
        <v>6448</v>
      </c>
    </row>
    <row r="3026" spans="1:20" ht="14.5" x14ac:dyDescent="0.35">
      <c r="A3026" s="10" t="s">
        <v>19308</v>
      </c>
      <c r="B3026" s="10" t="str">
        <f>"9781441166425"</f>
        <v>9781441166425</v>
      </c>
      <c r="C3026" s="10" t="str">
        <f>"9781441149046"</f>
        <v>9781441149046</v>
      </c>
      <c r="D3026" s="10" t="s">
        <v>13959</v>
      </c>
      <c r="E3026" s="10" t="s">
        <v>13960</v>
      </c>
      <c r="F3026" s="10" t="s">
        <v>139</v>
      </c>
      <c r="G3026" s="10" t="s">
        <v>6352</v>
      </c>
      <c r="H3026" s="11">
        <v>40047</v>
      </c>
      <c r="I3026" s="10">
        <v>2007</v>
      </c>
      <c r="J3026" s="10" t="s">
        <v>13961</v>
      </c>
      <c r="K3026" s="10">
        <v>237</v>
      </c>
      <c r="L3026" s="10" t="s">
        <v>19309</v>
      </c>
      <c r="M3026" s="10">
        <v>1</v>
      </c>
      <c r="N3026" s="10" t="s">
        <v>19310</v>
      </c>
      <c r="O3026" s="10"/>
      <c r="P3026" s="10" t="s">
        <v>19311</v>
      </c>
      <c r="Q3026" s="10">
        <v>379.41</v>
      </c>
      <c r="R3026" s="10" t="s">
        <v>19312</v>
      </c>
      <c r="S3026" s="10" t="s">
        <v>53</v>
      </c>
      <c r="T3026" s="10" t="s">
        <v>54</v>
      </c>
    </row>
    <row r="3027" spans="1:20" ht="14.5" x14ac:dyDescent="0.35">
      <c r="A3027" s="10" t="s">
        <v>19313</v>
      </c>
      <c r="B3027" s="10" t="str">
        <f>"9781855390942"</f>
        <v>9781855390942</v>
      </c>
      <c r="C3027" s="10" t="str">
        <f>"9781855396968"</f>
        <v>9781855396968</v>
      </c>
      <c r="D3027" s="10" t="s">
        <v>13959</v>
      </c>
      <c r="E3027" s="10" t="s">
        <v>13960</v>
      </c>
      <c r="F3027" s="10" t="s">
        <v>139</v>
      </c>
      <c r="G3027" s="10" t="s">
        <v>6352</v>
      </c>
      <c r="H3027" s="11">
        <v>38145</v>
      </c>
      <c r="I3027" s="10">
        <v>2004</v>
      </c>
      <c r="J3027" s="10" t="s">
        <v>14120</v>
      </c>
      <c r="K3027" s="10">
        <v>251</v>
      </c>
      <c r="L3027" s="10" t="s">
        <v>19314</v>
      </c>
      <c r="M3027" s="10">
        <v>2</v>
      </c>
      <c r="N3027" s="10"/>
      <c r="O3027" s="10"/>
      <c r="P3027" s="10" t="s">
        <v>19315</v>
      </c>
      <c r="Q3027" s="10">
        <v>372.66</v>
      </c>
      <c r="R3027" s="10" t="s">
        <v>19316</v>
      </c>
      <c r="S3027" s="10" t="s">
        <v>53</v>
      </c>
      <c r="T3027" s="10" t="s">
        <v>6815</v>
      </c>
    </row>
    <row r="3028" spans="1:20" ht="14.5" x14ac:dyDescent="0.35">
      <c r="A3028" s="10" t="s">
        <v>19317</v>
      </c>
      <c r="B3028" s="10" t="str">
        <f>"9781441153593"</f>
        <v>9781441153593</v>
      </c>
      <c r="C3028" s="10" t="str">
        <f>"9781441102416"</f>
        <v>9781441102416</v>
      </c>
      <c r="D3028" s="10" t="s">
        <v>13959</v>
      </c>
      <c r="E3028" s="10" t="s">
        <v>13960</v>
      </c>
      <c r="F3028" s="10" t="s">
        <v>139</v>
      </c>
      <c r="G3028" s="10" t="s">
        <v>6352</v>
      </c>
      <c r="H3028" s="11">
        <v>40794</v>
      </c>
      <c r="I3028" s="10">
        <v>2011</v>
      </c>
      <c r="J3028" s="10" t="s">
        <v>13961</v>
      </c>
      <c r="K3028" s="10">
        <v>88</v>
      </c>
      <c r="L3028" s="10" t="s">
        <v>19318</v>
      </c>
      <c r="M3028" s="10">
        <v>1</v>
      </c>
      <c r="N3028" s="10" t="s">
        <v>19252</v>
      </c>
      <c r="O3028" s="10"/>
      <c r="P3028" s="10" t="s">
        <v>19319</v>
      </c>
      <c r="Q3028" s="10" t="s">
        <v>9875</v>
      </c>
      <c r="R3028" s="10" t="s">
        <v>19320</v>
      </c>
      <c r="S3028" s="10" t="s">
        <v>53</v>
      </c>
      <c r="T3028" s="10" t="s">
        <v>6526</v>
      </c>
    </row>
    <row r="3029" spans="1:20" ht="14.5" x14ac:dyDescent="0.35">
      <c r="A3029" s="10" t="s">
        <v>19321</v>
      </c>
      <c r="B3029" s="10" t="str">
        <f>"9780826463234"</f>
        <v>9780826463234</v>
      </c>
      <c r="C3029" s="10" t="str">
        <f>"9781441181565"</f>
        <v>9781441181565</v>
      </c>
      <c r="D3029" s="10" t="s">
        <v>13959</v>
      </c>
      <c r="E3029" s="10" t="s">
        <v>13960</v>
      </c>
      <c r="F3029" s="10" t="s">
        <v>139</v>
      </c>
      <c r="G3029" s="10" t="s">
        <v>6352</v>
      </c>
      <c r="H3029" s="11">
        <v>37607</v>
      </c>
      <c r="I3029" s="10">
        <v>2002</v>
      </c>
      <c r="J3029" s="10" t="s">
        <v>13961</v>
      </c>
      <c r="K3029" s="10">
        <v>155</v>
      </c>
      <c r="L3029" s="10" t="s">
        <v>19322</v>
      </c>
      <c r="M3029" s="10">
        <v>1</v>
      </c>
      <c r="N3029" s="10"/>
      <c r="O3029" s="10"/>
      <c r="P3029" s="10" t="s">
        <v>19323</v>
      </c>
      <c r="Q3029" s="10">
        <v>370.3</v>
      </c>
      <c r="R3029" s="10" t="s">
        <v>19324</v>
      </c>
      <c r="S3029" s="10" t="s">
        <v>53</v>
      </c>
      <c r="T3029" s="10" t="s">
        <v>10454</v>
      </c>
    </row>
    <row r="3030" spans="1:20" ht="14.5" x14ac:dyDescent="0.35">
      <c r="A3030" s="10" t="s">
        <v>19325</v>
      </c>
      <c r="B3030" s="10" t="str">
        <f>"9780826490810"</f>
        <v>9780826490810</v>
      </c>
      <c r="C3030" s="10" t="str">
        <f>"9781441178039"</f>
        <v>9781441178039</v>
      </c>
      <c r="D3030" s="10" t="s">
        <v>13959</v>
      </c>
      <c r="E3030" s="10" t="s">
        <v>13960</v>
      </c>
      <c r="F3030" s="10" t="s">
        <v>139</v>
      </c>
      <c r="G3030" s="10" t="s">
        <v>6352</v>
      </c>
      <c r="H3030" s="11">
        <v>39074</v>
      </c>
      <c r="I3030" s="10">
        <v>2006</v>
      </c>
      <c r="J3030" s="10" t="s">
        <v>13961</v>
      </c>
      <c r="K3030" s="10">
        <v>143</v>
      </c>
      <c r="L3030" s="10" t="s">
        <v>19326</v>
      </c>
      <c r="M3030" s="10">
        <v>1</v>
      </c>
      <c r="N3030" s="10" t="s">
        <v>19261</v>
      </c>
      <c r="O3030" s="10"/>
      <c r="P3030" s="10" t="s">
        <v>19327</v>
      </c>
      <c r="Q3030" s="10">
        <v>374.12</v>
      </c>
      <c r="R3030" s="10" t="s">
        <v>19328</v>
      </c>
      <c r="S3030" s="10" t="s">
        <v>53</v>
      </c>
      <c r="T3030" s="10" t="s">
        <v>54</v>
      </c>
    </row>
    <row r="3031" spans="1:20" ht="14.5" x14ac:dyDescent="0.35">
      <c r="A3031" s="10" t="s">
        <v>19329</v>
      </c>
      <c r="B3031" s="10" t="str">
        <f>"9781441185280"</f>
        <v>9781441185280</v>
      </c>
      <c r="C3031" s="10" t="str">
        <f>"9781441192943"</f>
        <v>9781441192943</v>
      </c>
      <c r="D3031" s="10" t="s">
        <v>13959</v>
      </c>
      <c r="E3031" s="10" t="s">
        <v>13960</v>
      </c>
      <c r="F3031" s="10" t="s">
        <v>139</v>
      </c>
      <c r="G3031" s="10" t="s">
        <v>6352</v>
      </c>
      <c r="H3031" s="11">
        <v>40794</v>
      </c>
      <c r="I3031" s="10">
        <v>2011</v>
      </c>
      <c r="J3031" s="10" t="s">
        <v>13961</v>
      </c>
      <c r="K3031" s="10">
        <v>153</v>
      </c>
      <c r="L3031" s="10" t="s">
        <v>19330</v>
      </c>
      <c r="M3031" s="10">
        <v>2</v>
      </c>
      <c r="N3031" s="10" t="s">
        <v>17023</v>
      </c>
      <c r="O3031" s="10"/>
      <c r="P3031" s="10" t="s">
        <v>19331</v>
      </c>
      <c r="Q3031" s="10" t="s">
        <v>19332</v>
      </c>
      <c r="R3031" s="10" t="s">
        <v>19333</v>
      </c>
      <c r="S3031" s="10" t="s">
        <v>53</v>
      </c>
      <c r="T3031" s="10" t="s">
        <v>54</v>
      </c>
    </row>
    <row r="3032" spans="1:20" ht="14.5" x14ac:dyDescent="0.35">
      <c r="A3032" s="10" t="s">
        <v>19334</v>
      </c>
      <c r="B3032" s="10" t="str">
        <f>"9781841900452"</f>
        <v>9781841900452</v>
      </c>
      <c r="C3032" s="10" t="str">
        <f>"9781441159038"</f>
        <v>9781441159038</v>
      </c>
      <c r="D3032" s="10" t="s">
        <v>13959</v>
      </c>
      <c r="E3032" s="10" t="s">
        <v>13960</v>
      </c>
      <c r="F3032" s="10" t="s">
        <v>139</v>
      </c>
      <c r="G3032" s="10" t="s">
        <v>6352</v>
      </c>
      <c r="H3032" s="11">
        <v>37226</v>
      </c>
      <c r="I3032" s="10">
        <v>2001</v>
      </c>
      <c r="J3032" s="10" t="s">
        <v>13961</v>
      </c>
      <c r="K3032" s="10">
        <v>73</v>
      </c>
      <c r="L3032" s="10" t="s">
        <v>19335</v>
      </c>
      <c r="M3032" s="10">
        <v>1</v>
      </c>
      <c r="N3032" s="10"/>
      <c r="O3032" s="10"/>
      <c r="P3032" s="10" t="s">
        <v>19336</v>
      </c>
      <c r="Q3032" s="10" t="s">
        <v>19337</v>
      </c>
      <c r="R3032" s="10" t="s">
        <v>19338</v>
      </c>
      <c r="S3032" s="10" t="s">
        <v>53</v>
      </c>
      <c r="T3032" s="10" t="s">
        <v>7425</v>
      </c>
    </row>
    <row r="3033" spans="1:20" ht="14.5" x14ac:dyDescent="0.35">
      <c r="A3033" s="10" t="s">
        <v>19339</v>
      </c>
      <c r="B3033" s="10" t="str">
        <f>"9780826486677"</f>
        <v>9780826486677</v>
      </c>
      <c r="C3033" s="10" t="str">
        <f>"9781441189516"</f>
        <v>9781441189516</v>
      </c>
      <c r="D3033" s="10" t="s">
        <v>13959</v>
      </c>
      <c r="E3033" s="10" t="s">
        <v>13960</v>
      </c>
      <c r="F3033" s="10" t="s">
        <v>139</v>
      </c>
      <c r="G3033" s="10" t="s">
        <v>6352</v>
      </c>
      <c r="H3033" s="11">
        <v>38807</v>
      </c>
      <c r="I3033" s="10">
        <v>2006</v>
      </c>
      <c r="J3033" s="10" t="s">
        <v>13961</v>
      </c>
      <c r="K3033" s="10">
        <v>133</v>
      </c>
      <c r="L3033" s="10" t="s">
        <v>19340</v>
      </c>
      <c r="M3033" s="10">
        <v>1</v>
      </c>
      <c r="N3033" s="10" t="s">
        <v>17023</v>
      </c>
      <c r="O3033" s="10"/>
      <c r="P3033" s="10" t="s">
        <v>19341</v>
      </c>
      <c r="Q3033" s="10">
        <v>371.10199999999998</v>
      </c>
      <c r="R3033" s="10" t="s">
        <v>19342</v>
      </c>
      <c r="S3033" s="10" t="s">
        <v>53</v>
      </c>
      <c r="T3033" s="10" t="s">
        <v>54</v>
      </c>
    </row>
    <row r="3034" spans="1:20" ht="14.5" x14ac:dyDescent="0.35">
      <c r="A3034" s="10" t="s">
        <v>19343</v>
      </c>
      <c r="B3034" s="10" t="str">
        <f>"9780826488053"</f>
        <v>9780826488053</v>
      </c>
      <c r="C3034" s="10" t="str">
        <f>"9781441141965"</f>
        <v>9781441141965</v>
      </c>
      <c r="D3034" s="10" t="s">
        <v>13959</v>
      </c>
      <c r="E3034" s="10" t="s">
        <v>13960</v>
      </c>
      <c r="F3034" s="10" t="s">
        <v>139</v>
      </c>
      <c r="G3034" s="10" t="s">
        <v>6352</v>
      </c>
      <c r="H3034" s="11">
        <v>39301</v>
      </c>
      <c r="I3034" s="10">
        <v>2007</v>
      </c>
      <c r="J3034" s="10" t="s">
        <v>13961</v>
      </c>
      <c r="K3034" s="10">
        <v>111</v>
      </c>
      <c r="L3034" s="10" t="s">
        <v>19344</v>
      </c>
      <c r="M3034" s="10">
        <v>1</v>
      </c>
      <c r="N3034" s="10" t="s">
        <v>19261</v>
      </c>
      <c r="O3034" s="10"/>
      <c r="P3034" s="10" t="s">
        <v>19345</v>
      </c>
      <c r="Q3034" s="10">
        <v>374.12060940999999</v>
      </c>
      <c r="R3034" s="10" t="s">
        <v>19346</v>
      </c>
      <c r="S3034" s="10" t="s">
        <v>53</v>
      </c>
      <c r="T3034" s="10" t="s">
        <v>54</v>
      </c>
    </row>
    <row r="3035" spans="1:20" ht="14.5" x14ac:dyDescent="0.35">
      <c r="A3035" s="10" t="s">
        <v>19347</v>
      </c>
      <c r="B3035" s="10" t="str">
        <f>"9781855391864"</f>
        <v>9781855391864</v>
      </c>
      <c r="C3035" s="10" t="str">
        <f>"9781855397095"</f>
        <v>9781855397095</v>
      </c>
      <c r="D3035" s="10" t="s">
        <v>13959</v>
      </c>
      <c r="E3035" s="10" t="s">
        <v>13960</v>
      </c>
      <c r="F3035" s="10" t="s">
        <v>139</v>
      </c>
      <c r="G3035" s="10" t="s">
        <v>6352</v>
      </c>
      <c r="H3035" s="11">
        <v>37773</v>
      </c>
      <c r="I3035" s="10">
        <v>2003</v>
      </c>
      <c r="J3035" s="10" t="s">
        <v>14120</v>
      </c>
      <c r="K3035" s="10">
        <v>145</v>
      </c>
      <c r="L3035" s="10" t="s">
        <v>19348</v>
      </c>
      <c r="M3035" s="10">
        <v>1</v>
      </c>
      <c r="N3035" s="10"/>
      <c r="O3035" s="10"/>
      <c r="P3035" s="10" t="s">
        <v>19349</v>
      </c>
      <c r="Q3035" s="10">
        <v>370.15230000000003</v>
      </c>
      <c r="R3035" s="10" t="s">
        <v>19350</v>
      </c>
      <c r="S3035" s="10" t="s">
        <v>53</v>
      </c>
      <c r="T3035" s="10" t="s">
        <v>54</v>
      </c>
    </row>
    <row r="3036" spans="1:20" ht="14.5" x14ac:dyDescent="0.35">
      <c r="A3036" s="10" t="s">
        <v>19351</v>
      </c>
      <c r="B3036" s="10" t="str">
        <f>"9780826489623"</f>
        <v>9780826489623</v>
      </c>
      <c r="C3036" s="10" t="str">
        <f>"9780826435729"</f>
        <v>9780826435729</v>
      </c>
      <c r="D3036" s="10" t="s">
        <v>13959</v>
      </c>
      <c r="E3036" s="10" t="s">
        <v>13960</v>
      </c>
      <c r="F3036" s="10" t="s">
        <v>139</v>
      </c>
      <c r="G3036" s="10" t="s">
        <v>6352</v>
      </c>
      <c r="H3036" s="11">
        <v>39294</v>
      </c>
      <c r="I3036" s="10">
        <v>2007</v>
      </c>
      <c r="J3036" s="10" t="s">
        <v>13961</v>
      </c>
      <c r="K3036" s="10">
        <v>176</v>
      </c>
      <c r="L3036" s="10" t="s">
        <v>14157</v>
      </c>
      <c r="M3036" s="10">
        <v>1</v>
      </c>
      <c r="N3036" s="10" t="s">
        <v>17037</v>
      </c>
      <c r="O3036" s="10"/>
      <c r="P3036" s="10" t="s">
        <v>19352</v>
      </c>
      <c r="Q3036" s="10">
        <v>371.10199999999998</v>
      </c>
      <c r="R3036" s="10" t="s">
        <v>18927</v>
      </c>
      <c r="S3036" s="10" t="s">
        <v>53</v>
      </c>
      <c r="T3036" s="10" t="s">
        <v>54</v>
      </c>
    </row>
    <row r="3037" spans="1:20" ht="14.5" x14ac:dyDescent="0.35">
      <c r="A3037" s="10" t="s">
        <v>19353</v>
      </c>
      <c r="B3037" s="10" t="str">
        <f>"9780304322817"</f>
        <v>9780304322817</v>
      </c>
      <c r="C3037" s="10" t="str">
        <f>"9781441146281"</f>
        <v>9781441146281</v>
      </c>
      <c r="D3037" s="10" t="s">
        <v>13959</v>
      </c>
      <c r="E3037" s="10" t="s">
        <v>13960</v>
      </c>
      <c r="F3037" s="10" t="s">
        <v>139</v>
      </c>
      <c r="G3037" s="10" t="s">
        <v>6352</v>
      </c>
      <c r="H3037" s="11">
        <v>34274</v>
      </c>
      <c r="I3037" s="10">
        <v>2001</v>
      </c>
      <c r="J3037" s="10" t="s">
        <v>13961</v>
      </c>
      <c r="K3037" s="10">
        <v>289</v>
      </c>
      <c r="L3037" s="10" t="s">
        <v>19354</v>
      </c>
      <c r="M3037" s="10">
        <v>1</v>
      </c>
      <c r="N3037" s="10"/>
      <c r="O3037" s="10"/>
      <c r="P3037" s="10" t="s">
        <v>19355</v>
      </c>
      <c r="Q3037" s="10">
        <v>371.1</v>
      </c>
      <c r="R3037" s="10" t="s">
        <v>15603</v>
      </c>
      <c r="S3037" s="10" t="s">
        <v>53</v>
      </c>
      <c r="T3037" s="10" t="s">
        <v>54</v>
      </c>
    </row>
    <row r="3038" spans="1:20" ht="14.5" x14ac:dyDescent="0.35">
      <c r="A3038" s="10" t="s">
        <v>19356</v>
      </c>
      <c r="B3038" s="10" t="str">
        <f>"9780826487070"</f>
        <v>9780826487070</v>
      </c>
      <c r="C3038" s="10" t="str">
        <f>"9781441107862"</f>
        <v>9781441107862</v>
      </c>
      <c r="D3038" s="10" t="s">
        <v>13959</v>
      </c>
      <c r="E3038" s="10" t="s">
        <v>13960</v>
      </c>
      <c r="F3038" s="10" t="s">
        <v>139</v>
      </c>
      <c r="G3038" s="10" t="s">
        <v>6352</v>
      </c>
      <c r="H3038" s="11">
        <v>39070</v>
      </c>
      <c r="I3038" s="10">
        <v>2006</v>
      </c>
      <c r="J3038" s="10" t="s">
        <v>13961</v>
      </c>
      <c r="K3038" s="10">
        <v>158</v>
      </c>
      <c r="L3038" s="10" t="s">
        <v>19357</v>
      </c>
      <c r="M3038" s="10">
        <v>1</v>
      </c>
      <c r="N3038" s="10" t="s">
        <v>19261</v>
      </c>
      <c r="O3038" s="10"/>
      <c r="P3038" s="10" t="s">
        <v>19358</v>
      </c>
      <c r="Q3038" s="10">
        <v>374.11020000000002</v>
      </c>
      <c r="R3038" s="10" t="s">
        <v>19359</v>
      </c>
      <c r="S3038" s="10" t="s">
        <v>53</v>
      </c>
      <c r="T3038" s="10" t="s">
        <v>54</v>
      </c>
    </row>
    <row r="3039" spans="1:20" ht="14.5" x14ac:dyDescent="0.35">
      <c r="A3039" s="10" t="s">
        <v>19360</v>
      </c>
      <c r="B3039" s="10" t="str">
        <f>"9780826473097"</f>
        <v>9780826473097</v>
      </c>
      <c r="C3039" s="10" t="str">
        <f>"9781441128133"</f>
        <v>9781441128133</v>
      </c>
      <c r="D3039" s="10" t="s">
        <v>13959</v>
      </c>
      <c r="E3039" s="10" t="s">
        <v>13960</v>
      </c>
      <c r="F3039" s="10" t="s">
        <v>139</v>
      </c>
      <c r="G3039" s="10" t="s">
        <v>6352</v>
      </c>
      <c r="H3039" s="11">
        <v>38137</v>
      </c>
      <c r="I3039" s="10">
        <v>2004</v>
      </c>
      <c r="J3039" s="10" t="s">
        <v>13961</v>
      </c>
      <c r="K3039" s="10">
        <v>113</v>
      </c>
      <c r="L3039" s="10" t="s">
        <v>19361</v>
      </c>
      <c r="M3039" s="10">
        <v>1</v>
      </c>
      <c r="N3039" s="10" t="s">
        <v>14223</v>
      </c>
      <c r="O3039" s="10"/>
      <c r="P3039" s="10" t="s">
        <v>19362</v>
      </c>
      <c r="Q3039" s="10">
        <v>371.30281000000002</v>
      </c>
      <c r="R3039" s="10" t="s">
        <v>19363</v>
      </c>
      <c r="S3039" s="10" t="s">
        <v>53</v>
      </c>
      <c r="T3039" s="10" t="s">
        <v>54</v>
      </c>
    </row>
    <row r="3040" spans="1:20" ht="14.5" x14ac:dyDescent="0.35">
      <c r="A3040" s="10" t="s">
        <v>19364</v>
      </c>
      <c r="B3040" s="10" t="str">
        <f>"9780826485380"</f>
        <v>9780826485380</v>
      </c>
      <c r="C3040" s="10" t="str">
        <f>"9781441121806"</f>
        <v>9781441121806</v>
      </c>
      <c r="D3040" s="10" t="s">
        <v>13959</v>
      </c>
      <c r="E3040" s="10" t="s">
        <v>13960</v>
      </c>
      <c r="F3040" s="10" t="s">
        <v>139</v>
      </c>
      <c r="G3040" s="10" t="s">
        <v>6352</v>
      </c>
      <c r="H3040" s="11">
        <v>39060</v>
      </c>
      <c r="I3040" s="10">
        <v>2006</v>
      </c>
      <c r="J3040" s="10" t="s">
        <v>13961</v>
      </c>
      <c r="K3040" s="10">
        <v>141</v>
      </c>
      <c r="L3040" s="10" t="s">
        <v>19365</v>
      </c>
      <c r="M3040" s="10">
        <v>1</v>
      </c>
      <c r="N3040" s="10" t="s">
        <v>17023</v>
      </c>
      <c r="O3040" s="10"/>
      <c r="P3040" s="10" t="s">
        <v>19366</v>
      </c>
      <c r="Q3040" s="10">
        <v>910.71041000000002</v>
      </c>
      <c r="R3040" s="10" t="s">
        <v>19367</v>
      </c>
      <c r="S3040" s="10" t="s">
        <v>53</v>
      </c>
      <c r="T3040" s="10" t="s">
        <v>12094</v>
      </c>
    </row>
    <row r="3041" spans="1:20" ht="14.5" x14ac:dyDescent="0.35">
      <c r="A3041" s="10" t="s">
        <v>19368</v>
      </c>
      <c r="B3041" s="10" t="str">
        <f>"9780826464729"</f>
        <v>9780826464729</v>
      </c>
      <c r="C3041" s="10" t="str">
        <f>"9781441141804"</f>
        <v>9781441141804</v>
      </c>
      <c r="D3041" s="10" t="s">
        <v>13959</v>
      </c>
      <c r="E3041" s="10" t="s">
        <v>13960</v>
      </c>
      <c r="F3041" s="10" t="s">
        <v>139</v>
      </c>
      <c r="G3041" s="10" t="s">
        <v>6352</v>
      </c>
      <c r="H3041" s="11">
        <v>37956</v>
      </c>
      <c r="I3041" s="10">
        <v>2003</v>
      </c>
      <c r="J3041" s="10" t="s">
        <v>13961</v>
      </c>
      <c r="K3041" s="10">
        <v>113</v>
      </c>
      <c r="L3041" s="10" t="s">
        <v>19369</v>
      </c>
      <c r="M3041" s="10">
        <v>1</v>
      </c>
      <c r="N3041" s="10" t="s">
        <v>14068</v>
      </c>
      <c r="O3041" s="10"/>
      <c r="P3041" s="10" t="s">
        <v>19370</v>
      </c>
      <c r="Q3041" s="10">
        <v>1.4330000000000001</v>
      </c>
      <c r="R3041" s="10" t="s">
        <v>19371</v>
      </c>
      <c r="S3041" s="10" t="s">
        <v>53</v>
      </c>
      <c r="T3041" s="10" t="s">
        <v>19372</v>
      </c>
    </row>
    <row r="3042" spans="1:20" ht="14.5" x14ac:dyDescent="0.35">
      <c r="A3042" s="10" t="s">
        <v>19373</v>
      </c>
      <c r="B3042" s="10" t="str">
        <f>"9781441119933"</f>
        <v>9781441119933</v>
      </c>
      <c r="C3042" s="10" t="str">
        <f>"9781441112224"</f>
        <v>9781441112224</v>
      </c>
      <c r="D3042" s="10" t="s">
        <v>13959</v>
      </c>
      <c r="E3042" s="10" t="s">
        <v>13960</v>
      </c>
      <c r="F3042" s="10" t="s">
        <v>139</v>
      </c>
      <c r="G3042" s="10" t="s">
        <v>6352</v>
      </c>
      <c r="H3042" s="11">
        <v>41204</v>
      </c>
      <c r="I3042" s="10">
        <v>2010</v>
      </c>
      <c r="J3042" s="10" t="s">
        <v>13961</v>
      </c>
      <c r="K3042" s="10">
        <v>254</v>
      </c>
      <c r="L3042" s="10" t="s">
        <v>19374</v>
      </c>
      <c r="M3042" s="10">
        <v>1</v>
      </c>
      <c r="N3042" s="10"/>
      <c r="O3042" s="10"/>
      <c r="P3042" s="10" t="s">
        <v>19375</v>
      </c>
      <c r="Q3042" s="10" t="s">
        <v>19376</v>
      </c>
      <c r="R3042" s="10" t="s">
        <v>19377</v>
      </c>
      <c r="S3042" s="10" t="s">
        <v>53</v>
      </c>
      <c r="T3042" s="10" t="s">
        <v>54</v>
      </c>
    </row>
    <row r="3043" spans="1:20" ht="14.5" x14ac:dyDescent="0.35">
      <c r="A3043" s="10" t="s">
        <v>19378</v>
      </c>
      <c r="B3043" s="10" t="str">
        <f>"9781855390744"</f>
        <v>9781855390744</v>
      </c>
      <c r="C3043" s="10" t="str">
        <f>"9781855394896"</f>
        <v>9781855394896</v>
      </c>
      <c r="D3043" s="10" t="s">
        <v>13959</v>
      </c>
      <c r="E3043" s="10" t="s">
        <v>13960</v>
      </c>
      <c r="F3043" s="10" t="s">
        <v>139</v>
      </c>
      <c r="G3043" s="10" t="s">
        <v>6352</v>
      </c>
      <c r="H3043" s="11">
        <v>37104</v>
      </c>
      <c r="I3043" s="10">
        <v>2001</v>
      </c>
      <c r="J3043" s="10" t="s">
        <v>14120</v>
      </c>
      <c r="K3043" s="10">
        <v>177</v>
      </c>
      <c r="L3043" s="10" t="s">
        <v>19379</v>
      </c>
      <c r="M3043" s="10">
        <v>1</v>
      </c>
      <c r="N3043" s="10"/>
      <c r="O3043" s="10"/>
      <c r="P3043" s="10">
        <v>2003104609</v>
      </c>
      <c r="Q3043" s="10">
        <v>370.15230000000003</v>
      </c>
      <c r="R3043" s="10" t="s">
        <v>19380</v>
      </c>
      <c r="S3043" s="10" t="s">
        <v>53</v>
      </c>
      <c r="T3043" s="10" t="s">
        <v>54</v>
      </c>
    </row>
    <row r="3044" spans="1:20" ht="14.5" x14ac:dyDescent="0.35">
      <c r="A3044" s="10" t="s">
        <v>19381</v>
      </c>
      <c r="B3044" s="10" t="str">
        <f>"9781855391048"</f>
        <v>9781855391048</v>
      </c>
      <c r="C3044" s="10" t="str">
        <f>"9781855395862"</f>
        <v>9781855395862</v>
      </c>
      <c r="D3044" s="10" t="s">
        <v>13959</v>
      </c>
      <c r="E3044" s="10" t="s">
        <v>13960</v>
      </c>
      <c r="F3044" s="10" t="s">
        <v>139</v>
      </c>
      <c r="G3044" s="10" t="s">
        <v>6352</v>
      </c>
      <c r="H3044" s="11">
        <v>38443</v>
      </c>
      <c r="I3044" s="10">
        <v>2005</v>
      </c>
      <c r="J3044" s="10" t="s">
        <v>14120</v>
      </c>
      <c r="K3044" s="10">
        <v>320</v>
      </c>
      <c r="L3044" s="10" t="s">
        <v>19382</v>
      </c>
      <c r="M3044" s="10">
        <v>1</v>
      </c>
      <c r="N3044" s="10"/>
      <c r="O3044" s="10"/>
      <c r="P3044" s="10" t="s">
        <v>16081</v>
      </c>
      <c r="Q3044" s="10">
        <v>374.94099999999997</v>
      </c>
      <c r="R3044" s="10" t="s">
        <v>19383</v>
      </c>
      <c r="S3044" s="10" t="s">
        <v>53</v>
      </c>
      <c r="T3044" s="10" t="s">
        <v>54</v>
      </c>
    </row>
    <row r="3045" spans="1:20" ht="14.5" x14ac:dyDescent="0.35">
      <c r="A3045" s="10" t="s">
        <v>19384</v>
      </c>
      <c r="B3045" s="10" t="str">
        <f>"9780826473325"</f>
        <v>9780826473325</v>
      </c>
      <c r="C3045" s="10" t="str">
        <f>"9781441147288"</f>
        <v>9781441147288</v>
      </c>
      <c r="D3045" s="10" t="s">
        <v>13959</v>
      </c>
      <c r="E3045" s="10" t="s">
        <v>13960</v>
      </c>
      <c r="F3045" s="10" t="s">
        <v>139</v>
      </c>
      <c r="G3045" s="10" t="s">
        <v>6352</v>
      </c>
      <c r="H3045" s="11">
        <v>38486</v>
      </c>
      <c r="I3045" s="10">
        <v>2005</v>
      </c>
      <c r="J3045" s="10" t="s">
        <v>13961</v>
      </c>
      <c r="K3045" s="10">
        <v>167</v>
      </c>
      <c r="L3045" s="10" t="s">
        <v>19385</v>
      </c>
      <c r="M3045" s="10">
        <v>1</v>
      </c>
      <c r="N3045" s="10" t="s">
        <v>16573</v>
      </c>
      <c r="O3045" s="10"/>
      <c r="P3045" s="10" t="s">
        <v>19386</v>
      </c>
      <c r="Q3045" s="10">
        <v>371.29509409999997</v>
      </c>
      <c r="R3045" s="10" t="s">
        <v>19387</v>
      </c>
      <c r="S3045" s="10" t="s">
        <v>53</v>
      </c>
      <c r="T3045" s="10" t="s">
        <v>54</v>
      </c>
    </row>
    <row r="3046" spans="1:20" ht="14.5" x14ac:dyDescent="0.35">
      <c r="A3046" s="10" t="s">
        <v>19388</v>
      </c>
      <c r="B3046" s="10" t="str">
        <f>"9780826443038"</f>
        <v>9780826443038</v>
      </c>
      <c r="C3046" s="10" t="str">
        <f>"9781855395978"</f>
        <v>9781855395978</v>
      </c>
      <c r="D3046" s="10" t="s">
        <v>13959</v>
      </c>
      <c r="E3046" s="10" t="s">
        <v>13960</v>
      </c>
      <c r="F3046" s="10" t="s">
        <v>139</v>
      </c>
      <c r="G3046" s="10" t="s">
        <v>6352</v>
      </c>
      <c r="H3046" s="11">
        <v>40176</v>
      </c>
      <c r="I3046" s="10">
        <v>2009</v>
      </c>
      <c r="J3046" s="10" t="s">
        <v>14120</v>
      </c>
      <c r="K3046" s="10">
        <v>235</v>
      </c>
      <c r="L3046" s="10" t="s">
        <v>19389</v>
      </c>
      <c r="M3046" s="10">
        <v>1</v>
      </c>
      <c r="N3046" s="10"/>
      <c r="O3046" s="10"/>
      <c r="P3046" s="10" t="s">
        <v>19390</v>
      </c>
      <c r="Q3046" s="10">
        <v>373.01139999999998</v>
      </c>
      <c r="R3046" s="10" t="s">
        <v>19391</v>
      </c>
      <c r="S3046" s="10" t="s">
        <v>53</v>
      </c>
      <c r="T3046" s="10" t="s">
        <v>54</v>
      </c>
    </row>
    <row r="3047" spans="1:20" ht="14.5" x14ac:dyDescent="0.35">
      <c r="A3047" s="10" t="s">
        <v>19392</v>
      </c>
      <c r="B3047" s="10" t="str">
        <f>"9781855390966"</f>
        <v>9781855390966</v>
      </c>
      <c r="C3047" s="10" t="str">
        <f>"9781855397156"</f>
        <v>9781855397156</v>
      </c>
      <c r="D3047" s="10" t="s">
        <v>13959</v>
      </c>
      <c r="E3047" s="10" t="s">
        <v>13960</v>
      </c>
      <c r="F3047" s="10" t="s">
        <v>139</v>
      </c>
      <c r="G3047" s="10" t="s">
        <v>6352</v>
      </c>
      <c r="H3047" s="11">
        <v>37469</v>
      </c>
      <c r="I3047" s="10">
        <v>2002</v>
      </c>
      <c r="J3047" s="10" t="s">
        <v>14120</v>
      </c>
      <c r="K3047" s="10">
        <v>218</v>
      </c>
      <c r="L3047" s="10" t="s">
        <v>19393</v>
      </c>
      <c r="M3047" s="10">
        <v>1</v>
      </c>
      <c r="N3047" s="10"/>
      <c r="O3047" s="10"/>
      <c r="P3047" s="10" t="s">
        <v>19394</v>
      </c>
      <c r="Q3047" s="10">
        <v>370.15199999999999</v>
      </c>
      <c r="R3047" s="10" t="s">
        <v>19395</v>
      </c>
      <c r="S3047" s="10" t="s">
        <v>53</v>
      </c>
      <c r="T3047" s="10" t="s">
        <v>54</v>
      </c>
    </row>
    <row r="3048" spans="1:20" ht="14.5" x14ac:dyDescent="0.35">
      <c r="A3048" s="10" t="s">
        <v>19396</v>
      </c>
      <c r="B3048" s="10" t="str">
        <f>"9780826488671"</f>
        <v>9780826488671</v>
      </c>
      <c r="C3048" s="10" t="str">
        <f>"9781441181633"</f>
        <v>9781441181633</v>
      </c>
      <c r="D3048" s="10" t="s">
        <v>13959</v>
      </c>
      <c r="E3048" s="10" t="s">
        <v>13960</v>
      </c>
      <c r="F3048" s="10" t="s">
        <v>139</v>
      </c>
      <c r="G3048" s="10" t="s">
        <v>6352</v>
      </c>
      <c r="H3048" s="11">
        <v>38831</v>
      </c>
      <c r="I3048" s="10">
        <v>2006</v>
      </c>
      <c r="J3048" s="10" t="s">
        <v>13961</v>
      </c>
      <c r="K3048" s="10">
        <v>136</v>
      </c>
      <c r="L3048" s="10" t="s">
        <v>16593</v>
      </c>
      <c r="M3048" s="10">
        <v>1</v>
      </c>
      <c r="N3048" s="10" t="s">
        <v>16569</v>
      </c>
      <c r="O3048" s="10"/>
      <c r="P3048" s="10" t="s">
        <v>19397</v>
      </c>
      <c r="Q3048" s="10">
        <v>371.26</v>
      </c>
      <c r="R3048" s="10" t="s">
        <v>18240</v>
      </c>
      <c r="S3048" s="10" t="s">
        <v>53</v>
      </c>
      <c r="T3048" s="10" t="s">
        <v>54</v>
      </c>
    </row>
    <row r="3049" spans="1:20" ht="14.5" x14ac:dyDescent="0.35">
      <c r="A3049" s="10" t="s">
        <v>19398</v>
      </c>
      <c r="B3049" s="10" t="str">
        <f>"9781855393608"</f>
        <v>9781855393608</v>
      </c>
      <c r="C3049" s="10" t="str">
        <f>"9781855395442"</f>
        <v>9781855395442</v>
      </c>
      <c r="D3049" s="10" t="s">
        <v>13959</v>
      </c>
      <c r="E3049" s="10" t="s">
        <v>13960</v>
      </c>
      <c r="F3049" s="10" t="s">
        <v>139</v>
      </c>
      <c r="G3049" s="10" t="s">
        <v>6352</v>
      </c>
      <c r="H3049" s="11">
        <v>39295</v>
      </c>
      <c r="I3049" s="10">
        <v>2007</v>
      </c>
      <c r="J3049" s="10" t="s">
        <v>14120</v>
      </c>
      <c r="K3049" s="10">
        <v>193</v>
      </c>
      <c r="L3049" s="10" t="s">
        <v>19399</v>
      </c>
      <c r="M3049" s="10">
        <v>1</v>
      </c>
      <c r="N3049" s="10"/>
      <c r="O3049" s="10"/>
      <c r="P3049" s="10" t="s">
        <v>19400</v>
      </c>
      <c r="Q3049" s="10">
        <v>371.90460000000002</v>
      </c>
      <c r="R3049" s="10" t="s">
        <v>9113</v>
      </c>
      <c r="S3049" s="10" t="s">
        <v>53</v>
      </c>
      <c r="T3049" s="10" t="s">
        <v>54</v>
      </c>
    </row>
    <row r="3050" spans="1:20" ht="14.5" x14ac:dyDescent="0.35">
      <c r="A3050" s="10" t="s">
        <v>19401</v>
      </c>
      <c r="B3050" s="10" t="str">
        <f>"9780826488718"</f>
        <v>9780826488718</v>
      </c>
      <c r="C3050" s="10" t="str">
        <f>"9781441196927"</f>
        <v>9781441196927</v>
      </c>
      <c r="D3050" s="10" t="s">
        <v>13959</v>
      </c>
      <c r="E3050" s="10" t="s">
        <v>13960</v>
      </c>
      <c r="F3050" s="10" t="s">
        <v>139</v>
      </c>
      <c r="G3050" s="10" t="s">
        <v>6352</v>
      </c>
      <c r="H3050" s="11">
        <v>38858</v>
      </c>
      <c r="I3050" s="10">
        <v>2006</v>
      </c>
      <c r="J3050" s="10" t="s">
        <v>13961</v>
      </c>
      <c r="K3050" s="10">
        <v>119</v>
      </c>
      <c r="L3050" s="10" t="s">
        <v>6403</v>
      </c>
      <c r="M3050" s="10">
        <v>1</v>
      </c>
      <c r="N3050" s="10" t="s">
        <v>16569</v>
      </c>
      <c r="O3050" s="10"/>
      <c r="P3050" s="10" t="s">
        <v>19402</v>
      </c>
      <c r="Q3050" s="10">
        <v>372.11020000000002</v>
      </c>
      <c r="R3050" s="10" t="s">
        <v>7672</v>
      </c>
      <c r="S3050" s="10" t="s">
        <v>53</v>
      </c>
      <c r="T3050" s="10" t="s">
        <v>54</v>
      </c>
    </row>
    <row r="3051" spans="1:20" ht="14.5" x14ac:dyDescent="0.35">
      <c r="A3051" s="10" t="s">
        <v>19403</v>
      </c>
      <c r="B3051" s="10" t="str">
        <f>"9781855390898"</f>
        <v>9781855390898</v>
      </c>
      <c r="C3051" s="10" t="str">
        <f>"9781855395718"</f>
        <v>9781855395718</v>
      </c>
      <c r="D3051" s="10" t="s">
        <v>13959</v>
      </c>
      <c r="E3051" s="10" t="s">
        <v>13960</v>
      </c>
      <c r="F3051" s="10" t="s">
        <v>139</v>
      </c>
      <c r="G3051" s="10" t="s">
        <v>6352</v>
      </c>
      <c r="H3051" s="11">
        <v>37104</v>
      </c>
      <c r="I3051" s="10">
        <v>2001</v>
      </c>
      <c r="J3051" s="10" t="s">
        <v>14120</v>
      </c>
      <c r="K3051" s="10">
        <v>209</v>
      </c>
      <c r="L3051" s="10" t="s">
        <v>19404</v>
      </c>
      <c r="M3051" s="10">
        <v>1</v>
      </c>
      <c r="N3051" s="10"/>
      <c r="O3051" s="10"/>
      <c r="P3051" s="10">
        <v>2003104644</v>
      </c>
      <c r="Q3051" s="10">
        <v>370.15230000000003</v>
      </c>
      <c r="R3051" s="10" t="s">
        <v>19405</v>
      </c>
      <c r="S3051" s="10" t="s">
        <v>53</v>
      </c>
      <c r="T3051" s="10" t="s">
        <v>54</v>
      </c>
    </row>
    <row r="3052" spans="1:20" ht="14.5" x14ac:dyDescent="0.35">
      <c r="A3052" s="10" t="s">
        <v>19406</v>
      </c>
      <c r="B3052" s="10" t="str">
        <f>"9781855391420"</f>
        <v>9781855391420</v>
      </c>
      <c r="C3052" s="10" t="str">
        <f>"9781855397828"</f>
        <v>9781855397828</v>
      </c>
      <c r="D3052" s="10" t="s">
        <v>13959</v>
      </c>
      <c r="E3052" s="10" t="s">
        <v>13960</v>
      </c>
      <c r="F3052" s="10" t="s">
        <v>139</v>
      </c>
      <c r="G3052" s="10" t="s">
        <v>6352</v>
      </c>
      <c r="H3052" s="11">
        <v>39508</v>
      </c>
      <c r="I3052" s="10">
        <v>2004</v>
      </c>
      <c r="J3052" s="10" t="s">
        <v>14120</v>
      </c>
      <c r="K3052" s="10">
        <v>217</v>
      </c>
      <c r="L3052" s="10" t="s">
        <v>19407</v>
      </c>
      <c r="M3052" s="10">
        <v>1</v>
      </c>
      <c r="N3052" s="10"/>
      <c r="O3052" s="10"/>
      <c r="P3052" s="10" t="s">
        <v>19408</v>
      </c>
      <c r="Q3052" s="10">
        <v>153.15</v>
      </c>
      <c r="R3052" s="10" t="s">
        <v>19409</v>
      </c>
      <c r="S3052" s="10" t="s">
        <v>53</v>
      </c>
      <c r="T3052" s="10" t="s">
        <v>19410</v>
      </c>
    </row>
    <row r="3053" spans="1:20" ht="14.5" x14ac:dyDescent="0.35">
      <c r="A3053" s="10" t="s">
        <v>19411</v>
      </c>
      <c r="B3053" s="10" t="str">
        <f>"9781847064103"</f>
        <v>9781847064103</v>
      </c>
      <c r="C3053" s="10" t="str">
        <f>"9781441131669"</f>
        <v>9781441131669</v>
      </c>
      <c r="D3053" s="10" t="s">
        <v>13959</v>
      </c>
      <c r="E3053" s="10" t="s">
        <v>13960</v>
      </c>
      <c r="F3053" s="10" t="s">
        <v>139</v>
      </c>
      <c r="G3053" s="10" t="s">
        <v>6352</v>
      </c>
      <c r="H3053" s="11">
        <v>40009</v>
      </c>
      <c r="I3053" s="10">
        <v>2009</v>
      </c>
      <c r="J3053" s="10" t="s">
        <v>13961</v>
      </c>
      <c r="K3053" s="10">
        <v>127</v>
      </c>
      <c r="L3053" s="10" t="s">
        <v>17032</v>
      </c>
      <c r="M3053" s="10">
        <v>1</v>
      </c>
      <c r="N3053" s="10" t="s">
        <v>16931</v>
      </c>
      <c r="O3053" s="10"/>
      <c r="P3053" s="10" t="s">
        <v>19412</v>
      </c>
      <c r="Q3053" s="10">
        <v>372.2</v>
      </c>
      <c r="R3053" s="10" t="s">
        <v>19413</v>
      </c>
      <c r="S3053" s="10" t="s">
        <v>53</v>
      </c>
      <c r="T3053" s="10" t="s">
        <v>54</v>
      </c>
    </row>
    <row r="3054" spans="1:20" ht="14.5" x14ac:dyDescent="0.35">
      <c r="A3054" s="10" t="s">
        <v>19414</v>
      </c>
      <c r="B3054" s="10" t="str">
        <f>"9780826488633"</f>
        <v>9780826488633</v>
      </c>
      <c r="C3054" s="10" t="str">
        <f>"9781441145369"</f>
        <v>9781441145369</v>
      </c>
      <c r="D3054" s="10" t="s">
        <v>13959</v>
      </c>
      <c r="E3054" s="10" t="s">
        <v>13960</v>
      </c>
      <c r="F3054" s="10" t="s">
        <v>139</v>
      </c>
      <c r="G3054" s="10" t="s">
        <v>6352</v>
      </c>
      <c r="H3054" s="11">
        <v>38831</v>
      </c>
      <c r="I3054" s="10">
        <v>2006</v>
      </c>
      <c r="J3054" s="10" t="s">
        <v>13961</v>
      </c>
      <c r="K3054" s="10">
        <v>124</v>
      </c>
      <c r="L3054" s="10" t="s">
        <v>19415</v>
      </c>
      <c r="M3054" s="10">
        <v>1</v>
      </c>
      <c r="N3054" s="10" t="s">
        <v>16569</v>
      </c>
      <c r="O3054" s="10"/>
      <c r="P3054" s="10" t="s">
        <v>19416</v>
      </c>
      <c r="Q3054" s="10">
        <v>372.21</v>
      </c>
      <c r="R3054" s="10" t="s">
        <v>19417</v>
      </c>
      <c r="S3054" s="10" t="s">
        <v>53</v>
      </c>
      <c r="T3054" s="10" t="s">
        <v>54</v>
      </c>
    </row>
    <row r="3055" spans="1:20" ht="14.5" x14ac:dyDescent="0.35">
      <c r="A3055" s="10" t="s">
        <v>19418</v>
      </c>
      <c r="B3055" s="10" t="str">
        <f>"9781855390508"</f>
        <v>9781855390508</v>
      </c>
      <c r="C3055" s="10" t="str">
        <f>"9781855396401"</f>
        <v>9781855396401</v>
      </c>
      <c r="D3055" s="10" t="s">
        <v>13959</v>
      </c>
      <c r="E3055" s="10" t="s">
        <v>13960</v>
      </c>
      <c r="F3055" s="10" t="s">
        <v>139</v>
      </c>
      <c r="G3055" s="10" t="s">
        <v>6352</v>
      </c>
      <c r="H3055" s="11">
        <v>39508</v>
      </c>
      <c r="I3055" s="10">
        <v>1999</v>
      </c>
      <c r="J3055" s="10" t="s">
        <v>14120</v>
      </c>
      <c r="K3055" s="10">
        <v>250</v>
      </c>
      <c r="L3055" s="10" t="s">
        <v>19419</v>
      </c>
      <c r="M3055" s="10">
        <v>1</v>
      </c>
      <c r="N3055" s="10"/>
      <c r="O3055" s="10"/>
      <c r="P3055" s="10" t="s">
        <v>19420</v>
      </c>
      <c r="Q3055" s="10">
        <v>371.95</v>
      </c>
      <c r="R3055" s="10" t="s">
        <v>19421</v>
      </c>
      <c r="S3055" s="10" t="s">
        <v>53</v>
      </c>
      <c r="T3055" s="10" t="s">
        <v>54</v>
      </c>
    </row>
    <row r="3056" spans="1:20" ht="14.5" x14ac:dyDescent="0.35">
      <c r="A3056" s="10" t="s">
        <v>19422</v>
      </c>
      <c r="B3056" s="10" t="str">
        <f>"9781855393516"</f>
        <v>9781855393516</v>
      </c>
      <c r="C3056" s="10" t="str">
        <f>"9781855395183"</f>
        <v>9781855395183</v>
      </c>
      <c r="D3056" s="10" t="s">
        <v>13959</v>
      </c>
      <c r="E3056" s="10" t="s">
        <v>13960</v>
      </c>
      <c r="F3056" s="10" t="s">
        <v>139</v>
      </c>
      <c r="G3056" s="10" t="s">
        <v>6352</v>
      </c>
      <c r="H3056" s="11">
        <v>39303</v>
      </c>
      <c r="I3056" s="10">
        <v>2007</v>
      </c>
      <c r="J3056" s="10" t="s">
        <v>14120</v>
      </c>
      <c r="K3056" s="10">
        <v>113</v>
      </c>
      <c r="L3056" s="10" t="s">
        <v>19419</v>
      </c>
      <c r="M3056" s="10">
        <v>1</v>
      </c>
      <c r="N3056" s="10"/>
      <c r="O3056" s="10"/>
      <c r="P3056" s="10" t="s">
        <v>19423</v>
      </c>
      <c r="Q3056" s="10">
        <v>371.95</v>
      </c>
      <c r="R3056" s="10" t="s">
        <v>19424</v>
      </c>
      <c r="S3056" s="10" t="s">
        <v>53</v>
      </c>
      <c r="T3056" s="10" t="s">
        <v>54</v>
      </c>
    </row>
    <row r="3057" spans="1:20" ht="14.5" x14ac:dyDescent="0.35">
      <c r="A3057" s="10" t="s">
        <v>19425</v>
      </c>
      <c r="B3057" s="10" t="str">
        <f>"9781441108319"</f>
        <v>9781441108319</v>
      </c>
      <c r="C3057" s="10" t="str">
        <f>"9781441104069"</f>
        <v>9781441104069</v>
      </c>
      <c r="D3057" s="10" t="s">
        <v>13959</v>
      </c>
      <c r="E3057" s="10" t="s">
        <v>13960</v>
      </c>
      <c r="F3057" s="10" t="s">
        <v>139</v>
      </c>
      <c r="G3057" s="10" t="s">
        <v>6352</v>
      </c>
      <c r="H3057" s="11">
        <v>40307</v>
      </c>
      <c r="I3057" s="10">
        <v>2008</v>
      </c>
      <c r="J3057" s="10" t="s">
        <v>13961</v>
      </c>
      <c r="K3057" s="10">
        <v>225</v>
      </c>
      <c r="L3057" s="10" t="s">
        <v>19426</v>
      </c>
      <c r="M3057" s="10">
        <v>1</v>
      </c>
      <c r="N3057" s="10"/>
      <c r="O3057" s="10"/>
      <c r="P3057" s="10" t="s">
        <v>19427</v>
      </c>
      <c r="Q3057" s="10" t="s">
        <v>8916</v>
      </c>
      <c r="R3057" s="10" t="s">
        <v>19428</v>
      </c>
      <c r="S3057" s="10" t="s">
        <v>53</v>
      </c>
      <c r="T3057" s="10" t="s">
        <v>54</v>
      </c>
    </row>
    <row r="3058" spans="1:20" ht="14.5" x14ac:dyDescent="0.35">
      <c r="A3058" s="10" t="s">
        <v>19429</v>
      </c>
      <c r="B3058" s="10" t="str">
        <f>"9781441100214"</f>
        <v>9781441100214</v>
      </c>
      <c r="C3058" s="10" t="str">
        <f>"9781441189066"</f>
        <v>9781441189066</v>
      </c>
      <c r="D3058" s="10" t="s">
        <v>13959</v>
      </c>
      <c r="E3058" s="10" t="s">
        <v>13960</v>
      </c>
      <c r="F3058" s="10" t="s">
        <v>139</v>
      </c>
      <c r="G3058" s="10" t="s">
        <v>6352</v>
      </c>
      <c r="H3058" s="11">
        <v>40997</v>
      </c>
      <c r="I3058" s="10">
        <v>2010</v>
      </c>
      <c r="J3058" s="10" t="s">
        <v>13961</v>
      </c>
      <c r="K3058" s="10">
        <v>223</v>
      </c>
      <c r="L3058" s="10" t="s">
        <v>6417</v>
      </c>
      <c r="M3058" s="10">
        <v>1</v>
      </c>
      <c r="N3058" s="10"/>
      <c r="O3058" s="10"/>
      <c r="P3058" s="10" t="s">
        <v>19430</v>
      </c>
      <c r="Q3058" s="10">
        <v>370.113</v>
      </c>
      <c r="R3058" s="10" t="s">
        <v>19431</v>
      </c>
      <c r="S3058" s="10" t="s">
        <v>53</v>
      </c>
      <c r="T3058" s="10" t="s">
        <v>54</v>
      </c>
    </row>
    <row r="3059" spans="1:20" ht="14.5" x14ac:dyDescent="0.35">
      <c r="A3059" s="10" t="s">
        <v>19432</v>
      </c>
      <c r="B3059" s="10" t="str">
        <f>"9781847879431"</f>
        <v>9781847879431</v>
      </c>
      <c r="C3059" s="10" t="str">
        <f>"9781446206065"</f>
        <v>9781446206065</v>
      </c>
      <c r="D3059" s="10" t="s">
        <v>9325</v>
      </c>
      <c r="E3059" s="10" t="s">
        <v>9326</v>
      </c>
      <c r="F3059" s="10" t="s">
        <v>139</v>
      </c>
      <c r="G3059" s="10" t="s">
        <v>6352</v>
      </c>
      <c r="H3059" s="11">
        <v>39940</v>
      </c>
      <c r="I3059" s="10">
        <v>2009</v>
      </c>
      <c r="J3059" s="10" t="s">
        <v>9326</v>
      </c>
      <c r="K3059" s="10">
        <v>234</v>
      </c>
      <c r="L3059" s="10" t="s">
        <v>19433</v>
      </c>
      <c r="M3059" s="10">
        <v>2</v>
      </c>
      <c r="N3059" s="10"/>
      <c r="O3059" s="10"/>
      <c r="P3059" s="10" t="s">
        <v>19434</v>
      </c>
      <c r="Q3059" s="10">
        <v>371.14123999999998</v>
      </c>
      <c r="R3059" s="10" t="s">
        <v>7206</v>
      </c>
      <c r="S3059" s="10" t="s">
        <v>53</v>
      </c>
      <c r="T3059" s="10" t="s">
        <v>54</v>
      </c>
    </row>
    <row r="3060" spans="1:20" ht="14.5" x14ac:dyDescent="0.35">
      <c r="A3060" s="10" t="s">
        <v>5933</v>
      </c>
      <c r="B3060" s="10" t="str">
        <f>"9781847873620"</f>
        <v>9781847873620</v>
      </c>
      <c r="C3060" s="10" t="str">
        <f>"9781446205679"</f>
        <v>9781446205679</v>
      </c>
      <c r="D3060" s="10" t="s">
        <v>9325</v>
      </c>
      <c r="E3060" s="10" t="s">
        <v>9326</v>
      </c>
      <c r="F3060" s="10" t="s">
        <v>139</v>
      </c>
      <c r="G3060" s="10" t="s">
        <v>6352</v>
      </c>
      <c r="H3060" s="11">
        <v>39980</v>
      </c>
      <c r="I3060" s="10">
        <v>2009</v>
      </c>
      <c r="J3060" s="10" t="s">
        <v>9326</v>
      </c>
      <c r="K3060" s="10">
        <v>258</v>
      </c>
      <c r="L3060" s="10" t="s">
        <v>19435</v>
      </c>
      <c r="M3060" s="10">
        <v>1</v>
      </c>
      <c r="N3060" s="10" t="s">
        <v>19436</v>
      </c>
      <c r="O3060" s="10"/>
      <c r="P3060" s="10" t="s">
        <v>19437</v>
      </c>
      <c r="Q3060" s="10">
        <v>507.12</v>
      </c>
      <c r="R3060" s="10" t="s">
        <v>19438</v>
      </c>
      <c r="S3060" s="10" t="s">
        <v>53</v>
      </c>
      <c r="T3060" s="10" t="s">
        <v>7193</v>
      </c>
    </row>
    <row r="3061" spans="1:20" ht="14.5" x14ac:dyDescent="0.35">
      <c r="A3061" s="10" t="s">
        <v>19439</v>
      </c>
      <c r="B3061" s="10" t="str">
        <f>"9781849201261"</f>
        <v>9781849201261</v>
      </c>
      <c r="C3061" s="10" t="str">
        <f>"9781446210994"</f>
        <v>9781446210994</v>
      </c>
      <c r="D3061" s="10" t="s">
        <v>9325</v>
      </c>
      <c r="E3061" s="10" t="s">
        <v>9326</v>
      </c>
      <c r="F3061" s="10" t="s">
        <v>139</v>
      </c>
      <c r="G3061" s="10" t="s">
        <v>6352</v>
      </c>
      <c r="H3061" s="11">
        <v>40262</v>
      </c>
      <c r="I3061" s="10">
        <v>2010</v>
      </c>
      <c r="J3061" s="10" t="s">
        <v>9326</v>
      </c>
      <c r="K3061" s="10">
        <v>169</v>
      </c>
      <c r="L3061" s="10" t="s">
        <v>19440</v>
      </c>
      <c r="M3061" s="10">
        <v>1</v>
      </c>
      <c r="N3061" s="10"/>
      <c r="O3061" s="10"/>
      <c r="P3061" s="10" t="s">
        <v>19441</v>
      </c>
      <c r="Q3061" s="10">
        <v>507.12</v>
      </c>
      <c r="R3061" s="10" t="s">
        <v>19442</v>
      </c>
      <c r="S3061" s="10" t="s">
        <v>53</v>
      </c>
      <c r="T3061" s="10" t="s">
        <v>6800</v>
      </c>
    </row>
    <row r="3062" spans="1:20" ht="14.5" x14ac:dyDescent="0.35">
      <c r="A3062" s="10" t="s">
        <v>19443</v>
      </c>
      <c r="B3062" s="10" t="str">
        <f>"9781849201278"</f>
        <v>9781849201278</v>
      </c>
      <c r="C3062" s="10" t="str">
        <f>"9781446247761"</f>
        <v>9781446247761</v>
      </c>
      <c r="D3062" s="10" t="s">
        <v>9325</v>
      </c>
      <c r="E3062" s="10" t="s">
        <v>9326</v>
      </c>
      <c r="F3062" s="10" t="s">
        <v>139</v>
      </c>
      <c r="G3062" s="10" t="s">
        <v>6352</v>
      </c>
      <c r="H3062" s="11">
        <v>40521</v>
      </c>
      <c r="I3062" s="10">
        <v>2011</v>
      </c>
      <c r="J3062" s="10" t="s">
        <v>9326</v>
      </c>
      <c r="K3062" s="10">
        <v>234</v>
      </c>
      <c r="L3062" s="10" t="s">
        <v>19444</v>
      </c>
      <c r="M3062" s="10">
        <v>1</v>
      </c>
      <c r="N3062" s="10"/>
      <c r="O3062" s="10"/>
      <c r="P3062" s="10" t="s">
        <v>19445</v>
      </c>
      <c r="Q3062" s="10">
        <v>371.10199999999998</v>
      </c>
      <c r="R3062" s="10" t="s">
        <v>19446</v>
      </c>
      <c r="S3062" s="10" t="s">
        <v>53</v>
      </c>
      <c r="T3062" s="10" t="s">
        <v>54</v>
      </c>
    </row>
    <row r="3063" spans="1:20" ht="14.5" x14ac:dyDescent="0.35">
      <c r="A3063" s="10" t="s">
        <v>19447</v>
      </c>
      <c r="B3063" s="10" t="str">
        <f>"9781849201346"</f>
        <v>9781849201346</v>
      </c>
      <c r="C3063" s="10" t="str">
        <f>"9781446211014"</f>
        <v>9781446211014</v>
      </c>
      <c r="D3063" s="10" t="s">
        <v>9325</v>
      </c>
      <c r="E3063" s="10" t="s">
        <v>9326</v>
      </c>
      <c r="F3063" s="10" t="s">
        <v>139</v>
      </c>
      <c r="G3063" s="10" t="s">
        <v>6352</v>
      </c>
      <c r="H3063" s="11">
        <v>40303</v>
      </c>
      <c r="I3063" s="10">
        <v>2010</v>
      </c>
      <c r="J3063" s="10" t="s">
        <v>9326</v>
      </c>
      <c r="K3063" s="10">
        <v>143</v>
      </c>
      <c r="L3063" s="10" t="s">
        <v>19448</v>
      </c>
      <c r="M3063" s="10">
        <v>2</v>
      </c>
      <c r="N3063" s="10" t="s">
        <v>12043</v>
      </c>
      <c r="O3063" s="10"/>
      <c r="P3063" s="10" t="s">
        <v>19449</v>
      </c>
      <c r="Q3063" s="10">
        <v>305.23107110000001</v>
      </c>
      <c r="R3063" s="10" t="s">
        <v>19450</v>
      </c>
      <c r="S3063" s="10" t="s">
        <v>53</v>
      </c>
      <c r="T3063" s="10" t="s">
        <v>6363</v>
      </c>
    </row>
    <row r="3064" spans="1:20" ht="14.5" x14ac:dyDescent="0.35">
      <c r="A3064" s="10" t="s">
        <v>19451</v>
      </c>
      <c r="B3064" s="10" t="str">
        <f>"9781847875860"</f>
        <v>9781847875860</v>
      </c>
      <c r="C3064" s="10" t="str">
        <f>"9781446205952"</f>
        <v>9781446205952</v>
      </c>
      <c r="D3064" s="10" t="s">
        <v>9325</v>
      </c>
      <c r="E3064" s="10" t="s">
        <v>9326</v>
      </c>
      <c r="F3064" s="10" t="s">
        <v>139</v>
      </c>
      <c r="G3064" s="10" t="s">
        <v>6352</v>
      </c>
      <c r="H3064" s="11">
        <v>40198</v>
      </c>
      <c r="I3064" s="10">
        <v>2010</v>
      </c>
      <c r="J3064" s="10" t="s">
        <v>9326</v>
      </c>
      <c r="K3064" s="10">
        <v>131</v>
      </c>
      <c r="L3064" s="10" t="s">
        <v>19452</v>
      </c>
      <c r="M3064" s="10">
        <v>1</v>
      </c>
      <c r="N3064" s="10"/>
      <c r="O3064" s="10"/>
      <c r="P3064" s="10" t="s">
        <v>19453</v>
      </c>
      <c r="Q3064" s="10">
        <v>372.18275</v>
      </c>
      <c r="R3064" s="10" t="s">
        <v>19454</v>
      </c>
      <c r="S3064" s="10" t="s">
        <v>53</v>
      </c>
      <c r="T3064" s="10" t="s">
        <v>54</v>
      </c>
    </row>
    <row r="3065" spans="1:20" ht="14.5" x14ac:dyDescent="0.35">
      <c r="A3065" s="10" t="s">
        <v>19455</v>
      </c>
      <c r="B3065" s="10" t="str">
        <f>"9781847873927"</f>
        <v>9781847873927</v>
      </c>
      <c r="C3065" s="10" t="str">
        <f>"9781446205754"</f>
        <v>9781446205754</v>
      </c>
      <c r="D3065" s="10" t="s">
        <v>9325</v>
      </c>
      <c r="E3065" s="10" t="s">
        <v>9326</v>
      </c>
      <c r="F3065" s="10" t="s">
        <v>139</v>
      </c>
      <c r="G3065" s="10" t="s">
        <v>6352</v>
      </c>
      <c r="H3065" s="11">
        <v>39890</v>
      </c>
      <c r="I3065" s="10">
        <v>2009</v>
      </c>
      <c r="J3065" s="10" t="s">
        <v>9326</v>
      </c>
      <c r="K3065" s="10">
        <v>192</v>
      </c>
      <c r="L3065" s="10" t="s">
        <v>19456</v>
      </c>
      <c r="M3065" s="10">
        <v>1</v>
      </c>
      <c r="N3065" s="10"/>
      <c r="O3065" s="10"/>
      <c r="P3065" s="10" t="s">
        <v>19457</v>
      </c>
      <c r="Q3065" s="10">
        <v>305.23200000000003</v>
      </c>
      <c r="R3065" s="10" t="s">
        <v>19458</v>
      </c>
      <c r="S3065" s="10" t="s">
        <v>53</v>
      </c>
      <c r="T3065" s="10" t="s">
        <v>6363</v>
      </c>
    </row>
    <row r="3066" spans="1:20" ht="14.5" x14ac:dyDescent="0.35">
      <c r="A3066" s="10" t="s">
        <v>19459</v>
      </c>
      <c r="B3066" s="10" t="str">
        <f>"9781849206020"</f>
        <v>9781849206020</v>
      </c>
      <c r="C3066" s="10" t="str">
        <f>"9781446247914"</f>
        <v>9781446247914</v>
      </c>
      <c r="D3066" s="10" t="s">
        <v>9325</v>
      </c>
      <c r="E3066" s="10" t="s">
        <v>9326</v>
      </c>
      <c r="F3066" s="10" t="s">
        <v>139</v>
      </c>
      <c r="G3066" s="10" t="s">
        <v>6352</v>
      </c>
      <c r="H3066" s="11">
        <v>40456</v>
      </c>
      <c r="I3066" s="10">
        <v>2010</v>
      </c>
      <c r="J3066" s="10" t="s">
        <v>9326</v>
      </c>
      <c r="K3066" s="10">
        <v>150</v>
      </c>
      <c r="L3066" s="10" t="s">
        <v>19460</v>
      </c>
      <c r="M3066" s="10">
        <v>1</v>
      </c>
      <c r="N3066" s="10"/>
      <c r="O3066" s="10"/>
      <c r="P3066" s="10" t="s">
        <v>19461</v>
      </c>
      <c r="Q3066" s="10">
        <v>372.82044094100002</v>
      </c>
      <c r="R3066" s="10" t="s">
        <v>19462</v>
      </c>
      <c r="S3066" s="10" t="s">
        <v>53</v>
      </c>
      <c r="T3066" s="10" t="s">
        <v>6640</v>
      </c>
    </row>
    <row r="3067" spans="1:20" ht="14.5" x14ac:dyDescent="0.35">
      <c r="A3067" s="10" t="s">
        <v>19463</v>
      </c>
      <c r="B3067" s="10" t="str">
        <f>"9781412922173"</f>
        <v>9781412922173</v>
      </c>
      <c r="C3067" s="10" t="str">
        <f>"9781446204269"</f>
        <v>9781446204269</v>
      </c>
      <c r="D3067" s="10" t="s">
        <v>9325</v>
      </c>
      <c r="E3067" s="10" t="s">
        <v>9326</v>
      </c>
      <c r="F3067" s="10" t="s">
        <v>139</v>
      </c>
      <c r="G3067" s="10" t="s">
        <v>6352</v>
      </c>
      <c r="H3067" s="11">
        <v>40142</v>
      </c>
      <c r="I3067" s="10">
        <v>2010</v>
      </c>
      <c r="J3067" s="10" t="s">
        <v>9326</v>
      </c>
      <c r="K3067" s="10">
        <v>206</v>
      </c>
      <c r="L3067" s="10" t="s">
        <v>19464</v>
      </c>
      <c r="M3067" s="10">
        <v>1</v>
      </c>
      <c r="N3067" s="10"/>
      <c r="O3067" s="10"/>
      <c r="P3067" s="10" t="s">
        <v>19465</v>
      </c>
      <c r="Q3067" s="10">
        <v>300.28553599999998</v>
      </c>
      <c r="R3067" s="10" t="s">
        <v>19466</v>
      </c>
      <c r="S3067" s="10" t="s">
        <v>53</v>
      </c>
      <c r="T3067" s="10" t="s">
        <v>6363</v>
      </c>
    </row>
    <row r="3068" spans="1:20" ht="14.5" x14ac:dyDescent="0.35">
      <c r="A3068" s="10" t="s">
        <v>19467</v>
      </c>
      <c r="B3068" s="10" t="str">
        <f>"9781848606968"</f>
        <v>9781848606968</v>
      </c>
      <c r="C3068" s="10" t="str">
        <f>"9781446203798"</f>
        <v>9781446203798</v>
      </c>
      <c r="D3068" s="10" t="s">
        <v>9325</v>
      </c>
      <c r="E3068" s="10" t="s">
        <v>9326</v>
      </c>
      <c r="F3068" s="10" t="s">
        <v>139</v>
      </c>
      <c r="G3068" s="10" t="s">
        <v>6352</v>
      </c>
      <c r="H3068" s="11">
        <v>40255</v>
      </c>
      <c r="I3068" s="10">
        <v>2010</v>
      </c>
      <c r="J3068" s="10" t="s">
        <v>9326</v>
      </c>
      <c r="K3068" s="10">
        <v>164</v>
      </c>
      <c r="L3068" s="10" t="s">
        <v>12033</v>
      </c>
      <c r="M3068" s="10">
        <v>1</v>
      </c>
      <c r="N3068" s="10"/>
      <c r="O3068" s="10"/>
      <c r="P3068" s="10" t="s">
        <v>19468</v>
      </c>
      <c r="Q3068" s="10">
        <v>371.2</v>
      </c>
      <c r="R3068" s="10" t="s">
        <v>19469</v>
      </c>
      <c r="S3068" s="10" t="s">
        <v>53</v>
      </c>
      <c r="T3068" s="10" t="s">
        <v>54</v>
      </c>
    </row>
    <row r="3069" spans="1:20" ht="14.5" x14ac:dyDescent="0.35">
      <c r="A3069" s="10" t="s">
        <v>19470</v>
      </c>
      <c r="B3069" s="10" t="str">
        <f>"9781847875839"</f>
        <v>9781847875839</v>
      </c>
      <c r="C3069" s="10" t="str">
        <f>"9781446248294"</f>
        <v>9781446248294</v>
      </c>
      <c r="D3069" s="10" t="s">
        <v>9325</v>
      </c>
      <c r="E3069" s="10" t="s">
        <v>9326</v>
      </c>
      <c r="F3069" s="10" t="s">
        <v>139</v>
      </c>
      <c r="G3069" s="10" t="s">
        <v>6352</v>
      </c>
      <c r="H3069" s="11">
        <v>40521</v>
      </c>
      <c r="I3069" s="10">
        <v>2011</v>
      </c>
      <c r="J3069" s="10" t="s">
        <v>9326</v>
      </c>
      <c r="K3069" s="10">
        <v>115</v>
      </c>
      <c r="L3069" s="10" t="s">
        <v>12079</v>
      </c>
      <c r="M3069" s="10">
        <v>1</v>
      </c>
      <c r="N3069" s="10"/>
      <c r="O3069" s="10"/>
      <c r="P3069" s="10" t="s">
        <v>19471</v>
      </c>
      <c r="Q3069" s="10">
        <v>371.10239999999999</v>
      </c>
      <c r="R3069" s="10" t="s">
        <v>19472</v>
      </c>
      <c r="S3069" s="10" t="s">
        <v>53</v>
      </c>
      <c r="T3069" s="10" t="s">
        <v>54</v>
      </c>
    </row>
    <row r="3070" spans="1:20" ht="14.5" x14ac:dyDescent="0.35">
      <c r="A3070" s="10" t="s">
        <v>19473</v>
      </c>
      <c r="B3070" s="10" t="str">
        <f>"9781848601826"</f>
        <v>9781848601826</v>
      </c>
      <c r="C3070" s="10" t="str">
        <f>"9781446203590"</f>
        <v>9781446203590</v>
      </c>
      <c r="D3070" s="10" t="s">
        <v>9325</v>
      </c>
      <c r="E3070" s="10" t="s">
        <v>9326</v>
      </c>
      <c r="F3070" s="10" t="s">
        <v>139</v>
      </c>
      <c r="G3070" s="10" t="s">
        <v>6352</v>
      </c>
      <c r="H3070" s="11">
        <v>39968</v>
      </c>
      <c r="I3070" s="10">
        <v>2009</v>
      </c>
      <c r="J3070" s="10" t="s">
        <v>9326</v>
      </c>
      <c r="K3070" s="10">
        <v>287</v>
      </c>
      <c r="L3070" s="10" t="s">
        <v>19474</v>
      </c>
      <c r="M3070" s="10">
        <v>1</v>
      </c>
      <c r="N3070" s="10"/>
      <c r="O3070" s="10"/>
      <c r="P3070" s="10" t="s">
        <v>19475</v>
      </c>
      <c r="Q3070" s="10">
        <v>370.154</v>
      </c>
      <c r="R3070" s="10" t="s">
        <v>11395</v>
      </c>
      <c r="S3070" s="10" t="s">
        <v>53</v>
      </c>
      <c r="T3070" s="10" t="s">
        <v>54</v>
      </c>
    </row>
    <row r="3071" spans="1:20" ht="14.5" x14ac:dyDescent="0.35">
      <c r="A3071" s="10" t="s">
        <v>19476</v>
      </c>
      <c r="B3071" s="10" t="str">
        <f>"9781848606173"</f>
        <v>9781848606173</v>
      </c>
      <c r="C3071" s="10" t="str">
        <f>"9781446247938"</f>
        <v>9781446247938</v>
      </c>
      <c r="D3071" s="10" t="s">
        <v>9325</v>
      </c>
      <c r="E3071" s="10" t="s">
        <v>9326</v>
      </c>
      <c r="F3071" s="10" t="s">
        <v>139</v>
      </c>
      <c r="G3071" s="10" t="s">
        <v>6352</v>
      </c>
      <c r="H3071" s="11">
        <v>40303</v>
      </c>
      <c r="I3071" s="10">
        <v>2010</v>
      </c>
      <c r="J3071" s="10" t="s">
        <v>9326</v>
      </c>
      <c r="K3071" s="10">
        <v>157</v>
      </c>
      <c r="L3071" s="10" t="s">
        <v>7191</v>
      </c>
      <c r="M3071" s="10">
        <v>1</v>
      </c>
      <c r="N3071" s="10" t="s">
        <v>12043</v>
      </c>
      <c r="O3071" s="10"/>
      <c r="P3071" s="10" t="s">
        <v>19477</v>
      </c>
      <c r="Q3071" s="10">
        <v>378.17939999999999</v>
      </c>
      <c r="R3071" s="10" t="s">
        <v>19478</v>
      </c>
      <c r="S3071" s="10" t="s">
        <v>53</v>
      </c>
      <c r="T3071" s="10" t="s">
        <v>54</v>
      </c>
    </row>
    <row r="3072" spans="1:20" ht="14.5" x14ac:dyDescent="0.35">
      <c r="A3072" s="10" t="s">
        <v>19479</v>
      </c>
      <c r="B3072" s="10" t="str">
        <f>"9780415878470"</f>
        <v>9780415878470</v>
      </c>
      <c r="C3072" s="10" t="str">
        <f>"9780203847848"</f>
        <v>9780203847848</v>
      </c>
      <c r="D3072" s="10" t="s">
        <v>6350</v>
      </c>
      <c r="E3072" s="10" t="s">
        <v>6351</v>
      </c>
      <c r="F3072" s="10" t="s">
        <v>139</v>
      </c>
      <c r="G3072" s="10" t="s">
        <v>6352</v>
      </c>
      <c r="H3072" s="11">
        <v>40759</v>
      </c>
      <c r="I3072" s="10">
        <v>2012</v>
      </c>
      <c r="J3072" s="10" t="s">
        <v>6353</v>
      </c>
      <c r="K3072" s="10">
        <v>277</v>
      </c>
      <c r="L3072" s="10" t="s">
        <v>19480</v>
      </c>
      <c r="M3072" s="10">
        <v>1</v>
      </c>
      <c r="N3072" s="10" t="s">
        <v>14416</v>
      </c>
      <c r="O3072" s="10"/>
      <c r="P3072" s="10" t="s">
        <v>19481</v>
      </c>
      <c r="Q3072" s="10" t="s">
        <v>16754</v>
      </c>
      <c r="R3072" s="10" t="s">
        <v>19482</v>
      </c>
      <c r="S3072" s="10" t="s">
        <v>53</v>
      </c>
      <c r="T3072" s="10" t="s">
        <v>19483</v>
      </c>
    </row>
    <row r="3073" spans="1:20" ht="14.5" x14ac:dyDescent="0.35">
      <c r="A3073" s="10" t="s">
        <v>19484</v>
      </c>
      <c r="B3073" s="10" t="str">
        <f>"9780415801126"</f>
        <v>9780415801126</v>
      </c>
      <c r="C3073" s="10" t="str">
        <f>"9781136861062"</f>
        <v>9781136861062</v>
      </c>
      <c r="D3073" s="10" t="s">
        <v>6350</v>
      </c>
      <c r="E3073" s="10" t="s">
        <v>6351</v>
      </c>
      <c r="F3073" s="10" t="s">
        <v>5406</v>
      </c>
      <c r="G3073" s="10" t="s">
        <v>6317</v>
      </c>
      <c r="H3073" s="11">
        <v>40750</v>
      </c>
      <c r="I3073" s="10">
        <v>2012</v>
      </c>
      <c r="J3073" s="10" t="s">
        <v>6353</v>
      </c>
      <c r="K3073" s="10">
        <v>393</v>
      </c>
      <c r="L3073" s="10" t="s">
        <v>19485</v>
      </c>
      <c r="M3073" s="10">
        <v>2</v>
      </c>
      <c r="N3073" s="10"/>
      <c r="O3073" s="10"/>
      <c r="P3073" s="10" t="s">
        <v>19486</v>
      </c>
      <c r="Q3073" s="10">
        <v>372.4</v>
      </c>
      <c r="R3073" s="10" t="s">
        <v>19487</v>
      </c>
      <c r="S3073" s="10" t="s">
        <v>53</v>
      </c>
      <c r="T3073" s="10" t="s">
        <v>54</v>
      </c>
    </row>
    <row r="3074" spans="1:20" ht="14.5" x14ac:dyDescent="0.35">
      <c r="A3074" s="10" t="s">
        <v>19488</v>
      </c>
      <c r="B3074" s="10" t="str">
        <f>"9780415558594"</f>
        <v>9780415558594</v>
      </c>
      <c r="C3074" s="10" t="str">
        <f>"9780203818206"</f>
        <v>9780203818206</v>
      </c>
      <c r="D3074" s="10" t="s">
        <v>6350</v>
      </c>
      <c r="E3074" s="10" t="s">
        <v>6351</v>
      </c>
      <c r="F3074" s="10" t="s">
        <v>5406</v>
      </c>
      <c r="G3074" s="10" t="s">
        <v>6317</v>
      </c>
      <c r="H3074" s="11">
        <v>40764</v>
      </c>
      <c r="I3074" s="10">
        <v>2012</v>
      </c>
      <c r="J3074" s="10" t="s">
        <v>6353</v>
      </c>
      <c r="K3074" s="10">
        <v>241</v>
      </c>
      <c r="L3074" s="10" t="s">
        <v>19489</v>
      </c>
      <c r="M3074" s="10">
        <v>1</v>
      </c>
      <c r="N3074" s="10"/>
      <c r="O3074" s="10"/>
      <c r="P3074" s="10" t="s">
        <v>19490</v>
      </c>
      <c r="Q3074" s="10">
        <v>371.20699999999999</v>
      </c>
      <c r="R3074" s="10" t="s">
        <v>19491</v>
      </c>
      <c r="S3074" s="10" t="s">
        <v>53</v>
      </c>
      <c r="T3074" s="10" t="s">
        <v>54</v>
      </c>
    </row>
    <row r="3075" spans="1:20" ht="14.5" x14ac:dyDescent="0.35">
      <c r="A3075" s="10" t="s">
        <v>19492</v>
      </c>
      <c r="B3075" s="10" t="str">
        <f>"9780335242894"</f>
        <v>9780335242894</v>
      </c>
      <c r="C3075" s="10" t="str">
        <f>"9780335242917"</f>
        <v>9780335242917</v>
      </c>
      <c r="D3075" s="10" t="s">
        <v>10342</v>
      </c>
      <c r="E3075" s="10" t="s">
        <v>10343</v>
      </c>
      <c r="F3075" s="10" t="s">
        <v>10344</v>
      </c>
      <c r="G3075" s="10" t="s">
        <v>6352</v>
      </c>
      <c r="H3075" s="11">
        <v>40695</v>
      </c>
      <c r="I3075" s="10">
        <v>2011</v>
      </c>
      <c r="J3075" s="10" t="s">
        <v>10345</v>
      </c>
      <c r="K3075" s="10">
        <v>242</v>
      </c>
      <c r="L3075" s="10" t="s">
        <v>19493</v>
      </c>
      <c r="M3075" s="10">
        <v>1</v>
      </c>
      <c r="N3075" s="10" t="s">
        <v>10347</v>
      </c>
      <c r="O3075" s="10"/>
      <c r="P3075" s="10" t="s">
        <v>19494</v>
      </c>
      <c r="Q3075" s="10">
        <v>420.71199999999999</v>
      </c>
      <c r="R3075" s="10" t="s">
        <v>19495</v>
      </c>
      <c r="S3075" s="10" t="s">
        <v>53</v>
      </c>
      <c r="T3075" s="10" t="s">
        <v>6616</v>
      </c>
    </row>
    <row r="3076" spans="1:20" ht="14.5" x14ac:dyDescent="0.35">
      <c r="A3076" s="10" t="s">
        <v>19496</v>
      </c>
      <c r="B3076" s="10" t="str">
        <f>"9780335238200"</f>
        <v>9780335238200</v>
      </c>
      <c r="C3076" s="10" t="str">
        <f>"9780335238224"</f>
        <v>9780335238224</v>
      </c>
      <c r="D3076" s="10" t="s">
        <v>10342</v>
      </c>
      <c r="E3076" s="10" t="s">
        <v>10343</v>
      </c>
      <c r="F3076" s="10" t="s">
        <v>10354</v>
      </c>
      <c r="G3076" s="10" t="s">
        <v>6352</v>
      </c>
      <c r="H3076" s="11">
        <v>40725</v>
      </c>
      <c r="I3076" s="10">
        <v>2010</v>
      </c>
      <c r="J3076" s="10" t="s">
        <v>10345</v>
      </c>
      <c r="K3076" s="10">
        <v>202</v>
      </c>
      <c r="L3076" s="10" t="s">
        <v>19497</v>
      </c>
      <c r="M3076" s="10">
        <v>1</v>
      </c>
      <c r="N3076" s="10" t="s">
        <v>10347</v>
      </c>
      <c r="O3076" s="10"/>
      <c r="P3076" s="10" t="s">
        <v>19498</v>
      </c>
      <c r="Q3076" s="10">
        <v>907.1241</v>
      </c>
      <c r="R3076" s="10" t="s">
        <v>13446</v>
      </c>
      <c r="S3076" s="10" t="s">
        <v>53</v>
      </c>
      <c r="T3076" s="10" t="s">
        <v>7711</v>
      </c>
    </row>
    <row r="3077" spans="1:20" ht="14.5" x14ac:dyDescent="0.35">
      <c r="A3077" s="10" t="s">
        <v>19499</v>
      </c>
      <c r="B3077" s="10" t="str">
        <f>"9781845401009"</f>
        <v>9781845401009</v>
      </c>
      <c r="C3077" s="10" t="str">
        <f>"9781845402723"</f>
        <v>9781845402723</v>
      </c>
      <c r="D3077" s="10" t="s">
        <v>19500</v>
      </c>
      <c r="E3077" s="10" t="s">
        <v>19501</v>
      </c>
      <c r="F3077" s="10" t="s">
        <v>19502</v>
      </c>
      <c r="G3077" s="10" t="s">
        <v>6352</v>
      </c>
      <c r="H3077" s="11">
        <v>39202</v>
      </c>
      <c r="I3077" s="10">
        <v>2005</v>
      </c>
      <c r="J3077" s="10" t="s">
        <v>19503</v>
      </c>
      <c r="K3077" s="10">
        <v>289</v>
      </c>
      <c r="L3077" s="10" t="s">
        <v>19504</v>
      </c>
      <c r="M3077" s="10">
        <v>1</v>
      </c>
      <c r="N3077" s="10" t="s">
        <v>19505</v>
      </c>
      <c r="O3077" s="10">
        <v>5</v>
      </c>
      <c r="P3077" s="10" t="s">
        <v>19506</v>
      </c>
      <c r="Q3077" s="10">
        <v>378.01</v>
      </c>
      <c r="R3077" s="10" t="s">
        <v>19507</v>
      </c>
      <c r="S3077" s="10" t="s">
        <v>53</v>
      </c>
      <c r="T3077" s="10" t="s">
        <v>54</v>
      </c>
    </row>
    <row r="3078" spans="1:20" ht="14.5" x14ac:dyDescent="0.35">
      <c r="A3078" s="10" t="s">
        <v>19508</v>
      </c>
      <c r="B3078" s="10" t="str">
        <f>"9781845401139"</f>
        <v>9781845401139</v>
      </c>
      <c r="C3078" s="10" t="str">
        <f>"9781845402785"</f>
        <v>9781845402785</v>
      </c>
      <c r="D3078" s="10" t="s">
        <v>19500</v>
      </c>
      <c r="E3078" s="10" t="s">
        <v>19501</v>
      </c>
      <c r="F3078" s="10" t="s">
        <v>19502</v>
      </c>
      <c r="G3078" s="10" t="s">
        <v>6352</v>
      </c>
      <c r="H3078" s="11">
        <v>39539</v>
      </c>
      <c r="I3078" s="10">
        <v>2008</v>
      </c>
      <c r="J3078" s="10" t="s">
        <v>19503</v>
      </c>
      <c r="K3078" s="10">
        <v>383</v>
      </c>
      <c r="L3078" s="10" t="s">
        <v>19509</v>
      </c>
      <c r="M3078" s="10">
        <v>1</v>
      </c>
      <c r="N3078" s="10" t="s">
        <v>19510</v>
      </c>
      <c r="O3078" s="10">
        <v>9</v>
      </c>
      <c r="P3078" s="10" t="s">
        <v>19511</v>
      </c>
      <c r="Q3078" s="10">
        <v>370.11200000000002</v>
      </c>
      <c r="R3078" s="10" t="s">
        <v>19512</v>
      </c>
      <c r="S3078" s="10" t="s">
        <v>53</v>
      </c>
      <c r="T3078" s="10" t="s">
        <v>54</v>
      </c>
    </row>
    <row r="3079" spans="1:20" ht="14.5" x14ac:dyDescent="0.35">
      <c r="A3079" s="10" t="s">
        <v>19513</v>
      </c>
      <c r="B3079" s="10" t="str">
        <f>"9781845402426"</f>
        <v>9781845402426</v>
      </c>
      <c r="C3079" s="10" t="str">
        <f>"9781845402945"</f>
        <v>9781845402945</v>
      </c>
      <c r="D3079" s="10" t="s">
        <v>19500</v>
      </c>
      <c r="E3079" s="10" t="s">
        <v>19501</v>
      </c>
      <c r="F3079" s="10" t="s">
        <v>19502</v>
      </c>
      <c r="G3079" s="10" t="s">
        <v>6352</v>
      </c>
      <c r="H3079" s="11">
        <v>40730</v>
      </c>
      <c r="I3079" s="10">
        <v>2011</v>
      </c>
      <c r="J3079" s="10" t="s">
        <v>19503</v>
      </c>
      <c r="K3079" s="10">
        <v>276</v>
      </c>
      <c r="L3079" s="10" t="s">
        <v>19514</v>
      </c>
      <c r="M3079" s="10">
        <v>1</v>
      </c>
      <c r="N3079" s="10" t="s">
        <v>19515</v>
      </c>
      <c r="O3079" s="10">
        <v>16</v>
      </c>
      <c r="P3079" s="10" t="s">
        <v>19516</v>
      </c>
      <c r="Q3079" s="10">
        <v>370.1</v>
      </c>
      <c r="R3079" s="10" t="s">
        <v>6967</v>
      </c>
      <c r="S3079" s="10" t="s">
        <v>53</v>
      </c>
      <c r="T3079" s="10" t="s">
        <v>54</v>
      </c>
    </row>
    <row r="3080" spans="1:20" ht="14.5" x14ac:dyDescent="0.35">
      <c r="A3080" s="10" t="s">
        <v>19517</v>
      </c>
      <c r="B3080" s="10" t="str">
        <f>"9781572337596"</f>
        <v>9781572337596</v>
      </c>
      <c r="C3080" s="10" t="str">
        <f>"9781572337961"</f>
        <v>9781572337961</v>
      </c>
      <c r="D3080" s="10" t="s">
        <v>18125</v>
      </c>
      <c r="E3080" s="10" t="s">
        <v>18125</v>
      </c>
      <c r="F3080" s="10" t="s">
        <v>2644</v>
      </c>
      <c r="G3080" s="10" t="s">
        <v>6317</v>
      </c>
      <c r="H3080" s="11">
        <v>40678</v>
      </c>
      <c r="I3080" s="10">
        <v>2011</v>
      </c>
      <c r="J3080" s="10" t="s">
        <v>18125</v>
      </c>
      <c r="K3080" s="10">
        <v>105</v>
      </c>
      <c r="L3080" s="10" t="s">
        <v>19518</v>
      </c>
      <c r="M3080" s="10">
        <v>1</v>
      </c>
      <c r="N3080" s="10"/>
      <c r="O3080" s="10"/>
      <c r="P3080" s="10" t="s">
        <v>19519</v>
      </c>
      <c r="Q3080" s="10" t="s">
        <v>16786</v>
      </c>
      <c r="R3080" s="10" t="s">
        <v>19520</v>
      </c>
      <c r="S3080" s="10" t="s">
        <v>53</v>
      </c>
      <c r="T3080" s="10" t="s">
        <v>19372</v>
      </c>
    </row>
    <row r="3081" spans="1:20" ht="14.5" x14ac:dyDescent="0.35">
      <c r="A3081" s="10" t="s">
        <v>19521</v>
      </c>
      <c r="B3081" s="10" t="str">
        <f>"9780340808009"</f>
        <v>9780340808009</v>
      </c>
      <c r="C3081" s="10" t="str">
        <f>"9781444144680"</f>
        <v>9781444144680</v>
      </c>
      <c r="D3081" s="10" t="s">
        <v>6350</v>
      </c>
      <c r="E3081" s="10" t="s">
        <v>6351</v>
      </c>
      <c r="F3081" s="10" t="s">
        <v>139</v>
      </c>
      <c r="G3081" s="10" t="s">
        <v>6352</v>
      </c>
      <c r="H3081" s="11">
        <v>38051</v>
      </c>
      <c r="I3081" s="10">
        <v>2004</v>
      </c>
      <c r="J3081" s="10" t="s">
        <v>6353</v>
      </c>
      <c r="K3081" s="10">
        <v>215</v>
      </c>
      <c r="L3081" s="10" t="s">
        <v>19522</v>
      </c>
      <c r="M3081" s="10">
        <v>1</v>
      </c>
      <c r="N3081" s="10" t="s">
        <v>19523</v>
      </c>
      <c r="O3081" s="10"/>
      <c r="P3081" s="10" t="s">
        <v>19524</v>
      </c>
      <c r="Q3081" s="10">
        <v>302.2244</v>
      </c>
      <c r="R3081" s="10" t="s">
        <v>19525</v>
      </c>
      <c r="S3081" s="10" t="s">
        <v>53</v>
      </c>
      <c r="T3081" s="10" t="s">
        <v>6526</v>
      </c>
    </row>
    <row r="3082" spans="1:20" ht="14.5" x14ac:dyDescent="0.35">
      <c r="A3082" s="10" t="s">
        <v>19526</v>
      </c>
      <c r="B3082" s="10" t="str">
        <f>"9780199295845"</f>
        <v>9780199295845</v>
      </c>
      <c r="C3082" s="10" t="str">
        <f>"9780191559044"</f>
        <v>9780191559044</v>
      </c>
      <c r="D3082" s="10" t="s">
        <v>9122</v>
      </c>
      <c r="E3082" s="10" t="s">
        <v>9133</v>
      </c>
      <c r="F3082" s="10" t="s">
        <v>748</v>
      </c>
      <c r="G3082" s="10" t="s">
        <v>6352</v>
      </c>
      <c r="H3082" s="11">
        <v>40542</v>
      </c>
      <c r="I3082" s="10">
        <v>2009</v>
      </c>
      <c r="J3082" s="10" t="s">
        <v>9133</v>
      </c>
      <c r="K3082" s="10">
        <v>398</v>
      </c>
      <c r="L3082" s="10" t="s">
        <v>19527</v>
      </c>
      <c r="M3082" s="10">
        <v>1</v>
      </c>
      <c r="N3082" s="10"/>
      <c r="O3082" s="10"/>
      <c r="P3082" s="10" t="s">
        <v>19528</v>
      </c>
      <c r="Q3082" s="10">
        <v>378.42574092000001</v>
      </c>
      <c r="R3082" s="10" t="s">
        <v>19529</v>
      </c>
      <c r="S3082" s="10" t="s">
        <v>53</v>
      </c>
      <c r="T3082" s="10" t="s">
        <v>54</v>
      </c>
    </row>
    <row r="3083" spans="1:20" ht="14.5" x14ac:dyDescent="0.35">
      <c r="A3083" s="10" t="s">
        <v>19530</v>
      </c>
      <c r="B3083" s="10" t="str">
        <f>"9783531159546"</f>
        <v>9783531159546</v>
      </c>
      <c r="C3083" s="10" t="str">
        <f>"9783531911236"</f>
        <v>9783531911236</v>
      </c>
      <c r="D3083" s="10" t="s">
        <v>11249</v>
      </c>
      <c r="E3083" s="10" t="s">
        <v>19531</v>
      </c>
      <c r="F3083" s="10" t="s">
        <v>19532</v>
      </c>
      <c r="G3083" s="10" t="s">
        <v>9998</v>
      </c>
      <c r="H3083" s="11">
        <v>39674</v>
      </c>
      <c r="I3083" s="10">
        <v>2008</v>
      </c>
      <c r="J3083" s="10" t="s">
        <v>19531</v>
      </c>
      <c r="K3083" s="10">
        <v>110</v>
      </c>
      <c r="L3083" s="10" t="s">
        <v>19533</v>
      </c>
      <c r="M3083" s="10">
        <v>1</v>
      </c>
      <c r="N3083" s="10"/>
      <c r="O3083" s="10"/>
      <c r="P3083" s="10" t="s">
        <v>19534</v>
      </c>
      <c r="Q3083" s="10"/>
      <c r="R3083" s="10" t="s">
        <v>54</v>
      </c>
      <c r="S3083" s="10" t="s">
        <v>53</v>
      </c>
      <c r="T3083" s="10" t="s">
        <v>54</v>
      </c>
    </row>
    <row r="3084" spans="1:20" ht="14.5" x14ac:dyDescent="0.35">
      <c r="A3084" s="10" t="s">
        <v>19535</v>
      </c>
      <c r="B3084" s="10" t="str">
        <f>"9789027241832"</f>
        <v>9789027241832</v>
      </c>
      <c r="C3084" s="10" t="str">
        <f>"9789027285096"</f>
        <v>9789027285096</v>
      </c>
      <c r="D3084" s="10" t="s">
        <v>17335</v>
      </c>
      <c r="E3084" s="10" t="s">
        <v>17336</v>
      </c>
      <c r="F3084" s="10" t="s">
        <v>19536</v>
      </c>
      <c r="G3084" s="10" t="s">
        <v>9233</v>
      </c>
      <c r="H3084" s="11">
        <v>40770</v>
      </c>
      <c r="I3084" s="10">
        <v>2011</v>
      </c>
      <c r="J3084" s="10" t="s">
        <v>17336</v>
      </c>
      <c r="K3084" s="10">
        <v>338</v>
      </c>
      <c r="L3084" s="10" t="s">
        <v>19537</v>
      </c>
      <c r="M3084" s="10">
        <v>1</v>
      </c>
      <c r="N3084" s="10"/>
      <c r="O3084" s="10"/>
      <c r="P3084" s="10" t="s">
        <v>19538</v>
      </c>
      <c r="Q3084" s="10" t="s">
        <v>14502</v>
      </c>
      <c r="R3084" s="10" t="s">
        <v>19539</v>
      </c>
      <c r="S3084" s="10" t="s">
        <v>53</v>
      </c>
      <c r="T3084" s="10" t="s">
        <v>54</v>
      </c>
    </row>
    <row r="3085" spans="1:20" ht="14.5" x14ac:dyDescent="0.35">
      <c r="A3085" s="10" t="s">
        <v>19540</v>
      </c>
      <c r="B3085" s="10" t="str">
        <f>"9780804772662"</f>
        <v>9780804772662</v>
      </c>
      <c r="C3085" s="10" t="str">
        <f>"9780804781756"</f>
        <v>9780804781756</v>
      </c>
      <c r="D3085" s="10" t="s">
        <v>16213</v>
      </c>
      <c r="E3085" s="10" t="s">
        <v>16213</v>
      </c>
      <c r="F3085" s="10" t="s">
        <v>16214</v>
      </c>
      <c r="G3085" s="10" t="s">
        <v>6317</v>
      </c>
      <c r="H3085" s="11">
        <v>40756</v>
      </c>
      <c r="I3085" s="10">
        <v>2011</v>
      </c>
      <c r="J3085" s="10" t="s">
        <v>16213</v>
      </c>
      <c r="K3085" s="10">
        <v>279</v>
      </c>
      <c r="L3085" s="10" t="s">
        <v>19541</v>
      </c>
      <c r="M3085" s="10">
        <v>1</v>
      </c>
      <c r="N3085" s="10"/>
      <c r="O3085" s="10"/>
      <c r="P3085" s="10" t="s">
        <v>12453</v>
      </c>
      <c r="Q3085" s="10">
        <v>370.11599999999999</v>
      </c>
      <c r="R3085" s="10" t="s">
        <v>19542</v>
      </c>
      <c r="S3085" s="10" t="s">
        <v>53</v>
      </c>
      <c r="T3085" s="10" t="s">
        <v>54</v>
      </c>
    </row>
    <row r="3086" spans="1:20" ht="14.5" x14ac:dyDescent="0.35">
      <c r="A3086" s="10" t="s">
        <v>19543</v>
      </c>
      <c r="B3086" s="10" t="str">
        <f>"9781610481052"</f>
        <v>9781610481052</v>
      </c>
      <c r="C3086" s="10" t="str">
        <f>"9781610481069"</f>
        <v>9781610481069</v>
      </c>
      <c r="D3086" s="10" t="s">
        <v>9752</v>
      </c>
      <c r="E3086" s="10" t="s">
        <v>15192</v>
      </c>
      <c r="F3086" s="10" t="s">
        <v>9754</v>
      </c>
      <c r="G3086" s="10" t="s">
        <v>6317</v>
      </c>
      <c r="H3086" s="11">
        <v>40745</v>
      </c>
      <c r="I3086" s="10">
        <v>2011</v>
      </c>
      <c r="J3086" s="10" t="s">
        <v>15192</v>
      </c>
      <c r="K3086" s="10">
        <v>127</v>
      </c>
      <c r="L3086" s="10" t="s">
        <v>19544</v>
      </c>
      <c r="M3086" s="10">
        <v>1</v>
      </c>
      <c r="N3086" s="10"/>
      <c r="O3086" s="10"/>
      <c r="P3086" s="10" t="s">
        <v>19545</v>
      </c>
      <c r="Q3086" s="10" t="s">
        <v>14718</v>
      </c>
      <c r="R3086" s="10" t="s">
        <v>19546</v>
      </c>
      <c r="S3086" s="10" t="s">
        <v>53</v>
      </c>
      <c r="T3086" s="10" t="s">
        <v>54</v>
      </c>
    </row>
    <row r="3087" spans="1:20" ht="14.5" x14ac:dyDescent="0.35">
      <c r="A3087" s="10" t="s">
        <v>19547</v>
      </c>
      <c r="B3087" s="10" t="str">
        <f>"9780804760188"</f>
        <v>9780804760188</v>
      </c>
      <c r="C3087" s="10" t="str">
        <f>"9780804779142"</f>
        <v>9780804779142</v>
      </c>
      <c r="D3087" s="10" t="s">
        <v>16213</v>
      </c>
      <c r="E3087" s="10" t="s">
        <v>16213</v>
      </c>
      <c r="F3087" s="10" t="s">
        <v>16214</v>
      </c>
      <c r="G3087" s="10" t="s">
        <v>6317</v>
      </c>
      <c r="H3087" s="11">
        <v>40807</v>
      </c>
      <c r="I3087" s="10">
        <v>2011</v>
      </c>
      <c r="J3087" s="10" t="s">
        <v>16213</v>
      </c>
      <c r="K3087" s="10">
        <v>215</v>
      </c>
      <c r="L3087" s="10" t="s">
        <v>19548</v>
      </c>
      <c r="M3087" s="10">
        <v>1</v>
      </c>
      <c r="N3087" s="10"/>
      <c r="O3087" s="10"/>
      <c r="P3087" s="10" t="s">
        <v>19549</v>
      </c>
      <c r="Q3087" s="10" t="s">
        <v>14718</v>
      </c>
      <c r="R3087" s="10" t="s">
        <v>19550</v>
      </c>
      <c r="S3087" s="10" t="s">
        <v>53</v>
      </c>
      <c r="T3087" s="10" t="s">
        <v>54</v>
      </c>
    </row>
    <row r="3088" spans="1:20" ht="14.5" x14ac:dyDescent="0.35">
      <c r="A3088" s="10" t="s">
        <v>19551</v>
      </c>
      <c r="B3088" s="10" t="str">
        <f>"9781609184889"</f>
        <v>9781609184889</v>
      </c>
      <c r="C3088" s="10" t="str">
        <f>"9781609184896"</f>
        <v>9781609184896</v>
      </c>
      <c r="D3088" s="10" t="s">
        <v>11213</v>
      </c>
      <c r="E3088" s="10" t="s">
        <v>11214</v>
      </c>
      <c r="F3088" s="10" t="s">
        <v>70</v>
      </c>
      <c r="G3088" s="10" t="s">
        <v>6317</v>
      </c>
      <c r="H3088" s="11">
        <v>40756</v>
      </c>
      <c r="I3088" s="10">
        <v>2011</v>
      </c>
      <c r="J3088" s="10" t="s">
        <v>11215</v>
      </c>
      <c r="K3088" s="10">
        <v>192</v>
      </c>
      <c r="L3088" s="10" t="s">
        <v>19552</v>
      </c>
      <c r="M3088" s="10">
        <v>1</v>
      </c>
      <c r="N3088" s="10"/>
      <c r="O3088" s="10"/>
      <c r="P3088" s="10" t="s">
        <v>19553</v>
      </c>
      <c r="Q3088" s="10" t="s">
        <v>18706</v>
      </c>
      <c r="R3088" s="10" t="s">
        <v>11223</v>
      </c>
      <c r="S3088" s="10" t="s">
        <v>53</v>
      </c>
      <c r="T3088" s="10" t="s">
        <v>54</v>
      </c>
    </row>
    <row r="3089" spans="1:20" ht="14.5" x14ac:dyDescent="0.35">
      <c r="A3089" s="10" t="s">
        <v>19554</v>
      </c>
      <c r="B3089" s="10" t="str">
        <f>"9781936137329"</f>
        <v>9781936137329</v>
      </c>
      <c r="C3089" s="10" t="str">
        <f>"9781936137428"</f>
        <v>9781936137428</v>
      </c>
      <c r="D3089" s="10" t="s">
        <v>3386</v>
      </c>
      <c r="E3089" s="10" t="s">
        <v>3386</v>
      </c>
      <c r="F3089" s="10" t="s">
        <v>9597</v>
      </c>
      <c r="G3089" s="10" t="s">
        <v>6317</v>
      </c>
      <c r="H3089" s="11">
        <v>40695</v>
      </c>
      <c r="I3089" s="10">
        <v>2011</v>
      </c>
      <c r="J3089" s="10" t="s">
        <v>3386</v>
      </c>
      <c r="K3089" s="10">
        <v>185</v>
      </c>
      <c r="L3089" s="10" t="s">
        <v>19555</v>
      </c>
      <c r="M3089" s="10">
        <v>1</v>
      </c>
      <c r="N3089" s="10"/>
      <c r="O3089" s="10"/>
      <c r="P3089" s="10" t="s">
        <v>19556</v>
      </c>
      <c r="Q3089" s="10">
        <v>500</v>
      </c>
      <c r="R3089" s="10" t="s">
        <v>19557</v>
      </c>
      <c r="S3089" s="10" t="s">
        <v>53</v>
      </c>
      <c r="T3089" s="10" t="s">
        <v>7193</v>
      </c>
    </row>
    <row r="3090" spans="1:20" ht="14.5" x14ac:dyDescent="0.35">
      <c r="A3090" s="10" t="s">
        <v>19558</v>
      </c>
      <c r="B3090" s="10" t="str">
        <f>"9781936137152"</f>
        <v>9781936137152</v>
      </c>
      <c r="C3090" s="10" t="str">
        <f>"9781936137459"</f>
        <v>9781936137459</v>
      </c>
      <c r="D3090" s="10" t="s">
        <v>3386</v>
      </c>
      <c r="E3090" s="10" t="s">
        <v>3386</v>
      </c>
      <c r="F3090" s="10" t="s">
        <v>9597</v>
      </c>
      <c r="G3090" s="10" t="s">
        <v>6317</v>
      </c>
      <c r="H3090" s="11">
        <v>40694</v>
      </c>
      <c r="I3090" s="10">
        <v>2011</v>
      </c>
      <c r="J3090" s="10" t="s">
        <v>3386</v>
      </c>
      <c r="K3090" s="10">
        <v>273</v>
      </c>
      <c r="L3090" s="10" t="s">
        <v>19559</v>
      </c>
      <c r="M3090" s="10">
        <v>1</v>
      </c>
      <c r="N3090" s="10"/>
      <c r="O3090" s="10"/>
      <c r="P3090" s="10" t="s">
        <v>19560</v>
      </c>
      <c r="Q3090" s="10"/>
      <c r="R3090" s="10" t="s">
        <v>19561</v>
      </c>
      <c r="S3090" s="10" t="s">
        <v>53</v>
      </c>
      <c r="T3090" s="10" t="s">
        <v>54</v>
      </c>
    </row>
    <row r="3091" spans="1:20" ht="14.5" x14ac:dyDescent="0.35">
      <c r="A3091" s="10" t="s">
        <v>19562</v>
      </c>
      <c r="B3091" s="10" t="str">
        <f>"9781936137169"</f>
        <v>9781936137169</v>
      </c>
      <c r="C3091" s="10" t="str">
        <f>"9781936137466"</f>
        <v>9781936137466</v>
      </c>
      <c r="D3091" s="10" t="s">
        <v>3386</v>
      </c>
      <c r="E3091" s="10" t="s">
        <v>3386</v>
      </c>
      <c r="F3091" s="10" t="s">
        <v>9597</v>
      </c>
      <c r="G3091" s="10" t="s">
        <v>6317</v>
      </c>
      <c r="H3091" s="11">
        <v>40695</v>
      </c>
      <c r="I3091" s="10">
        <v>2011</v>
      </c>
      <c r="J3091" s="10" t="s">
        <v>3386</v>
      </c>
      <c r="K3091" s="10">
        <v>153</v>
      </c>
      <c r="L3091" s="10" t="s">
        <v>19563</v>
      </c>
      <c r="M3091" s="10">
        <v>1</v>
      </c>
      <c r="N3091" s="10"/>
      <c r="O3091" s="10"/>
      <c r="P3091" s="10" t="s">
        <v>19564</v>
      </c>
      <c r="Q3091" s="10" t="s">
        <v>19565</v>
      </c>
      <c r="R3091" s="10" t="s">
        <v>19566</v>
      </c>
      <c r="S3091" s="10" t="s">
        <v>53</v>
      </c>
      <c r="T3091" s="10" t="s">
        <v>54</v>
      </c>
    </row>
    <row r="3092" spans="1:20" ht="14.5" x14ac:dyDescent="0.35">
      <c r="A3092" s="10" t="s">
        <v>19567</v>
      </c>
      <c r="B3092" s="10" t="str">
        <f>"9781936137114"</f>
        <v>9781936137114</v>
      </c>
      <c r="C3092" s="10" t="str">
        <f>"9781936137473"</f>
        <v>9781936137473</v>
      </c>
      <c r="D3092" s="10" t="s">
        <v>3386</v>
      </c>
      <c r="E3092" s="10" t="s">
        <v>3386</v>
      </c>
      <c r="F3092" s="10" t="s">
        <v>9597</v>
      </c>
      <c r="G3092" s="10" t="s">
        <v>6317</v>
      </c>
      <c r="H3092" s="11">
        <v>40603</v>
      </c>
      <c r="I3092" s="10">
        <v>2011</v>
      </c>
      <c r="J3092" s="10" t="s">
        <v>3386</v>
      </c>
      <c r="K3092" s="10">
        <v>217</v>
      </c>
      <c r="L3092" s="10" t="s">
        <v>19568</v>
      </c>
      <c r="M3092" s="10">
        <v>1</v>
      </c>
      <c r="N3092" s="10"/>
      <c r="O3092" s="10"/>
      <c r="P3092" s="10" t="s">
        <v>19569</v>
      </c>
      <c r="Q3092" s="10" t="s">
        <v>19565</v>
      </c>
      <c r="R3092" s="10" t="s">
        <v>19570</v>
      </c>
      <c r="S3092" s="10" t="s">
        <v>53</v>
      </c>
      <c r="T3092" s="10" t="s">
        <v>9291</v>
      </c>
    </row>
    <row r="3093" spans="1:20" ht="14.5" x14ac:dyDescent="0.35">
      <c r="A3093" s="10" t="s">
        <v>19571</v>
      </c>
      <c r="B3093" s="10" t="str">
        <f>"9780199793594"</f>
        <v>9780199793594</v>
      </c>
      <c r="C3093" s="10" t="str">
        <f>"9780199793716"</f>
        <v>9780199793716</v>
      </c>
      <c r="D3093" s="10" t="s">
        <v>9122</v>
      </c>
      <c r="E3093" s="10" t="s">
        <v>9133</v>
      </c>
      <c r="F3093" s="10" t="s">
        <v>330</v>
      </c>
      <c r="G3093" s="10" t="s">
        <v>6317</v>
      </c>
      <c r="H3093" s="11">
        <v>40819</v>
      </c>
      <c r="I3093" s="10">
        <v>2011</v>
      </c>
      <c r="J3093" s="10" t="s">
        <v>9133</v>
      </c>
      <c r="K3093" s="10">
        <v>337</v>
      </c>
      <c r="L3093" s="10" t="s">
        <v>19572</v>
      </c>
      <c r="M3093" s="10">
        <v>1</v>
      </c>
      <c r="N3093" s="10"/>
      <c r="O3093" s="10"/>
      <c r="P3093" s="10" t="s">
        <v>19573</v>
      </c>
      <c r="Q3093" s="10" t="s">
        <v>8460</v>
      </c>
      <c r="R3093" s="10" t="s">
        <v>19574</v>
      </c>
      <c r="S3093" s="10" t="s">
        <v>53</v>
      </c>
      <c r="T3093" s="10" t="s">
        <v>54</v>
      </c>
    </row>
    <row r="3094" spans="1:20" ht="14.5" x14ac:dyDescent="0.35">
      <c r="A3094" s="10" t="s">
        <v>19575</v>
      </c>
      <c r="B3094" s="10" t="str">
        <f>"9781604734638"</f>
        <v>9781604734638</v>
      </c>
      <c r="C3094" s="10" t="str">
        <f>"9781604734645"</f>
        <v>9781604734645</v>
      </c>
      <c r="D3094" s="10" t="s">
        <v>16047</v>
      </c>
      <c r="E3094" s="10" t="s">
        <v>19576</v>
      </c>
      <c r="F3094" s="10" t="s">
        <v>16048</v>
      </c>
      <c r="G3094" s="10" t="s">
        <v>6317</v>
      </c>
      <c r="H3094" s="11">
        <v>40420</v>
      </c>
      <c r="I3094" s="10">
        <v>2010</v>
      </c>
      <c r="J3094" s="10" t="s">
        <v>19576</v>
      </c>
      <c r="K3094" s="10">
        <v>455</v>
      </c>
      <c r="L3094" s="10" t="s">
        <v>19577</v>
      </c>
      <c r="M3094" s="10">
        <v>1</v>
      </c>
      <c r="N3094" s="10"/>
      <c r="O3094" s="10"/>
      <c r="P3094" s="10" t="s">
        <v>19578</v>
      </c>
      <c r="Q3094" s="10" t="s">
        <v>19579</v>
      </c>
      <c r="R3094" s="10" t="s">
        <v>19580</v>
      </c>
      <c r="S3094" s="10" t="s">
        <v>53</v>
      </c>
      <c r="T3094" s="10" t="s">
        <v>54</v>
      </c>
    </row>
    <row r="3095" spans="1:20" ht="14.5" x14ac:dyDescent="0.35">
      <c r="A3095" s="10" t="s">
        <v>19581</v>
      </c>
      <c r="B3095" s="10" t="str">
        <f>"9781416612957"</f>
        <v>9781416612957</v>
      </c>
      <c r="C3095" s="10" t="str">
        <f>"9781416614012"</f>
        <v>9781416614012</v>
      </c>
      <c r="D3095" s="10" t="s">
        <v>10014</v>
      </c>
      <c r="E3095" s="10" t="s">
        <v>10015</v>
      </c>
      <c r="F3095" s="10" t="s">
        <v>201</v>
      </c>
      <c r="G3095" s="10" t="s">
        <v>6317</v>
      </c>
      <c r="H3095" s="11">
        <v>40756</v>
      </c>
      <c r="I3095" s="10">
        <v>2011</v>
      </c>
      <c r="J3095" s="10" t="s">
        <v>10015</v>
      </c>
      <c r="K3095" s="10">
        <v>195</v>
      </c>
      <c r="L3095" s="10" t="s">
        <v>19582</v>
      </c>
      <c r="M3095" s="10">
        <v>1</v>
      </c>
      <c r="N3095" s="10"/>
      <c r="O3095" s="10"/>
      <c r="P3095" s="10" t="s">
        <v>19583</v>
      </c>
      <c r="Q3095" s="10" t="s">
        <v>8460</v>
      </c>
      <c r="R3095" s="10" t="s">
        <v>19584</v>
      </c>
      <c r="S3095" s="10" t="s">
        <v>53</v>
      </c>
      <c r="T3095" s="10" t="s">
        <v>54</v>
      </c>
    </row>
    <row r="3096" spans="1:20" ht="14.5" x14ac:dyDescent="0.35">
      <c r="A3096" s="10" t="s">
        <v>19585</v>
      </c>
      <c r="B3096" s="10" t="str">
        <f>"9781847061676"</f>
        <v>9781847061676</v>
      </c>
      <c r="C3096" s="10" t="str">
        <f>"9781441146205"</f>
        <v>9781441146205</v>
      </c>
      <c r="D3096" s="10" t="s">
        <v>13959</v>
      </c>
      <c r="E3096" s="10" t="s">
        <v>13960</v>
      </c>
      <c r="F3096" s="10" t="s">
        <v>139</v>
      </c>
      <c r="G3096" s="10" t="s">
        <v>6352</v>
      </c>
      <c r="H3096" s="11">
        <v>40836</v>
      </c>
      <c r="I3096" s="10">
        <v>2011</v>
      </c>
      <c r="J3096" s="10" t="s">
        <v>13960</v>
      </c>
      <c r="K3096" s="10">
        <v>133</v>
      </c>
      <c r="L3096" s="10" t="s">
        <v>19586</v>
      </c>
      <c r="M3096" s="10">
        <v>1</v>
      </c>
      <c r="N3096" s="10" t="s">
        <v>16919</v>
      </c>
      <c r="O3096" s="10"/>
      <c r="P3096" s="10" t="s">
        <v>19587</v>
      </c>
      <c r="Q3096" s="10" t="s">
        <v>19588</v>
      </c>
      <c r="R3096" s="10" t="s">
        <v>19589</v>
      </c>
      <c r="S3096" s="10" t="s">
        <v>53</v>
      </c>
      <c r="T3096" s="10" t="s">
        <v>12094</v>
      </c>
    </row>
    <row r="3097" spans="1:20" ht="14.5" x14ac:dyDescent="0.35">
      <c r="A3097" s="10" t="s">
        <v>19590</v>
      </c>
      <c r="B3097" s="10" t="str">
        <f>"9789400715509"</f>
        <v>9789400715509</v>
      </c>
      <c r="C3097" s="10" t="str">
        <f>"9789400715516"</f>
        <v>9789400715516</v>
      </c>
      <c r="D3097" s="10" t="s">
        <v>11249</v>
      </c>
      <c r="E3097" s="10" t="s">
        <v>12215</v>
      </c>
      <c r="F3097" s="10" t="s">
        <v>206</v>
      </c>
      <c r="G3097" s="10" t="s">
        <v>9233</v>
      </c>
      <c r="H3097" s="11">
        <v>40706</v>
      </c>
      <c r="I3097" s="10">
        <v>2011</v>
      </c>
      <c r="J3097" s="10" t="s">
        <v>13067</v>
      </c>
      <c r="K3097" s="10">
        <v>236</v>
      </c>
      <c r="L3097" s="10" t="s">
        <v>19591</v>
      </c>
      <c r="M3097" s="10">
        <v>1</v>
      </c>
      <c r="N3097" s="10" t="s">
        <v>14279</v>
      </c>
      <c r="O3097" s="10">
        <v>18</v>
      </c>
      <c r="P3097" s="10" t="s">
        <v>19534</v>
      </c>
      <c r="Q3097" s="10">
        <v>305.42</v>
      </c>
      <c r="R3097" s="10" t="s">
        <v>19592</v>
      </c>
      <c r="S3097" s="10" t="s">
        <v>53</v>
      </c>
      <c r="T3097" s="10" t="s">
        <v>6472</v>
      </c>
    </row>
    <row r="3098" spans="1:20" ht="14.5" x14ac:dyDescent="0.35">
      <c r="A3098" s="10" t="s">
        <v>19593</v>
      </c>
      <c r="B3098" s="10" t="str">
        <f>"9781442209527"</f>
        <v>9781442209527</v>
      </c>
      <c r="C3098" s="10" t="str">
        <f>"9781442209534"</f>
        <v>9781442209534</v>
      </c>
      <c r="D3098" s="10" t="s">
        <v>15207</v>
      </c>
      <c r="E3098" s="10" t="s">
        <v>15187</v>
      </c>
      <c r="F3098" s="10" t="s">
        <v>9754</v>
      </c>
      <c r="G3098" s="10" t="s">
        <v>6317</v>
      </c>
      <c r="H3098" s="11">
        <v>40795</v>
      </c>
      <c r="I3098" s="10">
        <v>2011</v>
      </c>
      <c r="J3098" s="10" t="s">
        <v>15187</v>
      </c>
      <c r="K3098" s="10">
        <v>187</v>
      </c>
      <c r="L3098" s="10" t="s">
        <v>19594</v>
      </c>
      <c r="M3098" s="10">
        <v>1</v>
      </c>
      <c r="N3098" s="10"/>
      <c r="O3098" s="10"/>
      <c r="P3098" s="10" t="s">
        <v>19595</v>
      </c>
      <c r="Q3098" s="10">
        <v>507.1</v>
      </c>
      <c r="R3098" s="10" t="s">
        <v>19596</v>
      </c>
      <c r="S3098" s="10" t="s">
        <v>53</v>
      </c>
      <c r="T3098" s="10" t="s">
        <v>9608</v>
      </c>
    </row>
    <row r="3099" spans="1:20" ht="14.5" x14ac:dyDescent="0.35">
      <c r="A3099" s="10" t="s">
        <v>19597</v>
      </c>
      <c r="B3099" s="10" t="str">
        <f>"9781589017672"</f>
        <v>9781589017672</v>
      </c>
      <c r="C3099" s="10" t="str">
        <f>"9781589017887"</f>
        <v>9781589017887</v>
      </c>
      <c r="D3099" s="10" t="s">
        <v>16084</v>
      </c>
      <c r="E3099" s="10" t="s">
        <v>16084</v>
      </c>
      <c r="F3099" s="10" t="s">
        <v>88</v>
      </c>
      <c r="G3099" s="10" t="s">
        <v>6317</v>
      </c>
      <c r="H3099" s="11">
        <v>40737</v>
      </c>
      <c r="I3099" s="10">
        <v>2011</v>
      </c>
      <c r="J3099" s="10" t="s">
        <v>16084</v>
      </c>
      <c r="K3099" s="10">
        <v>236</v>
      </c>
      <c r="L3099" s="10" t="s">
        <v>19598</v>
      </c>
      <c r="M3099" s="10">
        <v>1</v>
      </c>
      <c r="N3099" s="10" t="s">
        <v>19599</v>
      </c>
      <c r="O3099" s="10"/>
      <c r="P3099" s="10" t="s">
        <v>19600</v>
      </c>
      <c r="Q3099" s="10">
        <v>379.15809730000001</v>
      </c>
      <c r="R3099" s="10"/>
      <c r="S3099" s="10" t="s">
        <v>53</v>
      </c>
      <c r="T3099" s="10" t="s">
        <v>54</v>
      </c>
    </row>
    <row r="3100" spans="1:20" ht="14.5" x14ac:dyDescent="0.35">
      <c r="A3100" s="10" t="s">
        <v>19601</v>
      </c>
      <c r="B3100" s="10" t="str">
        <f>"9780821388112"</f>
        <v>9780821388112</v>
      </c>
      <c r="C3100" s="10" t="str">
        <f>"9780821388136"</f>
        <v>9780821388136</v>
      </c>
      <c r="D3100" s="10" t="s">
        <v>14731</v>
      </c>
      <c r="E3100" s="10" t="s">
        <v>14732</v>
      </c>
      <c r="F3100" s="10" t="s">
        <v>14733</v>
      </c>
      <c r="G3100" s="10" t="s">
        <v>6317</v>
      </c>
      <c r="H3100" s="11">
        <v>40544</v>
      </c>
      <c r="I3100" s="10">
        <v>2011</v>
      </c>
      <c r="J3100" s="10" t="s">
        <v>14734</v>
      </c>
      <c r="K3100" s="10">
        <v>129</v>
      </c>
      <c r="L3100" s="10" t="s">
        <v>19602</v>
      </c>
      <c r="M3100" s="10">
        <v>1</v>
      </c>
      <c r="N3100" s="10" t="s">
        <v>14843</v>
      </c>
      <c r="O3100" s="10"/>
      <c r="P3100" s="10" t="s">
        <v>19603</v>
      </c>
      <c r="Q3100" s="10">
        <v>370.11309665099998</v>
      </c>
      <c r="R3100" s="10" t="s">
        <v>19604</v>
      </c>
      <c r="S3100" s="10" t="s">
        <v>53</v>
      </c>
      <c r="T3100" s="10" t="s">
        <v>54</v>
      </c>
    </row>
    <row r="3101" spans="1:20" ht="14.5" x14ac:dyDescent="0.35">
      <c r="A3101" s="10" t="s">
        <v>19605</v>
      </c>
      <c r="B3101" s="10" t="str">
        <f>"9780826488442"</f>
        <v>9780826488442</v>
      </c>
      <c r="C3101" s="10" t="str">
        <f>"9781441117441"</f>
        <v>9781441117441</v>
      </c>
      <c r="D3101" s="10" t="s">
        <v>13959</v>
      </c>
      <c r="E3101" s="10" t="s">
        <v>13960</v>
      </c>
      <c r="F3101" s="10" t="s">
        <v>139</v>
      </c>
      <c r="G3101" s="10" t="s">
        <v>6352</v>
      </c>
      <c r="H3101" s="11">
        <v>39097</v>
      </c>
      <c r="I3101" s="10">
        <v>2010</v>
      </c>
      <c r="J3101" s="10" t="s">
        <v>13961</v>
      </c>
      <c r="K3101" s="10">
        <v>121</v>
      </c>
      <c r="L3101" s="10" t="s">
        <v>19606</v>
      </c>
      <c r="M3101" s="10">
        <v>1</v>
      </c>
      <c r="N3101" s="10" t="s">
        <v>19261</v>
      </c>
      <c r="O3101" s="10"/>
      <c r="P3101" s="10" t="s">
        <v>19607</v>
      </c>
      <c r="Q3101" s="10">
        <v>374.94099999999997</v>
      </c>
      <c r="R3101" s="10" t="s">
        <v>19608</v>
      </c>
      <c r="S3101" s="10" t="s">
        <v>53</v>
      </c>
      <c r="T3101" s="10" t="s">
        <v>54</v>
      </c>
    </row>
    <row r="3102" spans="1:20" ht="14.5" x14ac:dyDescent="0.35">
      <c r="A3102" s="10" t="s">
        <v>19609</v>
      </c>
      <c r="B3102" s="10" t="str">
        <f>"9781855395701"</f>
        <v>9781855395701</v>
      </c>
      <c r="C3102" s="10" t="str">
        <f>"9781441155658"</f>
        <v>9781441155658</v>
      </c>
      <c r="D3102" s="10" t="s">
        <v>13959</v>
      </c>
      <c r="E3102" s="10" t="s">
        <v>13960</v>
      </c>
      <c r="F3102" s="10" t="s">
        <v>139</v>
      </c>
      <c r="G3102" s="10" t="s">
        <v>6352</v>
      </c>
      <c r="H3102" s="11">
        <v>40212</v>
      </c>
      <c r="I3102" s="10">
        <v>2009</v>
      </c>
      <c r="J3102" s="10" t="s">
        <v>13961</v>
      </c>
      <c r="K3102" s="10">
        <v>277</v>
      </c>
      <c r="L3102" s="10" t="s">
        <v>19610</v>
      </c>
      <c r="M3102" s="10">
        <v>1</v>
      </c>
      <c r="N3102" s="10"/>
      <c r="O3102" s="10"/>
      <c r="P3102" s="10" t="s">
        <v>19611</v>
      </c>
      <c r="Q3102" s="10" t="s">
        <v>19612</v>
      </c>
      <c r="R3102" s="10" t="s">
        <v>19613</v>
      </c>
      <c r="S3102" s="10" t="s">
        <v>53</v>
      </c>
      <c r="T3102" s="10" t="s">
        <v>54</v>
      </c>
    </row>
    <row r="3103" spans="1:20" ht="14.5" x14ac:dyDescent="0.35">
      <c r="A3103" s="10" t="s">
        <v>19614</v>
      </c>
      <c r="B3103" s="10" t="str">
        <f>"9781441156884"</f>
        <v>9781441156884</v>
      </c>
      <c r="C3103" s="10" t="str">
        <f>"9781441109880"</f>
        <v>9781441109880</v>
      </c>
      <c r="D3103" s="10" t="s">
        <v>13959</v>
      </c>
      <c r="E3103" s="10" t="s">
        <v>13960</v>
      </c>
      <c r="F3103" s="10" t="s">
        <v>139</v>
      </c>
      <c r="G3103" s="10" t="s">
        <v>6352</v>
      </c>
      <c r="H3103" s="11">
        <v>40339</v>
      </c>
      <c r="I3103" s="10">
        <v>2010</v>
      </c>
      <c r="J3103" s="10" t="s">
        <v>13961</v>
      </c>
      <c r="K3103" s="10">
        <v>328</v>
      </c>
      <c r="L3103" s="10" t="s">
        <v>19615</v>
      </c>
      <c r="M3103" s="10">
        <v>3</v>
      </c>
      <c r="N3103" s="10"/>
      <c r="O3103" s="10"/>
      <c r="P3103" s="10" t="s">
        <v>19616</v>
      </c>
      <c r="Q3103" s="10" t="s">
        <v>19617</v>
      </c>
      <c r="R3103" s="10" t="s">
        <v>19618</v>
      </c>
      <c r="S3103" s="10" t="s">
        <v>53</v>
      </c>
      <c r="T3103" s="10" t="s">
        <v>389</v>
      </c>
    </row>
    <row r="3104" spans="1:20" ht="14.5" x14ac:dyDescent="0.35">
      <c r="A3104" s="10" t="s">
        <v>19619</v>
      </c>
      <c r="B3104" s="10" t="str">
        <f>"9781441131317"</f>
        <v>9781441131317</v>
      </c>
      <c r="C3104" s="10" t="str">
        <f>"9781441132208"</f>
        <v>9781441132208</v>
      </c>
      <c r="D3104" s="10" t="s">
        <v>13959</v>
      </c>
      <c r="E3104" s="10" t="s">
        <v>13960</v>
      </c>
      <c r="F3104" s="10" t="s">
        <v>139</v>
      </c>
      <c r="G3104" s="10" t="s">
        <v>6352</v>
      </c>
      <c r="H3104" s="11">
        <v>40438</v>
      </c>
      <c r="I3104" s="10">
        <v>2008</v>
      </c>
      <c r="J3104" s="10" t="s">
        <v>13961</v>
      </c>
      <c r="K3104" s="10">
        <v>278</v>
      </c>
      <c r="L3104" s="10" t="s">
        <v>19620</v>
      </c>
      <c r="M3104" s="10">
        <v>1</v>
      </c>
      <c r="N3104" s="10" t="s">
        <v>19621</v>
      </c>
      <c r="O3104" s="10"/>
      <c r="P3104" s="10" t="s">
        <v>19622</v>
      </c>
      <c r="Q3104" s="10">
        <v>302.2244</v>
      </c>
      <c r="R3104" s="10" t="s">
        <v>19623</v>
      </c>
      <c r="S3104" s="10" t="s">
        <v>53</v>
      </c>
      <c r="T3104" s="10" t="s">
        <v>6526</v>
      </c>
    </row>
    <row r="3105" spans="1:20" ht="14.5" x14ac:dyDescent="0.35">
      <c r="A3105" s="10" t="s">
        <v>19624</v>
      </c>
      <c r="B3105" s="10" t="str">
        <f>"9780304331802"</f>
        <v>9780304331802</v>
      </c>
      <c r="C3105" s="10" t="str">
        <f>"9781441174536"</f>
        <v>9781441174536</v>
      </c>
      <c r="D3105" s="10" t="s">
        <v>13959</v>
      </c>
      <c r="E3105" s="10" t="s">
        <v>13960</v>
      </c>
      <c r="F3105" s="10" t="s">
        <v>139</v>
      </c>
      <c r="G3105" s="10" t="s">
        <v>6352</v>
      </c>
      <c r="H3105" s="11">
        <v>35957</v>
      </c>
      <c r="I3105" s="10">
        <v>2010</v>
      </c>
      <c r="J3105" s="10" t="s">
        <v>13961</v>
      </c>
      <c r="K3105" s="10">
        <v>220</v>
      </c>
      <c r="L3105" s="10" t="s">
        <v>9060</v>
      </c>
      <c r="M3105" s="10">
        <v>1</v>
      </c>
      <c r="N3105" s="10"/>
      <c r="O3105" s="10"/>
      <c r="P3105" s="10" t="s">
        <v>19625</v>
      </c>
      <c r="Q3105" s="10">
        <v>371.10199999999998</v>
      </c>
      <c r="R3105" s="10" t="s">
        <v>6840</v>
      </c>
      <c r="S3105" s="10" t="s">
        <v>53</v>
      </c>
      <c r="T3105" s="10" t="s">
        <v>54</v>
      </c>
    </row>
    <row r="3106" spans="1:20" ht="14.5" x14ac:dyDescent="0.35">
      <c r="A3106" s="10" t="s">
        <v>19626</v>
      </c>
      <c r="B3106" s="10" t="str">
        <f>"9780826436030"</f>
        <v>9780826436030</v>
      </c>
      <c r="C3106" s="10" t="str">
        <f>"9781441137241"</f>
        <v>9781441137241</v>
      </c>
      <c r="D3106" s="10" t="s">
        <v>13959</v>
      </c>
      <c r="E3106" s="10" t="s">
        <v>13960</v>
      </c>
      <c r="F3106" s="10" t="s">
        <v>139</v>
      </c>
      <c r="G3106" s="10" t="s">
        <v>6352</v>
      </c>
      <c r="H3106" s="11">
        <v>40458</v>
      </c>
      <c r="I3106" s="10">
        <v>2010</v>
      </c>
      <c r="J3106" s="10" t="s">
        <v>13961</v>
      </c>
      <c r="K3106" s="10">
        <v>320</v>
      </c>
      <c r="L3106" s="10" t="s">
        <v>19627</v>
      </c>
      <c r="M3106" s="10">
        <v>1</v>
      </c>
      <c r="N3106" s="10" t="s">
        <v>16842</v>
      </c>
      <c r="O3106" s="10"/>
      <c r="P3106" s="10" t="s">
        <v>19628</v>
      </c>
      <c r="Q3106" s="10">
        <v>510.71199999999999</v>
      </c>
      <c r="R3106" s="10" t="s">
        <v>19629</v>
      </c>
      <c r="S3106" s="10" t="s">
        <v>53</v>
      </c>
      <c r="T3106" s="10" t="s">
        <v>389</v>
      </c>
    </row>
    <row r="3107" spans="1:20" ht="14.5" x14ac:dyDescent="0.35">
      <c r="A3107" s="10" t="s">
        <v>19630</v>
      </c>
      <c r="B3107" s="10" t="str">
        <f>"9780826421005"</f>
        <v>9780826421005</v>
      </c>
      <c r="C3107" s="10" t="str">
        <f>"9781441172839"</f>
        <v>9781441172839</v>
      </c>
      <c r="D3107" s="10" t="s">
        <v>13959</v>
      </c>
      <c r="E3107" s="10" t="s">
        <v>13960</v>
      </c>
      <c r="F3107" s="10" t="s">
        <v>139</v>
      </c>
      <c r="G3107" s="10" t="s">
        <v>6352</v>
      </c>
      <c r="H3107" s="11">
        <v>40486</v>
      </c>
      <c r="I3107" s="10">
        <v>2010</v>
      </c>
      <c r="J3107" s="10" t="s">
        <v>13961</v>
      </c>
      <c r="K3107" s="10">
        <v>225</v>
      </c>
      <c r="L3107" s="10" t="s">
        <v>19631</v>
      </c>
      <c r="M3107" s="10">
        <v>1</v>
      </c>
      <c r="N3107" s="10" t="s">
        <v>16842</v>
      </c>
      <c r="O3107" s="10"/>
      <c r="P3107" s="10" t="s">
        <v>19632</v>
      </c>
      <c r="Q3107" s="10">
        <v>428.00711999999999</v>
      </c>
      <c r="R3107" s="10" t="s">
        <v>19633</v>
      </c>
      <c r="S3107" s="10" t="s">
        <v>53</v>
      </c>
      <c r="T3107" s="10" t="s">
        <v>6498</v>
      </c>
    </row>
    <row r="3108" spans="1:20" ht="14.5" x14ac:dyDescent="0.35">
      <c r="A3108" s="10" t="s">
        <v>19634</v>
      </c>
      <c r="B3108" s="10" t="str">
        <f>"9780826484482"</f>
        <v>9780826484482</v>
      </c>
      <c r="C3108" s="10" t="str">
        <f>"9781441184658"</f>
        <v>9781441184658</v>
      </c>
      <c r="D3108" s="10" t="s">
        <v>13959</v>
      </c>
      <c r="E3108" s="10" t="s">
        <v>13960</v>
      </c>
      <c r="F3108" s="10" t="s">
        <v>139</v>
      </c>
      <c r="G3108" s="10" t="s">
        <v>6352</v>
      </c>
      <c r="H3108" s="11">
        <v>39649</v>
      </c>
      <c r="I3108" s="10">
        <v>2008</v>
      </c>
      <c r="J3108" s="10" t="s">
        <v>13961</v>
      </c>
      <c r="K3108" s="10">
        <v>155</v>
      </c>
      <c r="L3108" s="10" t="s">
        <v>19635</v>
      </c>
      <c r="M3108" s="10">
        <v>1</v>
      </c>
      <c r="N3108" s="10"/>
      <c r="O3108" s="10"/>
      <c r="P3108" s="10" t="s">
        <v>19636</v>
      </c>
      <c r="Q3108" s="10">
        <v>378.15499999999997</v>
      </c>
      <c r="R3108" s="10" t="s">
        <v>19637</v>
      </c>
      <c r="S3108" s="10" t="s">
        <v>53</v>
      </c>
      <c r="T3108" s="10" t="s">
        <v>54</v>
      </c>
    </row>
    <row r="3109" spans="1:20" ht="14.5" x14ac:dyDescent="0.35">
      <c r="A3109" s="10" t="s">
        <v>19638</v>
      </c>
      <c r="B3109" s="10" t="str">
        <f>"9781441145345"</f>
        <v>9781441145345</v>
      </c>
      <c r="C3109" s="10" t="str">
        <f>"9781441155092"</f>
        <v>9781441155092</v>
      </c>
      <c r="D3109" s="10" t="s">
        <v>13959</v>
      </c>
      <c r="E3109" s="10" t="s">
        <v>13960</v>
      </c>
      <c r="F3109" s="10" t="s">
        <v>139</v>
      </c>
      <c r="G3109" s="10" t="s">
        <v>6352</v>
      </c>
      <c r="H3109" s="11">
        <v>40486</v>
      </c>
      <c r="I3109" s="10">
        <v>2010</v>
      </c>
      <c r="J3109" s="10" t="s">
        <v>13961</v>
      </c>
      <c r="K3109" s="10">
        <v>186</v>
      </c>
      <c r="L3109" s="10" t="s">
        <v>19639</v>
      </c>
      <c r="M3109" s="10">
        <v>1</v>
      </c>
      <c r="N3109" s="10" t="s">
        <v>16919</v>
      </c>
      <c r="O3109" s="10"/>
      <c r="P3109" s="10" t="s">
        <v>19640</v>
      </c>
      <c r="Q3109" s="10">
        <v>907</v>
      </c>
      <c r="R3109" s="10" t="s">
        <v>19641</v>
      </c>
      <c r="S3109" s="10" t="s">
        <v>53</v>
      </c>
      <c r="T3109" s="10" t="s">
        <v>13912</v>
      </c>
    </row>
    <row r="3110" spans="1:20" ht="14.5" x14ac:dyDescent="0.35">
      <c r="A3110" s="10" t="s">
        <v>19642</v>
      </c>
      <c r="B3110" s="10" t="str">
        <f>"9780826443540"</f>
        <v>9780826443540</v>
      </c>
      <c r="C3110" s="10" t="str">
        <f>"9781441141392"</f>
        <v>9781441141392</v>
      </c>
      <c r="D3110" s="10" t="s">
        <v>13959</v>
      </c>
      <c r="E3110" s="10" t="s">
        <v>13960</v>
      </c>
      <c r="F3110" s="10" t="s">
        <v>139</v>
      </c>
      <c r="G3110" s="10" t="s">
        <v>6352</v>
      </c>
      <c r="H3110" s="11">
        <v>40177</v>
      </c>
      <c r="I3110" s="10">
        <v>2009</v>
      </c>
      <c r="J3110" s="10" t="s">
        <v>13961</v>
      </c>
      <c r="K3110" s="10">
        <v>152</v>
      </c>
      <c r="L3110" s="10" t="s">
        <v>18653</v>
      </c>
      <c r="M3110" s="10">
        <v>1</v>
      </c>
      <c r="N3110" s="10" t="s">
        <v>16842</v>
      </c>
      <c r="O3110" s="10"/>
      <c r="P3110" s="10" t="s">
        <v>19643</v>
      </c>
      <c r="Q3110" s="10">
        <v>808.04207120000001</v>
      </c>
      <c r="R3110" s="10" t="s">
        <v>19644</v>
      </c>
      <c r="S3110" s="10" t="s">
        <v>53</v>
      </c>
      <c r="T3110" s="10" t="s">
        <v>10454</v>
      </c>
    </row>
    <row r="3111" spans="1:20" ht="14.5" x14ac:dyDescent="0.35">
      <c r="A3111" s="10" t="s">
        <v>19645</v>
      </c>
      <c r="B3111" s="10" t="str">
        <f>"9781849050746"</f>
        <v>9781849050746</v>
      </c>
      <c r="C3111" s="10" t="str">
        <f>"9780857002532"</f>
        <v>9780857002532</v>
      </c>
      <c r="D3111" s="10" t="s">
        <v>10516</v>
      </c>
      <c r="E3111" s="10" t="s">
        <v>10516</v>
      </c>
      <c r="F3111" s="10" t="s">
        <v>139</v>
      </c>
      <c r="G3111" s="10" t="s">
        <v>6352</v>
      </c>
      <c r="H3111" s="11">
        <v>40801</v>
      </c>
      <c r="I3111" s="10">
        <v>2011</v>
      </c>
      <c r="J3111" s="10" t="s">
        <v>10516</v>
      </c>
      <c r="K3111" s="10">
        <v>210</v>
      </c>
      <c r="L3111" s="10" t="s">
        <v>19646</v>
      </c>
      <c r="M3111" s="10">
        <v>1</v>
      </c>
      <c r="N3111" s="10" t="s">
        <v>10831</v>
      </c>
      <c r="O3111" s="10"/>
      <c r="P3111" s="10" t="s">
        <v>19647</v>
      </c>
      <c r="Q3111" s="10" t="s">
        <v>19648</v>
      </c>
      <c r="R3111" s="10"/>
      <c r="S3111" s="10" t="s">
        <v>53</v>
      </c>
      <c r="T3111" s="10" t="s">
        <v>8681</v>
      </c>
    </row>
    <row r="3112" spans="1:20" ht="14.5" x14ac:dyDescent="0.35">
      <c r="A3112" s="10" t="s">
        <v>19649</v>
      </c>
      <c r="B3112" s="10" t="str">
        <f>"9781849050760"</f>
        <v>9781849050760</v>
      </c>
      <c r="C3112" s="10" t="str">
        <f>"9780857002624"</f>
        <v>9780857002624</v>
      </c>
      <c r="D3112" s="10" t="s">
        <v>10516</v>
      </c>
      <c r="E3112" s="10" t="s">
        <v>10516</v>
      </c>
      <c r="F3112" s="10" t="s">
        <v>139</v>
      </c>
      <c r="G3112" s="10" t="s">
        <v>6352</v>
      </c>
      <c r="H3112" s="11">
        <v>40801</v>
      </c>
      <c r="I3112" s="10">
        <v>2011</v>
      </c>
      <c r="J3112" s="10" t="s">
        <v>10516</v>
      </c>
      <c r="K3112" s="10">
        <v>226</v>
      </c>
      <c r="L3112" s="10" t="s">
        <v>19650</v>
      </c>
      <c r="M3112" s="10">
        <v>1</v>
      </c>
      <c r="N3112" s="10" t="s">
        <v>19651</v>
      </c>
      <c r="O3112" s="10"/>
      <c r="P3112" s="10" t="s">
        <v>19652</v>
      </c>
      <c r="Q3112" s="10" t="s">
        <v>19653</v>
      </c>
      <c r="R3112" s="10"/>
      <c r="S3112" s="10" t="s">
        <v>53</v>
      </c>
      <c r="T3112" s="10" t="s">
        <v>6363</v>
      </c>
    </row>
    <row r="3113" spans="1:20" ht="14.5" x14ac:dyDescent="0.35">
      <c r="A3113" s="10" t="s">
        <v>19654</v>
      </c>
      <c r="B3113" s="10" t="str">
        <f>"9789085550457"</f>
        <v>9789085550457</v>
      </c>
      <c r="C3113" s="10" t="str">
        <f>"9789048514052"</f>
        <v>9789048514052</v>
      </c>
      <c r="D3113" s="10" t="s">
        <v>13287</v>
      </c>
      <c r="E3113" s="10" t="s">
        <v>13287</v>
      </c>
      <c r="F3113" s="10" t="s">
        <v>1818</v>
      </c>
      <c r="G3113" s="10" t="s">
        <v>9233</v>
      </c>
      <c r="H3113" s="11">
        <v>40544</v>
      </c>
      <c r="I3113" s="10">
        <v>2011</v>
      </c>
      <c r="J3113" s="10" t="s">
        <v>13513</v>
      </c>
      <c r="K3113" s="10">
        <v>96</v>
      </c>
      <c r="L3113" s="10" t="s">
        <v>19655</v>
      </c>
      <c r="M3113" s="10">
        <v>1</v>
      </c>
      <c r="N3113" s="10"/>
      <c r="O3113" s="10"/>
      <c r="P3113" s="10" t="s">
        <v>19656</v>
      </c>
      <c r="Q3113" s="10" t="s">
        <v>19657</v>
      </c>
      <c r="R3113" s="10" t="s">
        <v>19658</v>
      </c>
      <c r="S3113" s="10" t="s">
        <v>53</v>
      </c>
      <c r="T3113" s="10" t="s">
        <v>6472</v>
      </c>
    </row>
    <row r="3114" spans="1:20" ht="14.5" x14ac:dyDescent="0.35">
      <c r="A3114" s="10" t="s">
        <v>19659</v>
      </c>
      <c r="B3114" s="10" t="str">
        <f>"9789056296223"</f>
        <v>9789056296223</v>
      </c>
      <c r="C3114" s="10" t="str">
        <f>"9789048512652"</f>
        <v>9789048512652</v>
      </c>
      <c r="D3114" s="10" t="s">
        <v>13287</v>
      </c>
      <c r="E3114" s="10" t="s">
        <v>13287</v>
      </c>
      <c r="F3114" s="10" t="s">
        <v>1818</v>
      </c>
      <c r="G3114" s="10" t="s">
        <v>9233</v>
      </c>
      <c r="H3114" s="11">
        <v>40179</v>
      </c>
      <c r="I3114" s="10">
        <v>2010</v>
      </c>
      <c r="J3114" s="10" t="s">
        <v>13443</v>
      </c>
      <c r="K3114" s="10">
        <v>52</v>
      </c>
      <c r="L3114" s="10" t="s">
        <v>19660</v>
      </c>
      <c r="M3114" s="10">
        <v>1</v>
      </c>
      <c r="N3114" s="10" t="s">
        <v>16241</v>
      </c>
      <c r="O3114" s="10"/>
      <c r="P3114" s="10" t="s">
        <v>19661</v>
      </c>
      <c r="Q3114" s="10" t="s">
        <v>19662</v>
      </c>
      <c r="R3114" s="10" t="s">
        <v>19663</v>
      </c>
      <c r="S3114" s="10" t="s">
        <v>3107</v>
      </c>
      <c r="T3114" s="10" t="s">
        <v>19664</v>
      </c>
    </row>
    <row r="3115" spans="1:20" ht="14.5" x14ac:dyDescent="0.35">
      <c r="A3115" s="10" t="s">
        <v>19665</v>
      </c>
      <c r="B3115" s="10" t="str">
        <f>"9789004212428"</f>
        <v>9789004212428</v>
      </c>
      <c r="C3115" s="10" t="str">
        <f>"9789004214231"</f>
        <v>9789004214231</v>
      </c>
      <c r="D3115" s="10" t="s">
        <v>8564</v>
      </c>
      <c r="E3115" s="10" t="s">
        <v>8565</v>
      </c>
      <c r="F3115" s="10" t="s">
        <v>1420</v>
      </c>
      <c r="G3115" s="10" t="s">
        <v>6317</v>
      </c>
      <c r="H3115" s="11">
        <v>40780</v>
      </c>
      <c r="I3115" s="10">
        <v>2011</v>
      </c>
      <c r="J3115" s="10" t="s">
        <v>8565</v>
      </c>
      <c r="K3115" s="10">
        <v>392</v>
      </c>
      <c r="L3115" s="10" t="s">
        <v>19666</v>
      </c>
      <c r="M3115" s="10">
        <v>1</v>
      </c>
      <c r="N3115" s="10" t="s">
        <v>19667</v>
      </c>
      <c r="O3115" s="10">
        <v>42</v>
      </c>
      <c r="P3115" s="10" t="s">
        <v>19668</v>
      </c>
      <c r="Q3115" s="10">
        <v>370.93549999999999</v>
      </c>
      <c r="R3115" s="10"/>
      <c r="S3115" s="10" t="s">
        <v>53</v>
      </c>
      <c r="T3115" s="10" t="s">
        <v>54</v>
      </c>
    </row>
    <row r="3116" spans="1:20" ht="14.5" x14ac:dyDescent="0.35">
      <c r="A3116" s="10" t="s">
        <v>19669</v>
      </c>
      <c r="B3116" s="10" t="str">
        <f>"9780335238439"</f>
        <v>9780335238439</v>
      </c>
      <c r="C3116" s="10" t="str">
        <f>"9780335238446"</f>
        <v>9780335238446</v>
      </c>
      <c r="D3116" s="10" t="s">
        <v>10342</v>
      </c>
      <c r="E3116" s="10" t="s">
        <v>10343</v>
      </c>
      <c r="F3116" s="10" t="s">
        <v>10344</v>
      </c>
      <c r="G3116" s="10" t="s">
        <v>6352</v>
      </c>
      <c r="H3116" s="11">
        <v>40299</v>
      </c>
      <c r="I3116" s="10">
        <v>2010</v>
      </c>
      <c r="J3116" s="10" t="s">
        <v>10345</v>
      </c>
      <c r="K3116" s="10">
        <v>537</v>
      </c>
      <c r="L3116" s="10" t="s">
        <v>19670</v>
      </c>
      <c r="M3116" s="10">
        <v>2</v>
      </c>
      <c r="N3116" s="10" t="s">
        <v>10391</v>
      </c>
      <c r="O3116" s="10"/>
      <c r="P3116" s="10" t="s">
        <v>19671</v>
      </c>
      <c r="Q3116" s="10"/>
      <c r="R3116" s="10" t="s">
        <v>19672</v>
      </c>
      <c r="S3116" s="10" t="s">
        <v>53</v>
      </c>
      <c r="T3116" s="10" t="s">
        <v>54</v>
      </c>
    </row>
    <row r="3117" spans="1:20" ht="14.5" x14ac:dyDescent="0.35">
      <c r="A3117" s="10" t="s">
        <v>19673</v>
      </c>
      <c r="B3117" s="10" t="str">
        <f>"9780335237838"</f>
        <v>9780335237838</v>
      </c>
      <c r="C3117" s="10" t="str">
        <f>"9780335239535"</f>
        <v>9780335239535</v>
      </c>
      <c r="D3117" s="10" t="s">
        <v>10342</v>
      </c>
      <c r="E3117" s="10" t="s">
        <v>10343</v>
      </c>
      <c r="F3117" s="10" t="s">
        <v>10344</v>
      </c>
      <c r="G3117" s="10" t="s">
        <v>6352</v>
      </c>
      <c r="H3117" s="11">
        <v>40179</v>
      </c>
      <c r="I3117" s="10">
        <v>2010</v>
      </c>
      <c r="J3117" s="10" t="s">
        <v>10343</v>
      </c>
      <c r="K3117" s="10">
        <v>210</v>
      </c>
      <c r="L3117" s="10" t="s">
        <v>19674</v>
      </c>
      <c r="M3117" s="10">
        <v>1</v>
      </c>
      <c r="N3117" s="10" t="s">
        <v>10347</v>
      </c>
      <c r="O3117" s="10"/>
      <c r="P3117" s="10" t="s">
        <v>19675</v>
      </c>
      <c r="Q3117" s="10"/>
      <c r="R3117" s="10" t="s">
        <v>19676</v>
      </c>
      <c r="S3117" s="10" t="s">
        <v>53</v>
      </c>
      <c r="T3117" s="10" t="s">
        <v>54</v>
      </c>
    </row>
    <row r="3118" spans="1:20" ht="14.5" x14ac:dyDescent="0.35">
      <c r="A3118" s="10" t="s">
        <v>19677</v>
      </c>
      <c r="B3118" s="10" t="str">
        <f>"9780335235865"</f>
        <v>9780335235865</v>
      </c>
      <c r="C3118" s="10" t="str">
        <f>"9780335239221"</f>
        <v>9780335239221</v>
      </c>
      <c r="D3118" s="10" t="s">
        <v>10342</v>
      </c>
      <c r="E3118" s="10" t="s">
        <v>10343</v>
      </c>
      <c r="F3118" s="10" t="s">
        <v>10344</v>
      </c>
      <c r="G3118" s="10" t="s">
        <v>6352</v>
      </c>
      <c r="H3118" s="11">
        <v>40330</v>
      </c>
      <c r="I3118" s="10">
        <v>2010</v>
      </c>
      <c r="J3118" s="10" t="s">
        <v>10345</v>
      </c>
      <c r="K3118" s="10">
        <v>252</v>
      </c>
      <c r="L3118" s="10" t="s">
        <v>19678</v>
      </c>
      <c r="M3118" s="10">
        <v>1</v>
      </c>
      <c r="N3118" s="10" t="s">
        <v>10347</v>
      </c>
      <c r="O3118" s="10"/>
      <c r="P3118" s="10" t="s">
        <v>19679</v>
      </c>
      <c r="Q3118" s="10">
        <v>372.21</v>
      </c>
      <c r="R3118" s="10" t="s">
        <v>19680</v>
      </c>
      <c r="S3118" s="10" t="s">
        <v>53</v>
      </c>
      <c r="T3118" s="10" t="s">
        <v>54</v>
      </c>
    </row>
    <row r="3119" spans="1:20" ht="14.5" x14ac:dyDescent="0.35">
      <c r="A3119" s="10" t="s">
        <v>19356</v>
      </c>
      <c r="B3119" s="10" t="str">
        <f>"9780335235391"</f>
        <v>9780335235391</v>
      </c>
      <c r="C3119" s="10" t="str">
        <f>"9780335240364"</f>
        <v>9780335240364</v>
      </c>
      <c r="D3119" s="10" t="s">
        <v>10342</v>
      </c>
      <c r="E3119" s="10" t="s">
        <v>10343</v>
      </c>
      <c r="F3119" s="10" t="s">
        <v>10344</v>
      </c>
      <c r="G3119" s="10" t="s">
        <v>6352</v>
      </c>
      <c r="H3119" s="11">
        <v>40330</v>
      </c>
      <c r="I3119" s="10">
        <v>2010</v>
      </c>
      <c r="J3119" s="10" t="s">
        <v>10345</v>
      </c>
      <c r="K3119" s="10">
        <v>362</v>
      </c>
      <c r="L3119" s="10" t="s">
        <v>19681</v>
      </c>
      <c r="M3119" s="10">
        <v>4</v>
      </c>
      <c r="N3119" s="10" t="s">
        <v>10347</v>
      </c>
      <c r="O3119" s="10"/>
      <c r="P3119" s="10" t="s">
        <v>19682</v>
      </c>
      <c r="Q3119" s="10">
        <v>374</v>
      </c>
      <c r="R3119" s="10" t="s">
        <v>19683</v>
      </c>
      <c r="S3119" s="10" t="s">
        <v>53</v>
      </c>
      <c r="T3119" s="10" t="s">
        <v>54</v>
      </c>
    </row>
    <row r="3120" spans="1:20" ht="14.5" x14ac:dyDescent="0.35">
      <c r="A3120" s="10" t="s">
        <v>19684</v>
      </c>
      <c r="B3120" s="10" t="str">
        <f>"9780335242160"</f>
        <v>9780335242160</v>
      </c>
      <c r="C3120" s="10" t="str">
        <f>"9780335242177"</f>
        <v>9780335242177</v>
      </c>
      <c r="D3120" s="10" t="s">
        <v>10342</v>
      </c>
      <c r="E3120" s="10" t="s">
        <v>10343</v>
      </c>
      <c r="F3120" s="10" t="s">
        <v>10344</v>
      </c>
      <c r="G3120" s="10" t="s">
        <v>6352</v>
      </c>
      <c r="H3120" s="11">
        <v>40740</v>
      </c>
      <c r="I3120" s="10">
        <v>2011</v>
      </c>
      <c r="J3120" s="10" t="s">
        <v>10343</v>
      </c>
      <c r="K3120" s="10">
        <v>298</v>
      </c>
      <c r="L3120" s="10" t="s">
        <v>19685</v>
      </c>
      <c r="M3120" s="10">
        <v>3</v>
      </c>
      <c r="N3120" s="10" t="s">
        <v>10347</v>
      </c>
      <c r="O3120" s="10"/>
      <c r="P3120" s="10" t="s">
        <v>19524</v>
      </c>
      <c r="Q3120" s="10"/>
      <c r="R3120" s="10" t="s">
        <v>19686</v>
      </c>
      <c r="S3120" s="10" t="s">
        <v>53</v>
      </c>
      <c r="T3120" s="10" t="s">
        <v>54</v>
      </c>
    </row>
    <row r="3121" spans="1:20" ht="14.5" x14ac:dyDescent="0.35">
      <c r="A3121" s="10" t="s">
        <v>19687</v>
      </c>
      <c r="B3121" s="10" t="str">
        <f>"9780335241538"</f>
        <v>9780335241538</v>
      </c>
      <c r="C3121" s="10" t="str">
        <f>"9780335241545"</f>
        <v>9780335241545</v>
      </c>
      <c r="D3121" s="10" t="s">
        <v>10342</v>
      </c>
      <c r="E3121" s="10" t="s">
        <v>10343</v>
      </c>
      <c r="F3121" s="10" t="s">
        <v>10344</v>
      </c>
      <c r="G3121" s="10" t="s">
        <v>6352</v>
      </c>
      <c r="H3121" s="11">
        <v>40330</v>
      </c>
      <c r="I3121" s="10">
        <v>2010</v>
      </c>
      <c r="J3121" s="10" t="s">
        <v>10345</v>
      </c>
      <c r="K3121" s="10">
        <v>270</v>
      </c>
      <c r="L3121" s="10" t="s">
        <v>11060</v>
      </c>
      <c r="M3121" s="10">
        <v>2</v>
      </c>
      <c r="N3121" s="10" t="s">
        <v>10347</v>
      </c>
      <c r="O3121" s="10"/>
      <c r="P3121" s="10" t="s">
        <v>19688</v>
      </c>
      <c r="Q3121" s="10">
        <v>372.72</v>
      </c>
      <c r="R3121" s="10"/>
      <c r="S3121" s="10" t="s">
        <v>53</v>
      </c>
      <c r="T3121" s="10" t="s">
        <v>7425</v>
      </c>
    </row>
    <row r="3122" spans="1:20" ht="14.5" x14ac:dyDescent="0.35">
      <c r="A3122" s="10" t="s">
        <v>19689</v>
      </c>
      <c r="B3122" s="10" t="str">
        <f>"9780826499301"</f>
        <v>9780826499301</v>
      </c>
      <c r="C3122" s="10" t="str">
        <f>"9781441131102"</f>
        <v>9781441131102</v>
      </c>
      <c r="D3122" s="10" t="s">
        <v>13959</v>
      </c>
      <c r="E3122" s="10" t="s">
        <v>13960</v>
      </c>
      <c r="F3122" s="10" t="s">
        <v>139</v>
      </c>
      <c r="G3122" s="10" t="s">
        <v>6352</v>
      </c>
      <c r="H3122" s="11">
        <v>40885</v>
      </c>
      <c r="I3122" s="10">
        <v>2011</v>
      </c>
      <c r="J3122" s="10" t="s">
        <v>13960</v>
      </c>
      <c r="K3122" s="10">
        <v>225</v>
      </c>
      <c r="L3122" s="10" t="s">
        <v>14145</v>
      </c>
      <c r="M3122" s="10">
        <v>1</v>
      </c>
      <c r="N3122" s="10"/>
      <c r="O3122" s="10"/>
      <c r="P3122" s="10" t="s">
        <v>19690</v>
      </c>
      <c r="Q3122" s="10">
        <v>370.1</v>
      </c>
      <c r="R3122" s="10" t="s">
        <v>19691</v>
      </c>
      <c r="S3122" s="10" t="s">
        <v>53</v>
      </c>
      <c r="T3122" s="10" t="s">
        <v>54</v>
      </c>
    </row>
    <row r="3123" spans="1:20" ht="14.5" x14ac:dyDescent="0.35">
      <c r="A3123" s="10" t="s">
        <v>19692</v>
      </c>
      <c r="B3123" s="10" t="str">
        <f>"9780910965927"</f>
        <v>9780910965927</v>
      </c>
      <c r="C3123" s="10" t="str">
        <f>"9781937290955"</f>
        <v>9781937290955</v>
      </c>
      <c r="D3123" s="10" t="s">
        <v>9215</v>
      </c>
      <c r="E3123" s="10" t="s">
        <v>1365</v>
      </c>
      <c r="F3123" s="10" t="s">
        <v>3034</v>
      </c>
      <c r="G3123" s="10" t="s">
        <v>6317</v>
      </c>
      <c r="H3123" s="11">
        <v>40817</v>
      </c>
      <c r="I3123" s="10">
        <v>2011</v>
      </c>
      <c r="J3123" s="10" t="s">
        <v>19693</v>
      </c>
      <c r="K3123" s="10">
        <v>249</v>
      </c>
      <c r="L3123" s="10" t="s">
        <v>19694</v>
      </c>
      <c r="M3123" s="10"/>
      <c r="N3123" s="10"/>
      <c r="O3123" s="10"/>
      <c r="P3123" s="10" t="s">
        <v>19695</v>
      </c>
      <c r="Q3123" s="10">
        <v>371.04</v>
      </c>
      <c r="R3123" s="10" t="s">
        <v>19696</v>
      </c>
      <c r="S3123" s="10" t="s">
        <v>53</v>
      </c>
      <c r="T3123" s="10" t="s">
        <v>54</v>
      </c>
    </row>
    <row r="3124" spans="1:20" ht="14.5" x14ac:dyDescent="0.35">
      <c r="A3124" s="10" t="s">
        <v>19697</v>
      </c>
      <c r="B3124" s="10" t="str">
        <f>"9780819550491"</f>
        <v>9780819550491</v>
      </c>
      <c r="C3124" s="10" t="str">
        <f>"9780819569714"</f>
        <v>9780819569714</v>
      </c>
      <c r="D3124" s="10" t="s">
        <v>19698</v>
      </c>
      <c r="E3124" s="10" t="s">
        <v>19698</v>
      </c>
      <c r="F3124" s="10" t="s">
        <v>19699</v>
      </c>
      <c r="G3124" s="10" t="s">
        <v>6317</v>
      </c>
      <c r="H3124" s="11">
        <v>29221</v>
      </c>
      <c r="I3124" s="10">
        <v>1980</v>
      </c>
      <c r="J3124" s="10" t="s">
        <v>19698</v>
      </c>
      <c r="K3124" s="10">
        <v>223</v>
      </c>
      <c r="L3124" s="10" t="s">
        <v>19700</v>
      </c>
      <c r="M3124" s="10">
        <v>1</v>
      </c>
      <c r="N3124" s="10"/>
      <c r="O3124" s="10"/>
      <c r="P3124" s="10" t="s">
        <v>19701</v>
      </c>
      <c r="Q3124" s="10"/>
      <c r="R3124" s="10" t="s">
        <v>19702</v>
      </c>
      <c r="S3124" s="10" t="s">
        <v>53</v>
      </c>
      <c r="T3124" s="10" t="s">
        <v>54</v>
      </c>
    </row>
    <row r="3125" spans="1:20" ht="14.5" x14ac:dyDescent="0.35">
      <c r="A3125" s="10" t="s">
        <v>19703</v>
      </c>
      <c r="B3125" s="10" t="str">
        <f>"9780819540607"</f>
        <v>9780819540607</v>
      </c>
      <c r="C3125" s="10" t="str">
        <f>"9780819569813"</f>
        <v>9780819569813</v>
      </c>
      <c r="D3125" s="10" t="s">
        <v>19698</v>
      </c>
      <c r="E3125" s="10" t="s">
        <v>19698</v>
      </c>
      <c r="F3125" s="10" t="s">
        <v>19699</v>
      </c>
      <c r="G3125" s="10" t="s">
        <v>6317</v>
      </c>
      <c r="H3125" s="11">
        <v>26665</v>
      </c>
      <c r="I3125" s="10">
        <v>1973</v>
      </c>
      <c r="J3125" s="10" t="s">
        <v>19698</v>
      </c>
      <c r="K3125" s="10">
        <v>258</v>
      </c>
      <c r="L3125" s="10" t="s">
        <v>19700</v>
      </c>
      <c r="M3125" s="10">
        <v>1</v>
      </c>
      <c r="N3125" s="10"/>
      <c r="O3125" s="10"/>
      <c r="P3125" s="10" t="s">
        <v>19704</v>
      </c>
      <c r="Q3125" s="10"/>
      <c r="R3125" s="10"/>
      <c r="S3125" s="10" t="s">
        <v>53</v>
      </c>
      <c r="T3125" s="10" t="s">
        <v>54</v>
      </c>
    </row>
    <row r="3126" spans="1:20" ht="14.5" x14ac:dyDescent="0.35">
      <c r="A3126" s="10" t="s">
        <v>19705</v>
      </c>
      <c r="B3126" s="10" t="str">
        <f>"9789004188150"</f>
        <v>9789004188150</v>
      </c>
      <c r="C3126" s="10" t="str">
        <f>"9789004214170"</f>
        <v>9789004214170</v>
      </c>
      <c r="D3126" s="10" t="s">
        <v>8564</v>
      </c>
      <c r="E3126" s="10" t="s">
        <v>8565</v>
      </c>
      <c r="F3126" s="10" t="s">
        <v>1420</v>
      </c>
      <c r="G3126" s="10" t="s">
        <v>6317</v>
      </c>
      <c r="H3126" s="11">
        <v>40822</v>
      </c>
      <c r="I3126" s="10">
        <v>2011</v>
      </c>
      <c r="J3126" s="10" t="s">
        <v>8565</v>
      </c>
      <c r="K3126" s="10">
        <v>500</v>
      </c>
      <c r="L3126" s="10" t="s">
        <v>19706</v>
      </c>
      <c r="M3126" s="10">
        <v>1</v>
      </c>
      <c r="N3126" s="10" t="s">
        <v>19707</v>
      </c>
      <c r="O3126" s="10">
        <v>9</v>
      </c>
      <c r="P3126" s="10" t="s">
        <v>19708</v>
      </c>
      <c r="Q3126" s="10">
        <v>379.51</v>
      </c>
      <c r="R3126" s="10" t="s">
        <v>19709</v>
      </c>
      <c r="S3126" s="10" t="s">
        <v>53</v>
      </c>
      <c r="T3126" s="10" t="s">
        <v>54</v>
      </c>
    </row>
    <row r="3127" spans="1:20" ht="14.5" x14ac:dyDescent="0.35">
      <c r="A3127" s="10" t="s">
        <v>19710</v>
      </c>
      <c r="B3127" s="10" t="str">
        <f>"9780226389387"</f>
        <v>9780226389387</v>
      </c>
      <c r="C3127" s="10" t="str">
        <f>"9780226389394"</f>
        <v>9780226389394</v>
      </c>
      <c r="D3127" s="10" t="s">
        <v>13157</v>
      </c>
      <c r="E3127" s="10" t="s">
        <v>13157</v>
      </c>
      <c r="F3127" s="10" t="s">
        <v>324</v>
      </c>
      <c r="G3127" s="10" t="s">
        <v>6317</v>
      </c>
      <c r="H3127" s="11">
        <v>40892</v>
      </c>
      <c r="I3127" s="10">
        <v>2011</v>
      </c>
      <c r="J3127" s="10" t="s">
        <v>13157</v>
      </c>
      <c r="K3127" s="10">
        <v>136</v>
      </c>
      <c r="L3127" s="10" t="s">
        <v>19711</v>
      </c>
      <c r="M3127" s="10">
        <v>1</v>
      </c>
      <c r="N3127" s="10"/>
      <c r="O3127" s="10"/>
      <c r="P3127" s="10" t="s">
        <v>13230</v>
      </c>
      <c r="Q3127" s="10">
        <v>370.1</v>
      </c>
      <c r="R3127" s="10" t="s">
        <v>9070</v>
      </c>
      <c r="S3127" s="10" t="s">
        <v>53</v>
      </c>
      <c r="T3127" s="10" t="s">
        <v>54</v>
      </c>
    </row>
    <row r="3128" spans="1:20" ht="14.5" x14ac:dyDescent="0.35">
      <c r="A3128" s="10" t="s">
        <v>19712</v>
      </c>
      <c r="B3128" s="10" t="str">
        <f>"9781847873200"</f>
        <v>9781847873200</v>
      </c>
      <c r="C3128" s="10" t="str">
        <f>"9781446205617"</f>
        <v>9781446205617</v>
      </c>
      <c r="D3128" s="10" t="s">
        <v>9325</v>
      </c>
      <c r="E3128" s="10" t="s">
        <v>9326</v>
      </c>
      <c r="F3128" s="10" t="s">
        <v>139</v>
      </c>
      <c r="G3128" s="10" t="s">
        <v>6352</v>
      </c>
      <c r="H3128" s="11">
        <v>39778</v>
      </c>
      <c r="I3128" s="10">
        <v>2009</v>
      </c>
      <c r="J3128" s="10" t="s">
        <v>9326</v>
      </c>
      <c r="K3128" s="10">
        <v>156</v>
      </c>
      <c r="L3128" s="10" t="s">
        <v>19713</v>
      </c>
      <c r="M3128" s="10">
        <v>1</v>
      </c>
      <c r="N3128" s="10"/>
      <c r="O3128" s="10"/>
      <c r="P3128" s="10" t="s">
        <v>19714</v>
      </c>
      <c r="Q3128" s="10">
        <v>372.21</v>
      </c>
      <c r="R3128" s="10" t="s">
        <v>19715</v>
      </c>
      <c r="S3128" s="10" t="s">
        <v>53</v>
      </c>
      <c r="T3128" s="10" t="s">
        <v>54</v>
      </c>
    </row>
    <row r="3129" spans="1:20" ht="14.5" x14ac:dyDescent="0.35">
      <c r="A3129" s="10" t="s">
        <v>19716</v>
      </c>
      <c r="B3129" s="10" t="str">
        <f>"9781847871879"</f>
        <v>9781847871879</v>
      </c>
      <c r="C3129" s="10" t="str">
        <f>"9781446202548"</f>
        <v>9781446202548</v>
      </c>
      <c r="D3129" s="10" t="s">
        <v>9325</v>
      </c>
      <c r="E3129" s="10" t="s">
        <v>9326</v>
      </c>
      <c r="F3129" s="10" t="s">
        <v>139</v>
      </c>
      <c r="G3129" s="10" t="s">
        <v>6352</v>
      </c>
      <c r="H3129" s="11">
        <v>40017</v>
      </c>
      <c r="I3129" s="10">
        <v>2009</v>
      </c>
      <c r="J3129" s="10" t="s">
        <v>9326</v>
      </c>
      <c r="K3129" s="10">
        <v>155</v>
      </c>
      <c r="L3129" s="10" t="s">
        <v>19717</v>
      </c>
      <c r="M3129" s="10">
        <v>1</v>
      </c>
      <c r="N3129" s="10"/>
      <c r="O3129" s="10"/>
      <c r="P3129" s="10" t="s">
        <v>19718</v>
      </c>
      <c r="Q3129" s="10">
        <v>907.1241</v>
      </c>
      <c r="R3129" s="10" t="s">
        <v>19719</v>
      </c>
      <c r="S3129" s="10" t="s">
        <v>53</v>
      </c>
      <c r="T3129" s="10" t="s">
        <v>7711</v>
      </c>
    </row>
    <row r="3130" spans="1:20" ht="14.5" x14ac:dyDescent="0.35">
      <c r="A3130" s="10" t="s">
        <v>19720</v>
      </c>
      <c r="B3130" s="10" t="str">
        <f>"9781847875204"</f>
        <v>9781847875204</v>
      </c>
      <c r="C3130" s="10" t="str">
        <f>"9781446205891"</f>
        <v>9781446205891</v>
      </c>
      <c r="D3130" s="10" t="s">
        <v>9325</v>
      </c>
      <c r="E3130" s="10" t="s">
        <v>9326</v>
      </c>
      <c r="F3130" s="10" t="s">
        <v>139</v>
      </c>
      <c r="G3130" s="10" t="s">
        <v>6352</v>
      </c>
      <c r="H3130" s="11">
        <v>39995</v>
      </c>
      <c r="I3130" s="10">
        <v>2009</v>
      </c>
      <c r="J3130" s="10" t="s">
        <v>9326</v>
      </c>
      <c r="K3130" s="10">
        <v>111</v>
      </c>
      <c r="L3130" s="10" t="s">
        <v>13898</v>
      </c>
      <c r="M3130" s="10">
        <v>1</v>
      </c>
      <c r="N3130" s="10" t="s">
        <v>13899</v>
      </c>
      <c r="O3130" s="10"/>
      <c r="P3130" s="10" t="s">
        <v>19721</v>
      </c>
      <c r="Q3130" s="10">
        <v>372.11023999999998</v>
      </c>
      <c r="R3130" s="10" t="s">
        <v>19722</v>
      </c>
      <c r="S3130" s="10" t="s">
        <v>53</v>
      </c>
      <c r="T3130" s="10" t="s">
        <v>6526</v>
      </c>
    </row>
    <row r="3131" spans="1:20" ht="14.5" x14ac:dyDescent="0.35">
      <c r="A3131" s="10" t="s">
        <v>19723</v>
      </c>
      <c r="B3131" s="10" t="str">
        <f>"9781412921329"</f>
        <v>9781412921329</v>
      </c>
      <c r="C3131" s="10" t="str">
        <f>"9780857026668"</f>
        <v>9780857026668</v>
      </c>
      <c r="D3131" s="10" t="s">
        <v>9325</v>
      </c>
      <c r="E3131" s="10" t="s">
        <v>9326</v>
      </c>
      <c r="F3131" s="10" t="s">
        <v>139</v>
      </c>
      <c r="G3131" s="10" t="s">
        <v>6352</v>
      </c>
      <c r="H3131" s="11">
        <v>39163</v>
      </c>
      <c r="I3131" s="10">
        <v>2007</v>
      </c>
      <c r="J3131" s="10" t="s">
        <v>9326</v>
      </c>
      <c r="K3131" s="10">
        <v>248</v>
      </c>
      <c r="L3131" s="10" t="s">
        <v>19724</v>
      </c>
      <c r="M3131" s="10">
        <v>2</v>
      </c>
      <c r="N3131" s="10"/>
      <c r="O3131" s="10"/>
      <c r="P3131" s="10" t="s">
        <v>19725</v>
      </c>
      <c r="Q3131" s="10">
        <v>370.15199999999999</v>
      </c>
      <c r="R3131" s="10" t="s">
        <v>16318</v>
      </c>
      <c r="S3131" s="10" t="s">
        <v>53</v>
      </c>
      <c r="T3131" s="10" t="s">
        <v>6492</v>
      </c>
    </row>
    <row r="3132" spans="1:20" ht="14.5" x14ac:dyDescent="0.35">
      <c r="A3132" s="10" t="s">
        <v>19726</v>
      </c>
      <c r="B3132" s="10" t="str">
        <f>"9781849201582"</f>
        <v>9781849201582</v>
      </c>
      <c r="C3132" s="10" t="str">
        <f>"9781446203545"</f>
        <v>9781446203545</v>
      </c>
      <c r="D3132" s="10" t="s">
        <v>9325</v>
      </c>
      <c r="E3132" s="10" t="s">
        <v>9326</v>
      </c>
      <c r="F3132" s="10" t="s">
        <v>139</v>
      </c>
      <c r="G3132" s="10" t="s">
        <v>6352</v>
      </c>
      <c r="H3132" s="11">
        <v>40240</v>
      </c>
      <c r="I3132" s="10">
        <v>2010</v>
      </c>
      <c r="J3132" s="10" t="s">
        <v>9326</v>
      </c>
      <c r="K3132" s="10">
        <v>130</v>
      </c>
      <c r="L3132" s="10" t="s">
        <v>19727</v>
      </c>
      <c r="M3132" s="10">
        <v>2</v>
      </c>
      <c r="N3132" s="10"/>
      <c r="O3132" s="10"/>
      <c r="P3132" s="10" t="s">
        <v>19728</v>
      </c>
      <c r="Q3132" s="10">
        <v>371.90472</v>
      </c>
      <c r="R3132" s="10" t="s">
        <v>19729</v>
      </c>
      <c r="S3132" s="10" t="s">
        <v>53</v>
      </c>
      <c r="T3132" s="10" t="s">
        <v>54</v>
      </c>
    </row>
    <row r="3133" spans="1:20" ht="14.5" x14ac:dyDescent="0.35">
      <c r="A3133" s="10" t="s">
        <v>19730</v>
      </c>
      <c r="B3133" s="10" t="str">
        <f>"9781416613060"</f>
        <v>9781416613060</v>
      </c>
      <c r="C3133" s="10" t="str">
        <f>"9781416614067"</f>
        <v>9781416614067</v>
      </c>
      <c r="D3133" s="10" t="s">
        <v>10014</v>
      </c>
      <c r="E3133" s="10" t="s">
        <v>10015</v>
      </c>
      <c r="F3133" s="10" t="s">
        <v>201</v>
      </c>
      <c r="G3133" s="10" t="s">
        <v>6317</v>
      </c>
      <c r="H3133" s="11">
        <v>40816</v>
      </c>
      <c r="I3133" s="10">
        <v>2011</v>
      </c>
      <c r="J3133" s="10" t="s">
        <v>10015</v>
      </c>
      <c r="K3133" s="10">
        <v>251</v>
      </c>
      <c r="L3133" s="10" t="s">
        <v>19731</v>
      </c>
      <c r="M3133" s="10">
        <v>1</v>
      </c>
      <c r="N3133" s="10"/>
      <c r="O3133" s="10"/>
      <c r="P3133" s="10" t="s">
        <v>19732</v>
      </c>
      <c r="Q3133" s="10" t="s">
        <v>10940</v>
      </c>
      <c r="R3133" s="10" t="s">
        <v>19733</v>
      </c>
      <c r="S3133" s="10" t="s">
        <v>53</v>
      </c>
      <c r="T3133" s="10" t="s">
        <v>54</v>
      </c>
    </row>
    <row r="3134" spans="1:20" ht="14.5" x14ac:dyDescent="0.35">
      <c r="A3134" s="10" t="s">
        <v>19734</v>
      </c>
      <c r="B3134" s="10" t="str">
        <f>"9780833038241"</f>
        <v>9780833038241</v>
      </c>
      <c r="C3134" s="10" t="str">
        <f>"9780833040848"</f>
        <v>9780833040848</v>
      </c>
      <c r="D3134" s="10" t="s">
        <v>8134</v>
      </c>
      <c r="E3134" s="10" t="s">
        <v>8135</v>
      </c>
      <c r="F3134" s="10" t="s">
        <v>8136</v>
      </c>
      <c r="G3134" s="10" t="s">
        <v>6317</v>
      </c>
      <c r="H3134" s="11">
        <v>38626</v>
      </c>
      <c r="I3134" s="10">
        <v>2005</v>
      </c>
      <c r="J3134" s="10" t="s">
        <v>8363</v>
      </c>
      <c r="K3134" s="10">
        <v>291</v>
      </c>
      <c r="L3134" s="10" t="s">
        <v>19735</v>
      </c>
      <c r="M3134" s="10">
        <v>1</v>
      </c>
      <c r="N3134" s="10"/>
      <c r="O3134" s="10"/>
      <c r="P3134" s="10" t="s">
        <v>19736</v>
      </c>
      <c r="Q3134" s="10" t="s">
        <v>11668</v>
      </c>
      <c r="R3134" s="10" t="s">
        <v>19737</v>
      </c>
      <c r="S3134" s="10" t="s">
        <v>53</v>
      </c>
      <c r="T3134" s="10" t="s">
        <v>54</v>
      </c>
    </row>
    <row r="3135" spans="1:20" ht="14.5" x14ac:dyDescent="0.35">
      <c r="A3135" s="10" t="s">
        <v>19738</v>
      </c>
      <c r="B3135" s="10" t="str">
        <f>"9780833036902"</f>
        <v>9780833036902</v>
      </c>
      <c r="C3135" s="10" t="str">
        <f>"9780833040664"</f>
        <v>9780833040664</v>
      </c>
      <c r="D3135" s="10" t="s">
        <v>8134</v>
      </c>
      <c r="E3135" s="10" t="s">
        <v>8135</v>
      </c>
      <c r="F3135" s="10" t="s">
        <v>8136</v>
      </c>
      <c r="G3135" s="10" t="s">
        <v>6317</v>
      </c>
      <c r="H3135" s="11">
        <v>38353</v>
      </c>
      <c r="I3135" s="10">
        <v>2005</v>
      </c>
      <c r="J3135" s="10" t="s">
        <v>8363</v>
      </c>
      <c r="K3135" s="10">
        <v>184</v>
      </c>
      <c r="L3135" s="10" t="s">
        <v>19739</v>
      </c>
      <c r="M3135" s="10">
        <v>1</v>
      </c>
      <c r="N3135" s="10"/>
      <c r="O3135" s="10"/>
      <c r="P3135" s="10" t="s">
        <v>19740</v>
      </c>
      <c r="Q3135" s="10" t="s">
        <v>8391</v>
      </c>
      <c r="R3135" s="10" t="s">
        <v>19741</v>
      </c>
      <c r="S3135" s="10" t="s">
        <v>53</v>
      </c>
      <c r="T3135" s="10" t="s">
        <v>389</v>
      </c>
    </row>
    <row r="3136" spans="1:20" ht="14.5" x14ac:dyDescent="0.35">
      <c r="A3136" s="10" t="s">
        <v>19742</v>
      </c>
      <c r="B3136" s="10" t="str">
        <f>"9780833037794"</f>
        <v>9780833037794</v>
      </c>
      <c r="C3136" s="10" t="str">
        <f>"9780833040831"</f>
        <v>9780833040831</v>
      </c>
      <c r="D3136" s="10" t="s">
        <v>8134</v>
      </c>
      <c r="E3136" s="10" t="s">
        <v>8135</v>
      </c>
      <c r="F3136" s="10" t="s">
        <v>8136</v>
      </c>
      <c r="G3136" s="10" t="s">
        <v>6317</v>
      </c>
      <c r="H3136" s="11">
        <v>38515</v>
      </c>
      <c r="I3136" s="10">
        <v>2005</v>
      </c>
      <c r="J3136" s="10" t="s">
        <v>8363</v>
      </c>
      <c r="K3136" s="10">
        <v>237</v>
      </c>
      <c r="L3136" s="10" t="s">
        <v>19743</v>
      </c>
      <c r="M3136" s="10">
        <v>1</v>
      </c>
      <c r="N3136" s="10"/>
      <c r="O3136" s="10"/>
      <c r="P3136" s="10" t="s">
        <v>19744</v>
      </c>
      <c r="Q3136" s="10" t="s">
        <v>19745</v>
      </c>
      <c r="R3136" s="10" t="s">
        <v>19746</v>
      </c>
      <c r="S3136" s="10" t="s">
        <v>53</v>
      </c>
      <c r="T3136" s="10" t="s">
        <v>54</v>
      </c>
    </row>
    <row r="3137" spans="1:20" ht="14.5" x14ac:dyDescent="0.35">
      <c r="A3137" s="10" t="s">
        <v>19747</v>
      </c>
      <c r="B3137" s="10" t="str">
        <f>"9780816675531"</f>
        <v>9780816675531</v>
      </c>
      <c r="C3137" s="10" t="str">
        <f>"9780816678648"</f>
        <v>9780816678648</v>
      </c>
      <c r="D3137" s="10" t="s">
        <v>11428</v>
      </c>
      <c r="E3137" s="10" t="s">
        <v>11428</v>
      </c>
      <c r="F3137" s="10" t="s">
        <v>2186</v>
      </c>
      <c r="G3137" s="10" t="s">
        <v>6317</v>
      </c>
      <c r="H3137" s="11">
        <v>40724</v>
      </c>
      <c r="I3137" s="10">
        <v>2011</v>
      </c>
      <c r="J3137" s="10" t="s">
        <v>11428</v>
      </c>
      <c r="K3137" s="10">
        <v>224</v>
      </c>
      <c r="L3137" s="10" t="s">
        <v>19748</v>
      </c>
      <c r="M3137" s="10">
        <v>1</v>
      </c>
      <c r="N3137" s="10"/>
      <c r="O3137" s="10"/>
      <c r="P3137" s="10" t="s">
        <v>19749</v>
      </c>
      <c r="Q3137" s="10">
        <v>371.5</v>
      </c>
      <c r="R3137" s="10" t="s">
        <v>19750</v>
      </c>
      <c r="S3137" s="10" t="s">
        <v>53</v>
      </c>
      <c r="T3137" s="10" t="s">
        <v>54</v>
      </c>
    </row>
    <row r="3138" spans="1:20" ht="14.5" x14ac:dyDescent="0.35">
      <c r="A3138" s="10" t="s">
        <v>19751</v>
      </c>
      <c r="B3138" s="10" t="str">
        <f>"9780253006127"</f>
        <v>9780253006127</v>
      </c>
      <c r="C3138" s="10" t="str">
        <f>"9780253006158"</f>
        <v>9780253006158</v>
      </c>
      <c r="D3138" s="10" t="s">
        <v>6358</v>
      </c>
      <c r="E3138" s="10" t="s">
        <v>2455</v>
      </c>
      <c r="F3138" s="10" t="s">
        <v>3101</v>
      </c>
      <c r="G3138" s="10" t="s">
        <v>6317</v>
      </c>
      <c r="H3138" s="11">
        <v>40968</v>
      </c>
      <c r="I3138" s="10">
        <v>2012</v>
      </c>
      <c r="J3138" s="10" t="s">
        <v>2455</v>
      </c>
      <c r="K3138" s="10">
        <v>309</v>
      </c>
      <c r="L3138" s="10" t="s">
        <v>19752</v>
      </c>
      <c r="M3138" s="10">
        <v>1</v>
      </c>
      <c r="N3138" s="10"/>
      <c r="O3138" s="10"/>
      <c r="P3138" s="10" t="s">
        <v>19753</v>
      </c>
      <c r="Q3138" s="10">
        <v>371.33</v>
      </c>
      <c r="R3138" s="10" t="s">
        <v>19754</v>
      </c>
      <c r="S3138" s="10" t="s">
        <v>53</v>
      </c>
      <c r="T3138" s="10" t="s">
        <v>54</v>
      </c>
    </row>
    <row r="3139" spans="1:20" ht="14.5" x14ac:dyDescent="0.35">
      <c r="A3139" s="10" t="s">
        <v>19755</v>
      </c>
      <c r="B3139" s="10" t="str">
        <f>"9780691126371"</f>
        <v>9780691126371</v>
      </c>
      <c r="C3139" s="10" t="str">
        <f>"9781400841332"</f>
        <v>9781400841332</v>
      </c>
      <c r="D3139" s="10" t="s">
        <v>14335</v>
      </c>
      <c r="E3139" s="10" t="s">
        <v>14336</v>
      </c>
      <c r="F3139" s="10" t="s">
        <v>2246</v>
      </c>
      <c r="G3139" s="10" t="s">
        <v>6317</v>
      </c>
      <c r="H3139" s="11">
        <v>38116</v>
      </c>
      <c r="I3139" s="10">
        <v>2004</v>
      </c>
      <c r="J3139" s="10" t="s">
        <v>14336</v>
      </c>
      <c r="K3139" s="10">
        <v>297</v>
      </c>
      <c r="L3139" s="10" t="s">
        <v>16694</v>
      </c>
      <c r="M3139" s="10">
        <v>1</v>
      </c>
      <c r="N3139" s="10"/>
      <c r="O3139" s="10"/>
      <c r="P3139" s="10" t="s">
        <v>19756</v>
      </c>
      <c r="Q3139" s="10" t="s">
        <v>15833</v>
      </c>
      <c r="R3139" s="10"/>
      <c r="S3139" s="10" t="s">
        <v>53</v>
      </c>
      <c r="T3139" s="10" t="s">
        <v>54</v>
      </c>
    </row>
    <row r="3140" spans="1:20" ht="14.5" x14ac:dyDescent="0.35">
      <c r="A3140" s="10" t="s">
        <v>19757</v>
      </c>
      <c r="B3140" s="10" t="str">
        <f>"9780821388051"</f>
        <v>9780821388051</v>
      </c>
      <c r="C3140" s="10" t="str">
        <f>"9780821388068"</f>
        <v>9780821388068</v>
      </c>
      <c r="D3140" s="10" t="s">
        <v>14731</v>
      </c>
      <c r="E3140" s="10" t="s">
        <v>14732</v>
      </c>
      <c r="F3140" s="10" t="s">
        <v>14733</v>
      </c>
      <c r="G3140" s="10" t="s">
        <v>6317</v>
      </c>
      <c r="H3140" s="11">
        <v>40807</v>
      </c>
      <c r="I3140" s="10">
        <v>2011</v>
      </c>
      <c r="J3140" s="10" t="s">
        <v>14732</v>
      </c>
      <c r="K3140" s="10">
        <v>328</v>
      </c>
      <c r="L3140" s="10" t="s">
        <v>19758</v>
      </c>
      <c r="M3140" s="10">
        <v>1</v>
      </c>
      <c r="N3140" s="10" t="s">
        <v>14770</v>
      </c>
      <c r="O3140" s="10"/>
      <c r="P3140" s="10" t="s">
        <v>19759</v>
      </c>
      <c r="Q3140" s="10" t="s">
        <v>19760</v>
      </c>
      <c r="R3140" s="10" t="s">
        <v>19761</v>
      </c>
      <c r="S3140" s="10" t="s">
        <v>53</v>
      </c>
      <c r="T3140" s="10" t="s">
        <v>54</v>
      </c>
    </row>
    <row r="3141" spans="1:20" ht="14.5" x14ac:dyDescent="0.35">
      <c r="A3141" s="10" t="s">
        <v>19762</v>
      </c>
      <c r="B3141" s="10" t="str">
        <f>"9781611460049"</f>
        <v>9781611460049</v>
      </c>
      <c r="C3141" s="10" t="str">
        <f>"9781611460056"</f>
        <v>9781611460056</v>
      </c>
      <c r="D3141" s="10" t="s">
        <v>9752</v>
      </c>
      <c r="E3141" s="10" t="s">
        <v>19763</v>
      </c>
      <c r="F3141" s="10" t="s">
        <v>9754</v>
      </c>
      <c r="G3141" s="10" t="s">
        <v>6317</v>
      </c>
      <c r="H3141" s="11">
        <v>40630</v>
      </c>
      <c r="I3141" s="10">
        <v>2011</v>
      </c>
      <c r="J3141" s="10" t="s">
        <v>19763</v>
      </c>
      <c r="K3141" s="10">
        <v>265</v>
      </c>
      <c r="L3141" s="10" t="s">
        <v>19764</v>
      </c>
      <c r="M3141" s="10">
        <v>1</v>
      </c>
      <c r="N3141" s="10"/>
      <c r="O3141" s="10"/>
      <c r="P3141" s="10" t="s">
        <v>19765</v>
      </c>
      <c r="Q3141" s="10">
        <v>373.51211999999998</v>
      </c>
      <c r="R3141" s="10" t="s">
        <v>19766</v>
      </c>
      <c r="S3141" s="10" t="s">
        <v>53</v>
      </c>
      <c r="T3141" s="10" t="s">
        <v>6568</v>
      </c>
    </row>
    <row r="3142" spans="1:20" ht="14.5" x14ac:dyDescent="0.35">
      <c r="A3142" s="10" t="s">
        <v>19767</v>
      </c>
      <c r="B3142" s="10" t="str">
        <f>"9780813129792"</f>
        <v>9780813129792</v>
      </c>
      <c r="C3142" s="10" t="str">
        <f>"9780813139500"</f>
        <v>9780813139500</v>
      </c>
      <c r="D3142" s="10" t="s">
        <v>6358</v>
      </c>
      <c r="E3142" s="10" t="s">
        <v>19768</v>
      </c>
      <c r="F3142" s="10" t="s">
        <v>70</v>
      </c>
      <c r="G3142" s="10" t="s">
        <v>6317</v>
      </c>
      <c r="H3142" s="11">
        <v>40592</v>
      </c>
      <c r="I3142" s="10">
        <v>2011</v>
      </c>
      <c r="J3142" s="10" t="s">
        <v>19768</v>
      </c>
      <c r="K3142" s="10">
        <v>305</v>
      </c>
      <c r="L3142" s="10" t="s">
        <v>19769</v>
      </c>
      <c r="M3142" s="10">
        <v>1</v>
      </c>
      <c r="N3142" s="10"/>
      <c r="O3142" s="10"/>
      <c r="P3142" s="10" t="s">
        <v>19770</v>
      </c>
      <c r="Q3142" s="10" t="s">
        <v>19771</v>
      </c>
      <c r="R3142" s="10" t="s">
        <v>19772</v>
      </c>
      <c r="S3142" s="10" t="s">
        <v>53</v>
      </c>
      <c r="T3142" s="10" t="s">
        <v>54</v>
      </c>
    </row>
    <row r="3143" spans="1:20" ht="14.5" x14ac:dyDescent="0.35">
      <c r="A3143" s="10" t="s">
        <v>19773</v>
      </c>
      <c r="B3143" s="10" t="str">
        <f>"9780813129839"</f>
        <v>9780813129839</v>
      </c>
      <c r="C3143" s="10" t="str">
        <f>"9780813129938"</f>
        <v>9780813129938</v>
      </c>
      <c r="D3143" s="10" t="s">
        <v>19768</v>
      </c>
      <c r="E3143" s="10" t="s">
        <v>19768</v>
      </c>
      <c r="F3143" s="10" t="s">
        <v>19774</v>
      </c>
      <c r="G3143" s="10" t="s">
        <v>6317</v>
      </c>
      <c r="H3143" s="11">
        <v>40599</v>
      </c>
      <c r="I3143" s="10">
        <v>2011</v>
      </c>
      <c r="J3143" s="10" t="s">
        <v>19768</v>
      </c>
      <c r="K3143" s="10">
        <v>417</v>
      </c>
      <c r="L3143" s="10" t="s">
        <v>19775</v>
      </c>
      <c r="M3143" s="10">
        <v>1</v>
      </c>
      <c r="N3143" s="10" t="s">
        <v>19776</v>
      </c>
      <c r="O3143" s="10"/>
      <c r="P3143" s="10" t="s">
        <v>19777</v>
      </c>
      <c r="Q3143" s="10" t="s">
        <v>19778</v>
      </c>
      <c r="R3143" s="10" t="s">
        <v>19779</v>
      </c>
      <c r="S3143" s="10" t="s">
        <v>53</v>
      </c>
      <c r="T3143" s="10" t="s">
        <v>54</v>
      </c>
    </row>
    <row r="3144" spans="1:20" ht="14.5" x14ac:dyDescent="0.35">
      <c r="A3144" s="10" t="s">
        <v>19780</v>
      </c>
      <c r="B3144" s="10" t="str">
        <f>"9780813123783"</f>
        <v>9780813123783</v>
      </c>
      <c r="C3144" s="10" t="str">
        <f>"9780813171654"</f>
        <v>9780813171654</v>
      </c>
      <c r="D3144" s="10" t="s">
        <v>19768</v>
      </c>
      <c r="E3144" s="10" t="s">
        <v>19768</v>
      </c>
      <c r="F3144" s="10" t="s">
        <v>19774</v>
      </c>
      <c r="G3144" s="10" t="s">
        <v>6317</v>
      </c>
      <c r="H3144" s="11">
        <v>38779</v>
      </c>
      <c r="I3144" s="10">
        <v>2006</v>
      </c>
      <c r="J3144" s="10" t="s">
        <v>19768</v>
      </c>
      <c r="K3144" s="10">
        <v>271</v>
      </c>
      <c r="L3144" s="10" t="s">
        <v>19781</v>
      </c>
      <c r="M3144" s="10">
        <v>1</v>
      </c>
      <c r="N3144" s="10"/>
      <c r="O3144" s="10"/>
      <c r="P3144" s="10" t="s">
        <v>19782</v>
      </c>
      <c r="Q3144" s="10" t="s">
        <v>19783</v>
      </c>
      <c r="R3144" s="10" t="s">
        <v>19784</v>
      </c>
      <c r="S3144" s="10" t="s">
        <v>53</v>
      </c>
      <c r="T3144" s="10" t="s">
        <v>54</v>
      </c>
    </row>
    <row r="3145" spans="1:20" ht="14.5" x14ac:dyDescent="0.35">
      <c r="A3145" s="10" t="s">
        <v>19785</v>
      </c>
      <c r="B3145" s="10" t="str">
        <f>"9780787975883"</f>
        <v>9780787975883</v>
      </c>
      <c r="C3145" s="10" t="str">
        <f>"9780470229224"</f>
        <v>9780470229224</v>
      </c>
      <c r="D3145" s="10" t="s">
        <v>6322</v>
      </c>
      <c r="E3145" s="10" t="s">
        <v>6323</v>
      </c>
      <c r="F3145" s="10" t="s">
        <v>1168</v>
      </c>
      <c r="G3145" s="10" t="s">
        <v>6317</v>
      </c>
      <c r="H3145" s="11">
        <v>39017</v>
      </c>
      <c r="I3145" s="10">
        <v>2007</v>
      </c>
      <c r="J3145" s="10" t="s">
        <v>6324</v>
      </c>
      <c r="K3145" s="10">
        <v>553</v>
      </c>
      <c r="L3145" s="10" t="s">
        <v>19786</v>
      </c>
      <c r="M3145" s="10">
        <v>3</v>
      </c>
      <c r="N3145" s="10" t="s">
        <v>19787</v>
      </c>
      <c r="O3145" s="10"/>
      <c r="P3145" s="10" t="s">
        <v>19788</v>
      </c>
      <c r="Q3145" s="10">
        <v>374</v>
      </c>
      <c r="R3145" s="10" t="s">
        <v>19789</v>
      </c>
      <c r="S3145" s="10" t="s">
        <v>53</v>
      </c>
      <c r="T3145" s="10" t="s">
        <v>54</v>
      </c>
    </row>
    <row r="3146" spans="1:20" ht="14.5" x14ac:dyDescent="0.35">
      <c r="A3146" s="10" t="s">
        <v>19790</v>
      </c>
      <c r="B3146" s="10" t="str">
        <f>"9789004182479"</f>
        <v>9789004182479</v>
      </c>
      <c r="C3146" s="10" t="str">
        <f>"9789004217348"</f>
        <v>9789004217348</v>
      </c>
      <c r="D3146" s="10" t="s">
        <v>8564</v>
      </c>
      <c r="E3146" s="10" t="s">
        <v>8565</v>
      </c>
      <c r="F3146" s="10" t="s">
        <v>1420</v>
      </c>
      <c r="G3146" s="10" t="s">
        <v>6317</v>
      </c>
      <c r="H3146" s="11">
        <v>40830</v>
      </c>
      <c r="I3146" s="10">
        <v>2012</v>
      </c>
      <c r="J3146" s="10" t="s">
        <v>8565</v>
      </c>
      <c r="K3146" s="10">
        <v>266</v>
      </c>
      <c r="L3146" s="10" t="s">
        <v>19791</v>
      </c>
      <c r="M3146" s="10">
        <v>1</v>
      </c>
      <c r="N3146" s="10" t="s">
        <v>19792</v>
      </c>
      <c r="O3146" s="10">
        <v>4</v>
      </c>
      <c r="P3146" s="10" t="s">
        <v>19793</v>
      </c>
      <c r="Q3146" s="10"/>
      <c r="R3146" s="10"/>
      <c r="S3146" s="10" t="s">
        <v>53</v>
      </c>
      <c r="T3146" s="10" t="s">
        <v>54</v>
      </c>
    </row>
    <row r="3147" spans="1:20" ht="14.5" x14ac:dyDescent="0.35">
      <c r="A3147" s="10" t="s">
        <v>19794</v>
      </c>
      <c r="B3147" s="10" t="str">
        <f>"9789004211025"</f>
        <v>9789004211025</v>
      </c>
      <c r="C3147" s="10" t="str">
        <f>"9789004211032"</f>
        <v>9789004211032</v>
      </c>
      <c r="D3147" s="10" t="s">
        <v>8564</v>
      </c>
      <c r="E3147" s="10" t="s">
        <v>8565</v>
      </c>
      <c r="F3147" s="10" t="s">
        <v>1420</v>
      </c>
      <c r="G3147" s="10" t="s">
        <v>6317</v>
      </c>
      <c r="H3147" s="11">
        <v>40830</v>
      </c>
      <c r="I3147" s="10">
        <v>2012</v>
      </c>
      <c r="J3147" s="10" t="s">
        <v>8565</v>
      </c>
      <c r="K3147" s="10">
        <v>360</v>
      </c>
      <c r="L3147" s="10" t="s">
        <v>19795</v>
      </c>
      <c r="M3147" s="10">
        <v>1</v>
      </c>
      <c r="N3147" s="10" t="s">
        <v>19796</v>
      </c>
      <c r="O3147" s="10">
        <v>37</v>
      </c>
      <c r="P3147" s="10" t="s">
        <v>19797</v>
      </c>
      <c r="Q3147" s="10">
        <v>378.01</v>
      </c>
      <c r="R3147" s="10" t="s">
        <v>19798</v>
      </c>
      <c r="S3147" s="10" t="s">
        <v>53</v>
      </c>
      <c r="T3147" s="10" t="s">
        <v>54</v>
      </c>
    </row>
    <row r="3148" spans="1:20" ht="14.5" x14ac:dyDescent="0.35">
      <c r="A3148" s="10" t="s">
        <v>19799</v>
      </c>
      <c r="B3148" s="10" t="str">
        <f>"9780567551740"</f>
        <v>9780567551740</v>
      </c>
      <c r="C3148" s="10" t="str">
        <f>"9781441128089"</f>
        <v>9781441128089</v>
      </c>
      <c r="D3148" s="10" t="s">
        <v>13959</v>
      </c>
      <c r="E3148" s="10" t="s">
        <v>13960</v>
      </c>
      <c r="F3148" s="10" t="s">
        <v>139</v>
      </c>
      <c r="G3148" s="10" t="s">
        <v>6352</v>
      </c>
      <c r="H3148" s="11">
        <v>41417</v>
      </c>
      <c r="I3148" s="10">
        <v>2011</v>
      </c>
      <c r="J3148" s="10" t="s">
        <v>13961</v>
      </c>
      <c r="K3148" s="10">
        <v>297</v>
      </c>
      <c r="L3148" s="10" t="s">
        <v>19800</v>
      </c>
      <c r="M3148" s="10">
        <v>1</v>
      </c>
      <c r="N3148" s="10"/>
      <c r="O3148" s="10"/>
      <c r="P3148" s="10" t="s">
        <v>19801</v>
      </c>
      <c r="Q3148" s="10">
        <v>370.154</v>
      </c>
      <c r="R3148" s="10" t="s">
        <v>19802</v>
      </c>
      <c r="S3148" s="10" t="s">
        <v>53</v>
      </c>
      <c r="T3148" s="10" t="s">
        <v>54</v>
      </c>
    </row>
    <row r="3149" spans="1:20" ht="14.5" x14ac:dyDescent="0.35">
      <c r="A3149" s="10" t="s">
        <v>19803</v>
      </c>
      <c r="B3149" s="10" t="str">
        <f>"9781606239322"</f>
        <v>9781606239322</v>
      </c>
      <c r="C3149" s="10" t="str">
        <f>"9781609189662"</f>
        <v>9781609189662</v>
      </c>
      <c r="D3149" s="10" t="s">
        <v>11213</v>
      </c>
      <c r="E3149" s="10" t="s">
        <v>11214</v>
      </c>
      <c r="F3149" s="10" t="s">
        <v>70</v>
      </c>
      <c r="G3149" s="10" t="s">
        <v>6317</v>
      </c>
      <c r="H3149" s="11">
        <v>40834</v>
      </c>
      <c r="I3149" s="10">
        <v>2012</v>
      </c>
      <c r="J3149" s="10" t="s">
        <v>11215</v>
      </c>
      <c r="K3149" s="10">
        <v>400</v>
      </c>
      <c r="L3149" s="10" t="s">
        <v>19804</v>
      </c>
      <c r="M3149" s="10">
        <v>1</v>
      </c>
      <c r="N3149" s="10"/>
      <c r="O3149" s="10"/>
      <c r="P3149" s="10" t="s">
        <v>19805</v>
      </c>
      <c r="Q3149" s="10">
        <v>371.94</v>
      </c>
      <c r="R3149" s="10" t="s">
        <v>19806</v>
      </c>
      <c r="S3149" s="10" t="s">
        <v>53</v>
      </c>
      <c r="T3149" s="10" t="s">
        <v>54</v>
      </c>
    </row>
    <row r="3150" spans="1:20" ht="14.5" x14ac:dyDescent="0.35">
      <c r="A3150" s="10" t="s">
        <v>19807</v>
      </c>
      <c r="B3150" s="10" t="str">
        <f>"9781609189808"</f>
        <v>9781609189808</v>
      </c>
      <c r="C3150" s="10" t="str">
        <f>"9781462502448"</f>
        <v>9781462502448</v>
      </c>
      <c r="D3150" s="10" t="s">
        <v>11213</v>
      </c>
      <c r="E3150" s="10" t="s">
        <v>11214</v>
      </c>
      <c r="F3150" s="10" t="s">
        <v>70</v>
      </c>
      <c r="G3150" s="10" t="s">
        <v>6317</v>
      </c>
      <c r="H3150" s="11">
        <v>40822</v>
      </c>
      <c r="I3150" s="10">
        <v>2012</v>
      </c>
      <c r="J3150" s="10" t="s">
        <v>11214</v>
      </c>
      <c r="K3150" s="10">
        <v>288</v>
      </c>
      <c r="L3150" s="10" t="s">
        <v>19808</v>
      </c>
      <c r="M3150" s="10">
        <v>1</v>
      </c>
      <c r="N3150" s="10" t="s">
        <v>11708</v>
      </c>
      <c r="O3150" s="10"/>
      <c r="P3150" s="10" t="s">
        <v>19809</v>
      </c>
      <c r="Q3150" s="10">
        <v>371.94</v>
      </c>
      <c r="R3150" s="10" t="s">
        <v>19810</v>
      </c>
      <c r="S3150" s="10" t="s">
        <v>53</v>
      </c>
      <c r="T3150" s="10" t="s">
        <v>54</v>
      </c>
    </row>
    <row r="3151" spans="1:20" ht="14.5" x14ac:dyDescent="0.35">
      <c r="A3151" s="10" t="s">
        <v>19811</v>
      </c>
      <c r="B3151" s="10" t="str">
        <f>"9789027218087"</f>
        <v>9789027218087</v>
      </c>
      <c r="C3151" s="10" t="str">
        <f>"9789027283238"</f>
        <v>9789027283238</v>
      </c>
      <c r="D3151" s="10" t="s">
        <v>17335</v>
      </c>
      <c r="E3151" s="10" t="s">
        <v>17336</v>
      </c>
      <c r="F3151" s="10" t="s">
        <v>1818</v>
      </c>
      <c r="G3151" s="10" t="s">
        <v>9233</v>
      </c>
      <c r="H3151" s="11">
        <v>40831</v>
      </c>
      <c r="I3151" s="10">
        <v>2011</v>
      </c>
      <c r="J3151" s="10" t="s">
        <v>17336</v>
      </c>
      <c r="K3151" s="10">
        <v>282</v>
      </c>
      <c r="L3151" s="10" t="s">
        <v>19812</v>
      </c>
      <c r="M3151" s="10">
        <v>1</v>
      </c>
      <c r="N3151" s="10"/>
      <c r="O3151" s="10"/>
      <c r="P3151" s="10" t="s">
        <v>19813</v>
      </c>
      <c r="Q3151" s="10">
        <v>372.4</v>
      </c>
      <c r="R3151" s="10" t="s">
        <v>19814</v>
      </c>
      <c r="S3151" s="10" t="s">
        <v>53</v>
      </c>
      <c r="T3151" s="10" t="s">
        <v>54</v>
      </c>
    </row>
    <row r="3152" spans="1:20" ht="14.5" x14ac:dyDescent="0.35">
      <c r="A3152" s="10" t="s">
        <v>19815</v>
      </c>
      <c r="B3152" s="10" t="str">
        <f>"9780313391699"</f>
        <v>9780313391699</v>
      </c>
      <c r="C3152" s="10" t="str">
        <f>"9780313391705"</f>
        <v>9780313391705</v>
      </c>
      <c r="D3152" s="10" t="s">
        <v>9777</v>
      </c>
      <c r="E3152" s="10" t="s">
        <v>9792</v>
      </c>
      <c r="F3152" s="10" t="s">
        <v>70</v>
      </c>
      <c r="G3152" s="10" t="s">
        <v>6317</v>
      </c>
      <c r="H3152" s="11">
        <v>40808</v>
      </c>
      <c r="I3152" s="10">
        <v>2011</v>
      </c>
      <c r="J3152" s="10" t="s">
        <v>9793</v>
      </c>
      <c r="K3152" s="10">
        <v>734</v>
      </c>
      <c r="L3152" s="10" t="s">
        <v>19816</v>
      </c>
      <c r="M3152" s="10">
        <v>1</v>
      </c>
      <c r="N3152" s="10" t="s">
        <v>19817</v>
      </c>
      <c r="O3152" s="10"/>
      <c r="P3152" s="10" t="s">
        <v>19818</v>
      </c>
      <c r="Q3152" s="10">
        <v>378.12081999999998</v>
      </c>
      <c r="R3152" s="10" t="s">
        <v>19819</v>
      </c>
      <c r="S3152" s="10" t="s">
        <v>53</v>
      </c>
      <c r="T3152" s="10" t="s">
        <v>54</v>
      </c>
    </row>
    <row r="3153" spans="1:20" ht="14.5" x14ac:dyDescent="0.35">
      <c r="A3153" s="10" t="s">
        <v>19820</v>
      </c>
      <c r="B3153" s="10" t="str">
        <f>"9781905313921"</f>
        <v>9781905313921</v>
      </c>
      <c r="C3153" s="10" t="str">
        <f>"9781905313976"</f>
        <v>9781905313976</v>
      </c>
      <c r="D3153" s="10" t="s">
        <v>9215</v>
      </c>
      <c r="E3153" s="10" t="s">
        <v>19821</v>
      </c>
      <c r="F3153" s="10" t="s">
        <v>19822</v>
      </c>
      <c r="G3153" s="10" t="s">
        <v>6317</v>
      </c>
      <c r="H3153" s="11">
        <v>40817</v>
      </c>
      <c r="I3153" s="10">
        <v>2011</v>
      </c>
      <c r="J3153" s="10" t="s">
        <v>19821</v>
      </c>
      <c r="K3153" s="10">
        <v>63</v>
      </c>
      <c r="L3153" s="10" t="s">
        <v>19823</v>
      </c>
      <c r="M3153" s="10"/>
      <c r="N3153" s="10"/>
      <c r="O3153" s="10"/>
      <c r="P3153" s="10" t="s">
        <v>19824</v>
      </c>
      <c r="Q3153" s="10">
        <v>344.42077999999998</v>
      </c>
      <c r="R3153" s="10" t="s">
        <v>19825</v>
      </c>
      <c r="S3153" s="10" t="s">
        <v>53</v>
      </c>
      <c r="T3153" s="10" t="s">
        <v>5396</v>
      </c>
    </row>
    <row r="3154" spans="1:20" ht="14.5" x14ac:dyDescent="0.35">
      <c r="A3154" s="10" t="s">
        <v>19826</v>
      </c>
      <c r="B3154" s="10" t="str">
        <f>"9780813343297"</f>
        <v>9780813343297</v>
      </c>
      <c r="C3154" s="10" t="str">
        <f>"9780429965524"</f>
        <v>9780429965524</v>
      </c>
      <c r="D3154" s="10" t="s">
        <v>6350</v>
      </c>
      <c r="E3154" s="10" t="s">
        <v>6351</v>
      </c>
      <c r="F3154" s="10" t="s">
        <v>748</v>
      </c>
      <c r="G3154" s="10" t="s">
        <v>6352</v>
      </c>
      <c r="H3154" s="11">
        <v>35761</v>
      </c>
      <c r="I3154" s="10">
        <v>2005</v>
      </c>
      <c r="J3154" s="10" t="s">
        <v>6351</v>
      </c>
      <c r="K3154" s="10">
        <v>115</v>
      </c>
      <c r="L3154" s="10" t="s">
        <v>8453</v>
      </c>
      <c r="M3154" s="10">
        <v>1</v>
      </c>
      <c r="N3154" s="10"/>
      <c r="O3154" s="10"/>
      <c r="P3154" s="10" t="s">
        <v>19827</v>
      </c>
      <c r="Q3154" s="10">
        <v>370.1</v>
      </c>
      <c r="R3154" s="10" t="s">
        <v>19828</v>
      </c>
      <c r="S3154" s="10" t="s">
        <v>53</v>
      </c>
      <c r="T3154" s="10" t="s">
        <v>54</v>
      </c>
    </row>
    <row r="3155" spans="1:20" ht="14.5" x14ac:dyDescent="0.35">
      <c r="A3155" s="10" t="s">
        <v>19829</v>
      </c>
      <c r="B3155" s="10" t="str">
        <f>"9781441171306"</f>
        <v>9781441171306</v>
      </c>
      <c r="C3155" s="10" t="str">
        <f>"9781441143327"</f>
        <v>9781441143327</v>
      </c>
      <c r="D3155" s="10" t="s">
        <v>13959</v>
      </c>
      <c r="E3155" s="10" t="s">
        <v>13960</v>
      </c>
      <c r="F3155" s="10" t="s">
        <v>139</v>
      </c>
      <c r="G3155" s="10" t="s">
        <v>6352</v>
      </c>
      <c r="H3155" s="11">
        <v>40892</v>
      </c>
      <c r="I3155" s="10">
        <v>2011</v>
      </c>
      <c r="J3155" s="10" t="s">
        <v>13961</v>
      </c>
      <c r="K3155" s="10">
        <v>265</v>
      </c>
      <c r="L3155" s="10" t="s">
        <v>19830</v>
      </c>
      <c r="M3155" s="10">
        <v>3</v>
      </c>
      <c r="N3155" s="10" t="s">
        <v>16573</v>
      </c>
      <c r="O3155" s="10"/>
      <c r="P3155" s="10" t="s">
        <v>19831</v>
      </c>
      <c r="Q3155" s="10" t="s">
        <v>9356</v>
      </c>
      <c r="R3155" s="10" t="s">
        <v>19832</v>
      </c>
      <c r="S3155" s="10" t="s">
        <v>53</v>
      </c>
      <c r="T3155" s="10" t="s">
        <v>54</v>
      </c>
    </row>
    <row r="3156" spans="1:20" ht="14.5" x14ac:dyDescent="0.35">
      <c r="A3156" s="10" t="s">
        <v>19833</v>
      </c>
      <c r="B3156" s="10" t="str">
        <f>"9780807802489"</f>
        <v>9780807802489</v>
      </c>
      <c r="C3156" s="10" t="str">
        <f>"9780807882405"</f>
        <v>9780807882405</v>
      </c>
      <c r="D3156" s="10" t="s">
        <v>13324</v>
      </c>
      <c r="E3156" s="10" t="s">
        <v>13335</v>
      </c>
      <c r="F3156" s="10" t="s">
        <v>2388</v>
      </c>
      <c r="G3156" s="10" t="s">
        <v>6317</v>
      </c>
      <c r="H3156" s="11">
        <v>13516</v>
      </c>
      <c r="I3156" s="10">
        <v>1937</v>
      </c>
      <c r="J3156" s="10" t="s">
        <v>13335</v>
      </c>
      <c r="K3156" s="10">
        <v>207</v>
      </c>
      <c r="L3156" s="10" t="s">
        <v>19834</v>
      </c>
      <c r="M3156" s="10">
        <v>1</v>
      </c>
      <c r="N3156" s="10"/>
      <c r="O3156" s="10"/>
      <c r="P3156" s="10" t="s">
        <v>19835</v>
      </c>
      <c r="Q3156" s="10"/>
      <c r="R3156" s="10" t="s">
        <v>19836</v>
      </c>
      <c r="S3156" s="10" t="s">
        <v>53</v>
      </c>
      <c r="T3156" s="10" t="s">
        <v>54</v>
      </c>
    </row>
    <row r="3157" spans="1:20" ht="14.5" x14ac:dyDescent="0.35">
      <c r="A3157" s="10" t="s">
        <v>19837</v>
      </c>
      <c r="B3157" s="10" t="str">
        <f>"9781609189730"</f>
        <v>9781609189730</v>
      </c>
      <c r="C3157" s="10" t="str">
        <f>"9781609189747"</f>
        <v>9781609189747</v>
      </c>
      <c r="D3157" s="10" t="s">
        <v>11213</v>
      </c>
      <c r="E3157" s="10" t="s">
        <v>11214</v>
      </c>
      <c r="F3157" s="10" t="s">
        <v>70</v>
      </c>
      <c r="G3157" s="10" t="s">
        <v>6317</v>
      </c>
      <c r="H3157" s="11">
        <v>40848</v>
      </c>
      <c r="I3157" s="10">
        <v>2012</v>
      </c>
      <c r="J3157" s="10" t="s">
        <v>11215</v>
      </c>
      <c r="K3157" s="10">
        <v>177</v>
      </c>
      <c r="L3157" s="10" t="s">
        <v>19838</v>
      </c>
      <c r="M3157" s="10">
        <v>1</v>
      </c>
      <c r="N3157" s="10" t="s">
        <v>12889</v>
      </c>
      <c r="O3157" s="10"/>
      <c r="P3157" s="10" t="s">
        <v>19839</v>
      </c>
      <c r="Q3157" s="10" t="s">
        <v>19840</v>
      </c>
      <c r="R3157" s="10" t="s">
        <v>19841</v>
      </c>
      <c r="S3157" s="10" t="s">
        <v>53</v>
      </c>
      <c r="T3157" s="10" t="s">
        <v>54</v>
      </c>
    </row>
    <row r="3158" spans="1:20" ht="14.5" x14ac:dyDescent="0.35">
      <c r="A3158" s="10" t="s">
        <v>19842</v>
      </c>
      <c r="B3158" s="10" t="str">
        <f>"9780415564809"</f>
        <v>9780415564809</v>
      </c>
      <c r="C3158" s="10" t="str">
        <f>"9781136826290"</f>
        <v>9781136826290</v>
      </c>
      <c r="D3158" s="10" t="s">
        <v>6350</v>
      </c>
      <c r="E3158" s="10" t="s">
        <v>6351</v>
      </c>
      <c r="F3158" s="10" t="s">
        <v>5406</v>
      </c>
      <c r="G3158" s="10" t="s">
        <v>6317</v>
      </c>
      <c r="H3158" s="11">
        <v>40613</v>
      </c>
      <c r="I3158" s="10">
        <v>2011</v>
      </c>
      <c r="J3158" s="10" t="s">
        <v>6353</v>
      </c>
      <c r="K3158" s="10">
        <v>191</v>
      </c>
      <c r="L3158" s="10" t="s">
        <v>19843</v>
      </c>
      <c r="M3158" s="10">
        <v>4</v>
      </c>
      <c r="N3158" s="10"/>
      <c r="O3158" s="10"/>
      <c r="P3158" s="10" t="s">
        <v>19844</v>
      </c>
      <c r="Q3158" s="10">
        <v>372.6</v>
      </c>
      <c r="R3158" s="10" t="s">
        <v>19845</v>
      </c>
      <c r="S3158" s="10" t="s">
        <v>53</v>
      </c>
      <c r="T3158" s="10" t="s">
        <v>54</v>
      </c>
    </row>
    <row r="3159" spans="1:20" ht="14.5" x14ac:dyDescent="0.35">
      <c r="A3159" s="10" t="s">
        <v>19846</v>
      </c>
      <c r="B3159" s="10" t="str">
        <f>"9780415950329"</f>
        <v>9780415950329</v>
      </c>
      <c r="C3159" s="10" t="str">
        <f>"9780203821329"</f>
        <v>9780203821329</v>
      </c>
      <c r="D3159" s="10" t="s">
        <v>6350</v>
      </c>
      <c r="E3159" s="10" t="s">
        <v>6351</v>
      </c>
      <c r="F3159" s="10" t="s">
        <v>748</v>
      </c>
      <c r="G3159" s="10" t="s">
        <v>6352</v>
      </c>
      <c r="H3159" s="11">
        <v>38378</v>
      </c>
      <c r="I3159" s="10">
        <v>2005</v>
      </c>
      <c r="J3159" s="10" t="s">
        <v>6351</v>
      </c>
      <c r="K3159" s="10">
        <v>294</v>
      </c>
      <c r="L3159" s="10" t="s">
        <v>19847</v>
      </c>
      <c r="M3159" s="10">
        <v>1</v>
      </c>
      <c r="N3159" s="10"/>
      <c r="O3159" s="10"/>
      <c r="P3159" s="10" t="s">
        <v>19848</v>
      </c>
      <c r="Q3159" s="10" t="s">
        <v>8993</v>
      </c>
      <c r="R3159" s="10" t="s">
        <v>19849</v>
      </c>
      <c r="S3159" s="10" t="s">
        <v>53</v>
      </c>
      <c r="T3159" s="10" t="s">
        <v>54</v>
      </c>
    </row>
    <row r="3160" spans="1:20" ht="14.5" x14ac:dyDescent="0.35">
      <c r="A3160" s="10" t="s">
        <v>19850</v>
      </c>
      <c r="B3160" s="10" t="str">
        <f>"9780415933766"</f>
        <v>9780415933766</v>
      </c>
      <c r="C3160" s="10" t="str">
        <f>"9780203823729"</f>
        <v>9780203823729</v>
      </c>
      <c r="D3160" s="10" t="s">
        <v>6350</v>
      </c>
      <c r="E3160" s="10" t="s">
        <v>6351</v>
      </c>
      <c r="F3160" s="10" t="s">
        <v>139</v>
      </c>
      <c r="G3160" s="10" t="s">
        <v>6352</v>
      </c>
      <c r="H3160" s="11">
        <v>37526</v>
      </c>
      <c r="I3160" s="10">
        <v>2003</v>
      </c>
      <c r="J3160" s="10" t="s">
        <v>6353</v>
      </c>
      <c r="K3160" s="10">
        <v>223</v>
      </c>
      <c r="L3160" s="10" t="s">
        <v>19851</v>
      </c>
      <c r="M3160" s="10">
        <v>1</v>
      </c>
      <c r="N3160" s="10"/>
      <c r="O3160" s="10"/>
      <c r="P3160" s="10" t="s">
        <v>19852</v>
      </c>
      <c r="Q3160" s="10" t="s">
        <v>13808</v>
      </c>
      <c r="R3160" s="10" t="s">
        <v>19853</v>
      </c>
      <c r="S3160" s="10" t="s">
        <v>53</v>
      </c>
      <c r="T3160" s="10" t="s">
        <v>54</v>
      </c>
    </row>
    <row r="3161" spans="1:20" ht="14.5" x14ac:dyDescent="0.35">
      <c r="A3161" s="10" t="s">
        <v>19854</v>
      </c>
      <c r="B3161" s="10" t="str">
        <f>"9780415995085"</f>
        <v>9780415995085</v>
      </c>
      <c r="C3161" s="10" t="str">
        <f>"9780203828427"</f>
        <v>9780203828427</v>
      </c>
      <c r="D3161" s="10" t="s">
        <v>6350</v>
      </c>
      <c r="E3161" s="10" t="s">
        <v>6351</v>
      </c>
      <c r="F3161" s="10" t="s">
        <v>139</v>
      </c>
      <c r="G3161" s="10" t="s">
        <v>6352</v>
      </c>
      <c r="H3161" s="11">
        <v>40688</v>
      </c>
      <c r="I3161" s="10">
        <v>2009</v>
      </c>
      <c r="J3161" s="10" t="s">
        <v>6353</v>
      </c>
      <c r="K3161" s="10">
        <v>277</v>
      </c>
      <c r="L3161" s="10" t="s">
        <v>19855</v>
      </c>
      <c r="M3161" s="10">
        <v>1</v>
      </c>
      <c r="N3161" s="10" t="s">
        <v>12310</v>
      </c>
      <c r="O3161" s="10"/>
      <c r="P3161" s="10" t="s">
        <v>19856</v>
      </c>
      <c r="Q3161" s="10">
        <v>370.14</v>
      </c>
      <c r="R3161" s="10" t="s">
        <v>19857</v>
      </c>
      <c r="S3161" s="10" t="s">
        <v>53</v>
      </c>
      <c r="T3161" s="10" t="s">
        <v>6634</v>
      </c>
    </row>
    <row r="3162" spans="1:20" ht="14.5" x14ac:dyDescent="0.35">
      <c r="A3162" s="10" t="s">
        <v>19858</v>
      </c>
      <c r="B3162" s="10" t="str">
        <f>"9780691163345"</f>
        <v>9780691163345</v>
      </c>
      <c r="C3162" s="10" t="str">
        <f>"9781400840052"</f>
        <v>9781400840052</v>
      </c>
      <c r="D3162" s="10" t="s">
        <v>14335</v>
      </c>
      <c r="E3162" s="10" t="s">
        <v>14336</v>
      </c>
      <c r="F3162" s="10" t="s">
        <v>2246</v>
      </c>
      <c r="G3162" s="10" t="s">
        <v>6317</v>
      </c>
      <c r="H3162" s="11">
        <v>40874</v>
      </c>
      <c r="I3162" s="10">
        <v>2011</v>
      </c>
      <c r="J3162" s="10" t="s">
        <v>14336</v>
      </c>
      <c r="K3162" s="10">
        <v>316</v>
      </c>
      <c r="L3162" s="10" t="s">
        <v>19859</v>
      </c>
      <c r="M3162" s="10">
        <v>1</v>
      </c>
      <c r="N3162" s="10" t="s">
        <v>16162</v>
      </c>
      <c r="O3162" s="10">
        <v>104</v>
      </c>
      <c r="P3162" s="10" t="s">
        <v>19860</v>
      </c>
      <c r="Q3162" s="10">
        <v>379.12140972999998</v>
      </c>
      <c r="R3162" s="10"/>
      <c r="S3162" s="10" t="s">
        <v>53</v>
      </c>
      <c r="T3162" s="10" t="s">
        <v>54</v>
      </c>
    </row>
    <row r="3163" spans="1:20" ht="14.5" x14ac:dyDescent="0.35">
      <c r="A3163" s="10" t="s">
        <v>19861</v>
      </c>
      <c r="B3163" s="10" t="str">
        <f>"9780521190183"</f>
        <v>9780521190183</v>
      </c>
      <c r="C3163" s="10" t="str">
        <f>"9780511725920"</f>
        <v>9780511725920</v>
      </c>
      <c r="D3163" s="10" t="s">
        <v>397</v>
      </c>
      <c r="E3163" s="10" t="s">
        <v>397</v>
      </c>
      <c r="F3163" s="10" t="s">
        <v>70</v>
      </c>
      <c r="G3163" s="10" t="s">
        <v>6317</v>
      </c>
      <c r="H3163" s="11">
        <v>40259</v>
      </c>
      <c r="I3163" s="10">
        <v>2010</v>
      </c>
      <c r="J3163" s="10" t="s">
        <v>397</v>
      </c>
      <c r="K3163" s="10">
        <v>270</v>
      </c>
      <c r="L3163" s="10" t="s">
        <v>19862</v>
      </c>
      <c r="M3163" s="10">
        <v>1</v>
      </c>
      <c r="N3163" s="10" t="s">
        <v>19863</v>
      </c>
      <c r="O3163" s="10"/>
      <c r="P3163" s="10" t="s">
        <v>19864</v>
      </c>
      <c r="Q3163" s="10" t="s">
        <v>19865</v>
      </c>
      <c r="R3163" s="10" t="s">
        <v>19866</v>
      </c>
      <c r="S3163" s="10" t="s">
        <v>53</v>
      </c>
      <c r="T3163" s="10" t="s">
        <v>54</v>
      </c>
    </row>
    <row r="3164" spans="1:20" ht="14.5" x14ac:dyDescent="0.35">
      <c r="A3164" s="10" t="s">
        <v>19867</v>
      </c>
      <c r="B3164" s="10" t="str">
        <f>"9780521762519"</f>
        <v>9780521762519</v>
      </c>
      <c r="C3164" s="10" t="str">
        <f>"9781139099288"</f>
        <v>9781139099288</v>
      </c>
      <c r="D3164" s="10" t="s">
        <v>397</v>
      </c>
      <c r="E3164" s="10" t="s">
        <v>397</v>
      </c>
      <c r="F3164" s="10" t="s">
        <v>70</v>
      </c>
      <c r="G3164" s="10" t="s">
        <v>6317</v>
      </c>
      <c r="H3164" s="11">
        <v>40721</v>
      </c>
      <c r="I3164" s="10">
        <v>2011</v>
      </c>
      <c r="J3164" s="10" t="s">
        <v>397</v>
      </c>
      <c r="K3164" s="10">
        <v>320</v>
      </c>
      <c r="L3164" s="10" t="s">
        <v>9623</v>
      </c>
      <c r="M3164" s="10">
        <v>1</v>
      </c>
      <c r="N3164" s="10"/>
      <c r="O3164" s="10"/>
      <c r="P3164" s="10" t="s">
        <v>19868</v>
      </c>
      <c r="Q3164" s="10">
        <v>371.10199999999998</v>
      </c>
      <c r="R3164" s="10" t="s">
        <v>7970</v>
      </c>
      <c r="S3164" s="10" t="s">
        <v>53</v>
      </c>
      <c r="T3164" s="10" t="s">
        <v>54</v>
      </c>
    </row>
    <row r="3165" spans="1:20" ht="14.5" x14ac:dyDescent="0.35">
      <c r="A3165" s="10" t="s">
        <v>19869</v>
      </c>
      <c r="B3165" s="10" t="str">
        <f>"9780691146195"</f>
        <v>9780691146195</v>
      </c>
      <c r="C3165" s="10" t="str">
        <f>"9781400841486"</f>
        <v>9781400841486</v>
      </c>
      <c r="D3165" s="10" t="s">
        <v>14335</v>
      </c>
      <c r="E3165" s="10" t="s">
        <v>14336</v>
      </c>
      <c r="F3165" s="10" t="s">
        <v>2246</v>
      </c>
      <c r="G3165" s="10" t="s">
        <v>6317</v>
      </c>
      <c r="H3165" s="11">
        <v>39523</v>
      </c>
      <c r="I3165" s="10">
        <v>2008</v>
      </c>
      <c r="J3165" s="10" t="s">
        <v>14336</v>
      </c>
      <c r="K3165" s="10">
        <v>230</v>
      </c>
      <c r="L3165" s="10" t="s">
        <v>19870</v>
      </c>
      <c r="M3165" s="10">
        <v>1</v>
      </c>
      <c r="N3165" s="10" t="s">
        <v>16162</v>
      </c>
      <c r="O3165" s="10">
        <v>69</v>
      </c>
      <c r="P3165" s="10" t="s">
        <v>19871</v>
      </c>
      <c r="Q3165" s="10" t="s">
        <v>19872</v>
      </c>
      <c r="R3165" s="10"/>
      <c r="S3165" s="10" t="s">
        <v>53</v>
      </c>
      <c r="T3165" s="10" t="s">
        <v>54</v>
      </c>
    </row>
    <row r="3166" spans="1:20" ht="14.5" x14ac:dyDescent="0.35">
      <c r="A3166" s="10" t="s">
        <v>19873</v>
      </c>
      <c r="B3166" s="10" t="str">
        <f>"9780691151366"</f>
        <v>9780691151366</v>
      </c>
      <c r="C3166" s="10" t="str">
        <f>"9781400839797"</f>
        <v>9781400839797</v>
      </c>
      <c r="D3166" s="10" t="s">
        <v>14335</v>
      </c>
      <c r="E3166" s="10" t="s">
        <v>14336</v>
      </c>
      <c r="F3166" s="10" t="s">
        <v>2246</v>
      </c>
      <c r="G3166" s="10" t="s">
        <v>6317</v>
      </c>
      <c r="H3166" s="11">
        <v>40874</v>
      </c>
      <c r="I3166" s="10">
        <v>2012</v>
      </c>
      <c r="J3166" s="10" t="s">
        <v>14336</v>
      </c>
      <c r="K3166" s="10">
        <v>85</v>
      </c>
      <c r="L3166" s="10" t="s">
        <v>19874</v>
      </c>
      <c r="M3166" s="10">
        <v>1</v>
      </c>
      <c r="N3166" s="10"/>
      <c r="O3166" s="10"/>
      <c r="P3166" s="10" t="s">
        <v>19875</v>
      </c>
      <c r="Q3166" s="10">
        <v>1.4097496700000001</v>
      </c>
      <c r="R3166" s="10"/>
      <c r="S3166" s="10" t="s">
        <v>53</v>
      </c>
      <c r="T3166" s="10" t="s">
        <v>19876</v>
      </c>
    </row>
    <row r="3167" spans="1:20" ht="14.5" x14ac:dyDescent="0.35">
      <c r="A3167" s="10" t="s">
        <v>19877</v>
      </c>
      <c r="B3167" s="10" t="str">
        <f>"9780819568403"</f>
        <v>9780819568403</v>
      </c>
      <c r="C3167" s="10" t="str">
        <f>"9780819572868"</f>
        <v>9780819572868</v>
      </c>
      <c r="D3167" s="10" t="s">
        <v>19698</v>
      </c>
      <c r="E3167" s="10" t="s">
        <v>19698</v>
      </c>
      <c r="F3167" s="10" t="s">
        <v>19699</v>
      </c>
      <c r="G3167" s="10" t="s">
        <v>6317</v>
      </c>
      <c r="H3167" s="11">
        <v>39217</v>
      </c>
      <c r="I3167" s="10">
        <v>2007</v>
      </c>
      <c r="J3167" s="10" t="s">
        <v>19698</v>
      </c>
      <c r="K3167" s="10">
        <v>227</v>
      </c>
      <c r="L3167" s="10" t="s">
        <v>19878</v>
      </c>
      <c r="M3167" s="10">
        <v>1</v>
      </c>
      <c r="N3167" s="10"/>
      <c r="O3167" s="10"/>
      <c r="P3167" s="10" t="s">
        <v>19879</v>
      </c>
      <c r="Q3167" s="10">
        <v>371.85500000000002</v>
      </c>
      <c r="R3167" s="10"/>
      <c r="S3167" s="10" t="s">
        <v>53</v>
      </c>
      <c r="T3167" s="10" t="s">
        <v>54</v>
      </c>
    </row>
    <row r="3168" spans="1:20" ht="14.5" x14ac:dyDescent="0.35">
      <c r="A3168" s="10" t="s">
        <v>19880</v>
      </c>
      <c r="B3168" s="10" t="str">
        <f>""</f>
        <v/>
      </c>
      <c r="C3168" s="10" t="str">
        <f>"9780838993941"</f>
        <v>9780838993941</v>
      </c>
      <c r="D3168" s="10" t="s">
        <v>15366</v>
      </c>
      <c r="E3168" s="10" t="s">
        <v>382</v>
      </c>
      <c r="F3168" s="10" t="s">
        <v>324</v>
      </c>
      <c r="G3168" s="10" t="s">
        <v>6317</v>
      </c>
      <c r="H3168" s="11">
        <v>40864</v>
      </c>
      <c r="I3168" s="10">
        <v>2011</v>
      </c>
      <c r="J3168" s="10" t="s">
        <v>382</v>
      </c>
      <c r="K3168" s="10">
        <v>202</v>
      </c>
      <c r="L3168" s="10" t="s">
        <v>19881</v>
      </c>
      <c r="M3168" s="10">
        <v>1</v>
      </c>
      <c r="N3168" s="10"/>
      <c r="O3168" s="10"/>
      <c r="P3168" s="10" t="s">
        <v>15368</v>
      </c>
      <c r="Q3168" s="10">
        <v>372.4</v>
      </c>
      <c r="R3168" s="10" t="s">
        <v>19882</v>
      </c>
      <c r="S3168" s="10" t="s">
        <v>53</v>
      </c>
      <c r="T3168" s="10" t="s">
        <v>54</v>
      </c>
    </row>
    <row r="3169" spans="1:20" ht="14.5" x14ac:dyDescent="0.35">
      <c r="A3169" s="10" t="s">
        <v>19883</v>
      </c>
      <c r="B3169" s="10" t="str">
        <f>"9781416613145"</f>
        <v>9781416613145</v>
      </c>
      <c r="C3169" s="10" t="str">
        <f>"9781416614173"</f>
        <v>9781416614173</v>
      </c>
      <c r="D3169" s="10" t="s">
        <v>10014</v>
      </c>
      <c r="E3169" s="10" t="s">
        <v>10015</v>
      </c>
      <c r="F3169" s="10" t="s">
        <v>201</v>
      </c>
      <c r="G3169" s="10" t="s">
        <v>6317</v>
      </c>
      <c r="H3169" s="11">
        <v>40544</v>
      </c>
      <c r="I3169" s="10">
        <v>2011</v>
      </c>
      <c r="J3169" s="10" t="s">
        <v>10015</v>
      </c>
      <c r="K3169" s="10">
        <v>187</v>
      </c>
      <c r="L3169" s="10" t="s">
        <v>16543</v>
      </c>
      <c r="M3169" s="10">
        <v>1</v>
      </c>
      <c r="N3169" s="10"/>
      <c r="O3169" s="10"/>
      <c r="P3169" s="10" t="s">
        <v>19884</v>
      </c>
      <c r="Q3169" s="10">
        <v>371.10199999999998</v>
      </c>
      <c r="R3169" s="10" t="s">
        <v>19885</v>
      </c>
      <c r="S3169" s="10" t="s">
        <v>53</v>
      </c>
      <c r="T3169" s="10" t="s">
        <v>54</v>
      </c>
    </row>
    <row r="3170" spans="1:20" ht="14.5" x14ac:dyDescent="0.35">
      <c r="A3170" s="10" t="s">
        <v>19886</v>
      </c>
      <c r="B3170" s="10" t="str">
        <f>"9781416613329"</f>
        <v>9781416613329</v>
      </c>
      <c r="C3170" s="10" t="str">
        <f>"9781416614265"</f>
        <v>9781416614265</v>
      </c>
      <c r="D3170" s="10" t="s">
        <v>10014</v>
      </c>
      <c r="E3170" s="10" t="s">
        <v>10015</v>
      </c>
      <c r="F3170" s="10" t="s">
        <v>201</v>
      </c>
      <c r="G3170" s="10" t="s">
        <v>6317</v>
      </c>
      <c r="H3170" s="11">
        <v>40848</v>
      </c>
      <c r="I3170" s="10">
        <v>2011</v>
      </c>
      <c r="J3170" s="10" t="s">
        <v>10015</v>
      </c>
      <c r="K3170" s="10">
        <v>227</v>
      </c>
      <c r="L3170" s="10" t="s">
        <v>19887</v>
      </c>
      <c r="M3170" s="10">
        <v>1</v>
      </c>
      <c r="N3170" s="10"/>
      <c r="O3170" s="10"/>
      <c r="P3170" s="10" t="s">
        <v>19888</v>
      </c>
      <c r="Q3170" s="10">
        <v>371.33</v>
      </c>
      <c r="R3170" s="10" t="s">
        <v>19889</v>
      </c>
      <c r="S3170" s="10" t="s">
        <v>53</v>
      </c>
      <c r="T3170" s="10" t="s">
        <v>54</v>
      </c>
    </row>
    <row r="3171" spans="1:20" ht="14.5" x14ac:dyDescent="0.35">
      <c r="A3171" s="10" t="s">
        <v>19890</v>
      </c>
      <c r="B3171" s="10" t="str">
        <f>"9781107003323"</f>
        <v>9781107003323</v>
      </c>
      <c r="C3171" s="10" t="str">
        <f>"9781139157544"</f>
        <v>9781139157544</v>
      </c>
      <c r="D3171" s="10" t="s">
        <v>397</v>
      </c>
      <c r="E3171" s="10" t="s">
        <v>397</v>
      </c>
      <c r="F3171" s="10" t="s">
        <v>612</v>
      </c>
      <c r="G3171" s="10" t="s">
        <v>6352</v>
      </c>
      <c r="H3171" s="11">
        <v>40815</v>
      </c>
      <c r="I3171" s="10">
        <v>2011</v>
      </c>
      <c r="J3171" s="10" t="s">
        <v>397</v>
      </c>
      <c r="K3171" s="10">
        <v>502</v>
      </c>
      <c r="L3171" s="10" t="s">
        <v>19891</v>
      </c>
      <c r="M3171" s="10">
        <v>1</v>
      </c>
      <c r="N3171" s="10"/>
      <c r="O3171" s="10"/>
      <c r="P3171" s="10" t="s">
        <v>19892</v>
      </c>
      <c r="Q3171" s="10" t="s">
        <v>19893</v>
      </c>
      <c r="R3171" s="10" t="s">
        <v>19894</v>
      </c>
      <c r="S3171" s="10" t="s">
        <v>53</v>
      </c>
      <c r="T3171" s="10" t="s">
        <v>9608</v>
      </c>
    </row>
    <row r="3172" spans="1:20" ht="14.5" x14ac:dyDescent="0.35">
      <c r="A3172" s="10" t="s">
        <v>19895</v>
      </c>
      <c r="B3172" s="10" t="str">
        <f>"9780857242792"</f>
        <v>9780857242792</v>
      </c>
      <c r="C3172" s="10" t="str">
        <f>"9780857242808"</f>
        <v>9780857242808</v>
      </c>
      <c r="D3172" s="10" t="s">
        <v>8699</v>
      </c>
      <c r="E3172" s="10" t="s">
        <v>8699</v>
      </c>
      <c r="F3172" s="10" t="s">
        <v>559</v>
      </c>
      <c r="G3172" s="10" t="s">
        <v>6352</v>
      </c>
      <c r="H3172" s="11">
        <v>40822</v>
      </c>
      <c r="I3172" s="10">
        <v>2011</v>
      </c>
      <c r="J3172" s="10" t="s">
        <v>8699</v>
      </c>
      <c r="K3172" s="10">
        <v>193</v>
      </c>
      <c r="L3172" s="10" t="s">
        <v>19896</v>
      </c>
      <c r="M3172" s="10">
        <v>1</v>
      </c>
      <c r="N3172" s="10" t="s">
        <v>19897</v>
      </c>
      <c r="O3172" s="10">
        <v>15</v>
      </c>
      <c r="P3172" s="10" t="s">
        <v>7986</v>
      </c>
      <c r="Q3172" s="10">
        <v>372.21</v>
      </c>
      <c r="R3172" s="10" t="s">
        <v>19898</v>
      </c>
      <c r="S3172" s="10" t="s">
        <v>53</v>
      </c>
      <c r="T3172" s="10" t="s">
        <v>54</v>
      </c>
    </row>
    <row r="3173" spans="1:20" ht="14.5" x14ac:dyDescent="0.35">
      <c r="A3173" s="10" t="s">
        <v>19899</v>
      </c>
      <c r="B3173" s="10" t="str">
        <f>"9780230111615"</f>
        <v>9780230111615</v>
      </c>
      <c r="C3173" s="10" t="str">
        <f>"9780230337794"</f>
        <v>9780230337794</v>
      </c>
      <c r="D3173" s="10" t="s">
        <v>11249</v>
      </c>
      <c r="E3173" s="10" t="s">
        <v>2400</v>
      </c>
      <c r="F3173" s="10" t="s">
        <v>70</v>
      </c>
      <c r="G3173" s="10" t="s">
        <v>6317</v>
      </c>
      <c r="H3173" s="11">
        <v>40819</v>
      </c>
      <c r="I3173" s="10">
        <v>2011</v>
      </c>
      <c r="J3173" s="10" t="s">
        <v>2400</v>
      </c>
      <c r="K3173" s="10">
        <v>287</v>
      </c>
      <c r="L3173" s="10" t="s">
        <v>19900</v>
      </c>
      <c r="M3173" s="10">
        <v>1</v>
      </c>
      <c r="N3173" s="10" t="s">
        <v>17721</v>
      </c>
      <c r="O3173" s="10"/>
      <c r="P3173" s="10" t="s">
        <v>11275</v>
      </c>
      <c r="Q3173" s="10">
        <v>370.1</v>
      </c>
      <c r="R3173" s="10" t="s">
        <v>19099</v>
      </c>
      <c r="S3173" s="10" t="s">
        <v>53</v>
      </c>
      <c r="T3173" s="10" t="s">
        <v>54</v>
      </c>
    </row>
    <row r="3174" spans="1:20" ht="14.5" x14ac:dyDescent="0.35">
      <c r="A3174" s="10" t="s">
        <v>19901</v>
      </c>
      <c r="B3174" s="10" t="str">
        <f>"9780230115194"</f>
        <v>9780230115194</v>
      </c>
      <c r="C3174" s="10" t="str">
        <f>"9780230338081"</f>
        <v>9780230338081</v>
      </c>
      <c r="D3174" s="10" t="s">
        <v>11249</v>
      </c>
      <c r="E3174" s="10" t="s">
        <v>2400</v>
      </c>
      <c r="F3174" s="10" t="s">
        <v>70</v>
      </c>
      <c r="G3174" s="10" t="s">
        <v>6317</v>
      </c>
      <c r="H3174" s="11">
        <v>40855</v>
      </c>
      <c r="I3174" s="10">
        <v>2011</v>
      </c>
      <c r="J3174" s="10" t="s">
        <v>2400</v>
      </c>
      <c r="K3174" s="10">
        <v>294</v>
      </c>
      <c r="L3174" s="10" t="s">
        <v>19902</v>
      </c>
      <c r="M3174" s="10">
        <v>1</v>
      </c>
      <c r="N3174" s="10" t="s">
        <v>19903</v>
      </c>
      <c r="O3174" s="10"/>
      <c r="P3174" s="10" t="s">
        <v>11275</v>
      </c>
      <c r="Q3174" s="10"/>
      <c r="R3174" s="10" t="s">
        <v>19904</v>
      </c>
      <c r="S3174" s="10" t="s">
        <v>53</v>
      </c>
      <c r="T3174" s="10" t="s">
        <v>54</v>
      </c>
    </row>
    <row r="3175" spans="1:20" ht="14.5" x14ac:dyDescent="0.35">
      <c r="A3175" s="10" t="s">
        <v>19905</v>
      </c>
      <c r="B3175" s="10" t="str">
        <f>"9780253005939"</f>
        <v>9780253005939</v>
      </c>
      <c r="C3175" s="10" t="str">
        <f>"9780253005977"</f>
        <v>9780253005977</v>
      </c>
      <c r="D3175" s="10" t="s">
        <v>6358</v>
      </c>
      <c r="E3175" s="10" t="s">
        <v>2455</v>
      </c>
      <c r="F3175" s="10" t="s">
        <v>19906</v>
      </c>
      <c r="G3175" s="10" t="s">
        <v>6317</v>
      </c>
      <c r="H3175" s="11">
        <v>40963</v>
      </c>
      <c r="I3175" s="10">
        <v>2012</v>
      </c>
      <c r="J3175" s="10" t="s">
        <v>2455</v>
      </c>
      <c r="K3175" s="10">
        <v>281</v>
      </c>
      <c r="L3175" s="10" t="s">
        <v>19907</v>
      </c>
      <c r="M3175" s="10">
        <v>1</v>
      </c>
      <c r="N3175" s="10"/>
      <c r="O3175" s="10"/>
      <c r="P3175" s="10" t="s">
        <v>19908</v>
      </c>
      <c r="Q3175" s="10" t="s">
        <v>19909</v>
      </c>
      <c r="R3175" s="10" t="s">
        <v>19910</v>
      </c>
      <c r="S3175" s="10" t="s">
        <v>53</v>
      </c>
      <c r="T3175" s="10" t="s">
        <v>54</v>
      </c>
    </row>
    <row r="3176" spans="1:20" ht="14.5" x14ac:dyDescent="0.35">
      <c r="A3176" s="10" t="s">
        <v>19911</v>
      </c>
      <c r="B3176" s="10" t="str">
        <f>"9780253003102"</f>
        <v>9780253003102</v>
      </c>
      <c r="C3176" s="10" t="str">
        <f>"9780253007209"</f>
        <v>9780253007209</v>
      </c>
      <c r="D3176" s="10" t="s">
        <v>2455</v>
      </c>
      <c r="E3176" s="10" t="s">
        <v>2455</v>
      </c>
      <c r="F3176" s="10" t="s">
        <v>3101</v>
      </c>
      <c r="G3176" s="10" t="s">
        <v>6317</v>
      </c>
      <c r="H3176" s="11">
        <v>41115</v>
      </c>
      <c r="I3176" s="10">
        <v>2012</v>
      </c>
      <c r="J3176" s="10" t="s">
        <v>2455</v>
      </c>
      <c r="K3176" s="10">
        <v>284</v>
      </c>
      <c r="L3176" s="10" t="s">
        <v>19912</v>
      </c>
      <c r="M3176" s="10">
        <v>1</v>
      </c>
      <c r="N3176" s="10"/>
      <c r="O3176" s="10"/>
      <c r="P3176" s="10" t="s">
        <v>19913</v>
      </c>
      <c r="Q3176" s="10">
        <v>371.33</v>
      </c>
      <c r="R3176" s="10" t="s">
        <v>19914</v>
      </c>
      <c r="S3176" s="10" t="s">
        <v>53</v>
      </c>
      <c r="T3176" s="10" t="s">
        <v>54</v>
      </c>
    </row>
    <row r="3177" spans="1:20" ht="14.5" x14ac:dyDescent="0.35">
      <c r="A3177" s="10" t="s">
        <v>19915</v>
      </c>
      <c r="B3177" s="10" t="str">
        <f>"9780739170908"</f>
        <v>9780739170908</v>
      </c>
      <c r="C3177" s="10" t="str">
        <f>"9780739170915"</f>
        <v>9780739170915</v>
      </c>
      <c r="D3177" s="10" t="s">
        <v>9752</v>
      </c>
      <c r="E3177" s="10" t="s">
        <v>15182</v>
      </c>
      <c r="F3177" s="10" t="s">
        <v>9754</v>
      </c>
      <c r="G3177" s="10" t="s">
        <v>6317</v>
      </c>
      <c r="H3177" s="11">
        <v>40877</v>
      </c>
      <c r="I3177" s="10">
        <v>2012</v>
      </c>
      <c r="J3177" s="10" t="s">
        <v>15182</v>
      </c>
      <c r="K3177" s="10">
        <v>221</v>
      </c>
      <c r="L3177" s="10" t="s">
        <v>19916</v>
      </c>
      <c r="M3177" s="10">
        <v>1</v>
      </c>
      <c r="N3177" s="10"/>
      <c r="O3177" s="10"/>
      <c r="P3177" s="10" t="s">
        <v>19917</v>
      </c>
      <c r="Q3177" s="10" t="s">
        <v>16368</v>
      </c>
      <c r="R3177" s="10" t="s">
        <v>19918</v>
      </c>
      <c r="S3177" s="10" t="s">
        <v>53</v>
      </c>
      <c r="T3177" s="10" t="s">
        <v>54</v>
      </c>
    </row>
    <row r="3178" spans="1:20" ht="14.5" x14ac:dyDescent="0.35">
      <c r="A3178" s="10" t="s">
        <v>19919</v>
      </c>
      <c r="B3178" s="10" t="str">
        <f>"9781442211414"</f>
        <v>9781442211414</v>
      </c>
      <c r="C3178" s="10" t="str">
        <f>"9781442211438"</f>
        <v>9781442211438</v>
      </c>
      <c r="D3178" s="10" t="s">
        <v>9752</v>
      </c>
      <c r="E3178" s="10" t="s">
        <v>15187</v>
      </c>
      <c r="F3178" s="10" t="s">
        <v>9754</v>
      </c>
      <c r="G3178" s="10" t="s">
        <v>6317</v>
      </c>
      <c r="H3178" s="11">
        <v>40899</v>
      </c>
      <c r="I3178" s="10">
        <v>2011</v>
      </c>
      <c r="J3178" s="10" t="s">
        <v>15187</v>
      </c>
      <c r="K3178" s="10">
        <v>263</v>
      </c>
      <c r="L3178" s="10" t="s">
        <v>19920</v>
      </c>
      <c r="M3178" s="10">
        <v>1</v>
      </c>
      <c r="N3178" s="10"/>
      <c r="O3178" s="10"/>
      <c r="P3178" s="10" t="s">
        <v>19921</v>
      </c>
      <c r="Q3178" s="10" t="s">
        <v>7235</v>
      </c>
      <c r="R3178" s="10" t="s">
        <v>19922</v>
      </c>
      <c r="S3178" s="10" t="s">
        <v>53</v>
      </c>
      <c r="T3178" s="10" t="s">
        <v>54</v>
      </c>
    </row>
    <row r="3179" spans="1:20" ht="14.5" x14ac:dyDescent="0.35">
      <c r="A3179" s="10" t="s">
        <v>19923</v>
      </c>
      <c r="B3179" s="10" t="str">
        <f>"9781610484114"</f>
        <v>9781610484114</v>
      </c>
      <c r="C3179" s="10" t="str">
        <f>"9781610484138"</f>
        <v>9781610484138</v>
      </c>
      <c r="D3179" s="10" t="s">
        <v>9752</v>
      </c>
      <c r="E3179" s="10" t="s">
        <v>15192</v>
      </c>
      <c r="F3179" s="10" t="s">
        <v>9754</v>
      </c>
      <c r="G3179" s="10" t="s">
        <v>6317</v>
      </c>
      <c r="H3179" s="11">
        <v>40864</v>
      </c>
      <c r="I3179" s="10">
        <v>2011</v>
      </c>
      <c r="J3179" s="10" t="s">
        <v>15192</v>
      </c>
      <c r="K3179" s="10">
        <v>279</v>
      </c>
      <c r="L3179" s="10" t="s">
        <v>19924</v>
      </c>
      <c r="M3179" s="10">
        <v>1</v>
      </c>
      <c r="N3179" s="10"/>
      <c r="O3179" s="10"/>
      <c r="P3179" s="10" t="s">
        <v>19925</v>
      </c>
      <c r="Q3179" s="10" t="s">
        <v>6942</v>
      </c>
      <c r="R3179" s="10" t="s">
        <v>19926</v>
      </c>
      <c r="S3179" s="10" t="s">
        <v>53</v>
      </c>
      <c r="T3179" s="10" t="s">
        <v>54</v>
      </c>
    </row>
    <row r="3180" spans="1:20" ht="14.5" x14ac:dyDescent="0.35">
      <c r="A3180" s="10" t="s">
        <v>19927</v>
      </c>
      <c r="B3180" s="10" t="str">
        <f>"9780470942222"</f>
        <v>9780470942222</v>
      </c>
      <c r="C3180" s="10" t="str">
        <f>"9781118120255"</f>
        <v>9781118120255</v>
      </c>
      <c r="D3180" s="10" t="s">
        <v>6322</v>
      </c>
      <c r="E3180" s="10" t="s">
        <v>6323</v>
      </c>
      <c r="F3180" s="10" t="s">
        <v>4423</v>
      </c>
      <c r="G3180" s="10" t="s">
        <v>6317</v>
      </c>
      <c r="H3180" s="11">
        <v>40883</v>
      </c>
      <c r="I3180" s="10">
        <v>2012</v>
      </c>
      <c r="J3180" s="10" t="s">
        <v>6324</v>
      </c>
      <c r="K3180" s="10">
        <v>258</v>
      </c>
      <c r="L3180" s="10" t="s">
        <v>19928</v>
      </c>
      <c r="M3180" s="10">
        <v>1</v>
      </c>
      <c r="N3180" s="10"/>
      <c r="O3180" s="10"/>
      <c r="P3180" s="10" t="s">
        <v>19929</v>
      </c>
      <c r="Q3180" s="10">
        <v>372.4</v>
      </c>
      <c r="R3180" s="10" t="s">
        <v>19930</v>
      </c>
      <c r="S3180" s="10" t="s">
        <v>53</v>
      </c>
      <c r="T3180" s="10" t="s">
        <v>54</v>
      </c>
    </row>
    <row r="3181" spans="1:20" ht="14.5" x14ac:dyDescent="0.35">
      <c r="A3181" s="10" t="s">
        <v>19931</v>
      </c>
      <c r="B3181" s="10" t="str">
        <f>"9780470623312"</f>
        <v>9780470623312</v>
      </c>
      <c r="C3181" s="10" t="str">
        <f>"9781118132241"</f>
        <v>9781118132241</v>
      </c>
      <c r="D3181" s="10" t="s">
        <v>6322</v>
      </c>
      <c r="E3181" s="10" t="s">
        <v>6323</v>
      </c>
      <c r="F3181" s="10" t="s">
        <v>4423</v>
      </c>
      <c r="G3181" s="10" t="s">
        <v>6317</v>
      </c>
      <c r="H3181" s="11">
        <v>40883</v>
      </c>
      <c r="I3181" s="10">
        <v>2012</v>
      </c>
      <c r="J3181" s="10" t="s">
        <v>6324</v>
      </c>
      <c r="K3181" s="10">
        <v>315</v>
      </c>
      <c r="L3181" s="10" t="s">
        <v>19932</v>
      </c>
      <c r="M3181" s="10">
        <v>1</v>
      </c>
      <c r="N3181" s="10"/>
      <c r="O3181" s="10"/>
      <c r="P3181" s="10" t="s">
        <v>19933</v>
      </c>
      <c r="Q3181" s="10">
        <v>371.20097299999998</v>
      </c>
      <c r="R3181" s="10" t="s">
        <v>19934</v>
      </c>
      <c r="S3181" s="10" t="s">
        <v>53</v>
      </c>
      <c r="T3181" s="10" t="s">
        <v>54</v>
      </c>
    </row>
    <row r="3182" spans="1:20" ht="14.5" x14ac:dyDescent="0.35">
      <c r="A3182" s="10" t="s">
        <v>19935</v>
      </c>
      <c r="B3182" s="10" t="str">
        <f>"9780470880142"</f>
        <v>9780470880142</v>
      </c>
      <c r="C3182" s="10" t="str">
        <f>"9781118133637"</f>
        <v>9781118133637</v>
      </c>
      <c r="D3182" s="10" t="s">
        <v>6322</v>
      </c>
      <c r="E3182" s="10" t="s">
        <v>6323</v>
      </c>
      <c r="F3182" s="10" t="s">
        <v>4423</v>
      </c>
      <c r="G3182" s="10" t="s">
        <v>6317</v>
      </c>
      <c r="H3182" s="11">
        <v>40960</v>
      </c>
      <c r="I3182" s="10">
        <v>2012</v>
      </c>
      <c r="J3182" s="10" t="s">
        <v>6324</v>
      </c>
      <c r="K3182" s="10">
        <v>274</v>
      </c>
      <c r="L3182" s="10" t="s">
        <v>19936</v>
      </c>
      <c r="M3182" s="10">
        <v>1</v>
      </c>
      <c r="N3182" s="10"/>
      <c r="O3182" s="10"/>
      <c r="P3182" s="10" t="s">
        <v>19937</v>
      </c>
      <c r="Q3182" s="10" t="s">
        <v>19938</v>
      </c>
      <c r="R3182" s="10" t="s">
        <v>19939</v>
      </c>
      <c r="S3182" s="10" t="s">
        <v>53</v>
      </c>
      <c r="T3182" s="10" t="s">
        <v>54</v>
      </c>
    </row>
    <row r="3183" spans="1:20" ht="14.5" x14ac:dyDescent="0.35">
      <c r="A3183" s="10" t="s">
        <v>19940</v>
      </c>
      <c r="B3183" s="10" t="str">
        <f>"9781118108208"</f>
        <v>9781118108208</v>
      </c>
      <c r="C3183" s="10" t="str">
        <f>"9781118157596"</f>
        <v>9781118157596</v>
      </c>
      <c r="D3183" s="10" t="s">
        <v>6322</v>
      </c>
      <c r="E3183" s="10" t="s">
        <v>6323</v>
      </c>
      <c r="F3183" s="10" t="s">
        <v>1168</v>
      </c>
      <c r="G3183" s="10" t="s">
        <v>6317</v>
      </c>
      <c r="H3183" s="11">
        <v>40820</v>
      </c>
      <c r="I3183" s="10">
        <v>2011</v>
      </c>
      <c r="J3183" s="10" t="s">
        <v>6324</v>
      </c>
      <c r="K3183" s="10">
        <v>301</v>
      </c>
      <c r="L3183" s="10" t="s">
        <v>18834</v>
      </c>
      <c r="M3183" s="10">
        <v>1</v>
      </c>
      <c r="N3183" s="10"/>
      <c r="O3183" s="10"/>
      <c r="P3183" s="10" t="s">
        <v>19941</v>
      </c>
      <c r="Q3183" s="10">
        <v>428.00712729999998</v>
      </c>
      <c r="R3183" s="10" t="s">
        <v>19942</v>
      </c>
      <c r="S3183" s="10" t="s">
        <v>53</v>
      </c>
      <c r="T3183" s="10" t="s">
        <v>6634</v>
      </c>
    </row>
    <row r="3184" spans="1:20" ht="14.5" x14ac:dyDescent="0.35">
      <c r="A3184" s="10" t="s">
        <v>19943</v>
      </c>
      <c r="B3184" s="10" t="str">
        <f>"9781118024553"</f>
        <v>9781118024553</v>
      </c>
      <c r="C3184" s="10" t="str">
        <f>"9781118183533"</f>
        <v>9781118183533</v>
      </c>
      <c r="D3184" s="10" t="s">
        <v>6322</v>
      </c>
      <c r="E3184" s="10" t="s">
        <v>6323</v>
      </c>
      <c r="F3184" s="10" t="s">
        <v>4423</v>
      </c>
      <c r="G3184" s="10" t="s">
        <v>6317</v>
      </c>
      <c r="H3184" s="11">
        <v>40974</v>
      </c>
      <c r="I3184" s="10">
        <v>2012</v>
      </c>
      <c r="J3184" s="10" t="s">
        <v>6324</v>
      </c>
      <c r="K3184" s="10">
        <v>242</v>
      </c>
      <c r="L3184" s="10" t="s">
        <v>19944</v>
      </c>
      <c r="M3184" s="10">
        <v>1</v>
      </c>
      <c r="N3184" s="10"/>
      <c r="O3184" s="10"/>
      <c r="P3184" s="10" t="s">
        <v>19945</v>
      </c>
      <c r="Q3184" s="10">
        <v>371.33</v>
      </c>
      <c r="R3184" s="10" t="s">
        <v>19946</v>
      </c>
      <c r="S3184" s="10" t="s">
        <v>53</v>
      </c>
      <c r="T3184" s="10" t="s">
        <v>54</v>
      </c>
    </row>
    <row r="3185" spans="1:20" ht="14.5" x14ac:dyDescent="0.35">
      <c r="A3185" s="10" t="s">
        <v>19947</v>
      </c>
      <c r="B3185" s="10" t="str">
        <f>"9780470393369"</f>
        <v>9780470393369</v>
      </c>
      <c r="C3185" s="10" t="str">
        <f>"9781118206744"</f>
        <v>9781118206744</v>
      </c>
      <c r="D3185" s="10" t="s">
        <v>6322</v>
      </c>
      <c r="E3185" s="10" t="s">
        <v>6323</v>
      </c>
      <c r="F3185" s="10" t="s">
        <v>4423</v>
      </c>
      <c r="G3185" s="10" t="s">
        <v>6317</v>
      </c>
      <c r="H3185" s="11">
        <v>40988</v>
      </c>
      <c r="I3185" s="10">
        <v>2012</v>
      </c>
      <c r="J3185" s="10" t="s">
        <v>6324</v>
      </c>
      <c r="K3185" s="10">
        <v>226</v>
      </c>
      <c r="L3185" s="10" t="s">
        <v>19948</v>
      </c>
      <c r="M3185" s="10">
        <v>1</v>
      </c>
      <c r="N3185" s="10"/>
      <c r="O3185" s="10"/>
      <c r="P3185" s="10" t="s">
        <v>19949</v>
      </c>
      <c r="Q3185" s="10"/>
      <c r="R3185" s="10" t="s">
        <v>19950</v>
      </c>
      <c r="S3185" s="10" t="s">
        <v>53</v>
      </c>
      <c r="T3185" s="10" t="s">
        <v>54</v>
      </c>
    </row>
    <row r="3186" spans="1:20" ht="14.5" x14ac:dyDescent="0.35">
      <c r="A3186" s="10" t="s">
        <v>19951</v>
      </c>
      <c r="B3186" s="10" t="str">
        <f>"9781118104569"</f>
        <v>9781118104569</v>
      </c>
      <c r="C3186" s="10" t="str">
        <f>"9781118216170"</f>
        <v>9781118216170</v>
      </c>
      <c r="D3186" s="10" t="s">
        <v>6322</v>
      </c>
      <c r="E3186" s="10" t="s">
        <v>6323</v>
      </c>
      <c r="F3186" s="10" t="s">
        <v>4423</v>
      </c>
      <c r="G3186" s="10" t="s">
        <v>6317</v>
      </c>
      <c r="H3186" s="11">
        <v>41002</v>
      </c>
      <c r="I3186" s="10">
        <v>2012</v>
      </c>
      <c r="J3186" s="10" t="s">
        <v>6324</v>
      </c>
      <c r="K3186" s="10">
        <v>288</v>
      </c>
      <c r="L3186" s="10" t="s">
        <v>19952</v>
      </c>
      <c r="M3186" s="10">
        <v>1</v>
      </c>
      <c r="N3186" s="10"/>
      <c r="O3186" s="10"/>
      <c r="P3186" s="10" t="s">
        <v>19953</v>
      </c>
      <c r="Q3186" s="10">
        <v>371.30279999999999</v>
      </c>
      <c r="R3186" s="10" t="s">
        <v>19954</v>
      </c>
      <c r="S3186" s="10" t="s">
        <v>53</v>
      </c>
      <c r="T3186" s="10" t="s">
        <v>54</v>
      </c>
    </row>
    <row r="3187" spans="1:20" ht="14.5" x14ac:dyDescent="0.35">
      <c r="A3187" s="10" t="s">
        <v>19955</v>
      </c>
      <c r="B3187" s="10" t="str">
        <f>"9781118009239"</f>
        <v>9781118009239</v>
      </c>
      <c r="C3187" s="10" t="str">
        <f>"9781118221808"</f>
        <v>9781118221808</v>
      </c>
      <c r="D3187" s="10" t="s">
        <v>6322</v>
      </c>
      <c r="E3187" s="10" t="s">
        <v>6323</v>
      </c>
      <c r="F3187" s="10" t="s">
        <v>70</v>
      </c>
      <c r="G3187" s="10" t="s">
        <v>6317</v>
      </c>
      <c r="H3187" s="11">
        <v>40897</v>
      </c>
      <c r="I3187" s="10">
        <v>2012</v>
      </c>
      <c r="J3187" s="10" t="s">
        <v>6323</v>
      </c>
      <c r="K3187" s="10">
        <v>482</v>
      </c>
      <c r="L3187" s="10" t="s">
        <v>19956</v>
      </c>
      <c r="M3187" s="10">
        <v>1</v>
      </c>
      <c r="N3187" s="10"/>
      <c r="O3187" s="10"/>
      <c r="P3187" s="10" t="s">
        <v>19957</v>
      </c>
      <c r="Q3187" s="10">
        <v>3.3</v>
      </c>
      <c r="R3187" s="10" t="s">
        <v>19958</v>
      </c>
      <c r="S3187" s="10" t="s">
        <v>53</v>
      </c>
      <c r="T3187" s="10" t="s">
        <v>19959</v>
      </c>
    </row>
    <row r="3188" spans="1:20" ht="14.5" x14ac:dyDescent="0.35">
      <c r="A3188" s="10" t="s">
        <v>19960</v>
      </c>
      <c r="B3188" s="10" t="str">
        <f>""</f>
        <v/>
      </c>
      <c r="C3188" s="10" t="str">
        <f>"9781118271667"</f>
        <v>9781118271667</v>
      </c>
      <c r="D3188" s="10" t="s">
        <v>6322</v>
      </c>
      <c r="E3188" s="10" t="s">
        <v>6323</v>
      </c>
      <c r="F3188" s="10" t="s">
        <v>4423</v>
      </c>
      <c r="G3188" s="10" t="s">
        <v>6317</v>
      </c>
      <c r="H3188" s="11">
        <v>40988</v>
      </c>
      <c r="I3188" s="10">
        <v>2012</v>
      </c>
      <c r="J3188" s="10" t="s">
        <v>8436</v>
      </c>
      <c r="K3188" s="10">
        <v>403</v>
      </c>
      <c r="L3188" s="10" t="s">
        <v>19961</v>
      </c>
      <c r="M3188" s="10">
        <v>1</v>
      </c>
      <c r="N3188" s="10"/>
      <c r="O3188" s="10"/>
      <c r="P3188" s="10"/>
      <c r="Q3188" s="10">
        <v>418.00709999999998</v>
      </c>
      <c r="R3188" s="10" t="s">
        <v>19962</v>
      </c>
      <c r="S3188" s="10" t="s">
        <v>53</v>
      </c>
      <c r="T3188" s="10" t="s">
        <v>6616</v>
      </c>
    </row>
    <row r="3189" spans="1:20" ht="14.5" x14ac:dyDescent="0.35">
      <c r="A3189" s="10" t="s">
        <v>19963</v>
      </c>
      <c r="B3189" s="10" t="str">
        <f>"9781118018194"</f>
        <v>9781118018194</v>
      </c>
      <c r="C3189" s="10" t="str">
        <f>"9781118059340"</f>
        <v>9781118059340</v>
      </c>
      <c r="D3189" s="10" t="s">
        <v>6322</v>
      </c>
      <c r="E3189" s="10" t="s">
        <v>6323</v>
      </c>
      <c r="F3189" s="10" t="s">
        <v>4423</v>
      </c>
      <c r="G3189" s="10" t="s">
        <v>6317</v>
      </c>
      <c r="H3189" s="11">
        <v>40680</v>
      </c>
      <c r="I3189" s="10">
        <v>2011</v>
      </c>
      <c r="J3189" s="10" t="s">
        <v>6324</v>
      </c>
      <c r="K3189" s="10">
        <v>157</v>
      </c>
      <c r="L3189" s="10" t="s">
        <v>19964</v>
      </c>
      <c r="M3189" s="10">
        <v>2</v>
      </c>
      <c r="N3189" s="10" t="s">
        <v>16630</v>
      </c>
      <c r="O3189" s="10">
        <v>38</v>
      </c>
      <c r="P3189" s="10"/>
      <c r="Q3189" s="10" t="s">
        <v>11314</v>
      </c>
      <c r="R3189" s="10" t="s">
        <v>19965</v>
      </c>
      <c r="S3189" s="10" t="s">
        <v>53</v>
      </c>
      <c r="T3189" s="10" t="s">
        <v>54</v>
      </c>
    </row>
    <row r="3190" spans="1:20" ht="14.5" x14ac:dyDescent="0.35">
      <c r="A3190" s="10" t="s">
        <v>19966</v>
      </c>
      <c r="B3190" s="10" t="str">
        <f>"9780470661567"</f>
        <v>9780470661567</v>
      </c>
      <c r="C3190" s="10" t="str">
        <f>"9781119976653"</f>
        <v>9781119976653</v>
      </c>
      <c r="D3190" s="10" t="s">
        <v>6322</v>
      </c>
      <c r="E3190" s="10" t="s">
        <v>6323</v>
      </c>
      <c r="F3190" s="10" t="s">
        <v>4423</v>
      </c>
      <c r="G3190" s="10" t="s">
        <v>6352</v>
      </c>
      <c r="H3190" s="11">
        <v>40833</v>
      </c>
      <c r="I3190" s="10">
        <v>2011</v>
      </c>
      <c r="J3190" s="10" t="s">
        <v>6323</v>
      </c>
      <c r="K3190" s="10">
        <v>289</v>
      </c>
      <c r="L3190" s="10" t="s">
        <v>19967</v>
      </c>
      <c r="M3190" s="10">
        <v>1</v>
      </c>
      <c r="N3190" s="10"/>
      <c r="O3190" s="10"/>
      <c r="P3190" s="10" t="s">
        <v>19968</v>
      </c>
      <c r="Q3190" s="10" t="s">
        <v>19969</v>
      </c>
      <c r="R3190" s="10" t="s">
        <v>19970</v>
      </c>
      <c r="S3190" s="10" t="s">
        <v>53</v>
      </c>
      <c r="T3190" s="10" t="s">
        <v>13819</v>
      </c>
    </row>
    <row r="3191" spans="1:20" ht="14.5" x14ac:dyDescent="0.35">
      <c r="A3191" s="10" t="s">
        <v>19971</v>
      </c>
      <c r="B3191" s="10" t="str">
        <f>"9780807835128"</f>
        <v>9780807835128</v>
      </c>
      <c r="C3191" s="10" t="str">
        <f>"9780807869208"</f>
        <v>9780807869208</v>
      </c>
      <c r="D3191" s="10" t="s">
        <v>13324</v>
      </c>
      <c r="E3191" s="10" t="s">
        <v>13335</v>
      </c>
      <c r="F3191" s="10" t="s">
        <v>2388</v>
      </c>
      <c r="G3191" s="10" t="s">
        <v>6317</v>
      </c>
      <c r="H3191" s="11">
        <v>40862</v>
      </c>
      <c r="I3191" s="10">
        <v>2011</v>
      </c>
      <c r="J3191" s="10" t="s">
        <v>13335</v>
      </c>
      <c r="K3191" s="10">
        <v>352</v>
      </c>
      <c r="L3191" s="10" t="s">
        <v>19972</v>
      </c>
      <c r="M3191" s="10">
        <v>1</v>
      </c>
      <c r="N3191" s="10"/>
      <c r="O3191" s="10"/>
      <c r="P3191" s="10" t="s">
        <v>19973</v>
      </c>
      <c r="Q3191" s="10">
        <v>370.11709730000001</v>
      </c>
      <c r="R3191" s="10" t="s">
        <v>19974</v>
      </c>
      <c r="S3191" s="10" t="s">
        <v>53</v>
      </c>
      <c r="T3191" s="10" t="s">
        <v>54</v>
      </c>
    </row>
    <row r="3192" spans="1:20" ht="14.5" x14ac:dyDescent="0.35">
      <c r="A3192" s="10" t="s">
        <v>19975</v>
      </c>
      <c r="B3192" s="10" t="str">
        <f>"9781446207994"</f>
        <v>9781446207994</v>
      </c>
      <c r="C3192" s="10" t="str">
        <f>"9781446254141"</f>
        <v>9781446254141</v>
      </c>
      <c r="D3192" s="10" t="s">
        <v>9325</v>
      </c>
      <c r="E3192" s="10" t="s">
        <v>9326</v>
      </c>
      <c r="F3192" s="10" t="s">
        <v>139</v>
      </c>
      <c r="G3192" s="10" t="s">
        <v>6352</v>
      </c>
      <c r="H3192" s="11">
        <v>40856</v>
      </c>
      <c r="I3192" s="10">
        <v>2012</v>
      </c>
      <c r="J3192" s="10" t="s">
        <v>9326</v>
      </c>
      <c r="K3192" s="10">
        <v>136</v>
      </c>
      <c r="L3192" s="10" t="s">
        <v>14434</v>
      </c>
      <c r="M3192" s="10">
        <v>1</v>
      </c>
      <c r="N3192" s="10"/>
      <c r="O3192" s="10"/>
      <c r="P3192" s="10" t="s">
        <v>19976</v>
      </c>
      <c r="Q3192" s="10">
        <v>371.19200000000001</v>
      </c>
      <c r="R3192" s="10" t="s">
        <v>19977</v>
      </c>
      <c r="S3192" s="10" t="s">
        <v>53</v>
      </c>
      <c r="T3192" s="10" t="s">
        <v>54</v>
      </c>
    </row>
    <row r="3193" spans="1:20" ht="14.5" x14ac:dyDescent="0.35">
      <c r="A3193" s="10" t="s">
        <v>19978</v>
      </c>
      <c r="B3193" s="10" t="str">
        <f>"9781844452125"</f>
        <v>9781844452125</v>
      </c>
      <c r="C3193" s="10" t="str">
        <f>"9780857253385"</f>
        <v>9780857253385</v>
      </c>
      <c r="D3193" s="10" t="s">
        <v>9325</v>
      </c>
      <c r="E3193" s="10" t="s">
        <v>9326</v>
      </c>
      <c r="F3193" s="10" t="s">
        <v>139</v>
      </c>
      <c r="G3193" s="10" t="s">
        <v>6352</v>
      </c>
      <c r="H3193" s="11">
        <v>39975</v>
      </c>
      <c r="I3193" s="10">
        <v>2009</v>
      </c>
      <c r="J3193" s="10" t="s">
        <v>18376</v>
      </c>
      <c r="K3193" s="10">
        <v>191</v>
      </c>
      <c r="L3193" s="10" t="s">
        <v>19979</v>
      </c>
      <c r="M3193" s="10">
        <v>1</v>
      </c>
      <c r="N3193" s="10" t="s">
        <v>18383</v>
      </c>
      <c r="O3193" s="10"/>
      <c r="P3193" s="10" t="s">
        <v>19980</v>
      </c>
      <c r="Q3193" s="10">
        <v>374.01240000000001</v>
      </c>
      <c r="R3193" s="10" t="s">
        <v>19981</v>
      </c>
      <c r="S3193" s="10" t="s">
        <v>53</v>
      </c>
      <c r="T3193" s="10" t="s">
        <v>54</v>
      </c>
    </row>
    <row r="3194" spans="1:20" ht="14.5" x14ac:dyDescent="0.35">
      <c r="A3194" s="10" t="s">
        <v>19982</v>
      </c>
      <c r="B3194" s="10" t="str">
        <f>"9781844451753"</f>
        <v>9781844451753</v>
      </c>
      <c r="C3194" s="10" t="str">
        <f>"9781844458165"</f>
        <v>9781844458165</v>
      </c>
      <c r="D3194" s="10" t="s">
        <v>9325</v>
      </c>
      <c r="E3194" s="10" t="s">
        <v>9326</v>
      </c>
      <c r="F3194" s="10" t="s">
        <v>139</v>
      </c>
      <c r="G3194" s="10" t="s">
        <v>6352</v>
      </c>
      <c r="H3194" s="11">
        <v>39636</v>
      </c>
      <c r="I3194" s="10">
        <v>2008</v>
      </c>
      <c r="J3194" s="10" t="s">
        <v>18376</v>
      </c>
      <c r="K3194" s="10">
        <v>217</v>
      </c>
      <c r="L3194" s="10" t="s">
        <v>19983</v>
      </c>
      <c r="M3194" s="10">
        <v>1</v>
      </c>
      <c r="N3194" s="10" t="s">
        <v>18589</v>
      </c>
      <c r="O3194" s="10"/>
      <c r="P3194" s="10" t="s">
        <v>19984</v>
      </c>
      <c r="Q3194" s="10">
        <v>372.21</v>
      </c>
      <c r="R3194" s="10" t="s">
        <v>19985</v>
      </c>
      <c r="S3194" s="10" t="s">
        <v>53</v>
      </c>
      <c r="T3194" s="10" t="s">
        <v>54</v>
      </c>
    </row>
    <row r="3195" spans="1:20" ht="14.5" x14ac:dyDescent="0.35">
      <c r="A3195" s="10" t="s">
        <v>19986</v>
      </c>
      <c r="B3195" s="10" t="str">
        <f>"9781844452699"</f>
        <v>9781844452699</v>
      </c>
      <c r="C3195" s="10" t="str">
        <f>"9780857253361"</f>
        <v>9780857253361</v>
      </c>
      <c r="D3195" s="10" t="s">
        <v>9325</v>
      </c>
      <c r="E3195" s="10" t="s">
        <v>9326</v>
      </c>
      <c r="F3195" s="10" t="s">
        <v>139</v>
      </c>
      <c r="G3195" s="10" t="s">
        <v>6352</v>
      </c>
      <c r="H3195" s="11">
        <v>40011</v>
      </c>
      <c r="I3195" s="10">
        <v>2009</v>
      </c>
      <c r="J3195" s="10" t="s">
        <v>18376</v>
      </c>
      <c r="K3195" s="10">
        <v>137</v>
      </c>
      <c r="L3195" s="10" t="s">
        <v>19987</v>
      </c>
      <c r="M3195" s="10">
        <v>1</v>
      </c>
      <c r="N3195" s="10" t="s">
        <v>18383</v>
      </c>
      <c r="O3195" s="10"/>
      <c r="P3195" s="10" t="s">
        <v>19988</v>
      </c>
      <c r="Q3195" s="10">
        <v>4.0243739999999999</v>
      </c>
      <c r="R3195" s="10" t="s">
        <v>19989</v>
      </c>
      <c r="S3195" s="10" t="s">
        <v>53</v>
      </c>
      <c r="T3195" s="10" t="s">
        <v>19990</v>
      </c>
    </row>
    <row r="3196" spans="1:20" ht="14.5" x14ac:dyDescent="0.35">
      <c r="A3196" s="10" t="s">
        <v>19991</v>
      </c>
      <c r="B3196" s="10" t="str">
        <f>"9781844451357"</f>
        <v>9781844451357</v>
      </c>
      <c r="C3196" s="10" t="str">
        <f>"9781844453085"</f>
        <v>9781844453085</v>
      </c>
      <c r="D3196" s="10" t="s">
        <v>9325</v>
      </c>
      <c r="E3196" s="10" t="s">
        <v>9326</v>
      </c>
      <c r="F3196" s="10" t="s">
        <v>139</v>
      </c>
      <c r="G3196" s="10" t="s">
        <v>6352</v>
      </c>
      <c r="H3196" s="11">
        <v>39451</v>
      </c>
      <c r="I3196" s="10">
        <v>2008</v>
      </c>
      <c r="J3196" s="10" t="s">
        <v>18376</v>
      </c>
      <c r="K3196" s="10">
        <v>142</v>
      </c>
      <c r="L3196" s="10" t="s">
        <v>19992</v>
      </c>
      <c r="M3196" s="10">
        <v>2</v>
      </c>
      <c r="N3196" s="10" t="s">
        <v>18383</v>
      </c>
      <c r="O3196" s="10"/>
      <c r="P3196" s="10" t="s">
        <v>19993</v>
      </c>
      <c r="Q3196" s="10">
        <v>374.26</v>
      </c>
      <c r="R3196" s="10" t="s">
        <v>19994</v>
      </c>
      <c r="S3196" s="10" t="s">
        <v>53</v>
      </c>
      <c r="T3196" s="10" t="s">
        <v>54</v>
      </c>
    </row>
    <row r="3197" spans="1:20" ht="14.5" x14ac:dyDescent="0.35">
      <c r="A3197" s="10" t="s">
        <v>19995</v>
      </c>
      <c r="B3197" s="10" t="str">
        <f>"9781844452118"</f>
        <v>9781844452118</v>
      </c>
      <c r="C3197" s="10" t="str">
        <f>"9781844458257"</f>
        <v>9781844458257</v>
      </c>
      <c r="D3197" s="10" t="s">
        <v>9325</v>
      </c>
      <c r="E3197" s="10" t="s">
        <v>9326</v>
      </c>
      <c r="F3197" s="10" t="s">
        <v>139</v>
      </c>
      <c r="G3197" s="10" t="s">
        <v>6352</v>
      </c>
      <c r="H3197" s="11">
        <v>40067</v>
      </c>
      <c r="I3197" s="10">
        <v>2009</v>
      </c>
      <c r="J3197" s="10" t="s">
        <v>18376</v>
      </c>
      <c r="K3197" s="10">
        <v>271</v>
      </c>
      <c r="L3197" s="10" t="s">
        <v>19996</v>
      </c>
      <c r="M3197" s="10">
        <v>2</v>
      </c>
      <c r="N3197" s="10" t="s">
        <v>18589</v>
      </c>
      <c r="O3197" s="10"/>
      <c r="P3197" s="10" t="s">
        <v>19997</v>
      </c>
      <c r="Q3197" s="10">
        <v>372.8</v>
      </c>
      <c r="R3197" s="10" t="s">
        <v>19998</v>
      </c>
      <c r="S3197" s="10" t="s">
        <v>53</v>
      </c>
      <c r="T3197" s="10" t="s">
        <v>9590</v>
      </c>
    </row>
    <row r="3198" spans="1:20" ht="14.5" x14ac:dyDescent="0.35">
      <c r="A3198" s="10" t="s">
        <v>19999</v>
      </c>
      <c r="B3198" s="10" t="str">
        <f>"9781844451401"</f>
        <v>9781844451401</v>
      </c>
      <c r="C3198" s="10" t="str">
        <f>"9781844458066"</f>
        <v>9781844458066</v>
      </c>
      <c r="D3198" s="10" t="s">
        <v>9325</v>
      </c>
      <c r="E3198" s="10" t="s">
        <v>9326</v>
      </c>
      <c r="F3198" s="10" t="s">
        <v>139</v>
      </c>
      <c r="G3198" s="10" t="s">
        <v>6352</v>
      </c>
      <c r="H3198" s="11">
        <v>39659</v>
      </c>
      <c r="I3198" s="10">
        <v>2008</v>
      </c>
      <c r="J3198" s="10" t="s">
        <v>18376</v>
      </c>
      <c r="K3198" s="10">
        <v>227</v>
      </c>
      <c r="L3198" s="10" t="s">
        <v>20000</v>
      </c>
      <c r="M3198" s="10">
        <v>1</v>
      </c>
      <c r="N3198" s="10" t="s">
        <v>18589</v>
      </c>
      <c r="O3198" s="10"/>
      <c r="P3198" s="10" t="s">
        <v>20001</v>
      </c>
      <c r="Q3198" s="10">
        <v>372.89</v>
      </c>
      <c r="R3198" s="10" t="s">
        <v>20002</v>
      </c>
      <c r="S3198" s="10" t="s">
        <v>53</v>
      </c>
      <c r="T3198" s="10" t="s">
        <v>54</v>
      </c>
    </row>
    <row r="3199" spans="1:20" ht="14.5" x14ac:dyDescent="0.35">
      <c r="A3199" s="10" t="s">
        <v>20003</v>
      </c>
      <c r="B3199" s="10" t="str">
        <f>"9781844452712"</f>
        <v>9781844452712</v>
      </c>
      <c r="C3199" s="10" t="str">
        <f>"9780857253378"</f>
        <v>9780857253378</v>
      </c>
      <c r="D3199" s="10" t="s">
        <v>9325</v>
      </c>
      <c r="E3199" s="10" t="s">
        <v>9326</v>
      </c>
      <c r="F3199" s="10" t="s">
        <v>139</v>
      </c>
      <c r="G3199" s="10" t="s">
        <v>6352</v>
      </c>
      <c r="H3199" s="11">
        <v>39966</v>
      </c>
      <c r="I3199" s="10">
        <v>2009</v>
      </c>
      <c r="J3199" s="10" t="s">
        <v>18376</v>
      </c>
      <c r="K3199" s="10">
        <v>122</v>
      </c>
      <c r="L3199" s="10" t="s">
        <v>20004</v>
      </c>
      <c r="M3199" s="10">
        <v>1</v>
      </c>
      <c r="N3199" s="10" t="s">
        <v>18383</v>
      </c>
      <c r="O3199" s="10"/>
      <c r="P3199" s="10" t="s">
        <v>20005</v>
      </c>
      <c r="Q3199" s="10">
        <v>374.11020000000002</v>
      </c>
      <c r="R3199" s="10" t="s">
        <v>20006</v>
      </c>
      <c r="S3199" s="10" t="s">
        <v>53</v>
      </c>
      <c r="T3199" s="10" t="s">
        <v>54</v>
      </c>
    </row>
    <row r="3200" spans="1:20" ht="14.5" x14ac:dyDescent="0.35">
      <c r="A3200" s="10" t="s">
        <v>20007</v>
      </c>
      <c r="B3200" s="10" t="str">
        <f>"9781844451715"</f>
        <v>9781844451715</v>
      </c>
      <c r="C3200" s="10" t="str">
        <f>"9781844458141"</f>
        <v>9781844458141</v>
      </c>
      <c r="D3200" s="10" t="s">
        <v>9325</v>
      </c>
      <c r="E3200" s="10" t="s">
        <v>9326</v>
      </c>
      <c r="F3200" s="10" t="s">
        <v>139</v>
      </c>
      <c r="G3200" s="10" t="s">
        <v>6352</v>
      </c>
      <c r="H3200" s="11">
        <v>39574</v>
      </c>
      <c r="I3200" s="10">
        <v>2008</v>
      </c>
      <c r="J3200" s="10" t="s">
        <v>18376</v>
      </c>
      <c r="K3200" s="10">
        <v>204</v>
      </c>
      <c r="L3200" s="10" t="s">
        <v>20008</v>
      </c>
      <c r="M3200" s="10">
        <v>1</v>
      </c>
      <c r="N3200" s="10" t="s">
        <v>20009</v>
      </c>
      <c r="O3200" s="10"/>
      <c r="P3200" s="10" t="s">
        <v>20010</v>
      </c>
      <c r="Q3200" s="10">
        <v>372.11409411</v>
      </c>
      <c r="R3200" s="10" t="s">
        <v>20011</v>
      </c>
      <c r="S3200" s="10" t="s">
        <v>53</v>
      </c>
      <c r="T3200" s="10" t="s">
        <v>54</v>
      </c>
    </row>
    <row r="3201" spans="1:20" ht="14.5" x14ac:dyDescent="0.35">
      <c r="A3201" s="10" t="s">
        <v>20012</v>
      </c>
      <c r="B3201" s="10" t="str">
        <f>"9781844452880"</f>
        <v>9781844452880</v>
      </c>
      <c r="C3201" s="10" t="str">
        <f>"9780857253354"</f>
        <v>9780857253354</v>
      </c>
      <c r="D3201" s="10" t="s">
        <v>9325</v>
      </c>
      <c r="E3201" s="10" t="s">
        <v>9326</v>
      </c>
      <c r="F3201" s="10" t="s">
        <v>139</v>
      </c>
      <c r="G3201" s="10" t="s">
        <v>6352</v>
      </c>
      <c r="H3201" s="11">
        <v>40023</v>
      </c>
      <c r="I3201" s="10">
        <v>2009</v>
      </c>
      <c r="J3201" s="10" t="s">
        <v>18376</v>
      </c>
      <c r="K3201" s="10">
        <v>95</v>
      </c>
      <c r="L3201" s="10" t="s">
        <v>20013</v>
      </c>
      <c r="M3201" s="10">
        <v>1</v>
      </c>
      <c r="N3201" s="10" t="s">
        <v>18383</v>
      </c>
      <c r="O3201" s="10"/>
      <c r="P3201" s="10" t="s">
        <v>20014</v>
      </c>
      <c r="Q3201" s="10">
        <v>371.33</v>
      </c>
      <c r="R3201" s="10" t="s">
        <v>20015</v>
      </c>
      <c r="S3201" s="10" t="s">
        <v>53</v>
      </c>
      <c r="T3201" s="10" t="s">
        <v>54</v>
      </c>
    </row>
    <row r="3202" spans="1:20" ht="14.5" x14ac:dyDescent="0.35">
      <c r="A3202" s="10" t="s">
        <v>20016</v>
      </c>
      <c r="B3202" s="10" t="str">
        <f>"9781844452729"</f>
        <v>9781844452729</v>
      </c>
      <c r="C3202" s="10" t="str">
        <f>"9780857253392"</f>
        <v>9780857253392</v>
      </c>
      <c r="D3202" s="10" t="s">
        <v>9325</v>
      </c>
      <c r="E3202" s="10" t="s">
        <v>9326</v>
      </c>
      <c r="F3202" s="10" t="s">
        <v>139</v>
      </c>
      <c r="G3202" s="10" t="s">
        <v>6352</v>
      </c>
      <c r="H3202" s="11">
        <v>40023</v>
      </c>
      <c r="I3202" s="10">
        <v>2009</v>
      </c>
      <c r="J3202" s="10" t="s">
        <v>18376</v>
      </c>
      <c r="K3202" s="10">
        <v>109</v>
      </c>
      <c r="L3202" s="10" t="s">
        <v>20017</v>
      </c>
      <c r="M3202" s="10">
        <v>1</v>
      </c>
      <c r="N3202" s="10" t="s">
        <v>18383</v>
      </c>
      <c r="O3202" s="10"/>
      <c r="P3202" s="10" t="s">
        <v>20018</v>
      </c>
      <c r="Q3202" s="10">
        <v>510.24374</v>
      </c>
      <c r="R3202" s="10" t="s">
        <v>19981</v>
      </c>
      <c r="S3202" s="10" t="s">
        <v>53</v>
      </c>
      <c r="T3202" s="10" t="s">
        <v>389</v>
      </c>
    </row>
    <row r="3203" spans="1:20" ht="14.5" x14ac:dyDescent="0.35">
      <c r="A3203" s="10" t="s">
        <v>20019</v>
      </c>
      <c r="B3203" s="10" t="str">
        <f>"9781844451838"</f>
        <v>9781844451838</v>
      </c>
      <c r="C3203" s="10" t="str">
        <f>"9780857253446"</f>
        <v>9780857253446</v>
      </c>
      <c r="D3203" s="10" t="s">
        <v>9325</v>
      </c>
      <c r="E3203" s="10" t="s">
        <v>9326</v>
      </c>
      <c r="F3203" s="10" t="s">
        <v>139</v>
      </c>
      <c r="G3203" s="10" t="s">
        <v>6352</v>
      </c>
      <c r="H3203" s="11">
        <v>39696</v>
      </c>
      <c r="I3203" s="10">
        <v>2008</v>
      </c>
      <c r="J3203" s="10" t="s">
        <v>18376</v>
      </c>
      <c r="K3203" s="10">
        <v>170</v>
      </c>
      <c r="L3203" s="10" t="s">
        <v>20020</v>
      </c>
      <c r="M3203" s="10">
        <v>1</v>
      </c>
      <c r="N3203" s="10" t="s">
        <v>20021</v>
      </c>
      <c r="O3203" s="10"/>
      <c r="P3203" s="10" t="s">
        <v>20022</v>
      </c>
      <c r="Q3203" s="10">
        <v>373.07104099999998</v>
      </c>
      <c r="R3203" s="10" t="s">
        <v>20023</v>
      </c>
      <c r="S3203" s="10" t="s">
        <v>53</v>
      </c>
      <c r="T3203" s="10" t="s">
        <v>54</v>
      </c>
    </row>
    <row r="3204" spans="1:20" ht="14.5" x14ac:dyDescent="0.35">
      <c r="A3204" s="10" t="s">
        <v>20024</v>
      </c>
      <c r="B3204" s="10" t="str">
        <f>"9781441159236"</f>
        <v>9781441159236</v>
      </c>
      <c r="C3204" s="10" t="str">
        <f>"9781441144669"</f>
        <v>9781441144669</v>
      </c>
      <c r="D3204" s="10" t="s">
        <v>13959</v>
      </c>
      <c r="E3204" s="10" t="s">
        <v>13960</v>
      </c>
      <c r="F3204" s="10" t="s">
        <v>139</v>
      </c>
      <c r="G3204" s="10" t="s">
        <v>6352</v>
      </c>
      <c r="H3204" s="11">
        <v>40913</v>
      </c>
      <c r="I3204" s="10">
        <v>2011</v>
      </c>
      <c r="J3204" s="10" t="s">
        <v>13960</v>
      </c>
      <c r="K3204" s="10">
        <v>177</v>
      </c>
      <c r="L3204" s="10" t="s">
        <v>18644</v>
      </c>
      <c r="M3204" s="10">
        <v>1</v>
      </c>
      <c r="N3204" s="10"/>
      <c r="O3204" s="10"/>
      <c r="P3204" s="10" t="s">
        <v>20025</v>
      </c>
      <c r="Q3204" s="10" t="s">
        <v>20026</v>
      </c>
      <c r="R3204" s="10" t="s">
        <v>20027</v>
      </c>
      <c r="S3204" s="10" t="s">
        <v>53</v>
      </c>
      <c r="T3204" s="10" t="s">
        <v>54</v>
      </c>
    </row>
    <row r="3205" spans="1:20" ht="14.5" x14ac:dyDescent="0.35">
      <c r="A3205" s="10" t="s">
        <v>20028</v>
      </c>
      <c r="B3205" s="10" t="str">
        <f>"9780787957131"</f>
        <v>9780787957131</v>
      </c>
      <c r="C3205" s="10" t="str">
        <f>"9781118218679"</f>
        <v>9781118218679</v>
      </c>
      <c r="D3205" s="10" t="s">
        <v>6322</v>
      </c>
      <c r="E3205" s="10" t="s">
        <v>6323</v>
      </c>
      <c r="F3205" s="10" t="s">
        <v>13068</v>
      </c>
      <c r="G3205" s="10" t="s">
        <v>6317</v>
      </c>
      <c r="H3205" s="11">
        <v>41023</v>
      </c>
      <c r="I3205" s="10">
        <v>2012</v>
      </c>
      <c r="J3205" s="10" t="s">
        <v>6324</v>
      </c>
      <c r="K3205" s="10">
        <v>402</v>
      </c>
      <c r="L3205" s="10" t="s">
        <v>20029</v>
      </c>
      <c r="M3205" s="10">
        <v>1</v>
      </c>
      <c r="N3205" s="10"/>
      <c r="O3205" s="10"/>
      <c r="P3205" s="10" t="s">
        <v>20030</v>
      </c>
      <c r="Q3205" s="10">
        <v>378.16913</v>
      </c>
      <c r="R3205" s="10" t="s">
        <v>20031</v>
      </c>
      <c r="S3205" s="10" t="s">
        <v>53</v>
      </c>
      <c r="T3205" s="10" t="s">
        <v>54</v>
      </c>
    </row>
    <row r="3206" spans="1:20" ht="14.5" x14ac:dyDescent="0.35">
      <c r="A3206" s="10" t="s">
        <v>20032</v>
      </c>
      <c r="B3206" s="10" t="str">
        <f>"9780470590720"</f>
        <v>9780470590720</v>
      </c>
      <c r="C3206" s="10" t="str">
        <f>"9781118218914"</f>
        <v>9781118218914</v>
      </c>
      <c r="D3206" s="10" t="s">
        <v>6322</v>
      </c>
      <c r="E3206" s="10" t="s">
        <v>6323</v>
      </c>
      <c r="F3206" s="10" t="s">
        <v>4423</v>
      </c>
      <c r="G3206" s="10" t="s">
        <v>6317</v>
      </c>
      <c r="H3206" s="11">
        <v>41058</v>
      </c>
      <c r="I3206" s="10">
        <v>2012</v>
      </c>
      <c r="J3206" s="10" t="s">
        <v>6324</v>
      </c>
      <c r="K3206" s="10">
        <v>616</v>
      </c>
      <c r="L3206" s="10" t="s">
        <v>20033</v>
      </c>
      <c r="M3206" s="10">
        <v>1</v>
      </c>
      <c r="N3206" s="10"/>
      <c r="O3206" s="10"/>
      <c r="P3206" s="10"/>
      <c r="Q3206" s="10" t="s">
        <v>7335</v>
      </c>
      <c r="R3206" s="10" t="s">
        <v>6337</v>
      </c>
      <c r="S3206" s="10" t="s">
        <v>53</v>
      </c>
      <c r="T3206" s="10" t="s">
        <v>54</v>
      </c>
    </row>
    <row r="3207" spans="1:20" ht="14.5" x14ac:dyDescent="0.35">
      <c r="A3207" s="10" t="s">
        <v>20034</v>
      </c>
      <c r="B3207" s="10" t="str">
        <f>"9781118014899"</f>
        <v>9781118014899</v>
      </c>
      <c r="C3207" s="10" t="str">
        <f>"9781118221860"</f>
        <v>9781118221860</v>
      </c>
      <c r="D3207" s="10" t="s">
        <v>6322</v>
      </c>
      <c r="E3207" s="10" t="s">
        <v>6323</v>
      </c>
      <c r="F3207" s="10" t="s">
        <v>4423</v>
      </c>
      <c r="G3207" s="10" t="s">
        <v>6317</v>
      </c>
      <c r="H3207" s="11">
        <v>41232</v>
      </c>
      <c r="I3207" s="10">
        <v>2013</v>
      </c>
      <c r="J3207" s="10" t="s">
        <v>6324</v>
      </c>
      <c r="K3207" s="10">
        <v>305</v>
      </c>
      <c r="L3207" s="10" t="s">
        <v>20035</v>
      </c>
      <c r="M3207" s="10">
        <v>1</v>
      </c>
      <c r="N3207" s="10"/>
      <c r="O3207" s="10"/>
      <c r="P3207" s="10"/>
      <c r="Q3207" s="10" t="s">
        <v>20036</v>
      </c>
      <c r="R3207" s="10" t="s">
        <v>18801</v>
      </c>
      <c r="S3207" s="10" t="s">
        <v>53</v>
      </c>
      <c r="T3207" s="10" t="s">
        <v>483</v>
      </c>
    </row>
    <row r="3208" spans="1:20" ht="14.5" x14ac:dyDescent="0.35">
      <c r="A3208" s="10" t="s">
        <v>20037</v>
      </c>
      <c r="B3208" s="10" t="str">
        <f>"9781118108567"</f>
        <v>9781118108567</v>
      </c>
      <c r="C3208" s="10" t="str">
        <f>"9781118224120"</f>
        <v>9781118224120</v>
      </c>
      <c r="D3208" s="10" t="s">
        <v>6322</v>
      </c>
      <c r="E3208" s="10" t="s">
        <v>6323</v>
      </c>
      <c r="F3208" s="10" t="s">
        <v>4423</v>
      </c>
      <c r="G3208" s="10" t="s">
        <v>6317</v>
      </c>
      <c r="H3208" s="11">
        <v>41009</v>
      </c>
      <c r="I3208" s="10">
        <v>2012</v>
      </c>
      <c r="J3208" s="10" t="s">
        <v>6324</v>
      </c>
      <c r="K3208" s="10">
        <v>276</v>
      </c>
      <c r="L3208" s="10" t="s">
        <v>20038</v>
      </c>
      <c r="M3208" s="10">
        <v>1</v>
      </c>
      <c r="N3208" s="10"/>
      <c r="O3208" s="10"/>
      <c r="P3208" s="10"/>
      <c r="Q3208" s="10" t="s">
        <v>20039</v>
      </c>
      <c r="R3208" s="10" t="s">
        <v>20040</v>
      </c>
      <c r="S3208" s="10" t="s">
        <v>53</v>
      </c>
      <c r="T3208" s="10" t="s">
        <v>389</v>
      </c>
    </row>
    <row r="3209" spans="1:20" ht="14.5" x14ac:dyDescent="0.35">
      <c r="A3209" s="10" t="s">
        <v>20041</v>
      </c>
      <c r="B3209" s="10" t="str">
        <f>"9781118108215"</f>
        <v>9781118108215</v>
      </c>
      <c r="C3209" s="10" t="str">
        <f>"9781118148020"</f>
        <v>9781118148020</v>
      </c>
      <c r="D3209" s="10" t="s">
        <v>6322</v>
      </c>
      <c r="E3209" s="10" t="s">
        <v>6323</v>
      </c>
      <c r="F3209" s="10" t="s">
        <v>1168</v>
      </c>
      <c r="G3209" s="10" t="s">
        <v>6317</v>
      </c>
      <c r="H3209" s="11">
        <v>40820</v>
      </c>
      <c r="I3209" s="10">
        <v>2011</v>
      </c>
      <c r="J3209" s="10" t="s">
        <v>6324</v>
      </c>
      <c r="K3209" s="10">
        <v>237</v>
      </c>
      <c r="L3209" s="10" t="s">
        <v>18834</v>
      </c>
      <c r="M3209" s="10">
        <v>1</v>
      </c>
      <c r="N3209" s="10"/>
      <c r="O3209" s="10"/>
      <c r="P3209" s="10" t="s">
        <v>20042</v>
      </c>
      <c r="Q3209" s="10" t="s">
        <v>20043</v>
      </c>
      <c r="R3209" s="10" t="s">
        <v>20044</v>
      </c>
      <c r="S3209" s="10" t="s">
        <v>53</v>
      </c>
      <c r="T3209" s="10" t="s">
        <v>6634</v>
      </c>
    </row>
    <row r="3210" spans="1:20" ht="14.5" x14ac:dyDescent="0.35">
      <c r="A3210" s="10" t="s">
        <v>20045</v>
      </c>
      <c r="B3210" s="10" t="str">
        <f>"9781780521688"</f>
        <v>9781780521688</v>
      </c>
      <c r="C3210" s="10" t="str">
        <f>"9781780521831"</f>
        <v>9781780521831</v>
      </c>
      <c r="D3210" s="10" t="s">
        <v>8699</v>
      </c>
      <c r="E3210" s="10" t="s">
        <v>8699</v>
      </c>
      <c r="F3210" s="10" t="s">
        <v>559</v>
      </c>
      <c r="G3210" s="10" t="s">
        <v>6352</v>
      </c>
      <c r="H3210" s="11">
        <v>40806</v>
      </c>
      <c r="I3210" s="10">
        <v>2011</v>
      </c>
      <c r="J3210" s="10" t="s">
        <v>8699</v>
      </c>
      <c r="K3210" s="10">
        <v>357</v>
      </c>
      <c r="L3210" s="10" t="s">
        <v>20046</v>
      </c>
      <c r="M3210" s="10">
        <v>1</v>
      </c>
      <c r="N3210" s="10" t="s">
        <v>18965</v>
      </c>
      <c r="O3210" s="10">
        <v>11</v>
      </c>
      <c r="P3210" s="10" t="s">
        <v>20047</v>
      </c>
      <c r="Q3210" s="10">
        <v>378.00819999999999</v>
      </c>
      <c r="R3210" s="10" t="s">
        <v>20048</v>
      </c>
      <c r="S3210" s="10" t="s">
        <v>53</v>
      </c>
      <c r="T3210" s="10" t="s">
        <v>54</v>
      </c>
    </row>
    <row r="3211" spans="1:20" ht="14.5" x14ac:dyDescent="0.35">
      <c r="A3211" s="10" t="s">
        <v>20049</v>
      </c>
      <c r="B3211" s="10" t="str">
        <f>"9781780521848"</f>
        <v>9781780521848</v>
      </c>
      <c r="C3211" s="10" t="str">
        <f>"9781780521855"</f>
        <v>9781780521855</v>
      </c>
      <c r="D3211" s="10" t="s">
        <v>8699</v>
      </c>
      <c r="E3211" s="10" t="s">
        <v>8699</v>
      </c>
      <c r="F3211" s="10" t="s">
        <v>559</v>
      </c>
      <c r="G3211" s="10" t="s">
        <v>6352</v>
      </c>
      <c r="H3211" s="11">
        <v>40870</v>
      </c>
      <c r="I3211" s="10">
        <v>2011</v>
      </c>
      <c r="J3211" s="10" t="s">
        <v>8699</v>
      </c>
      <c r="K3211" s="10">
        <v>271</v>
      </c>
      <c r="L3211" s="10" t="s">
        <v>20050</v>
      </c>
      <c r="M3211" s="10">
        <v>1</v>
      </c>
      <c r="N3211" s="10" t="s">
        <v>20051</v>
      </c>
      <c r="O3211" s="10">
        <v>12</v>
      </c>
      <c r="P3211" s="10" t="s">
        <v>13844</v>
      </c>
      <c r="Q3211" s="10">
        <v>371.2</v>
      </c>
      <c r="R3211" s="10" t="s">
        <v>20052</v>
      </c>
      <c r="S3211" s="10" t="s">
        <v>53</v>
      </c>
      <c r="T3211" s="10" t="s">
        <v>54</v>
      </c>
    </row>
    <row r="3212" spans="1:20" ht="14.5" x14ac:dyDescent="0.35">
      <c r="A3212" s="10" t="s">
        <v>20053</v>
      </c>
      <c r="B3212" s="10" t="str">
        <f>"9780521887274"</f>
        <v>9780521887274</v>
      </c>
      <c r="C3212" s="10" t="str">
        <f>"9781139203326"</f>
        <v>9781139203326</v>
      </c>
      <c r="D3212" s="10" t="s">
        <v>397</v>
      </c>
      <c r="E3212" s="10" t="s">
        <v>397</v>
      </c>
      <c r="F3212" s="10" t="s">
        <v>70</v>
      </c>
      <c r="G3212" s="10" t="s">
        <v>6317</v>
      </c>
      <c r="H3212" s="11">
        <v>40357</v>
      </c>
      <c r="I3212" s="10">
        <v>2010</v>
      </c>
      <c r="J3212" s="10" t="s">
        <v>397</v>
      </c>
      <c r="K3212" s="10">
        <v>440</v>
      </c>
      <c r="L3212" s="10" t="s">
        <v>20054</v>
      </c>
      <c r="M3212" s="10">
        <v>1</v>
      </c>
      <c r="N3212" s="10"/>
      <c r="O3212" s="10"/>
      <c r="P3212" s="10" t="s">
        <v>20055</v>
      </c>
      <c r="Q3212" s="10" t="s">
        <v>9870</v>
      </c>
      <c r="R3212" s="10" t="s">
        <v>9225</v>
      </c>
      <c r="S3212" s="10" t="s">
        <v>53</v>
      </c>
      <c r="T3212" s="10" t="s">
        <v>54</v>
      </c>
    </row>
    <row r="3213" spans="1:20" ht="14.5" x14ac:dyDescent="0.35">
      <c r="A3213" s="10" t="s">
        <v>20056</v>
      </c>
      <c r="B3213" s="10" t="str">
        <f>"9781780520520"</f>
        <v>9781780520520</v>
      </c>
      <c r="C3213" s="10" t="str">
        <f>"9781780520537"</f>
        <v>9781780520537</v>
      </c>
      <c r="D3213" s="10" t="s">
        <v>8699</v>
      </c>
      <c r="E3213" s="10" t="s">
        <v>8699</v>
      </c>
      <c r="F3213" s="10" t="s">
        <v>559</v>
      </c>
      <c r="G3213" s="10" t="s">
        <v>6352</v>
      </c>
      <c r="H3213" s="11">
        <v>40814</v>
      </c>
      <c r="I3213" s="10">
        <v>2011</v>
      </c>
      <c r="J3213" s="10" t="s">
        <v>8699</v>
      </c>
      <c r="K3213" s="10">
        <v>399</v>
      </c>
      <c r="L3213" s="10" t="s">
        <v>20057</v>
      </c>
      <c r="M3213" s="10">
        <v>1</v>
      </c>
      <c r="N3213" s="10" t="s">
        <v>18360</v>
      </c>
      <c r="O3213" s="10">
        <v>4</v>
      </c>
      <c r="P3213" s="10" t="s">
        <v>20058</v>
      </c>
      <c r="Q3213" s="10">
        <v>371.33467999999999</v>
      </c>
      <c r="R3213" s="10" t="s">
        <v>12939</v>
      </c>
      <c r="S3213" s="10" t="s">
        <v>53</v>
      </c>
      <c r="T3213" s="10" t="s">
        <v>54</v>
      </c>
    </row>
    <row r="3214" spans="1:20" ht="14.5" x14ac:dyDescent="0.35">
      <c r="A3214" s="10" t="s">
        <v>20059</v>
      </c>
      <c r="B3214" s="10" t="str">
        <f>"9780470888438"</f>
        <v>9780470888438</v>
      </c>
      <c r="C3214" s="10" t="str">
        <f>"9781118221082"</f>
        <v>9781118221082</v>
      </c>
      <c r="D3214" s="10" t="s">
        <v>6322</v>
      </c>
      <c r="E3214" s="10" t="s">
        <v>6323</v>
      </c>
      <c r="F3214" s="10" t="s">
        <v>4423</v>
      </c>
      <c r="G3214" s="10" t="s">
        <v>6317</v>
      </c>
      <c r="H3214" s="11">
        <v>41156</v>
      </c>
      <c r="I3214" s="10">
        <v>2012</v>
      </c>
      <c r="J3214" s="10" t="s">
        <v>6324</v>
      </c>
      <c r="K3214" s="10">
        <v>513</v>
      </c>
      <c r="L3214" s="10" t="s">
        <v>20060</v>
      </c>
      <c r="M3214" s="10">
        <v>1</v>
      </c>
      <c r="N3214" s="10"/>
      <c r="O3214" s="10"/>
      <c r="P3214" s="10"/>
      <c r="Q3214" s="10" t="s">
        <v>20061</v>
      </c>
      <c r="R3214" s="10" t="s">
        <v>20062</v>
      </c>
      <c r="S3214" s="10" t="s">
        <v>53</v>
      </c>
      <c r="T3214" s="10" t="s">
        <v>54</v>
      </c>
    </row>
    <row r="3215" spans="1:20" ht="14.5" x14ac:dyDescent="0.35">
      <c r="A3215" s="10" t="s">
        <v>20063</v>
      </c>
      <c r="B3215" s="10" t="str">
        <f>"9781118138212"</f>
        <v>9781118138212</v>
      </c>
      <c r="C3215" s="10" t="str">
        <f>"9781118225394"</f>
        <v>9781118225394</v>
      </c>
      <c r="D3215" s="10" t="s">
        <v>6322</v>
      </c>
      <c r="E3215" s="10" t="s">
        <v>6323</v>
      </c>
      <c r="F3215" s="10" t="s">
        <v>13068</v>
      </c>
      <c r="G3215" s="10" t="s">
        <v>6317</v>
      </c>
      <c r="H3215" s="11">
        <v>41071</v>
      </c>
      <c r="I3215" s="10">
        <v>2012</v>
      </c>
      <c r="J3215" s="10" t="s">
        <v>6324</v>
      </c>
      <c r="K3215" s="10">
        <v>354</v>
      </c>
      <c r="L3215" s="10" t="s">
        <v>20064</v>
      </c>
      <c r="M3215" s="10">
        <v>1</v>
      </c>
      <c r="N3215" s="10"/>
      <c r="O3215" s="10"/>
      <c r="P3215" s="10" t="s">
        <v>20065</v>
      </c>
      <c r="Q3215" s="10">
        <v>371.10199999999998</v>
      </c>
      <c r="R3215" s="10" t="s">
        <v>20066</v>
      </c>
      <c r="S3215" s="10" t="s">
        <v>53</v>
      </c>
      <c r="T3215" s="10" t="s">
        <v>54</v>
      </c>
    </row>
    <row r="3216" spans="1:20" ht="14.5" x14ac:dyDescent="0.35">
      <c r="A3216" s="10" t="s">
        <v>20067</v>
      </c>
      <c r="B3216" s="10" t="str">
        <f>"9781118130278"</f>
        <v>9781118130278</v>
      </c>
      <c r="C3216" s="10" t="str">
        <f>"9781118225691"</f>
        <v>9781118225691</v>
      </c>
      <c r="D3216" s="10" t="s">
        <v>6322</v>
      </c>
      <c r="E3216" s="10" t="s">
        <v>6323</v>
      </c>
      <c r="F3216" s="10" t="s">
        <v>4423</v>
      </c>
      <c r="G3216" s="10" t="s">
        <v>6317</v>
      </c>
      <c r="H3216" s="11">
        <v>41114</v>
      </c>
      <c r="I3216" s="10">
        <v>2012</v>
      </c>
      <c r="J3216" s="10" t="s">
        <v>6324</v>
      </c>
      <c r="K3216" s="10">
        <v>271</v>
      </c>
      <c r="L3216" s="10" t="s">
        <v>20068</v>
      </c>
      <c r="M3216" s="10">
        <v>1</v>
      </c>
      <c r="N3216" s="10"/>
      <c r="O3216" s="10"/>
      <c r="P3216" s="10"/>
      <c r="Q3216" s="10">
        <v>370.72</v>
      </c>
      <c r="R3216" s="10" t="s">
        <v>6769</v>
      </c>
      <c r="S3216" s="10" t="s">
        <v>53</v>
      </c>
      <c r="T3216" s="10" t="s">
        <v>54</v>
      </c>
    </row>
    <row r="3217" spans="1:20" ht="14.5" x14ac:dyDescent="0.35">
      <c r="A3217" s="10" t="s">
        <v>20069</v>
      </c>
      <c r="B3217" s="10" t="str">
        <f>"9780470873939"</f>
        <v>9780470873939</v>
      </c>
      <c r="C3217" s="10" t="str">
        <f>"9781118285428"</f>
        <v>9781118285428</v>
      </c>
      <c r="D3217" s="10" t="s">
        <v>6322</v>
      </c>
      <c r="E3217" s="10" t="s">
        <v>6323</v>
      </c>
      <c r="F3217" s="10" t="s">
        <v>4423</v>
      </c>
      <c r="G3217" s="10" t="s">
        <v>6317</v>
      </c>
      <c r="H3217" s="11">
        <v>41065</v>
      </c>
      <c r="I3217" s="10">
        <v>2012</v>
      </c>
      <c r="J3217" s="10" t="s">
        <v>6323</v>
      </c>
      <c r="K3217" s="10">
        <v>410</v>
      </c>
      <c r="L3217" s="10" t="s">
        <v>20070</v>
      </c>
      <c r="M3217" s="10">
        <v>1</v>
      </c>
      <c r="N3217" s="10"/>
      <c r="O3217" s="10"/>
      <c r="P3217" s="10" t="s">
        <v>20071</v>
      </c>
      <c r="Q3217" s="10">
        <v>372.48</v>
      </c>
      <c r="R3217" s="10" t="s">
        <v>9571</v>
      </c>
      <c r="S3217" s="10" t="s">
        <v>53</v>
      </c>
      <c r="T3217" s="10" t="s">
        <v>54</v>
      </c>
    </row>
    <row r="3218" spans="1:20" ht="14.5" x14ac:dyDescent="0.35">
      <c r="A3218" s="10" t="s">
        <v>20072</v>
      </c>
      <c r="B3218" s="10" t="str">
        <f>"9780470960417"</f>
        <v>9780470960417</v>
      </c>
      <c r="C3218" s="10" t="str">
        <f>"9781118317167"</f>
        <v>9781118317167</v>
      </c>
      <c r="D3218" s="10" t="s">
        <v>6322</v>
      </c>
      <c r="E3218" s="10" t="s">
        <v>6323</v>
      </c>
      <c r="F3218" s="10" t="s">
        <v>4423</v>
      </c>
      <c r="G3218" s="10" t="s">
        <v>6317</v>
      </c>
      <c r="H3218" s="11">
        <v>40988</v>
      </c>
      <c r="I3218" s="10">
        <v>2012</v>
      </c>
      <c r="J3218" s="10" t="s">
        <v>8436</v>
      </c>
      <c r="K3218" s="10">
        <v>191</v>
      </c>
      <c r="L3218" s="10" t="s">
        <v>20073</v>
      </c>
      <c r="M3218" s="10">
        <v>1</v>
      </c>
      <c r="N3218" s="10"/>
      <c r="O3218" s="10"/>
      <c r="P3218" s="10" t="s">
        <v>20074</v>
      </c>
      <c r="Q3218" s="10">
        <v>378.15499999999997</v>
      </c>
      <c r="R3218" s="10" t="s">
        <v>20075</v>
      </c>
      <c r="S3218" s="10" t="s">
        <v>53</v>
      </c>
      <c r="T3218" s="10" t="s">
        <v>54</v>
      </c>
    </row>
    <row r="3219" spans="1:20" ht="14.5" x14ac:dyDescent="0.35">
      <c r="A3219" s="10" t="s">
        <v>20076</v>
      </c>
      <c r="B3219" s="10" t="str">
        <f>"9781462502486"</f>
        <v>9781462502486</v>
      </c>
      <c r="C3219" s="10" t="str">
        <f>"9781462502493"</f>
        <v>9781462502493</v>
      </c>
      <c r="D3219" s="10" t="s">
        <v>11213</v>
      </c>
      <c r="E3219" s="10" t="s">
        <v>11214</v>
      </c>
      <c r="F3219" s="10" t="s">
        <v>70</v>
      </c>
      <c r="G3219" s="10" t="s">
        <v>6317</v>
      </c>
      <c r="H3219" s="11">
        <v>40868</v>
      </c>
      <c r="I3219" s="10">
        <v>2012</v>
      </c>
      <c r="J3219" s="10" t="s">
        <v>11215</v>
      </c>
      <c r="K3219" s="10">
        <v>161</v>
      </c>
      <c r="L3219" s="10" t="s">
        <v>20077</v>
      </c>
      <c r="M3219" s="10">
        <v>1</v>
      </c>
      <c r="N3219" s="10"/>
      <c r="O3219" s="10"/>
      <c r="P3219" s="10" t="s">
        <v>20078</v>
      </c>
      <c r="Q3219" s="10">
        <v>372.43</v>
      </c>
      <c r="R3219" s="10" t="s">
        <v>20079</v>
      </c>
      <c r="S3219" s="10" t="s">
        <v>53</v>
      </c>
      <c r="T3219" s="10" t="s">
        <v>54</v>
      </c>
    </row>
    <row r="3220" spans="1:20" ht="14.5" x14ac:dyDescent="0.35">
      <c r="A3220" s="10" t="s">
        <v>20080</v>
      </c>
      <c r="B3220" s="10" t="str">
        <f>"9780739184189"</f>
        <v>9780739184189</v>
      </c>
      <c r="C3220" s="10" t="str">
        <f>"9780739169896"</f>
        <v>9780739169896</v>
      </c>
      <c r="D3220" s="10" t="s">
        <v>9752</v>
      </c>
      <c r="E3220" s="10" t="s">
        <v>15182</v>
      </c>
      <c r="F3220" s="10" t="s">
        <v>9754</v>
      </c>
      <c r="G3220" s="10" t="s">
        <v>6317</v>
      </c>
      <c r="H3220" s="11">
        <v>40898</v>
      </c>
      <c r="I3220" s="10">
        <v>2011</v>
      </c>
      <c r="J3220" s="10" t="s">
        <v>15182</v>
      </c>
      <c r="K3220" s="10">
        <v>157</v>
      </c>
      <c r="L3220" s="10" t="s">
        <v>20081</v>
      </c>
      <c r="M3220" s="10">
        <v>1</v>
      </c>
      <c r="N3220" s="10"/>
      <c r="O3220" s="10"/>
      <c r="P3220" s="10" t="s">
        <v>20082</v>
      </c>
      <c r="Q3220" s="10" t="s">
        <v>10077</v>
      </c>
      <c r="R3220" s="10" t="s">
        <v>20083</v>
      </c>
      <c r="S3220" s="10" t="s">
        <v>53</v>
      </c>
      <c r="T3220" s="10" t="s">
        <v>54</v>
      </c>
    </row>
    <row r="3221" spans="1:20" ht="14.5" x14ac:dyDescent="0.35">
      <c r="A3221" s="10" t="s">
        <v>20084</v>
      </c>
      <c r="B3221" s="10" t="str">
        <f>"9781611474930"</f>
        <v>9781611474930</v>
      </c>
      <c r="C3221" s="10" t="str">
        <f>"9781611474947"</f>
        <v>9781611474947</v>
      </c>
      <c r="D3221" s="10" t="s">
        <v>9752</v>
      </c>
      <c r="E3221" s="10" t="s">
        <v>20085</v>
      </c>
      <c r="F3221" s="10" t="s">
        <v>9754</v>
      </c>
      <c r="G3221" s="10" t="s">
        <v>6317</v>
      </c>
      <c r="H3221" s="11">
        <v>40906</v>
      </c>
      <c r="I3221" s="10">
        <v>2011</v>
      </c>
      <c r="J3221" s="10" t="s">
        <v>20085</v>
      </c>
      <c r="K3221" s="10">
        <v>199</v>
      </c>
      <c r="L3221" s="10" t="s">
        <v>20086</v>
      </c>
      <c r="M3221" s="10">
        <v>1</v>
      </c>
      <c r="N3221" s="10"/>
      <c r="O3221" s="10"/>
      <c r="P3221" s="10" t="s">
        <v>20087</v>
      </c>
      <c r="Q3221" s="10" t="s">
        <v>20088</v>
      </c>
      <c r="R3221" s="10" t="s">
        <v>20089</v>
      </c>
      <c r="S3221" s="10" t="s">
        <v>53</v>
      </c>
      <c r="T3221" s="10" t="s">
        <v>1166</v>
      </c>
    </row>
    <row r="3222" spans="1:20" ht="14.5" x14ac:dyDescent="0.35">
      <c r="A3222" s="10" t="s">
        <v>20090</v>
      </c>
      <c r="B3222" s="10" t="str">
        <f>"9780826420558"</f>
        <v>9780826420558</v>
      </c>
      <c r="C3222" s="10" t="str">
        <f>"9781441138422"</f>
        <v>9781441138422</v>
      </c>
      <c r="D3222" s="10" t="s">
        <v>13959</v>
      </c>
      <c r="E3222" s="10" t="s">
        <v>13960</v>
      </c>
      <c r="F3222" s="10" t="s">
        <v>139</v>
      </c>
      <c r="G3222" s="10" t="s">
        <v>6352</v>
      </c>
      <c r="H3222" s="11">
        <v>40941</v>
      </c>
      <c r="I3222" s="10">
        <v>2011</v>
      </c>
      <c r="J3222" s="10" t="s">
        <v>13960</v>
      </c>
      <c r="K3222" s="10">
        <v>151</v>
      </c>
      <c r="L3222" s="10" t="s">
        <v>20091</v>
      </c>
      <c r="M3222" s="10">
        <v>1</v>
      </c>
      <c r="N3222" s="10"/>
      <c r="O3222" s="10"/>
      <c r="P3222" s="10" t="s">
        <v>20092</v>
      </c>
      <c r="Q3222" s="10">
        <v>160.30000000000001</v>
      </c>
      <c r="R3222" s="10" t="s">
        <v>19155</v>
      </c>
      <c r="S3222" s="10" t="s">
        <v>53</v>
      </c>
      <c r="T3222" s="10" t="s">
        <v>6534</v>
      </c>
    </row>
    <row r="3223" spans="1:20" ht="14.5" x14ac:dyDescent="0.35">
      <c r="A3223" s="10" t="s">
        <v>20093</v>
      </c>
      <c r="B3223" s="10" t="str">
        <f>"9780813548050"</f>
        <v>9780813548050</v>
      </c>
      <c r="C3223" s="10" t="str">
        <f>"9780813550374"</f>
        <v>9780813550374</v>
      </c>
      <c r="D3223" s="10" t="s">
        <v>12251</v>
      </c>
      <c r="E3223" s="10" t="s">
        <v>12251</v>
      </c>
      <c r="F3223" s="10" t="s">
        <v>2510</v>
      </c>
      <c r="G3223" s="10" t="s">
        <v>6317</v>
      </c>
      <c r="H3223" s="11">
        <v>40409</v>
      </c>
      <c r="I3223" s="10">
        <v>2010</v>
      </c>
      <c r="J3223" s="10" t="s">
        <v>12251</v>
      </c>
      <c r="K3223" s="10">
        <v>257</v>
      </c>
      <c r="L3223" s="10" t="s">
        <v>20094</v>
      </c>
      <c r="M3223" s="10">
        <v>1</v>
      </c>
      <c r="N3223" s="10"/>
      <c r="O3223" s="10"/>
      <c r="P3223" s="10" t="s">
        <v>20095</v>
      </c>
      <c r="Q3223" s="10" t="s">
        <v>20096</v>
      </c>
      <c r="R3223" s="10" t="s">
        <v>20097</v>
      </c>
      <c r="S3223" s="10" t="s">
        <v>53</v>
      </c>
      <c r="T3223" s="10" t="s">
        <v>54</v>
      </c>
    </row>
    <row r="3224" spans="1:20" ht="14.5" x14ac:dyDescent="0.35">
      <c r="A3224" s="10" t="s">
        <v>20098</v>
      </c>
      <c r="B3224" s="10" t="str">
        <f>"9780230100183"</f>
        <v>9780230100183</v>
      </c>
      <c r="C3224" s="10" t="str">
        <f>"9781137001184"</f>
        <v>9781137001184</v>
      </c>
      <c r="D3224" s="10" t="s">
        <v>11249</v>
      </c>
      <c r="E3224" s="10" t="s">
        <v>2400</v>
      </c>
      <c r="F3224" s="10" t="s">
        <v>70</v>
      </c>
      <c r="G3224" s="10" t="s">
        <v>6317</v>
      </c>
      <c r="H3224" s="11">
        <v>40863</v>
      </c>
      <c r="I3224" s="10">
        <v>2011</v>
      </c>
      <c r="J3224" s="10" t="s">
        <v>2400</v>
      </c>
      <c r="K3224" s="10">
        <v>230</v>
      </c>
      <c r="L3224" s="10" t="s">
        <v>20099</v>
      </c>
      <c r="M3224" s="10">
        <v>1</v>
      </c>
      <c r="N3224" s="10"/>
      <c r="O3224" s="10"/>
      <c r="P3224" s="10" t="s">
        <v>20100</v>
      </c>
      <c r="Q3224" s="10" t="s">
        <v>20101</v>
      </c>
      <c r="R3224" s="10" t="s">
        <v>19099</v>
      </c>
      <c r="S3224" s="10" t="s">
        <v>53</v>
      </c>
      <c r="T3224" s="10" t="s">
        <v>6363</v>
      </c>
    </row>
    <row r="3225" spans="1:20" ht="14.5" x14ac:dyDescent="0.35">
      <c r="A3225" s="10" t="s">
        <v>20102</v>
      </c>
      <c r="B3225" s="10" t="str">
        <f>"9781416614289"</f>
        <v>9781416614289</v>
      </c>
      <c r="C3225" s="10" t="str">
        <f>"9781416614364"</f>
        <v>9781416614364</v>
      </c>
      <c r="D3225" s="10" t="s">
        <v>10014</v>
      </c>
      <c r="E3225" s="10" t="s">
        <v>10015</v>
      </c>
      <c r="F3225" s="10" t="s">
        <v>201</v>
      </c>
      <c r="G3225" s="10" t="s">
        <v>6317</v>
      </c>
      <c r="H3225" s="11">
        <v>40877</v>
      </c>
      <c r="I3225" s="10">
        <v>2011</v>
      </c>
      <c r="J3225" s="10" t="s">
        <v>10015</v>
      </c>
      <c r="K3225" s="10">
        <v>221</v>
      </c>
      <c r="L3225" s="10" t="s">
        <v>20103</v>
      </c>
      <c r="M3225" s="10">
        <v>2</v>
      </c>
      <c r="N3225" s="10"/>
      <c r="O3225" s="10"/>
      <c r="P3225" s="10" t="s">
        <v>20104</v>
      </c>
      <c r="Q3225" s="10" t="s">
        <v>7246</v>
      </c>
      <c r="R3225" s="10" t="s">
        <v>18765</v>
      </c>
      <c r="S3225" s="10" t="s">
        <v>53</v>
      </c>
      <c r="T3225" s="10" t="s">
        <v>54</v>
      </c>
    </row>
    <row r="3226" spans="1:20" ht="14.5" x14ac:dyDescent="0.35">
      <c r="A3226" s="10" t="s">
        <v>20105</v>
      </c>
      <c r="B3226" s="10" t="str">
        <f>"9781416613688"</f>
        <v>9781416613688</v>
      </c>
      <c r="C3226" s="10" t="str">
        <f>"9781416613725"</f>
        <v>9781416613725</v>
      </c>
      <c r="D3226" s="10" t="s">
        <v>10014</v>
      </c>
      <c r="E3226" s="10" t="s">
        <v>10015</v>
      </c>
      <c r="F3226" s="10" t="s">
        <v>201</v>
      </c>
      <c r="G3226" s="10" t="s">
        <v>6317</v>
      </c>
      <c r="H3226" s="11">
        <v>40878</v>
      </c>
      <c r="I3226" s="10">
        <v>2011</v>
      </c>
      <c r="J3226" s="10" t="s">
        <v>10015</v>
      </c>
      <c r="K3226" s="10">
        <v>147</v>
      </c>
      <c r="L3226" s="10" t="s">
        <v>20106</v>
      </c>
      <c r="M3226" s="10">
        <v>1</v>
      </c>
      <c r="N3226" s="10"/>
      <c r="O3226" s="10"/>
      <c r="P3226" s="10" t="s">
        <v>20107</v>
      </c>
      <c r="Q3226" s="10">
        <v>371.2</v>
      </c>
      <c r="R3226" s="10" t="s">
        <v>20108</v>
      </c>
      <c r="S3226" s="10" t="s">
        <v>53</v>
      </c>
      <c r="T3226" s="10" t="s">
        <v>54</v>
      </c>
    </row>
    <row r="3227" spans="1:20" ht="14.5" x14ac:dyDescent="0.35">
      <c r="A3227" s="10" t="s">
        <v>20109</v>
      </c>
      <c r="B3227" s="10" t="str">
        <f>"9781416613404"</f>
        <v>9781416613404</v>
      </c>
      <c r="C3227" s="10" t="str">
        <f>"9781416614340"</f>
        <v>9781416614340</v>
      </c>
      <c r="D3227" s="10" t="s">
        <v>10014</v>
      </c>
      <c r="E3227" s="10" t="s">
        <v>10015</v>
      </c>
      <c r="F3227" s="10" t="s">
        <v>201</v>
      </c>
      <c r="G3227" s="10" t="s">
        <v>6317</v>
      </c>
      <c r="H3227" s="11">
        <v>40878</v>
      </c>
      <c r="I3227" s="10">
        <v>2011</v>
      </c>
      <c r="J3227" s="10" t="s">
        <v>10015</v>
      </c>
      <c r="K3227" s="10">
        <v>206</v>
      </c>
      <c r="L3227" s="10" t="s">
        <v>20110</v>
      </c>
      <c r="M3227" s="10">
        <v>1</v>
      </c>
      <c r="N3227" s="10"/>
      <c r="O3227" s="10"/>
      <c r="P3227" s="10" t="s">
        <v>20111</v>
      </c>
      <c r="Q3227" s="10" t="s">
        <v>9491</v>
      </c>
      <c r="R3227" s="10" t="s">
        <v>20112</v>
      </c>
      <c r="S3227" s="10" t="s">
        <v>53</v>
      </c>
      <c r="T3227" s="10" t="s">
        <v>54</v>
      </c>
    </row>
    <row r="3228" spans="1:20" ht="14.5" x14ac:dyDescent="0.35">
      <c r="A3228" s="10" t="s">
        <v>20113</v>
      </c>
      <c r="B3228" s="10" t="str">
        <f>"9780470474440"</f>
        <v>9780470474440</v>
      </c>
      <c r="C3228" s="10" t="str">
        <f>"9781118220276"</f>
        <v>9781118220276</v>
      </c>
      <c r="D3228" s="10" t="s">
        <v>6322</v>
      </c>
      <c r="E3228" s="10" t="s">
        <v>6323</v>
      </c>
      <c r="F3228" s="10" t="s">
        <v>4423</v>
      </c>
      <c r="G3228" s="10" t="s">
        <v>6317</v>
      </c>
      <c r="H3228" s="11">
        <v>41100</v>
      </c>
      <c r="I3228" s="10">
        <v>2012</v>
      </c>
      <c r="J3228" s="10" t="s">
        <v>6324</v>
      </c>
      <c r="K3228" s="10">
        <v>178</v>
      </c>
      <c r="L3228" s="10" t="s">
        <v>20114</v>
      </c>
      <c r="M3228" s="10">
        <v>1</v>
      </c>
      <c r="N3228" s="10"/>
      <c r="O3228" s="10"/>
      <c r="P3228" s="10" t="s">
        <v>20115</v>
      </c>
      <c r="Q3228" s="10" t="s">
        <v>20116</v>
      </c>
      <c r="R3228" s="10" t="s">
        <v>20117</v>
      </c>
      <c r="S3228" s="10" t="s">
        <v>53</v>
      </c>
      <c r="T3228" s="10" t="s">
        <v>54</v>
      </c>
    </row>
    <row r="3229" spans="1:20" ht="14.5" x14ac:dyDescent="0.35">
      <c r="A3229" s="10" t="s">
        <v>20118</v>
      </c>
      <c r="B3229" s="10" t="str">
        <f>"9780470609538"</f>
        <v>9780470609538</v>
      </c>
      <c r="C3229" s="10" t="str">
        <f>"9781118220740"</f>
        <v>9781118220740</v>
      </c>
      <c r="D3229" s="10" t="s">
        <v>6322</v>
      </c>
      <c r="E3229" s="10" t="s">
        <v>6323</v>
      </c>
      <c r="F3229" s="10" t="s">
        <v>6339</v>
      </c>
      <c r="G3229" s="10" t="s">
        <v>6317</v>
      </c>
      <c r="H3229" s="11">
        <v>41135</v>
      </c>
      <c r="I3229" s="10">
        <v>2012</v>
      </c>
      <c r="J3229" s="10" t="s">
        <v>6324</v>
      </c>
      <c r="K3229" s="10">
        <v>763</v>
      </c>
      <c r="L3229" s="10" t="s">
        <v>20119</v>
      </c>
      <c r="M3229" s="10">
        <v>1</v>
      </c>
      <c r="N3229" s="10"/>
      <c r="O3229" s="10"/>
      <c r="P3229" s="10" t="s">
        <v>20120</v>
      </c>
      <c r="Q3229" s="10">
        <v>378.00700000000001</v>
      </c>
      <c r="R3229" s="10" t="s">
        <v>20121</v>
      </c>
      <c r="S3229" s="10" t="s">
        <v>53</v>
      </c>
      <c r="T3229" s="10" t="s">
        <v>54</v>
      </c>
    </row>
    <row r="3230" spans="1:20" ht="14.5" x14ac:dyDescent="0.35">
      <c r="A3230" s="10" t="s">
        <v>20122</v>
      </c>
      <c r="B3230" s="10" t="str">
        <f>"9781118167281"</f>
        <v>9781118167281</v>
      </c>
      <c r="C3230" s="10" t="str">
        <f>"9781118226322"</f>
        <v>9781118226322</v>
      </c>
      <c r="D3230" s="10" t="s">
        <v>6322</v>
      </c>
      <c r="E3230" s="10" t="s">
        <v>6323</v>
      </c>
      <c r="F3230" s="10" t="s">
        <v>4423</v>
      </c>
      <c r="G3230" s="10" t="s">
        <v>6317</v>
      </c>
      <c r="H3230" s="11">
        <v>41093</v>
      </c>
      <c r="I3230" s="10">
        <v>2012</v>
      </c>
      <c r="J3230" s="10" t="s">
        <v>6324</v>
      </c>
      <c r="K3230" s="10">
        <v>179</v>
      </c>
      <c r="L3230" s="10" t="s">
        <v>20123</v>
      </c>
      <c r="M3230" s="10">
        <v>1</v>
      </c>
      <c r="N3230" s="10"/>
      <c r="O3230" s="10"/>
      <c r="P3230" s="10" t="s">
        <v>20124</v>
      </c>
      <c r="Q3230" s="10" t="s">
        <v>20125</v>
      </c>
      <c r="R3230" s="10" t="s">
        <v>20126</v>
      </c>
      <c r="S3230" s="10" t="s">
        <v>53</v>
      </c>
      <c r="T3230" s="10" t="s">
        <v>54</v>
      </c>
    </row>
    <row r="3231" spans="1:20" ht="14.5" x14ac:dyDescent="0.35">
      <c r="A3231" s="10" t="s">
        <v>20127</v>
      </c>
      <c r="B3231" s="10" t="str">
        <f>"9780817356149"</f>
        <v>9780817356149</v>
      </c>
      <c r="C3231" s="10" t="str">
        <f>"9780817383534"</f>
        <v>9780817383534</v>
      </c>
      <c r="D3231" s="10" t="s">
        <v>3407</v>
      </c>
      <c r="E3231" s="10" t="s">
        <v>3407</v>
      </c>
      <c r="F3231" s="10" t="s">
        <v>3408</v>
      </c>
      <c r="G3231" s="10" t="s">
        <v>6317</v>
      </c>
      <c r="H3231" s="11">
        <v>40465</v>
      </c>
      <c r="I3231" s="10">
        <v>2010</v>
      </c>
      <c r="J3231" s="10" t="s">
        <v>3407</v>
      </c>
      <c r="K3231" s="10">
        <v>256</v>
      </c>
      <c r="L3231" s="10" t="s">
        <v>20128</v>
      </c>
      <c r="M3231" s="10">
        <v>1</v>
      </c>
      <c r="N3231" s="10" t="s">
        <v>20129</v>
      </c>
      <c r="O3231" s="10"/>
      <c r="P3231" s="10" t="s">
        <v>20130</v>
      </c>
      <c r="Q3231" s="10" t="s">
        <v>20131</v>
      </c>
      <c r="R3231" s="10" t="s">
        <v>20132</v>
      </c>
      <c r="S3231" s="10" t="s">
        <v>53</v>
      </c>
      <c r="T3231" s="10" t="s">
        <v>8717</v>
      </c>
    </row>
    <row r="3232" spans="1:20" ht="14.5" x14ac:dyDescent="0.35">
      <c r="A3232" s="10" t="s">
        <v>20133</v>
      </c>
      <c r="B3232" s="10" t="str">
        <f>"9780817317096"</f>
        <v>9780817317096</v>
      </c>
      <c r="C3232" s="10" t="str">
        <f>"9780817383596"</f>
        <v>9780817383596</v>
      </c>
      <c r="D3232" s="10" t="s">
        <v>3407</v>
      </c>
      <c r="E3232" s="10" t="s">
        <v>3407</v>
      </c>
      <c r="F3232" s="10" t="s">
        <v>3408</v>
      </c>
      <c r="G3232" s="10" t="s">
        <v>6317</v>
      </c>
      <c r="H3232" s="11">
        <v>40457</v>
      </c>
      <c r="I3232" s="10">
        <v>2010</v>
      </c>
      <c r="J3232" s="10" t="s">
        <v>3407</v>
      </c>
      <c r="K3232" s="10">
        <v>230</v>
      </c>
      <c r="L3232" s="10" t="s">
        <v>20134</v>
      </c>
      <c r="M3232" s="10">
        <v>1</v>
      </c>
      <c r="N3232" s="10"/>
      <c r="O3232" s="10"/>
      <c r="P3232" s="10" t="s">
        <v>20135</v>
      </c>
      <c r="Q3232" s="10">
        <v>370.97609999999997</v>
      </c>
      <c r="R3232" s="10" t="s">
        <v>20136</v>
      </c>
      <c r="S3232" s="10" t="s">
        <v>53</v>
      </c>
      <c r="T3232" s="10" t="s">
        <v>54</v>
      </c>
    </row>
    <row r="3233" spans="1:20" ht="14.5" x14ac:dyDescent="0.35">
      <c r="A3233" s="10" t="s">
        <v>20137</v>
      </c>
      <c r="B3233" s="10" t="str">
        <f>"9781441103079"</f>
        <v>9781441103079</v>
      </c>
      <c r="C3233" s="10" t="str">
        <f>"9781441171436"</f>
        <v>9781441171436</v>
      </c>
      <c r="D3233" s="10" t="s">
        <v>13959</v>
      </c>
      <c r="E3233" s="10" t="s">
        <v>13960</v>
      </c>
      <c r="F3233" s="10" t="s">
        <v>139</v>
      </c>
      <c r="G3233" s="10" t="s">
        <v>6352</v>
      </c>
      <c r="H3233" s="11">
        <v>40829</v>
      </c>
      <c r="I3233" s="10">
        <v>2011</v>
      </c>
      <c r="J3233" s="10" t="s">
        <v>13961</v>
      </c>
      <c r="K3233" s="10">
        <v>184</v>
      </c>
      <c r="L3233" s="10" t="s">
        <v>20138</v>
      </c>
      <c r="M3233" s="10">
        <v>1</v>
      </c>
      <c r="N3233" s="10"/>
      <c r="O3233" s="10"/>
      <c r="P3233" s="10" t="s">
        <v>20139</v>
      </c>
      <c r="Q3233" s="10" t="s">
        <v>18922</v>
      </c>
      <c r="R3233" s="10" t="s">
        <v>20140</v>
      </c>
      <c r="S3233" s="10" t="s">
        <v>53</v>
      </c>
      <c r="T3233" s="10" t="s">
        <v>54</v>
      </c>
    </row>
    <row r="3234" spans="1:20" ht="14.5" x14ac:dyDescent="0.35">
      <c r="A3234" s="10" t="s">
        <v>20141</v>
      </c>
      <c r="B3234" s="10" t="str">
        <f>"9781441155818"</f>
        <v>9781441155818</v>
      </c>
      <c r="C3234" s="10" t="str">
        <f>"9781441186300"</f>
        <v>9781441186300</v>
      </c>
      <c r="D3234" s="10" t="s">
        <v>13959</v>
      </c>
      <c r="E3234" s="10" t="s">
        <v>13960</v>
      </c>
      <c r="F3234" s="10" t="s">
        <v>139</v>
      </c>
      <c r="G3234" s="10" t="s">
        <v>6352</v>
      </c>
      <c r="H3234" s="11">
        <v>40871</v>
      </c>
      <c r="I3234" s="10">
        <v>2011</v>
      </c>
      <c r="J3234" s="10" t="s">
        <v>13961</v>
      </c>
      <c r="K3234" s="10">
        <v>153</v>
      </c>
      <c r="L3234" s="10" t="s">
        <v>17062</v>
      </c>
      <c r="M3234" s="10">
        <v>1</v>
      </c>
      <c r="N3234" s="10"/>
      <c r="O3234" s="10"/>
      <c r="P3234" s="10" t="s">
        <v>20142</v>
      </c>
      <c r="Q3234" s="10">
        <v>792.07100000000003</v>
      </c>
      <c r="R3234" s="10" t="s">
        <v>20143</v>
      </c>
      <c r="S3234" s="10" t="s">
        <v>53</v>
      </c>
      <c r="T3234" s="10" t="s">
        <v>6384</v>
      </c>
    </row>
    <row r="3235" spans="1:20" ht="14.5" x14ac:dyDescent="0.35">
      <c r="A3235" s="10" t="s">
        <v>20144</v>
      </c>
      <c r="B3235" s="10" t="str">
        <f>"9781607509837"</f>
        <v>9781607509837</v>
      </c>
      <c r="C3235" s="10" t="str">
        <f>"9781607509844"</f>
        <v>9781607509844</v>
      </c>
      <c r="D3235" s="10" t="s">
        <v>9659</v>
      </c>
      <c r="E3235" s="10" t="s">
        <v>9660</v>
      </c>
      <c r="F3235" s="10" t="s">
        <v>1818</v>
      </c>
      <c r="G3235" s="10" t="s">
        <v>9233</v>
      </c>
      <c r="H3235" s="11">
        <v>40923</v>
      </c>
      <c r="I3235" s="10">
        <v>2011</v>
      </c>
      <c r="J3235" s="10" t="s">
        <v>9660</v>
      </c>
      <c r="K3235" s="10">
        <v>192</v>
      </c>
      <c r="L3235" s="10" t="s">
        <v>20145</v>
      </c>
      <c r="M3235" s="10">
        <v>1</v>
      </c>
      <c r="N3235" s="10"/>
      <c r="O3235" s="10"/>
      <c r="P3235" s="10" t="s">
        <v>20146</v>
      </c>
      <c r="Q3235" s="10"/>
      <c r="R3235" s="10"/>
      <c r="S3235" s="10" t="s">
        <v>53</v>
      </c>
      <c r="T3235" s="10" t="s">
        <v>54</v>
      </c>
    </row>
    <row r="3236" spans="1:20" ht="14.5" x14ac:dyDescent="0.35">
      <c r="A3236" s="10" t="s">
        <v>20147</v>
      </c>
      <c r="B3236" s="10" t="str">
        <f>"9781118132944"</f>
        <v>9781118132944</v>
      </c>
      <c r="C3236" s="10" t="str">
        <f>"9781118225110"</f>
        <v>9781118225110</v>
      </c>
      <c r="D3236" s="10" t="s">
        <v>6322</v>
      </c>
      <c r="E3236" s="10" t="s">
        <v>6323</v>
      </c>
      <c r="F3236" s="10" t="s">
        <v>4423</v>
      </c>
      <c r="G3236" s="10" t="s">
        <v>6317</v>
      </c>
      <c r="H3236" s="11">
        <v>41135</v>
      </c>
      <c r="I3236" s="10">
        <v>2012</v>
      </c>
      <c r="J3236" s="10" t="s">
        <v>6324</v>
      </c>
      <c r="K3236" s="10">
        <v>194</v>
      </c>
      <c r="L3236" s="10" t="s">
        <v>20148</v>
      </c>
      <c r="M3236" s="10">
        <v>1</v>
      </c>
      <c r="N3236" s="10"/>
      <c r="O3236" s="10"/>
      <c r="P3236" s="10" t="s">
        <v>20149</v>
      </c>
      <c r="Q3236" s="10">
        <v>371.2</v>
      </c>
      <c r="R3236" s="10" t="s">
        <v>20150</v>
      </c>
      <c r="S3236" s="10" t="s">
        <v>53</v>
      </c>
      <c r="T3236" s="10" t="s">
        <v>54</v>
      </c>
    </row>
    <row r="3237" spans="1:20" ht="14.5" x14ac:dyDescent="0.35">
      <c r="A3237" s="10" t="s">
        <v>20151</v>
      </c>
      <c r="B3237" s="10" t="str">
        <f>"9781462502936"</f>
        <v>9781462502936</v>
      </c>
      <c r="C3237" s="10" t="str">
        <f>"9781462502943"</f>
        <v>9781462502943</v>
      </c>
      <c r="D3237" s="10" t="s">
        <v>11213</v>
      </c>
      <c r="E3237" s="10" t="s">
        <v>11214</v>
      </c>
      <c r="F3237" s="10" t="s">
        <v>70</v>
      </c>
      <c r="G3237" s="10" t="s">
        <v>6317</v>
      </c>
      <c r="H3237" s="11">
        <v>40851</v>
      </c>
      <c r="I3237" s="10">
        <v>2012</v>
      </c>
      <c r="J3237" s="10" t="s">
        <v>11215</v>
      </c>
      <c r="K3237" s="10">
        <v>353</v>
      </c>
      <c r="L3237" s="10" t="s">
        <v>20152</v>
      </c>
      <c r="M3237" s="10">
        <v>1</v>
      </c>
      <c r="N3237" s="10"/>
      <c r="O3237" s="10"/>
      <c r="P3237" s="10" t="s">
        <v>20153</v>
      </c>
      <c r="Q3237" s="10">
        <v>428.40710000000001</v>
      </c>
      <c r="R3237" s="10" t="s">
        <v>20154</v>
      </c>
      <c r="S3237" s="10" t="s">
        <v>53</v>
      </c>
      <c r="T3237" s="10" t="s">
        <v>6634</v>
      </c>
    </row>
    <row r="3238" spans="1:20" ht="14.5" x14ac:dyDescent="0.35">
      <c r="A3238" s="10" t="s">
        <v>20155</v>
      </c>
      <c r="B3238" s="10" t="str">
        <f>"9780877458258"</f>
        <v>9780877458258</v>
      </c>
      <c r="C3238" s="10" t="str">
        <f>"9781587294228"</f>
        <v>9781587294228</v>
      </c>
      <c r="D3238" s="10" t="s">
        <v>20156</v>
      </c>
      <c r="E3238" s="10" t="s">
        <v>20157</v>
      </c>
      <c r="F3238" s="10" t="s">
        <v>324</v>
      </c>
      <c r="G3238" s="10" t="s">
        <v>6317</v>
      </c>
      <c r="H3238" s="11">
        <v>37622</v>
      </c>
      <c r="I3238" s="10">
        <v>2003</v>
      </c>
      <c r="J3238" s="10" t="s">
        <v>20157</v>
      </c>
      <c r="K3238" s="10">
        <v>161</v>
      </c>
      <c r="L3238" s="10" t="s">
        <v>20158</v>
      </c>
      <c r="M3238" s="10">
        <v>1</v>
      </c>
      <c r="N3238" s="10"/>
      <c r="O3238" s="10"/>
      <c r="P3238" s="10" t="s">
        <v>20159</v>
      </c>
      <c r="Q3238" s="10" t="s">
        <v>20160</v>
      </c>
      <c r="R3238" s="10" t="s">
        <v>20161</v>
      </c>
      <c r="S3238" s="10" t="s">
        <v>53</v>
      </c>
      <c r="T3238" s="10" t="s">
        <v>54</v>
      </c>
    </row>
    <row r="3239" spans="1:20" ht="14.5" x14ac:dyDescent="0.35">
      <c r="A3239" s="10" t="s">
        <v>20162</v>
      </c>
      <c r="B3239" s="10" t="str">
        <f>"9780877456933"</f>
        <v>9780877456933</v>
      </c>
      <c r="C3239" s="10" t="str">
        <f>"9781587293078"</f>
        <v>9781587293078</v>
      </c>
      <c r="D3239" s="10" t="s">
        <v>20156</v>
      </c>
      <c r="E3239" s="10" t="s">
        <v>20157</v>
      </c>
      <c r="F3239" s="10" t="s">
        <v>324</v>
      </c>
      <c r="G3239" s="10" t="s">
        <v>6317</v>
      </c>
      <c r="H3239" s="11">
        <v>36434</v>
      </c>
      <c r="I3239" s="10">
        <v>2002</v>
      </c>
      <c r="J3239" s="10" t="s">
        <v>20157</v>
      </c>
      <c r="K3239" s="10">
        <v>319</v>
      </c>
      <c r="L3239" s="10" t="s">
        <v>20163</v>
      </c>
      <c r="M3239" s="10">
        <v>1</v>
      </c>
      <c r="N3239" s="10"/>
      <c r="O3239" s="10"/>
      <c r="P3239" s="10" t="s">
        <v>20164</v>
      </c>
      <c r="Q3239" s="10" t="s">
        <v>14888</v>
      </c>
      <c r="R3239" s="10" t="s">
        <v>20165</v>
      </c>
      <c r="S3239" s="10" t="s">
        <v>53</v>
      </c>
      <c r="T3239" s="10" t="s">
        <v>54</v>
      </c>
    </row>
    <row r="3240" spans="1:20" ht="14.5" x14ac:dyDescent="0.35">
      <c r="A3240" s="10" t="s">
        <v>20166</v>
      </c>
      <c r="B3240" s="10" t="str">
        <f>"9780520256781"</f>
        <v>9780520256781</v>
      </c>
      <c r="C3240" s="10" t="str">
        <f>"9780520942486"</f>
        <v>9780520942486</v>
      </c>
      <c r="D3240" s="10" t="s">
        <v>8512</v>
      </c>
      <c r="E3240" s="10" t="s">
        <v>8512</v>
      </c>
      <c r="F3240" s="10" t="s">
        <v>717</v>
      </c>
      <c r="G3240" s="10" t="s">
        <v>6317</v>
      </c>
      <c r="H3240" s="11">
        <v>39833</v>
      </c>
      <c r="I3240" s="10">
        <v>2008</v>
      </c>
      <c r="J3240" s="10" t="s">
        <v>8512</v>
      </c>
      <c r="K3240" s="10">
        <v>369</v>
      </c>
      <c r="L3240" s="10" t="s">
        <v>20167</v>
      </c>
      <c r="M3240" s="10">
        <v>1</v>
      </c>
      <c r="N3240" s="10"/>
      <c r="O3240" s="10"/>
      <c r="P3240" s="10" t="s">
        <v>20168</v>
      </c>
      <c r="Q3240" s="10" t="s">
        <v>20169</v>
      </c>
      <c r="R3240" s="10"/>
      <c r="S3240" s="10" t="s">
        <v>53</v>
      </c>
      <c r="T3240" s="10" t="s">
        <v>54</v>
      </c>
    </row>
    <row r="3241" spans="1:20" ht="14.5" x14ac:dyDescent="0.35">
      <c r="A3241" s="10" t="s">
        <v>20170</v>
      </c>
      <c r="B3241" s="10" t="str">
        <f>"9780520267978"</f>
        <v>9780520267978</v>
      </c>
      <c r="C3241" s="10" t="str">
        <f>"9780520942080"</f>
        <v>9780520942080</v>
      </c>
      <c r="D3241" s="10" t="s">
        <v>8512</v>
      </c>
      <c r="E3241" s="10" t="s">
        <v>8512</v>
      </c>
      <c r="F3241" s="10" t="s">
        <v>717</v>
      </c>
      <c r="G3241" s="10" t="s">
        <v>6317</v>
      </c>
      <c r="H3241" s="11">
        <v>39816</v>
      </c>
      <c r="I3241" s="10">
        <v>2009</v>
      </c>
      <c r="J3241" s="10" t="s">
        <v>8512</v>
      </c>
      <c r="K3241" s="10">
        <v>490</v>
      </c>
      <c r="L3241" s="10" t="s">
        <v>20171</v>
      </c>
      <c r="M3241" s="10">
        <v>1</v>
      </c>
      <c r="N3241" s="10"/>
      <c r="O3241" s="10"/>
      <c r="P3241" s="10" t="s">
        <v>20172</v>
      </c>
      <c r="Q3241" s="10" t="s">
        <v>20173</v>
      </c>
      <c r="R3241" s="10" t="s">
        <v>20174</v>
      </c>
      <c r="S3241" s="10" t="s">
        <v>53</v>
      </c>
      <c r="T3241" s="10" t="s">
        <v>54</v>
      </c>
    </row>
    <row r="3242" spans="1:20" ht="14.5" x14ac:dyDescent="0.35">
      <c r="A3242" s="10" t="s">
        <v>20175</v>
      </c>
      <c r="B3242" s="10" t="str">
        <f>"9780520260962"</f>
        <v>9780520260962</v>
      </c>
      <c r="C3242" s="10" t="str">
        <f>"9780520946002"</f>
        <v>9780520946002</v>
      </c>
      <c r="D3242" s="10" t="s">
        <v>8512</v>
      </c>
      <c r="E3242" s="10" t="s">
        <v>8512</v>
      </c>
      <c r="F3242" s="10" t="s">
        <v>717</v>
      </c>
      <c r="G3242" s="10" t="s">
        <v>6317</v>
      </c>
      <c r="H3242" s="11">
        <v>40241</v>
      </c>
      <c r="I3242" s="10">
        <v>2010</v>
      </c>
      <c r="J3242" s="10" t="s">
        <v>8512</v>
      </c>
      <c r="K3242" s="10">
        <v>302</v>
      </c>
      <c r="L3242" s="10" t="s">
        <v>20176</v>
      </c>
      <c r="M3242" s="10">
        <v>1</v>
      </c>
      <c r="N3242" s="10"/>
      <c r="O3242" s="10"/>
      <c r="P3242" s="10" t="s">
        <v>20177</v>
      </c>
      <c r="Q3242" s="10" t="s">
        <v>9054</v>
      </c>
      <c r="R3242" s="10" t="s">
        <v>20178</v>
      </c>
      <c r="S3242" s="10" t="s">
        <v>53</v>
      </c>
      <c r="T3242" s="10" t="s">
        <v>54</v>
      </c>
    </row>
    <row r="3243" spans="1:20" ht="14.5" x14ac:dyDescent="0.35">
      <c r="A3243" s="10" t="s">
        <v>20179</v>
      </c>
      <c r="B3243" s="10" t="str">
        <f>"9780470608319"</f>
        <v>9780470608319</v>
      </c>
      <c r="C3243" s="10" t="str">
        <f>"9781118220719"</f>
        <v>9781118220719</v>
      </c>
      <c r="D3243" s="10" t="s">
        <v>6322</v>
      </c>
      <c r="E3243" s="10" t="s">
        <v>6323</v>
      </c>
      <c r="F3243" s="10" t="s">
        <v>4423</v>
      </c>
      <c r="G3243" s="10" t="s">
        <v>6317</v>
      </c>
      <c r="H3243" s="11">
        <v>41093</v>
      </c>
      <c r="I3243" s="10">
        <v>2012</v>
      </c>
      <c r="J3243" s="10" t="s">
        <v>6324</v>
      </c>
      <c r="K3243" s="10">
        <v>386</v>
      </c>
      <c r="L3243" s="10" t="s">
        <v>20180</v>
      </c>
      <c r="M3243" s="10">
        <v>2</v>
      </c>
      <c r="N3243" s="10"/>
      <c r="O3243" s="10"/>
      <c r="P3243" s="10"/>
      <c r="Q3243" s="10" t="s">
        <v>17158</v>
      </c>
      <c r="R3243" s="10" t="s">
        <v>20181</v>
      </c>
      <c r="S3243" s="10" t="s">
        <v>53</v>
      </c>
      <c r="T3243" s="10" t="s">
        <v>6616</v>
      </c>
    </row>
    <row r="3244" spans="1:20" ht="14.5" x14ac:dyDescent="0.35">
      <c r="A3244" s="10" t="s">
        <v>20182</v>
      </c>
      <c r="B3244" s="10" t="str">
        <f>"9781118321850"</f>
        <v>9781118321850</v>
      </c>
      <c r="C3244" s="10" t="str">
        <f>"9781118329535"</f>
        <v>9781118329535</v>
      </c>
      <c r="D3244" s="10" t="s">
        <v>6322</v>
      </c>
      <c r="E3244" s="10" t="s">
        <v>6323</v>
      </c>
      <c r="F3244" s="10" t="s">
        <v>4423</v>
      </c>
      <c r="G3244" s="10" t="s">
        <v>6317</v>
      </c>
      <c r="H3244" s="11">
        <v>41058</v>
      </c>
      <c r="I3244" s="10">
        <v>2012</v>
      </c>
      <c r="J3244" s="10" t="s">
        <v>6324</v>
      </c>
      <c r="K3244" s="10">
        <v>194</v>
      </c>
      <c r="L3244" s="10" t="s">
        <v>20183</v>
      </c>
      <c r="M3244" s="10">
        <v>1</v>
      </c>
      <c r="N3244" s="10"/>
      <c r="O3244" s="10"/>
      <c r="P3244" s="10" t="s">
        <v>20184</v>
      </c>
      <c r="Q3244" s="10" t="s">
        <v>15505</v>
      </c>
      <c r="R3244" s="10" t="s">
        <v>20185</v>
      </c>
      <c r="S3244" s="10" t="s">
        <v>53</v>
      </c>
      <c r="T3244" s="10" t="s">
        <v>54</v>
      </c>
    </row>
    <row r="3245" spans="1:20" ht="14.5" x14ac:dyDescent="0.35">
      <c r="A3245" s="10" t="s">
        <v>20186</v>
      </c>
      <c r="B3245" s="10" t="str">
        <f>"9781593322755"</f>
        <v>9781593322755</v>
      </c>
      <c r="C3245" s="10" t="str">
        <f>"9781593325657"</f>
        <v>9781593325657</v>
      </c>
      <c r="D3245" s="10" t="s">
        <v>20187</v>
      </c>
      <c r="E3245" s="10" t="s">
        <v>20188</v>
      </c>
      <c r="F3245" s="10" t="s">
        <v>20189</v>
      </c>
      <c r="G3245" s="10" t="s">
        <v>6317</v>
      </c>
      <c r="H3245" s="11">
        <v>39814</v>
      </c>
      <c r="I3245" s="10">
        <v>2009</v>
      </c>
      <c r="J3245" s="10" t="s">
        <v>20188</v>
      </c>
      <c r="K3245" s="10">
        <v>213</v>
      </c>
      <c r="L3245" s="10" t="s">
        <v>20190</v>
      </c>
      <c r="M3245" s="10">
        <v>1</v>
      </c>
      <c r="N3245" s="10" t="s">
        <v>20191</v>
      </c>
      <c r="O3245" s="10"/>
      <c r="P3245" s="10" t="s">
        <v>20192</v>
      </c>
      <c r="Q3245" s="10" t="s">
        <v>8115</v>
      </c>
      <c r="R3245" s="10" t="s">
        <v>20193</v>
      </c>
      <c r="S3245" s="10" t="s">
        <v>53</v>
      </c>
      <c r="T3245" s="10" t="s">
        <v>6526</v>
      </c>
    </row>
    <row r="3246" spans="1:20" ht="14.5" x14ac:dyDescent="0.35">
      <c r="A3246" s="10" t="s">
        <v>20194</v>
      </c>
      <c r="B3246" s="10" t="str">
        <f>"9781847693648"</f>
        <v>9781847693648</v>
      </c>
      <c r="C3246" s="10" t="str">
        <f>"9781847693655"</f>
        <v>9781847693655</v>
      </c>
      <c r="D3246" s="10" t="s">
        <v>8394</v>
      </c>
      <c r="E3246" s="10" t="s">
        <v>8395</v>
      </c>
      <c r="F3246" s="10" t="s">
        <v>10236</v>
      </c>
      <c r="G3246" s="10" t="s">
        <v>6352</v>
      </c>
      <c r="H3246" s="11">
        <v>40681</v>
      </c>
      <c r="I3246" s="10">
        <v>2011</v>
      </c>
      <c r="J3246" s="10" t="s">
        <v>8395</v>
      </c>
      <c r="K3246" s="10">
        <v>194</v>
      </c>
      <c r="L3246" s="10" t="s">
        <v>20195</v>
      </c>
      <c r="M3246" s="10">
        <v>1</v>
      </c>
      <c r="N3246" s="10" t="s">
        <v>8403</v>
      </c>
      <c r="O3246" s="10">
        <v>81</v>
      </c>
      <c r="P3246" s="10" t="s">
        <v>20196</v>
      </c>
      <c r="Q3246" s="10" t="s">
        <v>20197</v>
      </c>
      <c r="R3246" s="10" t="s">
        <v>20198</v>
      </c>
      <c r="S3246" s="10" t="s">
        <v>53</v>
      </c>
      <c r="T3246" s="10" t="s">
        <v>54</v>
      </c>
    </row>
    <row r="3247" spans="1:20" ht="14.5" x14ac:dyDescent="0.35">
      <c r="A3247" s="10" t="s">
        <v>20199</v>
      </c>
      <c r="B3247" s="10" t="str">
        <f>"9781847693471"</f>
        <v>9781847693471</v>
      </c>
      <c r="C3247" s="10" t="str">
        <f>"9781847693488"</f>
        <v>9781847693488</v>
      </c>
      <c r="D3247" s="10" t="s">
        <v>8394</v>
      </c>
      <c r="E3247" s="10" t="s">
        <v>8395</v>
      </c>
      <c r="F3247" s="10" t="s">
        <v>10236</v>
      </c>
      <c r="G3247" s="10" t="s">
        <v>6352</v>
      </c>
      <c r="H3247" s="11">
        <v>40700</v>
      </c>
      <c r="I3247" s="10">
        <v>2011</v>
      </c>
      <c r="J3247" s="10" t="s">
        <v>8395</v>
      </c>
      <c r="K3247" s="10">
        <v>249</v>
      </c>
      <c r="L3247" s="10" t="s">
        <v>20200</v>
      </c>
      <c r="M3247" s="10">
        <v>1</v>
      </c>
      <c r="N3247" s="10" t="s">
        <v>8408</v>
      </c>
      <c r="O3247" s="10">
        <v>13</v>
      </c>
      <c r="P3247" s="10" t="s">
        <v>20201</v>
      </c>
      <c r="Q3247" s="10">
        <v>372.6</v>
      </c>
      <c r="R3247" s="10" t="s">
        <v>20202</v>
      </c>
      <c r="S3247" s="10" t="s">
        <v>53</v>
      </c>
      <c r="T3247" s="10" t="s">
        <v>54</v>
      </c>
    </row>
    <row r="3248" spans="1:20" ht="14.5" x14ac:dyDescent="0.35">
      <c r="A3248" s="10" t="s">
        <v>20203</v>
      </c>
      <c r="B3248" s="10" t="str">
        <f>"9781847693679"</f>
        <v>9781847693679</v>
      </c>
      <c r="C3248" s="10" t="str">
        <f>"9781847693686"</f>
        <v>9781847693686</v>
      </c>
      <c r="D3248" s="10" t="s">
        <v>8394</v>
      </c>
      <c r="E3248" s="10" t="s">
        <v>8395</v>
      </c>
      <c r="F3248" s="10" t="s">
        <v>10236</v>
      </c>
      <c r="G3248" s="10" t="s">
        <v>6352</v>
      </c>
      <c r="H3248" s="11">
        <v>40702</v>
      </c>
      <c r="I3248" s="10">
        <v>2011</v>
      </c>
      <c r="J3248" s="10" t="s">
        <v>8395</v>
      </c>
      <c r="K3248" s="10">
        <v>230</v>
      </c>
      <c r="L3248" s="10" t="s">
        <v>20204</v>
      </c>
      <c r="M3248" s="10">
        <v>1</v>
      </c>
      <c r="N3248" s="10" t="s">
        <v>8403</v>
      </c>
      <c r="O3248" s="10">
        <v>82</v>
      </c>
      <c r="P3248" s="10" t="s">
        <v>20205</v>
      </c>
      <c r="Q3248" s="10">
        <v>370.11700000000002</v>
      </c>
      <c r="R3248" s="10" t="s">
        <v>6809</v>
      </c>
      <c r="S3248" s="10" t="s">
        <v>53</v>
      </c>
      <c r="T3248" s="10" t="s">
        <v>54</v>
      </c>
    </row>
    <row r="3249" spans="1:20" ht="14.5" x14ac:dyDescent="0.35">
      <c r="A3249" s="10" t="s">
        <v>20206</v>
      </c>
      <c r="B3249" s="10" t="str">
        <f>"9781847694034"</f>
        <v>9781847694034</v>
      </c>
      <c r="C3249" s="10" t="str">
        <f>"9781847694041"</f>
        <v>9781847694041</v>
      </c>
      <c r="D3249" s="10" t="s">
        <v>8394</v>
      </c>
      <c r="E3249" s="10" t="s">
        <v>8395</v>
      </c>
      <c r="F3249" s="10" t="s">
        <v>10236</v>
      </c>
      <c r="G3249" s="10" t="s">
        <v>6352</v>
      </c>
      <c r="H3249" s="11">
        <v>40729</v>
      </c>
      <c r="I3249" s="10">
        <v>2011</v>
      </c>
      <c r="J3249" s="10" t="s">
        <v>8395</v>
      </c>
      <c r="K3249" s="10">
        <v>303</v>
      </c>
      <c r="L3249" s="10" t="s">
        <v>20207</v>
      </c>
      <c r="M3249" s="10">
        <v>1</v>
      </c>
      <c r="N3249" s="10" t="s">
        <v>8403</v>
      </c>
      <c r="O3249" s="10">
        <v>83</v>
      </c>
      <c r="P3249" s="10" t="s">
        <v>20208</v>
      </c>
      <c r="Q3249" s="10">
        <v>418.00709999999998</v>
      </c>
      <c r="R3249" s="10" t="s">
        <v>20209</v>
      </c>
      <c r="S3249" s="10" t="s">
        <v>53</v>
      </c>
      <c r="T3249" s="10" t="s">
        <v>6616</v>
      </c>
    </row>
    <row r="3250" spans="1:20" ht="14.5" x14ac:dyDescent="0.35">
      <c r="A3250" s="10" t="s">
        <v>20210</v>
      </c>
      <c r="B3250" s="10" t="str">
        <f>"9781847694171"</f>
        <v>9781847694171</v>
      </c>
      <c r="C3250" s="10" t="str">
        <f>"9781847694188"</f>
        <v>9781847694188</v>
      </c>
      <c r="D3250" s="10" t="s">
        <v>8394</v>
      </c>
      <c r="E3250" s="10" t="s">
        <v>8395</v>
      </c>
      <c r="F3250" s="10" t="s">
        <v>10236</v>
      </c>
      <c r="G3250" s="10" t="s">
        <v>6352</v>
      </c>
      <c r="H3250" s="11">
        <v>40742</v>
      </c>
      <c r="I3250" s="10">
        <v>2011</v>
      </c>
      <c r="J3250" s="10" t="s">
        <v>8395</v>
      </c>
      <c r="K3250" s="10">
        <v>262</v>
      </c>
      <c r="L3250" s="10" t="s">
        <v>20211</v>
      </c>
      <c r="M3250" s="10">
        <v>1</v>
      </c>
      <c r="N3250" s="10" t="s">
        <v>8874</v>
      </c>
      <c r="O3250" s="10">
        <v>58</v>
      </c>
      <c r="P3250" s="10" t="s">
        <v>20212</v>
      </c>
      <c r="Q3250" s="10">
        <v>418</v>
      </c>
      <c r="R3250" s="10" t="s">
        <v>20213</v>
      </c>
      <c r="S3250" s="10" t="s">
        <v>53</v>
      </c>
      <c r="T3250" s="10" t="s">
        <v>6616</v>
      </c>
    </row>
    <row r="3251" spans="1:20" ht="14.5" x14ac:dyDescent="0.35">
      <c r="A3251" s="10" t="s">
        <v>20214</v>
      </c>
      <c r="B3251" s="10" t="str">
        <f>"9781847694140"</f>
        <v>9781847694140</v>
      </c>
      <c r="C3251" s="10" t="str">
        <f>"9781847694157"</f>
        <v>9781847694157</v>
      </c>
      <c r="D3251" s="10" t="s">
        <v>8394</v>
      </c>
      <c r="E3251" s="10" t="s">
        <v>8395</v>
      </c>
      <c r="F3251" s="10" t="s">
        <v>10236</v>
      </c>
      <c r="G3251" s="10" t="s">
        <v>6352</v>
      </c>
      <c r="H3251" s="11">
        <v>40742</v>
      </c>
      <c r="I3251" s="10">
        <v>2011</v>
      </c>
      <c r="J3251" s="10" t="s">
        <v>8395</v>
      </c>
      <c r="K3251" s="10">
        <v>263</v>
      </c>
      <c r="L3251" s="10" t="s">
        <v>20215</v>
      </c>
      <c r="M3251" s="10">
        <v>1</v>
      </c>
      <c r="N3251" s="10" t="s">
        <v>8398</v>
      </c>
      <c r="O3251" s="10">
        <v>21</v>
      </c>
      <c r="P3251" s="10" t="s">
        <v>20216</v>
      </c>
      <c r="Q3251" s="10" t="s">
        <v>13877</v>
      </c>
      <c r="R3251" s="10" t="s">
        <v>9531</v>
      </c>
      <c r="S3251" s="10" t="s">
        <v>53</v>
      </c>
      <c r="T3251" s="10" t="s">
        <v>6616</v>
      </c>
    </row>
    <row r="3252" spans="1:20" ht="14.5" x14ac:dyDescent="0.35">
      <c r="A3252" s="10" t="s">
        <v>20217</v>
      </c>
      <c r="B3252" s="10" t="str">
        <f>"9781847694386"</f>
        <v>9781847694386</v>
      </c>
      <c r="C3252" s="10" t="str">
        <f>"9781847694393"</f>
        <v>9781847694393</v>
      </c>
      <c r="D3252" s="10" t="s">
        <v>8394</v>
      </c>
      <c r="E3252" s="10" t="s">
        <v>8395</v>
      </c>
      <c r="F3252" s="10" t="s">
        <v>10236</v>
      </c>
      <c r="G3252" s="10" t="s">
        <v>6352</v>
      </c>
      <c r="H3252" s="11">
        <v>40774</v>
      </c>
      <c r="I3252" s="10">
        <v>2011</v>
      </c>
      <c r="J3252" s="10" t="s">
        <v>8395</v>
      </c>
      <c r="K3252" s="10">
        <v>249</v>
      </c>
      <c r="L3252" s="10" t="s">
        <v>20218</v>
      </c>
      <c r="M3252" s="10">
        <v>1</v>
      </c>
      <c r="N3252" s="10" t="s">
        <v>9503</v>
      </c>
      <c r="O3252" s="10">
        <v>6</v>
      </c>
      <c r="P3252" s="10" t="s">
        <v>20219</v>
      </c>
      <c r="Q3252" s="10" t="s">
        <v>13135</v>
      </c>
      <c r="R3252" s="10" t="s">
        <v>20220</v>
      </c>
      <c r="S3252" s="10" t="s">
        <v>53</v>
      </c>
      <c r="T3252" s="10" t="s">
        <v>8424</v>
      </c>
    </row>
    <row r="3253" spans="1:20" ht="14.5" x14ac:dyDescent="0.35">
      <c r="A3253" s="10" t="s">
        <v>20221</v>
      </c>
      <c r="B3253" s="10" t="str">
        <f>"9781847694348"</f>
        <v>9781847694348</v>
      </c>
      <c r="C3253" s="10" t="str">
        <f>"9781847694355"</f>
        <v>9781847694355</v>
      </c>
      <c r="D3253" s="10" t="s">
        <v>8394</v>
      </c>
      <c r="E3253" s="10" t="s">
        <v>8395</v>
      </c>
      <c r="F3253" s="10" t="s">
        <v>10236</v>
      </c>
      <c r="G3253" s="10" t="s">
        <v>6352</v>
      </c>
      <c r="H3253" s="11">
        <v>40788</v>
      </c>
      <c r="I3253" s="10">
        <v>2011</v>
      </c>
      <c r="J3253" s="10" t="s">
        <v>8395</v>
      </c>
      <c r="K3253" s="10">
        <v>329</v>
      </c>
      <c r="L3253" s="10" t="s">
        <v>20222</v>
      </c>
      <c r="M3253" s="10">
        <v>1</v>
      </c>
      <c r="N3253" s="10" t="s">
        <v>8874</v>
      </c>
      <c r="O3253" s="10">
        <v>59</v>
      </c>
      <c r="P3253" s="10" t="s">
        <v>20223</v>
      </c>
      <c r="Q3253" s="10">
        <v>418.00709999999998</v>
      </c>
      <c r="R3253" s="10" t="s">
        <v>20224</v>
      </c>
      <c r="S3253" s="10" t="s">
        <v>53</v>
      </c>
      <c r="T3253" s="10" t="s">
        <v>6616</v>
      </c>
    </row>
    <row r="3254" spans="1:20" ht="14.5" x14ac:dyDescent="0.35">
      <c r="A3254" s="10" t="s">
        <v>20225</v>
      </c>
      <c r="B3254" s="10" t="str">
        <f>"9781847694232"</f>
        <v>9781847694232</v>
      </c>
      <c r="C3254" s="10" t="str">
        <f>"9781847694249"</f>
        <v>9781847694249</v>
      </c>
      <c r="D3254" s="10" t="s">
        <v>8394</v>
      </c>
      <c r="E3254" s="10" t="s">
        <v>8395</v>
      </c>
      <c r="F3254" s="10" t="s">
        <v>10236</v>
      </c>
      <c r="G3254" s="10" t="s">
        <v>6352</v>
      </c>
      <c r="H3254" s="11">
        <v>40822</v>
      </c>
      <c r="I3254" s="10">
        <v>2011</v>
      </c>
      <c r="J3254" s="10" t="s">
        <v>8395</v>
      </c>
      <c r="K3254" s="10">
        <v>188</v>
      </c>
      <c r="L3254" s="10" t="s">
        <v>8858</v>
      </c>
      <c r="M3254" s="10">
        <v>1</v>
      </c>
      <c r="N3254" s="10" t="s">
        <v>8403</v>
      </c>
      <c r="O3254" s="10">
        <v>84</v>
      </c>
      <c r="P3254" s="10" t="s">
        <v>20226</v>
      </c>
      <c r="Q3254" s="10" t="s">
        <v>6950</v>
      </c>
      <c r="R3254" s="10" t="s">
        <v>20227</v>
      </c>
      <c r="S3254" s="10" t="s">
        <v>53</v>
      </c>
      <c r="T3254" s="10" t="s">
        <v>6616</v>
      </c>
    </row>
    <row r="3255" spans="1:20" ht="14.5" x14ac:dyDescent="0.35">
      <c r="A3255" s="10" t="s">
        <v>20228</v>
      </c>
      <c r="B3255" s="10" t="str">
        <f>"9780415404365"</f>
        <v>9780415404365</v>
      </c>
      <c r="C3255" s="10" t="str">
        <f>"9780203817452"</f>
        <v>9780203817452</v>
      </c>
      <c r="D3255" s="10" t="s">
        <v>6350</v>
      </c>
      <c r="E3255" s="10" t="s">
        <v>6351</v>
      </c>
      <c r="F3255" s="10" t="s">
        <v>5406</v>
      </c>
      <c r="G3255" s="10" t="s">
        <v>6352</v>
      </c>
      <c r="H3255" s="11">
        <v>40919</v>
      </c>
      <c r="I3255" s="10">
        <v>2012</v>
      </c>
      <c r="J3255" s="10" t="s">
        <v>6353</v>
      </c>
      <c r="K3255" s="10">
        <v>243</v>
      </c>
      <c r="L3255" s="10" t="s">
        <v>9316</v>
      </c>
      <c r="M3255" s="10">
        <v>1</v>
      </c>
      <c r="N3255" s="10" t="s">
        <v>15005</v>
      </c>
      <c r="O3255" s="10"/>
      <c r="P3255" s="10" t="s">
        <v>20229</v>
      </c>
      <c r="Q3255" s="10">
        <v>371.2011</v>
      </c>
      <c r="R3255" s="10" t="s">
        <v>18002</v>
      </c>
      <c r="S3255" s="10" t="s">
        <v>53</v>
      </c>
      <c r="T3255" s="10" t="s">
        <v>54</v>
      </c>
    </row>
    <row r="3256" spans="1:20" ht="14.5" x14ac:dyDescent="0.35">
      <c r="A3256" s="10" t="s">
        <v>20230</v>
      </c>
      <c r="B3256" s="10" t="str">
        <f>"9780415881937"</f>
        <v>9780415881937</v>
      </c>
      <c r="C3256" s="10" t="str">
        <f>"9780203813362"</f>
        <v>9780203813362</v>
      </c>
      <c r="D3256" s="10" t="s">
        <v>6350</v>
      </c>
      <c r="E3256" s="10" t="s">
        <v>6351</v>
      </c>
      <c r="F3256" s="10" t="s">
        <v>5406</v>
      </c>
      <c r="G3256" s="10" t="s">
        <v>6317</v>
      </c>
      <c r="H3256" s="11">
        <v>40742</v>
      </c>
      <c r="I3256" s="10">
        <v>2012</v>
      </c>
      <c r="J3256" s="10" t="s">
        <v>6353</v>
      </c>
      <c r="K3256" s="10">
        <v>224</v>
      </c>
      <c r="L3256" s="10" t="s">
        <v>20231</v>
      </c>
      <c r="M3256" s="10">
        <v>1</v>
      </c>
      <c r="N3256" s="10" t="s">
        <v>15104</v>
      </c>
      <c r="O3256" s="10"/>
      <c r="P3256" s="10" t="s">
        <v>20232</v>
      </c>
      <c r="Q3256" s="10" t="s">
        <v>14582</v>
      </c>
      <c r="R3256" s="10" t="s">
        <v>20233</v>
      </c>
      <c r="S3256" s="10" t="s">
        <v>53</v>
      </c>
      <c r="T3256" s="10" t="s">
        <v>54</v>
      </c>
    </row>
    <row r="3257" spans="1:20" ht="14.5" x14ac:dyDescent="0.35">
      <c r="A3257" s="10" t="s">
        <v>20234</v>
      </c>
      <c r="B3257" s="10" t="str">
        <f>"9780415419208"</f>
        <v>9780415419208</v>
      </c>
      <c r="C3257" s="10" t="str">
        <f>"9780203145616"</f>
        <v>9780203145616</v>
      </c>
      <c r="D3257" s="10" t="s">
        <v>6350</v>
      </c>
      <c r="E3257" s="10" t="s">
        <v>6351</v>
      </c>
      <c r="F3257" s="10" t="s">
        <v>5406</v>
      </c>
      <c r="G3257" s="10" t="s">
        <v>6317</v>
      </c>
      <c r="H3257" s="11">
        <v>40919</v>
      </c>
      <c r="I3257" s="10">
        <v>2009</v>
      </c>
      <c r="J3257" s="10" t="s">
        <v>6353</v>
      </c>
      <c r="K3257" s="10">
        <v>213</v>
      </c>
      <c r="L3257" s="10" t="s">
        <v>20235</v>
      </c>
      <c r="M3257" s="10">
        <v>1</v>
      </c>
      <c r="N3257" s="10"/>
      <c r="O3257" s="10"/>
      <c r="P3257" s="10" t="s">
        <v>20236</v>
      </c>
      <c r="Q3257" s="10" t="s">
        <v>20237</v>
      </c>
      <c r="R3257" s="10" t="s">
        <v>20238</v>
      </c>
      <c r="S3257" s="10" t="s">
        <v>53</v>
      </c>
      <c r="T3257" s="10" t="s">
        <v>6384</v>
      </c>
    </row>
    <row r="3258" spans="1:20" ht="14.5" x14ac:dyDescent="0.35">
      <c r="A3258" s="10" t="s">
        <v>20239</v>
      </c>
      <c r="B3258" s="10" t="str">
        <f>"9781416613626"</f>
        <v>9781416613626</v>
      </c>
      <c r="C3258" s="10" t="str">
        <f>"9781416613664"</f>
        <v>9781416613664</v>
      </c>
      <c r="D3258" s="10" t="s">
        <v>10014</v>
      </c>
      <c r="E3258" s="10" t="s">
        <v>10015</v>
      </c>
      <c r="F3258" s="10" t="s">
        <v>201</v>
      </c>
      <c r="G3258" s="10" t="s">
        <v>6317</v>
      </c>
      <c r="H3258" s="11">
        <v>40938</v>
      </c>
      <c r="I3258" s="10">
        <v>2012</v>
      </c>
      <c r="J3258" s="10" t="s">
        <v>10015</v>
      </c>
      <c r="K3258" s="10">
        <v>210</v>
      </c>
      <c r="L3258" s="10" t="s">
        <v>20240</v>
      </c>
      <c r="M3258" s="10">
        <v>2</v>
      </c>
      <c r="N3258" s="10"/>
      <c r="O3258" s="10"/>
      <c r="P3258" s="10" t="s">
        <v>20241</v>
      </c>
      <c r="Q3258" s="10">
        <v>371.10199999999998</v>
      </c>
      <c r="R3258" s="10"/>
      <c r="S3258" s="10" t="s">
        <v>53</v>
      </c>
      <c r="T3258" s="10" t="s">
        <v>54</v>
      </c>
    </row>
    <row r="3259" spans="1:20" ht="14.5" x14ac:dyDescent="0.35">
      <c r="A3259" s="10" t="s">
        <v>20242</v>
      </c>
      <c r="B3259" s="10" t="str">
        <f>"9781604735703"</f>
        <v>9781604735703</v>
      </c>
      <c r="C3259" s="10" t="str">
        <f>"9781604738889"</f>
        <v>9781604738889</v>
      </c>
      <c r="D3259" s="10" t="s">
        <v>16047</v>
      </c>
      <c r="E3259" s="10" t="s">
        <v>16047</v>
      </c>
      <c r="F3259" s="10" t="s">
        <v>16048</v>
      </c>
      <c r="G3259" s="10" t="s">
        <v>6317</v>
      </c>
      <c r="H3259" s="11">
        <v>40136</v>
      </c>
      <c r="I3259" s="10">
        <v>2009</v>
      </c>
      <c r="J3259" s="10" t="s">
        <v>16047</v>
      </c>
      <c r="K3259" s="10">
        <v>33</v>
      </c>
      <c r="L3259" s="10" t="s">
        <v>20243</v>
      </c>
      <c r="M3259" s="10">
        <v>1</v>
      </c>
      <c r="N3259" s="10"/>
      <c r="O3259" s="10"/>
      <c r="P3259" s="10" t="s">
        <v>20244</v>
      </c>
      <c r="Q3259" s="10">
        <v>813.54</v>
      </c>
      <c r="R3259" s="10" t="s">
        <v>20245</v>
      </c>
      <c r="S3259" s="10" t="s">
        <v>53</v>
      </c>
      <c r="T3259" s="10" t="s">
        <v>1166</v>
      </c>
    </row>
    <row r="3260" spans="1:20" ht="14.5" x14ac:dyDescent="0.35">
      <c r="A3260" s="10" t="s">
        <v>20246</v>
      </c>
      <c r="B3260" s="10" t="str">
        <f>""</f>
        <v/>
      </c>
      <c r="C3260" s="10" t="str">
        <f>"9789814322713"</f>
        <v>9789814322713</v>
      </c>
      <c r="D3260" s="10" t="s">
        <v>8571</v>
      </c>
      <c r="E3260" s="10" t="s">
        <v>8572</v>
      </c>
      <c r="F3260" s="10" t="s">
        <v>549</v>
      </c>
      <c r="G3260" s="10" t="s">
        <v>8573</v>
      </c>
      <c r="H3260" s="11">
        <v>40633</v>
      </c>
      <c r="I3260" s="10">
        <v>2011</v>
      </c>
      <c r="J3260" s="10" t="s">
        <v>8574</v>
      </c>
      <c r="K3260" s="10">
        <v>514</v>
      </c>
      <c r="L3260" s="10" t="s">
        <v>19127</v>
      </c>
      <c r="M3260" s="10">
        <v>1</v>
      </c>
      <c r="N3260" s="10" t="s">
        <v>8576</v>
      </c>
      <c r="O3260" s="10">
        <v>5</v>
      </c>
      <c r="P3260" s="10" t="s">
        <v>20247</v>
      </c>
      <c r="Q3260" s="10">
        <v>510.71046999999999</v>
      </c>
      <c r="R3260" s="10" t="s">
        <v>20248</v>
      </c>
      <c r="S3260" s="10" t="s">
        <v>53</v>
      </c>
      <c r="T3260" s="10" t="s">
        <v>389</v>
      </c>
    </row>
    <row r="3261" spans="1:20" ht="14.5" x14ac:dyDescent="0.35">
      <c r="A3261" s="10" t="s">
        <v>20249</v>
      </c>
      <c r="B3261" s="10" t="str">
        <f>""</f>
        <v/>
      </c>
      <c r="C3261" s="10" t="str">
        <f>"9789814360999"</f>
        <v>9789814360999</v>
      </c>
      <c r="D3261" s="10" t="s">
        <v>8571</v>
      </c>
      <c r="E3261" s="10" t="s">
        <v>8572</v>
      </c>
      <c r="F3261" s="10" t="s">
        <v>549</v>
      </c>
      <c r="G3261" s="10" t="s">
        <v>8573</v>
      </c>
      <c r="H3261" s="11">
        <v>40679</v>
      </c>
      <c r="I3261" s="10">
        <v>2011</v>
      </c>
      <c r="J3261" s="10" t="s">
        <v>8574</v>
      </c>
      <c r="K3261" s="10">
        <v>304</v>
      </c>
      <c r="L3261" s="10" t="s">
        <v>20250</v>
      </c>
      <c r="M3261" s="10">
        <v>1</v>
      </c>
      <c r="N3261" s="10"/>
      <c r="O3261" s="10"/>
      <c r="P3261" s="10" t="s">
        <v>20251</v>
      </c>
      <c r="Q3261" s="10">
        <v>510.71</v>
      </c>
      <c r="R3261" s="10" t="s">
        <v>20252</v>
      </c>
      <c r="S3261" s="10" t="s">
        <v>53</v>
      </c>
      <c r="T3261" s="10" t="s">
        <v>389</v>
      </c>
    </row>
    <row r="3262" spans="1:20" ht="14.5" x14ac:dyDescent="0.35">
      <c r="A3262" s="10" t="s">
        <v>20253</v>
      </c>
      <c r="B3262" s="10" t="str">
        <f>"9780821388549"</f>
        <v>9780821388549</v>
      </c>
      <c r="C3262" s="10" t="str">
        <f>"9780821388556"</f>
        <v>9780821388556</v>
      </c>
      <c r="D3262" s="10" t="s">
        <v>14731</v>
      </c>
      <c r="E3262" s="10" t="s">
        <v>14732</v>
      </c>
      <c r="F3262" s="10" t="s">
        <v>14733</v>
      </c>
      <c r="G3262" s="10" t="s">
        <v>6317</v>
      </c>
      <c r="H3262" s="11">
        <v>40850</v>
      </c>
      <c r="I3262" s="10">
        <v>2011</v>
      </c>
      <c r="J3262" s="10" t="s">
        <v>14732</v>
      </c>
      <c r="K3262" s="10">
        <v>151</v>
      </c>
      <c r="L3262" s="10" t="s">
        <v>20254</v>
      </c>
      <c r="M3262" s="10">
        <v>1</v>
      </c>
      <c r="N3262" s="10" t="s">
        <v>14770</v>
      </c>
      <c r="O3262" s="10"/>
      <c r="P3262" s="10" t="s">
        <v>20255</v>
      </c>
      <c r="Q3262" s="10">
        <v>370.98099999999999</v>
      </c>
      <c r="R3262" s="10" t="s">
        <v>20256</v>
      </c>
      <c r="S3262" s="10" t="s">
        <v>53</v>
      </c>
      <c r="T3262" s="10" t="s">
        <v>54</v>
      </c>
    </row>
    <row r="3263" spans="1:20" ht="14.5" x14ac:dyDescent="0.35">
      <c r="A3263" s="10" t="s">
        <v>20257</v>
      </c>
      <c r="B3263" s="10" t="str">
        <f>"9780821384909"</f>
        <v>9780821384909</v>
      </c>
      <c r="C3263" s="10" t="str">
        <f>"9780821389119"</f>
        <v>9780821389119</v>
      </c>
      <c r="D3263" s="10" t="s">
        <v>14731</v>
      </c>
      <c r="E3263" s="10" t="s">
        <v>14732</v>
      </c>
      <c r="F3263" s="10" t="s">
        <v>14733</v>
      </c>
      <c r="G3263" s="10" t="s">
        <v>6317</v>
      </c>
      <c r="H3263" s="11">
        <v>40850</v>
      </c>
      <c r="I3263" s="10">
        <v>2012</v>
      </c>
      <c r="J3263" s="10" t="s">
        <v>14732</v>
      </c>
      <c r="K3263" s="10">
        <v>315</v>
      </c>
      <c r="L3263" s="10" t="s">
        <v>20258</v>
      </c>
      <c r="M3263" s="10">
        <v>1</v>
      </c>
      <c r="N3263" s="10"/>
      <c r="O3263" s="10"/>
      <c r="P3263" s="10" t="s">
        <v>20259</v>
      </c>
      <c r="Q3263" s="10">
        <v>378.5</v>
      </c>
      <c r="R3263" s="10" t="s">
        <v>20260</v>
      </c>
      <c r="S3263" s="10" t="s">
        <v>53</v>
      </c>
      <c r="T3263" s="10" t="s">
        <v>54</v>
      </c>
    </row>
    <row r="3264" spans="1:20" ht="14.5" x14ac:dyDescent="0.35">
      <c r="A3264" s="10" t="s">
        <v>20261</v>
      </c>
      <c r="B3264" s="10" t="str">
        <f>"9789027220165"</f>
        <v>9789027220165</v>
      </c>
      <c r="C3264" s="10" t="str">
        <f>"9789027274496"</f>
        <v>9789027274496</v>
      </c>
      <c r="D3264" s="10" t="s">
        <v>17335</v>
      </c>
      <c r="E3264" s="10" t="s">
        <v>17336</v>
      </c>
      <c r="F3264" s="10" t="s">
        <v>1818</v>
      </c>
      <c r="G3264" s="10" t="s">
        <v>9233</v>
      </c>
      <c r="H3264" s="11">
        <v>30682</v>
      </c>
      <c r="I3264" s="10">
        <v>1984</v>
      </c>
      <c r="J3264" s="10" t="s">
        <v>17336</v>
      </c>
      <c r="K3264" s="10">
        <v>271</v>
      </c>
      <c r="L3264" s="10" t="s">
        <v>20262</v>
      </c>
      <c r="M3264" s="10">
        <v>1</v>
      </c>
      <c r="N3264" s="10"/>
      <c r="O3264" s="10"/>
      <c r="P3264" s="10" t="s">
        <v>20263</v>
      </c>
      <c r="Q3264" s="10" t="s">
        <v>20264</v>
      </c>
      <c r="R3264" s="10" t="s">
        <v>20265</v>
      </c>
      <c r="S3264" s="10" t="s">
        <v>53</v>
      </c>
      <c r="T3264" s="10" t="s">
        <v>54</v>
      </c>
    </row>
    <row r="3265" spans="1:20" ht="14.5" x14ac:dyDescent="0.35">
      <c r="A3265" s="10" t="s">
        <v>20266</v>
      </c>
      <c r="B3265" s="10" t="str">
        <f>"9789027220356"</f>
        <v>9789027220356</v>
      </c>
      <c r="C3265" s="10" t="str">
        <f>"9789027274465"</f>
        <v>9789027274465</v>
      </c>
      <c r="D3265" s="10" t="s">
        <v>17335</v>
      </c>
      <c r="E3265" s="10" t="s">
        <v>17336</v>
      </c>
      <c r="F3265" s="10" t="s">
        <v>1818</v>
      </c>
      <c r="G3265" s="10" t="s">
        <v>9233</v>
      </c>
      <c r="H3265" s="11">
        <v>31413</v>
      </c>
      <c r="I3265" s="10">
        <v>1986</v>
      </c>
      <c r="J3265" s="10" t="s">
        <v>17336</v>
      </c>
      <c r="K3265" s="10">
        <v>256</v>
      </c>
      <c r="L3265" s="10" t="s">
        <v>20267</v>
      </c>
      <c r="M3265" s="10">
        <v>1</v>
      </c>
      <c r="N3265" s="10"/>
      <c r="O3265" s="10"/>
      <c r="P3265" s="10" t="s">
        <v>20268</v>
      </c>
      <c r="Q3265" s="10">
        <v>377.82440000000003</v>
      </c>
      <c r="R3265" s="10" t="s">
        <v>20269</v>
      </c>
      <c r="S3265" s="10" t="s">
        <v>53</v>
      </c>
      <c r="T3265" s="10" t="s">
        <v>54</v>
      </c>
    </row>
    <row r="3266" spans="1:20" ht="14.5" x14ac:dyDescent="0.35">
      <c r="A3266" s="10" t="s">
        <v>20270</v>
      </c>
      <c r="B3266" s="10" t="str">
        <f>"9781587296826"</f>
        <v>9781587296826</v>
      </c>
      <c r="C3266" s="10" t="str">
        <f>"9781587297137"</f>
        <v>9781587297137</v>
      </c>
      <c r="D3266" s="10" t="s">
        <v>20156</v>
      </c>
      <c r="E3266" s="10" t="s">
        <v>20157</v>
      </c>
      <c r="F3266" s="10" t="s">
        <v>324</v>
      </c>
      <c r="G3266" s="10" t="s">
        <v>6317</v>
      </c>
      <c r="H3266" s="11">
        <v>39712</v>
      </c>
      <c r="I3266" s="10">
        <v>2008</v>
      </c>
      <c r="J3266" s="10" t="s">
        <v>20157</v>
      </c>
      <c r="K3266" s="10">
        <v>89</v>
      </c>
      <c r="L3266" s="10" t="s">
        <v>20271</v>
      </c>
      <c r="M3266" s="10">
        <v>1</v>
      </c>
      <c r="N3266" s="10"/>
      <c r="O3266" s="10"/>
      <c r="P3266" s="10" t="s">
        <v>20272</v>
      </c>
      <c r="Q3266" s="10" t="s">
        <v>20273</v>
      </c>
      <c r="R3266" s="10" t="s">
        <v>20274</v>
      </c>
      <c r="S3266" s="10" t="s">
        <v>53</v>
      </c>
      <c r="T3266" s="10" t="s">
        <v>8625</v>
      </c>
    </row>
    <row r="3267" spans="1:20" ht="14.5" x14ac:dyDescent="0.35">
      <c r="A3267" s="10" t="s">
        <v>20275</v>
      </c>
      <c r="B3267" s="10" t="str">
        <f>"9780877459965"</f>
        <v>9780877459965</v>
      </c>
      <c r="C3267" s="10" t="str">
        <f>"9781587297168"</f>
        <v>9781587297168</v>
      </c>
      <c r="D3267" s="10" t="s">
        <v>20156</v>
      </c>
      <c r="E3267" s="10" t="s">
        <v>20157</v>
      </c>
      <c r="F3267" s="10" t="s">
        <v>324</v>
      </c>
      <c r="G3267" s="10" t="s">
        <v>6317</v>
      </c>
      <c r="H3267" s="11">
        <v>39173</v>
      </c>
      <c r="I3267" s="10">
        <v>2007</v>
      </c>
      <c r="J3267" s="10" t="s">
        <v>20157</v>
      </c>
      <c r="K3267" s="10">
        <v>262</v>
      </c>
      <c r="L3267" s="10" t="s">
        <v>20276</v>
      </c>
      <c r="M3267" s="10">
        <v>1</v>
      </c>
      <c r="N3267" s="10" t="s">
        <v>20277</v>
      </c>
      <c r="O3267" s="10"/>
      <c r="P3267" s="10" t="s">
        <v>20278</v>
      </c>
      <c r="Q3267" s="10" t="s">
        <v>20279</v>
      </c>
      <c r="R3267" s="10" t="s">
        <v>20280</v>
      </c>
      <c r="S3267" s="10" t="s">
        <v>53</v>
      </c>
      <c r="T3267" s="10" t="s">
        <v>54</v>
      </c>
    </row>
    <row r="3268" spans="1:20" ht="14.5" x14ac:dyDescent="0.35">
      <c r="A3268" s="10" t="s">
        <v>20281</v>
      </c>
      <c r="B3268" s="10" t="str">
        <f>"9780877459415"</f>
        <v>9780877459415</v>
      </c>
      <c r="C3268" s="10" t="str">
        <f>"9781587295928"</f>
        <v>9781587295928</v>
      </c>
      <c r="D3268" s="10" t="s">
        <v>20156</v>
      </c>
      <c r="E3268" s="10" t="s">
        <v>20157</v>
      </c>
      <c r="F3268" s="10" t="s">
        <v>324</v>
      </c>
      <c r="G3268" s="10" t="s">
        <v>6317</v>
      </c>
      <c r="H3268" s="11">
        <v>38487</v>
      </c>
      <c r="I3268" s="10">
        <v>2005</v>
      </c>
      <c r="J3268" s="10" t="s">
        <v>20157</v>
      </c>
      <c r="K3268" s="10">
        <v>287</v>
      </c>
      <c r="L3268" s="10" t="s">
        <v>20282</v>
      </c>
      <c r="M3268" s="10">
        <v>1</v>
      </c>
      <c r="N3268" s="10" t="s">
        <v>20283</v>
      </c>
      <c r="O3268" s="10"/>
      <c r="P3268" s="10" t="s">
        <v>20284</v>
      </c>
      <c r="Q3268" s="10" t="s">
        <v>7381</v>
      </c>
      <c r="R3268" s="10" t="s">
        <v>20285</v>
      </c>
      <c r="S3268" s="10" t="s">
        <v>53</v>
      </c>
      <c r="T3268" s="10" t="s">
        <v>6472</v>
      </c>
    </row>
    <row r="3269" spans="1:20" ht="14.5" x14ac:dyDescent="0.35">
      <c r="A3269" s="10" t="s">
        <v>20286</v>
      </c>
      <c r="B3269" s="10" t="str">
        <f>"9781587295584"</f>
        <v>9781587295584</v>
      </c>
      <c r="C3269" s="10" t="str">
        <f>"9781587298875"</f>
        <v>9781587298875</v>
      </c>
      <c r="D3269" s="10" t="s">
        <v>20156</v>
      </c>
      <c r="E3269" s="10" t="s">
        <v>20157</v>
      </c>
      <c r="F3269" s="10" t="s">
        <v>324</v>
      </c>
      <c r="G3269" s="10" t="s">
        <v>6317</v>
      </c>
      <c r="H3269" s="11">
        <v>34731</v>
      </c>
      <c r="I3269" s="10">
        <v>1995</v>
      </c>
      <c r="J3269" s="10" t="s">
        <v>20157</v>
      </c>
      <c r="K3269" s="10">
        <v>264</v>
      </c>
      <c r="L3269" s="10" t="s">
        <v>20287</v>
      </c>
      <c r="M3269" s="10">
        <v>2</v>
      </c>
      <c r="N3269" s="10" t="s">
        <v>20288</v>
      </c>
      <c r="O3269" s="10"/>
      <c r="P3269" s="10" t="s">
        <v>20289</v>
      </c>
      <c r="Q3269" s="10" t="s">
        <v>20290</v>
      </c>
      <c r="R3269" s="10" t="s">
        <v>20291</v>
      </c>
      <c r="S3269" s="10" t="s">
        <v>53</v>
      </c>
      <c r="T3269" s="10" t="s">
        <v>54</v>
      </c>
    </row>
    <row r="3270" spans="1:20" ht="14.5" x14ac:dyDescent="0.35">
      <c r="A3270" s="10" t="s">
        <v>20292</v>
      </c>
      <c r="B3270" s="10" t="str">
        <f>"9780877459903"</f>
        <v>9780877459903</v>
      </c>
      <c r="C3270" s="10" t="str">
        <f>"9781587297625"</f>
        <v>9781587297625</v>
      </c>
      <c r="D3270" s="10" t="s">
        <v>20156</v>
      </c>
      <c r="E3270" s="10" t="s">
        <v>20157</v>
      </c>
      <c r="F3270" s="10" t="s">
        <v>324</v>
      </c>
      <c r="G3270" s="10" t="s">
        <v>6317</v>
      </c>
      <c r="H3270" s="11">
        <v>38961</v>
      </c>
      <c r="I3270" s="10">
        <v>2006</v>
      </c>
      <c r="J3270" s="10" t="s">
        <v>20157</v>
      </c>
      <c r="K3270" s="10">
        <v>311</v>
      </c>
      <c r="L3270" s="10" t="s">
        <v>20293</v>
      </c>
      <c r="M3270" s="10">
        <v>1</v>
      </c>
      <c r="N3270" s="10" t="s">
        <v>20294</v>
      </c>
      <c r="O3270" s="10"/>
      <c r="P3270" s="10" t="s">
        <v>20295</v>
      </c>
      <c r="Q3270" s="10" t="s">
        <v>20296</v>
      </c>
      <c r="R3270" s="10" t="s">
        <v>20297</v>
      </c>
      <c r="S3270" s="10" t="s">
        <v>53</v>
      </c>
      <c r="T3270" s="10" t="s">
        <v>54</v>
      </c>
    </row>
    <row r="3271" spans="1:20" ht="14.5" x14ac:dyDescent="0.35">
      <c r="A3271" s="10" t="s">
        <v>20298</v>
      </c>
      <c r="B3271" s="10" t="str">
        <f>"9781609380502"</f>
        <v>9781609380502</v>
      </c>
      <c r="C3271" s="10" t="str">
        <f>"9781609380519"</f>
        <v>9781609380519</v>
      </c>
      <c r="D3271" s="10" t="s">
        <v>20156</v>
      </c>
      <c r="E3271" s="10" t="s">
        <v>20157</v>
      </c>
      <c r="F3271" s="10" t="s">
        <v>324</v>
      </c>
      <c r="G3271" s="10" t="s">
        <v>6317</v>
      </c>
      <c r="H3271" s="11">
        <v>40807</v>
      </c>
      <c r="I3271" s="10">
        <v>2011</v>
      </c>
      <c r="J3271" s="10" t="s">
        <v>20157</v>
      </c>
      <c r="K3271" s="10">
        <v>273</v>
      </c>
      <c r="L3271" s="10" t="s">
        <v>20299</v>
      </c>
      <c r="M3271" s="10">
        <v>1</v>
      </c>
      <c r="N3271" s="10"/>
      <c r="O3271" s="10"/>
      <c r="P3271" s="10" t="s">
        <v>20300</v>
      </c>
      <c r="Q3271" s="10" t="s">
        <v>20301</v>
      </c>
      <c r="R3271" s="10" t="s">
        <v>20302</v>
      </c>
      <c r="S3271" s="10" t="s">
        <v>53</v>
      </c>
      <c r="T3271" s="10" t="s">
        <v>6363</v>
      </c>
    </row>
    <row r="3272" spans="1:20" ht="14.5" x14ac:dyDescent="0.35">
      <c r="A3272" s="10" t="s">
        <v>20303</v>
      </c>
      <c r="B3272" s="10" t="str">
        <f>"9781587299605"</f>
        <v>9781587299605</v>
      </c>
      <c r="C3272" s="10" t="str">
        <f>"9781587299612"</f>
        <v>9781587299612</v>
      </c>
      <c r="D3272" s="10" t="s">
        <v>20156</v>
      </c>
      <c r="E3272" s="10" t="s">
        <v>20157</v>
      </c>
      <c r="F3272" s="10" t="s">
        <v>324</v>
      </c>
      <c r="G3272" s="10" t="s">
        <v>6317</v>
      </c>
      <c r="H3272" s="11">
        <v>40648</v>
      </c>
      <c r="I3272" s="10">
        <v>2011</v>
      </c>
      <c r="J3272" s="10" t="s">
        <v>20157</v>
      </c>
      <c r="K3272" s="10">
        <v>226</v>
      </c>
      <c r="L3272" s="10" t="s">
        <v>20304</v>
      </c>
      <c r="M3272" s="10">
        <v>1</v>
      </c>
      <c r="N3272" s="10" t="s">
        <v>20288</v>
      </c>
      <c r="O3272" s="10"/>
      <c r="P3272" s="10" t="s">
        <v>20305</v>
      </c>
      <c r="Q3272" s="10" t="s">
        <v>20306</v>
      </c>
      <c r="R3272" s="10" t="s">
        <v>20307</v>
      </c>
      <c r="S3272" s="10" t="s">
        <v>53</v>
      </c>
      <c r="T3272" s="10" t="s">
        <v>54</v>
      </c>
    </row>
    <row r="3273" spans="1:20" ht="14.5" x14ac:dyDescent="0.35">
      <c r="A3273" s="10" t="s">
        <v>20308</v>
      </c>
      <c r="B3273" s="10" t="str">
        <f>"9780415610391"</f>
        <v>9780415610391</v>
      </c>
      <c r="C3273" s="10" t="str">
        <f>"9781136642562"</f>
        <v>9781136642562</v>
      </c>
      <c r="D3273" s="10" t="s">
        <v>6350</v>
      </c>
      <c r="E3273" s="10" t="s">
        <v>6351</v>
      </c>
      <c r="F3273" s="10" t="s">
        <v>5406</v>
      </c>
      <c r="G3273" s="10" t="s">
        <v>6317</v>
      </c>
      <c r="H3273" s="11">
        <v>40834</v>
      </c>
      <c r="I3273" s="10">
        <v>2012</v>
      </c>
      <c r="J3273" s="10" t="s">
        <v>6353</v>
      </c>
      <c r="K3273" s="10">
        <v>176</v>
      </c>
      <c r="L3273" s="10" t="s">
        <v>20309</v>
      </c>
      <c r="M3273" s="10">
        <v>2</v>
      </c>
      <c r="N3273" s="10"/>
      <c r="O3273" s="10"/>
      <c r="P3273" s="10" t="s">
        <v>20310</v>
      </c>
      <c r="Q3273" s="10">
        <v>372.11020000000002</v>
      </c>
      <c r="R3273" s="10" t="s">
        <v>20311</v>
      </c>
      <c r="S3273" s="10" t="s">
        <v>53</v>
      </c>
      <c r="T3273" s="10" t="s">
        <v>54</v>
      </c>
    </row>
    <row r="3274" spans="1:20" ht="14.5" x14ac:dyDescent="0.35">
      <c r="A3274" s="10" t="s">
        <v>20312</v>
      </c>
      <c r="B3274" s="10" t="str">
        <f>"9781118095706"</f>
        <v>9781118095706</v>
      </c>
      <c r="C3274" s="10" t="str">
        <f>"9781118223628"</f>
        <v>9781118223628</v>
      </c>
      <c r="D3274" s="10" t="s">
        <v>6322</v>
      </c>
      <c r="E3274" s="10" t="s">
        <v>6323</v>
      </c>
      <c r="F3274" s="10" t="s">
        <v>4423</v>
      </c>
      <c r="G3274" s="10" t="s">
        <v>6317</v>
      </c>
      <c r="H3274" s="11">
        <v>41156</v>
      </c>
      <c r="I3274" s="10">
        <v>2012</v>
      </c>
      <c r="J3274" s="10" t="s">
        <v>6324</v>
      </c>
      <c r="K3274" s="10">
        <v>300</v>
      </c>
      <c r="L3274" s="10" t="s">
        <v>20313</v>
      </c>
      <c r="M3274" s="10">
        <v>1</v>
      </c>
      <c r="N3274" s="10"/>
      <c r="O3274" s="10"/>
      <c r="P3274" s="10" t="s">
        <v>20314</v>
      </c>
      <c r="Q3274" s="10">
        <v>372.7</v>
      </c>
      <c r="R3274" s="10" t="s">
        <v>20315</v>
      </c>
      <c r="S3274" s="10" t="s">
        <v>53</v>
      </c>
      <c r="T3274" s="10" t="s">
        <v>6448</v>
      </c>
    </row>
    <row r="3275" spans="1:20" ht="14.5" x14ac:dyDescent="0.35">
      <c r="A3275" s="10" t="s">
        <v>20316</v>
      </c>
      <c r="B3275" s="10" t="str">
        <f>"9781595588982"</f>
        <v>9781595588982</v>
      </c>
      <c r="C3275" s="10" t="str">
        <f>"9781595587701"</f>
        <v>9781595587701</v>
      </c>
      <c r="D3275" s="10" t="s">
        <v>9533</v>
      </c>
      <c r="E3275" s="10" t="s">
        <v>20317</v>
      </c>
      <c r="F3275" s="10" t="s">
        <v>70</v>
      </c>
      <c r="G3275" s="10" t="s">
        <v>6317</v>
      </c>
      <c r="H3275" s="11">
        <v>40988</v>
      </c>
      <c r="I3275" s="10">
        <v>2012</v>
      </c>
      <c r="J3275" s="10" t="s">
        <v>20317</v>
      </c>
      <c r="K3275" s="10">
        <v>257</v>
      </c>
      <c r="L3275" s="10" t="s">
        <v>20318</v>
      </c>
      <c r="M3275" s="10">
        <v>1</v>
      </c>
      <c r="N3275" s="10"/>
      <c r="O3275" s="10"/>
      <c r="P3275" s="10" t="s">
        <v>20319</v>
      </c>
      <c r="Q3275" s="10">
        <v>379.26097299999998</v>
      </c>
      <c r="R3275" s="10" t="s">
        <v>20320</v>
      </c>
      <c r="S3275" s="10" t="s">
        <v>53</v>
      </c>
      <c r="T3275" s="10" t="s">
        <v>54</v>
      </c>
    </row>
    <row r="3276" spans="1:20" ht="14.5" x14ac:dyDescent="0.35">
      <c r="A3276" s="10" t="s">
        <v>20321</v>
      </c>
      <c r="B3276" s="10" t="str">
        <f>"9780195383836"</f>
        <v>9780195383836</v>
      </c>
      <c r="C3276" s="10" t="str">
        <f>"9780199874668"</f>
        <v>9780199874668</v>
      </c>
      <c r="D3276" s="10" t="s">
        <v>9122</v>
      </c>
      <c r="E3276" s="10" t="s">
        <v>9133</v>
      </c>
      <c r="F3276" s="10" t="s">
        <v>330</v>
      </c>
      <c r="G3276" s="10" t="s">
        <v>6317</v>
      </c>
      <c r="H3276" s="11">
        <v>40914</v>
      </c>
      <c r="I3276" s="10">
        <v>2012</v>
      </c>
      <c r="J3276" s="10" t="s">
        <v>9133</v>
      </c>
      <c r="K3276" s="10">
        <v>544</v>
      </c>
      <c r="L3276" s="10" t="s">
        <v>20322</v>
      </c>
      <c r="M3276" s="10">
        <v>1</v>
      </c>
      <c r="N3276" s="10"/>
      <c r="O3276" s="10"/>
      <c r="P3276" s="10" t="s">
        <v>20323</v>
      </c>
      <c r="Q3276" s="10" t="s">
        <v>20324</v>
      </c>
      <c r="R3276" s="10" t="s">
        <v>20325</v>
      </c>
      <c r="S3276" s="10" t="s">
        <v>53</v>
      </c>
      <c r="T3276" s="10" t="s">
        <v>54</v>
      </c>
    </row>
    <row r="3277" spans="1:20" ht="14.5" x14ac:dyDescent="0.35">
      <c r="A3277" s="10" t="s">
        <v>20326</v>
      </c>
      <c r="B3277" s="10" t="str">
        <f>"9781444367010"</f>
        <v>9781444367010</v>
      </c>
      <c r="C3277" s="10" t="str">
        <f>"9781118343135"</f>
        <v>9781118343135</v>
      </c>
      <c r="D3277" s="10" t="s">
        <v>6322</v>
      </c>
      <c r="E3277" s="10" t="s">
        <v>6323</v>
      </c>
      <c r="F3277" s="10" t="s">
        <v>4423</v>
      </c>
      <c r="G3277" s="10" t="s">
        <v>6352</v>
      </c>
      <c r="H3277" s="11">
        <v>40966</v>
      </c>
      <c r="I3277" s="10">
        <v>2012</v>
      </c>
      <c r="J3277" s="10" t="s">
        <v>8436</v>
      </c>
      <c r="K3277" s="10">
        <v>164</v>
      </c>
      <c r="L3277" s="10" t="s">
        <v>20327</v>
      </c>
      <c r="M3277" s="10">
        <v>1</v>
      </c>
      <c r="N3277" s="10" t="s">
        <v>18844</v>
      </c>
      <c r="O3277" s="10">
        <v>27</v>
      </c>
      <c r="P3277" s="10" t="s">
        <v>20328</v>
      </c>
      <c r="Q3277" s="10"/>
      <c r="R3277" s="10" t="s">
        <v>6497</v>
      </c>
      <c r="S3277" s="10" t="s">
        <v>53</v>
      </c>
      <c r="T3277" s="10" t="s">
        <v>6616</v>
      </c>
    </row>
    <row r="3278" spans="1:20" ht="14.5" x14ac:dyDescent="0.35">
      <c r="A3278" s="10" t="s">
        <v>20329</v>
      </c>
      <c r="B3278" s="10" t="str">
        <f>"9781462503070"</f>
        <v>9781462503070</v>
      </c>
      <c r="C3278" s="10" t="str">
        <f>"9781462503087"</f>
        <v>9781462503087</v>
      </c>
      <c r="D3278" s="10" t="s">
        <v>11213</v>
      </c>
      <c r="E3278" s="10" t="s">
        <v>11214</v>
      </c>
      <c r="F3278" s="10" t="s">
        <v>70</v>
      </c>
      <c r="G3278" s="10" t="s">
        <v>6317</v>
      </c>
      <c r="H3278" s="11">
        <v>40953</v>
      </c>
      <c r="I3278" s="10">
        <v>2012</v>
      </c>
      <c r="J3278" s="10" t="s">
        <v>11215</v>
      </c>
      <c r="K3278" s="10">
        <v>177</v>
      </c>
      <c r="L3278" s="10" t="s">
        <v>20330</v>
      </c>
      <c r="M3278" s="10">
        <v>1</v>
      </c>
      <c r="N3278" s="10" t="s">
        <v>11708</v>
      </c>
      <c r="O3278" s="10"/>
      <c r="P3278" s="10" t="s">
        <v>20331</v>
      </c>
      <c r="Q3278" s="10" t="s">
        <v>10535</v>
      </c>
      <c r="R3278" s="10" t="s">
        <v>20332</v>
      </c>
      <c r="S3278" s="10" t="s">
        <v>53</v>
      </c>
      <c r="T3278" s="10" t="s">
        <v>54</v>
      </c>
    </row>
    <row r="3279" spans="1:20" ht="14.5" x14ac:dyDescent="0.35">
      <c r="A3279" s="10" t="s">
        <v>20333</v>
      </c>
      <c r="B3279" s="10" t="str">
        <f>"9780230338265"</f>
        <v>9780230338265</v>
      </c>
      <c r="C3279" s="10" t="str">
        <f>"9781137013347"</f>
        <v>9781137013347</v>
      </c>
      <c r="D3279" s="10" t="s">
        <v>11249</v>
      </c>
      <c r="E3279" s="10" t="s">
        <v>2400</v>
      </c>
      <c r="F3279" s="10" t="s">
        <v>70</v>
      </c>
      <c r="G3279" s="10" t="s">
        <v>6317</v>
      </c>
      <c r="H3279" s="11">
        <v>41043</v>
      </c>
      <c r="I3279" s="10">
        <v>2012</v>
      </c>
      <c r="J3279" s="10" t="s">
        <v>2400</v>
      </c>
      <c r="K3279" s="10">
        <v>189</v>
      </c>
      <c r="L3279" s="10" t="s">
        <v>20334</v>
      </c>
      <c r="M3279" s="10">
        <v>1</v>
      </c>
      <c r="N3279" s="10" t="s">
        <v>19903</v>
      </c>
      <c r="O3279" s="10"/>
      <c r="P3279" s="10" t="s">
        <v>11275</v>
      </c>
      <c r="Q3279" s="10" t="s">
        <v>20335</v>
      </c>
      <c r="R3279" s="10" t="s">
        <v>20336</v>
      </c>
      <c r="S3279" s="10" t="s">
        <v>53</v>
      </c>
      <c r="T3279" s="10" t="s">
        <v>54</v>
      </c>
    </row>
    <row r="3280" spans="1:20" ht="14.5" x14ac:dyDescent="0.35">
      <c r="A3280" s="10" t="s">
        <v>20337</v>
      </c>
      <c r="B3280" s="10" t="str">
        <f>"9780739166451"</f>
        <v>9780739166451</v>
      </c>
      <c r="C3280" s="10" t="str">
        <f>"9780739166468"</f>
        <v>9780739166468</v>
      </c>
      <c r="D3280" s="10" t="s">
        <v>9752</v>
      </c>
      <c r="E3280" s="10" t="s">
        <v>15182</v>
      </c>
      <c r="F3280" s="10" t="s">
        <v>9754</v>
      </c>
      <c r="G3280" s="10" t="s">
        <v>6317</v>
      </c>
      <c r="H3280" s="11">
        <v>40857</v>
      </c>
      <c r="I3280" s="10">
        <v>2011</v>
      </c>
      <c r="J3280" s="10" t="s">
        <v>15182</v>
      </c>
      <c r="K3280" s="10">
        <v>177</v>
      </c>
      <c r="L3280" s="10" t="s">
        <v>20338</v>
      </c>
      <c r="M3280" s="10">
        <v>1</v>
      </c>
      <c r="N3280" s="10" t="s">
        <v>20339</v>
      </c>
      <c r="O3280" s="10"/>
      <c r="P3280" s="10" t="s">
        <v>20340</v>
      </c>
      <c r="Q3280" s="10" t="s">
        <v>9360</v>
      </c>
      <c r="R3280" s="10" t="s">
        <v>20341</v>
      </c>
      <c r="S3280" s="10" t="s">
        <v>53</v>
      </c>
      <c r="T3280" s="10" t="s">
        <v>54</v>
      </c>
    </row>
    <row r="3281" spans="1:20" ht="14.5" x14ac:dyDescent="0.35">
      <c r="A3281" s="10" t="s">
        <v>20342</v>
      </c>
      <c r="B3281" s="10" t="str">
        <f>"9781610480628"</f>
        <v>9781610480628</v>
      </c>
      <c r="C3281" s="10" t="str">
        <f>"9781610480642"</f>
        <v>9781610480642</v>
      </c>
      <c r="D3281" s="10" t="s">
        <v>9752</v>
      </c>
      <c r="E3281" s="10" t="s">
        <v>15192</v>
      </c>
      <c r="F3281" s="10" t="s">
        <v>9754</v>
      </c>
      <c r="G3281" s="10" t="s">
        <v>6317</v>
      </c>
      <c r="H3281" s="11">
        <v>40851</v>
      </c>
      <c r="I3281" s="10">
        <v>2011</v>
      </c>
      <c r="J3281" s="10" t="s">
        <v>15192</v>
      </c>
      <c r="K3281" s="10">
        <v>249</v>
      </c>
      <c r="L3281" s="10" t="s">
        <v>20343</v>
      </c>
      <c r="M3281" s="10">
        <v>1</v>
      </c>
      <c r="N3281" s="10"/>
      <c r="O3281" s="10"/>
      <c r="P3281" s="10" t="s">
        <v>20344</v>
      </c>
      <c r="Q3281" s="10" t="s">
        <v>17621</v>
      </c>
      <c r="R3281" s="10" t="s">
        <v>20345</v>
      </c>
      <c r="S3281" s="10" t="s">
        <v>53</v>
      </c>
      <c r="T3281" s="10" t="s">
        <v>54</v>
      </c>
    </row>
    <row r="3282" spans="1:20" ht="14.5" x14ac:dyDescent="0.35">
      <c r="A3282" s="10" t="s">
        <v>20346</v>
      </c>
      <c r="B3282" s="10" t="str">
        <f>"9781610486606"</f>
        <v>9781610486606</v>
      </c>
      <c r="C3282" s="10" t="str">
        <f>"9781610486620"</f>
        <v>9781610486620</v>
      </c>
      <c r="D3282" s="10" t="s">
        <v>9752</v>
      </c>
      <c r="E3282" s="10" t="s">
        <v>15192</v>
      </c>
      <c r="F3282" s="10" t="s">
        <v>9754</v>
      </c>
      <c r="G3282" s="10" t="s">
        <v>6317</v>
      </c>
      <c r="H3282" s="11">
        <v>40877</v>
      </c>
      <c r="I3282" s="10">
        <v>2012</v>
      </c>
      <c r="J3282" s="10" t="s">
        <v>15192</v>
      </c>
      <c r="K3282" s="10">
        <v>121</v>
      </c>
      <c r="L3282" s="10" t="s">
        <v>20347</v>
      </c>
      <c r="M3282" s="10">
        <v>1</v>
      </c>
      <c r="N3282" s="10"/>
      <c r="O3282" s="10"/>
      <c r="P3282" s="10" t="s">
        <v>20348</v>
      </c>
      <c r="Q3282" s="10">
        <v>371.26097299999998</v>
      </c>
      <c r="R3282" s="10" t="s">
        <v>20349</v>
      </c>
      <c r="S3282" s="10" t="s">
        <v>53</v>
      </c>
      <c r="T3282" s="10" t="s">
        <v>54</v>
      </c>
    </row>
    <row r="3283" spans="1:20" ht="14.5" x14ac:dyDescent="0.35">
      <c r="A3283" s="10" t="s">
        <v>20350</v>
      </c>
      <c r="B3283" s="10" t="str">
        <f>"9781610486644"</f>
        <v>9781610486644</v>
      </c>
      <c r="C3283" s="10" t="str">
        <f>"9781610486651"</f>
        <v>9781610486651</v>
      </c>
      <c r="D3283" s="10" t="s">
        <v>9752</v>
      </c>
      <c r="E3283" s="10" t="s">
        <v>15192</v>
      </c>
      <c r="F3283" s="10" t="s">
        <v>9754</v>
      </c>
      <c r="G3283" s="10" t="s">
        <v>6317</v>
      </c>
      <c r="H3283" s="11">
        <v>40914</v>
      </c>
      <c r="I3283" s="10">
        <v>2012</v>
      </c>
      <c r="J3283" s="10" t="s">
        <v>15192</v>
      </c>
      <c r="K3283" s="10">
        <v>208</v>
      </c>
      <c r="L3283" s="10" t="s">
        <v>20351</v>
      </c>
      <c r="M3283" s="10">
        <v>1</v>
      </c>
      <c r="N3283" s="10"/>
      <c r="O3283" s="10"/>
      <c r="P3283" s="10" t="s">
        <v>20352</v>
      </c>
      <c r="Q3283" s="10" t="s">
        <v>10031</v>
      </c>
      <c r="R3283" s="10" t="s">
        <v>20353</v>
      </c>
      <c r="S3283" s="10" t="s">
        <v>53</v>
      </c>
      <c r="T3283" s="10" t="s">
        <v>54</v>
      </c>
    </row>
    <row r="3284" spans="1:20" ht="14.5" x14ac:dyDescent="0.35">
      <c r="A3284" s="10" t="s">
        <v>20354</v>
      </c>
      <c r="B3284" s="10" t="str">
        <f>"9781610485395"</f>
        <v>9781610485395</v>
      </c>
      <c r="C3284" s="10" t="str">
        <f>"9781610485418"</f>
        <v>9781610485418</v>
      </c>
      <c r="D3284" s="10" t="s">
        <v>9752</v>
      </c>
      <c r="E3284" s="10" t="s">
        <v>15192</v>
      </c>
      <c r="F3284" s="10" t="s">
        <v>9754</v>
      </c>
      <c r="G3284" s="10" t="s">
        <v>6317</v>
      </c>
      <c r="H3284" s="11">
        <v>40920</v>
      </c>
      <c r="I3284" s="10">
        <v>2011</v>
      </c>
      <c r="J3284" s="10" t="s">
        <v>15192</v>
      </c>
      <c r="K3284" s="10">
        <v>313</v>
      </c>
      <c r="L3284" s="10" t="s">
        <v>20355</v>
      </c>
      <c r="M3284" s="10">
        <v>1</v>
      </c>
      <c r="N3284" s="10"/>
      <c r="O3284" s="10"/>
      <c r="P3284" s="10" t="s">
        <v>20356</v>
      </c>
      <c r="Q3284" s="10">
        <v>371.19</v>
      </c>
      <c r="R3284" s="10" t="s">
        <v>20357</v>
      </c>
      <c r="S3284" s="10" t="s">
        <v>53</v>
      </c>
      <c r="T3284" s="10" t="s">
        <v>54</v>
      </c>
    </row>
    <row r="3285" spans="1:20" ht="14.5" x14ac:dyDescent="0.35">
      <c r="A3285" s="10" t="s">
        <v>20358</v>
      </c>
      <c r="B3285" s="10" t="str">
        <f>"9780813550015"</f>
        <v>9780813550015</v>
      </c>
      <c r="C3285" s="10" t="str">
        <f>"9780813550701"</f>
        <v>9780813550701</v>
      </c>
      <c r="D3285" s="10" t="s">
        <v>12251</v>
      </c>
      <c r="E3285" s="10" t="s">
        <v>12251</v>
      </c>
      <c r="F3285" s="10" t="s">
        <v>12451</v>
      </c>
      <c r="G3285" s="10" t="s">
        <v>6317</v>
      </c>
      <c r="H3285" s="11">
        <v>40818</v>
      </c>
      <c r="I3285" s="10">
        <v>2011</v>
      </c>
      <c r="J3285" s="10" t="s">
        <v>12251</v>
      </c>
      <c r="K3285" s="10">
        <v>349</v>
      </c>
      <c r="L3285" s="10" t="s">
        <v>20359</v>
      </c>
      <c r="M3285" s="10">
        <v>1</v>
      </c>
      <c r="N3285" s="10" t="s">
        <v>20360</v>
      </c>
      <c r="O3285" s="10"/>
      <c r="P3285" s="10" t="s">
        <v>20361</v>
      </c>
      <c r="Q3285" s="10" t="s">
        <v>20362</v>
      </c>
      <c r="R3285" s="10" t="s">
        <v>20363</v>
      </c>
      <c r="S3285" s="10" t="s">
        <v>53</v>
      </c>
      <c r="T3285" s="10" t="s">
        <v>4490</v>
      </c>
    </row>
    <row r="3286" spans="1:20" ht="14.5" x14ac:dyDescent="0.35">
      <c r="A3286" s="10" t="s">
        <v>20364</v>
      </c>
      <c r="B3286" s="10" t="str">
        <f>"9780470603345"</f>
        <v>9780470603345</v>
      </c>
      <c r="C3286" s="10" t="str">
        <f>"9781118220702"</f>
        <v>9781118220702</v>
      </c>
      <c r="D3286" s="10" t="s">
        <v>6322</v>
      </c>
      <c r="E3286" s="10" t="s">
        <v>6323</v>
      </c>
      <c r="F3286" s="10" t="s">
        <v>4423</v>
      </c>
      <c r="G3286" s="10" t="s">
        <v>6317</v>
      </c>
      <c r="H3286" s="11">
        <v>41484</v>
      </c>
      <c r="I3286" s="10">
        <v>2013</v>
      </c>
      <c r="J3286" s="10" t="s">
        <v>6324</v>
      </c>
      <c r="K3286" s="10">
        <v>370</v>
      </c>
      <c r="L3286" s="10" t="s">
        <v>20365</v>
      </c>
      <c r="M3286" s="10">
        <v>1</v>
      </c>
      <c r="N3286" s="10"/>
      <c r="O3286" s="10"/>
      <c r="P3286" s="10" t="s">
        <v>20366</v>
      </c>
      <c r="Q3286" s="10">
        <v>378.19900000000001</v>
      </c>
      <c r="R3286" s="10" t="s">
        <v>20367</v>
      </c>
      <c r="S3286" s="10" t="s">
        <v>53</v>
      </c>
      <c r="T3286" s="10" t="s">
        <v>54</v>
      </c>
    </row>
    <row r="3287" spans="1:20" ht="14.5" x14ac:dyDescent="0.35">
      <c r="A3287" s="10" t="s">
        <v>20368</v>
      </c>
      <c r="B3287" s="10" t="str">
        <f>"9781118000175"</f>
        <v>9781118000175</v>
      </c>
      <c r="C3287" s="10" t="str">
        <f>"9781118221679"</f>
        <v>9781118221679</v>
      </c>
      <c r="D3287" s="10" t="s">
        <v>6322</v>
      </c>
      <c r="E3287" s="10" t="s">
        <v>6323</v>
      </c>
      <c r="F3287" s="10" t="s">
        <v>4423</v>
      </c>
      <c r="G3287" s="10" t="s">
        <v>6317</v>
      </c>
      <c r="H3287" s="11">
        <v>41121</v>
      </c>
      <c r="I3287" s="10">
        <v>2012</v>
      </c>
      <c r="J3287" s="10" t="s">
        <v>6323</v>
      </c>
      <c r="K3287" s="10">
        <v>174</v>
      </c>
      <c r="L3287" s="10" t="s">
        <v>20369</v>
      </c>
      <c r="M3287" s="10">
        <v>1</v>
      </c>
      <c r="N3287" s="10" t="s">
        <v>16630</v>
      </c>
      <c r="O3287" s="10">
        <v>35</v>
      </c>
      <c r="P3287" s="10" t="s">
        <v>20370</v>
      </c>
      <c r="Q3287" s="10"/>
      <c r="R3287" s="10" t="s">
        <v>12537</v>
      </c>
      <c r="S3287" s="10" t="s">
        <v>53</v>
      </c>
      <c r="T3287" s="10" t="s">
        <v>54</v>
      </c>
    </row>
    <row r="3288" spans="1:20" ht="14.5" x14ac:dyDescent="0.35">
      <c r="A3288" s="10" t="s">
        <v>20371</v>
      </c>
      <c r="B3288" s="10" t="str">
        <f>"9781118104576"</f>
        <v>9781118104576</v>
      </c>
      <c r="C3288" s="10" t="str">
        <f>"9781118223970"</f>
        <v>9781118223970</v>
      </c>
      <c r="D3288" s="10" t="s">
        <v>6322</v>
      </c>
      <c r="E3288" s="10" t="s">
        <v>6323</v>
      </c>
      <c r="F3288" s="10" t="s">
        <v>4423</v>
      </c>
      <c r="G3288" s="10" t="s">
        <v>6317</v>
      </c>
      <c r="H3288" s="11">
        <v>41135</v>
      </c>
      <c r="I3288" s="10">
        <v>2012</v>
      </c>
      <c r="J3288" s="10" t="s">
        <v>6324</v>
      </c>
      <c r="K3288" s="10">
        <v>194</v>
      </c>
      <c r="L3288" s="10" t="s">
        <v>20372</v>
      </c>
      <c r="M3288" s="10">
        <v>1</v>
      </c>
      <c r="N3288" s="10"/>
      <c r="O3288" s="10"/>
      <c r="P3288" s="10" t="s">
        <v>20373</v>
      </c>
      <c r="Q3288" s="10"/>
      <c r="R3288" s="10" t="s">
        <v>20374</v>
      </c>
      <c r="S3288" s="10" t="s">
        <v>53</v>
      </c>
      <c r="T3288" s="10" t="s">
        <v>3668</v>
      </c>
    </row>
    <row r="3289" spans="1:20" ht="14.5" x14ac:dyDescent="0.35">
      <c r="A3289" s="10" t="s">
        <v>20375</v>
      </c>
      <c r="B3289" s="10" t="str">
        <f>"9781118123737"</f>
        <v>9781118123737</v>
      </c>
      <c r="C3289" s="10" t="str">
        <f>"9781118224755"</f>
        <v>9781118224755</v>
      </c>
      <c r="D3289" s="10" t="s">
        <v>6322</v>
      </c>
      <c r="E3289" s="10" t="s">
        <v>6323</v>
      </c>
      <c r="F3289" s="10" t="s">
        <v>4423</v>
      </c>
      <c r="G3289" s="10" t="s">
        <v>6317</v>
      </c>
      <c r="H3289" s="11">
        <v>41442</v>
      </c>
      <c r="I3289" s="10">
        <v>2013</v>
      </c>
      <c r="J3289" s="10" t="s">
        <v>6324</v>
      </c>
      <c r="K3289" s="10">
        <v>273</v>
      </c>
      <c r="L3289" s="10" t="s">
        <v>6340</v>
      </c>
      <c r="M3289" s="10">
        <v>2</v>
      </c>
      <c r="N3289" s="10"/>
      <c r="O3289" s="10"/>
      <c r="P3289" s="10" t="s">
        <v>20376</v>
      </c>
      <c r="Q3289" s="10">
        <v>371.33446780000003</v>
      </c>
      <c r="R3289" s="10" t="s">
        <v>20377</v>
      </c>
      <c r="S3289" s="10" t="s">
        <v>53</v>
      </c>
      <c r="T3289" s="10" t="s">
        <v>54</v>
      </c>
    </row>
    <row r="3290" spans="1:20" ht="14.5" x14ac:dyDescent="0.35">
      <c r="A3290" s="10" t="s">
        <v>20378</v>
      </c>
      <c r="B3290" s="10" t="str">
        <f>"9781462502899"</f>
        <v>9781462502899</v>
      </c>
      <c r="C3290" s="10" t="str">
        <f>"9781462502905"</f>
        <v>9781462502905</v>
      </c>
      <c r="D3290" s="10" t="s">
        <v>11213</v>
      </c>
      <c r="E3290" s="10" t="s">
        <v>11214</v>
      </c>
      <c r="F3290" s="10" t="s">
        <v>70</v>
      </c>
      <c r="G3290" s="10" t="s">
        <v>6317</v>
      </c>
      <c r="H3290" s="11">
        <v>40944</v>
      </c>
      <c r="I3290" s="10">
        <v>2012</v>
      </c>
      <c r="J3290" s="10" t="s">
        <v>11215</v>
      </c>
      <c r="K3290" s="10">
        <v>209</v>
      </c>
      <c r="L3290" s="10" t="s">
        <v>20379</v>
      </c>
      <c r="M3290" s="10">
        <v>1</v>
      </c>
      <c r="N3290" s="10" t="s">
        <v>11708</v>
      </c>
      <c r="O3290" s="10"/>
      <c r="P3290" s="10" t="s">
        <v>20380</v>
      </c>
      <c r="Q3290" s="10">
        <v>372.44</v>
      </c>
      <c r="R3290" s="10" t="s">
        <v>20381</v>
      </c>
      <c r="S3290" s="10" t="s">
        <v>53</v>
      </c>
      <c r="T3290" s="10" t="s">
        <v>54</v>
      </c>
    </row>
    <row r="3291" spans="1:20" ht="14.5" x14ac:dyDescent="0.35">
      <c r="A3291" s="10" t="s">
        <v>20382</v>
      </c>
      <c r="B3291" s="10" t="str">
        <f>"9781780525020"</f>
        <v>9781780525020</v>
      </c>
      <c r="C3291" s="10" t="str">
        <f>"9781780525037"</f>
        <v>9781780525037</v>
      </c>
      <c r="D3291" s="10" t="s">
        <v>8699</v>
      </c>
      <c r="E3291" s="10" t="s">
        <v>8699</v>
      </c>
      <c r="F3291" s="10" t="s">
        <v>559</v>
      </c>
      <c r="G3291" s="10" t="s">
        <v>6352</v>
      </c>
      <c r="H3291" s="11">
        <v>40913</v>
      </c>
      <c r="I3291" s="10">
        <v>2012</v>
      </c>
      <c r="J3291" s="10" t="s">
        <v>8699</v>
      </c>
      <c r="K3291" s="10">
        <v>247</v>
      </c>
      <c r="L3291" s="10" t="s">
        <v>20383</v>
      </c>
      <c r="M3291" s="10">
        <v>1</v>
      </c>
      <c r="N3291" s="10" t="s">
        <v>18965</v>
      </c>
      <c r="O3291" s="10">
        <v>12</v>
      </c>
      <c r="P3291" s="10" t="s">
        <v>18966</v>
      </c>
      <c r="Q3291" s="10">
        <v>378.19830000000002</v>
      </c>
      <c r="R3291" s="10" t="s">
        <v>20384</v>
      </c>
      <c r="S3291" s="10" t="s">
        <v>53</v>
      </c>
      <c r="T3291" s="10" t="s">
        <v>54</v>
      </c>
    </row>
    <row r="3292" spans="1:20" ht="14.5" x14ac:dyDescent="0.35">
      <c r="A3292" s="10" t="s">
        <v>20385</v>
      </c>
      <c r="B3292" s="10" t="str">
        <f>"9781780524566"</f>
        <v>9781780524566</v>
      </c>
      <c r="C3292" s="10" t="str">
        <f>"9781780524573"</f>
        <v>9781780524573</v>
      </c>
      <c r="D3292" s="10" t="s">
        <v>8699</v>
      </c>
      <c r="E3292" s="10" t="s">
        <v>8699</v>
      </c>
      <c r="F3292" s="10" t="s">
        <v>559</v>
      </c>
      <c r="G3292" s="10" t="s">
        <v>6352</v>
      </c>
      <c r="H3292" s="11">
        <v>40911</v>
      </c>
      <c r="I3292" s="10">
        <v>2012</v>
      </c>
      <c r="J3292" s="10" t="s">
        <v>8699</v>
      </c>
      <c r="K3292" s="10">
        <v>433</v>
      </c>
      <c r="L3292" s="10" t="s">
        <v>18359</v>
      </c>
      <c r="M3292" s="10">
        <v>1</v>
      </c>
      <c r="N3292" s="10" t="s">
        <v>18360</v>
      </c>
      <c r="O3292" s="10">
        <v>5</v>
      </c>
      <c r="P3292" s="10" t="s">
        <v>20386</v>
      </c>
      <c r="Q3292" s="10">
        <v>378.197</v>
      </c>
      <c r="R3292" s="10" t="s">
        <v>20387</v>
      </c>
      <c r="S3292" s="10" t="s">
        <v>53</v>
      </c>
      <c r="T3292" s="10" t="s">
        <v>54</v>
      </c>
    </row>
    <row r="3293" spans="1:20" ht="14.5" x14ac:dyDescent="0.35">
      <c r="A3293" s="10" t="s">
        <v>20388</v>
      </c>
      <c r="B3293" s="10" t="str">
        <f>"9780739165942"</f>
        <v>9780739165942</v>
      </c>
      <c r="C3293" s="10" t="str">
        <f>"9780739165966"</f>
        <v>9780739165966</v>
      </c>
      <c r="D3293" s="10" t="s">
        <v>9752</v>
      </c>
      <c r="E3293" s="10" t="s">
        <v>15182</v>
      </c>
      <c r="F3293" s="10" t="s">
        <v>9754</v>
      </c>
      <c r="G3293" s="10" t="s">
        <v>6317</v>
      </c>
      <c r="H3293" s="11">
        <v>40885</v>
      </c>
      <c r="I3293" s="10">
        <v>2011</v>
      </c>
      <c r="J3293" s="10" t="s">
        <v>15182</v>
      </c>
      <c r="K3293" s="10">
        <v>341</v>
      </c>
      <c r="L3293" s="10" t="s">
        <v>20389</v>
      </c>
      <c r="M3293" s="10">
        <v>1</v>
      </c>
      <c r="N3293" s="10"/>
      <c r="O3293" s="10"/>
      <c r="P3293" s="10" t="s">
        <v>20390</v>
      </c>
      <c r="Q3293" s="10" t="s">
        <v>20391</v>
      </c>
      <c r="R3293" s="10" t="s">
        <v>20392</v>
      </c>
      <c r="S3293" s="10" t="s">
        <v>53</v>
      </c>
      <c r="T3293" s="10" t="s">
        <v>54</v>
      </c>
    </row>
    <row r="3294" spans="1:20" ht="14.5" x14ac:dyDescent="0.35">
      <c r="A3294" s="10" t="s">
        <v>20393</v>
      </c>
      <c r="B3294" s="10" t="str">
        <f>"9781475805260"</f>
        <v>9781475805260</v>
      </c>
      <c r="C3294" s="10" t="str">
        <f>"9781442214675"</f>
        <v>9781442214675</v>
      </c>
      <c r="D3294" s="10" t="s">
        <v>9752</v>
      </c>
      <c r="E3294" s="10" t="s">
        <v>15187</v>
      </c>
      <c r="F3294" s="10" t="s">
        <v>9754</v>
      </c>
      <c r="G3294" s="10" t="s">
        <v>6317</v>
      </c>
      <c r="H3294" s="11">
        <v>40906</v>
      </c>
      <c r="I3294" s="10">
        <v>2012</v>
      </c>
      <c r="J3294" s="10" t="s">
        <v>15187</v>
      </c>
      <c r="K3294" s="10">
        <v>76</v>
      </c>
      <c r="L3294" s="10" t="s">
        <v>20394</v>
      </c>
      <c r="M3294" s="10">
        <v>1</v>
      </c>
      <c r="N3294" s="10" t="s">
        <v>20395</v>
      </c>
      <c r="O3294" s="10">
        <v>4</v>
      </c>
      <c r="P3294" s="10" t="s">
        <v>20396</v>
      </c>
      <c r="Q3294" s="10"/>
      <c r="R3294" s="10" t="s">
        <v>20397</v>
      </c>
      <c r="S3294" s="10" t="s">
        <v>53</v>
      </c>
      <c r="T3294" s="10" t="s">
        <v>54</v>
      </c>
    </row>
    <row r="3295" spans="1:20" ht="14.5" x14ac:dyDescent="0.35">
      <c r="A3295" s="10" t="s">
        <v>20398</v>
      </c>
      <c r="B3295" s="10" t="str">
        <f>"9781610484909"</f>
        <v>9781610484909</v>
      </c>
      <c r="C3295" s="10" t="str">
        <f>"9781610484923"</f>
        <v>9781610484923</v>
      </c>
      <c r="D3295" s="10" t="s">
        <v>9752</v>
      </c>
      <c r="E3295" s="10" t="s">
        <v>15192</v>
      </c>
      <c r="F3295" s="10" t="s">
        <v>9754</v>
      </c>
      <c r="G3295" s="10" t="s">
        <v>6317</v>
      </c>
      <c r="H3295" s="11">
        <v>40777</v>
      </c>
      <c r="I3295" s="10">
        <v>2011</v>
      </c>
      <c r="J3295" s="10" t="s">
        <v>15192</v>
      </c>
      <c r="K3295" s="10">
        <v>205</v>
      </c>
      <c r="L3295" s="10" t="s">
        <v>20399</v>
      </c>
      <c r="M3295" s="10">
        <v>1</v>
      </c>
      <c r="N3295" s="10"/>
      <c r="O3295" s="10"/>
      <c r="P3295" s="10" t="s">
        <v>20400</v>
      </c>
      <c r="Q3295" s="10">
        <v>378.2</v>
      </c>
      <c r="R3295" s="10" t="s">
        <v>20401</v>
      </c>
      <c r="S3295" s="10" t="s">
        <v>53</v>
      </c>
      <c r="T3295" s="10" t="s">
        <v>54</v>
      </c>
    </row>
    <row r="3296" spans="1:20" ht="14.5" x14ac:dyDescent="0.35">
      <c r="A3296" s="10" t="s">
        <v>20402</v>
      </c>
      <c r="B3296" s="10" t="str">
        <f>"9781611474725"</f>
        <v>9781611474725</v>
      </c>
      <c r="C3296" s="10" t="str">
        <f>"9781611474732"</f>
        <v>9781611474732</v>
      </c>
      <c r="D3296" s="10" t="s">
        <v>9752</v>
      </c>
      <c r="E3296" s="10" t="s">
        <v>20085</v>
      </c>
      <c r="F3296" s="10" t="s">
        <v>9754</v>
      </c>
      <c r="G3296" s="10" t="s">
        <v>6317</v>
      </c>
      <c r="H3296" s="11">
        <v>40870</v>
      </c>
      <c r="I3296" s="10">
        <v>2011</v>
      </c>
      <c r="J3296" s="10" t="s">
        <v>20085</v>
      </c>
      <c r="K3296" s="10">
        <v>141</v>
      </c>
      <c r="L3296" s="10" t="s">
        <v>20403</v>
      </c>
      <c r="M3296" s="10">
        <v>1</v>
      </c>
      <c r="N3296" s="10"/>
      <c r="O3296" s="10"/>
      <c r="P3296" s="10" t="s">
        <v>20404</v>
      </c>
      <c r="Q3296" s="10" t="s">
        <v>20405</v>
      </c>
      <c r="R3296" s="10" t="s">
        <v>20406</v>
      </c>
      <c r="S3296" s="10" t="s">
        <v>53</v>
      </c>
      <c r="T3296" s="10" t="s">
        <v>54</v>
      </c>
    </row>
    <row r="3297" spans="1:20" ht="14.5" x14ac:dyDescent="0.35">
      <c r="A3297" s="10" t="s">
        <v>20407</v>
      </c>
      <c r="B3297" s="10" t="str">
        <f>"9781462503049"</f>
        <v>9781462503049</v>
      </c>
      <c r="C3297" s="10" t="str">
        <f>"9781462503148"</f>
        <v>9781462503148</v>
      </c>
      <c r="D3297" s="10" t="s">
        <v>11213</v>
      </c>
      <c r="E3297" s="10" t="s">
        <v>11214</v>
      </c>
      <c r="F3297" s="10" t="s">
        <v>70</v>
      </c>
      <c r="G3297" s="10" t="s">
        <v>6317</v>
      </c>
      <c r="H3297" s="11">
        <v>40946</v>
      </c>
      <c r="I3297" s="10">
        <v>2012</v>
      </c>
      <c r="J3297" s="10" t="s">
        <v>11214</v>
      </c>
      <c r="K3297" s="10">
        <v>241</v>
      </c>
      <c r="L3297" s="10" t="s">
        <v>20408</v>
      </c>
      <c r="M3297" s="10">
        <v>1</v>
      </c>
      <c r="N3297" s="10" t="s">
        <v>12889</v>
      </c>
      <c r="O3297" s="10"/>
      <c r="P3297" s="10" t="s">
        <v>20409</v>
      </c>
      <c r="Q3297" s="10">
        <v>371.93</v>
      </c>
      <c r="R3297" s="10" t="s">
        <v>6697</v>
      </c>
      <c r="S3297" s="10" t="s">
        <v>53</v>
      </c>
      <c r="T3297" s="10" t="s">
        <v>54</v>
      </c>
    </row>
    <row r="3298" spans="1:20" ht="14.5" x14ac:dyDescent="0.35">
      <c r="A3298" s="10" t="s">
        <v>20410</v>
      </c>
      <c r="B3298" s="10" t="str">
        <f>"9781416613749"</f>
        <v>9781416613749</v>
      </c>
      <c r="C3298" s="10" t="str">
        <f>"9781416613787"</f>
        <v>9781416613787</v>
      </c>
      <c r="D3298" s="10" t="s">
        <v>10014</v>
      </c>
      <c r="E3298" s="10" t="s">
        <v>10015</v>
      </c>
      <c r="F3298" s="10" t="s">
        <v>201</v>
      </c>
      <c r="G3298" s="10" t="s">
        <v>6317</v>
      </c>
      <c r="H3298" s="11">
        <v>40940</v>
      </c>
      <c r="I3298" s="10">
        <v>2012</v>
      </c>
      <c r="J3298" s="10" t="s">
        <v>10015</v>
      </c>
      <c r="K3298" s="10">
        <v>200</v>
      </c>
      <c r="L3298" s="10" t="s">
        <v>20411</v>
      </c>
      <c r="M3298" s="10">
        <v>1</v>
      </c>
      <c r="N3298" s="10"/>
      <c r="O3298" s="10"/>
      <c r="P3298" s="10" t="s">
        <v>20412</v>
      </c>
      <c r="Q3298" s="10" t="s">
        <v>8460</v>
      </c>
      <c r="R3298" s="10" t="s">
        <v>20413</v>
      </c>
      <c r="S3298" s="10" t="s">
        <v>53</v>
      </c>
      <c r="T3298" s="10" t="s">
        <v>54</v>
      </c>
    </row>
    <row r="3299" spans="1:20" ht="14.5" x14ac:dyDescent="0.35">
      <c r="A3299" s="10" t="s">
        <v>20414</v>
      </c>
      <c r="B3299" s="10" t="str">
        <f>"9780335243013"</f>
        <v>9780335243013</v>
      </c>
      <c r="C3299" s="10" t="str">
        <f>"9780335243020"</f>
        <v>9780335243020</v>
      </c>
      <c r="D3299" s="10" t="s">
        <v>10342</v>
      </c>
      <c r="E3299" s="10" t="s">
        <v>10343</v>
      </c>
      <c r="F3299" s="10" t="s">
        <v>10344</v>
      </c>
      <c r="G3299" s="10" t="s">
        <v>6352</v>
      </c>
      <c r="H3299" s="11">
        <v>40909</v>
      </c>
      <c r="I3299" s="10">
        <v>2012</v>
      </c>
      <c r="J3299" s="10" t="s">
        <v>10345</v>
      </c>
      <c r="K3299" s="10">
        <v>146</v>
      </c>
      <c r="L3299" s="10" t="s">
        <v>20415</v>
      </c>
      <c r="M3299" s="10">
        <v>1</v>
      </c>
      <c r="N3299" s="10" t="s">
        <v>10347</v>
      </c>
      <c r="O3299" s="10"/>
      <c r="P3299" s="10" t="s">
        <v>20416</v>
      </c>
      <c r="Q3299" s="10"/>
      <c r="R3299" s="10" t="s">
        <v>17739</v>
      </c>
      <c r="S3299" s="10" t="s">
        <v>53</v>
      </c>
      <c r="T3299" s="10" t="s">
        <v>54</v>
      </c>
    </row>
    <row r="3300" spans="1:20" ht="14.5" x14ac:dyDescent="0.35">
      <c r="A3300" s="10" t="s">
        <v>18286</v>
      </c>
      <c r="B3300" s="10" t="str">
        <f>"9789888083275"</f>
        <v>9789888083275</v>
      </c>
      <c r="C3300" s="10" t="str">
        <f>"9789888053711"</f>
        <v>9789888053711</v>
      </c>
      <c r="D3300" s="10" t="s">
        <v>18250</v>
      </c>
      <c r="E3300" s="10" t="s">
        <v>18250</v>
      </c>
      <c r="F3300" s="10" t="s">
        <v>535</v>
      </c>
      <c r="G3300" s="10" t="s">
        <v>18251</v>
      </c>
      <c r="H3300" s="11">
        <v>40603</v>
      </c>
      <c r="I3300" s="10">
        <v>2011</v>
      </c>
      <c r="J3300" s="10" t="s">
        <v>18250</v>
      </c>
      <c r="K3300" s="10">
        <v>259</v>
      </c>
      <c r="L3300" s="10" t="s">
        <v>20417</v>
      </c>
      <c r="M3300" s="10">
        <v>2</v>
      </c>
      <c r="N3300" s="10"/>
      <c r="O3300" s="10"/>
      <c r="P3300" s="10" t="s">
        <v>20418</v>
      </c>
      <c r="Q3300" s="10">
        <v>378.00920000000002</v>
      </c>
      <c r="R3300" s="10" t="s">
        <v>20419</v>
      </c>
      <c r="S3300" s="10" t="s">
        <v>53</v>
      </c>
      <c r="T3300" s="10" t="s">
        <v>54</v>
      </c>
    </row>
    <row r="3301" spans="1:20" ht="14.5" x14ac:dyDescent="0.35">
      <c r="A3301" s="10" t="s">
        <v>20420</v>
      </c>
      <c r="B3301" s="10" t="str">
        <f>"9789888028863"</f>
        <v>9789888028863</v>
      </c>
      <c r="C3301" s="10" t="str">
        <f>"9789888053445"</f>
        <v>9789888053445</v>
      </c>
      <c r="D3301" s="10" t="s">
        <v>18250</v>
      </c>
      <c r="E3301" s="10" t="s">
        <v>18250</v>
      </c>
      <c r="F3301" s="10" t="s">
        <v>535</v>
      </c>
      <c r="G3301" s="10" t="s">
        <v>18251</v>
      </c>
      <c r="H3301" s="11">
        <v>40567</v>
      </c>
      <c r="I3301" s="10">
        <v>2011</v>
      </c>
      <c r="J3301" s="10" t="s">
        <v>18250</v>
      </c>
      <c r="K3301" s="10">
        <v>331</v>
      </c>
      <c r="L3301" s="10" t="s">
        <v>20421</v>
      </c>
      <c r="M3301" s="10">
        <v>1</v>
      </c>
      <c r="N3301" s="10"/>
      <c r="O3301" s="10"/>
      <c r="P3301" s="10" t="s">
        <v>20422</v>
      </c>
      <c r="Q3301" s="10">
        <v>371.82995107400001</v>
      </c>
      <c r="R3301" s="10" t="s">
        <v>20423</v>
      </c>
      <c r="S3301" s="10" t="s">
        <v>53</v>
      </c>
      <c r="T3301" s="10" t="s">
        <v>54</v>
      </c>
    </row>
    <row r="3302" spans="1:20" ht="14.5" x14ac:dyDescent="0.35">
      <c r="A3302" s="10" t="s">
        <v>20424</v>
      </c>
      <c r="B3302" s="10" t="str">
        <f>"9781462503421"</f>
        <v>9781462503421</v>
      </c>
      <c r="C3302" s="10" t="str">
        <f>"9781462503438"</f>
        <v>9781462503438</v>
      </c>
      <c r="D3302" s="10" t="s">
        <v>11213</v>
      </c>
      <c r="E3302" s="10" t="s">
        <v>11214</v>
      </c>
      <c r="F3302" s="10" t="s">
        <v>70</v>
      </c>
      <c r="G3302" s="10" t="s">
        <v>6317</v>
      </c>
      <c r="H3302" s="11">
        <v>40918</v>
      </c>
      <c r="I3302" s="10">
        <v>2012</v>
      </c>
      <c r="J3302" s="10" t="s">
        <v>11215</v>
      </c>
      <c r="K3302" s="10">
        <v>273</v>
      </c>
      <c r="L3302" s="10" t="s">
        <v>20425</v>
      </c>
      <c r="M3302" s="10">
        <v>1</v>
      </c>
      <c r="N3302" s="10"/>
      <c r="O3302" s="10"/>
      <c r="P3302" s="10" t="s">
        <v>20426</v>
      </c>
      <c r="Q3302" s="10" t="s">
        <v>9954</v>
      </c>
      <c r="R3302" s="10" t="s">
        <v>20427</v>
      </c>
      <c r="S3302" s="10" t="s">
        <v>53</v>
      </c>
      <c r="T3302" s="10" t="s">
        <v>54</v>
      </c>
    </row>
    <row r="3303" spans="1:20" ht="14.5" x14ac:dyDescent="0.35">
      <c r="A3303" s="10" t="s">
        <v>20428</v>
      </c>
      <c r="B3303" s="10" t="str">
        <f>"9780814706503"</f>
        <v>9780814706503</v>
      </c>
      <c r="C3303" s="10" t="str">
        <f>"9780814705155"</f>
        <v>9780814705155</v>
      </c>
      <c r="D3303" s="10" t="s">
        <v>20429</v>
      </c>
      <c r="E3303" s="10" t="s">
        <v>20430</v>
      </c>
      <c r="F3303" s="10" t="s">
        <v>70</v>
      </c>
      <c r="G3303" s="10" t="s">
        <v>6317</v>
      </c>
      <c r="H3303" s="11">
        <v>36039</v>
      </c>
      <c r="I3303" s="10">
        <v>1998</v>
      </c>
      <c r="J3303" s="10" t="s">
        <v>20430</v>
      </c>
      <c r="K3303" s="10">
        <v>236</v>
      </c>
      <c r="L3303" s="10" t="s">
        <v>20431</v>
      </c>
      <c r="M3303" s="10">
        <v>1</v>
      </c>
      <c r="N3303" s="10" t="s">
        <v>20432</v>
      </c>
      <c r="O3303" s="10">
        <v>66</v>
      </c>
      <c r="P3303" s="10" t="s">
        <v>20433</v>
      </c>
      <c r="Q3303" s="10"/>
      <c r="R3303" s="10" t="s">
        <v>20434</v>
      </c>
      <c r="S3303" s="10" t="s">
        <v>53</v>
      </c>
      <c r="T3303" s="10" t="s">
        <v>5396</v>
      </c>
    </row>
    <row r="3304" spans="1:20" ht="14.5" x14ac:dyDescent="0.35">
      <c r="A3304" s="10" t="s">
        <v>20435</v>
      </c>
      <c r="B3304" s="10" t="str">
        <f>"9780814783078"</f>
        <v>9780814783078</v>
      </c>
      <c r="C3304" s="10" t="str">
        <f>"9780814707760"</f>
        <v>9780814707760</v>
      </c>
      <c r="D3304" s="10" t="s">
        <v>20429</v>
      </c>
      <c r="E3304" s="10" t="s">
        <v>20430</v>
      </c>
      <c r="F3304" s="10" t="s">
        <v>70</v>
      </c>
      <c r="G3304" s="10" t="s">
        <v>6317</v>
      </c>
      <c r="H3304" s="11">
        <v>39934</v>
      </c>
      <c r="I3304" s="10">
        <v>2009</v>
      </c>
      <c r="J3304" s="10" t="s">
        <v>20430</v>
      </c>
      <c r="K3304" s="10">
        <v>300</v>
      </c>
      <c r="L3304" s="10" t="s">
        <v>20436</v>
      </c>
      <c r="M3304" s="10">
        <v>1</v>
      </c>
      <c r="N3304" s="10"/>
      <c r="O3304" s="10"/>
      <c r="P3304" s="10" t="s">
        <v>20437</v>
      </c>
      <c r="Q3304" s="10" t="s">
        <v>20438</v>
      </c>
      <c r="R3304" s="10" t="s">
        <v>20439</v>
      </c>
      <c r="S3304" s="10" t="s">
        <v>53</v>
      </c>
      <c r="T3304" s="10" t="s">
        <v>54</v>
      </c>
    </row>
    <row r="3305" spans="1:20" ht="14.5" x14ac:dyDescent="0.35">
      <c r="A3305" s="10" t="s">
        <v>20440</v>
      </c>
      <c r="B3305" s="10" t="str">
        <f>"9780814727560"</f>
        <v>9780814727560</v>
      </c>
      <c r="C3305" s="10" t="str">
        <f>"9780814728529"</f>
        <v>9780814728529</v>
      </c>
      <c r="D3305" s="10" t="s">
        <v>20429</v>
      </c>
      <c r="E3305" s="10" t="s">
        <v>20430</v>
      </c>
      <c r="F3305" s="10" t="s">
        <v>70</v>
      </c>
      <c r="G3305" s="10" t="s">
        <v>6317</v>
      </c>
      <c r="H3305" s="11">
        <v>39052</v>
      </c>
      <c r="I3305" s="10">
        <v>2006</v>
      </c>
      <c r="J3305" s="10" t="s">
        <v>20430</v>
      </c>
      <c r="K3305" s="10">
        <v>280</v>
      </c>
      <c r="L3305" s="10" t="s">
        <v>13806</v>
      </c>
      <c r="M3305" s="10">
        <v>1</v>
      </c>
      <c r="N3305" s="10"/>
      <c r="O3305" s="10"/>
      <c r="P3305" s="10" t="s">
        <v>20441</v>
      </c>
      <c r="Q3305" s="10" t="s">
        <v>20442</v>
      </c>
      <c r="R3305" s="10" t="s">
        <v>20443</v>
      </c>
      <c r="S3305" s="10" t="s">
        <v>53</v>
      </c>
      <c r="T3305" s="10" t="s">
        <v>6363</v>
      </c>
    </row>
    <row r="3306" spans="1:20" ht="14.5" x14ac:dyDescent="0.35">
      <c r="A3306" s="10" t="s">
        <v>20444</v>
      </c>
      <c r="B3306" s="10" t="str">
        <f>"9780814788318"</f>
        <v>9780814788318</v>
      </c>
      <c r="C3306" s="10" t="str">
        <f>"9780814744413"</f>
        <v>9780814744413</v>
      </c>
      <c r="D3306" s="10" t="s">
        <v>20429</v>
      </c>
      <c r="E3306" s="10" t="s">
        <v>20430</v>
      </c>
      <c r="F3306" s="10" t="s">
        <v>70</v>
      </c>
      <c r="G3306" s="10" t="s">
        <v>6317</v>
      </c>
      <c r="H3306" s="11">
        <v>40756</v>
      </c>
      <c r="I3306" s="10">
        <v>2011</v>
      </c>
      <c r="J3306" s="10" t="s">
        <v>20430</v>
      </c>
      <c r="K3306" s="10">
        <v>230</v>
      </c>
      <c r="L3306" s="10" t="s">
        <v>20445</v>
      </c>
      <c r="M3306" s="10">
        <v>1</v>
      </c>
      <c r="N3306" s="10"/>
      <c r="O3306" s="10"/>
      <c r="P3306" s="10" t="s">
        <v>20446</v>
      </c>
      <c r="Q3306" s="10" t="s">
        <v>20447</v>
      </c>
      <c r="R3306" s="10" t="s">
        <v>20448</v>
      </c>
      <c r="S3306" s="10" t="s">
        <v>53</v>
      </c>
      <c r="T3306" s="10" t="s">
        <v>8493</v>
      </c>
    </row>
    <row r="3307" spans="1:20" ht="14.5" x14ac:dyDescent="0.35">
      <c r="A3307" s="10" t="s">
        <v>20449</v>
      </c>
      <c r="B3307" s="10" t="str">
        <f>"9780814748206"</f>
        <v>9780814748206</v>
      </c>
      <c r="C3307" s="10" t="str">
        <f>"9780814749203"</f>
        <v>9780814749203</v>
      </c>
      <c r="D3307" s="10" t="s">
        <v>20429</v>
      </c>
      <c r="E3307" s="10" t="s">
        <v>20430</v>
      </c>
      <c r="F3307" s="10" t="s">
        <v>70</v>
      </c>
      <c r="G3307" s="10" t="s">
        <v>6317</v>
      </c>
      <c r="H3307" s="11">
        <v>40392</v>
      </c>
      <c r="I3307" s="10">
        <v>2010</v>
      </c>
      <c r="J3307" s="10" t="s">
        <v>20430</v>
      </c>
      <c r="K3307" s="10">
        <v>276</v>
      </c>
      <c r="L3307" s="10" t="s">
        <v>20450</v>
      </c>
      <c r="M3307" s="10">
        <v>1</v>
      </c>
      <c r="N3307" s="10" t="s">
        <v>20451</v>
      </c>
      <c r="O3307" s="10">
        <v>6</v>
      </c>
      <c r="P3307" s="10" t="s">
        <v>20452</v>
      </c>
      <c r="Q3307" s="10">
        <v>371.5</v>
      </c>
      <c r="R3307" s="10" t="s">
        <v>20453</v>
      </c>
      <c r="S3307" s="10" t="s">
        <v>53</v>
      </c>
      <c r="T3307" s="10" t="s">
        <v>54</v>
      </c>
    </row>
    <row r="3308" spans="1:20" ht="14.5" x14ac:dyDescent="0.35">
      <c r="A3308" s="10" t="s">
        <v>20454</v>
      </c>
      <c r="B3308" s="10" t="str">
        <f>"9780814747902"</f>
        <v>9780814747902</v>
      </c>
      <c r="C3308" s="10" t="str">
        <f>"9780814749319"</f>
        <v>9780814749319</v>
      </c>
      <c r="D3308" s="10" t="s">
        <v>20429</v>
      </c>
      <c r="E3308" s="10" t="s">
        <v>20430</v>
      </c>
      <c r="F3308" s="10" t="s">
        <v>70</v>
      </c>
      <c r="G3308" s="10" t="s">
        <v>6317</v>
      </c>
      <c r="H3308" s="11">
        <v>39052</v>
      </c>
      <c r="I3308" s="10">
        <v>2006</v>
      </c>
      <c r="J3308" s="10" t="s">
        <v>20430</v>
      </c>
      <c r="K3308" s="10">
        <v>205</v>
      </c>
      <c r="L3308" s="10" t="s">
        <v>20455</v>
      </c>
      <c r="M3308" s="10">
        <v>1</v>
      </c>
      <c r="N3308" s="10"/>
      <c r="O3308" s="10"/>
      <c r="P3308" s="10" t="s">
        <v>20456</v>
      </c>
      <c r="Q3308" s="10" t="s">
        <v>20457</v>
      </c>
      <c r="R3308" s="10" t="s">
        <v>20458</v>
      </c>
      <c r="S3308" s="10" t="s">
        <v>53</v>
      </c>
      <c r="T3308" s="10" t="s">
        <v>8346</v>
      </c>
    </row>
    <row r="3309" spans="1:20" ht="14.5" x14ac:dyDescent="0.35">
      <c r="A3309" s="10" t="s">
        <v>20459</v>
      </c>
      <c r="B3309" s="10" t="str">
        <f>"9780814716311"</f>
        <v>9780814716311</v>
      </c>
      <c r="C3309" s="10" t="str">
        <f>"9780814772911"</f>
        <v>9780814772911</v>
      </c>
      <c r="D3309" s="10" t="s">
        <v>20429</v>
      </c>
      <c r="E3309" s="10" t="s">
        <v>20430</v>
      </c>
      <c r="F3309" s="10" t="s">
        <v>70</v>
      </c>
      <c r="G3309" s="10" t="s">
        <v>6317</v>
      </c>
      <c r="H3309" s="11">
        <v>39387</v>
      </c>
      <c r="I3309" s="10">
        <v>2007</v>
      </c>
      <c r="J3309" s="10" t="s">
        <v>20430</v>
      </c>
      <c r="K3309" s="10">
        <v>297</v>
      </c>
      <c r="L3309" s="10" t="s">
        <v>20460</v>
      </c>
      <c r="M3309" s="10">
        <v>1</v>
      </c>
      <c r="N3309" s="10"/>
      <c r="O3309" s="10"/>
      <c r="P3309" s="10" t="s">
        <v>20461</v>
      </c>
      <c r="Q3309" s="10">
        <v>305.86872073000001</v>
      </c>
      <c r="R3309" s="10" t="s">
        <v>20462</v>
      </c>
      <c r="S3309" s="10" t="s">
        <v>53</v>
      </c>
      <c r="T3309" s="10" t="s">
        <v>9993</v>
      </c>
    </row>
    <row r="3310" spans="1:20" ht="14.5" x14ac:dyDescent="0.35">
      <c r="A3310" s="10" t="s">
        <v>20463</v>
      </c>
      <c r="B3310" s="10" t="str">
        <f>"9780814720080"</f>
        <v>9780814720080</v>
      </c>
      <c r="C3310" s="10" t="str">
        <f>"9780814785263"</f>
        <v>9780814785263</v>
      </c>
      <c r="D3310" s="10" t="s">
        <v>20429</v>
      </c>
      <c r="E3310" s="10" t="s">
        <v>20430</v>
      </c>
      <c r="F3310" s="10" t="s">
        <v>70</v>
      </c>
      <c r="G3310" s="10" t="s">
        <v>6317</v>
      </c>
      <c r="H3310" s="11">
        <v>39753</v>
      </c>
      <c r="I3310" s="10">
        <v>2008</v>
      </c>
      <c r="J3310" s="10" t="s">
        <v>20430</v>
      </c>
      <c r="K3310" s="10">
        <v>222</v>
      </c>
      <c r="L3310" s="10" t="s">
        <v>20464</v>
      </c>
      <c r="M3310" s="10">
        <v>1</v>
      </c>
      <c r="N3310" s="10" t="s">
        <v>20465</v>
      </c>
      <c r="O3310" s="10">
        <v>15</v>
      </c>
      <c r="P3310" s="10" t="s">
        <v>20466</v>
      </c>
      <c r="Q3310" s="10">
        <v>373.18</v>
      </c>
      <c r="R3310" s="10" t="s">
        <v>20467</v>
      </c>
      <c r="S3310" s="10" t="s">
        <v>53</v>
      </c>
      <c r="T3310" s="10" t="s">
        <v>54</v>
      </c>
    </row>
    <row r="3311" spans="1:20" ht="14.5" x14ac:dyDescent="0.35">
      <c r="A3311" s="10" t="s">
        <v>20468</v>
      </c>
      <c r="B3311" s="10" t="str">
        <f>"9780814741405"</f>
        <v>9780814741405</v>
      </c>
      <c r="C3311" s="10" t="str">
        <f>"9780814786550"</f>
        <v>9780814786550</v>
      </c>
      <c r="D3311" s="10" t="s">
        <v>20429</v>
      </c>
      <c r="E3311" s="10" t="s">
        <v>20430</v>
      </c>
      <c r="F3311" s="10" t="s">
        <v>70</v>
      </c>
      <c r="G3311" s="10" t="s">
        <v>6317</v>
      </c>
      <c r="H3311" s="11">
        <v>40457</v>
      </c>
      <c r="I3311" s="10">
        <v>2010</v>
      </c>
      <c r="J3311" s="10" t="s">
        <v>20430</v>
      </c>
      <c r="K3311" s="10">
        <v>223</v>
      </c>
      <c r="L3311" s="10" t="s">
        <v>20469</v>
      </c>
      <c r="M3311" s="10">
        <v>1</v>
      </c>
      <c r="N3311" s="10"/>
      <c r="O3311" s="10"/>
      <c r="P3311" s="10" t="s">
        <v>20470</v>
      </c>
      <c r="Q3311" s="10">
        <v>370.11</v>
      </c>
      <c r="R3311" s="10" t="s">
        <v>20471</v>
      </c>
      <c r="S3311" s="10" t="s">
        <v>53</v>
      </c>
      <c r="T3311" s="10" t="s">
        <v>54</v>
      </c>
    </row>
    <row r="3312" spans="1:20" ht="14.5" x14ac:dyDescent="0.35">
      <c r="A3312" s="10" t="s">
        <v>20472</v>
      </c>
      <c r="B3312" s="10" t="str">
        <f>"9780814758595"</f>
        <v>9780814758595</v>
      </c>
      <c r="C3312" s="10" t="str">
        <f>"9780814759059"</f>
        <v>9780814759059</v>
      </c>
      <c r="D3312" s="10" t="s">
        <v>20429</v>
      </c>
      <c r="E3312" s="10" t="s">
        <v>20430</v>
      </c>
      <c r="F3312" s="10" t="s">
        <v>70</v>
      </c>
      <c r="G3312" s="10" t="s">
        <v>6317</v>
      </c>
      <c r="H3312" s="11">
        <v>40212</v>
      </c>
      <c r="I3312" s="10">
        <v>2010</v>
      </c>
      <c r="J3312" s="10" t="s">
        <v>20430</v>
      </c>
      <c r="K3312" s="10">
        <v>300</v>
      </c>
      <c r="L3312" s="10" t="s">
        <v>20473</v>
      </c>
      <c r="M3312" s="10">
        <v>1</v>
      </c>
      <c r="N3312" s="10" t="s">
        <v>20474</v>
      </c>
      <c r="O3312" s="10">
        <v>4</v>
      </c>
      <c r="P3312" s="10" t="s">
        <v>20475</v>
      </c>
      <c r="Q3312" s="10" t="s">
        <v>20476</v>
      </c>
      <c r="R3312" s="10" t="s">
        <v>111</v>
      </c>
      <c r="S3312" s="10" t="s">
        <v>53</v>
      </c>
      <c r="T3312" s="10" t="s">
        <v>54</v>
      </c>
    </row>
    <row r="3313" spans="1:20" ht="14.5" x14ac:dyDescent="0.35">
      <c r="A3313" s="10" t="s">
        <v>20477</v>
      </c>
      <c r="B3313" s="10" t="str">
        <f>"9781441109156"</f>
        <v>9781441109156</v>
      </c>
      <c r="C3313" s="10" t="str">
        <f>"9781441128522"</f>
        <v>9781441128522</v>
      </c>
      <c r="D3313" s="10" t="s">
        <v>13959</v>
      </c>
      <c r="E3313" s="10" t="s">
        <v>13960</v>
      </c>
      <c r="F3313" s="10" t="s">
        <v>139</v>
      </c>
      <c r="G3313" s="10" t="s">
        <v>6352</v>
      </c>
      <c r="H3313" s="11">
        <v>40990</v>
      </c>
      <c r="I3313" s="10">
        <v>2011</v>
      </c>
      <c r="J3313" s="10" t="s">
        <v>13961</v>
      </c>
      <c r="K3313" s="10">
        <v>184</v>
      </c>
      <c r="L3313" s="10" t="s">
        <v>20478</v>
      </c>
      <c r="M3313" s="10">
        <v>1</v>
      </c>
      <c r="N3313" s="10"/>
      <c r="O3313" s="10"/>
      <c r="P3313" s="10" t="s">
        <v>20479</v>
      </c>
      <c r="Q3313" s="10">
        <v>371.200941</v>
      </c>
      <c r="R3313" s="10" t="s">
        <v>15093</v>
      </c>
      <c r="S3313" s="10" t="s">
        <v>53</v>
      </c>
      <c r="T3313" s="10" t="s">
        <v>54</v>
      </c>
    </row>
    <row r="3314" spans="1:20" ht="14.5" x14ac:dyDescent="0.35">
      <c r="A3314" s="10" t="s">
        <v>20480</v>
      </c>
      <c r="B3314" s="10" t="str">
        <f>"9781472530141"</f>
        <v>9781472530141</v>
      </c>
      <c r="C3314" s="10" t="str">
        <f>"9781441172334"</f>
        <v>9781441172334</v>
      </c>
      <c r="D3314" s="10" t="s">
        <v>13959</v>
      </c>
      <c r="E3314" s="10" t="s">
        <v>13960</v>
      </c>
      <c r="F3314" s="10" t="s">
        <v>139</v>
      </c>
      <c r="G3314" s="10" t="s">
        <v>6352</v>
      </c>
      <c r="H3314" s="11">
        <v>41585</v>
      </c>
      <c r="I3314" s="10">
        <v>2012</v>
      </c>
      <c r="J3314" s="10" t="s">
        <v>13961</v>
      </c>
      <c r="K3314" s="10">
        <v>241</v>
      </c>
      <c r="L3314" s="10" t="s">
        <v>20481</v>
      </c>
      <c r="M3314" s="10">
        <v>1</v>
      </c>
      <c r="N3314" s="10"/>
      <c r="O3314" s="10"/>
      <c r="P3314" s="10" t="s">
        <v>20482</v>
      </c>
      <c r="Q3314" s="10">
        <v>428.43071500000002</v>
      </c>
      <c r="R3314" s="10" t="s">
        <v>20483</v>
      </c>
      <c r="S3314" s="10" t="s">
        <v>53</v>
      </c>
      <c r="T3314" s="10" t="s">
        <v>20484</v>
      </c>
    </row>
    <row r="3315" spans="1:20" ht="14.5" x14ac:dyDescent="0.35">
      <c r="A3315" s="10" t="s">
        <v>20485</v>
      </c>
      <c r="B3315" s="10" t="str">
        <f>"9781441161048"</f>
        <v>9781441161048</v>
      </c>
      <c r="C3315" s="10" t="str">
        <f>"9781441187994"</f>
        <v>9781441187994</v>
      </c>
      <c r="D3315" s="10" t="s">
        <v>13959</v>
      </c>
      <c r="E3315" s="10" t="s">
        <v>13960</v>
      </c>
      <c r="F3315" s="10" t="s">
        <v>139</v>
      </c>
      <c r="G3315" s="10" t="s">
        <v>6352</v>
      </c>
      <c r="H3315" s="11">
        <v>40997</v>
      </c>
      <c r="I3315" s="10">
        <v>2011</v>
      </c>
      <c r="J3315" s="10" t="s">
        <v>13961</v>
      </c>
      <c r="K3315" s="10">
        <v>169</v>
      </c>
      <c r="L3315" s="10" t="s">
        <v>20486</v>
      </c>
      <c r="M3315" s="10">
        <v>1</v>
      </c>
      <c r="N3315" s="10"/>
      <c r="O3315" s="10"/>
      <c r="P3315" s="10" t="s">
        <v>20487</v>
      </c>
      <c r="Q3315" s="10">
        <v>372.21</v>
      </c>
      <c r="R3315" s="10" t="s">
        <v>20488</v>
      </c>
      <c r="S3315" s="10" t="s">
        <v>53</v>
      </c>
      <c r="T3315" s="10" t="s">
        <v>54</v>
      </c>
    </row>
    <row r="3316" spans="1:20" ht="14.5" x14ac:dyDescent="0.35">
      <c r="A3316" s="10" t="s">
        <v>20489</v>
      </c>
      <c r="B3316" s="10" t="str">
        <f>"9781441121561"</f>
        <v>9781441121561</v>
      </c>
      <c r="C3316" s="10" t="str">
        <f>"9780826421777"</f>
        <v>9780826421777</v>
      </c>
      <c r="D3316" s="10" t="s">
        <v>13959</v>
      </c>
      <c r="E3316" s="10" t="s">
        <v>13960</v>
      </c>
      <c r="F3316" s="10" t="s">
        <v>139</v>
      </c>
      <c r="G3316" s="10" t="s">
        <v>6352</v>
      </c>
      <c r="H3316" s="11">
        <v>41004</v>
      </c>
      <c r="I3316" s="10">
        <v>2012</v>
      </c>
      <c r="J3316" s="10" t="s">
        <v>13961</v>
      </c>
      <c r="K3316" s="10">
        <v>217</v>
      </c>
      <c r="L3316" s="10" t="s">
        <v>20490</v>
      </c>
      <c r="M3316" s="10">
        <v>1</v>
      </c>
      <c r="N3316" s="10"/>
      <c r="O3316" s="10"/>
      <c r="P3316" s="10" t="s">
        <v>20491</v>
      </c>
      <c r="Q3316" s="10">
        <v>371.95</v>
      </c>
      <c r="R3316" s="10" t="s">
        <v>20492</v>
      </c>
      <c r="S3316" s="10" t="s">
        <v>53</v>
      </c>
      <c r="T3316" s="10" t="s">
        <v>54</v>
      </c>
    </row>
    <row r="3317" spans="1:20" ht="14.5" x14ac:dyDescent="0.35">
      <c r="A3317" s="10" t="s">
        <v>20493</v>
      </c>
      <c r="B3317" s="10" t="str">
        <f>"9781441125699"</f>
        <v>9781441125699</v>
      </c>
      <c r="C3317" s="10" t="str">
        <f>"9781441172600"</f>
        <v>9781441172600</v>
      </c>
      <c r="D3317" s="10" t="s">
        <v>13959</v>
      </c>
      <c r="E3317" s="10" t="s">
        <v>13960</v>
      </c>
      <c r="F3317" s="10" t="s">
        <v>139</v>
      </c>
      <c r="G3317" s="10" t="s">
        <v>6352</v>
      </c>
      <c r="H3317" s="11">
        <v>41004</v>
      </c>
      <c r="I3317" s="10">
        <v>2012</v>
      </c>
      <c r="J3317" s="10" t="s">
        <v>13961</v>
      </c>
      <c r="K3317" s="10">
        <v>233</v>
      </c>
      <c r="L3317" s="10" t="s">
        <v>20494</v>
      </c>
      <c r="M3317" s="10">
        <v>1</v>
      </c>
      <c r="N3317" s="10"/>
      <c r="O3317" s="10"/>
      <c r="P3317" s="10" t="s">
        <v>20495</v>
      </c>
      <c r="Q3317" s="10">
        <v>372.19</v>
      </c>
      <c r="R3317" s="10" t="s">
        <v>20496</v>
      </c>
      <c r="S3317" s="10" t="s">
        <v>53</v>
      </c>
      <c r="T3317" s="10" t="s">
        <v>54</v>
      </c>
    </row>
    <row r="3318" spans="1:20" ht="14.5" x14ac:dyDescent="0.35">
      <c r="A3318" s="10" t="s">
        <v>20497</v>
      </c>
      <c r="B3318" s="10" t="str">
        <f>"9781441113320"</f>
        <v>9781441113320</v>
      </c>
      <c r="C3318" s="10" t="str">
        <f>"9781441178978"</f>
        <v>9781441178978</v>
      </c>
      <c r="D3318" s="10" t="s">
        <v>13959</v>
      </c>
      <c r="E3318" s="10" t="s">
        <v>13960</v>
      </c>
      <c r="F3318" s="10" t="s">
        <v>139</v>
      </c>
      <c r="G3318" s="10" t="s">
        <v>6352</v>
      </c>
      <c r="H3318" s="11">
        <v>40997</v>
      </c>
      <c r="I3318" s="10">
        <v>2012</v>
      </c>
      <c r="J3318" s="10" t="s">
        <v>13961</v>
      </c>
      <c r="K3318" s="10">
        <v>184</v>
      </c>
      <c r="L3318" s="10" t="s">
        <v>20498</v>
      </c>
      <c r="M3318" s="10">
        <v>1</v>
      </c>
      <c r="N3318" s="10"/>
      <c r="O3318" s="10"/>
      <c r="P3318" s="10" t="s">
        <v>20499</v>
      </c>
      <c r="Q3318" s="10" t="s">
        <v>20500</v>
      </c>
      <c r="R3318" s="10" t="s">
        <v>20501</v>
      </c>
      <c r="S3318" s="10" t="s">
        <v>53</v>
      </c>
      <c r="T3318" s="10" t="s">
        <v>54</v>
      </c>
    </row>
    <row r="3319" spans="1:20" ht="14.5" x14ac:dyDescent="0.35">
      <c r="A3319" s="10" t="s">
        <v>20502</v>
      </c>
      <c r="B3319" s="10" t="str">
        <f>"9780521768290"</f>
        <v>9780521768290</v>
      </c>
      <c r="C3319" s="10" t="str">
        <f>"9781139339827"</f>
        <v>9781139339827</v>
      </c>
      <c r="D3319" s="10" t="s">
        <v>397</v>
      </c>
      <c r="E3319" s="10" t="s">
        <v>397</v>
      </c>
      <c r="F3319" s="10" t="s">
        <v>70</v>
      </c>
      <c r="G3319" s="10" t="s">
        <v>6317</v>
      </c>
      <c r="H3319" s="11">
        <v>40994</v>
      </c>
      <c r="I3319" s="10">
        <v>2012</v>
      </c>
      <c r="J3319" s="10" t="s">
        <v>397</v>
      </c>
      <c r="K3319" s="10">
        <v>402</v>
      </c>
      <c r="L3319" s="10" t="s">
        <v>20503</v>
      </c>
      <c r="M3319" s="10">
        <v>1</v>
      </c>
      <c r="N3319" s="10"/>
      <c r="O3319" s="10"/>
      <c r="P3319" s="10" t="s">
        <v>20504</v>
      </c>
      <c r="Q3319" s="10" t="s">
        <v>6942</v>
      </c>
      <c r="R3319" s="10" t="s">
        <v>20505</v>
      </c>
      <c r="S3319" s="10" t="s">
        <v>53</v>
      </c>
      <c r="T3319" s="10" t="s">
        <v>54</v>
      </c>
    </row>
    <row r="3320" spans="1:20" ht="14.5" x14ac:dyDescent="0.35">
      <c r="A3320" s="10" t="s">
        <v>20506</v>
      </c>
      <c r="B3320" s="10" t="str">
        <f>"9781604732702"</f>
        <v>9781604732702</v>
      </c>
      <c r="C3320" s="10" t="str">
        <f>"9780878054589"</f>
        <v>9780878054589</v>
      </c>
      <c r="D3320" s="10" t="s">
        <v>16047</v>
      </c>
      <c r="E3320" s="10" t="s">
        <v>16047</v>
      </c>
      <c r="F3320" s="10" t="s">
        <v>16048</v>
      </c>
      <c r="G3320" s="10" t="s">
        <v>6317</v>
      </c>
      <c r="H3320" s="11">
        <v>38099</v>
      </c>
      <c r="I3320" s="10">
        <v>1990</v>
      </c>
      <c r="J3320" s="10" t="s">
        <v>16047</v>
      </c>
      <c r="K3320" s="10">
        <v>256</v>
      </c>
      <c r="L3320" s="10" t="s">
        <v>20507</v>
      </c>
      <c r="M3320" s="10">
        <v>1</v>
      </c>
      <c r="N3320" s="10"/>
      <c r="O3320" s="10"/>
      <c r="P3320" s="10" t="s">
        <v>20508</v>
      </c>
      <c r="Q3320" s="10">
        <v>378.762</v>
      </c>
      <c r="R3320" s="10" t="s">
        <v>20509</v>
      </c>
      <c r="S3320" s="10" t="s">
        <v>53</v>
      </c>
      <c r="T3320" s="10" t="s">
        <v>54</v>
      </c>
    </row>
    <row r="3321" spans="1:20" ht="14.5" x14ac:dyDescent="0.35">
      <c r="A3321" s="10" t="s">
        <v>20510</v>
      </c>
      <c r="B3321" s="10" t="str">
        <f>"9780520270800"</f>
        <v>9780520270800</v>
      </c>
      <c r="C3321" s="10" t="str">
        <f>"9780520952218"</f>
        <v>9780520952218</v>
      </c>
      <c r="D3321" s="10" t="s">
        <v>8512</v>
      </c>
      <c r="E3321" s="10" t="s">
        <v>8512</v>
      </c>
      <c r="F3321" s="10" t="s">
        <v>717</v>
      </c>
      <c r="G3321" s="10" t="s">
        <v>6317</v>
      </c>
      <c r="H3321" s="11">
        <v>40974</v>
      </c>
      <c r="I3321" s="10">
        <v>2012</v>
      </c>
      <c r="J3321" s="10" t="s">
        <v>8512</v>
      </c>
      <c r="K3321" s="10">
        <v>251</v>
      </c>
      <c r="L3321" s="10" t="s">
        <v>20511</v>
      </c>
      <c r="M3321" s="10">
        <v>1</v>
      </c>
      <c r="N3321" s="10"/>
      <c r="O3321" s="10"/>
      <c r="P3321" s="10" t="s">
        <v>20512</v>
      </c>
      <c r="Q3321" s="10" t="s">
        <v>20513</v>
      </c>
      <c r="R3321" s="10" t="s">
        <v>20514</v>
      </c>
      <c r="S3321" s="10" t="s">
        <v>53</v>
      </c>
      <c r="T3321" s="10" t="s">
        <v>54</v>
      </c>
    </row>
    <row r="3322" spans="1:20" ht="14.5" x14ac:dyDescent="0.35">
      <c r="A3322" s="10" t="s">
        <v>20515</v>
      </c>
      <c r="B3322" s="10" t="str">
        <f>"9781462503377"</f>
        <v>9781462503377</v>
      </c>
      <c r="C3322" s="10" t="str">
        <f>"9781462503469"</f>
        <v>9781462503469</v>
      </c>
      <c r="D3322" s="10" t="s">
        <v>11213</v>
      </c>
      <c r="E3322" s="10" t="s">
        <v>11214</v>
      </c>
      <c r="F3322" s="10" t="s">
        <v>70</v>
      </c>
      <c r="G3322" s="10" t="s">
        <v>6317</v>
      </c>
      <c r="H3322" s="11">
        <v>40984</v>
      </c>
      <c r="I3322" s="10">
        <v>2012</v>
      </c>
      <c r="J3322" s="10" t="s">
        <v>11215</v>
      </c>
      <c r="K3322" s="10">
        <v>656</v>
      </c>
      <c r="L3322" s="10" t="s">
        <v>20516</v>
      </c>
      <c r="M3322" s="10">
        <v>1</v>
      </c>
      <c r="N3322" s="10"/>
      <c r="O3322" s="10"/>
      <c r="P3322" s="10" t="s">
        <v>20517</v>
      </c>
      <c r="Q3322" s="10">
        <v>372.21097300000002</v>
      </c>
      <c r="R3322" s="10" t="s">
        <v>20518</v>
      </c>
      <c r="S3322" s="10" t="s">
        <v>53</v>
      </c>
      <c r="T3322" s="10" t="s">
        <v>54</v>
      </c>
    </row>
    <row r="3323" spans="1:20" ht="14.5" x14ac:dyDescent="0.35">
      <c r="A3323" s="10" t="s">
        <v>20519</v>
      </c>
      <c r="B3323" s="10" t="str">
        <f>"9780821389713"</f>
        <v>9780821389713</v>
      </c>
      <c r="C3323" s="10" t="str">
        <f>"9780821389355"</f>
        <v>9780821389355</v>
      </c>
      <c r="D3323" s="10" t="s">
        <v>14731</v>
      </c>
      <c r="E3323" s="10" t="s">
        <v>14732</v>
      </c>
      <c r="F3323" s="10" t="s">
        <v>14733</v>
      </c>
      <c r="G3323" s="10" t="s">
        <v>6317</v>
      </c>
      <c r="H3323" s="11">
        <v>40946</v>
      </c>
      <c r="I3323" s="10">
        <v>2012</v>
      </c>
      <c r="J3323" s="10" t="s">
        <v>14732</v>
      </c>
      <c r="K3323" s="10">
        <v>116</v>
      </c>
      <c r="L3323" s="10" t="s">
        <v>20520</v>
      </c>
      <c r="M3323" s="10">
        <v>1</v>
      </c>
      <c r="N3323" s="10" t="s">
        <v>14770</v>
      </c>
      <c r="O3323" s="10"/>
      <c r="P3323" s="10" t="s">
        <v>20521</v>
      </c>
      <c r="Q3323" s="10" t="s">
        <v>20522</v>
      </c>
      <c r="R3323" s="10" t="s">
        <v>20523</v>
      </c>
      <c r="S3323" s="10" t="s">
        <v>53</v>
      </c>
      <c r="T3323" s="10" t="s">
        <v>7769</v>
      </c>
    </row>
    <row r="3324" spans="1:20" ht="14.5" x14ac:dyDescent="0.35">
      <c r="A3324" s="10" t="s">
        <v>20524</v>
      </c>
      <c r="B3324" s="10" t="str">
        <f>"9780821388570"</f>
        <v>9780821388570</v>
      </c>
      <c r="C3324" s="10" t="str">
        <f>"9780821388679"</f>
        <v>9780821388679</v>
      </c>
      <c r="D3324" s="10" t="s">
        <v>14731</v>
      </c>
      <c r="E3324" s="10" t="s">
        <v>14732</v>
      </c>
      <c r="F3324" s="10" t="s">
        <v>14733</v>
      </c>
      <c r="G3324" s="10" t="s">
        <v>6317</v>
      </c>
      <c r="H3324" s="11">
        <v>40353</v>
      </c>
      <c r="I3324" s="10">
        <v>2011</v>
      </c>
      <c r="J3324" s="10" t="s">
        <v>14732</v>
      </c>
      <c r="K3324" s="10">
        <v>264</v>
      </c>
      <c r="L3324" s="10" t="s">
        <v>14734</v>
      </c>
      <c r="M3324" s="10">
        <v>1</v>
      </c>
      <c r="N3324" s="10"/>
      <c r="O3324" s="10"/>
      <c r="P3324" s="10" t="s">
        <v>20525</v>
      </c>
      <c r="Q3324" s="10">
        <v>370.9624</v>
      </c>
      <c r="R3324" s="10" t="s">
        <v>20526</v>
      </c>
      <c r="S3324" s="10" t="s">
        <v>53</v>
      </c>
      <c r="T3324" s="10" t="s">
        <v>54</v>
      </c>
    </row>
    <row r="3325" spans="1:20" ht="14.5" x14ac:dyDescent="0.35">
      <c r="A3325" s="10" t="s">
        <v>20527</v>
      </c>
      <c r="B3325" s="10" t="str">
        <f>"9780821380963"</f>
        <v>9780821380963</v>
      </c>
      <c r="C3325" s="10" t="str">
        <f>"9780821380970"</f>
        <v>9780821380970</v>
      </c>
      <c r="D3325" s="10" t="s">
        <v>14731</v>
      </c>
      <c r="E3325" s="10" t="s">
        <v>14732</v>
      </c>
      <c r="F3325" s="10" t="s">
        <v>14733</v>
      </c>
      <c r="G3325" s="10" t="s">
        <v>6317</v>
      </c>
      <c r="H3325" s="11">
        <v>40827</v>
      </c>
      <c r="I3325" s="10">
        <v>2012</v>
      </c>
      <c r="J3325" s="10" t="s">
        <v>14732</v>
      </c>
      <c r="K3325" s="10">
        <v>258</v>
      </c>
      <c r="L3325" s="10" t="s">
        <v>20528</v>
      </c>
      <c r="M3325" s="10">
        <v>1</v>
      </c>
      <c r="N3325" s="10" t="s">
        <v>14770</v>
      </c>
      <c r="O3325" s="10"/>
      <c r="P3325" s="10" t="s">
        <v>20529</v>
      </c>
      <c r="Q3325" s="10">
        <v>370.947</v>
      </c>
      <c r="R3325" s="10" t="s">
        <v>20530</v>
      </c>
      <c r="S3325" s="10" t="s">
        <v>53</v>
      </c>
      <c r="T3325" s="10" t="s">
        <v>54</v>
      </c>
    </row>
    <row r="3326" spans="1:20" ht="14.5" x14ac:dyDescent="0.35">
      <c r="A3326" s="10" t="s">
        <v>20531</v>
      </c>
      <c r="B3326" s="10" t="str">
        <f>"9780821385890"</f>
        <v>9780821385890</v>
      </c>
      <c r="C3326" s="10" t="str">
        <f>"9780821385906"</f>
        <v>9780821385906</v>
      </c>
      <c r="D3326" s="10" t="s">
        <v>14731</v>
      </c>
      <c r="E3326" s="10" t="s">
        <v>14732</v>
      </c>
      <c r="F3326" s="10" t="s">
        <v>14733</v>
      </c>
      <c r="G3326" s="10" t="s">
        <v>6317</v>
      </c>
      <c r="H3326" s="11">
        <v>40544</v>
      </c>
      <c r="I3326" s="10">
        <v>2012</v>
      </c>
      <c r="J3326" s="10" t="s">
        <v>14732</v>
      </c>
      <c r="K3326" s="10">
        <v>216</v>
      </c>
      <c r="L3326" s="10" t="s">
        <v>20532</v>
      </c>
      <c r="M3326" s="10">
        <v>1</v>
      </c>
      <c r="N3326" s="10" t="s">
        <v>15448</v>
      </c>
      <c r="O3326" s="10"/>
      <c r="P3326" s="10" t="s">
        <v>20533</v>
      </c>
      <c r="Q3326" s="10" t="s">
        <v>12332</v>
      </c>
      <c r="R3326" s="10" t="s">
        <v>20534</v>
      </c>
      <c r="S3326" s="10" t="s">
        <v>53</v>
      </c>
      <c r="T3326" s="10" t="s">
        <v>54</v>
      </c>
    </row>
    <row r="3327" spans="1:20" ht="14.5" x14ac:dyDescent="0.35">
      <c r="A3327" s="10" t="s">
        <v>20535</v>
      </c>
      <c r="B3327" s="10" t="str">
        <f>"9781780526423"</f>
        <v>9781780526423</v>
      </c>
      <c r="C3327" s="10" t="str">
        <f>"9781780526430"</f>
        <v>9781780526430</v>
      </c>
      <c r="D3327" s="10" t="s">
        <v>8699</v>
      </c>
      <c r="E3327" s="10" t="s">
        <v>8699</v>
      </c>
      <c r="F3327" s="10" t="s">
        <v>559</v>
      </c>
      <c r="G3327" s="10" t="s">
        <v>6352</v>
      </c>
      <c r="H3327" s="11">
        <v>40949</v>
      </c>
      <c r="I3327" s="10">
        <v>2012</v>
      </c>
      <c r="J3327" s="10" t="s">
        <v>8699</v>
      </c>
      <c r="K3327" s="10">
        <v>368</v>
      </c>
      <c r="L3327" s="10" t="s">
        <v>20536</v>
      </c>
      <c r="M3327" s="10">
        <v>1</v>
      </c>
      <c r="N3327" s="10" t="s">
        <v>20051</v>
      </c>
      <c r="O3327" s="10">
        <v>13</v>
      </c>
      <c r="P3327" s="10" t="s">
        <v>13844</v>
      </c>
      <c r="Q3327" s="10">
        <v>371.2011</v>
      </c>
      <c r="R3327" s="10" t="s">
        <v>20537</v>
      </c>
      <c r="S3327" s="10" t="s">
        <v>53</v>
      </c>
      <c r="T3327" s="10" t="s">
        <v>54</v>
      </c>
    </row>
    <row r="3328" spans="1:20" ht="14.5" x14ac:dyDescent="0.35">
      <c r="A3328" s="10" t="s">
        <v>20538</v>
      </c>
      <c r="B3328" s="10" t="str">
        <f>"9781586488437"</f>
        <v>9781586488437</v>
      </c>
      <c r="C3328" s="10" t="str">
        <f>"9781610390507"</f>
        <v>9781610390507</v>
      </c>
      <c r="D3328" s="10" t="s">
        <v>15536</v>
      </c>
      <c r="E3328" s="10" t="s">
        <v>15537</v>
      </c>
      <c r="F3328" s="10" t="s">
        <v>70</v>
      </c>
      <c r="G3328" s="10" t="s">
        <v>6317</v>
      </c>
      <c r="H3328" s="11">
        <v>40932</v>
      </c>
      <c r="I3328" s="10">
        <v>2012</v>
      </c>
      <c r="J3328" s="10" t="s">
        <v>15537</v>
      </c>
      <c r="K3328" s="10">
        <v>305</v>
      </c>
      <c r="L3328" s="10" t="s">
        <v>20539</v>
      </c>
      <c r="M3328" s="10">
        <v>1</v>
      </c>
      <c r="N3328" s="10"/>
      <c r="O3328" s="10"/>
      <c r="P3328" s="10" t="s">
        <v>20540</v>
      </c>
      <c r="Q3328" s="10" t="s">
        <v>20541</v>
      </c>
      <c r="R3328" s="10" t="s">
        <v>20542</v>
      </c>
      <c r="S3328" s="10" t="s">
        <v>53</v>
      </c>
      <c r="T3328" s="10" t="s">
        <v>54</v>
      </c>
    </row>
    <row r="3329" spans="1:20" ht="14.5" x14ac:dyDescent="0.35">
      <c r="A3329" s="10" t="s">
        <v>20543</v>
      </c>
      <c r="B3329" s="10" t="str">
        <f>"9780566092336"</f>
        <v>9780566092336</v>
      </c>
      <c r="C3329" s="10" t="str">
        <f>"9781409450061"</f>
        <v>9781409450061</v>
      </c>
      <c r="D3329" s="10" t="s">
        <v>6350</v>
      </c>
      <c r="E3329" s="10" t="s">
        <v>6351</v>
      </c>
      <c r="F3329" s="10" t="s">
        <v>748</v>
      </c>
      <c r="G3329" s="10" t="s">
        <v>6352</v>
      </c>
      <c r="H3329" s="11">
        <v>42467</v>
      </c>
      <c r="I3329" s="10">
        <v>2010</v>
      </c>
      <c r="J3329" s="10" t="s">
        <v>6351</v>
      </c>
      <c r="K3329" s="10">
        <v>435</v>
      </c>
      <c r="L3329" s="10" t="s">
        <v>20544</v>
      </c>
      <c r="M3329" s="10">
        <v>1</v>
      </c>
      <c r="N3329" s="10"/>
      <c r="O3329" s="10"/>
      <c r="P3329" s="10" t="s">
        <v>20545</v>
      </c>
      <c r="Q3329" s="10">
        <v>378.17028099999999</v>
      </c>
      <c r="R3329" s="10" t="s">
        <v>20546</v>
      </c>
      <c r="S3329" s="10" t="s">
        <v>53</v>
      </c>
      <c r="T3329" s="10" t="s">
        <v>54</v>
      </c>
    </row>
    <row r="3330" spans="1:20" ht="14.5" x14ac:dyDescent="0.35">
      <c r="A3330" s="10" t="s">
        <v>20547</v>
      </c>
      <c r="B3330" s="10" t="str">
        <f>"9780813546797"</f>
        <v>9780813546797</v>
      </c>
      <c r="C3330" s="10" t="str">
        <f>"9780813548265"</f>
        <v>9780813548265</v>
      </c>
      <c r="D3330" s="10" t="s">
        <v>12251</v>
      </c>
      <c r="E3330" s="10" t="s">
        <v>12251</v>
      </c>
      <c r="F3330" s="10" t="s">
        <v>2510</v>
      </c>
      <c r="G3330" s="10" t="s">
        <v>6317</v>
      </c>
      <c r="H3330" s="11">
        <v>40099</v>
      </c>
      <c r="I3330" s="10">
        <v>2009</v>
      </c>
      <c r="J3330" s="10" t="s">
        <v>12251</v>
      </c>
      <c r="K3330" s="10">
        <v>273</v>
      </c>
      <c r="L3330" s="10" t="s">
        <v>20548</v>
      </c>
      <c r="M3330" s="10">
        <v>1</v>
      </c>
      <c r="N3330" s="10" t="s">
        <v>20549</v>
      </c>
      <c r="O3330" s="10"/>
      <c r="P3330" s="10" t="s">
        <v>11128</v>
      </c>
      <c r="Q3330" s="10" t="s">
        <v>8304</v>
      </c>
      <c r="R3330" s="10" t="s">
        <v>20550</v>
      </c>
      <c r="S3330" s="10" t="s">
        <v>53</v>
      </c>
      <c r="T3330" s="10" t="s">
        <v>54</v>
      </c>
    </row>
    <row r="3331" spans="1:20" ht="14.5" x14ac:dyDescent="0.35">
      <c r="A3331" s="10" t="s">
        <v>20551</v>
      </c>
      <c r="B3331" s="10" t="str">
        <f>"9780813345369"</f>
        <v>9780813345369</v>
      </c>
      <c r="C3331" s="10" t="str">
        <f>"9780813345376"</f>
        <v>9780813345376</v>
      </c>
      <c r="D3331" s="10" t="s">
        <v>6350</v>
      </c>
      <c r="E3331" s="10" t="s">
        <v>6351</v>
      </c>
      <c r="F3331" s="10" t="s">
        <v>1614</v>
      </c>
      <c r="G3331" s="10" t="s">
        <v>6317</v>
      </c>
      <c r="H3331" s="11">
        <v>40969</v>
      </c>
      <c r="I3331" s="10">
        <v>2012</v>
      </c>
      <c r="J3331" s="10" t="s">
        <v>6353</v>
      </c>
      <c r="K3331" s="10">
        <v>289</v>
      </c>
      <c r="L3331" s="10" t="s">
        <v>20552</v>
      </c>
      <c r="M3331" s="10">
        <v>1</v>
      </c>
      <c r="N3331" s="10" t="s">
        <v>20553</v>
      </c>
      <c r="O3331" s="10"/>
      <c r="P3331" s="10" t="s">
        <v>20554</v>
      </c>
      <c r="Q3331" s="10">
        <v>379.73</v>
      </c>
      <c r="R3331" s="10" t="s">
        <v>20555</v>
      </c>
      <c r="S3331" s="10" t="s">
        <v>53</v>
      </c>
      <c r="T3331" s="10" t="s">
        <v>54</v>
      </c>
    </row>
    <row r="3332" spans="1:20" ht="14.5" x14ac:dyDescent="0.35">
      <c r="A3332" s="10" t="s">
        <v>20556</v>
      </c>
      <c r="B3332" s="10" t="str">
        <f>"9781462503544"</f>
        <v>9781462503544</v>
      </c>
      <c r="C3332" s="10" t="str">
        <f>"9781462503575"</f>
        <v>9781462503575</v>
      </c>
      <c r="D3332" s="10" t="s">
        <v>11213</v>
      </c>
      <c r="E3332" s="10" t="s">
        <v>11214</v>
      </c>
      <c r="F3332" s="10" t="s">
        <v>70</v>
      </c>
      <c r="G3332" s="10" t="s">
        <v>6317</v>
      </c>
      <c r="H3332" s="11">
        <v>40948</v>
      </c>
      <c r="I3332" s="10">
        <v>2012</v>
      </c>
      <c r="J3332" s="10" t="s">
        <v>11215</v>
      </c>
      <c r="K3332" s="10">
        <v>240</v>
      </c>
      <c r="L3332" s="10" t="s">
        <v>20557</v>
      </c>
      <c r="M3332" s="10">
        <v>1</v>
      </c>
      <c r="N3332" s="10" t="s">
        <v>12889</v>
      </c>
      <c r="O3332" s="10">
        <v>1</v>
      </c>
      <c r="P3332" s="10" t="s">
        <v>20558</v>
      </c>
      <c r="Q3332" s="10">
        <v>371.9</v>
      </c>
      <c r="R3332" s="10" t="s">
        <v>20559</v>
      </c>
      <c r="S3332" s="10" t="s">
        <v>53</v>
      </c>
      <c r="T3332" s="10" t="s">
        <v>54</v>
      </c>
    </row>
    <row r="3333" spans="1:20" ht="14.5" x14ac:dyDescent="0.35">
      <c r="A3333" s="10" t="s">
        <v>20560</v>
      </c>
      <c r="B3333" s="10" t="str">
        <f>"9781118274897"</f>
        <v>9781118274897</v>
      </c>
      <c r="C3333" s="10" t="str">
        <f>"9781118274880"</f>
        <v>9781118274880</v>
      </c>
      <c r="D3333" s="10" t="s">
        <v>6322</v>
      </c>
      <c r="E3333" s="10" t="s">
        <v>6323</v>
      </c>
      <c r="F3333" s="10" t="s">
        <v>4423</v>
      </c>
      <c r="G3333" s="10" t="s">
        <v>6352</v>
      </c>
      <c r="H3333" s="11">
        <v>41029</v>
      </c>
      <c r="I3333" s="10">
        <v>2012</v>
      </c>
      <c r="J3333" s="10" t="s">
        <v>8436</v>
      </c>
      <c r="K3333" s="10">
        <v>145</v>
      </c>
      <c r="L3333" s="10" t="s">
        <v>16282</v>
      </c>
      <c r="M3333" s="10">
        <v>1</v>
      </c>
      <c r="N3333" s="10" t="s">
        <v>18844</v>
      </c>
      <c r="O3333" s="10">
        <v>31</v>
      </c>
      <c r="P3333" s="10"/>
      <c r="Q3333" s="10">
        <v>370.72</v>
      </c>
      <c r="R3333" s="10" t="s">
        <v>14051</v>
      </c>
      <c r="S3333" s="10" t="s">
        <v>53</v>
      </c>
      <c r="T3333" s="10" t="s">
        <v>54</v>
      </c>
    </row>
    <row r="3334" spans="1:20" ht="14.5" x14ac:dyDescent="0.35">
      <c r="A3334" s="10" t="s">
        <v>20561</v>
      </c>
      <c r="B3334" s="10" t="str">
        <f>"9780470974797"</f>
        <v>9780470974797</v>
      </c>
      <c r="C3334" s="10" t="str">
        <f>"9781119944997"</f>
        <v>9781119944997</v>
      </c>
      <c r="D3334" s="10" t="s">
        <v>6322</v>
      </c>
      <c r="E3334" s="10" t="s">
        <v>6323</v>
      </c>
      <c r="F3334" s="10" t="s">
        <v>4423</v>
      </c>
      <c r="G3334" s="10" t="s">
        <v>6352</v>
      </c>
      <c r="H3334" s="11">
        <v>41001</v>
      </c>
      <c r="I3334" s="10">
        <v>2012</v>
      </c>
      <c r="J3334" s="10" t="s">
        <v>8436</v>
      </c>
      <c r="K3334" s="10">
        <v>234</v>
      </c>
      <c r="L3334" s="10" t="s">
        <v>20562</v>
      </c>
      <c r="M3334" s="10">
        <v>1</v>
      </c>
      <c r="N3334" s="10"/>
      <c r="O3334" s="10"/>
      <c r="P3334" s="10"/>
      <c r="Q3334" s="10" t="s">
        <v>8596</v>
      </c>
      <c r="R3334" s="10" t="s">
        <v>20563</v>
      </c>
      <c r="S3334" s="10" t="s">
        <v>53</v>
      </c>
      <c r="T3334" s="10" t="s">
        <v>54</v>
      </c>
    </row>
    <row r="3335" spans="1:20" ht="14.5" x14ac:dyDescent="0.35">
      <c r="A3335" s="10" t="s">
        <v>20564</v>
      </c>
      <c r="B3335" s="10" t="str">
        <f>"9781118004739"</f>
        <v>9781118004739</v>
      </c>
      <c r="C3335" s="10" t="str">
        <f>"9781118221723"</f>
        <v>9781118221723</v>
      </c>
      <c r="D3335" s="10" t="s">
        <v>6322</v>
      </c>
      <c r="E3335" s="10" t="s">
        <v>6323</v>
      </c>
      <c r="F3335" s="10" t="s">
        <v>6339</v>
      </c>
      <c r="G3335" s="10" t="s">
        <v>6317</v>
      </c>
      <c r="H3335" s="11">
        <v>41283</v>
      </c>
      <c r="I3335" s="10">
        <v>2013</v>
      </c>
      <c r="J3335" s="10" t="s">
        <v>6324</v>
      </c>
      <c r="K3335" s="10">
        <v>178</v>
      </c>
      <c r="L3335" s="10" t="s">
        <v>20565</v>
      </c>
      <c r="M3335" s="10">
        <v>1</v>
      </c>
      <c r="N3335" s="10"/>
      <c r="O3335" s="10"/>
      <c r="P3335" s="10" t="s">
        <v>20566</v>
      </c>
      <c r="Q3335" s="10">
        <v>378.101</v>
      </c>
      <c r="R3335" s="10" t="s">
        <v>20567</v>
      </c>
      <c r="S3335" s="10" t="s">
        <v>53</v>
      </c>
      <c r="T3335" s="10" t="s">
        <v>54</v>
      </c>
    </row>
    <row r="3336" spans="1:20" ht="14.5" x14ac:dyDescent="0.35">
      <c r="A3336" s="10" t="s">
        <v>20568</v>
      </c>
      <c r="B3336" s="10" t="str">
        <f>"9781118118436"</f>
        <v>9781118118436</v>
      </c>
      <c r="C3336" s="10" t="str">
        <f>"9781118224519"</f>
        <v>9781118224519</v>
      </c>
      <c r="D3336" s="10" t="s">
        <v>6322</v>
      </c>
      <c r="E3336" s="10" t="s">
        <v>6323</v>
      </c>
      <c r="F3336" s="10" t="s">
        <v>4423</v>
      </c>
      <c r="G3336" s="10" t="s">
        <v>6317</v>
      </c>
      <c r="H3336" s="11">
        <v>41142</v>
      </c>
      <c r="I3336" s="10">
        <v>2012</v>
      </c>
      <c r="J3336" s="10" t="s">
        <v>6324</v>
      </c>
      <c r="K3336" s="10">
        <v>274</v>
      </c>
      <c r="L3336" s="10" t="s">
        <v>17519</v>
      </c>
      <c r="M3336" s="10">
        <v>1</v>
      </c>
      <c r="N3336" s="10"/>
      <c r="O3336" s="10"/>
      <c r="P3336" s="10"/>
      <c r="Q3336" s="10" t="s">
        <v>8223</v>
      </c>
      <c r="R3336" s="10" t="s">
        <v>20569</v>
      </c>
      <c r="S3336" s="10" t="s">
        <v>53</v>
      </c>
      <c r="T3336" s="10" t="s">
        <v>54</v>
      </c>
    </row>
    <row r="3337" spans="1:20" ht="14.5" x14ac:dyDescent="0.35">
      <c r="A3337" s="10" t="s">
        <v>20570</v>
      </c>
      <c r="B3337" s="10" t="str">
        <f>"9781118192474"</f>
        <v>9781118192474</v>
      </c>
      <c r="C3337" s="10" t="str">
        <f>"9781118395110"</f>
        <v>9781118395110</v>
      </c>
      <c r="D3337" s="10" t="s">
        <v>6322</v>
      </c>
      <c r="E3337" s="10" t="s">
        <v>6323</v>
      </c>
      <c r="F3337" s="10" t="s">
        <v>4423</v>
      </c>
      <c r="G3337" s="10" t="s">
        <v>6317</v>
      </c>
      <c r="H3337" s="11">
        <v>41149</v>
      </c>
      <c r="I3337" s="10">
        <v>2012</v>
      </c>
      <c r="J3337" s="10" t="s">
        <v>6324</v>
      </c>
      <c r="K3337" s="10">
        <v>338</v>
      </c>
      <c r="L3337" s="10" t="s">
        <v>20571</v>
      </c>
      <c r="M3337" s="10">
        <v>1</v>
      </c>
      <c r="N3337" s="10"/>
      <c r="O3337" s="10"/>
      <c r="P3337" s="10"/>
      <c r="Q3337" s="10"/>
      <c r="R3337" s="10" t="s">
        <v>20572</v>
      </c>
      <c r="S3337" s="10" t="s">
        <v>53</v>
      </c>
      <c r="T3337" s="10" t="s">
        <v>54</v>
      </c>
    </row>
    <row r="3338" spans="1:20" ht="14.5" x14ac:dyDescent="0.35">
      <c r="A3338" s="10" t="s">
        <v>20573</v>
      </c>
      <c r="B3338" s="10" t="str">
        <f>"9781606493663"</f>
        <v>9781606493663</v>
      </c>
      <c r="C3338" s="10" t="str">
        <f>"9781606491034"</f>
        <v>9781606491034</v>
      </c>
      <c r="D3338" s="10" t="s">
        <v>20574</v>
      </c>
      <c r="E3338" s="10" t="s">
        <v>20574</v>
      </c>
      <c r="F3338" s="10" t="s">
        <v>70</v>
      </c>
      <c r="G3338" s="10" t="s">
        <v>6317</v>
      </c>
      <c r="H3338" s="11">
        <v>40897</v>
      </c>
      <c r="I3338" s="10">
        <v>2013</v>
      </c>
      <c r="J3338" s="10" t="s">
        <v>20574</v>
      </c>
      <c r="K3338" s="10">
        <v>186</v>
      </c>
      <c r="L3338" s="10" t="s">
        <v>20575</v>
      </c>
      <c r="M3338" s="10">
        <v>1</v>
      </c>
      <c r="N3338" s="10"/>
      <c r="O3338" s="10"/>
      <c r="P3338" s="10" t="s">
        <v>20576</v>
      </c>
      <c r="Q3338" s="10">
        <v>378.11099999999999</v>
      </c>
      <c r="R3338" s="10" t="s">
        <v>20577</v>
      </c>
      <c r="S3338" s="10" t="s">
        <v>53</v>
      </c>
      <c r="T3338" s="10" t="s">
        <v>54</v>
      </c>
    </row>
    <row r="3339" spans="1:20" ht="14.5" x14ac:dyDescent="0.35">
      <c r="A3339" s="10" t="s">
        <v>20578</v>
      </c>
      <c r="B3339" s="10" t="str">
        <f>"9781610483421"</f>
        <v>9781610483421</v>
      </c>
      <c r="C3339" s="10" t="str">
        <f>"9781610483445"</f>
        <v>9781610483445</v>
      </c>
      <c r="D3339" s="10" t="s">
        <v>9752</v>
      </c>
      <c r="E3339" s="10" t="s">
        <v>15192</v>
      </c>
      <c r="F3339" s="10" t="s">
        <v>9754</v>
      </c>
      <c r="G3339" s="10" t="s">
        <v>6317</v>
      </c>
      <c r="H3339" s="11">
        <v>40983</v>
      </c>
      <c r="I3339" s="10">
        <v>2012</v>
      </c>
      <c r="J3339" s="10" t="s">
        <v>15192</v>
      </c>
      <c r="K3339" s="10">
        <v>149</v>
      </c>
      <c r="L3339" s="10" t="s">
        <v>20579</v>
      </c>
      <c r="M3339" s="10">
        <v>1</v>
      </c>
      <c r="N3339" s="10"/>
      <c r="O3339" s="10"/>
      <c r="P3339" s="10" t="s">
        <v>20580</v>
      </c>
      <c r="Q3339" s="10">
        <v>371.5</v>
      </c>
      <c r="R3339" s="10" t="s">
        <v>20581</v>
      </c>
      <c r="S3339" s="10" t="s">
        <v>53</v>
      </c>
      <c r="T3339" s="10" t="s">
        <v>54</v>
      </c>
    </row>
    <row r="3340" spans="1:20" ht="14.5" x14ac:dyDescent="0.35">
      <c r="A3340" s="10" t="s">
        <v>20582</v>
      </c>
      <c r="B3340" s="10" t="str">
        <f>"9781610486873"</f>
        <v>9781610486873</v>
      </c>
      <c r="C3340" s="10" t="str">
        <f>"9781610486897"</f>
        <v>9781610486897</v>
      </c>
      <c r="D3340" s="10" t="s">
        <v>9752</v>
      </c>
      <c r="E3340" s="10" t="s">
        <v>15192</v>
      </c>
      <c r="F3340" s="10" t="s">
        <v>9754</v>
      </c>
      <c r="G3340" s="10" t="s">
        <v>6317</v>
      </c>
      <c r="H3340" s="11">
        <v>40976</v>
      </c>
      <c r="I3340" s="10">
        <v>2012</v>
      </c>
      <c r="J3340" s="10" t="s">
        <v>15192</v>
      </c>
      <c r="K3340" s="10">
        <v>341</v>
      </c>
      <c r="L3340" s="10" t="s">
        <v>20583</v>
      </c>
      <c r="M3340" s="10">
        <v>1</v>
      </c>
      <c r="N3340" s="10"/>
      <c r="O3340" s="10"/>
      <c r="P3340" s="10" t="s">
        <v>20584</v>
      </c>
      <c r="Q3340" s="10" t="s">
        <v>17621</v>
      </c>
      <c r="R3340" s="10" t="s">
        <v>20585</v>
      </c>
      <c r="S3340" s="10" t="s">
        <v>53</v>
      </c>
      <c r="T3340" s="10" t="s">
        <v>54</v>
      </c>
    </row>
    <row r="3341" spans="1:20" ht="14.5" x14ac:dyDescent="0.35">
      <c r="A3341" s="10" t="s">
        <v>20586</v>
      </c>
      <c r="B3341" s="10" t="str">
        <f>"9780907845348"</f>
        <v>9780907845348</v>
      </c>
      <c r="C3341" s="10" t="str">
        <f>"9781845403737"</f>
        <v>9781845403737</v>
      </c>
      <c r="D3341" s="10" t="s">
        <v>19500</v>
      </c>
      <c r="E3341" s="10" t="s">
        <v>19501</v>
      </c>
      <c r="F3341" s="10" t="s">
        <v>20587</v>
      </c>
      <c r="G3341" s="10" t="s">
        <v>6352</v>
      </c>
      <c r="H3341" s="11">
        <v>37384</v>
      </c>
      <c r="I3341" s="10">
        <v>2012</v>
      </c>
      <c r="J3341" s="10" t="s">
        <v>19503</v>
      </c>
      <c r="K3341" s="10">
        <v>295</v>
      </c>
      <c r="L3341" s="10" t="s">
        <v>20588</v>
      </c>
      <c r="M3341" s="10">
        <v>1</v>
      </c>
      <c r="N3341" s="10"/>
      <c r="O3341" s="10"/>
      <c r="P3341" s="10" t="s">
        <v>20589</v>
      </c>
      <c r="Q3341" s="10">
        <v>378</v>
      </c>
      <c r="R3341" s="10" t="s">
        <v>20590</v>
      </c>
      <c r="S3341" s="10" t="s">
        <v>53</v>
      </c>
      <c r="T3341" s="10" t="s">
        <v>54</v>
      </c>
    </row>
    <row r="3342" spans="1:20" ht="14.5" x14ac:dyDescent="0.35">
      <c r="A3342" s="10" t="s">
        <v>20591</v>
      </c>
      <c r="B3342" s="10" t="str">
        <f>"9781416614098"</f>
        <v>9781416614098</v>
      </c>
      <c r="C3342" s="10" t="str">
        <f>"9781416614470"</f>
        <v>9781416614470</v>
      </c>
      <c r="D3342" s="10" t="s">
        <v>10014</v>
      </c>
      <c r="E3342" s="10" t="s">
        <v>10015</v>
      </c>
      <c r="F3342" s="10" t="s">
        <v>201</v>
      </c>
      <c r="G3342" s="10" t="s">
        <v>6317</v>
      </c>
      <c r="H3342" s="11">
        <v>40909</v>
      </c>
      <c r="I3342" s="10">
        <v>2012</v>
      </c>
      <c r="J3342" s="10" t="s">
        <v>10015</v>
      </c>
      <c r="K3342" s="10">
        <v>150</v>
      </c>
      <c r="L3342" s="10" t="s">
        <v>18852</v>
      </c>
      <c r="M3342" s="10">
        <v>1</v>
      </c>
      <c r="N3342" s="10"/>
      <c r="O3342" s="10"/>
      <c r="P3342" s="10"/>
      <c r="Q3342" s="10"/>
      <c r="R3342" s="10"/>
      <c r="S3342" s="10" t="s">
        <v>53</v>
      </c>
      <c r="T3342" s="10" t="s">
        <v>54</v>
      </c>
    </row>
    <row r="3343" spans="1:20" ht="14.5" x14ac:dyDescent="0.35">
      <c r="A3343" s="10" t="s">
        <v>20592</v>
      </c>
      <c r="B3343" s="10" t="str">
        <f>"9780807829530"</f>
        <v>9780807829530</v>
      </c>
      <c r="C3343" s="10" t="str">
        <f>"9781469605128"</f>
        <v>9781469605128</v>
      </c>
      <c r="D3343" s="10" t="s">
        <v>13324</v>
      </c>
      <c r="E3343" s="10" t="s">
        <v>13335</v>
      </c>
      <c r="F3343" s="10" t="s">
        <v>2388</v>
      </c>
      <c r="G3343" s="10" t="s">
        <v>6317</v>
      </c>
      <c r="H3343" s="11">
        <v>38607</v>
      </c>
      <c r="I3343" s="10">
        <v>2005</v>
      </c>
      <c r="J3343" s="10" t="s">
        <v>13335</v>
      </c>
      <c r="K3343" s="10">
        <v>396</v>
      </c>
      <c r="L3343" s="10" t="s">
        <v>20593</v>
      </c>
      <c r="M3343" s="10">
        <v>1</v>
      </c>
      <c r="N3343" s="10" t="s">
        <v>20594</v>
      </c>
      <c r="O3343" s="10"/>
      <c r="P3343" s="10" t="s">
        <v>20595</v>
      </c>
      <c r="Q3343" s="10" t="s">
        <v>20596</v>
      </c>
      <c r="R3343" s="10" t="s">
        <v>20597</v>
      </c>
      <c r="S3343" s="10" t="s">
        <v>53</v>
      </c>
      <c r="T3343" s="10" t="s">
        <v>54</v>
      </c>
    </row>
    <row r="3344" spans="1:20" ht="14.5" x14ac:dyDescent="0.35">
      <c r="A3344" s="10" t="s">
        <v>20598</v>
      </c>
      <c r="B3344" s="10" t="str">
        <f>"9780807842218"</f>
        <v>9780807842218</v>
      </c>
      <c r="C3344" s="10" t="str">
        <f>"9780807898888"</f>
        <v>9780807898888</v>
      </c>
      <c r="D3344" s="10" t="s">
        <v>13324</v>
      </c>
      <c r="E3344" s="10" t="s">
        <v>13335</v>
      </c>
      <c r="F3344" s="10" t="s">
        <v>2388</v>
      </c>
      <c r="G3344" s="10" t="s">
        <v>6317</v>
      </c>
      <c r="H3344" s="11">
        <v>32395</v>
      </c>
      <c r="I3344" s="10">
        <v>1988</v>
      </c>
      <c r="J3344" s="10" t="s">
        <v>13335</v>
      </c>
      <c r="K3344" s="10">
        <v>383</v>
      </c>
      <c r="L3344" s="10" t="s">
        <v>20599</v>
      </c>
      <c r="M3344" s="10">
        <v>1</v>
      </c>
      <c r="N3344" s="10"/>
      <c r="O3344" s="10"/>
      <c r="P3344" s="10" t="s">
        <v>20600</v>
      </c>
      <c r="Q3344" s="10"/>
      <c r="R3344" s="10" t="s">
        <v>20601</v>
      </c>
      <c r="S3344" s="10" t="s">
        <v>53</v>
      </c>
      <c r="T3344" s="10" t="s">
        <v>54</v>
      </c>
    </row>
    <row r="3345" spans="1:20" ht="14.5" x14ac:dyDescent="0.35">
      <c r="A3345" s="10" t="s">
        <v>20602</v>
      </c>
      <c r="B3345" s="10" t="str">
        <f>"9780807829424"</f>
        <v>9780807829424</v>
      </c>
      <c r="C3345" s="10" t="str">
        <f>"9780807887639"</f>
        <v>9780807887639</v>
      </c>
      <c r="D3345" s="10" t="s">
        <v>13324</v>
      </c>
      <c r="E3345" s="10" t="s">
        <v>13335</v>
      </c>
      <c r="F3345" s="10" t="s">
        <v>2388</v>
      </c>
      <c r="G3345" s="10" t="s">
        <v>6317</v>
      </c>
      <c r="H3345" s="11">
        <v>38432</v>
      </c>
      <c r="I3345" s="10">
        <v>2005</v>
      </c>
      <c r="J3345" s="10" t="s">
        <v>13335</v>
      </c>
      <c r="K3345" s="10">
        <v>175</v>
      </c>
      <c r="L3345" s="10" t="s">
        <v>20603</v>
      </c>
      <c r="M3345" s="10">
        <v>1</v>
      </c>
      <c r="N3345" s="10" t="s">
        <v>20594</v>
      </c>
      <c r="O3345" s="10"/>
      <c r="P3345" s="10" t="s">
        <v>20604</v>
      </c>
      <c r="Q3345" s="10">
        <v>378.125</v>
      </c>
      <c r="R3345" s="10" t="s">
        <v>20605</v>
      </c>
      <c r="S3345" s="10" t="s">
        <v>53</v>
      </c>
      <c r="T3345" s="10" t="s">
        <v>54</v>
      </c>
    </row>
    <row r="3346" spans="1:20" ht="14.5" x14ac:dyDescent="0.35">
      <c r="A3346" s="10" t="s">
        <v>20606</v>
      </c>
      <c r="B3346" s="10" t="str">
        <f>"9780807821671"</f>
        <v>9780807821671</v>
      </c>
      <c r="C3346" s="10" t="str">
        <f>"9780807863008"</f>
        <v>9780807863008</v>
      </c>
      <c r="D3346" s="10" t="s">
        <v>13324</v>
      </c>
      <c r="E3346" s="10" t="s">
        <v>2387</v>
      </c>
      <c r="F3346" s="10" t="s">
        <v>2388</v>
      </c>
      <c r="G3346" s="10" t="s">
        <v>6317</v>
      </c>
      <c r="H3346" s="11">
        <v>29495</v>
      </c>
      <c r="I3346" s="10">
        <v>1995</v>
      </c>
      <c r="J3346" s="10" t="s">
        <v>2387</v>
      </c>
      <c r="K3346" s="10">
        <v>480</v>
      </c>
      <c r="L3346" s="10" t="s">
        <v>20607</v>
      </c>
      <c r="M3346" s="10">
        <v>1</v>
      </c>
      <c r="N3346" s="10"/>
      <c r="O3346" s="10"/>
      <c r="P3346" s="10" t="s">
        <v>20608</v>
      </c>
      <c r="Q3346" s="10" t="s">
        <v>20609</v>
      </c>
      <c r="R3346" s="10" t="s">
        <v>20610</v>
      </c>
      <c r="S3346" s="10" t="s">
        <v>53</v>
      </c>
      <c r="T3346" s="10" t="s">
        <v>54</v>
      </c>
    </row>
    <row r="3347" spans="1:20" ht="14.5" x14ac:dyDescent="0.35">
      <c r="A3347" s="10" t="s">
        <v>20611</v>
      </c>
      <c r="B3347" s="10" t="str">
        <f>"9780807835074"</f>
        <v>9780807835074</v>
      </c>
      <c r="C3347" s="10" t="str">
        <f>"9780807869369"</f>
        <v>9780807869369</v>
      </c>
      <c r="D3347" s="10" t="s">
        <v>13324</v>
      </c>
      <c r="E3347" s="10" t="s">
        <v>13335</v>
      </c>
      <c r="F3347" s="10" t="s">
        <v>2388</v>
      </c>
      <c r="G3347" s="10" t="s">
        <v>6317</v>
      </c>
      <c r="H3347" s="11">
        <v>40882</v>
      </c>
      <c r="I3347" s="10">
        <v>2011</v>
      </c>
      <c r="J3347" s="10" t="s">
        <v>13335</v>
      </c>
      <c r="K3347" s="10">
        <v>250</v>
      </c>
      <c r="L3347" s="10" t="s">
        <v>20612</v>
      </c>
      <c r="M3347" s="10">
        <v>1</v>
      </c>
      <c r="N3347" s="10"/>
      <c r="O3347" s="10"/>
      <c r="P3347" s="10" t="s">
        <v>20613</v>
      </c>
      <c r="Q3347" s="10">
        <v>379.26097556320002</v>
      </c>
      <c r="R3347" s="10" t="s">
        <v>20614</v>
      </c>
      <c r="S3347" s="10" t="s">
        <v>53</v>
      </c>
      <c r="T3347" s="10" t="s">
        <v>54</v>
      </c>
    </row>
    <row r="3348" spans="1:20" ht="14.5" x14ac:dyDescent="0.35">
      <c r="A3348" s="10" t="s">
        <v>20615</v>
      </c>
      <c r="B3348" s="10" t="str">
        <f>"9780807829202"</f>
        <v>9780807829202</v>
      </c>
      <c r="C3348" s="10" t="str">
        <f>"9780807888971"</f>
        <v>9780807888971</v>
      </c>
      <c r="D3348" s="10" t="s">
        <v>13324</v>
      </c>
      <c r="E3348" s="10" t="s">
        <v>13335</v>
      </c>
      <c r="F3348" s="10" t="s">
        <v>2388</v>
      </c>
      <c r="G3348" s="10" t="s">
        <v>6317</v>
      </c>
      <c r="H3348" s="11">
        <v>38418</v>
      </c>
      <c r="I3348" s="10">
        <v>2005</v>
      </c>
      <c r="J3348" s="10" t="s">
        <v>13335</v>
      </c>
      <c r="K3348" s="10">
        <v>302</v>
      </c>
      <c r="L3348" s="10" t="s">
        <v>20616</v>
      </c>
      <c r="M3348" s="10">
        <v>1</v>
      </c>
      <c r="N3348" s="10" t="s">
        <v>20617</v>
      </c>
      <c r="O3348" s="10"/>
      <c r="P3348" s="10" t="s">
        <v>20618</v>
      </c>
      <c r="Q3348" s="10" t="s">
        <v>20619</v>
      </c>
      <c r="R3348" s="10" t="s">
        <v>20620</v>
      </c>
      <c r="S3348" s="10" t="s">
        <v>53</v>
      </c>
      <c r="T3348" s="10" t="s">
        <v>54</v>
      </c>
    </row>
    <row r="3349" spans="1:20" ht="14.5" x14ac:dyDescent="0.35">
      <c r="A3349" s="10" t="s">
        <v>20621</v>
      </c>
      <c r="B3349" s="10" t="str">
        <f>"9781107009691"</f>
        <v>9781107009691</v>
      </c>
      <c r="C3349" s="10" t="str">
        <f>"9781139375603"</f>
        <v>9781139375603</v>
      </c>
      <c r="D3349" s="10" t="s">
        <v>397</v>
      </c>
      <c r="E3349" s="10" t="s">
        <v>397</v>
      </c>
      <c r="F3349" s="10" t="s">
        <v>612</v>
      </c>
      <c r="G3349" s="10" t="s">
        <v>6352</v>
      </c>
      <c r="H3349" s="11">
        <v>41032</v>
      </c>
      <c r="I3349" s="10">
        <v>2012</v>
      </c>
      <c r="J3349" s="10" t="s">
        <v>397</v>
      </c>
      <c r="K3349" s="10">
        <v>462</v>
      </c>
      <c r="L3349" s="10" t="s">
        <v>20622</v>
      </c>
      <c r="M3349" s="10">
        <v>1</v>
      </c>
      <c r="N3349" s="10"/>
      <c r="O3349" s="10"/>
      <c r="P3349" s="10" t="s">
        <v>20623</v>
      </c>
      <c r="Q3349" s="10">
        <v>378.44361090199999</v>
      </c>
      <c r="R3349" s="10" t="s">
        <v>20624</v>
      </c>
      <c r="S3349" s="10" t="s">
        <v>53</v>
      </c>
      <c r="T3349" s="10" t="s">
        <v>54</v>
      </c>
    </row>
    <row r="3350" spans="1:20" ht="14.5" x14ac:dyDescent="0.35">
      <c r="A3350" s="10" t="s">
        <v>20625</v>
      </c>
      <c r="B3350" s="10" t="str">
        <f>"9780857027320"</f>
        <v>9780857027320</v>
      </c>
      <c r="C3350" s="10" t="str">
        <f>"9781446258309"</f>
        <v>9781446258309</v>
      </c>
      <c r="D3350" s="10" t="s">
        <v>9325</v>
      </c>
      <c r="E3350" s="10" t="s">
        <v>9326</v>
      </c>
      <c r="F3350" s="10" t="s">
        <v>139</v>
      </c>
      <c r="G3350" s="10" t="s">
        <v>6352</v>
      </c>
      <c r="H3350" s="11">
        <v>41043</v>
      </c>
      <c r="I3350" s="10">
        <v>2012</v>
      </c>
      <c r="J3350" s="10" t="s">
        <v>9326</v>
      </c>
      <c r="K3350" s="10">
        <v>162</v>
      </c>
      <c r="L3350" s="10" t="s">
        <v>20626</v>
      </c>
      <c r="M3350" s="10">
        <v>1</v>
      </c>
      <c r="N3350" s="10"/>
      <c r="O3350" s="10"/>
      <c r="P3350" s="10" t="s">
        <v>20627</v>
      </c>
      <c r="Q3350" s="10">
        <v>370.15699999999998</v>
      </c>
      <c r="R3350" s="10" t="s">
        <v>20628</v>
      </c>
      <c r="S3350" s="10" t="s">
        <v>53</v>
      </c>
      <c r="T3350" s="10" t="s">
        <v>54</v>
      </c>
    </row>
    <row r="3351" spans="1:20" ht="14.5" x14ac:dyDescent="0.35">
      <c r="A3351" s="10" t="s">
        <v>20629</v>
      </c>
      <c r="B3351" s="10" t="str">
        <f>"9781446207666"</f>
        <v>9781446207666</v>
      </c>
      <c r="C3351" s="10" t="str">
        <f>"9781446258590"</f>
        <v>9781446258590</v>
      </c>
      <c r="D3351" s="10" t="s">
        <v>9325</v>
      </c>
      <c r="E3351" s="10" t="s">
        <v>9326</v>
      </c>
      <c r="F3351" s="10" t="s">
        <v>139</v>
      </c>
      <c r="G3351" s="10" t="s">
        <v>6352</v>
      </c>
      <c r="H3351" s="11">
        <v>41031</v>
      </c>
      <c r="I3351" s="10">
        <v>2012</v>
      </c>
      <c r="J3351" s="10" t="s">
        <v>9326</v>
      </c>
      <c r="K3351" s="10">
        <v>137</v>
      </c>
      <c r="L3351" s="10" t="s">
        <v>20630</v>
      </c>
      <c r="M3351" s="10">
        <v>2</v>
      </c>
      <c r="N3351" s="10" t="s">
        <v>11973</v>
      </c>
      <c r="O3351" s="10"/>
      <c r="P3351" s="10" t="s">
        <v>20631</v>
      </c>
      <c r="Q3351" s="10">
        <v>371.94</v>
      </c>
      <c r="R3351" s="10" t="s">
        <v>20632</v>
      </c>
      <c r="S3351" s="10" t="s">
        <v>53</v>
      </c>
      <c r="T3351" s="10" t="s">
        <v>10541</v>
      </c>
    </row>
    <row r="3352" spans="1:20" ht="14.5" x14ac:dyDescent="0.35">
      <c r="A3352" s="10" t="s">
        <v>20633</v>
      </c>
      <c r="B3352" s="10" t="str">
        <f>"9780470061091"</f>
        <v>9780470061091</v>
      </c>
      <c r="C3352" s="10" t="str">
        <f>"9781119942979"</f>
        <v>9781119942979</v>
      </c>
      <c r="D3352" s="10" t="s">
        <v>6322</v>
      </c>
      <c r="E3352" s="10" t="s">
        <v>6323</v>
      </c>
      <c r="F3352" s="10" t="s">
        <v>4423</v>
      </c>
      <c r="G3352" s="10" t="s">
        <v>6352</v>
      </c>
      <c r="H3352" s="11">
        <v>41058</v>
      </c>
      <c r="I3352" s="10">
        <v>2012</v>
      </c>
      <c r="J3352" s="10" t="s">
        <v>6323</v>
      </c>
      <c r="K3352" s="10">
        <v>296</v>
      </c>
      <c r="L3352" s="10" t="s">
        <v>20634</v>
      </c>
      <c r="M3352" s="10">
        <v>1</v>
      </c>
      <c r="N3352" s="10" t="s">
        <v>20635</v>
      </c>
      <c r="O3352" s="10">
        <v>126</v>
      </c>
      <c r="P3352" s="10"/>
      <c r="Q3352" s="10">
        <v>610.72</v>
      </c>
      <c r="R3352" s="10" t="s">
        <v>20636</v>
      </c>
      <c r="S3352" s="10" t="s">
        <v>53</v>
      </c>
      <c r="T3352" s="10" t="s">
        <v>8625</v>
      </c>
    </row>
    <row r="3353" spans="1:20" ht="14.5" x14ac:dyDescent="0.35">
      <c r="A3353" s="10" t="s">
        <v>20637</v>
      </c>
      <c r="B3353" s="10" t="str">
        <f>"9780816677955"</f>
        <v>9780816677955</v>
      </c>
      <c r="C3353" s="10" t="str">
        <f>"9781299944718"</f>
        <v>9781299944718</v>
      </c>
      <c r="D3353" s="10" t="s">
        <v>11428</v>
      </c>
      <c r="E3353" s="10" t="s">
        <v>11428</v>
      </c>
      <c r="F3353" s="10" t="s">
        <v>2186</v>
      </c>
      <c r="G3353" s="10" t="s">
        <v>6317</v>
      </c>
      <c r="H3353" s="11">
        <v>40917</v>
      </c>
      <c r="I3353" s="10">
        <v>2012</v>
      </c>
      <c r="J3353" s="10" t="s">
        <v>11428</v>
      </c>
      <c r="K3353" s="10">
        <v>533</v>
      </c>
      <c r="L3353" s="10" t="s">
        <v>20638</v>
      </c>
      <c r="M3353" s="10">
        <v>1</v>
      </c>
      <c r="N3353" s="10" t="s">
        <v>20639</v>
      </c>
      <c r="O3353" s="10"/>
      <c r="P3353" s="10" t="s">
        <v>20640</v>
      </c>
      <c r="Q3353" s="10">
        <v>1.3070999999999999</v>
      </c>
      <c r="R3353" s="10"/>
      <c r="S3353" s="10" t="s">
        <v>53</v>
      </c>
      <c r="T3353" s="10" t="s">
        <v>6601</v>
      </c>
    </row>
    <row r="3354" spans="1:20" ht="14.5" x14ac:dyDescent="0.35">
      <c r="A3354" s="10" t="s">
        <v>20641</v>
      </c>
      <c r="B3354" s="10" t="str">
        <f>"9789400719934"</f>
        <v>9789400719934</v>
      </c>
      <c r="C3354" s="10" t="str">
        <f>"9789400719941"</f>
        <v>9789400719941</v>
      </c>
      <c r="D3354" s="10" t="s">
        <v>11249</v>
      </c>
      <c r="E3354" s="10" t="s">
        <v>12215</v>
      </c>
      <c r="F3354" s="10" t="s">
        <v>206</v>
      </c>
      <c r="G3354" s="10" t="s">
        <v>9233</v>
      </c>
      <c r="H3354" s="11">
        <v>40820</v>
      </c>
      <c r="I3354" s="10">
        <v>2012</v>
      </c>
      <c r="J3354" s="10" t="s">
        <v>13067</v>
      </c>
      <c r="K3354" s="10">
        <v>310</v>
      </c>
      <c r="L3354" s="10" t="s">
        <v>20642</v>
      </c>
      <c r="M3354" s="10">
        <v>1</v>
      </c>
      <c r="N3354" s="10" t="s">
        <v>20643</v>
      </c>
      <c r="O3354" s="10">
        <v>52</v>
      </c>
      <c r="P3354" s="10" t="s">
        <v>20644</v>
      </c>
      <c r="Q3354" s="10">
        <v>510.71</v>
      </c>
      <c r="R3354" s="10" t="s">
        <v>20645</v>
      </c>
      <c r="S3354" s="10" t="s">
        <v>53</v>
      </c>
      <c r="T3354" s="10" t="s">
        <v>389</v>
      </c>
    </row>
    <row r="3355" spans="1:20" ht="14.5" x14ac:dyDescent="0.35">
      <c r="A3355" s="10" t="s">
        <v>20646</v>
      </c>
      <c r="B3355" s="10" t="str">
        <f>"9780123695192"</f>
        <v>9780123695192</v>
      </c>
      <c r="C3355" s="10" t="str">
        <f>"9780080575490"</f>
        <v>9780080575490</v>
      </c>
      <c r="D3355" s="10" t="s">
        <v>8547</v>
      </c>
      <c r="E3355" s="10" t="s">
        <v>8548</v>
      </c>
      <c r="F3355" s="10" t="s">
        <v>1232</v>
      </c>
      <c r="G3355" s="10" t="s">
        <v>6317</v>
      </c>
      <c r="H3355" s="11">
        <v>38588</v>
      </c>
      <c r="I3355" s="10">
        <v>2000</v>
      </c>
      <c r="J3355" s="10" t="s">
        <v>1231</v>
      </c>
      <c r="K3355" s="10">
        <v>814</v>
      </c>
      <c r="L3355" s="10" t="s">
        <v>20647</v>
      </c>
      <c r="M3355" s="10">
        <v>1</v>
      </c>
      <c r="N3355" s="10"/>
      <c r="O3355" s="10"/>
      <c r="P3355" s="10" t="s">
        <v>20648</v>
      </c>
      <c r="Q3355" s="10" t="s">
        <v>20649</v>
      </c>
      <c r="R3355" s="10" t="s">
        <v>20650</v>
      </c>
      <c r="S3355" s="10" t="s">
        <v>53</v>
      </c>
      <c r="T3355" s="10" t="s">
        <v>483</v>
      </c>
    </row>
    <row r="3356" spans="1:20" ht="14.5" x14ac:dyDescent="0.35">
      <c r="A3356" s="10" t="s">
        <v>20651</v>
      </c>
      <c r="B3356" s="10" t="str">
        <f>"9781462504411"</f>
        <v>9781462504411</v>
      </c>
      <c r="C3356" s="10" t="str">
        <f>"9781462504428"</f>
        <v>9781462504428</v>
      </c>
      <c r="D3356" s="10" t="s">
        <v>11213</v>
      </c>
      <c r="E3356" s="10" t="s">
        <v>11214</v>
      </c>
      <c r="F3356" s="10" t="s">
        <v>70</v>
      </c>
      <c r="G3356" s="10" t="s">
        <v>6317</v>
      </c>
      <c r="H3356" s="11">
        <v>41014</v>
      </c>
      <c r="I3356" s="10">
        <v>2012</v>
      </c>
      <c r="J3356" s="10" t="s">
        <v>11215</v>
      </c>
      <c r="K3356" s="10">
        <v>353</v>
      </c>
      <c r="L3356" s="10" t="s">
        <v>20652</v>
      </c>
      <c r="M3356" s="10">
        <v>2</v>
      </c>
      <c r="N3356" s="10"/>
      <c r="O3356" s="10"/>
      <c r="P3356" s="10" t="s">
        <v>20653</v>
      </c>
      <c r="Q3356" s="10">
        <v>372.41</v>
      </c>
      <c r="R3356" s="10" t="s">
        <v>20654</v>
      </c>
      <c r="S3356" s="10" t="s">
        <v>53</v>
      </c>
      <c r="T3356" s="10" t="s">
        <v>54</v>
      </c>
    </row>
    <row r="3357" spans="1:20" ht="14.5" x14ac:dyDescent="0.35">
      <c r="A3357" s="10" t="s">
        <v>20655</v>
      </c>
      <c r="B3357" s="10" t="str">
        <f>"9781462503988"</f>
        <v>9781462503988</v>
      </c>
      <c r="C3357" s="10" t="str">
        <f>"9781462503995"</f>
        <v>9781462503995</v>
      </c>
      <c r="D3357" s="10" t="s">
        <v>11213</v>
      </c>
      <c r="E3357" s="10" t="s">
        <v>11214</v>
      </c>
      <c r="F3357" s="10" t="s">
        <v>70</v>
      </c>
      <c r="G3357" s="10" t="s">
        <v>6317</v>
      </c>
      <c r="H3357" s="11">
        <v>40996</v>
      </c>
      <c r="I3357" s="10">
        <v>2012</v>
      </c>
      <c r="J3357" s="10" t="s">
        <v>11214</v>
      </c>
      <c r="K3357" s="10">
        <v>369</v>
      </c>
      <c r="L3357" s="10" t="s">
        <v>20656</v>
      </c>
      <c r="M3357" s="10">
        <v>2</v>
      </c>
      <c r="N3357" s="10"/>
      <c r="O3357" s="10"/>
      <c r="P3357" s="10"/>
      <c r="Q3357" s="10">
        <v>372.44</v>
      </c>
      <c r="R3357" s="10" t="s">
        <v>20657</v>
      </c>
      <c r="S3357" s="10" t="s">
        <v>53</v>
      </c>
      <c r="T3357" s="10" t="s">
        <v>54</v>
      </c>
    </row>
    <row r="3358" spans="1:20" ht="14.5" x14ac:dyDescent="0.35">
      <c r="A3358" s="10" t="s">
        <v>20658</v>
      </c>
      <c r="B3358" s="10" t="str">
        <f>"9780804778039"</f>
        <v>9780804778039</v>
      </c>
      <c r="C3358" s="10" t="str">
        <f>"9780804781688"</f>
        <v>9780804781688</v>
      </c>
      <c r="D3358" s="10" t="s">
        <v>16213</v>
      </c>
      <c r="E3358" s="10" t="s">
        <v>16213</v>
      </c>
      <c r="F3358" s="10" t="s">
        <v>16214</v>
      </c>
      <c r="G3358" s="10" t="s">
        <v>6317</v>
      </c>
      <c r="H3358" s="11">
        <v>41073</v>
      </c>
      <c r="I3358" s="10">
        <v>2012</v>
      </c>
      <c r="J3358" s="10" t="s">
        <v>16213</v>
      </c>
      <c r="K3358" s="10">
        <v>356</v>
      </c>
      <c r="L3358" s="10" t="s">
        <v>20659</v>
      </c>
      <c r="M3358" s="10">
        <v>1</v>
      </c>
      <c r="N3358" s="10" t="s">
        <v>20660</v>
      </c>
      <c r="O3358" s="10"/>
      <c r="P3358" s="10" t="s">
        <v>16111</v>
      </c>
      <c r="Q3358" s="10">
        <v>371.5</v>
      </c>
      <c r="R3358" s="10" t="s">
        <v>20661</v>
      </c>
      <c r="S3358" s="10" t="s">
        <v>53</v>
      </c>
      <c r="T3358" s="10" t="s">
        <v>54</v>
      </c>
    </row>
    <row r="3359" spans="1:20" ht="14.5" x14ac:dyDescent="0.35">
      <c r="A3359" s="10" t="s">
        <v>20662</v>
      </c>
      <c r="B3359" s="10" t="str">
        <f>"9780804780506"</f>
        <v>9780804780506</v>
      </c>
      <c r="C3359" s="10" t="str">
        <f>"9780804782197"</f>
        <v>9780804782197</v>
      </c>
      <c r="D3359" s="10" t="s">
        <v>16213</v>
      </c>
      <c r="E3359" s="10" t="s">
        <v>16213</v>
      </c>
      <c r="F3359" s="10" t="s">
        <v>16214</v>
      </c>
      <c r="G3359" s="10" t="s">
        <v>6317</v>
      </c>
      <c r="H3359" s="11">
        <v>41052</v>
      </c>
      <c r="I3359" s="10">
        <v>2012</v>
      </c>
      <c r="J3359" s="10" t="s">
        <v>20663</v>
      </c>
      <c r="K3359" s="10">
        <v>282</v>
      </c>
      <c r="L3359" s="10" t="s">
        <v>20664</v>
      </c>
      <c r="M3359" s="10">
        <v>1</v>
      </c>
      <c r="N3359" s="10"/>
      <c r="O3359" s="10"/>
      <c r="P3359" s="10" t="s">
        <v>14611</v>
      </c>
      <c r="Q3359" s="10">
        <v>378.050973</v>
      </c>
      <c r="R3359" s="10" t="s">
        <v>20665</v>
      </c>
      <c r="S3359" s="10" t="s">
        <v>53</v>
      </c>
      <c r="T3359" s="10" t="s">
        <v>54</v>
      </c>
    </row>
    <row r="3360" spans="1:20" ht="14.5" x14ac:dyDescent="0.35">
      <c r="A3360" s="10" t="s">
        <v>20666</v>
      </c>
      <c r="B3360" s="10" t="str">
        <f>"9780821395141"</f>
        <v>9780821395141</v>
      </c>
      <c r="C3360" s="10" t="str">
        <f>"9780821395158"</f>
        <v>9780821395158</v>
      </c>
      <c r="D3360" s="10" t="s">
        <v>14731</v>
      </c>
      <c r="E3360" s="10" t="s">
        <v>14732</v>
      </c>
      <c r="F3360" s="10" t="s">
        <v>88</v>
      </c>
      <c r="G3360" s="10" t="s">
        <v>6317</v>
      </c>
      <c r="H3360" s="11">
        <v>41000</v>
      </c>
      <c r="I3360" s="10">
        <v>2012</v>
      </c>
      <c r="J3360" s="10" t="s">
        <v>14732</v>
      </c>
      <c r="K3360" s="10">
        <v>95</v>
      </c>
      <c r="L3360" s="10" t="s">
        <v>20667</v>
      </c>
      <c r="M3360" s="10">
        <v>1</v>
      </c>
      <c r="N3360" s="10" t="s">
        <v>20668</v>
      </c>
      <c r="O3360" s="10"/>
      <c r="P3360" s="10" t="s">
        <v>20669</v>
      </c>
      <c r="Q3360" s="10">
        <v>370.947</v>
      </c>
      <c r="R3360" s="10" t="s">
        <v>20670</v>
      </c>
      <c r="S3360" s="10" t="s">
        <v>53</v>
      </c>
      <c r="T3360" s="10" t="s">
        <v>54</v>
      </c>
    </row>
    <row r="3361" spans="1:20" ht="14.5" x14ac:dyDescent="0.35">
      <c r="A3361" s="10" t="s">
        <v>20671</v>
      </c>
      <c r="B3361" s="10" t="str">
        <f>"9780813545912"</f>
        <v>9780813545912</v>
      </c>
      <c r="C3361" s="10" t="str">
        <f>"9780813548463"</f>
        <v>9780813548463</v>
      </c>
      <c r="D3361" s="10" t="s">
        <v>12251</v>
      </c>
      <c r="E3361" s="10" t="s">
        <v>12251</v>
      </c>
      <c r="F3361" s="10" t="s">
        <v>2510</v>
      </c>
      <c r="G3361" s="10" t="s">
        <v>6317</v>
      </c>
      <c r="H3361" s="11">
        <v>40036</v>
      </c>
      <c r="I3361" s="10">
        <v>2009</v>
      </c>
      <c r="J3361" s="10" t="s">
        <v>12251</v>
      </c>
      <c r="K3361" s="10">
        <v>254</v>
      </c>
      <c r="L3361" s="10" t="s">
        <v>20672</v>
      </c>
      <c r="M3361" s="10">
        <v>1</v>
      </c>
      <c r="N3361" s="10"/>
      <c r="O3361" s="10"/>
      <c r="P3361" s="10" t="s">
        <v>16695</v>
      </c>
      <c r="Q3361" s="10">
        <v>378.73</v>
      </c>
      <c r="R3361" s="10" t="s">
        <v>20673</v>
      </c>
      <c r="S3361" s="10" t="s">
        <v>53</v>
      </c>
      <c r="T3361" s="10" t="s">
        <v>54</v>
      </c>
    </row>
    <row r="3362" spans="1:20" ht="14.5" x14ac:dyDescent="0.35">
      <c r="A3362" s="10" t="s">
        <v>20674</v>
      </c>
      <c r="B3362" s="10" t="str">
        <f>"9780691116327"</f>
        <v>9780691116327</v>
      </c>
      <c r="C3362" s="10" t="str">
        <f>"9781400843176"</f>
        <v>9781400843176</v>
      </c>
      <c r="D3362" s="10" t="s">
        <v>14335</v>
      </c>
      <c r="E3362" s="10" t="s">
        <v>14336</v>
      </c>
      <c r="F3362" s="10" t="s">
        <v>2246</v>
      </c>
      <c r="G3362" s="10" t="s">
        <v>6317</v>
      </c>
      <c r="H3362" s="11">
        <v>37158</v>
      </c>
      <c r="I3362" s="10">
        <v>2001</v>
      </c>
      <c r="J3362" s="10" t="s">
        <v>14336</v>
      </c>
      <c r="K3362" s="10">
        <v>277</v>
      </c>
      <c r="L3362" s="10" t="s">
        <v>20675</v>
      </c>
      <c r="M3362" s="10">
        <v>1</v>
      </c>
      <c r="N3362" s="10"/>
      <c r="O3362" s="10"/>
      <c r="P3362" s="10"/>
      <c r="Q3362" s="10" t="s">
        <v>20676</v>
      </c>
      <c r="R3362" s="10"/>
      <c r="S3362" s="10" t="s">
        <v>53</v>
      </c>
      <c r="T3362" s="10" t="s">
        <v>54</v>
      </c>
    </row>
    <row r="3363" spans="1:20" ht="14.5" x14ac:dyDescent="0.35">
      <c r="A3363" s="10" t="s">
        <v>20677</v>
      </c>
      <c r="B3363" s="10" t="str">
        <f>"9781442207226"</f>
        <v>9781442207226</v>
      </c>
      <c r="C3363" s="10" t="str">
        <f>"9781442207240"</f>
        <v>9781442207240</v>
      </c>
      <c r="D3363" s="10" t="s">
        <v>9752</v>
      </c>
      <c r="E3363" s="10" t="s">
        <v>15187</v>
      </c>
      <c r="F3363" s="10" t="s">
        <v>9754</v>
      </c>
      <c r="G3363" s="10" t="s">
        <v>6317</v>
      </c>
      <c r="H3363" s="11">
        <v>40983</v>
      </c>
      <c r="I3363" s="10">
        <v>2012</v>
      </c>
      <c r="J3363" s="10" t="s">
        <v>15187</v>
      </c>
      <c r="K3363" s="10">
        <v>235</v>
      </c>
      <c r="L3363" s="10" t="s">
        <v>20678</v>
      </c>
      <c r="M3363" s="10">
        <v>1</v>
      </c>
      <c r="N3363" s="10"/>
      <c r="O3363" s="10"/>
      <c r="P3363" s="10" t="s">
        <v>20679</v>
      </c>
      <c r="Q3363" s="10">
        <v>370.71100000000001</v>
      </c>
      <c r="R3363" s="10" t="s">
        <v>20680</v>
      </c>
      <c r="S3363" s="10" t="s">
        <v>53</v>
      </c>
      <c r="T3363" s="10" t="s">
        <v>54</v>
      </c>
    </row>
    <row r="3364" spans="1:20" ht="14.5" x14ac:dyDescent="0.35">
      <c r="A3364" s="10" t="s">
        <v>20681</v>
      </c>
      <c r="B3364" s="10" t="str">
        <f>"9781610486033"</f>
        <v>9781610486033</v>
      </c>
      <c r="C3364" s="10" t="str">
        <f>"9781610486057"</f>
        <v>9781610486057</v>
      </c>
      <c r="D3364" s="10" t="s">
        <v>9752</v>
      </c>
      <c r="E3364" s="10" t="s">
        <v>15192</v>
      </c>
      <c r="F3364" s="10" t="s">
        <v>9754</v>
      </c>
      <c r="G3364" s="10" t="s">
        <v>6317</v>
      </c>
      <c r="H3364" s="11">
        <v>38589</v>
      </c>
      <c r="I3364" s="10">
        <v>2012</v>
      </c>
      <c r="J3364" s="10" t="s">
        <v>15192</v>
      </c>
      <c r="K3364" s="10">
        <v>163</v>
      </c>
      <c r="L3364" s="10" t="s">
        <v>20682</v>
      </c>
      <c r="M3364" s="10">
        <v>2</v>
      </c>
      <c r="N3364" s="10"/>
      <c r="O3364" s="10"/>
      <c r="P3364" s="10" t="s">
        <v>20683</v>
      </c>
      <c r="Q3364" s="10" t="s">
        <v>19783</v>
      </c>
      <c r="R3364" s="10" t="s">
        <v>20684</v>
      </c>
      <c r="S3364" s="10" t="s">
        <v>53</v>
      </c>
      <c r="T3364" s="10" t="s">
        <v>54</v>
      </c>
    </row>
    <row r="3365" spans="1:20" ht="14.5" x14ac:dyDescent="0.35">
      <c r="A3365" s="10" t="s">
        <v>20685</v>
      </c>
      <c r="B3365" s="10" t="str">
        <f>"9780521888769"</f>
        <v>9780521888769</v>
      </c>
      <c r="C3365" s="10" t="str">
        <f>"9781107714656"</f>
        <v>9781107714656</v>
      </c>
      <c r="D3365" s="10" t="s">
        <v>397</v>
      </c>
      <c r="E3365" s="10" t="s">
        <v>397</v>
      </c>
      <c r="F3365" s="10" t="s">
        <v>70</v>
      </c>
      <c r="G3365" s="10" t="s">
        <v>6317</v>
      </c>
      <c r="H3365" s="11">
        <v>39590</v>
      </c>
      <c r="I3365" s="10">
        <v>2008</v>
      </c>
      <c r="J3365" s="10" t="s">
        <v>397</v>
      </c>
      <c r="K3365" s="10">
        <v>138</v>
      </c>
      <c r="L3365" s="10" t="s">
        <v>20686</v>
      </c>
      <c r="M3365" s="10">
        <v>2</v>
      </c>
      <c r="N3365" s="10"/>
      <c r="O3365" s="10"/>
      <c r="P3365" s="10" t="s">
        <v>20687</v>
      </c>
      <c r="Q3365" s="10" t="s">
        <v>20688</v>
      </c>
      <c r="R3365" s="10" t="s">
        <v>20689</v>
      </c>
      <c r="S3365" s="10" t="s">
        <v>53</v>
      </c>
      <c r="T3365" s="10" t="s">
        <v>54</v>
      </c>
    </row>
    <row r="3366" spans="1:20" ht="14.5" x14ac:dyDescent="0.35">
      <c r="A3366" s="10" t="s">
        <v>20690</v>
      </c>
      <c r="B3366" s="10" t="str">
        <f>"9780335244010"</f>
        <v>9780335244010</v>
      </c>
      <c r="C3366" s="10" t="str">
        <f>"9780335244027"</f>
        <v>9780335244027</v>
      </c>
      <c r="D3366" s="10" t="s">
        <v>10342</v>
      </c>
      <c r="E3366" s="10" t="s">
        <v>10343</v>
      </c>
      <c r="F3366" s="10" t="s">
        <v>10344</v>
      </c>
      <c r="G3366" s="10" t="s">
        <v>6352</v>
      </c>
      <c r="H3366" s="11">
        <v>40969</v>
      </c>
      <c r="I3366" s="10">
        <v>2012</v>
      </c>
      <c r="J3366" s="10" t="s">
        <v>10345</v>
      </c>
      <c r="K3366" s="10">
        <v>122</v>
      </c>
      <c r="L3366" s="10" t="s">
        <v>20691</v>
      </c>
      <c r="M3366" s="10">
        <v>1</v>
      </c>
      <c r="N3366" s="10" t="s">
        <v>10347</v>
      </c>
      <c r="O3366" s="10"/>
      <c r="P3366" s="10" t="s">
        <v>20692</v>
      </c>
      <c r="Q3366" s="10">
        <v>374.11020000000002</v>
      </c>
      <c r="R3366" s="10" t="s">
        <v>20693</v>
      </c>
      <c r="S3366" s="10" t="s">
        <v>53</v>
      </c>
      <c r="T3366" s="10" t="s">
        <v>54</v>
      </c>
    </row>
    <row r="3367" spans="1:20" ht="14.5" x14ac:dyDescent="0.35">
      <c r="A3367" s="10" t="s">
        <v>20694</v>
      </c>
      <c r="B3367" s="10" t="str">
        <f>"9781118242384"</f>
        <v>9781118242384</v>
      </c>
      <c r="C3367" s="10" t="str">
        <f>"9781118285015"</f>
        <v>9781118285015</v>
      </c>
      <c r="D3367" s="10" t="s">
        <v>6322</v>
      </c>
      <c r="E3367" s="10" t="s">
        <v>6323</v>
      </c>
      <c r="F3367" s="10" t="s">
        <v>4423</v>
      </c>
      <c r="G3367" s="10" t="s">
        <v>6317</v>
      </c>
      <c r="H3367" s="11">
        <v>41163</v>
      </c>
      <c r="I3367" s="10">
        <v>2012</v>
      </c>
      <c r="J3367" s="10" t="s">
        <v>6324</v>
      </c>
      <c r="K3367" s="10">
        <v>242</v>
      </c>
      <c r="L3367" s="10" t="s">
        <v>20695</v>
      </c>
      <c r="M3367" s="10">
        <v>1</v>
      </c>
      <c r="N3367" s="10"/>
      <c r="O3367" s="10"/>
      <c r="P3367" s="10"/>
      <c r="Q3367" s="10" t="s">
        <v>20696</v>
      </c>
      <c r="R3367" s="10" t="s">
        <v>20697</v>
      </c>
      <c r="S3367" s="10" t="s">
        <v>53</v>
      </c>
      <c r="T3367" s="10" t="s">
        <v>54</v>
      </c>
    </row>
    <row r="3368" spans="1:20" ht="14.5" x14ac:dyDescent="0.35">
      <c r="A3368" s="10" t="s">
        <v>20698</v>
      </c>
      <c r="B3368" s="10" t="str">
        <f>"9781118270172"</f>
        <v>9781118270172</v>
      </c>
      <c r="C3368" s="10" t="str">
        <f>"9781118286319"</f>
        <v>9781118286319</v>
      </c>
      <c r="D3368" s="10" t="s">
        <v>6322</v>
      </c>
      <c r="E3368" s="10" t="s">
        <v>6323</v>
      </c>
      <c r="F3368" s="10" t="s">
        <v>4423</v>
      </c>
      <c r="G3368" s="10" t="s">
        <v>6317</v>
      </c>
      <c r="H3368" s="11">
        <v>41184</v>
      </c>
      <c r="I3368" s="10">
        <v>2012</v>
      </c>
      <c r="J3368" s="10" t="s">
        <v>6324</v>
      </c>
      <c r="K3368" s="10">
        <v>257</v>
      </c>
      <c r="L3368" s="10" t="s">
        <v>20699</v>
      </c>
      <c r="M3368" s="10">
        <v>1</v>
      </c>
      <c r="N3368" s="10"/>
      <c r="O3368" s="10"/>
      <c r="P3368" s="10"/>
      <c r="Q3368" s="10" t="s">
        <v>20700</v>
      </c>
      <c r="R3368" s="10" t="s">
        <v>20701</v>
      </c>
      <c r="S3368" s="10" t="s">
        <v>53</v>
      </c>
      <c r="T3368" s="10" t="s">
        <v>54</v>
      </c>
    </row>
    <row r="3369" spans="1:20" ht="14.5" x14ac:dyDescent="0.35">
      <c r="A3369" s="10" t="s">
        <v>20702</v>
      </c>
      <c r="B3369" s="10" t="str">
        <f>"9781118342343"</f>
        <v>9781118342343</v>
      </c>
      <c r="C3369" s="10" t="str">
        <f>"9781118388853"</f>
        <v>9781118388853</v>
      </c>
      <c r="D3369" s="10" t="s">
        <v>6322</v>
      </c>
      <c r="E3369" s="10" t="s">
        <v>6323</v>
      </c>
      <c r="F3369" s="10" t="s">
        <v>4423</v>
      </c>
      <c r="G3369" s="10" t="s">
        <v>6317</v>
      </c>
      <c r="H3369" s="11">
        <v>41177</v>
      </c>
      <c r="I3369" s="10">
        <v>2012</v>
      </c>
      <c r="J3369" s="10" t="s">
        <v>6324</v>
      </c>
      <c r="K3369" s="10">
        <v>274</v>
      </c>
      <c r="L3369" s="10" t="s">
        <v>20703</v>
      </c>
      <c r="M3369" s="10">
        <v>1</v>
      </c>
      <c r="N3369" s="10"/>
      <c r="O3369" s="10"/>
      <c r="P3369" s="10"/>
      <c r="Q3369" s="10">
        <v>371.33</v>
      </c>
      <c r="R3369" s="10" t="s">
        <v>20704</v>
      </c>
      <c r="S3369" s="10" t="s">
        <v>53</v>
      </c>
      <c r="T3369" s="10" t="s">
        <v>54</v>
      </c>
    </row>
    <row r="3370" spans="1:20" ht="14.5" x14ac:dyDescent="0.35">
      <c r="A3370" s="10" t="s">
        <v>20705</v>
      </c>
      <c r="B3370" s="10" t="str">
        <f>"9781118358320"</f>
        <v>9781118358320</v>
      </c>
      <c r="C3370" s="10" t="str">
        <f>"9781118431238"</f>
        <v>9781118431238</v>
      </c>
      <c r="D3370" s="10" t="s">
        <v>6322</v>
      </c>
      <c r="E3370" s="10" t="s">
        <v>6323</v>
      </c>
      <c r="F3370" s="10" t="s">
        <v>6339</v>
      </c>
      <c r="G3370" s="10" t="s">
        <v>6317</v>
      </c>
      <c r="H3370" s="11">
        <v>41100</v>
      </c>
      <c r="I3370" s="10">
        <v>2012</v>
      </c>
      <c r="J3370" s="10" t="s">
        <v>6324</v>
      </c>
      <c r="K3370" s="10">
        <v>97</v>
      </c>
      <c r="L3370" s="10" t="s">
        <v>20706</v>
      </c>
      <c r="M3370" s="10">
        <v>1</v>
      </c>
      <c r="N3370" s="10" t="s">
        <v>20707</v>
      </c>
      <c r="O3370" s="10">
        <v>126</v>
      </c>
      <c r="P3370" s="10" t="s">
        <v>20708</v>
      </c>
      <c r="Q3370" s="10">
        <v>374</v>
      </c>
      <c r="R3370" s="10" t="s">
        <v>20709</v>
      </c>
      <c r="S3370" s="10" t="s">
        <v>53</v>
      </c>
      <c r="T3370" s="10" t="s">
        <v>54</v>
      </c>
    </row>
    <row r="3371" spans="1:20" ht="14.5" x14ac:dyDescent="0.35">
      <c r="A3371" s="10" t="s">
        <v>20710</v>
      </c>
      <c r="B3371" s="10" t="str">
        <f>"9781118365267"</f>
        <v>9781118365267</v>
      </c>
      <c r="C3371" s="10" t="str">
        <f>"9781118431573"</f>
        <v>9781118431573</v>
      </c>
      <c r="D3371" s="10" t="s">
        <v>6322</v>
      </c>
      <c r="E3371" s="10" t="s">
        <v>6323</v>
      </c>
      <c r="F3371" s="10" t="s">
        <v>6339</v>
      </c>
      <c r="G3371" s="10" t="s">
        <v>6317</v>
      </c>
      <c r="H3371" s="11">
        <v>41114</v>
      </c>
      <c r="I3371" s="10">
        <v>2012</v>
      </c>
      <c r="J3371" s="10" t="s">
        <v>6324</v>
      </c>
      <c r="K3371" s="10">
        <v>130</v>
      </c>
      <c r="L3371" s="10" t="s">
        <v>20711</v>
      </c>
      <c r="M3371" s="10">
        <v>1</v>
      </c>
      <c r="N3371" s="10" t="s">
        <v>20712</v>
      </c>
      <c r="O3371" s="10">
        <v>147</v>
      </c>
      <c r="P3371" s="10" t="s">
        <v>20713</v>
      </c>
      <c r="Q3371" s="10">
        <v>371.2011</v>
      </c>
      <c r="R3371" s="10" t="s">
        <v>20714</v>
      </c>
      <c r="S3371" s="10" t="s">
        <v>53</v>
      </c>
      <c r="T3371" s="10" t="s">
        <v>54</v>
      </c>
    </row>
    <row r="3372" spans="1:20" ht="14.5" x14ac:dyDescent="0.35">
      <c r="A3372" s="10" t="s">
        <v>20715</v>
      </c>
      <c r="B3372" s="10" t="str">
        <f>"9781118396681"</f>
        <v>9781118396681</v>
      </c>
      <c r="C3372" s="10" t="str">
        <f>"9781118402283"</f>
        <v>9781118402283</v>
      </c>
      <c r="D3372" s="10" t="s">
        <v>6322</v>
      </c>
      <c r="E3372" s="10" t="s">
        <v>6323</v>
      </c>
      <c r="F3372" s="10" t="s">
        <v>6339</v>
      </c>
      <c r="G3372" s="10" t="s">
        <v>6317</v>
      </c>
      <c r="H3372" s="11">
        <v>41100</v>
      </c>
      <c r="I3372" s="10">
        <v>2012</v>
      </c>
      <c r="J3372" s="10" t="s">
        <v>6324</v>
      </c>
      <c r="K3372" s="10">
        <v>129</v>
      </c>
      <c r="L3372" s="10" t="s">
        <v>20716</v>
      </c>
      <c r="M3372" s="10">
        <v>1</v>
      </c>
      <c r="N3372" s="10" t="s">
        <v>20717</v>
      </c>
      <c r="O3372" s="10">
        <v>109</v>
      </c>
      <c r="P3372" s="10" t="s">
        <v>20718</v>
      </c>
      <c r="Q3372" s="10">
        <v>370.7</v>
      </c>
      <c r="R3372" s="10" t="s">
        <v>20719</v>
      </c>
      <c r="S3372" s="10" t="s">
        <v>53</v>
      </c>
      <c r="T3372" s="10" t="s">
        <v>6472</v>
      </c>
    </row>
    <row r="3373" spans="1:20" ht="14.5" x14ac:dyDescent="0.35">
      <c r="A3373" s="10" t="s">
        <v>20720</v>
      </c>
      <c r="B3373" s="10" t="str">
        <f>"9781472523273"</f>
        <v>9781472523273</v>
      </c>
      <c r="C3373" s="10" t="str">
        <f>"9781441170996"</f>
        <v>9781441170996</v>
      </c>
      <c r="D3373" s="10" t="s">
        <v>13959</v>
      </c>
      <c r="E3373" s="10" t="s">
        <v>13960</v>
      </c>
      <c r="F3373" s="10" t="s">
        <v>139</v>
      </c>
      <c r="G3373" s="10" t="s">
        <v>6352</v>
      </c>
      <c r="H3373" s="11">
        <v>41585</v>
      </c>
      <c r="I3373" s="10">
        <v>2012</v>
      </c>
      <c r="J3373" s="10" t="s">
        <v>13961</v>
      </c>
      <c r="K3373" s="10">
        <v>193</v>
      </c>
      <c r="L3373" s="10" t="s">
        <v>17266</v>
      </c>
      <c r="M3373" s="10">
        <v>1</v>
      </c>
      <c r="N3373" s="10"/>
      <c r="O3373" s="10"/>
      <c r="P3373" s="10" t="s">
        <v>20721</v>
      </c>
      <c r="Q3373" s="10">
        <v>378.01</v>
      </c>
      <c r="R3373" s="10" t="s">
        <v>20722</v>
      </c>
      <c r="S3373" s="10" t="s">
        <v>53</v>
      </c>
      <c r="T3373" s="10" t="s">
        <v>54</v>
      </c>
    </row>
    <row r="3374" spans="1:20" ht="14.5" x14ac:dyDescent="0.35">
      <c r="A3374" s="10" t="s">
        <v>20723</v>
      </c>
      <c r="B3374" s="10" t="str">
        <f>"9781441115638"</f>
        <v>9781441115638</v>
      </c>
      <c r="C3374" s="10" t="str">
        <f>"9781441119476"</f>
        <v>9781441119476</v>
      </c>
      <c r="D3374" s="10" t="s">
        <v>13959</v>
      </c>
      <c r="E3374" s="10" t="s">
        <v>13960</v>
      </c>
      <c r="F3374" s="10" t="s">
        <v>139</v>
      </c>
      <c r="G3374" s="10" t="s">
        <v>6352</v>
      </c>
      <c r="H3374" s="11">
        <v>41039</v>
      </c>
      <c r="I3374" s="10">
        <v>2011</v>
      </c>
      <c r="J3374" s="10" t="s">
        <v>13961</v>
      </c>
      <c r="K3374" s="10">
        <v>150</v>
      </c>
      <c r="L3374" s="10" t="s">
        <v>20724</v>
      </c>
      <c r="M3374" s="10">
        <v>1</v>
      </c>
      <c r="N3374" s="10" t="s">
        <v>20725</v>
      </c>
      <c r="O3374" s="10"/>
      <c r="P3374" s="10" t="s">
        <v>20726</v>
      </c>
      <c r="Q3374" s="10">
        <v>371.82</v>
      </c>
      <c r="R3374" s="10" t="s">
        <v>20727</v>
      </c>
      <c r="S3374" s="10" t="s">
        <v>53</v>
      </c>
      <c r="T3374" s="10" t="s">
        <v>54</v>
      </c>
    </row>
    <row r="3375" spans="1:20" ht="14.5" x14ac:dyDescent="0.35">
      <c r="A3375" s="10" t="s">
        <v>20728</v>
      </c>
      <c r="B3375" s="10" t="str">
        <f>"9781441193568"</f>
        <v>9781441193568</v>
      </c>
      <c r="C3375" s="10" t="str">
        <f>"9781441188311"</f>
        <v>9781441188311</v>
      </c>
      <c r="D3375" s="10" t="s">
        <v>13959</v>
      </c>
      <c r="E3375" s="10" t="s">
        <v>13960</v>
      </c>
      <c r="F3375" s="10" t="s">
        <v>139</v>
      </c>
      <c r="G3375" s="10" t="s">
        <v>6352</v>
      </c>
      <c r="H3375" s="11">
        <v>41039</v>
      </c>
      <c r="I3375" s="10">
        <v>2012</v>
      </c>
      <c r="J3375" s="10" t="s">
        <v>13960</v>
      </c>
      <c r="K3375" s="10">
        <v>169</v>
      </c>
      <c r="L3375" s="10" t="s">
        <v>20729</v>
      </c>
      <c r="M3375" s="10">
        <v>1</v>
      </c>
      <c r="N3375" s="10" t="s">
        <v>17023</v>
      </c>
      <c r="O3375" s="10"/>
      <c r="P3375" s="10" t="s">
        <v>20730</v>
      </c>
      <c r="Q3375" s="10">
        <v>428.00709999999998</v>
      </c>
      <c r="R3375" s="10" t="s">
        <v>20731</v>
      </c>
      <c r="S3375" s="10" t="s">
        <v>53</v>
      </c>
      <c r="T3375" s="10" t="s">
        <v>6616</v>
      </c>
    </row>
    <row r="3376" spans="1:20" ht="14.5" x14ac:dyDescent="0.35">
      <c r="A3376" s="10" t="s">
        <v>20732</v>
      </c>
      <c r="B3376" s="10" t="str">
        <f>"9781441122391"</f>
        <v>9781441122391</v>
      </c>
      <c r="C3376" s="10" t="str">
        <f>"9781441113955"</f>
        <v>9781441113955</v>
      </c>
      <c r="D3376" s="10" t="s">
        <v>13959</v>
      </c>
      <c r="E3376" s="10" t="s">
        <v>13960</v>
      </c>
      <c r="F3376" s="10" t="s">
        <v>139</v>
      </c>
      <c r="G3376" s="10" t="s">
        <v>6352</v>
      </c>
      <c r="H3376" s="11">
        <v>41039</v>
      </c>
      <c r="I3376" s="10">
        <v>2012</v>
      </c>
      <c r="J3376" s="10" t="s">
        <v>13961</v>
      </c>
      <c r="K3376" s="10">
        <v>268</v>
      </c>
      <c r="L3376" s="10" t="s">
        <v>20733</v>
      </c>
      <c r="M3376" s="10">
        <v>3</v>
      </c>
      <c r="N3376" s="10" t="s">
        <v>16573</v>
      </c>
      <c r="O3376" s="10"/>
      <c r="P3376" s="10" t="s">
        <v>20734</v>
      </c>
      <c r="Q3376" s="10" t="s">
        <v>20735</v>
      </c>
      <c r="R3376" s="10" t="s">
        <v>20736</v>
      </c>
      <c r="S3376" s="10" t="s">
        <v>53</v>
      </c>
      <c r="T3376" s="10" t="s">
        <v>389</v>
      </c>
    </row>
    <row r="3377" spans="1:20" ht="14.5" x14ac:dyDescent="0.35">
      <c r="A3377" s="10" t="s">
        <v>20737</v>
      </c>
      <c r="B3377" s="10" t="str">
        <f>"9781441131942"</f>
        <v>9781441131942</v>
      </c>
      <c r="C3377" s="10" t="str">
        <f>"9781441169327"</f>
        <v>9781441169327</v>
      </c>
      <c r="D3377" s="10" t="s">
        <v>13959</v>
      </c>
      <c r="E3377" s="10" t="s">
        <v>13960</v>
      </c>
      <c r="F3377" s="10" t="s">
        <v>139</v>
      </c>
      <c r="G3377" s="10" t="s">
        <v>6352</v>
      </c>
      <c r="H3377" s="11">
        <v>41039</v>
      </c>
      <c r="I3377" s="10">
        <v>2012</v>
      </c>
      <c r="J3377" s="10" t="s">
        <v>13960</v>
      </c>
      <c r="K3377" s="10">
        <v>273</v>
      </c>
      <c r="L3377" s="10" t="s">
        <v>20738</v>
      </c>
      <c r="M3377" s="10">
        <v>1</v>
      </c>
      <c r="N3377" s="10"/>
      <c r="O3377" s="10"/>
      <c r="P3377" s="10" t="s">
        <v>20739</v>
      </c>
      <c r="Q3377" s="10">
        <v>370.94</v>
      </c>
      <c r="R3377" s="10" t="s">
        <v>20740</v>
      </c>
      <c r="S3377" s="10" t="s">
        <v>53</v>
      </c>
      <c r="T3377" s="10" t="s">
        <v>54</v>
      </c>
    </row>
    <row r="3378" spans="1:20" ht="14.5" x14ac:dyDescent="0.35">
      <c r="A3378" s="10" t="s">
        <v>20741</v>
      </c>
      <c r="B3378" s="10" t="str">
        <f>"9781441113481"</f>
        <v>9781441113481</v>
      </c>
      <c r="C3378" s="10" t="str">
        <f>"9781441103987"</f>
        <v>9781441103987</v>
      </c>
      <c r="D3378" s="10" t="s">
        <v>13959</v>
      </c>
      <c r="E3378" s="10" t="s">
        <v>13960</v>
      </c>
      <c r="F3378" s="10" t="s">
        <v>139</v>
      </c>
      <c r="G3378" s="10" t="s">
        <v>6352</v>
      </c>
      <c r="H3378" s="11">
        <v>41039</v>
      </c>
      <c r="I3378" s="10">
        <v>2012</v>
      </c>
      <c r="J3378" s="10" t="s">
        <v>13961</v>
      </c>
      <c r="K3378" s="10">
        <v>186</v>
      </c>
      <c r="L3378" s="10" t="s">
        <v>18953</v>
      </c>
      <c r="M3378" s="10">
        <v>2</v>
      </c>
      <c r="N3378" s="10"/>
      <c r="O3378" s="10"/>
      <c r="P3378" s="10" t="s">
        <v>20742</v>
      </c>
      <c r="Q3378" s="10">
        <v>371.10199999999998</v>
      </c>
      <c r="R3378" s="10" t="s">
        <v>20743</v>
      </c>
      <c r="S3378" s="10" t="s">
        <v>53</v>
      </c>
      <c r="T3378" s="10" t="s">
        <v>54</v>
      </c>
    </row>
    <row r="3379" spans="1:20" ht="14.5" x14ac:dyDescent="0.35">
      <c r="A3379" s="10" t="s">
        <v>19313</v>
      </c>
      <c r="B3379" s="10" t="str">
        <f>"9780826445889"</f>
        <v>9780826445889</v>
      </c>
      <c r="C3379" s="10" t="str">
        <f>"9781441169358"</f>
        <v>9781441169358</v>
      </c>
      <c r="D3379" s="10" t="s">
        <v>13959</v>
      </c>
      <c r="E3379" s="10" t="s">
        <v>13960</v>
      </c>
      <c r="F3379" s="10" t="s">
        <v>139</v>
      </c>
      <c r="G3379" s="10" t="s">
        <v>6352</v>
      </c>
      <c r="H3379" s="11">
        <v>41039</v>
      </c>
      <c r="I3379" s="10">
        <v>2012</v>
      </c>
      <c r="J3379" s="10" t="s">
        <v>13961</v>
      </c>
      <c r="K3379" s="10">
        <v>253</v>
      </c>
      <c r="L3379" s="10" t="s">
        <v>20744</v>
      </c>
      <c r="M3379" s="10">
        <v>2</v>
      </c>
      <c r="N3379" s="10"/>
      <c r="O3379" s="10"/>
      <c r="P3379" s="10" t="s">
        <v>20745</v>
      </c>
      <c r="Q3379" s="10">
        <v>372.66</v>
      </c>
      <c r="R3379" s="10" t="s">
        <v>20746</v>
      </c>
      <c r="S3379" s="10" t="s">
        <v>53</v>
      </c>
      <c r="T3379" s="10" t="s">
        <v>6881</v>
      </c>
    </row>
    <row r="3380" spans="1:20" ht="14.5" x14ac:dyDescent="0.35">
      <c r="A3380" s="10" t="s">
        <v>20747</v>
      </c>
      <c r="B3380" s="10" t="str">
        <f>"9781579227074"</f>
        <v>9781579227074</v>
      </c>
      <c r="C3380" s="10" t="str">
        <f>"9781000973525"</f>
        <v>9781000973525</v>
      </c>
      <c r="D3380" s="10" t="s">
        <v>6350</v>
      </c>
      <c r="E3380" s="10" t="s">
        <v>6351</v>
      </c>
      <c r="F3380" s="10" t="s">
        <v>748</v>
      </c>
      <c r="G3380" s="10" t="s">
        <v>6352</v>
      </c>
      <c r="H3380" s="11">
        <v>40953</v>
      </c>
      <c r="I3380" s="10">
        <v>2012</v>
      </c>
      <c r="J3380" s="10" t="s">
        <v>6351</v>
      </c>
      <c r="K3380" s="10">
        <v>304</v>
      </c>
      <c r="L3380" s="10" t="s">
        <v>20748</v>
      </c>
      <c r="M3380" s="10">
        <v>1</v>
      </c>
      <c r="N3380" s="10"/>
      <c r="O3380" s="10"/>
      <c r="P3380" s="10" t="s">
        <v>20749</v>
      </c>
      <c r="Q3380" s="10" t="s">
        <v>20750</v>
      </c>
      <c r="R3380" s="10" t="s">
        <v>20751</v>
      </c>
      <c r="S3380" s="10" t="s">
        <v>53</v>
      </c>
      <c r="T3380" s="10" t="s">
        <v>54</v>
      </c>
    </row>
    <row r="3381" spans="1:20" ht="14.5" x14ac:dyDescent="0.35">
      <c r="A3381" s="10" t="s">
        <v>20752</v>
      </c>
      <c r="B3381" s="10" t="str">
        <f>"9781579224226"</f>
        <v>9781579224226</v>
      </c>
      <c r="C3381" s="10" t="str">
        <f>"9781000972948"</f>
        <v>9781000972948</v>
      </c>
      <c r="D3381" s="10" t="s">
        <v>6350</v>
      </c>
      <c r="E3381" s="10" t="s">
        <v>6351</v>
      </c>
      <c r="F3381" s="10" t="s">
        <v>748</v>
      </c>
      <c r="G3381" s="10" t="s">
        <v>6352</v>
      </c>
      <c r="H3381" s="11">
        <v>40749</v>
      </c>
      <c r="I3381" s="10">
        <v>2011</v>
      </c>
      <c r="J3381" s="10" t="s">
        <v>6351</v>
      </c>
      <c r="K3381" s="10">
        <v>264</v>
      </c>
      <c r="L3381" s="10" t="s">
        <v>20753</v>
      </c>
      <c r="M3381" s="10">
        <v>1</v>
      </c>
      <c r="N3381" s="10"/>
      <c r="O3381" s="10"/>
      <c r="P3381" s="10" t="s">
        <v>20754</v>
      </c>
      <c r="Q3381" s="10">
        <v>371.3</v>
      </c>
      <c r="R3381" s="10" t="s">
        <v>20755</v>
      </c>
      <c r="S3381" s="10" t="s">
        <v>53</v>
      </c>
      <c r="T3381" s="10" t="s">
        <v>54</v>
      </c>
    </row>
    <row r="3382" spans="1:20" ht="14.5" x14ac:dyDescent="0.35">
      <c r="A3382" s="10" t="s">
        <v>20756</v>
      </c>
      <c r="B3382" s="10" t="str">
        <f>"9781579226091"</f>
        <v>9781579226091</v>
      </c>
      <c r="C3382" s="10" t="str">
        <f>"9781000975611"</f>
        <v>9781000975611</v>
      </c>
      <c r="D3382" s="10" t="s">
        <v>6350</v>
      </c>
      <c r="E3382" s="10" t="s">
        <v>6351</v>
      </c>
      <c r="F3382" s="10" t="s">
        <v>20757</v>
      </c>
      <c r="G3382" s="10" t="s">
        <v>6317</v>
      </c>
      <c r="H3382" s="11">
        <v>40932</v>
      </c>
      <c r="I3382" s="10">
        <v>2012</v>
      </c>
      <c r="J3382" s="10" t="s">
        <v>6353</v>
      </c>
      <c r="K3382" s="10">
        <v>331</v>
      </c>
      <c r="L3382" s="10" t="s">
        <v>20758</v>
      </c>
      <c r="M3382" s="10">
        <v>1</v>
      </c>
      <c r="N3382" s="10"/>
      <c r="O3382" s="10"/>
      <c r="P3382" s="10" t="s">
        <v>20759</v>
      </c>
      <c r="Q3382" s="10">
        <v>300.71100000000001</v>
      </c>
      <c r="R3382" s="10" t="s">
        <v>20760</v>
      </c>
      <c r="S3382" s="10" t="s">
        <v>53</v>
      </c>
      <c r="T3382" s="10" t="s">
        <v>6363</v>
      </c>
    </row>
    <row r="3383" spans="1:20" ht="14.5" x14ac:dyDescent="0.35">
      <c r="A3383" s="10" t="s">
        <v>20761</v>
      </c>
      <c r="B3383" s="10" t="str">
        <f>"9781579226435"</f>
        <v>9781579226435</v>
      </c>
      <c r="C3383" s="10" t="str">
        <f>"9781000976717"</f>
        <v>9781000976717</v>
      </c>
      <c r="D3383" s="10" t="s">
        <v>6350</v>
      </c>
      <c r="E3383" s="10" t="s">
        <v>6351</v>
      </c>
      <c r="F3383" s="10" t="s">
        <v>748</v>
      </c>
      <c r="G3383" s="10" t="s">
        <v>6352</v>
      </c>
      <c r="H3383" s="11">
        <v>40967</v>
      </c>
      <c r="I3383" s="10">
        <v>2012</v>
      </c>
      <c r="J3383" s="10" t="s">
        <v>6351</v>
      </c>
      <c r="K3383" s="10">
        <v>256</v>
      </c>
      <c r="L3383" s="10" t="s">
        <v>20762</v>
      </c>
      <c r="M3383" s="10">
        <v>2</v>
      </c>
      <c r="N3383" s="10"/>
      <c r="O3383" s="10"/>
      <c r="P3383" s="10" t="s">
        <v>20763</v>
      </c>
      <c r="Q3383" s="10" t="s">
        <v>20764</v>
      </c>
      <c r="R3383" s="10" t="s">
        <v>20765</v>
      </c>
      <c r="S3383" s="10" t="s">
        <v>53</v>
      </c>
      <c r="T3383" s="10" t="s">
        <v>54</v>
      </c>
    </row>
    <row r="3384" spans="1:20" ht="14.5" x14ac:dyDescent="0.35">
      <c r="A3384" s="10" t="s">
        <v>20766</v>
      </c>
      <c r="B3384" s="10" t="str">
        <f>"9780231151146"</f>
        <v>9780231151146</v>
      </c>
      <c r="C3384" s="10" t="str">
        <f>"9780231521833"</f>
        <v>9780231521833</v>
      </c>
      <c r="D3384" s="10" t="s">
        <v>20767</v>
      </c>
      <c r="E3384" s="10" t="s">
        <v>20768</v>
      </c>
      <c r="F3384" s="10" t="s">
        <v>70</v>
      </c>
      <c r="G3384" s="10" t="s">
        <v>6317</v>
      </c>
      <c r="H3384" s="11">
        <v>40595</v>
      </c>
      <c r="I3384" s="10">
        <v>2011</v>
      </c>
      <c r="J3384" s="10" t="s">
        <v>20768</v>
      </c>
      <c r="K3384" s="10">
        <v>559</v>
      </c>
      <c r="L3384" s="10" t="s">
        <v>20769</v>
      </c>
      <c r="M3384" s="10"/>
      <c r="N3384" s="10" t="s">
        <v>20770</v>
      </c>
      <c r="O3384" s="10"/>
      <c r="P3384" s="10" t="s">
        <v>20771</v>
      </c>
      <c r="Q3384" s="10">
        <v>378.01299999999998</v>
      </c>
      <c r="R3384" s="10" t="s">
        <v>20772</v>
      </c>
      <c r="S3384" s="10" t="s">
        <v>53</v>
      </c>
      <c r="T3384" s="10" t="s">
        <v>54</v>
      </c>
    </row>
    <row r="3385" spans="1:20" ht="14.5" x14ac:dyDescent="0.35">
      <c r="A3385" s="10" t="s">
        <v>20773</v>
      </c>
      <c r="B3385" s="10" t="str">
        <f>"9780739147719"</f>
        <v>9780739147719</v>
      </c>
      <c r="C3385" s="10" t="str">
        <f>"9780739147733"</f>
        <v>9780739147733</v>
      </c>
      <c r="D3385" s="10" t="s">
        <v>9752</v>
      </c>
      <c r="E3385" s="10" t="s">
        <v>15182</v>
      </c>
      <c r="F3385" s="10" t="s">
        <v>9754</v>
      </c>
      <c r="G3385" s="10" t="s">
        <v>6317</v>
      </c>
      <c r="H3385" s="11">
        <v>41011</v>
      </c>
      <c r="I3385" s="10">
        <v>2012</v>
      </c>
      <c r="J3385" s="10" t="s">
        <v>15182</v>
      </c>
      <c r="K3385" s="10">
        <v>247</v>
      </c>
      <c r="L3385" s="10" t="s">
        <v>20774</v>
      </c>
      <c r="M3385" s="10">
        <v>1</v>
      </c>
      <c r="N3385" s="10"/>
      <c r="O3385" s="10"/>
      <c r="P3385" s="10" t="s">
        <v>20775</v>
      </c>
      <c r="Q3385" s="10">
        <v>371.10082</v>
      </c>
      <c r="R3385" s="10" t="s">
        <v>20776</v>
      </c>
      <c r="S3385" s="10" t="s">
        <v>53</v>
      </c>
      <c r="T3385" s="10" t="s">
        <v>54</v>
      </c>
    </row>
    <row r="3386" spans="1:20" ht="14.5" x14ac:dyDescent="0.35">
      <c r="A3386" s="10" t="s">
        <v>20777</v>
      </c>
      <c r="B3386" s="10" t="str">
        <f>"9781409437482"</f>
        <v>9781409437482</v>
      </c>
      <c r="C3386" s="10" t="str">
        <f>"9781409437505"</f>
        <v>9781409437505</v>
      </c>
      <c r="D3386" s="10" t="s">
        <v>6350</v>
      </c>
      <c r="E3386" s="10" t="s">
        <v>6351</v>
      </c>
      <c r="F3386" s="10" t="s">
        <v>3967</v>
      </c>
      <c r="G3386" s="10" t="s">
        <v>6352</v>
      </c>
      <c r="H3386" s="11">
        <v>41057</v>
      </c>
      <c r="I3386" s="10">
        <v>2008</v>
      </c>
      <c r="J3386" s="10" t="s">
        <v>6353</v>
      </c>
      <c r="K3386" s="10">
        <v>163</v>
      </c>
      <c r="L3386" s="10" t="s">
        <v>20778</v>
      </c>
      <c r="M3386" s="10">
        <v>2</v>
      </c>
      <c r="N3386" s="10" t="s">
        <v>20779</v>
      </c>
      <c r="O3386" s="10"/>
      <c r="P3386" s="10" t="s">
        <v>20780</v>
      </c>
      <c r="Q3386" s="10">
        <v>791.43340000000001</v>
      </c>
      <c r="R3386" s="10" t="s">
        <v>20781</v>
      </c>
      <c r="S3386" s="10" t="s">
        <v>53</v>
      </c>
      <c r="T3386" s="10" t="s">
        <v>6384</v>
      </c>
    </row>
    <row r="3387" spans="1:20" ht="14.5" x14ac:dyDescent="0.35">
      <c r="A3387" s="10" t="s">
        <v>20782</v>
      </c>
      <c r="B3387" s="10" t="str">
        <f>"9780231145336"</f>
        <v>9780231145336</v>
      </c>
      <c r="C3387" s="10" t="str">
        <f>"9780231518512"</f>
        <v>9780231518512</v>
      </c>
      <c r="D3387" s="10" t="s">
        <v>20767</v>
      </c>
      <c r="E3387" s="10" t="s">
        <v>20768</v>
      </c>
      <c r="F3387" s="10" t="s">
        <v>70</v>
      </c>
      <c r="G3387" s="10" t="s">
        <v>6317</v>
      </c>
      <c r="H3387" s="11">
        <v>39671</v>
      </c>
      <c r="I3387" s="10">
        <v>2008</v>
      </c>
      <c r="J3387" s="10" t="s">
        <v>20768</v>
      </c>
      <c r="K3387" s="10">
        <v>105</v>
      </c>
      <c r="L3387" s="10" t="s">
        <v>20783</v>
      </c>
      <c r="M3387" s="10"/>
      <c r="N3387" s="10"/>
      <c r="O3387" s="10"/>
      <c r="P3387" s="10" t="s">
        <v>20784</v>
      </c>
      <c r="Q3387" s="10" t="s">
        <v>16337</v>
      </c>
      <c r="R3387" s="10" t="s">
        <v>20785</v>
      </c>
      <c r="S3387" s="10" t="s">
        <v>53</v>
      </c>
      <c r="T3387" s="10" t="s">
        <v>54</v>
      </c>
    </row>
    <row r="3388" spans="1:20" ht="14.5" x14ac:dyDescent="0.35">
      <c r="A3388" s="10" t="s">
        <v>20786</v>
      </c>
      <c r="B3388" s="10" t="str">
        <f>"9780231152389"</f>
        <v>9780231152389</v>
      </c>
      <c r="C3388" s="10" t="str">
        <f>"9780231526289"</f>
        <v>9780231526289</v>
      </c>
      <c r="D3388" s="10" t="s">
        <v>20767</v>
      </c>
      <c r="E3388" s="10" t="s">
        <v>20768</v>
      </c>
      <c r="F3388" s="10" t="s">
        <v>70</v>
      </c>
      <c r="G3388" s="10" t="s">
        <v>6317</v>
      </c>
      <c r="H3388" s="11">
        <v>40403</v>
      </c>
      <c r="I3388" s="10">
        <v>2010</v>
      </c>
      <c r="J3388" s="10" t="s">
        <v>20768</v>
      </c>
      <c r="K3388" s="10">
        <v>321</v>
      </c>
      <c r="L3388" s="10" t="s">
        <v>20787</v>
      </c>
      <c r="M3388" s="10"/>
      <c r="N3388" s="10" t="s">
        <v>20788</v>
      </c>
      <c r="O3388" s="10"/>
      <c r="P3388" s="10" t="s">
        <v>20789</v>
      </c>
      <c r="Q3388" s="10" t="s">
        <v>20790</v>
      </c>
      <c r="R3388" s="10" t="s">
        <v>20791</v>
      </c>
      <c r="S3388" s="10" t="s">
        <v>53</v>
      </c>
      <c r="T3388" s="10" t="s">
        <v>54</v>
      </c>
    </row>
    <row r="3389" spans="1:20" ht="14.5" x14ac:dyDescent="0.35">
      <c r="A3389" s="10" t="s">
        <v>20792</v>
      </c>
      <c r="B3389" s="10" t="str">
        <f>"9780231152693"</f>
        <v>9780231152693</v>
      </c>
      <c r="C3389" s="10" t="str">
        <f>"9780231526487"</f>
        <v>9780231526487</v>
      </c>
      <c r="D3389" s="10" t="s">
        <v>20767</v>
      </c>
      <c r="E3389" s="10" t="s">
        <v>20768</v>
      </c>
      <c r="F3389" s="10" t="s">
        <v>70</v>
      </c>
      <c r="G3389" s="10" t="s">
        <v>6317</v>
      </c>
      <c r="H3389" s="11">
        <v>40655</v>
      </c>
      <c r="I3389" s="10">
        <v>2010</v>
      </c>
      <c r="J3389" s="10" t="s">
        <v>20768</v>
      </c>
      <c r="K3389" s="10">
        <v>385</v>
      </c>
      <c r="L3389" s="10" t="s">
        <v>20793</v>
      </c>
      <c r="M3389" s="10"/>
      <c r="N3389" s="10"/>
      <c r="O3389" s="10"/>
      <c r="P3389" s="10" t="s">
        <v>20794</v>
      </c>
      <c r="Q3389" s="10">
        <v>331.88113709999999</v>
      </c>
      <c r="R3389" s="10" t="s">
        <v>20795</v>
      </c>
      <c r="S3389" s="10" t="s">
        <v>53</v>
      </c>
      <c r="T3389" s="10" t="s">
        <v>8003</v>
      </c>
    </row>
    <row r="3390" spans="1:20" ht="14.5" x14ac:dyDescent="0.35">
      <c r="A3390" s="10" t="s">
        <v>20796</v>
      </c>
      <c r="B3390" s="10" t="str">
        <f>"9780231126441"</f>
        <v>9780231126441</v>
      </c>
      <c r="C3390" s="10" t="str">
        <f>"9780231501149"</f>
        <v>9780231501149</v>
      </c>
      <c r="D3390" s="10" t="s">
        <v>20767</v>
      </c>
      <c r="E3390" s="10" t="s">
        <v>20768</v>
      </c>
      <c r="F3390" s="10" t="s">
        <v>70</v>
      </c>
      <c r="G3390" s="10" t="s">
        <v>6317</v>
      </c>
      <c r="H3390" s="11">
        <v>38294</v>
      </c>
      <c r="I3390" s="10">
        <v>2005</v>
      </c>
      <c r="J3390" s="10" t="s">
        <v>20768</v>
      </c>
      <c r="K3390" s="10">
        <v>412</v>
      </c>
      <c r="L3390" s="10" t="s">
        <v>20797</v>
      </c>
      <c r="M3390" s="10"/>
      <c r="N3390" s="10"/>
      <c r="O3390" s="10"/>
      <c r="P3390" s="10" t="s">
        <v>20798</v>
      </c>
      <c r="Q3390" s="10">
        <v>378.74700000000001</v>
      </c>
      <c r="R3390" s="10" t="s">
        <v>20799</v>
      </c>
      <c r="S3390" s="10" t="s">
        <v>53</v>
      </c>
      <c r="T3390" s="10" t="s">
        <v>54</v>
      </c>
    </row>
    <row r="3391" spans="1:20" ht="14.5" x14ac:dyDescent="0.35">
      <c r="A3391" s="10" t="s">
        <v>20800</v>
      </c>
      <c r="B3391" s="10" t="str">
        <f>"9780231126427"</f>
        <v>9780231126427</v>
      </c>
      <c r="C3391" s="10" t="str">
        <f>"9780231501132"</f>
        <v>9780231501132</v>
      </c>
      <c r="D3391" s="10" t="s">
        <v>20767</v>
      </c>
      <c r="E3391" s="10" t="s">
        <v>20768</v>
      </c>
      <c r="F3391" s="10" t="s">
        <v>70</v>
      </c>
      <c r="G3391" s="10" t="s">
        <v>6317</v>
      </c>
      <c r="H3391" s="11">
        <v>37930</v>
      </c>
      <c r="I3391" s="10">
        <v>2012</v>
      </c>
      <c r="J3391" s="10" t="s">
        <v>20768</v>
      </c>
      <c r="K3391" s="10">
        <v>417</v>
      </c>
      <c r="L3391" s="10" t="s">
        <v>20801</v>
      </c>
      <c r="M3391" s="10"/>
      <c r="N3391" s="10" t="s">
        <v>20802</v>
      </c>
      <c r="O3391" s="10"/>
      <c r="P3391" s="10" t="s">
        <v>20803</v>
      </c>
      <c r="Q3391" s="10">
        <v>374</v>
      </c>
      <c r="R3391" s="10" t="s">
        <v>20804</v>
      </c>
      <c r="S3391" s="10" t="s">
        <v>53</v>
      </c>
      <c r="T3391" s="10" t="s">
        <v>54</v>
      </c>
    </row>
    <row r="3392" spans="1:20" ht="14.5" x14ac:dyDescent="0.35">
      <c r="A3392" s="10" t="s">
        <v>20805</v>
      </c>
      <c r="B3392" s="10" t="str">
        <f>"9780231116763"</f>
        <v>9780231116763</v>
      </c>
      <c r="C3392" s="10" t="str">
        <f>"9780231507455"</f>
        <v>9780231507455</v>
      </c>
      <c r="D3392" s="10" t="s">
        <v>20767</v>
      </c>
      <c r="E3392" s="10" t="s">
        <v>20768</v>
      </c>
      <c r="F3392" s="10" t="s">
        <v>70</v>
      </c>
      <c r="G3392" s="10" t="s">
        <v>6317</v>
      </c>
      <c r="H3392" s="11">
        <v>37644</v>
      </c>
      <c r="I3392" s="10">
        <v>2003</v>
      </c>
      <c r="J3392" s="10" t="s">
        <v>20768</v>
      </c>
      <c r="K3392" s="10">
        <v>585</v>
      </c>
      <c r="L3392" s="10" t="s">
        <v>20806</v>
      </c>
      <c r="M3392" s="10"/>
      <c r="N3392" s="10"/>
      <c r="O3392" s="10"/>
      <c r="P3392" s="10" t="s">
        <v>20807</v>
      </c>
      <c r="Q3392" s="10">
        <v>191</v>
      </c>
      <c r="R3392" s="10" t="s">
        <v>20808</v>
      </c>
      <c r="S3392" s="10" t="s">
        <v>53</v>
      </c>
      <c r="T3392" s="10" t="s">
        <v>6534</v>
      </c>
    </row>
    <row r="3393" spans="1:20" ht="14.5" x14ac:dyDescent="0.35">
      <c r="A3393" s="10" t="s">
        <v>20809</v>
      </c>
      <c r="B3393" s="10" t="str">
        <f>"9780231130905"</f>
        <v>9780231130905</v>
      </c>
      <c r="C3393" s="10" t="str">
        <f>"9780231500173"</f>
        <v>9780231500173</v>
      </c>
      <c r="D3393" s="10" t="s">
        <v>20767</v>
      </c>
      <c r="E3393" s="10" t="s">
        <v>20768</v>
      </c>
      <c r="F3393" s="10" t="s">
        <v>70</v>
      </c>
      <c r="G3393" s="10" t="s">
        <v>6317</v>
      </c>
      <c r="H3393" s="11">
        <v>37937</v>
      </c>
      <c r="I3393" s="10">
        <v>2005</v>
      </c>
      <c r="J3393" s="10" t="s">
        <v>20768</v>
      </c>
      <c r="K3393" s="10">
        <v>365</v>
      </c>
      <c r="L3393" s="10" t="s">
        <v>20810</v>
      </c>
      <c r="M3393" s="10"/>
      <c r="N3393" s="10"/>
      <c r="O3393" s="10"/>
      <c r="P3393" s="10" t="s">
        <v>20811</v>
      </c>
      <c r="Q3393" s="10">
        <v>70.400000000000006</v>
      </c>
      <c r="R3393" s="10" t="s">
        <v>20812</v>
      </c>
      <c r="S3393" s="10" t="s">
        <v>53</v>
      </c>
      <c r="T3393" s="10" t="s">
        <v>5920</v>
      </c>
    </row>
    <row r="3394" spans="1:20" ht="14.5" x14ac:dyDescent="0.35">
      <c r="A3394" s="10" t="s">
        <v>20813</v>
      </c>
      <c r="B3394" s="10" t="str">
        <f>"9780231130080"</f>
        <v>9780231130080</v>
      </c>
      <c r="C3394" s="10" t="str">
        <f>"9780231503556"</f>
        <v>9780231503556</v>
      </c>
      <c r="D3394" s="10" t="s">
        <v>20767</v>
      </c>
      <c r="E3394" s="10" t="s">
        <v>20768</v>
      </c>
      <c r="F3394" s="10" t="s">
        <v>70</v>
      </c>
      <c r="G3394" s="10" t="s">
        <v>6317</v>
      </c>
      <c r="H3394" s="11">
        <v>37916</v>
      </c>
      <c r="I3394" s="10">
        <v>2012</v>
      </c>
      <c r="J3394" s="10" t="s">
        <v>20768</v>
      </c>
      <c r="K3394" s="10">
        <v>761</v>
      </c>
      <c r="L3394" s="10" t="s">
        <v>20814</v>
      </c>
      <c r="M3394" s="10"/>
      <c r="N3394" s="10" t="s">
        <v>20815</v>
      </c>
      <c r="O3394" s="10"/>
      <c r="P3394" s="10" t="s">
        <v>20816</v>
      </c>
      <c r="Q3394" s="10">
        <v>378.74700000000001</v>
      </c>
      <c r="R3394" s="10" t="s">
        <v>20817</v>
      </c>
      <c r="S3394" s="10" t="s">
        <v>53</v>
      </c>
      <c r="T3394" s="10" t="s">
        <v>54</v>
      </c>
    </row>
    <row r="3395" spans="1:20" ht="14.5" x14ac:dyDescent="0.35">
      <c r="A3395" s="10" t="s">
        <v>20818</v>
      </c>
      <c r="B3395" s="10" t="str">
        <f>"9781579224103"</f>
        <v>9781579224103</v>
      </c>
      <c r="C3395" s="10" t="str">
        <f>"9781000973587"</f>
        <v>9781000973587</v>
      </c>
      <c r="D3395" s="10" t="s">
        <v>6350</v>
      </c>
      <c r="E3395" s="10" t="s">
        <v>6351</v>
      </c>
      <c r="F3395" s="10" t="s">
        <v>748</v>
      </c>
      <c r="G3395" s="10" t="s">
        <v>6352</v>
      </c>
      <c r="H3395" s="11">
        <v>40308</v>
      </c>
      <c r="I3395" s="10">
        <v>2010</v>
      </c>
      <c r="J3395" s="10" t="s">
        <v>6351</v>
      </c>
      <c r="K3395" s="10">
        <v>232</v>
      </c>
      <c r="L3395" s="10" t="s">
        <v>20819</v>
      </c>
      <c r="M3395" s="10">
        <v>1</v>
      </c>
      <c r="N3395" s="10"/>
      <c r="O3395" s="10"/>
      <c r="P3395" s="10" t="s">
        <v>20820</v>
      </c>
      <c r="Q3395" s="10" t="s">
        <v>8223</v>
      </c>
      <c r="R3395" s="10" t="s">
        <v>20821</v>
      </c>
      <c r="S3395" s="10" t="s">
        <v>53</v>
      </c>
      <c r="T3395" s="10" t="s">
        <v>54</v>
      </c>
    </row>
    <row r="3396" spans="1:20" ht="14.5" x14ac:dyDescent="0.35">
      <c r="A3396" s="10" t="s">
        <v>20822</v>
      </c>
      <c r="B3396" s="10" t="str">
        <f>"9781579226138"</f>
        <v>9781579226138</v>
      </c>
      <c r="C3396" s="10" t="str">
        <f>"9781000973822"</f>
        <v>9781000973822</v>
      </c>
      <c r="D3396" s="10" t="s">
        <v>6350</v>
      </c>
      <c r="E3396" s="10" t="s">
        <v>6351</v>
      </c>
      <c r="F3396" s="10" t="s">
        <v>20757</v>
      </c>
      <c r="G3396" s="10" t="s">
        <v>6317</v>
      </c>
      <c r="H3396" s="11">
        <v>40826</v>
      </c>
      <c r="I3396" s="10">
        <v>2011</v>
      </c>
      <c r="J3396" s="10" t="s">
        <v>6353</v>
      </c>
      <c r="K3396" s="10">
        <v>224</v>
      </c>
      <c r="L3396" s="10" t="s">
        <v>20823</v>
      </c>
      <c r="M3396" s="10">
        <v>1</v>
      </c>
      <c r="N3396" s="10"/>
      <c r="O3396" s="10"/>
      <c r="P3396" s="10" t="s">
        <v>20824</v>
      </c>
      <c r="Q3396" s="10" t="s">
        <v>20825</v>
      </c>
      <c r="R3396" s="10" t="s">
        <v>20826</v>
      </c>
      <c r="S3396" s="10" t="s">
        <v>53</v>
      </c>
      <c r="T3396" s="10" t="s">
        <v>54</v>
      </c>
    </row>
    <row r="3397" spans="1:20" ht="14.5" x14ac:dyDescent="0.35">
      <c r="A3397" s="10" t="s">
        <v>20827</v>
      </c>
      <c r="B3397" s="10" t="str">
        <f>"9781579223465"</f>
        <v>9781579223465</v>
      </c>
      <c r="C3397" s="10" t="str">
        <f>"9781000971934"</f>
        <v>9781000971934</v>
      </c>
      <c r="D3397" s="10" t="s">
        <v>6350</v>
      </c>
      <c r="E3397" s="10" t="s">
        <v>6351</v>
      </c>
      <c r="F3397" s="10" t="s">
        <v>20757</v>
      </c>
      <c r="G3397" s="10" t="s">
        <v>6317</v>
      </c>
      <c r="H3397" s="11">
        <v>40430</v>
      </c>
      <c r="I3397" s="10">
        <v>2010</v>
      </c>
      <c r="J3397" s="10" t="s">
        <v>6353</v>
      </c>
      <c r="K3397" s="10">
        <v>249</v>
      </c>
      <c r="L3397" s="10" t="s">
        <v>20828</v>
      </c>
      <c r="M3397" s="10">
        <v>1</v>
      </c>
      <c r="N3397" s="10"/>
      <c r="O3397" s="10"/>
      <c r="P3397" s="10" t="s">
        <v>20829</v>
      </c>
      <c r="Q3397" s="10">
        <v>370.11599999999999</v>
      </c>
      <c r="R3397" s="10" t="s">
        <v>20830</v>
      </c>
      <c r="S3397" s="10" t="s">
        <v>53</v>
      </c>
      <c r="T3397" s="10" t="s">
        <v>54</v>
      </c>
    </row>
    <row r="3398" spans="1:20" ht="14.5" x14ac:dyDescent="0.35">
      <c r="A3398" s="10" t="s">
        <v>20831</v>
      </c>
      <c r="B3398" s="10" t="str">
        <f>"9781579224516"</f>
        <v>9781579224516</v>
      </c>
      <c r="C3398" s="10" t="str">
        <f>"9781000975420"</f>
        <v>9781000975420</v>
      </c>
      <c r="D3398" s="10" t="s">
        <v>6350</v>
      </c>
      <c r="E3398" s="10" t="s">
        <v>6351</v>
      </c>
      <c r="F3398" s="10" t="s">
        <v>748</v>
      </c>
      <c r="G3398" s="10" t="s">
        <v>6352</v>
      </c>
      <c r="H3398" s="11">
        <v>40548</v>
      </c>
      <c r="I3398" s="10">
        <v>2011</v>
      </c>
      <c r="J3398" s="10" t="s">
        <v>6351</v>
      </c>
      <c r="K3398" s="10">
        <v>231</v>
      </c>
      <c r="L3398" s="10" t="s">
        <v>20832</v>
      </c>
      <c r="M3398" s="10">
        <v>1</v>
      </c>
      <c r="N3398" s="10"/>
      <c r="O3398" s="10"/>
      <c r="P3398" s="10" t="s">
        <v>20833</v>
      </c>
      <c r="Q3398" s="10" t="s">
        <v>20834</v>
      </c>
      <c r="R3398" s="10" t="s">
        <v>20835</v>
      </c>
      <c r="S3398" s="10" t="s">
        <v>53</v>
      </c>
      <c r="T3398" s="10" t="s">
        <v>54</v>
      </c>
    </row>
    <row r="3399" spans="1:20" ht="14.5" x14ac:dyDescent="0.35">
      <c r="A3399" s="10" t="s">
        <v>20836</v>
      </c>
      <c r="B3399" s="10" t="str">
        <f>"9781579224158"</f>
        <v>9781579224158</v>
      </c>
      <c r="C3399" s="10" t="str">
        <f>"9781000974775"</f>
        <v>9781000974775</v>
      </c>
      <c r="D3399" s="10" t="s">
        <v>6350</v>
      </c>
      <c r="E3399" s="10" t="s">
        <v>6351</v>
      </c>
      <c r="F3399" s="10" t="s">
        <v>748</v>
      </c>
      <c r="G3399" s="10" t="s">
        <v>6352</v>
      </c>
      <c r="H3399" s="11">
        <v>40269</v>
      </c>
      <c r="I3399" s="10">
        <v>2010</v>
      </c>
      <c r="J3399" s="10" t="s">
        <v>6351</v>
      </c>
      <c r="K3399" s="10">
        <v>221</v>
      </c>
      <c r="L3399" s="10" t="s">
        <v>20837</v>
      </c>
      <c r="M3399" s="10">
        <v>1</v>
      </c>
      <c r="N3399" s="10"/>
      <c r="O3399" s="10"/>
      <c r="P3399" s="10" t="s">
        <v>20838</v>
      </c>
      <c r="Q3399" s="10" t="s">
        <v>10227</v>
      </c>
      <c r="R3399" s="10" t="s">
        <v>20839</v>
      </c>
      <c r="S3399" s="10" t="s">
        <v>53</v>
      </c>
      <c r="T3399" s="10" t="s">
        <v>54</v>
      </c>
    </row>
    <row r="3400" spans="1:20" ht="14.5" x14ac:dyDescent="0.35">
      <c r="A3400" s="10" t="s">
        <v>20840</v>
      </c>
      <c r="B3400" s="10" t="str">
        <f>"9781579223045"</f>
        <v>9781579223045</v>
      </c>
      <c r="C3400" s="10" t="str">
        <f>"9781000973990"</f>
        <v>9781000973990</v>
      </c>
      <c r="D3400" s="10" t="s">
        <v>6350</v>
      </c>
      <c r="E3400" s="10" t="s">
        <v>6351</v>
      </c>
      <c r="F3400" s="10" t="s">
        <v>3967</v>
      </c>
      <c r="G3400" s="10" t="s">
        <v>6352</v>
      </c>
      <c r="H3400" s="11">
        <v>40330</v>
      </c>
      <c r="I3400" s="10">
        <v>2010</v>
      </c>
      <c r="J3400" s="10" t="s">
        <v>6353</v>
      </c>
      <c r="K3400" s="10">
        <v>220</v>
      </c>
      <c r="L3400" s="10" t="s">
        <v>20841</v>
      </c>
      <c r="M3400" s="10">
        <v>1</v>
      </c>
      <c r="N3400" s="10"/>
      <c r="O3400" s="10"/>
      <c r="P3400" s="10"/>
      <c r="Q3400" s="10" t="s">
        <v>20842</v>
      </c>
      <c r="R3400" s="10" t="s">
        <v>20843</v>
      </c>
      <c r="S3400" s="10" t="s">
        <v>53</v>
      </c>
      <c r="T3400" s="10" t="s">
        <v>54</v>
      </c>
    </row>
    <row r="3401" spans="1:20" ht="14.5" x14ac:dyDescent="0.35">
      <c r="A3401" s="10" t="s">
        <v>20844</v>
      </c>
      <c r="B3401" s="10" t="str">
        <f>"9781579224424"</f>
        <v>9781579224424</v>
      </c>
      <c r="C3401" s="10" t="str">
        <f>"9781000974355"</f>
        <v>9781000974355</v>
      </c>
      <c r="D3401" s="10" t="s">
        <v>6350</v>
      </c>
      <c r="E3401" s="10" t="s">
        <v>6351</v>
      </c>
      <c r="F3401" s="10" t="s">
        <v>20757</v>
      </c>
      <c r="G3401" s="10" t="s">
        <v>6317</v>
      </c>
      <c r="H3401" s="11">
        <v>40245</v>
      </c>
      <c r="I3401" s="10">
        <v>2010</v>
      </c>
      <c r="J3401" s="10" t="s">
        <v>6353</v>
      </c>
      <c r="K3401" s="10">
        <v>209</v>
      </c>
      <c r="L3401" s="10" t="s">
        <v>20845</v>
      </c>
      <c r="M3401" s="10">
        <v>1</v>
      </c>
      <c r="N3401" s="10" t="s">
        <v>20846</v>
      </c>
      <c r="O3401" s="10"/>
      <c r="P3401" s="10" t="s">
        <v>20847</v>
      </c>
      <c r="Q3401" s="10" t="s">
        <v>20848</v>
      </c>
      <c r="R3401" s="10" t="s">
        <v>20849</v>
      </c>
      <c r="S3401" s="10" t="s">
        <v>53</v>
      </c>
      <c r="T3401" s="10" t="s">
        <v>54</v>
      </c>
    </row>
    <row r="3402" spans="1:20" ht="14.5" x14ac:dyDescent="0.35">
      <c r="A3402" s="10" t="s">
        <v>20850</v>
      </c>
      <c r="B3402" s="10" t="str">
        <f>"9781579224554"</f>
        <v>9781579224554</v>
      </c>
      <c r="C3402" s="10" t="str">
        <f>"9781000972504"</f>
        <v>9781000972504</v>
      </c>
      <c r="D3402" s="10" t="s">
        <v>6350</v>
      </c>
      <c r="E3402" s="10" t="s">
        <v>6351</v>
      </c>
      <c r="F3402" s="10" t="s">
        <v>3967</v>
      </c>
      <c r="G3402" s="10" t="s">
        <v>6352</v>
      </c>
      <c r="H3402" s="11">
        <v>40385</v>
      </c>
      <c r="I3402" s="10">
        <v>2010</v>
      </c>
      <c r="J3402" s="10" t="s">
        <v>6353</v>
      </c>
      <c r="K3402" s="10">
        <v>240</v>
      </c>
      <c r="L3402" s="10" t="s">
        <v>20851</v>
      </c>
      <c r="M3402" s="10">
        <v>1</v>
      </c>
      <c r="N3402" s="10"/>
      <c r="O3402" s="10"/>
      <c r="P3402" s="10"/>
      <c r="Q3402" s="10" t="s">
        <v>16871</v>
      </c>
      <c r="R3402" s="10" t="s">
        <v>20852</v>
      </c>
      <c r="S3402" s="10" t="s">
        <v>53</v>
      </c>
      <c r="T3402" s="10" t="s">
        <v>54</v>
      </c>
    </row>
    <row r="3403" spans="1:20" ht="14.5" x14ac:dyDescent="0.35">
      <c r="A3403" s="10" t="s">
        <v>20853</v>
      </c>
      <c r="B3403" s="10" t="str">
        <f>"9781579223236"</f>
        <v>9781579223236</v>
      </c>
      <c r="C3403" s="10" t="str">
        <f>"9781000974829"</f>
        <v>9781000974829</v>
      </c>
      <c r="D3403" s="10" t="s">
        <v>6350</v>
      </c>
      <c r="E3403" s="10" t="s">
        <v>6351</v>
      </c>
      <c r="F3403" s="10" t="s">
        <v>748</v>
      </c>
      <c r="G3403" s="10" t="s">
        <v>6352</v>
      </c>
      <c r="H3403" s="11">
        <v>40834</v>
      </c>
      <c r="I3403" s="10">
        <v>2011</v>
      </c>
      <c r="J3403" s="10" t="s">
        <v>6351</v>
      </c>
      <c r="K3403" s="10">
        <v>153</v>
      </c>
      <c r="L3403" s="10" t="s">
        <v>20854</v>
      </c>
      <c r="M3403" s="10">
        <v>1</v>
      </c>
      <c r="N3403" s="10"/>
      <c r="O3403" s="10"/>
      <c r="P3403" s="10" t="s">
        <v>20855</v>
      </c>
      <c r="Q3403" s="10">
        <v>371.3</v>
      </c>
      <c r="R3403" s="10" t="s">
        <v>20856</v>
      </c>
      <c r="S3403" s="10" t="s">
        <v>53</v>
      </c>
      <c r="T3403" s="10" t="s">
        <v>54</v>
      </c>
    </row>
    <row r="3404" spans="1:20" ht="14.5" x14ac:dyDescent="0.35">
      <c r="A3404" s="10" t="s">
        <v>20857</v>
      </c>
      <c r="B3404" s="10" t="str">
        <f>"9781579223281"</f>
        <v>9781579223281</v>
      </c>
      <c r="C3404" s="10" t="str">
        <f>"9781000974683"</f>
        <v>9781000974683</v>
      </c>
      <c r="D3404" s="10" t="s">
        <v>6350</v>
      </c>
      <c r="E3404" s="10" t="s">
        <v>6351</v>
      </c>
      <c r="F3404" s="10" t="s">
        <v>748</v>
      </c>
      <c r="G3404" s="10" t="s">
        <v>6352</v>
      </c>
      <c r="H3404" s="11">
        <v>40295</v>
      </c>
      <c r="I3404" s="10">
        <v>2010</v>
      </c>
      <c r="J3404" s="10" t="s">
        <v>6351</v>
      </c>
      <c r="K3404" s="10">
        <v>253</v>
      </c>
      <c r="L3404" s="10" t="s">
        <v>20858</v>
      </c>
      <c r="M3404" s="10">
        <v>1</v>
      </c>
      <c r="N3404" s="10"/>
      <c r="O3404" s="10"/>
      <c r="P3404" s="10" t="s">
        <v>20859</v>
      </c>
      <c r="Q3404" s="10" t="s">
        <v>19376</v>
      </c>
      <c r="R3404" s="10" t="s">
        <v>20860</v>
      </c>
      <c r="S3404" s="10" t="s">
        <v>53</v>
      </c>
      <c r="T3404" s="10" t="s">
        <v>54</v>
      </c>
    </row>
    <row r="3405" spans="1:20" ht="14.5" x14ac:dyDescent="0.35">
      <c r="A3405" s="10" t="s">
        <v>20861</v>
      </c>
      <c r="B3405" s="10" t="str">
        <f>"9781579224530"</f>
        <v>9781579224530</v>
      </c>
      <c r="C3405" s="10" t="str">
        <f>"9781000975604"</f>
        <v>9781000975604</v>
      </c>
      <c r="D3405" s="10" t="s">
        <v>6350</v>
      </c>
      <c r="E3405" s="10" t="s">
        <v>6351</v>
      </c>
      <c r="F3405" s="10" t="s">
        <v>748</v>
      </c>
      <c r="G3405" s="10" t="s">
        <v>6352</v>
      </c>
      <c r="H3405" s="11">
        <v>40834</v>
      </c>
      <c r="I3405" s="10">
        <v>2011</v>
      </c>
      <c r="J3405" s="10" t="s">
        <v>6351</v>
      </c>
      <c r="K3405" s="10">
        <v>141</v>
      </c>
      <c r="L3405" s="10" t="s">
        <v>20862</v>
      </c>
      <c r="M3405" s="10">
        <v>1</v>
      </c>
      <c r="N3405" s="10"/>
      <c r="O3405" s="10"/>
      <c r="P3405" s="10" t="s">
        <v>20863</v>
      </c>
      <c r="Q3405" s="10" t="s">
        <v>9298</v>
      </c>
      <c r="R3405" s="10" t="s">
        <v>8224</v>
      </c>
      <c r="S3405" s="10" t="s">
        <v>53</v>
      </c>
      <c r="T3405" s="10" t="s">
        <v>54</v>
      </c>
    </row>
    <row r="3406" spans="1:20" ht="14.5" x14ac:dyDescent="0.35">
      <c r="A3406" s="10" t="s">
        <v>20864</v>
      </c>
      <c r="B3406" s="10" t="str">
        <f>"9781579224752"</f>
        <v>9781579224752</v>
      </c>
      <c r="C3406" s="10" t="str">
        <f>"9781000971767"</f>
        <v>9781000971767</v>
      </c>
      <c r="D3406" s="10" t="s">
        <v>6350</v>
      </c>
      <c r="E3406" s="10" t="s">
        <v>6351</v>
      </c>
      <c r="F3406" s="10" t="s">
        <v>748</v>
      </c>
      <c r="G3406" s="10" t="s">
        <v>6352</v>
      </c>
      <c r="H3406" s="11">
        <v>40935</v>
      </c>
      <c r="I3406" s="10">
        <v>2012</v>
      </c>
      <c r="J3406" s="10" t="s">
        <v>6351</v>
      </c>
      <c r="K3406" s="10">
        <v>272</v>
      </c>
      <c r="L3406" s="10" t="s">
        <v>20865</v>
      </c>
      <c r="M3406" s="10">
        <v>1</v>
      </c>
      <c r="N3406" s="10"/>
      <c r="O3406" s="10"/>
      <c r="P3406" s="10" t="s">
        <v>20866</v>
      </c>
      <c r="Q3406" s="10" t="s">
        <v>9298</v>
      </c>
      <c r="R3406" s="10" t="s">
        <v>8224</v>
      </c>
      <c r="S3406" s="10" t="s">
        <v>53</v>
      </c>
      <c r="T3406" s="10" t="s">
        <v>54</v>
      </c>
    </row>
    <row r="3407" spans="1:20" ht="14.5" x14ac:dyDescent="0.35">
      <c r="A3407" s="10" t="s">
        <v>20867</v>
      </c>
      <c r="B3407" s="10" t="str">
        <f>"9781579222901"</f>
        <v>9781579222901</v>
      </c>
      <c r="C3407" s="10" t="str">
        <f>"9781000972337"</f>
        <v>9781000972337</v>
      </c>
      <c r="D3407" s="10" t="s">
        <v>6350</v>
      </c>
      <c r="E3407" s="10" t="s">
        <v>6351</v>
      </c>
      <c r="F3407" s="10" t="s">
        <v>748</v>
      </c>
      <c r="G3407" s="10" t="s">
        <v>6352</v>
      </c>
      <c r="H3407" s="11">
        <v>40575</v>
      </c>
      <c r="I3407" s="10">
        <v>2011</v>
      </c>
      <c r="J3407" s="10" t="s">
        <v>6351</v>
      </c>
      <c r="K3407" s="10">
        <v>252</v>
      </c>
      <c r="L3407" s="10" t="s">
        <v>20868</v>
      </c>
      <c r="M3407" s="10">
        <v>1</v>
      </c>
      <c r="N3407" s="10" t="s">
        <v>20869</v>
      </c>
      <c r="O3407" s="10"/>
      <c r="P3407" s="10" t="s">
        <v>20870</v>
      </c>
      <c r="Q3407" s="10">
        <v>378.017</v>
      </c>
      <c r="R3407" s="10" t="s">
        <v>20871</v>
      </c>
      <c r="S3407" s="10" t="s">
        <v>53</v>
      </c>
      <c r="T3407" s="10" t="s">
        <v>54</v>
      </c>
    </row>
    <row r="3408" spans="1:20" ht="14.5" x14ac:dyDescent="0.35">
      <c r="A3408" s="10" t="s">
        <v>20872</v>
      </c>
      <c r="B3408" s="10" t="str">
        <f>"9781579224400"</f>
        <v>9781579224400</v>
      </c>
      <c r="C3408" s="10" t="str">
        <f>"9781000973761"</f>
        <v>9781000973761</v>
      </c>
      <c r="D3408" s="10" t="s">
        <v>6350</v>
      </c>
      <c r="E3408" s="10" t="s">
        <v>6351</v>
      </c>
      <c r="F3408" s="10" t="s">
        <v>20757</v>
      </c>
      <c r="G3408" s="10" t="s">
        <v>6317</v>
      </c>
      <c r="H3408" s="11">
        <v>40505</v>
      </c>
      <c r="I3408" s="10">
        <v>2011</v>
      </c>
      <c r="J3408" s="10" t="s">
        <v>6353</v>
      </c>
      <c r="K3408" s="10">
        <v>354</v>
      </c>
      <c r="L3408" s="10" t="s">
        <v>20873</v>
      </c>
      <c r="M3408" s="10">
        <v>2</v>
      </c>
      <c r="N3408" s="10"/>
      <c r="O3408" s="10"/>
      <c r="P3408" s="10" t="s">
        <v>20874</v>
      </c>
      <c r="Q3408" s="10" t="s">
        <v>20875</v>
      </c>
      <c r="R3408" s="10" t="s">
        <v>20876</v>
      </c>
      <c r="S3408" s="10" t="s">
        <v>53</v>
      </c>
      <c r="T3408" s="10" t="s">
        <v>54</v>
      </c>
    </row>
    <row r="3409" spans="1:20" ht="14.5" x14ac:dyDescent="0.35">
      <c r="A3409" s="10" t="s">
        <v>20877</v>
      </c>
      <c r="B3409" s="10" t="str">
        <f>"9781579223731"</f>
        <v>9781579223731</v>
      </c>
      <c r="C3409" s="10" t="str">
        <f>"9781000976076"</f>
        <v>9781000976076</v>
      </c>
      <c r="D3409" s="10" t="s">
        <v>6350</v>
      </c>
      <c r="E3409" s="10" t="s">
        <v>6351</v>
      </c>
      <c r="F3409" s="10" t="s">
        <v>3967</v>
      </c>
      <c r="G3409" s="10" t="s">
        <v>6352</v>
      </c>
      <c r="H3409" s="11">
        <v>40708</v>
      </c>
      <c r="I3409" s="10">
        <v>2011</v>
      </c>
      <c r="J3409" s="10" t="s">
        <v>6353</v>
      </c>
      <c r="K3409" s="10">
        <v>336</v>
      </c>
      <c r="L3409" s="10" t="s">
        <v>20878</v>
      </c>
      <c r="M3409" s="10">
        <v>1</v>
      </c>
      <c r="N3409" s="10" t="s">
        <v>20869</v>
      </c>
      <c r="O3409" s="10"/>
      <c r="P3409" s="10"/>
      <c r="Q3409" s="10" t="s">
        <v>20879</v>
      </c>
      <c r="R3409" s="10" t="s">
        <v>20880</v>
      </c>
      <c r="S3409" s="10" t="s">
        <v>53</v>
      </c>
      <c r="T3409" s="10" t="s">
        <v>54</v>
      </c>
    </row>
    <row r="3410" spans="1:20" ht="14.5" x14ac:dyDescent="0.35">
      <c r="A3410" s="10" t="s">
        <v>20881</v>
      </c>
      <c r="B3410" s="10" t="str">
        <f>"9781579223335"</f>
        <v>9781579223335</v>
      </c>
      <c r="C3410" s="10" t="str">
        <f>"9781000974201"</f>
        <v>9781000974201</v>
      </c>
      <c r="D3410" s="10" t="s">
        <v>6350</v>
      </c>
      <c r="E3410" s="10" t="s">
        <v>6351</v>
      </c>
      <c r="F3410" s="10" t="s">
        <v>748</v>
      </c>
      <c r="G3410" s="10" t="s">
        <v>6352</v>
      </c>
      <c r="H3410" s="11">
        <v>40323</v>
      </c>
      <c r="I3410" s="10">
        <v>2010</v>
      </c>
      <c r="J3410" s="10" t="s">
        <v>6351</v>
      </c>
      <c r="K3410" s="10">
        <v>245</v>
      </c>
      <c r="L3410" s="10" t="s">
        <v>20882</v>
      </c>
      <c r="M3410" s="10">
        <v>1</v>
      </c>
      <c r="N3410" s="10"/>
      <c r="O3410" s="10"/>
      <c r="P3410" s="10" t="s">
        <v>20883</v>
      </c>
      <c r="Q3410" s="10" t="s">
        <v>20884</v>
      </c>
      <c r="R3410" s="10" t="s">
        <v>20885</v>
      </c>
      <c r="S3410" s="10" t="s">
        <v>53</v>
      </c>
      <c r="T3410" s="10" t="s">
        <v>8755</v>
      </c>
    </row>
    <row r="3411" spans="1:20" ht="14.5" x14ac:dyDescent="0.35">
      <c r="A3411" s="10" t="s">
        <v>20886</v>
      </c>
      <c r="B3411" s="10" t="str">
        <f>"9781579223380"</f>
        <v>9781579223380</v>
      </c>
      <c r="C3411" s="10" t="str">
        <f>"9781000976007"</f>
        <v>9781000976007</v>
      </c>
      <c r="D3411" s="10" t="s">
        <v>6350</v>
      </c>
      <c r="E3411" s="10" t="s">
        <v>6351</v>
      </c>
      <c r="F3411" s="10" t="s">
        <v>20757</v>
      </c>
      <c r="G3411" s="10" t="s">
        <v>6317</v>
      </c>
      <c r="H3411" s="11">
        <v>40491</v>
      </c>
      <c r="I3411" s="10">
        <v>2011</v>
      </c>
      <c r="J3411" s="10" t="s">
        <v>6353</v>
      </c>
      <c r="K3411" s="10">
        <v>417</v>
      </c>
      <c r="L3411" s="10" t="s">
        <v>20887</v>
      </c>
      <c r="M3411" s="10">
        <v>1</v>
      </c>
      <c r="N3411" s="10" t="s">
        <v>20888</v>
      </c>
      <c r="O3411" s="10">
        <v>1</v>
      </c>
      <c r="P3411" s="10" t="s">
        <v>20889</v>
      </c>
      <c r="Q3411" s="10" t="s">
        <v>8800</v>
      </c>
      <c r="R3411" s="10" t="s">
        <v>20890</v>
      </c>
      <c r="S3411" s="10" t="s">
        <v>53</v>
      </c>
      <c r="T3411" s="10" t="s">
        <v>6526</v>
      </c>
    </row>
    <row r="3412" spans="1:20" ht="14.5" x14ac:dyDescent="0.35">
      <c r="A3412" s="10" t="s">
        <v>20891</v>
      </c>
      <c r="B3412" s="10" t="str">
        <f>"9781579225957"</f>
        <v>9781579225957</v>
      </c>
      <c r="C3412" s="10" t="str">
        <f>"9781000976571"</f>
        <v>9781000976571</v>
      </c>
      <c r="D3412" s="10" t="s">
        <v>6350</v>
      </c>
      <c r="E3412" s="10" t="s">
        <v>6351</v>
      </c>
      <c r="F3412" s="10" t="s">
        <v>20757</v>
      </c>
      <c r="G3412" s="10" t="s">
        <v>6317</v>
      </c>
      <c r="H3412" s="11">
        <v>40672</v>
      </c>
      <c r="I3412" s="10">
        <v>2011</v>
      </c>
      <c r="J3412" s="10" t="s">
        <v>6353</v>
      </c>
      <c r="K3412" s="10">
        <v>376</v>
      </c>
      <c r="L3412" s="10" t="s">
        <v>20892</v>
      </c>
      <c r="M3412" s="10">
        <v>2</v>
      </c>
      <c r="N3412" s="10"/>
      <c r="O3412" s="10"/>
      <c r="P3412" s="10" t="s">
        <v>20893</v>
      </c>
      <c r="Q3412" s="10">
        <v>370.11709730000001</v>
      </c>
      <c r="R3412" s="10" t="s">
        <v>20894</v>
      </c>
      <c r="S3412" s="10" t="s">
        <v>53</v>
      </c>
      <c r="T3412" s="10" t="s">
        <v>54</v>
      </c>
    </row>
    <row r="3413" spans="1:20" ht="14.5" x14ac:dyDescent="0.35">
      <c r="A3413" s="10" t="s">
        <v>20895</v>
      </c>
      <c r="B3413" s="10" t="str">
        <f>"9781579224301"</f>
        <v>9781579224301</v>
      </c>
      <c r="C3413" s="10" t="str">
        <f>"9781000971880"</f>
        <v>9781000971880</v>
      </c>
      <c r="D3413" s="10" t="s">
        <v>6350</v>
      </c>
      <c r="E3413" s="10" t="s">
        <v>6351</v>
      </c>
      <c r="F3413" s="10" t="s">
        <v>748</v>
      </c>
      <c r="G3413" s="10" t="s">
        <v>6352</v>
      </c>
      <c r="H3413" s="11">
        <v>40654</v>
      </c>
      <c r="I3413" s="10">
        <v>2011</v>
      </c>
      <c r="J3413" s="10" t="s">
        <v>6351</v>
      </c>
      <c r="K3413" s="10">
        <v>219</v>
      </c>
      <c r="L3413" s="10" t="s">
        <v>20896</v>
      </c>
      <c r="M3413" s="10">
        <v>1</v>
      </c>
      <c r="N3413" s="10"/>
      <c r="O3413" s="10"/>
      <c r="P3413" s="10" t="s">
        <v>20897</v>
      </c>
      <c r="Q3413" s="10" t="s">
        <v>10427</v>
      </c>
      <c r="R3413" s="10" t="s">
        <v>20898</v>
      </c>
      <c r="S3413" s="10" t="s">
        <v>53</v>
      </c>
      <c r="T3413" s="10" t="s">
        <v>54</v>
      </c>
    </row>
    <row r="3414" spans="1:20" ht="14.5" x14ac:dyDescent="0.35">
      <c r="A3414" s="10" t="s">
        <v>20899</v>
      </c>
      <c r="B3414" s="10" t="str">
        <f>"9781579221324"</f>
        <v>9781579221324</v>
      </c>
      <c r="C3414" s="10" t="str">
        <f>"9781000973600"</f>
        <v>9781000973600</v>
      </c>
      <c r="D3414" s="10" t="s">
        <v>6350</v>
      </c>
      <c r="E3414" s="10" t="s">
        <v>6351</v>
      </c>
      <c r="F3414" s="10" t="s">
        <v>748</v>
      </c>
      <c r="G3414" s="10" t="s">
        <v>6352</v>
      </c>
      <c r="H3414" s="11">
        <v>39385</v>
      </c>
      <c r="I3414" s="10">
        <v>2007</v>
      </c>
      <c r="J3414" s="10" t="s">
        <v>6351</v>
      </c>
      <c r="K3414" s="10">
        <v>505</v>
      </c>
      <c r="L3414" s="10" t="s">
        <v>20900</v>
      </c>
      <c r="M3414" s="10">
        <v>1</v>
      </c>
      <c r="N3414" s="10"/>
      <c r="O3414" s="10"/>
      <c r="P3414" s="10" t="s">
        <v>20901</v>
      </c>
      <c r="Q3414" s="10" t="s">
        <v>7307</v>
      </c>
      <c r="R3414" s="10" t="s">
        <v>20902</v>
      </c>
      <c r="S3414" s="10" t="s">
        <v>53</v>
      </c>
      <c r="T3414" s="10" t="s">
        <v>54</v>
      </c>
    </row>
    <row r="3415" spans="1:20" ht="14.5" x14ac:dyDescent="0.35">
      <c r="A3415" s="10" t="s">
        <v>20903</v>
      </c>
      <c r="B3415" s="10" t="str">
        <f>"9781579225759"</f>
        <v>9781579225759</v>
      </c>
      <c r="C3415" s="10" t="str">
        <f>"9781000976083"</f>
        <v>9781000976083</v>
      </c>
      <c r="D3415" s="10" t="s">
        <v>6350</v>
      </c>
      <c r="E3415" s="10" t="s">
        <v>6351</v>
      </c>
      <c r="F3415" s="10" t="s">
        <v>20757</v>
      </c>
      <c r="G3415" s="10" t="s">
        <v>6317</v>
      </c>
      <c r="H3415" s="11">
        <v>40912</v>
      </c>
      <c r="I3415" s="10">
        <v>2012</v>
      </c>
      <c r="J3415" s="10" t="s">
        <v>6353</v>
      </c>
      <c r="K3415" s="10">
        <v>243</v>
      </c>
      <c r="L3415" s="10" t="s">
        <v>20904</v>
      </c>
      <c r="M3415" s="10">
        <v>1</v>
      </c>
      <c r="N3415" s="10"/>
      <c r="O3415" s="10"/>
      <c r="P3415" s="10" t="s">
        <v>20905</v>
      </c>
      <c r="Q3415" s="10">
        <v>371.4</v>
      </c>
      <c r="R3415" s="10" t="s">
        <v>20852</v>
      </c>
      <c r="S3415" s="10" t="s">
        <v>53</v>
      </c>
      <c r="T3415" s="10" t="s">
        <v>54</v>
      </c>
    </row>
    <row r="3416" spans="1:20" ht="14.5" x14ac:dyDescent="0.35">
      <c r="A3416" s="10" t="s">
        <v>20906</v>
      </c>
      <c r="B3416" s="10" t="str">
        <f>"9781579223670"</f>
        <v>9781579223670</v>
      </c>
      <c r="C3416" s="10" t="str">
        <f>"9781000971828"</f>
        <v>9781000971828</v>
      </c>
      <c r="D3416" s="10" t="s">
        <v>6350</v>
      </c>
      <c r="E3416" s="10" t="s">
        <v>6351</v>
      </c>
      <c r="F3416" s="10" t="s">
        <v>20757</v>
      </c>
      <c r="G3416" s="10" t="s">
        <v>6317</v>
      </c>
      <c r="H3416" s="11">
        <v>40246</v>
      </c>
      <c r="I3416" s="10">
        <v>2010</v>
      </c>
      <c r="J3416" s="10" t="s">
        <v>6353</v>
      </c>
      <c r="K3416" s="10">
        <v>313</v>
      </c>
      <c r="L3416" s="10" t="s">
        <v>20907</v>
      </c>
      <c r="M3416" s="10">
        <v>1</v>
      </c>
      <c r="N3416" s="10"/>
      <c r="O3416" s="10"/>
      <c r="P3416" s="10" t="s">
        <v>20908</v>
      </c>
      <c r="Q3416" s="10" t="s">
        <v>6942</v>
      </c>
      <c r="R3416" s="10" t="s">
        <v>20909</v>
      </c>
      <c r="S3416" s="10" t="s">
        <v>53</v>
      </c>
      <c r="T3416" s="10" t="s">
        <v>54</v>
      </c>
    </row>
    <row r="3417" spans="1:20" ht="14.5" x14ac:dyDescent="0.35">
      <c r="A3417" s="10" t="s">
        <v>20910</v>
      </c>
      <c r="B3417" s="10" t="str">
        <f>"9781579224349"</f>
        <v>9781579224349</v>
      </c>
      <c r="C3417" s="10" t="str">
        <f>"9781000972917"</f>
        <v>9781000972917</v>
      </c>
      <c r="D3417" s="10" t="s">
        <v>6350</v>
      </c>
      <c r="E3417" s="10" t="s">
        <v>6351</v>
      </c>
      <c r="F3417" s="10" t="s">
        <v>20757</v>
      </c>
      <c r="G3417" s="10" t="s">
        <v>6317</v>
      </c>
      <c r="H3417" s="11">
        <v>40435</v>
      </c>
      <c r="I3417" s="10">
        <v>2010</v>
      </c>
      <c r="J3417" s="10" t="s">
        <v>6353</v>
      </c>
      <c r="K3417" s="10">
        <v>238</v>
      </c>
      <c r="L3417" s="10" t="s">
        <v>20873</v>
      </c>
      <c r="M3417" s="10">
        <v>1</v>
      </c>
      <c r="N3417" s="10"/>
      <c r="O3417" s="10"/>
      <c r="P3417" s="10" t="s">
        <v>20911</v>
      </c>
      <c r="Q3417" s="10">
        <v>378.10700000000003</v>
      </c>
      <c r="R3417" s="10" t="s">
        <v>20912</v>
      </c>
      <c r="S3417" s="10" t="s">
        <v>53</v>
      </c>
      <c r="T3417" s="10" t="s">
        <v>54</v>
      </c>
    </row>
    <row r="3418" spans="1:20" ht="14.5" x14ac:dyDescent="0.35">
      <c r="A3418" s="10" t="s">
        <v>20913</v>
      </c>
      <c r="B3418" s="10" t="str">
        <f>"9781579223625"</f>
        <v>9781579223625</v>
      </c>
      <c r="C3418" s="10" t="str">
        <f>"9781000972900"</f>
        <v>9781000972900</v>
      </c>
      <c r="D3418" s="10" t="s">
        <v>6350</v>
      </c>
      <c r="E3418" s="10" t="s">
        <v>6351</v>
      </c>
      <c r="F3418" s="10" t="s">
        <v>748</v>
      </c>
      <c r="G3418" s="10" t="s">
        <v>6352</v>
      </c>
      <c r="H3418" s="11">
        <v>40491</v>
      </c>
      <c r="I3418" s="10">
        <v>2011</v>
      </c>
      <c r="J3418" s="10" t="s">
        <v>6351</v>
      </c>
      <c r="K3418" s="10">
        <v>319</v>
      </c>
      <c r="L3418" s="10" t="s">
        <v>20914</v>
      </c>
      <c r="M3418" s="10">
        <v>1</v>
      </c>
      <c r="N3418" s="10"/>
      <c r="O3418" s="10"/>
      <c r="P3418" s="10" t="s">
        <v>20915</v>
      </c>
      <c r="Q3418" s="10">
        <v>371.20097299999998</v>
      </c>
      <c r="R3418" s="10" t="s">
        <v>20916</v>
      </c>
      <c r="S3418" s="10" t="s">
        <v>53</v>
      </c>
      <c r="T3418" s="10" t="s">
        <v>54</v>
      </c>
    </row>
    <row r="3419" spans="1:20" ht="14.5" x14ac:dyDescent="0.35">
      <c r="A3419" s="10" t="s">
        <v>20917</v>
      </c>
      <c r="B3419" s="10" t="str">
        <f>"9781579224790"</f>
        <v>9781579224790</v>
      </c>
      <c r="C3419" s="10" t="str">
        <f>"9781000973747"</f>
        <v>9781000973747</v>
      </c>
      <c r="D3419" s="10" t="s">
        <v>6350</v>
      </c>
      <c r="E3419" s="10" t="s">
        <v>6351</v>
      </c>
      <c r="F3419" s="10" t="s">
        <v>748</v>
      </c>
      <c r="G3419" s="10" t="s">
        <v>6352</v>
      </c>
      <c r="H3419" s="11">
        <v>40820</v>
      </c>
      <c r="I3419" s="10">
        <v>2011</v>
      </c>
      <c r="J3419" s="10" t="s">
        <v>6351</v>
      </c>
      <c r="K3419" s="10">
        <v>271</v>
      </c>
      <c r="L3419" s="10" t="s">
        <v>20918</v>
      </c>
      <c r="M3419" s="10">
        <v>1</v>
      </c>
      <c r="N3419" s="10"/>
      <c r="O3419" s="10"/>
      <c r="P3419" s="10" t="s">
        <v>20919</v>
      </c>
      <c r="Q3419" s="10" t="s">
        <v>8223</v>
      </c>
      <c r="R3419" s="10" t="s">
        <v>20920</v>
      </c>
      <c r="S3419" s="10" t="s">
        <v>53</v>
      </c>
      <c r="T3419" s="10" t="s">
        <v>54</v>
      </c>
    </row>
    <row r="3420" spans="1:20" ht="14.5" x14ac:dyDescent="0.35">
      <c r="A3420" s="10" t="s">
        <v>20921</v>
      </c>
      <c r="B3420" s="10" t="str">
        <f>"9781579221331"</f>
        <v>9781579221331</v>
      </c>
      <c r="C3420" s="10" t="str">
        <f>"9781000988130"</f>
        <v>9781000988130</v>
      </c>
      <c r="D3420" s="10" t="s">
        <v>6350</v>
      </c>
      <c r="E3420" s="10" t="s">
        <v>6351</v>
      </c>
      <c r="F3420" s="10" t="s">
        <v>20757</v>
      </c>
      <c r="G3420" s="10" t="s">
        <v>6317</v>
      </c>
      <c r="H3420" s="11">
        <v>40609</v>
      </c>
      <c r="I3420" s="10">
        <v>2011</v>
      </c>
      <c r="J3420" s="10" t="s">
        <v>6353</v>
      </c>
      <c r="K3420" s="10">
        <v>282</v>
      </c>
      <c r="L3420" s="10" t="s">
        <v>20922</v>
      </c>
      <c r="M3420" s="10">
        <v>2</v>
      </c>
      <c r="N3420" s="10"/>
      <c r="O3420" s="10"/>
      <c r="P3420" s="10" t="s">
        <v>20923</v>
      </c>
      <c r="Q3420" s="10">
        <v>650.14024371999994</v>
      </c>
      <c r="R3420" s="10" t="s">
        <v>20924</v>
      </c>
      <c r="S3420" s="10" t="s">
        <v>53</v>
      </c>
      <c r="T3420" s="10" t="s">
        <v>8760</v>
      </c>
    </row>
    <row r="3421" spans="1:20" ht="14.5" x14ac:dyDescent="0.35">
      <c r="A3421" s="10" t="s">
        <v>20925</v>
      </c>
      <c r="B3421" s="10" t="str">
        <f>"9781579224592"</f>
        <v>9781579224592</v>
      </c>
      <c r="C3421" s="10" t="str">
        <f>"9781000973143"</f>
        <v>9781000973143</v>
      </c>
      <c r="D3421" s="10" t="s">
        <v>6350</v>
      </c>
      <c r="E3421" s="10" t="s">
        <v>6351</v>
      </c>
      <c r="F3421" s="10" t="s">
        <v>748</v>
      </c>
      <c r="G3421" s="10" t="s">
        <v>6352</v>
      </c>
      <c r="H3421" s="11">
        <v>40646</v>
      </c>
      <c r="I3421" s="10">
        <v>2011</v>
      </c>
      <c r="J3421" s="10" t="s">
        <v>6351</v>
      </c>
      <c r="K3421" s="10">
        <v>268</v>
      </c>
      <c r="L3421" s="10" t="s">
        <v>20926</v>
      </c>
      <c r="M3421" s="10">
        <v>1</v>
      </c>
      <c r="N3421" s="10"/>
      <c r="O3421" s="10"/>
      <c r="P3421" s="10" t="s">
        <v>20927</v>
      </c>
      <c r="Q3421" s="10" t="s">
        <v>14582</v>
      </c>
      <c r="R3421" s="10" t="s">
        <v>20928</v>
      </c>
      <c r="S3421" s="10" t="s">
        <v>53</v>
      </c>
      <c r="T3421" s="10" t="s">
        <v>54</v>
      </c>
    </row>
    <row r="3422" spans="1:20" ht="14.5" x14ac:dyDescent="0.35">
      <c r="A3422" s="10" t="s">
        <v>20929</v>
      </c>
      <c r="B3422" s="10" t="str">
        <f>"9781579223694"</f>
        <v>9781579223694</v>
      </c>
      <c r="C3422" s="10" t="str">
        <f>"9781000975673"</f>
        <v>9781000975673</v>
      </c>
      <c r="D3422" s="10" t="s">
        <v>6350</v>
      </c>
      <c r="E3422" s="10" t="s">
        <v>6351</v>
      </c>
      <c r="F3422" s="10" t="s">
        <v>20757</v>
      </c>
      <c r="G3422" s="10" t="s">
        <v>6317</v>
      </c>
      <c r="H3422" s="11">
        <v>40262</v>
      </c>
      <c r="I3422" s="10">
        <v>2010</v>
      </c>
      <c r="J3422" s="10" t="s">
        <v>6353</v>
      </c>
      <c r="K3422" s="10">
        <v>240</v>
      </c>
      <c r="L3422" s="10" t="s">
        <v>20930</v>
      </c>
      <c r="M3422" s="10">
        <v>1</v>
      </c>
      <c r="N3422" s="10" t="s">
        <v>20869</v>
      </c>
      <c r="O3422" s="10"/>
      <c r="P3422" s="10" t="s">
        <v>20931</v>
      </c>
      <c r="Q3422" s="10" t="s">
        <v>9584</v>
      </c>
      <c r="R3422" s="10" t="s">
        <v>20932</v>
      </c>
      <c r="S3422" s="10" t="s">
        <v>53</v>
      </c>
      <c r="T3422" s="10" t="s">
        <v>54</v>
      </c>
    </row>
    <row r="3423" spans="1:20" ht="14.5" x14ac:dyDescent="0.35">
      <c r="A3423" s="10" t="s">
        <v>20933</v>
      </c>
      <c r="B3423" s="10" t="str">
        <f>"9781579224462"</f>
        <v>9781579224462</v>
      </c>
      <c r="C3423" s="10" t="str">
        <f>"9781000973976"</f>
        <v>9781000973976</v>
      </c>
      <c r="D3423" s="10" t="s">
        <v>6350</v>
      </c>
      <c r="E3423" s="10" t="s">
        <v>6351</v>
      </c>
      <c r="F3423" s="10" t="s">
        <v>20757</v>
      </c>
      <c r="G3423" s="10" t="s">
        <v>6317</v>
      </c>
      <c r="H3423" s="11">
        <v>40834</v>
      </c>
      <c r="I3423" s="10">
        <v>2011</v>
      </c>
      <c r="J3423" s="10" t="s">
        <v>6353</v>
      </c>
      <c r="K3423" s="10">
        <v>310</v>
      </c>
      <c r="L3423" s="10" t="s">
        <v>20934</v>
      </c>
      <c r="M3423" s="10">
        <v>1</v>
      </c>
      <c r="N3423" s="10"/>
      <c r="O3423" s="10"/>
      <c r="P3423" s="10" t="s">
        <v>20935</v>
      </c>
      <c r="Q3423" s="10" t="s">
        <v>14668</v>
      </c>
      <c r="R3423" s="10" t="s">
        <v>20936</v>
      </c>
      <c r="S3423" s="10" t="s">
        <v>53</v>
      </c>
      <c r="T3423" s="10" t="s">
        <v>12436</v>
      </c>
    </row>
    <row r="3424" spans="1:20" ht="14.5" x14ac:dyDescent="0.35">
      <c r="A3424" s="10" t="s">
        <v>20937</v>
      </c>
      <c r="B3424" s="10" t="str">
        <f>"9781579223601"</f>
        <v>9781579223601</v>
      </c>
      <c r="C3424" s="10" t="str">
        <f>"9781000972443"</f>
        <v>9781000972443</v>
      </c>
      <c r="D3424" s="10" t="s">
        <v>6350</v>
      </c>
      <c r="E3424" s="10" t="s">
        <v>6351</v>
      </c>
      <c r="F3424" s="10" t="s">
        <v>748</v>
      </c>
      <c r="G3424" s="10" t="s">
        <v>6352</v>
      </c>
      <c r="H3424" s="11">
        <v>40414</v>
      </c>
      <c r="I3424" s="10">
        <v>2010</v>
      </c>
      <c r="J3424" s="10" t="s">
        <v>6351</v>
      </c>
      <c r="K3424" s="10">
        <v>268</v>
      </c>
      <c r="L3424" s="10" t="s">
        <v>20938</v>
      </c>
      <c r="M3424" s="10">
        <v>1</v>
      </c>
      <c r="N3424" s="10"/>
      <c r="O3424" s="10"/>
      <c r="P3424" s="10"/>
      <c r="Q3424" s="10" t="s">
        <v>7335</v>
      </c>
      <c r="R3424" s="10" t="s">
        <v>20939</v>
      </c>
      <c r="S3424" s="10" t="s">
        <v>53</v>
      </c>
      <c r="T3424" s="10" t="s">
        <v>54</v>
      </c>
    </row>
    <row r="3425" spans="1:20" ht="14.5" x14ac:dyDescent="0.35">
      <c r="A3425" s="10" t="s">
        <v>20940</v>
      </c>
      <c r="B3425" s="10" t="str">
        <f>"9781579223106"</f>
        <v>9781579223106</v>
      </c>
      <c r="C3425" s="10" t="str">
        <f>"9781000975512"</f>
        <v>9781000975512</v>
      </c>
      <c r="D3425" s="10" t="s">
        <v>6350</v>
      </c>
      <c r="E3425" s="10" t="s">
        <v>6351</v>
      </c>
      <c r="F3425" s="10" t="s">
        <v>748</v>
      </c>
      <c r="G3425" s="10" t="s">
        <v>6352</v>
      </c>
      <c r="H3425" s="11">
        <v>40681</v>
      </c>
      <c r="I3425" s="10">
        <v>2011</v>
      </c>
      <c r="J3425" s="10" t="s">
        <v>6351</v>
      </c>
      <c r="K3425" s="10">
        <v>167</v>
      </c>
      <c r="L3425" s="10" t="s">
        <v>20941</v>
      </c>
      <c r="M3425" s="10">
        <v>1</v>
      </c>
      <c r="N3425" s="10"/>
      <c r="O3425" s="10"/>
      <c r="P3425" s="10" t="s">
        <v>20942</v>
      </c>
      <c r="Q3425" s="10" t="s">
        <v>20943</v>
      </c>
      <c r="R3425" s="10" t="s">
        <v>20944</v>
      </c>
      <c r="S3425" s="10" t="s">
        <v>53</v>
      </c>
      <c r="T3425" s="10" t="s">
        <v>54</v>
      </c>
    </row>
    <row r="3426" spans="1:20" ht="14.5" x14ac:dyDescent="0.35">
      <c r="A3426" s="10" t="s">
        <v>20945</v>
      </c>
      <c r="B3426" s="10" t="str">
        <f>"9781579222406"</f>
        <v>9781579222406</v>
      </c>
      <c r="C3426" s="10" t="str">
        <f>"9781000973877"</f>
        <v>9781000973877</v>
      </c>
      <c r="D3426" s="10" t="s">
        <v>6350</v>
      </c>
      <c r="E3426" s="10" t="s">
        <v>6351</v>
      </c>
      <c r="F3426" s="10" t="s">
        <v>748</v>
      </c>
      <c r="G3426" s="10" t="s">
        <v>6352</v>
      </c>
      <c r="H3426" s="11">
        <v>40518</v>
      </c>
      <c r="I3426" s="10">
        <v>2011</v>
      </c>
      <c r="J3426" s="10" t="s">
        <v>6351</v>
      </c>
      <c r="K3426" s="10">
        <v>261</v>
      </c>
      <c r="L3426" s="10" t="s">
        <v>20946</v>
      </c>
      <c r="M3426" s="10">
        <v>1</v>
      </c>
      <c r="N3426" s="10"/>
      <c r="O3426" s="10"/>
      <c r="P3426" s="10" t="s">
        <v>20947</v>
      </c>
      <c r="Q3426" s="10">
        <v>362.1</v>
      </c>
      <c r="R3426" s="10" t="s">
        <v>20948</v>
      </c>
      <c r="S3426" s="10" t="s">
        <v>53</v>
      </c>
      <c r="T3426" s="10" t="s">
        <v>8368</v>
      </c>
    </row>
    <row r="3427" spans="1:20" ht="14.5" x14ac:dyDescent="0.35">
      <c r="A3427" s="10" t="s">
        <v>20949</v>
      </c>
      <c r="B3427" s="10" t="str">
        <f>"9781579224172"</f>
        <v>9781579224172</v>
      </c>
      <c r="C3427" s="10" t="str">
        <f>"9781000975819"</f>
        <v>9781000975819</v>
      </c>
      <c r="D3427" s="10" t="s">
        <v>6350</v>
      </c>
      <c r="E3427" s="10" t="s">
        <v>6351</v>
      </c>
      <c r="F3427" s="10" t="s">
        <v>748</v>
      </c>
      <c r="G3427" s="10" t="s">
        <v>6352</v>
      </c>
      <c r="H3427" s="11">
        <v>40868</v>
      </c>
      <c r="I3427" s="10">
        <v>2012</v>
      </c>
      <c r="J3427" s="10" t="s">
        <v>6351</v>
      </c>
      <c r="K3427" s="10">
        <v>264</v>
      </c>
      <c r="L3427" s="10" t="s">
        <v>20950</v>
      </c>
      <c r="M3427" s="10">
        <v>1</v>
      </c>
      <c r="N3427" s="10"/>
      <c r="O3427" s="10"/>
      <c r="P3427" s="10" t="s">
        <v>20951</v>
      </c>
      <c r="Q3427" s="10" t="s">
        <v>10427</v>
      </c>
      <c r="R3427" s="10" t="s">
        <v>11361</v>
      </c>
      <c r="S3427" s="10" t="s">
        <v>53</v>
      </c>
      <c r="T3427" s="10" t="s">
        <v>54</v>
      </c>
    </row>
    <row r="3428" spans="1:20" ht="14.5" x14ac:dyDescent="0.35">
      <c r="A3428" s="10" t="s">
        <v>20952</v>
      </c>
      <c r="B3428" s="10" t="str">
        <f>"9781579224721"</f>
        <v>9781579224721</v>
      </c>
      <c r="C3428" s="10" t="str">
        <f>"9781000974089"</f>
        <v>9781000974089</v>
      </c>
      <c r="D3428" s="10" t="s">
        <v>6350</v>
      </c>
      <c r="E3428" s="10" t="s">
        <v>6351</v>
      </c>
      <c r="F3428" s="10" t="s">
        <v>748</v>
      </c>
      <c r="G3428" s="10" t="s">
        <v>6352</v>
      </c>
      <c r="H3428" s="11">
        <v>40567</v>
      </c>
      <c r="I3428" s="10">
        <v>2011</v>
      </c>
      <c r="J3428" s="10" t="s">
        <v>6351</v>
      </c>
      <c r="K3428" s="10">
        <v>231</v>
      </c>
      <c r="L3428" s="10" t="s">
        <v>20953</v>
      </c>
      <c r="M3428" s="10">
        <v>1</v>
      </c>
      <c r="N3428" s="10"/>
      <c r="O3428" s="10"/>
      <c r="P3428" s="10" t="s">
        <v>20954</v>
      </c>
      <c r="Q3428" s="10">
        <v>371.19</v>
      </c>
      <c r="R3428" s="10" t="s">
        <v>20955</v>
      </c>
      <c r="S3428" s="10" t="s">
        <v>53</v>
      </c>
      <c r="T3428" s="10" t="s">
        <v>54</v>
      </c>
    </row>
    <row r="3429" spans="1:20" ht="14.5" x14ac:dyDescent="0.35">
      <c r="A3429" s="10" t="s">
        <v>20956</v>
      </c>
      <c r="B3429" s="10" t="str">
        <f>"9781579222451"</f>
        <v>9781579222451</v>
      </c>
      <c r="C3429" s="10" t="str">
        <f>"9781000974928"</f>
        <v>9781000974928</v>
      </c>
      <c r="D3429" s="10" t="s">
        <v>6350</v>
      </c>
      <c r="E3429" s="10" t="s">
        <v>6351</v>
      </c>
      <c r="F3429" s="10" t="s">
        <v>748</v>
      </c>
      <c r="G3429" s="10" t="s">
        <v>6352</v>
      </c>
      <c r="H3429" s="11">
        <v>40491</v>
      </c>
      <c r="I3429" s="10">
        <v>2011</v>
      </c>
      <c r="J3429" s="10" t="s">
        <v>6351</v>
      </c>
      <c r="K3429" s="10">
        <v>239</v>
      </c>
      <c r="L3429" s="10" t="s">
        <v>20957</v>
      </c>
      <c r="M3429" s="10">
        <v>1</v>
      </c>
      <c r="N3429" s="10"/>
      <c r="O3429" s="10"/>
      <c r="P3429" s="10" t="s">
        <v>20958</v>
      </c>
      <c r="Q3429" s="10" t="s">
        <v>20959</v>
      </c>
      <c r="R3429" s="10" t="s">
        <v>20960</v>
      </c>
      <c r="S3429" s="10" t="s">
        <v>53</v>
      </c>
      <c r="T3429" s="10" t="s">
        <v>54</v>
      </c>
    </row>
    <row r="3430" spans="1:20" ht="14.5" x14ac:dyDescent="0.35">
      <c r="A3430" s="10" t="s">
        <v>20961</v>
      </c>
      <c r="B3430" s="10" t="str">
        <f>"9781579224264"</f>
        <v>9781579224264</v>
      </c>
      <c r="C3430" s="10" t="str">
        <f>"9781000972870"</f>
        <v>9781000972870</v>
      </c>
      <c r="D3430" s="10" t="s">
        <v>6350</v>
      </c>
      <c r="E3430" s="10" t="s">
        <v>6351</v>
      </c>
      <c r="F3430" s="10" t="s">
        <v>748</v>
      </c>
      <c r="G3430" s="10" t="s">
        <v>6352</v>
      </c>
      <c r="H3430" s="11">
        <v>40239</v>
      </c>
      <c r="I3430" s="10">
        <v>2010</v>
      </c>
      <c r="J3430" s="10" t="s">
        <v>6351</v>
      </c>
      <c r="K3430" s="10">
        <v>347</v>
      </c>
      <c r="L3430" s="10" t="s">
        <v>20962</v>
      </c>
      <c r="M3430" s="10">
        <v>1</v>
      </c>
      <c r="N3430" s="10"/>
      <c r="O3430" s="10"/>
      <c r="P3430" s="10" t="s">
        <v>20963</v>
      </c>
      <c r="Q3430" s="10">
        <v>331.5</v>
      </c>
      <c r="R3430" s="10" t="s">
        <v>20964</v>
      </c>
      <c r="S3430" s="10" t="s">
        <v>53</v>
      </c>
      <c r="T3430" s="10" t="s">
        <v>10311</v>
      </c>
    </row>
    <row r="3431" spans="1:20" ht="14.5" x14ac:dyDescent="0.35">
      <c r="A3431" s="10" t="s">
        <v>20965</v>
      </c>
      <c r="B3431" s="10" t="str">
        <f>"9781579222314"</f>
        <v>9781579222314</v>
      </c>
      <c r="C3431" s="10" t="str">
        <f>"9781000972016"</f>
        <v>9781000972016</v>
      </c>
      <c r="D3431" s="10" t="s">
        <v>6350</v>
      </c>
      <c r="E3431" s="10" t="s">
        <v>6351</v>
      </c>
      <c r="F3431" s="10" t="s">
        <v>748</v>
      </c>
      <c r="G3431" s="10" t="s">
        <v>6352</v>
      </c>
      <c r="H3431" s="11">
        <v>40498</v>
      </c>
      <c r="I3431" s="10">
        <v>2011</v>
      </c>
      <c r="J3431" s="10" t="s">
        <v>6351</v>
      </c>
      <c r="K3431" s="10">
        <v>231</v>
      </c>
      <c r="L3431" s="10" t="s">
        <v>20966</v>
      </c>
      <c r="M3431" s="10">
        <v>1</v>
      </c>
      <c r="N3431" s="10"/>
      <c r="O3431" s="10"/>
      <c r="P3431" s="10" t="s">
        <v>20967</v>
      </c>
      <c r="Q3431" s="10">
        <v>378.19819999999999</v>
      </c>
      <c r="R3431" s="10" t="s">
        <v>20968</v>
      </c>
      <c r="S3431" s="10" t="s">
        <v>53</v>
      </c>
      <c r="T3431" s="10" t="s">
        <v>54</v>
      </c>
    </row>
    <row r="3432" spans="1:20" ht="14.5" x14ac:dyDescent="0.35">
      <c r="A3432" s="10" t="s">
        <v>20969</v>
      </c>
      <c r="B3432" s="10" t="str">
        <f>"9781579224448"</f>
        <v>9781579224448</v>
      </c>
      <c r="C3432" s="10" t="str">
        <f>"9781000975949"</f>
        <v>9781000975949</v>
      </c>
      <c r="D3432" s="10" t="s">
        <v>6350</v>
      </c>
      <c r="E3432" s="10" t="s">
        <v>6351</v>
      </c>
      <c r="F3432" s="10" t="s">
        <v>748</v>
      </c>
      <c r="G3432" s="10" t="s">
        <v>6352</v>
      </c>
      <c r="H3432" s="11">
        <v>40420</v>
      </c>
      <c r="I3432" s="10">
        <v>2010</v>
      </c>
      <c r="J3432" s="10" t="s">
        <v>6351</v>
      </c>
      <c r="K3432" s="10">
        <v>300</v>
      </c>
      <c r="L3432" s="10" t="s">
        <v>20970</v>
      </c>
      <c r="M3432" s="10">
        <v>1</v>
      </c>
      <c r="N3432" s="10"/>
      <c r="O3432" s="10"/>
      <c r="P3432" s="10" t="s">
        <v>20971</v>
      </c>
      <c r="Q3432" s="10" t="s">
        <v>8734</v>
      </c>
      <c r="R3432" s="10" t="s">
        <v>20972</v>
      </c>
      <c r="S3432" s="10" t="s">
        <v>53</v>
      </c>
      <c r="T3432" s="10" t="s">
        <v>54</v>
      </c>
    </row>
    <row r="3433" spans="1:20" ht="14.5" x14ac:dyDescent="0.35">
      <c r="A3433" s="10" t="s">
        <v>20973</v>
      </c>
      <c r="B3433" s="10" t="str">
        <f>"9781579224653"</f>
        <v>9781579224653</v>
      </c>
      <c r="C3433" s="10" t="str">
        <f>"9781000975529"</f>
        <v>9781000975529</v>
      </c>
      <c r="D3433" s="10" t="s">
        <v>6350</v>
      </c>
      <c r="E3433" s="10" t="s">
        <v>6351</v>
      </c>
      <c r="F3433" s="10" t="s">
        <v>20757</v>
      </c>
      <c r="G3433" s="10" t="s">
        <v>6317</v>
      </c>
      <c r="H3433" s="11">
        <v>40940</v>
      </c>
      <c r="I3433" s="10">
        <v>2012</v>
      </c>
      <c r="J3433" s="10" t="s">
        <v>6353</v>
      </c>
      <c r="K3433" s="10">
        <v>217</v>
      </c>
      <c r="L3433" s="10" t="s">
        <v>20974</v>
      </c>
      <c r="M3433" s="10">
        <v>1</v>
      </c>
      <c r="N3433" s="10" t="s">
        <v>20869</v>
      </c>
      <c r="O3433" s="10"/>
      <c r="P3433" s="10" t="s">
        <v>20975</v>
      </c>
      <c r="Q3433" s="10">
        <v>370.11709730000001</v>
      </c>
      <c r="R3433" s="10" t="s">
        <v>20976</v>
      </c>
      <c r="S3433" s="10" t="s">
        <v>53</v>
      </c>
      <c r="T3433" s="10" t="s">
        <v>54</v>
      </c>
    </row>
    <row r="3434" spans="1:20" ht="14.5" x14ac:dyDescent="0.35">
      <c r="A3434" s="10" t="s">
        <v>20977</v>
      </c>
      <c r="B3434" s="10" t="str">
        <f>"9781579227302"</f>
        <v>9781579227302</v>
      </c>
      <c r="C3434" s="10" t="str">
        <f>"9781000972054"</f>
        <v>9781000972054</v>
      </c>
      <c r="D3434" s="10" t="s">
        <v>6350</v>
      </c>
      <c r="E3434" s="10" t="s">
        <v>6351</v>
      </c>
      <c r="F3434" s="10" t="s">
        <v>748</v>
      </c>
      <c r="G3434" s="10" t="s">
        <v>6352</v>
      </c>
      <c r="H3434" s="11">
        <v>41009</v>
      </c>
      <c r="I3434" s="10">
        <v>2012</v>
      </c>
      <c r="J3434" s="10" t="s">
        <v>6351</v>
      </c>
      <c r="K3434" s="10">
        <v>317</v>
      </c>
      <c r="L3434" s="10" t="s">
        <v>20978</v>
      </c>
      <c r="M3434" s="10">
        <v>1</v>
      </c>
      <c r="N3434" s="10"/>
      <c r="O3434" s="10"/>
      <c r="P3434" s="10" t="s">
        <v>20979</v>
      </c>
      <c r="Q3434" s="10">
        <v>378.10599999999999</v>
      </c>
      <c r="R3434" s="10" t="s">
        <v>20701</v>
      </c>
      <c r="S3434" s="10" t="s">
        <v>53</v>
      </c>
      <c r="T3434" s="10" t="s">
        <v>54</v>
      </c>
    </row>
    <row r="3435" spans="1:20" ht="14.5" x14ac:dyDescent="0.35">
      <c r="A3435" s="10" t="s">
        <v>20980</v>
      </c>
      <c r="B3435" s="10" t="str">
        <f>"9781579221317"</f>
        <v>9781579221317</v>
      </c>
      <c r="C3435" s="10" t="str">
        <f>"9781000973259"</f>
        <v>9781000973259</v>
      </c>
      <c r="D3435" s="10" t="s">
        <v>6350</v>
      </c>
      <c r="E3435" s="10" t="s">
        <v>6351</v>
      </c>
      <c r="F3435" s="10" t="s">
        <v>748</v>
      </c>
      <c r="G3435" s="10" t="s">
        <v>6352</v>
      </c>
      <c r="H3435" s="11">
        <v>39385</v>
      </c>
      <c r="I3435" s="10">
        <v>2007</v>
      </c>
      <c r="J3435" s="10" t="s">
        <v>6351</v>
      </c>
      <c r="K3435" s="10">
        <v>507</v>
      </c>
      <c r="L3435" s="10" t="s">
        <v>20900</v>
      </c>
      <c r="M3435" s="10">
        <v>1</v>
      </c>
      <c r="N3435" s="10"/>
      <c r="O3435" s="10"/>
      <c r="P3435" s="10" t="s">
        <v>20901</v>
      </c>
      <c r="Q3435" s="10" t="s">
        <v>7307</v>
      </c>
      <c r="R3435" s="10" t="s">
        <v>20902</v>
      </c>
      <c r="S3435" s="10" t="s">
        <v>53</v>
      </c>
      <c r="T3435" s="10" t="s">
        <v>54</v>
      </c>
    </row>
    <row r="3436" spans="1:20" ht="14.5" x14ac:dyDescent="0.35">
      <c r="A3436" s="10" t="s">
        <v>20981</v>
      </c>
      <c r="B3436" s="10" t="str">
        <f>"9781579224240"</f>
        <v>9781579224240</v>
      </c>
      <c r="C3436" s="10" t="str">
        <f>"9781000972979"</f>
        <v>9781000972979</v>
      </c>
      <c r="D3436" s="10" t="s">
        <v>6350</v>
      </c>
      <c r="E3436" s="10" t="s">
        <v>6351</v>
      </c>
      <c r="F3436" s="10" t="s">
        <v>748</v>
      </c>
      <c r="G3436" s="10" t="s">
        <v>6352</v>
      </c>
      <c r="H3436" s="11">
        <v>40198</v>
      </c>
      <c r="I3436" s="10">
        <v>2010</v>
      </c>
      <c r="J3436" s="10" t="s">
        <v>6351</v>
      </c>
      <c r="K3436" s="10">
        <v>220</v>
      </c>
      <c r="L3436" s="10" t="s">
        <v>20982</v>
      </c>
      <c r="M3436" s="10">
        <v>1</v>
      </c>
      <c r="N3436" s="10"/>
      <c r="O3436" s="10"/>
      <c r="P3436" s="10"/>
      <c r="Q3436" s="10" t="s">
        <v>20983</v>
      </c>
      <c r="R3436" s="10" t="s">
        <v>20984</v>
      </c>
      <c r="S3436" s="10" t="s">
        <v>53</v>
      </c>
      <c r="T3436" s="10" t="s">
        <v>54</v>
      </c>
    </row>
    <row r="3437" spans="1:20" ht="14.5" x14ac:dyDescent="0.35">
      <c r="A3437" s="10" t="s">
        <v>20985</v>
      </c>
      <c r="B3437" s="10" t="str">
        <f>"9781579225711"</f>
        <v>9781579225711</v>
      </c>
      <c r="C3437" s="10" t="str">
        <f>"9781000972634"</f>
        <v>9781000972634</v>
      </c>
      <c r="D3437" s="10" t="s">
        <v>6350</v>
      </c>
      <c r="E3437" s="10" t="s">
        <v>6351</v>
      </c>
      <c r="F3437" s="10" t="s">
        <v>20757</v>
      </c>
      <c r="G3437" s="10" t="s">
        <v>6317</v>
      </c>
      <c r="H3437" s="11">
        <v>40597</v>
      </c>
      <c r="I3437" s="10">
        <v>2011</v>
      </c>
      <c r="J3437" s="10" t="s">
        <v>6353</v>
      </c>
      <c r="K3437" s="10">
        <v>255</v>
      </c>
      <c r="L3437" s="10" t="s">
        <v>20986</v>
      </c>
      <c r="M3437" s="10">
        <v>1</v>
      </c>
      <c r="N3437" s="10"/>
      <c r="O3437" s="10"/>
      <c r="P3437" s="10" t="s">
        <v>20987</v>
      </c>
      <c r="Q3437" s="10">
        <v>306.43</v>
      </c>
      <c r="R3437" s="10" t="s">
        <v>20988</v>
      </c>
      <c r="S3437" s="10" t="s">
        <v>53</v>
      </c>
      <c r="T3437" s="10" t="s">
        <v>6526</v>
      </c>
    </row>
    <row r="3438" spans="1:20" ht="14.5" x14ac:dyDescent="0.35">
      <c r="A3438" s="10" t="s">
        <v>20989</v>
      </c>
      <c r="B3438" s="10" t="str">
        <f>"9781579223489"</f>
        <v>9781579223489</v>
      </c>
      <c r="C3438" s="10" t="str">
        <f>"9781000975765"</f>
        <v>9781000975765</v>
      </c>
      <c r="D3438" s="10" t="s">
        <v>6350</v>
      </c>
      <c r="E3438" s="10" t="s">
        <v>6351</v>
      </c>
      <c r="F3438" s="10" t="s">
        <v>748</v>
      </c>
      <c r="G3438" s="10" t="s">
        <v>6352</v>
      </c>
      <c r="H3438" s="11">
        <v>40339</v>
      </c>
      <c r="I3438" s="10">
        <v>2010</v>
      </c>
      <c r="J3438" s="10" t="s">
        <v>6351</v>
      </c>
      <c r="K3438" s="10">
        <v>257</v>
      </c>
      <c r="L3438" s="10" t="s">
        <v>20990</v>
      </c>
      <c r="M3438" s="10">
        <v>1</v>
      </c>
      <c r="N3438" s="10"/>
      <c r="O3438" s="10"/>
      <c r="P3438" s="10" t="s">
        <v>20991</v>
      </c>
      <c r="Q3438" s="10">
        <v>370.11619999999999</v>
      </c>
      <c r="R3438" s="10" t="s">
        <v>20992</v>
      </c>
      <c r="S3438" s="10" t="s">
        <v>53</v>
      </c>
      <c r="T3438" s="10" t="s">
        <v>54</v>
      </c>
    </row>
    <row r="3439" spans="1:20" ht="14.5" x14ac:dyDescent="0.35">
      <c r="A3439" s="10" t="s">
        <v>20993</v>
      </c>
      <c r="B3439" s="10" t="str">
        <f>"9781579223502"</f>
        <v>9781579223502</v>
      </c>
      <c r="C3439" s="10" t="str">
        <f>"9781000972238"</f>
        <v>9781000972238</v>
      </c>
      <c r="D3439" s="10" t="s">
        <v>6350</v>
      </c>
      <c r="E3439" s="10" t="s">
        <v>6351</v>
      </c>
      <c r="F3439" s="10" t="s">
        <v>748</v>
      </c>
      <c r="G3439" s="10" t="s">
        <v>6352</v>
      </c>
      <c r="H3439" s="11">
        <v>40568</v>
      </c>
      <c r="I3439" s="10">
        <v>2011</v>
      </c>
      <c r="J3439" s="10" t="s">
        <v>6351</v>
      </c>
      <c r="K3439" s="10">
        <v>371</v>
      </c>
      <c r="L3439" s="10" t="s">
        <v>20994</v>
      </c>
      <c r="M3439" s="10">
        <v>1</v>
      </c>
      <c r="N3439" s="10" t="s">
        <v>20869</v>
      </c>
      <c r="O3439" s="10"/>
      <c r="P3439" s="10" t="s">
        <v>20995</v>
      </c>
      <c r="Q3439" s="10">
        <v>378.00819999999999</v>
      </c>
      <c r="R3439" s="10" t="s">
        <v>20996</v>
      </c>
      <c r="S3439" s="10" t="s">
        <v>53</v>
      </c>
      <c r="T3439" s="10" t="s">
        <v>54</v>
      </c>
    </row>
    <row r="3440" spans="1:20" ht="14.5" x14ac:dyDescent="0.35">
      <c r="A3440" s="10" t="s">
        <v>20997</v>
      </c>
      <c r="B3440" s="10" t="str">
        <f>"9781579223182"</f>
        <v>9781579223182</v>
      </c>
      <c r="C3440" s="10" t="str">
        <f>"9781000972436"</f>
        <v>9781000972436</v>
      </c>
      <c r="D3440" s="10" t="s">
        <v>6350</v>
      </c>
      <c r="E3440" s="10" t="s">
        <v>6351</v>
      </c>
      <c r="F3440" s="10" t="s">
        <v>20757</v>
      </c>
      <c r="G3440" s="10" t="s">
        <v>6317</v>
      </c>
      <c r="H3440" s="11">
        <v>40826</v>
      </c>
      <c r="I3440" s="10">
        <v>2011</v>
      </c>
      <c r="J3440" s="10" t="s">
        <v>6353</v>
      </c>
      <c r="K3440" s="10">
        <v>97</v>
      </c>
      <c r="L3440" s="10" t="s">
        <v>20998</v>
      </c>
      <c r="M3440" s="10">
        <v>1</v>
      </c>
      <c r="N3440" s="10"/>
      <c r="O3440" s="10"/>
      <c r="P3440" s="10" t="s">
        <v>20999</v>
      </c>
      <c r="Q3440" s="10" t="s">
        <v>10227</v>
      </c>
      <c r="R3440" s="10" t="s">
        <v>21000</v>
      </c>
      <c r="S3440" s="10" t="s">
        <v>53</v>
      </c>
      <c r="T3440" s="10" t="s">
        <v>54</v>
      </c>
    </row>
    <row r="3441" spans="1:20" ht="14.5" x14ac:dyDescent="0.35">
      <c r="A3441" s="10" t="s">
        <v>21001</v>
      </c>
      <c r="B3441" s="10" t="str">
        <f>"9781579224325"</f>
        <v>9781579224325</v>
      </c>
      <c r="C3441" s="10" t="str">
        <f>"9781000976090"</f>
        <v>9781000976090</v>
      </c>
      <c r="D3441" s="10" t="s">
        <v>6350</v>
      </c>
      <c r="E3441" s="10" t="s">
        <v>6351</v>
      </c>
      <c r="F3441" s="10" t="s">
        <v>748</v>
      </c>
      <c r="G3441" s="10" t="s">
        <v>6352</v>
      </c>
      <c r="H3441" s="11">
        <v>40829</v>
      </c>
      <c r="I3441" s="10">
        <v>2011</v>
      </c>
      <c r="J3441" s="10" t="s">
        <v>6351</v>
      </c>
      <c r="K3441" s="10">
        <v>167</v>
      </c>
      <c r="L3441" s="10" t="s">
        <v>21002</v>
      </c>
      <c r="M3441" s="10">
        <v>1</v>
      </c>
      <c r="N3441" s="10"/>
      <c r="O3441" s="10"/>
      <c r="P3441" s="10" t="s">
        <v>21003</v>
      </c>
      <c r="Q3441" s="10" t="s">
        <v>9298</v>
      </c>
      <c r="R3441" s="10" t="s">
        <v>21004</v>
      </c>
      <c r="S3441" s="10" t="s">
        <v>53</v>
      </c>
      <c r="T3441" s="10" t="s">
        <v>54</v>
      </c>
    </row>
    <row r="3442" spans="1:20" ht="14.5" x14ac:dyDescent="0.35">
      <c r="A3442" s="10" t="s">
        <v>21005</v>
      </c>
      <c r="B3442" s="10" t="str">
        <f>"9781579224615"</f>
        <v>9781579224615</v>
      </c>
      <c r="C3442" s="10" t="str">
        <f>"9781000972191"</f>
        <v>9781000972191</v>
      </c>
      <c r="D3442" s="10" t="s">
        <v>6350</v>
      </c>
      <c r="E3442" s="10" t="s">
        <v>6351</v>
      </c>
      <c r="F3442" s="10" t="s">
        <v>20757</v>
      </c>
      <c r="G3442" s="10" t="s">
        <v>6317</v>
      </c>
      <c r="H3442" s="11">
        <v>40675</v>
      </c>
      <c r="I3442" s="10">
        <v>2011</v>
      </c>
      <c r="J3442" s="10" t="s">
        <v>6353</v>
      </c>
      <c r="K3442" s="10">
        <v>305</v>
      </c>
      <c r="L3442" s="10" t="s">
        <v>21006</v>
      </c>
      <c r="M3442" s="10">
        <v>1</v>
      </c>
      <c r="N3442" s="10"/>
      <c r="O3442" s="10"/>
      <c r="P3442" s="10" t="s">
        <v>21007</v>
      </c>
      <c r="Q3442" s="10" t="s">
        <v>21008</v>
      </c>
      <c r="R3442" s="10" t="s">
        <v>21009</v>
      </c>
      <c r="S3442" s="10" t="s">
        <v>53</v>
      </c>
      <c r="T3442" s="10" t="s">
        <v>21010</v>
      </c>
    </row>
    <row r="3443" spans="1:20" ht="14.5" x14ac:dyDescent="0.35">
      <c r="A3443" s="10" t="s">
        <v>21011</v>
      </c>
      <c r="B3443" s="10" t="str">
        <f>"9781579223663"</f>
        <v>9781579223663</v>
      </c>
      <c r="C3443" s="10" t="str">
        <f>"9781000973396"</f>
        <v>9781000973396</v>
      </c>
      <c r="D3443" s="10" t="s">
        <v>6350</v>
      </c>
      <c r="E3443" s="10" t="s">
        <v>6351</v>
      </c>
      <c r="F3443" s="10" t="s">
        <v>748</v>
      </c>
      <c r="G3443" s="10" t="s">
        <v>6352</v>
      </c>
      <c r="H3443" s="11">
        <v>40203</v>
      </c>
      <c r="I3443" s="10">
        <v>2010</v>
      </c>
      <c r="J3443" s="10" t="s">
        <v>6351</v>
      </c>
      <c r="K3443" s="10">
        <v>250</v>
      </c>
      <c r="L3443" s="10" t="s">
        <v>21012</v>
      </c>
      <c r="M3443" s="10">
        <v>1</v>
      </c>
      <c r="N3443" s="10"/>
      <c r="O3443" s="10"/>
      <c r="P3443" s="10" t="s">
        <v>21013</v>
      </c>
      <c r="Q3443" s="10">
        <v>378.4</v>
      </c>
      <c r="R3443" s="10" t="s">
        <v>21014</v>
      </c>
      <c r="S3443" s="10" t="s">
        <v>53</v>
      </c>
      <c r="T3443" s="10" t="s">
        <v>54</v>
      </c>
    </row>
    <row r="3444" spans="1:20" ht="14.5" x14ac:dyDescent="0.35">
      <c r="A3444" s="10" t="s">
        <v>21015</v>
      </c>
      <c r="B3444" s="10" t="str">
        <f>"9781579224363"</f>
        <v>9781579224363</v>
      </c>
      <c r="C3444" s="10" t="str">
        <f>"9781000976250"</f>
        <v>9781000976250</v>
      </c>
      <c r="D3444" s="10" t="s">
        <v>6350</v>
      </c>
      <c r="E3444" s="10" t="s">
        <v>6351</v>
      </c>
      <c r="F3444" s="10" t="s">
        <v>748</v>
      </c>
      <c r="G3444" s="10" t="s">
        <v>6352</v>
      </c>
      <c r="H3444" s="11">
        <v>40296</v>
      </c>
      <c r="I3444" s="10">
        <v>2010</v>
      </c>
      <c r="J3444" s="10" t="s">
        <v>6351</v>
      </c>
      <c r="K3444" s="10">
        <v>293</v>
      </c>
      <c r="L3444" s="10" t="s">
        <v>21016</v>
      </c>
      <c r="M3444" s="10">
        <v>1</v>
      </c>
      <c r="N3444" s="10"/>
      <c r="O3444" s="10"/>
      <c r="P3444" s="10" t="s">
        <v>21017</v>
      </c>
      <c r="Q3444" s="10" t="s">
        <v>7299</v>
      </c>
      <c r="R3444" s="10" t="s">
        <v>21018</v>
      </c>
      <c r="S3444" s="10" t="s">
        <v>53</v>
      </c>
      <c r="T3444" s="10" t="s">
        <v>54</v>
      </c>
    </row>
    <row r="3445" spans="1:20" ht="14.5" x14ac:dyDescent="0.35">
      <c r="A3445" s="10" t="s">
        <v>21019</v>
      </c>
      <c r="B3445" s="10" t="str">
        <f>"9781579224134"</f>
        <v>9781579224134</v>
      </c>
      <c r="C3445" s="10" t="str">
        <f>"9781000973501"</f>
        <v>9781000973501</v>
      </c>
      <c r="D3445" s="10" t="s">
        <v>6350</v>
      </c>
      <c r="E3445" s="10" t="s">
        <v>6351</v>
      </c>
      <c r="F3445" s="10" t="s">
        <v>3967</v>
      </c>
      <c r="G3445" s="10" t="s">
        <v>6352</v>
      </c>
      <c r="H3445" s="11">
        <v>40261</v>
      </c>
      <c r="I3445" s="10">
        <v>2010</v>
      </c>
      <c r="J3445" s="10" t="s">
        <v>6353</v>
      </c>
      <c r="K3445" s="10">
        <v>66</v>
      </c>
      <c r="L3445" s="10" t="s">
        <v>21020</v>
      </c>
      <c r="M3445" s="10">
        <v>1</v>
      </c>
      <c r="N3445" s="10"/>
      <c r="O3445" s="10"/>
      <c r="P3445" s="10"/>
      <c r="Q3445" s="10"/>
      <c r="R3445" s="10" t="s">
        <v>21021</v>
      </c>
      <c r="S3445" s="10" t="s">
        <v>53</v>
      </c>
      <c r="T3445" s="10" t="s">
        <v>54</v>
      </c>
    </row>
    <row r="3446" spans="1:20" ht="14.5" x14ac:dyDescent="0.35">
      <c r="A3446" s="10" t="s">
        <v>21022</v>
      </c>
      <c r="B3446" s="10" t="str">
        <f>"9781579224141"</f>
        <v>9781579224141</v>
      </c>
      <c r="C3446" s="10" t="str">
        <f>"9781000974140"</f>
        <v>9781000974140</v>
      </c>
      <c r="D3446" s="10" t="s">
        <v>6350</v>
      </c>
      <c r="E3446" s="10" t="s">
        <v>6351</v>
      </c>
      <c r="F3446" s="10" t="s">
        <v>20757</v>
      </c>
      <c r="G3446" s="10" t="s">
        <v>6317</v>
      </c>
      <c r="H3446" s="11">
        <v>40275</v>
      </c>
      <c r="I3446" s="10">
        <v>2010</v>
      </c>
      <c r="J3446" s="10" t="s">
        <v>6353</v>
      </c>
      <c r="K3446" s="10">
        <v>41</v>
      </c>
      <c r="L3446" s="10" t="s">
        <v>21023</v>
      </c>
      <c r="M3446" s="10">
        <v>1</v>
      </c>
      <c r="N3446" s="10" t="s">
        <v>20888</v>
      </c>
      <c r="O3446" s="10"/>
      <c r="P3446" s="10" t="s">
        <v>21024</v>
      </c>
      <c r="Q3446" s="10">
        <v>371.80599999999998</v>
      </c>
      <c r="R3446" s="10" t="s">
        <v>21025</v>
      </c>
      <c r="S3446" s="10" t="s">
        <v>53</v>
      </c>
      <c r="T3446" s="10" t="s">
        <v>54</v>
      </c>
    </row>
    <row r="3447" spans="1:20" ht="14.5" x14ac:dyDescent="0.35">
      <c r="A3447" s="10" t="s">
        <v>21026</v>
      </c>
      <c r="B3447" s="10" t="str">
        <f>"9781579227388"</f>
        <v>9781579227388</v>
      </c>
      <c r="C3447" s="10" t="str">
        <f>"9781000974263"</f>
        <v>9781000974263</v>
      </c>
      <c r="D3447" s="10" t="s">
        <v>6350</v>
      </c>
      <c r="E3447" s="10" t="s">
        <v>6351</v>
      </c>
      <c r="F3447" s="10" t="s">
        <v>20757</v>
      </c>
      <c r="G3447" s="10" t="s">
        <v>6317</v>
      </c>
      <c r="H3447" s="11">
        <v>40905</v>
      </c>
      <c r="I3447" s="10">
        <v>2012</v>
      </c>
      <c r="J3447" s="10" t="s">
        <v>6353</v>
      </c>
      <c r="K3447" s="10">
        <v>295</v>
      </c>
      <c r="L3447" s="10" t="s">
        <v>21027</v>
      </c>
      <c r="M3447" s="10">
        <v>1</v>
      </c>
      <c r="N3447" s="10"/>
      <c r="O3447" s="10"/>
      <c r="P3447" s="10" t="s">
        <v>21028</v>
      </c>
      <c r="Q3447" s="10" t="s">
        <v>21029</v>
      </c>
      <c r="R3447" s="10" t="s">
        <v>21030</v>
      </c>
      <c r="S3447" s="10" t="s">
        <v>53</v>
      </c>
      <c r="T3447" s="10" t="s">
        <v>21031</v>
      </c>
    </row>
    <row r="3448" spans="1:20" ht="14.5" x14ac:dyDescent="0.35">
      <c r="A3448" s="10" t="s">
        <v>21032</v>
      </c>
      <c r="B3448" s="10" t="str">
        <f>"9780821389751"</f>
        <v>9780821389751</v>
      </c>
      <c r="C3448" s="10" t="str">
        <f>"9780821389768"</f>
        <v>9780821389768</v>
      </c>
      <c r="D3448" s="10" t="s">
        <v>14731</v>
      </c>
      <c r="E3448" s="10" t="s">
        <v>14732</v>
      </c>
      <c r="F3448" s="10" t="s">
        <v>14733</v>
      </c>
      <c r="G3448" s="10" t="s">
        <v>6317</v>
      </c>
      <c r="H3448" s="11">
        <v>41030</v>
      </c>
      <c r="I3448" s="10">
        <v>2012</v>
      </c>
      <c r="J3448" s="10" t="s">
        <v>14732</v>
      </c>
      <c r="K3448" s="10">
        <v>114</v>
      </c>
      <c r="L3448" s="10" t="s">
        <v>21033</v>
      </c>
      <c r="M3448" s="10">
        <v>1</v>
      </c>
      <c r="N3448" s="10" t="s">
        <v>14770</v>
      </c>
      <c r="O3448" s="10"/>
      <c r="P3448" s="10" t="s">
        <v>21034</v>
      </c>
      <c r="Q3448" s="10">
        <v>370.96800000000002</v>
      </c>
      <c r="R3448" s="10" t="s">
        <v>21035</v>
      </c>
      <c r="S3448" s="10" t="s">
        <v>53</v>
      </c>
      <c r="T3448" s="10" t="s">
        <v>54</v>
      </c>
    </row>
    <row r="3449" spans="1:20" ht="14.5" x14ac:dyDescent="0.35">
      <c r="A3449" s="10" t="s">
        <v>21036</v>
      </c>
      <c r="B3449" s="10" t="str">
        <f>"9780804760799"</f>
        <v>9780804760799</v>
      </c>
      <c r="C3449" s="10" t="str">
        <f>"9780804771016"</f>
        <v>9780804771016</v>
      </c>
      <c r="D3449" s="10" t="s">
        <v>16213</v>
      </c>
      <c r="E3449" s="10" t="s">
        <v>16213</v>
      </c>
      <c r="F3449" s="10" t="s">
        <v>16214</v>
      </c>
      <c r="G3449" s="10" t="s">
        <v>6317</v>
      </c>
      <c r="H3449" s="11">
        <v>39843</v>
      </c>
      <c r="I3449" s="10">
        <v>2009</v>
      </c>
      <c r="J3449" s="10" t="s">
        <v>21037</v>
      </c>
      <c r="K3449" s="10">
        <v>249</v>
      </c>
      <c r="L3449" s="10" t="s">
        <v>21038</v>
      </c>
      <c r="M3449" s="10">
        <v>1</v>
      </c>
      <c r="N3449" s="10"/>
      <c r="O3449" s="10"/>
      <c r="P3449" s="10" t="s">
        <v>21039</v>
      </c>
      <c r="Q3449" s="10" t="s">
        <v>21040</v>
      </c>
      <c r="R3449" s="10" t="s">
        <v>21041</v>
      </c>
      <c r="S3449" s="10" t="s">
        <v>53</v>
      </c>
      <c r="T3449" s="10" t="s">
        <v>54</v>
      </c>
    </row>
    <row r="3450" spans="1:20" ht="14.5" x14ac:dyDescent="0.35">
      <c r="A3450" s="10" t="s">
        <v>21042</v>
      </c>
      <c r="B3450" s="10" t="str">
        <f>"9780739150207"</f>
        <v>9780739150207</v>
      </c>
      <c r="C3450" s="10" t="str">
        <f>"9780739150221"</f>
        <v>9780739150221</v>
      </c>
      <c r="D3450" s="10" t="s">
        <v>9752</v>
      </c>
      <c r="E3450" s="10" t="s">
        <v>15182</v>
      </c>
      <c r="F3450" s="10" t="s">
        <v>9754</v>
      </c>
      <c r="G3450" s="10" t="s">
        <v>6317</v>
      </c>
      <c r="H3450" s="11">
        <v>40907</v>
      </c>
      <c r="I3450" s="10">
        <v>2011</v>
      </c>
      <c r="J3450" s="10" t="s">
        <v>15182</v>
      </c>
      <c r="K3450" s="10">
        <v>327</v>
      </c>
      <c r="L3450" s="10" t="s">
        <v>21043</v>
      </c>
      <c r="M3450" s="10">
        <v>1</v>
      </c>
      <c r="N3450" s="10"/>
      <c r="O3450" s="10"/>
      <c r="P3450" s="10" t="s">
        <v>21044</v>
      </c>
      <c r="Q3450" s="10">
        <v>378</v>
      </c>
      <c r="R3450" s="10" t="s">
        <v>21045</v>
      </c>
      <c r="S3450" s="10" t="s">
        <v>53</v>
      </c>
      <c r="T3450" s="10" t="s">
        <v>54</v>
      </c>
    </row>
    <row r="3451" spans="1:20" ht="14.5" x14ac:dyDescent="0.35">
      <c r="A3451" s="10" t="s">
        <v>21046</v>
      </c>
      <c r="B3451" s="10" t="str">
        <f>"9781610485661"</f>
        <v>9781610485661</v>
      </c>
      <c r="C3451" s="10" t="str">
        <f>"9781610485685"</f>
        <v>9781610485685</v>
      </c>
      <c r="D3451" s="10" t="s">
        <v>9752</v>
      </c>
      <c r="E3451" s="10" t="s">
        <v>15192</v>
      </c>
      <c r="F3451" s="10" t="s">
        <v>9754</v>
      </c>
      <c r="G3451" s="10" t="s">
        <v>6317</v>
      </c>
      <c r="H3451" s="11">
        <v>40921</v>
      </c>
      <c r="I3451" s="10">
        <v>2011</v>
      </c>
      <c r="J3451" s="10" t="s">
        <v>15192</v>
      </c>
      <c r="K3451" s="10">
        <v>171</v>
      </c>
      <c r="L3451" s="10" t="s">
        <v>21047</v>
      </c>
      <c r="M3451" s="10">
        <v>1</v>
      </c>
      <c r="N3451" s="10"/>
      <c r="O3451" s="10"/>
      <c r="P3451" s="10" t="s">
        <v>21048</v>
      </c>
      <c r="Q3451" s="10" t="s">
        <v>8304</v>
      </c>
      <c r="R3451" s="10" t="s">
        <v>21049</v>
      </c>
      <c r="S3451" s="10" t="s">
        <v>53</v>
      </c>
      <c r="T3451" s="10" t="s">
        <v>54</v>
      </c>
    </row>
    <row r="3452" spans="1:20" ht="14.5" x14ac:dyDescent="0.35">
      <c r="A3452" s="10" t="s">
        <v>21050</v>
      </c>
      <c r="B3452" s="10" t="str">
        <f>"9781934078297"</f>
        <v>9781934078297</v>
      </c>
      <c r="C3452" s="10" t="str">
        <f>"9781934078303"</f>
        <v>9781934078303</v>
      </c>
      <c r="D3452" s="10" t="s">
        <v>9995</v>
      </c>
      <c r="E3452" s="10" t="s">
        <v>9996</v>
      </c>
      <c r="F3452" s="10" t="s">
        <v>1420</v>
      </c>
      <c r="G3452" s="10" t="s">
        <v>9998</v>
      </c>
      <c r="H3452" s="11">
        <v>41015</v>
      </c>
      <c r="I3452" s="10">
        <v>2012</v>
      </c>
      <c r="J3452" s="10" t="s">
        <v>10009</v>
      </c>
      <c r="K3452" s="10">
        <v>268</v>
      </c>
      <c r="L3452" s="10" t="s">
        <v>21051</v>
      </c>
      <c r="M3452" s="10">
        <v>1</v>
      </c>
      <c r="N3452" s="10" t="s">
        <v>21052</v>
      </c>
      <c r="O3452" s="10">
        <v>6</v>
      </c>
      <c r="P3452" s="10" t="s">
        <v>21053</v>
      </c>
      <c r="Q3452" s="10"/>
      <c r="R3452" s="10" t="s">
        <v>21054</v>
      </c>
      <c r="S3452" s="10" t="s">
        <v>53</v>
      </c>
      <c r="T3452" s="10" t="s">
        <v>6616</v>
      </c>
    </row>
    <row r="3453" spans="1:20" ht="14.5" x14ac:dyDescent="0.35">
      <c r="A3453" s="10" t="s">
        <v>21055</v>
      </c>
      <c r="B3453" s="10" t="str">
        <f>"9780691154558"</f>
        <v>9780691154558</v>
      </c>
      <c r="C3453" s="10" t="str">
        <f>"9781400842001"</f>
        <v>9781400842001</v>
      </c>
      <c r="D3453" s="10" t="s">
        <v>14335</v>
      </c>
      <c r="E3453" s="10" t="s">
        <v>14336</v>
      </c>
      <c r="F3453" s="10" t="s">
        <v>2246</v>
      </c>
      <c r="G3453" s="10" t="s">
        <v>6317</v>
      </c>
      <c r="H3453" s="11">
        <v>40293</v>
      </c>
      <c r="I3453" s="10">
        <v>2012</v>
      </c>
      <c r="J3453" s="10" t="s">
        <v>14336</v>
      </c>
      <c r="K3453" s="10">
        <v>204</v>
      </c>
      <c r="L3453" s="10" t="s">
        <v>21056</v>
      </c>
      <c r="M3453" s="10">
        <v>1</v>
      </c>
      <c r="N3453" s="10" t="s">
        <v>14345</v>
      </c>
      <c r="O3453" s="10">
        <v>64</v>
      </c>
      <c r="P3453" s="10"/>
      <c r="Q3453" s="10">
        <v>306.43200000000002</v>
      </c>
      <c r="R3453" s="10"/>
      <c r="S3453" s="10" t="s">
        <v>53</v>
      </c>
      <c r="T3453" s="10" t="s">
        <v>6363</v>
      </c>
    </row>
    <row r="3454" spans="1:20" ht="14.5" x14ac:dyDescent="0.35">
      <c r="A3454" s="10" t="s">
        <v>21057</v>
      </c>
      <c r="B3454" s="10" t="str">
        <f>"9780226660714"</f>
        <v>9780226660714</v>
      </c>
      <c r="C3454" s="10" t="str">
        <f>"9780226660738"</f>
        <v>9780226660738</v>
      </c>
      <c r="D3454" s="10" t="s">
        <v>13157</v>
      </c>
      <c r="E3454" s="10" t="s">
        <v>13157</v>
      </c>
      <c r="F3454" s="10" t="s">
        <v>324</v>
      </c>
      <c r="G3454" s="10" t="s">
        <v>6317</v>
      </c>
      <c r="H3454" s="11">
        <v>41068</v>
      </c>
      <c r="I3454" s="10">
        <v>2012</v>
      </c>
      <c r="J3454" s="10" t="s">
        <v>13157</v>
      </c>
      <c r="K3454" s="10">
        <v>264</v>
      </c>
      <c r="L3454" s="10" t="s">
        <v>21058</v>
      </c>
      <c r="M3454" s="10">
        <v>1</v>
      </c>
      <c r="N3454" s="10"/>
      <c r="O3454" s="10"/>
      <c r="P3454" s="10" t="s">
        <v>21059</v>
      </c>
      <c r="Q3454" s="10" t="s">
        <v>21060</v>
      </c>
      <c r="R3454" s="10" t="s">
        <v>21061</v>
      </c>
      <c r="S3454" s="10" t="s">
        <v>53</v>
      </c>
      <c r="T3454" s="10" t="s">
        <v>54</v>
      </c>
    </row>
    <row r="3455" spans="1:20" ht="14.5" x14ac:dyDescent="0.35">
      <c r="A3455" s="10" t="s">
        <v>21062</v>
      </c>
      <c r="B3455" s="10" t="str">
        <f>"9780739188231"</f>
        <v>9780739188231</v>
      </c>
      <c r="C3455" s="10" t="str">
        <f>"9780739140154"</f>
        <v>9780739140154</v>
      </c>
      <c r="D3455" s="10" t="s">
        <v>9752</v>
      </c>
      <c r="E3455" s="10" t="s">
        <v>15182</v>
      </c>
      <c r="F3455" s="10" t="s">
        <v>9754</v>
      </c>
      <c r="G3455" s="10" t="s">
        <v>6317</v>
      </c>
      <c r="H3455" s="11">
        <v>41025</v>
      </c>
      <c r="I3455" s="10">
        <v>2012</v>
      </c>
      <c r="J3455" s="10" t="s">
        <v>15182</v>
      </c>
      <c r="K3455" s="10">
        <v>229</v>
      </c>
      <c r="L3455" s="10" t="s">
        <v>21063</v>
      </c>
      <c r="M3455" s="10">
        <v>1</v>
      </c>
      <c r="N3455" s="10"/>
      <c r="O3455" s="10"/>
      <c r="P3455" s="10" t="s">
        <v>21064</v>
      </c>
      <c r="Q3455" s="10" t="s">
        <v>8748</v>
      </c>
      <c r="R3455" s="10" t="s">
        <v>21065</v>
      </c>
      <c r="S3455" s="10" t="s">
        <v>53</v>
      </c>
      <c r="T3455" s="10" t="s">
        <v>54</v>
      </c>
    </row>
    <row r="3456" spans="1:20" ht="14.5" x14ac:dyDescent="0.35">
      <c r="A3456" s="10" t="s">
        <v>21066</v>
      </c>
      <c r="B3456" s="10" t="str">
        <f>"9780335243631"</f>
        <v>9780335243631</v>
      </c>
      <c r="C3456" s="10" t="str">
        <f>"9780335243655"</f>
        <v>9780335243655</v>
      </c>
      <c r="D3456" s="10" t="s">
        <v>10342</v>
      </c>
      <c r="E3456" s="10" t="s">
        <v>10343</v>
      </c>
      <c r="F3456" s="10" t="s">
        <v>10344</v>
      </c>
      <c r="G3456" s="10" t="s">
        <v>6352</v>
      </c>
      <c r="H3456" s="11">
        <v>41030</v>
      </c>
      <c r="I3456" s="10">
        <v>2012</v>
      </c>
      <c r="J3456" s="10" t="s">
        <v>10345</v>
      </c>
      <c r="K3456" s="10">
        <v>154</v>
      </c>
      <c r="L3456" s="10" t="s">
        <v>21067</v>
      </c>
      <c r="M3456" s="10">
        <v>1</v>
      </c>
      <c r="N3456" s="10" t="s">
        <v>10347</v>
      </c>
      <c r="O3456" s="10"/>
      <c r="P3456" s="10" t="s">
        <v>21068</v>
      </c>
      <c r="Q3456" s="10"/>
      <c r="R3456" s="10" t="s">
        <v>21069</v>
      </c>
      <c r="S3456" s="10" t="s">
        <v>53</v>
      </c>
      <c r="T3456" s="10" t="s">
        <v>54</v>
      </c>
    </row>
    <row r="3457" spans="1:20" ht="14.5" x14ac:dyDescent="0.35">
      <c r="A3457" s="10" t="s">
        <v>21070</v>
      </c>
      <c r="B3457" s="10" t="str">
        <f>"9780335242115"</f>
        <v>9780335242115</v>
      </c>
      <c r="C3457" s="10" t="str">
        <f>"9780335242139"</f>
        <v>9780335242139</v>
      </c>
      <c r="D3457" s="10" t="s">
        <v>10342</v>
      </c>
      <c r="E3457" s="10" t="s">
        <v>10343</v>
      </c>
      <c r="F3457" s="10" t="s">
        <v>10344</v>
      </c>
      <c r="G3457" s="10" t="s">
        <v>6352</v>
      </c>
      <c r="H3457" s="11">
        <v>41000</v>
      </c>
      <c r="I3457" s="10">
        <v>2012</v>
      </c>
      <c r="J3457" s="10" t="s">
        <v>10345</v>
      </c>
      <c r="K3457" s="10">
        <v>170</v>
      </c>
      <c r="L3457" s="10" t="s">
        <v>21071</v>
      </c>
      <c r="M3457" s="10">
        <v>1</v>
      </c>
      <c r="N3457" s="10" t="s">
        <v>10347</v>
      </c>
      <c r="O3457" s="10"/>
      <c r="P3457" s="10" t="s">
        <v>21072</v>
      </c>
      <c r="Q3457" s="10">
        <v>370.15230000000003</v>
      </c>
      <c r="R3457" s="10" t="s">
        <v>21073</v>
      </c>
      <c r="S3457" s="10" t="s">
        <v>53</v>
      </c>
      <c r="T3457" s="10" t="s">
        <v>54</v>
      </c>
    </row>
    <row r="3458" spans="1:20" ht="14.5" x14ac:dyDescent="0.35">
      <c r="A3458" s="10" t="s">
        <v>21074</v>
      </c>
      <c r="B3458" s="10" t="str">
        <f>"9781849050609"</f>
        <v>9781849050609</v>
      </c>
      <c r="C3458" s="10" t="str">
        <f>"9780857002563"</f>
        <v>9780857002563</v>
      </c>
      <c r="D3458" s="10" t="s">
        <v>10516</v>
      </c>
      <c r="E3458" s="10" t="s">
        <v>10516</v>
      </c>
      <c r="F3458" s="10" t="s">
        <v>139</v>
      </c>
      <c r="G3458" s="10" t="s">
        <v>6352</v>
      </c>
      <c r="H3458" s="11">
        <v>41014</v>
      </c>
      <c r="I3458" s="10">
        <v>2012</v>
      </c>
      <c r="J3458" s="10" t="s">
        <v>10516</v>
      </c>
      <c r="K3458" s="10">
        <v>226</v>
      </c>
      <c r="L3458" s="10" t="s">
        <v>21075</v>
      </c>
      <c r="M3458" s="10">
        <v>1</v>
      </c>
      <c r="N3458" s="10" t="s">
        <v>10831</v>
      </c>
      <c r="O3458" s="10"/>
      <c r="P3458" s="10" t="s">
        <v>21076</v>
      </c>
      <c r="Q3458" s="10">
        <v>616.83600000000001</v>
      </c>
      <c r="R3458" s="10" t="s">
        <v>21077</v>
      </c>
      <c r="S3458" s="10" t="s">
        <v>53</v>
      </c>
      <c r="T3458" s="10" t="s">
        <v>8625</v>
      </c>
    </row>
    <row r="3459" spans="1:20" ht="14.5" x14ac:dyDescent="0.35">
      <c r="A3459" s="10" t="s">
        <v>21078</v>
      </c>
      <c r="B3459" s="10" t="str">
        <f>"9781849058841"</f>
        <v>9781849058841</v>
      </c>
      <c r="C3459" s="10" t="str">
        <f>"9780857005762"</f>
        <v>9780857005762</v>
      </c>
      <c r="D3459" s="10" t="s">
        <v>10516</v>
      </c>
      <c r="E3459" s="10" t="s">
        <v>10516</v>
      </c>
      <c r="F3459" s="10" t="s">
        <v>139</v>
      </c>
      <c r="G3459" s="10" t="s">
        <v>6352</v>
      </c>
      <c r="H3459" s="11">
        <v>41014</v>
      </c>
      <c r="I3459" s="10">
        <v>2012</v>
      </c>
      <c r="J3459" s="10" t="s">
        <v>10516</v>
      </c>
      <c r="K3459" s="10">
        <v>212</v>
      </c>
      <c r="L3459" s="10" t="s">
        <v>21079</v>
      </c>
      <c r="M3459" s="10">
        <v>1</v>
      </c>
      <c r="N3459" s="10"/>
      <c r="O3459" s="10"/>
      <c r="P3459" s="10"/>
      <c r="Q3459" s="10">
        <v>371.9</v>
      </c>
      <c r="R3459" s="10"/>
      <c r="S3459" s="10" t="s">
        <v>53</v>
      </c>
      <c r="T3459" s="10" t="s">
        <v>54</v>
      </c>
    </row>
    <row r="3460" spans="1:20" ht="14.5" x14ac:dyDescent="0.35">
      <c r="A3460" s="10" t="s">
        <v>21080</v>
      </c>
      <c r="B3460" s="10" t="str">
        <f>"9781462504770"</f>
        <v>9781462504770</v>
      </c>
      <c r="C3460" s="10" t="str">
        <f>"9781462504909"</f>
        <v>9781462504909</v>
      </c>
      <c r="D3460" s="10" t="s">
        <v>11213</v>
      </c>
      <c r="E3460" s="10" t="s">
        <v>11214</v>
      </c>
      <c r="F3460" s="10" t="s">
        <v>70</v>
      </c>
      <c r="G3460" s="10" t="s">
        <v>6317</v>
      </c>
      <c r="H3460" s="11">
        <v>41038</v>
      </c>
      <c r="I3460" s="10">
        <v>2012</v>
      </c>
      <c r="J3460" s="10" t="s">
        <v>11215</v>
      </c>
      <c r="K3460" s="10">
        <v>354</v>
      </c>
      <c r="L3460" s="10" t="s">
        <v>21081</v>
      </c>
      <c r="M3460" s="10">
        <v>1</v>
      </c>
      <c r="N3460" s="10" t="s">
        <v>12889</v>
      </c>
      <c r="O3460" s="10"/>
      <c r="P3460" s="10" t="s">
        <v>21082</v>
      </c>
      <c r="Q3460" s="10">
        <v>371.9</v>
      </c>
      <c r="R3460" s="10" t="s">
        <v>21083</v>
      </c>
      <c r="S3460" s="10" t="s">
        <v>53</v>
      </c>
      <c r="T3460" s="10" t="s">
        <v>54</v>
      </c>
    </row>
    <row r="3461" spans="1:20" ht="14.5" x14ac:dyDescent="0.35">
      <c r="A3461" s="10" t="s">
        <v>21084</v>
      </c>
      <c r="B3461" s="10" t="str">
        <f>"9781462504657"</f>
        <v>9781462504657</v>
      </c>
      <c r="C3461" s="10" t="str">
        <f>"9781462504688"</f>
        <v>9781462504688</v>
      </c>
      <c r="D3461" s="10" t="s">
        <v>11213</v>
      </c>
      <c r="E3461" s="10" t="s">
        <v>11214</v>
      </c>
      <c r="F3461" s="10" t="s">
        <v>70</v>
      </c>
      <c r="G3461" s="10" t="s">
        <v>6317</v>
      </c>
      <c r="H3461" s="11">
        <v>41025</v>
      </c>
      <c r="I3461" s="10">
        <v>2012</v>
      </c>
      <c r="J3461" s="10" t="s">
        <v>11215</v>
      </c>
      <c r="K3461" s="10">
        <v>258</v>
      </c>
      <c r="L3461" s="10" t="s">
        <v>21085</v>
      </c>
      <c r="M3461" s="10">
        <v>1</v>
      </c>
      <c r="N3461" s="10" t="s">
        <v>18535</v>
      </c>
      <c r="O3461" s="10"/>
      <c r="P3461" s="10" t="s">
        <v>21086</v>
      </c>
      <c r="Q3461" s="10" t="s">
        <v>18744</v>
      </c>
      <c r="R3461" s="10" t="s">
        <v>21087</v>
      </c>
      <c r="S3461" s="10" t="s">
        <v>53</v>
      </c>
      <c r="T3461" s="10" t="s">
        <v>6634</v>
      </c>
    </row>
    <row r="3462" spans="1:20" ht="14.5" x14ac:dyDescent="0.35">
      <c r="A3462" s="10" t="s">
        <v>21088</v>
      </c>
      <c r="B3462" s="10" t="str">
        <f>"9781118342848"</f>
        <v>9781118342848</v>
      </c>
      <c r="C3462" s="10" t="str">
        <f>"9781118420058"</f>
        <v>9781118420058</v>
      </c>
      <c r="D3462" s="10" t="s">
        <v>6322</v>
      </c>
      <c r="E3462" s="10" t="s">
        <v>6323</v>
      </c>
      <c r="F3462" s="10" t="s">
        <v>4423</v>
      </c>
      <c r="G3462" s="10" t="s">
        <v>6317</v>
      </c>
      <c r="H3462" s="11">
        <v>41198</v>
      </c>
      <c r="I3462" s="10">
        <v>2012</v>
      </c>
      <c r="J3462" s="10" t="s">
        <v>6324</v>
      </c>
      <c r="K3462" s="10">
        <v>321</v>
      </c>
      <c r="L3462" s="10" t="s">
        <v>21089</v>
      </c>
      <c r="M3462" s="10">
        <v>2</v>
      </c>
      <c r="N3462" s="10"/>
      <c r="O3462" s="10"/>
      <c r="P3462" s="10"/>
      <c r="Q3462" s="10"/>
      <c r="R3462" s="10" t="s">
        <v>18784</v>
      </c>
      <c r="S3462" s="10" t="s">
        <v>53</v>
      </c>
      <c r="T3462" s="10" t="s">
        <v>54</v>
      </c>
    </row>
    <row r="3463" spans="1:20" ht="14.5" x14ac:dyDescent="0.35">
      <c r="A3463" s="10" t="s">
        <v>21090</v>
      </c>
      <c r="B3463" s="10" t="str">
        <f>"9781118347119"</f>
        <v>9781118347119</v>
      </c>
      <c r="C3463" s="10" t="str">
        <f>"9781118420300"</f>
        <v>9781118420300</v>
      </c>
      <c r="D3463" s="10" t="s">
        <v>6322</v>
      </c>
      <c r="E3463" s="10" t="s">
        <v>6323</v>
      </c>
      <c r="F3463" s="10" t="s">
        <v>4423</v>
      </c>
      <c r="G3463" s="10" t="s">
        <v>6317</v>
      </c>
      <c r="H3463" s="11">
        <v>41191</v>
      </c>
      <c r="I3463" s="10">
        <v>2012</v>
      </c>
      <c r="J3463" s="10" t="s">
        <v>6323</v>
      </c>
      <c r="K3463" s="10">
        <v>225</v>
      </c>
      <c r="L3463" s="10" t="s">
        <v>21091</v>
      </c>
      <c r="M3463" s="10">
        <v>1</v>
      </c>
      <c r="N3463" s="10"/>
      <c r="O3463" s="10"/>
      <c r="P3463" s="10"/>
      <c r="Q3463" s="10" t="s">
        <v>11594</v>
      </c>
      <c r="R3463" s="10" t="s">
        <v>21092</v>
      </c>
      <c r="S3463" s="10" t="s">
        <v>53</v>
      </c>
      <c r="T3463" s="10" t="s">
        <v>6660</v>
      </c>
    </row>
    <row r="3464" spans="1:20" ht="14.5" x14ac:dyDescent="0.35">
      <c r="A3464" s="10" t="s">
        <v>21093</v>
      </c>
      <c r="B3464" s="10" t="str">
        <f>"9781441112330"</f>
        <v>9781441112330</v>
      </c>
      <c r="C3464" s="10" t="str">
        <f>"9781441119162"</f>
        <v>9781441119162</v>
      </c>
      <c r="D3464" s="10" t="s">
        <v>13959</v>
      </c>
      <c r="E3464" s="10" t="s">
        <v>13960</v>
      </c>
      <c r="F3464" s="10" t="s">
        <v>139</v>
      </c>
      <c r="G3464" s="10" t="s">
        <v>6352</v>
      </c>
      <c r="H3464" s="11">
        <v>41095</v>
      </c>
      <c r="I3464" s="10">
        <v>2012</v>
      </c>
      <c r="J3464" s="10" t="s">
        <v>13961</v>
      </c>
      <c r="K3464" s="10">
        <v>193</v>
      </c>
      <c r="L3464" s="10" t="s">
        <v>21094</v>
      </c>
      <c r="M3464" s="10">
        <v>1</v>
      </c>
      <c r="N3464" s="10" t="s">
        <v>20725</v>
      </c>
      <c r="O3464" s="10"/>
      <c r="P3464" s="10" t="s">
        <v>21095</v>
      </c>
      <c r="Q3464" s="10" t="s">
        <v>21096</v>
      </c>
      <c r="R3464" s="10" t="s">
        <v>21097</v>
      </c>
      <c r="S3464" s="10" t="s">
        <v>53</v>
      </c>
      <c r="T3464" s="10" t="s">
        <v>54</v>
      </c>
    </row>
    <row r="3465" spans="1:20" ht="14.5" x14ac:dyDescent="0.35">
      <c r="A3465" s="10" t="s">
        <v>21098</v>
      </c>
      <c r="B3465" s="10" t="str">
        <f>"9781441145000"</f>
        <v>9781441145000</v>
      </c>
      <c r="C3465" s="10" t="str">
        <f>"9780826426383"</f>
        <v>9780826426383</v>
      </c>
      <c r="D3465" s="10" t="s">
        <v>13959</v>
      </c>
      <c r="E3465" s="10" t="s">
        <v>13960</v>
      </c>
      <c r="F3465" s="10" t="s">
        <v>139</v>
      </c>
      <c r="G3465" s="10" t="s">
        <v>6352</v>
      </c>
      <c r="H3465" s="11">
        <v>41095</v>
      </c>
      <c r="I3465" s="10">
        <v>2012</v>
      </c>
      <c r="J3465" s="10" t="s">
        <v>13961</v>
      </c>
      <c r="K3465" s="10">
        <v>244</v>
      </c>
      <c r="L3465" s="10" t="s">
        <v>21099</v>
      </c>
      <c r="M3465" s="10">
        <v>1</v>
      </c>
      <c r="N3465" s="10"/>
      <c r="O3465" s="10"/>
      <c r="P3465" s="10" t="s">
        <v>21100</v>
      </c>
      <c r="Q3465" s="10">
        <v>370.1</v>
      </c>
      <c r="R3465" s="10" t="s">
        <v>21101</v>
      </c>
      <c r="S3465" s="10" t="s">
        <v>53</v>
      </c>
      <c r="T3465" s="10" t="s">
        <v>54</v>
      </c>
    </row>
    <row r="3466" spans="1:20" ht="14.5" x14ac:dyDescent="0.35">
      <c r="A3466" s="10" t="s">
        <v>21102</v>
      </c>
      <c r="B3466" s="10" t="str">
        <f>"9781441121066"</f>
        <v>9781441121066</v>
      </c>
      <c r="C3466" s="10" t="str">
        <f>"9781441151322"</f>
        <v>9781441151322</v>
      </c>
      <c r="D3466" s="10" t="s">
        <v>13959</v>
      </c>
      <c r="E3466" s="10" t="s">
        <v>13960</v>
      </c>
      <c r="F3466" s="10" t="s">
        <v>139</v>
      </c>
      <c r="G3466" s="10" t="s">
        <v>6352</v>
      </c>
      <c r="H3466" s="11">
        <v>41088</v>
      </c>
      <c r="I3466" s="10">
        <v>2012</v>
      </c>
      <c r="J3466" s="10" t="s">
        <v>13961</v>
      </c>
      <c r="K3466" s="10">
        <v>193</v>
      </c>
      <c r="L3466" s="10" t="s">
        <v>21103</v>
      </c>
      <c r="M3466" s="10">
        <v>1</v>
      </c>
      <c r="N3466" s="10"/>
      <c r="O3466" s="10"/>
      <c r="P3466" s="10" t="s">
        <v>21104</v>
      </c>
      <c r="Q3466" s="10">
        <v>107.1</v>
      </c>
      <c r="R3466" s="10" t="s">
        <v>21105</v>
      </c>
      <c r="S3466" s="10" t="s">
        <v>53</v>
      </c>
      <c r="T3466" s="10" t="s">
        <v>6534</v>
      </c>
    </row>
    <row r="3467" spans="1:20" ht="14.5" x14ac:dyDescent="0.35">
      <c r="A3467" s="10" t="s">
        <v>21106</v>
      </c>
      <c r="B3467" s="10" t="str">
        <f>"9788323328636"</f>
        <v>9788323328636</v>
      </c>
      <c r="C3467" s="10" t="str">
        <f>"9788323382799"</f>
        <v>9788323382799</v>
      </c>
      <c r="D3467" s="10" t="s">
        <v>21107</v>
      </c>
      <c r="E3467" s="10" t="s">
        <v>21107</v>
      </c>
      <c r="F3467" s="10" t="s">
        <v>2882</v>
      </c>
      <c r="G3467" s="10" t="s">
        <v>21108</v>
      </c>
      <c r="H3467" s="11">
        <v>40394</v>
      </c>
      <c r="I3467" s="10">
        <v>2010</v>
      </c>
      <c r="J3467" s="10" t="s">
        <v>21107</v>
      </c>
      <c r="K3467" s="10">
        <v>118</v>
      </c>
      <c r="L3467" s="10" t="s">
        <v>21109</v>
      </c>
      <c r="M3467" s="10">
        <v>1</v>
      </c>
      <c r="N3467" s="10"/>
      <c r="O3467" s="10"/>
      <c r="P3467" s="10" t="s">
        <v>21110</v>
      </c>
      <c r="Q3467" s="10">
        <v>340.0711</v>
      </c>
      <c r="R3467" s="10" t="s">
        <v>21111</v>
      </c>
      <c r="S3467" s="10" t="s">
        <v>53</v>
      </c>
      <c r="T3467" s="10" t="s">
        <v>5396</v>
      </c>
    </row>
    <row r="3468" spans="1:20" ht="14.5" x14ac:dyDescent="0.35">
      <c r="A3468" s="10" t="s">
        <v>21112</v>
      </c>
      <c r="B3468" s="10" t="str">
        <f>""</f>
        <v/>
      </c>
      <c r="C3468" s="10" t="str">
        <f>"9789814350853"</f>
        <v>9789814350853</v>
      </c>
      <c r="D3468" s="10" t="s">
        <v>8571</v>
      </c>
      <c r="E3468" s="10" t="s">
        <v>8572</v>
      </c>
      <c r="F3468" s="10" t="s">
        <v>549</v>
      </c>
      <c r="G3468" s="10" t="s">
        <v>8573</v>
      </c>
      <c r="H3468" s="11">
        <v>40935</v>
      </c>
      <c r="I3468" s="10">
        <v>2012</v>
      </c>
      <c r="J3468" s="10" t="s">
        <v>8574</v>
      </c>
      <c r="K3468" s="10">
        <v>318</v>
      </c>
      <c r="L3468" s="10" t="s">
        <v>21113</v>
      </c>
      <c r="M3468" s="10">
        <v>1</v>
      </c>
      <c r="N3468" s="10" t="s">
        <v>21114</v>
      </c>
      <c r="O3468" s="10">
        <v>1</v>
      </c>
      <c r="P3468" s="10" t="s">
        <v>21115</v>
      </c>
      <c r="Q3468" s="10">
        <v>510.71</v>
      </c>
      <c r="R3468" s="10" t="s">
        <v>21116</v>
      </c>
      <c r="S3468" s="10" t="s">
        <v>53</v>
      </c>
      <c r="T3468" s="10" t="s">
        <v>389</v>
      </c>
    </row>
    <row r="3469" spans="1:20" ht="14.5" x14ac:dyDescent="0.35">
      <c r="A3469" s="10" t="s">
        <v>21117</v>
      </c>
      <c r="B3469" s="10" t="str">
        <f>"9789814329422"</f>
        <v>9789814329422</v>
      </c>
      <c r="C3469" s="10" t="str">
        <f>"9789814329446"</f>
        <v>9789814329446</v>
      </c>
      <c r="D3469" s="10" t="s">
        <v>8571</v>
      </c>
      <c r="E3469" s="10" t="s">
        <v>8572</v>
      </c>
      <c r="F3469" s="10" t="s">
        <v>549</v>
      </c>
      <c r="G3469" s="10" t="s">
        <v>8573</v>
      </c>
      <c r="H3469" s="11">
        <v>40977</v>
      </c>
      <c r="I3469" s="10">
        <v>2012</v>
      </c>
      <c r="J3469" s="10" t="s">
        <v>21118</v>
      </c>
      <c r="K3469" s="10">
        <v>215</v>
      </c>
      <c r="L3469" s="10" t="s">
        <v>21119</v>
      </c>
      <c r="M3469" s="10">
        <v>1</v>
      </c>
      <c r="N3469" s="10"/>
      <c r="O3469" s="10"/>
      <c r="P3469" s="10" t="s">
        <v>21120</v>
      </c>
      <c r="Q3469" s="10">
        <v>500</v>
      </c>
      <c r="R3469" s="10" t="s">
        <v>21121</v>
      </c>
      <c r="S3469" s="10" t="s">
        <v>53</v>
      </c>
      <c r="T3469" s="10" t="s">
        <v>6800</v>
      </c>
    </row>
    <row r="3470" spans="1:20" ht="14.5" x14ac:dyDescent="0.35">
      <c r="A3470" s="10" t="s">
        <v>21122</v>
      </c>
      <c r="B3470" s="10" t="str">
        <f>""</f>
        <v/>
      </c>
      <c r="C3470" s="10" t="str">
        <f>"9789814405430"</f>
        <v>9789814405430</v>
      </c>
      <c r="D3470" s="10" t="s">
        <v>8571</v>
      </c>
      <c r="E3470" s="10" t="s">
        <v>8572</v>
      </c>
      <c r="F3470" s="10" t="s">
        <v>549</v>
      </c>
      <c r="G3470" s="10" t="s">
        <v>8573</v>
      </c>
      <c r="H3470" s="11">
        <v>41019</v>
      </c>
      <c r="I3470" s="10">
        <v>2012</v>
      </c>
      <c r="J3470" s="10" t="s">
        <v>8574</v>
      </c>
      <c r="K3470" s="10">
        <v>335</v>
      </c>
      <c r="L3470" s="10" t="s">
        <v>21123</v>
      </c>
      <c r="M3470" s="10">
        <v>1</v>
      </c>
      <c r="N3470" s="10"/>
      <c r="O3470" s="10"/>
      <c r="P3470" s="10" t="s">
        <v>21124</v>
      </c>
      <c r="Q3470" s="10">
        <v>658.40300000000002</v>
      </c>
      <c r="R3470" s="10" t="s">
        <v>21125</v>
      </c>
      <c r="S3470" s="10" t="s">
        <v>53</v>
      </c>
      <c r="T3470" s="10" t="s">
        <v>21126</v>
      </c>
    </row>
    <row r="3471" spans="1:20" ht="14.5" x14ac:dyDescent="0.35">
      <c r="A3471" s="10" t="s">
        <v>21127</v>
      </c>
      <c r="B3471" s="10" t="str">
        <f>"9789004210684"</f>
        <v>9789004210684</v>
      </c>
      <c r="C3471" s="10" t="str">
        <f>"9789004228160"</f>
        <v>9789004228160</v>
      </c>
      <c r="D3471" s="10" t="s">
        <v>8564</v>
      </c>
      <c r="E3471" s="10" t="s">
        <v>8565</v>
      </c>
      <c r="F3471" s="10" t="s">
        <v>1420</v>
      </c>
      <c r="G3471" s="10" t="s">
        <v>6317</v>
      </c>
      <c r="H3471" s="11">
        <v>41032</v>
      </c>
      <c r="I3471" s="10">
        <v>2012</v>
      </c>
      <c r="J3471" s="10" t="s">
        <v>8565</v>
      </c>
      <c r="K3471" s="10">
        <v>234</v>
      </c>
      <c r="L3471" s="10" t="s">
        <v>21128</v>
      </c>
      <c r="M3471" s="10">
        <v>1</v>
      </c>
      <c r="N3471" s="10" t="s">
        <v>21129</v>
      </c>
      <c r="O3471" s="10">
        <v>161</v>
      </c>
      <c r="P3471" s="10"/>
      <c r="Q3471" s="10"/>
      <c r="R3471" s="10"/>
      <c r="S3471" s="10" t="s">
        <v>53</v>
      </c>
      <c r="T3471" s="10" t="s">
        <v>4490</v>
      </c>
    </row>
    <row r="3472" spans="1:20" ht="14.5" x14ac:dyDescent="0.35">
      <c r="A3472" s="10" t="s">
        <v>21130</v>
      </c>
      <c r="B3472" s="10" t="str">
        <f>"9781610487368"</f>
        <v>9781610487368</v>
      </c>
      <c r="C3472" s="10" t="str">
        <f>"9781610487375"</f>
        <v>9781610487375</v>
      </c>
      <c r="D3472" s="10" t="s">
        <v>9752</v>
      </c>
      <c r="E3472" s="10" t="s">
        <v>15192</v>
      </c>
      <c r="F3472" s="10" t="s">
        <v>9754</v>
      </c>
      <c r="G3472" s="10" t="s">
        <v>6317</v>
      </c>
      <c r="H3472" s="11">
        <v>40976</v>
      </c>
      <c r="I3472" s="10">
        <v>2012</v>
      </c>
      <c r="J3472" s="10" t="s">
        <v>15192</v>
      </c>
      <c r="K3472" s="10">
        <v>134</v>
      </c>
      <c r="L3472" s="10" t="s">
        <v>21131</v>
      </c>
      <c r="M3472" s="10">
        <v>1</v>
      </c>
      <c r="N3472" s="10"/>
      <c r="O3472" s="10"/>
      <c r="P3472" s="10" t="s">
        <v>21132</v>
      </c>
      <c r="Q3472" s="10" t="s">
        <v>17621</v>
      </c>
      <c r="R3472" s="10" t="s">
        <v>20345</v>
      </c>
      <c r="S3472" s="10" t="s">
        <v>53</v>
      </c>
      <c r="T3472" s="10" t="s">
        <v>54</v>
      </c>
    </row>
    <row r="3473" spans="1:20" ht="14.5" x14ac:dyDescent="0.35">
      <c r="A3473" s="10" t="s">
        <v>21133</v>
      </c>
      <c r="B3473" s="10" t="str">
        <f>"9781416613848"</f>
        <v>9781416613848</v>
      </c>
      <c r="C3473" s="10" t="str">
        <f>"9781416614708"</f>
        <v>9781416614708</v>
      </c>
      <c r="D3473" s="10" t="s">
        <v>10014</v>
      </c>
      <c r="E3473" s="10" t="s">
        <v>10015</v>
      </c>
      <c r="F3473" s="10" t="s">
        <v>201</v>
      </c>
      <c r="G3473" s="10" t="s">
        <v>6317</v>
      </c>
      <c r="H3473" s="11">
        <v>41059</v>
      </c>
      <c r="I3473" s="10">
        <v>2012</v>
      </c>
      <c r="J3473" s="10" t="s">
        <v>10015</v>
      </c>
      <c r="K3473" s="10">
        <v>163</v>
      </c>
      <c r="L3473" s="10" t="s">
        <v>21134</v>
      </c>
      <c r="M3473" s="10">
        <v>1</v>
      </c>
      <c r="N3473" s="10"/>
      <c r="O3473" s="10"/>
      <c r="P3473" s="10" t="s">
        <v>21135</v>
      </c>
      <c r="Q3473" s="10">
        <v>379.26097299999998</v>
      </c>
      <c r="R3473" s="10" t="s">
        <v>21136</v>
      </c>
      <c r="S3473" s="10" t="s">
        <v>53</v>
      </c>
      <c r="T3473" s="10" t="s">
        <v>54</v>
      </c>
    </row>
    <row r="3474" spans="1:20" ht="14.5" x14ac:dyDescent="0.35">
      <c r="A3474" s="10" t="s">
        <v>21137</v>
      </c>
      <c r="B3474" s="10" t="str">
        <f>"9780253357205"</f>
        <v>9780253357205</v>
      </c>
      <c r="C3474" s="10" t="str">
        <f>"9780253005694"</f>
        <v>9780253005694</v>
      </c>
      <c r="D3474" s="10" t="s">
        <v>6358</v>
      </c>
      <c r="E3474" s="10" t="s">
        <v>2455</v>
      </c>
      <c r="F3474" s="10" t="s">
        <v>3101</v>
      </c>
      <c r="G3474" s="10" t="s">
        <v>6317</v>
      </c>
      <c r="H3474" s="11">
        <v>41029</v>
      </c>
      <c r="I3474" s="10">
        <v>2012</v>
      </c>
      <c r="J3474" s="10" t="s">
        <v>2455</v>
      </c>
      <c r="K3474" s="10">
        <v>520</v>
      </c>
      <c r="L3474" s="10" t="s">
        <v>21138</v>
      </c>
      <c r="M3474" s="10">
        <v>1</v>
      </c>
      <c r="N3474" s="10"/>
      <c r="O3474" s="10"/>
      <c r="P3474" s="10" t="s">
        <v>21139</v>
      </c>
      <c r="Q3474" s="10" t="s">
        <v>20513</v>
      </c>
      <c r="R3474" s="10" t="s">
        <v>21140</v>
      </c>
      <c r="S3474" s="10" t="s">
        <v>53</v>
      </c>
      <c r="T3474" s="10" t="s">
        <v>54</v>
      </c>
    </row>
    <row r="3475" spans="1:20" ht="14.5" x14ac:dyDescent="0.35">
      <c r="A3475" s="10" t="s">
        <v>21141</v>
      </c>
      <c r="B3475" s="10" t="str">
        <f>"9781934155608"</f>
        <v>9781934155608</v>
      </c>
      <c r="C3475" s="10" t="str">
        <f>"9781934155998"</f>
        <v>9781934155998</v>
      </c>
      <c r="D3475" s="10" t="s">
        <v>9215</v>
      </c>
      <c r="E3475" s="10" t="s">
        <v>14714</v>
      </c>
      <c r="F3475" s="10" t="s">
        <v>21142</v>
      </c>
      <c r="G3475" s="10" t="s">
        <v>6317</v>
      </c>
      <c r="H3475" s="11">
        <v>41000</v>
      </c>
      <c r="I3475" s="10">
        <v>2012</v>
      </c>
      <c r="J3475" s="10" t="s">
        <v>14714</v>
      </c>
      <c r="K3475" s="10">
        <v>129</v>
      </c>
      <c r="L3475" s="10" t="s">
        <v>14716</v>
      </c>
      <c r="M3475" s="10"/>
      <c r="N3475" s="10"/>
      <c r="O3475" s="10"/>
      <c r="P3475" s="10" t="s">
        <v>21143</v>
      </c>
      <c r="Q3475" s="10" t="s">
        <v>21144</v>
      </c>
      <c r="R3475" s="10" t="s">
        <v>21145</v>
      </c>
      <c r="S3475" s="10" t="s">
        <v>53</v>
      </c>
      <c r="T3475" s="10" t="s">
        <v>54</v>
      </c>
    </row>
    <row r="3476" spans="1:20" ht="14.5" x14ac:dyDescent="0.35">
      <c r="A3476" s="10" t="s">
        <v>21146</v>
      </c>
      <c r="B3476" s="10" t="str">
        <f>"9781442206748"</f>
        <v>9781442206748</v>
      </c>
      <c r="C3476" s="10" t="str">
        <f>"9781442206762"</f>
        <v>9781442206762</v>
      </c>
      <c r="D3476" s="10" t="s">
        <v>9752</v>
      </c>
      <c r="E3476" s="10" t="s">
        <v>15187</v>
      </c>
      <c r="F3476" s="10" t="s">
        <v>9754</v>
      </c>
      <c r="G3476" s="10" t="s">
        <v>6317</v>
      </c>
      <c r="H3476" s="11">
        <v>40829</v>
      </c>
      <c r="I3476" s="10">
        <v>2012</v>
      </c>
      <c r="J3476" s="10" t="s">
        <v>15187</v>
      </c>
      <c r="K3476" s="10">
        <v>413</v>
      </c>
      <c r="L3476" s="10" t="s">
        <v>21147</v>
      </c>
      <c r="M3476" s="10">
        <v>1</v>
      </c>
      <c r="N3476" s="10"/>
      <c r="O3476" s="10"/>
      <c r="P3476" s="10" t="s">
        <v>21148</v>
      </c>
      <c r="Q3476" s="10">
        <v>378.73</v>
      </c>
      <c r="R3476" s="10" t="s">
        <v>21149</v>
      </c>
      <c r="S3476" s="10" t="s">
        <v>53</v>
      </c>
      <c r="T3476" s="10" t="s">
        <v>54</v>
      </c>
    </row>
    <row r="3477" spans="1:20" ht="14.5" x14ac:dyDescent="0.35">
      <c r="A3477" s="10" t="s">
        <v>21150</v>
      </c>
      <c r="B3477" s="10" t="str">
        <f>"9780520269224"</f>
        <v>9780520269224</v>
      </c>
      <c r="C3477" s="10" t="str">
        <f>"9780520953529"</f>
        <v>9780520953529</v>
      </c>
      <c r="D3477" s="10" t="s">
        <v>8512</v>
      </c>
      <c r="E3477" s="10" t="s">
        <v>8512</v>
      </c>
      <c r="F3477" s="10" t="s">
        <v>717</v>
      </c>
      <c r="G3477" s="10" t="s">
        <v>6317</v>
      </c>
      <c r="H3477" s="11">
        <v>41127</v>
      </c>
      <c r="I3477" s="10">
        <v>2012</v>
      </c>
      <c r="J3477" s="10" t="s">
        <v>8512</v>
      </c>
      <c r="K3477" s="10">
        <v>300</v>
      </c>
      <c r="L3477" s="10" t="s">
        <v>21151</v>
      </c>
      <c r="M3477" s="10">
        <v>1</v>
      </c>
      <c r="N3477" s="10"/>
      <c r="O3477" s="10"/>
      <c r="P3477" s="10"/>
      <c r="Q3477" s="10" t="s">
        <v>20959</v>
      </c>
      <c r="R3477" s="10" t="s">
        <v>21152</v>
      </c>
      <c r="S3477" s="10" t="s">
        <v>53</v>
      </c>
      <c r="T3477" s="10" t="s">
        <v>54</v>
      </c>
    </row>
    <row r="3478" spans="1:20" ht="14.5" x14ac:dyDescent="0.35">
      <c r="A3478" s="10" t="s">
        <v>21153</v>
      </c>
      <c r="B3478" s="10" t="str">
        <f>"9780195138849"</f>
        <v>9780195138849</v>
      </c>
      <c r="C3478" s="10" t="str">
        <f>"9780199771523"</f>
        <v>9780199771523</v>
      </c>
      <c r="D3478" s="10" t="s">
        <v>9122</v>
      </c>
      <c r="E3478" s="10" t="s">
        <v>9133</v>
      </c>
      <c r="F3478" s="10" t="s">
        <v>330</v>
      </c>
      <c r="G3478" s="10" t="s">
        <v>6317</v>
      </c>
      <c r="H3478" s="11">
        <v>37364</v>
      </c>
      <c r="I3478" s="10">
        <v>2002</v>
      </c>
      <c r="J3478" s="10" t="s">
        <v>9133</v>
      </c>
      <c r="K3478" s="10">
        <v>1249</v>
      </c>
      <c r="L3478" s="10" t="s">
        <v>21154</v>
      </c>
      <c r="M3478" s="10">
        <v>1</v>
      </c>
      <c r="N3478" s="10"/>
      <c r="O3478" s="10"/>
      <c r="P3478" s="10" t="s">
        <v>21155</v>
      </c>
      <c r="Q3478" s="10" t="s">
        <v>6382</v>
      </c>
      <c r="R3478" s="10" t="s">
        <v>21156</v>
      </c>
      <c r="S3478" s="10" t="s">
        <v>53</v>
      </c>
      <c r="T3478" s="10" t="s">
        <v>6384</v>
      </c>
    </row>
    <row r="3479" spans="1:20" ht="14.5" x14ac:dyDescent="0.35">
      <c r="A3479" s="10" t="s">
        <v>21157</v>
      </c>
      <c r="B3479" s="10" t="str">
        <f>"9780230117815"</f>
        <v>9780230117815</v>
      </c>
      <c r="C3479" s="10" t="str">
        <f>"9781137016508"</f>
        <v>9781137016508</v>
      </c>
      <c r="D3479" s="10" t="s">
        <v>11249</v>
      </c>
      <c r="E3479" s="10" t="s">
        <v>2400</v>
      </c>
      <c r="F3479" s="10" t="s">
        <v>70</v>
      </c>
      <c r="G3479" s="10" t="s">
        <v>6317</v>
      </c>
      <c r="H3479" s="11">
        <v>41002</v>
      </c>
      <c r="I3479" s="10">
        <v>2012</v>
      </c>
      <c r="J3479" s="10" t="s">
        <v>2400</v>
      </c>
      <c r="K3479" s="10">
        <v>240</v>
      </c>
      <c r="L3479" s="10" t="s">
        <v>21158</v>
      </c>
      <c r="M3479" s="10">
        <v>1</v>
      </c>
      <c r="N3479" s="10" t="s">
        <v>21159</v>
      </c>
      <c r="O3479" s="10"/>
      <c r="P3479" s="10" t="s">
        <v>11370</v>
      </c>
      <c r="Q3479" s="10" t="s">
        <v>20959</v>
      </c>
      <c r="R3479" s="10" t="s">
        <v>21160</v>
      </c>
      <c r="S3479" s="10" t="s">
        <v>53</v>
      </c>
      <c r="T3479" s="10" t="s">
        <v>54</v>
      </c>
    </row>
    <row r="3480" spans="1:20" ht="14.5" x14ac:dyDescent="0.35">
      <c r="A3480" s="10" t="s">
        <v>21161</v>
      </c>
      <c r="B3480" s="10" t="str">
        <f>"9781849518147"</f>
        <v>9781849518147</v>
      </c>
      <c r="C3480" s="10" t="str">
        <f>"9781849518154"</f>
        <v>9781849518154</v>
      </c>
      <c r="D3480" s="10" t="s">
        <v>21162</v>
      </c>
      <c r="E3480" s="10" t="s">
        <v>21163</v>
      </c>
      <c r="F3480" s="10" t="s">
        <v>1939</v>
      </c>
      <c r="G3480" s="10" t="s">
        <v>6352</v>
      </c>
      <c r="H3480" s="11">
        <v>41009</v>
      </c>
      <c r="I3480" s="10">
        <v>2012</v>
      </c>
      <c r="J3480" s="10" t="s">
        <v>21163</v>
      </c>
      <c r="K3480" s="10">
        <v>145</v>
      </c>
      <c r="L3480" s="10" t="s">
        <v>21164</v>
      </c>
      <c r="M3480" s="10">
        <v>1</v>
      </c>
      <c r="N3480" s="10"/>
      <c r="O3480" s="10"/>
      <c r="P3480" s="10"/>
      <c r="Q3480" s="10"/>
      <c r="R3480" s="10" t="s">
        <v>21165</v>
      </c>
      <c r="S3480" s="10" t="s">
        <v>53</v>
      </c>
      <c r="T3480" s="10" t="s">
        <v>19959</v>
      </c>
    </row>
    <row r="3481" spans="1:20" ht="14.5" x14ac:dyDescent="0.35">
      <c r="A3481" s="10" t="s">
        <v>21166</v>
      </c>
      <c r="B3481" s="10" t="str">
        <f>"9780875530062"</f>
        <v>9780875530062</v>
      </c>
      <c r="C3481" s="10" t="str">
        <f>"9780875532615"</f>
        <v>9780875532615</v>
      </c>
      <c r="D3481" s="10" t="s">
        <v>21167</v>
      </c>
      <c r="E3481" s="10" t="s">
        <v>21168</v>
      </c>
      <c r="F3481" s="10" t="s">
        <v>88</v>
      </c>
      <c r="G3481" s="10" t="s">
        <v>6317</v>
      </c>
      <c r="H3481" s="11">
        <v>40909</v>
      </c>
      <c r="I3481" s="10">
        <v>2012</v>
      </c>
      <c r="J3481" s="10" t="s">
        <v>21167</v>
      </c>
      <c r="K3481" s="10">
        <v>501</v>
      </c>
      <c r="L3481" s="10" t="s">
        <v>21169</v>
      </c>
      <c r="M3481" s="10">
        <v>1</v>
      </c>
      <c r="N3481" s="10"/>
      <c r="O3481" s="10"/>
      <c r="P3481" s="10" t="s">
        <v>21170</v>
      </c>
      <c r="Q3481" s="10">
        <v>362.1</v>
      </c>
      <c r="R3481" s="10" t="s">
        <v>21171</v>
      </c>
      <c r="S3481" s="10" t="s">
        <v>53</v>
      </c>
      <c r="T3481" s="10" t="s">
        <v>21172</v>
      </c>
    </row>
    <row r="3482" spans="1:20" ht="14.5" x14ac:dyDescent="0.35">
      <c r="A3482" s="10" t="s">
        <v>21173</v>
      </c>
      <c r="B3482" s="10" t="str">
        <f>"9781780490458"</f>
        <v>9781780490458</v>
      </c>
      <c r="C3482" s="10" t="str">
        <f>"9781849409964"</f>
        <v>9781849409964</v>
      </c>
      <c r="D3482" s="10" t="s">
        <v>6350</v>
      </c>
      <c r="E3482" s="10" t="s">
        <v>6351</v>
      </c>
      <c r="F3482" s="10" t="s">
        <v>139</v>
      </c>
      <c r="G3482" s="10" t="s">
        <v>6352</v>
      </c>
      <c r="H3482" s="11">
        <v>41274</v>
      </c>
      <c r="I3482" s="10">
        <v>2012</v>
      </c>
      <c r="J3482" s="10" t="s">
        <v>6353</v>
      </c>
      <c r="K3482" s="10">
        <v>289</v>
      </c>
      <c r="L3482" s="10" t="s">
        <v>21174</v>
      </c>
      <c r="M3482" s="10">
        <v>1</v>
      </c>
      <c r="N3482" s="10"/>
      <c r="O3482" s="10"/>
      <c r="P3482" s="10" t="s">
        <v>21175</v>
      </c>
      <c r="Q3482" s="10">
        <v>370.15</v>
      </c>
      <c r="R3482" s="10" t="s">
        <v>21176</v>
      </c>
      <c r="S3482" s="10" t="s">
        <v>53</v>
      </c>
      <c r="T3482" s="10" t="s">
        <v>54</v>
      </c>
    </row>
    <row r="3483" spans="1:20" ht="14.5" x14ac:dyDescent="0.35">
      <c r="A3483" s="10" t="s">
        <v>21177</v>
      </c>
      <c r="B3483" s="10" t="str">
        <f>"9781936137220"</f>
        <v>9781936137220</v>
      </c>
      <c r="C3483" s="10" t="str">
        <f>"9781936959952"</f>
        <v>9781936959952</v>
      </c>
      <c r="D3483" s="10" t="s">
        <v>3386</v>
      </c>
      <c r="E3483" s="10" t="s">
        <v>3386</v>
      </c>
      <c r="F3483" s="10" t="s">
        <v>9597</v>
      </c>
      <c r="G3483" s="10" t="s">
        <v>6317</v>
      </c>
      <c r="H3483" s="11">
        <v>40812</v>
      </c>
      <c r="I3483" s="10">
        <v>2011</v>
      </c>
      <c r="J3483" s="10" t="s">
        <v>3386</v>
      </c>
      <c r="K3483" s="10">
        <v>253</v>
      </c>
      <c r="L3483" s="10" t="s">
        <v>21178</v>
      </c>
      <c r="M3483" s="10">
        <v>1</v>
      </c>
      <c r="N3483" s="10"/>
      <c r="O3483" s="10"/>
      <c r="P3483" s="10" t="s">
        <v>21179</v>
      </c>
      <c r="Q3483" s="10">
        <v>372.35</v>
      </c>
      <c r="R3483" s="10" t="s">
        <v>21180</v>
      </c>
      <c r="S3483" s="10" t="s">
        <v>53</v>
      </c>
      <c r="T3483" s="10" t="s">
        <v>9291</v>
      </c>
    </row>
    <row r="3484" spans="1:20" ht="14.5" x14ac:dyDescent="0.35">
      <c r="A3484" s="10" t="s">
        <v>21181</v>
      </c>
      <c r="B3484" s="10" t="str">
        <f>"9781935155256"</f>
        <v>9781935155256</v>
      </c>
      <c r="C3484" s="10" t="str">
        <f>"9781936959921"</f>
        <v>9781936959921</v>
      </c>
      <c r="D3484" s="10" t="s">
        <v>3386</v>
      </c>
      <c r="E3484" s="10" t="s">
        <v>3386</v>
      </c>
      <c r="F3484" s="10" t="s">
        <v>9597</v>
      </c>
      <c r="G3484" s="10" t="s">
        <v>6317</v>
      </c>
      <c r="H3484" s="11">
        <v>40848</v>
      </c>
      <c r="I3484" s="10">
        <v>2012</v>
      </c>
      <c r="J3484" s="10" t="s">
        <v>3386</v>
      </c>
      <c r="K3484" s="10">
        <v>226</v>
      </c>
      <c r="L3484" s="10" t="s">
        <v>21182</v>
      </c>
      <c r="M3484" s="10">
        <v>1</v>
      </c>
      <c r="N3484" s="10"/>
      <c r="O3484" s="10"/>
      <c r="P3484" s="10" t="s">
        <v>21183</v>
      </c>
      <c r="Q3484" s="10">
        <v>519.5</v>
      </c>
      <c r="R3484" s="10" t="s">
        <v>21184</v>
      </c>
      <c r="S3484" s="10" t="s">
        <v>53</v>
      </c>
      <c r="T3484" s="10" t="s">
        <v>389</v>
      </c>
    </row>
    <row r="3485" spans="1:20" ht="14.5" x14ac:dyDescent="0.35">
      <c r="A3485" s="10" t="s">
        <v>21185</v>
      </c>
      <c r="B3485" s="10" t="str">
        <f>"9781936137251"</f>
        <v>9781936137251</v>
      </c>
      <c r="C3485" s="10" t="str">
        <f>"9781936959914"</f>
        <v>9781936959914</v>
      </c>
      <c r="D3485" s="10" t="s">
        <v>3386</v>
      </c>
      <c r="E3485" s="10" t="s">
        <v>3386</v>
      </c>
      <c r="F3485" s="10" t="s">
        <v>9597</v>
      </c>
      <c r="G3485" s="10" t="s">
        <v>6317</v>
      </c>
      <c r="H3485" s="11">
        <v>40875</v>
      </c>
      <c r="I3485" s="10">
        <v>2012</v>
      </c>
      <c r="J3485" s="10" t="s">
        <v>3386</v>
      </c>
      <c r="K3485" s="10">
        <v>410</v>
      </c>
      <c r="L3485" s="10" t="s">
        <v>21186</v>
      </c>
      <c r="M3485" s="10">
        <v>1</v>
      </c>
      <c r="N3485" s="10"/>
      <c r="O3485" s="10"/>
      <c r="P3485" s="10" t="s">
        <v>21187</v>
      </c>
      <c r="Q3485" s="10">
        <v>507.1</v>
      </c>
      <c r="R3485" s="10" t="s">
        <v>21188</v>
      </c>
      <c r="S3485" s="10" t="s">
        <v>53</v>
      </c>
      <c r="T3485" s="10" t="s">
        <v>7193</v>
      </c>
    </row>
    <row r="3486" spans="1:20" ht="14.5" x14ac:dyDescent="0.35">
      <c r="A3486" s="10" t="s">
        <v>21189</v>
      </c>
      <c r="B3486" s="10" t="str">
        <f>"9781936959112"</f>
        <v>9781936959112</v>
      </c>
      <c r="C3486" s="10" t="str">
        <f>"9781936959891"</f>
        <v>9781936959891</v>
      </c>
      <c r="D3486" s="10" t="s">
        <v>3386</v>
      </c>
      <c r="E3486" s="10" t="s">
        <v>3386</v>
      </c>
      <c r="F3486" s="10" t="s">
        <v>9597</v>
      </c>
      <c r="G3486" s="10" t="s">
        <v>6317</v>
      </c>
      <c r="H3486" s="11">
        <v>40967</v>
      </c>
      <c r="I3486" s="10">
        <v>2012</v>
      </c>
      <c r="J3486" s="10" t="s">
        <v>3386</v>
      </c>
      <c r="K3486" s="10">
        <v>226</v>
      </c>
      <c r="L3486" s="10" t="s">
        <v>21190</v>
      </c>
      <c r="M3486" s="10">
        <v>1</v>
      </c>
      <c r="N3486" s="10"/>
      <c r="O3486" s="10"/>
      <c r="P3486" s="10" t="s">
        <v>21191</v>
      </c>
      <c r="Q3486" s="10">
        <v>578.07600000000002</v>
      </c>
      <c r="R3486" s="10" t="s">
        <v>21192</v>
      </c>
      <c r="S3486" s="10" t="s">
        <v>53</v>
      </c>
      <c r="T3486" s="10" t="s">
        <v>13819</v>
      </c>
    </row>
    <row r="3487" spans="1:20" ht="14.5" x14ac:dyDescent="0.35">
      <c r="A3487" s="10" t="s">
        <v>21193</v>
      </c>
      <c r="B3487" s="10" t="str">
        <f>"9781936137343"</f>
        <v>9781936137343</v>
      </c>
      <c r="C3487" s="10" t="str">
        <f>"9781936959815"</f>
        <v>9781936959815</v>
      </c>
      <c r="D3487" s="10" t="s">
        <v>3386</v>
      </c>
      <c r="E3487" s="10" t="s">
        <v>3386</v>
      </c>
      <c r="F3487" s="10" t="s">
        <v>1129</v>
      </c>
      <c r="G3487" s="10" t="s">
        <v>6317</v>
      </c>
      <c r="H3487" s="11">
        <v>40969</v>
      </c>
      <c r="I3487" s="10">
        <v>2012</v>
      </c>
      <c r="J3487" s="10" t="s">
        <v>21194</v>
      </c>
      <c r="K3487" s="10">
        <v>102</v>
      </c>
      <c r="L3487" s="10" t="s">
        <v>21195</v>
      </c>
      <c r="M3487" s="10">
        <v>1</v>
      </c>
      <c r="N3487" s="10"/>
      <c r="O3487" s="10"/>
      <c r="P3487" s="10" t="s">
        <v>21196</v>
      </c>
      <c r="Q3487" s="10">
        <v>576.80759999999998</v>
      </c>
      <c r="R3487" s="10" t="s">
        <v>21197</v>
      </c>
      <c r="S3487" s="10" t="s">
        <v>53</v>
      </c>
      <c r="T3487" s="10" t="s">
        <v>12662</v>
      </c>
    </row>
    <row r="3488" spans="1:20" ht="14.5" x14ac:dyDescent="0.35">
      <c r="A3488" s="10" t="s">
        <v>21198</v>
      </c>
      <c r="B3488" s="10" t="str">
        <f>"9781936137381"</f>
        <v>9781936137381</v>
      </c>
      <c r="C3488" s="10" t="str">
        <f>"9781936959822"</f>
        <v>9781936959822</v>
      </c>
      <c r="D3488" s="10" t="s">
        <v>3386</v>
      </c>
      <c r="E3488" s="10" t="s">
        <v>3386</v>
      </c>
      <c r="F3488" s="10" t="s">
        <v>9597</v>
      </c>
      <c r="G3488" s="10" t="s">
        <v>6317</v>
      </c>
      <c r="H3488" s="11">
        <v>40983</v>
      </c>
      <c r="I3488" s="10">
        <v>2012</v>
      </c>
      <c r="J3488" s="10" t="s">
        <v>3386</v>
      </c>
      <c r="K3488" s="10">
        <v>287</v>
      </c>
      <c r="L3488" s="10" t="s">
        <v>21199</v>
      </c>
      <c r="M3488" s="10">
        <v>1</v>
      </c>
      <c r="N3488" s="10"/>
      <c r="O3488" s="10"/>
      <c r="P3488" s="10" t="s">
        <v>21200</v>
      </c>
      <c r="Q3488" s="10" t="s">
        <v>21201</v>
      </c>
      <c r="R3488" s="10" t="s">
        <v>21202</v>
      </c>
      <c r="S3488" s="10" t="s">
        <v>53</v>
      </c>
      <c r="T3488" s="10" t="s">
        <v>11285</v>
      </c>
    </row>
    <row r="3489" spans="1:20" ht="14.5" x14ac:dyDescent="0.35">
      <c r="A3489" s="10" t="s">
        <v>21203</v>
      </c>
      <c r="B3489" s="10" t="str">
        <f>"9781936137190"</f>
        <v>9781936137190</v>
      </c>
      <c r="C3489" s="10" t="str">
        <f>"9781936959792"</f>
        <v>9781936959792</v>
      </c>
      <c r="D3489" s="10" t="s">
        <v>3386</v>
      </c>
      <c r="E3489" s="10" t="s">
        <v>3386</v>
      </c>
      <c r="F3489" s="10" t="s">
        <v>9597</v>
      </c>
      <c r="G3489" s="10" t="s">
        <v>6317</v>
      </c>
      <c r="H3489" s="11">
        <v>41014</v>
      </c>
      <c r="I3489" s="10">
        <v>2012</v>
      </c>
      <c r="J3489" s="10" t="s">
        <v>3386</v>
      </c>
      <c r="K3489" s="10">
        <v>130</v>
      </c>
      <c r="L3489" s="10" t="s">
        <v>21204</v>
      </c>
      <c r="M3489" s="10">
        <v>1</v>
      </c>
      <c r="N3489" s="10"/>
      <c r="O3489" s="10"/>
      <c r="P3489" s="10"/>
      <c r="Q3489" s="10"/>
      <c r="R3489" s="10" t="s">
        <v>21205</v>
      </c>
      <c r="S3489" s="10" t="s">
        <v>53</v>
      </c>
      <c r="T3489" s="10" t="s">
        <v>21206</v>
      </c>
    </row>
    <row r="3490" spans="1:20" ht="14.5" x14ac:dyDescent="0.35">
      <c r="A3490" s="10" t="s">
        <v>21207</v>
      </c>
      <c r="B3490" s="10" t="str">
        <f>"9781936959136"</f>
        <v>9781936959136</v>
      </c>
      <c r="C3490" s="10" t="str">
        <f>"9781936959860"</f>
        <v>9781936959860</v>
      </c>
      <c r="D3490" s="10" t="s">
        <v>3386</v>
      </c>
      <c r="E3490" s="10" t="s">
        <v>3386</v>
      </c>
      <c r="F3490" s="10" t="s">
        <v>9597</v>
      </c>
      <c r="G3490" s="10" t="s">
        <v>6317</v>
      </c>
      <c r="H3490" s="11">
        <v>41014</v>
      </c>
      <c r="I3490" s="10">
        <v>2012</v>
      </c>
      <c r="J3490" s="10" t="s">
        <v>3386</v>
      </c>
      <c r="K3490" s="10">
        <v>354</v>
      </c>
      <c r="L3490" s="10" t="s">
        <v>21208</v>
      </c>
      <c r="M3490" s="10">
        <v>1</v>
      </c>
      <c r="N3490" s="10"/>
      <c r="O3490" s="10"/>
      <c r="P3490" s="10" t="s">
        <v>21209</v>
      </c>
      <c r="Q3490" s="10" t="s">
        <v>19565</v>
      </c>
      <c r="R3490" s="10" t="s">
        <v>21210</v>
      </c>
      <c r="S3490" s="10" t="s">
        <v>53</v>
      </c>
      <c r="T3490" s="10" t="s">
        <v>54</v>
      </c>
    </row>
    <row r="3491" spans="1:20" ht="14.5" x14ac:dyDescent="0.35">
      <c r="A3491" s="10" t="s">
        <v>21211</v>
      </c>
      <c r="B3491" s="10" t="str">
        <f>"9781936137299"</f>
        <v>9781936137299</v>
      </c>
      <c r="C3491" s="10" t="str">
        <f>"9781936959808"</f>
        <v>9781936959808</v>
      </c>
      <c r="D3491" s="10" t="s">
        <v>3386</v>
      </c>
      <c r="E3491" s="10" t="s">
        <v>3386</v>
      </c>
      <c r="F3491" s="10" t="s">
        <v>9597</v>
      </c>
      <c r="G3491" s="10" t="s">
        <v>6317</v>
      </c>
      <c r="H3491" s="11">
        <v>41044</v>
      </c>
      <c r="I3491" s="10">
        <v>2012</v>
      </c>
      <c r="J3491" s="10" t="s">
        <v>3386</v>
      </c>
      <c r="K3491" s="10">
        <v>202</v>
      </c>
      <c r="L3491" s="10" t="s">
        <v>21212</v>
      </c>
      <c r="M3491" s="10">
        <v>1</v>
      </c>
      <c r="N3491" s="10"/>
      <c r="O3491" s="10"/>
      <c r="P3491" s="10" t="s">
        <v>21213</v>
      </c>
      <c r="Q3491" s="10">
        <v>507.1</v>
      </c>
      <c r="R3491" s="10" t="s">
        <v>21214</v>
      </c>
      <c r="S3491" s="10" t="s">
        <v>53</v>
      </c>
      <c r="T3491" s="10" t="s">
        <v>7193</v>
      </c>
    </row>
    <row r="3492" spans="1:20" ht="14.5" x14ac:dyDescent="0.35">
      <c r="A3492" s="10" t="s">
        <v>21215</v>
      </c>
      <c r="B3492" s="10" t="str">
        <f>"9780739174623"</f>
        <v>9780739174623</v>
      </c>
      <c r="C3492" s="10" t="str">
        <f>"9780739174630"</f>
        <v>9780739174630</v>
      </c>
      <c r="D3492" s="10" t="s">
        <v>9752</v>
      </c>
      <c r="E3492" s="10" t="s">
        <v>15182</v>
      </c>
      <c r="F3492" s="10" t="s">
        <v>9754</v>
      </c>
      <c r="G3492" s="10" t="s">
        <v>6317</v>
      </c>
      <c r="H3492" s="11">
        <v>41060</v>
      </c>
      <c r="I3492" s="10">
        <v>2012</v>
      </c>
      <c r="J3492" s="10" t="s">
        <v>15182</v>
      </c>
      <c r="K3492" s="10">
        <v>275</v>
      </c>
      <c r="L3492" s="10" t="s">
        <v>21216</v>
      </c>
      <c r="M3492" s="10">
        <v>1</v>
      </c>
      <c r="N3492" s="10"/>
      <c r="O3492" s="10"/>
      <c r="P3492" s="10" t="s">
        <v>21217</v>
      </c>
      <c r="Q3492" s="10">
        <v>379.47</v>
      </c>
      <c r="R3492" s="10" t="s">
        <v>21218</v>
      </c>
      <c r="S3492" s="10" t="s">
        <v>53</v>
      </c>
      <c r="T3492" s="10" t="s">
        <v>54</v>
      </c>
    </row>
    <row r="3493" spans="1:20" ht="14.5" x14ac:dyDescent="0.35">
      <c r="A3493" s="10" t="s">
        <v>21219</v>
      </c>
      <c r="B3493" s="10" t="str">
        <f>"9781610486965"</f>
        <v>9781610486965</v>
      </c>
      <c r="C3493" s="10" t="str">
        <f>"9781610486989"</f>
        <v>9781610486989</v>
      </c>
      <c r="D3493" s="10" t="s">
        <v>9752</v>
      </c>
      <c r="E3493" s="10" t="s">
        <v>15192</v>
      </c>
      <c r="F3493" s="10" t="s">
        <v>9754</v>
      </c>
      <c r="G3493" s="10" t="s">
        <v>6317</v>
      </c>
      <c r="H3493" s="11">
        <v>41060</v>
      </c>
      <c r="I3493" s="10">
        <v>2012</v>
      </c>
      <c r="J3493" s="10" t="s">
        <v>15192</v>
      </c>
      <c r="K3493" s="10">
        <v>149</v>
      </c>
      <c r="L3493" s="10" t="s">
        <v>21220</v>
      </c>
      <c r="M3493" s="10">
        <v>1</v>
      </c>
      <c r="N3493" s="10"/>
      <c r="O3493" s="10"/>
      <c r="P3493" s="10" t="s">
        <v>21221</v>
      </c>
      <c r="Q3493" s="10" t="s">
        <v>8460</v>
      </c>
      <c r="R3493" s="10" t="s">
        <v>21222</v>
      </c>
      <c r="S3493" s="10" t="s">
        <v>53</v>
      </c>
      <c r="T3493" s="10" t="s">
        <v>54</v>
      </c>
    </row>
    <row r="3494" spans="1:20" ht="14.5" x14ac:dyDescent="0.35">
      <c r="A3494" s="10" t="s">
        <v>21223</v>
      </c>
      <c r="B3494" s="10" t="str">
        <f>"9781441114358"</f>
        <v>9781441114358</v>
      </c>
      <c r="C3494" s="10" t="str">
        <f>"9781441176714"</f>
        <v>9781441176714</v>
      </c>
      <c r="D3494" s="10" t="s">
        <v>13959</v>
      </c>
      <c r="E3494" s="10" t="s">
        <v>13960</v>
      </c>
      <c r="F3494" s="10" t="s">
        <v>139</v>
      </c>
      <c r="G3494" s="10" t="s">
        <v>6352</v>
      </c>
      <c r="H3494" s="11">
        <v>41130</v>
      </c>
      <c r="I3494" s="10">
        <v>2012</v>
      </c>
      <c r="J3494" s="10" t="s">
        <v>13961</v>
      </c>
      <c r="K3494" s="10">
        <v>214</v>
      </c>
      <c r="L3494" s="10" t="s">
        <v>16833</v>
      </c>
      <c r="M3494" s="10">
        <v>1</v>
      </c>
      <c r="N3494" s="10"/>
      <c r="O3494" s="10"/>
      <c r="P3494" s="10" t="s">
        <v>21224</v>
      </c>
      <c r="Q3494" s="10">
        <v>371.10199999999998</v>
      </c>
      <c r="R3494" s="10" t="s">
        <v>21225</v>
      </c>
      <c r="S3494" s="10" t="s">
        <v>53</v>
      </c>
      <c r="T3494" s="10" t="s">
        <v>54</v>
      </c>
    </row>
    <row r="3495" spans="1:20" ht="14.5" x14ac:dyDescent="0.35">
      <c r="A3495" s="10" t="s">
        <v>21226</v>
      </c>
      <c r="B3495" s="10" t="str">
        <f>"9781441193605"</f>
        <v>9781441193605</v>
      </c>
      <c r="C3495" s="10" t="str">
        <f>"9781441183651"</f>
        <v>9781441183651</v>
      </c>
      <c r="D3495" s="10" t="s">
        <v>13959</v>
      </c>
      <c r="E3495" s="10" t="s">
        <v>13960</v>
      </c>
      <c r="F3495" s="10" t="s">
        <v>139</v>
      </c>
      <c r="G3495" s="10" t="s">
        <v>6352</v>
      </c>
      <c r="H3495" s="11">
        <v>41130</v>
      </c>
      <c r="I3495" s="10">
        <v>2012</v>
      </c>
      <c r="J3495" s="10" t="s">
        <v>13961</v>
      </c>
      <c r="K3495" s="10">
        <v>234</v>
      </c>
      <c r="L3495" s="10" t="s">
        <v>21227</v>
      </c>
      <c r="M3495" s="10">
        <v>1</v>
      </c>
      <c r="N3495" s="10"/>
      <c r="O3495" s="10"/>
      <c r="P3495" s="10" t="s">
        <v>21228</v>
      </c>
      <c r="Q3495" s="10">
        <v>372.3</v>
      </c>
      <c r="R3495" s="10" t="s">
        <v>21229</v>
      </c>
      <c r="S3495" s="10" t="s">
        <v>53</v>
      </c>
      <c r="T3495" s="10" t="s">
        <v>6521</v>
      </c>
    </row>
    <row r="3496" spans="1:20" ht="14.5" x14ac:dyDescent="0.35">
      <c r="A3496" s="10" t="s">
        <v>21230</v>
      </c>
      <c r="B3496" s="10" t="str">
        <f>"9781849510943"</f>
        <v>9781849510943</v>
      </c>
      <c r="C3496" s="10" t="str">
        <f>"9781849510950"</f>
        <v>9781849510950</v>
      </c>
      <c r="D3496" s="10" t="s">
        <v>21162</v>
      </c>
      <c r="E3496" s="10" t="s">
        <v>21163</v>
      </c>
      <c r="F3496" s="10" t="s">
        <v>1939</v>
      </c>
      <c r="G3496" s="10" t="s">
        <v>6352</v>
      </c>
      <c r="H3496" s="11">
        <v>40368</v>
      </c>
      <c r="I3496" s="10">
        <v>2010</v>
      </c>
      <c r="J3496" s="10" t="s">
        <v>21163</v>
      </c>
      <c r="K3496" s="10">
        <v>393</v>
      </c>
      <c r="L3496" s="10" t="s">
        <v>21231</v>
      </c>
      <c r="M3496" s="10">
        <v>1</v>
      </c>
      <c r="N3496" s="10"/>
      <c r="O3496" s="10"/>
      <c r="P3496" s="10"/>
      <c r="Q3496" s="10"/>
      <c r="R3496" s="10" t="s">
        <v>21232</v>
      </c>
      <c r="S3496" s="10" t="s">
        <v>53</v>
      </c>
      <c r="T3496" s="10" t="s">
        <v>19959</v>
      </c>
    </row>
    <row r="3497" spans="1:20" ht="14.5" x14ac:dyDescent="0.35">
      <c r="A3497" s="10" t="s">
        <v>21233</v>
      </c>
      <c r="B3497" s="10" t="str">
        <f>"9781849510882"</f>
        <v>9781849510882</v>
      </c>
      <c r="C3497" s="10" t="str">
        <f>"9781849510899"</f>
        <v>9781849510899</v>
      </c>
      <c r="D3497" s="10" t="s">
        <v>21162</v>
      </c>
      <c r="E3497" s="10" t="s">
        <v>21163</v>
      </c>
      <c r="F3497" s="10" t="s">
        <v>1939</v>
      </c>
      <c r="G3497" s="10" t="s">
        <v>6352</v>
      </c>
      <c r="H3497" s="11">
        <v>40364</v>
      </c>
      <c r="I3497" s="10">
        <v>2010</v>
      </c>
      <c r="J3497" s="10" t="s">
        <v>21163</v>
      </c>
      <c r="K3497" s="10">
        <v>365</v>
      </c>
      <c r="L3497" s="10" t="s">
        <v>21234</v>
      </c>
      <c r="M3497" s="10">
        <v>1</v>
      </c>
      <c r="N3497" s="10"/>
      <c r="O3497" s="10"/>
      <c r="P3497" s="10"/>
      <c r="Q3497" s="10"/>
      <c r="R3497" s="10" t="s">
        <v>21235</v>
      </c>
      <c r="S3497" s="10" t="s">
        <v>53</v>
      </c>
      <c r="T3497" s="10" t="s">
        <v>19959</v>
      </c>
    </row>
    <row r="3498" spans="1:20" ht="14.5" x14ac:dyDescent="0.35">
      <c r="A3498" s="10" t="s">
        <v>21236</v>
      </c>
      <c r="B3498" s="10" t="str">
        <f>"9781849511001"</f>
        <v>9781849511001</v>
      </c>
      <c r="C3498" s="10" t="str">
        <f>"9781849511018"</f>
        <v>9781849511018</v>
      </c>
      <c r="D3498" s="10" t="s">
        <v>21162</v>
      </c>
      <c r="E3498" s="10" t="s">
        <v>21163</v>
      </c>
      <c r="F3498" s="10" t="s">
        <v>1939</v>
      </c>
      <c r="G3498" s="10" t="s">
        <v>6352</v>
      </c>
      <c r="H3498" s="11">
        <v>40330</v>
      </c>
      <c r="I3498" s="10">
        <v>2010</v>
      </c>
      <c r="J3498" s="10" t="s">
        <v>21163</v>
      </c>
      <c r="K3498" s="10">
        <v>286</v>
      </c>
      <c r="L3498" s="10" t="s">
        <v>21237</v>
      </c>
      <c r="M3498" s="10">
        <v>1</v>
      </c>
      <c r="N3498" s="10"/>
      <c r="O3498" s="10"/>
      <c r="P3498" s="10"/>
      <c r="Q3498" s="10"/>
      <c r="R3498" s="10" t="s">
        <v>21238</v>
      </c>
      <c r="S3498" s="10" t="s">
        <v>53</v>
      </c>
      <c r="T3498" s="10" t="s">
        <v>19990</v>
      </c>
    </row>
    <row r="3499" spans="1:20" ht="14.5" x14ac:dyDescent="0.35">
      <c r="A3499" s="10" t="s">
        <v>21239</v>
      </c>
      <c r="B3499" s="10" t="str">
        <f>""</f>
        <v/>
      </c>
      <c r="C3499" s="10" t="str">
        <f>"9781118312384"</f>
        <v>9781118312384</v>
      </c>
      <c r="D3499" s="10" t="s">
        <v>6322</v>
      </c>
      <c r="E3499" s="10" t="s">
        <v>6323</v>
      </c>
      <c r="F3499" s="10" t="s">
        <v>4423</v>
      </c>
      <c r="G3499" s="10" t="s">
        <v>6352</v>
      </c>
      <c r="H3499" s="11">
        <v>41141</v>
      </c>
      <c r="I3499" s="10">
        <v>2012</v>
      </c>
      <c r="J3499" s="10" t="s">
        <v>8436</v>
      </c>
      <c r="K3499" s="10">
        <v>232</v>
      </c>
      <c r="L3499" s="10" t="s">
        <v>21240</v>
      </c>
      <c r="M3499" s="10">
        <v>1</v>
      </c>
      <c r="N3499" s="10" t="s">
        <v>18839</v>
      </c>
      <c r="O3499" s="10"/>
      <c r="P3499" s="10"/>
      <c r="Q3499" s="10">
        <v>370.1</v>
      </c>
      <c r="R3499" s="10" t="s">
        <v>18841</v>
      </c>
      <c r="S3499" s="10" t="s">
        <v>53</v>
      </c>
      <c r="T3499" s="10" t="s">
        <v>54</v>
      </c>
    </row>
    <row r="3500" spans="1:20" ht="14.5" x14ac:dyDescent="0.35">
      <c r="A3500" s="10" t="s">
        <v>21241</v>
      </c>
      <c r="B3500" s="10" t="str">
        <f>"9781409426660"</f>
        <v>9781409426660</v>
      </c>
      <c r="C3500" s="10" t="str">
        <f>"9781409426677"</f>
        <v>9781409426677</v>
      </c>
      <c r="D3500" s="10" t="s">
        <v>6350</v>
      </c>
      <c r="E3500" s="10" t="s">
        <v>6351</v>
      </c>
      <c r="F3500" s="10" t="s">
        <v>15682</v>
      </c>
      <c r="G3500" s="10" t="s">
        <v>6352</v>
      </c>
      <c r="H3500" s="11">
        <v>41155</v>
      </c>
      <c r="I3500" s="10">
        <v>2012</v>
      </c>
      <c r="J3500" s="10" t="s">
        <v>6353</v>
      </c>
      <c r="K3500" s="10">
        <v>166</v>
      </c>
      <c r="L3500" s="10" t="s">
        <v>21242</v>
      </c>
      <c r="M3500" s="10">
        <v>1</v>
      </c>
      <c r="N3500" s="10"/>
      <c r="O3500" s="10"/>
      <c r="P3500" s="10" t="s">
        <v>21243</v>
      </c>
      <c r="Q3500" s="10" t="s">
        <v>21244</v>
      </c>
      <c r="R3500" s="10" t="s">
        <v>21245</v>
      </c>
      <c r="S3500" s="10" t="s">
        <v>53</v>
      </c>
      <c r="T3500" s="10" t="s">
        <v>10711</v>
      </c>
    </row>
    <row r="3501" spans="1:20" ht="14.5" x14ac:dyDescent="0.35">
      <c r="A3501" s="10" t="s">
        <v>21246</v>
      </c>
      <c r="B3501" s="10" t="str">
        <f>"9781849058827"</f>
        <v>9781849058827</v>
      </c>
      <c r="C3501" s="10" t="str">
        <f>"9780857005854"</f>
        <v>9780857005854</v>
      </c>
      <c r="D3501" s="10" t="s">
        <v>10516</v>
      </c>
      <c r="E3501" s="10" t="s">
        <v>10516</v>
      </c>
      <c r="F3501" s="10" t="s">
        <v>139</v>
      </c>
      <c r="G3501" s="10" t="s">
        <v>6352</v>
      </c>
      <c r="H3501" s="11">
        <v>41075</v>
      </c>
      <c r="I3501" s="10">
        <v>2012</v>
      </c>
      <c r="J3501" s="10" t="s">
        <v>10516</v>
      </c>
      <c r="K3501" s="10">
        <v>324</v>
      </c>
      <c r="L3501" s="10" t="s">
        <v>21247</v>
      </c>
      <c r="M3501" s="10">
        <v>1</v>
      </c>
      <c r="N3501" s="10"/>
      <c r="O3501" s="10"/>
      <c r="P3501" s="10" t="s">
        <v>21248</v>
      </c>
      <c r="Q3501" s="10">
        <v>344.73079100000001</v>
      </c>
      <c r="R3501" s="10"/>
      <c r="S3501" s="10" t="s">
        <v>53</v>
      </c>
      <c r="T3501" s="10" t="s">
        <v>5396</v>
      </c>
    </row>
    <row r="3502" spans="1:20" ht="14.5" x14ac:dyDescent="0.35">
      <c r="A3502" s="10" t="s">
        <v>21249</v>
      </c>
      <c r="B3502" s="10" t="str">
        <f>"9781849052764"</f>
        <v>9781849052764</v>
      </c>
      <c r="C3502" s="10" t="str">
        <f>"9780857005755"</f>
        <v>9780857005755</v>
      </c>
      <c r="D3502" s="10" t="s">
        <v>10516</v>
      </c>
      <c r="E3502" s="10" t="s">
        <v>10516</v>
      </c>
      <c r="F3502" s="10" t="s">
        <v>139</v>
      </c>
      <c r="G3502" s="10" t="s">
        <v>6352</v>
      </c>
      <c r="H3502" s="11">
        <v>41105</v>
      </c>
      <c r="I3502" s="10">
        <v>2012</v>
      </c>
      <c r="J3502" s="10" t="s">
        <v>10516</v>
      </c>
      <c r="K3502" s="10">
        <v>260</v>
      </c>
      <c r="L3502" s="10" t="s">
        <v>21250</v>
      </c>
      <c r="M3502" s="10">
        <v>1</v>
      </c>
      <c r="N3502" s="10"/>
      <c r="O3502" s="10"/>
      <c r="P3502" s="10"/>
      <c r="Q3502" s="10"/>
      <c r="R3502" s="10"/>
      <c r="S3502" s="10" t="s">
        <v>53</v>
      </c>
      <c r="T3502" s="10" t="s">
        <v>7807</v>
      </c>
    </row>
    <row r="3503" spans="1:20" ht="14.5" x14ac:dyDescent="0.35">
      <c r="A3503" s="10" t="s">
        <v>21251</v>
      </c>
      <c r="B3503" s="10" t="str">
        <f>"9781847194244"</f>
        <v>9781847194244</v>
      </c>
      <c r="C3503" s="10" t="str">
        <f>"9781847194251"</f>
        <v>9781847194251</v>
      </c>
      <c r="D3503" s="10" t="s">
        <v>21162</v>
      </c>
      <c r="E3503" s="10" t="s">
        <v>21163</v>
      </c>
      <c r="F3503" s="10" t="s">
        <v>1939</v>
      </c>
      <c r="G3503" s="10" t="s">
        <v>6352</v>
      </c>
      <c r="H3503" s="11">
        <v>40297</v>
      </c>
      <c r="I3503" s="10">
        <v>2010</v>
      </c>
      <c r="J3503" s="10" t="s">
        <v>21163</v>
      </c>
      <c r="K3503" s="10">
        <v>356</v>
      </c>
      <c r="L3503" s="10" t="s">
        <v>21252</v>
      </c>
      <c r="M3503" s="10">
        <v>1</v>
      </c>
      <c r="N3503" s="10"/>
      <c r="O3503" s="10"/>
      <c r="P3503" s="10" t="s">
        <v>21253</v>
      </c>
      <c r="Q3503" s="10"/>
      <c r="R3503" s="10" t="s">
        <v>21254</v>
      </c>
      <c r="S3503" s="10" t="s">
        <v>53</v>
      </c>
      <c r="T3503" s="10" t="s">
        <v>19959</v>
      </c>
    </row>
    <row r="3504" spans="1:20" ht="14.5" x14ac:dyDescent="0.35">
      <c r="A3504" s="10" t="s">
        <v>21255</v>
      </c>
      <c r="B3504" s="10" t="str">
        <f>"9781847199065"</f>
        <v>9781847199065</v>
      </c>
      <c r="C3504" s="10" t="str">
        <f>"9781847199072"</f>
        <v>9781847199072</v>
      </c>
      <c r="D3504" s="10" t="s">
        <v>21162</v>
      </c>
      <c r="E3504" s="10" t="s">
        <v>21163</v>
      </c>
      <c r="F3504" s="10" t="s">
        <v>1939</v>
      </c>
      <c r="G3504" s="10" t="s">
        <v>6352</v>
      </c>
      <c r="H3504" s="11">
        <v>40218</v>
      </c>
      <c r="I3504" s="10">
        <v>2010</v>
      </c>
      <c r="J3504" s="10" t="s">
        <v>21163</v>
      </c>
      <c r="K3504" s="10">
        <v>329</v>
      </c>
      <c r="L3504" s="10" t="s">
        <v>21256</v>
      </c>
      <c r="M3504" s="10">
        <v>1</v>
      </c>
      <c r="N3504" s="10"/>
      <c r="O3504" s="10"/>
      <c r="P3504" s="10"/>
      <c r="Q3504" s="10"/>
      <c r="R3504" s="10" t="s">
        <v>21257</v>
      </c>
      <c r="S3504" s="10" t="s">
        <v>53</v>
      </c>
      <c r="T3504" s="10" t="s">
        <v>19990</v>
      </c>
    </row>
    <row r="3505" spans="1:20" ht="14.5" x14ac:dyDescent="0.35">
      <c r="A3505" s="10" t="s">
        <v>21258</v>
      </c>
      <c r="B3505" s="10" t="str">
        <f>"9781849510066"</f>
        <v>9781849510066</v>
      </c>
      <c r="C3505" s="10" t="str">
        <f>"9781849510073"</f>
        <v>9781849510073</v>
      </c>
      <c r="D3505" s="10" t="s">
        <v>21162</v>
      </c>
      <c r="E3505" s="10" t="s">
        <v>21163</v>
      </c>
      <c r="F3505" s="10" t="s">
        <v>1939</v>
      </c>
      <c r="G3505" s="10" t="s">
        <v>6352</v>
      </c>
      <c r="H3505" s="11">
        <v>40198</v>
      </c>
      <c r="I3505" s="10">
        <v>2010</v>
      </c>
      <c r="J3505" s="10" t="s">
        <v>21163</v>
      </c>
      <c r="K3505" s="10">
        <v>240</v>
      </c>
      <c r="L3505" s="10" t="s">
        <v>21259</v>
      </c>
      <c r="M3505" s="10">
        <v>1</v>
      </c>
      <c r="N3505" s="10"/>
      <c r="O3505" s="10"/>
      <c r="P3505" s="10" t="s">
        <v>21260</v>
      </c>
      <c r="Q3505" s="10"/>
      <c r="R3505" s="10" t="s">
        <v>21261</v>
      </c>
      <c r="S3505" s="10" t="s">
        <v>53</v>
      </c>
      <c r="T3505" s="10" t="s">
        <v>54</v>
      </c>
    </row>
    <row r="3506" spans="1:20" ht="14.5" x14ac:dyDescent="0.35">
      <c r="A3506" s="10" t="s">
        <v>21262</v>
      </c>
      <c r="B3506" s="10" t="str">
        <f>"9781849518321"</f>
        <v>9781849518321</v>
      </c>
      <c r="C3506" s="10" t="str">
        <f>"9781849518338"</f>
        <v>9781849518338</v>
      </c>
      <c r="D3506" s="10" t="s">
        <v>21162</v>
      </c>
      <c r="E3506" s="10" t="s">
        <v>21163</v>
      </c>
      <c r="F3506" s="10" t="s">
        <v>1939</v>
      </c>
      <c r="G3506" s="10" t="s">
        <v>6352</v>
      </c>
      <c r="H3506" s="11">
        <v>41045</v>
      </c>
      <c r="I3506" s="10">
        <v>2012</v>
      </c>
      <c r="J3506" s="10" t="s">
        <v>21163</v>
      </c>
      <c r="K3506" s="10">
        <v>346</v>
      </c>
      <c r="L3506" s="10" t="s">
        <v>21263</v>
      </c>
      <c r="M3506" s="10">
        <v>1</v>
      </c>
      <c r="N3506" s="10"/>
      <c r="O3506" s="10"/>
      <c r="P3506" s="10"/>
      <c r="Q3506" s="10">
        <v>372.13339999999999</v>
      </c>
      <c r="R3506" s="10" t="s">
        <v>21264</v>
      </c>
      <c r="S3506" s="10" t="s">
        <v>53</v>
      </c>
      <c r="T3506" s="10" t="s">
        <v>54</v>
      </c>
    </row>
    <row r="3507" spans="1:20" ht="14.5" x14ac:dyDescent="0.35">
      <c r="A3507" s="10" t="s">
        <v>21265</v>
      </c>
      <c r="B3507" s="10" t="str">
        <f>"9781118271889"</f>
        <v>9781118271889</v>
      </c>
      <c r="C3507" s="10" t="str">
        <f>"9781118419625"</f>
        <v>9781118419625</v>
      </c>
      <c r="D3507" s="10" t="s">
        <v>6322</v>
      </c>
      <c r="E3507" s="10" t="s">
        <v>6323</v>
      </c>
      <c r="F3507" s="10" t="s">
        <v>4423</v>
      </c>
      <c r="G3507" s="10" t="s">
        <v>6317</v>
      </c>
      <c r="H3507" s="11">
        <v>41247</v>
      </c>
      <c r="I3507" s="10">
        <v>2013</v>
      </c>
      <c r="J3507" s="10" t="s">
        <v>6323</v>
      </c>
      <c r="K3507" s="10">
        <v>501</v>
      </c>
      <c r="L3507" s="10" t="s">
        <v>21266</v>
      </c>
      <c r="M3507" s="10">
        <v>2</v>
      </c>
      <c r="N3507" s="10" t="s">
        <v>18778</v>
      </c>
      <c r="O3507" s="10">
        <v>96</v>
      </c>
      <c r="P3507" s="10" t="s">
        <v>21267</v>
      </c>
      <c r="Q3507" s="10">
        <v>158.72</v>
      </c>
      <c r="R3507" s="10" t="s">
        <v>21268</v>
      </c>
      <c r="S3507" s="10" t="s">
        <v>53</v>
      </c>
      <c r="T3507" s="10" t="s">
        <v>483</v>
      </c>
    </row>
    <row r="3508" spans="1:20" ht="14.5" x14ac:dyDescent="0.35">
      <c r="A3508" s="10" t="s">
        <v>21269</v>
      </c>
      <c r="B3508" s="10" t="str">
        <f>"9780470940754"</f>
        <v>9780470940754</v>
      </c>
      <c r="C3508" s="10" t="str">
        <f>"9781118286371"</f>
        <v>9781118286371</v>
      </c>
      <c r="D3508" s="10" t="s">
        <v>6322</v>
      </c>
      <c r="E3508" s="10" t="s">
        <v>6323</v>
      </c>
      <c r="F3508" s="10" t="s">
        <v>4423</v>
      </c>
      <c r="G3508" s="10" t="s">
        <v>6317</v>
      </c>
      <c r="H3508" s="11">
        <v>41344</v>
      </c>
      <c r="I3508" s="10">
        <v>2011</v>
      </c>
      <c r="J3508" s="10" t="s">
        <v>6323</v>
      </c>
      <c r="K3508" s="10">
        <v>675</v>
      </c>
      <c r="L3508" s="10" t="s">
        <v>21270</v>
      </c>
      <c r="M3508" s="10">
        <v>1</v>
      </c>
      <c r="N3508" s="10"/>
      <c r="O3508" s="10"/>
      <c r="P3508" s="10"/>
      <c r="Q3508" s="10">
        <v>371.82900000000001</v>
      </c>
      <c r="R3508" s="10" t="s">
        <v>21271</v>
      </c>
      <c r="S3508" s="10" t="s">
        <v>53</v>
      </c>
      <c r="T3508" s="10" t="s">
        <v>54</v>
      </c>
    </row>
    <row r="3509" spans="1:20" ht="14.5" x14ac:dyDescent="0.35">
      <c r="A3509" s="10" t="s">
        <v>21272</v>
      </c>
      <c r="B3509" s="10" t="str">
        <f>"9781849518208"</f>
        <v>9781849518208</v>
      </c>
      <c r="C3509" s="10" t="str">
        <f>"9781849518215"</f>
        <v>9781849518215</v>
      </c>
      <c r="D3509" s="10" t="s">
        <v>21162</v>
      </c>
      <c r="E3509" s="10" t="s">
        <v>21163</v>
      </c>
      <c r="F3509" s="10" t="s">
        <v>1939</v>
      </c>
      <c r="G3509" s="10" t="s">
        <v>6352</v>
      </c>
      <c r="H3509" s="11">
        <v>41072</v>
      </c>
      <c r="I3509" s="10">
        <v>2012</v>
      </c>
      <c r="J3509" s="10" t="s">
        <v>21163</v>
      </c>
      <c r="K3509" s="10">
        <v>157</v>
      </c>
      <c r="L3509" s="10" t="s">
        <v>21273</v>
      </c>
      <c r="M3509" s="10">
        <v>1</v>
      </c>
      <c r="N3509" s="10"/>
      <c r="O3509" s="10"/>
      <c r="P3509" s="10"/>
      <c r="Q3509" s="10">
        <v>371.33467519999999</v>
      </c>
      <c r="R3509" s="10" t="s">
        <v>21274</v>
      </c>
      <c r="S3509" s="10" t="s">
        <v>53</v>
      </c>
      <c r="T3509" s="10" t="s">
        <v>54</v>
      </c>
    </row>
    <row r="3510" spans="1:20" ht="14.5" x14ac:dyDescent="0.35">
      <c r="A3510" s="10" t="s">
        <v>21275</v>
      </c>
      <c r="B3510" s="10" t="str">
        <f>"9781849513227"</f>
        <v>9781849513227</v>
      </c>
      <c r="C3510" s="10" t="str">
        <f>"9781849513234"</f>
        <v>9781849513234</v>
      </c>
      <c r="D3510" s="10" t="s">
        <v>21162</v>
      </c>
      <c r="E3510" s="10" t="s">
        <v>21163</v>
      </c>
      <c r="F3510" s="10" t="s">
        <v>1939</v>
      </c>
      <c r="G3510" s="10" t="s">
        <v>6352</v>
      </c>
      <c r="H3510" s="11">
        <v>40549</v>
      </c>
      <c r="I3510" s="10">
        <v>2011</v>
      </c>
      <c r="J3510" s="10" t="s">
        <v>21163</v>
      </c>
      <c r="K3510" s="10">
        <v>358</v>
      </c>
      <c r="L3510" s="10" t="s">
        <v>21276</v>
      </c>
      <c r="M3510" s="10">
        <v>1</v>
      </c>
      <c r="N3510" s="10"/>
      <c r="O3510" s="10"/>
      <c r="P3510" s="10"/>
      <c r="Q3510" s="10"/>
      <c r="R3510" s="10" t="s">
        <v>21277</v>
      </c>
      <c r="S3510" s="10" t="s">
        <v>53</v>
      </c>
      <c r="T3510" s="10" t="s">
        <v>19959</v>
      </c>
    </row>
    <row r="3511" spans="1:20" ht="14.5" x14ac:dyDescent="0.35">
      <c r="A3511" s="10" t="s">
        <v>21278</v>
      </c>
      <c r="B3511" s="10" t="str">
        <f>"9780761859109"</f>
        <v>9780761859109</v>
      </c>
      <c r="C3511" s="10" t="str">
        <f>"9780761859116"</f>
        <v>9780761859116</v>
      </c>
      <c r="D3511" s="10" t="s">
        <v>9752</v>
      </c>
      <c r="E3511" s="10" t="s">
        <v>17167</v>
      </c>
      <c r="F3511" s="10" t="s">
        <v>9754</v>
      </c>
      <c r="G3511" s="10" t="s">
        <v>6317</v>
      </c>
      <c r="H3511" s="11">
        <v>41053</v>
      </c>
      <c r="I3511" s="10">
        <v>2012</v>
      </c>
      <c r="J3511" s="10" t="s">
        <v>17167</v>
      </c>
      <c r="K3511" s="10">
        <v>81</v>
      </c>
      <c r="L3511" s="10" t="s">
        <v>21279</v>
      </c>
      <c r="M3511" s="10">
        <v>2</v>
      </c>
      <c r="N3511" s="10"/>
      <c r="O3511" s="10"/>
      <c r="P3511" s="10"/>
      <c r="Q3511" s="10">
        <v>370.11700000000002</v>
      </c>
      <c r="R3511" s="10" t="s">
        <v>21280</v>
      </c>
      <c r="S3511" s="10" t="s">
        <v>53</v>
      </c>
      <c r="T3511" s="10" t="s">
        <v>54</v>
      </c>
    </row>
    <row r="3512" spans="1:20" ht="14.5" x14ac:dyDescent="0.35">
      <c r="A3512" s="10" t="s">
        <v>21281</v>
      </c>
      <c r="B3512" s="10" t="str">
        <f>"9781118443972"</f>
        <v>9781118443972</v>
      </c>
      <c r="C3512" s="10" t="str">
        <f>"9781118482988"</f>
        <v>9781118482988</v>
      </c>
      <c r="D3512" s="10" t="s">
        <v>6322</v>
      </c>
      <c r="E3512" s="10" t="s">
        <v>6323</v>
      </c>
      <c r="F3512" s="10" t="s">
        <v>6339</v>
      </c>
      <c r="G3512" s="10" t="s">
        <v>6317</v>
      </c>
      <c r="H3512" s="11">
        <v>41107</v>
      </c>
      <c r="I3512" s="10">
        <v>2012</v>
      </c>
      <c r="J3512" s="10" t="s">
        <v>6324</v>
      </c>
      <c r="K3512" s="10">
        <v>117</v>
      </c>
      <c r="L3512" s="10" t="s">
        <v>21282</v>
      </c>
      <c r="M3512" s="10">
        <v>2</v>
      </c>
      <c r="N3512" s="10" t="s">
        <v>21283</v>
      </c>
      <c r="O3512" s="10">
        <v>161</v>
      </c>
      <c r="P3512" s="10" t="s">
        <v>21284</v>
      </c>
      <c r="Q3512" s="10" t="s">
        <v>21285</v>
      </c>
      <c r="R3512" s="10" t="s">
        <v>21286</v>
      </c>
      <c r="S3512" s="10" t="s">
        <v>53</v>
      </c>
      <c r="T3512" s="10" t="s">
        <v>54</v>
      </c>
    </row>
    <row r="3513" spans="1:20" ht="14.5" x14ac:dyDescent="0.35">
      <c r="A3513" s="10" t="s">
        <v>21287</v>
      </c>
      <c r="B3513" s="10" t="str">
        <f>"9781905539666"</f>
        <v>9781905539666</v>
      </c>
      <c r="C3513" s="10" t="str">
        <f>"9781907830662"</f>
        <v>9781907830662</v>
      </c>
      <c r="D3513" s="10" t="s">
        <v>21288</v>
      </c>
      <c r="E3513" s="10" t="s">
        <v>21289</v>
      </c>
      <c r="F3513" s="10" t="s">
        <v>21290</v>
      </c>
      <c r="G3513" s="10" t="s">
        <v>6352</v>
      </c>
      <c r="H3513" s="11">
        <v>40725</v>
      </c>
      <c r="I3513" s="10">
        <v>2012</v>
      </c>
      <c r="J3513" s="10" t="s">
        <v>21291</v>
      </c>
      <c r="K3513" s="10">
        <v>206</v>
      </c>
      <c r="L3513" s="10" t="s">
        <v>21292</v>
      </c>
      <c r="M3513" s="10">
        <v>1</v>
      </c>
      <c r="N3513" s="10"/>
      <c r="O3513" s="10"/>
      <c r="P3513" s="10" t="s">
        <v>21293</v>
      </c>
      <c r="Q3513" s="10">
        <v>362.38</v>
      </c>
      <c r="R3513" s="10" t="s">
        <v>21294</v>
      </c>
      <c r="S3513" s="10" t="s">
        <v>53</v>
      </c>
      <c r="T3513" s="10" t="s">
        <v>6526</v>
      </c>
    </row>
    <row r="3514" spans="1:20" ht="14.5" x14ac:dyDescent="0.35">
      <c r="A3514" s="10" t="s">
        <v>21295</v>
      </c>
      <c r="B3514" s="10" t="str">
        <f>"9781847195623"</f>
        <v>9781847195623</v>
      </c>
      <c r="C3514" s="10" t="str">
        <f>"9781847195630"</f>
        <v>9781847195630</v>
      </c>
      <c r="D3514" s="10" t="s">
        <v>21162</v>
      </c>
      <c r="E3514" s="10" t="s">
        <v>21163</v>
      </c>
      <c r="F3514" s="10" t="s">
        <v>1939</v>
      </c>
      <c r="G3514" s="10" t="s">
        <v>6352</v>
      </c>
      <c r="H3514" s="11">
        <v>39721</v>
      </c>
      <c r="I3514" s="10">
        <v>2008</v>
      </c>
      <c r="J3514" s="10" t="s">
        <v>21163</v>
      </c>
      <c r="K3514" s="10">
        <v>417</v>
      </c>
      <c r="L3514" s="10" t="s">
        <v>21296</v>
      </c>
      <c r="M3514" s="10">
        <v>1</v>
      </c>
      <c r="N3514" s="10"/>
      <c r="O3514" s="10"/>
      <c r="P3514" s="10"/>
      <c r="Q3514" s="10"/>
      <c r="R3514" s="10"/>
      <c r="S3514" s="10" t="s">
        <v>53</v>
      </c>
      <c r="T3514" s="10" t="s">
        <v>19959</v>
      </c>
    </row>
    <row r="3515" spans="1:20" ht="14.5" x14ac:dyDescent="0.35">
      <c r="A3515" s="10" t="s">
        <v>21297</v>
      </c>
      <c r="B3515" s="10" t="str">
        <f>"9781849510141"</f>
        <v>9781849510141</v>
      </c>
      <c r="C3515" s="10" t="str">
        <f>"9781849510158"</f>
        <v>9781849510158</v>
      </c>
      <c r="D3515" s="10" t="s">
        <v>21162</v>
      </c>
      <c r="E3515" s="10" t="s">
        <v>21163</v>
      </c>
      <c r="F3515" s="10" t="s">
        <v>1939</v>
      </c>
      <c r="G3515" s="10" t="s">
        <v>6352</v>
      </c>
      <c r="H3515" s="11">
        <v>40294</v>
      </c>
      <c r="I3515" s="10">
        <v>2010</v>
      </c>
      <c r="J3515" s="10" t="s">
        <v>21163</v>
      </c>
      <c r="K3515" s="10">
        <v>380</v>
      </c>
      <c r="L3515" s="10" t="s">
        <v>21298</v>
      </c>
      <c r="M3515" s="10">
        <v>1</v>
      </c>
      <c r="N3515" s="10"/>
      <c r="O3515" s="10"/>
      <c r="P3515" s="10" t="s">
        <v>21299</v>
      </c>
      <c r="Q3515" s="10"/>
      <c r="R3515" s="10" t="s">
        <v>21300</v>
      </c>
      <c r="S3515" s="10" t="s">
        <v>53</v>
      </c>
      <c r="T3515" s="10" t="s">
        <v>54</v>
      </c>
    </row>
    <row r="3516" spans="1:20" ht="14.5" x14ac:dyDescent="0.35">
      <c r="A3516" s="10" t="s">
        <v>21301</v>
      </c>
      <c r="B3516" s="10" t="str">
        <f>"9781847195029"</f>
        <v>9781847195029</v>
      </c>
      <c r="C3516" s="10" t="str">
        <f>"9781847195036"</f>
        <v>9781847195036</v>
      </c>
      <c r="D3516" s="10" t="s">
        <v>21162</v>
      </c>
      <c r="E3516" s="10" t="s">
        <v>21163</v>
      </c>
      <c r="F3516" s="10" t="s">
        <v>1939</v>
      </c>
      <c r="G3516" s="10" t="s">
        <v>6352</v>
      </c>
      <c r="H3516" s="11">
        <v>39780</v>
      </c>
      <c r="I3516" s="10">
        <v>2008</v>
      </c>
      <c r="J3516" s="10" t="s">
        <v>21163</v>
      </c>
      <c r="K3516" s="10">
        <v>480</v>
      </c>
      <c r="L3516" s="10" t="s">
        <v>21302</v>
      </c>
      <c r="M3516" s="10">
        <v>1</v>
      </c>
      <c r="N3516" s="10"/>
      <c r="O3516" s="10"/>
      <c r="P3516" s="10" t="s">
        <v>21303</v>
      </c>
      <c r="Q3516" s="10">
        <v>371.334</v>
      </c>
      <c r="R3516" s="10"/>
      <c r="S3516" s="10" t="s">
        <v>53</v>
      </c>
      <c r="T3516" s="10" t="s">
        <v>21304</v>
      </c>
    </row>
    <row r="3517" spans="1:20" ht="14.5" x14ac:dyDescent="0.35">
      <c r="A3517" s="10" t="s">
        <v>21305</v>
      </c>
      <c r="B3517" s="10" t="str">
        <f>"9781849512343"</f>
        <v>9781849512343</v>
      </c>
      <c r="C3517" s="10" t="str">
        <f>"9781849512350"</f>
        <v>9781849512350</v>
      </c>
      <c r="D3517" s="10" t="s">
        <v>21162</v>
      </c>
      <c r="E3517" s="10" t="s">
        <v>21163</v>
      </c>
      <c r="F3517" s="10" t="s">
        <v>1939</v>
      </c>
      <c r="G3517" s="10" t="s">
        <v>6352</v>
      </c>
      <c r="H3517" s="11">
        <v>40527</v>
      </c>
      <c r="I3517" s="10">
        <v>2010</v>
      </c>
      <c r="J3517" s="10" t="s">
        <v>21163</v>
      </c>
      <c r="K3517" s="10">
        <v>432</v>
      </c>
      <c r="L3517" s="10" t="s">
        <v>21306</v>
      </c>
      <c r="M3517" s="10">
        <v>1</v>
      </c>
      <c r="N3517" s="10"/>
      <c r="O3517" s="10"/>
      <c r="P3517" s="10"/>
      <c r="Q3517" s="10"/>
      <c r="R3517" s="10" t="s">
        <v>21307</v>
      </c>
      <c r="S3517" s="10" t="s">
        <v>53</v>
      </c>
      <c r="T3517" s="10" t="s">
        <v>19959</v>
      </c>
    </row>
    <row r="3518" spans="1:20" ht="14.5" x14ac:dyDescent="0.35">
      <c r="A3518" s="10" t="s">
        <v>21308</v>
      </c>
      <c r="B3518" s="10" t="str">
        <f>"9781847196248"</f>
        <v>9781847196248</v>
      </c>
      <c r="C3518" s="10" t="str">
        <f>"9781847196255"</f>
        <v>9781847196255</v>
      </c>
      <c r="D3518" s="10" t="s">
        <v>21162</v>
      </c>
      <c r="E3518" s="10" t="s">
        <v>21163</v>
      </c>
      <c r="F3518" s="10" t="s">
        <v>1939</v>
      </c>
      <c r="G3518" s="10" t="s">
        <v>6352</v>
      </c>
      <c r="H3518" s="11">
        <v>40106</v>
      </c>
      <c r="I3518" s="10">
        <v>2009</v>
      </c>
      <c r="J3518" s="10" t="s">
        <v>21163</v>
      </c>
      <c r="K3518" s="10">
        <v>616</v>
      </c>
      <c r="L3518" s="10" t="s">
        <v>21309</v>
      </c>
      <c r="M3518" s="10">
        <v>1</v>
      </c>
      <c r="N3518" s="10"/>
      <c r="O3518" s="10"/>
      <c r="P3518" s="10" t="s">
        <v>21310</v>
      </c>
      <c r="Q3518" s="10"/>
      <c r="R3518" s="10"/>
      <c r="S3518" s="10" t="s">
        <v>53</v>
      </c>
      <c r="T3518" s="10" t="s">
        <v>54</v>
      </c>
    </row>
    <row r="3519" spans="1:20" ht="14.5" x14ac:dyDescent="0.35">
      <c r="A3519" s="10" t="s">
        <v>21311</v>
      </c>
      <c r="B3519" s="10" t="str">
        <f>"9781849511940"</f>
        <v>9781849511940</v>
      </c>
      <c r="C3519" s="10" t="str">
        <f>"9781849511957"</f>
        <v>9781849511957</v>
      </c>
      <c r="D3519" s="10" t="s">
        <v>21162</v>
      </c>
      <c r="E3519" s="10" t="s">
        <v>21163</v>
      </c>
      <c r="F3519" s="10" t="s">
        <v>1939</v>
      </c>
      <c r="G3519" s="10" t="s">
        <v>6352</v>
      </c>
      <c r="H3519" s="11">
        <v>40445</v>
      </c>
      <c r="I3519" s="10">
        <v>2010</v>
      </c>
      <c r="J3519" s="10" t="s">
        <v>21163</v>
      </c>
      <c r="K3519" s="10">
        <v>322</v>
      </c>
      <c r="L3519" s="10" t="s">
        <v>21312</v>
      </c>
      <c r="M3519" s="10">
        <v>1</v>
      </c>
      <c r="N3519" s="10"/>
      <c r="O3519" s="10"/>
      <c r="P3519" s="10"/>
      <c r="Q3519" s="10"/>
      <c r="R3519" s="10" t="s">
        <v>21313</v>
      </c>
      <c r="S3519" s="10" t="s">
        <v>53</v>
      </c>
      <c r="T3519" s="10" t="s">
        <v>19959</v>
      </c>
    </row>
    <row r="3520" spans="1:20" ht="14.5" x14ac:dyDescent="0.35">
      <c r="A3520" s="10" t="s">
        <v>21314</v>
      </c>
      <c r="B3520" s="10" t="str">
        <f>"9780857454607"</f>
        <v>9780857454607</v>
      </c>
      <c r="C3520" s="10" t="str">
        <f>"9780857454614"</f>
        <v>9780857454614</v>
      </c>
      <c r="D3520" s="10" t="s">
        <v>21315</v>
      </c>
      <c r="E3520" s="10" t="s">
        <v>21316</v>
      </c>
      <c r="F3520" s="10" t="s">
        <v>13068</v>
      </c>
      <c r="G3520" s="10" t="s">
        <v>6317</v>
      </c>
      <c r="H3520" s="11">
        <v>41061</v>
      </c>
      <c r="I3520" s="10">
        <v>2012</v>
      </c>
      <c r="J3520" s="10" t="s">
        <v>21316</v>
      </c>
      <c r="K3520" s="10">
        <v>285</v>
      </c>
      <c r="L3520" s="10" t="s">
        <v>21317</v>
      </c>
      <c r="M3520" s="10">
        <v>1</v>
      </c>
      <c r="N3520" s="10"/>
      <c r="O3520" s="10"/>
      <c r="P3520" s="10" t="s">
        <v>21318</v>
      </c>
      <c r="Q3520" s="10"/>
      <c r="R3520" s="10" t="s">
        <v>21319</v>
      </c>
      <c r="S3520" s="10" t="s">
        <v>53</v>
      </c>
      <c r="T3520" s="10" t="s">
        <v>54</v>
      </c>
    </row>
    <row r="3521" spans="1:20" ht="14.5" x14ac:dyDescent="0.35">
      <c r="A3521" s="10" t="s">
        <v>21320</v>
      </c>
      <c r="B3521" s="10" t="str">
        <f>"9781849512169"</f>
        <v>9781849512169</v>
      </c>
      <c r="C3521" s="10" t="str">
        <f>"9781849512176"</f>
        <v>9781849512176</v>
      </c>
      <c r="D3521" s="10" t="s">
        <v>21162</v>
      </c>
      <c r="E3521" s="10" t="s">
        <v>21163</v>
      </c>
      <c r="F3521" s="10" t="s">
        <v>1939</v>
      </c>
      <c r="G3521" s="10" t="s">
        <v>6352</v>
      </c>
      <c r="H3521" s="11">
        <v>40487</v>
      </c>
      <c r="I3521" s="10">
        <v>2010</v>
      </c>
      <c r="J3521" s="10" t="s">
        <v>21163</v>
      </c>
      <c r="K3521" s="10">
        <v>368</v>
      </c>
      <c r="L3521" s="10" t="s">
        <v>21321</v>
      </c>
      <c r="M3521" s="10">
        <v>1</v>
      </c>
      <c r="N3521" s="10"/>
      <c r="O3521" s="10"/>
      <c r="P3521" s="10"/>
      <c r="Q3521" s="10"/>
      <c r="R3521" s="10" t="s">
        <v>21322</v>
      </c>
      <c r="S3521" s="10" t="s">
        <v>53</v>
      </c>
      <c r="T3521" s="10" t="s">
        <v>19959</v>
      </c>
    </row>
    <row r="3522" spans="1:20" ht="14.5" x14ac:dyDescent="0.35">
      <c r="A3522" s="10" t="s">
        <v>21323</v>
      </c>
      <c r="B3522" s="10" t="str">
        <f>"9781849680165"</f>
        <v>9781849680165</v>
      </c>
      <c r="C3522" s="10" t="str">
        <f>"9781849680172"</f>
        <v>9781849680172</v>
      </c>
      <c r="D3522" s="10" t="s">
        <v>21162</v>
      </c>
      <c r="E3522" s="10" t="s">
        <v>21163</v>
      </c>
      <c r="F3522" s="10" t="s">
        <v>1939</v>
      </c>
      <c r="G3522" s="10" t="s">
        <v>6352</v>
      </c>
      <c r="H3522" s="11">
        <v>40085</v>
      </c>
      <c r="I3522" s="10">
        <v>2009</v>
      </c>
      <c r="J3522" s="10" t="s">
        <v>21163</v>
      </c>
      <c r="K3522" s="10">
        <v>551</v>
      </c>
      <c r="L3522" s="10" t="s">
        <v>21324</v>
      </c>
      <c r="M3522" s="10">
        <v>1</v>
      </c>
      <c r="N3522" s="10"/>
      <c r="O3522" s="10"/>
      <c r="P3522" s="10" t="s">
        <v>21325</v>
      </c>
      <c r="Q3522" s="10"/>
      <c r="R3522" s="10"/>
      <c r="S3522" s="10" t="s">
        <v>53</v>
      </c>
      <c r="T3522" s="10" t="s">
        <v>19959</v>
      </c>
    </row>
    <row r="3523" spans="1:20" ht="14.5" x14ac:dyDescent="0.35">
      <c r="A3523" s="10" t="s">
        <v>21326</v>
      </c>
      <c r="B3523" s="10" t="str">
        <f>"9781416614210"</f>
        <v>9781416614210</v>
      </c>
      <c r="C3523" s="10" t="str">
        <f>"9781416614777"</f>
        <v>9781416614777</v>
      </c>
      <c r="D3523" s="10" t="s">
        <v>10014</v>
      </c>
      <c r="E3523" s="10" t="s">
        <v>10015</v>
      </c>
      <c r="F3523" s="10" t="s">
        <v>201</v>
      </c>
      <c r="G3523" s="10" t="s">
        <v>6317</v>
      </c>
      <c r="H3523" s="11">
        <v>41120</v>
      </c>
      <c r="I3523" s="10">
        <v>2012</v>
      </c>
      <c r="J3523" s="10" t="s">
        <v>10015</v>
      </c>
      <c r="K3523" s="10">
        <v>271</v>
      </c>
      <c r="L3523" s="10" t="s">
        <v>21327</v>
      </c>
      <c r="M3523" s="10">
        <v>3</v>
      </c>
      <c r="N3523" s="10"/>
      <c r="O3523" s="10"/>
      <c r="P3523" s="10" t="s">
        <v>21328</v>
      </c>
      <c r="Q3523" s="10" t="s">
        <v>17158</v>
      </c>
      <c r="R3523" s="10" t="s">
        <v>21329</v>
      </c>
      <c r="S3523" s="10" t="s">
        <v>53</v>
      </c>
      <c r="T3523" s="10" t="s">
        <v>6634</v>
      </c>
    </row>
    <row r="3524" spans="1:20" ht="14.5" x14ac:dyDescent="0.35">
      <c r="A3524" s="10" t="s">
        <v>21330</v>
      </c>
      <c r="B3524" s="10" t="str">
        <f>"9781416614418"</f>
        <v>9781416614418</v>
      </c>
      <c r="C3524" s="10" t="str">
        <f>"9781416614807"</f>
        <v>9781416614807</v>
      </c>
      <c r="D3524" s="10" t="s">
        <v>10014</v>
      </c>
      <c r="E3524" s="10" t="s">
        <v>10015</v>
      </c>
      <c r="F3524" s="10" t="s">
        <v>201</v>
      </c>
      <c r="G3524" s="10" t="s">
        <v>6317</v>
      </c>
      <c r="H3524" s="11">
        <v>41120</v>
      </c>
      <c r="I3524" s="10">
        <v>2012</v>
      </c>
      <c r="J3524" s="10" t="s">
        <v>10015</v>
      </c>
      <c r="K3524" s="10">
        <v>232</v>
      </c>
      <c r="L3524" s="10" t="s">
        <v>21331</v>
      </c>
      <c r="M3524" s="10">
        <v>1</v>
      </c>
      <c r="N3524" s="10"/>
      <c r="O3524" s="10"/>
      <c r="P3524" s="10" t="s">
        <v>21332</v>
      </c>
      <c r="Q3524" s="10">
        <v>371.30279999999999</v>
      </c>
      <c r="R3524" s="10" t="s">
        <v>21333</v>
      </c>
      <c r="S3524" s="10" t="s">
        <v>53</v>
      </c>
      <c r="T3524" s="10" t="s">
        <v>54</v>
      </c>
    </row>
    <row r="3525" spans="1:20" ht="14.5" x14ac:dyDescent="0.35">
      <c r="A3525" s="10" t="s">
        <v>21334</v>
      </c>
      <c r="B3525" s="10" t="str">
        <f>"9780335246243"</f>
        <v>9780335246243</v>
      </c>
      <c r="C3525" s="10" t="str">
        <f>"9780335246250"</f>
        <v>9780335246250</v>
      </c>
      <c r="D3525" s="10" t="s">
        <v>10342</v>
      </c>
      <c r="E3525" s="10" t="s">
        <v>10343</v>
      </c>
      <c r="F3525" s="10" t="s">
        <v>10344</v>
      </c>
      <c r="G3525" s="10" t="s">
        <v>6352</v>
      </c>
      <c r="H3525" s="11">
        <v>41091</v>
      </c>
      <c r="I3525" s="10">
        <v>2012</v>
      </c>
      <c r="J3525" s="10" t="s">
        <v>10345</v>
      </c>
      <c r="K3525" s="10">
        <v>170</v>
      </c>
      <c r="L3525" s="10" t="s">
        <v>21335</v>
      </c>
      <c r="M3525" s="10">
        <v>1</v>
      </c>
      <c r="N3525" s="10" t="s">
        <v>10347</v>
      </c>
      <c r="O3525" s="10"/>
      <c r="P3525" s="10" t="s">
        <v>21336</v>
      </c>
      <c r="Q3525" s="10"/>
      <c r="R3525" s="10"/>
      <c r="S3525" s="10" t="s">
        <v>53</v>
      </c>
      <c r="T3525" s="10" t="s">
        <v>54</v>
      </c>
    </row>
    <row r="3526" spans="1:20" ht="14.5" x14ac:dyDescent="0.35">
      <c r="A3526" s="10" t="s">
        <v>21337</v>
      </c>
      <c r="B3526" s="10" t="str">
        <f>"9780335242306"</f>
        <v>9780335242306</v>
      </c>
      <c r="C3526" s="10" t="str">
        <f>"9780335242313"</f>
        <v>9780335242313</v>
      </c>
      <c r="D3526" s="10" t="s">
        <v>10342</v>
      </c>
      <c r="E3526" s="10" t="s">
        <v>10343</v>
      </c>
      <c r="F3526" s="10" t="s">
        <v>10344</v>
      </c>
      <c r="G3526" s="10" t="s">
        <v>6352</v>
      </c>
      <c r="H3526" s="11">
        <v>41061</v>
      </c>
      <c r="I3526" s="10">
        <v>2012</v>
      </c>
      <c r="J3526" s="10" t="s">
        <v>10345</v>
      </c>
      <c r="K3526" s="10">
        <v>178</v>
      </c>
      <c r="L3526" s="10" t="s">
        <v>21338</v>
      </c>
      <c r="M3526" s="10">
        <v>1</v>
      </c>
      <c r="N3526" s="10" t="s">
        <v>10347</v>
      </c>
      <c r="O3526" s="10"/>
      <c r="P3526" s="10" t="s">
        <v>21339</v>
      </c>
      <c r="Q3526" s="10">
        <v>372.21</v>
      </c>
      <c r="R3526" s="10" t="s">
        <v>21340</v>
      </c>
      <c r="S3526" s="10" t="s">
        <v>53</v>
      </c>
      <c r="T3526" s="10" t="s">
        <v>54</v>
      </c>
    </row>
    <row r="3527" spans="1:20" ht="14.5" x14ac:dyDescent="0.35">
      <c r="A3527" s="10" t="s">
        <v>21341</v>
      </c>
      <c r="B3527" s="10" t="str">
        <f>"9780230338258"</f>
        <v>9780230338258</v>
      </c>
      <c r="C3527" s="10" t="str">
        <f>"9781137013125"</f>
        <v>9781137013125</v>
      </c>
      <c r="D3527" s="10" t="s">
        <v>11249</v>
      </c>
      <c r="E3527" s="10" t="s">
        <v>2400</v>
      </c>
      <c r="F3527" s="10" t="s">
        <v>70</v>
      </c>
      <c r="G3527" s="10" t="s">
        <v>6317</v>
      </c>
      <c r="H3527" s="11">
        <v>41023</v>
      </c>
      <c r="I3527" s="10">
        <v>2012</v>
      </c>
      <c r="J3527" s="10" t="s">
        <v>2400</v>
      </c>
      <c r="K3527" s="10">
        <v>280</v>
      </c>
      <c r="L3527" s="10" t="s">
        <v>21342</v>
      </c>
      <c r="M3527" s="10">
        <v>1</v>
      </c>
      <c r="N3527" s="10" t="s">
        <v>17721</v>
      </c>
      <c r="O3527" s="10"/>
      <c r="P3527" s="10" t="s">
        <v>17110</v>
      </c>
      <c r="Q3527" s="10"/>
      <c r="R3527" s="10" t="s">
        <v>54</v>
      </c>
      <c r="S3527" s="10" t="s">
        <v>53</v>
      </c>
      <c r="T3527" s="10" t="s">
        <v>54</v>
      </c>
    </row>
    <row r="3528" spans="1:20" ht="14.5" x14ac:dyDescent="0.35">
      <c r="A3528" s="10" t="s">
        <v>21343</v>
      </c>
      <c r="B3528" s="10" t="str">
        <f>"9780230340510"</f>
        <v>9780230340510</v>
      </c>
      <c r="C3528" s="10" t="str">
        <f>"9781137016447"</f>
        <v>9781137016447</v>
      </c>
      <c r="D3528" s="10" t="s">
        <v>11249</v>
      </c>
      <c r="E3528" s="10" t="s">
        <v>2400</v>
      </c>
      <c r="F3528" s="10" t="s">
        <v>70</v>
      </c>
      <c r="G3528" s="10" t="s">
        <v>6317</v>
      </c>
      <c r="H3528" s="11">
        <v>41023</v>
      </c>
      <c r="I3528" s="10">
        <v>2012</v>
      </c>
      <c r="J3528" s="10" t="s">
        <v>2400</v>
      </c>
      <c r="K3528" s="10">
        <v>257</v>
      </c>
      <c r="L3528" s="10" t="s">
        <v>21344</v>
      </c>
      <c r="M3528" s="10">
        <v>1</v>
      </c>
      <c r="N3528" s="10" t="s">
        <v>17721</v>
      </c>
      <c r="O3528" s="10"/>
      <c r="P3528" s="10" t="s">
        <v>11263</v>
      </c>
      <c r="Q3528" s="10"/>
      <c r="R3528" s="10" t="s">
        <v>19099</v>
      </c>
      <c r="S3528" s="10" t="s">
        <v>53</v>
      </c>
      <c r="T3528" s="10" t="s">
        <v>54</v>
      </c>
    </row>
    <row r="3529" spans="1:20" ht="14.5" x14ac:dyDescent="0.35">
      <c r="A3529" s="10" t="s">
        <v>21345</v>
      </c>
      <c r="B3529" s="10" t="str">
        <f>"9780415807401"</f>
        <v>9780415807401</v>
      </c>
      <c r="C3529" s="10" t="str">
        <f>"9780203136362"</f>
        <v>9780203136362</v>
      </c>
      <c r="D3529" s="10" t="s">
        <v>6350</v>
      </c>
      <c r="E3529" s="10" t="s">
        <v>6351</v>
      </c>
      <c r="F3529" s="10" t="s">
        <v>748</v>
      </c>
      <c r="G3529" s="10" t="s">
        <v>6352</v>
      </c>
      <c r="H3529" s="11">
        <v>40954</v>
      </c>
      <c r="I3529" s="10">
        <v>2012</v>
      </c>
      <c r="J3529" s="10" t="s">
        <v>6351</v>
      </c>
      <c r="K3529" s="10">
        <v>783</v>
      </c>
      <c r="L3529" s="10" t="s">
        <v>21346</v>
      </c>
      <c r="M3529" s="10">
        <v>2</v>
      </c>
      <c r="N3529" s="10"/>
      <c r="O3529" s="10"/>
      <c r="P3529" s="10" t="s">
        <v>21347</v>
      </c>
      <c r="Q3529" s="10" t="s">
        <v>21348</v>
      </c>
      <c r="R3529" s="10" t="s">
        <v>21349</v>
      </c>
      <c r="S3529" s="10" t="s">
        <v>53</v>
      </c>
      <c r="T3529" s="10" t="s">
        <v>54</v>
      </c>
    </row>
    <row r="3530" spans="1:20" ht="14.5" x14ac:dyDescent="0.35">
      <c r="A3530" s="10" t="s">
        <v>21350</v>
      </c>
      <c r="B3530" s="10" t="str">
        <f>"9780415577007"</f>
        <v>9780415577007</v>
      </c>
      <c r="C3530" s="10" t="str">
        <f>"9780203817551"</f>
        <v>9780203817551</v>
      </c>
      <c r="D3530" s="10" t="s">
        <v>6350</v>
      </c>
      <c r="E3530" s="10" t="s">
        <v>6351</v>
      </c>
      <c r="F3530" s="10" t="s">
        <v>5406</v>
      </c>
      <c r="G3530" s="10" t="s">
        <v>6317</v>
      </c>
      <c r="H3530" s="11">
        <v>41008</v>
      </c>
      <c r="I3530" s="10">
        <v>2012</v>
      </c>
      <c r="J3530" s="10" t="s">
        <v>6353</v>
      </c>
      <c r="K3530" s="10">
        <v>217</v>
      </c>
      <c r="L3530" s="10" t="s">
        <v>21351</v>
      </c>
      <c r="M3530" s="10">
        <v>1</v>
      </c>
      <c r="N3530" s="10" t="s">
        <v>21352</v>
      </c>
      <c r="O3530" s="10"/>
      <c r="P3530" s="10" t="s">
        <v>21353</v>
      </c>
      <c r="Q3530" s="10">
        <v>370.71100000000001</v>
      </c>
      <c r="R3530" s="10" t="s">
        <v>21354</v>
      </c>
      <c r="S3530" s="10" t="s">
        <v>53</v>
      </c>
      <c r="T3530" s="10" t="s">
        <v>54</v>
      </c>
    </row>
    <row r="3531" spans="1:20" ht="14.5" x14ac:dyDescent="0.35">
      <c r="A3531" s="10" t="s">
        <v>21355</v>
      </c>
      <c r="B3531" s="10" t="str">
        <f>"9780415886390"</f>
        <v>9780415886390</v>
      </c>
      <c r="C3531" s="10" t="str">
        <f>"9780203836378"</f>
        <v>9780203836378</v>
      </c>
      <c r="D3531" s="10" t="s">
        <v>6350</v>
      </c>
      <c r="E3531" s="10" t="s">
        <v>6351</v>
      </c>
      <c r="F3531" s="10" t="s">
        <v>5406</v>
      </c>
      <c r="G3531" s="10" t="s">
        <v>6317</v>
      </c>
      <c r="H3531" s="11">
        <v>40976</v>
      </c>
      <c r="I3531" s="10">
        <v>2012</v>
      </c>
      <c r="J3531" s="10" t="s">
        <v>6353</v>
      </c>
      <c r="K3531" s="10">
        <v>241</v>
      </c>
      <c r="L3531" s="10" t="s">
        <v>21356</v>
      </c>
      <c r="M3531" s="10">
        <v>1</v>
      </c>
      <c r="N3531" s="10" t="s">
        <v>21357</v>
      </c>
      <c r="O3531" s="10"/>
      <c r="P3531" s="10" t="s">
        <v>21358</v>
      </c>
      <c r="Q3531" s="10">
        <v>371.39699999999999</v>
      </c>
      <c r="R3531" s="10" t="s">
        <v>21359</v>
      </c>
      <c r="S3531" s="10" t="s">
        <v>53</v>
      </c>
      <c r="T3531" s="10" t="s">
        <v>54</v>
      </c>
    </row>
    <row r="3532" spans="1:20" ht="14.5" x14ac:dyDescent="0.35">
      <c r="A3532" s="10" t="s">
        <v>21360</v>
      </c>
      <c r="B3532" s="10" t="str">
        <f>"9780415667548"</f>
        <v>9780415667548</v>
      </c>
      <c r="C3532" s="10" t="str">
        <f>"9780203816905"</f>
        <v>9780203816905</v>
      </c>
      <c r="D3532" s="10" t="s">
        <v>6350</v>
      </c>
      <c r="E3532" s="10" t="s">
        <v>6351</v>
      </c>
      <c r="F3532" s="10" t="s">
        <v>5406</v>
      </c>
      <c r="G3532" s="10" t="s">
        <v>6317</v>
      </c>
      <c r="H3532" s="11">
        <v>41033</v>
      </c>
      <c r="I3532" s="10">
        <v>2012</v>
      </c>
      <c r="J3532" s="10" t="s">
        <v>6353</v>
      </c>
      <c r="K3532" s="10">
        <v>281</v>
      </c>
      <c r="L3532" s="10" t="s">
        <v>21361</v>
      </c>
      <c r="M3532" s="10">
        <v>1</v>
      </c>
      <c r="N3532" s="10" t="s">
        <v>7881</v>
      </c>
      <c r="O3532" s="10"/>
      <c r="P3532" s="10" t="s">
        <v>21362</v>
      </c>
      <c r="Q3532" s="10">
        <v>378.125</v>
      </c>
      <c r="R3532" s="10" t="s">
        <v>21354</v>
      </c>
      <c r="S3532" s="10" t="s">
        <v>53</v>
      </c>
      <c r="T3532" s="10" t="s">
        <v>54</v>
      </c>
    </row>
    <row r="3533" spans="1:20" ht="14.5" x14ac:dyDescent="0.35">
      <c r="A3533" s="10" t="s">
        <v>21363</v>
      </c>
      <c r="B3533" s="10" t="str">
        <f>"9780415897488"</f>
        <v>9780415897488</v>
      </c>
      <c r="C3533" s="10" t="str">
        <f>"9780203804032"</f>
        <v>9780203804032</v>
      </c>
      <c r="D3533" s="10" t="s">
        <v>6350</v>
      </c>
      <c r="E3533" s="10" t="s">
        <v>6351</v>
      </c>
      <c r="F3533" s="10" t="s">
        <v>748</v>
      </c>
      <c r="G3533" s="10" t="s">
        <v>6352</v>
      </c>
      <c r="H3533" s="11">
        <v>41002</v>
      </c>
      <c r="I3533" s="10">
        <v>2012</v>
      </c>
      <c r="J3533" s="10" t="s">
        <v>6351</v>
      </c>
      <c r="K3533" s="10">
        <v>172</v>
      </c>
      <c r="L3533" s="10" t="s">
        <v>21364</v>
      </c>
      <c r="M3533" s="10">
        <v>1</v>
      </c>
      <c r="N3533" s="10"/>
      <c r="O3533" s="10"/>
      <c r="P3533" s="10" t="s">
        <v>21365</v>
      </c>
      <c r="Q3533" s="10" t="s">
        <v>21366</v>
      </c>
      <c r="R3533" s="10" t="s">
        <v>21367</v>
      </c>
      <c r="S3533" s="10" t="s">
        <v>53</v>
      </c>
      <c r="T3533" s="10" t="s">
        <v>6568</v>
      </c>
    </row>
    <row r="3534" spans="1:20" ht="14.5" x14ac:dyDescent="0.35">
      <c r="A3534" s="10" t="s">
        <v>21368</v>
      </c>
      <c r="B3534" s="10" t="str">
        <f>"9780415803854"</f>
        <v>9780415803854</v>
      </c>
      <c r="C3534" s="10" t="str">
        <f>"9780203125083"</f>
        <v>9780203125083</v>
      </c>
      <c r="D3534" s="10" t="s">
        <v>6350</v>
      </c>
      <c r="E3534" s="10" t="s">
        <v>6351</v>
      </c>
      <c r="F3534" s="10" t="s">
        <v>139</v>
      </c>
      <c r="G3534" s="10" t="s">
        <v>6352</v>
      </c>
      <c r="H3534" s="11">
        <v>40984</v>
      </c>
      <c r="I3534" s="10">
        <v>2012</v>
      </c>
      <c r="J3534" s="10" t="s">
        <v>6353</v>
      </c>
      <c r="K3534" s="10">
        <v>273</v>
      </c>
      <c r="L3534" s="10" t="s">
        <v>21369</v>
      </c>
      <c r="M3534" s="10">
        <v>3</v>
      </c>
      <c r="N3534" s="10"/>
      <c r="O3534" s="10"/>
      <c r="P3534" s="10" t="s">
        <v>21370</v>
      </c>
      <c r="Q3534" s="10">
        <v>378.125</v>
      </c>
      <c r="R3534" s="10" t="s">
        <v>21371</v>
      </c>
      <c r="S3534" s="10" t="s">
        <v>53</v>
      </c>
      <c r="T3534" s="10" t="s">
        <v>54</v>
      </c>
    </row>
    <row r="3535" spans="1:20" ht="14.5" x14ac:dyDescent="0.35">
      <c r="A3535" s="10" t="s">
        <v>21372</v>
      </c>
      <c r="B3535" s="10" t="str">
        <f>"9780415560818"</f>
        <v>9780415560818</v>
      </c>
      <c r="C3535" s="10" t="str">
        <f>"9780203817490"</f>
        <v>9780203817490</v>
      </c>
      <c r="D3535" s="10" t="s">
        <v>6350</v>
      </c>
      <c r="E3535" s="10" t="s">
        <v>6351</v>
      </c>
      <c r="F3535" s="10" t="s">
        <v>5406</v>
      </c>
      <c r="G3535" s="10" t="s">
        <v>6317</v>
      </c>
      <c r="H3535" s="11">
        <v>41003</v>
      </c>
      <c r="I3535" s="10">
        <v>2012</v>
      </c>
      <c r="J3535" s="10" t="s">
        <v>6353</v>
      </c>
      <c r="K3535" s="10">
        <v>177</v>
      </c>
      <c r="L3535" s="10" t="s">
        <v>21373</v>
      </c>
      <c r="M3535" s="10">
        <v>1</v>
      </c>
      <c r="N3535" s="10" t="s">
        <v>21374</v>
      </c>
      <c r="O3535" s="10"/>
      <c r="P3535" s="10" t="s">
        <v>21375</v>
      </c>
      <c r="Q3535" s="10" t="s">
        <v>8223</v>
      </c>
      <c r="R3535" s="10" t="s">
        <v>18002</v>
      </c>
      <c r="S3535" s="10" t="s">
        <v>53</v>
      </c>
      <c r="T3535" s="10" t="s">
        <v>54</v>
      </c>
    </row>
    <row r="3536" spans="1:20" ht="14.5" x14ac:dyDescent="0.35">
      <c r="A3536" s="10" t="s">
        <v>21376</v>
      </c>
      <c r="B3536" s="10" t="str">
        <f>"9780415899147"</f>
        <v>9780415899147</v>
      </c>
      <c r="C3536" s="10" t="str">
        <f>"9780203156902"</f>
        <v>9780203156902</v>
      </c>
      <c r="D3536" s="10" t="s">
        <v>6350</v>
      </c>
      <c r="E3536" s="10" t="s">
        <v>6351</v>
      </c>
      <c r="F3536" s="10" t="s">
        <v>139</v>
      </c>
      <c r="G3536" s="10" t="s">
        <v>6352</v>
      </c>
      <c r="H3536" s="11">
        <v>40833</v>
      </c>
      <c r="I3536" s="10">
        <v>2012</v>
      </c>
      <c r="J3536" s="10" t="s">
        <v>6353</v>
      </c>
      <c r="K3536" s="10">
        <v>227</v>
      </c>
      <c r="L3536" s="10" t="s">
        <v>21377</v>
      </c>
      <c r="M3536" s="10">
        <v>1</v>
      </c>
      <c r="N3536" s="10" t="s">
        <v>6954</v>
      </c>
      <c r="O3536" s="10"/>
      <c r="P3536" s="10" t="s">
        <v>21378</v>
      </c>
      <c r="Q3536" s="10">
        <v>370.72</v>
      </c>
      <c r="R3536" s="10" t="s">
        <v>21379</v>
      </c>
      <c r="S3536" s="10" t="s">
        <v>53</v>
      </c>
      <c r="T3536" s="10" t="s">
        <v>54</v>
      </c>
    </row>
    <row r="3537" spans="1:20" ht="14.5" x14ac:dyDescent="0.35">
      <c r="A3537" s="10" t="s">
        <v>21380</v>
      </c>
      <c r="B3537" s="10" t="str">
        <f>"9780415687218"</f>
        <v>9780415687218</v>
      </c>
      <c r="C3537" s="10" t="str">
        <f>"9780203118986"</f>
        <v>9780203118986</v>
      </c>
      <c r="D3537" s="10" t="s">
        <v>6350</v>
      </c>
      <c r="E3537" s="10" t="s">
        <v>6351</v>
      </c>
      <c r="F3537" s="10" t="s">
        <v>5406</v>
      </c>
      <c r="G3537" s="10" t="s">
        <v>6317</v>
      </c>
      <c r="H3537" s="11">
        <v>41033</v>
      </c>
      <c r="I3537" s="10">
        <v>2012</v>
      </c>
      <c r="J3537" s="10" t="s">
        <v>6353</v>
      </c>
      <c r="K3537" s="10">
        <v>225</v>
      </c>
      <c r="L3537" s="10" t="s">
        <v>21381</v>
      </c>
      <c r="M3537" s="10">
        <v>1</v>
      </c>
      <c r="N3537" s="10" t="s">
        <v>21382</v>
      </c>
      <c r="O3537" s="10"/>
      <c r="P3537" s="10" t="s">
        <v>21383</v>
      </c>
      <c r="Q3537" s="10">
        <v>370.11500000000001</v>
      </c>
      <c r="R3537" s="10" t="s">
        <v>21384</v>
      </c>
      <c r="S3537" s="10" t="s">
        <v>53</v>
      </c>
      <c r="T3537" s="10" t="s">
        <v>54</v>
      </c>
    </row>
    <row r="3538" spans="1:20" ht="14.5" x14ac:dyDescent="0.35">
      <c r="A3538" s="10" t="s">
        <v>21385</v>
      </c>
      <c r="B3538" s="10" t="str">
        <f>"9780805842111"</f>
        <v>9780805842111</v>
      </c>
      <c r="C3538" s="10" t="str">
        <f>"9780203874837"</f>
        <v>9780203874837</v>
      </c>
      <c r="D3538" s="10" t="s">
        <v>6350</v>
      </c>
      <c r="E3538" s="10" t="s">
        <v>6351</v>
      </c>
      <c r="F3538" s="10" t="s">
        <v>70</v>
      </c>
      <c r="G3538" s="10" t="s">
        <v>6317</v>
      </c>
      <c r="H3538" s="11">
        <v>40470</v>
      </c>
      <c r="I3538" s="10">
        <v>2011</v>
      </c>
      <c r="J3538" s="10" t="s">
        <v>6353</v>
      </c>
      <c r="K3538" s="10">
        <v>747</v>
      </c>
      <c r="L3538" s="10" t="s">
        <v>21386</v>
      </c>
      <c r="M3538" s="10">
        <v>1</v>
      </c>
      <c r="N3538" s="10"/>
      <c r="O3538" s="10"/>
      <c r="P3538" s="10" t="s">
        <v>21387</v>
      </c>
      <c r="Q3538" s="10" t="s">
        <v>21388</v>
      </c>
      <c r="R3538" s="10" t="s">
        <v>21389</v>
      </c>
      <c r="S3538" s="10" t="s">
        <v>53</v>
      </c>
      <c r="T3538" s="10" t="s">
        <v>6526</v>
      </c>
    </row>
    <row r="3539" spans="1:20" ht="14.5" x14ac:dyDescent="0.35">
      <c r="A3539" s="10" t="s">
        <v>21390</v>
      </c>
      <c r="B3539" s="10" t="str">
        <f>"9780415614603"</f>
        <v>9780415614603</v>
      </c>
      <c r="C3539" s="10" t="str">
        <f>"9780203818077"</f>
        <v>9780203818077</v>
      </c>
      <c r="D3539" s="10" t="s">
        <v>6350</v>
      </c>
      <c r="E3539" s="10" t="s">
        <v>6351</v>
      </c>
      <c r="F3539" s="10" t="s">
        <v>5406</v>
      </c>
      <c r="G3539" s="10" t="s">
        <v>6317</v>
      </c>
      <c r="H3539" s="11">
        <v>40933</v>
      </c>
      <c r="I3539" s="10">
        <v>2012</v>
      </c>
      <c r="J3539" s="10" t="s">
        <v>6353</v>
      </c>
      <c r="K3539" s="10">
        <v>186</v>
      </c>
      <c r="L3539" s="10" t="s">
        <v>21391</v>
      </c>
      <c r="M3539" s="10">
        <v>1</v>
      </c>
      <c r="N3539" s="10"/>
      <c r="O3539" s="10"/>
      <c r="P3539" s="10" t="s">
        <v>21392</v>
      </c>
      <c r="Q3539" s="10" t="s">
        <v>14440</v>
      </c>
      <c r="R3539" s="10" t="s">
        <v>21393</v>
      </c>
      <c r="S3539" s="10" t="s">
        <v>53</v>
      </c>
      <c r="T3539" s="10" t="s">
        <v>54</v>
      </c>
    </row>
    <row r="3540" spans="1:20" ht="14.5" x14ac:dyDescent="0.35">
      <c r="A3540" s="10" t="s">
        <v>21394</v>
      </c>
      <c r="B3540" s="10" t="str">
        <f>"9780415896214"</f>
        <v>9780415896214</v>
      </c>
      <c r="C3540" s="10" t="str">
        <f>"9780203153765"</f>
        <v>9780203153765</v>
      </c>
      <c r="D3540" s="10" t="s">
        <v>6350</v>
      </c>
      <c r="E3540" s="10" t="s">
        <v>6351</v>
      </c>
      <c r="F3540" s="10" t="s">
        <v>748</v>
      </c>
      <c r="G3540" s="10" t="s">
        <v>6352</v>
      </c>
      <c r="H3540" s="11">
        <v>40869</v>
      </c>
      <c r="I3540" s="10">
        <v>2012</v>
      </c>
      <c r="J3540" s="10" t="s">
        <v>6351</v>
      </c>
      <c r="K3540" s="10">
        <v>185</v>
      </c>
      <c r="L3540" s="10" t="s">
        <v>21395</v>
      </c>
      <c r="M3540" s="10">
        <v>2</v>
      </c>
      <c r="N3540" s="10"/>
      <c r="O3540" s="10"/>
      <c r="P3540" s="10" t="s">
        <v>21396</v>
      </c>
      <c r="Q3540" s="10">
        <v>616.89147000000003</v>
      </c>
      <c r="R3540" s="10" t="s">
        <v>21397</v>
      </c>
      <c r="S3540" s="10" t="s">
        <v>53</v>
      </c>
      <c r="T3540" s="10" t="s">
        <v>8510</v>
      </c>
    </row>
    <row r="3541" spans="1:20" ht="14.5" x14ac:dyDescent="0.35">
      <c r="A3541" s="10" t="s">
        <v>21398</v>
      </c>
      <c r="B3541" s="10" t="str">
        <f>"9780415675611"</f>
        <v>9780415675611</v>
      </c>
      <c r="C3541" s="10" t="str">
        <f>"9780203808566"</f>
        <v>9780203808566</v>
      </c>
      <c r="D3541" s="10" t="s">
        <v>6350</v>
      </c>
      <c r="E3541" s="10" t="s">
        <v>6351</v>
      </c>
      <c r="F3541" s="10" t="s">
        <v>748</v>
      </c>
      <c r="G3541" s="10" t="s">
        <v>6352</v>
      </c>
      <c r="H3541" s="11">
        <v>40885</v>
      </c>
      <c r="I3541" s="10">
        <v>1988</v>
      </c>
      <c r="J3541" s="10" t="s">
        <v>6351</v>
      </c>
      <c r="K3541" s="10">
        <v>345</v>
      </c>
      <c r="L3541" s="10" t="s">
        <v>21399</v>
      </c>
      <c r="M3541" s="10">
        <v>1</v>
      </c>
      <c r="N3541" s="10" t="s">
        <v>21400</v>
      </c>
      <c r="O3541" s="10"/>
      <c r="P3541" s="10" t="s">
        <v>21401</v>
      </c>
      <c r="Q3541" s="10">
        <v>374.94099999999997</v>
      </c>
      <c r="R3541" s="10" t="s">
        <v>21402</v>
      </c>
      <c r="S3541" s="10" t="s">
        <v>53</v>
      </c>
      <c r="T3541" s="10" t="s">
        <v>54</v>
      </c>
    </row>
    <row r="3542" spans="1:20" ht="14.5" x14ac:dyDescent="0.35">
      <c r="A3542" s="10" t="s">
        <v>21403</v>
      </c>
      <c r="B3542" s="10" t="str">
        <f>"9780415561884"</f>
        <v>9780415561884</v>
      </c>
      <c r="C3542" s="10" t="str">
        <f>"9780203818015"</f>
        <v>9780203818015</v>
      </c>
      <c r="D3542" s="10" t="s">
        <v>6350</v>
      </c>
      <c r="E3542" s="10" t="s">
        <v>6351</v>
      </c>
      <c r="F3542" s="10" t="s">
        <v>748</v>
      </c>
      <c r="G3542" s="10" t="s">
        <v>6352</v>
      </c>
      <c r="H3542" s="11">
        <v>40862</v>
      </c>
      <c r="I3542" s="10">
        <v>2012</v>
      </c>
      <c r="J3542" s="10" t="s">
        <v>6351</v>
      </c>
      <c r="K3542" s="10">
        <v>174</v>
      </c>
      <c r="L3542" s="10" t="s">
        <v>21404</v>
      </c>
      <c r="M3542" s="10">
        <v>1</v>
      </c>
      <c r="N3542" s="10" t="s">
        <v>21405</v>
      </c>
      <c r="O3542" s="10"/>
      <c r="P3542" s="10" t="s">
        <v>21406</v>
      </c>
      <c r="Q3542" s="10">
        <v>370.11200000000002</v>
      </c>
      <c r="R3542" s="10" t="s">
        <v>21407</v>
      </c>
      <c r="S3542" s="10" t="s">
        <v>53</v>
      </c>
      <c r="T3542" s="10" t="s">
        <v>54</v>
      </c>
    </row>
    <row r="3543" spans="1:20" ht="14.5" x14ac:dyDescent="0.35">
      <c r="A3543" s="10" t="s">
        <v>21408</v>
      </c>
      <c r="B3543" s="10" t="str">
        <f>"9780805841206"</f>
        <v>9780805841206</v>
      </c>
      <c r="C3543" s="10" t="str">
        <f>"9781410609434"</f>
        <v>9781410609434</v>
      </c>
      <c r="D3543" s="10" t="s">
        <v>6350</v>
      </c>
      <c r="E3543" s="10" t="s">
        <v>6351</v>
      </c>
      <c r="F3543" s="10" t="s">
        <v>4325</v>
      </c>
      <c r="G3543" s="10" t="s">
        <v>6317</v>
      </c>
      <c r="H3543" s="11">
        <v>37865</v>
      </c>
      <c r="I3543" s="10">
        <v>2003</v>
      </c>
      <c r="J3543" s="10" t="s">
        <v>6353</v>
      </c>
      <c r="K3543" s="10">
        <v>461</v>
      </c>
      <c r="L3543" s="10" t="s">
        <v>21409</v>
      </c>
      <c r="M3543" s="10">
        <v>1</v>
      </c>
      <c r="N3543" s="10"/>
      <c r="O3543" s="10"/>
      <c r="P3543" s="10" t="s">
        <v>21410</v>
      </c>
      <c r="Q3543" s="10">
        <v>371.2</v>
      </c>
      <c r="R3543" s="10" t="s">
        <v>21411</v>
      </c>
      <c r="S3543" s="10" t="s">
        <v>53</v>
      </c>
      <c r="T3543" s="10" t="s">
        <v>54</v>
      </c>
    </row>
    <row r="3544" spans="1:20" ht="14.5" x14ac:dyDescent="0.35">
      <c r="A3544" s="10" t="s">
        <v>21412</v>
      </c>
      <c r="B3544" s="10" t="str">
        <f>"9780415893619"</f>
        <v>9780415893619</v>
      </c>
      <c r="C3544" s="10" t="str">
        <f>"9780203816011"</f>
        <v>9780203816011</v>
      </c>
      <c r="D3544" s="10" t="s">
        <v>6350</v>
      </c>
      <c r="E3544" s="10" t="s">
        <v>6351</v>
      </c>
      <c r="F3544" s="10" t="s">
        <v>748</v>
      </c>
      <c r="G3544" s="10" t="s">
        <v>6352</v>
      </c>
      <c r="H3544" s="11">
        <v>40771</v>
      </c>
      <c r="I3544" s="10">
        <v>2012</v>
      </c>
      <c r="J3544" s="10" t="s">
        <v>6351</v>
      </c>
      <c r="K3544" s="10">
        <v>139</v>
      </c>
      <c r="L3544" s="10" t="s">
        <v>21413</v>
      </c>
      <c r="M3544" s="10">
        <v>1</v>
      </c>
      <c r="N3544" s="10"/>
      <c r="O3544" s="10"/>
      <c r="P3544" s="10" t="s">
        <v>21414</v>
      </c>
      <c r="Q3544" s="10" t="s">
        <v>18524</v>
      </c>
      <c r="R3544" s="10" t="s">
        <v>21415</v>
      </c>
      <c r="S3544" s="10" t="s">
        <v>53</v>
      </c>
      <c r="T3544" s="10" t="s">
        <v>54</v>
      </c>
    </row>
    <row r="3545" spans="1:20" ht="14.5" x14ac:dyDescent="0.35">
      <c r="A3545" s="10" t="s">
        <v>21416</v>
      </c>
      <c r="B3545" s="10" t="str">
        <f>"9780415689182"</f>
        <v>9780415689182</v>
      </c>
      <c r="C3545" s="10" t="str">
        <f>"9780203181218"</f>
        <v>9780203181218</v>
      </c>
      <c r="D3545" s="10" t="s">
        <v>6350</v>
      </c>
      <c r="E3545" s="10" t="s">
        <v>6351</v>
      </c>
      <c r="F3545" s="10" t="s">
        <v>139</v>
      </c>
      <c r="G3545" s="10" t="s">
        <v>6352</v>
      </c>
      <c r="H3545" s="11">
        <v>40885</v>
      </c>
      <c r="I3545" s="10">
        <v>2012</v>
      </c>
      <c r="J3545" s="10" t="s">
        <v>6353</v>
      </c>
      <c r="K3545" s="10">
        <v>401</v>
      </c>
      <c r="L3545" s="10" t="s">
        <v>21417</v>
      </c>
      <c r="M3545" s="10">
        <v>1</v>
      </c>
      <c r="N3545" s="10" t="s">
        <v>21400</v>
      </c>
      <c r="O3545" s="10"/>
      <c r="P3545" s="10" t="s">
        <v>21418</v>
      </c>
      <c r="Q3545" s="10">
        <v>373.411</v>
      </c>
      <c r="R3545" s="10" t="s">
        <v>21419</v>
      </c>
      <c r="S3545" s="10" t="s">
        <v>53</v>
      </c>
      <c r="T3545" s="10" t="s">
        <v>54</v>
      </c>
    </row>
    <row r="3546" spans="1:20" ht="14.5" x14ac:dyDescent="0.35">
      <c r="A3546" s="10" t="s">
        <v>21420</v>
      </c>
      <c r="B3546" s="10" t="str">
        <f>"9780415675383"</f>
        <v>9780415675383</v>
      </c>
      <c r="C3546" s="10" t="str">
        <f>"9780203808696"</f>
        <v>9780203808696</v>
      </c>
      <c r="D3546" s="10" t="s">
        <v>6350</v>
      </c>
      <c r="E3546" s="10" t="s">
        <v>6351</v>
      </c>
      <c r="F3546" s="10" t="s">
        <v>748</v>
      </c>
      <c r="G3546" s="10" t="s">
        <v>6352</v>
      </c>
      <c r="H3546" s="11">
        <v>40885</v>
      </c>
      <c r="I3546" s="10">
        <v>1990</v>
      </c>
      <c r="J3546" s="10" t="s">
        <v>6351</v>
      </c>
      <c r="K3546" s="10">
        <v>248</v>
      </c>
      <c r="L3546" s="10" t="s">
        <v>21421</v>
      </c>
      <c r="M3546" s="10">
        <v>1</v>
      </c>
      <c r="N3546" s="10" t="s">
        <v>21400</v>
      </c>
      <c r="O3546" s="10"/>
      <c r="P3546" s="10" t="s">
        <v>21422</v>
      </c>
      <c r="Q3546" s="10">
        <v>371.26</v>
      </c>
      <c r="R3546" s="10" t="s">
        <v>21423</v>
      </c>
      <c r="S3546" s="10" t="s">
        <v>53</v>
      </c>
      <c r="T3546" s="10" t="s">
        <v>54</v>
      </c>
    </row>
    <row r="3547" spans="1:20" ht="14.5" x14ac:dyDescent="0.35">
      <c r="A3547" s="10" t="s">
        <v>21424</v>
      </c>
      <c r="B3547" s="10" t="str">
        <f>"9780415802000"</f>
        <v>9780415802000</v>
      </c>
      <c r="C3547" s="10" t="str">
        <f>"9780203840986"</f>
        <v>9780203840986</v>
      </c>
      <c r="D3547" s="10" t="s">
        <v>6350</v>
      </c>
      <c r="E3547" s="10" t="s">
        <v>6351</v>
      </c>
      <c r="F3547" s="10" t="s">
        <v>139</v>
      </c>
      <c r="G3547" s="10" t="s">
        <v>6352</v>
      </c>
      <c r="H3547" s="11">
        <v>40463</v>
      </c>
      <c r="I3547" s="10">
        <v>2011</v>
      </c>
      <c r="J3547" s="10" t="s">
        <v>6353</v>
      </c>
      <c r="K3547" s="10">
        <v>240</v>
      </c>
      <c r="L3547" s="10" t="s">
        <v>21425</v>
      </c>
      <c r="M3547" s="10">
        <v>1</v>
      </c>
      <c r="N3547" s="10"/>
      <c r="O3547" s="10"/>
      <c r="P3547" s="10" t="s">
        <v>21426</v>
      </c>
      <c r="Q3547" s="10">
        <v>371.3</v>
      </c>
      <c r="R3547" s="10" t="s">
        <v>7186</v>
      </c>
      <c r="S3547" s="10" t="s">
        <v>53</v>
      </c>
      <c r="T3547" s="10" t="s">
        <v>54</v>
      </c>
    </row>
    <row r="3548" spans="1:20" ht="14.5" x14ac:dyDescent="0.35">
      <c r="A3548" s="10" t="s">
        <v>21427</v>
      </c>
      <c r="B3548" s="10" t="str">
        <f>"9780415696791"</f>
        <v>9780415696791</v>
      </c>
      <c r="C3548" s="10" t="str">
        <f>"9780203140208"</f>
        <v>9780203140208</v>
      </c>
      <c r="D3548" s="10" t="s">
        <v>6350</v>
      </c>
      <c r="E3548" s="10" t="s">
        <v>6351</v>
      </c>
      <c r="F3548" s="10" t="s">
        <v>3967</v>
      </c>
      <c r="G3548" s="10" t="s">
        <v>6352</v>
      </c>
      <c r="H3548" s="11">
        <v>40885</v>
      </c>
      <c r="I3548" s="10">
        <v>2012</v>
      </c>
      <c r="J3548" s="10" t="s">
        <v>6353</v>
      </c>
      <c r="K3548" s="10">
        <v>321</v>
      </c>
      <c r="L3548" s="10" t="s">
        <v>21428</v>
      </c>
      <c r="M3548" s="10">
        <v>1</v>
      </c>
      <c r="N3548" s="10" t="s">
        <v>21400</v>
      </c>
      <c r="O3548" s="10"/>
      <c r="P3548" s="10" t="s">
        <v>21429</v>
      </c>
      <c r="Q3548" s="10">
        <v>370</v>
      </c>
      <c r="R3548" s="10" t="s">
        <v>21430</v>
      </c>
      <c r="S3548" s="10" t="s">
        <v>53</v>
      </c>
      <c r="T3548" s="10" t="s">
        <v>54</v>
      </c>
    </row>
    <row r="3549" spans="1:20" ht="14.5" x14ac:dyDescent="0.35">
      <c r="A3549" s="10" t="s">
        <v>21431</v>
      </c>
      <c r="B3549" s="10" t="str">
        <f>"9780415501194"</f>
        <v>9780415501194</v>
      </c>
      <c r="C3549" s="10" t="str">
        <f>"9780203128831"</f>
        <v>9780203128831</v>
      </c>
      <c r="D3549" s="10" t="s">
        <v>6350</v>
      </c>
      <c r="E3549" s="10" t="s">
        <v>6351</v>
      </c>
      <c r="F3549" s="10" t="s">
        <v>139</v>
      </c>
      <c r="G3549" s="10" t="s">
        <v>6352</v>
      </c>
      <c r="H3549" s="11">
        <v>40885</v>
      </c>
      <c r="I3549" s="10">
        <v>2012</v>
      </c>
      <c r="J3549" s="10" t="s">
        <v>6353</v>
      </c>
      <c r="K3549" s="10">
        <v>305</v>
      </c>
      <c r="L3549" s="10" t="s">
        <v>21432</v>
      </c>
      <c r="M3549" s="10">
        <v>1</v>
      </c>
      <c r="N3549" s="10" t="s">
        <v>21400</v>
      </c>
      <c r="O3549" s="10"/>
      <c r="P3549" s="10" t="s">
        <v>21433</v>
      </c>
      <c r="Q3549" s="10">
        <v>372.94099999999997</v>
      </c>
      <c r="R3549" s="10" t="s">
        <v>21434</v>
      </c>
      <c r="S3549" s="10" t="s">
        <v>53</v>
      </c>
      <c r="T3549" s="10" t="s">
        <v>54</v>
      </c>
    </row>
    <row r="3550" spans="1:20" ht="14.5" x14ac:dyDescent="0.35">
      <c r="A3550" s="10" t="s">
        <v>21435</v>
      </c>
      <c r="B3550" s="10" t="str">
        <f>"9780415990578"</f>
        <v>9780415990578</v>
      </c>
      <c r="C3550" s="10" t="str">
        <f>"9781136835957"</f>
        <v>9781136835957</v>
      </c>
      <c r="D3550" s="10" t="s">
        <v>6350</v>
      </c>
      <c r="E3550" s="10" t="s">
        <v>6351</v>
      </c>
      <c r="F3550" s="10" t="s">
        <v>139</v>
      </c>
      <c r="G3550" s="10" t="s">
        <v>6352</v>
      </c>
      <c r="H3550" s="11">
        <v>40896</v>
      </c>
      <c r="I3550" s="10">
        <v>2012</v>
      </c>
      <c r="J3550" s="10" t="s">
        <v>6353</v>
      </c>
      <c r="K3550" s="10">
        <v>353</v>
      </c>
      <c r="L3550" s="10" t="s">
        <v>21436</v>
      </c>
      <c r="M3550" s="10">
        <v>1</v>
      </c>
      <c r="N3550" s="10"/>
      <c r="O3550" s="10"/>
      <c r="P3550" s="10" t="s">
        <v>21437</v>
      </c>
      <c r="Q3550" s="10">
        <v>372.5</v>
      </c>
      <c r="R3550" s="10" t="s">
        <v>21438</v>
      </c>
      <c r="S3550" s="10" t="s">
        <v>53</v>
      </c>
      <c r="T3550" s="10" t="s">
        <v>6881</v>
      </c>
    </row>
    <row r="3551" spans="1:20" ht="14.5" x14ac:dyDescent="0.35">
      <c r="A3551" s="10" t="s">
        <v>21439</v>
      </c>
      <c r="B3551" s="10" t="str">
        <f>"9780415685122"</f>
        <v>9780415685122</v>
      </c>
      <c r="C3551" s="10" t="str">
        <f>"9780203802694"</f>
        <v>9780203802694</v>
      </c>
      <c r="D3551" s="10" t="s">
        <v>6350</v>
      </c>
      <c r="E3551" s="10" t="s">
        <v>6351</v>
      </c>
      <c r="F3551" s="10" t="s">
        <v>5406</v>
      </c>
      <c r="G3551" s="10" t="s">
        <v>6317</v>
      </c>
      <c r="H3551" s="11">
        <v>40885</v>
      </c>
      <c r="I3551" s="10">
        <v>2012</v>
      </c>
      <c r="J3551" s="10" t="s">
        <v>6353</v>
      </c>
      <c r="K3551" s="10">
        <v>252</v>
      </c>
      <c r="L3551" s="10" t="s">
        <v>21440</v>
      </c>
      <c r="M3551" s="10">
        <v>1</v>
      </c>
      <c r="N3551" s="10" t="s">
        <v>21400</v>
      </c>
      <c r="O3551" s="10"/>
      <c r="P3551" s="10" t="s">
        <v>21441</v>
      </c>
      <c r="Q3551" s="10">
        <v>378.10109410000001</v>
      </c>
      <c r="R3551" s="10" t="s">
        <v>21442</v>
      </c>
      <c r="S3551" s="10" t="s">
        <v>53</v>
      </c>
      <c r="T3551" s="10" t="s">
        <v>54</v>
      </c>
    </row>
    <row r="3552" spans="1:20" ht="14.5" x14ac:dyDescent="0.35">
      <c r="A3552" s="10" t="s">
        <v>21443</v>
      </c>
      <c r="B3552" s="10" t="str">
        <f>"9780415894913"</f>
        <v>9780415894913</v>
      </c>
      <c r="C3552" s="10" t="str">
        <f>"9780203120019"</f>
        <v>9780203120019</v>
      </c>
      <c r="D3552" s="10" t="s">
        <v>6350</v>
      </c>
      <c r="E3552" s="10" t="s">
        <v>6351</v>
      </c>
      <c r="F3552" s="10" t="s">
        <v>5406</v>
      </c>
      <c r="G3552" s="10" t="s">
        <v>6317</v>
      </c>
      <c r="H3552" s="11">
        <v>41050</v>
      </c>
      <c r="I3552" s="10">
        <v>2012</v>
      </c>
      <c r="J3552" s="10" t="s">
        <v>6353</v>
      </c>
      <c r="K3552" s="10">
        <v>289</v>
      </c>
      <c r="L3552" s="10" t="s">
        <v>21444</v>
      </c>
      <c r="M3552" s="10">
        <v>1</v>
      </c>
      <c r="N3552" s="10"/>
      <c r="O3552" s="10"/>
      <c r="P3552" s="10" t="s">
        <v>21445</v>
      </c>
      <c r="Q3552" s="10">
        <v>379</v>
      </c>
      <c r="R3552" s="10" t="s">
        <v>21354</v>
      </c>
      <c r="S3552" s="10" t="s">
        <v>53</v>
      </c>
      <c r="T3552" s="10" t="s">
        <v>54</v>
      </c>
    </row>
    <row r="3553" spans="1:20" ht="14.5" x14ac:dyDescent="0.35">
      <c r="A3553" s="10" t="s">
        <v>21446</v>
      </c>
      <c r="B3553" s="10" t="str">
        <f>"9780415676212"</f>
        <v>9780415676212</v>
      </c>
      <c r="C3553" s="10" t="str">
        <f>"9780203144008"</f>
        <v>9780203144008</v>
      </c>
      <c r="D3553" s="10" t="s">
        <v>6350</v>
      </c>
      <c r="E3553" s="10" t="s">
        <v>6351</v>
      </c>
      <c r="F3553" s="10" t="s">
        <v>5406</v>
      </c>
      <c r="G3553" s="10" t="s">
        <v>6352</v>
      </c>
      <c r="H3553" s="11">
        <v>40919</v>
      </c>
      <c r="I3553" s="10">
        <v>2012</v>
      </c>
      <c r="J3553" s="10" t="s">
        <v>6353</v>
      </c>
      <c r="K3553" s="10">
        <v>175</v>
      </c>
      <c r="L3553" s="10" t="s">
        <v>21447</v>
      </c>
      <c r="M3553" s="10">
        <v>1</v>
      </c>
      <c r="N3553" s="10"/>
      <c r="O3553" s="10"/>
      <c r="P3553" s="10" t="s">
        <v>21448</v>
      </c>
      <c r="Q3553" s="10" t="s">
        <v>6576</v>
      </c>
      <c r="R3553" s="10" t="s">
        <v>12567</v>
      </c>
      <c r="S3553" s="10" t="s">
        <v>53</v>
      </c>
      <c r="T3553" s="10" t="s">
        <v>54</v>
      </c>
    </row>
    <row r="3554" spans="1:20" ht="14.5" x14ac:dyDescent="0.35">
      <c r="A3554" s="10" t="s">
        <v>21449</v>
      </c>
      <c r="B3554" s="10" t="str">
        <f>"9780415675406"</f>
        <v>9780415675406</v>
      </c>
      <c r="C3554" s="10" t="str">
        <f>"9780203808672"</f>
        <v>9780203808672</v>
      </c>
      <c r="D3554" s="10" t="s">
        <v>6350</v>
      </c>
      <c r="E3554" s="10" t="s">
        <v>6351</v>
      </c>
      <c r="F3554" s="10" t="s">
        <v>748</v>
      </c>
      <c r="G3554" s="10" t="s">
        <v>6352</v>
      </c>
      <c r="H3554" s="11">
        <v>40885</v>
      </c>
      <c r="I3554" s="10">
        <v>1977</v>
      </c>
      <c r="J3554" s="10" t="s">
        <v>6351</v>
      </c>
      <c r="K3554" s="10">
        <v>217</v>
      </c>
      <c r="L3554" s="10" t="s">
        <v>21450</v>
      </c>
      <c r="M3554" s="10">
        <v>1</v>
      </c>
      <c r="N3554" s="10" t="s">
        <v>21400</v>
      </c>
      <c r="O3554" s="10"/>
      <c r="P3554" s="10" t="s">
        <v>21451</v>
      </c>
      <c r="Q3554" s="10">
        <v>320.07104099999998</v>
      </c>
      <c r="R3554" s="10" t="s">
        <v>21452</v>
      </c>
      <c r="S3554" s="10" t="s">
        <v>53</v>
      </c>
      <c r="T3554" s="10" t="s">
        <v>4859</v>
      </c>
    </row>
    <row r="3555" spans="1:20" ht="14.5" x14ac:dyDescent="0.35">
      <c r="A3555" s="10" t="s">
        <v>21453</v>
      </c>
      <c r="B3555" s="10" t="str">
        <f>"9780415893145"</f>
        <v>9780415893145</v>
      </c>
      <c r="C3555" s="10" t="str">
        <f>"9780203119617"</f>
        <v>9780203119617</v>
      </c>
      <c r="D3555" s="10" t="s">
        <v>6350</v>
      </c>
      <c r="E3555" s="10" t="s">
        <v>6351</v>
      </c>
      <c r="F3555" s="10" t="s">
        <v>139</v>
      </c>
      <c r="G3555" s="10" t="s">
        <v>6352</v>
      </c>
      <c r="H3555" s="11">
        <v>41002</v>
      </c>
      <c r="I3555" s="10">
        <v>2012</v>
      </c>
      <c r="J3555" s="10" t="s">
        <v>6353</v>
      </c>
      <c r="K3555" s="10">
        <v>259</v>
      </c>
      <c r="L3555" s="10" t="s">
        <v>21454</v>
      </c>
      <c r="M3555" s="10">
        <v>1</v>
      </c>
      <c r="N3555" s="10" t="s">
        <v>6954</v>
      </c>
      <c r="O3555" s="10"/>
      <c r="P3555" s="10" t="s">
        <v>21455</v>
      </c>
      <c r="Q3555" s="10">
        <v>305.23</v>
      </c>
      <c r="R3555" s="10" t="s">
        <v>21456</v>
      </c>
      <c r="S3555" s="10" t="s">
        <v>53</v>
      </c>
      <c r="T3555" s="10" t="s">
        <v>6363</v>
      </c>
    </row>
    <row r="3556" spans="1:20" ht="14.5" x14ac:dyDescent="0.35">
      <c r="A3556" s="10" t="s">
        <v>21457</v>
      </c>
      <c r="B3556" s="10" t="str">
        <f>"9780415548731"</f>
        <v>9780415548731</v>
      </c>
      <c r="C3556" s="10" t="str">
        <f>"9780203817537"</f>
        <v>9780203817537</v>
      </c>
      <c r="D3556" s="10" t="s">
        <v>6350</v>
      </c>
      <c r="E3556" s="10" t="s">
        <v>6351</v>
      </c>
      <c r="F3556" s="10" t="s">
        <v>5406</v>
      </c>
      <c r="G3556" s="10" t="s">
        <v>6317</v>
      </c>
      <c r="H3556" s="11">
        <v>40920</v>
      </c>
      <c r="I3556" s="10">
        <v>2012</v>
      </c>
      <c r="J3556" s="10" t="s">
        <v>6353</v>
      </c>
      <c r="K3556" s="10">
        <v>308</v>
      </c>
      <c r="L3556" s="10" t="s">
        <v>21458</v>
      </c>
      <c r="M3556" s="10">
        <v>1</v>
      </c>
      <c r="N3556" s="10"/>
      <c r="O3556" s="10"/>
      <c r="P3556" s="10" t="s">
        <v>21459</v>
      </c>
      <c r="Q3556" s="10" t="s">
        <v>8460</v>
      </c>
      <c r="R3556" s="10" t="s">
        <v>6738</v>
      </c>
      <c r="S3556" s="10" t="s">
        <v>53</v>
      </c>
      <c r="T3556" s="10" t="s">
        <v>54</v>
      </c>
    </row>
    <row r="3557" spans="1:20" ht="14.5" x14ac:dyDescent="0.35">
      <c r="A3557" s="10" t="s">
        <v>21460</v>
      </c>
      <c r="B3557" s="10" t="str">
        <f>"9780415574082"</f>
        <v>9780415574082</v>
      </c>
      <c r="C3557" s="10" t="str">
        <f>"9780203855188"</f>
        <v>9780203855188</v>
      </c>
      <c r="D3557" s="10" t="s">
        <v>6350</v>
      </c>
      <c r="E3557" s="10" t="s">
        <v>6351</v>
      </c>
      <c r="F3557" s="10" t="s">
        <v>139</v>
      </c>
      <c r="G3557" s="10" t="s">
        <v>6352</v>
      </c>
      <c r="H3557" s="11">
        <v>40885</v>
      </c>
      <c r="I3557" s="10">
        <v>2012</v>
      </c>
      <c r="J3557" s="10" t="s">
        <v>6353</v>
      </c>
      <c r="K3557" s="10">
        <v>251</v>
      </c>
      <c r="L3557" s="10" t="s">
        <v>21461</v>
      </c>
      <c r="M3557" s="10">
        <v>1</v>
      </c>
      <c r="N3557" s="10"/>
      <c r="O3557" s="10"/>
      <c r="P3557" s="10" t="s">
        <v>21462</v>
      </c>
      <c r="Q3557" s="10">
        <v>613.71</v>
      </c>
      <c r="R3557" s="10" t="s">
        <v>21463</v>
      </c>
      <c r="S3557" s="10" t="s">
        <v>53</v>
      </c>
      <c r="T3557" s="10" t="s">
        <v>6791</v>
      </c>
    </row>
    <row r="3558" spans="1:20" ht="14.5" x14ac:dyDescent="0.35">
      <c r="A3558" s="10" t="s">
        <v>21464</v>
      </c>
      <c r="B3558" s="10" t="str">
        <f>"9780415618847"</f>
        <v>9780415618847</v>
      </c>
      <c r="C3558" s="10" t="str">
        <f>"9780203807170"</f>
        <v>9780203807170</v>
      </c>
      <c r="D3558" s="10" t="s">
        <v>6350</v>
      </c>
      <c r="E3558" s="10" t="s">
        <v>6351</v>
      </c>
      <c r="F3558" s="10" t="s">
        <v>5406</v>
      </c>
      <c r="G3558" s="10" t="s">
        <v>6317</v>
      </c>
      <c r="H3558" s="11">
        <v>40934</v>
      </c>
      <c r="I3558" s="10">
        <v>2012</v>
      </c>
      <c r="J3558" s="10" t="s">
        <v>6353</v>
      </c>
      <c r="K3558" s="10">
        <v>366</v>
      </c>
      <c r="L3558" s="10" t="s">
        <v>21465</v>
      </c>
      <c r="M3558" s="10">
        <v>1</v>
      </c>
      <c r="N3558" s="10"/>
      <c r="O3558" s="10"/>
      <c r="P3558" s="10" t="s">
        <v>21466</v>
      </c>
      <c r="Q3558" s="10">
        <v>613.71072100000004</v>
      </c>
      <c r="R3558" s="10" t="s">
        <v>21467</v>
      </c>
      <c r="S3558" s="10" t="s">
        <v>53</v>
      </c>
      <c r="T3558" s="10" t="s">
        <v>6791</v>
      </c>
    </row>
    <row r="3559" spans="1:20" ht="14.5" x14ac:dyDescent="0.35">
      <c r="A3559" s="10" t="s">
        <v>21468</v>
      </c>
      <c r="B3559" s="10" t="str">
        <f>"9780415620307"</f>
        <v>9780415620307</v>
      </c>
      <c r="C3559" s="10" t="str">
        <f>"9780203121443"</f>
        <v>9780203121443</v>
      </c>
      <c r="D3559" s="10" t="s">
        <v>6350</v>
      </c>
      <c r="E3559" s="10" t="s">
        <v>6351</v>
      </c>
      <c r="F3559" s="10" t="s">
        <v>5406</v>
      </c>
      <c r="G3559" s="10" t="s">
        <v>6352</v>
      </c>
      <c r="H3559" s="11">
        <v>41061</v>
      </c>
      <c r="I3559" s="10">
        <v>2012</v>
      </c>
      <c r="J3559" s="10" t="s">
        <v>6353</v>
      </c>
      <c r="K3559" s="10">
        <v>153</v>
      </c>
      <c r="L3559" s="10" t="s">
        <v>21469</v>
      </c>
      <c r="M3559" s="10">
        <v>1</v>
      </c>
      <c r="N3559" s="10"/>
      <c r="O3559" s="10"/>
      <c r="P3559" s="10" t="s">
        <v>21470</v>
      </c>
      <c r="Q3559" s="10">
        <v>371.33</v>
      </c>
      <c r="R3559" s="10" t="s">
        <v>21471</v>
      </c>
      <c r="S3559" s="10" t="s">
        <v>53</v>
      </c>
      <c r="T3559" s="10" t="s">
        <v>54</v>
      </c>
    </row>
    <row r="3560" spans="1:20" ht="14.5" x14ac:dyDescent="0.35">
      <c r="A3560" s="10" t="s">
        <v>21472</v>
      </c>
      <c r="B3560" s="10" t="str">
        <f>"9780415664561"</f>
        <v>9780415664561</v>
      </c>
      <c r="C3560" s="10" t="str">
        <f>"9780203818114"</f>
        <v>9780203818114</v>
      </c>
      <c r="D3560" s="10" t="s">
        <v>6350</v>
      </c>
      <c r="E3560" s="10" t="s">
        <v>6351</v>
      </c>
      <c r="F3560" s="10" t="s">
        <v>5406</v>
      </c>
      <c r="G3560" s="10" t="s">
        <v>6317</v>
      </c>
      <c r="H3560" s="11">
        <v>40889</v>
      </c>
      <c r="I3560" s="10">
        <v>2012</v>
      </c>
      <c r="J3560" s="10" t="s">
        <v>6353</v>
      </c>
      <c r="K3560" s="10">
        <v>171</v>
      </c>
      <c r="L3560" s="10" t="s">
        <v>21473</v>
      </c>
      <c r="M3560" s="10">
        <v>1</v>
      </c>
      <c r="N3560" s="10"/>
      <c r="O3560" s="10"/>
      <c r="P3560" s="10" t="s">
        <v>21474</v>
      </c>
      <c r="Q3560" s="10" t="s">
        <v>7600</v>
      </c>
      <c r="R3560" s="10" t="s">
        <v>21475</v>
      </c>
      <c r="S3560" s="10" t="s">
        <v>53</v>
      </c>
      <c r="T3560" s="10" t="s">
        <v>54</v>
      </c>
    </row>
    <row r="3561" spans="1:20" ht="14.5" x14ac:dyDescent="0.35">
      <c r="A3561" s="10" t="s">
        <v>21476</v>
      </c>
      <c r="B3561" s="10" t="str">
        <f>"9780415583466"</f>
        <v>9780415583466</v>
      </c>
      <c r="C3561" s="10" t="str">
        <f>"9780203802243"</f>
        <v>9780203802243</v>
      </c>
      <c r="D3561" s="10" t="s">
        <v>6350</v>
      </c>
      <c r="E3561" s="10" t="s">
        <v>6351</v>
      </c>
      <c r="F3561" s="10" t="s">
        <v>3967</v>
      </c>
      <c r="G3561" s="10" t="s">
        <v>6352</v>
      </c>
      <c r="H3561" s="11">
        <v>40833</v>
      </c>
      <c r="I3561" s="10">
        <v>2012</v>
      </c>
      <c r="J3561" s="10" t="s">
        <v>6353</v>
      </c>
      <c r="K3561" s="10">
        <v>412</v>
      </c>
      <c r="L3561" s="10" t="s">
        <v>21477</v>
      </c>
      <c r="M3561" s="10">
        <v>1</v>
      </c>
      <c r="N3561" s="10"/>
      <c r="O3561" s="10"/>
      <c r="P3561" s="10"/>
      <c r="Q3561" s="10">
        <v>370</v>
      </c>
      <c r="R3561" s="10" t="s">
        <v>54</v>
      </c>
      <c r="S3561" s="10" t="s">
        <v>53</v>
      </c>
      <c r="T3561" s="10" t="s">
        <v>54</v>
      </c>
    </row>
    <row r="3562" spans="1:20" ht="14.5" x14ac:dyDescent="0.35">
      <c r="A3562" s="10" t="s">
        <v>21478</v>
      </c>
      <c r="B3562" s="10" t="str">
        <f>"9780415589215"</f>
        <v>9780415589215</v>
      </c>
      <c r="C3562" s="10" t="str">
        <f>"9780203842003"</f>
        <v>9780203842003</v>
      </c>
      <c r="D3562" s="10" t="s">
        <v>6350</v>
      </c>
      <c r="E3562" s="10" t="s">
        <v>6351</v>
      </c>
      <c r="F3562" s="10" t="s">
        <v>139</v>
      </c>
      <c r="G3562" s="10" t="s">
        <v>6352</v>
      </c>
      <c r="H3562" s="11">
        <v>40494</v>
      </c>
      <c r="I3562" s="10">
        <v>2011</v>
      </c>
      <c r="J3562" s="10" t="s">
        <v>6353</v>
      </c>
      <c r="K3562" s="10">
        <v>138</v>
      </c>
      <c r="L3562" s="10" t="s">
        <v>21479</v>
      </c>
      <c r="M3562" s="10">
        <v>1</v>
      </c>
      <c r="N3562" s="10"/>
      <c r="O3562" s="10"/>
      <c r="P3562" s="10" t="s">
        <v>21480</v>
      </c>
      <c r="Q3562" s="10">
        <v>378.01400000000001</v>
      </c>
      <c r="R3562" s="10" t="s">
        <v>21481</v>
      </c>
      <c r="S3562" s="10" t="s">
        <v>53</v>
      </c>
      <c r="T3562" s="10" t="s">
        <v>54</v>
      </c>
    </row>
    <row r="3563" spans="1:20" ht="14.5" x14ac:dyDescent="0.35">
      <c r="A3563" s="10" t="s">
        <v>21482</v>
      </c>
      <c r="B3563" s="10" t="str">
        <f>"9780415881043"</f>
        <v>9780415881043</v>
      </c>
      <c r="C3563" s="10" t="str">
        <f>"9780203818688"</f>
        <v>9780203818688</v>
      </c>
      <c r="D3563" s="10" t="s">
        <v>6350</v>
      </c>
      <c r="E3563" s="10" t="s">
        <v>6351</v>
      </c>
      <c r="F3563" s="10" t="s">
        <v>5406</v>
      </c>
      <c r="G3563" s="10" t="s">
        <v>6317</v>
      </c>
      <c r="H3563" s="11">
        <v>40840</v>
      </c>
      <c r="I3563" s="10">
        <v>2011</v>
      </c>
      <c r="J3563" s="10" t="s">
        <v>6353</v>
      </c>
      <c r="K3563" s="10">
        <v>217</v>
      </c>
      <c r="L3563" s="10" t="s">
        <v>21483</v>
      </c>
      <c r="M3563" s="10">
        <v>1</v>
      </c>
      <c r="N3563" s="10"/>
      <c r="O3563" s="10"/>
      <c r="P3563" s="10" t="s">
        <v>21484</v>
      </c>
      <c r="Q3563" s="10">
        <v>371.2</v>
      </c>
      <c r="R3563" s="10" t="s">
        <v>21485</v>
      </c>
      <c r="S3563" s="10" t="s">
        <v>53</v>
      </c>
      <c r="T3563" s="10" t="s">
        <v>54</v>
      </c>
    </row>
    <row r="3564" spans="1:20" ht="14.5" x14ac:dyDescent="0.35">
      <c r="A3564" s="10" t="s">
        <v>21486</v>
      </c>
      <c r="B3564" s="10" t="str">
        <f>"9780415565035"</f>
        <v>9780415565035</v>
      </c>
      <c r="C3564" s="10" t="str">
        <f>"9780203841341"</f>
        <v>9780203841341</v>
      </c>
      <c r="D3564" s="10" t="s">
        <v>6350</v>
      </c>
      <c r="E3564" s="10" t="s">
        <v>6351</v>
      </c>
      <c r="F3564" s="10" t="s">
        <v>748</v>
      </c>
      <c r="G3564" s="10" t="s">
        <v>6352</v>
      </c>
      <c r="H3564" s="11">
        <v>40532</v>
      </c>
      <c r="I3564" s="10">
        <v>2011</v>
      </c>
      <c r="J3564" s="10" t="s">
        <v>6351</v>
      </c>
      <c r="K3564" s="10">
        <v>169</v>
      </c>
      <c r="L3564" s="10" t="s">
        <v>21487</v>
      </c>
      <c r="M3564" s="10">
        <v>1</v>
      </c>
      <c r="N3564" s="10" t="s">
        <v>21405</v>
      </c>
      <c r="O3564" s="10"/>
      <c r="P3564" s="10" t="s">
        <v>21488</v>
      </c>
      <c r="Q3564" s="10" t="s">
        <v>21489</v>
      </c>
      <c r="R3564" s="10" t="s">
        <v>6591</v>
      </c>
      <c r="S3564" s="10" t="s">
        <v>53</v>
      </c>
      <c r="T3564" s="10" t="s">
        <v>6634</v>
      </c>
    </row>
    <row r="3565" spans="1:20" ht="14.5" x14ac:dyDescent="0.35">
      <c r="A3565" s="10" t="s">
        <v>21490</v>
      </c>
      <c r="B3565" s="10" t="str">
        <f>"9780415610070"</f>
        <v>9780415610070</v>
      </c>
      <c r="C3565" s="10" t="str">
        <f>"9780203133330"</f>
        <v>9780203133330</v>
      </c>
      <c r="D3565" s="10" t="s">
        <v>6350</v>
      </c>
      <c r="E3565" s="10" t="s">
        <v>6351</v>
      </c>
      <c r="F3565" s="10" t="s">
        <v>5406</v>
      </c>
      <c r="G3565" s="10" t="s">
        <v>6352</v>
      </c>
      <c r="H3565" s="11">
        <v>40973</v>
      </c>
      <c r="I3565" s="10">
        <v>2012</v>
      </c>
      <c r="J3565" s="10" t="s">
        <v>6353</v>
      </c>
      <c r="K3565" s="10">
        <v>241</v>
      </c>
      <c r="L3565" s="10" t="s">
        <v>21491</v>
      </c>
      <c r="M3565" s="10">
        <v>1</v>
      </c>
      <c r="N3565" s="10"/>
      <c r="O3565" s="10"/>
      <c r="P3565" s="10" t="s">
        <v>21492</v>
      </c>
      <c r="Q3565" s="10">
        <v>371.33</v>
      </c>
      <c r="R3565" s="10" t="s">
        <v>21493</v>
      </c>
      <c r="S3565" s="10" t="s">
        <v>53</v>
      </c>
      <c r="T3565" s="10" t="s">
        <v>54</v>
      </c>
    </row>
    <row r="3566" spans="1:20" ht="14.5" x14ac:dyDescent="0.35">
      <c r="A3566" s="10" t="s">
        <v>21494</v>
      </c>
      <c r="B3566" s="10" t="str">
        <f>"9780415806541"</f>
        <v>9780415806541</v>
      </c>
      <c r="C3566" s="10" t="str">
        <f>"9780203842898"</f>
        <v>9780203842898</v>
      </c>
      <c r="D3566" s="10" t="s">
        <v>6350</v>
      </c>
      <c r="E3566" s="10" t="s">
        <v>6351</v>
      </c>
      <c r="F3566" s="10" t="s">
        <v>139</v>
      </c>
      <c r="G3566" s="10" t="s">
        <v>6352</v>
      </c>
      <c r="H3566" s="11">
        <v>40469</v>
      </c>
      <c r="I3566" s="10">
        <v>2011</v>
      </c>
      <c r="J3566" s="10" t="s">
        <v>6353</v>
      </c>
      <c r="K3566" s="10">
        <v>336</v>
      </c>
      <c r="L3566" s="10" t="s">
        <v>12172</v>
      </c>
      <c r="M3566" s="10">
        <v>2</v>
      </c>
      <c r="N3566" s="10"/>
      <c r="O3566" s="10"/>
      <c r="P3566" s="10" t="s">
        <v>21495</v>
      </c>
      <c r="Q3566" s="10" t="s">
        <v>6920</v>
      </c>
      <c r="R3566" s="10" t="s">
        <v>21496</v>
      </c>
      <c r="S3566" s="10" t="s">
        <v>53</v>
      </c>
      <c r="T3566" s="10" t="s">
        <v>54</v>
      </c>
    </row>
    <row r="3567" spans="1:20" ht="14.5" x14ac:dyDescent="0.35">
      <c r="A3567" s="10" t="s">
        <v>21497</v>
      </c>
      <c r="B3567" s="10" t="str">
        <f>"9780415504126"</f>
        <v>9780415504126</v>
      </c>
      <c r="C3567" s="10" t="str">
        <f>"9780203128855"</f>
        <v>9780203128855</v>
      </c>
      <c r="D3567" s="10" t="s">
        <v>6350</v>
      </c>
      <c r="E3567" s="10" t="s">
        <v>6351</v>
      </c>
      <c r="F3567" s="10" t="s">
        <v>139</v>
      </c>
      <c r="G3567" s="10" t="s">
        <v>6352</v>
      </c>
      <c r="H3567" s="11">
        <v>40885</v>
      </c>
      <c r="I3567" s="10">
        <v>2012</v>
      </c>
      <c r="J3567" s="10" t="s">
        <v>6353</v>
      </c>
      <c r="K3567" s="10">
        <v>353</v>
      </c>
      <c r="L3567" s="10" t="s">
        <v>21498</v>
      </c>
      <c r="M3567" s="10">
        <v>1</v>
      </c>
      <c r="N3567" s="10" t="s">
        <v>21400</v>
      </c>
      <c r="O3567" s="10"/>
      <c r="P3567" s="10" t="s">
        <v>21499</v>
      </c>
      <c r="Q3567" s="10">
        <v>370.11509410000002</v>
      </c>
      <c r="R3567" s="10" t="s">
        <v>21500</v>
      </c>
      <c r="S3567" s="10" t="s">
        <v>53</v>
      </c>
      <c r="T3567" s="10" t="s">
        <v>54</v>
      </c>
    </row>
    <row r="3568" spans="1:20" ht="14.5" x14ac:dyDescent="0.35">
      <c r="A3568" s="10" t="s">
        <v>21501</v>
      </c>
      <c r="B3568" s="10" t="str">
        <f>"9780415689809"</f>
        <v>9780415689809</v>
      </c>
      <c r="C3568" s="10" t="str">
        <f>"9780203181379"</f>
        <v>9780203181379</v>
      </c>
      <c r="D3568" s="10" t="s">
        <v>6350</v>
      </c>
      <c r="E3568" s="10" t="s">
        <v>6351</v>
      </c>
      <c r="F3568" s="10" t="s">
        <v>139</v>
      </c>
      <c r="G3568" s="10" t="s">
        <v>6352</v>
      </c>
      <c r="H3568" s="11">
        <v>40885</v>
      </c>
      <c r="I3568" s="10">
        <v>2012</v>
      </c>
      <c r="J3568" s="10" t="s">
        <v>6353</v>
      </c>
      <c r="K3568" s="10">
        <v>449</v>
      </c>
      <c r="L3568" s="10" t="s">
        <v>21502</v>
      </c>
      <c r="M3568" s="10">
        <v>1</v>
      </c>
      <c r="N3568" s="10" t="s">
        <v>21400</v>
      </c>
      <c r="O3568" s="10"/>
      <c r="P3568" s="10" t="s">
        <v>21503</v>
      </c>
      <c r="Q3568" s="10">
        <v>370.94170903399998</v>
      </c>
      <c r="R3568" s="10" t="s">
        <v>21504</v>
      </c>
      <c r="S3568" s="10" t="s">
        <v>53</v>
      </c>
      <c r="T3568" s="10" t="s">
        <v>54</v>
      </c>
    </row>
    <row r="3569" spans="1:20" ht="14.5" x14ac:dyDescent="0.35">
      <c r="A3569" s="10" t="s">
        <v>21505</v>
      </c>
      <c r="B3569" s="10" t="str">
        <f>"9780415686532"</f>
        <v>9780415686532</v>
      </c>
      <c r="C3569" s="10" t="str">
        <f>"9780203181362"</f>
        <v>9780203181362</v>
      </c>
      <c r="D3569" s="10" t="s">
        <v>6350</v>
      </c>
      <c r="E3569" s="10" t="s">
        <v>6351</v>
      </c>
      <c r="F3569" s="10" t="s">
        <v>139</v>
      </c>
      <c r="G3569" s="10" t="s">
        <v>6352</v>
      </c>
      <c r="H3569" s="11">
        <v>40885</v>
      </c>
      <c r="I3569" s="10">
        <v>2012</v>
      </c>
      <c r="J3569" s="10" t="s">
        <v>6353</v>
      </c>
      <c r="K3569" s="10">
        <v>353</v>
      </c>
      <c r="L3569" s="10" t="s">
        <v>8128</v>
      </c>
      <c r="M3569" s="10">
        <v>1</v>
      </c>
      <c r="N3569" s="10" t="s">
        <v>21400</v>
      </c>
      <c r="O3569" s="10"/>
      <c r="P3569" s="10" t="s">
        <v>21506</v>
      </c>
      <c r="Q3569" s="10">
        <v>371.00941090340001</v>
      </c>
      <c r="R3569" s="10" t="s">
        <v>21507</v>
      </c>
      <c r="S3569" s="10" t="s">
        <v>53</v>
      </c>
      <c r="T3569" s="10" t="s">
        <v>54</v>
      </c>
    </row>
    <row r="3570" spans="1:20" ht="14.5" x14ac:dyDescent="0.35">
      <c r="A3570" s="10" t="s">
        <v>21508</v>
      </c>
      <c r="B3570" s="10" t="str">
        <f>"9780415668361"</f>
        <v>9780415668361</v>
      </c>
      <c r="C3570" s="10" t="str">
        <f>"9780203816523"</f>
        <v>9780203816523</v>
      </c>
      <c r="D3570" s="10" t="s">
        <v>6350</v>
      </c>
      <c r="E3570" s="10" t="s">
        <v>6351</v>
      </c>
      <c r="F3570" s="10" t="s">
        <v>5406</v>
      </c>
      <c r="G3570" s="10" t="s">
        <v>6317</v>
      </c>
      <c r="H3570" s="11">
        <v>40885</v>
      </c>
      <c r="I3570" s="10">
        <v>2012</v>
      </c>
      <c r="J3570" s="10" t="s">
        <v>6353</v>
      </c>
      <c r="K3570" s="10">
        <v>137</v>
      </c>
      <c r="L3570" s="10" t="s">
        <v>21509</v>
      </c>
      <c r="M3570" s="10">
        <v>1</v>
      </c>
      <c r="N3570" s="10" t="s">
        <v>21400</v>
      </c>
      <c r="O3570" s="10"/>
      <c r="P3570" s="10" t="s">
        <v>21510</v>
      </c>
      <c r="Q3570" s="10">
        <v>370.94099999999997</v>
      </c>
      <c r="R3570" s="10" t="s">
        <v>21511</v>
      </c>
      <c r="S3570" s="10" t="s">
        <v>53</v>
      </c>
      <c r="T3570" s="10" t="s">
        <v>54</v>
      </c>
    </row>
    <row r="3571" spans="1:20" ht="14.5" x14ac:dyDescent="0.35">
      <c r="A3571" s="10" t="s">
        <v>21512</v>
      </c>
      <c r="B3571" s="10" t="str">
        <f>"9780415892650"</f>
        <v>9780415892650</v>
      </c>
      <c r="C3571" s="10" t="str">
        <f>"9780203817636"</f>
        <v>9780203817636</v>
      </c>
      <c r="D3571" s="10" t="s">
        <v>6350</v>
      </c>
      <c r="E3571" s="10" t="s">
        <v>6351</v>
      </c>
      <c r="F3571" s="10" t="s">
        <v>748</v>
      </c>
      <c r="G3571" s="10" t="s">
        <v>6352</v>
      </c>
      <c r="H3571" s="11">
        <v>40890</v>
      </c>
      <c r="I3571" s="10">
        <v>2012</v>
      </c>
      <c r="J3571" s="10" t="s">
        <v>6351</v>
      </c>
      <c r="K3571" s="10">
        <v>211</v>
      </c>
      <c r="L3571" s="10" t="s">
        <v>21513</v>
      </c>
      <c r="M3571" s="10">
        <v>1</v>
      </c>
      <c r="N3571" s="10" t="s">
        <v>14406</v>
      </c>
      <c r="O3571" s="10"/>
      <c r="P3571" s="10" t="s">
        <v>21514</v>
      </c>
      <c r="Q3571" s="10">
        <v>371.35</v>
      </c>
      <c r="R3571" s="10" t="s">
        <v>21515</v>
      </c>
      <c r="S3571" s="10" t="s">
        <v>53</v>
      </c>
      <c r="T3571" s="10" t="s">
        <v>54</v>
      </c>
    </row>
    <row r="3572" spans="1:20" ht="14.5" x14ac:dyDescent="0.35">
      <c r="A3572" s="10" t="s">
        <v>21516</v>
      </c>
      <c r="B3572" s="10" t="str">
        <f>"9780415675338"</f>
        <v>9780415675338</v>
      </c>
      <c r="C3572" s="10" t="str">
        <f>"9780203808733"</f>
        <v>9780203808733</v>
      </c>
      <c r="D3572" s="10" t="s">
        <v>6350</v>
      </c>
      <c r="E3572" s="10" t="s">
        <v>6351</v>
      </c>
      <c r="F3572" s="10" t="s">
        <v>748</v>
      </c>
      <c r="G3572" s="10" t="s">
        <v>6352</v>
      </c>
      <c r="H3572" s="11">
        <v>40885</v>
      </c>
      <c r="I3572" s="10">
        <v>1987</v>
      </c>
      <c r="J3572" s="10" t="s">
        <v>6351</v>
      </c>
      <c r="K3572" s="10">
        <v>329</v>
      </c>
      <c r="L3572" s="10" t="s">
        <v>21517</v>
      </c>
      <c r="M3572" s="10">
        <v>1</v>
      </c>
      <c r="N3572" s="10" t="s">
        <v>21400</v>
      </c>
      <c r="O3572" s="10"/>
      <c r="P3572" s="10" t="s">
        <v>21518</v>
      </c>
      <c r="Q3572" s="10">
        <v>371.2</v>
      </c>
      <c r="R3572" s="10" t="s">
        <v>21519</v>
      </c>
      <c r="S3572" s="10" t="s">
        <v>53</v>
      </c>
      <c r="T3572" s="10" t="s">
        <v>54</v>
      </c>
    </row>
    <row r="3573" spans="1:20" ht="14.5" x14ac:dyDescent="0.35">
      <c r="A3573" s="10" t="s">
        <v>21520</v>
      </c>
      <c r="B3573" s="10" t="str">
        <f>"9780415689793"</f>
        <v>9780415689793</v>
      </c>
      <c r="C3573" s="10" t="str">
        <f>"9780203181324"</f>
        <v>9780203181324</v>
      </c>
      <c r="D3573" s="10" t="s">
        <v>6350</v>
      </c>
      <c r="E3573" s="10" t="s">
        <v>6351</v>
      </c>
      <c r="F3573" s="10" t="s">
        <v>139</v>
      </c>
      <c r="G3573" s="10" t="s">
        <v>6352</v>
      </c>
      <c r="H3573" s="11">
        <v>40885</v>
      </c>
      <c r="I3573" s="10">
        <v>2012</v>
      </c>
      <c r="J3573" s="10" t="s">
        <v>6353</v>
      </c>
      <c r="K3573" s="10">
        <v>425</v>
      </c>
      <c r="L3573" s="10" t="s">
        <v>21521</v>
      </c>
      <c r="M3573" s="10">
        <v>1</v>
      </c>
      <c r="N3573" s="10" t="s">
        <v>21400</v>
      </c>
      <c r="O3573" s="10"/>
      <c r="P3573" s="10" t="s">
        <v>21522</v>
      </c>
      <c r="Q3573" s="10">
        <v>370.93763000000001</v>
      </c>
      <c r="R3573" s="10" t="s">
        <v>21523</v>
      </c>
      <c r="S3573" s="10" t="s">
        <v>53</v>
      </c>
      <c r="T3573" s="10" t="s">
        <v>54</v>
      </c>
    </row>
    <row r="3574" spans="1:20" ht="14.5" x14ac:dyDescent="0.35">
      <c r="A3574" s="10" t="s">
        <v>21524</v>
      </c>
      <c r="B3574" s="10" t="str">
        <f>"9780415675352"</f>
        <v>9780415675352</v>
      </c>
      <c r="C3574" s="10" t="str">
        <f>"9780203808719"</f>
        <v>9780203808719</v>
      </c>
      <c r="D3574" s="10" t="s">
        <v>6350</v>
      </c>
      <c r="E3574" s="10" t="s">
        <v>6351</v>
      </c>
      <c r="F3574" s="10" t="s">
        <v>748</v>
      </c>
      <c r="G3574" s="10" t="s">
        <v>6352</v>
      </c>
      <c r="H3574" s="11">
        <v>40885</v>
      </c>
      <c r="I3574" s="10">
        <v>1995</v>
      </c>
      <c r="J3574" s="10" t="s">
        <v>6351</v>
      </c>
      <c r="K3574" s="10">
        <v>217</v>
      </c>
      <c r="L3574" s="10" t="s">
        <v>21525</v>
      </c>
      <c r="M3574" s="10">
        <v>1</v>
      </c>
      <c r="N3574" s="10" t="s">
        <v>21400</v>
      </c>
      <c r="O3574" s="10"/>
      <c r="P3574" s="10" t="s">
        <v>21526</v>
      </c>
      <c r="Q3574" s="10">
        <v>374.94099999999997</v>
      </c>
      <c r="R3574" s="10" t="s">
        <v>21527</v>
      </c>
      <c r="S3574" s="10" t="s">
        <v>53</v>
      </c>
      <c r="T3574" s="10" t="s">
        <v>54</v>
      </c>
    </row>
    <row r="3575" spans="1:20" ht="14.5" x14ac:dyDescent="0.35">
      <c r="A3575" s="10" t="s">
        <v>21528</v>
      </c>
      <c r="B3575" s="10" t="str">
        <f>"9780415696937"</f>
        <v>9780415696937</v>
      </c>
      <c r="C3575" s="10" t="str">
        <f>"9780203138724"</f>
        <v>9780203138724</v>
      </c>
      <c r="D3575" s="10" t="s">
        <v>6350</v>
      </c>
      <c r="E3575" s="10" t="s">
        <v>6351</v>
      </c>
      <c r="F3575" s="10" t="s">
        <v>748</v>
      </c>
      <c r="G3575" s="10" t="s">
        <v>6352</v>
      </c>
      <c r="H3575" s="11">
        <v>40885</v>
      </c>
      <c r="I3575" s="10">
        <v>1973</v>
      </c>
      <c r="J3575" s="10" t="s">
        <v>6351</v>
      </c>
      <c r="K3575" s="10">
        <v>96</v>
      </c>
      <c r="L3575" s="10" t="s">
        <v>21529</v>
      </c>
      <c r="M3575" s="10">
        <v>1</v>
      </c>
      <c r="N3575" s="10" t="s">
        <v>21400</v>
      </c>
      <c r="O3575" s="10"/>
      <c r="P3575" s="10" t="s">
        <v>21530</v>
      </c>
      <c r="Q3575" s="10">
        <v>370.11</v>
      </c>
      <c r="R3575" s="10" t="s">
        <v>54</v>
      </c>
      <c r="S3575" s="10" t="s">
        <v>53</v>
      </c>
      <c r="T3575" s="10" t="s">
        <v>54</v>
      </c>
    </row>
    <row r="3576" spans="1:20" ht="14.5" x14ac:dyDescent="0.35">
      <c r="A3576" s="10" t="s">
        <v>21531</v>
      </c>
      <c r="B3576" s="10" t="str">
        <f>"9780415880824"</f>
        <v>9780415880824</v>
      </c>
      <c r="C3576" s="10" t="str">
        <f>"9780203128213"</f>
        <v>9780203128213</v>
      </c>
      <c r="D3576" s="10" t="s">
        <v>6350</v>
      </c>
      <c r="E3576" s="10" t="s">
        <v>6351</v>
      </c>
      <c r="F3576" s="10" t="s">
        <v>139</v>
      </c>
      <c r="G3576" s="10" t="s">
        <v>6352</v>
      </c>
      <c r="H3576" s="11">
        <v>40519</v>
      </c>
      <c r="I3576" s="10">
        <v>2011</v>
      </c>
      <c r="J3576" s="10" t="s">
        <v>6353</v>
      </c>
      <c r="K3576" s="10">
        <v>281</v>
      </c>
      <c r="L3576" s="10" t="s">
        <v>21532</v>
      </c>
      <c r="M3576" s="10">
        <v>1</v>
      </c>
      <c r="N3576" s="10" t="s">
        <v>6954</v>
      </c>
      <c r="O3576" s="10"/>
      <c r="P3576" s="10" t="s">
        <v>21533</v>
      </c>
      <c r="Q3576" s="10">
        <v>371.26209512499997</v>
      </c>
      <c r="R3576" s="10" t="s">
        <v>6755</v>
      </c>
      <c r="S3576" s="10" t="s">
        <v>53</v>
      </c>
      <c r="T3576" s="10" t="s">
        <v>54</v>
      </c>
    </row>
    <row r="3577" spans="1:20" ht="14.5" x14ac:dyDescent="0.35">
      <c r="A3577" s="10" t="s">
        <v>21534</v>
      </c>
      <c r="B3577" s="10" t="str">
        <f>"9780415697637"</f>
        <v>9780415697637</v>
      </c>
      <c r="C3577" s="10" t="str">
        <f>"9780203138694"</f>
        <v>9780203138694</v>
      </c>
      <c r="D3577" s="10" t="s">
        <v>6350</v>
      </c>
      <c r="E3577" s="10" t="s">
        <v>6351</v>
      </c>
      <c r="F3577" s="10" t="s">
        <v>139</v>
      </c>
      <c r="G3577" s="10" t="s">
        <v>6352</v>
      </c>
      <c r="H3577" s="11">
        <v>40885</v>
      </c>
      <c r="I3577" s="10">
        <v>1991</v>
      </c>
      <c r="J3577" s="10" t="s">
        <v>6353</v>
      </c>
      <c r="K3577" s="10">
        <v>313</v>
      </c>
      <c r="L3577" s="10" t="s">
        <v>7313</v>
      </c>
      <c r="M3577" s="10">
        <v>1</v>
      </c>
      <c r="N3577" s="10" t="s">
        <v>21400</v>
      </c>
      <c r="O3577" s="10"/>
      <c r="P3577" s="10" t="s">
        <v>21535</v>
      </c>
      <c r="Q3577" s="10">
        <v>370.11399999999998</v>
      </c>
      <c r="R3577" s="10" t="s">
        <v>21536</v>
      </c>
      <c r="S3577" s="10" t="s">
        <v>53</v>
      </c>
      <c r="T3577" s="10" t="s">
        <v>54</v>
      </c>
    </row>
    <row r="3578" spans="1:20" ht="14.5" x14ac:dyDescent="0.35">
      <c r="A3578" s="10" t="s">
        <v>21537</v>
      </c>
      <c r="B3578" s="10" t="str">
        <f>"9780415675390"</f>
        <v>9780415675390</v>
      </c>
      <c r="C3578" s="10" t="str">
        <f>"9780203808689"</f>
        <v>9780203808689</v>
      </c>
      <c r="D3578" s="10" t="s">
        <v>6350</v>
      </c>
      <c r="E3578" s="10" t="s">
        <v>6351</v>
      </c>
      <c r="F3578" s="10" t="s">
        <v>748</v>
      </c>
      <c r="G3578" s="10" t="s">
        <v>6352</v>
      </c>
      <c r="H3578" s="11">
        <v>40885</v>
      </c>
      <c r="I3578" s="10">
        <v>1938</v>
      </c>
      <c r="J3578" s="10" t="s">
        <v>6351</v>
      </c>
      <c r="K3578" s="10">
        <v>250</v>
      </c>
      <c r="L3578" s="10" t="s">
        <v>21538</v>
      </c>
      <c r="M3578" s="10">
        <v>1</v>
      </c>
      <c r="N3578" s="10" t="s">
        <v>21400</v>
      </c>
      <c r="O3578" s="10"/>
      <c r="P3578" s="10" t="s">
        <v>21539</v>
      </c>
      <c r="Q3578" s="10">
        <v>371.07</v>
      </c>
      <c r="R3578" s="10" t="s">
        <v>21540</v>
      </c>
      <c r="S3578" s="10" t="s">
        <v>53</v>
      </c>
      <c r="T3578" s="10" t="s">
        <v>54</v>
      </c>
    </row>
    <row r="3579" spans="1:20" ht="14.5" x14ac:dyDescent="0.35">
      <c r="A3579" s="10" t="s">
        <v>21541</v>
      </c>
      <c r="B3579" s="10" t="str">
        <f>"9780415697002"</f>
        <v>9780415697002</v>
      </c>
      <c r="C3579" s="10" t="str">
        <f>"9780203125410"</f>
        <v>9780203125410</v>
      </c>
      <c r="D3579" s="10" t="s">
        <v>6350</v>
      </c>
      <c r="E3579" s="10" t="s">
        <v>6351</v>
      </c>
      <c r="F3579" s="10" t="s">
        <v>139</v>
      </c>
      <c r="G3579" s="10" t="s">
        <v>6352</v>
      </c>
      <c r="H3579" s="11">
        <v>40885</v>
      </c>
      <c r="I3579" s="10">
        <v>2012</v>
      </c>
      <c r="J3579" s="10" t="s">
        <v>6353</v>
      </c>
      <c r="K3579" s="10">
        <v>187</v>
      </c>
      <c r="L3579" s="10" t="s">
        <v>21542</v>
      </c>
      <c r="M3579" s="10">
        <v>1</v>
      </c>
      <c r="N3579" s="10" t="s">
        <v>21400</v>
      </c>
      <c r="O3579" s="10"/>
      <c r="P3579" s="10" t="s">
        <v>21543</v>
      </c>
      <c r="Q3579" s="10">
        <v>370.71</v>
      </c>
      <c r="R3579" s="10" t="s">
        <v>21544</v>
      </c>
      <c r="S3579" s="10" t="s">
        <v>53</v>
      </c>
      <c r="T3579" s="10" t="s">
        <v>54</v>
      </c>
    </row>
    <row r="3580" spans="1:20" ht="14.5" x14ac:dyDescent="0.35">
      <c r="A3580" s="10" t="s">
        <v>21545</v>
      </c>
      <c r="B3580" s="10" t="str">
        <f>"9780415898904"</f>
        <v>9780415898904</v>
      </c>
      <c r="C3580" s="10" t="str">
        <f>"9780203120033"</f>
        <v>9780203120033</v>
      </c>
      <c r="D3580" s="10" t="s">
        <v>6350</v>
      </c>
      <c r="E3580" s="10" t="s">
        <v>6351</v>
      </c>
      <c r="F3580" s="10" t="s">
        <v>5406</v>
      </c>
      <c r="G3580" s="10" t="s">
        <v>6317</v>
      </c>
      <c r="H3580" s="11">
        <v>40989</v>
      </c>
      <c r="I3580" s="10">
        <v>2012</v>
      </c>
      <c r="J3580" s="10" t="s">
        <v>6353</v>
      </c>
      <c r="K3580" s="10">
        <v>261</v>
      </c>
      <c r="L3580" s="10" t="s">
        <v>17358</v>
      </c>
      <c r="M3580" s="10">
        <v>1</v>
      </c>
      <c r="N3580" s="10" t="s">
        <v>6954</v>
      </c>
      <c r="O3580" s="10"/>
      <c r="P3580" s="10" t="s">
        <v>21546</v>
      </c>
      <c r="Q3580" s="10" t="s">
        <v>18744</v>
      </c>
      <c r="R3580" s="10" t="s">
        <v>21547</v>
      </c>
      <c r="S3580" s="10" t="s">
        <v>53</v>
      </c>
      <c r="T3580" s="10" t="s">
        <v>6634</v>
      </c>
    </row>
    <row r="3581" spans="1:20" ht="14.5" x14ac:dyDescent="0.35">
      <c r="A3581" s="10" t="s">
        <v>21548</v>
      </c>
      <c r="B3581" s="10" t="str">
        <f>"9780415549585"</f>
        <v>9780415549585</v>
      </c>
      <c r="C3581" s="10" t="str">
        <f>"9780203135891"</f>
        <v>9780203135891</v>
      </c>
      <c r="D3581" s="10" t="s">
        <v>6350</v>
      </c>
      <c r="E3581" s="10" t="s">
        <v>6351</v>
      </c>
      <c r="F3581" s="10" t="s">
        <v>139</v>
      </c>
      <c r="G3581" s="10" t="s">
        <v>6352</v>
      </c>
      <c r="H3581" s="11">
        <v>40949</v>
      </c>
      <c r="I3581" s="10">
        <v>2012</v>
      </c>
      <c r="J3581" s="10" t="s">
        <v>6353</v>
      </c>
      <c r="K3581" s="10">
        <v>158</v>
      </c>
      <c r="L3581" s="10" t="s">
        <v>21549</v>
      </c>
      <c r="M3581" s="10">
        <v>1</v>
      </c>
      <c r="N3581" s="10" t="s">
        <v>21550</v>
      </c>
      <c r="O3581" s="10"/>
      <c r="P3581" s="10" t="s">
        <v>21551</v>
      </c>
      <c r="Q3581" s="10">
        <v>372.11020940999998</v>
      </c>
      <c r="R3581" s="10" t="s">
        <v>21552</v>
      </c>
      <c r="S3581" s="10" t="s">
        <v>53</v>
      </c>
      <c r="T3581" s="10" t="s">
        <v>54</v>
      </c>
    </row>
    <row r="3582" spans="1:20" ht="14.5" x14ac:dyDescent="0.35">
      <c r="A3582" s="10" t="s">
        <v>21553</v>
      </c>
      <c r="B3582" s="10" t="str">
        <f>"9780415880503"</f>
        <v>9780415880503</v>
      </c>
      <c r="C3582" s="10" t="str">
        <f>"9780203849576"</f>
        <v>9780203849576</v>
      </c>
      <c r="D3582" s="10" t="s">
        <v>6350</v>
      </c>
      <c r="E3582" s="10" t="s">
        <v>6351</v>
      </c>
      <c r="F3582" s="10" t="s">
        <v>5406</v>
      </c>
      <c r="G3582" s="10" t="s">
        <v>6317</v>
      </c>
      <c r="H3582" s="11">
        <v>40822</v>
      </c>
      <c r="I3582" s="10">
        <v>2012</v>
      </c>
      <c r="J3582" s="10" t="s">
        <v>6353</v>
      </c>
      <c r="K3582" s="10">
        <v>307</v>
      </c>
      <c r="L3582" s="10" t="s">
        <v>21554</v>
      </c>
      <c r="M3582" s="10">
        <v>1</v>
      </c>
      <c r="N3582" s="10" t="s">
        <v>21555</v>
      </c>
      <c r="O3582" s="10"/>
      <c r="P3582" s="10" t="s">
        <v>21556</v>
      </c>
      <c r="Q3582" s="10" t="s">
        <v>9870</v>
      </c>
      <c r="R3582" s="10" t="s">
        <v>21557</v>
      </c>
      <c r="S3582" s="10" t="s">
        <v>53</v>
      </c>
      <c r="T3582" s="10" t="s">
        <v>54</v>
      </c>
    </row>
    <row r="3583" spans="1:20" ht="14.5" x14ac:dyDescent="0.35">
      <c r="A3583" s="10" t="s">
        <v>21558</v>
      </c>
      <c r="B3583" s="10" t="str">
        <f>"9780415689434"</f>
        <v>9780415689434</v>
      </c>
      <c r="C3583" s="10" t="str">
        <f>"9780203138663"</f>
        <v>9780203138663</v>
      </c>
      <c r="D3583" s="10" t="s">
        <v>6350</v>
      </c>
      <c r="E3583" s="10" t="s">
        <v>6351</v>
      </c>
      <c r="F3583" s="10" t="s">
        <v>139</v>
      </c>
      <c r="G3583" s="10" t="s">
        <v>6352</v>
      </c>
      <c r="H3583" s="11">
        <v>40885</v>
      </c>
      <c r="I3583" s="10">
        <v>2012</v>
      </c>
      <c r="J3583" s="10" t="s">
        <v>6353</v>
      </c>
      <c r="K3583" s="10">
        <v>209</v>
      </c>
      <c r="L3583" s="10" t="s">
        <v>21559</v>
      </c>
      <c r="M3583" s="10">
        <v>1</v>
      </c>
      <c r="N3583" s="10" t="s">
        <v>21400</v>
      </c>
      <c r="O3583" s="10"/>
      <c r="P3583" s="10" t="s">
        <v>21560</v>
      </c>
      <c r="Q3583" s="10">
        <v>372.01</v>
      </c>
      <c r="R3583" s="10" t="s">
        <v>21561</v>
      </c>
      <c r="S3583" s="10" t="s">
        <v>53</v>
      </c>
      <c r="T3583" s="10" t="s">
        <v>54</v>
      </c>
    </row>
    <row r="3584" spans="1:20" ht="14.5" x14ac:dyDescent="0.35">
      <c r="A3584" s="10" t="s">
        <v>21562</v>
      </c>
      <c r="B3584" s="10" t="str">
        <f>"9780415689144"</f>
        <v>9780415689144</v>
      </c>
      <c r="C3584" s="10" t="str">
        <f>"9780203181249"</f>
        <v>9780203181249</v>
      </c>
      <c r="D3584" s="10" t="s">
        <v>6350</v>
      </c>
      <c r="E3584" s="10" t="s">
        <v>6351</v>
      </c>
      <c r="F3584" s="10" t="s">
        <v>139</v>
      </c>
      <c r="G3584" s="10" t="s">
        <v>6352</v>
      </c>
      <c r="H3584" s="11">
        <v>40885</v>
      </c>
      <c r="I3584" s="10">
        <v>1958</v>
      </c>
      <c r="J3584" s="10" t="s">
        <v>6353</v>
      </c>
      <c r="K3584" s="10">
        <v>233</v>
      </c>
      <c r="L3584" s="10" t="s">
        <v>21563</v>
      </c>
      <c r="M3584" s="10">
        <v>1</v>
      </c>
      <c r="N3584" s="10" t="s">
        <v>21400</v>
      </c>
      <c r="O3584" s="10"/>
      <c r="P3584" s="10" t="s">
        <v>21564</v>
      </c>
      <c r="Q3584" s="10">
        <v>373.42</v>
      </c>
      <c r="R3584" s="10" t="s">
        <v>21565</v>
      </c>
      <c r="S3584" s="10" t="s">
        <v>53</v>
      </c>
      <c r="T3584" s="10" t="s">
        <v>54</v>
      </c>
    </row>
    <row r="3585" spans="1:20" ht="14.5" x14ac:dyDescent="0.35">
      <c r="A3585" s="10" t="s">
        <v>21566</v>
      </c>
      <c r="B3585" s="10" t="str">
        <f>"9780415885645"</f>
        <v>9780415885645</v>
      </c>
      <c r="C3585" s="10" t="str">
        <f>"9780203839164"</f>
        <v>9780203839164</v>
      </c>
      <c r="D3585" s="10" t="s">
        <v>6350</v>
      </c>
      <c r="E3585" s="10" t="s">
        <v>6351</v>
      </c>
      <c r="F3585" s="10" t="s">
        <v>5406</v>
      </c>
      <c r="G3585" s="10" t="s">
        <v>6317</v>
      </c>
      <c r="H3585" s="11">
        <v>40779</v>
      </c>
      <c r="I3585" s="10">
        <v>2012</v>
      </c>
      <c r="J3585" s="10" t="s">
        <v>6353</v>
      </c>
      <c r="K3585" s="10">
        <v>152</v>
      </c>
      <c r="L3585" s="10" t="s">
        <v>21567</v>
      </c>
      <c r="M3585" s="10">
        <v>1</v>
      </c>
      <c r="N3585" s="10"/>
      <c r="O3585" s="10"/>
      <c r="P3585" s="10" t="s">
        <v>21568</v>
      </c>
      <c r="Q3585" s="10" t="s">
        <v>7335</v>
      </c>
      <c r="R3585" s="10" t="s">
        <v>16738</v>
      </c>
      <c r="S3585" s="10" t="s">
        <v>53</v>
      </c>
      <c r="T3585" s="10" t="s">
        <v>54</v>
      </c>
    </row>
    <row r="3586" spans="1:20" ht="14.5" x14ac:dyDescent="0.35">
      <c r="A3586" s="10" t="s">
        <v>21569</v>
      </c>
      <c r="B3586" s="10" t="str">
        <f>"9780415896061"</f>
        <v>9780415896061</v>
      </c>
      <c r="C3586" s="10" t="str">
        <f>"9780203124512"</f>
        <v>9780203124512</v>
      </c>
      <c r="D3586" s="10" t="s">
        <v>6350</v>
      </c>
      <c r="E3586" s="10" t="s">
        <v>6351</v>
      </c>
      <c r="F3586" s="10" t="s">
        <v>139</v>
      </c>
      <c r="G3586" s="10" t="s">
        <v>6352</v>
      </c>
      <c r="H3586" s="11">
        <v>40973</v>
      </c>
      <c r="I3586" s="10">
        <v>2012</v>
      </c>
      <c r="J3586" s="10" t="s">
        <v>6353</v>
      </c>
      <c r="K3586" s="10">
        <v>167</v>
      </c>
      <c r="L3586" s="10" t="s">
        <v>21570</v>
      </c>
      <c r="M3586" s="10">
        <v>1</v>
      </c>
      <c r="N3586" s="10"/>
      <c r="O3586" s="10"/>
      <c r="P3586" s="10" t="s">
        <v>21571</v>
      </c>
      <c r="Q3586" s="10">
        <v>370.11700000000002</v>
      </c>
      <c r="R3586" s="10" t="s">
        <v>21354</v>
      </c>
      <c r="S3586" s="10" t="s">
        <v>53</v>
      </c>
      <c r="T3586" s="10" t="s">
        <v>54</v>
      </c>
    </row>
    <row r="3587" spans="1:20" ht="14.5" x14ac:dyDescent="0.35">
      <c r="A3587" s="10" t="s">
        <v>21572</v>
      </c>
      <c r="B3587" s="10" t="str">
        <f>"9780415573702"</f>
        <v>9780415573702</v>
      </c>
      <c r="C3587" s="10" t="str">
        <f>"9780203818237"</f>
        <v>9780203818237</v>
      </c>
      <c r="D3587" s="10" t="s">
        <v>6350</v>
      </c>
      <c r="E3587" s="10" t="s">
        <v>6351</v>
      </c>
      <c r="F3587" s="10" t="s">
        <v>5406</v>
      </c>
      <c r="G3587" s="10" t="s">
        <v>6317</v>
      </c>
      <c r="H3587" s="11">
        <v>40830</v>
      </c>
      <c r="I3587" s="10">
        <v>2012</v>
      </c>
      <c r="J3587" s="10" t="s">
        <v>6353</v>
      </c>
      <c r="K3587" s="10">
        <v>153</v>
      </c>
      <c r="L3587" s="10" t="s">
        <v>21573</v>
      </c>
      <c r="M3587" s="10">
        <v>1</v>
      </c>
      <c r="N3587" s="10"/>
      <c r="O3587" s="10"/>
      <c r="P3587" s="10" t="s">
        <v>21574</v>
      </c>
      <c r="Q3587" s="10">
        <v>378.125</v>
      </c>
      <c r="R3587" s="10" t="s">
        <v>21575</v>
      </c>
      <c r="S3587" s="10" t="s">
        <v>53</v>
      </c>
      <c r="T3587" s="10" t="s">
        <v>54</v>
      </c>
    </row>
    <row r="3588" spans="1:20" ht="14.5" x14ac:dyDescent="0.35">
      <c r="A3588" s="10" t="s">
        <v>21576</v>
      </c>
      <c r="B3588" s="10" t="str">
        <f>"9780415693820"</f>
        <v>9780415693820</v>
      </c>
      <c r="C3588" s="10" t="str">
        <f>"9780203152881"</f>
        <v>9780203152881</v>
      </c>
      <c r="D3588" s="10" t="s">
        <v>6350</v>
      </c>
      <c r="E3588" s="10" t="s">
        <v>6351</v>
      </c>
      <c r="F3588" s="10" t="s">
        <v>748</v>
      </c>
      <c r="G3588" s="10" t="s">
        <v>6352</v>
      </c>
      <c r="H3588" s="11">
        <v>40933</v>
      </c>
      <c r="I3588" s="10">
        <v>2012</v>
      </c>
      <c r="J3588" s="10" t="s">
        <v>6351</v>
      </c>
      <c r="K3588" s="10">
        <v>105</v>
      </c>
      <c r="L3588" s="10" t="s">
        <v>6606</v>
      </c>
      <c r="M3588" s="10">
        <v>2</v>
      </c>
      <c r="N3588" s="10" t="s">
        <v>17948</v>
      </c>
      <c r="O3588" s="10"/>
      <c r="P3588" s="10" t="s">
        <v>21577</v>
      </c>
      <c r="Q3588" s="10">
        <v>371.94</v>
      </c>
      <c r="R3588" s="10" t="s">
        <v>21578</v>
      </c>
      <c r="S3588" s="10" t="s">
        <v>53</v>
      </c>
      <c r="T3588" s="10" t="s">
        <v>54</v>
      </c>
    </row>
    <row r="3589" spans="1:20" ht="14.5" x14ac:dyDescent="0.35">
      <c r="A3589" s="10" t="s">
        <v>21579</v>
      </c>
      <c r="B3589" s="10" t="str">
        <f>"9780415677080"</f>
        <v>9780415677080</v>
      </c>
      <c r="C3589" s="10" t="str">
        <f>"9780203808528"</f>
        <v>9780203808528</v>
      </c>
      <c r="D3589" s="10" t="s">
        <v>6350</v>
      </c>
      <c r="E3589" s="10" t="s">
        <v>6351</v>
      </c>
      <c r="F3589" s="10" t="s">
        <v>748</v>
      </c>
      <c r="G3589" s="10" t="s">
        <v>6352</v>
      </c>
      <c r="H3589" s="11">
        <v>40885</v>
      </c>
      <c r="I3589" s="10">
        <v>2012</v>
      </c>
      <c r="J3589" s="10" t="s">
        <v>6351</v>
      </c>
      <c r="K3589" s="10">
        <v>233</v>
      </c>
      <c r="L3589" s="10" t="s">
        <v>21580</v>
      </c>
      <c r="M3589" s="10">
        <v>1</v>
      </c>
      <c r="N3589" s="10" t="s">
        <v>21400</v>
      </c>
      <c r="O3589" s="10"/>
      <c r="P3589" s="10" t="s">
        <v>21581</v>
      </c>
      <c r="Q3589" s="10">
        <v>370.11500000000001</v>
      </c>
      <c r="R3589" s="10" t="s">
        <v>21582</v>
      </c>
      <c r="S3589" s="10" t="s">
        <v>53</v>
      </c>
      <c r="T3589" s="10" t="s">
        <v>54</v>
      </c>
    </row>
    <row r="3590" spans="1:20" ht="14.5" x14ac:dyDescent="0.35">
      <c r="A3590" s="10" t="s">
        <v>21583</v>
      </c>
      <c r="B3590" s="10" t="str">
        <f>"9780415874687"</f>
        <v>9780415874687</v>
      </c>
      <c r="C3590" s="10" t="str">
        <f>"9780203840481"</f>
        <v>9780203840481</v>
      </c>
      <c r="D3590" s="10" t="s">
        <v>6350</v>
      </c>
      <c r="E3590" s="10" t="s">
        <v>6351</v>
      </c>
      <c r="F3590" s="10" t="s">
        <v>139</v>
      </c>
      <c r="G3590" s="10" t="s">
        <v>6352</v>
      </c>
      <c r="H3590" s="11">
        <v>40470</v>
      </c>
      <c r="I3590" s="10">
        <v>2011</v>
      </c>
      <c r="J3590" s="10" t="s">
        <v>6353</v>
      </c>
      <c r="K3590" s="10">
        <v>240</v>
      </c>
      <c r="L3590" s="10" t="s">
        <v>21584</v>
      </c>
      <c r="M3590" s="10">
        <v>1</v>
      </c>
      <c r="N3590" s="10"/>
      <c r="O3590" s="10"/>
      <c r="P3590" s="10" t="s">
        <v>21585</v>
      </c>
      <c r="Q3590" s="10" t="s">
        <v>11117</v>
      </c>
      <c r="R3590" s="10" t="s">
        <v>21586</v>
      </c>
      <c r="S3590" s="10" t="s">
        <v>53</v>
      </c>
      <c r="T3590" s="10" t="s">
        <v>54</v>
      </c>
    </row>
    <row r="3591" spans="1:20" ht="14.5" x14ac:dyDescent="0.35">
      <c r="A3591" s="10" t="s">
        <v>21587</v>
      </c>
      <c r="B3591" s="10" t="str">
        <f>"9780415591256"</f>
        <v>9780415591256</v>
      </c>
      <c r="C3591" s="10" t="str">
        <f>"9780203803035"</f>
        <v>9780203803035</v>
      </c>
      <c r="D3591" s="10" t="s">
        <v>6350</v>
      </c>
      <c r="E3591" s="10" t="s">
        <v>6351</v>
      </c>
      <c r="F3591" s="10" t="s">
        <v>5406</v>
      </c>
      <c r="G3591" s="10" t="s">
        <v>6317</v>
      </c>
      <c r="H3591" s="11">
        <v>40821</v>
      </c>
      <c r="I3591" s="10">
        <v>2012</v>
      </c>
      <c r="J3591" s="10" t="s">
        <v>6353</v>
      </c>
      <c r="K3591" s="10">
        <v>201</v>
      </c>
      <c r="L3591" s="10" t="s">
        <v>21588</v>
      </c>
      <c r="M3591" s="10">
        <v>1</v>
      </c>
      <c r="N3591" s="10"/>
      <c r="O3591" s="10"/>
      <c r="P3591" s="10" t="s">
        <v>21589</v>
      </c>
      <c r="Q3591" s="10">
        <v>613.71</v>
      </c>
      <c r="R3591" s="10" t="s">
        <v>21590</v>
      </c>
      <c r="S3591" s="10" t="s">
        <v>53</v>
      </c>
      <c r="T3591" s="10" t="s">
        <v>6791</v>
      </c>
    </row>
    <row r="3592" spans="1:20" ht="14.5" x14ac:dyDescent="0.35">
      <c r="A3592" s="10" t="s">
        <v>21591</v>
      </c>
      <c r="B3592" s="10" t="str">
        <f>"9780415689557"</f>
        <v>9780415689557</v>
      </c>
      <c r="C3592" s="10" t="str">
        <f>"9780203182437"</f>
        <v>9780203182437</v>
      </c>
      <c r="D3592" s="10" t="s">
        <v>6350</v>
      </c>
      <c r="E3592" s="10" t="s">
        <v>6351</v>
      </c>
      <c r="F3592" s="10" t="s">
        <v>748</v>
      </c>
      <c r="G3592" s="10" t="s">
        <v>6352</v>
      </c>
      <c r="H3592" s="11">
        <v>40849</v>
      </c>
      <c r="I3592" s="10">
        <v>2012</v>
      </c>
      <c r="J3592" s="10" t="s">
        <v>6351</v>
      </c>
      <c r="K3592" s="10">
        <v>177</v>
      </c>
      <c r="L3592" s="10" t="s">
        <v>21592</v>
      </c>
      <c r="M3592" s="10">
        <v>1</v>
      </c>
      <c r="N3592" s="10" t="s">
        <v>21593</v>
      </c>
      <c r="O3592" s="10"/>
      <c r="P3592" s="10" t="s">
        <v>21594</v>
      </c>
      <c r="Q3592" s="10">
        <v>371.26097299999998</v>
      </c>
      <c r="R3592" s="10" t="s">
        <v>21595</v>
      </c>
      <c r="S3592" s="10" t="s">
        <v>53</v>
      </c>
      <c r="T3592" s="10" t="s">
        <v>54</v>
      </c>
    </row>
    <row r="3593" spans="1:20" ht="14.5" x14ac:dyDescent="0.35">
      <c r="A3593" s="10" t="s">
        <v>21596</v>
      </c>
      <c r="B3593" s="10" t="str">
        <f>"9780415668255"</f>
        <v>9780415668255</v>
      </c>
      <c r="C3593" s="10" t="str">
        <f>"9780203816486"</f>
        <v>9780203816486</v>
      </c>
      <c r="D3593" s="10" t="s">
        <v>6350</v>
      </c>
      <c r="E3593" s="10" t="s">
        <v>6351</v>
      </c>
      <c r="F3593" s="10" t="s">
        <v>5406</v>
      </c>
      <c r="G3593" s="10" t="s">
        <v>6317</v>
      </c>
      <c r="H3593" s="11">
        <v>40885</v>
      </c>
      <c r="I3593" s="10">
        <v>2012</v>
      </c>
      <c r="J3593" s="10" t="s">
        <v>6353</v>
      </c>
      <c r="K3593" s="10">
        <v>206</v>
      </c>
      <c r="L3593" s="10" t="s">
        <v>21597</v>
      </c>
      <c r="M3593" s="10">
        <v>1</v>
      </c>
      <c r="N3593" s="10" t="s">
        <v>21400</v>
      </c>
      <c r="O3593" s="10"/>
      <c r="P3593" s="10" t="s">
        <v>21598</v>
      </c>
      <c r="Q3593" s="10">
        <v>370.947</v>
      </c>
      <c r="R3593" s="10" t="s">
        <v>21599</v>
      </c>
      <c r="S3593" s="10" t="s">
        <v>53</v>
      </c>
      <c r="T3593" s="10" t="s">
        <v>54</v>
      </c>
    </row>
    <row r="3594" spans="1:20" ht="14.5" x14ac:dyDescent="0.35">
      <c r="A3594" s="10" t="s">
        <v>21600</v>
      </c>
      <c r="B3594" s="10" t="str">
        <f>"9780415781596"</f>
        <v>9780415781596</v>
      </c>
      <c r="C3594" s="10" t="str">
        <f>"9780203807156"</f>
        <v>9780203807156</v>
      </c>
      <c r="D3594" s="10" t="s">
        <v>6350</v>
      </c>
      <c r="E3594" s="10" t="s">
        <v>6351</v>
      </c>
      <c r="F3594" s="10" t="s">
        <v>5406</v>
      </c>
      <c r="G3594" s="10" t="s">
        <v>6317</v>
      </c>
      <c r="H3594" s="11">
        <v>40851</v>
      </c>
      <c r="I3594" s="10">
        <v>2012</v>
      </c>
      <c r="J3594" s="10" t="s">
        <v>6353</v>
      </c>
      <c r="K3594" s="10">
        <v>241</v>
      </c>
      <c r="L3594" s="10" t="s">
        <v>21601</v>
      </c>
      <c r="M3594" s="10">
        <v>1</v>
      </c>
      <c r="N3594" s="10" t="s">
        <v>14444</v>
      </c>
      <c r="O3594" s="10"/>
      <c r="P3594" s="10" t="s">
        <v>21602</v>
      </c>
      <c r="Q3594" s="10" t="s">
        <v>21603</v>
      </c>
      <c r="R3594" s="10" t="s">
        <v>21604</v>
      </c>
      <c r="S3594" s="10" t="s">
        <v>53</v>
      </c>
      <c r="T3594" s="10" t="s">
        <v>7023</v>
      </c>
    </row>
    <row r="3595" spans="1:20" ht="14.5" x14ac:dyDescent="0.35">
      <c r="A3595" s="10" t="s">
        <v>21605</v>
      </c>
      <c r="B3595" s="10" t="str">
        <f>"9780415675451"</f>
        <v>9780415675451</v>
      </c>
      <c r="C3595" s="10" t="str">
        <f>"9780203808627"</f>
        <v>9780203808627</v>
      </c>
      <c r="D3595" s="10" t="s">
        <v>6350</v>
      </c>
      <c r="E3595" s="10" t="s">
        <v>6351</v>
      </c>
      <c r="F3595" s="10" t="s">
        <v>748</v>
      </c>
      <c r="G3595" s="10" t="s">
        <v>6352</v>
      </c>
      <c r="H3595" s="11">
        <v>40885</v>
      </c>
      <c r="I3595" s="10">
        <v>1966</v>
      </c>
      <c r="J3595" s="10" t="s">
        <v>6351</v>
      </c>
      <c r="K3595" s="10">
        <v>113</v>
      </c>
      <c r="L3595" s="10" t="s">
        <v>21606</v>
      </c>
      <c r="M3595" s="10">
        <v>1</v>
      </c>
      <c r="N3595" s="10" t="s">
        <v>21400</v>
      </c>
      <c r="O3595" s="10"/>
      <c r="P3595" s="10" t="s">
        <v>21607</v>
      </c>
      <c r="Q3595" s="10">
        <v>371.070941</v>
      </c>
      <c r="R3595" s="10" t="s">
        <v>21608</v>
      </c>
      <c r="S3595" s="10" t="s">
        <v>53</v>
      </c>
      <c r="T3595" s="10" t="s">
        <v>13459</v>
      </c>
    </row>
    <row r="3596" spans="1:20" ht="14.5" x14ac:dyDescent="0.35">
      <c r="A3596" s="10" t="s">
        <v>21609</v>
      </c>
      <c r="B3596" s="10" t="str">
        <f>"9780415893855"</f>
        <v>9780415893855</v>
      </c>
      <c r="C3596" s="10" t="str">
        <f>"9780203815502"</f>
        <v>9780203815502</v>
      </c>
      <c r="D3596" s="10" t="s">
        <v>6350</v>
      </c>
      <c r="E3596" s="10" t="s">
        <v>6351</v>
      </c>
      <c r="F3596" s="10" t="s">
        <v>5406</v>
      </c>
      <c r="G3596" s="10" t="s">
        <v>6317</v>
      </c>
      <c r="H3596" s="11">
        <v>40819</v>
      </c>
      <c r="I3596" s="10">
        <v>2012</v>
      </c>
      <c r="J3596" s="10" t="s">
        <v>6353</v>
      </c>
      <c r="K3596" s="10">
        <v>121</v>
      </c>
      <c r="L3596" s="10" t="s">
        <v>21610</v>
      </c>
      <c r="M3596" s="10">
        <v>1</v>
      </c>
      <c r="N3596" s="10"/>
      <c r="O3596" s="10"/>
      <c r="P3596" s="10" t="s">
        <v>21611</v>
      </c>
      <c r="Q3596" s="10">
        <v>371.10199999999998</v>
      </c>
      <c r="R3596" s="10" t="s">
        <v>21612</v>
      </c>
      <c r="S3596" s="10" t="s">
        <v>53</v>
      </c>
      <c r="T3596" s="10" t="s">
        <v>54</v>
      </c>
    </row>
    <row r="3597" spans="1:20" ht="14.5" x14ac:dyDescent="0.35">
      <c r="A3597" s="10" t="s">
        <v>21613</v>
      </c>
      <c r="B3597" s="10" t="str">
        <f>"9780415684736"</f>
        <v>9780415684736</v>
      </c>
      <c r="C3597" s="10" t="str">
        <f>"9780203802946"</f>
        <v>9780203802946</v>
      </c>
      <c r="D3597" s="10" t="s">
        <v>6350</v>
      </c>
      <c r="E3597" s="10" t="s">
        <v>6351</v>
      </c>
      <c r="F3597" s="10" t="s">
        <v>748</v>
      </c>
      <c r="G3597" s="10" t="s">
        <v>6352</v>
      </c>
      <c r="H3597" s="11">
        <v>40863</v>
      </c>
      <c r="I3597" s="10">
        <v>2012</v>
      </c>
      <c r="J3597" s="10" t="s">
        <v>6351</v>
      </c>
      <c r="K3597" s="10">
        <v>229</v>
      </c>
      <c r="L3597" s="10" t="s">
        <v>21614</v>
      </c>
      <c r="M3597" s="10">
        <v>1</v>
      </c>
      <c r="N3597" s="10" t="s">
        <v>21615</v>
      </c>
      <c r="O3597" s="10"/>
      <c r="P3597" s="10" t="s">
        <v>21616</v>
      </c>
      <c r="Q3597" s="10">
        <v>370</v>
      </c>
      <c r="R3597" s="10" t="s">
        <v>54</v>
      </c>
      <c r="S3597" s="10" t="s">
        <v>53</v>
      </c>
      <c r="T3597" s="10" t="s">
        <v>54</v>
      </c>
    </row>
    <row r="3598" spans="1:20" ht="14.5" x14ac:dyDescent="0.35">
      <c r="A3598" s="10" t="s">
        <v>21617</v>
      </c>
      <c r="B3598" s="10" t="str">
        <f>"9780415689199"</f>
        <v>9780415689199</v>
      </c>
      <c r="C3598" s="10" t="str">
        <f>"9780203181201"</f>
        <v>9780203181201</v>
      </c>
      <c r="D3598" s="10" t="s">
        <v>6350</v>
      </c>
      <c r="E3598" s="10" t="s">
        <v>6351</v>
      </c>
      <c r="F3598" s="10" t="s">
        <v>139</v>
      </c>
      <c r="G3598" s="10" t="s">
        <v>6352</v>
      </c>
      <c r="H3598" s="11">
        <v>40885</v>
      </c>
      <c r="I3598" s="10">
        <v>2012</v>
      </c>
      <c r="J3598" s="10" t="s">
        <v>6353</v>
      </c>
      <c r="K3598" s="10">
        <v>281</v>
      </c>
      <c r="L3598" s="10" t="s">
        <v>21618</v>
      </c>
      <c r="M3598" s="10">
        <v>1</v>
      </c>
      <c r="N3598" s="10" t="s">
        <v>21400</v>
      </c>
      <c r="O3598" s="10"/>
      <c r="P3598" s="10" t="s">
        <v>21619</v>
      </c>
      <c r="Q3598" s="10">
        <v>371.10092242000002</v>
      </c>
      <c r="R3598" s="10" t="s">
        <v>21620</v>
      </c>
      <c r="S3598" s="10" t="s">
        <v>53</v>
      </c>
      <c r="T3598" s="10" t="s">
        <v>54</v>
      </c>
    </row>
    <row r="3599" spans="1:20" ht="14.5" x14ac:dyDescent="0.35">
      <c r="A3599" s="10" t="s">
        <v>21621</v>
      </c>
      <c r="B3599" s="10" t="str">
        <f>"9780415891134"</f>
        <v>9780415891134</v>
      </c>
      <c r="C3599" s="10" t="str">
        <f>"9780203828434"</f>
        <v>9780203828434</v>
      </c>
      <c r="D3599" s="10" t="s">
        <v>6350</v>
      </c>
      <c r="E3599" s="10" t="s">
        <v>6351</v>
      </c>
      <c r="F3599" s="10" t="s">
        <v>5406</v>
      </c>
      <c r="G3599" s="10" t="s">
        <v>6317</v>
      </c>
      <c r="H3599" s="11">
        <v>41002</v>
      </c>
      <c r="I3599" s="10">
        <v>2012</v>
      </c>
      <c r="J3599" s="10" t="s">
        <v>6353</v>
      </c>
      <c r="K3599" s="10">
        <v>257</v>
      </c>
      <c r="L3599" s="10" t="s">
        <v>21622</v>
      </c>
      <c r="M3599" s="10">
        <v>1</v>
      </c>
      <c r="N3599" s="10"/>
      <c r="O3599" s="10"/>
      <c r="P3599" s="10" t="s">
        <v>21623</v>
      </c>
      <c r="Q3599" s="10">
        <v>378.12</v>
      </c>
      <c r="R3599" s="10" t="s">
        <v>18492</v>
      </c>
      <c r="S3599" s="10" t="s">
        <v>53</v>
      </c>
      <c r="T3599" s="10" t="s">
        <v>54</v>
      </c>
    </row>
    <row r="3600" spans="1:20" ht="14.5" x14ac:dyDescent="0.35">
      <c r="A3600" s="10" t="s">
        <v>21624</v>
      </c>
      <c r="B3600" s="10" t="str">
        <f>"9780415686563"</f>
        <v>9780415686563</v>
      </c>
      <c r="C3600" s="10" t="str">
        <f>"9780203801550"</f>
        <v>9780203801550</v>
      </c>
      <c r="D3600" s="10" t="s">
        <v>6350</v>
      </c>
      <c r="E3600" s="10" t="s">
        <v>6351</v>
      </c>
      <c r="F3600" s="10" t="s">
        <v>5406</v>
      </c>
      <c r="G3600" s="10" t="s">
        <v>6317</v>
      </c>
      <c r="H3600" s="11">
        <v>40938</v>
      </c>
      <c r="I3600" s="10">
        <v>2012</v>
      </c>
      <c r="J3600" s="10" t="s">
        <v>6353</v>
      </c>
      <c r="K3600" s="10">
        <v>298</v>
      </c>
      <c r="L3600" s="10" t="s">
        <v>21625</v>
      </c>
      <c r="M3600" s="10">
        <v>1</v>
      </c>
      <c r="N3600" s="10"/>
      <c r="O3600" s="10"/>
      <c r="P3600" s="10" t="s">
        <v>21626</v>
      </c>
      <c r="Q3600" s="10">
        <v>370.72073</v>
      </c>
      <c r="R3600" s="10" t="s">
        <v>21627</v>
      </c>
      <c r="S3600" s="10" t="s">
        <v>53</v>
      </c>
      <c r="T3600" s="10" t="s">
        <v>54</v>
      </c>
    </row>
    <row r="3601" spans="1:20" ht="14.5" x14ac:dyDescent="0.35">
      <c r="A3601" s="10" t="s">
        <v>21628</v>
      </c>
      <c r="B3601" s="10" t="str">
        <f>"9781848729063"</f>
        <v>9781848729063</v>
      </c>
      <c r="C3601" s="10" t="str">
        <f>"9780203854150"</f>
        <v>9780203854150</v>
      </c>
      <c r="D3601" s="10" t="s">
        <v>6350</v>
      </c>
      <c r="E3601" s="10" t="s">
        <v>6351</v>
      </c>
      <c r="F3601" s="10" t="s">
        <v>211</v>
      </c>
      <c r="G3601" s="10" t="s">
        <v>6352</v>
      </c>
      <c r="H3601" s="11">
        <v>40834</v>
      </c>
      <c r="I3601" s="10">
        <v>2012</v>
      </c>
      <c r="J3601" s="10" t="s">
        <v>4324</v>
      </c>
      <c r="K3601" s="10">
        <v>317</v>
      </c>
      <c r="L3601" s="10" t="s">
        <v>21629</v>
      </c>
      <c r="M3601" s="10">
        <v>1</v>
      </c>
      <c r="N3601" s="10" t="s">
        <v>21630</v>
      </c>
      <c r="O3601" s="10"/>
      <c r="P3601" s="10" t="s">
        <v>21631</v>
      </c>
      <c r="Q3601" s="10" t="s">
        <v>13351</v>
      </c>
      <c r="R3601" s="10" t="s">
        <v>21632</v>
      </c>
      <c r="S3601" s="10" t="s">
        <v>53</v>
      </c>
      <c r="T3601" s="10" t="s">
        <v>483</v>
      </c>
    </row>
    <row r="3602" spans="1:20" ht="14.5" x14ac:dyDescent="0.35">
      <c r="A3602" s="10" t="s">
        <v>21633</v>
      </c>
      <c r="B3602" s="10" t="str">
        <f>"9780415603058"</f>
        <v>9780415603058</v>
      </c>
      <c r="C3602" s="10" t="str">
        <f>"9780203804421"</f>
        <v>9780203804421</v>
      </c>
      <c r="D3602" s="10" t="s">
        <v>6350</v>
      </c>
      <c r="E3602" s="10" t="s">
        <v>6351</v>
      </c>
      <c r="F3602" s="10" t="s">
        <v>748</v>
      </c>
      <c r="G3602" s="10" t="s">
        <v>6352</v>
      </c>
      <c r="H3602" s="11">
        <v>40806</v>
      </c>
      <c r="I3602" s="10">
        <v>2012</v>
      </c>
      <c r="J3602" s="10" t="s">
        <v>6351</v>
      </c>
      <c r="K3602" s="10">
        <v>361</v>
      </c>
      <c r="L3602" s="10" t="s">
        <v>21634</v>
      </c>
      <c r="M3602" s="10">
        <v>1</v>
      </c>
      <c r="N3602" s="10"/>
      <c r="O3602" s="10"/>
      <c r="P3602" s="10" t="s">
        <v>21635</v>
      </c>
      <c r="Q3602" s="10" t="s">
        <v>21636</v>
      </c>
      <c r="R3602" s="10" t="s">
        <v>21637</v>
      </c>
      <c r="S3602" s="10" t="s">
        <v>53</v>
      </c>
      <c r="T3602" s="10" t="s">
        <v>21638</v>
      </c>
    </row>
    <row r="3603" spans="1:20" ht="14.5" x14ac:dyDescent="0.35">
      <c r="A3603" s="10" t="s">
        <v>21639</v>
      </c>
      <c r="B3603" s="10" t="str">
        <f>"9780415669924"</f>
        <v>9780415669924</v>
      </c>
      <c r="C3603" s="10" t="str">
        <f>"9780203814840"</f>
        <v>9780203814840</v>
      </c>
      <c r="D3603" s="10" t="s">
        <v>6350</v>
      </c>
      <c r="E3603" s="10" t="s">
        <v>6351</v>
      </c>
      <c r="F3603" s="10" t="s">
        <v>139</v>
      </c>
      <c r="G3603" s="10" t="s">
        <v>6352</v>
      </c>
      <c r="H3603" s="11">
        <v>40885</v>
      </c>
      <c r="I3603" s="10">
        <v>1978</v>
      </c>
      <c r="J3603" s="10" t="s">
        <v>6353</v>
      </c>
      <c r="K3603" s="10">
        <v>321</v>
      </c>
      <c r="L3603" s="10" t="s">
        <v>6513</v>
      </c>
      <c r="M3603" s="10">
        <v>1</v>
      </c>
      <c r="N3603" s="10" t="s">
        <v>21400</v>
      </c>
      <c r="O3603" s="10"/>
      <c r="P3603" s="10" t="s">
        <v>21640</v>
      </c>
      <c r="Q3603" s="10" t="s">
        <v>21641</v>
      </c>
      <c r="R3603" s="10" t="s">
        <v>21642</v>
      </c>
      <c r="S3603" s="10" t="s">
        <v>53</v>
      </c>
      <c r="T3603" s="10" t="s">
        <v>54</v>
      </c>
    </row>
    <row r="3604" spans="1:20" ht="14.5" x14ac:dyDescent="0.35">
      <c r="A3604" s="10" t="s">
        <v>21643</v>
      </c>
      <c r="B3604" s="10" t="str">
        <f>"9780415669917"</f>
        <v>9780415669917</v>
      </c>
      <c r="C3604" s="10" t="str">
        <f>"9780203814857"</f>
        <v>9780203814857</v>
      </c>
      <c r="D3604" s="10" t="s">
        <v>6350</v>
      </c>
      <c r="E3604" s="10" t="s">
        <v>6351</v>
      </c>
      <c r="F3604" s="10" t="s">
        <v>748</v>
      </c>
      <c r="G3604" s="10" t="s">
        <v>6352</v>
      </c>
      <c r="H3604" s="11">
        <v>40885</v>
      </c>
      <c r="I3604" s="10">
        <v>1980</v>
      </c>
      <c r="J3604" s="10" t="s">
        <v>6351</v>
      </c>
      <c r="K3604" s="10">
        <v>169</v>
      </c>
      <c r="L3604" s="10" t="s">
        <v>6513</v>
      </c>
      <c r="M3604" s="10">
        <v>1</v>
      </c>
      <c r="N3604" s="10" t="s">
        <v>21400</v>
      </c>
      <c r="O3604" s="10"/>
      <c r="P3604" s="10" t="s">
        <v>21644</v>
      </c>
      <c r="Q3604" s="10">
        <v>375.00109409999999</v>
      </c>
      <c r="R3604" s="10" t="s">
        <v>21645</v>
      </c>
      <c r="S3604" s="10" t="s">
        <v>53</v>
      </c>
      <c r="T3604" s="10" t="s">
        <v>54</v>
      </c>
    </row>
    <row r="3605" spans="1:20" ht="14.5" x14ac:dyDescent="0.35">
      <c r="A3605" s="10" t="s">
        <v>21646</v>
      </c>
      <c r="B3605" s="10" t="str">
        <f>"9780415689229"</f>
        <v>9780415689229</v>
      </c>
      <c r="C3605" s="10" t="str">
        <f>"9780203181171"</f>
        <v>9780203181171</v>
      </c>
      <c r="D3605" s="10" t="s">
        <v>6350</v>
      </c>
      <c r="E3605" s="10" t="s">
        <v>6351</v>
      </c>
      <c r="F3605" s="10" t="s">
        <v>139</v>
      </c>
      <c r="G3605" s="10" t="s">
        <v>6352</v>
      </c>
      <c r="H3605" s="11">
        <v>40885</v>
      </c>
      <c r="I3605" s="10">
        <v>2012</v>
      </c>
      <c r="J3605" s="10" t="s">
        <v>6353</v>
      </c>
      <c r="K3605" s="10">
        <v>229</v>
      </c>
      <c r="L3605" s="10" t="s">
        <v>6711</v>
      </c>
      <c r="M3605" s="10">
        <v>1</v>
      </c>
      <c r="N3605" s="10" t="s">
        <v>21400</v>
      </c>
      <c r="O3605" s="10"/>
      <c r="P3605" s="10" t="s">
        <v>21647</v>
      </c>
      <c r="Q3605" s="10" t="s">
        <v>21648</v>
      </c>
      <c r="R3605" s="10" t="s">
        <v>21649</v>
      </c>
      <c r="S3605" s="10" t="s">
        <v>53</v>
      </c>
      <c r="T3605" s="10" t="s">
        <v>54</v>
      </c>
    </row>
    <row r="3606" spans="1:20" ht="14.5" x14ac:dyDescent="0.35">
      <c r="A3606" s="10" t="s">
        <v>21650</v>
      </c>
      <c r="B3606" s="10" t="str">
        <f>"9780415668682"</f>
        <v>9780415668682</v>
      </c>
      <c r="C3606" s="10" t="str">
        <f>"9780203816349"</f>
        <v>9780203816349</v>
      </c>
      <c r="D3606" s="10" t="s">
        <v>6350</v>
      </c>
      <c r="E3606" s="10" t="s">
        <v>6351</v>
      </c>
      <c r="F3606" s="10" t="s">
        <v>748</v>
      </c>
      <c r="G3606" s="10" t="s">
        <v>6352</v>
      </c>
      <c r="H3606" s="11">
        <v>40891</v>
      </c>
      <c r="I3606" s="10">
        <v>2012</v>
      </c>
      <c r="J3606" s="10" t="s">
        <v>6351</v>
      </c>
      <c r="K3606" s="10">
        <v>135</v>
      </c>
      <c r="L3606" s="10" t="s">
        <v>21651</v>
      </c>
      <c r="M3606" s="10">
        <v>1</v>
      </c>
      <c r="N3606" s="10"/>
      <c r="O3606" s="10"/>
      <c r="P3606" s="10" t="s">
        <v>21652</v>
      </c>
      <c r="Q3606" s="10">
        <v>372.84</v>
      </c>
      <c r="R3606" s="10" t="s">
        <v>21653</v>
      </c>
      <c r="S3606" s="10" t="s">
        <v>53</v>
      </c>
      <c r="T3606" s="10" t="s">
        <v>7863</v>
      </c>
    </row>
    <row r="3607" spans="1:20" ht="14.5" x14ac:dyDescent="0.35">
      <c r="A3607" s="10" t="s">
        <v>21654</v>
      </c>
      <c r="B3607" s="10" t="str">
        <f>"9780415899505"</f>
        <v>9780415899505</v>
      </c>
      <c r="C3607" s="10" t="str">
        <f>"9780203181010"</f>
        <v>9780203181010</v>
      </c>
      <c r="D3607" s="10" t="s">
        <v>6350</v>
      </c>
      <c r="E3607" s="10" t="s">
        <v>6351</v>
      </c>
      <c r="F3607" s="10" t="s">
        <v>5406</v>
      </c>
      <c r="G3607" s="10" t="s">
        <v>6317</v>
      </c>
      <c r="H3607" s="11">
        <v>40956</v>
      </c>
      <c r="I3607" s="10">
        <v>2012</v>
      </c>
      <c r="J3607" s="10" t="s">
        <v>6353</v>
      </c>
      <c r="K3607" s="10">
        <v>233</v>
      </c>
      <c r="L3607" s="10" t="s">
        <v>20343</v>
      </c>
      <c r="M3607" s="10">
        <v>1</v>
      </c>
      <c r="N3607" s="10"/>
      <c r="O3607" s="10"/>
      <c r="P3607" s="10" t="s">
        <v>21655</v>
      </c>
      <c r="Q3607" s="10">
        <v>371.2</v>
      </c>
      <c r="R3607" s="10" t="s">
        <v>18002</v>
      </c>
      <c r="S3607" s="10" t="s">
        <v>53</v>
      </c>
      <c r="T3607" s="10" t="s">
        <v>54</v>
      </c>
    </row>
    <row r="3608" spans="1:20" ht="14.5" x14ac:dyDescent="0.35">
      <c r="A3608" s="10" t="s">
        <v>21656</v>
      </c>
      <c r="B3608" s="10" t="str">
        <f>"9780415675598"</f>
        <v>9780415675598</v>
      </c>
      <c r="C3608" s="10" t="str">
        <f>"9780203808597"</f>
        <v>9780203808597</v>
      </c>
      <c r="D3608" s="10" t="s">
        <v>6350</v>
      </c>
      <c r="E3608" s="10" t="s">
        <v>6351</v>
      </c>
      <c r="F3608" s="10" t="s">
        <v>748</v>
      </c>
      <c r="G3608" s="10" t="s">
        <v>6352</v>
      </c>
      <c r="H3608" s="11">
        <v>40885</v>
      </c>
      <c r="I3608" s="10">
        <v>1991</v>
      </c>
      <c r="J3608" s="10" t="s">
        <v>6351</v>
      </c>
      <c r="K3608" s="10">
        <v>257</v>
      </c>
      <c r="L3608" s="10" t="s">
        <v>21657</v>
      </c>
      <c r="M3608" s="10">
        <v>1</v>
      </c>
      <c r="N3608" s="10" t="s">
        <v>21400</v>
      </c>
      <c r="O3608" s="10"/>
      <c r="P3608" s="10" t="s">
        <v>21658</v>
      </c>
      <c r="Q3608" s="10">
        <v>379.12109729999997</v>
      </c>
      <c r="R3608" s="10" t="s">
        <v>21659</v>
      </c>
      <c r="S3608" s="10" t="s">
        <v>53</v>
      </c>
      <c r="T3608" s="10" t="s">
        <v>54</v>
      </c>
    </row>
    <row r="3609" spans="1:20" ht="14.5" x14ac:dyDescent="0.35">
      <c r="A3609" s="10" t="s">
        <v>21660</v>
      </c>
      <c r="B3609" s="10" t="str">
        <f>"9780415603508"</f>
        <v>9780415603508</v>
      </c>
      <c r="C3609" s="10" t="str">
        <f>"9780203121184"</f>
        <v>9780203121184</v>
      </c>
      <c r="D3609" s="10" t="s">
        <v>6350</v>
      </c>
      <c r="E3609" s="10" t="s">
        <v>6351</v>
      </c>
      <c r="F3609" s="10" t="s">
        <v>139</v>
      </c>
      <c r="G3609" s="10" t="s">
        <v>6352</v>
      </c>
      <c r="H3609" s="11">
        <v>41032</v>
      </c>
      <c r="I3609" s="10">
        <v>2012</v>
      </c>
      <c r="J3609" s="10" t="s">
        <v>6353</v>
      </c>
      <c r="K3609" s="10">
        <v>169</v>
      </c>
      <c r="L3609" s="10" t="s">
        <v>21661</v>
      </c>
      <c r="M3609" s="10">
        <v>1</v>
      </c>
      <c r="N3609" s="10"/>
      <c r="O3609" s="10"/>
      <c r="P3609" s="10" t="s">
        <v>21662</v>
      </c>
      <c r="Q3609" s="10" t="s">
        <v>21663</v>
      </c>
      <c r="R3609" s="10" t="s">
        <v>21664</v>
      </c>
      <c r="S3609" s="10" t="s">
        <v>53</v>
      </c>
      <c r="T3609" s="10" t="s">
        <v>54</v>
      </c>
    </row>
    <row r="3610" spans="1:20" ht="14.5" x14ac:dyDescent="0.35">
      <c r="A3610" s="10" t="s">
        <v>21665</v>
      </c>
      <c r="B3610" s="10" t="str">
        <f>"9780415677066"</f>
        <v>9780415677066</v>
      </c>
      <c r="C3610" s="10" t="str">
        <f>"9780203808573"</f>
        <v>9780203808573</v>
      </c>
      <c r="D3610" s="10" t="s">
        <v>6350</v>
      </c>
      <c r="E3610" s="10" t="s">
        <v>6351</v>
      </c>
      <c r="F3610" s="10" t="s">
        <v>748</v>
      </c>
      <c r="G3610" s="10" t="s">
        <v>6352</v>
      </c>
      <c r="H3610" s="11">
        <v>40885</v>
      </c>
      <c r="I3610" s="10">
        <v>1977</v>
      </c>
      <c r="J3610" s="10" t="s">
        <v>6351</v>
      </c>
      <c r="K3610" s="10">
        <v>105</v>
      </c>
      <c r="L3610" s="10" t="s">
        <v>21666</v>
      </c>
      <c r="M3610" s="10">
        <v>1</v>
      </c>
      <c r="N3610" s="10" t="s">
        <v>21400</v>
      </c>
      <c r="O3610" s="10"/>
      <c r="P3610" s="10" t="s">
        <v>21667</v>
      </c>
      <c r="Q3610" s="10" t="s">
        <v>21668</v>
      </c>
      <c r="R3610" s="10" t="s">
        <v>16318</v>
      </c>
      <c r="S3610" s="10" t="s">
        <v>53</v>
      </c>
      <c r="T3610" s="10" t="s">
        <v>54</v>
      </c>
    </row>
    <row r="3611" spans="1:20" ht="14.5" x14ac:dyDescent="0.35">
      <c r="A3611" s="10" t="s">
        <v>21669</v>
      </c>
      <c r="B3611" s="10" t="str">
        <f>"9780415878456"</f>
        <v>9780415878456</v>
      </c>
      <c r="C3611" s="10" t="str">
        <f>"9780203805398"</f>
        <v>9780203805398</v>
      </c>
      <c r="D3611" s="10" t="s">
        <v>6350</v>
      </c>
      <c r="E3611" s="10" t="s">
        <v>6351</v>
      </c>
      <c r="F3611" s="10" t="s">
        <v>5406</v>
      </c>
      <c r="G3611" s="10" t="s">
        <v>6317</v>
      </c>
      <c r="H3611" s="11">
        <v>40897</v>
      </c>
      <c r="I3611" s="10">
        <v>2012</v>
      </c>
      <c r="J3611" s="10" t="s">
        <v>6353</v>
      </c>
      <c r="K3611" s="10">
        <v>289</v>
      </c>
      <c r="L3611" s="10" t="s">
        <v>21670</v>
      </c>
      <c r="M3611" s="10">
        <v>2</v>
      </c>
      <c r="N3611" s="10"/>
      <c r="O3611" s="10"/>
      <c r="P3611" s="10" t="s">
        <v>21671</v>
      </c>
      <c r="Q3611" s="10">
        <v>378.120890073</v>
      </c>
      <c r="R3611" s="10" t="s">
        <v>21672</v>
      </c>
      <c r="S3611" s="10" t="s">
        <v>53</v>
      </c>
      <c r="T3611" s="10" t="s">
        <v>54</v>
      </c>
    </row>
    <row r="3612" spans="1:20" ht="14.5" x14ac:dyDescent="0.35">
      <c r="A3612" s="10" t="s">
        <v>21673</v>
      </c>
      <c r="B3612" s="10" t="str">
        <f>"9780415601887"</f>
        <v>9780415601887</v>
      </c>
      <c r="C3612" s="10" t="str">
        <f>"9780203818244"</f>
        <v>9780203818244</v>
      </c>
      <c r="D3612" s="10" t="s">
        <v>6350</v>
      </c>
      <c r="E3612" s="10" t="s">
        <v>6351</v>
      </c>
      <c r="F3612" s="10" t="s">
        <v>5406</v>
      </c>
      <c r="G3612" s="10" t="s">
        <v>6352</v>
      </c>
      <c r="H3612" s="11">
        <v>40828</v>
      </c>
      <c r="I3612" s="10">
        <v>2012</v>
      </c>
      <c r="J3612" s="10" t="s">
        <v>6353</v>
      </c>
      <c r="K3612" s="10">
        <v>153</v>
      </c>
      <c r="L3612" s="10" t="s">
        <v>21674</v>
      </c>
      <c r="M3612" s="10">
        <v>1</v>
      </c>
      <c r="N3612" s="10"/>
      <c r="O3612" s="10"/>
      <c r="P3612" s="10" t="s">
        <v>21675</v>
      </c>
      <c r="Q3612" s="10">
        <v>370.72</v>
      </c>
      <c r="R3612" s="10" t="s">
        <v>21676</v>
      </c>
      <c r="S3612" s="10" t="s">
        <v>53</v>
      </c>
      <c r="T3612" s="10" t="s">
        <v>54</v>
      </c>
    </row>
    <row r="3613" spans="1:20" ht="14.5" x14ac:dyDescent="0.35">
      <c r="A3613" s="10" t="s">
        <v>21677</v>
      </c>
      <c r="B3613" s="10" t="str">
        <f>"9780415571388"</f>
        <v>9780415571388</v>
      </c>
      <c r="C3613" s="10" t="str">
        <f>"9780203806463"</f>
        <v>9780203806463</v>
      </c>
      <c r="D3613" s="10" t="s">
        <v>6350</v>
      </c>
      <c r="E3613" s="10" t="s">
        <v>6351</v>
      </c>
      <c r="F3613" s="10" t="s">
        <v>5406</v>
      </c>
      <c r="G3613" s="10" t="s">
        <v>6317</v>
      </c>
      <c r="H3613" s="11">
        <v>40828</v>
      </c>
      <c r="I3613" s="10">
        <v>2011</v>
      </c>
      <c r="J3613" s="10" t="s">
        <v>6353</v>
      </c>
      <c r="K3613" s="10">
        <v>177</v>
      </c>
      <c r="L3613" s="10" t="s">
        <v>21678</v>
      </c>
      <c r="M3613" s="10">
        <v>2</v>
      </c>
      <c r="N3613" s="10"/>
      <c r="O3613" s="10"/>
      <c r="P3613" s="10" t="s">
        <v>21679</v>
      </c>
      <c r="Q3613" s="10">
        <v>374</v>
      </c>
      <c r="R3613" s="10" t="s">
        <v>21680</v>
      </c>
      <c r="S3613" s="10" t="s">
        <v>53</v>
      </c>
      <c r="T3613" s="10" t="s">
        <v>54</v>
      </c>
    </row>
    <row r="3614" spans="1:20" ht="14.5" x14ac:dyDescent="0.35">
      <c r="A3614" s="10" t="s">
        <v>21681</v>
      </c>
      <c r="B3614" s="10" t="str">
        <f>"9780415599191"</f>
        <v>9780415599191</v>
      </c>
      <c r="C3614" s="10" t="str">
        <f>"9780203805411"</f>
        <v>9780203805411</v>
      </c>
      <c r="D3614" s="10" t="s">
        <v>6350</v>
      </c>
      <c r="E3614" s="10" t="s">
        <v>6351</v>
      </c>
      <c r="F3614" s="10" t="s">
        <v>5406</v>
      </c>
      <c r="G3614" s="10" t="s">
        <v>6317</v>
      </c>
      <c r="H3614" s="11">
        <v>40806</v>
      </c>
      <c r="I3614" s="10">
        <v>2012</v>
      </c>
      <c r="J3614" s="10" t="s">
        <v>6353</v>
      </c>
      <c r="K3614" s="10">
        <v>193</v>
      </c>
      <c r="L3614" s="10" t="s">
        <v>21682</v>
      </c>
      <c r="M3614" s="10">
        <v>2</v>
      </c>
      <c r="N3614" s="10"/>
      <c r="O3614" s="10"/>
      <c r="P3614" s="10" t="s">
        <v>21683</v>
      </c>
      <c r="Q3614" s="10">
        <v>371.10199999999998</v>
      </c>
      <c r="R3614" s="10" t="s">
        <v>12268</v>
      </c>
      <c r="S3614" s="10" t="s">
        <v>53</v>
      </c>
      <c r="T3614" s="10" t="s">
        <v>54</v>
      </c>
    </row>
    <row r="3615" spans="1:20" ht="14.5" x14ac:dyDescent="0.35">
      <c r="A3615" s="10" t="s">
        <v>21684</v>
      </c>
      <c r="B3615" s="10" t="str">
        <f>"9780415807586"</f>
        <v>9780415807586</v>
      </c>
      <c r="C3615" s="10" t="str">
        <f>"9780203146477"</f>
        <v>9780203146477</v>
      </c>
      <c r="D3615" s="10" t="s">
        <v>6350</v>
      </c>
      <c r="E3615" s="10" t="s">
        <v>6351</v>
      </c>
      <c r="F3615" s="10" t="s">
        <v>5406</v>
      </c>
      <c r="G3615" s="10" t="s">
        <v>6317</v>
      </c>
      <c r="H3615" s="11">
        <v>40891</v>
      </c>
      <c r="I3615" s="10">
        <v>2012</v>
      </c>
      <c r="J3615" s="10" t="s">
        <v>6353</v>
      </c>
      <c r="K3615" s="10">
        <v>265</v>
      </c>
      <c r="L3615" s="10" t="s">
        <v>21685</v>
      </c>
      <c r="M3615" s="10">
        <v>1</v>
      </c>
      <c r="N3615" s="10"/>
      <c r="O3615" s="10"/>
      <c r="P3615" s="10" t="s">
        <v>21686</v>
      </c>
      <c r="Q3615" s="10">
        <v>507.1</v>
      </c>
      <c r="R3615" s="10" t="s">
        <v>19006</v>
      </c>
      <c r="S3615" s="10" t="s">
        <v>53</v>
      </c>
      <c r="T3615" s="10" t="s">
        <v>9608</v>
      </c>
    </row>
    <row r="3616" spans="1:20" ht="14.5" x14ac:dyDescent="0.35">
      <c r="A3616" s="10" t="s">
        <v>21687</v>
      </c>
      <c r="B3616" s="10" t="str">
        <f>"9780415612425"</f>
        <v>9780415612425</v>
      </c>
      <c r="C3616" s="10" t="str">
        <f>"9780203801956"</f>
        <v>9780203801956</v>
      </c>
      <c r="D3616" s="10" t="s">
        <v>6350</v>
      </c>
      <c r="E3616" s="10" t="s">
        <v>6351</v>
      </c>
      <c r="F3616" s="10" t="s">
        <v>70</v>
      </c>
      <c r="G3616" s="10" t="s">
        <v>6352</v>
      </c>
      <c r="H3616" s="11">
        <v>40863</v>
      </c>
      <c r="I3616" s="10">
        <v>2012</v>
      </c>
      <c r="J3616" s="10" t="s">
        <v>6353</v>
      </c>
      <c r="K3616" s="10">
        <v>118</v>
      </c>
      <c r="L3616" s="10" t="s">
        <v>21688</v>
      </c>
      <c r="M3616" s="10">
        <v>1</v>
      </c>
      <c r="N3616" s="10"/>
      <c r="O3616" s="10"/>
      <c r="P3616" s="10" t="s">
        <v>21689</v>
      </c>
      <c r="Q3616" s="10">
        <v>372.21097300000002</v>
      </c>
      <c r="R3616" s="10" t="s">
        <v>21690</v>
      </c>
      <c r="S3616" s="10" t="s">
        <v>53</v>
      </c>
      <c r="T3616" s="10" t="s">
        <v>54</v>
      </c>
    </row>
    <row r="3617" spans="1:20" ht="14.5" x14ac:dyDescent="0.35">
      <c r="A3617" s="10" t="s">
        <v>21691</v>
      </c>
      <c r="B3617" s="10" t="str">
        <f>"9780415691000"</f>
        <v>9780415691000</v>
      </c>
      <c r="C3617" s="10" t="str">
        <f>"9780203157954"</f>
        <v>9780203157954</v>
      </c>
      <c r="D3617" s="10" t="s">
        <v>6350</v>
      </c>
      <c r="E3617" s="10" t="s">
        <v>6351</v>
      </c>
      <c r="F3617" s="10" t="s">
        <v>5406</v>
      </c>
      <c r="G3617" s="10" t="s">
        <v>6317</v>
      </c>
      <c r="H3617" s="11">
        <v>41071</v>
      </c>
      <c r="I3617" s="10">
        <v>2012</v>
      </c>
      <c r="J3617" s="10" t="s">
        <v>6353</v>
      </c>
      <c r="K3617" s="10">
        <v>257</v>
      </c>
      <c r="L3617" s="10" t="s">
        <v>7920</v>
      </c>
      <c r="M3617" s="10">
        <v>1</v>
      </c>
      <c r="N3617" s="10"/>
      <c r="O3617" s="10"/>
      <c r="P3617" s="10" t="s">
        <v>21692</v>
      </c>
      <c r="Q3617" s="10">
        <v>372.21</v>
      </c>
      <c r="R3617" s="10" t="s">
        <v>21693</v>
      </c>
      <c r="S3617" s="10" t="s">
        <v>53</v>
      </c>
      <c r="T3617" s="10" t="s">
        <v>54</v>
      </c>
    </row>
    <row r="3618" spans="1:20" ht="14.5" x14ac:dyDescent="0.35">
      <c r="A3618" s="10" t="s">
        <v>21694</v>
      </c>
      <c r="B3618" s="10" t="str">
        <f>"9780415697859"</f>
        <v>9780415697859</v>
      </c>
      <c r="C3618" s="10" t="str">
        <f>"9780203138212"</f>
        <v>9780203138212</v>
      </c>
      <c r="D3618" s="10" t="s">
        <v>6350</v>
      </c>
      <c r="E3618" s="10" t="s">
        <v>6351</v>
      </c>
      <c r="F3618" s="10" t="s">
        <v>139</v>
      </c>
      <c r="G3618" s="10" t="s">
        <v>6352</v>
      </c>
      <c r="H3618" s="11">
        <v>40885</v>
      </c>
      <c r="I3618" s="10">
        <v>2012</v>
      </c>
      <c r="J3618" s="10" t="s">
        <v>6353</v>
      </c>
      <c r="K3618" s="10">
        <v>121</v>
      </c>
      <c r="L3618" s="10" t="s">
        <v>21695</v>
      </c>
      <c r="M3618" s="10">
        <v>1</v>
      </c>
      <c r="N3618" s="10" t="s">
        <v>21400</v>
      </c>
      <c r="O3618" s="10"/>
      <c r="P3618" s="10" t="s">
        <v>21696</v>
      </c>
      <c r="Q3618" s="10">
        <v>372.24109420000002</v>
      </c>
      <c r="R3618" s="10" t="s">
        <v>21697</v>
      </c>
      <c r="S3618" s="10" t="s">
        <v>53</v>
      </c>
      <c r="T3618" s="10" t="s">
        <v>54</v>
      </c>
    </row>
    <row r="3619" spans="1:20" ht="14.5" x14ac:dyDescent="0.35">
      <c r="A3619" s="10" t="s">
        <v>21698</v>
      </c>
      <c r="B3619" s="10" t="str">
        <f>"9780415696999"</f>
        <v>9780415696999</v>
      </c>
      <c r="C3619" s="10" t="str">
        <f>"9780203138502"</f>
        <v>9780203138502</v>
      </c>
      <c r="D3619" s="10" t="s">
        <v>6350</v>
      </c>
      <c r="E3619" s="10" t="s">
        <v>6351</v>
      </c>
      <c r="F3619" s="10" t="s">
        <v>139</v>
      </c>
      <c r="G3619" s="10" t="s">
        <v>6352</v>
      </c>
      <c r="H3619" s="11">
        <v>40885</v>
      </c>
      <c r="I3619" s="10">
        <v>2012</v>
      </c>
      <c r="J3619" s="10" t="s">
        <v>6353</v>
      </c>
      <c r="K3619" s="10">
        <v>105</v>
      </c>
      <c r="L3619" s="10" t="s">
        <v>21699</v>
      </c>
      <c r="M3619" s="10">
        <v>1</v>
      </c>
      <c r="N3619" s="10" t="s">
        <v>21400</v>
      </c>
      <c r="O3619" s="10"/>
      <c r="P3619" s="10" t="s">
        <v>21700</v>
      </c>
      <c r="Q3619" s="10">
        <v>370</v>
      </c>
      <c r="R3619" s="10" t="s">
        <v>7448</v>
      </c>
      <c r="S3619" s="10" t="s">
        <v>53</v>
      </c>
      <c r="T3619" s="10" t="s">
        <v>54</v>
      </c>
    </row>
    <row r="3620" spans="1:20" ht="14.5" x14ac:dyDescent="0.35">
      <c r="A3620" s="10" t="s">
        <v>21701</v>
      </c>
      <c r="B3620" s="10" t="str">
        <f>"9780415697644"</f>
        <v>9780415697644</v>
      </c>
      <c r="C3620" s="10" t="str">
        <f>"9780203138458"</f>
        <v>9780203138458</v>
      </c>
      <c r="D3620" s="10" t="s">
        <v>6350</v>
      </c>
      <c r="E3620" s="10" t="s">
        <v>6351</v>
      </c>
      <c r="F3620" s="10" t="s">
        <v>139</v>
      </c>
      <c r="G3620" s="10" t="s">
        <v>6352</v>
      </c>
      <c r="H3620" s="11">
        <v>40885</v>
      </c>
      <c r="I3620" s="10">
        <v>2012</v>
      </c>
      <c r="J3620" s="10" t="s">
        <v>6353</v>
      </c>
      <c r="K3620" s="10">
        <v>80</v>
      </c>
      <c r="L3620" s="10" t="s">
        <v>21702</v>
      </c>
      <c r="M3620" s="10">
        <v>1</v>
      </c>
      <c r="N3620" s="10" t="s">
        <v>21400</v>
      </c>
      <c r="O3620" s="10"/>
      <c r="P3620" s="10" t="s">
        <v>21703</v>
      </c>
      <c r="Q3620" s="10">
        <v>370.11399999999998</v>
      </c>
      <c r="R3620" s="10" t="s">
        <v>21704</v>
      </c>
      <c r="S3620" s="10" t="s">
        <v>53</v>
      </c>
      <c r="T3620" s="10" t="s">
        <v>7863</v>
      </c>
    </row>
    <row r="3621" spans="1:20" ht="14.5" x14ac:dyDescent="0.35">
      <c r="A3621" s="10" t="s">
        <v>21705</v>
      </c>
      <c r="B3621" s="10" t="str">
        <f>"9780415505871"</f>
        <v>9780415505871</v>
      </c>
      <c r="C3621" s="10" t="str">
        <f>"9780203127513"</f>
        <v>9780203127513</v>
      </c>
      <c r="D3621" s="10" t="s">
        <v>6350</v>
      </c>
      <c r="E3621" s="10" t="s">
        <v>6351</v>
      </c>
      <c r="F3621" s="10" t="s">
        <v>139</v>
      </c>
      <c r="G3621" s="10" t="s">
        <v>6352</v>
      </c>
      <c r="H3621" s="11">
        <v>40885</v>
      </c>
      <c r="I3621" s="10">
        <v>1937</v>
      </c>
      <c r="J3621" s="10" t="s">
        <v>6353</v>
      </c>
      <c r="K3621" s="10">
        <v>297</v>
      </c>
      <c r="L3621" s="10" t="s">
        <v>21706</v>
      </c>
      <c r="M3621" s="10">
        <v>1</v>
      </c>
      <c r="N3621" s="10" t="s">
        <v>21400</v>
      </c>
      <c r="O3621" s="10"/>
      <c r="P3621" s="10" t="s">
        <v>21707</v>
      </c>
      <c r="Q3621" s="10">
        <v>370.94200000000001</v>
      </c>
      <c r="R3621" s="10" t="s">
        <v>21708</v>
      </c>
      <c r="S3621" s="10" t="s">
        <v>53</v>
      </c>
      <c r="T3621" s="10" t="s">
        <v>54</v>
      </c>
    </row>
    <row r="3622" spans="1:20" ht="14.5" x14ac:dyDescent="0.35">
      <c r="A3622" s="10" t="s">
        <v>21709</v>
      </c>
      <c r="B3622" s="10" t="str">
        <f>"9780415882071"</f>
        <v>9780415882071</v>
      </c>
      <c r="C3622" s="10" t="str">
        <f>"9780203848081"</f>
        <v>9780203848081</v>
      </c>
      <c r="D3622" s="10" t="s">
        <v>6350</v>
      </c>
      <c r="E3622" s="10" t="s">
        <v>6351</v>
      </c>
      <c r="F3622" s="10" t="s">
        <v>5406</v>
      </c>
      <c r="G3622" s="10" t="s">
        <v>6317</v>
      </c>
      <c r="H3622" s="11">
        <v>40773</v>
      </c>
      <c r="I3622" s="10">
        <v>2011</v>
      </c>
      <c r="J3622" s="10" t="s">
        <v>6353</v>
      </c>
      <c r="K3622" s="10">
        <v>141</v>
      </c>
      <c r="L3622" s="10" t="s">
        <v>21710</v>
      </c>
      <c r="M3622" s="10">
        <v>1</v>
      </c>
      <c r="N3622" s="10"/>
      <c r="O3622" s="10"/>
      <c r="P3622" s="10" t="s">
        <v>21711</v>
      </c>
      <c r="Q3622" s="10" t="s">
        <v>6942</v>
      </c>
      <c r="R3622" s="10" t="s">
        <v>21415</v>
      </c>
      <c r="S3622" s="10" t="s">
        <v>53</v>
      </c>
      <c r="T3622" s="10" t="s">
        <v>54</v>
      </c>
    </row>
    <row r="3623" spans="1:20" ht="14.5" x14ac:dyDescent="0.35">
      <c r="A3623" s="10" t="s">
        <v>21712</v>
      </c>
      <c r="B3623" s="10" t="str">
        <f>"9780415684361"</f>
        <v>9780415684361</v>
      </c>
      <c r="C3623" s="10" t="str">
        <f>"9780203181157"</f>
        <v>9780203181157</v>
      </c>
      <c r="D3623" s="10" t="s">
        <v>6350</v>
      </c>
      <c r="E3623" s="10" t="s">
        <v>6351</v>
      </c>
      <c r="F3623" s="10" t="s">
        <v>139</v>
      </c>
      <c r="G3623" s="10" t="s">
        <v>6352</v>
      </c>
      <c r="H3623" s="11">
        <v>40885</v>
      </c>
      <c r="I3623" s="10">
        <v>1907</v>
      </c>
      <c r="J3623" s="10" t="s">
        <v>6353</v>
      </c>
      <c r="K3623" s="10">
        <v>297</v>
      </c>
      <c r="L3623" s="10" t="s">
        <v>21713</v>
      </c>
      <c r="M3623" s="10">
        <v>2</v>
      </c>
      <c r="N3623" s="10" t="s">
        <v>21400</v>
      </c>
      <c r="O3623" s="10"/>
      <c r="P3623" s="10" t="s">
        <v>21714</v>
      </c>
      <c r="Q3623" s="10">
        <v>370.9</v>
      </c>
      <c r="R3623" s="10" t="s">
        <v>21715</v>
      </c>
      <c r="S3623" s="10" t="s">
        <v>53</v>
      </c>
      <c r="T3623" s="10" t="s">
        <v>54</v>
      </c>
    </row>
    <row r="3624" spans="1:20" ht="14.5" x14ac:dyDescent="0.35">
      <c r="A3624" s="10" t="s">
        <v>21716</v>
      </c>
      <c r="B3624" s="10" t="str">
        <f>"9780415570800"</f>
        <v>9780415570800</v>
      </c>
      <c r="C3624" s="10" t="str">
        <f>"9780203818145"</f>
        <v>9780203818145</v>
      </c>
      <c r="D3624" s="10" t="s">
        <v>6350</v>
      </c>
      <c r="E3624" s="10" t="s">
        <v>6351</v>
      </c>
      <c r="F3624" s="10" t="s">
        <v>748</v>
      </c>
      <c r="G3624" s="10" t="s">
        <v>6352</v>
      </c>
      <c r="H3624" s="11">
        <v>40858</v>
      </c>
      <c r="I3624" s="10">
        <v>2012</v>
      </c>
      <c r="J3624" s="10" t="s">
        <v>6351</v>
      </c>
      <c r="K3624" s="10">
        <v>109</v>
      </c>
      <c r="L3624" s="10" t="s">
        <v>21717</v>
      </c>
      <c r="M3624" s="10">
        <v>1</v>
      </c>
      <c r="N3624" s="10" t="s">
        <v>19078</v>
      </c>
      <c r="O3624" s="10"/>
      <c r="P3624" s="10" t="s">
        <v>21718</v>
      </c>
      <c r="Q3624" s="10" t="s">
        <v>6576</v>
      </c>
      <c r="R3624" s="10" t="s">
        <v>21719</v>
      </c>
      <c r="S3624" s="10" t="s">
        <v>53</v>
      </c>
      <c r="T3624" s="10" t="s">
        <v>54</v>
      </c>
    </row>
    <row r="3625" spans="1:20" ht="14.5" x14ac:dyDescent="0.35">
      <c r="A3625" s="10" t="s">
        <v>21720</v>
      </c>
      <c r="B3625" s="10" t="str">
        <f>"9780415506229"</f>
        <v>9780415506229</v>
      </c>
      <c r="C3625" s="10" t="str">
        <f>"9780203127223"</f>
        <v>9780203127223</v>
      </c>
      <c r="D3625" s="10" t="s">
        <v>6350</v>
      </c>
      <c r="E3625" s="10" t="s">
        <v>6351</v>
      </c>
      <c r="F3625" s="10" t="s">
        <v>139</v>
      </c>
      <c r="G3625" s="10" t="s">
        <v>6352</v>
      </c>
      <c r="H3625" s="11">
        <v>40885</v>
      </c>
      <c r="I3625" s="10">
        <v>2012</v>
      </c>
      <c r="J3625" s="10" t="s">
        <v>6353</v>
      </c>
      <c r="K3625" s="10">
        <v>146</v>
      </c>
      <c r="L3625" s="10" t="s">
        <v>21721</v>
      </c>
      <c r="M3625" s="10">
        <v>1</v>
      </c>
      <c r="N3625" s="10" t="s">
        <v>21400</v>
      </c>
      <c r="O3625" s="10"/>
      <c r="P3625" s="10" t="s">
        <v>21722</v>
      </c>
      <c r="Q3625" s="10">
        <v>370.94209033999999</v>
      </c>
      <c r="R3625" s="10" t="s">
        <v>21723</v>
      </c>
      <c r="S3625" s="10" t="s">
        <v>53</v>
      </c>
      <c r="T3625" s="10" t="s">
        <v>54</v>
      </c>
    </row>
    <row r="3626" spans="1:20" ht="14.5" x14ac:dyDescent="0.35">
      <c r="A3626" s="10" t="s">
        <v>21724</v>
      </c>
      <c r="B3626" s="10" t="str">
        <f>"9780415887380"</f>
        <v>9780415887380</v>
      </c>
      <c r="C3626" s="10" t="str">
        <f>"9780203833261"</f>
        <v>9780203833261</v>
      </c>
      <c r="D3626" s="10" t="s">
        <v>6350</v>
      </c>
      <c r="E3626" s="10" t="s">
        <v>6351</v>
      </c>
      <c r="F3626" s="10" t="s">
        <v>5406</v>
      </c>
      <c r="G3626" s="10" t="s">
        <v>6317</v>
      </c>
      <c r="H3626" s="11">
        <v>41017</v>
      </c>
      <c r="I3626" s="10">
        <v>2012</v>
      </c>
      <c r="J3626" s="10" t="s">
        <v>6353</v>
      </c>
      <c r="K3626" s="10">
        <v>189</v>
      </c>
      <c r="L3626" s="10" t="s">
        <v>8897</v>
      </c>
      <c r="M3626" s="10">
        <v>1</v>
      </c>
      <c r="N3626" s="10"/>
      <c r="O3626" s="10"/>
      <c r="P3626" s="10" t="s">
        <v>21725</v>
      </c>
      <c r="Q3626" s="10" t="s">
        <v>9007</v>
      </c>
      <c r="R3626" s="10" t="s">
        <v>18002</v>
      </c>
      <c r="S3626" s="10" t="s">
        <v>53</v>
      </c>
      <c r="T3626" s="10" t="s">
        <v>54</v>
      </c>
    </row>
    <row r="3627" spans="1:20" ht="14.5" x14ac:dyDescent="0.35">
      <c r="A3627" s="10" t="s">
        <v>21726</v>
      </c>
      <c r="B3627" s="10" t="str">
        <f>"9780415689267"</f>
        <v>9780415689267</v>
      </c>
      <c r="C3627" s="10" t="str">
        <f>"9780203181140"</f>
        <v>9780203181140</v>
      </c>
      <c r="D3627" s="10" t="s">
        <v>6350</v>
      </c>
      <c r="E3627" s="10" t="s">
        <v>6351</v>
      </c>
      <c r="F3627" s="10" t="s">
        <v>139</v>
      </c>
      <c r="G3627" s="10" t="s">
        <v>6352</v>
      </c>
      <c r="H3627" s="11">
        <v>40885</v>
      </c>
      <c r="I3627" s="10">
        <v>2012</v>
      </c>
      <c r="J3627" s="10" t="s">
        <v>6353</v>
      </c>
      <c r="K3627" s="10">
        <v>225</v>
      </c>
      <c r="L3627" s="10" t="s">
        <v>21727</v>
      </c>
      <c r="M3627" s="10">
        <v>1</v>
      </c>
      <c r="N3627" s="10" t="s">
        <v>21400</v>
      </c>
      <c r="O3627" s="10"/>
      <c r="P3627" s="10" t="s">
        <v>21728</v>
      </c>
      <c r="Q3627" s="10">
        <v>370.1</v>
      </c>
      <c r="R3627" s="10" t="s">
        <v>13187</v>
      </c>
      <c r="S3627" s="10" t="s">
        <v>53</v>
      </c>
      <c r="T3627" s="10" t="s">
        <v>54</v>
      </c>
    </row>
    <row r="3628" spans="1:20" ht="14.5" x14ac:dyDescent="0.35">
      <c r="A3628" s="10" t="s">
        <v>21729</v>
      </c>
      <c r="B3628" s="10" t="str">
        <f>"9780415679206"</f>
        <v>9780415679206</v>
      </c>
      <c r="C3628" s="10" t="str">
        <f>"9780203806173"</f>
        <v>9780203806173</v>
      </c>
      <c r="D3628" s="10" t="s">
        <v>6350</v>
      </c>
      <c r="E3628" s="10" t="s">
        <v>6351</v>
      </c>
      <c r="F3628" s="10" t="s">
        <v>5406</v>
      </c>
      <c r="G3628" s="10" t="s">
        <v>6317</v>
      </c>
      <c r="H3628" s="11">
        <v>40885</v>
      </c>
      <c r="I3628" s="10">
        <v>2012</v>
      </c>
      <c r="J3628" s="10" t="s">
        <v>6353</v>
      </c>
      <c r="K3628" s="10">
        <v>309</v>
      </c>
      <c r="L3628" s="10" t="s">
        <v>21730</v>
      </c>
      <c r="M3628" s="10">
        <v>1</v>
      </c>
      <c r="N3628" s="10" t="s">
        <v>21400</v>
      </c>
      <c r="O3628" s="10"/>
      <c r="P3628" s="10" t="s">
        <v>21731</v>
      </c>
      <c r="Q3628" s="10">
        <v>371.1</v>
      </c>
      <c r="R3628" s="10" t="s">
        <v>21732</v>
      </c>
      <c r="S3628" s="10" t="s">
        <v>53</v>
      </c>
      <c r="T3628" s="10" t="s">
        <v>54</v>
      </c>
    </row>
    <row r="3629" spans="1:20" ht="14.5" x14ac:dyDescent="0.35">
      <c r="A3629" s="10" t="s">
        <v>21733</v>
      </c>
      <c r="B3629" s="10" t="str">
        <f>"9780415686280"</f>
        <v>9780415686280</v>
      </c>
      <c r="C3629" s="10" t="str">
        <f>"9780203802007"</f>
        <v>9780203802007</v>
      </c>
      <c r="D3629" s="10" t="s">
        <v>6350</v>
      </c>
      <c r="E3629" s="10" t="s">
        <v>6351</v>
      </c>
      <c r="F3629" s="10" t="s">
        <v>3967</v>
      </c>
      <c r="G3629" s="10" t="s">
        <v>6352</v>
      </c>
      <c r="H3629" s="11">
        <v>40819</v>
      </c>
      <c r="I3629" s="10">
        <v>2012</v>
      </c>
      <c r="J3629" s="10" t="s">
        <v>6353</v>
      </c>
      <c r="K3629" s="10">
        <v>125</v>
      </c>
      <c r="L3629" s="10" t="s">
        <v>6907</v>
      </c>
      <c r="M3629" s="10">
        <v>1</v>
      </c>
      <c r="N3629" s="10"/>
      <c r="O3629" s="10"/>
      <c r="P3629" s="10" t="s">
        <v>21734</v>
      </c>
      <c r="Q3629" s="10">
        <v>780</v>
      </c>
      <c r="R3629" s="10" t="s">
        <v>21735</v>
      </c>
      <c r="S3629" s="10" t="s">
        <v>53</v>
      </c>
      <c r="T3629" s="10" t="s">
        <v>6384</v>
      </c>
    </row>
    <row r="3630" spans="1:20" ht="14.5" x14ac:dyDescent="0.35">
      <c r="A3630" s="10" t="s">
        <v>21736</v>
      </c>
      <c r="B3630" s="10" t="str">
        <f>"9780415689885"</f>
        <v>9780415689885</v>
      </c>
      <c r="C3630" s="10" t="str">
        <f>"9780203125816"</f>
        <v>9780203125816</v>
      </c>
      <c r="D3630" s="10" t="s">
        <v>6350</v>
      </c>
      <c r="E3630" s="10" t="s">
        <v>6351</v>
      </c>
      <c r="F3630" s="10" t="s">
        <v>748</v>
      </c>
      <c r="G3630" s="10" t="s">
        <v>6352</v>
      </c>
      <c r="H3630" s="11">
        <v>40885</v>
      </c>
      <c r="I3630" s="10">
        <v>1987</v>
      </c>
      <c r="J3630" s="10" t="s">
        <v>6351</v>
      </c>
      <c r="K3630" s="10">
        <v>313</v>
      </c>
      <c r="L3630" s="10" t="s">
        <v>7515</v>
      </c>
      <c r="M3630" s="10">
        <v>1</v>
      </c>
      <c r="N3630" s="10" t="s">
        <v>21400</v>
      </c>
      <c r="O3630" s="10"/>
      <c r="P3630" s="10" t="s">
        <v>21737</v>
      </c>
      <c r="Q3630" s="10" t="s">
        <v>21738</v>
      </c>
      <c r="R3630" s="10" t="s">
        <v>21739</v>
      </c>
      <c r="S3630" s="10" t="s">
        <v>53</v>
      </c>
      <c r="T3630" s="10" t="s">
        <v>6384</v>
      </c>
    </row>
    <row r="3631" spans="1:20" ht="14.5" x14ac:dyDescent="0.35">
      <c r="A3631" s="10" t="s">
        <v>21740</v>
      </c>
      <c r="B3631" s="10" t="str">
        <f>"9780415686266"</f>
        <v>9780415686266</v>
      </c>
      <c r="C3631" s="10" t="str">
        <f>"9780203802014"</f>
        <v>9780203802014</v>
      </c>
      <c r="D3631" s="10" t="s">
        <v>6350</v>
      </c>
      <c r="E3631" s="10" t="s">
        <v>6351</v>
      </c>
      <c r="F3631" s="10" t="s">
        <v>748</v>
      </c>
      <c r="G3631" s="10" t="s">
        <v>6352</v>
      </c>
      <c r="H3631" s="11">
        <v>40840</v>
      </c>
      <c r="I3631" s="10">
        <v>2012</v>
      </c>
      <c r="J3631" s="10" t="s">
        <v>6351</v>
      </c>
      <c r="K3631" s="10">
        <v>193</v>
      </c>
      <c r="L3631" s="10" t="s">
        <v>21741</v>
      </c>
      <c r="M3631" s="10">
        <v>1</v>
      </c>
      <c r="N3631" s="10" t="s">
        <v>21593</v>
      </c>
      <c r="O3631" s="10"/>
      <c r="P3631" s="10" t="s">
        <v>21742</v>
      </c>
      <c r="Q3631" s="10">
        <v>373.11020000000002</v>
      </c>
      <c r="R3631" s="10" t="s">
        <v>21743</v>
      </c>
      <c r="S3631" s="10" t="s">
        <v>53</v>
      </c>
      <c r="T3631" s="10" t="s">
        <v>54</v>
      </c>
    </row>
    <row r="3632" spans="1:20" ht="14.5" x14ac:dyDescent="0.35">
      <c r="A3632" s="10" t="s">
        <v>21744</v>
      </c>
      <c r="B3632" s="10" t="str">
        <f>"9780415505970"</f>
        <v>9780415505970</v>
      </c>
      <c r="C3632" s="10" t="str">
        <f>"9780203127384"</f>
        <v>9780203127384</v>
      </c>
      <c r="D3632" s="10" t="s">
        <v>6350</v>
      </c>
      <c r="E3632" s="10" t="s">
        <v>6351</v>
      </c>
      <c r="F3632" s="10" t="s">
        <v>139</v>
      </c>
      <c r="G3632" s="10" t="s">
        <v>6352</v>
      </c>
      <c r="H3632" s="11">
        <v>40885</v>
      </c>
      <c r="I3632" s="10">
        <v>2012</v>
      </c>
      <c r="J3632" s="10" t="s">
        <v>6353</v>
      </c>
      <c r="K3632" s="10">
        <v>153</v>
      </c>
      <c r="L3632" s="10" t="s">
        <v>21745</v>
      </c>
      <c r="M3632" s="10">
        <v>1</v>
      </c>
      <c r="N3632" s="10" t="s">
        <v>21400</v>
      </c>
      <c r="O3632" s="10"/>
      <c r="P3632" s="10" t="s">
        <v>21746</v>
      </c>
      <c r="Q3632" s="10">
        <v>370.11509410000002</v>
      </c>
      <c r="R3632" s="10" t="s">
        <v>21747</v>
      </c>
      <c r="S3632" s="10" t="s">
        <v>53</v>
      </c>
      <c r="T3632" s="10" t="s">
        <v>54</v>
      </c>
    </row>
    <row r="3633" spans="1:20" ht="14.5" x14ac:dyDescent="0.35">
      <c r="A3633" s="10" t="s">
        <v>21748</v>
      </c>
      <c r="B3633" s="10" t="str">
        <f>"9780415506014"</f>
        <v>9780415506014</v>
      </c>
      <c r="C3633" s="10" t="str">
        <f>"9780203127339"</f>
        <v>9780203127339</v>
      </c>
      <c r="D3633" s="10" t="s">
        <v>6350</v>
      </c>
      <c r="E3633" s="10" t="s">
        <v>6351</v>
      </c>
      <c r="F3633" s="10" t="s">
        <v>139</v>
      </c>
      <c r="G3633" s="10" t="s">
        <v>6352</v>
      </c>
      <c r="H3633" s="11">
        <v>40885</v>
      </c>
      <c r="I3633" s="10">
        <v>2012</v>
      </c>
      <c r="J3633" s="10" t="s">
        <v>6353</v>
      </c>
      <c r="K3633" s="10">
        <v>281</v>
      </c>
      <c r="L3633" s="10" t="s">
        <v>7547</v>
      </c>
      <c r="M3633" s="10">
        <v>1</v>
      </c>
      <c r="N3633" s="10" t="s">
        <v>21400</v>
      </c>
      <c r="O3633" s="10"/>
      <c r="P3633" s="10" t="s">
        <v>21749</v>
      </c>
      <c r="Q3633" s="10">
        <v>371.02094099999999</v>
      </c>
      <c r="R3633" s="10" t="s">
        <v>21750</v>
      </c>
      <c r="S3633" s="10" t="s">
        <v>53</v>
      </c>
      <c r="T3633" s="10" t="s">
        <v>54</v>
      </c>
    </row>
    <row r="3634" spans="1:20" ht="14.5" x14ac:dyDescent="0.35">
      <c r="A3634" s="10" t="s">
        <v>21751</v>
      </c>
      <c r="B3634" s="10" t="str">
        <f>"9780415886284"</f>
        <v>9780415886284</v>
      </c>
      <c r="C3634" s="10" t="str">
        <f>"9780203836477"</f>
        <v>9780203836477</v>
      </c>
      <c r="D3634" s="10" t="s">
        <v>6350</v>
      </c>
      <c r="E3634" s="10" t="s">
        <v>6351</v>
      </c>
      <c r="F3634" s="10" t="s">
        <v>748</v>
      </c>
      <c r="G3634" s="10" t="s">
        <v>6352</v>
      </c>
      <c r="H3634" s="11">
        <v>40826</v>
      </c>
      <c r="I3634" s="10">
        <v>2012</v>
      </c>
      <c r="J3634" s="10" t="s">
        <v>6351</v>
      </c>
      <c r="K3634" s="10">
        <v>205</v>
      </c>
      <c r="L3634" s="10" t="s">
        <v>21752</v>
      </c>
      <c r="M3634" s="10">
        <v>1</v>
      </c>
      <c r="N3634" s="10"/>
      <c r="O3634" s="10"/>
      <c r="P3634" s="10" t="s">
        <v>21753</v>
      </c>
      <c r="Q3634" s="10">
        <v>371.33</v>
      </c>
      <c r="R3634" s="10" t="s">
        <v>20209</v>
      </c>
      <c r="S3634" s="10" t="s">
        <v>53</v>
      </c>
      <c r="T3634" s="10" t="s">
        <v>54</v>
      </c>
    </row>
    <row r="3635" spans="1:20" ht="14.5" x14ac:dyDescent="0.35">
      <c r="A3635" s="10" t="s">
        <v>21754</v>
      </c>
      <c r="B3635" s="10" t="str">
        <f>"9780415678469"</f>
        <v>9780415678469</v>
      </c>
      <c r="C3635" s="10" t="str">
        <f>"9780203807378"</f>
        <v>9780203807378</v>
      </c>
      <c r="D3635" s="10" t="s">
        <v>6350</v>
      </c>
      <c r="E3635" s="10" t="s">
        <v>6351</v>
      </c>
      <c r="F3635" s="10" t="s">
        <v>748</v>
      </c>
      <c r="G3635" s="10" t="s">
        <v>6352</v>
      </c>
      <c r="H3635" s="11">
        <v>40885</v>
      </c>
      <c r="I3635" s="10">
        <v>1987</v>
      </c>
      <c r="J3635" s="10" t="s">
        <v>6351</v>
      </c>
      <c r="K3635" s="10">
        <v>211</v>
      </c>
      <c r="L3635" s="10" t="s">
        <v>21755</v>
      </c>
      <c r="M3635" s="10">
        <v>1</v>
      </c>
      <c r="N3635" s="10" t="s">
        <v>21400</v>
      </c>
      <c r="O3635" s="10"/>
      <c r="P3635" s="10" t="s">
        <v>21756</v>
      </c>
      <c r="Q3635" s="10">
        <v>370.15280000000001</v>
      </c>
      <c r="R3635" s="10" t="s">
        <v>21757</v>
      </c>
      <c r="S3635" s="10" t="s">
        <v>53</v>
      </c>
      <c r="T3635" s="10" t="s">
        <v>54</v>
      </c>
    </row>
    <row r="3636" spans="1:20" ht="14.5" x14ac:dyDescent="0.35">
      <c r="A3636" s="10" t="s">
        <v>21758</v>
      </c>
      <c r="B3636" s="10" t="str">
        <f>"9780415664301"</f>
        <v>9780415664301</v>
      </c>
      <c r="C3636" s="10" t="str">
        <f>"9780203816431"</f>
        <v>9780203816431</v>
      </c>
      <c r="D3636" s="10" t="s">
        <v>6350</v>
      </c>
      <c r="E3636" s="10" t="s">
        <v>6351</v>
      </c>
      <c r="F3636" s="10" t="s">
        <v>5406</v>
      </c>
      <c r="G3636" s="10" t="s">
        <v>6317</v>
      </c>
      <c r="H3636" s="11">
        <v>40885</v>
      </c>
      <c r="I3636" s="10">
        <v>2012</v>
      </c>
      <c r="J3636" s="10" t="s">
        <v>6353</v>
      </c>
      <c r="K3636" s="10">
        <v>145</v>
      </c>
      <c r="L3636" s="10" t="s">
        <v>21759</v>
      </c>
      <c r="M3636" s="10">
        <v>1</v>
      </c>
      <c r="N3636" s="10" t="s">
        <v>21400</v>
      </c>
      <c r="O3636" s="10"/>
      <c r="P3636" s="10" t="s">
        <v>21760</v>
      </c>
      <c r="Q3636" s="10">
        <v>378.40904399999999</v>
      </c>
      <c r="R3636" s="10" t="s">
        <v>21761</v>
      </c>
      <c r="S3636" s="10" t="s">
        <v>53</v>
      </c>
      <c r="T3636" s="10" t="s">
        <v>54</v>
      </c>
    </row>
    <row r="3637" spans="1:20" ht="14.5" x14ac:dyDescent="0.35">
      <c r="A3637" s="10" t="s">
        <v>21762</v>
      </c>
      <c r="B3637" s="10" t="str">
        <f>"9780415688499"</f>
        <v>9780415688499</v>
      </c>
      <c r="C3637" s="10" t="str">
        <f>"9780203357279"</f>
        <v>9780203357279</v>
      </c>
      <c r="D3637" s="10" t="s">
        <v>6350</v>
      </c>
      <c r="E3637" s="10" t="s">
        <v>6351</v>
      </c>
      <c r="F3637" s="10" t="s">
        <v>7115</v>
      </c>
      <c r="G3637" s="10" t="s">
        <v>6352</v>
      </c>
      <c r="H3637" s="11">
        <v>40878</v>
      </c>
      <c r="I3637" s="10">
        <v>2012</v>
      </c>
      <c r="J3637" s="10" t="s">
        <v>6353</v>
      </c>
      <c r="K3637" s="10">
        <v>166</v>
      </c>
      <c r="L3637" s="10" t="s">
        <v>7297</v>
      </c>
      <c r="M3637" s="10">
        <v>1</v>
      </c>
      <c r="N3637" s="10"/>
      <c r="O3637" s="10"/>
      <c r="P3637" s="10" t="s">
        <v>21763</v>
      </c>
      <c r="Q3637" s="10">
        <v>370.71100000000001</v>
      </c>
      <c r="R3637" s="10" t="s">
        <v>7300</v>
      </c>
      <c r="S3637" s="10" t="s">
        <v>53</v>
      </c>
      <c r="T3637" s="10" t="s">
        <v>54</v>
      </c>
    </row>
    <row r="3638" spans="1:20" ht="14.5" x14ac:dyDescent="0.35">
      <c r="A3638" s="10" t="s">
        <v>21764</v>
      </c>
      <c r="B3638" s="10" t="str">
        <f>"9780415597579"</f>
        <v>9780415597579</v>
      </c>
      <c r="C3638" s="10" t="str">
        <f>"9780203118733"</f>
        <v>9780203118733</v>
      </c>
      <c r="D3638" s="10" t="s">
        <v>6350</v>
      </c>
      <c r="E3638" s="10" t="s">
        <v>6351</v>
      </c>
      <c r="F3638" s="10" t="s">
        <v>139</v>
      </c>
      <c r="G3638" s="10" t="s">
        <v>6352</v>
      </c>
      <c r="H3638" s="11">
        <v>41072</v>
      </c>
      <c r="I3638" s="10">
        <v>2012</v>
      </c>
      <c r="J3638" s="10" t="s">
        <v>6353</v>
      </c>
      <c r="K3638" s="10">
        <v>225</v>
      </c>
      <c r="L3638" s="10" t="s">
        <v>21765</v>
      </c>
      <c r="M3638" s="10">
        <v>1</v>
      </c>
      <c r="N3638" s="10"/>
      <c r="O3638" s="10"/>
      <c r="P3638" s="10" t="s">
        <v>21766</v>
      </c>
      <c r="Q3638" s="10">
        <v>371.10199999999998</v>
      </c>
      <c r="R3638" s="10" t="s">
        <v>21719</v>
      </c>
      <c r="S3638" s="10" t="s">
        <v>53</v>
      </c>
      <c r="T3638" s="10" t="s">
        <v>54</v>
      </c>
    </row>
    <row r="3639" spans="1:20" ht="14.5" x14ac:dyDescent="0.35">
      <c r="A3639" s="10" t="s">
        <v>21767</v>
      </c>
      <c r="B3639" s="10" t="str">
        <f>"9780813538815"</f>
        <v>9780813538815</v>
      </c>
      <c r="C3639" s="10" t="str">
        <f>"9780813540054"</f>
        <v>9780813540054</v>
      </c>
      <c r="D3639" s="10" t="s">
        <v>12251</v>
      </c>
      <c r="E3639" s="10" t="s">
        <v>12251</v>
      </c>
      <c r="F3639" s="10" t="s">
        <v>2510</v>
      </c>
      <c r="G3639" s="10" t="s">
        <v>6317</v>
      </c>
      <c r="H3639" s="11">
        <v>38882</v>
      </c>
      <c r="I3639" s="10">
        <v>2006</v>
      </c>
      <c r="J3639" s="10" t="s">
        <v>12251</v>
      </c>
      <c r="K3639" s="10">
        <v>186</v>
      </c>
      <c r="L3639" s="10" t="s">
        <v>21768</v>
      </c>
      <c r="M3639" s="10">
        <v>1</v>
      </c>
      <c r="N3639" s="10"/>
      <c r="O3639" s="10"/>
      <c r="P3639" s="10" t="s">
        <v>21769</v>
      </c>
      <c r="Q3639" s="10" t="s">
        <v>21770</v>
      </c>
      <c r="R3639" s="10" t="s">
        <v>21771</v>
      </c>
      <c r="S3639" s="10" t="s">
        <v>53</v>
      </c>
      <c r="T3639" s="10" t="s">
        <v>8625</v>
      </c>
    </row>
    <row r="3640" spans="1:20" ht="14.5" x14ac:dyDescent="0.35">
      <c r="A3640" s="10" t="s">
        <v>21772</v>
      </c>
      <c r="B3640" s="10" t="str">
        <f>"9780813537931"</f>
        <v>9780813537931</v>
      </c>
      <c r="C3640" s="10" t="str">
        <f>"9780813539980"</f>
        <v>9780813539980</v>
      </c>
      <c r="D3640" s="10" t="s">
        <v>12251</v>
      </c>
      <c r="E3640" s="10" t="s">
        <v>12251</v>
      </c>
      <c r="F3640" s="10" t="s">
        <v>2510</v>
      </c>
      <c r="G3640" s="10" t="s">
        <v>6317</v>
      </c>
      <c r="H3640" s="11">
        <v>38860</v>
      </c>
      <c r="I3640" s="10">
        <v>2006</v>
      </c>
      <c r="J3640" s="10" t="s">
        <v>12251</v>
      </c>
      <c r="K3640" s="10">
        <v>224</v>
      </c>
      <c r="L3640" s="10" t="s">
        <v>21773</v>
      </c>
      <c r="M3640" s="10">
        <v>1</v>
      </c>
      <c r="N3640" s="10"/>
      <c r="O3640" s="10"/>
      <c r="P3640" s="10" t="s">
        <v>21774</v>
      </c>
      <c r="Q3640" s="10" t="s">
        <v>21775</v>
      </c>
      <c r="R3640" s="10" t="s">
        <v>21776</v>
      </c>
      <c r="S3640" s="10" t="s">
        <v>53</v>
      </c>
      <c r="T3640" s="10" t="s">
        <v>6363</v>
      </c>
    </row>
    <row r="3641" spans="1:20" ht="14.5" x14ac:dyDescent="0.35">
      <c r="A3641" s="10" t="s">
        <v>21777</v>
      </c>
      <c r="B3641" s="10" t="str">
        <f>"9780821388914"</f>
        <v>9780821388914</v>
      </c>
      <c r="C3641" s="10" t="str">
        <f>"9780821388921"</f>
        <v>9780821388921</v>
      </c>
      <c r="D3641" s="10" t="s">
        <v>14731</v>
      </c>
      <c r="E3641" s="10" t="s">
        <v>14732</v>
      </c>
      <c r="F3641" s="10" t="s">
        <v>14733</v>
      </c>
      <c r="G3641" s="10" t="s">
        <v>6317</v>
      </c>
      <c r="H3641" s="11">
        <v>40909</v>
      </c>
      <c r="I3641" s="10">
        <v>2012</v>
      </c>
      <c r="J3641" s="10" t="s">
        <v>14732</v>
      </c>
      <c r="K3641" s="10">
        <v>173</v>
      </c>
      <c r="L3641" s="10" t="s">
        <v>21778</v>
      </c>
      <c r="M3641" s="10">
        <v>1</v>
      </c>
      <c r="N3641" s="10"/>
      <c r="O3641" s="10"/>
      <c r="P3641" s="10" t="s">
        <v>21779</v>
      </c>
      <c r="Q3641" s="10">
        <v>370.96289999999999</v>
      </c>
      <c r="R3641" s="10" t="s">
        <v>21780</v>
      </c>
      <c r="S3641" s="10" t="s">
        <v>53</v>
      </c>
      <c r="T3641" s="10" t="s">
        <v>54</v>
      </c>
    </row>
    <row r="3642" spans="1:20" ht="14.5" x14ac:dyDescent="0.35">
      <c r="A3642" s="10" t="s">
        <v>21781</v>
      </c>
      <c r="B3642" s="10" t="str">
        <f>"9780813535982"</f>
        <v>9780813535982</v>
      </c>
      <c r="C3642" s="10" t="str">
        <f>"9780813537733"</f>
        <v>9780813537733</v>
      </c>
      <c r="D3642" s="10" t="s">
        <v>12251</v>
      </c>
      <c r="E3642" s="10" t="s">
        <v>12251</v>
      </c>
      <c r="F3642" s="10" t="s">
        <v>2510</v>
      </c>
      <c r="G3642" s="10" t="s">
        <v>6317</v>
      </c>
      <c r="H3642" s="11">
        <v>38597</v>
      </c>
      <c r="I3642" s="10">
        <v>2005</v>
      </c>
      <c r="J3642" s="10" t="s">
        <v>12251</v>
      </c>
      <c r="K3642" s="10">
        <v>264</v>
      </c>
      <c r="L3642" s="10" t="s">
        <v>21782</v>
      </c>
      <c r="M3642" s="10">
        <v>1</v>
      </c>
      <c r="N3642" s="10"/>
      <c r="O3642" s="10"/>
      <c r="P3642" s="10" t="s">
        <v>21783</v>
      </c>
      <c r="Q3642" s="10" t="s">
        <v>21784</v>
      </c>
      <c r="R3642" s="10"/>
      <c r="S3642" s="10" t="s">
        <v>53</v>
      </c>
      <c r="T3642" s="10" t="s">
        <v>9993</v>
      </c>
    </row>
    <row r="3643" spans="1:20" ht="14.5" x14ac:dyDescent="0.35">
      <c r="A3643" s="10" t="s">
        <v>21785</v>
      </c>
      <c r="B3643" s="10" t="str">
        <f>"9781607094340"</f>
        <v>9781607094340</v>
      </c>
      <c r="C3643" s="10" t="str">
        <f>"9781607094364"</f>
        <v>9781607094364</v>
      </c>
      <c r="D3643" s="10" t="s">
        <v>9752</v>
      </c>
      <c r="E3643" s="10" t="s">
        <v>15192</v>
      </c>
      <c r="F3643" s="10" t="s">
        <v>9754</v>
      </c>
      <c r="G3643" s="10" t="s">
        <v>6317</v>
      </c>
      <c r="H3643" s="11">
        <v>40194</v>
      </c>
      <c r="I3643" s="10">
        <v>2009</v>
      </c>
      <c r="J3643" s="10" t="s">
        <v>15192</v>
      </c>
      <c r="K3643" s="10">
        <v>175</v>
      </c>
      <c r="L3643" s="10" t="s">
        <v>21786</v>
      </c>
      <c r="M3643" s="10">
        <v>1</v>
      </c>
      <c r="N3643" s="10"/>
      <c r="O3643" s="10"/>
      <c r="P3643" s="10" t="s">
        <v>21787</v>
      </c>
      <c r="Q3643" s="10">
        <v>371.39</v>
      </c>
      <c r="R3643" s="10" t="s">
        <v>21788</v>
      </c>
      <c r="S3643" s="10" t="s">
        <v>53</v>
      </c>
      <c r="T3643" s="10" t="s">
        <v>54</v>
      </c>
    </row>
    <row r="3644" spans="1:20" ht="14.5" x14ac:dyDescent="0.35">
      <c r="A3644" s="10" t="s">
        <v>21789</v>
      </c>
      <c r="B3644" s="10" t="str">
        <f>"9780815722441"</f>
        <v>9780815722441</v>
      </c>
      <c r="C3644" s="10" t="str">
        <f>"9780815722458"</f>
        <v>9780815722458</v>
      </c>
      <c r="D3644" s="10" t="s">
        <v>9752</v>
      </c>
      <c r="E3644" s="10" t="s">
        <v>9753</v>
      </c>
      <c r="F3644" s="10" t="s">
        <v>9754</v>
      </c>
      <c r="G3644" s="10" t="s">
        <v>6317</v>
      </c>
      <c r="H3644" s="11">
        <v>41060</v>
      </c>
      <c r="I3644" s="10">
        <v>2012</v>
      </c>
      <c r="J3644" s="10" t="s">
        <v>9753</v>
      </c>
      <c r="K3644" s="10">
        <v>172</v>
      </c>
      <c r="L3644" s="10" t="s">
        <v>21790</v>
      </c>
      <c r="M3644" s="10">
        <v>1</v>
      </c>
      <c r="N3644" s="10"/>
      <c r="O3644" s="10"/>
      <c r="P3644" s="10" t="s">
        <v>21791</v>
      </c>
      <c r="Q3644" s="10">
        <v>371.33</v>
      </c>
      <c r="R3644" s="10" t="s">
        <v>7982</v>
      </c>
      <c r="S3644" s="10" t="s">
        <v>53</v>
      </c>
      <c r="T3644" s="10" t="s">
        <v>54</v>
      </c>
    </row>
    <row r="3645" spans="1:20" ht="14.5" x14ac:dyDescent="0.35">
      <c r="A3645" s="10" t="s">
        <v>21792</v>
      </c>
      <c r="B3645" s="10" t="str">
        <f>"9781441158604"</f>
        <v>9781441158604</v>
      </c>
      <c r="C3645" s="10" t="str">
        <f>"9781441177971"</f>
        <v>9781441177971</v>
      </c>
      <c r="D3645" s="10" t="s">
        <v>13959</v>
      </c>
      <c r="E3645" s="10" t="s">
        <v>13960</v>
      </c>
      <c r="F3645" s="10" t="s">
        <v>139</v>
      </c>
      <c r="G3645" s="10" t="s">
        <v>6352</v>
      </c>
      <c r="H3645" s="11">
        <v>41151</v>
      </c>
      <c r="I3645" s="10">
        <v>2012</v>
      </c>
      <c r="J3645" s="10" t="s">
        <v>13961</v>
      </c>
      <c r="K3645" s="10">
        <v>177</v>
      </c>
      <c r="L3645" s="10" t="s">
        <v>21793</v>
      </c>
      <c r="M3645" s="10">
        <v>1</v>
      </c>
      <c r="N3645" s="10" t="s">
        <v>16919</v>
      </c>
      <c r="O3645" s="10"/>
      <c r="P3645" s="10" t="s">
        <v>21794</v>
      </c>
      <c r="Q3645" s="10">
        <v>418.00709999999998</v>
      </c>
      <c r="R3645" s="10" t="s">
        <v>21795</v>
      </c>
      <c r="S3645" s="10" t="s">
        <v>53</v>
      </c>
      <c r="T3645" s="10" t="s">
        <v>6616</v>
      </c>
    </row>
    <row r="3646" spans="1:20" ht="14.5" x14ac:dyDescent="0.35">
      <c r="A3646" s="10" t="s">
        <v>21796</v>
      </c>
      <c r="B3646" s="10" t="str">
        <f>"9781472569172"</f>
        <v>9781472569172</v>
      </c>
      <c r="C3646" s="10" t="str">
        <f>"9781441148087"</f>
        <v>9781441148087</v>
      </c>
      <c r="D3646" s="10" t="s">
        <v>13959</v>
      </c>
      <c r="E3646" s="10" t="s">
        <v>13960</v>
      </c>
      <c r="F3646" s="10" t="s">
        <v>139</v>
      </c>
      <c r="G3646" s="10" t="s">
        <v>6352</v>
      </c>
      <c r="H3646" s="11">
        <v>41739</v>
      </c>
      <c r="I3646" s="10">
        <v>2012</v>
      </c>
      <c r="J3646" s="10" t="s">
        <v>13961</v>
      </c>
      <c r="K3646" s="10">
        <v>225</v>
      </c>
      <c r="L3646" s="10" t="s">
        <v>21797</v>
      </c>
      <c r="M3646" s="10">
        <v>1</v>
      </c>
      <c r="N3646" s="10"/>
      <c r="O3646" s="10"/>
      <c r="P3646" s="10" t="s">
        <v>21798</v>
      </c>
      <c r="Q3646" s="10">
        <v>910.71199999999999</v>
      </c>
      <c r="R3646" s="10" t="s">
        <v>21799</v>
      </c>
      <c r="S3646" s="10" t="s">
        <v>53</v>
      </c>
      <c r="T3646" s="10" t="s">
        <v>12094</v>
      </c>
    </row>
    <row r="3647" spans="1:20" ht="14.5" x14ac:dyDescent="0.35">
      <c r="A3647" s="10" t="s">
        <v>21800</v>
      </c>
      <c r="B3647" s="10" t="str">
        <f>"9781847195906"</f>
        <v>9781847195906</v>
      </c>
      <c r="C3647" s="10" t="str">
        <f>"9781847195913"</f>
        <v>9781847195913</v>
      </c>
      <c r="D3647" s="10" t="s">
        <v>21162</v>
      </c>
      <c r="E3647" s="10" t="s">
        <v>21163</v>
      </c>
      <c r="F3647" s="10" t="s">
        <v>1939</v>
      </c>
      <c r="G3647" s="10" t="s">
        <v>6352</v>
      </c>
      <c r="H3647" s="11">
        <v>39954</v>
      </c>
      <c r="I3647" s="10">
        <v>2009</v>
      </c>
      <c r="J3647" s="10" t="s">
        <v>21163</v>
      </c>
      <c r="K3647" s="10">
        <v>304</v>
      </c>
      <c r="L3647" s="10" t="s">
        <v>21801</v>
      </c>
      <c r="M3647" s="10">
        <v>1</v>
      </c>
      <c r="N3647" s="10"/>
      <c r="O3647" s="10"/>
      <c r="P3647" s="10"/>
      <c r="Q3647" s="10"/>
      <c r="R3647" s="10"/>
      <c r="S3647" s="10" t="s">
        <v>53</v>
      </c>
      <c r="T3647" s="10" t="s">
        <v>19990</v>
      </c>
    </row>
    <row r="3648" spans="1:20" ht="14.5" x14ac:dyDescent="0.35">
      <c r="A3648" s="10" t="s">
        <v>21802</v>
      </c>
      <c r="B3648" s="10" t="str">
        <f>"9783642222818"</f>
        <v>9783642222818</v>
      </c>
      <c r="C3648" s="10" t="str">
        <f>"9783642222825"</f>
        <v>9783642222825</v>
      </c>
      <c r="D3648" s="10" t="s">
        <v>11249</v>
      </c>
      <c r="E3648" s="10" t="s">
        <v>21803</v>
      </c>
      <c r="F3648" s="10" t="s">
        <v>21804</v>
      </c>
      <c r="G3648" s="10" t="s">
        <v>9998</v>
      </c>
      <c r="H3648" s="11">
        <v>40830</v>
      </c>
      <c r="I3648" s="10">
        <v>2011</v>
      </c>
      <c r="J3648" s="10" t="s">
        <v>13067</v>
      </c>
      <c r="K3648" s="10">
        <v>526</v>
      </c>
      <c r="L3648" s="10" t="s">
        <v>21805</v>
      </c>
      <c r="M3648" s="10">
        <v>1</v>
      </c>
      <c r="N3648" s="10"/>
      <c r="O3648" s="10"/>
      <c r="P3648" s="10" t="s">
        <v>21806</v>
      </c>
      <c r="Q3648" s="10" t="s">
        <v>21807</v>
      </c>
      <c r="R3648" s="10" t="s">
        <v>21808</v>
      </c>
      <c r="S3648" s="10" t="s">
        <v>53</v>
      </c>
      <c r="T3648" s="10" t="s">
        <v>6616</v>
      </c>
    </row>
    <row r="3649" spans="1:20" ht="14.5" x14ac:dyDescent="0.35">
      <c r="A3649" s="10" t="s">
        <v>21809</v>
      </c>
      <c r="B3649" s="10" t="str">
        <f>"9783642257544"</f>
        <v>9783642257544</v>
      </c>
      <c r="C3649" s="10" t="str">
        <f>"9783642257551"</f>
        <v>9783642257551</v>
      </c>
      <c r="D3649" s="10" t="s">
        <v>11249</v>
      </c>
      <c r="E3649" s="10" t="s">
        <v>21803</v>
      </c>
      <c r="F3649" s="10" t="s">
        <v>21804</v>
      </c>
      <c r="G3649" s="10" t="s">
        <v>9998</v>
      </c>
      <c r="H3649" s="11">
        <v>41018</v>
      </c>
      <c r="I3649" s="10">
        <v>2012</v>
      </c>
      <c r="J3649" s="10" t="s">
        <v>13067</v>
      </c>
      <c r="K3649" s="10">
        <v>456</v>
      </c>
      <c r="L3649" s="10" t="s">
        <v>21810</v>
      </c>
      <c r="M3649" s="10">
        <v>1</v>
      </c>
      <c r="N3649" s="10" t="s">
        <v>21811</v>
      </c>
      <c r="O3649" s="10">
        <v>33</v>
      </c>
      <c r="P3649" s="10" t="s">
        <v>21812</v>
      </c>
      <c r="Q3649" s="10">
        <v>658.40300000000002</v>
      </c>
      <c r="R3649" s="10" t="s">
        <v>18801</v>
      </c>
      <c r="S3649" s="10" t="s">
        <v>53</v>
      </c>
      <c r="T3649" s="10" t="s">
        <v>21813</v>
      </c>
    </row>
    <row r="3650" spans="1:20" ht="14.5" x14ac:dyDescent="0.35">
      <c r="A3650" s="10" t="s">
        <v>21814</v>
      </c>
      <c r="B3650" s="10" t="str">
        <f>"9781608055036"</f>
        <v>9781608055036</v>
      </c>
      <c r="C3650" s="10" t="str">
        <f>"9781608053711"</f>
        <v>9781608053711</v>
      </c>
      <c r="D3650" s="10" t="s">
        <v>21815</v>
      </c>
      <c r="E3650" s="10" t="s">
        <v>21815</v>
      </c>
      <c r="F3650" s="10" t="s">
        <v>21816</v>
      </c>
      <c r="G3650" s="10" t="s">
        <v>21817</v>
      </c>
      <c r="H3650" s="11">
        <v>41068</v>
      </c>
      <c r="I3650" s="10">
        <v>2012</v>
      </c>
      <c r="J3650" s="10" t="s">
        <v>21815</v>
      </c>
      <c r="K3650" s="10">
        <v>94</v>
      </c>
      <c r="L3650" s="10" t="s">
        <v>21818</v>
      </c>
      <c r="M3650" s="10">
        <v>1</v>
      </c>
      <c r="N3650" s="10"/>
      <c r="O3650" s="10"/>
      <c r="P3650" s="10" t="s">
        <v>21819</v>
      </c>
      <c r="Q3650" s="10">
        <v>300</v>
      </c>
      <c r="R3650" s="10" t="s">
        <v>21820</v>
      </c>
      <c r="S3650" s="10" t="s">
        <v>53</v>
      </c>
      <c r="T3650" s="10" t="s">
        <v>6472</v>
      </c>
    </row>
    <row r="3651" spans="1:20" ht="14.5" x14ac:dyDescent="0.35">
      <c r="A3651" s="10" t="s">
        <v>21821</v>
      </c>
      <c r="B3651" s="10" t="str">
        <f>"9781442212725"</f>
        <v>9781442212725</v>
      </c>
      <c r="C3651" s="10" t="str">
        <f>"9781442212749"</f>
        <v>9781442212749</v>
      </c>
      <c r="D3651" s="10" t="s">
        <v>9752</v>
      </c>
      <c r="E3651" s="10" t="s">
        <v>15187</v>
      </c>
      <c r="F3651" s="10" t="s">
        <v>9754</v>
      </c>
      <c r="G3651" s="10" t="s">
        <v>6317</v>
      </c>
      <c r="H3651" s="11">
        <v>41123</v>
      </c>
      <c r="I3651" s="10">
        <v>2012</v>
      </c>
      <c r="J3651" s="10" t="s">
        <v>15187</v>
      </c>
      <c r="K3651" s="10">
        <v>279</v>
      </c>
      <c r="L3651" s="10" t="s">
        <v>21822</v>
      </c>
      <c r="M3651" s="10">
        <v>1</v>
      </c>
      <c r="N3651" s="10"/>
      <c r="O3651" s="10"/>
      <c r="P3651" s="10" t="s">
        <v>21823</v>
      </c>
      <c r="Q3651" s="10" t="s">
        <v>9584</v>
      </c>
      <c r="R3651" s="10" t="s">
        <v>21824</v>
      </c>
      <c r="S3651" s="10" t="s">
        <v>53</v>
      </c>
      <c r="T3651" s="10" t="s">
        <v>54</v>
      </c>
    </row>
    <row r="3652" spans="1:20" ht="14.5" x14ac:dyDescent="0.35">
      <c r="A3652" s="10" t="s">
        <v>21825</v>
      </c>
      <c r="B3652" s="10" t="str">
        <f>"9780813536248"</f>
        <v>9780813536248</v>
      </c>
      <c r="C3652" s="10" t="str">
        <f>"9780813541129"</f>
        <v>9780813541129</v>
      </c>
      <c r="D3652" s="10" t="s">
        <v>12251</v>
      </c>
      <c r="E3652" s="10" t="s">
        <v>12251</v>
      </c>
      <c r="F3652" s="10" t="s">
        <v>2510</v>
      </c>
      <c r="G3652" s="10" t="s">
        <v>6317</v>
      </c>
      <c r="H3652" s="11">
        <v>38544</v>
      </c>
      <c r="I3652" s="10">
        <v>2005</v>
      </c>
      <c r="J3652" s="10" t="s">
        <v>12251</v>
      </c>
      <c r="K3652" s="10">
        <v>248</v>
      </c>
      <c r="L3652" s="10" t="s">
        <v>21826</v>
      </c>
      <c r="M3652" s="10">
        <v>1</v>
      </c>
      <c r="N3652" s="10"/>
      <c r="O3652" s="10"/>
      <c r="P3652" s="10" t="s">
        <v>16695</v>
      </c>
      <c r="Q3652" s="10">
        <v>378.73</v>
      </c>
      <c r="R3652" s="10"/>
      <c r="S3652" s="10" t="s">
        <v>53</v>
      </c>
      <c r="T3652" s="10" t="s">
        <v>54</v>
      </c>
    </row>
    <row r="3653" spans="1:20" ht="14.5" x14ac:dyDescent="0.35">
      <c r="A3653" s="10" t="s">
        <v>21827</v>
      </c>
      <c r="B3653" s="10" t="str">
        <f>"9781907241161"</f>
        <v>9781907241161</v>
      </c>
      <c r="C3653" s="10" t="str">
        <f>"9781907241734"</f>
        <v>9781907241734</v>
      </c>
      <c r="D3653" s="10" t="s">
        <v>19500</v>
      </c>
      <c r="E3653" s="10" t="s">
        <v>19501</v>
      </c>
      <c r="F3653" s="10" t="s">
        <v>20587</v>
      </c>
      <c r="G3653" s="10" t="s">
        <v>6352</v>
      </c>
      <c r="H3653" s="11">
        <v>40816</v>
      </c>
      <c r="I3653" s="10">
        <v>2012</v>
      </c>
      <c r="J3653" s="10" t="s">
        <v>21828</v>
      </c>
      <c r="K3653" s="10">
        <v>41</v>
      </c>
      <c r="L3653" s="10" t="s">
        <v>21829</v>
      </c>
      <c r="M3653" s="10">
        <v>1</v>
      </c>
      <c r="N3653" s="10" t="s">
        <v>21830</v>
      </c>
      <c r="O3653" s="10">
        <v>4</v>
      </c>
      <c r="P3653" s="10" t="s">
        <v>21831</v>
      </c>
      <c r="Q3653" s="10">
        <v>372.21</v>
      </c>
      <c r="R3653" s="10" t="s">
        <v>21832</v>
      </c>
      <c r="S3653" s="10" t="s">
        <v>53</v>
      </c>
      <c r="T3653" s="10" t="s">
        <v>6526</v>
      </c>
    </row>
    <row r="3654" spans="1:20" ht="14.5" x14ac:dyDescent="0.35">
      <c r="A3654" s="10" t="s">
        <v>21833</v>
      </c>
      <c r="B3654" s="10" t="str">
        <f>"9781904575429"</f>
        <v>9781904575429</v>
      </c>
      <c r="C3654" s="10" t="str">
        <f>"9781907241857"</f>
        <v>9781907241857</v>
      </c>
      <c r="D3654" s="10" t="s">
        <v>19500</v>
      </c>
      <c r="E3654" s="10" t="s">
        <v>19501</v>
      </c>
      <c r="F3654" s="10" t="s">
        <v>20587</v>
      </c>
      <c r="G3654" s="10" t="s">
        <v>6352</v>
      </c>
      <c r="H3654" s="11">
        <v>39600</v>
      </c>
      <c r="I3654" s="10">
        <v>2012</v>
      </c>
      <c r="J3654" s="10" t="s">
        <v>21828</v>
      </c>
      <c r="K3654" s="10">
        <v>73</v>
      </c>
      <c r="L3654" s="10" t="s">
        <v>21829</v>
      </c>
      <c r="M3654" s="10">
        <v>1</v>
      </c>
      <c r="N3654" s="10" t="s">
        <v>21834</v>
      </c>
      <c r="O3654" s="10">
        <v>5</v>
      </c>
      <c r="P3654" s="10" t="s">
        <v>21835</v>
      </c>
      <c r="Q3654" s="10">
        <v>305.233</v>
      </c>
      <c r="R3654" s="10" t="s">
        <v>21836</v>
      </c>
      <c r="S3654" s="10" t="s">
        <v>53</v>
      </c>
      <c r="T3654" s="10" t="s">
        <v>6472</v>
      </c>
    </row>
    <row r="3655" spans="1:20" ht="14.5" x14ac:dyDescent="0.35">
      <c r="A3655" s="10" t="s">
        <v>21837</v>
      </c>
      <c r="B3655" s="10" t="str">
        <f>"9781904575092"</f>
        <v>9781904575092</v>
      </c>
      <c r="C3655" s="10" t="str">
        <f>"9781907241536"</f>
        <v>9781907241536</v>
      </c>
      <c r="D3655" s="10" t="s">
        <v>19500</v>
      </c>
      <c r="E3655" s="10" t="s">
        <v>19501</v>
      </c>
      <c r="F3655" s="10" t="s">
        <v>20587</v>
      </c>
      <c r="G3655" s="10" t="s">
        <v>6352</v>
      </c>
      <c r="H3655" s="11">
        <v>38353</v>
      </c>
      <c r="I3655" s="10">
        <v>2012</v>
      </c>
      <c r="J3655" s="10" t="s">
        <v>21828</v>
      </c>
      <c r="K3655" s="10">
        <v>81</v>
      </c>
      <c r="L3655" s="10" t="s">
        <v>21838</v>
      </c>
      <c r="M3655" s="10">
        <v>1</v>
      </c>
      <c r="N3655" s="10" t="s">
        <v>21839</v>
      </c>
      <c r="O3655" s="10">
        <v>1</v>
      </c>
      <c r="P3655" s="10" t="s">
        <v>21840</v>
      </c>
      <c r="Q3655" s="10">
        <v>370.15230000000003</v>
      </c>
      <c r="R3655" s="10" t="s">
        <v>21841</v>
      </c>
      <c r="S3655" s="10" t="s">
        <v>53</v>
      </c>
      <c r="T3655" s="10" t="s">
        <v>54</v>
      </c>
    </row>
    <row r="3656" spans="1:20" ht="14.5" x14ac:dyDescent="0.35">
      <c r="A3656" s="10" t="s">
        <v>21842</v>
      </c>
      <c r="B3656" s="10" t="str">
        <f>"9781904575375"</f>
        <v>9781904575375</v>
      </c>
      <c r="C3656" s="10" t="str">
        <f>"9781907241550"</f>
        <v>9781907241550</v>
      </c>
      <c r="D3656" s="10" t="s">
        <v>19500</v>
      </c>
      <c r="E3656" s="10" t="s">
        <v>19501</v>
      </c>
      <c r="F3656" s="10" t="s">
        <v>20587</v>
      </c>
      <c r="G3656" s="10" t="s">
        <v>6352</v>
      </c>
      <c r="H3656" s="11">
        <v>39539</v>
      </c>
      <c r="I3656" s="10">
        <v>2012</v>
      </c>
      <c r="J3656" s="10" t="s">
        <v>21828</v>
      </c>
      <c r="K3656" s="10">
        <v>60</v>
      </c>
      <c r="L3656" s="10" t="s">
        <v>21838</v>
      </c>
      <c r="M3656" s="10">
        <v>1</v>
      </c>
      <c r="N3656" s="10" t="s">
        <v>21843</v>
      </c>
      <c r="O3656" s="10">
        <v>2</v>
      </c>
      <c r="P3656" s="10" t="s">
        <v>21844</v>
      </c>
      <c r="Q3656" s="10">
        <v>372.21</v>
      </c>
      <c r="R3656" s="10" t="s">
        <v>21841</v>
      </c>
      <c r="S3656" s="10" t="s">
        <v>53</v>
      </c>
      <c r="T3656" s="10" t="s">
        <v>54</v>
      </c>
    </row>
    <row r="3657" spans="1:20" ht="14.5" x14ac:dyDescent="0.35">
      <c r="A3657" s="10" t="s">
        <v>21845</v>
      </c>
      <c r="B3657" s="10" t="str">
        <f>"9781847697394"</f>
        <v>9781847697394</v>
      </c>
      <c r="C3657" s="10" t="str">
        <f>"9781847697417"</f>
        <v>9781847697417</v>
      </c>
      <c r="D3657" s="10" t="s">
        <v>8394</v>
      </c>
      <c r="E3657" s="10" t="s">
        <v>8395</v>
      </c>
      <c r="F3657" s="10" t="s">
        <v>10236</v>
      </c>
      <c r="G3657" s="10" t="s">
        <v>6352</v>
      </c>
      <c r="H3657" s="11">
        <v>41093</v>
      </c>
      <c r="I3657" s="10">
        <v>2012</v>
      </c>
      <c r="J3657" s="10" t="s">
        <v>8395</v>
      </c>
      <c r="K3657" s="10">
        <v>315</v>
      </c>
      <c r="L3657" s="10" t="s">
        <v>21846</v>
      </c>
      <c r="M3657" s="10">
        <v>1</v>
      </c>
      <c r="N3657" s="10" t="s">
        <v>8403</v>
      </c>
      <c r="O3657" s="10">
        <v>85</v>
      </c>
      <c r="P3657" s="10" t="s">
        <v>21847</v>
      </c>
      <c r="Q3657" s="10">
        <v>497.14</v>
      </c>
      <c r="R3657" s="10" t="s">
        <v>21848</v>
      </c>
      <c r="S3657" s="10" t="s">
        <v>53</v>
      </c>
      <c r="T3657" s="10" t="s">
        <v>6634</v>
      </c>
    </row>
    <row r="3658" spans="1:20" ht="14.5" x14ac:dyDescent="0.35">
      <c r="A3658" s="10" t="s">
        <v>21849</v>
      </c>
      <c r="B3658" s="10" t="str">
        <f>"9781853594731"</f>
        <v>9781853594731</v>
      </c>
      <c r="C3658" s="10" t="str">
        <f>"9781853596773"</f>
        <v>9781853596773</v>
      </c>
      <c r="D3658" s="10" t="s">
        <v>8394</v>
      </c>
      <c r="E3658" s="10" t="s">
        <v>8395</v>
      </c>
      <c r="F3658" s="10" t="s">
        <v>8396</v>
      </c>
      <c r="G3658" s="10" t="s">
        <v>6352</v>
      </c>
      <c r="H3658" s="11">
        <v>36791</v>
      </c>
      <c r="I3658" s="10">
        <v>2000</v>
      </c>
      <c r="J3658" s="10" t="s">
        <v>8395</v>
      </c>
      <c r="K3658" s="10">
        <v>317</v>
      </c>
      <c r="L3658" s="10" t="s">
        <v>21850</v>
      </c>
      <c r="M3658" s="10">
        <v>1</v>
      </c>
      <c r="N3658" s="10" t="s">
        <v>8403</v>
      </c>
      <c r="O3658" s="10">
        <v>23</v>
      </c>
      <c r="P3658" s="10" t="s">
        <v>21851</v>
      </c>
      <c r="Q3658" s="10" t="s">
        <v>10199</v>
      </c>
      <c r="R3658" s="10" t="s">
        <v>21852</v>
      </c>
      <c r="S3658" s="10" t="s">
        <v>53</v>
      </c>
      <c r="T3658" s="10" t="s">
        <v>54</v>
      </c>
    </row>
    <row r="3659" spans="1:20" ht="14.5" x14ac:dyDescent="0.35">
      <c r="A3659" s="10" t="s">
        <v>21853</v>
      </c>
      <c r="B3659" s="10" t="str">
        <f>"9781847697196"</f>
        <v>9781847697196</v>
      </c>
      <c r="C3659" s="10" t="str">
        <f>"9781847697219"</f>
        <v>9781847697219</v>
      </c>
      <c r="D3659" s="10" t="s">
        <v>8394</v>
      </c>
      <c r="E3659" s="10" t="s">
        <v>8395</v>
      </c>
      <c r="F3659" s="10" t="s">
        <v>10236</v>
      </c>
      <c r="G3659" s="10" t="s">
        <v>6352</v>
      </c>
      <c r="H3659" s="11">
        <v>41085</v>
      </c>
      <c r="I3659" s="10">
        <v>2012</v>
      </c>
      <c r="J3659" s="10" t="s">
        <v>8395</v>
      </c>
      <c r="K3659" s="10">
        <v>373</v>
      </c>
      <c r="L3659" s="10" t="s">
        <v>21854</v>
      </c>
      <c r="M3659" s="10">
        <v>1</v>
      </c>
      <c r="N3659" s="10" t="s">
        <v>8408</v>
      </c>
      <c r="O3659" s="10">
        <v>16</v>
      </c>
      <c r="P3659" s="10" t="s">
        <v>21855</v>
      </c>
      <c r="Q3659" s="10">
        <v>371.82900000000001</v>
      </c>
      <c r="R3659" s="10" t="s">
        <v>21856</v>
      </c>
      <c r="S3659" s="10" t="s">
        <v>53</v>
      </c>
      <c r="T3659" s="10" t="s">
        <v>54</v>
      </c>
    </row>
    <row r="3660" spans="1:20" ht="14.5" x14ac:dyDescent="0.35">
      <c r="A3660" s="10" t="s">
        <v>21857</v>
      </c>
      <c r="B3660" s="10" t="str">
        <f>"9789042035201"</f>
        <v>9789042035201</v>
      </c>
      <c r="C3660" s="10" t="str">
        <f>"9789401207959"</f>
        <v>9789401207959</v>
      </c>
      <c r="D3660" s="10" t="s">
        <v>8564</v>
      </c>
      <c r="E3660" s="10" t="s">
        <v>8565</v>
      </c>
      <c r="F3660" s="10" t="s">
        <v>1420</v>
      </c>
      <c r="G3660" s="10" t="s">
        <v>6317</v>
      </c>
      <c r="H3660" s="11">
        <v>40909</v>
      </c>
      <c r="I3660" s="10">
        <v>2012</v>
      </c>
      <c r="J3660" s="10" t="s">
        <v>16400</v>
      </c>
      <c r="K3660" s="10">
        <v>186</v>
      </c>
      <c r="L3660" s="10" t="s">
        <v>21858</v>
      </c>
      <c r="M3660" s="10">
        <v>1</v>
      </c>
      <c r="N3660" s="10" t="s">
        <v>16435</v>
      </c>
      <c r="O3660" s="10">
        <v>23</v>
      </c>
      <c r="P3660" s="10"/>
      <c r="Q3660" s="10">
        <v>378.17093999999997</v>
      </c>
      <c r="R3660" s="10"/>
      <c r="S3660" s="10" t="s">
        <v>53</v>
      </c>
      <c r="T3660" s="10" t="s">
        <v>54</v>
      </c>
    </row>
    <row r="3661" spans="1:20" ht="14.5" x14ac:dyDescent="0.35">
      <c r="A3661" s="10" t="s">
        <v>21859</v>
      </c>
      <c r="B3661" s="10" t="str">
        <f>"9780821388891"</f>
        <v>9780821388891</v>
      </c>
      <c r="C3661" s="10" t="str">
        <f>"9780821388907"</f>
        <v>9780821388907</v>
      </c>
      <c r="D3661" s="10" t="s">
        <v>14731</v>
      </c>
      <c r="E3661" s="10" t="s">
        <v>14732</v>
      </c>
      <c r="F3661" s="10" t="s">
        <v>14733</v>
      </c>
      <c r="G3661" s="10" t="s">
        <v>6317</v>
      </c>
      <c r="H3661" s="11">
        <v>40909</v>
      </c>
      <c r="I3661" s="10">
        <v>2012</v>
      </c>
      <c r="J3661" s="10" t="s">
        <v>14732</v>
      </c>
      <c r="K3661" s="10">
        <v>277</v>
      </c>
      <c r="L3661" s="10" t="s">
        <v>21860</v>
      </c>
      <c r="M3661" s="10">
        <v>1</v>
      </c>
      <c r="N3661" s="10"/>
      <c r="O3661" s="10"/>
      <c r="P3661" s="10" t="s">
        <v>21861</v>
      </c>
      <c r="Q3661" s="10">
        <v>370.96699999999998</v>
      </c>
      <c r="R3661" s="10" t="s">
        <v>21862</v>
      </c>
      <c r="S3661" s="10" t="s">
        <v>53</v>
      </c>
      <c r="T3661" s="10" t="s">
        <v>54</v>
      </c>
    </row>
    <row r="3662" spans="1:20" ht="14.5" x14ac:dyDescent="0.35">
      <c r="A3662" s="10" t="s">
        <v>21863</v>
      </c>
      <c r="B3662" s="10" t="str">
        <f>"9781595588296"</f>
        <v>9781595588296</v>
      </c>
      <c r="C3662" s="10" t="str">
        <f>"9781595588647"</f>
        <v>9781595588647</v>
      </c>
      <c r="D3662" s="10" t="s">
        <v>6358</v>
      </c>
      <c r="E3662" s="10" t="s">
        <v>21864</v>
      </c>
      <c r="F3662" s="10" t="s">
        <v>70</v>
      </c>
      <c r="G3662" s="10" t="s">
        <v>6317</v>
      </c>
      <c r="H3662" s="11">
        <v>41275</v>
      </c>
      <c r="I3662" s="10">
        <v>2013</v>
      </c>
      <c r="J3662" s="10" t="s">
        <v>21864</v>
      </c>
      <c r="K3662" s="10">
        <v>322</v>
      </c>
      <c r="L3662" s="10" t="s">
        <v>21865</v>
      </c>
      <c r="M3662" s="10">
        <v>1</v>
      </c>
      <c r="N3662" s="10"/>
      <c r="O3662" s="10"/>
      <c r="P3662" s="10"/>
      <c r="Q3662" s="10">
        <v>370.97759500000001</v>
      </c>
      <c r="R3662" s="10" t="s">
        <v>21866</v>
      </c>
      <c r="S3662" s="10" t="s">
        <v>53</v>
      </c>
      <c r="T3662" s="10" t="s">
        <v>54</v>
      </c>
    </row>
    <row r="3663" spans="1:20" ht="14.5" x14ac:dyDescent="0.35">
      <c r="A3663" s="10" t="s">
        <v>21867</v>
      </c>
      <c r="B3663" s="10" t="str">
        <f>"9780415597654"</f>
        <v>9780415597654</v>
      </c>
      <c r="C3663" s="10" t="str">
        <f>"9780203597101"</f>
        <v>9780203597101</v>
      </c>
      <c r="D3663" s="10" t="s">
        <v>6350</v>
      </c>
      <c r="E3663" s="10" t="s">
        <v>6351</v>
      </c>
      <c r="F3663" s="10" t="s">
        <v>748</v>
      </c>
      <c r="G3663" s="10" t="s">
        <v>6352</v>
      </c>
      <c r="H3663" s="11">
        <v>40857</v>
      </c>
      <c r="I3663" s="10">
        <v>2012</v>
      </c>
      <c r="J3663" s="10" t="s">
        <v>6351</v>
      </c>
      <c r="K3663" s="10">
        <v>241</v>
      </c>
      <c r="L3663" s="10" t="s">
        <v>21868</v>
      </c>
      <c r="M3663" s="10">
        <v>1</v>
      </c>
      <c r="N3663" s="10"/>
      <c r="O3663" s="10"/>
      <c r="P3663" s="10" t="s">
        <v>21869</v>
      </c>
      <c r="Q3663" s="10" t="s">
        <v>21870</v>
      </c>
      <c r="R3663" s="10" t="s">
        <v>21871</v>
      </c>
      <c r="S3663" s="10" t="s">
        <v>53</v>
      </c>
      <c r="T3663" s="10" t="s">
        <v>54</v>
      </c>
    </row>
    <row r="3664" spans="1:20" ht="14.5" x14ac:dyDescent="0.35">
      <c r="A3664" s="10" t="s">
        <v>21872</v>
      </c>
      <c r="B3664" s="10" t="str">
        <f>"9780415571302"</f>
        <v>9780415571302</v>
      </c>
      <c r="C3664" s="10" t="str">
        <f>"9781136598562"</f>
        <v>9781136598562</v>
      </c>
      <c r="D3664" s="10" t="s">
        <v>6350</v>
      </c>
      <c r="E3664" s="10" t="s">
        <v>6351</v>
      </c>
      <c r="F3664" s="10" t="s">
        <v>748</v>
      </c>
      <c r="G3664" s="10" t="s">
        <v>6352</v>
      </c>
      <c r="H3664" s="11">
        <v>40899</v>
      </c>
      <c r="I3664" s="10">
        <v>2012</v>
      </c>
      <c r="J3664" s="10" t="s">
        <v>6351</v>
      </c>
      <c r="K3664" s="10">
        <v>591</v>
      </c>
      <c r="L3664" s="10" t="s">
        <v>21873</v>
      </c>
      <c r="M3664" s="10">
        <v>1</v>
      </c>
      <c r="N3664" s="10" t="s">
        <v>14431</v>
      </c>
      <c r="O3664" s="10"/>
      <c r="P3664" s="10" t="s">
        <v>21874</v>
      </c>
      <c r="Q3664" s="10">
        <v>370.15230000000003</v>
      </c>
      <c r="R3664" s="10" t="s">
        <v>21875</v>
      </c>
      <c r="S3664" s="10" t="s">
        <v>53</v>
      </c>
      <c r="T3664" s="10" t="s">
        <v>54</v>
      </c>
    </row>
    <row r="3665" spans="1:20" ht="14.5" x14ac:dyDescent="0.35">
      <c r="A3665" s="10" t="s">
        <v>21876</v>
      </c>
      <c r="B3665" s="10" t="str">
        <f>"9780415692953"</f>
        <v>9780415692953</v>
      </c>
      <c r="C3665" s="10" t="str">
        <f>"9781136578496"</f>
        <v>9781136578496</v>
      </c>
      <c r="D3665" s="10" t="s">
        <v>6350</v>
      </c>
      <c r="E3665" s="10" t="s">
        <v>6351</v>
      </c>
      <c r="F3665" s="10" t="s">
        <v>748</v>
      </c>
      <c r="G3665" s="10" t="s">
        <v>6352</v>
      </c>
      <c r="H3665" s="11">
        <v>40949</v>
      </c>
      <c r="I3665" s="10">
        <v>2012</v>
      </c>
      <c r="J3665" s="10" t="s">
        <v>6351</v>
      </c>
      <c r="K3665" s="10">
        <v>209</v>
      </c>
      <c r="L3665" s="10" t="s">
        <v>21877</v>
      </c>
      <c r="M3665" s="10">
        <v>1</v>
      </c>
      <c r="N3665" s="10" t="s">
        <v>21615</v>
      </c>
      <c r="O3665" s="10"/>
      <c r="P3665" s="10" t="s">
        <v>21878</v>
      </c>
      <c r="Q3665" s="10">
        <v>370</v>
      </c>
      <c r="R3665" s="10" t="s">
        <v>21879</v>
      </c>
      <c r="S3665" s="10" t="s">
        <v>53</v>
      </c>
      <c r="T3665" s="10" t="s">
        <v>54</v>
      </c>
    </row>
    <row r="3666" spans="1:20" ht="14.5" x14ac:dyDescent="0.35">
      <c r="A3666" s="10" t="s">
        <v>21880</v>
      </c>
      <c r="B3666" s="10" t="str">
        <f>"9780415568234"</f>
        <v>9780415568234</v>
      </c>
      <c r="C3666" s="10" t="str">
        <f>"9781136450969"</f>
        <v>9781136450969</v>
      </c>
      <c r="D3666" s="10" t="s">
        <v>6350</v>
      </c>
      <c r="E3666" s="10" t="s">
        <v>6351</v>
      </c>
      <c r="F3666" s="10" t="s">
        <v>139</v>
      </c>
      <c r="G3666" s="10" t="s">
        <v>6352</v>
      </c>
      <c r="H3666" s="11">
        <v>41017</v>
      </c>
      <c r="I3666" s="10">
        <v>2012</v>
      </c>
      <c r="J3666" s="10" t="s">
        <v>6353</v>
      </c>
      <c r="K3666" s="10">
        <v>241</v>
      </c>
      <c r="L3666" s="10" t="s">
        <v>21881</v>
      </c>
      <c r="M3666" s="10">
        <v>1</v>
      </c>
      <c r="N3666" s="10" t="s">
        <v>16038</v>
      </c>
      <c r="O3666" s="10"/>
      <c r="P3666" s="10" t="s">
        <v>21882</v>
      </c>
      <c r="Q3666" s="10" t="s">
        <v>8011</v>
      </c>
      <c r="R3666" s="10" t="s">
        <v>21883</v>
      </c>
      <c r="S3666" s="10" t="s">
        <v>53</v>
      </c>
      <c r="T3666" s="10" t="s">
        <v>6472</v>
      </c>
    </row>
    <row r="3667" spans="1:20" ht="14.5" x14ac:dyDescent="0.35">
      <c r="A3667" s="10" t="s">
        <v>21884</v>
      </c>
      <c r="B3667" s="10" t="str">
        <f>"9780415684095"</f>
        <v>9780415684095</v>
      </c>
      <c r="C3667" s="10" t="str">
        <f>"9781136632846"</f>
        <v>9781136632846</v>
      </c>
      <c r="D3667" s="10" t="s">
        <v>6350</v>
      </c>
      <c r="E3667" s="10" t="s">
        <v>6351</v>
      </c>
      <c r="F3667" s="10" t="s">
        <v>748</v>
      </c>
      <c r="G3667" s="10" t="s">
        <v>6352</v>
      </c>
      <c r="H3667" s="11">
        <v>40968</v>
      </c>
      <c r="I3667" s="10">
        <v>2012</v>
      </c>
      <c r="J3667" s="10" t="s">
        <v>6351</v>
      </c>
      <c r="K3667" s="10">
        <v>185</v>
      </c>
      <c r="L3667" s="10" t="s">
        <v>21517</v>
      </c>
      <c r="M3667" s="10">
        <v>1</v>
      </c>
      <c r="N3667" s="10"/>
      <c r="O3667" s="10"/>
      <c r="P3667" s="10" t="s">
        <v>21885</v>
      </c>
      <c r="Q3667" s="10">
        <v>370.113</v>
      </c>
      <c r="R3667" s="10" t="s">
        <v>8200</v>
      </c>
      <c r="S3667" s="10" t="s">
        <v>53</v>
      </c>
      <c r="T3667" s="10" t="s">
        <v>54</v>
      </c>
    </row>
    <row r="3668" spans="1:20" ht="14.5" x14ac:dyDescent="0.35">
      <c r="A3668" s="10" t="s">
        <v>21886</v>
      </c>
      <c r="B3668" s="10" t="str">
        <f>"9780415686051"</f>
        <v>9780415686051</v>
      </c>
      <c r="C3668" s="10" t="str">
        <f>"9781136581908"</f>
        <v>9781136581908</v>
      </c>
      <c r="D3668" s="10" t="s">
        <v>6350</v>
      </c>
      <c r="E3668" s="10" t="s">
        <v>6351</v>
      </c>
      <c r="F3668" s="10" t="s">
        <v>139</v>
      </c>
      <c r="G3668" s="10" t="s">
        <v>6352</v>
      </c>
      <c r="H3668" s="11">
        <v>40919</v>
      </c>
      <c r="I3668" s="10">
        <v>2012</v>
      </c>
      <c r="J3668" s="10" t="s">
        <v>6353</v>
      </c>
      <c r="K3668" s="10">
        <v>241</v>
      </c>
      <c r="L3668" s="10" t="s">
        <v>21887</v>
      </c>
      <c r="M3668" s="10">
        <v>1</v>
      </c>
      <c r="N3668" s="10"/>
      <c r="O3668" s="10"/>
      <c r="P3668" s="10" t="s">
        <v>21888</v>
      </c>
      <c r="Q3668" s="10">
        <v>370.1</v>
      </c>
      <c r="R3668" s="10" t="s">
        <v>21889</v>
      </c>
      <c r="S3668" s="10" t="s">
        <v>53</v>
      </c>
      <c r="T3668" s="10" t="s">
        <v>54</v>
      </c>
    </row>
    <row r="3669" spans="1:20" ht="14.5" x14ac:dyDescent="0.35">
      <c r="A3669" s="10" t="s">
        <v>21890</v>
      </c>
      <c r="B3669" s="10" t="str">
        <f>"9780415600699"</f>
        <v>9780415600699</v>
      </c>
      <c r="C3669" s="10" t="str">
        <f>"9781136520815"</f>
        <v>9781136520815</v>
      </c>
      <c r="D3669" s="10" t="s">
        <v>6350</v>
      </c>
      <c r="E3669" s="10" t="s">
        <v>6351</v>
      </c>
      <c r="F3669" s="10" t="s">
        <v>3967</v>
      </c>
      <c r="G3669" s="10" t="s">
        <v>6352</v>
      </c>
      <c r="H3669" s="11">
        <v>41017</v>
      </c>
      <c r="I3669" s="10">
        <v>2012</v>
      </c>
      <c r="J3669" s="10" t="s">
        <v>6353</v>
      </c>
      <c r="K3669" s="10">
        <v>163</v>
      </c>
      <c r="L3669" s="10" t="s">
        <v>21891</v>
      </c>
      <c r="M3669" s="10">
        <v>1</v>
      </c>
      <c r="N3669" s="10"/>
      <c r="O3669" s="10"/>
      <c r="P3669" s="10"/>
      <c r="Q3669" s="10" t="s">
        <v>21892</v>
      </c>
      <c r="R3669" s="10" t="s">
        <v>21893</v>
      </c>
      <c r="S3669" s="10" t="s">
        <v>53</v>
      </c>
      <c r="T3669" s="10" t="s">
        <v>54</v>
      </c>
    </row>
    <row r="3670" spans="1:20" ht="14.5" x14ac:dyDescent="0.35">
      <c r="A3670" s="10" t="s">
        <v>21894</v>
      </c>
      <c r="B3670" s="10" t="str">
        <f>"9780415663656"</f>
        <v>9780415663656</v>
      </c>
      <c r="C3670" s="10" t="str">
        <f>"9781136480539"</f>
        <v>9781136480539</v>
      </c>
      <c r="D3670" s="10" t="s">
        <v>6350</v>
      </c>
      <c r="E3670" s="10" t="s">
        <v>6351</v>
      </c>
      <c r="F3670" s="10" t="s">
        <v>139</v>
      </c>
      <c r="G3670" s="10" t="s">
        <v>6352</v>
      </c>
      <c r="H3670" s="11">
        <v>41033</v>
      </c>
      <c r="I3670" s="10">
        <v>2012</v>
      </c>
      <c r="J3670" s="10" t="s">
        <v>6353</v>
      </c>
      <c r="K3670" s="10">
        <v>207</v>
      </c>
      <c r="L3670" s="10" t="s">
        <v>7458</v>
      </c>
      <c r="M3670" s="10">
        <v>2</v>
      </c>
      <c r="N3670" s="10"/>
      <c r="O3670" s="10"/>
      <c r="P3670" s="10" t="s">
        <v>21895</v>
      </c>
      <c r="Q3670" s="10">
        <v>371.10199999999998</v>
      </c>
      <c r="R3670" s="10" t="s">
        <v>21719</v>
      </c>
      <c r="S3670" s="10" t="s">
        <v>53</v>
      </c>
      <c r="T3670" s="10" t="s">
        <v>54</v>
      </c>
    </row>
    <row r="3671" spans="1:20" ht="14.5" x14ac:dyDescent="0.35">
      <c r="A3671" s="10" t="s">
        <v>21896</v>
      </c>
      <c r="B3671" s="10" t="str">
        <f>"9780415672511"</f>
        <v>9780415672511</v>
      </c>
      <c r="C3671" s="10" t="str">
        <f>"9781136700859"</f>
        <v>9781136700859</v>
      </c>
      <c r="D3671" s="10" t="s">
        <v>6350</v>
      </c>
      <c r="E3671" s="10" t="s">
        <v>6351</v>
      </c>
      <c r="F3671" s="10" t="s">
        <v>748</v>
      </c>
      <c r="G3671" s="10" t="s">
        <v>6352</v>
      </c>
      <c r="H3671" s="11">
        <v>40885</v>
      </c>
      <c r="I3671" s="10">
        <v>1992</v>
      </c>
      <c r="J3671" s="10" t="s">
        <v>6351</v>
      </c>
      <c r="K3671" s="10">
        <v>539</v>
      </c>
      <c r="L3671" s="10" t="s">
        <v>21897</v>
      </c>
      <c r="M3671" s="10">
        <v>1</v>
      </c>
      <c r="N3671" s="10" t="s">
        <v>21400</v>
      </c>
      <c r="O3671" s="10"/>
      <c r="P3671" s="10" t="s">
        <v>21898</v>
      </c>
      <c r="Q3671" s="10">
        <v>372.21097302999999</v>
      </c>
      <c r="R3671" s="10" t="s">
        <v>21899</v>
      </c>
      <c r="S3671" s="10" t="s">
        <v>53</v>
      </c>
      <c r="T3671" s="10" t="s">
        <v>54</v>
      </c>
    </row>
    <row r="3672" spans="1:20" ht="14.5" x14ac:dyDescent="0.35">
      <c r="A3672" s="10" t="s">
        <v>21900</v>
      </c>
      <c r="B3672" s="10" t="str">
        <f>"9780813546698"</f>
        <v>9780813546698</v>
      </c>
      <c r="C3672" s="10" t="str">
        <f>"9780813548272"</f>
        <v>9780813548272</v>
      </c>
      <c r="D3672" s="10" t="s">
        <v>12251</v>
      </c>
      <c r="E3672" s="10" t="s">
        <v>12251</v>
      </c>
      <c r="F3672" s="10" t="s">
        <v>2510</v>
      </c>
      <c r="G3672" s="10" t="s">
        <v>6317</v>
      </c>
      <c r="H3672" s="11">
        <v>40095</v>
      </c>
      <c r="I3672" s="10">
        <v>2009</v>
      </c>
      <c r="J3672" s="10" t="s">
        <v>12251</v>
      </c>
      <c r="K3672" s="10">
        <v>269</v>
      </c>
      <c r="L3672" s="10" t="s">
        <v>21901</v>
      </c>
      <c r="M3672" s="10">
        <v>1</v>
      </c>
      <c r="N3672" s="10" t="s">
        <v>12813</v>
      </c>
      <c r="O3672" s="10"/>
      <c r="P3672" s="10" t="s">
        <v>18988</v>
      </c>
      <c r="Q3672" s="10">
        <v>322.40834999999998</v>
      </c>
      <c r="R3672" s="10"/>
      <c r="S3672" s="10" t="s">
        <v>53</v>
      </c>
      <c r="T3672" s="10" t="s">
        <v>13501</v>
      </c>
    </row>
    <row r="3673" spans="1:20" ht="14.5" x14ac:dyDescent="0.35">
      <c r="A3673" s="10" t="s">
        <v>21902</v>
      </c>
      <c r="B3673" s="10" t="str">
        <f>"9780813546162"</f>
        <v>9780813546162</v>
      </c>
      <c r="C3673" s="10" t="str">
        <f>"9780813548364"</f>
        <v>9780813548364</v>
      </c>
      <c r="D3673" s="10" t="s">
        <v>12251</v>
      </c>
      <c r="E3673" s="10" t="s">
        <v>12251</v>
      </c>
      <c r="F3673" s="10" t="s">
        <v>12451</v>
      </c>
      <c r="G3673" s="10" t="s">
        <v>6317</v>
      </c>
      <c r="H3673" s="11">
        <v>40067</v>
      </c>
      <c r="I3673" s="10">
        <v>2018</v>
      </c>
      <c r="J3673" s="10" t="s">
        <v>12251</v>
      </c>
      <c r="K3673" s="10">
        <v>241</v>
      </c>
      <c r="L3673" s="10" t="s">
        <v>21903</v>
      </c>
      <c r="M3673" s="10">
        <v>1</v>
      </c>
      <c r="N3673" s="10"/>
      <c r="O3673" s="10"/>
      <c r="P3673" s="10" t="s">
        <v>21904</v>
      </c>
      <c r="Q3673" s="10" t="s">
        <v>21905</v>
      </c>
      <c r="R3673" s="10"/>
      <c r="S3673" s="10" t="s">
        <v>53</v>
      </c>
      <c r="T3673" s="10" t="s">
        <v>7340</v>
      </c>
    </row>
    <row r="3674" spans="1:20" ht="14.5" x14ac:dyDescent="0.35">
      <c r="A3674" s="10" t="s">
        <v>21906</v>
      </c>
      <c r="B3674" s="10" t="str">
        <f>"9780833076175"</f>
        <v>9780833076175</v>
      </c>
      <c r="C3674" s="10" t="str">
        <f>"9780833076342"</f>
        <v>9780833076342</v>
      </c>
      <c r="D3674" s="10" t="s">
        <v>8134</v>
      </c>
      <c r="E3674" s="10" t="s">
        <v>8135</v>
      </c>
      <c r="F3674" s="10" t="s">
        <v>8136</v>
      </c>
      <c r="G3674" s="10" t="s">
        <v>6317</v>
      </c>
      <c r="H3674" s="11">
        <v>41085</v>
      </c>
      <c r="I3674" s="10">
        <v>2012</v>
      </c>
      <c r="J3674" s="10" t="s">
        <v>8363</v>
      </c>
      <c r="K3674" s="10">
        <v>158</v>
      </c>
      <c r="L3674" s="10" t="s">
        <v>21907</v>
      </c>
      <c r="M3674" s="10">
        <v>1</v>
      </c>
      <c r="N3674" s="10"/>
      <c r="O3674" s="10"/>
      <c r="P3674" s="10" t="s">
        <v>21908</v>
      </c>
      <c r="Q3674" s="10" t="s">
        <v>8460</v>
      </c>
      <c r="R3674" s="10" t="s">
        <v>21909</v>
      </c>
      <c r="S3674" s="10" t="s">
        <v>53</v>
      </c>
      <c r="T3674" s="10" t="s">
        <v>54</v>
      </c>
    </row>
    <row r="3675" spans="1:20" ht="14.5" x14ac:dyDescent="0.35">
      <c r="A3675" s="10" t="s">
        <v>21910</v>
      </c>
      <c r="B3675" s="10" t="str">
        <f>"9780415669672"</f>
        <v>9780415669672</v>
      </c>
      <c r="C3675" s="10" t="str">
        <f>"9781136716676"</f>
        <v>9781136716676</v>
      </c>
      <c r="D3675" s="10" t="s">
        <v>6350</v>
      </c>
      <c r="E3675" s="10" t="s">
        <v>6351</v>
      </c>
      <c r="F3675" s="10" t="s">
        <v>139</v>
      </c>
      <c r="G3675" s="10" t="s">
        <v>6352</v>
      </c>
      <c r="H3675" s="11">
        <v>40885</v>
      </c>
      <c r="I3675" s="10">
        <v>1984</v>
      </c>
      <c r="J3675" s="10" t="s">
        <v>6353</v>
      </c>
      <c r="K3675" s="10">
        <v>321</v>
      </c>
      <c r="L3675" s="10" t="s">
        <v>21911</v>
      </c>
      <c r="M3675" s="10">
        <v>1</v>
      </c>
      <c r="N3675" s="10" t="s">
        <v>21400</v>
      </c>
      <c r="O3675" s="10"/>
      <c r="P3675" s="10" t="s">
        <v>21912</v>
      </c>
      <c r="Q3675" s="10">
        <v>375.00099999999998</v>
      </c>
      <c r="R3675" s="10" t="s">
        <v>21913</v>
      </c>
      <c r="S3675" s="10" t="s">
        <v>53</v>
      </c>
      <c r="T3675" s="10" t="s">
        <v>54</v>
      </c>
    </row>
    <row r="3676" spans="1:20" ht="14.5" x14ac:dyDescent="0.35">
      <c r="A3676" s="10" t="s">
        <v>21914</v>
      </c>
      <c r="B3676" s="10" t="str">
        <f>"9780415670197"</f>
        <v>9780415670197</v>
      </c>
      <c r="C3676" s="10" t="str">
        <f>"9781136303326"</f>
        <v>9781136303326</v>
      </c>
      <c r="D3676" s="10" t="s">
        <v>6350</v>
      </c>
      <c r="E3676" s="10" t="s">
        <v>6351</v>
      </c>
      <c r="F3676" s="10" t="s">
        <v>139</v>
      </c>
      <c r="G3676" s="10" t="s">
        <v>6352</v>
      </c>
      <c r="H3676" s="11">
        <v>41032</v>
      </c>
      <c r="I3676" s="10">
        <v>2012</v>
      </c>
      <c r="J3676" s="10" t="s">
        <v>6353</v>
      </c>
      <c r="K3676" s="10">
        <v>129</v>
      </c>
      <c r="L3676" s="10" t="s">
        <v>21915</v>
      </c>
      <c r="M3676" s="10">
        <v>1</v>
      </c>
      <c r="N3676" s="10"/>
      <c r="O3676" s="10"/>
      <c r="P3676" s="10" t="s">
        <v>21916</v>
      </c>
      <c r="Q3676" s="10">
        <v>371.9</v>
      </c>
      <c r="R3676" s="10" t="s">
        <v>21917</v>
      </c>
      <c r="S3676" s="10" t="s">
        <v>53</v>
      </c>
      <c r="T3676" s="10" t="s">
        <v>54</v>
      </c>
    </row>
    <row r="3677" spans="1:20" ht="14.5" x14ac:dyDescent="0.35">
      <c r="A3677" s="10" t="s">
        <v>21918</v>
      </c>
      <c r="B3677" s="10" t="str">
        <f>"9780415666817"</f>
        <v>9780415666817</v>
      </c>
      <c r="C3677" s="10" t="str">
        <f>"9781136731235"</f>
        <v>9781136731235</v>
      </c>
      <c r="D3677" s="10" t="s">
        <v>6350</v>
      </c>
      <c r="E3677" s="10" t="s">
        <v>6351</v>
      </c>
      <c r="F3677" s="10" t="s">
        <v>748</v>
      </c>
      <c r="G3677" s="10" t="s">
        <v>6352</v>
      </c>
      <c r="H3677" s="11">
        <v>41081</v>
      </c>
      <c r="I3677" s="10">
        <v>2012</v>
      </c>
      <c r="J3677" s="10" t="s">
        <v>6351</v>
      </c>
      <c r="K3677" s="10">
        <v>264</v>
      </c>
      <c r="L3677" s="10" t="s">
        <v>21919</v>
      </c>
      <c r="M3677" s="10">
        <v>1</v>
      </c>
      <c r="N3677" s="10" t="s">
        <v>21405</v>
      </c>
      <c r="O3677" s="10"/>
      <c r="P3677" s="10" t="s">
        <v>21920</v>
      </c>
      <c r="Q3677" s="10">
        <v>507.12</v>
      </c>
      <c r="R3677" s="10" t="s">
        <v>21921</v>
      </c>
      <c r="S3677" s="10" t="s">
        <v>53</v>
      </c>
      <c r="T3677" s="10" t="s">
        <v>9608</v>
      </c>
    </row>
    <row r="3678" spans="1:20" ht="14.5" x14ac:dyDescent="0.35">
      <c r="A3678" s="10" t="s">
        <v>21922</v>
      </c>
      <c r="B3678" s="10" t="str">
        <f>"9780415694841"</f>
        <v>9780415694841</v>
      </c>
      <c r="C3678" s="10" t="str">
        <f>"9781136510816"</f>
        <v>9781136510816</v>
      </c>
      <c r="D3678" s="10" t="s">
        <v>6350</v>
      </c>
      <c r="E3678" s="10" t="s">
        <v>6351</v>
      </c>
      <c r="F3678" s="10" t="s">
        <v>748</v>
      </c>
      <c r="G3678" s="10" t="s">
        <v>6352</v>
      </c>
      <c r="H3678" s="11">
        <v>40885</v>
      </c>
      <c r="I3678" s="10">
        <v>1983</v>
      </c>
      <c r="J3678" s="10" t="s">
        <v>6351</v>
      </c>
      <c r="K3678" s="10">
        <v>249</v>
      </c>
      <c r="L3678" s="10" t="s">
        <v>21923</v>
      </c>
      <c r="M3678" s="10">
        <v>1</v>
      </c>
      <c r="N3678" s="10" t="s">
        <v>21400</v>
      </c>
      <c r="O3678" s="10"/>
      <c r="P3678" s="10" t="s">
        <v>21924</v>
      </c>
      <c r="Q3678" s="10" t="s">
        <v>21925</v>
      </c>
      <c r="R3678" s="10" t="s">
        <v>21926</v>
      </c>
      <c r="S3678" s="10" t="s">
        <v>53</v>
      </c>
      <c r="T3678" s="10" t="s">
        <v>6634</v>
      </c>
    </row>
    <row r="3679" spans="1:20" ht="14.5" x14ac:dyDescent="0.35">
      <c r="A3679" s="10" t="s">
        <v>21927</v>
      </c>
      <c r="B3679" s="10" t="str">
        <f>"9780415509145"</f>
        <v>9780415509145</v>
      </c>
      <c r="C3679" s="10" t="str">
        <f>"9781136448133"</f>
        <v>9781136448133</v>
      </c>
      <c r="D3679" s="10" t="s">
        <v>6350</v>
      </c>
      <c r="E3679" s="10" t="s">
        <v>6351</v>
      </c>
      <c r="F3679" s="10" t="s">
        <v>748</v>
      </c>
      <c r="G3679" s="10" t="s">
        <v>6352</v>
      </c>
      <c r="H3679" s="11">
        <v>40885</v>
      </c>
      <c r="I3679" s="10">
        <v>1976</v>
      </c>
      <c r="J3679" s="10" t="s">
        <v>6351</v>
      </c>
      <c r="K3679" s="10">
        <v>185</v>
      </c>
      <c r="L3679" s="10" t="s">
        <v>21928</v>
      </c>
      <c r="M3679" s="10">
        <v>1</v>
      </c>
      <c r="N3679" s="10" t="s">
        <v>21400</v>
      </c>
      <c r="O3679" s="10"/>
      <c r="P3679" s="10" t="s">
        <v>21929</v>
      </c>
      <c r="Q3679" s="10">
        <v>373.19094100000001</v>
      </c>
      <c r="R3679" s="10" t="s">
        <v>21930</v>
      </c>
      <c r="S3679" s="10" t="s">
        <v>53</v>
      </c>
      <c r="T3679" s="10" t="s">
        <v>54</v>
      </c>
    </row>
    <row r="3680" spans="1:20" ht="14.5" x14ac:dyDescent="0.35">
      <c r="A3680" s="10" t="s">
        <v>21931</v>
      </c>
      <c r="B3680" s="10" t="str">
        <f>"9780415682626"</f>
        <v>9780415682626</v>
      </c>
      <c r="C3680" s="10" t="str">
        <f>"9781136452994"</f>
        <v>9781136452994</v>
      </c>
      <c r="D3680" s="10" t="s">
        <v>6350</v>
      </c>
      <c r="E3680" s="10" t="s">
        <v>6351</v>
      </c>
      <c r="F3680" s="10" t="s">
        <v>748</v>
      </c>
      <c r="G3680" s="10" t="s">
        <v>6352</v>
      </c>
      <c r="H3680" s="11">
        <v>40885</v>
      </c>
      <c r="I3680" s="10">
        <v>1985</v>
      </c>
      <c r="J3680" s="10" t="s">
        <v>6351</v>
      </c>
      <c r="K3680" s="10">
        <v>209</v>
      </c>
      <c r="L3680" s="10" t="s">
        <v>21932</v>
      </c>
      <c r="M3680" s="10">
        <v>1</v>
      </c>
      <c r="N3680" s="10" t="s">
        <v>21400</v>
      </c>
      <c r="O3680" s="10"/>
      <c r="P3680" s="10" t="s">
        <v>21933</v>
      </c>
      <c r="Q3680" s="10">
        <v>371.93</v>
      </c>
      <c r="R3680" s="10" t="s">
        <v>21934</v>
      </c>
      <c r="S3680" s="10" t="s">
        <v>53</v>
      </c>
      <c r="T3680" s="10" t="s">
        <v>54</v>
      </c>
    </row>
    <row r="3681" spans="1:20" ht="14.5" x14ac:dyDescent="0.35">
      <c r="A3681" s="10" t="s">
        <v>21935</v>
      </c>
      <c r="B3681" s="10" t="str">
        <f>"9780415675017"</f>
        <v>9780415675017</v>
      </c>
      <c r="C3681" s="10" t="str">
        <f>"9781136302244"</f>
        <v>9781136302244</v>
      </c>
      <c r="D3681" s="10" t="s">
        <v>6350</v>
      </c>
      <c r="E3681" s="10" t="s">
        <v>6351</v>
      </c>
      <c r="F3681" s="10" t="s">
        <v>139</v>
      </c>
      <c r="G3681" s="10" t="s">
        <v>6352</v>
      </c>
      <c r="H3681" s="11">
        <v>41046</v>
      </c>
      <c r="I3681" s="10">
        <v>2012</v>
      </c>
      <c r="J3681" s="10" t="s">
        <v>6353</v>
      </c>
      <c r="K3681" s="10">
        <v>233</v>
      </c>
      <c r="L3681" s="10" t="s">
        <v>21936</v>
      </c>
      <c r="M3681" s="10">
        <v>2</v>
      </c>
      <c r="N3681" s="10"/>
      <c r="O3681" s="10"/>
      <c r="P3681" s="10" t="s">
        <v>21937</v>
      </c>
      <c r="Q3681" s="10" t="s">
        <v>18744</v>
      </c>
      <c r="R3681" s="10" t="s">
        <v>21719</v>
      </c>
      <c r="S3681" s="10" t="s">
        <v>53</v>
      </c>
      <c r="T3681" s="10" t="s">
        <v>6634</v>
      </c>
    </row>
    <row r="3682" spans="1:20" ht="14.5" x14ac:dyDescent="0.35">
      <c r="A3682" s="10" t="s">
        <v>21938</v>
      </c>
      <c r="B3682" s="10" t="str">
        <f>"9780415532877"</f>
        <v>9780415532877</v>
      </c>
      <c r="C3682" s="10" t="str">
        <f>"9781136291708"</f>
        <v>9781136291708</v>
      </c>
      <c r="D3682" s="10" t="s">
        <v>6350</v>
      </c>
      <c r="E3682" s="10" t="s">
        <v>6351</v>
      </c>
      <c r="F3682" s="10" t="s">
        <v>139</v>
      </c>
      <c r="G3682" s="10" t="s">
        <v>6352</v>
      </c>
      <c r="H3682" s="11">
        <v>41125</v>
      </c>
      <c r="I3682" s="10">
        <v>2013</v>
      </c>
      <c r="J3682" s="10" t="s">
        <v>6353</v>
      </c>
      <c r="K3682" s="10">
        <v>257</v>
      </c>
      <c r="L3682" s="10" t="s">
        <v>21939</v>
      </c>
      <c r="M3682" s="10">
        <v>1</v>
      </c>
      <c r="N3682" s="10" t="s">
        <v>14444</v>
      </c>
      <c r="O3682" s="10"/>
      <c r="P3682" s="10" t="s">
        <v>21940</v>
      </c>
      <c r="Q3682" s="10">
        <v>613.70699999999999</v>
      </c>
      <c r="R3682" s="10" t="s">
        <v>21941</v>
      </c>
      <c r="S3682" s="10" t="s">
        <v>53</v>
      </c>
      <c r="T3682" s="10" t="s">
        <v>6791</v>
      </c>
    </row>
    <row r="3683" spans="1:20" ht="14.5" x14ac:dyDescent="0.35">
      <c r="A3683" s="10" t="s">
        <v>21942</v>
      </c>
      <c r="B3683" s="10" t="str">
        <f>"9780415689519"</f>
        <v>9780415689519</v>
      </c>
      <c r="C3683" s="10" t="str">
        <f>"9781136453137"</f>
        <v>9781136453137</v>
      </c>
      <c r="D3683" s="10" t="s">
        <v>6350</v>
      </c>
      <c r="E3683" s="10" t="s">
        <v>6351</v>
      </c>
      <c r="F3683" s="10" t="s">
        <v>3967</v>
      </c>
      <c r="G3683" s="10" t="s">
        <v>6352</v>
      </c>
      <c r="H3683" s="11">
        <v>40885</v>
      </c>
      <c r="I3683" s="10">
        <v>2012</v>
      </c>
      <c r="J3683" s="10" t="s">
        <v>6353</v>
      </c>
      <c r="K3683" s="10">
        <v>145</v>
      </c>
      <c r="L3683" s="10" t="s">
        <v>21943</v>
      </c>
      <c r="M3683" s="10">
        <v>1</v>
      </c>
      <c r="N3683" s="10" t="s">
        <v>21400</v>
      </c>
      <c r="O3683" s="10"/>
      <c r="P3683" s="10" t="s">
        <v>21944</v>
      </c>
      <c r="Q3683" s="10">
        <v>370.15230000000003</v>
      </c>
      <c r="R3683" s="10" t="s">
        <v>6415</v>
      </c>
      <c r="S3683" s="10" t="s">
        <v>53</v>
      </c>
      <c r="T3683" s="10" t="s">
        <v>54</v>
      </c>
    </row>
    <row r="3684" spans="1:20" ht="14.5" x14ac:dyDescent="0.35">
      <c r="A3684" s="10" t="s">
        <v>21945</v>
      </c>
      <c r="B3684" s="10" t="str">
        <f>"9780415669702"</f>
        <v>9780415669702</v>
      </c>
      <c r="C3684" s="10" t="str">
        <f>"9781136715976"</f>
        <v>9781136715976</v>
      </c>
      <c r="D3684" s="10" t="s">
        <v>6350</v>
      </c>
      <c r="E3684" s="10" t="s">
        <v>6351</v>
      </c>
      <c r="F3684" s="10" t="s">
        <v>5406</v>
      </c>
      <c r="G3684" s="10" t="s">
        <v>6352</v>
      </c>
      <c r="H3684" s="11">
        <v>40897</v>
      </c>
      <c r="I3684" s="10">
        <v>2012</v>
      </c>
      <c r="J3684" s="10" t="s">
        <v>6353</v>
      </c>
      <c r="K3684" s="10">
        <v>589</v>
      </c>
      <c r="L3684" s="10" t="s">
        <v>21946</v>
      </c>
      <c r="M3684" s="10">
        <v>1</v>
      </c>
      <c r="N3684" s="10" t="s">
        <v>14431</v>
      </c>
      <c r="O3684" s="10"/>
      <c r="P3684" s="10" t="s">
        <v>21947</v>
      </c>
      <c r="Q3684" s="10">
        <v>371.10199999999998</v>
      </c>
      <c r="R3684" s="10" t="s">
        <v>21948</v>
      </c>
      <c r="S3684" s="10" t="s">
        <v>53</v>
      </c>
      <c r="T3684" s="10" t="s">
        <v>54</v>
      </c>
    </row>
    <row r="3685" spans="1:20" ht="14.5" x14ac:dyDescent="0.35">
      <c r="A3685" s="10" t="s">
        <v>21949</v>
      </c>
      <c r="B3685" s="10" t="str">
        <f>"9780415675079"</f>
        <v>9780415675079</v>
      </c>
      <c r="C3685" s="10" t="str">
        <f>"9781136332982"</f>
        <v>9781136332982</v>
      </c>
      <c r="D3685" s="10" t="s">
        <v>6350</v>
      </c>
      <c r="E3685" s="10" t="s">
        <v>6351</v>
      </c>
      <c r="F3685" s="10" t="s">
        <v>748</v>
      </c>
      <c r="G3685" s="10" t="s">
        <v>6352</v>
      </c>
      <c r="H3685" s="11">
        <v>41080</v>
      </c>
      <c r="I3685" s="10">
        <v>2012</v>
      </c>
      <c r="J3685" s="10" t="s">
        <v>6351</v>
      </c>
      <c r="K3685" s="10">
        <v>304</v>
      </c>
      <c r="L3685" s="10" t="s">
        <v>21950</v>
      </c>
      <c r="M3685" s="10">
        <v>1</v>
      </c>
      <c r="N3685" s="10"/>
      <c r="O3685" s="10"/>
      <c r="P3685" s="10" t="s">
        <v>21951</v>
      </c>
      <c r="Q3685" s="10">
        <v>374</v>
      </c>
      <c r="R3685" s="10" t="s">
        <v>21952</v>
      </c>
      <c r="S3685" s="10" t="s">
        <v>53</v>
      </c>
      <c r="T3685" s="10" t="s">
        <v>54</v>
      </c>
    </row>
    <row r="3686" spans="1:20" ht="14.5" x14ac:dyDescent="0.35">
      <c r="A3686" s="10" t="s">
        <v>21953</v>
      </c>
      <c r="B3686" s="10" t="str">
        <f>"9780415668453"</f>
        <v>9780415668453</v>
      </c>
      <c r="C3686" s="10" t="str">
        <f>"9781136722066"</f>
        <v>9781136722066</v>
      </c>
      <c r="D3686" s="10" t="s">
        <v>6350</v>
      </c>
      <c r="E3686" s="10" t="s">
        <v>6351</v>
      </c>
      <c r="F3686" s="10" t="s">
        <v>5406</v>
      </c>
      <c r="G3686" s="10" t="s">
        <v>6352</v>
      </c>
      <c r="H3686" s="11">
        <v>40885</v>
      </c>
      <c r="I3686" s="10">
        <v>2012</v>
      </c>
      <c r="J3686" s="10" t="s">
        <v>6353</v>
      </c>
      <c r="K3686" s="10">
        <v>241</v>
      </c>
      <c r="L3686" s="10" t="s">
        <v>21954</v>
      </c>
      <c r="M3686" s="10">
        <v>1</v>
      </c>
      <c r="N3686" s="10" t="s">
        <v>21400</v>
      </c>
      <c r="O3686" s="10"/>
      <c r="P3686" s="10" t="s">
        <v>21955</v>
      </c>
      <c r="Q3686" s="10">
        <v>370</v>
      </c>
      <c r="R3686" s="10" t="s">
        <v>13858</v>
      </c>
      <c r="S3686" s="10" t="s">
        <v>53</v>
      </c>
      <c r="T3686" s="10" t="s">
        <v>54</v>
      </c>
    </row>
    <row r="3687" spans="1:20" ht="14.5" x14ac:dyDescent="0.35">
      <c r="A3687" s="10" t="s">
        <v>21956</v>
      </c>
      <c r="B3687" s="10" t="str">
        <f>"9780415604338"</f>
        <v>9780415604338</v>
      </c>
      <c r="C3687" s="10" t="str">
        <f>"9781136322150"</f>
        <v>9781136322150</v>
      </c>
      <c r="D3687" s="10" t="s">
        <v>6350</v>
      </c>
      <c r="E3687" s="10" t="s">
        <v>6351</v>
      </c>
      <c r="F3687" s="10" t="s">
        <v>139</v>
      </c>
      <c r="G3687" s="10" t="s">
        <v>6352</v>
      </c>
      <c r="H3687" s="11">
        <v>41085</v>
      </c>
      <c r="I3687" s="10">
        <v>2012</v>
      </c>
      <c r="J3687" s="10" t="s">
        <v>6353</v>
      </c>
      <c r="K3687" s="10">
        <v>152</v>
      </c>
      <c r="L3687" s="10" t="s">
        <v>21957</v>
      </c>
      <c r="M3687" s="10">
        <v>1</v>
      </c>
      <c r="N3687" s="10"/>
      <c r="O3687" s="10"/>
      <c r="P3687" s="10" t="s">
        <v>21958</v>
      </c>
      <c r="Q3687" s="10">
        <v>372.70229999999998</v>
      </c>
      <c r="R3687" s="10" t="s">
        <v>21959</v>
      </c>
      <c r="S3687" s="10" t="s">
        <v>53</v>
      </c>
      <c r="T3687" s="10" t="s">
        <v>6448</v>
      </c>
    </row>
    <row r="3688" spans="1:20" ht="14.5" x14ac:dyDescent="0.35">
      <c r="A3688" s="10" t="s">
        <v>21960</v>
      </c>
      <c r="B3688" s="10" t="str">
        <f>"9780415689601"</f>
        <v>9780415689601</v>
      </c>
      <c r="C3688" s="10" t="str">
        <f>"9781136452925"</f>
        <v>9781136452925</v>
      </c>
      <c r="D3688" s="10" t="s">
        <v>6350</v>
      </c>
      <c r="E3688" s="10" t="s">
        <v>6351</v>
      </c>
      <c r="F3688" s="10" t="s">
        <v>748</v>
      </c>
      <c r="G3688" s="10" t="s">
        <v>6352</v>
      </c>
      <c r="H3688" s="11">
        <v>40885</v>
      </c>
      <c r="I3688" s="10">
        <v>2012</v>
      </c>
      <c r="J3688" s="10" t="s">
        <v>6351</v>
      </c>
      <c r="K3688" s="10">
        <v>241</v>
      </c>
      <c r="L3688" s="10" t="s">
        <v>21961</v>
      </c>
      <c r="M3688" s="10">
        <v>1</v>
      </c>
      <c r="N3688" s="10" t="s">
        <v>21400</v>
      </c>
      <c r="O3688" s="10"/>
      <c r="P3688" s="10" t="s">
        <v>21962</v>
      </c>
      <c r="Q3688" s="10">
        <v>370.11500000000001</v>
      </c>
      <c r="R3688" s="10" t="s">
        <v>21963</v>
      </c>
      <c r="S3688" s="10" t="s">
        <v>53</v>
      </c>
      <c r="T3688" s="10" t="s">
        <v>54</v>
      </c>
    </row>
    <row r="3689" spans="1:20" ht="14.5" x14ac:dyDescent="0.35">
      <c r="A3689" s="10" t="s">
        <v>21964</v>
      </c>
      <c r="B3689" s="10" t="str">
        <f>"9780415698900"</f>
        <v>9780415698900</v>
      </c>
      <c r="C3689" s="10" t="str">
        <f>"9781136453410"</f>
        <v>9781136453410</v>
      </c>
      <c r="D3689" s="10" t="s">
        <v>6350</v>
      </c>
      <c r="E3689" s="10" t="s">
        <v>6351</v>
      </c>
      <c r="F3689" s="10" t="s">
        <v>748</v>
      </c>
      <c r="G3689" s="10" t="s">
        <v>6352</v>
      </c>
      <c r="H3689" s="11">
        <v>40885</v>
      </c>
      <c r="I3689" s="10">
        <v>1989</v>
      </c>
      <c r="J3689" s="10" t="s">
        <v>6351</v>
      </c>
      <c r="K3689" s="10">
        <v>233</v>
      </c>
      <c r="L3689" s="10" t="s">
        <v>21965</v>
      </c>
      <c r="M3689" s="10">
        <v>1</v>
      </c>
      <c r="N3689" s="10" t="s">
        <v>21400</v>
      </c>
      <c r="O3689" s="10"/>
      <c r="P3689" s="10" t="s">
        <v>21966</v>
      </c>
      <c r="Q3689" s="10">
        <v>370.71094099999999</v>
      </c>
      <c r="R3689" s="10" t="s">
        <v>14556</v>
      </c>
      <c r="S3689" s="10" t="s">
        <v>53</v>
      </c>
      <c r="T3689" s="10" t="s">
        <v>54</v>
      </c>
    </row>
    <row r="3690" spans="1:20" ht="14.5" x14ac:dyDescent="0.35">
      <c r="A3690" s="10" t="s">
        <v>21967</v>
      </c>
      <c r="B3690" s="10" t="str">
        <f>"9780415584678"</f>
        <v>9780415584678</v>
      </c>
      <c r="C3690" s="10" t="str">
        <f>"9781136303951"</f>
        <v>9781136303951</v>
      </c>
      <c r="D3690" s="10" t="s">
        <v>6350</v>
      </c>
      <c r="E3690" s="10" t="s">
        <v>6351</v>
      </c>
      <c r="F3690" s="10" t="s">
        <v>139</v>
      </c>
      <c r="G3690" s="10" t="s">
        <v>6352</v>
      </c>
      <c r="H3690" s="11">
        <v>41102</v>
      </c>
      <c r="I3690" s="10">
        <v>2012</v>
      </c>
      <c r="J3690" s="10" t="s">
        <v>6353</v>
      </c>
      <c r="K3690" s="10">
        <v>161</v>
      </c>
      <c r="L3690" s="10" t="s">
        <v>21968</v>
      </c>
      <c r="M3690" s="10">
        <v>1</v>
      </c>
      <c r="N3690" s="10"/>
      <c r="O3690" s="10"/>
      <c r="P3690" s="10" t="s">
        <v>21969</v>
      </c>
      <c r="Q3690" s="10" t="s">
        <v>10213</v>
      </c>
      <c r="R3690" s="10" t="s">
        <v>21970</v>
      </c>
      <c r="S3690" s="10" t="s">
        <v>53</v>
      </c>
      <c r="T3690" s="10" t="s">
        <v>54</v>
      </c>
    </row>
    <row r="3691" spans="1:20" ht="14.5" x14ac:dyDescent="0.35">
      <c r="A3691" s="10" t="s">
        <v>21971</v>
      </c>
      <c r="B3691" s="10" t="str">
        <f>"9780415582025"</f>
        <v>9780415582025</v>
      </c>
      <c r="C3691" s="10" t="str">
        <f>"9781136730733"</f>
        <v>9781136730733</v>
      </c>
      <c r="D3691" s="10" t="s">
        <v>6350</v>
      </c>
      <c r="E3691" s="10" t="s">
        <v>6351</v>
      </c>
      <c r="F3691" s="10" t="s">
        <v>139</v>
      </c>
      <c r="G3691" s="10" t="s">
        <v>6352</v>
      </c>
      <c r="H3691" s="11">
        <v>41123</v>
      </c>
      <c r="I3691" s="10">
        <v>2012</v>
      </c>
      <c r="J3691" s="10" t="s">
        <v>6353</v>
      </c>
      <c r="K3691" s="10">
        <v>239</v>
      </c>
      <c r="L3691" s="10" t="s">
        <v>21972</v>
      </c>
      <c r="M3691" s="10">
        <v>1</v>
      </c>
      <c r="N3691" s="10" t="s">
        <v>21973</v>
      </c>
      <c r="O3691" s="10"/>
      <c r="P3691" s="10" t="s">
        <v>21974</v>
      </c>
      <c r="Q3691" s="10">
        <v>338.9</v>
      </c>
      <c r="R3691" s="10" t="s">
        <v>21975</v>
      </c>
      <c r="S3691" s="10" t="s">
        <v>53</v>
      </c>
      <c r="T3691" s="10" t="s">
        <v>7545</v>
      </c>
    </row>
    <row r="3692" spans="1:20" ht="14.5" x14ac:dyDescent="0.35">
      <c r="A3692" s="10" t="s">
        <v>21976</v>
      </c>
      <c r="B3692" s="10" t="str">
        <f>"9780415608664"</f>
        <v>9780415608664</v>
      </c>
      <c r="C3692" s="10" t="str">
        <f>"9781136320606"</f>
        <v>9781136320606</v>
      </c>
      <c r="D3692" s="10" t="s">
        <v>6350</v>
      </c>
      <c r="E3692" s="10" t="s">
        <v>6351</v>
      </c>
      <c r="F3692" s="10" t="s">
        <v>748</v>
      </c>
      <c r="G3692" s="10" t="s">
        <v>6352</v>
      </c>
      <c r="H3692" s="11">
        <v>41102</v>
      </c>
      <c r="I3692" s="10">
        <v>2012</v>
      </c>
      <c r="J3692" s="10" t="s">
        <v>6351</v>
      </c>
      <c r="K3692" s="10">
        <v>128</v>
      </c>
      <c r="L3692" s="10" t="s">
        <v>6403</v>
      </c>
      <c r="M3692" s="10">
        <v>1</v>
      </c>
      <c r="N3692" s="10"/>
      <c r="O3692" s="10"/>
      <c r="P3692" s="10" t="s">
        <v>21977</v>
      </c>
      <c r="Q3692" s="10" t="s">
        <v>21978</v>
      </c>
      <c r="R3692" s="10" t="s">
        <v>21979</v>
      </c>
      <c r="S3692" s="10" t="s">
        <v>53</v>
      </c>
      <c r="T3692" s="10" t="s">
        <v>54</v>
      </c>
    </row>
    <row r="3693" spans="1:20" ht="14.5" x14ac:dyDescent="0.35">
      <c r="A3693" s="10" t="s">
        <v>21980</v>
      </c>
      <c r="B3693" s="10" t="str">
        <f>"9780415697613"</f>
        <v>9780415697613</v>
      </c>
      <c r="C3693" s="10" t="str">
        <f>"9781136492587"</f>
        <v>9781136492587</v>
      </c>
      <c r="D3693" s="10" t="s">
        <v>6350</v>
      </c>
      <c r="E3693" s="10" t="s">
        <v>6351</v>
      </c>
      <c r="F3693" s="10" t="s">
        <v>139</v>
      </c>
      <c r="G3693" s="10" t="s">
        <v>6352</v>
      </c>
      <c r="H3693" s="11">
        <v>40885</v>
      </c>
      <c r="I3693" s="10">
        <v>2012</v>
      </c>
      <c r="J3693" s="10" t="s">
        <v>6353</v>
      </c>
      <c r="K3693" s="10">
        <v>145</v>
      </c>
      <c r="L3693" s="10" t="s">
        <v>21559</v>
      </c>
      <c r="M3693" s="10">
        <v>1</v>
      </c>
      <c r="N3693" s="10" t="s">
        <v>21400</v>
      </c>
      <c r="O3693" s="10"/>
      <c r="P3693" s="10" t="s">
        <v>21981</v>
      </c>
      <c r="Q3693" s="10">
        <v>372.01</v>
      </c>
      <c r="R3693" s="10" t="s">
        <v>21982</v>
      </c>
      <c r="S3693" s="10" t="s">
        <v>53</v>
      </c>
      <c r="T3693" s="10" t="s">
        <v>54</v>
      </c>
    </row>
    <row r="3694" spans="1:20" ht="14.5" x14ac:dyDescent="0.35">
      <c r="A3694" s="10" t="s">
        <v>21983</v>
      </c>
      <c r="B3694" s="10" t="str">
        <f>"9780415809320"</f>
        <v>9780415809320</v>
      </c>
      <c r="C3694" s="10" t="str">
        <f>"9781136279119"</f>
        <v>9781136279119</v>
      </c>
      <c r="D3694" s="10" t="s">
        <v>6350</v>
      </c>
      <c r="E3694" s="10" t="s">
        <v>6351</v>
      </c>
      <c r="F3694" s="10" t="s">
        <v>139</v>
      </c>
      <c r="G3694" s="10" t="s">
        <v>6352</v>
      </c>
      <c r="H3694" s="11">
        <v>41057</v>
      </c>
      <c r="I3694" s="10">
        <v>2012</v>
      </c>
      <c r="J3694" s="10" t="s">
        <v>6353</v>
      </c>
      <c r="K3694" s="10">
        <v>233</v>
      </c>
      <c r="L3694" s="10" t="s">
        <v>21984</v>
      </c>
      <c r="M3694" s="10">
        <v>1</v>
      </c>
      <c r="N3694" s="10" t="s">
        <v>21374</v>
      </c>
      <c r="O3694" s="10"/>
      <c r="P3694" s="10" t="s">
        <v>21985</v>
      </c>
      <c r="Q3694" s="10" t="s">
        <v>15505</v>
      </c>
      <c r="R3694" s="10" t="s">
        <v>21986</v>
      </c>
      <c r="S3694" s="10" t="s">
        <v>53</v>
      </c>
      <c r="T3694" s="10" t="s">
        <v>54</v>
      </c>
    </row>
    <row r="3695" spans="1:20" ht="14.5" x14ac:dyDescent="0.35">
      <c r="A3695" s="10" t="s">
        <v>21987</v>
      </c>
      <c r="B3695" s="10" t="str">
        <f>"9780415501040"</f>
        <v>9780415501040</v>
      </c>
      <c r="C3695" s="10" t="str">
        <f>"9781136469930"</f>
        <v>9781136469930</v>
      </c>
      <c r="D3695" s="10" t="s">
        <v>6350</v>
      </c>
      <c r="E3695" s="10" t="s">
        <v>6351</v>
      </c>
      <c r="F3695" s="10" t="s">
        <v>139</v>
      </c>
      <c r="G3695" s="10" t="s">
        <v>6352</v>
      </c>
      <c r="H3695" s="11">
        <v>40885</v>
      </c>
      <c r="I3695" s="10">
        <v>2012</v>
      </c>
      <c r="J3695" s="10" t="s">
        <v>6353</v>
      </c>
      <c r="K3695" s="10">
        <v>169</v>
      </c>
      <c r="L3695" s="10" t="s">
        <v>21988</v>
      </c>
      <c r="M3695" s="10">
        <v>1</v>
      </c>
      <c r="N3695" s="10" t="s">
        <v>21400</v>
      </c>
      <c r="O3695" s="10"/>
      <c r="P3695" s="10" t="s">
        <v>21989</v>
      </c>
      <c r="Q3695" s="10">
        <v>372.60941000000003</v>
      </c>
      <c r="R3695" s="10" t="s">
        <v>21990</v>
      </c>
      <c r="S3695" s="10" t="s">
        <v>53</v>
      </c>
      <c r="T3695" s="10" t="s">
        <v>54</v>
      </c>
    </row>
    <row r="3696" spans="1:20" ht="14.5" x14ac:dyDescent="0.35">
      <c r="A3696" s="10" t="s">
        <v>21991</v>
      </c>
      <c r="B3696" s="10" t="str">
        <f>"9780415503792"</f>
        <v>9780415503792</v>
      </c>
      <c r="C3696" s="10" t="str">
        <f>"9781136321047"</f>
        <v>9781136321047</v>
      </c>
      <c r="D3696" s="10" t="s">
        <v>6350</v>
      </c>
      <c r="E3696" s="10" t="s">
        <v>6351</v>
      </c>
      <c r="F3696" s="10" t="s">
        <v>139</v>
      </c>
      <c r="G3696" s="10" t="s">
        <v>6352</v>
      </c>
      <c r="H3696" s="11">
        <v>41053</v>
      </c>
      <c r="I3696" s="10">
        <v>2012</v>
      </c>
      <c r="J3696" s="10" t="s">
        <v>6353</v>
      </c>
      <c r="K3696" s="10">
        <v>193</v>
      </c>
      <c r="L3696" s="10" t="s">
        <v>21992</v>
      </c>
      <c r="M3696" s="10">
        <v>1</v>
      </c>
      <c r="N3696" s="10"/>
      <c r="O3696" s="10"/>
      <c r="P3696" s="10" t="s">
        <v>21993</v>
      </c>
      <c r="Q3696" s="10">
        <v>372.4</v>
      </c>
      <c r="R3696" s="10" t="s">
        <v>19179</v>
      </c>
      <c r="S3696" s="10" t="s">
        <v>53</v>
      </c>
      <c r="T3696" s="10" t="s">
        <v>54</v>
      </c>
    </row>
    <row r="3697" spans="1:20" ht="14.5" x14ac:dyDescent="0.35">
      <c r="A3697" s="10" t="s">
        <v>21994</v>
      </c>
      <c r="B3697" s="10" t="str">
        <f>"9780415508728"</f>
        <v>9780415508728</v>
      </c>
      <c r="C3697" s="10" t="str">
        <f>"9781136449079"</f>
        <v>9781136449079</v>
      </c>
      <c r="D3697" s="10" t="s">
        <v>6350</v>
      </c>
      <c r="E3697" s="10" t="s">
        <v>6351</v>
      </c>
      <c r="F3697" s="10" t="s">
        <v>139</v>
      </c>
      <c r="G3697" s="10" t="s">
        <v>6352</v>
      </c>
      <c r="H3697" s="11">
        <v>40885</v>
      </c>
      <c r="I3697" s="10">
        <v>2012</v>
      </c>
      <c r="J3697" s="10" t="s">
        <v>6353</v>
      </c>
      <c r="K3697" s="10">
        <v>177</v>
      </c>
      <c r="L3697" s="10" t="s">
        <v>21995</v>
      </c>
      <c r="M3697" s="10">
        <v>1</v>
      </c>
      <c r="N3697" s="10" t="s">
        <v>21400</v>
      </c>
      <c r="O3697" s="10"/>
      <c r="P3697" s="10" t="s">
        <v>21996</v>
      </c>
      <c r="Q3697" s="10">
        <v>378.01299999999998</v>
      </c>
      <c r="R3697" s="10" t="s">
        <v>21997</v>
      </c>
      <c r="S3697" s="10" t="s">
        <v>53</v>
      </c>
      <c r="T3697" s="10" t="s">
        <v>54</v>
      </c>
    </row>
    <row r="3698" spans="1:20" ht="14.5" x14ac:dyDescent="0.35">
      <c r="A3698" s="10" t="s">
        <v>21998</v>
      </c>
      <c r="B3698" s="10" t="str">
        <f>"9780415694858"</f>
        <v>9780415694858</v>
      </c>
      <c r="C3698" s="10" t="str">
        <f>"9781136510748"</f>
        <v>9781136510748</v>
      </c>
      <c r="D3698" s="10" t="s">
        <v>6350</v>
      </c>
      <c r="E3698" s="10" t="s">
        <v>6351</v>
      </c>
      <c r="F3698" s="10" t="s">
        <v>5406</v>
      </c>
      <c r="G3698" s="10" t="s">
        <v>6352</v>
      </c>
      <c r="H3698" s="11">
        <v>40885</v>
      </c>
      <c r="I3698" s="10">
        <v>2012</v>
      </c>
      <c r="J3698" s="10" t="s">
        <v>6353</v>
      </c>
      <c r="K3698" s="10">
        <v>211</v>
      </c>
      <c r="L3698" s="10" t="s">
        <v>21999</v>
      </c>
      <c r="M3698" s="10">
        <v>1</v>
      </c>
      <c r="N3698" s="10" t="s">
        <v>21400</v>
      </c>
      <c r="O3698" s="10"/>
      <c r="P3698" s="10" t="s">
        <v>22000</v>
      </c>
      <c r="Q3698" s="10" t="s">
        <v>22001</v>
      </c>
      <c r="R3698" s="10" t="s">
        <v>22002</v>
      </c>
      <c r="S3698" s="10" t="s">
        <v>53</v>
      </c>
      <c r="T3698" s="10" t="s">
        <v>6616</v>
      </c>
    </row>
    <row r="3699" spans="1:20" ht="14.5" x14ac:dyDescent="0.35">
      <c r="A3699" s="10" t="s">
        <v>22003</v>
      </c>
      <c r="B3699" s="10" t="str">
        <f>"9780415672481"</f>
        <v>9780415672481</v>
      </c>
      <c r="C3699" s="10" t="str">
        <f>"9781136285301"</f>
        <v>9781136285301</v>
      </c>
      <c r="D3699" s="10" t="s">
        <v>6350</v>
      </c>
      <c r="E3699" s="10" t="s">
        <v>6351</v>
      </c>
      <c r="F3699" s="10" t="s">
        <v>139</v>
      </c>
      <c r="G3699" s="10" t="s">
        <v>6352</v>
      </c>
      <c r="H3699" s="11">
        <v>41123</v>
      </c>
      <c r="I3699" s="10">
        <v>2012</v>
      </c>
      <c r="J3699" s="10" t="s">
        <v>6353</v>
      </c>
      <c r="K3699" s="10">
        <v>164</v>
      </c>
      <c r="L3699" s="10" t="s">
        <v>22004</v>
      </c>
      <c r="M3699" s="10">
        <v>1</v>
      </c>
      <c r="N3699" s="10"/>
      <c r="O3699" s="10"/>
      <c r="P3699" s="10" t="s">
        <v>22005</v>
      </c>
      <c r="Q3699" s="10">
        <v>378.00700000000001</v>
      </c>
      <c r="R3699" s="10" t="s">
        <v>22006</v>
      </c>
      <c r="S3699" s="10" t="s">
        <v>53</v>
      </c>
      <c r="T3699" s="10" t="s">
        <v>54</v>
      </c>
    </row>
    <row r="3700" spans="1:20" ht="14.5" x14ac:dyDescent="0.35">
      <c r="A3700" s="10" t="s">
        <v>22007</v>
      </c>
      <c r="B3700" s="10" t="str">
        <f>"9780415897716"</f>
        <v>9780415897716</v>
      </c>
      <c r="C3700" s="10" t="str">
        <f>"9781136341311"</f>
        <v>9781136341311</v>
      </c>
      <c r="D3700" s="10" t="s">
        <v>6350</v>
      </c>
      <c r="E3700" s="10" t="s">
        <v>6351</v>
      </c>
      <c r="F3700" s="10" t="s">
        <v>139</v>
      </c>
      <c r="G3700" s="10" t="s">
        <v>6352</v>
      </c>
      <c r="H3700" s="11">
        <v>41046</v>
      </c>
      <c r="I3700" s="10">
        <v>2012</v>
      </c>
      <c r="J3700" s="10" t="s">
        <v>6353</v>
      </c>
      <c r="K3700" s="10">
        <v>233</v>
      </c>
      <c r="L3700" s="10" t="s">
        <v>22008</v>
      </c>
      <c r="M3700" s="10">
        <v>1</v>
      </c>
      <c r="N3700" s="10"/>
      <c r="O3700" s="10"/>
      <c r="P3700" s="10" t="s">
        <v>22009</v>
      </c>
      <c r="Q3700" s="10" t="s">
        <v>22010</v>
      </c>
      <c r="R3700" s="10" t="s">
        <v>21354</v>
      </c>
      <c r="S3700" s="10" t="s">
        <v>53</v>
      </c>
      <c r="T3700" s="10" t="s">
        <v>54</v>
      </c>
    </row>
    <row r="3701" spans="1:20" ht="14.5" x14ac:dyDescent="0.35">
      <c r="A3701" s="10" t="s">
        <v>22011</v>
      </c>
      <c r="B3701" s="10" t="str">
        <f>"9780415676168"</f>
        <v>9780415676168</v>
      </c>
      <c r="C3701" s="10" t="str">
        <f>"9781136283390"</f>
        <v>9781136283390</v>
      </c>
      <c r="D3701" s="10" t="s">
        <v>6350</v>
      </c>
      <c r="E3701" s="10" t="s">
        <v>6351</v>
      </c>
      <c r="F3701" s="10" t="s">
        <v>139</v>
      </c>
      <c r="G3701" s="10" t="s">
        <v>6352</v>
      </c>
      <c r="H3701" s="11">
        <v>41107</v>
      </c>
      <c r="I3701" s="10">
        <v>2012</v>
      </c>
      <c r="J3701" s="10" t="s">
        <v>6353</v>
      </c>
      <c r="K3701" s="10">
        <v>157</v>
      </c>
      <c r="L3701" s="10" t="s">
        <v>22012</v>
      </c>
      <c r="M3701" s="10">
        <v>1</v>
      </c>
      <c r="N3701" s="10"/>
      <c r="O3701" s="10"/>
      <c r="P3701" s="10" t="s">
        <v>22013</v>
      </c>
      <c r="Q3701" s="10">
        <v>371.90460000000002</v>
      </c>
      <c r="R3701" s="10" t="s">
        <v>19491</v>
      </c>
      <c r="S3701" s="10" t="s">
        <v>53</v>
      </c>
      <c r="T3701" s="10" t="s">
        <v>54</v>
      </c>
    </row>
    <row r="3702" spans="1:20" ht="14.5" x14ac:dyDescent="0.35">
      <c r="A3702" s="10" t="s">
        <v>22014</v>
      </c>
      <c r="B3702" s="10" t="str">
        <f>"9780415689472"</f>
        <v>9780415689472</v>
      </c>
      <c r="C3702" s="10" t="str">
        <f>"9781136457401"</f>
        <v>9781136457401</v>
      </c>
      <c r="D3702" s="10" t="s">
        <v>6350</v>
      </c>
      <c r="E3702" s="10" t="s">
        <v>6351</v>
      </c>
      <c r="F3702" s="10" t="s">
        <v>5406</v>
      </c>
      <c r="G3702" s="10" t="s">
        <v>6352</v>
      </c>
      <c r="H3702" s="11">
        <v>40885</v>
      </c>
      <c r="I3702" s="10">
        <v>1975</v>
      </c>
      <c r="J3702" s="10" t="s">
        <v>6353</v>
      </c>
      <c r="K3702" s="10">
        <v>297</v>
      </c>
      <c r="L3702" s="10" t="s">
        <v>22015</v>
      </c>
      <c r="M3702" s="10">
        <v>1</v>
      </c>
      <c r="N3702" s="10" t="s">
        <v>21400</v>
      </c>
      <c r="O3702" s="10"/>
      <c r="P3702" s="10" t="s">
        <v>22016</v>
      </c>
      <c r="Q3702" s="10">
        <v>371.93</v>
      </c>
      <c r="R3702" s="10" t="s">
        <v>22017</v>
      </c>
      <c r="S3702" s="10" t="s">
        <v>53</v>
      </c>
      <c r="T3702" s="10" t="s">
        <v>54</v>
      </c>
    </row>
    <row r="3703" spans="1:20" ht="14.5" x14ac:dyDescent="0.35">
      <c r="A3703" s="10" t="s">
        <v>22018</v>
      </c>
      <c r="B3703" s="10" t="str">
        <f>"9780415508735"</f>
        <v>9780415508735</v>
      </c>
      <c r="C3703" s="10" t="str">
        <f>"9781136449284"</f>
        <v>9781136449284</v>
      </c>
      <c r="D3703" s="10" t="s">
        <v>6350</v>
      </c>
      <c r="E3703" s="10" t="s">
        <v>6351</v>
      </c>
      <c r="F3703" s="10" t="s">
        <v>139</v>
      </c>
      <c r="G3703" s="10" t="s">
        <v>6352</v>
      </c>
      <c r="H3703" s="11">
        <v>40885</v>
      </c>
      <c r="I3703" s="10">
        <v>2012</v>
      </c>
      <c r="J3703" s="10" t="s">
        <v>6353</v>
      </c>
      <c r="K3703" s="10">
        <v>281</v>
      </c>
      <c r="L3703" s="10" t="s">
        <v>22019</v>
      </c>
      <c r="M3703" s="10">
        <v>1</v>
      </c>
      <c r="N3703" s="10" t="s">
        <v>21400</v>
      </c>
      <c r="O3703" s="10"/>
      <c r="P3703" s="10" t="s">
        <v>22020</v>
      </c>
      <c r="Q3703" s="10">
        <v>370.15230000000003</v>
      </c>
      <c r="R3703" s="10" t="s">
        <v>22021</v>
      </c>
      <c r="S3703" s="10" t="s">
        <v>53</v>
      </c>
      <c r="T3703" s="10" t="s">
        <v>54</v>
      </c>
    </row>
    <row r="3704" spans="1:20" ht="14.5" x14ac:dyDescent="0.35">
      <c r="A3704" s="10" t="s">
        <v>22022</v>
      </c>
      <c r="B3704" s="10" t="str">
        <f>"9780415419024"</f>
        <v>9780415419024</v>
      </c>
      <c r="C3704" s="10" t="str">
        <f>"9781136617188"</f>
        <v>9781136617188</v>
      </c>
      <c r="D3704" s="10" t="s">
        <v>6350</v>
      </c>
      <c r="E3704" s="10" t="s">
        <v>6351</v>
      </c>
      <c r="F3704" s="10" t="s">
        <v>748</v>
      </c>
      <c r="G3704" s="10" t="s">
        <v>6352</v>
      </c>
      <c r="H3704" s="11">
        <v>40004</v>
      </c>
      <c r="I3704" s="10">
        <v>2009</v>
      </c>
      <c r="J3704" s="10" t="s">
        <v>6351</v>
      </c>
      <c r="K3704" s="10">
        <v>241</v>
      </c>
      <c r="L3704" s="10" t="s">
        <v>21614</v>
      </c>
      <c r="M3704" s="10">
        <v>1</v>
      </c>
      <c r="N3704" s="10"/>
      <c r="O3704" s="10"/>
      <c r="P3704" s="10" t="s">
        <v>22023</v>
      </c>
      <c r="Q3704" s="10">
        <v>155</v>
      </c>
      <c r="R3704" s="10" t="s">
        <v>22024</v>
      </c>
      <c r="S3704" s="10" t="s">
        <v>53</v>
      </c>
      <c r="T3704" s="10" t="s">
        <v>6640</v>
      </c>
    </row>
    <row r="3705" spans="1:20" ht="14.5" x14ac:dyDescent="0.35">
      <c r="A3705" s="10" t="s">
        <v>22025</v>
      </c>
      <c r="B3705" s="10" t="str">
        <f>"9780415689830"</f>
        <v>9780415689830</v>
      </c>
      <c r="C3705" s="10" t="str">
        <f>"9781136452857"</f>
        <v>9781136452857</v>
      </c>
      <c r="D3705" s="10" t="s">
        <v>6350</v>
      </c>
      <c r="E3705" s="10" t="s">
        <v>6351</v>
      </c>
      <c r="F3705" s="10" t="s">
        <v>748</v>
      </c>
      <c r="G3705" s="10" t="s">
        <v>6352</v>
      </c>
      <c r="H3705" s="11">
        <v>40885</v>
      </c>
      <c r="I3705" s="10">
        <v>1989</v>
      </c>
      <c r="J3705" s="10" t="s">
        <v>6351</v>
      </c>
      <c r="K3705" s="10">
        <v>233</v>
      </c>
      <c r="L3705" s="10" t="s">
        <v>22026</v>
      </c>
      <c r="M3705" s="10">
        <v>1</v>
      </c>
      <c r="N3705" s="10" t="s">
        <v>21400</v>
      </c>
      <c r="O3705" s="10"/>
      <c r="P3705" s="10" t="s">
        <v>22027</v>
      </c>
      <c r="Q3705" s="10">
        <v>372.35044094</v>
      </c>
      <c r="R3705" s="10" t="s">
        <v>22028</v>
      </c>
      <c r="S3705" s="10" t="s">
        <v>53</v>
      </c>
      <c r="T3705" s="10" t="s">
        <v>54</v>
      </c>
    </row>
    <row r="3706" spans="1:20" ht="14.5" x14ac:dyDescent="0.35">
      <c r="A3706" s="10" t="s">
        <v>22029</v>
      </c>
      <c r="B3706" s="10" t="str">
        <f>"9780415500913"</f>
        <v>9780415500913</v>
      </c>
      <c r="C3706" s="10" t="str">
        <f>"9781136470073"</f>
        <v>9781136470073</v>
      </c>
      <c r="D3706" s="10" t="s">
        <v>6350</v>
      </c>
      <c r="E3706" s="10" t="s">
        <v>6351</v>
      </c>
      <c r="F3706" s="10" t="s">
        <v>139</v>
      </c>
      <c r="G3706" s="10" t="s">
        <v>6352</v>
      </c>
      <c r="H3706" s="11">
        <v>40885</v>
      </c>
      <c r="I3706" s="10">
        <v>1988</v>
      </c>
      <c r="J3706" s="10" t="s">
        <v>6353</v>
      </c>
      <c r="K3706" s="10">
        <v>273</v>
      </c>
      <c r="L3706" s="10" t="s">
        <v>22030</v>
      </c>
      <c r="M3706" s="10">
        <v>1</v>
      </c>
      <c r="N3706" s="10" t="s">
        <v>21400</v>
      </c>
      <c r="O3706" s="10"/>
      <c r="P3706" s="10" t="s">
        <v>22031</v>
      </c>
      <c r="Q3706" s="10">
        <v>370.94099999999997</v>
      </c>
      <c r="R3706" s="10" t="s">
        <v>22032</v>
      </c>
      <c r="S3706" s="10" t="s">
        <v>53</v>
      </c>
      <c r="T3706" s="10" t="s">
        <v>54</v>
      </c>
    </row>
    <row r="3707" spans="1:20" ht="14.5" x14ac:dyDescent="0.35">
      <c r="A3707" s="10" t="s">
        <v>22033</v>
      </c>
      <c r="B3707" s="10" t="str">
        <f>"9780415697293"</f>
        <v>9780415697293</v>
      </c>
      <c r="C3707" s="10" t="str">
        <f>"9781136282621"</f>
        <v>9781136282621</v>
      </c>
      <c r="D3707" s="10" t="s">
        <v>6350</v>
      </c>
      <c r="E3707" s="10" t="s">
        <v>6351</v>
      </c>
      <c r="F3707" s="10" t="s">
        <v>139</v>
      </c>
      <c r="G3707" s="10" t="s">
        <v>6352</v>
      </c>
      <c r="H3707" s="11">
        <v>41107</v>
      </c>
      <c r="I3707" s="10">
        <v>2012</v>
      </c>
      <c r="J3707" s="10" t="s">
        <v>6353</v>
      </c>
      <c r="K3707" s="10">
        <v>217</v>
      </c>
      <c r="L3707" s="10" t="s">
        <v>22034</v>
      </c>
      <c r="M3707" s="10">
        <v>1</v>
      </c>
      <c r="N3707" s="10" t="s">
        <v>22035</v>
      </c>
      <c r="O3707" s="10"/>
      <c r="P3707" s="10" t="s">
        <v>22036</v>
      </c>
      <c r="Q3707" s="10">
        <v>372.21</v>
      </c>
      <c r="R3707" s="10" t="s">
        <v>22037</v>
      </c>
      <c r="S3707" s="10" t="s">
        <v>53</v>
      </c>
      <c r="T3707" s="10" t="s">
        <v>54</v>
      </c>
    </row>
    <row r="3708" spans="1:20" ht="14.5" x14ac:dyDescent="0.35">
      <c r="A3708" s="10" t="s">
        <v>22038</v>
      </c>
      <c r="B3708" s="10" t="str">
        <f>"9780415668354"</f>
        <v>9780415668354</v>
      </c>
      <c r="C3708" s="10" t="str">
        <f>"9781136722271"</f>
        <v>9781136722271</v>
      </c>
      <c r="D3708" s="10" t="s">
        <v>6350</v>
      </c>
      <c r="E3708" s="10" t="s">
        <v>6351</v>
      </c>
      <c r="F3708" s="10" t="s">
        <v>748</v>
      </c>
      <c r="G3708" s="10" t="s">
        <v>6352</v>
      </c>
      <c r="H3708" s="11">
        <v>40885</v>
      </c>
      <c r="I3708" s="10">
        <v>1993</v>
      </c>
      <c r="J3708" s="10" t="s">
        <v>6351</v>
      </c>
      <c r="K3708" s="10">
        <v>193</v>
      </c>
      <c r="L3708" s="10" t="s">
        <v>22039</v>
      </c>
      <c r="M3708" s="10">
        <v>1</v>
      </c>
      <c r="N3708" s="10" t="s">
        <v>21400</v>
      </c>
      <c r="O3708" s="10"/>
      <c r="P3708" s="10" t="s">
        <v>22040</v>
      </c>
      <c r="Q3708" s="10">
        <v>372.91723999999999</v>
      </c>
      <c r="R3708" s="10" t="s">
        <v>22041</v>
      </c>
      <c r="S3708" s="10" t="s">
        <v>53</v>
      </c>
      <c r="T3708" s="10" t="s">
        <v>54</v>
      </c>
    </row>
    <row r="3709" spans="1:20" ht="14.5" x14ac:dyDescent="0.35">
      <c r="A3709" s="10" t="s">
        <v>22042</v>
      </c>
      <c r="B3709" s="10" t="str">
        <f>"9780415501019"</f>
        <v>9780415501019</v>
      </c>
      <c r="C3709" s="10" t="str">
        <f>"9781136470004"</f>
        <v>9781136470004</v>
      </c>
      <c r="D3709" s="10" t="s">
        <v>6350</v>
      </c>
      <c r="E3709" s="10" t="s">
        <v>6351</v>
      </c>
      <c r="F3709" s="10" t="s">
        <v>139</v>
      </c>
      <c r="G3709" s="10" t="s">
        <v>6352</v>
      </c>
      <c r="H3709" s="11">
        <v>40885</v>
      </c>
      <c r="I3709" s="10">
        <v>1990</v>
      </c>
      <c r="J3709" s="10" t="s">
        <v>6353</v>
      </c>
      <c r="K3709" s="10">
        <v>253</v>
      </c>
      <c r="L3709" s="10" t="s">
        <v>22043</v>
      </c>
      <c r="M3709" s="10">
        <v>1</v>
      </c>
      <c r="N3709" s="10" t="s">
        <v>21400</v>
      </c>
      <c r="O3709" s="10"/>
      <c r="P3709" s="10" t="s">
        <v>22044</v>
      </c>
      <c r="Q3709" s="10">
        <v>379.93</v>
      </c>
      <c r="R3709" s="10" t="s">
        <v>22045</v>
      </c>
      <c r="S3709" s="10" t="s">
        <v>53</v>
      </c>
      <c r="T3709" s="10" t="s">
        <v>54</v>
      </c>
    </row>
    <row r="3710" spans="1:20" ht="14.5" x14ac:dyDescent="0.35">
      <c r="A3710" s="10" t="s">
        <v>22046</v>
      </c>
      <c r="B3710" s="10" t="str">
        <f>"9780415619660"</f>
        <v>9780415619660</v>
      </c>
      <c r="C3710" s="10" t="str">
        <f>"9781136298349"</f>
        <v>9781136298349</v>
      </c>
      <c r="D3710" s="10" t="s">
        <v>6350</v>
      </c>
      <c r="E3710" s="10" t="s">
        <v>6351</v>
      </c>
      <c r="F3710" s="10" t="s">
        <v>139</v>
      </c>
      <c r="G3710" s="10" t="s">
        <v>6352</v>
      </c>
      <c r="H3710" s="11">
        <v>41102</v>
      </c>
      <c r="I3710" s="10">
        <v>2012</v>
      </c>
      <c r="J3710" s="10" t="s">
        <v>6353</v>
      </c>
      <c r="K3710" s="10">
        <v>233</v>
      </c>
      <c r="L3710" s="10" t="s">
        <v>22047</v>
      </c>
      <c r="M3710" s="10">
        <v>1</v>
      </c>
      <c r="N3710" s="10"/>
      <c r="O3710" s="10"/>
      <c r="P3710" s="10" t="s">
        <v>22048</v>
      </c>
      <c r="Q3710" s="10">
        <v>372.18</v>
      </c>
      <c r="R3710" s="10" t="s">
        <v>22049</v>
      </c>
      <c r="S3710" s="10" t="s">
        <v>53</v>
      </c>
      <c r="T3710" s="10" t="s">
        <v>54</v>
      </c>
    </row>
    <row r="3711" spans="1:20" ht="14.5" x14ac:dyDescent="0.35">
      <c r="A3711" s="10" t="s">
        <v>22050</v>
      </c>
      <c r="B3711" s="10" t="str">
        <f>"9780415807432"</f>
        <v>9780415807432</v>
      </c>
      <c r="C3711" s="10" t="str">
        <f>"9781136514944"</f>
        <v>9781136514944</v>
      </c>
      <c r="D3711" s="10" t="s">
        <v>6350</v>
      </c>
      <c r="E3711" s="10" t="s">
        <v>6351</v>
      </c>
      <c r="F3711" s="10" t="s">
        <v>139</v>
      </c>
      <c r="G3711" s="10" t="s">
        <v>6352</v>
      </c>
      <c r="H3711" s="11">
        <v>41080</v>
      </c>
      <c r="I3711" s="10">
        <v>2012</v>
      </c>
      <c r="J3711" s="10" t="s">
        <v>6353</v>
      </c>
      <c r="K3711" s="10">
        <v>380</v>
      </c>
      <c r="L3711" s="10" t="s">
        <v>22051</v>
      </c>
      <c r="M3711" s="10">
        <v>1</v>
      </c>
      <c r="N3711" s="10"/>
      <c r="O3711" s="10"/>
      <c r="P3711" s="10" t="s">
        <v>22052</v>
      </c>
      <c r="Q3711" s="10">
        <v>378.19782097299998</v>
      </c>
      <c r="R3711" s="10" t="s">
        <v>22053</v>
      </c>
      <c r="S3711" s="10" t="s">
        <v>53</v>
      </c>
      <c r="T3711" s="10" t="s">
        <v>54</v>
      </c>
    </row>
    <row r="3712" spans="1:20" ht="14.5" x14ac:dyDescent="0.35">
      <c r="A3712" s="10" t="s">
        <v>22054</v>
      </c>
      <c r="B3712" s="10" t="str">
        <f>"9780415598828"</f>
        <v>9780415598828</v>
      </c>
      <c r="C3712" s="10" t="str">
        <f>"9781136730887"</f>
        <v>9781136730887</v>
      </c>
      <c r="D3712" s="10" t="s">
        <v>6350</v>
      </c>
      <c r="E3712" s="10" t="s">
        <v>6351</v>
      </c>
      <c r="F3712" s="10" t="s">
        <v>139</v>
      </c>
      <c r="G3712" s="10" t="s">
        <v>6352</v>
      </c>
      <c r="H3712" s="11">
        <v>41127</v>
      </c>
      <c r="I3712" s="10">
        <v>2012</v>
      </c>
      <c r="J3712" s="10" t="s">
        <v>6353</v>
      </c>
      <c r="K3712" s="10">
        <v>161</v>
      </c>
      <c r="L3712" s="10" t="s">
        <v>22055</v>
      </c>
      <c r="M3712" s="10">
        <v>1</v>
      </c>
      <c r="N3712" s="10"/>
      <c r="O3712" s="10"/>
      <c r="P3712" s="10" t="s">
        <v>22056</v>
      </c>
      <c r="Q3712" s="10">
        <v>338.47370000000001</v>
      </c>
      <c r="R3712" s="10" t="s">
        <v>22057</v>
      </c>
      <c r="S3712" s="10" t="s">
        <v>53</v>
      </c>
      <c r="T3712" s="10" t="s">
        <v>11186</v>
      </c>
    </row>
    <row r="3713" spans="1:20" ht="14.5" x14ac:dyDescent="0.35">
      <c r="A3713" s="10" t="s">
        <v>22058</v>
      </c>
      <c r="B3713" s="10" t="str">
        <f>"9780415501125"</f>
        <v>9780415501125</v>
      </c>
      <c r="C3713" s="10" t="str">
        <f>"9781136470905"</f>
        <v>9781136470905</v>
      </c>
      <c r="D3713" s="10" t="s">
        <v>6350</v>
      </c>
      <c r="E3713" s="10" t="s">
        <v>6351</v>
      </c>
      <c r="F3713" s="10" t="s">
        <v>139</v>
      </c>
      <c r="G3713" s="10" t="s">
        <v>6352</v>
      </c>
      <c r="H3713" s="11">
        <v>40885</v>
      </c>
      <c r="I3713" s="10">
        <v>2012</v>
      </c>
      <c r="J3713" s="10" t="s">
        <v>6353</v>
      </c>
      <c r="K3713" s="10">
        <v>257</v>
      </c>
      <c r="L3713" s="10" t="s">
        <v>22059</v>
      </c>
      <c r="M3713" s="10">
        <v>1</v>
      </c>
      <c r="N3713" s="10" t="s">
        <v>21400</v>
      </c>
      <c r="O3713" s="10"/>
      <c r="P3713" s="10" t="s">
        <v>22060</v>
      </c>
      <c r="Q3713" s="10">
        <v>370.11500000000001</v>
      </c>
      <c r="R3713" s="10" t="s">
        <v>22061</v>
      </c>
      <c r="S3713" s="10" t="s">
        <v>53</v>
      </c>
      <c r="T3713" s="10" t="s">
        <v>54</v>
      </c>
    </row>
    <row r="3714" spans="1:20" ht="14.5" x14ac:dyDescent="0.35">
      <c r="A3714" s="10" t="s">
        <v>22062</v>
      </c>
      <c r="B3714" s="10" t="str">
        <f>"9780415517492"</f>
        <v>9780415517492</v>
      </c>
      <c r="C3714" s="10" t="str">
        <f>"9781136302312"</f>
        <v>9781136302312</v>
      </c>
      <c r="D3714" s="10" t="s">
        <v>6350</v>
      </c>
      <c r="E3714" s="10" t="s">
        <v>6351</v>
      </c>
      <c r="F3714" s="10" t="s">
        <v>139</v>
      </c>
      <c r="G3714" s="10" t="s">
        <v>6352</v>
      </c>
      <c r="H3714" s="11">
        <v>41017</v>
      </c>
      <c r="I3714" s="10">
        <v>2012</v>
      </c>
      <c r="J3714" s="10" t="s">
        <v>6353</v>
      </c>
      <c r="K3714" s="10">
        <v>181</v>
      </c>
      <c r="L3714" s="10" t="s">
        <v>22063</v>
      </c>
      <c r="M3714" s="10">
        <v>1</v>
      </c>
      <c r="N3714" s="10" t="s">
        <v>6954</v>
      </c>
      <c r="O3714" s="10"/>
      <c r="P3714" s="10" t="s">
        <v>22064</v>
      </c>
      <c r="Q3714" s="10" t="s">
        <v>7335</v>
      </c>
      <c r="R3714" s="10" t="s">
        <v>22057</v>
      </c>
      <c r="S3714" s="10" t="s">
        <v>53</v>
      </c>
      <c r="T3714" s="10" t="s">
        <v>54</v>
      </c>
    </row>
    <row r="3715" spans="1:20" ht="14.5" x14ac:dyDescent="0.35">
      <c r="A3715" s="10" t="s">
        <v>22065</v>
      </c>
      <c r="B3715" s="10" t="str">
        <f>"9780415529365"</f>
        <v>9780415529365</v>
      </c>
      <c r="C3715" s="10" t="str">
        <f>"9781136296949"</f>
        <v>9781136296949</v>
      </c>
      <c r="D3715" s="10" t="s">
        <v>6350</v>
      </c>
      <c r="E3715" s="10" t="s">
        <v>6351</v>
      </c>
      <c r="F3715" s="10" t="s">
        <v>139</v>
      </c>
      <c r="G3715" s="10" t="s">
        <v>6352</v>
      </c>
      <c r="H3715" s="11">
        <v>41073</v>
      </c>
      <c r="I3715" s="10">
        <v>2012</v>
      </c>
      <c r="J3715" s="10" t="s">
        <v>6353</v>
      </c>
      <c r="K3715" s="10">
        <v>209</v>
      </c>
      <c r="L3715" s="10" t="s">
        <v>22066</v>
      </c>
      <c r="M3715" s="10">
        <v>1</v>
      </c>
      <c r="N3715" s="10"/>
      <c r="O3715" s="10"/>
      <c r="P3715" s="10" t="s">
        <v>22067</v>
      </c>
      <c r="Q3715" s="10" t="s">
        <v>7299</v>
      </c>
      <c r="R3715" s="10" t="s">
        <v>22068</v>
      </c>
      <c r="S3715" s="10" t="s">
        <v>53</v>
      </c>
      <c r="T3715" s="10" t="s">
        <v>54</v>
      </c>
    </row>
    <row r="3716" spans="1:20" ht="14.5" x14ac:dyDescent="0.35">
      <c r="A3716" s="10" t="s">
        <v>22069</v>
      </c>
      <c r="B3716" s="10" t="str">
        <f>"9780415694490"</f>
        <v>9780415694490</v>
      </c>
      <c r="C3716" s="10" t="str">
        <f>"9781136511448"</f>
        <v>9781136511448</v>
      </c>
      <c r="D3716" s="10" t="s">
        <v>6350</v>
      </c>
      <c r="E3716" s="10" t="s">
        <v>6351</v>
      </c>
      <c r="F3716" s="10" t="s">
        <v>5406</v>
      </c>
      <c r="G3716" s="10" t="s">
        <v>6352</v>
      </c>
      <c r="H3716" s="11">
        <v>40885</v>
      </c>
      <c r="I3716" s="10">
        <v>1971</v>
      </c>
      <c r="J3716" s="10" t="s">
        <v>6353</v>
      </c>
      <c r="K3716" s="10">
        <v>129</v>
      </c>
      <c r="L3716" s="10" t="s">
        <v>22070</v>
      </c>
      <c r="M3716" s="10">
        <v>1</v>
      </c>
      <c r="N3716" s="10" t="s">
        <v>21400</v>
      </c>
      <c r="O3716" s="10"/>
      <c r="P3716" s="10" t="s">
        <v>22071</v>
      </c>
      <c r="Q3716" s="10">
        <v>372.4</v>
      </c>
      <c r="R3716" s="10" t="s">
        <v>22072</v>
      </c>
      <c r="S3716" s="10" t="s">
        <v>53</v>
      </c>
      <c r="T3716" s="10" t="s">
        <v>54</v>
      </c>
    </row>
    <row r="3717" spans="1:20" ht="14.5" x14ac:dyDescent="0.35">
      <c r="A3717" s="10" t="s">
        <v>22073</v>
      </c>
      <c r="B3717" s="10" t="str">
        <f>"9780415614894"</f>
        <v>9780415614894</v>
      </c>
      <c r="C3717" s="10" t="str">
        <f>"9781136295676"</f>
        <v>9781136295676</v>
      </c>
      <c r="D3717" s="10" t="s">
        <v>6350</v>
      </c>
      <c r="E3717" s="10" t="s">
        <v>6351</v>
      </c>
      <c r="F3717" s="10" t="s">
        <v>139</v>
      </c>
      <c r="G3717" s="10" t="s">
        <v>6352</v>
      </c>
      <c r="H3717" s="11">
        <v>41102</v>
      </c>
      <c r="I3717" s="10">
        <v>2012</v>
      </c>
      <c r="J3717" s="10" t="s">
        <v>6353</v>
      </c>
      <c r="K3717" s="10">
        <v>353</v>
      </c>
      <c r="L3717" s="10" t="s">
        <v>22074</v>
      </c>
      <c r="M3717" s="10">
        <v>1</v>
      </c>
      <c r="N3717" s="10"/>
      <c r="O3717" s="10"/>
      <c r="P3717" s="10" t="s">
        <v>22075</v>
      </c>
      <c r="Q3717" s="10">
        <v>372.21</v>
      </c>
      <c r="R3717" s="10" t="s">
        <v>21557</v>
      </c>
      <c r="S3717" s="10" t="s">
        <v>53</v>
      </c>
      <c r="T3717" s="10" t="s">
        <v>54</v>
      </c>
    </row>
    <row r="3718" spans="1:20" ht="14.5" x14ac:dyDescent="0.35">
      <c r="A3718" s="10" t="s">
        <v>22076</v>
      </c>
      <c r="B3718" s="10" t="str">
        <f>"9780415518994"</f>
        <v>9780415518994</v>
      </c>
      <c r="C3718" s="10" t="str">
        <f>"9781136287343"</f>
        <v>9781136287343</v>
      </c>
      <c r="D3718" s="10" t="s">
        <v>6350</v>
      </c>
      <c r="E3718" s="10" t="s">
        <v>6351</v>
      </c>
      <c r="F3718" s="10" t="s">
        <v>3967</v>
      </c>
      <c r="G3718" s="10" t="s">
        <v>6352</v>
      </c>
      <c r="H3718" s="11">
        <v>41081</v>
      </c>
      <c r="I3718" s="10">
        <v>2012</v>
      </c>
      <c r="J3718" s="10" t="s">
        <v>6353</v>
      </c>
      <c r="K3718" s="10">
        <v>248</v>
      </c>
      <c r="L3718" s="10" t="s">
        <v>16118</v>
      </c>
      <c r="M3718" s="10">
        <v>1</v>
      </c>
      <c r="N3718" s="10"/>
      <c r="O3718" s="10"/>
      <c r="P3718" s="10" t="s">
        <v>22077</v>
      </c>
      <c r="Q3718" s="10" t="s">
        <v>7299</v>
      </c>
      <c r="R3718" s="10" t="s">
        <v>14556</v>
      </c>
      <c r="S3718" s="10" t="s">
        <v>53</v>
      </c>
      <c r="T3718" s="10" t="s">
        <v>54</v>
      </c>
    </row>
    <row r="3719" spans="1:20" ht="14.5" x14ac:dyDescent="0.35">
      <c r="A3719" s="10" t="s">
        <v>22078</v>
      </c>
      <c r="B3719" s="10" t="str">
        <f>"9780415500883"</f>
        <v>9780415500883</v>
      </c>
      <c r="C3719" s="10" t="str">
        <f>"9781136470288"</f>
        <v>9781136470288</v>
      </c>
      <c r="D3719" s="10" t="s">
        <v>6350</v>
      </c>
      <c r="E3719" s="10" t="s">
        <v>6351</v>
      </c>
      <c r="F3719" s="10" t="s">
        <v>3967</v>
      </c>
      <c r="G3719" s="10" t="s">
        <v>6352</v>
      </c>
      <c r="H3719" s="11">
        <v>40885</v>
      </c>
      <c r="I3719" s="10">
        <v>2012</v>
      </c>
      <c r="J3719" s="10" t="s">
        <v>6353</v>
      </c>
      <c r="K3719" s="10">
        <v>161</v>
      </c>
      <c r="L3719" s="10" t="s">
        <v>22079</v>
      </c>
      <c r="M3719" s="10">
        <v>1</v>
      </c>
      <c r="N3719" s="10" t="s">
        <v>21400</v>
      </c>
      <c r="O3719" s="10"/>
      <c r="P3719" s="10" t="s">
        <v>22080</v>
      </c>
      <c r="Q3719" s="10">
        <v>370.94099999999997</v>
      </c>
      <c r="R3719" s="10" t="s">
        <v>21879</v>
      </c>
      <c r="S3719" s="10" t="s">
        <v>53</v>
      </c>
      <c r="T3719" s="10" t="s">
        <v>54</v>
      </c>
    </row>
    <row r="3720" spans="1:20" ht="14.5" x14ac:dyDescent="0.35">
      <c r="A3720" s="10" t="s">
        <v>22081</v>
      </c>
      <c r="B3720" s="10" t="str">
        <f>"9780415897563"</f>
        <v>9780415897563</v>
      </c>
      <c r="C3720" s="10" t="str">
        <f>"9781136636691"</f>
        <v>9781136636691</v>
      </c>
      <c r="D3720" s="10" t="s">
        <v>6350</v>
      </c>
      <c r="E3720" s="10" t="s">
        <v>6351</v>
      </c>
      <c r="F3720" s="10" t="s">
        <v>139</v>
      </c>
      <c r="G3720" s="10" t="s">
        <v>6352</v>
      </c>
      <c r="H3720" s="11">
        <v>41040</v>
      </c>
      <c r="I3720" s="10">
        <v>2012</v>
      </c>
      <c r="J3720" s="10" t="s">
        <v>6353</v>
      </c>
      <c r="K3720" s="10">
        <v>160</v>
      </c>
      <c r="L3720" s="10" t="s">
        <v>22082</v>
      </c>
      <c r="M3720" s="10">
        <v>1</v>
      </c>
      <c r="N3720" s="10" t="s">
        <v>15590</v>
      </c>
      <c r="O3720" s="10"/>
      <c r="P3720" s="10" t="s">
        <v>22083</v>
      </c>
      <c r="Q3720" s="10">
        <v>372.35043999999999</v>
      </c>
      <c r="R3720" s="10" t="s">
        <v>19006</v>
      </c>
      <c r="S3720" s="10" t="s">
        <v>53</v>
      </c>
      <c r="T3720" s="10" t="s">
        <v>22084</v>
      </c>
    </row>
    <row r="3721" spans="1:20" ht="14.5" x14ac:dyDescent="0.35">
      <c r="A3721" s="10" t="s">
        <v>22085</v>
      </c>
      <c r="B3721" s="10" t="str">
        <f>"9780415667388"</f>
        <v>9780415667388</v>
      </c>
      <c r="C3721" s="10" t="str">
        <f>"9781136478239"</f>
        <v>9781136478239</v>
      </c>
      <c r="D3721" s="10" t="s">
        <v>6350</v>
      </c>
      <c r="E3721" s="10" t="s">
        <v>6351</v>
      </c>
      <c r="F3721" s="10" t="s">
        <v>139</v>
      </c>
      <c r="G3721" s="10" t="s">
        <v>6352</v>
      </c>
      <c r="H3721" s="11">
        <v>41011</v>
      </c>
      <c r="I3721" s="10">
        <v>2012</v>
      </c>
      <c r="J3721" s="10" t="s">
        <v>6353</v>
      </c>
      <c r="K3721" s="10">
        <v>201</v>
      </c>
      <c r="L3721" s="10" t="s">
        <v>22086</v>
      </c>
      <c r="M3721" s="10">
        <v>1</v>
      </c>
      <c r="N3721" s="10" t="s">
        <v>14444</v>
      </c>
      <c r="O3721" s="10"/>
      <c r="P3721" s="10" t="s">
        <v>22087</v>
      </c>
      <c r="Q3721" s="10">
        <v>796.07100000000003</v>
      </c>
      <c r="R3721" s="10" t="s">
        <v>21604</v>
      </c>
      <c r="S3721" s="10" t="s">
        <v>53</v>
      </c>
      <c r="T3721" s="10" t="s">
        <v>7340</v>
      </c>
    </row>
    <row r="3722" spans="1:20" ht="14.5" x14ac:dyDescent="0.35">
      <c r="A3722" s="10" t="s">
        <v>22088</v>
      </c>
      <c r="B3722" s="10" t="str">
        <f>"9780415694520"</f>
        <v>9780415694520</v>
      </c>
      <c r="C3722" s="10" t="str">
        <f>"9781136510182"</f>
        <v>9781136510182</v>
      </c>
      <c r="D3722" s="10" t="s">
        <v>6350</v>
      </c>
      <c r="E3722" s="10" t="s">
        <v>6351</v>
      </c>
      <c r="F3722" s="10" t="s">
        <v>748</v>
      </c>
      <c r="G3722" s="10" t="s">
        <v>6352</v>
      </c>
      <c r="H3722" s="11">
        <v>40885</v>
      </c>
      <c r="I3722" s="10">
        <v>1992</v>
      </c>
      <c r="J3722" s="10" t="s">
        <v>6351</v>
      </c>
      <c r="K3722" s="10">
        <v>257</v>
      </c>
      <c r="L3722" s="10" t="s">
        <v>22089</v>
      </c>
      <c r="M3722" s="10">
        <v>1</v>
      </c>
      <c r="N3722" s="10" t="s">
        <v>21400</v>
      </c>
      <c r="O3722" s="10"/>
      <c r="P3722" s="10" t="s">
        <v>22090</v>
      </c>
      <c r="Q3722" s="10">
        <v>370.19340999999997</v>
      </c>
      <c r="R3722" s="10" t="s">
        <v>22091</v>
      </c>
      <c r="S3722" s="10" t="s">
        <v>53</v>
      </c>
      <c r="T3722" s="10" t="s">
        <v>54</v>
      </c>
    </row>
    <row r="3723" spans="1:20" ht="14.5" x14ac:dyDescent="0.35">
      <c r="A3723" s="10" t="s">
        <v>22092</v>
      </c>
      <c r="B3723" s="10" t="str">
        <f>"9781579228033"</f>
        <v>9781579228033</v>
      </c>
      <c r="C3723" s="10" t="str">
        <f>"9781000974751"</f>
        <v>9781000974751</v>
      </c>
      <c r="D3723" s="10" t="s">
        <v>6350</v>
      </c>
      <c r="E3723" s="10" t="s">
        <v>6351</v>
      </c>
      <c r="F3723" s="10" t="s">
        <v>748</v>
      </c>
      <c r="G3723" s="10" t="s">
        <v>6352</v>
      </c>
      <c r="H3723" s="11">
        <v>41088</v>
      </c>
      <c r="I3723" s="10">
        <v>2012</v>
      </c>
      <c r="J3723" s="10" t="s">
        <v>6351</v>
      </c>
      <c r="K3723" s="10">
        <v>401</v>
      </c>
      <c r="L3723" s="10" t="s">
        <v>22093</v>
      </c>
      <c r="M3723" s="10">
        <v>1</v>
      </c>
      <c r="N3723" s="10"/>
      <c r="O3723" s="10"/>
      <c r="P3723" s="10" t="s">
        <v>22094</v>
      </c>
      <c r="Q3723" s="10" t="s">
        <v>22095</v>
      </c>
      <c r="R3723" s="10" t="s">
        <v>22096</v>
      </c>
      <c r="S3723" s="10" t="s">
        <v>53</v>
      </c>
      <c r="T3723" s="10" t="s">
        <v>6363</v>
      </c>
    </row>
    <row r="3724" spans="1:20" ht="14.5" x14ac:dyDescent="0.35">
      <c r="A3724" s="10" t="s">
        <v>22097</v>
      </c>
      <c r="B3724" s="10" t="str">
        <f>"9781579227463"</f>
        <v>9781579227463</v>
      </c>
      <c r="C3724" s="10" t="str">
        <f>"9781000976144"</f>
        <v>9781000976144</v>
      </c>
      <c r="D3724" s="10" t="s">
        <v>6350</v>
      </c>
      <c r="E3724" s="10" t="s">
        <v>6351</v>
      </c>
      <c r="F3724" s="10" t="s">
        <v>20757</v>
      </c>
      <c r="G3724" s="10" t="s">
        <v>6317</v>
      </c>
      <c r="H3724" s="11">
        <v>41061</v>
      </c>
      <c r="I3724" s="10">
        <v>2012</v>
      </c>
      <c r="J3724" s="10" t="s">
        <v>6353</v>
      </c>
      <c r="K3724" s="10">
        <v>279</v>
      </c>
      <c r="L3724" s="10" t="s">
        <v>22098</v>
      </c>
      <c r="M3724" s="10">
        <v>2</v>
      </c>
      <c r="N3724" s="10"/>
      <c r="O3724" s="10"/>
      <c r="P3724" s="10" t="s">
        <v>22099</v>
      </c>
      <c r="Q3724" s="10" t="s">
        <v>14582</v>
      </c>
      <c r="R3724" s="10" t="s">
        <v>22100</v>
      </c>
      <c r="S3724" s="10" t="s">
        <v>53</v>
      </c>
      <c r="T3724" s="10" t="s">
        <v>54</v>
      </c>
    </row>
    <row r="3725" spans="1:20" ht="14.5" x14ac:dyDescent="0.35">
      <c r="A3725" s="10" t="s">
        <v>22101</v>
      </c>
      <c r="B3725" s="10" t="str">
        <f>"9781579227425"</f>
        <v>9781579227425</v>
      </c>
      <c r="C3725" s="10" t="str">
        <f>"9781000971408"</f>
        <v>9781000971408</v>
      </c>
      <c r="D3725" s="10" t="s">
        <v>6350</v>
      </c>
      <c r="E3725" s="10" t="s">
        <v>6351</v>
      </c>
      <c r="F3725" s="10" t="s">
        <v>748</v>
      </c>
      <c r="G3725" s="10" t="s">
        <v>6352</v>
      </c>
      <c r="H3725" s="11">
        <v>40833</v>
      </c>
      <c r="I3725" s="10">
        <v>2011</v>
      </c>
      <c r="J3725" s="10" t="s">
        <v>6351</v>
      </c>
      <c r="K3725" s="10">
        <v>222</v>
      </c>
      <c r="L3725" s="10" t="s">
        <v>22102</v>
      </c>
      <c r="M3725" s="10">
        <v>1</v>
      </c>
      <c r="N3725" s="10"/>
      <c r="O3725" s="10"/>
      <c r="P3725" s="10" t="s">
        <v>22103</v>
      </c>
      <c r="Q3725" s="10">
        <v>370.154</v>
      </c>
      <c r="R3725" s="10" t="s">
        <v>7970</v>
      </c>
      <c r="S3725" s="10" t="s">
        <v>53</v>
      </c>
      <c r="T3725" s="10" t="s">
        <v>54</v>
      </c>
    </row>
    <row r="3726" spans="1:20" ht="14.5" x14ac:dyDescent="0.35">
      <c r="A3726" s="10" t="s">
        <v>22104</v>
      </c>
      <c r="B3726" s="10" t="str">
        <f>"9781579222499"</f>
        <v>9781579222499</v>
      </c>
      <c r="C3726" s="10" t="str">
        <f>"9781000974195"</f>
        <v>9781000974195</v>
      </c>
      <c r="D3726" s="10" t="s">
        <v>6350</v>
      </c>
      <c r="E3726" s="10" t="s">
        <v>6351</v>
      </c>
      <c r="F3726" s="10" t="s">
        <v>748</v>
      </c>
      <c r="G3726" s="10" t="s">
        <v>6352</v>
      </c>
      <c r="H3726" s="11">
        <v>41054</v>
      </c>
      <c r="I3726" s="10">
        <v>2012</v>
      </c>
      <c r="J3726" s="10" t="s">
        <v>6351</v>
      </c>
      <c r="K3726" s="10">
        <v>164</v>
      </c>
      <c r="L3726" s="10" t="s">
        <v>22105</v>
      </c>
      <c r="M3726" s="10">
        <v>1</v>
      </c>
      <c r="N3726" s="10"/>
      <c r="O3726" s="10"/>
      <c r="P3726" s="10" t="s">
        <v>22106</v>
      </c>
      <c r="Q3726" s="10" t="s">
        <v>10227</v>
      </c>
      <c r="R3726" s="10" t="s">
        <v>22107</v>
      </c>
      <c r="S3726" s="10" t="s">
        <v>53</v>
      </c>
      <c r="T3726" s="10" t="s">
        <v>54</v>
      </c>
    </row>
    <row r="3727" spans="1:20" ht="14.5" x14ac:dyDescent="0.35">
      <c r="A3727" s="10" t="s">
        <v>22108</v>
      </c>
      <c r="B3727" s="10" t="str">
        <f>"9781579227135"</f>
        <v>9781579227135</v>
      </c>
      <c r="C3727" s="10" t="str">
        <f>"9781000974942"</f>
        <v>9781000974942</v>
      </c>
      <c r="D3727" s="10" t="s">
        <v>6350</v>
      </c>
      <c r="E3727" s="10" t="s">
        <v>6351</v>
      </c>
      <c r="F3727" s="10" t="s">
        <v>20757</v>
      </c>
      <c r="G3727" s="10" t="s">
        <v>6317</v>
      </c>
      <c r="H3727" s="11">
        <v>41088</v>
      </c>
      <c r="I3727" s="10">
        <v>2012</v>
      </c>
      <c r="J3727" s="10" t="s">
        <v>6353</v>
      </c>
      <c r="K3727" s="10">
        <v>472</v>
      </c>
      <c r="L3727" s="10" t="s">
        <v>22109</v>
      </c>
      <c r="M3727" s="10">
        <v>1</v>
      </c>
      <c r="N3727" s="10"/>
      <c r="O3727" s="10"/>
      <c r="P3727" s="10" t="s">
        <v>22110</v>
      </c>
      <c r="Q3727" s="10">
        <v>370.11599999999999</v>
      </c>
      <c r="R3727" s="10" t="s">
        <v>22111</v>
      </c>
      <c r="S3727" s="10" t="s">
        <v>53</v>
      </c>
      <c r="T3727" s="10" t="s">
        <v>54</v>
      </c>
    </row>
    <row r="3728" spans="1:20" ht="14.5" x14ac:dyDescent="0.35">
      <c r="A3728" s="10" t="s">
        <v>22112</v>
      </c>
      <c r="B3728" s="10" t="str">
        <f>"9781579227586"</f>
        <v>9781579227586</v>
      </c>
      <c r="C3728" s="10" t="str">
        <f>"9781000975581"</f>
        <v>9781000975581</v>
      </c>
      <c r="D3728" s="10" t="s">
        <v>6350</v>
      </c>
      <c r="E3728" s="10" t="s">
        <v>6351</v>
      </c>
      <c r="F3728" s="10" t="s">
        <v>748</v>
      </c>
      <c r="G3728" s="10" t="s">
        <v>6352</v>
      </c>
      <c r="H3728" s="11">
        <v>41029</v>
      </c>
      <c r="I3728" s="10">
        <v>2012</v>
      </c>
      <c r="J3728" s="10" t="s">
        <v>6351</v>
      </c>
      <c r="K3728" s="10">
        <v>215</v>
      </c>
      <c r="L3728" s="10" t="s">
        <v>22113</v>
      </c>
      <c r="M3728" s="10">
        <v>1</v>
      </c>
      <c r="N3728" s="10"/>
      <c r="O3728" s="10"/>
      <c r="P3728" s="10" t="s">
        <v>22114</v>
      </c>
      <c r="Q3728" s="10" t="s">
        <v>22115</v>
      </c>
      <c r="R3728" s="10" t="s">
        <v>22116</v>
      </c>
      <c r="S3728" s="10" t="s">
        <v>53</v>
      </c>
      <c r="T3728" s="10" t="s">
        <v>54</v>
      </c>
    </row>
    <row r="3729" spans="1:20" ht="14.5" x14ac:dyDescent="0.35">
      <c r="A3729" s="10" t="s">
        <v>22117</v>
      </c>
      <c r="B3729" s="10" t="str">
        <f>"9780415801997"</f>
        <v>9780415801997</v>
      </c>
      <c r="C3729" s="10" t="str">
        <f>"9781136901645"</f>
        <v>9781136901645</v>
      </c>
      <c r="D3729" s="10" t="s">
        <v>6350</v>
      </c>
      <c r="E3729" s="10" t="s">
        <v>6351</v>
      </c>
      <c r="F3729" s="10" t="s">
        <v>748</v>
      </c>
      <c r="G3729" s="10" t="s">
        <v>6352</v>
      </c>
      <c r="H3729" s="11">
        <v>40434</v>
      </c>
      <c r="I3729" s="10">
        <v>2011</v>
      </c>
      <c r="J3729" s="10" t="s">
        <v>6351</v>
      </c>
      <c r="K3729" s="10">
        <v>343</v>
      </c>
      <c r="L3729" s="10" t="s">
        <v>22118</v>
      </c>
      <c r="M3729" s="10">
        <v>1</v>
      </c>
      <c r="N3729" s="10" t="s">
        <v>22119</v>
      </c>
      <c r="O3729" s="10"/>
      <c r="P3729" s="10" t="s">
        <v>22120</v>
      </c>
      <c r="Q3729" s="10">
        <v>153</v>
      </c>
      <c r="R3729" s="10" t="s">
        <v>22121</v>
      </c>
      <c r="S3729" s="10" t="s">
        <v>53</v>
      </c>
      <c r="T3729" s="10" t="s">
        <v>483</v>
      </c>
    </row>
    <row r="3730" spans="1:20" ht="14.5" x14ac:dyDescent="0.35">
      <c r="A3730" s="10" t="s">
        <v>22122</v>
      </c>
      <c r="B3730" s="10" t="str">
        <f>"9780415483186"</f>
        <v>9780415483186</v>
      </c>
      <c r="C3730" s="10" t="str">
        <f>"9781135272951"</f>
        <v>9781135272951</v>
      </c>
      <c r="D3730" s="10" t="s">
        <v>6350</v>
      </c>
      <c r="E3730" s="10" t="s">
        <v>6351</v>
      </c>
      <c r="F3730" s="10" t="s">
        <v>139</v>
      </c>
      <c r="G3730" s="10" t="s">
        <v>6352</v>
      </c>
      <c r="H3730" s="11">
        <v>40298</v>
      </c>
      <c r="I3730" s="10">
        <v>2010</v>
      </c>
      <c r="J3730" s="10" t="s">
        <v>6353</v>
      </c>
      <c r="K3730" s="10">
        <v>209</v>
      </c>
      <c r="L3730" s="10" t="s">
        <v>22123</v>
      </c>
      <c r="M3730" s="10">
        <v>1</v>
      </c>
      <c r="N3730" s="10" t="s">
        <v>16478</v>
      </c>
      <c r="O3730" s="10"/>
      <c r="P3730" s="10" t="s">
        <v>22124</v>
      </c>
      <c r="Q3730" s="10" t="s">
        <v>22125</v>
      </c>
      <c r="R3730" s="10" t="s">
        <v>22126</v>
      </c>
      <c r="S3730" s="10" t="s">
        <v>53</v>
      </c>
      <c r="T3730" s="10" t="s">
        <v>54</v>
      </c>
    </row>
    <row r="3731" spans="1:20" ht="14.5" x14ac:dyDescent="0.35">
      <c r="A3731" s="10" t="s">
        <v>22127</v>
      </c>
      <c r="B3731" s="10" t="str">
        <f>"9780415516532"</f>
        <v>9780415516532</v>
      </c>
      <c r="C3731" s="10" t="str">
        <f>"9781136343902"</f>
        <v>9781136343902</v>
      </c>
      <c r="D3731" s="10" t="s">
        <v>6350</v>
      </c>
      <c r="E3731" s="10" t="s">
        <v>6351</v>
      </c>
      <c r="F3731" s="10" t="s">
        <v>139</v>
      </c>
      <c r="G3731" s="10" t="s">
        <v>6352</v>
      </c>
      <c r="H3731" s="11">
        <v>41102</v>
      </c>
      <c r="I3731" s="10">
        <v>2012</v>
      </c>
      <c r="J3731" s="10" t="s">
        <v>6353</v>
      </c>
      <c r="K3731" s="10">
        <v>226</v>
      </c>
      <c r="L3731" s="10" t="s">
        <v>18588</v>
      </c>
      <c r="M3731" s="10">
        <v>1</v>
      </c>
      <c r="N3731" s="10"/>
      <c r="O3731" s="10"/>
      <c r="P3731" s="10" t="s">
        <v>22128</v>
      </c>
      <c r="Q3731" s="10">
        <v>372.94099999999997</v>
      </c>
      <c r="R3731" s="10" t="s">
        <v>15048</v>
      </c>
      <c r="S3731" s="10" t="s">
        <v>53</v>
      </c>
      <c r="T3731" s="10" t="s">
        <v>54</v>
      </c>
    </row>
    <row r="3732" spans="1:20" ht="14.5" x14ac:dyDescent="0.35">
      <c r="A3732" s="10" t="s">
        <v>22129</v>
      </c>
      <c r="B3732" s="10" t="str">
        <f>"9780415675505"</f>
        <v>9780415675505</v>
      </c>
      <c r="C3732" s="10" t="str">
        <f>"9780203809440"</f>
        <v>9780203809440</v>
      </c>
      <c r="D3732" s="10" t="s">
        <v>6350</v>
      </c>
      <c r="E3732" s="10" t="s">
        <v>6351</v>
      </c>
      <c r="F3732" s="10" t="s">
        <v>748</v>
      </c>
      <c r="G3732" s="10" t="s">
        <v>6352</v>
      </c>
      <c r="H3732" s="11">
        <v>40947</v>
      </c>
      <c r="I3732" s="10">
        <v>2012</v>
      </c>
      <c r="J3732" s="10" t="s">
        <v>6351</v>
      </c>
      <c r="K3732" s="10">
        <v>192</v>
      </c>
      <c r="L3732" s="10" t="s">
        <v>22130</v>
      </c>
      <c r="M3732" s="10">
        <v>1</v>
      </c>
      <c r="N3732" s="10"/>
      <c r="O3732" s="10"/>
      <c r="P3732" s="10" t="s">
        <v>22131</v>
      </c>
      <c r="Q3732" s="10" t="s">
        <v>22132</v>
      </c>
      <c r="R3732" s="10" t="s">
        <v>22133</v>
      </c>
      <c r="S3732" s="10" t="s">
        <v>53</v>
      </c>
      <c r="T3732" s="10" t="s">
        <v>54</v>
      </c>
    </row>
    <row r="3733" spans="1:20" ht="14.5" x14ac:dyDescent="0.35">
      <c r="A3733" s="10" t="s">
        <v>22134</v>
      </c>
      <c r="B3733" s="10" t="str">
        <f>"9780415681735"</f>
        <v>9780415681735</v>
      </c>
      <c r="C3733" s="10" t="str">
        <f>"9781136305221"</f>
        <v>9781136305221</v>
      </c>
      <c r="D3733" s="10" t="s">
        <v>6350</v>
      </c>
      <c r="E3733" s="10" t="s">
        <v>6351</v>
      </c>
      <c r="F3733" s="10" t="s">
        <v>139</v>
      </c>
      <c r="G3733" s="10" t="s">
        <v>6352</v>
      </c>
      <c r="H3733" s="11">
        <v>41128</v>
      </c>
      <c r="I3733" s="10">
        <v>2012</v>
      </c>
      <c r="J3733" s="10" t="s">
        <v>6353</v>
      </c>
      <c r="K3733" s="10">
        <v>169</v>
      </c>
      <c r="L3733" s="10" t="s">
        <v>22135</v>
      </c>
      <c r="M3733" s="10">
        <v>1</v>
      </c>
      <c r="N3733" s="10"/>
      <c r="O3733" s="10"/>
      <c r="P3733" s="10" t="s">
        <v>22136</v>
      </c>
      <c r="Q3733" s="10" t="s">
        <v>10213</v>
      </c>
      <c r="R3733" s="10" t="s">
        <v>21557</v>
      </c>
      <c r="S3733" s="10" t="s">
        <v>53</v>
      </c>
      <c r="T3733" s="10" t="s">
        <v>54</v>
      </c>
    </row>
    <row r="3734" spans="1:20" ht="14.5" x14ac:dyDescent="0.35">
      <c r="A3734" s="10" t="s">
        <v>22137</v>
      </c>
      <c r="B3734" s="10" t="str">
        <f>"9780415663625"</f>
        <v>9780415663625</v>
      </c>
      <c r="C3734" s="10" t="str">
        <f>"9781136303395"</f>
        <v>9781136303395</v>
      </c>
      <c r="D3734" s="10" t="s">
        <v>6350</v>
      </c>
      <c r="E3734" s="10" t="s">
        <v>6351</v>
      </c>
      <c r="F3734" s="10" t="s">
        <v>139</v>
      </c>
      <c r="G3734" s="10" t="s">
        <v>6352</v>
      </c>
      <c r="H3734" s="11">
        <v>41102</v>
      </c>
      <c r="I3734" s="10">
        <v>2012</v>
      </c>
      <c r="J3734" s="10" t="s">
        <v>6353</v>
      </c>
      <c r="K3734" s="10">
        <v>161</v>
      </c>
      <c r="L3734" s="10" t="s">
        <v>22138</v>
      </c>
      <c r="M3734" s="10">
        <v>1</v>
      </c>
      <c r="N3734" s="10"/>
      <c r="O3734" s="10"/>
      <c r="P3734" s="10" t="s">
        <v>22139</v>
      </c>
      <c r="Q3734" s="10">
        <v>371.33</v>
      </c>
      <c r="R3734" s="10" t="s">
        <v>21359</v>
      </c>
      <c r="S3734" s="10" t="s">
        <v>53</v>
      </c>
      <c r="T3734" s="10" t="s">
        <v>54</v>
      </c>
    </row>
    <row r="3735" spans="1:20" ht="14.5" x14ac:dyDescent="0.35">
      <c r="A3735" s="10" t="s">
        <v>22140</v>
      </c>
      <c r="B3735" s="10" t="str">
        <f>"9780415676267"</f>
        <v>9780415676267</v>
      </c>
      <c r="C3735" s="10" t="str">
        <f>"9781136520952"</f>
        <v>9781136520952</v>
      </c>
      <c r="D3735" s="10" t="s">
        <v>6350</v>
      </c>
      <c r="E3735" s="10" t="s">
        <v>6351</v>
      </c>
      <c r="F3735" s="10" t="s">
        <v>5406</v>
      </c>
      <c r="G3735" s="10" t="s">
        <v>6352</v>
      </c>
      <c r="H3735" s="11">
        <v>40891</v>
      </c>
      <c r="I3735" s="10">
        <v>2012</v>
      </c>
      <c r="J3735" s="10" t="s">
        <v>6353</v>
      </c>
      <c r="K3735" s="10">
        <v>181</v>
      </c>
      <c r="L3735" s="10" t="s">
        <v>22141</v>
      </c>
      <c r="M3735" s="10">
        <v>1</v>
      </c>
      <c r="N3735" s="10"/>
      <c r="O3735" s="10"/>
      <c r="P3735" s="10" t="s">
        <v>22142</v>
      </c>
      <c r="Q3735" s="10">
        <v>379.15800000000002</v>
      </c>
      <c r="R3735" s="10" t="s">
        <v>22143</v>
      </c>
      <c r="S3735" s="10" t="s">
        <v>53</v>
      </c>
      <c r="T3735" s="10" t="s">
        <v>54</v>
      </c>
    </row>
    <row r="3736" spans="1:20" ht="14.5" x14ac:dyDescent="0.35">
      <c r="A3736" s="10" t="s">
        <v>22144</v>
      </c>
      <c r="B3736" s="10" t="str">
        <f>"9780415684415"</f>
        <v>9780415684415</v>
      </c>
      <c r="C3736" s="10" t="str">
        <f>"9781136631931"</f>
        <v>9781136631931</v>
      </c>
      <c r="D3736" s="10" t="s">
        <v>6350</v>
      </c>
      <c r="E3736" s="10" t="s">
        <v>6351</v>
      </c>
      <c r="F3736" s="10" t="s">
        <v>748</v>
      </c>
      <c r="G3736" s="10" t="s">
        <v>6352</v>
      </c>
      <c r="H3736" s="11">
        <v>41131</v>
      </c>
      <c r="I3736" s="10">
        <v>2013</v>
      </c>
      <c r="J3736" s="10" t="s">
        <v>6351</v>
      </c>
      <c r="K3736" s="10">
        <v>177</v>
      </c>
      <c r="L3736" s="10" t="s">
        <v>22145</v>
      </c>
      <c r="M3736" s="10">
        <v>1</v>
      </c>
      <c r="N3736" s="10"/>
      <c r="O3736" s="10"/>
      <c r="P3736" s="10" t="s">
        <v>22146</v>
      </c>
      <c r="Q3736" s="10">
        <v>370.72</v>
      </c>
      <c r="R3736" s="10" t="s">
        <v>14051</v>
      </c>
      <c r="S3736" s="10" t="s">
        <v>53</v>
      </c>
      <c r="T3736" s="10" t="s">
        <v>54</v>
      </c>
    </row>
    <row r="3737" spans="1:20" ht="14.5" x14ac:dyDescent="0.35">
      <c r="A3737" s="10" t="s">
        <v>22147</v>
      </c>
      <c r="B3737" s="10" t="str">
        <f>"9780415689014"</f>
        <v>9780415689014</v>
      </c>
      <c r="C3737" s="10" t="str">
        <f>"9781136590511"</f>
        <v>9781136590511</v>
      </c>
      <c r="D3737" s="10" t="s">
        <v>6350</v>
      </c>
      <c r="E3737" s="10" t="s">
        <v>6351</v>
      </c>
      <c r="F3737" s="10" t="s">
        <v>748</v>
      </c>
      <c r="G3737" s="10" t="s">
        <v>6352</v>
      </c>
      <c r="H3737" s="11">
        <v>40885</v>
      </c>
      <c r="I3737" s="10">
        <v>1923</v>
      </c>
      <c r="J3737" s="10" t="s">
        <v>6351</v>
      </c>
      <c r="K3737" s="10">
        <v>257</v>
      </c>
      <c r="L3737" s="10" t="s">
        <v>22148</v>
      </c>
      <c r="M3737" s="10">
        <v>1</v>
      </c>
      <c r="N3737" s="10" t="s">
        <v>21400</v>
      </c>
      <c r="O3737" s="10"/>
      <c r="P3737" s="10" t="s">
        <v>22149</v>
      </c>
      <c r="Q3737" s="10">
        <v>370.94200000000001</v>
      </c>
      <c r="R3737" s="10" t="s">
        <v>22150</v>
      </c>
      <c r="S3737" s="10" t="s">
        <v>53</v>
      </c>
      <c r="T3737" s="10" t="s">
        <v>54</v>
      </c>
    </row>
    <row r="3738" spans="1:20" ht="14.5" x14ac:dyDescent="0.35">
      <c r="A3738" s="10" t="s">
        <v>22151</v>
      </c>
      <c r="B3738" s="10" t="str">
        <f>"9781853468452"</f>
        <v>9781853468452</v>
      </c>
      <c r="C3738" s="10" t="str">
        <f>"9781136607523"</f>
        <v>9781136607523</v>
      </c>
      <c r="D3738" s="10" t="s">
        <v>6350</v>
      </c>
      <c r="E3738" s="10" t="s">
        <v>15120</v>
      </c>
      <c r="F3738" s="10" t="s">
        <v>748</v>
      </c>
      <c r="G3738" s="10" t="s">
        <v>6352</v>
      </c>
      <c r="H3738" s="11">
        <v>37666</v>
      </c>
      <c r="I3738" s="10">
        <v>2003</v>
      </c>
      <c r="J3738" s="10" t="s">
        <v>15120</v>
      </c>
      <c r="K3738" s="10">
        <v>193</v>
      </c>
      <c r="L3738" s="10" t="s">
        <v>22152</v>
      </c>
      <c r="M3738" s="10">
        <v>2</v>
      </c>
      <c r="N3738" s="10"/>
      <c r="O3738" s="10"/>
      <c r="P3738" s="10" t="s">
        <v>22153</v>
      </c>
      <c r="Q3738" s="10" t="s">
        <v>22154</v>
      </c>
      <c r="R3738" s="10" t="s">
        <v>6577</v>
      </c>
      <c r="S3738" s="10" t="s">
        <v>53</v>
      </c>
      <c r="T3738" s="10" t="s">
        <v>54</v>
      </c>
    </row>
    <row r="3739" spans="1:20" ht="14.5" x14ac:dyDescent="0.35">
      <c r="A3739" s="10" t="s">
        <v>22155</v>
      </c>
      <c r="B3739" s="10" t="str">
        <f>"9780415899239"</f>
        <v>9780415899239</v>
      </c>
      <c r="C3739" s="10" t="str">
        <f>"9781136274541"</f>
        <v>9781136274541</v>
      </c>
      <c r="D3739" s="10" t="s">
        <v>6350</v>
      </c>
      <c r="E3739" s="10" t="s">
        <v>6351</v>
      </c>
      <c r="F3739" s="10" t="s">
        <v>139</v>
      </c>
      <c r="G3739" s="10" t="s">
        <v>6352</v>
      </c>
      <c r="H3739" s="11">
        <v>41038</v>
      </c>
      <c r="I3739" s="10">
        <v>2012</v>
      </c>
      <c r="J3739" s="10" t="s">
        <v>6353</v>
      </c>
      <c r="K3739" s="10">
        <v>245</v>
      </c>
      <c r="L3739" s="10" t="s">
        <v>22156</v>
      </c>
      <c r="M3739" s="10">
        <v>1</v>
      </c>
      <c r="N3739" s="10" t="s">
        <v>6954</v>
      </c>
      <c r="O3739" s="10"/>
      <c r="P3739" s="10" t="s">
        <v>22157</v>
      </c>
      <c r="Q3739" s="10">
        <v>371.10199999999998</v>
      </c>
      <c r="R3739" s="10" t="s">
        <v>22057</v>
      </c>
      <c r="S3739" s="10" t="s">
        <v>53</v>
      </c>
      <c r="T3739" s="10" t="s">
        <v>54</v>
      </c>
    </row>
    <row r="3740" spans="1:20" ht="14.5" x14ac:dyDescent="0.35">
      <c r="A3740" s="10" t="s">
        <v>22158</v>
      </c>
      <c r="B3740" s="10" t="str">
        <f>"9780415594578"</f>
        <v>9780415594578</v>
      </c>
      <c r="C3740" s="10" t="str">
        <f>"9781136282973"</f>
        <v>9781136282973</v>
      </c>
      <c r="D3740" s="10" t="s">
        <v>6350</v>
      </c>
      <c r="E3740" s="10" t="s">
        <v>6351</v>
      </c>
      <c r="F3740" s="10" t="s">
        <v>139</v>
      </c>
      <c r="G3740" s="10" t="s">
        <v>6352</v>
      </c>
      <c r="H3740" s="11">
        <v>41107</v>
      </c>
      <c r="I3740" s="10">
        <v>2012</v>
      </c>
      <c r="J3740" s="10" t="s">
        <v>6353</v>
      </c>
      <c r="K3740" s="10">
        <v>145</v>
      </c>
      <c r="L3740" s="10" t="s">
        <v>22159</v>
      </c>
      <c r="M3740" s="10">
        <v>1</v>
      </c>
      <c r="N3740" s="10"/>
      <c r="O3740" s="10"/>
      <c r="P3740" s="10" t="s">
        <v>22160</v>
      </c>
      <c r="Q3740" s="10" t="s">
        <v>6576</v>
      </c>
      <c r="R3740" s="10" t="s">
        <v>22161</v>
      </c>
      <c r="S3740" s="10" t="s">
        <v>53</v>
      </c>
      <c r="T3740" s="10" t="s">
        <v>54</v>
      </c>
    </row>
    <row r="3741" spans="1:20" ht="14.5" x14ac:dyDescent="0.35">
      <c r="A3741" s="10" t="s">
        <v>22162</v>
      </c>
      <c r="B3741" s="10" t="str">
        <f>"9780415871013"</f>
        <v>9780415871013</v>
      </c>
      <c r="C3741" s="10" t="str">
        <f>"9781135197636"</f>
        <v>9781135197636</v>
      </c>
      <c r="D3741" s="10" t="s">
        <v>6350</v>
      </c>
      <c r="E3741" s="10" t="s">
        <v>6351</v>
      </c>
      <c r="F3741" s="10" t="s">
        <v>139</v>
      </c>
      <c r="G3741" s="10" t="s">
        <v>6352</v>
      </c>
      <c r="H3741" s="11">
        <v>40928</v>
      </c>
      <c r="I3741" s="10">
        <v>2012</v>
      </c>
      <c r="J3741" s="10" t="s">
        <v>6353</v>
      </c>
      <c r="K3741" s="10">
        <v>317</v>
      </c>
      <c r="L3741" s="10" t="s">
        <v>22163</v>
      </c>
      <c r="M3741" s="10">
        <v>1</v>
      </c>
      <c r="N3741" s="10" t="s">
        <v>22164</v>
      </c>
      <c r="O3741" s="10"/>
      <c r="P3741" s="10" t="s">
        <v>22165</v>
      </c>
      <c r="Q3741" s="10" t="s">
        <v>22166</v>
      </c>
      <c r="R3741" s="10" t="s">
        <v>12070</v>
      </c>
      <c r="S3741" s="10" t="s">
        <v>53</v>
      </c>
      <c r="T3741" s="10" t="s">
        <v>54</v>
      </c>
    </row>
    <row r="3742" spans="1:20" ht="14.5" x14ac:dyDescent="0.35">
      <c r="A3742" s="10" t="s">
        <v>22167</v>
      </c>
      <c r="B3742" s="10" t="str">
        <f>"9781841504674"</f>
        <v>9781841504674</v>
      </c>
      <c r="C3742" s="10" t="str">
        <f>"9781841506883"</f>
        <v>9781841506883</v>
      </c>
      <c r="D3742" s="10" t="s">
        <v>9533</v>
      </c>
      <c r="E3742" s="10" t="s">
        <v>10235</v>
      </c>
      <c r="F3742" s="10" t="s">
        <v>10236</v>
      </c>
      <c r="G3742" s="10" t="s">
        <v>6352</v>
      </c>
      <c r="H3742" s="11">
        <v>41044</v>
      </c>
      <c r="I3742" s="10">
        <v>2012</v>
      </c>
      <c r="J3742" s="10" t="s">
        <v>10235</v>
      </c>
      <c r="K3742" s="10">
        <v>438</v>
      </c>
      <c r="L3742" s="10" t="s">
        <v>22168</v>
      </c>
      <c r="M3742" s="10">
        <v>1</v>
      </c>
      <c r="N3742" s="10" t="s">
        <v>8550</v>
      </c>
      <c r="O3742" s="10"/>
      <c r="P3742" s="10" t="s">
        <v>22169</v>
      </c>
      <c r="Q3742" s="10">
        <v>302.23</v>
      </c>
      <c r="R3742" s="10" t="s">
        <v>22170</v>
      </c>
      <c r="S3742" s="10" t="s">
        <v>53</v>
      </c>
      <c r="T3742" s="10" t="s">
        <v>6363</v>
      </c>
    </row>
    <row r="3743" spans="1:20" ht="14.5" x14ac:dyDescent="0.35">
      <c r="A3743" s="10" t="s">
        <v>22171</v>
      </c>
      <c r="B3743" s="10" t="str">
        <f>"9780813551401"</f>
        <v>9780813551401</v>
      </c>
      <c r="C3743" s="10" t="str">
        <f>"9780813553191"</f>
        <v>9780813553191</v>
      </c>
      <c r="D3743" s="10" t="s">
        <v>12251</v>
      </c>
      <c r="E3743" s="10" t="s">
        <v>12251</v>
      </c>
      <c r="F3743" s="10" t="s">
        <v>2510</v>
      </c>
      <c r="G3743" s="10" t="s">
        <v>6317</v>
      </c>
      <c r="H3743" s="11">
        <v>40792</v>
      </c>
      <c r="I3743" s="10">
        <v>2011</v>
      </c>
      <c r="J3743" s="10" t="s">
        <v>12251</v>
      </c>
      <c r="K3743" s="10">
        <v>251</v>
      </c>
      <c r="L3743" s="10" t="s">
        <v>22172</v>
      </c>
      <c r="M3743" s="10">
        <v>1</v>
      </c>
      <c r="N3743" s="10"/>
      <c r="O3743" s="10"/>
      <c r="P3743" s="10" t="s">
        <v>22173</v>
      </c>
      <c r="Q3743" s="10" t="s">
        <v>22174</v>
      </c>
      <c r="R3743" s="10"/>
      <c r="S3743" s="10" t="s">
        <v>53</v>
      </c>
      <c r="T3743" s="10" t="s">
        <v>54</v>
      </c>
    </row>
    <row r="3744" spans="1:20" ht="14.5" x14ac:dyDescent="0.35">
      <c r="A3744" s="10" t="s">
        <v>22175</v>
      </c>
      <c r="B3744" s="10" t="str">
        <f>"9780813553696"</f>
        <v>9780813553696</v>
      </c>
      <c r="C3744" s="10" t="str">
        <f>"9780813553702"</f>
        <v>9780813553702</v>
      </c>
      <c r="D3744" s="10" t="s">
        <v>12251</v>
      </c>
      <c r="E3744" s="10" t="s">
        <v>12251</v>
      </c>
      <c r="F3744" s="10" t="s">
        <v>2510</v>
      </c>
      <c r="G3744" s="10" t="s">
        <v>6317</v>
      </c>
      <c r="H3744" s="11">
        <v>41167</v>
      </c>
      <c r="I3744" s="10">
        <v>2012</v>
      </c>
      <c r="J3744" s="10" t="s">
        <v>12251</v>
      </c>
      <c r="K3744" s="10">
        <v>226</v>
      </c>
      <c r="L3744" s="10" t="s">
        <v>22176</v>
      </c>
      <c r="M3744" s="10">
        <v>1</v>
      </c>
      <c r="N3744" s="10" t="s">
        <v>12813</v>
      </c>
      <c r="O3744" s="10"/>
      <c r="P3744" s="10" t="s">
        <v>13948</v>
      </c>
      <c r="Q3744" s="10" t="s">
        <v>6331</v>
      </c>
      <c r="R3744" s="10" t="s">
        <v>22177</v>
      </c>
      <c r="S3744" s="10" t="s">
        <v>53</v>
      </c>
      <c r="T3744" s="10" t="s">
        <v>54</v>
      </c>
    </row>
    <row r="3745" spans="1:20" ht="14.5" x14ac:dyDescent="0.35">
      <c r="A3745" s="10" t="s">
        <v>22178</v>
      </c>
      <c r="B3745" s="10" t="str">
        <f>"9780521119825"</f>
        <v>9780521119825</v>
      </c>
      <c r="C3745" s="10" t="str">
        <f>"9781139553940"</f>
        <v>9781139553940</v>
      </c>
      <c r="D3745" s="10" t="s">
        <v>397</v>
      </c>
      <c r="E3745" s="10" t="s">
        <v>397</v>
      </c>
      <c r="F3745" s="10" t="s">
        <v>70</v>
      </c>
      <c r="G3745" s="10" t="s">
        <v>6317</v>
      </c>
      <c r="H3745" s="11">
        <v>41148</v>
      </c>
      <c r="I3745" s="10">
        <v>2012</v>
      </c>
      <c r="J3745" s="10" t="s">
        <v>397</v>
      </c>
      <c r="K3745" s="10">
        <v>348</v>
      </c>
      <c r="L3745" s="10" t="s">
        <v>22179</v>
      </c>
      <c r="M3745" s="10">
        <v>1</v>
      </c>
      <c r="N3745" s="10"/>
      <c r="O3745" s="10"/>
      <c r="P3745" s="10" t="s">
        <v>22180</v>
      </c>
      <c r="Q3745" s="10" t="s">
        <v>22181</v>
      </c>
      <c r="R3745" s="10" t="s">
        <v>8147</v>
      </c>
      <c r="S3745" s="10" t="s">
        <v>53</v>
      </c>
      <c r="T3745" s="10" t="s">
        <v>54</v>
      </c>
    </row>
    <row r="3746" spans="1:20" ht="14.5" x14ac:dyDescent="0.35">
      <c r="A3746" s="10" t="s">
        <v>22182</v>
      </c>
      <c r="B3746" s="10" t="str">
        <f>""</f>
        <v/>
      </c>
      <c r="C3746" s="10" t="str">
        <f>"9781776524334"</f>
        <v>9781776524334</v>
      </c>
      <c r="D3746" s="10" t="s">
        <v>12228</v>
      </c>
      <c r="E3746" s="10" t="s">
        <v>12229</v>
      </c>
      <c r="F3746" s="10" t="s">
        <v>12230</v>
      </c>
      <c r="G3746" s="10" t="s">
        <v>12231</v>
      </c>
      <c r="H3746" s="11">
        <v>33451</v>
      </c>
      <c r="I3746" s="10">
        <v>2012</v>
      </c>
      <c r="J3746" s="10" t="s">
        <v>12229</v>
      </c>
      <c r="K3746" s="10">
        <v>109</v>
      </c>
      <c r="L3746" s="10" t="s">
        <v>22183</v>
      </c>
      <c r="M3746" s="10">
        <v>1</v>
      </c>
      <c r="N3746" s="10"/>
      <c r="O3746" s="10"/>
      <c r="P3746" s="10" t="s">
        <v>22184</v>
      </c>
      <c r="Q3746" s="10" t="s">
        <v>22185</v>
      </c>
      <c r="R3746" s="10" t="s">
        <v>22186</v>
      </c>
      <c r="S3746" s="10" t="s">
        <v>53</v>
      </c>
      <c r="T3746" s="10" t="s">
        <v>1166</v>
      </c>
    </row>
    <row r="3747" spans="1:20" ht="14.5" x14ac:dyDescent="0.35">
      <c r="A3747" s="10" t="s">
        <v>22187</v>
      </c>
      <c r="B3747" s="10" t="str">
        <f>"9781849517768"</f>
        <v>9781849517768</v>
      </c>
      <c r="C3747" s="10" t="str">
        <f>"9781849517775"</f>
        <v>9781849517775</v>
      </c>
      <c r="D3747" s="10" t="s">
        <v>21162</v>
      </c>
      <c r="E3747" s="10" t="s">
        <v>21163</v>
      </c>
      <c r="F3747" s="10" t="s">
        <v>1939</v>
      </c>
      <c r="G3747" s="10" t="s">
        <v>6352</v>
      </c>
      <c r="H3747" s="11">
        <v>41116</v>
      </c>
      <c r="I3747" s="10">
        <v>2012</v>
      </c>
      <c r="J3747" s="10" t="s">
        <v>21163</v>
      </c>
      <c r="K3747" s="10">
        <v>415</v>
      </c>
      <c r="L3747" s="10" t="s">
        <v>22188</v>
      </c>
      <c r="M3747" s="10">
        <v>1</v>
      </c>
      <c r="N3747" s="10"/>
      <c r="O3747" s="10"/>
      <c r="P3747" s="10"/>
      <c r="Q3747" s="10"/>
      <c r="R3747" s="10" t="s">
        <v>22189</v>
      </c>
      <c r="S3747" s="10" t="s">
        <v>53</v>
      </c>
      <c r="T3747" s="10" t="s">
        <v>19959</v>
      </c>
    </row>
    <row r="3748" spans="1:20" ht="14.5" x14ac:dyDescent="0.35">
      <c r="A3748" s="10" t="s">
        <v>22190</v>
      </c>
      <c r="B3748" s="10" t="str">
        <f>"9780415548236"</f>
        <v>9780415548236</v>
      </c>
      <c r="C3748" s="10" t="str">
        <f>"9781135998011"</f>
        <v>9781135998011</v>
      </c>
      <c r="D3748" s="10" t="s">
        <v>6350</v>
      </c>
      <c r="E3748" s="10" t="s">
        <v>6351</v>
      </c>
      <c r="F3748" s="10" t="s">
        <v>139</v>
      </c>
      <c r="G3748" s="10" t="s">
        <v>6352</v>
      </c>
      <c r="H3748" s="11">
        <v>40324</v>
      </c>
      <c r="I3748" s="10">
        <v>2010</v>
      </c>
      <c r="J3748" s="10" t="s">
        <v>6353</v>
      </c>
      <c r="K3748" s="10">
        <v>257</v>
      </c>
      <c r="L3748" s="10" t="s">
        <v>22191</v>
      </c>
      <c r="M3748" s="10">
        <v>1</v>
      </c>
      <c r="N3748" s="10" t="s">
        <v>22192</v>
      </c>
      <c r="O3748" s="10"/>
      <c r="P3748" s="10" t="s">
        <v>22193</v>
      </c>
      <c r="Q3748" s="10">
        <v>300.94299999999998</v>
      </c>
      <c r="R3748" s="10" t="s">
        <v>22194</v>
      </c>
      <c r="S3748" s="10" t="s">
        <v>53</v>
      </c>
      <c r="T3748" s="10" t="s">
        <v>6363</v>
      </c>
    </row>
    <row r="3749" spans="1:20" ht="14.5" x14ac:dyDescent="0.35">
      <c r="A3749" s="10" t="s">
        <v>22195</v>
      </c>
      <c r="B3749" s="10" t="str">
        <f>"9781853469657"</f>
        <v>9781853469657</v>
      </c>
      <c r="C3749" s="10" t="str">
        <f>"9781136611865"</f>
        <v>9781136611865</v>
      </c>
      <c r="D3749" s="10" t="s">
        <v>6350</v>
      </c>
      <c r="E3749" s="10" t="s">
        <v>15120</v>
      </c>
      <c r="F3749" s="10" t="s">
        <v>748</v>
      </c>
      <c r="G3749" s="10" t="s">
        <v>6352</v>
      </c>
      <c r="H3749" s="11">
        <v>37795</v>
      </c>
      <c r="I3749" s="10">
        <v>2003</v>
      </c>
      <c r="J3749" s="10" t="s">
        <v>15120</v>
      </c>
      <c r="K3749" s="10">
        <v>112</v>
      </c>
      <c r="L3749" s="10" t="s">
        <v>22196</v>
      </c>
      <c r="M3749" s="10">
        <v>1</v>
      </c>
      <c r="N3749" s="10"/>
      <c r="O3749" s="10"/>
      <c r="P3749" s="10" t="s">
        <v>22197</v>
      </c>
      <c r="Q3749" s="10" t="s">
        <v>22198</v>
      </c>
      <c r="R3749" s="10" t="s">
        <v>6577</v>
      </c>
      <c r="S3749" s="10" t="s">
        <v>53</v>
      </c>
      <c r="T3749" s="10" t="s">
        <v>54</v>
      </c>
    </row>
    <row r="3750" spans="1:20" ht="14.5" x14ac:dyDescent="0.35">
      <c r="A3750" s="10" t="s">
        <v>22199</v>
      </c>
      <c r="B3750" s="10" t="str">
        <f>"9780415880565"</f>
        <v>9780415880565</v>
      </c>
      <c r="C3750" s="10" t="str">
        <f>"9780203831397"</f>
        <v>9780203831397</v>
      </c>
      <c r="D3750" s="10" t="s">
        <v>6350</v>
      </c>
      <c r="E3750" s="10" t="s">
        <v>6351</v>
      </c>
      <c r="F3750" s="10" t="s">
        <v>5406</v>
      </c>
      <c r="G3750" s="10" t="s">
        <v>6317</v>
      </c>
      <c r="H3750" s="11">
        <v>40583</v>
      </c>
      <c r="I3750" s="10">
        <v>2011</v>
      </c>
      <c r="J3750" s="10" t="s">
        <v>6353</v>
      </c>
      <c r="K3750" s="10">
        <v>289</v>
      </c>
      <c r="L3750" s="10" t="s">
        <v>22200</v>
      </c>
      <c r="M3750" s="10">
        <v>2</v>
      </c>
      <c r="N3750" s="10"/>
      <c r="O3750" s="10"/>
      <c r="P3750" s="10" t="s">
        <v>22201</v>
      </c>
      <c r="Q3750" s="10">
        <v>370.11700000000002</v>
      </c>
      <c r="R3750" s="10" t="s">
        <v>21612</v>
      </c>
      <c r="S3750" s="10" t="s">
        <v>53</v>
      </c>
      <c r="T3750" s="10" t="s">
        <v>54</v>
      </c>
    </row>
    <row r="3751" spans="1:20" ht="14.5" x14ac:dyDescent="0.35">
      <c r="A3751" s="10" t="s">
        <v>22202</v>
      </c>
      <c r="B3751" s="10" t="str">
        <f>"9780415490191"</f>
        <v>9780415490191</v>
      </c>
      <c r="C3751" s="10" t="str">
        <f>"9781136616693"</f>
        <v>9781136616693</v>
      </c>
      <c r="D3751" s="10" t="s">
        <v>6350</v>
      </c>
      <c r="E3751" s="10" t="s">
        <v>6351</v>
      </c>
      <c r="F3751" s="10" t="s">
        <v>748</v>
      </c>
      <c r="G3751" s="10" t="s">
        <v>6352</v>
      </c>
      <c r="H3751" s="11">
        <v>40029</v>
      </c>
      <c r="I3751" s="10">
        <v>2009</v>
      </c>
      <c r="J3751" s="10" t="s">
        <v>6351</v>
      </c>
      <c r="K3751" s="10">
        <v>321</v>
      </c>
      <c r="L3751" s="10" t="s">
        <v>6606</v>
      </c>
      <c r="M3751" s="10">
        <v>4</v>
      </c>
      <c r="N3751" s="10"/>
      <c r="O3751" s="10"/>
      <c r="P3751" s="10" t="s">
        <v>22203</v>
      </c>
      <c r="Q3751" s="10">
        <v>371.9</v>
      </c>
      <c r="R3751" s="10" t="s">
        <v>22204</v>
      </c>
      <c r="S3751" s="10" t="s">
        <v>53</v>
      </c>
      <c r="T3751" s="10" t="s">
        <v>54</v>
      </c>
    </row>
    <row r="3752" spans="1:20" ht="14.5" x14ac:dyDescent="0.35">
      <c r="A3752" s="10" t="s">
        <v>22205</v>
      </c>
      <c r="B3752" s="10" t="str">
        <f>"9780415548694"</f>
        <v>9780415548694</v>
      </c>
      <c r="C3752" s="10" t="str">
        <f>"9781136328718"</f>
        <v>9781136328718</v>
      </c>
      <c r="D3752" s="10" t="s">
        <v>6350</v>
      </c>
      <c r="E3752" s="10" t="s">
        <v>6351</v>
      </c>
      <c r="F3752" s="10" t="s">
        <v>139</v>
      </c>
      <c r="G3752" s="10" t="s">
        <v>6352</v>
      </c>
      <c r="H3752" s="11">
        <v>40137</v>
      </c>
      <c r="I3752" s="10">
        <v>2010</v>
      </c>
      <c r="J3752" s="10" t="s">
        <v>6353</v>
      </c>
      <c r="K3752" s="10">
        <v>881</v>
      </c>
      <c r="L3752" s="10" t="s">
        <v>22206</v>
      </c>
      <c r="M3752" s="10">
        <v>1</v>
      </c>
      <c r="N3752" s="10"/>
      <c r="O3752" s="10"/>
      <c r="P3752" s="10" t="s">
        <v>22207</v>
      </c>
      <c r="Q3752" s="10">
        <v>372.94099999999997</v>
      </c>
      <c r="R3752" s="10" t="s">
        <v>22208</v>
      </c>
      <c r="S3752" s="10" t="s">
        <v>53</v>
      </c>
      <c r="T3752" s="10" t="s">
        <v>54</v>
      </c>
    </row>
    <row r="3753" spans="1:20" ht="14.5" x14ac:dyDescent="0.35">
      <c r="A3753" s="10" t="s">
        <v>22209</v>
      </c>
      <c r="B3753" s="10" t="str">
        <f>"9781412964579"</f>
        <v>9781412964579</v>
      </c>
      <c r="C3753" s="10" t="str">
        <f>"9781452207926"</f>
        <v>9781452207926</v>
      </c>
      <c r="D3753" s="10" t="s">
        <v>22210</v>
      </c>
      <c r="E3753" s="10" t="s">
        <v>22211</v>
      </c>
      <c r="F3753" s="10" t="s">
        <v>333</v>
      </c>
      <c r="G3753" s="10" t="s">
        <v>6317</v>
      </c>
      <c r="H3753" s="11">
        <v>40114</v>
      </c>
      <c r="I3753" s="10">
        <v>2010</v>
      </c>
      <c r="J3753" s="10" t="s">
        <v>22211</v>
      </c>
      <c r="K3753" s="10">
        <v>241</v>
      </c>
      <c r="L3753" s="10" t="s">
        <v>22212</v>
      </c>
      <c r="M3753" s="10">
        <v>1</v>
      </c>
      <c r="N3753" s="10"/>
      <c r="O3753" s="10"/>
      <c r="P3753" s="10"/>
      <c r="Q3753" s="10" t="s">
        <v>10094</v>
      </c>
      <c r="R3753" s="10"/>
      <c r="S3753" s="10" t="s">
        <v>53</v>
      </c>
      <c r="T3753" s="10" t="s">
        <v>54</v>
      </c>
    </row>
    <row r="3754" spans="1:20" ht="14.5" x14ac:dyDescent="0.35">
      <c r="A3754" s="10" t="s">
        <v>22213</v>
      </c>
      <c r="B3754" s="10" t="str">
        <f>"9781412988278"</f>
        <v>9781412988278</v>
      </c>
      <c r="C3754" s="10" t="str">
        <f>"9781412998352"</f>
        <v>9781412998352</v>
      </c>
      <c r="D3754" s="10" t="s">
        <v>22210</v>
      </c>
      <c r="E3754" s="10" t="s">
        <v>22214</v>
      </c>
      <c r="F3754" s="10" t="s">
        <v>333</v>
      </c>
      <c r="G3754" s="10" t="s">
        <v>6317</v>
      </c>
      <c r="H3754" s="11">
        <v>40653</v>
      </c>
      <c r="I3754" s="10">
        <v>2012</v>
      </c>
      <c r="J3754" s="10" t="s">
        <v>22214</v>
      </c>
      <c r="K3754" s="10">
        <v>457</v>
      </c>
      <c r="L3754" s="10" t="s">
        <v>22215</v>
      </c>
      <c r="M3754" s="10">
        <v>2</v>
      </c>
      <c r="N3754" s="10"/>
      <c r="O3754" s="10"/>
      <c r="P3754" s="10"/>
      <c r="Q3754" s="10"/>
      <c r="R3754" s="10"/>
      <c r="S3754" s="10" t="s">
        <v>53</v>
      </c>
      <c r="T3754" s="10" t="s">
        <v>54</v>
      </c>
    </row>
    <row r="3755" spans="1:20" ht="14.5" x14ac:dyDescent="0.35">
      <c r="A3755" s="10" t="s">
        <v>22216</v>
      </c>
      <c r="B3755" s="10" t="str">
        <f>"9781412988421"</f>
        <v>9781412988421</v>
      </c>
      <c r="C3755" s="10" t="str">
        <f>"9781452206325"</f>
        <v>9781452206325</v>
      </c>
      <c r="D3755" s="10" t="s">
        <v>22210</v>
      </c>
      <c r="E3755" s="10" t="s">
        <v>22211</v>
      </c>
      <c r="F3755" s="10" t="s">
        <v>333</v>
      </c>
      <c r="G3755" s="10" t="s">
        <v>6317</v>
      </c>
      <c r="H3755" s="11">
        <v>40428</v>
      </c>
      <c r="I3755" s="10">
        <v>2010</v>
      </c>
      <c r="J3755" s="10" t="s">
        <v>22211</v>
      </c>
      <c r="K3755" s="10">
        <v>169</v>
      </c>
      <c r="L3755" s="10" t="s">
        <v>22217</v>
      </c>
      <c r="M3755" s="10">
        <v>1</v>
      </c>
      <c r="N3755" s="10"/>
      <c r="O3755" s="10"/>
      <c r="P3755" s="10" t="s">
        <v>22218</v>
      </c>
      <c r="Q3755" s="10">
        <v>372.35</v>
      </c>
      <c r="R3755" s="10"/>
      <c r="S3755" s="10" t="s">
        <v>53</v>
      </c>
      <c r="T3755" s="10" t="s">
        <v>9291</v>
      </c>
    </row>
    <row r="3756" spans="1:20" ht="14.5" x14ac:dyDescent="0.35">
      <c r="A3756" s="10" t="s">
        <v>22219</v>
      </c>
      <c r="B3756" s="10" t="str">
        <f>"9781412971621"</f>
        <v>9781412971621</v>
      </c>
      <c r="C3756" s="10" t="str">
        <f>"9781452223452"</f>
        <v>9781452223452</v>
      </c>
      <c r="D3756" s="10" t="s">
        <v>22210</v>
      </c>
      <c r="E3756" s="10" t="s">
        <v>22211</v>
      </c>
      <c r="F3756" s="10" t="s">
        <v>333</v>
      </c>
      <c r="G3756" s="10" t="s">
        <v>6317</v>
      </c>
      <c r="H3756" s="11">
        <v>40259</v>
      </c>
      <c r="I3756" s="10">
        <v>2010</v>
      </c>
      <c r="J3756" s="10" t="s">
        <v>22211</v>
      </c>
      <c r="K3756" s="10">
        <v>289</v>
      </c>
      <c r="L3756" s="10" t="s">
        <v>22220</v>
      </c>
      <c r="M3756" s="10">
        <v>1</v>
      </c>
      <c r="N3756" s="10"/>
      <c r="O3756" s="10"/>
      <c r="P3756" s="10"/>
      <c r="Q3756" s="10">
        <v>372.43</v>
      </c>
      <c r="R3756" s="10"/>
      <c r="S3756" s="10" t="s">
        <v>53</v>
      </c>
      <c r="T3756" s="10" t="s">
        <v>54</v>
      </c>
    </row>
    <row r="3757" spans="1:20" ht="14.5" x14ac:dyDescent="0.35">
      <c r="A3757" s="10" t="s">
        <v>22221</v>
      </c>
      <c r="B3757" s="10" t="str">
        <f>"9781412966405"</f>
        <v>9781412966405</v>
      </c>
      <c r="C3757" s="10" t="str">
        <f>"9781452210544"</f>
        <v>9781452210544</v>
      </c>
      <c r="D3757" s="10" t="s">
        <v>22210</v>
      </c>
      <c r="E3757" s="10" t="s">
        <v>22211</v>
      </c>
      <c r="F3757" s="10" t="s">
        <v>333</v>
      </c>
      <c r="G3757" s="10" t="s">
        <v>6317</v>
      </c>
      <c r="H3757" s="11">
        <v>39674</v>
      </c>
      <c r="I3757" s="10">
        <v>2009</v>
      </c>
      <c r="J3757" s="10" t="s">
        <v>22211</v>
      </c>
      <c r="K3757" s="10">
        <v>233</v>
      </c>
      <c r="L3757" s="10" t="s">
        <v>22222</v>
      </c>
      <c r="M3757" s="10">
        <v>1</v>
      </c>
      <c r="N3757" s="10"/>
      <c r="O3757" s="10"/>
      <c r="P3757" s="10">
        <v>2008031148</v>
      </c>
      <c r="Q3757" s="10">
        <v>371.01097299999998</v>
      </c>
      <c r="R3757" s="10"/>
      <c r="S3757" s="10" t="s">
        <v>53</v>
      </c>
      <c r="T3757" s="10" t="s">
        <v>54</v>
      </c>
    </row>
    <row r="3758" spans="1:20" ht="14.5" x14ac:dyDescent="0.35">
      <c r="A3758" s="10" t="s">
        <v>22223</v>
      </c>
      <c r="B3758" s="10" t="str">
        <f>"9781412974554"</f>
        <v>9781412974554</v>
      </c>
      <c r="C3758" s="10" t="str">
        <f>"9781412998222"</f>
        <v>9781412998222</v>
      </c>
      <c r="D3758" s="10" t="s">
        <v>22210</v>
      </c>
      <c r="E3758" s="10" t="s">
        <v>22214</v>
      </c>
      <c r="F3758" s="10" t="s">
        <v>333</v>
      </c>
      <c r="G3758" s="10" t="s">
        <v>6317</v>
      </c>
      <c r="H3758" s="11">
        <v>40571</v>
      </c>
      <c r="I3758" s="10">
        <v>2012</v>
      </c>
      <c r="J3758" s="10" t="s">
        <v>22214</v>
      </c>
      <c r="K3758" s="10">
        <v>337</v>
      </c>
      <c r="L3758" s="10" t="s">
        <v>22224</v>
      </c>
      <c r="M3758" s="10">
        <v>1</v>
      </c>
      <c r="N3758" s="10"/>
      <c r="O3758" s="10"/>
      <c r="P3758" s="10"/>
      <c r="Q3758" s="10"/>
      <c r="R3758" s="10"/>
      <c r="S3758" s="10" t="s">
        <v>53</v>
      </c>
      <c r="T3758" s="10" t="s">
        <v>54</v>
      </c>
    </row>
    <row r="3759" spans="1:20" ht="14.5" x14ac:dyDescent="0.35">
      <c r="A3759" s="10" t="s">
        <v>22225</v>
      </c>
      <c r="B3759" s="10" t="str">
        <f>"9781412962834"</f>
        <v>9781412962834</v>
      </c>
      <c r="C3759" s="10" t="str">
        <f>"9781452211046"</f>
        <v>9781452211046</v>
      </c>
      <c r="D3759" s="10" t="s">
        <v>22210</v>
      </c>
      <c r="E3759" s="10" t="s">
        <v>22211</v>
      </c>
      <c r="F3759" s="10" t="s">
        <v>333</v>
      </c>
      <c r="G3759" s="10" t="s">
        <v>6317</v>
      </c>
      <c r="H3759" s="11">
        <v>39630</v>
      </c>
      <c r="I3759" s="10">
        <v>2008</v>
      </c>
      <c r="J3759" s="10" t="s">
        <v>22211</v>
      </c>
      <c r="K3759" s="10">
        <v>225</v>
      </c>
      <c r="L3759" s="10" t="s">
        <v>22226</v>
      </c>
      <c r="M3759" s="10">
        <v>3</v>
      </c>
      <c r="N3759" s="10"/>
      <c r="O3759" s="10"/>
      <c r="P3759" s="10"/>
      <c r="Q3759" s="10"/>
      <c r="R3759" s="10"/>
      <c r="S3759" s="10" t="s">
        <v>53</v>
      </c>
      <c r="T3759" s="10" t="s">
        <v>54</v>
      </c>
    </row>
    <row r="3760" spans="1:20" ht="14.5" x14ac:dyDescent="0.35">
      <c r="A3760" s="10" t="s">
        <v>22227</v>
      </c>
      <c r="B3760" s="10" t="str">
        <f>"9781412964456"</f>
        <v>9781412964456</v>
      </c>
      <c r="C3760" s="10" t="str">
        <f>"9781452207261"</f>
        <v>9781452207261</v>
      </c>
      <c r="D3760" s="10" t="s">
        <v>22210</v>
      </c>
      <c r="E3760" s="10" t="s">
        <v>22211</v>
      </c>
      <c r="F3760" s="10" t="s">
        <v>333</v>
      </c>
      <c r="G3760" s="10" t="s">
        <v>6317</v>
      </c>
      <c r="H3760" s="11">
        <v>39729</v>
      </c>
      <c r="I3760" s="10">
        <v>2009</v>
      </c>
      <c r="J3760" s="10" t="s">
        <v>22211</v>
      </c>
      <c r="K3760" s="10">
        <v>161</v>
      </c>
      <c r="L3760" s="10" t="s">
        <v>22228</v>
      </c>
      <c r="M3760" s="10">
        <v>1</v>
      </c>
      <c r="N3760" s="10"/>
      <c r="O3760" s="10"/>
      <c r="P3760" s="10"/>
      <c r="Q3760" s="10">
        <v>371.9</v>
      </c>
      <c r="R3760" s="10"/>
      <c r="S3760" s="10" t="s">
        <v>53</v>
      </c>
      <c r="T3760" s="10" t="s">
        <v>54</v>
      </c>
    </row>
    <row r="3761" spans="1:20" ht="14.5" x14ac:dyDescent="0.35">
      <c r="A3761" s="10" t="s">
        <v>22229</v>
      </c>
      <c r="B3761" s="10" t="str">
        <f>"9781412953313"</f>
        <v>9781412953313</v>
      </c>
      <c r="C3761" s="10" t="str">
        <f>"9781452209227"</f>
        <v>9781452209227</v>
      </c>
      <c r="D3761" s="10" t="s">
        <v>22210</v>
      </c>
      <c r="E3761" s="10" t="s">
        <v>22211</v>
      </c>
      <c r="F3761" s="10" t="s">
        <v>333</v>
      </c>
      <c r="G3761" s="10" t="s">
        <v>6317</v>
      </c>
      <c r="H3761" s="11">
        <v>40093</v>
      </c>
      <c r="I3761" s="10">
        <v>2010</v>
      </c>
      <c r="J3761" s="10" t="s">
        <v>22211</v>
      </c>
      <c r="K3761" s="10">
        <v>249</v>
      </c>
      <c r="L3761" s="10" t="s">
        <v>22230</v>
      </c>
      <c r="M3761" s="10">
        <v>1</v>
      </c>
      <c r="N3761" s="10"/>
      <c r="O3761" s="10"/>
      <c r="P3761" s="10"/>
      <c r="Q3761" s="10">
        <v>371.9</v>
      </c>
      <c r="R3761" s="10"/>
      <c r="S3761" s="10" t="s">
        <v>53</v>
      </c>
      <c r="T3761" s="10" t="s">
        <v>54</v>
      </c>
    </row>
    <row r="3762" spans="1:20" ht="14.5" x14ac:dyDescent="0.35">
      <c r="A3762" s="10" t="s">
        <v>22231</v>
      </c>
      <c r="B3762" s="10" t="str">
        <f>"9781412963312"</f>
        <v>9781412963312</v>
      </c>
      <c r="C3762" s="10" t="str">
        <f>"9781452207223"</f>
        <v>9781452207223</v>
      </c>
      <c r="D3762" s="10" t="s">
        <v>22210</v>
      </c>
      <c r="E3762" s="10" t="s">
        <v>22211</v>
      </c>
      <c r="F3762" s="10" t="s">
        <v>333</v>
      </c>
      <c r="G3762" s="10" t="s">
        <v>6317</v>
      </c>
      <c r="H3762" s="11">
        <v>39708</v>
      </c>
      <c r="I3762" s="10">
        <v>2009</v>
      </c>
      <c r="J3762" s="10" t="s">
        <v>22211</v>
      </c>
      <c r="K3762" s="10">
        <v>217</v>
      </c>
      <c r="L3762" s="10" t="s">
        <v>22232</v>
      </c>
      <c r="M3762" s="10">
        <v>4</v>
      </c>
      <c r="N3762" s="10"/>
      <c r="O3762" s="10"/>
      <c r="P3762" s="10">
        <v>2008017824</v>
      </c>
      <c r="Q3762" s="10">
        <v>371.10199999999998</v>
      </c>
      <c r="R3762" s="10"/>
      <c r="S3762" s="10" t="s">
        <v>53</v>
      </c>
      <c r="T3762" s="10" t="s">
        <v>54</v>
      </c>
    </row>
    <row r="3763" spans="1:20" ht="14.5" x14ac:dyDescent="0.35">
      <c r="A3763" s="10" t="s">
        <v>22233</v>
      </c>
      <c r="B3763" s="10" t="str">
        <f>"9781412953764"</f>
        <v>9781412953764</v>
      </c>
      <c r="C3763" s="10" t="str">
        <f>"9781452207681"</f>
        <v>9781452207681</v>
      </c>
      <c r="D3763" s="10" t="s">
        <v>22210</v>
      </c>
      <c r="E3763" s="10" t="s">
        <v>22211</v>
      </c>
      <c r="F3763" s="10" t="s">
        <v>333</v>
      </c>
      <c r="G3763" s="10" t="s">
        <v>6317</v>
      </c>
      <c r="H3763" s="11">
        <v>39912</v>
      </c>
      <c r="I3763" s="10">
        <v>2009</v>
      </c>
      <c r="J3763" s="10" t="s">
        <v>22211</v>
      </c>
      <c r="K3763" s="10">
        <v>257</v>
      </c>
      <c r="L3763" s="10" t="s">
        <v>7403</v>
      </c>
      <c r="M3763" s="10">
        <v>2</v>
      </c>
      <c r="N3763" s="10"/>
      <c r="O3763" s="10"/>
      <c r="P3763" s="10"/>
      <c r="Q3763" s="10" t="s">
        <v>8460</v>
      </c>
      <c r="R3763" s="10"/>
      <c r="S3763" s="10" t="s">
        <v>53</v>
      </c>
      <c r="T3763" s="10" t="s">
        <v>54</v>
      </c>
    </row>
    <row r="3764" spans="1:20" ht="14.5" x14ac:dyDescent="0.35">
      <c r="A3764" s="10" t="s">
        <v>22234</v>
      </c>
      <c r="B3764" s="10" t="str">
        <f>"9781412967013"</f>
        <v>9781412967013</v>
      </c>
      <c r="C3764" s="10" t="str">
        <f>"9781452207469"</f>
        <v>9781452207469</v>
      </c>
      <c r="D3764" s="10" t="s">
        <v>22210</v>
      </c>
      <c r="E3764" s="10" t="s">
        <v>22211</v>
      </c>
      <c r="F3764" s="10" t="s">
        <v>333</v>
      </c>
      <c r="G3764" s="10" t="s">
        <v>6317</v>
      </c>
      <c r="H3764" s="11">
        <v>40107</v>
      </c>
      <c r="I3764" s="10">
        <v>2010</v>
      </c>
      <c r="J3764" s="10" t="s">
        <v>22211</v>
      </c>
      <c r="K3764" s="10">
        <v>153</v>
      </c>
      <c r="L3764" s="10" t="s">
        <v>22235</v>
      </c>
      <c r="M3764" s="10">
        <v>1</v>
      </c>
      <c r="N3764" s="10"/>
      <c r="O3764" s="10"/>
      <c r="P3764" s="10"/>
      <c r="Q3764" s="10" t="s">
        <v>22236</v>
      </c>
      <c r="R3764" s="10"/>
      <c r="S3764" s="10" t="s">
        <v>53</v>
      </c>
      <c r="T3764" s="10" t="s">
        <v>54</v>
      </c>
    </row>
    <row r="3765" spans="1:20" ht="14.5" x14ac:dyDescent="0.35">
      <c r="A3765" s="10" t="s">
        <v>22237</v>
      </c>
      <c r="B3765" s="10" t="str">
        <f>"9781412970990"</f>
        <v>9781412970990</v>
      </c>
      <c r="C3765" s="10" t="str">
        <f>"9781452207445"</f>
        <v>9781452207445</v>
      </c>
      <c r="D3765" s="10" t="s">
        <v>22210</v>
      </c>
      <c r="E3765" s="10" t="s">
        <v>22211</v>
      </c>
      <c r="F3765" s="10" t="s">
        <v>333</v>
      </c>
      <c r="G3765" s="10" t="s">
        <v>6317</v>
      </c>
      <c r="H3765" s="11">
        <v>40087</v>
      </c>
      <c r="I3765" s="10">
        <v>2009</v>
      </c>
      <c r="J3765" s="10" t="s">
        <v>22211</v>
      </c>
      <c r="K3765" s="10">
        <v>169</v>
      </c>
      <c r="L3765" s="10" t="s">
        <v>22238</v>
      </c>
      <c r="M3765" s="10">
        <v>1</v>
      </c>
      <c r="N3765" s="10"/>
      <c r="O3765" s="10"/>
      <c r="P3765" s="10"/>
      <c r="Q3765" s="10">
        <v>371.3</v>
      </c>
      <c r="R3765" s="10"/>
      <c r="S3765" s="10" t="s">
        <v>53</v>
      </c>
      <c r="T3765" s="10" t="s">
        <v>54</v>
      </c>
    </row>
    <row r="3766" spans="1:20" ht="14.5" x14ac:dyDescent="0.35">
      <c r="A3766" s="10" t="s">
        <v>22239</v>
      </c>
      <c r="B3766" s="10" t="str">
        <f>"9781412966351"</f>
        <v>9781412966351</v>
      </c>
      <c r="C3766" s="10" t="str">
        <f>"9781452207537"</f>
        <v>9781452207537</v>
      </c>
      <c r="D3766" s="10" t="s">
        <v>22210</v>
      </c>
      <c r="E3766" s="10" t="s">
        <v>22211</v>
      </c>
      <c r="F3766" s="10" t="s">
        <v>333</v>
      </c>
      <c r="G3766" s="10" t="s">
        <v>6317</v>
      </c>
      <c r="H3766" s="11">
        <v>40175</v>
      </c>
      <c r="I3766" s="10">
        <v>2010</v>
      </c>
      <c r="J3766" s="10" t="s">
        <v>22211</v>
      </c>
      <c r="K3766" s="10">
        <v>169</v>
      </c>
      <c r="L3766" s="10" t="s">
        <v>22240</v>
      </c>
      <c r="M3766" s="10">
        <v>1</v>
      </c>
      <c r="N3766" s="10"/>
      <c r="O3766" s="10"/>
      <c r="P3766" s="10"/>
      <c r="Q3766" s="10">
        <v>372.7</v>
      </c>
      <c r="R3766" s="10"/>
      <c r="S3766" s="10" t="s">
        <v>53</v>
      </c>
      <c r="T3766" s="10" t="s">
        <v>54</v>
      </c>
    </row>
    <row r="3767" spans="1:20" ht="14.5" x14ac:dyDescent="0.35">
      <c r="A3767" s="10" t="s">
        <v>22241</v>
      </c>
      <c r="B3767" s="10" t="str">
        <f>"9781412973854"</f>
        <v>9781412973854</v>
      </c>
      <c r="C3767" s="10" t="str">
        <f>"9781452209265"</f>
        <v>9781452209265</v>
      </c>
      <c r="D3767" s="10" t="s">
        <v>22210</v>
      </c>
      <c r="E3767" s="10" t="s">
        <v>22211</v>
      </c>
      <c r="F3767" s="10" t="s">
        <v>333</v>
      </c>
      <c r="G3767" s="10" t="s">
        <v>6317</v>
      </c>
      <c r="H3767" s="11">
        <v>40036</v>
      </c>
      <c r="I3767" s="10">
        <v>2009</v>
      </c>
      <c r="J3767" s="10" t="s">
        <v>22211</v>
      </c>
      <c r="K3767" s="10">
        <v>137</v>
      </c>
      <c r="L3767" s="10" t="s">
        <v>22242</v>
      </c>
      <c r="M3767" s="10">
        <v>1</v>
      </c>
      <c r="N3767" s="10"/>
      <c r="O3767" s="10"/>
      <c r="P3767" s="10"/>
      <c r="Q3767" s="10" t="s">
        <v>8460</v>
      </c>
      <c r="R3767" s="10"/>
      <c r="S3767" s="10" t="s">
        <v>53</v>
      </c>
      <c r="T3767" s="10" t="s">
        <v>54</v>
      </c>
    </row>
    <row r="3768" spans="1:20" ht="14.5" x14ac:dyDescent="0.35">
      <c r="A3768" s="10" t="s">
        <v>22243</v>
      </c>
      <c r="B3768" s="10" t="str">
        <f>"9781412972642"</f>
        <v>9781412972642</v>
      </c>
      <c r="C3768" s="10" t="str">
        <f>"9781452209272"</f>
        <v>9781452209272</v>
      </c>
      <c r="D3768" s="10" t="s">
        <v>22210</v>
      </c>
      <c r="E3768" s="10" t="s">
        <v>22211</v>
      </c>
      <c r="F3768" s="10" t="s">
        <v>333</v>
      </c>
      <c r="G3768" s="10" t="s">
        <v>6317</v>
      </c>
      <c r="H3768" s="11">
        <v>39995</v>
      </c>
      <c r="I3768" s="10">
        <v>2009</v>
      </c>
      <c r="J3768" s="10" t="s">
        <v>22211</v>
      </c>
      <c r="K3768" s="10">
        <v>177</v>
      </c>
      <c r="L3768" s="10" t="s">
        <v>22244</v>
      </c>
      <c r="M3768" s="10">
        <v>1</v>
      </c>
      <c r="N3768" s="10"/>
      <c r="O3768" s="10"/>
      <c r="P3768" s="10" t="s">
        <v>22245</v>
      </c>
      <c r="Q3768" s="10">
        <v>510.71</v>
      </c>
      <c r="R3768" s="10"/>
      <c r="S3768" s="10" t="s">
        <v>53</v>
      </c>
      <c r="T3768" s="10" t="s">
        <v>389</v>
      </c>
    </row>
    <row r="3769" spans="1:20" ht="14.5" x14ac:dyDescent="0.35">
      <c r="A3769" s="10" t="s">
        <v>22246</v>
      </c>
      <c r="B3769" s="10" t="str">
        <f>"9781412951173"</f>
        <v>9781412951173</v>
      </c>
      <c r="C3769" s="10" t="str">
        <f>"9781452209890"</f>
        <v>9781452209890</v>
      </c>
      <c r="D3769" s="10" t="s">
        <v>22210</v>
      </c>
      <c r="E3769" s="10" t="s">
        <v>22211</v>
      </c>
      <c r="F3769" s="10" t="s">
        <v>333</v>
      </c>
      <c r="G3769" s="10" t="s">
        <v>6317</v>
      </c>
      <c r="H3769" s="11">
        <v>39639</v>
      </c>
      <c r="I3769" s="10">
        <v>2009</v>
      </c>
      <c r="J3769" s="10" t="s">
        <v>22211</v>
      </c>
      <c r="K3769" s="10">
        <v>241</v>
      </c>
      <c r="L3769" s="10" t="s">
        <v>10016</v>
      </c>
      <c r="M3769" s="10">
        <v>2</v>
      </c>
      <c r="N3769" s="10"/>
      <c r="O3769" s="10"/>
      <c r="P3769" s="10"/>
      <c r="Q3769" s="10" t="s">
        <v>22247</v>
      </c>
      <c r="R3769" s="10"/>
      <c r="S3769" s="10" t="s">
        <v>53</v>
      </c>
      <c r="T3769" s="10" t="s">
        <v>54</v>
      </c>
    </row>
    <row r="3770" spans="1:20" ht="14.5" x14ac:dyDescent="0.35">
      <c r="A3770" s="10" t="s">
        <v>22248</v>
      </c>
      <c r="B3770" s="10" t="str">
        <f>"9781412986748"</f>
        <v>9781412986748</v>
      </c>
      <c r="C3770" s="10" t="str">
        <f>"9781452209166"</f>
        <v>9781452209166</v>
      </c>
      <c r="D3770" s="10" t="s">
        <v>22210</v>
      </c>
      <c r="E3770" s="10" t="s">
        <v>22211</v>
      </c>
      <c r="F3770" s="10" t="s">
        <v>333</v>
      </c>
      <c r="G3770" s="10" t="s">
        <v>6317</v>
      </c>
      <c r="H3770" s="11">
        <v>40399</v>
      </c>
      <c r="I3770" s="10">
        <v>2010</v>
      </c>
      <c r="J3770" s="10" t="s">
        <v>22211</v>
      </c>
      <c r="K3770" s="10">
        <v>265</v>
      </c>
      <c r="L3770" s="10" t="s">
        <v>22249</v>
      </c>
      <c r="M3770" s="10">
        <v>1</v>
      </c>
      <c r="N3770" s="10"/>
      <c r="O3770" s="10"/>
      <c r="P3770" s="10"/>
      <c r="Q3770" s="10" t="s">
        <v>10094</v>
      </c>
      <c r="R3770" s="10"/>
      <c r="S3770" s="10" t="s">
        <v>53</v>
      </c>
      <c r="T3770" s="10" t="s">
        <v>54</v>
      </c>
    </row>
    <row r="3771" spans="1:20" ht="14.5" x14ac:dyDescent="0.35">
      <c r="A3771" s="10" t="s">
        <v>22250</v>
      </c>
      <c r="B3771" s="10" t="str">
        <f>"9781412954037"</f>
        <v>9781412954037</v>
      </c>
      <c r="C3771" s="10" t="str">
        <f>"9781452207957"</f>
        <v>9781452207957</v>
      </c>
      <c r="D3771" s="10" t="s">
        <v>22210</v>
      </c>
      <c r="E3771" s="10" t="s">
        <v>22211</v>
      </c>
      <c r="F3771" s="10" t="s">
        <v>333</v>
      </c>
      <c r="G3771" s="10" t="s">
        <v>6317</v>
      </c>
      <c r="H3771" s="11">
        <v>40316</v>
      </c>
      <c r="I3771" s="10">
        <v>2010</v>
      </c>
      <c r="J3771" s="10" t="s">
        <v>22211</v>
      </c>
      <c r="K3771" s="10">
        <v>193</v>
      </c>
      <c r="L3771" s="10" t="s">
        <v>22251</v>
      </c>
      <c r="M3771" s="10">
        <v>1</v>
      </c>
      <c r="N3771" s="10"/>
      <c r="O3771" s="10"/>
      <c r="P3771" s="10"/>
      <c r="Q3771" s="10">
        <v>507.1</v>
      </c>
      <c r="R3771" s="10"/>
      <c r="S3771" s="10" t="s">
        <v>53</v>
      </c>
      <c r="T3771" s="10" t="s">
        <v>21206</v>
      </c>
    </row>
    <row r="3772" spans="1:20" ht="14.5" x14ac:dyDescent="0.35">
      <c r="A3772" s="10" t="s">
        <v>22252</v>
      </c>
      <c r="B3772" s="10" t="str">
        <f>"9781412971058"</f>
        <v>9781412971058</v>
      </c>
      <c r="C3772" s="10" t="str">
        <f>"9781452208657"</f>
        <v>9781452208657</v>
      </c>
      <c r="D3772" s="10" t="s">
        <v>22210</v>
      </c>
      <c r="E3772" s="10" t="s">
        <v>22211</v>
      </c>
      <c r="F3772" s="10" t="s">
        <v>333</v>
      </c>
      <c r="G3772" s="10" t="s">
        <v>6317</v>
      </c>
      <c r="H3772" s="11">
        <v>39917</v>
      </c>
      <c r="I3772" s="10">
        <v>2009</v>
      </c>
      <c r="J3772" s="10" t="s">
        <v>22211</v>
      </c>
      <c r="K3772" s="10">
        <v>217</v>
      </c>
      <c r="L3772" s="10" t="s">
        <v>22253</v>
      </c>
      <c r="M3772" s="10">
        <v>1</v>
      </c>
      <c r="N3772" s="10"/>
      <c r="O3772" s="10"/>
      <c r="P3772" s="10"/>
      <c r="Q3772" s="10">
        <v>372.7</v>
      </c>
      <c r="R3772" s="10"/>
      <c r="S3772" s="10" t="s">
        <v>53</v>
      </c>
      <c r="T3772" s="10" t="s">
        <v>54</v>
      </c>
    </row>
    <row r="3773" spans="1:20" ht="14.5" x14ac:dyDescent="0.35">
      <c r="A3773" s="10" t="s">
        <v>22254</v>
      </c>
      <c r="B3773" s="10" t="str">
        <f>"9781412958981"</f>
        <v>9781412958981</v>
      </c>
      <c r="C3773" s="10" t="str">
        <f>"9781452208466"</f>
        <v>9781452208466</v>
      </c>
      <c r="D3773" s="10" t="s">
        <v>22210</v>
      </c>
      <c r="E3773" s="10" t="s">
        <v>22211</v>
      </c>
      <c r="F3773" s="10" t="s">
        <v>333</v>
      </c>
      <c r="G3773" s="10" t="s">
        <v>6317</v>
      </c>
      <c r="H3773" s="11">
        <v>39717</v>
      </c>
      <c r="I3773" s="10">
        <v>2009</v>
      </c>
      <c r="J3773" s="10" t="s">
        <v>22211</v>
      </c>
      <c r="K3773" s="10">
        <v>337</v>
      </c>
      <c r="L3773" s="10" t="s">
        <v>22212</v>
      </c>
      <c r="M3773" s="10">
        <v>3</v>
      </c>
      <c r="N3773" s="10"/>
      <c r="O3773" s="10"/>
      <c r="P3773" s="10"/>
      <c r="Q3773" s="10">
        <v>379.15800000000002</v>
      </c>
      <c r="R3773" s="10"/>
      <c r="S3773" s="10" t="s">
        <v>53</v>
      </c>
      <c r="T3773" s="10" t="s">
        <v>54</v>
      </c>
    </row>
    <row r="3774" spans="1:20" ht="14.5" x14ac:dyDescent="0.35">
      <c r="A3774" s="10" t="s">
        <v>22255</v>
      </c>
      <c r="B3774" s="10" t="str">
        <f>"9781412979757"</f>
        <v>9781412979757</v>
      </c>
      <c r="C3774" s="10" t="str">
        <f>"9781452209487"</f>
        <v>9781452209487</v>
      </c>
      <c r="D3774" s="10" t="s">
        <v>22210</v>
      </c>
      <c r="E3774" s="10" t="s">
        <v>22211</v>
      </c>
      <c r="F3774" s="10" t="s">
        <v>333</v>
      </c>
      <c r="G3774" s="10" t="s">
        <v>6317</v>
      </c>
      <c r="H3774" s="11">
        <v>40218</v>
      </c>
      <c r="I3774" s="10">
        <v>2010</v>
      </c>
      <c r="J3774" s="10" t="s">
        <v>22211</v>
      </c>
      <c r="K3774" s="10">
        <v>201</v>
      </c>
      <c r="L3774" s="10" t="s">
        <v>22256</v>
      </c>
      <c r="M3774" s="10">
        <v>1</v>
      </c>
      <c r="N3774" s="10"/>
      <c r="O3774" s="10"/>
      <c r="P3774" s="10"/>
      <c r="Q3774" s="10" t="s">
        <v>15602</v>
      </c>
      <c r="R3774" s="10"/>
      <c r="S3774" s="10" t="s">
        <v>53</v>
      </c>
      <c r="T3774" s="10" t="s">
        <v>54</v>
      </c>
    </row>
    <row r="3775" spans="1:20" ht="14.5" x14ac:dyDescent="0.35">
      <c r="A3775" s="10" t="s">
        <v>22257</v>
      </c>
      <c r="B3775" s="10" t="str">
        <f>"9781412957120"</f>
        <v>9781412957120</v>
      </c>
      <c r="C3775" s="10" t="str">
        <f>"9781452208671"</f>
        <v>9781452208671</v>
      </c>
      <c r="D3775" s="10" t="s">
        <v>22210</v>
      </c>
      <c r="E3775" s="10" t="s">
        <v>22211</v>
      </c>
      <c r="F3775" s="10" t="s">
        <v>333</v>
      </c>
      <c r="G3775" s="10" t="s">
        <v>6317</v>
      </c>
      <c r="H3775" s="11">
        <v>39912</v>
      </c>
      <c r="I3775" s="10">
        <v>2009</v>
      </c>
      <c r="J3775" s="10" t="s">
        <v>22211</v>
      </c>
      <c r="K3775" s="10">
        <v>249</v>
      </c>
      <c r="L3775" s="10" t="s">
        <v>22258</v>
      </c>
      <c r="M3775" s="10">
        <v>1</v>
      </c>
      <c r="N3775" s="10"/>
      <c r="O3775" s="10"/>
      <c r="P3775" s="10"/>
      <c r="Q3775" s="10" t="s">
        <v>22259</v>
      </c>
      <c r="R3775" s="10"/>
      <c r="S3775" s="10" t="s">
        <v>53</v>
      </c>
      <c r="T3775" s="10" t="s">
        <v>54</v>
      </c>
    </row>
    <row r="3776" spans="1:20" ht="14.5" x14ac:dyDescent="0.35">
      <c r="A3776" s="10" t="s">
        <v>22260</v>
      </c>
      <c r="B3776" s="10" t="str">
        <f>"9781412969635"</f>
        <v>9781412969635</v>
      </c>
      <c r="C3776" s="10" t="str">
        <f>"9781452209173"</f>
        <v>9781452209173</v>
      </c>
      <c r="D3776" s="10" t="s">
        <v>22210</v>
      </c>
      <c r="E3776" s="10" t="s">
        <v>22211</v>
      </c>
      <c r="F3776" s="10" t="s">
        <v>333</v>
      </c>
      <c r="G3776" s="10" t="s">
        <v>6317</v>
      </c>
      <c r="H3776" s="11">
        <v>39825</v>
      </c>
      <c r="I3776" s="10">
        <v>2009</v>
      </c>
      <c r="J3776" s="10" t="s">
        <v>22211</v>
      </c>
      <c r="K3776" s="10">
        <v>185</v>
      </c>
      <c r="L3776" s="10" t="s">
        <v>22261</v>
      </c>
      <c r="M3776" s="10">
        <v>1</v>
      </c>
      <c r="N3776" s="10"/>
      <c r="O3776" s="10"/>
      <c r="P3776" s="10"/>
      <c r="Q3776" s="10" t="s">
        <v>8460</v>
      </c>
      <c r="R3776" s="10"/>
      <c r="S3776" s="10" t="s">
        <v>53</v>
      </c>
      <c r="T3776" s="10" t="s">
        <v>54</v>
      </c>
    </row>
    <row r="3777" spans="1:20" ht="14.5" x14ac:dyDescent="0.35">
      <c r="A3777" s="10" t="s">
        <v>22262</v>
      </c>
      <c r="B3777" s="10" t="str">
        <f>"9781412957267"</f>
        <v>9781412957267</v>
      </c>
      <c r="C3777" s="10" t="str">
        <f>"9781452209456"</f>
        <v>9781452209456</v>
      </c>
      <c r="D3777" s="10" t="s">
        <v>22210</v>
      </c>
      <c r="E3777" s="10" t="s">
        <v>22211</v>
      </c>
      <c r="F3777" s="10" t="s">
        <v>333</v>
      </c>
      <c r="G3777" s="10" t="s">
        <v>6317</v>
      </c>
      <c r="H3777" s="11">
        <v>39646</v>
      </c>
      <c r="I3777" s="10">
        <v>2009</v>
      </c>
      <c r="J3777" s="10" t="s">
        <v>22211</v>
      </c>
      <c r="K3777" s="10">
        <v>177</v>
      </c>
      <c r="L3777" s="10" t="s">
        <v>22263</v>
      </c>
      <c r="M3777" s="10">
        <v>1</v>
      </c>
      <c r="N3777" s="10"/>
      <c r="O3777" s="10"/>
      <c r="P3777" s="10"/>
      <c r="Q3777" s="10">
        <v>372.47</v>
      </c>
      <c r="R3777" s="10"/>
      <c r="S3777" s="10" t="s">
        <v>53</v>
      </c>
      <c r="T3777" s="10" t="s">
        <v>54</v>
      </c>
    </row>
    <row r="3778" spans="1:20" ht="14.5" x14ac:dyDescent="0.35">
      <c r="A3778" s="10" t="s">
        <v>22264</v>
      </c>
      <c r="B3778" s="10" t="str">
        <f>"9781412977944"</f>
        <v>9781412977944</v>
      </c>
      <c r="C3778" s="10" t="str">
        <f>"9781452209555"</f>
        <v>9781452209555</v>
      </c>
      <c r="D3778" s="10" t="s">
        <v>22210</v>
      </c>
      <c r="E3778" s="10" t="s">
        <v>22211</v>
      </c>
      <c r="F3778" s="10" t="s">
        <v>333</v>
      </c>
      <c r="G3778" s="10" t="s">
        <v>6317</v>
      </c>
      <c r="H3778" s="11">
        <v>40184</v>
      </c>
      <c r="I3778" s="10">
        <v>2010</v>
      </c>
      <c r="J3778" s="10" t="s">
        <v>22211</v>
      </c>
      <c r="K3778" s="10">
        <v>145</v>
      </c>
      <c r="L3778" s="10" t="s">
        <v>22265</v>
      </c>
      <c r="M3778" s="10">
        <v>1</v>
      </c>
      <c r="N3778" s="10"/>
      <c r="O3778" s="10"/>
      <c r="P3778" s="10"/>
      <c r="Q3778" s="10">
        <v>370.11709730000001</v>
      </c>
      <c r="R3778" s="10"/>
      <c r="S3778" s="10" t="s">
        <v>53</v>
      </c>
      <c r="T3778" s="10" t="s">
        <v>54</v>
      </c>
    </row>
    <row r="3779" spans="1:20" ht="14.5" x14ac:dyDescent="0.35">
      <c r="A3779" s="10" t="s">
        <v>22266</v>
      </c>
      <c r="B3779" s="10" t="str">
        <f>"9781412955492"</f>
        <v>9781412955492</v>
      </c>
      <c r="C3779" s="10" t="str">
        <f>"9781452209586"</f>
        <v>9781452209586</v>
      </c>
      <c r="D3779" s="10" t="s">
        <v>22210</v>
      </c>
      <c r="E3779" s="10" t="s">
        <v>22211</v>
      </c>
      <c r="F3779" s="10" t="s">
        <v>333</v>
      </c>
      <c r="G3779" s="10" t="s">
        <v>6317</v>
      </c>
      <c r="H3779" s="11">
        <v>40282</v>
      </c>
      <c r="I3779" s="10">
        <v>2010</v>
      </c>
      <c r="J3779" s="10" t="s">
        <v>22211</v>
      </c>
      <c r="K3779" s="10">
        <v>193</v>
      </c>
      <c r="L3779" s="10" t="s">
        <v>22267</v>
      </c>
      <c r="M3779" s="10">
        <v>1</v>
      </c>
      <c r="N3779" s="10"/>
      <c r="O3779" s="10"/>
      <c r="P3779" s="10"/>
      <c r="Q3779" s="10" t="s">
        <v>10440</v>
      </c>
      <c r="R3779" s="10"/>
      <c r="S3779" s="10" t="s">
        <v>53</v>
      </c>
      <c r="T3779" s="10" t="s">
        <v>6616</v>
      </c>
    </row>
    <row r="3780" spans="1:20" ht="14.5" x14ac:dyDescent="0.35">
      <c r="A3780" s="10" t="s">
        <v>22268</v>
      </c>
      <c r="B3780" s="10" t="str">
        <f>"9781412981590"</f>
        <v>9781412981590</v>
      </c>
      <c r="C3780" s="10" t="str">
        <f>"9781452208510"</f>
        <v>9781452208510</v>
      </c>
      <c r="D3780" s="10" t="s">
        <v>22210</v>
      </c>
      <c r="E3780" s="10" t="s">
        <v>22211</v>
      </c>
      <c r="F3780" s="10" t="s">
        <v>333</v>
      </c>
      <c r="G3780" s="10" t="s">
        <v>6317</v>
      </c>
      <c r="H3780" s="11">
        <v>40275</v>
      </c>
      <c r="I3780" s="10">
        <v>2010</v>
      </c>
      <c r="J3780" s="10" t="s">
        <v>22211</v>
      </c>
      <c r="K3780" s="10">
        <v>145</v>
      </c>
      <c r="L3780" s="10" t="s">
        <v>22269</v>
      </c>
      <c r="M3780" s="10">
        <v>1</v>
      </c>
      <c r="N3780" s="10"/>
      <c r="O3780" s="10"/>
      <c r="P3780" s="10"/>
      <c r="Q3780" s="10" t="s">
        <v>6342</v>
      </c>
      <c r="R3780" s="10"/>
      <c r="S3780" s="10" t="s">
        <v>53</v>
      </c>
      <c r="T3780" s="10" t="s">
        <v>54</v>
      </c>
    </row>
    <row r="3781" spans="1:20" ht="14.5" x14ac:dyDescent="0.35">
      <c r="A3781" s="10" t="s">
        <v>22270</v>
      </c>
      <c r="B3781" s="10" t="str">
        <f>"9781412960083"</f>
        <v>9781412960083</v>
      </c>
      <c r="C3781" s="10" t="str">
        <f>"9781452208725"</f>
        <v>9781452208725</v>
      </c>
      <c r="D3781" s="10" t="s">
        <v>22210</v>
      </c>
      <c r="E3781" s="10" t="s">
        <v>22211</v>
      </c>
      <c r="F3781" s="10" t="s">
        <v>333</v>
      </c>
      <c r="G3781" s="10" t="s">
        <v>6317</v>
      </c>
      <c r="H3781" s="11">
        <v>39563</v>
      </c>
      <c r="I3781" s="10">
        <v>2008</v>
      </c>
      <c r="J3781" s="10" t="s">
        <v>22211</v>
      </c>
      <c r="K3781" s="10">
        <v>169</v>
      </c>
      <c r="L3781" s="10" t="s">
        <v>22271</v>
      </c>
      <c r="M3781" s="10">
        <v>3</v>
      </c>
      <c r="N3781" s="10"/>
      <c r="O3781" s="10"/>
      <c r="P3781" s="10"/>
      <c r="Q3781" s="10" t="s">
        <v>15602</v>
      </c>
      <c r="R3781" s="10"/>
      <c r="S3781" s="10" t="s">
        <v>53</v>
      </c>
      <c r="T3781" s="10" t="s">
        <v>54</v>
      </c>
    </row>
    <row r="3782" spans="1:20" ht="14.5" x14ac:dyDescent="0.35">
      <c r="A3782" s="10" t="s">
        <v>22272</v>
      </c>
      <c r="B3782" s="10" t="str">
        <f>"9781412968096"</f>
        <v>9781412968096</v>
      </c>
      <c r="C3782" s="10" t="str">
        <f>"9781452208763"</f>
        <v>9781452208763</v>
      </c>
      <c r="D3782" s="10" t="s">
        <v>22210</v>
      </c>
      <c r="E3782" s="10" t="s">
        <v>22211</v>
      </c>
      <c r="F3782" s="10" t="s">
        <v>333</v>
      </c>
      <c r="G3782" s="10" t="s">
        <v>6317</v>
      </c>
      <c r="H3782" s="11">
        <v>40154</v>
      </c>
      <c r="I3782" s="10">
        <v>2010</v>
      </c>
      <c r="J3782" s="10" t="s">
        <v>22211</v>
      </c>
      <c r="K3782" s="10">
        <v>297</v>
      </c>
      <c r="L3782" s="10" t="s">
        <v>22273</v>
      </c>
      <c r="M3782" s="10">
        <v>1</v>
      </c>
      <c r="N3782" s="10"/>
      <c r="O3782" s="10"/>
      <c r="P3782" s="10"/>
      <c r="Q3782" s="10" t="s">
        <v>22274</v>
      </c>
      <c r="R3782" s="10"/>
      <c r="S3782" s="10" t="s">
        <v>53</v>
      </c>
      <c r="T3782" s="10" t="s">
        <v>54</v>
      </c>
    </row>
    <row r="3783" spans="1:20" ht="14.5" x14ac:dyDescent="0.35">
      <c r="A3783" s="10" t="s">
        <v>22275</v>
      </c>
      <c r="B3783" s="10" t="str">
        <f>"9781412972284"</f>
        <v>9781412972284</v>
      </c>
      <c r="C3783" s="10" t="str">
        <f>"9781452208459"</f>
        <v>9781452208459</v>
      </c>
      <c r="D3783" s="10" t="s">
        <v>22210</v>
      </c>
      <c r="E3783" s="10" t="s">
        <v>22211</v>
      </c>
      <c r="F3783" s="10" t="s">
        <v>333</v>
      </c>
      <c r="G3783" s="10" t="s">
        <v>6317</v>
      </c>
      <c r="H3783" s="11">
        <v>40028</v>
      </c>
      <c r="I3783" s="10">
        <v>2009</v>
      </c>
      <c r="J3783" s="10" t="s">
        <v>22211</v>
      </c>
      <c r="K3783" s="10">
        <v>169</v>
      </c>
      <c r="L3783" s="10" t="s">
        <v>22276</v>
      </c>
      <c r="M3783" s="10">
        <v>1</v>
      </c>
      <c r="N3783" s="10"/>
      <c r="O3783" s="10"/>
      <c r="P3783" s="10" t="s">
        <v>22277</v>
      </c>
      <c r="Q3783" s="10" t="s">
        <v>10940</v>
      </c>
      <c r="R3783" s="10"/>
      <c r="S3783" s="10" t="s">
        <v>53</v>
      </c>
      <c r="T3783" s="10" t="s">
        <v>54</v>
      </c>
    </row>
    <row r="3784" spans="1:20" ht="14.5" x14ac:dyDescent="0.35">
      <c r="A3784" s="10" t="s">
        <v>22278</v>
      </c>
      <c r="B3784" s="10" t="str">
        <f>"9781412968041"</f>
        <v>9781412968041</v>
      </c>
      <c r="C3784" s="10" t="str">
        <f>"9781452208381"</f>
        <v>9781452208381</v>
      </c>
      <c r="D3784" s="10" t="s">
        <v>22210</v>
      </c>
      <c r="E3784" s="10" t="s">
        <v>22211</v>
      </c>
      <c r="F3784" s="10" t="s">
        <v>333</v>
      </c>
      <c r="G3784" s="10" t="s">
        <v>6317</v>
      </c>
      <c r="H3784" s="11">
        <v>39903</v>
      </c>
      <c r="I3784" s="10">
        <v>2009</v>
      </c>
      <c r="J3784" s="10" t="s">
        <v>22211</v>
      </c>
      <c r="K3784" s="10">
        <v>289</v>
      </c>
      <c r="L3784" s="10" t="s">
        <v>22273</v>
      </c>
      <c r="M3784" s="10">
        <v>1</v>
      </c>
      <c r="N3784" s="10"/>
      <c r="O3784" s="10"/>
      <c r="P3784" s="10"/>
      <c r="Q3784" s="10" t="s">
        <v>22279</v>
      </c>
      <c r="R3784" s="10"/>
      <c r="S3784" s="10" t="s">
        <v>53</v>
      </c>
      <c r="T3784" s="10" t="s">
        <v>54</v>
      </c>
    </row>
    <row r="3785" spans="1:20" ht="14.5" x14ac:dyDescent="0.35">
      <c r="A3785" s="10" t="s">
        <v>22280</v>
      </c>
      <c r="B3785" s="10" t="str">
        <f>"9781412974141"</f>
        <v>9781412974141</v>
      </c>
      <c r="C3785" s="10" t="str">
        <f>"9781452208299"</f>
        <v>9781452208299</v>
      </c>
      <c r="D3785" s="10" t="s">
        <v>22210</v>
      </c>
      <c r="E3785" s="10" t="s">
        <v>22211</v>
      </c>
      <c r="F3785" s="10" t="s">
        <v>333</v>
      </c>
      <c r="G3785" s="10" t="s">
        <v>6317</v>
      </c>
      <c r="H3785" s="11">
        <v>40141</v>
      </c>
      <c r="I3785" s="10">
        <v>2010</v>
      </c>
      <c r="J3785" s="10" t="s">
        <v>22211</v>
      </c>
      <c r="K3785" s="10">
        <v>425</v>
      </c>
      <c r="L3785" s="10" t="s">
        <v>22281</v>
      </c>
      <c r="M3785" s="10">
        <v>3</v>
      </c>
      <c r="N3785" s="10"/>
      <c r="O3785" s="10"/>
      <c r="P3785" s="10"/>
      <c r="Q3785" s="10" t="s">
        <v>12707</v>
      </c>
      <c r="R3785" s="10"/>
      <c r="S3785" s="10" t="s">
        <v>53</v>
      </c>
      <c r="T3785" s="10" t="s">
        <v>21206</v>
      </c>
    </row>
    <row r="3786" spans="1:20" ht="14.5" x14ac:dyDescent="0.35">
      <c r="A3786" s="10" t="s">
        <v>22282</v>
      </c>
      <c r="B3786" s="10" t="str">
        <f>"9781412964555"</f>
        <v>9781412964555</v>
      </c>
      <c r="C3786" s="10" t="str">
        <f>"9781452209142"</f>
        <v>9781452209142</v>
      </c>
      <c r="D3786" s="10" t="s">
        <v>22210</v>
      </c>
      <c r="E3786" s="10" t="s">
        <v>22211</v>
      </c>
      <c r="F3786" s="10" t="s">
        <v>333</v>
      </c>
      <c r="G3786" s="10" t="s">
        <v>6317</v>
      </c>
      <c r="H3786" s="11">
        <v>40130</v>
      </c>
      <c r="I3786" s="10">
        <v>2010</v>
      </c>
      <c r="J3786" s="10" t="s">
        <v>22211</v>
      </c>
      <c r="K3786" s="10">
        <v>305</v>
      </c>
      <c r="L3786" s="10" t="s">
        <v>22283</v>
      </c>
      <c r="M3786" s="10">
        <v>1</v>
      </c>
      <c r="N3786" s="10"/>
      <c r="O3786" s="10"/>
      <c r="P3786" s="10"/>
      <c r="Q3786" s="10" t="s">
        <v>8460</v>
      </c>
      <c r="R3786" s="10"/>
      <c r="S3786" s="10" t="s">
        <v>53</v>
      </c>
      <c r="T3786" s="10" t="s">
        <v>54</v>
      </c>
    </row>
    <row r="3787" spans="1:20" ht="14.5" x14ac:dyDescent="0.35">
      <c r="A3787" s="10" t="s">
        <v>22284</v>
      </c>
      <c r="B3787" s="10" t="str">
        <f>"9781412976763"</f>
        <v>9781412976763</v>
      </c>
      <c r="C3787" s="10" t="str">
        <f>"9781452209289"</f>
        <v>9781452209289</v>
      </c>
      <c r="D3787" s="10" t="s">
        <v>22210</v>
      </c>
      <c r="E3787" s="10" t="s">
        <v>22211</v>
      </c>
      <c r="F3787" s="10" t="s">
        <v>333</v>
      </c>
      <c r="G3787" s="10" t="s">
        <v>6317</v>
      </c>
      <c r="H3787" s="11">
        <v>40154</v>
      </c>
      <c r="I3787" s="10">
        <v>2010</v>
      </c>
      <c r="J3787" s="10" t="s">
        <v>22211</v>
      </c>
      <c r="K3787" s="10">
        <v>201</v>
      </c>
      <c r="L3787" s="10" t="s">
        <v>22285</v>
      </c>
      <c r="M3787" s="10">
        <v>1</v>
      </c>
      <c r="N3787" s="10"/>
      <c r="O3787" s="10"/>
      <c r="P3787" s="10"/>
      <c r="Q3787" s="10" t="s">
        <v>14718</v>
      </c>
      <c r="R3787" s="10"/>
      <c r="S3787" s="10" t="s">
        <v>53</v>
      </c>
      <c r="T3787" s="10" t="s">
        <v>54</v>
      </c>
    </row>
    <row r="3788" spans="1:20" ht="14.5" x14ac:dyDescent="0.35">
      <c r="A3788" s="10" t="s">
        <v>22286</v>
      </c>
      <c r="B3788" s="10" t="str">
        <f>"9781412948999"</f>
        <v>9781412948999</v>
      </c>
      <c r="C3788" s="10" t="str">
        <f>"9781452207797"</f>
        <v>9781452207797</v>
      </c>
      <c r="D3788" s="10" t="s">
        <v>22210</v>
      </c>
      <c r="E3788" s="10" t="s">
        <v>22211</v>
      </c>
      <c r="F3788" s="10" t="s">
        <v>333</v>
      </c>
      <c r="G3788" s="10" t="s">
        <v>6317</v>
      </c>
      <c r="H3788" s="11">
        <v>39479</v>
      </c>
      <c r="I3788" s="10">
        <v>2008</v>
      </c>
      <c r="J3788" s="10" t="s">
        <v>22211</v>
      </c>
      <c r="K3788" s="10">
        <v>185</v>
      </c>
      <c r="L3788" s="10" t="s">
        <v>22287</v>
      </c>
      <c r="M3788" s="10">
        <v>1</v>
      </c>
      <c r="N3788" s="10"/>
      <c r="O3788" s="10"/>
      <c r="P3788" s="10"/>
      <c r="Q3788" s="10" t="s">
        <v>12010</v>
      </c>
      <c r="R3788" s="10"/>
      <c r="S3788" s="10" t="s">
        <v>53</v>
      </c>
      <c r="T3788" s="10" t="s">
        <v>54</v>
      </c>
    </row>
    <row r="3789" spans="1:20" ht="14.5" x14ac:dyDescent="0.35">
      <c r="A3789" s="10" t="s">
        <v>22288</v>
      </c>
      <c r="B3789" s="10" t="str">
        <f>"9781412964494"</f>
        <v>9781412964494</v>
      </c>
      <c r="C3789" s="10" t="str">
        <f>"9781452208336"</f>
        <v>9781452208336</v>
      </c>
      <c r="D3789" s="10" t="s">
        <v>22210</v>
      </c>
      <c r="E3789" s="10" t="s">
        <v>22211</v>
      </c>
      <c r="F3789" s="10" t="s">
        <v>333</v>
      </c>
      <c r="G3789" s="10" t="s">
        <v>6317</v>
      </c>
      <c r="H3789" s="11">
        <v>39736</v>
      </c>
      <c r="I3789" s="10">
        <v>2009</v>
      </c>
      <c r="J3789" s="10" t="s">
        <v>22211</v>
      </c>
      <c r="K3789" s="10">
        <v>177</v>
      </c>
      <c r="L3789" s="10" t="s">
        <v>22289</v>
      </c>
      <c r="M3789" s="10">
        <v>1</v>
      </c>
      <c r="N3789" s="10"/>
      <c r="O3789" s="10"/>
      <c r="P3789" s="10"/>
      <c r="Q3789" s="10" t="s">
        <v>22290</v>
      </c>
      <c r="R3789" s="10"/>
      <c r="S3789" s="10" t="s">
        <v>53</v>
      </c>
      <c r="T3789" s="10" t="s">
        <v>54</v>
      </c>
    </row>
    <row r="3790" spans="1:20" ht="14.5" x14ac:dyDescent="0.35">
      <c r="A3790" s="10" t="s">
        <v>22291</v>
      </c>
      <c r="B3790" s="10" t="str">
        <f>"9781412979801"</f>
        <v>9781412979801</v>
      </c>
      <c r="C3790" s="10" t="str">
        <f>"9781452208961"</f>
        <v>9781452208961</v>
      </c>
      <c r="D3790" s="10" t="s">
        <v>22210</v>
      </c>
      <c r="E3790" s="10" t="s">
        <v>22211</v>
      </c>
      <c r="F3790" s="10" t="s">
        <v>333</v>
      </c>
      <c r="G3790" s="10" t="s">
        <v>6317</v>
      </c>
      <c r="H3790" s="11">
        <v>40235</v>
      </c>
      <c r="I3790" s="10">
        <v>2010</v>
      </c>
      <c r="J3790" s="10" t="s">
        <v>22211</v>
      </c>
      <c r="K3790" s="10">
        <v>249</v>
      </c>
      <c r="L3790" s="10" t="s">
        <v>22292</v>
      </c>
      <c r="M3790" s="10">
        <v>1</v>
      </c>
      <c r="N3790" s="10"/>
      <c r="O3790" s="10"/>
      <c r="P3790" s="10"/>
      <c r="Q3790" s="10">
        <v>428.40712000000002</v>
      </c>
      <c r="R3790" s="10"/>
      <c r="S3790" s="10" t="s">
        <v>53</v>
      </c>
      <c r="T3790" s="10" t="s">
        <v>6616</v>
      </c>
    </row>
    <row r="3791" spans="1:20" ht="14.5" x14ac:dyDescent="0.35">
      <c r="A3791" s="10" t="s">
        <v>22293</v>
      </c>
      <c r="B3791" s="10" t="str">
        <f>"9781412972758"</f>
        <v>9781412972758</v>
      </c>
      <c r="C3791" s="10" t="str">
        <f>"9781452208176"</f>
        <v>9781452208176</v>
      </c>
      <c r="D3791" s="10" t="s">
        <v>22210</v>
      </c>
      <c r="E3791" s="10" t="s">
        <v>22211</v>
      </c>
      <c r="F3791" s="10" t="s">
        <v>333</v>
      </c>
      <c r="G3791" s="10" t="s">
        <v>6317</v>
      </c>
      <c r="H3791" s="11">
        <v>40212</v>
      </c>
      <c r="I3791" s="10">
        <v>2010</v>
      </c>
      <c r="J3791" s="10" t="s">
        <v>22211</v>
      </c>
      <c r="K3791" s="10">
        <v>153</v>
      </c>
      <c r="L3791" s="10" t="s">
        <v>22294</v>
      </c>
      <c r="M3791" s="10">
        <v>1</v>
      </c>
      <c r="N3791" s="10"/>
      <c r="O3791" s="10"/>
      <c r="P3791" s="10"/>
      <c r="Q3791" s="10"/>
      <c r="R3791" s="10"/>
      <c r="S3791" s="10" t="s">
        <v>53</v>
      </c>
      <c r="T3791" s="10" t="s">
        <v>54</v>
      </c>
    </row>
    <row r="3792" spans="1:20" ht="14.5" x14ac:dyDescent="0.35">
      <c r="A3792" s="10" t="s">
        <v>22295</v>
      </c>
      <c r="B3792" s="10" t="str">
        <f>"9781412963138"</f>
        <v>9781412963138</v>
      </c>
      <c r="C3792" s="10" t="str">
        <f>"9781452209982"</f>
        <v>9781452209982</v>
      </c>
      <c r="D3792" s="10" t="s">
        <v>22210</v>
      </c>
      <c r="E3792" s="10" t="s">
        <v>22211</v>
      </c>
      <c r="F3792" s="10" t="s">
        <v>333</v>
      </c>
      <c r="G3792" s="10" t="s">
        <v>6317</v>
      </c>
      <c r="H3792" s="11">
        <v>39799</v>
      </c>
      <c r="I3792" s="10">
        <v>2009</v>
      </c>
      <c r="J3792" s="10" t="s">
        <v>22211</v>
      </c>
      <c r="K3792" s="10">
        <v>145</v>
      </c>
      <c r="L3792" s="10" t="s">
        <v>22296</v>
      </c>
      <c r="M3792" s="10">
        <v>1</v>
      </c>
      <c r="N3792" s="10" t="s">
        <v>22297</v>
      </c>
      <c r="O3792" s="10"/>
      <c r="P3792" s="10"/>
      <c r="Q3792" s="10"/>
      <c r="R3792" s="10"/>
      <c r="S3792" s="10" t="s">
        <v>53</v>
      </c>
      <c r="T3792" s="10" t="s">
        <v>54</v>
      </c>
    </row>
    <row r="3793" spans="1:20" ht="14.5" x14ac:dyDescent="0.35">
      <c r="A3793" s="10" t="s">
        <v>22298</v>
      </c>
      <c r="B3793" s="10" t="str">
        <f>"9781412960618"</f>
        <v>9781412960618</v>
      </c>
      <c r="C3793" s="10" t="str">
        <f>"9781452210209"</f>
        <v>9781452210209</v>
      </c>
      <c r="D3793" s="10" t="s">
        <v>22210</v>
      </c>
      <c r="E3793" s="10" t="s">
        <v>22211</v>
      </c>
      <c r="F3793" s="10" t="s">
        <v>333</v>
      </c>
      <c r="G3793" s="10" t="s">
        <v>6317</v>
      </c>
      <c r="H3793" s="11">
        <v>40198</v>
      </c>
      <c r="I3793" s="10">
        <v>2010</v>
      </c>
      <c r="J3793" s="10" t="s">
        <v>22211</v>
      </c>
      <c r="K3793" s="10">
        <v>145</v>
      </c>
      <c r="L3793" s="10" t="s">
        <v>22299</v>
      </c>
      <c r="M3793" s="10">
        <v>1</v>
      </c>
      <c r="N3793" s="10"/>
      <c r="O3793" s="10"/>
      <c r="P3793" s="10"/>
      <c r="Q3793" s="10" t="s">
        <v>22300</v>
      </c>
      <c r="R3793" s="10"/>
      <c r="S3793" s="10" t="s">
        <v>53</v>
      </c>
      <c r="T3793" s="10" t="s">
        <v>54</v>
      </c>
    </row>
    <row r="3794" spans="1:20" ht="14.5" x14ac:dyDescent="0.35">
      <c r="A3794" s="10" t="s">
        <v>22301</v>
      </c>
      <c r="B3794" s="10" t="str">
        <f>"9781412978736"</f>
        <v>9781412978736</v>
      </c>
      <c r="C3794" s="10" t="str">
        <f>"9781452206998"</f>
        <v>9781452206998</v>
      </c>
      <c r="D3794" s="10" t="s">
        <v>22210</v>
      </c>
      <c r="E3794" s="10" t="s">
        <v>22211</v>
      </c>
      <c r="F3794" s="10" t="s">
        <v>333</v>
      </c>
      <c r="G3794" s="10" t="s">
        <v>6317</v>
      </c>
      <c r="H3794" s="11">
        <v>40212</v>
      </c>
      <c r="I3794" s="10">
        <v>2010</v>
      </c>
      <c r="J3794" s="10" t="s">
        <v>22211</v>
      </c>
      <c r="K3794" s="10">
        <v>137</v>
      </c>
      <c r="L3794" s="10" t="s">
        <v>7403</v>
      </c>
      <c r="M3794" s="10">
        <v>1</v>
      </c>
      <c r="N3794" s="10"/>
      <c r="O3794" s="10"/>
      <c r="P3794" s="10"/>
      <c r="Q3794" s="10" t="s">
        <v>8460</v>
      </c>
      <c r="R3794" s="10"/>
      <c r="S3794" s="10" t="s">
        <v>53</v>
      </c>
      <c r="T3794" s="10" t="s">
        <v>54</v>
      </c>
    </row>
    <row r="3795" spans="1:20" ht="14.5" x14ac:dyDescent="0.35">
      <c r="A3795" s="10" t="s">
        <v>22302</v>
      </c>
      <c r="B3795" s="10" t="str">
        <f>"9781412962995"</f>
        <v>9781412962995</v>
      </c>
      <c r="C3795" s="10" t="str">
        <f>"9781452213873"</f>
        <v>9781452213873</v>
      </c>
      <c r="D3795" s="10" t="s">
        <v>22210</v>
      </c>
      <c r="E3795" s="10" t="s">
        <v>22211</v>
      </c>
      <c r="F3795" s="10" t="s">
        <v>333</v>
      </c>
      <c r="G3795" s="10" t="s">
        <v>6317</v>
      </c>
      <c r="H3795" s="11">
        <v>39680</v>
      </c>
      <c r="I3795" s="10">
        <v>2009</v>
      </c>
      <c r="J3795" s="10" t="s">
        <v>22211</v>
      </c>
      <c r="K3795" s="10">
        <v>137</v>
      </c>
      <c r="L3795" s="10" t="s">
        <v>22303</v>
      </c>
      <c r="M3795" s="10">
        <v>1</v>
      </c>
      <c r="N3795" s="10"/>
      <c r="O3795" s="10"/>
      <c r="P3795" s="10"/>
      <c r="Q3795" s="10" t="s">
        <v>8115</v>
      </c>
      <c r="R3795" s="10"/>
      <c r="S3795" s="10" t="s">
        <v>53</v>
      </c>
      <c r="T3795" s="10" t="s">
        <v>6363</v>
      </c>
    </row>
    <row r="3796" spans="1:20" ht="14.5" x14ac:dyDescent="0.35">
      <c r="A3796" s="10" t="s">
        <v>22304</v>
      </c>
      <c r="B3796" s="10" t="str">
        <f>"9781412980357"</f>
        <v>9781412980357</v>
      </c>
      <c r="C3796" s="10" t="str">
        <f>"9781452214474"</f>
        <v>9781452214474</v>
      </c>
      <c r="D3796" s="10" t="s">
        <v>22210</v>
      </c>
      <c r="E3796" s="10" t="s">
        <v>22211</v>
      </c>
      <c r="F3796" s="10" t="s">
        <v>333</v>
      </c>
      <c r="G3796" s="10" t="s">
        <v>6317</v>
      </c>
      <c r="H3796" s="11">
        <v>40399</v>
      </c>
      <c r="I3796" s="10">
        <v>2010</v>
      </c>
      <c r="J3796" s="10" t="s">
        <v>22211</v>
      </c>
      <c r="K3796" s="10">
        <v>177</v>
      </c>
      <c r="L3796" s="10" t="s">
        <v>22305</v>
      </c>
      <c r="M3796" s="10">
        <v>1</v>
      </c>
      <c r="N3796" s="10"/>
      <c r="O3796" s="10"/>
      <c r="P3796" s="10"/>
      <c r="Q3796" s="10" t="s">
        <v>8460</v>
      </c>
      <c r="R3796" s="10"/>
      <c r="S3796" s="10" t="s">
        <v>53</v>
      </c>
      <c r="T3796" s="10" t="s">
        <v>54</v>
      </c>
    </row>
    <row r="3797" spans="1:20" ht="14.5" x14ac:dyDescent="0.35">
      <c r="A3797" s="10" t="s">
        <v>22306</v>
      </c>
      <c r="B3797" s="10" t="str">
        <f>"9781412975438"</f>
        <v>9781412975438</v>
      </c>
      <c r="C3797" s="10" t="str">
        <f>"9781452210063"</f>
        <v>9781452210063</v>
      </c>
      <c r="D3797" s="10" t="s">
        <v>22210</v>
      </c>
      <c r="E3797" s="10" t="s">
        <v>22211</v>
      </c>
      <c r="F3797" s="10" t="s">
        <v>333</v>
      </c>
      <c r="G3797" s="10" t="s">
        <v>6317</v>
      </c>
      <c r="H3797" s="11">
        <v>40135</v>
      </c>
      <c r="I3797" s="10">
        <v>2010</v>
      </c>
      <c r="J3797" s="10" t="s">
        <v>22211</v>
      </c>
      <c r="K3797" s="10">
        <v>177</v>
      </c>
      <c r="L3797" s="10" t="s">
        <v>22307</v>
      </c>
      <c r="M3797" s="10">
        <v>1</v>
      </c>
      <c r="N3797" s="10"/>
      <c r="O3797" s="10"/>
      <c r="P3797" s="10"/>
      <c r="Q3797" s="10">
        <v>510.71</v>
      </c>
      <c r="R3797" s="10"/>
      <c r="S3797" s="10" t="s">
        <v>53</v>
      </c>
      <c r="T3797" s="10" t="s">
        <v>389</v>
      </c>
    </row>
    <row r="3798" spans="1:20" ht="14.5" x14ac:dyDescent="0.35">
      <c r="A3798" s="10" t="s">
        <v>22308</v>
      </c>
      <c r="B3798" s="10" t="str">
        <f>"9781412986724"</f>
        <v>9781412986724</v>
      </c>
      <c r="C3798" s="10" t="str">
        <f>"9781452224039"</f>
        <v>9781452224039</v>
      </c>
      <c r="D3798" s="10" t="s">
        <v>22210</v>
      </c>
      <c r="E3798" s="10" t="s">
        <v>22211</v>
      </c>
      <c r="F3798" s="10" t="s">
        <v>333</v>
      </c>
      <c r="G3798" s="10" t="s">
        <v>6317</v>
      </c>
      <c r="H3798" s="11">
        <v>40486</v>
      </c>
      <c r="I3798" s="10">
        <v>2011</v>
      </c>
      <c r="J3798" s="10" t="s">
        <v>22211</v>
      </c>
      <c r="K3798" s="10">
        <v>209</v>
      </c>
      <c r="L3798" s="10" t="s">
        <v>22309</v>
      </c>
      <c r="M3798" s="10">
        <v>1</v>
      </c>
      <c r="N3798" s="10"/>
      <c r="O3798" s="10"/>
      <c r="P3798" s="10"/>
      <c r="Q3798" s="10" t="s">
        <v>9007</v>
      </c>
      <c r="R3798" s="10"/>
      <c r="S3798" s="10" t="s">
        <v>53</v>
      </c>
      <c r="T3798" s="10" t="s">
        <v>54</v>
      </c>
    </row>
    <row r="3799" spans="1:20" ht="14.5" x14ac:dyDescent="0.35">
      <c r="A3799" s="10" t="s">
        <v>22310</v>
      </c>
      <c r="B3799" s="10" t="str">
        <f>"9781412972079"</f>
        <v>9781412972079</v>
      </c>
      <c r="C3799" s="10" t="str">
        <f>"9781452211817"</f>
        <v>9781452211817</v>
      </c>
      <c r="D3799" s="10" t="s">
        <v>22210</v>
      </c>
      <c r="E3799" s="10" t="s">
        <v>22214</v>
      </c>
      <c r="F3799" s="10" t="s">
        <v>333</v>
      </c>
      <c r="G3799" s="10" t="s">
        <v>6317</v>
      </c>
      <c r="H3799" s="11">
        <v>40290</v>
      </c>
      <c r="I3799" s="10">
        <v>2011</v>
      </c>
      <c r="J3799" s="10" t="s">
        <v>22214</v>
      </c>
      <c r="K3799" s="10">
        <v>345</v>
      </c>
      <c r="L3799" s="10" t="s">
        <v>22311</v>
      </c>
      <c r="M3799" s="10">
        <v>1</v>
      </c>
      <c r="N3799" s="10"/>
      <c r="O3799" s="10"/>
      <c r="P3799" s="10"/>
      <c r="Q3799" s="10" t="s">
        <v>7299</v>
      </c>
      <c r="R3799" s="10"/>
      <c r="S3799" s="10" t="s">
        <v>53</v>
      </c>
      <c r="T3799" s="10" t="s">
        <v>54</v>
      </c>
    </row>
    <row r="3800" spans="1:20" ht="14.5" x14ac:dyDescent="0.35">
      <c r="A3800" s="10" t="s">
        <v>22312</v>
      </c>
      <c r="B3800" s="10" t="str">
        <f>"9781412964982"</f>
        <v>9781412964982</v>
      </c>
      <c r="C3800" s="10" t="str">
        <f>"9781452209937"</f>
        <v>9781452209937</v>
      </c>
      <c r="D3800" s="10" t="s">
        <v>22210</v>
      </c>
      <c r="E3800" s="10" t="s">
        <v>22211</v>
      </c>
      <c r="F3800" s="10" t="s">
        <v>333</v>
      </c>
      <c r="G3800" s="10" t="s">
        <v>6317</v>
      </c>
      <c r="H3800" s="11">
        <v>40009</v>
      </c>
      <c r="I3800" s="10">
        <v>2009</v>
      </c>
      <c r="J3800" s="10" t="s">
        <v>22211</v>
      </c>
      <c r="K3800" s="10">
        <v>249</v>
      </c>
      <c r="L3800" s="10" t="s">
        <v>22313</v>
      </c>
      <c r="M3800" s="10">
        <v>2</v>
      </c>
      <c r="N3800" s="10"/>
      <c r="O3800" s="10"/>
      <c r="P3800" s="10"/>
      <c r="Q3800" s="10">
        <v>372.4</v>
      </c>
      <c r="R3800" s="10"/>
      <c r="S3800" s="10" t="s">
        <v>53</v>
      </c>
      <c r="T3800" s="10" t="s">
        <v>54</v>
      </c>
    </row>
    <row r="3801" spans="1:20" ht="14.5" x14ac:dyDescent="0.35">
      <c r="A3801" s="10" t="s">
        <v>22314</v>
      </c>
      <c r="B3801" s="10" t="str">
        <f>"9781412966016"</f>
        <v>9781412966016</v>
      </c>
      <c r="C3801" s="10" t="str">
        <f>"9781452212357"</f>
        <v>9781452212357</v>
      </c>
      <c r="D3801" s="10" t="s">
        <v>22210</v>
      </c>
      <c r="E3801" s="10" t="s">
        <v>22211</v>
      </c>
      <c r="F3801" s="10" t="s">
        <v>333</v>
      </c>
      <c r="G3801" s="10" t="s">
        <v>6317</v>
      </c>
      <c r="H3801" s="11">
        <v>40057</v>
      </c>
      <c r="I3801" s="10">
        <v>2009</v>
      </c>
      <c r="J3801" s="10" t="s">
        <v>22211</v>
      </c>
      <c r="K3801" s="10">
        <v>137</v>
      </c>
      <c r="L3801" s="10" t="s">
        <v>22315</v>
      </c>
      <c r="M3801" s="10">
        <v>1</v>
      </c>
      <c r="N3801" s="10"/>
      <c r="O3801" s="10"/>
      <c r="P3801" s="10"/>
      <c r="Q3801" s="10" t="s">
        <v>8460</v>
      </c>
      <c r="R3801" s="10"/>
      <c r="S3801" s="10" t="s">
        <v>53</v>
      </c>
      <c r="T3801" s="10" t="s">
        <v>54</v>
      </c>
    </row>
    <row r="3802" spans="1:20" ht="14.5" x14ac:dyDescent="0.35">
      <c r="A3802" s="10" t="s">
        <v>22316</v>
      </c>
      <c r="B3802" s="10" t="str">
        <f>"9781412989718"</f>
        <v>9781412989718</v>
      </c>
      <c r="C3802" s="10" t="str">
        <f>"9781452214047"</f>
        <v>9781452214047</v>
      </c>
      <c r="D3802" s="10" t="s">
        <v>22210</v>
      </c>
      <c r="E3802" s="10" t="s">
        <v>22214</v>
      </c>
      <c r="F3802" s="10" t="s">
        <v>333</v>
      </c>
      <c r="G3802" s="10" t="s">
        <v>6317</v>
      </c>
      <c r="H3802" s="11">
        <v>40284</v>
      </c>
      <c r="I3802" s="10">
        <v>2011</v>
      </c>
      <c r="J3802" s="10" t="s">
        <v>22214</v>
      </c>
      <c r="K3802" s="10">
        <v>73</v>
      </c>
      <c r="L3802" s="10" t="s">
        <v>22317</v>
      </c>
      <c r="M3802" s="10">
        <v>1</v>
      </c>
      <c r="N3802" s="10"/>
      <c r="O3802" s="10"/>
      <c r="P3802" s="10"/>
      <c r="Q3802" s="10">
        <v>371</v>
      </c>
      <c r="R3802" s="10" t="s">
        <v>22318</v>
      </c>
      <c r="S3802" s="10" t="s">
        <v>53</v>
      </c>
      <c r="T3802" s="10" t="s">
        <v>54</v>
      </c>
    </row>
    <row r="3803" spans="1:20" ht="14.5" x14ac:dyDescent="0.35">
      <c r="A3803" s="10" t="s">
        <v>22319</v>
      </c>
      <c r="B3803" s="10" t="str">
        <f>"9781412964418"</f>
        <v>9781412964418</v>
      </c>
      <c r="C3803" s="10" t="str">
        <f>"9781452211275"</f>
        <v>9781452211275</v>
      </c>
      <c r="D3803" s="10" t="s">
        <v>22210</v>
      </c>
      <c r="E3803" s="10" t="s">
        <v>22211</v>
      </c>
      <c r="F3803" s="10" t="s">
        <v>333</v>
      </c>
      <c r="G3803" s="10" t="s">
        <v>6317</v>
      </c>
      <c r="H3803" s="11">
        <v>40037</v>
      </c>
      <c r="I3803" s="10">
        <v>2009</v>
      </c>
      <c r="J3803" s="10" t="s">
        <v>22211</v>
      </c>
      <c r="K3803" s="10">
        <v>137</v>
      </c>
      <c r="L3803" s="10" t="s">
        <v>22228</v>
      </c>
      <c r="M3803" s="10">
        <v>1</v>
      </c>
      <c r="N3803" s="10"/>
      <c r="O3803" s="10"/>
      <c r="P3803" s="10"/>
      <c r="Q3803" s="10"/>
      <c r="R3803" s="10"/>
      <c r="S3803" s="10" t="s">
        <v>53</v>
      </c>
      <c r="T3803" s="10" t="s">
        <v>54</v>
      </c>
    </row>
    <row r="3804" spans="1:20" ht="14.5" x14ac:dyDescent="0.35">
      <c r="A3804" s="10" t="s">
        <v>22320</v>
      </c>
      <c r="B3804" s="10" t="str">
        <f>"9781412937016"</f>
        <v>9781412937016</v>
      </c>
      <c r="C3804" s="10" t="str">
        <f>"9781452211121"</f>
        <v>9781452211121</v>
      </c>
      <c r="D3804" s="10" t="s">
        <v>22210</v>
      </c>
      <c r="E3804" s="10" t="s">
        <v>22211</v>
      </c>
      <c r="F3804" s="10" t="s">
        <v>333</v>
      </c>
      <c r="G3804" s="10" t="s">
        <v>6317</v>
      </c>
      <c r="H3804" s="11">
        <v>39465</v>
      </c>
      <c r="I3804" s="10">
        <v>2008</v>
      </c>
      <c r="J3804" s="10" t="s">
        <v>22211</v>
      </c>
      <c r="K3804" s="10">
        <v>313</v>
      </c>
      <c r="L3804" s="10" t="s">
        <v>22321</v>
      </c>
      <c r="M3804" s="10">
        <v>3</v>
      </c>
      <c r="N3804" s="10"/>
      <c r="O3804" s="10"/>
      <c r="P3804" s="10"/>
      <c r="Q3804" s="10" t="s">
        <v>22322</v>
      </c>
      <c r="R3804" s="10"/>
      <c r="S3804" s="10" t="s">
        <v>53</v>
      </c>
      <c r="T3804" s="10" t="s">
        <v>54</v>
      </c>
    </row>
    <row r="3805" spans="1:20" ht="14.5" x14ac:dyDescent="0.35">
      <c r="A3805" s="10" t="s">
        <v>22323</v>
      </c>
      <c r="B3805" s="10" t="str">
        <f>"9781412955225"</f>
        <v>9781412955225</v>
      </c>
      <c r="C3805" s="10" t="str">
        <f>"9781452212906"</f>
        <v>9781452212906</v>
      </c>
      <c r="D3805" s="10" t="s">
        <v>22210</v>
      </c>
      <c r="E3805" s="10" t="s">
        <v>22214</v>
      </c>
      <c r="F3805" s="10" t="s">
        <v>333</v>
      </c>
      <c r="G3805" s="10" t="s">
        <v>6317</v>
      </c>
      <c r="H3805" s="11">
        <v>40290</v>
      </c>
      <c r="I3805" s="10">
        <v>2011</v>
      </c>
      <c r="J3805" s="10" t="s">
        <v>22214</v>
      </c>
      <c r="K3805" s="10">
        <v>289</v>
      </c>
      <c r="L3805" s="10" t="s">
        <v>22324</v>
      </c>
      <c r="M3805" s="10">
        <v>1</v>
      </c>
      <c r="N3805" s="10"/>
      <c r="O3805" s="10"/>
      <c r="P3805" s="10"/>
      <c r="Q3805" s="10" t="s">
        <v>22325</v>
      </c>
      <c r="R3805" s="10"/>
      <c r="S3805" s="10" t="s">
        <v>53</v>
      </c>
      <c r="T3805" s="10" t="s">
        <v>1166</v>
      </c>
    </row>
    <row r="3806" spans="1:20" ht="14.5" x14ac:dyDescent="0.35">
      <c r="A3806" s="10" t="s">
        <v>22326</v>
      </c>
      <c r="B3806" s="10" t="str">
        <f>"9781412962957"</f>
        <v>9781412962957</v>
      </c>
      <c r="C3806" s="10" t="str">
        <f>"9781452210384"</f>
        <v>9781452210384</v>
      </c>
      <c r="D3806" s="10" t="s">
        <v>22210</v>
      </c>
      <c r="E3806" s="10" t="s">
        <v>22211</v>
      </c>
      <c r="F3806" s="10" t="s">
        <v>333</v>
      </c>
      <c r="G3806" s="10" t="s">
        <v>6317</v>
      </c>
      <c r="H3806" s="11">
        <v>39874</v>
      </c>
      <c r="I3806" s="10">
        <v>2009</v>
      </c>
      <c r="J3806" s="10" t="s">
        <v>22211</v>
      </c>
      <c r="K3806" s="10">
        <v>185</v>
      </c>
      <c r="L3806" s="10" t="s">
        <v>22327</v>
      </c>
      <c r="M3806" s="10">
        <v>1</v>
      </c>
      <c r="N3806" s="10"/>
      <c r="O3806" s="10"/>
      <c r="P3806" s="10"/>
      <c r="Q3806" s="10">
        <v>371.93</v>
      </c>
      <c r="R3806" s="10"/>
      <c r="S3806" s="10" t="s">
        <v>53</v>
      </c>
      <c r="T3806" s="10" t="s">
        <v>54</v>
      </c>
    </row>
    <row r="3807" spans="1:20" ht="14.5" x14ac:dyDescent="0.35">
      <c r="A3807" s="10" t="s">
        <v>22328</v>
      </c>
      <c r="B3807" s="10" t="str">
        <f>"9781412914208"</f>
        <v>9781412914208</v>
      </c>
      <c r="C3807" s="10" t="str">
        <f>"9781452222561"</f>
        <v>9781452222561</v>
      </c>
      <c r="D3807" s="10" t="s">
        <v>22210</v>
      </c>
      <c r="E3807" s="10" t="s">
        <v>22214</v>
      </c>
      <c r="F3807" s="10" t="s">
        <v>333</v>
      </c>
      <c r="G3807" s="10" t="s">
        <v>6317</v>
      </c>
      <c r="H3807" s="11">
        <v>39100</v>
      </c>
      <c r="I3807" s="10">
        <v>2007</v>
      </c>
      <c r="J3807" s="10" t="s">
        <v>22214</v>
      </c>
      <c r="K3807" s="10">
        <v>497</v>
      </c>
      <c r="L3807" s="10" t="s">
        <v>22329</v>
      </c>
      <c r="M3807" s="10">
        <v>1</v>
      </c>
      <c r="N3807" s="10"/>
      <c r="O3807" s="10"/>
      <c r="P3807" s="10" t="s">
        <v>22330</v>
      </c>
      <c r="Q3807" s="10">
        <v>370.97300000000001</v>
      </c>
      <c r="R3807" s="10"/>
      <c r="S3807" s="10" t="s">
        <v>53</v>
      </c>
      <c r="T3807" s="10" t="s">
        <v>54</v>
      </c>
    </row>
    <row r="3808" spans="1:20" ht="14.5" x14ac:dyDescent="0.35">
      <c r="A3808" s="10" t="s">
        <v>22331</v>
      </c>
      <c r="B3808" s="10" t="str">
        <f>"9781412916356"</f>
        <v>9781412916356</v>
      </c>
      <c r="C3808" s="10" t="str">
        <f>"9781452222622"</f>
        <v>9781452222622</v>
      </c>
      <c r="D3808" s="10" t="s">
        <v>22210</v>
      </c>
      <c r="E3808" s="10" t="s">
        <v>22214</v>
      </c>
      <c r="F3808" s="10" t="s">
        <v>333</v>
      </c>
      <c r="G3808" s="10" t="s">
        <v>6317</v>
      </c>
      <c r="H3808" s="11">
        <v>38723</v>
      </c>
      <c r="I3808" s="10">
        <v>2006</v>
      </c>
      <c r="J3808" s="10" t="s">
        <v>22214</v>
      </c>
      <c r="K3808" s="10">
        <v>321</v>
      </c>
      <c r="L3808" s="10" t="s">
        <v>22332</v>
      </c>
      <c r="M3808" s="10">
        <v>1</v>
      </c>
      <c r="N3808" s="10"/>
      <c r="O3808" s="10"/>
      <c r="P3808" s="10">
        <v>2005020169</v>
      </c>
      <c r="Q3808" s="10" t="s">
        <v>11202</v>
      </c>
      <c r="R3808" s="10"/>
      <c r="S3808" s="10" t="s">
        <v>53</v>
      </c>
      <c r="T3808" s="10" t="s">
        <v>54</v>
      </c>
    </row>
    <row r="3809" spans="1:20" ht="14.5" x14ac:dyDescent="0.35">
      <c r="A3809" s="10" t="s">
        <v>22333</v>
      </c>
      <c r="B3809" s="10" t="str">
        <f>"9781412974318"</f>
        <v>9781412974318</v>
      </c>
      <c r="C3809" s="10" t="str">
        <f>"9781452223254"</f>
        <v>9781452223254</v>
      </c>
      <c r="D3809" s="10" t="s">
        <v>22210</v>
      </c>
      <c r="E3809" s="10" t="s">
        <v>22211</v>
      </c>
      <c r="F3809" s="10" t="s">
        <v>333</v>
      </c>
      <c r="G3809" s="10" t="s">
        <v>6317</v>
      </c>
      <c r="H3809" s="11">
        <v>40640</v>
      </c>
      <c r="I3809" s="10">
        <v>2011</v>
      </c>
      <c r="J3809" s="10" t="s">
        <v>22211</v>
      </c>
      <c r="K3809" s="10">
        <v>329</v>
      </c>
      <c r="L3809" s="10" t="s">
        <v>22334</v>
      </c>
      <c r="M3809" s="10">
        <v>1</v>
      </c>
      <c r="N3809" s="10"/>
      <c r="O3809" s="10"/>
      <c r="P3809" s="10"/>
      <c r="Q3809" s="10" t="s">
        <v>8115</v>
      </c>
      <c r="R3809" s="10"/>
      <c r="S3809" s="10" t="s">
        <v>53</v>
      </c>
      <c r="T3809" s="10" t="s">
        <v>6363</v>
      </c>
    </row>
    <row r="3810" spans="1:20" ht="14.5" x14ac:dyDescent="0.35">
      <c r="A3810" s="10" t="s">
        <v>22335</v>
      </c>
      <c r="B3810" s="10" t="str">
        <f>"9781412961110"</f>
        <v>9781412961110</v>
      </c>
      <c r="C3810" s="10" t="str">
        <f>"9781452223223"</f>
        <v>9781452223223</v>
      </c>
      <c r="D3810" s="10" t="s">
        <v>22210</v>
      </c>
      <c r="E3810" s="10" t="s">
        <v>22211</v>
      </c>
      <c r="F3810" s="10" t="s">
        <v>333</v>
      </c>
      <c r="G3810" s="10" t="s">
        <v>6317</v>
      </c>
      <c r="H3810" s="11">
        <v>40469</v>
      </c>
      <c r="I3810" s="10">
        <v>2011</v>
      </c>
      <c r="J3810" s="10" t="s">
        <v>22211</v>
      </c>
      <c r="K3810" s="10">
        <v>201</v>
      </c>
      <c r="L3810" s="10" t="s">
        <v>22336</v>
      </c>
      <c r="M3810" s="10">
        <v>1</v>
      </c>
      <c r="N3810" s="10"/>
      <c r="O3810" s="10"/>
      <c r="P3810" s="10"/>
      <c r="Q3810" s="10"/>
      <c r="R3810" s="10"/>
      <c r="S3810" s="10" t="s">
        <v>53</v>
      </c>
      <c r="T3810" s="10" t="s">
        <v>54</v>
      </c>
    </row>
    <row r="3811" spans="1:20" ht="14.5" x14ac:dyDescent="0.35">
      <c r="A3811" s="10" t="s">
        <v>22337</v>
      </c>
      <c r="B3811" s="10" t="str">
        <f>"9781412988964"</f>
        <v>9781412988964</v>
      </c>
      <c r="C3811" s="10" t="str">
        <f>"9781452224329"</f>
        <v>9781452224329</v>
      </c>
      <c r="D3811" s="10" t="s">
        <v>22210</v>
      </c>
      <c r="E3811" s="10" t="s">
        <v>22211</v>
      </c>
      <c r="F3811" s="10" t="s">
        <v>333</v>
      </c>
      <c r="G3811" s="10" t="s">
        <v>6317</v>
      </c>
      <c r="H3811" s="11">
        <v>40492</v>
      </c>
      <c r="I3811" s="10">
        <v>2011</v>
      </c>
      <c r="J3811" s="10" t="s">
        <v>22211</v>
      </c>
      <c r="K3811" s="10">
        <v>329</v>
      </c>
      <c r="L3811" s="10" t="s">
        <v>22338</v>
      </c>
      <c r="M3811" s="10">
        <v>1</v>
      </c>
      <c r="N3811" s="10"/>
      <c r="O3811" s="10"/>
      <c r="P3811" s="10"/>
      <c r="Q3811" s="10" t="s">
        <v>12010</v>
      </c>
      <c r="R3811" s="10"/>
      <c r="S3811" s="10" t="s">
        <v>53</v>
      </c>
      <c r="T3811" s="10" t="s">
        <v>54</v>
      </c>
    </row>
    <row r="3812" spans="1:20" ht="14.5" x14ac:dyDescent="0.35">
      <c r="A3812" s="10" t="s">
        <v>22339</v>
      </c>
      <c r="B3812" s="10" t="str">
        <f>"9781412975254"</f>
        <v>9781412975254</v>
      </c>
      <c r="C3812" s="10" t="str">
        <f>"9781452223636"</f>
        <v>9781452223636</v>
      </c>
      <c r="D3812" s="10" t="s">
        <v>22210</v>
      </c>
      <c r="E3812" s="10" t="s">
        <v>22214</v>
      </c>
      <c r="F3812" s="10" t="s">
        <v>333</v>
      </c>
      <c r="G3812" s="10" t="s">
        <v>6317</v>
      </c>
      <c r="H3812" s="11">
        <v>40668</v>
      </c>
      <c r="I3812" s="10">
        <v>2012</v>
      </c>
      <c r="J3812" s="10" t="s">
        <v>22214</v>
      </c>
      <c r="K3812" s="10">
        <v>249</v>
      </c>
      <c r="L3812" s="10" t="s">
        <v>22340</v>
      </c>
      <c r="M3812" s="10">
        <v>1</v>
      </c>
      <c r="N3812" s="10"/>
      <c r="O3812" s="10"/>
      <c r="P3812" s="10"/>
      <c r="Q3812" s="10" t="s">
        <v>19565</v>
      </c>
      <c r="R3812" s="10"/>
      <c r="S3812" s="10" t="s">
        <v>53</v>
      </c>
      <c r="T3812" s="10" t="s">
        <v>54</v>
      </c>
    </row>
    <row r="3813" spans="1:20" ht="14.5" x14ac:dyDescent="0.35">
      <c r="A3813" s="10" t="s">
        <v>22341</v>
      </c>
      <c r="B3813" s="10" t="str">
        <f>"9781412913669"</f>
        <v>9781412913669</v>
      </c>
      <c r="C3813" s="10" t="str">
        <f>"9781452222400"</f>
        <v>9781452222400</v>
      </c>
      <c r="D3813" s="10" t="s">
        <v>22210</v>
      </c>
      <c r="E3813" s="10" t="s">
        <v>22214</v>
      </c>
      <c r="F3813" s="10" t="s">
        <v>333</v>
      </c>
      <c r="G3813" s="10" t="s">
        <v>6317</v>
      </c>
      <c r="H3813" s="11">
        <v>38441</v>
      </c>
      <c r="I3813" s="10">
        <v>2005</v>
      </c>
      <c r="J3813" s="10" t="s">
        <v>22214</v>
      </c>
      <c r="K3813" s="10">
        <v>281</v>
      </c>
      <c r="L3813" s="10" t="s">
        <v>22342</v>
      </c>
      <c r="M3813" s="10">
        <v>1</v>
      </c>
      <c r="N3813" s="10"/>
      <c r="O3813" s="10"/>
      <c r="P3813" s="10">
        <v>2004025365</v>
      </c>
      <c r="Q3813" s="10">
        <v>371.10199999999998</v>
      </c>
      <c r="R3813" s="10"/>
      <c r="S3813" s="10" t="s">
        <v>53</v>
      </c>
      <c r="T3813" s="10" t="s">
        <v>54</v>
      </c>
    </row>
    <row r="3814" spans="1:20" ht="14.5" x14ac:dyDescent="0.35">
      <c r="A3814" s="10" t="s">
        <v>22343</v>
      </c>
      <c r="B3814" s="10" t="str">
        <f>"9781412987028"</f>
        <v>9781412987028</v>
      </c>
      <c r="C3814" s="10" t="str">
        <f>"9781452224114"</f>
        <v>9781452224114</v>
      </c>
      <c r="D3814" s="10" t="s">
        <v>22210</v>
      </c>
      <c r="E3814" s="10" t="s">
        <v>22211</v>
      </c>
      <c r="F3814" s="10" t="s">
        <v>333</v>
      </c>
      <c r="G3814" s="10" t="s">
        <v>6317</v>
      </c>
      <c r="H3814" s="11">
        <v>40504</v>
      </c>
      <c r="I3814" s="10">
        <v>2011</v>
      </c>
      <c r="J3814" s="10" t="s">
        <v>22211</v>
      </c>
      <c r="K3814" s="10">
        <v>249</v>
      </c>
      <c r="L3814" s="10" t="s">
        <v>22344</v>
      </c>
      <c r="M3814" s="10">
        <v>2</v>
      </c>
      <c r="N3814" s="10"/>
      <c r="O3814" s="10"/>
      <c r="P3814" s="10"/>
      <c r="Q3814" s="10">
        <v>379.15800000000002</v>
      </c>
      <c r="R3814" s="10"/>
      <c r="S3814" s="10" t="s">
        <v>53</v>
      </c>
      <c r="T3814" s="10" t="s">
        <v>54</v>
      </c>
    </row>
    <row r="3815" spans="1:20" ht="14.5" x14ac:dyDescent="0.35">
      <c r="A3815" s="10" t="s">
        <v>22345</v>
      </c>
      <c r="B3815" s="10" t="str">
        <f>"9781412982474"</f>
        <v>9781412982474</v>
      </c>
      <c r="C3815" s="10" t="str">
        <f>"9781452223957"</f>
        <v>9781452223957</v>
      </c>
      <c r="D3815" s="10" t="s">
        <v>22210</v>
      </c>
      <c r="E3815" s="10" t="s">
        <v>22214</v>
      </c>
      <c r="F3815" s="10" t="s">
        <v>333</v>
      </c>
      <c r="G3815" s="10" t="s">
        <v>6317</v>
      </c>
      <c r="H3815" s="11">
        <v>40630</v>
      </c>
      <c r="I3815" s="10">
        <v>2012</v>
      </c>
      <c r="J3815" s="10" t="s">
        <v>22214</v>
      </c>
      <c r="K3815" s="10">
        <v>209</v>
      </c>
      <c r="L3815" s="10" t="s">
        <v>22346</v>
      </c>
      <c r="M3815" s="10">
        <v>1</v>
      </c>
      <c r="N3815" s="10"/>
      <c r="O3815" s="10"/>
      <c r="P3815" s="10" t="s">
        <v>22347</v>
      </c>
      <c r="Q3815" s="10" t="s">
        <v>16786</v>
      </c>
      <c r="R3815" s="10"/>
      <c r="S3815" s="10" t="s">
        <v>53</v>
      </c>
      <c r="T3815" s="10" t="s">
        <v>10411</v>
      </c>
    </row>
    <row r="3816" spans="1:20" ht="14.5" x14ac:dyDescent="0.35">
      <c r="A3816" s="10" t="s">
        <v>22348</v>
      </c>
      <c r="B3816" s="10" t="str">
        <f>"9781412987080"</f>
        <v>9781412987080</v>
      </c>
      <c r="C3816" s="10" t="str">
        <f>"9781452224138"</f>
        <v>9781452224138</v>
      </c>
      <c r="D3816" s="10" t="s">
        <v>22210</v>
      </c>
      <c r="E3816" s="10" t="s">
        <v>22214</v>
      </c>
      <c r="F3816" s="10" t="s">
        <v>333</v>
      </c>
      <c r="G3816" s="10" t="s">
        <v>6317</v>
      </c>
      <c r="H3816" s="11">
        <v>40665</v>
      </c>
      <c r="I3816" s="10">
        <v>2012</v>
      </c>
      <c r="J3816" s="10" t="s">
        <v>22214</v>
      </c>
      <c r="K3816" s="10">
        <v>337</v>
      </c>
      <c r="L3816" s="10" t="s">
        <v>22349</v>
      </c>
      <c r="M3816" s="10">
        <v>1</v>
      </c>
      <c r="N3816" s="10"/>
      <c r="O3816" s="10"/>
      <c r="P3816" s="10"/>
      <c r="Q3816" s="10">
        <v>372.6</v>
      </c>
      <c r="R3816" s="10"/>
      <c r="S3816" s="10" t="s">
        <v>53</v>
      </c>
      <c r="T3816" s="10" t="s">
        <v>54</v>
      </c>
    </row>
    <row r="3817" spans="1:20" ht="14.5" x14ac:dyDescent="0.35">
      <c r="A3817" s="10" t="s">
        <v>22350</v>
      </c>
      <c r="B3817" s="10" t="str">
        <f>"9781412971607"</f>
        <v>9781412971607</v>
      </c>
      <c r="C3817" s="10" t="str">
        <f>"9781452223445"</f>
        <v>9781452223445</v>
      </c>
      <c r="D3817" s="10" t="s">
        <v>22210</v>
      </c>
      <c r="E3817" s="10" t="s">
        <v>22211</v>
      </c>
      <c r="F3817" s="10" t="s">
        <v>333</v>
      </c>
      <c r="G3817" s="10" t="s">
        <v>6317</v>
      </c>
      <c r="H3817" s="11">
        <v>40473</v>
      </c>
      <c r="I3817" s="10">
        <v>2011</v>
      </c>
      <c r="J3817" s="10" t="s">
        <v>22211</v>
      </c>
      <c r="K3817" s="10">
        <v>177</v>
      </c>
      <c r="L3817" s="10" t="s">
        <v>22220</v>
      </c>
      <c r="M3817" s="10">
        <v>1</v>
      </c>
      <c r="N3817" s="10"/>
      <c r="O3817" s="10"/>
      <c r="P3817" s="10"/>
      <c r="Q3817" s="10">
        <v>371.82900000000001</v>
      </c>
      <c r="R3817" s="10"/>
      <c r="S3817" s="10" t="s">
        <v>53</v>
      </c>
      <c r="T3817" s="10" t="s">
        <v>54</v>
      </c>
    </row>
    <row r="3818" spans="1:20" ht="14.5" x14ac:dyDescent="0.35">
      <c r="A3818" s="10" t="s">
        <v>22351</v>
      </c>
      <c r="B3818" s="10" t="str">
        <f>"9781412975193"</f>
        <v>9781412975193</v>
      </c>
      <c r="C3818" s="10" t="str">
        <f>"9781452223582"</f>
        <v>9781452223582</v>
      </c>
      <c r="D3818" s="10" t="s">
        <v>22210</v>
      </c>
      <c r="E3818" s="10" t="s">
        <v>22214</v>
      </c>
      <c r="F3818" s="10" t="s">
        <v>333</v>
      </c>
      <c r="G3818" s="10" t="s">
        <v>6317</v>
      </c>
      <c r="H3818" s="11">
        <v>40324</v>
      </c>
      <c r="I3818" s="10">
        <v>2010</v>
      </c>
      <c r="J3818" s="10" t="s">
        <v>22214</v>
      </c>
      <c r="K3818" s="10">
        <v>161</v>
      </c>
      <c r="L3818" s="10" t="s">
        <v>22352</v>
      </c>
      <c r="M3818" s="10">
        <v>2</v>
      </c>
      <c r="N3818" s="10"/>
      <c r="O3818" s="10"/>
      <c r="P3818" s="10"/>
      <c r="Q3818" s="10" t="s">
        <v>8223</v>
      </c>
      <c r="R3818" s="10"/>
      <c r="S3818" s="10" t="s">
        <v>53</v>
      </c>
      <c r="T3818" s="10" t="s">
        <v>54</v>
      </c>
    </row>
    <row r="3819" spans="1:20" ht="14.5" x14ac:dyDescent="0.35">
      <c r="A3819" s="10" t="s">
        <v>22353</v>
      </c>
      <c r="B3819" s="10" t="str">
        <f>"9781412989190"</f>
        <v>9781412989190</v>
      </c>
      <c r="C3819" s="10" t="str">
        <f>"9781452224343"</f>
        <v>9781452224343</v>
      </c>
      <c r="D3819" s="10" t="s">
        <v>22210</v>
      </c>
      <c r="E3819" s="10" t="s">
        <v>22214</v>
      </c>
      <c r="F3819" s="10" t="s">
        <v>333</v>
      </c>
      <c r="G3819" s="10" t="s">
        <v>6317</v>
      </c>
      <c r="H3819" s="11">
        <v>40471</v>
      </c>
      <c r="I3819" s="10">
        <v>2011</v>
      </c>
      <c r="J3819" s="10" t="s">
        <v>22214</v>
      </c>
      <c r="K3819" s="10">
        <v>465</v>
      </c>
      <c r="L3819" s="10" t="s">
        <v>22354</v>
      </c>
      <c r="M3819" s="10">
        <v>1</v>
      </c>
      <c r="N3819" s="10"/>
      <c r="O3819" s="10"/>
      <c r="P3819" s="10"/>
      <c r="Q3819" s="10">
        <v>364.072</v>
      </c>
      <c r="R3819" s="10"/>
      <c r="S3819" s="10" t="s">
        <v>53</v>
      </c>
      <c r="T3819" s="10" t="s">
        <v>6363</v>
      </c>
    </row>
    <row r="3820" spans="1:20" ht="14.5" x14ac:dyDescent="0.35">
      <c r="A3820" s="10" t="s">
        <v>22355</v>
      </c>
      <c r="B3820" s="10" t="str">
        <f>"9781412992671"</f>
        <v>9781412992671</v>
      </c>
      <c r="C3820" s="10" t="str">
        <f>"9781452224503"</f>
        <v>9781452224503</v>
      </c>
      <c r="D3820" s="10" t="s">
        <v>22210</v>
      </c>
      <c r="E3820" s="10" t="s">
        <v>22211</v>
      </c>
      <c r="F3820" s="10" t="s">
        <v>333</v>
      </c>
      <c r="G3820" s="10" t="s">
        <v>6317</v>
      </c>
      <c r="H3820" s="11">
        <v>40640</v>
      </c>
      <c r="I3820" s="10">
        <v>2011</v>
      </c>
      <c r="J3820" s="10" t="s">
        <v>22211</v>
      </c>
      <c r="K3820" s="10">
        <v>201</v>
      </c>
      <c r="L3820" s="10" t="s">
        <v>22356</v>
      </c>
      <c r="M3820" s="10">
        <v>1</v>
      </c>
      <c r="N3820" s="10"/>
      <c r="O3820" s="10"/>
      <c r="P3820" s="10"/>
      <c r="Q3820" s="10" t="s">
        <v>8460</v>
      </c>
      <c r="R3820" s="10"/>
      <c r="S3820" s="10" t="s">
        <v>53</v>
      </c>
      <c r="T3820" s="10" t="s">
        <v>54</v>
      </c>
    </row>
    <row r="3821" spans="1:20" ht="14.5" x14ac:dyDescent="0.35">
      <c r="A3821" s="10" t="s">
        <v>22357</v>
      </c>
      <c r="B3821" s="10" t="str">
        <f>"9781412995276"</f>
        <v>9781412995276</v>
      </c>
      <c r="C3821" s="10" t="str">
        <f>"9781452224565"</f>
        <v>9781452224565</v>
      </c>
      <c r="D3821" s="10" t="s">
        <v>22210</v>
      </c>
      <c r="E3821" s="10" t="s">
        <v>22211</v>
      </c>
      <c r="F3821" s="10" t="s">
        <v>333</v>
      </c>
      <c r="G3821" s="10" t="s">
        <v>6317</v>
      </c>
      <c r="H3821" s="11">
        <v>40645</v>
      </c>
      <c r="I3821" s="10">
        <v>2011</v>
      </c>
      <c r="J3821" s="10" t="s">
        <v>22211</v>
      </c>
      <c r="K3821" s="10">
        <v>225</v>
      </c>
      <c r="L3821" s="10" t="s">
        <v>22358</v>
      </c>
      <c r="M3821" s="10">
        <v>1</v>
      </c>
      <c r="N3821" s="10"/>
      <c r="O3821" s="10"/>
      <c r="P3821" s="10"/>
      <c r="Q3821" s="10">
        <v>371.9</v>
      </c>
      <c r="R3821" s="10"/>
      <c r="S3821" s="10" t="s">
        <v>53</v>
      </c>
      <c r="T3821" s="10" t="s">
        <v>54</v>
      </c>
    </row>
    <row r="3822" spans="1:20" ht="14.5" x14ac:dyDescent="0.35">
      <c r="A3822" s="10" t="s">
        <v>22359</v>
      </c>
      <c r="B3822" s="10" t="str">
        <f>"9781412916868"</f>
        <v>9781412916868</v>
      </c>
      <c r="C3822" s="10" t="str">
        <f>"9781452222660"</f>
        <v>9781452222660</v>
      </c>
      <c r="D3822" s="10" t="s">
        <v>22210</v>
      </c>
      <c r="E3822" s="10" t="s">
        <v>22214</v>
      </c>
      <c r="F3822" s="10" t="s">
        <v>333</v>
      </c>
      <c r="G3822" s="10" t="s">
        <v>6317</v>
      </c>
      <c r="H3822" s="11">
        <v>38995</v>
      </c>
      <c r="I3822" s="10">
        <v>2007</v>
      </c>
      <c r="J3822" s="10" t="s">
        <v>22214</v>
      </c>
      <c r="K3822" s="10">
        <v>265</v>
      </c>
      <c r="L3822" s="10" t="s">
        <v>22360</v>
      </c>
      <c r="M3822" s="10">
        <v>1</v>
      </c>
      <c r="N3822" s="10"/>
      <c r="O3822" s="10"/>
      <c r="P3822" s="10"/>
      <c r="Q3822" s="10">
        <v>371.2</v>
      </c>
      <c r="R3822" s="10"/>
      <c r="S3822" s="10" t="s">
        <v>53</v>
      </c>
      <c r="T3822" s="10" t="s">
        <v>54</v>
      </c>
    </row>
    <row r="3823" spans="1:20" ht="14.5" x14ac:dyDescent="0.35">
      <c r="A3823" s="10" t="s">
        <v>22361</v>
      </c>
      <c r="B3823" s="10" t="str">
        <f>"9781412905824"</f>
        <v>9781412905824</v>
      </c>
      <c r="C3823" s="10" t="str">
        <f>"9781452222349"</f>
        <v>9781452222349</v>
      </c>
      <c r="D3823" s="10" t="s">
        <v>22210</v>
      </c>
      <c r="E3823" s="10" t="s">
        <v>22214</v>
      </c>
      <c r="F3823" s="10" t="s">
        <v>333</v>
      </c>
      <c r="G3823" s="10" t="s">
        <v>6317</v>
      </c>
      <c r="H3823" s="11">
        <v>38434</v>
      </c>
      <c r="I3823" s="10">
        <v>2005</v>
      </c>
      <c r="J3823" s="10" t="s">
        <v>22214</v>
      </c>
      <c r="K3823" s="10">
        <v>337</v>
      </c>
      <c r="L3823" s="10" t="s">
        <v>22362</v>
      </c>
      <c r="M3823" s="10">
        <v>1</v>
      </c>
      <c r="N3823" s="10"/>
      <c r="O3823" s="10"/>
      <c r="P3823" s="10">
        <v>2004025360</v>
      </c>
      <c r="Q3823" s="10">
        <v>370.11700000000002</v>
      </c>
      <c r="R3823" s="10"/>
      <c r="S3823" s="10" t="s">
        <v>53</v>
      </c>
      <c r="T3823" s="10" t="s">
        <v>54</v>
      </c>
    </row>
    <row r="3824" spans="1:20" ht="14.5" x14ac:dyDescent="0.35">
      <c r="A3824" s="10" t="s">
        <v>22363</v>
      </c>
      <c r="B3824" s="10" t="str">
        <f>"9781412986632"</f>
        <v>9781412986632</v>
      </c>
      <c r="C3824" s="10" t="str">
        <f>"9781452224145"</f>
        <v>9781452224145</v>
      </c>
      <c r="D3824" s="10" t="s">
        <v>22210</v>
      </c>
      <c r="E3824" s="10" t="s">
        <v>22211</v>
      </c>
      <c r="F3824" s="10" t="s">
        <v>333</v>
      </c>
      <c r="G3824" s="10" t="s">
        <v>6317</v>
      </c>
      <c r="H3824" s="11">
        <v>40554</v>
      </c>
      <c r="I3824" s="10">
        <v>2011</v>
      </c>
      <c r="J3824" s="10" t="s">
        <v>22211</v>
      </c>
      <c r="K3824" s="10">
        <v>209</v>
      </c>
      <c r="L3824" s="10" t="s">
        <v>22364</v>
      </c>
      <c r="M3824" s="10">
        <v>1</v>
      </c>
      <c r="N3824" s="10"/>
      <c r="O3824" s="10"/>
      <c r="P3824" s="10"/>
      <c r="Q3824" s="10" t="s">
        <v>9491</v>
      </c>
      <c r="R3824" s="10"/>
      <c r="S3824" s="10" t="s">
        <v>53</v>
      </c>
      <c r="T3824" s="10" t="s">
        <v>54</v>
      </c>
    </row>
    <row r="3825" spans="1:20" ht="14.5" x14ac:dyDescent="0.35">
      <c r="A3825" s="10" t="s">
        <v>22365</v>
      </c>
      <c r="B3825" s="10" t="str">
        <f>"9781412941174"</f>
        <v>9781412941174</v>
      </c>
      <c r="C3825" s="10" t="str">
        <f>"9781452222950"</f>
        <v>9781452222950</v>
      </c>
      <c r="D3825" s="10" t="s">
        <v>22210</v>
      </c>
      <c r="E3825" s="10" t="s">
        <v>22214</v>
      </c>
      <c r="F3825" s="10" t="s">
        <v>333</v>
      </c>
      <c r="G3825" s="10" t="s">
        <v>6317</v>
      </c>
      <c r="H3825" s="11">
        <v>39100</v>
      </c>
      <c r="I3825" s="10">
        <v>2007</v>
      </c>
      <c r="J3825" s="10" t="s">
        <v>22214</v>
      </c>
      <c r="K3825" s="10">
        <v>161</v>
      </c>
      <c r="L3825" s="10" t="s">
        <v>22366</v>
      </c>
      <c r="M3825" s="10">
        <v>1</v>
      </c>
      <c r="N3825" s="10"/>
      <c r="O3825" s="10"/>
      <c r="P3825" s="10"/>
      <c r="Q3825" s="10" t="s">
        <v>9527</v>
      </c>
      <c r="R3825" s="10"/>
      <c r="S3825" s="10" t="s">
        <v>53</v>
      </c>
      <c r="T3825" s="10" t="s">
        <v>6363</v>
      </c>
    </row>
    <row r="3826" spans="1:20" ht="14.5" x14ac:dyDescent="0.35">
      <c r="A3826" s="10" t="s">
        <v>22367</v>
      </c>
      <c r="B3826" s="10" t="str">
        <f>"9781412979016"</f>
        <v>9781412979016</v>
      </c>
      <c r="C3826" s="10" t="str">
        <f>"9781452223537"</f>
        <v>9781452223537</v>
      </c>
      <c r="D3826" s="10" t="s">
        <v>22210</v>
      </c>
      <c r="E3826" s="10" t="s">
        <v>22214</v>
      </c>
      <c r="F3826" s="10" t="s">
        <v>333</v>
      </c>
      <c r="G3826" s="10" t="s">
        <v>6317</v>
      </c>
      <c r="H3826" s="11">
        <v>40520</v>
      </c>
      <c r="I3826" s="10">
        <v>2011</v>
      </c>
      <c r="J3826" s="10" t="s">
        <v>22214</v>
      </c>
      <c r="K3826" s="10">
        <v>305</v>
      </c>
      <c r="L3826" s="10" t="s">
        <v>22368</v>
      </c>
      <c r="M3826" s="10">
        <v>1</v>
      </c>
      <c r="N3826" s="10"/>
      <c r="O3826" s="10"/>
      <c r="P3826" s="10"/>
      <c r="Q3826" s="10"/>
      <c r="R3826" s="10"/>
      <c r="S3826" s="10" t="s">
        <v>53</v>
      </c>
      <c r="T3826" s="10" t="s">
        <v>54</v>
      </c>
    </row>
    <row r="3827" spans="1:20" ht="14.5" x14ac:dyDescent="0.35">
      <c r="A3827" s="10" t="s">
        <v>22369</v>
      </c>
      <c r="B3827" s="10" t="str">
        <f>"9781412995269"</f>
        <v>9781412995269</v>
      </c>
      <c r="C3827" s="10" t="str">
        <f>"9781452224572"</f>
        <v>9781452224572</v>
      </c>
      <c r="D3827" s="10" t="s">
        <v>22210</v>
      </c>
      <c r="E3827" s="10" t="s">
        <v>22211</v>
      </c>
      <c r="F3827" s="10" t="s">
        <v>333</v>
      </c>
      <c r="G3827" s="10" t="s">
        <v>6317</v>
      </c>
      <c r="H3827" s="11">
        <v>40604</v>
      </c>
      <c r="I3827" s="10">
        <v>2011</v>
      </c>
      <c r="J3827" s="10" t="s">
        <v>22211</v>
      </c>
      <c r="K3827" s="10">
        <v>217</v>
      </c>
      <c r="L3827" s="10" t="s">
        <v>22358</v>
      </c>
      <c r="M3827" s="10">
        <v>1</v>
      </c>
      <c r="N3827" s="10"/>
      <c r="O3827" s="10"/>
      <c r="P3827" s="10"/>
      <c r="Q3827" s="10"/>
      <c r="R3827" s="10"/>
      <c r="S3827" s="10" t="s">
        <v>53</v>
      </c>
      <c r="T3827" s="10" t="s">
        <v>54</v>
      </c>
    </row>
    <row r="3828" spans="1:20" ht="14.5" x14ac:dyDescent="0.35">
      <c r="A3828" s="10" t="s">
        <v>22370</v>
      </c>
      <c r="B3828" s="10" t="str">
        <f>"9781412904896"</f>
        <v>9781412904896</v>
      </c>
      <c r="C3828" s="10" t="str">
        <f>"9781452222332"</f>
        <v>9781452222332</v>
      </c>
      <c r="D3828" s="10" t="s">
        <v>22210</v>
      </c>
      <c r="E3828" s="10" t="s">
        <v>22214</v>
      </c>
      <c r="F3828" s="10" t="s">
        <v>333</v>
      </c>
      <c r="G3828" s="10" t="s">
        <v>6317</v>
      </c>
      <c r="H3828" s="11">
        <v>38336</v>
      </c>
      <c r="I3828" s="10">
        <v>2005</v>
      </c>
      <c r="J3828" s="10" t="s">
        <v>22214</v>
      </c>
      <c r="K3828" s="10">
        <v>289</v>
      </c>
      <c r="L3828" s="10" t="s">
        <v>22371</v>
      </c>
      <c r="M3828" s="10">
        <v>1</v>
      </c>
      <c r="N3828" s="10"/>
      <c r="O3828" s="10"/>
      <c r="P3828" s="10"/>
      <c r="Q3828" s="10" t="s">
        <v>10489</v>
      </c>
      <c r="R3828" s="10"/>
      <c r="S3828" s="10" t="s">
        <v>53</v>
      </c>
      <c r="T3828" s="10" t="s">
        <v>54</v>
      </c>
    </row>
    <row r="3829" spans="1:20" ht="14.5" x14ac:dyDescent="0.35">
      <c r="A3829" s="10" t="s">
        <v>22372</v>
      </c>
      <c r="B3829" s="10" t="str">
        <f>"9781412989503"</f>
        <v>9781412989503</v>
      </c>
      <c r="C3829" s="10" t="str">
        <f>"9781452224268"</f>
        <v>9781452224268</v>
      </c>
      <c r="D3829" s="10" t="s">
        <v>22210</v>
      </c>
      <c r="E3829" s="10" t="s">
        <v>22211</v>
      </c>
      <c r="F3829" s="10" t="s">
        <v>333</v>
      </c>
      <c r="G3829" s="10" t="s">
        <v>6317</v>
      </c>
      <c r="H3829" s="11">
        <v>40505</v>
      </c>
      <c r="I3829" s="10">
        <v>2011</v>
      </c>
      <c r="J3829" s="10" t="s">
        <v>22211</v>
      </c>
      <c r="K3829" s="10">
        <v>305</v>
      </c>
      <c r="L3829" s="10" t="s">
        <v>22373</v>
      </c>
      <c r="M3829" s="10">
        <v>1</v>
      </c>
      <c r="N3829" s="10"/>
      <c r="O3829" s="10"/>
      <c r="P3829" s="10"/>
      <c r="Q3829" s="10" t="s">
        <v>8460</v>
      </c>
      <c r="R3829" s="10"/>
      <c r="S3829" s="10" t="s">
        <v>53</v>
      </c>
      <c r="T3829" s="10" t="s">
        <v>54</v>
      </c>
    </row>
    <row r="3830" spans="1:20" ht="14.5" x14ac:dyDescent="0.35">
      <c r="A3830" s="10" t="s">
        <v>22374</v>
      </c>
      <c r="B3830" s="10" t="str">
        <f>"9781412971447"</f>
        <v>9781412971447</v>
      </c>
      <c r="C3830" s="10" t="str">
        <f>"9781452223469"</f>
        <v>9781452223469</v>
      </c>
      <c r="D3830" s="10" t="s">
        <v>22210</v>
      </c>
      <c r="E3830" s="10" t="s">
        <v>22211</v>
      </c>
      <c r="F3830" s="10" t="s">
        <v>333</v>
      </c>
      <c r="G3830" s="10" t="s">
        <v>6317</v>
      </c>
      <c r="H3830" s="11">
        <v>40421</v>
      </c>
      <c r="I3830" s="10">
        <v>2010</v>
      </c>
      <c r="J3830" s="10" t="s">
        <v>22211</v>
      </c>
      <c r="K3830" s="10">
        <v>257</v>
      </c>
      <c r="L3830" s="10" t="s">
        <v>22375</v>
      </c>
      <c r="M3830" s="10">
        <v>1</v>
      </c>
      <c r="N3830" s="10"/>
      <c r="O3830" s="10"/>
      <c r="P3830" s="10"/>
      <c r="Q3830" s="10" t="s">
        <v>8748</v>
      </c>
      <c r="R3830" s="10"/>
      <c r="S3830" s="10" t="s">
        <v>53</v>
      </c>
      <c r="T3830" s="10" t="s">
        <v>54</v>
      </c>
    </row>
    <row r="3831" spans="1:20" ht="14.5" x14ac:dyDescent="0.35">
      <c r="A3831" s="10" t="s">
        <v>22376</v>
      </c>
      <c r="B3831" s="10" t="str">
        <f>"9781412974936"</f>
        <v>9781412974936</v>
      </c>
      <c r="C3831" s="10" t="str">
        <f>"9781452223667"</f>
        <v>9781452223667</v>
      </c>
      <c r="D3831" s="10" t="s">
        <v>22210</v>
      </c>
      <c r="E3831" s="10" t="s">
        <v>22214</v>
      </c>
      <c r="F3831" s="10" t="s">
        <v>333</v>
      </c>
      <c r="G3831" s="10" t="s">
        <v>6317</v>
      </c>
      <c r="H3831" s="11">
        <v>40555</v>
      </c>
      <c r="I3831" s="10">
        <v>2012</v>
      </c>
      <c r="J3831" s="10" t="s">
        <v>22214</v>
      </c>
      <c r="K3831" s="10">
        <v>353</v>
      </c>
      <c r="L3831" s="10" t="s">
        <v>22377</v>
      </c>
      <c r="M3831" s="10">
        <v>1</v>
      </c>
      <c r="N3831" s="10"/>
      <c r="O3831" s="10"/>
      <c r="P3831" s="10"/>
      <c r="Q3831" s="10"/>
      <c r="R3831" s="10"/>
      <c r="S3831" s="10" t="s">
        <v>53</v>
      </c>
      <c r="T3831" s="10" t="s">
        <v>54</v>
      </c>
    </row>
    <row r="3832" spans="1:20" ht="14.5" x14ac:dyDescent="0.35">
      <c r="A3832" s="10" t="s">
        <v>22378</v>
      </c>
      <c r="B3832" s="10" t="str">
        <f>"9780761907442"</f>
        <v>9780761907442</v>
      </c>
      <c r="C3832" s="10" t="str">
        <f>"9781452221519"</f>
        <v>9781452221519</v>
      </c>
      <c r="D3832" s="10" t="s">
        <v>22210</v>
      </c>
      <c r="E3832" s="10" t="s">
        <v>22214</v>
      </c>
      <c r="F3832" s="10" t="s">
        <v>333</v>
      </c>
      <c r="G3832" s="10" t="s">
        <v>6317</v>
      </c>
      <c r="H3832" s="11">
        <v>36444</v>
      </c>
      <c r="I3832" s="10">
        <v>1999</v>
      </c>
      <c r="J3832" s="10" t="s">
        <v>22214</v>
      </c>
      <c r="K3832" s="10">
        <v>143</v>
      </c>
      <c r="L3832" s="10" t="s">
        <v>22379</v>
      </c>
      <c r="M3832" s="10">
        <v>1</v>
      </c>
      <c r="N3832" s="10"/>
      <c r="O3832" s="10"/>
      <c r="P3832" s="10">
        <v>98040297</v>
      </c>
      <c r="Q3832" s="10" t="s">
        <v>9491</v>
      </c>
      <c r="R3832" s="10"/>
      <c r="S3832" s="10" t="s">
        <v>53</v>
      </c>
      <c r="T3832" s="10" t="s">
        <v>54</v>
      </c>
    </row>
    <row r="3833" spans="1:20" ht="14.5" x14ac:dyDescent="0.35">
      <c r="A3833" s="10" t="s">
        <v>22380</v>
      </c>
      <c r="B3833" s="10" t="str">
        <f>"9781412994309"</f>
        <v>9781412994309</v>
      </c>
      <c r="C3833" s="10" t="str">
        <f>"9781452224473"</f>
        <v>9781452224473</v>
      </c>
      <c r="D3833" s="10" t="s">
        <v>22210</v>
      </c>
      <c r="E3833" s="10" t="s">
        <v>22211</v>
      </c>
      <c r="F3833" s="10" t="s">
        <v>333</v>
      </c>
      <c r="G3833" s="10" t="s">
        <v>6317</v>
      </c>
      <c r="H3833" s="11">
        <v>40505</v>
      </c>
      <c r="I3833" s="10">
        <v>2011</v>
      </c>
      <c r="J3833" s="10" t="s">
        <v>22211</v>
      </c>
      <c r="K3833" s="10">
        <v>337</v>
      </c>
      <c r="L3833" s="10" t="s">
        <v>22381</v>
      </c>
      <c r="M3833" s="10">
        <v>1</v>
      </c>
      <c r="N3833" s="10"/>
      <c r="O3833" s="10"/>
      <c r="P3833" s="10"/>
      <c r="Q3833" s="10" t="s">
        <v>22382</v>
      </c>
      <c r="R3833" s="10"/>
      <c r="S3833" s="10" t="s">
        <v>53</v>
      </c>
      <c r="T3833" s="10" t="s">
        <v>54</v>
      </c>
    </row>
    <row r="3834" spans="1:20" ht="14.5" x14ac:dyDescent="0.35">
      <c r="A3834" s="10" t="s">
        <v>22383</v>
      </c>
      <c r="B3834" s="10" t="str">
        <f>"9781412909907"</f>
        <v>9781412909907</v>
      </c>
      <c r="C3834" s="10" t="str">
        <f>"9781452208855"</f>
        <v>9781452208855</v>
      </c>
      <c r="D3834" s="10" t="s">
        <v>22210</v>
      </c>
      <c r="E3834" s="10" t="s">
        <v>22214</v>
      </c>
      <c r="F3834" s="10" t="s">
        <v>333</v>
      </c>
      <c r="G3834" s="10" t="s">
        <v>6317</v>
      </c>
      <c r="H3834" s="11">
        <v>39374</v>
      </c>
      <c r="I3834" s="10">
        <v>2008</v>
      </c>
      <c r="J3834" s="10" t="s">
        <v>22214</v>
      </c>
      <c r="K3834" s="10">
        <v>625</v>
      </c>
      <c r="L3834" s="10" t="s">
        <v>22384</v>
      </c>
      <c r="M3834" s="10">
        <v>1</v>
      </c>
      <c r="N3834" s="10"/>
      <c r="O3834" s="10"/>
      <c r="P3834" s="10" t="s">
        <v>22385</v>
      </c>
      <c r="Q3834" s="10" t="s">
        <v>9360</v>
      </c>
      <c r="R3834" s="10" t="s">
        <v>22386</v>
      </c>
      <c r="S3834" s="10" t="s">
        <v>53</v>
      </c>
      <c r="T3834" s="10" t="s">
        <v>54</v>
      </c>
    </row>
    <row r="3835" spans="1:20" ht="14.5" x14ac:dyDescent="0.35">
      <c r="A3835" s="10" t="s">
        <v>22387</v>
      </c>
      <c r="B3835" s="10" t="str">
        <f>"9780761909880"</f>
        <v>9780761909880</v>
      </c>
      <c r="C3835" s="10" t="str">
        <f>"9781452263403"</f>
        <v>9781452263403</v>
      </c>
      <c r="D3835" s="10" t="s">
        <v>22210</v>
      </c>
      <c r="E3835" s="10" t="s">
        <v>22214</v>
      </c>
      <c r="F3835" s="10" t="s">
        <v>333</v>
      </c>
      <c r="G3835" s="10" t="s">
        <v>6317</v>
      </c>
      <c r="H3835" s="11">
        <v>36222</v>
      </c>
      <c r="I3835" s="10">
        <v>1999</v>
      </c>
      <c r="J3835" s="10" t="s">
        <v>22214</v>
      </c>
      <c r="K3835" s="10">
        <v>193</v>
      </c>
      <c r="L3835" s="10" t="s">
        <v>22388</v>
      </c>
      <c r="M3835" s="10">
        <v>1</v>
      </c>
      <c r="N3835" s="10"/>
      <c r="O3835" s="10"/>
      <c r="P3835" s="10">
        <v>98040068</v>
      </c>
      <c r="Q3835" s="10" t="s">
        <v>7307</v>
      </c>
      <c r="R3835" s="10"/>
      <c r="S3835" s="10" t="s">
        <v>53</v>
      </c>
      <c r="T3835" s="10" t="s">
        <v>54</v>
      </c>
    </row>
    <row r="3836" spans="1:20" ht="14.5" x14ac:dyDescent="0.35">
      <c r="A3836" s="10" t="s">
        <v>22389</v>
      </c>
      <c r="B3836" s="10" t="str">
        <f>"9780761914419"</f>
        <v>9780761914419</v>
      </c>
      <c r="C3836" s="10" t="str">
        <f>"9781452262529"</f>
        <v>9781452262529</v>
      </c>
      <c r="D3836" s="10" t="s">
        <v>22210</v>
      </c>
      <c r="E3836" s="10" t="s">
        <v>22214</v>
      </c>
      <c r="F3836" s="10" t="s">
        <v>333</v>
      </c>
      <c r="G3836" s="10" t="s">
        <v>6317</v>
      </c>
      <c r="H3836" s="11">
        <v>36095</v>
      </c>
      <c r="I3836" s="10">
        <v>1998</v>
      </c>
      <c r="J3836" s="10" t="s">
        <v>22214</v>
      </c>
      <c r="K3836" s="10">
        <v>258</v>
      </c>
      <c r="L3836" s="10" t="s">
        <v>22390</v>
      </c>
      <c r="M3836" s="10">
        <v>1</v>
      </c>
      <c r="N3836" s="10"/>
      <c r="O3836" s="10"/>
      <c r="P3836" s="10"/>
      <c r="Q3836" s="10" t="s">
        <v>7762</v>
      </c>
      <c r="R3836" s="10"/>
      <c r="S3836" s="10" t="s">
        <v>53</v>
      </c>
      <c r="T3836" s="10" t="s">
        <v>54</v>
      </c>
    </row>
    <row r="3837" spans="1:20" ht="14.5" x14ac:dyDescent="0.35">
      <c r="A3837" s="10" t="s">
        <v>22391</v>
      </c>
      <c r="B3837" s="10" t="str">
        <f>"9781412975407"</f>
        <v>9781412975407</v>
      </c>
      <c r="C3837" s="10" t="str">
        <f>"9781452262079"</f>
        <v>9781452262079</v>
      </c>
      <c r="D3837" s="10" t="s">
        <v>22210</v>
      </c>
      <c r="E3837" s="10" t="s">
        <v>22211</v>
      </c>
      <c r="F3837" s="10" t="s">
        <v>333</v>
      </c>
      <c r="G3837" s="10" t="s">
        <v>6317</v>
      </c>
      <c r="H3837" s="11">
        <v>40135</v>
      </c>
      <c r="I3837" s="10">
        <v>2010</v>
      </c>
      <c r="J3837" s="10" t="s">
        <v>22211</v>
      </c>
      <c r="K3837" s="10">
        <v>217</v>
      </c>
      <c r="L3837" s="10" t="s">
        <v>22392</v>
      </c>
      <c r="M3837" s="10">
        <v>2</v>
      </c>
      <c r="N3837" s="10"/>
      <c r="O3837" s="10"/>
      <c r="P3837" s="10"/>
      <c r="Q3837" s="10">
        <v>371.2</v>
      </c>
      <c r="R3837" s="10"/>
      <c r="S3837" s="10" t="s">
        <v>53</v>
      </c>
      <c r="T3837" s="10" t="s">
        <v>54</v>
      </c>
    </row>
    <row r="3838" spans="1:20" ht="14.5" x14ac:dyDescent="0.35">
      <c r="A3838" s="10" t="s">
        <v>22393</v>
      </c>
      <c r="B3838" s="10" t="str">
        <f>"9781412992329"</f>
        <v>9781412992329</v>
      </c>
      <c r="C3838" s="10" t="str">
        <f>"9781452241807"</f>
        <v>9781452241807</v>
      </c>
      <c r="D3838" s="10" t="s">
        <v>22210</v>
      </c>
      <c r="E3838" s="10" t="s">
        <v>22214</v>
      </c>
      <c r="F3838" s="10" t="s">
        <v>333</v>
      </c>
      <c r="G3838" s="10" t="s">
        <v>6317</v>
      </c>
      <c r="H3838" s="11">
        <v>40969</v>
      </c>
      <c r="I3838" s="10">
        <v>2013</v>
      </c>
      <c r="J3838" s="10" t="s">
        <v>22214</v>
      </c>
      <c r="K3838" s="10">
        <v>417</v>
      </c>
      <c r="L3838" s="10" t="s">
        <v>22394</v>
      </c>
      <c r="M3838" s="10">
        <v>1</v>
      </c>
      <c r="N3838" s="10"/>
      <c r="O3838" s="10"/>
      <c r="P3838" s="10"/>
      <c r="Q3838" s="10"/>
      <c r="R3838" s="10"/>
      <c r="S3838" s="10" t="s">
        <v>53</v>
      </c>
      <c r="T3838" s="10" t="s">
        <v>54</v>
      </c>
    </row>
    <row r="3839" spans="1:20" ht="14.5" x14ac:dyDescent="0.35">
      <c r="A3839" s="10" t="s">
        <v>22395</v>
      </c>
      <c r="B3839" s="10" t="str">
        <f>"9780761928683"</f>
        <v>9780761928683</v>
      </c>
      <c r="C3839" s="10" t="str">
        <f>"9781452261935"</f>
        <v>9781452261935</v>
      </c>
      <c r="D3839" s="10" t="s">
        <v>22210</v>
      </c>
      <c r="E3839" s="10" t="s">
        <v>22214</v>
      </c>
      <c r="F3839" s="10" t="s">
        <v>333</v>
      </c>
      <c r="G3839" s="10" t="s">
        <v>6317</v>
      </c>
      <c r="H3839" s="11">
        <v>38761</v>
      </c>
      <c r="I3839" s="10">
        <v>2006</v>
      </c>
      <c r="J3839" s="10" t="s">
        <v>22214</v>
      </c>
      <c r="K3839" s="10">
        <v>481</v>
      </c>
      <c r="L3839" s="10" t="s">
        <v>22396</v>
      </c>
      <c r="M3839" s="10">
        <v>1</v>
      </c>
      <c r="N3839" s="10"/>
      <c r="O3839" s="10"/>
      <c r="P3839" s="10" t="s">
        <v>22397</v>
      </c>
      <c r="Q3839" s="10" t="s">
        <v>9360</v>
      </c>
      <c r="R3839" s="10"/>
      <c r="S3839" s="10" t="s">
        <v>53</v>
      </c>
      <c r="T3839" s="10" t="s">
        <v>54</v>
      </c>
    </row>
    <row r="3840" spans="1:20" ht="14.5" x14ac:dyDescent="0.35">
      <c r="A3840" s="10" t="s">
        <v>22398</v>
      </c>
      <c r="B3840" s="10" t="str">
        <f>"9781412981163"</f>
        <v>9781412981163</v>
      </c>
      <c r="C3840" s="10" t="str">
        <f>"9781452223964"</f>
        <v>9781452223964</v>
      </c>
      <c r="D3840" s="10" t="s">
        <v>22210</v>
      </c>
      <c r="E3840" s="10" t="s">
        <v>22211</v>
      </c>
      <c r="F3840" s="10" t="s">
        <v>333</v>
      </c>
      <c r="G3840" s="10" t="s">
        <v>6317</v>
      </c>
      <c r="H3840" s="11">
        <v>40673</v>
      </c>
      <c r="I3840" s="10">
        <v>2011</v>
      </c>
      <c r="J3840" s="10" t="s">
        <v>22211</v>
      </c>
      <c r="K3840" s="10">
        <v>161</v>
      </c>
      <c r="L3840" s="10" t="s">
        <v>22399</v>
      </c>
      <c r="M3840" s="10">
        <v>1</v>
      </c>
      <c r="N3840" s="10"/>
      <c r="O3840" s="10"/>
      <c r="P3840" s="10"/>
      <c r="Q3840" s="10">
        <v>370.1</v>
      </c>
      <c r="R3840" s="10"/>
      <c r="S3840" s="10" t="s">
        <v>53</v>
      </c>
      <c r="T3840" s="10" t="s">
        <v>54</v>
      </c>
    </row>
    <row r="3841" spans="1:20" ht="14.5" x14ac:dyDescent="0.35">
      <c r="A3841" s="10" t="s">
        <v>22400</v>
      </c>
      <c r="B3841" s="10" t="str">
        <f>"9781412937436"</f>
        <v>9781412937436</v>
      </c>
      <c r="C3841" s="10" t="str">
        <f>"9781452261836"</f>
        <v>9781452261836</v>
      </c>
      <c r="D3841" s="10" t="s">
        <v>22210</v>
      </c>
      <c r="E3841" s="10" t="s">
        <v>22214</v>
      </c>
      <c r="F3841" s="10" t="s">
        <v>333</v>
      </c>
      <c r="G3841" s="10" t="s">
        <v>6317</v>
      </c>
      <c r="H3841" s="11">
        <v>39646</v>
      </c>
      <c r="I3841" s="10">
        <v>2009</v>
      </c>
      <c r="J3841" s="10" t="s">
        <v>22214</v>
      </c>
      <c r="K3841" s="10">
        <v>585</v>
      </c>
      <c r="L3841" s="10" t="s">
        <v>22401</v>
      </c>
      <c r="M3841" s="10">
        <v>1</v>
      </c>
      <c r="N3841" s="10"/>
      <c r="O3841" s="10"/>
      <c r="P3841" s="10"/>
      <c r="Q3841" s="10" t="s">
        <v>14718</v>
      </c>
      <c r="R3841" s="10" t="s">
        <v>22402</v>
      </c>
      <c r="S3841" s="10" t="s">
        <v>53</v>
      </c>
      <c r="T3841" s="10" t="s">
        <v>54</v>
      </c>
    </row>
    <row r="3842" spans="1:20" ht="14.5" x14ac:dyDescent="0.35">
      <c r="A3842" s="10" t="s">
        <v>22403</v>
      </c>
      <c r="B3842" s="10" t="str">
        <f>"9781412905626"</f>
        <v>9781412905626</v>
      </c>
      <c r="C3842" s="10" t="str">
        <f>"9781452262352"</f>
        <v>9781452262352</v>
      </c>
      <c r="D3842" s="10" t="s">
        <v>22210</v>
      </c>
      <c r="E3842" s="10" t="s">
        <v>22214</v>
      </c>
      <c r="F3842" s="10" t="s">
        <v>333</v>
      </c>
      <c r="G3842" s="10" t="s">
        <v>6317</v>
      </c>
      <c r="H3842" s="11">
        <v>38362</v>
      </c>
      <c r="I3842" s="10">
        <v>2005</v>
      </c>
      <c r="J3842" s="10" t="s">
        <v>22214</v>
      </c>
      <c r="K3842" s="10">
        <v>193</v>
      </c>
      <c r="L3842" s="10" t="s">
        <v>22404</v>
      </c>
      <c r="M3842" s="10">
        <v>1</v>
      </c>
      <c r="N3842" s="10"/>
      <c r="O3842" s="10"/>
      <c r="P3842" s="10" t="s">
        <v>22405</v>
      </c>
      <c r="Q3842" s="10">
        <v>305.23099999999999</v>
      </c>
      <c r="R3842" s="10"/>
      <c r="S3842" s="10" t="s">
        <v>53</v>
      </c>
      <c r="T3842" s="10" t="s">
        <v>6363</v>
      </c>
    </row>
    <row r="3843" spans="1:20" ht="14.5" x14ac:dyDescent="0.35">
      <c r="A3843" s="10" t="s">
        <v>22406</v>
      </c>
      <c r="B3843" s="10" t="str">
        <f>"9780761919698"</f>
        <v>9780761919698</v>
      </c>
      <c r="C3843" s="10" t="str">
        <f>"9781452263380"</f>
        <v>9781452263380</v>
      </c>
      <c r="D3843" s="10" t="s">
        <v>22210</v>
      </c>
      <c r="E3843" s="10" t="s">
        <v>22214</v>
      </c>
      <c r="F3843" s="10" t="s">
        <v>333</v>
      </c>
      <c r="G3843" s="10" t="s">
        <v>6317</v>
      </c>
      <c r="H3843" s="11">
        <v>36790</v>
      </c>
      <c r="I3843" s="10">
        <v>2000</v>
      </c>
      <c r="J3843" s="10" t="s">
        <v>22214</v>
      </c>
      <c r="K3843" s="10">
        <v>232</v>
      </c>
      <c r="L3843" s="10" t="s">
        <v>22407</v>
      </c>
      <c r="M3843" s="10">
        <v>1</v>
      </c>
      <c r="N3843" s="10"/>
      <c r="O3843" s="10"/>
      <c r="P3843" s="10" t="s">
        <v>22408</v>
      </c>
      <c r="Q3843" s="10">
        <v>650.14</v>
      </c>
      <c r="R3843" s="10" t="s">
        <v>22409</v>
      </c>
      <c r="S3843" s="10" t="s">
        <v>53</v>
      </c>
      <c r="T3843" s="10" t="s">
        <v>6660</v>
      </c>
    </row>
    <row r="3844" spans="1:20" ht="14.5" x14ac:dyDescent="0.35">
      <c r="A3844" s="10" t="s">
        <v>22410</v>
      </c>
      <c r="B3844" s="10" t="str">
        <f>"9780761918974"</f>
        <v>9780761918974</v>
      </c>
      <c r="C3844" s="10" t="str">
        <f>"9781452263397"</f>
        <v>9781452263397</v>
      </c>
      <c r="D3844" s="10" t="s">
        <v>22210</v>
      </c>
      <c r="E3844" s="10" t="s">
        <v>22214</v>
      </c>
      <c r="F3844" s="10" t="s">
        <v>333</v>
      </c>
      <c r="G3844" s="10" t="s">
        <v>6317</v>
      </c>
      <c r="H3844" s="11">
        <v>36494</v>
      </c>
      <c r="I3844" s="10">
        <v>1999</v>
      </c>
      <c r="J3844" s="10" t="s">
        <v>22214</v>
      </c>
      <c r="K3844" s="10">
        <v>208</v>
      </c>
      <c r="L3844" s="10" t="s">
        <v>22411</v>
      </c>
      <c r="M3844" s="10">
        <v>1</v>
      </c>
      <c r="N3844" s="10"/>
      <c r="O3844" s="10"/>
      <c r="P3844" s="10"/>
      <c r="Q3844" s="10" t="s">
        <v>8223</v>
      </c>
      <c r="R3844" s="10"/>
      <c r="S3844" s="10" t="s">
        <v>53</v>
      </c>
      <c r="T3844" s="10" t="s">
        <v>54</v>
      </c>
    </row>
    <row r="3845" spans="1:20" ht="14.5" x14ac:dyDescent="0.35">
      <c r="A3845" s="10" t="s">
        <v>22412</v>
      </c>
      <c r="B3845" s="10" t="str">
        <f>"9780761930280"</f>
        <v>9780761930280</v>
      </c>
      <c r="C3845" s="10" t="str">
        <f>"9781452263069"</f>
        <v>9781452263069</v>
      </c>
      <c r="D3845" s="10" t="s">
        <v>22210</v>
      </c>
      <c r="E3845" s="10" t="s">
        <v>22214</v>
      </c>
      <c r="F3845" s="10" t="s">
        <v>333</v>
      </c>
      <c r="G3845" s="10" t="s">
        <v>6317</v>
      </c>
      <c r="H3845" s="11">
        <v>38243</v>
      </c>
      <c r="I3845" s="10">
        <v>2005</v>
      </c>
      <c r="J3845" s="10" t="s">
        <v>22214</v>
      </c>
      <c r="K3845" s="10">
        <v>225</v>
      </c>
      <c r="L3845" s="10" t="s">
        <v>22413</v>
      </c>
      <c r="M3845" s="10">
        <v>1</v>
      </c>
      <c r="N3845" s="10"/>
      <c r="O3845" s="10"/>
      <c r="P3845" s="10" t="s">
        <v>22414</v>
      </c>
      <c r="Q3845" s="10">
        <v>371.10199999999998</v>
      </c>
      <c r="R3845" s="10"/>
      <c r="S3845" s="10" t="s">
        <v>53</v>
      </c>
      <c r="T3845" s="10" t="s">
        <v>54</v>
      </c>
    </row>
    <row r="3846" spans="1:20" ht="14.5" x14ac:dyDescent="0.35">
      <c r="A3846" s="10" t="s">
        <v>22415</v>
      </c>
      <c r="B3846" s="10" t="str">
        <f>"9781412969048"</f>
        <v>9781412969048</v>
      </c>
      <c r="C3846" s="10" t="str">
        <f>"9781412993630"</f>
        <v>9781412993630</v>
      </c>
      <c r="D3846" s="10" t="s">
        <v>22210</v>
      </c>
      <c r="E3846" s="10" t="s">
        <v>22211</v>
      </c>
      <c r="F3846" s="10" t="s">
        <v>333</v>
      </c>
      <c r="G3846" s="10" t="s">
        <v>6317</v>
      </c>
      <c r="H3846" s="11">
        <v>40024</v>
      </c>
      <c r="I3846" s="10">
        <v>2009</v>
      </c>
      <c r="J3846" s="10" t="s">
        <v>22211</v>
      </c>
      <c r="K3846" s="10">
        <v>161</v>
      </c>
      <c r="L3846" s="10" t="s">
        <v>22416</v>
      </c>
      <c r="M3846" s="10">
        <v>1</v>
      </c>
      <c r="N3846" s="10"/>
      <c r="O3846" s="10"/>
      <c r="P3846" s="10"/>
      <c r="Q3846" s="10" t="s">
        <v>22417</v>
      </c>
      <c r="R3846" s="10"/>
      <c r="S3846" s="10" t="s">
        <v>53</v>
      </c>
      <c r="T3846" s="10" t="s">
        <v>54</v>
      </c>
    </row>
    <row r="3847" spans="1:20" ht="14.5" x14ac:dyDescent="0.35">
      <c r="A3847" s="10" t="s">
        <v>54</v>
      </c>
      <c r="B3847" s="10" t="str">
        <f>"9781412986908"</f>
        <v>9781412986908</v>
      </c>
      <c r="C3847" s="10" t="str">
        <f>"9781452261898"</f>
        <v>9781452261898</v>
      </c>
      <c r="D3847" s="10" t="s">
        <v>22210</v>
      </c>
      <c r="E3847" s="10" t="s">
        <v>22214</v>
      </c>
      <c r="F3847" s="10" t="s">
        <v>333</v>
      </c>
      <c r="G3847" s="10" t="s">
        <v>6317</v>
      </c>
      <c r="H3847" s="11">
        <v>40759</v>
      </c>
      <c r="I3847" s="10">
        <v>2011</v>
      </c>
      <c r="J3847" s="10" t="s">
        <v>22214</v>
      </c>
      <c r="K3847" s="10">
        <v>361</v>
      </c>
      <c r="L3847" s="10" t="s">
        <v>22418</v>
      </c>
      <c r="M3847" s="10">
        <v>1</v>
      </c>
      <c r="N3847" s="10" t="s">
        <v>22419</v>
      </c>
      <c r="O3847" s="10"/>
      <c r="P3847" s="10"/>
      <c r="Q3847" s="10">
        <v>379.26097299999998</v>
      </c>
      <c r="R3847" s="10" t="s">
        <v>22420</v>
      </c>
      <c r="S3847" s="10" t="s">
        <v>53</v>
      </c>
      <c r="T3847" s="10" t="s">
        <v>54</v>
      </c>
    </row>
    <row r="3848" spans="1:20" ht="14.5" x14ac:dyDescent="0.35">
      <c r="A3848" s="10" t="s">
        <v>22421</v>
      </c>
      <c r="B3848" s="10" t="str">
        <f>"9781412988155"</f>
        <v>9781412988155</v>
      </c>
      <c r="C3848" s="10" t="str">
        <f>"9781452261928"</f>
        <v>9781452261928</v>
      </c>
      <c r="D3848" s="10" t="s">
        <v>22210</v>
      </c>
      <c r="E3848" s="10" t="s">
        <v>22214</v>
      </c>
      <c r="F3848" s="10" t="s">
        <v>333</v>
      </c>
      <c r="G3848" s="10" t="s">
        <v>6317</v>
      </c>
      <c r="H3848" s="11">
        <v>40940</v>
      </c>
      <c r="I3848" s="10">
        <v>2012</v>
      </c>
      <c r="J3848" s="10" t="s">
        <v>22214</v>
      </c>
      <c r="K3848" s="10">
        <v>561</v>
      </c>
      <c r="L3848" s="10" t="s">
        <v>22422</v>
      </c>
      <c r="M3848" s="10">
        <v>1</v>
      </c>
      <c r="N3848" s="10"/>
      <c r="O3848" s="10"/>
      <c r="P3848" s="10"/>
      <c r="Q3848" s="10" t="s">
        <v>9298</v>
      </c>
      <c r="R3848" s="10" t="s">
        <v>22423</v>
      </c>
      <c r="S3848" s="10" t="s">
        <v>53</v>
      </c>
      <c r="T3848" s="10" t="s">
        <v>54</v>
      </c>
    </row>
    <row r="3849" spans="1:20" ht="14.5" x14ac:dyDescent="0.35">
      <c r="A3849" s="10" t="s">
        <v>22424</v>
      </c>
      <c r="B3849" s="10" t="str">
        <f>"9781412972109"</f>
        <v>9781412972109</v>
      </c>
      <c r="C3849" s="10" t="str">
        <f>"9781452226668"</f>
        <v>9781452226668</v>
      </c>
      <c r="D3849" s="10" t="s">
        <v>22210</v>
      </c>
      <c r="E3849" s="10" t="s">
        <v>22214</v>
      </c>
      <c r="F3849" s="10" t="s">
        <v>333</v>
      </c>
      <c r="G3849" s="10" t="s">
        <v>6317</v>
      </c>
      <c r="H3849" s="11">
        <v>40218</v>
      </c>
      <c r="I3849" s="10">
        <v>2011</v>
      </c>
      <c r="J3849" s="10" t="s">
        <v>22214</v>
      </c>
      <c r="K3849" s="10">
        <v>321</v>
      </c>
      <c r="L3849" s="10" t="s">
        <v>22425</v>
      </c>
      <c r="M3849" s="10">
        <v>1</v>
      </c>
      <c r="N3849" s="10"/>
      <c r="O3849" s="10"/>
      <c r="P3849" s="10"/>
      <c r="Q3849" s="10">
        <v>371.33067999999997</v>
      </c>
      <c r="R3849" s="10"/>
      <c r="S3849" s="10" t="s">
        <v>53</v>
      </c>
      <c r="T3849" s="10" t="s">
        <v>54</v>
      </c>
    </row>
    <row r="3850" spans="1:20" ht="14.5" x14ac:dyDescent="0.35">
      <c r="A3850" s="10" t="s">
        <v>22426</v>
      </c>
      <c r="B3850" s="10" t="str">
        <f>"9781412980029"</f>
        <v>9781412980029</v>
      </c>
      <c r="C3850" s="10" t="str">
        <f>"9781452261744"</f>
        <v>9781452261744</v>
      </c>
      <c r="D3850" s="10" t="s">
        <v>22210</v>
      </c>
      <c r="E3850" s="10" t="s">
        <v>22214</v>
      </c>
      <c r="F3850" s="10" t="s">
        <v>333</v>
      </c>
      <c r="G3850" s="10" t="s">
        <v>6317</v>
      </c>
      <c r="H3850" s="11">
        <v>40554</v>
      </c>
      <c r="I3850" s="10">
        <v>2011</v>
      </c>
      <c r="J3850" s="10" t="s">
        <v>22214</v>
      </c>
      <c r="K3850" s="10">
        <v>681</v>
      </c>
      <c r="L3850" s="10" t="s">
        <v>22427</v>
      </c>
      <c r="M3850" s="10">
        <v>2</v>
      </c>
      <c r="N3850" s="10"/>
      <c r="O3850" s="10"/>
      <c r="P3850" s="10"/>
      <c r="Q3850" s="10">
        <v>371.2</v>
      </c>
      <c r="R3850" s="10"/>
      <c r="S3850" s="10" t="s">
        <v>53</v>
      </c>
      <c r="T3850" s="10" t="s">
        <v>54</v>
      </c>
    </row>
    <row r="3851" spans="1:20" ht="14.5" x14ac:dyDescent="0.35">
      <c r="A3851" s="10" t="s">
        <v>22428</v>
      </c>
      <c r="B3851" s="10" t="str">
        <f>"9780761915461"</f>
        <v>9780761915461</v>
      </c>
      <c r="C3851" s="10" t="str">
        <f>"9781452264059"</f>
        <v>9781452264059</v>
      </c>
      <c r="D3851" s="10" t="s">
        <v>22210</v>
      </c>
      <c r="E3851" s="10" t="s">
        <v>22214</v>
      </c>
      <c r="F3851" s="10" t="s">
        <v>333</v>
      </c>
      <c r="G3851" s="10" t="s">
        <v>6317</v>
      </c>
      <c r="H3851" s="11">
        <v>37245</v>
      </c>
      <c r="I3851" s="10">
        <v>2002</v>
      </c>
      <c r="J3851" s="10" t="s">
        <v>22214</v>
      </c>
      <c r="K3851" s="10">
        <v>369</v>
      </c>
      <c r="L3851" s="10" t="s">
        <v>22429</v>
      </c>
      <c r="M3851" s="10">
        <v>1</v>
      </c>
      <c r="N3851" s="10" t="s">
        <v>22430</v>
      </c>
      <c r="O3851" s="10"/>
      <c r="P3851" s="10" t="s">
        <v>22431</v>
      </c>
      <c r="Q3851" s="10">
        <v>650.14</v>
      </c>
      <c r="R3851" s="10"/>
      <c r="S3851" s="10" t="s">
        <v>53</v>
      </c>
      <c r="T3851" s="10" t="s">
        <v>6660</v>
      </c>
    </row>
    <row r="3852" spans="1:20" ht="14.5" x14ac:dyDescent="0.35">
      <c r="A3852" s="10" t="s">
        <v>22432</v>
      </c>
      <c r="B3852" s="10" t="str">
        <f>"9780761928768"</f>
        <v>9780761928768</v>
      </c>
      <c r="C3852" s="10" t="str">
        <f>"9781452264240"</f>
        <v>9781452264240</v>
      </c>
      <c r="D3852" s="10" t="s">
        <v>22210</v>
      </c>
      <c r="E3852" s="10" t="s">
        <v>22214</v>
      </c>
      <c r="F3852" s="10" t="s">
        <v>333</v>
      </c>
      <c r="G3852" s="10" t="s">
        <v>6317</v>
      </c>
      <c r="H3852" s="11">
        <v>38183</v>
      </c>
      <c r="I3852" s="10">
        <v>2004</v>
      </c>
      <c r="J3852" s="10" t="s">
        <v>22214</v>
      </c>
      <c r="K3852" s="10">
        <v>177</v>
      </c>
      <c r="L3852" s="10" t="s">
        <v>22433</v>
      </c>
      <c r="M3852" s="10">
        <v>1</v>
      </c>
      <c r="N3852" s="10"/>
      <c r="O3852" s="10"/>
      <c r="P3852" s="10" t="s">
        <v>22434</v>
      </c>
      <c r="Q3852" s="10">
        <v>370.71100000000001</v>
      </c>
      <c r="R3852" s="10"/>
      <c r="S3852" s="10" t="s">
        <v>53</v>
      </c>
      <c r="T3852" s="10" t="s">
        <v>54</v>
      </c>
    </row>
    <row r="3853" spans="1:20" ht="14.5" x14ac:dyDescent="0.35">
      <c r="A3853" s="10" t="s">
        <v>22435</v>
      </c>
      <c r="B3853" s="10" t="str">
        <f>"9781412937184"</f>
        <v>9781412937184</v>
      </c>
      <c r="C3853" s="10" t="str">
        <f>"9781452266909"</f>
        <v>9781452266909</v>
      </c>
      <c r="D3853" s="10" t="s">
        <v>22210</v>
      </c>
      <c r="E3853" s="10" t="s">
        <v>22214</v>
      </c>
      <c r="F3853" s="10" t="s">
        <v>333</v>
      </c>
      <c r="G3853" s="10" t="s">
        <v>6317</v>
      </c>
      <c r="H3853" s="11">
        <v>39185</v>
      </c>
      <c r="I3853" s="10">
        <v>2007</v>
      </c>
      <c r="J3853" s="10" t="s">
        <v>22214</v>
      </c>
      <c r="K3853" s="10">
        <v>273</v>
      </c>
      <c r="L3853" s="10" t="s">
        <v>22436</v>
      </c>
      <c r="M3853" s="10">
        <v>1</v>
      </c>
      <c r="N3853" s="10"/>
      <c r="O3853" s="10"/>
      <c r="P3853" s="10"/>
      <c r="Q3853" s="10" t="s">
        <v>12332</v>
      </c>
      <c r="R3853" s="10"/>
      <c r="S3853" s="10" t="s">
        <v>53</v>
      </c>
      <c r="T3853" s="10" t="s">
        <v>54</v>
      </c>
    </row>
    <row r="3854" spans="1:20" ht="14.5" x14ac:dyDescent="0.35">
      <c r="A3854" s="10" t="s">
        <v>22437</v>
      </c>
      <c r="B3854" s="10" t="str">
        <f>"9781412909020"</f>
        <v>9781412909020</v>
      </c>
      <c r="C3854" s="10" t="str">
        <f>"9781452264226"</f>
        <v>9781452264226</v>
      </c>
      <c r="D3854" s="10" t="s">
        <v>22210</v>
      </c>
      <c r="E3854" s="10" t="s">
        <v>22214</v>
      </c>
      <c r="F3854" s="10" t="s">
        <v>333</v>
      </c>
      <c r="G3854" s="10" t="s">
        <v>6317</v>
      </c>
      <c r="H3854" s="11">
        <v>38336</v>
      </c>
      <c r="I3854" s="10">
        <v>2005</v>
      </c>
      <c r="J3854" s="10" t="s">
        <v>22214</v>
      </c>
      <c r="K3854" s="10">
        <v>233</v>
      </c>
      <c r="L3854" s="10" t="s">
        <v>22438</v>
      </c>
      <c r="M3854" s="10">
        <v>1</v>
      </c>
      <c r="N3854" s="10"/>
      <c r="O3854" s="10"/>
      <c r="P3854" s="10">
        <v>2004016440</v>
      </c>
      <c r="Q3854" s="10" t="s">
        <v>7600</v>
      </c>
      <c r="R3854" s="10"/>
      <c r="S3854" s="10" t="s">
        <v>53</v>
      </c>
      <c r="T3854" s="10" t="s">
        <v>54</v>
      </c>
    </row>
    <row r="3855" spans="1:20" ht="14.5" x14ac:dyDescent="0.35">
      <c r="A3855" s="10" t="s">
        <v>22439</v>
      </c>
      <c r="B3855" s="10" t="str">
        <f>"9780761920885"</f>
        <v>9780761920885</v>
      </c>
      <c r="C3855" s="10" t="str">
        <f>"9781452264264"</f>
        <v>9781452264264</v>
      </c>
      <c r="D3855" s="10" t="s">
        <v>22210</v>
      </c>
      <c r="E3855" s="10" t="s">
        <v>22214</v>
      </c>
      <c r="F3855" s="10" t="s">
        <v>333</v>
      </c>
      <c r="G3855" s="10" t="s">
        <v>6317</v>
      </c>
      <c r="H3855" s="11">
        <v>37155</v>
      </c>
      <c r="I3855" s="10">
        <v>2001</v>
      </c>
      <c r="J3855" s="10" t="s">
        <v>22214</v>
      </c>
      <c r="K3855" s="10">
        <v>257</v>
      </c>
      <c r="L3855" s="10" t="s">
        <v>22440</v>
      </c>
      <c r="M3855" s="10">
        <v>1</v>
      </c>
      <c r="N3855" s="10"/>
      <c r="O3855" s="10"/>
      <c r="P3855" s="10"/>
      <c r="Q3855" s="10" t="s">
        <v>7391</v>
      </c>
      <c r="R3855" s="10"/>
      <c r="S3855" s="10" t="s">
        <v>53</v>
      </c>
      <c r="T3855" s="10" t="s">
        <v>54</v>
      </c>
    </row>
    <row r="3856" spans="1:20" ht="14.5" x14ac:dyDescent="0.35">
      <c r="A3856" s="10" t="s">
        <v>22441</v>
      </c>
      <c r="B3856" s="10" t="str">
        <f>"9781412936934"</f>
        <v>9781412936934</v>
      </c>
      <c r="C3856" s="10" t="str">
        <f>"9781452266923"</f>
        <v>9781452266923</v>
      </c>
      <c r="D3856" s="10" t="s">
        <v>22210</v>
      </c>
      <c r="E3856" s="10" t="s">
        <v>22214</v>
      </c>
      <c r="F3856" s="10" t="s">
        <v>333</v>
      </c>
      <c r="G3856" s="10" t="s">
        <v>6317</v>
      </c>
      <c r="H3856" s="11">
        <v>38974</v>
      </c>
      <c r="I3856" s="10">
        <v>2007</v>
      </c>
      <c r="J3856" s="10" t="s">
        <v>22214</v>
      </c>
      <c r="K3856" s="10">
        <v>249</v>
      </c>
      <c r="L3856" s="10" t="s">
        <v>22442</v>
      </c>
      <c r="M3856" s="10">
        <v>1</v>
      </c>
      <c r="N3856" s="10"/>
      <c r="O3856" s="10"/>
      <c r="P3856" s="10"/>
      <c r="Q3856" s="10"/>
      <c r="R3856" s="10"/>
      <c r="S3856" s="10" t="s">
        <v>53</v>
      </c>
      <c r="T3856" s="10" t="s">
        <v>54</v>
      </c>
    </row>
    <row r="3857" spans="1:20" ht="14.5" x14ac:dyDescent="0.35">
      <c r="A3857" s="10" t="s">
        <v>22443</v>
      </c>
      <c r="B3857" s="10" t="str">
        <f>"9781412956642"</f>
        <v>9781412956642</v>
      </c>
      <c r="C3857" s="10" t="str">
        <f>"9781452265735"</f>
        <v>9781452265735</v>
      </c>
      <c r="D3857" s="10" t="s">
        <v>22210</v>
      </c>
      <c r="E3857" s="10" t="s">
        <v>22214</v>
      </c>
      <c r="F3857" s="10" t="s">
        <v>333</v>
      </c>
      <c r="G3857" s="10" t="s">
        <v>6317</v>
      </c>
      <c r="H3857" s="11">
        <v>40198</v>
      </c>
      <c r="I3857" s="10">
        <v>2010</v>
      </c>
      <c r="J3857" s="10" t="s">
        <v>22214</v>
      </c>
      <c r="K3857" s="10">
        <v>1113</v>
      </c>
      <c r="L3857" s="10" t="s">
        <v>22444</v>
      </c>
      <c r="M3857" s="10">
        <v>1</v>
      </c>
      <c r="N3857" s="10"/>
      <c r="O3857" s="10"/>
      <c r="P3857" s="10" t="s">
        <v>22445</v>
      </c>
      <c r="Q3857" s="10">
        <v>371.20097299999998</v>
      </c>
      <c r="R3857" s="10" t="s">
        <v>22446</v>
      </c>
      <c r="S3857" s="10" t="s">
        <v>53</v>
      </c>
      <c r="T3857" s="10" t="s">
        <v>54</v>
      </c>
    </row>
    <row r="3858" spans="1:20" ht="14.5" x14ac:dyDescent="0.35">
      <c r="A3858" s="10" t="s">
        <v>22447</v>
      </c>
      <c r="B3858" s="10" t="str">
        <f>"9780761924517"</f>
        <v>9780761924517</v>
      </c>
      <c r="C3858" s="10" t="str">
        <f>"9781452265230"</f>
        <v>9781452265230</v>
      </c>
      <c r="D3858" s="10" t="s">
        <v>22210</v>
      </c>
      <c r="E3858" s="10" t="s">
        <v>22214</v>
      </c>
      <c r="F3858" s="10" t="s">
        <v>333</v>
      </c>
      <c r="G3858" s="10" t="s">
        <v>6317</v>
      </c>
      <c r="H3858" s="11">
        <v>37931</v>
      </c>
      <c r="I3858" s="10">
        <v>2004</v>
      </c>
      <c r="J3858" s="10" t="s">
        <v>22214</v>
      </c>
      <c r="K3858" s="10">
        <v>577</v>
      </c>
      <c r="L3858" s="10" t="s">
        <v>22448</v>
      </c>
      <c r="M3858" s="10">
        <v>1</v>
      </c>
      <c r="N3858" s="10"/>
      <c r="O3858" s="10"/>
      <c r="P3858" s="10" t="s">
        <v>22449</v>
      </c>
      <c r="Q3858" s="10">
        <v>374</v>
      </c>
      <c r="R3858" s="10" t="s">
        <v>22450</v>
      </c>
      <c r="S3858" s="10" t="s">
        <v>53</v>
      </c>
      <c r="T3858" s="10" t="s">
        <v>54</v>
      </c>
    </row>
    <row r="3859" spans="1:20" ht="14.5" x14ac:dyDescent="0.35">
      <c r="A3859" s="10" t="s">
        <v>22451</v>
      </c>
      <c r="B3859" s="10" t="str">
        <f>"9781412918107"</f>
        <v>9781412918107</v>
      </c>
      <c r="C3859" s="10" t="str">
        <f>"9781452266916"</f>
        <v>9781452266916</v>
      </c>
      <c r="D3859" s="10" t="s">
        <v>22210</v>
      </c>
      <c r="E3859" s="10" t="s">
        <v>22214</v>
      </c>
      <c r="F3859" s="10" t="s">
        <v>333</v>
      </c>
      <c r="G3859" s="10" t="s">
        <v>6317</v>
      </c>
      <c r="H3859" s="11">
        <v>39139</v>
      </c>
      <c r="I3859" s="10">
        <v>2007</v>
      </c>
      <c r="J3859" s="10" t="s">
        <v>22214</v>
      </c>
      <c r="K3859" s="10">
        <v>505</v>
      </c>
      <c r="L3859" s="10" t="s">
        <v>22452</v>
      </c>
      <c r="M3859" s="10">
        <v>1</v>
      </c>
      <c r="N3859" s="10"/>
      <c r="O3859" s="10"/>
      <c r="P3859" s="10"/>
      <c r="Q3859" s="10"/>
      <c r="R3859" s="10"/>
      <c r="S3859" s="10" t="s">
        <v>53</v>
      </c>
      <c r="T3859" s="10" t="s">
        <v>54</v>
      </c>
    </row>
    <row r="3860" spans="1:20" ht="14.5" x14ac:dyDescent="0.35">
      <c r="A3860" s="10" t="s">
        <v>22453</v>
      </c>
      <c r="B3860" s="10" t="str">
        <f>"9780761928850"</f>
        <v>9780761928850</v>
      </c>
      <c r="C3860" s="10" t="str">
        <f>"9781452266947"</f>
        <v>9781452266947</v>
      </c>
      <c r="D3860" s="10" t="s">
        <v>22210</v>
      </c>
      <c r="E3860" s="10" t="s">
        <v>22214</v>
      </c>
      <c r="F3860" s="10" t="s">
        <v>333</v>
      </c>
      <c r="G3860" s="10" t="s">
        <v>6317</v>
      </c>
      <c r="H3860" s="11">
        <v>38082</v>
      </c>
      <c r="I3860" s="10">
        <v>2004</v>
      </c>
      <c r="J3860" s="10" t="s">
        <v>22214</v>
      </c>
      <c r="K3860" s="10">
        <v>409</v>
      </c>
      <c r="L3860" s="10" t="s">
        <v>22454</v>
      </c>
      <c r="M3860" s="10">
        <v>1</v>
      </c>
      <c r="N3860" s="10"/>
      <c r="O3860" s="10"/>
      <c r="P3860" s="10" t="s">
        <v>22455</v>
      </c>
      <c r="Q3860" s="10" t="s">
        <v>12394</v>
      </c>
      <c r="R3860" s="10"/>
      <c r="S3860" s="10" t="s">
        <v>53</v>
      </c>
      <c r="T3860" s="10" t="s">
        <v>54</v>
      </c>
    </row>
    <row r="3861" spans="1:20" ht="14.5" x14ac:dyDescent="0.35">
      <c r="A3861" s="10" t="s">
        <v>22456</v>
      </c>
      <c r="B3861" s="10" t="str">
        <f>"9780761915959"</f>
        <v>9780761915959</v>
      </c>
      <c r="C3861" s="10" t="str">
        <f>"9781452264660"</f>
        <v>9781452264660</v>
      </c>
      <c r="D3861" s="10" t="s">
        <v>22210</v>
      </c>
      <c r="E3861" s="10" t="s">
        <v>22214</v>
      </c>
      <c r="F3861" s="10" t="s">
        <v>333</v>
      </c>
      <c r="G3861" s="10" t="s">
        <v>6317</v>
      </c>
      <c r="H3861" s="11">
        <v>36102</v>
      </c>
      <c r="I3861" s="10">
        <v>1998</v>
      </c>
      <c r="J3861" s="10" t="s">
        <v>22214</v>
      </c>
      <c r="K3861" s="10">
        <v>328</v>
      </c>
      <c r="L3861" s="10" t="s">
        <v>22457</v>
      </c>
      <c r="M3861" s="10">
        <v>1</v>
      </c>
      <c r="N3861" s="10"/>
      <c r="O3861" s="10"/>
      <c r="P3861" s="10"/>
      <c r="Q3861" s="10" t="s">
        <v>18462</v>
      </c>
      <c r="R3861" s="10"/>
      <c r="S3861" s="10" t="s">
        <v>53</v>
      </c>
      <c r="T3861" s="10" t="s">
        <v>6363</v>
      </c>
    </row>
    <row r="3862" spans="1:20" ht="14.5" x14ac:dyDescent="0.35">
      <c r="A3862" s="10" t="s">
        <v>22458</v>
      </c>
      <c r="B3862" s="10" t="str">
        <f>"9781412970150"</f>
        <v>9781412970150</v>
      </c>
      <c r="C3862" s="10" t="str">
        <f>"9781452267456"</f>
        <v>9781452267456</v>
      </c>
      <c r="D3862" s="10" t="s">
        <v>22210</v>
      </c>
      <c r="E3862" s="10" t="s">
        <v>22214</v>
      </c>
      <c r="F3862" s="10" t="s">
        <v>333</v>
      </c>
      <c r="G3862" s="10" t="s">
        <v>6317</v>
      </c>
      <c r="H3862" s="11">
        <v>40119</v>
      </c>
      <c r="I3862" s="10">
        <v>2010</v>
      </c>
      <c r="J3862" s="10" t="s">
        <v>22214</v>
      </c>
      <c r="K3862" s="10">
        <v>361</v>
      </c>
      <c r="L3862" s="10" t="s">
        <v>22459</v>
      </c>
      <c r="M3862" s="10">
        <v>1</v>
      </c>
      <c r="N3862" s="10"/>
      <c r="O3862" s="10"/>
      <c r="P3862" s="10"/>
      <c r="Q3862" s="10" t="s">
        <v>22460</v>
      </c>
      <c r="R3862" s="10"/>
      <c r="S3862" s="10" t="s">
        <v>53</v>
      </c>
      <c r="T3862" s="10" t="s">
        <v>54</v>
      </c>
    </row>
    <row r="3863" spans="1:20" ht="14.5" x14ac:dyDescent="0.35">
      <c r="A3863" s="10" t="s">
        <v>22461</v>
      </c>
      <c r="B3863" s="10" t="str">
        <f>"9781412909075"</f>
        <v>9781412909075</v>
      </c>
      <c r="C3863" s="10" t="str">
        <f>"9781452266930"</f>
        <v>9781452266930</v>
      </c>
      <c r="D3863" s="10" t="s">
        <v>22210</v>
      </c>
      <c r="E3863" s="10" t="s">
        <v>22214</v>
      </c>
      <c r="F3863" s="10" t="s">
        <v>333</v>
      </c>
      <c r="G3863" s="10" t="s">
        <v>6317</v>
      </c>
      <c r="H3863" s="11">
        <v>38789</v>
      </c>
      <c r="I3863" s="10">
        <v>2006</v>
      </c>
      <c r="J3863" s="10" t="s">
        <v>22214</v>
      </c>
      <c r="K3863" s="10">
        <v>353</v>
      </c>
      <c r="L3863" s="10" t="s">
        <v>22462</v>
      </c>
      <c r="M3863" s="10">
        <v>1</v>
      </c>
      <c r="N3863" s="10"/>
      <c r="O3863" s="10"/>
      <c r="P3863" s="10"/>
      <c r="Q3863" s="10">
        <v>371.92</v>
      </c>
      <c r="R3863" s="10"/>
      <c r="S3863" s="10" t="s">
        <v>53</v>
      </c>
      <c r="T3863" s="10" t="s">
        <v>54</v>
      </c>
    </row>
    <row r="3864" spans="1:20" ht="14.5" x14ac:dyDescent="0.35">
      <c r="A3864" s="10" t="s">
        <v>22463</v>
      </c>
      <c r="B3864" s="10" t="str">
        <f>"9780761912514"</f>
        <v>9780761912514</v>
      </c>
      <c r="C3864" s="10" t="str">
        <f>"9781452250632"</f>
        <v>9781452250632</v>
      </c>
      <c r="D3864" s="10" t="s">
        <v>22210</v>
      </c>
      <c r="E3864" s="10" t="s">
        <v>22214</v>
      </c>
      <c r="F3864" s="10" t="s">
        <v>333</v>
      </c>
      <c r="G3864" s="10" t="s">
        <v>6317</v>
      </c>
      <c r="H3864" s="11">
        <v>35863</v>
      </c>
      <c r="I3864" s="10">
        <v>1998</v>
      </c>
      <c r="J3864" s="10" t="s">
        <v>22214</v>
      </c>
      <c r="K3864" s="10">
        <v>203</v>
      </c>
      <c r="L3864" s="10" t="s">
        <v>22464</v>
      </c>
      <c r="M3864" s="10">
        <v>1</v>
      </c>
      <c r="N3864" s="10"/>
      <c r="O3864" s="10"/>
      <c r="P3864" s="10">
        <v>98008899</v>
      </c>
      <c r="Q3864" s="10"/>
      <c r="R3864" s="10"/>
      <c r="S3864" s="10" t="s">
        <v>53</v>
      </c>
      <c r="T3864" s="10" t="s">
        <v>54</v>
      </c>
    </row>
    <row r="3865" spans="1:20" ht="14.5" x14ac:dyDescent="0.35">
      <c r="A3865" s="10" t="s">
        <v>22465</v>
      </c>
      <c r="B3865" s="10" t="str">
        <f>"9780761904090"</f>
        <v>9780761904090</v>
      </c>
      <c r="C3865" s="10" t="str">
        <f>"9781452251158"</f>
        <v>9781452251158</v>
      </c>
      <c r="D3865" s="10" t="s">
        <v>22210</v>
      </c>
      <c r="E3865" s="10" t="s">
        <v>22214</v>
      </c>
      <c r="F3865" s="10" t="s">
        <v>333</v>
      </c>
      <c r="G3865" s="10" t="s">
        <v>6317</v>
      </c>
      <c r="H3865" s="11">
        <v>35970</v>
      </c>
      <c r="I3865" s="10">
        <v>1998</v>
      </c>
      <c r="J3865" s="10" t="s">
        <v>22214</v>
      </c>
      <c r="K3865" s="10">
        <v>235</v>
      </c>
      <c r="L3865" s="10" t="s">
        <v>22466</v>
      </c>
      <c r="M3865" s="10">
        <v>1</v>
      </c>
      <c r="N3865" s="10"/>
      <c r="O3865" s="10"/>
      <c r="P3865" s="10">
        <v>98019720</v>
      </c>
      <c r="Q3865" s="10" t="s">
        <v>22467</v>
      </c>
      <c r="R3865" s="10"/>
      <c r="S3865" s="10" t="s">
        <v>53</v>
      </c>
      <c r="T3865" s="10" t="s">
        <v>6363</v>
      </c>
    </row>
    <row r="3866" spans="1:20" ht="14.5" x14ac:dyDescent="0.35">
      <c r="A3866" s="10" t="s">
        <v>22468</v>
      </c>
      <c r="B3866" s="10" t="str">
        <f>"9780761921790"</f>
        <v>9780761921790</v>
      </c>
      <c r="C3866" s="10" t="str">
        <f>"9781452215754"</f>
        <v>9781452215754</v>
      </c>
      <c r="D3866" s="10" t="s">
        <v>22210</v>
      </c>
      <c r="E3866" s="10" t="s">
        <v>22214</v>
      </c>
      <c r="F3866" s="10" t="s">
        <v>333</v>
      </c>
      <c r="G3866" s="10" t="s">
        <v>6317</v>
      </c>
      <c r="H3866" s="11">
        <v>37126</v>
      </c>
      <c r="I3866" s="10">
        <v>2001</v>
      </c>
      <c r="J3866" s="10" t="s">
        <v>22214</v>
      </c>
      <c r="K3866" s="10">
        <v>177</v>
      </c>
      <c r="L3866" s="10" t="s">
        <v>22469</v>
      </c>
      <c r="M3866" s="10">
        <v>1</v>
      </c>
      <c r="N3866" s="10"/>
      <c r="O3866" s="10"/>
      <c r="P3866" s="10" t="s">
        <v>22470</v>
      </c>
      <c r="Q3866" s="10" t="s">
        <v>22471</v>
      </c>
      <c r="R3866" s="10"/>
      <c r="S3866" s="10" t="s">
        <v>53</v>
      </c>
      <c r="T3866" s="10" t="s">
        <v>22472</v>
      </c>
    </row>
    <row r="3867" spans="1:20" ht="14.5" x14ac:dyDescent="0.35">
      <c r="A3867" s="10" t="s">
        <v>22473</v>
      </c>
      <c r="B3867" s="10" t="str">
        <f>"9781412962636"</f>
        <v>9781412962636</v>
      </c>
      <c r="C3867" s="10" t="str">
        <f>"9781452266343"</f>
        <v>9781452266343</v>
      </c>
      <c r="D3867" s="10" t="s">
        <v>22210</v>
      </c>
      <c r="E3867" s="10" t="s">
        <v>22214</v>
      </c>
      <c r="F3867" s="10" t="s">
        <v>333</v>
      </c>
      <c r="G3867" s="10" t="s">
        <v>6317</v>
      </c>
      <c r="H3867" s="11">
        <v>40435</v>
      </c>
      <c r="I3867" s="10">
        <v>2010</v>
      </c>
      <c r="J3867" s="10" t="s">
        <v>22214</v>
      </c>
      <c r="K3867" s="10">
        <v>1185</v>
      </c>
      <c r="L3867" s="10" t="s">
        <v>22474</v>
      </c>
      <c r="M3867" s="10">
        <v>1</v>
      </c>
      <c r="N3867" s="10"/>
      <c r="O3867" s="10"/>
      <c r="P3867" s="10" t="s">
        <v>22475</v>
      </c>
      <c r="Q3867" s="10">
        <v>303.33999999999997</v>
      </c>
      <c r="R3867" s="10" t="s">
        <v>22476</v>
      </c>
      <c r="S3867" s="10" t="s">
        <v>53</v>
      </c>
      <c r="T3867" s="10" t="s">
        <v>13501</v>
      </c>
    </row>
    <row r="3868" spans="1:20" ht="14.5" x14ac:dyDescent="0.35">
      <c r="A3868" s="10" t="s">
        <v>22477</v>
      </c>
      <c r="B3868" s="10" t="str">
        <f>"9780761909750"</f>
        <v>9780761909750</v>
      </c>
      <c r="C3868" s="10" t="str">
        <f>"9781452250670"</f>
        <v>9781452250670</v>
      </c>
      <c r="D3868" s="10" t="s">
        <v>22210</v>
      </c>
      <c r="E3868" s="10" t="s">
        <v>22214</v>
      </c>
      <c r="F3868" s="10" t="s">
        <v>333</v>
      </c>
      <c r="G3868" s="10" t="s">
        <v>6317</v>
      </c>
      <c r="H3868" s="11">
        <v>35942</v>
      </c>
      <c r="I3868" s="10">
        <v>1998</v>
      </c>
      <c r="J3868" s="10" t="s">
        <v>22214</v>
      </c>
      <c r="K3868" s="10">
        <v>117</v>
      </c>
      <c r="L3868" s="10" t="s">
        <v>22478</v>
      </c>
      <c r="M3868" s="10">
        <v>1</v>
      </c>
      <c r="N3868" s="10" t="s">
        <v>22479</v>
      </c>
      <c r="O3868" s="10"/>
      <c r="P3868" s="10">
        <v>98019671</v>
      </c>
      <c r="Q3868" s="10">
        <v>378.12</v>
      </c>
      <c r="R3868" s="10"/>
      <c r="S3868" s="10" t="s">
        <v>53</v>
      </c>
      <c r="T3868" s="10" t="s">
        <v>54</v>
      </c>
    </row>
    <row r="3869" spans="1:20" ht="14.5" x14ac:dyDescent="0.35">
      <c r="A3869" s="10" t="s">
        <v>22480</v>
      </c>
      <c r="B3869" s="10" t="str">
        <f>"9781412956802"</f>
        <v>9781412956802</v>
      </c>
      <c r="C3869" s="10" t="str">
        <f>"9781452215518"</f>
        <v>9781452215518</v>
      </c>
      <c r="D3869" s="10" t="s">
        <v>22210</v>
      </c>
      <c r="E3869" s="10" t="s">
        <v>22214</v>
      </c>
      <c r="F3869" s="10" t="s">
        <v>333</v>
      </c>
      <c r="G3869" s="10" t="s">
        <v>6317</v>
      </c>
      <c r="H3869" s="11">
        <v>39764</v>
      </c>
      <c r="I3869" s="10">
        <v>2009</v>
      </c>
      <c r="J3869" s="10" t="s">
        <v>22214</v>
      </c>
      <c r="K3869" s="10">
        <v>393</v>
      </c>
      <c r="L3869" s="10" t="s">
        <v>22481</v>
      </c>
      <c r="M3869" s="10">
        <v>1</v>
      </c>
      <c r="N3869" s="10"/>
      <c r="O3869" s="10"/>
      <c r="P3869" s="10"/>
      <c r="Q3869" s="10"/>
      <c r="R3869" s="10"/>
      <c r="S3869" s="10" t="s">
        <v>53</v>
      </c>
      <c r="T3869" s="10" t="s">
        <v>54</v>
      </c>
    </row>
    <row r="3870" spans="1:20" ht="14.5" x14ac:dyDescent="0.35">
      <c r="A3870" s="10" t="s">
        <v>22482</v>
      </c>
      <c r="B3870" s="10" t="str">
        <f>"9781412952156"</f>
        <v>9781412952156</v>
      </c>
      <c r="C3870" s="10" t="str">
        <f>"9781452211893"</f>
        <v>9781452211893</v>
      </c>
      <c r="D3870" s="10" t="s">
        <v>22210</v>
      </c>
      <c r="E3870" s="10" t="s">
        <v>22214</v>
      </c>
      <c r="F3870" s="10" t="s">
        <v>333</v>
      </c>
      <c r="G3870" s="10" t="s">
        <v>6317</v>
      </c>
      <c r="H3870" s="11">
        <v>39743</v>
      </c>
      <c r="I3870" s="10">
        <v>2009</v>
      </c>
      <c r="J3870" s="10" t="s">
        <v>22214</v>
      </c>
      <c r="K3870" s="10">
        <v>237</v>
      </c>
      <c r="L3870" s="10" t="s">
        <v>22483</v>
      </c>
      <c r="M3870" s="10">
        <v>1</v>
      </c>
      <c r="N3870" s="10"/>
      <c r="O3870" s="10"/>
      <c r="P3870" s="10"/>
      <c r="Q3870" s="10">
        <v>371.2</v>
      </c>
      <c r="R3870" s="10"/>
      <c r="S3870" s="10" t="s">
        <v>53</v>
      </c>
      <c r="T3870" s="10" t="s">
        <v>54</v>
      </c>
    </row>
    <row r="3871" spans="1:20" ht="14.5" x14ac:dyDescent="0.35">
      <c r="A3871" s="10" t="s">
        <v>22484</v>
      </c>
      <c r="B3871" s="10" t="str">
        <f>"9781412960304"</f>
        <v>9781412960304</v>
      </c>
      <c r="C3871" s="10" t="str">
        <f>"9781452211947"</f>
        <v>9781452211947</v>
      </c>
      <c r="D3871" s="10" t="s">
        <v>22210</v>
      </c>
      <c r="E3871" s="10" t="s">
        <v>22214</v>
      </c>
      <c r="F3871" s="10" t="s">
        <v>333</v>
      </c>
      <c r="G3871" s="10" t="s">
        <v>6317</v>
      </c>
      <c r="H3871" s="11">
        <v>39415</v>
      </c>
      <c r="I3871" s="10">
        <v>2008</v>
      </c>
      <c r="J3871" s="10" t="s">
        <v>22214</v>
      </c>
      <c r="K3871" s="10">
        <v>457</v>
      </c>
      <c r="L3871" s="10" t="s">
        <v>22485</v>
      </c>
      <c r="M3871" s="10">
        <v>1</v>
      </c>
      <c r="N3871" s="10"/>
      <c r="O3871" s="10"/>
      <c r="P3871" s="10"/>
      <c r="Q3871" s="10">
        <v>344.73070000000001</v>
      </c>
      <c r="R3871" s="10"/>
      <c r="S3871" s="10" t="s">
        <v>53</v>
      </c>
      <c r="T3871" s="10" t="s">
        <v>5396</v>
      </c>
    </row>
    <row r="3872" spans="1:20" ht="14.5" x14ac:dyDescent="0.35">
      <c r="A3872" s="10" t="s">
        <v>22486</v>
      </c>
      <c r="B3872" s="10" t="str">
        <f>"9781412940474"</f>
        <v>9781412940474</v>
      </c>
      <c r="C3872" s="10" t="str">
        <f>"9781452222974"</f>
        <v>9781452222974</v>
      </c>
      <c r="D3872" s="10" t="s">
        <v>22210</v>
      </c>
      <c r="E3872" s="10" t="s">
        <v>22214</v>
      </c>
      <c r="F3872" s="10" t="s">
        <v>333</v>
      </c>
      <c r="G3872" s="10" t="s">
        <v>6317</v>
      </c>
      <c r="H3872" s="11">
        <v>39157</v>
      </c>
      <c r="I3872" s="10">
        <v>2007</v>
      </c>
      <c r="J3872" s="10" t="s">
        <v>22214</v>
      </c>
      <c r="K3872" s="10">
        <v>289</v>
      </c>
      <c r="L3872" s="10" t="s">
        <v>22487</v>
      </c>
      <c r="M3872" s="10">
        <v>1</v>
      </c>
      <c r="N3872" s="10"/>
      <c r="O3872" s="10"/>
      <c r="P3872" s="10" t="s">
        <v>22488</v>
      </c>
      <c r="Q3872" s="10" t="s">
        <v>22489</v>
      </c>
      <c r="R3872" s="10" t="s">
        <v>22490</v>
      </c>
      <c r="S3872" s="10" t="s">
        <v>53</v>
      </c>
      <c r="T3872" s="10" t="s">
        <v>54</v>
      </c>
    </row>
    <row r="3873" spans="1:20" ht="14.5" x14ac:dyDescent="0.35">
      <c r="A3873" s="10" t="s">
        <v>22491</v>
      </c>
      <c r="B3873" s="10" t="str">
        <f>"9780803955257"</f>
        <v>9780803955257</v>
      </c>
      <c r="C3873" s="10" t="str">
        <f>"9781452255088"</f>
        <v>9781452255088</v>
      </c>
      <c r="D3873" s="10" t="s">
        <v>22210</v>
      </c>
      <c r="E3873" s="10" t="s">
        <v>22214</v>
      </c>
      <c r="F3873" s="10" t="s">
        <v>333</v>
      </c>
      <c r="G3873" s="10" t="s">
        <v>6317</v>
      </c>
      <c r="H3873" s="11">
        <v>34551</v>
      </c>
      <c r="I3873" s="10">
        <v>1994</v>
      </c>
      <c r="J3873" s="10" t="s">
        <v>22214</v>
      </c>
      <c r="K3873" s="10">
        <v>153</v>
      </c>
      <c r="L3873" s="10" t="s">
        <v>22492</v>
      </c>
      <c r="M3873" s="10">
        <v>1</v>
      </c>
      <c r="N3873" s="10" t="s">
        <v>22479</v>
      </c>
      <c r="O3873" s="10"/>
      <c r="P3873" s="10"/>
      <c r="Q3873" s="10"/>
      <c r="R3873" s="10"/>
      <c r="S3873" s="10" t="s">
        <v>53</v>
      </c>
      <c r="T3873" s="10" t="s">
        <v>54</v>
      </c>
    </row>
    <row r="3874" spans="1:20" ht="14.5" x14ac:dyDescent="0.35">
      <c r="A3874" s="10" t="s">
        <v>22493</v>
      </c>
      <c r="B3874" s="10" t="str">
        <f>"9781412964753"</f>
        <v>9781412964753</v>
      </c>
      <c r="C3874" s="10" t="str">
        <f>"9781452245379"</f>
        <v>9781452245379</v>
      </c>
      <c r="D3874" s="10" t="s">
        <v>22210</v>
      </c>
      <c r="E3874" s="10" t="s">
        <v>22214</v>
      </c>
      <c r="F3874" s="10" t="s">
        <v>333</v>
      </c>
      <c r="G3874" s="10" t="s">
        <v>6317</v>
      </c>
      <c r="H3874" s="11">
        <v>39752</v>
      </c>
      <c r="I3874" s="10">
        <v>2009</v>
      </c>
      <c r="J3874" s="10" t="s">
        <v>22214</v>
      </c>
      <c r="K3874" s="10">
        <v>417</v>
      </c>
      <c r="L3874" s="10" t="s">
        <v>22494</v>
      </c>
      <c r="M3874" s="10">
        <v>1</v>
      </c>
      <c r="N3874" s="10"/>
      <c r="O3874" s="10"/>
      <c r="P3874" s="10"/>
      <c r="Q3874" s="10">
        <v>370.72</v>
      </c>
      <c r="R3874" s="10"/>
      <c r="S3874" s="10" t="s">
        <v>53</v>
      </c>
      <c r="T3874" s="10" t="s">
        <v>54</v>
      </c>
    </row>
    <row r="3875" spans="1:20" ht="14.5" x14ac:dyDescent="0.35">
      <c r="A3875" s="10" t="s">
        <v>22495</v>
      </c>
      <c r="B3875" s="10" t="str">
        <f>"9781412937443"</f>
        <v>9781412937443</v>
      </c>
      <c r="C3875" s="10" t="str">
        <f>"9781452245485"</f>
        <v>9781452245485</v>
      </c>
      <c r="D3875" s="10" t="s">
        <v>22210</v>
      </c>
      <c r="E3875" s="10" t="s">
        <v>22214</v>
      </c>
      <c r="F3875" s="10" t="s">
        <v>333</v>
      </c>
      <c r="G3875" s="10" t="s">
        <v>6317</v>
      </c>
      <c r="H3875" s="11">
        <v>39773</v>
      </c>
      <c r="I3875" s="10">
        <v>2009</v>
      </c>
      <c r="J3875" s="10" t="s">
        <v>22214</v>
      </c>
      <c r="K3875" s="10">
        <v>295</v>
      </c>
      <c r="L3875" s="10" t="s">
        <v>22496</v>
      </c>
      <c r="M3875" s="10">
        <v>1</v>
      </c>
      <c r="N3875" s="10"/>
      <c r="O3875" s="10"/>
      <c r="P3875" s="10" t="s">
        <v>22497</v>
      </c>
      <c r="Q3875" s="10"/>
      <c r="R3875" s="10"/>
      <c r="S3875" s="10" t="s">
        <v>53</v>
      </c>
      <c r="T3875" s="10" t="s">
        <v>54</v>
      </c>
    </row>
    <row r="3876" spans="1:20" ht="14.5" x14ac:dyDescent="0.35">
      <c r="A3876" s="10" t="s">
        <v>22498</v>
      </c>
      <c r="B3876" s="10" t="str">
        <f>"9780803945548"</f>
        <v>9780803945548</v>
      </c>
      <c r="C3876" s="10" t="str">
        <f>"9781452254029"</f>
        <v>9781452254029</v>
      </c>
      <c r="D3876" s="10" t="s">
        <v>22210</v>
      </c>
      <c r="E3876" s="10" t="s">
        <v>22214</v>
      </c>
      <c r="F3876" s="10" t="s">
        <v>333</v>
      </c>
      <c r="G3876" s="10" t="s">
        <v>6317</v>
      </c>
      <c r="H3876" s="11">
        <v>34117</v>
      </c>
      <c r="I3876" s="10">
        <v>1993</v>
      </c>
      <c r="J3876" s="10" t="s">
        <v>22214</v>
      </c>
      <c r="K3876" s="10">
        <v>179</v>
      </c>
      <c r="L3876" s="10" t="s">
        <v>22499</v>
      </c>
      <c r="M3876" s="10">
        <v>1</v>
      </c>
      <c r="N3876" s="10"/>
      <c r="O3876" s="10"/>
      <c r="P3876" s="10">
        <v>93014935</v>
      </c>
      <c r="Q3876" s="10"/>
      <c r="R3876" s="10"/>
      <c r="S3876" s="10" t="s">
        <v>53</v>
      </c>
      <c r="T3876" s="10" t="s">
        <v>54</v>
      </c>
    </row>
    <row r="3877" spans="1:20" ht="14.5" x14ac:dyDescent="0.35">
      <c r="A3877" s="10" t="s">
        <v>22500</v>
      </c>
      <c r="B3877" s="10" t="str">
        <f>"9781412957410"</f>
        <v>9781412957410</v>
      </c>
      <c r="C3877" s="10" t="str">
        <f>"9781452244938"</f>
        <v>9781452244938</v>
      </c>
      <c r="D3877" s="10" t="s">
        <v>22210</v>
      </c>
      <c r="E3877" s="10" t="s">
        <v>22214</v>
      </c>
      <c r="F3877" s="10" t="s">
        <v>333</v>
      </c>
      <c r="G3877" s="10" t="s">
        <v>6317</v>
      </c>
      <c r="H3877" s="11">
        <v>39308</v>
      </c>
      <c r="I3877" s="10">
        <v>2008</v>
      </c>
      <c r="J3877" s="10" t="s">
        <v>22214</v>
      </c>
      <c r="K3877" s="10">
        <v>249</v>
      </c>
      <c r="L3877" s="10" t="s">
        <v>22427</v>
      </c>
      <c r="M3877" s="10">
        <v>1</v>
      </c>
      <c r="N3877" s="10"/>
      <c r="O3877" s="10"/>
      <c r="P3877" s="10" t="s">
        <v>22501</v>
      </c>
      <c r="Q3877" s="10">
        <v>371.2</v>
      </c>
      <c r="R3877" s="10" t="s">
        <v>22502</v>
      </c>
      <c r="S3877" s="10" t="s">
        <v>53</v>
      </c>
      <c r="T3877" s="10" t="s">
        <v>54</v>
      </c>
    </row>
    <row r="3878" spans="1:20" ht="14.5" x14ac:dyDescent="0.35">
      <c r="A3878" s="10" t="s">
        <v>22503</v>
      </c>
      <c r="B3878" s="10" t="str">
        <f>"9780803952164"</f>
        <v>9780803952164</v>
      </c>
      <c r="C3878" s="10" t="str">
        <f>"9781452253893"</f>
        <v>9781452253893</v>
      </c>
      <c r="D3878" s="10" t="s">
        <v>22210</v>
      </c>
      <c r="E3878" s="10" t="s">
        <v>22214</v>
      </c>
      <c r="F3878" s="10" t="s">
        <v>333</v>
      </c>
      <c r="G3878" s="10" t="s">
        <v>6317</v>
      </c>
      <c r="H3878" s="11">
        <v>34205</v>
      </c>
      <c r="I3878" s="10">
        <v>1993</v>
      </c>
      <c r="J3878" s="10" t="s">
        <v>22214</v>
      </c>
      <c r="K3878" s="10">
        <v>121</v>
      </c>
      <c r="L3878" s="10" t="s">
        <v>22504</v>
      </c>
      <c r="M3878" s="10">
        <v>1</v>
      </c>
      <c r="N3878" s="10" t="s">
        <v>22479</v>
      </c>
      <c r="O3878" s="10"/>
      <c r="P3878" s="10">
        <v>93005199</v>
      </c>
      <c r="Q3878" s="10"/>
      <c r="R3878" s="10"/>
      <c r="S3878" s="10" t="s">
        <v>53</v>
      </c>
      <c r="T3878" s="10" t="s">
        <v>54</v>
      </c>
    </row>
    <row r="3879" spans="1:20" ht="14.5" x14ac:dyDescent="0.35">
      <c r="A3879" s="10" t="s">
        <v>22505</v>
      </c>
      <c r="B3879" s="10" t="str">
        <f>"9780803948235"</f>
        <v>9780803948235</v>
      </c>
      <c r="C3879" s="10" t="str">
        <f>"9781452254395"</f>
        <v>9781452254395</v>
      </c>
      <c r="D3879" s="10" t="s">
        <v>22210</v>
      </c>
      <c r="E3879" s="10" t="s">
        <v>22214</v>
      </c>
      <c r="F3879" s="10" t="s">
        <v>333</v>
      </c>
      <c r="G3879" s="10" t="s">
        <v>6317</v>
      </c>
      <c r="H3879" s="11">
        <v>34214</v>
      </c>
      <c r="I3879" s="10">
        <v>1993</v>
      </c>
      <c r="J3879" s="10" t="s">
        <v>22214</v>
      </c>
      <c r="K3879" s="10">
        <v>98</v>
      </c>
      <c r="L3879" s="10" t="s">
        <v>22506</v>
      </c>
      <c r="M3879" s="10">
        <v>1</v>
      </c>
      <c r="N3879" s="10" t="s">
        <v>22479</v>
      </c>
      <c r="O3879" s="10"/>
      <c r="P3879" s="10">
        <v>93011405</v>
      </c>
      <c r="Q3879" s="10">
        <v>808.06664999999998</v>
      </c>
      <c r="R3879" s="10"/>
      <c r="S3879" s="10" t="s">
        <v>53</v>
      </c>
      <c r="T3879" s="10" t="s">
        <v>1166</v>
      </c>
    </row>
    <row r="3880" spans="1:20" ht="14.5" x14ac:dyDescent="0.35">
      <c r="A3880" s="10" t="s">
        <v>22507</v>
      </c>
      <c r="B3880" s="10" t="str">
        <f>"9780813546070"</f>
        <v>9780813546070</v>
      </c>
      <c r="C3880" s="10" t="str">
        <f>"9780813548487"</f>
        <v>9780813548487</v>
      </c>
      <c r="D3880" s="10" t="s">
        <v>12251</v>
      </c>
      <c r="E3880" s="10" t="s">
        <v>12251</v>
      </c>
      <c r="F3880" s="10" t="s">
        <v>12451</v>
      </c>
      <c r="G3880" s="10" t="s">
        <v>6317</v>
      </c>
      <c r="H3880" s="11">
        <v>40030</v>
      </c>
      <c r="I3880" s="10">
        <v>2009</v>
      </c>
      <c r="J3880" s="10" t="s">
        <v>12251</v>
      </c>
      <c r="K3880" s="10">
        <v>256</v>
      </c>
      <c r="L3880" s="10" t="s">
        <v>22508</v>
      </c>
      <c r="M3880" s="10">
        <v>1</v>
      </c>
      <c r="N3880" s="10"/>
      <c r="O3880" s="10"/>
      <c r="P3880" s="10" t="s">
        <v>22509</v>
      </c>
      <c r="Q3880" s="10" t="s">
        <v>22510</v>
      </c>
      <c r="R3880" s="10"/>
      <c r="S3880" s="10" t="s">
        <v>53</v>
      </c>
      <c r="T3880" s="10" t="s">
        <v>3668</v>
      </c>
    </row>
    <row r="3881" spans="1:20" ht="14.5" x14ac:dyDescent="0.35">
      <c r="A3881" s="10" t="s">
        <v>22511</v>
      </c>
      <c r="B3881" s="10" t="str">
        <f>"9781446207697"</f>
        <v>9781446207697</v>
      </c>
      <c r="C3881" s="10" t="str">
        <f>"9781446263853"</f>
        <v>9781446263853</v>
      </c>
      <c r="D3881" s="10" t="s">
        <v>9325</v>
      </c>
      <c r="E3881" s="10" t="s">
        <v>9326</v>
      </c>
      <c r="F3881" s="10" t="s">
        <v>139</v>
      </c>
      <c r="G3881" s="10" t="s">
        <v>6352</v>
      </c>
      <c r="H3881" s="11">
        <v>41088</v>
      </c>
      <c r="I3881" s="10">
        <v>2012</v>
      </c>
      <c r="J3881" s="10" t="s">
        <v>9326</v>
      </c>
      <c r="K3881" s="10">
        <v>123</v>
      </c>
      <c r="L3881" s="10" t="s">
        <v>22512</v>
      </c>
      <c r="M3881" s="10">
        <v>1</v>
      </c>
      <c r="N3881" s="10"/>
      <c r="O3881" s="10"/>
      <c r="P3881" s="10" t="s">
        <v>22513</v>
      </c>
      <c r="Q3881" s="10">
        <v>371.2011</v>
      </c>
      <c r="R3881" s="10" t="s">
        <v>22514</v>
      </c>
      <c r="S3881" s="10" t="s">
        <v>53</v>
      </c>
      <c r="T3881" s="10" t="s">
        <v>54</v>
      </c>
    </row>
    <row r="3882" spans="1:20" ht="14.5" x14ac:dyDescent="0.35">
      <c r="A3882" s="10" t="s">
        <v>22515</v>
      </c>
      <c r="B3882" s="10" t="str">
        <f>"9789056297022"</f>
        <v>9789056297022</v>
      </c>
      <c r="C3882" s="10" t="str">
        <f>"9789048516513"</f>
        <v>9789048516513</v>
      </c>
      <c r="D3882" s="10" t="s">
        <v>13287</v>
      </c>
      <c r="E3882" s="10" t="s">
        <v>13287</v>
      </c>
      <c r="F3882" s="10" t="s">
        <v>1818</v>
      </c>
      <c r="G3882" s="10" t="s">
        <v>9233</v>
      </c>
      <c r="H3882" s="11">
        <v>40909</v>
      </c>
      <c r="I3882" s="10">
        <v>2012</v>
      </c>
      <c r="J3882" s="10" t="s">
        <v>13443</v>
      </c>
      <c r="K3882" s="10">
        <v>69</v>
      </c>
      <c r="L3882" s="10" t="s">
        <v>22516</v>
      </c>
      <c r="M3882" s="10">
        <v>1</v>
      </c>
      <c r="N3882" s="10" t="s">
        <v>22517</v>
      </c>
      <c r="O3882" s="10"/>
      <c r="P3882" s="10" t="s">
        <v>22518</v>
      </c>
      <c r="Q3882" s="10">
        <v>615.85400000000004</v>
      </c>
      <c r="R3882" s="10" t="s">
        <v>22519</v>
      </c>
      <c r="S3882" s="10" t="s">
        <v>3107</v>
      </c>
      <c r="T3882" s="10" t="s">
        <v>22520</v>
      </c>
    </row>
    <row r="3883" spans="1:20" ht="14.5" x14ac:dyDescent="0.35">
      <c r="A3883" s="10" t="s">
        <v>22521</v>
      </c>
      <c r="B3883" s="10" t="str">
        <f>"9781416614302"</f>
        <v>9781416614302</v>
      </c>
      <c r="C3883" s="10" t="str">
        <f>"9781416614968"</f>
        <v>9781416614968</v>
      </c>
      <c r="D3883" s="10" t="s">
        <v>10014</v>
      </c>
      <c r="E3883" s="10" t="s">
        <v>10015</v>
      </c>
      <c r="F3883" s="10" t="s">
        <v>201</v>
      </c>
      <c r="G3883" s="10" t="s">
        <v>6317</v>
      </c>
      <c r="H3883" s="11">
        <v>41151</v>
      </c>
      <c r="I3883" s="10">
        <v>2012</v>
      </c>
      <c r="J3883" s="10" t="s">
        <v>10015</v>
      </c>
      <c r="K3883" s="10">
        <v>265</v>
      </c>
      <c r="L3883" s="10" t="s">
        <v>22522</v>
      </c>
      <c r="M3883" s="10">
        <v>2</v>
      </c>
      <c r="N3883" s="10"/>
      <c r="O3883" s="10"/>
      <c r="P3883" s="10"/>
      <c r="Q3883" s="10">
        <v>371.33</v>
      </c>
      <c r="R3883" s="10"/>
      <c r="S3883" s="10" t="s">
        <v>53</v>
      </c>
      <c r="T3883" s="10" t="s">
        <v>54</v>
      </c>
    </row>
    <row r="3884" spans="1:20" ht="14.5" x14ac:dyDescent="0.35">
      <c r="A3884" s="10" t="s">
        <v>22523</v>
      </c>
      <c r="B3884" s="10" t="str">
        <f>"9789004214262"</f>
        <v>9789004214262</v>
      </c>
      <c r="C3884" s="10" t="str">
        <f>"9789004214620"</f>
        <v>9789004214620</v>
      </c>
      <c r="D3884" s="10" t="s">
        <v>8564</v>
      </c>
      <c r="E3884" s="10" t="s">
        <v>8565</v>
      </c>
      <c r="F3884" s="10" t="s">
        <v>1420</v>
      </c>
      <c r="G3884" s="10" t="s">
        <v>6317</v>
      </c>
      <c r="H3884" s="11">
        <v>40858</v>
      </c>
      <c r="I3884" s="10">
        <v>2012</v>
      </c>
      <c r="J3884" s="10" t="s">
        <v>8565</v>
      </c>
      <c r="K3884" s="10">
        <v>238</v>
      </c>
      <c r="L3884" s="10" t="s">
        <v>22524</v>
      </c>
      <c r="M3884" s="10">
        <v>1</v>
      </c>
      <c r="N3884" s="10" t="s">
        <v>22525</v>
      </c>
      <c r="O3884" s="10">
        <v>24</v>
      </c>
      <c r="P3884" s="10" t="s">
        <v>22526</v>
      </c>
      <c r="Q3884" s="10">
        <v>378.411</v>
      </c>
      <c r="R3884" s="10" t="s">
        <v>22527</v>
      </c>
      <c r="S3884" s="10" t="s">
        <v>53</v>
      </c>
      <c r="T3884" s="10" t="s">
        <v>54</v>
      </c>
    </row>
    <row r="3885" spans="1:20" ht="14.5" x14ac:dyDescent="0.35">
      <c r="A3885" s="10" t="s">
        <v>22528</v>
      </c>
      <c r="B3885" s="10" t="str">
        <f>"9789004216945"</f>
        <v>9789004216945</v>
      </c>
      <c r="C3885" s="10" t="str">
        <f>"9789004218307"</f>
        <v>9789004218307</v>
      </c>
      <c r="D3885" s="10" t="s">
        <v>8564</v>
      </c>
      <c r="E3885" s="10" t="s">
        <v>8565</v>
      </c>
      <c r="F3885" s="10" t="s">
        <v>1420</v>
      </c>
      <c r="G3885" s="10" t="s">
        <v>6317</v>
      </c>
      <c r="H3885" s="11">
        <v>40872</v>
      </c>
      <c r="I3885" s="10">
        <v>2011</v>
      </c>
      <c r="J3885" s="10" t="s">
        <v>8565</v>
      </c>
      <c r="K3885" s="10">
        <v>340</v>
      </c>
      <c r="L3885" s="10" t="s">
        <v>22529</v>
      </c>
      <c r="M3885" s="10">
        <v>1</v>
      </c>
      <c r="N3885" s="10" t="s">
        <v>22525</v>
      </c>
      <c r="O3885" s="10">
        <v>25</v>
      </c>
      <c r="P3885" s="10"/>
      <c r="Q3885" s="10">
        <v>378.48090339999999</v>
      </c>
      <c r="R3885" s="10"/>
      <c r="S3885" s="10" t="s">
        <v>53</v>
      </c>
      <c r="T3885" s="10" t="s">
        <v>54</v>
      </c>
    </row>
    <row r="3886" spans="1:20" ht="14.5" x14ac:dyDescent="0.35">
      <c r="A3886" s="10" t="s">
        <v>22530</v>
      </c>
      <c r="B3886" s="10" t="str">
        <f>"9781742233291"</f>
        <v>9781742233291</v>
      </c>
      <c r="C3886" s="10" t="str">
        <f>"9781742245935"</f>
        <v>9781742245935</v>
      </c>
      <c r="D3886" s="10" t="s">
        <v>9215</v>
      </c>
      <c r="E3886" s="10" t="s">
        <v>22531</v>
      </c>
      <c r="F3886" s="10" t="s">
        <v>674</v>
      </c>
      <c r="G3886" s="10" t="s">
        <v>6317</v>
      </c>
      <c r="H3886" s="11">
        <v>41122</v>
      </c>
      <c r="I3886" s="10">
        <v>2012</v>
      </c>
      <c r="J3886" s="10" t="s">
        <v>22532</v>
      </c>
      <c r="K3886" s="10">
        <v>268</v>
      </c>
      <c r="L3886" s="10" t="s">
        <v>22533</v>
      </c>
      <c r="M3886" s="10"/>
      <c r="N3886" s="10"/>
      <c r="O3886" s="10"/>
      <c r="P3886" s="10" t="s">
        <v>22534</v>
      </c>
      <c r="Q3886" s="10">
        <v>371</v>
      </c>
      <c r="R3886" s="10" t="s">
        <v>22535</v>
      </c>
      <c r="S3886" s="10" t="s">
        <v>53</v>
      </c>
      <c r="T3886" s="10" t="s">
        <v>54</v>
      </c>
    </row>
    <row r="3887" spans="1:20" ht="14.5" x14ac:dyDescent="0.35">
      <c r="A3887" s="10" t="s">
        <v>22536</v>
      </c>
      <c r="B3887" s="10" t="str">
        <f>"9781416614081"</f>
        <v>9781416614081</v>
      </c>
      <c r="C3887" s="10" t="str">
        <f>"9781416614562"</f>
        <v>9781416614562</v>
      </c>
      <c r="D3887" s="10" t="s">
        <v>10014</v>
      </c>
      <c r="E3887" s="10" t="s">
        <v>10015</v>
      </c>
      <c r="F3887" s="10" t="s">
        <v>201</v>
      </c>
      <c r="G3887" s="10" t="s">
        <v>6317</v>
      </c>
      <c r="H3887" s="11">
        <v>41029</v>
      </c>
      <c r="I3887" s="10">
        <v>2012</v>
      </c>
      <c r="J3887" s="10" t="s">
        <v>10015</v>
      </c>
      <c r="K3887" s="10">
        <v>233</v>
      </c>
      <c r="L3887" s="10" t="s">
        <v>22537</v>
      </c>
      <c r="M3887" s="10">
        <v>1</v>
      </c>
      <c r="N3887" s="10"/>
      <c r="O3887" s="10"/>
      <c r="P3887" s="10" t="s">
        <v>22538</v>
      </c>
      <c r="Q3887" s="10" t="s">
        <v>8460</v>
      </c>
      <c r="R3887" s="10" t="s">
        <v>22539</v>
      </c>
      <c r="S3887" s="10" t="s">
        <v>53</v>
      </c>
      <c r="T3887" s="10" t="s">
        <v>54</v>
      </c>
    </row>
    <row r="3888" spans="1:20" ht="14.5" x14ac:dyDescent="0.35">
      <c r="A3888" s="10" t="s">
        <v>22540</v>
      </c>
      <c r="B3888" s="10" t="str">
        <f>"9781610485814"</f>
        <v>9781610485814</v>
      </c>
      <c r="C3888" s="10" t="str">
        <f>"9781610485838"</f>
        <v>9781610485838</v>
      </c>
      <c r="D3888" s="10" t="s">
        <v>9752</v>
      </c>
      <c r="E3888" s="10" t="s">
        <v>15192</v>
      </c>
      <c r="F3888" s="10" t="s">
        <v>9754</v>
      </c>
      <c r="G3888" s="10" t="s">
        <v>6317</v>
      </c>
      <c r="H3888" s="11">
        <v>40864</v>
      </c>
      <c r="I3888" s="10">
        <v>2011</v>
      </c>
      <c r="J3888" s="10" t="s">
        <v>15192</v>
      </c>
      <c r="K3888" s="10">
        <v>150</v>
      </c>
      <c r="L3888" s="10" t="s">
        <v>22541</v>
      </c>
      <c r="M3888" s="10">
        <v>1</v>
      </c>
      <c r="N3888" s="10"/>
      <c r="O3888" s="10"/>
      <c r="P3888" s="10" t="s">
        <v>22542</v>
      </c>
      <c r="Q3888" s="10">
        <v>370.15</v>
      </c>
      <c r="R3888" s="10" t="s">
        <v>22543</v>
      </c>
      <c r="S3888" s="10" t="s">
        <v>53</v>
      </c>
      <c r="T3888" s="10" t="s">
        <v>54</v>
      </c>
    </row>
    <row r="3889" spans="1:20" ht="14.5" x14ac:dyDescent="0.35">
      <c r="A3889" s="10" t="s">
        <v>22544</v>
      </c>
      <c r="B3889" s="10" t="str">
        <f>"9780415808736"</f>
        <v>9780415808736</v>
      </c>
      <c r="C3889" s="10" t="str">
        <f>"9781136493355"</f>
        <v>9781136493355</v>
      </c>
      <c r="D3889" s="10" t="s">
        <v>6350</v>
      </c>
      <c r="E3889" s="10" t="s">
        <v>6351</v>
      </c>
      <c r="F3889" s="10" t="s">
        <v>748</v>
      </c>
      <c r="G3889" s="10" t="s">
        <v>6352</v>
      </c>
      <c r="H3889" s="11">
        <v>41061</v>
      </c>
      <c r="I3889" s="10">
        <v>2012</v>
      </c>
      <c r="J3889" s="10" t="s">
        <v>6351</v>
      </c>
      <c r="K3889" s="10">
        <v>284</v>
      </c>
      <c r="L3889" s="10" t="s">
        <v>22545</v>
      </c>
      <c r="M3889" s="10">
        <v>1</v>
      </c>
      <c r="N3889" s="10" t="s">
        <v>12310</v>
      </c>
      <c r="O3889" s="10"/>
      <c r="P3889" s="10" t="s">
        <v>22546</v>
      </c>
      <c r="Q3889" s="10">
        <v>375.00099999999998</v>
      </c>
      <c r="R3889" s="10" t="s">
        <v>22547</v>
      </c>
      <c r="S3889" s="10" t="s">
        <v>53</v>
      </c>
      <c r="T3889" s="10" t="s">
        <v>54</v>
      </c>
    </row>
    <row r="3890" spans="1:20" ht="14.5" x14ac:dyDescent="0.35">
      <c r="A3890" s="10" t="s">
        <v>22548</v>
      </c>
      <c r="B3890" s="10" t="str">
        <f>"9780415894562"</f>
        <v>9780415894562</v>
      </c>
      <c r="C3890" s="10" t="str">
        <f>"9781136578359"</f>
        <v>9781136578359</v>
      </c>
      <c r="D3890" s="10" t="s">
        <v>6350</v>
      </c>
      <c r="E3890" s="10" t="s">
        <v>6351</v>
      </c>
      <c r="F3890" s="10" t="s">
        <v>139</v>
      </c>
      <c r="G3890" s="10" t="s">
        <v>6352</v>
      </c>
      <c r="H3890" s="11">
        <v>41129</v>
      </c>
      <c r="I3890" s="10">
        <v>2012</v>
      </c>
      <c r="J3890" s="10" t="s">
        <v>6353</v>
      </c>
      <c r="K3890" s="10">
        <v>317</v>
      </c>
      <c r="L3890" s="10" t="s">
        <v>22549</v>
      </c>
      <c r="M3890" s="10">
        <v>1</v>
      </c>
      <c r="N3890" s="10"/>
      <c r="O3890" s="10"/>
      <c r="P3890" s="10" t="s">
        <v>22550</v>
      </c>
      <c r="Q3890" s="10">
        <v>371.26</v>
      </c>
      <c r="R3890" s="10" t="s">
        <v>19042</v>
      </c>
      <c r="S3890" s="10" t="s">
        <v>53</v>
      </c>
      <c r="T3890" s="10" t="s">
        <v>54</v>
      </c>
    </row>
    <row r="3891" spans="1:20" ht="14.5" x14ac:dyDescent="0.35">
      <c r="A3891" s="10" t="s">
        <v>22551</v>
      </c>
      <c r="B3891" s="10" t="str">
        <f>"9780415500753"</f>
        <v>9780415500753</v>
      </c>
      <c r="C3891" s="10" t="str">
        <f>"9781136470424"</f>
        <v>9781136470424</v>
      </c>
      <c r="D3891" s="10" t="s">
        <v>6350</v>
      </c>
      <c r="E3891" s="10" t="s">
        <v>6351</v>
      </c>
      <c r="F3891" s="10" t="s">
        <v>139</v>
      </c>
      <c r="G3891" s="10" t="s">
        <v>6352</v>
      </c>
      <c r="H3891" s="11">
        <v>40885</v>
      </c>
      <c r="I3891" s="10">
        <v>2012</v>
      </c>
      <c r="J3891" s="10" t="s">
        <v>6353</v>
      </c>
      <c r="K3891" s="10">
        <v>233</v>
      </c>
      <c r="L3891" s="10" t="s">
        <v>22552</v>
      </c>
      <c r="M3891" s="10">
        <v>1</v>
      </c>
      <c r="N3891" s="10" t="s">
        <v>21400</v>
      </c>
      <c r="O3891" s="10"/>
      <c r="P3891" s="10" t="s">
        <v>22553</v>
      </c>
      <c r="Q3891" s="10">
        <v>370.11500000000001</v>
      </c>
      <c r="R3891" s="10" t="s">
        <v>22554</v>
      </c>
      <c r="S3891" s="10" t="s">
        <v>53</v>
      </c>
      <c r="T3891" s="10" t="s">
        <v>54</v>
      </c>
    </row>
    <row r="3892" spans="1:20" ht="14.5" x14ac:dyDescent="0.35">
      <c r="A3892" s="10" t="s">
        <v>22555</v>
      </c>
      <c r="B3892" s="10" t="str">
        <f>"9780415697668"</f>
        <v>9780415697668</v>
      </c>
      <c r="C3892" s="10" t="str">
        <f>"9781136491818"</f>
        <v>9781136491818</v>
      </c>
      <c r="D3892" s="10" t="s">
        <v>6350</v>
      </c>
      <c r="E3892" s="10" t="s">
        <v>6351</v>
      </c>
      <c r="F3892" s="10" t="s">
        <v>139</v>
      </c>
      <c r="G3892" s="10" t="s">
        <v>6352</v>
      </c>
      <c r="H3892" s="11">
        <v>40885</v>
      </c>
      <c r="I3892" s="10">
        <v>2012</v>
      </c>
      <c r="J3892" s="10" t="s">
        <v>6353</v>
      </c>
      <c r="K3892" s="10">
        <v>305</v>
      </c>
      <c r="L3892" s="10" t="s">
        <v>22556</v>
      </c>
      <c r="M3892" s="10">
        <v>1</v>
      </c>
      <c r="N3892" s="10" t="s">
        <v>21400</v>
      </c>
      <c r="O3892" s="10"/>
      <c r="P3892" s="10" t="s">
        <v>22557</v>
      </c>
      <c r="Q3892" s="10">
        <v>370.1</v>
      </c>
      <c r="R3892" s="10" t="s">
        <v>8440</v>
      </c>
      <c r="S3892" s="10" t="s">
        <v>53</v>
      </c>
      <c r="T3892" s="10" t="s">
        <v>54</v>
      </c>
    </row>
    <row r="3893" spans="1:20" ht="14.5" x14ac:dyDescent="0.35">
      <c r="A3893" s="10" t="s">
        <v>22558</v>
      </c>
      <c r="B3893" s="10" t="str">
        <f>"9780415696975"</f>
        <v>9780415696975</v>
      </c>
      <c r="C3893" s="10" t="str">
        <f>"9781136492440"</f>
        <v>9781136492440</v>
      </c>
      <c r="D3893" s="10" t="s">
        <v>6350</v>
      </c>
      <c r="E3893" s="10" t="s">
        <v>6351</v>
      </c>
      <c r="F3893" s="10" t="s">
        <v>748</v>
      </c>
      <c r="G3893" s="10" t="s">
        <v>6352</v>
      </c>
      <c r="H3893" s="11">
        <v>40885</v>
      </c>
      <c r="I3893" s="10">
        <v>1926</v>
      </c>
      <c r="J3893" s="10" t="s">
        <v>6351</v>
      </c>
      <c r="K3893" s="10">
        <v>120</v>
      </c>
      <c r="L3893" s="10" t="s">
        <v>22559</v>
      </c>
      <c r="M3893" s="10">
        <v>1</v>
      </c>
      <c r="N3893" s="10" t="s">
        <v>21400</v>
      </c>
      <c r="O3893" s="10"/>
      <c r="P3893" s="10" t="s">
        <v>22560</v>
      </c>
      <c r="Q3893" s="10">
        <v>501</v>
      </c>
      <c r="R3893" s="10" t="s">
        <v>6415</v>
      </c>
      <c r="S3893" s="10" t="s">
        <v>53</v>
      </c>
      <c r="T3893" s="10" t="s">
        <v>22561</v>
      </c>
    </row>
    <row r="3894" spans="1:20" ht="14.5" x14ac:dyDescent="0.35">
      <c r="A3894" s="10" t="s">
        <v>22562</v>
      </c>
      <c r="B3894" s="10" t="str">
        <f>"9780415687690"</f>
        <v>9780415687690</v>
      </c>
      <c r="C3894" s="10" t="str">
        <f>"9781136296871"</f>
        <v>9781136296871</v>
      </c>
      <c r="D3894" s="10" t="s">
        <v>6350</v>
      </c>
      <c r="E3894" s="10" t="s">
        <v>6351</v>
      </c>
      <c r="F3894" s="10" t="s">
        <v>748</v>
      </c>
      <c r="G3894" s="10" t="s">
        <v>6352</v>
      </c>
      <c r="H3894" s="11">
        <v>41137</v>
      </c>
      <c r="I3894" s="10">
        <v>2013</v>
      </c>
      <c r="J3894" s="10" t="s">
        <v>6351</v>
      </c>
      <c r="K3894" s="10">
        <v>169</v>
      </c>
      <c r="L3894" s="10" t="s">
        <v>22563</v>
      </c>
      <c r="M3894" s="10">
        <v>1</v>
      </c>
      <c r="N3894" s="10" t="s">
        <v>21550</v>
      </c>
      <c r="O3894" s="10"/>
      <c r="P3894" s="10" t="s">
        <v>22564</v>
      </c>
      <c r="Q3894" s="10" t="s">
        <v>9360</v>
      </c>
      <c r="R3894" s="10" t="s">
        <v>19179</v>
      </c>
      <c r="S3894" s="10" t="s">
        <v>53</v>
      </c>
      <c r="T3894" s="10" t="s">
        <v>54</v>
      </c>
    </row>
    <row r="3895" spans="1:20" ht="14.5" x14ac:dyDescent="0.35">
      <c r="A3895" s="10" t="s">
        <v>22565</v>
      </c>
      <c r="B3895" s="10" t="str">
        <f>"9780415504188"</f>
        <v>9780415504188</v>
      </c>
      <c r="C3895" s="10" t="str">
        <f>"9781136469510"</f>
        <v>9781136469510</v>
      </c>
      <c r="D3895" s="10" t="s">
        <v>6350</v>
      </c>
      <c r="E3895" s="10" t="s">
        <v>6351</v>
      </c>
      <c r="F3895" s="10" t="s">
        <v>139</v>
      </c>
      <c r="G3895" s="10" t="s">
        <v>6352</v>
      </c>
      <c r="H3895" s="11">
        <v>41115</v>
      </c>
      <c r="I3895" s="10">
        <v>2013</v>
      </c>
      <c r="J3895" s="10" t="s">
        <v>6353</v>
      </c>
      <c r="K3895" s="10">
        <v>273</v>
      </c>
      <c r="L3895" s="10" t="s">
        <v>22566</v>
      </c>
      <c r="M3895" s="10">
        <v>1</v>
      </c>
      <c r="N3895" s="10"/>
      <c r="O3895" s="10"/>
      <c r="P3895" s="10" t="s">
        <v>22567</v>
      </c>
      <c r="Q3895" s="10" t="s">
        <v>6576</v>
      </c>
      <c r="R3895" s="10" t="s">
        <v>19491</v>
      </c>
      <c r="S3895" s="10" t="s">
        <v>53</v>
      </c>
      <c r="T3895" s="10" t="s">
        <v>54</v>
      </c>
    </row>
    <row r="3896" spans="1:20" ht="14.5" x14ac:dyDescent="0.35">
      <c r="A3896" s="10" t="s">
        <v>22568</v>
      </c>
      <c r="B3896" s="10" t="str">
        <f>"9780415500739"</f>
        <v>9780415500739</v>
      </c>
      <c r="C3896" s="10" t="str">
        <f>"9781136468605"</f>
        <v>9781136468605</v>
      </c>
      <c r="D3896" s="10" t="s">
        <v>6350</v>
      </c>
      <c r="E3896" s="10" t="s">
        <v>6351</v>
      </c>
      <c r="F3896" s="10" t="s">
        <v>139</v>
      </c>
      <c r="G3896" s="10" t="s">
        <v>6352</v>
      </c>
      <c r="H3896" s="11">
        <v>40885</v>
      </c>
      <c r="I3896" s="10">
        <v>2012</v>
      </c>
      <c r="J3896" s="10" t="s">
        <v>6353</v>
      </c>
      <c r="K3896" s="10">
        <v>401</v>
      </c>
      <c r="L3896" s="10" t="s">
        <v>22569</v>
      </c>
      <c r="M3896" s="10">
        <v>1</v>
      </c>
      <c r="N3896" s="10" t="s">
        <v>21400</v>
      </c>
      <c r="O3896" s="10"/>
      <c r="P3896" s="10" t="s">
        <v>22570</v>
      </c>
      <c r="Q3896" s="10">
        <v>370.11500000000001</v>
      </c>
      <c r="R3896" s="10" t="s">
        <v>22554</v>
      </c>
      <c r="S3896" s="10" t="s">
        <v>53</v>
      </c>
      <c r="T3896" s="10" t="s">
        <v>54</v>
      </c>
    </row>
    <row r="3897" spans="1:20" ht="14.5" x14ac:dyDescent="0.35">
      <c r="A3897" s="10" t="s">
        <v>22571</v>
      </c>
      <c r="B3897" s="10" t="str">
        <f>"9780415808446"</f>
        <v>9780415808446</v>
      </c>
      <c r="C3897" s="10" t="str">
        <f>"9781136264788"</f>
        <v>9781136264788</v>
      </c>
      <c r="D3897" s="10" t="s">
        <v>6350</v>
      </c>
      <c r="E3897" s="10" t="s">
        <v>6351</v>
      </c>
      <c r="F3897" s="10" t="s">
        <v>3967</v>
      </c>
      <c r="G3897" s="10" t="s">
        <v>6352</v>
      </c>
      <c r="H3897" s="11">
        <v>41129</v>
      </c>
      <c r="I3897" s="10">
        <v>2013</v>
      </c>
      <c r="J3897" s="10" t="s">
        <v>6353</v>
      </c>
      <c r="K3897" s="10">
        <v>193</v>
      </c>
      <c r="L3897" s="10" t="s">
        <v>16668</v>
      </c>
      <c r="M3897" s="10">
        <v>1</v>
      </c>
      <c r="N3897" s="10"/>
      <c r="O3897" s="10"/>
      <c r="P3897" s="10" t="s">
        <v>22572</v>
      </c>
      <c r="Q3897" s="10">
        <v>371.33</v>
      </c>
      <c r="R3897" s="10" t="s">
        <v>22573</v>
      </c>
      <c r="S3897" s="10" t="s">
        <v>53</v>
      </c>
      <c r="T3897" s="10" t="s">
        <v>54</v>
      </c>
    </row>
    <row r="3898" spans="1:20" ht="14.5" x14ac:dyDescent="0.35">
      <c r="A3898" s="10" t="s">
        <v>22574</v>
      </c>
      <c r="B3898" s="10" t="str">
        <f>"9781848729278"</f>
        <v>9781848729278</v>
      </c>
      <c r="C3898" s="10" t="str">
        <f>"9781136334597"</f>
        <v>9781136334597</v>
      </c>
      <c r="D3898" s="10" t="s">
        <v>6350</v>
      </c>
      <c r="E3898" s="10" t="s">
        <v>6351</v>
      </c>
      <c r="F3898" s="10" t="s">
        <v>139</v>
      </c>
      <c r="G3898" s="10" t="s">
        <v>6352</v>
      </c>
      <c r="H3898" s="11">
        <v>41005</v>
      </c>
      <c r="I3898" s="10">
        <v>2012</v>
      </c>
      <c r="J3898" s="10" t="s">
        <v>4324</v>
      </c>
      <c r="K3898" s="10">
        <v>257</v>
      </c>
      <c r="L3898" s="10" t="s">
        <v>22575</v>
      </c>
      <c r="M3898" s="10">
        <v>1</v>
      </c>
      <c r="N3898" s="10"/>
      <c r="O3898" s="10"/>
      <c r="P3898" s="10" t="s">
        <v>22576</v>
      </c>
      <c r="Q3898" s="10">
        <v>153</v>
      </c>
      <c r="R3898" s="10" t="s">
        <v>1133</v>
      </c>
      <c r="S3898" s="10" t="s">
        <v>53</v>
      </c>
      <c r="T3898" s="10" t="s">
        <v>483</v>
      </c>
    </row>
    <row r="3899" spans="1:20" ht="14.5" x14ac:dyDescent="0.35">
      <c r="A3899" s="10" t="s">
        <v>22577</v>
      </c>
      <c r="B3899" s="10" t="str">
        <f>"9780415697316"</f>
        <v>9780415697316</v>
      </c>
      <c r="C3899" s="10" t="str">
        <f>"9781136241307"</f>
        <v>9781136241307</v>
      </c>
      <c r="D3899" s="10" t="s">
        <v>6350</v>
      </c>
      <c r="E3899" s="10" t="s">
        <v>6351</v>
      </c>
      <c r="F3899" s="10" t="s">
        <v>748</v>
      </c>
      <c r="G3899" s="10" t="s">
        <v>6352</v>
      </c>
      <c r="H3899" s="11">
        <v>41134</v>
      </c>
      <c r="I3899" s="10">
        <v>2013</v>
      </c>
      <c r="J3899" s="10" t="s">
        <v>6351</v>
      </c>
      <c r="K3899" s="10">
        <v>196</v>
      </c>
      <c r="L3899" s="10" t="s">
        <v>22578</v>
      </c>
      <c r="M3899" s="10">
        <v>1</v>
      </c>
      <c r="N3899" s="10" t="s">
        <v>22035</v>
      </c>
      <c r="O3899" s="10"/>
      <c r="P3899" s="10" t="s">
        <v>22579</v>
      </c>
      <c r="Q3899" s="10">
        <v>370.15230000000003</v>
      </c>
      <c r="R3899" s="10" t="s">
        <v>22580</v>
      </c>
      <c r="S3899" s="10" t="s">
        <v>53</v>
      </c>
      <c r="T3899" s="10" t="s">
        <v>6640</v>
      </c>
    </row>
    <row r="3900" spans="1:20" ht="14.5" x14ac:dyDescent="0.35">
      <c r="A3900" s="10" t="s">
        <v>22581</v>
      </c>
      <c r="B3900" s="10" t="str">
        <f>"9781412904070"</f>
        <v>9781412904070</v>
      </c>
      <c r="C3900" s="10" t="str">
        <f>"9781452263113"</f>
        <v>9781452263113</v>
      </c>
      <c r="D3900" s="10" t="s">
        <v>22210</v>
      </c>
      <c r="E3900" s="10" t="s">
        <v>22214</v>
      </c>
      <c r="F3900" s="10" t="s">
        <v>333</v>
      </c>
      <c r="G3900" s="10" t="s">
        <v>6317</v>
      </c>
      <c r="H3900" s="11">
        <v>38330</v>
      </c>
      <c r="I3900" s="10">
        <v>2005</v>
      </c>
      <c r="J3900" s="10" t="s">
        <v>22214</v>
      </c>
      <c r="K3900" s="10">
        <v>289</v>
      </c>
      <c r="L3900" s="10" t="s">
        <v>22582</v>
      </c>
      <c r="M3900" s="10">
        <v>1</v>
      </c>
      <c r="N3900" s="10"/>
      <c r="O3900" s="10"/>
      <c r="P3900" s="10">
        <v>2004016439</v>
      </c>
      <c r="Q3900" s="10">
        <v>371.10199999999998</v>
      </c>
      <c r="R3900" s="10"/>
      <c r="S3900" s="10" t="s">
        <v>53</v>
      </c>
      <c r="T3900" s="10" t="s">
        <v>54</v>
      </c>
    </row>
    <row r="3901" spans="1:20" ht="14.5" x14ac:dyDescent="0.35">
      <c r="A3901" s="10" t="s">
        <v>22583</v>
      </c>
      <c r="B3901" s="10" t="str">
        <f>"9781412938877"</f>
        <v>9781412938877</v>
      </c>
      <c r="C3901" s="10" t="str">
        <f>"9781452239798"</f>
        <v>9781452239798</v>
      </c>
      <c r="D3901" s="10" t="s">
        <v>22210</v>
      </c>
      <c r="E3901" s="10" t="s">
        <v>22211</v>
      </c>
      <c r="F3901" s="10" t="s">
        <v>333</v>
      </c>
      <c r="G3901" s="10" t="s">
        <v>6317</v>
      </c>
      <c r="H3901" s="11">
        <v>39918</v>
      </c>
      <c r="I3901" s="10">
        <v>2009</v>
      </c>
      <c r="J3901" s="10" t="s">
        <v>22211</v>
      </c>
      <c r="K3901" s="10">
        <v>249</v>
      </c>
      <c r="L3901" s="10" t="s">
        <v>22584</v>
      </c>
      <c r="M3901" s="10">
        <v>3</v>
      </c>
      <c r="N3901" s="10"/>
      <c r="O3901" s="10"/>
      <c r="P3901" s="10"/>
      <c r="Q3901" s="10">
        <v>370.15199999999999</v>
      </c>
      <c r="R3901" s="10"/>
      <c r="S3901" s="10" t="s">
        <v>53</v>
      </c>
      <c r="T3901" s="10" t="s">
        <v>54</v>
      </c>
    </row>
    <row r="3902" spans="1:20" ht="14.5" x14ac:dyDescent="0.35">
      <c r="A3902" s="10" t="s">
        <v>22585</v>
      </c>
      <c r="B3902" s="10" t="str">
        <f>"9781412975292"</f>
        <v>9781412975292</v>
      </c>
      <c r="C3902" s="10" t="str">
        <f>"9781452264011"</f>
        <v>9781452264011</v>
      </c>
      <c r="D3902" s="10" t="s">
        <v>22210</v>
      </c>
      <c r="E3902" s="10" t="s">
        <v>22214</v>
      </c>
      <c r="F3902" s="10" t="s">
        <v>333</v>
      </c>
      <c r="G3902" s="10" t="s">
        <v>6317</v>
      </c>
      <c r="H3902" s="11">
        <v>40640</v>
      </c>
      <c r="I3902" s="10">
        <v>2012</v>
      </c>
      <c r="J3902" s="10" t="s">
        <v>22214</v>
      </c>
      <c r="K3902" s="10">
        <v>297</v>
      </c>
      <c r="L3902" s="10" t="s">
        <v>22586</v>
      </c>
      <c r="M3902" s="10">
        <v>1</v>
      </c>
      <c r="N3902" s="10"/>
      <c r="O3902" s="10"/>
      <c r="P3902" s="10"/>
      <c r="Q3902" s="10">
        <v>372.43</v>
      </c>
      <c r="R3902" s="10"/>
      <c r="S3902" s="10" t="s">
        <v>53</v>
      </c>
      <c r="T3902" s="10" t="s">
        <v>54</v>
      </c>
    </row>
    <row r="3903" spans="1:20" ht="14.5" x14ac:dyDescent="0.35">
      <c r="A3903" s="10" t="s">
        <v>22587</v>
      </c>
      <c r="B3903" s="10" t="str">
        <f>"9781412981118"</f>
        <v>9781412981118</v>
      </c>
      <c r="C3903" s="10" t="str">
        <f>"9781452266053"</f>
        <v>9781452266053</v>
      </c>
      <c r="D3903" s="10" t="s">
        <v>22210</v>
      </c>
      <c r="E3903" s="10" t="s">
        <v>22214</v>
      </c>
      <c r="F3903" s="10" t="s">
        <v>333</v>
      </c>
      <c r="G3903" s="10" t="s">
        <v>6317</v>
      </c>
      <c r="H3903" s="11">
        <v>40135</v>
      </c>
      <c r="I3903" s="10">
        <v>2010</v>
      </c>
      <c r="J3903" s="10" t="s">
        <v>22214</v>
      </c>
      <c r="K3903" s="10">
        <v>585</v>
      </c>
      <c r="L3903" s="10" t="s">
        <v>22588</v>
      </c>
      <c r="M3903" s="10">
        <v>1</v>
      </c>
      <c r="N3903" s="10"/>
      <c r="O3903" s="10"/>
      <c r="P3903" s="10" t="s">
        <v>22589</v>
      </c>
      <c r="Q3903" s="10">
        <v>344.73</v>
      </c>
      <c r="R3903" s="10" t="s">
        <v>22590</v>
      </c>
      <c r="S3903" s="10" t="s">
        <v>53</v>
      </c>
      <c r="T3903" s="10" t="s">
        <v>5396</v>
      </c>
    </row>
    <row r="3904" spans="1:20" ht="14.5" x14ac:dyDescent="0.35">
      <c r="A3904" s="10" t="s">
        <v>22591</v>
      </c>
      <c r="B3904" s="10" t="str">
        <f>"9780230338807"</f>
        <v>9780230338807</v>
      </c>
      <c r="C3904" s="10" t="str">
        <f>"9781137014634"</f>
        <v>9781137014634</v>
      </c>
      <c r="D3904" s="10" t="s">
        <v>11249</v>
      </c>
      <c r="E3904" s="10" t="s">
        <v>2400</v>
      </c>
      <c r="F3904" s="10" t="s">
        <v>70</v>
      </c>
      <c r="G3904" s="10" t="s">
        <v>6317</v>
      </c>
      <c r="H3904" s="11">
        <v>41137</v>
      </c>
      <c r="I3904" s="10">
        <v>2012</v>
      </c>
      <c r="J3904" s="10" t="s">
        <v>2400</v>
      </c>
      <c r="K3904" s="10">
        <v>304</v>
      </c>
      <c r="L3904" s="10" t="s">
        <v>22592</v>
      </c>
      <c r="M3904" s="10">
        <v>1</v>
      </c>
      <c r="N3904" s="10" t="s">
        <v>17721</v>
      </c>
      <c r="O3904" s="10"/>
      <c r="P3904" s="10" t="s">
        <v>17110</v>
      </c>
      <c r="Q3904" s="10"/>
      <c r="R3904" s="10" t="s">
        <v>11371</v>
      </c>
      <c r="S3904" s="10" t="s">
        <v>53</v>
      </c>
      <c r="T3904" s="10" t="s">
        <v>54</v>
      </c>
    </row>
    <row r="3905" spans="1:20" ht="14.5" x14ac:dyDescent="0.35">
      <c r="A3905" s="10" t="s">
        <v>22593</v>
      </c>
      <c r="B3905" s="10" t="str">
        <f>"9780415664288"</f>
        <v>9780415664288</v>
      </c>
      <c r="C3905" s="10" t="str">
        <f>"9781136722554"</f>
        <v>9781136722554</v>
      </c>
      <c r="D3905" s="10" t="s">
        <v>6350</v>
      </c>
      <c r="E3905" s="10" t="s">
        <v>6351</v>
      </c>
      <c r="F3905" s="10" t="s">
        <v>139</v>
      </c>
      <c r="G3905" s="10" t="s">
        <v>6352</v>
      </c>
      <c r="H3905" s="11">
        <v>40885</v>
      </c>
      <c r="I3905" s="10">
        <v>1958</v>
      </c>
      <c r="J3905" s="10" t="s">
        <v>6353</v>
      </c>
      <c r="K3905" s="10">
        <v>353</v>
      </c>
      <c r="L3905" s="10" t="s">
        <v>21597</v>
      </c>
      <c r="M3905" s="10">
        <v>1</v>
      </c>
      <c r="N3905" s="10" t="s">
        <v>21400</v>
      </c>
      <c r="O3905" s="10"/>
      <c r="P3905" s="10" t="s">
        <v>22594</v>
      </c>
      <c r="Q3905" s="10">
        <v>370.9</v>
      </c>
      <c r="R3905" s="10" t="s">
        <v>22595</v>
      </c>
      <c r="S3905" s="10" t="s">
        <v>53</v>
      </c>
      <c r="T3905" s="10" t="s">
        <v>54</v>
      </c>
    </row>
    <row r="3906" spans="1:20" ht="14.5" x14ac:dyDescent="0.35">
      <c r="A3906" s="10" t="s">
        <v>22596</v>
      </c>
      <c r="B3906" s="10" t="str">
        <f>"9780415586573"</f>
        <v>9780415586573</v>
      </c>
      <c r="C3906" s="10" t="str">
        <f>"9781136734946"</f>
        <v>9781136734946</v>
      </c>
      <c r="D3906" s="10" t="s">
        <v>6350</v>
      </c>
      <c r="E3906" s="10" t="s">
        <v>6351</v>
      </c>
      <c r="F3906" s="10" t="s">
        <v>139</v>
      </c>
      <c r="G3906" s="10" t="s">
        <v>6352</v>
      </c>
      <c r="H3906" s="11">
        <v>41164</v>
      </c>
      <c r="I3906" s="10">
        <v>2013</v>
      </c>
      <c r="J3906" s="10" t="s">
        <v>6353</v>
      </c>
      <c r="K3906" s="10">
        <v>185</v>
      </c>
      <c r="L3906" s="10" t="s">
        <v>22597</v>
      </c>
      <c r="M3906" s="10">
        <v>1</v>
      </c>
      <c r="N3906" s="10"/>
      <c r="O3906" s="10"/>
      <c r="P3906" s="10" t="s">
        <v>22598</v>
      </c>
      <c r="Q3906" s="10">
        <v>378.166</v>
      </c>
      <c r="R3906" s="10" t="s">
        <v>22599</v>
      </c>
      <c r="S3906" s="10" t="s">
        <v>53</v>
      </c>
      <c r="T3906" s="10" t="s">
        <v>54</v>
      </c>
    </row>
    <row r="3907" spans="1:20" ht="14.5" x14ac:dyDescent="0.35">
      <c r="A3907" s="10" t="s">
        <v>22600</v>
      </c>
      <c r="B3907" s="10" t="str">
        <f>"9780415803199"</f>
        <v>9780415803199</v>
      </c>
      <c r="C3907" s="10" t="str">
        <f>"9781136843440"</f>
        <v>9781136843440</v>
      </c>
      <c r="D3907" s="10" t="s">
        <v>6350</v>
      </c>
      <c r="E3907" s="10" t="s">
        <v>6351</v>
      </c>
      <c r="F3907" s="10" t="s">
        <v>748</v>
      </c>
      <c r="G3907" s="10" t="s">
        <v>6352</v>
      </c>
      <c r="H3907" s="11">
        <v>41129</v>
      </c>
      <c r="I3907" s="10">
        <v>2013</v>
      </c>
      <c r="J3907" s="10" t="s">
        <v>6351</v>
      </c>
      <c r="K3907" s="10">
        <v>181</v>
      </c>
      <c r="L3907" s="10" t="s">
        <v>22601</v>
      </c>
      <c r="M3907" s="10">
        <v>1</v>
      </c>
      <c r="N3907" s="10"/>
      <c r="O3907" s="10"/>
      <c r="P3907" s="10" t="s">
        <v>22602</v>
      </c>
      <c r="Q3907" s="10" t="s">
        <v>9360</v>
      </c>
      <c r="R3907" s="10" t="s">
        <v>19006</v>
      </c>
      <c r="S3907" s="10" t="s">
        <v>53</v>
      </c>
      <c r="T3907" s="10" t="s">
        <v>54</v>
      </c>
    </row>
    <row r="3908" spans="1:20" ht="14.5" x14ac:dyDescent="0.35">
      <c r="A3908" s="10" t="s">
        <v>22603</v>
      </c>
      <c r="B3908" s="10" t="str">
        <f>"9780805852356"</f>
        <v>9780805852356</v>
      </c>
      <c r="C3908" s="10" t="str">
        <f>"9781136608643"</f>
        <v>9781136608643</v>
      </c>
      <c r="D3908" s="10" t="s">
        <v>6350</v>
      </c>
      <c r="E3908" s="10" t="s">
        <v>6351</v>
      </c>
      <c r="F3908" s="10" t="s">
        <v>139</v>
      </c>
      <c r="G3908" s="10" t="s">
        <v>6352</v>
      </c>
      <c r="H3908" s="11">
        <v>38040</v>
      </c>
      <c r="I3908" s="10">
        <v>2004</v>
      </c>
      <c r="J3908" s="10" t="s">
        <v>6353</v>
      </c>
      <c r="K3908" s="10">
        <v>428</v>
      </c>
      <c r="L3908" s="10" t="s">
        <v>22604</v>
      </c>
      <c r="M3908" s="10">
        <v>1</v>
      </c>
      <c r="N3908" s="10"/>
      <c r="O3908" s="10"/>
      <c r="P3908" s="10" t="s">
        <v>22605</v>
      </c>
      <c r="Q3908" s="10">
        <v>370.15</v>
      </c>
      <c r="R3908" s="10" t="s">
        <v>22606</v>
      </c>
      <c r="S3908" s="10" t="s">
        <v>53</v>
      </c>
      <c r="T3908" s="10" t="s">
        <v>54</v>
      </c>
    </row>
    <row r="3909" spans="1:20" ht="14.5" x14ac:dyDescent="0.35">
      <c r="A3909" s="10" t="s">
        <v>22607</v>
      </c>
      <c r="B3909" s="10" t="str">
        <f>"9781853468544"</f>
        <v>9781853468544</v>
      </c>
      <c r="C3909" s="10" t="str">
        <f>"9781136609480"</f>
        <v>9781136609480</v>
      </c>
      <c r="D3909" s="10" t="s">
        <v>6350</v>
      </c>
      <c r="E3909" s="10" t="s">
        <v>15120</v>
      </c>
      <c r="F3909" s="10" t="s">
        <v>748</v>
      </c>
      <c r="G3909" s="10" t="s">
        <v>6352</v>
      </c>
      <c r="H3909" s="11">
        <v>37540</v>
      </c>
      <c r="I3909" s="10">
        <v>2002</v>
      </c>
      <c r="J3909" s="10" t="s">
        <v>15120</v>
      </c>
      <c r="K3909" s="10">
        <v>222</v>
      </c>
      <c r="L3909" s="10" t="s">
        <v>22608</v>
      </c>
      <c r="M3909" s="10">
        <v>1</v>
      </c>
      <c r="N3909" s="10"/>
      <c r="O3909" s="10"/>
      <c r="P3909" s="10" t="s">
        <v>22609</v>
      </c>
      <c r="Q3909" s="10">
        <v>371.90460940999998</v>
      </c>
      <c r="R3909" s="10" t="s">
        <v>6577</v>
      </c>
      <c r="S3909" s="10" t="s">
        <v>53</v>
      </c>
      <c r="T3909" s="10" t="s">
        <v>54</v>
      </c>
    </row>
    <row r="3910" spans="1:20" ht="14.5" x14ac:dyDescent="0.35">
      <c r="A3910" s="10" t="s">
        <v>22610</v>
      </c>
      <c r="B3910" s="10" t="str">
        <f>"9780415897501"</f>
        <v>9780415897501</v>
      </c>
      <c r="C3910" s="10" t="str">
        <f>"9781136636899"</f>
        <v>9781136636899</v>
      </c>
      <c r="D3910" s="10" t="s">
        <v>6350</v>
      </c>
      <c r="E3910" s="10" t="s">
        <v>6351</v>
      </c>
      <c r="F3910" s="10" t="s">
        <v>139</v>
      </c>
      <c r="G3910" s="10" t="s">
        <v>6352</v>
      </c>
      <c r="H3910" s="11">
        <v>41128</v>
      </c>
      <c r="I3910" s="10">
        <v>2013</v>
      </c>
      <c r="J3910" s="10" t="s">
        <v>6353</v>
      </c>
      <c r="K3910" s="10">
        <v>257</v>
      </c>
      <c r="L3910" s="10" t="s">
        <v>22611</v>
      </c>
      <c r="M3910" s="10">
        <v>1</v>
      </c>
      <c r="N3910" s="10"/>
      <c r="O3910" s="10"/>
      <c r="P3910" s="10" t="s">
        <v>22612</v>
      </c>
      <c r="Q3910" s="10">
        <v>371.26</v>
      </c>
      <c r="R3910" s="10" t="s">
        <v>19042</v>
      </c>
      <c r="S3910" s="10" t="s">
        <v>53</v>
      </c>
      <c r="T3910" s="10" t="s">
        <v>54</v>
      </c>
    </row>
    <row r="3911" spans="1:20" ht="14.5" x14ac:dyDescent="0.35">
      <c r="A3911" s="10" t="s">
        <v>22613</v>
      </c>
      <c r="B3911" s="10" t="str">
        <f>"9780415672467"</f>
        <v>9780415672467</v>
      </c>
      <c r="C3911" s="10" t="str">
        <f>"9781136700927"</f>
        <v>9781136700927</v>
      </c>
      <c r="D3911" s="10" t="s">
        <v>6350</v>
      </c>
      <c r="E3911" s="10" t="s">
        <v>6351</v>
      </c>
      <c r="F3911" s="10" t="s">
        <v>748</v>
      </c>
      <c r="G3911" s="10" t="s">
        <v>6352</v>
      </c>
      <c r="H3911" s="11">
        <v>40885</v>
      </c>
      <c r="I3911" s="10">
        <v>1932</v>
      </c>
      <c r="J3911" s="10" t="s">
        <v>6351</v>
      </c>
      <c r="K3911" s="10">
        <v>267</v>
      </c>
      <c r="L3911" s="10" t="s">
        <v>21730</v>
      </c>
      <c r="M3911" s="10">
        <v>1</v>
      </c>
      <c r="N3911" s="10" t="s">
        <v>21400</v>
      </c>
      <c r="O3911" s="10"/>
      <c r="P3911" s="10" t="s">
        <v>22614</v>
      </c>
      <c r="Q3911" s="10">
        <v>372.21</v>
      </c>
      <c r="R3911" s="10" t="s">
        <v>21693</v>
      </c>
      <c r="S3911" s="10" t="s">
        <v>53</v>
      </c>
      <c r="T3911" s="10" t="s">
        <v>54</v>
      </c>
    </row>
    <row r="3912" spans="1:20" ht="14.5" x14ac:dyDescent="0.35">
      <c r="A3912" s="10" t="s">
        <v>22615</v>
      </c>
      <c r="B3912" s="10" t="str">
        <f>"9780415670258"</f>
        <v>9780415670258</v>
      </c>
      <c r="C3912" s="10" t="str">
        <f>"9780203810170"</f>
        <v>9780203810170</v>
      </c>
      <c r="D3912" s="10" t="s">
        <v>6350</v>
      </c>
      <c r="E3912" s="10" t="s">
        <v>6351</v>
      </c>
      <c r="F3912" s="10" t="s">
        <v>5406</v>
      </c>
      <c r="G3912" s="10" t="s">
        <v>6317</v>
      </c>
      <c r="H3912" s="11">
        <v>40750</v>
      </c>
      <c r="I3912" s="10">
        <v>2011</v>
      </c>
      <c r="J3912" s="10" t="s">
        <v>6353</v>
      </c>
      <c r="K3912" s="10">
        <v>178</v>
      </c>
      <c r="L3912" s="10" t="s">
        <v>22616</v>
      </c>
      <c r="M3912" s="10">
        <v>1</v>
      </c>
      <c r="N3912" s="10"/>
      <c r="O3912" s="10"/>
      <c r="P3912" s="10" t="s">
        <v>22617</v>
      </c>
      <c r="Q3912" s="10">
        <v>150.71</v>
      </c>
      <c r="R3912" s="10" t="s">
        <v>22618</v>
      </c>
      <c r="S3912" s="10" t="s">
        <v>53</v>
      </c>
      <c r="T3912" s="10" t="s">
        <v>483</v>
      </c>
    </row>
    <row r="3913" spans="1:20" ht="14.5" x14ac:dyDescent="0.35">
      <c r="A3913" s="10" t="s">
        <v>22619</v>
      </c>
      <c r="B3913" s="10" t="str">
        <f>"9780415475143"</f>
        <v>9780415475143</v>
      </c>
      <c r="C3913" s="10" t="str">
        <f>"9781136616976"</f>
        <v>9781136616976</v>
      </c>
      <c r="D3913" s="10" t="s">
        <v>6350</v>
      </c>
      <c r="E3913" s="10" t="s">
        <v>6351</v>
      </c>
      <c r="F3913" s="10" t="s">
        <v>5406</v>
      </c>
      <c r="G3913" s="10" t="s">
        <v>6352</v>
      </c>
      <c r="H3913" s="11">
        <v>40038</v>
      </c>
      <c r="I3913" s="10">
        <v>2009</v>
      </c>
      <c r="J3913" s="10" t="s">
        <v>6353</v>
      </c>
      <c r="K3913" s="10">
        <v>161</v>
      </c>
      <c r="L3913" s="10" t="s">
        <v>22620</v>
      </c>
      <c r="M3913" s="10">
        <v>1</v>
      </c>
      <c r="N3913" s="10"/>
      <c r="O3913" s="10"/>
      <c r="P3913" s="10" t="s">
        <v>22621</v>
      </c>
      <c r="Q3913" s="10" t="s">
        <v>22622</v>
      </c>
      <c r="R3913" s="10" t="s">
        <v>22623</v>
      </c>
      <c r="S3913" s="10" t="s">
        <v>53</v>
      </c>
      <c r="T3913" s="10" t="s">
        <v>54</v>
      </c>
    </row>
    <row r="3914" spans="1:20" ht="14.5" x14ac:dyDescent="0.35">
      <c r="A3914" s="10" t="s">
        <v>22624</v>
      </c>
      <c r="B3914" s="10" t="str">
        <f>"9780730377191"</f>
        <v>9780730377191</v>
      </c>
      <c r="C3914" s="10" t="str">
        <f>"9780730377207"</f>
        <v>9780730377207</v>
      </c>
      <c r="D3914" s="10" t="s">
        <v>6322</v>
      </c>
      <c r="E3914" s="10" t="s">
        <v>6323</v>
      </c>
      <c r="F3914" s="10" t="s">
        <v>4423</v>
      </c>
      <c r="G3914" s="10" t="s">
        <v>12975</v>
      </c>
      <c r="H3914" s="11">
        <v>44774</v>
      </c>
      <c r="I3914" s="10">
        <v>2013</v>
      </c>
      <c r="J3914" s="10" t="s">
        <v>6323</v>
      </c>
      <c r="K3914" s="10">
        <v>185</v>
      </c>
      <c r="L3914" s="10" t="s">
        <v>22625</v>
      </c>
      <c r="M3914" s="10">
        <v>1</v>
      </c>
      <c r="N3914" s="10"/>
      <c r="O3914" s="10"/>
      <c r="P3914" s="10"/>
      <c r="Q3914" s="10"/>
      <c r="R3914" s="10" t="s">
        <v>22626</v>
      </c>
      <c r="S3914" s="10" t="s">
        <v>53</v>
      </c>
      <c r="T3914" s="10" t="s">
        <v>22627</v>
      </c>
    </row>
    <row r="3915" spans="1:20" ht="14.5" x14ac:dyDescent="0.35">
      <c r="A3915" s="10" t="s">
        <v>22628</v>
      </c>
      <c r="B3915" s="10" t="str">
        <f>"9780739131701"</f>
        <v>9780739131701</v>
      </c>
      <c r="C3915" s="10" t="str">
        <f>"9780739131725"</f>
        <v>9780739131725</v>
      </c>
      <c r="D3915" s="10" t="s">
        <v>9752</v>
      </c>
      <c r="E3915" s="10" t="s">
        <v>15182</v>
      </c>
      <c r="F3915" s="10" t="s">
        <v>9754</v>
      </c>
      <c r="G3915" s="10" t="s">
        <v>6317</v>
      </c>
      <c r="H3915" s="11">
        <v>40376</v>
      </c>
      <c r="I3915" s="10">
        <v>2010</v>
      </c>
      <c r="J3915" s="10" t="s">
        <v>15182</v>
      </c>
      <c r="K3915" s="10">
        <v>259</v>
      </c>
      <c r="L3915" s="10" t="s">
        <v>22629</v>
      </c>
      <c r="M3915" s="10">
        <v>1</v>
      </c>
      <c r="N3915" s="10"/>
      <c r="O3915" s="10"/>
      <c r="P3915" s="10" t="s">
        <v>22630</v>
      </c>
      <c r="Q3915" s="10">
        <v>378.73</v>
      </c>
      <c r="R3915" s="10" t="s">
        <v>22631</v>
      </c>
      <c r="S3915" s="10" t="s">
        <v>53</v>
      </c>
      <c r="T3915" s="10" t="s">
        <v>54</v>
      </c>
    </row>
    <row r="3916" spans="1:20" ht="14.5" x14ac:dyDescent="0.35">
      <c r="A3916" s="10" t="s">
        <v>22632</v>
      </c>
      <c r="B3916" s="10" t="str">
        <f>"9780739146699"</f>
        <v>9780739146699</v>
      </c>
      <c r="C3916" s="10" t="str">
        <f>"9780739146712"</f>
        <v>9780739146712</v>
      </c>
      <c r="D3916" s="10" t="s">
        <v>9752</v>
      </c>
      <c r="E3916" s="10" t="s">
        <v>15182</v>
      </c>
      <c r="F3916" s="10" t="s">
        <v>9754</v>
      </c>
      <c r="G3916" s="10" t="s">
        <v>6317</v>
      </c>
      <c r="H3916" s="11">
        <v>40446</v>
      </c>
      <c r="I3916" s="10">
        <v>2010</v>
      </c>
      <c r="J3916" s="10" t="s">
        <v>15182</v>
      </c>
      <c r="K3916" s="10">
        <v>368</v>
      </c>
      <c r="L3916" s="10" t="s">
        <v>22633</v>
      </c>
      <c r="M3916" s="10">
        <v>1</v>
      </c>
      <c r="N3916" s="10" t="s">
        <v>22634</v>
      </c>
      <c r="O3916" s="10"/>
      <c r="P3916" s="10" t="s">
        <v>22635</v>
      </c>
      <c r="Q3916" s="10" t="s">
        <v>16512</v>
      </c>
      <c r="R3916" s="10" t="s">
        <v>22636</v>
      </c>
      <c r="S3916" s="10" t="s">
        <v>53</v>
      </c>
      <c r="T3916" s="10" t="s">
        <v>54</v>
      </c>
    </row>
    <row r="3917" spans="1:20" ht="14.5" x14ac:dyDescent="0.35">
      <c r="A3917" s="10" t="s">
        <v>22637</v>
      </c>
      <c r="B3917" s="10" t="str">
        <f>"9780761854418"</f>
        <v>9780761854418</v>
      </c>
      <c r="C3917" s="10" t="str">
        <f>"9780761854425"</f>
        <v>9780761854425</v>
      </c>
      <c r="D3917" s="10" t="s">
        <v>9752</v>
      </c>
      <c r="E3917" s="10" t="s">
        <v>17167</v>
      </c>
      <c r="F3917" s="10" t="s">
        <v>9754</v>
      </c>
      <c r="G3917" s="10" t="s">
        <v>6317</v>
      </c>
      <c r="H3917" s="11">
        <v>40534</v>
      </c>
      <c r="I3917" s="10">
        <v>2010</v>
      </c>
      <c r="J3917" s="10" t="s">
        <v>17167</v>
      </c>
      <c r="K3917" s="10">
        <v>142</v>
      </c>
      <c r="L3917" s="10" t="s">
        <v>22638</v>
      </c>
      <c r="M3917" s="10">
        <v>1</v>
      </c>
      <c r="N3917" s="10"/>
      <c r="O3917" s="10"/>
      <c r="P3917" s="10"/>
      <c r="Q3917" s="10">
        <v>376.65097300000002</v>
      </c>
      <c r="R3917" s="10" t="s">
        <v>22639</v>
      </c>
      <c r="S3917" s="10" t="s">
        <v>53</v>
      </c>
      <c r="T3917" s="10" t="s">
        <v>54</v>
      </c>
    </row>
    <row r="3918" spans="1:20" ht="14.5" x14ac:dyDescent="0.35">
      <c r="A3918" s="10" t="s">
        <v>22640</v>
      </c>
      <c r="B3918" s="10" t="str">
        <f>"9780761854432"</f>
        <v>9780761854432</v>
      </c>
      <c r="C3918" s="10" t="str">
        <f>"9780761854449"</f>
        <v>9780761854449</v>
      </c>
      <c r="D3918" s="10" t="s">
        <v>9752</v>
      </c>
      <c r="E3918" s="10" t="s">
        <v>17167</v>
      </c>
      <c r="F3918" s="10" t="s">
        <v>9754</v>
      </c>
      <c r="G3918" s="10" t="s">
        <v>6317</v>
      </c>
      <c r="H3918" s="11">
        <v>40529</v>
      </c>
      <c r="I3918" s="10">
        <v>2010</v>
      </c>
      <c r="J3918" s="10" t="s">
        <v>17167</v>
      </c>
      <c r="K3918" s="10">
        <v>135</v>
      </c>
      <c r="L3918" s="10" t="s">
        <v>22641</v>
      </c>
      <c r="M3918" s="10">
        <v>1</v>
      </c>
      <c r="N3918" s="10"/>
      <c r="O3918" s="10"/>
      <c r="P3918" s="10"/>
      <c r="Q3918" s="10">
        <v>371.20097939999999</v>
      </c>
      <c r="R3918" s="10" t="s">
        <v>22642</v>
      </c>
      <c r="S3918" s="10" t="s">
        <v>53</v>
      </c>
      <c r="T3918" s="10" t="s">
        <v>54</v>
      </c>
    </row>
    <row r="3919" spans="1:20" ht="14.5" x14ac:dyDescent="0.35">
      <c r="A3919" s="10" t="s">
        <v>22643</v>
      </c>
      <c r="B3919" s="10" t="str">
        <f>"9780761853718"</f>
        <v>9780761853718</v>
      </c>
      <c r="C3919" s="10" t="str">
        <f>"9780761853725"</f>
        <v>9780761853725</v>
      </c>
      <c r="D3919" s="10" t="s">
        <v>9752</v>
      </c>
      <c r="E3919" s="10" t="s">
        <v>17167</v>
      </c>
      <c r="F3919" s="10" t="s">
        <v>9754</v>
      </c>
      <c r="G3919" s="10" t="s">
        <v>6317</v>
      </c>
      <c r="H3919" s="11">
        <v>40667</v>
      </c>
      <c r="I3919" s="10">
        <v>2011</v>
      </c>
      <c r="J3919" s="10" t="s">
        <v>17167</v>
      </c>
      <c r="K3919" s="10">
        <v>243</v>
      </c>
      <c r="L3919" s="10" t="s">
        <v>22644</v>
      </c>
      <c r="M3919" s="10">
        <v>1</v>
      </c>
      <c r="N3919" s="10" t="s">
        <v>22645</v>
      </c>
      <c r="O3919" s="10"/>
      <c r="P3919" s="10" t="s">
        <v>22646</v>
      </c>
      <c r="Q3919" s="10">
        <v>128</v>
      </c>
      <c r="R3919" s="10" t="s">
        <v>22647</v>
      </c>
      <c r="S3919" s="10" t="s">
        <v>53</v>
      </c>
      <c r="T3919" s="10" t="s">
        <v>12015</v>
      </c>
    </row>
    <row r="3920" spans="1:20" ht="14.5" x14ac:dyDescent="0.35">
      <c r="A3920" s="10" t="s">
        <v>22648</v>
      </c>
      <c r="B3920" s="10" t="str">
        <f>"9781607093558"</f>
        <v>9781607093558</v>
      </c>
      <c r="C3920" s="10" t="str">
        <f>"9781607093572"</f>
        <v>9781607093572</v>
      </c>
      <c r="D3920" s="10" t="s">
        <v>9752</v>
      </c>
      <c r="E3920" s="10" t="s">
        <v>15192</v>
      </c>
      <c r="F3920" s="10" t="s">
        <v>9754</v>
      </c>
      <c r="G3920" s="10" t="s">
        <v>6317</v>
      </c>
      <c r="H3920" s="11">
        <v>40194</v>
      </c>
      <c r="I3920" s="10">
        <v>2009</v>
      </c>
      <c r="J3920" s="10" t="s">
        <v>15192</v>
      </c>
      <c r="K3920" s="10">
        <v>174</v>
      </c>
      <c r="L3920" s="10" t="s">
        <v>22649</v>
      </c>
      <c r="M3920" s="10">
        <v>1</v>
      </c>
      <c r="N3920" s="10" t="s">
        <v>15939</v>
      </c>
      <c r="O3920" s="10"/>
      <c r="P3920" s="10" t="s">
        <v>22650</v>
      </c>
      <c r="Q3920" s="10" t="s">
        <v>14878</v>
      </c>
      <c r="R3920" s="10" t="s">
        <v>22651</v>
      </c>
      <c r="S3920" s="10" t="s">
        <v>53</v>
      </c>
      <c r="T3920" s="10" t="s">
        <v>54</v>
      </c>
    </row>
    <row r="3921" spans="1:20" ht="14.5" x14ac:dyDescent="0.35">
      <c r="A3921" s="10" t="s">
        <v>22652</v>
      </c>
      <c r="B3921" s="10" t="str">
        <f>"9781607093701"</f>
        <v>9781607093701</v>
      </c>
      <c r="C3921" s="10" t="str">
        <f>"9781607093725"</f>
        <v>9781607093725</v>
      </c>
      <c r="D3921" s="10" t="s">
        <v>9752</v>
      </c>
      <c r="E3921" s="10" t="s">
        <v>15192</v>
      </c>
      <c r="F3921" s="10" t="s">
        <v>9754</v>
      </c>
      <c r="G3921" s="10" t="s">
        <v>6317</v>
      </c>
      <c r="H3921" s="11">
        <v>40194</v>
      </c>
      <c r="I3921" s="10">
        <v>2009</v>
      </c>
      <c r="J3921" s="10" t="s">
        <v>15192</v>
      </c>
      <c r="K3921" s="10">
        <v>156</v>
      </c>
      <c r="L3921" s="10" t="s">
        <v>22653</v>
      </c>
      <c r="M3921" s="10">
        <v>1</v>
      </c>
      <c r="N3921" s="10"/>
      <c r="O3921" s="10"/>
      <c r="P3921" s="10" t="s">
        <v>22654</v>
      </c>
      <c r="Q3921" s="10" t="s">
        <v>10213</v>
      </c>
      <c r="R3921" s="10" t="s">
        <v>22655</v>
      </c>
      <c r="S3921" s="10" t="s">
        <v>53</v>
      </c>
      <c r="T3921" s="10" t="s">
        <v>54</v>
      </c>
    </row>
    <row r="3922" spans="1:20" ht="14.5" x14ac:dyDescent="0.35">
      <c r="A3922" s="10" t="s">
        <v>22656</v>
      </c>
      <c r="B3922" s="10" t="str">
        <f>"9781442204409"</f>
        <v>9781442204409</v>
      </c>
      <c r="C3922" s="10" t="str">
        <f>"9781442204423"</f>
        <v>9781442204423</v>
      </c>
      <c r="D3922" s="10" t="s">
        <v>9752</v>
      </c>
      <c r="E3922" s="10" t="s">
        <v>15187</v>
      </c>
      <c r="F3922" s="10" t="s">
        <v>9754</v>
      </c>
      <c r="G3922" s="10" t="s">
        <v>6317</v>
      </c>
      <c r="H3922" s="11">
        <v>40559</v>
      </c>
      <c r="I3922" s="10">
        <v>2011</v>
      </c>
      <c r="J3922" s="10" t="s">
        <v>15187</v>
      </c>
      <c r="K3922" s="10">
        <v>448</v>
      </c>
      <c r="L3922" s="10" t="s">
        <v>22657</v>
      </c>
      <c r="M3922" s="10">
        <v>1</v>
      </c>
      <c r="N3922" s="10"/>
      <c r="O3922" s="10"/>
      <c r="P3922" s="10" t="s">
        <v>22658</v>
      </c>
      <c r="Q3922" s="10" t="s">
        <v>7299</v>
      </c>
      <c r="R3922" s="10" t="s">
        <v>22659</v>
      </c>
      <c r="S3922" s="10" t="s">
        <v>53</v>
      </c>
      <c r="T3922" s="10" t="s">
        <v>54</v>
      </c>
    </row>
    <row r="3923" spans="1:20" ht="14.5" x14ac:dyDescent="0.35">
      <c r="A3923" s="10" t="s">
        <v>22660</v>
      </c>
      <c r="B3923" s="10" t="str">
        <f>"9780761967262"</f>
        <v>9780761967262</v>
      </c>
      <c r="C3923" s="10" t="str">
        <f>"9781446265109"</f>
        <v>9781446265109</v>
      </c>
      <c r="D3923" s="10" t="s">
        <v>9325</v>
      </c>
      <c r="E3923" s="10" t="s">
        <v>9326</v>
      </c>
      <c r="F3923" s="10" t="s">
        <v>139</v>
      </c>
      <c r="G3923" s="10" t="s">
        <v>6352</v>
      </c>
      <c r="H3923" s="11">
        <v>36903</v>
      </c>
      <c r="I3923" s="10">
        <v>2001</v>
      </c>
      <c r="J3923" s="10" t="s">
        <v>9326</v>
      </c>
      <c r="K3923" s="10">
        <v>165</v>
      </c>
      <c r="L3923" s="10" t="s">
        <v>22661</v>
      </c>
      <c r="M3923" s="10">
        <v>1</v>
      </c>
      <c r="N3923" s="10"/>
      <c r="O3923" s="10"/>
      <c r="P3923" s="10" t="s">
        <v>22662</v>
      </c>
      <c r="Q3923" s="10" t="s">
        <v>7142</v>
      </c>
      <c r="R3923" s="10" t="s">
        <v>6547</v>
      </c>
      <c r="S3923" s="10" t="s">
        <v>53</v>
      </c>
      <c r="T3923" s="10" t="s">
        <v>54</v>
      </c>
    </row>
    <row r="3924" spans="1:20" ht="14.5" x14ac:dyDescent="0.35">
      <c r="A3924" s="10" t="s">
        <v>22663</v>
      </c>
      <c r="B3924" s="10" t="str">
        <f>"9780761954743"</f>
        <v>9780761954743</v>
      </c>
      <c r="C3924" s="10" t="str">
        <f>"9781446264058"</f>
        <v>9781446264058</v>
      </c>
      <c r="D3924" s="10" t="s">
        <v>9325</v>
      </c>
      <c r="E3924" s="10" t="s">
        <v>9326</v>
      </c>
      <c r="F3924" s="10" t="s">
        <v>139</v>
      </c>
      <c r="G3924" s="10" t="s">
        <v>6352</v>
      </c>
      <c r="H3924" s="11">
        <v>36917</v>
      </c>
      <c r="I3924" s="10">
        <v>2001</v>
      </c>
      <c r="J3924" s="10" t="s">
        <v>9326</v>
      </c>
      <c r="K3924" s="10">
        <v>125</v>
      </c>
      <c r="L3924" s="10" t="s">
        <v>22664</v>
      </c>
      <c r="M3924" s="10">
        <v>1</v>
      </c>
      <c r="N3924" s="10"/>
      <c r="O3924" s="10"/>
      <c r="P3924" s="10" t="s">
        <v>22665</v>
      </c>
      <c r="Q3924" s="10">
        <v>374</v>
      </c>
      <c r="R3924" s="10" t="s">
        <v>22666</v>
      </c>
      <c r="S3924" s="10" t="s">
        <v>53</v>
      </c>
      <c r="T3924" s="10" t="s">
        <v>54</v>
      </c>
    </row>
    <row r="3925" spans="1:20" ht="14.5" x14ac:dyDescent="0.35">
      <c r="A3925" s="10" t="s">
        <v>22667</v>
      </c>
      <c r="B3925" s="10" t="str">
        <f>"9780761970316"</f>
        <v>9780761970316</v>
      </c>
      <c r="C3925" s="10" t="str">
        <f>"9781446265222"</f>
        <v>9781446265222</v>
      </c>
      <c r="D3925" s="10" t="s">
        <v>9325</v>
      </c>
      <c r="E3925" s="10" t="s">
        <v>9326</v>
      </c>
      <c r="F3925" s="10" t="s">
        <v>139</v>
      </c>
      <c r="G3925" s="10" t="s">
        <v>6352</v>
      </c>
      <c r="H3925" s="11">
        <v>37095</v>
      </c>
      <c r="I3925" s="10">
        <v>2001</v>
      </c>
      <c r="J3925" s="10" t="s">
        <v>9326</v>
      </c>
      <c r="K3925" s="10">
        <v>220</v>
      </c>
      <c r="L3925" s="10" t="s">
        <v>22668</v>
      </c>
      <c r="M3925" s="10">
        <v>1</v>
      </c>
      <c r="N3925" s="10" t="s">
        <v>9328</v>
      </c>
      <c r="O3925" s="10">
        <v>7</v>
      </c>
      <c r="P3925" s="10" t="s">
        <v>22669</v>
      </c>
      <c r="Q3925" s="10" t="s">
        <v>22670</v>
      </c>
      <c r="R3925" s="10" t="s">
        <v>6396</v>
      </c>
      <c r="S3925" s="10" t="s">
        <v>53</v>
      </c>
      <c r="T3925" s="10" t="s">
        <v>54</v>
      </c>
    </row>
    <row r="3926" spans="1:20" ht="14.5" x14ac:dyDescent="0.35">
      <c r="A3926" s="10" t="s">
        <v>22671</v>
      </c>
      <c r="B3926" s="10" t="str">
        <f>"9780761971726"</f>
        <v>9780761971726</v>
      </c>
      <c r="C3926" s="10" t="str">
        <f>"9781446265406"</f>
        <v>9781446265406</v>
      </c>
      <c r="D3926" s="10" t="s">
        <v>9325</v>
      </c>
      <c r="E3926" s="10" t="s">
        <v>9326</v>
      </c>
      <c r="F3926" s="10" t="s">
        <v>139</v>
      </c>
      <c r="G3926" s="10" t="s">
        <v>6352</v>
      </c>
      <c r="H3926" s="11">
        <v>37410</v>
      </c>
      <c r="I3926" s="10">
        <v>2002</v>
      </c>
      <c r="J3926" s="10" t="s">
        <v>9326</v>
      </c>
      <c r="K3926" s="10">
        <v>209</v>
      </c>
      <c r="L3926" s="10" t="s">
        <v>22672</v>
      </c>
      <c r="M3926" s="10">
        <v>1</v>
      </c>
      <c r="N3926" s="10" t="s">
        <v>9336</v>
      </c>
      <c r="O3926" s="10"/>
      <c r="P3926" s="10" t="s">
        <v>22673</v>
      </c>
      <c r="Q3926" s="10">
        <v>370.71499999999997</v>
      </c>
      <c r="R3926" s="10" t="s">
        <v>22674</v>
      </c>
      <c r="S3926" s="10" t="s">
        <v>53</v>
      </c>
      <c r="T3926" s="10" t="s">
        <v>54</v>
      </c>
    </row>
    <row r="3927" spans="1:20" ht="14.5" x14ac:dyDescent="0.35">
      <c r="A3927" s="10" t="s">
        <v>22675</v>
      </c>
      <c r="B3927" s="10" t="str">
        <f>"9780761942375"</f>
        <v>9780761942375</v>
      </c>
      <c r="C3927" s="10" t="str">
        <f>"9781446264232"</f>
        <v>9781446264232</v>
      </c>
      <c r="D3927" s="10" t="s">
        <v>9325</v>
      </c>
      <c r="E3927" s="10" t="s">
        <v>9326</v>
      </c>
      <c r="F3927" s="10" t="s">
        <v>139</v>
      </c>
      <c r="G3927" s="10" t="s">
        <v>6352</v>
      </c>
      <c r="H3927" s="11">
        <v>38050</v>
      </c>
      <c r="I3927" s="10">
        <v>2004</v>
      </c>
      <c r="J3927" s="10" t="s">
        <v>9326</v>
      </c>
      <c r="K3927" s="10">
        <v>175</v>
      </c>
      <c r="L3927" s="10" t="s">
        <v>6606</v>
      </c>
      <c r="M3927" s="10">
        <v>1</v>
      </c>
      <c r="N3927" s="10" t="s">
        <v>12547</v>
      </c>
      <c r="O3927" s="10"/>
      <c r="P3927" s="10" t="s">
        <v>17787</v>
      </c>
      <c r="Q3927" s="10">
        <v>371.90940999999998</v>
      </c>
      <c r="R3927" s="10" t="s">
        <v>6577</v>
      </c>
      <c r="S3927" s="10" t="s">
        <v>53</v>
      </c>
      <c r="T3927" s="10" t="s">
        <v>54</v>
      </c>
    </row>
    <row r="3928" spans="1:20" ht="14.5" x14ac:dyDescent="0.35">
      <c r="A3928" s="10" t="s">
        <v>22676</v>
      </c>
      <c r="B3928" s="10" t="str">
        <f>"9780761943853"</f>
        <v>9780761943853</v>
      </c>
      <c r="C3928" s="10" t="str">
        <f>"9781446202371"</f>
        <v>9781446202371</v>
      </c>
      <c r="D3928" s="10" t="s">
        <v>9325</v>
      </c>
      <c r="E3928" s="10" t="s">
        <v>9326</v>
      </c>
      <c r="F3928" s="10" t="s">
        <v>139</v>
      </c>
      <c r="G3928" s="10" t="s">
        <v>6352</v>
      </c>
      <c r="H3928" s="11">
        <v>37902</v>
      </c>
      <c r="I3928" s="10">
        <v>2004</v>
      </c>
      <c r="J3928" s="10" t="s">
        <v>9326</v>
      </c>
      <c r="K3928" s="10">
        <v>161</v>
      </c>
      <c r="L3928" s="10" t="s">
        <v>19474</v>
      </c>
      <c r="M3928" s="10">
        <v>1</v>
      </c>
      <c r="N3928" s="10"/>
      <c r="O3928" s="10"/>
      <c r="P3928" s="10" t="s">
        <v>22677</v>
      </c>
      <c r="Q3928" s="10" t="s">
        <v>22678</v>
      </c>
      <c r="R3928" s="10" t="s">
        <v>11395</v>
      </c>
      <c r="S3928" s="10" t="s">
        <v>53</v>
      </c>
      <c r="T3928" s="10" t="s">
        <v>54</v>
      </c>
    </row>
    <row r="3929" spans="1:20" ht="14.5" x14ac:dyDescent="0.35">
      <c r="A3929" s="10" t="s">
        <v>22679</v>
      </c>
      <c r="B3929" s="10" t="str">
        <f>"9781412901475"</f>
        <v>9781412901475</v>
      </c>
      <c r="C3929" s="10" t="str">
        <f>"9781446202692"</f>
        <v>9781446202692</v>
      </c>
      <c r="D3929" s="10" t="s">
        <v>9325</v>
      </c>
      <c r="E3929" s="10" t="s">
        <v>9326</v>
      </c>
      <c r="F3929" s="10" t="s">
        <v>139</v>
      </c>
      <c r="G3929" s="10" t="s">
        <v>6352</v>
      </c>
      <c r="H3929" s="11">
        <v>38492</v>
      </c>
      <c r="I3929" s="10">
        <v>2005</v>
      </c>
      <c r="J3929" s="10" t="s">
        <v>9326</v>
      </c>
      <c r="K3929" s="10">
        <v>169</v>
      </c>
      <c r="L3929" s="10" t="s">
        <v>22680</v>
      </c>
      <c r="M3929" s="10">
        <v>1</v>
      </c>
      <c r="N3929" s="10"/>
      <c r="O3929" s="10"/>
      <c r="P3929" s="10" t="s">
        <v>22681</v>
      </c>
      <c r="Q3929" s="10">
        <v>373.09410000000003</v>
      </c>
      <c r="R3929" s="10" t="s">
        <v>22682</v>
      </c>
      <c r="S3929" s="10" t="s">
        <v>53</v>
      </c>
      <c r="T3929" s="10" t="s">
        <v>54</v>
      </c>
    </row>
    <row r="3930" spans="1:20" ht="14.5" x14ac:dyDescent="0.35">
      <c r="A3930" s="10" t="s">
        <v>22683</v>
      </c>
      <c r="B3930" s="10" t="str">
        <f>"9781412918213"</f>
        <v>9781412918213</v>
      </c>
      <c r="C3930" s="10" t="str">
        <f>"9781446264010"</f>
        <v>9781446264010</v>
      </c>
      <c r="D3930" s="10" t="s">
        <v>9325</v>
      </c>
      <c r="E3930" s="10" t="s">
        <v>9326</v>
      </c>
      <c r="F3930" s="10" t="s">
        <v>139</v>
      </c>
      <c r="G3930" s="10" t="s">
        <v>6352</v>
      </c>
      <c r="H3930" s="11">
        <v>39405</v>
      </c>
      <c r="I3930" s="10">
        <v>2008</v>
      </c>
      <c r="J3930" s="10" t="s">
        <v>9326</v>
      </c>
      <c r="K3930" s="10">
        <v>173</v>
      </c>
      <c r="L3930" s="10" t="s">
        <v>22684</v>
      </c>
      <c r="M3930" s="10">
        <v>1</v>
      </c>
      <c r="N3930" s="10" t="s">
        <v>11973</v>
      </c>
      <c r="O3930" s="10"/>
      <c r="P3930" s="10" t="s">
        <v>22685</v>
      </c>
      <c r="Q3930" s="10">
        <v>371.399</v>
      </c>
      <c r="R3930" s="10" t="s">
        <v>22686</v>
      </c>
      <c r="S3930" s="10" t="s">
        <v>53</v>
      </c>
      <c r="T3930" s="10" t="s">
        <v>6815</v>
      </c>
    </row>
    <row r="3931" spans="1:20" ht="14.5" x14ac:dyDescent="0.35">
      <c r="A3931" s="10" t="s">
        <v>22687</v>
      </c>
      <c r="B3931" s="10" t="str">
        <f>"9781853964015"</f>
        <v>9781853964015</v>
      </c>
      <c r="C3931" s="10" t="str">
        <f>"9781446265086"</f>
        <v>9781446265086</v>
      </c>
      <c r="D3931" s="10" t="s">
        <v>9325</v>
      </c>
      <c r="E3931" s="10" t="s">
        <v>9326</v>
      </c>
      <c r="F3931" s="10" t="s">
        <v>139</v>
      </c>
      <c r="G3931" s="10" t="s">
        <v>6352</v>
      </c>
      <c r="H3931" s="11">
        <v>36213</v>
      </c>
      <c r="I3931" s="10">
        <v>1999</v>
      </c>
      <c r="J3931" s="10" t="s">
        <v>9326</v>
      </c>
      <c r="K3931" s="10">
        <v>105</v>
      </c>
      <c r="L3931" s="10" t="s">
        <v>22688</v>
      </c>
      <c r="M3931" s="10">
        <v>1</v>
      </c>
      <c r="N3931" s="10" t="s">
        <v>9328</v>
      </c>
      <c r="O3931" s="10"/>
      <c r="P3931" s="10" t="s">
        <v>22689</v>
      </c>
      <c r="Q3931" s="10">
        <v>371.20100000000002</v>
      </c>
      <c r="R3931" s="10" t="s">
        <v>22690</v>
      </c>
      <c r="S3931" s="10" t="s">
        <v>53</v>
      </c>
      <c r="T3931" s="10" t="s">
        <v>54</v>
      </c>
    </row>
    <row r="3932" spans="1:20" ht="14.5" x14ac:dyDescent="0.35">
      <c r="A3932" s="10" t="s">
        <v>22691</v>
      </c>
      <c r="B3932" s="10" t="str">
        <f>"9781853963957"</f>
        <v>9781853963957</v>
      </c>
      <c r="C3932" s="10" t="str">
        <f>"9781446264867"</f>
        <v>9781446264867</v>
      </c>
      <c r="D3932" s="10" t="s">
        <v>9325</v>
      </c>
      <c r="E3932" s="10" t="s">
        <v>9326</v>
      </c>
      <c r="F3932" s="10" t="s">
        <v>139</v>
      </c>
      <c r="G3932" s="10" t="s">
        <v>6352</v>
      </c>
      <c r="H3932" s="11">
        <v>36118</v>
      </c>
      <c r="I3932" s="10">
        <v>1998</v>
      </c>
      <c r="J3932" s="10" t="s">
        <v>9326</v>
      </c>
      <c r="K3932" s="10">
        <v>175</v>
      </c>
      <c r="L3932" s="10" t="s">
        <v>21877</v>
      </c>
      <c r="M3932" s="10">
        <v>1</v>
      </c>
      <c r="N3932" s="10" t="s">
        <v>15668</v>
      </c>
      <c r="O3932" s="10"/>
      <c r="P3932" s="10" t="s">
        <v>22692</v>
      </c>
      <c r="Q3932" s="10" t="s">
        <v>12010</v>
      </c>
      <c r="R3932" s="10" t="s">
        <v>7034</v>
      </c>
      <c r="S3932" s="10" t="s">
        <v>53</v>
      </c>
      <c r="T3932" s="10" t="s">
        <v>54</v>
      </c>
    </row>
    <row r="3933" spans="1:20" ht="14.5" x14ac:dyDescent="0.35">
      <c r="A3933" s="10" t="s">
        <v>22693</v>
      </c>
      <c r="B3933" s="10" t="str">
        <f>"9781873942673"</f>
        <v>9781873942673</v>
      </c>
      <c r="C3933" s="10" t="str">
        <f>"9781446264713"</f>
        <v>9781446264713</v>
      </c>
      <c r="D3933" s="10" t="s">
        <v>9325</v>
      </c>
      <c r="E3933" s="10" t="s">
        <v>9326</v>
      </c>
      <c r="F3933" s="10" t="s">
        <v>139</v>
      </c>
      <c r="G3933" s="10" t="s">
        <v>6352</v>
      </c>
      <c r="H3933" s="11">
        <v>36161</v>
      </c>
      <c r="I3933" s="10">
        <v>1999</v>
      </c>
      <c r="J3933" s="10" t="s">
        <v>9326</v>
      </c>
      <c r="K3933" s="10">
        <v>100</v>
      </c>
      <c r="L3933" s="10" t="s">
        <v>22694</v>
      </c>
      <c r="M3933" s="10">
        <v>1</v>
      </c>
      <c r="N3933" s="10" t="s">
        <v>11973</v>
      </c>
      <c r="O3933" s="10"/>
      <c r="P3933" s="10" t="s">
        <v>22695</v>
      </c>
      <c r="Q3933" s="10">
        <v>152.47071199999999</v>
      </c>
      <c r="R3933" s="10" t="s">
        <v>22696</v>
      </c>
      <c r="S3933" s="10" t="s">
        <v>53</v>
      </c>
      <c r="T3933" s="10" t="s">
        <v>483</v>
      </c>
    </row>
    <row r="3934" spans="1:20" ht="14.5" x14ac:dyDescent="0.35">
      <c r="A3934" s="10" t="s">
        <v>22697</v>
      </c>
      <c r="B3934" s="10" t="str">
        <f>"9781412911573"</f>
        <v>9781412911573</v>
      </c>
      <c r="C3934" s="10" t="str">
        <f>"9781446265147"</f>
        <v>9781446265147</v>
      </c>
      <c r="D3934" s="10" t="s">
        <v>9325</v>
      </c>
      <c r="E3934" s="10" t="s">
        <v>9326</v>
      </c>
      <c r="F3934" s="10" t="s">
        <v>139</v>
      </c>
      <c r="G3934" s="10" t="s">
        <v>6352</v>
      </c>
      <c r="H3934" s="11">
        <v>38609</v>
      </c>
      <c r="I3934" s="10">
        <v>2005</v>
      </c>
      <c r="J3934" s="10" t="s">
        <v>9326</v>
      </c>
      <c r="K3934" s="10">
        <v>78</v>
      </c>
      <c r="L3934" s="10" t="s">
        <v>22698</v>
      </c>
      <c r="M3934" s="10">
        <v>1</v>
      </c>
      <c r="N3934" s="10" t="s">
        <v>11973</v>
      </c>
      <c r="O3934" s="10"/>
      <c r="P3934" s="10" t="s">
        <v>22699</v>
      </c>
      <c r="Q3934" s="10">
        <v>153.68097124100001</v>
      </c>
      <c r="R3934" s="10" t="s">
        <v>22700</v>
      </c>
      <c r="S3934" s="10" t="s">
        <v>53</v>
      </c>
      <c r="T3934" s="10" t="s">
        <v>483</v>
      </c>
    </row>
    <row r="3935" spans="1:20" ht="14.5" x14ac:dyDescent="0.35">
      <c r="A3935" s="10" t="s">
        <v>22701</v>
      </c>
      <c r="B3935" s="10" t="str">
        <f>"9781412935333"</f>
        <v>9781412935333</v>
      </c>
      <c r="C3935" s="10" t="str">
        <f>"9781446202715"</f>
        <v>9781446202715</v>
      </c>
      <c r="D3935" s="10" t="s">
        <v>9325</v>
      </c>
      <c r="E3935" s="10" t="s">
        <v>9326</v>
      </c>
      <c r="F3935" s="10" t="s">
        <v>139</v>
      </c>
      <c r="G3935" s="10" t="s">
        <v>6352</v>
      </c>
      <c r="H3935" s="11">
        <v>39786</v>
      </c>
      <c r="I3935" s="10">
        <v>2009</v>
      </c>
      <c r="J3935" s="10" t="s">
        <v>9326</v>
      </c>
      <c r="K3935" s="10">
        <v>161</v>
      </c>
      <c r="L3935" s="10" t="s">
        <v>22702</v>
      </c>
      <c r="M3935" s="10">
        <v>1</v>
      </c>
      <c r="N3935" s="10" t="s">
        <v>11973</v>
      </c>
      <c r="O3935" s="10"/>
      <c r="P3935" s="10" t="s">
        <v>22703</v>
      </c>
      <c r="Q3935" s="10">
        <v>372</v>
      </c>
      <c r="R3935" s="10" t="s">
        <v>22704</v>
      </c>
      <c r="S3935" s="10" t="s">
        <v>53</v>
      </c>
      <c r="T3935" s="10" t="s">
        <v>54</v>
      </c>
    </row>
    <row r="3936" spans="1:20" ht="14.5" x14ac:dyDescent="0.35">
      <c r="A3936" s="10" t="s">
        <v>22705</v>
      </c>
      <c r="B3936" s="10" t="str">
        <f>"9781412918251"</f>
        <v>9781412918251</v>
      </c>
      <c r="C3936" s="10" t="str">
        <f>"9781446202661"</f>
        <v>9781446202661</v>
      </c>
      <c r="D3936" s="10" t="s">
        <v>9325</v>
      </c>
      <c r="E3936" s="10" t="s">
        <v>9326</v>
      </c>
      <c r="F3936" s="10" t="s">
        <v>139</v>
      </c>
      <c r="G3936" s="10" t="s">
        <v>6352</v>
      </c>
      <c r="H3936" s="11">
        <v>38609</v>
      </c>
      <c r="I3936" s="10">
        <v>2005</v>
      </c>
      <c r="J3936" s="10" t="s">
        <v>9326</v>
      </c>
      <c r="K3936" s="10">
        <v>100</v>
      </c>
      <c r="L3936" s="10" t="s">
        <v>13607</v>
      </c>
      <c r="M3936" s="10">
        <v>1</v>
      </c>
      <c r="N3936" s="10" t="s">
        <v>11973</v>
      </c>
      <c r="O3936" s="10"/>
      <c r="P3936" s="10" t="s">
        <v>22706</v>
      </c>
      <c r="Q3936" s="10">
        <v>372.01139999999998</v>
      </c>
      <c r="R3936" s="10" t="s">
        <v>22707</v>
      </c>
      <c r="S3936" s="10" t="s">
        <v>53</v>
      </c>
      <c r="T3936" s="10" t="s">
        <v>6640</v>
      </c>
    </row>
    <row r="3937" spans="1:20" ht="14.5" x14ac:dyDescent="0.35">
      <c r="A3937" s="10" t="s">
        <v>22708</v>
      </c>
      <c r="B3937" s="10" t="str">
        <f>"9781853963360"</f>
        <v>9781853963360</v>
      </c>
      <c r="C3937" s="10" t="str">
        <f>"9781446265215"</f>
        <v>9781446265215</v>
      </c>
      <c r="D3937" s="10" t="s">
        <v>9325</v>
      </c>
      <c r="E3937" s="10" t="s">
        <v>9326</v>
      </c>
      <c r="F3937" s="10" t="s">
        <v>139</v>
      </c>
      <c r="G3937" s="10" t="s">
        <v>6352</v>
      </c>
      <c r="H3937" s="11">
        <v>35489</v>
      </c>
      <c r="I3937" s="10">
        <v>1997</v>
      </c>
      <c r="J3937" s="10" t="s">
        <v>9326</v>
      </c>
      <c r="K3937" s="10">
        <v>247</v>
      </c>
      <c r="L3937" s="10" t="s">
        <v>22709</v>
      </c>
      <c r="M3937" s="10">
        <v>1</v>
      </c>
      <c r="N3937" s="10" t="s">
        <v>9328</v>
      </c>
      <c r="O3937" s="10"/>
      <c r="P3937" s="10" t="s">
        <v>22710</v>
      </c>
      <c r="Q3937" s="10" t="s">
        <v>22247</v>
      </c>
      <c r="R3937" s="10" t="s">
        <v>22711</v>
      </c>
      <c r="S3937" s="10" t="s">
        <v>53</v>
      </c>
      <c r="T3937" s="10" t="s">
        <v>54</v>
      </c>
    </row>
    <row r="3938" spans="1:20" ht="14.5" x14ac:dyDescent="0.35">
      <c r="A3938" s="10" t="s">
        <v>22712</v>
      </c>
      <c r="B3938" s="10" t="str">
        <f>"9781853963667"</f>
        <v>9781853963667</v>
      </c>
      <c r="C3938" s="10" t="str">
        <f>"9781446265499"</f>
        <v>9781446265499</v>
      </c>
      <c r="D3938" s="10" t="s">
        <v>9325</v>
      </c>
      <c r="E3938" s="10" t="s">
        <v>9326</v>
      </c>
      <c r="F3938" s="10" t="s">
        <v>139</v>
      </c>
      <c r="G3938" s="10" t="s">
        <v>6352</v>
      </c>
      <c r="H3938" s="11">
        <v>35670</v>
      </c>
      <c r="I3938" s="10">
        <v>1997</v>
      </c>
      <c r="J3938" s="10" t="s">
        <v>9326</v>
      </c>
      <c r="K3938" s="10">
        <v>162</v>
      </c>
      <c r="L3938" s="10" t="s">
        <v>22713</v>
      </c>
      <c r="M3938" s="10">
        <v>1</v>
      </c>
      <c r="N3938" s="10" t="s">
        <v>22714</v>
      </c>
      <c r="O3938" s="10"/>
      <c r="P3938" s="10" t="s">
        <v>22715</v>
      </c>
      <c r="Q3938" s="10">
        <v>372.6</v>
      </c>
      <c r="R3938" s="10" t="s">
        <v>22716</v>
      </c>
      <c r="S3938" s="10" t="s">
        <v>53</v>
      </c>
      <c r="T3938" s="10" t="s">
        <v>54</v>
      </c>
    </row>
    <row r="3939" spans="1:20" ht="14.5" x14ac:dyDescent="0.35">
      <c r="A3939" s="10" t="s">
        <v>22717</v>
      </c>
      <c r="B3939" s="10" t="str">
        <f>"9781446210758"</f>
        <v>9781446210758</v>
      </c>
      <c r="C3939" s="10" t="str">
        <f>"9781446263860"</f>
        <v>9781446263860</v>
      </c>
      <c r="D3939" s="10" t="s">
        <v>9325</v>
      </c>
      <c r="E3939" s="10" t="s">
        <v>9326</v>
      </c>
      <c r="F3939" s="10" t="s">
        <v>139</v>
      </c>
      <c r="G3939" s="10" t="s">
        <v>6352</v>
      </c>
      <c r="H3939" s="11">
        <v>41096</v>
      </c>
      <c r="I3939" s="10">
        <v>2012</v>
      </c>
      <c r="J3939" s="10" t="s">
        <v>9326</v>
      </c>
      <c r="K3939" s="10">
        <v>137</v>
      </c>
      <c r="L3939" s="10" t="s">
        <v>22718</v>
      </c>
      <c r="M3939" s="10">
        <v>1</v>
      </c>
      <c r="N3939" s="10" t="s">
        <v>11973</v>
      </c>
      <c r="O3939" s="10"/>
      <c r="P3939" s="10" t="s">
        <v>22719</v>
      </c>
      <c r="Q3939" s="10">
        <v>371.40460000000002</v>
      </c>
      <c r="R3939" s="10" t="s">
        <v>22720</v>
      </c>
      <c r="S3939" s="10" t="s">
        <v>53</v>
      </c>
      <c r="T3939" s="10" t="s">
        <v>54</v>
      </c>
    </row>
    <row r="3940" spans="1:20" ht="14.5" x14ac:dyDescent="0.35">
      <c r="A3940" s="10" t="s">
        <v>22721</v>
      </c>
      <c r="B3940" s="10" t="str">
        <f>"9781412945219"</f>
        <v>9781412945219</v>
      </c>
      <c r="C3940" s="10" t="str">
        <f>"9781446202647"</f>
        <v>9781446202647</v>
      </c>
      <c r="D3940" s="10" t="s">
        <v>9325</v>
      </c>
      <c r="E3940" s="10" t="s">
        <v>9326</v>
      </c>
      <c r="F3940" s="10" t="s">
        <v>139</v>
      </c>
      <c r="G3940" s="10" t="s">
        <v>6352</v>
      </c>
      <c r="H3940" s="11">
        <v>39394</v>
      </c>
      <c r="I3940" s="10">
        <v>2008</v>
      </c>
      <c r="J3940" s="10" t="s">
        <v>9326</v>
      </c>
      <c r="K3940" s="10">
        <v>137</v>
      </c>
      <c r="L3940" s="10" t="s">
        <v>13898</v>
      </c>
      <c r="M3940" s="10">
        <v>1</v>
      </c>
      <c r="N3940" s="10" t="s">
        <v>13899</v>
      </c>
      <c r="O3940" s="10"/>
      <c r="P3940" s="10" t="s">
        <v>22722</v>
      </c>
      <c r="Q3940" s="10">
        <v>371.9</v>
      </c>
      <c r="R3940" s="10" t="s">
        <v>22723</v>
      </c>
      <c r="S3940" s="10" t="s">
        <v>53</v>
      </c>
      <c r="T3940" s="10" t="s">
        <v>54</v>
      </c>
    </row>
    <row r="3941" spans="1:20" ht="14.5" x14ac:dyDescent="0.35">
      <c r="A3941" s="10" t="s">
        <v>22724</v>
      </c>
      <c r="B3941" s="10" t="str">
        <f>"9781412920896"</f>
        <v>9781412920896</v>
      </c>
      <c r="C3941" s="10" t="str">
        <f>"9781849206334"</f>
        <v>9781849206334</v>
      </c>
      <c r="D3941" s="10" t="s">
        <v>9325</v>
      </c>
      <c r="E3941" s="10" t="s">
        <v>9326</v>
      </c>
      <c r="F3941" s="10" t="s">
        <v>139</v>
      </c>
      <c r="G3941" s="10" t="s">
        <v>6352</v>
      </c>
      <c r="H3941" s="11">
        <v>39630</v>
      </c>
      <c r="I3941" s="10">
        <v>2008</v>
      </c>
      <c r="J3941" s="10" t="s">
        <v>9326</v>
      </c>
      <c r="K3941" s="10">
        <v>97</v>
      </c>
      <c r="L3941" s="10" t="s">
        <v>22725</v>
      </c>
      <c r="M3941" s="10">
        <v>1</v>
      </c>
      <c r="N3941" s="10" t="s">
        <v>11973</v>
      </c>
      <c r="O3941" s="10"/>
      <c r="P3941" s="10" t="s">
        <v>22726</v>
      </c>
      <c r="Q3941" s="10">
        <v>150.19800000000001</v>
      </c>
      <c r="R3941" s="10" t="s">
        <v>22727</v>
      </c>
      <c r="S3941" s="10" t="s">
        <v>53</v>
      </c>
      <c r="T3941" s="10" t="s">
        <v>483</v>
      </c>
    </row>
    <row r="3942" spans="1:20" ht="14.5" x14ac:dyDescent="0.35">
      <c r="A3942" s="10" t="s">
        <v>22728</v>
      </c>
      <c r="B3942" s="10" t="str">
        <f>"9781412928908"</f>
        <v>9781412928908</v>
      </c>
      <c r="C3942" s="10" t="str">
        <f>"9781446265727"</f>
        <v>9781446265727</v>
      </c>
      <c r="D3942" s="10" t="s">
        <v>9325</v>
      </c>
      <c r="E3942" s="10" t="s">
        <v>9326</v>
      </c>
      <c r="F3942" s="10" t="s">
        <v>139</v>
      </c>
      <c r="G3942" s="10" t="s">
        <v>6352</v>
      </c>
      <c r="H3942" s="11">
        <v>39135</v>
      </c>
      <c r="I3942" s="10">
        <v>2007</v>
      </c>
      <c r="J3942" s="10" t="s">
        <v>9326</v>
      </c>
      <c r="K3942" s="10">
        <v>125</v>
      </c>
      <c r="L3942" s="10" t="s">
        <v>22729</v>
      </c>
      <c r="M3942" s="10">
        <v>1</v>
      </c>
      <c r="N3942" s="10" t="s">
        <v>11992</v>
      </c>
      <c r="O3942" s="10"/>
      <c r="P3942" s="10" t="s">
        <v>22730</v>
      </c>
      <c r="Q3942" s="10">
        <v>510.24371141239999</v>
      </c>
      <c r="R3942" s="10" t="s">
        <v>7206</v>
      </c>
      <c r="S3942" s="10" t="s">
        <v>53</v>
      </c>
      <c r="T3942" s="10" t="s">
        <v>389</v>
      </c>
    </row>
    <row r="3943" spans="1:20" ht="14.5" x14ac:dyDescent="0.35">
      <c r="A3943" s="10" t="s">
        <v>22731</v>
      </c>
      <c r="B3943" s="10" t="str">
        <f>"9780761966234"</f>
        <v>9780761966234</v>
      </c>
      <c r="C3943" s="10" t="str">
        <f>"9781446264133"</f>
        <v>9781446264133</v>
      </c>
      <c r="D3943" s="10" t="s">
        <v>9325</v>
      </c>
      <c r="E3943" s="10" t="s">
        <v>9326</v>
      </c>
      <c r="F3943" s="10" t="s">
        <v>139</v>
      </c>
      <c r="G3943" s="10" t="s">
        <v>6352</v>
      </c>
      <c r="H3943" s="11">
        <v>36903</v>
      </c>
      <c r="I3943" s="10">
        <v>2001</v>
      </c>
      <c r="J3943" s="10" t="s">
        <v>9326</v>
      </c>
      <c r="K3943" s="10">
        <v>225</v>
      </c>
      <c r="L3943" s="10" t="s">
        <v>22732</v>
      </c>
      <c r="M3943" s="10">
        <v>1</v>
      </c>
      <c r="N3943" s="10"/>
      <c r="O3943" s="10"/>
      <c r="P3943" s="10" t="s">
        <v>22733</v>
      </c>
      <c r="Q3943" s="10" t="s">
        <v>22734</v>
      </c>
      <c r="R3943" s="10" t="s">
        <v>6809</v>
      </c>
      <c r="S3943" s="10" t="s">
        <v>53</v>
      </c>
      <c r="T3943" s="10" t="s">
        <v>54</v>
      </c>
    </row>
    <row r="3944" spans="1:20" ht="14.5" x14ac:dyDescent="0.35">
      <c r="A3944" s="10" t="s">
        <v>22735</v>
      </c>
      <c r="B3944" s="10" t="str">
        <f>"9781853964619"</f>
        <v>9781853964619</v>
      </c>
      <c r="C3944" s="10" t="str">
        <f>"9781446265208"</f>
        <v>9781446265208</v>
      </c>
      <c r="D3944" s="10" t="s">
        <v>9325</v>
      </c>
      <c r="E3944" s="10" t="s">
        <v>9326</v>
      </c>
      <c r="F3944" s="10" t="s">
        <v>139</v>
      </c>
      <c r="G3944" s="10" t="s">
        <v>6352</v>
      </c>
      <c r="H3944" s="11">
        <v>36903</v>
      </c>
      <c r="I3944" s="10">
        <v>2001</v>
      </c>
      <c r="J3944" s="10" t="s">
        <v>9326</v>
      </c>
      <c r="K3944" s="10">
        <v>249</v>
      </c>
      <c r="L3944" s="10" t="s">
        <v>22680</v>
      </c>
      <c r="M3944" s="10">
        <v>1</v>
      </c>
      <c r="N3944" s="10" t="s">
        <v>9328</v>
      </c>
      <c r="O3944" s="10"/>
      <c r="P3944" s="10" t="s">
        <v>22736</v>
      </c>
      <c r="Q3944" s="10" t="s">
        <v>22737</v>
      </c>
      <c r="R3944" s="10" t="s">
        <v>22738</v>
      </c>
      <c r="S3944" s="10" t="s">
        <v>53</v>
      </c>
      <c r="T3944" s="10" t="s">
        <v>54</v>
      </c>
    </row>
    <row r="3945" spans="1:20" ht="14.5" x14ac:dyDescent="0.35">
      <c r="A3945" s="10" t="s">
        <v>22739</v>
      </c>
      <c r="B3945" s="10" t="str">
        <f>"9781853963926"</f>
        <v>9781853963926</v>
      </c>
      <c r="C3945" s="10" t="str">
        <f>"9781446265444"</f>
        <v>9781446265444</v>
      </c>
      <c r="D3945" s="10" t="s">
        <v>9325</v>
      </c>
      <c r="E3945" s="10" t="s">
        <v>9326</v>
      </c>
      <c r="F3945" s="10" t="s">
        <v>139</v>
      </c>
      <c r="G3945" s="10" t="s">
        <v>6352</v>
      </c>
      <c r="H3945" s="11">
        <v>36553</v>
      </c>
      <c r="I3945" s="10">
        <v>2000</v>
      </c>
      <c r="J3945" s="10" t="s">
        <v>9326</v>
      </c>
      <c r="K3945" s="10">
        <v>193</v>
      </c>
      <c r="L3945" s="10" t="s">
        <v>22740</v>
      </c>
      <c r="M3945" s="10">
        <v>1</v>
      </c>
      <c r="N3945" s="10" t="s">
        <v>9328</v>
      </c>
      <c r="O3945" s="10">
        <v>4</v>
      </c>
      <c r="P3945" s="10" t="s">
        <v>22741</v>
      </c>
      <c r="Q3945" s="10">
        <v>370.72</v>
      </c>
      <c r="R3945" s="10" t="s">
        <v>6520</v>
      </c>
      <c r="S3945" s="10" t="s">
        <v>53</v>
      </c>
      <c r="T3945" s="10" t="s">
        <v>54</v>
      </c>
    </row>
    <row r="3946" spans="1:20" ht="14.5" x14ac:dyDescent="0.35">
      <c r="A3946" s="10" t="s">
        <v>22742</v>
      </c>
      <c r="B3946" s="10" t="str">
        <f>"9781412918565"</f>
        <v>9781412918565</v>
      </c>
      <c r="C3946" s="10" t="str">
        <f>"9781446202722"</f>
        <v>9781446202722</v>
      </c>
      <c r="D3946" s="10" t="s">
        <v>9325</v>
      </c>
      <c r="E3946" s="10" t="s">
        <v>9326</v>
      </c>
      <c r="F3946" s="10" t="s">
        <v>139</v>
      </c>
      <c r="G3946" s="10" t="s">
        <v>6352</v>
      </c>
      <c r="H3946" s="11">
        <v>38905</v>
      </c>
      <c r="I3946" s="10">
        <v>2006</v>
      </c>
      <c r="J3946" s="10" t="s">
        <v>9326</v>
      </c>
      <c r="K3946" s="10">
        <v>109</v>
      </c>
      <c r="L3946" s="10" t="s">
        <v>22743</v>
      </c>
      <c r="M3946" s="10">
        <v>1</v>
      </c>
      <c r="N3946" s="10"/>
      <c r="O3946" s="10"/>
      <c r="P3946" s="10" t="s">
        <v>22744</v>
      </c>
      <c r="Q3946" s="10">
        <v>372.62304409410001</v>
      </c>
      <c r="R3946" s="10" t="s">
        <v>22745</v>
      </c>
      <c r="S3946" s="10" t="s">
        <v>53</v>
      </c>
      <c r="T3946" s="10" t="s">
        <v>54</v>
      </c>
    </row>
    <row r="3947" spans="1:20" ht="14.5" x14ac:dyDescent="0.35">
      <c r="A3947" s="10" t="s">
        <v>22746</v>
      </c>
      <c r="B3947" s="10" t="str">
        <f>"9781873942710"</f>
        <v>9781873942710</v>
      </c>
      <c r="C3947" s="10" t="str">
        <f>"9781446264195"</f>
        <v>9781446264195</v>
      </c>
      <c r="D3947" s="10" t="s">
        <v>9325</v>
      </c>
      <c r="E3947" s="10" t="s">
        <v>9326</v>
      </c>
      <c r="F3947" s="10" t="s">
        <v>139</v>
      </c>
      <c r="G3947" s="10" t="s">
        <v>6352</v>
      </c>
      <c r="H3947" s="11">
        <v>35431</v>
      </c>
      <c r="I3947" s="10">
        <v>1997</v>
      </c>
      <c r="J3947" s="10" t="s">
        <v>9326</v>
      </c>
      <c r="K3947" s="10">
        <v>203</v>
      </c>
      <c r="L3947" s="10" t="s">
        <v>22747</v>
      </c>
      <c r="M3947" s="10">
        <v>1</v>
      </c>
      <c r="N3947" s="10" t="s">
        <v>11973</v>
      </c>
      <c r="O3947" s="10"/>
      <c r="P3947" s="10" t="s">
        <v>22748</v>
      </c>
      <c r="Q3947" s="10">
        <v>370.11500000000001</v>
      </c>
      <c r="R3947" s="10" t="s">
        <v>22749</v>
      </c>
      <c r="S3947" s="10" t="s">
        <v>53</v>
      </c>
      <c r="T3947" s="10" t="s">
        <v>6492</v>
      </c>
    </row>
    <row r="3948" spans="1:20" ht="14.5" x14ac:dyDescent="0.35">
      <c r="A3948" s="10" t="s">
        <v>22750</v>
      </c>
      <c r="B3948" s="10" t="str">
        <f>"9781412920261"</f>
        <v>9781412920261</v>
      </c>
      <c r="C3948" s="10" t="str">
        <f>"9781446264027"</f>
        <v>9781446264027</v>
      </c>
      <c r="D3948" s="10" t="s">
        <v>9325</v>
      </c>
      <c r="E3948" s="10" t="s">
        <v>9326</v>
      </c>
      <c r="F3948" s="10" t="s">
        <v>139</v>
      </c>
      <c r="G3948" s="10" t="s">
        <v>6352</v>
      </c>
      <c r="H3948" s="11">
        <v>38870</v>
      </c>
      <c r="I3948" s="10">
        <v>2006</v>
      </c>
      <c r="J3948" s="10" t="s">
        <v>9326</v>
      </c>
      <c r="K3948" s="10">
        <v>98</v>
      </c>
      <c r="L3948" s="10" t="s">
        <v>22751</v>
      </c>
      <c r="M3948" s="10">
        <v>2</v>
      </c>
      <c r="N3948" s="10" t="s">
        <v>11973</v>
      </c>
      <c r="O3948" s="10"/>
      <c r="P3948" s="10" t="s">
        <v>22752</v>
      </c>
      <c r="Q3948" s="10">
        <v>371.30279999999999</v>
      </c>
      <c r="R3948" s="10" t="s">
        <v>22753</v>
      </c>
      <c r="S3948" s="10" t="s">
        <v>53</v>
      </c>
      <c r="T3948" s="10" t="s">
        <v>54</v>
      </c>
    </row>
    <row r="3949" spans="1:20" ht="14.5" x14ac:dyDescent="0.35">
      <c r="A3949" s="10" t="s">
        <v>22754</v>
      </c>
      <c r="B3949" s="10" t="str">
        <f>"9781412929646"</f>
        <v>9781412929646</v>
      </c>
      <c r="C3949" s="10" t="str">
        <f>"9781446202395"</f>
        <v>9781446202395</v>
      </c>
      <c r="D3949" s="10" t="s">
        <v>9325</v>
      </c>
      <c r="E3949" s="10" t="s">
        <v>9326</v>
      </c>
      <c r="F3949" s="10" t="s">
        <v>139</v>
      </c>
      <c r="G3949" s="10" t="s">
        <v>6352</v>
      </c>
      <c r="H3949" s="11">
        <v>39862</v>
      </c>
      <c r="I3949" s="10">
        <v>2009</v>
      </c>
      <c r="J3949" s="10" t="s">
        <v>9326</v>
      </c>
      <c r="K3949" s="10">
        <v>169</v>
      </c>
      <c r="L3949" s="10" t="s">
        <v>19314</v>
      </c>
      <c r="M3949" s="10">
        <v>1</v>
      </c>
      <c r="N3949" s="10"/>
      <c r="O3949" s="10"/>
      <c r="P3949" s="10" t="s">
        <v>22755</v>
      </c>
      <c r="Q3949" s="10">
        <v>372.66043999999999</v>
      </c>
      <c r="R3949" s="10" t="s">
        <v>22756</v>
      </c>
      <c r="S3949" s="10" t="s">
        <v>53</v>
      </c>
      <c r="T3949" s="10" t="s">
        <v>6881</v>
      </c>
    </row>
    <row r="3950" spans="1:20" ht="14.5" x14ac:dyDescent="0.35">
      <c r="A3950" s="10" t="s">
        <v>22757</v>
      </c>
      <c r="B3950" s="10" t="str">
        <f>"9781412919890"</f>
        <v>9781412919890</v>
      </c>
      <c r="C3950" s="10" t="str">
        <f>"9781446266274"</f>
        <v>9781446266274</v>
      </c>
      <c r="D3950" s="10" t="s">
        <v>9325</v>
      </c>
      <c r="E3950" s="10" t="s">
        <v>9326</v>
      </c>
      <c r="F3950" s="10" t="s">
        <v>139</v>
      </c>
      <c r="G3950" s="10" t="s">
        <v>6352</v>
      </c>
      <c r="H3950" s="11">
        <v>38547</v>
      </c>
      <c r="I3950" s="10">
        <v>2005</v>
      </c>
      <c r="J3950" s="10" t="s">
        <v>9326</v>
      </c>
      <c r="K3950" s="10">
        <v>115</v>
      </c>
      <c r="L3950" s="10" t="s">
        <v>13607</v>
      </c>
      <c r="M3950" s="10">
        <v>1</v>
      </c>
      <c r="N3950" s="10" t="s">
        <v>11973</v>
      </c>
      <c r="O3950" s="10"/>
      <c r="P3950" s="10" t="s">
        <v>22758</v>
      </c>
      <c r="Q3950" s="10">
        <v>372.01139999999998</v>
      </c>
      <c r="R3950" s="10" t="s">
        <v>22759</v>
      </c>
      <c r="S3950" s="10" t="s">
        <v>53</v>
      </c>
      <c r="T3950" s="10" t="s">
        <v>6492</v>
      </c>
    </row>
    <row r="3951" spans="1:20" ht="14.5" x14ac:dyDescent="0.35">
      <c r="A3951" s="10" t="s">
        <v>22760</v>
      </c>
      <c r="B3951" s="10" t="str">
        <f>"9780761963301"</f>
        <v>9780761963301</v>
      </c>
      <c r="C3951" s="10" t="str">
        <f>"9781446265741"</f>
        <v>9781446265741</v>
      </c>
      <c r="D3951" s="10" t="s">
        <v>9325</v>
      </c>
      <c r="E3951" s="10" t="s">
        <v>9326</v>
      </c>
      <c r="F3951" s="10" t="s">
        <v>139</v>
      </c>
      <c r="G3951" s="10" t="s">
        <v>6352</v>
      </c>
      <c r="H3951" s="11">
        <v>36574</v>
      </c>
      <c r="I3951" s="10">
        <v>2000</v>
      </c>
      <c r="J3951" s="10" t="s">
        <v>9326</v>
      </c>
      <c r="K3951" s="10">
        <v>113</v>
      </c>
      <c r="L3951" s="10" t="s">
        <v>22664</v>
      </c>
      <c r="M3951" s="10">
        <v>1</v>
      </c>
      <c r="N3951" s="10"/>
      <c r="O3951" s="10"/>
      <c r="P3951" s="10" t="s">
        <v>22761</v>
      </c>
      <c r="Q3951" s="10">
        <v>371.10199999999998</v>
      </c>
      <c r="R3951" s="10" t="s">
        <v>22762</v>
      </c>
      <c r="S3951" s="10" t="s">
        <v>53</v>
      </c>
      <c r="T3951" s="10" t="s">
        <v>54</v>
      </c>
    </row>
    <row r="3952" spans="1:20" ht="14.5" x14ac:dyDescent="0.35">
      <c r="A3952" s="10" t="s">
        <v>22763</v>
      </c>
      <c r="B3952" s="10" t="str">
        <f>"9780761963813"</f>
        <v>9780761963813</v>
      </c>
      <c r="C3952" s="10" t="str">
        <f>"9781446265154"</f>
        <v>9781446265154</v>
      </c>
      <c r="D3952" s="10" t="s">
        <v>9325</v>
      </c>
      <c r="E3952" s="10" t="s">
        <v>9326</v>
      </c>
      <c r="F3952" s="10" t="s">
        <v>139</v>
      </c>
      <c r="G3952" s="10" t="s">
        <v>6352</v>
      </c>
      <c r="H3952" s="11">
        <v>37651</v>
      </c>
      <c r="I3952" s="10">
        <v>2002</v>
      </c>
      <c r="J3952" s="10" t="s">
        <v>9326</v>
      </c>
      <c r="K3952" s="10">
        <v>209</v>
      </c>
      <c r="L3952" s="10" t="s">
        <v>22764</v>
      </c>
      <c r="M3952" s="10">
        <v>1</v>
      </c>
      <c r="N3952" s="10" t="s">
        <v>9336</v>
      </c>
      <c r="O3952" s="10"/>
      <c r="P3952" s="10" t="s">
        <v>22765</v>
      </c>
      <c r="Q3952" s="10" t="s">
        <v>11202</v>
      </c>
      <c r="R3952" s="10" t="s">
        <v>6534</v>
      </c>
      <c r="S3952" s="10" t="s">
        <v>53</v>
      </c>
      <c r="T3952" s="10" t="s">
        <v>54</v>
      </c>
    </row>
    <row r="3953" spans="1:20" ht="14.5" x14ac:dyDescent="0.35">
      <c r="A3953" s="10" t="s">
        <v>22766</v>
      </c>
      <c r="B3953" s="10" t="str">
        <f>"9781848607750"</f>
        <v>9781848607750</v>
      </c>
      <c r="C3953" s="10" t="str">
        <f>"9781446263877"</f>
        <v>9781446263877</v>
      </c>
      <c r="D3953" s="10" t="s">
        <v>9325</v>
      </c>
      <c r="E3953" s="10" t="s">
        <v>9326</v>
      </c>
      <c r="F3953" s="10" t="s">
        <v>139</v>
      </c>
      <c r="G3953" s="10" t="s">
        <v>6352</v>
      </c>
      <c r="H3953" s="11">
        <v>40088</v>
      </c>
      <c r="I3953" s="10">
        <v>2010</v>
      </c>
      <c r="J3953" s="10" t="s">
        <v>9326</v>
      </c>
      <c r="K3953" s="10">
        <v>193</v>
      </c>
      <c r="L3953" s="10" t="s">
        <v>13607</v>
      </c>
      <c r="M3953" s="10">
        <v>1</v>
      </c>
      <c r="N3953" s="10" t="s">
        <v>11973</v>
      </c>
      <c r="O3953" s="10"/>
      <c r="P3953" s="10" t="s">
        <v>22767</v>
      </c>
      <c r="Q3953" s="10">
        <v>372.01139999999998</v>
      </c>
      <c r="R3953" s="10" t="s">
        <v>22768</v>
      </c>
      <c r="S3953" s="10" t="s">
        <v>53</v>
      </c>
      <c r="T3953" s="10" t="s">
        <v>6492</v>
      </c>
    </row>
    <row r="3954" spans="1:20" ht="14.5" x14ac:dyDescent="0.35">
      <c r="A3954" s="10" t="s">
        <v>22769</v>
      </c>
      <c r="B3954" s="10" t="str">
        <f>"9781412922524"</f>
        <v>9781412922524</v>
      </c>
      <c r="C3954" s="10" t="str">
        <f>"9781446266243"</f>
        <v>9781446266243</v>
      </c>
      <c r="D3954" s="10" t="s">
        <v>9325</v>
      </c>
      <c r="E3954" s="10" t="s">
        <v>9326</v>
      </c>
      <c r="F3954" s="10" t="s">
        <v>139</v>
      </c>
      <c r="G3954" s="10" t="s">
        <v>6352</v>
      </c>
      <c r="H3954" s="11">
        <v>39394</v>
      </c>
      <c r="I3954" s="10">
        <v>2008</v>
      </c>
      <c r="J3954" s="10" t="s">
        <v>9326</v>
      </c>
      <c r="K3954" s="10">
        <v>81</v>
      </c>
      <c r="L3954" s="10" t="s">
        <v>22770</v>
      </c>
      <c r="M3954" s="10">
        <v>1</v>
      </c>
      <c r="N3954" s="10" t="s">
        <v>11973</v>
      </c>
      <c r="O3954" s="10"/>
      <c r="P3954" s="10" t="s">
        <v>22771</v>
      </c>
      <c r="Q3954" s="10">
        <v>372.64044094100001</v>
      </c>
      <c r="R3954" s="10" t="s">
        <v>22772</v>
      </c>
      <c r="S3954" s="10" t="s">
        <v>53</v>
      </c>
      <c r="T3954" s="10" t="s">
        <v>54</v>
      </c>
    </row>
    <row r="3955" spans="1:20" ht="14.5" x14ac:dyDescent="0.35">
      <c r="A3955" s="10" t="s">
        <v>22773</v>
      </c>
      <c r="B3955" s="10" t="str">
        <f>"9781412913065"</f>
        <v>9781412913065</v>
      </c>
      <c r="C3955" s="10" t="str">
        <f>"9781446265611"</f>
        <v>9781446265611</v>
      </c>
      <c r="D3955" s="10" t="s">
        <v>9325</v>
      </c>
      <c r="E3955" s="10" t="s">
        <v>9326</v>
      </c>
      <c r="F3955" s="10" t="s">
        <v>139</v>
      </c>
      <c r="G3955" s="10" t="s">
        <v>6352</v>
      </c>
      <c r="H3955" s="11">
        <v>39416</v>
      </c>
      <c r="I3955" s="10">
        <v>2008</v>
      </c>
      <c r="J3955" s="10" t="s">
        <v>9326</v>
      </c>
      <c r="K3955" s="10">
        <v>143</v>
      </c>
      <c r="L3955" s="10" t="s">
        <v>22774</v>
      </c>
      <c r="M3955" s="10">
        <v>1</v>
      </c>
      <c r="N3955" s="10" t="s">
        <v>11973</v>
      </c>
      <c r="O3955" s="10"/>
      <c r="P3955" s="10" t="s">
        <v>22775</v>
      </c>
      <c r="Q3955" s="10">
        <v>370.11399999999998</v>
      </c>
      <c r="R3955" s="10" t="s">
        <v>22776</v>
      </c>
      <c r="S3955" s="10" t="s">
        <v>53</v>
      </c>
      <c r="T3955" s="10" t="s">
        <v>6492</v>
      </c>
    </row>
    <row r="3956" spans="1:20" ht="14.5" x14ac:dyDescent="0.35">
      <c r="A3956" s="10" t="s">
        <v>22777</v>
      </c>
      <c r="B3956" s="10" t="str">
        <f>"9781853964404"</f>
        <v>9781853964404</v>
      </c>
      <c r="C3956" s="10" t="str">
        <f>"9781446266281"</f>
        <v>9781446266281</v>
      </c>
      <c r="D3956" s="10" t="s">
        <v>9325</v>
      </c>
      <c r="E3956" s="10" t="s">
        <v>9326</v>
      </c>
      <c r="F3956" s="10" t="s">
        <v>139</v>
      </c>
      <c r="G3956" s="10" t="s">
        <v>6352</v>
      </c>
      <c r="H3956" s="11">
        <v>36368</v>
      </c>
      <c r="I3956" s="10">
        <v>1999</v>
      </c>
      <c r="J3956" s="10" t="s">
        <v>9326</v>
      </c>
      <c r="K3956" s="10">
        <v>239</v>
      </c>
      <c r="L3956" s="10" t="s">
        <v>22778</v>
      </c>
      <c r="M3956" s="10">
        <v>1</v>
      </c>
      <c r="N3956" s="10" t="s">
        <v>22714</v>
      </c>
      <c r="O3956" s="10"/>
      <c r="P3956" s="10" t="s">
        <v>22779</v>
      </c>
      <c r="Q3956" s="10" t="s">
        <v>13969</v>
      </c>
      <c r="R3956" s="10" t="s">
        <v>21899</v>
      </c>
      <c r="S3956" s="10" t="s">
        <v>53</v>
      </c>
      <c r="T3956" s="10" t="s">
        <v>54</v>
      </c>
    </row>
    <row r="3957" spans="1:20" ht="14.5" x14ac:dyDescent="0.35">
      <c r="A3957" s="10" t="s">
        <v>22780</v>
      </c>
      <c r="B3957" s="10" t="str">
        <f>"9781904315179"</f>
        <v>9781904315179</v>
      </c>
      <c r="C3957" s="10" t="str">
        <f>"9781446264898"</f>
        <v>9781446264898</v>
      </c>
      <c r="D3957" s="10" t="s">
        <v>9325</v>
      </c>
      <c r="E3957" s="10" t="s">
        <v>9326</v>
      </c>
      <c r="F3957" s="10" t="s">
        <v>139</v>
      </c>
      <c r="G3957" s="10" t="s">
        <v>6352</v>
      </c>
      <c r="H3957" s="11">
        <v>37895</v>
      </c>
      <c r="I3957" s="10">
        <v>2004</v>
      </c>
      <c r="J3957" s="10" t="s">
        <v>9326</v>
      </c>
      <c r="K3957" s="10">
        <v>109</v>
      </c>
      <c r="L3957" s="10" t="s">
        <v>22781</v>
      </c>
      <c r="M3957" s="10">
        <v>1</v>
      </c>
      <c r="N3957" s="10" t="s">
        <v>11973</v>
      </c>
      <c r="O3957" s="10"/>
      <c r="P3957" s="10" t="s">
        <v>22782</v>
      </c>
      <c r="Q3957" s="10">
        <v>372.21</v>
      </c>
      <c r="R3957" s="10" t="s">
        <v>22783</v>
      </c>
      <c r="S3957" s="10" t="s">
        <v>53</v>
      </c>
      <c r="T3957" s="10" t="s">
        <v>54</v>
      </c>
    </row>
    <row r="3958" spans="1:20" ht="14.5" x14ac:dyDescent="0.35">
      <c r="A3958" s="10" t="s">
        <v>22784</v>
      </c>
      <c r="B3958" s="10" t="str">
        <f>"9781873942857"</f>
        <v>9781873942857</v>
      </c>
      <c r="C3958" s="10" t="str">
        <f>"9781446264768"</f>
        <v>9781446264768</v>
      </c>
      <c r="D3958" s="10" t="s">
        <v>9325</v>
      </c>
      <c r="E3958" s="10" t="s">
        <v>9326</v>
      </c>
      <c r="F3958" s="10" t="s">
        <v>139</v>
      </c>
      <c r="G3958" s="10" t="s">
        <v>6352</v>
      </c>
      <c r="H3958" s="11">
        <v>34700</v>
      </c>
      <c r="I3958" s="10">
        <v>1995</v>
      </c>
      <c r="J3958" s="10" t="s">
        <v>9326</v>
      </c>
      <c r="K3958" s="10">
        <v>66</v>
      </c>
      <c r="L3958" s="10" t="s">
        <v>22785</v>
      </c>
      <c r="M3958" s="10">
        <v>1</v>
      </c>
      <c r="N3958" s="10" t="s">
        <v>11973</v>
      </c>
      <c r="O3958" s="10"/>
      <c r="P3958" s="10" t="s">
        <v>22786</v>
      </c>
      <c r="Q3958" s="10">
        <v>302.14082999999999</v>
      </c>
      <c r="R3958" s="10" t="s">
        <v>22787</v>
      </c>
      <c r="S3958" s="10" t="s">
        <v>53</v>
      </c>
      <c r="T3958" s="10" t="s">
        <v>6526</v>
      </c>
    </row>
    <row r="3959" spans="1:20" ht="14.5" x14ac:dyDescent="0.35">
      <c r="A3959" s="10" t="s">
        <v>22788</v>
      </c>
      <c r="B3959" s="10" t="str">
        <f>"9781904315421"</f>
        <v>9781904315421</v>
      </c>
      <c r="C3959" s="10" t="str">
        <f>"9781446265512"</f>
        <v>9781446265512</v>
      </c>
      <c r="D3959" s="10" t="s">
        <v>9325</v>
      </c>
      <c r="E3959" s="10" t="s">
        <v>9326</v>
      </c>
      <c r="F3959" s="10" t="s">
        <v>139</v>
      </c>
      <c r="G3959" s="10" t="s">
        <v>6352</v>
      </c>
      <c r="H3959" s="11">
        <v>38231</v>
      </c>
      <c r="I3959" s="10">
        <v>2005</v>
      </c>
      <c r="J3959" s="10" t="s">
        <v>9326</v>
      </c>
      <c r="K3959" s="10">
        <v>96</v>
      </c>
      <c r="L3959" s="10" t="s">
        <v>22789</v>
      </c>
      <c r="M3959" s="10">
        <v>1</v>
      </c>
      <c r="N3959" s="10" t="s">
        <v>11973</v>
      </c>
      <c r="O3959" s="10"/>
      <c r="P3959" s="10" t="s">
        <v>22790</v>
      </c>
      <c r="Q3959" s="10">
        <v>372.14600000000002</v>
      </c>
      <c r="R3959" s="10" t="s">
        <v>22791</v>
      </c>
      <c r="S3959" s="10" t="s">
        <v>53</v>
      </c>
      <c r="T3959" s="10" t="s">
        <v>6492</v>
      </c>
    </row>
    <row r="3960" spans="1:20" ht="14.5" x14ac:dyDescent="0.35">
      <c r="A3960" s="10" t="s">
        <v>22792</v>
      </c>
      <c r="B3960" s="10" t="str">
        <f>"9781905539758"</f>
        <v>9781905539758</v>
      </c>
      <c r="C3960" s="10" t="str">
        <f>"9781907830754"</f>
        <v>9781907830754</v>
      </c>
      <c r="D3960" s="10" t="s">
        <v>21288</v>
      </c>
      <c r="E3960" s="10" t="s">
        <v>21289</v>
      </c>
      <c r="F3960" s="10" t="s">
        <v>21290</v>
      </c>
      <c r="G3960" s="10" t="s">
        <v>6352</v>
      </c>
      <c r="H3960" s="11">
        <v>40787</v>
      </c>
      <c r="I3960" s="10">
        <v>2011</v>
      </c>
      <c r="J3960" s="10" t="s">
        <v>21291</v>
      </c>
      <c r="K3960" s="10">
        <v>181</v>
      </c>
      <c r="L3960" s="10" t="s">
        <v>22793</v>
      </c>
      <c r="M3960" s="10">
        <v>1</v>
      </c>
      <c r="N3960" s="10"/>
      <c r="O3960" s="10"/>
      <c r="P3960" s="10" t="s">
        <v>22794</v>
      </c>
      <c r="Q3960" s="10" t="s">
        <v>22795</v>
      </c>
      <c r="R3960" s="10" t="s">
        <v>22796</v>
      </c>
      <c r="S3960" s="10" t="s">
        <v>53</v>
      </c>
      <c r="T3960" s="10" t="s">
        <v>15489</v>
      </c>
    </row>
    <row r="3961" spans="1:20" ht="14.5" x14ac:dyDescent="0.35">
      <c r="A3961" s="10" t="s">
        <v>22797</v>
      </c>
      <c r="B3961" s="10" t="str">
        <f>"9781416614227"</f>
        <v>9781416614227</v>
      </c>
      <c r="C3961" s="10" t="str">
        <f>"9781416615026"</f>
        <v>9781416615026</v>
      </c>
      <c r="D3961" s="10" t="s">
        <v>10014</v>
      </c>
      <c r="E3961" s="10" t="s">
        <v>10015</v>
      </c>
      <c r="F3961" s="10" t="s">
        <v>201</v>
      </c>
      <c r="G3961" s="10" t="s">
        <v>6317</v>
      </c>
      <c r="H3961" s="11">
        <v>41151</v>
      </c>
      <c r="I3961" s="10">
        <v>2012</v>
      </c>
      <c r="J3961" s="10" t="s">
        <v>10015</v>
      </c>
      <c r="K3961" s="10">
        <v>215</v>
      </c>
      <c r="L3961" s="10" t="s">
        <v>22798</v>
      </c>
      <c r="M3961" s="10">
        <v>1</v>
      </c>
      <c r="N3961" s="10"/>
      <c r="O3961" s="10"/>
      <c r="P3961" s="10"/>
      <c r="Q3961" s="10">
        <v>372.21</v>
      </c>
      <c r="R3961" s="10"/>
      <c r="S3961" s="10" t="s">
        <v>53</v>
      </c>
      <c r="T3961" s="10" t="s">
        <v>54</v>
      </c>
    </row>
    <row r="3962" spans="1:20" ht="14.5" x14ac:dyDescent="0.35">
      <c r="A3962" s="10" t="s">
        <v>22799</v>
      </c>
      <c r="B3962" s="10" t="str">
        <f>"9781416614401"</f>
        <v>9781416614401</v>
      </c>
      <c r="C3962" s="10" t="str">
        <f>"9781416615095"</f>
        <v>9781416615095</v>
      </c>
      <c r="D3962" s="10" t="s">
        <v>10014</v>
      </c>
      <c r="E3962" s="10" t="s">
        <v>10015</v>
      </c>
      <c r="F3962" s="10" t="s">
        <v>201</v>
      </c>
      <c r="G3962" s="10" t="s">
        <v>6317</v>
      </c>
      <c r="H3962" s="11">
        <v>41182</v>
      </c>
      <c r="I3962" s="10">
        <v>2012</v>
      </c>
      <c r="J3962" s="10" t="s">
        <v>10015</v>
      </c>
      <c r="K3962" s="10">
        <v>203</v>
      </c>
      <c r="L3962" s="10" t="s">
        <v>22800</v>
      </c>
      <c r="M3962" s="10">
        <v>1</v>
      </c>
      <c r="N3962" s="10"/>
      <c r="O3962" s="10"/>
      <c r="P3962" s="10" t="s">
        <v>22801</v>
      </c>
      <c r="Q3962" s="10">
        <v>371.10199999999998</v>
      </c>
      <c r="R3962" s="10" t="s">
        <v>22802</v>
      </c>
      <c r="S3962" s="10" t="s">
        <v>53</v>
      </c>
      <c r="T3962" s="10" t="s">
        <v>54</v>
      </c>
    </row>
    <row r="3963" spans="1:20" ht="14.5" x14ac:dyDescent="0.35">
      <c r="A3963" s="10" t="s">
        <v>22803</v>
      </c>
      <c r="B3963" s="10" t="str">
        <f>"9781462506828"</f>
        <v>9781462506828</v>
      </c>
      <c r="C3963" s="10" t="str">
        <f>"9781462506835"</f>
        <v>9781462506835</v>
      </c>
      <c r="D3963" s="10" t="s">
        <v>11213</v>
      </c>
      <c r="E3963" s="10" t="s">
        <v>11214</v>
      </c>
      <c r="F3963" s="10" t="s">
        <v>70</v>
      </c>
      <c r="G3963" s="10" t="s">
        <v>6317</v>
      </c>
      <c r="H3963" s="11">
        <v>41155</v>
      </c>
      <c r="I3963" s="10">
        <v>2012</v>
      </c>
      <c r="J3963" s="10" t="s">
        <v>11215</v>
      </c>
      <c r="K3963" s="10">
        <v>194</v>
      </c>
      <c r="L3963" s="10" t="s">
        <v>22804</v>
      </c>
      <c r="M3963" s="10">
        <v>1</v>
      </c>
      <c r="N3963" s="10" t="s">
        <v>11708</v>
      </c>
      <c r="O3963" s="10"/>
      <c r="P3963" s="10" t="s">
        <v>22805</v>
      </c>
      <c r="Q3963" s="10" t="s">
        <v>13135</v>
      </c>
      <c r="R3963" s="10" t="s">
        <v>22806</v>
      </c>
      <c r="S3963" s="10" t="s">
        <v>53</v>
      </c>
      <c r="T3963" s="10" t="s">
        <v>6568</v>
      </c>
    </row>
    <row r="3964" spans="1:20" ht="14.5" x14ac:dyDescent="0.35">
      <c r="A3964" s="10" t="s">
        <v>22807</v>
      </c>
      <c r="B3964" s="10" t="str">
        <f>"9781462506422"</f>
        <v>9781462506422</v>
      </c>
      <c r="C3964" s="10" t="str">
        <f>"9781462506439"</f>
        <v>9781462506439</v>
      </c>
      <c r="D3964" s="10" t="s">
        <v>11213</v>
      </c>
      <c r="E3964" s="10" t="s">
        <v>11214</v>
      </c>
      <c r="F3964" s="10" t="s">
        <v>70</v>
      </c>
      <c r="G3964" s="10" t="s">
        <v>6317</v>
      </c>
      <c r="H3964" s="11">
        <v>41155</v>
      </c>
      <c r="I3964" s="10">
        <v>2012</v>
      </c>
      <c r="J3964" s="10" t="s">
        <v>11214</v>
      </c>
      <c r="K3964" s="10">
        <v>386</v>
      </c>
      <c r="L3964" s="10" t="s">
        <v>22808</v>
      </c>
      <c r="M3964" s="10">
        <v>2</v>
      </c>
      <c r="N3964" s="10"/>
      <c r="O3964" s="10"/>
      <c r="P3964" s="10" t="s">
        <v>22809</v>
      </c>
      <c r="Q3964" s="10">
        <v>372.41</v>
      </c>
      <c r="R3964" s="10" t="s">
        <v>22810</v>
      </c>
      <c r="S3964" s="10" t="s">
        <v>53</v>
      </c>
      <c r="T3964" s="10" t="s">
        <v>54</v>
      </c>
    </row>
    <row r="3965" spans="1:20" ht="14.5" x14ac:dyDescent="0.35">
      <c r="A3965" s="10" t="s">
        <v>22811</v>
      </c>
      <c r="B3965" s="10" t="str">
        <f>"9780415537896"</f>
        <v>9780415537896</v>
      </c>
      <c r="C3965" s="10" t="str">
        <f>"9781136272783"</f>
        <v>9781136272783</v>
      </c>
      <c r="D3965" s="10" t="s">
        <v>6350</v>
      </c>
      <c r="E3965" s="10" t="s">
        <v>6351</v>
      </c>
      <c r="F3965" s="10" t="s">
        <v>748</v>
      </c>
      <c r="G3965" s="10" t="s">
        <v>6352</v>
      </c>
      <c r="H3965" s="11">
        <v>41199</v>
      </c>
      <c r="I3965" s="10">
        <v>2013</v>
      </c>
      <c r="J3965" s="10" t="s">
        <v>6351</v>
      </c>
      <c r="K3965" s="10">
        <v>161</v>
      </c>
      <c r="L3965" s="10" t="s">
        <v>22812</v>
      </c>
      <c r="M3965" s="10">
        <v>2</v>
      </c>
      <c r="N3965" s="10"/>
      <c r="O3965" s="10"/>
      <c r="P3965" s="10" t="s">
        <v>22813</v>
      </c>
      <c r="Q3965" s="10" t="s">
        <v>9204</v>
      </c>
      <c r="R3965" s="10" t="s">
        <v>6659</v>
      </c>
      <c r="S3965" s="10" t="s">
        <v>53</v>
      </c>
      <c r="T3965" s="10" t="s">
        <v>6660</v>
      </c>
    </row>
    <row r="3966" spans="1:20" ht="14.5" x14ac:dyDescent="0.35">
      <c r="A3966" s="10" t="s">
        <v>22814</v>
      </c>
      <c r="B3966" s="10" t="str">
        <f>"9780415536004"</f>
        <v>9780415536004</v>
      </c>
      <c r="C3966" s="10" t="str">
        <f>"9781136280450"</f>
        <v>9781136280450</v>
      </c>
      <c r="D3966" s="10" t="s">
        <v>6350</v>
      </c>
      <c r="E3966" s="10" t="s">
        <v>6351</v>
      </c>
      <c r="F3966" s="10" t="s">
        <v>139</v>
      </c>
      <c r="G3966" s="10" t="s">
        <v>6352</v>
      </c>
      <c r="H3966" s="11">
        <v>41194</v>
      </c>
      <c r="I3966" s="10">
        <v>2013</v>
      </c>
      <c r="J3966" s="10" t="s">
        <v>6353</v>
      </c>
      <c r="K3966" s="10">
        <v>265</v>
      </c>
      <c r="L3966" s="10" t="s">
        <v>22815</v>
      </c>
      <c r="M3966" s="10">
        <v>1</v>
      </c>
      <c r="N3966" s="10"/>
      <c r="O3966" s="10"/>
      <c r="P3966" s="10" t="s">
        <v>22816</v>
      </c>
      <c r="Q3966" s="10" t="s">
        <v>22817</v>
      </c>
      <c r="R3966" s="10" t="s">
        <v>19179</v>
      </c>
      <c r="S3966" s="10" t="s">
        <v>53</v>
      </c>
      <c r="T3966" s="10" t="s">
        <v>54</v>
      </c>
    </row>
    <row r="3967" spans="1:20" ht="14.5" x14ac:dyDescent="0.35">
      <c r="A3967" s="10" t="s">
        <v>22818</v>
      </c>
      <c r="B3967" s="10" t="str">
        <f>"9781853466977"</f>
        <v>9781853466977</v>
      </c>
      <c r="C3967" s="10" t="str">
        <f>"9781136612077"</f>
        <v>9781136612077</v>
      </c>
      <c r="D3967" s="10" t="s">
        <v>6350</v>
      </c>
      <c r="E3967" s="10" t="s">
        <v>15120</v>
      </c>
      <c r="F3967" s="10" t="s">
        <v>748</v>
      </c>
      <c r="G3967" s="10" t="s">
        <v>6352</v>
      </c>
      <c r="H3967" s="11">
        <v>37330</v>
      </c>
      <c r="I3967" s="10">
        <v>2002</v>
      </c>
      <c r="J3967" s="10" t="s">
        <v>15120</v>
      </c>
      <c r="K3967" s="10">
        <v>177</v>
      </c>
      <c r="L3967" s="10" t="s">
        <v>22819</v>
      </c>
      <c r="M3967" s="10">
        <v>1</v>
      </c>
      <c r="N3967" s="10"/>
      <c r="O3967" s="10"/>
      <c r="P3967" s="10" t="s">
        <v>22820</v>
      </c>
      <c r="Q3967" s="10">
        <v>371.94</v>
      </c>
      <c r="R3967" s="10" t="s">
        <v>7123</v>
      </c>
      <c r="S3967" s="10" t="s">
        <v>53</v>
      </c>
      <c r="T3967" s="10" t="s">
        <v>13614</v>
      </c>
    </row>
    <row r="3968" spans="1:20" ht="14.5" x14ac:dyDescent="0.35">
      <c r="A3968" s="10" t="s">
        <v>22821</v>
      </c>
      <c r="B3968" s="10" t="str">
        <f>"9780415670609"</f>
        <v>9780415670609</v>
      </c>
      <c r="C3968" s="10" t="str">
        <f>"9781136478086"</f>
        <v>9781136478086</v>
      </c>
      <c r="D3968" s="10" t="s">
        <v>6350</v>
      </c>
      <c r="E3968" s="10" t="s">
        <v>6351</v>
      </c>
      <c r="F3968" s="10" t="s">
        <v>139</v>
      </c>
      <c r="G3968" s="10" t="s">
        <v>6352</v>
      </c>
      <c r="H3968" s="11">
        <v>41193</v>
      </c>
      <c r="I3968" s="10">
        <v>2013</v>
      </c>
      <c r="J3968" s="10" t="s">
        <v>6353</v>
      </c>
      <c r="K3968" s="10">
        <v>241</v>
      </c>
      <c r="L3968" s="10" t="s">
        <v>22822</v>
      </c>
      <c r="M3968" s="10">
        <v>2</v>
      </c>
      <c r="N3968" s="10"/>
      <c r="O3968" s="10"/>
      <c r="P3968" s="10" t="s">
        <v>22823</v>
      </c>
      <c r="Q3968" s="10">
        <v>613.70710410000004</v>
      </c>
      <c r="R3968" s="10" t="s">
        <v>22824</v>
      </c>
      <c r="S3968" s="10" t="s">
        <v>53</v>
      </c>
      <c r="T3968" s="10" t="s">
        <v>6791</v>
      </c>
    </row>
    <row r="3969" spans="1:20" ht="14.5" x14ac:dyDescent="0.35">
      <c r="A3969" s="10" t="s">
        <v>22825</v>
      </c>
      <c r="B3969" s="10" t="str">
        <f>"9780415519359"</f>
        <v>9780415519359</v>
      </c>
      <c r="C3969" s="10" t="str">
        <f>"9781136336690"</f>
        <v>9781136336690</v>
      </c>
      <c r="D3969" s="10" t="s">
        <v>6350</v>
      </c>
      <c r="E3969" s="10" t="s">
        <v>6351</v>
      </c>
      <c r="F3969" s="10" t="s">
        <v>139</v>
      </c>
      <c r="G3969" s="10" t="s">
        <v>6352</v>
      </c>
      <c r="H3969" s="11">
        <v>41116</v>
      </c>
      <c r="I3969" s="10">
        <v>2013</v>
      </c>
      <c r="J3969" s="10" t="s">
        <v>6353</v>
      </c>
      <c r="K3969" s="10">
        <v>273</v>
      </c>
      <c r="L3969" s="10" t="s">
        <v>22826</v>
      </c>
      <c r="M3969" s="10">
        <v>1</v>
      </c>
      <c r="N3969" s="10"/>
      <c r="O3969" s="10"/>
      <c r="P3969" s="10" t="s">
        <v>22827</v>
      </c>
      <c r="Q3969" s="10" t="s">
        <v>22828</v>
      </c>
      <c r="R3969" s="10" t="s">
        <v>22829</v>
      </c>
      <c r="S3969" s="10" t="s">
        <v>53</v>
      </c>
      <c r="T3969" s="10" t="s">
        <v>14975</v>
      </c>
    </row>
    <row r="3970" spans="1:20" ht="14.5" x14ac:dyDescent="0.35">
      <c r="A3970" s="10" t="s">
        <v>22830</v>
      </c>
      <c r="B3970" s="10" t="str">
        <f>"9780415602723"</f>
        <v>9780415602723</v>
      </c>
      <c r="C3970" s="10" t="str">
        <f>"9781136478376"</f>
        <v>9781136478376</v>
      </c>
      <c r="D3970" s="10" t="s">
        <v>6350</v>
      </c>
      <c r="E3970" s="10" t="s">
        <v>6351</v>
      </c>
      <c r="F3970" s="10" t="s">
        <v>139</v>
      </c>
      <c r="G3970" s="10" t="s">
        <v>6352</v>
      </c>
      <c r="H3970" s="11">
        <v>41150</v>
      </c>
      <c r="I3970" s="10">
        <v>2013</v>
      </c>
      <c r="J3970" s="10" t="s">
        <v>6353</v>
      </c>
      <c r="K3970" s="10">
        <v>161</v>
      </c>
      <c r="L3970" s="10" t="s">
        <v>22831</v>
      </c>
      <c r="M3970" s="10">
        <v>1</v>
      </c>
      <c r="N3970" s="10" t="s">
        <v>14444</v>
      </c>
      <c r="O3970" s="10"/>
      <c r="P3970" s="10" t="s">
        <v>22832</v>
      </c>
      <c r="Q3970" s="10">
        <v>613.71</v>
      </c>
      <c r="R3970" s="10" t="s">
        <v>22833</v>
      </c>
      <c r="S3970" s="10" t="s">
        <v>53</v>
      </c>
      <c r="T3970" s="10" t="s">
        <v>7023</v>
      </c>
    </row>
    <row r="3971" spans="1:20" ht="14.5" x14ac:dyDescent="0.35">
      <c r="A3971" s="10" t="s">
        <v>22834</v>
      </c>
      <c r="B3971" s="10" t="str">
        <f>"9780415687133"</f>
        <v>9780415687133</v>
      </c>
      <c r="C3971" s="10" t="str">
        <f>"9781136620782"</f>
        <v>9781136620782</v>
      </c>
      <c r="D3971" s="10" t="s">
        <v>6350</v>
      </c>
      <c r="E3971" s="10" t="s">
        <v>6351</v>
      </c>
      <c r="F3971" s="10" t="s">
        <v>748</v>
      </c>
      <c r="G3971" s="10" t="s">
        <v>6352</v>
      </c>
      <c r="H3971" s="11">
        <v>41123</v>
      </c>
      <c r="I3971" s="10">
        <v>2012</v>
      </c>
      <c r="J3971" s="10" t="s">
        <v>6351</v>
      </c>
      <c r="K3971" s="10">
        <v>145</v>
      </c>
      <c r="L3971" s="10" t="s">
        <v>22835</v>
      </c>
      <c r="M3971" s="10">
        <v>1</v>
      </c>
      <c r="N3971" s="10"/>
      <c r="O3971" s="10"/>
      <c r="P3971" s="10" t="s">
        <v>22836</v>
      </c>
      <c r="Q3971" s="10" t="s">
        <v>9954</v>
      </c>
      <c r="R3971" s="10" t="s">
        <v>21719</v>
      </c>
      <c r="S3971" s="10" t="s">
        <v>53</v>
      </c>
      <c r="T3971" s="10" t="s">
        <v>54</v>
      </c>
    </row>
    <row r="3972" spans="1:20" ht="14.5" x14ac:dyDescent="0.35">
      <c r="A3972" s="10" t="s">
        <v>22837</v>
      </c>
      <c r="B3972" s="10" t="str">
        <f>"9780415675628"</f>
        <v>9780415675628</v>
      </c>
      <c r="C3972" s="10" t="str">
        <f>"9781136675027"</f>
        <v>9781136675027</v>
      </c>
      <c r="D3972" s="10" t="s">
        <v>6350</v>
      </c>
      <c r="E3972" s="10" t="s">
        <v>6351</v>
      </c>
      <c r="F3972" s="10" t="s">
        <v>748</v>
      </c>
      <c r="G3972" s="10" t="s">
        <v>6352</v>
      </c>
      <c r="H3972" s="11">
        <v>41234</v>
      </c>
      <c r="I3972" s="10">
        <v>2013</v>
      </c>
      <c r="J3972" s="10" t="s">
        <v>6351</v>
      </c>
      <c r="K3972" s="10">
        <v>272</v>
      </c>
      <c r="L3972" s="10" t="s">
        <v>22838</v>
      </c>
      <c r="M3972" s="10">
        <v>1</v>
      </c>
      <c r="N3972" s="10"/>
      <c r="O3972" s="10"/>
      <c r="P3972" s="10" t="s">
        <v>22839</v>
      </c>
      <c r="Q3972" s="10" t="s">
        <v>22840</v>
      </c>
      <c r="R3972" s="10" t="s">
        <v>22841</v>
      </c>
      <c r="S3972" s="10" t="s">
        <v>53</v>
      </c>
      <c r="T3972" s="10" t="s">
        <v>6634</v>
      </c>
    </row>
    <row r="3973" spans="1:20" ht="14.5" x14ac:dyDescent="0.35">
      <c r="A3973" s="10" t="s">
        <v>22842</v>
      </c>
      <c r="B3973" s="10" t="str">
        <f>"9780415687508"</f>
        <v>9780415687508</v>
      </c>
      <c r="C3973" s="10" t="str">
        <f>"9781136306341"</f>
        <v>9781136306341</v>
      </c>
      <c r="D3973" s="10" t="s">
        <v>6350</v>
      </c>
      <c r="E3973" s="10" t="s">
        <v>6351</v>
      </c>
      <c r="F3973" s="10" t="s">
        <v>5406</v>
      </c>
      <c r="G3973" s="10" t="s">
        <v>6352</v>
      </c>
      <c r="H3973" s="11">
        <v>41142</v>
      </c>
      <c r="I3973" s="10">
        <v>2012</v>
      </c>
      <c r="J3973" s="10" t="s">
        <v>6353</v>
      </c>
      <c r="K3973" s="10">
        <v>201</v>
      </c>
      <c r="L3973" s="10" t="s">
        <v>22843</v>
      </c>
      <c r="M3973" s="10">
        <v>1</v>
      </c>
      <c r="N3973" s="10" t="s">
        <v>22844</v>
      </c>
      <c r="O3973" s="10"/>
      <c r="P3973" s="10" t="s">
        <v>22845</v>
      </c>
      <c r="Q3973" s="10">
        <v>378.00917670000001</v>
      </c>
      <c r="R3973" s="10" t="s">
        <v>22846</v>
      </c>
      <c r="S3973" s="10" t="s">
        <v>53</v>
      </c>
      <c r="T3973" s="10" t="s">
        <v>54</v>
      </c>
    </row>
    <row r="3974" spans="1:20" ht="14.5" x14ac:dyDescent="0.35">
      <c r="A3974" s="10" t="s">
        <v>22847</v>
      </c>
      <c r="B3974" s="10" t="str">
        <f>"9780415600712"</f>
        <v>9780415600712</v>
      </c>
      <c r="C3974" s="10" t="str">
        <f>"9781136205804"</f>
        <v>9781136205804</v>
      </c>
      <c r="D3974" s="10" t="s">
        <v>6350</v>
      </c>
      <c r="E3974" s="10" t="s">
        <v>6351</v>
      </c>
      <c r="F3974" s="10" t="s">
        <v>139</v>
      </c>
      <c r="G3974" s="10" t="s">
        <v>6352</v>
      </c>
      <c r="H3974" s="11">
        <v>41141</v>
      </c>
      <c r="I3974" s="10">
        <v>2013</v>
      </c>
      <c r="J3974" s="10" t="s">
        <v>6353</v>
      </c>
      <c r="K3974" s="10">
        <v>289</v>
      </c>
      <c r="L3974" s="10" t="s">
        <v>22848</v>
      </c>
      <c r="M3974" s="10">
        <v>1</v>
      </c>
      <c r="N3974" s="10" t="s">
        <v>21973</v>
      </c>
      <c r="O3974" s="10"/>
      <c r="P3974" s="10" t="s">
        <v>22849</v>
      </c>
      <c r="Q3974" s="10" t="s">
        <v>22850</v>
      </c>
      <c r="R3974" s="10" t="s">
        <v>22851</v>
      </c>
      <c r="S3974" s="10" t="s">
        <v>53</v>
      </c>
      <c r="T3974" s="10" t="s">
        <v>54</v>
      </c>
    </row>
    <row r="3975" spans="1:20" ht="14.5" x14ac:dyDescent="0.35">
      <c r="A3975" s="10" t="s">
        <v>22852</v>
      </c>
      <c r="B3975" s="10" t="str">
        <f>"9781853467172"</f>
        <v>9781853467172</v>
      </c>
      <c r="C3975" s="10" t="str">
        <f>"9781135373337"</f>
        <v>9781135373337</v>
      </c>
      <c r="D3975" s="10" t="s">
        <v>6350</v>
      </c>
      <c r="E3975" s="10" t="s">
        <v>15120</v>
      </c>
      <c r="F3975" s="10" t="s">
        <v>139</v>
      </c>
      <c r="G3975" s="10" t="s">
        <v>6352</v>
      </c>
      <c r="H3975" s="11">
        <v>38546</v>
      </c>
      <c r="I3975" s="10">
        <v>2004</v>
      </c>
      <c r="J3975" s="10" t="s">
        <v>15120</v>
      </c>
      <c r="K3975" s="10">
        <v>161</v>
      </c>
      <c r="L3975" s="10" t="s">
        <v>22853</v>
      </c>
      <c r="M3975" s="10">
        <v>1</v>
      </c>
      <c r="N3975" s="10"/>
      <c r="O3975" s="10"/>
      <c r="P3975" s="10" t="s">
        <v>22854</v>
      </c>
      <c r="Q3975" s="10">
        <v>372.6</v>
      </c>
      <c r="R3975" s="10" t="s">
        <v>4456</v>
      </c>
      <c r="S3975" s="10" t="s">
        <v>53</v>
      </c>
      <c r="T3975" s="10" t="s">
        <v>54</v>
      </c>
    </row>
    <row r="3976" spans="1:20" ht="14.5" x14ac:dyDescent="0.35">
      <c r="A3976" s="10" t="s">
        <v>22855</v>
      </c>
      <c r="B3976" s="10" t="str">
        <f>"9781843120872"</f>
        <v>9781843120872</v>
      </c>
      <c r="C3976" s="10" t="str">
        <f>"9781135398040"</f>
        <v>9781135398040</v>
      </c>
      <c r="D3976" s="10" t="s">
        <v>6350</v>
      </c>
      <c r="E3976" s="10" t="s">
        <v>15120</v>
      </c>
      <c r="F3976" s="10" t="s">
        <v>748</v>
      </c>
      <c r="G3976" s="10" t="s">
        <v>6352</v>
      </c>
      <c r="H3976" s="11">
        <v>38532</v>
      </c>
      <c r="I3976" s="10">
        <v>2004</v>
      </c>
      <c r="J3976" s="10" t="s">
        <v>15120</v>
      </c>
      <c r="K3976" s="10">
        <v>161</v>
      </c>
      <c r="L3976" s="10" t="s">
        <v>22856</v>
      </c>
      <c r="M3976" s="10">
        <v>1</v>
      </c>
      <c r="N3976" s="10"/>
      <c r="O3976" s="10"/>
      <c r="P3976" s="10" t="s">
        <v>19524</v>
      </c>
      <c r="Q3976" s="10">
        <v>372.6</v>
      </c>
      <c r="R3976" s="10" t="s">
        <v>22857</v>
      </c>
      <c r="S3976" s="10" t="s">
        <v>53</v>
      </c>
      <c r="T3976" s="10" t="s">
        <v>54</v>
      </c>
    </row>
    <row r="3977" spans="1:20" ht="14.5" x14ac:dyDescent="0.35">
      <c r="A3977" s="10" t="s">
        <v>22858</v>
      </c>
      <c r="B3977" s="10" t="str">
        <f>"9781843120483"</f>
        <v>9781843120483</v>
      </c>
      <c r="C3977" s="10" t="str">
        <f>"9781135398255"</f>
        <v>9781135398255</v>
      </c>
      <c r="D3977" s="10" t="s">
        <v>6350</v>
      </c>
      <c r="E3977" s="10" t="s">
        <v>15120</v>
      </c>
      <c r="F3977" s="10" t="s">
        <v>748</v>
      </c>
      <c r="G3977" s="10" t="s">
        <v>6352</v>
      </c>
      <c r="H3977" s="11">
        <v>38532</v>
      </c>
      <c r="I3977" s="10">
        <v>2005</v>
      </c>
      <c r="J3977" s="10" t="s">
        <v>15120</v>
      </c>
      <c r="K3977" s="10">
        <v>72</v>
      </c>
      <c r="L3977" s="10" t="s">
        <v>22859</v>
      </c>
      <c r="M3977" s="10">
        <v>1</v>
      </c>
      <c r="N3977" s="10"/>
      <c r="O3977" s="10"/>
      <c r="P3977" s="10" t="s">
        <v>22860</v>
      </c>
      <c r="Q3977" s="10" t="s">
        <v>22861</v>
      </c>
      <c r="R3977" s="10" t="s">
        <v>22862</v>
      </c>
      <c r="S3977" s="10" t="s">
        <v>53</v>
      </c>
      <c r="T3977" s="10" t="s">
        <v>54</v>
      </c>
    </row>
    <row r="3978" spans="1:20" ht="14.5" x14ac:dyDescent="0.35">
      <c r="A3978" s="10" t="s">
        <v>22863</v>
      </c>
      <c r="B3978" s="10" t="str">
        <f>"9780415871099"</f>
        <v>9780415871099</v>
      </c>
      <c r="C3978" s="10" t="str">
        <f>"9781135197568"</f>
        <v>9781135197568</v>
      </c>
      <c r="D3978" s="10" t="s">
        <v>6350</v>
      </c>
      <c r="E3978" s="10" t="s">
        <v>6351</v>
      </c>
      <c r="F3978" s="10" t="s">
        <v>139</v>
      </c>
      <c r="G3978" s="10" t="s">
        <v>6352</v>
      </c>
      <c r="H3978" s="11">
        <v>41127</v>
      </c>
      <c r="I3978" s="10">
        <v>2013</v>
      </c>
      <c r="J3978" s="10" t="s">
        <v>6353</v>
      </c>
      <c r="K3978" s="10">
        <v>273</v>
      </c>
      <c r="L3978" s="10" t="s">
        <v>22864</v>
      </c>
      <c r="M3978" s="10">
        <v>1</v>
      </c>
      <c r="N3978" s="10" t="s">
        <v>22164</v>
      </c>
      <c r="O3978" s="10"/>
      <c r="P3978" s="10" t="s">
        <v>22865</v>
      </c>
      <c r="Q3978" s="10">
        <v>370.15</v>
      </c>
      <c r="R3978" s="10" t="s">
        <v>21349</v>
      </c>
      <c r="S3978" s="10" t="s">
        <v>53</v>
      </c>
      <c r="T3978" s="10" t="s">
        <v>54</v>
      </c>
    </row>
    <row r="3979" spans="1:20" ht="14.5" x14ac:dyDescent="0.35">
      <c r="A3979" s="10" t="s">
        <v>22866</v>
      </c>
      <c r="B3979" s="10" t="str">
        <f>"9780415250375"</f>
        <v>9780415250375</v>
      </c>
      <c r="C3979" s="10" t="str">
        <f>"9781135260286"</f>
        <v>9781135260286</v>
      </c>
      <c r="D3979" s="10" t="s">
        <v>6350</v>
      </c>
      <c r="E3979" s="10" t="s">
        <v>6351</v>
      </c>
      <c r="F3979" s="10" t="s">
        <v>139</v>
      </c>
      <c r="G3979" s="10" t="s">
        <v>6352</v>
      </c>
      <c r="H3979" s="11">
        <v>37435</v>
      </c>
      <c r="I3979" s="10">
        <v>2002</v>
      </c>
      <c r="J3979" s="10" t="s">
        <v>6353</v>
      </c>
      <c r="K3979" s="10">
        <v>250</v>
      </c>
      <c r="L3979" s="10" t="s">
        <v>22867</v>
      </c>
      <c r="M3979" s="10">
        <v>1</v>
      </c>
      <c r="N3979" s="10"/>
      <c r="O3979" s="10"/>
      <c r="P3979" s="10" t="s">
        <v>22868</v>
      </c>
      <c r="Q3979" s="10">
        <v>362.3</v>
      </c>
      <c r="R3979" s="10" t="s">
        <v>22869</v>
      </c>
      <c r="S3979" s="10" t="s">
        <v>53</v>
      </c>
      <c r="T3979" s="10" t="s">
        <v>6472</v>
      </c>
    </row>
    <row r="3980" spans="1:20" ht="14.5" x14ac:dyDescent="0.35">
      <c r="A3980" s="10" t="s">
        <v>22870</v>
      </c>
      <c r="B3980" s="10" t="str">
        <f>"9781853468766"</f>
        <v>9781853468766</v>
      </c>
      <c r="C3980" s="10" t="str">
        <f>"9781135373191"</f>
        <v>9781135373191</v>
      </c>
      <c r="D3980" s="10" t="s">
        <v>6350</v>
      </c>
      <c r="E3980" s="10" t="s">
        <v>15120</v>
      </c>
      <c r="F3980" s="10" t="s">
        <v>748</v>
      </c>
      <c r="G3980" s="10" t="s">
        <v>6352</v>
      </c>
      <c r="H3980" s="11">
        <v>37795</v>
      </c>
      <c r="I3980" s="10">
        <v>2003</v>
      </c>
      <c r="J3980" s="10" t="s">
        <v>15120</v>
      </c>
      <c r="K3980" s="10">
        <v>125</v>
      </c>
      <c r="L3980" s="10" t="s">
        <v>22871</v>
      </c>
      <c r="M3980" s="10">
        <v>1</v>
      </c>
      <c r="N3980" s="10"/>
      <c r="O3980" s="10"/>
      <c r="P3980" s="10" t="s">
        <v>22872</v>
      </c>
      <c r="Q3980" s="10" t="s">
        <v>22873</v>
      </c>
      <c r="R3980" s="10" t="s">
        <v>6577</v>
      </c>
      <c r="S3980" s="10" t="s">
        <v>53</v>
      </c>
      <c r="T3980" s="10" t="s">
        <v>54</v>
      </c>
    </row>
    <row r="3981" spans="1:20" ht="14.5" x14ac:dyDescent="0.35">
      <c r="A3981" s="10" t="s">
        <v>22874</v>
      </c>
      <c r="B3981" s="10" t="str">
        <f>"9780415975148"</f>
        <v>9780415975148</v>
      </c>
      <c r="C3981" s="10" t="str">
        <f>"9781135923181"</f>
        <v>9781135923181</v>
      </c>
      <c r="D3981" s="10" t="s">
        <v>6350</v>
      </c>
      <c r="E3981" s="10" t="s">
        <v>6351</v>
      </c>
      <c r="F3981" s="10" t="s">
        <v>5406</v>
      </c>
      <c r="G3981" s="10" t="s">
        <v>6352</v>
      </c>
      <c r="H3981" s="11">
        <v>38569</v>
      </c>
      <c r="I3981" s="10">
        <v>2005</v>
      </c>
      <c r="J3981" s="10" t="s">
        <v>6353</v>
      </c>
      <c r="K3981" s="10">
        <v>169</v>
      </c>
      <c r="L3981" s="10" t="s">
        <v>22875</v>
      </c>
      <c r="M3981" s="10">
        <v>1</v>
      </c>
      <c r="N3981" s="10"/>
      <c r="O3981" s="10"/>
      <c r="P3981" s="10" t="s">
        <v>22876</v>
      </c>
      <c r="Q3981" s="10" t="s">
        <v>16754</v>
      </c>
      <c r="R3981" s="10" t="s">
        <v>22877</v>
      </c>
      <c r="S3981" s="10" t="s">
        <v>53</v>
      </c>
      <c r="T3981" s="10" t="s">
        <v>11186</v>
      </c>
    </row>
    <row r="3982" spans="1:20" ht="14.5" x14ac:dyDescent="0.35">
      <c r="A3982" s="10" t="s">
        <v>22878</v>
      </c>
      <c r="B3982" s="10" t="str">
        <f>"9780415467926"</f>
        <v>9780415467926</v>
      </c>
      <c r="C3982" s="10" t="str">
        <f>"9780203873175"</f>
        <v>9780203873175</v>
      </c>
      <c r="D3982" s="10" t="s">
        <v>6350</v>
      </c>
      <c r="E3982" s="10" t="s">
        <v>6351</v>
      </c>
      <c r="F3982" s="10" t="s">
        <v>5406</v>
      </c>
      <c r="G3982" s="10" t="s">
        <v>6352</v>
      </c>
      <c r="H3982" s="11">
        <v>40057</v>
      </c>
      <c r="I3982" s="10">
        <v>2010</v>
      </c>
      <c r="J3982" s="10" t="s">
        <v>6353</v>
      </c>
      <c r="K3982" s="10">
        <v>230</v>
      </c>
      <c r="L3982" s="10" t="s">
        <v>22879</v>
      </c>
      <c r="M3982" s="10">
        <v>1</v>
      </c>
      <c r="N3982" s="10"/>
      <c r="O3982" s="10"/>
      <c r="P3982" s="10" t="s">
        <v>22880</v>
      </c>
      <c r="Q3982" s="10">
        <v>374</v>
      </c>
      <c r="R3982" s="10" t="s">
        <v>22881</v>
      </c>
      <c r="S3982" s="10" t="s">
        <v>53</v>
      </c>
      <c r="T3982" s="10" t="s">
        <v>54</v>
      </c>
    </row>
    <row r="3983" spans="1:20" ht="14.5" x14ac:dyDescent="0.35">
      <c r="A3983" s="10" t="s">
        <v>22882</v>
      </c>
      <c r="B3983" s="10" t="str">
        <f>"9780415997492"</f>
        <v>9780415997492</v>
      </c>
      <c r="C3983" s="10" t="str">
        <f>"9781135841072"</f>
        <v>9781135841072</v>
      </c>
      <c r="D3983" s="10" t="s">
        <v>6350</v>
      </c>
      <c r="E3983" s="10" t="s">
        <v>6351</v>
      </c>
      <c r="F3983" s="10" t="s">
        <v>139</v>
      </c>
      <c r="G3983" s="10" t="s">
        <v>6352</v>
      </c>
      <c r="H3983" s="11">
        <v>41143</v>
      </c>
      <c r="I3983" s="10">
        <v>2013</v>
      </c>
      <c r="J3983" s="10" t="s">
        <v>6353</v>
      </c>
      <c r="K3983" s="10">
        <v>257</v>
      </c>
      <c r="L3983" s="10" t="s">
        <v>22883</v>
      </c>
      <c r="M3983" s="10">
        <v>1</v>
      </c>
      <c r="N3983" s="10" t="s">
        <v>22164</v>
      </c>
      <c r="O3983" s="10"/>
      <c r="P3983" s="10" t="s">
        <v>22884</v>
      </c>
      <c r="Q3983" s="10">
        <v>371.95</v>
      </c>
      <c r="R3983" s="10" t="s">
        <v>22053</v>
      </c>
      <c r="S3983" s="10" t="s">
        <v>53</v>
      </c>
      <c r="T3983" s="10" t="s">
        <v>54</v>
      </c>
    </row>
    <row r="3984" spans="1:20" ht="14.5" x14ac:dyDescent="0.35">
      <c r="A3984" s="10" t="s">
        <v>22885</v>
      </c>
      <c r="B3984" s="10" t="str">
        <f>"9781847697998"</f>
        <v>9781847697998</v>
      </c>
      <c r="C3984" s="10" t="str">
        <f>"9781847698018"</f>
        <v>9781847698018</v>
      </c>
      <c r="D3984" s="10" t="s">
        <v>8394</v>
      </c>
      <c r="E3984" s="10" t="s">
        <v>8395</v>
      </c>
      <c r="F3984" s="10" t="s">
        <v>10236</v>
      </c>
      <c r="G3984" s="10" t="s">
        <v>6352</v>
      </c>
      <c r="H3984" s="11">
        <v>41159</v>
      </c>
      <c r="I3984" s="10">
        <v>2013</v>
      </c>
      <c r="J3984" s="10" t="s">
        <v>8395</v>
      </c>
      <c r="K3984" s="10">
        <v>354</v>
      </c>
      <c r="L3984" s="10" t="s">
        <v>22886</v>
      </c>
      <c r="M3984" s="10">
        <v>1</v>
      </c>
      <c r="N3984" s="10" t="s">
        <v>8403</v>
      </c>
      <c r="O3984" s="10">
        <v>89</v>
      </c>
      <c r="P3984" s="10" t="s">
        <v>22887</v>
      </c>
      <c r="Q3984" s="10">
        <v>370.11750974</v>
      </c>
      <c r="R3984" s="10" t="s">
        <v>22888</v>
      </c>
      <c r="S3984" s="10" t="s">
        <v>53</v>
      </c>
      <c r="T3984" s="10" t="s">
        <v>54</v>
      </c>
    </row>
    <row r="3985" spans="1:20" ht="14.5" x14ac:dyDescent="0.35">
      <c r="A3985" s="10" t="s">
        <v>22889</v>
      </c>
      <c r="B3985" s="10" t="str">
        <f>"9780521513326"</f>
        <v>9780521513326</v>
      </c>
      <c r="C3985" s="10" t="str">
        <f>"9781139572255"</f>
        <v>9781139572255</v>
      </c>
      <c r="D3985" s="10" t="s">
        <v>397</v>
      </c>
      <c r="E3985" s="10" t="s">
        <v>397</v>
      </c>
      <c r="F3985" s="10" t="s">
        <v>70</v>
      </c>
      <c r="G3985" s="10" t="s">
        <v>6317</v>
      </c>
      <c r="H3985" s="11">
        <v>41162</v>
      </c>
      <c r="I3985" s="10">
        <v>2012</v>
      </c>
      <c r="J3985" s="10" t="s">
        <v>397</v>
      </c>
      <c r="K3985" s="10">
        <v>270</v>
      </c>
      <c r="L3985" s="10" t="s">
        <v>22890</v>
      </c>
      <c r="M3985" s="10">
        <v>1</v>
      </c>
      <c r="N3985" s="10" t="s">
        <v>8349</v>
      </c>
      <c r="O3985" s="10"/>
      <c r="P3985" s="10" t="s">
        <v>22891</v>
      </c>
      <c r="Q3985" s="10">
        <v>371.33</v>
      </c>
      <c r="R3985" s="10" t="s">
        <v>22892</v>
      </c>
      <c r="S3985" s="10" t="s">
        <v>53</v>
      </c>
      <c r="T3985" s="10" t="s">
        <v>54</v>
      </c>
    </row>
    <row r="3986" spans="1:20" ht="14.5" x14ac:dyDescent="0.35">
      <c r="A3986" s="10" t="s">
        <v>22893</v>
      </c>
      <c r="B3986" s="10" t="str">
        <f>"9780691156675"</f>
        <v>9780691156675</v>
      </c>
      <c r="C3986" s="10" t="str">
        <f>"9781400844579"</f>
        <v>9781400844579</v>
      </c>
      <c r="D3986" s="10" t="s">
        <v>14335</v>
      </c>
      <c r="E3986" s="10" t="s">
        <v>14336</v>
      </c>
      <c r="F3986" s="10" t="s">
        <v>2246</v>
      </c>
      <c r="G3986" s="10" t="s">
        <v>6317</v>
      </c>
      <c r="H3986" s="11">
        <v>41168</v>
      </c>
      <c r="I3986" s="10">
        <v>2013</v>
      </c>
      <c r="J3986" s="10" t="s">
        <v>14336</v>
      </c>
      <c r="K3986" s="10">
        <v>177</v>
      </c>
      <c r="L3986" s="10" t="s">
        <v>22894</v>
      </c>
      <c r="M3986" s="10">
        <v>1</v>
      </c>
      <c r="N3986" s="10"/>
      <c r="O3986" s="10"/>
      <c r="P3986" s="10"/>
      <c r="Q3986" s="10" t="s">
        <v>22895</v>
      </c>
      <c r="R3986" s="10"/>
      <c r="S3986" s="10" t="s">
        <v>53</v>
      </c>
      <c r="T3986" s="10" t="s">
        <v>54</v>
      </c>
    </row>
    <row r="3987" spans="1:20" ht="14.5" x14ac:dyDescent="0.35">
      <c r="A3987" s="10" t="s">
        <v>22896</v>
      </c>
      <c r="B3987" s="10" t="str">
        <f>"9780838986189"</f>
        <v>9780838986189</v>
      </c>
      <c r="C3987" s="10" t="str">
        <f>"9780838995853"</f>
        <v>9780838995853</v>
      </c>
      <c r="D3987" s="10" t="s">
        <v>15366</v>
      </c>
      <c r="E3987" s="10" t="s">
        <v>382</v>
      </c>
      <c r="F3987" s="10" t="s">
        <v>324</v>
      </c>
      <c r="G3987" s="10" t="s">
        <v>6317</v>
      </c>
      <c r="H3987" s="11">
        <v>40909</v>
      </c>
      <c r="I3987" s="10">
        <v>2012</v>
      </c>
      <c r="J3987" s="10" t="s">
        <v>382</v>
      </c>
      <c r="K3987" s="10">
        <v>149</v>
      </c>
      <c r="L3987" s="10" t="s">
        <v>22897</v>
      </c>
      <c r="M3987" s="10">
        <v>1</v>
      </c>
      <c r="N3987" s="10"/>
      <c r="O3987" s="10"/>
      <c r="P3987" s="10" t="s">
        <v>15368</v>
      </c>
      <c r="Q3987" s="10">
        <v>20</v>
      </c>
      <c r="R3987" s="10" t="s">
        <v>22898</v>
      </c>
      <c r="S3987" s="10" t="s">
        <v>53</v>
      </c>
      <c r="T3987" s="10" t="s">
        <v>10302</v>
      </c>
    </row>
    <row r="3988" spans="1:20" ht="14.5" x14ac:dyDescent="0.35">
      <c r="A3988" s="10" t="s">
        <v>22899</v>
      </c>
      <c r="B3988" s="10" t="str">
        <f>"9781617036163"</f>
        <v>9781617036163</v>
      </c>
      <c r="C3988" s="10" t="str">
        <f>"9781621036173"</f>
        <v>9781621036173</v>
      </c>
      <c r="D3988" s="10" t="s">
        <v>16047</v>
      </c>
      <c r="E3988" s="10" t="s">
        <v>16047</v>
      </c>
      <c r="F3988" s="10" t="s">
        <v>16048</v>
      </c>
      <c r="G3988" s="10" t="s">
        <v>6317</v>
      </c>
      <c r="H3988" s="11">
        <v>41162</v>
      </c>
      <c r="I3988" s="10">
        <v>2012</v>
      </c>
      <c r="J3988" s="10" t="s">
        <v>16047</v>
      </c>
      <c r="K3988" s="10">
        <v>496</v>
      </c>
      <c r="L3988" s="10" t="s">
        <v>22900</v>
      </c>
      <c r="M3988" s="10">
        <v>1</v>
      </c>
      <c r="N3988" s="10"/>
      <c r="O3988" s="10"/>
      <c r="P3988" s="10" t="s">
        <v>22901</v>
      </c>
      <c r="Q3988" s="10" t="s">
        <v>22902</v>
      </c>
      <c r="R3988" s="10" t="s">
        <v>22903</v>
      </c>
      <c r="S3988" s="10" t="s">
        <v>53</v>
      </c>
      <c r="T3988" s="10" t="s">
        <v>54</v>
      </c>
    </row>
    <row r="3989" spans="1:20" ht="14.5" x14ac:dyDescent="0.35">
      <c r="A3989" s="10" t="s">
        <v>22904</v>
      </c>
      <c r="B3989" s="10" t="str">
        <f>"9780739172216"</f>
        <v>9780739172216</v>
      </c>
      <c r="C3989" s="10" t="str">
        <f>"9781461662655"</f>
        <v>9781461662655</v>
      </c>
      <c r="D3989" s="10" t="s">
        <v>9752</v>
      </c>
      <c r="E3989" s="10" t="s">
        <v>15182</v>
      </c>
      <c r="F3989" s="10" t="s">
        <v>9754</v>
      </c>
      <c r="G3989" s="10" t="s">
        <v>6317</v>
      </c>
      <c r="H3989" s="11">
        <v>40351</v>
      </c>
      <c r="I3989" s="10">
        <v>2010</v>
      </c>
      <c r="J3989" s="10" t="s">
        <v>15182</v>
      </c>
      <c r="K3989" s="10">
        <v>320</v>
      </c>
      <c r="L3989" s="10" t="s">
        <v>22905</v>
      </c>
      <c r="M3989" s="10">
        <v>1</v>
      </c>
      <c r="N3989" s="10" t="s">
        <v>22906</v>
      </c>
      <c r="O3989" s="10"/>
      <c r="P3989" s="10"/>
      <c r="Q3989" s="10"/>
      <c r="R3989" s="10" t="s">
        <v>22907</v>
      </c>
      <c r="S3989" s="10" t="s">
        <v>53</v>
      </c>
      <c r="T3989" s="10" t="s">
        <v>6634</v>
      </c>
    </row>
    <row r="3990" spans="1:20" ht="14.5" x14ac:dyDescent="0.35">
      <c r="A3990" s="10" t="s">
        <v>22908</v>
      </c>
      <c r="B3990" s="10" t="str">
        <f>"9781442211193"</f>
        <v>9781442211193</v>
      </c>
      <c r="C3990" s="10" t="str">
        <f>"9781442211216"</f>
        <v>9781442211216</v>
      </c>
      <c r="D3990" s="10" t="s">
        <v>9752</v>
      </c>
      <c r="E3990" s="10" t="s">
        <v>15187</v>
      </c>
      <c r="F3990" s="10" t="s">
        <v>9754</v>
      </c>
      <c r="G3990" s="10" t="s">
        <v>6317</v>
      </c>
      <c r="H3990" s="11">
        <v>41194</v>
      </c>
      <c r="I3990" s="10">
        <v>2012</v>
      </c>
      <c r="J3990" s="10" t="s">
        <v>15187</v>
      </c>
      <c r="K3990" s="10">
        <v>861</v>
      </c>
      <c r="L3990" s="10" t="s">
        <v>22909</v>
      </c>
      <c r="M3990" s="10">
        <v>1</v>
      </c>
      <c r="N3990" s="10"/>
      <c r="O3990" s="10"/>
      <c r="P3990" s="10" t="s">
        <v>22910</v>
      </c>
      <c r="Q3990" s="10">
        <v>370.11500000000001</v>
      </c>
      <c r="R3990" s="10" t="s">
        <v>22911</v>
      </c>
      <c r="S3990" s="10" t="s">
        <v>53</v>
      </c>
      <c r="T3990" s="10" t="s">
        <v>54</v>
      </c>
    </row>
    <row r="3991" spans="1:20" ht="14.5" x14ac:dyDescent="0.35">
      <c r="A3991" s="10" t="s">
        <v>22912</v>
      </c>
      <c r="B3991" s="10" t="str">
        <f>"9781462506873"</f>
        <v>9781462506873</v>
      </c>
      <c r="C3991" s="10" t="str">
        <f>"9781462506880"</f>
        <v>9781462506880</v>
      </c>
      <c r="D3991" s="10" t="s">
        <v>11213</v>
      </c>
      <c r="E3991" s="10" t="s">
        <v>11214</v>
      </c>
      <c r="F3991" s="10" t="s">
        <v>70</v>
      </c>
      <c r="G3991" s="10" t="s">
        <v>6317</v>
      </c>
      <c r="H3991" s="11">
        <v>41200</v>
      </c>
      <c r="I3991" s="10">
        <v>2013</v>
      </c>
      <c r="J3991" s="10" t="s">
        <v>11215</v>
      </c>
      <c r="K3991" s="10">
        <v>402</v>
      </c>
      <c r="L3991" s="10" t="s">
        <v>22913</v>
      </c>
      <c r="M3991" s="10">
        <v>2</v>
      </c>
      <c r="N3991" s="10"/>
      <c r="O3991" s="10"/>
      <c r="P3991" s="10" t="s">
        <v>22914</v>
      </c>
      <c r="Q3991" s="10">
        <v>371.4</v>
      </c>
      <c r="R3991" s="10" t="s">
        <v>22915</v>
      </c>
      <c r="S3991" s="10" t="s">
        <v>53</v>
      </c>
      <c r="T3991" s="10" t="s">
        <v>54</v>
      </c>
    </row>
    <row r="3992" spans="1:20" ht="14.5" x14ac:dyDescent="0.35">
      <c r="A3992" s="10" t="s">
        <v>22916</v>
      </c>
      <c r="B3992" s="10" t="str">
        <f>"9781462507665"</f>
        <v>9781462507665</v>
      </c>
      <c r="C3992" s="10" t="str">
        <f>"9781462507672"</f>
        <v>9781462507672</v>
      </c>
      <c r="D3992" s="10" t="s">
        <v>11213</v>
      </c>
      <c r="E3992" s="10" t="s">
        <v>11214</v>
      </c>
      <c r="F3992" s="10" t="s">
        <v>70</v>
      </c>
      <c r="G3992" s="10" t="s">
        <v>6317</v>
      </c>
      <c r="H3992" s="11">
        <v>41227</v>
      </c>
      <c r="I3992" s="10">
        <v>2013</v>
      </c>
      <c r="J3992" s="10" t="s">
        <v>11214</v>
      </c>
      <c r="K3992" s="10">
        <v>290</v>
      </c>
      <c r="L3992" s="10" t="s">
        <v>22917</v>
      </c>
      <c r="M3992" s="10">
        <v>1</v>
      </c>
      <c r="N3992" s="10"/>
      <c r="O3992" s="10"/>
      <c r="P3992" s="10" t="s">
        <v>22918</v>
      </c>
      <c r="Q3992" s="10">
        <v>372.6</v>
      </c>
      <c r="R3992" s="10" t="s">
        <v>22919</v>
      </c>
      <c r="S3992" s="10" t="s">
        <v>53</v>
      </c>
      <c r="T3992" s="10" t="s">
        <v>54</v>
      </c>
    </row>
    <row r="3993" spans="1:20" ht="14.5" x14ac:dyDescent="0.35">
      <c r="A3993" s="10" t="s">
        <v>22920</v>
      </c>
      <c r="B3993" s="10" t="str">
        <f>"9781118467466"</f>
        <v>9781118467466</v>
      </c>
      <c r="C3993" s="10" t="str">
        <f>"9781118543801"</f>
        <v>9781118543801</v>
      </c>
      <c r="D3993" s="10" t="s">
        <v>6322</v>
      </c>
      <c r="E3993" s="10" t="s">
        <v>6323</v>
      </c>
      <c r="F3993" s="10" t="s">
        <v>13068</v>
      </c>
      <c r="G3993" s="10" t="s">
        <v>6317</v>
      </c>
      <c r="H3993" s="11">
        <v>41194</v>
      </c>
      <c r="I3993" s="10">
        <v>2012</v>
      </c>
      <c r="J3993" s="10" t="s">
        <v>6324</v>
      </c>
      <c r="K3993" s="10">
        <v>114</v>
      </c>
      <c r="L3993" s="10" t="s">
        <v>22921</v>
      </c>
      <c r="M3993" s="10">
        <v>1</v>
      </c>
      <c r="N3993" s="10" t="s">
        <v>22922</v>
      </c>
      <c r="O3993" s="10"/>
      <c r="P3993" s="10" t="s">
        <v>22923</v>
      </c>
      <c r="Q3993" s="10">
        <v>378.15429999999998</v>
      </c>
      <c r="R3993" s="10" t="s">
        <v>22924</v>
      </c>
      <c r="S3993" s="10" t="s">
        <v>53</v>
      </c>
      <c r="T3993" s="10" t="s">
        <v>54</v>
      </c>
    </row>
    <row r="3994" spans="1:20" ht="14.5" x14ac:dyDescent="0.35">
      <c r="A3994" s="10" t="s">
        <v>22925</v>
      </c>
      <c r="B3994" s="10" t="str">
        <f>"9781780527109"</f>
        <v>9781780527109</v>
      </c>
      <c r="C3994" s="10" t="str">
        <f>"9781780527116"</f>
        <v>9781780527116</v>
      </c>
      <c r="D3994" s="10" t="s">
        <v>8699</v>
      </c>
      <c r="E3994" s="10" t="s">
        <v>8699</v>
      </c>
      <c r="F3994" s="10" t="s">
        <v>559</v>
      </c>
      <c r="G3994" s="10" t="s">
        <v>6352</v>
      </c>
      <c r="H3994" s="11">
        <v>41018</v>
      </c>
      <c r="I3994" s="10">
        <v>2012</v>
      </c>
      <c r="J3994" s="10" t="s">
        <v>8699</v>
      </c>
      <c r="K3994" s="10">
        <v>426</v>
      </c>
      <c r="L3994" s="10" t="s">
        <v>22926</v>
      </c>
      <c r="M3994" s="10">
        <v>1</v>
      </c>
      <c r="N3994" s="10" t="s">
        <v>22927</v>
      </c>
      <c r="O3994" s="10">
        <v>2</v>
      </c>
      <c r="P3994" s="10" t="s">
        <v>22928</v>
      </c>
      <c r="Q3994" s="10">
        <v>371.93</v>
      </c>
      <c r="R3994" s="10" t="s">
        <v>22929</v>
      </c>
      <c r="S3994" s="10" t="s">
        <v>53</v>
      </c>
      <c r="T3994" s="10" t="s">
        <v>54</v>
      </c>
    </row>
    <row r="3995" spans="1:20" ht="14.5" x14ac:dyDescent="0.35">
      <c r="A3995" s="10" t="s">
        <v>22930</v>
      </c>
      <c r="B3995" s="10" t="str">
        <f>"9789004232136"</f>
        <v>9789004232136</v>
      </c>
      <c r="C3995" s="10" t="str">
        <f>"9789004232143"</f>
        <v>9789004232143</v>
      </c>
      <c r="D3995" s="10" t="s">
        <v>8564</v>
      </c>
      <c r="E3995" s="10" t="s">
        <v>8565</v>
      </c>
      <c r="F3995" s="10" t="s">
        <v>1420</v>
      </c>
      <c r="G3995" s="10" t="s">
        <v>6317</v>
      </c>
      <c r="H3995" s="11">
        <v>41180</v>
      </c>
      <c r="I3995" s="10">
        <v>2012</v>
      </c>
      <c r="J3995" s="10" t="s">
        <v>8565</v>
      </c>
      <c r="K3995" s="10">
        <v>266</v>
      </c>
      <c r="L3995" s="10" t="s">
        <v>22931</v>
      </c>
      <c r="M3995" s="10">
        <v>1</v>
      </c>
      <c r="N3995" s="10" t="s">
        <v>22932</v>
      </c>
      <c r="O3995" s="10">
        <v>140</v>
      </c>
      <c r="P3995" s="10" t="s">
        <v>22933</v>
      </c>
      <c r="Q3995" s="10" t="s">
        <v>22934</v>
      </c>
      <c r="R3995" s="10" t="s">
        <v>22935</v>
      </c>
      <c r="S3995" s="10" t="s">
        <v>53</v>
      </c>
      <c r="T3995" s="10" t="s">
        <v>54</v>
      </c>
    </row>
    <row r="3996" spans="1:20" ht="14.5" x14ac:dyDescent="0.35">
      <c r="A3996" s="10" t="s">
        <v>22936</v>
      </c>
      <c r="B3996" s="10" t="str">
        <f>"9781602582682"</f>
        <v>9781602582682</v>
      </c>
      <c r="C3996" s="10" t="str">
        <f>"9781602584785"</f>
        <v>9781602584785</v>
      </c>
      <c r="D3996" s="10" t="s">
        <v>10331</v>
      </c>
      <c r="E3996" s="10" t="s">
        <v>10331</v>
      </c>
      <c r="F3996" s="10" t="s">
        <v>1438</v>
      </c>
      <c r="G3996" s="10" t="s">
        <v>6317</v>
      </c>
      <c r="H3996" s="11">
        <v>40558</v>
      </c>
      <c r="I3996" s="10">
        <v>2011</v>
      </c>
      <c r="J3996" s="10" t="s">
        <v>10331</v>
      </c>
      <c r="K3996" s="10">
        <v>280</v>
      </c>
      <c r="L3996" s="10" t="s">
        <v>22937</v>
      </c>
      <c r="M3996" s="10">
        <v>1</v>
      </c>
      <c r="N3996" s="10"/>
      <c r="O3996" s="10"/>
      <c r="P3996" s="10" t="s">
        <v>22938</v>
      </c>
      <c r="Q3996" s="10">
        <v>378.01</v>
      </c>
      <c r="R3996" s="10" t="s">
        <v>16314</v>
      </c>
      <c r="S3996" s="10" t="s">
        <v>53</v>
      </c>
      <c r="T3996" s="10" t="s">
        <v>54</v>
      </c>
    </row>
    <row r="3997" spans="1:20" ht="14.5" x14ac:dyDescent="0.35">
      <c r="A3997" s="10" t="s">
        <v>22939</v>
      </c>
      <c r="B3997" s="10" t="str">
        <f>"9781849052054"</f>
        <v>9781849052054</v>
      </c>
      <c r="C3997" s="10" t="str">
        <f>"9780857004369"</f>
        <v>9780857004369</v>
      </c>
      <c r="D3997" s="10" t="s">
        <v>10516</v>
      </c>
      <c r="E3997" s="10" t="s">
        <v>10516</v>
      </c>
      <c r="F3997" s="10" t="s">
        <v>139</v>
      </c>
      <c r="G3997" s="10" t="s">
        <v>6352</v>
      </c>
      <c r="H3997" s="11">
        <v>41075</v>
      </c>
      <c r="I3997" s="10">
        <v>2012</v>
      </c>
      <c r="J3997" s="10" t="s">
        <v>10516</v>
      </c>
      <c r="K3997" s="10">
        <v>180</v>
      </c>
      <c r="L3997" s="10" t="s">
        <v>22940</v>
      </c>
      <c r="M3997" s="10">
        <v>1</v>
      </c>
      <c r="N3997" s="10"/>
      <c r="O3997" s="10"/>
      <c r="P3997" s="10"/>
      <c r="Q3997" s="10">
        <v>371.33</v>
      </c>
      <c r="R3997" s="10"/>
      <c r="S3997" s="10" t="s">
        <v>53</v>
      </c>
      <c r="T3997" s="10" t="s">
        <v>54</v>
      </c>
    </row>
    <row r="3998" spans="1:20" ht="14.5" x14ac:dyDescent="0.35">
      <c r="A3998" s="10" t="s">
        <v>22941</v>
      </c>
      <c r="B3998" s="10" t="str">
        <f>"9780761853176"</f>
        <v>9780761853176</v>
      </c>
      <c r="C3998" s="10" t="str">
        <f>"9780761853183"</f>
        <v>9780761853183</v>
      </c>
      <c r="D3998" s="10" t="s">
        <v>9752</v>
      </c>
      <c r="E3998" s="10" t="s">
        <v>17167</v>
      </c>
      <c r="F3998" s="10" t="s">
        <v>9754</v>
      </c>
      <c r="G3998" s="10" t="s">
        <v>6317</v>
      </c>
      <c r="H3998" s="11">
        <v>40479</v>
      </c>
      <c r="I3998" s="10">
        <v>2010</v>
      </c>
      <c r="J3998" s="10" t="s">
        <v>17167</v>
      </c>
      <c r="K3998" s="10">
        <v>95</v>
      </c>
      <c r="L3998" s="10" t="s">
        <v>22942</v>
      </c>
      <c r="M3998" s="10">
        <v>1</v>
      </c>
      <c r="N3998" s="10" t="s">
        <v>22943</v>
      </c>
      <c r="O3998" s="10"/>
      <c r="P3998" s="10"/>
      <c r="Q3998" s="10"/>
      <c r="R3998" s="10" t="s">
        <v>18895</v>
      </c>
      <c r="S3998" s="10" t="s">
        <v>53</v>
      </c>
      <c r="T3998" s="10" t="s">
        <v>54</v>
      </c>
    </row>
    <row r="3999" spans="1:20" ht="14.5" x14ac:dyDescent="0.35">
      <c r="A3999" s="10" t="s">
        <v>22944</v>
      </c>
      <c r="B3999" s="10" t="str">
        <f>"9781442208926"</f>
        <v>9781442208926</v>
      </c>
      <c r="C3999" s="10" t="str">
        <f>"9781442208940"</f>
        <v>9781442208940</v>
      </c>
      <c r="D3999" s="10" t="s">
        <v>9752</v>
      </c>
      <c r="E3999" s="10" t="s">
        <v>15187</v>
      </c>
      <c r="F3999" s="10" t="s">
        <v>9754</v>
      </c>
      <c r="G3999" s="10" t="s">
        <v>6317</v>
      </c>
      <c r="H3999" s="11">
        <v>40857</v>
      </c>
      <c r="I3999" s="10">
        <v>2011</v>
      </c>
      <c r="J3999" s="10" t="s">
        <v>15187</v>
      </c>
      <c r="K3999" s="10">
        <v>329</v>
      </c>
      <c r="L3999" s="10" t="s">
        <v>22945</v>
      </c>
      <c r="M3999" s="10">
        <v>1</v>
      </c>
      <c r="N3999" s="10"/>
      <c r="O3999" s="10"/>
      <c r="P3999" s="10" t="s">
        <v>22946</v>
      </c>
      <c r="Q3999" s="10" t="s">
        <v>22947</v>
      </c>
      <c r="R3999" s="10" t="s">
        <v>22948</v>
      </c>
      <c r="S3999" s="10" t="s">
        <v>53</v>
      </c>
      <c r="T3999" s="10" t="s">
        <v>54</v>
      </c>
    </row>
    <row r="4000" spans="1:20" ht="14.5" x14ac:dyDescent="0.35">
      <c r="A4000" s="10" t="s">
        <v>22949</v>
      </c>
      <c r="B4000" s="10" t="str">
        <f>"9781442204676"</f>
        <v>9781442204676</v>
      </c>
      <c r="C4000" s="10" t="str">
        <f>"9781442204690"</f>
        <v>9781442204690</v>
      </c>
      <c r="D4000" s="10" t="s">
        <v>9752</v>
      </c>
      <c r="E4000" s="10" t="s">
        <v>15187</v>
      </c>
      <c r="F4000" s="10" t="s">
        <v>9754</v>
      </c>
      <c r="G4000" s="10" t="s">
        <v>6317</v>
      </c>
      <c r="H4000" s="11">
        <v>40962</v>
      </c>
      <c r="I4000" s="10">
        <v>2012</v>
      </c>
      <c r="J4000" s="10" t="s">
        <v>15187</v>
      </c>
      <c r="K4000" s="10">
        <v>565</v>
      </c>
      <c r="L4000" s="10" t="s">
        <v>22950</v>
      </c>
      <c r="M4000" s="10">
        <v>1</v>
      </c>
      <c r="N4000" s="10"/>
      <c r="O4000" s="10"/>
      <c r="P4000" s="10" t="s">
        <v>22951</v>
      </c>
      <c r="Q4000" s="10">
        <v>371.19</v>
      </c>
      <c r="R4000" s="10" t="s">
        <v>22952</v>
      </c>
      <c r="S4000" s="10" t="s">
        <v>53</v>
      </c>
      <c r="T4000" s="10" t="s">
        <v>54</v>
      </c>
    </row>
    <row r="4001" spans="1:20" ht="14.5" x14ac:dyDescent="0.35">
      <c r="A4001" s="10" t="s">
        <v>22953</v>
      </c>
      <c r="B4001" s="10" t="str">
        <f>"9780415806954"</f>
        <v>9780415806954</v>
      </c>
      <c r="C4001" s="10" t="str">
        <f>"9781136252785"</f>
        <v>9781136252785</v>
      </c>
      <c r="D4001" s="10" t="s">
        <v>6350</v>
      </c>
      <c r="E4001" s="10" t="s">
        <v>6351</v>
      </c>
      <c r="F4001" s="10" t="s">
        <v>748</v>
      </c>
      <c r="G4001" s="10" t="s">
        <v>6352</v>
      </c>
      <c r="H4001" s="11">
        <v>41131</v>
      </c>
      <c r="I4001" s="10">
        <v>2013</v>
      </c>
      <c r="J4001" s="10" t="s">
        <v>6351</v>
      </c>
      <c r="K4001" s="10">
        <v>277</v>
      </c>
      <c r="L4001" s="10" t="s">
        <v>22954</v>
      </c>
      <c r="M4001" s="10">
        <v>1</v>
      </c>
      <c r="N4001" s="10" t="s">
        <v>22955</v>
      </c>
      <c r="O4001" s="10"/>
      <c r="P4001" s="10" t="s">
        <v>22956</v>
      </c>
      <c r="Q4001" s="10">
        <v>306.48309469999998</v>
      </c>
      <c r="R4001" s="10" t="s">
        <v>22957</v>
      </c>
      <c r="S4001" s="10" t="s">
        <v>53</v>
      </c>
      <c r="T4001" s="10" t="s">
        <v>22958</v>
      </c>
    </row>
    <row r="4002" spans="1:20" ht="14.5" x14ac:dyDescent="0.35">
      <c r="A4002" s="10" t="s">
        <v>22959</v>
      </c>
      <c r="B4002" s="10" t="str">
        <f>"9780415881920"</f>
        <v>9780415881920</v>
      </c>
      <c r="C4002" s="10" t="str">
        <f>"9781136682094"</f>
        <v>9781136682094</v>
      </c>
      <c r="D4002" s="10" t="s">
        <v>6350</v>
      </c>
      <c r="E4002" s="10" t="s">
        <v>6351</v>
      </c>
      <c r="F4002" s="10" t="s">
        <v>139</v>
      </c>
      <c r="G4002" s="10" t="s">
        <v>6352</v>
      </c>
      <c r="H4002" s="11">
        <v>40779</v>
      </c>
      <c r="I4002" s="10">
        <v>2012</v>
      </c>
      <c r="J4002" s="10" t="s">
        <v>6353</v>
      </c>
      <c r="K4002" s="10">
        <v>247</v>
      </c>
      <c r="L4002" s="10" t="s">
        <v>11842</v>
      </c>
      <c r="M4002" s="10">
        <v>1</v>
      </c>
      <c r="N4002" s="10" t="s">
        <v>14416</v>
      </c>
      <c r="O4002" s="10"/>
      <c r="P4002" s="10" t="s">
        <v>22960</v>
      </c>
      <c r="Q4002" s="10">
        <v>378</v>
      </c>
      <c r="R4002" s="10" t="s">
        <v>22961</v>
      </c>
      <c r="S4002" s="10" t="s">
        <v>53</v>
      </c>
      <c r="T4002" s="10" t="s">
        <v>54</v>
      </c>
    </row>
    <row r="4003" spans="1:20" ht="14.5" x14ac:dyDescent="0.35">
      <c r="A4003" s="10" t="s">
        <v>22962</v>
      </c>
      <c r="B4003" s="10" t="str">
        <f>"9780415603614"</f>
        <v>9780415603614</v>
      </c>
      <c r="C4003" s="10" t="str">
        <f>"9781136731020"</f>
        <v>9781136731020</v>
      </c>
      <c r="D4003" s="10" t="s">
        <v>6350</v>
      </c>
      <c r="E4003" s="10" t="s">
        <v>6351</v>
      </c>
      <c r="F4003" s="10" t="s">
        <v>139</v>
      </c>
      <c r="G4003" s="10" t="s">
        <v>6352</v>
      </c>
      <c r="H4003" s="11">
        <v>41215</v>
      </c>
      <c r="I4003" s="10">
        <v>2013</v>
      </c>
      <c r="J4003" s="10" t="s">
        <v>6353</v>
      </c>
      <c r="K4003" s="10">
        <v>161</v>
      </c>
      <c r="L4003" s="10" t="s">
        <v>7609</v>
      </c>
      <c r="M4003" s="10">
        <v>1</v>
      </c>
      <c r="N4003" s="10"/>
      <c r="O4003" s="10"/>
      <c r="P4003" s="10" t="s">
        <v>22963</v>
      </c>
      <c r="Q4003" s="10">
        <v>155</v>
      </c>
      <c r="R4003" s="10" t="s">
        <v>21575</v>
      </c>
      <c r="S4003" s="10" t="s">
        <v>53</v>
      </c>
      <c r="T4003" s="10" t="s">
        <v>6640</v>
      </c>
    </row>
    <row r="4004" spans="1:20" ht="14.5" x14ac:dyDescent="0.35">
      <c r="A4004" s="10" t="s">
        <v>22964</v>
      </c>
      <c r="B4004" s="10" t="str">
        <f>"9780415897365"</f>
        <v>9780415897365</v>
      </c>
      <c r="C4004" s="10" t="str">
        <f>"9781136624704"</f>
        <v>9781136624704</v>
      </c>
      <c r="D4004" s="10" t="s">
        <v>6350</v>
      </c>
      <c r="E4004" s="10" t="s">
        <v>6351</v>
      </c>
      <c r="F4004" s="10" t="s">
        <v>3967</v>
      </c>
      <c r="G4004" s="10" t="s">
        <v>6352</v>
      </c>
      <c r="H4004" s="11">
        <v>41159</v>
      </c>
      <c r="I4004" s="10">
        <v>2012</v>
      </c>
      <c r="J4004" s="10" t="s">
        <v>6353</v>
      </c>
      <c r="K4004" s="10">
        <v>179</v>
      </c>
      <c r="L4004" s="10" t="s">
        <v>22965</v>
      </c>
      <c r="M4004" s="10">
        <v>1</v>
      </c>
      <c r="N4004" s="10"/>
      <c r="O4004" s="10"/>
      <c r="P4004" s="10" t="s">
        <v>22966</v>
      </c>
      <c r="Q4004" s="10">
        <v>373.18235199999998</v>
      </c>
      <c r="R4004" s="10" t="s">
        <v>22967</v>
      </c>
      <c r="S4004" s="10" t="s">
        <v>53</v>
      </c>
      <c r="T4004" s="10" t="s">
        <v>54</v>
      </c>
    </row>
    <row r="4005" spans="1:20" ht="14.5" x14ac:dyDescent="0.35">
      <c r="A4005" s="10" t="s">
        <v>22968</v>
      </c>
      <c r="B4005" s="10" t="str">
        <f>"9780415950985"</f>
        <v>9780415950985</v>
      </c>
      <c r="C4005" s="10" t="str">
        <f>"9781136615641"</f>
        <v>9781136615641</v>
      </c>
      <c r="D4005" s="10" t="s">
        <v>6350</v>
      </c>
      <c r="E4005" s="10" t="s">
        <v>6351</v>
      </c>
      <c r="F4005" s="10" t="s">
        <v>139</v>
      </c>
      <c r="G4005" s="10" t="s">
        <v>6352</v>
      </c>
      <c r="H4005" s="11">
        <v>38444</v>
      </c>
      <c r="I4005" s="10">
        <v>2005</v>
      </c>
      <c r="J4005" s="10" t="s">
        <v>6353</v>
      </c>
      <c r="K4005" s="10">
        <v>243</v>
      </c>
      <c r="L4005" s="10" t="s">
        <v>22969</v>
      </c>
      <c r="M4005" s="10">
        <v>1</v>
      </c>
      <c r="N4005" s="10" t="s">
        <v>18013</v>
      </c>
      <c r="O4005" s="10"/>
      <c r="P4005" s="10" t="s">
        <v>22970</v>
      </c>
      <c r="Q4005" s="10" t="s">
        <v>18149</v>
      </c>
      <c r="R4005" s="10" t="s">
        <v>22971</v>
      </c>
      <c r="S4005" s="10" t="s">
        <v>53</v>
      </c>
      <c r="T4005" s="10" t="s">
        <v>54</v>
      </c>
    </row>
    <row r="4006" spans="1:20" ht="14.5" x14ac:dyDescent="0.35">
      <c r="A4006" s="10" t="s">
        <v>22972</v>
      </c>
      <c r="B4006" s="10" t="str">
        <f>"9780415527996"</f>
        <v>9780415527996</v>
      </c>
      <c r="C4006" s="10" t="str">
        <f>"9781136311116"</f>
        <v>9781136311116</v>
      </c>
      <c r="D4006" s="10" t="s">
        <v>6350</v>
      </c>
      <c r="E4006" s="10" t="s">
        <v>6351</v>
      </c>
      <c r="F4006" s="10" t="s">
        <v>139</v>
      </c>
      <c r="G4006" s="10" t="s">
        <v>6352</v>
      </c>
      <c r="H4006" s="11">
        <v>41138</v>
      </c>
      <c r="I4006" s="10">
        <v>2013</v>
      </c>
      <c r="J4006" s="10" t="s">
        <v>6353</v>
      </c>
      <c r="K4006" s="10">
        <v>129</v>
      </c>
      <c r="L4006" s="10" t="s">
        <v>22973</v>
      </c>
      <c r="M4006" s="10">
        <v>1</v>
      </c>
      <c r="N4006" s="10"/>
      <c r="O4006" s="10"/>
      <c r="P4006" s="10" t="s">
        <v>22974</v>
      </c>
      <c r="Q4006" s="10" t="s">
        <v>18744</v>
      </c>
      <c r="R4006" s="10" t="s">
        <v>22975</v>
      </c>
      <c r="S4006" s="10" t="s">
        <v>53</v>
      </c>
      <c r="T4006" s="10" t="s">
        <v>6634</v>
      </c>
    </row>
    <row r="4007" spans="1:20" ht="14.5" x14ac:dyDescent="0.35">
      <c r="A4007" s="10" t="s">
        <v>22976</v>
      </c>
      <c r="B4007" s="10" t="str">
        <f>"9781608055456"</f>
        <v>9781608055456</v>
      </c>
      <c r="C4007" s="10" t="str">
        <f>"9781608050154"</f>
        <v>9781608050154</v>
      </c>
      <c r="D4007" s="10" t="s">
        <v>21815</v>
      </c>
      <c r="E4007" s="10" t="s">
        <v>21815</v>
      </c>
      <c r="F4007" s="10" t="s">
        <v>21816</v>
      </c>
      <c r="G4007" s="10" t="s">
        <v>21817</v>
      </c>
      <c r="H4007" s="11">
        <v>41159</v>
      </c>
      <c r="I4007" s="10">
        <v>2012</v>
      </c>
      <c r="J4007" s="10" t="s">
        <v>21815</v>
      </c>
      <c r="K4007" s="10">
        <v>359</v>
      </c>
      <c r="L4007" s="10" t="s">
        <v>22977</v>
      </c>
      <c r="M4007" s="10">
        <v>1</v>
      </c>
      <c r="N4007" s="10"/>
      <c r="O4007" s="10"/>
      <c r="P4007" s="10" t="s">
        <v>22978</v>
      </c>
      <c r="Q4007" s="10">
        <v>808.53</v>
      </c>
      <c r="R4007" s="10" t="s">
        <v>22979</v>
      </c>
      <c r="S4007" s="10" t="s">
        <v>53</v>
      </c>
      <c r="T4007" s="10" t="s">
        <v>6568</v>
      </c>
    </row>
    <row r="4008" spans="1:20" ht="14.5" x14ac:dyDescent="0.35">
      <c r="A4008" s="10" t="s">
        <v>22980</v>
      </c>
      <c r="B4008" s="10" t="str">
        <f>"9780520273566"</f>
        <v>9780520273566</v>
      </c>
      <c r="C4008" s="10" t="str">
        <f>"9780520954144"</f>
        <v>9780520954144</v>
      </c>
      <c r="D4008" s="10" t="s">
        <v>8512</v>
      </c>
      <c r="E4008" s="10" t="s">
        <v>8512</v>
      </c>
      <c r="F4008" s="10" t="s">
        <v>717</v>
      </c>
      <c r="G4008" s="10" t="s">
        <v>6317</v>
      </c>
      <c r="H4008" s="11">
        <v>41197</v>
      </c>
      <c r="I4008" s="10">
        <v>2012</v>
      </c>
      <c r="J4008" s="10" t="s">
        <v>8512</v>
      </c>
      <c r="K4008" s="10">
        <v>371</v>
      </c>
      <c r="L4008" s="10" t="s">
        <v>22981</v>
      </c>
      <c r="M4008" s="10">
        <v>1</v>
      </c>
      <c r="N4008" s="10"/>
      <c r="O4008" s="10"/>
      <c r="P4008" s="10" t="s">
        <v>22982</v>
      </c>
      <c r="Q4008" s="10">
        <v>300.72000000000003</v>
      </c>
      <c r="R4008" s="10"/>
      <c r="S4008" s="10" t="s">
        <v>53</v>
      </c>
      <c r="T4008" s="10" t="s">
        <v>6363</v>
      </c>
    </row>
    <row r="4009" spans="1:20" ht="14.5" x14ac:dyDescent="0.35">
      <c r="A4009" s="10" t="s">
        <v>22983</v>
      </c>
      <c r="B4009" s="10" t="str">
        <f>"9781442215474"</f>
        <v>9781442215474</v>
      </c>
      <c r="C4009" s="10" t="str">
        <f>"9781442215498"</f>
        <v>9781442215498</v>
      </c>
      <c r="D4009" s="10" t="s">
        <v>9752</v>
      </c>
      <c r="E4009" s="10" t="s">
        <v>15187</v>
      </c>
      <c r="F4009" s="10" t="s">
        <v>9754</v>
      </c>
      <c r="G4009" s="10" t="s">
        <v>6317</v>
      </c>
      <c r="H4009" s="11">
        <v>41130</v>
      </c>
      <c r="I4009" s="10">
        <v>2012</v>
      </c>
      <c r="J4009" s="10" t="s">
        <v>15187</v>
      </c>
      <c r="K4009" s="10">
        <v>255</v>
      </c>
      <c r="L4009" s="10" t="s">
        <v>22984</v>
      </c>
      <c r="M4009" s="10">
        <v>1</v>
      </c>
      <c r="N4009" s="10"/>
      <c r="O4009" s="10"/>
      <c r="P4009" s="10" t="s">
        <v>22985</v>
      </c>
      <c r="Q4009" s="10">
        <v>370.97300000000001</v>
      </c>
      <c r="R4009" s="10" t="s">
        <v>22986</v>
      </c>
      <c r="S4009" s="10" t="s">
        <v>53</v>
      </c>
      <c r="T4009" s="10" t="s">
        <v>54</v>
      </c>
    </row>
    <row r="4010" spans="1:20" ht="14.5" x14ac:dyDescent="0.35">
      <c r="A4010" s="10" t="s">
        <v>22987</v>
      </c>
      <c r="B4010" s="10" t="str">
        <f>"9781610489201"</f>
        <v>9781610489201</v>
      </c>
      <c r="C4010" s="10" t="str">
        <f>"9781610489218"</f>
        <v>9781610489218</v>
      </c>
      <c r="D4010" s="10" t="s">
        <v>9752</v>
      </c>
      <c r="E4010" s="10" t="s">
        <v>15192</v>
      </c>
      <c r="F4010" s="10" t="s">
        <v>9754</v>
      </c>
      <c r="G4010" s="10" t="s">
        <v>6317</v>
      </c>
      <c r="H4010" s="11">
        <v>41179</v>
      </c>
      <c r="I4010" s="10">
        <v>2012</v>
      </c>
      <c r="J4010" s="10" t="s">
        <v>15192</v>
      </c>
      <c r="K4010" s="10">
        <v>87</v>
      </c>
      <c r="L4010" s="10" t="s">
        <v>22988</v>
      </c>
      <c r="M4010" s="10">
        <v>2</v>
      </c>
      <c r="N4010" s="10"/>
      <c r="O4010" s="10"/>
      <c r="P4010" s="10" t="s">
        <v>22989</v>
      </c>
      <c r="Q4010" s="10" t="s">
        <v>22990</v>
      </c>
      <c r="R4010" s="10" t="s">
        <v>22991</v>
      </c>
      <c r="S4010" s="10" t="s">
        <v>53</v>
      </c>
      <c r="T4010" s="10" t="s">
        <v>6568</v>
      </c>
    </row>
    <row r="4011" spans="1:20" ht="14.5" x14ac:dyDescent="0.35">
      <c r="A4011" s="10" t="s">
        <v>22992</v>
      </c>
      <c r="B4011" s="10" t="str">
        <f>"9781781900741"</f>
        <v>9781781900741</v>
      </c>
      <c r="C4011" s="10" t="str">
        <f>"9781781900758"</f>
        <v>9781781900758</v>
      </c>
      <c r="D4011" s="10" t="s">
        <v>8699</v>
      </c>
      <c r="E4011" s="10" t="s">
        <v>8699</v>
      </c>
      <c r="F4011" s="10" t="s">
        <v>559</v>
      </c>
      <c r="G4011" s="10" t="s">
        <v>6352</v>
      </c>
      <c r="H4011" s="11">
        <v>41177</v>
      </c>
      <c r="I4011" s="10">
        <v>2012</v>
      </c>
      <c r="J4011" s="10" t="s">
        <v>8699</v>
      </c>
      <c r="K4011" s="10">
        <v>232</v>
      </c>
      <c r="L4011" s="10" t="s">
        <v>22993</v>
      </c>
      <c r="M4011" s="10">
        <v>1</v>
      </c>
      <c r="N4011" s="10" t="s">
        <v>19897</v>
      </c>
      <c r="O4011" s="10">
        <v>16</v>
      </c>
      <c r="P4011" s="10" t="s">
        <v>7986</v>
      </c>
      <c r="Q4011" s="10">
        <v>372.21</v>
      </c>
      <c r="R4011" s="10" t="s">
        <v>22994</v>
      </c>
      <c r="S4011" s="10" t="s">
        <v>53</v>
      </c>
      <c r="T4011" s="10" t="s">
        <v>54</v>
      </c>
    </row>
    <row r="4012" spans="1:20" ht="14.5" x14ac:dyDescent="0.35">
      <c r="A4012" s="10" t="s">
        <v>22995</v>
      </c>
      <c r="B4012" s="10" t="str">
        <f>"9781781902424"</f>
        <v>9781781902424</v>
      </c>
      <c r="C4012" s="10" t="str">
        <f>"9781781902431"</f>
        <v>9781781902431</v>
      </c>
      <c r="D4012" s="10" t="s">
        <v>8699</v>
      </c>
      <c r="E4012" s="10" t="s">
        <v>8699</v>
      </c>
      <c r="F4012" s="10" t="s">
        <v>559</v>
      </c>
      <c r="G4012" s="10" t="s">
        <v>6352</v>
      </c>
      <c r="H4012" s="11">
        <v>41177</v>
      </c>
      <c r="I4012" s="10">
        <v>2012</v>
      </c>
      <c r="J4012" s="10" t="s">
        <v>8699</v>
      </c>
      <c r="K4012" s="10">
        <v>297</v>
      </c>
      <c r="L4012" s="10" t="s">
        <v>22996</v>
      </c>
      <c r="M4012" s="10">
        <v>1</v>
      </c>
      <c r="N4012" s="10" t="s">
        <v>20051</v>
      </c>
      <c r="O4012" s="10">
        <v>15</v>
      </c>
      <c r="P4012" s="10" t="s">
        <v>22997</v>
      </c>
      <c r="Q4012" s="10">
        <v>370.68799999999999</v>
      </c>
      <c r="R4012" s="10" t="s">
        <v>22998</v>
      </c>
      <c r="S4012" s="10" t="s">
        <v>53</v>
      </c>
      <c r="T4012" s="10" t="s">
        <v>54</v>
      </c>
    </row>
    <row r="4013" spans="1:20" ht="14.5" x14ac:dyDescent="0.35">
      <c r="A4013" s="10" t="s">
        <v>22999</v>
      </c>
      <c r="B4013" s="10" t="str">
        <f>"9781780522968"</f>
        <v>9781780522968</v>
      </c>
      <c r="C4013" s="10" t="str">
        <f>"9781780522975"</f>
        <v>9781780522975</v>
      </c>
      <c r="D4013" s="10" t="s">
        <v>8699</v>
      </c>
      <c r="E4013" s="10" t="s">
        <v>8699</v>
      </c>
      <c r="F4013" s="10" t="s">
        <v>559</v>
      </c>
      <c r="G4013" s="10" t="s">
        <v>6352</v>
      </c>
      <c r="H4013" s="11">
        <v>41194</v>
      </c>
      <c r="I4013" s="10">
        <v>2012</v>
      </c>
      <c r="J4013" s="10" t="s">
        <v>8699</v>
      </c>
      <c r="K4013" s="10">
        <v>273</v>
      </c>
      <c r="L4013" s="10" t="s">
        <v>23000</v>
      </c>
      <c r="M4013" s="10">
        <v>1</v>
      </c>
      <c r="N4013" s="10" t="s">
        <v>23001</v>
      </c>
      <c r="O4013" s="10">
        <v>6</v>
      </c>
      <c r="P4013" s="10" t="s">
        <v>23002</v>
      </c>
      <c r="Q4013" s="10">
        <v>306.483</v>
      </c>
      <c r="R4013" s="10" t="s">
        <v>23003</v>
      </c>
      <c r="S4013" s="10" t="s">
        <v>53</v>
      </c>
      <c r="T4013" s="10" t="s">
        <v>22958</v>
      </c>
    </row>
    <row r="4014" spans="1:20" ht="14.5" x14ac:dyDescent="0.35">
      <c r="A4014" s="10" t="s">
        <v>23004</v>
      </c>
      <c r="B4014" s="10" t="str">
        <f>"9781780529721"</f>
        <v>9781780529721</v>
      </c>
      <c r="C4014" s="10" t="str">
        <f>"9781780529738"</f>
        <v>9781780529738</v>
      </c>
      <c r="D4014" s="10" t="s">
        <v>8699</v>
      </c>
      <c r="E4014" s="10" t="s">
        <v>8699</v>
      </c>
      <c r="F4014" s="10" t="s">
        <v>559</v>
      </c>
      <c r="G4014" s="10" t="s">
        <v>6352</v>
      </c>
      <c r="H4014" s="11">
        <v>41165</v>
      </c>
      <c r="I4014" s="10">
        <v>2012</v>
      </c>
      <c r="J4014" s="10" t="s">
        <v>8699</v>
      </c>
      <c r="K4014" s="10">
        <v>343</v>
      </c>
      <c r="L4014" s="10" t="s">
        <v>23005</v>
      </c>
      <c r="M4014" s="10">
        <v>1</v>
      </c>
      <c r="N4014" s="10" t="s">
        <v>14554</v>
      </c>
      <c r="O4014" s="10">
        <v>25</v>
      </c>
      <c r="P4014" s="10" t="s">
        <v>11128</v>
      </c>
      <c r="Q4014" s="10">
        <v>371.10239999999999</v>
      </c>
      <c r="R4014" s="10" t="s">
        <v>23006</v>
      </c>
      <c r="S4014" s="10" t="s">
        <v>53</v>
      </c>
      <c r="T4014" s="10" t="s">
        <v>54</v>
      </c>
    </row>
    <row r="4015" spans="1:20" ht="14.5" x14ac:dyDescent="0.35">
      <c r="A4015" s="10" t="s">
        <v>23007</v>
      </c>
      <c r="B4015" s="10" t="str">
        <f>"9780739167915"</f>
        <v>9780739167915</v>
      </c>
      <c r="C4015" s="10" t="str">
        <f>"9780739167922"</f>
        <v>9780739167922</v>
      </c>
      <c r="D4015" s="10" t="s">
        <v>9752</v>
      </c>
      <c r="E4015" s="10" t="s">
        <v>15182</v>
      </c>
      <c r="F4015" s="10" t="s">
        <v>9754</v>
      </c>
      <c r="G4015" s="10" t="s">
        <v>6317</v>
      </c>
      <c r="H4015" s="11">
        <v>41200</v>
      </c>
      <c r="I4015" s="10">
        <v>2012</v>
      </c>
      <c r="J4015" s="10" t="s">
        <v>15182</v>
      </c>
      <c r="K4015" s="10">
        <v>166</v>
      </c>
      <c r="L4015" s="10" t="s">
        <v>23008</v>
      </c>
      <c r="M4015" s="10">
        <v>1</v>
      </c>
      <c r="N4015" s="10"/>
      <c r="O4015" s="10"/>
      <c r="P4015" s="10" t="s">
        <v>23009</v>
      </c>
      <c r="Q4015" s="10" t="s">
        <v>23010</v>
      </c>
      <c r="R4015" s="10" t="s">
        <v>23011</v>
      </c>
      <c r="S4015" s="10" t="s">
        <v>53</v>
      </c>
      <c r="T4015" s="10" t="s">
        <v>54</v>
      </c>
    </row>
    <row r="4016" spans="1:20" ht="14.5" x14ac:dyDescent="0.35">
      <c r="A4016" s="10" t="s">
        <v>23012</v>
      </c>
      <c r="B4016" s="10" t="str">
        <f>"9780813553849"</f>
        <v>9780813553849</v>
      </c>
      <c r="C4016" s="10" t="str">
        <f>"9780813553214"</f>
        <v>9780813553214</v>
      </c>
      <c r="D4016" s="10" t="s">
        <v>12251</v>
      </c>
      <c r="E4016" s="10" t="s">
        <v>12251</v>
      </c>
      <c r="F4016" s="10" t="s">
        <v>2510</v>
      </c>
      <c r="G4016" s="10" t="s">
        <v>6317</v>
      </c>
      <c r="H4016" s="11">
        <v>41149</v>
      </c>
      <c r="I4016" s="10">
        <v>2012</v>
      </c>
      <c r="J4016" s="10" t="s">
        <v>12251</v>
      </c>
      <c r="K4016" s="10">
        <v>276</v>
      </c>
      <c r="L4016" s="10" t="s">
        <v>23013</v>
      </c>
      <c r="M4016" s="10">
        <v>1</v>
      </c>
      <c r="N4016" s="10"/>
      <c r="O4016" s="10"/>
      <c r="P4016" s="10" t="s">
        <v>13083</v>
      </c>
      <c r="Q4016" s="10">
        <v>378.08199999999999</v>
      </c>
      <c r="R4016" s="10" t="s">
        <v>19024</v>
      </c>
      <c r="S4016" s="10" t="s">
        <v>53</v>
      </c>
      <c r="T4016" s="10" t="s">
        <v>54</v>
      </c>
    </row>
    <row r="4017" spans="1:20" ht="14.5" x14ac:dyDescent="0.35">
      <c r="A4017" s="10" t="s">
        <v>23014</v>
      </c>
      <c r="B4017" s="10" t="str">
        <f>"9789888139514"</f>
        <v>9789888139514</v>
      </c>
      <c r="C4017" s="10" t="str">
        <f>"9789888053926"</f>
        <v>9789888053926</v>
      </c>
      <c r="D4017" s="10" t="s">
        <v>18250</v>
      </c>
      <c r="E4017" s="10" t="s">
        <v>18250</v>
      </c>
      <c r="F4017" s="10" t="s">
        <v>535</v>
      </c>
      <c r="G4017" s="10" t="s">
        <v>18251</v>
      </c>
      <c r="H4017" s="11">
        <v>40826</v>
      </c>
      <c r="I4017" s="10">
        <v>2011</v>
      </c>
      <c r="J4017" s="10" t="s">
        <v>18250</v>
      </c>
      <c r="K4017" s="10">
        <v>415</v>
      </c>
      <c r="L4017" s="10" t="s">
        <v>23015</v>
      </c>
      <c r="M4017" s="10">
        <v>1</v>
      </c>
      <c r="N4017" s="10"/>
      <c r="O4017" s="10"/>
      <c r="P4017" s="10" t="s">
        <v>23016</v>
      </c>
      <c r="Q4017" s="10">
        <v>371.30950999999999</v>
      </c>
      <c r="R4017" s="10" t="s">
        <v>23017</v>
      </c>
      <c r="S4017" s="10" t="s">
        <v>53</v>
      </c>
      <c r="T4017" s="10" t="s">
        <v>54</v>
      </c>
    </row>
    <row r="4018" spans="1:20" ht="14.5" x14ac:dyDescent="0.35">
      <c r="A4018" s="10" t="s">
        <v>23018</v>
      </c>
      <c r="B4018" s="10" t="str">
        <f>"9780814473641"</f>
        <v>9780814473641</v>
      </c>
      <c r="C4018" s="10" t="str">
        <f>"9780814430187"</f>
        <v>9780814430187</v>
      </c>
      <c r="D4018" s="10" t="s">
        <v>9200</v>
      </c>
      <c r="E4018" s="10" t="s">
        <v>9201</v>
      </c>
      <c r="F4018" s="10" t="s">
        <v>403</v>
      </c>
      <c r="G4018" s="10" t="s">
        <v>6317</v>
      </c>
      <c r="H4018" s="11">
        <v>39122</v>
      </c>
      <c r="I4018" s="10">
        <v>2007</v>
      </c>
      <c r="J4018" s="10" t="s">
        <v>9201</v>
      </c>
      <c r="K4018" s="10">
        <v>288</v>
      </c>
      <c r="L4018" s="10" t="s">
        <v>23019</v>
      </c>
      <c r="M4018" s="10">
        <v>1</v>
      </c>
      <c r="N4018" s="10"/>
      <c r="O4018" s="10"/>
      <c r="P4018" s="10" t="s">
        <v>23020</v>
      </c>
      <c r="Q4018" s="10">
        <v>650.14</v>
      </c>
      <c r="R4018" s="10" t="s">
        <v>23021</v>
      </c>
      <c r="S4018" s="10" t="s">
        <v>53</v>
      </c>
      <c r="T4018" s="10" t="s">
        <v>6660</v>
      </c>
    </row>
    <row r="4019" spans="1:20" ht="14.5" x14ac:dyDescent="0.35">
      <c r="A4019" s="10" t="s">
        <v>23022</v>
      </c>
      <c r="B4019" s="10" t="str">
        <f>"9781442204584"</f>
        <v>9781442204584</v>
      </c>
      <c r="C4019" s="10" t="str">
        <f>"9781442204607"</f>
        <v>9781442204607</v>
      </c>
      <c r="D4019" s="10" t="s">
        <v>9752</v>
      </c>
      <c r="E4019" s="10" t="s">
        <v>15187</v>
      </c>
      <c r="F4019" s="10" t="s">
        <v>9754</v>
      </c>
      <c r="G4019" s="10" t="s">
        <v>6317</v>
      </c>
      <c r="H4019" s="11">
        <v>40559</v>
      </c>
      <c r="I4019" s="10">
        <v>2010</v>
      </c>
      <c r="J4019" s="10" t="s">
        <v>15187</v>
      </c>
      <c r="K4019" s="10">
        <v>296</v>
      </c>
      <c r="L4019" s="10" t="s">
        <v>23023</v>
      </c>
      <c r="M4019" s="10">
        <v>1</v>
      </c>
      <c r="N4019" s="10"/>
      <c r="O4019" s="10"/>
      <c r="P4019" s="10" t="s">
        <v>23024</v>
      </c>
      <c r="Q4019" s="10">
        <v>370.71100000000001</v>
      </c>
      <c r="R4019" s="10" t="s">
        <v>23025</v>
      </c>
      <c r="S4019" s="10" t="s">
        <v>53</v>
      </c>
      <c r="T4019" s="10" t="s">
        <v>54</v>
      </c>
    </row>
    <row r="4020" spans="1:20" ht="14.5" x14ac:dyDescent="0.35">
      <c r="A4020" s="10" t="s">
        <v>23026</v>
      </c>
      <c r="B4020" s="10" t="str">
        <f>"9780761961406"</f>
        <v>9780761961406</v>
      </c>
      <c r="C4020" s="10" t="str">
        <f>"9781446205327"</f>
        <v>9781446205327</v>
      </c>
      <c r="D4020" s="10" t="s">
        <v>9325</v>
      </c>
      <c r="E4020" s="10" t="s">
        <v>9326</v>
      </c>
      <c r="F4020" s="10" t="s">
        <v>139</v>
      </c>
      <c r="G4020" s="10" t="s">
        <v>6352</v>
      </c>
      <c r="H4020" s="11">
        <v>37831</v>
      </c>
      <c r="I4020" s="10">
        <v>2003</v>
      </c>
      <c r="J4020" s="10" t="s">
        <v>9326</v>
      </c>
      <c r="K4020" s="10">
        <v>225</v>
      </c>
      <c r="L4020" s="10" t="s">
        <v>23027</v>
      </c>
      <c r="M4020" s="10">
        <v>1</v>
      </c>
      <c r="N4020" s="10" t="s">
        <v>23028</v>
      </c>
      <c r="O4020" s="10"/>
      <c r="P4020" s="10">
        <v>21033320</v>
      </c>
      <c r="Q4020" s="10">
        <v>370.72</v>
      </c>
      <c r="R4020" s="10" t="s">
        <v>7744</v>
      </c>
      <c r="S4020" s="10" t="s">
        <v>53</v>
      </c>
      <c r="T4020" s="10" t="s">
        <v>54</v>
      </c>
    </row>
    <row r="4021" spans="1:20" ht="14.5" x14ac:dyDescent="0.35">
      <c r="A4021" s="10" t="s">
        <v>23029</v>
      </c>
      <c r="B4021" s="10" t="str">
        <f>"9781446209240"</f>
        <v>9781446209240</v>
      </c>
      <c r="C4021" s="10" t="str">
        <f>"9781446264560"</f>
        <v>9781446264560</v>
      </c>
      <c r="D4021" s="10" t="s">
        <v>9325</v>
      </c>
      <c r="E4021" s="10" t="s">
        <v>9326</v>
      </c>
      <c r="F4021" s="10" t="s">
        <v>139</v>
      </c>
      <c r="G4021" s="10" t="s">
        <v>6352</v>
      </c>
      <c r="H4021" s="11">
        <v>41066</v>
      </c>
      <c r="I4021" s="10">
        <v>2012</v>
      </c>
      <c r="J4021" s="10" t="s">
        <v>9326</v>
      </c>
      <c r="K4021" s="10">
        <v>243</v>
      </c>
      <c r="L4021" s="10" t="s">
        <v>23030</v>
      </c>
      <c r="M4021" s="10">
        <v>1</v>
      </c>
      <c r="N4021" s="10"/>
      <c r="O4021" s="10"/>
      <c r="P4021" s="10" t="s">
        <v>23031</v>
      </c>
      <c r="Q4021" s="10">
        <v>371.94</v>
      </c>
      <c r="R4021" s="10" t="s">
        <v>23032</v>
      </c>
      <c r="S4021" s="10" t="s">
        <v>53</v>
      </c>
      <c r="T4021" s="10" t="s">
        <v>54</v>
      </c>
    </row>
    <row r="4022" spans="1:20" ht="14.5" x14ac:dyDescent="0.35">
      <c r="A4022" s="10" t="s">
        <v>23033</v>
      </c>
      <c r="B4022" s="10" t="str">
        <f>"9780415686761"</f>
        <v>9780415686761</v>
      </c>
      <c r="C4022" s="10" t="str">
        <f>"9781136622045"</f>
        <v>9781136622045</v>
      </c>
      <c r="D4022" s="10" t="s">
        <v>6350</v>
      </c>
      <c r="E4022" s="10" t="s">
        <v>6351</v>
      </c>
      <c r="F4022" s="10" t="s">
        <v>139</v>
      </c>
      <c r="G4022" s="10" t="s">
        <v>6352</v>
      </c>
      <c r="H4022" s="11">
        <v>41102</v>
      </c>
      <c r="I4022" s="10">
        <v>2012</v>
      </c>
      <c r="J4022" s="10" t="s">
        <v>6353</v>
      </c>
      <c r="K4022" s="10">
        <v>185</v>
      </c>
      <c r="L4022" s="10" t="s">
        <v>23034</v>
      </c>
      <c r="M4022" s="10">
        <v>1</v>
      </c>
      <c r="N4022" s="10"/>
      <c r="O4022" s="10"/>
      <c r="P4022" s="10" t="s">
        <v>23035</v>
      </c>
      <c r="Q4022" s="10">
        <v>370.15</v>
      </c>
      <c r="R4022" s="10" t="s">
        <v>23036</v>
      </c>
      <c r="S4022" s="10" t="s">
        <v>53</v>
      </c>
      <c r="T4022" s="10" t="s">
        <v>54</v>
      </c>
    </row>
    <row r="4023" spans="1:20" ht="14.5" x14ac:dyDescent="0.35">
      <c r="A4023" s="10" t="s">
        <v>23037</v>
      </c>
      <c r="B4023" s="10" t="str">
        <f>"9780415584630"</f>
        <v>9780415584630</v>
      </c>
      <c r="C4023" s="10" t="str">
        <f>"9781136303111"</f>
        <v>9781136303111</v>
      </c>
      <c r="D4023" s="10" t="s">
        <v>6350</v>
      </c>
      <c r="E4023" s="10" t="s">
        <v>6351</v>
      </c>
      <c r="F4023" s="10" t="s">
        <v>139</v>
      </c>
      <c r="G4023" s="10" t="s">
        <v>6352</v>
      </c>
      <c r="H4023" s="11">
        <v>41194</v>
      </c>
      <c r="I4023" s="10">
        <v>2013</v>
      </c>
      <c r="J4023" s="10" t="s">
        <v>6353</v>
      </c>
      <c r="K4023" s="10">
        <v>385</v>
      </c>
      <c r="L4023" s="10" t="s">
        <v>23038</v>
      </c>
      <c r="M4023" s="10">
        <v>1</v>
      </c>
      <c r="N4023" s="10"/>
      <c r="O4023" s="10"/>
      <c r="P4023" s="10" t="s">
        <v>23039</v>
      </c>
      <c r="Q4023" s="10">
        <v>371.93</v>
      </c>
      <c r="R4023" s="10" t="s">
        <v>23040</v>
      </c>
      <c r="S4023" s="10" t="s">
        <v>53</v>
      </c>
      <c r="T4023" s="10" t="s">
        <v>54</v>
      </c>
    </row>
    <row r="4024" spans="1:20" ht="14.5" x14ac:dyDescent="0.35">
      <c r="A4024" s="10" t="s">
        <v>23041</v>
      </c>
      <c r="B4024" s="10" t="str">
        <f>"9780415516761"</f>
        <v>9780415516761</v>
      </c>
      <c r="C4024" s="10" t="str">
        <f>"9781136289064"</f>
        <v>9781136289064</v>
      </c>
      <c r="D4024" s="10" t="s">
        <v>6350</v>
      </c>
      <c r="E4024" s="10" t="s">
        <v>6351</v>
      </c>
      <c r="F4024" s="10" t="s">
        <v>748</v>
      </c>
      <c r="G4024" s="10" t="s">
        <v>6352</v>
      </c>
      <c r="H4024" s="11">
        <v>41116</v>
      </c>
      <c r="I4024" s="10">
        <v>2012</v>
      </c>
      <c r="J4024" s="10" t="s">
        <v>6351</v>
      </c>
      <c r="K4024" s="10">
        <v>153</v>
      </c>
      <c r="L4024" s="10" t="s">
        <v>23042</v>
      </c>
      <c r="M4024" s="10">
        <v>1</v>
      </c>
      <c r="N4024" s="10" t="s">
        <v>6954</v>
      </c>
      <c r="O4024" s="10"/>
      <c r="P4024" s="10" t="s">
        <v>23043</v>
      </c>
      <c r="Q4024" s="10" t="s">
        <v>8011</v>
      </c>
      <c r="R4024" s="10" t="s">
        <v>22057</v>
      </c>
      <c r="S4024" s="10" t="s">
        <v>53</v>
      </c>
      <c r="T4024" s="10" t="s">
        <v>6526</v>
      </c>
    </row>
    <row r="4025" spans="1:20" ht="14.5" x14ac:dyDescent="0.35">
      <c r="A4025" s="10" t="s">
        <v>23044</v>
      </c>
      <c r="B4025" s="10" t="str">
        <f>"9780415808545"</f>
        <v>9780415808545</v>
      </c>
      <c r="C4025" s="10" t="str">
        <f>"9781136494192"</f>
        <v>9781136494192</v>
      </c>
      <c r="D4025" s="10" t="s">
        <v>6350</v>
      </c>
      <c r="E4025" s="10" t="s">
        <v>6351</v>
      </c>
      <c r="F4025" s="10" t="s">
        <v>139</v>
      </c>
      <c r="G4025" s="10" t="s">
        <v>6352</v>
      </c>
      <c r="H4025" s="11">
        <v>41148</v>
      </c>
      <c r="I4025" s="10">
        <v>2013</v>
      </c>
      <c r="J4025" s="10" t="s">
        <v>6353</v>
      </c>
      <c r="K4025" s="10">
        <v>377</v>
      </c>
      <c r="L4025" s="10" t="s">
        <v>23045</v>
      </c>
      <c r="M4025" s="10">
        <v>3</v>
      </c>
      <c r="N4025" s="10"/>
      <c r="O4025" s="10"/>
      <c r="P4025" s="10" t="s">
        <v>23046</v>
      </c>
      <c r="Q4025" s="10" t="s">
        <v>9360</v>
      </c>
      <c r="R4025" s="10" t="s">
        <v>23047</v>
      </c>
      <c r="S4025" s="10" t="s">
        <v>53</v>
      </c>
      <c r="T4025" s="10" t="s">
        <v>54</v>
      </c>
    </row>
    <row r="4026" spans="1:20" ht="14.5" x14ac:dyDescent="0.35">
      <c r="A4026" s="10" t="s">
        <v>23048</v>
      </c>
      <c r="B4026" s="10" t="str">
        <f>"9780415897594"</f>
        <v>9780415897594</v>
      </c>
      <c r="C4026" s="10" t="str">
        <f>"9781136284595"</f>
        <v>9781136284595</v>
      </c>
      <c r="D4026" s="10" t="s">
        <v>6350</v>
      </c>
      <c r="E4026" s="10" t="s">
        <v>6351</v>
      </c>
      <c r="F4026" s="10" t="s">
        <v>139</v>
      </c>
      <c r="G4026" s="10" t="s">
        <v>6352</v>
      </c>
      <c r="H4026" s="11">
        <v>41116</v>
      </c>
      <c r="I4026" s="10">
        <v>2012</v>
      </c>
      <c r="J4026" s="10" t="s">
        <v>6353</v>
      </c>
      <c r="K4026" s="10">
        <v>211</v>
      </c>
      <c r="L4026" s="10" t="s">
        <v>23049</v>
      </c>
      <c r="M4026" s="10">
        <v>1</v>
      </c>
      <c r="N4026" s="10" t="s">
        <v>6954</v>
      </c>
      <c r="O4026" s="10"/>
      <c r="P4026" s="10" t="s">
        <v>23050</v>
      </c>
      <c r="Q4026" s="10">
        <v>372.21</v>
      </c>
      <c r="R4026" s="10" t="s">
        <v>23051</v>
      </c>
      <c r="S4026" s="10" t="s">
        <v>53</v>
      </c>
      <c r="T4026" s="10" t="s">
        <v>54</v>
      </c>
    </row>
    <row r="4027" spans="1:20" ht="14.5" x14ac:dyDescent="0.35">
      <c r="A4027" s="10" t="s">
        <v>23052</v>
      </c>
      <c r="B4027" s="10" t="str">
        <f>"9780415630122"</f>
        <v>9780415630122</v>
      </c>
      <c r="C4027" s="10" t="str">
        <f>"9781136225185"</f>
        <v>9781136225185</v>
      </c>
      <c r="D4027" s="10" t="s">
        <v>6350</v>
      </c>
      <c r="E4027" s="10" t="s">
        <v>6351</v>
      </c>
      <c r="F4027" s="10" t="s">
        <v>139</v>
      </c>
      <c r="G4027" s="10" t="s">
        <v>6352</v>
      </c>
      <c r="H4027" s="11">
        <v>41136</v>
      </c>
      <c r="I4027" s="10">
        <v>2013</v>
      </c>
      <c r="J4027" s="10" t="s">
        <v>6353</v>
      </c>
      <c r="K4027" s="10">
        <v>313</v>
      </c>
      <c r="L4027" s="10" t="s">
        <v>18085</v>
      </c>
      <c r="M4027" s="10">
        <v>1</v>
      </c>
      <c r="N4027" s="10"/>
      <c r="O4027" s="10"/>
      <c r="P4027" s="10" t="s">
        <v>23053</v>
      </c>
      <c r="Q4027" s="10">
        <v>378.01620000000003</v>
      </c>
      <c r="R4027" s="10" t="s">
        <v>23054</v>
      </c>
      <c r="S4027" s="10" t="s">
        <v>53</v>
      </c>
      <c r="T4027" s="10" t="s">
        <v>54</v>
      </c>
    </row>
    <row r="4028" spans="1:20" ht="14.5" x14ac:dyDescent="0.35">
      <c r="A4028" s="10" t="s">
        <v>23055</v>
      </c>
      <c r="B4028" s="10" t="str">
        <f>"9780415527705"</f>
        <v>9780415527705</v>
      </c>
      <c r="C4028" s="10" t="str">
        <f>"9781136311826"</f>
        <v>9781136311826</v>
      </c>
      <c r="D4028" s="10" t="s">
        <v>6350</v>
      </c>
      <c r="E4028" s="10" t="s">
        <v>6351</v>
      </c>
      <c r="F4028" s="10" t="s">
        <v>139</v>
      </c>
      <c r="G4028" s="10" t="s">
        <v>6352</v>
      </c>
      <c r="H4028" s="11">
        <v>41192</v>
      </c>
      <c r="I4028" s="10">
        <v>2013</v>
      </c>
      <c r="J4028" s="10" t="s">
        <v>6353</v>
      </c>
      <c r="K4028" s="10">
        <v>233</v>
      </c>
      <c r="L4028" s="10" t="s">
        <v>19627</v>
      </c>
      <c r="M4028" s="10">
        <v>1</v>
      </c>
      <c r="N4028" s="10"/>
      <c r="O4028" s="10"/>
      <c r="P4028" s="10" t="s">
        <v>23056</v>
      </c>
      <c r="Q4028" s="10" t="s">
        <v>10085</v>
      </c>
      <c r="R4028" s="10" t="s">
        <v>23057</v>
      </c>
      <c r="S4028" s="10" t="s">
        <v>53</v>
      </c>
      <c r="T4028" s="10" t="s">
        <v>389</v>
      </c>
    </row>
    <row r="4029" spans="1:20" ht="14.5" x14ac:dyDescent="0.35">
      <c r="A4029" s="10" t="s">
        <v>23058</v>
      </c>
      <c r="B4029" s="10" t="str">
        <f>"9781853467806"</f>
        <v>9781853467806</v>
      </c>
      <c r="C4029" s="10" t="str">
        <f>"9781136630217"</f>
        <v>9781136630217</v>
      </c>
      <c r="D4029" s="10" t="s">
        <v>6350</v>
      </c>
      <c r="E4029" s="10" t="s">
        <v>15120</v>
      </c>
      <c r="F4029" s="10" t="s">
        <v>748</v>
      </c>
      <c r="G4029" s="10" t="s">
        <v>6352</v>
      </c>
      <c r="H4029" s="11">
        <v>38056</v>
      </c>
      <c r="I4029" s="10">
        <v>2002</v>
      </c>
      <c r="J4029" s="10" t="s">
        <v>15120</v>
      </c>
      <c r="K4029" s="10">
        <v>138</v>
      </c>
      <c r="L4029" s="10" t="s">
        <v>23059</v>
      </c>
      <c r="M4029" s="10">
        <v>1</v>
      </c>
      <c r="N4029" s="10"/>
      <c r="O4029" s="10"/>
      <c r="P4029" s="10" t="s">
        <v>23060</v>
      </c>
      <c r="Q4029" s="10">
        <v>371.9144</v>
      </c>
      <c r="R4029" s="10" t="s">
        <v>23061</v>
      </c>
      <c r="S4029" s="10" t="s">
        <v>53</v>
      </c>
      <c r="T4029" s="10" t="s">
        <v>54</v>
      </c>
    </row>
    <row r="4030" spans="1:20" ht="14.5" x14ac:dyDescent="0.35">
      <c r="A4030" s="10" t="s">
        <v>23062</v>
      </c>
      <c r="B4030" s="10" t="str">
        <f>"9780816679683"</f>
        <v>9780816679683</v>
      </c>
      <c r="C4030" s="10" t="str">
        <f>"9780816682614"</f>
        <v>9780816682614</v>
      </c>
      <c r="D4030" s="10" t="s">
        <v>11428</v>
      </c>
      <c r="E4030" s="10" t="s">
        <v>11428</v>
      </c>
      <c r="F4030" s="10" t="s">
        <v>2186</v>
      </c>
      <c r="G4030" s="10" t="s">
        <v>6317</v>
      </c>
      <c r="H4030" s="11">
        <v>41123</v>
      </c>
      <c r="I4030" s="10">
        <v>2012</v>
      </c>
      <c r="J4030" s="10" t="s">
        <v>11428</v>
      </c>
      <c r="K4030" s="10">
        <v>331</v>
      </c>
      <c r="L4030" s="10" t="s">
        <v>23063</v>
      </c>
      <c r="M4030" s="10">
        <v>1</v>
      </c>
      <c r="N4030" s="10"/>
      <c r="O4030" s="10"/>
      <c r="P4030" s="10" t="s">
        <v>23064</v>
      </c>
      <c r="Q4030" s="10">
        <v>378.19810949999999</v>
      </c>
      <c r="R4030" s="10" t="s">
        <v>23065</v>
      </c>
      <c r="S4030" s="10" t="s">
        <v>53</v>
      </c>
      <c r="T4030" s="10" t="s">
        <v>54</v>
      </c>
    </row>
    <row r="4031" spans="1:20" ht="14.5" x14ac:dyDescent="0.35">
      <c r="A4031" s="10" t="s">
        <v>23066</v>
      </c>
      <c r="B4031" s="10" t="str">
        <f>"9780816679706"</f>
        <v>9780816679706</v>
      </c>
      <c r="C4031" s="10" t="str">
        <f>"9780816681747"</f>
        <v>9780816681747</v>
      </c>
      <c r="D4031" s="10" t="s">
        <v>11428</v>
      </c>
      <c r="E4031" s="10" t="s">
        <v>11428</v>
      </c>
      <c r="F4031" s="10" t="s">
        <v>2186</v>
      </c>
      <c r="G4031" s="10" t="s">
        <v>6317</v>
      </c>
      <c r="H4031" s="11">
        <v>41128</v>
      </c>
      <c r="I4031" s="10">
        <v>2012</v>
      </c>
      <c r="J4031" s="10" t="s">
        <v>11428</v>
      </c>
      <c r="K4031" s="10">
        <v>407</v>
      </c>
      <c r="L4031" s="10" t="s">
        <v>23067</v>
      </c>
      <c r="M4031" s="10">
        <v>1</v>
      </c>
      <c r="N4031" s="10"/>
      <c r="O4031" s="10"/>
      <c r="P4031" s="10" t="s">
        <v>23068</v>
      </c>
      <c r="Q4031" s="10" t="s">
        <v>8376</v>
      </c>
      <c r="R4031" s="10" t="s">
        <v>23069</v>
      </c>
      <c r="S4031" s="10" t="s">
        <v>53</v>
      </c>
      <c r="T4031" s="10" t="s">
        <v>54</v>
      </c>
    </row>
    <row r="4032" spans="1:20" ht="14.5" x14ac:dyDescent="0.35">
      <c r="A4032" s="10" t="s">
        <v>23070</v>
      </c>
      <c r="B4032" s="10" t="str">
        <f>"9781853469701"</f>
        <v>9781853469701</v>
      </c>
      <c r="C4032" s="10" t="str">
        <f>"9781135372842"</f>
        <v>9781135372842</v>
      </c>
      <c r="D4032" s="10" t="s">
        <v>6350</v>
      </c>
      <c r="E4032" s="10" t="s">
        <v>6351</v>
      </c>
      <c r="F4032" s="10" t="s">
        <v>748</v>
      </c>
      <c r="G4032" s="10" t="s">
        <v>6352</v>
      </c>
      <c r="H4032" s="11">
        <v>38205</v>
      </c>
      <c r="I4032" s="10">
        <v>2003</v>
      </c>
      <c r="J4032" s="10" t="s">
        <v>6351</v>
      </c>
      <c r="K4032" s="10">
        <v>120</v>
      </c>
      <c r="L4032" s="10" t="s">
        <v>23071</v>
      </c>
      <c r="M4032" s="10">
        <v>1</v>
      </c>
      <c r="N4032" s="10"/>
      <c r="O4032" s="10"/>
      <c r="P4032" s="10" t="s">
        <v>23072</v>
      </c>
      <c r="Q4032" s="10">
        <v>371.91444860000001</v>
      </c>
      <c r="R4032" s="10" t="s">
        <v>23073</v>
      </c>
      <c r="S4032" s="10" t="s">
        <v>53</v>
      </c>
      <c r="T4032" s="10" t="s">
        <v>54</v>
      </c>
    </row>
    <row r="4033" spans="1:20" ht="14.5" x14ac:dyDescent="0.35">
      <c r="A4033" s="10" t="s">
        <v>23074</v>
      </c>
      <c r="B4033" s="10" t="str">
        <f>"9781606495728"</f>
        <v>9781606495728</v>
      </c>
      <c r="C4033" s="10" t="str">
        <f>"9781606495735"</f>
        <v>9781606495735</v>
      </c>
      <c r="D4033" s="10" t="s">
        <v>20574</v>
      </c>
      <c r="E4033" s="10" t="s">
        <v>20574</v>
      </c>
      <c r="F4033" s="10" t="s">
        <v>70</v>
      </c>
      <c r="G4033" s="10" t="s">
        <v>6317</v>
      </c>
      <c r="H4033" s="11">
        <v>41274</v>
      </c>
      <c r="I4033" s="10">
        <v>2012</v>
      </c>
      <c r="J4033" s="10" t="s">
        <v>20574</v>
      </c>
      <c r="K4033" s="10">
        <v>198</v>
      </c>
      <c r="L4033" s="10" t="s">
        <v>23075</v>
      </c>
      <c r="M4033" s="10">
        <v>1</v>
      </c>
      <c r="N4033" s="10"/>
      <c r="O4033" s="10"/>
      <c r="P4033" s="10" t="s">
        <v>23076</v>
      </c>
      <c r="Q4033" s="10">
        <v>658.31240000000003</v>
      </c>
      <c r="R4033" s="10" t="s">
        <v>23077</v>
      </c>
      <c r="S4033" s="10" t="s">
        <v>53</v>
      </c>
      <c r="T4033" s="10" t="s">
        <v>8755</v>
      </c>
    </row>
    <row r="4034" spans="1:20" ht="14.5" x14ac:dyDescent="0.35">
      <c r="A4034" s="10" t="s">
        <v>23078</v>
      </c>
      <c r="B4034" s="10" t="str">
        <f>"9789056297107"</f>
        <v>9789056297107</v>
      </c>
      <c r="C4034" s="10" t="str">
        <f>"9789048517435"</f>
        <v>9789048517435</v>
      </c>
      <c r="D4034" s="10" t="s">
        <v>13287</v>
      </c>
      <c r="E4034" s="10" t="s">
        <v>13287</v>
      </c>
      <c r="F4034" s="10" t="s">
        <v>1818</v>
      </c>
      <c r="G4034" s="10" t="s">
        <v>9233</v>
      </c>
      <c r="H4034" s="11">
        <v>40909</v>
      </c>
      <c r="I4034" s="10">
        <v>2012</v>
      </c>
      <c r="J4034" s="10" t="s">
        <v>13443</v>
      </c>
      <c r="K4034" s="10">
        <v>24</v>
      </c>
      <c r="L4034" s="10" t="s">
        <v>23079</v>
      </c>
      <c r="M4034" s="10">
        <v>1</v>
      </c>
      <c r="N4034" s="10" t="s">
        <v>23080</v>
      </c>
      <c r="O4034" s="10"/>
      <c r="P4034" s="10" t="s">
        <v>23081</v>
      </c>
      <c r="Q4034" s="10">
        <v>370</v>
      </c>
      <c r="R4034" s="10" t="s">
        <v>23082</v>
      </c>
      <c r="S4034" s="10" t="s">
        <v>3107</v>
      </c>
      <c r="T4034" s="10" t="s">
        <v>23083</v>
      </c>
    </row>
    <row r="4035" spans="1:20" ht="14.5" x14ac:dyDescent="0.35">
      <c r="A4035" s="10" t="s">
        <v>23084</v>
      </c>
      <c r="B4035" s="10" t="str">
        <f>"9789089644213"</f>
        <v>9789089644213</v>
      </c>
      <c r="C4035" s="10" t="str">
        <f>"9789048516216"</f>
        <v>9789048516216</v>
      </c>
      <c r="D4035" s="10" t="s">
        <v>13287</v>
      </c>
      <c r="E4035" s="10" t="s">
        <v>13287</v>
      </c>
      <c r="F4035" s="10" t="s">
        <v>1818</v>
      </c>
      <c r="G4035" s="10" t="s">
        <v>9233</v>
      </c>
      <c r="H4035" s="11">
        <v>41023</v>
      </c>
      <c r="I4035" s="10">
        <v>2012</v>
      </c>
      <c r="J4035" s="10" t="s">
        <v>13287</v>
      </c>
      <c r="K4035" s="10">
        <v>189</v>
      </c>
      <c r="L4035" s="10" t="s">
        <v>23085</v>
      </c>
      <c r="M4035" s="10">
        <v>1</v>
      </c>
      <c r="N4035" s="10" t="s">
        <v>23086</v>
      </c>
      <c r="O4035" s="10">
        <v>8</v>
      </c>
      <c r="P4035" s="10" t="s">
        <v>23087</v>
      </c>
      <c r="Q4035" s="10"/>
      <c r="R4035" s="10" t="s">
        <v>23088</v>
      </c>
      <c r="S4035" s="10" t="s">
        <v>53</v>
      </c>
      <c r="T4035" s="10" t="s">
        <v>6363</v>
      </c>
    </row>
    <row r="4036" spans="1:20" ht="14.5" x14ac:dyDescent="0.35">
      <c r="A4036" s="10" t="s">
        <v>23089</v>
      </c>
      <c r="B4036" s="10" t="str">
        <f>"9781905390571"</f>
        <v>9781905390571</v>
      </c>
      <c r="C4036" s="10" t="str">
        <f>"9781909102170"</f>
        <v>9781909102170</v>
      </c>
      <c r="D4036" s="10" t="s">
        <v>19500</v>
      </c>
      <c r="E4036" s="10" t="s">
        <v>19501</v>
      </c>
      <c r="F4036" s="10" t="s">
        <v>20587</v>
      </c>
      <c r="G4036" s="10" t="s">
        <v>6352</v>
      </c>
      <c r="H4036" s="11">
        <v>39845</v>
      </c>
      <c r="I4036" s="10">
        <v>2012</v>
      </c>
      <c r="J4036" s="10" t="s">
        <v>21828</v>
      </c>
      <c r="K4036" s="10">
        <v>109</v>
      </c>
      <c r="L4036" s="10" t="s">
        <v>23090</v>
      </c>
      <c r="M4036" s="10">
        <v>1</v>
      </c>
      <c r="N4036" s="10"/>
      <c r="O4036" s="10"/>
      <c r="P4036" s="10" t="s">
        <v>23091</v>
      </c>
      <c r="Q4036" s="10">
        <v>371.71</v>
      </c>
      <c r="R4036" s="10" t="s">
        <v>23092</v>
      </c>
      <c r="S4036" s="10" t="s">
        <v>53</v>
      </c>
      <c r="T4036" s="10" t="s">
        <v>10829</v>
      </c>
    </row>
    <row r="4037" spans="1:20" ht="14.5" x14ac:dyDescent="0.35">
      <c r="A4037" s="10" t="s">
        <v>23093</v>
      </c>
      <c r="B4037" s="10" t="str">
        <f>"9781904575924"</f>
        <v>9781904575924</v>
      </c>
      <c r="C4037" s="10" t="str">
        <f>"9781907241970"</f>
        <v>9781907241970</v>
      </c>
      <c r="D4037" s="10" t="s">
        <v>19500</v>
      </c>
      <c r="E4037" s="10" t="s">
        <v>19501</v>
      </c>
      <c r="F4037" s="10" t="s">
        <v>20587</v>
      </c>
      <c r="G4037" s="10" t="s">
        <v>6352</v>
      </c>
      <c r="H4037" s="11">
        <v>40026</v>
      </c>
      <c r="I4037" s="10">
        <v>2012</v>
      </c>
      <c r="J4037" s="10" t="s">
        <v>21828</v>
      </c>
      <c r="K4037" s="10">
        <v>52</v>
      </c>
      <c r="L4037" s="10" t="s">
        <v>23094</v>
      </c>
      <c r="M4037" s="10">
        <v>1</v>
      </c>
      <c r="N4037" s="10"/>
      <c r="O4037" s="10"/>
      <c r="P4037" s="10" t="s">
        <v>23095</v>
      </c>
      <c r="Q4037" s="10">
        <v>372.21</v>
      </c>
      <c r="R4037" s="10" t="s">
        <v>23096</v>
      </c>
      <c r="S4037" s="10" t="s">
        <v>53</v>
      </c>
      <c r="T4037" s="10" t="s">
        <v>6492</v>
      </c>
    </row>
    <row r="4038" spans="1:20" ht="14.5" x14ac:dyDescent="0.35">
      <c r="A4038" s="10" t="s">
        <v>23097</v>
      </c>
      <c r="B4038" s="10" t="str">
        <f>"9780761988359"</f>
        <v>9780761988359</v>
      </c>
      <c r="C4038" s="10" t="str">
        <f>"9781452222301"</f>
        <v>9781452222301</v>
      </c>
      <c r="D4038" s="10" t="s">
        <v>22210</v>
      </c>
      <c r="E4038" s="10" t="s">
        <v>22211</v>
      </c>
      <c r="F4038" s="10" t="s">
        <v>333</v>
      </c>
      <c r="G4038" s="10" t="s">
        <v>6317</v>
      </c>
      <c r="H4038" s="11">
        <v>38308</v>
      </c>
      <c r="I4038" s="10">
        <v>2005</v>
      </c>
      <c r="J4038" s="10" t="s">
        <v>22211</v>
      </c>
      <c r="K4038" s="10">
        <v>169</v>
      </c>
      <c r="L4038" s="10" t="s">
        <v>23098</v>
      </c>
      <c r="M4038" s="10">
        <v>1</v>
      </c>
      <c r="N4038" s="10"/>
      <c r="O4038" s="10"/>
      <c r="P4038" s="10" t="s">
        <v>23099</v>
      </c>
      <c r="Q4038" s="10" t="s">
        <v>10213</v>
      </c>
      <c r="R4038" s="10"/>
      <c r="S4038" s="10" t="s">
        <v>53</v>
      </c>
      <c r="T4038" s="10" t="s">
        <v>54</v>
      </c>
    </row>
    <row r="4039" spans="1:20" ht="14.5" x14ac:dyDescent="0.35">
      <c r="A4039" s="10" t="s">
        <v>23100</v>
      </c>
      <c r="B4039" s="10" t="str">
        <f>"9781472569127"</f>
        <v>9781472569127</v>
      </c>
      <c r="C4039" s="10" t="str">
        <f>"9781441122902"</f>
        <v>9781441122902</v>
      </c>
      <c r="D4039" s="10" t="s">
        <v>13959</v>
      </c>
      <c r="E4039" s="10" t="s">
        <v>13960</v>
      </c>
      <c r="F4039" s="10" t="s">
        <v>139</v>
      </c>
      <c r="G4039" s="10" t="s">
        <v>6352</v>
      </c>
      <c r="H4039" s="11">
        <v>41739</v>
      </c>
      <c r="I4039" s="10">
        <v>2012</v>
      </c>
      <c r="J4039" s="10" t="s">
        <v>14057</v>
      </c>
      <c r="K4039" s="10">
        <v>174</v>
      </c>
      <c r="L4039" s="10" t="s">
        <v>23101</v>
      </c>
      <c r="M4039" s="10">
        <v>1</v>
      </c>
      <c r="N4039" s="10"/>
      <c r="O4039" s="10"/>
      <c r="P4039" s="10" t="s">
        <v>16415</v>
      </c>
      <c r="Q4039" s="10" t="s">
        <v>9007</v>
      </c>
      <c r="R4039" s="10" t="s">
        <v>23102</v>
      </c>
      <c r="S4039" s="10" t="s">
        <v>53</v>
      </c>
      <c r="T4039" s="10" t="s">
        <v>54</v>
      </c>
    </row>
    <row r="4040" spans="1:20" ht="14.5" x14ac:dyDescent="0.35">
      <c r="A4040" s="10" t="s">
        <v>23103</v>
      </c>
      <c r="B4040" s="10" t="str">
        <f>"9781472569134"</f>
        <v>9781472569134</v>
      </c>
      <c r="C4040" s="10" t="str">
        <f>"9781441104878"</f>
        <v>9781441104878</v>
      </c>
      <c r="D4040" s="10" t="s">
        <v>13959</v>
      </c>
      <c r="E4040" s="10" t="s">
        <v>13960</v>
      </c>
      <c r="F4040" s="10" t="s">
        <v>139</v>
      </c>
      <c r="G4040" s="10" t="s">
        <v>6352</v>
      </c>
      <c r="H4040" s="11">
        <v>41739</v>
      </c>
      <c r="I4040" s="10">
        <v>2012</v>
      </c>
      <c r="J4040" s="10" t="s">
        <v>14057</v>
      </c>
      <c r="K4040" s="10">
        <v>281</v>
      </c>
      <c r="L4040" s="10" t="s">
        <v>23104</v>
      </c>
      <c r="M4040" s="10">
        <v>1</v>
      </c>
      <c r="N4040" s="10"/>
      <c r="O4040" s="10"/>
      <c r="P4040" s="10" t="s">
        <v>23105</v>
      </c>
      <c r="Q4040" s="10">
        <v>370.11500000000001</v>
      </c>
      <c r="R4040" s="10" t="s">
        <v>23106</v>
      </c>
      <c r="S4040" s="10" t="s">
        <v>53</v>
      </c>
      <c r="T4040" s="10" t="s">
        <v>54</v>
      </c>
    </row>
    <row r="4041" spans="1:20" ht="14.5" x14ac:dyDescent="0.35">
      <c r="A4041" s="10" t="s">
        <v>23107</v>
      </c>
      <c r="B4041" s="10" t="str">
        <f>"9781412969543"</f>
        <v>9781412969543</v>
      </c>
      <c r="C4041" s="10" t="str">
        <f>"9781452223322"</f>
        <v>9781452223322</v>
      </c>
      <c r="D4041" s="10" t="s">
        <v>22210</v>
      </c>
      <c r="E4041" s="10" t="s">
        <v>22211</v>
      </c>
      <c r="F4041" s="10" t="s">
        <v>333</v>
      </c>
      <c r="G4041" s="10" t="s">
        <v>6317</v>
      </c>
      <c r="H4041" s="11">
        <v>39826</v>
      </c>
      <c r="I4041" s="10">
        <v>2009</v>
      </c>
      <c r="J4041" s="10" t="s">
        <v>22211</v>
      </c>
      <c r="K4041" s="10">
        <v>201</v>
      </c>
      <c r="L4041" s="10" t="s">
        <v>23108</v>
      </c>
      <c r="M4041" s="10">
        <v>1</v>
      </c>
      <c r="N4041" s="10"/>
      <c r="O4041" s="10"/>
      <c r="P4041" s="10" t="s">
        <v>23109</v>
      </c>
      <c r="Q4041" s="10"/>
      <c r="R4041" s="10"/>
      <c r="S4041" s="10" t="s">
        <v>53</v>
      </c>
      <c r="T4041" s="10" t="s">
        <v>54</v>
      </c>
    </row>
    <row r="4042" spans="1:20" ht="14.5" x14ac:dyDescent="0.35">
      <c r="A4042" s="10" t="s">
        <v>23110</v>
      </c>
      <c r="B4042" s="10" t="str">
        <f>"9781412981477"</f>
        <v>9781412981477</v>
      </c>
      <c r="C4042" s="10" t="str">
        <f>"9781452216195"</f>
        <v>9781452216195</v>
      </c>
      <c r="D4042" s="10" t="s">
        <v>22210</v>
      </c>
      <c r="E4042" s="10" t="s">
        <v>22211</v>
      </c>
      <c r="F4042" s="10" t="s">
        <v>333</v>
      </c>
      <c r="G4042" s="10" t="s">
        <v>6317</v>
      </c>
      <c r="H4042" s="11">
        <v>40407</v>
      </c>
      <c r="I4042" s="10">
        <v>2010</v>
      </c>
      <c r="J4042" s="10" t="s">
        <v>22211</v>
      </c>
      <c r="K4042" s="10">
        <v>137</v>
      </c>
      <c r="L4042" s="10" t="s">
        <v>23111</v>
      </c>
      <c r="M4042" s="10">
        <v>1</v>
      </c>
      <c r="N4042" s="10"/>
      <c r="O4042" s="10"/>
      <c r="P4042" s="10" t="s">
        <v>23112</v>
      </c>
      <c r="Q4042" s="10">
        <v>372.6</v>
      </c>
      <c r="R4042" s="10"/>
      <c r="S4042" s="10" t="s">
        <v>53</v>
      </c>
      <c r="T4042" s="10" t="s">
        <v>54</v>
      </c>
    </row>
    <row r="4043" spans="1:20" ht="14.5" x14ac:dyDescent="0.35">
      <c r="A4043" s="10" t="s">
        <v>23113</v>
      </c>
      <c r="B4043" s="10" t="str">
        <f>"9781412971379"</f>
        <v>9781412971379</v>
      </c>
      <c r="C4043" s="10" t="str">
        <f>"9781452223391"</f>
        <v>9781452223391</v>
      </c>
      <c r="D4043" s="10" t="s">
        <v>22210</v>
      </c>
      <c r="E4043" s="10" t="s">
        <v>22211</v>
      </c>
      <c r="F4043" s="10" t="s">
        <v>333</v>
      </c>
      <c r="G4043" s="10" t="s">
        <v>6317</v>
      </c>
      <c r="H4043" s="11">
        <v>39898</v>
      </c>
      <c r="I4043" s="10">
        <v>2009</v>
      </c>
      <c r="J4043" s="10" t="s">
        <v>22211</v>
      </c>
      <c r="K4043" s="10">
        <v>257</v>
      </c>
      <c r="L4043" s="10" t="s">
        <v>23114</v>
      </c>
      <c r="M4043" s="10">
        <v>3</v>
      </c>
      <c r="N4043" s="10"/>
      <c r="O4043" s="10"/>
      <c r="P4043" s="10" t="s">
        <v>23115</v>
      </c>
      <c r="Q4043" s="10">
        <v>371.9</v>
      </c>
      <c r="R4043" s="10"/>
      <c r="S4043" s="10" t="s">
        <v>53</v>
      </c>
      <c r="T4043" s="10" t="s">
        <v>54</v>
      </c>
    </row>
    <row r="4044" spans="1:20" ht="14.5" x14ac:dyDescent="0.35">
      <c r="A4044" s="10" t="s">
        <v>23116</v>
      </c>
      <c r="B4044" s="10" t="str">
        <f>"9781412972345"</f>
        <v>9781412972345</v>
      </c>
      <c r="C4044" s="10" t="str">
        <f>"9781452215709"</f>
        <v>9781452215709</v>
      </c>
      <c r="D4044" s="10" t="s">
        <v>22210</v>
      </c>
      <c r="E4044" s="10" t="s">
        <v>22211</v>
      </c>
      <c r="F4044" s="10" t="s">
        <v>333</v>
      </c>
      <c r="G4044" s="10" t="s">
        <v>6317</v>
      </c>
      <c r="H4044" s="11">
        <v>40441</v>
      </c>
      <c r="I4044" s="10">
        <v>2010</v>
      </c>
      <c r="J4044" s="10" t="s">
        <v>22211</v>
      </c>
      <c r="K4044" s="10">
        <v>273</v>
      </c>
      <c r="L4044" s="10" t="s">
        <v>23117</v>
      </c>
      <c r="M4044" s="10">
        <v>1</v>
      </c>
      <c r="N4044" s="10"/>
      <c r="O4044" s="10"/>
      <c r="P4044" s="10" t="s">
        <v>23118</v>
      </c>
      <c r="Q4044" s="10">
        <v>507.1</v>
      </c>
      <c r="R4044" s="10"/>
      <c r="S4044" s="10" t="s">
        <v>53</v>
      </c>
      <c r="T4044" s="10" t="s">
        <v>9608</v>
      </c>
    </row>
    <row r="4045" spans="1:20" ht="14.5" x14ac:dyDescent="0.35">
      <c r="A4045" s="10" t="s">
        <v>23119</v>
      </c>
      <c r="B4045" s="10" t="str">
        <f>"9780761978954"</f>
        <v>9780761978954</v>
      </c>
      <c r="C4045" s="10" t="str">
        <f>"9781452209517"</f>
        <v>9781452209517</v>
      </c>
      <c r="D4045" s="10" t="s">
        <v>22210</v>
      </c>
      <c r="E4045" s="10" t="s">
        <v>22211</v>
      </c>
      <c r="F4045" s="10" t="s">
        <v>333</v>
      </c>
      <c r="G4045" s="10" t="s">
        <v>6317</v>
      </c>
      <c r="H4045" s="11">
        <v>40133</v>
      </c>
      <c r="I4045" s="10">
        <v>2010</v>
      </c>
      <c r="J4045" s="10" t="s">
        <v>22211</v>
      </c>
      <c r="K4045" s="10">
        <v>289</v>
      </c>
      <c r="L4045" s="10" t="s">
        <v>23120</v>
      </c>
      <c r="M4045" s="10">
        <v>1</v>
      </c>
      <c r="N4045" s="10"/>
      <c r="O4045" s="10"/>
      <c r="P4045" s="10" t="s">
        <v>23121</v>
      </c>
      <c r="Q4045" s="10">
        <v>373.11020000000002</v>
      </c>
      <c r="R4045" s="10"/>
      <c r="S4045" s="10" t="s">
        <v>53</v>
      </c>
      <c r="T4045" s="10" t="s">
        <v>54</v>
      </c>
    </row>
    <row r="4046" spans="1:20" ht="14.5" x14ac:dyDescent="0.35">
      <c r="A4046" s="10" t="s">
        <v>23122</v>
      </c>
      <c r="B4046" s="10" t="str">
        <f>"9781412975056"</f>
        <v>9781412975056</v>
      </c>
      <c r="C4046" s="10" t="str">
        <f>"9781452213064"</f>
        <v>9781452213064</v>
      </c>
      <c r="D4046" s="10" t="s">
        <v>22210</v>
      </c>
      <c r="E4046" s="10" t="s">
        <v>22211</v>
      </c>
      <c r="F4046" s="10" t="s">
        <v>333</v>
      </c>
      <c r="G4046" s="10" t="s">
        <v>6317</v>
      </c>
      <c r="H4046" s="11">
        <v>39993</v>
      </c>
      <c r="I4046" s="10">
        <v>2009</v>
      </c>
      <c r="J4046" s="10" t="s">
        <v>22211</v>
      </c>
      <c r="K4046" s="10">
        <v>169</v>
      </c>
      <c r="L4046" s="10" t="s">
        <v>23123</v>
      </c>
      <c r="M4046" s="10">
        <v>1</v>
      </c>
      <c r="N4046" s="10"/>
      <c r="O4046" s="10"/>
      <c r="P4046" s="10" t="s">
        <v>23124</v>
      </c>
      <c r="Q4046" s="10" t="s">
        <v>23125</v>
      </c>
      <c r="R4046" s="10"/>
      <c r="S4046" s="10" t="s">
        <v>53</v>
      </c>
      <c r="T4046" s="10" t="s">
        <v>54</v>
      </c>
    </row>
    <row r="4047" spans="1:20" ht="14.5" x14ac:dyDescent="0.35">
      <c r="A4047" s="10" t="s">
        <v>23126</v>
      </c>
      <c r="B4047" s="10" t="str">
        <f>"9781412965279"</f>
        <v>9781412965279</v>
      </c>
      <c r="C4047" s="10" t="str">
        <f>"9781452213583"</f>
        <v>9781452213583</v>
      </c>
      <c r="D4047" s="10" t="s">
        <v>22210</v>
      </c>
      <c r="E4047" s="10" t="s">
        <v>22211</v>
      </c>
      <c r="F4047" s="10" t="s">
        <v>333</v>
      </c>
      <c r="G4047" s="10" t="s">
        <v>6317</v>
      </c>
      <c r="H4047" s="11">
        <v>40289</v>
      </c>
      <c r="I4047" s="10">
        <v>2010</v>
      </c>
      <c r="J4047" s="10" t="s">
        <v>22211</v>
      </c>
      <c r="K4047" s="10">
        <v>281</v>
      </c>
      <c r="L4047" s="10" t="s">
        <v>23127</v>
      </c>
      <c r="M4047" s="10">
        <v>1</v>
      </c>
      <c r="N4047" s="10"/>
      <c r="O4047" s="10"/>
      <c r="P4047" s="10"/>
      <c r="Q4047" s="10"/>
      <c r="R4047" s="10"/>
      <c r="S4047" s="10" t="s">
        <v>53</v>
      </c>
      <c r="T4047" s="10" t="s">
        <v>54</v>
      </c>
    </row>
    <row r="4048" spans="1:20" ht="14.5" x14ac:dyDescent="0.35">
      <c r="A4048" s="10" t="s">
        <v>23128</v>
      </c>
      <c r="B4048" s="10" t="str">
        <f>"9781412950961"</f>
        <v>9781412950961</v>
      </c>
      <c r="C4048" s="10" t="str">
        <f>"9781452211848"</f>
        <v>9781452211848</v>
      </c>
      <c r="D4048" s="10" t="s">
        <v>22210</v>
      </c>
      <c r="E4048" s="10" t="s">
        <v>22211</v>
      </c>
      <c r="F4048" s="10" t="s">
        <v>333</v>
      </c>
      <c r="G4048" s="10" t="s">
        <v>6317</v>
      </c>
      <c r="H4048" s="11">
        <v>40357</v>
      </c>
      <c r="I4048" s="10">
        <v>2010</v>
      </c>
      <c r="J4048" s="10" t="s">
        <v>22211</v>
      </c>
      <c r="K4048" s="10">
        <v>337</v>
      </c>
      <c r="L4048" s="10" t="s">
        <v>23129</v>
      </c>
      <c r="M4048" s="10">
        <v>1</v>
      </c>
      <c r="N4048" s="10"/>
      <c r="O4048" s="10"/>
      <c r="P4048" s="10" t="s">
        <v>23130</v>
      </c>
      <c r="Q4048" s="10" t="s">
        <v>22259</v>
      </c>
      <c r="R4048" s="10"/>
      <c r="S4048" s="10" t="s">
        <v>53</v>
      </c>
      <c r="T4048" s="10" t="s">
        <v>54</v>
      </c>
    </row>
    <row r="4049" spans="1:20" ht="14.5" x14ac:dyDescent="0.35">
      <c r="A4049" s="10" t="s">
        <v>23131</v>
      </c>
      <c r="B4049" s="10" t="str">
        <f>"9781412957151"</f>
        <v>9781412957151</v>
      </c>
      <c r="C4049" s="10" t="str">
        <f>"9781452209845"</f>
        <v>9781452209845</v>
      </c>
      <c r="D4049" s="10" t="s">
        <v>22210</v>
      </c>
      <c r="E4049" s="10" t="s">
        <v>22211</v>
      </c>
      <c r="F4049" s="10" t="s">
        <v>333</v>
      </c>
      <c r="G4049" s="10" t="s">
        <v>6317</v>
      </c>
      <c r="H4049" s="11">
        <v>40235</v>
      </c>
      <c r="I4049" s="10">
        <v>2010</v>
      </c>
      <c r="J4049" s="10" t="s">
        <v>22211</v>
      </c>
      <c r="K4049" s="10">
        <v>177</v>
      </c>
      <c r="L4049" s="10" t="s">
        <v>23132</v>
      </c>
      <c r="M4049" s="10">
        <v>1</v>
      </c>
      <c r="N4049" s="10"/>
      <c r="O4049" s="10"/>
      <c r="P4049" s="10" t="s">
        <v>23133</v>
      </c>
      <c r="Q4049" s="10" t="s">
        <v>18744</v>
      </c>
      <c r="R4049" s="10"/>
      <c r="S4049" s="10" t="s">
        <v>53</v>
      </c>
      <c r="T4049" s="10" t="s">
        <v>6498</v>
      </c>
    </row>
    <row r="4050" spans="1:20" ht="14.5" x14ac:dyDescent="0.35">
      <c r="A4050" s="10" t="s">
        <v>23134</v>
      </c>
      <c r="B4050" s="10" t="str">
        <f>"9781412975445"</f>
        <v>9781412975445</v>
      </c>
      <c r="C4050" s="10" t="str">
        <f>"9781452212821"</f>
        <v>9781452212821</v>
      </c>
      <c r="D4050" s="10" t="s">
        <v>22210</v>
      </c>
      <c r="E4050" s="10" t="s">
        <v>22211</v>
      </c>
      <c r="F4050" s="10" t="s">
        <v>333</v>
      </c>
      <c r="G4050" s="10" t="s">
        <v>6317</v>
      </c>
      <c r="H4050" s="11">
        <v>40275</v>
      </c>
      <c r="I4050" s="10">
        <v>2010</v>
      </c>
      <c r="J4050" s="10" t="s">
        <v>22211</v>
      </c>
      <c r="K4050" s="10">
        <v>249</v>
      </c>
      <c r="L4050" s="10" t="s">
        <v>23135</v>
      </c>
      <c r="M4050" s="10">
        <v>2</v>
      </c>
      <c r="N4050" s="10"/>
      <c r="O4050" s="10"/>
      <c r="P4050" s="10" t="s">
        <v>23136</v>
      </c>
      <c r="Q4050" s="10" t="s">
        <v>23137</v>
      </c>
      <c r="R4050" s="10"/>
      <c r="S4050" s="10" t="s">
        <v>53</v>
      </c>
      <c r="T4050" s="10" t="s">
        <v>54</v>
      </c>
    </row>
    <row r="4051" spans="1:20" ht="14.5" x14ac:dyDescent="0.35">
      <c r="A4051" s="10" t="s">
        <v>23138</v>
      </c>
      <c r="B4051" s="10" t="str">
        <f>"9781412904605"</f>
        <v>9781412904605</v>
      </c>
      <c r="C4051" s="10" t="str">
        <f>"9781452222042"</f>
        <v>9781452222042</v>
      </c>
      <c r="D4051" s="10" t="s">
        <v>22210</v>
      </c>
      <c r="E4051" s="10" t="s">
        <v>22211</v>
      </c>
      <c r="F4051" s="10" t="s">
        <v>333</v>
      </c>
      <c r="G4051" s="10" t="s">
        <v>6317</v>
      </c>
      <c r="H4051" s="11">
        <v>38667</v>
      </c>
      <c r="I4051" s="10">
        <v>2006</v>
      </c>
      <c r="J4051" s="10" t="s">
        <v>22211</v>
      </c>
      <c r="K4051" s="10">
        <v>185</v>
      </c>
      <c r="L4051" s="10" t="s">
        <v>23139</v>
      </c>
      <c r="M4051" s="10">
        <v>1</v>
      </c>
      <c r="N4051" s="10"/>
      <c r="O4051" s="10"/>
      <c r="P4051" s="10" t="s">
        <v>23140</v>
      </c>
      <c r="Q4051" s="10" t="s">
        <v>23141</v>
      </c>
      <c r="R4051" s="10"/>
      <c r="S4051" s="10" t="s">
        <v>53</v>
      </c>
      <c r="T4051" s="10" t="s">
        <v>6634</v>
      </c>
    </row>
    <row r="4052" spans="1:20" ht="14.5" x14ac:dyDescent="0.35">
      <c r="A4052" s="10" t="s">
        <v>23142</v>
      </c>
      <c r="B4052" s="10" t="str">
        <f>"9781412996105"</f>
        <v>9781412996105</v>
      </c>
      <c r="C4052" s="10" t="str">
        <f>"9781452224626"</f>
        <v>9781452224626</v>
      </c>
      <c r="D4052" s="10" t="s">
        <v>22210</v>
      </c>
      <c r="E4052" s="10" t="s">
        <v>22211</v>
      </c>
      <c r="F4052" s="10" t="s">
        <v>333</v>
      </c>
      <c r="G4052" s="10" t="s">
        <v>6317</v>
      </c>
      <c r="H4052" s="11">
        <v>40498</v>
      </c>
      <c r="I4052" s="10">
        <v>2011</v>
      </c>
      <c r="J4052" s="10" t="s">
        <v>22211</v>
      </c>
      <c r="K4052" s="10">
        <v>97</v>
      </c>
      <c r="L4052" s="10" t="s">
        <v>7403</v>
      </c>
      <c r="M4052" s="10">
        <v>1</v>
      </c>
      <c r="N4052" s="10"/>
      <c r="O4052" s="10"/>
      <c r="P4052" s="10" t="s">
        <v>23143</v>
      </c>
      <c r="Q4052" s="10" t="s">
        <v>11202</v>
      </c>
      <c r="R4052" s="10"/>
      <c r="S4052" s="10" t="s">
        <v>53</v>
      </c>
      <c r="T4052" s="10" t="s">
        <v>54</v>
      </c>
    </row>
    <row r="4053" spans="1:20" ht="14.5" x14ac:dyDescent="0.35">
      <c r="A4053" s="10" t="s">
        <v>23144</v>
      </c>
      <c r="B4053" s="10" t="str">
        <f>"9781412986946"</f>
        <v>9781412986946</v>
      </c>
      <c r="C4053" s="10" t="str">
        <f>"9781452223971"</f>
        <v>9781452223971</v>
      </c>
      <c r="D4053" s="10" t="s">
        <v>22210</v>
      </c>
      <c r="E4053" s="10" t="s">
        <v>22211</v>
      </c>
      <c r="F4053" s="10" t="s">
        <v>333</v>
      </c>
      <c r="G4053" s="10" t="s">
        <v>6317</v>
      </c>
      <c r="H4053" s="11">
        <v>40637</v>
      </c>
      <c r="I4053" s="10">
        <v>2011</v>
      </c>
      <c r="J4053" s="10" t="s">
        <v>22211</v>
      </c>
      <c r="K4053" s="10">
        <v>241</v>
      </c>
      <c r="L4053" s="10" t="s">
        <v>23145</v>
      </c>
      <c r="M4053" s="10">
        <v>1</v>
      </c>
      <c r="N4053" s="10"/>
      <c r="O4053" s="10"/>
      <c r="P4053" s="10"/>
      <c r="Q4053" s="10" t="s">
        <v>8460</v>
      </c>
      <c r="R4053" s="10"/>
      <c r="S4053" s="10" t="s">
        <v>53</v>
      </c>
      <c r="T4053" s="10" t="s">
        <v>54</v>
      </c>
    </row>
    <row r="4054" spans="1:20" ht="14.5" x14ac:dyDescent="0.35">
      <c r="A4054" s="10" t="s">
        <v>23146</v>
      </c>
      <c r="B4054" s="10" t="str">
        <f>"9781412981606"</f>
        <v>9781412981606</v>
      </c>
      <c r="C4054" s="10" t="str">
        <f>"9781452224022"</f>
        <v>9781452224022</v>
      </c>
      <c r="D4054" s="10" t="s">
        <v>22210</v>
      </c>
      <c r="E4054" s="10" t="s">
        <v>22211</v>
      </c>
      <c r="F4054" s="10" t="s">
        <v>333</v>
      </c>
      <c r="G4054" s="10" t="s">
        <v>6317</v>
      </c>
      <c r="H4054" s="11">
        <v>40630</v>
      </c>
      <c r="I4054" s="10">
        <v>2011</v>
      </c>
      <c r="J4054" s="10" t="s">
        <v>22211</v>
      </c>
      <c r="K4054" s="10">
        <v>169</v>
      </c>
      <c r="L4054" s="10" t="s">
        <v>23147</v>
      </c>
      <c r="M4054" s="10">
        <v>1</v>
      </c>
      <c r="N4054" s="10"/>
      <c r="O4054" s="10"/>
      <c r="P4054" s="10" t="s">
        <v>23148</v>
      </c>
      <c r="Q4054" s="10" t="s">
        <v>23149</v>
      </c>
      <c r="R4054" s="10"/>
      <c r="S4054" s="10" t="s">
        <v>53</v>
      </c>
      <c r="T4054" s="10" t="s">
        <v>6616</v>
      </c>
    </row>
    <row r="4055" spans="1:20" ht="14.5" x14ac:dyDescent="0.35">
      <c r="A4055" s="10" t="s">
        <v>23150</v>
      </c>
      <c r="B4055" s="10" t="str">
        <f>"9781412982023"</f>
        <v>9781412982023</v>
      </c>
      <c r="C4055" s="10" t="str">
        <f>"9781452224046"</f>
        <v>9781452224046</v>
      </c>
      <c r="D4055" s="10" t="s">
        <v>22210</v>
      </c>
      <c r="E4055" s="10" t="s">
        <v>22211</v>
      </c>
      <c r="F4055" s="10" t="s">
        <v>333</v>
      </c>
      <c r="G4055" s="10" t="s">
        <v>6317</v>
      </c>
      <c r="H4055" s="11">
        <v>40469</v>
      </c>
      <c r="I4055" s="10">
        <v>2011</v>
      </c>
      <c r="J4055" s="10" t="s">
        <v>22211</v>
      </c>
      <c r="K4055" s="10">
        <v>169</v>
      </c>
      <c r="L4055" s="10" t="s">
        <v>23151</v>
      </c>
      <c r="M4055" s="10">
        <v>1</v>
      </c>
      <c r="N4055" s="10"/>
      <c r="O4055" s="10"/>
      <c r="P4055" s="10"/>
      <c r="Q4055" s="10" t="s">
        <v>10535</v>
      </c>
      <c r="R4055" s="10"/>
      <c r="S4055" s="10" t="s">
        <v>53</v>
      </c>
      <c r="T4055" s="10" t="s">
        <v>54</v>
      </c>
    </row>
    <row r="4056" spans="1:20" ht="14.5" x14ac:dyDescent="0.35">
      <c r="A4056" s="10" t="s">
        <v>23152</v>
      </c>
      <c r="B4056" s="10" t="str">
        <f>"9781412981859"</f>
        <v>9781412981859</v>
      </c>
      <c r="C4056" s="10" t="str">
        <f>"9781452230788"</f>
        <v>9781452230788</v>
      </c>
      <c r="D4056" s="10" t="s">
        <v>22210</v>
      </c>
      <c r="E4056" s="10" t="s">
        <v>22211</v>
      </c>
      <c r="F4056" s="10" t="s">
        <v>333</v>
      </c>
      <c r="G4056" s="10" t="s">
        <v>6317</v>
      </c>
      <c r="H4056" s="11">
        <v>40736</v>
      </c>
      <c r="I4056" s="10">
        <v>2011</v>
      </c>
      <c r="J4056" s="10" t="s">
        <v>22211</v>
      </c>
      <c r="K4056" s="10">
        <v>185</v>
      </c>
      <c r="L4056" s="10" t="s">
        <v>23153</v>
      </c>
      <c r="M4056" s="10">
        <v>1</v>
      </c>
      <c r="N4056" s="10"/>
      <c r="O4056" s="10"/>
      <c r="P4056" s="10"/>
      <c r="Q4056" s="10" t="s">
        <v>7335</v>
      </c>
      <c r="R4056" s="10"/>
      <c r="S4056" s="10" t="s">
        <v>53</v>
      </c>
      <c r="T4056" s="10" t="s">
        <v>54</v>
      </c>
    </row>
    <row r="4057" spans="1:20" ht="14.5" x14ac:dyDescent="0.35">
      <c r="A4057" s="10" t="s">
        <v>23154</v>
      </c>
      <c r="B4057" s="10" t="str">
        <f>"9781412990905"</f>
        <v>9781412990905</v>
      </c>
      <c r="C4057" s="10" t="str">
        <f>"9781452224398"</f>
        <v>9781452224398</v>
      </c>
      <c r="D4057" s="10" t="s">
        <v>22210</v>
      </c>
      <c r="E4057" s="10" t="s">
        <v>22211</v>
      </c>
      <c r="F4057" s="10" t="s">
        <v>333</v>
      </c>
      <c r="G4057" s="10" t="s">
        <v>6317</v>
      </c>
      <c r="H4057" s="11">
        <v>40492</v>
      </c>
      <c r="I4057" s="10">
        <v>2011</v>
      </c>
      <c r="J4057" s="10" t="s">
        <v>22211</v>
      </c>
      <c r="K4057" s="10">
        <v>201</v>
      </c>
      <c r="L4057" s="10" t="s">
        <v>23155</v>
      </c>
      <c r="M4057" s="10">
        <v>1</v>
      </c>
      <c r="N4057" s="10"/>
      <c r="O4057" s="10"/>
      <c r="P4057" s="10"/>
      <c r="Q4057" s="10" t="s">
        <v>15558</v>
      </c>
      <c r="R4057" s="10"/>
      <c r="S4057" s="10" t="s">
        <v>53</v>
      </c>
      <c r="T4057" s="10" t="s">
        <v>54</v>
      </c>
    </row>
    <row r="4058" spans="1:20" ht="14.5" x14ac:dyDescent="0.35">
      <c r="A4058" s="10" t="s">
        <v>23156</v>
      </c>
      <c r="B4058" s="10" t="str">
        <f>"9781412981613"</f>
        <v>9781412981613</v>
      </c>
      <c r="C4058" s="10" t="str">
        <f>"9781452223643"</f>
        <v>9781452223643</v>
      </c>
      <c r="D4058" s="10" t="s">
        <v>22210</v>
      </c>
      <c r="E4058" s="10" t="s">
        <v>22211</v>
      </c>
      <c r="F4058" s="10" t="s">
        <v>333</v>
      </c>
      <c r="G4058" s="10" t="s">
        <v>6317</v>
      </c>
      <c r="H4058" s="11">
        <v>40571</v>
      </c>
      <c r="I4058" s="10">
        <v>2011</v>
      </c>
      <c r="J4058" s="10" t="s">
        <v>22211</v>
      </c>
      <c r="K4058" s="10">
        <v>209</v>
      </c>
      <c r="L4058" s="10" t="s">
        <v>23157</v>
      </c>
      <c r="M4058" s="10">
        <v>1</v>
      </c>
      <c r="N4058" s="10" t="s">
        <v>23158</v>
      </c>
      <c r="O4058" s="10"/>
      <c r="P4058" s="10" t="s">
        <v>23159</v>
      </c>
      <c r="Q4058" s="10"/>
      <c r="R4058" s="10"/>
      <c r="S4058" s="10" t="s">
        <v>53</v>
      </c>
      <c r="T4058" s="10" t="s">
        <v>54</v>
      </c>
    </row>
    <row r="4059" spans="1:20" ht="14.5" x14ac:dyDescent="0.35">
      <c r="A4059" s="10" t="s">
        <v>23160</v>
      </c>
      <c r="B4059" s="10" t="str">
        <f>"9781412917742"</f>
        <v>9781412917742</v>
      </c>
      <c r="C4059" s="10" t="str">
        <f>"9781452222493"</f>
        <v>9781452222493</v>
      </c>
      <c r="D4059" s="10" t="s">
        <v>22210</v>
      </c>
      <c r="E4059" s="10" t="s">
        <v>22211</v>
      </c>
      <c r="F4059" s="10" t="s">
        <v>333</v>
      </c>
      <c r="G4059" s="10" t="s">
        <v>6317</v>
      </c>
      <c r="H4059" s="11">
        <v>38526</v>
      </c>
      <c r="I4059" s="10">
        <v>2005</v>
      </c>
      <c r="J4059" s="10" t="s">
        <v>22211</v>
      </c>
      <c r="K4059" s="10">
        <v>129</v>
      </c>
      <c r="L4059" s="10" t="s">
        <v>23161</v>
      </c>
      <c r="M4059" s="10">
        <v>1</v>
      </c>
      <c r="N4059" s="10"/>
      <c r="O4059" s="10"/>
      <c r="P4059" s="10" t="s">
        <v>23162</v>
      </c>
      <c r="Q4059" s="10">
        <v>371.10300000000001</v>
      </c>
      <c r="R4059" s="10"/>
      <c r="S4059" s="10" t="s">
        <v>53</v>
      </c>
      <c r="T4059" s="10" t="s">
        <v>54</v>
      </c>
    </row>
    <row r="4060" spans="1:20" ht="14.5" x14ac:dyDescent="0.35">
      <c r="A4060" s="10" t="s">
        <v>23163</v>
      </c>
      <c r="B4060" s="10" t="str">
        <f>"9781412949484"</f>
        <v>9781412949484</v>
      </c>
      <c r="C4060" s="10" t="str">
        <f>"9781452223018"</f>
        <v>9781452223018</v>
      </c>
      <c r="D4060" s="10" t="s">
        <v>22210</v>
      </c>
      <c r="E4060" s="10" t="s">
        <v>22211</v>
      </c>
      <c r="F4060" s="10" t="s">
        <v>333</v>
      </c>
      <c r="G4060" s="10" t="s">
        <v>6317</v>
      </c>
      <c r="H4060" s="11">
        <v>40674</v>
      </c>
      <c r="I4060" s="10">
        <v>2011</v>
      </c>
      <c r="J4060" s="10" t="s">
        <v>22211</v>
      </c>
      <c r="K4060" s="10">
        <v>121</v>
      </c>
      <c r="L4060" s="10" t="s">
        <v>23164</v>
      </c>
      <c r="M4060" s="10">
        <v>1</v>
      </c>
      <c r="N4060" s="10"/>
      <c r="O4060" s="10"/>
      <c r="P4060" s="10" t="s">
        <v>23165</v>
      </c>
      <c r="Q4060" s="10">
        <v>371.33097299999997</v>
      </c>
      <c r="R4060" s="10"/>
      <c r="S4060" s="10" t="s">
        <v>53</v>
      </c>
      <c r="T4060" s="10" t="s">
        <v>54</v>
      </c>
    </row>
    <row r="4061" spans="1:20" ht="14.5" x14ac:dyDescent="0.35">
      <c r="A4061" s="10" t="s">
        <v>23166</v>
      </c>
      <c r="B4061" s="10" t="str">
        <f>"9780761931256"</f>
        <v>9780761931256</v>
      </c>
      <c r="C4061" s="10" t="str">
        <f>"9781452222172"</f>
        <v>9781452222172</v>
      </c>
      <c r="D4061" s="10" t="s">
        <v>22210</v>
      </c>
      <c r="E4061" s="10" t="s">
        <v>22211</v>
      </c>
      <c r="F4061" s="10" t="s">
        <v>333</v>
      </c>
      <c r="G4061" s="10" t="s">
        <v>6317</v>
      </c>
      <c r="H4061" s="11">
        <v>37924</v>
      </c>
      <c r="I4061" s="10">
        <v>2004</v>
      </c>
      <c r="J4061" s="10" t="s">
        <v>22211</v>
      </c>
      <c r="K4061" s="10">
        <v>97</v>
      </c>
      <c r="L4061" s="10" t="s">
        <v>23167</v>
      </c>
      <c r="M4061" s="10">
        <v>1</v>
      </c>
      <c r="N4061" s="10"/>
      <c r="O4061" s="10"/>
      <c r="P4061" s="10" t="s">
        <v>23168</v>
      </c>
      <c r="Q4061" s="10"/>
      <c r="R4061" s="10"/>
      <c r="S4061" s="10" t="s">
        <v>53</v>
      </c>
      <c r="T4061" s="10" t="s">
        <v>54</v>
      </c>
    </row>
    <row r="4062" spans="1:20" ht="14.5" x14ac:dyDescent="0.35">
      <c r="A4062" s="10" t="s">
        <v>23169</v>
      </c>
      <c r="B4062" s="10" t="str">
        <f>"9781412957779"</f>
        <v>9781412957779</v>
      </c>
      <c r="C4062" s="10" t="str">
        <f>"9781452223155"</f>
        <v>9781452223155</v>
      </c>
      <c r="D4062" s="10" t="s">
        <v>22210</v>
      </c>
      <c r="E4062" s="10" t="s">
        <v>22211</v>
      </c>
      <c r="F4062" s="10" t="s">
        <v>333</v>
      </c>
      <c r="G4062" s="10" t="s">
        <v>6317</v>
      </c>
      <c r="H4062" s="11">
        <v>39750</v>
      </c>
      <c r="I4062" s="10">
        <v>2009</v>
      </c>
      <c r="J4062" s="10" t="s">
        <v>22211</v>
      </c>
      <c r="K4062" s="10">
        <v>345</v>
      </c>
      <c r="L4062" s="10" t="s">
        <v>23170</v>
      </c>
      <c r="M4062" s="10">
        <v>1</v>
      </c>
      <c r="N4062" s="10"/>
      <c r="O4062" s="10"/>
      <c r="P4062" s="10" t="s">
        <v>23171</v>
      </c>
      <c r="Q4062" s="10">
        <v>371.95</v>
      </c>
      <c r="R4062" s="10"/>
      <c r="S4062" s="10" t="s">
        <v>53</v>
      </c>
      <c r="T4062" s="10" t="s">
        <v>54</v>
      </c>
    </row>
    <row r="4063" spans="1:20" ht="14.5" x14ac:dyDescent="0.35">
      <c r="A4063" s="10" t="s">
        <v>23172</v>
      </c>
      <c r="B4063" s="10" t="str">
        <f>"9781412976510"</f>
        <v>9781412976510</v>
      </c>
      <c r="C4063" s="10" t="str">
        <f>"9781452223575"</f>
        <v>9781452223575</v>
      </c>
      <c r="D4063" s="10" t="s">
        <v>22210</v>
      </c>
      <c r="E4063" s="10" t="s">
        <v>22211</v>
      </c>
      <c r="F4063" s="10" t="s">
        <v>333</v>
      </c>
      <c r="G4063" s="10" t="s">
        <v>6317</v>
      </c>
      <c r="H4063" s="11">
        <v>40471</v>
      </c>
      <c r="I4063" s="10">
        <v>2011</v>
      </c>
      <c r="J4063" s="10" t="s">
        <v>22211</v>
      </c>
      <c r="K4063" s="10">
        <v>401</v>
      </c>
      <c r="L4063" s="10" t="s">
        <v>23173</v>
      </c>
      <c r="M4063" s="10">
        <v>1</v>
      </c>
      <c r="N4063" s="10"/>
      <c r="O4063" s="10"/>
      <c r="P4063" s="10"/>
      <c r="Q4063" s="10">
        <v>371.10199999999998</v>
      </c>
      <c r="R4063" s="10"/>
      <c r="S4063" s="10" t="s">
        <v>53</v>
      </c>
      <c r="T4063" s="10" t="s">
        <v>54</v>
      </c>
    </row>
    <row r="4064" spans="1:20" ht="14.5" x14ac:dyDescent="0.35">
      <c r="A4064" s="10" t="s">
        <v>23174</v>
      </c>
      <c r="B4064" s="10" t="str">
        <f>"9781412975032"</f>
        <v>9781412975032</v>
      </c>
      <c r="C4064" s="10" t="str">
        <f>"9781452223599"</f>
        <v>9781452223599</v>
      </c>
      <c r="D4064" s="10" t="s">
        <v>22210</v>
      </c>
      <c r="E4064" s="10" t="s">
        <v>22211</v>
      </c>
      <c r="F4064" s="10" t="s">
        <v>333</v>
      </c>
      <c r="G4064" s="10" t="s">
        <v>6317</v>
      </c>
      <c r="H4064" s="11">
        <v>40471</v>
      </c>
      <c r="I4064" s="10">
        <v>2011</v>
      </c>
      <c r="J4064" s="10" t="s">
        <v>22211</v>
      </c>
      <c r="K4064" s="10">
        <v>169</v>
      </c>
      <c r="L4064" s="10" t="s">
        <v>23175</v>
      </c>
      <c r="M4064" s="10">
        <v>1</v>
      </c>
      <c r="N4064" s="10"/>
      <c r="O4064" s="10"/>
      <c r="P4064" s="10" t="s">
        <v>23176</v>
      </c>
      <c r="Q4064" s="10">
        <v>507.1</v>
      </c>
      <c r="R4064" s="10"/>
      <c r="S4064" s="10" t="s">
        <v>53</v>
      </c>
      <c r="T4064" s="10" t="s">
        <v>6800</v>
      </c>
    </row>
    <row r="4065" spans="1:20" ht="14.5" x14ac:dyDescent="0.35">
      <c r="A4065" s="10" t="s">
        <v>23177</v>
      </c>
      <c r="B4065" s="10" t="str">
        <f>"9781412975018"</f>
        <v>9781412975018</v>
      </c>
      <c r="C4065" s="10" t="str">
        <f>"9781452223629"</f>
        <v>9781452223629</v>
      </c>
      <c r="D4065" s="10" t="s">
        <v>22210</v>
      </c>
      <c r="E4065" s="10" t="s">
        <v>22211</v>
      </c>
      <c r="F4065" s="10" t="s">
        <v>333</v>
      </c>
      <c r="G4065" s="10" t="s">
        <v>6317</v>
      </c>
      <c r="H4065" s="11">
        <v>40519</v>
      </c>
      <c r="I4065" s="10">
        <v>2011</v>
      </c>
      <c r="J4065" s="10" t="s">
        <v>22211</v>
      </c>
      <c r="K4065" s="10">
        <v>313</v>
      </c>
      <c r="L4065" s="10" t="s">
        <v>23178</v>
      </c>
      <c r="M4065" s="10">
        <v>1</v>
      </c>
      <c r="N4065" s="10"/>
      <c r="O4065" s="10"/>
      <c r="P4065" s="10"/>
      <c r="Q4065" s="10"/>
      <c r="R4065" s="10"/>
      <c r="S4065" s="10" t="s">
        <v>53</v>
      </c>
      <c r="T4065" s="10" t="s">
        <v>54</v>
      </c>
    </row>
    <row r="4066" spans="1:20" ht="14.5" x14ac:dyDescent="0.35">
      <c r="A4066" s="10" t="s">
        <v>23179</v>
      </c>
      <c r="B4066" s="10" t="str">
        <f>"9780761988984"</f>
        <v>9780761988984</v>
      </c>
      <c r="C4066" s="10" t="str">
        <f>"9781452222257"</f>
        <v>9781452222257</v>
      </c>
      <c r="D4066" s="10" t="s">
        <v>22210</v>
      </c>
      <c r="E4066" s="10" t="s">
        <v>22211</v>
      </c>
      <c r="F4066" s="10" t="s">
        <v>333</v>
      </c>
      <c r="G4066" s="10" t="s">
        <v>6317</v>
      </c>
      <c r="H4066" s="11">
        <v>38159</v>
      </c>
      <c r="I4066" s="10">
        <v>2005</v>
      </c>
      <c r="J4066" s="10" t="s">
        <v>22211</v>
      </c>
      <c r="K4066" s="10">
        <v>169</v>
      </c>
      <c r="L4066" s="10" t="s">
        <v>23180</v>
      </c>
      <c r="M4066" s="10">
        <v>1</v>
      </c>
      <c r="N4066" s="10"/>
      <c r="O4066" s="10"/>
      <c r="P4066" s="10" t="s">
        <v>23181</v>
      </c>
      <c r="Q4066" s="10">
        <v>371.10300000000001</v>
      </c>
      <c r="R4066" s="10"/>
      <c r="S4066" s="10" t="s">
        <v>53</v>
      </c>
      <c r="T4066" s="10" t="s">
        <v>54</v>
      </c>
    </row>
    <row r="4067" spans="1:20" ht="14.5" x14ac:dyDescent="0.35">
      <c r="A4067" s="10" t="s">
        <v>23182</v>
      </c>
      <c r="B4067" s="10" t="str">
        <f>"9781412989015"</f>
        <v>9781412989015</v>
      </c>
      <c r="C4067" s="10" t="str">
        <f>"9781452224336"</f>
        <v>9781452224336</v>
      </c>
      <c r="D4067" s="10" t="s">
        <v>22210</v>
      </c>
      <c r="E4067" s="10" t="s">
        <v>22211</v>
      </c>
      <c r="F4067" s="10" t="s">
        <v>333</v>
      </c>
      <c r="G4067" s="10" t="s">
        <v>6317</v>
      </c>
      <c r="H4067" s="11">
        <v>40409</v>
      </c>
      <c r="I4067" s="10">
        <v>2010</v>
      </c>
      <c r="J4067" s="10" t="s">
        <v>22211</v>
      </c>
      <c r="K4067" s="10">
        <v>153</v>
      </c>
      <c r="L4067" s="10" t="s">
        <v>22356</v>
      </c>
      <c r="M4067" s="10">
        <v>1</v>
      </c>
      <c r="N4067" s="10"/>
      <c r="O4067" s="10"/>
      <c r="P4067" s="10" t="s">
        <v>23183</v>
      </c>
      <c r="Q4067" s="10" t="s">
        <v>15602</v>
      </c>
      <c r="R4067" s="10"/>
      <c r="S4067" s="10" t="s">
        <v>53</v>
      </c>
      <c r="T4067" s="10" t="s">
        <v>54</v>
      </c>
    </row>
    <row r="4068" spans="1:20" ht="14.5" x14ac:dyDescent="0.35">
      <c r="A4068" s="10" t="s">
        <v>23184</v>
      </c>
      <c r="B4068" s="10" t="str">
        <f>"9781412972710"</f>
        <v>9781412972710</v>
      </c>
      <c r="C4068" s="10" t="str">
        <f>"9781452223483"</f>
        <v>9781452223483</v>
      </c>
      <c r="D4068" s="10" t="s">
        <v>22210</v>
      </c>
      <c r="E4068" s="10" t="s">
        <v>22211</v>
      </c>
      <c r="F4068" s="10" t="s">
        <v>333</v>
      </c>
      <c r="G4068" s="10" t="s">
        <v>6317</v>
      </c>
      <c r="H4068" s="11">
        <v>40141</v>
      </c>
      <c r="I4068" s="10">
        <v>2010</v>
      </c>
      <c r="J4068" s="10" t="s">
        <v>22211</v>
      </c>
      <c r="K4068" s="10">
        <v>241</v>
      </c>
      <c r="L4068" s="10" t="s">
        <v>23185</v>
      </c>
      <c r="M4068" s="10">
        <v>1</v>
      </c>
      <c r="N4068" s="10"/>
      <c r="O4068" s="10"/>
      <c r="P4068" s="10" t="s">
        <v>23186</v>
      </c>
      <c r="Q4068" s="10" t="s">
        <v>10094</v>
      </c>
      <c r="R4068" s="10"/>
      <c r="S4068" s="10" t="s">
        <v>53</v>
      </c>
      <c r="T4068" s="10" t="s">
        <v>54</v>
      </c>
    </row>
    <row r="4069" spans="1:20" ht="14.5" x14ac:dyDescent="0.35">
      <c r="A4069" s="10" t="s">
        <v>23187</v>
      </c>
      <c r="B4069" s="10" t="str">
        <f>"9781412978484"</f>
        <v>9781412978484</v>
      </c>
      <c r="C4069" s="10" t="str">
        <f>"9781452223803"</f>
        <v>9781452223803</v>
      </c>
      <c r="D4069" s="10" t="s">
        <v>22210</v>
      </c>
      <c r="E4069" s="10" t="s">
        <v>22211</v>
      </c>
      <c r="F4069" s="10" t="s">
        <v>333</v>
      </c>
      <c r="G4069" s="10" t="s">
        <v>6317</v>
      </c>
      <c r="H4069" s="11">
        <v>40463</v>
      </c>
      <c r="I4069" s="10">
        <v>2011</v>
      </c>
      <c r="J4069" s="10" t="s">
        <v>22211</v>
      </c>
      <c r="K4069" s="10">
        <v>177</v>
      </c>
      <c r="L4069" s="10" t="s">
        <v>23188</v>
      </c>
      <c r="M4069" s="10">
        <v>1</v>
      </c>
      <c r="N4069" s="10"/>
      <c r="O4069" s="10"/>
      <c r="P4069" s="10"/>
      <c r="Q4069" s="10">
        <v>370.11709730000001</v>
      </c>
      <c r="R4069" s="10"/>
      <c r="S4069" s="10" t="s">
        <v>53</v>
      </c>
      <c r="T4069" s="10" t="s">
        <v>54</v>
      </c>
    </row>
    <row r="4070" spans="1:20" ht="14.5" x14ac:dyDescent="0.35">
      <c r="A4070" s="10" t="s">
        <v>23189</v>
      </c>
      <c r="B4070" s="10" t="str">
        <f>"9780761988786"</f>
        <v>9780761988786</v>
      </c>
      <c r="C4070" s="10" t="str">
        <f>"9781452222271"</f>
        <v>9781452222271</v>
      </c>
      <c r="D4070" s="10" t="s">
        <v>22210</v>
      </c>
      <c r="E4070" s="10" t="s">
        <v>22211</v>
      </c>
      <c r="F4070" s="10" t="s">
        <v>333</v>
      </c>
      <c r="G4070" s="10" t="s">
        <v>6317</v>
      </c>
      <c r="H4070" s="11">
        <v>38372</v>
      </c>
      <c r="I4070" s="10">
        <v>2005</v>
      </c>
      <c r="J4070" s="10" t="s">
        <v>22211</v>
      </c>
      <c r="K4070" s="10">
        <v>193</v>
      </c>
      <c r="L4070" s="10" t="s">
        <v>23190</v>
      </c>
      <c r="M4070" s="10">
        <v>1</v>
      </c>
      <c r="N4070" s="10"/>
      <c r="O4070" s="10"/>
      <c r="P4070" s="10" t="s">
        <v>23191</v>
      </c>
      <c r="Q4070" s="10" t="s">
        <v>23192</v>
      </c>
      <c r="R4070" s="10"/>
      <c r="S4070" s="10" t="s">
        <v>53</v>
      </c>
      <c r="T4070" s="10" t="s">
        <v>54</v>
      </c>
    </row>
    <row r="4071" spans="1:20" ht="14.5" x14ac:dyDescent="0.35">
      <c r="A4071" s="10" t="s">
        <v>23193</v>
      </c>
      <c r="B4071" s="10" t="str">
        <f>"9781412978095"</f>
        <v>9781412978095</v>
      </c>
      <c r="C4071" s="10" t="str">
        <f>"9781452223612"</f>
        <v>9781452223612</v>
      </c>
      <c r="D4071" s="10" t="s">
        <v>22210</v>
      </c>
      <c r="E4071" s="10" t="s">
        <v>22211</v>
      </c>
      <c r="F4071" s="10" t="s">
        <v>333</v>
      </c>
      <c r="G4071" s="10" t="s">
        <v>6317</v>
      </c>
      <c r="H4071" s="11">
        <v>40473</v>
      </c>
      <c r="I4071" s="10">
        <v>2011</v>
      </c>
      <c r="J4071" s="10" t="s">
        <v>22211</v>
      </c>
      <c r="K4071" s="10">
        <v>225</v>
      </c>
      <c r="L4071" s="10" t="s">
        <v>23194</v>
      </c>
      <c r="M4071" s="10">
        <v>3</v>
      </c>
      <c r="N4071" s="10"/>
      <c r="O4071" s="10"/>
      <c r="P4071" s="10"/>
      <c r="Q4071" s="10"/>
      <c r="R4071" s="10"/>
      <c r="S4071" s="10" t="s">
        <v>53</v>
      </c>
      <c r="T4071" s="10" t="s">
        <v>54</v>
      </c>
    </row>
    <row r="4072" spans="1:20" ht="14.5" x14ac:dyDescent="0.35">
      <c r="A4072" s="10" t="s">
        <v>23195</v>
      </c>
      <c r="B4072" s="10" t="str">
        <f>"9781412988346"</f>
        <v>9781412988346</v>
      </c>
      <c r="C4072" s="10" t="str">
        <f>"9781452224282"</f>
        <v>9781452224282</v>
      </c>
      <c r="D4072" s="10" t="s">
        <v>22210</v>
      </c>
      <c r="E4072" s="10" t="s">
        <v>22211</v>
      </c>
      <c r="F4072" s="10" t="s">
        <v>333</v>
      </c>
      <c r="G4072" s="10" t="s">
        <v>6317</v>
      </c>
      <c r="H4072" s="11">
        <v>40455</v>
      </c>
      <c r="I4072" s="10">
        <v>2011</v>
      </c>
      <c r="J4072" s="10" t="s">
        <v>22211</v>
      </c>
      <c r="K4072" s="10">
        <v>289</v>
      </c>
      <c r="L4072" s="10" t="s">
        <v>23196</v>
      </c>
      <c r="M4072" s="10">
        <v>1</v>
      </c>
      <c r="N4072" s="10"/>
      <c r="O4072" s="10"/>
      <c r="P4072" s="10"/>
      <c r="Q4072" s="10" t="s">
        <v>23197</v>
      </c>
      <c r="R4072" s="10"/>
      <c r="S4072" s="10" t="s">
        <v>53</v>
      </c>
      <c r="T4072" s="10" t="s">
        <v>6616</v>
      </c>
    </row>
    <row r="4073" spans="1:20" ht="14.5" x14ac:dyDescent="0.35">
      <c r="A4073" s="10" t="s">
        <v>23198</v>
      </c>
      <c r="B4073" s="10" t="str">
        <f>"9781412936835"</f>
        <v>9781412936835</v>
      </c>
      <c r="C4073" s="10" t="str">
        <f>"9781452222844"</f>
        <v>9781452222844</v>
      </c>
      <c r="D4073" s="10" t="s">
        <v>22210</v>
      </c>
      <c r="E4073" s="10" t="s">
        <v>22211</v>
      </c>
      <c r="F4073" s="10" t="s">
        <v>333</v>
      </c>
      <c r="G4073" s="10" t="s">
        <v>6317</v>
      </c>
      <c r="H4073" s="11">
        <v>39100</v>
      </c>
      <c r="I4073" s="10">
        <v>2007</v>
      </c>
      <c r="J4073" s="10" t="s">
        <v>22211</v>
      </c>
      <c r="K4073" s="10">
        <v>169</v>
      </c>
      <c r="L4073" s="10" t="s">
        <v>23199</v>
      </c>
      <c r="M4073" s="10">
        <v>1</v>
      </c>
      <c r="N4073" s="10"/>
      <c r="O4073" s="10"/>
      <c r="P4073" s="10" t="s">
        <v>23200</v>
      </c>
      <c r="Q4073" s="10"/>
      <c r="R4073" s="10"/>
      <c r="S4073" s="10" t="s">
        <v>53</v>
      </c>
      <c r="T4073" s="10" t="s">
        <v>6384</v>
      </c>
    </row>
    <row r="4074" spans="1:20" ht="14.5" x14ac:dyDescent="0.35">
      <c r="A4074" s="10" t="s">
        <v>23201</v>
      </c>
      <c r="B4074" s="10" t="str">
        <f>"9781412979788"</f>
        <v>9781412979788</v>
      </c>
      <c r="C4074" s="10" t="str">
        <f>"9781452223810"</f>
        <v>9781452223810</v>
      </c>
      <c r="D4074" s="10" t="s">
        <v>22210</v>
      </c>
      <c r="E4074" s="10" t="s">
        <v>22211</v>
      </c>
      <c r="F4074" s="10" t="s">
        <v>333</v>
      </c>
      <c r="G4074" s="10" t="s">
        <v>6317</v>
      </c>
      <c r="H4074" s="11">
        <v>40441</v>
      </c>
      <c r="I4074" s="10">
        <v>2010</v>
      </c>
      <c r="J4074" s="10" t="s">
        <v>22211</v>
      </c>
      <c r="K4074" s="10">
        <v>209</v>
      </c>
      <c r="L4074" s="10" t="s">
        <v>22287</v>
      </c>
      <c r="M4074" s="10">
        <v>1</v>
      </c>
      <c r="N4074" s="10"/>
      <c r="O4074" s="10"/>
      <c r="P4074" s="10"/>
      <c r="Q4074" s="10" t="s">
        <v>11202</v>
      </c>
      <c r="R4074" s="10"/>
      <c r="S4074" s="10" t="s">
        <v>53</v>
      </c>
      <c r="T4074" s="10" t="s">
        <v>54</v>
      </c>
    </row>
    <row r="4075" spans="1:20" ht="14.5" x14ac:dyDescent="0.35">
      <c r="A4075" s="10" t="s">
        <v>23202</v>
      </c>
      <c r="B4075" s="10" t="str">
        <f>"9781412906470"</f>
        <v>9781412906470</v>
      </c>
      <c r="C4075" s="10" t="str">
        <f>"9781452222424"</f>
        <v>9781452222424</v>
      </c>
      <c r="D4075" s="10" t="s">
        <v>22210</v>
      </c>
      <c r="E4075" s="10" t="s">
        <v>22211</v>
      </c>
      <c r="F4075" s="10" t="s">
        <v>333</v>
      </c>
      <c r="G4075" s="10" t="s">
        <v>6317</v>
      </c>
      <c r="H4075" s="11">
        <v>38434</v>
      </c>
      <c r="I4075" s="10">
        <v>2005</v>
      </c>
      <c r="J4075" s="10" t="s">
        <v>22211</v>
      </c>
      <c r="K4075" s="10">
        <v>217</v>
      </c>
      <c r="L4075" s="10" t="s">
        <v>23203</v>
      </c>
      <c r="M4075" s="10">
        <v>1</v>
      </c>
      <c r="N4075" s="10"/>
      <c r="O4075" s="10"/>
      <c r="P4075" s="10" t="s">
        <v>23204</v>
      </c>
      <c r="Q4075" s="10">
        <v>372.12011999999999</v>
      </c>
      <c r="R4075" s="10"/>
      <c r="S4075" s="10" t="s">
        <v>53</v>
      </c>
      <c r="T4075" s="10" t="s">
        <v>54</v>
      </c>
    </row>
    <row r="4076" spans="1:20" ht="14.5" x14ac:dyDescent="0.35">
      <c r="A4076" s="10" t="s">
        <v>23205</v>
      </c>
      <c r="B4076" s="10" t="str">
        <f>"9781412926508"</f>
        <v>9781412926508</v>
      </c>
      <c r="C4076" s="10" t="str">
        <f>"9781452222776"</f>
        <v>9781452222776</v>
      </c>
      <c r="D4076" s="10" t="s">
        <v>22210</v>
      </c>
      <c r="E4076" s="10" t="s">
        <v>22211</v>
      </c>
      <c r="F4076" s="10" t="s">
        <v>333</v>
      </c>
      <c r="G4076" s="10" t="s">
        <v>6317</v>
      </c>
      <c r="H4076" s="11">
        <v>38694</v>
      </c>
      <c r="I4076" s="10">
        <v>2006</v>
      </c>
      <c r="J4076" s="10" t="s">
        <v>22211</v>
      </c>
      <c r="K4076" s="10">
        <v>177</v>
      </c>
      <c r="L4076" s="10" t="s">
        <v>23206</v>
      </c>
      <c r="M4076" s="10">
        <v>2</v>
      </c>
      <c r="N4076" s="10"/>
      <c r="O4076" s="10"/>
      <c r="P4076" s="10" t="s">
        <v>23207</v>
      </c>
      <c r="Q4076" s="10">
        <v>370.97300000000001</v>
      </c>
      <c r="R4076" s="10"/>
      <c r="S4076" s="10" t="s">
        <v>53</v>
      </c>
      <c r="T4076" s="10" t="s">
        <v>54</v>
      </c>
    </row>
    <row r="4077" spans="1:20" ht="14.5" x14ac:dyDescent="0.35">
      <c r="A4077" s="10" t="s">
        <v>23208</v>
      </c>
      <c r="B4077" s="10" t="str">
        <f>"9781412988452"</f>
        <v>9781412988452</v>
      </c>
      <c r="C4077" s="10" t="str">
        <f>"9781452224275"</f>
        <v>9781452224275</v>
      </c>
      <c r="D4077" s="10" t="s">
        <v>22210</v>
      </c>
      <c r="E4077" s="10" t="s">
        <v>22211</v>
      </c>
      <c r="F4077" s="10" t="s">
        <v>333</v>
      </c>
      <c r="G4077" s="10" t="s">
        <v>6317</v>
      </c>
      <c r="H4077" s="11">
        <v>40695</v>
      </c>
      <c r="I4077" s="10">
        <v>2011</v>
      </c>
      <c r="J4077" s="10" t="s">
        <v>22211</v>
      </c>
      <c r="K4077" s="10">
        <v>225</v>
      </c>
      <c r="L4077" s="10" t="s">
        <v>23209</v>
      </c>
      <c r="M4077" s="10">
        <v>1</v>
      </c>
      <c r="N4077" s="10"/>
      <c r="O4077" s="10"/>
      <c r="P4077" s="10" t="s">
        <v>23210</v>
      </c>
      <c r="Q4077" s="10"/>
      <c r="R4077" s="10"/>
      <c r="S4077" s="10" t="s">
        <v>53</v>
      </c>
      <c r="T4077" s="10" t="s">
        <v>54</v>
      </c>
    </row>
    <row r="4078" spans="1:20" ht="14.5" x14ac:dyDescent="0.35">
      <c r="A4078" s="10" t="s">
        <v>23211</v>
      </c>
      <c r="B4078" s="10" t="str">
        <f>"9781412975469"</f>
        <v>9781412975469</v>
      </c>
      <c r="C4078" s="10" t="str">
        <f>"9781452223650"</f>
        <v>9781452223650</v>
      </c>
      <c r="D4078" s="10" t="s">
        <v>22210</v>
      </c>
      <c r="E4078" s="10" t="s">
        <v>22211</v>
      </c>
      <c r="F4078" s="10" t="s">
        <v>333</v>
      </c>
      <c r="G4078" s="10" t="s">
        <v>6317</v>
      </c>
      <c r="H4078" s="11">
        <v>40637</v>
      </c>
      <c r="I4078" s="10">
        <v>2011</v>
      </c>
      <c r="J4078" s="10" t="s">
        <v>22211</v>
      </c>
      <c r="K4078" s="10">
        <v>353</v>
      </c>
      <c r="L4078" s="10" t="s">
        <v>23212</v>
      </c>
      <c r="M4078" s="10">
        <v>1</v>
      </c>
      <c r="N4078" s="10"/>
      <c r="O4078" s="10"/>
      <c r="P4078" s="10"/>
      <c r="Q4078" s="10" t="s">
        <v>23213</v>
      </c>
      <c r="R4078" s="10"/>
      <c r="S4078" s="10" t="s">
        <v>53</v>
      </c>
      <c r="T4078" s="10" t="s">
        <v>5396</v>
      </c>
    </row>
    <row r="4079" spans="1:20" ht="14.5" x14ac:dyDescent="0.35">
      <c r="A4079" s="10" t="s">
        <v>23214</v>
      </c>
      <c r="B4079" s="10" t="str">
        <f>"9781412992084"</f>
        <v>9781412992084</v>
      </c>
      <c r="C4079" s="10" t="str">
        <f>"9781452224428"</f>
        <v>9781452224428</v>
      </c>
      <c r="D4079" s="10" t="s">
        <v>22210</v>
      </c>
      <c r="E4079" s="10" t="s">
        <v>22211</v>
      </c>
      <c r="F4079" s="10" t="s">
        <v>333</v>
      </c>
      <c r="G4079" s="10" t="s">
        <v>6317</v>
      </c>
      <c r="H4079" s="11">
        <v>40501</v>
      </c>
      <c r="I4079" s="10">
        <v>2011</v>
      </c>
      <c r="J4079" s="10" t="s">
        <v>22211</v>
      </c>
      <c r="K4079" s="10">
        <v>161</v>
      </c>
      <c r="L4079" s="10" t="s">
        <v>23215</v>
      </c>
      <c r="M4079" s="10">
        <v>1</v>
      </c>
      <c r="N4079" s="10"/>
      <c r="O4079" s="10"/>
      <c r="P4079" s="10" t="s">
        <v>23216</v>
      </c>
      <c r="Q4079" s="10">
        <v>371.39</v>
      </c>
      <c r="R4079" s="10"/>
      <c r="S4079" s="10" t="s">
        <v>53</v>
      </c>
      <c r="T4079" s="10" t="s">
        <v>54</v>
      </c>
    </row>
    <row r="4080" spans="1:20" ht="14.5" x14ac:dyDescent="0.35">
      <c r="A4080" s="10" t="s">
        <v>23217</v>
      </c>
      <c r="B4080" s="10" t="str">
        <f>"9781412995238"</f>
        <v>9781412995238</v>
      </c>
      <c r="C4080" s="10" t="str">
        <f>"9781452224558"</f>
        <v>9781452224558</v>
      </c>
      <c r="D4080" s="10" t="s">
        <v>22210</v>
      </c>
      <c r="E4080" s="10" t="s">
        <v>22211</v>
      </c>
      <c r="F4080" s="10" t="s">
        <v>333</v>
      </c>
      <c r="G4080" s="10" t="s">
        <v>6317</v>
      </c>
      <c r="H4080" s="11">
        <v>40722</v>
      </c>
      <c r="I4080" s="10">
        <v>2011</v>
      </c>
      <c r="J4080" s="10" t="s">
        <v>22211</v>
      </c>
      <c r="K4080" s="10">
        <v>209</v>
      </c>
      <c r="L4080" s="10" t="s">
        <v>23218</v>
      </c>
      <c r="M4080" s="10">
        <v>1</v>
      </c>
      <c r="N4080" s="10"/>
      <c r="O4080" s="10"/>
      <c r="P4080" s="10"/>
      <c r="Q4080" s="10">
        <v>371.20097299999998</v>
      </c>
      <c r="R4080" s="10"/>
      <c r="S4080" s="10" t="s">
        <v>53</v>
      </c>
      <c r="T4080" s="10" t="s">
        <v>54</v>
      </c>
    </row>
    <row r="4081" spans="1:20" ht="14.5" x14ac:dyDescent="0.35">
      <c r="A4081" s="10" t="s">
        <v>23219</v>
      </c>
      <c r="B4081" s="10" t="str">
        <f>"9781412939881"</f>
        <v>9781412939881</v>
      </c>
      <c r="C4081" s="10" t="str">
        <f>"9781452222745"</f>
        <v>9781452222745</v>
      </c>
      <c r="D4081" s="10" t="s">
        <v>22210</v>
      </c>
      <c r="E4081" s="10" t="s">
        <v>22211</v>
      </c>
      <c r="F4081" s="10" t="s">
        <v>333</v>
      </c>
      <c r="G4081" s="10" t="s">
        <v>6317</v>
      </c>
      <c r="H4081" s="11">
        <v>39071</v>
      </c>
      <c r="I4081" s="10">
        <v>2007</v>
      </c>
      <c r="J4081" s="10" t="s">
        <v>22211</v>
      </c>
      <c r="K4081" s="10">
        <v>233</v>
      </c>
      <c r="L4081" s="10" t="s">
        <v>23220</v>
      </c>
      <c r="M4081" s="10">
        <v>1</v>
      </c>
      <c r="N4081" s="10"/>
      <c r="O4081" s="10"/>
      <c r="P4081" s="10" t="s">
        <v>23221</v>
      </c>
      <c r="Q4081" s="10"/>
      <c r="R4081" s="10"/>
      <c r="S4081" s="10" t="s">
        <v>53</v>
      </c>
      <c r="T4081" s="10" t="s">
        <v>54</v>
      </c>
    </row>
    <row r="4082" spans="1:20" ht="14.5" x14ac:dyDescent="0.35">
      <c r="A4082" s="10" t="s">
        <v>23222</v>
      </c>
      <c r="B4082" s="10" t="str">
        <f>"9781412937153"</f>
        <v>9781412937153</v>
      </c>
      <c r="C4082" s="10" t="str">
        <f>"9781452222851"</f>
        <v>9781452222851</v>
      </c>
      <c r="D4082" s="10" t="s">
        <v>22210</v>
      </c>
      <c r="E4082" s="10" t="s">
        <v>22211</v>
      </c>
      <c r="F4082" s="10" t="s">
        <v>333</v>
      </c>
      <c r="G4082" s="10" t="s">
        <v>6317</v>
      </c>
      <c r="H4082" s="11">
        <v>38910</v>
      </c>
      <c r="I4082" s="10">
        <v>2007</v>
      </c>
      <c r="J4082" s="10" t="s">
        <v>22211</v>
      </c>
      <c r="K4082" s="10">
        <v>177</v>
      </c>
      <c r="L4082" s="10" t="s">
        <v>23223</v>
      </c>
      <c r="M4082" s="10">
        <v>1</v>
      </c>
      <c r="N4082" s="10"/>
      <c r="O4082" s="10"/>
      <c r="P4082" s="10" t="s">
        <v>23224</v>
      </c>
      <c r="Q4082" s="10" t="s">
        <v>21348</v>
      </c>
      <c r="R4082" s="10"/>
      <c r="S4082" s="10" t="s">
        <v>53</v>
      </c>
      <c r="T4082" s="10" t="s">
        <v>54</v>
      </c>
    </row>
    <row r="4083" spans="1:20" ht="14.5" x14ac:dyDescent="0.35">
      <c r="A4083" s="10" t="s">
        <v>23225</v>
      </c>
      <c r="B4083" s="10" t="str">
        <f>"9781412990967"</f>
        <v>9781412990967</v>
      </c>
      <c r="C4083" s="10" t="str">
        <f>"9781452224367"</f>
        <v>9781452224367</v>
      </c>
      <c r="D4083" s="10" t="s">
        <v>22210</v>
      </c>
      <c r="E4083" s="10" t="s">
        <v>22211</v>
      </c>
      <c r="F4083" s="10" t="s">
        <v>333</v>
      </c>
      <c r="G4083" s="10" t="s">
        <v>6317</v>
      </c>
      <c r="H4083" s="11">
        <v>40554</v>
      </c>
      <c r="I4083" s="10">
        <v>2011</v>
      </c>
      <c r="J4083" s="10" t="s">
        <v>22211</v>
      </c>
      <c r="K4083" s="10">
        <v>177</v>
      </c>
      <c r="L4083" s="10" t="s">
        <v>23226</v>
      </c>
      <c r="M4083" s="10">
        <v>1</v>
      </c>
      <c r="N4083" s="10"/>
      <c r="O4083" s="10"/>
      <c r="P4083" s="10" t="s">
        <v>23227</v>
      </c>
      <c r="Q4083" s="10" t="s">
        <v>6920</v>
      </c>
      <c r="R4083" s="10" t="s">
        <v>23228</v>
      </c>
      <c r="S4083" s="10" t="s">
        <v>53</v>
      </c>
      <c r="T4083" s="10" t="s">
        <v>54</v>
      </c>
    </row>
    <row r="4084" spans="1:20" ht="14.5" x14ac:dyDescent="0.35">
      <c r="A4084" s="10" t="s">
        <v>23229</v>
      </c>
      <c r="B4084" s="10" t="str">
        <f>"9781412925273"</f>
        <v>9781412925273</v>
      </c>
      <c r="C4084" s="10" t="str">
        <f>"9781452222707"</f>
        <v>9781452222707</v>
      </c>
      <c r="D4084" s="10" t="s">
        <v>22210</v>
      </c>
      <c r="E4084" s="10" t="s">
        <v>22211</v>
      </c>
      <c r="F4084" s="10" t="s">
        <v>333</v>
      </c>
      <c r="G4084" s="10" t="s">
        <v>6317</v>
      </c>
      <c r="H4084" s="11">
        <v>38603</v>
      </c>
      <c r="I4084" s="10">
        <v>2006</v>
      </c>
      <c r="J4084" s="10" t="s">
        <v>22211</v>
      </c>
      <c r="K4084" s="10">
        <v>393</v>
      </c>
      <c r="L4084" s="10" t="s">
        <v>23230</v>
      </c>
      <c r="M4084" s="10">
        <v>1</v>
      </c>
      <c r="N4084" s="10"/>
      <c r="O4084" s="10"/>
      <c r="P4084" s="10" t="s">
        <v>23231</v>
      </c>
      <c r="Q4084" s="10"/>
      <c r="R4084" s="10"/>
      <c r="S4084" s="10" t="s">
        <v>53</v>
      </c>
      <c r="T4084" s="10" t="s">
        <v>54</v>
      </c>
    </row>
    <row r="4085" spans="1:20" ht="14.5" x14ac:dyDescent="0.35">
      <c r="A4085" s="10" t="s">
        <v>23232</v>
      </c>
      <c r="B4085" s="10" t="str">
        <f>"9781412971171"</f>
        <v>9781412971171</v>
      </c>
      <c r="C4085" s="10" t="str">
        <f>"9781452223285"</f>
        <v>9781452223285</v>
      </c>
      <c r="D4085" s="10" t="s">
        <v>22210</v>
      </c>
      <c r="E4085" s="10" t="s">
        <v>22211</v>
      </c>
      <c r="F4085" s="10" t="s">
        <v>333</v>
      </c>
      <c r="G4085" s="10" t="s">
        <v>6317</v>
      </c>
      <c r="H4085" s="11">
        <v>39912</v>
      </c>
      <c r="I4085" s="10">
        <v>2009</v>
      </c>
      <c r="J4085" s="10" t="s">
        <v>22211</v>
      </c>
      <c r="K4085" s="10">
        <v>153</v>
      </c>
      <c r="L4085" s="10" t="s">
        <v>23233</v>
      </c>
      <c r="M4085" s="10">
        <v>1</v>
      </c>
      <c r="N4085" s="10"/>
      <c r="O4085" s="10"/>
      <c r="P4085" s="10"/>
      <c r="Q4085" s="10" t="s">
        <v>23234</v>
      </c>
      <c r="R4085" s="10"/>
      <c r="S4085" s="10" t="s">
        <v>53</v>
      </c>
      <c r="T4085" s="10" t="s">
        <v>54</v>
      </c>
    </row>
    <row r="4086" spans="1:20" ht="14.5" x14ac:dyDescent="0.35">
      <c r="A4086" s="10" t="s">
        <v>23235</v>
      </c>
      <c r="B4086" s="10" t="str">
        <f>"9781412998765"</f>
        <v>9781412998765</v>
      </c>
      <c r="C4086" s="10" t="str">
        <f>"9781452224664"</f>
        <v>9781452224664</v>
      </c>
      <c r="D4086" s="10" t="s">
        <v>22210</v>
      </c>
      <c r="E4086" s="10" t="s">
        <v>22211</v>
      </c>
      <c r="F4086" s="10" t="s">
        <v>333</v>
      </c>
      <c r="G4086" s="10" t="s">
        <v>6317</v>
      </c>
      <c r="H4086" s="11">
        <v>40696</v>
      </c>
      <c r="I4086" s="10">
        <v>2011</v>
      </c>
      <c r="J4086" s="10" t="s">
        <v>22211</v>
      </c>
      <c r="K4086" s="10">
        <v>145</v>
      </c>
      <c r="L4086" s="10" t="s">
        <v>23236</v>
      </c>
      <c r="M4086" s="10">
        <v>1</v>
      </c>
      <c r="N4086" s="10"/>
      <c r="O4086" s="10"/>
      <c r="P4086" s="10" t="s">
        <v>23237</v>
      </c>
      <c r="Q4086" s="10" t="s">
        <v>8460</v>
      </c>
      <c r="R4086" s="10"/>
      <c r="S4086" s="10" t="s">
        <v>53</v>
      </c>
      <c r="T4086" s="10" t="s">
        <v>54</v>
      </c>
    </row>
    <row r="4087" spans="1:20" ht="14.5" x14ac:dyDescent="0.35">
      <c r="A4087" s="10" t="s">
        <v>23238</v>
      </c>
      <c r="B4087" s="10" t="str">
        <f>"9781412980807"</f>
        <v>9781412980807</v>
      </c>
      <c r="C4087" s="10" t="str">
        <f>"9781452223872"</f>
        <v>9781452223872</v>
      </c>
      <c r="D4087" s="10" t="s">
        <v>22210</v>
      </c>
      <c r="E4087" s="10" t="s">
        <v>22211</v>
      </c>
      <c r="F4087" s="10" t="s">
        <v>333</v>
      </c>
      <c r="G4087" s="10" t="s">
        <v>6317</v>
      </c>
      <c r="H4087" s="11">
        <v>40556</v>
      </c>
      <c r="I4087" s="10">
        <v>2011</v>
      </c>
      <c r="J4087" s="10" t="s">
        <v>22211</v>
      </c>
      <c r="K4087" s="10">
        <v>321</v>
      </c>
      <c r="L4087" s="10" t="s">
        <v>23239</v>
      </c>
      <c r="M4087" s="10">
        <v>1</v>
      </c>
      <c r="N4087" s="10"/>
      <c r="O4087" s="10"/>
      <c r="P4087" s="10" t="s">
        <v>23240</v>
      </c>
      <c r="Q4087" s="10" t="s">
        <v>9360</v>
      </c>
      <c r="R4087" s="10"/>
      <c r="S4087" s="10" t="s">
        <v>53</v>
      </c>
      <c r="T4087" s="10" t="s">
        <v>54</v>
      </c>
    </row>
    <row r="4088" spans="1:20" ht="14.5" x14ac:dyDescent="0.35">
      <c r="A4088" s="10" t="s">
        <v>23241</v>
      </c>
      <c r="B4088" s="10" t="str">
        <f>"9781412995177"</f>
        <v>9781412995177</v>
      </c>
      <c r="C4088" s="10" t="str">
        <f>"9781452224527"</f>
        <v>9781452224527</v>
      </c>
      <c r="D4088" s="10" t="s">
        <v>22210</v>
      </c>
      <c r="E4088" s="10" t="s">
        <v>22211</v>
      </c>
      <c r="F4088" s="10" t="s">
        <v>333</v>
      </c>
      <c r="G4088" s="10" t="s">
        <v>6317</v>
      </c>
      <c r="H4088" s="11">
        <v>40730</v>
      </c>
      <c r="I4088" s="10">
        <v>2011</v>
      </c>
      <c r="J4088" s="10" t="s">
        <v>22211</v>
      </c>
      <c r="K4088" s="10">
        <v>185</v>
      </c>
      <c r="L4088" s="10" t="s">
        <v>23242</v>
      </c>
      <c r="M4088" s="10">
        <v>1</v>
      </c>
      <c r="N4088" s="10"/>
      <c r="O4088" s="10"/>
      <c r="P4088" s="10" t="s">
        <v>23243</v>
      </c>
      <c r="Q4088" s="10">
        <v>379.26097299999998</v>
      </c>
      <c r="R4088" s="10"/>
      <c r="S4088" s="10" t="s">
        <v>53</v>
      </c>
      <c r="T4088" s="10" t="s">
        <v>54</v>
      </c>
    </row>
    <row r="4089" spans="1:20" ht="14.5" x14ac:dyDescent="0.35">
      <c r="A4089" s="10" t="s">
        <v>23244</v>
      </c>
      <c r="B4089" s="10" t="str">
        <f>"9781412963831"</f>
        <v>9781412963831</v>
      </c>
      <c r="C4089" s="10" t="str">
        <f>"9781452223230"</f>
        <v>9781452223230</v>
      </c>
      <c r="D4089" s="10" t="s">
        <v>22210</v>
      </c>
      <c r="E4089" s="10" t="s">
        <v>22211</v>
      </c>
      <c r="F4089" s="10" t="s">
        <v>333</v>
      </c>
      <c r="G4089" s="10" t="s">
        <v>6317</v>
      </c>
      <c r="H4089" s="11">
        <v>40554</v>
      </c>
      <c r="I4089" s="10">
        <v>2011</v>
      </c>
      <c r="J4089" s="10" t="s">
        <v>22211</v>
      </c>
      <c r="K4089" s="10">
        <v>281</v>
      </c>
      <c r="L4089" s="10" t="s">
        <v>23245</v>
      </c>
      <c r="M4089" s="10">
        <v>1</v>
      </c>
      <c r="N4089" s="10"/>
      <c r="O4089" s="10"/>
      <c r="P4089" s="10" t="s">
        <v>23246</v>
      </c>
      <c r="Q4089" s="10">
        <v>372.19</v>
      </c>
      <c r="R4089" s="10"/>
      <c r="S4089" s="10" t="s">
        <v>53</v>
      </c>
      <c r="T4089" s="10" t="s">
        <v>54</v>
      </c>
    </row>
    <row r="4090" spans="1:20" ht="14.5" x14ac:dyDescent="0.35">
      <c r="A4090" s="10" t="s">
        <v>23247</v>
      </c>
      <c r="B4090" s="10" t="str">
        <f>"9781412987059"</f>
        <v>9781412987059</v>
      </c>
      <c r="C4090" s="10" t="str">
        <f>"9781452224060"</f>
        <v>9781452224060</v>
      </c>
      <c r="D4090" s="10" t="s">
        <v>22210</v>
      </c>
      <c r="E4090" s="10" t="s">
        <v>22211</v>
      </c>
      <c r="F4090" s="10" t="s">
        <v>333</v>
      </c>
      <c r="G4090" s="10" t="s">
        <v>6317</v>
      </c>
      <c r="H4090" s="11">
        <v>40501</v>
      </c>
      <c r="I4090" s="10">
        <v>2011</v>
      </c>
      <c r="J4090" s="10" t="s">
        <v>22211</v>
      </c>
      <c r="K4090" s="10">
        <v>257</v>
      </c>
      <c r="L4090" s="10" t="s">
        <v>23248</v>
      </c>
      <c r="M4090" s="10">
        <v>1</v>
      </c>
      <c r="N4090" s="10"/>
      <c r="O4090" s="10"/>
      <c r="P4090" s="10" t="s">
        <v>23249</v>
      </c>
      <c r="Q4090" s="10">
        <v>372.7</v>
      </c>
      <c r="R4090" s="10"/>
      <c r="S4090" s="10" t="s">
        <v>53</v>
      </c>
      <c r="T4090" s="10" t="s">
        <v>7425</v>
      </c>
    </row>
    <row r="4091" spans="1:20" ht="14.5" x14ac:dyDescent="0.35">
      <c r="A4091" s="10" t="s">
        <v>23250</v>
      </c>
      <c r="B4091" s="10" t="str">
        <f>"9781412981729"</f>
        <v>9781412981729</v>
      </c>
      <c r="C4091" s="10" t="str">
        <f>"9781452223841"</f>
        <v>9781452223841</v>
      </c>
      <c r="D4091" s="10" t="s">
        <v>22210</v>
      </c>
      <c r="E4091" s="10" t="s">
        <v>22211</v>
      </c>
      <c r="F4091" s="10" t="s">
        <v>333</v>
      </c>
      <c r="G4091" s="10" t="s">
        <v>6317</v>
      </c>
      <c r="H4091" s="11">
        <v>40590</v>
      </c>
      <c r="I4091" s="10">
        <v>2011</v>
      </c>
      <c r="J4091" s="10" t="s">
        <v>22211</v>
      </c>
      <c r="K4091" s="10">
        <v>145</v>
      </c>
      <c r="L4091" s="10" t="s">
        <v>23251</v>
      </c>
      <c r="M4091" s="10">
        <v>1</v>
      </c>
      <c r="N4091" s="10"/>
      <c r="O4091" s="10"/>
      <c r="P4091" s="10" t="s">
        <v>23252</v>
      </c>
      <c r="Q4091" s="10">
        <v>372.43</v>
      </c>
      <c r="R4091" s="10" t="s">
        <v>23253</v>
      </c>
      <c r="S4091" s="10" t="s">
        <v>53</v>
      </c>
      <c r="T4091" s="10" t="s">
        <v>54</v>
      </c>
    </row>
    <row r="4092" spans="1:20" ht="14.5" x14ac:dyDescent="0.35">
      <c r="A4092" s="10" t="s">
        <v>23254</v>
      </c>
      <c r="B4092" s="10" t="str">
        <f>"9781412993999"</f>
        <v>9781412993999</v>
      </c>
      <c r="C4092" s="10" t="str">
        <f>"9781452224497"</f>
        <v>9781452224497</v>
      </c>
      <c r="D4092" s="10" t="s">
        <v>22210</v>
      </c>
      <c r="E4092" s="10" t="s">
        <v>22211</v>
      </c>
      <c r="F4092" s="10" t="s">
        <v>333</v>
      </c>
      <c r="G4092" s="10" t="s">
        <v>6317</v>
      </c>
      <c r="H4092" s="11">
        <v>40604</v>
      </c>
      <c r="I4092" s="10">
        <v>2011</v>
      </c>
      <c r="J4092" s="10" t="s">
        <v>22211</v>
      </c>
      <c r="K4092" s="10">
        <v>233</v>
      </c>
      <c r="L4092" s="10" t="s">
        <v>23255</v>
      </c>
      <c r="M4092" s="10">
        <v>1</v>
      </c>
      <c r="N4092" s="10"/>
      <c r="O4092" s="10"/>
      <c r="P4092" s="10" t="s">
        <v>23256</v>
      </c>
      <c r="Q4092" s="10" t="s">
        <v>9441</v>
      </c>
      <c r="R4092" s="10" t="s">
        <v>23257</v>
      </c>
      <c r="S4092" s="10" t="s">
        <v>53</v>
      </c>
      <c r="T4092" s="10" t="s">
        <v>54</v>
      </c>
    </row>
    <row r="4093" spans="1:20" ht="14.5" x14ac:dyDescent="0.35">
      <c r="A4093" s="10" t="s">
        <v>23258</v>
      </c>
      <c r="B4093" s="10" t="str">
        <f>"9781412986533"</f>
        <v>9781412986533</v>
      </c>
      <c r="C4093" s="10" t="str">
        <f>"9781452268910"</f>
        <v>9781452268910</v>
      </c>
      <c r="D4093" s="10" t="s">
        <v>22210</v>
      </c>
      <c r="E4093" s="10" t="s">
        <v>22211</v>
      </c>
      <c r="F4093" s="10" t="s">
        <v>333</v>
      </c>
      <c r="G4093" s="10" t="s">
        <v>6317</v>
      </c>
      <c r="H4093" s="11">
        <v>40802</v>
      </c>
      <c r="I4093" s="10">
        <v>2011</v>
      </c>
      <c r="J4093" s="10" t="s">
        <v>22211</v>
      </c>
      <c r="K4093" s="10">
        <v>209</v>
      </c>
      <c r="L4093" s="10" t="s">
        <v>23259</v>
      </c>
      <c r="M4093" s="10">
        <v>1</v>
      </c>
      <c r="N4093" s="10"/>
      <c r="O4093" s="10"/>
      <c r="P4093" s="10" t="s">
        <v>23260</v>
      </c>
      <c r="Q4093" s="10">
        <v>371.20699999999999</v>
      </c>
      <c r="R4093" s="10"/>
      <c r="S4093" s="10" t="s">
        <v>53</v>
      </c>
      <c r="T4093" s="10" t="s">
        <v>54</v>
      </c>
    </row>
    <row r="4094" spans="1:20" ht="14.5" x14ac:dyDescent="0.35">
      <c r="A4094" s="10" t="s">
        <v>23261</v>
      </c>
      <c r="B4094" s="10" t="str">
        <f>"9781412979740"</f>
        <v>9781412979740</v>
      </c>
      <c r="C4094" s="10" t="str">
        <f>"9781452230757"</f>
        <v>9781452230757</v>
      </c>
      <c r="D4094" s="10" t="s">
        <v>22210</v>
      </c>
      <c r="E4094" s="10" t="s">
        <v>22211</v>
      </c>
      <c r="F4094" s="10" t="s">
        <v>333</v>
      </c>
      <c r="G4094" s="10" t="s">
        <v>6317</v>
      </c>
      <c r="H4094" s="11">
        <v>40218</v>
      </c>
      <c r="I4094" s="10">
        <v>2010</v>
      </c>
      <c r="J4094" s="10" t="s">
        <v>22211</v>
      </c>
      <c r="K4094" s="10">
        <v>217</v>
      </c>
      <c r="L4094" s="10" t="s">
        <v>23262</v>
      </c>
      <c r="M4094" s="10">
        <v>1</v>
      </c>
      <c r="N4094" s="10"/>
      <c r="O4094" s="10"/>
      <c r="P4094" s="10"/>
      <c r="Q4094" s="10" t="s">
        <v>8067</v>
      </c>
      <c r="R4094" s="10"/>
      <c r="S4094" s="10" t="s">
        <v>53</v>
      </c>
      <c r="T4094" s="10" t="s">
        <v>54</v>
      </c>
    </row>
    <row r="4095" spans="1:20" ht="14.5" x14ac:dyDescent="0.35">
      <c r="A4095" s="10" t="s">
        <v>23263</v>
      </c>
      <c r="B4095" s="10" t="str">
        <f>"9781412980548"</f>
        <v>9781412980548</v>
      </c>
      <c r="C4095" s="10" t="str">
        <f>"9781452230771"</f>
        <v>9781452230771</v>
      </c>
      <c r="D4095" s="10" t="s">
        <v>22210</v>
      </c>
      <c r="E4095" s="10" t="s">
        <v>22211</v>
      </c>
      <c r="F4095" s="10" t="s">
        <v>333</v>
      </c>
      <c r="G4095" s="10" t="s">
        <v>6317</v>
      </c>
      <c r="H4095" s="11">
        <v>40625</v>
      </c>
      <c r="I4095" s="10">
        <v>2011</v>
      </c>
      <c r="J4095" s="10" t="s">
        <v>22211</v>
      </c>
      <c r="K4095" s="10">
        <v>321</v>
      </c>
      <c r="L4095" s="10" t="s">
        <v>23264</v>
      </c>
      <c r="M4095" s="10">
        <v>1</v>
      </c>
      <c r="N4095" s="10"/>
      <c r="O4095" s="10"/>
      <c r="P4095" s="10"/>
      <c r="Q4095" s="10" t="s">
        <v>23265</v>
      </c>
      <c r="R4095" s="10"/>
      <c r="S4095" s="10" t="s">
        <v>53</v>
      </c>
      <c r="T4095" s="10" t="s">
        <v>54</v>
      </c>
    </row>
    <row r="4096" spans="1:20" ht="14.5" x14ac:dyDescent="0.35">
      <c r="A4096" s="10" t="s">
        <v>23266</v>
      </c>
      <c r="B4096" s="10" t="str">
        <f>"9781412960694"</f>
        <v>9781412960694</v>
      </c>
      <c r="C4096" s="10" t="str">
        <f>"9781452223094"</f>
        <v>9781452223094</v>
      </c>
      <c r="D4096" s="10" t="s">
        <v>22210</v>
      </c>
      <c r="E4096" s="10" t="s">
        <v>22211</v>
      </c>
      <c r="F4096" s="10" t="s">
        <v>333</v>
      </c>
      <c r="G4096" s="10" t="s">
        <v>6317</v>
      </c>
      <c r="H4096" s="11">
        <v>39825</v>
      </c>
      <c r="I4096" s="10">
        <v>2009</v>
      </c>
      <c r="J4096" s="10" t="s">
        <v>22211</v>
      </c>
      <c r="K4096" s="10">
        <v>273</v>
      </c>
      <c r="L4096" s="10" t="s">
        <v>23267</v>
      </c>
      <c r="M4096" s="10">
        <v>2</v>
      </c>
      <c r="N4096" s="10"/>
      <c r="O4096" s="10"/>
      <c r="P4096" s="10" t="s">
        <v>23268</v>
      </c>
      <c r="Q4096" s="10" t="s">
        <v>8596</v>
      </c>
      <c r="R4096" s="10"/>
      <c r="S4096" s="10" t="s">
        <v>53</v>
      </c>
      <c r="T4096" s="10" t="s">
        <v>54</v>
      </c>
    </row>
    <row r="4097" spans="1:20" ht="14.5" x14ac:dyDescent="0.35">
      <c r="A4097" s="10" t="s">
        <v>23269</v>
      </c>
      <c r="B4097" s="10" t="str">
        <f>"9781412992688"</f>
        <v>9781412992688</v>
      </c>
      <c r="C4097" s="10" t="str">
        <f>"9781452224459"</f>
        <v>9781452224459</v>
      </c>
      <c r="D4097" s="10" t="s">
        <v>22210</v>
      </c>
      <c r="E4097" s="10" t="s">
        <v>22211</v>
      </c>
      <c r="F4097" s="10" t="s">
        <v>333</v>
      </c>
      <c r="G4097" s="10" t="s">
        <v>6317</v>
      </c>
      <c r="H4097" s="11">
        <v>40707</v>
      </c>
      <c r="I4097" s="10">
        <v>2011</v>
      </c>
      <c r="J4097" s="10" t="s">
        <v>22211</v>
      </c>
      <c r="K4097" s="10">
        <v>185</v>
      </c>
      <c r="L4097" s="10" t="s">
        <v>23270</v>
      </c>
      <c r="M4097" s="10">
        <v>1</v>
      </c>
      <c r="N4097" s="10"/>
      <c r="O4097" s="10"/>
      <c r="P4097" s="10" t="s">
        <v>23271</v>
      </c>
      <c r="Q4097" s="10" t="s">
        <v>6920</v>
      </c>
      <c r="R4097" s="10" t="s">
        <v>23272</v>
      </c>
      <c r="S4097" s="10" t="s">
        <v>53</v>
      </c>
      <c r="T4097" s="10" t="s">
        <v>54</v>
      </c>
    </row>
    <row r="4098" spans="1:20" ht="14.5" x14ac:dyDescent="0.35">
      <c r="A4098" s="10" t="s">
        <v>23273</v>
      </c>
      <c r="B4098" s="10" t="str">
        <f>"9781412963466"</f>
        <v>9781412963466</v>
      </c>
      <c r="C4098" s="10" t="str">
        <f>"9781452223261"</f>
        <v>9781452223261</v>
      </c>
      <c r="D4098" s="10" t="s">
        <v>22210</v>
      </c>
      <c r="E4098" s="10" t="s">
        <v>22211</v>
      </c>
      <c r="F4098" s="10" t="s">
        <v>333</v>
      </c>
      <c r="G4098" s="10" t="s">
        <v>6317</v>
      </c>
      <c r="H4098" s="11">
        <v>40060</v>
      </c>
      <c r="I4098" s="10">
        <v>2009</v>
      </c>
      <c r="J4098" s="10" t="s">
        <v>22211</v>
      </c>
      <c r="K4098" s="10">
        <v>265</v>
      </c>
      <c r="L4098" s="10" t="s">
        <v>23274</v>
      </c>
      <c r="M4098" s="10">
        <v>1</v>
      </c>
      <c r="N4098" s="10"/>
      <c r="O4098" s="10"/>
      <c r="P4098" s="10" t="s">
        <v>23275</v>
      </c>
      <c r="Q4098" s="10"/>
      <c r="R4098" s="10"/>
      <c r="S4098" s="10" t="s">
        <v>53</v>
      </c>
      <c r="T4098" s="10" t="s">
        <v>54</v>
      </c>
    </row>
    <row r="4099" spans="1:20" ht="14.5" x14ac:dyDescent="0.35">
      <c r="A4099" s="10" t="s">
        <v>23276</v>
      </c>
      <c r="B4099" s="10" t="str">
        <f>"9781412978491"</f>
        <v>9781412978491</v>
      </c>
      <c r="C4099" s="10" t="str">
        <f>"9781452223728"</f>
        <v>9781452223728</v>
      </c>
      <c r="D4099" s="10" t="s">
        <v>22210</v>
      </c>
      <c r="E4099" s="10" t="s">
        <v>22211</v>
      </c>
      <c r="F4099" s="10" t="s">
        <v>333</v>
      </c>
      <c r="G4099" s="10" t="s">
        <v>6317</v>
      </c>
      <c r="H4099" s="11">
        <v>40455</v>
      </c>
      <c r="I4099" s="10">
        <v>2011</v>
      </c>
      <c r="J4099" s="10" t="s">
        <v>22211</v>
      </c>
      <c r="K4099" s="10">
        <v>177</v>
      </c>
      <c r="L4099" s="10" t="s">
        <v>23188</v>
      </c>
      <c r="M4099" s="10">
        <v>1</v>
      </c>
      <c r="N4099" s="10"/>
      <c r="O4099" s="10"/>
      <c r="P4099" s="10" t="s">
        <v>23277</v>
      </c>
      <c r="Q4099" s="10">
        <v>372.01170000000002</v>
      </c>
      <c r="R4099" s="10" t="s">
        <v>23278</v>
      </c>
      <c r="S4099" s="10" t="s">
        <v>53</v>
      </c>
      <c r="T4099" s="10" t="s">
        <v>54</v>
      </c>
    </row>
    <row r="4100" spans="1:20" ht="14.5" x14ac:dyDescent="0.35">
      <c r="A4100" s="10" t="s">
        <v>23279</v>
      </c>
      <c r="B4100" s="10" t="str">
        <f>"9781412987042"</f>
        <v>9781412987042</v>
      </c>
      <c r="C4100" s="10" t="str">
        <f>"9781452224077"</f>
        <v>9781452224077</v>
      </c>
      <c r="D4100" s="10" t="s">
        <v>22210</v>
      </c>
      <c r="E4100" s="10" t="s">
        <v>22211</v>
      </c>
      <c r="F4100" s="10" t="s">
        <v>333</v>
      </c>
      <c r="G4100" s="10" t="s">
        <v>6317</v>
      </c>
      <c r="H4100" s="11">
        <v>40498</v>
      </c>
      <c r="I4100" s="10">
        <v>2011</v>
      </c>
      <c r="J4100" s="10" t="s">
        <v>22211</v>
      </c>
      <c r="K4100" s="10">
        <v>257</v>
      </c>
      <c r="L4100" s="10" t="s">
        <v>23248</v>
      </c>
      <c r="M4100" s="10">
        <v>1</v>
      </c>
      <c r="N4100" s="10"/>
      <c r="O4100" s="10"/>
      <c r="P4100" s="10" t="s">
        <v>23249</v>
      </c>
      <c r="Q4100" s="10">
        <v>372.7</v>
      </c>
      <c r="R4100" s="10"/>
      <c r="S4100" s="10" t="s">
        <v>53</v>
      </c>
      <c r="T4100" s="10" t="s">
        <v>6448</v>
      </c>
    </row>
    <row r="4101" spans="1:20" ht="14.5" x14ac:dyDescent="0.35">
      <c r="A4101" s="10" t="s">
        <v>23280</v>
      </c>
      <c r="B4101" s="10" t="str">
        <f>"9781412969499"</f>
        <v>9781412969499</v>
      </c>
      <c r="C4101" s="10" t="str">
        <f>"9781452223346"</f>
        <v>9781452223346</v>
      </c>
      <c r="D4101" s="10" t="s">
        <v>22210</v>
      </c>
      <c r="E4101" s="10" t="s">
        <v>22211</v>
      </c>
      <c r="F4101" s="10" t="s">
        <v>333</v>
      </c>
      <c r="G4101" s="10" t="s">
        <v>6317</v>
      </c>
      <c r="H4101" s="11">
        <v>40640</v>
      </c>
      <c r="I4101" s="10">
        <v>2011</v>
      </c>
      <c r="J4101" s="10" t="s">
        <v>22211</v>
      </c>
      <c r="K4101" s="10">
        <v>241</v>
      </c>
      <c r="L4101" s="10" t="s">
        <v>23281</v>
      </c>
      <c r="M4101" s="10">
        <v>1</v>
      </c>
      <c r="N4101" s="10"/>
      <c r="O4101" s="10"/>
      <c r="P4101" s="10"/>
      <c r="Q4101" s="10"/>
      <c r="R4101" s="10"/>
      <c r="S4101" s="10" t="s">
        <v>53</v>
      </c>
      <c r="T4101" s="10" t="s">
        <v>54</v>
      </c>
    </row>
    <row r="4102" spans="1:20" ht="14.5" x14ac:dyDescent="0.35">
      <c r="A4102" s="10" t="s">
        <v>23282</v>
      </c>
      <c r="B4102" s="10" t="str">
        <f>"9781412996259"</f>
        <v>9781412996259</v>
      </c>
      <c r="C4102" s="10" t="str">
        <f>"9781452268859"</f>
        <v>9781452268859</v>
      </c>
      <c r="D4102" s="10" t="s">
        <v>22210</v>
      </c>
      <c r="E4102" s="10" t="s">
        <v>22211</v>
      </c>
      <c r="F4102" s="10" t="s">
        <v>333</v>
      </c>
      <c r="G4102" s="10" t="s">
        <v>6317</v>
      </c>
      <c r="H4102" s="11">
        <v>40786</v>
      </c>
      <c r="I4102" s="10">
        <v>2011</v>
      </c>
      <c r="J4102" s="10" t="s">
        <v>22211</v>
      </c>
      <c r="K4102" s="10">
        <v>233</v>
      </c>
      <c r="L4102" s="10" t="s">
        <v>23283</v>
      </c>
      <c r="M4102" s="10">
        <v>1</v>
      </c>
      <c r="N4102" s="10"/>
      <c r="O4102" s="10"/>
      <c r="P4102" s="10"/>
      <c r="Q4102" s="10">
        <v>370.11709730000001</v>
      </c>
      <c r="R4102" s="10"/>
      <c r="S4102" s="10" t="s">
        <v>53</v>
      </c>
      <c r="T4102" s="10" t="s">
        <v>54</v>
      </c>
    </row>
    <row r="4103" spans="1:20" ht="14.5" x14ac:dyDescent="0.35">
      <c r="A4103" s="10" t="s">
        <v>23284</v>
      </c>
      <c r="B4103" s="10" t="str">
        <f>"9781452205908"</f>
        <v>9781452205908</v>
      </c>
      <c r="C4103" s="10" t="str">
        <f>"9781452274300"</f>
        <v>9781452274300</v>
      </c>
      <c r="D4103" s="10" t="s">
        <v>22210</v>
      </c>
      <c r="E4103" s="10" t="s">
        <v>22211</v>
      </c>
      <c r="F4103" s="10" t="s">
        <v>333</v>
      </c>
      <c r="G4103" s="10" t="s">
        <v>6317</v>
      </c>
      <c r="H4103" s="11">
        <v>40974</v>
      </c>
      <c r="I4103" s="10">
        <v>2012</v>
      </c>
      <c r="J4103" s="10" t="s">
        <v>22211</v>
      </c>
      <c r="K4103" s="10">
        <v>137</v>
      </c>
      <c r="L4103" s="10" t="s">
        <v>23285</v>
      </c>
      <c r="M4103" s="10">
        <v>1</v>
      </c>
      <c r="N4103" s="10"/>
      <c r="O4103" s="10"/>
      <c r="P4103" s="10" t="s">
        <v>23286</v>
      </c>
      <c r="Q4103" s="10" t="s">
        <v>23287</v>
      </c>
      <c r="R4103" s="10" t="s">
        <v>23288</v>
      </c>
      <c r="S4103" s="10" t="s">
        <v>53</v>
      </c>
      <c r="T4103" s="10" t="s">
        <v>54</v>
      </c>
    </row>
    <row r="4104" spans="1:20" ht="14.5" x14ac:dyDescent="0.35">
      <c r="A4104" s="10" t="s">
        <v>23289</v>
      </c>
      <c r="B4104" s="10" t="str">
        <f>"9781412993968"</f>
        <v>9781412993968</v>
      </c>
      <c r="C4104" s="10" t="str">
        <f>"9781452279565"</f>
        <v>9781452279565</v>
      </c>
      <c r="D4104" s="10" t="s">
        <v>22210</v>
      </c>
      <c r="E4104" s="10" t="s">
        <v>22211</v>
      </c>
      <c r="F4104" s="10" t="s">
        <v>333</v>
      </c>
      <c r="G4104" s="10" t="s">
        <v>6317</v>
      </c>
      <c r="H4104" s="11">
        <v>41072</v>
      </c>
      <c r="I4104" s="10">
        <v>2012</v>
      </c>
      <c r="J4104" s="10" t="s">
        <v>22211</v>
      </c>
      <c r="K4104" s="10">
        <v>321</v>
      </c>
      <c r="L4104" s="10" t="s">
        <v>23290</v>
      </c>
      <c r="M4104" s="10">
        <v>1</v>
      </c>
      <c r="N4104" s="10"/>
      <c r="O4104" s="10"/>
      <c r="P4104" s="10" t="s">
        <v>23291</v>
      </c>
      <c r="Q4104" s="10" t="s">
        <v>23292</v>
      </c>
      <c r="R4104" s="10" t="s">
        <v>23293</v>
      </c>
      <c r="S4104" s="10" t="s">
        <v>53</v>
      </c>
      <c r="T4104" s="10" t="s">
        <v>54</v>
      </c>
    </row>
    <row r="4105" spans="1:20" ht="14.5" x14ac:dyDescent="0.35">
      <c r="A4105" s="10" t="s">
        <v>23294</v>
      </c>
      <c r="B4105" s="10" t="str">
        <f>"9781452218816"</f>
        <v>9781452218816</v>
      </c>
      <c r="C4105" s="10" t="str">
        <f>"9781452284101"</f>
        <v>9781452284101</v>
      </c>
      <c r="D4105" s="10" t="s">
        <v>22210</v>
      </c>
      <c r="E4105" s="10" t="s">
        <v>22211</v>
      </c>
      <c r="F4105" s="10" t="s">
        <v>333</v>
      </c>
      <c r="G4105" s="10" t="s">
        <v>6317</v>
      </c>
      <c r="H4105" s="11">
        <v>41018</v>
      </c>
      <c r="I4105" s="10">
        <v>2012</v>
      </c>
      <c r="J4105" s="10" t="s">
        <v>22211</v>
      </c>
      <c r="K4105" s="10">
        <v>241</v>
      </c>
      <c r="L4105" s="10" t="s">
        <v>23295</v>
      </c>
      <c r="M4105" s="10">
        <v>1</v>
      </c>
      <c r="N4105" s="10"/>
      <c r="O4105" s="10"/>
      <c r="P4105" s="10" t="s">
        <v>23296</v>
      </c>
      <c r="Q4105" s="10" t="s">
        <v>18744</v>
      </c>
      <c r="R4105" s="10" t="s">
        <v>23297</v>
      </c>
      <c r="S4105" s="10" t="s">
        <v>53</v>
      </c>
      <c r="T4105" s="10" t="s">
        <v>6498</v>
      </c>
    </row>
    <row r="4106" spans="1:20" ht="14.5" x14ac:dyDescent="0.35">
      <c r="A4106" s="10" t="s">
        <v>23298</v>
      </c>
      <c r="B4106" s="10" t="str">
        <f>"9781412926331"</f>
        <v>9781412926331</v>
      </c>
      <c r="C4106" s="10" t="str">
        <f>"9781452222752"</f>
        <v>9781452222752</v>
      </c>
      <c r="D4106" s="10" t="s">
        <v>22210</v>
      </c>
      <c r="E4106" s="10" t="s">
        <v>22211</v>
      </c>
      <c r="F4106" s="10" t="s">
        <v>333</v>
      </c>
      <c r="G4106" s="10" t="s">
        <v>6317</v>
      </c>
      <c r="H4106" s="11">
        <v>38789</v>
      </c>
      <c r="I4106" s="10">
        <v>2006</v>
      </c>
      <c r="J4106" s="10" t="s">
        <v>22211</v>
      </c>
      <c r="K4106" s="10">
        <v>121</v>
      </c>
      <c r="L4106" s="10" t="s">
        <v>23299</v>
      </c>
      <c r="M4106" s="10">
        <v>1</v>
      </c>
      <c r="N4106" s="10"/>
      <c r="O4106" s="10"/>
      <c r="P4106" s="10" t="s">
        <v>23300</v>
      </c>
      <c r="Q4106" s="10"/>
      <c r="R4106" s="10"/>
      <c r="S4106" s="10" t="s">
        <v>53</v>
      </c>
      <c r="T4106" s="10" t="s">
        <v>54</v>
      </c>
    </row>
    <row r="4107" spans="1:20" ht="14.5" x14ac:dyDescent="0.35">
      <c r="A4107" s="10" t="s">
        <v>23301</v>
      </c>
      <c r="B4107" s="10" t="str">
        <f>"9781412940320"</f>
        <v>9781412940320</v>
      </c>
      <c r="C4107" s="10" t="str">
        <f>"9781452222929"</f>
        <v>9781452222929</v>
      </c>
      <c r="D4107" s="10" t="s">
        <v>22210</v>
      </c>
      <c r="E4107" s="10" t="s">
        <v>22211</v>
      </c>
      <c r="F4107" s="10" t="s">
        <v>333</v>
      </c>
      <c r="G4107" s="10" t="s">
        <v>6317</v>
      </c>
      <c r="H4107" s="11">
        <v>39142</v>
      </c>
      <c r="I4107" s="10">
        <v>2007</v>
      </c>
      <c r="J4107" s="10" t="s">
        <v>22211</v>
      </c>
      <c r="K4107" s="10">
        <v>273</v>
      </c>
      <c r="L4107" s="10" t="s">
        <v>23302</v>
      </c>
      <c r="M4107" s="10">
        <v>2</v>
      </c>
      <c r="N4107" s="10"/>
      <c r="O4107" s="10"/>
      <c r="P4107" s="10"/>
      <c r="Q4107" s="10">
        <v>370.72300000000001</v>
      </c>
      <c r="R4107" s="10"/>
      <c r="S4107" s="10" t="s">
        <v>53</v>
      </c>
      <c r="T4107" s="10" t="s">
        <v>54</v>
      </c>
    </row>
    <row r="4108" spans="1:20" ht="14.5" x14ac:dyDescent="0.35">
      <c r="A4108" s="10" t="s">
        <v>23303</v>
      </c>
      <c r="B4108" s="10" t="str">
        <f>"9781412995245"</f>
        <v>9781412995245</v>
      </c>
      <c r="C4108" s="10" t="str">
        <f>"9781452224602"</f>
        <v>9781452224602</v>
      </c>
      <c r="D4108" s="10" t="s">
        <v>22210</v>
      </c>
      <c r="E4108" s="10" t="s">
        <v>22211</v>
      </c>
      <c r="F4108" s="10" t="s">
        <v>333</v>
      </c>
      <c r="G4108" s="10" t="s">
        <v>6317</v>
      </c>
      <c r="H4108" s="11">
        <v>40630</v>
      </c>
      <c r="I4108" s="10">
        <v>2011</v>
      </c>
      <c r="J4108" s="10" t="s">
        <v>22211</v>
      </c>
      <c r="K4108" s="10">
        <v>169</v>
      </c>
      <c r="L4108" s="10" t="s">
        <v>23304</v>
      </c>
      <c r="M4108" s="10">
        <v>1</v>
      </c>
      <c r="N4108" s="10"/>
      <c r="O4108" s="10"/>
      <c r="P4108" s="10" t="s">
        <v>23305</v>
      </c>
      <c r="Q4108" s="10" t="s">
        <v>10085</v>
      </c>
      <c r="R4108" s="10"/>
      <c r="S4108" s="10" t="s">
        <v>53</v>
      </c>
      <c r="T4108" s="10" t="s">
        <v>389</v>
      </c>
    </row>
    <row r="4109" spans="1:20" ht="14.5" x14ac:dyDescent="0.35">
      <c r="A4109" s="10" t="s">
        <v>23306</v>
      </c>
      <c r="B4109" s="10" t="str">
        <f>"9781412974271"</f>
        <v>9781412974271</v>
      </c>
      <c r="C4109" s="10" t="str">
        <f>"9781452230733"</f>
        <v>9781452230733</v>
      </c>
      <c r="D4109" s="10" t="s">
        <v>22210</v>
      </c>
      <c r="E4109" s="10" t="s">
        <v>22211</v>
      </c>
      <c r="F4109" s="10" t="s">
        <v>333</v>
      </c>
      <c r="G4109" s="10" t="s">
        <v>6317</v>
      </c>
      <c r="H4109" s="11">
        <v>40400</v>
      </c>
      <c r="I4109" s="10">
        <v>2010</v>
      </c>
      <c r="J4109" s="10" t="s">
        <v>22211</v>
      </c>
      <c r="K4109" s="10">
        <v>177</v>
      </c>
      <c r="L4109" s="10" t="s">
        <v>23307</v>
      </c>
      <c r="M4109" s="10">
        <v>1</v>
      </c>
      <c r="N4109" s="10"/>
      <c r="O4109" s="10"/>
      <c r="P4109" s="10" t="s">
        <v>23308</v>
      </c>
      <c r="Q4109" s="10"/>
      <c r="R4109" s="10"/>
      <c r="S4109" s="10" t="s">
        <v>53</v>
      </c>
      <c r="T4109" s="10" t="s">
        <v>54</v>
      </c>
    </row>
    <row r="4110" spans="1:20" ht="14.5" x14ac:dyDescent="0.35">
      <c r="A4110" s="10" t="s">
        <v>23309</v>
      </c>
      <c r="B4110" s="10" t="str">
        <f>"9781412986984"</f>
        <v>9781412986984</v>
      </c>
      <c r="C4110" s="10" t="str">
        <f>"9781452269153"</f>
        <v>9781452269153</v>
      </c>
      <c r="D4110" s="10" t="s">
        <v>22210</v>
      </c>
      <c r="E4110" s="10" t="s">
        <v>22211</v>
      </c>
      <c r="F4110" s="10" t="s">
        <v>333</v>
      </c>
      <c r="G4110" s="10" t="s">
        <v>6317</v>
      </c>
      <c r="H4110" s="11">
        <v>40707</v>
      </c>
      <c r="I4110" s="10">
        <v>2011</v>
      </c>
      <c r="J4110" s="10" t="s">
        <v>22211</v>
      </c>
      <c r="K4110" s="10">
        <v>201</v>
      </c>
      <c r="L4110" s="10" t="s">
        <v>23310</v>
      </c>
      <c r="M4110" s="10">
        <v>1</v>
      </c>
      <c r="N4110" s="10"/>
      <c r="O4110" s="10"/>
      <c r="P4110" s="10" t="s">
        <v>23311</v>
      </c>
      <c r="Q4110" s="10">
        <v>371.4</v>
      </c>
      <c r="R4110" s="10" t="s">
        <v>23312</v>
      </c>
      <c r="S4110" s="10" t="s">
        <v>53</v>
      </c>
      <c r="T4110" s="10" t="s">
        <v>54</v>
      </c>
    </row>
    <row r="4111" spans="1:20" ht="14.5" x14ac:dyDescent="0.35">
      <c r="A4111" s="10" t="s">
        <v>23313</v>
      </c>
      <c r="B4111" s="10" t="str">
        <f>"9781412979979"</f>
        <v>9781412979979</v>
      </c>
      <c r="C4111" s="10" t="str">
        <f>"9781452230764"</f>
        <v>9781452230764</v>
      </c>
      <c r="D4111" s="10" t="s">
        <v>22210</v>
      </c>
      <c r="E4111" s="10" t="s">
        <v>22211</v>
      </c>
      <c r="F4111" s="10" t="s">
        <v>333</v>
      </c>
      <c r="G4111" s="10" t="s">
        <v>6317</v>
      </c>
      <c r="H4111" s="11">
        <v>40267</v>
      </c>
      <c r="I4111" s="10">
        <v>2010</v>
      </c>
      <c r="J4111" s="10" t="s">
        <v>22211</v>
      </c>
      <c r="K4111" s="10">
        <v>241</v>
      </c>
      <c r="L4111" s="10" t="s">
        <v>23314</v>
      </c>
      <c r="M4111" s="10">
        <v>1</v>
      </c>
      <c r="N4111" s="10"/>
      <c r="O4111" s="10"/>
      <c r="P4111" s="10" t="s">
        <v>23315</v>
      </c>
      <c r="Q4111" s="10" t="s">
        <v>8460</v>
      </c>
      <c r="R4111" s="10"/>
      <c r="S4111" s="10" t="s">
        <v>53</v>
      </c>
      <c r="T4111" s="10" t="s">
        <v>54</v>
      </c>
    </row>
    <row r="4112" spans="1:20" ht="14.5" x14ac:dyDescent="0.35">
      <c r="A4112" s="10" t="s">
        <v>23316</v>
      </c>
      <c r="B4112" s="10" t="str">
        <f>"9781412973939"</f>
        <v>9781412973939</v>
      </c>
      <c r="C4112" s="10" t="str">
        <f>"9781452230719"</f>
        <v>9781452230719</v>
      </c>
      <c r="D4112" s="10" t="s">
        <v>22210</v>
      </c>
      <c r="E4112" s="10" t="s">
        <v>22211</v>
      </c>
      <c r="F4112" s="10" t="s">
        <v>333</v>
      </c>
      <c r="G4112" s="10" t="s">
        <v>6317</v>
      </c>
      <c r="H4112" s="11">
        <v>40511</v>
      </c>
      <c r="I4112" s="10">
        <v>2011</v>
      </c>
      <c r="J4112" s="10" t="s">
        <v>22211</v>
      </c>
      <c r="K4112" s="10">
        <v>153</v>
      </c>
      <c r="L4112" s="10" t="s">
        <v>23167</v>
      </c>
      <c r="M4112" s="10">
        <v>3</v>
      </c>
      <c r="N4112" s="10"/>
      <c r="O4112" s="10"/>
      <c r="P4112" s="10"/>
      <c r="Q4112" s="10">
        <v>371.10199999999998</v>
      </c>
      <c r="R4112" s="10"/>
      <c r="S4112" s="10" t="s">
        <v>53</v>
      </c>
      <c r="T4112" s="10" t="s">
        <v>54</v>
      </c>
    </row>
    <row r="4113" spans="1:20" ht="14.5" x14ac:dyDescent="0.35">
      <c r="A4113" s="10" t="s">
        <v>23317</v>
      </c>
      <c r="B4113" s="10" t="str">
        <f>"9781412997935"</f>
        <v>9781412997935</v>
      </c>
      <c r="C4113" s="10" t="str">
        <f>"9781452224633"</f>
        <v>9781452224633</v>
      </c>
      <c r="D4113" s="10" t="s">
        <v>22210</v>
      </c>
      <c r="E4113" s="10" t="s">
        <v>22211</v>
      </c>
      <c r="F4113" s="10" t="s">
        <v>333</v>
      </c>
      <c r="G4113" s="10" t="s">
        <v>6317</v>
      </c>
      <c r="H4113" s="11">
        <v>40743</v>
      </c>
      <c r="I4113" s="10">
        <v>2011</v>
      </c>
      <c r="J4113" s="10" t="s">
        <v>22211</v>
      </c>
      <c r="K4113" s="10">
        <v>161</v>
      </c>
      <c r="L4113" s="10" t="s">
        <v>23318</v>
      </c>
      <c r="M4113" s="10">
        <v>1</v>
      </c>
      <c r="N4113" s="10"/>
      <c r="O4113" s="10"/>
      <c r="P4113" s="10" t="s">
        <v>23319</v>
      </c>
      <c r="Q4113" s="10" t="s">
        <v>9757</v>
      </c>
      <c r="R4113" s="10"/>
      <c r="S4113" s="10" t="s">
        <v>53</v>
      </c>
      <c r="T4113" s="10" t="s">
        <v>54</v>
      </c>
    </row>
    <row r="4114" spans="1:20" ht="14.5" x14ac:dyDescent="0.35">
      <c r="A4114" s="10" t="s">
        <v>23320</v>
      </c>
      <c r="B4114" s="10" t="str">
        <f>"9781118511374"</f>
        <v>9781118511374</v>
      </c>
      <c r="C4114" s="10" t="str">
        <f>"9781118520697"</f>
        <v>9781118520697</v>
      </c>
      <c r="D4114" s="10" t="s">
        <v>6322</v>
      </c>
      <c r="E4114" s="10" t="s">
        <v>6323</v>
      </c>
      <c r="F4114" s="10" t="s">
        <v>6339</v>
      </c>
      <c r="G4114" s="10" t="s">
        <v>6317</v>
      </c>
      <c r="H4114" s="11">
        <v>41226</v>
      </c>
      <c r="I4114" s="10">
        <v>2012</v>
      </c>
      <c r="J4114" s="10" t="s">
        <v>6324</v>
      </c>
      <c r="K4114" s="10">
        <v>170</v>
      </c>
      <c r="L4114" s="10" t="s">
        <v>23321</v>
      </c>
      <c r="M4114" s="10">
        <v>1</v>
      </c>
      <c r="N4114" s="10" t="s">
        <v>23322</v>
      </c>
      <c r="O4114" s="10"/>
      <c r="P4114" s="10" t="s">
        <v>23323</v>
      </c>
      <c r="Q4114" s="10">
        <v>378.01600000000002</v>
      </c>
      <c r="R4114" s="10" t="s">
        <v>23324</v>
      </c>
      <c r="S4114" s="10" t="s">
        <v>53</v>
      </c>
      <c r="T4114" s="10" t="s">
        <v>54</v>
      </c>
    </row>
    <row r="4115" spans="1:20" ht="14.5" x14ac:dyDescent="0.35">
      <c r="A4115" s="10" t="s">
        <v>23325</v>
      </c>
      <c r="B4115" s="10" t="str">
        <f>"9781118526750"</f>
        <v>9781118526750</v>
      </c>
      <c r="C4115" s="10" t="str">
        <f>"9781118533505"</f>
        <v>9781118533505</v>
      </c>
      <c r="D4115" s="10" t="s">
        <v>6322</v>
      </c>
      <c r="E4115" s="10" t="s">
        <v>6323</v>
      </c>
      <c r="F4115" s="10" t="s">
        <v>13068</v>
      </c>
      <c r="G4115" s="10" t="s">
        <v>6317</v>
      </c>
      <c r="H4115" s="11">
        <v>41228</v>
      </c>
      <c r="I4115" s="10">
        <v>2012</v>
      </c>
      <c r="J4115" s="10" t="s">
        <v>6324</v>
      </c>
      <c r="K4115" s="10">
        <v>122</v>
      </c>
      <c r="L4115" s="10" t="s">
        <v>23326</v>
      </c>
      <c r="M4115" s="10">
        <v>1</v>
      </c>
      <c r="N4115" s="10" t="s">
        <v>23327</v>
      </c>
      <c r="O4115" s="10"/>
      <c r="P4115" s="10" t="s">
        <v>23328</v>
      </c>
      <c r="Q4115" s="10">
        <v>378.00200000000001</v>
      </c>
      <c r="R4115" s="10" t="s">
        <v>23329</v>
      </c>
      <c r="S4115" s="10" t="s">
        <v>53</v>
      </c>
      <c r="T4115" s="10" t="s">
        <v>54</v>
      </c>
    </row>
    <row r="4116" spans="1:20" ht="14.5" x14ac:dyDescent="0.35">
      <c r="A4116" s="10" t="s">
        <v>23330</v>
      </c>
      <c r="B4116" s="10" t="str">
        <f>"9781441102034"</f>
        <v>9781441102034</v>
      </c>
      <c r="C4116" s="10" t="str">
        <f>"9781441100351"</f>
        <v>9781441100351</v>
      </c>
      <c r="D4116" s="10" t="s">
        <v>13959</v>
      </c>
      <c r="E4116" s="10" t="s">
        <v>13960</v>
      </c>
      <c r="F4116" s="10" t="s">
        <v>139</v>
      </c>
      <c r="G4116" s="10" t="s">
        <v>6352</v>
      </c>
      <c r="H4116" s="11">
        <v>41116</v>
      </c>
      <c r="I4116" s="10">
        <v>2012</v>
      </c>
      <c r="J4116" s="10" t="s">
        <v>13961</v>
      </c>
      <c r="K4116" s="10">
        <v>193</v>
      </c>
      <c r="L4116" s="10" t="s">
        <v>23331</v>
      </c>
      <c r="M4116" s="10">
        <v>1</v>
      </c>
      <c r="N4116" s="10"/>
      <c r="O4116" s="10"/>
      <c r="P4116" s="10" t="s">
        <v>23332</v>
      </c>
      <c r="Q4116" s="10">
        <v>378</v>
      </c>
      <c r="R4116" s="10" t="s">
        <v>22595</v>
      </c>
      <c r="S4116" s="10" t="s">
        <v>53</v>
      </c>
      <c r="T4116" s="10" t="s">
        <v>54</v>
      </c>
    </row>
    <row r="4117" spans="1:20" ht="14.5" x14ac:dyDescent="0.35">
      <c r="A4117" s="10" t="s">
        <v>23333</v>
      </c>
      <c r="B4117" s="10" t="str">
        <f>"9780821397275"</f>
        <v>9780821397275</v>
      </c>
      <c r="C4117" s="10" t="str">
        <f>"9780821397305"</f>
        <v>9780821397305</v>
      </c>
      <c r="D4117" s="10" t="s">
        <v>14731</v>
      </c>
      <c r="E4117" s="10" t="s">
        <v>14732</v>
      </c>
      <c r="F4117" s="10" t="s">
        <v>14733</v>
      </c>
      <c r="G4117" s="10" t="s">
        <v>6317</v>
      </c>
      <c r="H4117" s="11">
        <v>40909</v>
      </c>
      <c r="I4117" s="10">
        <v>2012</v>
      </c>
      <c r="J4117" s="10" t="s">
        <v>14732</v>
      </c>
      <c r="K4117" s="10">
        <v>267</v>
      </c>
      <c r="L4117" s="10" t="s">
        <v>23334</v>
      </c>
      <c r="M4117" s="10">
        <v>1</v>
      </c>
      <c r="N4117" s="10" t="s">
        <v>20668</v>
      </c>
      <c r="O4117" s="10"/>
      <c r="P4117" s="10" t="s">
        <v>23335</v>
      </c>
      <c r="Q4117" s="10">
        <v>373.63</v>
      </c>
      <c r="R4117" s="10" t="s">
        <v>23336</v>
      </c>
      <c r="S4117" s="10" t="s">
        <v>53</v>
      </c>
      <c r="T4117" s="10" t="s">
        <v>54</v>
      </c>
    </row>
    <row r="4118" spans="1:20" ht="14.5" x14ac:dyDescent="0.35">
      <c r="A4118" s="10" t="s">
        <v>23337</v>
      </c>
      <c r="B4118" s="10" t="str">
        <f>"9781593324919"</f>
        <v>9781593324919</v>
      </c>
      <c r="C4118" s="10" t="str">
        <f>"9781593325091"</f>
        <v>9781593325091</v>
      </c>
      <c r="D4118" s="10" t="s">
        <v>20187</v>
      </c>
      <c r="E4118" s="10" t="s">
        <v>20188</v>
      </c>
      <c r="F4118" s="10" t="s">
        <v>20189</v>
      </c>
      <c r="G4118" s="10" t="s">
        <v>6317</v>
      </c>
      <c r="H4118" s="11">
        <v>40892</v>
      </c>
      <c r="I4118" s="10">
        <v>2011</v>
      </c>
      <c r="J4118" s="10" t="s">
        <v>20188</v>
      </c>
      <c r="K4118" s="10">
        <v>219</v>
      </c>
      <c r="L4118" s="10" t="s">
        <v>23338</v>
      </c>
      <c r="M4118" s="10">
        <v>1</v>
      </c>
      <c r="N4118" s="10" t="s">
        <v>20191</v>
      </c>
      <c r="O4118" s="10"/>
      <c r="P4118" s="10" t="s">
        <v>23339</v>
      </c>
      <c r="Q4118" s="10" t="s">
        <v>23340</v>
      </c>
      <c r="R4118" s="10" t="s">
        <v>23341</v>
      </c>
      <c r="S4118" s="10" t="s">
        <v>53</v>
      </c>
      <c r="T4118" s="10" t="s">
        <v>54</v>
      </c>
    </row>
    <row r="4119" spans="1:20" ht="14.5" x14ac:dyDescent="0.35">
      <c r="A4119" s="10" t="s">
        <v>23342</v>
      </c>
      <c r="B4119" s="10" t="str">
        <f>"9781593324063"</f>
        <v>9781593324063</v>
      </c>
      <c r="C4119" s="10" t="str">
        <f>"9781593326562"</f>
        <v>9781593326562</v>
      </c>
      <c r="D4119" s="10" t="s">
        <v>20187</v>
      </c>
      <c r="E4119" s="10" t="s">
        <v>20188</v>
      </c>
      <c r="F4119" s="10" t="s">
        <v>20189</v>
      </c>
      <c r="G4119" s="10" t="s">
        <v>6317</v>
      </c>
      <c r="H4119" s="11">
        <v>40466</v>
      </c>
      <c r="I4119" s="10">
        <v>2010</v>
      </c>
      <c r="J4119" s="10" t="s">
        <v>20188</v>
      </c>
      <c r="K4119" s="10">
        <v>272</v>
      </c>
      <c r="L4119" s="10" t="s">
        <v>23343</v>
      </c>
      <c r="M4119" s="10">
        <v>1</v>
      </c>
      <c r="N4119" s="10" t="s">
        <v>23344</v>
      </c>
      <c r="O4119" s="10"/>
      <c r="P4119" s="10" t="s">
        <v>23345</v>
      </c>
      <c r="Q4119" s="10" t="s">
        <v>23346</v>
      </c>
      <c r="R4119" s="10" t="s">
        <v>23347</v>
      </c>
      <c r="S4119" s="10" t="s">
        <v>53</v>
      </c>
      <c r="T4119" s="10" t="s">
        <v>5396</v>
      </c>
    </row>
    <row r="4120" spans="1:20" ht="14.5" x14ac:dyDescent="0.35">
      <c r="A4120" s="10" t="s">
        <v>23348</v>
      </c>
      <c r="B4120" s="10" t="str">
        <f>"9781593323936"</f>
        <v>9781593323936</v>
      </c>
      <c r="C4120" s="10" t="str">
        <f>"9781593326395"</f>
        <v>9781593326395</v>
      </c>
      <c r="D4120" s="10" t="s">
        <v>20187</v>
      </c>
      <c r="E4120" s="10" t="s">
        <v>20188</v>
      </c>
      <c r="F4120" s="10" t="s">
        <v>20189</v>
      </c>
      <c r="G4120" s="10" t="s">
        <v>6317</v>
      </c>
      <c r="H4120" s="11">
        <v>40313</v>
      </c>
      <c r="I4120" s="10">
        <v>2010</v>
      </c>
      <c r="J4120" s="10" t="s">
        <v>20188</v>
      </c>
      <c r="K4120" s="10">
        <v>210</v>
      </c>
      <c r="L4120" s="10" t="s">
        <v>23349</v>
      </c>
      <c r="M4120" s="10">
        <v>1</v>
      </c>
      <c r="N4120" s="10" t="s">
        <v>23350</v>
      </c>
      <c r="O4120" s="10"/>
      <c r="P4120" s="10" t="s">
        <v>23351</v>
      </c>
      <c r="Q4120" s="10" t="s">
        <v>23352</v>
      </c>
      <c r="R4120" s="10" t="s">
        <v>23353</v>
      </c>
      <c r="S4120" s="10" t="s">
        <v>53</v>
      </c>
      <c r="T4120" s="10" t="s">
        <v>54</v>
      </c>
    </row>
    <row r="4121" spans="1:20" ht="14.5" x14ac:dyDescent="0.35">
      <c r="A4121" s="10" t="s">
        <v>23354</v>
      </c>
      <c r="B4121" s="10" t="str">
        <f>"9781593324773"</f>
        <v>9781593324773</v>
      </c>
      <c r="C4121" s="10" t="str">
        <f>"9781593325329"</f>
        <v>9781593325329</v>
      </c>
      <c r="D4121" s="10" t="s">
        <v>20187</v>
      </c>
      <c r="E4121" s="10" t="s">
        <v>20188</v>
      </c>
      <c r="F4121" s="10" t="s">
        <v>20189</v>
      </c>
      <c r="G4121" s="10" t="s">
        <v>6317</v>
      </c>
      <c r="H4121" s="11">
        <v>40983</v>
      </c>
      <c r="I4121" s="10">
        <v>2012</v>
      </c>
      <c r="J4121" s="10" t="s">
        <v>20188</v>
      </c>
      <c r="K4121" s="10">
        <v>182</v>
      </c>
      <c r="L4121" s="10" t="s">
        <v>23355</v>
      </c>
      <c r="M4121" s="10">
        <v>1</v>
      </c>
      <c r="N4121" s="10" t="s">
        <v>23350</v>
      </c>
      <c r="O4121" s="10"/>
      <c r="P4121" s="10" t="s">
        <v>23356</v>
      </c>
      <c r="Q4121" s="10" t="s">
        <v>23357</v>
      </c>
      <c r="R4121" s="10" t="s">
        <v>23358</v>
      </c>
      <c r="S4121" s="10" t="s">
        <v>53</v>
      </c>
      <c r="T4121" s="10" t="s">
        <v>54</v>
      </c>
    </row>
    <row r="4122" spans="1:20" ht="14.5" x14ac:dyDescent="0.35">
      <c r="A4122" s="10" t="s">
        <v>23359</v>
      </c>
      <c r="B4122" s="10" t="str">
        <f>"9781593323905"</f>
        <v>9781593323905</v>
      </c>
      <c r="C4122" s="10" t="str">
        <f>"9781593326777"</f>
        <v>9781593326777</v>
      </c>
      <c r="D4122" s="10" t="s">
        <v>20187</v>
      </c>
      <c r="E4122" s="10" t="s">
        <v>20188</v>
      </c>
      <c r="F4122" s="10" t="s">
        <v>20189</v>
      </c>
      <c r="G4122" s="10" t="s">
        <v>6317</v>
      </c>
      <c r="H4122" s="11">
        <v>40678</v>
      </c>
      <c r="I4122" s="10">
        <v>2011</v>
      </c>
      <c r="J4122" s="10" t="s">
        <v>20188</v>
      </c>
      <c r="K4122" s="10">
        <v>167</v>
      </c>
      <c r="L4122" s="10" t="s">
        <v>23360</v>
      </c>
      <c r="M4122" s="10">
        <v>1</v>
      </c>
      <c r="N4122" s="10" t="s">
        <v>23350</v>
      </c>
      <c r="O4122" s="10"/>
      <c r="P4122" s="10" t="s">
        <v>23361</v>
      </c>
      <c r="Q4122" s="10" t="s">
        <v>14502</v>
      </c>
      <c r="R4122" s="10" t="s">
        <v>23362</v>
      </c>
      <c r="S4122" s="10" t="s">
        <v>53</v>
      </c>
      <c r="T4122" s="10" t="s">
        <v>54</v>
      </c>
    </row>
    <row r="4123" spans="1:20" ht="14.5" x14ac:dyDescent="0.35">
      <c r="A4123" s="10" t="s">
        <v>23363</v>
      </c>
      <c r="B4123" s="10" t="str">
        <f>"9781593324612"</f>
        <v>9781593324612</v>
      </c>
      <c r="C4123" s="10" t="str">
        <f>"9781593326890"</f>
        <v>9781593326890</v>
      </c>
      <c r="D4123" s="10" t="s">
        <v>20187</v>
      </c>
      <c r="E4123" s="10" t="s">
        <v>20188</v>
      </c>
      <c r="F4123" s="10" t="s">
        <v>20189</v>
      </c>
      <c r="G4123" s="10" t="s">
        <v>6317</v>
      </c>
      <c r="H4123" s="11">
        <v>40770</v>
      </c>
      <c r="I4123" s="10">
        <v>2011</v>
      </c>
      <c r="J4123" s="10" t="s">
        <v>20188</v>
      </c>
      <c r="K4123" s="10">
        <v>198</v>
      </c>
      <c r="L4123" s="10" t="s">
        <v>23364</v>
      </c>
      <c r="M4123" s="10">
        <v>1</v>
      </c>
      <c r="N4123" s="10" t="s">
        <v>23350</v>
      </c>
      <c r="O4123" s="10"/>
      <c r="P4123" s="10" t="s">
        <v>23365</v>
      </c>
      <c r="Q4123" s="10" t="s">
        <v>9797</v>
      </c>
      <c r="R4123" s="10" t="s">
        <v>23366</v>
      </c>
      <c r="S4123" s="10" t="s">
        <v>53</v>
      </c>
      <c r="T4123" s="10" t="s">
        <v>54</v>
      </c>
    </row>
    <row r="4124" spans="1:20" ht="14.5" x14ac:dyDescent="0.35">
      <c r="A4124" s="10" t="s">
        <v>23367</v>
      </c>
      <c r="B4124" s="10" t="str">
        <f>"9781593324032"</f>
        <v>9781593324032</v>
      </c>
      <c r="C4124" s="10" t="str">
        <f>"9781593326401"</f>
        <v>9781593326401</v>
      </c>
      <c r="D4124" s="10" t="s">
        <v>20187</v>
      </c>
      <c r="E4124" s="10" t="s">
        <v>20188</v>
      </c>
      <c r="F4124" s="10" t="s">
        <v>20189</v>
      </c>
      <c r="G4124" s="10" t="s">
        <v>6317</v>
      </c>
      <c r="H4124" s="11">
        <v>40313</v>
      </c>
      <c r="I4124" s="10">
        <v>2010</v>
      </c>
      <c r="J4124" s="10" t="s">
        <v>20188</v>
      </c>
      <c r="K4124" s="10">
        <v>267</v>
      </c>
      <c r="L4124" s="10" t="s">
        <v>23368</v>
      </c>
      <c r="M4124" s="10">
        <v>1</v>
      </c>
      <c r="N4124" s="10" t="s">
        <v>23350</v>
      </c>
      <c r="O4124" s="10"/>
      <c r="P4124" s="10" t="s">
        <v>23369</v>
      </c>
      <c r="Q4124" s="10" t="s">
        <v>23370</v>
      </c>
      <c r="R4124" s="10" t="s">
        <v>23371</v>
      </c>
      <c r="S4124" s="10" t="s">
        <v>53</v>
      </c>
      <c r="T4124" s="10" t="s">
        <v>54</v>
      </c>
    </row>
    <row r="4125" spans="1:20" ht="14.5" x14ac:dyDescent="0.35">
      <c r="A4125" s="10" t="s">
        <v>23372</v>
      </c>
      <c r="B4125" s="10" t="str">
        <f>"9781593324735"</f>
        <v>9781593324735</v>
      </c>
      <c r="C4125" s="10" t="str">
        <f>"9781593326937"</f>
        <v>9781593326937</v>
      </c>
      <c r="D4125" s="10" t="s">
        <v>20187</v>
      </c>
      <c r="E4125" s="10" t="s">
        <v>20188</v>
      </c>
      <c r="F4125" s="10" t="s">
        <v>20189</v>
      </c>
      <c r="G4125" s="10" t="s">
        <v>6317</v>
      </c>
      <c r="H4125" s="11">
        <v>40801</v>
      </c>
      <c r="I4125" s="10">
        <v>2011</v>
      </c>
      <c r="J4125" s="10" t="s">
        <v>20188</v>
      </c>
      <c r="K4125" s="10">
        <v>193</v>
      </c>
      <c r="L4125" s="10" t="s">
        <v>23373</v>
      </c>
      <c r="M4125" s="10">
        <v>1</v>
      </c>
      <c r="N4125" s="10" t="s">
        <v>23344</v>
      </c>
      <c r="O4125" s="10"/>
      <c r="P4125" s="10" t="s">
        <v>23374</v>
      </c>
      <c r="Q4125" s="10" t="s">
        <v>23375</v>
      </c>
      <c r="R4125" s="10" t="s">
        <v>23376</v>
      </c>
      <c r="S4125" s="10" t="s">
        <v>53</v>
      </c>
      <c r="T4125" s="10" t="s">
        <v>5396</v>
      </c>
    </row>
    <row r="4126" spans="1:20" ht="14.5" x14ac:dyDescent="0.35">
      <c r="A4126" s="10" t="s">
        <v>23377</v>
      </c>
      <c r="B4126" s="10" t="str">
        <f>"9781137026170"</f>
        <v>9781137026170</v>
      </c>
      <c r="C4126" s="10" t="str">
        <f>"9781137026187"</f>
        <v>9781137026187</v>
      </c>
      <c r="D4126" s="10" t="s">
        <v>11249</v>
      </c>
      <c r="E4126" s="10" t="s">
        <v>2400</v>
      </c>
      <c r="F4126" s="10" t="s">
        <v>70</v>
      </c>
      <c r="G4126" s="10" t="s">
        <v>6317</v>
      </c>
      <c r="H4126" s="11">
        <v>41158</v>
      </c>
      <c r="I4126" s="10">
        <v>2012</v>
      </c>
      <c r="J4126" s="10" t="s">
        <v>2400</v>
      </c>
      <c r="K4126" s="10">
        <v>226</v>
      </c>
      <c r="L4126" s="10" t="s">
        <v>23378</v>
      </c>
      <c r="M4126" s="10">
        <v>1</v>
      </c>
      <c r="N4126" s="10"/>
      <c r="O4126" s="10"/>
      <c r="P4126" s="10" t="s">
        <v>11275</v>
      </c>
      <c r="Q4126" s="10"/>
      <c r="R4126" s="10" t="s">
        <v>19099</v>
      </c>
      <c r="S4126" s="10" t="s">
        <v>53</v>
      </c>
      <c r="T4126" s="10" t="s">
        <v>54</v>
      </c>
    </row>
    <row r="4127" spans="1:20" ht="14.5" x14ac:dyDescent="0.35">
      <c r="A4127" s="10" t="s">
        <v>23379</v>
      </c>
      <c r="B4127" s="10" t="str">
        <f>"9781602586819"</f>
        <v>9781602586819</v>
      </c>
      <c r="C4127" s="10" t="str">
        <f>"9781602587984"</f>
        <v>9781602587984</v>
      </c>
      <c r="D4127" s="10" t="s">
        <v>10331</v>
      </c>
      <c r="E4127" s="10" t="s">
        <v>10331</v>
      </c>
      <c r="F4127" s="10" t="s">
        <v>1438</v>
      </c>
      <c r="G4127" s="10" t="s">
        <v>6317</v>
      </c>
      <c r="H4127" s="11">
        <v>41244</v>
      </c>
      <c r="I4127" s="10">
        <v>2012</v>
      </c>
      <c r="J4127" s="10" t="s">
        <v>10331</v>
      </c>
      <c r="K4127" s="10">
        <v>126</v>
      </c>
      <c r="L4127" s="10" t="s">
        <v>23380</v>
      </c>
      <c r="M4127" s="10">
        <v>1</v>
      </c>
      <c r="N4127" s="10"/>
      <c r="O4127" s="10"/>
      <c r="P4127" s="10" t="s">
        <v>23381</v>
      </c>
      <c r="Q4127" s="10" t="s">
        <v>23382</v>
      </c>
      <c r="R4127" s="10" t="s">
        <v>23383</v>
      </c>
      <c r="S4127" s="10" t="s">
        <v>53</v>
      </c>
      <c r="T4127" s="10" t="s">
        <v>54</v>
      </c>
    </row>
    <row r="4128" spans="1:20" ht="14.5" x14ac:dyDescent="0.35">
      <c r="A4128" s="10" t="s">
        <v>23384</v>
      </c>
      <c r="B4128" s="10" t="str">
        <f>"9780470947203"</f>
        <v>9780470947203</v>
      </c>
      <c r="C4128" s="10" t="str">
        <f>"9781118418444"</f>
        <v>9781118418444</v>
      </c>
      <c r="D4128" s="10" t="s">
        <v>6322</v>
      </c>
      <c r="E4128" s="10" t="s">
        <v>6323</v>
      </c>
      <c r="F4128" s="10" t="s">
        <v>6339</v>
      </c>
      <c r="G4128" s="10" t="s">
        <v>6317</v>
      </c>
      <c r="H4128" s="11">
        <v>41241</v>
      </c>
      <c r="I4128" s="10">
        <v>2013</v>
      </c>
      <c r="J4128" s="10" t="s">
        <v>6324</v>
      </c>
      <c r="K4128" s="10">
        <v>319</v>
      </c>
      <c r="L4128" s="10" t="s">
        <v>23385</v>
      </c>
      <c r="M4128" s="10">
        <v>1</v>
      </c>
      <c r="N4128" s="10"/>
      <c r="O4128" s="10"/>
      <c r="P4128" s="10" t="s">
        <v>23386</v>
      </c>
      <c r="Q4128" s="10" t="s">
        <v>23387</v>
      </c>
      <c r="R4128" s="10" t="s">
        <v>23388</v>
      </c>
      <c r="S4128" s="10" t="s">
        <v>53</v>
      </c>
      <c r="T4128" s="10" t="s">
        <v>54</v>
      </c>
    </row>
    <row r="4129" spans="1:20" ht="14.5" x14ac:dyDescent="0.35">
      <c r="A4129" s="10" t="s">
        <v>23389</v>
      </c>
      <c r="B4129" s="10" t="str">
        <f>"9780520272002"</f>
        <v>9780520272002</v>
      </c>
      <c r="C4129" s="10" t="str">
        <f>"9780520953642"</f>
        <v>9780520953642</v>
      </c>
      <c r="D4129" s="10" t="s">
        <v>8512</v>
      </c>
      <c r="E4129" s="10" t="s">
        <v>8512</v>
      </c>
      <c r="F4129" s="10" t="s">
        <v>717</v>
      </c>
      <c r="G4129" s="10" t="s">
        <v>6317</v>
      </c>
      <c r="H4129" s="11">
        <v>41309</v>
      </c>
      <c r="I4129" s="10">
        <v>2013</v>
      </c>
      <c r="J4129" s="10" t="s">
        <v>8512</v>
      </c>
      <c r="K4129" s="10">
        <v>284</v>
      </c>
      <c r="L4129" s="10" t="s">
        <v>23390</v>
      </c>
      <c r="M4129" s="10">
        <v>1</v>
      </c>
      <c r="N4129" s="10"/>
      <c r="O4129" s="10"/>
      <c r="P4129" s="10"/>
      <c r="Q4129" s="10" t="s">
        <v>23391</v>
      </c>
      <c r="R4129" s="10" t="s">
        <v>23392</v>
      </c>
      <c r="S4129" s="10" t="s">
        <v>53</v>
      </c>
      <c r="T4129" s="10" t="s">
        <v>15960</v>
      </c>
    </row>
    <row r="4130" spans="1:20" ht="14.5" x14ac:dyDescent="0.35">
      <c r="A4130" s="10" t="s">
        <v>23393</v>
      </c>
      <c r="B4130" s="10" t="str">
        <f>"9780817316334"</f>
        <v>9780817316334</v>
      </c>
      <c r="C4130" s="10" t="str">
        <f>"9780817381103"</f>
        <v>9780817381103</v>
      </c>
      <c r="D4130" s="10" t="s">
        <v>3407</v>
      </c>
      <c r="E4130" s="10" t="s">
        <v>3407</v>
      </c>
      <c r="F4130" s="10" t="s">
        <v>3408</v>
      </c>
      <c r="G4130" s="10" t="s">
        <v>6317</v>
      </c>
      <c r="H4130" s="11">
        <v>39873</v>
      </c>
      <c r="I4130" s="10">
        <v>2008</v>
      </c>
      <c r="J4130" s="10" t="s">
        <v>3407</v>
      </c>
      <c r="K4130" s="10">
        <v>293</v>
      </c>
      <c r="L4130" s="10" t="s">
        <v>23394</v>
      </c>
      <c r="M4130" s="10">
        <v>1</v>
      </c>
      <c r="N4130" s="10"/>
      <c r="O4130" s="10"/>
      <c r="P4130" s="10" t="s">
        <v>20305</v>
      </c>
      <c r="Q4130" s="10" t="s">
        <v>20306</v>
      </c>
      <c r="R4130" s="10" t="s">
        <v>23395</v>
      </c>
      <c r="S4130" s="10" t="s">
        <v>53</v>
      </c>
      <c r="T4130" s="10" t="s">
        <v>54</v>
      </c>
    </row>
    <row r="4131" spans="1:20" ht="14.5" x14ac:dyDescent="0.35">
      <c r="A4131" s="10" t="s">
        <v>23396</v>
      </c>
      <c r="B4131" s="10" t="str">
        <f>"9781416614685"</f>
        <v>9781416614685</v>
      </c>
      <c r="C4131" s="10" t="str">
        <f>"9781416615323"</f>
        <v>9781416615323</v>
      </c>
      <c r="D4131" s="10" t="s">
        <v>10014</v>
      </c>
      <c r="E4131" s="10" t="s">
        <v>10015</v>
      </c>
      <c r="F4131" s="10" t="s">
        <v>201</v>
      </c>
      <c r="G4131" s="10" t="s">
        <v>6317</v>
      </c>
      <c r="H4131" s="11">
        <v>41212</v>
      </c>
      <c r="I4131" s="10">
        <v>2012</v>
      </c>
      <c r="J4131" s="10" t="s">
        <v>10015</v>
      </c>
      <c r="K4131" s="10">
        <v>353</v>
      </c>
      <c r="L4131" s="10" t="s">
        <v>23397</v>
      </c>
      <c r="M4131" s="10">
        <v>2</v>
      </c>
      <c r="N4131" s="10"/>
      <c r="O4131" s="10"/>
      <c r="P4131" s="10" t="s">
        <v>23398</v>
      </c>
      <c r="Q4131" s="10">
        <v>371.3</v>
      </c>
      <c r="R4131" s="10" t="s">
        <v>23399</v>
      </c>
      <c r="S4131" s="10" t="s">
        <v>53</v>
      </c>
      <c r="T4131" s="10" t="s">
        <v>54</v>
      </c>
    </row>
    <row r="4132" spans="1:20" ht="14.5" x14ac:dyDescent="0.35">
      <c r="A4132" s="10" t="s">
        <v>23400</v>
      </c>
      <c r="B4132" s="10" t="str">
        <f>"9781416614746"</f>
        <v>9781416614746</v>
      </c>
      <c r="C4132" s="10" t="str">
        <f>"9781416615262"</f>
        <v>9781416615262</v>
      </c>
      <c r="D4132" s="10" t="s">
        <v>10014</v>
      </c>
      <c r="E4132" s="10" t="s">
        <v>10015</v>
      </c>
      <c r="F4132" s="10" t="s">
        <v>201</v>
      </c>
      <c r="G4132" s="10" t="s">
        <v>6317</v>
      </c>
      <c r="H4132" s="11">
        <v>41243</v>
      </c>
      <c r="I4132" s="10">
        <v>2012</v>
      </c>
      <c r="J4132" s="10" t="s">
        <v>10015</v>
      </c>
      <c r="K4132" s="10">
        <v>171</v>
      </c>
      <c r="L4132" s="10" t="s">
        <v>23401</v>
      </c>
      <c r="M4132" s="10">
        <v>1</v>
      </c>
      <c r="N4132" s="10"/>
      <c r="O4132" s="10"/>
      <c r="P4132" s="10" t="s">
        <v>23402</v>
      </c>
      <c r="Q4132" s="10" t="s">
        <v>22247</v>
      </c>
      <c r="R4132" s="10" t="s">
        <v>23403</v>
      </c>
      <c r="S4132" s="10" t="s">
        <v>53</v>
      </c>
      <c r="T4132" s="10" t="s">
        <v>54</v>
      </c>
    </row>
    <row r="4133" spans="1:20" ht="14.5" x14ac:dyDescent="0.35">
      <c r="A4133" s="10" t="s">
        <v>23404</v>
      </c>
      <c r="B4133" s="10" t="str">
        <f>"9780815708636"</f>
        <v>9780815708636</v>
      </c>
      <c r="C4133" s="10" t="str">
        <f>"9780815708650"</f>
        <v>9780815708650</v>
      </c>
      <c r="D4133" s="10" t="s">
        <v>9752</v>
      </c>
      <c r="E4133" s="10" t="s">
        <v>9753</v>
      </c>
      <c r="F4133" s="10" t="s">
        <v>9754</v>
      </c>
      <c r="G4133" s="10" t="s">
        <v>6317</v>
      </c>
      <c r="H4133" s="11">
        <v>39399</v>
      </c>
      <c r="I4133" s="10">
        <v>2009</v>
      </c>
      <c r="J4133" s="10" t="s">
        <v>9753</v>
      </c>
      <c r="K4133" s="10">
        <v>284</v>
      </c>
      <c r="L4133" s="10" t="s">
        <v>23405</v>
      </c>
      <c r="M4133" s="10">
        <v>1</v>
      </c>
      <c r="N4133" s="10"/>
      <c r="O4133" s="10"/>
      <c r="P4133" s="10" t="s">
        <v>23406</v>
      </c>
      <c r="Q4133" s="10" t="s">
        <v>7767</v>
      </c>
      <c r="R4133" s="10" t="s">
        <v>23407</v>
      </c>
      <c r="S4133" s="10" t="s">
        <v>53</v>
      </c>
      <c r="T4133" s="10" t="s">
        <v>11186</v>
      </c>
    </row>
    <row r="4134" spans="1:20" ht="14.5" x14ac:dyDescent="0.35">
      <c r="A4134" s="10" t="s">
        <v>23408</v>
      </c>
      <c r="B4134" s="10" t="str">
        <f>"9780815730330"</f>
        <v>9780815730330</v>
      </c>
      <c r="C4134" s="10" t="str">
        <f>"9780815730347"</f>
        <v>9780815730347</v>
      </c>
      <c r="D4134" s="10" t="s">
        <v>9752</v>
      </c>
      <c r="E4134" s="10" t="s">
        <v>9753</v>
      </c>
      <c r="F4134" s="10" t="s">
        <v>9754</v>
      </c>
      <c r="G4134" s="10" t="s">
        <v>6317</v>
      </c>
      <c r="H4134" s="11">
        <v>39400</v>
      </c>
      <c r="I4134" s="10">
        <v>2008</v>
      </c>
      <c r="J4134" s="10" t="s">
        <v>9753</v>
      </c>
      <c r="K4134" s="10">
        <v>350</v>
      </c>
      <c r="L4134" s="10" t="s">
        <v>23409</v>
      </c>
      <c r="M4134" s="10">
        <v>1</v>
      </c>
      <c r="N4134" s="10"/>
      <c r="O4134" s="10"/>
      <c r="P4134" s="10" t="s">
        <v>23410</v>
      </c>
      <c r="Q4134" s="10">
        <v>379.1</v>
      </c>
      <c r="R4134" s="10" t="s">
        <v>23411</v>
      </c>
      <c r="S4134" s="10" t="s">
        <v>53</v>
      </c>
      <c r="T4134" s="10" t="s">
        <v>54</v>
      </c>
    </row>
    <row r="4135" spans="1:20" ht="14.5" x14ac:dyDescent="0.35">
      <c r="A4135" s="10" t="s">
        <v>23412</v>
      </c>
      <c r="B4135" s="10" t="str">
        <f>"9781462507627"</f>
        <v>9781462507627</v>
      </c>
      <c r="C4135" s="10" t="str">
        <f>"9781462507634"</f>
        <v>9781462507634</v>
      </c>
      <c r="D4135" s="10" t="s">
        <v>11213</v>
      </c>
      <c r="E4135" s="10" t="s">
        <v>11214</v>
      </c>
      <c r="F4135" s="10" t="s">
        <v>70</v>
      </c>
      <c r="G4135" s="10" t="s">
        <v>6317</v>
      </c>
      <c r="H4135" s="11">
        <v>41246</v>
      </c>
      <c r="I4135" s="10">
        <v>2013</v>
      </c>
      <c r="J4135" s="10" t="s">
        <v>11215</v>
      </c>
      <c r="K4135" s="10">
        <v>225</v>
      </c>
      <c r="L4135" s="10" t="s">
        <v>23413</v>
      </c>
      <c r="M4135" s="10">
        <v>1</v>
      </c>
      <c r="N4135" s="10"/>
      <c r="O4135" s="10"/>
      <c r="P4135" s="10" t="s">
        <v>23414</v>
      </c>
      <c r="Q4135" s="10">
        <v>371.9</v>
      </c>
      <c r="R4135" s="10" t="s">
        <v>23415</v>
      </c>
      <c r="S4135" s="10" t="s">
        <v>53</v>
      </c>
      <c r="T4135" s="10" t="s">
        <v>54</v>
      </c>
    </row>
    <row r="4136" spans="1:20" ht="14.5" x14ac:dyDescent="0.35">
      <c r="A4136" s="10" t="s">
        <v>23416</v>
      </c>
      <c r="B4136" s="10" t="str">
        <f>"9780335246533"</f>
        <v>9780335246533</v>
      </c>
      <c r="C4136" s="10" t="str">
        <f>"9780335246540"</f>
        <v>9780335246540</v>
      </c>
      <c r="D4136" s="10" t="s">
        <v>10342</v>
      </c>
      <c r="E4136" s="10" t="s">
        <v>10343</v>
      </c>
      <c r="F4136" s="10" t="s">
        <v>10344</v>
      </c>
      <c r="G4136" s="10" t="s">
        <v>6352</v>
      </c>
      <c r="H4136" s="11">
        <v>41214</v>
      </c>
      <c r="I4136" s="10">
        <v>2012</v>
      </c>
      <c r="J4136" s="10" t="s">
        <v>10345</v>
      </c>
      <c r="K4136" s="10">
        <v>346</v>
      </c>
      <c r="L4136" s="10" t="s">
        <v>23417</v>
      </c>
      <c r="M4136" s="10">
        <v>2</v>
      </c>
      <c r="N4136" s="10" t="s">
        <v>10347</v>
      </c>
      <c r="O4136" s="10"/>
      <c r="P4136" s="10" t="s">
        <v>23418</v>
      </c>
      <c r="Q4136" s="10">
        <v>371.10199999999998</v>
      </c>
      <c r="R4136" s="10" t="s">
        <v>23419</v>
      </c>
      <c r="S4136" s="10" t="s">
        <v>53</v>
      </c>
      <c r="T4136" s="10" t="s">
        <v>54</v>
      </c>
    </row>
    <row r="4137" spans="1:20" ht="14.5" x14ac:dyDescent="0.35">
      <c r="A4137" s="10" t="s">
        <v>23420</v>
      </c>
      <c r="B4137" s="10" t="str">
        <f>"9780335241866"</f>
        <v>9780335241866</v>
      </c>
      <c r="C4137" s="10" t="str">
        <f>"9780335241873"</f>
        <v>9780335241873</v>
      </c>
      <c r="D4137" s="10" t="s">
        <v>10342</v>
      </c>
      <c r="E4137" s="10" t="s">
        <v>10343</v>
      </c>
      <c r="F4137" s="10" t="s">
        <v>10344</v>
      </c>
      <c r="G4137" s="10" t="s">
        <v>6352</v>
      </c>
      <c r="H4137" s="11">
        <v>41183</v>
      </c>
      <c r="I4137" s="10">
        <v>2012</v>
      </c>
      <c r="J4137" s="10" t="s">
        <v>10345</v>
      </c>
      <c r="K4137" s="10">
        <v>322</v>
      </c>
      <c r="L4137" s="10" t="s">
        <v>23421</v>
      </c>
      <c r="M4137" s="10">
        <v>1</v>
      </c>
      <c r="N4137" s="10" t="s">
        <v>10384</v>
      </c>
      <c r="O4137" s="10"/>
      <c r="P4137" s="10" t="s">
        <v>23422</v>
      </c>
      <c r="Q4137" s="10">
        <v>378.41090450000002</v>
      </c>
      <c r="R4137" s="10" t="s">
        <v>23423</v>
      </c>
      <c r="S4137" s="10" t="s">
        <v>53</v>
      </c>
      <c r="T4137" s="10" t="s">
        <v>54</v>
      </c>
    </row>
    <row r="4138" spans="1:20" ht="14.5" x14ac:dyDescent="0.35">
      <c r="A4138" s="10" t="s">
        <v>23424</v>
      </c>
      <c r="B4138" s="10" t="str">
        <f>"9780335243761"</f>
        <v>9780335243761</v>
      </c>
      <c r="C4138" s="10" t="str">
        <f>"9780335243778"</f>
        <v>9780335243778</v>
      </c>
      <c r="D4138" s="10" t="s">
        <v>10342</v>
      </c>
      <c r="E4138" s="10" t="s">
        <v>10343</v>
      </c>
      <c r="F4138" s="10" t="s">
        <v>10344</v>
      </c>
      <c r="G4138" s="10" t="s">
        <v>6352</v>
      </c>
      <c r="H4138" s="11">
        <v>41183</v>
      </c>
      <c r="I4138" s="10">
        <v>2013</v>
      </c>
      <c r="J4138" s="10" t="s">
        <v>10345</v>
      </c>
      <c r="K4138" s="10">
        <v>331</v>
      </c>
      <c r="L4138" s="10" t="s">
        <v>23425</v>
      </c>
      <c r="M4138" s="10">
        <v>1</v>
      </c>
      <c r="N4138" s="10" t="s">
        <v>10347</v>
      </c>
      <c r="O4138" s="10"/>
      <c r="P4138" s="10"/>
      <c r="Q4138" s="10"/>
      <c r="R4138" s="10"/>
      <c r="S4138" s="10" t="s">
        <v>53</v>
      </c>
      <c r="T4138" s="10" t="s">
        <v>54</v>
      </c>
    </row>
    <row r="4139" spans="1:20" ht="14.5" x14ac:dyDescent="0.35">
      <c r="A4139" s="10" t="s">
        <v>23426</v>
      </c>
      <c r="B4139" s="10" t="str">
        <f>"9780335244683"</f>
        <v>9780335244683</v>
      </c>
      <c r="C4139" s="10" t="str">
        <f>"9780335244690"</f>
        <v>9780335244690</v>
      </c>
      <c r="D4139" s="10" t="s">
        <v>10342</v>
      </c>
      <c r="E4139" s="10" t="s">
        <v>10343</v>
      </c>
      <c r="F4139" s="10" t="s">
        <v>10344</v>
      </c>
      <c r="G4139" s="10" t="s">
        <v>6352</v>
      </c>
      <c r="H4139" s="11">
        <v>41153</v>
      </c>
      <c r="I4139" s="10">
        <v>2012</v>
      </c>
      <c r="J4139" s="10" t="s">
        <v>10345</v>
      </c>
      <c r="K4139" s="10">
        <v>242</v>
      </c>
      <c r="L4139" s="10" t="s">
        <v>23427</v>
      </c>
      <c r="M4139" s="10">
        <v>1</v>
      </c>
      <c r="N4139" s="10"/>
      <c r="O4139" s="10"/>
      <c r="P4139" s="10" t="s">
        <v>23428</v>
      </c>
      <c r="Q4139" s="10">
        <v>371.90460000000002</v>
      </c>
      <c r="R4139" s="10" t="s">
        <v>23429</v>
      </c>
      <c r="S4139" s="10" t="s">
        <v>53</v>
      </c>
      <c r="T4139" s="10" t="s">
        <v>54</v>
      </c>
    </row>
    <row r="4140" spans="1:20" ht="14.5" x14ac:dyDescent="0.35">
      <c r="A4140" s="10" t="s">
        <v>23430</v>
      </c>
      <c r="B4140" s="10" t="str">
        <f>"9780826111074"</f>
        <v>9780826111074</v>
      </c>
      <c r="C4140" s="10" t="str">
        <f>"9780826111081"</f>
        <v>9780826111081</v>
      </c>
      <c r="D4140" s="10" t="s">
        <v>3370</v>
      </c>
      <c r="E4140" s="10" t="s">
        <v>10927</v>
      </c>
      <c r="F4140" s="10" t="s">
        <v>70</v>
      </c>
      <c r="G4140" s="10" t="s">
        <v>6317</v>
      </c>
      <c r="H4140" s="11">
        <v>41456</v>
      </c>
      <c r="I4140" s="10">
        <v>2013</v>
      </c>
      <c r="J4140" s="10" t="s">
        <v>10927</v>
      </c>
      <c r="K4140" s="10">
        <v>409</v>
      </c>
      <c r="L4140" s="10" t="s">
        <v>23431</v>
      </c>
      <c r="M4140" s="10">
        <v>1</v>
      </c>
      <c r="N4140" s="10"/>
      <c r="O4140" s="10"/>
      <c r="P4140" s="10" t="s">
        <v>23432</v>
      </c>
      <c r="Q4140" s="10"/>
      <c r="R4140" s="10" t="s">
        <v>23433</v>
      </c>
      <c r="S4140" s="10" t="s">
        <v>53</v>
      </c>
      <c r="T4140" s="10" t="s">
        <v>54</v>
      </c>
    </row>
    <row r="4141" spans="1:20" ht="14.5" x14ac:dyDescent="0.35">
      <c r="A4141" s="10" t="s">
        <v>23434</v>
      </c>
      <c r="B4141" s="10" t="str">
        <f>"9780415517089"</f>
        <v>9780415517089</v>
      </c>
      <c r="C4141" s="10" t="str">
        <f>"9781136194900"</f>
        <v>9781136194900</v>
      </c>
      <c r="D4141" s="10" t="s">
        <v>6350</v>
      </c>
      <c r="E4141" s="10" t="s">
        <v>6351</v>
      </c>
      <c r="F4141" s="10" t="s">
        <v>139</v>
      </c>
      <c r="G4141" s="10" t="s">
        <v>6352</v>
      </c>
      <c r="H4141" s="11">
        <v>41233</v>
      </c>
      <c r="I4141" s="10">
        <v>2013</v>
      </c>
      <c r="J4141" s="10" t="s">
        <v>6353</v>
      </c>
      <c r="K4141" s="10">
        <v>225</v>
      </c>
      <c r="L4141" s="10" t="s">
        <v>23435</v>
      </c>
      <c r="M4141" s="10">
        <v>1</v>
      </c>
      <c r="N4141" s="10" t="s">
        <v>7881</v>
      </c>
      <c r="O4141" s="10"/>
      <c r="P4141" s="10" t="s">
        <v>23436</v>
      </c>
      <c r="Q4141" s="10">
        <v>378.12200000000001</v>
      </c>
      <c r="R4141" s="10" t="s">
        <v>23437</v>
      </c>
      <c r="S4141" s="10" t="s">
        <v>53</v>
      </c>
      <c r="T4141" s="10" t="s">
        <v>54</v>
      </c>
    </row>
    <row r="4142" spans="1:20" ht="14.5" x14ac:dyDescent="0.35">
      <c r="A4142" s="10" t="s">
        <v>23438</v>
      </c>
      <c r="B4142" s="10" t="str">
        <f>"9780415886109"</f>
        <v>9780415886109</v>
      </c>
      <c r="C4142" s="10" t="str">
        <f>"9781136813764"</f>
        <v>9781136813764</v>
      </c>
      <c r="D4142" s="10" t="s">
        <v>6350</v>
      </c>
      <c r="E4142" s="10" t="s">
        <v>6351</v>
      </c>
      <c r="F4142" s="10" t="s">
        <v>139</v>
      </c>
      <c r="G4142" s="10" t="s">
        <v>6352</v>
      </c>
      <c r="H4142" s="11">
        <v>41185</v>
      </c>
      <c r="I4142" s="10">
        <v>2012</v>
      </c>
      <c r="J4142" s="10" t="s">
        <v>6353</v>
      </c>
      <c r="K4142" s="10">
        <v>217</v>
      </c>
      <c r="L4142" s="10" t="s">
        <v>23439</v>
      </c>
      <c r="M4142" s="10">
        <v>1</v>
      </c>
      <c r="N4142" s="10" t="s">
        <v>7735</v>
      </c>
      <c r="O4142" s="10"/>
      <c r="P4142" s="10" t="s">
        <v>23440</v>
      </c>
      <c r="Q4142" s="10" t="s">
        <v>7335</v>
      </c>
      <c r="R4142" s="10" t="s">
        <v>23441</v>
      </c>
      <c r="S4142" s="10" t="s">
        <v>53</v>
      </c>
      <c r="T4142" s="10" t="s">
        <v>54</v>
      </c>
    </row>
    <row r="4143" spans="1:20" ht="14.5" x14ac:dyDescent="0.35">
      <c r="A4143" s="10" t="s">
        <v>23442</v>
      </c>
      <c r="B4143" s="10" t="str">
        <f>"9780415631341"</f>
        <v>9780415631341</v>
      </c>
      <c r="C4143" s="10" t="str">
        <f>"9781136220395"</f>
        <v>9781136220395</v>
      </c>
      <c r="D4143" s="10" t="s">
        <v>6350</v>
      </c>
      <c r="E4143" s="10" t="s">
        <v>6351</v>
      </c>
      <c r="F4143" s="10" t="s">
        <v>3967</v>
      </c>
      <c r="G4143" s="10" t="s">
        <v>6352</v>
      </c>
      <c r="H4143" s="11">
        <v>41183</v>
      </c>
      <c r="I4143" s="10">
        <v>2013</v>
      </c>
      <c r="J4143" s="10" t="s">
        <v>6353</v>
      </c>
      <c r="K4143" s="10">
        <v>305</v>
      </c>
      <c r="L4143" s="10" t="s">
        <v>23443</v>
      </c>
      <c r="M4143" s="10">
        <v>1</v>
      </c>
      <c r="N4143" s="10"/>
      <c r="O4143" s="10"/>
      <c r="P4143" s="10" t="s">
        <v>23444</v>
      </c>
      <c r="Q4143" s="10">
        <v>428.00709999999998</v>
      </c>
      <c r="R4143" s="10" t="s">
        <v>23445</v>
      </c>
      <c r="S4143" s="10" t="s">
        <v>53</v>
      </c>
      <c r="T4143" s="10" t="s">
        <v>6616</v>
      </c>
    </row>
    <row r="4144" spans="1:20" ht="14.5" x14ac:dyDescent="0.35">
      <c r="A4144" s="10" t="s">
        <v>23446</v>
      </c>
      <c r="B4144" s="10" t="str">
        <f>"9781843121961"</f>
        <v>9781843121961</v>
      </c>
      <c r="C4144" s="10" t="str">
        <f>"9781136604263"</f>
        <v>9781136604263</v>
      </c>
      <c r="D4144" s="10" t="s">
        <v>6350</v>
      </c>
      <c r="E4144" s="10" t="s">
        <v>15120</v>
      </c>
      <c r="F4144" s="10" t="s">
        <v>748</v>
      </c>
      <c r="G4144" s="10" t="s">
        <v>6352</v>
      </c>
      <c r="H4144" s="11">
        <v>38540</v>
      </c>
      <c r="I4144" s="10">
        <v>2001</v>
      </c>
      <c r="J4144" s="10" t="s">
        <v>15120</v>
      </c>
      <c r="K4144" s="10">
        <v>145</v>
      </c>
      <c r="L4144" s="10" t="s">
        <v>17732</v>
      </c>
      <c r="M4144" s="10">
        <v>1</v>
      </c>
      <c r="N4144" s="10"/>
      <c r="O4144" s="10"/>
      <c r="P4144" s="10" t="s">
        <v>15548</v>
      </c>
      <c r="Q4144" s="10" t="s">
        <v>23447</v>
      </c>
      <c r="R4144" s="10" t="s">
        <v>23448</v>
      </c>
      <c r="S4144" s="10" t="s">
        <v>53</v>
      </c>
      <c r="T4144" s="10" t="s">
        <v>54</v>
      </c>
    </row>
    <row r="4145" spans="1:20" ht="14.5" x14ac:dyDescent="0.35">
      <c r="A4145" s="10" t="s">
        <v>23449</v>
      </c>
      <c r="B4145" s="10" t="str">
        <f>"9781843121350"</f>
        <v>9781843121350</v>
      </c>
      <c r="C4145" s="10" t="str">
        <f>"9781136601743"</f>
        <v>9781136601743</v>
      </c>
      <c r="D4145" s="10" t="s">
        <v>6350</v>
      </c>
      <c r="E4145" s="10" t="s">
        <v>6351</v>
      </c>
      <c r="F4145" s="10" t="s">
        <v>748</v>
      </c>
      <c r="G4145" s="10" t="s">
        <v>6352</v>
      </c>
      <c r="H4145" s="11">
        <v>37945</v>
      </c>
      <c r="I4145" s="10">
        <v>2004</v>
      </c>
      <c r="J4145" s="10" t="s">
        <v>6351</v>
      </c>
      <c r="K4145" s="10">
        <v>89</v>
      </c>
      <c r="L4145" s="10" t="s">
        <v>23450</v>
      </c>
      <c r="M4145" s="10">
        <v>1</v>
      </c>
      <c r="N4145" s="10"/>
      <c r="O4145" s="10"/>
      <c r="P4145" s="10" t="s">
        <v>23451</v>
      </c>
      <c r="Q4145" s="10" t="s">
        <v>23452</v>
      </c>
      <c r="R4145" s="10" t="s">
        <v>21693</v>
      </c>
      <c r="S4145" s="10" t="s">
        <v>53</v>
      </c>
      <c r="T4145" s="10" t="s">
        <v>54</v>
      </c>
    </row>
    <row r="4146" spans="1:20" ht="14.5" x14ac:dyDescent="0.35">
      <c r="A4146" s="10" t="s">
        <v>23453</v>
      </c>
      <c r="B4146" s="10" t="str">
        <f>"9780415950480"</f>
        <v>9780415950480</v>
      </c>
      <c r="C4146" s="10" t="str">
        <f>"9781136078347"</f>
        <v>9781136078347</v>
      </c>
      <c r="D4146" s="10" t="s">
        <v>6350</v>
      </c>
      <c r="E4146" s="10" t="s">
        <v>6351</v>
      </c>
      <c r="F4146" s="10" t="s">
        <v>139</v>
      </c>
      <c r="G4146" s="10" t="s">
        <v>6352</v>
      </c>
      <c r="H4146" s="11">
        <v>38389</v>
      </c>
      <c r="I4146" s="10">
        <v>2005</v>
      </c>
      <c r="J4146" s="10" t="s">
        <v>6353</v>
      </c>
      <c r="K4146" s="10">
        <v>209</v>
      </c>
      <c r="L4146" s="10" t="s">
        <v>23454</v>
      </c>
      <c r="M4146" s="10">
        <v>1</v>
      </c>
      <c r="N4146" s="10" t="s">
        <v>23455</v>
      </c>
      <c r="O4146" s="10"/>
      <c r="P4146" s="10" t="s">
        <v>23456</v>
      </c>
      <c r="Q4146" s="10" t="s">
        <v>8916</v>
      </c>
      <c r="R4146" s="10" t="s">
        <v>23457</v>
      </c>
      <c r="S4146" s="10" t="s">
        <v>53</v>
      </c>
      <c r="T4146" s="10" t="s">
        <v>54</v>
      </c>
    </row>
    <row r="4147" spans="1:20" ht="14.5" x14ac:dyDescent="0.35">
      <c r="A4147" s="10" t="s">
        <v>23458</v>
      </c>
      <c r="B4147" s="10" t="str">
        <f>"9780415882873"</f>
        <v>9780415882873</v>
      </c>
      <c r="C4147" s="10" t="str">
        <f>"9781136886423"</f>
        <v>9781136886423</v>
      </c>
      <c r="D4147" s="10" t="s">
        <v>6350</v>
      </c>
      <c r="E4147" s="10" t="s">
        <v>6351</v>
      </c>
      <c r="F4147" s="10" t="s">
        <v>748</v>
      </c>
      <c r="G4147" s="10" t="s">
        <v>6352</v>
      </c>
      <c r="H4147" s="11">
        <v>40590</v>
      </c>
      <c r="I4147" s="10">
        <v>2011</v>
      </c>
      <c r="J4147" s="10" t="s">
        <v>6351</v>
      </c>
      <c r="K4147" s="10">
        <v>295</v>
      </c>
      <c r="L4147" s="10" t="s">
        <v>23459</v>
      </c>
      <c r="M4147" s="10">
        <v>1</v>
      </c>
      <c r="N4147" s="10" t="s">
        <v>6954</v>
      </c>
      <c r="O4147" s="10"/>
      <c r="P4147" s="10" t="s">
        <v>23460</v>
      </c>
      <c r="Q4147" s="10">
        <v>378.01600000000002</v>
      </c>
      <c r="R4147" s="10" t="s">
        <v>23461</v>
      </c>
      <c r="S4147" s="10" t="s">
        <v>53</v>
      </c>
      <c r="T4147" s="10" t="s">
        <v>54</v>
      </c>
    </row>
    <row r="4148" spans="1:20" ht="14.5" x14ac:dyDescent="0.35">
      <c r="A4148" s="10" t="s">
        <v>23462</v>
      </c>
      <c r="B4148" s="10" t="str">
        <f>"9780415508094"</f>
        <v>9780415508094</v>
      </c>
      <c r="C4148" s="10" t="str">
        <f>"9781136451874"</f>
        <v>9781136451874</v>
      </c>
      <c r="D4148" s="10" t="s">
        <v>6350</v>
      </c>
      <c r="E4148" s="10" t="s">
        <v>6351</v>
      </c>
      <c r="F4148" s="10" t="s">
        <v>139</v>
      </c>
      <c r="G4148" s="10" t="s">
        <v>6352</v>
      </c>
      <c r="H4148" s="11">
        <v>40844</v>
      </c>
      <c r="I4148" s="10">
        <v>1992</v>
      </c>
      <c r="J4148" s="10" t="s">
        <v>6353</v>
      </c>
      <c r="K4148" s="10">
        <v>190</v>
      </c>
      <c r="L4148" s="10" t="s">
        <v>14443</v>
      </c>
      <c r="M4148" s="10">
        <v>1</v>
      </c>
      <c r="N4148" s="10" t="s">
        <v>16856</v>
      </c>
      <c r="O4148" s="10"/>
      <c r="P4148" s="10" t="s">
        <v>23463</v>
      </c>
      <c r="Q4148" s="10">
        <v>613.70709999999997</v>
      </c>
      <c r="R4148" s="10" t="s">
        <v>23464</v>
      </c>
      <c r="S4148" s="10" t="s">
        <v>53</v>
      </c>
      <c r="T4148" s="10" t="s">
        <v>7023</v>
      </c>
    </row>
    <row r="4149" spans="1:20" ht="14.5" x14ac:dyDescent="0.35">
      <c r="A4149" s="10" t="s">
        <v>23465</v>
      </c>
      <c r="B4149" s="10" t="str">
        <f>"9781843123217"</f>
        <v>9781843123217</v>
      </c>
      <c r="C4149" s="10" t="str">
        <f>"9781136613470"</f>
        <v>9781136613470</v>
      </c>
      <c r="D4149" s="10" t="s">
        <v>6350</v>
      </c>
      <c r="E4149" s="10" t="s">
        <v>15120</v>
      </c>
      <c r="F4149" s="10" t="s">
        <v>748</v>
      </c>
      <c r="G4149" s="10" t="s">
        <v>6352</v>
      </c>
      <c r="H4149" s="11">
        <v>38532</v>
      </c>
      <c r="I4149" s="10">
        <v>2005</v>
      </c>
      <c r="J4149" s="10" t="s">
        <v>15120</v>
      </c>
      <c r="K4149" s="10">
        <v>144</v>
      </c>
      <c r="L4149" s="10" t="s">
        <v>23466</v>
      </c>
      <c r="M4149" s="10">
        <v>1</v>
      </c>
      <c r="N4149" s="10"/>
      <c r="O4149" s="10"/>
      <c r="P4149" s="10" t="s">
        <v>23467</v>
      </c>
      <c r="Q4149" s="10">
        <v>370.72</v>
      </c>
      <c r="R4149" s="10" t="s">
        <v>7283</v>
      </c>
      <c r="S4149" s="10" t="s">
        <v>53</v>
      </c>
      <c r="T4149" s="10" t="s">
        <v>54</v>
      </c>
    </row>
    <row r="4150" spans="1:20" ht="14.5" x14ac:dyDescent="0.35">
      <c r="A4150" s="10" t="s">
        <v>23468</v>
      </c>
      <c r="B4150" s="10" t="str">
        <f>"9780415935104"</f>
        <v>9780415935104</v>
      </c>
      <c r="C4150" s="10" t="str">
        <f>"9781136063305"</f>
        <v>9781136063305</v>
      </c>
      <c r="D4150" s="10" t="s">
        <v>6350</v>
      </c>
      <c r="E4150" s="10" t="s">
        <v>6351</v>
      </c>
      <c r="F4150" s="10" t="s">
        <v>139</v>
      </c>
      <c r="G4150" s="10" t="s">
        <v>6352</v>
      </c>
      <c r="H4150" s="11">
        <v>37568</v>
      </c>
      <c r="I4150" s="10">
        <v>2003</v>
      </c>
      <c r="J4150" s="10" t="s">
        <v>6353</v>
      </c>
      <c r="K4150" s="10">
        <v>337</v>
      </c>
      <c r="L4150" s="10" t="s">
        <v>23469</v>
      </c>
      <c r="M4150" s="10">
        <v>1</v>
      </c>
      <c r="N4150" s="10"/>
      <c r="O4150" s="10"/>
      <c r="P4150" s="10" t="s">
        <v>23470</v>
      </c>
      <c r="Q4150" s="10" t="s">
        <v>17652</v>
      </c>
      <c r="R4150" s="10" t="s">
        <v>6484</v>
      </c>
      <c r="S4150" s="10" t="s">
        <v>53</v>
      </c>
      <c r="T4150" s="10" t="s">
        <v>16298</v>
      </c>
    </row>
    <row r="4151" spans="1:20" ht="14.5" x14ac:dyDescent="0.35">
      <c r="A4151" s="10" t="s">
        <v>23471</v>
      </c>
      <c r="B4151" s="10" t="str">
        <f>"9780415932936"</f>
        <v>9780415932936</v>
      </c>
      <c r="C4151" s="10" t="str">
        <f>"9781136061066"</f>
        <v>9781136061066</v>
      </c>
      <c r="D4151" s="10" t="s">
        <v>6350</v>
      </c>
      <c r="E4151" s="10" t="s">
        <v>6351</v>
      </c>
      <c r="F4151" s="10" t="s">
        <v>748</v>
      </c>
      <c r="G4151" s="10" t="s">
        <v>6352</v>
      </c>
      <c r="H4151" s="11">
        <v>37533</v>
      </c>
      <c r="I4151" s="10">
        <v>2002</v>
      </c>
      <c r="J4151" s="10" t="s">
        <v>6351</v>
      </c>
      <c r="K4151" s="10">
        <v>257</v>
      </c>
      <c r="L4151" s="10" t="s">
        <v>23472</v>
      </c>
      <c r="M4151" s="10">
        <v>1</v>
      </c>
      <c r="N4151" s="10" t="s">
        <v>7358</v>
      </c>
      <c r="O4151" s="10"/>
      <c r="P4151" s="10" t="s">
        <v>23473</v>
      </c>
      <c r="Q4151" s="10">
        <v>371.2</v>
      </c>
      <c r="R4151" s="10" t="s">
        <v>23474</v>
      </c>
      <c r="S4151" s="10" t="s">
        <v>53</v>
      </c>
      <c r="T4151" s="10" t="s">
        <v>54</v>
      </c>
    </row>
    <row r="4152" spans="1:20" ht="14.5" x14ac:dyDescent="0.35">
      <c r="A4152" s="10" t="s">
        <v>23475</v>
      </c>
      <c r="B4152" s="10" t="str">
        <f>"9780415614696"</f>
        <v>9780415614696</v>
      </c>
      <c r="C4152" s="10" t="str">
        <f>"9781136729485"</f>
        <v>9781136729485</v>
      </c>
      <c r="D4152" s="10" t="s">
        <v>6350</v>
      </c>
      <c r="E4152" s="10" t="s">
        <v>6351</v>
      </c>
      <c r="F4152" s="10" t="s">
        <v>139</v>
      </c>
      <c r="G4152" s="10" t="s">
        <v>6352</v>
      </c>
      <c r="H4152" s="11">
        <v>41243</v>
      </c>
      <c r="I4152" s="10">
        <v>2013</v>
      </c>
      <c r="J4152" s="10" t="s">
        <v>6353</v>
      </c>
      <c r="K4152" s="10">
        <v>248</v>
      </c>
      <c r="L4152" s="10" t="s">
        <v>23476</v>
      </c>
      <c r="M4152" s="10">
        <v>1</v>
      </c>
      <c r="N4152" s="10"/>
      <c r="O4152" s="10"/>
      <c r="P4152" s="10" t="s">
        <v>23477</v>
      </c>
      <c r="Q4152" s="10" t="s">
        <v>23478</v>
      </c>
      <c r="R4152" s="10" t="s">
        <v>23479</v>
      </c>
      <c r="S4152" s="10" t="s">
        <v>53</v>
      </c>
      <c r="T4152" s="10" t="s">
        <v>54</v>
      </c>
    </row>
    <row r="4153" spans="1:20" ht="14.5" x14ac:dyDescent="0.35">
      <c r="A4153" s="10" t="s">
        <v>23480</v>
      </c>
      <c r="B4153" s="10" t="str">
        <f>"9780415561365"</f>
        <v>9780415561365</v>
      </c>
      <c r="C4153" s="10" t="str">
        <f>"9781136035821"</f>
        <v>9781136035821</v>
      </c>
      <c r="D4153" s="10" t="s">
        <v>6350</v>
      </c>
      <c r="E4153" s="10" t="s">
        <v>6351</v>
      </c>
      <c r="F4153" s="10" t="s">
        <v>3967</v>
      </c>
      <c r="G4153" s="10" t="s">
        <v>6352</v>
      </c>
      <c r="H4153" s="11">
        <v>40150</v>
      </c>
      <c r="I4153" s="10">
        <v>2010</v>
      </c>
      <c r="J4153" s="10" t="s">
        <v>6353</v>
      </c>
      <c r="K4153" s="10">
        <v>313</v>
      </c>
      <c r="L4153" s="10" t="s">
        <v>23481</v>
      </c>
      <c r="M4153" s="10">
        <v>1</v>
      </c>
      <c r="N4153" s="10"/>
      <c r="O4153" s="10"/>
      <c r="P4153" s="10"/>
      <c r="Q4153" s="10" t="s">
        <v>7299</v>
      </c>
      <c r="R4153" s="10" t="s">
        <v>23482</v>
      </c>
      <c r="S4153" s="10" t="s">
        <v>53</v>
      </c>
      <c r="T4153" s="10" t="s">
        <v>54</v>
      </c>
    </row>
    <row r="4154" spans="1:20" ht="14.5" x14ac:dyDescent="0.35">
      <c r="A4154" s="10" t="s">
        <v>23483</v>
      </c>
      <c r="B4154" s="10" t="str">
        <f>"9780415501033"</f>
        <v>9780415501033</v>
      </c>
      <c r="C4154" s="10" t="str">
        <f>"9781136213380"</f>
        <v>9781136213380</v>
      </c>
      <c r="D4154" s="10" t="s">
        <v>6350</v>
      </c>
      <c r="E4154" s="10" t="s">
        <v>6351</v>
      </c>
      <c r="F4154" s="10" t="s">
        <v>139</v>
      </c>
      <c r="G4154" s="10" t="s">
        <v>6352</v>
      </c>
      <c r="H4154" s="11">
        <v>41184</v>
      </c>
      <c r="I4154" s="10">
        <v>2012</v>
      </c>
      <c r="J4154" s="10" t="s">
        <v>6353</v>
      </c>
      <c r="K4154" s="10">
        <v>159</v>
      </c>
      <c r="L4154" s="10" t="s">
        <v>23484</v>
      </c>
      <c r="M4154" s="10">
        <v>1</v>
      </c>
      <c r="N4154" s="10" t="s">
        <v>23485</v>
      </c>
      <c r="O4154" s="10"/>
      <c r="P4154" s="10" t="s">
        <v>23486</v>
      </c>
      <c r="Q4154" s="10" t="s">
        <v>23487</v>
      </c>
      <c r="R4154" s="10" t="s">
        <v>23488</v>
      </c>
      <c r="S4154" s="10" t="s">
        <v>53</v>
      </c>
      <c r="T4154" s="10" t="s">
        <v>54</v>
      </c>
    </row>
    <row r="4155" spans="1:20" ht="14.5" x14ac:dyDescent="0.35">
      <c r="A4155" s="10" t="s">
        <v>23489</v>
      </c>
      <c r="B4155" s="10" t="str">
        <f>"9780415875325"</f>
        <v>9780415875325</v>
      </c>
      <c r="C4155" s="10" t="str">
        <f>"9781136185847"</f>
        <v>9781136185847</v>
      </c>
      <c r="D4155" s="10" t="s">
        <v>6350</v>
      </c>
      <c r="E4155" s="10" t="s">
        <v>6351</v>
      </c>
      <c r="F4155" s="10" t="s">
        <v>139</v>
      </c>
      <c r="G4155" s="10" t="s">
        <v>6352</v>
      </c>
      <c r="H4155" s="11">
        <v>41205</v>
      </c>
      <c r="I4155" s="10">
        <v>2012</v>
      </c>
      <c r="J4155" s="10" t="s">
        <v>6353</v>
      </c>
      <c r="K4155" s="10">
        <v>201</v>
      </c>
      <c r="L4155" s="10" t="s">
        <v>15158</v>
      </c>
      <c r="M4155" s="10">
        <v>1</v>
      </c>
      <c r="N4155" s="10"/>
      <c r="O4155" s="10"/>
      <c r="P4155" s="10" t="s">
        <v>23490</v>
      </c>
      <c r="Q4155" s="10">
        <v>306.43097299999999</v>
      </c>
      <c r="R4155" s="10" t="s">
        <v>23491</v>
      </c>
      <c r="S4155" s="10" t="s">
        <v>53</v>
      </c>
      <c r="T4155" s="10" t="s">
        <v>6526</v>
      </c>
    </row>
    <row r="4156" spans="1:20" ht="14.5" x14ac:dyDescent="0.35">
      <c r="A4156" s="10" t="s">
        <v>23492</v>
      </c>
      <c r="B4156" s="10" t="str">
        <f>"9780415519489"</f>
        <v>9780415519489</v>
      </c>
      <c r="C4156" s="10" t="str">
        <f>"9781136333897"</f>
        <v>9781136333897</v>
      </c>
      <c r="D4156" s="10" t="s">
        <v>6350</v>
      </c>
      <c r="E4156" s="10" t="s">
        <v>6351</v>
      </c>
      <c r="F4156" s="10" t="s">
        <v>139</v>
      </c>
      <c r="G4156" s="10" t="s">
        <v>6352</v>
      </c>
      <c r="H4156" s="11">
        <v>40942</v>
      </c>
      <c r="I4156" s="10">
        <v>1975</v>
      </c>
      <c r="J4156" s="10" t="s">
        <v>6353</v>
      </c>
      <c r="K4156" s="10">
        <v>222</v>
      </c>
      <c r="L4156" s="10" t="s">
        <v>23493</v>
      </c>
      <c r="M4156" s="10">
        <v>1</v>
      </c>
      <c r="N4156" s="10" t="s">
        <v>16856</v>
      </c>
      <c r="O4156" s="10"/>
      <c r="P4156" s="10" t="s">
        <v>23494</v>
      </c>
      <c r="Q4156" s="10">
        <v>370.94150000000002</v>
      </c>
      <c r="R4156" s="10" t="s">
        <v>21504</v>
      </c>
      <c r="S4156" s="10" t="s">
        <v>53</v>
      </c>
      <c r="T4156" s="10" t="s">
        <v>54</v>
      </c>
    </row>
    <row r="4157" spans="1:20" ht="14.5" x14ac:dyDescent="0.35">
      <c r="A4157" s="10" t="s">
        <v>23495</v>
      </c>
      <c r="B4157" s="10" t="str">
        <f>"9780415564663"</f>
        <v>9780415564663</v>
      </c>
      <c r="C4157" s="10" t="str">
        <f>"9781136226380"</f>
        <v>9781136226380</v>
      </c>
      <c r="D4157" s="10" t="s">
        <v>6350</v>
      </c>
      <c r="E4157" s="10" t="s">
        <v>6351</v>
      </c>
      <c r="F4157" s="10" t="s">
        <v>139</v>
      </c>
      <c r="G4157" s="10" t="s">
        <v>6352</v>
      </c>
      <c r="H4157" s="11">
        <v>41243</v>
      </c>
      <c r="I4157" s="10">
        <v>2013</v>
      </c>
      <c r="J4157" s="10" t="s">
        <v>6353</v>
      </c>
      <c r="K4157" s="10">
        <v>175</v>
      </c>
      <c r="L4157" s="10" t="s">
        <v>23496</v>
      </c>
      <c r="M4157" s="10">
        <v>1</v>
      </c>
      <c r="N4157" s="10" t="s">
        <v>21374</v>
      </c>
      <c r="O4157" s="10"/>
      <c r="P4157" s="10" t="s">
        <v>23497</v>
      </c>
      <c r="Q4157" s="10">
        <v>378.12</v>
      </c>
      <c r="R4157" s="10" t="s">
        <v>23498</v>
      </c>
      <c r="S4157" s="10" t="s">
        <v>53</v>
      </c>
      <c r="T4157" s="10" t="s">
        <v>54</v>
      </c>
    </row>
    <row r="4158" spans="1:20" ht="14.5" x14ac:dyDescent="0.35">
      <c r="A4158" s="10" t="s">
        <v>23499</v>
      </c>
      <c r="B4158" s="10" t="str">
        <f>"9781475801095"</f>
        <v>9781475801095</v>
      </c>
      <c r="C4158" s="10" t="str">
        <f>"9781475801118"</f>
        <v>9781475801118</v>
      </c>
      <c r="D4158" s="10" t="s">
        <v>9752</v>
      </c>
      <c r="E4158" s="10" t="s">
        <v>15192</v>
      </c>
      <c r="F4158" s="10" t="s">
        <v>9754</v>
      </c>
      <c r="G4158" s="10" t="s">
        <v>6317</v>
      </c>
      <c r="H4158" s="11">
        <v>41205</v>
      </c>
      <c r="I4158" s="10">
        <v>2012</v>
      </c>
      <c r="J4158" s="10" t="s">
        <v>15192</v>
      </c>
      <c r="K4158" s="10">
        <v>198</v>
      </c>
      <c r="L4158" s="10" t="s">
        <v>23500</v>
      </c>
      <c r="M4158" s="10">
        <v>1</v>
      </c>
      <c r="N4158" s="10"/>
      <c r="O4158" s="10"/>
      <c r="P4158" s="10" t="s">
        <v>23501</v>
      </c>
      <c r="Q4158" s="10">
        <v>370.15</v>
      </c>
      <c r="R4158" s="10" t="s">
        <v>23502</v>
      </c>
      <c r="S4158" s="10" t="s">
        <v>53</v>
      </c>
      <c r="T4158" s="10" t="s">
        <v>54</v>
      </c>
    </row>
    <row r="4159" spans="1:20" ht="14.5" x14ac:dyDescent="0.35">
      <c r="A4159" s="10" t="s">
        <v>23503</v>
      </c>
      <c r="B4159" s="10" t="str">
        <f>"9781412955768"</f>
        <v>9781412955768</v>
      </c>
      <c r="C4159" s="10" t="str">
        <f>"9781452215679"</f>
        <v>9781452215679</v>
      </c>
      <c r="D4159" s="10" t="s">
        <v>22210</v>
      </c>
      <c r="E4159" s="10" t="s">
        <v>22211</v>
      </c>
      <c r="F4159" s="10" t="s">
        <v>333</v>
      </c>
      <c r="G4159" s="10" t="s">
        <v>6317</v>
      </c>
      <c r="H4159" s="11">
        <v>39869</v>
      </c>
      <c r="I4159" s="10">
        <v>2009</v>
      </c>
      <c r="J4159" s="10" t="s">
        <v>22211</v>
      </c>
      <c r="K4159" s="10">
        <v>249</v>
      </c>
      <c r="L4159" s="10" t="s">
        <v>23504</v>
      </c>
      <c r="M4159" s="10">
        <v>1</v>
      </c>
      <c r="N4159" s="10"/>
      <c r="O4159" s="10"/>
      <c r="P4159" s="10"/>
      <c r="Q4159" s="10">
        <v>371.10199999999998</v>
      </c>
      <c r="R4159" s="10"/>
      <c r="S4159" s="10" t="s">
        <v>53</v>
      </c>
      <c r="T4159" s="10" t="s">
        <v>54</v>
      </c>
    </row>
    <row r="4160" spans="1:20" ht="14.5" x14ac:dyDescent="0.35">
      <c r="A4160" s="10" t="s">
        <v>23505</v>
      </c>
      <c r="B4160" s="10" t="str">
        <f>"9781412972628"</f>
        <v>9781412972628</v>
      </c>
      <c r="C4160" s="10" t="str">
        <f>"9781452215877"</f>
        <v>9781452215877</v>
      </c>
      <c r="D4160" s="10" t="s">
        <v>22210</v>
      </c>
      <c r="E4160" s="10" t="s">
        <v>22211</v>
      </c>
      <c r="F4160" s="10" t="s">
        <v>333</v>
      </c>
      <c r="G4160" s="10" t="s">
        <v>6317</v>
      </c>
      <c r="H4160" s="11">
        <v>39966</v>
      </c>
      <c r="I4160" s="10">
        <v>2009</v>
      </c>
      <c r="J4160" s="10" t="s">
        <v>22211</v>
      </c>
      <c r="K4160" s="10">
        <v>97</v>
      </c>
      <c r="L4160" s="10" t="s">
        <v>23506</v>
      </c>
      <c r="M4160" s="10">
        <v>2</v>
      </c>
      <c r="N4160" s="10"/>
      <c r="O4160" s="10"/>
      <c r="P4160" s="10" t="s">
        <v>23507</v>
      </c>
      <c r="Q4160" s="10">
        <v>370</v>
      </c>
      <c r="R4160" s="10"/>
      <c r="S4160" s="10" t="s">
        <v>53</v>
      </c>
      <c r="T4160" s="10" t="s">
        <v>10454</v>
      </c>
    </row>
    <row r="4161" spans="1:20" ht="14.5" x14ac:dyDescent="0.35">
      <c r="A4161" s="10" t="s">
        <v>23508</v>
      </c>
      <c r="B4161" s="10" t="str">
        <f>"9781412953863"</f>
        <v>9781412953863</v>
      </c>
      <c r="C4161" s="10" t="str">
        <f>"9781452207230"</f>
        <v>9781452207230</v>
      </c>
      <c r="D4161" s="10" t="s">
        <v>22210</v>
      </c>
      <c r="E4161" s="10" t="s">
        <v>22211</v>
      </c>
      <c r="F4161" s="10" t="s">
        <v>333</v>
      </c>
      <c r="G4161" s="10" t="s">
        <v>6317</v>
      </c>
      <c r="H4161" s="11">
        <v>39177</v>
      </c>
      <c r="I4161" s="10">
        <v>2007</v>
      </c>
      <c r="J4161" s="10" t="s">
        <v>22211</v>
      </c>
      <c r="K4161" s="10">
        <v>161</v>
      </c>
      <c r="L4161" s="10" t="s">
        <v>23509</v>
      </c>
      <c r="M4161" s="10">
        <v>1</v>
      </c>
      <c r="N4161" s="10"/>
      <c r="O4161" s="10"/>
      <c r="P4161" s="10" t="s">
        <v>23510</v>
      </c>
      <c r="Q4161" s="10">
        <v>371.9</v>
      </c>
      <c r="R4161" s="10"/>
      <c r="S4161" s="10" t="s">
        <v>53</v>
      </c>
      <c r="T4161" s="10" t="s">
        <v>54</v>
      </c>
    </row>
    <row r="4162" spans="1:20" ht="14.5" x14ac:dyDescent="0.35">
      <c r="A4162" s="10" t="s">
        <v>23511</v>
      </c>
      <c r="B4162" s="10" t="str">
        <f>"9781412939324"</f>
        <v>9781412939324</v>
      </c>
      <c r="C4162" s="10" t="str">
        <f>"9781452208312"</f>
        <v>9781452208312</v>
      </c>
      <c r="D4162" s="10" t="s">
        <v>22210</v>
      </c>
      <c r="E4162" s="10" t="s">
        <v>22211</v>
      </c>
      <c r="F4162" s="10" t="s">
        <v>333</v>
      </c>
      <c r="G4162" s="10" t="s">
        <v>6317</v>
      </c>
      <c r="H4162" s="11">
        <v>39938</v>
      </c>
      <c r="I4162" s="10">
        <v>2009</v>
      </c>
      <c r="J4162" s="10" t="s">
        <v>22211</v>
      </c>
      <c r="K4162" s="10">
        <v>153</v>
      </c>
      <c r="L4162" s="10" t="s">
        <v>23512</v>
      </c>
      <c r="M4162" s="10">
        <v>1</v>
      </c>
      <c r="N4162" s="10"/>
      <c r="O4162" s="10"/>
      <c r="P4162" s="10"/>
      <c r="Q4162" s="10"/>
      <c r="R4162" s="10"/>
      <c r="S4162" s="10" t="s">
        <v>53</v>
      </c>
      <c r="T4162" s="10" t="s">
        <v>54</v>
      </c>
    </row>
    <row r="4163" spans="1:20" ht="14.5" x14ac:dyDescent="0.35">
      <c r="A4163" s="10" t="s">
        <v>23513</v>
      </c>
      <c r="B4163" s="10" t="str">
        <f>"9781412971119"</f>
        <v>9781412971119</v>
      </c>
      <c r="C4163" s="10" t="str">
        <f>"9781452208862"</f>
        <v>9781452208862</v>
      </c>
      <c r="D4163" s="10" t="s">
        <v>22210</v>
      </c>
      <c r="E4163" s="10" t="s">
        <v>22211</v>
      </c>
      <c r="F4163" s="10" t="s">
        <v>333</v>
      </c>
      <c r="G4163" s="10" t="s">
        <v>6317</v>
      </c>
      <c r="H4163" s="11">
        <v>39981</v>
      </c>
      <c r="I4163" s="10">
        <v>2009</v>
      </c>
      <c r="J4163" s="10" t="s">
        <v>22211</v>
      </c>
      <c r="K4163" s="10">
        <v>217</v>
      </c>
      <c r="L4163" s="10" t="s">
        <v>23514</v>
      </c>
      <c r="M4163" s="10">
        <v>1</v>
      </c>
      <c r="N4163" s="10"/>
      <c r="O4163" s="10"/>
      <c r="P4163" s="10" t="s">
        <v>23515</v>
      </c>
      <c r="Q4163" s="10" t="s">
        <v>23516</v>
      </c>
      <c r="R4163" s="10"/>
      <c r="S4163" s="10" t="s">
        <v>53</v>
      </c>
      <c r="T4163" s="10" t="s">
        <v>54</v>
      </c>
    </row>
    <row r="4164" spans="1:20" ht="14.5" x14ac:dyDescent="0.35">
      <c r="A4164" s="10" t="s">
        <v>23517</v>
      </c>
      <c r="B4164" s="10" t="str">
        <f>"9781412971393"</f>
        <v>9781412971393</v>
      </c>
      <c r="C4164" s="10" t="str">
        <f>"9781452209715"</f>
        <v>9781452209715</v>
      </c>
      <c r="D4164" s="10" t="s">
        <v>22210</v>
      </c>
      <c r="E4164" s="10" t="s">
        <v>22211</v>
      </c>
      <c r="F4164" s="10" t="s">
        <v>333</v>
      </c>
      <c r="G4164" s="10" t="s">
        <v>6317</v>
      </c>
      <c r="H4164" s="11">
        <v>40133</v>
      </c>
      <c r="I4164" s="10">
        <v>2010</v>
      </c>
      <c r="J4164" s="10" t="s">
        <v>22211</v>
      </c>
      <c r="K4164" s="10">
        <v>249</v>
      </c>
      <c r="L4164" s="10" t="s">
        <v>23518</v>
      </c>
      <c r="M4164" s="10">
        <v>1</v>
      </c>
      <c r="N4164" s="10"/>
      <c r="O4164" s="10"/>
      <c r="P4164" s="10" t="s">
        <v>23519</v>
      </c>
      <c r="Q4164" s="10" t="s">
        <v>8460</v>
      </c>
      <c r="R4164" s="10"/>
      <c r="S4164" s="10" t="s">
        <v>53</v>
      </c>
      <c r="T4164" s="10" t="s">
        <v>54</v>
      </c>
    </row>
    <row r="4165" spans="1:20" ht="14.5" x14ac:dyDescent="0.35">
      <c r="A4165" s="10" t="s">
        <v>23520</v>
      </c>
      <c r="B4165" s="10" t="str">
        <f>"9781412964531"</f>
        <v>9781412964531</v>
      </c>
      <c r="C4165" s="10" t="str">
        <f>"9781452209906"</f>
        <v>9781452209906</v>
      </c>
      <c r="D4165" s="10" t="s">
        <v>22210</v>
      </c>
      <c r="E4165" s="10" t="s">
        <v>22211</v>
      </c>
      <c r="F4165" s="10" t="s">
        <v>333</v>
      </c>
      <c r="G4165" s="10" t="s">
        <v>6317</v>
      </c>
      <c r="H4165" s="11">
        <v>39821</v>
      </c>
      <c r="I4165" s="10">
        <v>2009</v>
      </c>
      <c r="J4165" s="10" t="s">
        <v>22211</v>
      </c>
      <c r="K4165" s="10">
        <v>193</v>
      </c>
      <c r="L4165" s="10" t="s">
        <v>17150</v>
      </c>
      <c r="M4165" s="10">
        <v>1</v>
      </c>
      <c r="N4165" s="10"/>
      <c r="O4165" s="10"/>
      <c r="P4165" s="10"/>
      <c r="Q4165" s="10">
        <v>371.10199999999998</v>
      </c>
      <c r="R4165" s="10"/>
      <c r="S4165" s="10" t="s">
        <v>53</v>
      </c>
      <c r="T4165" s="10" t="s">
        <v>54</v>
      </c>
    </row>
    <row r="4166" spans="1:20" ht="14.5" x14ac:dyDescent="0.35">
      <c r="A4166" s="10" t="s">
        <v>23521</v>
      </c>
      <c r="B4166" s="10" t="str">
        <f>"9781412965637"</f>
        <v>9781412965637</v>
      </c>
      <c r="C4166" s="10" t="str">
        <f>"9781452209975"</f>
        <v>9781452209975</v>
      </c>
      <c r="D4166" s="10" t="s">
        <v>22210</v>
      </c>
      <c r="E4166" s="10" t="s">
        <v>22211</v>
      </c>
      <c r="F4166" s="10" t="s">
        <v>333</v>
      </c>
      <c r="G4166" s="10" t="s">
        <v>6317</v>
      </c>
      <c r="H4166" s="11">
        <v>39825</v>
      </c>
      <c r="I4166" s="10">
        <v>2009</v>
      </c>
      <c r="J4166" s="10" t="s">
        <v>22211</v>
      </c>
      <c r="K4166" s="10">
        <v>265</v>
      </c>
      <c r="L4166" s="10" t="s">
        <v>23522</v>
      </c>
      <c r="M4166" s="10">
        <v>1</v>
      </c>
      <c r="N4166" s="10"/>
      <c r="O4166" s="10"/>
      <c r="P4166" s="10" t="s">
        <v>23523</v>
      </c>
      <c r="Q4166" s="10" t="s">
        <v>23524</v>
      </c>
      <c r="R4166" s="10"/>
      <c r="S4166" s="10" t="s">
        <v>53</v>
      </c>
      <c r="T4166" s="10" t="s">
        <v>6634</v>
      </c>
    </row>
    <row r="4167" spans="1:20" ht="14.5" x14ac:dyDescent="0.35">
      <c r="A4167" s="10" t="s">
        <v>23525</v>
      </c>
      <c r="B4167" s="10" t="str">
        <f>"9781412967877"</f>
        <v>9781412967877</v>
      </c>
      <c r="C4167" s="10" t="str">
        <f>"9781452209210"</f>
        <v>9781452209210</v>
      </c>
      <c r="D4167" s="10" t="s">
        <v>22210</v>
      </c>
      <c r="E4167" s="10" t="s">
        <v>22211</v>
      </c>
      <c r="F4167" s="10" t="s">
        <v>333</v>
      </c>
      <c r="G4167" s="10" t="s">
        <v>6317</v>
      </c>
      <c r="H4167" s="11">
        <v>40157</v>
      </c>
      <c r="I4167" s="10">
        <v>2010</v>
      </c>
      <c r="J4167" s="10" t="s">
        <v>22211</v>
      </c>
      <c r="K4167" s="10">
        <v>201</v>
      </c>
      <c r="L4167" s="10" t="s">
        <v>23196</v>
      </c>
      <c r="M4167" s="10">
        <v>1</v>
      </c>
      <c r="N4167" s="10"/>
      <c r="O4167" s="10"/>
      <c r="P4167" s="10" t="s">
        <v>23526</v>
      </c>
      <c r="Q4167" s="10">
        <v>372.7</v>
      </c>
      <c r="R4167" s="10"/>
      <c r="S4167" s="10" t="s">
        <v>53</v>
      </c>
      <c r="T4167" s="10" t="s">
        <v>7425</v>
      </c>
    </row>
    <row r="4168" spans="1:20" ht="14.5" x14ac:dyDescent="0.35">
      <c r="A4168" s="10" t="s">
        <v>23527</v>
      </c>
      <c r="B4168" s="10" t="str">
        <f>"9781412966191"</f>
        <v>9781412966191</v>
      </c>
      <c r="C4168" s="10" t="str">
        <f>"9781452209753"</f>
        <v>9781452209753</v>
      </c>
      <c r="D4168" s="10" t="s">
        <v>22210</v>
      </c>
      <c r="E4168" s="10" t="s">
        <v>22211</v>
      </c>
      <c r="F4168" s="10" t="s">
        <v>333</v>
      </c>
      <c r="G4168" s="10" t="s">
        <v>6317</v>
      </c>
      <c r="H4168" s="11">
        <v>39821</v>
      </c>
      <c r="I4168" s="10">
        <v>2009</v>
      </c>
      <c r="J4168" s="10" t="s">
        <v>22211</v>
      </c>
      <c r="K4168" s="10">
        <v>273</v>
      </c>
      <c r="L4168" s="10" t="s">
        <v>23528</v>
      </c>
      <c r="M4168" s="10">
        <v>2</v>
      </c>
      <c r="N4168" s="10"/>
      <c r="O4168" s="10"/>
      <c r="P4168" s="10" t="s">
        <v>23529</v>
      </c>
      <c r="Q4168" s="10">
        <v>371.10199999999998</v>
      </c>
      <c r="R4168" s="10"/>
      <c r="S4168" s="10" t="s">
        <v>53</v>
      </c>
      <c r="T4168" s="10" t="s">
        <v>54</v>
      </c>
    </row>
    <row r="4169" spans="1:20" ht="14.5" x14ac:dyDescent="0.35">
      <c r="A4169" s="10" t="s">
        <v>23530</v>
      </c>
      <c r="B4169" s="10" t="str">
        <f>"9781483347257"</f>
        <v>9781483347257</v>
      </c>
      <c r="C4169" s="10" t="str">
        <f>"9781452208718"</f>
        <v>9781452208718</v>
      </c>
      <c r="D4169" s="10" t="s">
        <v>22210</v>
      </c>
      <c r="E4169" s="10" t="s">
        <v>22211</v>
      </c>
      <c r="F4169" s="10" t="s">
        <v>333</v>
      </c>
      <c r="G4169" s="10" t="s">
        <v>6317</v>
      </c>
      <c r="H4169" s="11">
        <v>40141</v>
      </c>
      <c r="I4169" s="10">
        <v>2010</v>
      </c>
      <c r="J4169" s="10" t="s">
        <v>22211</v>
      </c>
      <c r="K4169" s="10">
        <v>89</v>
      </c>
      <c r="L4169" s="10" t="s">
        <v>23236</v>
      </c>
      <c r="M4169" s="10">
        <v>2</v>
      </c>
      <c r="N4169" s="10"/>
      <c r="O4169" s="10"/>
      <c r="P4169" s="10" t="s">
        <v>23531</v>
      </c>
      <c r="Q4169" s="10"/>
      <c r="R4169" s="10"/>
      <c r="S4169" s="10" t="s">
        <v>53</v>
      </c>
      <c r="T4169" s="10" t="s">
        <v>54</v>
      </c>
    </row>
    <row r="4170" spans="1:20" ht="14.5" x14ac:dyDescent="0.35">
      <c r="A4170" s="10" t="s">
        <v>23532</v>
      </c>
      <c r="B4170" s="10" t="str">
        <f>"9781412971485"</f>
        <v>9781412971485</v>
      </c>
      <c r="C4170" s="10" t="str">
        <f>"9781452208992"</f>
        <v>9781452208992</v>
      </c>
      <c r="D4170" s="10" t="s">
        <v>22210</v>
      </c>
      <c r="E4170" s="10" t="s">
        <v>22211</v>
      </c>
      <c r="F4170" s="10" t="s">
        <v>333</v>
      </c>
      <c r="G4170" s="10" t="s">
        <v>6317</v>
      </c>
      <c r="H4170" s="11">
        <v>40050</v>
      </c>
      <c r="I4170" s="10">
        <v>2009</v>
      </c>
      <c r="J4170" s="10" t="s">
        <v>22211</v>
      </c>
      <c r="K4170" s="10">
        <v>193</v>
      </c>
      <c r="L4170" s="10" t="s">
        <v>18000</v>
      </c>
      <c r="M4170" s="10">
        <v>1</v>
      </c>
      <c r="N4170" s="10"/>
      <c r="O4170" s="10"/>
      <c r="P4170" s="10" t="s">
        <v>23533</v>
      </c>
      <c r="Q4170" s="10">
        <v>371.20699999999999</v>
      </c>
      <c r="R4170" s="10"/>
      <c r="S4170" s="10" t="s">
        <v>53</v>
      </c>
      <c r="T4170" s="10" t="s">
        <v>54</v>
      </c>
    </row>
    <row r="4171" spans="1:20" ht="14.5" x14ac:dyDescent="0.35">
      <c r="A4171" s="10" t="s">
        <v>23534</v>
      </c>
      <c r="B4171" s="10" t="str">
        <f>"9781412964135"</f>
        <v>9781412964135</v>
      </c>
      <c r="C4171" s="10" t="str">
        <f>"9781452209449"</f>
        <v>9781452209449</v>
      </c>
      <c r="D4171" s="10" t="s">
        <v>22210</v>
      </c>
      <c r="E4171" s="10" t="s">
        <v>22211</v>
      </c>
      <c r="F4171" s="10" t="s">
        <v>333</v>
      </c>
      <c r="G4171" s="10" t="s">
        <v>6317</v>
      </c>
      <c r="H4171" s="11">
        <v>40017</v>
      </c>
      <c r="I4171" s="10">
        <v>2009</v>
      </c>
      <c r="J4171" s="10" t="s">
        <v>22211</v>
      </c>
      <c r="K4171" s="10">
        <v>169</v>
      </c>
      <c r="L4171" s="10" t="s">
        <v>23535</v>
      </c>
      <c r="M4171" s="10">
        <v>1</v>
      </c>
      <c r="N4171" s="10"/>
      <c r="O4171" s="10"/>
      <c r="P4171" s="10" t="s">
        <v>23536</v>
      </c>
      <c r="Q4171" s="10"/>
      <c r="R4171" s="10"/>
      <c r="S4171" s="10" t="s">
        <v>53</v>
      </c>
      <c r="T4171" s="10" t="s">
        <v>54</v>
      </c>
    </row>
    <row r="4172" spans="1:20" ht="14.5" x14ac:dyDescent="0.35">
      <c r="A4172" s="10" t="s">
        <v>23537</v>
      </c>
      <c r="B4172" s="10" t="str">
        <f>"9781412971461"</f>
        <v>9781412971461</v>
      </c>
      <c r="C4172" s="10" t="str">
        <f>"9781452210353"</f>
        <v>9781452210353</v>
      </c>
      <c r="D4172" s="10" t="s">
        <v>22210</v>
      </c>
      <c r="E4172" s="10" t="s">
        <v>22211</v>
      </c>
      <c r="F4172" s="10" t="s">
        <v>333</v>
      </c>
      <c r="G4172" s="10" t="s">
        <v>6317</v>
      </c>
      <c r="H4172" s="11">
        <v>39871</v>
      </c>
      <c r="I4172" s="10">
        <v>2009</v>
      </c>
      <c r="J4172" s="10" t="s">
        <v>22211</v>
      </c>
      <c r="K4172" s="10">
        <v>193</v>
      </c>
      <c r="L4172" s="10" t="s">
        <v>23538</v>
      </c>
      <c r="M4172" s="10">
        <v>1</v>
      </c>
      <c r="N4172" s="10"/>
      <c r="O4172" s="10"/>
      <c r="P4172" s="10" t="s">
        <v>23539</v>
      </c>
      <c r="Q4172" s="10" t="s">
        <v>9360</v>
      </c>
      <c r="R4172" s="10"/>
      <c r="S4172" s="10" t="s">
        <v>53</v>
      </c>
      <c r="T4172" s="10" t="s">
        <v>54</v>
      </c>
    </row>
    <row r="4173" spans="1:20" ht="14.5" x14ac:dyDescent="0.35">
      <c r="A4173" s="10" t="s">
        <v>23540</v>
      </c>
      <c r="B4173" s="10" t="str">
        <f>"9781412927635"</f>
        <v>9781412927635</v>
      </c>
      <c r="C4173" s="10" t="str">
        <f>"9781452214382"</f>
        <v>9781452214382</v>
      </c>
      <c r="D4173" s="10" t="s">
        <v>22210</v>
      </c>
      <c r="E4173" s="10" t="s">
        <v>22211</v>
      </c>
      <c r="F4173" s="10" t="s">
        <v>333</v>
      </c>
      <c r="G4173" s="10" t="s">
        <v>6317</v>
      </c>
      <c r="H4173" s="11">
        <v>40259</v>
      </c>
      <c r="I4173" s="10">
        <v>2010</v>
      </c>
      <c r="J4173" s="10" t="s">
        <v>22211</v>
      </c>
      <c r="K4173" s="10">
        <v>137</v>
      </c>
      <c r="L4173" s="10" t="s">
        <v>23541</v>
      </c>
      <c r="M4173" s="10">
        <v>1</v>
      </c>
      <c r="N4173" s="10"/>
      <c r="O4173" s="10"/>
      <c r="P4173" s="10" t="s">
        <v>23542</v>
      </c>
      <c r="Q4173" s="10" t="s">
        <v>10085</v>
      </c>
      <c r="R4173" s="10" t="s">
        <v>23543</v>
      </c>
      <c r="S4173" s="10" t="s">
        <v>53</v>
      </c>
      <c r="T4173" s="10" t="s">
        <v>389</v>
      </c>
    </row>
    <row r="4174" spans="1:20" ht="14.5" x14ac:dyDescent="0.35">
      <c r="A4174" s="10" t="s">
        <v>23544</v>
      </c>
      <c r="B4174" s="10" t="str">
        <f>"9780761988816"</f>
        <v>9780761988816</v>
      </c>
      <c r="C4174" s="10" t="str">
        <f>"9781452282480"</f>
        <v>9781452282480</v>
      </c>
      <c r="D4174" s="10" t="s">
        <v>22210</v>
      </c>
      <c r="E4174" s="10" t="s">
        <v>22211</v>
      </c>
      <c r="F4174" s="10" t="s">
        <v>333</v>
      </c>
      <c r="G4174" s="10" t="s">
        <v>6317</v>
      </c>
      <c r="H4174" s="11">
        <v>38288</v>
      </c>
      <c r="I4174" s="10">
        <v>2005</v>
      </c>
      <c r="J4174" s="10" t="s">
        <v>22211</v>
      </c>
      <c r="K4174" s="10">
        <v>241</v>
      </c>
      <c r="L4174" s="10" t="s">
        <v>23545</v>
      </c>
      <c r="M4174" s="10">
        <v>1</v>
      </c>
      <c r="N4174" s="10"/>
      <c r="O4174" s="10"/>
      <c r="P4174" s="10" t="s">
        <v>23546</v>
      </c>
      <c r="Q4174" s="10">
        <v>372.6</v>
      </c>
      <c r="R4174" s="10"/>
      <c r="S4174" s="10" t="s">
        <v>53</v>
      </c>
      <c r="T4174" s="10" t="s">
        <v>54</v>
      </c>
    </row>
    <row r="4175" spans="1:20" ht="14.5" x14ac:dyDescent="0.35">
      <c r="A4175" s="10" t="s">
        <v>23547</v>
      </c>
      <c r="B4175" s="10" t="str">
        <f>"9781412949446"</f>
        <v>9781412949446</v>
      </c>
      <c r="C4175" s="10" t="str">
        <f>"9781452211718"</f>
        <v>9781452211718</v>
      </c>
      <c r="D4175" s="10" t="s">
        <v>22210</v>
      </c>
      <c r="E4175" s="10" t="s">
        <v>22211</v>
      </c>
      <c r="F4175" s="10" t="s">
        <v>333</v>
      </c>
      <c r="G4175" s="10" t="s">
        <v>6317</v>
      </c>
      <c r="H4175" s="11">
        <v>39881</v>
      </c>
      <c r="I4175" s="10">
        <v>2009</v>
      </c>
      <c r="J4175" s="10" t="s">
        <v>22211</v>
      </c>
      <c r="K4175" s="10">
        <v>161</v>
      </c>
      <c r="L4175" s="10" t="s">
        <v>23548</v>
      </c>
      <c r="M4175" s="10">
        <v>1</v>
      </c>
      <c r="N4175" s="10" t="s">
        <v>23158</v>
      </c>
      <c r="O4175" s="10"/>
      <c r="P4175" s="10" t="s">
        <v>23549</v>
      </c>
      <c r="Q4175" s="10"/>
      <c r="R4175" s="10"/>
      <c r="S4175" s="10" t="s">
        <v>53</v>
      </c>
      <c r="T4175" s="10" t="s">
        <v>54</v>
      </c>
    </row>
    <row r="4176" spans="1:20" ht="14.5" x14ac:dyDescent="0.35">
      <c r="A4176" s="10" t="s">
        <v>23550</v>
      </c>
      <c r="B4176" s="10" t="str">
        <f>"9781412966528"</f>
        <v>9781412966528</v>
      </c>
      <c r="C4176" s="10" t="str">
        <f>"9781452213095"</f>
        <v>9781452213095</v>
      </c>
      <c r="D4176" s="10" t="s">
        <v>22210</v>
      </c>
      <c r="E4176" s="10" t="s">
        <v>22211</v>
      </c>
      <c r="F4176" s="10" t="s">
        <v>333</v>
      </c>
      <c r="G4176" s="10" t="s">
        <v>6317</v>
      </c>
      <c r="H4176" s="11">
        <v>39974</v>
      </c>
      <c r="I4176" s="10">
        <v>2009</v>
      </c>
      <c r="J4176" s="10" t="s">
        <v>22211</v>
      </c>
      <c r="K4176" s="10">
        <v>185</v>
      </c>
      <c r="L4176" s="10" t="s">
        <v>23551</v>
      </c>
      <c r="M4176" s="10">
        <v>1</v>
      </c>
      <c r="N4176" s="10"/>
      <c r="O4176" s="10"/>
      <c r="P4176" s="10" t="s">
        <v>23552</v>
      </c>
      <c r="Q4176" s="10">
        <v>371.94</v>
      </c>
      <c r="R4176" s="10"/>
      <c r="S4176" s="10" t="s">
        <v>53</v>
      </c>
      <c r="T4176" s="10" t="s">
        <v>54</v>
      </c>
    </row>
    <row r="4177" spans="1:20" ht="14.5" x14ac:dyDescent="0.35">
      <c r="A4177" s="10" t="s">
        <v>23553</v>
      </c>
      <c r="B4177" s="10" t="str">
        <f>"9781412970365"</f>
        <v>9781412970365</v>
      </c>
      <c r="C4177" s="10" t="str">
        <f>"9781452212760"</f>
        <v>9781452212760</v>
      </c>
      <c r="D4177" s="10" t="s">
        <v>22210</v>
      </c>
      <c r="E4177" s="10" t="s">
        <v>22211</v>
      </c>
      <c r="F4177" s="10" t="s">
        <v>333</v>
      </c>
      <c r="G4177" s="10" t="s">
        <v>6317</v>
      </c>
      <c r="H4177" s="11">
        <v>39954</v>
      </c>
      <c r="I4177" s="10">
        <v>2009</v>
      </c>
      <c r="J4177" s="10" t="s">
        <v>22211</v>
      </c>
      <c r="K4177" s="10">
        <v>129</v>
      </c>
      <c r="L4177" s="10" t="s">
        <v>23554</v>
      </c>
      <c r="M4177" s="10">
        <v>3</v>
      </c>
      <c r="N4177" s="10"/>
      <c r="O4177" s="10"/>
      <c r="P4177" s="10" t="s">
        <v>23555</v>
      </c>
      <c r="Q4177" s="10">
        <v>371.10199999999998</v>
      </c>
      <c r="R4177" s="10"/>
      <c r="S4177" s="10" t="s">
        <v>53</v>
      </c>
      <c r="T4177" s="10" t="s">
        <v>54</v>
      </c>
    </row>
    <row r="4178" spans="1:20" ht="14.5" x14ac:dyDescent="0.35">
      <c r="A4178" s="10" t="s">
        <v>23556</v>
      </c>
      <c r="B4178" s="10" t="str">
        <f>"9781412965767"</f>
        <v>9781412965767</v>
      </c>
      <c r="C4178" s="10" t="str">
        <f>"9781452211152"</f>
        <v>9781452211152</v>
      </c>
      <c r="D4178" s="10" t="s">
        <v>22210</v>
      </c>
      <c r="E4178" s="10" t="s">
        <v>22211</v>
      </c>
      <c r="F4178" s="10" t="s">
        <v>333</v>
      </c>
      <c r="G4178" s="10" t="s">
        <v>6317</v>
      </c>
      <c r="H4178" s="11">
        <v>39988</v>
      </c>
      <c r="I4178" s="10">
        <v>2009</v>
      </c>
      <c r="J4178" s="10" t="s">
        <v>22211</v>
      </c>
      <c r="K4178" s="10">
        <v>337</v>
      </c>
      <c r="L4178" s="10" t="s">
        <v>23557</v>
      </c>
      <c r="M4178" s="10">
        <v>1</v>
      </c>
      <c r="N4178" s="10"/>
      <c r="O4178" s="10"/>
      <c r="P4178" s="10" t="s">
        <v>23558</v>
      </c>
      <c r="Q4178" s="10" t="s">
        <v>23559</v>
      </c>
      <c r="R4178" s="10"/>
      <c r="S4178" s="10" t="s">
        <v>53</v>
      </c>
      <c r="T4178" s="10" t="s">
        <v>5396</v>
      </c>
    </row>
    <row r="4179" spans="1:20" ht="14.5" x14ac:dyDescent="0.35">
      <c r="A4179" s="10" t="s">
        <v>23560</v>
      </c>
      <c r="B4179" s="10" t="str">
        <f>"9781412958127"</f>
        <v>9781412958127</v>
      </c>
      <c r="C4179" s="10" t="str">
        <f>"9781452273952"</f>
        <v>9781452273952</v>
      </c>
      <c r="D4179" s="10" t="s">
        <v>22210</v>
      </c>
      <c r="E4179" s="10" t="s">
        <v>22211</v>
      </c>
      <c r="F4179" s="10" t="s">
        <v>333</v>
      </c>
      <c r="G4179" s="10" t="s">
        <v>6317</v>
      </c>
      <c r="H4179" s="11">
        <v>39840</v>
      </c>
      <c r="I4179" s="10">
        <v>2009</v>
      </c>
      <c r="J4179" s="10" t="s">
        <v>22211</v>
      </c>
      <c r="K4179" s="10">
        <v>265</v>
      </c>
      <c r="L4179" s="10" t="s">
        <v>23561</v>
      </c>
      <c r="M4179" s="10">
        <v>3</v>
      </c>
      <c r="N4179" s="10"/>
      <c r="O4179" s="10"/>
      <c r="P4179" s="10" t="s">
        <v>23562</v>
      </c>
      <c r="Q4179" s="10" t="s">
        <v>23563</v>
      </c>
      <c r="R4179" s="10"/>
      <c r="S4179" s="10" t="s">
        <v>53</v>
      </c>
      <c r="T4179" s="10" t="s">
        <v>8755</v>
      </c>
    </row>
    <row r="4180" spans="1:20" ht="14.5" x14ac:dyDescent="0.35">
      <c r="A4180" s="10" t="s">
        <v>23564</v>
      </c>
      <c r="B4180" s="10" t="str">
        <f>"9781412955454"</f>
        <v>9781412955454</v>
      </c>
      <c r="C4180" s="10" t="str">
        <f>"9781452282527"</f>
        <v>9781452282527</v>
      </c>
      <c r="D4180" s="10" t="s">
        <v>22210</v>
      </c>
      <c r="E4180" s="10" t="s">
        <v>22211</v>
      </c>
      <c r="F4180" s="10" t="s">
        <v>333</v>
      </c>
      <c r="G4180" s="10" t="s">
        <v>6317</v>
      </c>
      <c r="H4180" s="11">
        <v>39563</v>
      </c>
      <c r="I4180" s="10">
        <v>2008</v>
      </c>
      <c r="J4180" s="10" t="s">
        <v>22211</v>
      </c>
      <c r="K4180" s="10">
        <v>185</v>
      </c>
      <c r="L4180" s="10" t="s">
        <v>23565</v>
      </c>
      <c r="M4180" s="10">
        <v>2</v>
      </c>
      <c r="N4180" s="10"/>
      <c r="O4180" s="10"/>
      <c r="P4180" s="10" t="s">
        <v>23566</v>
      </c>
      <c r="Q4180" s="10" t="s">
        <v>6942</v>
      </c>
      <c r="R4180" s="10" t="s">
        <v>23567</v>
      </c>
      <c r="S4180" s="10" t="s">
        <v>53</v>
      </c>
      <c r="T4180" s="10" t="s">
        <v>54</v>
      </c>
    </row>
    <row r="4181" spans="1:20" ht="14.5" x14ac:dyDescent="0.35">
      <c r="A4181" s="10" t="s">
        <v>23568</v>
      </c>
      <c r="B4181" s="10" t="str">
        <f>"9781412969529"</f>
        <v>9781412969529</v>
      </c>
      <c r="C4181" s="10" t="str">
        <f>"9781452282534"</f>
        <v>9781452282534</v>
      </c>
      <c r="D4181" s="10" t="s">
        <v>22210</v>
      </c>
      <c r="E4181" s="10" t="s">
        <v>22211</v>
      </c>
      <c r="F4181" s="10" t="s">
        <v>333</v>
      </c>
      <c r="G4181" s="10" t="s">
        <v>6317</v>
      </c>
      <c r="H4181" s="11">
        <v>40275</v>
      </c>
      <c r="I4181" s="10">
        <v>2010</v>
      </c>
      <c r="J4181" s="10" t="s">
        <v>22211</v>
      </c>
      <c r="K4181" s="10">
        <v>153</v>
      </c>
      <c r="L4181" s="10" t="s">
        <v>23569</v>
      </c>
      <c r="M4181" s="10">
        <v>1</v>
      </c>
      <c r="N4181" s="10"/>
      <c r="O4181" s="10"/>
      <c r="P4181" s="10"/>
      <c r="Q4181" s="10">
        <v>372.6</v>
      </c>
      <c r="R4181" s="10"/>
      <c r="S4181" s="10" t="s">
        <v>53</v>
      </c>
      <c r="T4181" s="10" t="s">
        <v>54</v>
      </c>
    </row>
    <row r="4182" spans="1:20" ht="14.5" x14ac:dyDescent="0.35">
      <c r="A4182" s="10" t="s">
        <v>23570</v>
      </c>
      <c r="B4182" s="10" t="str">
        <f>"9781412996471"</f>
        <v>9781412996471</v>
      </c>
      <c r="C4182" s="10" t="str">
        <f>"9781452282565"</f>
        <v>9781452282565</v>
      </c>
      <c r="D4182" s="10" t="s">
        <v>22210</v>
      </c>
      <c r="E4182" s="10" t="s">
        <v>22211</v>
      </c>
      <c r="F4182" s="10" t="s">
        <v>333</v>
      </c>
      <c r="G4182" s="10" t="s">
        <v>6317</v>
      </c>
      <c r="H4182" s="11">
        <v>40821</v>
      </c>
      <c r="I4182" s="10">
        <v>2012</v>
      </c>
      <c r="J4182" s="10" t="s">
        <v>22211</v>
      </c>
      <c r="K4182" s="10">
        <v>241</v>
      </c>
      <c r="L4182" s="10" t="s">
        <v>23571</v>
      </c>
      <c r="M4182" s="10">
        <v>1</v>
      </c>
      <c r="N4182" s="10"/>
      <c r="O4182" s="10"/>
      <c r="P4182" s="10" t="s">
        <v>23572</v>
      </c>
      <c r="Q4182" s="10" t="s">
        <v>18744</v>
      </c>
      <c r="R4182" s="10" t="s">
        <v>23573</v>
      </c>
      <c r="S4182" s="10" t="s">
        <v>53</v>
      </c>
      <c r="T4182" s="10" t="s">
        <v>6616</v>
      </c>
    </row>
    <row r="4183" spans="1:20" ht="14.5" x14ac:dyDescent="0.35">
      <c r="A4183" s="10" t="s">
        <v>23574</v>
      </c>
      <c r="B4183" s="10" t="str">
        <f>"9780761988878"</f>
        <v>9780761988878</v>
      </c>
      <c r="C4183" s="10" t="str">
        <f>"9781452282497"</f>
        <v>9781452282497</v>
      </c>
      <c r="D4183" s="10" t="s">
        <v>22210</v>
      </c>
      <c r="E4183" s="10" t="s">
        <v>22211</v>
      </c>
      <c r="F4183" s="10" t="s">
        <v>333</v>
      </c>
      <c r="G4183" s="10" t="s">
        <v>6317</v>
      </c>
      <c r="H4183" s="11">
        <v>38308</v>
      </c>
      <c r="I4183" s="10">
        <v>2005</v>
      </c>
      <c r="J4183" s="10" t="s">
        <v>22211</v>
      </c>
      <c r="K4183" s="10">
        <v>225</v>
      </c>
      <c r="L4183" s="10" t="s">
        <v>23575</v>
      </c>
      <c r="M4183" s="10">
        <v>1</v>
      </c>
      <c r="N4183" s="10"/>
      <c r="O4183" s="10"/>
      <c r="P4183" s="10" t="s">
        <v>23576</v>
      </c>
      <c r="Q4183" s="10">
        <v>370.71499999999997</v>
      </c>
      <c r="R4183" s="10"/>
      <c r="S4183" s="10" t="s">
        <v>53</v>
      </c>
      <c r="T4183" s="10" t="s">
        <v>54</v>
      </c>
    </row>
    <row r="4184" spans="1:20" ht="14.5" x14ac:dyDescent="0.35">
      <c r="A4184" s="10" t="s">
        <v>23577</v>
      </c>
      <c r="B4184" s="10" t="str">
        <f>"9781412967051"</f>
        <v>9781412967051</v>
      </c>
      <c r="C4184" s="10" t="str">
        <f>"9781412994538"</f>
        <v>9781412994538</v>
      </c>
      <c r="D4184" s="10" t="s">
        <v>22210</v>
      </c>
      <c r="E4184" s="10" t="s">
        <v>22211</v>
      </c>
      <c r="F4184" s="10" t="s">
        <v>333</v>
      </c>
      <c r="G4184" s="10" t="s">
        <v>6317</v>
      </c>
      <c r="H4184" s="11">
        <v>39889</v>
      </c>
      <c r="I4184" s="10">
        <v>2009</v>
      </c>
      <c r="J4184" s="10" t="s">
        <v>22211</v>
      </c>
      <c r="K4184" s="10">
        <v>241</v>
      </c>
      <c r="L4184" s="10" t="s">
        <v>23578</v>
      </c>
      <c r="M4184" s="10">
        <v>1</v>
      </c>
      <c r="N4184" s="10"/>
      <c r="O4184" s="10"/>
      <c r="P4184" s="10"/>
      <c r="Q4184" s="10"/>
      <c r="R4184" s="10"/>
      <c r="S4184" s="10" t="s">
        <v>53</v>
      </c>
      <c r="T4184" s="10" t="s">
        <v>54</v>
      </c>
    </row>
    <row r="4185" spans="1:20" ht="14.5" x14ac:dyDescent="0.35">
      <c r="A4185" s="10" t="s">
        <v>23579</v>
      </c>
      <c r="B4185" s="10" t="str">
        <f>"9781412976374"</f>
        <v>9781412976374</v>
      </c>
      <c r="C4185" s="10" t="str">
        <f>"9781452207162"</f>
        <v>9781452207162</v>
      </c>
      <c r="D4185" s="10" t="s">
        <v>22210</v>
      </c>
      <c r="E4185" s="10" t="s">
        <v>22211</v>
      </c>
      <c r="F4185" s="10" t="s">
        <v>333</v>
      </c>
      <c r="G4185" s="10" t="s">
        <v>6317</v>
      </c>
      <c r="H4185" s="11">
        <v>40036</v>
      </c>
      <c r="I4185" s="10">
        <v>2009</v>
      </c>
      <c r="J4185" s="10" t="s">
        <v>22211</v>
      </c>
      <c r="K4185" s="10">
        <v>169</v>
      </c>
      <c r="L4185" s="10" t="s">
        <v>23580</v>
      </c>
      <c r="M4185" s="10">
        <v>1</v>
      </c>
      <c r="N4185" s="10"/>
      <c r="O4185" s="10"/>
      <c r="P4185" s="10" t="s">
        <v>23581</v>
      </c>
      <c r="Q4185" s="10">
        <v>370.9</v>
      </c>
      <c r="R4185" s="10"/>
      <c r="S4185" s="10" t="s">
        <v>53</v>
      </c>
      <c r="T4185" s="10" t="s">
        <v>54</v>
      </c>
    </row>
    <row r="4186" spans="1:20" ht="14.5" x14ac:dyDescent="0.35">
      <c r="A4186" s="10" t="s">
        <v>23582</v>
      </c>
      <c r="B4186" s="10" t="str">
        <f>"9781412966474"</f>
        <v>9781412966474</v>
      </c>
      <c r="C4186" s="10" t="str">
        <f>"9781452215228"</f>
        <v>9781452215228</v>
      </c>
      <c r="D4186" s="10" t="s">
        <v>22210</v>
      </c>
      <c r="E4186" s="10" t="s">
        <v>22211</v>
      </c>
      <c r="F4186" s="10" t="s">
        <v>333</v>
      </c>
      <c r="G4186" s="10" t="s">
        <v>6317</v>
      </c>
      <c r="H4186" s="11">
        <v>40009</v>
      </c>
      <c r="I4186" s="10">
        <v>2009</v>
      </c>
      <c r="J4186" s="10" t="s">
        <v>22211</v>
      </c>
      <c r="K4186" s="10">
        <v>153</v>
      </c>
      <c r="L4186" s="10" t="s">
        <v>23583</v>
      </c>
      <c r="M4186" s="10">
        <v>1</v>
      </c>
      <c r="N4186" s="10"/>
      <c r="O4186" s="10"/>
      <c r="P4186" s="10" t="s">
        <v>23584</v>
      </c>
      <c r="Q4186" s="10">
        <v>371.4</v>
      </c>
      <c r="R4186" s="10"/>
      <c r="S4186" s="10" t="s">
        <v>53</v>
      </c>
      <c r="T4186" s="10" t="s">
        <v>54</v>
      </c>
    </row>
    <row r="4187" spans="1:20" ht="14.5" x14ac:dyDescent="0.35">
      <c r="A4187" s="10" t="s">
        <v>23585</v>
      </c>
      <c r="B4187" s="10" t="str">
        <f>"9781412957762"</f>
        <v>9781412957762</v>
      </c>
      <c r="C4187" s="10" t="str">
        <f>"9781452211503"</f>
        <v>9781452211503</v>
      </c>
      <c r="D4187" s="10" t="s">
        <v>22210</v>
      </c>
      <c r="E4187" s="10" t="s">
        <v>22211</v>
      </c>
      <c r="F4187" s="10" t="s">
        <v>333</v>
      </c>
      <c r="G4187" s="10" t="s">
        <v>6317</v>
      </c>
      <c r="H4187" s="11">
        <v>39890</v>
      </c>
      <c r="I4187" s="10">
        <v>2009</v>
      </c>
      <c r="J4187" s="10" t="s">
        <v>22211</v>
      </c>
      <c r="K4187" s="10">
        <v>177</v>
      </c>
      <c r="L4187" s="10" t="s">
        <v>23586</v>
      </c>
      <c r="M4187" s="10">
        <v>1</v>
      </c>
      <c r="N4187" s="10"/>
      <c r="O4187" s="10"/>
      <c r="P4187" s="10"/>
      <c r="Q4187" s="10"/>
      <c r="R4187" s="10"/>
      <c r="S4187" s="10" t="s">
        <v>53</v>
      </c>
      <c r="T4187" s="10" t="s">
        <v>54</v>
      </c>
    </row>
    <row r="4188" spans="1:20" ht="14.5" x14ac:dyDescent="0.35">
      <c r="A4188" s="10" t="s">
        <v>23587</v>
      </c>
      <c r="B4188" s="10" t="str">
        <f>"9781412958677"</f>
        <v>9781412958677</v>
      </c>
      <c r="C4188" s="10" t="str">
        <f>"9781452211565"</f>
        <v>9781452211565</v>
      </c>
      <c r="D4188" s="10" t="s">
        <v>22210</v>
      </c>
      <c r="E4188" s="10" t="s">
        <v>22211</v>
      </c>
      <c r="F4188" s="10" t="s">
        <v>333</v>
      </c>
      <c r="G4188" s="10" t="s">
        <v>6317</v>
      </c>
      <c r="H4188" s="11">
        <v>40157</v>
      </c>
      <c r="I4188" s="10">
        <v>2010</v>
      </c>
      <c r="J4188" s="10" t="s">
        <v>22211</v>
      </c>
      <c r="K4188" s="10">
        <v>137</v>
      </c>
      <c r="L4188" s="10" t="s">
        <v>23588</v>
      </c>
      <c r="M4188" s="10">
        <v>1</v>
      </c>
      <c r="N4188" s="10"/>
      <c r="O4188" s="10"/>
      <c r="P4188" s="10" t="s">
        <v>23589</v>
      </c>
      <c r="Q4188" s="10" t="s">
        <v>22247</v>
      </c>
      <c r="R4188" s="10" t="s">
        <v>23590</v>
      </c>
      <c r="S4188" s="10" t="s">
        <v>53</v>
      </c>
      <c r="T4188" s="10" t="s">
        <v>54</v>
      </c>
    </row>
    <row r="4189" spans="1:20" ht="14.5" x14ac:dyDescent="0.35">
      <c r="A4189" s="10" t="s">
        <v>23591</v>
      </c>
      <c r="B4189" s="10" t="str">
        <f>"9781412979573"</f>
        <v>9781412979573</v>
      </c>
      <c r="C4189" s="10" t="str">
        <f>"9781452212975"</f>
        <v>9781452212975</v>
      </c>
      <c r="D4189" s="10" t="s">
        <v>22210</v>
      </c>
      <c r="E4189" s="10" t="s">
        <v>22211</v>
      </c>
      <c r="F4189" s="10" t="s">
        <v>333</v>
      </c>
      <c r="G4189" s="10" t="s">
        <v>6317</v>
      </c>
      <c r="H4189" s="11">
        <v>40154</v>
      </c>
      <c r="I4189" s="10">
        <v>2010</v>
      </c>
      <c r="J4189" s="10" t="s">
        <v>22211</v>
      </c>
      <c r="K4189" s="10">
        <v>177</v>
      </c>
      <c r="L4189" s="10" t="s">
        <v>23592</v>
      </c>
      <c r="M4189" s="10">
        <v>1</v>
      </c>
      <c r="N4189" s="10"/>
      <c r="O4189" s="10"/>
      <c r="P4189" s="10" t="s">
        <v>23593</v>
      </c>
      <c r="Q4189" s="10" t="s">
        <v>15602</v>
      </c>
      <c r="R4189" s="10"/>
      <c r="S4189" s="10" t="s">
        <v>53</v>
      </c>
      <c r="T4189" s="10" t="s">
        <v>54</v>
      </c>
    </row>
    <row r="4190" spans="1:20" ht="14.5" x14ac:dyDescent="0.35">
      <c r="A4190" s="10" t="s">
        <v>23594</v>
      </c>
      <c r="B4190" s="10" t="str">
        <f>"9781412913461"</f>
        <v>9781412913461</v>
      </c>
      <c r="C4190" s="10" t="str">
        <f>"9781452211060"</f>
        <v>9781452211060</v>
      </c>
      <c r="D4190" s="10" t="s">
        <v>22210</v>
      </c>
      <c r="E4190" s="10" t="s">
        <v>22211</v>
      </c>
      <c r="F4190" s="10" t="s">
        <v>333</v>
      </c>
      <c r="G4190" s="10" t="s">
        <v>6317</v>
      </c>
      <c r="H4190" s="11">
        <v>39946</v>
      </c>
      <c r="I4190" s="10">
        <v>2009</v>
      </c>
      <c r="J4190" s="10" t="s">
        <v>22211</v>
      </c>
      <c r="K4190" s="10">
        <v>177</v>
      </c>
      <c r="L4190" s="10" t="s">
        <v>23595</v>
      </c>
      <c r="M4190" s="10">
        <v>1</v>
      </c>
      <c r="N4190" s="10"/>
      <c r="O4190" s="10"/>
      <c r="P4190" s="10" t="s">
        <v>23596</v>
      </c>
      <c r="Q4190" s="10">
        <v>371.1</v>
      </c>
      <c r="R4190" s="10"/>
      <c r="S4190" s="10" t="s">
        <v>53</v>
      </c>
      <c r="T4190" s="10" t="s">
        <v>54</v>
      </c>
    </row>
    <row r="4191" spans="1:20" ht="14.5" x14ac:dyDescent="0.35">
      <c r="A4191" s="10" t="s">
        <v>23597</v>
      </c>
      <c r="B4191" s="10" t="str">
        <f>"9781412955119"</f>
        <v>9781412955119</v>
      </c>
      <c r="C4191" s="10" t="str">
        <f>"9781452213958"</f>
        <v>9781452213958</v>
      </c>
      <c r="D4191" s="10" t="s">
        <v>22210</v>
      </c>
      <c r="E4191" s="10" t="s">
        <v>22211</v>
      </c>
      <c r="F4191" s="10" t="s">
        <v>333</v>
      </c>
      <c r="G4191" s="10" t="s">
        <v>6317</v>
      </c>
      <c r="H4191" s="11">
        <v>39946</v>
      </c>
      <c r="I4191" s="10">
        <v>2009</v>
      </c>
      <c r="J4191" s="10" t="s">
        <v>22211</v>
      </c>
      <c r="K4191" s="10">
        <v>193</v>
      </c>
      <c r="L4191" s="10" t="s">
        <v>23212</v>
      </c>
      <c r="M4191" s="10">
        <v>1</v>
      </c>
      <c r="N4191" s="10"/>
      <c r="O4191" s="10"/>
      <c r="P4191" s="10" t="s">
        <v>23598</v>
      </c>
      <c r="Q4191" s="10">
        <v>371.9</v>
      </c>
      <c r="R4191" s="10"/>
      <c r="S4191" s="10" t="s">
        <v>53</v>
      </c>
      <c r="T4191" s="10" t="s">
        <v>54</v>
      </c>
    </row>
    <row r="4192" spans="1:20" ht="14.5" x14ac:dyDescent="0.35">
      <c r="A4192" s="10" t="s">
        <v>23599</v>
      </c>
      <c r="B4192" s="10" t="str">
        <f>"9781412968645"</f>
        <v>9781412968645</v>
      </c>
      <c r="C4192" s="10" t="str">
        <f>"9781452214177"</f>
        <v>9781452214177</v>
      </c>
      <c r="D4192" s="10" t="s">
        <v>22210</v>
      </c>
      <c r="E4192" s="10" t="s">
        <v>22211</v>
      </c>
      <c r="F4192" s="10" t="s">
        <v>333</v>
      </c>
      <c r="G4192" s="10" t="s">
        <v>6317</v>
      </c>
      <c r="H4192" s="11">
        <v>40238</v>
      </c>
      <c r="I4192" s="10">
        <v>2010</v>
      </c>
      <c r="J4192" s="10" t="s">
        <v>22211</v>
      </c>
      <c r="K4192" s="10">
        <v>153</v>
      </c>
      <c r="L4192" s="10" t="s">
        <v>23600</v>
      </c>
      <c r="M4192" s="10">
        <v>1</v>
      </c>
      <c r="N4192" s="10"/>
      <c r="O4192" s="10"/>
      <c r="P4192" s="10" t="s">
        <v>23601</v>
      </c>
      <c r="Q4192" s="10" t="s">
        <v>18116</v>
      </c>
      <c r="R4192" s="10"/>
      <c r="S4192" s="10" t="s">
        <v>53</v>
      </c>
      <c r="T4192" s="10" t="s">
        <v>54</v>
      </c>
    </row>
    <row r="4193" spans="1:20" ht="14.5" x14ac:dyDescent="0.35">
      <c r="A4193" s="10" t="s">
        <v>23602</v>
      </c>
      <c r="B4193" s="10" t="str">
        <f>"9781412995283"</f>
        <v>9781412995283</v>
      </c>
      <c r="C4193" s="10" t="str">
        <f>"9781452279244"</f>
        <v>9781452279244</v>
      </c>
      <c r="D4193" s="10" t="s">
        <v>22210</v>
      </c>
      <c r="E4193" s="10" t="s">
        <v>22211</v>
      </c>
      <c r="F4193" s="10" t="s">
        <v>333</v>
      </c>
      <c r="G4193" s="10" t="s">
        <v>6317</v>
      </c>
      <c r="H4193" s="11">
        <v>40926</v>
      </c>
      <c r="I4193" s="10">
        <v>2012</v>
      </c>
      <c r="J4193" s="10" t="s">
        <v>22211</v>
      </c>
      <c r="K4193" s="10">
        <v>265</v>
      </c>
      <c r="L4193" s="10" t="s">
        <v>23603</v>
      </c>
      <c r="M4193" s="10">
        <v>1</v>
      </c>
      <c r="N4193" s="10"/>
      <c r="O4193" s="10"/>
      <c r="P4193" s="10"/>
      <c r="Q4193" s="10"/>
      <c r="R4193" s="10"/>
      <c r="S4193" s="10" t="s">
        <v>53</v>
      </c>
      <c r="T4193" s="10" t="s">
        <v>54</v>
      </c>
    </row>
    <row r="4194" spans="1:20" ht="14.5" x14ac:dyDescent="0.35">
      <c r="A4194" s="10" t="s">
        <v>23604</v>
      </c>
      <c r="B4194" s="10" t="str">
        <f>"9781412996488"</f>
        <v>9781412996488</v>
      </c>
      <c r="C4194" s="10" t="str">
        <f>"9781452268941"</f>
        <v>9781452268941</v>
      </c>
      <c r="D4194" s="10" t="s">
        <v>22210</v>
      </c>
      <c r="E4194" s="10" t="s">
        <v>22211</v>
      </c>
      <c r="F4194" s="10" t="s">
        <v>333</v>
      </c>
      <c r="G4194" s="10" t="s">
        <v>6317</v>
      </c>
      <c r="H4194" s="11">
        <v>40821</v>
      </c>
      <c r="I4194" s="10">
        <v>2012</v>
      </c>
      <c r="J4194" s="10" t="s">
        <v>22211</v>
      </c>
      <c r="K4194" s="10">
        <v>233</v>
      </c>
      <c r="L4194" s="10" t="s">
        <v>23571</v>
      </c>
      <c r="M4194" s="10">
        <v>1</v>
      </c>
      <c r="N4194" s="10"/>
      <c r="O4194" s="10"/>
      <c r="P4194" s="10"/>
      <c r="Q4194" s="10"/>
      <c r="R4194" s="10"/>
      <c r="S4194" s="10" t="s">
        <v>53</v>
      </c>
      <c r="T4194" s="10" t="s">
        <v>54</v>
      </c>
    </row>
    <row r="4195" spans="1:20" ht="14.5" x14ac:dyDescent="0.35">
      <c r="A4195" s="10" t="s">
        <v>23605</v>
      </c>
      <c r="B4195" s="10" t="str">
        <f>"9781412997096"</f>
        <v>9781412997096</v>
      </c>
      <c r="C4195" s="10" t="str">
        <f>"9781452268835"</f>
        <v>9781452268835</v>
      </c>
      <c r="D4195" s="10" t="s">
        <v>22210</v>
      </c>
      <c r="E4195" s="10" t="s">
        <v>22211</v>
      </c>
      <c r="F4195" s="10" t="s">
        <v>333</v>
      </c>
      <c r="G4195" s="10" t="s">
        <v>6317</v>
      </c>
      <c r="H4195" s="11">
        <v>40892</v>
      </c>
      <c r="I4195" s="10">
        <v>2012</v>
      </c>
      <c r="J4195" s="10" t="s">
        <v>22211</v>
      </c>
      <c r="K4195" s="10">
        <v>241</v>
      </c>
      <c r="L4195" s="10" t="s">
        <v>23606</v>
      </c>
      <c r="M4195" s="10">
        <v>1</v>
      </c>
      <c r="N4195" s="10"/>
      <c r="O4195" s="10"/>
      <c r="P4195" s="10" t="s">
        <v>23607</v>
      </c>
      <c r="Q4195" s="10">
        <v>371.9</v>
      </c>
      <c r="R4195" s="10"/>
      <c r="S4195" s="10" t="s">
        <v>53</v>
      </c>
      <c r="T4195" s="10" t="s">
        <v>54</v>
      </c>
    </row>
    <row r="4196" spans="1:20" ht="14.5" x14ac:dyDescent="0.35">
      <c r="A4196" s="10" t="s">
        <v>23608</v>
      </c>
      <c r="B4196" s="10" t="str">
        <f>"9781412972307"</f>
        <v>9781412972307</v>
      </c>
      <c r="C4196" s="10" t="str">
        <f>"9781452273914"</f>
        <v>9781452273914</v>
      </c>
      <c r="D4196" s="10" t="s">
        <v>22210</v>
      </c>
      <c r="E4196" s="10" t="s">
        <v>22211</v>
      </c>
      <c r="F4196" s="10" t="s">
        <v>333</v>
      </c>
      <c r="G4196" s="10" t="s">
        <v>6317</v>
      </c>
      <c r="H4196" s="11">
        <v>39995</v>
      </c>
      <c r="I4196" s="10">
        <v>2009</v>
      </c>
      <c r="J4196" s="10" t="s">
        <v>22211</v>
      </c>
      <c r="K4196" s="10">
        <v>217</v>
      </c>
      <c r="L4196" s="10" t="s">
        <v>23609</v>
      </c>
      <c r="M4196" s="10">
        <v>2</v>
      </c>
      <c r="N4196" s="10"/>
      <c r="O4196" s="10"/>
      <c r="P4196" s="10" t="s">
        <v>23610</v>
      </c>
      <c r="Q4196" s="10">
        <v>372.416</v>
      </c>
      <c r="R4196" s="10"/>
      <c r="S4196" s="10" t="s">
        <v>53</v>
      </c>
      <c r="T4196" s="10" t="s">
        <v>54</v>
      </c>
    </row>
    <row r="4197" spans="1:20" ht="14.5" x14ac:dyDescent="0.35">
      <c r="A4197" s="10" t="s">
        <v>23611</v>
      </c>
      <c r="B4197" s="10" t="str">
        <f>"9781416614722"</f>
        <v>9781416614722</v>
      </c>
      <c r="C4197" s="10" t="str">
        <f>"9781416615316"</f>
        <v>9781416615316</v>
      </c>
      <c r="D4197" s="10" t="s">
        <v>10014</v>
      </c>
      <c r="E4197" s="10" t="s">
        <v>10015</v>
      </c>
      <c r="F4197" s="10" t="s">
        <v>201</v>
      </c>
      <c r="G4197" s="10" t="s">
        <v>6317</v>
      </c>
      <c r="H4197" s="11">
        <v>41243</v>
      </c>
      <c r="I4197" s="10">
        <v>2012</v>
      </c>
      <c r="J4197" s="10" t="s">
        <v>10015</v>
      </c>
      <c r="K4197" s="10">
        <v>217</v>
      </c>
      <c r="L4197" s="10" t="s">
        <v>23612</v>
      </c>
      <c r="M4197" s="10">
        <v>1</v>
      </c>
      <c r="N4197" s="10"/>
      <c r="O4197" s="10"/>
      <c r="P4197" s="10" t="s">
        <v>23613</v>
      </c>
      <c r="Q4197" s="10" t="s">
        <v>7235</v>
      </c>
      <c r="R4197" s="10" t="s">
        <v>23614</v>
      </c>
      <c r="S4197" s="10" t="s">
        <v>53</v>
      </c>
      <c r="T4197" s="10" t="s">
        <v>54</v>
      </c>
    </row>
    <row r="4198" spans="1:20" ht="14.5" x14ac:dyDescent="0.35">
      <c r="A4198" s="10" t="s">
        <v>23615</v>
      </c>
      <c r="B4198" s="10" t="str">
        <f>"9781416614616"</f>
        <v>9781416614616</v>
      </c>
      <c r="C4198" s="10" t="str">
        <f>"9781416615347"</f>
        <v>9781416615347</v>
      </c>
      <c r="D4198" s="10" t="s">
        <v>10014</v>
      </c>
      <c r="E4198" s="10" t="s">
        <v>10015</v>
      </c>
      <c r="F4198" s="10" t="s">
        <v>201</v>
      </c>
      <c r="G4198" s="10" t="s">
        <v>6317</v>
      </c>
      <c r="H4198" s="11">
        <v>41212</v>
      </c>
      <c r="I4198" s="10">
        <v>2012</v>
      </c>
      <c r="J4198" s="10" t="s">
        <v>10015</v>
      </c>
      <c r="K4198" s="10">
        <v>117</v>
      </c>
      <c r="L4198" s="10" t="s">
        <v>23616</v>
      </c>
      <c r="M4198" s="10">
        <v>1</v>
      </c>
      <c r="N4198" s="10"/>
      <c r="O4198" s="10"/>
      <c r="P4198" s="10" t="s">
        <v>23617</v>
      </c>
      <c r="Q4198" s="10"/>
      <c r="R4198" s="10" t="s">
        <v>23618</v>
      </c>
      <c r="S4198" s="10" t="s">
        <v>53</v>
      </c>
      <c r="T4198" s="10" t="s">
        <v>54</v>
      </c>
    </row>
    <row r="4199" spans="1:20" ht="14.5" x14ac:dyDescent="0.35">
      <c r="A4199" s="10" t="s">
        <v>23619</v>
      </c>
      <c r="B4199" s="10" t="str">
        <f>"9781472572028"</f>
        <v>9781472572028</v>
      </c>
      <c r="C4199" s="10" t="str">
        <f>"9781441123329"</f>
        <v>9781441123329</v>
      </c>
      <c r="D4199" s="10" t="s">
        <v>13959</v>
      </c>
      <c r="E4199" s="10" t="s">
        <v>13960</v>
      </c>
      <c r="F4199" s="10" t="s">
        <v>139</v>
      </c>
      <c r="G4199" s="10" t="s">
        <v>6352</v>
      </c>
      <c r="H4199" s="11">
        <v>41767</v>
      </c>
      <c r="I4199" s="10">
        <v>2012</v>
      </c>
      <c r="J4199" s="10" t="s">
        <v>14057</v>
      </c>
      <c r="K4199" s="10">
        <v>194</v>
      </c>
      <c r="L4199" s="10" t="s">
        <v>23620</v>
      </c>
      <c r="M4199" s="10">
        <v>1</v>
      </c>
      <c r="N4199" s="10"/>
      <c r="O4199" s="10"/>
      <c r="P4199" s="10" t="s">
        <v>23621</v>
      </c>
      <c r="Q4199" s="10">
        <v>373.18</v>
      </c>
      <c r="R4199" s="10" t="s">
        <v>23622</v>
      </c>
      <c r="S4199" s="10" t="s">
        <v>53</v>
      </c>
      <c r="T4199" s="10" t="s">
        <v>54</v>
      </c>
    </row>
    <row r="4200" spans="1:20" ht="14.5" x14ac:dyDescent="0.35">
      <c r="A4200" s="10" t="s">
        <v>23623</v>
      </c>
      <c r="B4200" s="10" t="str">
        <f>"9781441183606"</f>
        <v>9781441183606</v>
      </c>
      <c r="C4200" s="10" t="str">
        <f>"9781441163257"</f>
        <v>9781441163257</v>
      </c>
      <c r="D4200" s="10" t="s">
        <v>13959</v>
      </c>
      <c r="E4200" s="10" t="s">
        <v>13960</v>
      </c>
      <c r="F4200" s="10" t="s">
        <v>139</v>
      </c>
      <c r="G4200" s="10" t="s">
        <v>6352</v>
      </c>
      <c r="H4200" s="11">
        <v>41235</v>
      </c>
      <c r="I4200" s="10">
        <v>2012</v>
      </c>
      <c r="J4200" s="10" t="s">
        <v>14057</v>
      </c>
      <c r="K4200" s="10">
        <v>157</v>
      </c>
      <c r="L4200" s="10" t="s">
        <v>23624</v>
      </c>
      <c r="M4200" s="10">
        <v>1</v>
      </c>
      <c r="N4200" s="10"/>
      <c r="O4200" s="10"/>
      <c r="P4200" s="10" t="s">
        <v>23625</v>
      </c>
      <c r="Q4200" s="10">
        <v>378.19809409999999</v>
      </c>
      <c r="R4200" s="10" t="s">
        <v>23626</v>
      </c>
      <c r="S4200" s="10" t="s">
        <v>53</v>
      </c>
      <c r="T4200" s="10" t="s">
        <v>54</v>
      </c>
    </row>
    <row r="4201" spans="1:20" ht="14.5" x14ac:dyDescent="0.35">
      <c r="A4201" s="10" t="s">
        <v>23627</v>
      </c>
      <c r="B4201" s="10" t="str">
        <f>"9781472572035"</f>
        <v>9781472572035</v>
      </c>
      <c r="C4201" s="10" t="str">
        <f>"9781441125422"</f>
        <v>9781441125422</v>
      </c>
      <c r="D4201" s="10" t="s">
        <v>13959</v>
      </c>
      <c r="E4201" s="10" t="s">
        <v>13960</v>
      </c>
      <c r="F4201" s="10" t="s">
        <v>139</v>
      </c>
      <c r="G4201" s="10" t="s">
        <v>6352</v>
      </c>
      <c r="H4201" s="11">
        <v>41767</v>
      </c>
      <c r="I4201" s="10">
        <v>2012</v>
      </c>
      <c r="J4201" s="10" t="s">
        <v>14057</v>
      </c>
      <c r="K4201" s="10">
        <v>169</v>
      </c>
      <c r="L4201" s="10" t="s">
        <v>23628</v>
      </c>
      <c r="M4201" s="10">
        <v>1</v>
      </c>
      <c r="N4201" s="10"/>
      <c r="O4201" s="10"/>
      <c r="P4201" s="10" t="s">
        <v>16415</v>
      </c>
      <c r="Q4201" s="10">
        <v>370.1</v>
      </c>
      <c r="R4201" s="10" t="s">
        <v>23629</v>
      </c>
      <c r="S4201" s="10" t="s">
        <v>53</v>
      </c>
      <c r="T4201" s="10" t="s">
        <v>54</v>
      </c>
    </row>
    <row r="4202" spans="1:20" ht="14.5" x14ac:dyDescent="0.35">
      <c r="A4202" s="10" t="s">
        <v>23630</v>
      </c>
      <c r="B4202" s="10" t="str">
        <f>"9781441172143"</f>
        <v>9781441172143</v>
      </c>
      <c r="C4202" s="10" t="str">
        <f>"9781441190475"</f>
        <v>9781441190475</v>
      </c>
      <c r="D4202" s="10" t="s">
        <v>13959</v>
      </c>
      <c r="E4202" s="10" t="s">
        <v>13960</v>
      </c>
      <c r="F4202" s="10" t="s">
        <v>139</v>
      </c>
      <c r="G4202" s="10" t="s">
        <v>6352</v>
      </c>
      <c r="H4202" s="11">
        <v>41263</v>
      </c>
      <c r="I4202" s="10">
        <v>2012</v>
      </c>
      <c r="J4202" s="10" t="s">
        <v>14057</v>
      </c>
      <c r="K4202" s="10">
        <v>148</v>
      </c>
      <c r="L4202" s="10" t="s">
        <v>23631</v>
      </c>
      <c r="M4202" s="10">
        <v>1</v>
      </c>
      <c r="N4202" s="10" t="s">
        <v>20725</v>
      </c>
      <c r="O4202" s="10"/>
      <c r="P4202" s="10" t="s">
        <v>23632</v>
      </c>
      <c r="Q4202" s="10">
        <v>371.82</v>
      </c>
      <c r="R4202" s="10" t="s">
        <v>23633</v>
      </c>
      <c r="S4202" s="10" t="s">
        <v>53</v>
      </c>
      <c r="T4202" s="10" t="s">
        <v>54</v>
      </c>
    </row>
    <row r="4203" spans="1:20" ht="14.5" x14ac:dyDescent="0.35">
      <c r="A4203" s="10" t="s">
        <v>23634</v>
      </c>
      <c r="B4203" s="10" t="str">
        <f>"9781443821421"</f>
        <v>9781443821421</v>
      </c>
      <c r="C4203" s="10" t="str">
        <f>"9781443822015"</f>
        <v>9781443822015</v>
      </c>
      <c r="D4203" s="10" t="s">
        <v>23635</v>
      </c>
      <c r="E4203" s="10" t="s">
        <v>23635</v>
      </c>
      <c r="F4203" s="10" t="s">
        <v>23636</v>
      </c>
      <c r="G4203" s="10" t="s">
        <v>6352</v>
      </c>
      <c r="H4203" s="11">
        <v>40423</v>
      </c>
      <c r="I4203" s="10">
        <v>2010</v>
      </c>
      <c r="J4203" s="10" t="s">
        <v>23635</v>
      </c>
      <c r="K4203" s="10">
        <v>330</v>
      </c>
      <c r="L4203" s="10" t="s">
        <v>23637</v>
      </c>
      <c r="M4203" s="10">
        <v>1</v>
      </c>
      <c r="N4203" s="10"/>
      <c r="O4203" s="10"/>
      <c r="P4203" s="10" t="s">
        <v>23638</v>
      </c>
      <c r="Q4203" s="10">
        <v>371.3</v>
      </c>
      <c r="R4203" s="10" t="s">
        <v>23639</v>
      </c>
      <c r="S4203" s="10" t="s">
        <v>53</v>
      </c>
      <c r="T4203" s="10" t="s">
        <v>54</v>
      </c>
    </row>
    <row r="4204" spans="1:20" ht="14.5" x14ac:dyDescent="0.35">
      <c r="A4204" s="10" t="s">
        <v>23640</v>
      </c>
      <c r="B4204" s="10" t="str">
        <f>"9781443828598"</f>
        <v>9781443828598</v>
      </c>
      <c r="C4204" s="10" t="str">
        <f>"9781443830904"</f>
        <v>9781443830904</v>
      </c>
      <c r="D4204" s="10" t="s">
        <v>23635</v>
      </c>
      <c r="E4204" s="10" t="s">
        <v>23635</v>
      </c>
      <c r="F4204" s="10" t="s">
        <v>23636</v>
      </c>
      <c r="G4204" s="10" t="s">
        <v>6352</v>
      </c>
      <c r="H4204" s="11">
        <v>40676</v>
      </c>
      <c r="I4204" s="10">
        <v>2011</v>
      </c>
      <c r="J4204" s="10" t="s">
        <v>23635</v>
      </c>
      <c r="K4204" s="10">
        <v>128</v>
      </c>
      <c r="L4204" s="10" t="s">
        <v>23641</v>
      </c>
      <c r="M4204" s="10">
        <v>1</v>
      </c>
      <c r="N4204" s="10"/>
      <c r="O4204" s="10"/>
      <c r="P4204" s="10" t="s">
        <v>23642</v>
      </c>
      <c r="Q4204" s="10">
        <v>378.12</v>
      </c>
      <c r="R4204" s="10" t="s">
        <v>23643</v>
      </c>
      <c r="S4204" s="10" t="s">
        <v>53</v>
      </c>
      <c r="T4204" s="10" t="s">
        <v>54</v>
      </c>
    </row>
    <row r="4205" spans="1:20" ht="14.5" x14ac:dyDescent="0.35">
      <c r="A4205" s="10" t="s">
        <v>23644</v>
      </c>
      <c r="B4205" s="10" t="str">
        <f>"9781443834391"</f>
        <v>9781443834391</v>
      </c>
      <c r="C4205" s="10" t="str">
        <f>"9781443834711"</f>
        <v>9781443834711</v>
      </c>
      <c r="D4205" s="10" t="s">
        <v>23635</v>
      </c>
      <c r="E4205" s="10" t="s">
        <v>23635</v>
      </c>
      <c r="F4205" s="10" t="s">
        <v>23636</v>
      </c>
      <c r="G4205" s="10" t="s">
        <v>6352</v>
      </c>
      <c r="H4205" s="11">
        <v>40919</v>
      </c>
      <c r="I4205" s="10">
        <v>2011</v>
      </c>
      <c r="J4205" s="10" t="s">
        <v>23635</v>
      </c>
      <c r="K4205" s="10">
        <v>418</v>
      </c>
      <c r="L4205" s="10" t="s">
        <v>23645</v>
      </c>
      <c r="M4205" s="10">
        <v>1</v>
      </c>
      <c r="N4205" s="10"/>
      <c r="O4205" s="10"/>
      <c r="P4205" s="10" t="s">
        <v>23646</v>
      </c>
      <c r="Q4205" s="10">
        <v>378.4</v>
      </c>
      <c r="R4205" s="10" t="s">
        <v>23647</v>
      </c>
      <c r="S4205" s="10" t="s">
        <v>53</v>
      </c>
      <c r="T4205" s="10" t="s">
        <v>54</v>
      </c>
    </row>
    <row r="4206" spans="1:20" ht="14.5" x14ac:dyDescent="0.35">
      <c r="A4206" s="10" t="s">
        <v>23648</v>
      </c>
      <c r="B4206" s="10" t="str">
        <f>"9781443829786"</f>
        <v>9781443829786</v>
      </c>
      <c r="C4206" s="10" t="str">
        <f>"9781443831406"</f>
        <v>9781443831406</v>
      </c>
      <c r="D4206" s="10" t="s">
        <v>23635</v>
      </c>
      <c r="E4206" s="10" t="s">
        <v>23635</v>
      </c>
      <c r="F4206" s="10" t="s">
        <v>23636</v>
      </c>
      <c r="G4206" s="10" t="s">
        <v>6352</v>
      </c>
      <c r="H4206" s="11">
        <v>40707</v>
      </c>
      <c r="I4206" s="10">
        <v>2011</v>
      </c>
      <c r="J4206" s="10" t="s">
        <v>23635</v>
      </c>
      <c r="K4206" s="10">
        <v>187</v>
      </c>
      <c r="L4206" s="10" t="s">
        <v>23649</v>
      </c>
      <c r="M4206" s="10">
        <v>1</v>
      </c>
      <c r="N4206" s="10"/>
      <c r="O4206" s="10"/>
      <c r="P4206" s="10" t="s">
        <v>23650</v>
      </c>
      <c r="Q4206" s="10">
        <v>378.12</v>
      </c>
      <c r="R4206" s="10" t="s">
        <v>23651</v>
      </c>
      <c r="S4206" s="10" t="s">
        <v>53</v>
      </c>
      <c r="T4206" s="10" t="s">
        <v>54</v>
      </c>
    </row>
    <row r="4207" spans="1:20" ht="14.5" x14ac:dyDescent="0.35">
      <c r="A4207" s="10" t="s">
        <v>23652</v>
      </c>
      <c r="B4207" s="10" t="str">
        <f>"9789004235281"</f>
        <v>9789004235281</v>
      </c>
      <c r="C4207" s="10" t="str">
        <f>"9789004243729"</f>
        <v>9789004243729</v>
      </c>
      <c r="D4207" s="10" t="s">
        <v>8564</v>
      </c>
      <c r="E4207" s="10" t="s">
        <v>8565</v>
      </c>
      <c r="F4207" s="10" t="s">
        <v>1420</v>
      </c>
      <c r="G4207" s="10" t="s">
        <v>6317</v>
      </c>
      <c r="H4207" s="11">
        <v>41214</v>
      </c>
      <c r="I4207" s="10">
        <v>2013</v>
      </c>
      <c r="J4207" s="10" t="s">
        <v>23653</v>
      </c>
      <c r="K4207" s="10">
        <v>221</v>
      </c>
      <c r="L4207" s="10" t="s">
        <v>23654</v>
      </c>
      <c r="M4207" s="10">
        <v>1</v>
      </c>
      <c r="N4207" s="10"/>
      <c r="O4207" s="10"/>
      <c r="P4207" s="10" t="s">
        <v>23655</v>
      </c>
      <c r="Q4207" s="10">
        <v>370.11609520000002</v>
      </c>
      <c r="R4207" s="10" t="s">
        <v>23656</v>
      </c>
      <c r="S4207" s="10" t="s">
        <v>53</v>
      </c>
      <c r="T4207" s="10" t="s">
        <v>54</v>
      </c>
    </row>
    <row r="4208" spans="1:20" ht="14.5" x14ac:dyDescent="0.35">
      <c r="A4208" s="10" t="s">
        <v>23657</v>
      </c>
      <c r="B4208" s="10" t="str">
        <f>"9789814560894"</f>
        <v>9789814560894</v>
      </c>
      <c r="C4208" s="10" t="str">
        <f>"9789814021845"</f>
        <v>9789814021845</v>
      </c>
      <c r="D4208" s="10" t="s">
        <v>11249</v>
      </c>
      <c r="E4208" s="10" t="s">
        <v>23658</v>
      </c>
      <c r="F4208" s="10" t="s">
        <v>549</v>
      </c>
      <c r="G4208" s="10" t="s">
        <v>8573</v>
      </c>
      <c r="H4208" s="11">
        <v>41233</v>
      </c>
      <c r="I4208" s="10">
        <v>2013</v>
      </c>
      <c r="J4208" s="10" t="s">
        <v>13067</v>
      </c>
      <c r="K4208" s="10">
        <v>228</v>
      </c>
      <c r="L4208" s="10" t="s">
        <v>23659</v>
      </c>
      <c r="M4208" s="10">
        <v>1</v>
      </c>
      <c r="N4208" s="10"/>
      <c r="O4208" s="10"/>
      <c r="P4208" s="10" t="s">
        <v>13071</v>
      </c>
      <c r="Q4208" s="10">
        <v>371.82999150000001</v>
      </c>
      <c r="R4208" s="10" t="s">
        <v>23660</v>
      </c>
      <c r="S4208" s="10" t="s">
        <v>53</v>
      </c>
      <c r="T4208" s="10" t="s">
        <v>54</v>
      </c>
    </row>
    <row r="4209" spans="1:20" ht="14.5" x14ac:dyDescent="0.35">
      <c r="A4209" s="10" t="s">
        <v>23661</v>
      </c>
      <c r="B4209" s="10" t="str">
        <f>"9781584657712"</f>
        <v>9781584657712</v>
      </c>
      <c r="C4209" s="10" t="str">
        <f>"9781584658375"</f>
        <v>9781584658375</v>
      </c>
      <c r="D4209" s="10" t="s">
        <v>23662</v>
      </c>
      <c r="E4209" s="10" t="s">
        <v>23663</v>
      </c>
      <c r="F4209" s="10" t="s">
        <v>23664</v>
      </c>
      <c r="G4209" s="10" t="s">
        <v>6317</v>
      </c>
      <c r="H4209" s="11">
        <v>40162</v>
      </c>
      <c r="I4209" s="10">
        <v>2009</v>
      </c>
      <c r="J4209" s="10" t="s">
        <v>23665</v>
      </c>
      <c r="K4209" s="10">
        <v>253</v>
      </c>
      <c r="L4209" s="10" t="s">
        <v>23666</v>
      </c>
      <c r="M4209" s="10">
        <v>1</v>
      </c>
      <c r="N4209" s="10"/>
      <c r="O4209" s="10"/>
      <c r="P4209" s="10" t="s">
        <v>23667</v>
      </c>
      <c r="Q4209" s="10" t="s">
        <v>23668</v>
      </c>
      <c r="R4209" s="10" t="s">
        <v>23669</v>
      </c>
      <c r="S4209" s="10" t="s">
        <v>53</v>
      </c>
      <c r="T4209" s="10" t="s">
        <v>54</v>
      </c>
    </row>
    <row r="4210" spans="1:20" ht="14.5" x14ac:dyDescent="0.35">
      <c r="A4210" s="10" t="s">
        <v>23670</v>
      </c>
      <c r="B4210" s="10" t="str">
        <f>""</f>
        <v/>
      </c>
      <c r="C4210" s="10" t="str">
        <f>"9781584659075"</f>
        <v>9781584659075</v>
      </c>
      <c r="D4210" s="10" t="s">
        <v>20156</v>
      </c>
      <c r="E4210" s="10" t="s">
        <v>23671</v>
      </c>
      <c r="F4210" s="10" t="s">
        <v>23664</v>
      </c>
      <c r="G4210" s="10" t="s">
        <v>6317</v>
      </c>
      <c r="H4210" s="11">
        <v>40309</v>
      </c>
      <c r="I4210" s="10">
        <v>2010</v>
      </c>
      <c r="J4210" s="10" t="s">
        <v>23671</v>
      </c>
      <c r="K4210" s="10">
        <v>281</v>
      </c>
      <c r="L4210" s="10" t="s">
        <v>23672</v>
      </c>
      <c r="M4210" s="10">
        <v>1</v>
      </c>
      <c r="N4210" s="10"/>
      <c r="O4210" s="10"/>
      <c r="P4210" s="10" t="s">
        <v>20130</v>
      </c>
      <c r="Q4210" s="10">
        <v>378.19829970000001</v>
      </c>
      <c r="R4210" s="10" t="s">
        <v>23673</v>
      </c>
      <c r="S4210" s="10" t="s">
        <v>53</v>
      </c>
      <c r="T4210" s="10" t="s">
        <v>16298</v>
      </c>
    </row>
    <row r="4211" spans="1:20" ht="14.5" x14ac:dyDescent="0.35">
      <c r="A4211" s="10" t="s">
        <v>23674</v>
      </c>
      <c r="B4211" s="10" t="str">
        <f>"9781584659662"</f>
        <v>9781584659662</v>
      </c>
      <c r="C4211" s="10" t="str">
        <f>"9781611682939"</f>
        <v>9781611682939</v>
      </c>
      <c r="D4211" s="10" t="s">
        <v>20156</v>
      </c>
      <c r="E4211" s="10" t="s">
        <v>23675</v>
      </c>
      <c r="F4211" s="10" t="s">
        <v>324</v>
      </c>
      <c r="G4211" s="10" t="s">
        <v>6317</v>
      </c>
      <c r="H4211" s="11">
        <v>40673</v>
      </c>
      <c r="I4211" s="10">
        <v>2011</v>
      </c>
      <c r="J4211" s="10" t="s">
        <v>23675</v>
      </c>
      <c r="K4211" s="10">
        <v>511</v>
      </c>
      <c r="L4211" s="10" t="s">
        <v>23676</v>
      </c>
      <c r="M4211" s="10">
        <v>1</v>
      </c>
      <c r="N4211" s="10" t="s">
        <v>23677</v>
      </c>
      <c r="O4211" s="10"/>
      <c r="P4211" s="10" t="s">
        <v>23678</v>
      </c>
      <c r="Q4211" s="10" t="s">
        <v>23679</v>
      </c>
      <c r="R4211" s="10" t="s">
        <v>23680</v>
      </c>
      <c r="S4211" s="10" t="s">
        <v>53</v>
      </c>
      <c r="T4211" s="10" t="s">
        <v>54</v>
      </c>
    </row>
    <row r="4212" spans="1:20" ht="14.5" x14ac:dyDescent="0.35">
      <c r="A4212" s="10" t="s">
        <v>23681</v>
      </c>
      <c r="B4212" s="10" t="str">
        <f>"9781611683325"</f>
        <v>9781611683325</v>
      </c>
      <c r="C4212" s="10" t="str">
        <f>"9781611683332"</f>
        <v>9781611683332</v>
      </c>
      <c r="D4212" s="10" t="s">
        <v>20156</v>
      </c>
      <c r="E4212" s="10" t="s">
        <v>23671</v>
      </c>
      <c r="F4212" s="10" t="s">
        <v>324</v>
      </c>
      <c r="G4212" s="10" t="s">
        <v>6317</v>
      </c>
      <c r="H4212" s="11">
        <v>41226</v>
      </c>
      <c r="I4212" s="10">
        <v>2012</v>
      </c>
      <c r="J4212" s="10" t="s">
        <v>23671</v>
      </c>
      <c r="K4212" s="10">
        <v>271</v>
      </c>
      <c r="L4212" s="10" t="s">
        <v>23682</v>
      </c>
      <c r="M4212" s="10">
        <v>1</v>
      </c>
      <c r="N4212" s="10"/>
      <c r="O4212" s="10"/>
      <c r="P4212" s="10" t="s">
        <v>23683</v>
      </c>
      <c r="Q4212" s="10" t="s">
        <v>23684</v>
      </c>
      <c r="R4212" s="10" t="s">
        <v>23685</v>
      </c>
      <c r="S4212" s="10" t="s">
        <v>53</v>
      </c>
      <c r="T4212" s="10" t="s">
        <v>54</v>
      </c>
    </row>
    <row r="4213" spans="1:20" ht="14.5" x14ac:dyDescent="0.35">
      <c r="A4213" s="10" t="s">
        <v>23686</v>
      </c>
      <c r="B4213" s="10" t="str">
        <f>"9781849693080"</f>
        <v>9781849693080</v>
      </c>
      <c r="C4213" s="10" t="str">
        <f>"9781849693097"</f>
        <v>9781849693097</v>
      </c>
      <c r="D4213" s="10" t="s">
        <v>21162</v>
      </c>
      <c r="E4213" s="10" t="s">
        <v>21163</v>
      </c>
      <c r="F4213" s="10" t="s">
        <v>1939</v>
      </c>
      <c r="G4213" s="10" t="s">
        <v>6352</v>
      </c>
      <c r="H4213" s="11">
        <v>41236</v>
      </c>
      <c r="I4213" s="10">
        <v>2012</v>
      </c>
      <c r="J4213" s="10" t="s">
        <v>21163</v>
      </c>
      <c r="K4213" s="10">
        <v>335</v>
      </c>
      <c r="L4213" s="10" t="s">
        <v>23687</v>
      </c>
      <c r="M4213" s="10">
        <v>1</v>
      </c>
      <c r="N4213" s="10"/>
      <c r="O4213" s="10"/>
      <c r="P4213" s="10"/>
      <c r="Q4213" s="10"/>
      <c r="R4213" s="10" t="s">
        <v>23688</v>
      </c>
      <c r="S4213" s="10" t="s">
        <v>53</v>
      </c>
      <c r="T4213" s="10" t="s">
        <v>19959</v>
      </c>
    </row>
    <row r="4214" spans="1:20" ht="14.5" x14ac:dyDescent="0.35">
      <c r="A4214" s="10" t="s">
        <v>23689</v>
      </c>
      <c r="B4214" s="10" t="str">
        <f>"9780415643542"</f>
        <v>9780415643542</v>
      </c>
      <c r="C4214" s="10" t="str">
        <f>"9781136158254"</f>
        <v>9781136158254</v>
      </c>
      <c r="D4214" s="10" t="s">
        <v>6350</v>
      </c>
      <c r="E4214" s="10" t="s">
        <v>6351</v>
      </c>
      <c r="F4214" s="10" t="s">
        <v>748</v>
      </c>
      <c r="G4214" s="10" t="s">
        <v>6352</v>
      </c>
      <c r="H4214" s="11">
        <v>41284</v>
      </c>
      <c r="I4214" s="10">
        <v>2013</v>
      </c>
      <c r="J4214" s="10" t="s">
        <v>6351</v>
      </c>
      <c r="K4214" s="10">
        <v>225</v>
      </c>
      <c r="L4214" s="10" t="s">
        <v>23690</v>
      </c>
      <c r="M4214" s="10">
        <v>2</v>
      </c>
      <c r="N4214" s="10"/>
      <c r="O4214" s="10"/>
      <c r="P4214" s="10" t="s">
        <v>23691</v>
      </c>
      <c r="Q4214" s="10" t="s">
        <v>10213</v>
      </c>
      <c r="R4214" s="10" t="s">
        <v>11395</v>
      </c>
      <c r="S4214" s="10" t="s">
        <v>53</v>
      </c>
      <c r="T4214" s="10" t="s">
        <v>54</v>
      </c>
    </row>
    <row r="4215" spans="1:20" ht="14.5" x14ac:dyDescent="0.35">
      <c r="A4215" s="10" t="s">
        <v>23692</v>
      </c>
      <c r="B4215" s="10" t="str">
        <f>"9780415540186"</f>
        <v>9780415540186</v>
      </c>
      <c r="C4215" s="10" t="str">
        <f>"9781136170980"</f>
        <v>9781136170980</v>
      </c>
      <c r="D4215" s="10" t="s">
        <v>6350</v>
      </c>
      <c r="E4215" s="10" t="s">
        <v>6351</v>
      </c>
      <c r="F4215" s="10" t="s">
        <v>139</v>
      </c>
      <c r="G4215" s="10" t="s">
        <v>6352</v>
      </c>
      <c r="H4215" s="11">
        <v>41225</v>
      </c>
      <c r="I4215" s="10">
        <v>2013</v>
      </c>
      <c r="J4215" s="10" t="s">
        <v>6353</v>
      </c>
      <c r="K4215" s="10">
        <v>201</v>
      </c>
      <c r="L4215" s="10" t="s">
        <v>23693</v>
      </c>
      <c r="M4215" s="10">
        <v>1</v>
      </c>
      <c r="N4215" s="10" t="s">
        <v>23694</v>
      </c>
      <c r="O4215" s="10"/>
      <c r="P4215" s="10" t="s">
        <v>23695</v>
      </c>
      <c r="Q4215" s="10">
        <v>378.47</v>
      </c>
      <c r="R4215" s="10" t="s">
        <v>23696</v>
      </c>
      <c r="S4215" s="10" t="s">
        <v>53</v>
      </c>
      <c r="T4215" s="10" t="s">
        <v>54</v>
      </c>
    </row>
    <row r="4216" spans="1:20" ht="14.5" x14ac:dyDescent="0.35">
      <c r="A4216" s="10" t="s">
        <v>23697</v>
      </c>
      <c r="B4216" s="10" t="str">
        <f>"9780415692823"</f>
        <v>9780415692823</v>
      </c>
      <c r="C4216" s="10" t="str">
        <f>"9781136182655"</f>
        <v>9781136182655</v>
      </c>
      <c r="D4216" s="10" t="s">
        <v>6350</v>
      </c>
      <c r="E4216" s="10" t="s">
        <v>6351</v>
      </c>
      <c r="F4216" s="10" t="s">
        <v>748</v>
      </c>
      <c r="G4216" s="10" t="s">
        <v>6352</v>
      </c>
      <c r="H4216" s="11">
        <v>41242</v>
      </c>
      <c r="I4216" s="10">
        <v>2013</v>
      </c>
      <c r="J4216" s="10" t="s">
        <v>6351</v>
      </c>
      <c r="K4216" s="10">
        <v>145</v>
      </c>
      <c r="L4216" s="10" t="s">
        <v>23698</v>
      </c>
      <c r="M4216" s="10">
        <v>1</v>
      </c>
      <c r="N4216" s="10" t="s">
        <v>23699</v>
      </c>
      <c r="O4216" s="10"/>
      <c r="P4216" s="10" t="s">
        <v>23700</v>
      </c>
      <c r="Q4216" s="10" t="s">
        <v>23701</v>
      </c>
      <c r="R4216" s="10" t="s">
        <v>6587</v>
      </c>
      <c r="S4216" s="10" t="s">
        <v>53</v>
      </c>
      <c r="T4216" s="10" t="s">
        <v>6492</v>
      </c>
    </row>
    <row r="4217" spans="1:20" ht="14.5" x14ac:dyDescent="0.35">
      <c r="A4217" s="10" t="s">
        <v>23702</v>
      </c>
      <c r="B4217" s="10" t="str">
        <f>"9780415623971"</f>
        <v>9780415623971</v>
      </c>
      <c r="C4217" s="10" t="str">
        <f>"9781136183294"</f>
        <v>9781136183294</v>
      </c>
      <c r="D4217" s="10" t="s">
        <v>6350</v>
      </c>
      <c r="E4217" s="10" t="s">
        <v>6351</v>
      </c>
      <c r="F4217" s="10" t="s">
        <v>139</v>
      </c>
      <c r="G4217" s="10" t="s">
        <v>6352</v>
      </c>
      <c r="H4217" s="11">
        <v>41207</v>
      </c>
      <c r="I4217" s="10">
        <v>2013</v>
      </c>
      <c r="J4217" s="10" t="s">
        <v>6353</v>
      </c>
      <c r="K4217" s="10">
        <v>257</v>
      </c>
      <c r="L4217" s="10" t="s">
        <v>23703</v>
      </c>
      <c r="M4217" s="10">
        <v>1</v>
      </c>
      <c r="N4217" s="10" t="s">
        <v>23704</v>
      </c>
      <c r="O4217" s="10"/>
      <c r="P4217" s="10" t="s">
        <v>23705</v>
      </c>
      <c r="Q4217" s="10" t="s">
        <v>23706</v>
      </c>
      <c r="R4217" s="10" t="s">
        <v>23707</v>
      </c>
      <c r="S4217" s="10" t="s">
        <v>53</v>
      </c>
      <c r="T4217" s="10" t="s">
        <v>54</v>
      </c>
    </row>
    <row r="4218" spans="1:20" ht="14.5" x14ac:dyDescent="0.35">
      <c r="A4218" s="10" t="s">
        <v>23708</v>
      </c>
      <c r="B4218" s="10" t="str">
        <f>"9780415634366"</f>
        <v>9780415634366</v>
      </c>
      <c r="C4218" s="10" t="str">
        <f>"9781136189319"</f>
        <v>9781136189319</v>
      </c>
      <c r="D4218" s="10" t="s">
        <v>6350</v>
      </c>
      <c r="E4218" s="10" t="s">
        <v>6351</v>
      </c>
      <c r="F4218" s="10" t="s">
        <v>748</v>
      </c>
      <c r="G4218" s="10" t="s">
        <v>6352</v>
      </c>
      <c r="H4218" s="11">
        <v>41213</v>
      </c>
      <c r="I4218" s="10">
        <v>2013</v>
      </c>
      <c r="J4218" s="10" t="s">
        <v>6351</v>
      </c>
      <c r="K4218" s="10">
        <v>137</v>
      </c>
      <c r="L4218" s="10" t="s">
        <v>23709</v>
      </c>
      <c r="M4218" s="10">
        <v>1</v>
      </c>
      <c r="N4218" s="10"/>
      <c r="O4218" s="10"/>
      <c r="P4218" s="10" t="s">
        <v>23710</v>
      </c>
      <c r="Q4218" s="10">
        <v>371.28300000000002</v>
      </c>
      <c r="R4218" s="10" t="s">
        <v>21719</v>
      </c>
      <c r="S4218" s="10" t="s">
        <v>53</v>
      </c>
      <c r="T4218" s="10" t="s">
        <v>54</v>
      </c>
    </row>
    <row r="4219" spans="1:20" ht="14.5" x14ac:dyDescent="0.35">
      <c r="A4219" s="10" t="s">
        <v>23711</v>
      </c>
      <c r="B4219" s="10" t="str">
        <f>"9780415681148"</f>
        <v>9780415681148</v>
      </c>
      <c r="C4219" s="10" t="str">
        <f>"9781136190650"</f>
        <v>9781136190650</v>
      </c>
      <c r="D4219" s="10" t="s">
        <v>6350</v>
      </c>
      <c r="E4219" s="10" t="s">
        <v>6351</v>
      </c>
      <c r="F4219" s="10" t="s">
        <v>139</v>
      </c>
      <c r="G4219" s="10" t="s">
        <v>6352</v>
      </c>
      <c r="H4219" s="11">
        <v>41249</v>
      </c>
      <c r="I4219" s="10">
        <v>2013</v>
      </c>
      <c r="J4219" s="10" t="s">
        <v>6353</v>
      </c>
      <c r="K4219" s="10">
        <v>169</v>
      </c>
      <c r="L4219" s="10" t="s">
        <v>23712</v>
      </c>
      <c r="M4219" s="10">
        <v>1</v>
      </c>
      <c r="N4219" s="10" t="s">
        <v>21374</v>
      </c>
      <c r="O4219" s="10"/>
      <c r="P4219" s="10" t="s">
        <v>23713</v>
      </c>
      <c r="Q4219" s="10">
        <v>378.010941</v>
      </c>
      <c r="R4219" s="10" t="s">
        <v>21986</v>
      </c>
      <c r="S4219" s="10" t="s">
        <v>53</v>
      </c>
      <c r="T4219" s="10" t="s">
        <v>54</v>
      </c>
    </row>
    <row r="4220" spans="1:20" ht="14.5" x14ac:dyDescent="0.35">
      <c r="A4220" s="10" t="s">
        <v>23714</v>
      </c>
      <c r="B4220" s="10" t="str">
        <f>"9780415675031"</f>
        <v>9780415675031</v>
      </c>
      <c r="C4220" s="10" t="str">
        <f>"9781136218477"</f>
        <v>9781136218477</v>
      </c>
      <c r="D4220" s="10" t="s">
        <v>6350</v>
      </c>
      <c r="E4220" s="10" t="s">
        <v>6351</v>
      </c>
      <c r="F4220" s="10" t="s">
        <v>139</v>
      </c>
      <c r="G4220" s="10" t="s">
        <v>6352</v>
      </c>
      <c r="H4220" s="11">
        <v>41198</v>
      </c>
      <c r="I4220" s="10">
        <v>2013</v>
      </c>
      <c r="J4220" s="10" t="s">
        <v>6353</v>
      </c>
      <c r="K4220" s="10">
        <v>201</v>
      </c>
      <c r="L4220" s="10" t="s">
        <v>23715</v>
      </c>
      <c r="M4220" s="10">
        <v>1</v>
      </c>
      <c r="N4220" s="10"/>
      <c r="O4220" s="10"/>
      <c r="P4220" s="10" t="s">
        <v>23716</v>
      </c>
      <c r="Q4220" s="10" t="s">
        <v>23717</v>
      </c>
      <c r="R4220" s="10" t="s">
        <v>23718</v>
      </c>
      <c r="S4220" s="10" t="s">
        <v>53</v>
      </c>
      <c r="T4220" s="10" t="s">
        <v>6815</v>
      </c>
    </row>
    <row r="4221" spans="1:20" ht="14.5" x14ac:dyDescent="0.35">
      <c r="A4221" s="10" t="s">
        <v>23719</v>
      </c>
      <c r="B4221" s="10" t="str">
        <f>"9780415502665"</f>
        <v>9780415502665</v>
      </c>
      <c r="C4221" s="10" t="str">
        <f>"9781136220043"</f>
        <v>9781136220043</v>
      </c>
      <c r="D4221" s="10" t="s">
        <v>6350</v>
      </c>
      <c r="E4221" s="10" t="s">
        <v>6351</v>
      </c>
      <c r="F4221" s="10" t="s">
        <v>139</v>
      </c>
      <c r="G4221" s="10" t="s">
        <v>6352</v>
      </c>
      <c r="H4221" s="11">
        <v>41141</v>
      </c>
      <c r="I4221" s="10">
        <v>2013</v>
      </c>
      <c r="J4221" s="10" t="s">
        <v>6353</v>
      </c>
      <c r="K4221" s="10">
        <v>320</v>
      </c>
      <c r="L4221" s="10" t="s">
        <v>23720</v>
      </c>
      <c r="M4221" s="10">
        <v>1</v>
      </c>
      <c r="N4221" s="10" t="s">
        <v>6954</v>
      </c>
      <c r="O4221" s="10"/>
      <c r="P4221" s="10" t="s">
        <v>23721</v>
      </c>
      <c r="Q4221" s="10" t="s">
        <v>8223</v>
      </c>
      <c r="R4221" s="10" t="s">
        <v>23722</v>
      </c>
      <c r="S4221" s="10" t="s">
        <v>53</v>
      </c>
      <c r="T4221" s="10" t="s">
        <v>54</v>
      </c>
    </row>
    <row r="4222" spans="1:20" ht="14.5" x14ac:dyDescent="0.35">
      <c r="A4222" s="10" t="s">
        <v>23723</v>
      </c>
      <c r="B4222" s="10" t="str">
        <f>"9780415524988"</f>
        <v>9780415524988</v>
      </c>
      <c r="C4222" s="10" t="str">
        <f>"9781136280177"</f>
        <v>9781136280177</v>
      </c>
      <c r="D4222" s="10" t="s">
        <v>6350</v>
      </c>
      <c r="E4222" s="10" t="s">
        <v>6351</v>
      </c>
      <c r="F4222" s="10" t="s">
        <v>139</v>
      </c>
      <c r="G4222" s="10" t="s">
        <v>6352</v>
      </c>
      <c r="H4222" s="11">
        <v>41248</v>
      </c>
      <c r="I4222" s="10">
        <v>2013</v>
      </c>
      <c r="J4222" s="10" t="s">
        <v>6353</v>
      </c>
      <c r="K4222" s="10">
        <v>145</v>
      </c>
      <c r="L4222" s="10" t="s">
        <v>23724</v>
      </c>
      <c r="M4222" s="10">
        <v>1</v>
      </c>
      <c r="N4222" s="10" t="s">
        <v>23725</v>
      </c>
      <c r="O4222" s="10"/>
      <c r="P4222" s="10" t="s">
        <v>23726</v>
      </c>
      <c r="Q4222" s="10" t="s">
        <v>19783</v>
      </c>
      <c r="R4222" s="10" t="s">
        <v>23727</v>
      </c>
      <c r="S4222" s="10" t="s">
        <v>53</v>
      </c>
      <c r="T4222" s="10" t="s">
        <v>54</v>
      </c>
    </row>
    <row r="4223" spans="1:20" ht="14.5" x14ac:dyDescent="0.35">
      <c r="A4223" s="10" t="s">
        <v>23728</v>
      </c>
      <c r="B4223" s="10" t="str">
        <f>"9780415534352"</f>
        <v>9780415534352</v>
      </c>
      <c r="C4223" s="10" t="str">
        <f>"9781136286926"</f>
        <v>9781136286926</v>
      </c>
      <c r="D4223" s="10" t="s">
        <v>6350</v>
      </c>
      <c r="E4223" s="10" t="s">
        <v>6351</v>
      </c>
      <c r="F4223" s="10" t="s">
        <v>3967</v>
      </c>
      <c r="G4223" s="10" t="s">
        <v>6352</v>
      </c>
      <c r="H4223" s="11">
        <v>41232</v>
      </c>
      <c r="I4223" s="10">
        <v>2013</v>
      </c>
      <c r="J4223" s="10" t="s">
        <v>6353</v>
      </c>
      <c r="K4223" s="10">
        <v>256</v>
      </c>
      <c r="L4223" s="10" t="s">
        <v>8988</v>
      </c>
      <c r="M4223" s="10">
        <v>1</v>
      </c>
      <c r="N4223" s="10"/>
      <c r="O4223" s="10"/>
      <c r="P4223" s="10" t="s">
        <v>23729</v>
      </c>
      <c r="Q4223" s="10"/>
      <c r="R4223" s="10" t="s">
        <v>23730</v>
      </c>
      <c r="S4223" s="10" t="s">
        <v>53</v>
      </c>
      <c r="T4223" s="10" t="s">
        <v>54</v>
      </c>
    </row>
    <row r="4224" spans="1:20" ht="14.5" x14ac:dyDescent="0.35">
      <c r="A4224" s="10" t="s">
        <v>23731</v>
      </c>
      <c r="B4224" s="10" t="str">
        <f>"9780415524681"</f>
        <v>9780415524681</v>
      </c>
      <c r="C4224" s="10" t="str">
        <f>"9781136320255"</f>
        <v>9781136320255</v>
      </c>
      <c r="D4224" s="10" t="s">
        <v>6350</v>
      </c>
      <c r="E4224" s="10" t="s">
        <v>6351</v>
      </c>
      <c r="F4224" s="10" t="s">
        <v>139</v>
      </c>
      <c r="G4224" s="10" t="s">
        <v>6352</v>
      </c>
      <c r="H4224" s="11">
        <v>41239</v>
      </c>
      <c r="I4224" s="10">
        <v>2013</v>
      </c>
      <c r="J4224" s="10" t="s">
        <v>6353</v>
      </c>
      <c r="K4224" s="10">
        <v>254</v>
      </c>
      <c r="L4224" s="10" t="s">
        <v>23732</v>
      </c>
      <c r="M4224" s="10">
        <v>1</v>
      </c>
      <c r="N4224" s="10"/>
      <c r="O4224" s="10"/>
      <c r="P4224" s="10" t="s">
        <v>23733</v>
      </c>
      <c r="Q4224" s="10" t="s">
        <v>6576</v>
      </c>
      <c r="R4224" s="10" t="s">
        <v>18002</v>
      </c>
      <c r="S4224" s="10" t="s">
        <v>53</v>
      </c>
      <c r="T4224" s="10" t="s">
        <v>54</v>
      </c>
    </row>
    <row r="4225" spans="1:20" ht="14.5" x14ac:dyDescent="0.35">
      <c r="A4225" s="10" t="s">
        <v>23734</v>
      </c>
      <c r="B4225" s="10" t="str">
        <f>"9780415524131"</f>
        <v>9780415524131</v>
      </c>
      <c r="C4225" s="10" t="str">
        <f>"9781136322303"</f>
        <v>9781136322303</v>
      </c>
      <c r="D4225" s="10" t="s">
        <v>6350</v>
      </c>
      <c r="E4225" s="10" t="s">
        <v>6351</v>
      </c>
      <c r="F4225" s="10" t="s">
        <v>3967</v>
      </c>
      <c r="G4225" s="10" t="s">
        <v>6352</v>
      </c>
      <c r="H4225" s="11">
        <v>41201</v>
      </c>
      <c r="I4225" s="10">
        <v>2013</v>
      </c>
      <c r="J4225" s="10" t="s">
        <v>6353</v>
      </c>
      <c r="K4225" s="10">
        <v>201</v>
      </c>
      <c r="L4225" s="10" t="s">
        <v>23735</v>
      </c>
      <c r="M4225" s="10">
        <v>1</v>
      </c>
      <c r="N4225" s="10" t="s">
        <v>8813</v>
      </c>
      <c r="O4225" s="10"/>
      <c r="P4225" s="10"/>
      <c r="Q4225" s="10" t="s">
        <v>23736</v>
      </c>
      <c r="R4225" s="10" t="s">
        <v>23737</v>
      </c>
      <c r="S4225" s="10" t="s">
        <v>53</v>
      </c>
      <c r="T4225" s="10" t="s">
        <v>54</v>
      </c>
    </row>
    <row r="4226" spans="1:20" ht="14.5" x14ac:dyDescent="0.35">
      <c r="A4226" s="10" t="s">
        <v>23738</v>
      </c>
      <c r="B4226" s="10" t="str">
        <f>"9780520274730"</f>
        <v>9780520274730</v>
      </c>
      <c r="C4226" s="10" t="str">
        <f>"9780520955103"</f>
        <v>9780520955103</v>
      </c>
      <c r="D4226" s="10" t="s">
        <v>8512</v>
      </c>
      <c r="E4226" s="10" t="s">
        <v>8512</v>
      </c>
      <c r="F4226" s="10" t="s">
        <v>717</v>
      </c>
      <c r="G4226" s="10" t="s">
        <v>6317</v>
      </c>
      <c r="H4226" s="11">
        <v>41299</v>
      </c>
      <c r="I4226" s="10">
        <v>2013</v>
      </c>
      <c r="J4226" s="10" t="s">
        <v>8512</v>
      </c>
      <c r="K4226" s="10">
        <v>386</v>
      </c>
      <c r="L4226" s="10" t="s">
        <v>23739</v>
      </c>
      <c r="M4226" s="10">
        <v>1</v>
      </c>
      <c r="N4226" s="10"/>
      <c r="O4226" s="10"/>
      <c r="P4226" s="10"/>
      <c r="Q4226" s="10">
        <v>379.26</v>
      </c>
      <c r="R4226" s="10"/>
      <c r="S4226" s="10" t="s">
        <v>53</v>
      </c>
      <c r="T4226" s="10" t="s">
        <v>54</v>
      </c>
    </row>
    <row r="4227" spans="1:20" ht="14.5" x14ac:dyDescent="0.35">
      <c r="A4227" s="10" t="s">
        <v>23740</v>
      </c>
      <c r="B4227" s="10" t="str">
        <f>"9781555537951"</f>
        <v>9781555537951</v>
      </c>
      <c r="C4227" s="10" t="str">
        <f>"9781555538200"</f>
        <v>9781555538200</v>
      </c>
      <c r="D4227" s="10" t="s">
        <v>884</v>
      </c>
      <c r="E4227" s="10" t="s">
        <v>23741</v>
      </c>
      <c r="F4227" s="10" t="s">
        <v>1420</v>
      </c>
      <c r="G4227" s="10" t="s">
        <v>6317</v>
      </c>
      <c r="H4227" s="11">
        <v>41436</v>
      </c>
      <c r="I4227" s="10">
        <v>2013</v>
      </c>
      <c r="J4227" s="10" t="s">
        <v>23742</v>
      </c>
      <c r="K4227" s="10">
        <v>174</v>
      </c>
      <c r="L4227" s="10" t="s">
        <v>23743</v>
      </c>
      <c r="M4227" s="10">
        <v>1</v>
      </c>
      <c r="N4227" s="10" t="s">
        <v>23744</v>
      </c>
      <c r="O4227" s="10"/>
      <c r="P4227" s="10" t="s">
        <v>23745</v>
      </c>
      <c r="Q4227" s="10" t="s">
        <v>22902</v>
      </c>
      <c r="R4227" s="10" t="s">
        <v>23746</v>
      </c>
      <c r="S4227" s="10" t="s">
        <v>53</v>
      </c>
      <c r="T4227" s="10" t="s">
        <v>54</v>
      </c>
    </row>
    <row r="4228" spans="1:20" ht="14.5" x14ac:dyDescent="0.35">
      <c r="A4228" s="10" t="s">
        <v>23747</v>
      </c>
      <c r="B4228" s="10" t="str">
        <f>"9781441166999"</f>
        <v>9781441166999</v>
      </c>
      <c r="C4228" s="10" t="str">
        <f>"9781441118387"</f>
        <v>9781441118387</v>
      </c>
      <c r="D4228" s="10" t="s">
        <v>13959</v>
      </c>
      <c r="E4228" s="10" t="s">
        <v>13960</v>
      </c>
      <c r="F4228" s="10" t="s">
        <v>139</v>
      </c>
      <c r="G4228" s="10" t="s">
        <v>6352</v>
      </c>
      <c r="H4228" s="11">
        <v>41235</v>
      </c>
      <c r="I4228" s="10">
        <v>2013</v>
      </c>
      <c r="J4228" s="10" t="s">
        <v>14057</v>
      </c>
      <c r="K4228" s="10">
        <v>141</v>
      </c>
      <c r="L4228" s="10" t="s">
        <v>23748</v>
      </c>
      <c r="M4228" s="10">
        <v>1</v>
      </c>
      <c r="N4228" s="10" t="s">
        <v>20725</v>
      </c>
      <c r="O4228" s="10"/>
      <c r="P4228" s="10" t="s">
        <v>23749</v>
      </c>
      <c r="Q4228" s="10">
        <v>363.7</v>
      </c>
      <c r="R4228" s="10" t="s">
        <v>23750</v>
      </c>
      <c r="S4228" s="10" t="s">
        <v>53</v>
      </c>
      <c r="T4228" s="10" t="s">
        <v>23751</v>
      </c>
    </row>
    <row r="4229" spans="1:20" ht="14.5" x14ac:dyDescent="0.35">
      <c r="A4229" s="10" t="s">
        <v>23752</v>
      </c>
      <c r="B4229" s="10" t="str">
        <f>"9781409405016"</f>
        <v>9781409405016</v>
      </c>
      <c r="C4229" s="10" t="str">
        <f>"9781409405023"</f>
        <v>9781409405023</v>
      </c>
      <c r="D4229" s="10" t="s">
        <v>6350</v>
      </c>
      <c r="E4229" s="10" t="s">
        <v>6351</v>
      </c>
      <c r="F4229" s="10" t="s">
        <v>15682</v>
      </c>
      <c r="G4229" s="10" t="s">
        <v>6352</v>
      </c>
      <c r="H4229" s="11">
        <v>41291</v>
      </c>
      <c r="I4229" s="10">
        <v>2013</v>
      </c>
      <c r="J4229" s="10" t="s">
        <v>6353</v>
      </c>
      <c r="K4229" s="10">
        <v>318</v>
      </c>
      <c r="L4229" s="10" t="s">
        <v>23753</v>
      </c>
      <c r="M4229" s="10">
        <v>1</v>
      </c>
      <c r="N4229" s="10"/>
      <c r="O4229" s="10"/>
      <c r="P4229" s="10" t="s">
        <v>23754</v>
      </c>
      <c r="Q4229" s="10">
        <v>363.34929</v>
      </c>
      <c r="R4229" s="10" t="s">
        <v>23755</v>
      </c>
      <c r="S4229" s="10" t="s">
        <v>53</v>
      </c>
      <c r="T4229" s="10" t="s">
        <v>23756</v>
      </c>
    </row>
    <row r="4230" spans="1:20" ht="14.5" x14ac:dyDescent="0.35">
      <c r="A4230" s="10" t="s">
        <v>23757</v>
      </c>
      <c r="B4230" s="10" t="str">
        <f>"9780415783651"</f>
        <v>9780415783651</v>
      </c>
      <c r="C4230" s="10" t="str">
        <f>"9781135125974"</f>
        <v>9781135125974</v>
      </c>
      <c r="D4230" s="10" t="s">
        <v>6350</v>
      </c>
      <c r="E4230" s="10" t="s">
        <v>6351</v>
      </c>
      <c r="F4230" s="10" t="s">
        <v>139</v>
      </c>
      <c r="G4230" s="10" t="s">
        <v>6352</v>
      </c>
      <c r="H4230" s="11">
        <v>41284</v>
      </c>
      <c r="I4230" s="10">
        <v>2013</v>
      </c>
      <c r="J4230" s="10" t="s">
        <v>6353</v>
      </c>
      <c r="K4230" s="10">
        <v>283</v>
      </c>
      <c r="L4230" s="10" t="s">
        <v>23758</v>
      </c>
      <c r="M4230" s="10">
        <v>1</v>
      </c>
      <c r="N4230" s="10"/>
      <c r="O4230" s="10"/>
      <c r="P4230" s="10" t="s">
        <v>23759</v>
      </c>
      <c r="Q4230" s="10" t="s">
        <v>23760</v>
      </c>
      <c r="R4230" s="10" t="s">
        <v>23761</v>
      </c>
      <c r="S4230" s="10" t="s">
        <v>53</v>
      </c>
      <c r="T4230" s="10" t="s">
        <v>6363</v>
      </c>
    </row>
    <row r="4231" spans="1:20" ht="14.5" x14ac:dyDescent="0.35">
      <c r="A4231" s="10" t="s">
        <v>23762</v>
      </c>
      <c r="B4231" s="10" t="str">
        <f>"9780415881951"</f>
        <v>9780415881951</v>
      </c>
      <c r="C4231" s="10" t="str">
        <f>"9781136182440"</f>
        <v>9781136182440</v>
      </c>
      <c r="D4231" s="10" t="s">
        <v>6350</v>
      </c>
      <c r="E4231" s="10" t="s">
        <v>6351</v>
      </c>
      <c r="F4231" s="10" t="s">
        <v>139</v>
      </c>
      <c r="G4231" s="10" t="s">
        <v>6352</v>
      </c>
      <c r="H4231" s="11">
        <v>41219</v>
      </c>
      <c r="I4231" s="10">
        <v>2013</v>
      </c>
      <c r="J4231" s="10" t="s">
        <v>6353</v>
      </c>
      <c r="K4231" s="10">
        <v>177</v>
      </c>
      <c r="L4231" s="10" t="s">
        <v>23763</v>
      </c>
      <c r="M4231" s="10">
        <v>1</v>
      </c>
      <c r="N4231" s="10" t="s">
        <v>11807</v>
      </c>
      <c r="O4231" s="10"/>
      <c r="P4231" s="10" t="s">
        <v>23764</v>
      </c>
      <c r="Q4231" s="10">
        <v>370.11709400000001</v>
      </c>
      <c r="R4231" s="10" t="s">
        <v>21612</v>
      </c>
      <c r="S4231" s="10" t="s">
        <v>53</v>
      </c>
      <c r="T4231" s="10" t="s">
        <v>54</v>
      </c>
    </row>
    <row r="4232" spans="1:20" ht="14.5" x14ac:dyDescent="0.35">
      <c r="A4232" s="10" t="s">
        <v>23765</v>
      </c>
      <c r="B4232" s="10" t="str">
        <f>"9780415528795"</f>
        <v>9780415528795</v>
      </c>
      <c r="C4232" s="10" t="str">
        <f>"9781136189456"</f>
        <v>9781136189456</v>
      </c>
      <c r="D4232" s="10" t="s">
        <v>6350</v>
      </c>
      <c r="E4232" s="10" t="s">
        <v>6351</v>
      </c>
      <c r="F4232" s="10" t="s">
        <v>139</v>
      </c>
      <c r="G4232" s="10" t="s">
        <v>6352</v>
      </c>
      <c r="H4232" s="11">
        <v>41158</v>
      </c>
      <c r="I4232" s="10">
        <v>2012</v>
      </c>
      <c r="J4232" s="10" t="s">
        <v>6353</v>
      </c>
      <c r="K4232" s="10">
        <v>241</v>
      </c>
      <c r="L4232" s="10" t="s">
        <v>23766</v>
      </c>
      <c r="M4232" s="10">
        <v>1</v>
      </c>
      <c r="N4232" s="10" t="s">
        <v>6663</v>
      </c>
      <c r="O4232" s="10"/>
      <c r="P4232" s="10" t="s">
        <v>23767</v>
      </c>
      <c r="Q4232" s="10">
        <v>378.00952000000001</v>
      </c>
      <c r="R4232" s="10" t="s">
        <v>23768</v>
      </c>
      <c r="S4232" s="10" t="s">
        <v>53</v>
      </c>
      <c r="T4232" s="10" t="s">
        <v>54</v>
      </c>
    </row>
    <row r="4233" spans="1:20" ht="14.5" x14ac:dyDescent="0.35">
      <c r="A4233" s="10" t="s">
        <v>23769</v>
      </c>
      <c r="B4233" s="10" t="str">
        <f>"9780415631082"</f>
        <v>9780415631082</v>
      </c>
      <c r="C4233" s="10" t="str">
        <f>"9781136221323"</f>
        <v>9781136221323</v>
      </c>
      <c r="D4233" s="10" t="s">
        <v>6350</v>
      </c>
      <c r="E4233" s="10" t="s">
        <v>6351</v>
      </c>
      <c r="F4233" s="10" t="s">
        <v>139</v>
      </c>
      <c r="G4233" s="10" t="s">
        <v>6352</v>
      </c>
      <c r="H4233" s="11">
        <v>41220</v>
      </c>
      <c r="I4233" s="10">
        <v>2012</v>
      </c>
      <c r="J4233" s="10" t="s">
        <v>6353</v>
      </c>
      <c r="K4233" s="10">
        <v>401</v>
      </c>
      <c r="L4233" s="10" t="s">
        <v>23770</v>
      </c>
      <c r="M4233" s="10">
        <v>1</v>
      </c>
      <c r="N4233" s="10" t="s">
        <v>23771</v>
      </c>
      <c r="O4233" s="10"/>
      <c r="P4233" s="10" t="s">
        <v>23772</v>
      </c>
      <c r="Q4233" s="10" t="s">
        <v>16754</v>
      </c>
      <c r="R4233" s="10" t="s">
        <v>23773</v>
      </c>
      <c r="S4233" s="10" t="s">
        <v>53</v>
      </c>
      <c r="T4233" s="10" t="s">
        <v>7769</v>
      </c>
    </row>
    <row r="4234" spans="1:20" ht="14.5" x14ac:dyDescent="0.35">
      <c r="A4234" s="10" t="s">
        <v>23774</v>
      </c>
      <c r="B4234" s="10" t="str">
        <f>"9780415501934"</f>
        <v>9780415501934</v>
      </c>
      <c r="C4234" s="10" t="str">
        <f>"9781136475702"</f>
        <v>9781136475702</v>
      </c>
      <c r="D4234" s="10" t="s">
        <v>6350</v>
      </c>
      <c r="E4234" s="10" t="s">
        <v>6351</v>
      </c>
      <c r="F4234" s="10" t="s">
        <v>139</v>
      </c>
      <c r="G4234" s="10" t="s">
        <v>6352</v>
      </c>
      <c r="H4234" s="11">
        <v>41227</v>
      </c>
      <c r="I4234" s="10">
        <v>2013</v>
      </c>
      <c r="J4234" s="10" t="s">
        <v>6353</v>
      </c>
      <c r="K4234" s="10">
        <v>241</v>
      </c>
      <c r="L4234" s="10" t="s">
        <v>23775</v>
      </c>
      <c r="M4234" s="10">
        <v>1</v>
      </c>
      <c r="N4234" s="10"/>
      <c r="O4234" s="10"/>
      <c r="P4234" s="10" t="s">
        <v>23776</v>
      </c>
      <c r="Q4234" s="10">
        <v>428.4</v>
      </c>
      <c r="R4234" s="10" t="s">
        <v>23777</v>
      </c>
      <c r="S4234" s="10" t="s">
        <v>53</v>
      </c>
      <c r="T4234" s="10" t="s">
        <v>23778</v>
      </c>
    </row>
    <row r="4235" spans="1:20" ht="14.5" x14ac:dyDescent="0.35">
      <c r="A4235" s="10" t="s">
        <v>23779</v>
      </c>
      <c r="B4235" s="10" t="str">
        <f>"9780804784313"</f>
        <v>9780804784313</v>
      </c>
      <c r="C4235" s="10" t="str">
        <f>"9780804787246"</f>
        <v>9780804787246</v>
      </c>
      <c r="D4235" s="10" t="s">
        <v>16213</v>
      </c>
      <c r="E4235" s="10" t="s">
        <v>16213</v>
      </c>
      <c r="F4235" s="10" t="s">
        <v>16214</v>
      </c>
      <c r="G4235" s="10" t="s">
        <v>6317</v>
      </c>
      <c r="H4235" s="11">
        <v>41290</v>
      </c>
      <c r="I4235" s="10">
        <v>2013</v>
      </c>
      <c r="J4235" s="10" t="s">
        <v>16213</v>
      </c>
      <c r="K4235" s="10">
        <v>289</v>
      </c>
      <c r="L4235" s="10" t="s">
        <v>23780</v>
      </c>
      <c r="M4235" s="10">
        <v>1</v>
      </c>
      <c r="N4235" s="10"/>
      <c r="O4235" s="10"/>
      <c r="P4235" s="10" t="s">
        <v>23781</v>
      </c>
      <c r="Q4235" s="10">
        <v>370.92</v>
      </c>
      <c r="R4235" s="10" t="s">
        <v>23782</v>
      </c>
      <c r="S4235" s="10" t="s">
        <v>53</v>
      </c>
      <c r="T4235" s="10" t="s">
        <v>54</v>
      </c>
    </row>
    <row r="4236" spans="1:20" ht="14.5" x14ac:dyDescent="0.35">
      <c r="A4236" s="10" t="s">
        <v>23783</v>
      </c>
      <c r="B4236" s="10" t="str">
        <f>"9781937290016"</f>
        <v>9781937290016</v>
      </c>
      <c r="C4236" s="10" t="str">
        <f>"9781937290382"</f>
        <v>9781937290382</v>
      </c>
      <c r="D4236" s="10" t="s">
        <v>9215</v>
      </c>
      <c r="E4236" s="10" t="s">
        <v>1365</v>
      </c>
      <c r="F4236" s="10" t="s">
        <v>3034</v>
      </c>
      <c r="G4236" s="10" t="s">
        <v>6317</v>
      </c>
      <c r="H4236" s="11">
        <v>41244</v>
      </c>
      <c r="I4236" s="10">
        <v>2012</v>
      </c>
      <c r="J4236" s="10" t="s">
        <v>19693</v>
      </c>
      <c r="K4236" s="10">
        <v>225</v>
      </c>
      <c r="L4236" s="10" t="s">
        <v>23784</v>
      </c>
      <c r="M4236" s="10">
        <v>2</v>
      </c>
      <c r="N4236" s="10"/>
      <c r="O4236" s="10"/>
      <c r="P4236" s="10" t="s">
        <v>23785</v>
      </c>
      <c r="Q4236" s="10">
        <v>371.35</v>
      </c>
      <c r="R4236" s="10" t="s">
        <v>23786</v>
      </c>
      <c r="S4236" s="10" t="s">
        <v>53</v>
      </c>
      <c r="T4236" s="10" t="s">
        <v>54</v>
      </c>
    </row>
    <row r="4237" spans="1:20" ht="14.5" x14ac:dyDescent="0.35">
      <c r="A4237" s="10" t="s">
        <v>23787</v>
      </c>
      <c r="B4237" s="10" t="str">
        <f>"9780789014863"</f>
        <v>9780789014863</v>
      </c>
      <c r="C4237" s="10" t="str">
        <f>"9781136398049"</f>
        <v>9781136398049</v>
      </c>
      <c r="D4237" s="10" t="s">
        <v>6350</v>
      </c>
      <c r="E4237" s="10" t="s">
        <v>6351</v>
      </c>
      <c r="F4237" s="10" t="s">
        <v>5406</v>
      </c>
      <c r="G4237" s="10" t="s">
        <v>6352</v>
      </c>
      <c r="H4237" s="11">
        <v>37361</v>
      </c>
      <c r="I4237" s="10">
        <v>2002</v>
      </c>
      <c r="J4237" s="10" t="s">
        <v>6353</v>
      </c>
      <c r="K4237" s="10">
        <v>215</v>
      </c>
      <c r="L4237" s="10" t="s">
        <v>16653</v>
      </c>
      <c r="M4237" s="10">
        <v>1</v>
      </c>
      <c r="N4237" s="10"/>
      <c r="O4237" s="10"/>
      <c r="P4237" s="10" t="s">
        <v>23788</v>
      </c>
      <c r="Q4237" s="10" t="s">
        <v>8011</v>
      </c>
      <c r="R4237" s="10" t="s">
        <v>23789</v>
      </c>
      <c r="S4237" s="10" t="s">
        <v>53</v>
      </c>
      <c r="T4237" s="10" t="s">
        <v>6526</v>
      </c>
    </row>
    <row r="4238" spans="1:20" ht="14.5" x14ac:dyDescent="0.35">
      <c r="A4238" s="10" t="s">
        <v>23790</v>
      </c>
      <c r="B4238" s="10" t="str">
        <f>"9780789028358"</f>
        <v>9780789028358</v>
      </c>
      <c r="C4238" s="10" t="str">
        <f>"9781136437243"</f>
        <v>9781136437243</v>
      </c>
      <c r="D4238" s="10" t="s">
        <v>6350</v>
      </c>
      <c r="E4238" s="10" t="s">
        <v>6351</v>
      </c>
      <c r="F4238" s="10" t="s">
        <v>5406</v>
      </c>
      <c r="G4238" s="10" t="s">
        <v>6352</v>
      </c>
      <c r="H4238" s="11">
        <v>38539</v>
      </c>
      <c r="I4238" s="10">
        <v>2005</v>
      </c>
      <c r="J4238" s="10" t="s">
        <v>6353</v>
      </c>
      <c r="K4238" s="10">
        <v>278</v>
      </c>
      <c r="L4238" s="10" t="s">
        <v>23791</v>
      </c>
      <c r="M4238" s="10">
        <v>1</v>
      </c>
      <c r="N4238" s="10"/>
      <c r="O4238" s="10"/>
      <c r="P4238" s="10" t="s">
        <v>23792</v>
      </c>
      <c r="Q4238" s="10">
        <v>378.10300000000001</v>
      </c>
      <c r="R4238" s="10" t="s">
        <v>23793</v>
      </c>
      <c r="S4238" s="10" t="s">
        <v>53</v>
      </c>
      <c r="T4238" s="10" t="s">
        <v>54</v>
      </c>
    </row>
    <row r="4239" spans="1:20" ht="14.5" x14ac:dyDescent="0.35">
      <c r="A4239" s="10" t="s">
        <v>23794</v>
      </c>
      <c r="B4239" s="10" t="str">
        <f>"9780415277839"</f>
        <v>9780415277839</v>
      </c>
      <c r="C4239" s="10" t="str">
        <f>"9781135140458"</f>
        <v>9781135140458</v>
      </c>
      <c r="D4239" s="10" t="s">
        <v>6350</v>
      </c>
      <c r="E4239" s="10" t="s">
        <v>6351</v>
      </c>
      <c r="F4239" s="10" t="s">
        <v>139</v>
      </c>
      <c r="G4239" s="10" t="s">
        <v>6352</v>
      </c>
      <c r="H4239" s="11">
        <v>37435</v>
      </c>
      <c r="I4239" s="10">
        <v>2002</v>
      </c>
      <c r="J4239" s="10" t="s">
        <v>6353</v>
      </c>
      <c r="K4239" s="10">
        <v>229</v>
      </c>
      <c r="L4239" s="10" t="s">
        <v>15667</v>
      </c>
      <c r="M4239" s="10">
        <v>1</v>
      </c>
      <c r="N4239" s="10"/>
      <c r="O4239" s="10"/>
      <c r="P4239" s="10" t="s">
        <v>23795</v>
      </c>
      <c r="Q4239" s="10">
        <v>371.2</v>
      </c>
      <c r="R4239" s="10" t="s">
        <v>14228</v>
      </c>
      <c r="S4239" s="10" t="s">
        <v>53</v>
      </c>
      <c r="T4239" s="10" t="s">
        <v>54</v>
      </c>
    </row>
    <row r="4240" spans="1:20" ht="14.5" x14ac:dyDescent="0.35">
      <c r="A4240" s="10" t="s">
        <v>23796</v>
      </c>
      <c r="B4240" s="10" t="str">
        <f>"9780415934909"</f>
        <v>9780415934909</v>
      </c>
      <c r="C4240" s="10" t="str">
        <f>"9781136062988"</f>
        <v>9781136062988</v>
      </c>
      <c r="D4240" s="10" t="s">
        <v>6350</v>
      </c>
      <c r="E4240" s="10" t="s">
        <v>6351</v>
      </c>
      <c r="F4240" s="10" t="s">
        <v>139</v>
      </c>
      <c r="G4240" s="10" t="s">
        <v>6352</v>
      </c>
      <c r="H4240" s="11">
        <v>37568</v>
      </c>
      <c r="I4240" s="10">
        <v>2003</v>
      </c>
      <c r="J4240" s="10" t="s">
        <v>6353</v>
      </c>
      <c r="K4240" s="10">
        <v>189</v>
      </c>
      <c r="L4240" s="10" t="s">
        <v>23797</v>
      </c>
      <c r="M4240" s="10">
        <v>1</v>
      </c>
      <c r="N4240" s="10"/>
      <c r="O4240" s="10"/>
      <c r="P4240" s="10" t="s">
        <v>23798</v>
      </c>
      <c r="Q4240" s="10">
        <v>372.83209763999997</v>
      </c>
      <c r="R4240" s="10" t="s">
        <v>23799</v>
      </c>
      <c r="S4240" s="10" t="s">
        <v>53</v>
      </c>
      <c r="T4240" s="10" t="s">
        <v>54</v>
      </c>
    </row>
    <row r="4241" spans="1:20" ht="14.5" x14ac:dyDescent="0.35">
      <c r="A4241" s="10" t="s">
        <v>23800</v>
      </c>
      <c r="B4241" s="10" t="str">
        <f>"9781843120131"</f>
        <v>9781843120131</v>
      </c>
      <c r="C4241" s="10" t="str">
        <f>"9781136599224"</f>
        <v>9781136599224</v>
      </c>
      <c r="D4241" s="10" t="s">
        <v>6350</v>
      </c>
      <c r="E4241" s="10" t="s">
        <v>15120</v>
      </c>
      <c r="F4241" s="10" t="s">
        <v>748</v>
      </c>
      <c r="G4241" s="10" t="s">
        <v>6352</v>
      </c>
      <c r="H4241" s="11">
        <v>37792</v>
      </c>
      <c r="I4241" s="10">
        <v>2003</v>
      </c>
      <c r="J4241" s="10" t="s">
        <v>15120</v>
      </c>
      <c r="K4241" s="10">
        <v>111</v>
      </c>
      <c r="L4241" s="10" t="s">
        <v>23801</v>
      </c>
      <c r="M4241" s="10">
        <v>1</v>
      </c>
      <c r="N4241" s="10"/>
      <c r="O4241" s="10"/>
      <c r="P4241" s="10" t="s">
        <v>23802</v>
      </c>
      <c r="Q4241" s="10" t="s">
        <v>12685</v>
      </c>
      <c r="R4241" s="10" t="s">
        <v>23803</v>
      </c>
      <c r="S4241" s="10" t="s">
        <v>53</v>
      </c>
      <c r="T4241" s="10" t="s">
        <v>54</v>
      </c>
    </row>
    <row r="4242" spans="1:20" ht="14.5" x14ac:dyDescent="0.35">
      <c r="A4242" s="10" t="s">
        <v>23804</v>
      </c>
      <c r="B4242" s="10" t="str">
        <f>"9780415589208"</f>
        <v>9780415589208</v>
      </c>
      <c r="C4242" s="10" t="str">
        <f>"9781136198069"</f>
        <v>9781136198069</v>
      </c>
      <c r="D4242" s="10" t="s">
        <v>6350</v>
      </c>
      <c r="E4242" s="10" t="s">
        <v>6351</v>
      </c>
      <c r="F4242" s="10" t="s">
        <v>139</v>
      </c>
      <c r="G4242" s="10" t="s">
        <v>6352</v>
      </c>
      <c r="H4242" s="11">
        <v>40457</v>
      </c>
      <c r="I4242" s="10">
        <v>2010</v>
      </c>
      <c r="J4242" s="10" t="s">
        <v>23805</v>
      </c>
      <c r="K4242" s="10">
        <v>285</v>
      </c>
      <c r="L4242" s="10" t="s">
        <v>23806</v>
      </c>
      <c r="M4242" s="10">
        <v>1</v>
      </c>
      <c r="N4242" s="10" t="s">
        <v>23807</v>
      </c>
      <c r="O4242" s="10"/>
      <c r="P4242" s="10" t="s">
        <v>23808</v>
      </c>
      <c r="Q4242" s="10">
        <v>306.43209541660002</v>
      </c>
      <c r="R4242" s="10" t="s">
        <v>23809</v>
      </c>
      <c r="S4242" s="10" t="s">
        <v>53</v>
      </c>
      <c r="T4242" s="10" t="s">
        <v>9993</v>
      </c>
    </row>
    <row r="4243" spans="1:20" ht="14.5" x14ac:dyDescent="0.35">
      <c r="A4243" s="10" t="s">
        <v>23810</v>
      </c>
      <c r="B4243" s="10" t="str">
        <f>"9780415494786"</f>
        <v>9780415494786</v>
      </c>
      <c r="C4243" s="10" t="str">
        <f>"9781135695361"</f>
        <v>9781135695361</v>
      </c>
      <c r="D4243" s="10" t="s">
        <v>6350</v>
      </c>
      <c r="E4243" s="10" t="s">
        <v>6351</v>
      </c>
      <c r="F4243" s="10" t="s">
        <v>139</v>
      </c>
      <c r="G4243" s="10" t="s">
        <v>6352</v>
      </c>
      <c r="H4243" s="11">
        <v>40249</v>
      </c>
      <c r="I4243" s="10">
        <v>2010</v>
      </c>
      <c r="J4243" s="10" t="s">
        <v>6353</v>
      </c>
      <c r="K4243" s="10">
        <v>353</v>
      </c>
      <c r="L4243" s="10" t="s">
        <v>21614</v>
      </c>
      <c r="M4243" s="10">
        <v>4</v>
      </c>
      <c r="N4243" s="10"/>
      <c r="O4243" s="10"/>
      <c r="P4243" s="10" t="s">
        <v>23811</v>
      </c>
      <c r="Q4243" s="10">
        <v>374</v>
      </c>
      <c r="R4243" s="10" t="s">
        <v>7456</v>
      </c>
      <c r="S4243" s="10" t="s">
        <v>53</v>
      </c>
      <c r="T4243" s="10" t="s">
        <v>54</v>
      </c>
    </row>
    <row r="4244" spans="1:20" ht="14.5" x14ac:dyDescent="0.35">
      <c r="A4244" s="10" t="s">
        <v>23812</v>
      </c>
      <c r="B4244" s="10" t="str">
        <f>"9781843122494"</f>
        <v>9781843122494</v>
      </c>
      <c r="C4244" s="10" t="str">
        <f>"9781135396787"</f>
        <v>9781135396787</v>
      </c>
      <c r="D4244" s="10" t="s">
        <v>6350</v>
      </c>
      <c r="E4244" s="10" t="s">
        <v>15120</v>
      </c>
      <c r="F4244" s="10" t="s">
        <v>748</v>
      </c>
      <c r="G4244" s="10" t="s">
        <v>6352</v>
      </c>
      <c r="H4244" s="11">
        <v>38352</v>
      </c>
      <c r="I4244" s="10">
        <v>2004</v>
      </c>
      <c r="J4244" s="10" t="s">
        <v>15120</v>
      </c>
      <c r="K4244" s="10">
        <v>194</v>
      </c>
      <c r="L4244" s="10" t="s">
        <v>23813</v>
      </c>
      <c r="M4244" s="10">
        <v>1</v>
      </c>
      <c r="N4244" s="10"/>
      <c r="O4244" s="10"/>
      <c r="P4244" s="10" t="s">
        <v>23814</v>
      </c>
      <c r="Q4244" s="10" t="s">
        <v>7205</v>
      </c>
      <c r="R4244" s="10" t="s">
        <v>23815</v>
      </c>
      <c r="S4244" s="10" t="s">
        <v>53</v>
      </c>
      <c r="T4244" s="10" t="s">
        <v>54</v>
      </c>
    </row>
    <row r="4245" spans="1:20" ht="14.5" x14ac:dyDescent="0.35">
      <c r="A4245" s="10" t="s">
        <v>23816</v>
      </c>
      <c r="B4245" s="10" t="str">
        <f>"9781843121152"</f>
        <v>9781843121152</v>
      </c>
      <c r="C4245" s="10" t="str">
        <f>"9781135397760"</f>
        <v>9781135397760</v>
      </c>
      <c r="D4245" s="10" t="s">
        <v>6350</v>
      </c>
      <c r="E4245" s="10" t="s">
        <v>6351</v>
      </c>
      <c r="F4245" s="10" t="s">
        <v>748</v>
      </c>
      <c r="G4245" s="10" t="s">
        <v>6352</v>
      </c>
      <c r="H4245" s="11">
        <v>38532</v>
      </c>
      <c r="I4245" s="10">
        <v>2005</v>
      </c>
      <c r="J4245" s="10" t="s">
        <v>6351</v>
      </c>
      <c r="K4245" s="10">
        <v>199</v>
      </c>
      <c r="L4245" s="10" t="s">
        <v>23817</v>
      </c>
      <c r="M4245" s="10">
        <v>1</v>
      </c>
      <c r="N4245" s="10"/>
      <c r="O4245" s="10"/>
      <c r="P4245" s="10" t="s">
        <v>23818</v>
      </c>
      <c r="Q4245" s="10">
        <v>372.89044094100001</v>
      </c>
      <c r="R4245" s="10" t="s">
        <v>23819</v>
      </c>
      <c r="S4245" s="10" t="s">
        <v>53</v>
      </c>
      <c r="T4245" s="10" t="s">
        <v>54</v>
      </c>
    </row>
    <row r="4246" spans="1:20" ht="14.5" x14ac:dyDescent="0.35">
      <c r="A4246" s="10" t="s">
        <v>23820</v>
      </c>
      <c r="B4246" s="10" t="str">
        <f>"9781843121169"</f>
        <v>9781843121169</v>
      </c>
      <c r="C4246" s="10" t="str">
        <f>"9781135397692"</f>
        <v>9781135397692</v>
      </c>
      <c r="D4246" s="10" t="s">
        <v>6350</v>
      </c>
      <c r="E4246" s="10" t="s">
        <v>15120</v>
      </c>
      <c r="F4246" s="10" t="s">
        <v>748</v>
      </c>
      <c r="G4246" s="10" t="s">
        <v>6352</v>
      </c>
      <c r="H4246" s="11">
        <v>38107</v>
      </c>
      <c r="I4246" s="10">
        <v>2004</v>
      </c>
      <c r="J4246" s="10" t="s">
        <v>15120</v>
      </c>
      <c r="K4246" s="10">
        <v>129</v>
      </c>
      <c r="L4246" s="10" t="s">
        <v>23821</v>
      </c>
      <c r="M4246" s="10">
        <v>1</v>
      </c>
      <c r="N4246" s="10"/>
      <c r="O4246" s="10"/>
      <c r="P4246" s="10" t="s">
        <v>23822</v>
      </c>
      <c r="Q4246" s="10">
        <v>371.93720000000002</v>
      </c>
      <c r="R4246" s="10" t="s">
        <v>23823</v>
      </c>
      <c r="S4246" s="10" t="s">
        <v>53</v>
      </c>
      <c r="T4246" s="10" t="s">
        <v>54</v>
      </c>
    </row>
    <row r="4247" spans="1:20" ht="14.5" x14ac:dyDescent="0.35">
      <c r="A4247" s="10" t="s">
        <v>23824</v>
      </c>
      <c r="B4247" s="10" t="str">
        <f>"9781441110855"</f>
        <v>9781441110855</v>
      </c>
      <c r="C4247" s="10" t="str">
        <f>"9781441143013"</f>
        <v>9781441143013</v>
      </c>
      <c r="D4247" s="10" t="s">
        <v>9777</v>
      </c>
      <c r="E4247" s="10" t="s">
        <v>23825</v>
      </c>
      <c r="F4247" s="10" t="s">
        <v>70</v>
      </c>
      <c r="G4247" s="10" t="s">
        <v>6317</v>
      </c>
      <c r="H4247" s="11">
        <v>41319</v>
      </c>
      <c r="I4247" s="10">
        <v>2013</v>
      </c>
      <c r="J4247" s="10" t="s">
        <v>23825</v>
      </c>
      <c r="K4247" s="10">
        <v>209</v>
      </c>
      <c r="L4247" s="10" t="s">
        <v>23826</v>
      </c>
      <c r="M4247" s="10">
        <v>1</v>
      </c>
      <c r="N4247" s="10" t="s">
        <v>23827</v>
      </c>
      <c r="O4247" s="10"/>
      <c r="P4247" s="10" t="s">
        <v>23828</v>
      </c>
      <c r="Q4247" s="10">
        <v>370.11500000000001</v>
      </c>
      <c r="R4247" s="10" t="s">
        <v>23829</v>
      </c>
      <c r="S4247" s="10" t="s">
        <v>53</v>
      </c>
      <c r="T4247" s="10" t="s">
        <v>54</v>
      </c>
    </row>
    <row r="4248" spans="1:20" ht="14.5" x14ac:dyDescent="0.35">
      <c r="A4248" s="10" t="s">
        <v>23830</v>
      </c>
      <c r="B4248" s="10" t="str">
        <f>"9781628923223"</f>
        <v>9781628923223</v>
      </c>
      <c r="C4248" s="10" t="str">
        <f>"9781441161505"</f>
        <v>9781441161505</v>
      </c>
      <c r="D4248" s="10" t="s">
        <v>9777</v>
      </c>
      <c r="E4248" s="10" t="s">
        <v>23825</v>
      </c>
      <c r="F4248" s="10" t="s">
        <v>70</v>
      </c>
      <c r="G4248" s="10" t="s">
        <v>6317</v>
      </c>
      <c r="H4248" s="11">
        <v>41823</v>
      </c>
      <c r="I4248" s="10">
        <v>2013</v>
      </c>
      <c r="J4248" s="10" t="s">
        <v>23825</v>
      </c>
      <c r="K4248" s="10">
        <v>241</v>
      </c>
      <c r="L4248" s="10" t="s">
        <v>23831</v>
      </c>
      <c r="M4248" s="10">
        <v>1</v>
      </c>
      <c r="N4248" s="10"/>
      <c r="O4248" s="10"/>
      <c r="P4248" s="10" t="s">
        <v>23832</v>
      </c>
      <c r="Q4248" s="10">
        <v>268.10000000000002</v>
      </c>
      <c r="R4248" s="10" t="s">
        <v>23833</v>
      </c>
      <c r="S4248" s="10" t="s">
        <v>53</v>
      </c>
      <c r="T4248" s="10" t="s">
        <v>13459</v>
      </c>
    </row>
    <row r="4249" spans="1:20" ht="14.5" x14ac:dyDescent="0.35">
      <c r="A4249" s="10" t="s">
        <v>23834</v>
      </c>
      <c r="B4249" s="10" t="str">
        <f>"9781472581358"</f>
        <v>9781472581358</v>
      </c>
      <c r="C4249" s="10" t="str">
        <f>"9781441118264"</f>
        <v>9781441118264</v>
      </c>
      <c r="D4249" s="10" t="s">
        <v>9777</v>
      </c>
      <c r="E4249" s="10" t="s">
        <v>23825</v>
      </c>
      <c r="F4249" s="10" t="s">
        <v>70</v>
      </c>
      <c r="G4249" s="10" t="s">
        <v>6317</v>
      </c>
      <c r="H4249" s="11">
        <v>41767</v>
      </c>
      <c r="I4249" s="10">
        <v>2014</v>
      </c>
      <c r="J4249" s="10" t="s">
        <v>23825</v>
      </c>
      <c r="K4249" s="10">
        <v>201</v>
      </c>
      <c r="L4249" s="10" t="s">
        <v>23835</v>
      </c>
      <c r="M4249" s="10">
        <v>1</v>
      </c>
      <c r="N4249" s="10"/>
      <c r="O4249" s="10"/>
      <c r="P4249" s="10" t="s">
        <v>23836</v>
      </c>
      <c r="Q4249" s="10" t="s">
        <v>7335</v>
      </c>
      <c r="R4249" s="10" t="s">
        <v>23837</v>
      </c>
      <c r="S4249" s="10" t="s">
        <v>53</v>
      </c>
      <c r="T4249" s="10" t="s">
        <v>54</v>
      </c>
    </row>
    <row r="4250" spans="1:20" ht="14.5" x14ac:dyDescent="0.35">
      <c r="A4250" s="10" t="s">
        <v>23838</v>
      </c>
      <c r="B4250" s="10" t="str">
        <f>"9781441105158"</f>
        <v>9781441105158</v>
      </c>
      <c r="C4250" s="10" t="str">
        <f>"9781441151421"</f>
        <v>9781441151421</v>
      </c>
      <c r="D4250" s="10" t="s">
        <v>13959</v>
      </c>
      <c r="E4250" s="10" t="s">
        <v>13960</v>
      </c>
      <c r="F4250" s="10" t="s">
        <v>139</v>
      </c>
      <c r="G4250" s="10" t="s">
        <v>6352</v>
      </c>
      <c r="H4250" s="11">
        <v>41039</v>
      </c>
      <c r="I4250" s="10">
        <v>2012</v>
      </c>
      <c r="J4250" s="10" t="s">
        <v>13961</v>
      </c>
      <c r="K4250" s="10">
        <v>108</v>
      </c>
      <c r="L4250" s="10" t="s">
        <v>14149</v>
      </c>
      <c r="M4250" s="10">
        <v>1</v>
      </c>
      <c r="N4250" s="10"/>
      <c r="O4250" s="10"/>
      <c r="P4250" s="10" t="s">
        <v>23839</v>
      </c>
      <c r="Q4250" s="10">
        <v>372.89</v>
      </c>
      <c r="R4250" s="10" t="s">
        <v>23840</v>
      </c>
      <c r="S4250" s="10" t="s">
        <v>53</v>
      </c>
      <c r="T4250" s="10" t="s">
        <v>54</v>
      </c>
    </row>
    <row r="4251" spans="1:20" ht="14.5" x14ac:dyDescent="0.35">
      <c r="A4251" s="10" t="s">
        <v>23841</v>
      </c>
      <c r="B4251" s="10" t="str">
        <f>"9781472569189"</f>
        <v>9781472569189</v>
      </c>
      <c r="C4251" s="10" t="str">
        <f>"9781441118004"</f>
        <v>9781441118004</v>
      </c>
      <c r="D4251" s="10" t="s">
        <v>13959</v>
      </c>
      <c r="E4251" s="10" t="s">
        <v>13960</v>
      </c>
      <c r="F4251" s="10" t="s">
        <v>139</v>
      </c>
      <c r="G4251" s="10" t="s">
        <v>6352</v>
      </c>
      <c r="H4251" s="11">
        <v>41739</v>
      </c>
      <c r="I4251" s="10">
        <v>2012</v>
      </c>
      <c r="J4251" s="10" t="s">
        <v>13961</v>
      </c>
      <c r="K4251" s="10">
        <v>216</v>
      </c>
      <c r="L4251" s="10" t="s">
        <v>23842</v>
      </c>
      <c r="M4251" s="10">
        <v>1</v>
      </c>
      <c r="N4251" s="10"/>
      <c r="O4251" s="10"/>
      <c r="P4251" s="10" t="s">
        <v>23843</v>
      </c>
      <c r="Q4251" s="10">
        <v>361.37</v>
      </c>
      <c r="R4251" s="10" t="s">
        <v>21359</v>
      </c>
      <c r="S4251" s="10" t="s">
        <v>53</v>
      </c>
      <c r="T4251" s="10" t="s">
        <v>6472</v>
      </c>
    </row>
    <row r="4252" spans="1:20" ht="14.5" x14ac:dyDescent="0.35">
      <c r="A4252" s="10" t="s">
        <v>23844</v>
      </c>
      <c r="B4252" s="10" t="str">
        <f>"9780521197250"</f>
        <v>9780521197250</v>
      </c>
      <c r="C4252" s="10" t="str">
        <f>"9781139627887"</f>
        <v>9781139627887</v>
      </c>
      <c r="D4252" s="10" t="s">
        <v>397</v>
      </c>
      <c r="E4252" s="10" t="s">
        <v>397</v>
      </c>
      <c r="F4252" s="10" t="s">
        <v>70</v>
      </c>
      <c r="G4252" s="10" t="s">
        <v>6317</v>
      </c>
      <c r="H4252" s="11">
        <v>41141</v>
      </c>
      <c r="I4252" s="10">
        <v>2012</v>
      </c>
      <c r="J4252" s="10" t="s">
        <v>397</v>
      </c>
      <c r="K4252" s="10">
        <v>508</v>
      </c>
      <c r="L4252" s="10" t="s">
        <v>23845</v>
      </c>
      <c r="M4252" s="10">
        <v>1</v>
      </c>
      <c r="N4252" s="10"/>
      <c r="O4252" s="10"/>
      <c r="P4252" s="10" t="s">
        <v>23846</v>
      </c>
      <c r="Q4252" s="10">
        <v>370.15</v>
      </c>
      <c r="R4252" s="10" t="s">
        <v>6415</v>
      </c>
      <c r="S4252" s="10" t="s">
        <v>53</v>
      </c>
      <c r="T4252" s="10" t="s">
        <v>54</v>
      </c>
    </row>
    <row r="4253" spans="1:20" ht="14.5" x14ac:dyDescent="0.35">
      <c r="A4253" s="10" t="s">
        <v>23847</v>
      </c>
      <c r="B4253" s="10" t="str">
        <f>"9780253006752"</f>
        <v>9780253006752</v>
      </c>
      <c r="C4253" s="10" t="str">
        <f>"9780253007063"</f>
        <v>9780253007063</v>
      </c>
      <c r="D4253" s="10" t="s">
        <v>2455</v>
      </c>
      <c r="E4253" s="10" t="s">
        <v>2455</v>
      </c>
      <c r="F4253" s="10" t="s">
        <v>3101</v>
      </c>
      <c r="G4253" s="10" t="s">
        <v>6317</v>
      </c>
      <c r="H4253" s="11">
        <v>41295</v>
      </c>
      <c r="I4253" s="10">
        <v>2013</v>
      </c>
      <c r="J4253" s="10" t="s">
        <v>2455</v>
      </c>
      <c r="K4253" s="10">
        <v>289</v>
      </c>
      <c r="L4253" s="10" t="s">
        <v>23848</v>
      </c>
      <c r="M4253" s="10">
        <v>1</v>
      </c>
      <c r="N4253" s="10" t="s">
        <v>23849</v>
      </c>
      <c r="O4253" s="10"/>
      <c r="P4253" s="10" t="s">
        <v>23850</v>
      </c>
      <c r="Q4253" s="10">
        <v>378.00720000000001</v>
      </c>
      <c r="R4253" s="10" t="s">
        <v>23851</v>
      </c>
      <c r="S4253" s="10" t="s">
        <v>53</v>
      </c>
      <c r="T4253" s="10" t="s">
        <v>54</v>
      </c>
    </row>
    <row r="4254" spans="1:20" ht="14.5" x14ac:dyDescent="0.35">
      <c r="A4254" s="10" t="s">
        <v>23852</v>
      </c>
      <c r="B4254" s="10" t="str">
        <f>"9781603447614"</f>
        <v>9781603447614</v>
      </c>
      <c r="C4254" s="10" t="str">
        <f>"9781603447805"</f>
        <v>9781603447805</v>
      </c>
      <c r="D4254" s="10" t="s">
        <v>23853</v>
      </c>
      <c r="E4254" s="10" t="s">
        <v>23854</v>
      </c>
      <c r="F4254" s="10" t="s">
        <v>3126</v>
      </c>
      <c r="G4254" s="10" t="s">
        <v>6317</v>
      </c>
      <c r="H4254" s="11">
        <v>40931</v>
      </c>
      <c r="I4254" s="10">
        <v>2012</v>
      </c>
      <c r="J4254" s="10" t="s">
        <v>23854</v>
      </c>
      <c r="K4254" s="10">
        <v>184</v>
      </c>
      <c r="L4254" s="10" t="s">
        <v>23855</v>
      </c>
      <c r="M4254" s="10">
        <v>1</v>
      </c>
      <c r="N4254" s="10"/>
      <c r="O4254" s="10"/>
      <c r="P4254" s="10" t="s">
        <v>23856</v>
      </c>
      <c r="Q4254" s="10">
        <v>372.97641850000002</v>
      </c>
      <c r="R4254" s="10" t="s">
        <v>23857</v>
      </c>
      <c r="S4254" s="10" t="s">
        <v>53</v>
      </c>
      <c r="T4254" s="10" t="s">
        <v>54</v>
      </c>
    </row>
    <row r="4255" spans="1:20" ht="14.5" x14ac:dyDescent="0.35">
      <c r="A4255" s="10" t="s">
        <v>23858</v>
      </c>
      <c r="B4255" s="10" t="str">
        <f>"9781603444286"</f>
        <v>9781603444286</v>
      </c>
      <c r="C4255" s="10" t="str">
        <f>"9781603445146"</f>
        <v>9781603445146</v>
      </c>
      <c r="D4255" s="10" t="s">
        <v>23853</v>
      </c>
      <c r="E4255" s="10" t="s">
        <v>23854</v>
      </c>
      <c r="F4255" s="10" t="s">
        <v>3126</v>
      </c>
      <c r="G4255" s="10" t="s">
        <v>6317</v>
      </c>
      <c r="H4255" s="11">
        <v>40848</v>
      </c>
      <c r="I4255" s="10">
        <v>2011</v>
      </c>
      <c r="J4255" s="10" t="s">
        <v>23854</v>
      </c>
      <c r="K4255" s="10">
        <v>121</v>
      </c>
      <c r="L4255" s="10" t="s">
        <v>23859</v>
      </c>
      <c r="M4255" s="10">
        <v>1</v>
      </c>
      <c r="N4255" s="10" t="s">
        <v>23860</v>
      </c>
      <c r="O4255" s="10"/>
      <c r="P4255" s="10" t="s">
        <v>23861</v>
      </c>
      <c r="Q4255" s="10">
        <v>378.00976400000002</v>
      </c>
      <c r="R4255" s="10" t="s">
        <v>23862</v>
      </c>
      <c r="S4255" s="10" t="s">
        <v>53</v>
      </c>
      <c r="T4255" s="10" t="s">
        <v>54</v>
      </c>
    </row>
    <row r="4256" spans="1:20" ht="14.5" x14ac:dyDescent="0.35">
      <c r="A4256" s="10" t="s">
        <v>23863</v>
      </c>
      <c r="B4256" s="10" t="str">
        <f>"9780415577038"</f>
        <v>9780415577038</v>
      </c>
      <c r="C4256" s="10" t="str">
        <f>"9781136734878"</f>
        <v>9781136734878</v>
      </c>
      <c r="D4256" s="10" t="s">
        <v>6350</v>
      </c>
      <c r="E4256" s="10" t="s">
        <v>6351</v>
      </c>
      <c r="F4256" s="10" t="s">
        <v>139</v>
      </c>
      <c r="G4256" s="10" t="s">
        <v>6352</v>
      </c>
      <c r="H4256" s="11">
        <v>41241</v>
      </c>
      <c r="I4256" s="10">
        <v>2013</v>
      </c>
      <c r="J4256" s="10" t="s">
        <v>6353</v>
      </c>
      <c r="K4256" s="10">
        <v>225</v>
      </c>
      <c r="L4256" s="10" t="s">
        <v>14638</v>
      </c>
      <c r="M4256" s="10">
        <v>1</v>
      </c>
      <c r="N4256" s="10"/>
      <c r="O4256" s="10"/>
      <c r="P4256" s="10" t="s">
        <v>23864</v>
      </c>
      <c r="Q4256" s="10">
        <v>306.43</v>
      </c>
      <c r="R4256" s="10" t="s">
        <v>22057</v>
      </c>
      <c r="S4256" s="10" t="s">
        <v>53</v>
      </c>
      <c r="T4256" s="10" t="s">
        <v>6526</v>
      </c>
    </row>
    <row r="4257" spans="1:20" ht="14.5" x14ac:dyDescent="0.35">
      <c r="A4257" s="10" t="s">
        <v>23865</v>
      </c>
      <c r="B4257" s="10" t="str">
        <f>"9780415529341"</f>
        <v>9780415529341</v>
      </c>
      <c r="C4257" s="10" t="str">
        <f>"9781136306617"</f>
        <v>9781136306617</v>
      </c>
      <c r="D4257" s="10" t="s">
        <v>6350</v>
      </c>
      <c r="E4257" s="10" t="s">
        <v>6351</v>
      </c>
      <c r="F4257" s="10" t="s">
        <v>139</v>
      </c>
      <c r="G4257" s="10" t="s">
        <v>6352</v>
      </c>
      <c r="H4257" s="11">
        <v>41248</v>
      </c>
      <c r="I4257" s="10">
        <v>2013</v>
      </c>
      <c r="J4257" s="10" t="s">
        <v>6353</v>
      </c>
      <c r="K4257" s="10">
        <v>225</v>
      </c>
      <c r="L4257" s="10" t="s">
        <v>23866</v>
      </c>
      <c r="M4257" s="10">
        <v>2</v>
      </c>
      <c r="N4257" s="10"/>
      <c r="O4257" s="10"/>
      <c r="P4257" s="10" t="s">
        <v>23867</v>
      </c>
      <c r="Q4257" s="10">
        <v>373.11020940999998</v>
      </c>
      <c r="R4257" s="10" t="s">
        <v>23868</v>
      </c>
      <c r="S4257" s="10" t="s">
        <v>53</v>
      </c>
      <c r="T4257" s="10" t="s">
        <v>54</v>
      </c>
    </row>
    <row r="4258" spans="1:20" ht="14.5" x14ac:dyDescent="0.35">
      <c r="A4258" s="10" t="s">
        <v>23869</v>
      </c>
      <c r="B4258" s="10" t="str">
        <f>"9780415894197"</f>
        <v>9780415894197</v>
      </c>
      <c r="C4258" s="10" t="str">
        <f>"9781136702884"</f>
        <v>9781136702884</v>
      </c>
      <c r="D4258" s="10" t="s">
        <v>6350</v>
      </c>
      <c r="E4258" s="10" t="s">
        <v>6351</v>
      </c>
      <c r="F4258" s="10" t="s">
        <v>139</v>
      </c>
      <c r="G4258" s="10" t="s">
        <v>6352</v>
      </c>
      <c r="H4258" s="11">
        <v>41218</v>
      </c>
      <c r="I4258" s="10">
        <v>2013</v>
      </c>
      <c r="J4258" s="10" t="s">
        <v>6353</v>
      </c>
      <c r="K4258" s="10">
        <v>369</v>
      </c>
      <c r="L4258" s="10" t="s">
        <v>23870</v>
      </c>
      <c r="M4258" s="10">
        <v>4</v>
      </c>
      <c r="N4258" s="10"/>
      <c r="O4258" s="10"/>
      <c r="P4258" s="10" t="s">
        <v>23871</v>
      </c>
      <c r="Q4258" s="10">
        <v>371.26</v>
      </c>
      <c r="R4258" s="10" t="s">
        <v>23872</v>
      </c>
      <c r="S4258" s="10" t="s">
        <v>53</v>
      </c>
      <c r="T4258" s="10" t="s">
        <v>54</v>
      </c>
    </row>
    <row r="4259" spans="1:20" ht="14.5" x14ac:dyDescent="0.35">
      <c r="A4259" s="10" t="s">
        <v>23873</v>
      </c>
      <c r="B4259" s="10" t="str">
        <f>"9780415623216"</f>
        <v>9780415623216</v>
      </c>
      <c r="C4259" s="10" t="str">
        <f>"9781136248184"</f>
        <v>9781136248184</v>
      </c>
      <c r="D4259" s="10" t="s">
        <v>6350</v>
      </c>
      <c r="E4259" s="10" t="s">
        <v>6351</v>
      </c>
      <c r="F4259" s="10" t="s">
        <v>748</v>
      </c>
      <c r="G4259" s="10" t="s">
        <v>6352</v>
      </c>
      <c r="H4259" s="11">
        <v>41191</v>
      </c>
      <c r="I4259" s="10">
        <v>1981</v>
      </c>
      <c r="J4259" s="10" t="s">
        <v>6351</v>
      </c>
      <c r="K4259" s="10">
        <v>241</v>
      </c>
      <c r="L4259" s="10" t="s">
        <v>23874</v>
      </c>
      <c r="M4259" s="10">
        <v>1</v>
      </c>
      <c r="N4259" s="10" t="s">
        <v>23875</v>
      </c>
      <c r="O4259" s="10"/>
      <c r="P4259" s="10" t="s">
        <v>23876</v>
      </c>
      <c r="Q4259" s="10" t="s">
        <v>23877</v>
      </c>
      <c r="R4259" s="10" t="s">
        <v>23878</v>
      </c>
      <c r="S4259" s="10" t="s">
        <v>53</v>
      </c>
      <c r="T4259" s="10" t="s">
        <v>6363</v>
      </c>
    </row>
    <row r="4260" spans="1:20" ht="14.5" x14ac:dyDescent="0.35">
      <c r="A4260" s="10" t="s">
        <v>23879</v>
      </c>
      <c r="B4260" s="10" t="str">
        <f>"9780415528993"</f>
        <v>9780415528993</v>
      </c>
      <c r="C4260" s="10" t="str">
        <f>"9781136307829"</f>
        <v>9781136307829</v>
      </c>
      <c r="D4260" s="10" t="s">
        <v>6350</v>
      </c>
      <c r="E4260" s="10" t="s">
        <v>6351</v>
      </c>
      <c r="F4260" s="10" t="s">
        <v>748</v>
      </c>
      <c r="G4260" s="10" t="s">
        <v>6352</v>
      </c>
      <c r="H4260" s="11">
        <v>41256</v>
      </c>
      <c r="I4260" s="10">
        <v>2013</v>
      </c>
      <c r="J4260" s="10" t="s">
        <v>6351</v>
      </c>
      <c r="K4260" s="10">
        <v>297</v>
      </c>
      <c r="L4260" s="10" t="s">
        <v>23880</v>
      </c>
      <c r="M4260" s="10">
        <v>1</v>
      </c>
      <c r="N4260" s="10" t="s">
        <v>21615</v>
      </c>
      <c r="O4260" s="10"/>
      <c r="P4260" s="10" t="s">
        <v>23881</v>
      </c>
      <c r="Q4260" s="10">
        <v>370.11500000000001</v>
      </c>
      <c r="R4260" s="10" t="s">
        <v>21354</v>
      </c>
      <c r="S4260" s="10" t="s">
        <v>53</v>
      </c>
      <c r="T4260" s="10" t="s">
        <v>54</v>
      </c>
    </row>
    <row r="4261" spans="1:20" ht="14.5" x14ac:dyDescent="0.35">
      <c r="A4261" s="10" t="s">
        <v>23882</v>
      </c>
      <c r="B4261" s="10" t="str">
        <f>"9780415530286"</f>
        <v>9780415530286</v>
      </c>
      <c r="C4261" s="10" t="str">
        <f>"9781136156700"</f>
        <v>9781136156700</v>
      </c>
      <c r="D4261" s="10" t="s">
        <v>6350</v>
      </c>
      <c r="E4261" s="10" t="s">
        <v>6351</v>
      </c>
      <c r="F4261" s="10" t="s">
        <v>23883</v>
      </c>
      <c r="G4261" s="10" t="s">
        <v>6317</v>
      </c>
      <c r="H4261" s="11">
        <v>41291</v>
      </c>
      <c r="I4261" s="10">
        <v>2013</v>
      </c>
      <c r="J4261" s="10" t="s">
        <v>6353</v>
      </c>
      <c r="K4261" s="10">
        <v>113</v>
      </c>
      <c r="L4261" s="10" t="s">
        <v>23884</v>
      </c>
      <c r="M4261" s="10">
        <v>1</v>
      </c>
      <c r="N4261" s="10" t="s">
        <v>23885</v>
      </c>
      <c r="O4261" s="10"/>
      <c r="P4261" s="10" t="s">
        <v>23886</v>
      </c>
      <c r="Q4261" s="10" t="s">
        <v>14436</v>
      </c>
      <c r="R4261" s="10" t="s">
        <v>23887</v>
      </c>
      <c r="S4261" s="10" t="s">
        <v>53</v>
      </c>
      <c r="T4261" s="10" t="s">
        <v>54</v>
      </c>
    </row>
    <row r="4262" spans="1:20" ht="14.5" x14ac:dyDescent="0.35">
      <c r="A4262" s="10" t="s">
        <v>23888</v>
      </c>
      <c r="B4262" s="10" t="str">
        <f>"9780415556873"</f>
        <v>9780415556873</v>
      </c>
      <c r="C4262" s="10" t="str">
        <f>"9781135128852"</f>
        <v>9781135128852</v>
      </c>
      <c r="D4262" s="10" t="s">
        <v>6350</v>
      </c>
      <c r="E4262" s="10" t="s">
        <v>6351</v>
      </c>
      <c r="F4262" s="10" t="s">
        <v>139</v>
      </c>
      <c r="G4262" s="10" t="s">
        <v>6352</v>
      </c>
      <c r="H4262" s="11">
        <v>41232</v>
      </c>
      <c r="I4262" s="10">
        <v>2013</v>
      </c>
      <c r="J4262" s="10" t="s">
        <v>6353</v>
      </c>
      <c r="K4262" s="10">
        <v>241</v>
      </c>
      <c r="L4262" s="10" t="s">
        <v>23889</v>
      </c>
      <c r="M4262" s="10">
        <v>1</v>
      </c>
      <c r="N4262" s="10" t="s">
        <v>23890</v>
      </c>
      <c r="O4262" s="10"/>
      <c r="P4262" s="10" t="s">
        <v>23891</v>
      </c>
      <c r="Q4262" s="10">
        <v>306.43209520904497</v>
      </c>
      <c r="R4262" s="10" t="s">
        <v>21384</v>
      </c>
      <c r="S4262" s="10" t="s">
        <v>53</v>
      </c>
      <c r="T4262" s="10" t="s">
        <v>6526</v>
      </c>
    </row>
    <row r="4263" spans="1:20" ht="14.5" x14ac:dyDescent="0.35">
      <c r="A4263" s="10" t="s">
        <v>23892</v>
      </c>
      <c r="B4263" s="10" t="str">
        <f>"9780415893817"</f>
        <v>9780415893817</v>
      </c>
      <c r="C4263" s="10" t="str">
        <f>"9781136241659"</f>
        <v>9781136241659</v>
      </c>
      <c r="D4263" s="10" t="s">
        <v>6350</v>
      </c>
      <c r="E4263" s="10" t="s">
        <v>6351</v>
      </c>
      <c r="F4263" s="10" t="s">
        <v>139</v>
      </c>
      <c r="G4263" s="10" t="s">
        <v>6352</v>
      </c>
      <c r="H4263" s="11">
        <v>41128</v>
      </c>
      <c r="I4263" s="10">
        <v>2012</v>
      </c>
      <c r="J4263" s="10" t="s">
        <v>6353</v>
      </c>
      <c r="K4263" s="10">
        <v>263</v>
      </c>
      <c r="L4263" s="10" t="s">
        <v>23893</v>
      </c>
      <c r="M4263" s="10">
        <v>1</v>
      </c>
      <c r="N4263" s="10" t="s">
        <v>23894</v>
      </c>
      <c r="O4263" s="10"/>
      <c r="P4263" s="10" t="s">
        <v>23895</v>
      </c>
      <c r="Q4263" s="10">
        <v>371.81094100000001</v>
      </c>
      <c r="R4263" s="10" t="s">
        <v>23896</v>
      </c>
      <c r="S4263" s="10" t="s">
        <v>53</v>
      </c>
      <c r="T4263" s="10" t="s">
        <v>54</v>
      </c>
    </row>
    <row r="4264" spans="1:20" ht="14.5" x14ac:dyDescent="0.35">
      <c r="A4264" s="10" t="s">
        <v>23897</v>
      </c>
      <c r="B4264" s="10" t="str">
        <f>"9780415896795"</f>
        <v>9780415896795</v>
      </c>
      <c r="C4264" s="10" t="str">
        <f>"9781136235405"</f>
        <v>9781136235405</v>
      </c>
      <c r="D4264" s="10" t="s">
        <v>6350</v>
      </c>
      <c r="E4264" s="10" t="s">
        <v>6351</v>
      </c>
      <c r="F4264" s="10" t="s">
        <v>139</v>
      </c>
      <c r="G4264" s="10" t="s">
        <v>6352</v>
      </c>
      <c r="H4264" s="11">
        <v>41129</v>
      </c>
      <c r="I4264" s="10">
        <v>2013</v>
      </c>
      <c r="J4264" s="10" t="s">
        <v>6353</v>
      </c>
      <c r="K4264" s="10">
        <v>241</v>
      </c>
      <c r="L4264" s="10" t="s">
        <v>23898</v>
      </c>
      <c r="M4264" s="10">
        <v>1</v>
      </c>
      <c r="N4264" s="10"/>
      <c r="O4264" s="10"/>
      <c r="P4264" s="10" t="s">
        <v>23899</v>
      </c>
      <c r="Q4264" s="10" t="s">
        <v>8748</v>
      </c>
      <c r="R4264" s="10" t="s">
        <v>21359</v>
      </c>
      <c r="S4264" s="10" t="s">
        <v>53</v>
      </c>
      <c r="T4264" s="10" t="s">
        <v>54</v>
      </c>
    </row>
    <row r="4265" spans="1:20" ht="14.5" x14ac:dyDescent="0.35">
      <c r="A4265" s="10" t="s">
        <v>23900</v>
      </c>
      <c r="B4265" s="10" t="str">
        <f>"9780415661270"</f>
        <v>9780415661270</v>
      </c>
      <c r="C4265" s="10" t="str">
        <f>"9781135086053"</f>
        <v>9781135086053</v>
      </c>
      <c r="D4265" s="10" t="s">
        <v>6350</v>
      </c>
      <c r="E4265" s="10" t="s">
        <v>6351</v>
      </c>
      <c r="F4265" s="10" t="s">
        <v>23883</v>
      </c>
      <c r="G4265" s="10" t="s">
        <v>6317</v>
      </c>
      <c r="H4265" s="11">
        <v>41288</v>
      </c>
      <c r="I4265" s="10">
        <v>2013</v>
      </c>
      <c r="J4265" s="10" t="s">
        <v>6353</v>
      </c>
      <c r="K4265" s="10">
        <v>121</v>
      </c>
      <c r="L4265" s="10" t="s">
        <v>23901</v>
      </c>
      <c r="M4265" s="10">
        <v>1</v>
      </c>
      <c r="N4265" s="10"/>
      <c r="O4265" s="10"/>
      <c r="P4265" s="10" t="s">
        <v>23902</v>
      </c>
      <c r="Q4265" s="10" t="s">
        <v>12283</v>
      </c>
      <c r="R4265" s="10" t="s">
        <v>23903</v>
      </c>
      <c r="S4265" s="10" t="s">
        <v>53</v>
      </c>
      <c r="T4265" s="10" t="s">
        <v>54</v>
      </c>
    </row>
    <row r="4266" spans="1:20" ht="14.5" x14ac:dyDescent="0.35">
      <c r="A4266" s="10" t="s">
        <v>23904</v>
      </c>
      <c r="B4266" s="10" t="str">
        <f>"9780804783026"</f>
        <v>9780804783026</v>
      </c>
      <c r="C4266" s="10" t="str">
        <f>"9780804784481"</f>
        <v>9780804784481</v>
      </c>
      <c r="D4266" s="10" t="s">
        <v>16213</v>
      </c>
      <c r="E4266" s="10" t="s">
        <v>16213</v>
      </c>
      <c r="F4266" s="10" t="s">
        <v>16214</v>
      </c>
      <c r="G4266" s="10" t="s">
        <v>6317</v>
      </c>
      <c r="H4266" s="11">
        <v>41297</v>
      </c>
      <c r="I4266" s="10">
        <v>2013</v>
      </c>
      <c r="J4266" s="10" t="s">
        <v>16213</v>
      </c>
      <c r="K4266" s="10">
        <v>370</v>
      </c>
      <c r="L4266" s="10" t="s">
        <v>23905</v>
      </c>
      <c r="M4266" s="10">
        <v>1</v>
      </c>
      <c r="N4266" s="10" t="s">
        <v>20660</v>
      </c>
      <c r="O4266" s="10"/>
      <c r="P4266" s="10" t="s">
        <v>21059</v>
      </c>
      <c r="Q4266" s="10" t="s">
        <v>8916</v>
      </c>
      <c r="R4266" s="10" t="s">
        <v>23906</v>
      </c>
      <c r="S4266" s="10" t="s">
        <v>53</v>
      </c>
      <c r="T4266" s="10" t="s">
        <v>54</v>
      </c>
    </row>
    <row r="4267" spans="1:20" ht="14.5" x14ac:dyDescent="0.35">
      <c r="A4267" s="10" t="s">
        <v>23907</v>
      </c>
      <c r="B4267" s="10" t="str">
        <f>"9781452258577"</f>
        <v>9781452258577</v>
      </c>
      <c r="C4267" s="10" t="str">
        <f>"9781452277509"</f>
        <v>9781452277509</v>
      </c>
      <c r="D4267" s="10" t="s">
        <v>22210</v>
      </c>
      <c r="E4267" s="10" t="s">
        <v>22211</v>
      </c>
      <c r="F4267" s="10" t="s">
        <v>333</v>
      </c>
      <c r="G4267" s="10" t="s">
        <v>6317</v>
      </c>
      <c r="H4267" s="11">
        <v>41239</v>
      </c>
      <c r="I4267" s="10">
        <v>2013</v>
      </c>
      <c r="J4267" s="10" t="s">
        <v>22211</v>
      </c>
      <c r="K4267" s="10">
        <v>289</v>
      </c>
      <c r="L4267" s="10" t="s">
        <v>23908</v>
      </c>
      <c r="M4267" s="10">
        <v>1</v>
      </c>
      <c r="N4267" s="10"/>
      <c r="O4267" s="10"/>
      <c r="P4267" s="10" t="s">
        <v>23909</v>
      </c>
      <c r="Q4267" s="10">
        <v>379.15809730000001</v>
      </c>
      <c r="R4267" s="10" t="s">
        <v>23910</v>
      </c>
      <c r="S4267" s="10" t="s">
        <v>53</v>
      </c>
      <c r="T4267" s="10" t="s">
        <v>54</v>
      </c>
    </row>
    <row r="4268" spans="1:20" ht="14.5" x14ac:dyDescent="0.35">
      <c r="A4268" s="10" t="s">
        <v>23911</v>
      </c>
      <c r="B4268" s="10" t="str">
        <f>"9780739175316"</f>
        <v>9780739175316</v>
      </c>
      <c r="C4268" s="10" t="str">
        <f>"9780739175323"</f>
        <v>9780739175323</v>
      </c>
      <c r="D4268" s="10" t="s">
        <v>9752</v>
      </c>
      <c r="E4268" s="10" t="s">
        <v>15182</v>
      </c>
      <c r="F4268" s="10" t="s">
        <v>9754</v>
      </c>
      <c r="G4268" s="10" t="s">
        <v>6317</v>
      </c>
      <c r="H4268" s="11">
        <v>41249</v>
      </c>
      <c r="I4268" s="10">
        <v>2012</v>
      </c>
      <c r="J4268" s="10" t="s">
        <v>15182</v>
      </c>
      <c r="K4268" s="10">
        <v>171</v>
      </c>
      <c r="L4268" s="10" t="s">
        <v>23912</v>
      </c>
      <c r="M4268" s="10">
        <v>1</v>
      </c>
      <c r="N4268" s="10"/>
      <c r="O4268" s="10"/>
      <c r="P4268" s="10" t="s">
        <v>23913</v>
      </c>
      <c r="Q4268" s="10">
        <v>371.82924000000003</v>
      </c>
      <c r="R4268" s="10" t="s">
        <v>23914</v>
      </c>
      <c r="S4268" s="10" t="s">
        <v>53</v>
      </c>
      <c r="T4268" s="10" t="s">
        <v>54</v>
      </c>
    </row>
    <row r="4269" spans="1:20" ht="14.5" x14ac:dyDescent="0.35">
      <c r="A4269" s="10" t="s">
        <v>23915</v>
      </c>
      <c r="B4269" s="10" t="str">
        <f>"9781610488679"</f>
        <v>9781610488679</v>
      </c>
      <c r="C4269" s="10" t="str">
        <f>"9781610488686"</f>
        <v>9781610488686</v>
      </c>
      <c r="D4269" s="10" t="s">
        <v>9752</v>
      </c>
      <c r="E4269" s="10" t="s">
        <v>15192</v>
      </c>
      <c r="F4269" s="10" t="s">
        <v>9754</v>
      </c>
      <c r="G4269" s="10" t="s">
        <v>6317</v>
      </c>
      <c r="H4269" s="11">
        <v>41198</v>
      </c>
      <c r="I4269" s="10">
        <v>2012</v>
      </c>
      <c r="J4269" s="10" t="s">
        <v>15192</v>
      </c>
      <c r="K4269" s="10">
        <v>187</v>
      </c>
      <c r="L4269" s="10" t="s">
        <v>23916</v>
      </c>
      <c r="M4269" s="10">
        <v>1</v>
      </c>
      <c r="N4269" s="10"/>
      <c r="O4269" s="10"/>
      <c r="P4269" s="10" t="s">
        <v>23917</v>
      </c>
      <c r="Q4269" s="10"/>
      <c r="R4269" s="10" t="s">
        <v>23918</v>
      </c>
      <c r="S4269" s="10" t="s">
        <v>53</v>
      </c>
      <c r="T4269" s="10" t="s">
        <v>54</v>
      </c>
    </row>
    <row r="4270" spans="1:20" ht="14.5" x14ac:dyDescent="0.35">
      <c r="A4270" s="10" t="s">
        <v>23919</v>
      </c>
      <c r="B4270" s="10" t="str">
        <f>"9781412986755"</f>
        <v>9781412986755</v>
      </c>
      <c r="C4270" s="10" t="str">
        <f>"9781452269214"</f>
        <v>9781452269214</v>
      </c>
      <c r="D4270" s="10" t="s">
        <v>22210</v>
      </c>
      <c r="E4270" s="10" t="s">
        <v>22211</v>
      </c>
      <c r="F4270" s="10" t="s">
        <v>333</v>
      </c>
      <c r="G4270" s="10" t="s">
        <v>6317</v>
      </c>
      <c r="H4270" s="11">
        <v>40870</v>
      </c>
      <c r="I4270" s="10">
        <v>2012</v>
      </c>
      <c r="J4270" s="10" t="s">
        <v>22211</v>
      </c>
      <c r="K4270" s="10">
        <v>209</v>
      </c>
      <c r="L4270" s="10" t="s">
        <v>23920</v>
      </c>
      <c r="M4270" s="10">
        <v>1</v>
      </c>
      <c r="N4270" s="10"/>
      <c r="O4270" s="10"/>
      <c r="P4270" s="10" t="s">
        <v>23921</v>
      </c>
      <c r="Q4270" s="10" t="s">
        <v>23922</v>
      </c>
      <c r="R4270" s="10" t="s">
        <v>23923</v>
      </c>
      <c r="S4270" s="10" t="s">
        <v>53</v>
      </c>
      <c r="T4270" s="10" t="s">
        <v>54</v>
      </c>
    </row>
    <row r="4271" spans="1:20" ht="14.5" x14ac:dyDescent="0.35">
      <c r="A4271" s="10" t="s">
        <v>23924</v>
      </c>
      <c r="B4271" s="10" t="str">
        <f>"9781452203911"</f>
        <v>9781452203911</v>
      </c>
      <c r="C4271" s="10" t="str">
        <f>"9781452279961"</f>
        <v>9781452279961</v>
      </c>
      <c r="D4271" s="10" t="s">
        <v>22210</v>
      </c>
      <c r="E4271" s="10" t="s">
        <v>22211</v>
      </c>
      <c r="F4271" s="10" t="s">
        <v>333</v>
      </c>
      <c r="G4271" s="10" t="s">
        <v>6317</v>
      </c>
      <c r="H4271" s="11">
        <v>41173</v>
      </c>
      <c r="I4271" s="10">
        <v>2012</v>
      </c>
      <c r="J4271" s="10" t="s">
        <v>22211</v>
      </c>
      <c r="K4271" s="10">
        <v>233</v>
      </c>
      <c r="L4271" s="10" t="s">
        <v>23925</v>
      </c>
      <c r="M4271" s="10">
        <v>1</v>
      </c>
      <c r="N4271" s="10"/>
      <c r="O4271" s="10"/>
      <c r="P4271" s="10" t="s">
        <v>23926</v>
      </c>
      <c r="Q4271" s="10"/>
      <c r="R4271" s="10"/>
      <c r="S4271" s="10" t="s">
        <v>53</v>
      </c>
      <c r="T4271" s="10" t="s">
        <v>54</v>
      </c>
    </row>
    <row r="4272" spans="1:20" ht="14.5" x14ac:dyDescent="0.35">
      <c r="A4272" s="10" t="s">
        <v>23927</v>
      </c>
      <c r="B4272" s="10" t="str">
        <f>"9781452230870"</f>
        <v>9781452230870</v>
      </c>
      <c r="C4272" s="10" t="str">
        <f>"9781452279626"</f>
        <v>9781452279626</v>
      </c>
      <c r="D4272" s="10" t="s">
        <v>22210</v>
      </c>
      <c r="E4272" s="10" t="s">
        <v>22211</v>
      </c>
      <c r="F4272" s="10" t="s">
        <v>333</v>
      </c>
      <c r="G4272" s="10" t="s">
        <v>6317</v>
      </c>
      <c r="H4272" s="11">
        <v>41145</v>
      </c>
      <c r="I4272" s="10">
        <v>2012</v>
      </c>
      <c r="J4272" s="10" t="s">
        <v>22211</v>
      </c>
      <c r="K4272" s="10">
        <v>153</v>
      </c>
      <c r="L4272" s="10" t="s">
        <v>23928</v>
      </c>
      <c r="M4272" s="10">
        <v>1</v>
      </c>
      <c r="N4272" s="10"/>
      <c r="O4272" s="10"/>
      <c r="P4272" s="10" t="s">
        <v>23929</v>
      </c>
      <c r="Q4272" s="10">
        <v>371.9</v>
      </c>
      <c r="R4272" s="10"/>
      <c r="S4272" s="10" t="s">
        <v>53</v>
      </c>
      <c r="T4272" s="10" t="s">
        <v>54</v>
      </c>
    </row>
    <row r="4273" spans="1:20" ht="14.5" x14ac:dyDescent="0.35">
      <c r="A4273" s="10" t="s">
        <v>23930</v>
      </c>
      <c r="B4273" s="10" t="str">
        <f>"9781412997454"</f>
        <v>9781412997454</v>
      </c>
      <c r="C4273" s="10" t="str">
        <f>"9781452279770"</f>
        <v>9781452279770</v>
      </c>
      <c r="D4273" s="10" t="s">
        <v>22210</v>
      </c>
      <c r="E4273" s="10" t="s">
        <v>22211</v>
      </c>
      <c r="F4273" s="10" t="s">
        <v>333</v>
      </c>
      <c r="G4273" s="10" t="s">
        <v>6317</v>
      </c>
      <c r="H4273" s="11">
        <v>40945</v>
      </c>
      <c r="I4273" s="10">
        <v>2012</v>
      </c>
      <c r="J4273" s="10" t="s">
        <v>22211</v>
      </c>
      <c r="K4273" s="10">
        <v>209</v>
      </c>
      <c r="L4273" s="10" t="s">
        <v>23931</v>
      </c>
      <c r="M4273" s="10">
        <v>1</v>
      </c>
      <c r="N4273" s="10"/>
      <c r="O4273" s="10"/>
      <c r="P4273" s="10" t="s">
        <v>23932</v>
      </c>
      <c r="Q4273" s="10" t="s">
        <v>22247</v>
      </c>
      <c r="R4273" s="10" t="s">
        <v>23933</v>
      </c>
      <c r="S4273" s="10" t="s">
        <v>53</v>
      </c>
      <c r="T4273" s="10" t="s">
        <v>54</v>
      </c>
    </row>
    <row r="4274" spans="1:20" ht="14.5" x14ac:dyDescent="0.35">
      <c r="A4274" s="10" t="s">
        <v>23934</v>
      </c>
      <c r="B4274" s="10" t="str">
        <f>"9781452244440"</f>
        <v>9781452244440</v>
      </c>
      <c r="C4274" s="10" t="str">
        <f>"9781452277806"</f>
        <v>9781452277806</v>
      </c>
      <c r="D4274" s="10" t="s">
        <v>22210</v>
      </c>
      <c r="E4274" s="10" t="s">
        <v>22211</v>
      </c>
      <c r="F4274" s="10" t="s">
        <v>333</v>
      </c>
      <c r="G4274" s="10" t="s">
        <v>6317</v>
      </c>
      <c r="H4274" s="11">
        <v>41205</v>
      </c>
      <c r="I4274" s="10">
        <v>2013</v>
      </c>
      <c r="J4274" s="10" t="s">
        <v>22211</v>
      </c>
      <c r="K4274" s="10">
        <v>241</v>
      </c>
      <c r="L4274" s="10" t="s">
        <v>23935</v>
      </c>
      <c r="M4274" s="10">
        <v>1</v>
      </c>
      <c r="N4274" s="10"/>
      <c r="O4274" s="10"/>
      <c r="P4274" s="10"/>
      <c r="Q4274" s="10"/>
      <c r="R4274" s="10" t="s">
        <v>23936</v>
      </c>
      <c r="S4274" s="10" t="s">
        <v>53</v>
      </c>
      <c r="T4274" s="10" t="s">
        <v>54</v>
      </c>
    </row>
    <row r="4275" spans="1:20" ht="14.5" x14ac:dyDescent="0.35">
      <c r="A4275" s="10" t="s">
        <v>23937</v>
      </c>
      <c r="B4275" s="10" t="str">
        <f>"9781412995252"</f>
        <v>9781412995252</v>
      </c>
      <c r="C4275" s="10" t="str">
        <f>"9781452279671"</f>
        <v>9781452279671</v>
      </c>
      <c r="D4275" s="10" t="s">
        <v>22210</v>
      </c>
      <c r="E4275" s="10" t="s">
        <v>22211</v>
      </c>
      <c r="F4275" s="10" t="s">
        <v>333</v>
      </c>
      <c r="G4275" s="10" t="s">
        <v>6317</v>
      </c>
      <c r="H4275" s="11">
        <v>41215</v>
      </c>
      <c r="I4275" s="10">
        <v>2013</v>
      </c>
      <c r="J4275" s="10" t="s">
        <v>22211</v>
      </c>
      <c r="K4275" s="10">
        <v>233</v>
      </c>
      <c r="L4275" s="10" t="s">
        <v>23938</v>
      </c>
      <c r="M4275" s="10">
        <v>1</v>
      </c>
      <c r="N4275" s="10"/>
      <c r="O4275" s="10"/>
      <c r="P4275" s="10" t="s">
        <v>23939</v>
      </c>
      <c r="Q4275" s="10">
        <v>371.9</v>
      </c>
      <c r="R4275" s="10"/>
      <c r="S4275" s="10" t="s">
        <v>53</v>
      </c>
      <c r="T4275" s="10" t="s">
        <v>54</v>
      </c>
    </row>
    <row r="4276" spans="1:20" ht="14.5" x14ac:dyDescent="0.35">
      <c r="A4276" s="10" t="s">
        <v>23940</v>
      </c>
      <c r="B4276" s="10" t="str">
        <f>"9781452241944"</f>
        <v>9781452241944</v>
      </c>
      <c r="C4276" s="10" t="str">
        <f>"9781452278667"</f>
        <v>9781452278667</v>
      </c>
      <c r="D4276" s="10" t="s">
        <v>22210</v>
      </c>
      <c r="E4276" s="10" t="s">
        <v>22211</v>
      </c>
      <c r="F4276" s="10" t="s">
        <v>333</v>
      </c>
      <c r="G4276" s="10" t="s">
        <v>6317</v>
      </c>
      <c r="H4276" s="11">
        <v>41206</v>
      </c>
      <c r="I4276" s="10">
        <v>2013</v>
      </c>
      <c r="J4276" s="10" t="s">
        <v>22211</v>
      </c>
      <c r="K4276" s="10">
        <v>185</v>
      </c>
      <c r="L4276" s="10" t="s">
        <v>23941</v>
      </c>
      <c r="M4276" s="10">
        <v>1</v>
      </c>
      <c r="N4276" s="10"/>
      <c r="O4276" s="10"/>
      <c r="P4276" s="10" t="s">
        <v>23942</v>
      </c>
      <c r="Q4276" s="10">
        <v>372.21800000000002</v>
      </c>
      <c r="R4276" s="10"/>
      <c r="S4276" s="10" t="s">
        <v>53</v>
      </c>
      <c r="T4276" s="10" t="s">
        <v>54</v>
      </c>
    </row>
    <row r="4277" spans="1:20" ht="14.5" x14ac:dyDescent="0.35">
      <c r="A4277" s="10" t="s">
        <v>23943</v>
      </c>
      <c r="B4277" s="10" t="str">
        <f>"9781412993975"</f>
        <v>9781412993975</v>
      </c>
      <c r="C4277" s="10" t="str">
        <f>"9781452279343"</f>
        <v>9781452279343</v>
      </c>
      <c r="D4277" s="10" t="s">
        <v>22210</v>
      </c>
      <c r="E4277" s="10" t="s">
        <v>22211</v>
      </c>
      <c r="F4277" s="10" t="s">
        <v>333</v>
      </c>
      <c r="G4277" s="10" t="s">
        <v>6317</v>
      </c>
      <c r="H4277" s="11">
        <v>41087</v>
      </c>
      <c r="I4277" s="10">
        <v>2012</v>
      </c>
      <c r="J4277" s="10" t="s">
        <v>22211</v>
      </c>
      <c r="K4277" s="10">
        <v>225</v>
      </c>
      <c r="L4277" s="10" t="s">
        <v>23944</v>
      </c>
      <c r="M4277" s="10">
        <v>1</v>
      </c>
      <c r="N4277" s="10"/>
      <c r="O4277" s="10"/>
      <c r="P4277" s="10" t="s">
        <v>23945</v>
      </c>
      <c r="Q4277" s="10"/>
      <c r="R4277" s="10"/>
      <c r="S4277" s="10" t="s">
        <v>53</v>
      </c>
      <c r="T4277" s="10" t="s">
        <v>54</v>
      </c>
    </row>
    <row r="4278" spans="1:20" ht="14.5" x14ac:dyDescent="0.35">
      <c r="A4278" s="10" t="s">
        <v>23946</v>
      </c>
      <c r="B4278" s="10" t="str">
        <f>"9781412994033"</f>
        <v>9781412994033</v>
      </c>
      <c r="C4278" s="10" t="str">
        <f>"9781452279350"</f>
        <v>9781452279350</v>
      </c>
      <c r="D4278" s="10" t="s">
        <v>22210</v>
      </c>
      <c r="E4278" s="10" t="s">
        <v>22211</v>
      </c>
      <c r="F4278" s="10" t="s">
        <v>333</v>
      </c>
      <c r="G4278" s="10" t="s">
        <v>6317</v>
      </c>
      <c r="H4278" s="11">
        <v>41052</v>
      </c>
      <c r="I4278" s="10">
        <v>2012</v>
      </c>
      <c r="J4278" s="10" t="s">
        <v>22211</v>
      </c>
      <c r="K4278" s="10">
        <v>241</v>
      </c>
      <c r="L4278" s="10" t="s">
        <v>23947</v>
      </c>
      <c r="M4278" s="10">
        <v>1</v>
      </c>
      <c r="N4278" s="10"/>
      <c r="O4278" s="10"/>
      <c r="P4278" s="10" t="s">
        <v>23948</v>
      </c>
      <c r="Q4278" s="10">
        <v>371.94</v>
      </c>
      <c r="R4278" s="10"/>
      <c r="S4278" s="10" t="s">
        <v>53</v>
      </c>
      <c r="T4278" s="10" t="s">
        <v>54</v>
      </c>
    </row>
    <row r="4279" spans="1:20" ht="14.5" x14ac:dyDescent="0.35">
      <c r="A4279" s="10" t="s">
        <v>23949</v>
      </c>
      <c r="B4279" s="10" t="str">
        <f>"9781412988247"</f>
        <v>9781412988247</v>
      </c>
      <c r="C4279" s="10" t="str">
        <f>"9781452268972"</f>
        <v>9781452268972</v>
      </c>
      <c r="D4279" s="10" t="s">
        <v>22210</v>
      </c>
      <c r="E4279" s="10" t="s">
        <v>22211</v>
      </c>
      <c r="F4279" s="10" t="s">
        <v>333</v>
      </c>
      <c r="G4279" s="10" t="s">
        <v>6317</v>
      </c>
      <c r="H4279" s="11">
        <v>40870</v>
      </c>
      <c r="I4279" s="10">
        <v>2012</v>
      </c>
      <c r="J4279" s="10" t="s">
        <v>22211</v>
      </c>
      <c r="K4279" s="10">
        <v>193</v>
      </c>
      <c r="L4279" s="10" t="s">
        <v>23950</v>
      </c>
      <c r="M4279" s="10">
        <v>1</v>
      </c>
      <c r="N4279" s="10"/>
      <c r="O4279" s="10"/>
      <c r="P4279" s="10" t="s">
        <v>23951</v>
      </c>
      <c r="Q4279" s="10">
        <v>370.97300000000001</v>
      </c>
      <c r="R4279" s="10" t="s">
        <v>23952</v>
      </c>
      <c r="S4279" s="10" t="s">
        <v>53</v>
      </c>
      <c r="T4279" s="10" t="s">
        <v>54</v>
      </c>
    </row>
    <row r="4280" spans="1:20" ht="14.5" x14ac:dyDescent="0.35">
      <c r="A4280" s="10" t="s">
        <v>23953</v>
      </c>
      <c r="B4280" s="10" t="str">
        <f>"9781412992978"</f>
        <v>9781412992978</v>
      </c>
      <c r="C4280" s="10" t="str">
        <f>"9781452268958"</f>
        <v>9781452268958</v>
      </c>
      <c r="D4280" s="10" t="s">
        <v>22210</v>
      </c>
      <c r="E4280" s="10" t="s">
        <v>22211</v>
      </c>
      <c r="F4280" s="10" t="s">
        <v>333</v>
      </c>
      <c r="G4280" s="10" t="s">
        <v>6317</v>
      </c>
      <c r="H4280" s="11">
        <v>40878</v>
      </c>
      <c r="I4280" s="10">
        <v>2012</v>
      </c>
      <c r="J4280" s="10" t="s">
        <v>22211</v>
      </c>
      <c r="K4280" s="10">
        <v>161</v>
      </c>
      <c r="L4280" s="10" t="s">
        <v>23954</v>
      </c>
      <c r="M4280" s="10">
        <v>1</v>
      </c>
      <c r="N4280" s="10"/>
      <c r="O4280" s="10"/>
      <c r="P4280" s="10" t="s">
        <v>23955</v>
      </c>
      <c r="Q4280" s="10">
        <v>371.2</v>
      </c>
      <c r="R4280" s="10" t="s">
        <v>23956</v>
      </c>
      <c r="S4280" s="10" t="s">
        <v>53</v>
      </c>
      <c r="T4280" s="10" t="s">
        <v>54</v>
      </c>
    </row>
    <row r="4281" spans="1:20" ht="14.5" x14ac:dyDescent="0.35">
      <c r="A4281" s="10" t="s">
        <v>23957</v>
      </c>
      <c r="B4281" s="10" t="str">
        <f>"9781412996334"</f>
        <v>9781412996334</v>
      </c>
      <c r="C4281" s="10" t="str">
        <f>"9781452269016"</f>
        <v>9781452269016</v>
      </c>
      <c r="D4281" s="10" t="s">
        <v>22210</v>
      </c>
      <c r="E4281" s="10" t="s">
        <v>22211</v>
      </c>
      <c r="F4281" s="10" t="s">
        <v>333</v>
      </c>
      <c r="G4281" s="10" t="s">
        <v>6317</v>
      </c>
      <c r="H4281" s="11">
        <v>40877</v>
      </c>
      <c r="I4281" s="10">
        <v>2012</v>
      </c>
      <c r="J4281" s="10" t="s">
        <v>22211</v>
      </c>
      <c r="K4281" s="10">
        <v>201</v>
      </c>
      <c r="L4281" s="10" t="s">
        <v>23958</v>
      </c>
      <c r="M4281" s="10">
        <v>1</v>
      </c>
      <c r="N4281" s="10"/>
      <c r="O4281" s="10"/>
      <c r="P4281" s="10" t="s">
        <v>23959</v>
      </c>
      <c r="Q4281" s="10">
        <v>371.10199999999998</v>
      </c>
      <c r="R4281" s="10"/>
      <c r="S4281" s="10" t="s">
        <v>53</v>
      </c>
      <c r="T4281" s="10" t="s">
        <v>54</v>
      </c>
    </row>
    <row r="4282" spans="1:20" ht="14.5" x14ac:dyDescent="0.35">
      <c r="A4282" s="10" t="s">
        <v>23960</v>
      </c>
      <c r="B4282" s="10" t="str">
        <f>"9781412997737"</f>
        <v>9781412997737</v>
      </c>
      <c r="C4282" s="10" t="str">
        <f>"9781452268965"</f>
        <v>9781452268965</v>
      </c>
      <c r="D4282" s="10" t="s">
        <v>22210</v>
      </c>
      <c r="E4282" s="10" t="s">
        <v>22211</v>
      </c>
      <c r="F4282" s="10" t="s">
        <v>333</v>
      </c>
      <c r="G4282" s="10" t="s">
        <v>6317</v>
      </c>
      <c r="H4282" s="11">
        <v>40855</v>
      </c>
      <c r="I4282" s="10">
        <v>2012</v>
      </c>
      <c r="J4282" s="10" t="s">
        <v>22211</v>
      </c>
      <c r="K4282" s="10">
        <v>145</v>
      </c>
      <c r="L4282" s="10" t="s">
        <v>23961</v>
      </c>
      <c r="M4282" s="10">
        <v>1</v>
      </c>
      <c r="N4282" s="10"/>
      <c r="O4282" s="10"/>
      <c r="P4282" s="10"/>
      <c r="Q4282" s="10">
        <v>372.4</v>
      </c>
      <c r="R4282" s="10"/>
      <c r="S4282" s="10" t="s">
        <v>53</v>
      </c>
      <c r="T4282" s="10" t="s">
        <v>54</v>
      </c>
    </row>
    <row r="4283" spans="1:20" ht="14.5" x14ac:dyDescent="0.35">
      <c r="A4283" s="10" t="s">
        <v>23962</v>
      </c>
      <c r="B4283" s="10" t="str">
        <f>"9781412987516"</f>
        <v>9781412987516</v>
      </c>
      <c r="C4283" s="10" t="str">
        <f>"9781452216201"</f>
        <v>9781452216201</v>
      </c>
      <c r="D4283" s="10" t="s">
        <v>22210</v>
      </c>
      <c r="E4283" s="10" t="s">
        <v>22211</v>
      </c>
      <c r="F4283" s="10" t="s">
        <v>333</v>
      </c>
      <c r="G4283" s="10" t="s">
        <v>6317</v>
      </c>
      <c r="H4283" s="11">
        <v>40428</v>
      </c>
      <c r="I4283" s="10">
        <v>2010</v>
      </c>
      <c r="J4283" s="10" t="s">
        <v>22211</v>
      </c>
      <c r="K4283" s="10">
        <v>193</v>
      </c>
      <c r="L4283" s="10" t="s">
        <v>23963</v>
      </c>
      <c r="M4283" s="10">
        <v>1</v>
      </c>
      <c r="N4283" s="10"/>
      <c r="O4283" s="10"/>
      <c r="P4283" s="10" t="s">
        <v>23964</v>
      </c>
      <c r="Q4283" s="10">
        <v>371.40890000000002</v>
      </c>
      <c r="R4283" s="10"/>
      <c r="S4283" s="10" t="s">
        <v>53</v>
      </c>
      <c r="T4283" s="10" t="s">
        <v>54</v>
      </c>
    </row>
    <row r="4284" spans="1:20" ht="14.5" x14ac:dyDescent="0.35">
      <c r="A4284" s="10" t="s">
        <v>23965</v>
      </c>
      <c r="B4284" s="10" t="str">
        <f>"9781412981149"</f>
        <v>9781412981149</v>
      </c>
      <c r="C4284" s="10" t="str">
        <f>"9781452206691"</f>
        <v>9781452206691</v>
      </c>
      <c r="D4284" s="10" t="s">
        <v>22210</v>
      </c>
      <c r="E4284" s="10" t="s">
        <v>22211</v>
      </c>
      <c r="F4284" s="10" t="s">
        <v>333</v>
      </c>
      <c r="G4284" s="10" t="s">
        <v>6317</v>
      </c>
      <c r="H4284" s="11">
        <v>40406</v>
      </c>
      <c r="I4284" s="10">
        <v>2010</v>
      </c>
      <c r="J4284" s="10" t="s">
        <v>22211</v>
      </c>
      <c r="K4284" s="10">
        <v>209</v>
      </c>
      <c r="L4284" s="10" t="s">
        <v>23966</v>
      </c>
      <c r="M4284" s="10">
        <v>1</v>
      </c>
      <c r="N4284" s="10" t="s">
        <v>23967</v>
      </c>
      <c r="O4284" s="10"/>
      <c r="P4284" s="10"/>
      <c r="Q4284" s="10">
        <v>372.21</v>
      </c>
      <c r="R4284" s="10"/>
      <c r="S4284" s="10" t="s">
        <v>53</v>
      </c>
      <c r="T4284" s="10" t="s">
        <v>54</v>
      </c>
    </row>
    <row r="4285" spans="1:20" ht="14.5" x14ac:dyDescent="0.35">
      <c r="A4285" s="10" t="s">
        <v>23968</v>
      </c>
      <c r="B4285" s="10" t="str">
        <f>"9781412981125"</f>
        <v>9781412981125</v>
      </c>
      <c r="C4285" s="10" t="str">
        <f>"9781452214931"</f>
        <v>9781452214931</v>
      </c>
      <c r="D4285" s="10" t="s">
        <v>22210</v>
      </c>
      <c r="E4285" s="10" t="s">
        <v>22211</v>
      </c>
      <c r="F4285" s="10" t="s">
        <v>333</v>
      </c>
      <c r="G4285" s="10" t="s">
        <v>6317</v>
      </c>
      <c r="H4285" s="11">
        <v>40413</v>
      </c>
      <c r="I4285" s="10">
        <v>2010</v>
      </c>
      <c r="J4285" s="10" t="s">
        <v>22211</v>
      </c>
      <c r="K4285" s="10">
        <v>209</v>
      </c>
      <c r="L4285" s="10" t="s">
        <v>23969</v>
      </c>
      <c r="M4285" s="10">
        <v>1</v>
      </c>
      <c r="N4285" s="10"/>
      <c r="O4285" s="10"/>
      <c r="P4285" s="10" t="s">
        <v>23970</v>
      </c>
      <c r="Q4285" s="10">
        <v>372.11020000000002</v>
      </c>
      <c r="R4285" s="10"/>
      <c r="S4285" s="10" t="s">
        <v>53</v>
      </c>
      <c r="T4285" s="10" t="s">
        <v>54</v>
      </c>
    </row>
    <row r="4286" spans="1:20" ht="14.5" x14ac:dyDescent="0.35">
      <c r="A4286" s="10" t="s">
        <v>23971</v>
      </c>
      <c r="B4286" s="10" t="str">
        <f>"9781412992473"</f>
        <v>9781412992473</v>
      </c>
      <c r="C4286" s="10" t="str">
        <f>"9781452268880"</f>
        <v>9781452268880</v>
      </c>
      <c r="D4286" s="10" t="s">
        <v>22210</v>
      </c>
      <c r="E4286" s="10" t="s">
        <v>22211</v>
      </c>
      <c r="F4286" s="10" t="s">
        <v>333</v>
      </c>
      <c r="G4286" s="10" t="s">
        <v>6317</v>
      </c>
      <c r="H4286" s="11">
        <v>40793</v>
      </c>
      <c r="I4286" s="10">
        <v>2011</v>
      </c>
      <c r="J4286" s="10" t="s">
        <v>22211</v>
      </c>
      <c r="K4286" s="10">
        <v>201</v>
      </c>
      <c r="L4286" s="10" t="s">
        <v>23972</v>
      </c>
      <c r="M4286" s="10">
        <v>1</v>
      </c>
      <c r="N4286" s="10"/>
      <c r="O4286" s="10"/>
      <c r="P4286" s="10" t="s">
        <v>23973</v>
      </c>
      <c r="Q4286" s="10">
        <v>371.3</v>
      </c>
      <c r="R4286" s="10" t="s">
        <v>23974</v>
      </c>
      <c r="S4286" s="10" t="s">
        <v>53</v>
      </c>
      <c r="T4286" s="10" t="s">
        <v>54</v>
      </c>
    </row>
    <row r="4287" spans="1:20" ht="14.5" x14ac:dyDescent="0.35">
      <c r="A4287" s="10" t="s">
        <v>23975</v>
      </c>
      <c r="B4287" s="10" t="str">
        <f>"9781412992596"</f>
        <v>9781412992596</v>
      </c>
      <c r="C4287" s="10" t="str">
        <f>"9781452268866"</f>
        <v>9781452268866</v>
      </c>
      <c r="D4287" s="10" t="s">
        <v>22210</v>
      </c>
      <c r="E4287" s="10" t="s">
        <v>22211</v>
      </c>
      <c r="F4287" s="10" t="s">
        <v>333</v>
      </c>
      <c r="G4287" s="10" t="s">
        <v>6317</v>
      </c>
      <c r="H4287" s="11">
        <v>40707</v>
      </c>
      <c r="I4287" s="10">
        <v>2011</v>
      </c>
      <c r="J4287" s="10" t="s">
        <v>22211</v>
      </c>
      <c r="K4287" s="10">
        <v>321</v>
      </c>
      <c r="L4287" s="10" t="s">
        <v>23976</v>
      </c>
      <c r="M4287" s="10">
        <v>1</v>
      </c>
      <c r="N4287" s="10"/>
      <c r="O4287" s="10"/>
      <c r="P4287" s="10" t="s">
        <v>23977</v>
      </c>
      <c r="Q4287" s="10"/>
      <c r="R4287" s="10"/>
      <c r="S4287" s="10" t="s">
        <v>53</v>
      </c>
      <c r="T4287" s="10" t="s">
        <v>54</v>
      </c>
    </row>
    <row r="4288" spans="1:20" ht="14.5" x14ac:dyDescent="0.35">
      <c r="A4288" s="10" t="s">
        <v>23978</v>
      </c>
      <c r="B4288" s="10" t="str">
        <f>"9781452216478"</f>
        <v>9781452216478</v>
      </c>
      <c r="C4288" s="10" t="str">
        <f>"9781452268873"</f>
        <v>9781452268873</v>
      </c>
      <c r="D4288" s="10" t="s">
        <v>22210</v>
      </c>
      <c r="E4288" s="10" t="s">
        <v>22211</v>
      </c>
      <c r="F4288" s="10" t="s">
        <v>333</v>
      </c>
      <c r="G4288" s="10" t="s">
        <v>6317</v>
      </c>
      <c r="H4288" s="11">
        <v>40850</v>
      </c>
      <c r="I4288" s="10">
        <v>2012</v>
      </c>
      <c r="J4288" s="10" t="s">
        <v>22211</v>
      </c>
      <c r="K4288" s="10">
        <v>249</v>
      </c>
      <c r="L4288" s="10" t="s">
        <v>23979</v>
      </c>
      <c r="M4288" s="10">
        <v>1</v>
      </c>
      <c r="N4288" s="10"/>
      <c r="O4288" s="10"/>
      <c r="P4288" s="10" t="s">
        <v>23980</v>
      </c>
      <c r="Q4288" s="10" t="s">
        <v>9360</v>
      </c>
      <c r="R4288" s="10" t="s">
        <v>23981</v>
      </c>
      <c r="S4288" s="10" t="s">
        <v>53</v>
      </c>
      <c r="T4288" s="10" t="s">
        <v>54</v>
      </c>
    </row>
    <row r="4289" spans="1:20" ht="14.5" x14ac:dyDescent="0.35">
      <c r="A4289" s="10" t="s">
        <v>23982</v>
      </c>
      <c r="B4289" s="10" t="str">
        <f>"9781452217468"</f>
        <v>9781452217468</v>
      </c>
      <c r="C4289" s="10" t="str">
        <f>"9781452277042"</f>
        <v>9781452277042</v>
      </c>
      <c r="D4289" s="10" t="s">
        <v>22210</v>
      </c>
      <c r="E4289" s="10" t="s">
        <v>22211</v>
      </c>
      <c r="F4289" s="10" t="s">
        <v>333</v>
      </c>
      <c r="G4289" s="10" t="s">
        <v>6317</v>
      </c>
      <c r="H4289" s="11">
        <v>40836</v>
      </c>
      <c r="I4289" s="10">
        <v>2012</v>
      </c>
      <c r="J4289" s="10" t="s">
        <v>22211</v>
      </c>
      <c r="K4289" s="10">
        <v>193</v>
      </c>
      <c r="L4289" s="10" t="s">
        <v>23983</v>
      </c>
      <c r="M4289" s="10">
        <v>1</v>
      </c>
      <c r="N4289" s="10" t="s">
        <v>23984</v>
      </c>
      <c r="O4289" s="10"/>
      <c r="P4289" s="10" t="s">
        <v>23985</v>
      </c>
      <c r="Q4289" s="10">
        <v>379.26097299999998</v>
      </c>
      <c r="R4289" s="10" t="s">
        <v>23986</v>
      </c>
      <c r="S4289" s="10" t="s">
        <v>53</v>
      </c>
      <c r="T4289" s="10" t="s">
        <v>54</v>
      </c>
    </row>
    <row r="4290" spans="1:20" ht="14.5" x14ac:dyDescent="0.35">
      <c r="A4290" s="10" t="s">
        <v>23987</v>
      </c>
      <c r="B4290" s="10" t="str">
        <f>"9781412991148"</f>
        <v>9781412991148</v>
      </c>
      <c r="C4290" s="10" t="str">
        <f>"9781452268804"</f>
        <v>9781452268804</v>
      </c>
      <c r="D4290" s="10" t="s">
        <v>22210</v>
      </c>
      <c r="E4290" s="10" t="s">
        <v>22211</v>
      </c>
      <c r="F4290" s="10" t="s">
        <v>333</v>
      </c>
      <c r="G4290" s="10" t="s">
        <v>6317</v>
      </c>
      <c r="H4290" s="11">
        <v>40820</v>
      </c>
      <c r="I4290" s="10">
        <v>2012</v>
      </c>
      <c r="J4290" s="10" t="s">
        <v>22211</v>
      </c>
      <c r="K4290" s="10">
        <v>169</v>
      </c>
      <c r="L4290" s="10" t="s">
        <v>23988</v>
      </c>
      <c r="M4290" s="10">
        <v>1</v>
      </c>
      <c r="N4290" s="10"/>
      <c r="O4290" s="10"/>
      <c r="P4290" s="10" t="s">
        <v>23989</v>
      </c>
      <c r="Q4290" s="10">
        <v>370.15199999999999</v>
      </c>
      <c r="R4290" s="10"/>
      <c r="S4290" s="10" t="s">
        <v>53</v>
      </c>
      <c r="T4290" s="10" t="s">
        <v>54</v>
      </c>
    </row>
    <row r="4291" spans="1:20" ht="14.5" x14ac:dyDescent="0.35">
      <c r="A4291" s="10" t="s">
        <v>23990</v>
      </c>
      <c r="B4291" s="10" t="str">
        <f>"9781412959865"</f>
        <v>9781412959865</v>
      </c>
      <c r="C4291" s="10" t="str">
        <f>"9781452268828"</f>
        <v>9781452268828</v>
      </c>
      <c r="D4291" s="10" t="s">
        <v>22210</v>
      </c>
      <c r="E4291" s="10" t="s">
        <v>22211</v>
      </c>
      <c r="F4291" s="10" t="s">
        <v>333</v>
      </c>
      <c r="G4291" s="10" t="s">
        <v>6317</v>
      </c>
      <c r="H4291" s="11">
        <v>40851</v>
      </c>
      <c r="I4291" s="10">
        <v>2012</v>
      </c>
      <c r="J4291" s="10" t="s">
        <v>22211</v>
      </c>
      <c r="K4291" s="10">
        <v>193</v>
      </c>
      <c r="L4291" s="10" t="s">
        <v>23595</v>
      </c>
      <c r="M4291" s="10">
        <v>1</v>
      </c>
      <c r="N4291" s="10"/>
      <c r="O4291" s="10"/>
      <c r="P4291" s="10" t="s">
        <v>23991</v>
      </c>
      <c r="Q4291" s="10" t="s">
        <v>11202</v>
      </c>
      <c r="R4291" s="10"/>
      <c r="S4291" s="10" t="s">
        <v>53</v>
      </c>
      <c r="T4291" s="10" t="s">
        <v>54</v>
      </c>
    </row>
    <row r="4292" spans="1:20" ht="14.5" x14ac:dyDescent="0.35">
      <c r="A4292" s="10" t="s">
        <v>23992</v>
      </c>
      <c r="B4292" s="10" t="str">
        <f>"9781412981132"</f>
        <v>9781412981132</v>
      </c>
      <c r="C4292" s="10" t="str">
        <f>"9781452269108"</f>
        <v>9781452269108</v>
      </c>
      <c r="D4292" s="10" t="s">
        <v>22210</v>
      </c>
      <c r="E4292" s="10" t="s">
        <v>22211</v>
      </c>
      <c r="F4292" s="10" t="s">
        <v>333</v>
      </c>
      <c r="G4292" s="10" t="s">
        <v>6317</v>
      </c>
      <c r="H4292" s="11">
        <v>40571</v>
      </c>
      <c r="I4292" s="10">
        <v>2011</v>
      </c>
      <c r="J4292" s="10" t="s">
        <v>22211</v>
      </c>
      <c r="K4292" s="10">
        <v>233</v>
      </c>
      <c r="L4292" s="10" t="s">
        <v>23993</v>
      </c>
      <c r="M4292" s="10">
        <v>2</v>
      </c>
      <c r="N4292" s="10"/>
      <c r="O4292" s="10"/>
      <c r="P4292" s="10" t="s">
        <v>23994</v>
      </c>
      <c r="Q4292" s="10"/>
      <c r="R4292" s="10"/>
      <c r="S4292" s="10" t="s">
        <v>53</v>
      </c>
      <c r="T4292" s="10" t="s">
        <v>6363</v>
      </c>
    </row>
    <row r="4293" spans="1:20" ht="14.5" x14ac:dyDescent="0.35">
      <c r="A4293" s="10" t="s">
        <v>23995</v>
      </c>
      <c r="B4293" s="10" t="str">
        <f>"9781412981705"</f>
        <v>9781412981705</v>
      </c>
      <c r="C4293" s="10" t="str">
        <f>"9781452268934"</f>
        <v>9781452268934</v>
      </c>
      <c r="D4293" s="10" t="s">
        <v>22210</v>
      </c>
      <c r="E4293" s="10" t="s">
        <v>22211</v>
      </c>
      <c r="F4293" s="10" t="s">
        <v>333</v>
      </c>
      <c r="G4293" s="10" t="s">
        <v>6317</v>
      </c>
      <c r="H4293" s="11">
        <v>40567</v>
      </c>
      <c r="I4293" s="10">
        <v>2011</v>
      </c>
      <c r="J4293" s="10" t="s">
        <v>22211</v>
      </c>
      <c r="K4293" s="10">
        <v>177</v>
      </c>
      <c r="L4293" s="10" t="s">
        <v>23996</v>
      </c>
      <c r="M4293" s="10">
        <v>1</v>
      </c>
      <c r="N4293" s="10"/>
      <c r="O4293" s="10"/>
      <c r="P4293" s="10" t="s">
        <v>23997</v>
      </c>
      <c r="Q4293" s="10" t="s">
        <v>6576</v>
      </c>
      <c r="R4293" s="10"/>
      <c r="S4293" s="10" t="s">
        <v>53</v>
      </c>
      <c r="T4293" s="10" t="s">
        <v>54</v>
      </c>
    </row>
    <row r="4294" spans="1:20" ht="14.5" x14ac:dyDescent="0.35">
      <c r="A4294" s="10" t="s">
        <v>23998</v>
      </c>
      <c r="B4294" s="10" t="str">
        <f>"9781412987127"</f>
        <v>9781412987127</v>
      </c>
      <c r="C4294" s="10" t="str">
        <f>"9781452269115"</f>
        <v>9781452269115</v>
      </c>
      <c r="D4294" s="10" t="s">
        <v>22210</v>
      </c>
      <c r="E4294" s="10" t="s">
        <v>22211</v>
      </c>
      <c r="F4294" s="10" t="s">
        <v>333</v>
      </c>
      <c r="G4294" s="10" t="s">
        <v>6317</v>
      </c>
      <c r="H4294" s="11">
        <v>40707</v>
      </c>
      <c r="I4294" s="10">
        <v>2011</v>
      </c>
      <c r="J4294" s="10" t="s">
        <v>22211</v>
      </c>
      <c r="K4294" s="10">
        <v>209</v>
      </c>
      <c r="L4294" s="10" t="s">
        <v>23999</v>
      </c>
      <c r="M4294" s="10">
        <v>1</v>
      </c>
      <c r="N4294" s="10"/>
      <c r="O4294" s="10"/>
      <c r="P4294" s="10" t="s">
        <v>24000</v>
      </c>
      <c r="Q4294" s="10">
        <v>371.1</v>
      </c>
      <c r="R4294" s="10"/>
      <c r="S4294" s="10" t="s">
        <v>53</v>
      </c>
      <c r="T4294" s="10" t="s">
        <v>54</v>
      </c>
    </row>
    <row r="4295" spans="1:20" ht="14.5" x14ac:dyDescent="0.35">
      <c r="A4295" s="10" t="s">
        <v>24001</v>
      </c>
      <c r="B4295" s="10" t="str">
        <f>"9781412988223"</f>
        <v>9781412988223</v>
      </c>
      <c r="C4295" s="10" t="str">
        <f>"9781452268927"</f>
        <v>9781452268927</v>
      </c>
      <c r="D4295" s="10" t="s">
        <v>22210</v>
      </c>
      <c r="E4295" s="10" t="s">
        <v>22211</v>
      </c>
      <c r="F4295" s="10" t="s">
        <v>333</v>
      </c>
      <c r="G4295" s="10" t="s">
        <v>6317</v>
      </c>
      <c r="H4295" s="11">
        <v>40816</v>
      </c>
      <c r="I4295" s="10">
        <v>2011</v>
      </c>
      <c r="J4295" s="10" t="s">
        <v>22211</v>
      </c>
      <c r="K4295" s="10">
        <v>209</v>
      </c>
      <c r="L4295" s="10" t="s">
        <v>24002</v>
      </c>
      <c r="M4295" s="10">
        <v>1</v>
      </c>
      <c r="N4295" s="10"/>
      <c r="O4295" s="10"/>
      <c r="P4295" s="10" t="s">
        <v>24003</v>
      </c>
      <c r="Q4295" s="10" t="s">
        <v>6942</v>
      </c>
      <c r="R4295" s="10" t="s">
        <v>24004</v>
      </c>
      <c r="S4295" s="10" t="s">
        <v>53</v>
      </c>
      <c r="T4295" s="10" t="s">
        <v>54</v>
      </c>
    </row>
    <row r="4296" spans="1:20" ht="14.5" x14ac:dyDescent="0.35">
      <c r="A4296" s="10" t="s">
        <v>24005</v>
      </c>
      <c r="B4296" s="10" t="str">
        <f>"9781412993982"</f>
        <v>9781412993982</v>
      </c>
      <c r="C4296" s="10" t="str">
        <f>"9781452269146"</f>
        <v>9781452269146</v>
      </c>
      <c r="D4296" s="10" t="s">
        <v>22210</v>
      </c>
      <c r="E4296" s="10" t="s">
        <v>22211</v>
      </c>
      <c r="F4296" s="10" t="s">
        <v>333</v>
      </c>
      <c r="G4296" s="10" t="s">
        <v>6317</v>
      </c>
      <c r="H4296" s="11">
        <v>40772</v>
      </c>
      <c r="I4296" s="10">
        <v>2011</v>
      </c>
      <c r="J4296" s="10" t="s">
        <v>22211</v>
      </c>
      <c r="K4296" s="10">
        <v>249</v>
      </c>
      <c r="L4296" s="10" t="s">
        <v>24006</v>
      </c>
      <c r="M4296" s="10">
        <v>1</v>
      </c>
      <c r="N4296" s="10"/>
      <c r="O4296" s="10"/>
      <c r="P4296" s="10" t="s">
        <v>24007</v>
      </c>
      <c r="Q4296" s="10" t="s">
        <v>24008</v>
      </c>
      <c r="R4296" s="10"/>
      <c r="S4296" s="10" t="s">
        <v>53</v>
      </c>
      <c r="T4296" s="10" t="s">
        <v>6448</v>
      </c>
    </row>
    <row r="4297" spans="1:20" ht="14.5" x14ac:dyDescent="0.35">
      <c r="A4297" s="10" t="s">
        <v>24009</v>
      </c>
      <c r="B4297" s="10" t="str">
        <f>"9781412994040"</f>
        <v>9781412994040</v>
      </c>
      <c r="C4297" s="10" t="str">
        <f>"9781452269085"</f>
        <v>9781452269085</v>
      </c>
      <c r="D4297" s="10" t="s">
        <v>22210</v>
      </c>
      <c r="E4297" s="10" t="s">
        <v>22211</v>
      </c>
      <c r="F4297" s="10" t="s">
        <v>333</v>
      </c>
      <c r="G4297" s="10" t="s">
        <v>6317</v>
      </c>
      <c r="H4297" s="11">
        <v>40807</v>
      </c>
      <c r="I4297" s="10">
        <v>2011</v>
      </c>
      <c r="J4297" s="10" t="s">
        <v>22211</v>
      </c>
      <c r="K4297" s="10">
        <v>225</v>
      </c>
      <c r="L4297" s="10" t="s">
        <v>24010</v>
      </c>
      <c r="M4297" s="10">
        <v>1</v>
      </c>
      <c r="N4297" s="10"/>
      <c r="O4297" s="10"/>
      <c r="P4297" s="10" t="s">
        <v>24011</v>
      </c>
      <c r="Q4297" s="10"/>
      <c r="R4297" s="10"/>
      <c r="S4297" s="10" t="s">
        <v>53</v>
      </c>
      <c r="T4297" s="10" t="s">
        <v>54</v>
      </c>
    </row>
    <row r="4298" spans="1:20" ht="14.5" x14ac:dyDescent="0.35">
      <c r="A4298" s="10" t="s">
        <v>24012</v>
      </c>
      <c r="B4298" s="10" t="str">
        <f>"9781412995290"</f>
        <v>9781412995290</v>
      </c>
      <c r="C4298" s="10" t="str">
        <f>"9781452268996"</f>
        <v>9781452268996</v>
      </c>
      <c r="D4298" s="10" t="s">
        <v>22210</v>
      </c>
      <c r="E4298" s="10" t="s">
        <v>22211</v>
      </c>
      <c r="F4298" s="10" t="s">
        <v>333</v>
      </c>
      <c r="G4298" s="10" t="s">
        <v>6317</v>
      </c>
      <c r="H4298" s="11">
        <v>40674</v>
      </c>
      <c r="I4298" s="10">
        <v>2011</v>
      </c>
      <c r="J4298" s="10" t="s">
        <v>22211</v>
      </c>
      <c r="K4298" s="10">
        <v>249</v>
      </c>
      <c r="L4298" s="10" t="s">
        <v>24013</v>
      </c>
      <c r="M4298" s="10">
        <v>1</v>
      </c>
      <c r="N4298" s="10"/>
      <c r="O4298" s="10"/>
      <c r="P4298" s="10"/>
      <c r="Q4298" s="10">
        <v>371.94</v>
      </c>
      <c r="R4298" s="10"/>
      <c r="S4298" s="10" t="s">
        <v>53</v>
      </c>
      <c r="T4298" s="10" t="s">
        <v>54</v>
      </c>
    </row>
    <row r="4299" spans="1:20" ht="14.5" x14ac:dyDescent="0.35">
      <c r="A4299" s="10" t="s">
        <v>24014</v>
      </c>
      <c r="B4299" s="10" t="str">
        <f>"9781412997584"</f>
        <v>9781412997584</v>
      </c>
      <c r="C4299" s="10" t="str">
        <f>"9781452269122"</f>
        <v>9781452269122</v>
      </c>
      <c r="D4299" s="10" t="s">
        <v>22210</v>
      </c>
      <c r="E4299" s="10" t="s">
        <v>22211</v>
      </c>
      <c r="F4299" s="10" t="s">
        <v>333</v>
      </c>
      <c r="G4299" s="10" t="s">
        <v>6317</v>
      </c>
      <c r="H4299" s="11">
        <v>40855</v>
      </c>
      <c r="I4299" s="10">
        <v>2012</v>
      </c>
      <c r="J4299" s="10" t="s">
        <v>22211</v>
      </c>
      <c r="K4299" s="10">
        <v>265</v>
      </c>
      <c r="L4299" s="10" t="s">
        <v>24015</v>
      </c>
      <c r="M4299" s="10">
        <v>1</v>
      </c>
      <c r="N4299" s="10"/>
      <c r="O4299" s="10"/>
      <c r="P4299" s="10" t="s">
        <v>24016</v>
      </c>
      <c r="Q4299" s="10">
        <v>371.33</v>
      </c>
      <c r="R4299" s="10" t="s">
        <v>24017</v>
      </c>
      <c r="S4299" s="10" t="s">
        <v>53</v>
      </c>
      <c r="T4299" s="10" t="s">
        <v>6472</v>
      </c>
    </row>
    <row r="4300" spans="1:20" ht="14.5" x14ac:dyDescent="0.35">
      <c r="A4300" s="10" t="s">
        <v>24018</v>
      </c>
      <c r="B4300" s="10" t="str">
        <f>"9780415525763"</f>
        <v>9780415525763</v>
      </c>
      <c r="C4300" s="10" t="str">
        <f>"9781136316821"</f>
        <v>9781136316821</v>
      </c>
      <c r="D4300" s="10" t="s">
        <v>6350</v>
      </c>
      <c r="E4300" s="10" t="s">
        <v>6351</v>
      </c>
      <c r="F4300" s="10" t="s">
        <v>139</v>
      </c>
      <c r="G4300" s="10" t="s">
        <v>6352</v>
      </c>
      <c r="H4300" s="11">
        <v>41289</v>
      </c>
      <c r="I4300" s="10">
        <v>2013</v>
      </c>
      <c r="J4300" s="10" t="s">
        <v>6353</v>
      </c>
      <c r="K4300" s="10">
        <v>156</v>
      </c>
      <c r="L4300" s="10" t="s">
        <v>11068</v>
      </c>
      <c r="M4300" s="10">
        <v>1</v>
      </c>
      <c r="N4300" s="10"/>
      <c r="O4300" s="10"/>
      <c r="P4300" s="10" t="s">
        <v>24019</v>
      </c>
      <c r="Q4300" s="10" t="s">
        <v>24020</v>
      </c>
      <c r="R4300" s="10" t="s">
        <v>24021</v>
      </c>
      <c r="S4300" s="10" t="s">
        <v>53</v>
      </c>
      <c r="T4300" s="10" t="s">
        <v>6363</v>
      </c>
    </row>
    <row r="4301" spans="1:20" ht="14.5" x14ac:dyDescent="0.35">
      <c r="A4301" s="10" t="s">
        <v>24022</v>
      </c>
      <c r="B4301" s="10" t="str">
        <f>"9780415531566"</f>
        <v>9780415531566</v>
      </c>
      <c r="C4301" s="10" t="str">
        <f>"9781135125332"</f>
        <v>9781135125332</v>
      </c>
      <c r="D4301" s="10" t="s">
        <v>6350</v>
      </c>
      <c r="E4301" s="10" t="s">
        <v>6351</v>
      </c>
      <c r="F4301" s="10" t="s">
        <v>748</v>
      </c>
      <c r="G4301" s="10" t="s">
        <v>6352</v>
      </c>
      <c r="H4301" s="11">
        <v>41312</v>
      </c>
      <c r="I4301" s="10">
        <v>2013</v>
      </c>
      <c r="J4301" s="10" t="s">
        <v>6351</v>
      </c>
      <c r="K4301" s="10">
        <v>225</v>
      </c>
      <c r="L4301" s="10" t="s">
        <v>24023</v>
      </c>
      <c r="M4301" s="10">
        <v>1</v>
      </c>
      <c r="N4301" s="10"/>
      <c r="O4301" s="10"/>
      <c r="P4301" s="10" t="s">
        <v>24024</v>
      </c>
      <c r="Q4301" s="10" t="s">
        <v>8916</v>
      </c>
      <c r="R4301" s="10" t="s">
        <v>12199</v>
      </c>
      <c r="S4301" s="10" t="s">
        <v>53</v>
      </c>
      <c r="T4301" s="10" t="s">
        <v>54</v>
      </c>
    </row>
    <row r="4302" spans="1:20" ht="14.5" x14ac:dyDescent="0.35">
      <c r="A4302" s="10" t="s">
        <v>24025</v>
      </c>
      <c r="B4302" s="10" t="str">
        <f>"9780415811118"</f>
        <v>9780415811118</v>
      </c>
      <c r="C4302" s="10" t="str">
        <f>"9781135091309"</f>
        <v>9781135091309</v>
      </c>
      <c r="D4302" s="10" t="s">
        <v>6350</v>
      </c>
      <c r="E4302" s="10" t="s">
        <v>6351</v>
      </c>
      <c r="F4302" s="10" t="s">
        <v>5406</v>
      </c>
      <c r="G4302" s="10" t="s">
        <v>6352</v>
      </c>
      <c r="H4302" s="11">
        <v>41236</v>
      </c>
      <c r="I4302" s="10">
        <v>2013</v>
      </c>
      <c r="J4302" s="10" t="s">
        <v>6353</v>
      </c>
      <c r="K4302" s="10">
        <v>271</v>
      </c>
      <c r="L4302" s="10" t="s">
        <v>24026</v>
      </c>
      <c r="M4302" s="10">
        <v>1</v>
      </c>
      <c r="N4302" s="10" t="s">
        <v>24027</v>
      </c>
      <c r="O4302" s="10"/>
      <c r="P4302" s="10" t="s">
        <v>24028</v>
      </c>
      <c r="Q4302" s="10">
        <v>370.96209045000001</v>
      </c>
      <c r="R4302" s="10" t="s">
        <v>24029</v>
      </c>
      <c r="S4302" s="10" t="s">
        <v>53</v>
      </c>
      <c r="T4302" s="10" t="s">
        <v>54</v>
      </c>
    </row>
    <row r="4303" spans="1:20" ht="14.5" x14ac:dyDescent="0.35">
      <c r="A4303" s="10" t="s">
        <v>24030</v>
      </c>
      <c r="B4303" s="10" t="str">
        <f>"9780415811095"</f>
        <v>9780415811095</v>
      </c>
      <c r="C4303" s="10" t="str">
        <f>"9781135091378"</f>
        <v>9781135091378</v>
      </c>
      <c r="D4303" s="10" t="s">
        <v>6350</v>
      </c>
      <c r="E4303" s="10" t="s">
        <v>6351</v>
      </c>
      <c r="F4303" s="10" t="s">
        <v>5406</v>
      </c>
      <c r="G4303" s="10" t="s">
        <v>6352</v>
      </c>
      <c r="H4303" s="11">
        <v>41236</v>
      </c>
      <c r="I4303" s="10">
        <v>2013</v>
      </c>
      <c r="J4303" s="10" t="s">
        <v>6353</v>
      </c>
      <c r="K4303" s="10">
        <v>177</v>
      </c>
      <c r="L4303" s="10" t="s">
        <v>24031</v>
      </c>
      <c r="M4303" s="10">
        <v>1</v>
      </c>
      <c r="N4303" s="10" t="s">
        <v>24027</v>
      </c>
      <c r="O4303" s="10"/>
      <c r="P4303" s="10" t="s">
        <v>24032</v>
      </c>
      <c r="Q4303" s="10">
        <v>370.96209040000002</v>
      </c>
      <c r="R4303" s="10" t="s">
        <v>24033</v>
      </c>
      <c r="S4303" s="10" t="s">
        <v>53</v>
      </c>
      <c r="T4303" s="10" t="s">
        <v>54</v>
      </c>
    </row>
    <row r="4304" spans="1:20" ht="14.5" x14ac:dyDescent="0.35">
      <c r="A4304" s="10" t="s">
        <v>24034</v>
      </c>
      <c r="B4304" s="10" t="str">
        <f>"9781412967174"</f>
        <v>9781412967174</v>
      </c>
      <c r="C4304" s="10" t="str">
        <f>"9781452215419"</f>
        <v>9781452215419</v>
      </c>
      <c r="D4304" s="10" t="s">
        <v>22210</v>
      </c>
      <c r="E4304" s="10" t="s">
        <v>22211</v>
      </c>
      <c r="F4304" s="10" t="s">
        <v>333</v>
      </c>
      <c r="G4304" s="10" t="s">
        <v>6317</v>
      </c>
      <c r="H4304" s="11">
        <v>39903</v>
      </c>
      <c r="I4304" s="10">
        <v>2009</v>
      </c>
      <c r="J4304" s="10" t="s">
        <v>22211</v>
      </c>
      <c r="K4304" s="10">
        <v>144</v>
      </c>
      <c r="L4304" s="10" t="s">
        <v>24035</v>
      </c>
      <c r="M4304" s="10">
        <v>1</v>
      </c>
      <c r="N4304" s="10"/>
      <c r="O4304" s="10"/>
      <c r="P4304" s="10"/>
      <c r="Q4304" s="10">
        <v>371.1</v>
      </c>
      <c r="R4304" s="10"/>
      <c r="S4304" s="10" t="s">
        <v>53</v>
      </c>
      <c r="T4304" s="10" t="s">
        <v>54</v>
      </c>
    </row>
    <row r="4305" spans="1:20" ht="14.5" x14ac:dyDescent="0.35">
      <c r="A4305" s="10" t="s">
        <v>24036</v>
      </c>
      <c r="B4305" s="10" t="str">
        <f>"9781412978088"</f>
        <v>9781412978088</v>
      </c>
      <c r="C4305" s="10" t="str">
        <f>"9781452215976"</f>
        <v>9781452215976</v>
      </c>
      <c r="D4305" s="10" t="s">
        <v>22210</v>
      </c>
      <c r="E4305" s="10" t="s">
        <v>22211</v>
      </c>
      <c r="F4305" s="10" t="s">
        <v>333</v>
      </c>
      <c r="G4305" s="10" t="s">
        <v>6317</v>
      </c>
      <c r="H4305" s="11">
        <v>40154</v>
      </c>
      <c r="I4305" s="10">
        <v>2010</v>
      </c>
      <c r="J4305" s="10" t="s">
        <v>22211</v>
      </c>
      <c r="K4305" s="10">
        <v>185</v>
      </c>
      <c r="L4305" s="10" t="s">
        <v>24037</v>
      </c>
      <c r="M4305" s="10">
        <v>1</v>
      </c>
      <c r="N4305" s="10"/>
      <c r="O4305" s="10"/>
      <c r="P4305" s="10" t="s">
        <v>24038</v>
      </c>
      <c r="Q4305" s="10"/>
      <c r="R4305" s="10"/>
      <c r="S4305" s="10" t="s">
        <v>53</v>
      </c>
      <c r="T4305" s="10" t="s">
        <v>54</v>
      </c>
    </row>
    <row r="4306" spans="1:20" ht="14.5" x14ac:dyDescent="0.35">
      <c r="A4306" s="10" t="s">
        <v>24039</v>
      </c>
      <c r="B4306" s="10" t="str">
        <f>"9781412974233"</f>
        <v>9781412974233</v>
      </c>
      <c r="C4306" s="10" t="str">
        <f>"9781452210308"</f>
        <v>9781452210308</v>
      </c>
      <c r="D4306" s="10" t="s">
        <v>22210</v>
      </c>
      <c r="E4306" s="10" t="s">
        <v>22211</v>
      </c>
      <c r="F4306" s="10" t="s">
        <v>333</v>
      </c>
      <c r="G4306" s="10" t="s">
        <v>6317</v>
      </c>
      <c r="H4306" s="11">
        <v>40184</v>
      </c>
      <c r="I4306" s="10">
        <v>2010</v>
      </c>
      <c r="J4306" s="10" t="s">
        <v>22211</v>
      </c>
      <c r="K4306" s="10">
        <v>185</v>
      </c>
      <c r="L4306" s="10" t="s">
        <v>24040</v>
      </c>
      <c r="M4306" s="10">
        <v>1</v>
      </c>
      <c r="N4306" s="10"/>
      <c r="O4306" s="10"/>
      <c r="P4306" s="10" t="s">
        <v>24041</v>
      </c>
      <c r="Q4306" s="10">
        <v>372.21</v>
      </c>
      <c r="R4306" s="10" t="s">
        <v>24042</v>
      </c>
      <c r="S4306" s="10" t="s">
        <v>53</v>
      </c>
      <c r="T4306" s="10" t="s">
        <v>54</v>
      </c>
    </row>
    <row r="4307" spans="1:20" ht="14.5" x14ac:dyDescent="0.35">
      <c r="A4307" s="10" t="s">
        <v>24043</v>
      </c>
      <c r="B4307" s="10" t="str">
        <f>"9781412968317"</f>
        <v>9781412968317</v>
      </c>
      <c r="C4307" s="10" t="str">
        <f>"9781452210568"</f>
        <v>9781452210568</v>
      </c>
      <c r="D4307" s="10" t="s">
        <v>22210</v>
      </c>
      <c r="E4307" s="10" t="s">
        <v>22211</v>
      </c>
      <c r="F4307" s="10" t="s">
        <v>333</v>
      </c>
      <c r="G4307" s="10" t="s">
        <v>6317</v>
      </c>
      <c r="H4307" s="11">
        <v>39826</v>
      </c>
      <c r="I4307" s="10">
        <v>2009</v>
      </c>
      <c r="J4307" s="10" t="s">
        <v>22211</v>
      </c>
      <c r="K4307" s="10">
        <v>201</v>
      </c>
      <c r="L4307" s="10" t="s">
        <v>24044</v>
      </c>
      <c r="M4307" s="10">
        <v>1</v>
      </c>
      <c r="N4307" s="10"/>
      <c r="O4307" s="10"/>
      <c r="P4307" s="10"/>
      <c r="Q4307" s="10"/>
      <c r="R4307" s="10"/>
      <c r="S4307" s="10" t="s">
        <v>53</v>
      </c>
      <c r="T4307" s="10" t="s">
        <v>54</v>
      </c>
    </row>
    <row r="4308" spans="1:20" ht="14.5" x14ac:dyDescent="0.35">
      <c r="A4308" s="10" t="s">
        <v>24045</v>
      </c>
      <c r="B4308" s="10" t="str">
        <f>"9781412959827"</f>
        <v>9781412959827</v>
      </c>
      <c r="C4308" s="10" t="str">
        <f>"9781452211077"</f>
        <v>9781452211077</v>
      </c>
      <c r="D4308" s="10" t="s">
        <v>22210</v>
      </c>
      <c r="E4308" s="10" t="s">
        <v>22211</v>
      </c>
      <c r="F4308" s="10" t="s">
        <v>333</v>
      </c>
      <c r="G4308" s="10" t="s">
        <v>6317</v>
      </c>
      <c r="H4308" s="11">
        <v>39827</v>
      </c>
      <c r="I4308" s="10">
        <v>2009</v>
      </c>
      <c r="J4308" s="10" t="s">
        <v>22211</v>
      </c>
      <c r="K4308" s="10">
        <v>217</v>
      </c>
      <c r="L4308" s="10" t="s">
        <v>24046</v>
      </c>
      <c r="M4308" s="10">
        <v>1</v>
      </c>
      <c r="N4308" s="10"/>
      <c r="O4308" s="10"/>
      <c r="P4308" s="10" t="s">
        <v>24047</v>
      </c>
      <c r="Q4308" s="10">
        <v>372.13028000000003</v>
      </c>
      <c r="R4308" s="10"/>
      <c r="S4308" s="10" t="s">
        <v>53</v>
      </c>
      <c r="T4308" s="10" t="s">
        <v>54</v>
      </c>
    </row>
    <row r="4309" spans="1:20" ht="14.5" x14ac:dyDescent="0.35">
      <c r="A4309" s="10" t="s">
        <v>24048</v>
      </c>
      <c r="B4309" s="10" t="str">
        <f>"9781412964883"</f>
        <v>9781412964883</v>
      </c>
      <c r="C4309" s="10" t="str">
        <f>"9781452209111"</f>
        <v>9781452209111</v>
      </c>
      <c r="D4309" s="10" t="s">
        <v>22210</v>
      </c>
      <c r="E4309" s="10" t="s">
        <v>22211</v>
      </c>
      <c r="F4309" s="10" t="s">
        <v>333</v>
      </c>
      <c r="G4309" s="10" t="s">
        <v>6317</v>
      </c>
      <c r="H4309" s="11">
        <v>39898</v>
      </c>
      <c r="I4309" s="10">
        <v>2009</v>
      </c>
      <c r="J4309" s="10" t="s">
        <v>22211</v>
      </c>
      <c r="K4309" s="10">
        <v>153</v>
      </c>
      <c r="L4309" s="10" t="s">
        <v>24049</v>
      </c>
      <c r="M4309" s="10">
        <v>1</v>
      </c>
      <c r="N4309" s="10"/>
      <c r="O4309" s="10"/>
      <c r="P4309" s="10" t="s">
        <v>24050</v>
      </c>
      <c r="Q4309" s="10"/>
      <c r="R4309" s="10"/>
      <c r="S4309" s="10" t="s">
        <v>53</v>
      </c>
      <c r="T4309" s="10" t="s">
        <v>54</v>
      </c>
    </row>
    <row r="4310" spans="1:20" ht="14.5" x14ac:dyDescent="0.35">
      <c r="A4310" s="10" t="s">
        <v>24051</v>
      </c>
      <c r="B4310" s="10" t="str">
        <f>"9781412966962"</f>
        <v>9781412966962</v>
      </c>
      <c r="C4310" s="10" t="str">
        <f>"9781452211510"</f>
        <v>9781452211510</v>
      </c>
      <c r="D4310" s="10" t="s">
        <v>22210</v>
      </c>
      <c r="E4310" s="10" t="s">
        <v>22211</v>
      </c>
      <c r="F4310" s="10" t="s">
        <v>333</v>
      </c>
      <c r="G4310" s="10" t="s">
        <v>6317</v>
      </c>
      <c r="H4310" s="11">
        <v>40036</v>
      </c>
      <c r="I4310" s="10">
        <v>2009</v>
      </c>
      <c r="J4310" s="10" t="s">
        <v>22211</v>
      </c>
      <c r="K4310" s="10">
        <v>217</v>
      </c>
      <c r="L4310" s="10" t="s">
        <v>24052</v>
      </c>
      <c r="M4310" s="10">
        <v>1</v>
      </c>
      <c r="N4310" s="10"/>
      <c r="O4310" s="10"/>
      <c r="P4310" s="10"/>
      <c r="Q4310" s="10"/>
      <c r="R4310" s="10"/>
      <c r="S4310" s="10" t="s">
        <v>53</v>
      </c>
      <c r="T4310" s="10" t="s">
        <v>54</v>
      </c>
    </row>
    <row r="4311" spans="1:20" ht="14.5" x14ac:dyDescent="0.35">
      <c r="A4311" s="10" t="s">
        <v>24053</v>
      </c>
      <c r="B4311" s="10" t="str">
        <f>"9781412968546"</f>
        <v>9781412968546</v>
      </c>
      <c r="C4311" s="10" t="str">
        <f>"9781452212616"</f>
        <v>9781452212616</v>
      </c>
      <c r="D4311" s="10" t="s">
        <v>22210</v>
      </c>
      <c r="E4311" s="10" t="s">
        <v>22211</v>
      </c>
      <c r="F4311" s="10" t="s">
        <v>333</v>
      </c>
      <c r="G4311" s="10" t="s">
        <v>6317</v>
      </c>
      <c r="H4311" s="11">
        <v>39863</v>
      </c>
      <c r="I4311" s="10">
        <v>2009</v>
      </c>
      <c r="J4311" s="10" t="s">
        <v>22211</v>
      </c>
      <c r="K4311" s="10">
        <v>297</v>
      </c>
      <c r="L4311" s="10" t="s">
        <v>24054</v>
      </c>
      <c r="M4311" s="10">
        <v>2</v>
      </c>
      <c r="N4311" s="10"/>
      <c r="O4311" s="10"/>
      <c r="P4311" s="10"/>
      <c r="Q4311" s="10" t="s">
        <v>6920</v>
      </c>
      <c r="R4311" s="10"/>
      <c r="S4311" s="10" t="s">
        <v>53</v>
      </c>
      <c r="T4311" s="10" t="s">
        <v>54</v>
      </c>
    </row>
    <row r="4312" spans="1:20" ht="14.5" x14ac:dyDescent="0.35">
      <c r="A4312" s="10" t="s">
        <v>24055</v>
      </c>
      <c r="B4312" s="10" t="str">
        <f>"9781412967020"</f>
        <v>9781412967020</v>
      </c>
      <c r="C4312" s="10" t="str">
        <f>"9781452213538"</f>
        <v>9781452213538</v>
      </c>
      <c r="D4312" s="10" t="s">
        <v>22210</v>
      </c>
      <c r="E4312" s="10" t="s">
        <v>22211</v>
      </c>
      <c r="F4312" s="10" t="s">
        <v>333</v>
      </c>
      <c r="G4312" s="10" t="s">
        <v>6317</v>
      </c>
      <c r="H4312" s="11">
        <v>39881</v>
      </c>
      <c r="I4312" s="10">
        <v>2009</v>
      </c>
      <c r="J4312" s="10" t="s">
        <v>22211</v>
      </c>
      <c r="K4312" s="10">
        <v>145</v>
      </c>
      <c r="L4312" s="10" t="s">
        <v>24056</v>
      </c>
      <c r="M4312" s="10">
        <v>1</v>
      </c>
      <c r="N4312" s="10"/>
      <c r="O4312" s="10"/>
      <c r="P4312" s="10"/>
      <c r="Q4312" s="10">
        <v>371.26</v>
      </c>
      <c r="R4312" s="10"/>
      <c r="S4312" s="10" t="s">
        <v>53</v>
      </c>
      <c r="T4312" s="10" t="s">
        <v>54</v>
      </c>
    </row>
    <row r="4313" spans="1:20" ht="14.5" x14ac:dyDescent="0.35">
      <c r="A4313" s="10" t="s">
        <v>24057</v>
      </c>
      <c r="B4313" s="10" t="str">
        <f>"9781412965675"</f>
        <v>9781412965675</v>
      </c>
      <c r="C4313" s="10" t="str">
        <f>"9781452213569"</f>
        <v>9781452213569</v>
      </c>
      <c r="D4313" s="10" t="s">
        <v>22210</v>
      </c>
      <c r="E4313" s="10" t="s">
        <v>22211</v>
      </c>
      <c r="F4313" s="10" t="s">
        <v>333</v>
      </c>
      <c r="G4313" s="10" t="s">
        <v>6317</v>
      </c>
      <c r="H4313" s="11">
        <v>40009</v>
      </c>
      <c r="I4313" s="10">
        <v>2009</v>
      </c>
      <c r="J4313" s="10" t="s">
        <v>22211</v>
      </c>
      <c r="K4313" s="10">
        <v>185</v>
      </c>
      <c r="L4313" s="10" t="s">
        <v>24058</v>
      </c>
      <c r="M4313" s="10">
        <v>1</v>
      </c>
      <c r="N4313" s="10"/>
      <c r="O4313" s="10"/>
      <c r="P4313" s="10" t="s">
        <v>24059</v>
      </c>
      <c r="Q4313" s="10" t="s">
        <v>23563</v>
      </c>
      <c r="R4313" s="10"/>
      <c r="S4313" s="10" t="s">
        <v>53</v>
      </c>
      <c r="T4313" s="10" t="s">
        <v>8760</v>
      </c>
    </row>
    <row r="4314" spans="1:20" ht="14.5" x14ac:dyDescent="0.35">
      <c r="A4314" s="10" t="s">
        <v>24060</v>
      </c>
      <c r="B4314" s="10" t="str">
        <f>"9781412971348"</f>
        <v>9781412971348</v>
      </c>
      <c r="C4314" s="10" t="str">
        <f>"9781452214023"</f>
        <v>9781452214023</v>
      </c>
      <c r="D4314" s="10" t="s">
        <v>22210</v>
      </c>
      <c r="E4314" s="10" t="s">
        <v>22211</v>
      </c>
      <c r="F4314" s="10" t="s">
        <v>333</v>
      </c>
      <c r="G4314" s="10" t="s">
        <v>6317</v>
      </c>
      <c r="H4314" s="11">
        <v>39946</v>
      </c>
      <c r="I4314" s="10">
        <v>2009</v>
      </c>
      <c r="J4314" s="10" t="s">
        <v>22211</v>
      </c>
      <c r="K4314" s="10">
        <v>137</v>
      </c>
      <c r="L4314" s="10" t="s">
        <v>24061</v>
      </c>
      <c r="M4314" s="10">
        <v>2</v>
      </c>
      <c r="N4314" s="10"/>
      <c r="O4314" s="10"/>
      <c r="P4314" s="10" t="s">
        <v>24062</v>
      </c>
      <c r="Q4314" s="10">
        <v>371.1</v>
      </c>
      <c r="R4314" s="10"/>
      <c r="S4314" s="10" t="s">
        <v>53</v>
      </c>
      <c r="T4314" s="10" t="s">
        <v>54</v>
      </c>
    </row>
    <row r="4315" spans="1:20" ht="14.5" x14ac:dyDescent="0.35">
      <c r="A4315" s="10" t="s">
        <v>24063</v>
      </c>
      <c r="B4315" s="10" t="str">
        <f>"9781412970013"</f>
        <v>9781412970013</v>
      </c>
      <c r="C4315" s="10" t="str">
        <f>"9781452214160"</f>
        <v>9781452214160</v>
      </c>
      <c r="D4315" s="10" t="s">
        <v>22210</v>
      </c>
      <c r="E4315" s="10" t="s">
        <v>22211</v>
      </c>
      <c r="F4315" s="10" t="s">
        <v>333</v>
      </c>
      <c r="G4315" s="10" t="s">
        <v>6317</v>
      </c>
      <c r="H4315" s="11">
        <v>39960</v>
      </c>
      <c r="I4315" s="10">
        <v>2009</v>
      </c>
      <c r="J4315" s="10" t="s">
        <v>22211</v>
      </c>
      <c r="K4315" s="10">
        <v>169</v>
      </c>
      <c r="L4315" s="10" t="s">
        <v>24064</v>
      </c>
      <c r="M4315" s="10">
        <v>1</v>
      </c>
      <c r="N4315" s="10"/>
      <c r="O4315" s="10"/>
      <c r="P4315" s="10" t="s">
        <v>24065</v>
      </c>
      <c r="Q4315" s="10">
        <v>373.11020000000002</v>
      </c>
      <c r="R4315" s="10"/>
      <c r="S4315" s="10" t="s">
        <v>53</v>
      </c>
      <c r="T4315" s="10" t="s">
        <v>54</v>
      </c>
    </row>
    <row r="4316" spans="1:20" ht="14.5" x14ac:dyDescent="0.35">
      <c r="A4316" s="10" t="s">
        <v>24066</v>
      </c>
      <c r="B4316" s="10" t="str">
        <f>"9781412968072"</f>
        <v>9781412968072</v>
      </c>
      <c r="C4316" s="10" t="str">
        <f>"9781452214726"</f>
        <v>9781452214726</v>
      </c>
      <c r="D4316" s="10" t="s">
        <v>22210</v>
      </c>
      <c r="E4316" s="10" t="s">
        <v>22211</v>
      </c>
      <c r="F4316" s="10" t="s">
        <v>333</v>
      </c>
      <c r="G4316" s="10" t="s">
        <v>6317</v>
      </c>
      <c r="H4316" s="11">
        <v>40289</v>
      </c>
      <c r="I4316" s="10">
        <v>2010</v>
      </c>
      <c r="J4316" s="10" t="s">
        <v>22211</v>
      </c>
      <c r="K4316" s="10">
        <v>201</v>
      </c>
      <c r="L4316" s="10" t="s">
        <v>24067</v>
      </c>
      <c r="M4316" s="10">
        <v>1</v>
      </c>
      <c r="N4316" s="10"/>
      <c r="O4316" s="10"/>
      <c r="P4316" s="10"/>
      <c r="Q4316" s="10"/>
      <c r="R4316" s="10"/>
      <c r="S4316" s="10" t="s">
        <v>53</v>
      </c>
      <c r="T4316" s="10" t="s">
        <v>54</v>
      </c>
    </row>
    <row r="4317" spans="1:20" ht="14.5" x14ac:dyDescent="0.35">
      <c r="A4317" s="10" t="s">
        <v>24068</v>
      </c>
      <c r="B4317" s="10" t="str">
        <f>"9781412963473"</f>
        <v>9781412963473</v>
      </c>
      <c r="C4317" s="10" t="str">
        <f>"9781452273990"</f>
        <v>9781452273990</v>
      </c>
      <c r="D4317" s="10" t="s">
        <v>22210</v>
      </c>
      <c r="E4317" s="10" t="s">
        <v>22211</v>
      </c>
      <c r="F4317" s="10" t="s">
        <v>333</v>
      </c>
      <c r="G4317" s="10" t="s">
        <v>6317</v>
      </c>
      <c r="H4317" s="11">
        <v>40154</v>
      </c>
      <c r="I4317" s="10">
        <v>2010</v>
      </c>
      <c r="J4317" s="10" t="s">
        <v>22211</v>
      </c>
      <c r="K4317" s="10">
        <v>249</v>
      </c>
      <c r="L4317" s="10" t="s">
        <v>24069</v>
      </c>
      <c r="M4317" s="10">
        <v>2</v>
      </c>
      <c r="N4317" s="10"/>
      <c r="O4317" s="10"/>
      <c r="P4317" s="10" t="s">
        <v>24070</v>
      </c>
      <c r="Q4317" s="10" t="s">
        <v>9954</v>
      </c>
      <c r="R4317" s="10"/>
      <c r="S4317" s="10" t="s">
        <v>53</v>
      </c>
      <c r="T4317" s="10" t="s">
        <v>54</v>
      </c>
    </row>
    <row r="4318" spans="1:20" ht="14.5" x14ac:dyDescent="0.35">
      <c r="A4318" s="10" t="s">
        <v>24071</v>
      </c>
      <c r="B4318" s="10" t="str">
        <f>"9781412971157"</f>
        <v>9781412971157</v>
      </c>
      <c r="C4318" s="10" t="str">
        <f>"9781452273846"</f>
        <v>9781452273846</v>
      </c>
      <c r="D4318" s="10" t="s">
        <v>22210</v>
      </c>
      <c r="E4318" s="10" t="s">
        <v>22211</v>
      </c>
      <c r="F4318" s="10" t="s">
        <v>333</v>
      </c>
      <c r="G4318" s="10" t="s">
        <v>6317</v>
      </c>
      <c r="H4318" s="11">
        <v>39954</v>
      </c>
      <c r="I4318" s="10">
        <v>2009</v>
      </c>
      <c r="J4318" s="10" t="s">
        <v>22211</v>
      </c>
      <c r="K4318" s="10">
        <v>177</v>
      </c>
      <c r="L4318" s="10" t="s">
        <v>24072</v>
      </c>
      <c r="M4318" s="10">
        <v>1</v>
      </c>
      <c r="N4318" s="10"/>
      <c r="O4318" s="10"/>
      <c r="P4318" s="10" t="s">
        <v>24073</v>
      </c>
      <c r="Q4318" s="10"/>
      <c r="R4318" s="10"/>
      <c r="S4318" s="10" t="s">
        <v>53</v>
      </c>
      <c r="T4318" s="10" t="s">
        <v>54</v>
      </c>
    </row>
    <row r="4319" spans="1:20" ht="14.5" x14ac:dyDescent="0.35">
      <c r="A4319" s="10" t="s">
        <v>24074</v>
      </c>
      <c r="B4319" s="10" t="str">
        <f>"9781412973861"</f>
        <v>9781412973861</v>
      </c>
      <c r="C4319" s="10" t="str">
        <f>"9781452274058"</f>
        <v>9781452274058</v>
      </c>
      <c r="D4319" s="10" t="s">
        <v>22210</v>
      </c>
      <c r="E4319" s="10" t="s">
        <v>22211</v>
      </c>
      <c r="F4319" s="10" t="s">
        <v>333</v>
      </c>
      <c r="G4319" s="10" t="s">
        <v>6317</v>
      </c>
      <c r="H4319" s="11">
        <v>40130</v>
      </c>
      <c r="I4319" s="10">
        <v>2010</v>
      </c>
      <c r="J4319" s="10" t="s">
        <v>22211</v>
      </c>
      <c r="K4319" s="10">
        <v>153</v>
      </c>
      <c r="L4319" s="10" t="s">
        <v>24075</v>
      </c>
      <c r="M4319" s="10">
        <v>1</v>
      </c>
      <c r="N4319" s="10"/>
      <c r="O4319" s="10"/>
      <c r="P4319" s="10" t="s">
        <v>24076</v>
      </c>
      <c r="Q4319" s="10" t="s">
        <v>24077</v>
      </c>
      <c r="R4319" s="10"/>
      <c r="S4319" s="10" t="s">
        <v>53</v>
      </c>
      <c r="T4319" s="10" t="s">
        <v>54</v>
      </c>
    </row>
    <row r="4320" spans="1:20" ht="14.5" x14ac:dyDescent="0.35">
      <c r="A4320" s="10" t="s">
        <v>24078</v>
      </c>
      <c r="B4320" s="10" t="str">
        <f>"9781412968140"</f>
        <v>9781412968140</v>
      </c>
      <c r="C4320" s="10" t="str">
        <f>"9781452214993"</f>
        <v>9781452214993</v>
      </c>
      <c r="D4320" s="10" t="s">
        <v>22210</v>
      </c>
      <c r="E4320" s="10" t="s">
        <v>22211</v>
      </c>
      <c r="F4320" s="10" t="s">
        <v>333</v>
      </c>
      <c r="G4320" s="10" t="s">
        <v>6317</v>
      </c>
      <c r="H4320" s="11">
        <v>40078</v>
      </c>
      <c r="I4320" s="10">
        <v>2009</v>
      </c>
      <c r="J4320" s="10" t="s">
        <v>22211</v>
      </c>
      <c r="K4320" s="10">
        <v>249</v>
      </c>
      <c r="L4320" s="10" t="s">
        <v>24079</v>
      </c>
      <c r="M4320" s="10">
        <v>1</v>
      </c>
      <c r="N4320" s="10"/>
      <c r="O4320" s="10"/>
      <c r="P4320" s="10" t="s">
        <v>24080</v>
      </c>
      <c r="Q4320" s="10">
        <v>372.21</v>
      </c>
      <c r="R4320" s="10"/>
      <c r="S4320" s="10" t="s">
        <v>53</v>
      </c>
      <c r="T4320" s="10" t="s">
        <v>54</v>
      </c>
    </row>
    <row r="4321" spans="1:20" ht="14.5" x14ac:dyDescent="0.35">
      <c r="A4321" s="10" t="s">
        <v>24081</v>
      </c>
      <c r="B4321" s="10" t="str">
        <f>"9781412972192"</f>
        <v>9781412972192</v>
      </c>
      <c r="C4321" s="10" t="str">
        <f>"9781452213507"</f>
        <v>9781452213507</v>
      </c>
      <c r="D4321" s="10" t="s">
        <v>22210</v>
      </c>
      <c r="E4321" s="10" t="s">
        <v>22211</v>
      </c>
      <c r="F4321" s="10" t="s">
        <v>333</v>
      </c>
      <c r="G4321" s="10" t="s">
        <v>6317</v>
      </c>
      <c r="H4321" s="11">
        <v>40087</v>
      </c>
      <c r="I4321" s="10">
        <v>2009</v>
      </c>
      <c r="J4321" s="10" t="s">
        <v>22211</v>
      </c>
      <c r="K4321" s="10">
        <v>129</v>
      </c>
      <c r="L4321" s="10" t="s">
        <v>24082</v>
      </c>
      <c r="M4321" s="10">
        <v>1</v>
      </c>
      <c r="N4321" s="10"/>
      <c r="O4321" s="10"/>
      <c r="P4321" s="10" t="s">
        <v>24083</v>
      </c>
      <c r="Q4321" s="10"/>
      <c r="R4321" s="10"/>
      <c r="S4321" s="10" t="s">
        <v>53</v>
      </c>
      <c r="T4321" s="10" t="s">
        <v>54</v>
      </c>
    </row>
    <row r="4322" spans="1:20" ht="14.5" x14ac:dyDescent="0.35">
      <c r="A4322" s="10" t="s">
        <v>24084</v>
      </c>
      <c r="B4322" s="10" t="str">
        <f>"9781412964470"</f>
        <v>9781412964470</v>
      </c>
      <c r="C4322" s="10" t="str">
        <f>"9781452215549"</f>
        <v>9781452215549</v>
      </c>
      <c r="D4322" s="10" t="s">
        <v>22210</v>
      </c>
      <c r="E4322" s="10" t="s">
        <v>22211</v>
      </c>
      <c r="F4322" s="10" t="s">
        <v>333</v>
      </c>
      <c r="G4322" s="10" t="s">
        <v>6317</v>
      </c>
      <c r="H4322" s="11">
        <v>40024</v>
      </c>
      <c r="I4322" s="10">
        <v>2009</v>
      </c>
      <c r="J4322" s="10" t="s">
        <v>22211</v>
      </c>
      <c r="K4322" s="10">
        <v>177</v>
      </c>
      <c r="L4322" s="10" t="s">
        <v>24085</v>
      </c>
      <c r="M4322" s="10">
        <v>1</v>
      </c>
      <c r="N4322" s="10"/>
      <c r="O4322" s="10"/>
      <c r="P4322" s="10" t="s">
        <v>24086</v>
      </c>
      <c r="Q4322" s="10"/>
      <c r="R4322" s="10"/>
      <c r="S4322" s="10" t="s">
        <v>53</v>
      </c>
      <c r="T4322" s="10" t="s">
        <v>54</v>
      </c>
    </row>
    <row r="4323" spans="1:20" ht="14.5" x14ac:dyDescent="0.35">
      <c r="A4323" s="10" t="s">
        <v>24087</v>
      </c>
      <c r="B4323" s="10" t="str">
        <f>"9781412971423"</f>
        <v>9781412971423</v>
      </c>
      <c r="C4323" s="10" t="str">
        <f>"9781452209821"</f>
        <v>9781452209821</v>
      </c>
      <c r="D4323" s="10" t="s">
        <v>22210</v>
      </c>
      <c r="E4323" s="10" t="s">
        <v>22211</v>
      </c>
      <c r="F4323" s="10" t="s">
        <v>333</v>
      </c>
      <c r="G4323" s="10" t="s">
        <v>6317</v>
      </c>
      <c r="H4323" s="11">
        <v>40246</v>
      </c>
      <c r="I4323" s="10">
        <v>2010</v>
      </c>
      <c r="J4323" s="10" t="s">
        <v>22211</v>
      </c>
      <c r="K4323" s="10">
        <v>209</v>
      </c>
      <c r="L4323" s="10" t="s">
        <v>23190</v>
      </c>
      <c r="M4323" s="10">
        <v>1</v>
      </c>
      <c r="N4323" s="10"/>
      <c r="O4323" s="10"/>
      <c r="P4323" s="10" t="s">
        <v>24088</v>
      </c>
      <c r="Q4323" s="10" t="s">
        <v>24089</v>
      </c>
      <c r="R4323" s="10"/>
      <c r="S4323" s="10" t="s">
        <v>53</v>
      </c>
      <c r="T4323" s="10" t="s">
        <v>54</v>
      </c>
    </row>
    <row r="4324" spans="1:20" ht="14.5" x14ac:dyDescent="0.35">
      <c r="A4324" s="10" t="s">
        <v>24090</v>
      </c>
      <c r="B4324" s="10" t="str">
        <f>"9781412972598"</f>
        <v>9781412972598</v>
      </c>
      <c r="C4324" s="10" t="str">
        <f>"9781452210711"</f>
        <v>9781452210711</v>
      </c>
      <c r="D4324" s="10" t="s">
        <v>22210</v>
      </c>
      <c r="E4324" s="10" t="s">
        <v>22211</v>
      </c>
      <c r="F4324" s="10" t="s">
        <v>333</v>
      </c>
      <c r="G4324" s="10" t="s">
        <v>6317</v>
      </c>
      <c r="H4324" s="11">
        <v>40133</v>
      </c>
      <c r="I4324" s="10">
        <v>2010</v>
      </c>
      <c r="J4324" s="10" t="s">
        <v>22211</v>
      </c>
      <c r="K4324" s="10">
        <v>201</v>
      </c>
      <c r="L4324" s="10" t="s">
        <v>24091</v>
      </c>
      <c r="M4324" s="10">
        <v>1</v>
      </c>
      <c r="N4324" s="10"/>
      <c r="O4324" s="10"/>
      <c r="P4324" s="10" t="s">
        <v>24092</v>
      </c>
      <c r="Q4324" s="10">
        <v>371.82100000000003</v>
      </c>
      <c r="R4324" s="10"/>
      <c r="S4324" s="10" t="s">
        <v>53</v>
      </c>
      <c r="T4324" s="10" t="s">
        <v>54</v>
      </c>
    </row>
    <row r="4325" spans="1:20" ht="14.5" x14ac:dyDescent="0.35">
      <c r="A4325" s="10" t="s">
        <v>24093</v>
      </c>
      <c r="B4325" s="10" t="str">
        <f>"9781412972475"</f>
        <v>9781412972475</v>
      </c>
      <c r="C4325" s="10" t="str">
        <f>"9781452210742"</f>
        <v>9781452210742</v>
      </c>
      <c r="D4325" s="10" t="s">
        <v>22210</v>
      </c>
      <c r="E4325" s="10" t="s">
        <v>22211</v>
      </c>
      <c r="F4325" s="10" t="s">
        <v>333</v>
      </c>
      <c r="G4325" s="10" t="s">
        <v>6317</v>
      </c>
      <c r="H4325" s="11">
        <v>40130</v>
      </c>
      <c r="I4325" s="10">
        <v>2010</v>
      </c>
      <c r="J4325" s="10" t="s">
        <v>22211</v>
      </c>
      <c r="K4325" s="10">
        <v>153</v>
      </c>
      <c r="L4325" s="10" t="s">
        <v>24094</v>
      </c>
      <c r="M4325" s="10">
        <v>1</v>
      </c>
      <c r="N4325" s="10"/>
      <c r="O4325" s="10"/>
      <c r="P4325" s="10" t="s">
        <v>24095</v>
      </c>
      <c r="Q4325" s="10" t="s">
        <v>10031</v>
      </c>
      <c r="R4325" s="10"/>
      <c r="S4325" s="10" t="s">
        <v>53</v>
      </c>
      <c r="T4325" s="10" t="s">
        <v>54</v>
      </c>
    </row>
    <row r="4326" spans="1:20" ht="14.5" x14ac:dyDescent="0.35">
      <c r="A4326" s="10" t="s">
        <v>24096</v>
      </c>
      <c r="B4326" s="10" t="str">
        <f>"9781412972215"</f>
        <v>9781412972215</v>
      </c>
      <c r="C4326" s="10" t="str">
        <f>"9781452211541"</f>
        <v>9781452211541</v>
      </c>
      <c r="D4326" s="10" t="s">
        <v>22210</v>
      </c>
      <c r="E4326" s="10" t="s">
        <v>22211</v>
      </c>
      <c r="F4326" s="10" t="s">
        <v>333</v>
      </c>
      <c r="G4326" s="10" t="s">
        <v>6317</v>
      </c>
      <c r="H4326" s="11">
        <v>39981</v>
      </c>
      <c r="I4326" s="10">
        <v>2009</v>
      </c>
      <c r="J4326" s="10" t="s">
        <v>22211</v>
      </c>
      <c r="K4326" s="10">
        <v>177</v>
      </c>
      <c r="L4326" s="10" t="s">
        <v>24097</v>
      </c>
      <c r="M4326" s="10">
        <v>1</v>
      </c>
      <c r="N4326" s="10"/>
      <c r="O4326" s="10"/>
      <c r="P4326" s="10" t="s">
        <v>24098</v>
      </c>
      <c r="Q4326" s="10" t="s">
        <v>24099</v>
      </c>
      <c r="R4326" s="10"/>
      <c r="S4326" s="10" t="s">
        <v>53</v>
      </c>
      <c r="T4326" s="10" t="s">
        <v>7193</v>
      </c>
    </row>
    <row r="4327" spans="1:20" ht="14.5" x14ac:dyDescent="0.35">
      <c r="A4327" s="10" t="s">
        <v>24100</v>
      </c>
      <c r="B4327" s="10" t="str">
        <f>"9781412966429"</f>
        <v>9781412966429</v>
      </c>
      <c r="C4327" s="10" t="str">
        <f>"9781452211725"</f>
        <v>9781452211725</v>
      </c>
      <c r="D4327" s="10" t="s">
        <v>22210</v>
      </c>
      <c r="E4327" s="10" t="s">
        <v>22211</v>
      </c>
      <c r="F4327" s="10" t="s">
        <v>333</v>
      </c>
      <c r="G4327" s="10" t="s">
        <v>6317</v>
      </c>
      <c r="H4327" s="11">
        <v>40087</v>
      </c>
      <c r="I4327" s="10">
        <v>2009</v>
      </c>
      <c r="J4327" s="10" t="s">
        <v>22211</v>
      </c>
      <c r="K4327" s="10">
        <v>177</v>
      </c>
      <c r="L4327" s="10" t="s">
        <v>24101</v>
      </c>
      <c r="M4327" s="10">
        <v>1</v>
      </c>
      <c r="N4327" s="10"/>
      <c r="O4327" s="10"/>
      <c r="P4327" s="10" t="s">
        <v>24102</v>
      </c>
      <c r="Q4327" s="10">
        <v>371.27100000000002</v>
      </c>
      <c r="R4327" s="10"/>
      <c r="S4327" s="10" t="s">
        <v>53</v>
      </c>
      <c r="T4327" s="10" t="s">
        <v>54</v>
      </c>
    </row>
    <row r="4328" spans="1:20" ht="14.5" x14ac:dyDescent="0.35">
      <c r="A4328" s="10" t="s">
        <v>24103</v>
      </c>
      <c r="B4328" s="10" t="str">
        <f>"9781412974196"</f>
        <v>9781412974196</v>
      </c>
      <c r="C4328" s="10" t="str">
        <f>"9781452211909"</f>
        <v>9781452211909</v>
      </c>
      <c r="D4328" s="10" t="s">
        <v>22210</v>
      </c>
      <c r="E4328" s="10" t="s">
        <v>22211</v>
      </c>
      <c r="F4328" s="10" t="s">
        <v>333</v>
      </c>
      <c r="G4328" s="10" t="s">
        <v>6317</v>
      </c>
      <c r="H4328" s="11">
        <v>40357</v>
      </c>
      <c r="I4328" s="10">
        <v>2010</v>
      </c>
      <c r="J4328" s="10" t="s">
        <v>22211</v>
      </c>
      <c r="K4328" s="10">
        <v>201</v>
      </c>
      <c r="L4328" s="10" t="s">
        <v>24104</v>
      </c>
      <c r="M4328" s="10">
        <v>1</v>
      </c>
      <c r="N4328" s="10"/>
      <c r="O4328" s="10"/>
      <c r="P4328" s="10" t="s">
        <v>24105</v>
      </c>
      <c r="Q4328" s="10"/>
      <c r="R4328" s="10"/>
      <c r="S4328" s="10" t="s">
        <v>53</v>
      </c>
      <c r="T4328" s="10" t="s">
        <v>54</v>
      </c>
    </row>
    <row r="4329" spans="1:20" ht="14.5" x14ac:dyDescent="0.35">
      <c r="A4329" s="10" t="s">
        <v>24106</v>
      </c>
      <c r="B4329" s="10" t="str">
        <f>"9781412979863"</f>
        <v>9781412979863</v>
      </c>
      <c r="C4329" s="10" t="str">
        <f>"9781452212104"</f>
        <v>9781452212104</v>
      </c>
      <c r="D4329" s="10" t="s">
        <v>22210</v>
      </c>
      <c r="E4329" s="10" t="s">
        <v>22211</v>
      </c>
      <c r="F4329" s="10" t="s">
        <v>333</v>
      </c>
      <c r="G4329" s="10" t="s">
        <v>6317</v>
      </c>
      <c r="H4329" s="11">
        <v>40212</v>
      </c>
      <c r="I4329" s="10">
        <v>2010</v>
      </c>
      <c r="J4329" s="10" t="s">
        <v>22211</v>
      </c>
      <c r="K4329" s="10">
        <v>185</v>
      </c>
      <c r="L4329" s="10" t="s">
        <v>24107</v>
      </c>
      <c r="M4329" s="10">
        <v>1</v>
      </c>
      <c r="N4329" s="10"/>
      <c r="O4329" s="10"/>
      <c r="P4329" s="10" t="s">
        <v>24108</v>
      </c>
      <c r="Q4329" s="10"/>
      <c r="R4329" s="10"/>
      <c r="S4329" s="10" t="s">
        <v>53</v>
      </c>
      <c r="T4329" s="10" t="s">
        <v>54</v>
      </c>
    </row>
    <row r="4330" spans="1:20" ht="14.5" x14ac:dyDescent="0.35">
      <c r="A4330" s="10" t="s">
        <v>24109</v>
      </c>
      <c r="B4330" s="10" t="str">
        <f>"9781412971577"</f>
        <v>9781412971577</v>
      </c>
      <c r="C4330" s="10" t="str">
        <f>"9781452212661"</f>
        <v>9781452212661</v>
      </c>
      <c r="D4330" s="10" t="s">
        <v>22210</v>
      </c>
      <c r="E4330" s="10" t="s">
        <v>22211</v>
      </c>
      <c r="F4330" s="10" t="s">
        <v>333</v>
      </c>
      <c r="G4330" s="10" t="s">
        <v>6317</v>
      </c>
      <c r="H4330" s="11">
        <v>40141</v>
      </c>
      <c r="I4330" s="10">
        <v>2010</v>
      </c>
      <c r="J4330" s="10" t="s">
        <v>22211</v>
      </c>
      <c r="K4330" s="10">
        <v>257</v>
      </c>
      <c r="L4330" s="10" t="s">
        <v>24110</v>
      </c>
      <c r="M4330" s="10">
        <v>2</v>
      </c>
      <c r="N4330" s="10"/>
      <c r="O4330" s="10"/>
      <c r="P4330" s="10" t="s">
        <v>24111</v>
      </c>
      <c r="Q4330" s="10" t="s">
        <v>6942</v>
      </c>
      <c r="R4330" s="10"/>
      <c r="S4330" s="10" t="s">
        <v>53</v>
      </c>
      <c r="T4330" s="10" t="s">
        <v>54</v>
      </c>
    </row>
    <row r="4331" spans="1:20" ht="14.5" x14ac:dyDescent="0.35">
      <c r="A4331" s="10" t="s">
        <v>24112</v>
      </c>
      <c r="B4331" s="10" t="str">
        <f>"9781412969444"</f>
        <v>9781412969444</v>
      </c>
      <c r="C4331" s="10" t="str">
        <f>"9781452212838"</f>
        <v>9781452212838</v>
      </c>
      <c r="D4331" s="10" t="s">
        <v>22210</v>
      </c>
      <c r="E4331" s="10" t="s">
        <v>22211</v>
      </c>
      <c r="F4331" s="10" t="s">
        <v>333</v>
      </c>
      <c r="G4331" s="10" t="s">
        <v>6317</v>
      </c>
      <c r="H4331" s="11">
        <v>39917</v>
      </c>
      <c r="I4331" s="10">
        <v>2009</v>
      </c>
      <c r="J4331" s="10" t="s">
        <v>22211</v>
      </c>
      <c r="K4331" s="10">
        <v>185</v>
      </c>
      <c r="L4331" s="10" t="s">
        <v>24113</v>
      </c>
      <c r="M4331" s="10">
        <v>1</v>
      </c>
      <c r="N4331" s="10"/>
      <c r="O4331" s="10"/>
      <c r="P4331" s="10"/>
      <c r="Q4331" s="10" t="s">
        <v>9954</v>
      </c>
      <c r="R4331" s="10"/>
      <c r="S4331" s="10" t="s">
        <v>53</v>
      </c>
      <c r="T4331" s="10" t="s">
        <v>54</v>
      </c>
    </row>
    <row r="4332" spans="1:20" ht="14.5" x14ac:dyDescent="0.35">
      <c r="A4332" s="10" t="s">
        <v>24114</v>
      </c>
      <c r="B4332" s="10" t="str">
        <f>"9781412969932"</f>
        <v>9781412969932</v>
      </c>
      <c r="C4332" s="10" t="str">
        <f>"9781452273860"</f>
        <v>9781452273860</v>
      </c>
      <c r="D4332" s="10" t="s">
        <v>22210</v>
      </c>
      <c r="E4332" s="10" t="s">
        <v>22211</v>
      </c>
      <c r="F4332" s="10" t="s">
        <v>333</v>
      </c>
      <c r="G4332" s="10" t="s">
        <v>6317</v>
      </c>
      <c r="H4332" s="11">
        <v>40087</v>
      </c>
      <c r="I4332" s="10">
        <v>2009</v>
      </c>
      <c r="J4332" s="10" t="s">
        <v>22211</v>
      </c>
      <c r="K4332" s="10">
        <v>217</v>
      </c>
      <c r="L4332" s="10" t="s">
        <v>24115</v>
      </c>
      <c r="M4332" s="10">
        <v>2</v>
      </c>
      <c r="N4332" s="10"/>
      <c r="O4332" s="10"/>
      <c r="P4332" s="10" t="s">
        <v>24116</v>
      </c>
      <c r="Q4332" s="10">
        <v>507.1</v>
      </c>
      <c r="R4332" s="10"/>
      <c r="S4332" s="10" t="s">
        <v>53</v>
      </c>
      <c r="T4332" s="10" t="s">
        <v>10979</v>
      </c>
    </row>
    <row r="4333" spans="1:20" ht="14.5" x14ac:dyDescent="0.35">
      <c r="A4333" s="10" t="s">
        <v>24117</v>
      </c>
      <c r="B4333" s="10" t="str">
        <f>"9781412975551"</f>
        <v>9781412975551</v>
      </c>
      <c r="C4333" s="10" t="str">
        <f>"9781452273969"</f>
        <v>9781452273969</v>
      </c>
      <c r="D4333" s="10" t="s">
        <v>22210</v>
      </c>
      <c r="E4333" s="10" t="s">
        <v>22211</v>
      </c>
      <c r="F4333" s="10" t="s">
        <v>333</v>
      </c>
      <c r="G4333" s="10" t="s">
        <v>6317</v>
      </c>
      <c r="H4333" s="11">
        <v>40101</v>
      </c>
      <c r="I4333" s="10">
        <v>2010</v>
      </c>
      <c r="J4333" s="10" t="s">
        <v>22211</v>
      </c>
      <c r="K4333" s="10">
        <v>281</v>
      </c>
      <c r="L4333" s="10" t="s">
        <v>23170</v>
      </c>
      <c r="M4333" s="10">
        <v>2</v>
      </c>
      <c r="N4333" s="10"/>
      <c r="O4333" s="10"/>
      <c r="P4333" s="10" t="s">
        <v>24118</v>
      </c>
      <c r="Q4333" s="10">
        <v>372.13940000000002</v>
      </c>
      <c r="R4333" s="10" t="s">
        <v>24119</v>
      </c>
      <c r="S4333" s="10" t="s">
        <v>53</v>
      </c>
      <c r="T4333" s="10" t="s">
        <v>54</v>
      </c>
    </row>
    <row r="4334" spans="1:20" ht="14.5" x14ac:dyDescent="0.35">
      <c r="A4334" s="10" t="s">
        <v>24120</v>
      </c>
      <c r="B4334" s="10" t="str">
        <f>"9780415892384"</f>
        <v>9780415892384</v>
      </c>
      <c r="C4334" s="10" t="str">
        <f>"9781136699313"</f>
        <v>9781136699313</v>
      </c>
      <c r="D4334" s="10" t="s">
        <v>6350</v>
      </c>
      <c r="E4334" s="10" t="s">
        <v>6351</v>
      </c>
      <c r="F4334" s="10" t="s">
        <v>139</v>
      </c>
      <c r="G4334" s="10" t="s">
        <v>6352</v>
      </c>
      <c r="H4334" s="11">
        <v>41260</v>
      </c>
      <c r="I4334" s="10">
        <v>2012</v>
      </c>
      <c r="J4334" s="10" t="s">
        <v>6353</v>
      </c>
      <c r="K4334" s="10">
        <v>577</v>
      </c>
      <c r="L4334" s="10" t="s">
        <v>24121</v>
      </c>
      <c r="M4334" s="10">
        <v>1</v>
      </c>
      <c r="N4334" s="10"/>
      <c r="O4334" s="10"/>
      <c r="P4334" s="10" t="s">
        <v>24122</v>
      </c>
      <c r="Q4334" s="10">
        <v>333.70710000000003</v>
      </c>
      <c r="R4334" s="10" t="s">
        <v>24123</v>
      </c>
      <c r="S4334" s="10" t="s">
        <v>53</v>
      </c>
      <c r="T4334" s="10" t="s">
        <v>15960</v>
      </c>
    </row>
    <row r="4335" spans="1:20" ht="14.5" x14ac:dyDescent="0.35">
      <c r="A4335" s="10" t="s">
        <v>24124</v>
      </c>
      <c r="B4335" s="10" t="str">
        <f>"9780415505024"</f>
        <v>9780415505024</v>
      </c>
      <c r="C4335" s="10" t="str">
        <f>"9781135127374"</f>
        <v>9781135127374</v>
      </c>
      <c r="D4335" s="10" t="s">
        <v>6350</v>
      </c>
      <c r="E4335" s="10" t="s">
        <v>6351</v>
      </c>
      <c r="F4335" s="10" t="s">
        <v>139</v>
      </c>
      <c r="G4335" s="10" t="s">
        <v>6352</v>
      </c>
      <c r="H4335" s="11">
        <v>41334</v>
      </c>
      <c r="I4335" s="10">
        <v>2013</v>
      </c>
      <c r="J4335" s="10" t="s">
        <v>6353</v>
      </c>
      <c r="K4335" s="10">
        <v>185</v>
      </c>
      <c r="L4335" s="10" t="s">
        <v>24125</v>
      </c>
      <c r="M4335" s="10">
        <v>1</v>
      </c>
      <c r="N4335" s="10" t="s">
        <v>24126</v>
      </c>
      <c r="O4335" s="10"/>
      <c r="P4335" s="10" t="s">
        <v>24127</v>
      </c>
      <c r="Q4335" s="10">
        <v>371.58</v>
      </c>
      <c r="R4335" s="10" t="s">
        <v>24128</v>
      </c>
      <c r="S4335" s="10" t="s">
        <v>53</v>
      </c>
      <c r="T4335" s="10" t="s">
        <v>54</v>
      </c>
    </row>
    <row r="4336" spans="1:20" ht="14.5" x14ac:dyDescent="0.35">
      <c r="A4336" s="10" t="s">
        <v>24129</v>
      </c>
      <c r="B4336" s="10" t="str">
        <f>"9781452203928"</f>
        <v>9781452203928</v>
      </c>
      <c r="C4336" s="10" t="str">
        <f>"9781452283968"</f>
        <v>9781452283968</v>
      </c>
      <c r="D4336" s="10" t="s">
        <v>22210</v>
      </c>
      <c r="E4336" s="10" t="s">
        <v>22211</v>
      </c>
      <c r="F4336" s="10" t="s">
        <v>333</v>
      </c>
      <c r="G4336" s="10" t="s">
        <v>6317</v>
      </c>
      <c r="H4336" s="11">
        <v>41030</v>
      </c>
      <c r="I4336" s="10">
        <v>2012</v>
      </c>
      <c r="J4336" s="10" t="s">
        <v>22211</v>
      </c>
      <c r="K4336" s="10">
        <v>185</v>
      </c>
      <c r="L4336" s="10" t="s">
        <v>24130</v>
      </c>
      <c r="M4336" s="10">
        <v>1</v>
      </c>
      <c r="N4336" s="10"/>
      <c r="O4336" s="10"/>
      <c r="P4336" s="10" t="s">
        <v>24131</v>
      </c>
      <c r="Q4336" s="10">
        <v>379.15800000000002</v>
      </c>
      <c r="R4336" s="10"/>
      <c r="S4336" s="10" t="s">
        <v>53</v>
      </c>
      <c r="T4336" s="10" t="s">
        <v>54</v>
      </c>
    </row>
    <row r="4337" spans="1:20" ht="14.5" x14ac:dyDescent="0.35">
      <c r="A4337" s="10" t="s">
        <v>24132</v>
      </c>
      <c r="B4337" s="10" t="str">
        <f>"9781412999045"</f>
        <v>9781412999045</v>
      </c>
      <c r="C4337" s="10" t="str">
        <f>"9781452279909"</f>
        <v>9781452279909</v>
      </c>
      <c r="D4337" s="10" t="s">
        <v>22210</v>
      </c>
      <c r="E4337" s="10" t="s">
        <v>22211</v>
      </c>
      <c r="F4337" s="10" t="s">
        <v>333</v>
      </c>
      <c r="G4337" s="10" t="s">
        <v>6317</v>
      </c>
      <c r="H4337" s="11">
        <v>41016</v>
      </c>
      <c r="I4337" s="10">
        <v>2012</v>
      </c>
      <c r="J4337" s="10" t="s">
        <v>22211</v>
      </c>
      <c r="K4337" s="10">
        <v>169</v>
      </c>
      <c r="L4337" s="10" t="s">
        <v>24133</v>
      </c>
      <c r="M4337" s="10">
        <v>1</v>
      </c>
      <c r="N4337" s="10"/>
      <c r="O4337" s="10"/>
      <c r="P4337" s="10" t="s">
        <v>24134</v>
      </c>
      <c r="Q4337" s="10"/>
      <c r="R4337" s="10" t="s">
        <v>24135</v>
      </c>
      <c r="S4337" s="10" t="s">
        <v>53</v>
      </c>
      <c r="T4337" s="10" t="s">
        <v>389</v>
      </c>
    </row>
    <row r="4338" spans="1:20" ht="14.5" x14ac:dyDescent="0.35">
      <c r="A4338" s="10" t="s">
        <v>24136</v>
      </c>
      <c r="B4338" s="10" t="str">
        <f>"9781452226231"</f>
        <v>9781452226231</v>
      </c>
      <c r="C4338" s="10" t="str">
        <f>"9781452277400"</f>
        <v>9781452277400</v>
      </c>
      <c r="D4338" s="10" t="s">
        <v>22210</v>
      </c>
      <c r="E4338" s="10" t="s">
        <v>22211</v>
      </c>
      <c r="F4338" s="10" t="s">
        <v>333</v>
      </c>
      <c r="G4338" s="10" t="s">
        <v>6317</v>
      </c>
      <c r="H4338" s="11">
        <v>40981</v>
      </c>
      <c r="I4338" s="10">
        <v>2012</v>
      </c>
      <c r="J4338" s="10" t="s">
        <v>22211</v>
      </c>
      <c r="K4338" s="10">
        <v>193</v>
      </c>
      <c r="L4338" s="10" t="s">
        <v>12848</v>
      </c>
      <c r="M4338" s="10">
        <v>1</v>
      </c>
      <c r="N4338" s="10"/>
      <c r="O4338" s="10"/>
      <c r="P4338" s="10"/>
      <c r="Q4338" s="10" t="s">
        <v>24137</v>
      </c>
      <c r="R4338" s="10"/>
      <c r="S4338" s="10" t="s">
        <v>53</v>
      </c>
      <c r="T4338" s="10" t="s">
        <v>54</v>
      </c>
    </row>
    <row r="4339" spans="1:20" ht="14.5" x14ac:dyDescent="0.35">
      <c r="A4339" s="10" t="s">
        <v>24138</v>
      </c>
      <c r="B4339" s="10" t="str">
        <f>"9781452205786"</f>
        <v>9781452205786</v>
      </c>
      <c r="C4339" s="10" t="str">
        <f>"9781452279572"</f>
        <v>9781452279572</v>
      </c>
      <c r="D4339" s="10" t="s">
        <v>22210</v>
      </c>
      <c r="E4339" s="10" t="s">
        <v>22211</v>
      </c>
      <c r="F4339" s="10" t="s">
        <v>333</v>
      </c>
      <c r="G4339" s="10" t="s">
        <v>6317</v>
      </c>
      <c r="H4339" s="11">
        <v>40925</v>
      </c>
      <c r="I4339" s="10">
        <v>2012</v>
      </c>
      <c r="J4339" s="10" t="s">
        <v>22211</v>
      </c>
      <c r="K4339" s="10">
        <v>185</v>
      </c>
      <c r="L4339" s="10" t="s">
        <v>24139</v>
      </c>
      <c r="M4339" s="10">
        <v>1</v>
      </c>
      <c r="N4339" s="10"/>
      <c r="O4339" s="10"/>
      <c r="P4339" s="10" t="s">
        <v>24140</v>
      </c>
      <c r="Q4339" s="10">
        <v>371.10239999999999</v>
      </c>
      <c r="R4339" s="10" t="s">
        <v>24141</v>
      </c>
      <c r="S4339" s="10" t="s">
        <v>53</v>
      </c>
      <c r="T4339" s="10" t="s">
        <v>54</v>
      </c>
    </row>
    <row r="4340" spans="1:20" ht="14.5" x14ac:dyDescent="0.35">
      <c r="A4340" s="10" t="s">
        <v>24142</v>
      </c>
      <c r="B4340" s="10" t="str">
        <f>"9781472576279"</f>
        <v>9781472576279</v>
      </c>
      <c r="C4340" s="10" t="str">
        <f>"9781441129789"</f>
        <v>9781441129789</v>
      </c>
      <c r="D4340" s="10" t="s">
        <v>13959</v>
      </c>
      <c r="E4340" s="10" t="s">
        <v>13960</v>
      </c>
      <c r="F4340" s="10" t="s">
        <v>139</v>
      </c>
      <c r="G4340" s="10" t="s">
        <v>6352</v>
      </c>
      <c r="H4340" s="11">
        <v>41795</v>
      </c>
      <c r="I4340" s="10">
        <v>2013</v>
      </c>
      <c r="J4340" s="10" t="s">
        <v>14057</v>
      </c>
      <c r="K4340" s="10">
        <v>239</v>
      </c>
      <c r="L4340" s="10" t="s">
        <v>24143</v>
      </c>
      <c r="M4340" s="10">
        <v>1</v>
      </c>
      <c r="N4340" s="10"/>
      <c r="O4340" s="10"/>
      <c r="P4340" s="10" t="s">
        <v>16077</v>
      </c>
      <c r="Q4340" s="10">
        <v>418.00709999999998</v>
      </c>
      <c r="R4340" s="10" t="s">
        <v>24144</v>
      </c>
      <c r="S4340" s="10" t="s">
        <v>53</v>
      </c>
      <c r="T4340" s="10" t="s">
        <v>6616</v>
      </c>
    </row>
    <row r="4341" spans="1:20" ht="14.5" x14ac:dyDescent="0.35">
      <c r="A4341" s="10" t="s">
        <v>24145</v>
      </c>
      <c r="B4341" s="10" t="str">
        <f>"9781628921779"</f>
        <v>9781628921779</v>
      </c>
      <c r="C4341" s="10" t="str">
        <f>"9781441111241"</f>
        <v>9781441111241</v>
      </c>
      <c r="D4341" s="10" t="s">
        <v>9777</v>
      </c>
      <c r="E4341" s="10" t="s">
        <v>23825</v>
      </c>
      <c r="F4341" s="10" t="s">
        <v>70</v>
      </c>
      <c r="G4341" s="10" t="s">
        <v>6317</v>
      </c>
      <c r="H4341" s="11">
        <v>41823</v>
      </c>
      <c r="I4341" s="10">
        <v>2012</v>
      </c>
      <c r="J4341" s="10" t="s">
        <v>23825</v>
      </c>
      <c r="K4341" s="10">
        <v>225</v>
      </c>
      <c r="L4341" s="10" t="s">
        <v>24146</v>
      </c>
      <c r="M4341" s="10">
        <v>1</v>
      </c>
      <c r="N4341" s="10"/>
      <c r="O4341" s="10"/>
      <c r="P4341" s="10" t="s">
        <v>24147</v>
      </c>
      <c r="Q4341" s="10">
        <v>365.666</v>
      </c>
      <c r="R4341" s="10" t="s">
        <v>24148</v>
      </c>
      <c r="S4341" s="10" t="s">
        <v>53</v>
      </c>
      <c r="T4341" s="10" t="s">
        <v>6363</v>
      </c>
    </row>
    <row r="4342" spans="1:20" ht="14.5" x14ac:dyDescent="0.35">
      <c r="A4342" s="10" t="s">
        <v>24149</v>
      </c>
      <c r="B4342" s="10" t="str">
        <f>"9780520266490"</f>
        <v>9780520266490</v>
      </c>
      <c r="C4342" s="10" t="str">
        <f>"9780520953710"</f>
        <v>9780520953710</v>
      </c>
      <c r="D4342" s="10" t="s">
        <v>8512</v>
      </c>
      <c r="E4342" s="10" t="s">
        <v>8512</v>
      </c>
      <c r="F4342" s="10" t="s">
        <v>717</v>
      </c>
      <c r="G4342" s="10" t="s">
        <v>6317</v>
      </c>
      <c r="H4342" s="11">
        <v>41317</v>
      </c>
      <c r="I4342" s="10">
        <v>2013</v>
      </c>
      <c r="J4342" s="10" t="s">
        <v>8512</v>
      </c>
      <c r="K4342" s="10">
        <v>206</v>
      </c>
      <c r="L4342" s="10" t="s">
        <v>24150</v>
      </c>
      <c r="M4342" s="10">
        <v>1</v>
      </c>
      <c r="N4342" s="10"/>
      <c r="O4342" s="10"/>
      <c r="P4342" s="10"/>
      <c r="Q4342" s="10">
        <v>371.822</v>
      </c>
      <c r="R4342" s="10" t="s">
        <v>24151</v>
      </c>
      <c r="S4342" s="10" t="s">
        <v>53</v>
      </c>
      <c r="T4342" s="10" t="s">
        <v>54</v>
      </c>
    </row>
    <row r="4343" spans="1:20" ht="14.5" x14ac:dyDescent="0.35">
      <c r="A4343" s="10" t="s">
        <v>24152</v>
      </c>
      <c r="B4343" s="10" t="str">
        <f>"9781416614623"</f>
        <v>9781416614623</v>
      </c>
      <c r="C4343" s="10" t="str">
        <f>"9781416615385"</f>
        <v>9781416615385</v>
      </c>
      <c r="D4343" s="10" t="s">
        <v>10014</v>
      </c>
      <c r="E4343" s="10" t="s">
        <v>10015</v>
      </c>
      <c r="F4343" s="10" t="s">
        <v>201</v>
      </c>
      <c r="G4343" s="10" t="s">
        <v>6317</v>
      </c>
      <c r="H4343" s="11">
        <v>41243</v>
      </c>
      <c r="I4343" s="10">
        <v>2012</v>
      </c>
      <c r="J4343" s="10" t="s">
        <v>10015</v>
      </c>
      <c r="K4343" s="10">
        <v>175</v>
      </c>
      <c r="L4343" s="10" t="s">
        <v>24153</v>
      </c>
      <c r="M4343" s="10">
        <v>1</v>
      </c>
      <c r="N4343" s="10"/>
      <c r="O4343" s="10"/>
      <c r="P4343" s="10" t="s">
        <v>24154</v>
      </c>
      <c r="Q4343" s="10" t="s">
        <v>20039</v>
      </c>
      <c r="R4343" s="10" t="s">
        <v>24155</v>
      </c>
      <c r="S4343" s="10" t="s">
        <v>53</v>
      </c>
      <c r="T4343" s="10" t="s">
        <v>389</v>
      </c>
    </row>
    <row r="4344" spans="1:20" ht="14.5" x14ac:dyDescent="0.35">
      <c r="A4344" s="10" t="s">
        <v>24156</v>
      </c>
      <c r="B4344" s="10" t="str">
        <f>"9781416614838"</f>
        <v>9781416614838</v>
      </c>
      <c r="C4344" s="10" t="str">
        <f>"9781416615415"</f>
        <v>9781416615415</v>
      </c>
      <c r="D4344" s="10" t="s">
        <v>10014</v>
      </c>
      <c r="E4344" s="10" t="s">
        <v>10015</v>
      </c>
      <c r="F4344" s="10" t="s">
        <v>201</v>
      </c>
      <c r="G4344" s="10" t="s">
        <v>6317</v>
      </c>
      <c r="H4344" s="11">
        <v>41212</v>
      </c>
      <c r="I4344" s="10">
        <v>2012</v>
      </c>
      <c r="J4344" s="10" t="s">
        <v>10015</v>
      </c>
      <c r="K4344" s="10">
        <v>195</v>
      </c>
      <c r="L4344" s="10" t="s">
        <v>10452</v>
      </c>
      <c r="M4344" s="10">
        <v>1</v>
      </c>
      <c r="N4344" s="10"/>
      <c r="O4344" s="10"/>
      <c r="P4344" s="10" t="s">
        <v>24157</v>
      </c>
      <c r="Q4344" s="10">
        <v>371.9</v>
      </c>
      <c r="R4344" s="10" t="s">
        <v>24158</v>
      </c>
      <c r="S4344" s="10" t="s">
        <v>53</v>
      </c>
      <c r="T4344" s="10" t="s">
        <v>54</v>
      </c>
    </row>
    <row r="4345" spans="1:20" ht="14.5" x14ac:dyDescent="0.35">
      <c r="A4345" s="10" t="s">
        <v>24159</v>
      </c>
      <c r="B4345" s="10" t="str">
        <f>"9781416614630"</f>
        <v>9781416614630</v>
      </c>
      <c r="C4345" s="10" t="str">
        <f>"9781416615446"</f>
        <v>9781416615446</v>
      </c>
      <c r="D4345" s="10" t="s">
        <v>10014</v>
      </c>
      <c r="E4345" s="10" t="s">
        <v>10015</v>
      </c>
      <c r="F4345" s="10" t="s">
        <v>201</v>
      </c>
      <c r="G4345" s="10" t="s">
        <v>6317</v>
      </c>
      <c r="H4345" s="11">
        <v>41243</v>
      </c>
      <c r="I4345" s="10">
        <v>2012</v>
      </c>
      <c r="J4345" s="10" t="s">
        <v>10015</v>
      </c>
      <c r="K4345" s="10">
        <v>131</v>
      </c>
      <c r="L4345" s="10" t="s">
        <v>24160</v>
      </c>
      <c r="M4345" s="10">
        <v>1</v>
      </c>
      <c r="N4345" s="10"/>
      <c r="O4345" s="10"/>
      <c r="P4345" s="10" t="s">
        <v>24161</v>
      </c>
      <c r="Q4345" s="10"/>
      <c r="R4345" s="10" t="s">
        <v>24162</v>
      </c>
      <c r="S4345" s="10" t="s">
        <v>53</v>
      </c>
      <c r="T4345" s="10" t="s">
        <v>54</v>
      </c>
    </row>
    <row r="4346" spans="1:20" ht="14.5" x14ac:dyDescent="0.35">
      <c r="A4346" s="10" t="s">
        <v>24163</v>
      </c>
      <c r="B4346" s="10" t="str">
        <f>"9780871201935"</f>
        <v>9780871201935</v>
      </c>
      <c r="C4346" s="10" t="str">
        <f>"9781416615743"</f>
        <v>9781416615743</v>
      </c>
      <c r="D4346" s="10" t="s">
        <v>10014</v>
      </c>
      <c r="E4346" s="10" t="s">
        <v>10015</v>
      </c>
      <c r="F4346" s="10" t="s">
        <v>201</v>
      </c>
      <c r="G4346" s="10" t="s">
        <v>6317</v>
      </c>
      <c r="H4346" s="11">
        <v>33756</v>
      </c>
      <c r="I4346" s="10">
        <v>1992</v>
      </c>
      <c r="J4346" s="10" t="s">
        <v>10015</v>
      </c>
      <c r="K4346" s="10">
        <v>82</v>
      </c>
      <c r="L4346" s="10" t="s">
        <v>24164</v>
      </c>
      <c r="M4346" s="10">
        <v>1</v>
      </c>
      <c r="N4346" s="10" t="s">
        <v>24165</v>
      </c>
      <c r="O4346" s="10"/>
      <c r="P4346" s="10" t="s">
        <v>24166</v>
      </c>
      <c r="Q4346" s="10" t="s">
        <v>24167</v>
      </c>
      <c r="R4346" s="10" t="s">
        <v>24168</v>
      </c>
      <c r="S4346" s="10" t="s">
        <v>53</v>
      </c>
      <c r="T4346" s="10" t="s">
        <v>54</v>
      </c>
    </row>
    <row r="4347" spans="1:20" ht="14.5" x14ac:dyDescent="0.35">
      <c r="A4347" s="10" t="s">
        <v>24169</v>
      </c>
      <c r="B4347" s="10" t="str">
        <f>"9780871202598"</f>
        <v>9780871202598</v>
      </c>
      <c r="C4347" s="10" t="str">
        <f>"9781416615750"</f>
        <v>9781416615750</v>
      </c>
      <c r="D4347" s="10" t="s">
        <v>10014</v>
      </c>
      <c r="E4347" s="10" t="s">
        <v>10015</v>
      </c>
      <c r="F4347" s="10" t="s">
        <v>201</v>
      </c>
      <c r="G4347" s="10" t="s">
        <v>6317</v>
      </c>
      <c r="H4347" s="11">
        <v>40589</v>
      </c>
      <c r="I4347" s="10">
        <v>1996</v>
      </c>
      <c r="J4347" s="10" t="s">
        <v>10015</v>
      </c>
      <c r="K4347" s="10">
        <v>71</v>
      </c>
      <c r="L4347" s="10" t="s">
        <v>24170</v>
      </c>
      <c r="M4347" s="10">
        <v>1</v>
      </c>
      <c r="N4347" s="10"/>
      <c r="O4347" s="10"/>
      <c r="P4347" s="10" t="s">
        <v>24171</v>
      </c>
      <c r="Q4347" s="10" t="s">
        <v>6942</v>
      </c>
      <c r="R4347" s="10" t="s">
        <v>24172</v>
      </c>
      <c r="S4347" s="10" t="s">
        <v>53</v>
      </c>
      <c r="T4347" s="10" t="s">
        <v>54</v>
      </c>
    </row>
    <row r="4348" spans="1:20" ht="14.5" x14ac:dyDescent="0.35">
      <c r="A4348" s="10" t="s">
        <v>24173</v>
      </c>
      <c r="B4348" s="10" t="str">
        <f>"9781443829557"</f>
        <v>9781443829557</v>
      </c>
      <c r="C4348" s="10" t="str">
        <f>"9781443830126"</f>
        <v>9781443830126</v>
      </c>
      <c r="D4348" s="10" t="s">
        <v>23635</v>
      </c>
      <c r="E4348" s="10" t="s">
        <v>23635</v>
      </c>
      <c r="F4348" s="10" t="s">
        <v>23636</v>
      </c>
      <c r="G4348" s="10" t="s">
        <v>6352</v>
      </c>
      <c r="H4348" s="11">
        <v>40715</v>
      </c>
      <c r="I4348" s="10">
        <v>2011</v>
      </c>
      <c r="J4348" s="10" t="s">
        <v>23635</v>
      </c>
      <c r="K4348" s="10">
        <v>439</v>
      </c>
      <c r="L4348" s="10" t="s">
        <v>24174</v>
      </c>
      <c r="M4348" s="10">
        <v>1</v>
      </c>
      <c r="N4348" s="10"/>
      <c r="O4348" s="10"/>
      <c r="P4348" s="10" t="s">
        <v>24175</v>
      </c>
      <c r="Q4348" s="10">
        <v>370.11700000000002</v>
      </c>
      <c r="R4348" s="10" t="s">
        <v>24176</v>
      </c>
      <c r="S4348" s="10" t="s">
        <v>53</v>
      </c>
      <c r="T4348" s="10" t="s">
        <v>54</v>
      </c>
    </row>
    <row r="4349" spans="1:20" ht="14.5" x14ac:dyDescent="0.35">
      <c r="A4349" s="10" t="s">
        <v>24177</v>
      </c>
      <c r="B4349" s="10" t="str">
        <f>"9781443840316"</f>
        <v>9781443840316</v>
      </c>
      <c r="C4349" s="10" t="str">
        <f>"9781443844086"</f>
        <v>9781443844086</v>
      </c>
      <c r="D4349" s="10" t="s">
        <v>23635</v>
      </c>
      <c r="E4349" s="10" t="s">
        <v>23635</v>
      </c>
      <c r="F4349" s="10" t="s">
        <v>23636</v>
      </c>
      <c r="G4349" s="10" t="s">
        <v>6352</v>
      </c>
      <c r="H4349" s="11">
        <v>41143</v>
      </c>
      <c r="I4349" s="10">
        <v>2012</v>
      </c>
      <c r="J4349" s="10" t="s">
        <v>23635</v>
      </c>
      <c r="K4349" s="10">
        <v>579</v>
      </c>
      <c r="L4349" s="10" t="s">
        <v>24178</v>
      </c>
      <c r="M4349" s="10">
        <v>1</v>
      </c>
      <c r="N4349" s="10" t="s">
        <v>24179</v>
      </c>
      <c r="O4349" s="10"/>
      <c r="P4349" s="10" t="s">
        <v>24180</v>
      </c>
      <c r="Q4349" s="10">
        <v>370.11700000000002</v>
      </c>
      <c r="R4349" s="10" t="s">
        <v>24181</v>
      </c>
      <c r="S4349" s="10" t="s">
        <v>53</v>
      </c>
      <c r="T4349" s="10" t="s">
        <v>54</v>
      </c>
    </row>
    <row r="4350" spans="1:20" ht="14.5" x14ac:dyDescent="0.35">
      <c r="A4350" s="10" t="s">
        <v>24182</v>
      </c>
      <c r="B4350" s="10" t="str">
        <f>"9781443817639"</f>
        <v>9781443817639</v>
      </c>
      <c r="C4350" s="10" t="str">
        <f>"9781443818223"</f>
        <v>9781443818223</v>
      </c>
      <c r="D4350" s="10" t="s">
        <v>23635</v>
      </c>
      <c r="E4350" s="10" t="s">
        <v>23635</v>
      </c>
      <c r="F4350" s="10" t="s">
        <v>23636</v>
      </c>
      <c r="G4350" s="10" t="s">
        <v>6352</v>
      </c>
      <c r="H4350" s="11">
        <v>40213</v>
      </c>
      <c r="I4350" s="10">
        <v>2009</v>
      </c>
      <c r="J4350" s="10" t="s">
        <v>23635</v>
      </c>
      <c r="K4350" s="10">
        <v>237</v>
      </c>
      <c r="L4350" s="10" t="s">
        <v>24183</v>
      </c>
      <c r="M4350" s="10">
        <v>1</v>
      </c>
      <c r="N4350" s="10"/>
      <c r="O4350" s="10"/>
      <c r="P4350" s="10" t="s">
        <v>24184</v>
      </c>
      <c r="Q4350" s="10" t="s">
        <v>24185</v>
      </c>
      <c r="R4350" s="10" t="s">
        <v>24186</v>
      </c>
      <c r="S4350" s="10" t="s">
        <v>53</v>
      </c>
      <c r="T4350" s="10" t="s">
        <v>54</v>
      </c>
    </row>
    <row r="4351" spans="1:20" ht="14.5" x14ac:dyDescent="0.35">
      <c r="A4351" s="10" t="s">
        <v>24187</v>
      </c>
      <c r="B4351" s="10" t="str">
        <f>"9781441108623"</f>
        <v>9781441108623</v>
      </c>
      <c r="C4351" s="10" t="str">
        <f>"9781441110749"</f>
        <v>9781441110749</v>
      </c>
      <c r="D4351" s="10" t="s">
        <v>13959</v>
      </c>
      <c r="E4351" s="10" t="s">
        <v>13960</v>
      </c>
      <c r="F4351" s="10" t="s">
        <v>139</v>
      </c>
      <c r="G4351" s="10" t="s">
        <v>6352</v>
      </c>
      <c r="H4351" s="11">
        <v>41067</v>
      </c>
      <c r="I4351" s="10">
        <v>2012</v>
      </c>
      <c r="J4351" s="10" t="s">
        <v>13961</v>
      </c>
      <c r="K4351" s="10">
        <v>174</v>
      </c>
      <c r="L4351" s="10" t="s">
        <v>24188</v>
      </c>
      <c r="M4351" s="10">
        <v>1</v>
      </c>
      <c r="N4351" s="10"/>
      <c r="O4351" s="10"/>
      <c r="P4351" s="10" t="s">
        <v>24189</v>
      </c>
      <c r="Q4351" s="10" t="s">
        <v>9360</v>
      </c>
      <c r="R4351" s="10" t="s">
        <v>24190</v>
      </c>
      <c r="S4351" s="10" t="s">
        <v>53</v>
      </c>
      <c r="T4351" s="10" t="s">
        <v>54</v>
      </c>
    </row>
    <row r="4352" spans="1:20" ht="14.5" x14ac:dyDescent="0.35">
      <c r="A4352" s="10" t="s">
        <v>24191</v>
      </c>
      <c r="B4352" s="10" t="str">
        <f>"9780335246304"</f>
        <v>9780335246304</v>
      </c>
      <c r="C4352" s="10" t="str">
        <f>"9780335246311"</f>
        <v>9780335246311</v>
      </c>
      <c r="D4352" s="10" t="s">
        <v>10342</v>
      </c>
      <c r="E4352" s="10" t="s">
        <v>10343</v>
      </c>
      <c r="F4352" s="10" t="s">
        <v>10344</v>
      </c>
      <c r="G4352" s="10" t="s">
        <v>6352</v>
      </c>
      <c r="H4352" s="11">
        <v>41214</v>
      </c>
      <c r="I4352" s="10">
        <v>2013</v>
      </c>
      <c r="J4352" s="10" t="s">
        <v>10345</v>
      </c>
      <c r="K4352" s="10">
        <v>194</v>
      </c>
      <c r="L4352" s="10" t="s">
        <v>24192</v>
      </c>
      <c r="M4352" s="10">
        <v>1</v>
      </c>
      <c r="N4352" s="10" t="s">
        <v>10347</v>
      </c>
      <c r="O4352" s="10"/>
      <c r="P4352" s="10" t="s">
        <v>24193</v>
      </c>
      <c r="Q4352" s="10">
        <v>374.11</v>
      </c>
      <c r="R4352" s="10" t="s">
        <v>24194</v>
      </c>
      <c r="S4352" s="10" t="s">
        <v>53</v>
      </c>
      <c r="T4352" s="10" t="s">
        <v>54</v>
      </c>
    </row>
    <row r="4353" spans="1:20" ht="14.5" x14ac:dyDescent="0.35">
      <c r="A4353" s="10" t="s">
        <v>24195</v>
      </c>
      <c r="B4353" s="10" t="str">
        <f>"9780335246014"</f>
        <v>9780335246014</v>
      </c>
      <c r="C4353" s="10" t="str">
        <f>"9780335246021"</f>
        <v>9780335246021</v>
      </c>
      <c r="D4353" s="10" t="s">
        <v>10342</v>
      </c>
      <c r="E4353" s="10" t="s">
        <v>10343</v>
      </c>
      <c r="F4353" s="10" t="s">
        <v>10344</v>
      </c>
      <c r="G4353" s="10" t="s">
        <v>6352</v>
      </c>
      <c r="H4353" s="11">
        <v>41198</v>
      </c>
      <c r="I4353" s="10">
        <v>2012</v>
      </c>
      <c r="J4353" s="10" t="s">
        <v>10345</v>
      </c>
      <c r="K4353" s="10">
        <v>326</v>
      </c>
      <c r="L4353" s="10" t="s">
        <v>24196</v>
      </c>
      <c r="M4353" s="10">
        <v>1</v>
      </c>
      <c r="N4353" s="10" t="s">
        <v>10347</v>
      </c>
      <c r="O4353" s="10"/>
      <c r="P4353" s="10" t="s">
        <v>24197</v>
      </c>
      <c r="Q4353" s="10"/>
      <c r="R4353" s="10" t="s">
        <v>24198</v>
      </c>
      <c r="S4353" s="10" t="s">
        <v>53</v>
      </c>
      <c r="T4353" s="10" t="s">
        <v>54</v>
      </c>
    </row>
    <row r="4354" spans="1:20" ht="14.5" x14ac:dyDescent="0.35">
      <c r="A4354" s="10" t="s">
        <v>24199</v>
      </c>
      <c r="B4354" s="10" t="str">
        <f>"9781412997294"</f>
        <v>9781412997294</v>
      </c>
      <c r="C4354" s="10" t="str">
        <f>"9781452277349"</f>
        <v>9781452277349</v>
      </c>
      <c r="D4354" s="10" t="s">
        <v>22210</v>
      </c>
      <c r="E4354" s="10" t="s">
        <v>22211</v>
      </c>
      <c r="F4354" s="10" t="s">
        <v>333</v>
      </c>
      <c r="G4354" s="10" t="s">
        <v>6317</v>
      </c>
      <c r="H4354" s="11">
        <v>41073</v>
      </c>
      <c r="I4354" s="10">
        <v>2012</v>
      </c>
      <c r="J4354" s="10" t="s">
        <v>22211</v>
      </c>
      <c r="K4354" s="10">
        <v>192</v>
      </c>
      <c r="L4354" s="10" t="s">
        <v>24200</v>
      </c>
      <c r="M4354" s="10">
        <v>1</v>
      </c>
      <c r="N4354" s="10"/>
      <c r="O4354" s="10"/>
      <c r="P4354" s="10" t="s">
        <v>24201</v>
      </c>
      <c r="Q4354" s="10">
        <v>371.33</v>
      </c>
      <c r="R4354" s="10"/>
      <c r="S4354" s="10" t="s">
        <v>53</v>
      </c>
      <c r="T4354" s="10" t="s">
        <v>54</v>
      </c>
    </row>
    <row r="4355" spans="1:20" ht="14.5" x14ac:dyDescent="0.35">
      <c r="A4355" s="10" t="s">
        <v>24202</v>
      </c>
      <c r="B4355" s="10" t="str">
        <f>"9781452226385"</f>
        <v>9781452226385</v>
      </c>
      <c r="C4355" s="10" t="str">
        <f>"9781452279893"</f>
        <v>9781452279893</v>
      </c>
      <c r="D4355" s="10" t="s">
        <v>22210</v>
      </c>
      <c r="E4355" s="10" t="s">
        <v>22211</v>
      </c>
      <c r="F4355" s="10" t="s">
        <v>333</v>
      </c>
      <c r="G4355" s="10" t="s">
        <v>6317</v>
      </c>
      <c r="H4355" s="11">
        <v>41129</v>
      </c>
      <c r="I4355" s="10">
        <v>2012</v>
      </c>
      <c r="J4355" s="10" t="s">
        <v>22211</v>
      </c>
      <c r="K4355" s="10">
        <v>161</v>
      </c>
      <c r="L4355" s="10" t="s">
        <v>24203</v>
      </c>
      <c r="M4355" s="10">
        <v>1</v>
      </c>
      <c r="N4355" s="10"/>
      <c r="O4355" s="10"/>
      <c r="P4355" s="10" t="s">
        <v>24204</v>
      </c>
      <c r="Q4355" s="10" t="s">
        <v>10094</v>
      </c>
      <c r="R4355" s="10" t="s">
        <v>24205</v>
      </c>
      <c r="S4355" s="10" t="s">
        <v>53</v>
      </c>
      <c r="T4355" s="10" t="s">
        <v>54</v>
      </c>
    </row>
    <row r="4356" spans="1:20" ht="14.5" x14ac:dyDescent="0.35">
      <c r="A4356" s="10" t="s">
        <v>24206</v>
      </c>
      <c r="B4356" s="10" t="str">
        <f>"9781412989046"</f>
        <v>9781412989046</v>
      </c>
      <c r="C4356" s="10" t="str">
        <f>"9781452277813"</f>
        <v>9781452277813</v>
      </c>
      <c r="D4356" s="10" t="s">
        <v>22210</v>
      </c>
      <c r="E4356" s="10" t="s">
        <v>22211</v>
      </c>
      <c r="F4356" s="10" t="s">
        <v>333</v>
      </c>
      <c r="G4356" s="10" t="s">
        <v>6317</v>
      </c>
      <c r="H4356" s="11">
        <v>41205</v>
      </c>
      <c r="I4356" s="10">
        <v>2013</v>
      </c>
      <c r="J4356" s="10" t="s">
        <v>22211</v>
      </c>
      <c r="K4356" s="10">
        <v>249</v>
      </c>
      <c r="L4356" s="10" t="s">
        <v>24207</v>
      </c>
      <c r="M4356" s="10">
        <v>1</v>
      </c>
      <c r="N4356" s="10"/>
      <c r="O4356" s="10"/>
      <c r="P4356" s="10" t="s">
        <v>24208</v>
      </c>
      <c r="Q4356" s="10">
        <v>372.6</v>
      </c>
      <c r="R4356" s="10"/>
      <c r="S4356" s="10" t="s">
        <v>53</v>
      </c>
      <c r="T4356" s="10" t="s">
        <v>54</v>
      </c>
    </row>
    <row r="4357" spans="1:20" ht="14.5" x14ac:dyDescent="0.35">
      <c r="A4357" s="10" t="s">
        <v>24209</v>
      </c>
      <c r="B4357" s="10" t="str">
        <f>"9781412996044"</f>
        <v>9781412996044</v>
      </c>
      <c r="C4357" s="10" t="str">
        <f>"9781452279916"</f>
        <v>9781452279916</v>
      </c>
      <c r="D4357" s="10" t="s">
        <v>22210</v>
      </c>
      <c r="E4357" s="10" t="s">
        <v>22211</v>
      </c>
      <c r="F4357" s="10" t="s">
        <v>333</v>
      </c>
      <c r="G4357" s="10" t="s">
        <v>6317</v>
      </c>
      <c r="H4357" s="11">
        <v>41004</v>
      </c>
      <c r="I4357" s="10">
        <v>2012</v>
      </c>
      <c r="J4357" s="10" t="s">
        <v>22211</v>
      </c>
      <c r="K4357" s="10">
        <v>337</v>
      </c>
      <c r="L4357" s="10" t="s">
        <v>24210</v>
      </c>
      <c r="M4357" s="10">
        <v>1</v>
      </c>
      <c r="N4357" s="10"/>
      <c r="O4357" s="10"/>
      <c r="P4357" s="10" t="s">
        <v>24211</v>
      </c>
      <c r="Q4357" s="10">
        <v>371.20097299999998</v>
      </c>
      <c r="R4357" s="10" t="s">
        <v>24212</v>
      </c>
      <c r="S4357" s="10" t="s">
        <v>53</v>
      </c>
      <c r="T4357" s="10" t="s">
        <v>54</v>
      </c>
    </row>
    <row r="4358" spans="1:20" ht="14.5" x14ac:dyDescent="0.35">
      <c r="A4358" s="10" t="s">
        <v>24213</v>
      </c>
      <c r="B4358" s="10" t="str">
        <f>"9781412997812"</f>
        <v>9781412997812</v>
      </c>
      <c r="C4358" s="10" t="str">
        <f>"9781452279312"</f>
        <v>9781452279312</v>
      </c>
      <c r="D4358" s="10" t="s">
        <v>22210</v>
      </c>
      <c r="E4358" s="10" t="s">
        <v>22211</v>
      </c>
      <c r="F4358" s="10" t="s">
        <v>333</v>
      </c>
      <c r="G4358" s="10" t="s">
        <v>6317</v>
      </c>
      <c r="H4358" s="11">
        <v>41081</v>
      </c>
      <c r="I4358" s="10">
        <v>2012</v>
      </c>
      <c r="J4358" s="10" t="s">
        <v>22211</v>
      </c>
      <c r="K4358" s="10">
        <v>409</v>
      </c>
      <c r="L4358" s="10" t="s">
        <v>24214</v>
      </c>
      <c r="M4358" s="10">
        <v>1</v>
      </c>
      <c r="N4358" s="10"/>
      <c r="O4358" s="10"/>
      <c r="P4358" s="10"/>
      <c r="Q4358" s="10"/>
      <c r="R4358" s="10"/>
      <c r="S4358" s="10" t="s">
        <v>53</v>
      </c>
      <c r="T4358" s="10" t="s">
        <v>54</v>
      </c>
    </row>
    <row r="4359" spans="1:20" ht="14.5" x14ac:dyDescent="0.35">
      <c r="A4359" s="10" t="s">
        <v>24215</v>
      </c>
      <c r="B4359" s="10" t="str">
        <f>"9781452205113"</f>
        <v>9781452205113</v>
      </c>
      <c r="C4359" s="10" t="str">
        <f>"9781452271866"</f>
        <v>9781452271866</v>
      </c>
      <c r="D4359" s="10" t="s">
        <v>22210</v>
      </c>
      <c r="E4359" s="10" t="s">
        <v>22211</v>
      </c>
      <c r="F4359" s="10" t="s">
        <v>333</v>
      </c>
      <c r="G4359" s="10" t="s">
        <v>6317</v>
      </c>
      <c r="H4359" s="11">
        <v>41068</v>
      </c>
      <c r="I4359" s="10">
        <v>2012</v>
      </c>
      <c r="J4359" s="10" t="s">
        <v>22211</v>
      </c>
      <c r="K4359" s="10">
        <v>161</v>
      </c>
      <c r="L4359" s="10" t="s">
        <v>24216</v>
      </c>
      <c r="M4359" s="10">
        <v>1</v>
      </c>
      <c r="N4359" s="10"/>
      <c r="O4359" s="10"/>
      <c r="P4359" s="10" t="s">
        <v>24217</v>
      </c>
      <c r="Q4359" s="10"/>
      <c r="R4359" s="10"/>
      <c r="S4359" s="10" t="s">
        <v>53</v>
      </c>
      <c r="T4359" s="10" t="s">
        <v>54</v>
      </c>
    </row>
    <row r="4360" spans="1:20" ht="14.5" x14ac:dyDescent="0.35">
      <c r="A4360" s="10" t="s">
        <v>24218</v>
      </c>
      <c r="B4360" s="10" t="str">
        <f>"9781412998895"</f>
        <v>9781412998895</v>
      </c>
      <c r="C4360" s="10" t="str">
        <f>"9781452279466"</f>
        <v>9781452279466</v>
      </c>
      <c r="D4360" s="10" t="s">
        <v>22210</v>
      </c>
      <c r="E4360" s="10" t="s">
        <v>22211</v>
      </c>
      <c r="F4360" s="10" t="s">
        <v>333</v>
      </c>
      <c r="G4360" s="10" t="s">
        <v>6317</v>
      </c>
      <c r="H4360" s="11">
        <v>41018</v>
      </c>
      <c r="I4360" s="10">
        <v>2012</v>
      </c>
      <c r="J4360" s="10" t="s">
        <v>22211</v>
      </c>
      <c r="K4360" s="10">
        <v>281</v>
      </c>
      <c r="L4360" s="10" t="s">
        <v>24219</v>
      </c>
      <c r="M4360" s="10">
        <v>1</v>
      </c>
      <c r="N4360" s="10"/>
      <c r="O4360" s="10"/>
      <c r="P4360" s="10"/>
      <c r="Q4360" s="10"/>
      <c r="R4360" s="10"/>
      <c r="S4360" s="10" t="s">
        <v>53</v>
      </c>
      <c r="T4360" s="10" t="s">
        <v>24220</v>
      </c>
    </row>
    <row r="4361" spans="1:20" ht="14.5" x14ac:dyDescent="0.35">
      <c r="A4361" s="10" t="s">
        <v>24221</v>
      </c>
      <c r="B4361" s="10" t="str">
        <f>"9781452202860"</f>
        <v>9781452202860</v>
      </c>
      <c r="C4361" s="10" t="str">
        <f>"9781452279299"</f>
        <v>9781452279299</v>
      </c>
      <c r="D4361" s="10" t="s">
        <v>22210</v>
      </c>
      <c r="E4361" s="10" t="s">
        <v>22211</v>
      </c>
      <c r="F4361" s="10" t="s">
        <v>333</v>
      </c>
      <c r="G4361" s="10" t="s">
        <v>6317</v>
      </c>
      <c r="H4361" s="11">
        <v>40970</v>
      </c>
      <c r="I4361" s="10">
        <v>2012</v>
      </c>
      <c r="J4361" s="10" t="s">
        <v>22211</v>
      </c>
      <c r="K4361" s="10">
        <v>137</v>
      </c>
      <c r="L4361" s="10" t="s">
        <v>24222</v>
      </c>
      <c r="M4361" s="10">
        <v>1</v>
      </c>
      <c r="N4361" s="10"/>
      <c r="O4361" s="10"/>
      <c r="P4361" s="10"/>
      <c r="Q4361" s="10"/>
      <c r="R4361" s="10"/>
      <c r="S4361" s="10" t="s">
        <v>53</v>
      </c>
      <c r="T4361" s="10" t="s">
        <v>54</v>
      </c>
    </row>
    <row r="4362" spans="1:20" ht="14.5" x14ac:dyDescent="0.35">
      <c r="A4362" s="10" t="s">
        <v>24223</v>
      </c>
      <c r="B4362" s="10" t="str">
        <f>"9781452203881"</f>
        <v>9781452203881</v>
      </c>
      <c r="C4362" s="10" t="str">
        <f>"9781452271873"</f>
        <v>9781452271873</v>
      </c>
      <c r="D4362" s="10" t="s">
        <v>22210</v>
      </c>
      <c r="E4362" s="10" t="s">
        <v>22211</v>
      </c>
      <c r="F4362" s="10" t="s">
        <v>333</v>
      </c>
      <c r="G4362" s="10" t="s">
        <v>6317</v>
      </c>
      <c r="H4362" s="11">
        <v>41073</v>
      </c>
      <c r="I4362" s="10">
        <v>2012</v>
      </c>
      <c r="J4362" s="10" t="s">
        <v>22211</v>
      </c>
      <c r="K4362" s="10">
        <v>153</v>
      </c>
      <c r="L4362" s="10" t="s">
        <v>24224</v>
      </c>
      <c r="M4362" s="10">
        <v>1</v>
      </c>
      <c r="N4362" s="10"/>
      <c r="O4362" s="10"/>
      <c r="P4362" s="10"/>
      <c r="Q4362" s="10" t="s">
        <v>9954</v>
      </c>
      <c r="R4362" s="10" t="s">
        <v>24225</v>
      </c>
      <c r="S4362" s="10" t="s">
        <v>53</v>
      </c>
      <c r="T4362" s="10" t="s">
        <v>54</v>
      </c>
    </row>
    <row r="4363" spans="1:20" ht="14.5" x14ac:dyDescent="0.35">
      <c r="A4363" s="10" t="s">
        <v>24226</v>
      </c>
      <c r="B4363" s="10" t="str">
        <f>"9781452217086"</f>
        <v>9781452217086</v>
      </c>
      <c r="C4363" s="10" t="str">
        <f>"9781452279718"</f>
        <v>9781452279718</v>
      </c>
      <c r="D4363" s="10" t="s">
        <v>22210</v>
      </c>
      <c r="E4363" s="10" t="s">
        <v>22211</v>
      </c>
      <c r="F4363" s="10" t="s">
        <v>333</v>
      </c>
      <c r="G4363" s="10" t="s">
        <v>6317</v>
      </c>
      <c r="H4363" s="11">
        <v>40945</v>
      </c>
      <c r="I4363" s="10">
        <v>2012</v>
      </c>
      <c r="J4363" s="10" t="s">
        <v>22211</v>
      </c>
      <c r="K4363" s="10">
        <v>209</v>
      </c>
      <c r="L4363" s="10" t="s">
        <v>18000</v>
      </c>
      <c r="M4363" s="10">
        <v>1</v>
      </c>
      <c r="N4363" s="10"/>
      <c r="O4363" s="10"/>
      <c r="P4363" s="10" t="s">
        <v>24227</v>
      </c>
      <c r="Q4363" s="10" t="s">
        <v>8460</v>
      </c>
      <c r="R4363" s="10" t="s">
        <v>24228</v>
      </c>
      <c r="S4363" s="10" t="s">
        <v>53</v>
      </c>
      <c r="T4363" s="10" t="s">
        <v>54</v>
      </c>
    </row>
    <row r="4364" spans="1:20" ht="14.5" x14ac:dyDescent="0.35">
      <c r="A4364" s="10" t="s">
        <v>24229</v>
      </c>
      <c r="B4364" s="10" t="str">
        <f>"9781452226156"</f>
        <v>9781452226156</v>
      </c>
      <c r="C4364" s="10" t="str">
        <f>"9781452279992"</f>
        <v>9781452279992</v>
      </c>
      <c r="D4364" s="10" t="s">
        <v>22210</v>
      </c>
      <c r="E4364" s="10" t="s">
        <v>22211</v>
      </c>
      <c r="F4364" s="10" t="s">
        <v>333</v>
      </c>
      <c r="G4364" s="10" t="s">
        <v>6317</v>
      </c>
      <c r="H4364" s="11">
        <v>41156</v>
      </c>
      <c r="I4364" s="10">
        <v>2012</v>
      </c>
      <c r="J4364" s="10" t="s">
        <v>22211</v>
      </c>
      <c r="K4364" s="10">
        <v>153</v>
      </c>
      <c r="L4364" s="10" t="s">
        <v>24230</v>
      </c>
      <c r="M4364" s="10">
        <v>1</v>
      </c>
      <c r="N4364" s="10"/>
      <c r="O4364" s="10"/>
      <c r="P4364" s="10" t="s">
        <v>24231</v>
      </c>
      <c r="Q4364" s="10">
        <v>428.00709999999998</v>
      </c>
      <c r="R4364" s="10" t="s">
        <v>24232</v>
      </c>
      <c r="S4364" s="10" t="s">
        <v>53</v>
      </c>
      <c r="T4364" s="10" t="s">
        <v>6616</v>
      </c>
    </row>
    <row r="4365" spans="1:20" ht="14.5" x14ac:dyDescent="0.35">
      <c r="A4365" s="10" t="s">
        <v>24233</v>
      </c>
      <c r="B4365" s="10" t="str">
        <f>"9781452220147"</f>
        <v>9781452220147</v>
      </c>
      <c r="C4365" s="10" t="str">
        <f>"9781452279329"</f>
        <v>9781452279329</v>
      </c>
      <c r="D4365" s="10" t="s">
        <v>22210</v>
      </c>
      <c r="E4365" s="10" t="s">
        <v>22211</v>
      </c>
      <c r="F4365" s="10" t="s">
        <v>333</v>
      </c>
      <c r="G4365" s="10" t="s">
        <v>6317</v>
      </c>
      <c r="H4365" s="11">
        <v>40980</v>
      </c>
      <c r="I4365" s="10">
        <v>2012</v>
      </c>
      <c r="J4365" s="10" t="s">
        <v>22211</v>
      </c>
      <c r="K4365" s="10">
        <v>193</v>
      </c>
      <c r="L4365" s="10" t="s">
        <v>24234</v>
      </c>
      <c r="M4365" s="10">
        <v>1</v>
      </c>
      <c r="N4365" s="10"/>
      <c r="O4365" s="10"/>
      <c r="P4365" s="10" t="s">
        <v>24235</v>
      </c>
      <c r="Q4365" s="10" t="s">
        <v>9870</v>
      </c>
      <c r="R4365" s="10" t="s">
        <v>24236</v>
      </c>
      <c r="S4365" s="10" t="s">
        <v>53</v>
      </c>
      <c r="T4365" s="10" t="s">
        <v>54</v>
      </c>
    </row>
    <row r="4366" spans="1:20" ht="14.5" x14ac:dyDescent="0.35">
      <c r="A4366" s="10" t="s">
        <v>24237</v>
      </c>
      <c r="B4366" s="10" t="str">
        <f>"9780761860099"</f>
        <v>9780761860099</v>
      </c>
      <c r="C4366" s="10" t="str">
        <f>"9780761860105"</f>
        <v>9780761860105</v>
      </c>
      <c r="D4366" s="10" t="s">
        <v>9752</v>
      </c>
      <c r="E4366" s="10" t="s">
        <v>17167</v>
      </c>
      <c r="F4366" s="10" t="s">
        <v>9754</v>
      </c>
      <c r="G4366" s="10" t="s">
        <v>6317</v>
      </c>
      <c r="H4366" s="11">
        <v>41190</v>
      </c>
      <c r="I4366" s="10">
        <v>2013</v>
      </c>
      <c r="J4366" s="10" t="s">
        <v>17167</v>
      </c>
      <c r="K4366" s="10">
        <v>172</v>
      </c>
      <c r="L4366" s="10" t="s">
        <v>24238</v>
      </c>
      <c r="M4366" s="10">
        <v>1</v>
      </c>
      <c r="N4366" s="10" t="s">
        <v>22943</v>
      </c>
      <c r="O4366" s="10"/>
      <c r="P4366" s="10"/>
      <c r="Q4366" s="10">
        <v>371.82996072999998</v>
      </c>
      <c r="R4366" s="10" t="s">
        <v>24239</v>
      </c>
      <c r="S4366" s="10" t="s">
        <v>53</v>
      </c>
      <c r="T4366" s="10" t="s">
        <v>54</v>
      </c>
    </row>
    <row r="4367" spans="1:20" ht="14.5" x14ac:dyDescent="0.35">
      <c r="A4367" s="10" t="s">
        <v>24240</v>
      </c>
      <c r="B4367" s="10" t="str">
        <f>"9781610488761"</f>
        <v>9781610488761</v>
      </c>
      <c r="C4367" s="10" t="str">
        <f>"9781610488778"</f>
        <v>9781610488778</v>
      </c>
      <c r="D4367" s="10" t="s">
        <v>9752</v>
      </c>
      <c r="E4367" s="10" t="s">
        <v>15192</v>
      </c>
      <c r="F4367" s="10" t="s">
        <v>9754</v>
      </c>
      <c r="G4367" s="10" t="s">
        <v>6317</v>
      </c>
      <c r="H4367" s="11">
        <v>41135</v>
      </c>
      <c r="I4367" s="10">
        <v>2012</v>
      </c>
      <c r="J4367" s="10" t="s">
        <v>15192</v>
      </c>
      <c r="K4367" s="10">
        <v>147</v>
      </c>
      <c r="L4367" s="10" t="s">
        <v>24241</v>
      </c>
      <c r="M4367" s="10">
        <v>1</v>
      </c>
      <c r="N4367" s="10"/>
      <c r="O4367" s="10"/>
      <c r="P4367" s="10" t="s">
        <v>24242</v>
      </c>
      <c r="Q4367" s="10">
        <v>372.44</v>
      </c>
      <c r="R4367" s="10" t="s">
        <v>24243</v>
      </c>
      <c r="S4367" s="10" t="s">
        <v>53</v>
      </c>
      <c r="T4367" s="10" t="s">
        <v>54</v>
      </c>
    </row>
    <row r="4368" spans="1:20" ht="14.5" x14ac:dyDescent="0.35">
      <c r="A4368" s="10" t="s">
        <v>24244</v>
      </c>
      <c r="B4368" s="10" t="str">
        <f>"9781579227791"</f>
        <v>9781579227791</v>
      </c>
      <c r="C4368" s="10" t="str">
        <f>"9781000972894"</f>
        <v>9781000972894</v>
      </c>
      <c r="D4368" s="10" t="s">
        <v>6350</v>
      </c>
      <c r="E4368" s="10" t="s">
        <v>6351</v>
      </c>
      <c r="F4368" s="10" t="s">
        <v>748</v>
      </c>
      <c r="G4368" s="10" t="s">
        <v>6352</v>
      </c>
      <c r="H4368" s="11">
        <v>40981</v>
      </c>
      <c r="I4368" s="10">
        <v>2012</v>
      </c>
      <c r="J4368" s="10" t="s">
        <v>6351</v>
      </c>
      <c r="K4368" s="10">
        <v>271</v>
      </c>
      <c r="L4368" s="10" t="s">
        <v>24245</v>
      </c>
      <c r="M4368" s="10">
        <v>1</v>
      </c>
      <c r="N4368" s="10"/>
      <c r="O4368" s="10"/>
      <c r="P4368" s="10" t="s">
        <v>24246</v>
      </c>
      <c r="Q4368" s="10">
        <v>378.73</v>
      </c>
      <c r="R4368" s="10" t="s">
        <v>24247</v>
      </c>
      <c r="S4368" s="10" t="s">
        <v>53</v>
      </c>
      <c r="T4368" s="10" t="s">
        <v>54</v>
      </c>
    </row>
    <row r="4369" spans="1:20" ht="14.5" x14ac:dyDescent="0.35">
      <c r="A4369" s="10" t="s">
        <v>24248</v>
      </c>
      <c r="B4369" s="10" t="str">
        <f>"9781579225834"</f>
        <v>9781579225834</v>
      </c>
      <c r="C4369" s="10" t="str">
        <f>"9781000971958"</f>
        <v>9781000971958</v>
      </c>
      <c r="D4369" s="10" t="s">
        <v>6350</v>
      </c>
      <c r="E4369" s="10" t="s">
        <v>6351</v>
      </c>
      <c r="F4369" s="10" t="s">
        <v>14733</v>
      </c>
      <c r="G4369" s="10" t="s">
        <v>6317</v>
      </c>
      <c r="H4369" s="11">
        <v>40777</v>
      </c>
      <c r="I4369" s="10">
        <v>2011</v>
      </c>
      <c r="J4369" s="10" t="s">
        <v>6353</v>
      </c>
      <c r="K4369" s="10">
        <v>523</v>
      </c>
      <c r="L4369" s="10" t="s">
        <v>24249</v>
      </c>
      <c r="M4369" s="10">
        <v>1</v>
      </c>
      <c r="N4369" s="10"/>
      <c r="O4369" s="10"/>
      <c r="P4369" s="10" t="s">
        <v>24250</v>
      </c>
      <c r="Q4369" s="10" t="s">
        <v>16871</v>
      </c>
      <c r="R4369" s="10" t="s">
        <v>24251</v>
      </c>
      <c r="S4369" s="10" t="s">
        <v>53</v>
      </c>
      <c r="T4369" s="10" t="s">
        <v>54</v>
      </c>
    </row>
    <row r="4370" spans="1:20" ht="14.5" x14ac:dyDescent="0.35">
      <c r="A4370" s="10" t="s">
        <v>24252</v>
      </c>
      <c r="B4370" s="10" t="str">
        <f>"9780415636247"</f>
        <v>9780415636247</v>
      </c>
      <c r="C4370" s="10" t="str">
        <f>"9781135085490"</f>
        <v>9781135085490</v>
      </c>
      <c r="D4370" s="10" t="s">
        <v>6350</v>
      </c>
      <c r="E4370" s="10" t="s">
        <v>6351</v>
      </c>
      <c r="F4370" s="10" t="s">
        <v>139</v>
      </c>
      <c r="G4370" s="10" t="s">
        <v>6352</v>
      </c>
      <c r="H4370" s="11">
        <v>41248</v>
      </c>
      <c r="I4370" s="10">
        <v>2013</v>
      </c>
      <c r="J4370" s="10" t="s">
        <v>6353</v>
      </c>
      <c r="K4370" s="10">
        <v>237</v>
      </c>
      <c r="L4370" s="10" t="s">
        <v>24253</v>
      </c>
      <c r="M4370" s="10">
        <v>1</v>
      </c>
      <c r="N4370" s="10" t="s">
        <v>6636</v>
      </c>
      <c r="O4370" s="10"/>
      <c r="P4370" s="10" t="s">
        <v>24254</v>
      </c>
      <c r="Q4370" s="10">
        <v>370.1</v>
      </c>
      <c r="R4370" s="10" t="s">
        <v>24255</v>
      </c>
      <c r="S4370" s="10" t="s">
        <v>53</v>
      </c>
      <c r="T4370" s="10" t="s">
        <v>54</v>
      </c>
    </row>
    <row r="4371" spans="1:20" ht="14.5" x14ac:dyDescent="0.35">
      <c r="A4371" s="10" t="s">
        <v>24256</v>
      </c>
      <c r="B4371" s="10" t="str">
        <f>"9780415636261"</f>
        <v>9780415636261</v>
      </c>
      <c r="C4371" s="10" t="str">
        <f>"9781135087807"</f>
        <v>9781135087807</v>
      </c>
      <c r="D4371" s="10" t="s">
        <v>6350</v>
      </c>
      <c r="E4371" s="10" t="s">
        <v>6351</v>
      </c>
      <c r="F4371" s="10" t="s">
        <v>139</v>
      </c>
      <c r="G4371" s="10" t="s">
        <v>6352</v>
      </c>
      <c r="H4371" s="11">
        <v>41255</v>
      </c>
      <c r="I4371" s="10">
        <v>2013</v>
      </c>
      <c r="J4371" s="10" t="s">
        <v>6353</v>
      </c>
      <c r="K4371" s="10">
        <v>173</v>
      </c>
      <c r="L4371" s="10" t="s">
        <v>24257</v>
      </c>
      <c r="M4371" s="10">
        <v>1</v>
      </c>
      <c r="N4371" s="10" t="s">
        <v>6954</v>
      </c>
      <c r="O4371" s="10"/>
      <c r="P4371" s="10" t="s">
        <v>24258</v>
      </c>
      <c r="Q4371" s="10">
        <v>371.58</v>
      </c>
      <c r="R4371" s="10" t="s">
        <v>24259</v>
      </c>
      <c r="S4371" s="10" t="s">
        <v>53</v>
      </c>
      <c r="T4371" s="10" t="s">
        <v>54</v>
      </c>
    </row>
    <row r="4372" spans="1:20" ht="14.5" x14ac:dyDescent="0.35">
      <c r="A4372" s="10" t="s">
        <v>24260</v>
      </c>
      <c r="B4372" s="10" t="str">
        <f>"9780415636285"</f>
        <v>9780415636285</v>
      </c>
      <c r="C4372" s="10" t="str">
        <f>"9781136154447"</f>
        <v>9781136154447</v>
      </c>
      <c r="D4372" s="10" t="s">
        <v>6350</v>
      </c>
      <c r="E4372" s="10" t="s">
        <v>6351</v>
      </c>
      <c r="F4372" s="10" t="s">
        <v>139</v>
      </c>
      <c r="G4372" s="10" t="s">
        <v>6352</v>
      </c>
      <c r="H4372" s="11">
        <v>41254</v>
      </c>
      <c r="I4372" s="10">
        <v>2013</v>
      </c>
      <c r="J4372" s="10" t="s">
        <v>6353</v>
      </c>
      <c r="K4372" s="10">
        <v>272</v>
      </c>
      <c r="L4372" s="10" t="s">
        <v>24261</v>
      </c>
      <c r="M4372" s="10">
        <v>1</v>
      </c>
      <c r="N4372" s="10" t="s">
        <v>6954</v>
      </c>
      <c r="O4372" s="10"/>
      <c r="P4372" s="10" t="s">
        <v>24262</v>
      </c>
      <c r="Q4372" s="10">
        <v>370.72</v>
      </c>
      <c r="R4372" s="10" t="s">
        <v>6769</v>
      </c>
      <c r="S4372" s="10" t="s">
        <v>53</v>
      </c>
      <c r="T4372" s="10" t="s">
        <v>54</v>
      </c>
    </row>
    <row r="4373" spans="1:20" ht="14.5" x14ac:dyDescent="0.35">
      <c r="A4373" s="10" t="s">
        <v>24263</v>
      </c>
      <c r="B4373" s="10" t="str">
        <f>"9780415638333"</f>
        <v>9780415638333</v>
      </c>
      <c r="C4373" s="10" t="str">
        <f>"9781136189241"</f>
        <v>9781136189241</v>
      </c>
      <c r="D4373" s="10" t="s">
        <v>6350</v>
      </c>
      <c r="E4373" s="10" t="s">
        <v>6351</v>
      </c>
      <c r="F4373" s="10" t="s">
        <v>139</v>
      </c>
      <c r="G4373" s="10" t="s">
        <v>6352</v>
      </c>
      <c r="H4373" s="11">
        <v>41262</v>
      </c>
      <c r="I4373" s="10">
        <v>2013</v>
      </c>
      <c r="J4373" s="10" t="s">
        <v>6353</v>
      </c>
      <c r="K4373" s="10">
        <v>268</v>
      </c>
      <c r="L4373" s="10" t="s">
        <v>24264</v>
      </c>
      <c r="M4373" s="10">
        <v>1</v>
      </c>
      <c r="N4373" s="10" t="s">
        <v>6954</v>
      </c>
      <c r="O4373" s="10"/>
      <c r="P4373" s="10" t="s">
        <v>24265</v>
      </c>
      <c r="Q4373" s="10">
        <v>370.11700000000002</v>
      </c>
      <c r="R4373" s="10" t="s">
        <v>6809</v>
      </c>
      <c r="S4373" s="10" t="s">
        <v>53</v>
      </c>
      <c r="T4373" s="10" t="s">
        <v>54</v>
      </c>
    </row>
    <row r="4374" spans="1:20" ht="14.5" x14ac:dyDescent="0.35">
      <c r="A4374" s="10" t="s">
        <v>24266</v>
      </c>
      <c r="B4374" s="10" t="str">
        <f>"9780415634748"</f>
        <v>9780415634748</v>
      </c>
      <c r="C4374" s="10" t="str">
        <f>"9781136206085"</f>
        <v>9781136206085</v>
      </c>
      <c r="D4374" s="10" t="s">
        <v>6350</v>
      </c>
      <c r="E4374" s="10" t="s">
        <v>6351</v>
      </c>
      <c r="F4374" s="10" t="s">
        <v>139</v>
      </c>
      <c r="G4374" s="10" t="s">
        <v>6352</v>
      </c>
      <c r="H4374" s="11">
        <v>41251</v>
      </c>
      <c r="I4374" s="10">
        <v>2013</v>
      </c>
      <c r="J4374" s="10" t="s">
        <v>6353</v>
      </c>
      <c r="K4374" s="10">
        <v>253</v>
      </c>
      <c r="L4374" s="10" t="s">
        <v>6838</v>
      </c>
      <c r="M4374" s="10">
        <v>1</v>
      </c>
      <c r="N4374" s="10"/>
      <c r="O4374" s="10"/>
      <c r="P4374" s="10" t="s">
        <v>24267</v>
      </c>
      <c r="Q4374" s="10" t="s">
        <v>24268</v>
      </c>
      <c r="R4374" s="10" t="s">
        <v>18492</v>
      </c>
      <c r="S4374" s="10" t="s">
        <v>53</v>
      </c>
      <c r="T4374" s="10" t="s">
        <v>54</v>
      </c>
    </row>
    <row r="4375" spans="1:20" ht="14.5" x14ac:dyDescent="0.35">
      <c r="A4375" s="10" t="s">
        <v>24269</v>
      </c>
      <c r="B4375" s="10" t="str">
        <f>"9780415536783"</f>
        <v>9780415536783</v>
      </c>
      <c r="C4375" s="10" t="str">
        <f>"9781136277924"</f>
        <v>9781136277924</v>
      </c>
      <c r="D4375" s="10" t="s">
        <v>6350</v>
      </c>
      <c r="E4375" s="10" t="s">
        <v>6351</v>
      </c>
      <c r="F4375" s="10" t="s">
        <v>139</v>
      </c>
      <c r="G4375" s="10" t="s">
        <v>6352</v>
      </c>
      <c r="H4375" s="11">
        <v>41304</v>
      </c>
      <c r="I4375" s="10">
        <v>2013</v>
      </c>
      <c r="J4375" s="10" t="s">
        <v>6353</v>
      </c>
      <c r="K4375" s="10">
        <v>207</v>
      </c>
      <c r="L4375" s="10" t="s">
        <v>17714</v>
      </c>
      <c r="M4375" s="10">
        <v>1</v>
      </c>
      <c r="N4375" s="10"/>
      <c r="O4375" s="10"/>
      <c r="P4375" s="10" t="s">
        <v>24270</v>
      </c>
      <c r="Q4375" s="10" t="s">
        <v>8748</v>
      </c>
      <c r="R4375" s="10" t="s">
        <v>24271</v>
      </c>
      <c r="S4375" s="10" t="s">
        <v>53</v>
      </c>
      <c r="T4375" s="10" t="s">
        <v>54</v>
      </c>
    </row>
    <row r="4376" spans="1:20" ht="14.5" x14ac:dyDescent="0.35">
      <c r="A4376" s="10" t="s">
        <v>24272</v>
      </c>
      <c r="B4376" s="10" t="str">
        <f>"9780415503761"</f>
        <v>9780415503761</v>
      </c>
      <c r="C4376" s="10" t="str">
        <f>"9781136320187"</f>
        <v>9781136320187</v>
      </c>
      <c r="D4376" s="10" t="s">
        <v>6350</v>
      </c>
      <c r="E4376" s="10" t="s">
        <v>6351</v>
      </c>
      <c r="F4376" s="10" t="s">
        <v>139</v>
      </c>
      <c r="G4376" s="10" t="s">
        <v>6352</v>
      </c>
      <c r="H4376" s="11">
        <v>41254</v>
      </c>
      <c r="I4376" s="10">
        <v>2013</v>
      </c>
      <c r="J4376" s="10" t="s">
        <v>6353</v>
      </c>
      <c r="K4376" s="10">
        <v>209</v>
      </c>
      <c r="L4376" s="10" t="s">
        <v>24273</v>
      </c>
      <c r="M4376" s="10">
        <v>2</v>
      </c>
      <c r="N4376" s="10"/>
      <c r="O4376" s="10"/>
      <c r="P4376" s="10" t="s">
        <v>24274</v>
      </c>
      <c r="Q4376" s="10" t="s">
        <v>8748</v>
      </c>
      <c r="R4376" s="10" t="s">
        <v>24275</v>
      </c>
      <c r="S4376" s="10" t="s">
        <v>53</v>
      </c>
      <c r="T4376" s="10" t="s">
        <v>54</v>
      </c>
    </row>
    <row r="4377" spans="1:20" ht="14.5" x14ac:dyDescent="0.35">
      <c r="A4377" s="10" t="s">
        <v>24276</v>
      </c>
      <c r="B4377" s="10" t="str">
        <f>"9780415507271"</f>
        <v>9780415507271</v>
      </c>
      <c r="C4377" s="10" t="str">
        <f>"9781136455728"</f>
        <v>9781136455728</v>
      </c>
      <c r="D4377" s="10" t="s">
        <v>6350</v>
      </c>
      <c r="E4377" s="10" t="s">
        <v>6351</v>
      </c>
      <c r="F4377" s="10" t="s">
        <v>139</v>
      </c>
      <c r="G4377" s="10" t="s">
        <v>6352</v>
      </c>
      <c r="H4377" s="11">
        <v>41324</v>
      </c>
      <c r="I4377" s="10">
        <v>2013</v>
      </c>
      <c r="J4377" s="10" t="s">
        <v>6353</v>
      </c>
      <c r="K4377" s="10">
        <v>300</v>
      </c>
      <c r="L4377" s="10" t="s">
        <v>24277</v>
      </c>
      <c r="M4377" s="10">
        <v>1</v>
      </c>
      <c r="N4377" s="10"/>
      <c r="O4377" s="10"/>
      <c r="P4377" s="10" t="s">
        <v>24278</v>
      </c>
      <c r="Q4377" s="10">
        <v>371.95089999999999</v>
      </c>
      <c r="R4377" s="10" t="s">
        <v>24279</v>
      </c>
      <c r="S4377" s="10" t="s">
        <v>53</v>
      </c>
      <c r="T4377" s="10" t="s">
        <v>54</v>
      </c>
    </row>
    <row r="4378" spans="1:20" ht="14.5" x14ac:dyDescent="0.35">
      <c r="A4378" s="10" t="s">
        <v>24280</v>
      </c>
      <c r="B4378" s="10" t="str">
        <f>"9780415507219"</f>
        <v>9780415507219</v>
      </c>
      <c r="C4378" s="10" t="str">
        <f>"9781136456145"</f>
        <v>9781136456145</v>
      </c>
      <c r="D4378" s="10" t="s">
        <v>6350</v>
      </c>
      <c r="E4378" s="10" t="s">
        <v>6351</v>
      </c>
      <c r="F4378" s="10" t="s">
        <v>139</v>
      </c>
      <c r="G4378" s="10" t="s">
        <v>6352</v>
      </c>
      <c r="H4378" s="11">
        <v>41304</v>
      </c>
      <c r="I4378" s="10">
        <v>2013</v>
      </c>
      <c r="J4378" s="10" t="s">
        <v>6353</v>
      </c>
      <c r="K4378" s="10">
        <v>249</v>
      </c>
      <c r="L4378" s="10" t="s">
        <v>24281</v>
      </c>
      <c r="M4378" s="10">
        <v>1</v>
      </c>
      <c r="N4378" s="10" t="s">
        <v>14444</v>
      </c>
      <c r="O4378" s="10"/>
      <c r="P4378" s="10" t="s">
        <v>24282</v>
      </c>
      <c r="Q4378" s="10" t="s">
        <v>24283</v>
      </c>
      <c r="R4378" s="10" t="s">
        <v>24284</v>
      </c>
      <c r="S4378" s="10" t="s">
        <v>53</v>
      </c>
      <c r="T4378" s="10" t="s">
        <v>7023</v>
      </c>
    </row>
    <row r="4379" spans="1:20" ht="14.5" x14ac:dyDescent="0.35">
      <c r="A4379" s="10" t="s">
        <v>24285</v>
      </c>
      <c r="B4379" s="10" t="str">
        <f>"9780415809764"</f>
        <v>9780415809764</v>
      </c>
      <c r="C4379" s="10" t="str">
        <f>"9781136482502"</f>
        <v>9781136482502</v>
      </c>
      <c r="D4379" s="10" t="s">
        <v>6350</v>
      </c>
      <c r="E4379" s="10" t="s">
        <v>6351</v>
      </c>
      <c r="F4379" s="10" t="s">
        <v>139</v>
      </c>
      <c r="G4379" s="10" t="s">
        <v>6352</v>
      </c>
      <c r="H4379" s="11">
        <v>41278</v>
      </c>
      <c r="I4379" s="10">
        <v>2013</v>
      </c>
      <c r="J4379" s="10" t="s">
        <v>6353</v>
      </c>
      <c r="K4379" s="10">
        <v>132</v>
      </c>
      <c r="L4379" s="10" t="s">
        <v>24286</v>
      </c>
      <c r="M4379" s="10">
        <v>1</v>
      </c>
      <c r="N4379" s="10"/>
      <c r="O4379" s="10"/>
      <c r="P4379" s="10" t="s">
        <v>24287</v>
      </c>
      <c r="Q4379" s="10">
        <v>371.2</v>
      </c>
      <c r="R4379" s="10" t="s">
        <v>24288</v>
      </c>
      <c r="S4379" s="10" t="s">
        <v>53</v>
      </c>
      <c r="T4379" s="10" t="s">
        <v>54</v>
      </c>
    </row>
    <row r="4380" spans="1:20" ht="14.5" x14ac:dyDescent="0.35">
      <c r="A4380" s="10" t="s">
        <v>24289</v>
      </c>
      <c r="B4380" s="10" t="str">
        <f>"9780415687782"</f>
        <v>9780415687782</v>
      </c>
      <c r="C4380" s="10" t="str">
        <f>"9781136487613"</f>
        <v>9781136487613</v>
      </c>
      <c r="D4380" s="10" t="s">
        <v>6350</v>
      </c>
      <c r="E4380" s="10" t="s">
        <v>6351</v>
      </c>
      <c r="F4380" s="10" t="s">
        <v>139</v>
      </c>
      <c r="G4380" s="10" t="s">
        <v>6352</v>
      </c>
      <c r="H4380" s="11">
        <v>41278</v>
      </c>
      <c r="I4380" s="10">
        <v>2013</v>
      </c>
      <c r="J4380" s="10" t="s">
        <v>6353</v>
      </c>
      <c r="K4380" s="10">
        <v>337</v>
      </c>
      <c r="L4380" s="10" t="s">
        <v>24290</v>
      </c>
      <c r="M4380" s="10">
        <v>1</v>
      </c>
      <c r="N4380" s="10" t="s">
        <v>24291</v>
      </c>
      <c r="O4380" s="10"/>
      <c r="P4380" s="10" t="s">
        <v>24292</v>
      </c>
      <c r="Q4380" s="10">
        <v>910.71199999999999</v>
      </c>
      <c r="R4380" s="10" t="s">
        <v>24293</v>
      </c>
      <c r="S4380" s="10" t="s">
        <v>53</v>
      </c>
      <c r="T4380" s="10" t="s">
        <v>12094</v>
      </c>
    </row>
    <row r="4381" spans="1:20" ht="14.5" x14ac:dyDescent="0.35">
      <c r="A4381" s="10" t="s">
        <v>24294</v>
      </c>
      <c r="B4381" s="10" t="str">
        <f>"9780415524193"</f>
        <v>9780415524193</v>
      </c>
      <c r="C4381" s="10" t="str">
        <f>"9781135073565"</f>
        <v>9781135073565</v>
      </c>
      <c r="D4381" s="10" t="s">
        <v>6350</v>
      </c>
      <c r="E4381" s="10" t="s">
        <v>6351</v>
      </c>
      <c r="F4381" s="10" t="s">
        <v>139</v>
      </c>
      <c r="G4381" s="10" t="s">
        <v>6352</v>
      </c>
      <c r="H4381" s="11">
        <v>41262</v>
      </c>
      <c r="I4381" s="10">
        <v>2013</v>
      </c>
      <c r="J4381" s="10" t="s">
        <v>6353</v>
      </c>
      <c r="K4381" s="10">
        <v>280</v>
      </c>
      <c r="L4381" s="10" t="s">
        <v>24295</v>
      </c>
      <c r="M4381" s="10">
        <v>1</v>
      </c>
      <c r="N4381" s="10" t="s">
        <v>6954</v>
      </c>
      <c r="O4381" s="10"/>
      <c r="P4381" s="10" t="s">
        <v>24296</v>
      </c>
      <c r="Q4381" s="10">
        <v>370.11500000000001</v>
      </c>
      <c r="R4381" s="10" t="s">
        <v>24297</v>
      </c>
      <c r="S4381" s="10" t="s">
        <v>53</v>
      </c>
      <c r="T4381" s="10" t="s">
        <v>54</v>
      </c>
    </row>
    <row r="4382" spans="1:20" ht="14.5" x14ac:dyDescent="0.35">
      <c r="A4382" s="10" t="s">
        <v>24298</v>
      </c>
      <c r="B4382" s="10" t="str">
        <f>"9780415897525"</f>
        <v>9780415897525</v>
      </c>
      <c r="C4382" s="10" t="str">
        <f>"9781136637667"</f>
        <v>9781136637667</v>
      </c>
      <c r="D4382" s="10" t="s">
        <v>6350</v>
      </c>
      <c r="E4382" s="10" t="s">
        <v>6351</v>
      </c>
      <c r="F4382" s="10" t="s">
        <v>748</v>
      </c>
      <c r="G4382" s="10" t="s">
        <v>6352</v>
      </c>
      <c r="H4382" s="11">
        <v>41187</v>
      </c>
      <c r="I4382" s="10">
        <v>2013</v>
      </c>
      <c r="J4382" s="10" t="s">
        <v>6351</v>
      </c>
      <c r="K4382" s="10">
        <v>140</v>
      </c>
      <c r="L4382" s="10" t="s">
        <v>24299</v>
      </c>
      <c r="M4382" s="10">
        <v>1</v>
      </c>
      <c r="N4382" s="10" t="s">
        <v>12310</v>
      </c>
      <c r="O4382" s="10"/>
      <c r="P4382" s="10" t="s">
        <v>24300</v>
      </c>
      <c r="Q4382" s="10" t="s">
        <v>9360</v>
      </c>
      <c r="R4382" s="10" t="s">
        <v>19006</v>
      </c>
      <c r="S4382" s="10" t="s">
        <v>53</v>
      </c>
      <c r="T4382" s="10" t="s">
        <v>54</v>
      </c>
    </row>
    <row r="4383" spans="1:20" ht="14.5" x14ac:dyDescent="0.35">
      <c r="A4383" s="10" t="s">
        <v>24301</v>
      </c>
      <c r="B4383" s="10" t="str">
        <f>"9780815723943"</f>
        <v>9780815723943</v>
      </c>
      <c r="C4383" s="10" t="str">
        <f>"9780815723950"</f>
        <v>9780815723950</v>
      </c>
      <c r="D4383" s="10" t="s">
        <v>9752</v>
      </c>
      <c r="E4383" s="10" t="s">
        <v>9753</v>
      </c>
      <c r="F4383" s="10" t="s">
        <v>9754</v>
      </c>
      <c r="G4383" s="10" t="s">
        <v>6317</v>
      </c>
      <c r="H4383" s="11">
        <v>41292</v>
      </c>
      <c r="I4383" s="10">
        <v>2013</v>
      </c>
      <c r="J4383" s="10" t="s">
        <v>9753</v>
      </c>
      <c r="K4383" s="10">
        <v>434</v>
      </c>
      <c r="L4383" s="10" t="s">
        <v>24302</v>
      </c>
      <c r="M4383" s="10">
        <v>1</v>
      </c>
      <c r="N4383" s="10"/>
      <c r="O4383" s="10"/>
      <c r="P4383" s="10" t="s">
        <v>24303</v>
      </c>
      <c r="Q4383" s="10">
        <v>379</v>
      </c>
      <c r="R4383" s="10" t="s">
        <v>9775</v>
      </c>
      <c r="S4383" s="10" t="s">
        <v>53</v>
      </c>
      <c r="T4383" s="10" t="s">
        <v>54</v>
      </c>
    </row>
    <row r="4384" spans="1:20" ht="14.5" x14ac:dyDescent="0.35">
      <c r="A4384" s="10" t="s">
        <v>24304</v>
      </c>
      <c r="B4384" s="10" t="str">
        <f>"9780826334077"</f>
        <v>9780826334077</v>
      </c>
      <c r="C4384" s="10" t="str">
        <f>"9780826334091"</f>
        <v>9780826334091</v>
      </c>
      <c r="D4384" s="10" t="s">
        <v>24305</v>
      </c>
      <c r="E4384" s="10" t="s">
        <v>24305</v>
      </c>
      <c r="F4384" s="10" t="s">
        <v>24306</v>
      </c>
      <c r="G4384" s="10" t="s">
        <v>6317</v>
      </c>
      <c r="H4384" s="11">
        <v>39798</v>
      </c>
      <c r="I4384" s="10">
        <v>2009</v>
      </c>
      <c r="J4384" s="10" t="s">
        <v>24305</v>
      </c>
      <c r="K4384" s="10">
        <v>474</v>
      </c>
      <c r="L4384" s="10" t="s">
        <v>24307</v>
      </c>
      <c r="M4384" s="10">
        <v>1</v>
      </c>
      <c r="N4384" s="10"/>
      <c r="O4384" s="10"/>
      <c r="P4384" s="10" t="s">
        <v>24308</v>
      </c>
      <c r="Q4384" s="10">
        <v>727</v>
      </c>
      <c r="R4384" s="10" t="s">
        <v>24309</v>
      </c>
      <c r="S4384" s="10" t="s">
        <v>53</v>
      </c>
      <c r="T4384" s="10" t="s">
        <v>9824</v>
      </c>
    </row>
    <row r="4385" spans="1:20" ht="14.5" x14ac:dyDescent="0.35">
      <c r="A4385" s="10" t="s">
        <v>24310</v>
      </c>
      <c r="B4385" s="10" t="str">
        <f>"9781412981323"</f>
        <v>9781412981323</v>
      </c>
      <c r="C4385" s="10" t="str">
        <f>"9781452216096"</f>
        <v>9781452216096</v>
      </c>
      <c r="D4385" s="10" t="s">
        <v>22210</v>
      </c>
      <c r="E4385" s="10" t="s">
        <v>22211</v>
      </c>
      <c r="F4385" s="10" t="s">
        <v>333</v>
      </c>
      <c r="G4385" s="10" t="s">
        <v>6317</v>
      </c>
      <c r="H4385" s="11">
        <v>40382</v>
      </c>
      <c r="I4385" s="10">
        <v>2010</v>
      </c>
      <c r="J4385" s="10" t="s">
        <v>22211</v>
      </c>
      <c r="K4385" s="10">
        <v>153</v>
      </c>
      <c r="L4385" s="10" t="s">
        <v>22356</v>
      </c>
      <c r="M4385" s="10">
        <v>1</v>
      </c>
      <c r="N4385" s="10"/>
      <c r="O4385" s="10"/>
      <c r="P4385" s="10" t="s">
        <v>24311</v>
      </c>
      <c r="Q4385" s="10">
        <v>372.13900000000001</v>
      </c>
      <c r="R4385" s="10"/>
      <c r="S4385" s="10" t="s">
        <v>53</v>
      </c>
      <c r="T4385" s="10" t="s">
        <v>54</v>
      </c>
    </row>
    <row r="4386" spans="1:20" ht="14.5" x14ac:dyDescent="0.35">
      <c r="A4386" s="10" t="s">
        <v>24312</v>
      </c>
      <c r="B4386" s="10" t="str">
        <f>"9781412972451"</f>
        <v>9781412972451</v>
      </c>
      <c r="C4386" s="10" t="str">
        <f>"9781452210681"</f>
        <v>9781452210681</v>
      </c>
      <c r="D4386" s="10" t="s">
        <v>22210</v>
      </c>
      <c r="E4386" s="10" t="s">
        <v>22211</v>
      </c>
      <c r="F4386" s="10" t="s">
        <v>333</v>
      </c>
      <c r="G4386" s="10" t="s">
        <v>6317</v>
      </c>
      <c r="H4386" s="11">
        <v>40367</v>
      </c>
      <c r="I4386" s="10">
        <v>2010</v>
      </c>
      <c r="J4386" s="10" t="s">
        <v>22211</v>
      </c>
      <c r="K4386" s="10">
        <v>201</v>
      </c>
      <c r="L4386" s="10" t="s">
        <v>24313</v>
      </c>
      <c r="M4386" s="10">
        <v>1</v>
      </c>
      <c r="N4386" s="10"/>
      <c r="O4386" s="10"/>
      <c r="P4386" s="10" t="s">
        <v>24314</v>
      </c>
      <c r="Q4386" s="10">
        <v>371.14</v>
      </c>
      <c r="R4386" s="10"/>
      <c r="S4386" s="10" t="s">
        <v>53</v>
      </c>
      <c r="T4386" s="10" t="s">
        <v>54</v>
      </c>
    </row>
    <row r="4387" spans="1:20" ht="14.5" x14ac:dyDescent="0.35">
      <c r="A4387" s="10" t="s">
        <v>24315</v>
      </c>
      <c r="B4387" s="10" t="str">
        <f>"9781412972178"</f>
        <v>9781412972178</v>
      </c>
      <c r="C4387" s="10" t="str">
        <f>"9781452211879"</f>
        <v>9781452211879</v>
      </c>
      <c r="D4387" s="10" t="s">
        <v>22210</v>
      </c>
      <c r="E4387" s="10" t="s">
        <v>22211</v>
      </c>
      <c r="F4387" s="10" t="s">
        <v>333</v>
      </c>
      <c r="G4387" s="10" t="s">
        <v>6317</v>
      </c>
      <c r="H4387" s="11">
        <v>40275</v>
      </c>
      <c r="I4387" s="10">
        <v>2010</v>
      </c>
      <c r="J4387" s="10" t="s">
        <v>22211</v>
      </c>
      <c r="K4387" s="10">
        <v>249</v>
      </c>
      <c r="L4387" s="10" t="s">
        <v>24316</v>
      </c>
      <c r="M4387" s="10">
        <v>1</v>
      </c>
      <c r="N4387" s="10"/>
      <c r="O4387" s="10"/>
      <c r="P4387" s="10" t="s">
        <v>24317</v>
      </c>
      <c r="Q4387" s="10" t="s">
        <v>10031</v>
      </c>
      <c r="R4387" s="10" t="s">
        <v>24318</v>
      </c>
      <c r="S4387" s="10" t="s">
        <v>53</v>
      </c>
      <c r="T4387" s="10" t="s">
        <v>54</v>
      </c>
    </row>
    <row r="4388" spans="1:20" ht="14.5" x14ac:dyDescent="0.35">
      <c r="A4388" s="10" t="s">
        <v>24319</v>
      </c>
      <c r="B4388" s="10" t="str">
        <f>"9781412974905"</f>
        <v>9781412974905</v>
      </c>
      <c r="C4388" s="10" t="str">
        <f>"9781452211978"</f>
        <v>9781452211978</v>
      </c>
      <c r="D4388" s="10" t="s">
        <v>22210</v>
      </c>
      <c r="E4388" s="10" t="s">
        <v>22211</v>
      </c>
      <c r="F4388" s="10" t="s">
        <v>333</v>
      </c>
      <c r="G4388" s="10" t="s">
        <v>6317</v>
      </c>
      <c r="H4388" s="11">
        <v>40218</v>
      </c>
      <c r="I4388" s="10">
        <v>2010</v>
      </c>
      <c r="J4388" s="10" t="s">
        <v>22211</v>
      </c>
      <c r="K4388" s="10">
        <v>129</v>
      </c>
      <c r="L4388" s="10" t="s">
        <v>24320</v>
      </c>
      <c r="M4388" s="10">
        <v>1</v>
      </c>
      <c r="N4388" s="10"/>
      <c r="O4388" s="10"/>
      <c r="P4388" s="10" t="s">
        <v>24321</v>
      </c>
      <c r="Q4388" s="10">
        <v>371.4</v>
      </c>
      <c r="R4388" s="10"/>
      <c r="S4388" s="10" t="s">
        <v>53</v>
      </c>
      <c r="T4388" s="10" t="s">
        <v>54</v>
      </c>
    </row>
    <row r="4389" spans="1:20" ht="14.5" x14ac:dyDescent="0.35">
      <c r="A4389" s="10" t="s">
        <v>24322</v>
      </c>
      <c r="B4389" s="10" t="str">
        <f>"9781412974134"</f>
        <v>9781412974134</v>
      </c>
      <c r="C4389" s="10" t="str">
        <f>"9781452215334"</f>
        <v>9781452215334</v>
      </c>
      <c r="D4389" s="10" t="s">
        <v>22210</v>
      </c>
      <c r="E4389" s="10" t="s">
        <v>22211</v>
      </c>
      <c r="F4389" s="10" t="s">
        <v>333</v>
      </c>
      <c r="G4389" s="10" t="s">
        <v>6317</v>
      </c>
      <c r="H4389" s="11">
        <v>40331</v>
      </c>
      <c r="I4389" s="10">
        <v>2010</v>
      </c>
      <c r="J4389" s="10" t="s">
        <v>22211</v>
      </c>
      <c r="K4389" s="10">
        <v>153</v>
      </c>
      <c r="L4389" s="10" t="s">
        <v>24323</v>
      </c>
      <c r="M4389" s="10">
        <v>1</v>
      </c>
      <c r="N4389" s="10"/>
      <c r="O4389" s="10"/>
      <c r="P4389" s="10" t="s">
        <v>24324</v>
      </c>
      <c r="Q4389" s="10" t="s">
        <v>19840</v>
      </c>
      <c r="R4389" s="10"/>
      <c r="S4389" s="10" t="s">
        <v>53</v>
      </c>
      <c r="T4389" s="10" t="s">
        <v>54</v>
      </c>
    </row>
    <row r="4390" spans="1:20" ht="14.5" x14ac:dyDescent="0.35">
      <c r="A4390" s="10" t="s">
        <v>24325</v>
      </c>
      <c r="B4390" s="10" t="str">
        <f>"9781412978392"</f>
        <v>9781412978392</v>
      </c>
      <c r="C4390" s="10" t="str">
        <f>"9781452241173"</f>
        <v>9781452241173</v>
      </c>
      <c r="D4390" s="10" t="s">
        <v>22210</v>
      </c>
      <c r="E4390" s="10" t="s">
        <v>22211</v>
      </c>
      <c r="F4390" s="10" t="s">
        <v>333</v>
      </c>
      <c r="G4390" s="10" t="s">
        <v>6317</v>
      </c>
      <c r="H4390" s="11">
        <v>40267</v>
      </c>
      <c r="I4390" s="10">
        <v>2010</v>
      </c>
      <c r="J4390" s="10" t="s">
        <v>22211</v>
      </c>
      <c r="K4390" s="10">
        <v>153</v>
      </c>
      <c r="L4390" s="10" t="s">
        <v>24326</v>
      </c>
      <c r="M4390" s="10">
        <v>1</v>
      </c>
      <c r="N4390" s="10"/>
      <c r="O4390" s="10"/>
      <c r="P4390" s="10"/>
      <c r="Q4390" s="10">
        <v>371.10199999999998</v>
      </c>
      <c r="R4390" s="10"/>
      <c r="S4390" s="10" t="s">
        <v>53</v>
      </c>
      <c r="T4390" s="10" t="s">
        <v>54</v>
      </c>
    </row>
    <row r="4391" spans="1:20" ht="14.5" x14ac:dyDescent="0.35">
      <c r="A4391" s="10" t="s">
        <v>24327</v>
      </c>
      <c r="B4391" s="10" t="str">
        <f>"9781412986731"</f>
        <v>9781412986731</v>
      </c>
      <c r="C4391" s="10" t="str">
        <f>"9781452269801"</f>
        <v>9781452269801</v>
      </c>
      <c r="D4391" s="10" t="s">
        <v>22210</v>
      </c>
      <c r="E4391" s="10" t="s">
        <v>22211</v>
      </c>
      <c r="F4391" s="10" t="s">
        <v>333</v>
      </c>
      <c r="G4391" s="10" t="s">
        <v>6317</v>
      </c>
      <c r="H4391" s="11">
        <v>41129</v>
      </c>
      <c r="I4391" s="10">
        <v>2012</v>
      </c>
      <c r="J4391" s="10" t="s">
        <v>22211</v>
      </c>
      <c r="K4391" s="10">
        <v>257</v>
      </c>
      <c r="L4391" s="10" t="s">
        <v>24328</v>
      </c>
      <c r="M4391" s="10">
        <v>1</v>
      </c>
      <c r="N4391" s="10" t="s">
        <v>23967</v>
      </c>
      <c r="O4391" s="10"/>
      <c r="P4391" s="10"/>
      <c r="Q4391" s="10"/>
      <c r="R4391" s="10" t="s">
        <v>24329</v>
      </c>
      <c r="S4391" s="10" t="s">
        <v>53</v>
      </c>
      <c r="T4391" s="10" t="s">
        <v>54</v>
      </c>
    </row>
    <row r="4392" spans="1:20" ht="14.5" x14ac:dyDescent="0.35">
      <c r="A4392" s="10" t="s">
        <v>24330</v>
      </c>
      <c r="B4392" s="10" t="str">
        <f>"9781412996464"</f>
        <v>9781412996464</v>
      </c>
      <c r="C4392" s="10" t="str">
        <f>"9781452279220"</f>
        <v>9781452279220</v>
      </c>
      <c r="D4392" s="10" t="s">
        <v>22210</v>
      </c>
      <c r="E4392" s="10" t="s">
        <v>22211</v>
      </c>
      <c r="F4392" s="10" t="s">
        <v>333</v>
      </c>
      <c r="G4392" s="10" t="s">
        <v>6317</v>
      </c>
      <c r="H4392" s="11">
        <v>41156</v>
      </c>
      <c r="I4392" s="10">
        <v>2012</v>
      </c>
      <c r="J4392" s="10" t="s">
        <v>22211</v>
      </c>
      <c r="K4392" s="10">
        <v>201</v>
      </c>
      <c r="L4392" s="10" t="s">
        <v>24331</v>
      </c>
      <c r="M4392" s="10">
        <v>1</v>
      </c>
      <c r="N4392" s="10"/>
      <c r="O4392" s="10"/>
      <c r="P4392" s="10" t="s">
        <v>24332</v>
      </c>
      <c r="Q4392" s="10">
        <v>373.23599999999999</v>
      </c>
      <c r="R4392" s="10"/>
      <c r="S4392" s="10" t="s">
        <v>53</v>
      </c>
      <c r="T4392" s="10" t="s">
        <v>54</v>
      </c>
    </row>
    <row r="4393" spans="1:20" ht="14.5" x14ac:dyDescent="0.35">
      <c r="A4393" s="10" t="s">
        <v>24333</v>
      </c>
      <c r="B4393" s="10" t="str">
        <f>"9781452205106"</f>
        <v>9781452205106</v>
      </c>
      <c r="C4393" s="10" t="str">
        <f>"9781452269771"</f>
        <v>9781452269771</v>
      </c>
      <c r="D4393" s="10" t="s">
        <v>22210</v>
      </c>
      <c r="E4393" s="10" t="s">
        <v>22211</v>
      </c>
      <c r="F4393" s="10" t="s">
        <v>333</v>
      </c>
      <c r="G4393" s="10" t="s">
        <v>6317</v>
      </c>
      <c r="H4393" s="11">
        <v>41066</v>
      </c>
      <c r="I4393" s="10">
        <v>2012</v>
      </c>
      <c r="J4393" s="10" t="s">
        <v>22211</v>
      </c>
      <c r="K4393" s="10">
        <v>209</v>
      </c>
      <c r="L4393" s="10" t="s">
        <v>24334</v>
      </c>
      <c r="M4393" s="10">
        <v>1</v>
      </c>
      <c r="N4393" s="10"/>
      <c r="O4393" s="10"/>
      <c r="P4393" s="10" t="s">
        <v>24335</v>
      </c>
      <c r="Q4393" s="10" t="s">
        <v>7299</v>
      </c>
      <c r="R4393" s="10" t="s">
        <v>24336</v>
      </c>
      <c r="S4393" s="10" t="s">
        <v>53</v>
      </c>
      <c r="T4393" s="10" t="s">
        <v>54</v>
      </c>
    </row>
    <row r="4394" spans="1:20" ht="14.5" x14ac:dyDescent="0.35">
      <c r="A4394" s="10" t="s">
        <v>24337</v>
      </c>
      <c r="B4394" s="10" t="str">
        <f>"9781614991700"</f>
        <v>9781614991700</v>
      </c>
      <c r="C4394" s="10" t="str">
        <f>"9781614991717"</f>
        <v>9781614991717</v>
      </c>
      <c r="D4394" s="10" t="s">
        <v>9659</v>
      </c>
      <c r="E4394" s="10" t="s">
        <v>9660</v>
      </c>
      <c r="F4394" s="10" t="s">
        <v>1818</v>
      </c>
      <c r="G4394" s="10" t="s">
        <v>9233</v>
      </c>
      <c r="H4394" s="11">
        <v>41258</v>
      </c>
      <c r="I4394" s="10">
        <v>2012</v>
      </c>
      <c r="J4394" s="10" t="s">
        <v>9660</v>
      </c>
      <c r="K4394" s="10">
        <v>424</v>
      </c>
      <c r="L4394" s="10" t="s">
        <v>24338</v>
      </c>
      <c r="M4394" s="10">
        <v>1</v>
      </c>
      <c r="N4394" s="10" t="s">
        <v>24339</v>
      </c>
      <c r="O4394" s="10">
        <v>11</v>
      </c>
      <c r="P4394" s="10" t="s">
        <v>24340</v>
      </c>
      <c r="Q4394" s="10"/>
      <c r="R4394" s="10" t="s">
        <v>24341</v>
      </c>
      <c r="S4394" s="10" t="s">
        <v>53</v>
      </c>
      <c r="T4394" s="10" t="s">
        <v>54</v>
      </c>
    </row>
    <row r="4395" spans="1:20" ht="14.5" x14ac:dyDescent="0.35">
      <c r="A4395" s="10" t="s">
        <v>24342</v>
      </c>
      <c r="B4395" s="10" t="str">
        <f>"9789814436625"</f>
        <v>9789814436625</v>
      </c>
      <c r="C4395" s="10" t="str">
        <f>"9789814436632"</f>
        <v>9789814436632</v>
      </c>
      <c r="D4395" s="10" t="s">
        <v>8571</v>
      </c>
      <c r="E4395" s="10" t="s">
        <v>8572</v>
      </c>
      <c r="F4395" s="10" t="s">
        <v>549</v>
      </c>
      <c r="G4395" s="10" t="s">
        <v>8573</v>
      </c>
      <c r="H4395" s="11">
        <v>41201</v>
      </c>
      <c r="I4395" s="10">
        <v>2013</v>
      </c>
      <c r="J4395" s="10" t="s">
        <v>8574</v>
      </c>
      <c r="K4395" s="10">
        <v>426</v>
      </c>
      <c r="L4395" s="10" t="s">
        <v>24343</v>
      </c>
      <c r="M4395" s="10">
        <v>1</v>
      </c>
      <c r="N4395" s="10"/>
      <c r="O4395" s="10"/>
      <c r="P4395" s="10" t="s">
        <v>24344</v>
      </c>
      <c r="Q4395" s="10">
        <v>378</v>
      </c>
      <c r="R4395" s="10" t="s">
        <v>24345</v>
      </c>
      <c r="S4395" s="10" t="s">
        <v>53</v>
      </c>
      <c r="T4395" s="10" t="s">
        <v>54</v>
      </c>
    </row>
    <row r="4396" spans="1:20" ht="14.5" x14ac:dyDescent="0.35">
      <c r="A4396" s="10" t="s">
        <v>24346</v>
      </c>
      <c r="B4396" s="10" t="str">
        <f>"9781843105213"</f>
        <v>9781843105213</v>
      </c>
      <c r="C4396" s="10" t="str">
        <f>"9781846427145"</f>
        <v>9781846427145</v>
      </c>
      <c r="D4396" s="10" t="s">
        <v>10516</v>
      </c>
      <c r="E4396" s="10" t="s">
        <v>10516</v>
      </c>
      <c r="F4396" s="10" t="s">
        <v>139</v>
      </c>
      <c r="G4396" s="10" t="s">
        <v>6352</v>
      </c>
      <c r="H4396" s="11">
        <v>39370</v>
      </c>
      <c r="I4396" s="10">
        <v>2007</v>
      </c>
      <c r="J4396" s="10" t="s">
        <v>10516</v>
      </c>
      <c r="K4396" s="10">
        <v>164</v>
      </c>
      <c r="L4396" s="10" t="s">
        <v>24347</v>
      </c>
      <c r="M4396" s="10">
        <v>1</v>
      </c>
      <c r="N4396" s="10" t="s">
        <v>10831</v>
      </c>
      <c r="O4396" s="10"/>
      <c r="P4396" s="10" t="s">
        <v>24348</v>
      </c>
      <c r="Q4396" s="10">
        <v>618.92858820000004</v>
      </c>
      <c r="R4396" s="10" t="s">
        <v>24349</v>
      </c>
      <c r="S4396" s="10" t="s">
        <v>53</v>
      </c>
      <c r="T4396" s="10" t="s">
        <v>8625</v>
      </c>
    </row>
    <row r="4397" spans="1:20" ht="14.5" x14ac:dyDescent="0.35">
      <c r="A4397" s="10" t="s">
        <v>24350</v>
      </c>
      <c r="B4397" s="10" t="str">
        <f>"9780857258557"</f>
        <v>9780857258557</v>
      </c>
      <c r="C4397" s="10" t="str">
        <f>"9780857257260"</f>
        <v>9780857257260</v>
      </c>
      <c r="D4397" s="10" t="s">
        <v>9325</v>
      </c>
      <c r="E4397" s="10" t="s">
        <v>9326</v>
      </c>
      <c r="F4397" s="10" t="s">
        <v>139</v>
      </c>
      <c r="G4397" s="10" t="s">
        <v>6352</v>
      </c>
      <c r="H4397" s="11">
        <v>41249</v>
      </c>
      <c r="I4397" s="10">
        <v>2013</v>
      </c>
      <c r="J4397" s="10" t="s">
        <v>18376</v>
      </c>
      <c r="K4397" s="10">
        <v>160</v>
      </c>
      <c r="L4397" s="10" t="s">
        <v>24351</v>
      </c>
      <c r="M4397" s="10">
        <v>1</v>
      </c>
      <c r="N4397" s="10" t="s">
        <v>24352</v>
      </c>
      <c r="O4397" s="10"/>
      <c r="P4397" s="10" t="s">
        <v>24353</v>
      </c>
      <c r="Q4397" s="10">
        <v>372.70440000000002</v>
      </c>
      <c r="R4397" s="10" t="s">
        <v>24354</v>
      </c>
      <c r="S4397" s="10" t="s">
        <v>53</v>
      </c>
      <c r="T4397" s="10" t="s">
        <v>7425</v>
      </c>
    </row>
    <row r="4398" spans="1:20" ht="14.5" x14ac:dyDescent="0.35">
      <c r="A4398" s="10" t="s">
        <v>24355</v>
      </c>
      <c r="B4398" s="10" t="str">
        <f>"9781446254646"</f>
        <v>9781446254646</v>
      </c>
      <c r="C4398" s="10" t="str">
        <f>"9781446271896"</f>
        <v>9781446271896</v>
      </c>
      <c r="D4398" s="10" t="s">
        <v>9325</v>
      </c>
      <c r="E4398" s="10" t="s">
        <v>9326</v>
      </c>
      <c r="F4398" s="10" t="s">
        <v>139</v>
      </c>
      <c r="G4398" s="10" t="s">
        <v>6352</v>
      </c>
      <c r="H4398" s="11">
        <v>41270</v>
      </c>
      <c r="I4398" s="10">
        <v>2013</v>
      </c>
      <c r="J4398" s="10" t="s">
        <v>9326</v>
      </c>
      <c r="K4398" s="10">
        <v>105</v>
      </c>
      <c r="L4398" s="10" t="s">
        <v>24356</v>
      </c>
      <c r="M4398" s="10">
        <v>1</v>
      </c>
      <c r="N4398" s="10"/>
      <c r="O4398" s="10"/>
      <c r="P4398" s="10" t="s">
        <v>24357</v>
      </c>
      <c r="Q4398" s="10">
        <v>370.71</v>
      </c>
      <c r="R4398" s="10" t="s">
        <v>24358</v>
      </c>
      <c r="S4398" s="10" t="s">
        <v>53</v>
      </c>
      <c r="T4398" s="10" t="s">
        <v>54</v>
      </c>
    </row>
    <row r="4399" spans="1:20" ht="14.5" x14ac:dyDescent="0.35">
      <c r="A4399" s="10" t="s">
        <v>24359</v>
      </c>
      <c r="B4399" s="10" t="str">
        <f>"9781412972857"</f>
        <v>9781412972857</v>
      </c>
      <c r="C4399" s="10" t="str">
        <f>"9781452213590"</f>
        <v>9781452213590</v>
      </c>
      <c r="D4399" s="10" t="s">
        <v>22210</v>
      </c>
      <c r="E4399" s="10" t="s">
        <v>22211</v>
      </c>
      <c r="F4399" s="10" t="s">
        <v>333</v>
      </c>
      <c r="G4399" s="10" t="s">
        <v>6317</v>
      </c>
      <c r="H4399" s="11">
        <v>40130</v>
      </c>
      <c r="I4399" s="10">
        <v>2010</v>
      </c>
      <c r="J4399" s="10" t="s">
        <v>22211</v>
      </c>
      <c r="K4399" s="10">
        <v>161</v>
      </c>
      <c r="L4399" s="10" t="s">
        <v>24360</v>
      </c>
      <c r="M4399" s="10">
        <v>1</v>
      </c>
      <c r="N4399" s="10"/>
      <c r="O4399" s="10"/>
      <c r="P4399" s="10" t="s">
        <v>24361</v>
      </c>
      <c r="Q4399" s="10">
        <v>371.9</v>
      </c>
      <c r="R4399" s="10"/>
      <c r="S4399" s="10" t="s">
        <v>53</v>
      </c>
      <c r="T4399" s="10" t="s">
        <v>54</v>
      </c>
    </row>
    <row r="4400" spans="1:20" ht="14.5" x14ac:dyDescent="0.35">
      <c r="A4400" s="10" t="s">
        <v>24362</v>
      </c>
      <c r="B4400" s="10" t="str">
        <f>"9781412956192"</f>
        <v>9781412956192</v>
      </c>
      <c r="C4400" s="10" t="str">
        <f>"9781452210056"</f>
        <v>9781452210056</v>
      </c>
      <c r="D4400" s="10" t="s">
        <v>22210</v>
      </c>
      <c r="E4400" s="10" t="s">
        <v>22211</v>
      </c>
      <c r="F4400" s="10" t="s">
        <v>333</v>
      </c>
      <c r="G4400" s="10" t="s">
        <v>6317</v>
      </c>
      <c r="H4400" s="11">
        <v>40141</v>
      </c>
      <c r="I4400" s="10">
        <v>2010</v>
      </c>
      <c r="J4400" s="10" t="s">
        <v>22211</v>
      </c>
      <c r="K4400" s="10">
        <v>217</v>
      </c>
      <c r="L4400" s="10" t="s">
        <v>24363</v>
      </c>
      <c r="M4400" s="10">
        <v>1</v>
      </c>
      <c r="N4400" s="10"/>
      <c r="O4400" s="10"/>
      <c r="P4400" s="10" t="s">
        <v>24364</v>
      </c>
      <c r="Q4400" s="10" t="s">
        <v>24365</v>
      </c>
      <c r="R4400" s="10"/>
      <c r="S4400" s="10" t="s">
        <v>53</v>
      </c>
      <c r="T4400" s="10" t="s">
        <v>54</v>
      </c>
    </row>
    <row r="4401" spans="1:20" ht="14.5" x14ac:dyDescent="0.35">
      <c r="A4401" s="10" t="s">
        <v>24366</v>
      </c>
      <c r="B4401" s="10" t="str">
        <f>"9781412996242"</f>
        <v>9781412996242</v>
      </c>
      <c r="C4401" s="10" t="str">
        <f>"9781452269788"</f>
        <v>9781452269788</v>
      </c>
      <c r="D4401" s="10" t="s">
        <v>22210</v>
      </c>
      <c r="E4401" s="10" t="s">
        <v>22211</v>
      </c>
      <c r="F4401" s="10" t="s">
        <v>333</v>
      </c>
      <c r="G4401" s="10" t="s">
        <v>6317</v>
      </c>
      <c r="H4401" s="11">
        <v>41103</v>
      </c>
      <c r="I4401" s="10">
        <v>2012</v>
      </c>
      <c r="J4401" s="10" t="s">
        <v>22211</v>
      </c>
      <c r="K4401" s="10">
        <v>177</v>
      </c>
      <c r="L4401" s="10" t="s">
        <v>24367</v>
      </c>
      <c r="M4401" s="10">
        <v>1</v>
      </c>
      <c r="N4401" s="10"/>
      <c r="O4401" s="10"/>
      <c r="P4401" s="10"/>
      <c r="Q4401" s="10">
        <v>370.11709730000001</v>
      </c>
      <c r="R4401" s="10"/>
      <c r="S4401" s="10" t="s">
        <v>53</v>
      </c>
      <c r="T4401" s="10" t="s">
        <v>54</v>
      </c>
    </row>
    <row r="4402" spans="1:20" ht="14.5" x14ac:dyDescent="0.35">
      <c r="A4402" s="10" t="s">
        <v>24368</v>
      </c>
      <c r="B4402" s="10" t="str">
        <f>"9781412975452"</f>
        <v>9781412975452</v>
      </c>
      <c r="C4402" s="10" t="str">
        <f>"9781452269139"</f>
        <v>9781452269139</v>
      </c>
      <c r="D4402" s="10" t="s">
        <v>22210</v>
      </c>
      <c r="E4402" s="10" t="s">
        <v>22211</v>
      </c>
      <c r="F4402" s="10" t="s">
        <v>333</v>
      </c>
      <c r="G4402" s="10" t="s">
        <v>6317</v>
      </c>
      <c r="H4402" s="11">
        <v>40779</v>
      </c>
      <c r="I4402" s="10">
        <v>2011</v>
      </c>
      <c r="J4402" s="10" t="s">
        <v>22211</v>
      </c>
      <c r="K4402" s="10">
        <v>201</v>
      </c>
      <c r="L4402" s="10" t="s">
        <v>23170</v>
      </c>
      <c r="M4402" s="10">
        <v>1</v>
      </c>
      <c r="N4402" s="10"/>
      <c r="O4402" s="10"/>
      <c r="P4402" s="10"/>
      <c r="Q4402" s="10" t="s">
        <v>24369</v>
      </c>
      <c r="R4402" s="10"/>
      <c r="S4402" s="10" t="s">
        <v>53</v>
      </c>
      <c r="T4402" s="10" t="s">
        <v>54</v>
      </c>
    </row>
    <row r="4403" spans="1:20" ht="14.5" x14ac:dyDescent="0.35">
      <c r="A4403" s="10" t="s">
        <v>24370</v>
      </c>
      <c r="B4403" s="10" t="str">
        <f>"9781118141090"</f>
        <v>9781118141090</v>
      </c>
      <c r="C4403" s="10" t="str">
        <f>"9781118420898"</f>
        <v>9781118420898</v>
      </c>
      <c r="D4403" s="10" t="s">
        <v>6322</v>
      </c>
      <c r="E4403" s="10" t="s">
        <v>6323</v>
      </c>
      <c r="F4403" s="10" t="s">
        <v>4423</v>
      </c>
      <c r="G4403" s="10" t="s">
        <v>6317</v>
      </c>
      <c r="H4403" s="11">
        <v>41288</v>
      </c>
      <c r="I4403" s="10">
        <v>2013</v>
      </c>
      <c r="J4403" s="10" t="s">
        <v>6323</v>
      </c>
      <c r="K4403" s="10">
        <v>194</v>
      </c>
      <c r="L4403" s="10" t="s">
        <v>24371</v>
      </c>
      <c r="M4403" s="10">
        <v>1</v>
      </c>
      <c r="N4403" s="10"/>
      <c r="O4403" s="10"/>
      <c r="P4403" s="10" t="s">
        <v>24372</v>
      </c>
      <c r="Q4403" s="10"/>
      <c r="R4403" s="10" t="s">
        <v>24373</v>
      </c>
      <c r="S4403" s="10" t="s">
        <v>53</v>
      </c>
      <c r="T4403" s="10" t="s">
        <v>54</v>
      </c>
    </row>
    <row r="4404" spans="1:20" ht="14.5" x14ac:dyDescent="0.35">
      <c r="A4404" s="10" t="s">
        <v>24374</v>
      </c>
      <c r="B4404" s="10" t="str">
        <f>"9780415922487"</f>
        <v>9780415922487</v>
      </c>
      <c r="C4404" s="10" t="str">
        <f>"9781136770647"</f>
        <v>9781136770647</v>
      </c>
      <c r="D4404" s="10" t="s">
        <v>6350</v>
      </c>
      <c r="E4404" s="10" t="s">
        <v>6351</v>
      </c>
      <c r="F4404" s="10" t="s">
        <v>5406</v>
      </c>
      <c r="G4404" s="10" t="s">
        <v>6352</v>
      </c>
      <c r="H4404" s="11">
        <v>41285</v>
      </c>
      <c r="I4404" s="10">
        <v>1999</v>
      </c>
      <c r="J4404" s="10" t="s">
        <v>6353</v>
      </c>
      <c r="K4404" s="10">
        <v>377</v>
      </c>
      <c r="L4404" s="10" t="s">
        <v>24375</v>
      </c>
      <c r="M4404" s="10">
        <v>1</v>
      </c>
      <c r="N4404" s="10"/>
      <c r="O4404" s="10"/>
      <c r="P4404" s="10" t="s">
        <v>24376</v>
      </c>
      <c r="Q4404" s="10">
        <v>370.11500000000001</v>
      </c>
      <c r="R4404" s="10" t="s">
        <v>24377</v>
      </c>
      <c r="S4404" s="10" t="s">
        <v>53</v>
      </c>
      <c r="T4404" s="10" t="s">
        <v>54</v>
      </c>
    </row>
    <row r="4405" spans="1:20" ht="14.5" x14ac:dyDescent="0.35">
      <c r="A4405" s="10" t="s">
        <v>24378</v>
      </c>
      <c r="B4405" s="10" t="str">
        <f>"9781843120308"</f>
        <v>9781843120308</v>
      </c>
      <c r="C4405" s="10" t="str">
        <f>"9781136599781"</f>
        <v>9781136599781</v>
      </c>
      <c r="D4405" s="10" t="s">
        <v>6350</v>
      </c>
      <c r="E4405" s="10" t="s">
        <v>15120</v>
      </c>
      <c r="F4405" s="10" t="s">
        <v>748</v>
      </c>
      <c r="G4405" s="10" t="s">
        <v>6352</v>
      </c>
      <c r="H4405" s="11">
        <v>37792</v>
      </c>
      <c r="I4405" s="10">
        <v>2003</v>
      </c>
      <c r="J4405" s="10" t="s">
        <v>15120</v>
      </c>
      <c r="K4405" s="10">
        <v>97</v>
      </c>
      <c r="L4405" s="10" t="s">
        <v>24379</v>
      </c>
      <c r="M4405" s="10">
        <v>1</v>
      </c>
      <c r="N4405" s="10"/>
      <c r="O4405" s="10"/>
      <c r="P4405" s="10" t="s">
        <v>24380</v>
      </c>
      <c r="Q4405" s="10" t="s">
        <v>24381</v>
      </c>
      <c r="R4405" s="10" t="s">
        <v>54</v>
      </c>
      <c r="S4405" s="10" t="s">
        <v>53</v>
      </c>
      <c r="T4405" s="10" t="s">
        <v>13739</v>
      </c>
    </row>
    <row r="4406" spans="1:20" ht="14.5" x14ac:dyDescent="0.35">
      <c r="A4406" s="10" t="s">
        <v>24382</v>
      </c>
      <c r="B4406" s="10" t="str">
        <f>"9781843120827"</f>
        <v>9781843120827</v>
      </c>
      <c r="C4406" s="10" t="str">
        <f>"9781136600623"</f>
        <v>9781136600623</v>
      </c>
      <c r="D4406" s="10" t="s">
        <v>6350</v>
      </c>
      <c r="E4406" s="10" t="s">
        <v>15120</v>
      </c>
      <c r="F4406" s="10" t="s">
        <v>748</v>
      </c>
      <c r="G4406" s="10" t="s">
        <v>6352</v>
      </c>
      <c r="H4406" s="11">
        <v>38532</v>
      </c>
      <c r="I4406" s="10">
        <v>2004</v>
      </c>
      <c r="J4406" s="10" t="s">
        <v>15120</v>
      </c>
      <c r="K4406" s="10">
        <v>113</v>
      </c>
      <c r="L4406" s="10" t="s">
        <v>12535</v>
      </c>
      <c r="M4406" s="10">
        <v>1</v>
      </c>
      <c r="N4406" s="10"/>
      <c r="O4406" s="10"/>
      <c r="P4406" s="10" t="s">
        <v>24383</v>
      </c>
      <c r="Q4406" s="10" t="s">
        <v>24384</v>
      </c>
      <c r="R4406" s="10" t="s">
        <v>24385</v>
      </c>
      <c r="S4406" s="10" t="s">
        <v>53</v>
      </c>
      <c r="T4406" s="10" t="s">
        <v>54</v>
      </c>
    </row>
    <row r="4407" spans="1:20" ht="14.5" x14ac:dyDescent="0.35">
      <c r="A4407" s="10" t="s">
        <v>24386</v>
      </c>
      <c r="B4407" s="10" t="str">
        <f>"9780415345002"</f>
        <v>9780415345002</v>
      </c>
      <c r="C4407" s="10" t="str">
        <f>"9781134284030"</f>
        <v>9781134284030</v>
      </c>
      <c r="D4407" s="10" t="s">
        <v>6350</v>
      </c>
      <c r="E4407" s="10" t="s">
        <v>6351</v>
      </c>
      <c r="F4407" s="10" t="s">
        <v>748</v>
      </c>
      <c r="G4407" s="10" t="s">
        <v>6352</v>
      </c>
      <c r="H4407" s="11">
        <v>38687</v>
      </c>
      <c r="I4407" s="10">
        <v>2006</v>
      </c>
      <c r="J4407" s="10" t="s">
        <v>6351</v>
      </c>
      <c r="K4407" s="10">
        <v>113</v>
      </c>
      <c r="L4407" s="10" t="s">
        <v>24387</v>
      </c>
      <c r="M4407" s="10">
        <v>1</v>
      </c>
      <c r="N4407" s="10"/>
      <c r="O4407" s="10"/>
      <c r="P4407" s="10" t="s">
        <v>24388</v>
      </c>
      <c r="Q4407" s="10">
        <v>371.9144</v>
      </c>
      <c r="R4407" s="10" t="s">
        <v>24389</v>
      </c>
      <c r="S4407" s="10" t="s">
        <v>53</v>
      </c>
      <c r="T4407" s="10" t="s">
        <v>54</v>
      </c>
    </row>
    <row r="4408" spans="1:20" ht="14.5" x14ac:dyDescent="0.35">
      <c r="A4408" s="10" t="s">
        <v>24390</v>
      </c>
      <c r="B4408" s="10" t="str">
        <f>"9781843121077"</f>
        <v>9781843121077</v>
      </c>
      <c r="C4408" s="10" t="str">
        <f>"9781136605772"</f>
        <v>9781136605772</v>
      </c>
      <c r="D4408" s="10" t="s">
        <v>6350</v>
      </c>
      <c r="E4408" s="10" t="s">
        <v>15120</v>
      </c>
      <c r="F4408" s="10" t="s">
        <v>748</v>
      </c>
      <c r="G4408" s="10" t="s">
        <v>6352</v>
      </c>
      <c r="H4408" s="11">
        <v>38411</v>
      </c>
      <c r="I4408" s="10">
        <v>2004</v>
      </c>
      <c r="J4408" s="10" t="s">
        <v>15120</v>
      </c>
      <c r="K4408" s="10">
        <v>170</v>
      </c>
      <c r="L4408" s="10" t="s">
        <v>24391</v>
      </c>
      <c r="M4408" s="10">
        <v>1</v>
      </c>
      <c r="N4408" s="10"/>
      <c r="O4408" s="10"/>
      <c r="P4408" s="10" t="s">
        <v>24392</v>
      </c>
      <c r="Q4408" s="10">
        <v>372.19094100000001</v>
      </c>
      <c r="R4408" s="10" t="s">
        <v>24393</v>
      </c>
      <c r="S4408" s="10" t="s">
        <v>53</v>
      </c>
      <c r="T4408" s="10" t="s">
        <v>54</v>
      </c>
    </row>
    <row r="4409" spans="1:20" ht="14.5" x14ac:dyDescent="0.35">
      <c r="A4409" s="10" t="s">
        <v>24394</v>
      </c>
      <c r="B4409" s="10" t="str">
        <f>"9780415951029"</f>
        <v>9780415951029</v>
      </c>
      <c r="C4409" s="10" t="str">
        <f>"9781136079627"</f>
        <v>9781136079627</v>
      </c>
      <c r="D4409" s="10" t="s">
        <v>6350</v>
      </c>
      <c r="E4409" s="10" t="s">
        <v>6351</v>
      </c>
      <c r="F4409" s="10" t="s">
        <v>748</v>
      </c>
      <c r="G4409" s="10" t="s">
        <v>6352</v>
      </c>
      <c r="H4409" s="11">
        <v>38582</v>
      </c>
      <c r="I4409" s="10">
        <v>2006</v>
      </c>
      <c r="J4409" s="10" t="s">
        <v>6351</v>
      </c>
      <c r="K4409" s="10">
        <v>221</v>
      </c>
      <c r="L4409" s="10" t="s">
        <v>24395</v>
      </c>
      <c r="M4409" s="10">
        <v>1</v>
      </c>
      <c r="N4409" s="10" t="s">
        <v>24396</v>
      </c>
      <c r="O4409" s="10"/>
      <c r="P4409" s="10" t="s">
        <v>24397</v>
      </c>
      <c r="Q4409" s="10" t="s">
        <v>8011</v>
      </c>
      <c r="R4409" s="10" t="s">
        <v>24398</v>
      </c>
      <c r="S4409" s="10" t="s">
        <v>53</v>
      </c>
      <c r="T4409" s="10" t="s">
        <v>6526</v>
      </c>
    </row>
    <row r="4410" spans="1:20" ht="14.5" x14ac:dyDescent="0.35">
      <c r="A4410" s="10" t="s">
        <v>24399</v>
      </c>
      <c r="B4410" s="10" t="str">
        <f>"9781853468735"</f>
        <v>9781853468735</v>
      </c>
      <c r="C4410" s="10" t="str">
        <f>"9781136634413"</f>
        <v>9781136634413</v>
      </c>
      <c r="D4410" s="10" t="s">
        <v>6350</v>
      </c>
      <c r="E4410" s="10" t="s">
        <v>15120</v>
      </c>
      <c r="F4410" s="10" t="s">
        <v>748</v>
      </c>
      <c r="G4410" s="10" t="s">
        <v>6352</v>
      </c>
      <c r="H4410" s="11">
        <v>37484</v>
      </c>
      <c r="I4410" s="10">
        <v>2002</v>
      </c>
      <c r="J4410" s="10" t="s">
        <v>15120</v>
      </c>
      <c r="K4410" s="10">
        <v>153</v>
      </c>
      <c r="L4410" s="10" t="s">
        <v>24400</v>
      </c>
      <c r="M4410" s="10">
        <v>2</v>
      </c>
      <c r="N4410" s="10"/>
      <c r="O4410" s="10"/>
      <c r="P4410" s="10" t="s">
        <v>24401</v>
      </c>
      <c r="Q4410" s="10" t="s">
        <v>24402</v>
      </c>
      <c r="R4410" s="10" t="s">
        <v>12268</v>
      </c>
      <c r="S4410" s="10" t="s">
        <v>53</v>
      </c>
      <c r="T4410" s="10" t="s">
        <v>54</v>
      </c>
    </row>
    <row r="4411" spans="1:20" ht="14.5" x14ac:dyDescent="0.35">
      <c r="A4411" s="10" t="s">
        <v>24403</v>
      </c>
      <c r="B4411" s="10" t="str">
        <f>"9780789025852"</f>
        <v>9780789025852</v>
      </c>
      <c r="C4411" s="10" t="str">
        <f>"9781136428562"</f>
        <v>9781136428562</v>
      </c>
      <c r="D4411" s="10" t="s">
        <v>6350</v>
      </c>
      <c r="E4411" s="10" t="s">
        <v>6351</v>
      </c>
      <c r="F4411" s="10" t="s">
        <v>748</v>
      </c>
      <c r="G4411" s="10" t="s">
        <v>6352</v>
      </c>
      <c r="H4411" s="11">
        <v>38439</v>
      </c>
      <c r="I4411" s="10">
        <v>2005</v>
      </c>
      <c r="J4411" s="10" t="s">
        <v>6351</v>
      </c>
      <c r="K4411" s="10">
        <v>216</v>
      </c>
      <c r="L4411" s="10" t="s">
        <v>24404</v>
      </c>
      <c r="M4411" s="10">
        <v>1</v>
      </c>
      <c r="N4411" s="10"/>
      <c r="O4411" s="10"/>
      <c r="P4411" s="10" t="s">
        <v>24405</v>
      </c>
      <c r="Q4411" s="10">
        <v>371.78209729999998</v>
      </c>
      <c r="R4411" s="10" t="s">
        <v>24406</v>
      </c>
      <c r="S4411" s="10" t="s">
        <v>53</v>
      </c>
      <c r="T4411" s="10" t="s">
        <v>54</v>
      </c>
    </row>
    <row r="4412" spans="1:20" ht="14.5" x14ac:dyDescent="0.35">
      <c r="A4412" s="10" t="s">
        <v>24407</v>
      </c>
      <c r="B4412" s="10" t="str">
        <f>"9781853468674"</f>
        <v>9781853468674</v>
      </c>
      <c r="C4412" s="10" t="str">
        <f>"9781136633577"</f>
        <v>9781136633577</v>
      </c>
      <c r="D4412" s="10" t="s">
        <v>6350</v>
      </c>
      <c r="E4412" s="10" t="s">
        <v>15120</v>
      </c>
      <c r="F4412" s="10" t="s">
        <v>748</v>
      </c>
      <c r="G4412" s="10" t="s">
        <v>6352</v>
      </c>
      <c r="H4412" s="11">
        <v>37358</v>
      </c>
      <c r="I4412" s="10">
        <v>2002</v>
      </c>
      <c r="J4412" s="10" t="s">
        <v>15120</v>
      </c>
      <c r="K4412" s="10">
        <v>154</v>
      </c>
      <c r="L4412" s="10" t="s">
        <v>24408</v>
      </c>
      <c r="M4412" s="10">
        <v>2</v>
      </c>
      <c r="N4412" s="10"/>
      <c r="O4412" s="10"/>
      <c r="P4412" s="10" t="s">
        <v>24409</v>
      </c>
      <c r="Q4412" s="10" t="s">
        <v>24410</v>
      </c>
      <c r="R4412" s="10" t="s">
        <v>4456</v>
      </c>
      <c r="S4412" s="10" t="s">
        <v>53</v>
      </c>
      <c r="T4412" s="10" t="s">
        <v>54</v>
      </c>
    </row>
    <row r="4413" spans="1:20" ht="14.5" x14ac:dyDescent="0.35">
      <c r="A4413" s="10" t="s">
        <v>24411</v>
      </c>
      <c r="B4413" s="10" t="str">
        <f>"9781853469732"</f>
        <v>9781853469732</v>
      </c>
      <c r="C4413" s="10" t="str">
        <f>"9781136636929"</f>
        <v>9781136636929</v>
      </c>
      <c r="D4413" s="10" t="s">
        <v>6350</v>
      </c>
      <c r="E4413" s="10" t="s">
        <v>15120</v>
      </c>
      <c r="F4413" s="10" t="s">
        <v>748</v>
      </c>
      <c r="G4413" s="10" t="s">
        <v>6352</v>
      </c>
      <c r="H4413" s="11">
        <v>37540</v>
      </c>
      <c r="I4413" s="10">
        <v>2002</v>
      </c>
      <c r="J4413" s="10" t="s">
        <v>15120</v>
      </c>
      <c r="K4413" s="10">
        <v>145</v>
      </c>
      <c r="L4413" s="10" t="s">
        <v>24412</v>
      </c>
      <c r="M4413" s="10">
        <v>1</v>
      </c>
      <c r="N4413" s="10"/>
      <c r="O4413" s="10"/>
      <c r="P4413" s="10" t="s">
        <v>24413</v>
      </c>
      <c r="Q4413" s="10" t="s">
        <v>24414</v>
      </c>
      <c r="R4413" s="10" t="s">
        <v>17152</v>
      </c>
      <c r="S4413" s="10" t="s">
        <v>53</v>
      </c>
      <c r="T4413" s="10" t="s">
        <v>54</v>
      </c>
    </row>
    <row r="4414" spans="1:20" ht="14.5" x14ac:dyDescent="0.35">
      <c r="A4414" s="10" t="s">
        <v>24415</v>
      </c>
      <c r="B4414" s="10" t="str">
        <f>"9781462509140"</f>
        <v>9781462509140</v>
      </c>
      <c r="C4414" s="10" t="str">
        <f>"9781462509164"</f>
        <v>9781462509164</v>
      </c>
      <c r="D4414" s="10" t="s">
        <v>11213</v>
      </c>
      <c r="E4414" s="10" t="s">
        <v>11214</v>
      </c>
      <c r="F4414" s="10" t="s">
        <v>70</v>
      </c>
      <c r="G4414" s="10" t="s">
        <v>6317</v>
      </c>
      <c r="H4414" s="11">
        <v>41288</v>
      </c>
      <c r="I4414" s="10">
        <v>2013</v>
      </c>
      <c r="J4414" s="10" t="s">
        <v>11214</v>
      </c>
      <c r="K4414" s="10">
        <v>178</v>
      </c>
      <c r="L4414" s="10" t="s">
        <v>24416</v>
      </c>
      <c r="M4414" s="10">
        <v>1</v>
      </c>
      <c r="N4414" s="10" t="s">
        <v>12889</v>
      </c>
      <c r="O4414" s="10">
        <v>2</v>
      </c>
      <c r="P4414" s="10"/>
      <c r="Q4414" s="10"/>
      <c r="R4414" s="10" t="s">
        <v>24417</v>
      </c>
      <c r="S4414" s="10" t="s">
        <v>53</v>
      </c>
      <c r="T4414" s="10" t="s">
        <v>6640</v>
      </c>
    </row>
    <row r="4415" spans="1:20" ht="14.5" x14ac:dyDescent="0.35">
      <c r="A4415" s="10" t="s">
        <v>24418</v>
      </c>
      <c r="B4415" s="10" t="str">
        <f>"9781462508501"</f>
        <v>9781462508501</v>
      </c>
      <c r="C4415" s="10" t="str">
        <f>"9781462508587"</f>
        <v>9781462508587</v>
      </c>
      <c r="D4415" s="10" t="s">
        <v>11213</v>
      </c>
      <c r="E4415" s="10" t="s">
        <v>11214</v>
      </c>
      <c r="F4415" s="10" t="s">
        <v>70</v>
      </c>
      <c r="G4415" s="10" t="s">
        <v>6317</v>
      </c>
      <c r="H4415" s="11">
        <v>41305</v>
      </c>
      <c r="I4415" s="10">
        <v>2013</v>
      </c>
      <c r="J4415" s="10" t="s">
        <v>11215</v>
      </c>
      <c r="K4415" s="10">
        <v>242</v>
      </c>
      <c r="L4415" s="10" t="s">
        <v>24419</v>
      </c>
      <c r="M4415" s="10">
        <v>1</v>
      </c>
      <c r="N4415" s="10" t="s">
        <v>12889</v>
      </c>
      <c r="O4415" s="10"/>
      <c r="P4415" s="10" t="s">
        <v>24420</v>
      </c>
      <c r="Q4415" s="10">
        <v>371.90429999999998</v>
      </c>
      <c r="R4415" s="10" t="s">
        <v>24421</v>
      </c>
      <c r="S4415" s="10" t="s">
        <v>53</v>
      </c>
      <c r="T4415" s="10" t="s">
        <v>54</v>
      </c>
    </row>
    <row r="4416" spans="1:20" ht="14.5" x14ac:dyDescent="0.35">
      <c r="A4416" s="10" t="s">
        <v>24422</v>
      </c>
      <c r="B4416" s="10" t="str">
        <f>"9781462508495"</f>
        <v>9781462508495</v>
      </c>
      <c r="C4416" s="10" t="str">
        <f>"9781462508556"</f>
        <v>9781462508556</v>
      </c>
      <c r="D4416" s="10" t="s">
        <v>11213</v>
      </c>
      <c r="E4416" s="10" t="s">
        <v>11214</v>
      </c>
      <c r="F4416" s="10" t="s">
        <v>70</v>
      </c>
      <c r="G4416" s="10" t="s">
        <v>6317</v>
      </c>
      <c r="H4416" s="11">
        <v>41319</v>
      </c>
      <c r="I4416" s="10">
        <v>2013</v>
      </c>
      <c r="J4416" s="10" t="s">
        <v>11214</v>
      </c>
      <c r="K4416" s="10">
        <v>738</v>
      </c>
      <c r="L4416" s="10" t="s">
        <v>24423</v>
      </c>
      <c r="M4416" s="10">
        <v>2</v>
      </c>
      <c r="N4416" s="10"/>
      <c r="O4416" s="10"/>
      <c r="P4416" s="10" t="s">
        <v>24424</v>
      </c>
      <c r="Q4416" s="10">
        <v>371.92599999999999</v>
      </c>
      <c r="R4416" s="10" t="s">
        <v>24425</v>
      </c>
      <c r="S4416" s="10" t="s">
        <v>53</v>
      </c>
      <c r="T4416" s="10" t="s">
        <v>54</v>
      </c>
    </row>
    <row r="4417" spans="1:20" ht="14.5" x14ac:dyDescent="0.35">
      <c r="A4417" s="10" t="s">
        <v>24426</v>
      </c>
      <c r="B4417" s="10" t="str">
        <f>"9781462508174"</f>
        <v>9781462508174</v>
      </c>
      <c r="C4417" s="10" t="str">
        <f>"9781462508181"</f>
        <v>9781462508181</v>
      </c>
      <c r="D4417" s="10" t="s">
        <v>11213</v>
      </c>
      <c r="E4417" s="10" t="s">
        <v>11214</v>
      </c>
      <c r="F4417" s="10" t="s">
        <v>70</v>
      </c>
      <c r="G4417" s="10" t="s">
        <v>6317</v>
      </c>
      <c r="H4417" s="11">
        <v>41296</v>
      </c>
      <c r="I4417" s="10">
        <v>2013</v>
      </c>
      <c r="J4417" s="10" t="s">
        <v>11215</v>
      </c>
      <c r="K4417" s="10">
        <v>386</v>
      </c>
      <c r="L4417" s="10" t="s">
        <v>24427</v>
      </c>
      <c r="M4417" s="10">
        <v>1</v>
      </c>
      <c r="N4417" s="10"/>
      <c r="O4417" s="10"/>
      <c r="P4417" s="10" t="s">
        <v>24428</v>
      </c>
      <c r="Q4417" s="10" t="s">
        <v>24429</v>
      </c>
      <c r="R4417" s="10" t="s">
        <v>24430</v>
      </c>
      <c r="S4417" s="10" t="s">
        <v>53</v>
      </c>
      <c r="T4417" s="10" t="s">
        <v>483</v>
      </c>
    </row>
    <row r="4418" spans="1:20" ht="14.5" x14ac:dyDescent="0.35">
      <c r="A4418" s="10" t="s">
        <v>24431</v>
      </c>
      <c r="B4418" s="10" t="str">
        <f>"9781560235231"</f>
        <v>9781560235231</v>
      </c>
      <c r="C4418" s="10" t="str">
        <f>"9781136614170"</f>
        <v>9781136614170</v>
      </c>
      <c r="D4418" s="10" t="s">
        <v>6350</v>
      </c>
      <c r="E4418" s="10" t="s">
        <v>6351</v>
      </c>
      <c r="F4418" s="10" t="s">
        <v>5406</v>
      </c>
      <c r="G4418" s="10" t="s">
        <v>6352</v>
      </c>
      <c r="H4418" s="11">
        <v>38484</v>
      </c>
      <c r="I4418" s="10">
        <v>2005</v>
      </c>
      <c r="J4418" s="10" t="s">
        <v>6353</v>
      </c>
      <c r="K4418" s="10">
        <v>218</v>
      </c>
      <c r="L4418" s="10" t="s">
        <v>24432</v>
      </c>
      <c r="M4418" s="10">
        <v>1</v>
      </c>
      <c r="N4418" s="10"/>
      <c r="O4418" s="10"/>
      <c r="P4418" s="10" t="s">
        <v>24433</v>
      </c>
      <c r="Q4418" s="10">
        <v>371.82</v>
      </c>
      <c r="R4418" s="10" t="s">
        <v>24434</v>
      </c>
      <c r="S4418" s="10" t="s">
        <v>53</v>
      </c>
      <c r="T4418" s="10" t="s">
        <v>54</v>
      </c>
    </row>
    <row r="4419" spans="1:20" ht="14.5" x14ac:dyDescent="0.35">
      <c r="A4419" s="10" t="s">
        <v>24435</v>
      </c>
      <c r="B4419" s="10" t="str">
        <f>"9781853468261"</f>
        <v>9781853468261</v>
      </c>
      <c r="C4419" s="10" t="str">
        <f>"9781136612916"</f>
        <v>9781136612916</v>
      </c>
      <c r="D4419" s="10" t="s">
        <v>6350</v>
      </c>
      <c r="E4419" s="10" t="s">
        <v>15120</v>
      </c>
      <c r="F4419" s="10" t="s">
        <v>748</v>
      </c>
      <c r="G4419" s="10" t="s">
        <v>6352</v>
      </c>
      <c r="H4419" s="11">
        <v>37337</v>
      </c>
      <c r="I4419" s="10">
        <v>2002</v>
      </c>
      <c r="J4419" s="10" t="s">
        <v>15120</v>
      </c>
      <c r="K4419" s="10">
        <v>155</v>
      </c>
      <c r="L4419" s="10" t="s">
        <v>24436</v>
      </c>
      <c r="M4419" s="10">
        <v>1</v>
      </c>
      <c r="N4419" s="10"/>
      <c r="O4419" s="10"/>
      <c r="P4419" s="10" t="s">
        <v>24437</v>
      </c>
      <c r="Q4419" s="10">
        <v>371.10239999999999</v>
      </c>
      <c r="R4419" s="10" t="s">
        <v>24438</v>
      </c>
      <c r="S4419" s="10" t="s">
        <v>53</v>
      </c>
      <c r="T4419" s="10" t="s">
        <v>54</v>
      </c>
    </row>
    <row r="4420" spans="1:20" ht="14.5" x14ac:dyDescent="0.35">
      <c r="A4420" s="10" t="s">
        <v>24439</v>
      </c>
      <c r="B4420" s="10" t="str">
        <f>"9780415473057"</f>
        <v>9780415473057</v>
      </c>
      <c r="C4420" s="10" t="str">
        <f>"9781136030062"</f>
        <v>9781136030062</v>
      </c>
      <c r="D4420" s="10" t="s">
        <v>6350</v>
      </c>
      <c r="E4420" s="10" t="s">
        <v>6351</v>
      </c>
      <c r="F4420" s="10" t="s">
        <v>748</v>
      </c>
      <c r="G4420" s="10" t="s">
        <v>6352</v>
      </c>
      <c r="H4420" s="11">
        <v>42626</v>
      </c>
      <c r="I4420" s="10">
        <v>2009</v>
      </c>
      <c r="J4420" s="10" t="s">
        <v>6351</v>
      </c>
      <c r="K4420" s="10">
        <v>129</v>
      </c>
      <c r="L4420" s="10" t="s">
        <v>24440</v>
      </c>
      <c r="M4420" s="10">
        <v>1</v>
      </c>
      <c r="N4420" s="10"/>
      <c r="O4420" s="10"/>
      <c r="P4420" s="10" t="s">
        <v>24441</v>
      </c>
      <c r="Q4420" s="10">
        <v>371.90446320000001</v>
      </c>
      <c r="R4420" s="10" t="s">
        <v>9113</v>
      </c>
      <c r="S4420" s="10" t="s">
        <v>53</v>
      </c>
      <c r="T4420" s="10" t="s">
        <v>54</v>
      </c>
    </row>
    <row r="4421" spans="1:20" ht="14.5" x14ac:dyDescent="0.35">
      <c r="A4421" s="10" t="s">
        <v>24442</v>
      </c>
      <c r="B4421" s="10" t="str">
        <f>"9780714650883"</f>
        <v>9780714650883</v>
      </c>
      <c r="C4421" s="10" t="str">
        <f>"9781136335044"</f>
        <v>9781136335044</v>
      </c>
      <c r="D4421" s="10" t="s">
        <v>6350</v>
      </c>
      <c r="E4421" s="10" t="s">
        <v>6351</v>
      </c>
      <c r="F4421" s="10" t="s">
        <v>748</v>
      </c>
      <c r="G4421" s="10" t="s">
        <v>6352</v>
      </c>
      <c r="H4421" s="11">
        <v>36890</v>
      </c>
      <c r="I4421" s="10">
        <v>2001</v>
      </c>
      <c r="J4421" s="10" t="s">
        <v>6351</v>
      </c>
      <c r="K4421" s="10">
        <v>278</v>
      </c>
      <c r="L4421" s="10" t="s">
        <v>24443</v>
      </c>
      <c r="M4421" s="10">
        <v>1</v>
      </c>
      <c r="N4421" s="10" t="s">
        <v>24444</v>
      </c>
      <c r="O4421" s="10"/>
      <c r="P4421" s="10" t="s">
        <v>24445</v>
      </c>
      <c r="Q4421" s="10">
        <v>796.08199999999999</v>
      </c>
      <c r="R4421" s="10" t="s">
        <v>24446</v>
      </c>
      <c r="S4421" s="10" t="s">
        <v>53</v>
      </c>
      <c r="T4421" s="10" t="s">
        <v>7340</v>
      </c>
    </row>
    <row r="4422" spans="1:20" ht="14.5" x14ac:dyDescent="0.35">
      <c r="A4422" s="10" t="s">
        <v>24447</v>
      </c>
      <c r="B4422" s="10" t="str">
        <f>"9781841505169"</f>
        <v>9781841505169</v>
      </c>
      <c r="C4422" s="10" t="str">
        <f>"9781841507880"</f>
        <v>9781841507880</v>
      </c>
      <c r="D4422" s="10" t="s">
        <v>9533</v>
      </c>
      <c r="E4422" s="10" t="s">
        <v>10235</v>
      </c>
      <c r="F4422" s="10" t="s">
        <v>10236</v>
      </c>
      <c r="G4422" s="10" t="s">
        <v>6352</v>
      </c>
      <c r="H4422" s="11">
        <v>41379</v>
      </c>
      <c r="I4422" s="10">
        <v>2013</v>
      </c>
      <c r="J4422" s="10" t="s">
        <v>10235</v>
      </c>
      <c r="K4422" s="10">
        <v>296</v>
      </c>
      <c r="L4422" s="10" t="s">
        <v>24448</v>
      </c>
      <c r="M4422" s="10">
        <v>1</v>
      </c>
      <c r="N4422" s="10"/>
      <c r="O4422" s="10"/>
      <c r="P4422" s="10" t="s">
        <v>24449</v>
      </c>
      <c r="Q4422" s="10">
        <v>378.17899999999997</v>
      </c>
      <c r="R4422" s="10" t="s">
        <v>24450</v>
      </c>
      <c r="S4422" s="10" t="s">
        <v>53</v>
      </c>
      <c r="T4422" s="10" t="s">
        <v>54</v>
      </c>
    </row>
    <row r="4423" spans="1:20" ht="14.5" x14ac:dyDescent="0.35">
      <c r="A4423" s="10" t="s">
        <v>24451</v>
      </c>
      <c r="B4423" s="10" t="str">
        <f>"9781617038181"</f>
        <v>9781617038181</v>
      </c>
      <c r="C4423" s="10" t="str">
        <f>"9781621039501"</f>
        <v>9781621039501</v>
      </c>
      <c r="D4423" s="10" t="s">
        <v>16047</v>
      </c>
      <c r="E4423" s="10" t="s">
        <v>16047</v>
      </c>
      <c r="F4423" s="10" t="s">
        <v>16048</v>
      </c>
      <c r="G4423" s="10" t="s">
        <v>6317</v>
      </c>
      <c r="H4423" s="11">
        <v>41430</v>
      </c>
      <c r="I4423" s="10">
        <v>2013</v>
      </c>
      <c r="J4423" s="10" t="s">
        <v>16047</v>
      </c>
      <c r="K4423" s="10">
        <v>297</v>
      </c>
      <c r="L4423" s="10" t="s">
        <v>24452</v>
      </c>
      <c r="M4423" s="10">
        <v>1</v>
      </c>
      <c r="N4423" s="10" t="s">
        <v>24453</v>
      </c>
      <c r="O4423" s="10"/>
      <c r="P4423" s="10" t="s">
        <v>24454</v>
      </c>
      <c r="Q4423" s="10">
        <v>787.87166091999995</v>
      </c>
      <c r="R4423" s="10" t="s">
        <v>24455</v>
      </c>
      <c r="S4423" s="10" t="s">
        <v>53</v>
      </c>
      <c r="T4423" s="10" t="s">
        <v>6384</v>
      </c>
    </row>
    <row r="4424" spans="1:20" ht="14.5" x14ac:dyDescent="0.35">
      <c r="A4424" s="10" t="s">
        <v>24456</v>
      </c>
      <c r="B4424" s="10" t="str">
        <f>"9781441149114"</f>
        <v>9781441149114</v>
      </c>
      <c r="C4424" s="10" t="str">
        <f>"9781441157690"</f>
        <v>9781441157690</v>
      </c>
      <c r="D4424" s="10" t="s">
        <v>13959</v>
      </c>
      <c r="E4424" s="10" t="s">
        <v>13960</v>
      </c>
      <c r="F4424" s="10" t="s">
        <v>139</v>
      </c>
      <c r="G4424" s="10" t="s">
        <v>6352</v>
      </c>
      <c r="H4424" s="11">
        <v>41319</v>
      </c>
      <c r="I4424" s="10">
        <v>2013</v>
      </c>
      <c r="J4424" s="10" t="s">
        <v>14057</v>
      </c>
      <c r="K4424" s="10">
        <v>160</v>
      </c>
      <c r="L4424" s="10" t="s">
        <v>7443</v>
      </c>
      <c r="M4424" s="10">
        <v>1</v>
      </c>
      <c r="N4424" s="10"/>
      <c r="O4424" s="10"/>
      <c r="P4424" s="10" t="s">
        <v>24457</v>
      </c>
      <c r="Q4424" s="10">
        <v>306.43</v>
      </c>
      <c r="R4424" s="10" t="s">
        <v>24458</v>
      </c>
      <c r="S4424" s="10" t="s">
        <v>53</v>
      </c>
      <c r="T4424" s="10" t="s">
        <v>6472</v>
      </c>
    </row>
    <row r="4425" spans="1:20" ht="14.5" x14ac:dyDescent="0.35">
      <c r="A4425" s="10" t="s">
        <v>24459</v>
      </c>
      <c r="B4425" s="10" t="str">
        <f>"9781443833653"</f>
        <v>9781443833653</v>
      </c>
      <c r="C4425" s="10" t="str">
        <f>"9781443834148"</f>
        <v>9781443834148</v>
      </c>
      <c r="D4425" s="10" t="s">
        <v>23635</v>
      </c>
      <c r="E4425" s="10" t="s">
        <v>23635</v>
      </c>
      <c r="F4425" s="10" t="s">
        <v>23636</v>
      </c>
      <c r="G4425" s="10" t="s">
        <v>6352</v>
      </c>
      <c r="H4425" s="11">
        <v>40848</v>
      </c>
      <c r="I4425" s="10">
        <v>2011</v>
      </c>
      <c r="J4425" s="10" t="s">
        <v>23635</v>
      </c>
      <c r="K4425" s="10">
        <v>227</v>
      </c>
      <c r="L4425" s="10" t="s">
        <v>24460</v>
      </c>
      <c r="M4425" s="10">
        <v>1</v>
      </c>
      <c r="N4425" s="10"/>
      <c r="O4425" s="10"/>
      <c r="P4425" s="10" t="s">
        <v>24461</v>
      </c>
      <c r="Q4425" s="10">
        <v>306</v>
      </c>
      <c r="R4425" s="10" t="s">
        <v>24462</v>
      </c>
      <c r="S4425" s="10" t="s">
        <v>53</v>
      </c>
      <c r="T4425" s="10" t="s">
        <v>6472</v>
      </c>
    </row>
    <row r="4426" spans="1:20" ht="14.5" x14ac:dyDescent="0.35">
      <c r="A4426" s="10" t="s">
        <v>24463</v>
      </c>
      <c r="B4426" s="10" t="str">
        <f>"9781847189202"</f>
        <v>9781847189202</v>
      </c>
      <c r="C4426" s="10" t="str">
        <f>"9781443815062"</f>
        <v>9781443815062</v>
      </c>
      <c r="D4426" s="10" t="s">
        <v>23635</v>
      </c>
      <c r="E4426" s="10" t="s">
        <v>23635</v>
      </c>
      <c r="F4426" s="10" t="s">
        <v>23636</v>
      </c>
      <c r="G4426" s="10" t="s">
        <v>6352</v>
      </c>
      <c r="H4426" s="11">
        <v>39799</v>
      </c>
      <c r="I4426" s="10">
        <v>2009</v>
      </c>
      <c r="J4426" s="10" t="s">
        <v>23635</v>
      </c>
      <c r="K4426" s="10">
        <v>223</v>
      </c>
      <c r="L4426" s="10" t="s">
        <v>24464</v>
      </c>
      <c r="M4426" s="10">
        <v>1</v>
      </c>
      <c r="N4426" s="10"/>
      <c r="O4426" s="10"/>
      <c r="P4426" s="10" t="s">
        <v>24465</v>
      </c>
      <c r="Q4426" s="10" t="s">
        <v>24466</v>
      </c>
      <c r="R4426" s="10" t="s">
        <v>24467</v>
      </c>
      <c r="S4426" s="10" t="s">
        <v>53</v>
      </c>
      <c r="T4426" s="10" t="s">
        <v>24468</v>
      </c>
    </row>
    <row r="4427" spans="1:20" ht="14.5" x14ac:dyDescent="0.35">
      <c r="A4427" s="10" t="s">
        <v>24469</v>
      </c>
      <c r="B4427" s="10" t="str">
        <f>"9781443809993"</f>
        <v>9781443809993</v>
      </c>
      <c r="C4427" s="10" t="str">
        <f>"9781443810692"</f>
        <v>9781443810692</v>
      </c>
      <c r="D4427" s="10" t="s">
        <v>23635</v>
      </c>
      <c r="E4427" s="10" t="s">
        <v>23635</v>
      </c>
      <c r="F4427" s="10" t="s">
        <v>23636</v>
      </c>
      <c r="G4427" s="10" t="s">
        <v>6352</v>
      </c>
      <c r="H4427" s="11">
        <v>39969</v>
      </c>
      <c r="I4427" s="10">
        <v>2009</v>
      </c>
      <c r="J4427" s="10" t="s">
        <v>23635</v>
      </c>
      <c r="K4427" s="10">
        <v>155</v>
      </c>
      <c r="L4427" s="10" t="s">
        <v>24470</v>
      </c>
      <c r="M4427" s="10">
        <v>1</v>
      </c>
      <c r="N4427" s="10"/>
      <c r="O4427" s="10"/>
      <c r="P4427" s="10" t="s">
        <v>24471</v>
      </c>
      <c r="Q4427" s="10">
        <v>372.95400000000001</v>
      </c>
      <c r="R4427" s="10" t="s">
        <v>24472</v>
      </c>
      <c r="S4427" s="10" t="s">
        <v>53</v>
      </c>
      <c r="T4427" s="10" t="s">
        <v>54</v>
      </c>
    </row>
    <row r="4428" spans="1:20" ht="14.5" x14ac:dyDescent="0.35">
      <c r="A4428" s="10" t="s">
        <v>24473</v>
      </c>
      <c r="B4428" s="10" t="str">
        <f>"9781443805254"</f>
        <v>9781443805254</v>
      </c>
      <c r="C4428" s="10" t="str">
        <f>"9781443806831"</f>
        <v>9781443806831</v>
      </c>
      <c r="D4428" s="10" t="s">
        <v>23635</v>
      </c>
      <c r="E4428" s="10" t="s">
        <v>23635</v>
      </c>
      <c r="F4428" s="10" t="s">
        <v>23636</v>
      </c>
      <c r="G4428" s="10" t="s">
        <v>6352</v>
      </c>
      <c r="H4428" s="11">
        <v>39952</v>
      </c>
      <c r="I4428" s="10">
        <v>2009</v>
      </c>
      <c r="J4428" s="10" t="s">
        <v>23635</v>
      </c>
      <c r="K4428" s="10">
        <v>228</v>
      </c>
      <c r="L4428" s="10" t="s">
        <v>24474</v>
      </c>
      <c r="M4428" s="10">
        <v>1</v>
      </c>
      <c r="N4428" s="10"/>
      <c r="O4428" s="10"/>
      <c r="P4428" s="10" t="s">
        <v>24475</v>
      </c>
      <c r="Q4428" s="10">
        <v>378.19829945110399</v>
      </c>
      <c r="R4428" s="10" t="s">
        <v>24476</v>
      </c>
      <c r="S4428" s="10" t="s">
        <v>53</v>
      </c>
      <c r="T4428" s="10" t="s">
        <v>54</v>
      </c>
    </row>
    <row r="4429" spans="1:20" ht="14.5" x14ac:dyDescent="0.35">
      <c r="A4429" s="10" t="s">
        <v>24477</v>
      </c>
      <c r="B4429" s="10" t="str">
        <f>"9781847185686"</f>
        <v>9781847185686</v>
      </c>
      <c r="C4429" s="10" t="str">
        <f>"9781443808828"</f>
        <v>9781443808828</v>
      </c>
      <c r="D4429" s="10" t="s">
        <v>23635</v>
      </c>
      <c r="E4429" s="10" t="s">
        <v>23635</v>
      </c>
      <c r="F4429" s="10" t="s">
        <v>24478</v>
      </c>
      <c r="G4429" s="10" t="s">
        <v>6352</v>
      </c>
      <c r="H4429" s="11">
        <v>39616</v>
      </c>
      <c r="I4429" s="10">
        <v>2009</v>
      </c>
      <c r="J4429" s="10" t="s">
        <v>23635</v>
      </c>
      <c r="K4429" s="10">
        <v>279</v>
      </c>
      <c r="L4429" s="10" t="s">
        <v>24479</v>
      </c>
      <c r="M4429" s="10">
        <v>1</v>
      </c>
      <c r="N4429" s="10"/>
      <c r="O4429" s="10"/>
      <c r="P4429" s="10" t="s">
        <v>24480</v>
      </c>
      <c r="Q4429" s="10">
        <v>306.43095693999999</v>
      </c>
      <c r="R4429" s="10" t="s">
        <v>24481</v>
      </c>
      <c r="S4429" s="10" t="s">
        <v>53</v>
      </c>
      <c r="T4429" s="10" t="s">
        <v>6472</v>
      </c>
    </row>
    <row r="4430" spans="1:20" ht="14.5" x14ac:dyDescent="0.35">
      <c r="A4430" s="10" t="s">
        <v>24482</v>
      </c>
      <c r="B4430" s="10" t="str">
        <f>"9781443813402"</f>
        <v>9781443813402</v>
      </c>
      <c r="C4430" s="10" t="str">
        <f>"9781443815789"</f>
        <v>9781443815789</v>
      </c>
      <c r="D4430" s="10" t="s">
        <v>23635</v>
      </c>
      <c r="E4430" s="10" t="s">
        <v>23635</v>
      </c>
      <c r="F4430" s="10" t="s">
        <v>23636</v>
      </c>
      <c r="G4430" s="10" t="s">
        <v>6352</v>
      </c>
      <c r="H4430" s="11">
        <v>40081</v>
      </c>
      <c r="I4430" s="10">
        <v>2009</v>
      </c>
      <c r="J4430" s="10" t="s">
        <v>23635</v>
      </c>
      <c r="K4430" s="10">
        <v>298</v>
      </c>
      <c r="L4430" s="10" t="s">
        <v>24483</v>
      </c>
      <c r="M4430" s="10">
        <v>1</v>
      </c>
      <c r="N4430" s="10"/>
      <c r="O4430" s="10"/>
      <c r="P4430" s="10" t="s">
        <v>24484</v>
      </c>
      <c r="Q4430" s="10">
        <v>370.11500000000001</v>
      </c>
      <c r="R4430" s="10" t="s">
        <v>24485</v>
      </c>
      <c r="S4430" s="10" t="s">
        <v>53</v>
      </c>
      <c r="T4430" s="10" t="s">
        <v>54</v>
      </c>
    </row>
    <row r="4431" spans="1:20" ht="14.5" x14ac:dyDescent="0.35">
      <c r="A4431" s="10" t="s">
        <v>24486</v>
      </c>
      <c r="B4431" s="10" t="str">
        <f>"9780821397435"</f>
        <v>9780821397435</v>
      </c>
      <c r="C4431" s="10" t="str">
        <f>"9780821397442"</f>
        <v>9780821397442</v>
      </c>
      <c r="D4431" s="10" t="s">
        <v>14731</v>
      </c>
      <c r="E4431" s="10" t="s">
        <v>14732</v>
      </c>
      <c r="F4431" s="10" t="s">
        <v>14733</v>
      </c>
      <c r="G4431" s="10" t="s">
        <v>6317</v>
      </c>
      <c r="H4431" s="11">
        <v>41275</v>
      </c>
      <c r="I4431" s="10">
        <v>2013</v>
      </c>
      <c r="J4431" s="10" t="s">
        <v>14732</v>
      </c>
      <c r="K4431" s="10">
        <v>110</v>
      </c>
      <c r="L4431" s="10" t="s">
        <v>24487</v>
      </c>
      <c r="M4431" s="10">
        <v>1</v>
      </c>
      <c r="N4431" s="10" t="s">
        <v>20668</v>
      </c>
      <c r="O4431" s="10"/>
      <c r="P4431" s="10" t="s">
        <v>24488</v>
      </c>
      <c r="Q4431" s="10" t="s">
        <v>24489</v>
      </c>
      <c r="R4431" s="10" t="s">
        <v>24490</v>
      </c>
      <c r="S4431" s="10" t="s">
        <v>53</v>
      </c>
      <c r="T4431" s="10" t="s">
        <v>54</v>
      </c>
    </row>
    <row r="4432" spans="1:20" ht="14.5" x14ac:dyDescent="0.35">
      <c r="A4432" s="10" t="s">
        <v>24491</v>
      </c>
      <c r="B4432" s="10" t="str">
        <f>"9780415698634"</f>
        <v>9780415698634</v>
      </c>
      <c r="C4432" s="10" t="str">
        <f>"9781136488450"</f>
        <v>9781136488450</v>
      </c>
      <c r="D4432" s="10" t="s">
        <v>6350</v>
      </c>
      <c r="E4432" s="10" t="s">
        <v>6351</v>
      </c>
      <c r="F4432" s="10" t="s">
        <v>139</v>
      </c>
      <c r="G4432" s="10" t="s">
        <v>6352</v>
      </c>
      <c r="H4432" s="11">
        <v>41313</v>
      </c>
      <c r="I4432" s="10">
        <v>2013</v>
      </c>
      <c r="J4432" s="10" t="s">
        <v>6353</v>
      </c>
      <c r="K4432" s="10">
        <v>241</v>
      </c>
      <c r="L4432" s="10" t="s">
        <v>24492</v>
      </c>
      <c r="M4432" s="10">
        <v>1</v>
      </c>
      <c r="N4432" s="10"/>
      <c r="O4432" s="10"/>
      <c r="P4432" s="10" t="s">
        <v>24493</v>
      </c>
      <c r="Q4432" s="10">
        <v>613.70709999999997</v>
      </c>
      <c r="R4432" s="10" t="s">
        <v>24494</v>
      </c>
      <c r="S4432" s="10" t="s">
        <v>53</v>
      </c>
      <c r="T4432" s="10" t="s">
        <v>6791</v>
      </c>
    </row>
    <row r="4433" spans="1:20" ht="14.5" x14ac:dyDescent="0.35">
      <c r="A4433" s="10" t="s">
        <v>24495</v>
      </c>
      <c r="B4433" s="10" t="str">
        <f>"9780415519649"</f>
        <v>9780415519649</v>
      </c>
      <c r="C4433" s="10" t="str">
        <f>"9781136336065"</f>
        <v>9781136336065</v>
      </c>
      <c r="D4433" s="10" t="s">
        <v>6350</v>
      </c>
      <c r="E4433" s="10" t="s">
        <v>6351</v>
      </c>
      <c r="F4433" s="10" t="s">
        <v>139</v>
      </c>
      <c r="G4433" s="10" t="s">
        <v>6352</v>
      </c>
      <c r="H4433" s="11">
        <v>41251</v>
      </c>
      <c r="I4433" s="10">
        <v>2013</v>
      </c>
      <c r="J4433" s="10" t="s">
        <v>6353</v>
      </c>
      <c r="K4433" s="10">
        <v>181</v>
      </c>
      <c r="L4433" s="10" t="s">
        <v>24496</v>
      </c>
      <c r="M4433" s="10">
        <v>1</v>
      </c>
      <c r="N4433" s="10"/>
      <c r="O4433" s="10"/>
      <c r="P4433" s="10" t="s">
        <v>24497</v>
      </c>
      <c r="Q4433" s="10">
        <v>378.12509729999999</v>
      </c>
      <c r="R4433" s="10" t="s">
        <v>24498</v>
      </c>
      <c r="S4433" s="10" t="s">
        <v>53</v>
      </c>
      <c r="T4433" s="10" t="s">
        <v>54</v>
      </c>
    </row>
    <row r="4434" spans="1:20" ht="14.5" x14ac:dyDescent="0.35">
      <c r="A4434" s="10" t="s">
        <v>24499</v>
      </c>
      <c r="B4434" s="10" t="str">
        <f>"9780415522670"</f>
        <v>9780415522670</v>
      </c>
      <c r="C4434" s="10" t="str">
        <f>"9781136326264"</f>
        <v>9781136326264</v>
      </c>
      <c r="D4434" s="10" t="s">
        <v>6350</v>
      </c>
      <c r="E4434" s="10" t="s">
        <v>6351</v>
      </c>
      <c r="F4434" s="10" t="s">
        <v>139</v>
      </c>
      <c r="G4434" s="10" t="s">
        <v>6352</v>
      </c>
      <c r="H4434" s="11">
        <v>41261</v>
      </c>
      <c r="I4434" s="10">
        <v>2013</v>
      </c>
      <c r="J4434" s="10" t="s">
        <v>6353</v>
      </c>
      <c r="K4434" s="10">
        <v>361</v>
      </c>
      <c r="L4434" s="10" t="s">
        <v>24500</v>
      </c>
      <c r="M4434" s="10">
        <v>1</v>
      </c>
      <c r="N4434" s="10"/>
      <c r="O4434" s="10"/>
      <c r="P4434" s="10" t="s">
        <v>24501</v>
      </c>
      <c r="Q4434" s="10">
        <v>370.15</v>
      </c>
      <c r="R4434" s="10" t="s">
        <v>22053</v>
      </c>
      <c r="S4434" s="10" t="s">
        <v>53</v>
      </c>
      <c r="T4434" s="10" t="s">
        <v>54</v>
      </c>
    </row>
    <row r="4435" spans="1:20" ht="14.5" x14ac:dyDescent="0.35">
      <c r="A4435" s="10" t="s">
        <v>24502</v>
      </c>
      <c r="B4435" s="10" t="str">
        <f>"9780415878982"</f>
        <v>9780415878982</v>
      </c>
      <c r="C4435" s="10" t="str">
        <f>"9781136962059"</f>
        <v>9781136962059</v>
      </c>
      <c r="D4435" s="10" t="s">
        <v>6350</v>
      </c>
      <c r="E4435" s="10" t="s">
        <v>6351</v>
      </c>
      <c r="F4435" s="10" t="s">
        <v>748</v>
      </c>
      <c r="G4435" s="10" t="s">
        <v>6352</v>
      </c>
      <c r="H4435" s="11">
        <v>41260</v>
      </c>
      <c r="I4435" s="10">
        <v>2013</v>
      </c>
      <c r="J4435" s="10" t="s">
        <v>6351</v>
      </c>
      <c r="K4435" s="10">
        <v>512</v>
      </c>
      <c r="L4435" s="10" t="s">
        <v>24503</v>
      </c>
      <c r="M4435" s="10">
        <v>1</v>
      </c>
      <c r="N4435" s="10" t="s">
        <v>24504</v>
      </c>
      <c r="O4435" s="10"/>
      <c r="P4435" s="10" t="s">
        <v>24505</v>
      </c>
      <c r="Q4435" s="10" t="s">
        <v>10213</v>
      </c>
      <c r="R4435" s="10" t="s">
        <v>24506</v>
      </c>
      <c r="S4435" s="10" t="s">
        <v>53</v>
      </c>
      <c r="T4435" s="10" t="s">
        <v>54</v>
      </c>
    </row>
    <row r="4436" spans="1:20" ht="14.5" x14ac:dyDescent="0.35">
      <c r="A4436" s="10" t="s">
        <v>24507</v>
      </c>
      <c r="B4436" s="10" t="str">
        <f>"9780415617123"</f>
        <v>9780415617123</v>
      </c>
      <c r="C4436" s="10" t="str">
        <f>"9781135119737"</f>
        <v>9781135119737</v>
      </c>
      <c r="D4436" s="10" t="s">
        <v>6350</v>
      </c>
      <c r="E4436" s="10" t="s">
        <v>6351</v>
      </c>
      <c r="F4436" s="10" t="s">
        <v>139</v>
      </c>
      <c r="G4436" s="10" t="s">
        <v>6352</v>
      </c>
      <c r="H4436" s="11">
        <v>41313</v>
      </c>
      <c r="I4436" s="10">
        <v>2013</v>
      </c>
      <c r="J4436" s="10" t="s">
        <v>6353</v>
      </c>
      <c r="K4436" s="10">
        <v>183</v>
      </c>
      <c r="L4436" s="10" t="s">
        <v>24508</v>
      </c>
      <c r="M4436" s="10">
        <v>1</v>
      </c>
      <c r="N4436" s="10" t="s">
        <v>24509</v>
      </c>
      <c r="O4436" s="10"/>
      <c r="P4436" s="10" t="s">
        <v>24510</v>
      </c>
      <c r="Q4436" s="10">
        <v>372.21099299999997</v>
      </c>
      <c r="R4436" s="10" t="s">
        <v>24511</v>
      </c>
      <c r="S4436" s="10" t="s">
        <v>53</v>
      </c>
      <c r="T4436" s="10" t="s">
        <v>54</v>
      </c>
    </row>
    <row r="4437" spans="1:20" ht="14.5" x14ac:dyDescent="0.35">
      <c r="A4437" s="10" t="s">
        <v>24512</v>
      </c>
      <c r="B4437" s="10" t="str">
        <f>"9780415502276"</f>
        <v>9780415502276</v>
      </c>
      <c r="C4437" s="10" t="str">
        <f>"9781135096977"</f>
        <v>9781135096977</v>
      </c>
      <c r="D4437" s="10" t="s">
        <v>6350</v>
      </c>
      <c r="E4437" s="10" t="s">
        <v>6351</v>
      </c>
      <c r="F4437" s="10" t="s">
        <v>139</v>
      </c>
      <c r="G4437" s="10" t="s">
        <v>6352</v>
      </c>
      <c r="H4437" s="11">
        <v>41248</v>
      </c>
      <c r="I4437" s="10">
        <v>2013</v>
      </c>
      <c r="J4437" s="10" t="s">
        <v>6353</v>
      </c>
      <c r="K4437" s="10">
        <v>161</v>
      </c>
      <c r="L4437" s="10" t="s">
        <v>24513</v>
      </c>
      <c r="M4437" s="10">
        <v>1</v>
      </c>
      <c r="N4437" s="10" t="s">
        <v>6954</v>
      </c>
      <c r="O4437" s="10"/>
      <c r="P4437" s="10" t="s">
        <v>24514</v>
      </c>
      <c r="Q4437" s="10" t="s">
        <v>10427</v>
      </c>
      <c r="R4437" s="10" t="s">
        <v>21612</v>
      </c>
      <c r="S4437" s="10" t="s">
        <v>53</v>
      </c>
      <c r="T4437" s="10" t="s">
        <v>54</v>
      </c>
    </row>
    <row r="4438" spans="1:20" ht="14.5" x14ac:dyDescent="0.35">
      <c r="A4438" s="10" t="s">
        <v>24515</v>
      </c>
      <c r="B4438" s="10" t="str">
        <f>"9780415658096"</f>
        <v>9780415658096</v>
      </c>
      <c r="C4438" s="10" t="str">
        <f>"9781135124427"</f>
        <v>9781135124427</v>
      </c>
      <c r="D4438" s="10" t="s">
        <v>6350</v>
      </c>
      <c r="E4438" s="10" t="s">
        <v>6351</v>
      </c>
      <c r="F4438" s="10" t="s">
        <v>139</v>
      </c>
      <c r="G4438" s="10" t="s">
        <v>6352</v>
      </c>
      <c r="H4438" s="11">
        <v>41261</v>
      </c>
      <c r="I4438" s="10">
        <v>2013</v>
      </c>
      <c r="J4438" s="10" t="s">
        <v>6353</v>
      </c>
      <c r="K4438" s="10">
        <v>209</v>
      </c>
      <c r="L4438" s="10" t="s">
        <v>24516</v>
      </c>
      <c r="M4438" s="10">
        <v>1</v>
      </c>
      <c r="N4438" s="10" t="s">
        <v>6954</v>
      </c>
      <c r="O4438" s="10"/>
      <c r="P4438" s="10" t="s">
        <v>24517</v>
      </c>
      <c r="Q4438" s="10" t="s">
        <v>24518</v>
      </c>
      <c r="R4438" s="10" t="s">
        <v>24519</v>
      </c>
      <c r="S4438" s="10" t="s">
        <v>53</v>
      </c>
      <c r="T4438" s="10" t="s">
        <v>54</v>
      </c>
    </row>
    <row r="4439" spans="1:20" ht="14.5" x14ac:dyDescent="0.35">
      <c r="A4439" s="10" t="s">
        <v>24520</v>
      </c>
      <c r="B4439" s="10" t="str">
        <f>"9780415672023"</f>
        <v>9780415672023</v>
      </c>
      <c r="C4439" s="10" t="str">
        <f>"9781135098445"</f>
        <v>9781135098445</v>
      </c>
      <c r="D4439" s="10" t="s">
        <v>6350</v>
      </c>
      <c r="E4439" s="10" t="s">
        <v>6351</v>
      </c>
      <c r="F4439" s="10" t="s">
        <v>139</v>
      </c>
      <c r="G4439" s="10" t="s">
        <v>6352</v>
      </c>
      <c r="H4439" s="11">
        <v>41304</v>
      </c>
      <c r="I4439" s="10">
        <v>2013</v>
      </c>
      <c r="J4439" s="10" t="s">
        <v>6353</v>
      </c>
      <c r="K4439" s="10">
        <v>201</v>
      </c>
      <c r="L4439" s="10" t="s">
        <v>11842</v>
      </c>
      <c r="M4439" s="10">
        <v>1</v>
      </c>
      <c r="N4439" s="10" t="s">
        <v>16478</v>
      </c>
      <c r="O4439" s="10"/>
      <c r="P4439" s="10" t="s">
        <v>24521</v>
      </c>
      <c r="Q4439" s="10" t="s">
        <v>18070</v>
      </c>
      <c r="R4439" s="10" t="s">
        <v>24522</v>
      </c>
      <c r="S4439" s="10" t="s">
        <v>53</v>
      </c>
      <c r="T4439" s="10" t="s">
        <v>54</v>
      </c>
    </row>
    <row r="4440" spans="1:20" ht="14.5" x14ac:dyDescent="0.35">
      <c r="A4440" s="10" t="s">
        <v>24523</v>
      </c>
      <c r="B4440" s="10" t="str">
        <f>"9780415661669"</f>
        <v>9780415661669</v>
      </c>
      <c r="C4440" s="10" t="str">
        <f>"9781135099077"</f>
        <v>9781135099077</v>
      </c>
      <c r="D4440" s="10" t="s">
        <v>6350</v>
      </c>
      <c r="E4440" s="10" t="s">
        <v>6351</v>
      </c>
      <c r="F4440" s="10" t="s">
        <v>139</v>
      </c>
      <c r="G4440" s="10" t="s">
        <v>6352</v>
      </c>
      <c r="H4440" s="11">
        <v>41219</v>
      </c>
      <c r="I4440" s="10">
        <v>1996</v>
      </c>
      <c r="J4440" s="10" t="s">
        <v>6353</v>
      </c>
      <c r="K4440" s="10">
        <v>137</v>
      </c>
      <c r="L4440" s="10" t="s">
        <v>24524</v>
      </c>
      <c r="M4440" s="10">
        <v>1</v>
      </c>
      <c r="N4440" s="10" t="s">
        <v>16856</v>
      </c>
      <c r="O4440" s="10"/>
      <c r="P4440" s="10" t="s">
        <v>24525</v>
      </c>
      <c r="Q4440" s="10">
        <v>378.125</v>
      </c>
      <c r="R4440" s="10" t="s">
        <v>24526</v>
      </c>
      <c r="S4440" s="10" t="s">
        <v>53</v>
      </c>
      <c r="T4440" s="10" t="s">
        <v>54</v>
      </c>
    </row>
    <row r="4441" spans="1:20" ht="14.5" x14ac:dyDescent="0.35">
      <c r="A4441" s="10" t="s">
        <v>24527</v>
      </c>
      <c r="B4441" s="10" t="str">
        <f>"9780415628310"</f>
        <v>9780415628310</v>
      </c>
      <c r="C4441" s="10" t="str">
        <f>"9781135094102"</f>
        <v>9781135094102</v>
      </c>
      <c r="D4441" s="10" t="s">
        <v>6350</v>
      </c>
      <c r="E4441" s="10" t="s">
        <v>6351</v>
      </c>
      <c r="F4441" s="10" t="s">
        <v>139</v>
      </c>
      <c r="G4441" s="10" t="s">
        <v>6352</v>
      </c>
      <c r="H4441" s="11">
        <v>41262</v>
      </c>
      <c r="I4441" s="10">
        <v>2013</v>
      </c>
      <c r="J4441" s="10" t="s">
        <v>6353</v>
      </c>
      <c r="K4441" s="10">
        <v>133</v>
      </c>
      <c r="L4441" s="10" t="s">
        <v>24528</v>
      </c>
      <c r="M4441" s="10">
        <v>1</v>
      </c>
      <c r="N4441" s="10" t="s">
        <v>6954</v>
      </c>
      <c r="O4441" s="10"/>
      <c r="P4441" s="10" t="s">
        <v>24529</v>
      </c>
      <c r="Q4441" s="10" t="s">
        <v>9007</v>
      </c>
      <c r="R4441" s="10" t="s">
        <v>22057</v>
      </c>
      <c r="S4441" s="10" t="s">
        <v>53</v>
      </c>
      <c r="T4441" s="10" t="s">
        <v>54</v>
      </c>
    </row>
    <row r="4442" spans="1:20" ht="14.5" x14ac:dyDescent="0.35">
      <c r="A4442" s="10" t="s">
        <v>24530</v>
      </c>
      <c r="B4442" s="10" t="str">
        <f>"9780415509091"</f>
        <v>9780415509091</v>
      </c>
      <c r="C4442" s="10" t="str">
        <f>"9781136215537"</f>
        <v>9781136215537</v>
      </c>
      <c r="D4442" s="10" t="s">
        <v>6350</v>
      </c>
      <c r="E4442" s="10" t="s">
        <v>6351</v>
      </c>
      <c r="F4442" s="10" t="s">
        <v>139</v>
      </c>
      <c r="G4442" s="10" t="s">
        <v>6352</v>
      </c>
      <c r="H4442" s="11">
        <v>41260</v>
      </c>
      <c r="I4442" s="10">
        <v>2013</v>
      </c>
      <c r="J4442" s="10" t="s">
        <v>6353</v>
      </c>
      <c r="K4442" s="10">
        <v>297</v>
      </c>
      <c r="L4442" s="10" t="s">
        <v>24531</v>
      </c>
      <c r="M4442" s="10">
        <v>3</v>
      </c>
      <c r="N4442" s="10"/>
      <c r="O4442" s="10"/>
      <c r="P4442" s="10" t="s">
        <v>24532</v>
      </c>
      <c r="Q4442" s="10" t="s">
        <v>7391</v>
      </c>
      <c r="R4442" s="10" t="s">
        <v>24533</v>
      </c>
      <c r="S4442" s="10" t="s">
        <v>53</v>
      </c>
      <c r="T4442" s="10" t="s">
        <v>54</v>
      </c>
    </row>
    <row r="4443" spans="1:20" ht="14.5" x14ac:dyDescent="0.35">
      <c r="A4443" s="10" t="s">
        <v>24534</v>
      </c>
      <c r="B4443" s="10" t="str">
        <f>"9780415640626"</f>
        <v>9780415640626</v>
      </c>
      <c r="C4443" s="10" t="str">
        <f>"9781136180262"</f>
        <v>9781136180262</v>
      </c>
      <c r="D4443" s="10" t="s">
        <v>6350</v>
      </c>
      <c r="E4443" s="10" t="s">
        <v>6351</v>
      </c>
      <c r="F4443" s="10" t="s">
        <v>748</v>
      </c>
      <c r="G4443" s="10" t="s">
        <v>6352</v>
      </c>
      <c r="H4443" s="11">
        <v>41263</v>
      </c>
      <c r="I4443" s="10">
        <v>2013</v>
      </c>
      <c r="J4443" s="10" t="s">
        <v>6351</v>
      </c>
      <c r="K4443" s="10">
        <v>168</v>
      </c>
      <c r="L4443" s="10" t="s">
        <v>24535</v>
      </c>
      <c r="M4443" s="10">
        <v>1</v>
      </c>
      <c r="N4443" s="10"/>
      <c r="O4443" s="10"/>
      <c r="P4443" s="10" t="s">
        <v>24536</v>
      </c>
      <c r="Q4443" s="10" t="s">
        <v>20324</v>
      </c>
      <c r="R4443" s="10" t="s">
        <v>21359</v>
      </c>
      <c r="S4443" s="10" t="s">
        <v>53</v>
      </c>
      <c r="T4443" s="10" t="s">
        <v>54</v>
      </c>
    </row>
    <row r="4444" spans="1:20" ht="14.5" x14ac:dyDescent="0.35">
      <c r="A4444" s="10" t="s">
        <v>24537</v>
      </c>
      <c r="B4444" s="10" t="str">
        <f>"9780520275812"</f>
        <v>9780520275812</v>
      </c>
      <c r="C4444" s="10" t="str">
        <f>"9780520955257"</f>
        <v>9780520955257</v>
      </c>
      <c r="D4444" s="10" t="s">
        <v>8512</v>
      </c>
      <c r="E4444" s="10" t="s">
        <v>8512</v>
      </c>
      <c r="F4444" s="10" t="s">
        <v>717</v>
      </c>
      <c r="G4444" s="10" t="s">
        <v>6317</v>
      </c>
      <c r="H4444" s="11">
        <v>41348</v>
      </c>
      <c r="I4444" s="10">
        <v>2013</v>
      </c>
      <c r="J4444" s="10" t="s">
        <v>8512</v>
      </c>
      <c r="K4444" s="10">
        <v>151</v>
      </c>
      <c r="L4444" s="10" t="s">
        <v>20176</v>
      </c>
      <c r="M4444" s="10">
        <v>1</v>
      </c>
      <c r="N4444" s="10" t="s">
        <v>24538</v>
      </c>
      <c r="O4444" s="10">
        <v>3</v>
      </c>
      <c r="P4444" s="10"/>
      <c r="Q4444" s="10">
        <v>378.73</v>
      </c>
      <c r="R4444" s="10" t="s">
        <v>24539</v>
      </c>
      <c r="S4444" s="10" t="s">
        <v>53</v>
      </c>
      <c r="T4444" s="10" t="s">
        <v>54</v>
      </c>
    </row>
    <row r="4445" spans="1:20" ht="14.5" x14ac:dyDescent="0.35">
      <c r="A4445" s="10" t="s">
        <v>24540</v>
      </c>
      <c r="B4445" s="10" t="str">
        <f>"9780739172568"</f>
        <v>9780739172568</v>
      </c>
      <c r="C4445" s="10" t="str">
        <f>"9780739172575"</f>
        <v>9780739172575</v>
      </c>
      <c r="D4445" s="10" t="s">
        <v>9752</v>
      </c>
      <c r="E4445" s="10" t="s">
        <v>15182</v>
      </c>
      <c r="F4445" s="10" t="s">
        <v>9754</v>
      </c>
      <c r="G4445" s="10" t="s">
        <v>6317</v>
      </c>
      <c r="H4445" s="11">
        <v>41257</v>
      </c>
      <c r="I4445" s="10">
        <v>2012</v>
      </c>
      <c r="J4445" s="10" t="s">
        <v>15182</v>
      </c>
      <c r="K4445" s="10">
        <v>287</v>
      </c>
      <c r="L4445" s="10" t="s">
        <v>24541</v>
      </c>
      <c r="M4445" s="10">
        <v>1</v>
      </c>
      <c r="N4445" s="10" t="s">
        <v>24542</v>
      </c>
      <c r="O4445" s="10"/>
      <c r="P4445" s="10" t="s">
        <v>24543</v>
      </c>
      <c r="Q4445" s="10">
        <v>302.22440972999999</v>
      </c>
      <c r="R4445" s="10" t="s">
        <v>24544</v>
      </c>
      <c r="S4445" s="10" t="s">
        <v>53</v>
      </c>
      <c r="T4445" s="10" t="s">
        <v>6526</v>
      </c>
    </row>
    <row r="4446" spans="1:20" ht="14.5" x14ac:dyDescent="0.35">
      <c r="A4446" s="10" t="s">
        <v>24545</v>
      </c>
      <c r="B4446" s="10" t="str">
        <f>"9781475801767"</f>
        <v>9781475801767</v>
      </c>
      <c r="C4446" s="10" t="str">
        <f>"9781475801781"</f>
        <v>9781475801781</v>
      </c>
      <c r="D4446" s="10" t="s">
        <v>15207</v>
      </c>
      <c r="E4446" s="10" t="s">
        <v>15192</v>
      </c>
      <c r="F4446" s="10" t="s">
        <v>9754</v>
      </c>
      <c r="G4446" s="10" t="s">
        <v>6317</v>
      </c>
      <c r="H4446" s="11">
        <v>41186</v>
      </c>
      <c r="I4446" s="10">
        <v>2012</v>
      </c>
      <c r="J4446" s="10" t="s">
        <v>15192</v>
      </c>
      <c r="K4446" s="10">
        <v>257</v>
      </c>
      <c r="L4446" s="10" t="s">
        <v>24546</v>
      </c>
      <c r="M4446" s="10">
        <v>1</v>
      </c>
      <c r="N4446" s="10"/>
      <c r="O4446" s="10"/>
      <c r="P4446" s="10" t="s">
        <v>24547</v>
      </c>
      <c r="Q4446" s="10" t="s">
        <v>24548</v>
      </c>
      <c r="R4446" s="10" t="s">
        <v>24549</v>
      </c>
      <c r="S4446" s="10" t="s">
        <v>53</v>
      </c>
      <c r="T4446" s="10" t="s">
        <v>54</v>
      </c>
    </row>
    <row r="4447" spans="1:20" ht="14.5" x14ac:dyDescent="0.35">
      <c r="A4447" s="10" t="s">
        <v>24550</v>
      </c>
      <c r="B4447" s="10" t="str">
        <f>"9780739176009"</f>
        <v>9780739176009</v>
      </c>
      <c r="C4447" s="10" t="str">
        <f>"9780739176016"</f>
        <v>9780739176016</v>
      </c>
      <c r="D4447" s="10" t="s">
        <v>9752</v>
      </c>
      <c r="E4447" s="10" t="s">
        <v>15182</v>
      </c>
      <c r="F4447" s="10" t="s">
        <v>9754</v>
      </c>
      <c r="G4447" s="10" t="s">
        <v>6317</v>
      </c>
      <c r="H4447" s="11">
        <v>41257</v>
      </c>
      <c r="I4447" s="10">
        <v>2012</v>
      </c>
      <c r="J4447" s="10" t="s">
        <v>15182</v>
      </c>
      <c r="K4447" s="10">
        <v>214</v>
      </c>
      <c r="L4447" s="10" t="s">
        <v>24551</v>
      </c>
      <c r="M4447" s="10">
        <v>1</v>
      </c>
      <c r="N4447" s="10"/>
      <c r="O4447" s="10"/>
      <c r="P4447" s="10" t="s">
        <v>24552</v>
      </c>
      <c r="Q4447" s="10">
        <v>306.43097299999999</v>
      </c>
      <c r="R4447" s="10" t="s">
        <v>24553</v>
      </c>
      <c r="S4447" s="10" t="s">
        <v>53</v>
      </c>
      <c r="T4447" s="10" t="s">
        <v>6472</v>
      </c>
    </row>
    <row r="4448" spans="1:20" ht="14.5" x14ac:dyDescent="0.35">
      <c r="A4448" s="10" t="s">
        <v>24554</v>
      </c>
      <c r="B4448" s="10" t="str">
        <f>"9780826350817"</f>
        <v>9780826350817</v>
      </c>
      <c r="C4448" s="10" t="str">
        <f>"9780826350824"</f>
        <v>9780826350824</v>
      </c>
      <c r="D4448" s="10" t="s">
        <v>24305</v>
      </c>
      <c r="E4448" s="10" t="s">
        <v>24305</v>
      </c>
      <c r="F4448" s="10" t="s">
        <v>24306</v>
      </c>
      <c r="G4448" s="10" t="s">
        <v>6317</v>
      </c>
      <c r="H4448" s="11">
        <v>41014</v>
      </c>
      <c r="I4448" s="10">
        <v>2012</v>
      </c>
      <c r="J4448" s="10" t="s">
        <v>24305</v>
      </c>
      <c r="K4448" s="10">
        <v>362</v>
      </c>
      <c r="L4448" s="10" t="s">
        <v>24555</v>
      </c>
      <c r="M4448" s="10">
        <v>1</v>
      </c>
      <c r="N4448" s="10" t="s">
        <v>24556</v>
      </c>
      <c r="O4448" s="10"/>
      <c r="P4448" s="10" t="s">
        <v>24557</v>
      </c>
      <c r="Q4448" s="10">
        <v>379.72840000000002</v>
      </c>
      <c r="R4448" s="10" t="s">
        <v>24558</v>
      </c>
      <c r="S4448" s="10" t="s">
        <v>53</v>
      </c>
      <c r="T4448" s="10" t="s">
        <v>54</v>
      </c>
    </row>
    <row r="4449" spans="1:20" ht="14.5" x14ac:dyDescent="0.35">
      <c r="A4449" s="10" t="s">
        <v>24559</v>
      </c>
      <c r="B4449" s="10" t="str">
        <f>"9780826336552"</f>
        <v>9780826336552</v>
      </c>
      <c r="C4449" s="10" t="str">
        <f>"9780826336569"</f>
        <v>9780826336569</v>
      </c>
      <c r="D4449" s="10" t="s">
        <v>24305</v>
      </c>
      <c r="E4449" s="10" t="s">
        <v>24305</v>
      </c>
      <c r="F4449" s="10" t="s">
        <v>24306</v>
      </c>
      <c r="G4449" s="10" t="s">
        <v>6317</v>
      </c>
      <c r="H4449" s="11">
        <v>38457</v>
      </c>
      <c r="I4449" s="10">
        <v>2005</v>
      </c>
      <c r="J4449" s="10" t="s">
        <v>24305</v>
      </c>
      <c r="K4449" s="10">
        <v>272</v>
      </c>
      <c r="L4449" s="10" t="s">
        <v>24560</v>
      </c>
      <c r="M4449" s="10">
        <v>1</v>
      </c>
      <c r="N4449" s="10"/>
      <c r="O4449" s="10"/>
      <c r="P4449" s="10" t="s">
        <v>24561</v>
      </c>
      <c r="Q4449" s="10" t="s">
        <v>24562</v>
      </c>
      <c r="R4449" s="10" t="s">
        <v>24563</v>
      </c>
      <c r="S4449" s="10" t="s">
        <v>53</v>
      </c>
      <c r="T4449" s="10" t="s">
        <v>54</v>
      </c>
    </row>
    <row r="4450" spans="1:20" ht="14.5" x14ac:dyDescent="0.35">
      <c r="A4450" s="10" t="s">
        <v>24564</v>
      </c>
      <c r="B4450" s="10" t="str">
        <f>"9780826343819"</f>
        <v>9780826343819</v>
      </c>
      <c r="C4450" s="10" t="str">
        <f>"9780826343833"</f>
        <v>9780826343833</v>
      </c>
      <c r="D4450" s="10" t="s">
        <v>24305</v>
      </c>
      <c r="E4450" s="10" t="s">
        <v>24305</v>
      </c>
      <c r="F4450" s="10" t="s">
        <v>24306</v>
      </c>
      <c r="G4450" s="10" t="s">
        <v>6317</v>
      </c>
      <c r="H4450" s="11">
        <v>39401</v>
      </c>
      <c r="I4450" s="10">
        <v>2007</v>
      </c>
      <c r="J4450" s="10" t="s">
        <v>24305</v>
      </c>
      <c r="K4450" s="10">
        <v>161</v>
      </c>
      <c r="L4450" s="10" t="s">
        <v>24565</v>
      </c>
      <c r="M4450" s="10">
        <v>1</v>
      </c>
      <c r="N4450" s="10"/>
      <c r="O4450" s="10"/>
      <c r="P4450" s="10"/>
      <c r="Q4450" s="10" t="s">
        <v>19783</v>
      </c>
      <c r="R4450" s="10" t="s">
        <v>24566</v>
      </c>
      <c r="S4450" s="10" t="s">
        <v>53</v>
      </c>
      <c r="T4450" s="10" t="s">
        <v>16922</v>
      </c>
    </row>
    <row r="4451" spans="1:20" ht="14.5" x14ac:dyDescent="0.35">
      <c r="A4451" s="10" t="s">
        <v>24567</v>
      </c>
      <c r="B4451" s="10" t="str">
        <f>"9781841506296"</f>
        <v>9781841506296</v>
      </c>
      <c r="C4451" s="10" t="str">
        <f>"9781841507637"</f>
        <v>9781841507637</v>
      </c>
      <c r="D4451" s="10" t="s">
        <v>9533</v>
      </c>
      <c r="E4451" s="10" t="s">
        <v>10235</v>
      </c>
      <c r="F4451" s="10" t="s">
        <v>10236</v>
      </c>
      <c r="G4451" s="10" t="s">
        <v>6352</v>
      </c>
      <c r="H4451" s="11">
        <v>41167</v>
      </c>
      <c r="I4451" s="10">
        <v>2012</v>
      </c>
      <c r="J4451" s="10" t="s">
        <v>10235</v>
      </c>
      <c r="K4451" s="10">
        <v>354</v>
      </c>
      <c r="L4451" s="10" t="s">
        <v>24568</v>
      </c>
      <c r="M4451" s="10">
        <v>1</v>
      </c>
      <c r="N4451" s="10" t="s">
        <v>24569</v>
      </c>
      <c r="O4451" s="10"/>
      <c r="P4451" s="10" t="s">
        <v>24570</v>
      </c>
      <c r="Q4451" s="10">
        <v>792.07100000000003</v>
      </c>
      <c r="R4451" s="10" t="s">
        <v>24571</v>
      </c>
      <c r="S4451" s="10" t="s">
        <v>53</v>
      </c>
      <c r="T4451" s="10" t="s">
        <v>6384</v>
      </c>
    </row>
    <row r="4452" spans="1:20" ht="14.5" x14ac:dyDescent="0.35">
      <c r="A4452" s="10" t="s">
        <v>24572</v>
      </c>
      <c r="B4452" s="10" t="str">
        <f>"9780470770375"</f>
        <v>9780470770375</v>
      </c>
      <c r="C4452" s="10" t="str">
        <f>"9781118415436"</f>
        <v>9781118415436</v>
      </c>
      <c r="D4452" s="10" t="s">
        <v>6322</v>
      </c>
      <c r="E4452" s="10" t="s">
        <v>6323</v>
      </c>
      <c r="F4452" s="10" t="s">
        <v>2549</v>
      </c>
      <c r="G4452" s="10" t="s">
        <v>6317</v>
      </c>
      <c r="H4452" s="11">
        <v>41331</v>
      </c>
      <c r="I4452" s="10">
        <v>2013</v>
      </c>
      <c r="J4452" s="10" t="s">
        <v>6324</v>
      </c>
      <c r="K4452" s="10">
        <v>458</v>
      </c>
      <c r="L4452" s="10" t="s">
        <v>24573</v>
      </c>
      <c r="M4452" s="10">
        <v>3</v>
      </c>
      <c r="N4452" s="10"/>
      <c r="O4452" s="10"/>
      <c r="P4452" s="10" t="s">
        <v>24574</v>
      </c>
      <c r="Q4452" s="10">
        <v>374.97300000000001</v>
      </c>
      <c r="R4452" s="10" t="s">
        <v>24575</v>
      </c>
      <c r="S4452" s="10" t="s">
        <v>53</v>
      </c>
      <c r="T4452" s="10" t="s">
        <v>54</v>
      </c>
    </row>
    <row r="4453" spans="1:20" ht="14.5" x14ac:dyDescent="0.35">
      <c r="A4453" s="10" t="s">
        <v>24576</v>
      </c>
      <c r="B4453" s="10" t="str">
        <f>"9781118119280"</f>
        <v>9781118119280</v>
      </c>
      <c r="C4453" s="10" t="str">
        <f>"9781118416167"</f>
        <v>9781118416167</v>
      </c>
      <c r="D4453" s="10" t="s">
        <v>6322</v>
      </c>
      <c r="E4453" s="10" t="s">
        <v>6323</v>
      </c>
      <c r="F4453" s="10" t="s">
        <v>4423</v>
      </c>
      <c r="G4453" s="10" t="s">
        <v>6317</v>
      </c>
      <c r="H4453" s="11">
        <v>41331</v>
      </c>
      <c r="I4453" s="10">
        <v>2013</v>
      </c>
      <c r="J4453" s="10" t="s">
        <v>6324</v>
      </c>
      <c r="K4453" s="10">
        <v>305</v>
      </c>
      <c r="L4453" s="10" t="s">
        <v>24577</v>
      </c>
      <c r="M4453" s="10">
        <v>2</v>
      </c>
      <c r="N4453" s="10"/>
      <c r="O4453" s="10"/>
      <c r="P4453" s="10"/>
      <c r="Q4453" s="10" t="s">
        <v>8223</v>
      </c>
      <c r="R4453" s="10" t="s">
        <v>8224</v>
      </c>
      <c r="S4453" s="10" t="s">
        <v>53</v>
      </c>
      <c r="T4453" s="10" t="s">
        <v>54</v>
      </c>
    </row>
    <row r="4454" spans="1:20" ht="14.5" x14ac:dyDescent="0.35">
      <c r="A4454" s="10" t="s">
        <v>24578</v>
      </c>
      <c r="B4454" s="10" t="str">
        <f>"9780739179321"</f>
        <v>9780739179321</v>
      </c>
      <c r="C4454" s="10" t="str">
        <f>"9780739179338"</f>
        <v>9780739179338</v>
      </c>
      <c r="D4454" s="10" t="s">
        <v>9752</v>
      </c>
      <c r="E4454" s="10" t="s">
        <v>15182</v>
      </c>
      <c r="F4454" s="10" t="s">
        <v>9754</v>
      </c>
      <c r="G4454" s="10" t="s">
        <v>6317</v>
      </c>
      <c r="H4454" s="11">
        <v>41257</v>
      </c>
      <c r="I4454" s="10">
        <v>2012</v>
      </c>
      <c r="J4454" s="10" t="s">
        <v>15182</v>
      </c>
      <c r="K4454" s="10">
        <v>293</v>
      </c>
      <c r="L4454" s="10" t="s">
        <v>24579</v>
      </c>
      <c r="M4454" s="10">
        <v>1</v>
      </c>
      <c r="N4454" s="10"/>
      <c r="O4454" s="10"/>
      <c r="P4454" s="10" t="s">
        <v>24580</v>
      </c>
      <c r="Q4454" s="10">
        <v>378.125</v>
      </c>
      <c r="R4454" s="10" t="s">
        <v>7101</v>
      </c>
      <c r="S4454" s="10" t="s">
        <v>53</v>
      </c>
      <c r="T4454" s="10" t="s">
        <v>54</v>
      </c>
    </row>
    <row r="4455" spans="1:20" ht="14.5" x14ac:dyDescent="0.35">
      <c r="A4455" s="10" t="s">
        <v>24581</v>
      </c>
      <c r="B4455" s="10" t="str">
        <f>"9780739165256"</f>
        <v>9780739165256</v>
      </c>
      <c r="C4455" s="10" t="str">
        <f>"9780739179888"</f>
        <v>9780739179888</v>
      </c>
      <c r="D4455" s="10" t="s">
        <v>9752</v>
      </c>
      <c r="E4455" s="10" t="s">
        <v>15182</v>
      </c>
      <c r="F4455" s="10" t="s">
        <v>9754</v>
      </c>
      <c r="G4455" s="10" t="s">
        <v>6317</v>
      </c>
      <c r="H4455" s="11">
        <v>41256</v>
      </c>
      <c r="I4455" s="10">
        <v>2012</v>
      </c>
      <c r="J4455" s="10" t="s">
        <v>15182</v>
      </c>
      <c r="K4455" s="10">
        <v>170</v>
      </c>
      <c r="L4455" s="10" t="s">
        <v>24582</v>
      </c>
      <c r="M4455" s="10">
        <v>1</v>
      </c>
      <c r="N4455" s="10"/>
      <c r="O4455" s="10"/>
      <c r="P4455" s="10"/>
      <c r="Q4455" s="10">
        <v>306.43098700000002</v>
      </c>
      <c r="R4455" s="10" t="s">
        <v>24583</v>
      </c>
      <c r="S4455" s="10" t="s">
        <v>53</v>
      </c>
      <c r="T4455" s="10" t="s">
        <v>6363</v>
      </c>
    </row>
    <row r="4456" spans="1:20" ht="14.5" x14ac:dyDescent="0.35">
      <c r="A4456" s="10" t="s">
        <v>24584</v>
      </c>
      <c r="B4456" s="10" t="str">
        <f>"9781118472156"</f>
        <v>9781118472156</v>
      </c>
      <c r="C4456" s="10" t="str">
        <f>"9781118483756"</f>
        <v>9781118483756</v>
      </c>
      <c r="D4456" s="10" t="s">
        <v>6322</v>
      </c>
      <c r="E4456" s="10" t="s">
        <v>6323</v>
      </c>
      <c r="F4456" s="10" t="s">
        <v>4423</v>
      </c>
      <c r="G4456" s="10" t="s">
        <v>6317</v>
      </c>
      <c r="H4456" s="11">
        <v>41278</v>
      </c>
      <c r="I4456" s="10">
        <v>2013</v>
      </c>
      <c r="J4456" s="10" t="s">
        <v>6324</v>
      </c>
      <c r="K4456" s="10">
        <v>418</v>
      </c>
      <c r="L4456" s="10" t="s">
        <v>24585</v>
      </c>
      <c r="M4456" s="10">
        <v>1</v>
      </c>
      <c r="N4456" s="10"/>
      <c r="O4456" s="10"/>
      <c r="P4456" s="10"/>
      <c r="Q4456" s="10">
        <v>372.4</v>
      </c>
      <c r="R4456" s="10" t="s">
        <v>24586</v>
      </c>
      <c r="S4456" s="10" t="s">
        <v>53</v>
      </c>
      <c r="T4456" s="10" t="s">
        <v>54</v>
      </c>
    </row>
    <row r="4457" spans="1:20" ht="14.5" x14ac:dyDescent="0.35">
      <c r="A4457" s="10" t="s">
        <v>24587</v>
      </c>
      <c r="B4457" s="10" t="str">
        <f>"9781412940573"</f>
        <v>9781412940573</v>
      </c>
      <c r="C4457" s="10" t="str">
        <f>"9781452215365"</f>
        <v>9781452215365</v>
      </c>
      <c r="D4457" s="10" t="s">
        <v>22210</v>
      </c>
      <c r="E4457" s="10" t="s">
        <v>22211</v>
      </c>
      <c r="F4457" s="10" t="s">
        <v>333</v>
      </c>
      <c r="G4457" s="10" t="s">
        <v>6317</v>
      </c>
      <c r="H4457" s="11">
        <v>39064</v>
      </c>
      <c r="I4457" s="10">
        <v>2007</v>
      </c>
      <c r="J4457" s="10" t="s">
        <v>22211</v>
      </c>
      <c r="K4457" s="10">
        <v>225</v>
      </c>
      <c r="L4457" s="10" t="s">
        <v>24588</v>
      </c>
      <c r="M4457" s="10">
        <v>2</v>
      </c>
      <c r="N4457" s="10"/>
      <c r="O4457" s="10"/>
      <c r="P4457" s="10" t="s">
        <v>24589</v>
      </c>
      <c r="Q4457" s="10" t="s">
        <v>24590</v>
      </c>
      <c r="R4457" s="10"/>
      <c r="S4457" s="10" t="s">
        <v>53</v>
      </c>
      <c r="T4457" s="10" t="s">
        <v>483</v>
      </c>
    </row>
    <row r="4458" spans="1:20" ht="14.5" x14ac:dyDescent="0.35">
      <c r="A4458" s="10" t="s">
        <v>24591</v>
      </c>
      <c r="B4458" s="10" t="str">
        <f>"9781412926133"</f>
        <v>9781412926133</v>
      </c>
      <c r="C4458" s="10" t="str">
        <f>"9781452208237"</f>
        <v>9781452208237</v>
      </c>
      <c r="D4458" s="10" t="s">
        <v>22210</v>
      </c>
      <c r="E4458" s="10" t="s">
        <v>22211</v>
      </c>
      <c r="F4458" s="10" t="s">
        <v>333</v>
      </c>
      <c r="G4458" s="10" t="s">
        <v>6317</v>
      </c>
      <c r="H4458" s="11">
        <v>39091</v>
      </c>
      <c r="I4458" s="10">
        <v>2007</v>
      </c>
      <c r="J4458" s="10" t="s">
        <v>22211</v>
      </c>
      <c r="K4458" s="10">
        <v>281</v>
      </c>
      <c r="L4458" s="10" t="s">
        <v>23545</v>
      </c>
      <c r="M4458" s="10">
        <v>1</v>
      </c>
      <c r="N4458" s="10"/>
      <c r="O4458" s="10"/>
      <c r="P4458" s="10" t="s">
        <v>24592</v>
      </c>
      <c r="Q4458" s="10" t="s">
        <v>9491</v>
      </c>
      <c r="R4458" s="10"/>
      <c r="S4458" s="10" t="s">
        <v>53</v>
      </c>
      <c r="T4458" s="10" t="s">
        <v>54</v>
      </c>
    </row>
    <row r="4459" spans="1:20" ht="14.5" x14ac:dyDescent="0.35">
      <c r="A4459" s="10" t="s">
        <v>24593</v>
      </c>
      <c r="B4459" s="10" t="str">
        <f>"9781412917643"</f>
        <v>9781412917643</v>
      </c>
      <c r="C4459" s="10" t="str">
        <f>"9781452209920"</f>
        <v>9781452209920</v>
      </c>
      <c r="D4459" s="10" t="s">
        <v>22210</v>
      </c>
      <c r="E4459" s="10" t="s">
        <v>22211</v>
      </c>
      <c r="F4459" s="10" t="s">
        <v>333</v>
      </c>
      <c r="G4459" s="10" t="s">
        <v>6317</v>
      </c>
      <c r="H4459" s="11">
        <v>38658</v>
      </c>
      <c r="I4459" s="10">
        <v>2006</v>
      </c>
      <c r="J4459" s="10" t="s">
        <v>22211</v>
      </c>
      <c r="K4459" s="10">
        <v>145</v>
      </c>
      <c r="L4459" s="10" t="s">
        <v>24594</v>
      </c>
      <c r="M4459" s="10">
        <v>1</v>
      </c>
      <c r="N4459" s="10"/>
      <c r="O4459" s="10"/>
      <c r="P4459" s="10" t="s">
        <v>24595</v>
      </c>
      <c r="Q4459" s="10">
        <v>371.19</v>
      </c>
      <c r="R4459" s="10"/>
      <c r="S4459" s="10" t="s">
        <v>53</v>
      </c>
      <c r="T4459" s="10" t="s">
        <v>54</v>
      </c>
    </row>
    <row r="4460" spans="1:20" ht="14.5" x14ac:dyDescent="0.35">
      <c r="A4460" s="10" t="s">
        <v>24596</v>
      </c>
      <c r="B4460" s="10" t="str">
        <f>"9781412940511"</f>
        <v>9781412940511</v>
      </c>
      <c r="C4460" s="10" t="str">
        <f>"9781452210896"</f>
        <v>9781452210896</v>
      </c>
      <c r="D4460" s="10" t="s">
        <v>22210</v>
      </c>
      <c r="E4460" s="10" t="s">
        <v>22211</v>
      </c>
      <c r="F4460" s="10" t="s">
        <v>333</v>
      </c>
      <c r="G4460" s="10" t="s">
        <v>6317</v>
      </c>
      <c r="H4460" s="11">
        <v>39619</v>
      </c>
      <c r="I4460" s="10">
        <v>2009</v>
      </c>
      <c r="J4460" s="10" t="s">
        <v>22211</v>
      </c>
      <c r="K4460" s="10">
        <v>153</v>
      </c>
      <c r="L4460" s="10" t="s">
        <v>24597</v>
      </c>
      <c r="M4460" s="10">
        <v>1</v>
      </c>
      <c r="N4460" s="10"/>
      <c r="O4460" s="10"/>
      <c r="P4460" s="10"/>
      <c r="Q4460" s="10">
        <v>371.10199999999998</v>
      </c>
      <c r="R4460" s="10"/>
      <c r="S4460" s="10" t="s">
        <v>53</v>
      </c>
      <c r="T4460" s="10" t="s">
        <v>54</v>
      </c>
    </row>
    <row r="4461" spans="1:20" ht="14.5" x14ac:dyDescent="0.35">
      <c r="A4461" s="10" t="s">
        <v>24598</v>
      </c>
      <c r="B4461" s="10" t="str">
        <f>"9781412914826"</f>
        <v>9781412914826</v>
      </c>
      <c r="C4461" s="10" t="str">
        <f>"9781452211770"</f>
        <v>9781452211770</v>
      </c>
      <c r="D4461" s="10" t="s">
        <v>22210</v>
      </c>
      <c r="E4461" s="10" t="s">
        <v>22211</v>
      </c>
      <c r="F4461" s="10" t="s">
        <v>333</v>
      </c>
      <c r="G4461" s="10" t="s">
        <v>6317</v>
      </c>
      <c r="H4461" s="11">
        <v>38686</v>
      </c>
      <c r="I4461" s="10">
        <v>2006</v>
      </c>
      <c r="J4461" s="10" t="s">
        <v>22211</v>
      </c>
      <c r="K4461" s="10">
        <v>129</v>
      </c>
      <c r="L4461" s="10" t="s">
        <v>24599</v>
      </c>
      <c r="M4461" s="10">
        <v>1</v>
      </c>
      <c r="N4461" s="10"/>
      <c r="O4461" s="10"/>
      <c r="P4461" s="10" t="s">
        <v>24600</v>
      </c>
      <c r="Q4461" s="10" t="s">
        <v>24601</v>
      </c>
      <c r="R4461" s="10"/>
      <c r="S4461" s="10" t="s">
        <v>53</v>
      </c>
      <c r="T4461" s="10" t="s">
        <v>54</v>
      </c>
    </row>
    <row r="4462" spans="1:20" ht="14.5" x14ac:dyDescent="0.35">
      <c r="A4462" s="10" t="s">
        <v>24602</v>
      </c>
      <c r="B4462" s="10" t="str">
        <f>"9781412949088"</f>
        <v>9781412949088</v>
      </c>
      <c r="C4462" s="10" t="str">
        <f>"9781452212715"</f>
        <v>9781452212715</v>
      </c>
      <c r="D4462" s="10" t="s">
        <v>22210</v>
      </c>
      <c r="E4462" s="10" t="s">
        <v>22211</v>
      </c>
      <c r="F4462" s="10" t="s">
        <v>333</v>
      </c>
      <c r="G4462" s="10" t="s">
        <v>6317</v>
      </c>
      <c r="H4462" s="11">
        <v>39520</v>
      </c>
      <c r="I4462" s="10">
        <v>2008</v>
      </c>
      <c r="J4462" s="10" t="s">
        <v>22211</v>
      </c>
      <c r="K4462" s="10">
        <v>225</v>
      </c>
      <c r="L4462" s="10" t="s">
        <v>24603</v>
      </c>
      <c r="M4462" s="10">
        <v>1</v>
      </c>
      <c r="N4462" s="10"/>
      <c r="O4462" s="10"/>
      <c r="P4462" s="10"/>
      <c r="Q4462" s="10" t="s">
        <v>9646</v>
      </c>
      <c r="R4462" s="10"/>
      <c r="S4462" s="10" t="s">
        <v>53</v>
      </c>
      <c r="T4462" s="10" t="s">
        <v>54</v>
      </c>
    </row>
    <row r="4463" spans="1:20" ht="14.5" x14ac:dyDescent="0.35">
      <c r="A4463" s="10" t="s">
        <v>24604</v>
      </c>
      <c r="B4463" s="10" t="str">
        <f>"9781412951555"</f>
        <v>9781412951555</v>
      </c>
      <c r="C4463" s="10" t="str">
        <f>"9781452213750"</f>
        <v>9781452213750</v>
      </c>
      <c r="D4463" s="10" t="s">
        <v>22210</v>
      </c>
      <c r="E4463" s="10" t="s">
        <v>22211</v>
      </c>
      <c r="F4463" s="10" t="s">
        <v>333</v>
      </c>
      <c r="G4463" s="10" t="s">
        <v>6317</v>
      </c>
      <c r="H4463" s="11">
        <v>39560</v>
      </c>
      <c r="I4463" s="10">
        <v>2008</v>
      </c>
      <c r="J4463" s="10" t="s">
        <v>22211</v>
      </c>
      <c r="K4463" s="10">
        <v>296</v>
      </c>
      <c r="L4463" s="10" t="s">
        <v>24605</v>
      </c>
      <c r="M4463" s="10">
        <v>1</v>
      </c>
      <c r="N4463" s="10"/>
      <c r="O4463" s="10"/>
      <c r="P4463" s="10"/>
      <c r="Q4463" s="10" t="s">
        <v>24606</v>
      </c>
      <c r="R4463" s="10"/>
      <c r="S4463" s="10" t="s">
        <v>53</v>
      </c>
      <c r="T4463" s="10" t="s">
        <v>6616</v>
      </c>
    </row>
    <row r="4464" spans="1:20" ht="14.5" x14ac:dyDescent="0.35">
      <c r="A4464" s="10" t="s">
        <v>24607</v>
      </c>
      <c r="B4464" s="10" t="str">
        <f>"9781412951197"</f>
        <v>9781412951197</v>
      </c>
      <c r="C4464" s="10" t="str">
        <f>"9781452214139"</f>
        <v>9781452214139</v>
      </c>
      <c r="D4464" s="10" t="s">
        <v>22210</v>
      </c>
      <c r="E4464" s="10" t="s">
        <v>22211</v>
      </c>
      <c r="F4464" s="10" t="s">
        <v>333</v>
      </c>
      <c r="G4464" s="10" t="s">
        <v>6317</v>
      </c>
      <c r="H4464" s="11">
        <v>39534</v>
      </c>
      <c r="I4464" s="10">
        <v>2008</v>
      </c>
      <c r="J4464" s="10" t="s">
        <v>22211</v>
      </c>
      <c r="K4464" s="10">
        <v>193</v>
      </c>
      <c r="L4464" s="10" t="s">
        <v>24608</v>
      </c>
      <c r="M4464" s="10">
        <v>1</v>
      </c>
      <c r="N4464" s="10"/>
      <c r="O4464" s="10"/>
      <c r="P4464" s="10"/>
      <c r="Q4464" s="10">
        <v>371.904</v>
      </c>
      <c r="R4464" s="10"/>
      <c r="S4464" s="10" t="s">
        <v>53</v>
      </c>
      <c r="T4464" s="10" t="s">
        <v>54</v>
      </c>
    </row>
    <row r="4465" spans="1:20" ht="14.5" x14ac:dyDescent="0.35">
      <c r="A4465" s="10" t="s">
        <v>24609</v>
      </c>
      <c r="B4465" s="10" t="str">
        <f>"9781452235530"</f>
        <v>9781452235530</v>
      </c>
      <c r="C4465" s="10" t="str">
        <f>"9781452279282"</f>
        <v>9781452279282</v>
      </c>
      <c r="D4465" s="10" t="s">
        <v>22210</v>
      </c>
      <c r="E4465" s="10" t="s">
        <v>22211</v>
      </c>
      <c r="F4465" s="10" t="s">
        <v>333</v>
      </c>
      <c r="G4465" s="10" t="s">
        <v>6317</v>
      </c>
      <c r="H4465" s="11">
        <v>41227</v>
      </c>
      <c r="I4465" s="10">
        <v>2013</v>
      </c>
      <c r="J4465" s="10" t="s">
        <v>22211</v>
      </c>
      <c r="K4465" s="10">
        <v>249</v>
      </c>
      <c r="L4465" s="10" t="s">
        <v>24610</v>
      </c>
      <c r="M4465" s="10">
        <v>1</v>
      </c>
      <c r="N4465" s="10"/>
      <c r="O4465" s="10"/>
      <c r="P4465" s="10"/>
      <c r="Q4465" s="10"/>
      <c r="R4465" s="10"/>
      <c r="S4465" s="10" t="s">
        <v>53</v>
      </c>
      <c r="T4465" s="10" t="s">
        <v>54</v>
      </c>
    </row>
    <row r="4466" spans="1:20" ht="14.5" x14ac:dyDescent="0.35">
      <c r="A4466" s="10" t="s">
        <v>24611</v>
      </c>
      <c r="B4466" s="10" t="str">
        <f>"9781452217314"</f>
        <v>9781452217314</v>
      </c>
      <c r="C4466" s="10" t="str">
        <f>"9781452279305"</f>
        <v>9781452279305</v>
      </c>
      <c r="D4466" s="10" t="s">
        <v>22210</v>
      </c>
      <c r="E4466" s="10" t="s">
        <v>22211</v>
      </c>
      <c r="F4466" s="10" t="s">
        <v>333</v>
      </c>
      <c r="G4466" s="10" t="s">
        <v>6317</v>
      </c>
      <c r="H4466" s="11">
        <v>40982</v>
      </c>
      <c r="I4466" s="10">
        <v>2012</v>
      </c>
      <c r="J4466" s="10" t="s">
        <v>22211</v>
      </c>
      <c r="K4466" s="10">
        <v>193</v>
      </c>
      <c r="L4466" s="10" t="s">
        <v>24612</v>
      </c>
      <c r="M4466" s="10">
        <v>1</v>
      </c>
      <c r="N4466" s="10"/>
      <c r="O4466" s="10"/>
      <c r="P4466" s="10"/>
      <c r="Q4466" s="10" t="s">
        <v>6428</v>
      </c>
      <c r="R4466" s="10"/>
      <c r="S4466" s="10" t="s">
        <v>53</v>
      </c>
      <c r="T4466" s="10" t="s">
        <v>54</v>
      </c>
    </row>
    <row r="4467" spans="1:20" ht="14.5" x14ac:dyDescent="0.35">
      <c r="A4467" s="10" t="s">
        <v>24613</v>
      </c>
      <c r="B4467" s="10" t="str">
        <f>"9781412981170"</f>
        <v>9781412981170</v>
      </c>
      <c r="C4467" s="10" t="str">
        <f>"9781452279725"</f>
        <v>9781452279725</v>
      </c>
      <c r="D4467" s="10" t="s">
        <v>22210</v>
      </c>
      <c r="E4467" s="10" t="s">
        <v>22211</v>
      </c>
      <c r="F4467" s="10" t="s">
        <v>333</v>
      </c>
      <c r="G4467" s="10" t="s">
        <v>6317</v>
      </c>
      <c r="H4467" s="11">
        <v>41145</v>
      </c>
      <c r="I4467" s="10">
        <v>2012</v>
      </c>
      <c r="J4467" s="10" t="s">
        <v>22211</v>
      </c>
      <c r="K4467" s="10">
        <v>177</v>
      </c>
      <c r="L4467" s="10" t="s">
        <v>22296</v>
      </c>
      <c r="M4467" s="10">
        <v>1</v>
      </c>
      <c r="N4467" s="10" t="s">
        <v>22297</v>
      </c>
      <c r="O4467" s="10"/>
      <c r="P4467" s="10"/>
      <c r="Q4467" s="10"/>
      <c r="R4467" s="10"/>
      <c r="S4467" s="10" t="s">
        <v>53</v>
      </c>
      <c r="T4467" s="10" t="s">
        <v>54</v>
      </c>
    </row>
    <row r="4468" spans="1:20" ht="14.5" x14ac:dyDescent="0.35">
      <c r="A4468" s="10" t="s">
        <v>24614</v>
      </c>
      <c r="B4468" s="10" t="str">
        <f>"9781412996457"</f>
        <v>9781412996457</v>
      </c>
      <c r="C4468" s="10" t="str">
        <f>"9781452279800"</f>
        <v>9781452279800</v>
      </c>
      <c r="D4468" s="10" t="s">
        <v>22210</v>
      </c>
      <c r="E4468" s="10" t="s">
        <v>22211</v>
      </c>
      <c r="F4468" s="10" t="s">
        <v>333</v>
      </c>
      <c r="G4468" s="10" t="s">
        <v>6317</v>
      </c>
      <c r="H4468" s="11">
        <v>41009</v>
      </c>
      <c r="I4468" s="10">
        <v>2012</v>
      </c>
      <c r="J4468" s="10" t="s">
        <v>22211</v>
      </c>
      <c r="K4468" s="10">
        <v>193</v>
      </c>
      <c r="L4468" s="10" t="s">
        <v>24615</v>
      </c>
      <c r="M4468" s="10">
        <v>1</v>
      </c>
      <c r="N4468" s="10"/>
      <c r="O4468" s="10"/>
      <c r="P4468" s="10" t="s">
        <v>24616</v>
      </c>
      <c r="Q4468" s="10" t="s">
        <v>24617</v>
      </c>
      <c r="R4468" s="10"/>
      <c r="S4468" s="10" t="s">
        <v>53</v>
      </c>
      <c r="T4468" s="10" t="s">
        <v>54</v>
      </c>
    </row>
    <row r="4469" spans="1:20" ht="14.5" x14ac:dyDescent="0.35">
      <c r="A4469" s="10" t="s">
        <v>24618</v>
      </c>
      <c r="B4469" s="10" t="str">
        <f>"9781452218274"</f>
        <v>9781452218274</v>
      </c>
      <c r="C4469" s="10" t="str">
        <f>"9781452279589"</f>
        <v>9781452279589</v>
      </c>
      <c r="D4469" s="10" t="s">
        <v>22210</v>
      </c>
      <c r="E4469" s="10" t="s">
        <v>22211</v>
      </c>
      <c r="F4469" s="10" t="s">
        <v>333</v>
      </c>
      <c r="G4469" s="10" t="s">
        <v>6317</v>
      </c>
      <c r="H4469" s="11">
        <v>41239</v>
      </c>
      <c r="I4469" s="10">
        <v>2013</v>
      </c>
      <c r="J4469" s="10" t="s">
        <v>22211</v>
      </c>
      <c r="K4469" s="10">
        <v>185</v>
      </c>
      <c r="L4469" s="10" t="s">
        <v>24619</v>
      </c>
      <c r="M4469" s="10">
        <v>1</v>
      </c>
      <c r="N4469" s="10"/>
      <c r="O4469" s="10"/>
      <c r="P4469" s="10" t="s">
        <v>24620</v>
      </c>
      <c r="Q4469" s="10"/>
      <c r="R4469" s="10"/>
      <c r="S4469" s="10" t="s">
        <v>53</v>
      </c>
      <c r="T4469" s="10" t="s">
        <v>54</v>
      </c>
    </row>
    <row r="4470" spans="1:20" ht="14.5" x14ac:dyDescent="0.35">
      <c r="A4470" s="10" t="s">
        <v>24621</v>
      </c>
      <c r="B4470" s="10" t="str">
        <f>"9781452235028"</f>
        <v>9781452235028</v>
      </c>
      <c r="C4470" s="10" t="str">
        <f>"9781452279336"</f>
        <v>9781452279336</v>
      </c>
      <c r="D4470" s="10" t="s">
        <v>22210</v>
      </c>
      <c r="E4470" s="10" t="s">
        <v>22211</v>
      </c>
      <c r="F4470" s="10" t="s">
        <v>333</v>
      </c>
      <c r="G4470" s="10" t="s">
        <v>6317</v>
      </c>
      <c r="H4470" s="11">
        <v>41247</v>
      </c>
      <c r="I4470" s="10">
        <v>2013</v>
      </c>
      <c r="J4470" s="10" t="s">
        <v>22211</v>
      </c>
      <c r="K4470" s="10">
        <v>273</v>
      </c>
      <c r="L4470" s="10" t="s">
        <v>24622</v>
      </c>
      <c r="M4470" s="10">
        <v>1</v>
      </c>
      <c r="N4470" s="10"/>
      <c r="O4470" s="10"/>
      <c r="P4470" s="10" t="s">
        <v>24623</v>
      </c>
      <c r="Q4470" s="10">
        <v>371.82968073000001</v>
      </c>
      <c r="R4470" s="10" t="s">
        <v>24624</v>
      </c>
      <c r="S4470" s="10" t="s">
        <v>53</v>
      </c>
      <c r="T4470" s="10" t="s">
        <v>54</v>
      </c>
    </row>
    <row r="4471" spans="1:20" ht="14.5" x14ac:dyDescent="0.35">
      <c r="A4471" s="10" t="s">
        <v>24625</v>
      </c>
      <c r="B4471" s="10" t="str">
        <f>"9781849051323"</f>
        <v>9781849051323</v>
      </c>
      <c r="C4471" s="10" t="str">
        <f>"9780857003300"</f>
        <v>9780857003300</v>
      </c>
      <c r="D4471" s="10" t="s">
        <v>10516</v>
      </c>
      <c r="E4471" s="10" t="s">
        <v>10516</v>
      </c>
      <c r="F4471" s="10" t="s">
        <v>139</v>
      </c>
      <c r="G4471" s="10" t="s">
        <v>6352</v>
      </c>
      <c r="H4471" s="11">
        <v>41258</v>
      </c>
      <c r="I4471" s="10">
        <v>2012</v>
      </c>
      <c r="J4471" s="10" t="s">
        <v>10516</v>
      </c>
      <c r="K4471" s="10">
        <v>258</v>
      </c>
      <c r="L4471" s="10" t="s">
        <v>24626</v>
      </c>
      <c r="M4471" s="10">
        <v>1</v>
      </c>
      <c r="N4471" s="10" t="s">
        <v>19651</v>
      </c>
      <c r="O4471" s="10"/>
      <c r="P4471" s="10"/>
      <c r="Q4471" s="10">
        <v>362.88082094100002</v>
      </c>
      <c r="R4471" s="10"/>
      <c r="S4471" s="10" t="s">
        <v>53</v>
      </c>
      <c r="T4471" s="10" t="s">
        <v>6363</v>
      </c>
    </row>
    <row r="4472" spans="1:20" ht="14.5" x14ac:dyDescent="0.35">
      <c r="A4472" s="10" t="s">
        <v>24627</v>
      </c>
      <c r="B4472" s="10" t="str">
        <f>"9781849053365"</f>
        <v>9781849053365</v>
      </c>
      <c r="C4472" s="10" t="str">
        <f>"9780857006752"</f>
        <v>9780857006752</v>
      </c>
      <c r="D4472" s="10" t="s">
        <v>10516</v>
      </c>
      <c r="E4472" s="10" t="s">
        <v>10516</v>
      </c>
      <c r="F4472" s="10" t="s">
        <v>139</v>
      </c>
      <c r="G4472" s="10" t="s">
        <v>6352</v>
      </c>
      <c r="H4472" s="11">
        <v>41228</v>
      </c>
      <c r="I4472" s="10">
        <v>2012</v>
      </c>
      <c r="J4472" s="10" t="s">
        <v>10516</v>
      </c>
      <c r="K4472" s="10">
        <v>162</v>
      </c>
      <c r="L4472" s="10" t="s">
        <v>24628</v>
      </c>
      <c r="M4472" s="10">
        <v>1</v>
      </c>
      <c r="N4472" s="10"/>
      <c r="O4472" s="10"/>
      <c r="P4472" s="10"/>
      <c r="Q4472" s="10"/>
      <c r="R4472" s="10"/>
      <c r="S4472" s="10" t="s">
        <v>53</v>
      </c>
      <c r="T4472" s="10" t="s">
        <v>483</v>
      </c>
    </row>
    <row r="4473" spans="1:20" ht="14.5" x14ac:dyDescent="0.35">
      <c r="A4473" s="10" t="s">
        <v>24629</v>
      </c>
      <c r="B4473" s="10" t="str">
        <f>"9780691165592"</f>
        <v>9780691165592</v>
      </c>
      <c r="C4473" s="10" t="str">
        <f>"9781400847204"</f>
        <v>9781400847204</v>
      </c>
      <c r="D4473" s="10" t="s">
        <v>14335</v>
      </c>
      <c r="E4473" s="10" t="s">
        <v>14336</v>
      </c>
      <c r="F4473" s="10" t="s">
        <v>2246</v>
      </c>
      <c r="G4473" s="10" t="s">
        <v>6317</v>
      </c>
      <c r="H4473" s="11">
        <v>41371</v>
      </c>
      <c r="I4473" s="10">
        <v>2015</v>
      </c>
      <c r="J4473" s="10" t="s">
        <v>14336</v>
      </c>
      <c r="K4473" s="10">
        <v>229</v>
      </c>
      <c r="L4473" s="10" t="s">
        <v>24630</v>
      </c>
      <c r="M4473" s="10">
        <v>1</v>
      </c>
      <c r="N4473" s="10" t="s">
        <v>14345</v>
      </c>
      <c r="O4473" s="10">
        <v>86</v>
      </c>
      <c r="P4473" s="10"/>
      <c r="Q4473" s="10">
        <v>378.17344678000001</v>
      </c>
      <c r="R4473" s="10" t="s">
        <v>24631</v>
      </c>
      <c r="S4473" s="10" t="s">
        <v>53</v>
      </c>
      <c r="T4473" s="10" t="s">
        <v>54</v>
      </c>
    </row>
    <row r="4474" spans="1:20" ht="14.5" x14ac:dyDescent="0.35">
      <c r="A4474" s="10" t="s">
        <v>24632</v>
      </c>
      <c r="B4474" s="10" t="str">
        <f>"9781452240893"</f>
        <v>9781452240893</v>
      </c>
      <c r="C4474" s="10" t="str">
        <f>"9781452279732"</f>
        <v>9781452279732</v>
      </c>
      <c r="D4474" s="10" t="s">
        <v>22210</v>
      </c>
      <c r="E4474" s="10" t="s">
        <v>22211</v>
      </c>
      <c r="F4474" s="10" t="s">
        <v>333</v>
      </c>
      <c r="G4474" s="10" t="s">
        <v>6317</v>
      </c>
      <c r="H4474" s="11">
        <v>41221</v>
      </c>
      <c r="I4474" s="10">
        <v>2013</v>
      </c>
      <c r="J4474" s="10" t="s">
        <v>22211</v>
      </c>
      <c r="K4474" s="10">
        <v>257</v>
      </c>
      <c r="L4474" s="10" t="s">
        <v>24633</v>
      </c>
      <c r="M4474" s="10">
        <v>1</v>
      </c>
      <c r="N4474" s="10"/>
      <c r="O4474" s="10"/>
      <c r="P4474" s="10" t="s">
        <v>24634</v>
      </c>
      <c r="Q4474" s="10"/>
      <c r="R4474" s="10"/>
      <c r="S4474" s="10" t="s">
        <v>53</v>
      </c>
      <c r="T4474" s="10" t="s">
        <v>54</v>
      </c>
    </row>
    <row r="4475" spans="1:20" ht="14.5" x14ac:dyDescent="0.35">
      <c r="A4475" s="10" t="s">
        <v>24635</v>
      </c>
      <c r="B4475" s="10" t="str">
        <f>"9781853466946"</f>
        <v>9781853466946</v>
      </c>
      <c r="C4475" s="10" t="str">
        <f>"9781136761263"</f>
        <v>9781136761263</v>
      </c>
      <c r="D4475" s="10" t="s">
        <v>6350</v>
      </c>
      <c r="E4475" s="10" t="s">
        <v>15120</v>
      </c>
      <c r="F4475" s="10" t="s">
        <v>139</v>
      </c>
      <c r="G4475" s="10" t="s">
        <v>6352</v>
      </c>
      <c r="H4475" s="11">
        <v>37358</v>
      </c>
      <c r="I4475" s="10">
        <v>2002</v>
      </c>
      <c r="J4475" s="10" t="s">
        <v>15120</v>
      </c>
      <c r="K4475" s="10">
        <v>128</v>
      </c>
      <c r="L4475" s="10" t="s">
        <v>24636</v>
      </c>
      <c r="M4475" s="10">
        <v>1</v>
      </c>
      <c r="N4475" s="10"/>
      <c r="O4475" s="10"/>
      <c r="P4475" s="10" t="s">
        <v>24637</v>
      </c>
      <c r="Q4475" s="10">
        <v>371.10199999999998</v>
      </c>
      <c r="R4475" s="10" t="s">
        <v>6832</v>
      </c>
      <c r="S4475" s="10" t="s">
        <v>53</v>
      </c>
      <c r="T4475" s="10" t="s">
        <v>54</v>
      </c>
    </row>
    <row r="4476" spans="1:20" ht="14.5" x14ac:dyDescent="0.35">
      <c r="A4476" s="10" t="s">
        <v>24638</v>
      </c>
      <c r="B4476" s="10" t="str">
        <f>"9781853467967"</f>
        <v>9781853467967</v>
      </c>
      <c r="C4476" s="10" t="str">
        <f>"9781136631054"</f>
        <v>9781136631054</v>
      </c>
      <c r="D4476" s="10" t="s">
        <v>6350</v>
      </c>
      <c r="E4476" s="10" t="s">
        <v>15120</v>
      </c>
      <c r="F4476" s="10" t="s">
        <v>748</v>
      </c>
      <c r="G4476" s="10" t="s">
        <v>6352</v>
      </c>
      <c r="H4476" s="11">
        <v>37330</v>
      </c>
      <c r="I4476" s="10">
        <v>2002</v>
      </c>
      <c r="J4476" s="10" t="s">
        <v>15120</v>
      </c>
      <c r="K4476" s="10">
        <v>129</v>
      </c>
      <c r="L4476" s="10" t="s">
        <v>24639</v>
      </c>
      <c r="M4476" s="10">
        <v>1</v>
      </c>
      <c r="N4476" s="10"/>
      <c r="O4476" s="10"/>
      <c r="P4476" s="10" t="s">
        <v>24640</v>
      </c>
      <c r="Q4476" s="10" t="s">
        <v>24641</v>
      </c>
      <c r="R4476" s="10" t="s">
        <v>6467</v>
      </c>
      <c r="S4476" s="10" t="s">
        <v>53</v>
      </c>
      <c r="T4476" s="10" t="s">
        <v>54</v>
      </c>
    </row>
    <row r="4477" spans="1:20" ht="14.5" x14ac:dyDescent="0.35">
      <c r="A4477" s="10" t="s">
        <v>24642</v>
      </c>
      <c r="B4477" s="10" t="str">
        <f>"9781416614647"</f>
        <v>9781416614647</v>
      </c>
      <c r="C4477" s="10" t="str">
        <f>"9781416615477"</f>
        <v>9781416615477</v>
      </c>
      <c r="D4477" s="10" t="s">
        <v>10014</v>
      </c>
      <c r="E4477" s="10" t="s">
        <v>10015</v>
      </c>
      <c r="F4477" s="10" t="s">
        <v>201</v>
      </c>
      <c r="G4477" s="10" t="s">
        <v>6317</v>
      </c>
      <c r="H4477" s="11">
        <v>41304</v>
      </c>
      <c r="I4477" s="10">
        <v>2013</v>
      </c>
      <c r="J4477" s="10" t="s">
        <v>10015</v>
      </c>
      <c r="K4477" s="10">
        <v>157</v>
      </c>
      <c r="L4477" s="10" t="s">
        <v>24153</v>
      </c>
      <c r="M4477" s="10">
        <v>1</v>
      </c>
      <c r="N4477" s="10"/>
      <c r="O4477" s="10"/>
      <c r="P4477" s="10"/>
      <c r="Q4477" s="10"/>
      <c r="R4477" s="10"/>
      <c r="S4477" s="10" t="s">
        <v>53</v>
      </c>
      <c r="T4477" s="10" t="s">
        <v>54</v>
      </c>
    </row>
    <row r="4478" spans="1:20" ht="14.5" x14ac:dyDescent="0.35">
      <c r="A4478" s="10" t="s">
        <v>24643</v>
      </c>
      <c r="B4478" s="10" t="str">
        <f>"9781416615071"</f>
        <v>9781416615071</v>
      </c>
      <c r="C4478" s="10" t="str">
        <f>"9781416615514"</f>
        <v>9781416615514</v>
      </c>
      <c r="D4478" s="10" t="s">
        <v>10014</v>
      </c>
      <c r="E4478" s="10" t="s">
        <v>10015</v>
      </c>
      <c r="F4478" s="10" t="s">
        <v>201</v>
      </c>
      <c r="G4478" s="10" t="s">
        <v>6317</v>
      </c>
      <c r="H4478" s="11">
        <v>41304</v>
      </c>
      <c r="I4478" s="10">
        <v>2013</v>
      </c>
      <c r="J4478" s="10" t="s">
        <v>10015</v>
      </c>
      <c r="K4478" s="10">
        <v>174</v>
      </c>
      <c r="L4478" s="10" t="s">
        <v>12852</v>
      </c>
      <c r="M4478" s="10">
        <v>1</v>
      </c>
      <c r="N4478" s="10"/>
      <c r="O4478" s="10"/>
      <c r="P4478" s="10" t="s">
        <v>24644</v>
      </c>
      <c r="Q4478" s="10">
        <v>371.26</v>
      </c>
      <c r="R4478" s="10" t="s">
        <v>24645</v>
      </c>
      <c r="S4478" s="10" t="s">
        <v>53</v>
      </c>
      <c r="T4478" s="10" t="s">
        <v>54</v>
      </c>
    </row>
    <row r="4479" spans="1:20" ht="14.5" x14ac:dyDescent="0.35">
      <c r="A4479" s="10" t="s">
        <v>24646</v>
      </c>
      <c r="B4479" s="10" t="str">
        <f>"9781781905098"</f>
        <v>9781781905098</v>
      </c>
      <c r="C4479" s="10" t="str">
        <f>"9781781905104"</f>
        <v>9781781905104</v>
      </c>
      <c r="D4479" s="10" t="s">
        <v>8699</v>
      </c>
      <c r="E4479" s="10" t="s">
        <v>8699</v>
      </c>
      <c r="F4479" s="10" t="s">
        <v>559</v>
      </c>
      <c r="G4479" s="10" t="s">
        <v>6352</v>
      </c>
      <c r="H4479" s="11">
        <v>41304</v>
      </c>
      <c r="I4479" s="10">
        <v>2013</v>
      </c>
      <c r="J4479" s="10" t="s">
        <v>8699</v>
      </c>
      <c r="K4479" s="10">
        <v>335</v>
      </c>
      <c r="L4479" s="10" t="s">
        <v>24647</v>
      </c>
      <c r="M4479" s="10">
        <v>1</v>
      </c>
      <c r="N4479" s="10" t="s">
        <v>18360</v>
      </c>
      <c r="O4479" s="10" t="s">
        <v>24648</v>
      </c>
      <c r="P4479" s="10" t="s">
        <v>20058</v>
      </c>
      <c r="Q4479" s="10">
        <v>378.17344678000001</v>
      </c>
      <c r="R4479" s="10" t="s">
        <v>11395</v>
      </c>
      <c r="S4479" s="10" t="s">
        <v>53</v>
      </c>
      <c r="T4479" s="10" t="s">
        <v>54</v>
      </c>
    </row>
    <row r="4480" spans="1:20" ht="14.5" x14ac:dyDescent="0.35">
      <c r="A4480" s="10" t="s">
        <v>24649</v>
      </c>
      <c r="B4480" s="10" t="str">
        <f>"9780335245970"</f>
        <v>9780335245970</v>
      </c>
      <c r="C4480" s="10" t="str">
        <f>"9780335245987"</f>
        <v>9780335245987</v>
      </c>
      <c r="D4480" s="10" t="s">
        <v>10342</v>
      </c>
      <c r="E4480" s="10" t="s">
        <v>10343</v>
      </c>
      <c r="F4480" s="10" t="s">
        <v>10344</v>
      </c>
      <c r="G4480" s="10" t="s">
        <v>6352</v>
      </c>
      <c r="H4480" s="11">
        <v>41275</v>
      </c>
      <c r="I4480" s="10">
        <v>2013</v>
      </c>
      <c r="J4480" s="10" t="s">
        <v>10345</v>
      </c>
      <c r="K4480" s="10">
        <v>218</v>
      </c>
      <c r="L4480" s="10" t="s">
        <v>24650</v>
      </c>
      <c r="M4480" s="10">
        <v>1</v>
      </c>
      <c r="N4480" s="10" t="s">
        <v>10360</v>
      </c>
      <c r="O4480" s="10"/>
      <c r="P4480" s="10"/>
      <c r="Q4480" s="10"/>
      <c r="R4480" s="10" t="s">
        <v>24651</v>
      </c>
      <c r="S4480" s="10" t="s">
        <v>53</v>
      </c>
      <c r="T4480" s="10" t="s">
        <v>24652</v>
      </c>
    </row>
    <row r="4481" spans="1:20" ht="14.5" x14ac:dyDescent="0.35">
      <c r="A4481" s="10" t="s">
        <v>24653</v>
      </c>
      <c r="B4481" s="10" t="str">
        <f>"9780335237890"</f>
        <v>9780335237890</v>
      </c>
      <c r="C4481" s="10" t="str">
        <f>"9780335247325"</f>
        <v>9780335247325</v>
      </c>
      <c r="D4481" s="10" t="s">
        <v>10342</v>
      </c>
      <c r="E4481" s="10" t="s">
        <v>10343</v>
      </c>
      <c r="F4481" s="10" t="s">
        <v>10344</v>
      </c>
      <c r="G4481" s="10" t="s">
        <v>6352</v>
      </c>
      <c r="H4481" s="11">
        <v>41183</v>
      </c>
      <c r="I4481" s="10">
        <v>2012</v>
      </c>
      <c r="J4481" s="10" t="s">
        <v>10345</v>
      </c>
      <c r="K4481" s="10">
        <v>162</v>
      </c>
      <c r="L4481" s="10" t="s">
        <v>24654</v>
      </c>
      <c r="M4481" s="10">
        <v>1</v>
      </c>
      <c r="N4481" s="10"/>
      <c r="O4481" s="10"/>
      <c r="P4481" s="10" t="s">
        <v>24655</v>
      </c>
      <c r="Q4481" s="10">
        <v>373.11023999999998</v>
      </c>
      <c r="R4481" s="10" t="s">
        <v>24656</v>
      </c>
      <c r="S4481" s="10" t="s">
        <v>53</v>
      </c>
      <c r="T4481" s="10" t="s">
        <v>6472</v>
      </c>
    </row>
    <row r="4482" spans="1:20" ht="14.5" x14ac:dyDescent="0.35">
      <c r="A4482" s="10" t="s">
        <v>24657</v>
      </c>
      <c r="B4482" s="10" t="str">
        <f>"9781472582249"</f>
        <v>9781472582249</v>
      </c>
      <c r="C4482" s="10" t="str">
        <f>"9781441150059"</f>
        <v>9781441150059</v>
      </c>
      <c r="D4482" s="10" t="s">
        <v>13959</v>
      </c>
      <c r="E4482" s="10" t="s">
        <v>13960</v>
      </c>
      <c r="F4482" s="10" t="s">
        <v>139</v>
      </c>
      <c r="G4482" s="10" t="s">
        <v>6352</v>
      </c>
      <c r="H4482" s="11">
        <v>41865</v>
      </c>
      <c r="I4482" s="10">
        <v>2013</v>
      </c>
      <c r="J4482" s="10" t="s">
        <v>14057</v>
      </c>
      <c r="K4482" s="10">
        <v>143</v>
      </c>
      <c r="L4482" s="10" t="s">
        <v>24658</v>
      </c>
      <c r="M4482" s="10">
        <v>1</v>
      </c>
      <c r="N4482" s="10"/>
      <c r="O4482" s="10"/>
      <c r="P4482" s="10" t="s">
        <v>24659</v>
      </c>
      <c r="Q4482" s="10">
        <v>378.19820941</v>
      </c>
      <c r="R4482" s="10" t="s">
        <v>24660</v>
      </c>
      <c r="S4482" s="10" t="s">
        <v>53</v>
      </c>
      <c r="T4482" s="10" t="s">
        <v>54</v>
      </c>
    </row>
    <row r="4483" spans="1:20" ht="14.5" x14ac:dyDescent="0.35">
      <c r="A4483" s="10" t="s">
        <v>24661</v>
      </c>
      <c r="B4483" s="10" t="str">
        <f>"9780470947197"</f>
        <v>9780470947197</v>
      </c>
      <c r="C4483" s="10" t="str">
        <f>"9781118482285"</f>
        <v>9781118482285</v>
      </c>
      <c r="D4483" s="10" t="s">
        <v>6322</v>
      </c>
      <c r="E4483" s="10" t="s">
        <v>6323</v>
      </c>
      <c r="F4483" s="10" t="s">
        <v>4423</v>
      </c>
      <c r="G4483" s="10" t="s">
        <v>6317</v>
      </c>
      <c r="H4483" s="11">
        <v>41316</v>
      </c>
      <c r="I4483" s="10">
        <v>2013</v>
      </c>
      <c r="J4483" s="10" t="s">
        <v>6324</v>
      </c>
      <c r="K4483" s="10">
        <v>354</v>
      </c>
      <c r="L4483" s="10" t="s">
        <v>24662</v>
      </c>
      <c r="M4483" s="10">
        <v>1</v>
      </c>
      <c r="N4483" s="10"/>
      <c r="O4483" s="10"/>
      <c r="P4483" s="10"/>
      <c r="Q4483" s="10">
        <v>378.19801899999999</v>
      </c>
      <c r="R4483" s="10" t="s">
        <v>22554</v>
      </c>
      <c r="S4483" s="10" t="s">
        <v>53</v>
      </c>
      <c r="T4483" s="10" t="s">
        <v>54</v>
      </c>
    </row>
    <row r="4484" spans="1:20" ht="14.5" x14ac:dyDescent="0.35">
      <c r="A4484" s="10" t="s">
        <v>24663</v>
      </c>
      <c r="B4484" s="10" t="str">
        <f>"9780415589925"</f>
        <v>9780415589925</v>
      </c>
      <c r="C4484" s="10" t="str">
        <f>"9781135082765"</f>
        <v>9781135082765</v>
      </c>
      <c r="D4484" s="10" t="s">
        <v>6350</v>
      </c>
      <c r="E4484" s="10" t="s">
        <v>6351</v>
      </c>
      <c r="F4484" s="10" t="s">
        <v>139</v>
      </c>
      <c r="G4484" s="10" t="s">
        <v>6352</v>
      </c>
      <c r="H4484" s="11">
        <v>41309</v>
      </c>
      <c r="I4484" s="10">
        <v>2013</v>
      </c>
      <c r="J4484" s="10" t="s">
        <v>6353</v>
      </c>
      <c r="K4484" s="10">
        <v>233</v>
      </c>
      <c r="L4484" s="10" t="s">
        <v>24664</v>
      </c>
      <c r="M4484" s="10">
        <v>1</v>
      </c>
      <c r="N4484" s="10" t="s">
        <v>24665</v>
      </c>
      <c r="O4484" s="10"/>
      <c r="P4484" s="10" t="s">
        <v>24666</v>
      </c>
      <c r="Q4484" s="10" t="s">
        <v>24667</v>
      </c>
      <c r="R4484" s="10" t="s">
        <v>24668</v>
      </c>
      <c r="S4484" s="10" t="s">
        <v>53</v>
      </c>
      <c r="T4484" s="10" t="s">
        <v>14975</v>
      </c>
    </row>
    <row r="4485" spans="1:20" ht="14.5" x14ac:dyDescent="0.35">
      <c r="A4485" s="10" t="s">
        <v>24669</v>
      </c>
      <c r="B4485" s="10" t="str">
        <f>"9780415633390"</f>
        <v>9780415633390</v>
      </c>
      <c r="C4485" s="10" t="str">
        <f>"9781136157059"</f>
        <v>9781136157059</v>
      </c>
      <c r="D4485" s="10" t="s">
        <v>6350</v>
      </c>
      <c r="E4485" s="10" t="s">
        <v>6351</v>
      </c>
      <c r="F4485" s="10" t="s">
        <v>139</v>
      </c>
      <c r="G4485" s="10" t="s">
        <v>6352</v>
      </c>
      <c r="H4485" s="11">
        <v>41241</v>
      </c>
      <c r="I4485" s="10">
        <v>2013</v>
      </c>
      <c r="J4485" s="10" t="s">
        <v>6353</v>
      </c>
      <c r="K4485" s="10">
        <v>249</v>
      </c>
      <c r="L4485" s="10" t="s">
        <v>24670</v>
      </c>
      <c r="M4485" s="10">
        <v>1</v>
      </c>
      <c r="N4485" s="10"/>
      <c r="O4485" s="10"/>
      <c r="P4485" s="10" t="s">
        <v>24671</v>
      </c>
      <c r="Q4485" s="10">
        <v>370.95956999999999</v>
      </c>
      <c r="R4485" s="10" t="s">
        <v>24672</v>
      </c>
      <c r="S4485" s="10" t="s">
        <v>53</v>
      </c>
      <c r="T4485" s="10" t="s">
        <v>54</v>
      </c>
    </row>
    <row r="4486" spans="1:20" ht="14.5" x14ac:dyDescent="0.35">
      <c r="A4486" s="10" t="s">
        <v>24673</v>
      </c>
      <c r="B4486" s="10" t="str">
        <f>"9780415692267"</f>
        <v>9780415692267</v>
      </c>
      <c r="C4486" s="10" t="str">
        <f>"9781135069629"</f>
        <v>9781135069629</v>
      </c>
      <c r="D4486" s="10" t="s">
        <v>6350</v>
      </c>
      <c r="E4486" s="10" t="s">
        <v>6351</v>
      </c>
      <c r="F4486" s="10" t="s">
        <v>748</v>
      </c>
      <c r="G4486" s="10" t="s">
        <v>6352</v>
      </c>
      <c r="H4486" s="11">
        <v>41359</v>
      </c>
      <c r="I4486" s="10">
        <v>2013</v>
      </c>
      <c r="J4486" s="10" t="s">
        <v>6351</v>
      </c>
      <c r="K4486" s="10">
        <v>129</v>
      </c>
      <c r="L4486" s="10" t="s">
        <v>24674</v>
      </c>
      <c r="M4486" s="10">
        <v>1</v>
      </c>
      <c r="N4486" s="10"/>
      <c r="O4486" s="10"/>
      <c r="P4486" s="10" t="s">
        <v>24675</v>
      </c>
      <c r="Q4486" s="10" t="s">
        <v>14070</v>
      </c>
      <c r="R4486" s="10" t="s">
        <v>24676</v>
      </c>
      <c r="S4486" s="10" t="s">
        <v>53</v>
      </c>
      <c r="T4486" s="10" t="s">
        <v>10411</v>
      </c>
    </row>
    <row r="4487" spans="1:20" ht="14.5" x14ac:dyDescent="0.35">
      <c r="A4487" s="10" t="s">
        <v>24677</v>
      </c>
      <c r="B4487" s="10" t="str">
        <f>"9780415815529"</f>
        <v>9780415815529</v>
      </c>
      <c r="C4487" s="10" t="str">
        <f>"9781135073497"</f>
        <v>9781135073497</v>
      </c>
      <c r="D4487" s="10" t="s">
        <v>6350</v>
      </c>
      <c r="E4487" s="10" t="s">
        <v>6351</v>
      </c>
      <c r="F4487" s="10" t="s">
        <v>748</v>
      </c>
      <c r="G4487" s="10" t="s">
        <v>6352</v>
      </c>
      <c r="H4487" s="11">
        <v>41312</v>
      </c>
      <c r="I4487" s="10">
        <v>2013</v>
      </c>
      <c r="J4487" s="10" t="s">
        <v>6351</v>
      </c>
      <c r="K4487" s="10">
        <v>218</v>
      </c>
      <c r="L4487" s="10" t="s">
        <v>24678</v>
      </c>
      <c r="M4487" s="10">
        <v>1</v>
      </c>
      <c r="N4487" s="10" t="s">
        <v>24679</v>
      </c>
      <c r="O4487" s="10"/>
      <c r="P4487" s="10" t="s">
        <v>24680</v>
      </c>
      <c r="Q4487" s="10">
        <v>372.95100000000002</v>
      </c>
      <c r="R4487" s="10" t="s">
        <v>24681</v>
      </c>
      <c r="S4487" s="10" t="s">
        <v>53</v>
      </c>
      <c r="T4487" s="10" t="s">
        <v>54</v>
      </c>
    </row>
    <row r="4488" spans="1:20" ht="14.5" x14ac:dyDescent="0.35">
      <c r="A4488" s="10" t="s">
        <v>24682</v>
      </c>
      <c r="B4488" s="10" t="str">
        <f>"9780415892742"</f>
        <v>9780415892742</v>
      </c>
      <c r="C4488" s="10" t="str">
        <f>"9781136730320"</f>
        <v>9781136730320</v>
      </c>
      <c r="D4488" s="10" t="s">
        <v>6350</v>
      </c>
      <c r="E4488" s="10" t="s">
        <v>6351</v>
      </c>
      <c r="F4488" s="10" t="s">
        <v>139</v>
      </c>
      <c r="G4488" s="10" t="s">
        <v>6352</v>
      </c>
      <c r="H4488" s="11">
        <v>41310</v>
      </c>
      <c r="I4488" s="10">
        <v>2013</v>
      </c>
      <c r="J4488" s="10" t="s">
        <v>6353</v>
      </c>
      <c r="K4488" s="10">
        <v>176</v>
      </c>
      <c r="L4488" s="10" t="s">
        <v>24683</v>
      </c>
      <c r="M4488" s="10">
        <v>1</v>
      </c>
      <c r="N4488" s="10"/>
      <c r="O4488" s="10"/>
      <c r="P4488" s="10" t="s">
        <v>24684</v>
      </c>
      <c r="Q4488" s="10">
        <v>371.20600000000002</v>
      </c>
      <c r="R4488" s="10" t="s">
        <v>24685</v>
      </c>
      <c r="S4488" s="10" t="s">
        <v>53</v>
      </c>
      <c r="T4488" s="10" t="s">
        <v>54</v>
      </c>
    </row>
    <row r="4489" spans="1:20" ht="14.5" x14ac:dyDescent="0.35">
      <c r="A4489" s="10" t="s">
        <v>24686</v>
      </c>
      <c r="B4489" s="10" t="str">
        <f>"9780415627740"</f>
        <v>9780415627740</v>
      </c>
      <c r="C4489" s="10" t="str">
        <f>"9781136236945"</f>
        <v>9781136236945</v>
      </c>
      <c r="D4489" s="10" t="s">
        <v>6350</v>
      </c>
      <c r="E4489" s="10" t="s">
        <v>6351</v>
      </c>
      <c r="F4489" s="10" t="s">
        <v>748</v>
      </c>
      <c r="G4489" s="10" t="s">
        <v>6352</v>
      </c>
      <c r="H4489" s="11">
        <v>41318</v>
      </c>
      <c r="I4489" s="10">
        <v>2013</v>
      </c>
      <c r="J4489" s="10" t="s">
        <v>6351</v>
      </c>
      <c r="K4489" s="10">
        <v>361</v>
      </c>
      <c r="L4489" s="10" t="s">
        <v>24687</v>
      </c>
      <c r="M4489" s="10">
        <v>1</v>
      </c>
      <c r="N4489" s="10" t="s">
        <v>24688</v>
      </c>
      <c r="O4489" s="10"/>
      <c r="P4489" s="10" t="s">
        <v>24689</v>
      </c>
      <c r="Q4489" s="10">
        <v>378.19609409999998</v>
      </c>
      <c r="R4489" s="10" t="s">
        <v>24690</v>
      </c>
      <c r="S4489" s="10" t="s">
        <v>53</v>
      </c>
      <c r="T4489" s="10" t="s">
        <v>54</v>
      </c>
    </row>
    <row r="4490" spans="1:20" ht="14.5" x14ac:dyDescent="0.35">
      <c r="A4490" s="10" t="s">
        <v>24691</v>
      </c>
      <c r="B4490" s="10" t="str">
        <f>"9780415572644"</f>
        <v>9780415572644</v>
      </c>
      <c r="C4490" s="10" t="str">
        <f>"9781135145866"</f>
        <v>9781135145866</v>
      </c>
      <c r="D4490" s="10" t="s">
        <v>6350</v>
      </c>
      <c r="E4490" s="10" t="s">
        <v>6351</v>
      </c>
      <c r="F4490" s="10" t="s">
        <v>139</v>
      </c>
      <c r="G4490" s="10" t="s">
        <v>6352</v>
      </c>
      <c r="H4490" s="11">
        <v>41250</v>
      </c>
      <c r="I4490" s="10">
        <v>2013</v>
      </c>
      <c r="J4490" s="10" t="s">
        <v>6353</v>
      </c>
      <c r="K4490" s="10">
        <v>189</v>
      </c>
      <c r="L4490" s="10" t="s">
        <v>24692</v>
      </c>
      <c r="M4490" s="10">
        <v>1</v>
      </c>
      <c r="N4490" s="10" t="s">
        <v>7495</v>
      </c>
      <c r="O4490" s="10"/>
      <c r="P4490" s="10" t="s">
        <v>24693</v>
      </c>
      <c r="Q4490" s="10">
        <v>700.71</v>
      </c>
      <c r="R4490" s="10" t="s">
        <v>24694</v>
      </c>
      <c r="S4490" s="10" t="s">
        <v>53</v>
      </c>
      <c r="T4490" s="10" t="s">
        <v>6384</v>
      </c>
    </row>
    <row r="4491" spans="1:20" ht="14.5" x14ac:dyDescent="0.35">
      <c r="A4491" s="10" t="s">
        <v>24695</v>
      </c>
      <c r="B4491" s="10" t="str">
        <f>"9780415894326"</f>
        <v>9780415894326</v>
      </c>
      <c r="C4491" s="10" t="str">
        <f>"9781136682582"</f>
        <v>9781136682582</v>
      </c>
      <c r="D4491" s="10" t="s">
        <v>6350</v>
      </c>
      <c r="E4491" s="10" t="s">
        <v>6351</v>
      </c>
      <c r="F4491" s="10" t="s">
        <v>139</v>
      </c>
      <c r="G4491" s="10" t="s">
        <v>6352</v>
      </c>
      <c r="H4491" s="11">
        <v>41264</v>
      </c>
      <c r="I4491" s="10">
        <v>2013</v>
      </c>
      <c r="J4491" s="10" t="s">
        <v>6353</v>
      </c>
      <c r="K4491" s="10">
        <v>260</v>
      </c>
      <c r="L4491" s="10" t="s">
        <v>24696</v>
      </c>
      <c r="M4491" s="10">
        <v>1</v>
      </c>
      <c r="N4491" s="10"/>
      <c r="O4491" s="10"/>
      <c r="P4491" s="10" t="s">
        <v>24697</v>
      </c>
      <c r="Q4491" s="10">
        <v>371.2</v>
      </c>
      <c r="R4491" s="10" t="s">
        <v>18002</v>
      </c>
      <c r="S4491" s="10" t="s">
        <v>53</v>
      </c>
      <c r="T4491" s="10" t="s">
        <v>54</v>
      </c>
    </row>
    <row r="4492" spans="1:20" ht="14.5" x14ac:dyDescent="0.35">
      <c r="A4492" s="10" t="s">
        <v>24698</v>
      </c>
      <c r="B4492" s="10" t="str">
        <f>"9781416614845"</f>
        <v>9781416614845</v>
      </c>
      <c r="C4492" s="10" t="str">
        <f>"9781416615576"</f>
        <v>9781416615576</v>
      </c>
      <c r="D4492" s="10" t="s">
        <v>10014</v>
      </c>
      <c r="E4492" s="10" t="s">
        <v>10015</v>
      </c>
      <c r="F4492" s="10" t="s">
        <v>201</v>
      </c>
      <c r="G4492" s="10" t="s">
        <v>6317</v>
      </c>
      <c r="H4492" s="11">
        <v>41306</v>
      </c>
      <c r="I4492" s="10">
        <v>2013</v>
      </c>
      <c r="J4492" s="10" t="s">
        <v>10015</v>
      </c>
      <c r="K4492" s="10">
        <v>145</v>
      </c>
      <c r="L4492" s="10" t="s">
        <v>24699</v>
      </c>
      <c r="M4492" s="10">
        <v>1</v>
      </c>
      <c r="N4492" s="10"/>
      <c r="O4492" s="10"/>
      <c r="P4492" s="10" t="s">
        <v>24700</v>
      </c>
      <c r="Q4492" s="10">
        <v>371.20699999999999</v>
      </c>
      <c r="R4492" s="10" t="s">
        <v>24701</v>
      </c>
      <c r="S4492" s="10" t="s">
        <v>53</v>
      </c>
      <c r="T4492" s="10" t="s">
        <v>54</v>
      </c>
    </row>
    <row r="4493" spans="1:20" ht="14.5" x14ac:dyDescent="0.35">
      <c r="A4493" s="10" t="s">
        <v>24702</v>
      </c>
      <c r="B4493" s="10" t="str">
        <f>"9781416615064"</f>
        <v>9781416615064</v>
      </c>
      <c r="C4493" s="10" t="str">
        <f>"9781416615545"</f>
        <v>9781416615545</v>
      </c>
      <c r="D4493" s="10" t="s">
        <v>10014</v>
      </c>
      <c r="E4493" s="10" t="s">
        <v>10015</v>
      </c>
      <c r="F4493" s="10" t="s">
        <v>201</v>
      </c>
      <c r="G4493" s="10" t="s">
        <v>6317</v>
      </c>
      <c r="H4493" s="11">
        <v>40952</v>
      </c>
      <c r="I4493" s="10">
        <v>2013</v>
      </c>
      <c r="J4493" s="10" t="s">
        <v>10015</v>
      </c>
      <c r="K4493" s="10">
        <v>194</v>
      </c>
      <c r="L4493" s="10" t="s">
        <v>24703</v>
      </c>
      <c r="M4493" s="10">
        <v>1</v>
      </c>
      <c r="N4493" s="10"/>
      <c r="O4493" s="10"/>
      <c r="P4493" s="10" t="s">
        <v>24704</v>
      </c>
      <c r="Q4493" s="10">
        <v>371.11700000000002</v>
      </c>
      <c r="R4493" s="10" t="s">
        <v>24705</v>
      </c>
      <c r="S4493" s="10" t="s">
        <v>53</v>
      </c>
      <c r="T4493" s="10" t="s">
        <v>54</v>
      </c>
    </row>
    <row r="4494" spans="1:20" ht="14.5" x14ac:dyDescent="0.35">
      <c r="A4494" s="10" t="s">
        <v>24706</v>
      </c>
      <c r="B4494" s="10" t="str">
        <f>"9781781905012"</f>
        <v>9781781905012</v>
      </c>
      <c r="C4494" s="10" t="str">
        <f>"9781781905029"</f>
        <v>9781781905029</v>
      </c>
      <c r="D4494" s="10" t="s">
        <v>8699</v>
      </c>
      <c r="E4494" s="10" t="s">
        <v>8699</v>
      </c>
      <c r="F4494" s="10" t="s">
        <v>559</v>
      </c>
      <c r="G4494" s="10" t="s">
        <v>6352</v>
      </c>
      <c r="H4494" s="11">
        <v>41320</v>
      </c>
      <c r="I4494" s="10">
        <v>2013</v>
      </c>
      <c r="J4494" s="10" t="s">
        <v>8699</v>
      </c>
      <c r="K4494" s="10">
        <v>242</v>
      </c>
      <c r="L4494" s="10" t="s">
        <v>24707</v>
      </c>
      <c r="M4494" s="10">
        <v>1</v>
      </c>
      <c r="N4494" s="10" t="s">
        <v>20051</v>
      </c>
      <c r="O4494" s="10">
        <v>18</v>
      </c>
      <c r="P4494" s="10" t="s">
        <v>24708</v>
      </c>
      <c r="Q4494" s="10">
        <v>371.050973</v>
      </c>
      <c r="R4494" s="10" t="s">
        <v>18815</v>
      </c>
      <c r="S4494" s="10" t="s">
        <v>53</v>
      </c>
      <c r="T4494" s="10" t="s">
        <v>54</v>
      </c>
    </row>
    <row r="4495" spans="1:20" ht="14.5" x14ac:dyDescent="0.35">
      <c r="A4495" s="10" t="s">
        <v>24709</v>
      </c>
      <c r="B4495" s="10" t="str">
        <f>"9781781905111"</f>
        <v>9781781905111</v>
      </c>
      <c r="C4495" s="10" t="str">
        <f>"9781781905128"</f>
        <v>9781781905128</v>
      </c>
      <c r="D4495" s="10" t="s">
        <v>8699</v>
      </c>
      <c r="E4495" s="10" t="s">
        <v>8699</v>
      </c>
      <c r="F4495" s="10" t="s">
        <v>559</v>
      </c>
      <c r="G4495" s="10" t="s">
        <v>6352</v>
      </c>
      <c r="H4495" s="11">
        <v>41320</v>
      </c>
      <c r="I4495" s="10">
        <v>2013</v>
      </c>
      <c r="J4495" s="10" t="s">
        <v>8699</v>
      </c>
      <c r="K4495" s="10">
        <v>381</v>
      </c>
      <c r="L4495" s="10" t="s">
        <v>24710</v>
      </c>
      <c r="M4495" s="10">
        <v>1</v>
      </c>
      <c r="N4495" s="10" t="s">
        <v>18360</v>
      </c>
      <c r="O4495" s="10" t="s">
        <v>24711</v>
      </c>
      <c r="P4495" s="10" t="s">
        <v>20058</v>
      </c>
      <c r="Q4495" s="10">
        <v>378.17344678000001</v>
      </c>
      <c r="R4495" s="10" t="s">
        <v>11395</v>
      </c>
      <c r="S4495" s="10" t="s">
        <v>53</v>
      </c>
      <c r="T4495" s="10" t="s">
        <v>54</v>
      </c>
    </row>
    <row r="4496" spans="1:20" ht="14.5" x14ac:dyDescent="0.35">
      <c r="A4496" s="10" t="s">
        <v>24712</v>
      </c>
      <c r="B4496" s="10" t="str">
        <f>"9781781905890"</f>
        <v>9781781905890</v>
      </c>
      <c r="C4496" s="10" t="str">
        <f>"9781781905906"</f>
        <v>9781781905906</v>
      </c>
      <c r="D4496" s="10" t="s">
        <v>8699</v>
      </c>
      <c r="E4496" s="10" t="s">
        <v>8699</v>
      </c>
      <c r="F4496" s="10" t="s">
        <v>559</v>
      </c>
      <c r="G4496" s="10" t="s">
        <v>6352</v>
      </c>
      <c r="H4496" s="11">
        <v>41325</v>
      </c>
      <c r="I4496" s="10">
        <v>2013</v>
      </c>
      <c r="J4496" s="10" t="s">
        <v>8699</v>
      </c>
      <c r="K4496" s="10">
        <v>312</v>
      </c>
      <c r="L4496" s="10" t="s">
        <v>24713</v>
      </c>
      <c r="M4496" s="10">
        <v>1</v>
      </c>
      <c r="N4496" s="10" t="s">
        <v>24714</v>
      </c>
      <c r="O4496" s="10">
        <v>4</v>
      </c>
      <c r="P4496" s="10" t="s">
        <v>24715</v>
      </c>
      <c r="Q4496" s="10">
        <v>658.40800000000002</v>
      </c>
      <c r="R4496" s="10" t="s">
        <v>11337</v>
      </c>
      <c r="S4496" s="10" t="s">
        <v>53</v>
      </c>
      <c r="T4496" s="10" t="s">
        <v>8755</v>
      </c>
    </row>
    <row r="4497" spans="1:20" ht="14.5" x14ac:dyDescent="0.35">
      <c r="A4497" s="10" t="s">
        <v>24716</v>
      </c>
      <c r="B4497" s="10" t="str">
        <f>"9781781904992"</f>
        <v>9781781904992</v>
      </c>
      <c r="C4497" s="10" t="str">
        <f>"9781781905005"</f>
        <v>9781781905005</v>
      </c>
      <c r="D4497" s="10" t="s">
        <v>8699</v>
      </c>
      <c r="E4497" s="10" t="s">
        <v>8699</v>
      </c>
      <c r="F4497" s="10" t="s">
        <v>559</v>
      </c>
      <c r="G4497" s="10" t="s">
        <v>6352</v>
      </c>
      <c r="H4497" s="11">
        <v>41316</v>
      </c>
      <c r="I4497" s="10">
        <v>2013</v>
      </c>
      <c r="J4497" s="10" t="s">
        <v>8699</v>
      </c>
      <c r="K4497" s="10">
        <v>271</v>
      </c>
      <c r="L4497" s="10" t="s">
        <v>24717</v>
      </c>
      <c r="M4497" s="10">
        <v>1</v>
      </c>
      <c r="N4497" s="10" t="s">
        <v>24718</v>
      </c>
      <c r="O4497" s="10">
        <v>8</v>
      </c>
      <c r="P4497" s="10" t="s">
        <v>13342</v>
      </c>
      <c r="Q4497" s="10">
        <v>378.1982900973</v>
      </c>
      <c r="R4497" s="10" t="s">
        <v>24719</v>
      </c>
      <c r="S4497" s="10" t="s">
        <v>53</v>
      </c>
      <c r="T4497" s="10" t="s">
        <v>54</v>
      </c>
    </row>
    <row r="4498" spans="1:20" ht="14.5" x14ac:dyDescent="0.35">
      <c r="A4498" s="10" t="s">
        <v>24720</v>
      </c>
      <c r="B4498" s="10" t="str">
        <f>"9780739170571"</f>
        <v>9780739170571</v>
      </c>
      <c r="C4498" s="10" t="str">
        <f>"9780739170588"</f>
        <v>9780739170588</v>
      </c>
      <c r="D4498" s="10" t="s">
        <v>9752</v>
      </c>
      <c r="E4498" s="10" t="s">
        <v>15182</v>
      </c>
      <c r="F4498" s="10" t="s">
        <v>9754</v>
      </c>
      <c r="G4498" s="10" t="s">
        <v>6317</v>
      </c>
      <c r="H4498" s="11">
        <v>41215</v>
      </c>
      <c r="I4498" s="10">
        <v>2012</v>
      </c>
      <c r="J4498" s="10" t="s">
        <v>15182</v>
      </c>
      <c r="K4498" s="10">
        <v>176</v>
      </c>
      <c r="L4498" s="10" t="s">
        <v>24721</v>
      </c>
      <c r="M4498" s="10">
        <v>1</v>
      </c>
      <c r="N4498" s="10"/>
      <c r="O4498" s="10"/>
      <c r="P4498" s="10" t="s">
        <v>24722</v>
      </c>
      <c r="Q4498" s="10">
        <v>370.1150973</v>
      </c>
      <c r="R4498" s="10" t="s">
        <v>24723</v>
      </c>
      <c r="S4498" s="10" t="s">
        <v>53</v>
      </c>
      <c r="T4498" s="10" t="s">
        <v>54</v>
      </c>
    </row>
    <row r="4499" spans="1:20" ht="14.5" x14ac:dyDescent="0.35">
      <c r="A4499" s="10" t="s">
        <v>24724</v>
      </c>
      <c r="B4499" s="10" t="str">
        <f>"9780415696876"</f>
        <v>9780415696876</v>
      </c>
      <c r="C4499" s="10" t="str">
        <f>"9781135088019"</f>
        <v>9781135088019</v>
      </c>
      <c r="D4499" s="10" t="s">
        <v>6350</v>
      </c>
      <c r="E4499" s="10" t="s">
        <v>6351</v>
      </c>
      <c r="F4499" s="10" t="s">
        <v>139</v>
      </c>
      <c r="G4499" s="10" t="s">
        <v>6352</v>
      </c>
      <c r="H4499" s="11">
        <v>41347</v>
      </c>
      <c r="I4499" s="10">
        <v>2013</v>
      </c>
      <c r="J4499" s="10" t="s">
        <v>6353</v>
      </c>
      <c r="K4499" s="10">
        <v>312</v>
      </c>
      <c r="L4499" s="10" t="s">
        <v>24725</v>
      </c>
      <c r="M4499" s="10">
        <v>1</v>
      </c>
      <c r="N4499" s="10" t="s">
        <v>16309</v>
      </c>
      <c r="O4499" s="10"/>
      <c r="P4499" s="10" t="s">
        <v>24726</v>
      </c>
      <c r="Q4499" s="10" t="s">
        <v>9491</v>
      </c>
      <c r="R4499" s="10" t="s">
        <v>24727</v>
      </c>
      <c r="S4499" s="10" t="s">
        <v>53</v>
      </c>
      <c r="T4499" s="10" t="s">
        <v>54</v>
      </c>
    </row>
    <row r="4500" spans="1:20" ht="14.5" x14ac:dyDescent="0.35">
      <c r="A4500" s="10" t="s">
        <v>24728</v>
      </c>
      <c r="B4500" s="10" t="str">
        <f>"9780415630269"</f>
        <v>9780415630269</v>
      </c>
      <c r="C4500" s="10" t="str">
        <f>"9781136224836"</f>
        <v>9781136224836</v>
      </c>
      <c r="D4500" s="10" t="s">
        <v>6350</v>
      </c>
      <c r="E4500" s="10" t="s">
        <v>6351</v>
      </c>
      <c r="F4500" s="10" t="s">
        <v>139</v>
      </c>
      <c r="G4500" s="10" t="s">
        <v>6352</v>
      </c>
      <c r="H4500" s="11">
        <v>41278</v>
      </c>
      <c r="I4500" s="10">
        <v>2013</v>
      </c>
      <c r="J4500" s="10" t="s">
        <v>6353</v>
      </c>
      <c r="K4500" s="10">
        <v>265</v>
      </c>
      <c r="L4500" s="10" t="s">
        <v>24729</v>
      </c>
      <c r="M4500" s="10">
        <v>1</v>
      </c>
      <c r="N4500" s="10"/>
      <c r="O4500" s="10"/>
      <c r="P4500" s="10" t="s">
        <v>24730</v>
      </c>
      <c r="Q4500" s="10">
        <v>371.78</v>
      </c>
      <c r="R4500" s="10" t="s">
        <v>24731</v>
      </c>
      <c r="S4500" s="10" t="s">
        <v>53</v>
      </c>
      <c r="T4500" s="10" t="s">
        <v>54</v>
      </c>
    </row>
    <row r="4501" spans="1:20" ht="14.5" x14ac:dyDescent="0.35">
      <c r="A4501" s="10" t="s">
        <v>24732</v>
      </c>
      <c r="B4501" s="10" t="str">
        <f>"9780415694032"</f>
        <v>9780415694032</v>
      </c>
      <c r="C4501" s="10" t="str">
        <f>"9781136517310"</f>
        <v>9781136517310</v>
      </c>
      <c r="D4501" s="10" t="s">
        <v>6350</v>
      </c>
      <c r="E4501" s="10" t="s">
        <v>6351</v>
      </c>
      <c r="F4501" s="10" t="s">
        <v>139</v>
      </c>
      <c r="G4501" s="10" t="s">
        <v>6352</v>
      </c>
      <c r="H4501" s="11">
        <v>41165</v>
      </c>
      <c r="I4501" s="10">
        <v>2013</v>
      </c>
      <c r="J4501" s="10" t="s">
        <v>6353</v>
      </c>
      <c r="K4501" s="10">
        <v>209</v>
      </c>
      <c r="L4501" s="10" t="s">
        <v>24733</v>
      </c>
      <c r="M4501" s="10">
        <v>1</v>
      </c>
      <c r="N4501" s="10"/>
      <c r="O4501" s="10"/>
      <c r="P4501" s="10" t="s">
        <v>24734</v>
      </c>
      <c r="Q4501" s="10" t="s">
        <v>24735</v>
      </c>
      <c r="R4501" s="10" t="s">
        <v>24736</v>
      </c>
      <c r="S4501" s="10" t="s">
        <v>53</v>
      </c>
      <c r="T4501" s="10" t="s">
        <v>54</v>
      </c>
    </row>
    <row r="4502" spans="1:20" ht="14.5" x14ac:dyDescent="0.35">
      <c r="A4502" s="10" t="s">
        <v>24737</v>
      </c>
      <c r="B4502" s="10" t="str">
        <f>"9780816672783"</f>
        <v>9780816672783</v>
      </c>
      <c r="C4502" s="10" t="str">
        <f>"9780816682713"</f>
        <v>9780816682713</v>
      </c>
      <c r="D4502" s="10" t="s">
        <v>11428</v>
      </c>
      <c r="E4502" s="10" t="s">
        <v>11428</v>
      </c>
      <c r="F4502" s="10" t="s">
        <v>2186</v>
      </c>
      <c r="G4502" s="10" t="s">
        <v>6317</v>
      </c>
      <c r="H4502" s="11">
        <v>41220</v>
      </c>
      <c r="I4502" s="10">
        <v>2012</v>
      </c>
      <c r="J4502" s="10" t="s">
        <v>11428</v>
      </c>
      <c r="K4502" s="10">
        <v>298</v>
      </c>
      <c r="L4502" s="10" t="s">
        <v>24738</v>
      </c>
      <c r="M4502" s="10">
        <v>1</v>
      </c>
      <c r="N4502" s="10" t="s">
        <v>24739</v>
      </c>
      <c r="O4502" s="10"/>
      <c r="P4502" s="10" t="s">
        <v>24740</v>
      </c>
      <c r="Q4502" s="10">
        <v>378.73</v>
      </c>
      <c r="R4502" s="10" t="s">
        <v>24741</v>
      </c>
      <c r="S4502" s="10" t="s">
        <v>53</v>
      </c>
      <c r="T4502" s="10" t="s">
        <v>54</v>
      </c>
    </row>
    <row r="4503" spans="1:20" ht="14.5" x14ac:dyDescent="0.35">
      <c r="A4503" s="10" t="s">
        <v>24742</v>
      </c>
      <c r="B4503" s="10" t="str">
        <f>"9780838986301"</f>
        <v>9780838986301</v>
      </c>
      <c r="C4503" s="10" t="str">
        <f>"9780838986318"</f>
        <v>9780838986318</v>
      </c>
      <c r="D4503" s="10" t="s">
        <v>15366</v>
      </c>
      <c r="E4503" s="10" t="s">
        <v>382</v>
      </c>
      <c r="F4503" s="10" t="s">
        <v>324</v>
      </c>
      <c r="G4503" s="10" t="s">
        <v>6317</v>
      </c>
      <c r="H4503" s="11">
        <v>41275</v>
      </c>
      <c r="I4503" s="10">
        <v>2013</v>
      </c>
      <c r="J4503" s="10" t="s">
        <v>382</v>
      </c>
      <c r="K4503" s="10">
        <v>76</v>
      </c>
      <c r="L4503" s="10" t="s">
        <v>24743</v>
      </c>
      <c r="M4503" s="10">
        <v>1</v>
      </c>
      <c r="N4503" s="10"/>
      <c r="O4503" s="10"/>
      <c r="P4503" s="10" t="s">
        <v>15368</v>
      </c>
      <c r="Q4503" s="10">
        <v>20</v>
      </c>
      <c r="R4503" s="10" t="s">
        <v>24744</v>
      </c>
      <c r="S4503" s="10" t="s">
        <v>53</v>
      </c>
      <c r="T4503" s="10" t="s">
        <v>10302</v>
      </c>
    </row>
    <row r="4504" spans="1:20" ht="14.5" x14ac:dyDescent="0.35">
      <c r="A4504" s="10" t="s">
        <v>24745</v>
      </c>
      <c r="B4504" s="10" t="str">
        <f>"9781593325336"</f>
        <v>9781593325336</v>
      </c>
      <c r="C4504" s="10" t="str">
        <f>"9781593327095"</f>
        <v>9781593327095</v>
      </c>
      <c r="D4504" s="10" t="s">
        <v>20187</v>
      </c>
      <c r="E4504" s="10" t="s">
        <v>20188</v>
      </c>
      <c r="F4504" s="10" t="s">
        <v>20189</v>
      </c>
      <c r="G4504" s="10" t="s">
        <v>6317</v>
      </c>
      <c r="H4504" s="11">
        <v>41365</v>
      </c>
      <c r="I4504" s="10">
        <v>2013</v>
      </c>
      <c r="J4504" s="10" t="s">
        <v>20188</v>
      </c>
      <c r="K4504" s="10">
        <v>202</v>
      </c>
      <c r="L4504" s="10" t="s">
        <v>24746</v>
      </c>
      <c r="M4504" s="10">
        <v>1</v>
      </c>
      <c r="N4504" s="10" t="s">
        <v>20191</v>
      </c>
      <c r="O4504" s="10"/>
      <c r="P4504" s="10" t="s">
        <v>24747</v>
      </c>
      <c r="Q4504" s="10">
        <v>371.04097300000001</v>
      </c>
      <c r="R4504" s="10" t="s">
        <v>24748</v>
      </c>
      <c r="S4504" s="10" t="s">
        <v>53</v>
      </c>
      <c r="T4504" s="10" t="s">
        <v>54</v>
      </c>
    </row>
    <row r="4505" spans="1:20" ht="14.5" x14ac:dyDescent="0.35">
      <c r="A4505" s="10" t="s">
        <v>24749</v>
      </c>
      <c r="B4505" s="10" t="str">
        <f>"9781118487174"</f>
        <v>9781118487174</v>
      </c>
      <c r="C4505" s="10" t="str">
        <f>"9781118539323"</f>
        <v>9781118539323</v>
      </c>
      <c r="D4505" s="10" t="s">
        <v>6322</v>
      </c>
      <c r="E4505" s="10" t="s">
        <v>6323</v>
      </c>
      <c r="F4505" s="10" t="s">
        <v>4423</v>
      </c>
      <c r="G4505" s="10" t="s">
        <v>6317</v>
      </c>
      <c r="H4505" s="11">
        <v>41344</v>
      </c>
      <c r="I4505" s="10">
        <v>2013</v>
      </c>
      <c r="J4505" s="10" t="s">
        <v>6324</v>
      </c>
      <c r="K4505" s="10">
        <v>178</v>
      </c>
      <c r="L4505" s="10" t="s">
        <v>24750</v>
      </c>
      <c r="M4505" s="10">
        <v>1</v>
      </c>
      <c r="N4505" s="10"/>
      <c r="O4505" s="10"/>
      <c r="P4505" s="10"/>
      <c r="Q4505" s="10">
        <v>371.10199999999998</v>
      </c>
      <c r="R4505" s="10" t="s">
        <v>7629</v>
      </c>
      <c r="S4505" s="10" t="s">
        <v>53</v>
      </c>
      <c r="T4505" s="10" t="s">
        <v>54</v>
      </c>
    </row>
    <row r="4506" spans="1:20" ht="14.5" x14ac:dyDescent="0.35">
      <c r="A4506" s="10" t="s">
        <v>24751</v>
      </c>
      <c r="B4506" s="10" t="str">
        <f>"9781118206539"</f>
        <v>9781118206539</v>
      </c>
      <c r="C4506" s="10" t="str">
        <f>"9781118419434"</f>
        <v>9781118419434</v>
      </c>
      <c r="D4506" s="10" t="s">
        <v>6322</v>
      </c>
      <c r="E4506" s="10" t="s">
        <v>6323</v>
      </c>
      <c r="F4506" s="10" t="s">
        <v>4423</v>
      </c>
      <c r="G4506" s="10" t="s">
        <v>6317</v>
      </c>
      <c r="H4506" s="11">
        <v>41337</v>
      </c>
      <c r="I4506" s="10">
        <v>2013</v>
      </c>
      <c r="J4506" s="10" t="s">
        <v>6324</v>
      </c>
      <c r="K4506" s="10">
        <v>362</v>
      </c>
      <c r="L4506" s="10" t="s">
        <v>24752</v>
      </c>
      <c r="M4506" s="10">
        <v>1</v>
      </c>
      <c r="N4506" s="10"/>
      <c r="O4506" s="10"/>
      <c r="P4506" s="10"/>
      <c r="Q4506" s="10">
        <v>371.20097299999998</v>
      </c>
      <c r="R4506" s="10" t="s">
        <v>7101</v>
      </c>
      <c r="S4506" s="10" t="s">
        <v>53</v>
      </c>
      <c r="T4506" s="10" t="s">
        <v>54</v>
      </c>
    </row>
    <row r="4507" spans="1:20" ht="14.5" x14ac:dyDescent="0.35">
      <c r="A4507" s="10" t="s">
        <v>24753</v>
      </c>
      <c r="B4507" s="10" t="str">
        <f>"9781412995191"</f>
        <v>9781412995191</v>
      </c>
      <c r="C4507" s="10" t="str">
        <f>"9781452288840"</f>
        <v>9781452288840</v>
      </c>
      <c r="D4507" s="10" t="s">
        <v>22210</v>
      </c>
      <c r="E4507" s="10" t="s">
        <v>22211</v>
      </c>
      <c r="F4507" s="10" t="s">
        <v>333</v>
      </c>
      <c r="G4507" s="10" t="s">
        <v>6317</v>
      </c>
      <c r="H4507" s="11">
        <v>41283</v>
      </c>
      <c r="I4507" s="10">
        <v>2013</v>
      </c>
      <c r="J4507" s="10" t="s">
        <v>22211</v>
      </c>
      <c r="K4507" s="10">
        <v>265</v>
      </c>
      <c r="L4507" s="10" t="s">
        <v>24754</v>
      </c>
      <c r="M4507" s="10">
        <v>1</v>
      </c>
      <c r="N4507" s="10"/>
      <c r="O4507" s="10"/>
      <c r="P4507" s="10" t="s">
        <v>24755</v>
      </c>
      <c r="Q4507" s="10"/>
      <c r="R4507" s="10"/>
      <c r="S4507" s="10" t="s">
        <v>53</v>
      </c>
      <c r="T4507" s="10" t="s">
        <v>389</v>
      </c>
    </row>
    <row r="4508" spans="1:20" ht="14.5" x14ac:dyDescent="0.35">
      <c r="A4508" s="10" t="s">
        <v>24756</v>
      </c>
      <c r="B4508" s="10" t="str">
        <f>"9789814380966"</f>
        <v>9789814380966</v>
      </c>
      <c r="C4508" s="10" t="str">
        <f>"9789814380973"</f>
        <v>9789814380973</v>
      </c>
      <c r="D4508" s="10" t="s">
        <v>24757</v>
      </c>
      <c r="E4508" s="10" t="s">
        <v>24758</v>
      </c>
      <c r="F4508" s="10" t="s">
        <v>24759</v>
      </c>
      <c r="G4508" s="10" t="s">
        <v>8573</v>
      </c>
      <c r="H4508" s="11">
        <v>41072</v>
      </c>
      <c r="I4508" s="10">
        <v>2012</v>
      </c>
      <c r="J4508" s="10" t="s">
        <v>24758</v>
      </c>
      <c r="K4508" s="10">
        <v>160</v>
      </c>
      <c r="L4508" s="10" t="s">
        <v>24760</v>
      </c>
      <c r="M4508" s="10">
        <v>1</v>
      </c>
      <c r="N4508" s="10"/>
      <c r="O4508" s="10"/>
      <c r="P4508" s="10" t="s">
        <v>24761</v>
      </c>
      <c r="Q4508" s="10">
        <v>378.74700000000001</v>
      </c>
      <c r="R4508" s="10" t="s">
        <v>24762</v>
      </c>
      <c r="S4508" s="10" t="s">
        <v>53</v>
      </c>
      <c r="T4508" s="10" t="s">
        <v>54</v>
      </c>
    </row>
    <row r="4509" spans="1:20" ht="14.5" x14ac:dyDescent="0.35">
      <c r="A4509" s="10" t="s">
        <v>24763</v>
      </c>
      <c r="B4509" s="10" t="str">
        <f>"9781118017005"</f>
        <v>9781118017005</v>
      </c>
      <c r="C4509" s="10" t="str">
        <f>"9781118415702"</f>
        <v>9781118415702</v>
      </c>
      <c r="D4509" s="10" t="s">
        <v>6322</v>
      </c>
      <c r="E4509" s="10" t="s">
        <v>6323</v>
      </c>
      <c r="F4509" s="10" t="s">
        <v>4423</v>
      </c>
      <c r="G4509" s="10" t="s">
        <v>6317</v>
      </c>
      <c r="H4509" s="11">
        <v>41344</v>
      </c>
      <c r="I4509" s="10">
        <v>2013</v>
      </c>
      <c r="J4509" s="10" t="s">
        <v>6324</v>
      </c>
      <c r="K4509" s="10">
        <v>295</v>
      </c>
      <c r="L4509" s="10" t="s">
        <v>24764</v>
      </c>
      <c r="M4509" s="10">
        <v>1</v>
      </c>
      <c r="N4509" s="10"/>
      <c r="O4509" s="10"/>
      <c r="P4509" s="10"/>
      <c r="Q4509" s="10">
        <v>374</v>
      </c>
      <c r="R4509" s="10" t="s">
        <v>24765</v>
      </c>
      <c r="S4509" s="10" t="s">
        <v>53</v>
      </c>
      <c r="T4509" s="10" t="s">
        <v>54</v>
      </c>
    </row>
    <row r="4510" spans="1:20" ht="14.5" x14ac:dyDescent="0.35">
      <c r="A4510" s="10" t="s">
        <v>24766</v>
      </c>
      <c r="B4510" s="10" t="str">
        <f>"9781118470435"</f>
        <v>9781118470435</v>
      </c>
      <c r="C4510" s="10" t="str">
        <f>"9781118551172"</f>
        <v>9781118551172</v>
      </c>
      <c r="D4510" s="10" t="s">
        <v>6322</v>
      </c>
      <c r="E4510" s="10" t="s">
        <v>6323</v>
      </c>
      <c r="F4510" s="10" t="s">
        <v>4423</v>
      </c>
      <c r="G4510" s="10" t="s">
        <v>6317</v>
      </c>
      <c r="H4510" s="11">
        <v>41344</v>
      </c>
      <c r="I4510" s="10">
        <v>2013</v>
      </c>
      <c r="J4510" s="10" t="s">
        <v>6324</v>
      </c>
      <c r="K4510" s="10">
        <v>210</v>
      </c>
      <c r="L4510" s="10" t="s">
        <v>24767</v>
      </c>
      <c r="M4510" s="10">
        <v>1</v>
      </c>
      <c r="N4510" s="10"/>
      <c r="O4510" s="10"/>
      <c r="P4510" s="10"/>
      <c r="Q4510" s="10">
        <v>370.71550000000002</v>
      </c>
      <c r="R4510" s="10" t="s">
        <v>12268</v>
      </c>
      <c r="S4510" s="10" t="s">
        <v>53</v>
      </c>
      <c r="T4510" s="10" t="s">
        <v>54</v>
      </c>
    </row>
    <row r="4511" spans="1:20" ht="14.5" x14ac:dyDescent="0.35">
      <c r="A4511" s="10" t="s">
        <v>24768</v>
      </c>
      <c r="B4511" s="10" t="str">
        <f>"9781603449755"</f>
        <v>9781603449755</v>
      </c>
      <c r="C4511" s="10" t="str">
        <f>"9781623490010"</f>
        <v>9781623490010</v>
      </c>
      <c r="D4511" s="10" t="s">
        <v>23853</v>
      </c>
      <c r="E4511" s="10" t="s">
        <v>23854</v>
      </c>
      <c r="F4511" s="10" t="s">
        <v>3126</v>
      </c>
      <c r="G4511" s="10" t="s">
        <v>6317</v>
      </c>
      <c r="H4511" s="11">
        <v>41280</v>
      </c>
      <c r="I4511" s="10">
        <v>2013</v>
      </c>
      <c r="J4511" s="10" t="s">
        <v>23854</v>
      </c>
      <c r="K4511" s="10">
        <v>250</v>
      </c>
      <c r="L4511" s="10" t="s">
        <v>24769</v>
      </c>
      <c r="M4511" s="10">
        <v>1</v>
      </c>
      <c r="N4511" s="10" t="s">
        <v>24770</v>
      </c>
      <c r="O4511" s="10"/>
      <c r="P4511" s="10" t="s">
        <v>24771</v>
      </c>
      <c r="Q4511" s="10" t="s">
        <v>24772</v>
      </c>
      <c r="R4511" s="10" t="s">
        <v>24773</v>
      </c>
      <c r="S4511" s="10" t="s">
        <v>53</v>
      </c>
      <c r="T4511" s="10" t="s">
        <v>54</v>
      </c>
    </row>
    <row r="4512" spans="1:20" ht="14.5" x14ac:dyDescent="0.35">
      <c r="A4512" s="10" t="s">
        <v>24774</v>
      </c>
      <c r="B4512" s="10" t="str">
        <f>"9780817317928"</f>
        <v>9780817317928</v>
      </c>
      <c r="C4512" s="10" t="str">
        <f>"9780817386696"</f>
        <v>9780817386696</v>
      </c>
      <c r="D4512" s="10" t="s">
        <v>3407</v>
      </c>
      <c r="E4512" s="10" t="s">
        <v>3407</v>
      </c>
      <c r="F4512" s="10" t="s">
        <v>3408</v>
      </c>
      <c r="G4512" s="10" t="s">
        <v>6317</v>
      </c>
      <c r="H4512" s="11">
        <v>41347</v>
      </c>
      <c r="I4512" s="10">
        <v>2013</v>
      </c>
      <c r="J4512" s="10" t="s">
        <v>3407</v>
      </c>
      <c r="K4512" s="10">
        <v>301</v>
      </c>
      <c r="L4512" s="10" t="s">
        <v>24775</v>
      </c>
      <c r="M4512" s="10">
        <v>1</v>
      </c>
      <c r="N4512" s="10"/>
      <c r="O4512" s="10"/>
      <c r="P4512" s="10" t="s">
        <v>14623</v>
      </c>
      <c r="Q4512" s="10">
        <v>378.76100000000002</v>
      </c>
      <c r="R4512" s="10" t="s">
        <v>24776</v>
      </c>
      <c r="S4512" s="10" t="s">
        <v>53</v>
      </c>
      <c r="T4512" s="10" t="s">
        <v>54</v>
      </c>
    </row>
    <row r="4513" spans="1:20" ht="14.5" x14ac:dyDescent="0.35">
      <c r="A4513" s="10" t="s">
        <v>24777</v>
      </c>
      <c r="B4513" s="10" t="str">
        <f>"9781118288276"</f>
        <v>9781118288276</v>
      </c>
      <c r="C4513" s="10" t="str">
        <f>"9781118421291"</f>
        <v>9781118421291</v>
      </c>
      <c r="D4513" s="10" t="s">
        <v>6322</v>
      </c>
      <c r="E4513" s="10" t="s">
        <v>6323</v>
      </c>
      <c r="F4513" s="10" t="s">
        <v>4423</v>
      </c>
      <c r="G4513" s="10" t="s">
        <v>6317</v>
      </c>
      <c r="H4513" s="11">
        <v>41344</v>
      </c>
      <c r="I4513" s="10">
        <v>2013</v>
      </c>
      <c r="J4513" s="10" t="s">
        <v>6324</v>
      </c>
      <c r="K4513" s="10">
        <v>194</v>
      </c>
      <c r="L4513" s="10" t="s">
        <v>24778</v>
      </c>
      <c r="M4513" s="10">
        <v>1</v>
      </c>
      <c r="N4513" s="10"/>
      <c r="O4513" s="10"/>
      <c r="P4513" s="10"/>
      <c r="Q4513" s="10">
        <v>378.125</v>
      </c>
      <c r="R4513" s="10" t="s">
        <v>7101</v>
      </c>
      <c r="S4513" s="10" t="s">
        <v>53</v>
      </c>
      <c r="T4513" s="10" t="s">
        <v>54</v>
      </c>
    </row>
    <row r="4514" spans="1:20" ht="14.5" x14ac:dyDescent="0.35">
      <c r="A4514" s="10" t="s">
        <v>24779</v>
      </c>
      <c r="B4514" s="10" t="str">
        <f>"9780470975978"</f>
        <v>9780470975978</v>
      </c>
      <c r="C4514" s="10" t="str">
        <f>"9781118323380"</f>
        <v>9781118323380</v>
      </c>
      <c r="D4514" s="10" t="s">
        <v>6322</v>
      </c>
      <c r="E4514" s="10" t="s">
        <v>6323</v>
      </c>
      <c r="F4514" s="10" t="s">
        <v>4423</v>
      </c>
      <c r="G4514" s="10" t="s">
        <v>6352</v>
      </c>
      <c r="H4514" s="11">
        <v>41407</v>
      </c>
      <c r="I4514" s="10">
        <v>2013</v>
      </c>
      <c r="J4514" s="10" t="s">
        <v>6323</v>
      </c>
      <c r="K4514" s="10">
        <v>580</v>
      </c>
      <c r="L4514" s="10" t="s">
        <v>24780</v>
      </c>
      <c r="M4514" s="10">
        <v>1</v>
      </c>
      <c r="N4514" s="10"/>
      <c r="O4514" s="10"/>
      <c r="P4514" s="10"/>
      <c r="Q4514" s="10">
        <v>372.6</v>
      </c>
      <c r="R4514" s="10" t="s">
        <v>24781</v>
      </c>
      <c r="S4514" s="10" t="s">
        <v>53</v>
      </c>
      <c r="T4514" s="10" t="s">
        <v>54</v>
      </c>
    </row>
    <row r="4515" spans="1:20" ht="14.5" x14ac:dyDescent="0.35">
      <c r="A4515" s="10" t="s">
        <v>24782</v>
      </c>
      <c r="B4515" s="10" t="str">
        <f>"9781118614150"</f>
        <v>9781118614150</v>
      </c>
      <c r="C4515" s="10" t="str">
        <f>"9781118673089"</f>
        <v>9781118673089</v>
      </c>
      <c r="D4515" s="10" t="s">
        <v>6322</v>
      </c>
      <c r="E4515" s="10" t="s">
        <v>6323</v>
      </c>
      <c r="F4515" s="10" t="s">
        <v>13068</v>
      </c>
      <c r="G4515" s="10" t="s">
        <v>6317</v>
      </c>
      <c r="H4515" s="11">
        <v>41344</v>
      </c>
      <c r="I4515" s="10">
        <v>2012</v>
      </c>
      <c r="J4515" s="10" t="s">
        <v>6324</v>
      </c>
      <c r="K4515" s="10">
        <v>192</v>
      </c>
      <c r="L4515" s="10" t="s">
        <v>24783</v>
      </c>
      <c r="M4515" s="10">
        <v>1</v>
      </c>
      <c r="N4515" s="10" t="s">
        <v>23322</v>
      </c>
      <c r="O4515" s="10"/>
      <c r="P4515" s="10" t="s">
        <v>24784</v>
      </c>
      <c r="Q4515" s="10">
        <v>378.19799999999998</v>
      </c>
      <c r="R4515" s="10" t="s">
        <v>24785</v>
      </c>
      <c r="S4515" s="10" t="s">
        <v>53</v>
      </c>
      <c r="T4515" s="10" t="s">
        <v>54</v>
      </c>
    </row>
    <row r="4516" spans="1:20" ht="14.5" x14ac:dyDescent="0.35">
      <c r="A4516" s="10" t="s">
        <v>24786</v>
      </c>
      <c r="B4516" s="10" t="str">
        <f>"9780470408155"</f>
        <v>9780470408155</v>
      </c>
      <c r="C4516" s="10" t="str">
        <f>"9781118622988"</f>
        <v>9781118622988</v>
      </c>
      <c r="D4516" s="10" t="s">
        <v>6322</v>
      </c>
      <c r="E4516" s="10" t="s">
        <v>6323</v>
      </c>
      <c r="F4516" s="10" t="s">
        <v>6339</v>
      </c>
      <c r="G4516" s="10" t="s">
        <v>6317</v>
      </c>
      <c r="H4516" s="11">
        <v>39895</v>
      </c>
      <c r="I4516" s="10">
        <v>2009</v>
      </c>
      <c r="J4516" s="10" t="s">
        <v>6324</v>
      </c>
      <c r="K4516" s="10">
        <v>256</v>
      </c>
      <c r="L4516" s="10" t="s">
        <v>24787</v>
      </c>
      <c r="M4516" s="10">
        <v>2</v>
      </c>
      <c r="N4516" s="10"/>
      <c r="O4516" s="10"/>
      <c r="P4516" s="10" t="s">
        <v>24788</v>
      </c>
      <c r="Q4516" s="10" t="s">
        <v>24789</v>
      </c>
      <c r="R4516" s="10" t="s">
        <v>24790</v>
      </c>
      <c r="S4516" s="10" t="s">
        <v>53</v>
      </c>
      <c r="T4516" s="10" t="s">
        <v>54</v>
      </c>
    </row>
    <row r="4517" spans="1:20" ht="14.5" x14ac:dyDescent="0.35">
      <c r="A4517" s="10" t="s">
        <v>24791</v>
      </c>
      <c r="B4517" s="10" t="str">
        <f>"9781443801447"</f>
        <v>9781443801447</v>
      </c>
      <c r="C4517" s="10" t="str">
        <f>"9781443816298"</f>
        <v>9781443816298</v>
      </c>
      <c r="D4517" s="10" t="s">
        <v>23635</v>
      </c>
      <c r="E4517" s="10" t="s">
        <v>23635</v>
      </c>
      <c r="F4517" s="10" t="s">
        <v>23636</v>
      </c>
      <c r="G4517" s="10" t="s">
        <v>6352</v>
      </c>
      <c r="H4517" s="11">
        <v>39923</v>
      </c>
      <c r="I4517" s="10">
        <v>2009</v>
      </c>
      <c r="J4517" s="10" t="s">
        <v>23635</v>
      </c>
      <c r="K4517" s="10">
        <v>300</v>
      </c>
      <c r="L4517" s="10" t="s">
        <v>24792</v>
      </c>
      <c r="M4517" s="10">
        <v>1</v>
      </c>
      <c r="N4517" s="10"/>
      <c r="O4517" s="10"/>
      <c r="P4517" s="10" t="s">
        <v>24793</v>
      </c>
      <c r="Q4517" s="10">
        <v>428.00710172399999</v>
      </c>
      <c r="R4517" s="10" t="s">
        <v>24794</v>
      </c>
      <c r="S4517" s="10" t="s">
        <v>53</v>
      </c>
      <c r="T4517" s="10" t="s">
        <v>6634</v>
      </c>
    </row>
    <row r="4518" spans="1:20" ht="14.5" x14ac:dyDescent="0.35">
      <c r="A4518" s="10" t="s">
        <v>24795</v>
      </c>
      <c r="B4518" s="10" t="str">
        <f>"9781443841795"</f>
        <v>9781443841795</v>
      </c>
      <c r="C4518" s="10" t="str">
        <f>"9781443846370"</f>
        <v>9781443846370</v>
      </c>
      <c r="D4518" s="10" t="s">
        <v>23635</v>
      </c>
      <c r="E4518" s="10" t="s">
        <v>23635</v>
      </c>
      <c r="F4518" s="10" t="s">
        <v>23636</v>
      </c>
      <c r="G4518" s="10" t="s">
        <v>6352</v>
      </c>
      <c r="H4518" s="11">
        <v>41262</v>
      </c>
      <c r="I4518" s="10">
        <v>2013</v>
      </c>
      <c r="J4518" s="10" t="s">
        <v>23635</v>
      </c>
      <c r="K4518" s="10">
        <v>306</v>
      </c>
      <c r="L4518" s="10" t="s">
        <v>24796</v>
      </c>
      <c r="M4518" s="10">
        <v>1</v>
      </c>
      <c r="N4518" s="10"/>
      <c r="O4518" s="10"/>
      <c r="P4518" s="10" t="s">
        <v>24797</v>
      </c>
      <c r="Q4518" s="10">
        <v>370.11</v>
      </c>
      <c r="R4518" s="10" t="s">
        <v>24798</v>
      </c>
      <c r="S4518" s="10" t="s">
        <v>53</v>
      </c>
      <c r="T4518" s="10" t="s">
        <v>54</v>
      </c>
    </row>
    <row r="4519" spans="1:20" ht="14.5" x14ac:dyDescent="0.35">
      <c r="A4519" s="10" t="s">
        <v>24799</v>
      </c>
      <c r="B4519" s="10" t="str">
        <f>"9781443841641"</f>
        <v>9781443841641</v>
      </c>
      <c r="C4519" s="10" t="str">
        <f>"9781443846387"</f>
        <v>9781443846387</v>
      </c>
      <c r="D4519" s="10" t="s">
        <v>23635</v>
      </c>
      <c r="E4519" s="10" t="s">
        <v>23635</v>
      </c>
      <c r="F4519" s="10" t="s">
        <v>23636</v>
      </c>
      <c r="G4519" s="10" t="s">
        <v>6352</v>
      </c>
      <c r="H4519" s="11">
        <v>41244</v>
      </c>
      <c r="I4519" s="10">
        <v>2013</v>
      </c>
      <c r="J4519" s="10" t="s">
        <v>23635</v>
      </c>
      <c r="K4519" s="10">
        <v>184</v>
      </c>
      <c r="L4519" s="10" t="s">
        <v>24800</v>
      </c>
      <c r="M4519" s="10">
        <v>1</v>
      </c>
      <c r="N4519" s="10" t="s">
        <v>24801</v>
      </c>
      <c r="O4519" s="10"/>
      <c r="P4519" s="10" t="s">
        <v>24802</v>
      </c>
      <c r="Q4519" s="10">
        <v>305.23200000000003</v>
      </c>
      <c r="R4519" s="10" t="s">
        <v>24803</v>
      </c>
      <c r="S4519" s="10" t="s">
        <v>53</v>
      </c>
      <c r="T4519" s="10" t="s">
        <v>6472</v>
      </c>
    </row>
    <row r="4520" spans="1:20" ht="14.5" x14ac:dyDescent="0.35">
      <c r="A4520" s="10" t="s">
        <v>24804</v>
      </c>
      <c r="B4520" s="10" t="str">
        <f>"9781443842112"</f>
        <v>9781443842112</v>
      </c>
      <c r="C4520" s="10" t="str">
        <f>"9781443847094"</f>
        <v>9781443847094</v>
      </c>
      <c r="D4520" s="10" t="s">
        <v>23635</v>
      </c>
      <c r="E4520" s="10" t="s">
        <v>23635</v>
      </c>
      <c r="F4520" s="10" t="s">
        <v>23636</v>
      </c>
      <c r="G4520" s="10" t="s">
        <v>6352</v>
      </c>
      <c r="H4520" s="11">
        <v>41281</v>
      </c>
      <c r="I4520" s="10">
        <v>2013</v>
      </c>
      <c r="J4520" s="10" t="s">
        <v>23635</v>
      </c>
      <c r="K4520" s="10">
        <v>236</v>
      </c>
      <c r="L4520" s="10" t="s">
        <v>24805</v>
      </c>
      <c r="M4520" s="10">
        <v>1</v>
      </c>
      <c r="N4520" s="10"/>
      <c r="O4520" s="10"/>
      <c r="P4520" s="10" t="s">
        <v>24806</v>
      </c>
      <c r="Q4520" s="10">
        <v>371.10219999999998</v>
      </c>
      <c r="R4520" s="10" t="s">
        <v>24807</v>
      </c>
      <c r="S4520" s="10" t="s">
        <v>53</v>
      </c>
      <c r="T4520" s="10" t="s">
        <v>54</v>
      </c>
    </row>
    <row r="4521" spans="1:20" ht="14.5" x14ac:dyDescent="0.35">
      <c r="A4521" s="10" t="s">
        <v>24808</v>
      </c>
      <c r="B4521" s="10" t="str">
        <f>"9781443830119"</f>
        <v>9781443830119</v>
      </c>
      <c r="C4521" s="10" t="str">
        <f>"9781443831352"</f>
        <v>9781443831352</v>
      </c>
      <c r="D4521" s="10" t="s">
        <v>23635</v>
      </c>
      <c r="E4521" s="10" t="s">
        <v>23635</v>
      </c>
      <c r="F4521" s="10" t="s">
        <v>23636</v>
      </c>
      <c r="G4521" s="10" t="s">
        <v>6352</v>
      </c>
      <c r="H4521" s="11">
        <v>40750</v>
      </c>
      <c r="I4521" s="10">
        <v>2011</v>
      </c>
      <c r="J4521" s="10" t="s">
        <v>23635</v>
      </c>
      <c r="K4521" s="10">
        <v>144</v>
      </c>
      <c r="L4521" s="10" t="s">
        <v>24809</v>
      </c>
      <c r="M4521" s="10">
        <v>1</v>
      </c>
      <c r="N4521" s="10"/>
      <c r="O4521" s="10"/>
      <c r="P4521" s="10" t="s">
        <v>24810</v>
      </c>
      <c r="Q4521" s="10">
        <v>306.43099440999998</v>
      </c>
      <c r="R4521" s="10" t="s">
        <v>24811</v>
      </c>
      <c r="S4521" s="10" t="s">
        <v>53</v>
      </c>
      <c r="T4521" s="10" t="s">
        <v>6526</v>
      </c>
    </row>
    <row r="4522" spans="1:20" ht="14.5" x14ac:dyDescent="0.35">
      <c r="A4522" s="10" t="s">
        <v>24812</v>
      </c>
      <c r="B4522" s="10" t="str">
        <f>"9781781904275"</f>
        <v>9781781904275</v>
      </c>
      <c r="C4522" s="10" t="str">
        <f>"9781781904282"</f>
        <v>9781781904282</v>
      </c>
      <c r="D4522" s="10" t="s">
        <v>8699</v>
      </c>
      <c r="E4522" s="10" t="s">
        <v>8699</v>
      </c>
      <c r="F4522" s="10" t="s">
        <v>559</v>
      </c>
      <c r="G4522" s="10" t="s">
        <v>6352</v>
      </c>
      <c r="H4522" s="11">
        <v>41299</v>
      </c>
      <c r="I4522" s="10">
        <v>2013</v>
      </c>
      <c r="J4522" s="10" t="s">
        <v>8699</v>
      </c>
      <c r="K4522" s="10">
        <v>218</v>
      </c>
      <c r="L4522" s="10" t="s">
        <v>24813</v>
      </c>
      <c r="M4522" s="10">
        <v>1</v>
      </c>
      <c r="N4522" s="10" t="s">
        <v>14550</v>
      </c>
      <c r="O4522" s="10">
        <v>25</v>
      </c>
      <c r="P4522" s="10" t="s">
        <v>24814</v>
      </c>
      <c r="Q4522" s="10">
        <v>371.90460000000002</v>
      </c>
      <c r="R4522" s="10" t="s">
        <v>6577</v>
      </c>
      <c r="S4522" s="10" t="s">
        <v>53</v>
      </c>
      <c r="T4522" s="10" t="s">
        <v>54</v>
      </c>
    </row>
    <row r="4523" spans="1:20" ht="14.5" x14ac:dyDescent="0.35">
      <c r="A4523" s="10" t="s">
        <v>24815</v>
      </c>
      <c r="B4523" s="10" t="str">
        <f>"9781781905036"</f>
        <v>9781781905036</v>
      </c>
      <c r="C4523" s="10" t="str">
        <f>"9781781905043"</f>
        <v>9781781905043</v>
      </c>
      <c r="D4523" s="10" t="s">
        <v>8699</v>
      </c>
      <c r="E4523" s="10" t="s">
        <v>8699</v>
      </c>
      <c r="F4523" s="10" t="s">
        <v>559</v>
      </c>
      <c r="G4523" s="10" t="s">
        <v>6352</v>
      </c>
      <c r="H4523" s="11">
        <v>41302</v>
      </c>
      <c r="I4523" s="10">
        <v>2013</v>
      </c>
      <c r="J4523" s="10" t="s">
        <v>8699</v>
      </c>
      <c r="K4523" s="10">
        <v>421</v>
      </c>
      <c r="L4523" s="10" t="s">
        <v>24816</v>
      </c>
      <c r="M4523" s="10">
        <v>1</v>
      </c>
      <c r="N4523" s="10" t="s">
        <v>24817</v>
      </c>
      <c r="O4523" s="10">
        <v>2</v>
      </c>
      <c r="P4523" s="10" t="s">
        <v>13952</v>
      </c>
      <c r="Q4523" s="10">
        <v>372.6</v>
      </c>
      <c r="R4523" s="10" t="s">
        <v>24818</v>
      </c>
      <c r="S4523" s="10" t="s">
        <v>53</v>
      </c>
      <c r="T4523" s="10" t="s">
        <v>54</v>
      </c>
    </row>
    <row r="4524" spans="1:20" ht="14.5" x14ac:dyDescent="0.35">
      <c r="A4524" s="10" t="s">
        <v>24819</v>
      </c>
      <c r="B4524" s="10" t="str">
        <f>"9789956558261"</f>
        <v>9789956558261</v>
      </c>
      <c r="C4524" s="10" t="str">
        <f>"9789956715084"</f>
        <v>9789956715084</v>
      </c>
      <c r="D4524" s="10" t="s">
        <v>24820</v>
      </c>
      <c r="E4524" s="10" t="s">
        <v>24821</v>
      </c>
      <c r="F4524" s="10" t="s">
        <v>748</v>
      </c>
      <c r="G4524" s="10" t="s">
        <v>24822</v>
      </c>
      <c r="H4524" s="11">
        <v>37992</v>
      </c>
      <c r="I4524" s="10">
        <v>2004</v>
      </c>
      <c r="J4524" s="10" t="s">
        <v>24821</v>
      </c>
      <c r="K4524" s="10">
        <v>206</v>
      </c>
      <c r="L4524" s="10" t="s">
        <v>24823</v>
      </c>
      <c r="M4524" s="10">
        <v>1</v>
      </c>
      <c r="N4524" s="10"/>
      <c r="O4524" s="10"/>
      <c r="P4524" s="10"/>
      <c r="Q4524" s="10"/>
      <c r="R4524" s="10"/>
      <c r="S4524" s="10" t="s">
        <v>53</v>
      </c>
      <c r="T4524" s="10" t="s">
        <v>54</v>
      </c>
    </row>
    <row r="4525" spans="1:20" ht="14.5" x14ac:dyDescent="0.35">
      <c r="A4525" s="10" t="s">
        <v>24824</v>
      </c>
      <c r="B4525" s="10" t="str">
        <f>"9781920355807"</f>
        <v>9781920355807</v>
      </c>
      <c r="C4525" s="10" t="str">
        <f>"9781920355838"</f>
        <v>9781920355838</v>
      </c>
      <c r="D4525" s="10" t="s">
        <v>24820</v>
      </c>
      <c r="E4525" s="10" t="s">
        <v>24825</v>
      </c>
      <c r="F4525" s="10" t="s">
        <v>748</v>
      </c>
      <c r="G4525" s="10" t="s">
        <v>24826</v>
      </c>
      <c r="H4525" s="11">
        <v>40634</v>
      </c>
      <c r="I4525" s="10">
        <v>2011</v>
      </c>
      <c r="J4525" s="10" t="s">
        <v>24825</v>
      </c>
      <c r="K4525" s="10">
        <v>112</v>
      </c>
      <c r="L4525" s="10" t="s">
        <v>24827</v>
      </c>
      <c r="M4525" s="10">
        <v>1</v>
      </c>
      <c r="N4525" s="10"/>
      <c r="O4525" s="10"/>
      <c r="P4525" s="10"/>
      <c r="Q4525" s="10"/>
      <c r="R4525" s="10"/>
      <c r="S4525" s="10" t="s">
        <v>53</v>
      </c>
      <c r="T4525" s="10" t="s">
        <v>54</v>
      </c>
    </row>
    <row r="4526" spans="1:20" ht="14.5" x14ac:dyDescent="0.35">
      <c r="A4526" s="10" t="s">
        <v>24828</v>
      </c>
      <c r="B4526" s="10" t="str">
        <f>"9782869782181"</f>
        <v>9782869782181</v>
      </c>
      <c r="C4526" s="10" t="str">
        <f>"9782869784147"</f>
        <v>9782869784147</v>
      </c>
      <c r="D4526" s="10" t="s">
        <v>24820</v>
      </c>
      <c r="E4526" s="10" t="s">
        <v>24829</v>
      </c>
      <c r="F4526" s="10" t="s">
        <v>748</v>
      </c>
      <c r="G4526" s="10" t="s">
        <v>24830</v>
      </c>
      <c r="H4526" s="11">
        <v>39783</v>
      </c>
      <c r="I4526" s="10">
        <v>2008</v>
      </c>
      <c r="J4526" s="10" t="s">
        <v>24829</v>
      </c>
      <c r="K4526" s="10">
        <v>120</v>
      </c>
      <c r="L4526" s="10" t="s">
        <v>24831</v>
      </c>
      <c r="M4526" s="10">
        <v>1</v>
      </c>
      <c r="N4526" s="10"/>
      <c r="O4526" s="10"/>
      <c r="P4526" s="10"/>
      <c r="Q4526" s="10"/>
      <c r="R4526" s="10"/>
      <c r="S4526" s="10" t="s">
        <v>53</v>
      </c>
      <c r="T4526" s="10" t="s">
        <v>54</v>
      </c>
    </row>
    <row r="4527" spans="1:20" ht="14.5" x14ac:dyDescent="0.35">
      <c r="A4527" s="10" t="s">
        <v>24832</v>
      </c>
      <c r="B4527" s="10" t="str">
        <f>"9789956558155"</f>
        <v>9789956558155</v>
      </c>
      <c r="C4527" s="10" t="str">
        <f>"9789956716104"</f>
        <v>9789956716104</v>
      </c>
      <c r="D4527" s="10" t="s">
        <v>24820</v>
      </c>
      <c r="E4527" s="10" t="s">
        <v>24821</v>
      </c>
      <c r="F4527" s="10" t="s">
        <v>748</v>
      </c>
      <c r="G4527" s="10" t="s">
        <v>24822</v>
      </c>
      <c r="H4527" s="11">
        <v>39508</v>
      </c>
      <c r="I4527" s="10">
        <v>2008</v>
      </c>
      <c r="J4527" s="10" t="s">
        <v>24821</v>
      </c>
      <c r="K4527" s="10">
        <v>377</v>
      </c>
      <c r="L4527" s="10" t="s">
        <v>24833</v>
      </c>
      <c r="M4527" s="10">
        <v>1</v>
      </c>
      <c r="N4527" s="10"/>
      <c r="O4527" s="10"/>
      <c r="P4527" s="10"/>
      <c r="Q4527" s="10"/>
      <c r="R4527" s="10"/>
      <c r="S4527" s="10" t="s">
        <v>53</v>
      </c>
      <c r="T4527" s="10" t="s">
        <v>54</v>
      </c>
    </row>
    <row r="4528" spans="1:20" ht="14.5" x14ac:dyDescent="0.35">
      <c r="A4528" s="10" t="s">
        <v>24834</v>
      </c>
      <c r="B4528" s="10" t="str">
        <f>"9782869782051"</f>
        <v>9782869782051</v>
      </c>
      <c r="C4528" s="10" t="str">
        <f>"9782869783881"</f>
        <v>9782869783881</v>
      </c>
      <c r="D4528" s="10" t="s">
        <v>24820</v>
      </c>
      <c r="E4528" s="10" t="s">
        <v>24829</v>
      </c>
      <c r="F4528" s="10" t="s">
        <v>748</v>
      </c>
      <c r="G4528" s="10" t="s">
        <v>24830</v>
      </c>
      <c r="H4528" s="11">
        <v>39417</v>
      </c>
      <c r="I4528" s="10">
        <v>2007</v>
      </c>
      <c r="J4528" s="10" t="s">
        <v>24829</v>
      </c>
      <c r="K4528" s="10">
        <v>155</v>
      </c>
      <c r="L4528" s="10" t="s">
        <v>24835</v>
      </c>
      <c r="M4528" s="10">
        <v>1</v>
      </c>
      <c r="N4528" s="10"/>
      <c r="O4528" s="10"/>
      <c r="P4528" s="10"/>
      <c r="Q4528" s="10"/>
      <c r="R4528" s="10"/>
      <c r="S4528" s="10" t="s">
        <v>53</v>
      </c>
      <c r="T4528" s="10" t="s">
        <v>54</v>
      </c>
    </row>
    <row r="4529" spans="1:20" ht="14.5" x14ac:dyDescent="0.35">
      <c r="A4529" s="10" t="s">
        <v>24836</v>
      </c>
      <c r="B4529" s="10" t="str">
        <f>"9781920118952"</f>
        <v>9781920118952</v>
      </c>
      <c r="C4529" s="10" t="str">
        <f>"9781920409463"</f>
        <v>9781920409463</v>
      </c>
      <c r="D4529" s="10" t="s">
        <v>24820</v>
      </c>
      <c r="E4529" s="10" t="s">
        <v>24837</v>
      </c>
      <c r="F4529" s="10" t="s">
        <v>748</v>
      </c>
      <c r="G4529" s="10" t="s">
        <v>24826</v>
      </c>
      <c r="H4529" s="11">
        <v>40456</v>
      </c>
      <c r="I4529" s="10">
        <v>2010</v>
      </c>
      <c r="J4529" s="10" t="s">
        <v>24837</v>
      </c>
      <c r="K4529" s="10">
        <v>52</v>
      </c>
      <c r="L4529" s="10" t="s">
        <v>24838</v>
      </c>
      <c r="M4529" s="10">
        <v>1</v>
      </c>
      <c r="N4529" s="10"/>
      <c r="O4529" s="10"/>
      <c r="P4529" s="10"/>
      <c r="Q4529" s="10"/>
      <c r="R4529" s="10"/>
      <c r="S4529" s="10" t="s">
        <v>53</v>
      </c>
      <c r="T4529" s="10" t="s">
        <v>54</v>
      </c>
    </row>
    <row r="4530" spans="1:20" ht="14.5" x14ac:dyDescent="0.35">
      <c r="A4530" s="10" t="s">
        <v>24839</v>
      </c>
      <c r="B4530" s="10" t="str">
        <f>"9782869781863"</f>
        <v>9782869781863</v>
      </c>
      <c r="C4530" s="10" t="str">
        <f>"9782869784048"</f>
        <v>9782869784048</v>
      </c>
      <c r="D4530" s="10" t="s">
        <v>24820</v>
      </c>
      <c r="E4530" s="10" t="s">
        <v>24829</v>
      </c>
      <c r="F4530" s="10" t="s">
        <v>748</v>
      </c>
      <c r="G4530" s="10" t="s">
        <v>24830</v>
      </c>
      <c r="H4530" s="11">
        <v>39052</v>
      </c>
      <c r="I4530" s="10">
        <v>2006</v>
      </c>
      <c r="J4530" s="10" t="s">
        <v>24829</v>
      </c>
      <c r="K4530" s="10">
        <v>206</v>
      </c>
      <c r="L4530" s="10" t="s">
        <v>24840</v>
      </c>
      <c r="M4530" s="10">
        <v>1</v>
      </c>
      <c r="N4530" s="10"/>
      <c r="O4530" s="10"/>
      <c r="P4530" s="10"/>
      <c r="Q4530" s="10"/>
      <c r="R4530" s="10"/>
      <c r="S4530" s="10" t="s">
        <v>53</v>
      </c>
      <c r="T4530" s="10" t="s">
        <v>54</v>
      </c>
    </row>
    <row r="4531" spans="1:20" ht="14.5" x14ac:dyDescent="0.35">
      <c r="A4531" s="10" t="s">
        <v>24841</v>
      </c>
      <c r="B4531" s="10" t="str">
        <f>"9789956616275"</f>
        <v>9789956616275</v>
      </c>
      <c r="C4531" s="10" t="str">
        <f>"9789956716524"</f>
        <v>9789956716524</v>
      </c>
      <c r="D4531" s="10" t="s">
        <v>24820</v>
      </c>
      <c r="E4531" s="10" t="s">
        <v>24821</v>
      </c>
      <c r="F4531" s="10" t="s">
        <v>748</v>
      </c>
      <c r="G4531" s="10" t="s">
        <v>24822</v>
      </c>
      <c r="H4531" s="11">
        <v>40269</v>
      </c>
      <c r="I4531" s="10">
        <v>2010</v>
      </c>
      <c r="J4531" s="10" t="s">
        <v>24821</v>
      </c>
      <c r="K4531" s="10">
        <v>250</v>
      </c>
      <c r="L4531" s="10" t="s">
        <v>24842</v>
      </c>
      <c r="M4531" s="10">
        <v>1</v>
      </c>
      <c r="N4531" s="10"/>
      <c r="O4531" s="10"/>
      <c r="P4531" s="10"/>
      <c r="Q4531" s="10"/>
      <c r="R4531" s="10"/>
      <c r="S4531" s="10" t="s">
        <v>5404</v>
      </c>
      <c r="T4531" s="10" t="s">
        <v>54</v>
      </c>
    </row>
    <row r="4532" spans="1:20" ht="14.5" x14ac:dyDescent="0.35">
      <c r="A4532" s="10" t="s">
        <v>24843</v>
      </c>
      <c r="B4532" s="10" t="str">
        <f>"9782869782433"</f>
        <v>9782869782433</v>
      </c>
      <c r="C4532" s="10" t="str">
        <f>"9782869783836"</f>
        <v>9782869783836</v>
      </c>
      <c r="D4532" s="10" t="s">
        <v>24820</v>
      </c>
      <c r="E4532" s="10" t="s">
        <v>24829</v>
      </c>
      <c r="F4532" s="10" t="s">
        <v>748</v>
      </c>
      <c r="G4532" s="10" t="s">
        <v>24830</v>
      </c>
      <c r="H4532" s="11">
        <v>39783</v>
      </c>
      <c r="I4532" s="10">
        <v>2008</v>
      </c>
      <c r="J4532" s="10" t="s">
        <v>24829</v>
      </c>
      <c r="K4532" s="10">
        <v>102</v>
      </c>
      <c r="L4532" s="10" t="s">
        <v>24844</v>
      </c>
      <c r="M4532" s="10">
        <v>1</v>
      </c>
      <c r="N4532" s="10"/>
      <c r="O4532" s="10"/>
      <c r="P4532" s="10"/>
      <c r="Q4532" s="10"/>
      <c r="R4532" s="10"/>
      <c r="S4532" s="10" t="s">
        <v>53</v>
      </c>
      <c r="T4532" s="10" t="s">
        <v>54</v>
      </c>
    </row>
    <row r="4533" spans="1:20" ht="14.5" x14ac:dyDescent="0.35">
      <c r="A4533" s="10" t="s">
        <v>24845</v>
      </c>
      <c r="B4533" s="10" t="str">
        <f>"9782869782396"</f>
        <v>9782869782396</v>
      </c>
      <c r="C4533" s="10" t="str">
        <f>"9782869784253"</f>
        <v>9782869784253</v>
      </c>
      <c r="D4533" s="10" t="s">
        <v>24820</v>
      </c>
      <c r="E4533" s="10" t="s">
        <v>24821</v>
      </c>
      <c r="F4533" s="10" t="s">
        <v>748</v>
      </c>
      <c r="G4533" s="10" t="s">
        <v>24822</v>
      </c>
      <c r="H4533" s="11">
        <v>40026</v>
      </c>
      <c r="I4533" s="10">
        <v>2009</v>
      </c>
      <c r="J4533" s="10" t="s">
        <v>24821</v>
      </c>
      <c r="K4533" s="10">
        <v>150</v>
      </c>
      <c r="L4533" s="10" t="s">
        <v>24846</v>
      </c>
      <c r="M4533" s="10">
        <v>1</v>
      </c>
      <c r="N4533" s="10"/>
      <c r="O4533" s="10"/>
      <c r="P4533" s="10"/>
      <c r="Q4533" s="10"/>
      <c r="R4533" s="10"/>
      <c r="S4533" s="10" t="s">
        <v>53</v>
      </c>
      <c r="T4533" s="10" t="s">
        <v>54</v>
      </c>
    </row>
    <row r="4534" spans="1:20" ht="14.5" x14ac:dyDescent="0.35">
      <c r="A4534" s="10" t="s">
        <v>24847</v>
      </c>
      <c r="B4534" s="10" t="str">
        <f>"9782869784819"</f>
        <v>9782869784819</v>
      </c>
      <c r="C4534" s="10" t="str">
        <f>"9782869785298"</f>
        <v>9782869785298</v>
      </c>
      <c r="D4534" s="10" t="s">
        <v>24820</v>
      </c>
      <c r="E4534" s="10" t="s">
        <v>24829</v>
      </c>
      <c r="F4534" s="10" t="s">
        <v>748</v>
      </c>
      <c r="G4534" s="10" t="s">
        <v>24830</v>
      </c>
      <c r="H4534" s="11">
        <v>40878</v>
      </c>
      <c r="I4534" s="10">
        <v>2011</v>
      </c>
      <c r="J4534" s="10" t="s">
        <v>24829</v>
      </c>
      <c r="K4534" s="10">
        <v>204</v>
      </c>
      <c r="L4534" s="10" t="s">
        <v>24848</v>
      </c>
      <c r="M4534" s="10">
        <v>1</v>
      </c>
      <c r="N4534" s="10"/>
      <c r="O4534" s="10"/>
      <c r="P4534" s="10"/>
      <c r="Q4534" s="10"/>
      <c r="R4534" s="10"/>
      <c r="S4534" s="10" t="s">
        <v>5404</v>
      </c>
      <c r="T4534" s="10" t="s">
        <v>54</v>
      </c>
    </row>
    <row r="4535" spans="1:20" ht="14.5" x14ac:dyDescent="0.35">
      <c r="A4535" s="10" t="s">
        <v>24849</v>
      </c>
      <c r="B4535" s="10" t="str">
        <f>"9782869784949"</f>
        <v>9782869784949</v>
      </c>
      <c r="C4535" s="10" t="str">
        <f>"9782869785328"</f>
        <v>9782869785328</v>
      </c>
      <c r="D4535" s="10" t="s">
        <v>24820</v>
      </c>
      <c r="E4535" s="10" t="s">
        <v>24829</v>
      </c>
      <c r="F4535" s="10" t="s">
        <v>748</v>
      </c>
      <c r="G4535" s="10" t="s">
        <v>24830</v>
      </c>
      <c r="H4535" s="11">
        <v>40878</v>
      </c>
      <c r="I4535" s="10">
        <v>2011</v>
      </c>
      <c r="J4535" s="10" t="s">
        <v>24829</v>
      </c>
      <c r="K4535" s="10">
        <v>214</v>
      </c>
      <c r="L4535" s="10" t="s">
        <v>24850</v>
      </c>
      <c r="M4535" s="10">
        <v>1</v>
      </c>
      <c r="N4535" s="10"/>
      <c r="O4535" s="10"/>
      <c r="P4535" s="10"/>
      <c r="Q4535" s="10"/>
      <c r="R4535" s="10"/>
      <c r="S4535" s="10" t="s">
        <v>5404</v>
      </c>
      <c r="T4535" s="10" t="s">
        <v>54</v>
      </c>
    </row>
    <row r="4536" spans="1:20" ht="14.5" x14ac:dyDescent="0.35">
      <c r="A4536" s="10" t="s">
        <v>24851</v>
      </c>
      <c r="B4536" s="10" t="str">
        <f>"9789956558599"</f>
        <v>9789956558599</v>
      </c>
      <c r="C4536" s="10" t="str">
        <f>"9789956715541"</f>
        <v>9789956715541</v>
      </c>
      <c r="D4536" s="10" t="s">
        <v>24820</v>
      </c>
      <c r="E4536" s="10" t="s">
        <v>24821</v>
      </c>
      <c r="F4536" s="10" t="s">
        <v>748</v>
      </c>
      <c r="G4536" s="10" t="s">
        <v>24822</v>
      </c>
      <c r="H4536" s="11">
        <v>40087</v>
      </c>
      <c r="I4536" s="10">
        <v>2009</v>
      </c>
      <c r="J4536" s="10" t="s">
        <v>24821</v>
      </c>
      <c r="K4536" s="10">
        <v>173</v>
      </c>
      <c r="L4536" s="10" t="s">
        <v>24852</v>
      </c>
      <c r="M4536" s="10">
        <v>1</v>
      </c>
      <c r="N4536" s="10"/>
      <c r="O4536" s="10"/>
      <c r="P4536" s="10"/>
      <c r="Q4536" s="10"/>
      <c r="R4536" s="10"/>
      <c r="S4536" s="10" t="s">
        <v>53</v>
      </c>
      <c r="T4536" s="10" t="s">
        <v>54</v>
      </c>
    </row>
    <row r="4537" spans="1:20" ht="14.5" x14ac:dyDescent="0.35">
      <c r="A4537" s="10" t="s">
        <v>24853</v>
      </c>
      <c r="B4537" s="10" t="str">
        <f>"9781920355678"</f>
        <v>9781920355678</v>
      </c>
      <c r="C4537" s="10" t="str">
        <f>"9781920355708"</f>
        <v>9781920355708</v>
      </c>
      <c r="D4537" s="10" t="s">
        <v>24820</v>
      </c>
      <c r="E4537" s="10" t="s">
        <v>24825</v>
      </c>
      <c r="F4537" s="10" t="s">
        <v>748</v>
      </c>
      <c r="G4537" s="10" t="s">
        <v>24826</v>
      </c>
      <c r="H4537" s="11">
        <v>40695</v>
      </c>
      <c r="I4537" s="10">
        <v>2011</v>
      </c>
      <c r="J4537" s="10" t="s">
        <v>24825</v>
      </c>
      <c r="K4537" s="10">
        <v>138</v>
      </c>
      <c r="L4537" s="10" t="s">
        <v>24854</v>
      </c>
      <c r="M4537" s="10">
        <v>1</v>
      </c>
      <c r="N4537" s="10"/>
      <c r="O4537" s="10"/>
      <c r="P4537" s="10"/>
      <c r="Q4537" s="10"/>
      <c r="R4537" s="10"/>
      <c r="S4537" s="10" t="s">
        <v>53</v>
      </c>
      <c r="T4537" s="10" t="s">
        <v>54</v>
      </c>
    </row>
    <row r="4538" spans="1:20" ht="14.5" x14ac:dyDescent="0.35">
      <c r="A4538" s="10" t="s">
        <v>24855</v>
      </c>
      <c r="B4538" s="10" t="str">
        <f>"9782869782013"</f>
        <v>9782869782013</v>
      </c>
      <c r="C4538" s="10" t="str">
        <f>"9782869784192"</f>
        <v>9782869784192</v>
      </c>
      <c r="D4538" s="10" t="s">
        <v>24820</v>
      </c>
      <c r="E4538" s="10" t="s">
        <v>24829</v>
      </c>
      <c r="F4538" s="10" t="s">
        <v>748</v>
      </c>
      <c r="G4538" s="10" t="s">
        <v>24830</v>
      </c>
      <c r="H4538" s="11">
        <v>39295</v>
      </c>
      <c r="I4538" s="10">
        <v>2007</v>
      </c>
      <c r="J4538" s="10" t="s">
        <v>24829</v>
      </c>
      <c r="K4538" s="10">
        <v>314</v>
      </c>
      <c r="L4538" s="10" t="s">
        <v>24856</v>
      </c>
      <c r="M4538" s="10">
        <v>1</v>
      </c>
      <c r="N4538" s="10"/>
      <c r="O4538" s="10"/>
      <c r="P4538" s="10"/>
      <c r="Q4538" s="10"/>
      <c r="R4538" s="10"/>
      <c r="S4538" s="10" t="s">
        <v>53</v>
      </c>
      <c r="T4538" s="10" t="s">
        <v>54</v>
      </c>
    </row>
    <row r="4539" spans="1:20" ht="14.5" x14ac:dyDescent="0.35">
      <c r="A4539" s="10" t="s">
        <v>24857</v>
      </c>
      <c r="B4539" s="10" t="str">
        <f>"9781920355333"</f>
        <v>9781920355333</v>
      </c>
      <c r="C4539" s="10" t="str">
        <f>"9781920355937"</f>
        <v>9781920355937</v>
      </c>
      <c r="D4539" s="10" t="s">
        <v>24820</v>
      </c>
      <c r="E4539" s="10" t="s">
        <v>24825</v>
      </c>
      <c r="F4539" s="10" t="s">
        <v>748</v>
      </c>
      <c r="G4539" s="10" t="s">
        <v>24826</v>
      </c>
      <c r="H4539" s="11">
        <v>40360</v>
      </c>
      <c r="I4539" s="10">
        <v>2010</v>
      </c>
      <c r="J4539" s="10" t="s">
        <v>24825</v>
      </c>
      <c r="K4539" s="10">
        <v>248</v>
      </c>
      <c r="L4539" s="10" t="s">
        <v>24858</v>
      </c>
      <c r="M4539" s="10">
        <v>1</v>
      </c>
      <c r="N4539" s="10"/>
      <c r="O4539" s="10"/>
      <c r="P4539" s="10"/>
      <c r="Q4539" s="10"/>
      <c r="R4539" s="10"/>
      <c r="S4539" s="10" t="s">
        <v>53</v>
      </c>
      <c r="T4539" s="10" t="s">
        <v>54</v>
      </c>
    </row>
    <row r="4540" spans="1:20" ht="14.5" x14ac:dyDescent="0.35">
      <c r="A4540" s="10" t="s">
        <v>24859</v>
      </c>
      <c r="B4540" s="10" t="str">
        <f>"9781412939188"</f>
        <v>9781412939188</v>
      </c>
      <c r="C4540" s="10" t="str">
        <f>"9781452277387"</f>
        <v>9781452277387</v>
      </c>
      <c r="D4540" s="10" t="s">
        <v>22210</v>
      </c>
      <c r="E4540" s="10" t="s">
        <v>22211</v>
      </c>
      <c r="F4540" s="10" t="s">
        <v>333</v>
      </c>
      <c r="G4540" s="10" t="s">
        <v>6317</v>
      </c>
      <c r="H4540" s="11">
        <v>38853</v>
      </c>
      <c r="I4540" s="10">
        <v>2006</v>
      </c>
      <c r="J4540" s="10" t="s">
        <v>22211</v>
      </c>
      <c r="K4540" s="10">
        <v>145</v>
      </c>
      <c r="L4540" s="10" t="s">
        <v>24860</v>
      </c>
      <c r="M4540" s="10">
        <v>2</v>
      </c>
      <c r="N4540" s="10"/>
      <c r="O4540" s="10"/>
      <c r="P4540" s="10" t="s">
        <v>24861</v>
      </c>
      <c r="Q4540" s="10" t="s">
        <v>6920</v>
      </c>
      <c r="R4540" s="10"/>
      <c r="S4540" s="10" t="s">
        <v>53</v>
      </c>
      <c r="T4540" s="10" t="s">
        <v>54</v>
      </c>
    </row>
    <row r="4541" spans="1:20" ht="14.5" x14ac:dyDescent="0.35">
      <c r="A4541" s="10" t="s">
        <v>24862</v>
      </c>
      <c r="B4541" s="10" t="str">
        <f>"9780313336751"</f>
        <v>9780313336751</v>
      </c>
      <c r="C4541" s="10" t="str">
        <f>"9798216088899"</f>
        <v>9798216088899</v>
      </c>
      <c r="D4541" s="10" t="s">
        <v>9777</v>
      </c>
      <c r="E4541" s="10" t="s">
        <v>9792</v>
      </c>
      <c r="F4541" s="10" t="s">
        <v>70</v>
      </c>
      <c r="G4541" s="10" t="s">
        <v>6317</v>
      </c>
      <c r="H4541" s="11">
        <v>41332</v>
      </c>
      <c r="I4541" s="10">
        <v>2013</v>
      </c>
      <c r="J4541" s="10" t="s">
        <v>9792</v>
      </c>
      <c r="K4541" s="10">
        <v>218</v>
      </c>
      <c r="L4541" s="10" t="s">
        <v>24863</v>
      </c>
      <c r="M4541" s="10">
        <v>1</v>
      </c>
      <c r="N4541" s="10" t="s">
        <v>24864</v>
      </c>
      <c r="O4541" s="10"/>
      <c r="P4541" s="10" t="s">
        <v>24865</v>
      </c>
      <c r="Q4541" s="10" t="s">
        <v>9527</v>
      </c>
      <c r="R4541" s="10" t="s">
        <v>4456</v>
      </c>
      <c r="S4541" s="10" t="s">
        <v>53</v>
      </c>
      <c r="T4541" s="10" t="s">
        <v>6526</v>
      </c>
    </row>
    <row r="4542" spans="1:20" ht="14.5" x14ac:dyDescent="0.35">
      <c r="A4542" s="10" t="s">
        <v>24866</v>
      </c>
      <c r="B4542" s="10" t="str">
        <f>"9781118620359"</f>
        <v>9781118620359</v>
      </c>
      <c r="C4542" s="10" t="str">
        <f>"9781118682326"</f>
        <v>9781118682326</v>
      </c>
      <c r="D4542" s="10" t="s">
        <v>6322</v>
      </c>
      <c r="E4542" s="10" t="s">
        <v>6323</v>
      </c>
      <c r="F4542" s="10" t="s">
        <v>13068</v>
      </c>
      <c r="G4542" s="10" t="s">
        <v>6317</v>
      </c>
      <c r="H4542" s="11">
        <v>41337</v>
      </c>
      <c r="I4542" s="10">
        <v>2013</v>
      </c>
      <c r="J4542" s="10" t="s">
        <v>6324</v>
      </c>
      <c r="K4542" s="10">
        <v>122</v>
      </c>
      <c r="L4542" s="10" t="s">
        <v>24867</v>
      </c>
      <c r="M4542" s="10">
        <v>2</v>
      </c>
      <c r="N4542" s="10" t="s">
        <v>22922</v>
      </c>
      <c r="O4542" s="10"/>
      <c r="P4542" s="10" t="s">
        <v>24868</v>
      </c>
      <c r="Q4542" s="10">
        <v>378.05200000000002</v>
      </c>
      <c r="R4542" s="10" t="s">
        <v>24869</v>
      </c>
      <c r="S4542" s="10" t="s">
        <v>53</v>
      </c>
      <c r="T4542" s="10" t="s">
        <v>54</v>
      </c>
    </row>
    <row r="4543" spans="1:20" ht="14.5" x14ac:dyDescent="0.35">
      <c r="A4543" s="10" t="s">
        <v>24870</v>
      </c>
      <c r="B4543" s="10" t="str">
        <f>"9781907076565"</f>
        <v>9781907076565</v>
      </c>
      <c r="C4543" s="10" t="str">
        <f>"9781907076572"</f>
        <v>9781907076572</v>
      </c>
      <c r="D4543" s="10" t="s">
        <v>24871</v>
      </c>
      <c r="E4543" s="10" t="s">
        <v>24872</v>
      </c>
      <c r="F4543" s="10" t="s">
        <v>24873</v>
      </c>
      <c r="G4543" s="10" t="s">
        <v>6352</v>
      </c>
      <c r="H4543" s="11">
        <v>41336</v>
      </c>
      <c r="I4543" s="10">
        <v>2013</v>
      </c>
      <c r="J4543" s="10" t="s">
        <v>24874</v>
      </c>
      <c r="K4543" s="10">
        <v>112</v>
      </c>
      <c r="L4543" s="10" t="s">
        <v>24875</v>
      </c>
      <c r="M4543" s="10">
        <v>1</v>
      </c>
      <c r="N4543" s="10" t="s">
        <v>24876</v>
      </c>
      <c r="O4543" s="10"/>
      <c r="P4543" s="10" t="s">
        <v>24877</v>
      </c>
      <c r="Q4543" s="10" t="s">
        <v>24878</v>
      </c>
      <c r="R4543" s="10" t="s">
        <v>24879</v>
      </c>
      <c r="S4543" s="10" t="s">
        <v>53</v>
      </c>
      <c r="T4543" s="10" t="s">
        <v>54</v>
      </c>
    </row>
    <row r="4544" spans="1:20" ht="14.5" x14ac:dyDescent="0.35">
      <c r="A4544" s="10" t="s">
        <v>24880</v>
      </c>
      <c r="B4544" s="10" t="str">
        <f>"9780415362245"</f>
        <v>9780415362245</v>
      </c>
      <c r="C4544" s="10" t="str">
        <f>"9781134232239"</f>
        <v>9781134232239</v>
      </c>
      <c r="D4544" s="10" t="s">
        <v>6350</v>
      </c>
      <c r="E4544" s="10" t="s">
        <v>6351</v>
      </c>
      <c r="F4544" s="10" t="s">
        <v>139</v>
      </c>
      <c r="G4544" s="10" t="s">
        <v>6352</v>
      </c>
      <c r="H4544" s="11">
        <v>38574</v>
      </c>
      <c r="I4544" s="10">
        <v>2005</v>
      </c>
      <c r="J4544" s="10" t="s">
        <v>6353</v>
      </c>
      <c r="K4544" s="10">
        <v>300</v>
      </c>
      <c r="L4544" s="10" t="s">
        <v>24881</v>
      </c>
      <c r="M4544" s="10">
        <v>1</v>
      </c>
      <c r="N4544" s="10"/>
      <c r="O4544" s="10"/>
      <c r="P4544" s="10" t="s">
        <v>24882</v>
      </c>
      <c r="Q4544" s="10">
        <v>370</v>
      </c>
      <c r="R4544" s="10" t="s">
        <v>24883</v>
      </c>
      <c r="S4544" s="10" t="s">
        <v>53</v>
      </c>
      <c r="T4544" s="10" t="s">
        <v>54</v>
      </c>
    </row>
    <row r="4545" spans="1:20" ht="14.5" x14ac:dyDescent="0.35">
      <c r="A4545" s="10" t="s">
        <v>24884</v>
      </c>
      <c r="B4545" s="10" t="str">
        <f>"9780415948418"</f>
        <v>9780415948418</v>
      </c>
      <c r="C4545" s="10" t="str">
        <f>"9781135930042"</f>
        <v>9781135930042</v>
      </c>
      <c r="D4545" s="10" t="s">
        <v>6350</v>
      </c>
      <c r="E4545" s="10" t="s">
        <v>6351</v>
      </c>
      <c r="F4545" s="10" t="s">
        <v>139</v>
      </c>
      <c r="G4545" s="10" t="s">
        <v>6352</v>
      </c>
      <c r="H4545" s="11">
        <v>38382</v>
      </c>
      <c r="I4545" s="10">
        <v>2005</v>
      </c>
      <c r="J4545" s="10" t="s">
        <v>6353</v>
      </c>
      <c r="K4545" s="10">
        <v>157</v>
      </c>
      <c r="L4545" s="10" t="s">
        <v>24885</v>
      </c>
      <c r="M4545" s="10">
        <v>1</v>
      </c>
      <c r="N4545" s="10" t="s">
        <v>23455</v>
      </c>
      <c r="O4545" s="10"/>
      <c r="P4545" s="10" t="s">
        <v>24886</v>
      </c>
      <c r="Q4545" s="10">
        <v>371.01097299999998</v>
      </c>
      <c r="R4545" s="10" t="s">
        <v>24887</v>
      </c>
      <c r="S4545" s="10" t="s">
        <v>53</v>
      </c>
      <c r="T4545" s="10" t="s">
        <v>54</v>
      </c>
    </row>
    <row r="4546" spans="1:20" ht="14.5" x14ac:dyDescent="0.35">
      <c r="A4546" s="10" t="s">
        <v>24888</v>
      </c>
      <c r="B4546" s="10" t="str">
        <f>"9780750706995"</f>
        <v>9780750706995</v>
      </c>
      <c r="C4546" s="10" t="str">
        <f>"9781135712419"</f>
        <v>9781135712419</v>
      </c>
      <c r="D4546" s="10" t="s">
        <v>6350</v>
      </c>
      <c r="E4546" s="10" t="s">
        <v>6351</v>
      </c>
      <c r="F4546" s="10" t="s">
        <v>748</v>
      </c>
      <c r="G4546" s="10" t="s">
        <v>6352</v>
      </c>
      <c r="H4546" s="11">
        <v>36100</v>
      </c>
      <c r="I4546" s="10">
        <v>1999</v>
      </c>
      <c r="J4546" s="10" t="s">
        <v>6351</v>
      </c>
      <c r="K4546" s="10">
        <v>205</v>
      </c>
      <c r="L4546" s="10" t="s">
        <v>24889</v>
      </c>
      <c r="M4546" s="10">
        <v>1</v>
      </c>
      <c r="N4546" s="10" t="s">
        <v>6580</v>
      </c>
      <c r="O4546" s="10"/>
      <c r="P4546" s="10" t="s">
        <v>24890</v>
      </c>
      <c r="Q4546" s="10" t="s">
        <v>9360</v>
      </c>
      <c r="R4546" s="10" t="s">
        <v>24891</v>
      </c>
      <c r="S4546" s="10" t="s">
        <v>53</v>
      </c>
      <c r="T4546" s="10" t="s">
        <v>54</v>
      </c>
    </row>
    <row r="4547" spans="1:20" ht="14.5" x14ac:dyDescent="0.35">
      <c r="A4547" s="10" t="s">
        <v>24892</v>
      </c>
      <c r="B4547" s="10" t="str">
        <f>"9780230341289"</f>
        <v>9780230341289</v>
      </c>
      <c r="C4547" s="10" t="str">
        <f>"9781137097811"</f>
        <v>9781137097811</v>
      </c>
      <c r="D4547" s="10" t="s">
        <v>11249</v>
      </c>
      <c r="E4547" s="10" t="s">
        <v>2400</v>
      </c>
      <c r="F4547" s="10" t="s">
        <v>70</v>
      </c>
      <c r="G4547" s="10" t="s">
        <v>6317</v>
      </c>
      <c r="H4547" s="11">
        <v>41218</v>
      </c>
      <c r="I4547" s="10">
        <v>2012</v>
      </c>
      <c r="J4547" s="10" t="s">
        <v>2400</v>
      </c>
      <c r="K4547" s="10">
        <v>273</v>
      </c>
      <c r="L4547" s="10" t="s">
        <v>24893</v>
      </c>
      <c r="M4547" s="10">
        <v>1</v>
      </c>
      <c r="N4547" s="10" t="s">
        <v>17721</v>
      </c>
      <c r="O4547" s="10"/>
      <c r="P4547" s="10" t="s">
        <v>17110</v>
      </c>
      <c r="Q4547" s="10"/>
      <c r="R4547" s="10" t="s">
        <v>6938</v>
      </c>
      <c r="S4547" s="10" t="s">
        <v>53</v>
      </c>
      <c r="T4547" s="10" t="s">
        <v>54</v>
      </c>
    </row>
    <row r="4548" spans="1:20" ht="14.5" x14ac:dyDescent="0.35">
      <c r="A4548" s="10" t="s">
        <v>24894</v>
      </c>
      <c r="B4548" s="10" t="str">
        <f>"9781137027818"</f>
        <v>9781137027818</v>
      </c>
      <c r="C4548" s="10" t="str">
        <f>"9781137027832"</f>
        <v>9781137027832</v>
      </c>
      <c r="D4548" s="10" t="s">
        <v>11249</v>
      </c>
      <c r="E4548" s="10" t="s">
        <v>2400</v>
      </c>
      <c r="F4548" s="10" t="s">
        <v>70</v>
      </c>
      <c r="G4548" s="10" t="s">
        <v>6317</v>
      </c>
      <c r="H4548" s="11">
        <v>41271</v>
      </c>
      <c r="I4548" s="10">
        <v>2013</v>
      </c>
      <c r="J4548" s="10" t="s">
        <v>2400</v>
      </c>
      <c r="K4548" s="10">
        <v>212</v>
      </c>
      <c r="L4548" s="10" t="s">
        <v>24895</v>
      </c>
      <c r="M4548" s="10">
        <v>1</v>
      </c>
      <c r="N4548" s="10" t="s">
        <v>24896</v>
      </c>
      <c r="O4548" s="10"/>
      <c r="P4548" s="10" t="s">
        <v>11263</v>
      </c>
      <c r="Q4548" s="10"/>
      <c r="R4548" s="10" t="s">
        <v>19099</v>
      </c>
      <c r="S4548" s="10" t="s">
        <v>53</v>
      </c>
      <c r="T4548" s="10" t="s">
        <v>54</v>
      </c>
    </row>
    <row r="4549" spans="1:20" ht="14.5" x14ac:dyDescent="0.35">
      <c r="A4549" s="10" t="s">
        <v>24897</v>
      </c>
      <c r="B4549" s="10" t="str">
        <f>"9781107627987"</f>
        <v>9781107627987</v>
      </c>
      <c r="C4549" s="10" t="str">
        <f>"9781107333604"</f>
        <v>9781107333604</v>
      </c>
      <c r="D4549" s="10" t="s">
        <v>397</v>
      </c>
      <c r="E4549" s="10" t="s">
        <v>397</v>
      </c>
      <c r="F4549" s="10" t="s">
        <v>1150</v>
      </c>
      <c r="G4549" s="10" t="s">
        <v>12975</v>
      </c>
      <c r="H4549" s="11">
        <v>41291</v>
      </c>
      <c r="I4549" s="10">
        <v>2013</v>
      </c>
      <c r="J4549" s="10" t="s">
        <v>397</v>
      </c>
      <c r="K4549" s="10">
        <v>258</v>
      </c>
      <c r="L4549" s="10" t="s">
        <v>24898</v>
      </c>
      <c r="M4549" s="10">
        <v>1</v>
      </c>
      <c r="N4549" s="10"/>
      <c r="O4549" s="10"/>
      <c r="P4549" s="10" t="s">
        <v>24899</v>
      </c>
      <c r="Q4549" s="10">
        <v>370.154</v>
      </c>
      <c r="R4549" s="10" t="s">
        <v>11395</v>
      </c>
      <c r="S4549" s="10" t="s">
        <v>53</v>
      </c>
      <c r="T4549" s="10" t="s">
        <v>54</v>
      </c>
    </row>
    <row r="4550" spans="1:20" ht="14.5" x14ac:dyDescent="0.35">
      <c r="A4550" s="10" t="s">
        <v>24900</v>
      </c>
      <c r="B4550" s="10" t="str">
        <f>"9780199861750"</f>
        <v>9780199861750</v>
      </c>
      <c r="C4550" s="10" t="str">
        <f>"9780199861835"</f>
        <v>9780199861835</v>
      </c>
      <c r="D4550" s="10" t="s">
        <v>9122</v>
      </c>
      <c r="E4550" s="10" t="s">
        <v>9133</v>
      </c>
      <c r="F4550" s="10" t="s">
        <v>330</v>
      </c>
      <c r="G4550" s="10" t="s">
        <v>6317</v>
      </c>
      <c r="H4550" s="11">
        <v>41269</v>
      </c>
      <c r="I4550" s="10">
        <v>2012</v>
      </c>
      <c r="J4550" s="10" t="s">
        <v>9133</v>
      </c>
      <c r="K4550" s="10">
        <v>1008</v>
      </c>
      <c r="L4550" s="10" t="s">
        <v>9908</v>
      </c>
      <c r="M4550" s="10">
        <v>2</v>
      </c>
      <c r="N4550" s="10"/>
      <c r="O4550" s="10"/>
      <c r="P4550" s="10" t="s">
        <v>24901</v>
      </c>
      <c r="Q4550" s="10" t="s">
        <v>9402</v>
      </c>
      <c r="R4550" s="10" t="s">
        <v>24902</v>
      </c>
      <c r="S4550" s="10" t="s">
        <v>53</v>
      </c>
      <c r="T4550" s="10" t="s">
        <v>54</v>
      </c>
    </row>
    <row r="4551" spans="1:20" ht="14.5" x14ac:dyDescent="0.35">
      <c r="A4551" s="10" t="s">
        <v>24903</v>
      </c>
      <c r="B4551" s="10" t="str">
        <f>"9789004249233"</f>
        <v>9789004249233</v>
      </c>
      <c r="C4551" s="10" t="str">
        <f>"9789004249240"</f>
        <v>9789004249240</v>
      </c>
      <c r="D4551" s="10" t="s">
        <v>8564</v>
      </c>
      <c r="E4551" s="10" t="s">
        <v>8565</v>
      </c>
      <c r="F4551" s="10" t="s">
        <v>1420</v>
      </c>
      <c r="G4551" s="10" t="s">
        <v>6317</v>
      </c>
      <c r="H4551" s="11">
        <v>41319</v>
      </c>
      <c r="I4551" s="10">
        <v>2013</v>
      </c>
      <c r="J4551" s="10" t="s">
        <v>8565</v>
      </c>
      <c r="K4551" s="10">
        <v>413</v>
      </c>
      <c r="L4551" s="10" t="s">
        <v>24904</v>
      </c>
      <c r="M4551" s="10">
        <v>1</v>
      </c>
      <c r="N4551" s="10" t="s">
        <v>24905</v>
      </c>
      <c r="O4551" s="10">
        <v>1</v>
      </c>
      <c r="P4551" s="10"/>
      <c r="Q4551" s="10"/>
      <c r="R4551" s="10"/>
      <c r="S4551" s="10" t="s">
        <v>53</v>
      </c>
      <c r="T4551" s="10" t="s">
        <v>54</v>
      </c>
    </row>
    <row r="4552" spans="1:20" ht="14.5" x14ac:dyDescent="0.35">
      <c r="A4552" s="10" t="s">
        <v>24906</v>
      </c>
      <c r="B4552" s="10" t="str">
        <f>"9781412987288"</f>
        <v>9781412987288</v>
      </c>
      <c r="C4552" s="10" t="str">
        <f>"9781452279268"</f>
        <v>9781452279268</v>
      </c>
      <c r="D4552" s="10" t="s">
        <v>22210</v>
      </c>
      <c r="E4552" s="10" t="s">
        <v>22211</v>
      </c>
      <c r="F4552" s="10" t="s">
        <v>333</v>
      </c>
      <c r="G4552" s="10" t="s">
        <v>6317</v>
      </c>
      <c r="H4552" s="11">
        <v>41051</v>
      </c>
      <c r="I4552" s="10">
        <v>2012</v>
      </c>
      <c r="J4552" s="10" t="s">
        <v>22211</v>
      </c>
      <c r="K4552" s="10">
        <v>337</v>
      </c>
      <c r="L4552" s="10" t="s">
        <v>24907</v>
      </c>
      <c r="M4552" s="10">
        <v>1</v>
      </c>
      <c r="N4552" s="10"/>
      <c r="O4552" s="10"/>
      <c r="P4552" s="10"/>
      <c r="Q4552" s="10"/>
      <c r="R4552" s="10"/>
      <c r="S4552" s="10" t="s">
        <v>53</v>
      </c>
      <c r="T4552" s="10" t="s">
        <v>54</v>
      </c>
    </row>
    <row r="4553" spans="1:20" ht="14.5" x14ac:dyDescent="0.35">
      <c r="A4553" s="10" t="s">
        <v>24908</v>
      </c>
      <c r="B4553" s="10" t="str">
        <f>"9781412998741"</f>
        <v>9781412998741</v>
      </c>
      <c r="C4553" s="10" t="str">
        <f>"9781452279633"</f>
        <v>9781452279633</v>
      </c>
      <c r="D4553" s="10" t="s">
        <v>22210</v>
      </c>
      <c r="E4553" s="10" t="s">
        <v>22211</v>
      </c>
      <c r="F4553" s="10" t="s">
        <v>333</v>
      </c>
      <c r="G4553" s="10" t="s">
        <v>6317</v>
      </c>
      <c r="H4553" s="11">
        <v>41239</v>
      </c>
      <c r="I4553" s="10">
        <v>2013</v>
      </c>
      <c r="J4553" s="10" t="s">
        <v>22211</v>
      </c>
      <c r="K4553" s="10">
        <v>257</v>
      </c>
      <c r="L4553" s="10" t="s">
        <v>24909</v>
      </c>
      <c r="M4553" s="10">
        <v>1</v>
      </c>
      <c r="N4553" s="10"/>
      <c r="O4553" s="10"/>
      <c r="P4553" s="10"/>
      <c r="Q4553" s="10" t="s">
        <v>8460</v>
      </c>
      <c r="R4553" s="10"/>
      <c r="S4553" s="10" t="s">
        <v>53</v>
      </c>
      <c r="T4553" s="10" t="s">
        <v>54</v>
      </c>
    </row>
    <row r="4554" spans="1:20" ht="14.5" x14ac:dyDescent="0.35">
      <c r="A4554" s="10" t="s">
        <v>24910</v>
      </c>
      <c r="B4554" s="10" t="str">
        <f>"9780335246519"</f>
        <v>9780335246519</v>
      </c>
      <c r="C4554" s="10" t="str">
        <f>"9780335246526"</f>
        <v>9780335246526</v>
      </c>
      <c r="D4554" s="10" t="s">
        <v>10342</v>
      </c>
      <c r="E4554" s="10" t="s">
        <v>10343</v>
      </c>
      <c r="F4554" s="10" t="s">
        <v>10344</v>
      </c>
      <c r="G4554" s="10" t="s">
        <v>6352</v>
      </c>
      <c r="H4554" s="11">
        <v>41306</v>
      </c>
      <c r="I4554" s="10">
        <v>2013</v>
      </c>
      <c r="J4554" s="10" t="s">
        <v>10345</v>
      </c>
      <c r="K4554" s="10">
        <v>266</v>
      </c>
      <c r="L4554" s="10" t="s">
        <v>24911</v>
      </c>
      <c r="M4554" s="10">
        <v>4</v>
      </c>
      <c r="N4554" s="10" t="s">
        <v>10347</v>
      </c>
      <c r="O4554" s="10"/>
      <c r="P4554" s="10"/>
      <c r="Q4554" s="10"/>
      <c r="R4554" s="10"/>
      <c r="S4554" s="10" t="s">
        <v>53</v>
      </c>
      <c r="T4554" s="10" t="s">
        <v>54</v>
      </c>
    </row>
    <row r="4555" spans="1:20" ht="14.5" x14ac:dyDescent="0.35">
      <c r="A4555" s="10" t="s">
        <v>24912</v>
      </c>
      <c r="B4555" s="10" t="str">
        <f>"9780415893473"</f>
        <v>9780415893473</v>
      </c>
      <c r="C4555" s="10" t="str">
        <f>"9781136699245"</f>
        <v>9781136699245</v>
      </c>
      <c r="D4555" s="10" t="s">
        <v>6350</v>
      </c>
      <c r="E4555" s="10" t="s">
        <v>6351</v>
      </c>
      <c r="F4555" s="10" t="s">
        <v>139</v>
      </c>
      <c r="G4555" s="10" t="s">
        <v>6352</v>
      </c>
      <c r="H4555" s="11">
        <v>41249</v>
      </c>
      <c r="I4555" s="10">
        <v>2013</v>
      </c>
      <c r="J4555" s="10" t="s">
        <v>6353</v>
      </c>
      <c r="K4555" s="10">
        <v>249</v>
      </c>
      <c r="L4555" s="10" t="s">
        <v>24913</v>
      </c>
      <c r="M4555" s="10">
        <v>1</v>
      </c>
      <c r="N4555" s="10"/>
      <c r="O4555" s="10"/>
      <c r="P4555" s="10" t="s">
        <v>24914</v>
      </c>
      <c r="Q4555" s="10">
        <v>1.42</v>
      </c>
      <c r="R4555" s="10" t="s">
        <v>24915</v>
      </c>
      <c r="S4555" s="10" t="s">
        <v>53</v>
      </c>
      <c r="T4555" s="10" t="s">
        <v>10411</v>
      </c>
    </row>
    <row r="4556" spans="1:20" ht="14.5" x14ac:dyDescent="0.35">
      <c r="A4556" s="10" t="s">
        <v>24916</v>
      </c>
      <c r="B4556" s="10" t="str">
        <f>"9780415895125"</f>
        <v>9780415895125</v>
      </c>
      <c r="C4556" s="10" t="str">
        <f>"9781136674600"</f>
        <v>9781136674600</v>
      </c>
      <c r="D4556" s="10" t="s">
        <v>6350</v>
      </c>
      <c r="E4556" s="10" t="s">
        <v>6351</v>
      </c>
      <c r="F4556" s="10" t="s">
        <v>139</v>
      </c>
      <c r="G4556" s="10" t="s">
        <v>6352</v>
      </c>
      <c r="H4556" s="11">
        <v>41312</v>
      </c>
      <c r="I4556" s="10">
        <v>2013</v>
      </c>
      <c r="J4556" s="10" t="s">
        <v>6353</v>
      </c>
      <c r="K4556" s="10">
        <v>259</v>
      </c>
      <c r="L4556" s="10" t="s">
        <v>24917</v>
      </c>
      <c r="M4556" s="10">
        <v>2</v>
      </c>
      <c r="N4556" s="10"/>
      <c r="O4556" s="10"/>
      <c r="P4556" s="10" t="s">
        <v>24918</v>
      </c>
      <c r="Q4556" s="10">
        <v>371.2</v>
      </c>
      <c r="R4556" s="10" t="s">
        <v>24919</v>
      </c>
      <c r="S4556" s="10" t="s">
        <v>53</v>
      </c>
      <c r="T4556" s="10" t="s">
        <v>54</v>
      </c>
    </row>
    <row r="4557" spans="1:20" ht="14.5" x14ac:dyDescent="0.35">
      <c r="A4557" s="10" t="s">
        <v>24920</v>
      </c>
      <c r="B4557" s="10" t="str">
        <f>"9780415687713"</f>
        <v>9780415687713</v>
      </c>
      <c r="C4557" s="10" t="str">
        <f>"9781136672101"</f>
        <v>9781136672101</v>
      </c>
      <c r="D4557" s="10" t="s">
        <v>6350</v>
      </c>
      <c r="E4557" s="10" t="s">
        <v>6351</v>
      </c>
      <c r="F4557" s="10" t="s">
        <v>748</v>
      </c>
      <c r="G4557" s="10" t="s">
        <v>6352</v>
      </c>
      <c r="H4557" s="11">
        <v>41368</v>
      </c>
      <c r="I4557" s="10">
        <v>2013</v>
      </c>
      <c r="J4557" s="10" t="s">
        <v>6351</v>
      </c>
      <c r="K4557" s="10">
        <v>173</v>
      </c>
      <c r="L4557" s="10" t="s">
        <v>24921</v>
      </c>
      <c r="M4557" s="10">
        <v>1</v>
      </c>
      <c r="N4557" s="10" t="s">
        <v>7908</v>
      </c>
      <c r="O4557" s="10"/>
      <c r="P4557" s="10" t="s">
        <v>24922</v>
      </c>
      <c r="Q4557" s="10">
        <v>305.23</v>
      </c>
      <c r="R4557" s="10" t="s">
        <v>24923</v>
      </c>
      <c r="S4557" s="10" t="s">
        <v>53</v>
      </c>
      <c r="T4557" s="10" t="s">
        <v>6472</v>
      </c>
    </row>
    <row r="4558" spans="1:20" ht="14.5" x14ac:dyDescent="0.35">
      <c r="A4558" s="10" t="s">
        <v>24924</v>
      </c>
      <c r="B4558" s="10" t="str">
        <f>"9780415623162"</f>
        <v>9780415623162</v>
      </c>
      <c r="C4558" s="10" t="str">
        <f>"9781136253737"</f>
        <v>9781136253737</v>
      </c>
      <c r="D4558" s="10" t="s">
        <v>6350</v>
      </c>
      <c r="E4558" s="10" t="s">
        <v>6351</v>
      </c>
      <c r="F4558" s="10" t="s">
        <v>139</v>
      </c>
      <c r="G4558" s="10" t="s">
        <v>6352</v>
      </c>
      <c r="H4558" s="11">
        <v>41304</v>
      </c>
      <c r="I4558" s="10">
        <v>2013</v>
      </c>
      <c r="J4558" s="10" t="s">
        <v>6353</v>
      </c>
      <c r="K4558" s="10">
        <v>257</v>
      </c>
      <c r="L4558" s="10" t="s">
        <v>24925</v>
      </c>
      <c r="M4558" s="10">
        <v>4</v>
      </c>
      <c r="N4558" s="10"/>
      <c r="O4558" s="10"/>
      <c r="P4558" s="10" t="s">
        <v>24926</v>
      </c>
      <c r="Q4558" s="10">
        <v>374.94099999999997</v>
      </c>
      <c r="R4558" s="10" t="s">
        <v>24927</v>
      </c>
      <c r="S4558" s="10" t="s">
        <v>53</v>
      </c>
      <c r="T4558" s="10" t="s">
        <v>54</v>
      </c>
    </row>
    <row r="4559" spans="1:20" ht="14.5" x14ac:dyDescent="0.35">
      <c r="A4559" s="10" t="s">
        <v>24928</v>
      </c>
      <c r="B4559" s="10" t="str">
        <f>"9780415667586"</f>
        <v>9780415667586</v>
      </c>
      <c r="C4559" s="10" t="str">
        <f>"9781136294747"</f>
        <v>9781136294747</v>
      </c>
      <c r="D4559" s="10" t="s">
        <v>6350</v>
      </c>
      <c r="E4559" s="10" t="s">
        <v>6351</v>
      </c>
      <c r="F4559" s="10" t="s">
        <v>139</v>
      </c>
      <c r="G4559" s="10" t="s">
        <v>6352</v>
      </c>
      <c r="H4559" s="11">
        <v>41100</v>
      </c>
      <c r="I4559" s="10">
        <v>2012</v>
      </c>
      <c r="J4559" s="10" t="s">
        <v>6353</v>
      </c>
      <c r="K4559" s="10">
        <v>209</v>
      </c>
      <c r="L4559" s="10" t="s">
        <v>24929</v>
      </c>
      <c r="M4559" s="10">
        <v>1</v>
      </c>
      <c r="N4559" s="10"/>
      <c r="O4559" s="10"/>
      <c r="P4559" s="10" t="s">
        <v>24930</v>
      </c>
      <c r="Q4559" s="10">
        <v>374</v>
      </c>
      <c r="R4559" s="10" t="s">
        <v>21575</v>
      </c>
      <c r="S4559" s="10" t="s">
        <v>53</v>
      </c>
      <c r="T4559" s="10" t="s">
        <v>54</v>
      </c>
    </row>
    <row r="4560" spans="1:20" ht="14.5" x14ac:dyDescent="0.35">
      <c r="A4560" s="10" t="s">
        <v>24931</v>
      </c>
      <c r="B4560" s="10" t="str">
        <f>"9780415874663"</f>
        <v>9780415874663</v>
      </c>
      <c r="C4560" s="10" t="str">
        <f>"9781136865701"</f>
        <v>9781136865701</v>
      </c>
      <c r="D4560" s="10" t="s">
        <v>6350</v>
      </c>
      <c r="E4560" s="10" t="s">
        <v>6351</v>
      </c>
      <c r="F4560" s="10" t="s">
        <v>139</v>
      </c>
      <c r="G4560" s="10" t="s">
        <v>6352</v>
      </c>
      <c r="H4560" s="11">
        <v>41253</v>
      </c>
      <c r="I4560" s="10">
        <v>2013</v>
      </c>
      <c r="J4560" s="10" t="s">
        <v>6353</v>
      </c>
      <c r="K4560" s="10">
        <v>233</v>
      </c>
      <c r="L4560" s="10" t="s">
        <v>24932</v>
      </c>
      <c r="M4560" s="10">
        <v>1</v>
      </c>
      <c r="N4560" s="10" t="s">
        <v>24933</v>
      </c>
      <c r="O4560" s="10"/>
      <c r="P4560" s="10" t="s">
        <v>24934</v>
      </c>
      <c r="Q4560" s="10">
        <v>378.101</v>
      </c>
      <c r="R4560" s="10" t="s">
        <v>18492</v>
      </c>
      <c r="S4560" s="10" t="s">
        <v>53</v>
      </c>
      <c r="T4560" s="10" t="s">
        <v>54</v>
      </c>
    </row>
    <row r="4561" spans="1:20" ht="14.5" x14ac:dyDescent="0.35">
      <c r="A4561" s="10" t="s">
        <v>24935</v>
      </c>
      <c r="B4561" s="10" t="str">
        <f>"9780415644839"</f>
        <v>9780415644839</v>
      </c>
      <c r="C4561" s="10" t="str">
        <f>"9781136157974"</f>
        <v>9781136157974</v>
      </c>
      <c r="D4561" s="10" t="s">
        <v>6350</v>
      </c>
      <c r="E4561" s="10" t="s">
        <v>6351</v>
      </c>
      <c r="F4561" s="10" t="s">
        <v>139</v>
      </c>
      <c r="G4561" s="10" t="s">
        <v>6352</v>
      </c>
      <c r="H4561" s="11">
        <v>41240</v>
      </c>
      <c r="I4561" s="10">
        <v>2013</v>
      </c>
      <c r="J4561" s="10" t="s">
        <v>6353</v>
      </c>
      <c r="K4561" s="10">
        <v>257</v>
      </c>
      <c r="L4561" s="10" t="s">
        <v>24936</v>
      </c>
      <c r="M4561" s="10">
        <v>1</v>
      </c>
      <c r="N4561" s="10"/>
      <c r="O4561" s="10"/>
      <c r="P4561" s="10" t="s">
        <v>24937</v>
      </c>
      <c r="Q4561" s="10" t="s">
        <v>24938</v>
      </c>
      <c r="R4561" s="10" t="s">
        <v>24939</v>
      </c>
      <c r="S4561" s="10" t="s">
        <v>53</v>
      </c>
      <c r="T4561" s="10" t="s">
        <v>54</v>
      </c>
    </row>
    <row r="4562" spans="1:20" ht="14.5" x14ac:dyDescent="0.35">
      <c r="A4562" s="10" t="s">
        <v>24940</v>
      </c>
      <c r="B4562" s="10" t="str">
        <f>"9780415631969"</f>
        <v>9780415631969</v>
      </c>
      <c r="C4562" s="10" t="str">
        <f>"9781136217357"</f>
        <v>9781136217357</v>
      </c>
      <c r="D4562" s="10" t="s">
        <v>6350</v>
      </c>
      <c r="E4562" s="10" t="s">
        <v>6351</v>
      </c>
      <c r="F4562" s="10" t="s">
        <v>139</v>
      </c>
      <c r="G4562" s="10" t="s">
        <v>6352</v>
      </c>
      <c r="H4562" s="11">
        <v>41324</v>
      </c>
      <c r="I4562" s="10">
        <v>2013</v>
      </c>
      <c r="J4562" s="10" t="s">
        <v>6353</v>
      </c>
      <c r="K4562" s="10">
        <v>165</v>
      </c>
      <c r="L4562" s="10" t="s">
        <v>24941</v>
      </c>
      <c r="M4562" s="10">
        <v>1</v>
      </c>
      <c r="N4562" s="10"/>
      <c r="O4562" s="10"/>
      <c r="P4562" s="10" t="s">
        <v>24942</v>
      </c>
      <c r="Q4562" s="10">
        <v>371.334</v>
      </c>
      <c r="R4562" s="10" t="s">
        <v>24943</v>
      </c>
      <c r="S4562" s="10" t="s">
        <v>53</v>
      </c>
      <c r="T4562" s="10" t="s">
        <v>54</v>
      </c>
    </row>
    <row r="4563" spans="1:20" ht="14.5" x14ac:dyDescent="0.35">
      <c r="A4563" s="10" t="s">
        <v>24944</v>
      </c>
      <c r="B4563" s="10" t="str">
        <f>"9780415639033"</f>
        <v>9780415639033</v>
      </c>
      <c r="C4563" s="10" t="str">
        <f>"9781136660900"</f>
        <v>9781136660900</v>
      </c>
      <c r="D4563" s="10" t="s">
        <v>6350</v>
      </c>
      <c r="E4563" s="10" t="s">
        <v>6351</v>
      </c>
      <c r="F4563" s="10" t="s">
        <v>139</v>
      </c>
      <c r="G4563" s="10" t="s">
        <v>6352</v>
      </c>
      <c r="H4563" s="11">
        <v>41310</v>
      </c>
      <c r="I4563" s="10">
        <v>2013</v>
      </c>
      <c r="J4563" s="10" t="s">
        <v>6353</v>
      </c>
      <c r="K4563" s="10">
        <v>848</v>
      </c>
      <c r="L4563" s="10" t="s">
        <v>24945</v>
      </c>
      <c r="M4563" s="10">
        <v>1</v>
      </c>
      <c r="N4563" s="10" t="s">
        <v>24946</v>
      </c>
      <c r="O4563" s="10"/>
      <c r="P4563" s="10" t="s">
        <v>24947</v>
      </c>
      <c r="Q4563" s="10">
        <v>306.43</v>
      </c>
      <c r="R4563" s="10" t="s">
        <v>24948</v>
      </c>
      <c r="S4563" s="10" t="s">
        <v>53</v>
      </c>
      <c r="T4563" s="10" t="s">
        <v>6526</v>
      </c>
    </row>
    <row r="4564" spans="1:20" ht="14.5" x14ac:dyDescent="0.35">
      <c r="A4564" s="10" t="s">
        <v>24949</v>
      </c>
      <c r="B4564" s="10" t="str">
        <f>"9780415540032"</f>
        <v>9780415540032</v>
      </c>
      <c r="C4564" s="10" t="str">
        <f>"9781135068387"</f>
        <v>9781135068387</v>
      </c>
      <c r="D4564" s="10" t="s">
        <v>6350</v>
      </c>
      <c r="E4564" s="10" t="s">
        <v>6351</v>
      </c>
      <c r="F4564" s="10" t="s">
        <v>139</v>
      </c>
      <c r="G4564" s="10" t="s">
        <v>6352</v>
      </c>
      <c r="H4564" s="11">
        <v>41325</v>
      </c>
      <c r="I4564" s="10">
        <v>2013</v>
      </c>
      <c r="J4564" s="10" t="s">
        <v>6353</v>
      </c>
      <c r="K4564" s="10">
        <v>203</v>
      </c>
      <c r="L4564" s="10" t="s">
        <v>24950</v>
      </c>
      <c r="M4564" s="10">
        <v>1</v>
      </c>
      <c r="N4564" s="10" t="s">
        <v>19004</v>
      </c>
      <c r="O4564" s="10">
        <v>3</v>
      </c>
      <c r="P4564" s="10" t="s">
        <v>24951</v>
      </c>
      <c r="Q4564" s="10">
        <v>370.11709509999997</v>
      </c>
      <c r="R4564" s="10" t="s">
        <v>24952</v>
      </c>
      <c r="S4564" s="10" t="s">
        <v>53</v>
      </c>
      <c r="T4564" s="10" t="s">
        <v>54</v>
      </c>
    </row>
    <row r="4565" spans="1:20" ht="14.5" x14ac:dyDescent="0.35">
      <c r="A4565" s="10" t="s">
        <v>24953</v>
      </c>
      <c r="B4565" s="10" t="str">
        <f>"9780415657891"</f>
        <v>9780415657891</v>
      </c>
      <c r="C4565" s="10" t="str">
        <f>"9781135125622"</f>
        <v>9781135125622</v>
      </c>
      <c r="D4565" s="10" t="s">
        <v>6350</v>
      </c>
      <c r="E4565" s="10" t="s">
        <v>6351</v>
      </c>
      <c r="F4565" s="10" t="s">
        <v>748</v>
      </c>
      <c r="G4565" s="10" t="s">
        <v>6352</v>
      </c>
      <c r="H4565" s="11">
        <v>41324</v>
      </c>
      <c r="I4565" s="10">
        <v>2013</v>
      </c>
      <c r="J4565" s="10" t="s">
        <v>6351</v>
      </c>
      <c r="K4565" s="10">
        <v>251</v>
      </c>
      <c r="L4565" s="10" t="s">
        <v>24954</v>
      </c>
      <c r="M4565" s="10">
        <v>1</v>
      </c>
      <c r="N4565" s="10" t="s">
        <v>6954</v>
      </c>
      <c r="O4565" s="10"/>
      <c r="P4565" s="10" t="s">
        <v>24955</v>
      </c>
      <c r="Q4565" s="10">
        <v>418.00709999999998</v>
      </c>
      <c r="R4565" s="10" t="s">
        <v>24956</v>
      </c>
      <c r="S4565" s="10" t="s">
        <v>53</v>
      </c>
      <c r="T4565" s="10" t="s">
        <v>6616</v>
      </c>
    </row>
    <row r="4566" spans="1:20" ht="14.5" x14ac:dyDescent="0.35">
      <c r="A4566" s="10" t="s">
        <v>24957</v>
      </c>
      <c r="B4566" s="10" t="str">
        <f>"9780415536400"</f>
        <v>9780415536400</v>
      </c>
      <c r="C4566" s="10" t="str">
        <f>"9781135068066"</f>
        <v>9781135068066</v>
      </c>
      <c r="D4566" s="10" t="s">
        <v>6350</v>
      </c>
      <c r="E4566" s="10" t="s">
        <v>6351</v>
      </c>
      <c r="F4566" s="10" t="s">
        <v>139</v>
      </c>
      <c r="G4566" s="10" t="s">
        <v>6352</v>
      </c>
      <c r="H4566" s="11">
        <v>41367</v>
      </c>
      <c r="I4566" s="10">
        <v>2013</v>
      </c>
      <c r="J4566" s="10" t="s">
        <v>6353</v>
      </c>
      <c r="K4566" s="10">
        <v>209</v>
      </c>
      <c r="L4566" s="10" t="s">
        <v>24958</v>
      </c>
      <c r="M4566" s="10">
        <v>1</v>
      </c>
      <c r="N4566" s="10" t="s">
        <v>21352</v>
      </c>
      <c r="O4566" s="10"/>
      <c r="P4566" s="10" t="s">
        <v>24959</v>
      </c>
      <c r="Q4566" s="10">
        <v>370.71100000000001</v>
      </c>
      <c r="R4566" s="10" t="s">
        <v>24960</v>
      </c>
      <c r="S4566" s="10" t="s">
        <v>53</v>
      </c>
      <c r="T4566" s="10" t="s">
        <v>54</v>
      </c>
    </row>
    <row r="4567" spans="1:20" ht="14.5" x14ac:dyDescent="0.35">
      <c r="A4567" s="10" t="s">
        <v>24961</v>
      </c>
      <c r="B4567" s="10" t="str">
        <f>"9781412998604"</f>
        <v>9781412998604</v>
      </c>
      <c r="C4567" s="10" t="str">
        <f>"9781452277394"</f>
        <v>9781452277394</v>
      </c>
      <c r="D4567" s="10" t="s">
        <v>22210</v>
      </c>
      <c r="E4567" s="10" t="s">
        <v>22211</v>
      </c>
      <c r="F4567" s="10" t="s">
        <v>333</v>
      </c>
      <c r="G4567" s="10" t="s">
        <v>6317</v>
      </c>
      <c r="H4567" s="11">
        <v>41004</v>
      </c>
      <c r="I4567" s="10">
        <v>2012</v>
      </c>
      <c r="J4567" s="10" t="s">
        <v>22211</v>
      </c>
      <c r="K4567" s="10">
        <v>185</v>
      </c>
      <c r="L4567" s="10" t="s">
        <v>24962</v>
      </c>
      <c r="M4567" s="10">
        <v>1</v>
      </c>
      <c r="N4567" s="10"/>
      <c r="O4567" s="10"/>
      <c r="P4567" s="10" t="s">
        <v>24963</v>
      </c>
      <c r="Q4567" s="10">
        <v>371.5</v>
      </c>
      <c r="R4567" s="10"/>
      <c r="S4567" s="10" t="s">
        <v>53</v>
      </c>
      <c r="T4567" s="10" t="s">
        <v>54</v>
      </c>
    </row>
    <row r="4568" spans="1:20" ht="14.5" x14ac:dyDescent="0.35">
      <c r="A4568" s="10" t="s">
        <v>24964</v>
      </c>
      <c r="B4568" s="10" t="str">
        <f>"9780415430562"</f>
        <v>9780415430562</v>
      </c>
      <c r="C4568" s="10" t="str">
        <f>"9781136024306"</f>
        <v>9781136024306</v>
      </c>
      <c r="D4568" s="10" t="s">
        <v>6350</v>
      </c>
      <c r="E4568" s="10" t="s">
        <v>6351</v>
      </c>
      <c r="F4568" s="10" t="s">
        <v>5406</v>
      </c>
      <c r="G4568" s="10" t="s">
        <v>6352</v>
      </c>
      <c r="H4568" s="11">
        <v>39995</v>
      </c>
      <c r="I4568" s="10">
        <v>2009</v>
      </c>
      <c r="J4568" s="10" t="s">
        <v>6353</v>
      </c>
      <c r="K4568" s="10">
        <v>137</v>
      </c>
      <c r="L4568" s="10" t="s">
        <v>24965</v>
      </c>
      <c r="M4568" s="10">
        <v>1</v>
      </c>
      <c r="N4568" s="10" t="s">
        <v>9302</v>
      </c>
      <c r="O4568" s="10"/>
      <c r="P4568" s="10" t="s">
        <v>24966</v>
      </c>
      <c r="Q4568" s="10">
        <v>372.87</v>
      </c>
      <c r="R4568" s="10" t="s">
        <v>24967</v>
      </c>
      <c r="S4568" s="10" t="s">
        <v>53</v>
      </c>
      <c r="T4568" s="10" t="s">
        <v>6815</v>
      </c>
    </row>
    <row r="4569" spans="1:20" ht="14.5" x14ac:dyDescent="0.35">
      <c r="A4569" s="10" t="s">
        <v>24968</v>
      </c>
      <c r="B4569" s="10" t="str">
        <f>"9780415951159"</f>
        <v>9780415951159</v>
      </c>
      <c r="C4569" s="10" t="str">
        <f>"9781136080586"</f>
        <v>9781136080586</v>
      </c>
      <c r="D4569" s="10" t="s">
        <v>6350</v>
      </c>
      <c r="E4569" s="10" t="s">
        <v>6351</v>
      </c>
      <c r="F4569" s="10" t="s">
        <v>139</v>
      </c>
      <c r="G4569" s="10" t="s">
        <v>6352</v>
      </c>
      <c r="H4569" s="11">
        <v>38593</v>
      </c>
      <c r="I4569" s="10">
        <v>2005</v>
      </c>
      <c r="J4569" s="10" t="s">
        <v>6353</v>
      </c>
      <c r="K4569" s="10">
        <v>227</v>
      </c>
      <c r="L4569" s="10" t="s">
        <v>24969</v>
      </c>
      <c r="M4569" s="10">
        <v>1</v>
      </c>
      <c r="N4569" s="10" t="s">
        <v>23455</v>
      </c>
      <c r="O4569" s="10"/>
      <c r="P4569" s="10" t="s">
        <v>24970</v>
      </c>
      <c r="Q4569" s="10" t="s">
        <v>15833</v>
      </c>
      <c r="R4569" s="10" t="s">
        <v>24971</v>
      </c>
      <c r="S4569" s="10" t="s">
        <v>53</v>
      </c>
      <c r="T4569" s="10" t="s">
        <v>54</v>
      </c>
    </row>
    <row r="4570" spans="1:20" ht="14.5" x14ac:dyDescent="0.35">
      <c r="A4570" s="10" t="s">
        <v>24972</v>
      </c>
      <c r="B4570" s="10" t="str">
        <f>"9780415491976"</f>
        <v>9780415491976</v>
      </c>
      <c r="C4570" s="10" t="str">
        <f>"9781136034220"</f>
        <v>9781136034220</v>
      </c>
      <c r="D4570" s="10" t="s">
        <v>6350</v>
      </c>
      <c r="E4570" s="10" t="s">
        <v>6351</v>
      </c>
      <c r="F4570" s="10" t="s">
        <v>748</v>
      </c>
      <c r="G4570" s="10" t="s">
        <v>6352</v>
      </c>
      <c r="H4570" s="11">
        <v>40085</v>
      </c>
      <c r="I4570" s="10">
        <v>2010</v>
      </c>
      <c r="J4570" s="10" t="s">
        <v>6351</v>
      </c>
      <c r="K4570" s="10">
        <v>129</v>
      </c>
      <c r="L4570" s="10" t="s">
        <v>24973</v>
      </c>
      <c r="M4570" s="10">
        <v>1</v>
      </c>
      <c r="N4570" s="10" t="s">
        <v>17117</v>
      </c>
      <c r="O4570" s="10"/>
      <c r="P4570" s="10" t="s">
        <v>24974</v>
      </c>
      <c r="Q4570" s="10" t="s">
        <v>14377</v>
      </c>
      <c r="R4570" s="10" t="s">
        <v>7416</v>
      </c>
      <c r="S4570" s="10" t="s">
        <v>53</v>
      </c>
      <c r="T4570" s="10" t="s">
        <v>54</v>
      </c>
    </row>
    <row r="4571" spans="1:20" ht="14.5" x14ac:dyDescent="0.35">
      <c r="A4571" s="10" t="s">
        <v>24975</v>
      </c>
      <c r="B4571" s="10" t="str">
        <f>"9780415478120"</f>
        <v>9780415478120</v>
      </c>
      <c r="C4571" s="10" t="str">
        <f>"9781136031984"</f>
        <v>9781136031984</v>
      </c>
      <c r="D4571" s="10" t="s">
        <v>6350</v>
      </c>
      <c r="E4571" s="10" t="s">
        <v>6351</v>
      </c>
      <c r="F4571" s="10" t="s">
        <v>139</v>
      </c>
      <c r="G4571" s="10" t="s">
        <v>6352</v>
      </c>
      <c r="H4571" s="11">
        <v>40042</v>
      </c>
      <c r="I4571" s="10">
        <v>2010</v>
      </c>
      <c r="J4571" s="10" t="s">
        <v>6353</v>
      </c>
      <c r="K4571" s="10">
        <v>225</v>
      </c>
      <c r="L4571" s="10" t="s">
        <v>24976</v>
      </c>
      <c r="M4571" s="10">
        <v>1</v>
      </c>
      <c r="N4571" s="10"/>
      <c r="O4571" s="10"/>
      <c r="P4571" s="10" t="s">
        <v>24977</v>
      </c>
      <c r="Q4571" s="10" t="s">
        <v>7299</v>
      </c>
      <c r="R4571" s="10" t="s">
        <v>8169</v>
      </c>
      <c r="S4571" s="10" t="s">
        <v>53</v>
      </c>
      <c r="T4571" s="10" t="s">
        <v>54</v>
      </c>
    </row>
    <row r="4572" spans="1:20" ht="14.5" x14ac:dyDescent="0.35">
      <c r="A4572" s="10" t="s">
        <v>24978</v>
      </c>
      <c r="B4572" s="10" t="str">
        <f>"9780789028259"</f>
        <v>9780789028259</v>
      </c>
      <c r="C4572" s="10" t="str">
        <f>"9781135798963"</f>
        <v>9781135798963</v>
      </c>
      <c r="D4572" s="10" t="s">
        <v>6350</v>
      </c>
      <c r="E4572" s="10" t="s">
        <v>6351</v>
      </c>
      <c r="F4572" s="10" t="s">
        <v>5406</v>
      </c>
      <c r="G4572" s="10" t="s">
        <v>6352</v>
      </c>
      <c r="H4572" s="11">
        <v>38443</v>
      </c>
      <c r="I4572" s="10">
        <v>2005</v>
      </c>
      <c r="J4572" s="10" t="s">
        <v>6353</v>
      </c>
      <c r="K4572" s="10">
        <v>158</v>
      </c>
      <c r="L4572" s="10" t="s">
        <v>24979</v>
      </c>
      <c r="M4572" s="10">
        <v>1</v>
      </c>
      <c r="N4572" s="10"/>
      <c r="O4572" s="10"/>
      <c r="P4572" s="10" t="s">
        <v>24980</v>
      </c>
      <c r="Q4572" s="10">
        <v>371.4</v>
      </c>
      <c r="R4572" s="10" t="s">
        <v>24981</v>
      </c>
      <c r="S4572" s="10" t="s">
        <v>53</v>
      </c>
      <c r="T4572" s="10" t="s">
        <v>54</v>
      </c>
    </row>
    <row r="4573" spans="1:20" ht="14.5" x14ac:dyDescent="0.35">
      <c r="A4573" s="10" t="s">
        <v>24982</v>
      </c>
      <c r="B4573" s="10" t="str">
        <f>"9780821398500"</f>
        <v>9780821398500</v>
      </c>
      <c r="C4573" s="10" t="str">
        <f>"9780821398609"</f>
        <v>9780821398609</v>
      </c>
      <c r="D4573" s="10" t="s">
        <v>14731</v>
      </c>
      <c r="E4573" s="10" t="s">
        <v>14732</v>
      </c>
      <c r="F4573" s="10" t="s">
        <v>14733</v>
      </c>
      <c r="G4573" s="10" t="s">
        <v>6317</v>
      </c>
      <c r="H4573" s="11">
        <v>41337</v>
      </c>
      <c r="I4573" s="10">
        <v>2013</v>
      </c>
      <c r="J4573" s="10" t="s">
        <v>14732</v>
      </c>
      <c r="K4573" s="10">
        <v>183</v>
      </c>
      <c r="L4573" s="10" t="s">
        <v>24983</v>
      </c>
      <c r="M4573" s="10">
        <v>1</v>
      </c>
      <c r="N4573" s="10" t="s">
        <v>20668</v>
      </c>
      <c r="O4573" s="10"/>
      <c r="P4573" s="10" t="s">
        <v>24984</v>
      </c>
      <c r="Q4573" s="10">
        <v>375.00099999999998</v>
      </c>
      <c r="R4573" s="10" t="s">
        <v>24985</v>
      </c>
      <c r="S4573" s="10" t="s">
        <v>53</v>
      </c>
      <c r="T4573" s="10" t="s">
        <v>54</v>
      </c>
    </row>
    <row r="4574" spans="1:20" ht="14.5" x14ac:dyDescent="0.35">
      <c r="A4574" s="10" t="s">
        <v>24986</v>
      </c>
      <c r="B4574" s="10" t="str">
        <f>"9780821398470"</f>
        <v>9780821398470</v>
      </c>
      <c r="C4574" s="10" t="str">
        <f>"9780821398494"</f>
        <v>9780821398494</v>
      </c>
      <c r="D4574" s="10" t="s">
        <v>14731</v>
      </c>
      <c r="E4574" s="10" t="s">
        <v>14732</v>
      </c>
      <c r="F4574" s="10" t="s">
        <v>14733</v>
      </c>
      <c r="G4574" s="10" t="s">
        <v>6317</v>
      </c>
      <c r="H4574" s="11">
        <v>41338</v>
      </c>
      <c r="I4574" s="10">
        <v>2013</v>
      </c>
      <c r="J4574" s="10" t="s">
        <v>14732</v>
      </c>
      <c r="K4574" s="10">
        <v>130</v>
      </c>
      <c r="L4574" s="10" t="s">
        <v>24987</v>
      </c>
      <c r="M4574" s="10">
        <v>1</v>
      </c>
      <c r="N4574" s="10" t="s">
        <v>20668</v>
      </c>
      <c r="O4574" s="10"/>
      <c r="P4574" s="10" t="s">
        <v>24988</v>
      </c>
      <c r="Q4574" s="10" t="s">
        <v>24989</v>
      </c>
      <c r="R4574" s="10" t="s">
        <v>24990</v>
      </c>
      <c r="S4574" s="10" t="s">
        <v>53</v>
      </c>
      <c r="T4574" s="10" t="s">
        <v>54</v>
      </c>
    </row>
    <row r="4575" spans="1:20" ht="14.5" x14ac:dyDescent="0.35">
      <c r="A4575" s="10" t="s">
        <v>24991</v>
      </c>
      <c r="B4575" s="10" t="str">
        <f>"9780470587218"</f>
        <v>9780470587218</v>
      </c>
      <c r="C4575" s="10" t="str">
        <f>"9781118220542"</f>
        <v>9781118220542</v>
      </c>
      <c r="D4575" s="10" t="s">
        <v>6322</v>
      </c>
      <c r="E4575" s="10" t="s">
        <v>6323</v>
      </c>
      <c r="F4575" s="10" t="s">
        <v>4423</v>
      </c>
      <c r="G4575" s="10" t="s">
        <v>6317</v>
      </c>
      <c r="H4575" s="11">
        <v>41365</v>
      </c>
      <c r="I4575" s="10">
        <v>2012</v>
      </c>
      <c r="J4575" s="10" t="s">
        <v>6324</v>
      </c>
      <c r="K4575" s="10">
        <v>226</v>
      </c>
      <c r="L4575" s="10" t="s">
        <v>23565</v>
      </c>
      <c r="M4575" s="10">
        <v>1</v>
      </c>
      <c r="N4575" s="10"/>
      <c r="O4575" s="10"/>
      <c r="P4575" s="10"/>
      <c r="Q4575" s="10"/>
      <c r="R4575" s="10" t="s">
        <v>24992</v>
      </c>
      <c r="S4575" s="10" t="s">
        <v>53</v>
      </c>
      <c r="T4575" s="10" t="s">
        <v>24993</v>
      </c>
    </row>
    <row r="4576" spans="1:20" ht="14.5" x14ac:dyDescent="0.35">
      <c r="A4576" s="10" t="s">
        <v>24994</v>
      </c>
      <c r="B4576" s="10" t="str">
        <f>"9781118095683"</f>
        <v>9781118095683</v>
      </c>
      <c r="C4576" s="10" t="str">
        <f>"9781118223574"</f>
        <v>9781118223574</v>
      </c>
      <c r="D4576" s="10" t="s">
        <v>6322</v>
      </c>
      <c r="E4576" s="10" t="s">
        <v>6323</v>
      </c>
      <c r="F4576" s="10" t="s">
        <v>4423</v>
      </c>
      <c r="G4576" s="10" t="s">
        <v>6317</v>
      </c>
      <c r="H4576" s="11">
        <v>41365</v>
      </c>
      <c r="I4576" s="10">
        <v>2012</v>
      </c>
      <c r="J4576" s="10" t="s">
        <v>6323</v>
      </c>
      <c r="K4576" s="10">
        <v>434</v>
      </c>
      <c r="L4576" s="10" t="s">
        <v>24995</v>
      </c>
      <c r="M4576" s="10">
        <v>1</v>
      </c>
      <c r="N4576" s="10" t="s">
        <v>15267</v>
      </c>
      <c r="O4576" s="10">
        <v>172</v>
      </c>
      <c r="P4576" s="10"/>
      <c r="Q4576" s="10"/>
      <c r="R4576" s="10" t="s">
        <v>24996</v>
      </c>
      <c r="S4576" s="10" t="s">
        <v>53</v>
      </c>
      <c r="T4576" s="10" t="s">
        <v>54</v>
      </c>
    </row>
    <row r="4577" spans="1:20" ht="14.5" x14ac:dyDescent="0.35">
      <c r="A4577" s="10" t="s">
        <v>24997</v>
      </c>
      <c r="B4577" s="10" t="str">
        <f>"9781118103296"</f>
        <v>9781118103296</v>
      </c>
      <c r="C4577" s="10" t="str">
        <f>"9781118416204"</f>
        <v>9781118416204</v>
      </c>
      <c r="D4577" s="10" t="s">
        <v>6322</v>
      </c>
      <c r="E4577" s="10" t="s">
        <v>6323</v>
      </c>
      <c r="F4577" s="10" t="s">
        <v>4423</v>
      </c>
      <c r="G4577" s="10" t="s">
        <v>6317</v>
      </c>
      <c r="H4577" s="11">
        <v>41365</v>
      </c>
      <c r="I4577" s="10">
        <v>2013</v>
      </c>
      <c r="J4577" s="10" t="s">
        <v>6324</v>
      </c>
      <c r="K4577" s="10">
        <v>261</v>
      </c>
      <c r="L4577" s="10" t="s">
        <v>24998</v>
      </c>
      <c r="M4577" s="10">
        <v>1</v>
      </c>
      <c r="N4577" s="10"/>
      <c r="O4577" s="10"/>
      <c r="P4577" s="10"/>
      <c r="Q4577" s="10">
        <v>378.12</v>
      </c>
      <c r="R4577" s="10" t="s">
        <v>8224</v>
      </c>
      <c r="S4577" s="10" t="s">
        <v>53</v>
      </c>
      <c r="T4577" s="10" t="s">
        <v>54</v>
      </c>
    </row>
    <row r="4578" spans="1:20" ht="14.5" x14ac:dyDescent="0.35">
      <c r="A4578" s="10" t="s">
        <v>24999</v>
      </c>
      <c r="B4578" s="10" t="str">
        <f>"9780739171929"</f>
        <v>9780739171929</v>
      </c>
      <c r="C4578" s="10" t="str">
        <f>"9780739171936"</f>
        <v>9780739171936</v>
      </c>
      <c r="D4578" s="10" t="s">
        <v>9752</v>
      </c>
      <c r="E4578" s="10" t="s">
        <v>15182</v>
      </c>
      <c r="F4578" s="10" t="s">
        <v>9754</v>
      </c>
      <c r="G4578" s="10" t="s">
        <v>6317</v>
      </c>
      <c r="H4578" s="11">
        <v>40885</v>
      </c>
      <c r="I4578" s="10">
        <v>2012</v>
      </c>
      <c r="J4578" s="10" t="s">
        <v>15182</v>
      </c>
      <c r="K4578" s="10">
        <v>263</v>
      </c>
      <c r="L4578" s="10" t="s">
        <v>25000</v>
      </c>
      <c r="M4578" s="10">
        <v>1</v>
      </c>
      <c r="N4578" s="10"/>
      <c r="O4578" s="10"/>
      <c r="P4578" s="10" t="s">
        <v>25001</v>
      </c>
      <c r="Q4578" s="10" t="s">
        <v>25002</v>
      </c>
      <c r="R4578" s="10" t="s">
        <v>25003</v>
      </c>
      <c r="S4578" s="10" t="s">
        <v>53</v>
      </c>
      <c r="T4578" s="10" t="s">
        <v>16298</v>
      </c>
    </row>
    <row r="4579" spans="1:20" ht="14.5" x14ac:dyDescent="0.35">
      <c r="A4579" s="10" t="s">
        <v>25004</v>
      </c>
      <c r="B4579" s="10" t="str">
        <f>"9781610489188"</f>
        <v>9781610489188</v>
      </c>
      <c r="C4579" s="10" t="str">
        <f>"9781610489195"</f>
        <v>9781610489195</v>
      </c>
      <c r="D4579" s="10" t="s">
        <v>9752</v>
      </c>
      <c r="E4579" s="10" t="s">
        <v>15192</v>
      </c>
      <c r="F4579" s="10" t="s">
        <v>9754</v>
      </c>
      <c r="G4579" s="10" t="s">
        <v>6317</v>
      </c>
      <c r="H4579" s="11">
        <v>41270</v>
      </c>
      <c r="I4579" s="10">
        <v>2012</v>
      </c>
      <c r="J4579" s="10" t="s">
        <v>15192</v>
      </c>
      <c r="K4579" s="10">
        <v>218</v>
      </c>
      <c r="L4579" s="10" t="s">
        <v>25005</v>
      </c>
      <c r="M4579" s="10">
        <v>1</v>
      </c>
      <c r="N4579" s="10"/>
      <c r="O4579" s="10"/>
      <c r="P4579" s="10" t="s">
        <v>25006</v>
      </c>
      <c r="Q4579" s="10" t="s">
        <v>7299</v>
      </c>
      <c r="R4579" s="10" t="s">
        <v>25007</v>
      </c>
      <c r="S4579" s="10" t="s">
        <v>53</v>
      </c>
      <c r="T4579" s="10" t="s">
        <v>54</v>
      </c>
    </row>
    <row r="4580" spans="1:20" ht="14.5" x14ac:dyDescent="0.35">
      <c r="A4580" s="10" t="s">
        <v>25008</v>
      </c>
      <c r="B4580" s="10" t="str">
        <f>"9780415600729"</f>
        <v>9780415600729</v>
      </c>
      <c r="C4580" s="10" t="str">
        <f>"9781136729133"</f>
        <v>9781136729133</v>
      </c>
      <c r="D4580" s="10" t="s">
        <v>6350</v>
      </c>
      <c r="E4580" s="10" t="s">
        <v>6351</v>
      </c>
      <c r="F4580" s="10" t="s">
        <v>139</v>
      </c>
      <c r="G4580" s="10" t="s">
        <v>6352</v>
      </c>
      <c r="H4580" s="11">
        <v>41339</v>
      </c>
      <c r="I4580" s="10">
        <v>2013</v>
      </c>
      <c r="J4580" s="10" t="s">
        <v>6353</v>
      </c>
      <c r="K4580" s="10">
        <v>192</v>
      </c>
      <c r="L4580" s="10" t="s">
        <v>25009</v>
      </c>
      <c r="M4580" s="10">
        <v>1</v>
      </c>
      <c r="N4580" s="10" t="s">
        <v>21973</v>
      </c>
      <c r="O4580" s="10"/>
      <c r="P4580" s="10" t="s">
        <v>25010</v>
      </c>
      <c r="Q4580" s="10">
        <v>370.11500000000001</v>
      </c>
      <c r="R4580" s="10" t="s">
        <v>25011</v>
      </c>
      <c r="S4580" s="10" t="s">
        <v>53</v>
      </c>
      <c r="T4580" s="10" t="s">
        <v>54</v>
      </c>
    </row>
    <row r="4581" spans="1:20" ht="14.5" x14ac:dyDescent="0.35">
      <c r="A4581" s="10" t="s">
        <v>25012</v>
      </c>
      <c r="B4581" s="10" t="str">
        <f>"9780739170878"</f>
        <v>9780739170878</v>
      </c>
      <c r="C4581" s="10" t="str">
        <f>"9780739170885"</f>
        <v>9780739170885</v>
      </c>
      <c r="D4581" s="10" t="s">
        <v>9752</v>
      </c>
      <c r="E4581" s="10" t="s">
        <v>15182</v>
      </c>
      <c r="F4581" s="10" t="s">
        <v>9754</v>
      </c>
      <c r="G4581" s="10" t="s">
        <v>6317</v>
      </c>
      <c r="H4581" s="11">
        <v>40829</v>
      </c>
      <c r="I4581" s="10">
        <v>2011</v>
      </c>
      <c r="J4581" s="10" t="s">
        <v>15182</v>
      </c>
      <c r="K4581" s="10">
        <v>206</v>
      </c>
      <c r="L4581" s="10" t="s">
        <v>25013</v>
      </c>
      <c r="M4581" s="10">
        <v>1</v>
      </c>
      <c r="N4581" s="10"/>
      <c r="O4581" s="10"/>
      <c r="P4581" s="10" t="s">
        <v>25014</v>
      </c>
      <c r="Q4581" s="10" t="s">
        <v>25015</v>
      </c>
      <c r="R4581" s="10" t="s">
        <v>25016</v>
      </c>
      <c r="S4581" s="10" t="s">
        <v>53</v>
      </c>
      <c r="T4581" s="10" t="s">
        <v>54</v>
      </c>
    </row>
    <row r="4582" spans="1:20" ht="14.5" x14ac:dyDescent="0.35">
      <c r="A4582" s="10" t="s">
        <v>25017</v>
      </c>
      <c r="B4582" s="10" t="str">
        <f>"9781849053730"</f>
        <v>9781849053730</v>
      </c>
      <c r="C4582" s="10" t="str">
        <f>"9780857007315"</f>
        <v>9780857007315</v>
      </c>
      <c r="D4582" s="10" t="s">
        <v>10516</v>
      </c>
      <c r="E4582" s="10" t="s">
        <v>10516</v>
      </c>
      <c r="F4582" s="10" t="s">
        <v>139</v>
      </c>
      <c r="G4582" s="10" t="s">
        <v>6352</v>
      </c>
      <c r="H4582" s="11">
        <v>41361</v>
      </c>
      <c r="I4582" s="10">
        <v>2013</v>
      </c>
      <c r="J4582" s="10" t="s">
        <v>10516</v>
      </c>
      <c r="K4582" s="10">
        <v>162</v>
      </c>
      <c r="L4582" s="10" t="s">
        <v>25018</v>
      </c>
      <c r="M4582" s="10">
        <v>1</v>
      </c>
      <c r="N4582" s="10"/>
      <c r="O4582" s="10"/>
      <c r="P4582" s="10" t="s">
        <v>25019</v>
      </c>
      <c r="Q4582" s="10">
        <v>379.15800000000002</v>
      </c>
      <c r="R4582" s="10" t="s">
        <v>25020</v>
      </c>
      <c r="S4582" s="10" t="s">
        <v>53</v>
      </c>
      <c r="T4582" s="10" t="s">
        <v>54</v>
      </c>
    </row>
    <row r="4583" spans="1:20" ht="14.5" x14ac:dyDescent="0.35">
      <c r="A4583" s="10" t="s">
        <v>25021</v>
      </c>
      <c r="B4583" s="10" t="str">
        <f>"9781849059442"</f>
        <v>9781849059442</v>
      </c>
      <c r="C4583" s="10" t="str">
        <f>"9780857007742"</f>
        <v>9780857007742</v>
      </c>
      <c r="D4583" s="10" t="s">
        <v>10516</v>
      </c>
      <c r="E4583" s="10" t="s">
        <v>10516</v>
      </c>
      <c r="F4583" s="10" t="s">
        <v>139</v>
      </c>
      <c r="G4583" s="10" t="s">
        <v>6352</v>
      </c>
      <c r="H4583" s="11">
        <v>41392</v>
      </c>
      <c r="I4583" s="10">
        <v>2013</v>
      </c>
      <c r="J4583" s="10" t="s">
        <v>10516</v>
      </c>
      <c r="K4583" s="10">
        <v>146</v>
      </c>
      <c r="L4583" s="10" t="s">
        <v>25022</v>
      </c>
      <c r="M4583" s="10">
        <v>1</v>
      </c>
      <c r="N4583" s="10"/>
      <c r="O4583" s="10"/>
      <c r="P4583" s="10" t="s">
        <v>25023</v>
      </c>
      <c r="Q4583" s="10" t="s">
        <v>11314</v>
      </c>
      <c r="R4583" s="10" t="s">
        <v>25024</v>
      </c>
      <c r="S4583" s="10" t="s">
        <v>53</v>
      </c>
      <c r="T4583" s="10" t="s">
        <v>21304</v>
      </c>
    </row>
    <row r="4584" spans="1:20" ht="14.5" x14ac:dyDescent="0.35">
      <c r="A4584" s="10" t="s">
        <v>25025</v>
      </c>
      <c r="B4584" s="10" t="str">
        <f>"9781412938761"</f>
        <v>9781412938761</v>
      </c>
      <c r="C4584" s="10" t="str">
        <f>"9781452215884"</f>
        <v>9781452215884</v>
      </c>
      <c r="D4584" s="10" t="s">
        <v>22210</v>
      </c>
      <c r="E4584" s="10" t="s">
        <v>22211</v>
      </c>
      <c r="F4584" s="10" t="s">
        <v>333</v>
      </c>
      <c r="G4584" s="10" t="s">
        <v>6317</v>
      </c>
      <c r="H4584" s="11">
        <v>39534</v>
      </c>
      <c r="I4584" s="10">
        <v>2008</v>
      </c>
      <c r="J4584" s="10" t="s">
        <v>22211</v>
      </c>
      <c r="K4584" s="10">
        <v>297</v>
      </c>
      <c r="L4584" s="10" t="s">
        <v>25026</v>
      </c>
      <c r="M4584" s="10">
        <v>1</v>
      </c>
      <c r="N4584" s="10"/>
      <c r="O4584" s="10"/>
      <c r="P4584" s="10" t="s">
        <v>25027</v>
      </c>
      <c r="Q4584" s="10">
        <v>371.90429999999998</v>
      </c>
      <c r="R4584" s="10"/>
      <c r="S4584" s="10" t="s">
        <v>53</v>
      </c>
      <c r="T4584" s="10" t="s">
        <v>54</v>
      </c>
    </row>
    <row r="4585" spans="1:20" ht="14.5" x14ac:dyDescent="0.35">
      <c r="A4585" s="10" t="s">
        <v>25028</v>
      </c>
      <c r="B4585" s="10" t="str">
        <f>"9781412968621"</f>
        <v>9781412968621</v>
      </c>
      <c r="C4585" s="10" t="str">
        <f>"9781452216157"</f>
        <v>9781452216157</v>
      </c>
      <c r="D4585" s="10" t="s">
        <v>22210</v>
      </c>
      <c r="E4585" s="10" t="s">
        <v>22211</v>
      </c>
      <c r="F4585" s="10" t="s">
        <v>333</v>
      </c>
      <c r="G4585" s="10" t="s">
        <v>6317</v>
      </c>
      <c r="H4585" s="11">
        <v>39589</v>
      </c>
      <c r="I4585" s="10">
        <v>2008</v>
      </c>
      <c r="J4585" s="10" t="s">
        <v>22211</v>
      </c>
      <c r="K4585" s="10">
        <v>193</v>
      </c>
      <c r="L4585" s="10" t="s">
        <v>22305</v>
      </c>
      <c r="M4585" s="10">
        <v>1</v>
      </c>
      <c r="N4585" s="10"/>
      <c r="O4585" s="10"/>
      <c r="P4585" s="10"/>
      <c r="Q4585" s="10" t="s">
        <v>17621</v>
      </c>
      <c r="R4585" s="10"/>
      <c r="S4585" s="10" t="s">
        <v>53</v>
      </c>
      <c r="T4585" s="10" t="s">
        <v>54</v>
      </c>
    </row>
    <row r="4586" spans="1:20" ht="14.5" x14ac:dyDescent="0.35">
      <c r="A4586" s="10" t="s">
        <v>25029</v>
      </c>
      <c r="B4586" s="10" t="str">
        <f>"9781412955973"</f>
        <v>9781412955973</v>
      </c>
      <c r="C4586" s="10" t="str">
        <f>"9781452208565"</f>
        <v>9781452208565</v>
      </c>
      <c r="D4586" s="10" t="s">
        <v>22210</v>
      </c>
      <c r="E4586" s="10" t="s">
        <v>22211</v>
      </c>
      <c r="F4586" s="10" t="s">
        <v>333</v>
      </c>
      <c r="G4586" s="10" t="s">
        <v>6317</v>
      </c>
      <c r="H4586" s="11">
        <v>39323</v>
      </c>
      <c r="I4586" s="10">
        <v>2008</v>
      </c>
      <c r="J4586" s="10" t="s">
        <v>22211</v>
      </c>
      <c r="K4586" s="10">
        <v>201</v>
      </c>
      <c r="L4586" s="10" t="s">
        <v>25030</v>
      </c>
      <c r="M4586" s="10">
        <v>3</v>
      </c>
      <c r="N4586" s="10"/>
      <c r="O4586" s="10"/>
      <c r="P4586" s="10" t="s">
        <v>25031</v>
      </c>
      <c r="Q4586" s="10">
        <v>371.2</v>
      </c>
      <c r="R4586" s="10"/>
      <c r="S4586" s="10" t="s">
        <v>53</v>
      </c>
      <c r="T4586" s="10" t="s">
        <v>54</v>
      </c>
    </row>
    <row r="4587" spans="1:20" ht="14.5" x14ac:dyDescent="0.35">
      <c r="A4587" s="10" t="s">
        <v>25032</v>
      </c>
      <c r="B4587" s="10" t="str">
        <f>"9781412964364"</f>
        <v>9781412964364</v>
      </c>
      <c r="C4587" s="10" t="str">
        <f>"9781452206615"</f>
        <v>9781452206615</v>
      </c>
      <c r="D4587" s="10" t="s">
        <v>22210</v>
      </c>
      <c r="E4587" s="10" t="s">
        <v>22211</v>
      </c>
      <c r="F4587" s="10" t="s">
        <v>333</v>
      </c>
      <c r="G4587" s="10" t="s">
        <v>6317</v>
      </c>
      <c r="H4587" s="11">
        <v>39604</v>
      </c>
      <c r="I4587" s="10">
        <v>2008</v>
      </c>
      <c r="J4587" s="10" t="s">
        <v>22211</v>
      </c>
      <c r="K4587" s="10">
        <v>193</v>
      </c>
      <c r="L4587" s="10" t="s">
        <v>25033</v>
      </c>
      <c r="M4587" s="10">
        <v>2</v>
      </c>
      <c r="N4587" s="10"/>
      <c r="O4587" s="10"/>
      <c r="P4587" s="10" t="s">
        <v>25034</v>
      </c>
      <c r="Q4587" s="10">
        <v>372.6</v>
      </c>
      <c r="R4587" s="10"/>
      <c r="S4587" s="10" t="s">
        <v>53</v>
      </c>
      <c r="T4587" s="10" t="s">
        <v>54</v>
      </c>
    </row>
    <row r="4588" spans="1:20" ht="14.5" x14ac:dyDescent="0.35">
      <c r="A4588" s="10" t="s">
        <v>25035</v>
      </c>
      <c r="B4588" s="10" t="str">
        <f>"9781412964081"</f>
        <v>9781412964081</v>
      </c>
      <c r="C4588" s="10" t="str">
        <f>"9781452209616"</f>
        <v>9781452209616</v>
      </c>
      <c r="D4588" s="10" t="s">
        <v>22210</v>
      </c>
      <c r="E4588" s="10" t="s">
        <v>22211</v>
      </c>
      <c r="F4588" s="10" t="s">
        <v>333</v>
      </c>
      <c r="G4588" s="10" t="s">
        <v>6317</v>
      </c>
      <c r="H4588" s="11">
        <v>39626</v>
      </c>
      <c r="I4588" s="10">
        <v>2009</v>
      </c>
      <c r="J4588" s="10" t="s">
        <v>22211</v>
      </c>
      <c r="K4588" s="10">
        <v>273</v>
      </c>
      <c r="L4588" s="10" t="s">
        <v>25036</v>
      </c>
      <c r="M4588" s="10">
        <v>2</v>
      </c>
      <c r="N4588" s="10"/>
      <c r="O4588" s="10"/>
      <c r="P4588" s="10" t="s">
        <v>25037</v>
      </c>
      <c r="Q4588" s="10" t="s">
        <v>12854</v>
      </c>
      <c r="R4588" s="10"/>
      <c r="S4588" s="10" t="s">
        <v>53</v>
      </c>
      <c r="T4588" s="10" t="s">
        <v>54</v>
      </c>
    </row>
    <row r="4589" spans="1:20" ht="14.5" x14ac:dyDescent="0.35">
      <c r="A4589" s="10" t="s">
        <v>25038</v>
      </c>
      <c r="B4589" s="10" t="str">
        <f>"9781412917841"</f>
        <v>9781412917841</v>
      </c>
      <c r="C4589" s="10" t="str">
        <f>"9781452209944"</f>
        <v>9781452209944</v>
      </c>
      <c r="D4589" s="10" t="s">
        <v>22210</v>
      </c>
      <c r="E4589" s="10" t="s">
        <v>22211</v>
      </c>
      <c r="F4589" s="10" t="s">
        <v>333</v>
      </c>
      <c r="G4589" s="10" t="s">
        <v>6317</v>
      </c>
      <c r="H4589" s="11">
        <v>39590</v>
      </c>
      <c r="I4589" s="10">
        <v>2008</v>
      </c>
      <c r="J4589" s="10" t="s">
        <v>22211</v>
      </c>
      <c r="K4589" s="10">
        <v>121</v>
      </c>
      <c r="L4589" s="10" t="s">
        <v>25039</v>
      </c>
      <c r="M4589" s="10">
        <v>1</v>
      </c>
      <c r="N4589" s="10"/>
      <c r="O4589" s="10"/>
      <c r="P4589" s="10"/>
      <c r="Q4589" s="10"/>
      <c r="R4589" s="10"/>
      <c r="S4589" s="10" t="s">
        <v>53</v>
      </c>
      <c r="T4589" s="10" t="s">
        <v>54</v>
      </c>
    </row>
    <row r="4590" spans="1:20" ht="14.5" x14ac:dyDescent="0.35">
      <c r="A4590" s="10" t="s">
        <v>25040</v>
      </c>
      <c r="B4590" s="10" t="str">
        <f>"9781412949514"</f>
        <v>9781412949514</v>
      </c>
      <c r="C4590" s="10" t="str">
        <f>"9781452210179"</f>
        <v>9781452210179</v>
      </c>
      <c r="D4590" s="10" t="s">
        <v>22210</v>
      </c>
      <c r="E4590" s="10" t="s">
        <v>22211</v>
      </c>
      <c r="F4590" s="10" t="s">
        <v>333</v>
      </c>
      <c r="G4590" s="10" t="s">
        <v>6317</v>
      </c>
      <c r="H4590" s="11">
        <v>39429</v>
      </c>
      <c r="I4590" s="10">
        <v>2008</v>
      </c>
      <c r="J4590" s="10" t="s">
        <v>22211</v>
      </c>
      <c r="K4590" s="10">
        <v>321</v>
      </c>
      <c r="L4590" s="10" t="s">
        <v>25041</v>
      </c>
      <c r="M4590" s="10">
        <v>1</v>
      </c>
      <c r="N4590" s="10"/>
      <c r="O4590" s="10"/>
      <c r="P4590" s="10" t="s">
        <v>25042</v>
      </c>
      <c r="Q4590" s="10">
        <v>371.01097299999998</v>
      </c>
      <c r="R4590" s="10" t="s">
        <v>25043</v>
      </c>
      <c r="S4590" s="10" t="s">
        <v>53</v>
      </c>
      <c r="T4590" s="10" t="s">
        <v>54</v>
      </c>
    </row>
    <row r="4591" spans="1:20" ht="14.5" x14ac:dyDescent="0.35">
      <c r="A4591" s="10" t="s">
        <v>25044</v>
      </c>
      <c r="B4591" s="10" t="str">
        <f>"9781412957212"</f>
        <v>9781412957212</v>
      </c>
      <c r="C4591" s="10" t="str">
        <f>"9781452212074"</f>
        <v>9781452212074</v>
      </c>
      <c r="D4591" s="10" t="s">
        <v>22210</v>
      </c>
      <c r="E4591" s="10" t="s">
        <v>22211</v>
      </c>
      <c r="F4591" s="10" t="s">
        <v>333</v>
      </c>
      <c r="G4591" s="10" t="s">
        <v>6317</v>
      </c>
      <c r="H4591" s="11">
        <v>39623</v>
      </c>
      <c r="I4591" s="10">
        <v>2008</v>
      </c>
      <c r="J4591" s="10" t="s">
        <v>22211</v>
      </c>
      <c r="K4591" s="10">
        <v>161</v>
      </c>
      <c r="L4591" s="10" t="s">
        <v>23223</v>
      </c>
      <c r="M4591" s="10">
        <v>1</v>
      </c>
      <c r="N4591" s="10"/>
      <c r="O4591" s="10"/>
      <c r="P4591" s="10"/>
      <c r="Q4591" s="10"/>
      <c r="R4591" s="10"/>
      <c r="S4591" s="10" t="s">
        <v>53</v>
      </c>
      <c r="T4591" s="10" t="s">
        <v>54</v>
      </c>
    </row>
    <row r="4592" spans="1:20" ht="14.5" x14ac:dyDescent="0.35">
      <c r="A4592" s="10" t="s">
        <v>25045</v>
      </c>
      <c r="B4592" s="10" t="str">
        <f>"9781412961097"</f>
        <v>9781412961097</v>
      </c>
      <c r="C4592" s="10" t="str">
        <f>"9781452212517"</f>
        <v>9781452212517</v>
      </c>
      <c r="D4592" s="10" t="s">
        <v>22210</v>
      </c>
      <c r="E4592" s="10" t="s">
        <v>22211</v>
      </c>
      <c r="F4592" s="10" t="s">
        <v>333</v>
      </c>
      <c r="G4592" s="10" t="s">
        <v>6317</v>
      </c>
      <c r="H4592" s="11">
        <v>39729</v>
      </c>
      <c r="I4592" s="10">
        <v>2009</v>
      </c>
      <c r="J4592" s="10" t="s">
        <v>22211</v>
      </c>
      <c r="K4592" s="10">
        <v>153</v>
      </c>
      <c r="L4592" s="10" t="s">
        <v>25046</v>
      </c>
      <c r="M4592" s="10">
        <v>1</v>
      </c>
      <c r="N4592" s="10"/>
      <c r="O4592" s="10"/>
      <c r="P4592" s="10"/>
      <c r="Q4592" s="10"/>
      <c r="R4592" s="10"/>
      <c r="S4592" s="10" t="s">
        <v>53</v>
      </c>
      <c r="T4592" s="10" t="s">
        <v>54</v>
      </c>
    </row>
    <row r="4593" spans="1:20" ht="14.5" x14ac:dyDescent="0.35">
      <c r="A4593" s="10" t="s">
        <v>25047</v>
      </c>
      <c r="B4593" s="10" t="str">
        <f>"9781412953504"</f>
        <v>9781412953504</v>
      </c>
      <c r="C4593" s="10" t="str">
        <f>"9781452213620"</f>
        <v>9781452213620</v>
      </c>
      <c r="D4593" s="10" t="s">
        <v>22210</v>
      </c>
      <c r="E4593" s="10" t="s">
        <v>22211</v>
      </c>
      <c r="F4593" s="10" t="s">
        <v>333</v>
      </c>
      <c r="G4593" s="10" t="s">
        <v>6317</v>
      </c>
      <c r="H4593" s="11">
        <v>39646</v>
      </c>
      <c r="I4593" s="10">
        <v>2009</v>
      </c>
      <c r="J4593" s="10" t="s">
        <v>22211</v>
      </c>
      <c r="K4593" s="10">
        <v>145</v>
      </c>
      <c r="L4593" s="10" t="s">
        <v>25048</v>
      </c>
      <c r="M4593" s="10">
        <v>1</v>
      </c>
      <c r="N4593" s="10"/>
      <c r="O4593" s="10"/>
      <c r="P4593" s="10"/>
      <c r="Q4593" s="10" t="s">
        <v>25049</v>
      </c>
      <c r="R4593" s="10"/>
      <c r="S4593" s="10" t="s">
        <v>53</v>
      </c>
      <c r="T4593" s="10" t="s">
        <v>54</v>
      </c>
    </row>
    <row r="4594" spans="1:20" ht="14.5" x14ac:dyDescent="0.35">
      <c r="A4594" s="10" t="s">
        <v>25050</v>
      </c>
      <c r="B4594" s="10" t="str">
        <f>"9781412961387"</f>
        <v>9781412961387</v>
      </c>
      <c r="C4594" s="10" t="str">
        <f>"9781452214252"</f>
        <v>9781452214252</v>
      </c>
      <c r="D4594" s="10" t="s">
        <v>22210</v>
      </c>
      <c r="E4594" s="10" t="s">
        <v>22211</v>
      </c>
      <c r="F4594" s="10" t="s">
        <v>333</v>
      </c>
      <c r="G4594" s="10" t="s">
        <v>6317</v>
      </c>
      <c r="H4594" s="11">
        <v>39646</v>
      </c>
      <c r="I4594" s="10">
        <v>2009</v>
      </c>
      <c r="J4594" s="10" t="s">
        <v>22211</v>
      </c>
      <c r="K4594" s="10">
        <v>137</v>
      </c>
      <c r="L4594" s="10" t="s">
        <v>25051</v>
      </c>
      <c r="M4594" s="10">
        <v>1</v>
      </c>
      <c r="N4594" s="10"/>
      <c r="O4594" s="10"/>
      <c r="P4594" s="10" t="s">
        <v>25052</v>
      </c>
      <c r="Q4594" s="10">
        <v>371.10199999999998</v>
      </c>
      <c r="R4594" s="10"/>
      <c r="S4594" s="10" t="s">
        <v>53</v>
      </c>
      <c r="T4594" s="10" t="s">
        <v>54</v>
      </c>
    </row>
    <row r="4595" spans="1:20" ht="14.5" x14ac:dyDescent="0.35">
      <c r="A4595" s="10" t="s">
        <v>25053</v>
      </c>
      <c r="B4595" s="10" t="str">
        <f>"9781412951029"</f>
        <v>9781412951029</v>
      </c>
      <c r="C4595" s="10" t="str">
        <f>"9781452214535"</f>
        <v>9781452214535</v>
      </c>
      <c r="D4595" s="10" t="s">
        <v>22210</v>
      </c>
      <c r="E4595" s="10" t="s">
        <v>22211</v>
      </c>
      <c r="F4595" s="10" t="s">
        <v>333</v>
      </c>
      <c r="G4595" s="10" t="s">
        <v>6317</v>
      </c>
      <c r="H4595" s="11">
        <v>39429</v>
      </c>
      <c r="I4595" s="10">
        <v>2008</v>
      </c>
      <c r="J4595" s="10" t="s">
        <v>22211</v>
      </c>
      <c r="K4595" s="10">
        <v>121</v>
      </c>
      <c r="L4595" s="10" t="s">
        <v>25048</v>
      </c>
      <c r="M4595" s="10">
        <v>1</v>
      </c>
      <c r="N4595" s="10"/>
      <c r="O4595" s="10"/>
      <c r="P4595" s="10"/>
      <c r="Q4595" s="10">
        <v>372.41</v>
      </c>
      <c r="R4595" s="10"/>
      <c r="S4595" s="10" t="s">
        <v>53</v>
      </c>
      <c r="T4595" s="10" t="s">
        <v>54</v>
      </c>
    </row>
    <row r="4596" spans="1:20" ht="14.5" x14ac:dyDescent="0.35">
      <c r="A4596" s="10" t="s">
        <v>25054</v>
      </c>
      <c r="B4596" s="10" t="str">
        <f>"9781412961370"</f>
        <v>9781412961370</v>
      </c>
      <c r="C4596" s="10" t="str">
        <f>"9781452214672"</f>
        <v>9781452214672</v>
      </c>
      <c r="D4596" s="10" t="s">
        <v>22210</v>
      </c>
      <c r="E4596" s="10" t="s">
        <v>22211</v>
      </c>
      <c r="F4596" s="10" t="s">
        <v>333</v>
      </c>
      <c r="G4596" s="10" t="s">
        <v>6317</v>
      </c>
      <c r="H4596" s="11">
        <v>39611</v>
      </c>
      <c r="I4596" s="10">
        <v>2009</v>
      </c>
      <c r="J4596" s="10" t="s">
        <v>22211</v>
      </c>
      <c r="K4596" s="10">
        <v>145</v>
      </c>
      <c r="L4596" s="10" t="s">
        <v>25055</v>
      </c>
      <c r="M4596" s="10">
        <v>1</v>
      </c>
      <c r="N4596" s="10"/>
      <c r="O4596" s="10"/>
      <c r="P4596" s="10"/>
      <c r="Q4596" s="10">
        <v>371.95082000000002</v>
      </c>
      <c r="R4596" s="10"/>
      <c r="S4596" s="10" t="s">
        <v>53</v>
      </c>
      <c r="T4596" s="10" t="s">
        <v>54</v>
      </c>
    </row>
    <row r="4597" spans="1:20" ht="14.5" x14ac:dyDescent="0.35">
      <c r="A4597" s="10" t="s">
        <v>25056</v>
      </c>
      <c r="B4597" s="10" t="str">
        <f>"9781412962964"</f>
        <v>9781412962964</v>
      </c>
      <c r="C4597" s="10" t="str">
        <f>"9781452215112"</f>
        <v>9781452215112</v>
      </c>
      <c r="D4597" s="10" t="s">
        <v>22210</v>
      </c>
      <c r="E4597" s="10" t="s">
        <v>22211</v>
      </c>
      <c r="F4597" s="10" t="s">
        <v>333</v>
      </c>
      <c r="G4597" s="10" t="s">
        <v>6317</v>
      </c>
      <c r="H4597" s="11">
        <v>39709</v>
      </c>
      <c r="I4597" s="10">
        <v>2009</v>
      </c>
      <c r="J4597" s="10" t="s">
        <v>22211</v>
      </c>
      <c r="K4597" s="10">
        <v>145</v>
      </c>
      <c r="L4597" s="10" t="s">
        <v>25057</v>
      </c>
      <c r="M4597" s="10">
        <v>1</v>
      </c>
      <c r="N4597" s="10"/>
      <c r="O4597" s="10"/>
      <c r="P4597" s="10"/>
      <c r="Q4597" s="10" t="s">
        <v>19565</v>
      </c>
      <c r="R4597" s="10"/>
      <c r="S4597" s="10" t="s">
        <v>53</v>
      </c>
      <c r="T4597" s="10" t="s">
        <v>54</v>
      </c>
    </row>
    <row r="4598" spans="1:20" ht="14.5" x14ac:dyDescent="0.35">
      <c r="A4598" s="10" t="s">
        <v>25058</v>
      </c>
      <c r="B4598" s="10" t="str">
        <f>"9781412971317"</f>
        <v>9781412971317</v>
      </c>
      <c r="C4598" s="10" t="str">
        <f>"9781452282558"</f>
        <v>9781452282558</v>
      </c>
      <c r="D4598" s="10" t="s">
        <v>22210</v>
      </c>
      <c r="E4598" s="10" t="s">
        <v>22211</v>
      </c>
      <c r="F4598" s="10" t="s">
        <v>333</v>
      </c>
      <c r="G4598" s="10" t="s">
        <v>6317</v>
      </c>
      <c r="H4598" s="11">
        <v>40289</v>
      </c>
      <c r="I4598" s="10">
        <v>2010</v>
      </c>
      <c r="J4598" s="10" t="s">
        <v>22211</v>
      </c>
      <c r="K4598" s="10">
        <v>241</v>
      </c>
      <c r="L4598" s="10" t="s">
        <v>25059</v>
      </c>
      <c r="M4598" s="10">
        <v>1</v>
      </c>
      <c r="N4598" s="10"/>
      <c r="O4598" s="10"/>
      <c r="P4598" s="10" t="s">
        <v>25060</v>
      </c>
      <c r="Q4598" s="10">
        <v>372.13940000000002</v>
      </c>
      <c r="R4598" s="10" t="s">
        <v>25061</v>
      </c>
      <c r="S4598" s="10" t="s">
        <v>53</v>
      </c>
      <c r="T4598" s="10" t="s">
        <v>54</v>
      </c>
    </row>
    <row r="4599" spans="1:20" ht="14.5" x14ac:dyDescent="0.35">
      <c r="A4599" s="10" t="s">
        <v>25062</v>
      </c>
      <c r="B4599" s="10" t="str">
        <f>"9781412913508"</f>
        <v>9781412913508</v>
      </c>
      <c r="C4599" s="10" t="str">
        <f>"9781452292885"</f>
        <v>9781452292885</v>
      </c>
      <c r="D4599" s="10" t="s">
        <v>22210</v>
      </c>
      <c r="E4599" s="10" t="s">
        <v>22211</v>
      </c>
      <c r="F4599" s="10" t="s">
        <v>333</v>
      </c>
      <c r="G4599" s="10" t="s">
        <v>6317</v>
      </c>
      <c r="H4599" s="11">
        <v>38967</v>
      </c>
      <c r="I4599" s="10">
        <v>2007</v>
      </c>
      <c r="J4599" s="10" t="s">
        <v>22211</v>
      </c>
      <c r="K4599" s="10">
        <v>177</v>
      </c>
      <c r="L4599" s="10" t="s">
        <v>25063</v>
      </c>
      <c r="M4599" s="10">
        <v>1</v>
      </c>
      <c r="N4599" s="10" t="s">
        <v>15005</v>
      </c>
      <c r="O4599" s="10"/>
      <c r="P4599" s="10" t="s">
        <v>25064</v>
      </c>
      <c r="Q4599" s="10" t="s">
        <v>11202</v>
      </c>
      <c r="R4599" s="10"/>
      <c r="S4599" s="10" t="s">
        <v>53</v>
      </c>
      <c r="T4599" s="10" t="s">
        <v>54</v>
      </c>
    </row>
    <row r="4600" spans="1:20" ht="14.5" x14ac:dyDescent="0.35">
      <c r="A4600" s="10" t="s">
        <v>25065</v>
      </c>
      <c r="B4600" s="10" t="str">
        <f>"9781412926997"</f>
        <v>9781412926997</v>
      </c>
      <c r="C4600" s="10" t="str">
        <f>"9781452292892"</f>
        <v>9781452292892</v>
      </c>
      <c r="D4600" s="10" t="s">
        <v>22210</v>
      </c>
      <c r="E4600" s="10" t="s">
        <v>22211</v>
      </c>
      <c r="F4600" s="10" t="s">
        <v>333</v>
      </c>
      <c r="G4600" s="10" t="s">
        <v>6317</v>
      </c>
      <c r="H4600" s="11">
        <v>38765</v>
      </c>
      <c r="I4600" s="10">
        <v>2006</v>
      </c>
      <c r="J4600" s="10" t="s">
        <v>22211</v>
      </c>
      <c r="K4600" s="10">
        <v>169</v>
      </c>
      <c r="L4600" s="10" t="s">
        <v>25066</v>
      </c>
      <c r="M4600" s="10">
        <v>1</v>
      </c>
      <c r="N4600" s="10"/>
      <c r="O4600" s="10"/>
      <c r="P4600" s="10" t="s">
        <v>25067</v>
      </c>
      <c r="Q4600" s="10" t="s">
        <v>12010</v>
      </c>
      <c r="R4600" s="10" t="s">
        <v>25068</v>
      </c>
      <c r="S4600" s="10" t="s">
        <v>53</v>
      </c>
      <c r="T4600" s="10" t="s">
        <v>54</v>
      </c>
    </row>
    <row r="4601" spans="1:20" ht="14.5" x14ac:dyDescent="0.35">
      <c r="A4601" s="10" t="s">
        <v>25069</v>
      </c>
      <c r="B4601" s="10" t="str">
        <f>"9781452257709"</f>
        <v>9781452257709</v>
      </c>
      <c r="C4601" s="10" t="str">
        <f>"9781452278537"</f>
        <v>9781452278537</v>
      </c>
      <c r="D4601" s="10" t="s">
        <v>22210</v>
      </c>
      <c r="E4601" s="10" t="s">
        <v>22211</v>
      </c>
      <c r="F4601" s="10" t="s">
        <v>333</v>
      </c>
      <c r="G4601" s="10" t="s">
        <v>6317</v>
      </c>
      <c r="H4601" s="11">
        <v>41260</v>
      </c>
      <c r="I4601" s="10">
        <v>2013</v>
      </c>
      <c r="J4601" s="10" t="s">
        <v>22211</v>
      </c>
      <c r="K4601" s="10">
        <v>193</v>
      </c>
      <c r="L4601" s="10" t="s">
        <v>25070</v>
      </c>
      <c r="M4601" s="10">
        <v>1</v>
      </c>
      <c r="N4601" s="10"/>
      <c r="O4601" s="10"/>
      <c r="P4601" s="10" t="s">
        <v>25071</v>
      </c>
      <c r="Q4601" s="10"/>
      <c r="R4601" s="10"/>
      <c r="S4601" s="10" t="s">
        <v>53</v>
      </c>
      <c r="T4601" s="10" t="s">
        <v>54</v>
      </c>
    </row>
    <row r="4602" spans="1:20" ht="14.5" x14ac:dyDescent="0.35">
      <c r="A4602" s="10" t="s">
        <v>25072</v>
      </c>
      <c r="B4602" s="10" t="str">
        <f>"9781412996327"</f>
        <v>9781412996327</v>
      </c>
      <c r="C4602" s="10" t="str">
        <f>"9781452277004"</f>
        <v>9781452277004</v>
      </c>
      <c r="D4602" s="10" t="s">
        <v>22210</v>
      </c>
      <c r="E4602" s="10" t="s">
        <v>22211</v>
      </c>
      <c r="F4602" s="10" t="s">
        <v>333</v>
      </c>
      <c r="G4602" s="10" t="s">
        <v>6317</v>
      </c>
      <c r="H4602" s="11">
        <v>41319</v>
      </c>
      <c r="I4602" s="10">
        <v>2013</v>
      </c>
      <c r="J4602" s="10" t="s">
        <v>22211</v>
      </c>
      <c r="K4602" s="10">
        <v>305</v>
      </c>
      <c r="L4602" s="10" t="s">
        <v>25073</v>
      </c>
      <c r="M4602" s="10">
        <v>1</v>
      </c>
      <c r="N4602" s="10"/>
      <c r="O4602" s="10"/>
      <c r="P4602" s="10"/>
      <c r="Q4602" s="10">
        <v>371.90472</v>
      </c>
      <c r="R4602" s="10"/>
      <c r="S4602" s="10" t="s">
        <v>53</v>
      </c>
      <c r="T4602" s="10" t="s">
        <v>54</v>
      </c>
    </row>
    <row r="4603" spans="1:20" ht="14.5" x14ac:dyDescent="0.35">
      <c r="A4603" s="10" t="s">
        <v>25074</v>
      </c>
      <c r="B4603" s="10" t="str">
        <f>"9780761931997"</f>
        <v>9780761931997</v>
      </c>
      <c r="C4603" s="10" t="str">
        <f>"9781452212029"</f>
        <v>9781452212029</v>
      </c>
      <c r="D4603" s="10" t="s">
        <v>22210</v>
      </c>
      <c r="E4603" s="10" t="s">
        <v>22211</v>
      </c>
      <c r="F4603" s="10" t="s">
        <v>333</v>
      </c>
      <c r="G4603" s="10" t="s">
        <v>6317</v>
      </c>
      <c r="H4603" s="11">
        <v>38377</v>
      </c>
      <c r="I4603" s="10">
        <v>2005</v>
      </c>
      <c r="J4603" s="10" t="s">
        <v>22211</v>
      </c>
      <c r="K4603" s="10">
        <v>225</v>
      </c>
      <c r="L4603" s="10" t="s">
        <v>22283</v>
      </c>
      <c r="M4603" s="10">
        <v>1</v>
      </c>
      <c r="N4603" s="10"/>
      <c r="O4603" s="10"/>
      <c r="P4603" s="10" t="s">
        <v>25075</v>
      </c>
      <c r="Q4603" s="10" t="s">
        <v>12394</v>
      </c>
      <c r="R4603" s="10"/>
      <c r="S4603" s="10" t="s">
        <v>53</v>
      </c>
      <c r="T4603" s="10" t="s">
        <v>54</v>
      </c>
    </row>
    <row r="4604" spans="1:20" ht="14.5" x14ac:dyDescent="0.35">
      <c r="A4604" s="10" t="s">
        <v>25076</v>
      </c>
      <c r="B4604" s="10" t="str">
        <f>"9781412951814"</f>
        <v>9781412951814</v>
      </c>
      <c r="C4604" s="10" t="str">
        <f>"9781452208848"</f>
        <v>9781452208848</v>
      </c>
      <c r="D4604" s="10" t="s">
        <v>22210</v>
      </c>
      <c r="E4604" s="10" t="s">
        <v>22211</v>
      </c>
      <c r="F4604" s="10" t="s">
        <v>333</v>
      </c>
      <c r="G4604" s="10" t="s">
        <v>6317</v>
      </c>
      <c r="H4604" s="11">
        <v>39708</v>
      </c>
      <c r="I4604" s="10">
        <v>2009</v>
      </c>
      <c r="J4604" s="10" t="s">
        <v>22211</v>
      </c>
      <c r="K4604" s="10">
        <v>201</v>
      </c>
      <c r="L4604" s="10" t="s">
        <v>25077</v>
      </c>
      <c r="M4604" s="10">
        <v>1</v>
      </c>
      <c r="N4604" s="10" t="s">
        <v>15005</v>
      </c>
      <c r="O4604" s="10"/>
      <c r="P4604" s="10" t="s">
        <v>25078</v>
      </c>
      <c r="Q4604" s="10">
        <v>370.19097299999999</v>
      </c>
      <c r="R4604" s="10" t="s">
        <v>25079</v>
      </c>
      <c r="S4604" s="10" t="s">
        <v>53</v>
      </c>
      <c r="T4604" s="10" t="s">
        <v>54</v>
      </c>
    </row>
    <row r="4605" spans="1:20" ht="14.5" x14ac:dyDescent="0.35">
      <c r="A4605" s="10" t="s">
        <v>25080</v>
      </c>
      <c r="B4605" s="10" t="str">
        <f>"9781412906463"</f>
        <v>9781412906463</v>
      </c>
      <c r="C4605" s="10" t="str">
        <f>"9781452209340"</f>
        <v>9781452209340</v>
      </c>
      <c r="D4605" s="10" t="s">
        <v>22210</v>
      </c>
      <c r="E4605" s="10" t="s">
        <v>22211</v>
      </c>
      <c r="F4605" s="10" t="s">
        <v>333</v>
      </c>
      <c r="G4605" s="10" t="s">
        <v>6317</v>
      </c>
      <c r="H4605" s="11">
        <v>38749</v>
      </c>
      <c r="I4605" s="10">
        <v>2006</v>
      </c>
      <c r="J4605" s="10" t="s">
        <v>22211</v>
      </c>
      <c r="K4605" s="10">
        <v>153</v>
      </c>
      <c r="L4605" s="10" t="s">
        <v>25081</v>
      </c>
      <c r="M4605" s="10">
        <v>1</v>
      </c>
      <c r="N4605" s="10"/>
      <c r="O4605" s="10"/>
      <c r="P4605" s="10">
        <v>2005026850</v>
      </c>
      <c r="Q4605" s="10">
        <v>371.2</v>
      </c>
      <c r="R4605" s="10"/>
      <c r="S4605" s="10" t="s">
        <v>53</v>
      </c>
      <c r="T4605" s="10" t="s">
        <v>54</v>
      </c>
    </row>
    <row r="4606" spans="1:20" ht="14.5" x14ac:dyDescent="0.35">
      <c r="A4606" s="10" t="s">
        <v>25082</v>
      </c>
      <c r="B4606" s="10" t="str">
        <f>"9781412906296"</f>
        <v>9781412906296</v>
      </c>
      <c r="C4606" s="10" t="str">
        <f>"9781452209883"</f>
        <v>9781452209883</v>
      </c>
      <c r="D4606" s="10" t="s">
        <v>22210</v>
      </c>
      <c r="E4606" s="10" t="s">
        <v>22211</v>
      </c>
      <c r="F4606" s="10" t="s">
        <v>333</v>
      </c>
      <c r="G4606" s="10" t="s">
        <v>6317</v>
      </c>
      <c r="H4606" s="11">
        <v>38441</v>
      </c>
      <c r="I4606" s="10">
        <v>2005</v>
      </c>
      <c r="J4606" s="10" t="s">
        <v>22211</v>
      </c>
      <c r="K4606" s="10">
        <v>153</v>
      </c>
      <c r="L4606" s="10" t="s">
        <v>25083</v>
      </c>
      <c r="M4606" s="10">
        <v>1</v>
      </c>
      <c r="N4606" s="10"/>
      <c r="O4606" s="10"/>
      <c r="P4606" s="10" t="s">
        <v>25084</v>
      </c>
      <c r="Q4606" s="10">
        <v>371.90460000000002</v>
      </c>
      <c r="R4606" s="10"/>
      <c r="S4606" s="10" t="s">
        <v>53</v>
      </c>
      <c r="T4606" s="10" t="s">
        <v>54</v>
      </c>
    </row>
    <row r="4607" spans="1:20" ht="14.5" x14ac:dyDescent="0.35">
      <c r="A4607" s="10" t="s">
        <v>25085</v>
      </c>
      <c r="B4607" s="10" t="str">
        <f>"9781412964098"</f>
        <v>9781412964098</v>
      </c>
      <c r="C4607" s="10" t="str">
        <f>"9781452210230"</f>
        <v>9781452210230</v>
      </c>
      <c r="D4607" s="10" t="s">
        <v>22210</v>
      </c>
      <c r="E4607" s="10" t="s">
        <v>22211</v>
      </c>
      <c r="F4607" s="10" t="s">
        <v>333</v>
      </c>
      <c r="G4607" s="10" t="s">
        <v>6317</v>
      </c>
      <c r="H4607" s="11">
        <v>39744</v>
      </c>
      <c r="I4607" s="10">
        <v>2009</v>
      </c>
      <c r="J4607" s="10" t="s">
        <v>22211</v>
      </c>
      <c r="K4607" s="10">
        <v>273</v>
      </c>
      <c r="L4607" s="10" t="s">
        <v>25086</v>
      </c>
      <c r="M4607" s="10">
        <v>2</v>
      </c>
      <c r="N4607" s="10"/>
      <c r="O4607" s="10"/>
      <c r="P4607" s="10"/>
      <c r="Q4607" s="10" t="s">
        <v>25087</v>
      </c>
      <c r="R4607" s="10"/>
      <c r="S4607" s="10" t="s">
        <v>53</v>
      </c>
      <c r="T4607" s="10" t="s">
        <v>6363</v>
      </c>
    </row>
    <row r="4608" spans="1:20" ht="14.5" x14ac:dyDescent="0.35">
      <c r="A4608" s="10" t="s">
        <v>25088</v>
      </c>
      <c r="B4608" s="10" t="str">
        <f>"9781412961233"</f>
        <v>9781412961233</v>
      </c>
      <c r="C4608" s="10" t="str">
        <f>"9781452210728"</f>
        <v>9781452210728</v>
      </c>
      <c r="D4608" s="10" t="s">
        <v>22210</v>
      </c>
      <c r="E4608" s="10" t="s">
        <v>22211</v>
      </c>
      <c r="F4608" s="10" t="s">
        <v>333</v>
      </c>
      <c r="G4608" s="10" t="s">
        <v>6317</v>
      </c>
      <c r="H4608" s="11">
        <v>39762</v>
      </c>
      <c r="I4608" s="10">
        <v>2009</v>
      </c>
      <c r="J4608" s="10" t="s">
        <v>22211</v>
      </c>
      <c r="K4608" s="10">
        <v>217</v>
      </c>
      <c r="L4608" s="10" t="s">
        <v>25089</v>
      </c>
      <c r="M4608" s="10">
        <v>1</v>
      </c>
      <c r="N4608" s="10"/>
      <c r="O4608" s="10"/>
      <c r="P4608" s="10"/>
      <c r="Q4608" s="10"/>
      <c r="R4608" s="10"/>
      <c r="S4608" s="10" t="s">
        <v>53</v>
      </c>
      <c r="T4608" s="10" t="s">
        <v>54</v>
      </c>
    </row>
    <row r="4609" spans="1:20" ht="14.5" x14ac:dyDescent="0.35">
      <c r="A4609" s="10" t="s">
        <v>25090</v>
      </c>
      <c r="B4609" s="10" t="str">
        <f>"9781412938938"</f>
        <v>9781412938938</v>
      </c>
      <c r="C4609" s="10" t="str">
        <f>"9781452210872"</f>
        <v>9781452210872</v>
      </c>
      <c r="D4609" s="10" t="s">
        <v>22210</v>
      </c>
      <c r="E4609" s="10" t="s">
        <v>22211</v>
      </c>
      <c r="F4609" s="10" t="s">
        <v>333</v>
      </c>
      <c r="G4609" s="10" t="s">
        <v>6317</v>
      </c>
      <c r="H4609" s="11">
        <v>39248</v>
      </c>
      <c r="I4609" s="10">
        <v>2007</v>
      </c>
      <c r="J4609" s="10" t="s">
        <v>22211</v>
      </c>
      <c r="K4609" s="10">
        <v>81</v>
      </c>
      <c r="L4609" s="10" t="s">
        <v>22584</v>
      </c>
      <c r="M4609" s="10">
        <v>2</v>
      </c>
      <c r="N4609" s="10"/>
      <c r="O4609" s="10"/>
      <c r="P4609" s="10"/>
      <c r="Q4609" s="10"/>
      <c r="R4609" s="10"/>
      <c r="S4609" s="10" t="s">
        <v>53</v>
      </c>
      <c r="T4609" s="10" t="s">
        <v>54</v>
      </c>
    </row>
    <row r="4610" spans="1:20" ht="14.5" x14ac:dyDescent="0.35">
      <c r="A4610" s="10" t="s">
        <v>25091</v>
      </c>
      <c r="B4610" s="10" t="str">
        <f>"9781412906517"</f>
        <v>9781412906517</v>
      </c>
      <c r="C4610" s="10" t="str">
        <f>"9781452212739"</f>
        <v>9781452212739</v>
      </c>
      <c r="D4610" s="10" t="s">
        <v>22210</v>
      </c>
      <c r="E4610" s="10" t="s">
        <v>22211</v>
      </c>
      <c r="F4610" s="10" t="s">
        <v>333</v>
      </c>
      <c r="G4610" s="10" t="s">
        <v>6317</v>
      </c>
      <c r="H4610" s="11">
        <v>38384</v>
      </c>
      <c r="I4610" s="10">
        <v>2005</v>
      </c>
      <c r="J4610" s="10" t="s">
        <v>22211</v>
      </c>
      <c r="K4610" s="10">
        <v>185</v>
      </c>
      <c r="L4610" s="10" t="s">
        <v>25092</v>
      </c>
      <c r="M4610" s="10">
        <v>2</v>
      </c>
      <c r="N4610" s="10"/>
      <c r="O4610" s="10"/>
      <c r="P4610" s="10">
        <v>2004023095</v>
      </c>
      <c r="Q4610" s="10"/>
      <c r="R4610" s="10"/>
      <c r="S4610" s="10" t="s">
        <v>53</v>
      </c>
      <c r="T4610" s="10" t="s">
        <v>54</v>
      </c>
    </row>
    <row r="4611" spans="1:20" ht="14.5" x14ac:dyDescent="0.35">
      <c r="A4611" s="10" t="s">
        <v>25093</v>
      </c>
      <c r="B4611" s="10" t="str">
        <f>"9781412957694"</f>
        <v>9781412957694</v>
      </c>
      <c r="C4611" s="10" t="str">
        <f>"9781452214733"</f>
        <v>9781452214733</v>
      </c>
      <c r="D4611" s="10" t="s">
        <v>22210</v>
      </c>
      <c r="E4611" s="10" t="s">
        <v>22211</v>
      </c>
      <c r="F4611" s="10" t="s">
        <v>333</v>
      </c>
      <c r="G4611" s="10" t="s">
        <v>6317</v>
      </c>
      <c r="H4611" s="11">
        <v>39534</v>
      </c>
      <c r="I4611" s="10">
        <v>2008</v>
      </c>
      <c r="J4611" s="10" t="s">
        <v>22211</v>
      </c>
      <c r="K4611" s="10">
        <v>297</v>
      </c>
      <c r="L4611" s="10" t="s">
        <v>25094</v>
      </c>
      <c r="M4611" s="10">
        <v>1</v>
      </c>
      <c r="N4611" s="10"/>
      <c r="O4611" s="10"/>
      <c r="P4611" s="10"/>
      <c r="Q4611" s="10">
        <v>371.9</v>
      </c>
      <c r="R4611" s="10"/>
      <c r="S4611" s="10" t="s">
        <v>53</v>
      </c>
      <c r="T4611" s="10" t="s">
        <v>54</v>
      </c>
    </row>
    <row r="4612" spans="1:20" ht="14.5" x14ac:dyDescent="0.35">
      <c r="A4612" s="10" t="s">
        <v>25095</v>
      </c>
      <c r="B4612" s="10" t="str">
        <f>"9781412973083"</f>
        <v>9781412973083</v>
      </c>
      <c r="C4612" s="10" t="str">
        <f>"9781452298924"</f>
        <v>9781452298924</v>
      </c>
      <c r="D4612" s="10" t="s">
        <v>22210</v>
      </c>
      <c r="E4612" s="10" t="s">
        <v>22211</v>
      </c>
      <c r="F4612" s="10" t="s">
        <v>333</v>
      </c>
      <c r="G4612" s="10" t="s">
        <v>6317</v>
      </c>
      <c r="H4612" s="11">
        <v>40498</v>
      </c>
      <c r="I4612" s="10">
        <v>2011</v>
      </c>
      <c r="J4612" s="10" t="s">
        <v>22211</v>
      </c>
      <c r="K4612" s="10">
        <v>225</v>
      </c>
      <c r="L4612" s="10" t="s">
        <v>25096</v>
      </c>
      <c r="M4612" s="10">
        <v>1</v>
      </c>
      <c r="N4612" s="10"/>
      <c r="O4612" s="10"/>
      <c r="P4612" s="10"/>
      <c r="Q4612" s="10"/>
      <c r="R4612" s="10"/>
      <c r="S4612" s="10" t="s">
        <v>53</v>
      </c>
      <c r="T4612" s="10" t="s">
        <v>54</v>
      </c>
    </row>
    <row r="4613" spans="1:20" ht="14.5" x14ac:dyDescent="0.35">
      <c r="A4613" s="10" t="s">
        <v>25097</v>
      </c>
      <c r="B4613" s="10" t="str">
        <f>"9781412994927"</f>
        <v>9781412994927</v>
      </c>
      <c r="C4613" s="10" t="str">
        <f>"9781452299099"</f>
        <v>9781452299099</v>
      </c>
      <c r="D4613" s="10" t="s">
        <v>22210</v>
      </c>
      <c r="E4613" s="10" t="s">
        <v>22211</v>
      </c>
      <c r="F4613" s="10" t="s">
        <v>333</v>
      </c>
      <c r="G4613" s="10" t="s">
        <v>6317</v>
      </c>
      <c r="H4613" s="11">
        <v>40807</v>
      </c>
      <c r="I4613" s="10">
        <v>2011</v>
      </c>
      <c r="J4613" s="10" t="s">
        <v>22211</v>
      </c>
      <c r="K4613" s="10">
        <v>137</v>
      </c>
      <c r="L4613" s="10" t="s">
        <v>25098</v>
      </c>
      <c r="M4613" s="10">
        <v>1</v>
      </c>
      <c r="N4613" s="10"/>
      <c r="O4613" s="10"/>
      <c r="P4613" s="10" t="s">
        <v>25099</v>
      </c>
      <c r="Q4613" s="10">
        <v>371.33</v>
      </c>
      <c r="R4613" s="10" t="s">
        <v>25100</v>
      </c>
      <c r="S4613" s="10" t="s">
        <v>53</v>
      </c>
      <c r="T4613" s="10" t="s">
        <v>54</v>
      </c>
    </row>
    <row r="4614" spans="1:20" ht="14.5" x14ac:dyDescent="0.35">
      <c r="A4614" s="10" t="s">
        <v>25101</v>
      </c>
      <c r="B4614" s="10" t="str">
        <f>"9781412937627"</f>
        <v>9781412937627</v>
      </c>
      <c r="C4614" s="10" t="str">
        <f>"9781452209364"</f>
        <v>9781452209364</v>
      </c>
      <c r="D4614" s="10" t="s">
        <v>22210</v>
      </c>
      <c r="E4614" s="10" t="s">
        <v>22211</v>
      </c>
      <c r="F4614" s="10" t="s">
        <v>333</v>
      </c>
      <c r="G4614" s="10" t="s">
        <v>6317</v>
      </c>
      <c r="H4614" s="11">
        <v>38933</v>
      </c>
      <c r="I4614" s="10">
        <v>2007</v>
      </c>
      <c r="J4614" s="10" t="s">
        <v>22211</v>
      </c>
      <c r="K4614" s="10">
        <v>281</v>
      </c>
      <c r="L4614" s="10" t="s">
        <v>23132</v>
      </c>
      <c r="M4614" s="10">
        <v>2</v>
      </c>
      <c r="N4614" s="10"/>
      <c r="O4614" s="10"/>
      <c r="P4614" s="10" t="s">
        <v>25102</v>
      </c>
      <c r="Q4614" s="10">
        <v>372.6</v>
      </c>
      <c r="R4614" s="10"/>
      <c r="S4614" s="10" t="s">
        <v>53</v>
      </c>
      <c r="T4614" s="10" t="s">
        <v>54</v>
      </c>
    </row>
    <row r="4615" spans="1:20" ht="14.5" x14ac:dyDescent="0.35">
      <c r="A4615" s="10" t="s">
        <v>25103</v>
      </c>
      <c r="B4615" s="10" t="str">
        <f>"9781452217321"</f>
        <v>9781452217321</v>
      </c>
      <c r="C4615" s="10" t="str">
        <f>"9781452277967"</f>
        <v>9781452277967</v>
      </c>
      <c r="D4615" s="10" t="s">
        <v>22210</v>
      </c>
      <c r="E4615" s="10" t="s">
        <v>22211</v>
      </c>
      <c r="F4615" s="10" t="s">
        <v>333</v>
      </c>
      <c r="G4615" s="10" t="s">
        <v>6317</v>
      </c>
      <c r="H4615" s="11">
        <v>41305</v>
      </c>
      <c r="I4615" s="10">
        <v>2013</v>
      </c>
      <c r="J4615" s="10" t="s">
        <v>22211</v>
      </c>
      <c r="K4615" s="10">
        <v>273</v>
      </c>
      <c r="L4615" s="10" t="s">
        <v>25104</v>
      </c>
      <c r="M4615" s="10">
        <v>1</v>
      </c>
      <c r="N4615" s="10"/>
      <c r="O4615" s="10"/>
      <c r="P4615" s="10" t="s">
        <v>25105</v>
      </c>
      <c r="Q4615" s="10">
        <v>371.20700972999998</v>
      </c>
      <c r="R4615" s="10" t="s">
        <v>25106</v>
      </c>
      <c r="S4615" s="10" t="s">
        <v>53</v>
      </c>
      <c r="T4615" s="10" t="s">
        <v>54</v>
      </c>
    </row>
    <row r="4616" spans="1:20" ht="14.5" x14ac:dyDescent="0.35">
      <c r="A4616" s="10" t="s">
        <v>25107</v>
      </c>
      <c r="B4616" s="10" t="str">
        <f>"9780810841987"</f>
        <v>9780810841987</v>
      </c>
      <c r="C4616" s="10" t="str">
        <f>"9781461673873"</f>
        <v>9781461673873</v>
      </c>
      <c r="D4616" s="10" t="s">
        <v>9752</v>
      </c>
      <c r="E4616" s="10" t="s">
        <v>17181</v>
      </c>
      <c r="F4616" s="10" t="s">
        <v>9754</v>
      </c>
      <c r="G4616" s="10" t="s">
        <v>6317</v>
      </c>
      <c r="H4616" s="11">
        <v>37246</v>
      </c>
      <c r="I4616" s="10">
        <v>2001</v>
      </c>
      <c r="J4616" s="10" t="s">
        <v>17181</v>
      </c>
      <c r="K4616" s="10">
        <v>304</v>
      </c>
      <c r="L4616" s="10" t="s">
        <v>25108</v>
      </c>
      <c r="M4616" s="10">
        <v>1</v>
      </c>
      <c r="N4616" s="10"/>
      <c r="O4616" s="10"/>
      <c r="P4616" s="10"/>
      <c r="Q4616" s="10">
        <v>11.62</v>
      </c>
      <c r="R4616" s="10" t="s">
        <v>25109</v>
      </c>
      <c r="S4616" s="10" t="s">
        <v>53</v>
      </c>
      <c r="T4616" s="10" t="s">
        <v>6601</v>
      </c>
    </row>
    <row r="4617" spans="1:20" ht="14.5" x14ac:dyDescent="0.35">
      <c r="A4617" s="10" t="s">
        <v>25110</v>
      </c>
      <c r="B4617" s="10" t="str">
        <f>"9781118640852"</f>
        <v>9781118640852</v>
      </c>
      <c r="C4617" s="10" t="str">
        <f>"9781118648322"</f>
        <v>9781118648322</v>
      </c>
      <c r="D4617" s="10" t="s">
        <v>6322</v>
      </c>
      <c r="E4617" s="10" t="s">
        <v>6323</v>
      </c>
      <c r="F4617" s="10" t="s">
        <v>13068</v>
      </c>
      <c r="G4617" s="10" t="s">
        <v>6317</v>
      </c>
      <c r="H4617" s="11">
        <v>41365</v>
      </c>
      <c r="I4617" s="10">
        <v>2013</v>
      </c>
      <c r="J4617" s="10" t="s">
        <v>6324</v>
      </c>
      <c r="K4617" s="10">
        <v>130</v>
      </c>
      <c r="L4617" s="10" t="s">
        <v>25111</v>
      </c>
      <c r="M4617" s="10">
        <v>1</v>
      </c>
      <c r="N4617" s="10" t="s">
        <v>25112</v>
      </c>
      <c r="O4617" s="10"/>
      <c r="P4617" s="10" t="s">
        <v>25113</v>
      </c>
      <c r="Q4617" s="10">
        <v>378.16913</v>
      </c>
      <c r="R4617" s="10" t="s">
        <v>25114</v>
      </c>
      <c r="S4617" s="10" t="s">
        <v>53</v>
      </c>
      <c r="T4617" s="10" t="s">
        <v>54</v>
      </c>
    </row>
    <row r="4618" spans="1:20" ht="14.5" x14ac:dyDescent="0.35">
      <c r="A4618" s="10" t="s">
        <v>25115</v>
      </c>
      <c r="B4618" s="10" t="str">
        <f>"9781781906514"</f>
        <v>9781781906514</v>
      </c>
      <c r="C4618" s="10" t="str">
        <f>"9781781906521"</f>
        <v>9781781906521</v>
      </c>
      <c r="D4618" s="10" t="s">
        <v>8699</v>
      </c>
      <c r="E4618" s="10" t="s">
        <v>8699</v>
      </c>
      <c r="F4618" s="10" t="s">
        <v>559</v>
      </c>
      <c r="G4618" s="10" t="s">
        <v>6352</v>
      </c>
      <c r="H4618" s="11">
        <v>41358</v>
      </c>
      <c r="I4618" s="10">
        <v>2013</v>
      </c>
      <c r="J4618" s="10" t="s">
        <v>8699</v>
      </c>
      <c r="K4618" s="10">
        <v>304</v>
      </c>
      <c r="L4618" s="10" t="s">
        <v>25116</v>
      </c>
      <c r="M4618" s="10">
        <v>1</v>
      </c>
      <c r="N4618" s="10" t="s">
        <v>17877</v>
      </c>
      <c r="O4618" s="10">
        <v>18</v>
      </c>
      <c r="P4618" s="10" t="s">
        <v>25117</v>
      </c>
      <c r="Q4618" s="10">
        <v>370.15</v>
      </c>
      <c r="R4618" s="10" t="s">
        <v>25118</v>
      </c>
      <c r="S4618" s="10" t="s">
        <v>53</v>
      </c>
      <c r="T4618" s="10" t="s">
        <v>54</v>
      </c>
    </row>
    <row r="4619" spans="1:20" ht="14.5" x14ac:dyDescent="0.35">
      <c r="A4619" s="10" t="s">
        <v>25119</v>
      </c>
      <c r="B4619" s="10" t="str">
        <f>"9781781905135"</f>
        <v>9781781905135</v>
      </c>
      <c r="C4619" s="10" t="str">
        <f>"9781781905142"</f>
        <v>9781781905142</v>
      </c>
      <c r="D4619" s="10" t="s">
        <v>8699</v>
      </c>
      <c r="E4619" s="10" t="s">
        <v>8699</v>
      </c>
      <c r="F4619" s="10" t="s">
        <v>559</v>
      </c>
      <c r="G4619" s="10" t="s">
        <v>6352</v>
      </c>
      <c r="H4619" s="11">
        <v>41358</v>
      </c>
      <c r="I4619" s="10">
        <v>2013</v>
      </c>
      <c r="J4619" s="10" t="s">
        <v>8699</v>
      </c>
      <c r="K4619" s="10">
        <v>301</v>
      </c>
      <c r="L4619" s="10" t="s">
        <v>25120</v>
      </c>
      <c r="M4619" s="10">
        <v>1</v>
      </c>
      <c r="N4619" s="10" t="s">
        <v>18360</v>
      </c>
      <c r="O4619" s="10" t="s">
        <v>25121</v>
      </c>
      <c r="P4619" s="10" t="s">
        <v>25122</v>
      </c>
      <c r="Q4619" s="10">
        <v>371.29129999999998</v>
      </c>
      <c r="R4619" s="10" t="s">
        <v>25123</v>
      </c>
      <c r="S4619" s="10" t="s">
        <v>53</v>
      </c>
      <c r="T4619" s="10" t="s">
        <v>54</v>
      </c>
    </row>
    <row r="4620" spans="1:20" ht="14.5" x14ac:dyDescent="0.35">
      <c r="A4620" s="10" t="s">
        <v>25124</v>
      </c>
      <c r="B4620" s="10" t="str">
        <f>"9781780529745"</f>
        <v>9781780529745</v>
      </c>
      <c r="C4620" s="10" t="str">
        <f>"9781780529752"</f>
        <v>9781780529752</v>
      </c>
      <c r="D4620" s="10" t="s">
        <v>8699</v>
      </c>
      <c r="E4620" s="10" t="s">
        <v>8699</v>
      </c>
      <c r="F4620" s="10" t="s">
        <v>559</v>
      </c>
      <c r="G4620" s="10" t="s">
        <v>6352</v>
      </c>
      <c r="H4620" s="11">
        <v>41361</v>
      </c>
      <c r="I4620" s="10">
        <v>2013</v>
      </c>
      <c r="J4620" s="10" t="s">
        <v>8699</v>
      </c>
      <c r="K4620" s="10">
        <v>293</v>
      </c>
      <c r="L4620" s="10" t="s">
        <v>25125</v>
      </c>
      <c r="M4620" s="10">
        <v>1</v>
      </c>
      <c r="N4620" s="10"/>
      <c r="O4620" s="10"/>
      <c r="P4620" s="10" t="s">
        <v>25126</v>
      </c>
      <c r="Q4620" s="10">
        <v>373.12912999999998</v>
      </c>
      <c r="R4620" s="10" t="s">
        <v>25127</v>
      </c>
      <c r="S4620" s="10" t="s">
        <v>53</v>
      </c>
      <c r="T4620" s="10" t="s">
        <v>54</v>
      </c>
    </row>
    <row r="4621" spans="1:20" ht="14.5" x14ac:dyDescent="0.35">
      <c r="A4621" s="10" t="s">
        <v>25128</v>
      </c>
      <c r="B4621" s="10" t="str">
        <f>"9781416615279"</f>
        <v>9781416615279</v>
      </c>
      <c r="C4621" s="10" t="str">
        <f>"9781416615606"</f>
        <v>9781416615606</v>
      </c>
      <c r="D4621" s="10" t="s">
        <v>10014</v>
      </c>
      <c r="E4621" s="10" t="s">
        <v>10015</v>
      </c>
      <c r="F4621" s="10" t="s">
        <v>201</v>
      </c>
      <c r="G4621" s="10" t="s">
        <v>6317</v>
      </c>
      <c r="H4621" s="11">
        <v>41363</v>
      </c>
      <c r="I4621" s="10">
        <v>2013</v>
      </c>
      <c r="J4621" s="10" t="s">
        <v>10015</v>
      </c>
      <c r="K4621" s="10">
        <v>171</v>
      </c>
      <c r="L4621" s="10" t="s">
        <v>25129</v>
      </c>
      <c r="M4621" s="10">
        <v>1</v>
      </c>
      <c r="N4621" s="10"/>
      <c r="O4621" s="10"/>
      <c r="P4621" s="10" t="s">
        <v>25130</v>
      </c>
      <c r="Q4621" s="10" t="s">
        <v>11202</v>
      </c>
      <c r="R4621" s="10" t="s">
        <v>25131</v>
      </c>
      <c r="S4621" s="10" t="s">
        <v>53</v>
      </c>
      <c r="T4621" s="10" t="s">
        <v>54</v>
      </c>
    </row>
    <row r="4622" spans="1:20" ht="14.5" x14ac:dyDescent="0.35">
      <c r="A4622" s="10" t="s">
        <v>25132</v>
      </c>
      <c r="B4622" s="10" t="str">
        <f>"9781416614906"</f>
        <v>9781416614906</v>
      </c>
      <c r="C4622" s="10" t="str">
        <f>"9781416615668"</f>
        <v>9781416615668</v>
      </c>
      <c r="D4622" s="10" t="s">
        <v>10014</v>
      </c>
      <c r="E4622" s="10" t="s">
        <v>10015</v>
      </c>
      <c r="F4622" s="10" t="s">
        <v>201</v>
      </c>
      <c r="G4622" s="10" t="s">
        <v>6317</v>
      </c>
      <c r="H4622" s="11">
        <v>41363</v>
      </c>
      <c r="I4622" s="10">
        <v>2013</v>
      </c>
      <c r="J4622" s="10" t="s">
        <v>10015</v>
      </c>
      <c r="K4622" s="10">
        <v>190</v>
      </c>
      <c r="L4622" s="10" t="s">
        <v>25133</v>
      </c>
      <c r="M4622" s="10">
        <v>1</v>
      </c>
      <c r="N4622" s="10"/>
      <c r="O4622" s="10"/>
      <c r="P4622" s="10" t="s">
        <v>25134</v>
      </c>
      <c r="Q4622" s="10" t="s">
        <v>9360</v>
      </c>
      <c r="R4622" s="10" t="s">
        <v>25135</v>
      </c>
      <c r="S4622" s="10" t="s">
        <v>53</v>
      </c>
      <c r="T4622" s="10" t="s">
        <v>54</v>
      </c>
    </row>
    <row r="4623" spans="1:20" ht="14.5" x14ac:dyDescent="0.35">
      <c r="A4623" s="10" t="s">
        <v>25136</v>
      </c>
      <c r="B4623" s="10" t="str">
        <f>"9781118343050"</f>
        <v>9781118343050</v>
      </c>
      <c r="C4623" s="10" t="str">
        <f>"9781118590027"</f>
        <v>9781118590027</v>
      </c>
      <c r="D4623" s="10" t="s">
        <v>6322</v>
      </c>
      <c r="E4623" s="10" t="s">
        <v>6323</v>
      </c>
      <c r="F4623" s="10" t="s">
        <v>4423</v>
      </c>
      <c r="G4623" s="10" t="s">
        <v>6317</v>
      </c>
      <c r="H4623" s="11">
        <v>41372</v>
      </c>
      <c r="I4623" s="10">
        <v>2013</v>
      </c>
      <c r="J4623" s="10" t="s">
        <v>6324</v>
      </c>
      <c r="K4623" s="10">
        <v>178</v>
      </c>
      <c r="L4623" s="10" t="s">
        <v>25137</v>
      </c>
      <c r="M4623" s="10">
        <v>1</v>
      </c>
      <c r="N4623" s="10"/>
      <c r="O4623" s="10"/>
      <c r="P4623" s="10" t="s">
        <v>25138</v>
      </c>
      <c r="Q4623" s="10">
        <v>373.18</v>
      </c>
      <c r="R4623" s="10" t="s">
        <v>25139</v>
      </c>
      <c r="S4623" s="10" t="s">
        <v>53</v>
      </c>
      <c r="T4623" s="10" t="s">
        <v>54</v>
      </c>
    </row>
    <row r="4624" spans="1:20" ht="14.5" x14ac:dyDescent="0.35">
      <c r="A4624" s="10" t="s">
        <v>25140</v>
      </c>
      <c r="B4624" s="10" t="str">
        <f>"9781118641545"</f>
        <v>9781118641545</v>
      </c>
      <c r="C4624" s="10" t="str">
        <f>"9781118648308"</f>
        <v>9781118648308</v>
      </c>
      <c r="D4624" s="10" t="s">
        <v>6322</v>
      </c>
      <c r="E4624" s="10" t="s">
        <v>6323</v>
      </c>
      <c r="F4624" s="10" t="s">
        <v>13068</v>
      </c>
      <c r="G4624" s="10" t="s">
        <v>6317</v>
      </c>
      <c r="H4624" s="11">
        <v>41365</v>
      </c>
      <c r="I4624" s="10">
        <v>2013</v>
      </c>
      <c r="J4624" s="10" t="s">
        <v>6324</v>
      </c>
      <c r="K4624" s="10">
        <v>114</v>
      </c>
      <c r="L4624" s="10" t="s">
        <v>25141</v>
      </c>
      <c r="M4624" s="10">
        <v>1</v>
      </c>
      <c r="N4624" s="10" t="s">
        <v>20712</v>
      </c>
      <c r="O4624" s="10"/>
      <c r="P4624" s="10" t="s">
        <v>25142</v>
      </c>
      <c r="Q4624" s="10">
        <v>378.12</v>
      </c>
      <c r="R4624" s="10" t="s">
        <v>25143</v>
      </c>
      <c r="S4624" s="10" t="s">
        <v>53</v>
      </c>
      <c r="T4624" s="10" t="s">
        <v>54</v>
      </c>
    </row>
    <row r="4625" spans="1:20" ht="14.5" x14ac:dyDescent="0.35">
      <c r="A4625" s="10" t="s">
        <v>25144</v>
      </c>
      <c r="B4625" s="10" t="str">
        <f>"9781441105318"</f>
        <v>9781441105318</v>
      </c>
      <c r="C4625" s="10" t="str">
        <f>"9781441194558"</f>
        <v>9781441194558</v>
      </c>
      <c r="D4625" s="10" t="s">
        <v>9777</v>
      </c>
      <c r="E4625" s="10" t="s">
        <v>23825</v>
      </c>
      <c r="F4625" s="10" t="s">
        <v>70</v>
      </c>
      <c r="G4625" s="10" t="s">
        <v>6317</v>
      </c>
      <c r="H4625" s="11">
        <v>41417</v>
      </c>
      <c r="I4625" s="10">
        <v>2013</v>
      </c>
      <c r="J4625" s="10" t="s">
        <v>23825</v>
      </c>
      <c r="K4625" s="10">
        <v>241</v>
      </c>
      <c r="L4625" s="10" t="s">
        <v>25145</v>
      </c>
      <c r="M4625" s="10">
        <v>1</v>
      </c>
      <c r="N4625" s="10"/>
      <c r="O4625" s="10"/>
      <c r="P4625" s="10" t="s">
        <v>25146</v>
      </c>
      <c r="Q4625" s="10" t="s">
        <v>7335</v>
      </c>
      <c r="R4625" s="10" t="s">
        <v>25147</v>
      </c>
      <c r="S4625" s="10" t="s">
        <v>53</v>
      </c>
      <c r="T4625" s="10" t="s">
        <v>54</v>
      </c>
    </row>
    <row r="4626" spans="1:20" ht="14.5" x14ac:dyDescent="0.35">
      <c r="A4626" s="10" t="s">
        <v>25148</v>
      </c>
      <c r="B4626" s="10" t="str">
        <f>"9781118640951"</f>
        <v>9781118640951</v>
      </c>
      <c r="C4626" s="10" t="str">
        <f>"9781118648261"</f>
        <v>9781118648261</v>
      </c>
      <c r="D4626" s="10" t="s">
        <v>6322</v>
      </c>
      <c r="E4626" s="10" t="s">
        <v>6323</v>
      </c>
      <c r="F4626" s="10" t="s">
        <v>70</v>
      </c>
      <c r="G4626" s="10" t="s">
        <v>6317</v>
      </c>
      <c r="H4626" s="11">
        <v>41365</v>
      </c>
      <c r="I4626" s="10">
        <v>2013</v>
      </c>
      <c r="J4626" s="10" t="s">
        <v>6324</v>
      </c>
      <c r="K4626" s="10">
        <v>106</v>
      </c>
      <c r="L4626" s="10" t="s">
        <v>25149</v>
      </c>
      <c r="M4626" s="10">
        <v>1</v>
      </c>
      <c r="N4626" s="10" t="s">
        <v>20707</v>
      </c>
      <c r="O4626" s="10"/>
      <c r="P4626" s="10" t="s">
        <v>25150</v>
      </c>
      <c r="Q4626" s="10">
        <v>374</v>
      </c>
      <c r="R4626" s="10" t="s">
        <v>25151</v>
      </c>
      <c r="S4626" s="10" t="s">
        <v>53</v>
      </c>
      <c r="T4626" s="10" t="s">
        <v>54</v>
      </c>
    </row>
    <row r="4627" spans="1:20" ht="14.5" x14ac:dyDescent="0.35">
      <c r="A4627" s="10" t="s">
        <v>25152</v>
      </c>
      <c r="B4627" s="10" t="str">
        <f>"9781555707699"</f>
        <v>9781555707699</v>
      </c>
      <c r="C4627" s="10" t="str">
        <f>"9781555708115"</f>
        <v>9781555708115</v>
      </c>
      <c r="D4627" s="10" t="s">
        <v>15366</v>
      </c>
      <c r="E4627" s="10" t="s">
        <v>382</v>
      </c>
      <c r="F4627" s="10" t="s">
        <v>324</v>
      </c>
      <c r="G4627" s="10" t="s">
        <v>6317</v>
      </c>
      <c r="H4627" s="11">
        <v>40948</v>
      </c>
      <c r="I4627" s="10">
        <v>2012</v>
      </c>
      <c r="J4627" s="10" t="s">
        <v>382</v>
      </c>
      <c r="K4627" s="10">
        <v>281</v>
      </c>
      <c r="L4627" s="10" t="s">
        <v>25153</v>
      </c>
      <c r="M4627" s="10">
        <v>1</v>
      </c>
      <c r="N4627" s="10"/>
      <c r="O4627" s="10"/>
      <c r="P4627" s="10" t="s">
        <v>15368</v>
      </c>
      <c r="Q4627" s="10" t="s">
        <v>25154</v>
      </c>
      <c r="R4627" s="10" t="s">
        <v>25155</v>
      </c>
      <c r="S4627" s="10" t="s">
        <v>53</v>
      </c>
      <c r="T4627" s="10" t="s">
        <v>10302</v>
      </c>
    </row>
    <row r="4628" spans="1:20" ht="14.5" x14ac:dyDescent="0.35">
      <c r="A4628" s="10" t="s">
        <v>25156</v>
      </c>
      <c r="B4628" s="10" t="str">
        <f>"9781555707743"</f>
        <v>9781555707743</v>
      </c>
      <c r="C4628" s="10" t="str">
        <f>"9781555708153"</f>
        <v>9781555708153</v>
      </c>
      <c r="D4628" s="10" t="s">
        <v>15366</v>
      </c>
      <c r="E4628" s="10" t="s">
        <v>382</v>
      </c>
      <c r="F4628" s="10" t="s">
        <v>324</v>
      </c>
      <c r="G4628" s="10" t="s">
        <v>6317</v>
      </c>
      <c r="H4628" s="11">
        <v>41029</v>
      </c>
      <c r="I4628" s="10">
        <v>2012</v>
      </c>
      <c r="J4628" s="10" t="s">
        <v>382</v>
      </c>
      <c r="K4628" s="10">
        <v>282</v>
      </c>
      <c r="L4628" s="10" t="s">
        <v>25157</v>
      </c>
      <c r="M4628" s="10">
        <v>1</v>
      </c>
      <c r="N4628" s="10"/>
      <c r="O4628" s="10"/>
      <c r="P4628" s="10" t="s">
        <v>15368</v>
      </c>
      <c r="Q4628" s="10" t="s">
        <v>8748</v>
      </c>
      <c r="R4628" s="10" t="s">
        <v>25158</v>
      </c>
      <c r="S4628" s="10" t="s">
        <v>53</v>
      </c>
      <c r="T4628" s="10" t="s">
        <v>54</v>
      </c>
    </row>
    <row r="4629" spans="1:20" ht="14.5" x14ac:dyDescent="0.35">
      <c r="A4629" s="10" t="s">
        <v>25159</v>
      </c>
      <c r="B4629" s="10" t="str">
        <f>"9789004171787"</f>
        <v>9789004171787</v>
      </c>
      <c r="C4629" s="10" t="str">
        <f>"9789047425106"</f>
        <v>9789047425106</v>
      </c>
      <c r="D4629" s="10" t="s">
        <v>8564</v>
      </c>
      <c r="E4629" s="10" t="s">
        <v>8565</v>
      </c>
      <c r="F4629" s="10" t="s">
        <v>1420</v>
      </c>
      <c r="G4629" s="10" t="s">
        <v>6317</v>
      </c>
      <c r="H4629" s="11">
        <v>39927</v>
      </c>
      <c r="I4629" s="10">
        <v>2009</v>
      </c>
      <c r="J4629" s="10" t="s">
        <v>8565</v>
      </c>
      <c r="K4629" s="10">
        <v>389</v>
      </c>
      <c r="L4629" s="10" t="s">
        <v>24904</v>
      </c>
      <c r="M4629" s="10">
        <v>1</v>
      </c>
      <c r="N4629" s="10" t="s">
        <v>25160</v>
      </c>
      <c r="O4629" s="10">
        <v>1</v>
      </c>
      <c r="P4629" s="10" t="s">
        <v>25161</v>
      </c>
      <c r="Q4629" s="10"/>
      <c r="R4629" s="10" t="s">
        <v>25162</v>
      </c>
      <c r="S4629" s="10" t="s">
        <v>53</v>
      </c>
      <c r="T4629" s="10" t="s">
        <v>54</v>
      </c>
    </row>
    <row r="4630" spans="1:20" ht="14.5" x14ac:dyDescent="0.35">
      <c r="A4630" s="10" t="s">
        <v>25163</v>
      </c>
      <c r="B4630" s="10" t="str">
        <f>"9781412960557"</f>
        <v>9781412960557</v>
      </c>
      <c r="C4630" s="10" t="str">
        <f>"9781452215389"</f>
        <v>9781452215389</v>
      </c>
      <c r="D4630" s="10" t="s">
        <v>22210</v>
      </c>
      <c r="E4630" s="10" t="s">
        <v>22214</v>
      </c>
      <c r="F4630" s="10" t="s">
        <v>333</v>
      </c>
      <c r="G4630" s="10" t="s">
        <v>6317</v>
      </c>
      <c r="H4630" s="11">
        <v>40123</v>
      </c>
      <c r="I4630" s="10">
        <v>2010</v>
      </c>
      <c r="J4630" s="10" t="s">
        <v>22214</v>
      </c>
      <c r="K4630" s="10">
        <v>201</v>
      </c>
      <c r="L4630" s="10" t="s">
        <v>25164</v>
      </c>
      <c r="M4630" s="10">
        <v>1</v>
      </c>
      <c r="N4630" s="10"/>
      <c r="O4630" s="10"/>
      <c r="P4630" s="10"/>
      <c r="Q4630" s="10"/>
      <c r="R4630" s="10"/>
      <c r="S4630" s="10" t="s">
        <v>53</v>
      </c>
      <c r="T4630" s="10" t="s">
        <v>54</v>
      </c>
    </row>
    <row r="4631" spans="1:20" ht="14.5" x14ac:dyDescent="0.35">
      <c r="A4631" s="10" t="s">
        <v>25165</v>
      </c>
      <c r="B4631" s="10" t="str">
        <f>"9781412952132"</f>
        <v>9781412952132</v>
      </c>
      <c r="C4631" s="10" t="str">
        <f>"9781452210957"</f>
        <v>9781452210957</v>
      </c>
      <c r="D4631" s="10" t="s">
        <v>22210</v>
      </c>
      <c r="E4631" s="10" t="s">
        <v>22214</v>
      </c>
      <c r="F4631" s="10" t="s">
        <v>333</v>
      </c>
      <c r="G4631" s="10" t="s">
        <v>6317</v>
      </c>
      <c r="H4631" s="11">
        <v>40128</v>
      </c>
      <c r="I4631" s="10">
        <v>2010</v>
      </c>
      <c r="J4631" s="10" t="s">
        <v>22214</v>
      </c>
      <c r="K4631" s="10">
        <v>433</v>
      </c>
      <c r="L4631" s="10" t="s">
        <v>25166</v>
      </c>
      <c r="M4631" s="10">
        <v>1</v>
      </c>
      <c r="N4631" s="10"/>
      <c r="O4631" s="10"/>
      <c r="P4631" s="10"/>
      <c r="Q4631" s="10" t="s">
        <v>10535</v>
      </c>
      <c r="R4631" s="10"/>
      <c r="S4631" s="10" t="s">
        <v>53</v>
      </c>
      <c r="T4631" s="10" t="s">
        <v>54</v>
      </c>
    </row>
    <row r="4632" spans="1:20" ht="14.5" x14ac:dyDescent="0.35">
      <c r="A4632" s="10" t="s">
        <v>25167</v>
      </c>
      <c r="B4632" s="10" t="str">
        <f>"9781412957595"</f>
        <v>9781412957595</v>
      </c>
      <c r="C4632" s="10" t="str">
        <f>"9781452245270"</f>
        <v>9781452245270</v>
      </c>
      <c r="D4632" s="10" t="s">
        <v>22210</v>
      </c>
      <c r="E4632" s="10" t="s">
        <v>22214</v>
      </c>
      <c r="F4632" s="10" t="s">
        <v>333</v>
      </c>
      <c r="G4632" s="10" t="s">
        <v>6317</v>
      </c>
      <c r="H4632" s="11">
        <v>39563</v>
      </c>
      <c r="I4632" s="10">
        <v>2008</v>
      </c>
      <c r="J4632" s="10" t="s">
        <v>22214</v>
      </c>
      <c r="K4632" s="10">
        <v>457</v>
      </c>
      <c r="L4632" s="10" t="s">
        <v>25168</v>
      </c>
      <c r="M4632" s="10">
        <v>1</v>
      </c>
      <c r="N4632" s="10"/>
      <c r="O4632" s="10"/>
      <c r="P4632" s="10"/>
      <c r="Q4632" s="10" t="s">
        <v>22247</v>
      </c>
      <c r="R4632" s="10"/>
      <c r="S4632" s="10" t="s">
        <v>53</v>
      </c>
      <c r="T4632" s="10" t="s">
        <v>54</v>
      </c>
    </row>
    <row r="4633" spans="1:20" ht="14.5" x14ac:dyDescent="0.35">
      <c r="A4633" s="10" t="s">
        <v>25169</v>
      </c>
      <c r="B4633" s="10" t="str">
        <f>"9781412960212"</f>
        <v>9781412960212</v>
      </c>
      <c r="C4633" s="10" t="str">
        <f>"9781412993111"</f>
        <v>9781412993111</v>
      </c>
      <c r="D4633" s="10" t="s">
        <v>22210</v>
      </c>
      <c r="E4633" s="10" t="s">
        <v>22214</v>
      </c>
      <c r="F4633" s="10" t="s">
        <v>333</v>
      </c>
      <c r="G4633" s="10" t="s">
        <v>6317</v>
      </c>
      <c r="H4633" s="11">
        <v>39871</v>
      </c>
      <c r="I4633" s="10">
        <v>2010</v>
      </c>
      <c r="J4633" s="10" t="s">
        <v>22214</v>
      </c>
      <c r="K4633" s="10">
        <v>417</v>
      </c>
      <c r="L4633" s="10" t="s">
        <v>25170</v>
      </c>
      <c r="M4633" s="10">
        <v>2</v>
      </c>
      <c r="N4633" s="10"/>
      <c r="O4633" s="10"/>
      <c r="P4633" s="10"/>
      <c r="Q4633" s="10"/>
      <c r="R4633" s="10"/>
      <c r="S4633" s="10" t="s">
        <v>53</v>
      </c>
      <c r="T4633" s="10" t="s">
        <v>54</v>
      </c>
    </row>
    <row r="4634" spans="1:20" ht="14.5" x14ac:dyDescent="0.35">
      <c r="A4634" s="10" t="s">
        <v>25171</v>
      </c>
      <c r="B4634" s="10" t="str">
        <f>"9781412939751"</f>
        <v>9781412939751</v>
      </c>
      <c r="C4634" s="10" t="str">
        <f>"9781412993135"</f>
        <v>9781412993135</v>
      </c>
      <c r="D4634" s="10" t="s">
        <v>22210</v>
      </c>
      <c r="E4634" s="10" t="s">
        <v>22214</v>
      </c>
      <c r="F4634" s="10" t="s">
        <v>333</v>
      </c>
      <c r="G4634" s="10" t="s">
        <v>6317</v>
      </c>
      <c r="H4634" s="11">
        <v>39898</v>
      </c>
      <c r="I4634" s="10">
        <v>2010</v>
      </c>
      <c r="J4634" s="10" t="s">
        <v>22214</v>
      </c>
      <c r="K4634" s="10">
        <v>201</v>
      </c>
      <c r="L4634" s="10" t="s">
        <v>25172</v>
      </c>
      <c r="M4634" s="10">
        <v>1</v>
      </c>
      <c r="N4634" s="10"/>
      <c r="O4634" s="10"/>
      <c r="P4634" s="10"/>
      <c r="Q4634" s="10">
        <v>370.72</v>
      </c>
      <c r="R4634" s="10"/>
      <c r="S4634" s="10" t="s">
        <v>53</v>
      </c>
      <c r="T4634" s="10" t="s">
        <v>54</v>
      </c>
    </row>
    <row r="4635" spans="1:20" ht="14.5" x14ac:dyDescent="0.35">
      <c r="A4635" s="10" t="s">
        <v>25173</v>
      </c>
      <c r="B4635" s="10" t="str">
        <f>"9781412979382"</f>
        <v>9781412979382</v>
      </c>
      <c r="C4635" s="10" t="str">
        <f>"9781452298542"</f>
        <v>9781452298542</v>
      </c>
      <c r="D4635" s="10" t="s">
        <v>22210</v>
      </c>
      <c r="E4635" s="10" t="s">
        <v>22211</v>
      </c>
      <c r="F4635" s="10" t="s">
        <v>333</v>
      </c>
      <c r="G4635" s="10" t="s">
        <v>6317</v>
      </c>
      <c r="H4635" s="11">
        <v>40620</v>
      </c>
      <c r="I4635" s="10">
        <v>2011</v>
      </c>
      <c r="J4635" s="10" t="s">
        <v>22211</v>
      </c>
      <c r="K4635" s="10">
        <v>273</v>
      </c>
      <c r="L4635" s="10" t="s">
        <v>25174</v>
      </c>
      <c r="M4635" s="10">
        <v>2</v>
      </c>
      <c r="N4635" s="10"/>
      <c r="O4635" s="10"/>
      <c r="P4635" s="10"/>
      <c r="Q4635" s="10"/>
      <c r="R4635" s="10"/>
      <c r="S4635" s="10" t="s">
        <v>53</v>
      </c>
      <c r="T4635" s="10" t="s">
        <v>54</v>
      </c>
    </row>
    <row r="4636" spans="1:20" ht="14.5" x14ac:dyDescent="0.35">
      <c r="A4636" s="10" t="s">
        <v>25175</v>
      </c>
      <c r="B4636" s="10" t="str">
        <f>"9781412968744"</f>
        <v>9781412968744</v>
      </c>
      <c r="C4636" s="10" t="str">
        <f>"9781452298795"</f>
        <v>9781452298795</v>
      </c>
      <c r="D4636" s="10" t="s">
        <v>22210</v>
      </c>
      <c r="E4636" s="10" t="s">
        <v>22211</v>
      </c>
      <c r="F4636" s="10" t="s">
        <v>333</v>
      </c>
      <c r="G4636" s="10" t="s">
        <v>6317</v>
      </c>
      <c r="H4636" s="11">
        <v>40232</v>
      </c>
      <c r="I4636" s="10">
        <v>2010</v>
      </c>
      <c r="J4636" s="10" t="s">
        <v>22211</v>
      </c>
      <c r="K4636" s="10">
        <v>185</v>
      </c>
      <c r="L4636" s="10" t="s">
        <v>25176</v>
      </c>
      <c r="M4636" s="10">
        <v>1</v>
      </c>
      <c r="N4636" s="10"/>
      <c r="O4636" s="10"/>
      <c r="P4636" s="10"/>
      <c r="Q4636" s="10">
        <v>371.71</v>
      </c>
      <c r="R4636" s="10"/>
      <c r="S4636" s="10" t="s">
        <v>53</v>
      </c>
      <c r="T4636" s="10" t="s">
        <v>54</v>
      </c>
    </row>
    <row r="4637" spans="1:20" ht="14.5" x14ac:dyDescent="0.35">
      <c r="A4637" s="10" t="s">
        <v>25177</v>
      </c>
      <c r="B4637" s="10" t="str">
        <f>"9781412968768"</f>
        <v>9781412968768</v>
      </c>
      <c r="C4637" s="10" t="str">
        <f>"9781452298832"</f>
        <v>9781452298832</v>
      </c>
      <c r="D4637" s="10" t="s">
        <v>22210</v>
      </c>
      <c r="E4637" s="10" t="s">
        <v>22211</v>
      </c>
      <c r="F4637" s="10" t="s">
        <v>333</v>
      </c>
      <c r="G4637" s="10" t="s">
        <v>6317</v>
      </c>
      <c r="H4637" s="11">
        <v>40232</v>
      </c>
      <c r="I4637" s="10">
        <v>2010</v>
      </c>
      <c r="J4637" s="10" t="s">
        <v>22211</v>
      </c>
      <c r="K4637" s="10">
        <v>185</v>
      </c>
      <c r="L4637" s="10" t="s">
        <v>25176</v>
      </c>
      <c r="M4637" s="10">
        <v>1</v>
      </c>
      <c r="N4637" s="10"/>
      <c r="O4637" s="10"/>
      <c r="P4637" s="10"/>
      <c r="Q4637" s="10" t="s">
        <v>22166</v>
      </c>
      <c r="R4637" s="10"/>
      <c r="S4637" s="10" t="s">
        <v>53</v>
      </c>
      <c r="T4637" s="10" t="s">
        <v>54</v>
      </c>
    </row>
    <row r="4638" spans="1:20" ht="14.5" x14ac:dyDescent="0.35">
      <c r="A4638" s="10" t="s">
        <v>25178</v>
      </c>
      <c r="B4638" s="10" t="str">
        <f>"9781412981279"</f>
        <v>9781412981279</v>
      </c>
      <c r="C4638" s="10" t="str">
        <f>"9781452298955"</f>
        <v>9781452298955</v>
      </c>
      <c r="D4638" s="10" t="s">
        <v>22210</v>
      </c>
      <c r="E4638" s="10" t="s">
        <v>22211</v>
      </c>
      <c r="F4638" s="10" t="s">
        <v>333</v>
      </c>
      <c r="G4638" s="10" t="s">
        <v>6317</v>
      </c>
      <c r="H4638" s="11">
        <v>40331</v>
      </c>
      <c r="I4638" s="10">
        <v>2010</v>
      </c>
      <c r="J4638" s="10" t="s">
        <v>22211</v>
      </c>
      <c r="K4638" s="10">
        <v>161</v>
      </c>
      <c r="L4638" s="10" t="s">
        <v>23548</v>
      </c>
      <c r="M4638" s="10">
        <v>1</v>
      </c>
      <c r="N4638" s="10" t="s">
        <v>23158</v>
      </c>
      <c r="O4638" s="10"/>
      <c r="P4638" s="10"/>
      <c r="Q4638" s="10" t="s">
        <v>18116</v>
      </c>
      <c r="R4638" s="10"/>
      <c r="S4638" s="10" t="s">
        <v>53</v>
      </c>
      <c r="T4638" s="10" t="s">
        <v>54</v>
      </c>
    </row>
    <row r="4639" spans="1:20" ht="14.5" x14ac:dyDescent="0.35">
      <c r="A4639" s="10" t="s">
        <v>25179</v>
      </c>
      <c r="B4639" s="10" t="str">
        <f>"9781412940498"</f>
        <v>9781412940498</v>
      </c>
      <c r="C4639" s="10" t="str">
        <f>"9781483302126"</f>
        <v>9781483302126</v>
      </c>
      <c r="D4639" s="10" t="s">
        <v>22210</v>
      </c>
      <c r="E4639" s="10" t="s">
        <v>22214</v>
      </c>
      <c r="F4639" s="10" t="s">
        <v>333</v>
      </c>
      <c r="G4639" s="10" t="s">
        <v>6317</v>
      </c>
      <c r="H4639" s="11">
        <v>39665</v>
      </c>
      <c r="I4639" s="10">
        <v>2009</v>
      </c>
      <c r="J4639" s="10" t="s">
        <v>22214</v>
      </c>
      <c r="K4639" s="10">
        <v>481</v>
      </c>
      <c r="L4639" s="10" t="s">
        <v>25180</v>
      </c>
      <c r="M4639" s="10">
        <v>1</v>
      </c>
      <c r="N4639" s="10"/>
      <c r="O4639" s="10"/>
      <c r="P4639" s="10"/>
      <c r="Q4639" s="10"/>
      <c r="R4639" s="10"/>
      <c r="S4639" s="10" t="s">
        <v>53</v>
      </c>
      <c r="T4639" s="10" t="s">
        <v>54</v>
      </c>
    </row>
    <row r="4640" spans="1:20" ht="14.5" x14ac:dyDescent="0.35">
      <c r="A4640" s="10" t="s">
        <v>25181</v>
      </c>
      <c r="B4640" s="10" t="str">
        <f>"9781412968560"</f>
        <v>9781412968560</v>
      </c>
      <c r="C4640" s="10" t="str">
        <f>"9781483302133"</f>
        <v>9781483302133</v>
      </c>
      <c r="D4640" s="10" t="s">
        <v>22210</v>
      </c>
      <c r="E4640" s="10" t="s">
        <v>22214</v>
      </c>
      <c r="F4640" s="10" t="s">
        <v>333</v>
      </c>
      <c r="G4640" s="10" t="s">
        <v>6317</v>
      </c>
      <c r="H4640" s="11">
        <v>40101</v>
      </c>
      <c r="I4640" s="10">
        <v>2010</v>
      </c>
      <c r="J4640" s="10" t="s">
        <v>22214</v>
      </c>
      <c r="K4640" s="10">
        <v>401</v>
      </c>
      <c r="L4640" s="10" t="s">
        <v>25182</v>
      </c>
      <c r="M4640" s="10">
        <v>2</v>
      </c>
      <c r="N4640" s="10"/>
      <c r="O4640" s="10"/>
      <c r="P4640" s="10"/>
      <c r="Q4640" s="10">
        <v>372.83</v>
      </c>
      <c r="R4640" s="10"/>
      <c r="S4640" s="10" t="s">
        <v>53</v>
      </c>
      <c r="T4640" s="10" t="s">
        <v>54</v>
      </c>
    </row>
    <row r="4641" spans="1:20" ht="14.5" x14ac:dyDescent="0.35">
      <c r="A4641" s="10" t="s">
        <v>25183</v>
      </c>
      <c r="B4641" s="10" t="str">
        <f>"9781118531921"</f>
        <v>9781118531921</v>
      </c>
      <c r="C4641" s="10" t="str">
        <f>"9781118552223"</f>
        <v>9781118552223</v>
      </c>
      <c r="D4641" s="10" t="s">
        <v>6322</v>
      </c>
      <c r="E4641" s="10" t="s">
        <v>6323</v>
      </c>
      <c r="F4641" s="10" t="s">
        <v>4423</v>
      </c>
      <c r="G4641" s="10" t="s">
        <v>6317</v>
      </c>
      <c r="H4641" s="11">
        <v>41386</v>
      </c>
      <c r="I4641" s="10">
        <v>2013</v>
      </c>
      <c r="J4641" s="10" t="s">
        <v>6324</v>
      </c>
      <c r="K4641" s="10">
        <v>287</v>
      </c>
      <c r="L4641" s="10" t="s">
        <v>17519</v>
      </c>
      <c r="M4641" s="10">
        <v>1</v>
      </c>
      <c r="N4641" s="10" t="s">
        <v>25184</v>
      </c>
      <c r="O4641" s="10"/>
      <c r="P4641" s="10"/>
      <c r="Q4641" s="10">
        <v>378.11099999999999</v>
      </c>
      <c r="R4641" s="10" t="s">
        <v>25185</v>
      </c>
      <c r="S4641" s="10" t="s">
        <v>53</v>
      </c>
      <c r="T4641" s="10" t="s">
        <v>54</v>
      </c>
    </row>
    <row r="4642" spans="1:20" ht="14.5" x14ac:dyDescent="0.35">
      <c r="A4642" s="10" t="s">
        <v>25186</v>
      </c>
      <c r="B4642" s="10" t="str">
        <f>"9780816680481"</f>
        <v>9780816680481</v>
      </c>
      <c r="C4642" s="10" t="str">
        <f>"9780816689088"</f>
        <v>9780816689088</v>
      </c>
      <c r="D4642" s="10" t="s">
        <v>11428</v>
      </c>
      <c r="E4642" s="10" t="s">
        <v>11428</v>
      </c>
      <c r="F4642" s="10" t="s">
        <v>2186</v>
      </c>
      <c r="G4642" s="10" t="s">
        <v>6317</v>
      </c>
      <c r="H4642" s="11">
        <v>41355</v>
      </c>
      <c r="I4642" s="10">
        <v>2013</v>
      </c>
      <c r="J4642" s="10" t="s">
        <v>11428</v>
      </c>
      <c r="K4642" s="10">
        <v>345</v>
      </c>
      <c r="L4642" s="10" t="s">
        <v>25187</v>
      </c>
      <c r="M4642" s="10">
        <v>1</v>
      </c>
      <c r="N4642" s="10" t="s">
        <v>25188</v>
      </c>
      <c r="O4642" s="10"/>
      <c r="P4642" s="10" t="s">
        <v>25189</v>
      </c>
      <c r="Q4642" s="10">
        <v>371.05099689999997</v>
      </c>
      <c r="R4642" s="10" t="s">
        <v>25190</v>
      </c>
      <c r="S4642" s="10" t="s">
        <v>53</v>
      </c>
      <c r="T4642" s="10" t="s">
        <v>54</v>
      </c>
    </row>
    <row r="4643" spans="1:20" ht="14.5" x14ac:dyDescent="0.35">
      <c r="A4643" s="10" t="s">
        <v>25191</v>
      </c>
      <c r="B4643" s="10" t="str">
        <f>"9781118336724"</f>
        <v>9781118336724</v>
      </c>
      <c r="C4643" s="10" t="str">
        <f>"9781118419977"</f>
        <v>9781118419977</v>
      </c>
      <c r="D4643" s="10" t="s">
        <v>6322</v>
      </c>
      <c r="E4643" s="10" t="s">
        <v>6323</v>
      </c>
      <c r="F4643" s="10" t="s">
        <v>4423</v>
      </c>
      <c r="G4643" s="10" t="s">
        <v>6317</v>
      </c>
      <c r="H4643" s="11">
        <v>41386</v>
      </c>
      <c r="I4643" s="10">
        <v>2013</v>
      </c>
      <c r="J4643" s="10" t="s">
        <v>6324</v>
      </c>
      <c r="K4643" s="10">
        <v>243</v>
      </c>
      <c r="L4643" s="10" t="s">
        <v>25192</v>
      </c>
      <c r="M4643" s="10">
        <v>2</v>
      </c>
      <c r="N4643" s="10"/>
      <c r="O4643" s="10"/>
      <c r="P4643" s="10"/>
      <c r="Q4643" s="10" t="s">
        <v>24601</v>
      </c>
      <c r="R4643" s="10" t="s">
        <v>25193</v>
      </c>
      <c r="S4643" s="10" t="s">
        <v>53</v>
      </c>
      <c r="T4643" s="10" t="s">
        <v>54</v>
      </c>
    </row>
    <row r="4644" spans="1:20" ht="14.5" x14ac:dyDescent="0.35">
      <c r="A4644" s="10" t="s">
        <v>25194</v>
      </c>
      <c r="B4644" s="10" t="str">
        <f>"9781118496756"</f>
        <v>9781118496756</v>
      </c>
      <c r="C4644" s="10" t="str">
        <f>"9781118591925"</f>
        <v>9781118591925</v>
      </c>
      <c r="D4644" s="10" t="s">
        <v>6322</v>
      </c>
      <c r="E4644" s="10" t="s">
        <v>6323</v>
      </c>
      <c r="F4644" s="10" t="s">
        <v>4423</v>
      </c>
      <c r="G4644" s="10" t="s">
        <v>6317</v>
      </c>
      <c r="H4644" s="11">
        <v>41386</v>
      </c>
      <c r="I4644" s="10">
        <v>2013</v>
      </c>
      <c r="J4644" s="10" t="s">
        <v>25195</v>
      </c>
      <c r="K4644" s="10">
        <v>363</v>
      </c>
      <c r="L4644" s="10" t="s">
        <v>25196</v>
      </c>
      <c r="M4644" s="10">
        <v>1</v>
      </c>
      <c r="N4644" s="10"/>
      <c r="O4644" s="10"/>
      <c r="P4644" s="10"/>
      <c r="Q4644" s="10">
        <v>378.1662</v>
      </c>
      <c r="R4644" s="10" t="s">
        <v>25197</v>
      </c>
      <c r="S4644" s="10" t="s">
        <v>53</v>
      </c>
      <c r="T4644" s="10" t="s">
        <v>54</v>
      </c>
    </row>
    <row r="4645" spans="1:20" ht="14.5" x14ac:dyDescent="0.35">
      <c r="A4645" s="10" t="s">
        <v>25198</v>
      </c>
      <c r="B4645" s="10" t="str">
        <f>"9781416615057"</f>
        <v>9781416615057</v>
      </c>
      <c r="C4645" s="10" t="str">
        <f>"9781416615699"</f>
        <v>9781416615699</v>
      </c>
      <c r="D4645" s="10" t="s">
        <v>10014</v>
      </c>
      <c r="E4645" s="10" t="s">
        <v>10015</v>
      </c>
      <c r="F4645" s="10" t="s">
        <v>201</v>
      </c>
      <c r="G4645" s="10" t="s">
        <v>6317</v>
      </c>
      <c r="H4645" s="11">
        <v>41363</v>
      </c>
      <c r="I4645" s="10">
        <v>2013</v>
      </c>
      <c r="J4645" s="10" t="s">
        <v>10015</v>
      </c>
      <c r="K4645" s="10">
        <v>130</v>
      </c>
      <c r="L4645" s="10" t="s">
        <v>25199</v>
      </c>
      <c r="M4645" s="10">
        <v>1</v>
      </c>
      <c r="N4645" s="10"/>
      <c r="O4645" s="10"/>
      <c r="P4645" s="10" t="s">
        <v>25200</v>
      </c>
      <c r="Q4645" s="10" t="s">
        <v>22300</v>
      </c>
      <c r="R4645" s="10" t="s">
        <v>25201</v>
      </c>
      <c r="S4645" s="10" t="s">
        <v>53</v>
      </c>
      <c r="T4645" s="10" t="s">
        <v>54</v>
      </c>
    </row>
    <row r="4646" spans="1:20" ht="14.5" x14ac:dyDescent="0.35">
      <c r="A4646" s="10" t="s">
        <v>25202</v>
      </c>
      <c r="B4646" s="10" t="str">
        <f>"9781408163948"</f>
        <v>9781408163948</v>
      </c>
      <c r="C4646" s="10" t="str">
        <f>"9781408193211"</f>
        <v>9781408193211</v>
      </c>
      <c r="D4646" s="10" t="s">
        <v>13959</v>
      </c>
      <c r="E4646" s="10" t="s">
        <v>13960</v>
      </c>
      <c r="F4646" s="10" t="s">
        <v>139</v>
      </c>
      <c r="G4646" s="10" t="s">
        <v>6352</v>
      </c>
      <c r="H4646" s="11">
        <v>41235</v>
      </c>
      <c r="I4646" s="10">
        <v>2013</v>
      </c>
      <c r="J4646" s="10" t="s">
        <v>25203</v>
      </c>
      <c r="K4646" s="10">
        <v>209</v>
      </c>
      <c r="L4646" s="10" t="s">
        <v>25204</v>
      </c>
      <c r="M4646" s="10">
        <v>1</v>
      </c>
      <c r="N4646" s="10" t="s">
        <v>25205</v>
      </c>
      <c r="O4646" s="10"/>
      <c r="P4646" s="10" t="s">
        <v>25206</v>
      </c>
      <c r="Q4646" s="10">
        <v>372.21094199999999</v>
      </c>
      <c r="R4646" s="10" t="s">
        <v>25207</v>
      </c>
      <c r="S4646" s="10" t="s">
        <v>53</v>
      </c>
      <c r="T4646" s="10" t="s">
        <v>54</v>
      </c>
    </row>
    <row r="4647" spans="1:20" ht="14.5" x14ac:dyDescent="0.35">
      <c r="A4647" s="10" t="s">
        <v>25208</v>
      </c>
      <c r="B4647" s="10" t="str">
        <f>"9780739134481"</f>
        <v>9780739134481</v>
      </c>
      <c r="C4647" s="10" t="str">
        <f>"9780739134504"</f>
        <v>9780739134504</v>
      </c>
      <c r="D4647" s="10" t="s">
        <v>9752</v>
      </c>
      <c r="E4647" s="10" t="s">
        <v>15182</v>
      </c>
      <c r="F4647" s="10" t="s">
        <v>9754</v>
      </c>
      <c r="G4647" s="10" t="s">
        <v>6317</v>
      </c>
      <c r="H4647" s="11">
        <v>40352</v>
      </c>
      <c r="I4647" s="10">
        <v>2010</v>
      </c>
      <c r="J4647" s="10" t="s">
        <v>15182</v>
      </c>
      <c r="K4647" s="10">
        <v>173</v>
      </c>
      <c r="L4647" s="10" t="s">
        <v>25209</v>
      </c>
      <c r="M4647" s="10">
        <v>1</v>
      </c>
      <c r="N4647" s="10"/>
      <c r="O4647" s="10"/>
      <c r="P4647" s="10" t="s">
        <v>25210</v>
      </c>
      <c r="Q4647" s="10" t="s">
        <v>18499</v>
      </c>
      <c r="R4647" s="10" t="s">
        <v>25211</v>
      </c>
      <c r="S4647" s="10" t="s">
        <v>53</v>
      </c>
      <c r="T4647" s="10" t="s">
        <v>54</v>
      </c>
    </row>
    <row r="4648" spans="1:20" ht="14.5" x14ac:dyDescent="0.35">
      <c r="A4648" s="10" t="s">
        <v>25212</v>
      </c>
      <c r="B4648" s="10" t="str">
        <f>"9781578862443"</f>
        <v>9781578862443</v>
      </c>
      <c r="C4648" s="10" t="str">
        <f>"9781461649199"</f>
        <v>9781461649199</v>
      </c>
      <c r="D4648" s="10" t="s">
        <v>9752</v>
      </c>
      <c r="E4648" s="10" t="s">
        <v>15192</v>
      </c>
      <c r="F4648" s="10" t="s">
        <v>9754</v>
      </c>
      <c r="G4648" s="10" t="s">
        <v>6317</v>
      </c>
      <c r="H4648" s="11">
        <v>38484</v>
      </c>
      <c r="I4648" s="10">
        <v>2005</v>
      </c>
      <c r="J4648" s="10" t="s">
        <v>15192</v>
      </c>
      <c r="K4648" s="10">
        <v>322</v>
      </c>
      <c r="L4648" s="10" t="s">
        <v>25213</v>
      </c>
      <c r="M4648" s="10">
        <v>1</v>
      </c>
      <c r="N4648" s="10"/>
      <c r="O4648" s="10"/>
      <c r="P4648" s="10" t="s">
        <v>25214</v>
      </c>
      <c r="Q4648" s="10">
        <v>371.10199999999998</v>
      </c>
      <c r="R4648" s="10" t="s">
        <v>25215</v>
      </c>
      <c r="S4648" s="10" t="s">
        <v>53</v>
      </c>
      <c r="T4648" s="10" t="s">
        <v>54</v>
      </c>
    </row>
    <row r="4649" spans="1:20" ht="14.5" x14ac:dyDescent="0.35">
      <c r="A4649" s="10" t="s">
        <v>25216</v>
      </c>
      <c r="B4649" s="10" t="str">
        <f>"9781443832090"</f>
        <v>9781443832090</v>
      </c>
      <c r="C4649" s="10" t="str">
        <f>"9781443832540"</f>
        <v>9781443832540</v>
      </c>
      <c r="D4649" s="10" t="s">
        <v>23635</v>
      </c>
      <c r="E4649" s="10" t="s">
        <v>23635</v>
      </c>
      <c r="F4649" s="10" t="s">
        <v>23636</v>
      </c>
      <c r="G4649" s="10" t="s">
        <v>6352</v>
      </c>
      <c r="H4649" s="11">
        <v>40765</v>
      </c>
      <c r="I4649" s="10">
        <v>2011</v>
      </c>
      <c r="J4649" s="10" t="s">
        <v>23635</v>
      </c>
      <c r="K4649" s="10">
        <v>159</v>
      </c>
      <c r="L4649" s="10" t="s">
        <v>25217</v>
      </c>
      <c r="M4649" s="10">
        <v>1</v>
      </c>
      <c r="N4649" s="10"/>
      <c r="O4649" s="10"/>
      <c r="P4649" s="10" t="s">
        <v>25218</v>
      </c>
      <c r="Q4649" s="10" t="s">
        <v>10094</v>
      </c>
      <c r="R4649" s="10" t="s">
        <v>25219</v>
      </c>
      <c r="S4649" s="10" t="s">
        <v>53</v>
      </c>
      <c r="T4649" s="10" t="s">
        <v>54</v>
      </c>
    </row>
    <row r="4650" spans="1:20" ht="14.5" x14ac:dyDescent="0.35">
      <c r="A4650" s="10" t="s">
        <v>25220</v>
      </c>
      <c r="B4650" s="10" t="str">
        <f>"9781443823357"</f>
        <v>9781443823357</v>
      </c>
      <c r="C4650" s="10" t="str">
        <f>"9781443823487"</f>
        <v>9781443823487</v>
      </c>
      <c r="D4650" s="10" t="s">
        <v>23635</v>
      </c>
      <c r="E4650" s="10" t="s">
        <v>23635</v>
      </c>
      <c r="F4650" s="10" t="s">
        <v>23636</v>
      </c>
      <c r="G4650" s="10" t="s">
        <v>6352</v>
      </c>
      <c r="H4650" s="11">
        <v>40402</v>
      </c>
      <c r="I4650" s="10">
        <v>2010</v>
      </c>
      <c r="J4650" s="10" t="s">
        <v>23635</v>
      </c>
      <c r="K4650" s="10">
        <v>105</v>
      </c>
      <c r="L4650" s="10" t="s">
        <v>25221</v>
      </c>
      <c r="M4650" s="10">
        <v>1</v>
      </c>
      <c r="N4650" s="10"/>
      <c r="O4650" s="10"/>
      <c r="P4650" s="10" t="s">
        <v>25222</v>
      </c>
      <c r="Q4650" s="10">
        <v>371.33</v>
      </c>
      <c r="R4650" s="10" t="s">
        <v>25223</v>
      </c>
      <c r="S4650" s="10" t="s">
        <v>53</v>
      </c>
      <c r="T4650" s="10" t="s">
        <v>54</v>
      </c>
    </row>
    <row r="4651" spans="1:20" ht="14.5" x14ac:dyDescent="0.35">
      <c r="A4651" s="10" t="s">
        <v>25224</v>
      </c>
      <c r="B4651" s="10" t="str">
        <f>"9780789016232"</f>
        <v>9780789016232</v>
      </c>
      <c r="C4651" s="10" t="str">
        <f>"9781136401688"</f>
        <v>9781136401688</v>
      </c>
      <c r="D4651" s="10" t="s">
        <v>6350</v>
      </c>
      <c r="E4651" s="10" t="s">
        <v>6351</v>
      </c>
      <c r="F4651" s="10" t="s">
        <v>748</v>
      </c>
      <c r="G4651" s="10" t="s">
        <v>6352</v>
      </c>
      <c r="H4651" s="11">
        <v>38146</v>
      </c>
      <c r="I4651" s="10">
        <v>2004</v>
      </c>
      <c r="J4651" s="10" t="s">
        <v>6351</v>
      </c>
      <c r="K4651" s="10">
        <v>396</v>
      </c>
      <c r="L4651" s="10" t="s">
        <v>25225</v>
      </c>
      <c r="M4651" s="10">
        <v>1</v>
      </c>
      <c r="N4651" s="10"/>
      <c r="O4651" s="10"/>
      <c r="P4651" s="10" t="s">
        <v>25226</v>
      </c>
      <c r="Q4651" s="10">
        <v>658.8</v>
      </c>
      <c r="R4651" s="10" t="s">
        <v>25227</v>
      </c>
      <c r="S4651" s="10" t="s">
        <v>53</v>
      </c>
      <c r="T4651" s="10" t="s">
        <v>8760</v>
      </c>
    </row>
    <row r="4652" spans="1:20" ht="14.5" x14ac:dyDescent="0.35">
      <c r="A4652" s="10" t="s">
        <v>25228</v>
      </c>
      <c r="B4652" s="10" t="str">
        <f>"9781843122296"</f>
        <v>9781843122296</v>
      </c>
      <c r="C4652" s="10" t="str">
        <f>"9781136605666"</f>
        <v>9781136605666</v>
      </c>
      <c r="D4652" s="10" t="s">
        <v>6350</v>
      </c>
      <c r="E4652" s="10" t="s">
        <v>15120</v>
      </c>
      <c r="F4652" s="10" t="s">
        <v>748</v>
      </c>
      <c r="G4652" s="10" t="s">
        <v>6352</v>
      </c>
      <c r="H4652" s="11">
        <v>38291</v>
      </c>
      <c r="I4652" s="10">
        <v>2004</v>
      </c>
      <c r="J4652" s="10" t="s">
        <v>15120</v>
      </c>
      <c r="K4652" s="10">
        <v>377</v>
      </c>
      <c r="L4652" s="10" t="s">
        <v>25229</v>
      </c>
      <c r="M4652" s="10">
        <v>1</v>
      </c>
      <c r="N4652" s="10"/>
      <c r="O4652" s="10"/>
      <c r="P4652" s="10" t="s">
        <v>25230</v>
      </c>
      <c r="Q4652" s="10" t="s">
        <v>25231</v>
      </c>
      <c r="R4652" s="10" t="s">
        <v>18055</v>
      </c>
      <c r="S4652" s="10" t="s">
        <v>53</v>
      </c>
      <c r="T4652" s="10" t="s">
        <v>54</v>
      </c>
    </row>
    <row r="4653" spans="1:20" ht="14.5" x14ac:dyDescent="0.35">
      <c r="A4653" s="10" t="s">
        <v>25232</v>
      </c>
      <c r="B4653" s="10" t="str">
        <f>"9781853469671"</f>
        <v>9781853469671</v>
      </c>
      <c r="C4653" s="10" t="str">
        <f>"9781136636370"</f>
        <v>9781136636370</v>
      </c>
      <c r="D4653" s="10" t="s">
        <v>6350</v>
      </c>
      <c r="E4653" s="10" t="s">
        <v>15120</v>
      </c>
      <c r="F4653" s="10" t="s">
        <v>748</v>
      </c>
      <c r="G4653" s="10" t="s">
        <v>6352</v>
      </c>
      <c r="H4653" s="11">
        <v>38303</v>
      </c>
      <c r="I4653" s="10">
        <v>2003</v>
      </c>
      <c r="J4653" s="10" t="s">
        <v>15120</v>
      </c>
      <c r="K4653" s="10">
        <v>105</v>
      </c>
      <c r="L4653" s="10" t="s">
        <v>25233</v>
      </c>
      <c r="M4653" s="10">
        <v>1</v>
      </c>
      <c r="N4653" s="10"/>
      <c r="O4653" s="10"/>
      <c r="P4653" s="10" t="s">
        <v>25234</v>
      </c>
      <c r="Q4653" s="10" t="s">
        <v>25235</v>
      </c>
      <c r="R4653" s="10" t="s">
        <v>25236</v>
      </c>
      <c r="S4653" s="10" t="s">
        <v>53</v>
      </c>
      <c r="T4653" s="10" t="s">
        <v>54</v>
      </c>
    </row>
    <row r="4654" spans="1:20" ht="14.5" x14ac:dyDescent="0.35">
      <c r="A4654" s="10" t="s">
        <v>25237</v>
      </c>
      <c r="B4654" s="10" t="str">
        <f>"9781843122319"</f>
        <v>9781843122319</v>
      </c>
      <c r="C4654" s="10" t="str">
        <f>"9781136606229"</f>
        <v>9781136606229</v>
      </c>
      <c r="D4654" s="10" t="s">
        <v>6350</v>
      </c>
      <c r="E4654" s="10" t="s">
        <v>15120</v>
      </c>
      <c r="F4654" s="10" t="s">
        <v>748</v>
      </c>
      <c r="G4654" s="10" t="s">
        <v>6352</v>
      </c>
      <c r="H4654" s="11">
        <v>38291</v>
      </c>
      <c r="I4654" s="10">
        <v>2005</v>
      </c>
      <c r="J4654" s="10" t="s">
        <v>15120</v>
      </c>
      <c r="K4654" s="10">
        <v>417</v>
      </c>
      <c r="L4654" s="10" t="s">
        <v>25229</v>
      </c>
      <c r="M4654" s="10">
        <v>1</v>
      </c>
      <c r="N4654" s="10"/>
      <c r="O4654" s="10"/>
      <c r="P4654" s="10" t="s">
        <v>25238</v>
      </c>
      <c r="Q4654" s="10">
        <v>370.15280000000001</v>
      </c>
      <c r="R4654" s="10" t="s">
        <v>11395</v>
      </c>
      <c r="S4654" s="10" t="s">
        <v>53</v>
      </c>
      <c r="T4654" s="10" t="s">
        <v>54</v>
      </c>
    </row>
    <row r="4655" spans="1:20" ht="14.5" x14ac:dyDescent="0.35">
      <c r="A4655" s="10" t="s">
        <v>25239</v>
      </c>
      <c r="B4655" s="10" t="str">
        <f>"9780415197588"</f>
        <v>9780415197588</v>
      </c>
      <c r="C4655" s="10" t="str">
        <f>"9781134737840"</f>
        <v>9781134737840</v>
      </c>
      <c r="D4655" s="10" t="s">
        <v>6350</v>
      </c>
      <c r="E4655" s="10" t="s">
        <v>6351</v>
      </c>
      <c r="F4655" s="10" t="s">
        <v>5406</v>
      </c>
      <c r="G4655" s="10" t="s">
        <v>6352</v>
      </c>
      <c r="H4655" s="11">
        <v>36817</v>
      </c>
      <c r="I4655" s="10">
        <v>1966</v>
      </c>
      <c r="J4655" s="10" t="s">
        <v>6353</v>
      </c>
      <c r="K4655" s="10">
        <v>241</v>
      </c>
      <c r="L4655" s="10" t="s">
        <v>25240</v>
      </c>
      <c r="M4655" s="10">
        <v>1</v>
      </c>
      <c r="N4655" s="10"/>
      <c r="O4655" s="10"/>
      <c r="P4655" s="10" t="s">
        <v>25241</v>
      </c>
      <c r="Q4655" s="10" t="s">
        <v>6576</v>
      </c>
      <c r="R4655" s="10" t="s">
        <v>7322</v>
      </c>
      <c r="S4655" s="10" t="s">
        <v>53</v>
      </c>
      <c r="T4655" s="10" t="s">
        <v>54</v>
      </c>
    </row>
    <row r="4656" spans="1:20" ht="14.5" x14ac:dyDescent="0.35">
      <c r="A4656" s="10" t="s">
        <v>25242</v>
      </c>
      <c r="B4656" s="10" t="str">
        <f>"9781843122302"</f>
        <v>9781843122302</v>
      </c>
      <c r="C4656" s="10" t="str">
        <f>"9781136605949"</f>
        <v>9781136605949</v>
      </c>
      <c r="D4656" s="10" t="s">
        <v>6350</v>
      </c>
      <c r="E4656" s="10" t="s">
        <v>15120</v>
      </c>
      <c r="F4656" s="10" t="s">
        <v>748</v>
      </c>
      <c r="G4656" s="10" t="s">
        <v>6352</v>
      </c>
      <c r="H4656" s="11">
        <v>38137</v>
      </c>
      <c r="I4656" s="10">
        <v>2004</v>
      </c>
      <c r="J4656" s="10" t="s">
        <v>15120</v>
      </c>
      <c r="K4656" s="10">
        <v>377</v>
      </c>
      <c r="L4656" s="10" t="s">
        <v>25229</v>
      </c>
      <c r="M4656" s="10">
        <v>1</v>
      </c>
      <c r="N4656" s="10"/>
      <c r="O4656" s="10"/>
      <c r="P4656" s="10" t="s">
        <v>25243</v>
      </c>
      <c r="Q4656" s="10" t="s">
        <v>25231</v>
      </c>
      <c r="R4656" s="10" t="s">
        <v>25244</v>
      </c>
      <c r="S4656" s="10" t="s">
        <v>53</v>
      </c>
      <c r="T4656" s="10" t="s">
        <v>54</v>
      </c>
    </row>
    <row r="4657" spans="1:20" ht="14.5" x14ac:dyDescent="0.35">
      <c r="A4657" s="10" t="s">
        <v>25245</v>
      </c>
      <c r="B4657" s="10" t="str">
        <f>"9780822329282"</f>
        <v>9780822329282</v>
      </c>
      <c r="C4657" s="10" t="str">
        <f>"9780822383963"</f>
        <v>9780822383963</v>
      </c>
      <c r="D4657" s="10" t="s">
        <v>25246</v>
      </c>
      <c r="E4657" s="10" t="s">
        <v>25246</v>
      </c>
      <c r="F4657" s="10" t="s">
        <v>897</v>
      </c>
      <c r="G4657" s="10" t="s">
        <v>6317</v>
      </c>
      <c r="H4657" s="11">
        <v>37589</v>
      </c>
      <c r="I4657" s="10">
        <v>2002</v>
      </c>
      <c r="J4657" s="10" t="s">
        <v>25246</v>
      </c>
      <c r="K4657" s="10">
        <v>431</v>
      </c>
      <c r="L4657" s="10" t="s">
        <v>25247</v>
      </c>
      <c r="M4657" s="10">
        <v>1</v>
      </c>
      <c r="N4657" s="10"/>
      <c r="O4657" s="10"/>
      <c r="P4657" s="10" t="s">
        <v>25248</v>
      </c>
      <c r="Q4657" s="10" t="s">
        <v>25249</v>
      </c>
      <c r="R4657" s="10" t="s">
        <v>25250</v>
      </c>
      <c r="S4657" s="10" t="s">
        <v>53</v>
      </c>
      <c r="T4657" s="10" t="s">
        <v>54</v>
      </c>
    </row>
    <row r="4658" spans="1:20" ht="14.5" x14ac:dyDescent="0.35">
      <c r="A4658" s="10" t="s">
        <v>25251</v>
      </c>
      <c r="B4658" s="10" t="str">
        <f>"9780822329572"</f>
        <v>9780822329572</v>
      </c>
      <c r="C4658" s="10" t="str">
        <f>"9780822384199"</f>
        <v>9780822384199</v>
      </c>
      <c r="D4658" s="10" t="s">
        <v>25246</v>
      </c>
      <c r="E4658" s="10" t="s">
        <v>25246</v>
      </c>
      <c r="F4658" s="10" t="s">
        <v>897</v>
      </c>
      <c r="G4658" s="10" t="s">
        <v>6317</v>
      </c>
      <c r="H4658" s="11">
        <v>37550</v>
      </c>
      <c r="I4658" s="10">
        <v>2002</v>
      </c>
      <c r="J4658" s="10" t="s">
        <v>25246</v>
      </c>
      <c r="K4658" s="10">
        <v>631</v>
      </c>
      <c r="L4658" s="10" t="s">
        <v>25252</v>
      </c>
      <c r="M4658" s="10">
        <v>1</v>
      </c>
      <c r="N4658" s="10" t="s">
        <v>25253</v>
      </c>
      <c r="O4658" s="10"/>
      <c r="P4658" s="10" t="s">
        <v>25254</v>
      </c>
      <c r="Q4658" s="10" t="s">
        <v>25255</v>
      </c>
      <c r="R4658" s="10"/>
      <c r="S4658" s="10" t="s">
        <v>53</v>
      </c>
      <c r="T4658" s="10" t="s">
        <v>4490</v>
      </c>
    </row>
    <row r="4659" spans="1:20" ht="14.5" x14ac:dyDescent="0.35">
      <c r="A4659" s="10" t="s">
        <v>25256</v>
      </c>
      <c r="B4659" s="10" t="str">
        <f>"9781118399491"</f>
        <v>9781118399491</v>
      </c>
      <c r="C4659" s="10" t="str">
        <f>"9781118602492"</f>
        <v>9781118602492</v>
      </c>
      <c r="D4659" s="10" t="s">
        <v>6322</v>
      </c>
      <c r="E4659" s="10" t="s">
        <v>6323</v>
      </c>
      <c r="F4659" s="10" t="s">
        <v>4423</v>
      </c>
      <c r="G4659" s="10" t="s">
        <v>6317</v>
      </c>
      <c r="H4659" s="11">
        <v>41400</v>
      </c>
      <c r="I4659" s="10">
        <v>2013</v>
      </c>
      <c r="J4659" s="10" t="s">
        <v>6324</v>
      </c>
      <c r="K4659" s="10">
        <v>306</v>
      </c>
      <c r="L4659" s="10" t="s">
        <v>25257</v>
      </c>
      <c r="M4659" s="10">
        <v>1</v>
      </c>
      <c r="N4659" s="10"/>
      <c r="O4659" s="10"/>
      <c r="P4659" s="10"/>
      <c r="Q4659" s="10">
        <v>378.19799999999998</v>
      </c>
      <c r="R4659" s="10" t="s">
        <v>25258</v>
      </c>
      <c r="S4659" s="10" t="s">
        <v>53</v>
      </c>
      <c r="T4659" s="10" t="s">
        <v>54</v>
      </c>
    </row>
    <row r="4660" spans="1:20" ht="14.5" x14ac:dyDescent="0.35">
      <c r="A4660" s="10" t="s">
        <v>25259</v>
      </c>
      <c r="B4660" s="10" t="str">
        <f>"9781118399507"</f>
        <v>9781118399507</v>
      </c>
      <c r="C4660" s="10" t="str">
        <f>"9781118602522"</f>
        <v>9781118602522</v>
      </c>
      <c r="D4660" s="10" t="s">
        <v>6322</v>
      </c>
      <c r="E4660" s="10" t="s">
        <v>6323</v>
      </c>
      <c r="F4660" s="10" t="s">
        <v>4423</v>
      </c>
      <c r="G4660" s="10" t="s">
        <v>6317</v>
      </c>
      <c r="H4660" s="11">
        <v>41400</v>
      </c>
      <c r="I4660" s="10">
        <v>2013</v>
      </c>
      <c r="J4660" s="10" t="s">
        <v>6324</v>
      </c>
      <c r="K4660" s="10">
        <v>162</v>
      </c>
      <c r="L4660" s="10" t="s">
        <v>25257</v>
      </c>
      <c r="M4660" s="10">
        <v>1</v>
      </c>
      <c r="N4660" s="10"/>
      <c r="O4660" s="10"/>
      <c r="P4660" s="10"/>
      <c r="Q4660" s="10">
        <v>378.19799999999998</v>
      </c>
      <c r="R4660" s="10" t="s">
        <v>25260</v>
      </c>
      <c r="S4660" s="10" t="s">
        <v>53</v>
      </c>
      <c r="T4660" s="10" t="s">
        <v>54</v>
      </c>
    </row>
    <row r="4661" spans="1:20" ht="14.5" x14ac:dyDescent="0.35">
      <c r="A4661" s="10" t="s">
        <v>25261</v>
      </c>
      <c r="B4661" s="10" t="str">
        <f>"9781781906538"</f>
        <v>9781781906538</v>
      </c>
      <c r="C4661" s="10" t="str">
        <f>"9781781906545"</f>
        <v>9781781906545</v>
      </c>
      <c r="D4661" s="10" t="s">
        <v>8699</v>
      </c>
      <c r="E4661" s="10" t="s">
        <v>8699</v>
      </c>
      <c r="F4661" s="10" t="s">
        <v>559</v>
      </c>
      <c r="G4661" s="10" t="s">
        <v>6352</v>
      </c>
      <c r="H4661" s="11">
        <v>41368</v>
      </c>
      <c r="I4661" s="10">
        <v>2013</v>
      </c>
      <c r="J4661" s="10" t="s">
        <v>8699</v>
      </c>
      <c r="K4661" s="10">
        <v>339</v>
      </c>
      <c r="L4661" s="10" t="s">
        <v>25262</v>
      </c>
      <c r="M4661" s="10">
        <v>1</v>
      </c>
      <c r="N4661" s="10" t="s">
        <v>14534</v>
      </c>
      <c r="O4661" s="10">
        <v>19</v>
      </c>
      <c r="P4661" s="10" t="s">
        <v>25263</v>
      </c>
      <c r="Q4661" s="10">
        <v>371.1</v>
      </c>
      <c r="R4661" s="10" t="s">
        <v>25264</v>
      </c>
      <c r="S4661" s="10" t="s">
        <v>53</v>
      </c>
      <c r="T4661" s="10" t="s">
        <v>54</v>
      </c>
    </row>
    <row r="4662" spans="1:20" ht="14.5" x14ac:dyDescent="0.35">
      <c r="A4662" s="10" t="s">
        <v>25265</v>
      </c>
      <c r="B4662" s="10" t="str">
        <f>"9781781905159"</f>
        <v>9781781905159</v>
      </c>
      <c r="C4662" s="10" t="str">
        <f>"9781781905166"</f>
        <v>9781781905166</v>
      </c>
      <c r="D4662" s="10" t="s">
        <v>8699</v>
      </c>
      <c r="E4662" s="10" t="s">
        <v>8699</v>
      </c>
      <c r="F4662" s="10" t="s">
        <v>559</v>
      </c>
      <c r="G4662" s="10" t="s">
        <v>6352</v>
      </c>
      <c r="H4662" s="11">
        <v>41366</v>
      </c>
      <c r="I4662" s="10">
        <v>2013</v>
      </c>
      <c r="J4662" s="10" t="s">
        <v>8699</v>
      </c>
      <c r="K4662" s="10">
        <v>434</v>
      </c>
      <c r="L4662" s="10" t="s">
        <v>24710</v>
      </c>
      <c r="M4662" s="10">
        <v>1</v>
      </c>
      <c r="N4662" s="10" t="s">
        <v>18360</v>
      </c>
      <c r="O4662" s="10" t="s">
        <v>25266</v>
      </c>
      <c r="P4662" s="10" t="s">
        <v>25122</v>
      </c>
      <c r="Q4662" s="10">
        <v>371.29129999999998</v>
      </c>
      <c r="R4662" s="10" t="s">
        <v>25267</v>
      </c>
      <c r="S4662" s="10" t="s">
        <v>53</v>
      </c>
      <c r="T4662" s="10" t="s">
        <v>54</v>
      </c>
    </row>
    <row r="4663" spans="1:20" ht="14.5" x14ac:dyDescent="0.35">
      <c r="A4663" s="10" t="s">
        <v>25268</v>
      </c>
      <c r="B4663" s="10" t="str">
        <f>"9781781906217"</f>
        <v>9781781906217</v>
      </c>
      <c r="C4663" s="10" t="str">
        <f>"9781781906224"</f>
        <v>9781781906224</v>
      </c>
      <c r="D4663" s="10" t="s">
        <v>8699</v>
      </c>
      <c r="E4663" s="10" t="s">
        <v>8699</v>
      </c>
      <c r="F4663" s="10" t="s">
        <v>559</v>
      </c>
      <c r="G4663" s="10" t="s">
        <v>6352</v>
      </c>
      <c r="H4663" s="11">
        <v>41387</v>
      </c>
      <c r="I4663" s="10">
        <v>2013</v>
      </c>
      <c r="J4663" s="10" t="s">
        <v>8699</v>
      </c>
      <c r="K4663" s="10">
        <v>296</v>
      </c>
      <c r="L4663" s="10" t="s">
        <v>25269</v>
      </c>
      <c r="M4663" s="10">
        <v>1</v>
      </c>
      <c r="N4663" s="10" t="s">
        <v>25270</v>
      </c>
      <c r="O4663" s="10">
        <v>1</v>
      </c>
      <c r="P4663" s="10" t="s">
        <v>25271</v>
      </c>
      <c r="Q4663" s="10">
        <v>371.10089960729999</v>
      </c>
      <c r="R4663" s="10" t="s">
        <v>25272</v>
      </c>
      <c r="S4663" s="10" t="s">
        <v>53</v>
      </c>
      <c r="T4663" s="10" t="s">
        <v>54</v>
      </c>
    </row>
    <row r="4664" spans="1:20" ht="14.5" x14ac:dyDescent="0.35">
      <c r="A4664" s="10" t="s">
        <v>25273</v>
      </c>
      <c r="B4664" s="10" t="str">
        <f>"9780335246700"</f>
        <v>9780335246700</v>
      </c>
      <c r="C4664" s="10" t="str">
        <f>"9780335246717"</f>
        <v>9780335246717</v>
      </c>
      <c r="D4664" s="10" t="s">
        <v>10342</v>
      </c>
      <c r="E4664" s="10" t="s">
        <v>10343</v>
      </c>
      <c r="F4664" s="10" t="s">
        <v>10344</v>
      </c>
      <c r="G4664" s="10" t="s">
        <v>6352</v>
      </c>
      <c r="H4664" s="11">
        <v>41365</v>
      </c>
      <c r="I4664" s="10">
        <v>2013</v>
      </c>
      <c r="J4664" s="10" t="s">
        <v>10345</v>
      </c>
      <c r="K4664" s="10">
        <v>186</v>
      </c>
      <c r="L4664" s="10" t="s">
        <v>25274</v>
      </c>
      <c r="M4664" s="10">
        <v>1</v>
      </c>
      <c r="N4664" s="10" t="s">
        <v>10347</v>
      </c>
      <c r="O4664" s="10"/>
      <c r="P4664" s="10" t="s">
        <v>25275</v>
      </c>
      <c r="Q4664" s="10">
        <v>372.21094099999999</v>
      </c>
      <c r="R4664" s="10" t="s">
        <v>25276</v>
      </c>
      <c r="S4664" s="10" t="s">
        <v>53</v>
      </c>
      <c r="T4664" s="10" t="s">
        <v>54</v>
      </c>
    </row>
    <row r="4665" spans="1:20" ht="14.5" x14ac:dyDescent="0.35">
      <c r="A4665" s="10" t="s">
        <v>25277</v>
      </c>
      <c r="B4665" s="10" t="str">
        <f>"9781118575123"</f>
        <v>9781118575123</v>
      </c>
      <c r="C4665" s="10" t="str">
        <f>"9781118575154"</f>
        <v>9781118575154</v>
      </c>
      <c r="D4665" s="10" t="s">
        <v>6322</v>
      </c>
      <c r="E4665" s="10" t="s">
        <v>6323</v>
      </c>
      <c r="F4665" s="10" t="s">
        <v>6339</v>
      </c>
      <c r="G4665" s="10" t="s">
        <v>6317</v>
      </c>
      <c r="H4665" s="11">
        <v>41379</v>
      </c>
      <c r="I4665" s="10">
        <v>2013</v>
      </c>
      <c r="J4665" s="10" t="s">
        <v>6324</v>
      </c>
      <c r="K4665" s="10">
        <v>354</v>
      </c>
      <c r="L4665" s="10" t="s">
        <v>25278</v>
      </c>
      <c r="M4665" s="10">
        <v>2</v>
      </c>
      <c r="N4665" s="10" t="s">
        <v>25279</v>
      </c>
      <c r="O4665" s="10"/>
      <c r="P4665" s="10" t="s">
        <v>25280</v>
      </c>
      <c r="Q4665" s="10" t="s">
        <v>14668</v>
      </c>
      <c r="R4665" s="10" t="s">
        <v>25281</v>
      </c>
      <c r="S4665" s="10" t="s">
        <v>53</v>
      </c>
      <c r="T4665" s="10" t="s">
        <v>54</v>
      </c>
    </row>
    <row r="4666" spans="1:20" ht="14.5" x14ac:dyDescent="0.35">
      <c r="A4666" s="10" t="s">
        <v>25282</v>
      </c>
      <c r="B4666" s="10" t="str">
        <f>"9780415536325"</f>
        <v>9780415536325</v>
      </c>
      <c r="C4666" s="10" t="str">
        <f>"9781135118129"</f>
        <v>9781135118129</v>
      </c>
      <c r="D4666" s="10" t="s">
        <v>6350</v>
      </c>
      <c r="E4666" s="10" t="s">
        <v>6351</v>
      </c>
      <c r="F4666" s="10" t="s">
        <v>139</v>
      </c>
      <c r="G4666" s="10" t="s">
        <v>6352</v>
      </c>
      <c r="H4666" s="11">
        <v>41417</v>
      </c>
      <c r="I4666" s="10">
        <v>2013</v>
      </c>
      <c r="J4666" s="10" t="s">
        <v>6353</v>
      </c>
      <c r="K4666" s="10">
        <v>257</v>
      </c>
      <c r="L4666" s="10" t="s">
        <v>25283</v>
      </c>
      <c r="M4666" s="10">
        <v>1</v>
      </c>
      <c r="N4666" s="10"/>
      <c r="O4666" s="10"/>
      <c r="P4666" s="10" t="s">
        <v>25284</v>
      </c>
      <c r="Q4666" s="10">
        <v>378</v>
      </c>
      <c r="R4666" s="10" t="s">
        <v>25285</v>
      </c>
      <c r="S4666" s="10" t="s">
        <v>53</v>
      </c>
      <c r="T4666" s="10" t="s">
        <v>54</v>
      </c>
    </row>
    <row r="4667" spans="1:20" ht="14.5" x14ac:dyDescent="0.35">
      <c r="A4667" s="10" t="s">
        <v>25286</v>
      </c>
      <c r="B4667" s="10" t="str">
        <f>"9780415524353"</f>
        <v>9780415524353</v>
      </c>
      <c r="C4667" s="10" t="str">
        <f>"9781136277368"</f>
        <v>9781136277368</v>
      </c>
      <c r="D4667" s="10" t="s">
        <v>6350</v>
      </c>
      <c r="E4667" s="10" t="s">
        <v>6351</v>
      </c>
      <c r="F4667" s="10" t="s">
        <v>748</v>
      </c>
      <c r="G4667" s="10" t="s">
        <v>6352</v>
      </c>
      <c r="H4667" s="11">
        <v>41360</v>
      </c>
      <c r="I4667" s="10">
        <v>2013</v>
      </c>
      <c r="J4667" s="10" t="s">
        <v>6351</v>
      </c>
      <c r="K4667" s="10">
        <v>333</v>
      </c>
      <c r="L4667" s="10" t="s">
        <v>25287</v>
      </c>
      <c r="M4667" s="10">
        <v>1</v>
      </c>
      <c r="N4667" s="10"/>
      <c r="O4667" s="10"/>
      <c r="P4667" s="10" t="s">
        <v>25288</v>
      </c>
      <c r="Q4667" s="10">
        <v>371.33</v>
      </c>
      <c r="R4667" s="10" t="s">
        <v>16636</v>
      </c>
      <c r="S4667" s="10" t="s">
        <v>53</v>
      </c>
      <c r="T4667" s="10" t="s">
        <v>54</v>
      </c>
    </row>
    <row r="4668" spans="1:20" ht="14.5" x14ac:dyDescent="0.35">
      <c r="A4668" s="10" t="s">
        <v>25289</v>
      </c>
      <c r="B4668" s="10" t="str">
        <f>"9780415532037"</f>
        <v>9780415532037</v>
      </c>
      <c r="C4668" s="10" t="str">
        <f>"9781136293894"</f>
        <v>9781136293894</v>
      </c>
      <c r="D4668" s="10" t="s">
        <v>6350</v>
      </c>
      <c r="E4668" s="10" t="s">
        <v>6351</v>
      </c>
      <c r="F4668" s="10" t="s">
        <v>139</v>
      </c>
      <c r="G4668" s="10" t="s">
        <v>6352</v>
      </c>
      <c r="H4668" s="11">
        <v>41369</v>
      </c>
      <c r="I4668" s="10">
        <v>2013</v>
      </c>
      <c r="J4668" s="10" t="s">
        <v>6353</v>
      </c>
      <c r="K4668" s="10">
        <v>264</v>
      </c>
      <c r="L4668" s="10" t="s">
        <v>25290</v>
      </c>
      <c r="M4668" s="10">
        <v>1</v>
      </c>
      <c r="N4668" s="10"/>
      <c r="O4668" s="10"/>
      <c r="P4668" s="10" t="s">
        <v>25291</v>
      </c>
      <c r="Q4668" s="10">
        <v>378.125</v>
      </c>
      <c r="R4668" s="10" t="s">
        <v>24506</v>
      </c>
      <c r="S4668" s="10" t="s">
        <v>53</v>
      </c>
      <c r="T4668" s="10" t="s">
        <v>54</v>
      </c>
    </row>
    <row r="4669" spans="1:20" ht="14.5" x14ac:dyDescent="0.35">
      <c r="A4669" s="10" t="s">
        <v>25292</v>
      </c>
      <c r="B4669" s="10" t="str">
        <f>"9780415523394"</f>
        <v>9780415523394</v>
      </c>
      <c r="C4669" s="10" t="str">
        <f>"9781135904524"</f>
        <v>9781135904524</v>
      </c>
      <c r="D4669" s="10" t="s">
        <v>6350</v>
      </c>
      <c r="E4669" s="10" t="s">
        <v>6351</v>
      </c>
      <c r="F4669" s="10" t="s">
        <v>748</v>
      </c>
      <c r="G4669" s="10" t="s">
        <v>6352</v>
      </c>
      <c r="H4669" s="11">
        <v>41417</v>
      </c>
      <c r="I4669" s="10">
        <v>2013</v>
      </c>
      <c r="J4669" s="10" t="s">
        <v>6351</v>
      </c>
      <c r="K4669" s="10">
        <v>113</v>
      </c>
      <c r="L4669" s="10" t="s">
        <v>25293</v>
      </c>
      <c r="M4669" s="10">
        <v>1</v>
      </c>
      <c r="N4669" s="10" t="s">
        <v>25294</v>
      </c>
      <c r="O4669" s="10"/>
      <c r="P4669" s="10" t="s">
        <v>25295</v>
      </c>
      <c r="Q4669" s="10">
        <v>305.23099999999999</v>
      </c>
      <c r="R4669" s="10" t="s">
        <v>7970</v>
      </c>
      <c r="S4669" s="10" t="s">
        <v>53</v>
      </c>
      <c r="T4669" s="10" t="s">
        <v>6472</v>
      </c>
    </row>
    <row r="4670" spans="1:20" ht="14.5" x14ac:dyDescent="0.35">
      <c r="A4670" s="10" t="s">
        <v>25296</v>
      </c>
      <c r="B4670" s="10" t="str">
        <f>"9780415523424"</f>
        <v>9780415523424</v>
      </c>
      <c r="C4670" s="10" t="str">
        <f>"9781135903961"</f>
        <v>9781135903961</v>
      </c>
      <c r="D4670" s="10" t="s">
        <v>6350</v>
      </c>
      <c r="E4670" s="10" t="s">
        <v>6351</v>
      </c>
      <c r="F4670" s="10" t="s">
        <v>748</v>
      </c>
      <c r="G4670" s="10" t="s">
        <v>6352</v>
      </c>
      <c r="H4670" s="11">
        <v>41397</v>
      </c>
      <c r="I4670" s="10">
        <v>2013</v>
      </c>
      <c r="J4670" s="10" t="s">
        <v>6351</v>
      </c>
      <c r="K4670" s="10">
        <v>114</v>
      </c>
      <c r="L4670" s="10" t="s">
        <v>25297</v>
      </c>
      <c r="M4670" s="10">
        <v>1</v>
      </c>
      <c r="N4670" s="10" t="s">
        <v>25294</v>
      </c>
      <c r="O4670" s="10"/>
      <c r="P4670" s="10" t="s">
        <v>25298</v>
      </c>
      <c r="Q4670" s="10">
        <v>305.23099999999999</v>
      </c>
      <c r="R4670" s="10" t="s">
        <v>25299</v>
      </c>
      <c r="S4670" s="10" t="s">
        <v>53</v>
      </c>
      <c r="T4670" s="10" t="s">
        <v>6363</v>
      </c>
    </row>
    <row r="4671" spans="1:20" ht="14.5" x14ac:dyDescent="0.35">
      <c r="A4671" s="10" t="s">
        <v>25300</v>
      </c>
      <c r="B4671" s="10" t="str">
        <f>"9780415503068"</f>
        <v>9780415503068</v>
      </c>
      <c r="C4671" s="10" t="str">
        <f>"9781135068868"</f>
        <v>9781135068868</v>
      </c>
      <c r="D4671" s="10" t="s">
        <v>6350</v>
      </c>
      <c r="E4671" s="10" t="s">
        <v>6351</v>
      </c>
      <c r="F4671" s="10" t="s">
        <v>139</v>
      </c>
      <c r="G4671" s="10" t="s">
        <v>6352</v>
      </c>
      <c r="H4671" s="11">
        <v>41355</v>
      </c>
      <c r="I4671" s="10">
        <v>2013</v>
      </c>
      <c r="J4671" s="10" t="s">
        <v>6353</v>
      </c>
      <c r="K4671" s="10">
        <v>265</v>
      </c>
      <c r="L4671" s="10" t="s">
        <v>25301</v>
      </c>
      <c r="M4671" s="10">
        <v>1</v>
      </c>
      <c r="N4671" s="10" t="s">
        <v>25302</v>
      </c>
      <c r="O4671" s="10"/>
      <c r="P4671" s="10" t="s">
        <v>25303</v>
      </c>
      <c r="Q4671" s="10">
        <v>306.44909172400003</v>
      </c>
      <c r="R4671" s="10" t="s">
        <v>25304</v>
      </c>
      <c r="S4671" s="10" t="s">
        <v>53</v>
      </c>
      <c r="T4671" s="10" t="s">
        <v>8412</v>
      </c>
    </row>
    <row r="4672" spans="1:20" ht="14.5" x14ac:dyDescent="0.35">
      <c r="A4672" s="10" t="s">
        <v>25305</v>
      </c>
      <c r="B4672" s="10" t="str">
        <f>"9781611684575"</f>
        <v>9781611684575</v>
      </c>
      <c r="C4672" s="10" t="str">
        <f>"9781611684599"</f>
        <v>9781611684599</v>
      </c>
      <c r="D4672" s="10" t="s">
        <v>20156</v>
      </c>
      <c r="E4672" s="10" t="s">
        <v>23675</v>
      </c>
      <c r="F4672" s="10" t="s">
        <v>324</v>
      </c>
      <c r="G4672" s="10" t="s">
        <v>6317</v>
      </c>
      <c r="H4672" s="11">
        <v>41548</v>
      </c>
      <c r="I4672" s="10">
        <v>2013</v>
      </c>
      <c r="J4672" s="10" t="s">
        <v>23675</v>
      </c>
      <c r="K4672" s="10">
        <v>369</v>
      </c>
      <c r="L4672" s="10" t="s">
        <v>25306</v>
      </c>
      <c r="M4672" s="10">
        <v>1</v>
      </c>
      <c r="N4672" s="10" t="s">
        <v>25307</v>
      </c>
      <c r="O4672" s="10"/>
      <c r="P4672" s="10" t="s">
        <v>25308</v>
      </c>
      <c r="Q4672" s="10">
        <v>371.07600000000002</v>
      </c>
      <c r="R4672" s="10" t="s">
        <v>25309</v>
      </c>
      <c r="S4672" s="10" t="s">
        <v>53</v>
      </c>
      <c r="T4672" s="10" t="s">
        <v>54</v>
      </c>
    </row>
    <row r="4673" spans="1:20" ht="14.5" x14ac:dyDescent="0.35">
      <c r="A4673" s="10" t="s">
        <v>25310</v>
      </c>
      <c r="B4673" s="10" t="str">
        <f>"9781611684841"</f>
        <v>9781611684841</v>
      </c>
      <c r="C4673" s="10" t="str">
        <f>"9781611684865"</f>
        <v>9781611684865</v>
      </c>
      <c r="D4673" s="10" t="s">
        <v>20156</v>
      </c>
      <c r="E4673" s="10" t="s">
        <v>23675</v>
      </c>
      <c r="F4673" s="10" t="s">
        <v>324</v>
      </c>
      <c r="G4673" s="10" t="s">
        <v>6317</v>
      </c>
      <c r="H4673" s="11">
        <v>41611</v>
      </c>
      <c r="I4673" s="10">
        <v>2013</v>
      </c>
      <c r="J4673" s="10" t="s">
        <v>23675</v>
      </c>
      <c r="K4673" s="10">
        <v>321</v>
      </c>
      <c r="L4673" s="10" t="s">
        <v>25311</v>
      </c>
      <c r="M4673" s="10">
        <v>1</v>
      </c>
      <c r="N4673" s="10" t="s">
        <v>25307</v>
      </c>
      <c r="O4673" s="10"/>
      <c r="P4673" s="10" t="s">
        <v>25312</v>
      </c>
      <c r="Q4673" s="10">
        <v>371.82209569442</v>
      </c>
      <c r="R4673" s="10" t="s">
        <v>25313</v>
      </c>
      <c r="S4673" s="10" t="s">
        <v>53</v>
      </c>
      <c r="T4673" s="10" t="s">
        <v>54</v>
      </c>
    </row>
    <row r="4674" spans="1:20" ht="14.5" x14ac:dyDescent="0.35">
      <c r="A4674" s="10" t="s">
        <v>25314</v>
      </c>
      <c r="B4674" s="10" t="str">
        <f>"9780822340867"</f>
        <v>9780822340867</v>
      </c>
      <c r="C4674" s="10" t="str">
        <f>"9780822390602"</f>
        <v>9780822390602</v>
      </c>
      <c r="D4674" s="10" t="s">
        <v>25246</v>
      </c>
      <c r="E4674" s="10" t="s">
        <v>25246</v>
      </c>
      <c r="F4674" s="10" t="s">
        <v>897</v>
      </c>
      <c r="G4674" s="10" t="s">
        <v>6317</v>
      </c>
      <c r="H4674" s="11">
        <v>39323</v>
      </c>
      <c r="I4674" s="10">
        <v>2007</v>
      </c>
      <c r="J4674" s="10" t="s">
        <v>25246</v>
      </c>
      <c r="K4674" s="10">
        <v>277</v>
      </c>
      <c r="L4674" s="10" t="s">
        <v>25315</v>
      </c>
      <c r="M4674" s="10">
        <v>1</v>
      </c>
      <c r="N4674" s="10" t="s">
        <v>25316</v>
      </c>
      <c r="O4674" s="10"/>
      <c r="P4674" s="10" t="s">
        <v>25317</v>
      </c>
      <c r="Q4674" s="10" t="s">
        <v>25318</v>
      </c>
      <c r="R4674" s="10" t="s">
        <v>25319</v>
      </c>
      <c r="S4674" s="10" t="s">
        <v>53</v>
      </c>
      <c r="T4674" s="10" t="s">
        <v>54</v>
      </c>
    </row>
    <row r="4675" spans="1:20" ht="14.5" x14ac:dyDescent="0.35">
      <c r="A4675" s="10" t="s">
        <v>25320</v>
      </c>
      <c r="B4675" s="10" t="str">
        <f>"9781118390085"</f>
        <v>9781118390085</v>
      </c>
      <c r="C4675" s="10" t="str">
        <f>"9781118602584"</f>
        <v>9781118602584</v>
      </c>
      <c r="D4675" s="10" t="s">
        <v>6322</v>
      </c>
      <c r="E4675" s="10" t="s">
        <v>6323</v>
      </c>
      <c r="F4675" s="10" t="s">
        <v>4423</v>
      </c>
      <c r="G4675" s="10" t="s">
        <v>6317</v>
      </c>
      <c r="H4675" s="11">
        <v>41400</v>
      </c>
      <c r="I4675" s="10">
        <v>2013</v>
      </c>
      <c r="J4675" s="10" t="s">
        <v>6324</v>
      </c>
      <c r="K4675" s="10">
        <v>208</v>
      </c>
      <c r="L4675" s="10" t="s">
        <v>25321</v>
      </c>
      <c r="M4675" s="10">
        <v>3</v>
      </c>
      <c r="N4675" s="10" t="s">
        <v>25322</v>
      </c>
      <c r="O4675" s="10"/>
      <c r="P4675" s="10"/>
      <c r="Q4675" s="10">
        <v>378.19799999999998</v>
      </c>
      <c r="R4675" s="10" t="s">
        <v>25323</v>
      </c>
      <c r="S4675" s="10" t="s">
        <v>53</v>
      </c>
      <c r="T4675" s="10" t="s">
        <v>54</v>
      </c>
    </row>
    <row r="4676" spans="1:20" ht="14.5" x14ac:dyDescent="0.35">
      <c r="A4676" s="10" t="s">
        <v>25324</v>
      </c>
      <c r="B4676" s="10" t="str">
        <f>"9781118390092"</f>
        <v>9781118390092</v>
      </c>
      <c r="C4676" s="10" t="str">
        <f>"9781118600290"</f>
        <v>9781118600290</v>
      </c>
      <c r="D4676" s="10" t="s">
        <v>6322</v>
      </c>
      <c r="E4676" s="10" t="s">
        <v>6323</v>
      </c>
      <c r="F4676" s="10" t="s">
        <v>4423</v>
      </c>
      <c r="G4676" s="10" t="s">
        <v>6317</v>
      </c>
      <c r="H4676" s="11">
        <v>41400</v>
      </c>
      <c r="I4676" s="10">
        <v>2013</v>
      </c>
      <c r="J4676" s="10" t="s">
        <v>6324</v>
      </c>
      <c r="K4676" s="10">
        <v>202</v>
      </c>
      <c r="L4676" s="10" t="s">
        <v>25321</v>
      </c>
      <c r="M4676" s="10">
        <v>3</v>
      </c>
      <c r="N4676" s="10"/>
      <c r="O4676" s="10"/>
      <c r="P4676" s="10"/>
      <c r="Q4676" s="10">
        <v>378.19799999999998</v>
      </c>
      <c r="R4676" s="10" t="s">
        <v>54</v>
      </c>
      <c r="S4676" s="10" t="s">
        <v>53</v>
      </c>
      <c r="T4676" s="10" t="s">
        <v>54</v>
      </c>
    </row>
    <row r="4677" spans="1:20" ht="14.5" x14ac:dyDescent="0.35">
      <c r="A4677" s="10" t="s">
        <v>25325</v>
      </c>
      <c r="B4677" s="10" t="str">
        <f>"9780415533980"</f>
        <v>9780415533980</v>
      </c>
      <c r="C4677" s="10" t="str">
        <f>"9781136287978"</f>
        <v>9781136287978</v>
      </c>
      <c r="D4677" s="10" t="s">
        <v>6350</v>
      </c>
      <c r="E4677" s="10" t="s">
        <v>6351</v>
      </c>
      <c r="F4677" s="10" t="s">
        <v>139</v>
      </c>
      <c r="G4677" s="10" t="s">
        <v>6352</v>
      </c>
      <c r="H4677" s="11">
        <v>41368</v>
      </c>
      <c r="I4677" s="10">
        <v>2013</v>
      </c>
      <c r="J4677" s="10" t="s">
        <v>6353</v>
      </c>
      <c r="K4677" s="10">
        <v>225</v>
      </c>
      <c r="L4677" s="10" t="s">
        <v>25326</v>
      </c>
      <c r="M4677" s="10">
        <v>1</v>
      </c>
      <c r="N4677" s="10"/>
      <c r="O4677" s="10"/>
      <c r="P4677" s="10" t="s">
        <v>25327</v>
      </c>
      <c r="Q4677" s="10">
        <v>378.10599999999999</v>
      </c>
      <c r="R4677" s="10" t="s">
        <v>25328</v>
      </c>
      <c r="S4677" s="10" t="s">
        <v>53</v>
      </c>
      <c r="T4677" s="10" t="s">
        <v>54</v>
      </c>
    </row>
    <row r="4678" spans="1:20" ht="14.5" x14ac:dyDescent="0.35">
      <c r="A4678" s="10" t="s">
        <v>25329</v>
      </c>
      <c r="B4678" s="10" t="str">
        <f>"9780415509732"</f>
        <v>9780415509732</v>
      </c>
      <c r="C4678" s="10" t="str">
        <f>"9781136446382"</f>
        <v>9781136446382</v>
      </c>
      <c r="D4678" s="10" t="s">
        <v>6350</v>
      </c>
      <c r="E4678" s="10" t="s">
        <v>6351</v>
      </c>
      <c r="F4678" s="10" t="s">
        <v>748</v>
      </c>
      <c r="G4678" s="10" t="s">
        <v>6352</v>
      </c>
      <c r="H4678" s="11">
        <v>41372</v>
      </c>
      <c r="I4678" s="10">
        <v>2013</v>
      </c>
      <c r="J4678" s="10" t="s">
        <v>6351</v>
      </c>
      <c r="K4678" s="10">
        <v>241</v>
      </c>
      <c r="L4678" s="10" t="s">
        <v>25330</v>
      </c>
      <c r="M4678" s="10">
        <v>1</v>
      </c>
      <c r="N4678" s="10"/>
      <c r="O4678" s="10"/>
      <c r="P4678" s="10" t="s">
        <v>25331</v>
      </c>
      <c r="Q4678" s="10">
        <v>370.11700000000002</v>
      </c>
      <c r="R4678" s="10" t="s">
        <v>25332</v>
      </c>
      <c r="S4678" s="10" t="s">
        <v>53</v>
      </c>
      <c r="T4678" s="10" t="s">
        <v>54</v>
      </c>
    </row>
    <row r="4679" spans="1:20" ht="14.5" x14ac:dyDescent="0.35">
      <c r="A4679" s="10" t="s">
        <v>25333</v>
      </c>
      <c r="B4679" s="10" t="str">
        <f>"9780415539968"</f>
        <v>9780415539968</v>
      </c>
      <c r="C4679" s="10" t="str">
        <f>"9781136158049"</f>
        <v>9781136158049</v>
      </c>
      <c r="D4679" s="10" t="s">
        <v>6350</v>
      </c>
      <c r="E4679" s="10" t="s">
        <v>6351</v>
      </c>
      <c r="F4679" s="10" t="s">
        <v>139</v>
      </c>
      <c r="G4679" s="10" t="s">
        <v>6352</v>
      </c>
      <c r="H4679" s="11">
        <v>41381</v>
      </c>
      <c r="I4679" s="10">
        <v>2013</v>
      </c>
      <c r="J4679" s="10" t="s">
        <v>6353</v>
      </c>
      <c r="K4679" s="10">
        <v>670</v>
      </c>
      <c r="L4679" s="10" t="s">
        <v>25334</v>
      </c>
      <c r="M4679" s="10">
        <v>2</v>
      </c>
      <c r="N4679" s="10"/>
      <c r="O4679" s="10"/>
      <c r="P4679" s="10" t="s">
        <v>25335</v>
      </c>
      <c r="Q4679" s="10">
        <v>371.334</v>
      </c>
      <c r="R4679" s="10" t="s">
        <v>25336</v>
      </c>
      <c r="S4679" s="10" t="s">
        <v>53</v>
      </c>
      <c r="T4679" s="10" t="s">
        <v>54</v>
      </c>
    </row>
    <row r="4680" spans="1:20" ht="14.5" x14ac:dyDescent="0.35">
      <c r="A4680" s="10" t="s">
        <v>25337</v>
      </c>
      <c r="B4680" s="10" t="str">
        <f>"9781848729957"</f>
        <v>9781848729957</v>
      </c>
      <c r="C4680" s="10" t="str">
        <f>"9781136334801"</f>
        <v>9781136334801</v>
      </c>
      <c r="D4680" s="10" t="s">
        <v>6350</v>
      </c>
      <c r="E4680" s="10" t="s">
        <v>6351</v>
      </c>
      <c r="F4680" s="10" t="s">
        <v>139</v>
      </c>
      <c r="G4680" s="10" t="s">
        <v>6352</v>
      </c>
      <c r="H4680" s="11">
        <v>41382</v>
      </c>
      <c r="I4680" s="10">
        <v>2013</v>
      </c>
      <c r="J4680" s="10" t="s">
        <v>6353</v>
      </c>
      <c r="K4680" s="10">
        <v>385</v>
      </c>
      <c r="L4680" s="10" t="s">
        <v>25338</v>
      </c>
      <c r="M4680" s="10">
        <v>1</v>
      </c>
      <c r="N4680" s="10"/>
      <c r="O4680" s="10"/>
      <c r="P4680" s="10" t="s">
        <v>25339</v>
      </c>
      <c r="Q4680" s="10">
        <v>371.27199999999999</v>
      </c>
      <c r="R4680" s="10" t="s">
        <v>25340</v>
      </c>
      <c r="S4680" s="10" t="s">
        <v>53</v>
      </c>
      <c r="T4680" s="10" t="s">
        <v>54</v>
      </c>
    </row>
    <row r="4681" spans="1:20" ht="14.5" x14ac:dyDescent="0.35">
      <c r="A4681" s="10" t="s">
        <v>25341</v>
      </c>
      <c r="B4681" s="10" t="str">
        <f>"9781118660669"</f>
        <v>9781118660669</v>
      </c>
      <c r="C4681" s="10" t="str">
        <f>"9781118661154"</f>
        <v>9781118661154</v>
      </c>
      <c r="D4681" s="10" t="s">
        <v>6322</v>
      </c>
      <c r="E4681" s="10" t="s">
        <v>6323</v>
      </c>
      <c r="F4681" s="10" t="s">
        <v>6339</v>
      </c>
      <c r="G4681" s="10" t="s">
        <v>6317</v>
      </c>
      <c r="H4681" s="11">
        <v>41400</v>
      </c>
      <c r="I4681" s="10">
        <v>2013</v>
      </c>
      <c r="J4681" s="10" t="s">
        <v>6324</v>
      </c>
      <c r="K4681" s="10">
        <v>137</v>
      </c>
      <c r="L4681" s="10" t="s">
        <v>25342</v>
      </c>
      <c r="M4681" s="10">
        <v>1</v>
      </c>
      <c r="N4681" s="10" t="s">
        <v>25343</v>
      </c>
      <c r="O4681" s="10">
        <v>125</v>
      </c>
      <c r="P4681" s="10" t="s">
        <v>25344</v>
      </c>
      <c r="Q4681" s="10">
        <v>370.15</v>
      </c>
      <c r="R4681" s="10" t="s">
        <v>25345</v>
      </c>
      <c r="S4681" s="10" t="s">
        <v>53</v>
      </c>
      <c r="T4681" s="10" t="s">
        <v>54</v>
      </c>
    </row>
    <row r="4682" spans="1:20" ht="14.5" x14ac:dyDescent="0.35">
      <c r="A4682" s="10" t="s">
        <v>25346</v>
      </c>
      <c r="B4682" s="10" t="str">
        <f>"9780708325841"</f>
        <v>9780708325841</v>
      </c>
      <c r="C4682" s="10" t="str">
        <f>"9780708325858"</f>
        <v>9780708325858</v>
      </c>
      <c r="D4682" s="10" t="s">
        <v>9533</v>
      </c>
      <c r="E4682" s="10" t="s">
        <v>25347</v>
      </c>
      <c r="F4682" s="10" t="s">
        <v>25348</v>
      </c>
      <c r="G4682" s="10" t="s">
        <v>6317</v>
      </c>
      <c r="H4682" s="11">
        <v>41394</v>
      </c>
      <c r="I4682" s="10">
        <v>2013</v>
      </c>
      <c r="J4682" s="10" t="s">
        <v>25347</v>
      </c>
      <c r="K4682" s="10">
        <v>370</v>
      </c>
      <c r="L4682" s="10" t="s">
        <v>25349</v>
      </c>
      <c r="M4682" s="10">
        <v>1</v>
      </c>
      <c r="N4682" s="10"/>
      <c r="O4682" s="10"/>
      <c r="P4682" s="10" t="s">
        <v>25350</v>
      </c>
      <c r="Q4682" s="10">
        <v>371.00942989999999</v>
      </c>
      <c r="R4682" s="10" t="s">
        <v>25351</v>
      </c>
      <c r="S4682" s="10" t="s">
        <v>53</v>
      </c>
      <c r="T4682" s="10" t="s">
        <v>54</v>
      </c>
    </row>
    <row r="4683" spans="1:20" ht="14.5" x14ac:dyDescent="0.35">
      <c r="A4683" s="10" t="s">
        <v>25352</v>
      </c>
      <c r="B4683" s="10" t="str">
        <f>"9781118720196"</f>
        <v>9781118720196</v>
      </c>
      <c r="C4683" s="10" t="str">
        <f>"9781118720141"</f>
        <v>9781118720141</v>
      </c>
      <c r="D4683" s="10" t="s">
        <v>6322</v>
      </c>
      <c r="E4683" s="10" t="s">
        <v>6323</v>
      </c>
      <c r="F4683" s="10" t="s">
        <v>6339</v>
      </c>
      <c r="G4683" s="10" t="s">
        <v>6317</v>
      </c>
      <c r="H4683" s="11">
        <v>41400</v>
      </c>
      <c r="I4683" s="10">
        <v>2013</v>
      </c>
      <c r="J4683" s="10" t="s">
        <v>6324</v>
      </c>
      <c r="K4683" s="10">
        <v>141</v>
      </c>
      <c r="L4683" s="10" t="s">
        <v>25353</v>
      </c>
      <c r="M4683" s="10">
        <v>2</v>
      </c>
      <c r="N4683" s="10" t="s">
        <v>22922</v>
      </c>
      <c r="O4683" s="10"/>
      <c r="P4683" s="10" t="s">
        <v>25354</v>
      </c>
      <c r="Q4683" s="10" t="s">
        <v>25355</v>
      </c>
      <c r="R4683" s="10" t="s">
        <v>25356</v>
      </c>
      <c r="S4683" s="10" t="s">
        <v>53</v>
      </c>
      <c r="T4683" s="10" t="s">
        <v>54</v>
      </c>
    </row>
    <row r="4684" spans="1:20" ht="14.5" x14ac:dyDescent="0.35">
      <c r="A4684" s="10" t="s">
        <v>25357</v>
      </c>
      <c r="B4684" s="10" t="str">
        <f>"9780702238888"</f>
        <v>9780702238888</v>
      </c>
      <c r="C4684" s="10" t="str">
        <f>"9780702249082"</f>
        <v>9780702249082</v>
      </c>
      <c r="D4684" s="10" t="s">
        <v>9215</v>
      </c>
      <c r="E4684" s="10" t="s">
        <v>25358</v>
      </c>
      <c r="F4684" s="10" t="s">
        <v>25359</v>
      </c>
      <c r="G4684" s="10" t="s">
        <v>6317</v>
      </c>
      <c r="H4684" s="11">
        <v>44894</v>
      </c>
      <c r="I4684" s="10">
        <v>2013</v>
      </c>
      <c r="J4684" s="10" t="s">
        <v>25358</v>
      </c>
      <c r="K4684" s="10">
        <v>383</v>
      </c>
      <c r="L4684" s="10" t="s">
        <v>25360</v>
      </c>
      <c r="M4684" s="10"/>
      <c r="N4684" s="10"/>
      <c r="O4684" s="10"/>
      <c r="P4684" s="10" t="s">
        <v>25361</v>
      </c>
      <c r="Q4684" s="10">
        <v>994</v>
      </c>
      <c r="R4684" s="10" t="s">
        <v>25362</v>
      </c>
      <c r="S4684" s="10" t="s">
        <v>53</v>
      </c>
      <c r="T4684" s="10" t="s">
        <v>8717</v>
      </c>
    </row>
    <row r="4685" spans="1:20" ht="14.5" x14ac:dyDescent="0.35">
      <c r="A4685" s="10" t="s">
        <v>25363</v>
      </c>
      <c r="B4685" s="10" t="str">
        <f>"9781907241383"</f>
        <v>9781907241383</v>
      </c>
      <c r="C4685" s="10" t="str">
        <f>"9781909280199"</f>
        <v>9781909280199</v>
      </c>
      <c r="D4685" s="10" t="s">
        <v>19500</v>
      </c>
      <c r="E4685" s="10" t="s">
        <v>19501</v>
      </c>
      <c r="F4685" s="10" t="s">
        <v>19502</v>
      </c>
      <c r="G4685" s="10" t="s">
        <v>6352</v>
      </c>
      <c r="H4685" s="11">
        <v>41122</v>
      </c>
      <c r="I4685" s="10">
        <v>2013</v>
      </c>
      <c r="J4685" s="10" t="s">
        <v>21828</v>
      </c>
      <c r="K4685" s="10">
        <v>59</v>
      </c>
      <c r="L4685" s="10" t="s">
        <v>21829</v>
      </c>
      <c r="M4685" s="10">
        <v>1</v>
      </c>
      <c r="N4685" s="10"/>
      <c r="O4685" s="10"/>
      <c r="P4685" s="10" t="s">
        <v>25364</v>
      </c>
      <c r="Q4685" s="10" t="s">
        <v>25365</v>
      </c>
      <c r="R4685" s="10" t="s">
        <v>25366</v>
      </c>
      <c r="S4685" s="10" t="s">
        <v>53</v>
      </c>
      <c r="T4685" s="10" t="s">
        <v>25367</v>
      </c>
    </row>
    <row r="4686" spans="1:20" ht="14.5" x14ac:dyDescent="0.35">
      <c r="A4686" s="10" t="s">
        <v>25368</v>
      </c>
      <c r="B4686" s="10" t="str">
        <f>"9781118673713"</f>
        <v>9781118673713</v>
      </c>
      <c r="C4686" s="10" t="str">
        <f>"9781118714621"</f>
        <v>9781118714621</v>
      </c>
      <c r="D4686" s="10" t="s">
        <v>6322</v>
      </c>
      <c r="E4686" s="10" t="s">
        <v>6323</v>
      </c>
      <c r="F4686" s="10" t="s">
        <v>6339</v>
      </c>
      <c r="G4686" s="10" t="s">
        <v>6317</v>
      </c>
      <c r="H4686" s="11">
        <v>41400</v>
      </c>
      <c r="I4686" s="10">
        <v>2013</v>
      </c>
      <c r="J4686" s="10" t="s">
        <v>6324</v>
      </c>
      <c r="K4686" s="10">
        <v>152</v>
      </c>
      <c r="L4686" s="10" t="s">
        <v>25369</v>
      </c>
      <c r="M4686" s="10">
        <v>1</v>
      </c>
      <c r="N4686" s="10" t="s">
        <v>23322</v>
      </c>
      <c r="O4686" s="10">
        <v>181</v>
      </c>
      <c r="P4686" s="10" t="s">
        <v>25370</v>
      </c>
      <c r="Q4686" s="10" t="s">
        <v>25371</v>
      </c>
      <c r="R4686" s="10" t="s">
        <v>25372</v>
      </c>
      <c r="S4686" s="10" t="s">
        <v>53</v>
      </c>
      <c r="T4686" s="10" t="s">
        <v>54</v>
      </c>
    </row>
    <row r="4687" spans="1:20" ht="14.5" x14ac:dyDescent="0.35">
      <c r="A4687" s="10" t="s">
        <v>25373</v>
      </c>
      <c r="B4687" s="10" t="str">
        <f>"9780415681698"</f>
        <v>9780415681698</v>
      </c>
      <c r="C4687" s="10" t="str">
        <f>"9781136305290"</f>
        <v>9781136305290</v>
      </c>
      <c r="D4687" s="10" t="s">
        <v>6350</v>
      </c>
      <c r="E4687" s="10" t="s">
        <v>6351</v>
      </c>
      <c r="F4687" s="10" t="s">
        <v>139</v>
      </c>
      <c r="G4687" s="10" t="s">
        <v>6352</v>
      </c>
      <c r="H4687" s="11">
        <v>41204</v>
      </c>
      <c r="I4687" s="10">
        <v>2013</v>
      </c>
      <c r="J4687" s="10" t="s">
        <v>6353</v>
      </c>
      <c r="K4687" s="10">
        <v>177</v>
      </c>
      <c r="L4687" s="10" t="s">
        <v>25374</v>
      </c>
      <c r="M4687" s="10">
        <v>1</v>
      </c>
      <c r="N4687" s="10"/>
      <c r="O4687" s="10"/>
      <c r="P4687" s="10" t="s">
        <v>25375</v>
      </c>
      <c r="Q4687" s="10">
        <v>207.5</v>
      </c>
      <c r="R4687" s="10" t="s">
        <v>25376</v>
      </c>
      <c r="S4687" s="10" t="s">
        <v>53</v>
      </c>
      <c r="T4687" s="10" t="s">
        <v>8346</v>
      </c>
    </row>
    <row r="4688" spans="1:20" ht="14.5" x14ac:dyDescent="0.35">
      <c r="A4688" s="10" t="s">
        <v>25377</v>
      </c>
      <c r="B4688" s="10" t="str">
        <f>"9780415528078"</f>
        <v>9780415528078</v>
      </c>
      <c r="C4688" s="10" t="str">
        <f>"9781136310836"</f>
        <v>9781136310836</v>
      </c>
      <c r="D4688" s="10" t="s">
        <v>6350</v>
      </c>
      <c r="E4688" s="10" t="s">
        <v>6351</v>
      </c>
      <c r="F4688" s="10" t="s">
        <v>139</v>
      </c>
      <c r="G4688" s="10" t="s">
        <v>6352</v>
      </c>
      <c r="H4688" s="11">
        <v>41296</v>
      </c>
      <c r="I4688" s="10">
        <v>2013</v>
      </c>
      <c r="J4688" s="10" t="s">
        <v>6353</v>
      </c>
      <c r="K4688" s="10">
        <v>257</v>
      </c>
      <c r="L4688" s="10" t="s">
        <v>25378</v>
      </c>
      <c r="M4688" s="10">
        <v>1</v>
      </c>
      <c r="N4688" s="10"/>
      <c r="O4688" s="10"/>
      <c r="P4688" s="10" t="s">
        <v>25379</v>
      </c>
      <c r="Q4688" s="10" t="s">
        <v>25380</v>
      </c>
      <c r="R4688" s="10" t="s">
        <v>21680</v>
      </c>
      <c r="S4688" s="10" t="s">
        <v>53</v>
      </c>
      <c r="T4688" s="10" t="s">
        <v>54</v>
      </c>
    </row>
    <row r="4689" spans="1:20" ht="14.5" x14ac:dyDescent="0.35">
      <c r="A4689" s="10" t="s">
        <v>25381</v>
      </c>
      <c r="B4689" s="10" t="str">
        <f>"9780415897846"</f>
        <v>9780415897846</v>
      </c>
      <c r="C4689" s="10" t="str">
        <f>"9781135128296"</f>
        <v>9781135128296</v>
      </c>
      <c r="D4689" s="10" t="s">
        <v>6350</v>
      </c>
      <c r="E4689" s="10" t="s">
        <v>6351</v>
      </c>
      <c r="F4689" s="10" t="s">
        <v>139</v>
      </c>
      <c r="G4689" s="10" t="s">
        <v>6352</v>
      </c>
      <c r="H4689" s="11">
        <v>41232</v>
      </c>
      <c r="I4689" s="10">
        <v>2013</v>
      </c>
      <c r="J4689" s="10" t="s">
        <v>6353</v>
      </c>
      <c r="K4689" s="10">
        <v>241</v>
      </c>
      <c r="L4689" s="10" t="s">
        <v>25382</v>
      </c>
      <c r="M4689" s="10">
        <v>1</v>
      </c>
      <c r="N4689" s="10"/>
      <c r="O4689" s="10"/>
      <c r="P4689" s="10" t="s">
        <v>25383</v>
      </c>
      <c r="Q4689" s="10" t="s">
        <v>19565</v>
      </c>
      <c r="R4689" s="10" t="s">
        <v>19046</v>
      </c>
      <c r="S4689" s="10" t="s">
        <v>53</v>
      </c>
      <c r="T4689" s="10" t="s">
        <v>54</v>
      </c>
    </row>
    <row r="4690" spans="1:20" ht="14.5" x14ac:dyDescent="0.35">
      <c r="A4690" s="10" t="s">
        <v>25384</v>
      </c>
      <c r="B4690" s="10" t="str">
        <f>"9781849693066"</f>
        <v>9781849693066</v>
      </c>
      <c r="C4690" s="10" t="str">
        <f>"9781849693073"</f>
        <v>9781849693073</v>
      </c>
      <c r="D4690" s="10" t="s">
        <v>21162</v>
      </c>
      <c r="E4690" s="10" t="s">
        <v>21163</v>
      </c>
      <c r="F4690" s="10" t="s">
        <v>1939</v>
      </c>
      <c r="G4690" s="10" t="s">
        <v>6352</v>
      </c>
      <c r="H4690" s="11">
        <v>41418</v>
      </c>
      <c r="I4690" s="10">
        <v>2013</v>
      </c>
      <c r="J4690" s="10" t="s">
        <v>21163</v>
      </c>
      <c r="K4690" s="10">
        <v>366</v>
      </c>
      <c r="L4690" s="10" t="s">
        <v>25385</v>
      </c>
      <c r="M4690" s="10">
        <v>1</v>
      </c>
      <c r="N4690" s="10"/>
      <c r="O4690" s="10"/>
      <c r="P4690" s="10" t="s">
        <v>25386</v>
      </c>
      <c r="Q4690" s="10">
        <v>6.78</v>
      </c>
      <c r="R4690" s="10" t="s">
        <v>25387</v>
      </c>
      <c r="S4690" s="10" t="s">
        <v>53</v>
      </c>
      <c r="T4690" s="10" t="s">
        <v>19990</v>
      </c>
    </row>
    <row r="4691" spans="1:20" ht="14.5" x14ac:dyDescent="0.35">
      <c r="A4691" s="10" t="s">
        <v>25388</v>
      </c>
      <c r="B4691" s="10" t="str">
        <f>"9781137320544"</f>
        <v>9781137320544</v>
      </c>
      <c r="C4691" s="10" t="str">
        <f>"9781137315816"</f>
        <v>9781137315816</v>
      </c>
      <c r="D4691" s="10" t="s">
        <v>11249</v>
      </c>
      <c r="E4691" s="10" t="s">
        <v>2400</v>
      </c>
      <c r="F4691" s="10" t="s">
        <v>70</v>
      </c>
      <c r="G4691" s="10" t="s">
        <v>6317</v>
      </c>
      <c r="H4691" s="11">
        <v>41393</v>
      </c>
      <c r="I4691" s="10">
        <v>2013</v>
      </c>
      <c r="J4691" s="10" t="s">
        <v>2400</v>
      </c>
      <c r="K4691" s="10">
        <v>216</v>
      </c>
      <c r="L4691" s="10" t="s">
        <v>25389</v>
      </c>
      <c r="M4691" s="10">
        <v>1</v>
      </c>
      <c r="N4691" s="10" t="s">
        <v>25390</v>
      </c>
      <c r="O4691" s="10"/>
      <c r="P4691" s="10" t="s">
        <v>11394</v>
      </c>
      <c r="Q4691" s="10"/>
      <c r="R4691" s="10" t="s">
        <v>6415</v>
      </c>
      <c r="S4691" s="10" t="s">
        <v>53</v>
      </c>
      <c r="T4691" s="10" t="s">
        <v>54</v>
      </c>
    </row>
    <row r="4692" spans="1:20" ht="14.5" x14ac:dyDescent="0.35">
      <c r="A4692" s="10" t="s">
        <v>25391</v>
      </c>
      <c r="B4692" s="10" t="str">
        <f>"9781137267078"</f>
        <v>9781137267078</v>
      </c>
      <c r="C4692" s="10" t="str">
        <f>"9781137267085"</f>
        <v>9781137267085</v>
      </c>
      <c r="D4692" s="10" t="s">
        <v>11249</v>
      </c>
      <c r="E4692" s="10" t="s">
        <v>13407</v>
      </c>
      <c r="F4692" s="10" t="s">
        <v>139</v>
      </c>
      <c r="G4692" s="10" t="s">
        <v>6352</v>
      </c>
      <c r="H4692" s="11">
        <v>41375</v>
      </c>
      <c r="I4692" s="10">
        <v>2013</v>
      </c>
      <c r="J4692" s="10" t="s">
        <v>16380</v>
      </c>
      <c r="K4692" s="10">
        <v>203</v>
      </c>
      <c r="L4692" s="10" t="s">
        <v>25392</v>
      </c>
      <c r="M4692" s="10">
        <v>1</v>
      </c>
      <c r="N4692" s="10" t="s">
        <v>25393</v>
      </c>
      <c r="O4692" s="10"/>
      <c r="P4692" s="10" t="s">
        <v>11360</v>
      </c>
      <c r="Q4692" s="10" t="s">
        <v>25394</v>
      </c>
      <c r="R4692" s="10" t="s">
        <v>6765</v>
      </c>
      <c r="S4692" s="10" t="s">
        <v>53</v>
      </c>
      <c r="T4692" s="10" t="s">
        <v>54</v>
      </c>
    </row>
    <row r="4693" spans="1:20" ht="14.5" x14ac:dyDescent="0.35">
      <c r="A4693" s="10" t="s">
        <v>25395</v>
      </c>
      <c r="B4693" s="10" t="str">
        <f>"9780230369368"</f>
        <v>9780230369368</v>
      </c>
      <c r="C4693" s="10" t="str">
        <f>"9781137328380"</f>
        <v>9781137328380</v>
      </c>
      <c r="D4693" s="10" t="s">
        <v>11249</v>
      </c>
      <c r="E4693" s="10" t="s">
        <v>13407</v>
      </c>
      <c r="F4693" s="10" t="s">
        <v>139</v>
      </c>
      <c r="G4693" s="10" t="s">
        <v>6352</v>
      </c>
      <c r="H4693" s="11">
        <v>41387</v>
      </c>
      <c r="I4693" s="10">
        <v>2013</v>
      </c>
      <c r="J4693" s="10" t="s">
        <v>2400</v>
      </c>
      <c r="K4693" s="10">
        <v>262</v>
      </c>
      <c r="L4693" s="10" t="s">
        <v>25396</v>
      </c>
      <c r="M4693" s="10">
        <v>1</v>
      </c>
      <c r="N4693" s="10"/>
      <c r="O4693" s="10"/>
      <c r="P4693" s="10" t="s">
        <v>25397</v>
      </c>
      <c r="Q4693" s="10"/>
      <c r="R4693" s="10" t="s">
        <v>25398</v>
      </c>
      <c r="S4693" s="10" t="s">
        <v>53</v>
      </c>
      <c r="T4693" s="10" t="s">
        <v>1166</v>
      </c>
    </row>
    <row r="4694" spans="1:20" ht="14.5" x14ac:dyDescent="0.35">
      <c r="A4694" s="10" t="s">
        <v>25399</v>
      </c>
      <c r="B4694" s="10" t="str">
        <f>"9781118456217"</f>
        <v>9781118456217</v>
      </c>
      <c r="C4694" s="10" t="str">
        <f>"9781118621868"</f>
        <v>9781118621868</v>
      </c>
      <c r="D4694" s="10" t="s">
        <v>6322</v>
      </c>
      <c r="E4694" s="10" t="s">
        <v>6323</v>
      </c>
      <c r="F4694" s="10" t="s">
        <v>4423</v>
      </c>
      <c r="G4694" s="10" t="s">
        <v>6317</v>
      </c>
      <c r="H4694" s="11">
        <v>41407</v>
      </c>
      <c r="I4694" s="10">
        <v>2013</v>
      </c>
      <c r="J4694" s="10" t="s">
        <v>6324</v>
      </c>
      <c r="K4694" s="10">
        <v>559</v>
      </c>
      <c r="L4694" s="10" t="s">
        <v>25400</v>
      </c>
      <c r="M4694" s="10">
        <v>3</v>
      </c>
      <c r="N4694" s="10"/>
      <c r="O4694" s="10"/>
      <c r="P4694" s="10"/>
      <c r="Q4694" s="10">
        <v>371.2</v>
      </c>
      <c r="R4694" s="10" t="s">
        <v>25401</v>
      </c>
      <c r="S4694" s="10" t="s">
        <v>53</v>
      </c>
      <c r="T4694" s="10" t="s">
        <v>54</v>
      </c>
    </row>
    <row r="4695" spans="1:20" ht="14.5" x14ac:dyDescent="0.35">
      <c r="A4695" s="10" t="s">
        <v>25402</v>
      </c>
      <c r="B4695" s="10" t="str">
        <f>"9781452258546"</f>
        <v>9781452258546</v>
      </c>
      <c r="C4695" s="10" t="str">
        <f>"9781452299686"</f>
        <v>9781452299686</v>
      </c>
      <c r="D4695" s="10" t="s">
        <v>22210</v>
      </c>
      <c r="E4695" s="10" t="s">
        <v>22211</v>
      </c>
      <c r="F4695" s="10" t="s">
        <v>333</v>
      </c>
      <c r="G4695" s="10" t="s">
        <v>6317</v>
      </c>
      <c r="H4695" s="11">
        <v>41381</v>
      </c>
      <c r="I4695" s="10">
        <v>2013</v>
      </c>
      <c r="J4695" s="10" t="s">
        <v>22211</v>
      </c>
      <c r="K4695" s="10">
        <v>241</v>
      </c>
      <c r="L4695" s="10" t="s">
        <v>25403</v>
      </c>
      <c r="M4695" s="10">
        <v>1</v>
      </c>
      <c r="N4695" s="10"/>
      <c r="O4695" s="10"/>
      <c r="P4695" s="10" t="s">
        <v>25404</v>
      </c>
      <c r="Q4695" s="10">
        <v>373.11020973000001</v>
      </c>
      <c r="R4695" s="10" t="s">
        <v>25405</v>
      </c>
      <c r="S4695" s="10" t="s">
        <v>53</v>
      </c>
      <c r="T4695" s="10" t="s">
        <v>54</v>
      </c>
    </row>
    <row r="4696" spans="1:20" ht="14.5" x14ac:dyDescent="0.35">
      <c r="A4696" s="10" t="s">
        <v>25406</v>
      </c>
      <c r="B4696" s="10" t="str">
        <f>"9780813560816"</f>
        <v>9780813560816</v>
      </c>
      <c r="C4696" s="10" t="str">
        <f>"9780813560823"</f>
        <v>9780813560823</v>
      </c>
      <c r="D4696" s="10" t="s">
        <v>12251</v>
      </c>
      <c r="E4696" s="10" t="s">
        <v>12251</v>
      </c>
      <c r="F4696" s="10" t="s">
        <v>12451</v>
      </c>
      <c r="G4696" s="10" t="s">
        <v>6317</v>
      </c>
      <c r="H4696" s="11">
        <v>41438</v>
      </c>
      <c r="I4696" s="10">
        <v>2013</v>
      </c>
      <c r="J4696" s="10" t="s">
        <v>12251</v>
      </c>
      <c r="K4696" s="10">
        <v>183</v>
      </c>
      <c r="L4696" s="10" t="s">
        <v>25407</v>
      </c>
      <c r="M4696" s="10">
        <v>1</v>
      </c>
      <c r="N4696" s="10" t="s">
        <v>25408</v>
      </c>
      <c r="O4696" s="10"/>
      <c r="P4696" s="10" t="s">
        <v>25409</v>
      </c>
      <c r="Q4696" s="10">
        <v>378.08199999999999</v>
      </c>
      <c r="R4696" s="10" t="s">
        <v>25410</v>
      </c>
      <c r="S4696" s="10" t="s">
        <v>53</v>
      </c>
      <c r="T4696" s="10" t="s">
        <v>54</v>
      </c>
    </row>
    <row r="4697" spans="1:20" ht="14.5" x14ac:dyDescent="0.35">
      <c r="A4697" s="10" t="s">
        <v>25411</v>
      </c>
      <c r="B4697" s="10" t="str">
        <f>"9781118526347"</f>
        <v>9781118526347</v>
      </c>
      <c r="C4697" s="10" t="str">
        <f>"9781118540138"</f>
        <v>9781118540138</v>
      </c>
      <c r="D4697" s="10" t="s">
        <v>6322</v>
      </c>
      <c r="E4697" s="10" t="s">
        <v>6323</v>
      </c>
      <c r="F4697" s="10" t="s">
        <v>13068</v>
      </c>
      <c r="G4697" s="10" t="s">
        <v>6317</v>
      </c>
      <c r="H4697" s="11">
        <v>41429</v>
      </c>
      <c r="I4697" s="10">
        <v>2013</v>
      </c>
      <c r="J4697" s="10" t="s">
        <v>6324</v>
      </c>
      <c r="K4697" s="10">
        <v>274</v>
      </c>
      <c r="L4697" s="10" t="s">
        <v>25412</v>
      </c>
      <c r="M4697" s="10">
        <v>1</v>
      </c>
      <c r="N4697" s="10"/>
      <c r="O4697" s="10"/>
      <c r="P4697" s="10" t="s">
        <v>25413</v>
      </c>
      <c r="Q4697" s="10">
        <v>371.14400000000001</v>
      </c>
      <c r="R4697" s="10" t="s">
        <v>25414</v>
      </c>
      <c r="S4697" s="10" t="s">
        <v>53</v>
      </c>
      <c r="T4697" s="10" t="s">
        <v>54</v>
      </c>
    </row>
    <row r="4698" spans="1:20" ht="14.5" x14ac:dyDescent="0.35">
      <c r="A4698" s="10" t="s">
        <v>25415</v>
      </c>
      <c r="B4698" s="10" t="str">
        <f>"9781847558961"</f>
        <v>9781847558961</v>
      </c>
      <c r="C4698" s="10" t="str">
        <f>"9781849730693"</f>
        <v>9781849730693</v>
      </c>
      <c r="D4698" s="10" t="s">
        <v>25416</v>
      </c>
      <c r="E4698" s="10" t="s">
        <v>25417</v>
      </c>
      <c r="F4698" s="10" t="s">
        <v>612</v>
      </c>
      <c r="G4698" s="10" t="s">
        <v>6352</v>
      </c>
      <c r="H4698" s="11">
        <v>39539</v>
      </c>
      <c r="I4698" s="10">
        <v>2008</v>
      </c>
      <c r="J4698" s="10" t="s">
        <v>25417</v>
      </c>
      <c r="K4698" s="10">
        <v>12</v>
      </c>
      <c r="L4698" s="10" t="s">
        <v>25418</v>
      </c>
      <c r="M4698" s="10">
        <v>1</v>
      </c>
      <c r="N4698" s="10"/>
      <c r="O4698" s="10"/>
      <c r="P4698" s="10" t="s">
        <v>25419</v>
      </c>
      <c r="Q4698" s="10" t="s">
        <v>8213</v>
      </c>
      <c r="R4698" s="10" t="s">
        <v>25420</v>
      </c>
      <c r="S4698" s="10" t="s">
        <v>53</v>
      </c>
      <c r="T4698" s="10" t="s">
        <v>6568</v>
      </c>
    </row>
    <row r="4699" spans="1:20" ht="14.5" x14ac:dyDescent="0.35">
      <c r="A4699" s="10" t="s">
        <v>25421</v>
      </c>
      <c r="B4699" s="10" t="str">
        <f>"9781847558978"</f>
        <v>9781847558978</v>
      </c>
      <c r="C4699" s="10" t="str">
        <f>"9781849730686"</f>
        <v>9781849730686</v>
      </c>
      <c r="D4699" s="10" t="s">
        <v>25416</v>
      </c>
      <c r="E4699" s="10" t="s">
        <v>25417</v>
      </c>
      <c r="F4699" s="10" t="s">
        <v>612</v>
      </c>
      <c r="G4699" s="10" t="s">
        <v>6352</v>
      </c>
      <c r="H4699" s="11">
        <v>39539</v>
      </c>
      <c r="I4699" s="10">
        <v>2008</v>
      </c>
      <c r="J4699" s="10" t="s">
        <v>25417</v>
      </c>
      <c r="K4699" s="10">
        <v>16</v>
      </c>
      <c r="L4699" s="10" t="s">
        <v>25418</v>
      </c>
      <c r="M4699" s="10">
        <v>1</v>
      </c>
      <c r="N4699" s="10"/>
      <c r="O4699" s="10"/>
      <c r="P4699" s="10" t="s">
        <v>25419</v>
      </c>
      <c r="Q4699" s="10" t="s">
        <v>8213</v>
      </c>
      <c r="R4699" s="10" t="s">
        <v>25422</v>
      </c>
      <c r="S4699" s="10" t="s">
        <v>53</v>
      </c>
      <c r="T4699" s="10" t="s">
        <v>6568</v>
      </c>
    </row>
    <row r="4700" spans="1:20" ht="14.5" x14ac:dyDescent="0.35">
      <c r="A4700" s="10" t="s">
        <v>25423</v>
      </c>
      <c r="B4700" s="10" t="str">
        <f>"9781781906781"</f>
        <v>9781781906781</v>
      </c>
      <c r="C4700" s="10" t="str">
        <f>"9781781906798"</f>
        <v>9781781906798</v>
      </c>
      <c r="D4700" s="10" t="s">
        <v>8699</v>
      </c>
      <c r="E4700" s="10" t="s">
        <v>8699</v>
      </c>
      <c r="F4700" s="10" t="s">
        <v>559</v>
      </c>
      <c r="G4700" s="10" t="s">
        <v>6352</v>
      </c>
      <c r="H4700" s="11">
        <v>41403</v>
      </c>
      <c r="I4700" s="10">
        <v>2013</v>
      </c>
      <c r="J4700" s="10" t="s">
        <v>8699</v>
      </c>
      <c r="K4700" s="10">
        <v>389</v>
      </c>
      <c r="L4700" s="10" t="s">
        <v>25424</v>
      </c>
      <c r="M4700" s="10">
        <v>1</v>
      </c>
      <c r="N4700" s="10" t="s">
        <v>20051</v>
      </c>
      <c r="O4700" s="10">
        <v>19</v>
      </c>
      <c r="P4700" s="10"/>
      <c r="Q4700" s="10">
        <v>371.20119999999997</v>
      </c>
      <c r="R4700" s="10" t="s">
        <v>25425</v>
      </c>
      <c r="S4700" s="10" t="s">
        <v>53</v>
      </c>
      <c r="T4700" s="10" t="s">
        <v>54</v>
      </c>
    </row>
    <row r="4701" spans="1:20" ht="14.5" x14ac:dyDescent="0.35">
      <c r="A4701" s="10" t="s">
        <v>25426</v>
      </c>
      <c r="B4701" s="10" t="str">
        <f>"9780415539890"</f>
        <v>9780415539890</v>
      </c>
      <c r="C4701" s="10" t="str">
        <f>"9781135055820"</f>
        <v>9781135055820</v>
      </c>
      <c r="D4701" s="10" t="s">
        <v>6350</v>
      </c>
      <c r="E4701" s="10" t="s">
        <v>6351</v>
      </c>
      <c r="F4701" s="10" t="s">
        <v>139</v>
      </c>
      <c r="G4701" s="10" t="s">
        <v>6352</v>
      </c>
      <c r="H4701" s="11">
        <v>41396</v>
      </c>
      <c r="I4701" s="10">
        <v>2012</v>
      </c>
      <c r="J4701" s="10" t="s">
        <v>6353</v>
      </c>
      <c r="K4701" s="10">
        <v>392</v>
      </c>
      <c r="L4701" s="10" t="s">
        <v>25427</v>
      </c>
      <c r="M4701" s="10">
        <v>1</v>
      </c>
      <c r="N4701" s="10" t="s">
        <v>25428</v>
      </c>
      <c r="O4701" s="10"/>
      <c r="P4701" s="10" t="s">
        <v>25429</v>
      </c>
      <c r="Q4701" s="10">
        <v>370.11599999999999</v>
      </c>
      <c r="R4701" s="10" t="s">
        <v>25430</v>
      </c>
      <c r="S4701" s="10" t="s">
        <v>53</v>
      </c>
      <c r="T4701" s="10" t="s">
        <v>6526</v>
      </c>
    </row>
    <row r="4702" spans="1:20" ht="14.5" x14ac:dyDescent="0.35">
      <c r="A4702" s="10" t="s">
        <v>25431</v>
      </c>
      <c r="B4702" s="10" t="str">
        <f>"9780335244089"</f>
        <v>9780335244089</v>
      </c>
      <c r="C4702" s="10" t="str">
        <f>"9780335244096"</f>
        <v>9780335244096</v>
      </c>
      <c r="D4702" s="10" t="s">
        <v>10342</v>
      </c>
      <c r="E4702" s="10" t="s">
        <v>10343</v>
      </c>
      <c r="F4702" s="10" t="s">
        <v>10344</v>
      </c>
      <c r="G4702" s="10" t="s">
        <v>6352</v>
      </c>
      <c r="H4702" s="11">
        <v>41365</v>
      </c>
      <c r="I4702" s="10">
        <v>2013</v>
      </c>
      <c r="J4702" s="10" t="s">
        <v>10345</v>
      </c>
      <c r="K4702" s="10">
        <v>162</v>
      </c>
      <c r="L4702" s="10" t="s">
        <v>25432</v>
      </c>
      <c r="M4702" s="10">
        <v>1</v>
      </c>
      <c r="N4702" s="10" t="s">
        <v>10391</v>
      </c>
      <c r="O4702" s="10"/>
      <c r="P4702" s="10"/>
      <c r="Q4702" s="10"/>
      <c r="R4702" s="10"/>
      <c r="S4702" s="10" t="s">
        <v>53</v>
      </c>
      <c r="T4702" s="10" t="s">
        <v>25433</v>
      </c>
    </row>
    <row r="4703" spans="1:20" ht="14.5" x14ac:dyDescent="0.35">
      <c r="A4703" s="10" t="s">
        <v>25434</v>
      </c>
      <c r="B4703" s="10" t="str">
        <f>"9781462510184"</f>
        <v>9781462510184</v>
      </c>
      <c r="C4703" s="10" t="str">
        <f>"9781462510221"</f>
        <v>9781462510221</v>
      </c>
      <c r="D4703" s="10" t="s">
        <v>11213</v>
      </c>
      <c r="E4703" s="10" t="s">
        <v>11214</v>
      </c>
      <c r="F4703" s="10" t="s">
        <v>70</v>
      </c>
      <c r="G4703" s="10" t="s">
        <v>6317</v>
      </c>
      <c r="H4703" s="11">
        <v>41388</v>
      </c>
      <c r="I4703" s="10">
        <v>2013</v>
      </c>
      <c r="J4703" s="10" t="s">
        <v>11215</v>
      </c>
      <c r="K4703" s="10">
        <v>482</v>
      </c>
      <c r="L4703" s="10" t="s">
        <v>25435</v>
      </c>
      <c r="M4703" s="10">
        <v>1</v>
      </c>
      <c r="N4703" s="10"/>
      <c r="O4703" s="10"/>
      <c r="P4703" s="10" t="s">
        <v>25436</v>
      </c>
      <c r="Q4703" s="10">
        <v>372.21</v>
      </c>
      <c r="R4703" s="10" t="s">
        <v>25437</v>
      </c>
      <c r="S4703" s="10" t="s">
        <v>53</v>
      </c>
      <c r="T4703" s="10" t="s">
        <v>54</v>
      </c>
    </row>
    <row r="4704" spans="1:20" ht="14.5" x14ac:dyDescent="0.35">
      <c r="A4704" s="10" t="s">
        <v>25438</v>
      </c>
      <c r="B4704" s="10" t="str">
        <f>"9780520268555"</f>
        <v>9780520268555</v>
      </c>
      <c r="C4704" s="10" t="str">
        <f>"9780520954809"</f>
        <v>9780520954809</v>
      </c>
      <c r="D4704" s="10" t="s">
        <v>8512</v>
      </c>
      <c r="E4704" s="10" t="s">
        <v>8512</v>
      </c>
      <c r="F4704" s="10" t="s">
        <v>717</v>
      </c>
      <c r="G4704" s="10" t="s">
        <v>6317</v>
      </c>
      <c r="H4704" s="11">
        <v>41487</v>
      </c>
      <c r="I4704" s="10">
        <v>2013</v>
      </c>
      <c r="J4704" s="10" t="s">
        <v>8512</v>
      </c>
      <c r="K4704" s="10">
        <v>287</v>
      </c>
      <c r="L4704" s="10" t="s">
        <v>25439</v>
      </c>
      <c r="M4704" s="10">
        <v>1</v>
      </c>
      <c r="N4704" s="10"/>
      <c r="O4704" s="10"/>
      <c r="P4704" s="10"/>
      <c r="Q4704" s="10">
        <v>551.69780000000003</v>
      </c>
      <c r="R4704" s="10" t="s">
        <v>25440</v>
      </c>
      <c r="S4704" s="10" t="s">
        <v>53</v>
      </c>
      <c r="T4704" s="10" t="s">
        <v>11305</v>
      </c>
    </row>
    <row r="4705" spans="1:20" ht="14.5" x14ac:dyDescent="0.35">
      <c r="A4705" s="10" t="s">
        <v>25441</v>
      </c>
      <c r="B4705" s="10" t="str">
        <f>"9789004230958"</f>
        <v>9789004230958</v>
      </c>
      <c r="C4705" s="10" t="str">
        <f>"9789004250147"</f>
        <v>9789004250147</v>
      </c>
      <c r="D4705" s="10" t="s">
        <v>8564</v>
      </c>
      <c r="E4705" s="10" t="s">
        <v>8565</v>
      </c>
      <c r="F4705" s="10" t="s">
        <v>1420</v>
      </c>
      <c r="G4705" s="10" t="s">
        <v>6317</v>
      </c>
      <c r="H4705" s="11">
        <v>41383</v>
      </c>
      <c r="I4705" s="10">
        <v>2013</v>
      </c>
      <c r="J4705" s="10" t="s">
        <v>8565</v>
      </c>
      <c r="K4705" s="10">
        <v>300</v>
      </c>
      <c r="L4705" s="10" t="s">
        <v>25442</v>
      </c>
      <c r="M4705" s="10">
        <v>1</v>
      </c>
      <c r="N4705" s="10" t="s">
        <v>10126</v>
      </c>
      <c r="O4705" s="10">
        <v>47</v>
      </c>
      <c r="P4705" s="10"/>
      <c r="Q4705" s="10"/>
      <c r="R4705" s="10" t="s">
        <v>25443</v>
      </c>
      <c r="S4705" s="10" t="s">
        <v>53</v>
      </c>
      <c r="T4705" s="10" t="s">
        <v>8717</v>
      </c>
    </row>
    <row r="4706" spans="1:20" ht="14.5" x14ac:dyDescent="0.35">
      <c r="A4706" s="10" t="s">
        <v>25444</v>
      </c>
      <c r="B4706" s="10" t="str">
        <f>"9780761939306"</f>
        <v>9780761939306</v>
      </c>
      <c r="C4706" s="10" t="str">
        <f>"9781452208619"</f>
        <v>9781452208619</v>
      </c>
      <c r="D4706" s="10" t="s">
        <v>22210</v>
      </c>
      <c r="E4706" s="10" t="s">
        <v>22211</v>
      </c>
      <c r="F4706" s="10" t="s">
        <v>333</v>
      </c>
      <c r="G4706" s="10" t="s">
        <v>6317</v>
      </c>
      <c r="H4706" s="11">
        <v>38097</v>
      </c>
      <c r="I4706" s="10">
        <v>2004</v>
      </c>
      <c r="J4706" s="10" t="s">
        <v>22211</v>
      </c>
      <c r="K4706" s="10">
        <v>177</v>
      </c>
      <c r="L4706" s="10" t="s">
        <v>25445</v>
      </c>
      <c r="M4706" s="10">
        <v>2</v>
      </c>
      <c r="N4706" s="10"/>
      <c r="O4706" s="10"/>
      <c r="P4706" s="10" t="s">
        <v>25117</v>
      </c>
      <c r="Q4706" s="10"/>
      <c r="R4706" s="10"/>
      <c r="S4706" s="10" t="s">
        <v>53</v>
      </c>
      <c r="T4706" s="10" t="s">
        <v>54</v>
      </c>
    </row>
    <row r="4707" spans="1:20" ht="14.5" x14ac:dyDescent="0.35">
      <c r="A4707" s="10" t="s">
        <v>25446</v>
      </c>
      <c r="B4707" s="10" t="str">
        <f>"9781412955775"</f>
        <v>9781412955775</v>
      </c>
      <c r="C4707" s="10" t="str">
        <f>"9781452211602"</f>
        <v>9781452211602</v>
      </c>
      <c r="D4707" s="10" t="s">
        <v>22210</v>
      </c>
      <c r="E4707" s="10" t="s">
        <v>22211</v>
      </c>
      <c r="F4707" s="10" t="s">
        <v>333</v>
      </c>
      <c r="G4707" s="10" t="s">
        <v>6317</v>
      </c>
      <c r="H4707" s="11">
        <v>39283</v>
      </c>
      <c r="I4707" s="10">
        <v>2008</v>
      </c>
      <c r="J4707" s="10" t="s">
        <v>22211</v>
      </c>
      <c r="K4707" s="10">
        <v>161</v>
      </c>
      <c r="L4707" s="10" t="s">
        <v>25447</v>
      </c>
      <c r="M4707" s="10">
        <v>2</v>
      </c>
      <c r="N4707" s="10"/>
      <c r="O4707" s="10"/>
      <c r="P4707" s="10"/>
      <c r="Q4707" s="10" t="s">
        <v>9204</v>
      </c>
      <c r="R4707" s="10"/>
      <c r="S4707" s="10" t="s">
        <v>53</v>
      </c>
      <c r="T4707" s="10" t="s">
        <v>6660</v>
      </c>
    </row>
    <row r="4708" spans="1:20" ht="14.5" x14ac:dyDescent="0.35">
      <c r="A4708" s="10" t="s">
        <v>25448</v>
      </c>
      <c r="B4708" s="10" t="str">
        <f>"9781412949378"</f>
        <v>9781412949378</v>
      </c>
      <c r="C4708" s="10" t="str">
        <f>"9781452211992"</f>
        <v>9781452211992</v>
      </c>
      <c r="D4708" s="10" t="s">
        <v>22210</v>
      </c>
      <c r="E4708" s="10" t="s">
        <v>22211</v>
      </c>
      <c r="F4708" s="10" t="s">
        <v>333</v>
      </c>
      <c r="G4708" s="10" t="s">
        <v>6317</v>
      </c>
      <c r="H4708" s="11">
        <v>39388</v>
      </c>
      <c r="I4708" s="10">
        <v>2008</v>
      </c>
      <c r="J4708" s="10" t="s">
        <v>22211</v>
      </c>
      <c r="K4708" s="10">
        <v>225</v>
      </c>
      <c r="L4708" s="10" t="s">
        <v>25449</v>
      </c>
      <c r="M4708" s="10">
        <v>1</v>
      </c>
      <c r="N4708" s="10" t="s">
        <v>23158</v>
      </c>
      <c r="O4708" s="10"/>
      <c r="P4708" s="10"/>
      <c r="Q4708" s="10">
        <v>371.2</v>
      </c>
      <c r="R4708" s="10"/>
      <c r="S4708" s="10" t="s">
        <v>53</v>
      </c>
      <c r="T4708" s="10" t="s">
        <v>54</v>
      </c>
    </row>
    <row r="4709" spans="1:20" ht="14.5" x14ac:dyDescent="0.35">
      <c r="A4709" s="10" t="s">
        <v>25450</v>
      </c>
      <c r="B4709" s="10" t="str">
        <f>"9781412966054"</f>
        <v>9781412966054</v>
      </c>
      <c r="C4709" s="10" t="str">
        <f>"9781452212210"</f>
        <v>9781452212210</v>
      </c>
      <c r="D4709" s="10" t="s">
        <v>22210</v>
      </c>
      <c r="E4709" s="10" t="s">
        <v>22211</v>
      </c>
      <c r="F4709" s="10" t="s">
        <v>333</v>
      </c>
      <c r="G4709" s="10" t="s">
        <v>6317</v>
      </c>
      <c r="H4709" s="11">
        <v>39812</v>
      </c>
      <c r="I4709" s="10">
        <v>2009</v>
      </c>
      <c r="J4709" s="10" t="s">
        <v>22211</v>
      </c>
      <c r="K4709" s="10">
        <v>137</v>
      </c>
      <c r="L4709" s="10" t="s">
        <v>22462</v>
      </c>
      <c r="M4709" s="10">
        <v>1</v>
      </c>
      <c r="N4709" s="10"/>
      <c r="O4709" s="10"/>
      <c r="P4709" s="10"/>
      <c r="Q4709" s="10" t="s">
        <v>21348</v>
      </c>
      <c r="R4709" s="10"/>
      <c r="S4709" s="10" t="s">
        <v>53</v>
      </c>
      <c r="T4709" s="10" t="s">
        <v>54</v>
      </c>
    </row>
    <row r="4710" spans="1:20" ht="14.5" x14ac:dyDescent="0.35">
      <c r="A4710" s="10" t="s">
        <v>25451</v>
      </c>
      <c r="B4710" s="10" t="str">
        <f>"9781609945695"</f>
        <v>9781609945695</v>
      </c>
      <c r="C4710" s="10" t="str">
        <f>"9781609945701"</f>
        <v>9781609945701</v>
      </c>
      <c r="D4710" s="10" t="s">
        <v>11771</v>
      </c>
      <c r="E4710" s="10" t="s">
        <v>11772</v>
      </c>
      <c r="F4710" s="10" t="s">
        <v>2612</v>
      </c>
      <c r="G4710" s="10" t="s">
        <v>6317</v>
      </c>
      <c r="H4710" s="11">
        <v>41489</v>
      </c>
      <c r="I4710" s="10">
        <v>2013</v>
      </c>
      <c r="J4710" s="10" t="s">
        <v>11772</v>
      </c>
      <c r="K4710" s="10">
        <v>145</v>
      </c>
      <c r="L4710" s="10" t="s">
        <v>25452</v>
      </c>
      <c r="M4710" s="10">
        <v>1</v>
      </c>
      <c r="N4710" s="10" t="s">
        <v>25453</v>
      </c>
      <c r="O4710" s="10"/>
      <c r="P4710" s="10" t="s">
        <v>25454</v>
      </c>
      <c r="Q4710" s="10">
        <v>370.15230000000003</v>
      </c>
      <c r="R4710" s="10" t="s">
        <v>25455</v>
      </c>
      <c r="S4710" s="10" t="s">
        <v>53</v>
      </c>
      <c r="T4710" s="10" t="s">
        <v>54</v>
      </c>
    </row>
    <row r="4711" spans="1:20" ht="14.5" x14ac:dyDescent="0.35">
      <c r="A4711" s="10" t="s">
        <v>25456</v>
      </c>
      <c r="B4711" s="10" t="str">
        <f>"9780415695800"</f>
        <v>9780415695800</v>
      </c>
      <c r="C4711" s="10" t="str">
        <f>"9781136495175"</f>
        <v>9781136495175</v>
      </c>
      <c r="D4711" s="10" t="s">
        <v>6350</v>
      </c>
      <c r="E4711" s="10" t="s">
        <v>6351</v>
      </c>
      <c r="F4711" s="10" t="s">
        <v>748</v>
      </c>
      <c r="G4711" s="10" t="s">
        <v>6352</v>
      </c>
      <c r="H4711" s="11">
        <v>40885</v>
      </c>
      <c r="I4711" s="10">
        <v>1987</v>
      </c>
      <c r="J4711" s="10" t="s">
        <v>6351</v>
      </c>
      <c r="K4711" s="10">
        <v>249</v>
      </c>
      <c r="L4711" s="10" t="s">
        <v>25457</v>
      </c>
      <c r="M4711" s="10">
        <v>1</v>
      </c>
      <c r="N4711" s="10" t="s">
        <v>21400</v>
      </c>
      <c r="O4711" s="10"/>
      <c r="P4711" s="10" t="s">
        <v>25458</v>
      </c>
      <c r="Q4711" s="10">
        <v>372.50439999999998</v>
      </c>
      <c r="R4711" s="10" t="s">
        <v>25459</v>
      </c>
      <c r="S4711" s="10" t="s">
        <v>53</v>
      </c>
      <c r="T4711" s="10" t="s">
        <v>6881</v>
      </c>
    </row>
    <row r="4712" spans="1:20" ht="14.5" x14ac:dyDescent="0.35">
      <c r="A4712" s="10" t="s">
        <v>25460</v>
      </c>
      <c r="B4712" s="10" t="str">
        <f>"9789966040169"</f>
        <v>9789966040169</v>
      </c>
      <c r="C4712" s="10" t="str">
        <f>"9789966040534"</f>
        <v>9789966040534</v>
      </c>
      <c r="D4712" s="10" t="s">
        <v>24820</v>
      </c>
      <c r="E4712" s="10" t="s">
        <v>25461</v>
      </c>
      <c r="F4712" s="10" t="s">
        <v>748</v>
      </c>
      <c r="G4712" s="10" t="s">
        <v>25462</v>
      </c>
      <c r="H4712" s="11">
        <v>41244</v>
      </c>
      <c r="I4712" s="10">
        <v>2018</v>
      </c>
      <c r="J4712" s="10" t="s">
        <v>25461</v>
      </c>
      <c r="K4712" s="10">
        <v>140</v>
      </c>
      <c r="L4712" s="10" t="s">
        <v>25463</v>
      </c>
      <c r="M4712" s="10">
        <v>1</v>
      </c>
      <c r="N4712" s="10"/>
      <c r="O4712" s="10"/>
      <c r="P4712" s="10" t="s">
        <v>25464</v>
      </c>
      <c r="Q4712" s="10"/>
      <c r="R4712" s="10"/>
      <c r="S4712" s="10" t="s">
        <v>53</v>
      </c>
      <c r="T4712" s="10" t="s">
        <v>4859</v>
      </c>
    </row>
    <row r="4713" spans="1:20" ht="14.5" x14ac:dyDescent="0.35">
      <c r="A4713" s="10" t="s">
        <v>25465</v>
      </c>
      <c r="B4713" s="10" t="str">
        <f>"9781446263990"</f>
        <v>9781446263990</v>
      </c>
      <c r="C4713" s="10" t="str">
        <f>"9781446290613"</f>
        <v>9781446290613</v>
      </c>
      <c r="D4713" s="10" t="s">
        <v>9325</v>
      </c>
      <c r="E4713" s="10" t="s">
        <v>9326</v>
      </c>
      <c r="F4713" s="10" t="s">
        <v>139</v>
      </c>
      <c r="G4713" s="10" t="s">
        <v>6352</v>
      </c>
      <c r="H4713" s="11">
        <v>41368</v>
      </c>
      <c r="I4713" s="10">
        <v>2013</v>
      </c>
      <c r="J4713" s="10" t="s">
        <v>9326</v>
      </c>
      <c r="K4713" s="10">
        <v>177</v>
      </c>
      <c r="L4713" s="10" t="s">
        <v>25466</v>
      </c>
      <c r="M4713" s="10">
        <v>1</v>
      </c>
      <c r="N4713" s="10" t="s">
        <v>25467</v>
      </c>
      <c r="O4713" s="10"/>
      <c r="P4713" s="10" t="s">
        <v>25468</v>
      </c>
      <c r="Q4713" s="10">
        <v>808.06600000000003</v>
      </c>
      <c r="R4713" s="10" t="s">
        <v>25469</v>
      </c>
      <c r="S4713" s="10" t="s">
        <v>53</v>
      </c>
      <c r="T4713" s="10" t="s">
        <v>6568</v>
      </c>
    </row>
    <row r="4714" spans="1:20" ht="14.5" x14ac:dyDescent="0.35">
      <c r="A4714" s="10" t="s">
        <v>25470</v>
      </c>
      <c r="B4714" s="10" t="str">
        <f>"9781452255446"</f>
        <v>9781452255446</v>
      </c>
      <c r="C4714" s="10" t="str">
        <f>"9781483331065"</f>
        <v>9781483331065</v>
      </c>
      <c r="D4714" s="10" t="s">
        <v>22210</v>
      </c>
      <c r="E4714" s="10" t="s">
        <v>22211</v>
      </c>
      <c r="F4714" s="10" t="s">
        <v>333</v>
      </c>
      <c r="G4714" s="10" t="s">
        <v>6317</v>
      </c>
      <c r="H4714" s="11">
        <v>41408</v>
      </c>
      <c r="I4714" s="10">
        <v>2013</v>
      </c>
      <c r="J4714" s="10" t="s">
        <v>22211</v>
      </c>
      <c r="K4714" s="10">
        <v>265</v>
      </c>
      <c r="L4714" s="10" t="s">
        <v>23295</v>
      </c>
      <c r="M4714" s="10">
        <v>1</v>
      </c>
      <c r="N4714" s="10"/>
      <c r="O4714" s="10"/>
      <c r="P4714" s="10" t="s">
        <v>25471</v>
      </c>
      <c r="Q4714" s="10">
        <v>428.00712729999998</v>
      </c>
      <c r="R4714" s="10" t="s">
        <v>25472</v>
      </c>
      <c r="S4714" s="10" t="s">
        <v>53</v>
      </c>
      <c r="T4714" s="10" t="s">
        <v>6634</v>
      </c>
    </row>
    <row r="4715" spans="1:20" ht="14.5" x14ac:dyDescent="0.35">
      <c r="A4715" s="10" t="s">
        <v>25473</v>
      </c>
      <c r="B4715" s="10" t="str">
        <f>"9780415618199"</f>
        <v>9780415618199</v>
      </c>
      <c r="C4715" s="10" t="str">
        <f>"9781136729768"</f>
        <v>9781136729768</v>
      </c>
      <c r="D4715" s="10" t="s">
        <v>6350</v>
      </c>
      <c r="E4715" s="10" t="s">
        <v>6351</v>
      </c>
      <c r="F4715" s="10" t="s">
        <v>139</v>
      </c>
      <c r="G4715" s="10" t="s">
        <v>6352</v>
      </c>
      <c r="H4715" s="11">
        <v>41081</v>
      </c>
      <c r="I4715" s="10">
        <v>2012</v>
      </c>
      <c r="J4715" s="10" t="s">
        <v>6353</v>
      </c>
      <c r="K4715" s="10">
        <v>229</v>
      </c>
      <c r="L4715" s="10" t="s">
        <v>25474</v>
      </c>
      <c r="M4715" s="10">
        <v>1</v>
      </c>
      <c r="N4715" s="10"/>
      <c r="O4715" s="10"/>
      <c r="P4715" s="10" t="s">
        <v>25475</v>
      </c>
      <c r="Q4715" s="10">
        <v>378.16699999999997</v>
      </c>
      <c r="R4715" s="10" t="s">
        <v>25476</v>
      </c>
      <c r="S4715" s="10" t="s">
        <v>53</v>
      </c>
      <c r="T4715" s="10" t="s">
        <v>54</v>
      </c>
    </row>
    <row r="4716" spans="1:20" ht="14.5" x14ac:dyDescent="0.35">
      <c r="A4716" s="10" t="s">
        <v>25477</v>
      </c>
      <c r="B4716" s="10" t="str">
        <f>"9781118399477"</f>
        <v>9781118399477</v>
      </c>
      <c r="C4716" s="10" t="str">
        <f>"9781118417485"</f>
        <v>9781118417485</v>
      </c>
      <c r="D4716" s="10" t="s">
        <v>6322</v>
      </c>
      <c r="E4716" s="10" t="s">
        <v>6323</v>
      </c>
      <c r="F4716" s="10" t="s">
        <v>4423</v>
      </c>
      <c r="G4716" s="10" t="s">
        <v>6317</v>
      </c>
      <c r="H4716" s="11">
        <v>41379</v>
      </c>
      <c r="I4716" s="10">
        <v>2013</v>
      </c>
      <c r="J4716" s="10" t="s">
        <v>6324</v>
      </c>
      <c r="K4716" s="10">
        <v>605</v>
      </c>
      <c r="L4716" s="10" t="s">
        <v>25478</v>
      </c>
      <c r="M4716" s="10">
        <v>3</v>
      </c>
      <c r="N4716" s="10"/>
      <c r="O4716" s="10"/>
      <c r="P4716" s="10"/>
      <c r="Q4716" s="10" t="s">
        <v>14668</v>
      </c>
      <c r="R4716" s="10" t="s">
        <v>25479</v>
      </c>
      <c r="S4716" s="10" t="s">
        <v>53</v>
      </c>
      <c r="T4716" s="10" t="s">
        <v>54</v>
      </c>
    </row>
    <row r="4717" spans="1:20" ht="14.5" x14ac:dyDescent="0.35">
      <c r="A4717" s="10" t="s">
        <v>25480</v>
      </c>
      <c r="B4717" s="10" t="str">
        <f>"9781118714355"</f>
        <v>9781118714355</v>
      </c>
      <c r="C4717" s="10" t="str">
        <f>"9781118714812"</f>
        <v>9781118714812</v>
      </c>
      <c r="D4717" s="10" t="s">
        <v>6322</v>
      </c>
      <c r="E4717" s="10" t="s">
        <v>6323</v>
      </c>
      <c r="F4717" s="10" t="s">
        <v>6339</v>
      </c>
      <c r="G4717" s="10" t="s">
        <v>6317</v>
      </c>
      <c r="H4717" s="11">
        <v>41435</v>
      </c>
      <c r="I4717" s="10">
        <v>2013</v>
      </c>
      <c r="J4717" s="10" t="s">
        <v>6324</v>
      </c>
      <c r="K4717" s="10">
        <v>110</v>
      </c>
      <c r="L4717" s="10" t="s">
        <v>25481</v>
      </c>
      <c r="M4717" s="10">
        <v>1</v>
      </c>
      <c r="N4717" s="10" t="s">
        <v>23327</v>
      </c>
      <c r="O4717" s="10"/>
      <c r="P4717" s="10" t="s">
        <v>25482</v>
      </c>
      <c r="Q4717" s="10">
        <v>370.63</v>
      </c>
      <c r="R4717" s="10" t="s">
        <v>25483</v>
      </c>
      <c r="S4717" s="10" t="s">
        <v>53</v>
      </c>
      <c r="T4717" s="10" t="s">
        <v>54</v>
      </c>
    </row>
    <row r="4718" spans="1:20" ht="14.5" x14ac:dyDescent="0.35">
      <c r="A4718" s="10" t="s">
        <v>25484</v>
      </c>
      <c r="B4718" s="10" t="str">
        <f>"9780415965538"</f>
        <v>9780415965538</v>
      </c>
      <c r="C4718" s="10" t="str">
        <f>"9781136643057"</f>
        <v>9781136643057</v>
      </c>
      <c r="D4718" s="10" t="s">
        <v>6350</v>
      </c>
      <c r="E4718" s="10" t="s">
        <v>6351</v>
      </c>
      <c r="F4718" s="10" t="s">
        <v>139</v>
      </c>
      <c r="G4718" s="10" t="s">
        <v>6352</v>
      </c>
      <c r="H4718" s="11">
        <v>40148</v>
      </c>
      <c r="I4718" s="10">
        <v>2010</v>
      </c>
      <c r="J4718" s="10" t="s">
        <v>4324</v>
      </c>
      <c r="K4718" s="10">
        <v>293</v>
      </c>
      <c r="L4718" s="10" t="s">
        <v>25485</v>
      </c>
      <c r="M4718" s="10">
        <v>1</v>
      </c>
      <c r="N4718" s="10" t="s">
        <v>25486</v>
      </c>
      <c r="O4718" s="10"/>
      <c r="P4718" s="10" t="s">
        <v>25487</v>
      </c>
      <c r="Q4718" s="10">
        <v>153.35</v>
      </c>
      <c r="R4718" s="10" t="s">
        <v>25488</v>
      </c>
      <c r="S4718" s="10" t="s">
        <v>53</v>
      </c>
      <c r="T4718" s="10" t="s">
        <v>483</v>
      </c>
    </row>
    <row r="4719" spans="1:20" ht="14.5" x14ac:dyDescent="0.35">
      <c r="A4719" s="10" t="s">
        <v>25489</v>
      </c>
      <c r="B4719" s="10" t="str">
        <f>"9781603449373"</f>
        <v>9781603449373</v>
      </c>
      <c r="C4719" s="10" t="str">
        <f>"9781603449960"</f>
        <v>9781603449960</v>
      </c>
      <c r="D4719" s="10" t="s">
        <v>23853</v>
      </c>
      <c r="E4719" s="10" t="s">
        <v>23854</v>
      </c>
      <c r="F4719" s="10" t="s">
        <v>3126</v>
      </c>
      <c r="G4719" s="10" t="s">
        <v>6317</v>
      </c>
      <c r="H4719" s="11">
        <v>41365</v>
      </c>
      <c r="I4719" s="10">
        <v>2013</v>
      </c>
      <c r="J4719" s="10" t="s">
        <v>23854</v>
      </c>
      <c r="K4719" s="10">
        <v>258</v>
      </c>
      <c r="L4719" s="10" t="s">
        <v>25490</v>
      </c>
      <c r="M4719" s="10">
        <v>1</v>
      </c>
      <c r="N4719" s="10" t="s">
        <v>25491</v>
      </c>
      <c r="O4719" s="10">
        <v>7</v>
      </c>
      <c r="P4719" s="10" t="s">
        <v>25492</v>
      </c>
      <c r="Q4719" s="10" t="s">
        <v>9797</v>
      </c>
      <c r="R4719" s="10" t="s">
        <v>25493</v>
      </c>
      <c r="S4719" s="10" t="s">
        <v>53</v>
      </c>
      <c r="T4719" s="10" t="s">
        <v>54</v>
      </c>
    </row>
    <row r="4720" spans="1:20" ht="14.5" x14ac:dyDescent="0.35">
      <c r="A4720" s="10" t="s">
        <v>25494</v>
      </c>
      <c r="B4720" s="10" t="str">
        <f>"9789812818485"</f>
        <v>9789812818485</v>
      </c>
      <c r="C4720" s="10" t="str">
        <f>"9789812818492"</f>
        <v>9789812818492</v>
      </c>
      <c r="D4720" s="10" t="s">
        <v>8571</v>
      </c>
      <c r="E4720" s="10" t="s">
        <v>8572</v>
      </c>
      <c r="F4720" s="10" t="s">
        <v>549</v>
      </c>
      <c r="G4720" s="10" t="s">
        <v>8573</v>
      </c>
      <c r="H4720" s="11">
        <v>39664</v>
      </c>
      <c r="I4720" s="10">
        <v>2008</v>
      </c>
      <c r="J4720" s="10" t="s">
        <v>8574</v>
      </c>
      <c r="K4720" s="10">
        <v>236</v>
      </c>
      <c r="L4720" s="10" t="s">
        <v>25495</v>
      </c>
      <c r="M4720" s="10">
        <v>1</v>
      </c>
      <c r="N4720" s="10"/>
      <c r="O4720" s="10"/>
      <c r="P4720" s="10" t="s">
        <v>25496</v>
      </c>
      <c r="Q4720" s="10">
        <v>370</v>
      </c>
      <c r="R4720" s="10" t="s">
        <v>25497</v>
      </c>
      <c r="S4720" s="10" t="s">
        <v>53</v>
      </c>
      <c r="T4720" s="10" t="s">
        <v>54</v>
      </c>
    </row>
    <row r="4721" spans="1:20" ht="14.5" x14ac:dyDescent="0.35">
      <c r="A4721" s="10" t="s">
        <v>25498</v>
      </c>
      <c r="B4721" s="10" t="str">
        <f>"9789814472746"</f>
        <v>9789814472746</v>
      </c>
      <c r="C4721" s="10" t="str">
        <f>"9789814472760"</f>
        <v>9789814472760</v>
      </c>
      <c r="D4721" s="10" t="s">
        <v>8571</v>
      </c>
      <c r="E4721" s="10" t="s">
        <v>8572</v>
      </c>
      <c r="F4721" s="10" t="s">
        <v>549</v>
      </c>
      <c r="G4721" s="10" t="s">
        <v>8573</v>
      </c>
      <c r="H4721" s="11">
        <v>41347</v>
      </c>
      <c r="I4721" s="10">
        <v>2013</v>
      </c>
      <c r="J4721" s="10" t="s">
        <v>8574</v>
      </c>
      <c r="K4721" s="10">
        <v>326</v>
      </c>
      <c r="L4721" s="10" t="s">
        <v>25499</v>
      </c>
      <c r="M4721" s="10">
        <v>1</v>
      </c>
      <c r="N4721" s="10"/>
      <c r="O4721" s="10"/>
      <c r="P4721" s="10" t="s">
        <v>25500</v>
      </c>
      <c r="Q4721" s="10">
        <v>510.71</v>
      </c>
      <c r="R4721" s="10" t="s">
        <v>25501</v>
      </c>
      <c r="S4721" s="10" t="s">
        <v>53</v>
      </c>
      <c r="T4721" s="10" t="s">
        <v>389</v>
      </c>
    </row>
    <row r="4722" spans="1:20" ht="14.5" x14ac:dyDescent="0.35">
      <c r="A4722" s="10" t="s">
        <v>25502</v>
      </c>
      <c r="B4722" s="10" t="str">
        <f>"9780415469982"</f>
        <v>9780415469982</v>
      </c>
      <c r="C4722" s="10" t="str">
        <f>"9781135285272"</f>
        <v>9781135285272</v>
      </c>
      <c r="D4722" s="10" t="s">
        <v>6350</v>
      </c>
      <c r="E4722" s="10" t="s">
        <v>6351</v>
      </c>
      <c r="F4722" s="10" t="s">
        <v>748</v>
      </c>
      <c r="G4722" s="10" t="s">
        <v>6352</v>
      </c>
      <c r="H4722" s="11">
        <v>40053</v>
      </c>
      <c r="I4722" s="10">
        <v>2010</v>
      </c>
      <c r="J4722" s="10" t="s">
        <v>6351</v>
      </c>
      <c r="K4722" s="10">
        <v>235</v>
      </c>
      <c r="L4722" s="10" t="s">
        <v>21755</v>
      </c>
      <c r="M4722" s="10">
        <v>2</v>
      </c>
      <c r="N4722" s="10"/>
      <c r="O4722" s="10"/>
      <c r="P4722" s="10" t="s">
        <v>25503</v>
      </c>
      <c r="Q4722" s="10">
        <v>370.15</v>
      </c>
      <c r="R4722" s="10" t="s">
        <v>6415</v>
      </c>
      <c r="S4722" s="10" t="s">
        <v>53</v>
      </c>
      <c r="T4722" s="10" t="s">
        <v>54</v>
      </c>
    </row>
    <row r="4723" spans="1:20" ht="14.5" x14ac:dyDescent="0.35">
      <c r="A4723" s="10" t="s">
        <v>25504</v>
      </c>
      <c r="B4723" s="10" t="str">
        <f>"9780415473491"</f>
        <v>9780415473491</v>
      </c>
      <c r="C4723" s="10" t="str">
        <f>"9781134027347"</f>
        <v>9781134027347</v>
      </c>
      <c r="D4723" s="10" t="s">
        <v>6350</v>
      </c>
      <c r="E4723" s="10" t="s">
        <v>6351</v>
      </c>
      <c r="F4723" s="10" t="s">
        <v>748</v>
      </c>
      <c r="G4723" s="10" t="s">
        <v>6352</v>
      </c>
      <c r="H4723" s="11">
        <v>40281</v>
      </c>
      <c r="I4723" s="10">
        <v>2010</v>
      </c>
      <c r="J4723" s="10" t="s">
        <v>6351</v>
      </c>
      <c r="K4723" s="10">
        <v>161</v>
      </c>
      <c r="L4723" s="10" t="s">
        <v>7145</v>
      </c>
      <c r="M4723" s="10">
        <v>1</v>
      </c>
      <c r="N4723" s="10" t="s">
        <v>16478</v>
      </c>
      <c r="O4723" s="10"/>
      <c r="P4723" s="10" t="s">
        <v>25505</v>
      </c>
      <c r="Q4723" s="10">
        <v>370.1</v>
      </c>
      <c r="R4723" s="10" t="s">
        <v>25506</v>
      </c>
      <c r="S4723" s="10" t="s">
        <v>53</v>
      </c>
      <c r="T4723" s="10" t="s">
        <v>54</v>
      </c>
    </row>
    <row r="4724" spans="1:20" ht="14.5" x14ac:dyDescent="0.35">
      <c r="A4724" s="10" t="s">
        <v>25507</v>
      </c>
      <c r="B4724" s="10" t="str">
        <f>"9780415252638"</f>
        <v>9780415252638</v>
      </c>
      <c r="C4724" s="10" t="str">
        <f>"9781136742507"</f>
        <v>9781136742507</v>
      </c>
      <c r="D4724" s="10" t="s">
        <v>6350</v>
      </c>
      <c r="E4724" s="10" t="s">
        <v>6351</v>
      </c>
      <c r="F4724" s="10" t="s">
        <v>139</v>
      </c>
      <c r="G4724" s="10" t="s">
        <v>6352</v>
      </c>
      <c r="H4724" s="11">
        <v>37596</v>
      </c>
      <c r="I4724" s="10">
        <v>2002</v>
      </c>
      <c r="J4724" s="10" t="s">
        <v>6353</v>
      </c>
      <c r="K4724" s="10">
        <v>278</v>
      </c>
      <c r="L4724" s="10" t="s">
        <v>25508</v>
      </c>
      <c r="M4724" s="10">
        <v>2</v>
      </c>
      <c r="N4724" s="10"/>
      <c r="O4724" s="10"/>
      <c r="P4724" s="10" t="s">
        <v>25509</v>
      </c>
      <c r="Q4724" s="10" t="s">
        <v>12315</v>
      </c>
      <c r="R4724" s="10" t="s">
        <v>25510</v>
      </c>
      <c r="S4724" s="10" t="s">
        <v>53</v>
      </c>
      <c r="T4724" s="10" t="s">
        <v>8424</v>
      </c>
    </row>
    <row r="4725" spans="1:20" ht="14.5" x14ac:dyDescent="0.35">
      <c r="A4725" s="10" t="s">
        <v>25511</v>
      </c>
      <c r="B4725" s="10" t="str">
        <f>"9781904315292"</f>
        <v>9781904315292</v>
      </c>
      <c r="C4725" s="10" t="str">
        <f>"9781446202708"</f>
        <v>9781446202708</v>
      </c>
      <c r="D4725" s="10" t="s">
        <v>9325</v>
      </c>
      <c r="E4725" s="10" t="s">
        <v>9326</v>
      </c>
      <c r="F4725" s="10" t="s">
        <v>139</v>
      </c>
      <c r="G4725" s="10" t="s">
        <v>6352</v>
      </c>
      <c r="H4725" s="11">
        <v>38121</v>
      </c>
      <c r="I4725" s="10">
        <v>2004</v>
      </c>
      <c r="J4725" s="10" t="s">
        <v>9326</v>
      </c>
      <c r="K4725" s="10">
        <v>165</v>
      </c>
      <c r="L4725" s="10" t="s">
        <v>13629</v>
      </c>
      <c r="M4725" s="10">
        <v>1</v>
      </c>
      <c r="N4725" s="10" t="s">
        <v>11973</v>
      </c>
      <c r="O4725" s="10"/>
      <c r="P4725" s="10" t="s">
        <v>25512</v>
      </c>
      <c r="Q4725" s="10">
        <v>158</v>
      </c>
      <c r="R4725" s="10" t="s">
        <v>25513</v>
      </c>
      <c r="S4725" s="10" t="s">
        <v>53</v>
      </c>
      <c r="T4725" s="10" t="s">
        <v>483</v>
      </c>
    </row>
    <row r="4726" spans="1:20" ht="14.5" x14ac:dyDescent="0.35">
      <c r="A4726" s="10" t="s">
        <v>25514</v>
      </c>
      <c r="B4726" s="10" t="str">
        <f>"9781118526422"</f>
        <v>9781118526422</v>
      </c>
      <c r="C4726" s="10" t="str">
        <f>"9781118584972"</f>
        <v>9781118584972</v>
      </c>
      <c r="D4726" s="10" t="s">
        <v>6322</v>
      </c>
      <c r="E4726" s="10" t="s">
        <v>6323</v>
      </c>
      <c r="F4726" s="10" t="s">
        <v>4423</v>
      </c>
      <c r="G4726" s="10" t="s">
        <v>6317</v>
      </c>
      <c r="H4726" s="11">
        <v>41442</v>
      </c>
      <c r="I4726" s="10">
        <v>2013</v>
      </c>
      <c r="J4726" s="10" t="s">
        <v>6324</v>
      </c>
      <c r="K4726" s="10">
        <v>274</v>
      </c>
      <c r="L4726" s="10" t="s">
        <v>25515</v>
      </c>
      <c r="M4726" s="10">
        <v>1</v>
      </c>
      <c r="N4726" s="10"/>
      <c r="O4726" s="10"/>
      <c r="P4726" s="10"/>
      <c r="Q4726" s="10">
        <v>373.73</v>
      </c>
      <c r="R4726" s="10" t="s">
        <v>25516</v>
      </c>
      <c r="S4726" s="10" t="s">
        <v>53</v>
      </c>
      <c r="T4726" s="10" t="s">
        <v>54</v>
      </c>
    </row>
    <row r="4727" spans="1:20" ht="14.5" x14ac:dyDescent="0.35">
      <c r="A4727" s="10" t="s">
        <v>25517</v>
      </c>
      <c r="B4727" s="10" t="str">
        <f>"9781605542065"</f>
        <v>9781605542065</v>
      </c>
      <c r="C4727" s="10" t="str">
        <f>"9781605542607"</f>
        <v>9781605542607</v>
      </c>
      <c r="D4727" s="10" t="s">
        <v>9533</v>
      </c>
      <c r="E4727" s="10" t="s">
        <v>25518</v>
      </c>
      <c r="F4727" s="10" t="s">
        <v>25519</v>
      </c>
      <c r="G4727" s="10" t="s">
        <v>6317</v>
      </c>
      <c r="H4727" s="11">
        <v>41446</v>
      </c>
      <c r="I4727" s="10">
        <v>2013</v>
      </c>
      <c r="J4727" s="10" t="s">
        <v>25518</v>
      </c>
      <c r="K4727" s="10">
        <v>220</v>
      </c>
      <c r="L4727" s="10" t="s">
        <v>25520</v>
      </c>
      <c r="M4727" s="10">
        <v>1</v>
      </c>
      <c r="N4727" s="10"/>
      <c r="O4727" s="10"/>
      <c r="P4727" s="10" t="s">
        <v>25521</v>
      </c>
      <c r="Q4727" s="10">
        <v>372.21</v>
      </c>
      <c r="R4727" s="10" t="s">
        <v>25522</v>
      </c>
      <c r="S4727" s="10" t="s">
        <v>53</v>
      </c>
      <c r="T4727" s="10" t="s">
        <v>54</v>
      </c>
    </row>
    <row r="4728" spans="1:20" ht="14.5" x14ac:dyDescent="0.35">
      <c r="A4728" s="10" t="s">
        <v>25523</v>
      </c>
      <c r="B4728" s="10" t="str">
        <f>"9781843122067"</f>
        <v>9781843122067</v>
      </c>
      <c r="C4728" s="10" t="str">
        <f>"9781136765322"</f>
        <v>9781136765322</v>
      </c>
      <c r="D4728" s="10" t="s">
        <v>6350</v>
      </c>
      <c r="E4728" s="10" t="s">
        <v>15120</v>
      </c>
      <c r="F4728" s="10" t="s">
        <v>748</v>
      </c>
      <c r="G4728" s="10" t="s">
        <v>6352</v>
      </c>
      <c r="H4728" s="11">
        <v>38539</v>
      </c>
      <c r="I4728" s="10">
        <v>2005</v>
      </c>
      <c r="J4728" s="10" t="s">
        <v>15120</v>
      </c>
      <c r="K4728" s="10">
        <v>175</v>
      </c>
      <c r="L4728" s="10" t="s">
        <v>25524</v>
      </c>
      <c r="M4728" s="10">
        <v>1</v>
      </c>
      <c r="N4728" s="10"/>
      <c r="O4728" s="10"/>
      <c r="P4728" s="10" t="s">
        <v>25525</v>
      </c>
      <c r="Q4728" s="10" t="s">
        <v>25526</v>
      </c>
      <c r="R4728" s="10" t="s">
        <v>25527</v>
      </c>
      <c r="S4728" s="10" t="s">
        <v>53</v>
      </c>
      <c r="T4728" s="10" t="s">
        <v>54</v>
      </c>
    </row>
    <row r="4729" spans="1:20" ht="14.5" x14ac:dyDescent="0.35">
      <c r="A4729" s="10" t="s">
        <v>25528</v>
      </c>
      <c r="B4729" s="10" t="str">
        <f>"9781607091844"</f>
        <v>9781607091844</v>
      </c>
      <c r="C4729" s="10" t="str">
        <f>"9781607091868"</f>
        <v>9781607091868</v>
      </c>
      <c r="D4729" s="10" t="s">
        <v>9752</v>
      </c>
      <c r="E4729" s="10" t="s">
        <v>15192</v>
      </c>
      <c r="F4729" s="10" t="s">
        <v>9754</v>
      </c>
      <c r="G4729" s="10" t="s">
        <v>6317</v>
      </c>
      <c r="H4729" s="11">
        <v>40194</v>
      </c>
      <c r="I4729" s="10">
        <v>2009</v>
      </c>
      <c r="J4729" s="10" t="s">
        <v>15192</v>
      </c>
      <c r="K4729" s="10">
        <v>261</v>
      </c>
      <c r="L4729" s="10" t="s">
        <v>25529</v>
      </c>
      <c r="M4729" s="10">
        <v>1</v>
      </c>
      <c r="N4729" s="10"/>
      <c r="O4729" s="10"/>
      <c r="P4729" s="10" t="s">
        <v>25530</v>
      </c>
      <c r="Q4729" s="10">
        <v>371.10199999999998</v>
      </c>
      <c r="R4729" s="10" t="s">
        <v>23025</v>
      </c>
      <c r="S4729" s="10" t="s">
        <v>53</v>
      </c>
      <c r="T4729" s="10" t="s">
        <v>54</v>
      </c>
    </row>
    <row r="4730" spans="1:20" ht="14.5" x14ac:dyDescent="0.35">
      <c r="A4730" s="10" t="s">
        <v>25531</v>
      </c>
      <c r="B4730" s="10" t="str">
        <f>"9780415697118"</f>
        <v>9780415697118</v>
      </c>
      <c r="C4730" s="10" t="str">
        <f>"9781136495458"</f>
        <v>9781136495458</v>
      </c>
      <c r="D4730" s="10" t="s">
        <v>6350</v>
      </c>
      <c r="E4730" s="10" t="s">
        <v>6351</v>
      </c>
      <c r="F4730" s="10" t="s">
        <v>748</v>
      </c>
      <c r="G4730" s="10" t="s">
        <v>6352</v>
      </c>
      <c r="H4730" s="11">
        <v>41425</v>
      </c>
      <c r="I4730" s="10">
        <v>2013</v>
      </c>
      <c r="J4730" s="10" t="s">
        <v>6351</v>
      </c>
      <c r="K4730" s="10">
        <v>153</v>
      </c>
      <c r="L4730" s="10" t="s">
        <v>25532</v>
      </c>
      <c r="M4730" s="10">
        <v>1</v>
      </c>
      <c r="N4730" s="10"/>
      <c r="O4730" s="10"/>
      <c r="P4730" s="10" t="s">
        <v>25533</v>
      </c>
      <c r="Q4730" s="10">
        <v>372.21</v>
      </c>
      <c r="R4730" s="10" t="s">
        <v>25534</v>
      </c>
      <c r="S4730" s="10" t="s">
        <v>53</v>
      </c>
      <c r="T4730" s="10" t="s">
        <v>54</v>
      </c>
    </row>
    <row r="4731" spans="1:20" ht="14.5" x14ac:dyDescent="0.35">
      <c r="A4731" s="10" t="s">
        <v>25535</v>
      </c>
      <c r="B4731" s="10" t="str">
        <f>"9780415687096"</f>
        <v>9780415687096</v>
      </c>
      <c r="C4731" s="10" t="str">
        <f>"9781135052188"</f>
        <v>9781135052188</v>
      </c>
      <c r="D4731" s="10" t="s">
        <v>6350</v>
      </c>
      <c r="E4731" s="10" t="s">
        <v>6351</v>
      </c>
      <c r="F4731" s="10" t="s">
        <v>3967</v>
      </c>
      <c r="G4731" s="10" t="s">
        <v>6352</v>
      </c>
      <c r="H4731" s="11">
        <v>41400</v>
      </c>
      <c r="I4731" s="10">
        <v>2013</v>
      </c>
      <c r="J4731" s="10" t="s">
        <v>6353</v>
      </c>
      <c r="K4731" s="10">
        <v>220</v>
      </c>
      <c r="L4731" s="10" t="s">
        <v>25536</v>
      </c>
      <c r="M4731" s="10">
        <v>1</v>
      </c>
      <c r="N4731" s="10"/>
      <c r="O4731" s="10"/>
      <c r="P4731" s="10"/>
      <c r="Q4731" s="10"/>
      <c r="R4731" s="10" t="s">
        <v>25537</v>
      </c>
      <c r="S4731" s="10" t="s">
        <v>53</v>
      </c>
      <c r="T4731" s="10" t="s">
        <v>54</v>
      </c>
    </row>
    <row r="4732" spans="1:20" ht="14.5" x14ac:dyDescent="0.35">
      <c r="A4732" s="10" t="s">
        <v>25538</v>
      </c>
      <c r="B4732" s="10" t="str">
        <f>"9780415519052"</f>
        <v>9780415519052</v>
      </c>
      <c r="C4732" s="10" t="str">
        <f>"9781134082674"</f>
        <v>9781134082674</v>
      </c>
      <c r="D4732" s="10" t="s">
        <v>6350</v>
      </c>
      <c r="E4732" s="10" t="s">
        <v>6351</v>
      </c>
      <c r="F4732" s="10" t="s">
        <v>139</v>
      </c>
      <c r="G4732" s="10" t="s">
        <v>6352</v>
      </c>
      <c r="H4732" s="11">
        <v>41416</v>
      </c>
      <c r="I4732" s="10">
        <v>2013</v>
      </c>
      <c r="J4732" s="10" t="s">
        <v>6353</v>
      </c>
      <c r="K4732" s="10">
        <v>205</v>
      </c>
      <c r="L4732" s="10" t="s">
        <v>25539</v>
      </c>
      <c r="M4732" s="10">
        <v>1</v>
      </c>
      <c r="N4732" s="10"/>
      <c r="O4732" s="10"/>
      <c r="P4732" s="10" t="s">
        <v>25540</v>
      </c>
      <c r="Q4732" s="10">
        <v>910.71199999999999</v>
      </c>
      <c r="R4732" s="10" t="s">
        <v>21799</v>
      </c>
      <c r="S4732" s="10" t="s">
        <v>53</v>
      </c>
      <c r="T4732" s="10" t="s">
        <v>12094</v>
      </c>
    </row>
    <row r="4733" spans="1:20" ht="14.5" x14ac:dyDescent="0.35">
      <c r="A4733" s="10" t="s">
        <v>25541</v>
      </c>
      <c r="B4733" s="10" t="str">
        <f>"9780415595520"</f>
        <v>9780415595520</v>
      </c>
      <c r="C4733" s="10" t="str">
        <f>"9781134072873"</f>
        <v>9781134072873</v>
      </c>
      <c r="D4733" s="10" t="s">
        <v>6350</v>
      </c>
      <c r="E4733" s="10" t="s">
        <v>6351</v>
      </c>
      <c r="F4733" s="10" t="s">
        <v>139</v>
      </c>
      <c r="G4733" s="10" t="s">
        <v>6352</v>
      </c>
      <c r="H4733" s="11">
        <v>41407</v>
      </c>
      <c r="I4733" s="10">
        <v>2013</v>
      </c>
      <c r="J4733" s="10" t="s">
        <v>6353</v>
      </c>
      <c r="K4733" s="10">
        <v>167</v>
      </c>
      <c r="L4733" s="10" t="s">
        <v>25542</v>
      </c>
      <c r="M4733" s="10">
        <v>1</v>
      </c>
      <c r="N4733" s="10" t="s">
        <v>25543</v>
      </c>
      <c r="O4733" s="10"/>
      <c r="P4733" s="10" t="s">
        <v>25544</v>
      </c>
      <c r="Q4733" s="10">
        <v>370.952</v>
      </c>
      <c r="R4733" s="10" t="s">
        <v>25545</v>
      </c>
      <c r="S4733" s="10" t="s">
        <v>53</v>
      </c>
      <c r="T4733" s="10" t="s">
        <v>54</v>
      </c>
    </row>
    <row r="4734" spans="1:20" ht="14.5" x14ac:dyDescent="0.35">
      <c r="A4734" s="10" t="s">
        <v>25546</v>
      </c>
      <c r="B4734" s="10" t="str">
        <f>"9780415821728"</f>
        <v>9780415821728</v>
      </c>
      <c r="C4734" s="10" t="str">
        <f>"9781136763045"</f>
        <v>9781136763045</v>
      </c>
      <c r="D4734" s="10" t="s">
        <v>6350</v>
      </c>
      <c r="E4734" s="10" t="s">
        <v>6351</v>
      </c>
      <c r="F4734" s="10" t="s">
        <v>139</v>
      </c>
      <c r="G4734" s="10" t="s">
        <v>6352</v>
      </c>
      <c r="H4734" s="11">
        <v>41466</v>
      </c>
      <c r="I4734" s="10">
        <v>2013</v>
      </c>
      <c r="J4734" s="10" t="s">
        <v>6353</v>
      </c>
      <c r="K4734" s="10">
        <v>144</v>
      </c>
      <c r="L4734" s="10" t="s">
        <v>25547</v>
      </c>
      <c r="M4734" s="10">
        <v>1</v>
      </c>
      <c r="N4734" s="10"/>
      <c r="O4734" s="10"/>
      <c r="P4734" s="10" t="s">
        <v>25548</v>
      </c>
      <c r="Q4734" s="10" t="s">
        <v>10213</v>
      </c>
      <c r="R4734" s="10" t="s">
        <v>22655</v>
      </c>
      <c r="S4734" s="10" t="s">
        <v>53</v>
      </c>
      <c r="T4734" s="10" t="s">
        <v>54</v>
      </c>
    </row>
    <row r="4735" spans="1:20" ht="14.5" x14ac:dyDescent="0.35">
      <c r="A4735" s="10" t="s">
        <v>25549</v>
      </c>
      <c r="B4735" s="10" t="str">
        <f>"9781412995870"</f>
        <v>9781412995870</v>
      </c>
      <c r="C4735" s="10" t="str">
        <f>"9781452262055"</f>
        <v>9781452262055</v>
      </c>
      <c r="D4735" s="10" t="s">
        <v>22210</v>
      </c>
      <c r="E4735" s="10" t="s">
        <v>22214</v>
      </c>
      <c r="F4735" s="10" t="s">
        <v>333</v>
      </c>
      <c r="G4735" s="10" t="s">
        <v>6317</v>
      </c>
      <c r="H4735" s="11">
        <v>41215</v>
      </c>
      <c r="I4735" s="10">
        <v>2013</v>
      </c>
      <c r="J4735" s="10" t="s">
        <v>22214</v>
      </c>
      <c r="K4735" s="10">
        <v>577</v>
      </c>
      <c r="L4735" s="10" t="s">
        <v>25550</v>
      </c>
      <c r="M4735" s="10">
        <v>1</v>
      </c>
      <c r="N4735" s="10"/>
      <c r="O4735" s="10"/>
      <c r="P4735" s="10"/>
      <c r="Q4735" s="10" t="s">
        <v>12332</v>
      </c>
      <c r="R4735" s="10"/>
      <c r="S4735" s="10" t="s">
        <v>53</v>
      </c>
      <c r="T4735" s="10" t="s">
        <v>54</v>
      </c>
    </row>
    <row r="4736" spans="1:20" ht="14.5" x14ac:dyDescent="0.35">
      <c r="A4736" s="10" t="s">
        <v>25551</v>
      </c>
      <c r="B4736" s="10" t="str">
        <f>"9781452205052"</f>
        <v>9781452205052</v>
      </c>
      <c r="C4736" s="10" t="str">
        <f>"9781452276144"</f>
        <v>9781452276144</v>
      </c>
      <c r="D4736" s="10" t="s">
        <v>22210</v>
      </c>
      <c r="E4736" s="10" t="s">
        <v>22214</v>
      </c>
      <c r="F4736" s="10" t="s">
        <v>333</v>
      </c>
      <c r="G4736" s="10" t="s">
        <v>6317</v>
      </c>
      <c r="H4736" s="11">
        <v>41401</v>
      </c>
      <c r="I4736" s="10">
        <v>2013</v>
      </c>
      <c r="J4736" s="10" t="s">
        <v>22214</v>
      </c>
      <c r="K4736" s="10">
        <v>1057</v>
      </c>
      <c r="L4736" s="10" t="s">
        <v>25552</v>
      </c>
      <c r="M4736" s="10">
        <v>1</v>
      </c>
      <c r="N4736" s="10"/>
      <c r="O4736" s="10"/>
      <c r="P4736" s="10" t="s">
        <v>25553</v>
      </c>
      <c r="Q4736" s="10">
        <v>306.43</v>
      </c>
      <c r="R4736" s="10"/>
      <c r="S4736" s="10" t="s">
        <v>53</v>
      </c>
      <c r="T4736" s="10" t="s">
        <v>6472</v>
      </c>
    </row>
    <row r="4737" spans="1:20" ht="14.5" x14ac:dyDescent="0.35">
      <c r="A4737" s="10" t="s">
        <v>25554</v>
      </c>
      <c r="B4737" s="10" t="str">
        <f>"9781118143957"</f>
        <v>9781118143957</v>
      </c>
      <c r="C4737" s="10" t="str">
        <f>"9781118421048"</f>
        <v>9781118421048</v>
      </c>
      <c r="D4737" s="10" t="s">
        <v>6322</v>
      </c>
      <c r="E4737" s="10" t="s">
        <v>6323</v>
      </c>
      <c r="F4737" s="10" t="s">
        <v>4423</v>
      </c>
      <c r="G4737" s="10" t="s">
        <v>6317</v>
      </c>
      <c r="H4737" s="11">
        <v>41435</v>
      </c>
      <c r="I4737" s="10">
        <v>2013</v>
      </c>
      <c r="J4737" s="10" t="s">
        <v>6324</v>
      </c>
      <c r="K4737" s="10">
        <v>492</v>
      </c>
      <c r="L4737" s="10" t="s">
        <v>25555</v>
      </c>
      <c r="M4737" s="10">
        <v>1</v>
      </c>
      <c r="N4737" s="10"/>
      <c r="O4737" s="10"/>
      <c r="P4737" s="10"/>
      <c r="Q4737" s="10"/>
      <c r="R4737" s="10" t="s">
        <v>25556</v>
      </c>
      <c r="S4737" s="10" t="s">
        <v>53</v>
      </c>
      <c r="T4737" s="10" t="s">
        <v>54</v>
      </c>
    </row>
    <row r="4738" spans="1:20" ht="14.5" x14ac:dyDescent="0.35">
      <c r="A4738" s="10" t="s">
        <v>25557</v>
      </c>
      <c r="B4738" s="10" t="str">
        <f>"9781118449776"</f>
        <v>9781118449776</v>
      </c>
      <c r="C4738" s="10" t="str">
        <f>"9781118646526"</f>
        <v>9781118646526</v>
      </c>
      <c r="D4738" s="10" t="s">
        <v>6322</v>
      </c>
      <c r="E4738" s="10" t="s">
        <v>6323</v>
      </c>
      <c r="F4738" s="10" t="s">
        <v>4423</v>
      </c>
      <c r="G4738" s="10" t="s">
        <v>6317</v>
      </c>
      <c r="H4738" s="11">
        <v>41449</v>
      </c>
      <c r="I4738" s="10">
        <v>2013</v>
      </c>
      <c r="J4738" s="10" t="s">
        <v>6324</v>
      </c>
      <c r="K4738" s="10">
        <v>252</v>
      </c>
      <c r="L4738" s="10" t="s">
        <v>25558</v>
      </c>
      <c r="M4738" s="10">
        <v>1</v>
      </c>
      <c r="N4738" s="10"/>
      <c r="O4738" s="10"/>
      <c r="P4738" s="10"/>
      <c r="Q4738" s="10"/>
      <c r="R4738" s="10" t="s">
        <v>20377</v>
      </c>
      <c r="S4738" s="10" t="s">
        <v>53</v>
      </c>
      <c r="T4738" s="10" t="s">
        <v>54</v>
      </c>
    </row>
    <row r="4739" spans="1:20" ht="14.5" x14ac:dyDescent="0.35">
      <c r="A4739" s="10" t="s">
        <v>25559</v>
      </c>
      <c r="B4739" s="10" t="str">
        <f>"9781845118136"</f>
        <v>9781845118136</v>
      </c>
      <c r="C4739" s="10" t="str">
        <f>"9780857730695"</f>
        <v>9780857730695</v>
      </c>
      <c r="D4739" s="10" t="s">
        <v>13959</v>
      </c>
      <c r="E4739" s="10" t="s">
        <v>25560</v>
      </c>
      <c r="F4739" s="10" t="s">
        <v>139</v>
      </c>
      <c r="G4739" s="10" t="s">
        <v>6352</v>
      </c>
      <c r="H4739" s="11">
        <v>41029</v>
      </c>
      <c r="I4739" s="10">
        <v>2013</v>
      </c>
      <c r="J4739" s="10" t="s">
        <v>25560</v>
      </c>
      <c r="K4739" s="10">
        <v>379</v>
      </c>
      <c r="L4739" s="10" t="s">
        <v>25561</v>
      </c>
      <c r="M4739" s="10">
        <v>1</v>
      </c>
      <c r="N4739" s="10"/>
      <c r="O4739" s="10"/>
      <c r="P4739" s="10" t="s">
        <v>25562</v>
      </c>
      <c r="Q4739" s="10">
        <v>371.00956939999998</v>
      </c>
      <c r="R4739" s="10" t="s">
        <v>25563</v>
      </c>
      <c r="S4739" s="10" t="s">
        <v>53</v>
      </c>
      <c r="T4739" s="10" t="s">
        <v>8717</v>
      </c>
    </row>
    <row r="4740" spans="1:20" ht="14.5" x14ac:dyDescent="0.35">
      <c r="A4740" s="10" t="s">
        <v>25564</v>
      </c>
      <c r="B4740" s="10" t="str">
        <f>"9781442210998"</f>
        <v>9781442210998</v>
      </c>
      <c r="C4740" s="10" t="str">
        <f>"9781442211018"</f>
        <v>9781442211018</v>
      </c>
      <c r="D4740" s="10" t="s">
        <v>9752</v>
      </c>
      <c r="E4740" s="10" t="s">
        <v>15187</v>
      </c>
      <c r="F4740" s="10" t="s">
        <v>9754</v>
      </c>
      <c r="G4740" s="10" t="s">
        <v>6317</v>
      </c>
      <c r="H4740" s="11">
        <v>40777</v>
      </c>
      <c r="I4740" s="10">
        <v>2011</v>
      </c>
      <c r="J4740" s="10" t="s">
        <v>15187</v>
      </c>
      <c r="K4740" s="10">
        <v>213</v>
      </c>
      <c r="L4740" s="10" t="s">
        <v>25565</v>
      </c>
      <c r="M4740" s="10">
        <v>1</v>
      </c>
      <c r="N4740" s="10"/>
      <c r="O4740" s="10"/>
      <c r="P4740" s="10" t="s">
        <v>25566</v>
      </c>
      <c r="Q4740" s="10" t="s">
        <v>8916</v>
      </c>
      <c r="R4740" s="10" t="s">
        <v>25567</v>
      </c>
      <c r="S4740" s="10" t="s">
        <v>53</v>
      </c>
      <c r="T4740" s="10" t="s">
        <v>54</v>
      </c>
    </row>
    <row r="4741" spans="1:20" ht="14.5" x14ac:dyDescent="0.35">
      <c r="A4741" s="10" t="s">
        <v>25568</v>
      </c>
      <c r="B4741" s="10" t="str">
        <f>"9781934155820"</f>
        <v>9781934155820</v>
      </c>
      <c r="C4741" s="10" t="str">
        <f>"9781934155851"</f>
        <v>9781934155851</v>
      </c>
      <c r="D4741" s="10" t="s">
        <v>9215</v>
      </c>
      <c r="E4741" s="10" t="s">
        <v>14714</v>
      </c>
      <c r="F4741" s="10" t="s">
        <v>25569</v>
      </c>
      <c r="G4741" s="10" t="s">
        <v>6317</v>
      </c>
      <c r="H4741" s="11">
        <v>41455</v>
      </c>
      <c r="I4741" s="10">
        <v>2013</v>
      </c>
      <c r="J4741" s="10" t="s">
        <v>14714</v>
      </c>
      <c r="K4741" s="10">
        <v>194</v>
      </c>
      <c r="L4741" s="10" t="s">
        <v>14716</v>
      </c>
      <c r="M4741" s="10"/>
      <c r="N4741" s="10"/>
      <c r="O4741" s="10"/>
      <c r="P4741" s="10" t="s">
        <v>25570</v>
      </c>
      <c r="Q4741" s="10">
        <v>371.82996072999998</v>
      </c>
      <c r="R4741" s="10" t="s">
        <v>25571</v>
      </c>
      <c r="S4741" s="10" t="s">
        <v>53</v>
      </c>
      <c r="T4741" s="10" t="s">
        <v>54</v>
      </c>
    </row>
    <row r="4742" spans="1:20" ht="14.5" x14ac:dyDescent="0.35">
      <c r="A4742" s="10" t="s">
        <v>25572</v>
      </c>
      <c r="B4742" s="10" t="str">
        <f>"9780702249853"</f>
        <v>9780702249853</v>
      </c>
      <c r="C4742" s="10" t="str">
        <f>"9780702251757"</f>
        <v>9780702251757</v>
      </c>
      <c r="D4742" s="10" t="s">
        <v>9215</v>
      </c>
      <c r="E4742" s="10" t="s">
        <v>25358</v>
      </c>
      <c r="F4742" s="10" t="s">
        <v>25359</v>
      </c>
      <c r="G4742" s="10" t="s">
        <v>6317</v>
      </c>
      <c r="H4742" s="11">
        <v>41395</v>
      </c>
      <c r="I4742" s="10">
        <v>2013</v>
      </c>
      <c r="J4742" s="10" t="s">
        <v>25358</v>
      </c>
      <c r="K4742" s="10">
        <v>286</v>
      </c>
      <c r="L4742" s="10" t="s">
        <v>25573</v>
      </c>
      <c r="M4742" s="10">
        <v>1</v>
      </c>
      <c r="N4742" s="10"/>
      <c r="O4742" s="10"/>
      <c r="P4742" s="10" t="s">
        <v>25574</v>
      </c>
      <c r="Q4742" s="10">
        <v>371.2</v>
      </c>
      <c r="R4742" s="10" t="s">
        <v>25575</v>
      </c>
      <c r="S4742" s="10" t="s">
        <v>53</v>
      </c>
      <c r="T4742" s="10" t="s">
        <v>54</v>
      </c>
    </row>
    <row r="4743" spans="1:20" ht="14.5" x14ac:dyDescent="0.35">
      <c r="A4743" s="10" t="s">
        <v>25576</v>
      </c>
      <c r="B4743" s="10" t="str">
        <f>"9780415808170"</f>
        <v>9780415808170</v>
      </c>
      <c r="C4743" s="10" t="str">
        <f>"9781136500008"</f>
        <v>9781136500008</v>
      </c>
      <c r="D4743" s="10" t="s">
        <v>6350</v>
      </c>
      <c r="E4743" s="10" t="s">
        <v>6351</v>
      </c>
      <c r="F4743" s="10" t="s">
        <v>139</v>
      </c>
      <c r="G4743" s="10" t="s">
        <v>6352</v>
      </c>
      <c r="H4743" s="11">
        <v>41414</v>
      </c>
      <c r="I4743" s="10">
        <v>2013</v>
      </c>
      <c r="J4743" s="10" t="s">
        <v>6353</v>
      </c>
      <c r="K4743" s="10">
        <v>358</v>
      </c>
      <c r="L4743" s="10" t="s">
        <v>25577</v>
      </c>
      <c r="M4743" s="10">
        <v>4</v>
      </c>
      <c r="N4743" s="10"/>
      <c r="O4743" s="10"/>
      <c r="P4743" s="10" t="s">
        <v>25578</v>
      </c>
      <c r="Q4743" s="10">
        <v>158.6</v>
      </c>
      <c r="R4743" s="10" t="s">
        <v>25579</v>
      </c>
      <c r="S4743" s="10" t="s">
        <v>53</v>
      </c>
      <c r="T4743" s="10" t="s">
        <v>9448</v>
      </c>
    </row>
    <row r="4744" spans="1:20" ht="14.5" x14ac:dyDescent="0.35">
      <c r="A4744" s="10" t="s">
        <v>25580</v>
      </c>
      <c r="B4744" s="10" t="str">
        <f>"9780415582520"</f>
        <v>9780415582520</v>
      </c>
      <c r="C4744" s="10" t="str">
        <f>"9781136729904"</f>
        <v>9781136729904</v>
      </c>
      <c r="D4744" s="10" t="s">
        <v>6350</v>
      </c>
      <c r="E4744" s="10" t="s">
        <v>6351</v>
      </c>
      <c r="F4744" s="10" t="s">
        <v>139</v>
      </c>
      <c r="G4744" s="10" t="s">
        <v>6352</v>
      </c>
      <c r="H4744" s="11">
        <v>41414</v>
      </c>
      <c r="I4744" s="10">
        <v>2013</v>
      </c>
      <c r="J4744" s="10" t="s">
        <v>6353</v>
      </c>
      <c r="K4744" s="10">
        <v>306</v>
      </c>
      <c r="L4744" s="10" t="s">
        <v>25581</v>
      </c>
      <c r="M4744" s="10">
        <v>1</v>
      </c>
      <c r="N4744" s="10"/>
      <c r="O4744" s="10"/>
      <c r="P4744" s="10" t="s">
        <v>25582</v>
      </c>
      <c r="Q4744" s="10">
        <v>370.1</v>
      </c>
      <c r="R4744" s="10" t="s">
        <v>12571</v>
      </c>
      <c r="S4744" s="10" t="s">
        <v>53</v>
      </c>
      <c r="T4744" s="10" t="s">
        <v>54</v>
      </c>
    </row>
    <row r="4745" spans="1:20" ht="14.5" x14ac:dyDescent="0.35">
      <c r="A4745" s="10" t="s">
        <v>25583</v>
      </c>
      <c r="B4745" s="10" t="str">
        <f>"9780415517416"</f>
        <v>9780415517416</v>
      </c>
      <c r="C4745" s="10" t="str">
        <f>"9781136340963"</f>
        <v>9781136340963</v>
      </c>
      <c r="D4745" s="10" t="s">
        <v>6350</v>
      </c>
      <c r="E4745" s="10" t="s">
        <v>6351</v>
      </c>
      <c r="F4745" s="10" t="s">
        <v>139</v>
      </c>
      <c r="G4745" s="10" t="s">
        <v>6352</v>
      </c>
      <c r="H4745" s="11">
        <v>41411</v>
      </c>
      <c r="I4745" s="10">
        <v>2013</v>
      </c>
      <c r="J4745" s="10" t="s">
        <v>6353</v>
      </c>
      <c r="K4745" s="10">
        <v>137</v>
      </c>
      <c r="L4745" s="10" t="s">
        <v>25584</v>
      </c>
      <c r="M4745" s="10">
        <v>1</v>
      </c>
      <c r="N4745" s="10"/>
      <c r="O4745" s="10"/>
      <c r="P4745" s="10" t="s">
        <v>25585</v>
      </c>
      <c r="Q4745" s="10">
        <v>374.94099999999997</v>
      </c>
      <c r="R4745" s="10" t="s">
        <v>25586</v>
      </c>
      <c r="S4745" s="10" t="s">
        <v>53</v>
      </c>
      <c r="T4745" s="10" t="s">
        <v>54</v>
      </c>
    </row>
    <row r="4746" spans="1:20" ht="14.5" x14ac:dyDescent="0.35">
      <c r="A4746" s="10" t="s">
        <v>25587</v>
      </c>
      <c r="B4746" s="10" t="str">
        <f>"9781412903745"</f>
        <v>9781412903745</v>
      </c>
      <c r="C4746" s="10" t="str">
        <f>"9781446264850"</f>
        <v>9781446264850</v>
      </c>
      <c r="D4746" s="10" t="s">
        <v>9325</v>
      </c>
      <c r="E4746" s="10" t="s">
        <v>9326</v>
      </c>
      <c r="F4746" s="10" t="s">
        <v>139</v>
      </c>
      <c r="G4746" s="10" t="s">
        <v>6352</v>
      </c>
      <c r="H4746" s="11">
        <v>38628</v>
      </c>
      <c r="I4746" s="10">
        <v>2005</v>
      </c>
      <c r="J4746" s="10" t="s">
        <v>9326</v>
      </c>
      <c r="K4746" s="10">
        <v>204</v>
      </c>
      <c r="L4746" s="10" t="s">
        <v>25588</v>
      </c>
      <c r="M4746" s="10">
        <v>1</v>
      </c>
      <c r="N4746" s="10"/>
      <c r="O4746" s="10"/>
      <c r="P4746" s="10" t="s">
        <v>25589</v>
      </c>
      <c r="Q4746" s="10" t="s">
        <v>9646</v>
      </c>
      <c r="R4746" s="10" t="s">
        <v>25590</v>
      </c>
      <c r="S4746" s="10" t="s">
        <v>53</v>
      </c>
      <c r="T4746" s="10" t="s">
        <v>54</v>
      </c>
    </row>
    <row r="4747" spans="1:20" ht="14.5" x14ac:dyDescent="0.35">
      <c r="A4747" s="10" t="s">
        <v>25591</v>
      </c>
      <c r="B4747" s="10" t="str">
        <f>"9780804786539"</f>
        <v>9780804786539</v>
      </c>
      <c r="C4747" s="10" t="str">
        <f>"9780804787291"</f>
        <v>9780804787291</v>
      </c>
      <c r="D4747" s="10" t="s">
        <v>16213</v>
      </c>
      <c r="E4747" s="10" t="s">
        <v>16213</v>
      </c>
      <c r="F4747" s="10" t="s">
        <v>16214</v>
      </c>
      <c r="G4747" s="10" t="s">
        <v>6317</v>
      </c>
      <c r="H4747" s="11">
        <v>41472</v>
      </c>
      <c r="I4747" s="10">
        <v>2013</v>
      </c>
      <c r="J4747" s="10" t="s">
        <v>16213</v>
      </c>
      <c r="K4747" s="10">
        <v>358</v>
      </c>
      <c r="L4747" s="10" t="s">
        <v>25592</v>
      </c>
      <c r="M4747" s="10">
        <v>1</v>
      </c>
      <c r="N4747" s="10"/>
      <c r="O4747" s="10"/>
      <c r="P4747" s="10" t="s">
        <v>25593</v>
      </c>
      <c r="Q4747" s="10">
        <v>378.19810972090397</v>
      </c>
      <c r="R4747" s="10" t="s">
        <v>25594</v>
      </c>
      <c r="S4747" s="10" t="s">
        <v>53</v>
      </c>
      <c r="T4747" s="10" t="s">
        <v>54</v>
      </c>
    </row>
    <row r="4748" spans="1:20" ht="14.5" x14ac:dyDescent="0.35">
      <c r="A4748" s="10" t="s">
        <v>25595</v>
      </c>
      <c r="B4748" s="10" t="str">
        <f>"9781118345696"</f>
        <v>9781118345696</v>
      </c>
      <c r="C4748" s="10" t="str">
        <f>"9781118420324"</f>
        <v>9781118420324</v>
      </c>
      <c r="D4748" s="10" t="s">
        <v>6322</v>
      </c>
      <c r="E4748" s="10" t="s">
        <v>6323</v>
      </c>
      <c r="F4748" s="10" t="s">
        <v>4423</v>
      </c>
      <c r="G4748" s="10" t="s">
        <v>6317</v>
      </c>
      <c r="H4748" s="11">
        <v>41414</v>
      </c>
      <c r="I4748" s="10">
        <v>2013</v>
      </c>
      <c r="J4748" s="10" t="s">
        <v>6324</v>
      </c>
      <c r="K4748" s="10">
        <v>203</v>
      </c>
      <c r="L4748" s="10" t="s">
        <v>25596</v>
      </c>
      <c r="M4748" s="10">
        <v>1</v>
      </c>
      <c r="N4748" s="10"/>
      <c r="O4748" s="10"/>
      <c r="P4748" s="10"/>
      <c r="Q4748" s="10">
        <v>372.21</v>
      </c>
      <c r="R4748" s="10" t="s">
        <v>7936</v>
      </c>
      <c r="S4748" s="10" t="s">
        <v>53</v>
      </c>
      <c r="T4748" s="10" t="s">
        <v>54</v>
      </c>
    </row>
    <row r="4749" spans="1:20" ht="14.5" x14ac:dyDescent="0.35">
      <c r="A4749" s="10" t="s">
        <v>25597</v>
      </c>
      <c r="B4749" s="10" t="str">
        <f>"9780761851325"</f>
        <v>9780761851325</v>
      </c>
      <c r="C4749" s="10" t="str">
        <f>"9780761851332"</f>
        <v>9780761851332</v>
      </c>
      <c r="D4749" s="10" t="s">
        <v>9752</v>
      </c>
      <c r="E4749" s="10" t="s">
        <v>17167</v>
      </c>
      <c r="F4749" s="10" t="s">
        <v>9754</v>
      </c>
      <c r="G4749" s="10" t="s">
        <v>6317</v>
      </c>
      <c r="H4749" s="11">
        <v>40311</v>
      </c>
      <c r="I4749" s="10">
        <v>2010</v>
      </c>
      <c r="J4749" s="10" t="s">
        <v>17167</v>
      </c>
      <c r="K4749" s="10">
        <v>522</v>
      </c>
      <c r="L4749" s="10" t="s">
        <v>14646</v>
      </c>
      <c r="M4749" s="10">
        <v>1</v>
      </c>
      <c r="N4749" s="10"/>
      <c r="O4749" s="10"/>
      <c r="P4749" s="10" t="s">
        <v>25598</v>
      </c>
      <c r="Q4749" s="10">
        <v>370.11200000000002</v>
      </c>
      <c r="R4749" s="10" t="s">
        <v>25599</v>
      </c>
      <c r="S4749" s="10" t="s">
        <v>53</v>
      </c>
      <c r="T4749" s="10" t="s">
        <v>54</v>
      </c>
    </row>
    <row r="4750" spans="1:20" ht="14.5" x14ac:dyDescent="0.35">
      <c r="A4750" s="10" t="s">
        <v>25600</v>
      </c>
      <c r="B4750" s="10" t="str">
        <f>"9780415536127"</f>
        <v>9780415536127</v>
      </c>
      <c r="C4750" s="10" t="str">
        <f>"9781136279966"</f>
        <v>9781136279966</v>
      </c>
      <c r="D4750" s="10" t="s">
        <v>6350</v>
      </c>
      <c r="E4750" s="10" t="s">
        <v>6351</v>
      </c>
      <c r="F4750" s="10" t="s">
        <v>139</v>
      </c>
      <c r="G4750" s="10" t="s">
        <v>6352</v>
      </c>
      <c r="H4750" s="11">
        <v>41416</v>
      </c>
      <c r="I4750" s="10">
        <v>2013</v>
      </c>
      <c r="J4750" s="10" t="s">
        <v>6353</v>
      </c>
      <c r="K4750" s="10">
        <v>177</v>
      </c>
      <c r="L4750" s="10" t="s">
        <v>25601</v>
      </c>
      <c r="M4750" s="10">
        <v>1</v>
      </c>
      <c r="N4750" s="10"/>
      <c r="O4750" s="10"/>
      <c r="P4750" s="10" t="s">
        <v>25602</v>
      </c>
      <c r="Q4750" s="10">
        <v>372.21</v>
      </c>
      <c r="R4750" s="10" t="s">
        <v>25603</v>
      </c>
      <c r="S4750" s="10" t="s">
        <v>53</v>
      </c>
      <c r="T4750" s="10" t="s">
        <v>54</v>
      </c>
    </row>
    <row r="4751" spans="1:20" ht="14.5" x14ac:dyDescent="0.35">
      <c r="A4751" s="10" t="s">
        <v>25604</v>
      </c>
      <c r="B4751" s="10" t="str">
        <f>"9780415529150"</f>
        <v>9780415529150</v>
      </c>
      <c r="C4751" s="10" t="str">
        <f>"9781135069667"</f>
        <v>9781135069667</v>
      </c>
      <c r="D4751" s="10" t="s">
        <v>6350</v>
      </c>
      <c r="E4751" s="10" t="s">
        <v>6351</v>
      </c>
      <c r="F4751" s="10" t="s">
        <v>139</v>
      </c>
      <c r="G4751" s="10" t="s">
        <v>6352</v>
      </c>
      <c r="H4751" s="11">
        <v>41416</v>
      </c>
      <c r="I4751" s="10">
        <v>2013</v>
      </c>
      <c r="J4751" s="10" t="s">
        <v>6353</v>
      </c>
      <c r="K4751" s="10">
        <v>260</v>
      </c>
      <c r="L4751" s="10" t="s">
        <v>25605</v>
      </c>
      <c r="M4751" s="10">
        <v>1</v>
      </c>
      <c r="N4751" s="10"/>
      <c r="O4751" s="10"/>
      <c r="P4751" s="10" t="s">
        <v>25606</v>
      </c>
      <c r="Q4751" s="10">
        <v>370.72</v>
      </c>
      <c r="R4751" s="10" t="s">
        <v>25607</v>
      </c>
      <c r="S4751" s="10" t="s">
        <v>53</v>
      </c>
      <c r="T4751" s="10" t="s">
        <v>54</v>
      </c>
    </row>
    <row r="4752" spans="1:20" ht="14.5" x14ac:dyDescent="0.35">
      <c r="A4752" s="10" t="s">
        <v>25608</v>
      </c>
      <c r="B4752" s="10" t="str">
        <f>"9780415603546"</f>
        <v>9780415603546</v>
      </c>
      <c r="C4752" s="10" t="str">
        <f>"9781136730672"</f>
        <v>9781136730672</v>
      </c>
      <c r="D4752" s="10" t="s">
        <v>6350</v>
      </c>
      <c r="E4752" s="10" t="s">
        <v>6351</v>
      </c>
      <c r="F4752" s="10" t="s">
        <v>139</v>
      </c>
      <c r="G4752" s="10" t="s">
        <v>6352</v>
      </c>
      <c r="H4752" s="11">
        <v>41254</v>
      </c>
      <c r="I4752" s="10">
        <v>2013</v>
      </c>
      <c r="J4752" s="10" t="s">
        <v>6353</v>
      </c>
      <c r="K4752" s="10">
        <v>239</v>
      </c>
      <c r="L4752" s="10" t="s">
        <v>25609</v>
      </c>
      <c r="M4752" s="10">
        <v>1</v>
      </c>
      <c r="N4752" s="10" t="s">
        <v>21973</v>
      </c>
      <c r="O4752" s="10"/>
      <c r="P4752" s="10" t="s">
        <v>25610</v>
      </c>
      <c r="Q4752" s="10" t="s">
        <v>25611</v>
      </c>
      <c r="R4752" s="10" t="s">
        <v>21986</v>
      </c>
      <c r="S4752" s="10" t="s">
        <v>53</v>
      </c>
      <c r="T4752" s="10" t="s">
        <v>54</v>
      </c>
    </row>
    <row r="4753" spans="1:20" ht="14.5" x14ac:dyDescent="0.35">
      <c r="A4753" s="10" t="s">
        <v>25612</v>
      </c>
      <c r="B4753" s="10" t="str">
        <f>"9780415807012"</f>
        <v>9780415807012</v>
      </c>
      <c r="C4753" s="10" t="str">
        <f>"9781134070916"</f>
        <v>9781134070916</v>
      </c>
      <c r="D4753" s="10" t="s">
        <v>6350</v>
      </c>
      <c r="E4753" s="10" t="s">
        <v>6351</v>
      </c>
      <c r="F4753" s="10" t="s">
        <v>748</v>
      </c>
      <c r="G4753" s="10" t="s">
        <v>6352</v>
      </c>
      <c r="H4753" s="11">
        <v>41401</v>
      </c>
      <c r="I4753" s="10">
        <v>2013</v>
      </c>
      <c r="J4753" s="10" t="s">
        <v>6351</v>
      </c>
      <c r="K4753" s="10">
        <v>245</v>
      </c>
      <c r="L4753" s="10" t="s">
        <v>25613</v>
      </c>
      <c r="M4753" s="10">
        <v>1</v>
      </c>
      <c r="N4753" s="10" t="s">
        <v>6954</v>
      </c>
      <c r="O4753" s="10"/>
      <c r="P4753" s="10" t="s">
        <v>25614</v>
      </c>
      <c r="Q4753" s="10">
        <v>379.26097299999998</v>
      </c>
      <c r="R4753" s="10" t="s">
        <v>8520</v>
      </c>
      <c r="S4753" s="10" t="s">
        <v>53</v>
      </c>
      <c r="T4753" s="10" t="s">
        <v>54</v>
      </c>
    </row>
    <row r="4754" spans="1:20" ht="14.5" x14ac:dyDescent="0.35">
      <c r="A4754" s="10" t="s">
        <v>25615</v>
      </c>
      <c r="B4754" s="10" t="str">
        <f>"9781452229942"</f>
        <v>9781452229942</v>
      </c>
      <c r="C4754" s="10" t="str">
        <f>"9781452279527"</f>
        <v>9781452279527</v>
      </c>
      <c r="D4754" s="10" t="s">
        <v>22210</v>
      </c>
      <c r="E4754" s="10" t="s">
        <v>22211</v>
      </c>
      <c r="F4754" s="10" t="s">
        <v>333</v>
      </c>
      <c r="G4754" s="10" t="s">
        <v>6317</v>
      </c>
      <c r="H4754" s="11">
        <v>41228</v>
      </c>
      <c r="I4754" s="10">
        <v>2013</v>
      </c>
      <c r="J4754" s="10" t="s">
        <v>22211</v>
      </c>
      <c r="K4754" s="10">
        <v>233</v>
      </c>
      <c r="L4754" s="10" t="s">
        <v>25616</v>
      </c>
      <c r="M4754" s="10">
        <v>1</v>
      </c>
      <c r="N4754" s="10"/>
      <c r="O4754" s="10"/>
      <c r="P4754" s="10"/>
      <c r="Q4754" s="10">
        <v>808.04207099999996</v>
      </c>
      <c r="R4754" s="10"/>
      <c r="S4754" s="10" t="s">
        <v>53</v>
      </c>
      <c r="T4754" s="10" t="s">
        <v>1166</v>
      </c>
    </row>
    <row r="4755" spans="1:20" ht="14.5" x14ac:dyDescent="0.35">
      <c r="A4755" s="10" t="s">
        <v>25617</v>
      </c>
      <c r="B4755" s="10" t="str">
        <f>"9781118693063"</f>
        <v>9781118693063</v>
      </c>
      <c r="C4755" s="10" t="str">
        <f>"9781118709047"</f>
        <v>9781118709047</v>
      </c>
      <c r="D4755" s="10" t="s">
        <v>6322</v>
      </c>
      <c r="E4755" s="10" t="s">
        <v>6323</v>
      </c>
      <c r="F4755" s="10" t="s">
        <v>6339</v>
      </c>
      <c r="G4755" s="10" t="s">
        <v>6317</v>
      </c>
      <c r="H4755" s="11">
        <v>41456</v>
      </c>
      <c r="I4755" s="10">
        <v>2013</v>
      </c>
      <c r="J4755" s="10" t="s">
        <v>6324</v>
      </c>
      <c r="K4755" s="10">
        <v>114</v>
      </c>
      <c r="L4755" s="10" t="s">
        <v>25618</v>
      </c>
      <c r="M4755" s="10">
        <v>1</v>
      </c>
      <c r="N4755" s="10" t="s">
        <v>20707</v>
      </c>
      <c r="O4755" s="10"/>
      <c r="P4755" s="10" t="s">
        <v>25619</v>
      </c>
      <c r="Q4755" s="10">
        <v>374</v>
      </c>
      <c r="R4755" s="10" t="s">
        <v>11901</v>
      </c>
      <c r="S4755" s="10" t="s">
        <v>53</v>
      </c>
      <c r="T4755" s="10" t="s">
        <v>54</v>
      </c>
    </row>
    <row r="4756" spans="1:20" ht="14.5" x14ac:dyDescent="0.35">
      <c r="A4756" s="10" t="s">
        <v>25620</v>
      </c>
      <c r="B4756" s="10" t="str">
        <f>"9781452258553"</f>
        <v>9781452258553</v>
      </c>
      <c r="C4756" s="10" t="str">
        <f>"9781483331058"</f>
        <v>9781483331058</v>
      </c>
      <c r="D4756" s="10" t="s">
        <v>22210</v>
      </c>
      <c r="E4756" s="10" t="s">
        <v>22211</v>
      </c>
      <c r="F4756" s="10" t="s">
        <v>333</v>
      </c>
      <c r="G4756" s="10" t="s">
        <v>6317</v>
      </c>
      <c r="H4756" s="11">
        <v>41417</v>
      </c>
      <c r="I4756" s="10">
        <v>2013</v>
      </c>
      <c r="J4756" s="10" t="s">
        <v>22211</v>
      </c>
      <c r="K4756" s="10">
        <v>249</v>
      </c>
      <c r="L4756" s="10" t="s">
        <v>25621</v>
      </c>
      <c r="M4756" s="10">
        <v>1</v>
      </c>
      <c r="N4756" s="10"/>
      <c r="O4756" s="10"/>
      <c r="P4756" s="10"/>
      <c r="Q4756" s="10">
        <v>371.90973000000002</v>
      </c>
      <c r="R4756" s="10"/>
      <c r="S4756" s="10" t="s">
        <v>53</v>
      </c>
      <c r="T4756" s="10" t="s">
        <v>54</v>
      </c>
    </row>
    <row r="4757" spans="1:20" ht="14.5" x14ac:dyDescent="0.35">
      <c r="A4757" s="10" t="s">
        <v>25622</v>
      </c>
      <c r="B4757" s="10" t="str">
        <f>"9781452235257"</f>
        <v>9781452235257</v>
      </c>
      <c r="C4757" s="10" t="str">
        <f>"9781483331010"</f>
        <v>9781483331010</v>
      </c>
      <c r="D4757" s="10" t="s">
        <v>22210</v>
      </c>
      <c r="E4757" s="10" t="s">
        <v>22211</v>
      </c>
      <c r="F4757" s="10" t="s">
        <v>333</v>
      </c>
      <c r="G4757" s="10" t="s">
        <v>6317</v>
      </c>
      <c r="H4757" s="11">
        <v>41438</v>
      </c>
      <c r="I4757" s="10">
        <v>2013</v>
      </c>
      <c r="J4757" s="10" t="s">
        <v>22211</v>
      </c>
      <c r="K4757" s="10">
        <v>233</v>
      </c>
      <c r="L4757" s="10" t="s">
        <v>25623</v>
      </c>
      <c r="M4757" s="10">
        <v>1</v>
      </c>
      <c r="N4757" s="10"/>
      <c r="O4757" s="10"/>
      <c r="P4757" s="10" t="s">
        <v>25624</v>
      </c>
      <c r="Q4757" s="10">
        <v>371.94</v>
      </c>
      <c r="R4757" s="10"/>
      <c r="S4757" s="10" t="s">
        <v>53</v>
      </c>
      <c r="T4757" s="10" t="s">
        <v>54</v>
      </c>
    </row>
    <row r="4758" spans="1:20" ht="14.5" x14ac:dyDescent="0.35">
      <c r="A4758" s="10" t="s">
        <v>25625</v>
      </c>
      <c r="B4758" s="10" t="str">
        <f>"9781452268217"</f>
        <v>9781452268217</v>
      </c>
      <c r="C4758" s="10" t="str">
        <f>"9781452285146"</f>
        <v>9781452285146</v>
      </c>
      <c r="D4758" s="10" t="s">
        <v>22210</v>
      </c>
      <c r="E4758" s="10" t="s">
        <v>22211</v>
      </c>
      <c r="F4758" s="10" t="s">
        <v>333</v>
      </c>
      <c r="G4758" s="10" t="s">
        <v>6317</v>
      </c>
      <c r="H4758" s="11">
        <v>41408</v>
      </c>
      <c r="I4758" s="10">
        <v>2013</v>
      </c>
      <c r="J4758" s="10" t="s">
        <v>22211</v>
      </c>
      <c r="K4758" s="10">
        <v>217</v>
      </c>
      <c r="L4758" s="10" t="s">
        <v>25094</v>
      </c>
      <c r="M4758" s="10">
        <v>1</v>
      </c>
      <c r="N4758" s="10"/>
      <c r="O4758" s="10"/>
      <c r="P4758" s="10" t="s">
        <v>25626</v>
      </c>
      <c r="Q4758" s="10">
        <v>371.90460973</v>
      </c>
      <c r="R4758" s="10"/>
      <c r="S4758" s="10" t="s">
        <v>53</v>
      </c>
      <c r="T4758" s="10" t="s">
        <v>54</v>
      </c>
    </row>
    <row r="4759" spans="1:20" ht="14.5" x14ac:dyDescent="0.35">
      <c r="A4759" s="10" t="s">
        <v>25627</v>
      </c>
      <c r="B4759" s="10" t="str">
        <f>"9780739140598"</f>
        <v>9780739140598</v>
      </c>
      <c r="C4759" s="10" t="str">
        <f>"9780739140611"</f>
        <v>9780739140611</v>
      </c>
      <c r="D4759" s="10" t="s">
        <v>9752</v>
      </c>
      <c r="E4759" s="10" t="s">
        <v>15182</v>
      </c>
      <c r="F4759" s="10" t="s">
        <v>9754</v>
      </c>
      <c r="G4759" s="10" t="s">
        <v>6317</v>
      </c>
      <c r="H4759" s="11">
        <v>40238</v>
      </c>
      <c r="I4759" s="10">
        <v>2009</v>
      </c>
      <c r="J4759" s="10" t="s">
        <v>15182</v>
      </c>
      <c r="K4759" s="10">
        <v>332</v>
      </c>
      <c r="L4759" s="10" t="s">
        <v>25628</v>
      </c>
      <c r="M4759" s="10">
        <v>1</v>
      </c>
      <c r="N4759" s="10"/>
      <c r="O4759" s="10"/>
      <c r="P4759" s="10" t="s">
        <v>25629</v>
      </c>
      <c r="Q4759" s="10" t="s">
        <v>25630</v>
      </c>
      <c r="R4759" s="10" t="s">
        <v>25631</v>
      </c>
      <c r="S4759" s="10" t="s">
        <v>53</v>
      </c>
      <c r="T4759" s="10" t="s">
        <v>54</v>
      </c>
    </row>
    <row r="4760" spans="1:20" ht="14.5" x14ac:dyDescent="0.35">
      <c r="A4760" s="10" t="s">
        <v>25632</v>
      </c>
      <c r="B4760" s="10" t="str">
        <f>"9781781906965"</f>
        <v>9781781906965</v>
      </c>
      <c r="C4760" s="10" t="str">
        <f>"9781781906972"</f>
        <v>9781781906972</v>
      </c>
      <c r="D4760" s="10" t="s">
        <v>8699</v>
      </c>
      <c r="E4760" s="10" t="s">
        <v>8699</v>
      </c>
      <c r="F4760" s="10" t="s">
        <v>559</v>
      </c>
      <c r="G4760" s="10" t="s">
        <v>6352</v>
      </c>
      <c r="H4760" s="11">
        <v>41431</v>
      </c>
      <c r="I4760" s="10">
        <v>2013</v>
      </c>
      <c r="J4760" s="10" t="s">
        <v>8699</v>
      </c>
      <c r="K4760" s="10">
        <v>334</v>
      </c>
      <c r="L4760" s="10" t="s">
        <v>24816</v>
      </c>
      <c r="M4760" s="10">
        <v>1</v>
      </c>
      <c r="N4760" s="10" t="s">
        <v>24817</v>
      </c>
      <c r="O4760" s="10">
        <v>3</v>
      </c>
      <c r="P4760" s="10" t="s">
        <v>11517</v>
      </c>
      <c r="Q4760" s="10">
        <v>372.43</v>
      </c>
      <c r="R4760" s="10" t="s">
        <v>25633</v>
      </c>
      <c r="S4760" s="10" t="s">
        <v>53</v>
      </c>
      <c r="T4760" s="10" t="s">
        <v>54</v>
      </c>
    </row>
    <row r="4761" spans="1:20" ht="14.5" x14ac:dyDescent="0.35">
      <c r="A4761" s="10" t="s">
        <v>25634</v>
      </c>
      <c r="B4761" s="10" t="str">
        <f>"9781781904299"</f>
        <v>9781781904299</v>
      </c>
      <c r="C4761" s="10" t="str">
        <f>"9781781904305"</f>
        <v>9781781904305</v>
      </c>
      <c r="D4761" s="10" t="s">
        <v>8699</v>
      </c>
      <c r="E4761" s="10" t="s">
        <v>8699</v>
      </c>
      <c r="F4761" s="10" t="s">
        <v>559</v>
      </c>
      <c r="G4761" s="10" t="s">
        <v>6352</v>
      </c>
      <c r="H4761" s="11">
        <v>41431</v>
      </c>
      <c r="I4761" s="10">
        <v>2013</v>
      </c>
      <c r="J4761" s="10" t="s">
        <v>8699</v>
      </c>
      <c r="K4761" s="10">
        <v>300</v>
      </c>
      <c r="L4761" s="10" t="s">
        <v>25635</v>
      </c>
      <c r="M4761" s="10">
        <v>1</v>
      </c>
      <c r="N4761" s="10" t="s">
        <v>14554</v>
      </c>
      <c r="O4761" s="10">
        <v>26</v>
      </c>
      <c r="P4761" s="10"/>
      <c r="Q4761" s="10">
        <v>371.90429999999998</v>
      </c>
      <c r="R4761" s="10" t="s">
        <v>25636</v>
      </c>
      <c r="S4761" s="10" t="s">
        <v>53</v>
      </c>
      <c r="T4761" s="10" t="s">
        <v>54</v>
      </c>
    </row>
    <row r="4762" spans="1:20" ht="14.5" x14ac:dyDescent="0.35">
      <c r="A4762" s="10" t="s">
        <v>25637</v>
      </c>
      <c r="B4762" s="10" t="str">
        <f>"9781118720394"</f>
        <v>9781118720394</v>
      </c>
      <c r="C4762" s="10" t="str">
        <f>"9781118720455"</f>
        <v>9781118720455</v>
      </c>
      <c r="D4762" s="10" t="s">
        <v>6322</v>
      </c>
      <c r="E4762" s="10" t="s">
        <v>6323</v>
      </c>
      <c r="F4762" s="10" t="s">
        <v>6339</v>
      </c>
      <c r="G4762" s="10" t="s">
        <v>6317</v>
      </c>
      <c r="H4762" s="11">
        <v>41465</v>
      </c>
      <c r="I4762" s="10">
        <v>2013</v>
      </c>
      <c r="J4762" s="10" t="s">
        <v>6324</v>
      </c>
      <c r="K4762" s="10">
        <v>136</v>
      </c>
      <c r="L4762" s="10" t="s">
        <v>25638</v>
      </c>
      <c r="M4762" s="10">
        <v>1</v>
      </c>
      <c r="N4762" s="10" t="s">
        <v>20717</v>
      </c>
      <c r="O4762" s="10">
        <v>138</v>
      </c>
      <c r="P4762" s="10" t="s">
        <v>25639</v>
      </c>
      <c r="Q4762" s="10">
        <v>1.4</v>
      </c>
      <c r="R4762" s="10" t="s">
        <v>25640</v>
      </c>
      <c r="S4762" s="10" t="s">
        <v>53</v>
      </c>
      <c r="T4762" s="10" t="s">
        <v>6601</v>
      </c>
    </row>
    <row r="4763" spans="1:20" ht="14.5" x14ac:dyDescent="0.35">
      <c r="A4763" s="10" t="s">
        <v>25641</v>
      </c>
      <c r="B4763" s="10" t="str">
        <f>"9781118700983"</f>
        <v>9781118700983</v>
      </c>
      <c r="C4763" s="10" t="str">
        <f>"9781118709177"</f>
        <v>9781118709177</v>
      </c>
      <c r="D4763" s="10" t="s">
        <v>6322</v>
      </c>
      <c r="E4763" s="10" t="s">
        <v>6323</v>
      </c>
      <c r="F4763" s="10" t="s">
        <v>6339</v>
      </c>
      <c r="G4763" s="10" t="s">
        <v>6317</v>
      </c>
      <c r="H4763" s="11">
        <v>41465</v>
      </c>
      <c r="I4763" s="10">
        <v>2013</v>
      </c>
      <c r="J4763" s="10" t="s">
        <v>6324</v>
      </c>
      <c r="K4763" s="10">
        <v>114</v>
      </c>
      <c r="L4763" s="10" t="s">
        <v>25642</v>
      </c>
      <c r="M4763" s="10">
        <v>1</v>
      </c>
      <c r="N4763" s="10" t="s">
        <v>20712</v>
      </c>
      <c r="O4763" s="10">
        <v>134</v>
      </c>
      <c r="P4763" s="10" t="s">
        <v>25643</v>
      </c>
      <c r="Q4763" s="10">
        <v>248.34</v>
      </c>
      <c r="R4763" s="10" t="s">
        <v>25644</v>
      </c>
      <c r="S4763" s="10" t="s">
        <v>53</v>
      </c>
      <c r="T4763" s="10" t="s">
        <v>8346</v>
      </c>
    </row>
    <row r="4764" spans="1:20" ht="14.5" x14ac:dyDescent="0.35">
      <c r="A4764" s="10" t="s">
        <v>25645</v>
      </c>
      <c r="B4764" s="10" t="str">
        <f>"9781416614654"</f>
        <v>9781416614654</v>
      </c>
      <c r="C4764" s="10" t="str">
        <f>"9781416615637"</f>
        <v>9781416615637</v>
      </c>
      <c r="D4764" s="10" t="s">
        <v>10014</v>
      </c>
      <c r="E4764" s="10" t="s">
        <v>10015</v>
      </c>
      <c r="F4764" s="10" t="s">
        <v>201</v>
      </c>
      <c r="G4764" s="10" t="s">
        <v>6317</v>
      </c>
      <c r="H4764" s="11">
        <v>41424</v>
      </c>
      <c r="I4764" s="10">
        <v>2013</v>
      </c>
      <c r="J4764" s="10" t="s">
        <v>10015</v>
      </c>
      <c r="K4764" s="10">
        <v>267</v>
      </c>
      <c r="L4764" s="10" t="s">
        <v>25646</v>
      </c>
      <c r="M4764" s="10">
        <v>1</v>
      </c>
      <c r="N4764" s="10"/>
      <c r="O4764" s="10"/>
      <c r="P4764" s="10" t="s">
        <v>25647</v>
      </c>
      <c r="Q4764" s="10" t="s">
        <v>25648</v>
      </c>
      <c r="R4764" s="10" t="s">
        <v>25649</v>
      </c>
      <c r="S4764" s="10" t="s">
        <v>53</v>
      </c>
      <c r="T4764" s="10" t="s">
        <v>7425</v>
      </c>
    </row>
    <row r="4765" spans="1:20" ht="14.5" x14ac:dyDescent="0.35">
      <c r="A4765" s="10" t="s">
        <v>25650</v>
      </c>
      <c r="B4765" s="10" t="str">
        <f>"9781416615286"</f>
        <v>9781416615286</v>
      </c>
      <c r="C4765" s="10" t="str">
        <f>"9781416616269"</f>
        <v>9781416616269</v>
      </c>
      <c r="D4765" s="10" t="s">
        <v>10014</v>
      </c>
      <c r="E4765" s="10" t="s">
        <v>10015</v>
      </c>
      <c r="F4765" s="10" t="s">
        <v>201</v>
      </c>
      <c r="G4765" s="10" t="s">
        <v>6317</v>
      </c>
      <c r="H4765" s="11">
        <v>41424</v>
      </c>
      <c r="I4765" s="10">
        <v>2013</v>
      </c>
      <c r="J4765" s="10" t="s">
        <v>10015</v>
      </c>
      <c r="K4765" s="10">
        <v>187</v>
      </c>
      <c r="L4765" s="10" t="s">
        <v>13292</v>
      </c>
      <c r="M4765" s="10">
        <v>1</v>
      </c>
      <c r="N4765" s="10"/>
      <c r="O4765" s="10"/>
      <c r="P4765" s="10" t="s">
        <v>25651</v>
      </c>
      <c r="Q4765" s="10">
        <v>371.2</v>
      </c>
      <c r="R4765" s="10" t="s">
        <v>25652</v>
      </c>
      <c r="S4765" s="10" t="s">
        <v>53</v>
      </c>
      <c r="T4765" s="10" t="s">
        <v>54</v>
      </c>
    </row>
    <row r="4766" spans="1:20" ht="14.5" x14ac:dyDescent="0.35">
      <c r="A4766" s="10" t="s">
        <v>25653</v>
      </c>
      <c r="B4766" s="10" t="str">
        <f>"9781118701027"</f>
        <v>9781118701027</v>
      </c>
      <c r="C4766" s="10" t="str">
        <f>"9781118709139"</f>
        <v>9781118709139</v>
      </c>
      <c r="D4766" s="10" t="s">
        <v>6322</v>
      </c>
      <c r="E4766" s="10" t="s">
        <v>6323</v>
      </c>
      <c r="F4766" s="10" t="s">
        <v>6339</v>
      </c>
      <c r="G4766" s="10" t="s">
        <v>6317</v>
      </c>
      <c r="H4766" s="11">
        <v>41465</v>
      </c>
      <c r="I4766" s="10">
        <v>2013</v>
      </c>
      <c r="J4766" s="10" t="s">
        <v>6324</v>
      </c>
      <c r="K4766" s="10">
        <v>98</v>
      </c>
      <c r="L4766" s="10" t="s">
        <v>25654</v>
      </c>
      <c r="M4766" s="10">
        <v>1</v>
      </c>
      <c r="N4766" s="10" t="s">
        <v>25112</v>
      </c>
      <c r="O4766" s="10"/>
      <c r="P4766" s="10" t="s">
        <v>25655</v>
      </c>
      <c r="Q4766" s="10">
        <v>378.16899999999998</v>
      </c>
      <c r="R4766" s="10" t="s">
        <v>25656</v>
      </c>
      <c r="S4766" s="10" t="s">
        <v>53</v>
      </c>
      <c r="T4766" s="10" t="s">
        <v>54</v>
      </c>
    </row>
    <row r="4767" spans="1:20" ht="14.5" x14ac:dyDescent="0.35">
      <c r="A4767" s="10" t="s">
        <v>25657</v>
      </c>
      <c r="B4767" s="10" t="str">
        <f>"9781408114681"</f>
        <v>9781408114681</v>
      </c>
      <c r="C4767" s="10" t="str">
        <f>"9781408193891"</f>
        <v>9781408193891</v>
      </c>
      <c r="D4767" s="10" t="s">
        <v>13959</v>
      </c>
      <c r="E4767" s="10" t="s">
        <v>13960</v>
      </c>
      <c r="F4767" s="10" t="s">
        <v>139</v>
      </c>
      <c r="G4767" s="10" t="s">
        <v>6352</v>
      </c>
      <c r="H4767" s="11">
        <v>40224</v>
      </c>
      <c r="I4767" s="10">
        <v>2013</v>
      </c>
      <c r="J4767" s="10" t="s">
        <v>25203</v>
      </c>
      <c r="K4767" s="10">
        <v>129</v>
      </c>
      <c r="L4767" s="10" t="s">
        <v>25658</v>
      </c>
      <c r="M4767" s="10">
        <v>1</v>
      </c>
      <c r="N4767" s="10"/>
      <c r="O4767" s="10"/>
      <c r="P4767" s="10" t="s">
        <v>25659</v>
      </c>
      <c r="Q4767" s="10">
        <v>372.1823</v>
      </c>
      <c r="R4767" s="10" t="s">
        <v>25660</v>
      </c>
      <c r="S4767" s="10" t="s">
        <v>53</v>
      </c>
      <c r="T4767" s="10" t="s">
        <v>11702</v>
      </c>
    </row>
    <row r="4768" spans="1:20" ht="14.5" x14ac:dyDescent="0.35">
      <c r="A4768" s="10" t="s">
        <v>25661</v>
      </c>
      <c r="B4768" s="10" t="str">
        <f>"9781408123140"</f>
        <v>9781408123140</v>
      </c>
      <c r="C4768" s="10" t="str">
        <f>"9781408193921"</f>
        <v>9781408193921</v>
      </c>
      <c r="D4768" s="10" t="s">
        <v>13959</v>
      </c>
      <c r="E4768" s="10" t="s">
        <v>13960</v>
      </c>
      <c r="F4768" s="10" t="s">
        <v>139</v>
      </c>
      <c r="G4768" s="10" t="s">
        <v>6352</v>
      </c>
      <c r="H4768" s="11">
        <v>40724</v>
      </c>
      <c r="I4768" s="10">
        <v>2013</v>
      </c>
      <c r="J4768" s="10" t="s">
        <v>25203</v>
      </c>
      <c r="K4768" s="10">
        <v>177</v>
      </c>
      <c r="L4768" s="10" t="s">
        <v>25662</v>
      </c>
      <c r="M4768" s="10">
        <v>1</v>
      </c>
      <c r="N4768" s="10" t="s">
        <v>25205</v>
      </c>
      <c r="O4768" s="10"/>
      <c r="P4768" s="10" t="s">
        <v>25663</v>
      </c>
      <c r="Q4768" s="10">
        <v>372.11023999999998</v>
      </c>
      <c r="R4768" s="10" t="s">
        <v>25664</v>
      </c>
      <c r="S4768" s="10" t="s">
        <v>53</v>
      </c>
      <c r="T4768" s="10" t="s">
        <v>54</v>
      </c>
    </row>
    <row r="4769" spans="1:20" ht="14.5" x14ac:dyDescent="0.35">
      <c r="A4769" s="10" t="s">
        <v>25665</v>
      </c>
      <c r="B4769" s="10" t="str">
        <f>"9781472904744"</f>
        <v>9781472904744</v>
      </c>
      <c r="C4769" s="10" t="str">
        <f>"9781408193907"</f>
        <v>9781408193907</v>
      </c>
      <c r="D4769" s="10" t="s">
        <v>13959</v>
      </c>
      <c r="E4769" s="10" t="s">
        <v>13960</v>
      </c>
      <c r="F4769" s="10" t="s">
        <v>139</v>
      </c>
      <c r="G4769" s="10" t="s">
        <v>6352</v>
      </c>
      <c r="H4769" s="11">
        <v>41543</v>
      </c>
      <c r="I4769" s="10">
        <v>2013</v>
      </c>
      <c r="J4769" s="10" t="s">
        <v>25203</v>
      </c>
      <c r="K4769" s="10">
        <v>151</v>
      </c>
      <c r="L4769" s="10" t="s">
        <v>25666</v>
      </c>
      <c r="M4769" s="10">
        <v>1</v>
      </c>
      <c r="N4769" s="10" t="s">
        <v>25205</v>
      </c>
      <c r="O4769" s="10"/>
      <c r="P4769" s="10" t="s">
        <v>25667</v>
      </c>
      <c r="Q4769" s="10">
        <v>372.12599999999998</v>
      </c>
      <c r="R4769" s="10" t="s">
        <v>18285</v>
      </c>
      <c r="S4769" s="10" t="s">
        <v>53</v>
      </c>
      <c r="T4769" s="10" t="s">
        <v>11880</v>
      </c>
    </row>
    <row r="4770" spans="1:20" ht="14.5" x14ac:dyDescent="0.35">
      <c r="A4770" s="10" t="s">
        <v>25668</v>
      </c>
      <c r="B4770" s="10" t="str">
        <f>"9781408140666"</f>
        <v>9781408140666</v>
      </c>
      <c r="C4770" s="10" t="str">
        <f>"9781408193945"</f>
        <v>9781408193945</v>
      </c>
      <c r="D4770" s="10" t="s">
        <v>13959</v>
      </c>
      <c r="E4770" s="10" t="s">
        <v>13960</v>
      </c>
      <c r="F4770" s="10" t="s">
        <v>139</v>
      </c>
      <c r="G4770" s="10" t="s">
        <v>6352</v>
      </c>
      <c r="H4770" s="11">
        <v>40595</v>
      </c>
      <c r="I4770" s="10">
        <v>2013</v>
      </c>
      <c r="J4770" s="10" t="s">
        <v>25203</v>
      </c>
      <c r="K4770" s="10">
        <v>193</v>
      </c>
      <c r="L4770" s="10" t="s">
        <v>25669</v>
      </c>
      <c r="M4770" s="10">
        <v>1</v>
      </c>
      <c r="N4770" s="10" t="s">
        <v>25205</v>
      </c>
      <c r="O4770" s="10"/>
      <c r="P4770" s="10" t="s">
        <v>25670</v>
      </c>
      <c r="Q4770" s="10">
        <v>372.21094099999999</v>
      </c>
      <c r="R4770" s="10" t="s">
        <v>25671</v>
      </c>
      <c r="S4770" s="10" t="s">
        <v>53</v>
      </c>
      <c r="T4770" s="10" t="s">
        <v>54</v>
      </c>
    </row>
    <row r="4771" spans="1:20" ht="14.5" x14ac:dyDescent="0.35">
      <c r="A4771" s="10" t="s">
        <v>25672</v>
      </c>
      <c r="B4771" s="10" t="str">
        <f>"9781472596000"</f>
        <v>9781472596000</v>
      </c>
      <c r="C4771" s="10" t="str">
        <f>"9781441148681"</f>
        <v>9781441148681</v>
      </c>
      <c r="D4771" s="10" t="s">
        <v>13959</v>
      </c>
      <c r="E4771" s="10" t="s">
        <v>13960</v>
      </c>
      <c r="F4771" s="10" t="s">
        <v>139</v>
      </c>
      <c r="G4771" s="10" t="s">
        <v>6352</v>
      </c>
      <c r="H4771" s="11">
        <v>41991</v>
      </c>
      <c r="I4771" s="10">
        <v>2013</v>
      </c>
      <c r="J4771" s="10" t="s">
        <v>14057</v>
      </c>
      <c r="K4771" s="10">
        <v>197</v>
      </c>
      <c r="L4771" s="10" t="s">
        <v>25673</v>
      </c>
      <c r="M4771" s="10">
        <v>1</v>
      </c>
      <c r="N4771" s="10"/>
      <c r="O4771" s="10"/>
      <c r="P4771" s="10" t="s">
        <v>25674</v>
      </c>
      <c r="Q4771" s="10" t="s">
        <v>9360</v>
      </c>
      <c r="R4771" s="10" t="s">
        <v>25675</v>
      </c>
      <c r="S4771" s="10" t="s">
        <v>53</v>
      </c>
      <c r="T4771" s="10" t="s">
        <v>54</v>
      </c>
    </row>
    <row r="4772" spans="1:20" ht="14.5" x14ac:dyDescent="0.35">
      <c r="A4772" s="10" t="s">
        <v>25676</v>
      </c>
      <c r="B4772" s="10" t="str">
        <f>"9781443845922"</f>
        <v>9781443845922</v>
      </c>
      <c r="C4772" s="10" t="str">
        <f>"9781443848886"</f>
        <v>9781443848886</v>
      </c>
      <c r="D4772" s="10" t="s">
        <v>23635</v>
      </c>
      <c r="E4772" s="10" t="s">
        <v>23635</v>
      </c>
      <c r="F4772" s="10" t="s">
        <v>23636</v>
      </c>
      <c r="G4772" s="10" t="s">
        <v>6352</v>
      </c>
      <c r="H4772" s="11">
        <v>41439</v>
      </c>
      <c r="I4772" s="10">
        <v>2013</v>
      </c>
      <c r="J4772" s="10" t="s">
        <v>23635</v>
      </c>
      <c r="K4772" s="10">
        <v>203</v>
      </c>
      <c r="L4772" s="10" t="s">
        <v>25677</v>
      </c>
      <c r="M4772" s="10">
        <v>1</v>
      </c>
      <c r="N4772" s="10"/>
      <c r="O4772" s="10"/>
      <c r="P4772" s="10" t="s">
        <v>25678</v>
      </c>
      <c r="Q4772" s="10">
        <v>378</v>
      </c>
      <c r="R4772" s="10" t="s">
        <v>25679</v>
      </c>
      <c r="S4772" s="10" t="s">
        <v>53</v>
      </c>
      <c r="T4772" s="10" t="s">
        <v>54</v>
      </c>
    </row>
    <row r="4773" spans="1:20" ht="14.5" x14ac:dyDescent="0.35">
      <c r="A4773" s="10" t="s">
        <v>25680</v>
      </c>
      <c r="B4773" s="10" t="str">
        <f>"9781118735756"</f>
        <v>9781118735756</v>
      </c>
      <c r="C4773" s="10" t="str">
        <f>"9781118735763"</f>
        <v>9781118735763</v>
      </c>
      <c r="D4773" s="10" t="s">
        <v>6322</v>
      </c>
      <c r="E4773" s="10" t="s">
        <v>6323</v>
      </c>
      <c r="F4773" s="10" t="s">
        <v>70</v>
      </c>
      <c r="G4773" s="10" t="s">
        <v>6317</v>
      </c>
      <c r="H4773" s="11">
        <v>41498</v>
      </c>
      <c r="I4773" s="10">
        <v>2013</v>
      </c>
      <c r="J4773" s="10" t="s">
        <v>6324</v>
      </c>
      <c r="K4773" s="10">
        <v>114</v>
      </c>
      <c r="L4773" s="10" t="s">
        <v>25681</v>
      </c>
      <c r="M4773" s="10">
        <v>1</v>
      </c>
      <c r="N4773" s="10" t="s">
        <v>25682</v>
      </c>
      <c r="O4773" s="10"/>
      <c r="P4773" s="10" t="s">
        <v>25683</v>
      </c>
      <c r="Q4773" s="10">
        <v>303.32</v>
      </c>
      <c r="R4773" s="10" t="s">
        <v>25684</v>
      </c>
      <c r="S4773" s="10" t="s">
        <v>53</v>
      </c>
      <c r="T4773" s="10" t="s">
        <v>6472</v>
      </c>
    </row>
    <row r="4774" spans="1:20" ht="14.5" x14ac:dyDescent="0.35">
      <c r="A4774" s="10" t="s">
        <v>25685</v>
      </c>
      <c r="B4774" s="10" t="str">
        <f>"9780415503693"</f>
        <v>9780415503693</v>
      </c>
      <c r="C4774" s="10" t="str">
        <f>"9781136311536"</f>
        <v>9781136311536</v>
      </c>
      <c r="D4774" s="10" t="s">
        <v>6350</v>
      </c>
      <c r="E4774" s="10" t="s">
        <v>6351</v>
      </c>
      <c r="F4774" s="10" t="s">
        <v>748</v>
      </c>
      <c r="G4774" s="10" t="s">
        <v>6352</v>
      </c>
      <c r="H4774" s="11">
        <v>41388</v>
      </c>
      <c r="I4774" s="10">
        <v>2013</v>
      </c>
      <c r="J4774" s="10" t="s">
        <v>6351</v>
      </c>
      <c r="K4774" s="10">
        <v>680</v>
      </c>
      <c r="L4774" s="10" t="s">
        <v>25686</v>
      </c>
      <c r="M4774" s="10">
        <v>1</v>
      </c>
      <c r="N4774" s="10"/>
      <c r="O4774" s="10"/>
      <c r="P4774" s="10" t="s">
        <v>25687</v>
      </c>
      <c r="Q4774" s="10">
        <v>371.33</v>
      </c>
      <c r="R4774" s="10" t="s">
        <v>25688</v>
      </c>
      <c r="S4774" s="10" t="s">
        <v>53</v>
      </c>
      <c r="T4774" s="10" t="s">
        <v>54</v>
      </c>
    </row>
    <row r="4775" spans="1:20" ht="14.5" x14ac:dyDescent="0.35">
      <c r="A4775" s="10" t="s">
        <v>25689</v>
      </c>
      <c r="B4775" s="10" t="str">
        <f>"9780415593090"</f>
        <v>9780415593090</v>
      </c>
      <c r="C4775" s="10" t="str">
        <f>"9781136730818"</f>
        <v>9781136730818</v>
      </c>
      <c r="D4775" s="10" t="s">
        <v>6350</v>
      </c>
      <c r="E4775" s="10" t="s">
        <v>6351</v>
      </c>
      <c r="F4775" s="10" t="s">
        <v>139</v>
      </c>
      <c r="G4775" s="10" t="s">
        <v>6352</v>
      </c>
      <c r="H4775" s="11">
        <v>41480</v>
      </c>
      <c r="I4775" s="10">
        <v>2013</v>
      </c>
      <c r="J4775" s="10" t="s">
        <v>6353</v>
      </c>
      <c r="K4775" s="10">
        <v>178</v>
      </c>
      <c r="L4775" s="10" t="s">
        <v>25690</v>
      </c>
      <c r="M4775" s="10">
        <v>1</v>
      </c>
      <c r="N4775" s="10" t="s">
        <v>16038</v>
      </c>
      <c r="O4775" s="10"/>
      <c r="P4775" s="10" t="s">
        <v>25691</v>
      </c>
      <c r="Q4775" s="10">
        <v>370.15100000000001</v>
      </c>
      <c r="R4775" s="10" t="s">
        <v>19491</v>
      </c>
      <c r="S4775" s="10" t="s">
        <v>53</v>
      </c>
      <c r="T4775" s="10" t="s">
        <v>54</v>
      </c>
    </row>
    <row r="4776" spans="1:20" ht="14.5" x14ac:dyDescent="0.35">
      <c r="A4776" s="10" t="s">
        <v>25692</v>
      </c>
      <c r="B4776" s="10" t="str">
        <f>"9780415644518"</f>
        <v>9780415644518</v>
      </c>
      <c r="C4776" s="10" t="str">
        <f>"9781136160202"</f>
        <v>9781136160202</v>
      </c>
      <c r="D4776" s="10" t="s">
        <v>6350</v>
      </c>
      <c r="E4776" s="10" t="s">
        <v>6351</v>
      </c>
      <c r="F4776" s="10" t="s">
        <v>139</v>
      </c>
      <c r="G4776" s="10" t="s">
        <v>6352</v>
      </c>
      <c r="H4776" s="11">
        <v>41423</v>
      </c>
      <c r="I4776" s="10">
        <v>2013</v>
      </c>
      <c r="J4776" s="10" t="s">
        <v>6353</v>
      </c>
      <c r="K4776" s="10">
        <v>150</v>
      </c>
      <c r="L4776" s="10" t="s">
        <v>25693</v>
      </c>
      <c r="M4776" s="10">
        <v>1</v>
      </c>
      <c r="N4776" s="10"/>
      <c r="O4776" s="10"/>
      <c r="P4776" s="10" t="s">
        <v>25694</v>
      </c>
      <c r="Q4776" s="10">
        <v>378.12</v>
      </c>
      <c r="R4776" s="10" t="s">
        <v>8224</v>
      </c>
      <c r="S4776" s="10" t="s">
        <v>53</v>
      </c>
      <c r="T4776" s="10" t="s">
        <v>54</v>
      </c>
    </row>
    <row r="4777" spans="1:20" ht="14.5" x14ac:dyDescent="0.35">
      <c r="A4777" s="10" t="s">
        <v>25695</v>
      </c>
      <c r="B4777" s="10" t="str">
        <f>"9780415633123"</f>
        <v>9780415633123</v>
      </c>
      <c r="C4777" s="10" t="str">
        <f>"9781135052140"</f>
        <v>9781135052140</v>
      </c>
      <c r="D4777" s="10" t="s">
        <v>6350</v>
      </c>
      <c r="E4777" s="10" t="s">
        <v>6351</v>
      </c>
      <c r="F4777" s="10" t="s">
        <v>5406</v>
      </c>
      <c r="G4777" s="10" t="s">
        <v>6352</v>
      </c>
      <c r="H4777" s="11">
        <v>41418</v>
      </c>
      <c r="I4777" s="10">
        <v>2013</v>
      </c>
      <c r="J4777" s="10" t="s">
        <v>6353</v>
      </c>
      <c r="K4777" s="10">
        <v>158</v>
      </c>
      <c r="L4777" s="10" t="s">
        <v>25696</v>
      </c>
      <c r="M4777" s="10">
        <v>1</v>
      </c>
      <c r="N4777" s="10" t="s">
        <v>25697</v>
      </c>
      <c r="O4777" s="10"/>
      <c r="P4777" s="10" t="s">
        <v>25698</v>
      </c>
      <c r="Q4777" s="10">
        <v>371.2011</v>
      </c>
      <c r="R4777" s="10" t="s">
        <v>25699</v>
      </c>
      <c r="S4777" s="10" t="s">
        <v>53</v>
      </c>
      <c r="T4777" s="10" t="s">
        <v>54</v>
      </c>
    </row>
    <row r="4778" spans="1:20" ht="14.5" x14ac:dyDescent="0.35">
      <c r="A4778" s="10" t="s">
        <v>25700</v>
      </c>
      <c r="B4778" s="10" t="str">
        <f>"9780415816793"</f>
        <v>9780415816793</v>
      </c>
      <c r="C4778" s="10" t="str">
        <f>"9781136654749"</f>
        <v>9781136654749</v>
      </c>
      <c r="D4778" s="10" t="s">
        <v>6350</v>
      </c>
      <c r="E4778" s="10" t="s">
        <v>6351</v>
      </c>
      <c r="F4778" s="10" t="s">
        <v>748</v>
      </c>
      <c r="G4778" s="10" t="s">
        <v>6352</v>
      </c>
      <c r="H4778" s="11">
        <v>41463</v>
      </c>
      <c r="I4778" s="10">
        <v>2013</v>
      </c>
      <c r="J4778" s="10" t="s">
        <v>6351</v>
      </c>
      <c r="K4778" s="10">
        <v>239</v>
      </c>
      <c r="L4778" s="10" t="s">
        <v>25701</v>
      </c>
      <c r="M4778" s="10">
        <v>1</v>
      </c>
      <c r="N4778" s="10" t="s">
        <v>21615</v>
      </c>
      <c r="O4778" s="10"/>
      <c r="P4778" s="10" t="s">
        <v>25702</v>
      </c>
      <c r="Q4778" s="10">
        <v>370.72</v>
      </c>
      <c r="R4778" s="10" t="s">
        <v>6755</v>
      </c>
      <c r="S4778" s="10" t="s">
        <v>53</v>
      </c>
      <c r="T4778" s="10" t="s">
        <v>54</v>
      </c>
    </row>
    <row r="4779" spans="1:20" ht="14.5" x14ac:dyDescent="0.35">
      <c r="A4779" s="10" t="s">
        <v>25703</v>
      </c>
      <c r="B4779" s="10" t="str">
        <f>"9780415821100"</f>
        <v>9780415821100</v>
      </c>
      <c r="C4779" s="10" t="str">
        <f>"9781136743160"</f>
        <v>9781136743160</v>
      </c>
      <c r="D4779" s="10" t="s">
        <v>6350</v>
      </c>
      <c r="E4779" s="10" t="s">
        <v>6351</v>
      </c>
      <c r="F4779" s="10" t="s">
        <v>139</v>
      </c>
      <c r="G4779" s="10" t="s">
        <v>6352</v>
      </c>
      <c r="H4779" s="11">
        <v>41430</v>
      </c>
      <c r="I4779" s="10">
        <v>2013</v>
      </c>
      <c r="J4779" s="10" t="s">
        <v>6353</v>
      </c>
      <c r="K4779" s="10">
        <v>249</v>
      </c>
      <c r="L4779" s="10" t="s">
        <v>25704</v>
      </c>
      <c r="M4779" s="10">
        <v>1</v>
      </c>
      <c r="N4779" s="10"/>
      <c r="O4779" s="10"/>
      <c r="P4779" s="10" t="s">
        <v>25705</v>
      </c>
      <c r="Q4779" s="10">
        <v>378.1982900973</v>
      </c>
      <c r="R4779" s="10" t="s">
        <v>25706</v>
      </c>
      <c r="S4779" s="10" t="s">
        <v>53</v>
      </c>
      <c r="T4779" s="10" t="s">
        <v>10388</v>
      </c>
    </row>
    <row r="4780" spans="1:20" ht="14.5" x14ac:dyDescent="0.35">
      <c r="A4780" s="10" t="s">
        <v>25707</v>
      </c>
      <c r="B4780" s="10" t="str">
        <f>"9780415881753"</f>
        <v>9780415881753</v>
      </c>
      <c r="C4780" s="10" t="str">
        <f>"9781135114466"</f>
        <v>9781135114466</v>
      </c>
      <c r="D4780" s="10" t="s">
        <v>6350</v>
      </c>
      <c r="E4780" s="10" t="s">
        <v>6351</v>
      </c>
      <c r="F4780" s="10" t="s">
        <v>139</v>
      </c>
      <c r="G4780" s="10" t="s">
        <v>6352</v>
      </c>
      <c r="H4780" s="11">
        <v>41443</v>
      </c>
      <c r="I4780" s="10">
        <v>2012</v>
      </c>
      <c r="J4780" s="10" t="s">
        <v>6353</v>
      </c>
      <c r="K4780" s="10">
        <v>240</v>
      </c>
      <c r="L4780" s="10" t="s">
        <v>18767</v>
      </c>
      <c r="M4780" s="10">
        <v>2</v>
      </c>
      <c r="N4780" s="10"/>
      <c r="O4780" s="10"/>
      <c r="P4780" s="10" t="s">
        <v>25708</v>
      </c>
      <c r="Q4780" s="10">
        <v>371.334</v>
      </c>
      <c r="R4780" s="10" t="s">
        <v>6343</v>
      </c>
      <c r="S4780" s="10" t="s">
        <v>53</v>
      </c>
      <c r="T4780" s="10" t="s">
        <v>54</v>
      </c>
    </row>
    <row r="4781" spans="1:20" ht="14.5" x14ac:dyDescent="0.35">
      <c r="A4781" s="10" t="s">
        <v>25709</v>
      </c>
      <c r="B4781" s="10" t="str">
        <f>"9780415655972"</f>
        <v>9780415655972</v>
      </c>
      <c r="C4781" s="10" t="str">
        <f>"9781135136673"</f>
        <v>9781135136673</v>
      </c>
      <c r="D4781" s="10" t="s">
        <v>6350</v>
      </c>
      <c r="E4781" s="10" t="s">
        <v>6351</v>
      </c>
      <c r="F4781" s="10" t="s">
        <v>139</v>
      </c>
      <c r="G4781" s="10" t="s">
        <v>6352</v>
      </c>
      <c r="H4781" s="11">
        <v>41429</v>
      </c>
      <c r="I4781" s="10">
        <v>2013</v>
      </c>
      <c r="J4781" s="10" t="s">
        <v>6353</v>
      </c>
      <c r="K4781" s="10">
        <v>136</v>
      </c>
      <c r="L4781" s="10" t="s">
        <v>25710</v>
      </c>
      <c r="M4781" s="10">
        <v>1</v>
      </c>
      <c r="N4781" s="10"/>
      <c r="O4781" s="10"/>
      <c r="P4781" s="10" t="s">
        <v>25711</v>
      </c>
      <c r="Q4781" s="10">
        <v>371.33446780000003</v>
      </c>
      <c r="R4781" s="10" t="s">
        <v>25712</v>
      </c>
      <c r="S4781" s="10" t="s">
        <v>53</v>
      </c>
      <c r="T4781" s="10" t="s">
        <v>54</v>
      </c>
    </row>
    <row r="4782" spans="1:20" ht="14.5" x14ac:dyDescent="0.35">
      <c r="A4782" s="10" t="s">
        <v>25713</v>
      </c>
      <c r="B4782" s="10" t="str">
        <f>"9780415809245"</f>
        <v>9780415809245</v>
      </c>
      <c r="C4782" s="10" t="str">
        <f>"9781135069582"</f>
        <v>9781135069582</v>
      </c>
      <c r="D4782" s="10" t="s">
        <v>6350</v>
      </c>
      <c r="E4782" s="10" t="s">
        <v>6351</v>
      </c>
      <c r="F4782" s="10" t="s">
        <v>139</v>
      </c>
      <c r="G4782" s="10" t="s">
        <v>6352</v>
      </c>
      <c r="H4782" s="11">
        <v>41416</v>
      </c>
      <c r="I4782" s="10">
        <v>2013</v>
      </c>
      <c r="J4782" s="10" t="s">
        <v>6353</v>
      </c>
      <c r="K4782" s="10">
        <v>329</v>
      </c>
      <c r="L4782" s="10" t="s">
        <v>25714</v>
      </c>
      <c r="M4782" s="10">
        <v>1</v>
      </c>
      <c r="N4782" s="10" t="s">
        <v>14416</v>
      </c>
      <c r="O4782" s="10"/>
      <c r="P4782" s="10" t="s">
        <v>25715</v>
      </c>
      <c r="Q4782" s="10">
        <v>378</v>
      </c>
      <c r="R4782" s="10" t="s">
        <v>12345</v>
      </c>
      <c r="S4782" s="10" t="s">
        <v>53</v>
      </c>
      <c r="T4782" s="10" t="s">
        <v>54</v>
      </c>
    </row>
    <row r="4783" spans="1:20" ht="14.5" x14ac:dyDescent="0.35">
      <c r="A4783" s="10" t="s">
        <v>25716</v>
      </c>
      <c r="B4783" s="10" t="str">
        <f>"9781118754382"</f>
        <v>9781118754382</v>
      </c>
      <c r="C4783" s="10" t="str">
        <f>"9781118754276"</f>
        <v>9781118754276</v>
      </c>
      <c r="D4783" s="10" t="s">
        <v>6322</v>
      </c>
      <c r="E4783" s="10" t="s">
        <v>6323</v>
      </c>
      <c r="F4783" s="10" t="s">
        <v>6339</v>
      </c>
      <c r="G4783" s="10" t="s">
        <v>6317</v>
      </c>
      <c r="H4783" s="11">
        <v>41465</v>
      </c>
      <c r="I4783" s="10">
        <v>2013</v>
      </c>
      <c r="J4783" s="10" t="s">
        <v>6324</v>
      </c>
      <c r="K4783" s="10">
        <v>154</v>
      </c>
      <c r="L4783" s="10" t="s">
        <v>25717</v>
      </c>
      <c r="M4783" s="10">
        <v>1</v>
      </c>
      <c r="N4783" s="10" t="s">
        <v>23322</v>
      </c>
      <c r="O4783" s="10"/>
      <c r="P4783" s="10" t="s">
        <v>25718</v>
      </c>
      <c r="Q4783" s="10" t="s">
        <v>8381</v>
      </c>
      <c r="R4783" s="10" t="s">
        <v>25719</v>
      </c>
      <c r="S4783" s="10" t="s">
        <v>53</v>
      </c>
      <c r="T4783" s="10" t="s">
        <v>54</v>
      </c>
    </row>
    <row r="4784" spans="1:20" ht="14.5" x14ac:dyDescent="0.35">
      <c r="A4784" s="10" t="s">
        <v>25720</v>
      </c>
      <c r="B4784" s="10" t="str">
        <f>"9780739176429"</f>
        <v>9780739176429</v>
      </c>
      <c r="C4784" s="10" t="str">
        <f>"9780739176436"</f>
        <v>9780739176436</v>
      </c>
      <c r="D4784" s="10" t="s">
        <v>9752</v>
      </c>
      <c r="E4784" s="10" t="s">
        <v>15182</v>
      </c>
      <c r="F4784" s="10" t="s">
        <v>9754</v>
      </c>
      <c r="G4784" s="10" t="s">
        <v>6317</v>
      </c>
      <c r="H4784" s="11">
        <v>41477</v>
      </c>
      <c r="I4784" s="10">
        <v>2013</v>
      </c>
      <c r="J4784" s="10" t="s">
        <v>15182</v>
      </c>
      <c r="K4784" s="10">
        <v>157</v>
      </c>
      <c r="L4784" s="10" t="s">
        <v>25721</v>
      </c>
      <c r="M4784" s="10">
        <v>1</v>
      </c>
      <c r="N4784" s="10"/>
      <c r="O4784" s="10"/>
      <c r="P4784" s="10" t="s">
        <v>25722</v>
      </c>
      <c r="Q4784" s="10">
        <v>370.11500000000001</v>
      </c>
      <c r="R4784" s="10" t="s">
        <v>25723</v>
      </c>
      <c r="S4784" s="10" t="s">
        <v>53</v>
      </c>
      <c r="T4784" s="10" t="s">
        <v>54</v>
      </c>
    </row>
    <row r="4785" spans="1:20" ht="14.5" x14ac:dyDescent="0.35">
      <c r="A4785" s="10" t="s">
        <v>25724</v>
      </c>
      <c r="B4785" s="10" t="str">
        <f>"9781118732274"</f>
        <v>9781118732274</v>
      </c>
      <c r="C4785" s="10" t="str">
        <f>"9781118738788"</f>
        <v>9781118738788</v>
      </c>
      <c r="D4785" s="10" t="s">
        <v>6322</v>
      </c>
      <c r="E4785" s="10" t="s">
        <v>6323</v>
      </c>
      <c r="F4785" s="10" t="s">
        <v>6339</v>
      </c>
      <c r="G4785" s="10" t="s">
        <v>6317</v>
      </c>
      <c r="H4785" s="11">
        <v>41465</v>
      </c>
      <c r="I4785" s="10">
        <v>2013</v>
      </c>
      <c r="J4785" s="10" t="s">
        <v>6324</v>
      </c>
      <c r="K4785" s="10">
        <v>119</v>
      </c>
      <c r="L4785" s="10" t="s">
        <v>25725</v>
      </c>
      <c r="M4785" s="10">
        <v>1</v>
      </c>
      <c r="N4785" s="10" t="s">
        <v>21283</v>
      </c>
      <c r="O4785" s="10"/>
      <c r="P4785" s="10" t="s">
        <v>25726</v>
      </c>
      <c r="Q4785" s="10" t="s">
        <v>25727</v>
      </c>
      <c r="R4785" s="10" t="s">
        <v>25728</v>
      </c>
      <c r="S4785" s="10" t="s">
        <v>53</v>
      </c>
      <c r="T4785" s="10" t="s">
        <v>54</v>
      </c>
    </row>
    <row r="4786" spans="1:20" ht="14.5" x14ac:dyDescent="0.35">
      <c r="A4786" s="10" t="s">
        <v>25729</v>
      </c>
      <c r="B4786" s="10" t="str">
        <f>"9781853467318"</f>
        <v>9781853467318</v>
      </c>
      <c r="C4786" s="10" t="str">
        <f>"9781136613128"</f>
        <v>9781136613128</v>
      </c>
      <c r="D4786" s="10" t="s">
        <v>6350</v>
      </c>
      <c r="E4786" s="10" t="s">
        <v>6351</v>
      </c>
      <c r="F4786" s="10" t="s">
        <v>748</v>
      </c>
      <c r="G4786" s="10" t="s">
        <v>6352</v>
      </c>
      <c r="H4786" s="11">
        <v>37484</v>
      </c>
      <c r="I4786" s="10">
        <v>2002</v>
      </c>
      <c r="J4786" s="10" t="s">
        <v>6351</v>
      </c>
      <c r="K4786" s="10">
        <v>113</v>
      </c>
      <c r="L4786" s="10" t="s">
        <v>25730</v>
      </c>
      <c r="M4786" s="10">
        <v>2</v>
      </c>
      <c r="N4786" s="10"/>
      <c r="O4786" s="10"/>
      <c r="P4786" s="10" t="s">
        <v>25731</v>
      </c>
      <c r="Q4786" s="10">
        <v>618.92858899999999</v>
      </c>
      <c r="R4786" s="10" t="s">
        <v>25732</v>
      </c>
      <c r="S4786" s="10" t="s">
        <v>53</v>
      </c>
      <c r="T4786" s="10" t="s">
        <v>10829</v>
      </c>
    </row>
    <row r="4787" spans="1:20" ht="14.5" x14ac:dyDescent="0.35">
      <c r="A4787" s="10" t="s">
        <v>25733</v>
      </c>
      <c r="B4787" s="10" t="str">
        <f>"9781853468827"</f>
        <v>9781853468827</v>
      </c>
      <c r="C4787" s="10" t="str">
        <f>"9781136765889"</f>
        <v>9781136765889</v>
      </c>
      <c r="D4787" s="10" t="s">
        <v>6350</v>
      </c>
      <c r="E4787" s="10" t="s">
        <v>15120</v>
      </c>
      <c r="F4787" s="10" t="s">
        <v>748</v>
      </c>
      <c r="G4787" s="10" t="s">
        <v>6352</v>
      </c>
      <c r="H4787" s="11">
        <v>37330</v>
      </c>
      <c r="I4787" s="10">
        <v>2002</v>
      </c>
      <c r="J4787" s="10" t="s">
        <v>15120</v>
      </c>
      <c r="K4787" s="10">
        <v>97</v>
      </c>
      <c r="L4787" s="10" t="s">
        <v>25734</v>
      </c>
      <c r="M4787" s="10">
        <v>1</v>
      </c>
      <c r="N4787" s="10"/>
      <c r="O4787" s="10"/>
      <c r="P4787" s="10" t="s">
        <v>25735</v>
      </c>
      <c r="Q4787" s="10" t="s">
        <v>7428</v>
      </c>
      <c r="R4787" s="10" t="s">
        <v>6547</v>
      </c>
      <c r="S4787" s="10" t="s">
        <v>53</v>
      </c>
      <c r="T4787" s="10" t="s">
        <v>54</v>
      </c>
    </row>
    <row r="4788" spans="1:20" ht="14.5" x14ac:dyDescent="0.35">
      <c r="A4788" s="10" t="s">
        <v>25736</v>
      </c>
      <c r="B4788" s="10" t="str">
        <f>"9780415945202"</f>
        <v>9780415945202</v>
      </c>
      <c r="C4788" s="10" t="str">
        <f>"9781136728136"</f>
        <v>9781136728136</v>
      </c>
      <c r="D4788" s="10" t="s">
        <v>6350</v>
      </c>
      <c r="E4788" s="10" t="s">
        <v>6351</v>
      </c>
      <c r="F4788" s="10" t="s">
        <v>748</v>
      </c>
      <c r="G4788" s="10" t="s">
        <v>6352</v>
      </c>
      <c r="H4788" s="11">
        <v>38526</v>
      </c>
      <c r="I4788" s="10">
        <v>2005</v>
      </c>
      <c r="J4788" s="10" t="s">
        <v>6351</v>
      </c>
      <c r="K4788" s="10">
        <v>247</v>
      </c>
      <c r="L4788" s="10" t="s">
        <v>25737</v>
      </c>
      <c r="M4788" s="10">
        <v>1</v>
      </c>
      <c r="N4788" s="10" t="s">
        <v>7735</v>
      </c>
      <c r="O4788" s="10"/>
      <c r="P4788" s="10"/>
      <c r="Q4788" s="10"/>
      <c r="R4788" s="10" t="s">
        <v>25738</v>
      </c>
      <c r="S4788" s="10" t="s">
        <v>53</v>
      </c>
      <c r="T4788" s="10" t="s">
        <v>54</v>
      </c>
    </row>
    <row r="4789" spans="1:20" ht="14.5" x14ac:dyDescent="0.35">
      <c r="A4789" s="10" t="s">
        <v>25739</v>
      </c>
      <c r="B4789" s="10" t="str">
        <f>"9781412915564"</f>
        <v>9781412915564</v>
      </c>
      <c r="C4789" s="10" t="str">
        <f>"9781452296692"</f>
        <v>9781452296692</v>
      </c>
      <c r="D4789" s="10" t="s">
        <v>22210</v>
      </c>
      <c r="E4789" s="10" t="s">
        <v>22211</v>
      </c>
      <c r="F4789" s="10" t="s">
        <v>333</v>
      </c>
      <c r="G4789" s="10" t="s">
        <v>6317</v>
      </c>
      <c r="H4789" s="11">
        <v>39260</v>
      </c>
      <c r="I4789" s="10">
        <v>2008</v>
      </c>
      <c r="J4789" s="10" t="s">
        <v>22211</v>
      </c>
      <c r="K4789" s="10">
        <v>145</v>
      </c>
      <c r="L4789" s="10" t="s">
        <v>25740</v>
      </c>
      <c r="M4789" s="10">
        <v>1</v>
      </c>
      <c r="N4789" s="10"/>
      <c r="O4789" s="10"/>
      <c r="P4789" s="10" t="s">
        <v>25741</v>
      </c>
      <c r="Q4789" s="10">
        <v>371.20097299999998</v>
      </c>
      <c r="R4789" s="10"/>
      <c r="S4789" s="10" t="s">
        <v>53</v>
      </c>
      <c r="T4789" s="10" t="s">
        <v>54</v>
      </c>
    </row>
    <row r="4790" spans="1:20" ht="14.5" x14ac:dyDescent="0.35">
      <c r="A4790" s="10" t="s">
        <v>25742</v>
      </c>
      <c r="B4790" s="10" t="str">
        <f>"9781412917735"</f>
        <v>9781412917735</v>
      </c>
      <c r="C4790" s="10" t="str">
        <f>"9781452296784"</f>
        <v>9781452296784</v>
      </c>
      <c r="D4790" s="10" t="s">
        <v>22210</v>
      </c>
      <c r="E4790" s="10" t="s">
        <v>22211</v>
      </c>
      <c r="F4790" s="10" t="s">
        <v>333</v>
      </c>
      <c r="G4790" s="10" t="s">
        <v>6317</v>
      </c>
      <c r="H4790" s="11">
        <v>39345</v>
      </c>
      <c r="I4790" s="10">
        <v>2008</v>
      </c>
      <c r="J4790" s="10" t="s">
        <v>22211</v>
      </c>
      <c r="K4790" s="10">
        <v>233</v>
      </c>
      <c r="L4790" s="10" t="s">
        <v>25743</v>
      </c>
      <c r="M4790" s="10">
        <v>1</v>
      </c>
      <c r="N4790" s="10"/>
      <c r="O4790" s="10"/>
      <c r="P4790" s="10" t="s">
        <v>25744</v>
      </c>
      <c r="Q4790" s="10" t="s">
        <v>22247</v>
      </c>
      <c r="R4790" s="10"/>
      <c r="S4790" s="10" t="s">
        <v>53</v>
      </c>
      <c r="T4790" s="10" t="s">
        <v>54</v>
      </c>
    </row>
    <row r="4791" spans="1:20" ht="14.5" x14ac:dyDescent="0.35">
      <c r="A4791" s="10" t="s">
        <v>25745</v>
      </c>
      <c r="B4791" s="10" t="str">
        <f>"9789814508650"</f>
        <v>9789814508650</v>
      </c>
      <c r="C4791" s="10" t="str">
        <f>"9789814508667"</f>
        <v>9789814508667</v>
      </c>
      <c r="D4791" s="10" t="s">
        <v>8571</v>
      </c>
      <c r="E4791" s="10" t="s">
        <v>8572</v>
      </c>
      <c r="F4791" s="10" t="s">
        <v>549</v>
      </c>
      <c r="G4791" s="10" t="s">
        <v>8573</v>
      </c>
      <c r="H4791" s="11">
        <v>41390</v>
      </c>
      <c r="I4791" s="10">
        <v>2013</v>
      </c>
      <c r="J4791" s="10" t="s">
        <v>8574</v>
      </c>
      <c r="K4791" s="10">
        <v>165</v>
      </c>
      <c r="L4791" s="10" t="s">
        <v>25746</v>
      </c>
      <c r="M4791" s="10">
        <v>1</v>
      </c>
      <c r="N4791" s="10"/>
      <c r="O4791" s="10"/>
      <c r="P4791" s="10" t="s">
        <v>25747</v>
      </c>
      <c r="Q4791" s="10">
        <v>378.10300000000001</v>
      </c>
      <c r="R4791" s="10" t="s">
        <v>25748</v>
      </c>
      <c r="S4791" s="10" t="s">
        <v>53</v>
      </c>
      <c r="T4791" s="10" t="s">
        <v>54</v>
      </c>
    </row>
    <row r="4792" spans="1:20" ht="14.5" x14ac:dyDescent="0.35">
      <c r="A4792" s="10" t="s">
        <v>25749</v>
      </c>
      <c r="B4792" s="10" t="str">
        <f>"9789004250246"</f>
        <v>9789004250246</v>
      </c>
      <c r="C4792" s="10" t="str">
        <f>"9789004252028"</f>
        <v>9789004252028</v>
      </c>
      <c r="D4792" s="10" t="s">
        <v>8564</v>
      </c>
      <c r="E4792" s="10" t="s">
        <v>8565</v>
      </c>
      <c r="F4792" s="10" t="s">
        <v>1420</v>
      </c>
      <c r="G4792" s="10" t="s">
        <v>6317</v>
      </c>
      <c r="H4792" s="11">
        <v>41446</v>
      </c>
      <c r="I4792" s="10">
        <v>2013</v>
      </c>
      <c r="J4792" s="10" t="s">
        <v>8565</v>
      </c>
      <c r="K4792" s="10">
        <v>440</v>
      </c>
      <c r="L4792" s="10" t="s">
        <v>25750</v>
      </c>
      <c r="M4792" s="10">
        <v>1</v>
      </c>
      <c r="N4792" s="10" t="s">
        <v>22525</v>
      </c>
      <c r="O4792" s="10">
        <v>38</v>
      </c>
      <c r="P4792" s="10" t="s">
        <v>25751</v>
      </c>
      <c r="Q4792" s="10">
        <v>378.4309045</v>
      </c>
      <c r="R4792" s="10" t="s">
        <v>25752</v>
      </c>
      <c r="S4792" s="10" t="s">
        <v>53</v>
      </c>
      <c r="T4792" s="10" t="s">
        <v>54</v>
      </c>
    </row>
    <row r="4793" spans="1:20" ht="14.5" x14ac:dyDescent="0.35">
      <c r="A4793" s="10" t="s">
        <v>25753</v>
      </c>
      <c r="B4793" s="10" t="str">
        <f>"9781452241982"</f>
        <v>9781452241982</v>
      </c>
      <c r="C4793" s="10" t="str">
        <f>"9781483304298"</f>
        <v>9781483304298</v>
      </c>
      <c r="D4793" s="10" t="s">
        <v>22210</v>
      </c>
      <c r="E4793" s="10" t="s">
        <v>22211</v>
      </c>
      <c r="F4793" s="10" t="s">
        <v>333</v>
      </c>
      <c r="G4793" s="10" t="s">
        <v>6317</v>
      </c>
      <c r="H4793" s="11">
        <v>41445</v>
      </c>
      <c r="I4793" s="10">
        <v>2013</v>
      </c>
      <c r="J4793" s="10" t="s">
        <v>22211</v>
      </c>
      <c r="K4793" s="10">
        <v>185</v>
      </c>
      <c r="L4793" s="10" t="s">
        <v>25754</v>
      </c>
      <c r="M4793" s="10">
        <v>1</v>
      </c>
      <c r="N4793" s="10"/>
      <c r="O4793" s="10"/>
      <c r="P4793" s="10" t="s">
        <v>25755</v>
      </c>
      <c r="Q4793" s="10">
        <v>371.78</v>
      </c>
      <c r="R4793" s="10" t="s">
        <v>25756</v>
      </c>
      <c r="S4793" s="10" t="s">
        <v>53</v>
      </c>
      <c r="T4793" s="10" t="s">
        <v>54</v>
      </c>
    </row>
    <row r="4794" spans="1:20" ht="14.5" x14ac:dyDescent="0.35">
      <c r="A4794" s="10" t="s">
        <v>25757</v>
      </c>
      <c r="B4794" s="10" t="str">
        <f>"9780815703730"</f>
        <v>9780815703730</v>
      </c>
      <c r="C4794" s="10" t="str">
        <f>"9780815722717"</f>
        <v>9780815722717</v>
      </c>
      <c r="D4794" s="10" t="s">
        <v>9752</v>
      </c>
      <c r="E4794" s="10" t="s">
        <v>9753</v>
      </c>
      <c r="F4794" s="10" t="s">
        <v>9754</v>
      </c>
      <c r="G4794" s="10" t="s">
        <v>6317</v>
      </c>
      <c r="H4794" s="11">
        <v>41444</v>
      </c>
      <c r="I4794" s="10">
        <v>2013</v>
      </c>
      <c r="J4794" s="10" t="s">
        <v>9753</v>
      </c>
      <c r="K4794" s="10">
        <v>161</v>
      </c>
      <c r="L4794" s="10" t="s">
        <v>25758</v>
      </c>
      <c r="M4794" s="10">
        <v>1</v>
      </c>
      <c r="N4794" s="10"/>
      <c r="O4794" s="10"/>
      <c r="P4794" s="10" t="s">
        <v>25759</v>
      </c>
      <c r="Q4794" s="10">
        <v>370.97300000000001</v>
      </c>
      <c r="R4794" s="10" t="s">
        <v>25760</v>
      </c>
      <c r="S4794" s="10" t="s">
        <v>53</v>
      </c>
      <c r="T4794" s="10" t="s">
        <v>54</v>
      </c>
    </row>
    <row r="4795" spans="1:20" ht="14.5" x14ac:dyDescent="0.35">
      <c r="A4795" s="10" t="s">
        <v>25761</v>
      </c>
      <c r="B4795" s="10" t="str">
        <f>"9780804786010"</f>
        <v>9780804786010</v>
      </c>
      <c r="C4795" s="10" t="str">
        <f>"9780804786416"</f>
        <v>9780804786416</v>
      </c>
      <c r="D4795" s="10" t="s">
        <v>16213</v>
      </c>
      <c r="E4795" s="10" t="s">
        <v>16213</v>
      </c>
      <c r="F4795" s="10" t="s">
        <v>16214</v>
      </c>
      <c r="G4795" s="10" t="s">
        <v>6317</v>
      </c>
      <c r="H4795" s="11">
        <v>41472</v>
      </c>
      <c r="I4795" s="10">
        <v>2013</v>
      </c>
      <c r="J4795" s="10" t="s">
        <v>16213</v>
      </c>
      <c r="K4795" s="10">
        <v>405</v>
      </c>
      <c r="L4795" s="10" t="s">
        <v>25762</v>
      </c>
      <c r="M4795" s="10">
        <v>1</v>
      </c>
      <c r="N4795" s="10"/>
      <c r="O4795" s="10"/>
      <c r="P4795" s="10" t="s">
        <v>25763</v>
      </c>
      <c r="Q4795" s="10">
        <v>378</v>
      </c>
      <c r="R4795" s="10" t="s">
        <v>25764</v>
      </c>
      <c r="S4795" s="10" t="s">
        <v>53</v>
      </c>
      <c r="T4795" s="10" t="s">
        <v>54</v>
      </c>
    </row>
    <row r="4796" spans="1:20" ht="14.5" x14ac:dyDescent="0.35">
      <c r="A4796" s="10" t="s">
        <v>25765</v>
      </c>
      <c r="B4796" s="10" t="str">
        <f>"9780415679657"</f>
        <v>9780415679657</v>
      </c>
      <c r="C4796" s="10" t="str">
        <f>"9781136654640"</f>
        <v>9781136654640</v>
      </c>
      <c r="D4796" s="10" t="s">
        <v>6350</v>
      </c>
      <c r="E4796" s="10" t="s">
        <v>6351</v>
      </c>
      <c r="F4796" s="10" t="s">
        <v>139</v>
      </c>
      <c r="G4796" s="10" t="s">
        <v>6352</v>
      </c>
      <c r="H4796" s="11">
        <v>41480</v>
      </c>
      <c r="I4796" s="10">
        <v>2013</v>
      </c>
      <c r="J4796" s="10" t="s">
        <v>6353</v>
      </c>
      <c r="K4796" s="10">
        <v>255</v>
      </c>
      <c r="L4796" s="10" t="s">
        <v>25766</v>
      </c>
      <c r="M4796" s="10">
        <v>2</v>
      </c>
      <c r="N4796" s="10"/>
      <c r="O4796" s="10"/>
      <c r="P4796" s="10" t="s">
        <v>25767</v>
      </c>
      <c r="Q4796" s="10" t="s">
        <v>25768</v>
      </c>
      <c r="R4796" s="10" t="s">
        <v>25769</v>
      </c>
      <c r="S4796" s="10" t="s">
        <v>53</v>
      </c>
      <c r="T4796" s="10" t="s">
        <v>25770</v>
      </c>
    </row>
    <row r="4797" spans="1:20" ht="14.5" x14ac:dyDescent="0.35">
      <c r="A4797" s="10" t="s">
        <v>25771</v>
      </c>
      <c r="B4797" s="10" t="str">
        <f>"9780415810593"</f>
        <v>9780415810593</v>
      </c>
      <c r="C4797" s="10" t="str">
        <f>"9781135093051"</f>
        <v>9781135093051</v>
      </c>
      <c r="D4797" s="10" t="s">
        <v>6350</v>
      </c>
      <c r="E4797" s="10" t="s">
        <v>6351</v>
      </c>
      <c r="F4797" s="10" t="s">
        <v>139</v>
      </c>
      <c r="G4797" s="10" t="s">
        <v>6352</v>
      </c>
      <c r="H4797" s="11">
        <v>41436</v>
      </c>
      <c r="I4797" s="10">
        <v>2013</v>
      </c>
      <c r="J4797" s="10" t="s">
        <v>6353</v>
      </c>
      <c r="K4797" s="10">
        <v>187</v>
      </c>
      <c r="L4797" s="10" t="s">
        <v>25772</v>
      </c>
      <c r="M4797" s="10">
        <v>1</v>
      </c>
      <c r="N4797" s="10"/>
      <c r="O4797" s="10"/>
      <c r="P4797" s="10" t="s">
        <v>25773</v>
      </c>
      <c r="Q4797" s="10">
        <v>371.82996072999998</v>
      </c>
      <c r="R4797" s="10" t="s">
        <v>25774</v>
      </c>
      <c r="S4797" s="10" t="s">
        <v>53</v>
      </c>
      <c r="T4797" s="10" t="s">
        <v>54</v>
      </c>
    </row>
    <row r="4798" spans="1:20" ht="14.5" x14ac:dyDescent="0.35">
      <c r="A4798" s="10" t="s">
        <v>25775</v>
      </c>
      <c r="B4798" s="10" t="str">
        <f>"9780415641661"</f>
        <v>9780415641661</v>
      </c>
      <c r="C4798" s="10" t="str">
        <f>"9781136173622"</f>
        <v>9781136173622</v>
      </c>
      <c r="D4798" s="10" t="s">
        <v>6350</v>
      </c>
      <c r="E4798" s="10" t="s">
        <v>6351</v>
      </c>
      <c r="F4798" s="10" t="s">
        <v>139</v>
      </c>
      <c r="G4798" s="10" t="s">
        <v>6352</v>
      </c>
      <c r="H4798" s="11">
        <v>41401</v>
      </c>
      <c r="I4798" s="10">
        <v>2013</v>
      </c>
      <c r="J4798" s="10" t="s">
        <v>6353</v>
      </c>
      <c r="K4798" s="10">
        <v>156</v>
      </c>
      <c r="L4798" s="10" t="s">
        <v>25776</v>
      </c>
      <c r="M4798" s="10">
        <v>1</v>
      </c>
      <c r="N4798" s="10" t="s">
        <v>22164</v>
      </c>
      <c r="O4798" s="10"/>
      <c r="P4798" s="10" t="s">
        <v>25777</v>
      </c>
      <c r="Q4798" s="10">
        <v>370.72</v>
      </c>
      <c r="R4798" s="10" t="s">
        <v>25778</v>
      </c>
      <c r="S4798" s="10" t="s">
        <v>53</v>
      </c>
      <c r="T4798" s="10" t="s">
        <v>54</v>
      </c>
    </row>
    <row r="4799" spans="1:20" ht="14.5" x14ac:dyDescent="0.35">
      <c r="A4799" s="10" t="s">
        <v>25779</v>
      </c>
      <c r="B4799" s="10" t="str">
        <f>"9781118450871"</f>
        <v>9781118450871</v>
      </c>
      <c r="C4799" s="10" t="str">
        <f>"9781118640135"</f>
        <v>9781118640135</v>
      </c>
      <c r="D4799" s="10" t="s">
        <v>6322</v>
      </c>
      <c r="E4799" s="10" t="s">
        <v>6323</v>
      </c>
      <c r="F4799" s="10" t="s">
        <v>6339</v>
      </c>
      <c r="G4799" s="10" t="s">
        <v>6317</v>
      </c>
      <c r="H4799" s="11">
        <v>41477</v>
      </c>
      <c r="I4799" s="10">
        <v>2013</v>
      </c>
      <c r="J4799" s="10" t="s">
        <v>6324</v>
      </c>
      <c r="K4799" s="10">
        <v>466</v>
      </c>
      <c r="L4799" s="10" t="s">
        <v>25780</v>
      </c>
      <c r="M4799" s="10">
        <v>3</v>
      </c>
      <c r="N4799" s="10"/>
      <c r="O4799" s="10"/>
      <c r="P4799" s="10" t="s">
        <v>25781</v>
      </c>
      <c r="Q4799" s="10" t="s">
        <v>19840</v>
      </c>
      <c r="R4799" s="10" t="s">
        <v>7483</v>
      </c>
      <c r="S4799" s="10" t="s">
        <v>53</v>
      </c>
      <c r="T4799" s="10" t="s">
        <v>54</v>
      </c>
    </row>
    <row r="4800" spans="1:20" ht="14.5" x14ac:dyDescent="0.35">
      <c r="A4800" s="10" t="s">
        <v>25782</v>
      </c>
      <c r="B4800" s="10" t="str">
        <f>"9781118450284"</f>
        <v>9781118450284</v>
      </c>
      <c r="C4800" s="10" t="str">
        <f>"9781118647417"</f>
        <v>9781118647417</v>
      </c>
      <c r="D4800" s="10" t="s">
        <v>6322</v>
      </c>
      <c r="E4800" s="10" t="s">
        <v>6323</v>
      </c>
      <c r="F4800" s="10" t="s">
        <v>6339</v>
      </c>
      <c r="G4800" s="10" t="s">
        <v>6317</v>
      </c>
      <c r="H4800" s="11">
        <v>41477</v>
      </c>
      <c r="I4800" s="10">
        <v>2013</v>
      </c>
      <c r="J4800" s="10" t="s">
        <v>6324</v>
      </c>
      <c r="K4800" s="10">
        <v>562</v>
      </c>
      <c r="L4800" s="10" t="s">
        <v>25783</v>
      </c>
      <c r="M4800" s="10">
        <v>3</v>
      </c>
      <c r="N4800" s="10" t="s">
        <v>15267</v>
      </c>
      <c r="O4800" s="10">
        <v>177</v>
      </c>
      <c r="P4800" s="10" t="s">
        <v>25784</v>
      </c>
      <c r="Q4800" s="10">
        <v>371.1</v>
      </c>
      <c r="R4800" s="10" t="s">
        <v>25785</v>
      </c>
      <c r="S4800" s="10" t="s">
        <v>53</v>
      </c>
      <c r="T4800" s="10" t="s">
        <v>54</v>
      </c>
    </row>
    <row r="4801" spans="1:20" ht="14.5" x14ac:dyDescent="0.35">
      <c r="A4801" s="10" t="s">
        <v>25786</v>
      </c>
      <c r="B4801" s="10" t="str">
        <f>"9781452285214"</f>
        <v>9781452285214</v>
      </c>
      <c r="C4801" s="10" t="str">
        <f>"9781452285177"</f>
        <v>9781452285177</v>
      </c>
      <c r="D4801" s="10" t="s">
        <v>22210</v>
      </c>
      <c r="E4801" s="10" t="s">
        <v>22211</v>
      </c>
      <c r="F4801" s="10" t="s">
        <v>333</v>
      </c>
      <c r="G4801" s="10" t="s">
        <v>6317</v>
      </c>
      <c r="H4801" s="11">
        <v>41430</v>
      </c>
      <c r="I4801" s="10">
        <v>2013</v>
      </c>
      <c r="J4801" s="10" t="s">
        <v>22211</v>
      </c>
      <c r="K4801" s="10">
        <v>233</v>
      </c>
      <c r="L4801" s="10" t="s">
        <v>25787</v>
      </c>
      <c r="M4801" s="10">
        <v>1</v>
      </c>
      <c r="N4801" s="10"/>
      <c r="O4801" s="10"/>
      <c r="P4801" s="10" t="s">
        <v>25788</v>
      </c>
      <c r="Q4801" s="10" t="s">
        <v>9954</v>
      </c>
      <c r="R4801" s="10" t="s">
        <v>25789</v>
      </c>
      <c r="S4801" s="10" t="s">
        <v>53</v>
      </c>
      <c r="T4801" s="10" t="s">
        <v>54</v>
      </c>
    </row>
    <row r="4802" spans="1:20" ht="14.5" x14ac:dyDescent="0.35">
      <c r="A4802" s="10" t="s">
        <v>25790</v>
      </c>
      <c r="B4802" s="10" t="str">
        <f>"9781118456194"</f>
        <v>9781118456194</v>
      </c>
      <c r="C4802" s="10" t="str">
        <f>"9781118540046"</f>
        <v>9781118540046</v>
      </c>
      <c r="D4802" s="10" t="s">
        <v>6322</v>
      </c>
      <c r="E4802" s="10" t="s">
        <v>6323</v>
      </c>
      <c r="F4802" s="10" t="s">
        <v>4423</v>
      </c>
      <c r="G4802" s="10" t="s">
        <v>6317</v>
      </c>
      <c r="H4802" s="11">
        <v>41498</v>
      </c>
      <c r="I4802" s="10">
        <v>2013</v>
      </c>
      <c r="J4802" s="10" t="s">
        <v>6324</v>
      </c>
      <c r="K4802" s="10">
        <v>273</v>
      </c>
      <c r="L4802" s="10" t="s">
        <v>25791</v>
      </c>
      <c r="M4802" s="10">
        <v>1</v>
      </c>
      <c r="N4802" s="10"/>
      <c r="O4802" s="10"/>
      <c r="P4802" s="10"/>
      <c r="Q4802" s="10">
        <v>371.2</v>
      </c>
      <c r="R4802" s="10" t="s">
        <v>25792</v>
      </c>
      <c r="S4802" s="10" t="s">
        <v>53</v>
      </c>
      <c r="T4802" s="10" t="s">
        <v>54</v>
      </c>
    </row>
    <row r="4803" spans="1:20" ht="14.5" x14ac:dyDescent="0.35">
      <c r="A4803" s="10" t="s">
        <v>25793</v>
      </c>
      <c r="B4803" s="10" t="str">
        <f>"9781412942270"</f>
        <v>9781412942270</v>
      </c>
      <c r="C4803" s="10" t="str">
        <f>"9781452213859"</f>
        <v>9781452213859</v>
      </c>
      <c r="D4803" s="10" t="s">
        <v>22210</v>
      </c>
      <c r="E4803" s="10" t="s">
        <v>22211</v>
      </c>
      <c r="F4803" s="10" t="s">
        <v>333</v>
      </c>
      <c r="G4803" s="10" t="s">
        <v>6317</v>
      </c>
      <c r="H4803" s="11">
        <v>38974</v>
      </c>
      <c r="I4803" s="10">
        <v>2007</v>
      </c>
      <c r="J4803" s="10" t="s">
        <v>22211</v>
      </c>
      <c r="K4803" s="10">
        <v>129</v>
      </c>
      <c r="L4803" s="10" t="s">
        <v>25794</v>
      </c>
      <c r="M4803" s="10">
        <v>1</v>
      </c>
      <c r="N4803" s="10"/>
      <c r="O4803" s="10"/>
      <c r="P4803" s="10" t="s">
        <v>25795</v>
      </c>
      <c r="Q4803" s="10" t="s">
        <v>24606</v>
      </c>
      <c r="R4803" s="10"/>
      <c r="S4803" s="10" t="s">
        <v>53</v>
      </c>
      <c r="T4803" s="10" t="s">
        <v>6634</v>
      </c>
    </row>
    <row r="4804" spans="1:20" ht="14.5" x14ac:dyDescent="0.35">
      <c r="A4804" s="10" t="s">
        <v>25796</v>
      </c>
      <c r="B4804" s="10" t="str">
        <f>"9781781907108"</f>
        <v>9781781907108</v>
      </c>
      <c r="C4804" s="10" t="str">
        <f>"9781781907115"</f>
        <v>9781781907115</v>
      </c>
      <c r="D4804" s="10" t="s">
        <v>8699</v>
      </c>
      <c r="E4804" s="10" t="s">
        <v>8699</v>
      </c>
      <c r="F4804" s="10" t="s">
        <v>559</v>
      </c>
      <c r="G4804" s="10" t="s">
        <v>6352</v>
      </c>
      <c r="H4804" s="11">
        <v>41456</v>
      </c>
      <c r="I4804" s="10">
        <v>2013</v>
      </c>
      <c r="J4804" s="10" t="s">
        <v>8699</v>
      </c>
      <c r="K4804" s="10">
        <v>206</v>
      </c>
      <c r="L4804" s="10" t="s">
        <v>25797</v>
      </c>
      <c r="M4804" s="10">
        <v>1</v>
      </c>
      <c r="N4804" s="10"/>
      <c r="O4804" s="10"/>
      <c r="P4804" s="10" t="s">
        <v>25798</v>
      </c>
      <c r="Q4804" s="10">
        <v>370.15</v>
      </c>
      <c r="R4804" s="10" t="s">
        <v>6415</v>
      </c>
      <c r="S4804" s="10" t="s">
        <v>53</v>
      </c>
      <c r="T4804" s="10" t="s">
        <v>54</v>
      </c>
    </row>
    <row r="4805" spans="1:20" ht="14.5" x14ac:dyDescent="0.35">
      <c r="A4805" s="10" t="s">
        <v>25799</v>
      </c>
      <c r="B4805" s="10" t="str">
        <f>"9780739119532"</f>
        <v>9780739119532</v>
      </c>
      <c r="C4805" s="10" t="str">
        <f>"9780739169308"</f>
        <v>9780739169308</v>
      </c>
      <c r="D4805" s="10" t="s">
        <v>9752</v>
      </c>
      <c r="E4805" s="10" t="s">
        <v>15182</v>
      </c>
      <c r="F4805" s="10" t="s">
        <v>9754</v>
      </c>
      <c r="G4805" s="10" t="s">
        <v>6317</v>
      </c>
      <c r="H4805" s="11">
        <v>40725</v>
      </c>
      <c r="I4805" s="10">
        <v>2011</v>
      </c>
      <c r="J4805" s="10" t="s">
        <v>15182</v>
      </c>
      <c r="K4805" s="10">
        <v>316</v>
      </c>
      <c r="L4805" s="10" t="s">
        <v>25800</v>
      </c>
      <c r="M4805" s="10">
        <v>1</v>
      </c>
      <c r="N4805" s="10"/>
      <c r="O4805" s="10"/>
      <c r="P4805" s="10" t="s">
        <v>25801</v>
      </c>
      <c r="Q4805" s="10">
        <v>306.43</v>
      </c>
      <c r="R4805" s="10" t="s">
        <v>25802</v>
      </c>
      <c r="S4805" s="10" t="s">
        <v>53</v>
      </c>
      <c r="T4805" s="10" t="s">
        <v>6472</v>
      </c>
    </row>
    <row r="4806" spans="1:20" ht="14.5" x14ac:dyDescent="0.35">
      <c r="A4806" s="10" t="s">
        <v>25803</v>
      </c>
      <c r="B4806" s="10" t="str">
        <f>"9780415510288"</f>
        <v>9780415510288</v>
      </c>
      <c r="C4806" s="10" t="str">
        <f>"9781135107758"</f>
        <v>9781135107758</v>
      </c>
      <c r="D4806" s="10" t="s">
        <v>6350</v>
      </c>
      <c r="E4806" s="10" t="s">
        <v>6351</v>
      </c>
      <c r="F4806" s="10" t="s">
        <v>139</v>
      </c>
      <c r="G4806" s="10" t="s">
        <v>6352</v>
      </c>
      <c r="H4806" s="11">
        <v>41463</v>
      </c>
      <c r="I4806" s="10">
        <v>2013</v>
      </c>
      <c r="J4806" s="10" t="s">
        <v>6353</v>
      </c>
      <c r="K4806" s="10">
        <v>194</v>
      </c>
      <c r="L4806" s="10" t="s">
        <v>25804</v>
      </c>
      <c r="M4806" s="10">
        <v>1</v>
      </c>
      <c r="N4806" s="10" t="s">
        <v>6954</v>
      </c>
      <c r="O4806" s="10"/>
      <c r="P4806" s="10" t="s">
        <v>25805</v>
      </c>
      <c r="Q4806" s="10" t="s">
        <v>11314</v>
      </c>
      <c r="R4806" s="10" t="s">
        <v>9539</v>
      </c>
      <c r="S4806" s="10" t="s">
        <v>53</v>
      </c>
      <c r="T4806" s="10" t="s">
        <v>54</v>
      </c>
    </row>
    <row r="4807" spans="1:20" ht="14.5" x14ac:dyDescent="0.35">
      <c r="A4807" s="10" t="s">
        <v>25806</v>
      </c>
      <c r="B4807" s="10" t="str">
        <f>"9780415813969"</f>
        <v>9780415813969</v>
      </c>
      <c r="C4807" s="10" t="str">
        <f>"9781135080310"</f>
        <v>9781135080310</v>
      </c>
      <c r="D4807" s="10" t="s">
        <v>6350</v>
      </c>
      <c r="E4807" s="10" t="s">
        <v>6351</v>
      </c>
      <c r="F4807" s="10" t="s">
        <v>139</v>
      </c>
      <c r="G4807" s="10" t="s">
        <v>6352</v>
      </c>
      <c r="H4807" s="11">
        <v>41456</v>
      </c>
      <c r="I4807" s="10">
        <v>2013</v>
      </c>
      <c r="J4807" s="10" t="s">
        <v>6353</v>
      </c>
      <c r="K4807" s="10">
        <v>273</v>
      </c>
      <c r="L4807" s="10" t="s">
        <v>25807</v>
      </c>
      <c r="M4807" s="10">
        <v>1</v>
      </c>
      <c r="N4807" s="10" t="s">
        <v>6954</v>
      </c>
      <c r="O4807" s="10"/>
      <c r="P4807" s="10" t="s">
        <v>25808</v>
      </c>
      <c r="Q4807" s="10">
        <v>371.82691199999999</v>
      </c>
      <c r="R4807" s="10" t="s">
        <v>25809</v>
      </c>
      <c r="S4807" s="10" t="s">
        <v>53</v>
      </c>
      <c r="T4807" s="10" t="s">
        <v>54</v>
      </c>
    </row>
    <row r="4808" spans="1:20" ht="14.5" x14ac:dyDescent="0.35">
      <c r="A4808" s="10" t="s">
        <v>25810</v>
      </c>
      <c r="B4808" s="10" t="str">
        <f>"9780415209946"</f>
        <v>9780415209946</v>
      </c>
      <c r="C4808" s="10" t="str">
        <f>"9781136315251"</f>
        <v>9781136315251</v>
      </c>
      <c r="D4808" s="10" t="s">
        <v>6350</v>
      </c>
      <c r="E4808" s="10" t="s">
        <v>6351</v>
      </c>
      <c r="F4808" s="10" t="s">
        <v>139</v>
      </c>
      <c r="G4808" s="10" t="s">
        <v>6352</v>
      </c>
      <c r="H4808" s="11">
        <v>36372</v>
      </c>
      <c r="I4808" s="10">
        <v>1999</v>
      </c>
      <c r="J4808" s="10" t="s">
        <v>6353</v>
      </c>
      <c r="K4808" s="10">
        <v>336</v>
      </c>
      <c r="L4808" s="10" t="s">
        <v>25811</v>
      </c>
      <c r="M4808" s="10">
        <v>1</v>
      </c>
      <c r="N4808" s="10"/>
      <c r="O4808" s="10"/>
      <c r="P4808" s="10" t="s">
        <v>25812</v>
      </c>
      <c r="Q4808" s="10">
        <v>154.20830000000001</v>
      </c>
      <c r="R4808" s="10" t="s">
        <v>25813</v>
      </c>
      <c r="S4808" s="10" t="s">
        <v>53</v>
      </c>
      <c r="T4808" s="10" t="s">
        <v>483</v>
      </c>
    </row>
    <row r="4809" spans="1:20" ht="14.5" x14ac:dyDescent="0.35">
      <c r="A4809" s="10" t="s">
        <v>25814</v>
      </c>
      <c r="B4809" s="10" t="str">
        <f>"9780415210102"</f>
        <v>9780415210102</v>
      </c>
      <c r="C4809" s="10" t="str">
        <f>"9781136318894"</f>
        <v>9781136318894</v>
      </c>
      <c r="D4809" s="10" t="s">
        <v>6350</v>
      </c>
      <c r="E4809" s="10" t="s">
        <v>6351</v>
      </c>
      <c r="F4809" s="10" t="s">
        <v>139</v>
      </c>
      <c r="G4809" s="10" t="s">
        <v>6352</v>
      </c>
      <c r="H4809" s="11">
        <v>36372</v>
      </c>
      <c r="I4809" s="10">
        <v>1999</v>
      </c>
      <c r="J4809" s="10" t="s">
        <v>6353</v>
      </c>
      <c r="K4809" s="10">
        <v>295</v>
      </c>
      <c r="L4809" s="10" t="s">
        <v>25815</v>
      </c>
      <c r="M4809" s="10">
        <v>1</v>
      </c>
      <c r="N4809" s="10"/>
      <c r="O4809" s="10"/>
      <c r="P4809" s="10" t="s">
        <v>25816</v>
      </c>
      <c r="Q4809" s="10">
        <v>370.1</v>
      </c>
      <c r="R4809" s="10" t="s">
        <v>25817</v>
      </c>
      <c r="S4809" s="10" t="s">
        <v>53</v>
      </c>
      <c r="T4809" s="10" t="s">
        <v>54</v>
      </c>
    </row>
    <row r="4810" spans="1:20" ht="14.5" x14ac:dyDescent="0.35">
      <c r="A4810" s="10" t="s">
        <v>25818</v>
      </c>
      <c r="B4810" s="10" t="str">
        <f>"9780415210058"</f>
        <v>9780415210058</v>
      </c>
      <c r="C4810" s="10" t="str">
        <f>"9781136318030"</f>
        <v>9781136318030</v>
      </c>
      <c r="D4810" s="10" t="s">
        <v>6350</v>
      </c>
      <c r="E4810" s="10" t="s">
        <v>6351</v>
      </c>
      <c r="F4810" s="10" t="s">
        <v>139</v>
      </c>
      <c r="G4810" s="10" t="s">
        <v>6352</v>
      </c>
      <c r="H4810" s="11">
        <v>36372</v>
      </c>
      <c r="I4810" s="10">
        <v>1999</v>
      </c>
      <c r="J4810" s="10" t="s">
        <v>6353</v>
      </c>
      <c r="K4810" s="10">
        <v>307</v>
      </c>
      <c r="L4810" s="10" t="s">
        <v>25819</v>
      </c>
      <c r="M4810" s="10">
        <v>1</v>
      </c>
      <c r="N4810" s="10"/>
      <c r="O4810" s="10"/>
      <c r="P4810" s="10" t="s">
        <v>25820</v>
      </c>
      <c r="Q4810" s="10">
        <v>155.41200000000001</v>
      </c>
      <c r="R4810" s="10" t="s">
        <v>25821</v>
      </c>
      <c r="S4810" s="10" t="s">
        <v>53</v>
      </c>
      <c r="T4810" s="10" t="s">
        <v>483</v>
      </c>
    </row>
    <row r="4811" spans="1:20" ht="14.5" x14ac:dyDescent="0.35">
      <c r="A4811" s="10" t="s">
        <v>25822</v>
      </c>
      <c r="B4811" s="10" t="str">
        <f>"9780415256780"</f>
        <v>9780415256780</v>
      </c>
      <c r="C4811" s="10" t="str">
        <f>"9781136409059"</f>
        <v>9781136409059</v>
      </c>
      <c r="D4811" s="10" t="s">
        <v>6350</v>
      </c>
      <c r="E4811" s="10" t="s">
        <v>6351</v>
      </c>
      <c r="F4811" s="10" t="s">
        <v>139</v>
      </c>
      <c r="G4811" s="10" t="s">
        <v>6352</v>
      </c>
      <c r="H4811" s="11">
        <v>37239</v>
      </c>
      <c r="I4811" s="10">
        <v>2002</v>
      </c>
      <c r="J4811" s="10" t="s">
        <v>6353</v>
      </c>
      <c r="K4811" s="10">
        <v>289</v>
      </c>
      <c r="L4811" s="10" t="s">
        <v>21369</v>
      </c>
      <c r="M4811" s="10">
        <v>2</v>
      </c>
      <c r="N4811" s="10"/>
      <c r="O4811" s="10"/>
      <c r="P4811" s="10" t="s">
        <v>25823</v>
      </c>
      <c r="Q4811" s="10">
        <v>371.10199999999998</v>
      </c>
      <c r="R4811" s="10" t="s">
        <v>8224</v>
      </c>
      <c r="S4811" s="10" t="s">
        <v>53</v>
      </c>
      <c r="T4811" s="10" t="s">
        <v>54</v>
      </c>
    </row>
    <row r="4812" spans="1:20" ht="14.5" x14ac:dyDescent="0.35">
      <c r="A4812" s="10" t="s">
        <v>25824</v>
      </c>
      <c r="B4812" s="10" t="str">
        <f>"9781853468490"</f>
        <v>9781853468490</v>
      </c>
      <c r="C4812" s="10" t="str">
        <f>"9781134143108"</f>
        <v>9781134143108</v>
      </c>
      <c r="D4812" s="10" t="s">
        <v>6350</v>
      </c>
      <c r="E4812" s="10" t="s">
        <v>15120</v>
      </c>
      <c r="F4812" s="10" t="s">
        <v>748</v>
      </c>
      <c r="G4812" s="10" t="s">
        <v>6352</v>
      </c>
      <c r="H4812" s="11">
        <v>37540</v>
      </c>
      <c r="I4812" s="10">
        <v>2002</v>
      </c>
      <c r="J4812" s="10" t="s">
        <v>15120</v>
      </c>
      <c r="K4812" s="10">
        <v>161</v>
      </c>
      <c r="L4812" s="10" t="s">
        <v>25825</v>
      </c>
      <c r="M4812" s="10">
        <v>1</v>
      </c>
      <c r="N4812" s="10"/>
      <c r="O4812" s="10"/>
      <c r="P4812" s="10" t="s">
        <v>25826</v>
      </c>
      <c r="Q4812" s="10" t="s">
        <v>25827</v>
      </c>
      <c r="R4812" s="10" t="s">
        <v>25828</v>
      </c>
      <c r="S4812" s="10" t="s">
        <v>53</v>
      </c>
      <c r="T4812" s="10" t="s">
        <v>54</v>
      </c>
    </row>
    <row r="4813" spans="1:20" ht="14.5" x14ac:dyDescent="0.35">
      <c r="A4813" s="10" t="s">
        <v>25829</v>
      </c>
      <c r="B4813" s="10" t="str">
        <f>"9781412966993"</f>
        <v>9781412966993</v>
      </c>
      <c r="C4813" s="10" t="str">
        <f>"9781452298818"</f>
        <v>9781452298818</v>
      </c>
      <c r="D4813" s="10" t="s">
        <v>22210</v>
      </c>
      <c r="E4813" s="10" t="s">
        <v>22211</v>
      </c>
      <c r="F4813" s="10" t="s">
        <v>333</v>
      </c>
      <c r="G4813" s="10" t="s">
        <v>6317</v>
      </c>
      <c r="H4813" s="11">
        <v>40253</v>
      </c>
      <c r="I4813" s="10">
        <v>2010</v>
      </c>
      <c r="J4813" s="10" t="s">
        <v>22211</v>
      </c>
      <c r="K4813" s="10">
        <v>153</v>
      </c>
      <c r="L4813" s="10" t="s">
        <v>25830</v>
      </c>
      <c r="M4813" s="10">
        <v>1</v>
      </c>
      <c r="N4813" s="10"/>
      <c r="O4813" s="10"/>
      <c r="P4813" s="10"/>
      <c r="Q4813" s="10">
        <v>371.33</v>
      </c>
      <c r="R4813" s="10"/>
      <c r="S4813" s="10" t="s">
        <v>53</v>
      </c>
      <c r="T4813" s="10" t="s">
        <v>54</v>
      </c>
    </row>
    <row r="4814" spans="1:20" ht="14.5" x14ac:dyDescent="0.35">
      <c r="A4814" s="10" t="s">
        <v>25831</v>
      </c>
      <c r="B4814" s="10" t="str">
        <f>"9781412965361"</f>
        <v>9781412965361</v>
      </c>
      <c r="C4814" s="10" t="str">
        <f>"9781452215297"</f>
        <v>9781452215297</v>
      </c>
      <c r="D4814" s="10" t="s">
        <v>22210</v>
      </c>
      <c r="E4814" s="10" t="s">
        <v>22211</v>
      </c>
      <c r="F4814" s="10" t="s">
        <v>333</v>
      </c>
      <c r="G4814" s="10" t="s">
        <v>6317</v>
      </c>
      <c r="H4814" s="11">
        <v>39773</v>
      </c>
      <c r="I4814" s="10">
        <v>2009</v>
      </c>
      <c r="J4814" s="10" t="s">
        <v>22211</v>
      </c>
      <c r="K4814" s="10">
        <v>153</v>
      </c>
      <c r="L4814" s="10" t="s">
        <v>25832</v>
      </c>
      <c r="M4814" s="10">
        <v>1</v>
      </c>
      <c r="N4814" s="10"/>
      <c r="O4814" s="10"/>
      <c r="P4814" s="10"/>
      <c r="Q4814" s="10">
        <v>371.90973000000002</v>
      </c>
      <c r="R4814" s="10"/>
      <c r="S4814" s="10" t="s">
        <v>53</v>
      </c>
      <c r="T4814" s="10" t="s">
        <v>54</v>
      </c>
    </row>
    <row r="4815" spans="1:20" ht="14.5" x14ac:dyDescent="0.35">
      <c r="A4815" s="10" t="s">
        <v>25833</v>
      </c>
      <c r="B4815" s="10" t="str">
        <f>"9781452260914"</f>
        <v>9781452260914</v>
      </c>
      <c r="C4815" s="10" t="str">
        <f>"9781483307428"</f>
        <v>9781483307428</v>
      </c>
      <c r="D4815" s="10" t="s">
        <v>22210</v>
      </c>
      <c r="E4815" s="10" t="s">
        <v>22211</v>
      </c>
      <c r="F4815" s="10" t="s">
        <v>333</v>
      </c>
      <c r="G4815" s="10" t="s">
        <v>6317</v>
      </c>
      <c r="H4815" s="11">
        <v>41458</v>
      </c>
      <c r="I4815" s="10">
        <v>2013</v>
      </c>
      <c r="J4815" s="10" t="s">
        <v>22211</v>
      </c>
      <c r="K4815" s="10">
        <v>185</v>
      </c>
      <c r="L4815" s="10" t="s">
        <v>25834</v>
      </c>
      <c r="M4815" s="10">
        <v>1</v>
      </c>
      <c r="N4815" s="10"/>
      <c r="O4815" s="10"/>
      <c r="P4815" s="10" t="s">
        <v>25835</v>
      </c>
      <c r="Q4815" s="10">
        <v>658.40712399999995</v>
      </c>
      <c r="R4815" s="10" t="s">
        <v>25836</v>
      </c>
      <c r="S4815" s="10" t="s">
        <v>53</v>
      </c>
      <c r="T4815" s="10" t="s">
        <v>6660</v>
      </c>
    </row>
    <row r="4816" spans="1:20" ht="14.5" x14ac:dyDescent="0.35">
      <c r="A4816" s="10" t="s">
        <v>25837</v>
      </c>
      <c r="B4816" s="10" t="str">
        <f>"9781452291642"</f>
        <v>9781452291642</v>
      </c>
      <c r="C4816" s="10" t="str">
        <f>"9781452291604"</f>
        <v>9781452291604</v>
      </c>
      <c r="D4816" s="10" t="s">
        <v>22210</v>
      </c>
      <c r="E4816" s="10" t="s">
        <v>22211</v>
      </c>
      <c r="F4816" s="10" t="s">
        <v>333</v>
      </c>
      <c r="G4816" s="10" t="s">
        <v>6317</v>
      </c>
      <c r="H4816" s="11">
        <v>41466</v>
      </c>
      <c r="I4816" s="10">
        <v>2013</v>
      </c>
      <c r="J4816" s="10" t="s">
        <v>22211</v>
      </c>
      <c r="K4816" s="10">
        <v>161</v>
      </c>
      <c r="L4816" s="10" t="s">
        <v>25838</v>
      </c>
      <c r="M4816" s="10">
        <v>3</v>
      </c>
      <c r="N4816" s="10"/>
      <c r="O4816" s="10"/>
      <c r="P4816" s="10" t="s">
        <v>25839</v>
      </c>
      <c r="Q4816" s="10"/>
      <c r="R4816" s="10"/>
      <c r="S4816" s="10" t="s">
        <v>53</v>
      </c>
      <c r="T4816" s="10" t="s">
        <v>54</v>
      </c>
    </row>
    <row r="4817" spans="1:20" ht="14.5" x14ac:dyDescent="0.35">
      <c r="A4817" s="10" t="s">
        <v>25840</v>
      </c>
      <c r="B4817" s="10" t="str">
        <f>"9781849697309"</f>
        <v>9781849697309</v>
      </c>
      <c r="C4817" s="10" t="str">
        <f>"9781849697316"</f>
        <v>9781849697316</v>
      </c>
      <c r="D4817" s="10" t="s">
        <v>21162</v>
      </c>
      <c r="E4817" s="10" t="s">
        <v>21163</v>
      </c>
      <c r="F4817" s="10" t="s">
        <v>1939</v>
      </c>
      <c r="G4817" s="10" t="s">
        <v>6352</v>
      </c>
      <c r="H4817" s="11">
        <v>41446</v>
      </c>
      <c r="I4817" s="10">
        <v>2013</v>
      </c>
      <c r="J4817" s="10" t="s">
        <v>21163</v>
      </c>
      <c r="K4817" s="10">
        <v>62</v>
      </c>
      <c r="L4817" s="10" t="s">
        <v>25841</v>
      </c>
      <c r="M4817" s="10">
        <v>1</v>
      </c>
      <c r="N4817" s="10"/>
      <c r="O4817" s="10"/>
      <c r="P4817" s="10" t="s">
        <v>25842</v>
      </c>
      <c r="Q4817" s="10">
        <v>371.334</v>
      </c>
      <c r="R4817" s="10" t="s">
        <v>25843</v>
      </c>
      <c r="S4817" s="10" t="s">
        <v>53</v>
      </c>
      <c r="T4817" s="10" t="s">
        <v>54</v>
      </c>
    </row>
    <row r="4818" spans="1:20" ht="14.5" x14ac:dyDescent="0.35">
      <c r="A4818" s="10" t="s">
        <v>25844</v>
      </c>
      <c r="B4818" s="10" t="str">
        <f>"9781853029677"</f>
        <v>9781853029677</v>
      </c>
      <c r="C4818" s="10" t="str">
        <f>"9781846421945"</f>
        <v>9781846421945</v>
      </c>
      <c r="D4818" s="10" t="s">
        <v>10516</v>
      </c>
      <c r="E4818" s="10" t="s">
        <v>10516</v>
      </c>
      <c r="F4818" s="10" t="s">
        <v>139</v>
      </c>
      <c r="G4818" s="10" t="s">
        <v>6352</v>
      </c>
      <c r="H4818" s="11">
        <v>36965</v>
      </c>
      <c r="I4818" s="10">
        <v>2001</v>
      </c>
      <c r="J4818" s="10" t="s">
        <v>10516</v>
      </c>
      <c r="K4818" s="10">
        <v>189</v>
      </c>
      <c r="L4818" s="10" t="s">
        <v>25845</v>
      </c>
      <c r="M4818" s="10">
        <v>1</v>
      </c>
      <c r="N4818" s="10"/>
      <c r="O4818" s="10"/>
      <c r="P4818" s="10"/>
      <c r="Q4818" s="10">
        <v>371.94</v>
      </c>
      <c r="R4818" s="10" t="s">
        <v>25846</v>
      </c>
      <c r="S4818" s="10" t="s">
        <v>53</v>
      </c>
      <c r="T4818" s="10" t="s">
        <v>54</v>
      </c>
    </row>
    <row r="4819" spans="1:20" ht="14.5" x14ac:dyDescent="0.35">
      <c r="A4819" s="10" t="s">
        <v>25847</v>
      </c>
      <c r="B4819" s="10" t="str">
        <f>"9781608057276"</f>
        <v>9781608057276</v>
      </c>
      <c r="C4819" s="10" t="str">
        <f>"9781608057269"</f>
        <v>9781608057269</v>
      </c>
      <c r="D4819" s="10" t="s">
        <v>21815</v>
      </c>
      <c r="E4819" s="10" t="s">
        <v>21815</v>
      </c>
      <c r="F4819" s="10" t="s">
        <v>25848</v>
      </c>
      <c r="G4819" s="10" t="s">
        <v>21817</v>
      </c>
      <c r="H4819" s="11">
        <v>41456</v>
      </c>
      <c r="I4819" s="10">
        <v>2013</v>
      </c>
      <c r="J4819" s="10" t="s">
        <v>21815</v>
      </c>
      <c r="K4819" s="10">
        <v>266</v>
      </c>
      <c r="L4819" s="10" t="s">
        <v>25849</v>
      </c>
      <c r="M4819" s="10">
        <v>1</v>
      </c>
      <c r="N4819" s="10"/>
      <c r="O4819" s="10"/>
      <c r="P4819" s="10" t="s">
        <v>25850</v>
      </c>
      <c r="Q4819" s="10">
        <v>378.59899999999999</v>
      </c>
      <c r="R4819" s="10" t="s">
        <v>25851</v>
      </c>
      <c r="S4819" s="10" t="s">
        <v>53</v>
      </c>
      <c r="T4819" s="10" t="s">
        <v>54</v>
      </c>
    </row>
    <row r="4820" spans="1:20" ht="14.5" x14ac:dyDescent="0.35">
      <c r="A4820" s="10" t="s">
        <v>25852</v>
      </c>
      <c r="B4820" s="10" t="str">
        <f>"9780821398364"</f>
        <v>9780821398364</v>
      </c>
      <c r="C4820" s="10" t="str">
        <f>"9780821399002"</f>
        <v>9780821399002</v>
      </c>
      <c r="D4820" s="10" t="s">
        <v>14731</v>
      </c>
      <c r="E4820" s="10" t="s">
        <v>14732</v>
      </c>
      <c r="F4820" s="10" t="s">
        <v>14733</v>
      </c>
      <c r="G4820" s="10" t="s">
        <v>6317</v>
      </c>
      <c r="H4820" s="11">
        <v>41275</v>
      </c>
      <c r="I4820" s="10">
        <v>2013</v>
      </c>
      <c r="J4820" s="10" t="s">
        <v>14732</v>
      </c>
      <c r="K4820" s="10">
        <v>212</v>
      </c>
      <c r="L4820" s="10" t="s">
        <v>25853</v>
      </c>
      <c r="M4820" s="10">
        <v>1</v>
      </c>
      <c r="N4820" s="10" t="s">
        <v>14770</v>
      </c>
      <c r="O4820" s="10"/>
      <c r="P4820" s="10" t="s">
        <v>25854</v>
      </c>
      <c r="Q4820" s="10">
        <v>372.21095980000001</v>
      </c>
      <c r="R4820" s="10" t="s">
        <v>25855</v>
      </c>
      <c r="S4820" s="10" t="s">
        <v>53</v>
      </c>
      <c r="T4820" s="10" t="s">
        <v>54</v>
      </c>
    </row>
    <row r="4821" spans="1:20" ht="14.5" x14ac:dyDescent="0.35">
      <c r="A4821" s="10" t="s">
        <v>25856</v>
      </c>
      <c r="B4821" s="10" t="str">
        <f>""</f>
        <v/>
      </c>
      <c r="C4821" s="10" t="str">
        <f>"9781118680575"</f>
        <v>9781118680575</v>
      </c>
      <c r="D4821" s="10" t="s">
        <v>6322</v>
      </c>
      <c r="E4821" s="10" t="s">
        <v>6323</v>
      </c>
      <c r="F4821" s="10" t="s">
        <v>4423</v>
      </c>
      <c r="G4821" s="10" t="s">
        <v>6352</v>
      </c>
      <c r="H4821" s="11">
        <v>41554</v>
      </c>
      <c r="I4821" s="10">
        <v>2013</v>
      </c>
      <c r="J4821" s="10" t="s">
        <v>8436</v>
      </c>
      <c r="K4821" s="10">
        <v>185</v>
      </c>
      <c r="L4821" s="10" t="s">
        <v>25857</v>
      </c>
      <c r="M4821" s="10">
        <v>1</v>
      </c>
      <c r="N4821" s="10" t="s">
        <v>18839</v>
      </c>
      <c r="O4821" s="10"/>
      <c r="P4821" s="10" t="s">
        <v>25858</v>
      </c>
      <c r="Q4821" s="10">
        <v>379.41</v>
      </c>
      <c r="R4821" s="10" t="s">
        <v>25859</v>
      </c>
      <c r="S4821" s="10" t="s">
        <v>53</v>
      </c>
      <c r="T4821" s="10" t="s">
        <v>54</v>
      </c>
    </row>
    <row r="4822" spans="1:20" ht="14.5" x14ac:dyDescent="0.35">
      <c r="A4822" s="10" t="s">
        <v>25860</v>
      </c>
      <c r="B4822" s="10" t="str">
        <f>"9780520276765"</f>
        <v>9780520276765</v>
      </c>
      <c r="C4822" s="10" t="str">
        <f>"9780520956698"</f>
        <v>9780520956698</v>
      </c>
      <c r="D4822" s="10" t="s">
        <v>8512</v>
      </c>
      <c r="E4822" s="10" t="s">
        <v>8512</v>
      </c>
      <c r="F4822" s="10" t="s">
        <v>717</v>
      </c>
      <c r="G4822" s="10" t="s">
        <v>6317</v>
      </c>
      <c r="H4822" s="11">
        <v>41489</v>
      </c>
      <c r="I4822" s="10">
        <v>2013</v>
      </c>
      <c r="J4822" s="10" t="s">
        <v>8512</v>
      </c>
      <c r="K4822" s="10">
        <v>281</v>
      </c>
      <c r="L4822" s="10" t="s">
        <v>25861</v>
      </c>
      <c r="M4822" s="10">
        <v>1</v>
      </c>
      <c r="N4822" s="10"/>
      <c r="O4822" s="10"/>
      <c r="P4822" s="10" t="s">
        <v>25862</v>
      </c>
      <c r="Q4822" s="10"/>
      <c r="R4822" s="10" t="s">
        <v>25863</v>
      </c>
      <c r="S4822" s="10" t="s">
        <v>53</v>
      </c>
      <c r="T4822" s="10" t="s">
        <v>483</v>
      </c>
    </row>
    <row r="4823" spans="1:20" ht="14.5" x14ac:dyDescent="0.35">
      <c r="A4823" s="10" t="s">
        <v>25864</v>
      </c>
      <c r="B4823" s="10" t="str">
        <f>"9781118388433"</f>
        <v>9781118388433</v>
      </c>
      <c r="C4823" s="10" t="str">
        <f>"9781118422083"</f>
        <v>9781118422083</v>
      </c>
      <c r="D4823" s="10" t="s">
        <v>6322</v>
      </c>
      <c r="E4823" s="10" t="s">
        <v>6323</v>
      </c>
      <c r="F4823" s="10" t="s">
        <v>4423</v>
      </c>
      <c r="G4823" s="10" t="s">
        <v>6317</v>
      </c>
      <c r="H4823" s="11">
        <v>41498</v>
      </c>
      <c r="I4823" s="10">
        <v>2013</v>
      </c>
      <c r="J4823" s="10" t="s">
        <v>6324</v>
      </c>
      <c r="K4823" s="10">
        <v>274</v>
      </c>
      <c r="L4823" s="10" t="s">
        <v>25865</v>
      </c>
      <c r="M4823" s="10">
        <v>1</v>
      </c>
      <c r="N4823" s="10"/>
      <c r="O4823" s="10"/>
      <c r="P4823" s="10" t="s">
        <v>25866</v>
      </c>
      <c r="Q4823" s="10">
        <v>370.11500000000001</v>
      </c>
      <c r="R4823" s="10" t="s">
        <v>25867</v>
      </c>
      <c r="S4823" s="10" t="s">
        <v>53</v>
      </c>
      <c r="T4823" s="10" t="s">
        <v>54</v>
      </c>
    </row>
    <row r="4824" spans="1:20" ht="14.5" x14ac:dyDescent="0.35">
      <c r="A4824" s="10" t="s">
        <v>25868</v>
      </c>
      <c r="B4824" s="10" t="str">
        <f>"9789956790876"</f>
        <v>9789956790876</v>
      </c>
      <c r="C4824" s="10" t="str">
        <f>"9789956790920"</f>
        <v>9789956790920</v>
      </c>
      <c r="D4824" s="10" t="s">
        <v>24820</v>
      </c>
      <c r="E4824" s="10" t="s">
        <v>24821</v>
      </c>
      <c r="F4824" s="10" t="s">
        <v>748</v>
      </c>
      <c r="G4824" s="10" t="s">
        <v>24822</v>
      </c>
      <c r="H4824" s="11">
        <v>41426</v>
      </c>
      <c r="I4824" s="10">
        <v>2013</v>
      </c>
      <c r="J4824" s="10" t="s">
        <v>24821</v>
      </c>
      <c r="K4824" s="10">
        <v>296</v>
      </c>
      <c r="L4824" s="10" t="s">
        <v>25869</v>
      </c>
      <c r="M4824" s="10">
        <v>1</v>
      </c>
      <c r="N4824" s="10"/>
      <c r="O4824" s="10"/>
      <c r="P4824" s="10"/>
      <c r="Q4824" s="10"/>
      <c r="R4824" s="10"/>
      <c r="S4824" s="10" t="s">
        <v>53</v>
      </c>
      <c r="T4824" s="10" t="s">
        <v>54</v>
      </c>
    </row>
    <row r="4825" spans="1:20" ht="14.5" x14ac:dyDescent="0.35">
      <c r="A4825" s="10" t="s">
        <v>25870</v>
      </c>
      <c r="B4825" s="10" t="str">
        <f>"9782869785694"</f>
        <v>9782869785694</v>
      </c>
      <c r="C4825" s="10" t="str">
        <f>"9782086978589"</f>
        <v>9782086978589</v>
      </c>
      <c r="D4825" s="10" t="s">
        <v>24820</v>
      </c>
      <c r="E4825" s="10" t="s">
        <v>25871</v>
      </c>
      <c r="F4825" s="10" t="s">
        <v>748</v>
      </c>
      <c r="G4825" s="10" t="s">
        <v>24826</v>
      </c>
      <c r="H4825" s="11">
        <v>41426</v>
      </c>
      <c r="I4825" s="10">
        <v>2013</v>
      </c>
      <c r="J4825" s="10" t="s">
        <v>25871</v>
      </c>
      <c r="K4825" s="10">
        <v>200</v>
      </c>
      <c r="L4825" s="10" t="s">
        <v>25872</v>
      </c>
      <c r="M4825" s="10">
        <v>1</v>
      </c>
      <c r="N4825" s="10"/>
      <c r="O4825" s="10"/>
      <c r="P4825" s="10" t="s">
        <v>25873</v>
      </c>
      <c r="Q4825" s="10"/>
      <c r="R4825" s="10"/>
      <c r="S4825" s="10" t="s">
        <v>53</v>
      </c>
      <c r="T4825" s="10" t="s">
        <v>54</v>
      </c>
    </row>
    <row r="4826" spans="1:20" ht="14.5" x14ac:dyDescent="0.35">
      <c r="A4826" s="10" t="s">
        <v>25874</v>
      </c>
      <c r="B4826" s="10" t="str">
        <f>"9781118345719"</f>
        <v>9781118345719</v>
      </c>
      <c r="C4826" s="10" t="str">
        <f>"9781118420140"</f>
        <v>9781118420140</v>
      </c>
      <c r="D4826" s="10" t="s">
        <v>6322</v>
      </c>
      <c r="E4826" s="10" t="s">
        <v>6323</v>
      </c>
      <c r="F4826" s="10" t="s">
        <v>4423</v>
      </c>
      <c r="G4826" s="10" t="s">
        <v>6317</v>
      </c>
      <c r="H4826" s="11">
        <v>41465</v>
      </c>
      <c r="I4826" s="10">
        <v>2013</v>
      </c>
      <c r="J4826" s="10" t="s">
        <v>6324</v>
      </c>
      <c r="K4826" s="10">
        <v>306</v>
      </c>
      <c r="L4826" s="10" t="s">
        <v>25875</v>
      </c>
      <c r="M4826" s="10">
        <v>1</v>
      </c>
      <c r="N4826" s="10"/>
      <c r="O4826" s="10"/>
      <c r="P4826" s="10" t="s">
        <v>25876</v>
      </c>
      <c r="Q4826" s="10"/>
      <c r="R4826" s="10" t="s">
        <v>25877</v>
      </c>
      <c r="S4826" s="10" t="s">
        <v>53</v>
      </c>
      <c r="T4826" s="10" t="s">
        <v>7340</v>
      </c>
    </row>
    <row r="4827" spans="1:20" ht="14.5" x14ac:dyDescent="0.35">
      <c r="A4827" s="10" t="s">
        <v>25878</v>
      </c>
      <c r="B4827" s="10" t="str">
        <f>"9780415530705"</f>
        <v>9780415530705</v>
      </c>
      <c r="C4827" s="10" t="str">
        <f>"9781136300288"</f>
        <v>9781136300288</v>
      </c>
      <c r="D4827" s="10" t="s">
        <v>6350</v>
      </c>
      <c r="E4827" s="10" t="s">
        <v>6351</v>
      </c>
      <c r="F4827" s="10" t="s">
        <v>139</v>
      </c>
      <c r="G4827" s="10" t="s">
        <v>6352</v>
      </c>
      <c r="H4827" s="11">
        <v>41466</v>
      </c>
      <c r="I4827" s="10">
        <v>2013</v>
      </c>
      <c r="J4827" s="10" t="s">
        <v>6353</v>
      </c>
      <c r="K4827" s="10">
        <v>350</v>
      </c>
      <c r="L4827" s="10" t="s">
        <v>25879</v>
      </c>
      <c r="M4827" s="10">
        <v>3</v>
      </c>
      <c r="N4827" s="10"/>
      <c r="O4827" s="10"/>
      <c r="P4827" s="10" t="s">
        <v>25880</v>
      </c>
      <c r="Q4827" s="10">
        <v>792.07</v>
      </c>
      <c r="R4827" s="10" t="s">
        <v>25881</v>
      </c>
      <c r="S4827" s="10" t="s">
        <v>53</v>
      </c>
      <c r="T4827" s="10" t="s">
        <v>6384</v>
      </c>
    </row>
    <row r="4828" spans="1:20" ht="14.5" x14ac:dyDescent="0.35">
      <c r="A4828" s="10" t="s">
        <v>25882</v>
      </c>
      <c r="B4828" s="10" t="str">
        <f>"9780415898829"</f>
        <v>9780415898829</v>
      </c>
      <c r="C4828" s="10" t="str">
        <f>"9781136578212"</f>
        <v>9781136578212</v>
      </c>
      <c r="D4828" s="10" t="s">
        <v>6350</v>
      </c>
      <c r="E4828" s="10" t="s">
        <v>6351</v>
      </c>
      <c r="F4828" s="10" t="s">
        <v>139</v>
      </c>
      <c r="G4828" s="10" t="s">
        <v>6352</v>
      </c>
      <c r="H4828" s="11">
        <v>41444</v>
      </c>
      <c r="I4828" s="10">
        <v>2013</v>
      </c>
      <c r="J4828" s="10" t="s">
        <v>6353</v>
      </c>
      <c r="K4828" s="10">
        <v>657</v>
      </c>
      <c r="L4828" s="10" t="s">
        <v>25883</v>
      </c>
      <c r="M4828" s="10">
        <v>2</v>
      </c>
      <c r="N4828" s="10" t="s">
        <v>24504</v>
      </c>
      <c r="O4828" s="10"/>
      <c r="P4828" s="10" t="s">
        <v>25884</v>
      </c>
      <c r="Q4828" s="10">
        <v>370.15</v>
      </c>
      <c r="R4828" s="10" t="s">
        <v>25885</v>
      </c>
      <c r="S4828" s="10" t="s">
        <v>53</v>
      </c>
      <c r="T4828" s="10" t="s">
        <v>54</v>
      </c>
    </row>
    <row r="4829" spans="1:20" ht="14.5" x14ac:dyDescent="0.35">
      <c r="A4829" s="10" t="s">
        <v>25886</v>
      </c>
      <c r="B4829" s="10" t="str">
        <f>"9780765709219"</f>
        <v>9780765709219</v>
      </c>
      <c r="C4829" s="10" t="str">
        <f>"9780765709226"</f>
        <v>9780765709226</v>
      </c>
      <c r="D4829" s="10" t="s">
        <v>9752</v>
      </c>
      <c r="E4829" s="10" t="s">
        <v>15187</v>
      </c>
      <c r="F4829" s="10" t="s">
        <v>25887</v>
      </c>
      <c r="G4829" s="10" t="s">
        <v>6317</v>
      </c>
      <c r="H4829" s="11">
        <v>41250</v>
      </c>
      <c r="I4829" s="10">
        <v>2013</v>
      </c>
      <c r="J4829" s="10" t="s">
        <v>25888</v>
      </c>
      <c r="K4829" s="10">
        <v>349</v>
      </c>
      <c r="L4829" s="10" t="s">
        <v>25889</v>
      </c>
      <c r="M4829" s="10">
        <v>1</v>
      </c>
      <c r="N4829" s="10" t="s">
        <v>25890</v>
      </c>
      <c r="O4829" s="10"/>
      <c r="P4829" s="10" t="s">
        <v>25891</v>
      </c>
      <c r="Q4829" s="10">
        <v>370.15</v>
      </c>
      <c r="R4829" s="10" t="s">
        <v>25892</v>
      </c>
      <c r="S4829" s="10" t="s">
        <v>53</v>
      </c>
      <c r="T4829" s="10" t="s">
        <v>54</v>
      </c>
    </row>
    <row r="4830" spans="1:20" ht="14.5" x14ac:dyDescent="0.35">
      <c r="A4830" s="10" t="s">
        <v>25893</v>
      </c>
      <c r="B4830" s="10" t="str">
        <f>"9781596671546"</f>
        <v>9781596671546</v>
      </c>
      <c r="C4830" s="10" t="str">
        <f>"9781317926306"</f>
        <v>9781317926306</v>
      </c>
      <c r="D4830" s="10" t="s">
        <v>6350</v>
      </c>
      <c r="E4830" s="10" t="s">
        <v>6351</v>
      </c>
      <c r="F4830" s="10" t="s">
        <v>139</v>
      </c>
      <c r="G4830" s="10" t="s">
        <v>6352</v>
      </c>
      <c r="H4830" s="11">
        <v>40354</v>
      </c>
      <c r="I4830" s="10">
        <v>2010</v>
      </c>
      <c r="J4830" s="10" t="s">
        <v>6353</v>
      </c>
      <c r="K4830" s="10">
        <v>190</v>
      </c>
      <c r="L4830" s="10" t="s">
        <v>25894</v>
      </c>
      <c r="M4830" s="10">
        <v>1</v>
      </c>
      <c r="N4830" s="10"/>
      <c r="O4830" s="10"/>
      <c r="P4830" s="10" t="s">
        <v>25895</v>
      </c>
      <c r="Q4830" s="10">
        <v>371.10199999999998</v>
      </c>
      <c r="R4830" s="10" t="s">
        <v>6480</v>
      </c>
      <c r="S4830" s="10" t="s">
        <v>53</v>
      </c>
      <c r="T4830" s="10" t="s">
        <v>54</v>
      </c>
    </row>
    <row r="4831" spans="1:20" ht="14.5" x14ac:dyDescent="0.35">
      <c r="A4831" s="10" t="s">
        <v>25896</v>
      </c>
      <c r="B4831" s="10" t="str">
        <f>"9780730304425"</f>
        <v>9780730304425</v>
      </c>
      <c r="C4831" s="10" t="str">
        <f>"9780730304449"</f>
        <v>9780730304449</v>
      </c>
      <c r="D4831" s="10" t="s">
        <v>6322</v>
      </c>
      <c r="E4831" s="10" t="s">
        <v>6323</v>
      </c>
      <c r="F4831" s="10" t="s">
        <v>4423</v>
      </c>
      <c r="G4831" s="10" t="s">
        <v>12975</v>
      </c>
      <c r="H4831" s="11">
        <v>40946</v>
      </c>
      <c r="I4831" s="10">
        <v>2014</v>
      </c>
      <c r="J4831" s="10" t="s">
        <v>25195</v>
      </c>
      <c r="K4831" s="10">
        <v>259</v>
      </c>
      <c r="L4831" s="10" t="s">
        <v>25897</v>
      </c>
      <c r="M4831" s="10">
        <v>2</v>
      </c>
      <c r="N4831" s="10"/>
      <c r="O4831" s="10"/>
      <c r="P4831" s="10" t="s">
        <v>25898</v>
      </c>
      <c r="Q4831" s="10">
        <v>371.30281000000002</v>
      </c>
      <c r="R4831" s="10" t="s">
        <v>25899</v>
      </c>
      <c r="S4831" s="10" t="s">
        <v>53</v>
      </c>
      <c r="T4831" s="10" t="s">
        <v>54</v>
      </c>
    </row>
    <row r="4832" spans="1:20" ht="14.5" x14ac:dyDescent="0.35">
      <c r="A4832" s="10" t="s">
        <v>25900</v>
      </c>
      <c r="B4832" s="10" t="str">
        <f>"9780415899482"</f>
        <v>9780415899482</v>
      </c>
      <c r="C4832" s="10" t="str">
        <f>"9781136583377"</f>
        <v>9781136583377</v>
      </c>
      <c r="D4832" s="10" t="s">
        <v>6350</v>
      </c>
      <c r="E4832" s="10" t="s">
        <v>6351</v>
      </c>
      <c r="F4832" s="10" t="s">
        <v>748</v>
      </c>
      <c r="G4832" s="10" t="s">
        <v>6352</v>
      </c>
      <c r="H4832" s="11">
        <v>41471</v>
      </c>
      <c r="I4832" s="10">
        <v>2014</v>
      </c>
      <c r="J4832" s="10" t="s">
        <v>6351</v>
      </c>
      <c r="K4832" s="10">
        <v>183</v>
      </c>
      <c r="L4832" s="10" t="s">
        <v>25901</v>
      </c>
      <c r="M4832" s="10">
        <v>1</v>
      </c>
      <c r="N4832" s="10" t="s">
        <v>25902</v>
      </c>
      <c r="O4832" s="10"/>
      <c r="P4832" s="10" t="s">
        <v>16415</v>
      </c>
      <c r="Q4832" s="10">
        <v>370.1</v>
      </c>
      <c r="R4832" s="10" t="s">
        <v>25903</v>
      </c>
      <c r="S4832" s="10" t="s">
        <v>53</v>
      </c>
      <c r="T4832" s="10" t="s">
        <v>54</v>
      </c>
    </row>
    <row r="4833" spans="1:20" ht="14.5" x14ac:dyDescent="0.35">
      <c r="A4833" s="10" t="s">
        <v>25904</v>
      </c>
      <c r="B4833" s="10" t="str">
        <f>"9780415820295"</f>
        <v>9780415820295</v>
      </c>
      <c r="C4833" s="10" t="str">
        <f>"9781135051068"</f>
        <v>9781135051068</v>
      </c>
      <c r="D4833" s="10" t="s">
        <v>6350</v>
      </c>
      <c r="E4833" s="10" t="s">
        <v>6351</v>
      </c>
      <c r="F4833" s="10" t="s">
        <v>748</v>
      </c>
      <c r="G4833" s="10" t="s">
        <v>6352</v>
      </c>
      <c r="H4833" s="11">
        <v>41492</v>
      </c>
      <c r="I4833" s="10">
        <v>2014</v>
      </c>
      <c r="J4833" s="10" t="s">
        <v>6351</v>
      </c>
      <c r="K4833" s="10">
        <v>257</v>
      </c>
      <c r="L4833" s="10" t="s">
        <v>25905</v>
      </c>
      <c r="M4833" s="10">
        <v>1</v>
      </c>
      <c r="N4833" s="10"/>
      <c r="O4833" s="10"/>
      <c r="P4833" s="10" t="s">
        <v>25906</v>
      </c>
      <c r="Q4833" s="10" t="s">
        <v>6942</v>
      </c>
      <c r="R4833" s="10" t="s">
        <v>25907</v>
      </c>
      <c r="S4833" s="10" t="s">
        <v>53</v>
      </c>
      <c r="T4833" s="10" t="s">
        <v>54</v>
      </c>
    </row>
    <row r="4834" spans="1:20" ht="14.5" x14ac:dyDescent="0.35">
      <c r="A4834" s="10" t="s">
        <v>25908</v>
      </c>
      <c r="B4834" s="10" t="str">
        <f>"9780415813983"</f>
        <v>9780415813983</v>
      </c>
      <c r="C4834" s="10" t="str">
        <f>"9781135137434"</f>
        <v>9781135137434</v>
      </c>
      <c r="D4834" s="10" t="s">
        <v>6350</v>
      </c>
      <c r="E4834" s="10" t="s">
        <v>6351</v>
      </c>
      <c r="F4834" s="10" t="s">
        <v>139</v>
      </c>
      <c r="G4834" s="10" t="s">
        <v>6352</v>
      </c>
      <c r="H4834" s="11">
        <v>41480</v>
      </c>
      <c r="I4834" s="10">
        <v>2014</v>
      </c>
      <c r="J4834" s="10" t="s">
        <v>6353</v>
      </c>
      <c r="K4834" s="10">
        <v>177</v>
      </c>
      <c r="L4834" s="10" t="s">
        <v>25909</v>
      </c>
      <c r="M4834" s="10">
        <v>1</v>
      </c>
      <c r="N4834" s="10" t="s">
        <v>9640</v>
      </c>
      <c r="O4834" s="10"/>
      <c r="P4834" s="10" t="s">
        <v>25910</v>
      </c>
      <c r="Q4834" s="10">
        <v>371.9</v>
      </c>
      <c r="R4834" s="10" t="s">
        <v>25911</v>
      </c>
      <c r="S4834" s="10" t="s">
        <v>53</v>
      </c>
      <c r="T4834" s="10" t="s">
        <v>54</v>
      </c>
    </row>
    <row r="4835" spans="1:20" ht="14.5" x14ac:dyDescent="0.35">
      <c r="A4835" s="10" t="s">
        <v>25912</v>
      </c>
      <c r="B4835" s="10" t="str">
        <f>"9781781907009"</f>
        <v>9781781907009</v>
      </c>
      <c r="C4835" s="10" t="str">
        <f>"9781781907016"</f>
        <v>9781781907016</v>
      </c>
      <c r="D4835" s="10" t="s">
        <v>8699</v>
      </c>
      <c r="E4835" s="10" t="s">
        <v>8699</v>
      </c>
      <c r="F4835" s="10" t="s">
        <v>559</v>
      </c>
      <c r="G4835" s="10" t="s">
        <v>6352</v>
      </c>
      <c r="H4835" s="11">
        <v>41467</v>
      </c>
      <c r="I4835" s="10">
        <v>2013</v>
      </c>
      <c r="J4835" s="10" t="s">
        <v>8699</v>
      </c>
      <c r="K4835" s="10">
        <v>203</v>
      </c>
      <c r="L4835" s="10" t="s">
        <v>25913</v>
      </c>
      <c r="M4835" s="10">
        <v>1</v>
      </c>
      <c r="N4835" s="10" t="s">
        <v>19897</v>
      </c>
      <c r="O4835" s="10">
        <v>17</v>
      </c>
      <c r="P4835" s="10" t="s">
        <v>25914</v>
      </c>
      <c r="Q4835" s="10">
        <v>372.21</v>
      </c>
      <c r="R4835" s="10" t="s">
        <v>25915</v>
      </c>
      <c r="S4835" s="10" t="s">
        <v>53</v>
      </c>
      <c r="T4835" s="10" t="s">
        <v>54</v>
      </c>
    </row>
    <row r="4836" spans="1:20" ht="14.5" x14ac:dyDescent="0.35">
      <c r="A4836" s="10" t="s">
        <v>25916</v>
      </c>
      <c r="B4836" s="10" t="str">
        <f>"9781841507149"</f>
        <v>9781841507149</v>
      </c>
      <c r="C4836" s="10" t="str">
        <f>"9781783200757"</f>
        <v>9781783200757</v>
      </c>
      <c r="D4836" s="10" t="s">
        <v>9533</v>
      </c>
      <c r="E4836" s="10" t="s">
        <v>10235</v>
      </c>
      <c r="F4836" s="10" t="s">
        <v>10236</v>
      </c>
      <c r="G4836" s="10" t="s">
        <v>6352</v>
      </c>
      <c r="H4836" s="11">
        <v>41470</v>
      </c>
      <c r="I4836" s="10">
        <v>2013</v>
      </c>
      <c r="J4836" s="10" t="s">
        <v>10235</v>
      </c>
      <c r="K4836" s="10">
        <v>398</v>
      </c>
      <c r="L4836" s="10" t="s">
        <v>25917</v>
      </c>
      <c r="M4836" s="10">
        <v>1</v>
      </c>
      <c r="N4836" s="10"/>
      <c r="O4836" s="10"/>
      <c r="P4836" s="10" t="s">
        <v>25918</v>
      </c>
      <c r="Q4836" s="10">
        <v>378.01</v>
      </c>
      <c r="R4836" s="10" t="s">
        <v>25919</v>
      </c>
      <c r="S4836" s="10" t="s">
        <v>53</v>
      </c>
      <c r="T4836" s="10" t="s">
        <v>54</v>
      </c>
    </row>
    <row r="4837" spans="1:20" ht="14.5" x14ac:dyDescent="0.35">
      <c r="A4837" s="10" t="s">
        <v>25920</v>
      </c>
      <c r="B4837" s="10" t="str">
        <f>"9781474227964"</f>
        <v>9781474227964</v>
      </c>
      <c r="C4837" s="10" t="str">
        <f>"9781441116710"</f>
        <v>9781441116710</v>
      </c>
      <c r="D4837" s="10" t="s">
        <v>13959</v>
      </c>
      <c r="E4837" s="10" t="s">
        <v>13960</v>
      </c>
      <c r="F4837" s="10" t="s">
        <v>139</v>
      </c>
      <c r="G4837" s="10" t="s">
        <v>6352</v>
      </c>
      <c r="H4837" s="11">
        <v>41543</v>
      </c>
      <c r="I4837" s="10">
        <v>2013</v>
      </c>
      <c r="J4837" s="10" t="s">
        <v>14057</v>
      </c>
      <c r="K4837" s="10">
        <v>337</v>
      </c>
      <c r="L4837" s="10" t="s">
        <v>25921</v>
      </c>
      <c r="M4837" s="10">
        <v>1</v>
      </c>
      <c r="N4837" s="10"/>
      <c r="O4837" s="10"/>
      <c r="P4837" s="10" t="s">
        <v>25922</v>
      </c>
      <c r="Q4837" s="10">
        <v>371.399</v>
      </c>
      <c r="R4837" s="10" t="s">
        <v>25923</v>
      </c>
      <c r="S4837" s="10" t="s">
        <v>53</v>
      </c>
      <c r="T4837" s="10" t="s">
        <v>6881</v>
      </c>
    </row>
    <row r="4838" spans="1:20" ht="14.5" x14ac:dyDescent="0.35">
      <c r="A4838" s="10" t="s">
        <v>25924</v>
      </c>
      <c r="B4838" s="10" t="str">
        <f>"9781137351920"</f>
        <v>9781137351920</v>
      </c>
      <c r="C4838" s="10" t="str">
        <f>"9781137351937"</f>
        <v>9781137351937</v>
      </c>
      <c r="D4838" s="10" t="s">
        <v>11249</v>
      </c>
      <c r="E4838" s="10" t="s">
        <v>13407</v>
      </c>
      <c r="F4838" s="10" t="s">
        <v>139</v>
      </c>
      <c r="G4838" s="10" t="s">
        <v>6352</v>
      </c>
      <c r="H4838" s="11">
        <v>41493</v>
      </c>
      <c r="I4838" s="10">
        <v>2013</v>
      </c>
      <c r="J4838" s="10" t="s">
        <v>25925</v>
      </c>
      <c r="K4838" s="10">
        <v>166</v>
      </c>
      <c r="L4838" s="10" t="s">
        <v>25926</v>
      </c>
      <c r="M4838" s="10">
        <v>1</v>
      </c>
      <c r="N4838" s="10"/>
      <c r="O4838" s="10"/>
      <c r="P4838" s="10" t="s">
        <v>25927</v>
      </c>
      <c r="Q4838" s="10"/>
      <c r="R4838" s="10" t="s">
        <v>25928</v>
      </c>
      <c r="S4838" s="10" t="s">
        <v>53</v>
      </c>
      <c r="T4838" s="10" t="s">
        <v>6660</v>
      </c>
    </row>
    <row r="4839" spans="1:20" ht="14.5" x14ac:dyDescent="0.35">
      <c r="A4839" s="10" t="s">
        <v>25929</v>
      </c>
      <c r="B4839" s="10" t="str">
        <f>"9780520276079"</f>
        <v>9780520276079</v>
      </c>
      <c r="C4839" s="10" t="str">
        <f>"9780520956599"</f>
        <v>9780520956599</v>
      </c>
      <c r="D4839" s="10" t="s">
        <v>8512</v>
      </c>
      <c r="E4839" s="10" t="s">
        <v>8512</v>
      </c>
      <c r="F4839" s="10" t="s">
        <v>717</v>
      </c>
      <c r="G4839" s="10" t="s">
        <v>6317</v>
      </c>
      <c r="H4839" s="11">
        <v>41510</v>
      </c>
      <c r="I4839" s="10">
        <v>2013</v>
      </c>
      <c r="J4839" s="10" t="s">
        <v>8512</v>
      </c>
      <c r="K4839" s="10">
        <v>267</v>
      </c>
      <c r="L4839" s="10" t="s">
        <v>25930</v>
      </c>
      <c r="M4839" s="10">
        <v>1</v>
      </c>
      <c r="N4839" s="10"/>
      <c r="O4839" s="10"/>
      <c r="P4839" s="10" t="s">
        <v>25931</v>
      </c>
      <c r="Q4839" s="10">
        <v>570.72</v>
      </c>
      <c r="R4839" s="10" t="s">
        <v>25932</v>
      </c>
      <c r="S4839" s="10" t="s">
        <v>53</v>
      </c>
      <c r="T4839" s="10" t="s">
        <v>12662</v>
      </c>
    </row>
    <row r="4840" spans="1:20" ht="14.5" x14ac:dyDescent="0.35">
      <c r="A4840" s="10" t="s">
        <v>25933</v>
      </c>
      <c r="B4840" s="10" t="str">
        <f>"9781416615736"</f>
        <v>9781416615736</v>
      </c>
      <c r="C4840" s="10" t="str">
        <f>"9781416616726"</f>
        <v>9781416616726</v>
      </c>
      <c r="D4840" s="10" t="s">
        <v>10014</v>
      </c>
      <c r="E4840" s="10" t="s">
        <v>10015</v>
      </c>
      <c r="F4840" s="10" t="s">
        <v>201</v>
      </c>
      <c r="G4840" s="10" t="s">
        <v>6317</v>
      </c>
      <c r="H4840" s="11">
        <v>41455</v>
      </c>
      <c r="I4840" s="10">
        <v>2013</v>
      </c>
      <c r="J4840" s="10" t="s">
        <v>10015</v>
      </c>
      <c r="K4840" s="10">
        <v>210</v>
      </c>
      <c r="L4840" s="10" t="s">
        <v>25934</v>
      </c>
      <c r="M4840" s="10">
        <v>1</v>
      </c>
      <c r="N4840" s="10"/>
      <c r="O4840" s="10"/>
      <c r="P4840" s="10" t="s">
        <v>25935</v>
      </c>
      <c r="Q4840" s="10" t="s">
        <v>24601</v>
      </c>
      <c r="R4840" s="10" t="s">
        <v>25936</v>
      </c>
      <c r="S4840" s="10" t="s">
        <v>53</v>
      </c>
      <c r="T4840" s="10" t="s">
        <v>54</v>
      </c>
    </row>
    <row r="4841" spans="1:20" ht="14.5" x14ac:dyDescent="0.35">
      <c r="A4841" s="10" t="s">
        <v>25937</v>
      </c>
      <c r="B4841" s="10" t="str">
        <f>"9781416615491"</f>
        <v>9781416615491</v>
      </c>
      <c r="C4841" s="10" t="str">
        <f>"9781416616788"</f>
        <v>9781416616788</v>
      </c>
      <c r="D4841" s="10" t="s">
        <v>10014</v>
      </c>
      <c r="E4841" s="10" t="s">
        <v>10015</v>
      </c>
      <c r="F4841" s="10" t="s">
        <v>201</v>
      </c>
      <c r="G4841" s="10" t="s">
        <v>6317</v>
      </c>
      <c r="H4841" s="11">
        <v>41465</v>
      </c>
      <c r="I4841" s="10">
        <v>2013</v>
      </c>
      <c r="J4841" s="10" t="s">
        <v>10015</v>
      </c>
      <c r="K4841" s="10">
        <v>194</v>
      </c>
      <c r="L4841" s="10" t="s">
        <v>25938</v>
      </c>
      <c r="M4841" s="10">
        <v>1</v>
      </c>
      <c r="N4841" s="10"/>
      <c r="O4841" s="10"/>
      <c r="P4841" s="10" t="s">
        <v>25939</v>
      </c>
      <c r="Q4841" s="10">
        <v>371.10199999999998</v>
      </c>
      <c r="R4841" s="10" t="s">
        <v>25940</v>
      </c>
      <c r="S4841" s="10" t="s">
        <v>53</v>
      </c>
      <c r="T4841" s="10" t="s">
        <v>54</v>
      </c>
    </row>
    <row r="4842" spans="1:20" ht="14.5" x14ac:dyDescent="0.35">
      <c r="A4842" s="10" t="s">
        <v>25941</v>
      </c>
      <c r="B4842" s="10" t="str">
        <f>"9781416615712"</f>
        <v>9781416615712</v>
      </c>
      <c r="C4842" s="10" t="str">
        <f>"9781416616757"</f>
        <v>9781416616757</v>
      </c>
      <c r="D4842" s="10" t="s">
        <v>10014</v>
      </c>
      <c r="E4842" s="10" t="s">
        <v>10015</v>
      </c>
      <c r="F4842" s="10" t="s">
        <v>201</v>
      </c>
      <c r="G4842" s="10" t="s">
        <v>6317</v>
      </c>
      <c r="H4842" s="11">
        <v>41455</v>
      </c>
      <c r="I4842" s="10">
        <v>2013</v>
      </c>
      <c r="J4842" s="10" t="s">
        <v>10015</v>
      </c>
      <c r="K4842" s="10">
        <v>235</v>
      </c>
      <c r="L4842" s="10" t="s">
        <v>16000</v>
      </c>
      <c r="M4842" s="10">
        <v>1</v>
      </c>
      <c r="N4842" s="10"/>
      <c r="O4842" s="10"/>
      <c r="P4842" s="10" t="s">
        <v>25942</v>
      </c>
      <c r="Q4842" s="10">
        <v>372.44</v>
      </c>
      <c r="R4842" s="10" t="s">
        <v>25943</v>
      </c>
      <c r="S4842" s="10" t="s">
        <v>53</v>
      </c>
      <c r="T4842" s="10" t="s">
        <v>54</v>
      </c>
    </row>
    <row r="4843" spans="1:20" ht="14.5" x14ac:dyDescent="0.35">
      <c r="A4843" s="10" t="s">
        <v>25944</v>
      </c>
      <c r="B4843" s="10" t="str">
        <f>"9789814405546"</f>
        <v>9789814405546</v>
      </c>
      <c r="C4843" s="10" t="str">
        <f>"9789814405553"</f>
        <v>9789814405553</v>
      </c>
      <c r="D4843" s="10" t="s">
        <v>8571</v>
      </c>
      <c r="E4843" s="10" t="s">
        <v>8572</v>
      </c>
      <c r="F4843" s="10" t="s">
        <v>549</v>
      </c>
      <c r="G4843" s="10" t="s">
        <v>8573</v>
      </c>
      <c r="H4843" s="11">
        <v>41453</v>
      </c>
      <c r="I4843" s="10">
        <v>2013</v>
      </c>
      <c r="J4843" s="10" t="s">
        <v>21118</v>
      </c>
      <c r="K4843" s="10">
        <v>308</v>
      </c>
      <c r="L4843" s="10" t="s">
        <v>25945</v>
      </c>
      <c r="M4843" s="10">
        <v>1</v>
      </c>
      <c r="N4843" s="10"/>
      <c r="O4843" s="10"/>
      <c r="P4843" s="10" t="s">
        <v>25946</v>
      </c>
      <c r="Q4843" s="10">
        <v>373.18</v>
      </c>
      <c r="R4843" s="10" t="s">
        <v>25947</v>
      </c>
      <c r="S4843" s="10" t="s">
        <v>53</v>
      </c>
      <c r="T4843" s="10" t="s">
        <v>54</v>
      </c>
    </row>
    <row r="4844" spans="1:20" ht="14.5" x14ac:dyDescent="0.35">
      <c r="A4844" s="10" t="s">
        <v>25948</v>
      </c>
      <c r="B4844" s="10" t="str">
        <f>"9780335245932"</f>
        <v>9780335245932</v>
      </c>
      <c r="C4844" s="10" t="str">
        <f>"9780335245949"</f>
        <v>9780335245949</v>
      </c>
      <c r="D4844" s="10" t="s">
        <v>10342</v>
      </c>
      <c r="E4844" s="10" t="s">
        <v>10343</v>
      </c>
      <c r="F4844" s="10" t="s">
        <v>10344</v>
      </c>
      <c r="G4844" s="10" t="s">
        <v>6352</v>
      </c>
      <c r="H4844" s="11">
        <v>41487</v>
      </c>
      <c r="I4844" s="10">
        <v>2013</v>
      </c>
      <c r="J4844" s="10" t="s">
        <v>10345</v>
      </c>
      <c r="K4844" s="10">
        <v>210</v>
      </c>
      <c r="L4844" s="10" t="s">
        <v>25949</v>
      </c>
      <c r="M4844" s="10">
        <v>1</v>
      </c>
      <c r="N4844" s="10" t="s">
        <v>10408</v>
      </c>
      <c r="O4844" s="10"/>
      <c r="P4844" s="10" t="s">
        <v>25950</v>
      </c>
      <c r="Q4844" s="10"/>
      <c r="R4844" s="10" t="s">
        <v>25951</v>
      </c>
      <c r="S4844" s="10" t="s">
        <v>53</v>
      </c>
      <c r="T4844" s="10" t="s">
        <v>1166</v>
      </c>
    </row>
    <row r="4845" spans="1:20" ht="14.5" x14ac:dyDescent="0.35">
      <c r="A4845" s="10" t="s">
        <v>25952</v>
      </c>
      <c r="B4845" s="10" t="str">
        <f>"9781443847407"</f>
        <v>9781443847407</v>
      </c>
      <c r="C4845" s="10" t="str">
        <f>"9781443849968"</f>
        <v>9781443849968</v>
      </c>
      <c r="D4845" s="10" t="s">
        <v>23635</v>
      </c>
      <c r="E4845" s="10" t="s">
        <v>23635</v>
      </c>
      <c r="F4845" s="10" t="s">
        <v>23636</v>
      </c>
      <c r="G4845" s="10" t="s">
        <v>6352</v>
      </c>
      <c r="H4845" s="11">
        <v>41452</v>
      </c>
      <c r="I4845" s="10">
        <v>2013</v>
      </c>
      <c r="J4845" s="10" t="s">
        <v>23635</v>
      </c>
      <c r="K4845" s="10">
        <v>468</v>
      </c>
      <c r="L4845" s="10" t="s">
        <v>25953</v>
      </c>
      <c r="M4845" s="10">
        <v>1</v>
      </c>
      <c r="N4845" s="10"/>
      <c r="O4845" s="10"/>
      <c r="P4845" s="10" t="s">
        <v>25954</v>
      </c>
      <c r="Q4845" s="10">
        <v>370.19600000000003</v>
      </c>
      <c r="R4845" s="10" t="s">
        <v>7957</v>
      </c>
      <c r="S4845" s="10" t="s">
        <v>53</v>
      </c>
      <c r="T4845" s="10" t="s">
        <v>54</v>
      </c>
    </row>
    <row r="4846" spans="1:20" ht="14.5" x14ac:dyDescent="0.35">
      <c r="A4846" s="10" t="s">
        <v>25955</v>
      </c>
      <c r="B4846" s="10" t="str">
        <f>"9781443847940"</f>
        <v>9781443847940</v>
      </c>
      <c r="C4846" s="10" t="str">
        <f>"9781443850131"</f>
        <v>9781443850131</v>
      </c>
      <c r="D4846" s="10" t="s">
        <v>23635</v>
      </c>
      <c r="E4846" s="10" t="s">
        <v>23635</v>
      </c>
      <c r="F4846" s="10" t="s">
        <v>23636</v>
      </c>
      <c r="G4846" s="10" t="s">
        <v>6352</v>
      </c>
      <c r="H4846" s="11">
        <v>41478</v>
      </c>
      <c r="I4846" s="10">
        <v>2013</v>
      </c>
      <c r="J4846" s="10" t="s">
        <v>23635</v>
      </c>
      <c r="K4846" s="10">
        <v>210</v>
      </c>
      <c r="L4846" s="10" t="s">
        <v>25956</v>
      </c>
      <c r="M4846" s="10">
        <v>1</v>
      </c>
      <c r="N4846" s="10"/>
      <c r="O4846" s="10"/>
      <c r="P4846" s="10" t="s">
        <v>25957</v>
      </c>
      <c r="Q4846" s="10">
        <v>370.94979999999998</v>
      </c>
      <c r="R4846" s="10" t="s">
        <v>25958</v>
      </c>
      <c r="S4846" s="10" t="s">
        <v>53</v>
      </c>
      <c r="T4846" s="10" t="s">
        <v>54</v>
      </c>
    </row>
    <row r="4847" spans="1:20" ht="14.5" x14ac:dyDescent="0.35">
      <c r="A4847" s="10" t="s">
        <v>25959</v>
      </c>
      <c r="B4847" s="10" t="str">
        <f>"9781596671577"</f>
        <v>9781596671577</v>
      </c>
      <c r="C4847" s="10" t="str">
        <f>"9781317924593"</f>
        <v>9781317924593</v>
      </c>
      <c r="D4847" s="10" t="s">
        <v>6350</v>
      </c>
      <c r="E4847" s="10" t="s">
        <v>6351</v>
      </c>
      <c r="F4847" s="10" t="s">
        <v>139</v>
      </c>
      <c r="G4847" s="10" t="s">
        <v>6352</v>
      </c>
      <c r="H4847" s="11">
        <v>40350</v>
      </c>
      <c r="I4847" s="10">
        <v>2010</v>
      </c>
      <c r="J4847" s="10" t="s">
        <v>6353</v>
      </c>
      <c r="K4847" s="10">
        <v>157</v>
      </c>
      <c r="L4847" s="10" t="s">
        <v>25894</v>
      </c>
      <c r="M4847" s="10">
        <v>1</v>
      </c>
      <c r="N4847" s="10"/>
      <c r="O4847" s="10"/>
      <c r="P4847" s="10" t="s">
        <v>25960</v>
      </c>
      <c r="Q4847" s="10">
        <v>371.14400000000001</v>
      </c>
      <c r="R4847" s="10" t="s">
        <v>6480</v>
      </c>
      <c r="S4847" s="10" t="s">
        <v>53</v>
      </c>
      <c r="T4847" s="10" t="s">
        <v>54</v>
      </c>
    </row>
    <row r="4848" spans="1:20" ht="14.5" x14ac:dyDescent="0.35">
      <c r="A4848" s="10" t="s">
        <v>25961</v>
      </c>
      <c r="B4848" s="10" t="str">
        <f>"9780857457820"</f>
        <v>9780857457820</v>
      </c>
      <c r="C4848" s="10" t="str">
        <f>"9780857457837"</f>
        <v>9780857457837</v>
      </c>
      <c r="D4848" s="10" t="s">
        <v>21315</v>
      </c>
      <c r="E4848" s="10" t="s">
        <v>21316</v>
      </c>
      <c r="F4848" s="10" t="s">
        <v>13068</v>
      </c>
      <c r="G4848" s="10" t="s">
        <v>6317</v>
      </c>
      <c r="H4848" s="11">
        <v>41334</v>
      </c>
      <c r="I4848" s="10">
        <v>2013</v>
      </c>
      <c r="J4848" s="10" t="s">
        <v>21316</v>
      </c>
      <c r="K4848" s="10">
        <v>343</v>
      </c>
      <c r="L4848" s="10" t="s">
        <v>25962</v>
      </c>
      <c r="M4848" s="10">
        <v>1</v>
      </c>
      <c r="N4848" s="10" t="s">
        <v>25963</v>
      </c>
      <c r="O4848" s="10">
        <v>4</v>
      </c>
      <c r="P4848" s="10" t="s">
        <v>25964</v>
      </c>
      <c r="Q4848" s="10" t="s">
        <v>25965</v>
      </c>
      <c r="R4848" s="10" t="s">
        <v>25966</v>
      </c>
      <c r="S4848" s="10" t="s">
        <v>53</v>
      </c>
      <c r="T4848" s="10" t="s">
        <v>54</v>
      </c>
    </row>
    <row r="4849" spans="1:20" ht="14.5" x14ac:dyDescent="0.35">
      <c r="A4849" s="10" t="s">
        <v>25967</v>
      </c>
      <c r="B4849" s="10" t="str">
        <f>"9781452255521"</f>
        <v>9781452255521</v>
      </c>
      <c r="C4849" s="10" t="str">
        <f>"9781483332864"</f>
        <v>9781483332864</v>
      </c>
      <c r="D4849" s="10" t="s">
        <v>22210</v>
      </c>
      <c r="E4849" s="10" t="s">
        <v>22211</v>
      </c>
      <c r="F4849" s="10" t="s">
        <v>333</v>
      </c>
      <c r="G4849" s="10" t="s">
        <v>6317</v>
      </c>
      <c r="H4849" s="11">
        <v>41472</v>
      </c>
      <c r="I4849" s="10">
        <v>2013</v>
      </c>
      <c r="J4849" s="10" t="s">
        <v>22211</v>
      </c>
      <c r="K4849" s="10">
        <v>201</v>
      </c>
      <c r="L4849" s="10" t="s">
        <v>25968</v>
      </c>
      <c r="M4849" s="10">
        <v>1</v>
      </c>
      <c r="N4849" s="10"/>
      <c r="O4849" s="10"/>
      <c r="P4849" s="10"/>
      <c r="Q4849" s="10">
        <v>371.33</v>
      </c>
      <c r="R4849" s="10"/>
      <c r="S4849" s="10" t="s">
        <v>53</v>
      </c>
      <c r="T4849" s="10" t="s">
        <v>54</v>
      </c>
    </row>
    <row r="4850" spans="1:20" ht="14.5" x14ac:dyDescent="0.35">
      <c r="A4850" s="10" t="s">
        <v>25969</v>
      </c>
      <c r="B4850" s="10" t="str">
        <f>"9781781907665"</f>
        <v>9781781907665</v>
      </c>
      <c r="C4850" s="10" t="str">
        <f>"9781781907672"</f>
        <v>9781781907672</v>
      </c>
      <c r="D4850" s="10" t="s">
        <v>8699</v>
      </c>
      <c r="E4850" s="10" t="s">
        <v>8699</v>
      </c>
      <c r="F4850" s="10" t="s">
        <v>559</v>
      </c>
      <c r="G4850" s="10" t="s">
        <v>6352</v>
      </c>
      <c r="H4850" s="11">
        <v>41487</v>
      </c>
      <c r="I4850" s="10">
        <v>2013</v>
      </c>
      <c r="J4850" s="10" t="s">
        <v>8699</v>
      </c>
      <c r="K4850" s="10">
        <v>310</v>
      </c>
      <c r="L4850" s="10" t="s">
        <v>25970</v>
      </c>
      <c r="M4850" s="10">
        <v>1</v>
      </c>
      <c r="N4850" s="10" t="s">
        <v>25971</v>
      </c>
      <c r="O4850" s="10">
        <v>8</v>
      </c>
      <c r="P4850" s="10" t="s">
        <v>25972</v>
      </c>
      <c r="Q4850" s="10">
        <v>28.707100000000001</v>
      </c>
      <c r="R4850" s="10" t="s">
        <v>25973</v>
      </c>
      <c r="S4850" s="10" t="s">
        <v>53</v>
      </c>
      <c r="T4850" s="10" t="s">
        <v>18470</v>
      </c>
    </row>
    <row r="4851" spans="1:20" ht="14.5" x14ac:dyDescent="0.35">
      <c r="A4851" s="10" t="s">
        <v>25974</v>
      </c>
      <c r="B4851" s="10" t="str">
        <f>"9781442214866"</f>
        <v>9781442214866</v>
      </c>
      <c r="C4851" s="10" t="str">
        <f>"9781442214880"</f>
        <v>9781442214880</v>
      </c>
      <c r="D4851" s="10" t="s">
        <v>9752</v>
      </c>
      <c r="E4851" s="10" t="s">
        <v>15187</v>
      </c>
      <c r="F4851" s="10" t="s">
        <v>9754</v>
      </c>
      <c r="G4851" s="10" t="s">
        <v>6317</v>
      </c>
      <c r="H4851" s="11">
        <v>41270</v>
      </c>
      <c r="I4851" s="10">
        <v>2012</v>
      </c>
      <c r="J4851" s="10" t="s">
        <v>15187</v>
      </c>
      <c r="K4851" s="10">
        <v>161</v>
      </c>
      <c r="L4851" s="10" t="s">
        <v>25975</v>
      </c>
      <c r="M4851" s="10">
        <v>1</v>
      </c>
      <c r="N4851" s="10" t="s">
        <v>25976</v>
      </c>
      <c r="O4851" s="10"/>
      <c r="P4851" s="10"/>
      <c r="Q4851" s="10" t="s">
        <v>20834</v>
      </c>
      <c r="R4851" s="10" t="s">
        <v>25977</v>
      </c>
      <c r="S4851" s="10" t="s">
        <v>53</v>
      </c>
      <c r="T4851" s="10" t="s">
        <v>54</v>
      </c>
    </row>
    <row r="4852" spans="1:20" ht="14.5" x14ac:dyDescent="0.35">
      <c r="A4852" s="10" t="s">
        <v>25978</v>
      </c>
      <c r="B4852" s="10" t="str">
        <f>"9781118100929"</f>
        <v>9781118100929</v>
      </c>
      <c r="C4852" s="10" t="str">
        <f>"9781118418765"</f>
        <v>9781118418765</v>
      </c>
      <c r="D4852" s="10" t="s">
        <v>6322</v>
      </c>
      <c r="E4852" s="10" t="s">
        <v>6323</v>
      </c>
      <c r="F4852" s="10" t="s">
        <v>4423</v>
      </c>
      <c r="G4852" s="10" t="s">
        <v>6317</v>
      </c>
      <c r="H4852" s="11">
        <v>41533</v>
      </c>
      <c r="I4852" s="10">
        <v>2013</v>
      </c>
      <c r="J4852" s="10" t="s">
        <v>6324</v>
      </c>
      <c r="K4852" s="10">
        <v>305</v>
      </c>
      <c r="L4852" s="10" t="s">
        <v>25979</v>
      </c>
      <c r="M4852" s="10">
        <v>1</v>
      </c>
      <c r="N4852" s="10"/>
      <c r="O4852" s="10"/>
      <c r="P4852" s="10"/>
      <c r="Q4852" s="10">
        <v>378.19400000000002</v>
      </c>
      <c r="R4852" s="10" t="s">
        <v>25980</v>
      </c>
      <c r="S4852" s="10" t="s">
        <v>53</v>
      </c>
      <c r="T4852" s="10" t="s">
        <v>54</v>
      </c>
    </row>
    <row r="4853" spans="1:20" ht="14.5" x14ac:dyDescent="0.35">
      <c r="A4853" s="10" t="s">
        <v>25981</v>
      </c>
      <c r="B4853" s="10" t="str">
        <f>"9780739177495"</f>
        <v>9780739177495</v>
      </c>
      <c r="C4853" s="10" t="str">
        <f>"9780739177501"</f>
        <v>9780739177501</v>
      </c>
      <c r="D4853" s="10" t="s">
        <v>9752</v>
      </c>
      <c r="E4853" s="10" t="s">
        <v>15182</v>
      </c>
      <c r="F4853" s="10" t="s">
        <v>9754</v>
      </c>
      <c r="G4853" s="10" t="s">
        <v>6317</v>
      </c>
      <c r="H4853" s="11">
        <v>41473</v>
      </c>
      <c r="I4853" s="10">
        <v>2013</v>
      </c>
      <c r="J4853" s="10" t="s">
        <v>15182</v>
      </c>
      <c r="K4853" s="10">
        <v>376</v>
      </c>
      <c r="L4853" s="10" t="s">
        <v>25982</v>
      </c>
      <c r="M4853" s="10">
        <v>1</v>
      </c>
      <c r="N4853" s="10"/>
      <c r="O4853" s="10"/>
      <c r="P4853" s="10" t="s">
        <v>25983</v>
      </c>
      <c r="Q4853" s="10">
        <v>371.90460000000002</v>
      </c>
      <c r="R4853" s="10" t="s">
        <v>25984</v>
      </c>
      <c r="S4853" s="10" t="s">
        <v>53</v>
      </c>
      <c r="T4853" s="10" t="s">
        <v>54</v>
      </c>
    </row>
    <row r="4854" spans="1:20" ht="14.5" x14ac:dyDescent="0.35">
      <c r="A4854" s="10" t="s">
        <v>25985</v>
      </c>
      <c r="B4854" s="10" t="str">
        <f>"9780415518352"</f>
        <v>9780415518352</v>
      </c>
      <c r="C4854" s="10" t="str">
        <f>"9781136338939"</f>
        <v>9781136338939</v>
      </c>
      <c r="D4854" s="10" t="s">
        <v>6350</v>
      </c>
      <c r="E4854" s="10" t="s">
        <v>6351</v>
      </c>
      <c r="F4854" s="10" t="s">
        <v>5406</v>
      </c>
      <c r="G4854" s="10" t="s">
        <v>6352</v>
      </c>
      <c r="H4854" s="11">
        <v>41501</v>
      </c>
      <c r="I4854" s="10">
        <v>2013</v>
      </c>
      <c r="J4854" s="10" t="s">
        <v>6353</v>
      </c>
      <c r="K4854" s="10">
        <v>1487</v>
      </c>
      <c r="L4854" s="10" t="s">
        <v>25986</v>
      </c>
      <c r="M4854" s="10">
        <v>6</v>
      </c>
      <c r="N4854" s="10" t="s">
        <v>25987</v>
      </c>
      <c r="O4854" s="10"/>
      <c r="P4854" s="10" t="s">
        <v>25988</v>
      </c>
      <c r="Q4854" s="10">
        <v>373.11020000000002</v>
      </c>
      <c r="R4854" s="10" t="s">
        <v>25989</v>
      </c>
      <c r="S4854" s="10" t="s">
        <v>53</v>
      </c>
      <c r="T4854" s="10" t="s">
        <v>54</v>
      </c>
    </row>
    <row r="4855" spans="1:20" ht="14.5" x14ac:dyDescent="0.35">
      <c r="A4855" s="10" t="s">
        <v>25990</v>
      </c>
      <c r="B4855" s="10" t="str">
        <f>"9780415539128"</f>
        <v>9780415539128</v>
      </c>
      <c r="C4855" s="10" t="str">
        <f>"9781136266119"</f>
        <v>9781136266119</v>
      </c>
      <c r="D4855" s="10" t="s">
        <v>6350</v>
      </c>
      <c r="E4855" s="10" t="s">
        <v>6351</v>
      </c>
      <c r="F4855" s="10" t="s">
        <v>139</v>
      </c>
      <c r="G4855" s="10" t="s">
        <v>6352</v>
      </c>
      <c r="H4855" s="11">
        <v>41501</v>
      </c>
      <c r="I4855" s="10">
        <v>2013</v>
      </c>
      <c r="J4855" s="10" t="s">
        <v>6353</v>
      </c>
      <c r="K4855" s="10">
        <v>409</v>
      </c>
      <c r="L4855" s="10" t="s">
        <v>25991</v>
      </c>
      <c r="M4855" s="10">
        <v>5</v>
      </c>
      <c r="N4855" s="10"/>
      <c r="O4855" s="10"/>
      <c r="P4855" s="10" t="s">
        <v>25992</v>
      </c>
      <c r="Q4855" s="10">
        <v>370.97300000000001</v>
      </c>
      <c r="R4855" s="10" t="s">
        <v>25993</v>
      </c>
      <c r="S4855" s="10" t="s">
        <v>53</v>
      </c>
      <c r="T4855" s="10" t="s">
        <v>54</v>
      </c>
    </row>
    <row r="4856" spans="1:20" ht="14.5" x14ac:dyDescent="0.35">
      <c r="A4856" s="10" t="s">
        <v>25994</v>
      </c>
      <c r="B4856" s="10" t="str">
        <f>"9780415988834"</f>
        <v>9780415988834</v>
      </c>
      <c r="C4856" s="10" t="str">
        <f>"9781136871238"</f>
        <v>9781136871238</v>
      </c>
      <c r="D4856" s="10" t="s">
        <v>6350</v>
      </c>
      <c r="E4856" s="10" t="s">
        <v>6351</v>
      </c>
      <c r="F4856" s="10" t="s">
        <v>139</v>
      </c>
      <c r="G4856" s="10" t="s">
        <v>6352</v>
      </c>
      <c r="H4856" s="11">
        <v>40532</v>
      </c>
      <c r="I4856" s="10">
        <v>2011</v>
      </c>
      <c r="J4856" s="10" t="s">
        <v>6353</v>
      </c>
      <c r="K4856" s="10">
        <v>361</v>
      </c>
      <c r="L4856" s="10" t="s">
        <v>25995</v>
      </c>
      <c r="M4856" s="10">
        <v>1</v>
      </c>
      <c r="N4856" s="10"/>
      <c r="O4856" s="10"/>
      <c r="P4856" s="10" t="s">
        <v>25996</v>
      </c>
      <c r="Q4856" s="10" t="s">
        <v>6942</v>
      </c>
      <c r="R4856" s="10" t="s">
        <v>25997</v>
      </c>
      <c r="S4856" s="10" t="s">
        <v>53</v>
      </c>
      <c r="T4856" s="10" t="s">
        <v>54</v>
      </c>
    </row>
    <row r="4857" spans="1:20" ht="14.5" x14ac:dyDescent="0.35">
      <c r="A4857" s="10" t="s">
        <v>25998</v>
      </c>
      <c r="B4857" s="10" t="str">
        <f>"9780691128221"</f>
        <v>9780691128221</v>
      </c>
      <c r="C4857" s="10" t="str">
        <f>"9781400849192"</f>
        <v>9781400849192</v>
      </c>
      <c r="D4857" s="10" t="s">
        <v>14335</v>
      </c>
      <c r="E4857" s="10" t="s">
        <v>14336</v>
      </c>
      <c r="F4857" s="10" t="s">
        <v>2246</v>
      </c>
      <c r="G4857" s="10" t="s">
        <v>6317</v>
      </c>
      <c r="H4857" s="11">
        <v>39124</v>
      </c>
      <c r="I4857" s="10">
        <v>2007</v>
      </c>
      <c r="J4857" s="10" t="s">
        <v>14336</v>
      </c>
      <c r="K4857" s="10">
        <v>116</v>
      </c>
      <c r="L4857" s="10" t="s">
        <v>25999</v>
      </c>
      <c r="M4857" s="10">
        <v>1</v>
      </c>
      <c r="N4857" s="10"/>
      <c r="O4857" s="10"/>
      <c r="P4857" s="10"/>
      <c r="Q4857" s="10" t="s">
        <v>26000</v>
      </c>
      <c r="R4857" s="10"/>
      <c r="S4857" s="10" t="s">
        <v>53</v>
      </c>
      <c r="T4857" s="10" t="s">
        <v>12410</v>
      </c>
    </row>
    <row r="4858" spans="1:20" ht="14.5" x14ac:dyDescent="0.35">
      <c r="A4858" s="10" t="s">
        <v>26001</v>
      </c>
      <c r="B4858" s="10" t="str">
        <f>"9780761859925"</f>
        <v>9780761859925</v>
      </c>
      <c r="C4858" s="10" t="str">
        <f>"9780761859932"</f>
        <v>9780761859932</v>
      </c>
      <c r="D4858" s="10" t="s">
        <v>9752</v>
      </c>
      <c r="E4858" s="10" t="s">
        <v>17167</v>
      </c>
      <c r="F4858" s="10" t="s">
        <v>9754</v>
      </c>
      <c r="G4858" s="10" t="s">
        <v>6317</v>
      </c>
      <c r="H4858" s="11">
        <v>41316</v>
      </c>
      <c r="I4858" s="10">
        <v>2013</v>
      </c>
      <c r="J4858" s="10" t="s">
        <v>17167</v>
      </c>
      <c r="K4858" s="10">
        <v>336</v>
      </c>
      <c r="L4858" s="10" t="s">
        <v>26002</v>
      </c>
      <c r="M4858" s="10">
        <v>1</v>
      </c>
      <c r="N4858" s="10" t="s">
        <v>26003</v>
      </c>
      <c r="O4858" s="10"/>
      <c r="P4858" s="10" t="s">
        <v>26004</v>
      </c>
      <c r="Q4858" s="10">
        <v>305.488924</v>
      </c>
      <c r="R4858" s="10" t="s">
        <v>26005</v>
      </c>
      <c r="S4858" s="10" t="s">
        <v>53</v>
      </c>
      <c r="T4858" s="10" t="s">
        <v>6526</v>
      </c>
    </row>
    <row r="4859" spans="1:20" ht="14.5" x14ac:dyDescent="0.35">
      <c r="A4859" s="10" t="s">
        <v>26006</v>
      </c>
      <c r="B4859" s="10" t="str">
        <f>"9781605541327"</f>
        <v>9781605541327</v>
      </c>
      <c r="C4859" s="10" t="str">
        <f>"9781605542577"</f>
        <v>9781605542577</v>
      </c>
      <c r="D4859" s="10" t="s">
        <v>9533</v>
      </c>
      <c r="E4859" s="10" t="s">
        <v>25518</v>
      </c>
      <c r="F4859" s="10" t="s">
        <v>25519</v>
      </c>
      <c r="G4859" s="10" t="s">
        <v>6317</v>
      </c>
      <c r="H4859" s="11">
        <v>41532</v>
      </c>
      <c r="I4859" s="10">
        <v>2013</v>
      </c>
      <c r="J4859" s="10" t="s">
        <v>25518</v>
      </c>
      <c r="K4859" s="10">
        <v>319</v>
      </c>
      <c r="L4859" s="10" t="s">
        <v>26007</v>
      </c>
      <c r="M4859" s="10">
        <v>1</v>
      </c>
      <c r="N4859" s="10"/>
      <c r="O4859" s="10"/>
      <c r="P4859" s="10" t="s">
        <v>26008</v>
      </c>
      <c r="Q4859" s="10">
        <v>372.71</v>
      </c>
      <c r="R4859" s="10" t="s">
        <v>26009</v>
      </c>
      <c r="S4859" s="10" t="s">
        <v>53</v>
      </c>
      <c r="T4859" s="10" t="s">
        <v>54</v>
      </c>
    </row>
    <row r="4860" spans="1:20" ht="14.5" x14ac:dyDescent="0.35">
      <c r="A4860" s="10" t="s">
        <v>26010</v>
      </c>
      <c r="B4860" s="10" t="str">
        <f>"9780826110237"</f>
        <v>9780826110237</v>
      </c>
      <c r="C4860" s="10" t="str">
        <f>"9780826110244"</f>
        <v>9780826110244</v>
      </c>
      <c r="D4860" s="10" t="s">
        <v>3370</v>
      </c>
      <c r="E4860" s="10" t="s">
        <v>10927</v>
      </c>
      <c r="F4860" s="10" t="s">
        <v>70</v>
      </c>
      <c r="G4860" s="10" t="s">
        <v>6317</v>
      </c>
      <c r="H4860" s="11">
        <v>41498</v>
      </c>
      <c r="I4860" s="10">
        <v>2013</v>
      </c>
      <c r="J4860" s="10" t="s">
        <v>10927</v>
      </c>
      <c r="K4860" s="10">
        <v>365</v>
      </c>
      <c r="L4860" s="10" t="s">
        <v>26011</v>
      </c>
      <c r="M4860" s="10">
        <v>1</v>
      </c>
      <c r="N4860" s="10"/>
      <c r="O4860" s="10"/>
      <c r="P4860" s="10"/>
      <c r="Q4860" s="10"/>
      <c r="R4860" s="10" t="s">
        <v>26012</v>
      </c>
      <c r="S4860" s="10" t="s">
        <v>53</v>
      </c>
      <c r="T4860" s="10" t="s">
        <v>8755</v>
      </c>
    </row>
    <row r="4861" spans="1:20" ht="14.5" x14ac:dyDescent="0.35">
      <c r="A4861" s="10" t="s">
        <v>26013</v>
      </c>
      <c r="B4861" s="10" t="str">
        <f>"9781441171498"</f>
        <v>9781441171498</v>
      </c>
      <c r="C4861" s="10" t="str">
        <f>"9781623561093"</f>
        <v>9781623561093</v>
      </c>
      <c r="D4861" s="10" t="s">
        <v>13959</v>
      </c>
      <c r="E4861" s="10" t="s">
        <v>13960</v>
      </c>
      <c r="F4861" s="10" t="s">
        <v>139</v>
      </c>
      <c r="G4861" s="10" t="s">
        <v>6352</v>
      </c>
      <c r="H4861" s="11">
        <v>41571</v>
      </c>
      <c r="I4861" s="10">
        <v>2013</v>
      </c>
      <c r="J4861" s="10" t="s">
        <v>14057</v>
      </c>
      <c r="K4861" s="10">
        <v>281</v>
      </c>
      <c r="L4861" s="10" t="s">
        <v>26014</v>
      </c>
      <c r="M4861" s="10">
        <v>1</v>
      </c>
      <c r="N4861" s="10" t="s">
        <v>26015</v>
      </c>
      <c r="O4861" s="10"/>
      <c r="P4861" s="10" t="s">
        <v>26016</v>
      </c>
      <c r="Q4861" s="10">
        <v>370.96800000000002</v>
      </c>
      <c r="R4861" s="10" t="s">
        <v>26017</v>
      </c>
      <c r="S4861" s="10" t="s">
        <v>53</v>
      </c>
      <c r="T4861" s="10" t="s">
        <v>54</v>
      </c>
    </row>
    <row r="4862" spans="1:20" ht="14.5" x14ac:dyDescent="0.35">
      <c r="A4862" s="10" t="s">
        <v>26018</v>
      </c>
      <c r="B4862" s="10" t="str">
        <f>"9789788431152"</f>
        <v>9789788431152</v>
      </c>
      <c r="C4862" s="10" t="str">
        <f>"9789788431473"</f>
        <v>9789788431473</v>
      </c>
      <c r="D4862" s="10" t="s">
        <v>24820</v>
      </c>
      <c r="E4862" s="10" t="s">
        <v>26019</v>
      </c>
      <c r="F4862" s="10" t="s">
        <v>748</v>
      </c>
      <c r="G4862" s="10" t="s">
        <v>6352</v>
      </c>
      <c r="H4862" s="11">
        <v>41183</v>
      </c>
      <c r="I4862" s="10">
        <v>2012</v>
      </c>
      <c r="J4862" s="10" t="s">
        <v>26019</v>
      </c>
      <c r="K4862" s="10">
        <v>528</v>
      </c>
      <c r="L4862" s="10" t="s">
        <v>26020</v>
      </c>
      <c r="M4862" s="10">
        <v>1</v>
      </c>
      <c r="N4862" s="10"/>
      <c r="O4862" s="10"/>
      <c r="P4862" s="10" t="s">
        <v>26021</v>
      </c>
      <c r="Q4862" s="10"/>
      <c r="R4862" s="10" t="s">
        <v>26022</v>
      </c>
      <c r="S4862" s="10" t="s">
        <v>53</v>
      </c>
      <c r="T4862" s="10" t="s">
        <v>54</v>
      </c>
    </row>
    <row r="4863" spans="1:20" ht="14.5" x14ac:dyDescent="0.35">
      <c r="A4863" s="10" t="s">
        <v>26023</v>
      </c>
      <c r="B4863" s="10" t="str">
        <f>"9781853468018"</f>
        <v>9781853468018</v>
      </c>
      <c r="C4863" s="10" t="str">
        <f>"9781136631610"</f>
        <v>9781136631610</v>
      </c>
      <c r="D4863" s="10" t="s">
        <v>6350</v>
      </c>
      <c r="E4863" s="10" t="s">
        <v>15120</v>
      </c>
      <c r="F4863" s="10" t="s">
        <v>748</v>
      </c>
      <c r="G4863" s="10" t="s">
        <v>6352</v>
      </c>
      <c r="H4863" s="11">
        <v>37330</v>
      </c>
      <c r="I4863" s="10">
        <v>2002</v>
      </c>
      <c r="J4863" s="10" t="s">
        <v>15120</v>
      </c>
      <c r="K4863" s="10">
        <v>95</v>
      </c>
      <c r="L4863" s="10" t="s">
        <v>26024</v>
      </c>
      <c r="M4863" s="10">
        <v>1</v>
      </c>
      <c r="N4863" s="10"/>
      <c r="O4863" s="10"/>
      <c r="P4863" s="10" t="s">
        <v>26025</v>
      </c>
      <c r="Q4863" s="10" t="s">
        <v>26026</v>
      </c>
      <c r="R4863" s="10" t="s">
        <v>26027</v>
      </c>
      <c r="S4863" s="10" t="s">
        <v>53</v>
      </c>
      <c r="T4863" s="10" t="s">
        <v>54</v>
      </c>
    </row>
    <row r="4864" spans="1:20" ht="14.5" x14ac:dyDescent="0.35">
      <c r="A4864" s="10" t="s">
        <v>26028</v>
      </c>
      <c r="B4864" s="10" t="str">
        <f>"9781596671881"</f>
        <v>9781596671881</v>
      </c>
      <c r="C4864" s="10" t="str">
        <f>"9781317926788"</f>
        <v>9781317926788</v>
      </c>
      <c r="D4864" s="10" t="s">
        <v>6350</v>
      </c>
      <c r="E4864" s="10" t="s">
        <v>6351</v>
      </c>
      <c r="F4864" s="10" t="s">
        <v>748</v>
      </c>
      <c r="G4864" s="10" t="s">
        <v>6352</v>
      </c>
      <c r="H4864" s="11">
        <v>40723</v>
      </c>
      <c r="I4864" s="10">
        <v>2011</v>
      </c>
      <c r="J4864" s="10" t="s">
        <v>6351</v>
      </c>
      <c r="K4864" s="10">
        <v>157</v>
      </c>
      <c r="L4864" s="10" t="s">
        <v>26029</v>
      </c>
      <c r="M4864" s="10">
        <v>1</v>
      </c>
      <c r="N4864" s="10"/>
      <c r="O4864" s="10"/>
      <c r="P4864" s="10" t="s">
        <v>26030</v>
      </c>
      <c r="Q4864" s="10">
        <v>371.2</v>
      </c>
      <c r="R4864" s="10" t="s">
        <v>18801</v>
      </c>
      <c r="S4864" s="10" t="s">
        <v>53</v>
      </c>
      <c r="T4864" s="10" t="s">
        <v>54</v>
      </c>
    </row>
    <row r="4865" spans="1:20" ht="14.5" x14ac:dyDescent="0.35">
      <c r="A4865" s="10" t="s">
        <v>26031</v>
      </c>
      <c r="B4865" s="10" t="str">
        <f>"9781930556409"</f>
        <v>9781930556409</v>
      </c>
      <c r="C4865" s="10" t="str">
        <f>"9781317922438"</f>
        <v>9781317922438</v>
      </c>
      <c r="D4865" s="10" t="s">
        <v>6350</v>
      </c>
      <c r="E4865" s="10" t="s">
        <v>6351</v>
      </c>
      <c r="F4865" s="10" t="s">
        <v>139</v>
      </c>
      <c r="G4865" s="10" t="s">
        <v>6352</v>
      </c>
      <c r="H4865" s="11">
        <v>37427</v>
      </c>
      <c r="I4865" s="10">
        <v>2002</v>
      </c>
      <c r="J4865" s="10" t="s">
        <v>6353</v>
      </c>
      <c r="K4865" s="10">
        <v>173</v>
      </c>
      <c r="L4865" s="10" t="s">
        <v>26032</v>
      </c>
      <c r="M4865" s="10">
        <v>1</v>
      </c>
      <c r="N4865" s="10"/>
      <c r="O4865" s="10"/>
      <c r="P4865" s="10" t="s">
        <v>26033</v>
      </c>
      <c r="Q4865" s="10">
        <v>372.62299999999999</v>
      </c>
      <c r="R4865" s="10" t="s">
        <v>26034</v>
      </c>
      <c r="S4865" s="10" t="s">
        <v>53</v>
      </c>
      <c r="T4865" s="10" t="s">
        <v>54</v>
      </c>
    </row>
    <row r="4866" spans="1:20" ht="14.5" x14ac:dyDescent="0.35">
      <c r="A4866" s="10" t="s">
        <v>26035</v>
      </c>
      <c r="B4866" s="10" t="str">
        <f>"9780809312290"</f>
        <v>9780809312290</v>
      </c>
      <c r="C4866" s="10" t="str">
        <f>"9780809386079"</f>
        <v>9780809386079</v>
      </c>
      <c r="D4866" s="10" t="s">
        <v>26036</v>
      </c>
      <c r="E4866" s="10" t="s">
        <v>26036</v>
      </c>
      <c r="F4866" s="10" t="s">
        <v>2236</v>
      </c>
      <c r="G4866" s="10" t="s">
        <v>6317</v>
      </c>
      <c r="H4866" s="11">
        <v>31413</v>
      </c>
      <c r="I4866" s="10">
        <v>1986</v>
      </c>
      <c r="J4866" s="10" t="s">
        <v>26036</v>
      </c>
      <c r="K4866" s="10">
        <v>202</v>
      </c>
      <c r="L4866" s="10" t="s">
        <v>26037</v>
      </c>
      <c r="M4866" s="10">
        <v>1</v>
      </c>
      <c r="N4866" s="10" t="s">
        <v>26038</v>
      </c>
      <c r="O4866" s="10"/>
      <c r="P4866" s="10" t="s">
        <v>26039</v>
      </c>
      <c r="Q4866" s="10"/>
      <c r="R4866" s="10" t="s">
        <v>26040</v>
      </c>
      <c r="S4866" s="10" t="s">
        <v>53</v>
      </c>
      <c r="T4866" s="10" t="s">
        <v>54</v>
      </c>
    </row>
    <row r="4867" spans="1:20" ht="14.5" x14ac:dyDescent="0.35">
      <c r="A4867" s="10" t="s">
        <v>26041</v>
      </c>
      <c r="B4867" s="10" t="str">
        <f>"9780809329113"</f>
        <v>9780809329113</v>
      </c>
      <c r="C4867" s="10" t="str">
        <f>"9780809386666"</f>
        <v>9780809386666</v>
      </c>
      <c r="D4867" s="10" t="s">
        <v>26036</v>
      </c>
      <c r="E4867" s="10" t="s">
        <v>26036</v>
      </c>
      <c r="F4867" s="10" t="s">
        <v>2236</v>
      </c>
      <c r="G4867" s="10" t="s">
        <v>6317</v>
      </c>
      <c r="H4867" s="11">
        <v>39927</v>
      </c>
      <c r="I4867" s="10">
        <v>2009</v>
      </c>
      <c r="J4867" s="10" t="s">
        <v>26036</v>
      </c>
      <c r="K4867" s="10">
        <v>192</v>
      </c>
      <c r="L4867" s="10" t="s">
        <v>26042</v>
      </c>
      <c r="M4867" s="10">
        <v>1</v>
      </c>
      <c r="N4867" s="10"/>
      <c r="O4867" s="10"/>
      <c r="P4867" s="10" t="s">
        <v>11133</v>
      </c>
      <c r="Q4867" s="10">
        <v>370.1</v>
      </c>
      <c r="R4867" s="10" t="s">
        <v>26043</v>
      </c>
      <c r="S4867" s="10" t="s">
        <v>53</v>
      </c>
      <c r="T4867" s="10" t="s">
        <v>54</v>
      </c>
    </row>
    <row r="4868" spans="1:20" ht="14.5" x14ac:dyDescent="0.35">
      <c r="A4868" s="10" t="s">
        <v>26044</v>
      </c>
      <c r="B4868" s="10" t="str">
        <f>"9780809330171"</f>
        <v>9780809330171</v>
      </c>
      <c r="C4868" s="10" t="str">
        <f>"9780809386161"</f>
        <v>9780809386161</v>
      </c>
      <c r="D4868" s="10" t="s">
        <v>26036</v>
      </c>
      <c r="E4868" s="10" t="s">
        <v>26036</v>
      </c>
      <c r="F4868" s="10" t="s">
        <v>2236</v>
      </c>
      <c r="G4868" s="10" t="s">
        <v>6317</v>
      </c>
      <c r="H4868" s="11">
        <v>40548</v>
      </c>
      <c r="I4868" s="10">
        <v>2011</v>
      </c>
      <c r="J4868" s="10" t="s">
        <v>26036</v>
      </c>
      <c r="K4868" s="10">
        <v>334</v>
      </c>
      <c r="L4868" s="10" t="s">
        <v>26045</v>
      </c>
      <c r="M4868" s="10">
        <v>1</v>
      </c>
      <c r="N4868" s="10"/>
      <c r="O4868" s="10"/>
      <c r="P4868" s="10" t="s">
        <v>14296</v>
      </c>
      <c r="Q4868" s="10" t="s">
        <v>9505</v>
      </c>
      <c r="R4868" s="10" t="s">
        <v>26046</v>
      </c>
      <c r="S4868" s="10" t="s">
        <v>53</v>
      </c>
      <c r="T4868" s="10" t="s">
        <v>8424</v>
      </c>
    </row>
    <row r="4869" spans="1:20" ht="14.5" x14ac:dyDescent="0.35">
      <c r="A4869" s="10" t="s">
        <v>26047</v>
      </c>
      <c r="B4869" s="10" t="str">
        <f>"9780809329991"</f>
        <v>9780809329991</v>
      </c>
      <c r="C4869" s="10" t="str">
        <f>"9780809385805"</f>
        <v>9780809385805</v>
      </c>
      <c r="D4869" s="10" t="s">
        <v>26036</v>
      </c>
      <c r="E4869" s="10" t="s">
        <v>26036</v>
      </c>
      <c r="F4869" s="10" t="s">
        <v>2236</v>
      </c>
      <c r="G4869" s="10" t="s">
        <v>6317</v>
      </c>
      <c r="H4869" s="11">
        <v>40478</v>
      </c>
      <c r="I4869" s="10">
        <v>2010</v>
      </c>
      <c r="J4869" s="10" t="s">
        <v>26036</v>
      </c>
      <c r="K4869" s="10">
        <v>273</v>
      </c>
      <c r="L4869" s="10" t="s">
        <v>26048</v>
      </c>
      <c r="M4869" s="10">
        <v>1</v>
      </c>
      <c r="N4869" s="10"/>
      <c r="O4869" s="10"/>
      <c r="P4869" s="10" t="s">
        <v>11133</v>
      </c>
      <c r="Q4869" s="10">
        <v>370.1</v>
      </c>
      <c r="R4869" s="10" t="s">
        <v>26049</v>
      </c>
      <c r="S4869" s="10" t="s">
        <v>53</v>
      </c>
      <c r="T4869" s="10" t="s">
        <v>54</v>
      </c>
    </row>
    <row r="4870" spans="1:20" ht="14.5" x14ac:dyDescent="0.35">
      <c r="A4870" s="10" t="s">
        <v>26050</v>
      </c>
      <c r="B4870" s="10" t="str">
        <f>"9780809313358"</f>
        <v>9780809313358</v>
      </c>
      <c r="C4870" s="10" t="str">
        <f>"9780809380534"</f>
        <v>9780809380534</v>
      </c>
      <c r="D4870" s="10" t="s">
        <v>26036</v>
      </c>
      <c r="E4870" s="10" t="s">
        <v>26036</v>
      </c>
      <c r="F4870" s="10" t="s">
        <v>2236</v>
      </c>
      <c r="G4870" s="10" t="s">
        <v>6317</v>
      </c>
      <c r="H4870" s="11">
        <v>31898</v>
      </c>
      <c r="I4870" s="10">
        <v>1987</v>
      </c>
      <c r="J4870" s="10" t="s">
        <v>26036</v>
      </c>
      <c r="K4870" s="10">
        <v>209</v>
      </c>
      <c r="L4870" s="10" t="s">
        <v>26051</v>
      </c>
      <c r="M4870" s="10">
        <v>1</v>
      </c>
      <c r="N4870" s="10"/>
      <c r="O4870" s="10"/>
      <c r="P4870" s="10" t="s">
        <v>26052</v>
      </c>
      <c r="Q4870" s="10" t="s">
        <v>26053</v>
      </c>
      <c r="R4870" s="10"/>
      <c r="S4870" s="10" t="s">
        <v>53</v>
      </c>
      <c r="T4870" s="10" t="s">
        <v>54</v>
      </c>
    </row>
    <row r="4871" spans="1:20" ht="14.5" x14ac:dyDescent="0.35">
      <c r="A4871" s="10" t="s">
        <v>26054</v>
      </c>
      <c r="B4871" s="10" t="str">
        <f>"9781452230900"</f>
        <v>9781452230900</v>
      </c>
      <c r="C4871" s="10" t="str">
        <f>"9781483306629"</f>
        <v>9781483306629</v>
      </c>
      <c r="D4871" s="10" t="s">
        <v>22210</v>
      </c>
      <c r="E4871" s="10" t="s">
        <v>22211</v>
      </c>
      <c r="F4871" s="10" t="s">
        <v>333</v>
      </c>
      <c r="G4871" s="10" t="s">
        <v>6317</v>
      </c>
      <c r="H4871" s="11">
        <v>41522</v>
      </c>
      <c r="I4871" s="10">
        <v>2013</v>
      </c>
      <c r="J4871" s="10" t="s">
        <v>22211</v>
      </c>
      <c r="K4871" s="10">
        <v>233</v>
      </c>
      <c r="L4871" s="10" t="s">
        <v>26055</v>
      </c>
      <c r="M4871" s="10">
        <v>1</v>
      </c>
      <c r="N4871" s="10"/>
      <c r="O4871" s="10"/>
      <c r="P4871" s="10" t="s">
        <v>26056</v>
      </c>
      <c r="Q4871" s="10">
        <v>306.43</v>
      </c>
      <c r="R4871" s="10"/>
      <c r="S4871" s="10" t="s">
        <v>53</v>
      </c>
      <c r="T4871" s="10" t="s">
        <v>6526</v>
      </c>
    </row>
    <row r="4872" spans="1:20" ht="14.5" x14ac:dyDescent="0.35">
      <c r="A4872" s="10" t="s">
        <v>26057</v>
      </c>
      <c r="B4872" s="10" t="str">
        <f>"9781783500048"</f>
        <v>9781783500048</v>
      </c>
      <c r="C4872" s="10" t="str">
        <f>"9781783500055"</f>
        <v>9781783500055</v>
      </c>
      <c r="D4872" s="10" t="s">
        <v>8699</v>
      </c>
      <c r="E4872" s="10" t="s">
        <v>8699</v>
      </c>
      <c r="F4872" s="10" t="s">
        <v>1019</v>
      </c>
      <c r="G4872" s="10" t="s">
        <v>6352</v>
      </c>
      <c r="H4872" s="11">
        <v>41453</v>
      </c>
      <c r="I4872" s="10">
        <v>2013</v>
      </c>
      <c r="J4872" s="10" t="s">
        <v>115</v>
      </c>
      <c r="K4872" s="10">
        <v>71</v>
      </c>
      <c r="L4872" s="10" t="s">
        <v>26058</v>
      </c>
      <c r="M4872" s="10">
        <v>1</v>
      </c>
      <c r="N4872" s="10" t="s">
        <v>8774</v>
      </c>
      <c r="O4872" s="10" t="s">
        <v>26059</v>
      </c>
      <c r="P4872" s="10" t="s">
        <v>26060</v>
      </c>
      <c r="Q4872" s="10" t="s">
        <v>26061</v>
      </c>
      <c r="R4872" s="10" t="s">
        <v>26062</v>
      </c>
      <c r="S4872" s="10" t="s">
        <v>53</v>
      </c>
      <c r="T4872" s="10" t="s">
        <v>54</v>
      </c>
    </row>
    <row r="4873" spans="1:20" ht="14.5" x14ac:dyDescent="0.35">
      <c r="A4873" s="10" t="s">
        <v>26063</v>
      </c>
      <c r="B4873" s="10" t="str">
        <f>"9781781909607"</f>
        <v>9781781909607</v>
      </c>
      <c r="C4873" s="10" t="str">
        <f>"9781781909614"</f>
        <v>9781781909614</v>
      </c>
      <c r="D4873" s="10" t="s">
        <v>8699</v>
      </c>
      <c r="E4873" s="10" t="s">
        <v>8699</v>
      </c>
      <c r="F4873" s="10" t="s">
        <v>1019</v>
      </c>
      <c r="G4873" s="10" t="s">
        <v>6352</v>
      </c>
      <c r="H4873" s="11">
        <v>41460</v>
      </c>
      <c r="I4873" s="10">
        <v>2013</v>
      </c>
      <c r="J4873" s="10" t="s">
        <v>115</v>
      </c>
      <c r="K4873" s="10">
        <v>155</v>
      </c>
      <c r="L4873" s="10" t="s">
        <v>26064</v>
      </c>
      <c r="M4873" s="10">
        <v>1</v>
      </c>
      <c r="N4873" s="10" t="s">
        <v>3582</v>
      </c>
      <c r="O4873" s="10" t="s">
        <v>26065</v>
      </c>
      <c r="P4873" s="10" t="s">
        <v>26066</v>
      </c>
      <c r="Q4873" s="10">
        <v>371.9</v>
      </c>
      <c r="R4873" s="10" t="s">
        <v>26067</v>
      </c>
      <c r="S4873" s="10" t="s">
        <v>53</v>
      </c>
      <c r="T4873" s="10" t="s">
        <v>54</v>
      </c>
    </row>
    <row r="4874" spans="1:20" ht="14.5" x14ac:dyDescent="0.35">
      <c r="A4874" s="10" t="s">
        <v>26068</v>
      </c>
      <c r="B4874" s="10" t="str">
        <f>"9780415177689"</f>
        <v>9780415177689</v>
      </c>
      <c r="C4874" s="10" t="str">
        <f>"9781136272264"</f>
        <v>9781136272264</v>
      </c>
      <c r="D4874" s="10" t="s">
        <v>6350</v>
      </c>
      <c r="E4874" s="10" t="s">
        <v>6351</v>
      </c>
      <c r="F4874" s="10" t="s">
        <v>139</v>
      </c>
      <c r="G4874" s="10" t="s">
        <v>6352</v>
      </c>
      <c r="H4874" s="11">
        <v>37652</v>
      </c>
      <c r="I4874" s="10">
        <v>1998</v>
      </c>
      <c r="J4874" s="10" t="s">
        <v>6353</v>
      </c>
      <c r="K4874" s="10">
        <v>271</v>
      </c>
      <c r="L4874" s="10" t="s">
        <v>26069</v>
      </c>
      <c r="M4874" s="10">
        <v>1</v>
      </c>
      <c r="N4874" s="10" t="s">
        <v>6505</v>
      </c>
      <c r="O4874" s="10"/>
      <c r="P4874" s="10" t="s">
        <v>26070</v>
      </c>
      <c r="Q4874" s="10">
        <v>373.42</v>
      </c>
      <c r="R4874" s="10" t="s">
        <v>26071</v>
      </c>
      <c r="S4874" s="10" t="s">
        <v>53</v>
      </c>
      <c r="T4874" s="10" t="s">
        <v>54</v>
      </c>
    </row>
    <row r="4875" spans="1:20" ht="14.5" x14ac:dyDescent="0.35">
      <c r="A4875" s="10" t="s">
        <v>26072</v>
      </c>
      <c r="B4875" s="10" t="str">
        <f>"9780415657457"</f>
        <v>9780415657457</v>
      </c>
      <c r="C4875" s="10" t="str">
        <f>"9781135128432"</f>
        <v>9781135128432</v>
      </c>
      <c r="D4875" s="10" t="s">
        <v>6350</v>
      </c>
      <c r="E4875" s="10" t="s">
        <v>6351</v>
      </c>
      <c r="F4875" s="10" t="s">
        <v>139</v>
      </c>
      <c r="G4875" s="10" t="s">
        <v>6352</v>
      </c>
      <c r="H4875" s="11">
        <v>41389</v>
      </c>
      <c r="I4875" s="10">
        <v>2013</v>
      </c>
      <c r="J4875" s="10" t="s">
        <v>6353</v>
      </c>
      <c r="K4875" s="10">
        <v>773</v>
      </c>
      <c r="L4875" s="10" t="s">
        <v>26073</v>
      </c>
      <c r="M4875" s="10">
        <v>1</v>
      </c>
      <c r="N4875" s="10"/>
      <c r="O4875" s="10"/>
      <c r="P4875" s="10" t="s">
        <v>26074</v>
      </c>
      <c r="Q4875" s="10">
        <v>371.2</v>
      </c>
      <c r="R4875" s="10" t="s">
        <v>26075</v>
      </c>
      <c r="S4875" s="10" t="s">
        <v>53</v>
      </c>
      <c r="T4875" s="10" t="s">
        <v>54</v>
      </c>
    </row>
    <row r="4876" spans="1:20" ht="14.5" x14ac:dyDescent="0.35">
      <c r="A4876" s="10" t="s">
        <v>26076</v>
      </c>
      <c r="B4876" s="10" t="str">
        <f>"9780415503556"</f>
        <v>9780415503556</v>
      </c>
      <c r="C4876" s="10" t="str">
        <f>"9781136471865"</f>
        <v>9781136471865</v>
      </c>
      <c r="D4876" s="10" t="s">
        <v>6350</v>
      </c>
      <c r="E4876" s="10" t="s">
        <v>6351</v>
      </c>
      <c r="F4876" s="10" t="s">
        <v>139</v>
      </c>
      <c r="G4876" s="10" t="s">
        <v>6352</v>
      </c>
      <c r="H4876" s="11">
        <v>41514</v>
      </c>
      <c r="I4876" s="10">
        <v>2014</v>
      </c>
      <c r="J4876" s="10" t="s">
        <v>6353</v>
      </c>
      <c r="K4876" s="10">
        <v>227</v>
      </c>
      <c r="L4876" s="10" t="s">
        <v>14067</v>
      </c>
      <c r="M4876" s="10">
        <v>1</v>
      </c>
      <c r="N4876" s="10"/>
      <c r="O4876" s="10"/>
      <c r="P4876" s="10" t="s">
        <v>26077</v>
      </c>
      <c r="Q4876" s="10">
        <v>808</v>
      </c>
      <c r="R4876" s="10" t="s">
        <v>26078</v>
      </c>
      <c r="S4876" s="10" t="s">
        <v>53</v>
      </c>
      <c r="T4876" s="10" t="s">
        <v>8424</v>
      </c>
    </row>
    <row r="4877" spans="1:20" ht="14.5" x14ac:dyDescent="0.35">
      <c r="A4877" s="10" t="s">
        <v>26079</v>
      </c>
      <c r="B4877" s="10" t="str">
        <f>"9781118127216"</f>
        <v>9781118127216</v>
      </c>
      <c r="C4877" s="10" t="str">
        <f>"9781118418956"</f>
        <v>9781118418956</v>
      </c>
      <c r="D4877" s="10" t="s">
        <v>6322</v>
      </c>
      <c r="E4877" s="10" t="s">
        <v>6323</v>
      </c>
      <c r="F4877" s="10" t="s">
        <v>4423</v>
      </c>
      <c r="G4877" s="10" t="s">
        <v>6317</v>
      </c>
      <c r="H4877" s="11">
        <v>41527</v>
      </c>
      <c r="I4877" s="10">
        <v>2013</v>
      </c>
      <c r="J4877" s="10" t="s">
        <v>6323</v>
      </c>
      <c r="K4877" s="10">
        <v>386</v>
      </c>
      <c r="L4877" s="10" t="s">
        <v>26080</v>
      </c>
      <c r="M4877" s="10">
        <v>1</v>
      </c>
      <c r="N4877" s="10"/>
      <c r="O4877" s="10"/>
      <c r="P4877" s="10" t="s">
        <v>26081</v>
      </c>
      <c r="Q4877" s="10"/>
      <c r="R4877" s="10" t="s">
        <v>26082</v>
      </c>
      <c r="S4877" s="10" t="s">
        <v>53</v>
      </c>
      <c r="T4877" s="10" t="s">
        <v>8510</v>
      </c>
    </row>
    <row r="4878" spans="1:20" ht="14.5" x14ac:dyDescent="0.35">
      <c r="A4878" s="10" t="s">
        <v>26083</v>
      </c>
      <c r="B4878" s="10" t="str">
        <f>"9781118802755"</f>
        <v>9781118802755</v>
      </c>
      <c r="C4878" s="10" t="str">
        <f>"9781118817728"</f>
        <v>9781118817728</v>
      </c>
      <c r="D4878" s="10" t="s">
        <v>6322</v>
      </c>
      <c r="E4878" s="10" t="s">
        <v>6323</v>
      </c>
      <c r="F4878" s="10" t="s">
        <v>6339</v>
      </c>
      <c r="G4878" s="10" t="s">
        <v>6317</v>
      </c>
      <c r="H4878" s="11">
        <v>41527</v>
      </c>
      <c r="I4878" s="10">
        <v>2013</v>
      </c>
      <c r="J4878" s="10" t="s">
        <v>6324</v>
      </c>
      <c r="K4878" s="10">
        <v>142</v>
      </c>
      <c r="L4878" s="10" t="s">
        <v>26084</v>
      </c>
      <c r="M4878" s="10">
        <v>1</v>
      </c>
      <c r="N4878" s="10" t="s">
        <v>23322</v>
      </c>
      <c r="O4878" s="10"/>
      <c r="P4878" s="10" t="s">
        <v>26085</v>
      </c>
      <c r="Q4878" s="10">
        <v>378.19828999999999</v>
      </c>
      <c r="R4878" s="10" t="s">
        <v>26086</v>
      </c>
      <c r="S4878" s="10" t="s">
        <v>53</v>
      </c>
      <c r="T4878" s="10" t="s">
        <v>54</v>
      </c>
    </row>
    <row r="4879" spans="1:20" ht="14.5" x14ac:dyDescent="0.35">
      <c r="A4879" s="10" t="s">
        <v>26087</v>
      </c>
      <c r="B4879" s="10" t="str">
        <f>"9781849697446"</f>
        <v>9781849697446</v>
      </c>
      <c r="C4879" s="10" t="str">
        <f>"9781849697453"</f>
        <v>9781849697453</v>
      </c>
      <c r="D4879" s="10" t="s">
        <v>21162</v>
      </c>
      <c r="E4879" s="10" t="s">
        <v>21163</v>
      </c>
      <c r="F4879" s="10" t="s">
        <v>1939</v>
      </c>
      <c r="G4879" s="10" t="s">
        <v>6352</v>
      </c>
      <c r="H4879" s="11">
        <v>41572</v>
      </c>
      <c r="I4879" s="10">
        <v>2013</v>
      </c>
      <c r="J4879" s="10" t="s">
        <v>21163</v>
      </c>
      <c r="K4879" s="10">
        <v>269</v>
      </c>
      <c r="L4879" s="10" t="s">
        <v>26088</v>
      </c>
      <c r="M4879" s="10">
        <v>3</v>
      </c>
      <c r="N4879" s="10"/>
      <c r="O4879" s="10"/>
      <c r="P4879" s="10" t="s">
        <v>26089</v>
      </c>
      <c r="Q4879" s="10">
        <v>794.81536000000006</v>
      </c>
      <c r="R4879" s="10" t="s">
        <v>26090</v>
      </c>
      <c r="S4879" s="10" t="s">
        <v>53</v>
      </c>
      <c r="T4879" s="10" t="s">
        <v>26091</v>
      </c>
    </row>
    <row r="4880" spans="1:20" ht="14.5" x14ac:dyDescent="0.35">
      <c r="A4880" s="10" t="s">
        <v>26092</v>
      </c>
      <c r="B4880" s="10" t="str">
        <f>"9781452217499"</f>
        <v>9781452217499</v>
      </c>
      <c r="C4880" s="10" t="str">
        <f>"9781452277592"</f>
        <v>9781452277592</v>
      </c>
      <c r="D4880" s="10" t="s">
        <v>22210</v>
      </c>
      <c r="E4880" s="10" t="s">
        <v>22211</v>
      </c>
      <c r="F4880" s="10" t="s">
        <v>333</v>
      </c>
      <c r="G4880" s="10" t="s">
        <v>6317</v>
      </c>
      <c r="H4880" s="11">
        <v>41388</v>
      </c>
      <c r="I4880" s="10">
        <v>2013</v>
      </c>
      <c r="J4880" s="10" t="s">
        <v>22211</v>
      </c>
      <c r="K4880" s="10">
        <v>401</v>
      </c>
      <c r="L4880" s="10" t="s">
        <v>26093</v>
      </c>
      <c r="M4880" s="10">
        <v>2</v>
      </c>
      <c r="N4880" s="10"/>
      <c r="O4880" s="10"/>
      <c r="P4880" s="10" t="s">
        <v>26094</v>
      </c>
      <c r="Q4880" s="10"/>
      <c r="R4880" s="10"/>
      <c r="S4880" s="10" t="s">
        <v>53</v>
      </c>
      <c r="T4880" s="10" t="s">
        <v>54</v>
      </c>
    </row>
    <row r="4881" spans="1:20" ht="14.5" x14ac:dyDescent="0.35">
      <c r="A4881" s="10" t="s">
        <v>26095</v>
      </c>
      <c r="B4881" s="10" t="str">
        <f>"9781412994408"</f>
        <v>9781412994408</v>
      </c>
      <c r="C4881" s="10" t="str">
        <f>"9781452278483"</f>
        <v>9781452278483</v>
      </c>
      <c r="D4881" s="10" t="s">
        <v>22210</v>
      </c>
      <c r="E4881" s="10" t="s">
        <v>22211</v>
      </c>
      <c r="F4881" s="10" t="s">
        <v>333</v>
      </c>
      <c r="G4881" s="10" t="s">
        <v>6317</v>
      </c>
      <c r="H4881" s="11">
        <v>41502</v>
      </c>
      <c r="I4881" s="10">
        <v>2013</v>
      </c>
      <c r="J4881" s="10" t="s">
        <v>22211</v>
      </c>
      <c r="K4881" s="10">
        <v>321</v>
      </c>
      <c r="L4881" s="10" t="s">
        <v>26096</v>
      </c>
      <c r="M4881" s="10">
        <v>1</v>
      </c>
      <c r="N4881" s="10"/>
      <c r="O4881" s="10"/>
      <c r="P4881" s="10" t="s">
        <v>23260</v>
      </c>
      <c r="Q4881" s="10"/>
      <c r="R4881" s="10"/>
      <c r="S4881" s="10" t="s">
        <v>53</v>
      </c>
      <c r="T4881" s="10" t="s">
        <v>54</v>
      </c>
    </row>
    <row r="4882" spans="1:20" ht="14.5" x14ac:dyDescent="0.35">
      <c r="A4882" s="10" t="s">
        <v>26097</v>
      </c>
      <c r="B4882" s="10" t="str">
        <f>"9781452287652"</f>
        <v>9781452287652</v>
      </c>
      <c r="C4882" s="10" t="str">
        <f>"9781452287614"</f>
        <v>9781452287614</v>
      </c>
      <c r="D4882" s="10" t="s">
        <v>22210</v>
      </c>
      <c r="E4882" s="10" t="s">
        <v>22211</v>
      </c>
      <c r="F4882" s="10" t="s">
        <v>333</v>
      </c>
      <c r="G4882" s="10" t="s">
        <v>6317</v>
      </c>
      <c r="H4882" s="11">
        <v>41480</v>
      </c>
      <c r="I4882" s="10">
        <v>2013</v>
      </c>
      <c r="J4882" s="10" t="s">
        <v>22211</v>
      </c>
      <c r="K4882" s="10">
        <v>217</v>
      </c>
      <c r="L4882" s="10" t="s">
        <v>26098</v>
      </c>
      <c r="M4882" s="10">
        <v>1</v>
      </c>
      <c r="N4882" s="10"/>
      <c r="O4882" s="10"/>
      <c r="P4882" s="10" t="s">
        <v>26099</v>
      </c>
      <c r="Q4882" s="10">
        <v>370.71100000000001</v>
      </c>
      <c r="R4882" s="10" t="s">
        <v>26100</v>
      </c>
      <c r="S4882" s="10" t="s">
        <v>53</v>
      </c>
      <c r="T4882" s="10" t="s">
        <v>54</v>
      </c>
    </row>
    <row r="4883" spans="1:20" ht="14.5" x14ac:dyDescent="0.35">
      <c r="A4883" s="10" t="s">
        <v>26101</v>
      </c>
      <c r="B4883" s="10" t="str">
        <f>"9780875869872"</f>
        <v>9780875869872</v>
      </c>
      <c r="C4883" s="10" t="str">
        <f>"9780875869896"</f>
        <v>9780875869896</v>
      </c>
      <c r="D4883" s="10" t="s">
        <v>11686</v>
      </c>
      <c r="E4883" s="10" t="s">
        <v>11686</v>
      </c>
      <c r="F4883" s="10" t="s">
        <v>70</v>
      </c>
      <c r="G4883" s="10" t="s">
        <v>6317</v>
      </c>
      <c r="H4883" s="11">
        <v>41365</v>
      </c>
      <c r="I4883" s="10">
        <v>2013</v>
      </c>
      <c r="J4883" s="10" t="s">
        <v>11686</v>
      </c>
      <c r="K4883" s="10">
        <v>227</v>
      </c>
      <c r="L4883" s="10" t="s">
        <v>26102</v>
      </c>
      <c r="M4883" s="10">
        <v>1</v>
      </c>
      <c r="N4883" s="10"/>
      <c r="O4883" s="10"/>
      <c r="P4883" s="10" t="s">
        <v>26103</v>
      </c>
      <c r="Q4883" s="10" t="s">
        <v>10427</v>
      </c>
      <c r="R4883" s="10" t="s">
        <v>26104</v>
      </c>
      <c r="S4883" s="10" t="s">
        <v>53</v>
      </c>
      <c r="T4883" s="10" t="s">
        <v>54</v>
      </c>
    </row>
    <row r="4884" spans="1:20" ht="14.5" x14ac:dyDescent="0.35">
      <c r="A4884" s="10" t="s">
        <v>26105</v>
      </c>
      <c r="B4884" s="10" t="str">
        <f>"9781412971508"</f>
        <v>9781412971508</v>
      </c>
      <c r="C4884" s="10" t="str">
        <f>"9781452258850"</f>
        <v>9781452258850</v>
      </c>
      <c r="D4884" s="10" t="s">
        <v>22210</v>
      </c>
      <c r="E4884" s="10" t="s">
        <v>22211</v>
      </c>
      <c r="F4884" s="10" t="s">
        <v>333</v>
      </c>
      <c r="G4884" s="10" t="s">
        <v>6317</v>
      </c>
      <c r="H4884" s="11">
        <v>40301</v>
      </c>
      <c r="I4884" s="10">
        <v>2010</v>
      </c>
      <c r="J4884" s="10" t="s">
        <v>22211</v>
      </c>
      <c r="K4884" s="10">
        <v>217</v>
      </c>
      <c r="L4884" s="10" t="s">
        <v>26106</v>
      </c>
      <c r="M4884" s="10">
        <v>1</v>
      </c>
      <c r="N4884" s="10"/>
      <c r="O4884" s="10"/>
      <c r="P4884" s="10"/>
      <c r="Q4884" s="10" t="s">
        <v>26107</v>
      </c>
      <c r="R4884" s="10"/>
      <c r="S4884" s="10" t="s">
        <v>53</v>
      </c>
      <c r="T4884" s="10" t="s">
        <v>54</v>
      </c>
    </row>
    <row r="4885" spans="1:20" ht="14.5" x14ac:dyDescent="0.35">
      <c r="A4885" s="10" t="s">
        <v>26108</v>
      </c>
      <c r="B4885" s="10" t="str">
        <f>"9781412948920"</f>
        <v>9781412948920</v>
      </c>
      <c r="C4885" s="10" t="str">
        <f>"9781452207650"</f>
        <v>9781452207650</v>
      </c>
      <c r="D4885" s="10" t="s">
        <v>22210</v>
      </c>
      <c r="E4885" s="10" t="s">
        <v>22211</v>
      </c>
      <c r="F4885" s="10" t="s">
        <v>333</v>
      </c>
      <c r="G4885" s="10" t="s">
        <v>6317</v>
      </c>
      <c r="H4885" s="11">
        <v>39429</v>
      </c>
      <c r="I4885" s="10">
        <v>2008</v>
      </c>
      <c r="J4885" s="10" t="s">
        <v>22211</v>
      </c>
      <c r="K4885" s="10">
        <v>329</v>
      </c>
      <c r="L4885" s="10" t="s">
        <v>26109</v>
      </c>
      <c r="M4885" s="10">
        <v>1</v>
      </c>
      <c r="N4885" s="10"/>
      <c r="O4885" s="10"/>
      <c r="P4885" s="10" t="s">
        <v>26110</v>
      </c>
      <c r="Q4885" s="10" t="s">
        <v>9360</v>
      </c>
      <c r="R4885" s="10"/>
      <c r="S4885" s="10" t="s">
        <v>53</v>
      </c>
      <c r="T4885" s="10" t="s">
        <v>54</v>
      </c>
    </row>
    <row r="4886" spans="1:20" ht="14.5" x14ac:dyDescent="0.35">
      <c r="A4886" s="10" t="s">
        <v>26111</v>
      </c>
      <c r="B4886" s="10" t="str">
        <f>"9781412949095"</f>
        <v>9781412949095</v>
      </c>
      <c r="C4886" s="10" t="str">
        <f>"9781452208442"</f>
        <v>9781452208442</v>
      </c>
      <c r="D4886" s="10" t="s">
        <v>22210</v>
      </c>
      <c r="E4886" s="10" t="s">
        <v>22211</v>
      </c>
      <c r="F4886" s="10" t="s">
        <v>333</v>
      </c>
      <c r="G4886" s="10" t="s">
        <v>6317</v>
      </c>
      <c r="H4886" s="11">
        <v>39400</v>
      </c>
      <c r="I4886" s="10">
        <v>2008</v>
      </c>
      <c r="J4886" s="10" t="s">
        <v>22211</v>
      </c>
      <c r="K4886" s="10">
        <v>233</v>
      </c>
      <c r="L4886" s="10" t="s">
        <v>23123</v>
      </c>
      <c r="M4886" s="10">
        <v>1</v>
      </c>
      <c r="N4886" s="10"/>
      <c r="O4886" s="10"/>
      <c r="P4886" s="10" t="s">
        <v>26112</v>
      </c>
      <c r="Q4886" s="10"/>
      <c r="R4886" s="10"/>
      <c r="S4886" s="10" t="s">
        <v>53</v>
      </c>
      <c r="T4886" s="10" t="s">
        <v>54</v>
      </c>
    </row>
    <row r="4887" spans="1:20" ht="14.5" x14ac:dyDescent="0.35">
      <c r="A4887" s="10" t="s">
        <v>26113</v>
      </c>
      <c r="B4887" s="10" t="str">
        <f>"9780833060112"</f>
        <v>9780833060112</v>
      </c>
      <c r="C4887" s="10" t="str">
        <f>"9780833060211"</f>
        <v>9780833060211</v>
      </c>
      <c r="D4887" s="10" t="s">
        <v>8134</v>
      </c>
      <c r="E4887" s="10" t="s">
        <v>8135</v>
      </c>
      <c r="F4887" s="10" t="s">
        <v>8136</v>
      </c>
      <c r="G4887" s="10" t="s">
        <v>6317</v>
      </c>
      <c r="H4887" s="11">
        <v>40963</v>
      </c>
      <c r="I4887" s="10">
        <v>2012</v>
      </c>
      <c r="J4887" s="10" t="s">
        <v>8363</v>
      </c>
      <c r="K4887" s="10">
        <v>180</v>
      </c>
      <c r="L4887" s="10" t="s">
        <v>26114</v>
      </c>
      <c r="M4887" s="10">
        <v>1</v>
      </c>
      <c r="N4887" s="10"/>
      <c r="O4887" s="10"/>
      <c r="P4887" s="10" t="s">
        <v>26115</v>
      </c>
      <c r="Q4887" s="10" t="s">
        <v>26116</v>
      </c>
      <c r="R4887" s="10" t="s">
        <v>26117</v>
      </c>
      <c r="S4887" s="10" t="s">
        <v>53</v>
      </c>
      <c r="T4887" s="10" t="s">
        <v>54</v>
      </c>
    </row>
    <row r="4888" spans="1:20" ht="14.5" x14ac:dyDescent="0.35">
      <c r="A4888" s="10" t="s">
        <v>26118</v>
      </c>
      <c r="B4888" s="10" t="str">
        <f>""</f>
        <v/>
      </c>
      <c r="C4888" s="10" t="str">
        <f>"9780833077226"</f>
        <v>9780833077226</v>
      </c>
      <c r="D4888" s="10" t="s">
        <v>8134</v>
      </c>
      <c r="E4888" s="10" t="s">
        <v>8135</v>
      </c>
      <c r="F4888" s="10" t="s">
        <v>8136</v>
      </c>
      <c r="G4888" s="10" t="s">
        <v>6317</v>
      </c>
      <c r="H4888" s="11">
        <v>41186</v>
      </c>
      <c r="I4888" s="10">
        <v>2012</v>
      </c>
      <c r="J4888" s="10" t="s">
        <v>8363</v>
      </c>
      <c r="K4888" s="10">
        <v>41</v>
      </c>
      <c r="L4888" s="10" t="s">
        <v>26119</v>
      </c>
      <c r="M4888" s="10">
        <v>1</v>
      </c>
      <c r="N4888" s="10"/>
      <c r="O4888" s="10"/>
      <c r="P4888" s="10" t="s">
        <v>26120</v>
      </c>
      <c r="Q4888" s="10">
        <v>371.1</v>
      </c>
      <c r="R4888" s="10" t="s">
        <v>26121</v>
      </c>
      <c r="S4888" s="10" t="s">
        <v>53</v>
      </c>
      <c r="T4888" s="10" t="s">
        <v>54</v>
      </c>
    </row>
    <row r="4889" spans="1:20" ht="14.5" x14ac:dyDescent="0.35">
      <c r="A4889" s="10" t="s">
        <v>26122</v>
      </c>
      <c r="B4889" s="10" t="str">
        <f>"9781412941570"</f>
        <v>9781412941570</v>
      </c>
      <c r="C4889" s="10" t="str">
        <f>"9781452215457"</f>
        <v>9781452215457</v>
      </c>
      <c r="D4889" s="10" t="s">
        <v>22210</v>
      </c>
      <c r="E4889" s="10" t="s">
        <v>22211</v>
      </c>
      <c r="F4889" s="10" t="s">
        <v>333</v>
      </c>
      <c r="G4889" s="10" t="s">
        <v>6317</v>
      </c>
      <c r="H4889" s="11">
        <v>39632</v>
      </c>
      <c r="I4889" s="10">
        <v>2009</v>
      </c>
      <c r="J4889" s="10" t="s">
        <v>22211</v>
      </c>
      <c r="K4889" s="10">
        <v>209</v>
      </c>
      <c r="L4889" s="10" t="s">
        <v>26123</v>
      </c>
      <c r="M4889" s="10">
        <v>1</v>
      </c>
      <c r="N4889" s="10"/>
      <c r="O4889" s="10"/>
      <c r="P4889" s="10" t="s">
        <v>26124</v>
      </c>
      <c r="Q4889" s="10" t="s">
        <v>8460</v>
      </c>
      <c r="R4889" s="10" t="s">
        <v>26125</v>
      </c>
      <c r="S4889" s="10" t="s">
        <v>53</v>
      </c>
      <c r="T4889" s="10" t="s">
        <v>54</v>
      </c>
    </row>
    <row r="4890" spans="1:20" ht="14.5" x14ac:dyDescent="0.35">
      <c r="A4890" s="10" t="s">
        <v>26126</v>
      </c>
      <c r="B4890" s="10" t="str">
        <f>"9781412936484"</f>
        <v>9781412936484</v>
      </c>
      <c r="C4890" s="10" t="str">
        <f>"9781452208794"</f>
        <v>9781452208794</v>
      </c>
      <c r="D4890" s="10" t="s">
        <v>22210</v>
      </c>
      <c r="E4890" s="10" t="s">
        <v>22211</v>
      </c>
      <c r="F4890" s="10" t="s">
        <v>333</v>
      </c>
      <c r="G4890" s="10" t="s">
        <v>6317</v>
      </c>
      <c r="H4890" s="11">
        <v>39234</v>
      </c>
      <c r="I4890" s="10">
        <v>2007</v>
      </c>
      <c r="J4890" s="10" t="s">
        <v>22211</v>
      </c>
      <c r="K4890" s="10">
        <v>121</v>
      </c>
      <c r="L4890" s="10" t="s">
        <v>26127</v>
      </c>
      <c r="M4890" s="10">
        <v>1</v>
      </c>
      <c r="N4890" s="10"/>
      <c r="O4890" s="10"/>
      <c r="P4890" s="10" t="s">
        <v>26128</v>
      </c>
      <c r="Q4890" s="10">
        <v>372.7</v>
      </c>
      <c r="R4890" s="10"/>
      <c r="S4890" s="10" t="s">
        <v>53</v>
      </c>
      <c r="T4890" s="10" t="s">
        <v>6448</v>
      </c>
    </row>
    <row r="4891" spans="1:20" ht="14.5" x14ac:dyDescent="0.35">
      <c r="A4891" s="10" t="s">
        <v>26129</v>
      </c>
      <c r="B4891" s="10" t="str">
        <f>"9781412955355"</f>
        <v>9781412955355</v>
      </c>
      <c r="C4891" s="10" t="str">
        <f>"9781452209081"</f>
        <v>9781452209081</v>
      </c>
      <c r="D4891" s="10" t="s">
        <v>22210</v>
      </c>
      <c r="E4891" s="10" t="s">
        <v>22211</v>
      </c>
      <c r="F4891" s="10" t="s">
        <v>333</v>
      </c>
      <c r="G4891" s="10" t="s">
        <v>6317</v>
      </c>
      <c r="H4891" s="11">
        <v>39478</v>
      </c>
      <c r="I4891" s="10">
        <v>2008</v>
      </c>
      <c r="J4891" s="10" t="s">
        <v>22211</v>
      </c>
      <c r="K4891" s="10">
        <v>145</v>
      </c>
      <c r="L4891" s="10" t="s">
        <v>23565</v>
      </c>
      <c r="M4891" s="10">
        <v>1</v>
      </c>
      <c r="N4891" s="10"/>
      <c r="O4891" s="10"/>
      <c r="P4891" s="10" t="s">
        <v>26130</v>
      </c>
      <c r="Q4891" s="10">
        <v>612.79999999999995</v>
      </c>
      <c r="R4891" s="10" t="s">
        <v>26131</v>
      </c>
      <c r="S4891" s="10" t="s">
        <v>53</v>
      </c>
      <c r="T4891" s="10" t="s">
        <v>26132</v>
      </c>
    </row>
    <row r="4892" spans="1:20" ht="14.5" x14ac:dyDescent="0.35">
      <c r="A4892" s="10" t="s">
        <v>26133</v>
      </c>
      <c r="B4892" s="10" t="str">
        <f>"9781412938464"</f>
        <v>9781412938464</v>
      </c>
      <c r="C4892" s="10" t="str">
        <f>"9781452209807"</f>
        <v>9781452209807</v>
      </c>
      <c r="D4892" s="10" t="s">
        <v>22210</v>
      </c>
      <c r="E4892" s="10" t="s">
        <v>22211</v>
      </c>
      <c r="F4892" s="10" t="s">
        <v>333</v>
      </c>
      <c r="G4892" s="10" t="s">
        <v>6317</v>
      </c>
      <c r="H4892" s="11">
        <v>39203</v>
      </c>
      <c r="I4892" s="10">
        <v>2007</v>
      </c>
      <c r="J4892" s="10" t="s">
        <v>22211</v>
      </c>
      <c r="K4892" s="10">
        <v>185</v>
      </c>
      <c r="L4892" s="10" t="s">
        <v>23548</v>
      </c>
      <c r="M4892" s="10">
        <v>1</v>
      </c>
      <c r="N4892" s="10" t="s">
        <v>23158</v>
      </c>
      <c r="O4892" s="10"/>
      <c r="P4892" s="10" t="s">
        <v>26134</v>
      </c>
      <c r="Q4892" s="10">
        <v>371.2</v>
      </c>
      <c r="R4892" s="10"/>
      <c r="S4892" s="10" t="s">
        <v>53</v>
      </c>
      <c r="T4892" s="10" t="s">
        <v>54</v>
      </c>
    </row>
    <row r="4893" spans="1:20" ht="14.5" x14ac:dyDescent="0.35">
      <c r="A4893" s="10" t="s">
        <v>26135</v>
      </c>
      <c r="B4893" s="10" t="str">
        <f>"9781412917919"</f>
        <v>9781412917919</v>
      </c>
      <c r="C4893" s="10" t="str">
        <f>"9781452208954"</f>
        <v>9781452208954</v>
      </c>
      <c r="D4893" s="10" t="s">
        <v>22210</v>
      </c>
      <c r="E4893" s="10" t="s">
        <v>22211</v>
      </c>
      <c r="F4893" s="10" t="s">
        <v>333</v>
      </c>
      <c r="G4893" s="10" t="s">
        <v>6317</v>
      </c>
      <c r="H4893" s="11">
        <v>39399</v>
      </c>
      <c r="I4893" s="10">
        <v>2008</v>
      </c>
      <c r="J4893" s="10" t="s">
        <v>22211</v>
      </c>
      <c r="K4893" s="10">
        <v>137</v>
      </c>
      <c r="L4893" s="10" t="s">
        <v>25039</v>
      </c>
      <c r="M4893" s="10">
        <v>1</v>
      </c>
      <c r="N4893" s="10"/>
      <c r="O4893" s="10"/>
      <c r="P4893" s="10"/>
      <c r="Q4893" s="10">
        <v>371.9</v>
      </c>
      <c r="R4893" s="10"/>
      <c r="S4893" s="10" t="s">
        <v>53</v>
      </c>
      <c r="T4893" s="10" t="s">
        <v>54</v>
      </c>
    </row>
    <row r="4894" spans="1:20" ht="14.5" x14ac:dyDescent="0.35">
      <c r="A4894" s="10" t="s">
        <v>26136</v>
      </c>
      <c r="B4894" s="10" t="str">
        <f>"9781412924597"</f>
        <v>9781412924597</v>
      </c>
      <c r="C4894" s="10" t="str">
        <f>"9781452213880"</f>
        <v>9781452213880</v>
      </c>
      <c r="D4894" s="10" t="s">
        <v>22210</v>
      </c>
      <c r="E4894" s="10" t="s">
        <v>22211</v>
      </c>
      <c r="F4894" s="10" t="s">
        <v>333</v>
      </c>
      <c r="G4894" s="10" t="s">
        <v>6317</v>
      </c>
      <c r="H4894" s="11">
        <v>39729</v>
      </c>
      <c r="I4894" s="10">
        <v>2009</v>
      </c>
      <c r="J4894" s="10" t="s">
        <v>22211</v>
      </c>
      <c r="K4894" s="10">
        <v>177</v>
      </c>
      <c r="L4894" s="10" t="s">
        <v>23274</v>
      </c>
      <c r="M4894" s="10">
        <v>1</v>
      </c>
      <c r="N4894" s="10"/>
      <c r="O4894" s="10"/>
      <c r="P4894" s="10"/>
      <c r="Q4894" s="10">
        <v>372.4</v>
      </c>
      <c r="R4894" s="10"/>
      <c r="S4894" s="10" t="s">
        <v>53</v>
      </c>
      <c r="T4894" s="10" t="s">
        <v>54</v>
      </c>
    </row>
    <row r="4895" spans="1:20" ht="14.5" x14ac:dyDescent="0.35">
      <c r="A4895" s="10" t="s">
        <v>26137</v>
      </c>
      <c r="B4895" s="10" t="str">
        <f>"9781412925235"</f>
        <v>9781412925235</v>
      </c>
      <c r="C4895" s="10" t="str">
        <f>"9781452209388"</f>
        <v>9781452209388</v>
      </c>
      <c r="D4895" s="10" t="s">
        <v>22210</v>
      </c>
      <c r="E4895" s="10" t="s">
        <v>22211</v>
      </c>
      <c r="F4895" s="10" t="s">
        <v>333</v>
      </c>
      <c r="G4895" s="10" t="s">
        <v>6317</v>
      </c>
      <c r="H4895" s="11">
        <v>38684</v>
      </c>
      <c r="I4895" s="10">
        <v>2006</v>
      </c>
      <c r="J4895" s="10" t="s">
        <v>22211</v>
      </c>
      <c r="K4895" s="10">
        <v>105</v>
      </c>
      <c r="L4895" s="10" t="s">
        <v>26138</v>
      </c>
      <c r="M4895" s="10">
        <v>3</v>
      </c>
      <c r="N4895" s="10"/>
      <c r="O4895" s="10"/>
      <c r="P4895" s="10" t="s">
        <v>26139</v>
      </c>
      <c r="Q4895" s="10"/>
      <c r="R4895" s="10"/>
      <c r="S4895" s="10" t="s">
        <v>53</v>
      </c>
      <c r="T4895" s="10" t="s">
        <v>54</v>
      </c>
    </row>
    <row r="4896" spans="1:20" ht="14.5" x14ac:dyDescent="0.35">
      <c r="A4896" s="10" t="s">
        <v>26140</v>
      </c>
      <c r="B4896" s="10" t="str">
        <f>"9781412955041"</f>
        <v>9781412955041</v>
      </c>
      <c r="C4896" s="10" t="str">
        <f>"9781452213224"</f>
        <v>9781452213224</v>
      </c>
      <c r="D4896" s="10" t="s">
        <v>22210</v>
      </c>
      <c r="E4896" s="10" t="s">
        <v>22211</v>
      </c>
      <c r="F4896" s="10" t="s">
        <v>333</v>
      </c>
      <c r="G4896" s="10" t="s">
        <v>6317</v>
      </c>
      <c r="H4896" s="11">
        <v>39559</v>
      </c>
      <c r="I4896" s="10">
        <v>2008</v>
      </c>
      <c r="J4896" s="10" t="s">
        <v>22211</v>
      </c>
      <c r="K4896" s="10">
        <v>185</v>
      </c>
      <c r="L4896" s="10" t="s">
        <v>26141</v>
      </c>
      <c r="M4896" s="10">
        <v>1</v>
      </c>
      <c r="N4896" s="10"/>
      <c r="O4896" s="10"/>
      <c r="P4896" s="10" t="s">
        <v>26142</v>
      </c>
      <c r="Q4896" s="10">
        <v>428.00709999999998</v>
      </c>
      <c r="R4896" s="10" t="s">
        <v>26143</v>
      </c>
      <c r="S4896" s="10" t="s">
        <v>53</v>
      </c>
      <c r="T4896" s="10" t="s">
        <v>6616</v>
      </c>
    </row>
    <row r="4897" spans="1:20" ht="14.5" x14ac:dyDescent="0.35">
      <c r="A4897" s="10" t="s">
        <v>26144</v>
      </c>
      <c r="B4897" s="10" t="str">
        <f>"9781118449813"</f>
        <v>9781118449813</v>
      </c>
      <c r="C4897" s="10" t="str">
        <f>"9781118719008"</f>
        <v>9781118719008</v>
      </c>
      <c r="D4897" s="10" t="s">
        <v>6322</v>
      </c>
      <c r="E4897" s="10" t="s">
        <v>6323</v>
      </c>
      <c r="F4897" s="10" t="s">
        <v>4423</v>
      </c>
      <c r="G4897" s="10" t="s">
        <v>6317</v>
      </c>
      <c r="H4897" s="11">
        <v>41533</v>
      </c>
      <c r="I4897" s="10">
        <v>2014</v>
      </c>
      <c r="J4897" s="10" t="s">
        <v>6324</v>
      </c>
      <c r="K4897" s="10">
        <v>595</v>
      </c>
      <c r="L4897" s="10" t="s">
        <v>26145</v>
      </c>
      <c r="M4897" s="10">
        <v>6</v>
      </c>
      <c r="N4897" s="10"/>
      <c r="O4897" s="10"/>
      <c r="P4897" s="10"/>
      <c r="Q4897" s="10">
        <v>820</v>
      </c>
      <c r="R4897" s="10" t="s">
        <v>26146</v>
      </c>
      <c r="S4897" s="10" t="s">
        <v>53</v>
      </c>
      <c r="T4897" s="10" t="s">
        <v>1166</v>
      </c>
    </row>
    <row r="4898" spans="1:20" ht="14.5" x14ac:dyDescent="0.35">
      <c r="A4898" s="10" t="s">
        <v>26147</v>
      </c>
      <c r="B4898" s="10" t="str">
        <f>"9781607099482"</f>
        <v>9781607099482</v>
      </c>
      <c r="C4898" s="10" t="str">
        <f>"9781607099505"</f>
        <v>9781607099505</v>
      </c>
      <c r="D4898" s="10" t="s">
        <v>9752</v>
      </c>
      <c r="E4898" s="10" t="s">
        <v>15192</v>
      </c>
      <c r="F4898" s="10" t="s">
        <v>9754</v>
      </c>
      <c r="G4898" s="10" t="s">
        <v>6317</v>
      </c>
      <c r="H4898" s="11">
        <v>40934</v>
      </c>
      <c r="I4898" s="10">
        <v>2012</v>
      </c>
      <c r="J4898" s="10" t="s">
        <v>15192</v>
      </c>
      <c r="K4898" s="10">
        <v>157</v>
      </c>
      <c r="L4898" s="10" t="s">
        <v>26148</v>
      </c>
      <c r="M4898" s="10">
        <v>1</v>
      </c>
      <c r="N4898" s="10"/>
      <c r="O4898" s="10"/>
      <c r="P4898" s="10" t="s">
        <v>26149</v>
      </c>
      <c r="Q4898" s="10" t="s">
        <v>26150</v>
      </c>
      <c r="R4898" s="10" t="s">
        <v>26151</v>
      </c>
      <c r="S4898" s="10" t="s">
        <v>53</v>
      </c>
      <c r="T4898" s="10" t="s">
        <v>54</v>
      </c>
    </row>
    <row r="4899" spans="1:20" ht="14.5" x14ac:dyDescent="0.35">
      <c r="A4899" s="10" t="s">
        <v>26152</v>
      </c>
      <c r="B4899" s="10" t="str">
        <f>"9780739171004"</f>
        <v>9780739171004</v>
      </c>
      <c r="C4899" s="10" t="str">
        <f>"9780739171011"</f>
        <v>9780739171011</v>
      </c>
      <c r="D4899" s="10" t="s">
        <v>9752</v>
      </c>
      <c r="E4899" s="10" t="s">
        <v>15182</v>
      </c>
      <c r="F4899" s="10" t="s">
        <v>9754</v>
      </c>
      <c r="G4899" s="10" t="s">
        <v>6317</v>
      </c>
      <c r="H4899" s="11">
        <v>41509</v>
      </c>
      <c r="I4899" s="10">
        <v>2013</v>
      </c>
      <c r="J4899" s="10" t="s">
        <v>15182</v>
      </c>
      <c r="K4899" s="10">
        <v>196</v>
      </c>
      <c r="L4899" s="10" t="s">
        <v>26153</v>
      </c>
      <c r="M4899" s="10">
        <v>1</v>
      </c>
      <c r="N4899" s="10"/>
      <c r="O4899" s="10"/>
      <c r="P4899" s="10" t="s">
        <v>26154</v>
      </c>
      <c r="Q4899" s="10">
        <v>378.49650000000003</v>
      </c>
      <c r="R4899" s="10" t="s">
        <v>26155</v>
      </c>
      <c r="S4899" s="10" t="s">
        <v>53</v>
      </c>
      <c r="T4899" s="10" t="s">
        <v>54</v>
      </c>
    </row>
    <row r="4900" spans="1:20" ht="14.5" x14ac:dyDescent="0.35">
      <c r="A4900" s="10" t="s">
        <v>26156</v>
      </c>
      <c r="B4900" s="10" t="str">
        <f>"9781462511532"</f>
        <v>9781462511532</v>
      </c>
      <c r="C4900" s="10" t="str">
        <f>"9781462511822"</f>
        <v>9781462511822</v>
      </c>
      <c r="D4900" s="10" t="s">
        <v>11213</v>
      </c>
      <c r="E4900" s="10" t="s">
        <v>11214</v>
      </c>
      <c r="F4900" s="10" t="s">
        <v>70</v>
      </c>
      <c r="G4900" s="10" t="s">
        <v>6317</v>
      </c>
      <c r="H4900" s="11">
        <v>41513</v>
      </c>
      <c r="I4900" s="10">
        <v>2013</v>
      </c>
      <c r="J4900" s="10" t="s">
        <v>11215</v>
      </c>
      <c r="K4900" s="10">
        <v>242</v>
      </c>
      <c r="L4900" s="10" t="s">
        <v>26157</v>
      </c>
      <c r="M4900" s="10">
        <v>1</v>
      </c>
      <c r="N4900" s="10" t="s">
        <v>18535</v>
      </c>
      <c r="O4900" s="10"/>
      <c r="P4900" s="10" t="s">
        <v>26158</v>
      </c>
      <c r="Q4900" s="10">
        <v>428.4</v>
      </c>
      <c r="R4900" s="10" t="s">
        <v>20654</v>
      </c>
      <c r="S4900" s="10" t="s">
        <v>53</v>
      </c>
      <c r="T4900" s="10" t="s">
        <v>6634</v>
      </c>
    </row>
    <row r="4901" spans="1:20" ht="14.5" x14ac:dyDescent="0.35">
      <c r="A4901" s="10" t="s">
        <v>26159</v>
      </c>
      <c r="B4901" s="10" t="str">
        <f>"9781412968034"</f>
        <v>9781412968034</v>
      </c>
      <c r="C4901" s="10" t="str">
        <f>"9781452211114"</f>
        <v>9781452211114</v>
      </c>
      <c r="D4901" s="10" t="s">
        <v>22210</v>
      </c>
      <c r="E4901" s="10" t="s">
        <v>22211</v>
      </c>
      <c r="F4901" s="10" t="s">
        <v>333</v>
      </c>
      <c r="G4901" s="10" t="s">
        <v>6317</v>
      </c>
      <c r="H4901" s="11">
        <v>39801</v>
      </c>
      <c r="I4901" s="10">
        <v>2009</v>
      </c>
      <c r="J4901" s="10" t="s">
        <v>22211</v>
      </c>
      <c r="K4901" s="10">
        <v>169</v>
      </c>
      <c r="L4901" s="10" t="s">
        <v>26160</v>
      </c>
      <c r="M4901" s="10">
        <v>1</v>
      </c>
      <c r="N4901" s="10"/>
      <c r="O4901" s="10"/>
      <c r="P4901" s="10"/>
      <c r="Q4901" s="10" t="s">
        <v>6785</v>
      </c>
      <c r="R4901" s="10"/>
      <c r="S4901" s="10" t="s">
        <v>53</v>
      </c>
      <c r="T4901" s="10" t="s">
        <v>54</v>
      </c>
    </row>
    <row r="4902" spans="1:20" ht="14.5" x14ac:dyDescent="0.35">
      <c r="A4902" s="10" t="s">
        <v>26161</v>
      </c>
      <c r="B4902" s="10" t="str">
        <f>"9781412957199"</f>
        <v>9781412957199</v>
      </c>
      <c r="C4902" s="10" t="str">
        <f>"9781452211138"</f>
        <v>9781452211138</v>
      </c>
      <c r="D4902" s="10" t="s">
        <v>22210</v>
      </c>
      <c r="E4902" s="10" t="s">
        <v>22211</v>
      </c>
      <c r="F4902" s="10" t="s">
        <v>333</v>
      </c>
      <c r="G4902" s="10" t="s">
        <v>6317</v>
      </c>
      <c r="H4902" s="11">
        <v>39661</v>
      </c>
      <c r="I4902" s="10">
        <v>2009</v>
      </c>
      <c r="J4902" s="10" t="s">
        <v>22211</v>
      </c>
      <c r="K4902" s="10">
        <v>241</v>
      </c>
      <c r="L4902" s="10" t="s">
        <v>26162</v>
      </c>
      <c r="M4902" s="10">
        <v>1</v>
      </c>
      <c r="N4902" s="10"/>
      <c r="O4902" s="10"/>
      <c r="P4902" s="10" t="s">
        <v>26163</v>
      </c>
      <c r="Q4902" s="10" t="s">
        <v>6785</v>
      </c>
      <c r="R4902" s="10"/>
      <c r="S4902" s="10" t="s">
        <v>53</v>
      </c>
      <c r="T4902" s="10" t="s">
        <v>54</v>
      </c>
    </row>
    <row r="4903" spans="1:20" ht="14.5" x14ac:dyDescent="0.35">
      <c r="A4903" s="10" t="s">
        <v>26164</v>
      </c>
      <c r="B4903" s="10" t="str">
        <f>"9780739179086"</f>
        <v>9780739179086</v>
      </c>
      <c r="C4903" s="10" t="str">
        <f>"9780739179093"</f>
        <v>9780739179093</v>
      </c>
      <c r="D4903" s="10" t="s">
        <v>9752</v>
      </c>
      <c r="E4903" s="10" t="s">
        <v>15182</v>
      </c>
      <c r="F4903" s="10" t="s">
        <v>9754</v>
      </c>
      <c r="G4903" s="10" t="s">
        <v>6317</v>
      </c>
      <c r="H4903" s="11">
        <v>41508</v>
      </c>
      <c r="I4903" s="10">
        <v>2013</v>
      </c>
      <c r="J4903" s="10" t="s">
        <v>15182</v>
      </c>
      <c r="K4903" s="10">
        <v>264</v>
      </c>
      <c r="L4903" s="10" t="s">
        <v>26165</v>
      </c>
      <c r="M4903" s="10">
        <v>1</v>
      </c>
      <c r="N4903" s="10"/>
      <c r="O4903" s="10"/>
      <c r="P4903" s="10" t="s">
        <v>26166</v>
      </c>
      <c r="Q4903" s="10">
        <v>937</v>
      </c>
      <c r="R4903" s="10" t="s">
        <v>26167</v>
      </c>
      <c r="S4903" s="10" t="s">
        <v>53</v>
      </c>
      <c r="T4903" s="10" t="s">
        <v>8717</v>
      </c>
    </row>
    <row r="4904" spans="1:20" ht="14.5" x14ac:dyDescent="0.35">
      <c r="A4904" s="10" t="s">
        <v>26168</v>
      </c>
      <c r="B4904" s="10" t="str">
        <f>"9781475804010"</f>
        <v>9781475804010</v>
      </c>
      <c r="C4904" s="10" t="str">
        <f>"9781475804027"</f>
        <v>9781475804027</v>
      </c>
      <c r="D4904" s="10" t="s">
        <v>9752</v>
      </c>
      <c r="E4904" s="10" t="s">
        <v>15192</v>
      </c>
      <c r="F4904" s="10" t="s">
        <v>9754</v>
      </c>
      <c r="G4904" s="10" t="s">
        <v>6317</v>
      </c>
      <c r="H4904" s="11">
        <v>41514</v>
      </c>
      <c r="I4904" s="10">
        <v>2013</v>
      </c>
      <c r="J4904" s="10" t="s">
        <v>15192</v>
      </c>
      <c r="K4904" s="10">
        <v>335</v>
      </c>
      <c r="L4904" s="10" t="s">
        <v>26169</v>
      </c>
      <c r="M4904" s="10">
        <v>1</v>
      </c>
      <c r="N4904" s="10" t="s">
        <v>15952</v>
      </c>
      <c r="O4904" s="10"/>
      <c r="P4904" s="10" t="s">
        <v>26170</v>
      </c>
      <c r="Q4904" s="10">
        <v>808.02</v>
      </c>
      <c r="R4904" s="10" t="s">
        <v>8214</v>
      </c>
      <c r="S4904" s="10" t="s">
        <v>53</v>
      </c>
      <c r="T4904" s="10" t="s">
        <v>6568</v>
      </c>
    </row>
    <row r="4905" spans="1:20" ht="14.5" x14ac:dyDescent="0.35">
      <c r="A4905" s="10" t="s">
        <v>26171</v>
      </c>
      <c r="B4905" s="10" t="str">
        <f>"9780739177334"</f>
        <v>9780739177334</v>
      </c>
      <c r="C4905" s="10" t="str">
        <f>"9780739177341"</f>
        <v>9780739177341</v>
      </c>
      <c r="D4905" s="10" t="s">
        <v>9752</v>
      </c>
      <c r="E4905" s="10" t="s">
        <v>15182</v>
      </c>
      <c r="F4905" s="10" t="s">
        <v>9754</v>
      </c>
      <c r="G4905" s="10" t="s">
        <v>6317</v>
      </c>
      <c r="H4905" s="11">
        <v>41514</v>
      </c>
      <c r="I4905" s="10">
        <v>2013</v>
      </c>
      <c r="J4905" s="10" t="s">
        <v>15182</v>
      </c>
      <c r="K4905" s="10">
        <v>179</v>
      </c>
      <c r="L4905" s="10" t="s">
        <v>26172</v>
      </c>
      <c r="M4905" s="10">
        <v>1</v>
      </c>
      <c r="N4905" s="10"/>
      <c r="O4905" s="10"/>
      <c r="P4905" s="10" t="s">
        <v>26173</v>
      </c>
      <c r="Q4905" s="10">
        <v>378.12</v>
      </c>
      <c r="R4905" s="10" t="s">
        <v>26174</v>
      </c>
      <c r="S4905" s="10" t="s">
        <v>53</v>
      </c>
      <c r="T4905" s="10" t="s">
        <v>54</v>
      </c>
    </row>
    <row r="4906" spans="1:20" ht="14.5" x14ac:dyDescent="0.35">
      <c r="A4906" s="10" t="s">
        <v>26175</v>
      </c>
      <c r="B4906" s="10" t="str">
        <f>"9781742233956"</f>
        <v>9781742233956</v>
      </c>
      <c r="C4906" s="10" t="str">
        <f>"9781742246529"</f>
        <v>9781742246529</v>
      </c>
      <c r="D4906" s="10" t="s">
        <v>9215</v>
      </c>
      <c r="E4906" s="10" t="s">
        <v>22531</v>
      </c>
      <c r="F4906" s="10" t="s">
        <v>674</v>
      </c>
      <c r="G4906" s="10" t="s">
        <v>6317</v>
      </c>
      <c r="H4906" s="11">
        <v>41487</v>
      </c>
      <c r="I4906" s="10">
        <v>2013</v>
      </c>
      <c r="J4906" s="10" t="s">
        <v>22532</v>
      </c>
      <c r="K4906" s="10">
        <v>291</v>
      </c>
      <c r="L4906" s="10" t="s">
        <v>26176</v>
      </c>
      <c r="M4906" s="10"/>
      <c r="N4906" s="10"/>
      <c r="O4906" s="10"/>
      <c r="P4906" s="10" t="s">
        <v>26177</v>
      </c>
      <c r="Q4906" s="10">
        <v>786.41092400000002</v>
      </c>
      <c r="R4906" s="10" t="s">
        <v>26178</v>
      </c>
      <c r="S4906" s="10" t="s">
        <v>53</v>
      </c>
      <c r="T4906" s="10" t="s">
        <v>6384</v>
      </c>
    </row>
    <row r="4907" spans="1:20" ht="14.5" x14ac:dyDescent="0.35">
      <c r="A4907" s="10" t="s">
        <v>26179</v>
      </c>
      <c r="B4907" s="10" t="str">
        <f>"9780817928728"</f>
        <v>9780817928728</v>
      </c>
      <c r="C4907" s="10" t="str">
        <f>"9780817928780"</f>
        <v>9780817928780</v>
      </c>
      <c r="D4907" s="10" t="s">
        <v>9215</v>
      </c>
      <c r="E4907" s="10" t="s">
        <v>26180</v>
      </c>
      <c r="F4907" s="10" t="s">
        <v>4102</v>
      </c>
      <c r="G4907" s="10" t="s">
        <v>6317</v>
      </c>
      <c r="H4907" s="11">
        <v>37196</v>
      </c>
      <c r="I4907" s="10">
        <v>2001</v>
      </c>
      <c r="J4907" s="10" t="s">
        <v>26180</v>
      </c>
      <c r="K4907" s="10">
        <v>776</v>
      </c>
      <c r="L4907" s="10" t="s">
        <v>26181</v>
      </c>
      <c r="M4907" s="10">
        <v>1</v>
      </c>
      <c r="N4907" s="10"/>
      <c r="O4907" s="10"/>
      <c r="P4907" s="10" t="s">
        <v>26182</v>
      </c>
      <c r="Q4907" s="10" t="s">
        <v>8460</v>
      </c>
      <c r="R4907" s="10" t="s">
        <v>26183</v>
      </c>
      <c r="S4907" s="10" t="s">
        <v>53</v>
      </c>
      <c r="T4907" s="10" t="s">
        <v>54</v>
      </c>
    </row>
    <row r="4908" spans="1:20" ht="14.5" x14ac:dyDescent="0.35">
      <c r="A4908" s="10" t="s">
        <v>26184</v>
      </c>
      <c r="B4908" s="10" t="str">
        <f>"9780817929329"</f>
        <v>9780817929329</v>
      </c>
      <c r="C4908" s="10" t="str">
        <f>"9780817929336"</f>
        <v>9780817929336</v>
      </c>
      <c r="D4908" s="10" t="s">
        <v>9215</v>
      </c>
      <c r="E4908" s="10" t="s">
        <v>26180</v>
      </c>
      <c r="F4908" s="10" t="s">
        <v>26185</v>
      </c>
      <c r="G4908" s="10" t="s">
        <v>6317</v>
      </c>
      <c r="H4908" s="11">
        <v>37500</v>
      </c>
      <c r="I4908" s="10">
        <v>2002</v>
      </c>
      <c r="J4908" s="10" t="s">
        <v>26180</v>
      </c>
      <c r="K4908" s="10">
        <v>102</v>
      </c>
      <c r="L4908" s="10" t="s">
        <v>26186</v>
      </c>
      <c r="M4908" s="10">
        <v>1</v>
      </c>
      <c r="N4908" s="10"/>
      <c r="O4908" s="10"/>
      <c r="P4908" s="10" t="s">
        <v>26187</v>
      </c>
      <c r="Q4908" s="10" t="s">
        <v>7737</v>
      </c>
      <c r="R4908" s="10" t="s">
        <v>26188</v>
      </c>
      <c r="S4908" s="10" t="s">
        <v>53</v>
      </c>
      <c r="T4908" s="10" t="s">
        <v>54</v>
      </c>
    </row>
    <row r="4909" spans="1:20" ht="14.5" x14ac:dyDescent="0.35">
      <c r="A4909" s="10" t="s">
        <v>26189</v>
      </c>
      <c r="B4909" s="10" t="str">
        <f>"9780817929824"</f>
        <v>9780817929824</v>
      </c>
      <c r="C4909" s="10" t="str">
        <f>"9780817929831"</f>
        <v>9780817929831</v>
      </c>
      <c r="D4909" s="10" t="s">
        <v>9215</v>
      </c>
      <c r="E4909" s="10" t="s">
        <v>26180</v>
      </c>
      <c r="F4909" s="10" t="s">
        <v>26185</v>
      </c>
      <c r="G4909" s="10" t="s">
        <v>6317</v>
      </c>
      <c r="H4909" s="11">
        <v>38108</v>
      </c>
      <c r="I4909" s="10">
        <v>2004</v>
      </c>
      <c r="J4909" s="10" t="s">
        <v>26180</v>
      </c>
      <c r="K4909" s="10">
        <v>352</v>
      </c>
      <c r="L4909" s="10" t="s">
        <v>26190</v>
      </c>
      <c r="M4909" s="10">
        <v>1</v>
      </c>
      <c r="N4909" s="10"/>
      <c r="O4909" s="10"/>
      <c r="P4909" s="10" t="s">
        <v>26191</v>
      </c>
      <c r="Q4909" s="10" t="s">
        <v>24601</v>
      </c>
      <c r="R4909" s="10" t="s">
        <v>26192</v>
      </c>
      <c r="S4909" s="10" t="s">
        <v>53</v>
      </c>
      <c r="T4909" s="10" t="s">
        <v>54</v>
      </c>
    </row>
    <row r="4910" spans="1:20" ht="14.5" x14ac:dyDescent="0.35">
      <c r="A4910" s="10" t="s">
        <v>26193</v>
      </c>
      <c r="B4910" s="10" t="str">
        <f>"9780817947620"</f>
        <v>9780817947620</v>
      </c>
      <c r="C4910" s="10" t="str">
        <f>"9780817947682"</f>
        <v>9780817947682</v>
      </c>
      <c r="D4910" s="10" t="s">
        <v>9215</v>
      </c>
      <c r="E4910" s="10" t="s">
        <v>26180</v>
      </c>
      <c r="F4910" s="10" t="s">
        <v>26185</v>
      </c>
      <c r="G4910" s="10" t="s">
        <v>6317</v>
      </c>
      <c r="H4910" s="11">
        <v>38991</v>
      </c>
      <c r="I4910" s="10">
        <v>2006</v>
      </c>
      <c r="J4910" s="10" t="s">
        <v>26180</v>
      </c>
      <c r="K4910" s="10">
        <v>229</v>
      </c>
      <c r="L4910" s="10" t="s">
        <v>26194</v>
      </c>
      <c r="M4910" s="10">
        <v>1</v>
      </c>
      <c r="N4910" s="10"/>
      <c r="O4910" s="10"/>
      <c r="P4910" s="10" t="s">
        <v>26195</v>
      </c>
      <c r="Q4910" s="10">
        <v>371.01</v>
      </c>
      <c r="R4910" s="10" t="s">
        <v>26196</v>
      </c>
      <c r="S4910" s="10" t="s">
        <v>53</v>
      </c>
      <c r="T4910" s="10" t="s">
        <v>54</v>
      </c>
    </row>
    <row r="4911" spans="1:20" ht="14.5" x14ac:dyDescent="0.35">
      <c r="A4911" s="10" t="s">
        <v>26197</v>
      </c>
      <c r="B4911" s="10" t="str">
        <f>"9780817999421"</f>
        <v>9780817999421</v>
      </c>
      <c r="C4911" s="10" t="str">
        <f>"9780817999483"</f>
        <v>9780817999483</v>
      </c>
      <c r="D4911" s="10" t="s">
        <v>9215</v>
      </c>
      <c r="E4911" s="10" t="s">
        <v>26180</v>
      </c>
      <c r="F4911" s="10" t="s">
        <v>4102</v>
      </c>
      <c r="G4911" s="10" t="s">
        <v>6317</v>
      </c>
      <c r="H4911" s="11">
        <v>37073</v>
      </c>
      <c r="I4911" s="10">
        <v>2001</v>
      </c>
      <c r="J4911" s="10" t="s">
        <v>26180</v>
      </c>
      <c r="K4911" s="10">
        <v>341</v>
      </c>
      <c r="L4911" s="10" t="s">
        <v>26198</v>
      </c>
      <c r="M4911" s="10">
        <v>1</v>
      </c>
      <c r="N4911" s="10"/>
      <c r="O4911" s="10"/>
      <c r="P4911" s="10" t="s">
        <v>26199</v>
      </c>
      <c r="Q4911" s="10" t="s">
        <v>13808</v>
      </c>
      <c r="R4911" s="10" t="s">
        <v>26200</v>
      </c>
      <c r="S4911" s="10" t="s">
        <v>53</v>
      </c>
      <c r="T4911" s="10" t="s">
        <v>54</v>
      </c>
    </row>
    <row r="4912" spans="1:20" ht="14.5" x14ac:dyDescent="0.35">
      <c r="A4912" s="10" t="s">
        <v>26201</v>
      </c>
      <c r="B4912" s="10" t="str">
        <f>"9781118105146"</f>
        <v>9781118105146</v>
      </c>
      <c r="C4912" s="10" t="str">
        <f>"9781118418864"</f>
        <v>9781118418864</v>
      </c>
      <c r="D4912" s="10" t="s">
        <v>6322</v>
      </c>
      <c r="E4912" s="10" t="s">
        <v>6323</v>
      </c>
      <c r="F4912" s="10" t="s">
        <v>4423</v>
      </c>
      <c r="G4912" s="10" t="s">
        <v>6317</v>
      </c>
      <c r="H4912" s="11">
        <v>41554</v>
      </c>
      <c r="I4912" s="10">
        <v>2013</v>
      </c>
      <c r="J4912" s="10" t="s">
        <v>6324</v>
      </c>
      <c r="K4912" s="10">
        <v>338</v>
      </c>
      <c r="L4912" s="10" t="s">
        <v>26202</v>
      </c>
      <c r="M4912" s="10">
        <v>1</v>
      </c>
      <c r="N4912" s="10"/>
      <c r="O4912" s="10"/>
      <c r="P4912" s="10" t="s">
        <v>26203</v>
      </c>
      <c r="Q4912" s="10">
        <v>378.12</v>
      </c>
      <c r="R4912" s="10" t="s">
        <v>8224</v>
      </c>
      <c r="S4912" s="10" t="s">
        <v>53</v>
      </c>
      <c r="T4912" s="10" t="s">
        <v>54</v>
      </c>
    </row>
    <row r="4913" spans="1:20" ht="14.5" x14ac:dyDescent="0.35">
      <c r="A4913" s="10" t="s">
        <v>26204</v>
      </c>
      <c r="B4913" s="10" t="str">
        <f>"9781782382324"</f>
        <v>9781782382324</v>
      </c>
      <c r="C4913" s="10" t="str">
        <f>"9781782382331"</f>
        <v>9781782382331</v>
      </c>
      <c r="D4913" s="10" t="s">
        <v>21315</v>
      </c>
      <c r="E4913" s="10" t="s">
        <v>21316</v>
      </c>
      <c r="F4913" s="10" t="s">
        <v>13068</v>
      </c>
      <c r="G4913" s="10" t="s">
        <v>6317</v>
      </c>
      <c r="H4913" s="11">
        <v>41640</v>
      </c>
      <c r="I4913" s="10">
        <v>2014</v>
      </c>
      <c r="J4913" s="10" t="s">
        <v>21316</v>
      </c>
      <c r="K4913" s="10">
        <v>236</v>
      </c>
      <c r="L4913" s="10" t="s">
        <v>18983</v>
      </c>
      <c r="M4913" s="10">
        <v>1</v>
      </c>
      <c r="N4913" s="10"/>
      <c r="O4913" s="10"/>
      <c r="P4913" s="10" t="s">
        <v>26205</v>
      </c>
      <c r="Q4913" s="10">
        <v>306.43209539999998</v>
      </c>
      <c r="R4913" s="10" t="s">
        <v>26206</v>
      </c>
      <c r="S4913" s="10" t="s">
        <v>53</v>
      </c>
      <c r="T4913" s="10" t="s">
        <v>6526</v>
      </c>
    </row>
    <row r="4914" spans="1:20" ht="14.5" x14ac:dyDescent="0.35">
      <c r="A4914" s="10" t="s">
        <v>26207</v>
      </c>
      <c r="B4914" s="10" t="str">
        <f>"9781782382669"</f>
        <v>9781782382669</v>
      </c>
      <c r="C4914" s="10" t="str">
        <f>"9781782382676"</f>
        <v>9781782382676</v>
      </c>
      <c r="D4914" s="10" t="s">
        <v>21315</v>
      </c>
      <c r="E4914" s="10" t="s">
        <v>21316</v>
      </c>
      <c r="F4914" s="10" t="s">
        <v>13068</v>
      </c>
      <c r="G4914" s="10" t="s">
        <v>6317</v>
      </c>
      <c r="H4914" s="11">
        <v>41699</v>
      </c>
      <c r="I4914" s="10">
        <v>2014</v>
      </c>
      <c r="J4914" s="10" t="s">
        <v>21316</v>
      </c>
      <c r="K4914" s="10">
        <v>261</v>
      </c>
      <c r="L4914" s="10" t="s">
        <v>26208</v>
      </c>
      <c r="M4914" s="10">
        <v>1</v>
      </c>
      <c r="N4914" s="10"/>
      <c r="O4914" s="10"/>
      <c r="P4914" s="10" t="s">
        <v>26209</v>
      </c>
      <c r="Q4914" s="10">
        <v>378.01620000000003</v>
      </c>
      <c r="R4914" s="10" t="s">
        <v>26210</v>
      </c>
      <c r="S4914" s="10" t="s">
        <v>53</v>
      </c>
      <c r="T4914" s="10" t="s">
        <v>54</v>
      </c>
    </row>
    <row r="4915" spans="1:20" ht="14.5" x14ac:dyDescent="0.35">
      <c r="A4915" s="10" t="s">
        <v>26211</v>
      </c>
      <c r="B4915" s="10" t="str">
        <f>"9780253010551"</f>
        <v>9780253010551</v>
      </c>
      <c r="C4915" s="10" t="str">
        <f>"9780253010711"</f>
        <v>9780253010711</v>
      </c>
      <c r="D4915" s="10" t="s">
        <v>6358</v>
      </c>
      <c r="E4915" s="10" t="s">
        <v>2455</v>
      </c>
      <c r="F4915" s="10" t="s">
        <v>3101</v>
      </c>
      <c r="G4915" s="10" t="s">
        <v>6317</v>
      </c>
      <c r="H4915" s="11">
        <v>41569</v>
      </c>
      <c r="I4915" s="10">
        <v>2013</v>
      </c>
      <c r="J4915" s="10" t="s">
        <v>2455</v>
      </c>
      <c r="K4915" s="10">
        <v>416</v>
      </c>
      <c r="L4915" s="10" t="s">
        <v>26212</v>
      </c>
      <c r="M4915" s="10">
        <v>1</v>
      </c>
      <c r="N4915" s="10"/>
      <c r="O4915" s="10"/>
      <c r="P4915" s="10" t="s">
        <v>26213</v>
      </c>
      <c r="Q4915" s="10">
        <v>378.15499999999997</v>
      </c>
      <c r="R4915" s="10" t="s">
        <v>26214</v>
      </c>
      <c r="S4915" s="10" t="s">
        <v>53</v>
      </c>
      <c r="T4915" s="10" t="s">
        <v>54</v>
      </c>
    </row>
    <row r="4916" spans="1:20" ht="14.5" x14ac:dyDescent="0.35">
      <c r="A4916" s="10" t="s">
        <v>26215</v>
      </c>
      <c r="B4916" s="10" t="str">
        <f>"9780761853503"</f>
        <v>9780761853503</v>
      </c>
      <c r="C4916" s="10" t="str">
        <f>"9780761853510"</f>
        <v>9780761853510</v>
      </c>
      <c r="D4916" s="10" t="s">
        <v>9752</v>
      </c>
      <c r="E4916" s="10" t="s">
        <v>17167</v>
      </c>
      <c r="F4916" s="10" t="s">
        <v>9754</v>
      </c>
      <c r="G4916" s="10" t="s">
        <v>6317</v>
      </c>
      <c r="H4916" s="11">
        <v>41075</v>
      </c>
      <c r="I4916" s="10">
        <v>2012</v>
      </c>
      <c r="J4916" s="10" t="s">
        <v>17167</v>
      </c>
      <c r="K4916" s="10">
        <v>233</v>
      </c>
      <c r="L4916" s="10" t="s">
        <v>26216</v>
      </c>
      <c r="M4916" s="10">
        <v>1</v>
      </c>
      <c r="N4916" s="10"/>
      <c r="O4916" s="10"/>
      <c r="P4916" s="10"/>
      <c r="Q4916" s="10"/>
      <c r="R4916" s="10" t="s">
        <v>26217</v>
      </c>
      <c r="S4916" s="10" t="s">
        <v>53</v>
      </c>
      <c r="T4916" s="10" t="s">
        <v>26218</v>
      </c>
    </row>
    <row r="4917" spans="1:20" ht="14.5" x14ac:dyDescent="0.35">
      <c r="A4917" s="10" t="s">
        <v>26219</v>
      </c>
      <c r="B4917" s="10" t="str">
        <f>"9781118130575"</f>
        <v>9781118130575</v>
      </c>
      <c r="C4917" s="10" t="str">
        <f>"9781118419106"</f>
        <v>9781118419106</v>
      </c>
      <c r="D4917" s="10" t="s">
        <v>6322</v>
      </c>
      <c r="E4917" s="10" t="s">
        <v>6323</v>
      </c>
      <c r="F4917" s="10" t="s">
        <v>4423</v>
      </c>
      <c r="G4917" s="10" t="s">
        <v>6317</v>
      </c>
      <c r="H4917" s="11">
        <v>41568</v>
      </c>
      <c r="I4917" s="10">
        <v>2014</v>
      </c>
      <c r="J4917" s="10" t="s">
        <v>6324</v>
      </c>
      <c r="K4917" s="10">
        <v>323</v>
      </c>
      <c r="L4917" s="10" t="s">
        <v>26220</v>
      </c>
      <c r="M4917" s="10">
        <v>1</v>
      </c>
      <c r="N4917" s="10"/>
      <c r="O4917" s="10"/>
      <c r="P4917" s="10" t="s">
        <v>26221</v>
      </c>
      <c r="Q4917" s="10">
        <v>374</v>
      </c>
      <c r="R4917" s="10" t="s">
        <v>26222</v>
      </c>
      <c r="S4917" s="10" t="s">
        <v>53</v>
      </c>
      <c r="T4917" s="10" t="s">
        <v>54</v>
      </c>
    </row>
    <row r="4918" spans="1:20" ht="14.5" x14ac:dyDescent="0.35">
      <c r="A4918" s="10" t="s">
        <v>26223</v>
      </c>
      <c r="B4918" s="10" t="str">
        <f>"9781118551141"</f>
        <v>9781118551141</v>
      </c>
      <c r="C4918" s="10" t="str">
        <f>"9781118584965"</f>
        <v>9781118584965</v>
      </c>
      <c r="D4918" s="10" t="s">
        <v>6322</v>
      </c>
      <c r="E4918" s="10" t="s">
        <v>6323</v>
      </c>
      <c r="F4918" s="10" t="s">
        <v>4423</v>
      </c>
      <c r="G4918" s="10" t="s">
        <v>6317</v>
      </c>
      <c r="H4918" s="11">
        <v>41554</v>
      </c>
      <c r="I4918" s="10">
        <v>2014</v>
      </c>
      <c r="J4918" s="10" t="s">
        <v>6324</v>
      </c>
      <c r="K4918" s="10">
        <v>334</v>
      </c>
      <c r="L4918" s="10" t="s">
        <v>26224</v>
      </c>
      <c r="M4918" s="10">
        <v>1</v>
      </c>
      <c r="N4918" s="10"/>
      <c r="O4918" s="10"/>
      <c r="P4918" s="10"/>
      <c r="Q4918" s="10">
        <v>378.19809729999997</v>
      </c>
      <c r="R4918" s="10" t="s">
        <v>26225</v>
      </c>
      <c r="S4918" s="10" t="s">
        <v>53</v>
      </c>
      <c r="T4918" s="10" t="s">
        <v>54</v>
      </c>
    </row>
    <row r="4919" spans="1:20" ht="14.5" x14ac:dyDescent="0.35">
      <c r="A4919" s="10" t="s">
        <v>26226</v>
      </c>
      <c r="B4919" s="10" t="str">
        <f>"9781118531709"</f>
        <v>9781118531709</v>
      </c>
      <c r="C4919" s="10" t="str">
        <f>"9781118642122"</f>
        <v>9781118642122</v>
      </c>
      <c r="D4919" s="10" t="s">
        <v>6322</v>
      </c>
      <c r="E4919" s="10" t="s">
        <v>6323</v>
      </c>
      <c r="F4919" s="10" t="s">
        <v>4423</v>
      </c>
      <c r="G4919" s="10" t="s">
        <v>6317</v>
      </c>
      <c r="H4919" s="11">
        <v>41568</v>
      </c>
      <c r="I4919" s="10">
        <v>2014</v>
      </c>
      <c r="J4919" s="10" t="s">
        <v>6324</v>
      </c>
      <c r="K4919" s="10">
        <v>162</v>
      </c>
      <c r="L4919" s="10" t="s">
        <v>26227</v>
      </c>
      <c r="M4919" s="10">
        <v>1</v>
      </c>
      <c r="N4919" s="10" t="s">
        <v>16630</v>
      </c>
      <c r="O4919" s="10"/>
      <c r="P4919" s="10" t="s">
        <v>26228</v>
      </c>
      <c r="Q4919" s="10">
        <v>371.33446780000003</v>
      </c>
      <c r="R4919" s="10" t="s">
        <v>11395</v>
      </c>
      <c r="S4919" s="10" t="s">
        <v>53</v>
      </c>
      <c r="T4919" s="10" t="s">
        <v>54</v>
      </c>
    </row>
    <row r="4920" spans="1:20" ht="14.5" x14ac:dyDescent="0.35">
      <c r="A4920" s="10" t="s">
        <v>26229</v>
      </c>
      <c r="B4920" s="10" t="str">
        <f>""</f>
        <v/>
      </c>
      <c r="C4920" s="10" t="str">
        <f>"9781118482797"</f>
        <v>9781118482797</v>
      </c>
      <c r="D4920" s="10" t="s">
        <v>6322</v>
      </c>
      <c r="E4920" s="10" t="s">
        <v>6323</v>
      </c>
      <c r="F4920" s="10" t="s">
        <v>4423</v>
      </c>
      <c r="G4920" s="10" t="s">
        <v>6317</v>
      </c>
      <c r="H4920" s="11">
        <v>41612</v>
      </c>
      <c r="I4920" s="10">
        <v>2013</v>
      </c>
      <c r="J4920" s="10" t="s">
        <v>8436</v>
      </c>
      <c r="K4920" s="10">
        <v>211</v>
      </c>
      <c r="L4920" s="10" t="s">
        <v>26230</v>
      </c>
      <c r="M4920" s="10">
        <v>1</v>
      </c>
      <c r="N4920" s="10" t="s">
        <v>26231</v>
      </c>
      <c r="O4920" s="10">
        <v>24</v>
      </c>
      <c r="P4920" s="10" t="s">
        <v>26232</v>
      </c>
      <c r="Q4920" s="10">
        <v>370</v>
      </c>
      <c r="R4920" s="10" t="s">
        <v>26233</v>
      </c>
      <c r="S4920" s="10" t="s">
        <v>53</v>
      </c>
      <c r="T4920" s="10" t="s">
        <v>54</v>
      </c>
    </row>
    <row r="4921" spans="1:20" ht="14.5" x14ac:dyDescent="0.35">
      <c r="A4921" s="10" t="s">
        <v>26234</v>
      </c>
      <c r="B4921" s="10" t="str">
        <f>"9781118770023"</f>
        <v>9781118770023</v>
      </c>
      <c r="C4921" s="10" t="str">
        <f>"9781118769980"</f>
        <v>9781118769980</v>
      </c>
      <c r="D4921" s="10" t="s">
        <v>6322</v>
      </c>
      <c r="E4921" s="10" t="s">
        <v>6323</v>
      </c>
      <c r="F4921" s="10" t="s">
        <v>13068</v>
      </c>
      <c r="G4921" s="10" t="s">
        <v>6317</v>
      </c>
      <c r="H4921" s="11">
        <v>41540</v>
      </c>
      <c r="I4921" s="10">
        <v>2013</v>
      </c>
      <c r="J4921" s="10" t="s">
        <v>6324</v>
      </c>
      <c r="K4921" s="10">
        <v>113</v>
      </c>
      <c r="L4921" s="10" t="s">
        <v>26235</v>
      </c>
      <c r="M4921" s="10">
        <v>1</v>
      </c>
      <c r="N4921" s="10" t="s">
        <v>25682</v>
      </c>
      <c r="O4921" s="10"/>
      <c r="P4921" s="10" t="s">
        <v>26236</v>
      </c>
      <c r="Q4921" s="10">
        <v>305.23086000000001</v>
      </c>
      <c r="R4921" s="10" t="s">
        <v>26237</v>
      </c>
      <c r="S4921" s="10" t="s">
        <v>53</v>
      </c>
      <c r="T4921" s="10" t="s">
        <v>6363</v>
      </c>
    </row>
    <row r="4922" spans="1:20" ht="14.5" x14ac:dyDescent="0.35">
      <c r="A4922" s="10" t="s">
        <v>26238</v>
      </c>
      <c r="B4922" s="10" t="str">
        <f>"9781118275481"</f>
        <v>9781118275481</v>
      </c>
      <c r="C4922" s="10" t="str">
        <f>"9781118419533"</f>
        <v>9781118419533</v>
      </c>
      <c r="D4922" s="10" t="s">
        <v>6322</v>
      </c>
      <c r="E4922" s="10" t="s">
        <v>6323</v>
      </c>
      <c r="F4922" s="10" t="s">
        <v>4423</v>
      </c>
      <c r="G4922" s="10" t="s">
        <v>6317</v>
      </c>
      <c r="H4922" s="11">
        <v>41554</v>
      </c>
      <c r="I4922" s="10">
        <v>2014</v>
      </c>
      <c r="J4922" s="10" t="s">
        <v>6324</v>
      </c>
      <c r="K4922" s="10">
        <v>354</v>
      </c>
      <c r="L4922" s="10" t="s">
        <v>26239</v>
      </c>
      <c r="M4922" s="10">
        <v>1</v>
      </c>
      <c r="N4922" s="10"/>
      <c r="O4922" s="10"/>
      <c r="P4922" s="10" t="s">
        <v>26240</v>
      </c>
      <c r="Q4922" s="10">
        <v>371.10199999999998</v>
      </c>
      <c r="R4922" s="10" t="s">
        <v>8224</v>
      </c>
      <c r="S4922" s="10" t="s">
        <v>53</v>
      </c>
      <c r="T4922" s="10" t="s">
        <v>54</v>
      </c>
    </row>
    <row r="4923" spans="1:20" ht="14.5" x14ac:dyDescent="0.35">
      <c r="A4923" s="10" t="s">
        <v>26241</v>
      </c>
      <c r="B4923" s="10" t="str">
        <f>"9781596670006"</f>
        <v>9781596670006</v>
      </c>
      <c r="C4923" s="10" t="str">
        <f>"9781317929871"</f>
        <v>9781317929871</v>
      </c>
      <c r="D4923" s="10" t="s">
        <v>6350</v>
      </c>
      <c r="E4923" s="10" t="s">
        <v>6351</v>
      </c>
      <c r="F4923" s="10" t="s">
        <v>139</v>
      </c>
      <c r="G4923" s="10" t="s">
        <v>6352</v>
      </c>
      <c r="H4923" s="11">
        <v>38408</v>
      </c>
      <c r="I4923" s="10">
        <v>2005</v>
      </c>
      <c r="J4923" s="10" t="s">
        <v>6353</v>
      </c>
      <c r="K4923" s="10">
        <v>128</v>
      </c>
      <c r="L4923" s="10" t="s">
        <v>26242</v>
      </c>
      <c r="M4923" s="10">
        <v>1</v>
      </c>
      <c r="N4923" s="10"/>
      <c r="O4923" s="10"/>
      <c r="P4923" s="10" t="s">
        <v>26243</v>
      </c>
      <c r="Q4923" s="10">
        <v>371.2</v>
      </c>
      <c r="R4923" s="10" t="s">
        <v>26244</v>
      </c>
      <c r="S4923" s="10" t="s">
        <v>53</v>
      </c>
      <c r="T4923" s="10" t="s">
        <v>54</v>
      </c>
    </row>
    <row r="4924" spans="1:20" ht="14.5" x14ac:dyDescent="0.35">
      <c r="A4924" s="10" t="s">
        <v>26245</v>
      </c>
      <c r="B4924" s="10" t="str">
        <f>"9781452260938"</f>
        <v>9781452260938</v>
      </c>
      <c r="C4924" s="10" t="str">
        <f>"9781452277608"</f>
        <v>9781452277608</v>
      </c>
      <c r="D4924" s="10" t="s">
        <v>22210</v>
      </c>
      <c r="E4924" s="10" t="s">
        <v>22211</v>
      </c>
      <c r="F4924" s="10" t="s">
        <v>333</v>
      </c>
      <c r="G4924" s="10" t="s">
        <v>6317</v>
      </c>
      <c r="H4924" s="11">
        <v>41528</v>
      </c>
      <c r="I4924" s="10">
        <v>2013</v>
      </c>
      <c r="J4924" s="10" t="s">
        <v>22211</v>
      </c>
      <c r="K4924" s="10">
        <v>289</v>
      </c>
      <c r="L4924" s="10" t="s">
        <v>26246</v>
      </c>
      <c r="M4924" s="10">
        <v>3</v>
      </c>
      <c r="N4924" s="10"/>
      <c r="O4924" s="10"/>
      <c r="P4924" s="10" t="s">
        <v>26247</v>
      </c>
      <c r="Q4924" s="10">
        <v>371.2</v>
      </c>
      <c r="R4924" s="10" t="s">
        <v>26248</v>
      </c>
      <c r="S4924" s="10" t="s">
        <v>53</v>
      </c>
      <c r="T4924" s="10" t="s">
        <v>54</v>
      </c>
    </row>
    <row r="4925" spans="1:20" ht="14.5" x14ac:dyDescent="0.35">
      <c r="A4925" s="10" t="s">
        <v>26249</v>
      </c>
      <c r="B4925" s="10" t="str">
        <f>"9781452255453"</f>
        <v>9781452255453</v>
      </c>
      <c r="C4925" s="10" t="str">
        <f>"9781483343860"</f>
        <v>9781483343860</v>
      </c>
      <c r="D4925" s="10" t="s">
        <v>22210</v>
      </c>
      <c r="E4925" s="10" t="s">
        <v>22211</v>
      </c>
      <c r="F4925" s="10" t="s">
        <v>333</v>
      </c>
      <c r="G4925" s="10" t="s">
        <v>6317</v>
      </c>
      <c r="H4925" s="11">
        <v>41528</v>
      </c>
      <c r="I4925" s="10">
        <v>2013</v>
      </c>
      <c r="J4925" s="10" t="s">
        <v>22211</v>
      </c>
      <c r="K4925" s="10">
        <v>305</v>
      </c>
      <c r="L4925" s="10" t="s">
        <v>26250</v>
      </c>
      <c r="M4925" s="10">
        <v>3</v>
      </c>
      <c r="N4925" s="10"/>
      <c r="O4925" s="10"/>
      <c r="P4925" s="10"/>
      <c r="Q4925" s="10"/>
      <c r="R4925" s="10" t="s">
        <v>26251</v>
      </c>
      <c r="S4925" s="10" t="s">
        <v>53</v>
      </c>
      <c r="T4925" s="10" t="s">
        <v>54</v>
      </c>
    </row>
    <row r="4926" spans="1:20" ht="14.5" x14ac:dyDescent="0.35">
      <c r="A4926" s="10" t="s">
        <v>26252</v>
      </c>
      <c r="B4926" s="10" t="str">
        <f>"9780415891004"</f>
        <v>9780415891004</v>
      </c>
      <c r="C4926" s="10" t="str">
        <f>"9781136706738"</f>
        <v>9781136706738</v>
      </c>
      <c r="D4926" s="10" t="s">
        <v>6350</v>
      </c>
      <c r="E4926" s="10" t="s">
        <v>6351</v>
      </c>
      <c r="F4926" s="10" t="s">
        <v>139</v>
      </c>
      <c r="G4926" s="10" t="s">
        <v>6352</v>
      </c>
      <c r="H4926" s="11">
        <v>41528</v>
      </c>
      <c r="I4926" s="10">
        <v>2013</v>
      </c>
      <c r="J4926" s="10" t="s">
        <v>6353</v>
      </c>
      <c r="K4926" s="10">
        <v>176</v>
      </c>
      <c r="L4926" s="10" t="s">
        <v>26253</v>
      </c>
      <c r="M4926" s="10">
        <v>1</v>
      </c>
      <c r="N4926" s="10"/>
      <c r="O4926" s="10"/>
      <c r="P4926" s="10" t="s">
        <v>26254</v>
      </c>
      <c r="Q4926" s="10">
        <v>370.8</v>
      </c>
      <c r="R4926" s="10" t="s">
        <v>26255</v>
      </c>
      <c r="S4926" s="10" t="s">
        <v>53</v>
      </c>
      <c r="T4926" s="10" t="s">
        <v>54</v>
      </c>
    </row>
    <row r="4927" spans="1:20" ht="14.5" x14ac:dyDescent="0.35">
      <c r="A4927" s="10" t="s">
        <v>26256</v>
      </c>
      <c r="B4927" s="10" t="str">
        <f>"9780415814874"</f>
        <v>9780415814874</v>
      </c>
      <c r="C4927" s="10" t="str">
        <f>"9781135076115"</f>
        <v>9781135076115</v>
      </c>
      <c r="D4927" s="10" t="s">
        <v>6350</v>
      </c>
      <c r="E4927" s="10" t="s">
        <v>6351</v>
      </c>
      <c r="F4927" s="10" t="s">
        <v>139</v>
      </c>
      <c r="G4927" s="10" t="s">
        <v>6352</v>
      </c>
      <c r="H4927" s="11">
        <v>41484</v>
      </c>
      <c r="I4927" s="10">
        <v>2013</v>
      </c>
      <c r="J4927" s="10" t="s">
        <v>6353</v>
      </c>
      <c r="K4927" s="10">
        <v>311</v>
      </c>
      <c r="L4927" s="10" t="s">
        <v>26257</v>
      </c>
      <c r="M4927" s="10">
        <v>1</v>
      </c>
      <c r="N4927" s="10" t="s">
        <v>6954</v>
      </c>
      <c r="O4927" s="10">
        <v>97</v>
      </c>
      <c r="P4927" s="10" t="s">
        <v>26258</v>
      </c>
      <c r="Q4927" s="10">
        <v>808.06691999999998</v>
      </c>
      <c r="R4927" s="10" t="s">
        <v>26259</v>
      </c>
      <c r="S4927" s="10" t="s">
        <v>53</v>
      </c>
      <c r="T4927" s="10" t="s">
        <v>8424</v>
      </c>
    </row>
    <row r="4928" spans="1:20" ht="14.5" x14ac:dyDescent="0.35">
      <c r="A4928" s="10" t="s">
        <v>26260</v>
      </c>
      <c r="B4928" s="10" t="str">
        <f>"9781412963305"</f>
        <v>9781412963305</v>
      </c>
      <c r="C4928" s="10" t="str">
        <f>"9781452209463"</f>
        <v>9781452209463</v>
      </c>
      <c r="D4928" s="10" t="s">
        <v>22210</v>
      </c>
      <c r="E4928" s="10" t="s">
        <v>22211</v>
      </c>
      <c r="F4928" s="10" t="s">
        <v>333</v>
      </c>
      <c r="G4928" s="10" t="s">
        <v>6317</v>
      </c>
      <c r="H4928" s="11">
        <v>39646</v>
      </c>
      <c r="I4928" s="10">
        <v>2009</v>
      </c>
      <c r="J4928" s="10" t="s">
        <v>22211</v>
      </c>
      <c r="K4928" s="10">
        <v>121</v>
      </c>
      <c r="L4928" s="10" t="s">
        <v>22232</v>
      </c>
      <c r="M4928" s="10">
        <v>1</v>
      </c>
      <c r="N4928" s="10"/>
      <c r="O4928" s="10"/>
      <c r="P4928" s="10" t="s">
        <v>26261</v>
      </c>
      <c r="Q4928" s="10">
        <v>371.10199999999998</v>
      </c>
      <c r="R4928" s="10"/>
      <c r="S4928" s="10" t="s">
        <v>53</v>
      </c>
      <c r="T4928" s="10" t="s">
        <v>54</v>
      </c>
    </row>
    <row r="4929" spans="1:20" ht="14.5" x14ac:dyDescent="0.35">
      <c r="A4929" s="10" t="s">
        <v>26262</v>
      </c>
      <c r="B4929" s="10" t="str">
        <f>"9781412959001"</f>
        <v>9781412959001</v>
      </c>
      <c r="C4929" s="10" t="str">
        <f>"9781452210650"</f>
        <v>9781452210650</v>
      </c>
      <c r="D4929" s="10" t="s">
        <v>22210</v>
      </c>
      <c r="E4929" s="10" t="s">
        <v>22211</v>
      </c>
      <c r="F4929" s="10" t="s">
        <v>333</v>
      </c>
      <c r="G4929" s="10" t="s">
        <v>6317</v>
      </c>
      <c r="H4929" s="11">
        <v>39392</v>
      </c>
      <c r="I4929" s="10">
        <v>2008</v>
      </c>
      <c r="J4929" s="10" t="s">
        <v>22211</v>
      </c>
      <c r="K4929" s="10">
        <v>329</v>
      </c>
      <c r="L4929" s="10" t="s">
        <v>26263</v>
      </c>
      <c r="M4929" s="10">
        <v>1</v>
      </c>
      <c r="N4929" s="10"/>
      <c r="O4929" s="10"/>
      <c r="P4929" s="10" t="s">
        <v>26264</v>
      </c>
      <c r="Q4929" s="10" t="s">
        <v>9954</v>
      </c>
      <c r="R4929" s="10"/>
      <c r="S4929" s="10" t="s">
        <v>53</v>
      </c>
      <c r="T4929" s="10" t="s">
        <v>54</v>
      </c>
    </row>
    <row r="4930" spans="1:20" ht="14.5" x14ac:dyDescent="0.35">
      <c r="A4930" s="10" t="s">
        <v>26265</v>
      </c>
      <c r="B4930" s="10" t="str">
        <f>"9781412968850"</f>
        <v>9781412968850</v>
      </c>
      <c r="C4930" s="10" t="str">
        <f>"9781452210902"</f>
        <v>9781452210902</v>
      </c>
      <c r="D4930" s="10" t="s">
        <v>22210</v>
      </c>
      <c r="E4930" s="10" t="s">
        <v>22211</v>
      </c>
      <c r="F4930" s="10" t="s">
        <v>333</v>
      </c>
      <c r="G4930" s="10" t="s">
        <v>6317</v>
      </c>
      <c r="H4930" s="11">
        <v>39763</v>
      </c>
      <c r="I4930" s="10">
        <v>2009</v>
      </c>
      <c r="J4930" s="10" t="s">
        <v>22211</v>
      </c>
      <c r="K4930" s="10">
        <v>369</v>
      </c>
      <c r="L4930" s="10" t="s">
        <v>26266</v>
      </c>
      <c r="M4930" s="10">
        <v>2</v>
      </c>
      <c r="N4930" s="10"/>
      <c r="O4930" s="10"/>
      <c r="P4930" s="10"/>
      <c r="Q4930" s="10">
        <v>371.39</v>
      </c>
      <c r="R4930" s="10"/>
      <c r="S4930" s="10" t="s">
        <v>53</v>
      </c>
      <c r="T4930" s="10" t="s">
        <v>54</v>
      </c>
    </row>
    <row r="4931" spans="1:20" ht="14.5" x14ac:dyDescent="0.35">
      <c r="A4931" s="10" t="s">
        <v>26267</v>
      </c>
      <c r="B4931" s="10" t="str">
        <f>"9781412969819"</f>
        <v>9781412969819</v>
      </c>
      <c r="C4931" s="10" t="str">
        <f>"9781452211022"</f>
        <v>9781452211022</v>
      </c>
      <c r="D4931" s="10" t="s">
        <v>22210</v>
      </c>
      <c r="E4931" s="10" t="s">
        <v>22211</v>
      </c>
      <c r="F4931" s="10" t="s">
        <v>333</v>
      </c>
      <c r="G4931" s="10" t="s">
        <v>6317</v>
      </c>
      <c r="H4931" s="11">
        <v>39801</v>
      </c>
      <c r="I4931" s="10">
        <v>2009</v>
      </c>
      <c r="J4931" s="10" t="s">
        <v>22211</v>
      </c>
      <c r="K4931" s="10">
        <v>241</v>
      </c>
      <c r="L4931" s="10" t="s">
        <v>23188</v>
      </c>
      <c r="M4931" s="10">
        <v>1</v>
      </c>
      <c r="N4931" s="10"/>
      <c r="O4931" s="10"/>
      <c r="P4931" s="10" t="s">
        <v>26268</v>
      </c>
      <c r="Q4931" s="10">
        <v>372.12700000000001</v>
      </c>
      <c r="R4931" s="10"/>
      <c r="S4931" s="10" t="s">
        <v>53</v>
      </c>
      <c r="T4931" s="10" t="s">
        <v>54</v>
      </c>
    </row>
    <row r="4932" spans="1:20" ht="14.5" x14ac:dyDescent="0.35">
      <c r="A4932" s="10" t="s">
        <v>26269</v>
      </c>
      <c r="B4932" s="10" t="str">
        <f>"9781412958158"</f>
        <v>9781412958158</v>
      </c>
      <c r="C4932" s="10" t="str">
        <f>"9781452211053"</f>
        <v>9781452211053</v>
      </c>
      <c r="D4932" s="10" t="s">
        <v>22210</v>
      </c>
      <c r="E4932" s="10" t="s">
        <v>22211</v>
      </c>
      <c r="F4932" s="10" t="s">
        <v>333</v>
      </c>
      <c r="G4932" s="10" t="s">
        <v>6317</v>
      </c>
      <c r="H4932" s="11">
        <v>39597</v>
      </c>
      <c r="I4932" s="10">
        <v>2008</v>
      </c>
      <c r="J4932" s="10" t="s">
        <v>22211</v>
      </c>
      <c r="K4932" s="10">
        <v>153</v>
      </c>
      <c r="L4932" s="10" t="s">
        <v>26270</v>
      </c>
      <c r="M4932" s="10">
        <v>2</v>
      </c>
      <c r="N4932" s="10"/>
      <c r="O4932" s="10"/>
      <c r="P4932" s="10" t="s">
        <v>26271</v>
      </c>
      <c r="Q4932" s="10"/>
      <c r="R4932" s="10"/>
      <c r="S4932" s="10" t="s">
        <v>53</v>
      </c>
      <c r="T4932" s="10" t="s">
        <v>54</v>
      </c>
    </row>
    <row r="4933" spans="1:20" ht="14.5" x14ac:dyDescent="0.35">
      <c r="A4933" s="10" t="s">
        <v>26272</v>
      </c>
      <c r="B4933" s="10" t="str">
        <f>"9781412939294"</f>
        <v>9781412939294</v>
      </c>
      <c r="C4933" s="10" t="str">
        <f>"9781452214986"</f>
        <v>9781452214986</v>
      </c>
      <c r="D4933" s="10" t="s">
        <v>22210</v>
      </c>
      <c r="E4933" s="10" t="s">
        <v>22211</v>
      </c>
      <c r="F4933" s="10" t="s">
        <v>333</v>
      </c>
      <c r="G4933" s="10" t="s">
        <v>6317</v>
      </c>
      <c r="H4933" s="11">
        <v>39750</v>
      </c>
      <c r="I4933" s="10">
        <v>2009</v>
      </c>
      <c r="J4933" s="10" t="s">
        <v>22211</v>
      </c>
      <c r="K4933" s="10">
        <v>201</v>
      </c>
      <c r="L4933" s="10" t="s">
        <v>26273</v>
      </c>
      <c r="M4933" s="10">
        <v>1</v>
      </c>
      <c r="N4933" s="10"/>
      <c r="O4933" s="10"/>
      <c r="P4933" s="10"/>
      <c r="Q4933" s="10" t="s">
        <v>11190</v>
      </c>
      <c r="R4933" s="10"/>
      <c r="S4933" s="10" t="s">
        <v>53</v>
      </c>
      <c r="T4933" s="10" t="s">
        <v>6363</v>
      </c>
    </row>
    <row r="4934" spans="1:20" ht="14.5" x14ac:dyDescent="0.35">
      <c r="A4934" s="10" t="s">
        <v>26274</v>
      </c>
      <c r="B4934" s="10" t="str">
        <f>"9780809330850"</f>
        <v>9780809330850</v>
      </c>
      <c r="C4934" s="10" t="str">
        <f>"9780809330867"</f>
        <v>9780809330867</v>
      </c>
      <c r="D4934" s="10" t="s">
        <v>26036</v>
      </c>
      <c r="E4934" s="10" t="s">
        <v>26036</v>
      </c>
      <c r="F4934" s="10" t="s">
        <v>2236</v>
      </c>
      <c r="G4934" s="10" t="s">
        <v>6317</v>
      </c>
      <c r="H4934" s="11">
        <v>41011</v>
      </c>
      <c r="I4934" s="10">
        <v>2012</v>
      </c>
      <c r="J4934" s="10" t="s">
        <v>26036</v>
      </c>
      <c r="K4934" s="10">
        <v>281</v>
      </c>
      <c r="L4934" s="10" t="s">
        <v>26275</v>
      </c>
      <c r="M4934" s="10">
        <v>1</v>
      </c>
      <c r="N4934" s="10"/>
      <c r="O4934" s="10"/>
      <c r="P4934" s="10" t="s">
        <v>26276</v>
      </c>
      <c r="Q4934" s="10" t="s">
        <v>9527</v>
      </c>
      <c r="R4934" s="10" t="s">
        <v>26277</v>
      </c>
      <c r="S4934" s="10" t="s">
        <v>53</v>
      </c>
      <c r="T4934" s="10" t="s">
        <v>6526</v>
      </c>
    </row>
    <row r="4935" spans="1:20" ht="14.5" x14ac:dyDescent="0.35">
      <c r="A4935" s="10" t="s">
        <v>26278</v>
      </c>
      <c r="B4935" s="10" t="str">
        <f>"9781608051793"</f>
        <v>9781608051793</v>
      </c>
      <c r="C4935" s="10" t="str">
        <f>"9781608051762"</f>
        <v>9781608051762</v>
      </c>
      <c r="D4935" s="10" t="s">
        <v>21815</v>
      </c>
      <c r="E4935" s="10" t="s">
        <v>21815</v>
      </c>
      <c r="F4935" s="10" t="s">
        <v>21816</v>
      </c>
      <c r="G4935" s="10" t="s">
        <v>21817</v>
      </c>
      <c r="H4935" s="11">
        <v>41488</v>
      </c>
      <c r="I4935" s="10">
        <v>2013</v>
      </c>
      <c r="J4935" s="10" t="s">
        <v>21815</v>
      </c>
      <c r="K4935" s="10">
        <v>309</v>
      </c>
      <c r="L4935" s="10" t="s">
        <v>26279</v>
      </c>
      <c r="M4935" s="10">
        <v>1</v>
      </c>
      <c r="N4935" s="10"/>
      <c r="O4935" s="10"/>
      <c r="P4935" s="10" t="s">
        <v>26280</v>
      </c>
      <c r="Q4935" s="10">
        <v>371.9</v>
      </c>
      <c r="R4935" s="10" t="s">
        <v>17826</v>
      </c>
      <c r="S4935" s="10" t="s">
        <v>53</v>
      </c>
      <c r="T4935" s="10" t="s">
        <v>54</v>
      </c>
    </row>
    <row r="4936" spans="1:20" ht="14.5" x14ac:dyDescent="0.35">
      <c r="A4936" s="10" t="s">
        <v>26281</v>
      </c>
      <c r="B4936" s="10" t="str">
        <f>"9781416615729"</f>
        <v>9781416615729</v>
      </c>
      <c r="C4936" s="10" t="str">
        <f>"9781416617235"</f>
        <v>9781416617235</v>
      </c>
      <c r="D4936" s="10" t="s">
        <v>10014</v>
      </c>
      <c r="E4936" s="10" t="s">
        <v>10015</v>
      </c>
      <c r="F4936" s="10" t="s">
        <v>201</v>
      </c>
      <c r="G4936" s="10" t="s">
        <v>6317</v>
      </c>
      <c r="H4936" s="11">
        <v>41516</v>
      </c>
      <c r="I4936" s="10">
        <v>2013</v>
      </c>
      <c r="J4936" s="10" t="s">
        <v>10015</v>
      </c>
      <c r="K4936" s="10">
        <v>212</v>
      </c>
      <c r="L4936" s="10" t="s">
        <v>26282</v>
      </c>
      <c r="M4936" s="10">
        <v>1</v>
      </c>
      <c r="N4936" s="10"/>
      <c r="O4936" s="10"/>
      <c r="P4936" s="10" t="s">
        <v>26283</v>
      </c>
      <c r="Q4936" s="10" t="s">
        <v>21663</v>
      </c>
      <c r="R4936" s="10" t="s">
        <v>26284</v>
      </c>
      <c r="S4936" s="10" t="s">
        <v>53</v>
      </c>
      <c r="T4936" s="10" t="s">
        <v>54</v>
      </c>
    </row>
    <row r="4937" spans="1:20" ht="14.5" x14ac:dyDescent="0.35">
      <c r="A4937" s="10" t="s">
        <v>26285</v>
      </c>
      <c r="B4937" s="10" t="str">
        <f>"9781416616016"</f>
        <v>9781416616016</v>
      </c>
      <c r="C4937" s="10" t="str">
        <f>"9781416617297"</f>
        <v>9781416617297</v>
      </c>
      <c r="D4937" s="10" t="s">
        <v>10014</v>
      </c>
      <c r="E4937" s="10" t="s">
        <v>10015</v>
      </c>
      <c r="F4937" s="10" t="s">
        <v>201</v>
      </c>
      <c r="G4937" s="10" t="s">
        <v>6317</v>
      </c>
      <c r="H4937" s="11">
        <v>41516</v>
      </c>
      <c r="I4937" s="10">
        <v>2013</v>
      </c>
      <c r="J4937" s="10" t="s">
        <v>10015</v>
      </c>
      <c r="K4937" s="10">
        <v>256</v>
      </c>
      <c r="L4937" s="10" t="s">
        <v>26286</v>
      </c>
      <c r="M4937" s="10">
        <v>1</v>
      </c>
      <c r="N4937" s="10"/>
      <c r="O4937" s="10"/>
      <c r="P4937" s="10" t="s">
        <v>26287</v>
      </c>
      <c r="Q4937" s="10">
        <v>371.10199999999998</v>
      </c>
      <c r="R4937" s="10" t="s">
        <v>26288</v>
      </c>
      <c r="S4937" s="10" t="s">
        <v>53</v>
      </c>
      <c r="T4937" s="10" t="s">
        <v>54</v>
      </c>
    </row>
    <row r="4938" spans="1:20" ht="14.5" x14ac:dyDescent="0.35">
      <c r="A4938" s="10" t="s">
        <v>26289</v>
      </c>
      <c r="B4938" s="10" t="str">
        <f>"9781416616283"</f>
        <v>9781416616283</v>
      </c>
      <c r="C4938" s="10" t="str">
        <f>"9781416617327"</f>
        <v>9781416617327</v>
      </c>
      <c r="D4938" s="10" t="s">
        <v>10014</v>
      </c>
      <c r="E4938" s="10" t="s">
        <v>10015</v>
      </c>
      <c r="F4938" s="10" t="s">
        <v>201</v>
      </c>
      <c r="G4938" s="10" t="s">
        <v>6317</v>
      </c>
      <c r="H4938" s="11">
        <v>41516</v>
      </c>
      <c r="I4938" s="10">
        <v>2013</v>
      </c>
      <c r="J4938" s="10" t="s">
        <v>10015</v>
      </c>
      <c r="K4938" s="10">
        <v>155</v>
      </c>
      <c r="L4938" s="10" t="s">
        <v>26290</v>
      </c>
      <c r="M4938" s="10">
        <v>1</v>
      </c>
      <c r="N4938" s="10"/>
      <c r="O4938" s="10"/>
      <c r="P4938" s="10" t="s">
        <v>26291</v>
      </c>
      <c r="Q4938" s="10" t="s">
        <v>10213</v>
      </c>
      <c r="R4938" s="10" t="s">
        <v>26292</v>
      </c>
      <c r="S4938" s="10" t="s">
        <v>53</v>
      </c>
      <c r="T4938" s="10" t="s">
        <v>54</v>
      </c>
    </row>
    <row r="4939" spans="1:20" ht="14.5" x14ac:dyDescent="0.35">
      <c r="A4939" s="10" t="s">
        <v>26293</v>
      </c>
      <c r="B4939" s="10" t="str">
        <f>"9781474228176"</f>
        <v>9781474228176</v>
      </c>
      <c r="C4939" s="10" t="str">
        <f>"9781441108913"</f>
        <v>9781441108913</v>
      </c>
      <c r="D4939" s="10" t="s">
        <v>13959</v>
      </c>
      <c r="E4939" s="10" t="s">
        <v>13960</v>
      </c>
      <c r="F4939" s="10" t="s">
        <v>139</v>
      </c>
      <c r="G4939" s="10" t="s">
        <v>6352</v>
      </c>
      <c r="H4939" s="11">
        <v>41606</v>
      </c>
      <c r="I4939" s="10">
        <v>2013</v>
      </c>
      <c r="J4939" s="10" t="s">
        <v>14057</v>
      </c>
      <c r="K4939" s="10">
        <v>225</v>
      </c>
      <c r="L4939" s="10" t="s">
        <v>26294</v>
      </c>
      <c r="M4939" s="10">
        <v>1</v>
      </c>
      <c r="N4939" s="10"/>
      <c r="O4939" s="10"/>
      <c r="P4939" s="10" t="s">
        <v>26295</v>
      </c>
      <c r="Q4939" s="10">
        <v>370.15230000000003</v>
      </c>
      <c r="R4939" s="10" t="s">
        <v>24506</v>
      </c>
      <c r="S4939" s="10" t="s">
        <v>53</v>
      </c>
      <c r="T4939" s="10" t="s">
        <v>54</v>
      </c>
    </row>
    <row r="4940" spans="1:20" ht="14.5" x14ac:dyDescent="0.35">
      <c r="A4940" s="10" t="s">
        <v>26296</v>
      </c>
      <c r="B4940" s="10" t="str">
        <f>"9781782160243"</f>
        <v>9781782160243</v>
      </c>
      <c r="C4940" s="10" t="str">
        <f>"9781782160250"</f>
        <v>9781782160250</v>
      </c>
      <c r="D4940" s="10" t="s">
        <v>21162</v>
      </c>
      <c r="E4940" s="10" t="s">
        <v>21163</v>
      </c>
      <c r="F4940" s="10" t="s">
        <v>1939</v>
      </c>
      <c r="G4940" s="10" t="s">
        <v>6352</v>
      </c>
      <c r="H4940" s="11">
        <v>41512</v>
      </c>
      <c r="I4940" s="10">
        <v>2013</v>
      </c>
      <c r="J4940" s="10" t="s">
        <v>21163</v>
      </c>
      <c r="K4940" s="10">
        <v>216</v>
      </c>
      <c r="L4940" s="10" t="s">
        <v>26297</v>
      </c>
      <c r="M4940" s="10">
        <v>1</v>
      </c>
      <c r="N4940" s="10"/>
      <c r="O4940" s="10"/>
      <c r="P4940" s="10" t="s">
        <v>26298</v>
      </c>
      <c r="Q4940" s="10">
        <v>620.00419999999997</v>
      </c>
      <c r="R4940" s="10" t="s">
        <v>26299</v>
      </c>
      <c r="S4940" s="10" t="s">
        <v>53</v>
      </c>
      <c r="T4940" s="10" t="s">
        <v>26300</v>
      </c>
    </row>
    <row r="4941" spans="1:20" ht="14.5" x14ac:dyDescent="0.35">
      <c r="A4941" s="10" t="s">
        <v>26301</v>
      </c>
      <c r="B4941" s="10" t="str">
        <f>"9781782164388"</f>
        <v>9781782164388</v>
      </c>
      <c r="C4941" s="10" t="str">
        <f>"9781782164395"</f>
        <v>9781782164395</v>
      </c>
      <c r="D4941" s="10" t="s">
        <v>21162</v>
      </c>
      <c r="E4941" s="10" t="s">
        <v>21163</v>
      </c>
      <c r="F4941" s="10" t="s">
        <v>1939</v>
      </c>
      <c r="G4941" s="10" t="s">
        <v>6352</v>
      </c>
      <c r="H4941" s="11">
        <v>41542</v>
      </c>
      <c r="I4941" s="10">
        <v>2013</v>
      </c>
      <c r="J4941" s="10" t="s">
        <v>21163</v>
      </c>
      <c r="K4941" s="10">
        <v>293</v>
      </c>
      <c r="L4941" s="10" t="s">
        <v>26302</v>
      </c>
      <c r="M4941" s="10">
        <v>1</v>
      </c>
      <c r="N4941" s="10"/>
      <c r="O4941" s="10"/>
      <c r="P4941" s="10" t="s">
        <v>26303</v>
      </c>
      <c r="Q4941" s="10">
        <v>371.334</v>
      </c>
      <c r="R4941" s="10" t="s">
        <v>26304</v>
      </c>
      <c r="S4941" s="10" t="s">
        <v>53</v>
      </c>
      <c r="T4941" s="10" t="s">
        <v>54</v>
      </c>
    </row>
    <row r="4942" spans="1:20" ht="14.5" x14ac:dyDescent="0.35">
      <c r="A4942" s="10" t="s">
        <v>26305</v>
      </c>
      <c r="B4942" s="10" t="str">
        <f>"9781849696005"</f>
        <v>9781849696005</v>
      </c>
      <c r="C4942" s="10" t="str">
        <f>"9781849696012"</f>
        <v>9781849696012</v>
      </c>
      <c r="D4942" s="10" t="s">
        <v>21162</v>
      </c>
      <c r="E4942" s="10" t="s">
        <v>21163</v>
      </c>
      <c r="F4942" s="10" t="s">
        <v>1939</v>
      </c>
      <c r="G4942" s="10" t="s">
        <v>6352</v>
      </c>
      <c r="H4942" s="11">
        <v>41542</v>
      </c>
      <c r="I4942" s="10">
        <v>2013</v>
      </c>
      <c r="J4942" s="10" t="s">
        <v>21163</v>
      </c>
      <c r="K4942" s="10">
        <v>168</v>
      </c>
      <c r="L4942" s="10" t="s">
        <v>26306</v>
      </c>
      <c r="M4942" s="10">
        <v>1</v>
      </c>
      <c r="N4942" s="10"/>
      <c r="O4942" s="10"/>
      <c r="P4942" s="10" t="s">
        <v>26307</v>
      </c>
      <c r="Q4942" s="10">
        <v>794.81527619999997</v>
      </c>
      <c r="R4942" s="10" t="s">
        <v>26308</v>
      </c>
      <c r="S4942" s="10" t="s">
        <v>53</v>
      </c>
      <c r="T4942" s="10" t="s">
        <v>7340</v>
      </c>
    </row>
    <row r="4943" spans="1:20" ht="14.5" x14ac:dyDescent="0.35">
      <c r="A4943" s="10" t="s">
        <v>26309</v>
      </c>
      <c r="B4943" s="10" t="str">
        <f>"9781118770108"</f>
        <v>9781118770108</v>
      </c>
      <c r="C4943" s="10" t="str">
        <f>"9781118770085"</f>
        <v>9781118770085</v>
      </c>
      <c r="D4943" s="10" t="s">
        <v>6322</v>
      </c>
      <c r="E4943" s="10" t="s">
        <v>6323</v>
      </c>
      <c r="F4943" s="10" t="s">
        <v>6339</v>
      </c>
      <c r="G4943" s="10" t="s">
        <v>6317</v>
      </c>
      <c r="H4943" s="11">
        <v>41554</v>
      </c>
      <c r="I4943" s="10">
        <v>2013</v>
      </c>
      <c r="J4943" s="10" t="s">
        <v>6324</v>
      </c>
      <c r="K4943" s="10">
        <v>114</v>
      </c>
      <c r="L4943" s="10" t="s">
        <v>26310</v>
      </c>
      <c r="M4943" s="10">
        <v>1</v>
      </c>
      <c r="N4943" s="10" t="s">
        <v>20712</v>
      </c>
      <c r="O4943" s="10">
        <v>135</v>
      </c>
      <c r="P4943" s="10" t="s">
        <v>26311</v>
      </c>
      <c r="Q4943" s="10">
        <v>374</v>
      </c>
      <c r="R4943" s="10" t="s">
        <v>26312</v>
      </c>
      <c r="S4943" s="10" t="s">
        <v>53</v>
      </c>
      <c r="T4943" s="10" t="s">
        <v>54</v>
      </c>
    </row>
    <row r="4944" spans="1:20" ht="14.5" x14ac:dyDescent="0.35">
      <c r="A4944" s="10" t="s">
        <v>26313</v>
      </c>
      <c r="B4944" s="10" t="str">
        <f>"9781118806982"</f>
        <v>9781118806982</v>
      </c>
      <c r="C4944" s="10" t="str">
        <f>"9781118812044"</f>
        <v>9781118812044</v>
      </c>
      <c r="D4944" s="10" t="s">
        <v>6322</v>
      </c>
      <c r="E4944" s="10" t="s">
        <v>6323</v>
      </c>
      <c r="F4944" s="10" t="s">
        <v>13068</v>
      </c>
      <c r="G4944" s="10" t="s">
        <v>6317</v>
      </c>
      <c r="H4944" s="11">
        <v>41554</v>
      </c>
      <c r="I4944" s="10">
        <v>2013</v>
      </c>
      <c r="J4944" s="10" t="s">
        <v>6324</v>
      </c>
      <c r="K4944" s="10">
        <v>117</v>
      </c>
      <c r="L4944" s="10" t="s">
        <v>26314</v>
      </c>
      <c r="M4944" s="10">
        <v>2</v>
      </c>
      <c r="N4944" s="10" t="s">
        <v>22922</v>
      </c>
      <c r="O4944" s="10">
        <v>162</v>
      </c>
      <c r="P4944" s="10" t="s">
        <v>26315</v>
      </c>
      <c r="Q4944" s="10">
        <v>378.15499999999997</v>
      </c>
      <c r="R4944" s="10" t="s">
        <v>26316</v>
      </c>
      <c r="S4944" s="10" t="s">
        <v>53</v>
      </c>
      <c r="T4944" s="10" t="s">
        <v>54</v>
      </c>
    </row>
    <row r="4945" spans="1:20" ht="14.5" x14ac:dyDescent="0.35">
      <c r="A4945" s="10" t="s">
        <v>26317</v>
      </c>
      <c r="B4945" s="10" t="str">
        <f>"9781118124253"</f>
        <v>9781118124253</v>
      </c>
      <c r="C4945" s="10" t="str">
        <f>"9781118419014"</f>
        <v>9781118419014</v>
      </c>
      <c r="D4945" s="10" t="s">
        <v>6322</v>
      </c>
      <c r="E4945" s="10" t="s">
        <v>6323</v>
      </c>
      <c r="F4945" s="10" t="s">
        <v>4423</v>
      </c>
      <c r="G4945" s="10" t="s">
        <v>6317</v>
      </c>
      <c r="H4945" s="11">
        <v>41512</v>
      </c>
      <c r="I4945" s="10">
        <v>2013</v>
      </c>
      <c r="J4945" s="10" t="s">
        <v>6324</v>
      </c>
      <c r="K4945" s="10">
        <v>354</v>
      </c>
      <c r="L4945" s="10" t="s">
        <v>26318</v>
      </c>
      <c r="M4945" s="10">
        <v>2</v>
      </c>
      <c r="N4945" s="10"/>
      <c r="O4945" s="10"/>
      <c r="P4945" s="10"/>
      <c r="Q4945" s="10" t="s">
        <v>8223</v>
      </c>
      <c r="R4945" s="10" t="s">
        <v>26319</v>
      </c>
      <c r="S4945" s="10" t="s">
        <v>53</v>
      </c>
      <c r="T4945" s="10" t="s">
        <v>54</v>
      </c>
    </row>
    <row r="4946" spans="1:20" ht="14.5" x14ac:dyDescent="0.35">
      <c r="A4946" s="10" t="s">
        <v>26320</v>
      </c>
      <c r="B4946" s="10" t="str">
        <f>"9783486741858"</f>
        <v>9783486741858</v>
      </c>
      <c r="C4946" s="10" t="str">
        <f>"9783486781274"</f>
        <v>9783486781274</v>
      </c>
      <c r="D4946" s="10" t="s">
        <v>9995</v>
      </c>
      <c r="E4946" s="10" t="s">
        <v>2515</v>
      </c>
      <c r="F4946" s="10" t="s">
        <v>26321</v>
      </c>
      <c r="G4946" s="10" t="s">
        <v>9998</v>
      </c>
      <c r="H4946" s="11">
        <v>41564</v>
      </c>
      <c r="I4946" s="10">
        <v>2013</v>
      </c>
      <c r="J4946" s="10" t="s">
        <v>2515</v>
      </c>
      <c r="K4946" s="10">
        <v>201</v>
      </c>
      <c r="L4946" s="10" t="s">
        <v>26322</v>
      </c>
      <c r="M4946" s="10">
        <v>1</v>
      </c>
      <c r="N4946" s="10"/>
      <c r="O4946" s="10"/>
      <c r="P4946" s="10" t="s">
        <v>7969</v>
      </c>
      <c r="Q4946" s="10"/>
      <c r="R4946" s="10" t="s">
        <v>26323</v>
      </c>
      <c r="S4946" s="10" t="s">
        <v>53</v>
      </c>
      <c r="T4946" s="10" t="s">
        <v>54</v>
      </c>
    </row>
    <row r="4947" spans="1:20" ht="14.5" x14ac:dyDescent="0.35">
      <c r="A4947" s="10" t="s">
        <v>26324</v>
      </c>
      <c r="B4947" s="10" t="str">
        <f>"9781781906941"</f>
        <v>9781781906941</v>
      </c>
      <c r="C4947" s="10" t="str">
        <f>"9781781906958"</f>
        <v>9781781906958</v>
      </c>
      <c r="D4947" s="10" t="s">
        <v>8699</v>
      </c>
      <c r="E4947" s="10" t="s">
        <v>8699</v>
      </c>
      <c r="F4947" s="10" t="s">
        <v>559</v>
      </c>
      <c r="G4947" s="10" t="s">
        <v>6352</v>
      </c>
      <c r="H4947" s="11">
        <v>41523</v>
      </c>
      <c r="I4947" s="10">
        <v>2013</v>
      </c>
      <c r="J4947" s="10" t="s">
        <v>8699</v>
      </c>
      <c r="K4947" s="10">
        <v>322</v>
      </c>
      <c r="L4947" s="10" t="s">
        <v>17790</v>
      </c>
      <c r="M4947" s="10">
        <v>1</v>
      </c>
      <c r="N4947" s="10" t="s">
        <v>14534</v>
      </c>
      <c r="O4947" s="10">
        <v>20</v>
      </c>
      <c r="P4947" s="10" t="s">
        <v>17110</v>
      </c>
      <c r="Q4947" s="10">
        <v>370.90499999999997</v>
      </c>
      <c r="R4947" s="10" t="s">
        <v>22595</v>
      </c>
      <c r="S4947" s="10" t="s">
        <v>53</v>
      </c>
      <c r="T4947" s="10" t="s">
        <v>54</v>
      </c>
    </row>
    <row r="4948" spans="1:20" ht="14.5" x14ac:dyDescent="0.35">
      <c r="A4948" s="10" t="s">
        <v>26325</v>
      </c>
      <c r="B4948" s="10" t="str">
        <f>"9781441104465"</f>
        <v>9781441104465</v>
      </c>
      <c r="C4948" s="10" t="str">
        <f>"9781441132574"</f>
        <v>9781441132574</v>
      </c>
      <c r="D4948" s="10" t="s">
        <v>13959</v>
      </c>
      <c r="E4948" s="10" t="s">
        <v>13960</v>
      </c>
      <c r="F4948" s="10" t="s">
        <v>139</v>
      </c>
      <c r="G4948" s="10" t="s">
        <v>6352</v>
      </c>
      <c r="H4948" s="11">
        <v>41634</v>
      </c>
      <c r="I4948" s="10">
        <v>2013</v>
      </c>
      <c r="J4948" s="10" t="s">
        <v>14057</v>
      </c>
      <c r="K4948" s="10">
        <v>136</v>
      </c>
      <c r="L4948" s="10" t="s">
        <v>26326</v>
      </c>
      <c r="M4948" s="10">
        <v>1</v>
      </c>
      <c r="N4948" s="10"/>
      <c r="O4948" s="10"/>
      <c r="P4948" s="10" t="s">
        <v>26327</v>
      </c>
      <c r="Q4948" s="10">
        <v>370.11500000000001</v>
      </c>
      <c r="R4948" s="10" t="s">
        <v>26328</v>
      </c>
      <c r="S4948" s="10" t="s">
        <v>53</v>
      </c>
      <c r="T4948" s="10" t="s">
        <v>54</v>
      </c>
    </row>
    <row r="4949" spans="1:20" ht="14.5" x14ac:dyDescent="0.35">
      <c r="A4949" s="10" t="s">
        <v>26329</v>
      </c>
      <c r="B4949" s="10" t="str">
        <f>"9780415951319"</f>
        <v>9780415951319</v>
      </c>
      <c r="C4949" s="10" t="str">
        <f>"9781136730092"</f>
        <v>9781136730092</v>
      </c>
      <c r="D4949" s="10" t="s">
        <v>6350</v>
      </c>
      <c r="E4949" s="10" t="s">
        <v>6351</v>
      </c>
      <c r="F4949" s="10" t="s">
        <v>3967</v>
      </c>
      <c r="G4949" s="10" t="s">
        <v>6352</v>
      </c>
      <c r="H4949" s="11">
        <v>38526</v>
      </c>
      <c r="I4949" s="10">
        <v>2005</v>
      </c>
      <c r="J4949" s="10" t="s">
        <v>6353</v>
      </c>
      <c r="K4949" s="10">
        <v>190</v>
      </c>
      <c r="L4949" s="10" t="s">
        <v>26330</v>
      </c>
      <c r="M4949" s="10">
        <v>1</v>
      </c>
      <c r="N4949" s="10" t="s">
        <v>23455</v>
      </c>
      <c r="O4949" s="10"/>
      <c r="P4949" s="10"/>
      <c r="Q4949" s="10" t="s">
        <v>14878</v>
      </c>
      <c r="R4949" s="10" t="s">
        <v>26331</v>
      </c>
      <c r="S4949" s="10" t="s">
        <v>53</v>
      </c>
      <c r="T4949" s="10" t="s">
        <v>54</v>
      </c>
    </row>
    <row r="4950" spans="1:20" ht="14.5" x14ac:dyDescent="0.35">
      <c r="A4950" s="10" t="s">
        <v>26332</v>
      </c>
      <c r="B4950" s="10" t="str">
        <f>"9780872074460"</f>
        <v>9780872074460</v>
      </c>
      <c r="C4950" s="10" t="str">
        <f>"9781135854706"</f>
        <v>9781135854706</v>
      </c>
      <c r="D4950" s="10" t="s">
        <v>6350</v>
      </c>
      <c r="E4950" s="10" t="s">
        <v>6351</v>
      </c>
      <c r="F4950" s="10" t="s">
        <v>748</v>
      </c>
      <c r="G4950" s="10" t="s">
        <v>6352</v>
      </c>
      <c r="H4950" s="11">
        <v>37469</v>
      </c>
      <c r="I4950" s="10">
        <v>2003</v>
      </c>
      <c r="J4950" s="10" t="s">
        <v>6351</v>
      </c>
      <c r="K4950" s="10">
        <v>165</v>
      </c>
      <c r="L4950" s="10" t="s">
        <v>26333</v>
      </c>
      <c r="M4950" s="10">
        <v>1</v>
      </c>
      <c r="N4950" s="10" t="s">
        <v>26334</v>
      </c>
      <c r="O4950" s="10"/>
      <c r="P4950" s="10" t="s">
        <v>26335</v>
      </c>
      <c r="Q4950" s="10">
        <v>372.6</v>
      </c>
      <c r="R4950" s="10" t="s">
        <v>26336</v>
      </c>
      <c r="S4950" s="10" t="s">
        <v>53</v>
      </c>
      <c r="T4950" s="10" t="s">
        <v>54</v>
      </c>
    </row>
    <row r="4951" spans="1:20" ht="14.5" x14ac:dyDescent="0.35">
      <c r="A4951" s="10" t="s">
        <v>26337</v>
      </c>
      <c r="B4951" s="10" t="str">
        <f>"9780805844009"</f>
        <v>9780805844009</v>
      </c>
      <c r="C4951" s="10" t="str">
        <f>"9781135464387"</f>
        <v>9781135464387</v>
      </c>
      <c r="D4951" s="10" t="s">
        <v>6350</v>
      </c>
      <c r="E4951" s="10" t="s">
        <v>6351</v>
      </c>
      <c r="F4951" s="10" t="s">
        <v>5406</v>
      </c>
      <c r="G4951" s="10" t="s">
        <v>6352</v>
      </c>
      <c r="H4951" s="11">
        <v>38621</v>
      </c>
      <c r="I4951" s="10">
        <v>2005</v>
      </c>
      <c r="J4951" s="10" t="s">
        <v>6353</v>
      </c>
      <c r="K4951" s="10">
        <v>230</v>
      </c>
      <c r="L4951" s="10" t="s">
        <v>26338</v>
      </c>
      <c r="M4951" s="10">
        <v>1</v>
      </c>
      <c r="N4951" s="10" t="s">
        <v>9593</v>
      </c>
      <c r="O4951" s="10"/>
      <c r="P4951" s="10" t="s">
        <v>26339</v>
      </c>
      <c r="Q4951" s="10">
        <v>302.2244</v>
      </c>
      <c r="R4951" s="10" t="s">
        <v>26340</v>
      </c>
      <c r="S4951" s="10" t="s">
        <v>53</v>
      </c>
      <c r="T4951" s="10" t="s">
        <v>6526</v>
      </c>
    </row>
    <row r="4952" spans="1:20" ht="14.5" x14ac:dyDescent="0.35">
      <c r="A4952" s="10" t="s">
        <v>26341</v>
      </c>
      <c r="B4952" s="10" t="str">
        <f>"9781930556812"</f>
        <v>9781930556812</v>
      </c>
      <c r="C4952" s="10" t="str">
        <f>"9781317927778"</f>
        <v>9781317927778</v>
      </c>
      <c r="D4952" s="10" t="s">
        <v>6350</v>
      </c>
      <c r="E4952" s="10" t="s">
        <v>6351</v>
      </c>
      <c r="F4952" s="10" t="s">
        <v>5406</v>
      </c>
      <c r="G4952" s="10" t="s">
        <v>6352</v>
      </c>
      <c r="H4952" s="11">
        <v>38077</v>
      </c>
      <c r="I4952" s="10">
        <v>2004</v>
      </c>
      <c r="J4952" s="10" t="s">
        <v>6353</v>
      </c>
      <c r="K4952" s="10">
        <v>240</v>
      </c>
      <c r="L4952" s="10" t="s">
        <v>26342</v>
      </c>
      <c r="M4952" s="10">
        <v>1</v>
      </c>
      <c r="N4952" s="10"/>
      <c r="O4952" s="10"/>
      <c r="P4952" s="10" t="s">
        <v>26343</v>
      </c>
      <c r="Q4952" s="10"/>
      <c r="R4952" s="10" t="s">
        <v>26344</v>
      </c>
      <c r="S4952" s="10" t="s">
        <v>53</v>
      </c>
      <c r="T4952" s="10" t="s">
        <v>54</v>
      </c>
    </row>
    <row r="4953" spans="1:20" ht="14.5" x14ac:dyDescent="0.35">
      <c r="A4953" s="10" t="s">
        <v>26345</v>
      </c>
      <c r="B4953" s="10" t="str">
        <f>"9781930556232"</f>
        <v>9781930556232</v>
      </c>
      <c r="C4953" s="10" t="str">
        <f>"9781317922674"</f>
        <v>9781317922674</v>
      </c>
      <c r="D4953" s="10" t="s">
        <v>6350</v>
      </c>
      <c r="E4953" s="10" t="s">
        <v>6351</v>
      </c>
      <c r="F4953" s="10" t="s">
        <v>139</v>
      </c>
      <c r="G4953" s="10" t="s">
        <v>6352</v>
      </c>
      <c r="H4953" s="11">
        <v>37299</v>
      </c>
      <c r="I4953" s="10">
        <v>2002</v>
      </c>
      <c r="J4953" s="10" t="s">
        <v>6353</v>
      </c>
      <c r="K4953" s="10">
        <v>191</v>
      </c>
      <c r="L4953" s="10" t="s">
        <v>26346</v>
      </c>
      <c r="M4953" s="10">
        <v>1</v>
      </c>
      <c r="N4953" s="10"/>
      <c r="O4953" s="10"/>
      <c r="P4953" s="10" t="s">
        <v>26347</v>
      </c>
      <c r="Q4953" s="10">
        <v>372.6</v>
      </c>
      <c r="R4953" s="10" t="s">
        <v>26348</v>
      </c>
      <c r="S4953" s="10" t="s">
        <v>53</v>
      </c>
      <c r="T4953" s="10" t="s">
        <v>54</v>
      </c>
    </row>
    <row r="4954" spans="1:20" ht="14.5" x14ac:dyDescent="0.35">
      <c r="A4954" s="10" t="s">
        <v>26349</v>
      </c>
      <c r="B4954" s="10" t="str">
        <f>"9781930556706"</f>
        <v>9781930556706</v>
      </c>
      <c r="C4954" s="10" t="str">
        <f>"9781317927327"</f>
        <v>9781317927327</v>
      </c>
      <c r="D4954" s="10" t="s">
        <v>6350</v>
      </c>
      <c r="E4954" s="10" t="s">
        <v>6351</v>
      </c>
      <c r="F4954" s="10" t="s">
        <v>5406</v>
      </c>
      <c r="G4954" s="10" t="s">
        <v>6352</v>
      </c>
      <c r="H4954" s="11">
        <v>37896</v>
      </c>
      <c r="I4954" s="10">
        <v>2004</v>
      </c>
      <c r="J4954" s="10" t="s">
        <v>6353</v>
      </c>
      <c r="K4954" s="10">
        <v>180</v>
      </c>
      <c r="L4954" s="10" t="s">
        <v>26350</v>
      </c>
      <c r="M4954" s="10">
        <v>1</v>
      </c>
      <c r="N4954" s="10"/>
      <c r="O4954" s="10"/>
      <c r="P4954" s="10" t="s">
        <v>26351</v>
      </c>
      <c r="Q4954" s="10">
        <v>375.00099999999998</v>
      </c>
      <c r="R4954" s="10" t="s">
        <v>26352</v>
      </c>
      <c r="S4954" s="10" t="s">
        <v>53</v>
      </c>
      <c r="T4954" s="10" t="s">
        <v>54</v>
      </c>
    </row>
    <row r="4955" spans="1:20" ht="14.5" x14ac:dyDescent="0.35">
      <c r="A4955" s="10" t="s">
        <v>26353</v>
      </c>
      <c r="B4955" s="10" t="str">
        <f>"9781930556805"</f>
        <v>9781930556805</v>
      </c>
      <c r="C4955" s="10" t="str">
        <f>"9781317922285"</f>
        <v>9781317922285</v>
      </c>
      <c r="D4955" s="10" t="s">
        <v>6350</v>
      </c>
      <c r="E4955" s="10" t="s">
        <v>6351</v>
      </c>
      <c r="F4955" s="10" t="s">
        <v>139</v>
      </c>
      <c r="G4955" s="10" t="s">
        <v>6352</v>
      </c>
      <c r="H4955" s="11">
        <v>38093</v>
      </c>
      <c r="I4955" s="10">
        <v>2004</v>
      </c>
      <c r="J4955" s="10" t="s">
        <v>6353</v>
      </c>
      <c r="K4955" s="10">
        <v>268</v>
      </c>
      <c r="L4955" s="10" t="s">
        <v>26354</v>
      </c>
      <c r="M4955" s="10">
        <v>1</v>
      </c>
      <c r="N4955" s="10"/>
      <c r="O4955" s="10"/>
      <c r="P4955" s="10" t="s">
        <v>26355</v>
      </c>
      <c r="Q4955" s="10">
        <v>379.15800000000002</v>
      </c>
      <c r="R4955" s="10" t="s">
        <v>26356</v>
      </c>
      <c r="S4955" s="10" t="s">
        <v>53</v>
      </c>
      <c r="T4955" s="10" t="s">
        <v>54</v>
      </c>
    </row>
    <row r="4956" spans="1:20" ht="14.5" x14ac:dyDescent="0.35">
      <c r="A4956" s="10" t="s">
        <v>26357</v>
      </c>
      <c r="B4956" s="10" t="str">
        <f>"9781596670129"</f>
        <v>9781596670129</v>
      </c>
      <c r="C4956" s="10" t="str">
        <f>"9781317922315"</f>
        <v>9781317922315</v>
      </c>
      <c r="D4956" s="10" t="s">
        <v>6350</v>
      </c>
      <c r="E4956" s="10" t="s">
        <v>6351</v>
      </c>
      <c r="F4956" s="10" t="s">
        <v>139</v>
      </c>
      <c r="G4956" s="10" t="s">
        <v>6352</v>
      </c>
      <c r="H4956" s="11">
        <v>38575</v>
      </c>
      <c r="I4956" s="10">
        <v>2005</v>
      </c>
      <c r="J4956" s="10" t="s">
        <v>6353</v>
      </c>
      <c r="K4956" s="10">
        <v>161</v>
      </c>
      <c r="L4956" s="10" t="s">
        <v>26358</v>
      </c>
      <c r="M4956" s="10">
        <v>1</v>
      </c>
      <c r="N4956" s="10"/>
      <c r="O4956" s="10"/>
      <c r="P4956" s="10" t="s">
        <v>26359</v>
      </c>
      <c r="Q4956" s="10">
        <v>371.12</v>
      </c>
      <c r="R4956" s="10" t="s">
        <v>15689</v>
      </c>
      <c r="S4956" s="10" t="s">
        <v>53</v>
      </c>
      <c r="T4956" s="10" t="s">
        <v>54</v>
      </c>
    </row>
    <row r="4957" spans="1:20" ht="14.5" x14ac:dyDescent="0.35">
      <c r="A4957" s="10" t="s">
        <v>26360</v>
      </c>
      <c r="B4957" s="10" t="str">
        <f>"9789400773196"</f>
        <v>9789400773196</v>
      </c>
      <c r="C4957" s="10" t="str">
        <f>"9789400773202"</f>
        <v>9789400773202</v>
      </c>
      <c r="D4957" s="10" t="s">
        <v>11249</v>
      </c>
      <c r="E4957" s="10" t="s">
        <v>12215</v>
      </c>
      <c r="F4957" s="10" t="s">
        <v>206</v>
      </c>
      <c r="G4957" s="10" t="s">
        <v>9233</v>
      </c>
      <c r="H4957" s="11">
        <v>41505</v>
      </c>
      <c r="I4957" s="10">
        <v>2014</v>
      </c>
      <c r="J4957" s="10" t="s">
        <v>13067</v>
      </c>
      <c r="K4957" s="10">
        <v>144</v>
      </c>
      <c r="L4957" s="10" t="s">
        <v>26361</v>
      </c>
      <c r="M4957" s="10">
        <v>1</v>
      </c>
      <c r="N4957" s="10" t="s">
        <v>26362</v>
      </c>
      <c r="O4957" s="10"/>
      <c r="P4957" s="10" t="s">
        <v>11275</v>
      </c>
      <c r="Q4957" s="10">
        <v>372.42509677999999</v>
      </c>
      <c r="R4957" s="10" t="s">
        <v>26363</v>
      </c>
      <c r="S4957" s="10" t="s">
        <v>53</v>
      </c>
      <c r="T4957" s="10" t="s">
        <v>54</v>
      </c>
    </row>
    <row r="4958" spans="1:20" ht="14.5" x14ac:dyDescent="0.35">
      <c r="A4958" s="10" t="s">
        <v>26364</v>
      </c>
      <c r="B4958" s="10" t="str">
        <f>"9781412997317"</f>
        <v>9781412997317</v>
      </c>
      <c r="C4958" s="10" t="str">
        <f>"9781483306513"</f>
        <v>9781483306513</v>
      </c>
      <c r="D4958" s="10" t="s">
        <v>22210</v>
      </c>
      <c r="E4958" s="10" t="s">
        <v>22211</v>
      </c>
      <c r="F4958" s="10" t="s">
        <v>333</v>
      </c>
      <c r="G4958" s="10" t="s">
        <v>6317</v>
      </c>
      <c r="H4958" s="11">
        <v>41522</v>
      </c>
      <c r="I4958" s="10">
        <v>2013</v>
      </c>
      <c r="J4958" s="10" t="s">
        <v>22211</v>
      </c>
      <c r="K4958" s="10">
        <v>129</v>
      </c>
      <c r="L4958" s="10" t="s">
        <v>26365</v>
      </c>
      <c r="M4958" s="10">
        <v>1</v>
      </c>
      <c r="N4958" s="10"/>
      <c r="O4958" s="10"/>
      <c r="P4958" s="10" t="s">
        <v>26366</v>
      </c>
      <c r="Q4958" s="10">
        <v>379.26</v>
      </c>
      <c r="R4958" s="10"/>
      <c r="S4958" s="10" t="s">
        <v>53</v>
      </c>
      <c r="T4958" s="10" t="s">
        <v>54</v>
      </c>
    </row>
    <row r="4959" spans="1:20" ht="14.5" x14ac:dyDescent="0.35">
      <c r="A4959" s="10" t="s">
        <v>26367</v>
      </c>
      <c r="B4959" s="10" t="str">
        <f>"9781452268262"</f>
        <v>9781452268262</v>
      </c>
      <c r="C4959" s="10" t="str">
        <f>"9781483306438"</f>
        <v>9781483306438</v>
      </c>
      <c r="D4959" s="10" t="s">
        <v>22210</v>
      </c>
      <c r="E4959" s="10" t="s">
        <v>22211</v>
      </c>
      <c r="F4959" s="10" t="s">
        <v>333</v>
      </c>
      <c r="G4959" s="10" t="s">
        <v>6317</v>
      </c>
      <c r="H4959" s="11">
        <v>41537</v>
      </c>
      <c r="I4959" s="10">
        <v>2013</v>
      </c>
      <c r="J4959" s="10" t="s">
        <v>22211</v>
      </c>
      <c r="K4959" s="10">
        <v>297</v>
      </c>
      <c r="L4959" s="10" t="s">
        <v>26368</v>
      </c>
      <c r="M4959" s="10">
        <v>2</v>
      </c>
      <c r="N4959" s="10"/>
      <c r="O4959" s="10"/>
      <c r="P4959" s="10" t="s">
        <v>26369</v>
      </c>
      <c r="Q4959" s="10">
        <v>371.33</v>
      </c>
      <c r="R4959" s="10"/>
      <c r="S4959" s="10" t="s">
        <v>53</v>
      </c>
      <c r="T4959" s="10" t="s">
        <v>54</v>
      </c>
    </row>
    <row r="4960" spans="1:20" ht="14.5" x14ac:dyDescent="0.35">
      <c r="A4960" s="10" t="s">
        <v>26370</v>
      </c>
      <c r="B4960" s="10" t="str">
        <f>"9781452257792"</f>
        <v>9781452257792</v>
      </c>
      <c r="C4960" s="10" t="str">
        <f>"9781483331218"</f>
        <v>9781483331218</v>
      </c>
      <c r="D4960" s="10" t="s">
        <v>22210</v>
      </c>
      <c r="E4960" s="10" t="s">
        <v>22211</v>
      </c>
      <c r="F4960" s="10" t="s">
        <v>333</v>
      </c>
      <c r="G4960" s="10" t="s">
        <v>6317</v>
      </c>
      <c r="H4960" s="11">
        <v>41535</v>
      </c>
      <c r="I4960" s="10">
        <v>2014</v>
      </c>
      <c r="J4960" s="10" t="s">
        <v>22211</v>
      </c>
      <c r="K4960" s="10">
        <v>257</v>
      </c>
      <c r="L4960" s="10" t="s">
        <v>26371</v>
      </c>
      <c r="M4960" s="10">
        <v>1</v>
      </c>
      <c r="N4960" s="10"/>
      <c r="O4960" s="10"/>
      <c r="P4960" s="10" t="s">
        <v>26372</v>
      </c>
      <c r="Q4960" s="10">
        <v>371.10199999999998</v>
      </c>
      <c r="R4960" s="10"/>
      <c r="S4960" s="10" t="s">
        <v>53</v>
      </c>
      <c r="T4960" s="10" t="s">
        <v>54</v>
      </c>
    </row>
    <row r="4961" spans="1:20" ht="14.5" x14ac:dyDescent="0.35">
      <c r="A4961" s="10" t="s">
        <v>26373</v>
      </c>
      <c r="B4961" s="10" t="str">
        <f>"9781452243085"</f>
        <v>9781452243085</v>
      </c>
      <c r="C4961" s="10" t="str">
        <f>"9781483332833"</f>
        <v>9781483332833</v>
      </c>
      <c r="D4961" s="10" t="s">
        <v>22210</v>
      </c>
      <c r="E4961" s="10" t="s">
        <v>22211</v>
      </c>
      <c r="F4961" s="10" t="s">
        <v>333</v>
      </c>
      <c r="G4961" s="10" t="s">
        <v>6317</v>
      </c>
      <c r="H4961" s="11">
        <v>41544</v>
      </c>
      <c r="I4961" s="10">
        <v>2013</v>
      </c>
      <c r="J4961" s="10" t="s">
        <v>22211</v>
      </c>
      <c r="K4961" s="10">
        <v>233</v>
      </c>
      <c r="L4961" s="10" t="s">
        <v>26374</v>
      </c>
      <c r="M4961" s="10">
        <v>1</v>
      </c>
      <c r="N4961" s="10"/>
      <c r="O4961" s="10"/>
      <c r="P4961" s="10" t="s">
        <v>26375</v>
      </c>
      <c r="Q4961" s="10">
        <v>510.71199999999999</v>
      </c>
      <c r="R4961" s="10" t="s">
        <v>26376</v>
      </c>
      <c r="S4961" s="10" t="s">
        <v>53</v>
      </c>
      <c r="T4961" s="10" t="s">
        <v>389</v>
      </c>
    </row>
    <row r="4962" spans="1:20" ht="14.5" x14ac:dyDescent="0.35">
      <c r="A4962" s="10" t="s">
        <v>26377</v>
      </c>
      <c r="B4962" s="10" t="str">
        <f>"9781452290423"</f>
        <v>9781452290423</v>
      </c>
      <c r="C4962" s="10" t="str">
        <f>"9781452290393"</f>
        <v>9781452290393</v>
      </c>
      <c r="D4962" s="10" t="s">
        <v>22210</v>
      </c>
      <c r="E4962" s="10" t="s">
        <v>22211</v>
      </c>
      <c r="F4962" s="10" t="s">
        <v>333</v>
      </c>
      <c r="G4962" s="10" t="s">
        <v>6317</v>
      </c>
      <c r="H4962" s="11">
        <v>41535</v>
      </c>
      <c r="I4962" s="10">
        <v>2014</v>
      </c>
      <c r="J4962" s="10" t="s">
        <v>22211</v>
      </c>
      <c r="K4962" s="10">
        <v>249</v>
      </c>
      <c r="L4962" s="10" t="s">
        <v>26378</v>
      </c>
      <c r="M4962" s="10">
        <v>1</v>
      </c>
      <c r="N4962" s="10"/>
      <c r="O4962" s="10"/>
      <c r="P4962" s="10"/>
      <c r="Q4962" s="10">
        <v>371.2</v>
      </c>
      <c r="R4962" s="10"/>
      <c r="S4962" s="10" t="s">
        <v>53</v>
      </c>
      <c r="T4962" s="10" t="s">
        <v>54</v>
      </c>
    </row>
    <row r="4963" spans="1:20" ht="14.5" x14ac:dyDescent="0.35">
      <c r="A4963" s="10" t="s">
        <v>26379</v>
      </c>
      <c r="B4963" s="10" t="str">
        <f>"9780335209446"</f>
        <v>9780335209446</v>
      </c>
      <c r="C4963" s="10" t="str">
        <f>"9780335247080"</f>
        <v>9780335247080</v>
      </c>
      <c r="D4963" s="10" t="s">
        <v>10342</v>
      </c>
      <c r="E4963" s="10" t="s">
        <v>10343</v>
      </c>
      <c r="F4963" s="10" t="s">
        <v>10344</v>
      </c>
      <c r="G4963" s="10" t="s">
        <v>6352</v>
      </c>
      <c r="H4963" s="11">
        <v>37561</v>
      </c>
      <c r="I4963" s="10">
        <v>2002</v>
      </c>
      <c r="J4963" s="10" t="s">
        <v>10345</v>
      </c>
      <c r="K4963" s="10">
        <v>227</v>
      </c>
      <c r="L4963" s="10" t="s">
        <v>26380</v>
      </c>
      <c r="M4963" s="10">
        <v>1</v>
      </c>
      <c r="N4963" s="10"/>
      <c r="O4963" s="10"/>
      <c r="P4963" s="10" t="s">
        <v>26381</v>
      </c>
      <c r="Q4963" s="10"/>
      <c r="R4963" s="10"/>
      <c r="S4963" s="10" t="s">
        <v>53</v>
      </c>
      <c r="T4963" s="10" t="s">
        <v>54</v>
      </c>
    </row>
    <row r="4964" spans="1:20" ht="14.5" x14ac:dyDescent="0.35">
      <c r="A4964" s="10" t="s">
        <v>26382</v>
      </c>
      <c r="B4964" s="10" t="str">
        <f>"9780335212248"</f>
        <v>9780335212248</v>
      </c>
      <c r="C4964" s="10" t="str">
        <f>"9780335247097"</f>
        <v>9780335247097</v>
      </c>
      <c r="D4964" s="10" t="s">
        <v>10342</v>
      </c>
      <c r="E4964" s="10" t="s">
        <v>10343</v>
      </c>
      <c r="F4964" s="10" t="s">
        <v>10344</v>
      </c>
      <c r="G4964" s="10" t="s">
        <v>6352</v>
      </c>
      <c r="H4964" s="11">
        <v>37561</v>
      </c>
      <c r="I4964" s="10">
        <v>2002</v>
      </c>
      <c r="J4964" s="10" t="s">
        <v>10345</v>
      </c>
      <c r="K4964" s="10">
        <v>170</v>
      </c>
      <c r="L4964" s="10" t="s">
        <v>26383</v>
      </c>
      <c r="M4964" s="10">
        <v>1</v>
      </c>
      <c r="N4964" s="10" t="s">
        <v>10347</v>
      </c>
      <c r="O4964" s="10"/>
      <c r="P4964" s="10" t="s">
        <v>26384</v>
      </c>
      <c r="Q4964" s="10" t="s">
        <v>26385</v>
      </c>
      <c r="R4964" s="10" t="s">
        <v>26386</v>
      </c>
      <c r="S4964" s="10" t="s">
        <v>53</v>
      </c>
      <c r="T4964" s="10" t="s">
        <v>6815</v>
      </c>
    </row>
    <row r="4965" spans="1:20" ht="14.5" x14ac:dyDescent="0.35">
      <c r="A4965" s="10" t="s">
        <v>26387</v>
      </c>
      <c r="B4965" s="10" t="str">
        <f>"9781118783580"</f>
        <v>9781118783580</v>
      </c>
      <c r="C4965" s="10" t="str">
        <f>"9781118783566"</f>
        <v>9781118783566</v>
      </c>
      <c r="D4965" s="10" t="s">
        <v>6322</v>
      </c>
      <c r="E4965" s="10" t="s">
        <v>6323</v>
      </c>
      <c r="F4965" s="10" t="s">
        <v>13068</v>
      </c>
      <c r="G4965" s="10" t="s">
        <v>6317</v>
      </c>
      <c r="H4965" s="11">
        <v>41554</v>
      </c>
      <c r="I4965" s="10">
        <v>2013</v>
      </c>
      <c r="J4965" s="10" t="s">
        <v>6324</v>
      </c>
      <c r="K4965" s="10">
        <v>122</v>
      </c>
      <c r="L4965" s="10" t="s">
        <v>26388</v>
      </c>
      <c r="M4965" s="10">
        <v>1</v>
      </c>
      <c r="N4965" s="10" t="s">
        <v>25112</v>
      </c>
      <c r="O4965" s="10"/>
      <c r="P4965" s="10" t="s">
        <v>26389</v>
      </c>
      <c r="Q4965" s="10">
        <v>378.15499999999997</v>
      </c>
      <c r="R4965" s="10" t="s">
        <v>26390</v>
      </c>
      <c r="S4965" s="10" t="s">
        <v>53</v>
      </c>
      <c r="T4965" s="10" t="s">
        <v>54</v>
      </c>
    </row>
    <row r="4966" spans="1:20" ht="14.5" x14ac:dyDescent="0.35">
      <c r="A4966" s="10" t="s">
        <v>26391</v>
      </c>
      <c r="B4966" s="10" t="str">
        <f>"9780810887169"</f>
        <v>9780810887169</v>
      </c>
      <c r="C4966" s="10" t="str">
        <f>"9780810887176"</f>
        <v>9780810887176</v>
      </c>
      <c r="D4966" s="10" t="s">
        <v>9752</v>
      </c>
      <c r="E4966" s="10" t="s">
        <v>17181</v>
      </c>
      <c r="F4966" s="10" t="s">
        <v>9754</v>
      </c>
      <c r="G4966" s="10" t="s">
        <v>6317</v>
      </c>
      <c r="H4966" s="11">
        <v>41528</v>
      </c>
      <c r="I4966" s="10">
        <v>2013</v>
      </c>
      <c r="J4966" s="10" t="s">
        <v>17181</v>
      </c>
      <c r="K4966" s="10">
        <v>192</v>
      </c>
      <c r="L4966" s="10" t="s">
        <v>26392</v>
      </c>
      <c r="M4966" s="10">
        <v>1</v>
      </c>
      <c r="N4966" s="10"/>
      <c r="O4966" s="10"/>
      <c r="P4966" s="10" t="s">
        <v>26393</v>
      </c>
      <c r="Q4966" s="10" t="s">
        <v>22990</v>
      </c>
      <c r="R4966" s="10" t="s">
        <v>26394</v>
      </c>
      <c r="S4966" s="10" t="s">
        <v>53</v>
      </c>
      <c r="T4966" s="10" t="s">
        <v>6568</v>
      </c>
    </row>
    <row r="4967" spans="1:20" ht="14.5" x14ac:dyDescent="0.35">
      <c r="A4967" s="10" t="s">
        <v>26395</v>
      </c>
      <c r="B4967" s="10" t="str">
        <f>"9781118797761"</f>
        <v>9781118797761</v>
      </c>
      <c r="C4967" s="10" t="str">
        <f>"9781118810453"</f>
        <v>9781118810453</v>
      </c>
      <c r="D4967" s="10" t="s">
        <v>6322</v>
      </c>
      <c r="E4967" s="10" t="s">
        <v>6323</v>
      </c>
      <c r="F4967" s="10" t="s">
        <v>13068</v>
      </c>
      <c r="G4967" s="10" t="s">
        <v>6317</v>
      </c>
      <c r="H4967" s="11">
        <v>41561</v>
      </c>
      <c r="I4967" s="10">
        <v>2013</v>
      </c>
      <c r="J4967" s="10" t="s">
        <v>6324</v>
      </c>
      <c r="K4967" s="10">
        <v>106</v>
      </c>
      <c r="L4967" s="10" t="s">
        <v>26396</v>
      </c>
      <c r="M4967" s="10">
        <v>1</v>
      </c>
      <c r="N4967" s="10" t="s">
        <v>21283</v>
      </c>
      <c r="O4967" s="10">
        <v>143</v>
      </c>
      <c r="P4967" s="10" t="s">
        <v>26397</v>
      </c>
      <c r="Q4967" s="10">
        <v>378.19400000000002</v>
      </c>
      <c r="R4967" s="10" t="s">
        <v>26398</v>
      </c>
      <c r="S4967" s="10" t="s">
        <v>53</v>
      </c>
      <c r="T4967" s="10" t="s">
        <v>54</v>
      </c>
    </row>
    <row r="4968" spans="1:20" ht="14.5" x14ac:dyDescent="0.35">
      <c r="A4968" s="10" t="s">
        <v>26399</v>
      </c>
      <c r="B4968" s="10" t="str">
        <f>"9781118793411"</f>
        <v>9781118793411</v>
      </c>
      <c r="C4968" s="10" t="str">
        <f>"9781118793374"</f>
        <v>9781118793374</v>
      </c>
      <c r="D4968" s="10" t="s">
        <v>6322</v>
      </c>
      <c r="E4968" s="10" t="s">
        <v>6323</v>
      </c>
      <c r="F4968" s="10" t="s">
        <v>6339</v>
      </c>
      <c r="G4968" s="10" t="s">
        <v>6317</v>
      </c>
      <c r="H4968" s="11">
        <v>41554</v>
      </c>
      <c r="I4968" s="10">
        <v>2013</v>
      </c>
      <c r="J4968" s="10" t="s">
        <v>6324</v>
      </c>
      <c r="K4968" s="10">
        <v>96</v>
      </c>
      <c r="L4968" s="10" t="s">
        <v>26400</v>
      </c>
      <c r="M4968" s="10">
        <v>1</v>
      </c>
      <c r="N4968" s="10" t="s">
        <v>20717</v>
      </c>
      <c r="O4968" s="10">
        <v>139</v>
      </c>
      <c r="P4968" s="10" t="s">
        <v>26401</v>
      </c>
      <c r="Q4968" s="10">
        <v>6</v>
      </c>
      <c r="R4968" s="10" t="s">
        <v>26402</v>
      </c>
      <c r="S4968" s="10" t="s">
        <v>53</v>
      </c>
      <c r="T4968" s="10" t="s">
        <v>26403</v>
      </c>
    </row>
    <row r="4969" spans="1:20" ht="14.5" x14ac:dyDescent="0.35">
      <c r="A4969" s="10" t="s">
        <v>26404</v>
      </c>
      <c r="B4969" s="10" t="str">
        <f>"9781412966092"</f>
        <v>9781412966092</v>
      </c>
      <c r="C4969" s="10" t="str">
        <f>"9781452212654"</f>
        <v>9781452212654</v>
      </c>
      <c r="D4969" s="10" t="s">
        <v>22210</v>
      </c>
      <c r="E4969" s="10" t="s">
        <v>22211</v>
      </c>
      <c r="F4969" s="10" t="s">
        <v>333</v>
      </c>
      <c r="G4969" s="10" t="s">
        <v>6317</v>
      </c>
      <c r="H4969" s="11">
        <v>39801</v>
      </c>
      <c r="I4969" s="10">
        <v>2009</v>
      </c>
      <c r="J4969" s="10" t="s">
        <v>22211</v>
      </c>
      <c r="K4969" s="10">
        <v>233</v>
      </c>
      <c r="L4969" s="10" t="s">
        <v>23188</v>
      </c>
      <c r="M4969" s="10">
        <v>1</v>
      </c>
      <c r="N4969" s="10"/>
      <c r="O4969" s="10"/>
      <c r="P4969" s="10"/>
      <c r="Q4969" s="10">
        <v>372.12700000000001</v>
      </c>
      <c r="R4969" s="10"/>
      <c r="S4969" s="10" t="s">
        <v>53</v>
      </c>
      <c r="T4969" s="10" t="s">
        <v>54</v>
      </c>
    </row>
    <row r="4970" spans="1:20" ht="14.5" x14ac:dyDescent="0.35">
      <c r="A4970" s="10" t="s">
        <v>26405</v>
      </c>
      <c r="B4970" s="10" t="str">
        <f>"9781412916127"</f>
        <v>9781412916127</v>
      </c>
      <c r="C4970" s="10" t="str">
        <f>"9781452206288"</f>
        <v>9781452206288</v>
      </c>
      <c r="D4970" s="10" t="s">
        <v>22210</v>
      </c>
      <c r="E4970" s="10" t="s">
        <v>22211</v>
      </c>
      <c r="F4970" s="10" t="s">
        <v>333</v>
      </c>
      <c r="G4970" s="10" t="s">
        <v>6317</v>
      </c>
      <c r="H4970" s="11">
        <v>38617</v>
      </c>
      <c r="I4970" s="10">
        <v>2006</v>
      </c>
      <c r="J4970" s="10" t="s">
        <v>22211</v>
      </c>
      <c r="K4970" s="10">
        <v>185</v>
      </c>
      <c r="L4970" s="10" t="s">
        <v>26406</v>
      </c>
      <c r="M4970" s="10">
        <v>1</v>
      </c>
      <c r="N4970" s="10"/>
      <c r="O4970" s="10"/>
      <c r="P4970" s="10" t="s">
        <v>26407</v>
      </c>
      <c r="Q4970" s="10"/>
      <c r="R4970" s="10"/>
      <c r="S4970" s="10" t="s">
        <v>53</v>
      </c>
      <c r="T4970" s="10" t="s">
        <v>6660</v>
      </c>
    </row>
    <row r="4971" spans="1:20" ht="14.5" x14ac:dyDescent="0.35">
      <c r="A4971" s="10" t="s">
        <v>26408</v>
      </c>
      <c r="B4971" s="10" t="str">
        <f>"9781483347196"</f>
        <v>9781483347196</v>
      </c>
      <c r="C4971" s="10" t="str">
        <f>"9781452209692"</f>
        <v>9781452209692</v>
      </c>
      <c r="D4971" s="10" t="s">
        <v>22210</v>
      </c>
      <c r="E4971" s="10" t="s">
        <v>22211</v>
      </c>
      <c r="F4971" s="10" t="s">
        <v>333</v>
      </c>
      <c r="G4971" s="10" t="s">
        <v>6317</v>
      </c>
      <c r="H4971" s="11">
        <v>39253</v>
      </c>
      <c r="I4971" s="10">
        <v>2007</v>
      </c>
      <c r="J4971" s="10" t="s">
        <v>22211</v>
      </c>
      <c r="K4971" s="10">
        <v>353</v>
      </c>
      <c r="L4971" s="10" t="s">
        <v>26409</v>
      </c>
      <c r="M4971" s="10">
        <v>1</v>
      </c>
      <c r="N4971" s="10"/>
      <c r="O4971" s="10"/>
      <c r="P4971" s="10" t="s">
        <v>26410</v>
      </c>
      <c r="Q4971" s="10">
        <v>371.90460973</v>
      </c>
      <c r="R4971" s="10"/>
      <c r="S4971" s="10" t="s">
        <v>53</v>
      </c>
      <c r="T4971" s="10" t="s">
        <v>54</v>
      </c>
    </row>
    <row r="4972" spans="1:20" ht="14.5" x14ac:dyDescent="0.35">
      <c r="A4972" s="10" t="s">
        <v>26411</v>
      </c>
      <c r="B4972" s="10" t="str">
        <f>"9781412965798"</f>
        <v>9781412965798</v>
      </c>
      <c r="C4972" s="10" t="str">
        <f>"9781452209777"</f>
        <v>9781452209777</v>
      </c>
      <c r="D4972" s="10" t="s">
        <v>22210</v>
      </c>
      <c r="E4972" s="10" t="s">
        <v>22211</v>
      </c>
      <c r="F4972" s="10" t="s">
        <v>333</v>
      </c>
      <c r="G4972" s="10" t="s">
        <v>6317</v>
      </c>
      <c r="H4972" s="11">
        <v>39644</v>
      </c>
      <c r="I4972" s="10">
        <v>2009</v>
      </c>
      <c r="J4972" s="10" t="s">
        <v>22211</v>
      </c>
      <c r="K4972" s="10">
        <v>201</v>
      </c>
      <c r="L4972" s="10" t="s">
        <v>26412</v>
      </c>
      <c r="M4972" s="10">
        <v>2</v>
      </c>
      <c r="N4972" s="10"/>
      <c r="O4972" s="10"/>
      <c r="P4972" s="10">
        <v>2008017975</v>
      </c>
      <c r="Q4972" s="10" t="s">
        <v>26413</v>
      </c>
      <c r="R4972" s="10"/>
      <c r="S4972" s="10" t="s">
        <v>53</v>
      </c>
      <c r="T4972" s="10" t="s">
        <v>6363</v>
      </c>
    </row>
    <row r="4973" spans="1:20" ht="14.5" x14ac:dyDescent="0.35">
      <c r="A4973" s="10" t="s">
        <v>26414</v>
      </c>
      <c r="B4973" s="10" t="str">
        <f>"9781412949149"</f>
        <v>9781412949149</v>
      </c>
      <c r="C4973" s="10" t="str">
        <f>"9781452210469"</f>
        <v>9781452210469</v>
      </c>
      <c r="D4973" s="10" t="s">
        <v>22210</v>
      </c>
      <c r="E4973" s="10" t="s">
        <v>22211</v>
      </c>
      <c r="F4973" s="10" t="s">
        <v>333</v>
      </c>
      <c r="G4973" s="10" t="s">
        <v>6317</v>
      </c>
      <c r="H4973" s="11">
        <v>39735</v>
      </c>
      <c r="I4973" s="10">
        <v>2009</v>
      </c>
      <c r="J4973" s="10" t="s">
        <v>22211</v>
      </c>
      <c r="K4973" s="10">
        <v>145</v>
      </c>
      <c r="L4973" s="10" t="s">
        <v>26415</v>
      </c>
      <c r="M4973" s="10">
        <v>1</v>
      </c>
      <c r="N4973" s="10"/>
      <c r="O4973" s="10"/>
      <c r="P4973" s="10"/>
      <c r="Q4973" s="10">
        <v>370.15</v>
      </c>
      <c r="R4973" s="10"/>
      <c r="S4973" s="10" t="s">
        <v>53</v>
      </c>
      <c r="T4973" s="10" t="s">
        <v>54</v>
      </c>
    </row>
    <row r="4974" spans="1:20" ht="14.5" x14ac:dyDescent="0.35">
      <c r="A4974" s="10" t="s">
        <v>26416</v>
      </c>
      <c r="B4974" s="10" t="str">
        <f>"9781412963091"</f>
        <v>9781412963091</v>
      </c>
      <c r="C4974" s="10" t="str">
        <f>"9781452210520"</f>
        <v>9781452210520</v>
      </c>
      <c r="D4974" s="10" t="s">
        <v>22210</v>
      </c>
      <c r="E4974" s="10" t="s">
        <v>22211</v>
      </c>
      <c r="F4974" s="10" t="s">
        <v>333</v>
      </c>
      <c r="G4974" s="10" t="s">
        <v>6317</v>
      </c>
      <c r="H4974" s="11">
        <v>39799</v>
      </c>
      <c r="I4974" s="10">
        <v>2009</v>
      </c>
      <c r="J4974" s="10" t="s">
        <v>22211</v>
      </c>
      <c r="K4974" s="10">
        <v>161</v>
      </c>
      <c r="L4974" s="10" t="s">
        <v>22296</v>
      </c>
      <c r="M4974" s="10">
        <v>1</v>
      </c>
      <c r="N4974" s="10" t="s">
        <v>22297</v>
      </c>
      <c r="O4974" s="10"/>
      <c r="P4974" s="10" t="s">
        <v>26417</v>
      </c>
      <c r="Q4974" s="10"/>
      <c r="R4974" s="10"/>
      <c r="S4974" s="10" t="s">
        <v>53</v>
      </c>
      <c r="T4974" s="10" t="s">
        <v>54</v>
      </c>
    </row>
    <row r="4975" spans="1:20" ht="14.5" x14ac:dyDescent="0.35">
      <c r="A4975" s="10" t="s">
        <v>26418</v>
      </c>
      <c r="B4975" s="10" t="str">
        <f>"9781412966900"</f>
        <v>9781412966900</v>
      </c>
      <c r="C4975" s="10" t="str">
        <f>"9781452211404"</f>
        <v>9781452211404</v>
      </c>
      <c r="D4975" s="10" t="s">
        <v>22210</v>
      </c>
      <c r="E4975" s="10" t="s">
        <v>22211</v>
      </c>
      <c r="F4975" s="10" t="s">
        <v>333</v>
      </c>
      <c r="G4975" s="10" t="s">
        <v>6317</v>
      </c>
      <c r="H4975" s="11">
        <v>39750</v>
      </c>
      <c r="I4975" s="10">
        <v>2009</v>
      </c>
      <c r="J4975" s="10" t="s">
        <v>22211</v>
      </c>
      <c r="K4975" s="10">
        <v>169</v>
      </c>
      <c r="L4975" s="10" t="s">
        <v>26419</v>
      </c>
      <c r="M4975" s="10">
        <v>1</v>
      </c>
      <c r="N4975" s="10"/>
      <c r="O4975" s="10"/>
      <c r="P4975" s="10"/>
      <c r="Q4975" s="10">
        <v>371.9</v>
      </c>
      <c r="R4975" s="10"/>
      <c r="S4975" s="10" t="s">
        <v>53</v>
      </c>
      <c r="T4975" s="10" t="s">
        <v>54</v>
      </c>
    </row>
    <row r="4976" spans="1:20" ht="14.5" x14ac:dyDescent="0.35">
      <c r="A4976" s="10" t="s">
        <v>26420</v>
      </c>
      <c r="B4976" s="10" t="str">
        <f>"9781412962766"</f>
        <v>9781412962766</v>
      </c>
      <c r="C4976" s="10" t="str">
        <f>"9781452211558"</f>
        <v>9781452211558</v>
      </c>
      <c r="D4976" s="10" t="s">
        <v>22210</v>
      </c>
      <c r="E4976" s="10" t="s">
        <v>22211</v>
      </c>
      <c r="F4976" s="10" t="s">
        <v>333</v>
      </c>
      <c r="G4976" s="10" t="s">
        <v>6317</v>
      </c>
      <c r="H4976" s="11">
        <v>39637</v>
      </c>
      <c r="I4976" s="10">
        <v>2009</v>
      </c>
      <c r="J4976" s="10" t="s">
        <v>22211</v>
      </c>
      <c r="K4976" s="10">
        <v>201</v>
      </c>
      <c r="L4976" s="10" t="s">
        <v>26421</v>
      </c>
      <c r="M4976" s="10">
        <v>1</v>
      </c>
      <c r="N4976" s="10"/>
      <c r="O4976" s="10"/>
      <c r="P4976" s="10" t="s">
        <v>26422</v>
      </c>
      <c r="Q4976" s="10">
        <v>371.10199999999998</v>
      </c>
      <c r="R4976" s="10" t="s">
        <v>26423</v>
      </c>
      <c r="S4976" s="10" t="s">
        <v>53</v>
      </c>
      <c r="T4976" s="10" t="s">
        <v>54</v>
      </c>
    </row>
    <row r="4977" spans="1:20" ht="14.5" x14ac:dyDescent="0.35">
      <c r="A4977" s="10" t="s">
        <v>26424</v>
      </c>
      <c r="B4977" s="10" t="str">
        <f>"9781412959742"</f>
        <v>9781412959742</v>
      </c>
      <c r="C4977" s="10" t="str">
        <f>"9781452211749"</f>
        <v>9781452211749</v>
      </c>
      <c r="D4977" s="10" t="s">
        <v>22210</v>
      </c>
      <c r="E4977" s="10" t="s">
        <v>22211</v>
      </c>
      <c r="F4977" s="10" t="s">
        <v>333</v>
      </c>
      <c r="G4977" s="10" t="s">
        <v>6317</v>
      </c>
      <c r="H4977" s="11">
        <v>39542</v>
      </c>
      <c r="I4977" s="10">
        <v>2008</v>
      </c>
      <c r="J4977" s="10" t="s">
        <v>22211</v>
      </c>
      <c r="K4977" s="10">
        <v>289</v>
      </c>
      <c r="L4977" s="10" t="s">
        <v>26425</v>
      </c>
      <c r="M4977" s="10">
        <v>3</v>
      </c>
      <c r="N4977" s="10"/>
      <c r="O4977" s="10"/>
      <c r="P4977" s="10"/>
      <c r="Q4977" s="10" t="s">
        <v>8376</v>
      </c>
      <c r="R4977" s="10"/>
      <c r="S4977" s="10" t="s">
        <v>53</v>
      </c>
      <c r="T4977" s="10" t="s">
        <v>54</v>
      </c>
    </row>
    <row r="4978" spans="1:20" ht="14.5" x14ac:dyDescent="0.35">
      <c r="A4978" s="10" t="s">
        <v>26426</v>
      </c>
      <c r="B4978" s="10" t="str">
        <f>"9781412959506"</f>
        <v>9781412959506</v>
      </c>
      <c r="C4978" s="10" t="str">
        <f>"9781452213019"</f>
        <v>9781452213019</v>
      </c>
      <c r="D4978" s="10" t="s">
        <v>22210</v>
      </c>
      <c r="E4978" s="10" t="s">
        <v>22211</v>
      </c>
      <c r="F4978" s="10" t="s">
        <v>333</v>
      </c>
      <c r="G4978" s="10" t="s">
        <v>6317</v>
      </c>
      <c r="H4978" s="11">
        <v>39611</v>
      </c>
      <c r="I4978" s="10">
        <v>2009</v>
      </c>
      <c r="J4978" s="10" t="s">
        <v>22211</v>
      </c>
      <c r="K4978" s="10">
        <v>153</v>
      </c>
      <c r="L4978" s="10" t="s">
        <v>26427</v>
      </c>
      <c r="M4978" s="10">
        <v>1</v>
      </c>
      <c r="N4978" s="10"/>
      <c r="O4978" s="10"/>
      <c r="P4978" s="10" t="s">
        <v>26428</v>
      </c>
      <c r="Q4978" s="10" t="s">
        <v>26429</v>
      </c>
      <c r="R4978" s="10" t="s">
        <v>26430</v>
      </c>
      <c r="S4978" s="10" t="s">
        <v>53</v>
      </c>
      <c r="T4978" s="10" t="s">
        <v>6363</v>
      </c>
    </row>
    <row r="4979" spans="1:20" ht="14.5" x14ac:dyDescent="0.35">
      <c r="A4979" s="10" t="s">
        <v>26431</v>
      </c>
      <c r="B4979" s="10" t="str">
        <f>"9781412965972"</f>
        <v>9781412965972</v>
      </c>
      <c r="C4979" s="10" t="str">
        <f>"9781452213989"</f>
        <v>9781452213989</v>
      </c>
      <c r="D4979" s="10" t="s">
        <v>22210</v>
      </c>
      <c r="E4979" s="10" t="s">
        <v>22211</v>
      </c>
      <c r="F4979" s="10" t="s">
        <v>333</v>
      </c>
      <c r="G4979" s="10" t="s">
        <v>6317</v>
      </c>
      <c r="H4979" s="11">
        <v>39787</v>
      </c>
      <c r="I4979" s="10">
        <v>2009</v>
      </c>
      <c r="J4979" s="10" t="s">
        <v>22211</v>
      </c>
      <c r="K4979" s="10">
        <v>129</v>
      </c>
      <c r="L4979" s="10" t="s">
        <v>26432</v>
      </c>
      <c r="M4979" s="10">
        <v>1</v>
      </c>
      <c r="N4979" s="10"/>
      <c r="O4979" s="10"/>
      <c r="P4979" s="10"/>
      <c r="Q4979" s="10" t="s">
        <v>11202</v>
      </c>
      <c r="R4979" s="10"/>
      <c r="S4979" s="10" t="s">
        <v>53</v>
      </c>
      <c r="T4979" s="10" t="s">
        <v>54</v>
      </c>
    </row>
    <row r="4980" spans="1:20" ht="14.5" x14ac:dyDescent="0.35">
      <c r="A4980" s="10" t="s">
        <v>26433</v>
      </c>
      <c r="B4980" s="10" t="str">
        <f>"9781412982030"</f>
        <v>9781412982030</v>
      </c>
      <c r="C4980" s="10" t="str">
        <f>"9781452282541"</f>
        <v>9781452282541</v>
      </c>
      <c r="D4980" s="10" t="s">
        <v>22210</v>
      </c>
      <c r="E4980" s="10" t="s">
        <v>22211</v>
      </c>
      <c r="F4980" s="10" t="s">
        <v>333</v>
      </c>
      <c r="G4980" s="10" t="s">
        <v>6317</v>
      </c>
      <c r="H4980" s="11">
        <v>40282</v>
      </c>
      <c r="I4980" s="10">
        <v>2010</v>
      </c>
      <c r="J4980" s="10" t="s">
        <v>22211</v>
      </c>
      <c r="K4980" s="10">
        <v>161</v>
      </c>
      <c r="L4980" s="10" t="s">
        <v>22358</v>
      </c>
      <c r="M4980" s="10">
        <v>1</v>
      </c>
      <c r="N4980" s="10"/>
      <c r="O4980" s="10"/>
      <c r="P4980" s="10" t="s">
        <v>26434</v>
      </c>
      <c r="Q4980" s="10" t="s">
        <v>10031</v>
      </c>
      <c r="R4980" s="10"/>
      <c r="S4980" s="10" t="s">
        <v>53</v>
      </c>
      <c r="T4980" s="10" t="s">
        <v>54</v>
      </c>
    </row>
    <row r="4981" spans="1:20" ht="14.5" x14ac:dyDescent="0.35">
      <c r="A4981" s="10" t="s">
        <v>26435</v>
      </c>
      <c r="B4981" s="10" t="str">
        <f>"9781452283180"</f>
        <v>9781452283180</v>
      </c>
      <c r="C4981" s="10" t="str">
        <f>"9781483345918"</f>
        <v>9781483345918</v>
      </c>
      <c r="D4981" s="10" t="s">
        <v>22210</v>
      </c>
      <c r="E4981" s="10" t="s">
        <v>22211</v>
      </c>
      <c r="F4981" s="10" t="s">
        <v>333</v>
      </c>
      <c r="G4981" s="10" t="s">
        <v>6317</v>
      </c>
      <c r="H4981" s="11">
        <v>41550</v>
      </c>
      <c r="I4981" s="10">
        <v>2014</v>
      </c>
      <c r="J4981" s="10" t="s">
        <v>22211</v>
      </c>
      <c r="K4981" s="10">
        <v>153</v>
      </c>
      <c r="L4981" s="10" t="s">
        <v>26436</v>
      </c>
      <c r="M4981" s="10">
        <v>1</v>
      </c>
      <c r="N4981" s="10"/>
      <c r="O4981" s="10"/>
      <c r="P4981" s="10" t="s">
        <v>26437</v>
      </c>
      <c r="Q4981" s="10">
        <v>371.58</v>
      </c>
      <c r="R4981" s="10" t="s">
        <v>26438</v>
      </c>
      <c r="S4981" s="10" t="s">
        <v>53</v>
      </c>
      <c r="T4981" s="10" t="s">
        <v>54</v>
      </c>
    </row>
    <row r="4982" spans="1:20" ht="14.5" x14ac:dyDescent="0.35">
      <c r="A4982" s="10" t="s">
        <v>26439</v>
      </c>
      <c r="B4982" s="10" t="str">
        <f>"9781452261386"</f>
        <v>9781452261386</v>
      </c>
      <c r="C4982" s="10" t="str">
        <f>"9781483339696"</f>
        <v>9781483339696</v>
      </c>
      <c r="D4982" s="10" t="s">
        <v>22210</v>
      </c>
      <c r="E4982" s="10" t="s">
        <v>22211</v>
      </c>
      <c r="F4982" s="10" t="s">
        <v>333</v>
      </c>
      <c r="G4982" s="10" t="s">
        <v>6317</v>
      </c>
      <c r="H4982" s="11">
        <v>41548</v>
      </c>
      <c r="I4982" s="10">
        <v>2013</v>
      </c>
      <c r="J4982" s="10" t="s">
        <v>22211</v>
      </c>
      <c r="K4982" s="10">
        <v>217</v>
      </c>
      <c r="L4982" s="10" t="s">
        <v>26440</v>
      </c>
      <c r="M4982" s="10">
        <v>1</v>
      </c>
      <c r="N4982" s="10"/>
      <c r="O4982" s="10"/>
      <c r="P4982" s="10" t="s">
        <v>26441</v>
      </c>
      <c r="Q4982" s="10">
        <v>373.11020000000002</v>
      </c>
      <c r="R4982" s="10"/>
      <c r="S4982" s="10" t="s">
        <v>53</v>
      </c>
      <c r="T4982" s="10" t="s">
        <v>54</v>
      </c>
    </row>
    <row r="4983" spans="1:20" ht="14.5" x14ac:dyDescent="0.35">
      <c r="A4983" s="10" t="s">
        <v>26442</v>
      </c>
      <c r="B4983" s="10" t="str">
        <f>"9781118771099"</f>
        <v>9781118771099</v>
      </c>
      <c r="C4983" s="10" t="str">
        <f>"9781118771136"</f>
        <v>9781118771136</v>
      </c>
      <c r="D4983" s="10" t="s">
        <v>6322</v>
      </c>
      <c r="E4983" s="10" t="s">
        <v>6323</v>
      </c>
      <c r="F4983" s="10" t="s">
        <v>6339</v>
      </c>
      <c r="G4983" s="10" t="s">
        <v>6317</v>
      </c>
      <c r="H4983" s="11">
        <v>41547</v>
      </c>
      <c r="I4983" s="10">
        <v>2013</v>
      </c>
      <c r="J4983" s="10" t="s">
        <v>6324</v>
      </c>
      <c r="K4983" s="10">
        <v>106</v>
      </c>
      <c r="L4983" s="10" t="s">
        <v>26443</v>
      </c>
      <c r="M4983" s="10">
        <v>1</v>
      </c>
      <c r="N4983" s="10" t="s">
        <v>20707</v>
      </c>
      <c r="O4983" s="10">
        <v>139</v>
      </c>
      <c r="P4983" s="10" t="s">
        <v>26444</v>
      </c>
      <c r="Q4983" s="10">
        <v>371.9</v>
      </c>
      <c r="R4983" s="10" t="s">
        <v>11901</v>
      </c>
      <c r="S4983" s="10" t="s">
        <v>53</v>
      </c>
      <c r="T4983" s="10" t="s">
        <v>54</v>
      </c>
    </row>
    <row r="4984" spans="1:20" ht="14.5" x14ac:dyDescent="0.35">
      <c r="A4984" s="10" t="s">
        <v>26445</v>
      </c>
      <c r="B4984" s="10" t="str">
        <f>"9781933531229"</f>
        <v>9781933531229</v>
      </c>
      <c r="C4984" s="10" t="str">
        <f>"9781936959785"</f>
        <v>9781936959785</v>
      </c>
      <c r="D4984" s="10" t="s">
        <v>3386</v>
      </c>
      <c r="E4984" s="10" t="s">
        <v>3386</v>
      </c>
      <c r="F4984" s="10" t="s">
        <v>9597</v>
      </c>
      <c r="G4984" s="10" t="s">
        <v>6317</v>
      </c>
      <c r="H4984" s="11">
        <v>41075</v>
      </c>
      <c r="I4984" s="10">
        <v>2012</v>
      </c>
      <c r="J4984" s="10" t="s">
        <v>3386</v>
      </c>
      <c r="K4984" s="10">
        <v>344</v>
      </c>
      <c r="L4984" s="10" t="s">
        <v>26446</v>
      </c>
      <c r="M4984" s="10">
        <v>1</v>
      </c>
      <c r="N4984" s="10"/>
      <c r="O4984" s="10"/>
      <c r="P4984" s="10" t="s">
        <v>26447</v>
      </c>
      <c r="Q4984" s="10">
        <v>362.29072000000002</v>
      </c>
      <c r="R4984" s="10" t="s">
        <v>26448</v>
      </c>
      <c r="S4984" s="10" t="s">
        <v>53</v>
      </c>
      <c r="T4984" s="10" t="s">
        <v>26449</v>
      </c>
    </row>
    <row r="4985" spans="1:20" ht="14.5" x14ac:dyDescent="0.35">
      <c r="A4985" s="10" t="s">
        <v>26450</v>
      </c>
      <c r="B4985" s="10" t="str">
        <f>"9781936959068"</f>
        <v>9781936959068</v>
      </c>
      <c r="C4985" s="10" t="str">
        <f>"9781936959662"</f>
        <v>9781936959662</v>
      </c>
      <c r="D4985" s="10" t="s">
        <v>3386</v>
      </c>
      <c r="E4985" s="10" t="s">
        <v>3386</v>
      </c>
      <c r="F4985" s="10" t="s">
        <v>9597</v>
      </c>
      <c r="G4985" s="10" t="s">
        <v>6317</v>
      </c>
      <c r="H4985" s="11">
        <v>39083</v>
      </c>
      <c r="I4985" s="10">
        <v>2012</v>
      </c>
      <c r="J4985" s="10" t="s">
        <v>3386</v>
      </c>
      <c r="K4985" s="10">
        <v>215</v>
      </c>
      <c r="L4985" s="10" t="s">
        <v>26451</v>
      </c>
      <c r="M4985" s="10">
        <v>1</v>
      </c>
      <c r="N4985" s="10"/>
      <c r="O4985" s="10"/>
      <c r="P4985" s="10" t="s">
        <v>26452</v>
      </c>
      <c r="Q4985" s="10">
        <v>507.12729999999999</v>
      </c>
      <c r="R4985" s="10" t="s">
        <v>26453</v>
      </c>
      <c r="S4985" s="10" t="s">
        <v>53</v>
      </c>
      <c r="T4985" s="10" t="s">
        <v>9608</v>
      </c>
    </row>
    <row r="4986" spans="1:20" ht="14.5" x14ac:dyDescent="0.35">
      <c r="A4986" s="10" t="s">
        <v>26450</v>
      </c>
      <c r="B4986" s="10" t="str">
        <f>"9781936959310"</f>
        <v>9781936959310</v>
      </c>
      <c r="C4986" s="10" t="str">
        <f>"9781936959679"</f>
        <v>9781936959679</v>
      </c>
      <c r="D4986" s="10" t="s">
        <v>3386</v>
      </c>
      <c r="E4986" s="10" t="s">
        <v>3386</v>
      </c>
      <c r="F4986" s="10" t="s">
        <v>9597</v>
      </c>
      <c r="G4986" s="10" t="s">
        <v>6317</v>
      </c>
      <c r="H4986" s="11">
        <v>39083</v>
      </c>
      <c r="I4986" s="10">
        <v>2012</v>
      </c>
      <c r="J4986" s="10" t="s">
        <v>3386</v>
      </c>
      <c r="K4986" s="10">
        <v>198</v>
      </c>
      <c r="L4986" s="10" t="s">
        <v>26451</v>
      </c>
      <c r="M4986" s="10">
        <v>1</v>
      </c>
      <c r="N4986" s="10"/>
      <c r="O4986" s="10"/>
      <c r="P4986" s="10" t="s">
        <v>26454</v>
      </c>
      <c r="Q4986" s="10">
        <v>507.12729999999999</v>
      </c>
      <c r="R4986" s="10" t="s">
        <v>26455</v>
      </c>
      <c r="S4986" s="10" t="s">
        <v>53</v>
      </c>
      <c r="T4986" s="10" t="s">
        <v>7193</v>
      </c>
    </row>
    <row r="4987" spans="1:20" ht="14.5" x14ac:dyDescent="0.35">
      <c r="A4987" s="10" t="s">
        <v>26456</v>
      </c>
      <c r="B4987" s="10" t="str">
        <f>"9781936137275"</f>
        <v>9781936137275</v>
      </c>
      <c r="C4987" s="10" t="str">
        <f>"9781936959563"</f>
        <v>9781936959563</v>
      </c>
      <c r="D4987" s="10" t="s">
        <v>3386</v>
      </c>
      <c r="E4987" s="10" t="s">
        <v>3386</v>
      </c>
      <c r="F4987" s="10" t="s">
        <v>9597</v>
      </c>
      <c r="G4987" s="10" t="s">
        <v>6317</v>
      </c>
      <c r="H4987" s="11">
        <v>41228</v>
      </c>
      <c r="I4987" s="10">
        <v>2013</v>
      </c>
      <c r="J4987" s="10" t="s">
        <v>3386</v>
      </c>
      <c r="K4987" s="10">
        <v>448</v>
      </c>
      <c r="L4987" s="10" t="s">
        <v>26457</v>
      </c>
      <c r="M4987" s="10">
        <v>1</v>
      </c>
      <c r="N4987" s="10"/>
      <c r="O4987" s="10"/>
      <c r="P4987" s="10" t="s">
        <v>26458</v>
      </c>
      <c r="Q4987" s="10" t="s">
        <v>26459</v>
      </c>
      <c r="R4987" s="10" t="s">
        <v>26460</v>
      </c>
      <c r="S4987" s="10" t="s">
        <v>53</v>
      </c>
      <c r="T4987" s="10" t="s">
        <v>13819</v>
      </c>
    </row>
    <row r="4988" spans="1:20" ht="14.5" x14ac:dyDescent="0.35">
      <c r="A4988" s="10" t="s">
        <v>26461</v>
      </c>
      <c r="B4988" s="10" t="str">
        <f>"9781936959426"</f>
        <v>9781936959426</v>
      </c>
      <c r="C4988" s="10" t="str">
        <f>"9781938946943"</f>
        <v>9781938946943</v>
      </c>
      <c r="D4988" s="10" t="s">
        <v>3386</v>
      </c>
      <c r="E4988" s="10" t="s">
        <v>3386</v>
      </c>
      <c r="F4988" s="10" t="s">
        <v>9597</v>
      </c>
      <c r="G4988" s="10" t="s">
        <v>6317</v>
      </c>
      <c r="H4988" s="11">
        <v>41320</v>
      </c>
      <c r="I4988" s="10">
        <v>2013</v>
      </c>
      <c r="J4988" s="10" t="s">
        <v>3386</v>
      </c>
      <c r="K4988" s="10">
        <v>146</v>
      </c>
      <c r="L4988" s="10" t="s">
        <v>26462</v>
      </c>
      <c r="M4988" s="10">
        <v>1</v>
      </c>
      <c r="N4988" s="10"/>
      <c r="O4988" s="10"/>
      <c r="P4988" s="10" t="s">
        <v>26463</v>
      </c>
      <c r="Q4988" s="10">
        <v>507.1</v>
      </c>
      <c r="R4988" s="10" t="s">
        <v>26464</v>
      </c>
      <c r="S4988" s="10" t="s">
        <v>53</v>
      </c>
      <c r="T4988" s="10" t="s">
        <v>10979</v>
      </c>
    </row>
    <row r="4989" spans="1:20" ht="14.5" x14ac:dyDescent="0.35">
      <c r="A4989" s="10" t="s">
        <v>26465</v>
      </c>
      <c r="B4989" s="10" t="str">
        <f>"9781936959075"</f>
        <v>9781936959075</v>
      </c>
      <c r="C4989" s="10" t="str">
        <f>"9781938946981"</f>
        <v>9781938946981</v>
      </c>
      <c r="D4989" s="10" t="s">
        <v>3386</v>
      </c>
      <c r="E4989" s="10" t="s">
        <v>3386</v>
      </c>
      <c r="F4989" s="10" t="s">
        <v>9597</v>
      </c>
      <c r="G4989" s="10" t="s">
        <v>6317</v>
      </c>
      <c r="H4989" s="11">
        <v>41320</v>
      </c>
      <c r="I4989" s="10">
        <v>2013</v>
      </c>
      <c r="J4989" s="10" t="s">
        <v>3386</v>
      </c>
      <c r="K4989" s="10">
        <v>341</v>
      </c>
      <c r="L4989" s="10" t="s">
        <v>26466</v>
      </c>
      <c r="M4989" s="10">
        <v>2</v>
      </c>
      <c r="N4989" s="10"/>
      <c r="O4989" s="10"/>
      <c r="P4989" s="10" t="s">
        <v>26467</v>
      </c>
      <c r="Q4989" s="10" t="s">
        <v>10286</v>
      </c>
      <c r="R4989" s="10" t="s">
        <v>12703</v>
      </c>
      <c r="S4989" s="10" t="s">
        <v>53</v>
      </c>
      <c r="T4989" s="10" t="s">
        <v>9608</v>
      </c>
    </row>
    <row r="4990" spans="1:20" ht="14.5" x14ac:dyDescent="0.35">
      <c r="A4990" s="10" t="s">
        <v>26468</v>
      </c>
      <c r="B4990" s="10" t="str">
        <f>"9781936959259"</f>
        <v>9781936959259</v>
      </c>
      <c r="C4990" s="10" t="str">
        <f>"9781938946929"</f>
        <v>9781938946929</v>
      </c>
      <c r="D4990" s="10" t="s">
        <v>3386</v>
      </c>
      <c r="E4990" s="10" t="s">
        <v>3386</v>
      </c>
      <c r="F4990" s="10" t="s">
        <v>9597</v>
      </c>
      <c r="G4990" s="10" t="s">
        <v>6317</v>
      </c>
      <c r="H4990" s="11">
        <v>41379</v>
      </c>
      <c r="I4990" s="10">
        <v>2013</v>
      </c>
      <c r="J4990" s="10" t="s">
        <v>3386</v>
      </c>
      <c r="K4990" s="10">
        <v>130</v>
      </c>
      <c r="L4990" s="10" t="s">
        <v>12700</v>
      </c>
      <c r="M4990" s="10">
        <v>1</v>
      </c>
      <c r="N4990" s="10"/>
      <c r="O4990" s="10"/>
      <c r="P4990" s="10" t="s">
        <v>26469</v>
      </c>
      <c r="Q4990" s="10">
        <v>507.1</v>
      </c>
      <c r="R4990" s="10" t="s">
        <v>26470</v>
      </c>
      <c r="S4990" s="10" t="s">
        <v>53</v>
      </c>
      <c r="T4990" s="10" t="s">
        <v>9608</v>
      </c>
    </row>
    <row r="4991" spans="1:20" ht="14.5" x14ac:dyDescent="0.35">
      <c r="A4991" s="10" t="s">
        <v>26471</v>
      </c>
      <c r="B4991" s="10" t="str">
        <f>"9781938946196"</f>
        <v>9781938946196</v>
      </c>
      <c r="C4991" s="10" t="str">
        <f>"9781936959778"</f>
        <v>9781936959778</v>
      </c>
      <c r="D4991" s="10" t="s">
        <v>3386</v>
      </c>
      <c r="E4991" s="10" t="s">
        <v>3386</v>
      </c>
      <c r="F4991" s="10" t="s">
        <v>9597</v>
      </c>
      <c r="G4991" s="10" t="s">
        <v>6317</v>
      </c>
      <c r="H4991" s="11">
        <v>41486</v>
      </c>
      <c r="I4991" s="10">
        <v>2013</v>
      </c>
      <c r="J4991" s="10" t="s">
        <v>3386</v>
      </c>
      <c r="K4991" s="10">
        <v>77</v>
      </c>
      <c r="L4991" s="10" t="s">
        <v>26472</v>
      </c>
      <c r="M4991" s="10">
        <v>2</v>
      </c>
      <c r="N4991" s="10"/>
      <c r="O4991" s="10"/>
      <c r="P4991" s="10" t="s">
        <v>26473</v>
      </c>
      <c r="Q4991" s="10">
        <v>507.1</v>
      </c>
      <c r="R4991" s="10" t="s">
        <v>26474</v>
      </c>
      <c r="S4991" s="10" t="s">
        <v>53</v>
      </c>
      <c r="T4991" s="10" t="s">
        <v>10979</v>
      </c>
    </row>
    <row r="4992" spans="1:20" ht="14.5" x14ac:dyDescent="0.35">
      <c r="A4992" s="10" t="s">
        <v>26475</v>
      </c>
      <c r="B4992" s="10" t="str">
        <f>"9781936959082"</f>
        <v>9781936959082</v>
      </c>
      <c r="C4992" s="10" t="str">
        <f>"9781938946752"</f>
        <v>9781938946752</v>
      </c>
      <c r="D4992" s="10" t="s">
        <v>3386</v>
      </c>
      <c r="E4992" s="10" t="s">
        <v>3386</v>
      </c>
      <c r="F4992" s="10" t="s">
        <v>9597</v>
      </c>
      <c r="G4992" s="10" t="s">
        <v>6317</v>
      </c>
      <c r="H4992" s="11">
        <v>41532</v>
      </c>
      <c r="I4992" s="10">
        <v>2013</v>
      </c>
      <c r="J4992" s="10" t="s">
        <v>3386</v>
      </c>
      <c r="K4992" s="10">
        <v>242</v>
      </c>
      <c r="L4992" s="10" t="s">
        <v>26476</v>
      </c>
      <c r="M4992" s="10">
        <v>1</v>
      </c>
      <c r="N4992" s="10"/>
      <c r="O4992" s="10"/>
      <c r="P4992" s="10" t="s">
        <v>26477</v>
      </c>
      <c r="Q4992" s="10">
        <v>570.71</v>
      </c>
      <c r="R4992" s="10" t="s">
        <v>26478</v>
      </c>
      <c r="S4992" s="10" t="s">
        <v>53</v>
      </c>
      <c r="T4992" s="10" t="s">
        <v>13819</v>
      </c>
    </row>
    <row r="4993" spans="1:20" ht="14.5" x14ac:dyDescent="0.35">
      <c r="A4993" s="10" t="s">
        <v>26479</v>
      </c>
      <c r="B4993" s="10" t="str">
        <f>"9781936959518"</f>
        <v>9781936959518</v>
      </c>
      <c r="C4993" s="10" t="str">
        <f>"9781938946875"</f>
        <v>9781938946875</v>
      </c>
      <c r="D4993" s="10" t="s">
        <v>3386</v>
      </c>
      <c r="E4993" s="10" t="s">
        <v>3386</v>
      </c>
      <c r="F4993" s="10" t="s">
        <v>9597</v>
      </c>
      <c r="G4993" s="10" t="s">
        <v>6317</v>
      </c>
      <c r="H4993" s="11">
        <v>41532</v>
      </c>
      <c r="I4993" s="10">
        <v>2013</v>
      </c>
      <c r="J4993" s="10" t="s">
        <v>3386</v>
      </c>
      <c r="K4993" s="10">
        <v>161</v>
      </c>
      <c r="L4993" s="10" t="s">
        <v>26480</v>
      </c>
      <c r="M4993" s="10">
        <v>1</v>
      </c>
      <c r="N4993" s="10"/>
      <c r="O4993" s="10"/>
      <c r="P4993" s="10" t="s">
        <v>26481</v>
      </c>
      <c r="Q4993" s="10" t="s">
        <v>19565</v>
      </c>
      <c r="R4993" s="10" t="s">
        <v>26482</v>
      </c>
      <c r="S4993" s="10" t="s">
        <v>53</v>
      </c>
      <c r="T4993" s="10" t="s">
        <v>54</v>
      </c>
    </row>
    <row r="4994" spans="1:20" ht="14.5" x14ac:dyDescent="0.35">
      <c r="A4994" s="10" t="s">
        <v>26483</v>
      </c>
      <c r="B4994" s="10" t="str">
        <f>"9781412986700"</f>
        <v>9781412986700</v>
      </c>
      <c r="C4994" s="10" t="str">
        <f>"9781452284897"</f>
        <v>9781452284897</v>
      </c>
      <c r="D4994" s="10" t="s">
        <v>22210</v>
      </c>
      <c r="E4994" s="10" t="s">
        <v>22211</v>
      </c>
      <c r="F4994" s="10" t="s">
        <v>333</v>
      </c>
      <c r="G4994" s="10" t="s">
        <v>6317</v>
      </c>
      <c r="H4994" s="11">
        <v>41557</v>
      </c>
      <c r="I4994" s="10">
        <v>2014</v>
      </c>
      <c r="J4994" s="10" t="s">
        <v>22211</v>
      </c>
      <c r="K4994" s="10">
        <v>233</v>
      </c>
      <c r="L4994" s="10" t="s">
        <v>26484</v>
      </c>
      <c r="M4994" s="10">
        <v>1</v>
      </c>
      <c r="N4994" s="10" t="s">
        <v>23967</v>
      </c>
      <c r="O4994" s="10"/>
      <c r="P4994" s="10" t="s">
        <v>26485</v>
      </c>
      <c r="Q4994" s="10">
        <v>372.6</v>
      </c>
      <c r="R4994" s="10" t="s">
        <v>26486</v>
      </c>
      <c r="S4994" s="10" t="s">
        <v>53</v>
      </c>
      <c r="T4994" s="10" t="s">
        <v>54</v>
      </c>
    </row>
    <row r="4995" spans="1:20" ht="14.5" x14ac:dyDescent="0.35">
      <c r="A4995" s="10" t="s">
        <v>26487</v>
      </c>
      <c r="B4995" s="10" t="str">
        <f>"9781118606759"</f>
        <v>9781118606759</v>
      </c>
      <c r="C4995" s="10" t="str">
        <f>"9781118606735"</f>
        <v>9781118606735</v>
      </c>
      <c r="D4995" s="10" t="s">
        <v>6322</v>
      </c>
      <c r="E4995" s="10" t="s">
        <v>6323</v>
      </c>
      <c r="F4995" s="10" t="s">
        <v>4423</v>
      </c>
      <c r="G4995" s="10" t="s">
        <v>6352</v>
      </c>
      <c r="H4995" s="11">
        <v>41612</v>
      </c>
      <c r="I4995" s="10">
        <v>2014</v>
      </c>
      <c r="J4995" s="10" t="s">
        <v>8436</v>
      </c>
      <c r="K4995" s="10">
        <v>211</v>
      </c>
      <c r="L4995" s="10" t="s">
        <v>26488</v>
      </c>
      <c r="M4995" s="10">
        <v>1</v>
      </c>
      <c r="N4995" s="10"/>
      <c r="O4995" s="10"/>
      <c r="P4995" s="10" t="s">
        <v>26489</v>
      </c>
      <c r="Q4995" s="10">
        <v>372.47</v>
      </c>
      <c r="R4995" s="10" t="s">
        <v>26490</v>
      </c>
      <c r="S4995" s="10" t="s">
        <v>53</v>
      </c>
      <c r="T4995" s="10" t="s">
        <v>54</v>
      </c>
    </row>
    <row r="4996" spans="1:20" ht="14.5" x14ac:dyDescent="0.35">
      <c r="A4996" s="10" t="s">
        <v>26491</v>
      </c>
      <c r="B4996" s="10" t="str">
        <f>"9781783283910"</f>
        <v>9781783283910</v>
      </c>
      <c r="C4996" s="10" t="str">
        <f>"9781783283927"</f>
        <v>9781783283927</v>
      </c>
      <c r="D4996" s="10" t="s">
        <v>21162</v>
      </c>
      <c r="E4996" s="10" t="s">
        <v>21163</v>
      </c>
      <c r="F4996" s="10" t="s">
        <v>1939</v>
      </c>
      <c r="G4996" s="10" t="s">
        <v>6352</v>
      </c>
      <c r="H4996" s="11">
        <v>41542</v>
      </c>
      <c r="I4996" s="10">
        <v>2013</v>
      </c>
      <c r="J4996" s="10" t="s">
        <v>21163</v>
      </c>
      <c r="K4996" s="10">
        <v>81</v>
      </c>
      <c r="L4996" s="10" t="s">
        <v>26492</v>
      </c>
      <c r="M4996" s="10">
        <v>1</v>
      </c>
      <c r="N4996" s="10"/>
      <c r="O4996" s="10"/>
      <c r="P4996" s="10" t="s">
        <v>26493</v>
      </c>
      <c r="Q4996" s="10">
        <v>5.2767999999999997</v>
      </c>
      <c r="R4996" s="10" t="s">
        <v>26494</v>
      </c>
      <c r="S4996" s="10" t="s">
        <v>53</v>
      </c>
      <c r="T4996" s="10" t="s">
        <v>19959</v>
      </c>
    </row>
    <row r="4997" spans="1:20" ht="14.5" x14ac:dyDescent="0.35">
      <c r="A4997" s="10" t="s">
        <v>26495</v>
      </c>
      <c r="B4997" s="10" t="str">
        <f>"9781475805314"</f>
        <v>9781475805314</v>
      </c>
      <c r="C4997" s="10" t="str">
        <f>"9781475805321"</f>
        <v>9781475805321</v>
      </c>
      <c r="D4997" s="10" t="s">
        <v>9752</v>
      </c>
      <c r="E4997" s="10" t="s">
        <v>15192</v>
      </c>
      <c r="F4997" s="10" t="s">
        <v>9754</v>
      </c>
      <c r="G4997" s="10" t="s">
        <v>6317</v>
      </c>
      <c r="H4997" s="11">
        <v>41537</v>
      </c>
      <c r="I4997" s="10">
        <v>2013</v>
      </c>
      <c r="J4997" s="10" t="s">
        <v>15192</v>
      </c>
      <c r="K4997" s="10">
        <v>261</v>
      </c>
      <c r="L4997" s="10" t="s">
        <v>26496</v>
      </c>
      <c r="M4997" s="10">
        <v>1</v>
      </c>
      <c r="N4997" s="10"/>
      <c r="O4997" s="10"/>
      <c r="P4997" s="10" t="s">
        <v>26497</v>
      </c>
      <c r="Q4997" s="10">
        <v>374</v>
      </c>
      <c r="R4997" s="10" t="s">
        <v>7970</v>
      </c>
      <c r="S4997" s="10" t="s">
        <v>53</v>
      </c>
      <c r="T4997" s="10" t="s">
        <v>54</v>
      </c>
    </row>
    <row r="4998" spans="1:20" ht="14.5" x14ac:dyDescent="0.35">
      <c r="A4998" s="10" t="s">
        <v>26498</v>
      </c>
      <c r="B4998" s="10" t="str">
        <f>"9780273732587"</f>
        <v>9780273732587</v>
      </c>
      <c r="C4998" s="10" t="str">
        <f>"9781317902874"</f>
        <v>9781317902874</v>
      </c>
      <c r="D4998" s="10" t="s">
        <v>6350</v>
      </c>
      <c r="E4998" s="10" t="s">
        <v>6351</v>
      </c>
      <c r="F4998" s="10" t="s">
        <v>748</v>
      </c>
      <c r="G4998" s="10" t="s">
        <v>6352</v>
      </c>
      <c r="H4998" s="11">
        <v>40626</v>
      </c>
      <c r="I4998" s="10">
        <v>2011</v>
      </c>
      <c r="J4998" s="10" t="s">
        <v>6351</v>
      </c>
      <c r="K4998" s="10">
        <v>365</v>
      </c>
      <c r="L4998" s="10" t="s">
        <v>26499</v>
      </c>
      <c r="M4998" s="10">
        <v>1</v>
      </c>
      <c r="N4998" s="10"/>
      <c r="O4998" s="10"/>
      <c r="P4998" s="10" t="s">
        <v>26500</v>
      </c>
      <c r="Q4998" s="10">
        <v>796.07100000000003</v>
      </c>
      <c r="R4998" s="10" t="s">
        <v>26501</v>
      </c>
      <c r="S4998" s="10" t="s">
        <v>53</v>
      </c>
      <c r="T4998" s="10" t="s">
        <v>7340</v>
      </c>
    </row>
    <row r="4999" spans="1:20" ht="14.5" x14ac:dyDescent="0.35">
      <c r="A4999" s="10" t="s">
        <v>26502</v>
      </c>
      <c r="B4999" s="10" t="str">
        <f>"9781930556669"</f>
        <v>9781930556669</v>
      </c>
      <c r="C4999" s="10" t="str">
        <f>"9781317922919"</f>
        <v>9781317922919</v>
      </c>
      <c r="D4999" s="10" t="s">
        <v>6350</v>
      </c>
      <c r="E4999" s="10" t="s">
        <v>6351</v>
      </c>
      <c r="F4999" s="10" t="s">
        <v>5406</v>
      </c>
      <c r="G4999" s="10" t="s">
        <v>6352</v>
      </c>
      <c r="H4999" s="11">
        <v>38009</v>
      </c>
      <c r="I4999" s="10">
        <v>2004</v>
      </c>
      <c r="J4999" s="10" t="s">
        <v>6353</v>
      </c>
      <c r="K4999" s="10">
        <v>208</v>
      </c>
      <c r="L4999" s="10" t="s">
        <v>26503</v>
      </c>
      <c r="M4999" s="10">
        <v>1</v>
      </c>
      <c r="N4999" s="10"/>
      <c r="O4999" s="10"/>
      <c r="P4999" s="10" t="s">
        <v>26504</v>
      </c>
      <c r="Q4999" s="10">
        <v>372.11020000000002</v>
      </c>
      <c r="R4999" s="10" t="s">
        <v>26505</v>
      </c>
      <c r="S4999" s="10" t="s">
        <v>53</v>
      </c>
      <c r="T4999" s="10" t="s">
        <v>54</v>
      </c>
    </row>
    <row r="5000" spans="1:20" ht="14.5" x14ac:dyDescent="0.35">
      <c r="A5000" s="10" t="s">
        <v>26506</v>
      </c>
      <c r="B5000" s="10" t="str">
        <f>"9781930556676"</f>
        <v>9781930556676</v>
      </c>
      <c r="C5000" s="10" t="str">
        <f>"9781317919346"</f>
        <v>9781317919346</v>
      </c>
      <c r="D5000" s="10" t="s">
        <v>6350</v>
      </c>
      <c r="E5000" s="10" t="s">
        <v>6351</v>
      </c>
      <c r="F5000" s="10" t="s">
        <v>5406</v>
      </c>
      <c r="G5000" s="10" t="s">
        <v>6352</v>
      </c>
      <c r="H5000" s="11">
        <v>37910</v>
      </c>
      <c r="I5000" s="10">
        <v>2004</v>
      </c>
      <c r="J5000" s="10" t="s">
        <v>6353</v>
      </c>
      <c r="K5000" s="10">
        <v>174</v>
      </c>
      <c r="L5000" s="10" t="s">
        <v>26507</v>
      </c>
      <c r="M5000" s="10">
        <v>1</v>
      </c>
      <c r="N5000" s="10"/>
      <c r="O5000" s="10"/>
      <c r="P5000" s="10" t="s">
        <v>26508</v>
      </c>
      <c r="Q5000" s="10">
        <v>371.19</v>
      </c>
      <c r="R5000" s="10" t="s">
        <v>26509</v>
      </c>
      <c r="S5000" s="10" t="s">
        <v>53</v>
      </c>
      <c r="T5000" s="10" t="s">
        <v>54</v>
      </c>
    </row>
    <row r="5001" spans="1:20" ht="14.5" x14ac:dyDescent="0.35">
      <c r="A5001" s="10" t="s">
        <v>26510</v>
      </c>
      <c r="B5001" s="10" t="str">
        <f>"9781930556621"</f>
        <v>9781930556621</v>
      </c>
      <c r="C5001" s="10" t="str">
        <f>"9781317919377"</f>
        <v>9781317919377</v>
      </c>
      <c r="D5001" s="10" t="s">
        <v>6350</v>
      </c>
      <c r="E5001" s="10" t="s">
        <v>6351</v>
      </c>
      <c r="F5001" s="10" t="s">
        <v>5406</v>
      </c>
      <c r="G5001" s="10" t="s">
        <v>6352</v>
      </c>
      <c r="H5001" s="11">
        <v>37851</v>
      </c>
      <c r="I5001" s="10">
        <v>2004</v>
      </c>
      <c r="J5001" s="10" t="s">
        <v>6353</v>
      </c>
      <c r="K5001" s="10">
        <v>161</v>
      </c>
      <c r="L5001" s="10" t="s">
        <v>26511</v>
      </c>
      <c r="M5001" s="10">
        <v>1</v>
      </c>
      <c r="N5001" s="10"/>
      <c r="O5001" s="10"/>
      <c r="P5001" s="10" t="s">
        <v>26512</v>
      </c>
      <c r="Q5001" s="10">
        <v>379.15800000000002</v>
      </c>
      <c r="R5001" s="10" t="s">
        <v>26513</v>
      </c>
      <c r="S5001" s="10" t="s">
        <v>53</v>
      </c>
      <c r="T5001" s="10" t="s">
        <v>54</v>
      </c>
    </row>
    <row r="5002" spans="1:20" ht="14.5" x14ac:dyDescent="0.35">
      <c r="A5002" s="10" t="s">
        <v>26514</v>
      </c>
      <c r="B5002" s="10" t="str">
        <f>"9781930556645"</f>
        <v>9781930556645</v>
      </c>
      <c r="C5002" s="10" t="str">
        <f>"9781317930389"</f>
        <v>9781317930389</v>
      </c>
      <c r="D5002" s="10" t="s">
        <v>6350</v>
      </c>
      <c r="E5002" s="10" t="s">
        <v>6351</v>
      </c>
      <c r="F5002" s="10" t="s">
        <v>3967</v>
      </c>
      <c r="G5002" s="10" t="s">
        <v>6352</v>
      </c>
      <c r="H5002" s="11">
        <v>37816</v>
      </c>
      <c r="I5002" s="10">
        <v>2003</v>
      </c>
      <c r="J5002" s="10" t="s">
        <v>6353</v>
      </c>
      <c r="K5002" s="10">
        <v>121</v>
      </c>
      <c r="L5002" s="10" t="s">
        <v>26515</v>
      </c>
      <c r="M5002" s="10">
        <v>1</v>
      </c>
      <c r="N5002" s="10"/>
      <c r="O5002" s="10"/>
      <c r="P5002" s="10" t="s">
        <v>26516</v>
      </c>
      <c r="Q5002" s="10">
        <v>371.10199999999901</v>
      </c>
      <c r="R5002" s="10" t="s">
        <v>26517</v>
      </c>
      <c r="S5002" s="10" t="s">
        <v>53</v>
      </c>
      <c r="T5002" s="10" t="s">
        <v>54</v>
      </c>
    </row>
    <row r="5003" spans="1:20" ht="14.5" x14ac:dyDescent="0.35">
      <c r="A5003" s="10" t="s">
        <v>26518</v>
      </c>
      <c r="B5003" s="10" t="str">
        <f>"9781930556508"</f>
        <v>9781930556508</v>
      </c>
      <c r="C5003" s="10" t="str">
        <f>"9781317919469"</f>
        <v>9781317919469</v>
      </c>
      <c r="D5003" s="10" t="s">
        <v>6350</v>
      </c>
      <c r="E5003" s="10" t="s">
        <v>6351</v>
      </c>
      <c r="F5003" s="10" t="s">
        <v>748</v>
      </c>
      <c r="G5003" s="10" t="s">
        <v>6352</v>
      </c>
      <c r="H5003" s="11">
        <v>37554</v>
      </c>
      <c r="I5003" s="10">
        <v>2003</v>
      </c>
      <c r="J5003" s="10" t="s">
        <v>6351</v>
      </c>
      <c r="K5003" s="10">
        <v>167</v>
      </c>
      <c r="L5003" s="10" t="s">
        <v>26519</v>
      </c>
      <c r="M5003" s="10">
        <v>1</v>
      </c>
      <c r="N5003" s="10"/>
      <c r="O5003" s="10"/>
      <c r="P5003" s="10" t="s">
        <v>26520</v>
      </c>
      <c r="Q5003" s="10">
        <v>371.2</v>
      </c>
      <c r="R5003" s="10" t="s">
        <v>26521</v>
      </c>
      <c r="S5003" s="10" t="s">
        <v>53</v>
      </c>
      <c r="T5003" s="10" t="s">
        <v>54</v>
      </c>
    </row>
    <row r="5004" spans="1:20" ht="14.5" x14ac:dyDescent="0.35">
      <c r="A5004" s="10" t="s">
        <v>26522</v>
      </c>
      <c r="B5004" s="10" t="str">
        <f>"9780415289023"</f>
        <v>9780415289023</v>
      </c>
      <c r="C5004" s="10" t="str">
        <f>"9781136486401"</f>
        <v>9781136486401</v>
      </c>
      <c r="D5004" s="10" t="s">
        <v>6350</v>
      </c>
      <c r="E5004" s="10" t="s">
        <v>6351</v>
      </c>
      <c r="F5004" s="10" t="s">
        <v>139</v>
      </c>
      <c r="G5004" s="10" t="s">
        <v>6352</v>
      </c>
      <c r="H5004" s="11">
        <v>37575</v>
      </c>
      <c r="I5004" s="10">
        <v>2002</v>
      </c>
      <c r="J5004" s="10" t="s">
        <v>6353</v>
      </c>
      <c r="K5004" s="10">
        <v>401</v>
      </c>
      <c r="L5004" s="10" t="s">
        <v>7800</v>
      </c>
      <c r="M5004" s="10">
        <v>1</v>
      </c>
      <c r="N5004" s="10"/>
      <c r="O5004" s="10"/>
      <c r="P5004" s="10" t="s">
        <v>26523</v>
      </c>
      <c r="Q5004" s="10">
        <v>372.6</v>
      </c>
      <c r="R5004" s="10" t="s">
        <v>26524</v>
      </c>
      <c r="S5004" s="10" t="s">
        <v>53</v>
      </c>
      <c r="T5004" s="10" t="s">
        <v>54</v>
      </c>
    </row>
    <row r="5005" spans="1:20" ht="14.5" x14ac:dyDescent="0.35">
      <c r="A5005" s="10" t="s">
        <v>26525</v>
      </c>
      <c r="B5005" s="10" t="str">
        <f>"9781930556850"</f>
        <v>9781930556850</v>
      </c>
      <c r="C5005" s="10" t="str">
        <f>"9781317925798"</f>
        <v>9781317925798</v>
      </c>
      <c r="D5005" s="10" t="s">
        <v>6350</v>
      </c>
      <c r="E5005" s="10" t="s">
        <v>6351</v>
      </c>
      <c r="F5005" s="10" t="s">
        <v>3967</v>
      </c>
      <c r="G5005" s="10" t="s">
        <v>6352</v>
      </c>
      <c r="H5005" s="11">
        <v>38252</v>
      </c>
      <c r="I5005" s="10">
        <v>2005</v>
      </c>
      <c r="J5005" s="10" t="s">
        <v>6353</v>
      </c>
      <c r="K5005" s="10">
        <v>174</v>
      </c>
      <c r="L5005" s="10" t="s">
        <v>26526</v>
      </c>
      <c r="M5005" s="10">
        <v>1</v>
      </c>
      <c r="N5005" s="10"/>
      <c r="O5005" s="10"/>
      <c r="P5005" s="10" t="s">
        <v>26527</v>
      </c>
      <c r="Q5005" s="10">
        <v>371.1</v>
      </c>
      <c r="R5005" s="10" t="s">
        <v>22690</v>
      </c>
      <c r="S5005" s="10" t="s">
        <v>53</v>
      </c>
      <c r="T5005" s="10" t="s">
        <v>54</v>
      </c>
    </row>
    <row r="5006" spans="1:20" ht="14.5" x14ac:dyDescent="0.35">
      <c r="A5006" s="10" t="s">
        <v>26528</v>
      </c>
      <c r="B5006" s="10" t="str">
        <f>"9781930556935"</f>
        <v>9781930556935</v>
      </c>
      <c r="C5006" s="10" t="str">
        <f>"9781317930082"</f>
        <v>9781317930082</v>
      </c>
      <c r="D5006" s="10" t="s">
        <v>6350</v>
      </c>
      <c r="E5006" s="10" t="s">
        <v>6351</v>
      </c>
      <c r="F5006" s="10" t="s">
        <v>748</v>
      </c>
      <c r="G5006" s="10" t="s">
        <v>6352</v>
      </c>
      <c r="H5006" s="11">
        <v>38343</v>
      </c>
      <c r="I5006" s="10">
        <v>2005</v>
      </c>
      <c r="J5006" s="10" t="s">
        <v>6351</v>
      </c>
      <c r="K5006" s="10">
        <v>208</v>
      </c>
      <c r="L5006" s="10" t="s">
        <v>26529</v>
      </c>
      <c r="M5006" s="10">
        <v>1</v>
      </c>
      <c r="N5006" s="10"/>
      <c r="O5006" s="10"/>
      <c r="P5006" s="10" t="s">
        <v>26530</v>
      </c>
      <c r="Q5006" s="10">
        <v>373</v>
      </c>
      <c r="R5006" s="10" t="s">
        <v>26531</v>
      </c>
      <c r="S5006" s="10" t="s">
        <v>53</v>
      </c>
      <c r="T5006" s="10" t="s">
        <v>54</v>
      </c>
    </row>
    <row r="5007" spans="1:20" ht="14.5" x14ac:dyDescent="0.35">
      <c r="A5007" s="10" t="s">
        <v>26532</v>
      </c>
      <c r="B5007" s="10" t="str">
        <f>"9781930556539"</f>
        <v>9781930556539</v>
      </c>
      <c r="C5007" s="10" t="str">
        <f>"9781317926276"</f>
        <v>9781317926276</v>
      </c>
      <c r="D5007" s="10" t="s">
        <v>6350</v>
      </c>
      <c r="E5007" s="10" t="s">
        <v>6351</v>
      </c>
      <c r="F5007" s="10" t="s">
        <v>748</v>
      </c>
      <c r="G5007" s="10" t="s">
        <v>6352</v>
      </c>
      <c r="H5007" s="11">
        <v>37726</v>
      </c>
      <c r="I5007" s="10">
        <v>2003</v>
      </c>
      <c r="J5007" s="10" t="s">
        <v>6351</v>
      </c>
      <c r="K5007" s="10">
        <v>225</v>
      </c>
      <c r="L5007" s="10" t="s">
        <v>26533</v>
      </c>
      <c r="M5007" s="10">
        <v>1</v>
      </c>
      <c r="N5007" s="10"/>
      <c r="O5007" s="10"/>
      <c r="P5007" s="10" t="s">
        <v>26534</v>
      </c>
      <c r="Q5007" s="10">
        <v>371.20699999999999</v>
      </c>
      <c r="R5007" s="10" t="s">
        <v>9758</v>
      </c>
      <c r="S5007" s="10" t="s">
        <v>53</v>
      </c>
      <c r="T5007" s="10" t="s">
        <v>54</v>
      </c>
    </row>
    <row r="5008" spans="1:20" ht="14.5" x14ac:dyDescent="0.35">
      <c r="A5008" s="10" t="s">
        <v>26535</v>
      </c>
      <c r="B5008" s="10" t="str">
        <f>"9781596670396"</f>
        <v>9781596670396</v>
      </c>
      <c r="C5008" s="10" t="str">
        <f>"9781317923305"</f>
        <v>9781317923305</v>
      </c>
      <c r="D5008" s="10" t="s">
        <v>6350</v>
      </c>
      <c r="E5008" s="10" t="s">
        <v>6351</v>
      </c>
      <c r="F5008" s="10" t="s">
        <v>139</v>
      </c>
      <c r="G5008" s="10" t="s">
        <v>6352</v>
      </c>
      <c r="H5008" s="11">
        <v>42389</v>
      </c>
      <c r="I5008" s="10">
        <v>2007</v>
      </c>
      <c r="J5008" s="10" t="s">
        <v>6353</v>
      </c>
      <c r="K5008" s="10">
        <v>208</v>
      </c>
      <c r="L5008" s="10" t="s">
        <v>26536</v>
      </c>
      <c r="M5008" s="10">
        <v>2</v>
      </c>
      <c r="N5008" s="10"/>
      <c r="O5008" s="10"/>
      <c r="P5008" s="10" t="s">
        <v>26537</v>
      </c>
      <c r="Q5008" s="10">
        <v>370.71</v>
      </c>
      <c r="R5008" s="10" t="s">
        <v>26538</v>
      </c>
      <c r="S5008" s="10" t="s">
        <v>53</v>
      </c>
      <c r="T5008" s="10" t="s">
        <v>54</v>
      </c>
    </row>
    <row r="5009" spans="1:20" ht="14.5" x14ac:dyDescent="0.35">
      <c r="A5009" s="10" t="s">
        <v>26539</v>
      </c>
      <c r="B5009" s="10" t="str">
        <f>"9781596671126"</f>
        <v>9781596671126</v>
      </c>
      <c r="C5009" s="10" t="str">
        <f>"9781317926511"</f>
        <v>9781317926511</v>
      </c>
      <c r="D5009" s="10" t="s">
        <v>6350</v>
      </c>
      <c r="E5009" s="10" t="s">
        <v>6351</v>
      </c>
      <c r="F5009" s="10" t="s">
        <v>7115</v>
      </c>
      <c r="G5009" s="10" t="s">
        <v>6352</v>
      </c>
      <c r="H5009" s="11">
        <v>39947</v>
      </c>
      <c r="I5009" s="10">
        <v>2009</v>
      </c>
      <c r="J5009" s="10" t="s">
        <v>6353</v>
      </c>
      <c r="K5009" s="10">
        <v>194</v>
      </c>
      <c r="L5009" s="10" t="s">
        <v>26540</v>
      </c>
      <c r="M5009" s="10">
        <v>1</v>
      </c>
      <c r="N5009" s="10"/>
      <c r="O5009" s="10"/>
      <c r="P5009" s="10" t="s">
        <v>26541</v>
      </c>
      <c r="Q5009" s="10">
        <v>372.7</v>
      </c>
      <c r="R5009" s="10" t="s">
        <v>26542</v>
      </c>
      <c r="S5009" s="10" t="s">
        <v>53</v>
      </c>
      <c r="T5009" s="10" t="s">
        <v>6448</v>
      </c>
    </row>
    <row r="5010" spans="1:20" ht="14.5" x14ac:dyDescent="0.35">
      <c r="A5010" s="10" t="s">
        <v>26543</v>
      </c>
      <c r="B5010" s="10" t="str">
        <f>"9781930556737"</f>
        <v>9781930556737</v>
      </c>
      <c r="C5010" s="10" t="str">
        <f>"9781317919285"</f>
        <v>9781317919285</v>
      </c>
      <c r="D5010" s="10" t="s">
        <v>6350</v>
      </c>
      <c r="E5010" s="10" t="s">
        <v>6351</v>
      </c>
      <c r="F5010" s="10" t="s">
        <v>139</v>
      </c>
      <c r="G5010" s="10" t="s">
        <v>6352</v>
      </c>
      <c r="H5010" s="11">
        <v>38009</v>
      </c>
      <c r="I5010" s="10">
        <v>2004</v>
      </c>
      <c r="J5010" s="10" t="s">
        <v>6353</v>
      </c>
      <c r="K5010" s="10">
        <v>105</v>
      </c>
      <c r="L5010" s="10" t="s">
        <v>26544</v>
      </c>
      <c r="M5010" s="10">
        <v>1</v>
      </c>
      <c r="N5010" s="10"/>
      <c r="O5010" s="10"/>
      <c r="P5010" s="10" t="s">
        <v>26545</v>
      </c>
      <c r="Q5010" s="10">
        <v>371.14100000000002</v>
      </c>
      <c r="R5010" s="10" t="s">
        <v>26546</v>
      </c>
      <c r="S5010" s="10" t="s">
        <v>53</v>
      </c>
      <c r="T5010" s="10" t="s">
        <v>54</v>
      </c>
    </row>
    <row r="5011" spans="1:20" ht="14.5" x14ac:dyDescent="0.35">
      <c r="A5011" s="10" t="s">
        <v>26547</v>
      </c>
      <c r="B5011" s="10" t="str">
        <f>"9781452285955"</f>
        <v>9781452285955</v>
      </c>
      <c r="C5011" s="10" t="str">
        <f>"9781452285917"</f>
        <v>9781452285917</v>
      </c>
      <c r="D5011" s="10" t="s">
        <v>22210</v>
      </c>
      <c r="E5011" s="10" t="s">
        <v>22211</v>
      </c>
      <c r="F5011" s="10" t="s">
        <v>333</v>
      </c>
      <c r="G5011" s="10" t="s">
        <v>6317</v>
      </c>
      <c r="H5011" s="11">
        <v>41557</v>
      </c>
      <c r="I5011" s="10">
        <v>2013</v>
      </c>
      <c r="J5011" s="10" t="s">
        <v>22211</v>
      </c>
      <c r="K5011" s="10">
        <v>185</v>
      </c>
      <c r="L5011" s="10" t="s">
        <v>24363</v>
      </c>
      <c r="M5011" s="10">
        <v>1</v>
      </c>
      <c r="N5011" s="10"/>
      <c r="O5011" s="10"/>
      <c r="P5011" s="10" t="s">
        <v>26548</v>
      </c>
      <c r="Q5011" s="10">
        <v>379.15709764000002</v>
      </c>
      <c r="R5011" s="10"/>
      <c r="S5011" s="10" t="s">
        <v>53</v>
      </c>
      <c r="T5011" s="10" t="s">
        <v>54</v>
      </c>
    </row>
    <row r="5012" spans="1:20" ht="14.5" x14ac:dyDescent="0.35">
      <c r="A5012" s="10" t="s">
        <v>26549</v>
      </c>
      <c r="B5012" s="10" t="str">
        <f>"9780691133829"</f>
        <v>9780691133829</v>
      </c>
      <c r="C5012" s="10" t="str">
        <f>"9781400849369"</f>
        <v>9781400849369</v>
      </c>
      <c r="D5012" s="10" t="s">
        <v>14335</v>
      </c>
      <c r="E5012" s="10" t="s">
        <v>14336</v>
      </c>
      <c r="F5012" s="10" t="s">
        <v>2246</v>
      </c>
      <c r="G5012" s="10" t="s">
        <v>6317</v>
      </c>
      <c r="H5012" s="11">
        <v>38425</v>
      </c>
      <c r="I5012" s="10">
        <v>2005</v>
      </c>
      <c r="J5012" s="10" t="s">
        <v>14336</v>
      </c>
      <c r="K5012" s="10">
        <v>423</v>
      </c>
      <c r="L5012" s="10" t="s">
        <v>26550</v>
      </c>
      <c r="M5012" s="10">
        <v>1</v>
      </c>
      <c r="N5012" s="10"/>
      <c r="O5012" s="10"/>
      <c r="P5012" s="10" t="s">
        <v>26551</v>
      </c>
      <c r="Q5012" s="10" t="s">
        <v>26552</v>
      </c>
      <c r="R5012" s="10"/>
      <c r="S5012" s="10" t="s">
        <v>53</v>
      </c>
      <c r="T5012" s="10" t="s">
        <v>389</v>
      </c>
    </row>
    <row r="5013" spans="1:20" ht="14.5" x14ac:dyDescent="0.35">
      <c r="A5013" s="10" t="s">
        <v>26553</v>
      </c>
      <c r="B5013" s="10" t="str">
        <f>"9781118633939"</f>
        <v>9781118633939</v>
      </c>
      <c r="C5013" s="10" t="str">
        <f>"9781118748060"</f>
        <v>9781118748060</v>
      </c>
      <c r="D5013" s="10" t="s">
        <v>6322</v>
      </c>
      <c r="E5013" s="10" t="s">
        <v>6323</v>
      </c>
      <c r="F5013" s="10" t="s">
        <v>4423</v>
      </c>
      <c r="G5013" s="10" t="s">
        <v>6317</v>
      </c>
      <c r="H5013" s="11">
        <v>41568</v>
      </c>
      <c r="I5013" s="10">
        <v>2013</v>
      </c>
      <c r="J5013" s="10" t="s">
        <v>6324</v>
      </c>
      <c r="K5013" s="10">
        <v>162</v>
      </c>
      <c r="L5013" s="10" t="s">
        <v>26554</v>
      </c>
      <c r="M5013" s="10">
        <v>1</v>
      </c>
      <c r="N5013" s="10"/>
      <c r="O5013" s="10"/>
      <c r="P5013" s="10" t="s">
        <v>26555</v>
      </c>
      <c r="Q5013" s="10">
        <v>371.10239999999999</v>
      </c>
      <c r="R5013" s="10" t="s">
        <v>26556</v>
      </c>
      <c r="S5013" s="10" t="s">
        <v>53</v>
      </c>
      <c r="T5013" s="10" t="s">
        <v>54</v>
      </c>
    </row>
    <row r="5014" spans="1:20" ht="14.5" x14ac:dyDescent="0.35">
      <c r="A5014" s="10" t="s">
        <v>26557</v>
      </c>
      <c r="B5014" s="10" t="str">
        <f>"9781452234779"</f>
        <v>9781452234779</v>
      </c>
      <c r="C5014" s="10" t="str">
        <f>"9781452278186"</f>
        <v>9781452278186</v>
      </c>
      <c r="D5014" s="10" t="s">
        <v>22210</v>
      </c>
      <c r="E5014" s="10" t="s">
        <v>22211</v>
      </c>
      <c r="F5014" s="10" t="s">
        <v>333</v>
      </c>
      <c r="G5014" s="10" t="s">
        <v>6317</v>
      </c>
      <c r="H5014" s="11">
        <v>41548</v>
      </c>
      <c r="I5014" s="10">
        <v>2014</v>
      </c>
      <c r="J5014" s="10" t="s">
        <v>22211</v>
      </c>
      <c r="K5014" s="10">
        <v>201</v>
      </c>
      <c r="L5014" s="10" t="s">
        <v>26558</v>
      </c>
      <c r="M5014" s="10">
        <v>1</v>
      </c>
      <c r="N5014" s="10"/>
      <c r="O5014" s="10"/>
      <c r="P5014" s="10" t="s">
        <v>26559</v>
      </c>
      <c r="Q5014" s="10">
        <v>372.65210000000002</v>
      </c>
      <c r="R5014" s="10"/>
      <c r="S5014" s="10" t="s">
        <v>53</v>
      </c>
      <c r="T5014" s="10" t="s">
        <v>6498</v>
      </c>
    </row>
    <row r="5015" spans="1:20" ht="14.5" x14ac:dyDescent="0.35">
      <c r="A5015" s="10" t="s">
        <v>26560</v>
      </c>
      <c r="B5015" s="10" t="str">
        <f>"9781853466694"</f>
        <v>9781853466694</v>
      </c>
      <c r="C5015" s="10" t="str">
        <f>"9781136611650"</f>
        <v>9781136611650</v>
      </c>
      <c r="D5015" s="10" t="s">
        <v>6350</v>
      </c>
      <c r="E5015" s="10" t="s">
        <v>15120</v>
      </c>
      <c r="F5015" s="10" t="s">
        <v>748</v>
      </c>
      <c r="G5015" s="10" t="s">
        <v>6352</v>
      </c>
      <c r="H5015" s="11">
        <v>37484</v>
      </c>
      <c r="I5015" s="10">
        <v>2002</v>
      </c>
      <c r="J5015" s="10" t="s">
        <v>15120</v>
      </c>
      <c r="K5015" s="10">
        <v>147</v>
      </c>
      <c r="L5015" s="10" t="s">
        <v>26561</v>
      </c>
      <c r="M5015" s="10">
        <v>1</v>
      </c>
      <c r="N5015" s="10"/>
      <c r="O5015" s="10"/>
      <c r="P5015" s="10" t="s">
        <v>26562</v>
      </c>
      <c r="Q5015" s="10">
        <v>371.94</v>
      </c>
      <c r="R5015" s="10" t="s">
        <v>10837</v>
      </c>
      <c r="S5015" s="10" t="s">
        <v>53</v>
      </c>
      <c r="T5015" s="10" t="s">
        <v>54</v>
      </c>
    </row>
    <row r="5016" spans="1:20" ht="14.5" x14ac:dyDescent="0.35">
      <c r="A5016" s="10" t="s">
        <v>26563</v>
      </c>
      <c r="B5016" s="10" t="str">
        <f>"9780713040463"</f>
        <v>9780713040463</v>
      </c>
      <c r="C5016" s="10" t="str">
        <f>"9781134981618"</f>
        <v>9781134981618</v>
      </c>
      <c r="D5016" s="10" t="s">
        <v>6350</v>
      </c>
      <c r="E5016" s="10" t="s">
        <v>6351</v>
      </c>
      <c r="F5016" s="10" t="s">
        <v>139</v>
      </c>
      <c r="G5016" s="10" t="s">
        <v>6352</v>
      </c>
      <c r="H5016" s="11">
        <v>38664</v>
      </c>
      <c r="I5016" s="10">
        <v>2002</v>
      </c>
      <c r="J5016" s="10" t="s">
        <v>6353</v>
      </c>
      <c r="K5016" s="10">
        <v>291</v>
      </c>
      <c r="L5016" s="10" t="s">
        <v>26564</v>
      </c>
      <c r="M5016" s="10">
        <v>1</v>
      </c>
      <c r="N5016" s="10" t="s">
        <v>8129</v>
      </c>
      <c r="O5016" s="10"/>
      <c r="P5016" s="10" t="s">
        <v>26565</v>
      </c>
      <c r="Q5016" s="10">
        <v>371.822</v>
      </c>
      <c r="R5016" s="10" t="s">
        <v>6362</v>
      </c>
      <c r="S5016" s="10" t="s">
        <v>53</v>
      </c>
      <c r="T5016" s="10" t="s">
        <v>54</v>
      </c>
    </row>
    <row r="5017" spans="1:20" ht="14.5" x14ac:dyDescent="0.35">
      <c r="A5017" s="10" t="s">
        <v>26566</v>
      </c>
      <c r="B5017" s="10" t="str">
        <f>"9781596670075"</f>
        <v>9781596670075</v>
      </c>
      <c r="C5017" s="10" t="str">
        <f>"9781317923152"</f>
        <v>9781317923152</v>
      </c>
      <c r="D5017" s="10" t="s">
        <v>6350</v>
      </c>
      <c r="E5017" s="10" t="s">
        <v>6351</v>
      </c>
      <c r="F5017" s="10" t="s">
        <v>139</v>
      </c>
      <c r="G5017" s="10" t="s">
        <v>6352</v>
      </c>
      <c r="H5017" s="11">
        <v>38551</v>
      </c>
      <c r="I5017" s="10">
        <v>2005</v>
      </c>
      <c r="J5017" s="10" t="s">
        <v>6353</v>
      </c>
      <c r="K5017" s="10">
        <v>161</v>
      </c>
      <c r="L5017" s="10" t="s">
        <v>26567</v>
      </c>
      <c r="M5017" s="10">
        <v>1</v>
      </c>
      <c r="N5017" s="10"/>
      <c r="O5017" s="10"/>
      <c r="P5017" s="10" t="s">
        <v>26568</v>
      </c>
      <c r="Q5017" s="10">
        <v>371.2</v>
      </c>
      <c r="R5017" s="10" t="s">
        <v>26569</v>
      </c>
      <c r="S5017" s="10" t="s">
        <v>53</v>
      </c>
      <c r="T5017" s="10" t="s">
        <v>54</v>
      </c>
    </row>
    <row r="5018" spans="1:20" ht="14.5" x14ac:dyDescent="0.35">
      <c r="A5018" s="10" t="s">
        <v>26570</v>
      </c>
      <c r="B5018" s="10" t="str">
        <f>"9781596671379"</f>
        <v>9781596671379</v>
      </c>
      <c r="C5018" s="10" t="str">
        <f>"9781317926184"</f>
        <v>9781317926184</v>
      </c>
      <c r="D5018" s="10" t="s">
        <v>6350</v>
      </c>
      <c r="E5018" s="10" t="s">
        <v>6351</v>
      </c>
      <c r="F5018" s="10" t="s">
        <v>139</v>
      </c>
      <c r="G5018" s="10" t="s">
        <v>6352</v>
      </c>
      <c r="H5018" s="11">
        <v>38535</v>
      </c>
      <c r="I5018" s="10">
        <v>2005</v>
      </c>
      <c r="J5018" s="10" t="s">
        <v>6353</v>
      </c>
      <c r="K5018" s="10">
        <v>141</v>
      </c>
      <c r="L5018" s="10" t="s">
        <v>26571</v>
      </c>
      <c r="M5018" s="10">
        <v>1</v>
      </c>
      <c r="N5018" s="10"/>
      <c r="O5018" s="10"/>
      <c r="P5018" s="10" t="s">
        <v>26572</v>
      </c>
      <c r="Q5018" s="10">
        <v>371.39400000000001</v>
      </c>
      <c r="R5018" s="10" t="s">
        <v>24651</v>
      </c>
      <c r="S5018" s="10" t="s">
        <v>53</v>
      </c>
      <c r="T5018" s="10" t="s">
        <v>54</v>
      </c>
    </row>
    <row r="5019" spans="1:20" ht="14.5" x14ac:dyDescent="0.35">
      <c r="A5019" s="10" t="s">
        <v>26573</v>
      </c>
      <c r="B5019" s="10" t="str">
        <f>"9781596672178"</f>
        <v>9781596672178</v>
      </c>
      <c r="C5019" s="10" t="str">
        <f>"9781317929963"</f>
        <v>9781317929963</v>
      </c>
      <c r="D5019" s="10" t="s">
        <v>6350</v>
      </c>
      <c r="E5019" s="10" t="s">
        <v>6351</v>
      </c>
      <c r="F5019" s="10" t="s">
        <v>139</v>
      </c>
      <c r="G5019" s="10" t="s">
        <v>6352</v>
      </c>
      <c r="H5019" s="11">
        <v>40982</v>
      </c>
      <c r="I5019" s="10">
        <v>2012</v>
      </c>
      <c r="J5019" s="10" t="s">
        <v>6353</v>
      </c>
      <c r="K5019" s="10">
        <v>448</v>
      </c>
      <c r="L5019" s="10" t="s">
        <v>26574</v>
      </c>
      <c r="M5019" s="10">
        <v>5</v>
      </c>
      <c r="N5019" s="10"/>
      <c r="O5019" s="10"/>
      <c r="P5019" s="10" t="s">
        <v>26575</v>
      </c>
      <c r="Q5019" s="10" t="s">
        <v>26576</v>
      </c>
      <c r="R5019" s="10" t="s">
        <v>26577</v>
      </c>
      <c r="S5019" s="10" t="s">
        <v>53</v>
      </c>
      <c r="T5019" s="10" t="s">
        <v>54</v>
      </c>
    </row>
    <row r="5020" spans="1:20" ht="14.5" x14ac:dyDescent="0.35">
      <c r="A5020" s="10" t="s">
        <v>26578</v>
      </c>
      <c r="B5020" s="10" t="str">
        <f>"9780691123103"</f>
        <v>9780691123103</v>
      </c>
      <c r="C5020" s="10" t="str">
        <f>"9781400849673"</f>
        <v>9781400849673</v>
      </c>
      <c r="D5020" s="10" t="s">
        <v>14335</v>
      </c>
      <c r="E5020" s="10" t="s">
        <v>14336</v>
      </c>
      <c r="F5020" s="10" t="s">
        <v>2246</v>
      </c>
      <c r="G5020" s="10" t="s">
        <v>6317</v>
      </c>
      <c r="H5020" s="11">
        <v>38887</v>
      </c>
      <c r="I5020" s="10">
        <v>2006</v>
      </c>
      <c r="J5020" s="10" t="s">
        <v>14336</v>
      </c>
      <c r="K5020" s="10">
        <v>431</v>
      </c>
      <c r="L5020" s="10" t="s">
        <v>26579</v>
      </c>
      <c r="M5020" s="10">
        <v>1</v>
      </c>
      <c r="N5020" s="10"/>
      <c r="O5020" s="10"/>
      <c r="P5020" s="10" t="s">
        <v>26580</v>
      </c>
      <c r="Q5020" s="10">
        <v>530.11</v>
      </c>
      <c r="R5020" s="10" t="s">
        <v>26581</v>
      </c>
      <c r="S5020" s="10" t="s">
        <v>53</v>
      </c>
      <c r="T5020" s="10" t="s">
        <v>11578</v>
      </c>
    </row>
    <row r="5021" spans="1:20" ht="14.5" x14ac:dyDescent="0.35">
      <c r="A5021" s="10" t="s">
        <v>26582</v>
      </c>
      <c r="B5021" s="10" t="str">
        <f>"9781416616177"</f>
        <v>9781416616177</v>
      </c>
      <c r="C5021" s="10" t="str">
        <f>"9781416617730"</f>
        <v>9781416617730</v>
      </c>
      <c r="D5021" s="10" t="s">
        <v>10014</v>
      </c>
      <c r="E5021" s="10" t="s">
        <v>10015</v>
      </c>
      <c r="F5021" s="10" t="s">
        <v>201</v>
      </c>
      <c r="G5021" s="10" t="s">
        <v>6317</v>
      </c>
      <c r="H5021" s="11">
        <v>41547</v>
      </c>
      <c r="I5021" s="10">
        <v>2013</v>
      </c>
      <c r="J5021" s="10" t="s">
        <v>10015</v>
      </c>
      <c r="K5021" s="10">
        <v>174</v>
      </c>
      <c r="L5021" s="10" t="s">
        <v>26583</v>
      </c>
      <c r="M5021" s="10">
        <v>1</v>
      </c>
      <c r="N5021" s="10"/>
      <c r="O5021" s="10"/>
      <c r="P5021" s="10" t="s">
        <v>26584</v>
      </c>
      <c r="Q5021" s="10" t="s">
        <v>10031</v>
      </c>
      <c r="R5021" s="10" t="s">
        <v>26585</v>
      </c>
      <c r="S5021" s="10" t="s">
        <v>53</v>
      </c>
      <c r="T5021" s="10" t="s">
        <v>54</v>
      </c>
    </row>
    <row r="5022" spans="1:20" ht="14.5" x14ac:dyDescent="0.35">
      <c r="A5022" s="10" t="s">
        <v>26586</v>
      </c>
      <c r="B5022" s="10" t="str">
        <f>"9781118526507"</f>
        <v>9781118526507</v>
      </c>
      <c r="C5022" s="10" t="str">
        <f>"9781118584835"</f>
        <v>9781118584835</v>
      </c>
      <c r="D5022" s="10" t="s">
        <v>6322</v>
      </c>
      <c r="E5022" s="10" t="s">
        <v>6323</v>
      </c>
      <c r="F5022" s="10" t="s">
        <v>4423</v>
      </c>
      <c r="G5022" s="10" t="s">
        <v>6317</v>
      </c>
      <c r="H5022" s="11">
        <v>41568</v>
      </c>
      <c r="I5022" s="10">
        <v>2014</v>
      </c>
      <c r="J5022" s="10" t="s">
        <v>6324</v>
      </c>
      <c r="K5022" s="10">
        <v>370</v>
      </c>
      <c r="L5022" s="10" t="s">
        <v>26587</v>
      </c>
      <c r="M5022" s="10">
        <v>1</v>
      </c>
      <c r="N5022" s="10"/>
      <c r="O5022" s="10"/>
      <c r="P5022" s="10" t="s">
        <v>26588</v>
      </c>
      <c r="Q5022" s="10">
        <v>372.64044000000001</v>
      </c>
      <c r="R5022" s="10" t="s">
        <v>26589</v>
      </c>
      <c r="S5022" s="10" t="s">
        <v>53</v>
      </c>
      <c r="T5022" s="10" t="s">
        <v>54</v>
      </c>
    </row>
    <row r="5023" spans="1:20" ht="14.5" x14ac:dyDescent="0.35">
      <c r="A5023" s="10" t="s">
        <v>26590</v>
      </c>
      <c r="B5023" s="10" t="str">
        <f>""</f>
        <v/>
      </c>
      <c r="C5023" s="10" t="str">
        <f>"9781118368763"</f>
        <v>9781118368763</v>
      </c>
      <c r="D5023" s="10" t="s">
        <v>6322</v>
      </c>
      <c r="E5023" s="10" t="s">
        <v>6323</v>
      </c>
      <c r="F5023" s="10" t="s">
        <v>4423</v>
      </c>
      <c r="G5023" s="10" t="s">
        <v>6352</v>
      </c>
      <c r="H5023" s="11">
        <v>41612</v>
      </c>
      <c r="I5023" s="10">
        <v>2014</v>
      </c>
      <c r="J5023" s="10" t="s">
        <v>8436</v>
      </c>
      <c r="K5023" s="10">
        <v>169</v>
      </c>
      <c r="L5023" s="10" t="s">
        <v>26591</v>
      </c>
      <c r="M5023" s="10">
        <v>1</v>
      </c>
      <c r="N5023" s="10" t="s">
        <v>18839</v>
      </c>
      <c r="O5023" s="10"/>
      <c r="P5023" s="10"/>
      <c r="Q5023" s="10">
        <v>155.09200000000001</v>
      </c>
      <c r="R5023" s="10" t="s">
        <v>7528</v>
      </c>
      <c r="S5023" s="10" t="s">
        <v>53</v>
      </c>
      <c r="T5023" s="10" t="s">
        <v>483</v>
      </c>
    </row>
    <row r="5024" spans="1:20" ht="14.5" x14ac:dyDescent="0.35">
      <c r="A5024" s="10" t="s">
        <v>26592</v>
      </c>
      <c r="B5024" s="10" t="str">
        <f>"9789814408288"</f>
        <v>9789814408288</v>
      </c>
      <c r="C5024" s="10" t="str">
        <f>"9789814484831"</f>
        <v>9789814484831</v>
      </c>
      <c r="D5024" s="10" t="s">
        <v>26593</v>
      </c>
      <c r="E5024" s="10" t="s">
        <v>26594</v>
      </c>
      <c r="F5024" s="10" t="s">
        <v>549</v>
      </c>
      <c r="G5024" s="10" t="s">
        <v>8573</v>
      </c>
      <c r="H5024" s="11">
        <v>41548</v>
      </c>
      <c r="I5024" s="10">
        <v>2013</v>
      </c>
      <c r="J5024" s="10" t="s">
        <v>26595</v>
      </c>
      <c r="K5024" s="10">
        <v>257</v>
      </c>
      <c r="L5024" s="10" t="s">
        <v>26596</v>
      </c>
      <c r="M5024" s="10">
        <v>1</v>
      </c>
      <c r="N5024" s="10"/>
      <c r="O5024" s="10"/>
      <c r="P5024" s="10" t="s">
        <v>26597</v>
      </c>
      <c r="Q5024" s="10">
        <v>179.9</v>
      </c>
      <c r="R5024" s="10" t="s">
        <v>26598</v>
      </c>
      <c r="S5024" s="10" t="s">
        <v>53</v>
      </c>
      <c r="T5024" s="10" t="s">
        <v>12423</v>
      </c>
    </row>
    <row r="5025" spans="1:20" ht="14.5" x14ac:dyDescent="0.35">
      <c r="A5025" s="10" t="s">
        <v>26599</v>
      </c>
      <c r="B5025" s="10" t="str">
        <f>"9789004258617"</f>
        <v>9789004258617</v>
      </c>
      <c r="C5025" s="10" t="str">
        <f>"9789004260597"</f>
        <v>9789004260597</v>
      </c>
      <c r="D5025" s="10" t="s">
        <v>8564</v>
      </c>
      <c r="E5025" s="10" t="s">
        <v>8565</v>
      </c>
      <c r="F5025" s="10" t="s">
        <v>1420</v>
      </c>
      <c r="G5025" s="10" t="s">
        <v>6317</v>
      </c>
      <c r="H5025" s="11">
        <v>41536</v>
      </c>
      <c r="I5025" s="10">
        <v>2013</v>
      </c>
      <c r="J5025" s="10" t="s">
        <v>8565</v>
      </c>
      <c r="K5025" s="10">
        <v>261</v>
      </c>
      <c r="L5025" s="10" t="s">
        <v>26600</v>
      </c>
      <c r="M5025" s="10">
        <v>1</v>
      </c>
      <c r="N5025" s="10" t="s">
        <v>26601</v>
      </c>
      <c r="O5025" s="10">
        <v>37</v>
      </c>
      <c r="P5025" s="10" t="s">
        <v>26602</v>
      </c>
      <c r="Q5025" s="10">
        <v>261</v>
      </c>
      <c r="R5025" s="10" t="s">
        <v>26603</v>
      </c>
      <c r="S5025" s="10" t="s">
        <v>53</v>
      </c>
      <c r="T5025" s="10" t="s">
        <v>7863</v>
      </c>
    </row>
    <row r="5026" spans="1:20" ht="14.5" x14ac:dyDescent="0.35">
      <c r="A5026" s="10" t="s">
        <v>26604</v>
      </c>
      <c r="B5026" s="10" t="str">
        <f>"9781452255491"</f>
        <v>9781452255491</v>
      </c>
      <c r="C5026" s="10" t="str">
        <f>"9781483332413"</f>
        <v>9781483332413</v>
      </c>
      <c r="D5026" s="10" t="s">
        <v>22210</v>
      </c>
      <c r="E5026" s="10" t="s">
        <v>22211</v>
      </c>
      <c r="F5026" s="10" t="s">
        <v>333</v>
      </c>
      <c r="G5026" s="10" t="s">
        <v>6317</v>
      </c>
      <c r="H5026" s="11">
        <v>41570</v>
      </c>
      <c r="I5026" s="10">
        <v>2014</v>
      </c>
      <c r="J5026" s="10" t="s">
        <v>22211</v>
      </c>
      <c r="K5026" s="10">
        <v>217</v>
      </c>
      <c r="L5026" s="10" t="s">
        <v>26605</v>
      </c>
      <c r="M5026" s="10">
        <v>1</v>
      </c>
      <c r="N5026" s="10"/>
      <c r="O5026" s="10"/>
      <c r="P5026" s="10" t="s">
        <v>26606</v>
      </c>
      <c r="Q5026" s="10">
        <v>371.3</v>
      </c>
      <c r="R5026" s="10"/>
      <c r="S5026" s="10" t="s">
        <v>53</v>
      </c>
      <c r="T5026" s="10" t="s">
        <v>54</v>
      </c>
    </row>
    <row r="5027" spans="1:20" ht="14.5" x14ac:dyDescent="0.35">
      <c r="A5027" s="10" t="s">
        <v>26607</v>
      </c>
      <c r="B5027" s="10" t="str">
        <f>"9780415563871"</f>
        <v>9780415563871</v>
      </c>
      <c r="C5027" s="10" t="str">
        <f>"9781136682162"</f>
        <v>9781136682162</v>
      </c>
      <c r="D5027" s="10" t="s">
        <v>6350</v>
      </c>
      <c r="E5027" s="10" t="s">
        <v>6351</v>
      </c>
      <c r="F5027" s="10" t="s">
        <v>139</v>
      </c>
      <c r="G5027" s="10" t="s">
        <v>6352</v>
      </c>
      <c r="H5027" s="11">
        <v>40781</v>
      </c>
      <c r="I5027" s="10">
        <v>2012</v>
      </c>
      <c r="J5027" s="10" t="s">
        <v>6353</v>
      </c>
      <c r="K5027" s="10">
        <v>192</v>
      </c>
      <c r="L5027" s="10" t="s">
        <v>26608</v>
      </c>
      <c r="M5027" s="10">
        <v>1</v>
      </c>
      <c r="N5027" s="10" t="s">
        <v>26609</v>
      </c>
      <c r="O5027" s="10"/>
      <c r="P5027" s="10" t="s">
        <v>26610</v>
      </c>
      <c r="Q5027" s="10">
        <v>910.71240999999998</v>
      </c>
      <c r="R5027" s="10" t="s">
        <v>21799</v>
      </c>
      <c r="S5027" s="10" t="s">
        <v>53</v>
      </c>
      <c r="T5027" s="10" t="s">
        <v>12094</v>
      </c>
    </row>
    <row r="5028" spans="1:20" ht="14.5" x14ac:dyDescent="0.35">
      <c r="A5028" s="10" t="s">
        <v>26611</v>
      </c>
      <c r="B5028" s="10" t="str">
        <f>"9780872073005"</f>
        <v>9780872073005</v>
      </c>
      <c r="C5028" s="10" t="str">
        <f>"9781135854140"</f>
        <v>9781135854140</v>
      </c>
      <c r="D5028" s="10" t="s">
        <v>6350</v>
      </c>
      <c r="E5028" s="10" t="s">
        <v>6351</v>
      </c>
      <c r="F5028" s="10" t="s">
        <v>5406</v>
      </c>
      <c r="G5028" s="10" t="s">
        <v>6352</v>
      </c>
      <c r="H5028" s="11">
        <v>37469</v>
      </c>
      <c r="I5028" s="10">
        <v>2002</v>
      </c>
      <c r="J5028" s="10" t="s">
        <v>6353</v>
      </c>
      <c r="K5028" s="10">
        <v>177</v>
      </c>
      <c r="L5028" s="10" t="s">
        <v>26612</v>
      </c>
      <c r="M5028" s="10">
        <v>1</v>
      </c>
      <c r="N5028" s="10" t="s">
        <v>26334</v>
      </c>
      <c r="O5028" s="10"/>
      <c r="P5028" s="10" t="s">
        <v>26613</v>
      </c>
      <c r="Q5028" s="10" t="s">
        <v>9527</v>
      </c>
      <c r="R5028" s="10" t="s">
        <v>26614</v>
      </c>
      <c r="S5028" s="10" t="s">
        <v>53</v>
      </c>
      <c r="T5028" s="10" t="s">
        <v>6472</v>
      </c>
    </row>
    <row r="5029" spans="1:20" ht="14.5" x14ac:dyDescent="0.35">
      <c r="A5029" s="10" t="s">
        <v>26615</v>
      </c>
      <c r="B5029" s="10" t="str">
        <f>"9789026519338"</f>
        <v>9789026519338</v>
      </c>
      <c r="C5029" s="10" t="str">
        <f>"9781134381104"</f>
        <v>9781134381104</v>
      </c>
      <c r="D5029" s="10" t="s">
        <v>6350</v>
      </c>
      <c r="E5029" s="10" t="s">
        <v>6351</v>
      </c>
      <c r="F5029" s="10" t="s">
        <v>139</v>
      </c>
      <c r="G5029" s="10" t="s">
        <v>6352</v>
      </c>
      <c r="H5029" s="11">
        <v>37257</v>
      </c>
      <c r="I5029" s="10">
        <v>2002</v>
      </c>
      <c r="J5029" s="10" t="s">
        <v>6353</v>
      </c>
      <c r="K5029" s="10">
        <v>282</v>
      </c>
      <c r="L5029" s="10" t="s">
        <v>26616</v>
      </c>
      <c r="M5029" s="10">
        <v>1</v>
      </c>
      <c r="N5029" s="10" t="s">
        <v>9322</v>
      </c>
      <c r="O5029" s="10"/>
      <c r="P5029" s="10" t="s">
        <v>26617</v>
      </c>
      <c r="Q5029" s="10">
        <v>371.2</v>
      </c>
      <c r="R5029" s="10" t="s">
        <v>13845</v>
      </c>
      <c r="S5029" s="10" t="s">
        <v>53</v>
      </c>
      <c r="T5029" s="10" t="s">
        <v>54</v>
      </c>
    </row>
    <row r="5030" spans="1:20" ht="14.5" x14ac:dyDescent="0.35">
      <c r="A5030" s="10" t="s">
        <v>26618</v>
      </c>
      <c r="B5030" s="10" t="str">
        <f>"9780415636278"</f>
        <v>9780415636278</v>
      </c>
      <c r="C5030" s="10" t="str">
        <f>"9781134466856"</f>
        <v>9781134466856</v>
      </c>
      <c r="D5030" s="10" t="s">
        <v>6350</v>
      </c>
      <c r="E5030" s="10" t="s">
        <v>6351</v>
      </c>
      <c r="F5030" s="10" t="s">
        <v>139</v>
      </c>
      <c r="G5030" s="10" t="s">
        <v>6352</v>
      </c>
      <c r="H5030" s="11">
        <v>41543</v>
      </c>
      <c r="I5030" s="10">
        <v>2013</v>
      </c>
      <c r="J5030" s="10" t="s">
        <v>6353</v>
      </c>
      <c r="K5030" s="10">
        <v>378</v>
      </c>
      <c r="L5030" s="10" t="s">
        <v>26619</v>
      </c>
      <c r="M5030" s="10">
        <v>1</v>
      </c>
      <c r="N5030" s="10" t="s">
        <v>6954</v>
      </c>
      <c r="O5030" s="10"/>
      <c r="P5030" s="10" t="s">
        <v>26620</v>
      </c>
      <c r="Q5030" s="10">
        <v>418.00711000000001</v>
      </c>
      <c r="R5030" s="10" t="s">
        <v>16831</v>
      </c>
      <c r="S5030" s="10" t="s">
        <v>53</v>
      </c>
      <c r="T5030" s="10" t="s">
        <v>6616</v>
      </c>
    </row>
    <row r="5031" spans="1:20" ht="14.5" x14ac:dyDescent="0.35">
      <c r="A5031" s="10" t="s">
        <v>26621</v>
      </c>
      <c r="B5031" s="10" t="str">
        <f>"9781412941600"</f>
        <v>9781412941600</v>
      </c>
      <c r="C5031" s="10" t="str">
        <f>"9781452210018"</f>
        <v>9781452210018</v>
      </c>
      <c r="D5031" s="10" t="s">
        <v>22210</v>
      </c>
      <c r="E5031" s="10" t="s">
        <v>22211</v>
      </c>
      <c r="F5031" s="10" t="s">
        <v>333</v>
      </c>
      <c r="G5031" s="10" t="s">
        <v>6317</v>
      </c>
      <c r="H5031" s="11">
        <v>39169</v>
      </c>
      <c r="I5031" s="10">
        <v>2007</v>
      </c>
      <c r="J5031" s="10" t="s">
        <v>22211</v>
      </c>
      <c r="K5031" s="10">
        <v>209</v>
      </c>
      <c r="L5031" s="10" t="s">
        <v>23551</v>
      </c>
      <c r="M5031" s="10">
        <v>1</v>
      </c>
      <c r="N5031" s="10"/>
      <c r="O5031" s="10"/>
      <c r="P5031" s="10"/>
      <c r="Q5031" s="10">
        <v>371.94</v>
      </c>
      <c r="R5031" s="10"/>
      <c r="S5031" s="10" t="s">
        <v>53</v>
      </c>
      <c r="T5031" s="10" t="s">
        <v>54</v>
      </c>
    </row>
    <row r="5032" spans="1:20" ht="14.5" x14ac:dyDescent="0.35">
      <c r="A5032" s="10" t="s">
        <v>26622</v>
      </c>
      <c r="B5032" s="10" t="str">
        <f>"9783319014135"</f>
        <v>9783319014135</v>
      </c>
      <c r="C5032" s="10" t="str">
        <f>"9783319014142"</f>
        <v>9783319014142</v>
      </c>
      <c r="D5032" s="10" t="s">
        <v>11249</v>
      </c>
      <c r="E5032" s="10" t="s">
        <v>26623</v>
      </c>
      <c r="F5032" s="10" t="s">
        <v>26624</v>
      </c>
      <c r="G5032" s="10" t="s">
        <v>16676</v>
      </c>
      <c r="H5032" s="11">
        <v>41547</v>
      </c>
      <c r="I5032" s="10">
        <v>2014</v>
      </c>
      <c r="J5032" s="10" t="s">
        <v>13067</v>
      </c>
      <c r="K5032" s="10">
        <v>307</v>
      </c>
      <c r="L5032" s="10" t="s">
        <v>26625</v>
      </c>
      <c r="M5032" s="10">
        <v>1</v>
      </c>
      <c r="N5032" s="10" t="s">
        <v>26626</v>
      </c>
      <c r="O5032" s="10"/>
      <c r="P5032" s="10" t="s">
        <v>26627</v>
      </c>
      <c r="Q5032" s="10"/>
      <c r="R5032" s="10" t="s">
        <v>26628</v>
      </c>
      <c r="S5032" s="10" t="s">
        <v>53</v>
      </c>
      <c r="T5032" s="10" t="s">
        <v>6616</v>
      </c>
    </row>
    <row r="5033" spans="1:20" ht="14.5" x14ac:dyDescent="0.35">
      <c r="A5033" s="10" t="s">
        <v>26629</v>
      </c>
      <c r="B5033" s="10" t="str">
        <f>"9780761861133"</f>
        <v>9780761861133</v>
      </c>
      <c r="C5033" s="10" t="str">
        <f>"9780761861140"</f>
        <v>9780761861140</v>
      </c>
      <c r="D5033" s="10" t="s">
        <v>9752</v>
      </c>
      <c r="E5033" s="10" t="s">
        <v>17167</v>
      </c>
      <c r="F5033" s="10" t="s">
        <v>9754</v>
      </c>
      <c r="G5033" s="10" t="s">
        <v>6317</v>
      </c>
      <c r="H5033" s="11">
        <v>41416</v>
      </c>
      <c r="I5033" s="10">
        <v>2013</v>
      </c>
      <c r="J5033" s="10" t="s">
        <v>17167</v>
      </c>
      <c r="K5033" s="10">
        <v>186</v>
      </c>
      <c r="L5033" s="10" t="s">
        <v>26630</v>
      </c>
      <c r="M5033" s="10">
        <v>1</v>
      </c>
      <c r="N5033" s="10"/>
      <c r="O5033" s="10"/>
      <c r="P5033" s="10" t="s">
        <v>26631</v>
      </c>
      <c r="Q5033" s="10" t="s">
        <v>26632</v>
      </c>
      <c r="R5033" s="10" t="s">
        <v>26633</v>
      </c>
      <c r="S5033" s="10" t="s">
        <v>53</v>
      </c>
      <c r="T5033" s="10" t="s">
        <v>54</v>
      </c>
    </row>
    <row r="5034" spans="1:20" ht="14.5" x14ac:dyDescent="0.35">
      <c r="A5034" s="10" t="s">
        <v>26634</v>
      </c>
      <c r="B5034" s="10" t="str">
        <f>"9781412906128"</f>
        <v>9781412906128</v>
      </c>
      <c r="C5034" s="10" t="str">
        <f>"9781452215594"</f>
        <v>9781452215594</v>
      </c>
      <c r="D5034" s="10" t="s">
        <v>22210</v>
      </c>
      <c r="E5034" s="10" t="s">
        <v>22211</v>
      </c>
      <c r="F5034" s="10" t="s">
        <v>333</v>
      </c>
      <c r="G5034" s="10" t="s">
        <v>6317</v>
      </c>
      <c r="H5034" s="11">
        <v>38148</v>
      </c>
      <c r="I5034" s="10">
        <v>2004</v>
      </c>
      <c r="J5034" s="10" t="s">
        <v>22211</v>
      </c>
      <c r="K5034" s="10">
        <v>105</v>
      </c>
      <c r="L5034" s="10" t="s">
        <v>26635</v>
      </c>
      <c r="M5034" s="10">
        <v>1</v>
      </c>
      <c r="N5034" s="10"/>
      <c r="O5034" s="10"/>
      <c r="P5034" s="10"/>
      <c r="Q5034" s="10">
        <v>371.1</v>
      </c>
      <c r="R5034" s="10"/>
      <c r="S5034" s="10" t="s">
        <v>53</v>
      </c>
      <c r="T5034" s="10" t="s">
        <v>54</v>
      </c>
    </row>
    <row r="5035" spans="1:20" ht="14.5" x14ac:dyDescent="0.35">
      <c r="A5035" s="10" t="s">
        <v>26636</v>
      </c>
      <c r="B5035" s="10" t="str">
        <f>"9781118821831"</f>
        <v>9781118821831</v>
      </c>
      <c r="C5035" s="10" t="str">
        <f>"9781118827215"</f>
        <v>9781118827215</v>
      </c>
      <c r="D5035" s="10" t="s">
        <v>6322</v>
      </c>
      <c r="E5035" s="10" t="s">
        <v>6323</v>
      </c>
      <c r="F5035" s="10" t="s">
        <v>13068</v>
      </c>
      <c r="G5035" s="10" t="s">
        <v>6317</v>
      </c>
      <c r="H5035" s="11">
        <v>41582</v>
      </c>
      <c r="I5035" s="10">
        <v>2013</v>
      </c>
      <c r="J5035" s="10" t="s">
        <v>6324</v>
      </c>
      <c r="K5035" s="10">
        <v>144</v>
      </c>
      <c r="L5035" s="10" t="s">
        <v>26637</v>
      </c>
      <c r="M5035" s="10">
        <v>1</v>
      </c>
      <c r="N5035" s="10" t="s">
        <v>23322</v>
      </c>
      <c r="O5035" s="10"/>
      <c r="P5035" s="10" t="s">
        <v>26638</v>
      </c>
      <c r="Q5035" s="10">
        <v>378.19799999999998</v>
      </c>
      <c r="R5035" s="10" t="s">
        <v>26639</v>
      </c>
      <c r="S5035" s="10" t="s">
        <v>53</v>
      </c>
      <c r="T5035" s="10" t="s">
        <v>54</v>
      </c>
    </row>
    <row r="5036" spans="1:20" ht="14.5" x14ac:dyDescent="0.35">
      <c r="A5036" s="10" t="s">
        <v>26640</v>
      </c>
      <c r="B5036" s="10" t="str">
        <f>"9781118743720"</f>
        <v>9781118743720</v>
      </c>
      <c r="C5036" s="10" t="str">
        <f>"9781118743744"</f>
        <v>9781118743744</v>
      </c>
      <c r="D5036" s="10" t="s">
        <v>6322</v>
      </c>
      <c r="E5036" s="10" t="s">
        <v>6323</v>
      </c>
      <c r="F5036" s="10" t="s">
        <v>6339</v>
      </c>
      <c r="G5036" s="10" t="s">
        <v>6317</v>
      </c>
      <c r="H5036" s="11">
        <v>41498</v>
      </c>
      <c r="I5036" s="10">
        <v>2013</v>
      </c>
      <c r="J5036" s="10" t="s">
        <v>6324</v>
      </c>
      <c r="K5036" s="10">
        <v>151</v>
      </c>
      <c r="L5036" s="10" t="s">
        <v>26641</v>
      </c>
      <c r="M5036" s="10">
        <v>1</v>
      </c>
      <c r="N5036" s="10" t="s">
        <v>25343</v>
      </c>
      <c r="O5036" s="10"/>
      <c r="P5036" s="10" t="s">
        <v>26642</v>
      </c>
      <c r="Q5036" s="10">
        <v>369.4</v>
      </c>
      <c r="R5036" s="10" t="s">
        <v>26643</v>
      </c>
      <c r="S5036" s="10" t="s">
        <v>53</v>
      </c>
      <c r="T5036" s="10" t="s">
        <v>6363</v>
      </c>
    </row>
    <row r="5037" spans="1:20" ht="14.5" x14ac:dyDescent="0.35">
      <c r="A5037" s="10" t="s">
        <v>26644</v>
      </c>
      <c r="B5037" s="10" t="str">
        <f>"9781118375891"</f>
        <v>9781118375891</v>
      </c>
      <c r="C5037" s="10" t="str">
        <f>"9781118375877"</f>
        <v>9781118375877</v>
      </c>
      <c r="D5037" s="10" t="s">
        <v>6322</v>
      </c>
      <c r="E5037" s="10" t="s">
        <v>15260</v>
      </c>
      <c r="F5037" s="10" t="s">
        <v>4423</v>
      </c>
      <c r="G5037" s="10" t="s">
        <v>6352</v>
      </c>
      <c r="H5037" s="11">
        <v>41582</v>
      </c>
      <c r="I5037" s="10">
        <v>2013</v>
      </c>
      <c r="J5037" s="10" t="s">
        <v>15260</v>
      </c>
      <c r="K5037" s="10">
        <v>234</v>
      </c>
      <c r="L5037" s="10" t="s">
        <v>26645</v>
      </c>
      <c r="M5037" s="10">
        <v>1</v>
      </c>
      <c r="N5037" s="10"/>
      <c r="O5037" s="10"/>
      <c r="P5037" s="10"/>
      <c r="Q5037" s="10"/>
      <c r="R5037" s="10" t="s">
        <v>26646</v>
      </c>
      <c r="S5037" s="10" t="s">
        <v>53</v>
      </c>
      <c r="T5037" s="10" t="s">
        <v>8760</v>
      </c>
    </row>
    <row r="5038" spans="1:20" ht="14.5" x14ac:dyDescent="0.35">
      <c r="A5038" s="10" t="s">
        <v>26647</v>
      </c>
      <c r="B5038" s="10" t="str">
        <f>""</f>
        <v/>
      </c>
      <c r="C5038" s="10" t="str">
        <f>"9781118721308"</f>
        <v>9781118721308</v>
      </c>
      <c r="D5038" s="10" t="s">
        <v>6322</v>
      </c>
      <c r="E5038" s="10" t="s">
        <v>6323</v>
      </c>
      <c r="F5038" s="10" t="s">
        <v>4423</v>
      </c>
      <c r="G5038" s="10" t="s">
        <v>6352</v>
      </c>
      <c r="H5038" s="11">
        <v>41612</v>
      </c>
      <c r="I5038" s="10">
        <v>2013</v>
      </c>
      <c r="J5038" s="10" t="s">
        <v>8436</v>
      </c>
      <c r="K5038" s="10">
        <v>193</v>
      </c>
      <c r="L5038" s="10" t="s">
        <v>26648</v>
      </c>
      <c r="M5038" s="10">
        <v>1</v>
      </c>
      <c r="N5038" s="10" t="s">
        <v>18839</v>
      </c>
      <c r="O5038" s="10"/>
      <c r="P5038" s="10" t="s">
        <v>26649</v>
      </c>
      <c r="Q5038" s="10">
        <v>121</v>
      </c>
      <c r="R5038" s="10" t="s">
        <v>26650</v>
      </c>
      <c r="S5038" s="10" t="s">
        <v>53</v>
      </c>
      <c r="T5038" s="10" t="s">
        <v>6534</v>
      </c>
    </row>
    <row r="5039" spans="1:20" ht="14.5" x14ac:dyDescent="0.35">
      <c r="A5039" s="10" t="s">
        <v>26651</v>
      </c>
      <c r="B5039" s="10" t="str">
        <f>"9780815338604"</f>
        <v>9780815338604</v>
      </c>
      <c r="C5039" s="10" t="str">
        <f>"9781135720582"</f>
        <v>9781135720582</v>
      </c>
      <c r="D5039" s="10" t="s">
        <v>6350</v>
      </c>
      <c r="E5039" s="10" t="s">
        <v>6351</v>
      </c>
      <c r="F5039" s="10" t="s">
        <v>139</v>
      </c>
      <c r="G5039" s="10" t="s">
        <v>6352</v>
      </c>
      <c r="H5039" s="11">
        <v>37252</v>
      </c>
      <c r="I5039" s="10">
        <v>2002</v>
      </c>
      <c r="J5039" s="10" t="s">
        <v>6353</v>
      </c>
      <c r="K5039" s="10">
        <v>545</v>
      </c>
      <c r="L5039" s="10" t="s">
        <v>26652</v>
      </c>
      <c r="M5039" s="10">
        <v>1</v>
      </c>
      <c r="N5039" s="10"/>
      <c r="O5039" s="10"/>
      <c r="P5039" s="10" t="s">
        <v>26653</v>
      </c>
      <c r="Q5039" s="10">
        <v>370.9</v>
      </c>
      <c r="R5039" s="10" t="s">
        <v>26654</v>
      </c>
      <c r="S5039" s="10" t="s">
        <v>53</v>
      </c>
      <c r="T5039" s="10" t="s">
        <v>54</v>
      </c>
    </row>
    <row r="5040" spans="1:20" ht="14.5" x14ac:dyDescent="0.35">
      <c r="A5040" s="10" t="s">
        <v>26655</v>
      </c>
      <c r="B5040" s="10" t="str">
        <f>"9780805840230"</f>
        <v>9780805840230</v>
      </c>
      <c r="C5040" s="10" t="str">
        <f>"9781135463823"</f>
        <v>9781135463823</v>
      </c>
      <c r="D5040" s="10" t="s">
        <v>6350</v>
      </c>
      <c r="E5040" s="10" t="s">
        <v>6351</v>
      </c>
      <c r="F5040" s="10" t="s">
        <v>139</v>
      </c>
      <c r="G5040" s="10" t="s">
        <v>6352</v>
      </c>
      <c r="H5040" s="11">
        <v>37530</v>
      </c>
      <c r="I5040" s="10">
        <v>2002</v>
      </c>
      <c r="J5040" s="10" t="s">
        <v>6353</v>
      </c>
      <c r="K5040" s="10">
        <v>252</v>
      </c>
      <c r="L5040" s="10" t="s">
        <v>26656</v>
      </c>
      <c r="M5040" s="10">
        <v>1</v>
      </c>
      <c r="N5040" s="10"/>
      <c r="O5040" s="10"/>
      <c r="P5040" s="10" t="s">
        <v>26657</v>
      </c>
      <c r="Q5040" s="10">
        <v>551.4909146</v>
      </c>
      <c r="R5040" s="10" t="s">
        <v>26658</v>
      </c>
      <c r="S5040" s="10" t="s">
        <v>53</v>
      </c>
      <c r="T5040" s="10" t="s">
        <v>26659</v>
      </c>
    </row>
    <row r="5041" spans="1:20" ht="14.5" x14ac:dyDescent="0.35">
      <c r="A5041" s="10" t="s">
        <v>26660</v>
      </c>
      <c r="B5041" s="10" t="str">
        <f>"9781853468520"</f>
        <v>9781853468520</v>
      </c>
      <c r="C5041" s="10" t="str">
        <f>"9781134143665"</f>
        <v>9781134143665</v>
      </c>
      <c r="D5041" s="10" t="s">
        <v>6350</v>
      </c>
      <c r="E5041" s="10" t="s">
        <v>15120</v>
      </c>
      <c r="F5041" s="10" t="s">
        <v>748</v>
      </c>
      <c r="G5041" s="10" t="s">
        <v>6352</v>
      </c>
      <c r="H5041" s="11">
        <v>37568</v>
      </c>
      <c r="I5041" s="10">
        <v>2002</v>
      </c>
      <c r="J5041" s="10" t="s">
        <v>15120</v>
      </c>
      <c r="K5041" s="10">
        <v>137</v>
      </c>
      <c r="L5041" s="10" t="s">
        <v>26661</v>
      </c>
      <c r="M5041" s="10">
        <v>1</v>
      </c>
      <c r="N5041" s="10"/>
      <c r="O5041" s="10"/>
      <c r="P5041" s="10" t="s">
        <v>26662</v>
      </c>
      <c r="Q5041" s="10" t="s">
        <v>9527</v>
      </c>
      <c r="R5041" s="10" t="s">
        <v>4456</v>
      </c>
      <c r="S5041" s="10" t="s">
        <v>53</v>
      </c>
      <c r="T5041" s="10" t="s">
        <v>6472</v>
      </c>
    </row>
    <row r="5042" spans="1:20" ht="14.5" x14ac:dyDescent="0.35">
      <c r="A5042" s="10" t="s">
        <v>26663</v>
      </c>
      <c r="B5042" s="10" t="str">
        <f>"9781853468506"</f>
        <v>9781853468506</v>
      </c>
      <c r="C5042" s="10" t="str">
        <f>"9781134143382"</f>
        <v>9781134143382</v>
      </c>
      <c r="D5042" s="10" t="s">
        <v>6350</v>
      </c>
      <c r="E5042" s="10" t="s">
        <v>15120</v>
      </c>
      <c r="F5042" s="10" t="s">
        <v>748</v>
      </c>
      <c r="G5042" s="10" t="s">
        <v>6352</v>
      </c>
      <c r="H5042" s="11">
        <v>37470</v>
      </c>
      <c r="I5042" s="10">
        <v>2002</v>
      </c>
      <c r="J5042" s="10" t="s">
        <v>15120</v>
      </c>
      <c r="K5042" s="10">
        <v>193</v>
      </c>
      <c r="L5042" s="10" t="s">
        <v>26664</v>
      </c>
      <c r="M5042" s="10">
        <v>1</v>
      </c>
      <c r="N5042" s="10" t="s">
        <v>26665</v>
      </c>
      <c r="O5042" s="10"/>
      <c r="P5042" s="10" t="s">
        <v>26666</v>
      </c>
      <c r="Q5042" s="10" t="s">
        <v>26667</v>
      </c>
      <c r="R5042" s="10" t="s">
        <v>6241</v>
      </c>
      <c r="S5042" s="10" t="s">
        <v>53</v>
      </c>
      <c r="T5042" s="10" t="s">
        <v>54</v>
      </c>
    </row>
    <row r="5043" spans="1:20" ht="14.5" x14ac:dyDescent="0.35">
      <c r="A5043" s="10" t="s">
        <v>26668</v>
      </c>
      <c r="B5043" s="10" t="str">
        <f>"9781596670051"</f>
        <v>9781596670051</v>
      </c>
      <c r="C5043" s="10" t="str">
        <f>"9781317922407"</f>
        <v>9781317922407</v>
      </c>
      <c r="D5043" s="10" t="s">
        <v>6350</v>
      </c>
      <c r="E5043" s="10" t="s">
        <v>6351</v>
      </c>
      <c r="F5043" s="10" t="s">
        <v>5406</v>
      </c>
      <c r="G5043" s="10" t="s">
        <v>6352</v>
      </c>
      <c r="H5043" s="11">
        <v>38443</v>
      </c>
      <c r="I5043" s="10">
        <v>2005</v>
      </c>
      <c r="J5043" s="10" t="s">
        <v>6353</v>
      </c>
      <c r="K5043" s="10">
        <v>335</v>
      </c>
      <c r="L5043" s="10" t="s">
        <v>26669</v>
      </c>
      <c r="M5043" s="10">
        <v>2</v>
      </c>
      <c r="N5043" s="10"/>
      <c r="O5043" s="10"/>
      <c r="P5043" s="10" t="s">
        <v>26670</v>
      </c>
      <c r="Q5043" s="10" t="s">
        <v>26671</v>
      </c>
      <c r="R5043" s="10" t="s">
        <v>26672</v>
      </c>
      <c r="S5043" s="10" t="s">
        <v>53</v>
      </c>
      <c r="T5043" s="10" t="s">
        <v>54</v>
      </c>
    </row>
    <row r="5044" spans="1:20" ht="14.5" x14ac:dyDescent="0.35">
      <c r="A5044" s="10" t="s">
        <v>26673</v>
      </c>
      <c r="B5044" s="10" t="str">
        <f>"9781853963087"</f>
        <v>9781853963087</v>
      </c>
      <c r="C5044" s="10" t="str">
        <f>"9781446266144"</f>
        <v>9781446266144</v>
      </c>
      <c r="D5044" s="10" t="s">
        <v>9325</v>
      </c>
      <c r="E5044" s="10" t="s">
        <v>9326</v>
      </c>
      <c r="F5044" s="10" t="s">
        <v>139</v>
      </c>
      <c r="G5044" s="10" t="s">
        <v>6352</v>
      </c>
      <c r="H5044" s="11">
        <v>35152</v>
      </c>
      <c r="I5044" s="10">
        <v>1996</v>
      </c>
      <c r="J5044" s="10" t="s">
        <v>9326</v>
      </c>
      <c r="K5044" s="10">
        <v>191</v>
      </c>
      <c r="L5044" s="10" t="s">
        <v>26674</v>
      </c>
      <c r="M5044" s="10">
        <v>1</v>
      </c>
      <c r="N5044" s="10" t="s">
        <v>22714</v>
      </c>
      <c r="O5044" s="10"/>
      <c r="P5044" s="10" t="s">
        <v>26675</v>
      </c>
      <c r="Q5044" s="10">
        <v>372.21</v>
      </c>
      <c r="R5044" s="10" t="s">
        <v>26676</v>
      </c>
      <c r="S5044" s="10" t="s">
        <v>53</v>
      </c>
      <c r="T5044" s="10" t="s">
        <v>54</v>
      </c>
    </row>
    <row r="5045" spans="1:20" ht="14.5" x14ac:dyDescent="0.35">
      <c r="A5045" s="10" t="s">
        <v>26677</v>
      </c>
      <c r="B5045" s="10" t="str">
        <f>"9781853963964"</f>
        <v>9781853963964</v>
      </c>
      <c r="C5045" s="10" t="str">
        <f>"9781446265758"</f>
        <v>9781446265758</v>
      </c>
      <c r="D5045" s="10" t="s">
        <v>9325</v>
      </c>
      <c r="E5045" s="10" t="s">
        <v>9326</v>
      </c>
      <c r="F5045" s="10" t="s">
        <v>139</v>
      </c>
      <c r="G5045" s="10" t="s">
        <v>6352</v>
      </c>
      <c r="H5045" s="11">
        <v>36333</v>
      </c>
      <c r="I5045" s="10">
        <v>1999</v>
      </c>
      <c r="J5045" s="10" t="s">
        <v>9326</v>
      </c>
      <c r="K5045" s="10">
        <v>220</v>
      </c>
      <c r="L5045" s="10" t="s">
        <v>22778</v>
      </c>
      <c r="M5045" s="10">
        <v>1</v>
      </c>
      <c r="N5045" s="10" t="s">
        <v>22714</v>
      </c>
      <c r="O5045" s="10"/>
      <c r="P5045" s="10" t="s">
        <v>26678</v>
      </c>
      <c r="Q5045" s="10" t="s">
        <v>6414</v>
      </c>
      <c r="R5045" s="10" t="s">
        <v>19985</v>
      </c>
      <c r="S5045" s="10" t="s">
        <v>53</v>
      </c>
      <c r="T5045" s="10" t="s">
        <v>54</v>
      </c>
    </row>
    <row r="5046" spans="1:20" ht="14.5" x14ac:dyDescent="0.35">
      <c r="A5046" s="10" t="s">
        <v>26679</v>
      </c>
      <c r="B5046" s="10" t="str">
        <f>"9781853962547"</f>
        <v>9781853962547</v>
      </c>
      <c r="C5046" s="10" t="str">
        <f>"9781446266250"</f>
        <v>9781446266250</v>
      </c>
      <c r="D5046" s="10" t="s">
        <v>9325</v>
      </c>
      <c r="E5046" s="10" t="s">
        <v>9326</v>
      </c>
      <c r="F5046" s="10" t="s">
        <v>139</v>
      </c>
      <c r="G5046" s="10" t="s">
        <v>6352</v>
      </c>
      <c r="H5046" s="11">
        <v>34635</v>
      </c>
      <c r="I5046" s="10">
        <v>1994</v>
      </c>
      <c r="J5046" s="10" t="s">
        <v>9326</v>
      </c>
      <c r="K5046" s="10">
        <v>195</v>
      </c>
      <c r="L5046" s="10" t="s">
        <v>26680</v>
      </c>
      <c r="M5046" s="10">
        <v>1</v>
      </c>
      <c r="N5046" s="10" t="s">
        <v>22714</v>
      </c>
      <c r="O5046" s="10"/>
      <c r="P5046" s="10" t="s">
        <v>26681</v>
      </c>
      <c r="Q5046" s="10">
        <v>362.7</v>
      </c>
      <c r="R5046" s="10" t="s">
        <v>20590</v>
      </c>
      <c r="S5046" s="10" t="s">
        <v>53</v>
      </c>
      <c r="T5046" s="10" t="s">
        <v>6363</v>
      </c>
    </row>
    <row r="5047" spans="1:20" ht="14.5" x14ac:dyDescent="0.35">
      <c r="A5047" s="10" t="s">
        <v>26682</v>
      </c>
      <c r="B5047" s="10" t="str">
        <f>"9781853964336"</f>
        <v>9781853964336</v>
      </c>
      <c r="C5047" s="10" t="str">
        <f>"9781446265604"</f>
        <v>9781446265604</v>
      </c>
      <c r="D5047" s="10" t="s">
        <v>9325</v>
      </c>
      <c r="E5047" s="10" t="s">
        <v>9326</v>
      </c>
      <c r="F5047" s="10" t="s">
        <v>139</v>
      </c>
      <c r="G5047" s="10" t="s">
        <v>6352</v>
      </c>
      <c r="H5047" s="11">
        <v>36381</v>
      </c>
      <c r="I5047" s="10">
        <v>1999</v>
      </c>
      <c r="J5047" s="10" t="s">
        <v>9326</v>
      </c>
      <c r="K5047" s="10">
        <v>203</v>
      </c>
      <c r="L5047" s="10" t="s">
        <v>26683</v>
      </c>
      <c r="M5047" s="10">
        <v>1</v>
      </c>
      <c r="N5047" s="10" t="s">
        <v>9336</v>
      </c>
      <c r="O5047" s="10"/>
      <c r="P5047" s="10" t="s">
        <v>26684</v>
      </c>
      <c r="Q5047" s="10">
        <v>371</v>
      </c>
      <c r="R5047" s="10" t="s">
        <v>7162</v>
      </c>
      <c r="S5047" s="10" t="s">
        <v>53</v>
      </c>
      <c r="T5047" s="10" t="s">
        <v>54</v>
      </c>
    </row>
    <row r="5048" spans="1:20" ht="14.5" x14ac:dyDescent="0.35">
      <c r="A5048" s="10" t="s">
        <v>26685</v>
      </c>
      <c r="B5048" s="10" t="str">
        <f>"9780761964636"</f>
        <v>9780761964636</v>
      </c>
      <c r="C5048" s="10" t="str">
        <f>"9781446264805"</f>
        <v>9781446264805</v>
      </c>
      <c r="D5048" s="10" t="s">
        <v>9325</v>
      </c>
      <c r="E5048" s="10" t="s">
        <v>9326</v>
      </c>
      <c r="F5048" s="10" t="s">
        <v>139</v>
      </c>
      <c r="G5048" s="10" t="s">
        <v>6352</v>
      </c>
      <c r="H5048" s="11">
        <v>36903</v>
      </c>
      <c r="I5048" s="10">
        <v>2001</v>
      </c>
      <c r="J5048" s="10" t="s">
        <v>9326</v>
      </c>
      <c r="K5048" s="10">
        <v>208</v>
      </c>
      <c r="L5048" s="10" t="s">
        <v>26686</v>
      </c>
      <c r="M5048" s="10">
        <v>1</v>
      </c>
      <c r="N5048" s="10"/>
      <c r="O5048" s="10"/>
      <c r="P5048" s="10" t="s">
        <v>26687</v>
      </c>
      <c r="Q5048" s="10" t="s">
        <v>22132</v>
      </c>
      <c r="R5048" s="10" t="s">
        <v>7822</v>
      </c>
      <c r="S5048" s="10" t="s">
        <v>53</v>
      </c>
      <c r="T5048" s="10" t="s">
        <v>54</v>
      </c>
    </row>
    <row r="5049" spans="1:20" ht="14.5" x14ac:dyDescent="0.35">
      <c r="A5049" s="10" t="s">
        <v>26688</v>
      </c>
      <c r="B5049" s="10" t="str">
        <f>"9781853963742"</f>
        <v>9781853963742</v>
      </c>
      <c r="C5049" s="10" t="str">
        <f>"9781446265697"</f>
        <v>9781446265697</v>
      </c>
      <c r="D5049" s="10" t="s">
        <v>9325</v>
      </c>
      <c r="E5049" s="10" t="s">
        <v>9326</v>
      </c>
      <c r="F5049" s="10" t="s">
        <v>139</v>
      </c>
      <c r="G5049" s="10" t="s">
        <v>6352</v>
      </c>
      <c r="H5049" s="11">
        <v>35913</v>
      </c>
      <c r="I5049" s="10">
        <v>1998</v>
      </c>
      <c r="J5049" s="10" t="s">
        <v>9326</v>
      </c>
      <c r="K5049" s="10">
        <v>225</v>
      </c>
      <c r="L5049" s="10" t="s">
        <v>26689</v>
      </c>
      <c r="M5049" s="10">
        <v>1</v>
      </c>
      <c r="N5049" s="10" t="s">
        <v>9328</v>
      </c>
      <c r="O5049" s="10"/>
      <c r="P5049" s="10" t="s">
        <v>26690</v>
      </c>
      <c r="Q5049" s="10" t="s">
        <v>26691</v>
      </c>
      <c r="R5049" s="10" t="s">
        <v>15649</v>
      </c>
      <c r="S5049" s="10" t="s">
        <v>53</v>
      </c>
      <c r="T5049" s="10" t="s">
        <v>54</v>
      </c>
    </row>
    <row r="5050" spans="1:20" ht="14.5" x14ac:dyDescent="0.35">
      <c r="A5050" s="10" t="s">
        <v>26692</v>
      </c>
      <c r="B5050" s="10" t="str">
        <f>"9780415974455"</f>
        <v>9780415974455</v>
      </c>
      <c r="C5050" s="10" t="str">
        <f>"9781135484521"</f>
        <v>9781135484521</v>
      </c>
      <c r="D5050" s="10" t="s">
        <v>6350</v>
      </c>
      <c r="E5050" s="10" t="s">
        <v>6351</v>
      </c>
      <c r="F5050" s="10" t="s">
        <v>5406</v>
      </c>
      <c r="G5050" s="10" t="s">
        <v>6352</v>
      </c>
      <c r="H5050" s="11">
        <v>38510</v>
      </c>
      <c r="I5050" s="10">
        <v>2005</v>
      </c>
      <c r="J5050" s="10" t="s">
        <v>6353</v>
      </c>
      <c r="K5050" s="10">
        <v>250</v>
      </c>
      <c r="L5050" s="10" t="s">
        <v>26693</v>
      </c>
      <c r="M5050" s="10">
        <v>1</v>
      </c>
      <c r="N5050" s="10" t="s">
        <v>7363</v>
      </c>
      <c r="O5050" s="10"/>
      <c r="P5050" s="10" t="s">
        <v>26694</v>
      </c>
      <c r="Q5050" s="10">
        <v>378.68</v>
      </c>
      <c r="R5050" s="10" t="s">
        <v>26695</v>
      </c>
      <c r="S5050" s="10" t="s">
        <v>53</v>
      </c>
      <c r="T5050" s="10" t="s">
        <v>54</v>
      </c>
    </row>
    <row r="5051" spans="1:20" ht="14.5" x14ac:dyDescent="0.35">
      <c r="A5051" s="10" t="s">
        <v>26696</v>
      </c>
      <c r="B5051" s="10" t="str">
        <f>"9781462511457"</f>
        <v>9781462511457</v>
      </c>
      <c r="C5051" s="10" t="str">
        <f>"9781462511600"</f>
        <v>9781462511600</v>
      </c>
      <c r="D5051" s="10" t="s">
        <v>11213</v>
      </c>
      <c r="E5051" s="10" t="s">
        <v>11214</v>
      </c>
      <c r="F5051" s="10" t="s">
        <v>70</v>
      </c>
      <c r="G5051" s="10" t="s">
        <v>6317</v>
      </c>
      <c r="H5051" s="11">
        <v>41544</v>
      </c>
      <c r="I5051" s="10">
        <v>2013</v>
      </c>
      <c r="J5051" s="10" t="s">
        <v>11215</v>
      </c>
      <c r="K5051" s="10">
        <v>418</v>
      </c>
      <c r="L5051" s="10" t="s">
        <v>26697</v>
      </c>
      <c r="M5051" s="10">
        <v>1</v>
      </c>
      <c r="N5051" s="10"/>
      <c r="O5051" s="10"/>
      <c r="P5051" s="10" t="s">
        <v>26698</v>
      </c>
      <c r="Q5051" s="10">
        <v>372.21</v>
      </c>
      <c r="R5051" s="10" t="s">
        <v>26699</v>
      </c>
      <c r="S5051" s="10" t="s">
        <v>53</v>
      </c>
      <c r="T5051" s="10" t="s">
        <v>54</v>
      </c>
    </row>
    <row r="5052" spans="1:20" ht="14.5" x14ac:dyDescent="0.35">
      <c r="A5052" s="10" t="s">
        <v>26700</v>
      </c>
      <c r="B5052" s="10" t="str">
        <f>"9781443851367"</f>
        <v>9781443851367</v>
      </c>
      <c r="C5052" s="10" t="str">
        <f>"9781443852845"</f>
        <v>9781443852845</v>
      </c>
      <c r="D5052" s="10" t="s">
        <v>23635</v>
      </c>
      <c r="E5052" s="10" t="s">
        <v>23635</v>
      </c>
      <c r="F5052" s="10" t="s">
        <v>23636</v>
      </c>
      <c r="G5052" s="10" t="s">
        <v>6352</v>
      </c>
      <c r="H5052" s="11">
        <v>41537</v>
      </c>
      <c r="I5052" s="10">
        <v>2013</v>
      </c>
      <c r="J5052" s="10" t="s">
        <v>23635</v>
      </c>
      <c r="K5052" s="10">
        <v>312</v>
      </c>
      <c r="L5052" s="10" t="s">
        <v>26701</v>
      </c>
      <c r="M5052" s="10">
        <v>1</v>
      </c>
      <c r="N5052" s="10"/>
      <c r="O5052" s="10"/>
      <c r="P5052" s="10" t="s">
        <v>26702</v>
      </c>
      <c r="Q5052" s="10">
        <v>312</v>
      </c>
      <c r="R5052" s="10" t="s">
        <v>26703</v>
      </c>
      <c r="S5052" s="10" t="s">
        <v>53</v>
      </c>
      <c r="T5052" s="10" t="s">
        <v>6472</v>
      </c>
    </row>
    <row r="5053" spans="1:20" ht="14.5" x14ac:dyDescent="0.35">
      <c r="A5053" s="10" t="s">
        <v>26704</v>
      </c>
      <c r="B5053" s="10" t="str">
        <f>"9781412916493"</f>
        <v>9781412916493</v>
      </c>
      <c r="C5053" s="10" t="str">
        <f>"9781452208978"</f>
        <v>9781452208978</v>
      </c>
      <c r="D5053" s="10" t="s">
        <v>22210</v>
      </c>
      <c r="E5053" s="10" t="s">
        <v>22211</v>
      </c>
      <c r="F5053" s="10" t="s">
        <v>333</v>
      </c>
      <c r="G5053" s="10" t="s">
        <v>6317</v>
      </c>
      <c r="H5053" s="11">
        <v>38504</v>
      </c>
      <c r="I5053" s="10">
        <v>2005</v>
      </c>
      <c r="J5053" s="10" t="s">
        <v>22211</v>
      </c>
      <c r="K5053" s="10">
        <v>145</v>
      </c>
      <c r="L5053" s="10" t="s">
        <v>26705</v>
      </c>
      <c r="M5053" s="10">
        <v>2</v>
      </c>
      <c r="N5053" s="10"/>
      <c r="O5053" s="10"/>
      <c r="P5053" s="10"/>
      <c r="Q5053" s="10" t="s">
        <v>6576</v>
      </c>
      <c r="R5053" s="10"/>
      <c r="S5053" s="10" t="s">
        <v>53</v>
      </c>
      <c r="T5053" s="10" t="s">
        <v>54</v>
      </c>
    </row>
    <row r="5054" spans="1:20" ht="14.5" x14ac:dyDescent="0.35">
      <c r="A5054" s="10" t="s">
        <v>26706</v>
      </c>
      <c r="B5054" s="10" t="str">
        <f>"9780761945666"</f>
        <v>9780761945666</v>
      </c>
      <c r="C5054" s="10" t="str">
        <f>"9781452210667"</f>
        <v>9781452210667</v>
      </c>
      <c r="D5054" s="10" t="s">
        <v>22210</v>
      </c>
      <c r="E5054" s="10" t="s">
        <v>22211</v>
      </c>
      <c r="F5054" s="10" t="s">
        <v>333</v>
      </c>
      <c r="G5054" s="10" t="s">
        <v>6317</v>
      </c>
      <c r="H5054" s="11">
        <v>37644</v>
      </c>
      <c r="I5054" s="10">
        <v>2003</v>
      </c>
      <c r="J5054" s="10" t="s">
        <v>22211</v>
      </c>
      <c r="K5054" s="10">
        <v>265</v>
      </c>
      <c r="L5054" s="10" t="s">
        <v>26707</v>
      </c>
      <c r="M5054" s="10">
        <v>1</v>
      </c>
      <c r="N5054" s="10"/>
      <c r="O5054" s="10"/>
      <c r="P5054" s="10" t="s">
        <v>26708</v>
      </c>
      <c r="Q5054" s="10"/>
      <c r="R5054" s="10"/>
      <c r="S5054" s="10" t="s">
        <v>53</v>
      </c>
      <c r="T5054" s="10" t="s">
        <v>54</v>
      </c>
    </row>
    <row r="5055" spans="1:20" ht="14.5" x14ac:dyDescent="0.35">
      <c r="A5055" s="10" t="s">
        <v>26709</v>
      </c>
      <c r="B5055" s="10" t="str">
        <f>"9781412905022"</f>
        <v>9781412905022</v>
      </c>
      <c r="C5055" s="10" t="str">
        <f>"9781452212203"</f>
        <v>9781452212203</v>
      </c>
      <c r="D5055" s="10" t="s">
        <v>22210</v>
      </c>
      <c r="E5055" s="10" t="s">
        <v>22211</v>
      </c>
      <c r="F5055" s="10" t="s">
        <v>333</v>
      </c>
      <c r="G5055" s="10" t="s">
        <v>6317</v>
      </c>
      <c r="H5055" s="11">
        <v>38800</v>
      </c>
      <c r="I5055" s="10">
        <v>2006</v>
      </c>
      <c r="J5055" s="10" t="s">
        <v>22211</v>
      </c>
      <c r="K5055" s="10">
        <v>217</v>
      </c>
      <c r="L5055" s="10" t="s">
        <v>26710</v>
      </c>
      <c r="M5055" s="10">
        <v>1</v>
      </c>
      <c r="N5055" s="10"/>
      <c r="O5055" s="10"/>
      <c r="P5055" s="10"/>
      <c r="Q5055" s="10" t="s">
        <v>12394</v>
      </c>
      <c r="R5055" s="10"/>
      <c r="S5055" s="10" t="s">
        <v>53</v>
      </c>
      <c r="T5055" s="10" t="s">
        <v>54</v>
      </c>
    </row>
    <row r="5056" spans="1:20" ht="14.5" x14ac:dyDescent="0.35">
      <c r="A5056" s="10" t="s">
        <v>26711</v>
      </c>
      <c r="B5056" s="10" t="str">
        <f>"9781412913836"</f>
        <v>9781412913836</v>
      </c>
      <c r="C5056" s="10" t="str">
        <f>"9781452207308"</f>
        <v>9781452207308</v>
      </c>
      <c r="D5056" s="10" t="s">
        <v>22210</v>
      </c>
      <c r="E5056" s="10" t="s">
        <v>22211</v>
      </c>
      <c r="F5056" s="10" t="s">
        <v>333</v>
      </c>
      <c r="G5056" s="10" t="s">
        <v>6317</v>
      </c>
      <c r="H5056" s="11">
        <v>38384</v>
      </c>
      <c r="I5056" s="10">
        <v>2005</v>
      </c>
      <c r="J5056" s="10" t="s">
        <v>22211</v>
      </c>
      <c r="K5056" s="10">
        <v>113</v>
      </c>
      <c r="L5056" s="10" t="s">
        <v>26712</v>
      </c>
      <c r="M5056" s="10">
        <v>1</v>
      </c>
      <c r="N5056" s="10"/>
      <c r="O5056" s="10"/>
      <c r="P5056" s="10" t="s">
        <v>26713</v>
      </c>
      <c r="Q5056" s="10">
        <v>373.11020000000002</v>
      </c>
      <c r="R5056" s="10"/>
      <c r="S5056" s="10" t="s">
        <v>53</v>
      </c>
      <c r="T5056" s="10" t="s">
        <v>54</v>
      </c>
    </row>
    <row r="5057" spans="1:20" ht="14.5" x14ac:dyDescent="0.35">
      <c r="A5057" s="10" t="s">
        <v>26714</v>
      </c>
      <c r="B5057" s="10" t="str">
        <f>"9781412909587"</f>
        <v>9781412909587</v>
      </c>
      <c r="C5057" s="10" t="str">
        <f>"9781452208367"</f>
        <v>9781452208367</v>
      </c>
      <c r="D5057" s="10" t="s">
        <v>22210</v>
      </c>
      <c r="E5057" s="10" t="s">
        <v>22211</v>
      </c>
      <c r="F5057" s="10" t="s">
        <v>333</v>
      </c>
      <c r="G5057" s="10" t="s">
        <v>6317</v>
      </c>
      <c r="H5057" s="11">
        <v>38407</v>
      </c>
      <c r="I5057" s="10">
        <v>2005</v>
      </c>
      <c r="J5057" s="10" t="s">
        <v>22211</v>
      </c>
      <c r="K5057" s="10">
        <v>121</v>
      </c>
      <c r="L5057" s="10" t="s">
        <v>26715</v>
      </c>
      <c r="M5057" s="10">
        <v>1</v>
      </c>
      <c r="N5057" s="10"/>
      <c r="O5057" s="10"/>
      <c r="P5057" s="10" t="s">
        <v>26716</v>
      </c>
      <c r="Q5057" s="10" t="s">
        <v>9360</v>
      </c>
      <c r="R5057" s="10"/>
      <c r="S5057" s="10" t="s">
        <v>53</v>
      </c>
      <c r="T5057" s="10" t="s">
        <v>54</v>
      </c>
    </row>
    <row r="5058" spans="1:20" ht="14.5" x14ac:dyDescent="0.35">
      <c r="A5058" s="10" t="s">
        <v>26717</v>
      </c>
      <c r="B5058" s="10" t="str">
        <f>"9781452258362"</f>
        <v>9781452258362</v>
      </c>
      <c r="C5058" s="10" t="str">
        <f>"9781452284941"</f>
        <v>9781452284941</v>
      </c>
      <c r="D5058" s="10" t="s">
        <v>22210</v>
      </c>
      <c r="E5058" s="10" t="s">
        <v>22211</v>
      </c>
      <c r="F5058" s="10" t="s">
        <v>333</v>
      </c>
      <c r="G5058" s="10" t="s">
        <v>6317</v>
      </c>
      <c r="H5058" s="11">
        <v>41571</v>
      </c>
      <c r="I5058" s="10">
        <v>2014</v>
      </c>
      <c r="J5058" s="10" t="s">
        <v>22211</v>
      </c>
      <c r="K5058" s="10">
        <v>249</v>
      </c>
      <c r="L5058" s="10" t="s">
        <v>26718</v>
      </c>
      <c r="M5058" s="10">
        <v>1</v>
      </c>
      <c r="N5058" s="10"/>
      <c r="O5058" s="10"/>
      <c r="P5058" s="10" t="s">
        <v>26719</v>
      </c>
      <c r="Q5058" s="10" t="s">
        <v>26720</v>
      </c>
      <c r="R5058" s="10" t="s">
        <v>26721</v>
      </c>
      <c r="S5058" s="10" t="s">
        <v>53</v>
      </c>
      <c r="T5058" s="10" t="s">
        <v>6492</v>
      </c>
    </row>
    <row r="5059" spans="1:20" ht="14.5" x14ac:dyDescent="0.35">
      <c r="A5059" s="10" t="s">
        <v>26722</v>
      </c>
      <c r="B5059" s="10" t="str">
        <f>"9781475805147"</f>
        <v>9781475805147</v>
      </c>
      <c r="C5059" s="10" t="str">
        <f>"9781475805161"</f>
        <v>9781475805161</v>
      </c>
      <c r="D5059" s="10" t="s">
        <v>9752</v>
      </c>
      <c r="E5059" s="10" t="s">
        <v>15192</v>
      </c>
      <c r="F5059" s="10" t="s">
        <v>9754</v>
      </c>
      <c r="G5059" s="10" t="s">
        <v>6317</v>
      </c>
      <c r="H5059" s="11">
        <v>41527</v>
      </c>
      <c r="I5059" s="10">
        <v>2013</v>
      </c>
      <c r="J5059" s="10" t="s">
        <v>15192</v>
      </c>
      <c r="K5059" s="10">
        <v>103</v>
      </c>
      <c r="L5059" s="10" t="s">
        <v>26723</v>
      </c>
      <c r="M5059" s="10">
        <v>1</v>
      </c>
      <c r="N5059" s="10"/>
      <c r="O5059" s="10"/>
      <c r="P5059" s="10" t="s">
        <v>26724</v>
      </c>
      <c r="Q5059" s="10"/>
      <c r="R5059" s="10" t="s">
        <v>26725</v>
      </c>
      <c r="S5059" s="10" t="s">
        <v>53</v>
      </c>
      <c r="T5059" s="10" t="s">
        <v>54</v>
      </c>
    </row>
    <row r="5060" spans="1:20" ht="14.5" x14ac:dyDescent="0.35">
      <c r="A5060" s="10" t="s">
        <v>26726</v>
      </c>
      <c r="B5060" s="10" t="str">
        <f>"9780465044962"</f>
        <v>9780465044962</v>
      </c>
      <c r="C5060" s="10" t="str">
        <f>"9780465072002"</f>
        <v>9780465072002</v>
      </c>
      <c r="D5060" s="10" t="s">
        <v>15536</v>
      </c>
      <c r="E5060" s="10" t="s">
        <v>16100</v>
      </c>
      <c r="F5060" s="10" t="s">
        <v>70</v>
      </c>
      <c r="G5060" s="10" t="s">
        <v>6317</v>
      </c>
      <c r="H5060" s="11">
        <v>41702</v>
      </c>
      <c r="I5060" s="10">
        <v>2014</v>
      </c>
      <c r="J5060" s="10" t="s">
        <v>16100</v>
      </c>
      <c r="K5060" s="10">
        <v>270</v>
      </c>
      <c r="L5060" s="10" t="s">
        <v>26727</v>
      </c>
      <c r="M5060" s="10">
        <v>1</v>
      </c>
      <c r="N5060" s="10"/>
      <c r="O5060" s="10"/>
      <c r="P5060" s="10" t="s">
        <v>26728</v>
      </c>
      <c r="Q5060" s="10">
        <v>378.73</v>
      </c>
      <c r="R5060" s="10" t="s">
        <v>26729</v>
      </c>
      <c r="S5060" s="10" t="s">
        <v>53</v>
      </c>
      <c r="T5060" s="10" t="s">
        <v>54</v>
      </c>
    </row>
    <row r="5061" spans="1:20" ht="14.5" x14ac:dyDescent="0.35">
      <c r="A5061" s="10" t="s">
        <v>26730</v>
      </c>
      <c r="B5061" s="10" t="str">
        <f>"9780465055975"</f>
        <v>9780465055975</v>
      </c>
      <c r="C5061" s="10" t="str">
        <f>"9780465055968"</f>
        <v>9780465055968</v>
      </c>
      <c r="D5061" s="10" t="s">
        <v>15536</v>
      </c>
      <c r="E5061" s="10" t="s">
        <v>16100</v>
      </c>
      <c r="F5061" s="10" t="s">
        <v>70</v>
      </c>
      <c r="G5061" s="10" t="s">
        <v>6317</v>
      </c>
      <c r="H5061" s="11">
        <v>41709</v>
      </c>
      <c r="I5061" s="10">
        <v>2014</v>
      </c>
      <c r="J5061" s="10" t="s">
        <v>16100</v>
      </c>
      <c r="K5061" s="10">
        <v>228</v>
      </c>
      <c r="L5061" s="10" t="s">
        <v>7644</v>
      </c>
      <c r="M5061" s="10">
        <v>1</v>
      </c>
      <c r="N5061" s="10"/>
      <c r="O5061" s="10"/>
      <c r="P5061" s="10" t="s">
        <v>26731</v>
      </c>
      <c r="Q5061" s="10">
        <v>373.73</v>
      </c>
      <c r="R5061" s="10" t="s">
        <v>26732</v>
      </c>
      <c r="S5061" s="10" t="s">
        <v>53</v>
      </c>
      <c r="T5061" s="10" t="s">
        <v>54</v>
      </c>
    </row>
    <row r="5062" spans="1:20" ht="14.5" x14ac:dyDescent="0.35">
      <c r="A5062" s="10" t="s">
        <v>26733</v>
      </c>
      <c r="B5062" s="10" t="str">
        <f>"9781595589040"</f>
        <v>9781595589040</v>
      </c>
      <c r="C5062" s="10" t="str">
        <f>"9781595589286"</f>
        <v>9781595589286</v>
      </c>
      <c r="D5062" s="10" t="s">
        <v>6358</v>
      </c>
      <c r="E5062" s="10" t="s">
        <v>21864</v>
      </c>
      <c r="F5062" s="10" t="s">
        <v>70</v>
      </c>
      <c r="G5062" s="10" t="s">
        <v>6317</v>
      </c>
      <c r="H5062" s="11">
        <v>41723</v>
      </c>
      <c r="I5062" s="10">
        <v>2014</v>
      </c>
      <c r="J5062" s="10" t="s">
        <v>21864</v>
      </c>
      <c r="K5062" s="10">
        <v>287</v>
      </c>
      <c r="L5062" s="10" t="s">
        <v>26734</v>
      </c>
      <c r="M5062" s="10">
        <v>1</v>
      </c>
      <c r="N5062" s="10"/>
      <c r="O5062" s="10"/>
      <c r="P5062" s="10" t="s">
        <v>26735</v>
      </c>
      <c r="Q5062" s="10">
        <v>371.4097471</v>
      </c>
      <c r="R5062" s="10" t="s">
        <v>26736</v>
      </c>
      <c r="S5062" s="10" t="s">
        <v>53</v>
      </c>
      <c r="T5062" s="10" t="s">
        <v>54</v>
      </c>
    </row>
    <row r="5063" spans="1:20" ht="14.5" x14ac:dyDescent="0.35">
      <c r="A5063" s="10" t="s">
        <v>26737</v>
      </c>
      <c r="B5063" s="10" t="str">
        <f>"9781847740335"</f>
        <v>9781847740335</v>
      </c>
      <c r="C5063" s="10" t="str">
        <f>"9781847740649"</f>
        <v>9781847740649</v>
      </c>
      <c r="D5063" s="10" t="s">
        <v>9533</v>
      </c>
      <c r="E5063" s="10" t="s">
        <v>26738</v>
      </c>
      <c r="F5063" s="10" t="s">
        <v>26739</v>
      </c>
      <c r="G5063" s="10" t="s">
        <v>6352</v>
      </c>
      <c r="H5063" s="11">
        <v>41631</v>
      </c>
      <c r="I5063" s="10">
        <v>2013</v>
      </c>
      <c r="J5063" s="10" t="s">
        <v>26738</v>
      </c>
      <c r="K5063" s="10">
        <v>305</v>
      </c>
      <c r="L5063" s="10" t="s">
        <v>26740</v>
      </c>
      <c r="M5063" s="10">
        <v>1</v>
      </c>
      <c r="N5063" s="10"/>
      <c r="O5063" s="10"/>
      <c r="P5063" s="10" t="s">
        <v>26741</v>
      </c>
      <c r="Q5063" s="10">
        <v>370.8</v>
      </c>
      <c r="R5063" s="10" t="s">
        <v>26742</v>
      </c>
      <c r="S5063" s="10" t="s">
        <v>53</v>
      </c>
      <c r="T5063" s="10" t="s">
        <v>54</v>
      </c>
    </row>
    <row r="5064" spans="1:20" ht="14.5" x14ac:dyDescent="0.35">
      <c r="A5064" s="10" t="s">
        <v>26743</v>
      </c>
      <c r="B5064" s="10" t="str">
        <f>"9780415268035"</f>
        <v>9780415268035</v>
      </c>
      <c r="C5064" s="10" t="str">
        <f>"9781136452413"</f>
        <v>9781136452413</v>
      </c>
      <c r="D5064" s="10" t="s">
        <v>6350</v>
      </c>
      <c r="E5064" s="10" t="s">
        <v>6351</v>
      </c>
      <c r="F5064" s="10" t="s">
        <v>748</v>
      </c>
      <c r="G5064" s="10" t="s">
        <v>6352</v>
      </c>
      <c r="H5064" s="11">
        <v>37722</v>
      </c>
      <c r="I5064" s="10">
        <v>2003</v>
      </c>
      <c r="J5064" s="10" t="s">
        <v>6351</v>
      </c>
      <c r="K5064" s="10">
        <v>201</v>
      </c>
      <c r="L5064" s="10" t="s">
        <v>26744</v>
      </c>
      <c r="M5064" s="10">
        <v>1</v>
      </c>
      <c r="N5064" s="10"/>
      <c r="O5064" s="10"/>
      <c r="P5064" s="10" t="s">
        <v>26745</v>
      </c>
      <c r="Q5064" s="10" t="s">
        <v>26746</v>
      </c>
      <c r="R5064" s="10" t="s">
        <v>1939</v>
      </c>
      <c r="S5064" s="10" t="s">
        <v>53</v>
      </c>
      <c r="T5064" s="10" t="s">
        <v>54</v>
      </c>
    </row>
    <row r="5065" spans="1:20" ht="14.5" x14ac:dyDescent="0.35">
      <c r="A5065" s="10" t="s">
        <v>26747</v>
      </c>
      <c r="B5065" s="10" t="str">
        <f>"9781853467158"</f>
        <v>9781853467158</v>
      </c>
      <c r="C5065" s="10" t="str">
        <f>"9781134125463"</f>
        <v>9781134125463</v>
      </c>
      <c r="D5065" s="10" t="s">
        <v>6350</v>
      </c>
      <c r="E5065" s="10" t="s">
        <v>15120</v>
      </c>
      <c r="F5065" s="10" t="s">
        <v>748</v>
      </c>
      <c r="G5065" s="10" t="s">
        <v>6352</v>
      </c>
      <c r="H5065" s="11">
        <v>37414</v>
      </c>
      <c r="I5065" s="10">
        <v>2002</v>
      </c>
      <c r="J5065" s="10" t="s">
        <v>15120</v>
      </c>
      <c r="K5065" s="10">
        <v>257</v>
      </c>
      <c r="L5065" s="10" t="s">
        <v>26748</v>
      </c>
      <c r="M5065" s="10">
        <v>1</v>
      </c>
      <c r="N5065" s="10"/>
      <c r="O5065" s="10"/>
      <c r="P5065" s="10" t="s">
        <v>26749</v>
      </c>
      <c r="Q5065" s="10" t="s">
        <v>8131</v>
      </c>
      <c r="R5065" s="10" t="s">
        <v>6547</v>
      </c>
      <c r="S5065" s="10" t="s">
        <v>53</v>
      </c>
      <c r="T5065" s="10" t="s">
        <v>54</v>
      </c>
    </row>
    <row r="5066" spans="1:20" ht="14.5" x14ac:dyDescent="0.35">
      <c r="A5066" s="10" t="s">
        <v>26750</v>
      </c>
      <c r="B5066" s="10" t="str">
        <f>"9781853468070"</f>
        <v>9781853468070</v>
      </c>
      <c r="C5066" s="10" t="str">
        <f>"9781134137787"</f>
        <v>9781134137787</v>
      </c>
      <c r="D5066" s="10" t="s">
        <v>6350</v>
      </c>
      <c r="E5066" s="10" t="s">
        <v>15120</v>
      </c>
      <c r="F5066" s="10" t="s">
        <v>748</v>
      </c>
      <c r="G5066" s="10" t="s">
        <v>6352</v>
      </c>
      <c r="H5066" s="11">
        <v>37302</v>
      </c>
      <c r="I5066" s="10">
        <v>2002</v>
      </c>
      <c r="J5066" s="10" t="s">
        <v>15120</v>
      </c>
      <c r="K5066" s="10">
        <v>159</v>
      </c>
      <c r="L5066" s="10" t="s">
        <v>26751</v>
      </c>
      <c r="M5066" s="10">
        <v>1</v>
      </c>
      <c r="N5066" s="10"/>
      <c r="O5066" s="10"/>
      <c r="P5066" s="10" t="s">
        <v>26752</v>
      </c>
      <c r="Q5066" s="10" t="s">
        <v>26753</v>
      </c>
      <c r="R5066" s="10" t="s">
        <v>26754</v>
      </c>
      <c r="S5066" s="10" t="s">
        <v>53</v>
      </c>
      <c r="T5066" s="10" t="s">
        <v>54</v>
      </c>
    </row>
    <row r="5067" spans="1:20" ht="14.5" x14ac:dyDescent="0.35">
      <c r="A5067" s="10" t="s">
        <v>26755</v>
      </c>
      <c r="B5067" s="10" t="str">
        <f>"9781853467769"</f>
        <v>9781853467769</v>
      </c>
      <c r="C5067" s="10" t="str">
        <f>"9781134134700"</f>
        <v>9781134134700</v>
      </c>
      <c r="D5067" s="10" t="s">
        <v>6350</v>
      </c>
      <c r="E5067" s="10" t="s">
        <v>15120</v>
      </c>
      <c r="F5067" s="10" t="s">
        <v>748</v>
      </c>
      <c r="G5067" s="10" t="s">
        <v>6352</v>
      </c>
      <c r="H5067" s="11">
        <v>37337</v>
      </c>
      <c r="I5067" s="10">
        <v>2002</v>
      </c>
      <c r="J5067" s="10" t="s">
        <v>15120</v>
      </c>
      <c r="K5067" s="10">
        <v>177</v>
      </c>
      <c r="L5067" s="10" t="s">
        <v>9301</v>
      </c>
      <c r="M5067" s="10">
        <v>1</v>
      </c>
      <c r="N5067" s="10"/>
      <c r="O5067" s="10"/>
      <c r="P5067" s="10" t="s">
        <v>26756</v>
      </c>
      <c r="Q5067" s="10" t="s">
        <v>26757</v>
      </c>
      <c r="R5067" s="10" t="s">
        <v>16318</v>
      </c>
      <c r="S5067" s="10" t="s">
        <v>53</v>
      </c>
      <c r="T5067" s="10" t="s">
        <v>54</v>
      </c>
    </row>
    <row r="5068" spans="1:20" ht="14.5" x14ac:dyDescent="0.35">
      <c r="A5068" s="10" t="s">
        <v>26758</v>
      </c>
      <c r="B5068" s="10" t="str">
        <f>"9781853467875"</f>
        <v>9781853467875</v>
      </c>
      <c r="C5068" s="10" t="str">
        <f>"9781134136100"</f>
        <v>9781134136100</v>
      </c>
      <c r="D5068" s="10" t="s">
        <v>6350</v>
      </c>
      <c r="E5068" s="10" t="s">
        <v>6351</v>
      </c>
      <c r="F5068" s="10" t="s">
        <v>748</v>
      </c>
      <c r="G5068" s="10" t="s">
        <v>6352</v>
      </c>
      <c r="H5068" s="11">
        <v>37330</v>
      </c>
      <c r="I5068" s="10">
        <v>2002</v>
      </c>
      <c r="J5068" s="10" t="s">
        <v>6351</v>
      </c>
      <c r="K5068" s="10">
        <v>130</v>
      </c>
      <c r="L5068" s="10" t="s">
        <v>26759</v>
      </c>
      <c r="M5068" s="10">
        <v>1</v>
      </c>
      <c r="N5068" s="10"/>
      <c r="O5068" s="10"/>
      <c r="P5068" s="10" t="s">
        <v>26760</v>
      </c>
      <c r="Q5068" s="10" t="s">
        <v>26667</v>
      </c>
      <c r="R5068" s="10" t="s">
        <v>6547</v>
      </c>
      <c r="S5068" s="10" t="s">
        <v>53</v>
      </c>
      <c r="T5068" s="10" t="s">
        <v>54</v>
      </c>
    </row>
    <row r="5069" spans="1:20" ht="14.5" x14ac:dyDescent="0.35">
      <c r="A5069" s="10" t="s">
        <v>26761</v>
      </c>
      <c r="B5069" s="10" t="str">
        <f>"9781843120216"</f>
        <v>9781843120216</v>
      </c>
      <c r="C5069" s="10" t="str">
        <f>"9781134007028"</f>
        <v>9781134007028</v>
      </c>
      <c r="D5069" s="10" t="s">
        <v>6350</v>
      </c>
      <c r="E5069" s="10" t="s">
        <v>15120</v>
      </c>
      <c r="F5069" s="10" t="s">
        <v>748</v>
      </c>
      <c r="G5069" s="10" t="s">
        <v>6352</v>
      </c>
      <c r="H5069" s="11">
        <v>37792</v>
      </c>
      <c r="I5069" s="10">
        <v>2003</v>
      </c>
      <c r="J5069" s="10" t="s">
        <v>15120</v>
      </c>
      <c r="K5069" s="10">
        <v>289</v>
      </c>
      <c r="L5069" s="10" t="s">
        <v>26762</v>
      </c>
      <c r="M5069" s="10">
        <v>1</v>
      </c>
      <c r="N5069" s="10"/>
      <c r="O5069" s="10"/>
      <c r="P5069" s="10" t="s">
        <v>26763</v>
      </c>
      <c r="Q5069" s="10">
        <v>372.6044</v>
      </c>
      <c r="R5069" s="10" t="s">
        <v>26764</v>
      </c>
      <c r="S5069" s="10" t="s">
        <v>53</v>
      </c>
      <c r="T5069" s="10" t="s">
        <v>54</v>
      </c>
    </row>
    <row r="5070" spans="1:20" ht="14.5" x14ac:dyDescent="0.35">
      <c r="A5070" s="10" t="s">
        <v>26765</v>
      </c>
      <c r="B5070" s="10" t="str">
        <f>"9781853468728"</f>
        <v>9781853468728</v>
      </c>
      <c r="C5070" s="10" t="str">
        <f>"9781134145904"</f>
        <v>9781134145904</v>
      </c>
      <c r="D5070" s="10" t="s">
        <v>6350</v>
      </c>
      <c r="E5070" s="10" t="s">
        <v>15120</v>
      </c>
      <c r="F5070" s="10" t="s">
        <v>748</v>
      </c>
      <c r="G5070" s="10" t="s">
        <v>6352</v>
      </c>
      <c r="H5070" s="11">
        <v>37358</v>
      </c>
      <c r="I5070" s="10">
        <v>2002</v>
      </c>
      <c r="J5070" s="10" t="s">
        <v>15120</v>
      </c>
      <c r="K5070" s="10">
        <v>193</v>
      </c>
      <c r="L5070" s="10" t="s">
        <v>14194</v>
      </c>
      <c r="M5070" s="10">
        <v>2</v>
      </c>
      <c r="N5070" s="10"/>
      <c r="O5070" s="10"/>
      <c r="P5070" s="10" t="s">
        <v>26766</v>
      </c>
      <c r="Q5070" s="10">
        <v>371</v>
      </c>
      <c r="R5070" s="10" t="s">
        <v>12268</v>
      </c>
      <c r="S5070" s="10" t="s">
        <v>53</v>
      </c>
      <c r="T5070" s="10" t="s">
        <v>54</v>
      </c>
    </row>
    <row r="5071" spans="1:20" ht="14.5" x14ac:dyDescent="0.35">
      <c r="A5071" s="10" t="s">
        <v>26767</v>
      </c>
      <c r="B5071" s="10" t="str">
        <f>"9781930556942"</f>
        <v>9781930556942</v>
      </c>
      <c r="C5071" s="10" t="str">
        <f>"9781317923909"</f>
        <v>9781317923909</v>
      </c>
      <c r="D5071" s="10" t="s">
        <v>6350</v>
      </c>
      <c r="E5071" s="10" t="s">
        <v>6351</v>
      </c>
      <c r="F5071" s="10" t="s">
        <v>139</v>
      </c>
      <c r="G5071" s="10" t="s">
        <v>6352</v>
      </c>
      <c r="H5071" s="11">
        <v>38275</v>
      </c>
      <c r="I5071" s="10">
        <v>2005</v>
      </c>
      <c r="J5071" s="10" t="s">
        <v>6353</v>
      </c>
      <c r="K5071" s="10">
        <v>175</v>
      </c>
      <c r="L5071" s="10" t="s">
        <v>26768</v>
      </c>
      <c r="M5071" s="10">
        <v>1</v>
      </c>
      <c r="N5071" s="10"/>
      <c r="O5071" s="10"/>
      <c r="P5071" s="10" t="s">
        <v>26769</v>
      </c>
      <c r="Q5071" s="10">
        <v>371.2011</v>
      </c>
      <c r="R5071" s="10" t="s">
        <v>26770</v>
      </c>
      <c r="S5071" s="10" t="s">
        <v>53</v>
      </c>
      <c r="T5071" s="10" t="s">
        <v>54</v>
      </c>
    </row>
    <row r="5072" spans="1:20" ht="14.5" x14ac:dyDescent="0.35">
      <c r="A5072" s="10" t="s">
        <v>26771</v>
      </c>
      <c r="B5072" s="10" t="str">
        <f>"9781930556379"</f>
        <v>9781930556379</v>
      </c>
      <c r="C5072" s="10" t="str">
        <f>"9781317919612"</f>
        <v>9781317919612</v>
      </c>
      <c r="D5072" s="10" t="s">
        <v>6350</v>
      </c>
      <c r="E5072" s="10" t="s">
        <v>6351</v>
      </c>
      <c r="F5072" s="10" t="s">
        <v>139</v>
      </c>
      <c r="G5072" s="10" t="s">
        <v>6352</v>
      </c>
      <c r="H5072" s="11">
        <v>37399</v>
      </c>
      <c r="I5072" s="10">
        <v>2002</v>
      </c>
      <c r="J5072" s="10" t="s">
        <v>6353</v>
      </c>
      <c r="K5072" s="10">
        <v>224</v>
      </c>
      <c r="L5072" s="10" t="s">
        <v>26772</v>
      </c>
      <c r="M5072" s="10">
        <v>1</v>
      </c>
      <c r="N5072" s="10"/>
      <c r="O5072" s="10"/>
      <c r="P5072" s="10" t="s">
        <v>26773</v>
      </c>
      <c r="Q5072" s="10">
        <v>373.12</v>
      </c>
      <c r="R5072" s="10" t="s">
        <v>26774</v>
      </c>
      <c r="S5072" s="10" t="s">
        <v>53</v>
      </c>
      <c r="T5072" s="10" t="s">
        <v>54</v>
      </c>
    </row>
    <row r="5073" spans="1:20" ht="14.5" x14ac:dyDescent="0.35">
      <c r="A5073" s="10" t="s">
        <v>26775</v>
      </c>
      <c r="B5073" s="10" t="str">
        <f>"9781883001087"</f>
        <v>9781883001087</v>
      </c>
      <c r="C5073" s="10" t="str">
        <f>"9781317927921"</f>
        <v>9781317927921</v>
      </c>
      <c r="D5073" s="10" t="s">
        <v>6350</v>
      </c>
      <c r="E5073" s="10" t="s">
        <v>6351</v>
      </c>
      <c r="F5073" s="10" t="s">
        <v>748</v>
      </c>
      <c r="G5073" s="10" t="s">
        <v>6352</v>
      </c>
      <c r="H5073" s="11">
        <v>34380</v>
      </c>
      <c r="I5073" s="10">
        <v>1994</v>
      </c>
      <c r="J5073" s="10" t="s">
        <v>6351</v>
      </c>
      <c r="K5073" s="10">
        <v>241</v>
      </c>
      <c r="L5073" s="10" t="s">
        <v>26776</v>
      </c>
      <c r="M5073" s="10">
        <v>1</v>
      </c>
      <c r="N5073" s="10"/>
      <c r="O5073" s="10"/>
      <c r="P5073" s="10" t="s">
        <v>26777</v>
      </c>
      <c r="Q5073" s="10">
        <v>371.20119999999997</v>
      </c>
      <c r="R5073" s="10" t="s">
        <v>25401</v>
      </c>
      <c r="S5073" s="10" t="s">
        <v>53</v>
      </c>
      <c r="T5073" s="10" t="s">
        <v>54</v>
      </c>
    </row>
    <row r="5074" spans="1:20" ht="14.5" x14ac:dyDescent="0.35">
      <c r="A5074" s="10" t="s">
        <v>26778</v>
      </c>
      <c r="B5074" s="10" t="str">
        <f>"9781930556324"</f>
        <v>9781930556324</v>
      </c>
      <c r="C5074" s="10" t="str">
        <f>"9781317922490"</f>
        <v>9781317922490</v>
      </c>
      <c r="D5074" s="10" t="s">
        <v>6350</v>
      </c>
      <c r="E5074" s="10" t="s">
        <v>6351</v>
      </c>
      <c r="F5074" s="10" t="s">
        <v>139</v>
      </c>
      <c r="G5074" s="10" t="s">
        <v>6352</v>
      </c>
      <c r="H5074" s="11">
        <v>37547</v>
      </c>
      <c r="I5074" s="10">
        <v>2002</v>
      </c>
      <c r="J5074" s="10" t="s">
        <v>6353</v>
      </c>
      <c r="K5074" s="10">
        <v>193</v>
      </c>
      <c r="L5074" s="10" t="s">
        <v>26779</v>
      </c>
      <c r="M5074" s="10">
        <v>1</v>
      </c>
      <c r="N5074" s="10"/>
      <c r="O5074" s="10"/>
      <c r="P5074" s="10" t="s">
        <v>26780</v>
      </c>
      <c r="Q5074" s="10">
        <v>371.14400000000001</v>
      </c>
      <c r="R5074" s="10" t="s">
        <v>26781</v>
      </c>
      <c r="S5074" s="10" t="s">
        <v>53</v>
      </c>
      <c r="T5074" s="10" t="s">
        <v>54</v>
      </c>
    </row>
    <row r="5075" spans="1:20" ht="14.5" x14ac:dyDescent="0.35">
      <c r="A5075" s="10" t="s">
        <v>26782</v>
      </c>
      <c r="B5075" s="10" t="str">
        <f>"9780313398094"</f>
        <v>9780313398094</v>
      </c>
      <c r="C5075" s="10" t="str">
        <f>"9798216124511"</f>
        <v>9798216124511</v>
      </c>
      <c r="D5075" s="10" t="s">
        <v>9777</v>
      </c>
      <c r="E5075" s="10" t="s">
        <v>9792</v>
      </c>
      <c r="F5075" s="10" t="s">
        <v>70</v>
      </c>
      <c r="G5075" s="10" t="s">
        <v>6317</v>
      </c>
      <c r="H5075" s="11">
        <v>41498</v>
      </c>
      <c r="I5075" s="10">
        <v>2013</v>
      </c>
      <c r="J5075" s="10" t="s">
        <v>9792</v>
      </c>
      <c r="K5075" s="10">
        <v>346</v>
      </c>
      <c r="L5075" s="10" t="s">
        <v>26783</v>
      </c>
      <c r="M5075" s="10">
        <v>1</v>
      </c>
      <c r="N5075" s="10"/>
      <c r="O5075" s="10"/>
      <c r="P5075" s="10" t="s">
        <v>26784</v>
      </c>
      <c r="Q5075" s="10">
        <v>371.01097299999998</v>
      </c>
      <c r="R5075" s="10" t="s">
        <v>26785</v>
      </c>
      <c r="S5075" s="10" t="s">
        <v>53</v>
      </c>
      <c r="T5075" s="10" t="s">
        <v>54</v>
      </c>
    </row>
    <row r="5076" spans="1:20" ht="14.5" x14ac:dyDescent="0.35">
      <c r="A5076" s="10" t="s">
        <v>26786</v>
      </c>
      <c r="B5076" s="10" t="str">
        <f>"9780470900307"</f>
        <v>9780470900307</v>
      </c>
      <c r="C5076" s="10" t="str">
        <f>"9781118221167"</f>
        <v>9781118221167</v>
      </c>
      <c r="D5076" s="10" t="s">
        <v>6322</v>
      </c>
      <c r="E5076" s="10" t="s">
        <v>6323</v>
      </c>
      <c r="F5076" s="10" t="s">
        <v>4423</v>
      </c>
      <c r="G5076" s="10" t="s">
        <v>6317</v>
      </c>
      <c r="H5076" s="11">
        <v>41582</v>
      </c>
      <c r="I5076" s="10">
        <v>2014</v>
      </c>
      <c r="J5076" s="10" t="s">
        <v>6324</v>
      </c>
      <c r="K5076" s="10">
        <v>306</v>
      </c>
      <c r="L5076" s="10" t="s">
        <v>26787</v>
      </c>
      <c r="M5076" s="10">
        <v>1</v>
      </c>
      <c r="N5076" s="10"/>
      <c r="O5076" s="10"/>
      <c r="P5076" s="10"/>
      <c r="Q5076" s="10">
        <v>372.6</v>
      </c>
      <c r="R5076" s="10" t="s">
        <v>11395</v>
      </c>
      <c r="S5076" s="10" t="s">
        <v>53</v>
      </c>
      <c r="T5076" s="10" t="s">
        <v>54</v>
      </c>
    </row>
    <row r="5077" spans="1:20" ht="14.5" x14ac:dyDescent="0.35">
      <c r="A5077" s="10" t="s">
        <v>26788</v>
      </c>
      <c r="B5077" s="10" t="str">
        <f>"9780470907702"</f>
        <v>9780470907702</v>
      </c>
      <c r="C5077" s="10" t="str">
        <f>"9781118418222"</f>
        <v>9781118418222</v>
      </c>
      <c r="D5077" s="10" t="s">
        <v>6322</v>
      </c>
      <c r="E5077" s="10" t="s">
        <v>6323</v>
      </c>
      <c r="F5077" s="10" t="s">
        <v>13068</v>
      </c>
      <c r="G5077" s="10" t="s">
        <v>6317</v>
      </c>
      <c r="H5077" s="11">
        <v>41596</v>
      </c>
      <c r="I5077" s="10">
        <v>2014</v>
      </c>
      <c r="J5077" s="10" t="s">
        <v>6324</v>
      </c>
      <c r="K5077" s="10">
        <v>318</v>
      </c>
      <c r="L5077" s="10" t="s">
        <v>26789</v>
      </c>
      <c r="M5077" s="10">
        <v>1</v>
      </c>
      <c r="N5077" s="10"/>
      <c r="O5077" s="10"/>
      <c r="P5077" s="10" t="s">
        <v>26790</v>
      </c>
      <c r="Q5077" s="10">
        <v>378.16913097299999</v>
      </c>
      <c r="R5077" s="10" t="s">
        <v>26791</v>
      </c>
      <c r="S5077" s="10" t="s">
        <v>53</v>
      </c>
      <c r="T5077" s="10" t="s">
        <v>54</v>
      </c>
    </row>
    <row r="5078" spans="1:20" ht="14.5" x14ac:dyDescent="0.35">
      <c r="A5078" s="10" t="s">
        <v>26792</v>
      </c>
      <c r="B5078" s="10" t="str">
        <f>"9781118412909"</f>
        <v>9781118412909</v>
      </c>
      <c r="C5078" s="10" t="str">
        <f>"9781118595190"</f>
        <v>9781118595190</v>
      </c>
      <c r="D5078" s="10" t="s">
        <v>6322</v>
      </c>
      <c r="E5078" s="10" t="s">
        <v>6323</v>
      </c>
      <c r="F5078" s="10" t="s">
        <v>4423</v>
      </c>
      <c r="G5078" s="10" t="s">
        <v>6317</v>
      </c>
      <c r="H5078" s="11">
        <v>41582</v>
      </c>
      <c r="I5078" s="10">
        <v>2013</v>
      </c>
      <c r="J5078" s="10" t="s">
        <v>6324</v>
      </c>
      <c r="K5078" s="10">
        <v>226</v>
      </c>
      <c r="L5078" s="10" t="s">
        <v>26793</v>
      </c>
      <c r="M5078" s="10">
        <v>1</v>
      </c>
      <c r="N5078" s="10"/>
      <c r="O5078" s="10"/>
      <c r="P5078" s="10"/>
      <c r="Q5078" s="10"/>
      <c r="R5078" s="10" t="s">
        <v>26794</v>
      </c>
      <c r="S5078" s="10" t="s">
        <v>53</v>
      </c>
      <c r="T5078" s="10" t="s">
        <v>54</v>
      </c>
    </row>
    <row r="5079" spans="1:20" ht="14.5" x14ac:dyDescent="0.35">
      <c r="A5079" s="10" t="s">
        <v>26795</v>
      </c>
      <c r="B5079" s="10" t="str">
        <f>"9781853468360"</f>
        <v>9781853468360</v>
      </c>
      <c r="C5079" s="10" t="str">
        <f>"9781134141982"</f>
        <v>9781134141982</v>
      </c>
      <c r="D5079" s="10" t="s">
        <v>6350</v>
      </c>
      <c r="E5079" s="10" t="s">
        <v>6351</v>
      </c>
      <c r="F5079" s="10" t="s">
        <v>748</v>
      </c>
      <c r="G5079" s="10" t="s">
        <v>6352</v>
      </c>
      <c r="H5079" s="11">
        <v>37379</v>
      </c>
      <c r="I5079" s="10">
        <v>2002</v>
      </c>
      <c r="J5079" s="10" t="s">
        <v>6351</v>
      </c>
      <c r="K5079" s="10">
        <v>126</v>
      </c>
      <c r="L5079" s="10" t="s">
        <v>6403</v>
      </c>
      <c r="M5079" s="10">
        <v>1</v>
      </c>
      <c r="N5079" s="10"/>
      <c r="O5079" s="10"/>
      <c r="P5079" s="10">
        <v>2002421836</v>
      </c>
      <c r="Q5079" s="10">
        <v>372.520440941</v>
      </c>
      <c r="R5079" s="10" t="s">
        <v>6547</v>
      </c>
      <c r="S5079" s="10" t="s">
        <v>53</v>
      </c>
      <c r="T5079" s="10" t="s">
        <v>54</v>
      </c>
    </row>
    <row r="5080" spans="1:20" ht="14.5" x14ac:dyDescent="0.35">
      <c r="A5080" s="10" t="s">
        <v>26796</v>
      </c>
      <c r="B5080" s="10" t="str">
        <f>"9780415932707"</f>
        <v>9780415932707</v>
      </c>
      <c r="C5080" s="10" t="str">
        <f>"9781136703775"</f>
        <v>9781136703775</v>
      </c>
      <c r="D5080" s="10" t="s">
        <v>6350</v>
      </c>
      <c r="E5080" s="10" t="s">
        <v>6351</v>
      </c>
      <c r="F5080" s="10" t="s">
        <v>139</v>
      </c>
      <c r="G5080" s="10" t="s">
        <v>6352</v>
      </c>
      <c r="H5080" s="11">
        <v>37498</v>
      </c>
      <c r="I5080" s="10">
        <v>2002</v>
      </c>
      <c r="J5080" s="10" t="s">
        <v>6353</v>
      </c>
      <c r="K5080" s="10">
        <v>344</v>
      </c>
      <c r="L5080" s="10" t="s">
        <v>26797</v>
      </c>
      <c r="M5080" s="10">
        <v>1</v>
      </c>
      <c r="N5080" s="10" t="s">
        <v>26798</v>
      </c>
      <c r="O5080" s="10"/>
      <c r="P5080" s="10" t="s">
        <v>26799</v>
      </c>
      <c r="Q5080" s="10">
        <v>371.822</v>
      </c>
      <c r="R5080" s="10" t="s">
        <v>12199</v>
      </c>
      <c r="S5080" s="10" t="s">
        <v>53</v>
      </c>
      <c r="T5080" s="10" t="s">
        <v>54</v>
      </c>
    </row>
    <row r="5081" spans="1:20" ht="14.5" x14ac:dyDescent="0.35">
      <c r="A5081" s="10" t="s">
        <v>26800</v>
      </c>
      <c r="B5081" s="10" t="str">
        <f>"9781853467738"</f>
        <v>9781853467738</v>
      </c>
      <c r="C5081" s="10" t="str">
        <f>"9781134134427"</f>
        <v>9781134134427</v>
      </c>
      <c r="D5081" s="10" t="s">
        <v>6350</v>
      </c>
      <c r="E5081" s="10" t="s">
        <v>15120</v>
      </c>
      <c r="F5081" s="10" t="s">
        <v>748</v>
      </c>
      <c r="G5081" s="10" t="s">
        <v>6352</v>
      </c>
      <c r="H5081" s="11">
        <v>37302</v>
      </c>
      <c r="I5081" s="10">
        <v>2002</v>
      </c>
      <c r="J5081" s="10" t="s">
        <v>15120</v>
      </c>
      <c r="K5081" s="10">
        <v>160</v>
      </c>
      <c r="L5081" s="10" t="s">
        <v>26801</v>
      </c>
      <c r="M5081" s="10">
        <v>1</v>
      </c>
      <c r="N5081" s="10"/>
      <c r="O5081" s="10"/>
      <c r="P5081" s="10" t="s">
        <v>26802</v>
      </c>
      <c r="Q5081" s="10" t="s">
        <v>6576</v>
      </c>
      <c r="R5081" s="10" t="s">
        <v>6396</v>
      </c>
      <c r="S5081" s="10" t="s">
        <v>53</v>
      </c>
      <c r="T5081" s="10" t="s">
        <v>54</v>
      </c>
    </row>
    <row r="5082" spans="1:20" ht="14.5" x14ac:dyDescent="0.35">
      <c r="A5082" s="10" t="s">
        <v>26803</v>
      </c>
      <c r="B5082" s="10" t="str">
        <f>"9781853468377"</f>
        <v>9781853468377</v>
      </c>
      <c r="C5082" s="10" t="str">
        <f>"9781134142262"</f>
        <v>9781134142262</v>
      </c>
      <c r="D5082" s="10" t="s">
        <v>6350</v>
      </c>
      <c r="E5082" s="10" t="s">
        <v>6351</v>
      </c>
      <c r="F5082" s="10" t="s">
        <v>748</v>
      </c>
      <c r="G5082" s="10" t="s">
        <v>6352</v>
      </c>
      <c r="H5082" s="11">
        <v>38183</v>
      </c>
      <c r="I5082" s="10">
        <v>2003</v>
      </c>
      <c r="J5082" s="10" t="s">
        <v>6351</v>
      </c>
      <c r="K5082" s="10">
        <v>89</v>
      </c>
      <c r="L5082" s="10" t="s">
        <v>26804</v>
      </c>
      <c r="M5082" s="10">
        <v>2</v>
      </c>
      <c r="N5082" s="10"/>
      <c r="O5082" s="10"/>
      <c r="P5082" s="10" t="s">
        <v>26805</v>
      </c>
      <c r="Q5082" s="10">
        <v>371.9</v>
      </c>
      <c r="R5082" s="10" t="s">
        <v>26676</v>
      </c>
      <c r="S5082" s="10" t="s">
        <v>53</v>
      </c>
      <c r="T5082" s="10" t="s">
        <v>54</v>
      </c>
    </row>
    <row r="5083" spans="1:20" ht="14.5" x14ac:dyDescent="0.35">
      <c r="A5083" s="10" t="s">
        <v>26806</v>
      </c>
      <c r="B5083" s="10" t="str">
        <f>"9781853468100"</f>
        <v>9781853468100</v>
      </c>
      <c r="C5083" s="10" t="str">
        <f>"9781134138623"</f>
        <v>9781134138623</v>
      </c>
      <c r="D5083" s="10" t="s">
        <v>6350</v>
      </c>
      <c r="E5083" s="10" t="s">
        <v>15120</v>
      </c>
      <c r="F5083" s="10" t="s">
        <v>748</v>
      </c>
      <c r="G5083" s="10" t="s">
        <v>6352</v>
      </c>
      <c r="H5083" s="11">
        <v>37463</v>
      </c>
      <c r="I5083" s="10">
        <v>2002</v>
      </c>
      <c r="J5083" s="10" t="s">
        <v>15120</v>
      </c>
      <c r="K5083" s="10">
        <v>177</v>
      </c>
      <c r="L5083" s="10" t="s">
        <v>26807</v>
      </c>
      <c r="M5083" s="10">
        <v>1</v>
      </c>
      <c r="N5083" s="10"/>
      <c r="O5083" s="10"/>
      <c r="P5083" s="10" t="s">
        <v>26808</v>
      </c>
      <c r="Q5083" s="10" t="s">
        <v>26809</v>
      </c>
      <c r="R5083" s="10" t="s">
        <v>6790</v>
      </c>
      <c r="S5083" s="10" t="s">
        <v>53</v>
      </c>
      <c r="T5083" s="10" t="s">
        <v>1166</v>
      </c>
    </row>
    <row r="5084" spans="1:20" ht="14.5" x14ac:dyDescent="0.35">
      <c r="A5084" s="10" t="s">
        <v>26810</v>
      </c>
      <c r="B5084" s="10" t="str">
        <f>"9781853467639"</f>
        <v>9781853467639</v>
      </c>
      <c r="C5084" s="10" t="str">
        <f>"9781134133024"</f>
        <v>9781134133024</v>
      </c>
      <c r="D5084" s="10" t="s">
        <v>6350</v>
      </c>
      <c r="E5084" s="10" t="s">
        <v>15120</v>
      </c>
      <c r="F5084" s="10" t="s">
        <v>748</v>
      </c>
      <c r="G5084" s="10" t="s">
        <v>6352</v>
      </c>
      <c r="H5084" s="11">
        <v>37330</v>
      </c>
      <c r="I5084" s="10">
        <v>2002</v>
      </c>
      <c r="J5084" s="10" t="s">
        <v>15120</v>
      </c>
      <c r="K5084" s="10">
        <v>129</v>
      </c>
      <c r="L5084" s="10" t="s">
        <v>26811</v>
      </c>
      <c r="M5084" s="10">
        <v>1</v>
      </c>
      <c r="N5084" s="10"/>
      <c r="O5084" s="10"/>
      <c r="P5084" s="10" t="s">
        <v>26812</v>
      </c>
      <c r="Q5084" s="10">
        <v>371.90460000000002</v>
      </c>
      <c r="R5084" s="10" t="s">
        <v>6467</v>
      </c>
      <c r="S5084" s="10" t="s">
        <v>53</v>
      </c>
      <c r="T5084" s="10" t="s">
        <v>54</v>
      </c>
    </row>
    <row r="5085" spans="1:20" ht="14.5" x14ac:dyDescent="0.35">
      <c r="A5085" s="10" t="s">
        <v>26813</v>
      </c>
      <c r="B5085" s="10" t="str">
        <f>"9781780491233"</f>
        <v>9781780491233</v>
      </c>
      <c r="C5085" s="10" t="str">
        <f>"9781782410843"</f>
        <v>9781782410843</v>
      </c>
      <c r="D5085" s="10" t="s">
        <v>6350</v>
      </c>
      <c r="E5085" s="10" t="s">
        <v>6351</v>
      </c>
      <c r="F5085" s="10" t="s">
        <v>139</v>
      </c>
      <c r="G5085" s="10" t="s">
        <v>6352</v>
      </c>
      <c r="H5085" s="11">
        <v>41597</v>
      </c>
      <c r="I5085" s="10">
        <v>2013</v>
      </c>
      <c r="J5085" s="10" t="s">
        <v>6353</v>
      </c>
      <c r="K5085" s="10">
        <v>175</v>
      </c>
      <c r="L5085" s="10" t="s">
        <v>26814</v>
      </c>
      <c r="M5085" s="10">
        <v>1</v>
      </c>
      <c r="N5085" s="10" t="s">
        <v>26815</v>
      </c>
      <c r="O5085" s="10"/>
      <c r="P5085" s="10" t="s">
        <v>26816</v>
      </c>
      <c r="Q5085" s="10">
        <v>649.1</v>
      </c>
      <c r="R5085" s="10" t="s">
        <v>26817</v>
      </c>
      <c r="S5085" s="10" t="s">
        <v>53</v>
      </c>
      <c r="T5085" s="10" t="s">
        <v>11762</v>
      </c>
    </row>
    <row r="5086" spans="1:20" ht="14.5" x14ac:dyDescent="0.35">
      <c r="A5086" s="10" t="s">
        <v>26818</v>
      </c>
      <c r="B5086" s="10" t="str">
        <f>"9780739177624"</f>
        <v>9780739177624</v>
      </c>
      <c r="C5086" s="10" t="str">
        <f>"9780739177631"</f>
        <v>9780739177631</v>
      </c>
      <c r="D5086" s="10" t="s">
        <v>9752</v>
      </c>
      <c r="E5086" s="10" t="s">
        <v>15182</v>
      </c>
      <c r="F5086" s="10" t="s">
        <v>9754</v>
      </c>
      <c r="G5086" s="10" t="s">
        <v>6317</v>
      </c>
      <c r="H5086" s="11">
        <v>41569</v>
      </c>
      <c r="I5086" s="10">
        <v>2014</v>
      </c>
      <c r="J5086" s="10" t="s">
        <v>15182</v>
      </c>
      <c r="K5086" s="10">
        <v>378</v>
      </c>
      <c r="L5086" s="10" t="s">
        <v>26819</v>
      </c>
      <c r="M5086" s="10">
        <v>1</v>
      </c>
      <c r="N5086" s="10"/>
      <c r="O5086" s="10"/>
      <c r="P5086" s="10" t="s">
        <v>26820</v>
      </c>
      <c r="Q5086" s="10">
        <v>370.71100000000001</v>
      </c>
      <c r="R5086" s="10" t="s">
        <v>26821</v>
      </c>
      <c r="S5086" s="10" t="s">
        <v>53</v>
      </c>
      <c r="T5086" s="10" t="s">
        <v>54</v>
      </c>
    </row>
    <row r="5087" spans="1:20" ht="14.5" x14ac:dyDescent="0.35">
      <c r="A5087" s="10" t="s">
        <v>26822</v>
      </c>
      <c r="B5087" s="10" t="str">
        <f>"9781781906828"</f>
        <v>9781781906828</v>
      </c>
      <c r="C5087" s="10" t="str">
        <f>"9781781906835"</f>
        <v>9781781906835</v>
      </c>
      <c r="D5087" s="10" t="s">
        <v>8699</v>
      </c>
      <c r="E5087" s="10" t="s">
        <v>8699</v>
      </c>
      <c r="F5087" s="10" t="s">
        <v>559</v>
      </c>
      <c r="G5087" s="10" t="s">
        <v>6352</v>
      </c>
      <c r="H5087" s="11">
        <v>41543</v>
      </c>
      <c r="I5087" s="10">
        <v>2013</v>
      </c>
      <c r="J5087" s="10" t="s">
        <v>8699</v>
      </c>
      <c r="K5087" s="10">
        <v>292</v>
      </c>
      <c r="L5087" s="10" t="s">
        <v>26823</v>
      </c>
      <c r="M5087" s="10">
        <v>1</v>
      </c>
      <c r="N5087" s="10" t="s">
        <v>26824</v>
      </c>
      <c r="O5087" s="10">
        <v>9</v>
      </c>
      <c r="P5087" s="10" t="s">
        <v>26825</v>
      </c>
      <c r="Q5087" s="10">
        <v>378.00720000000001</v>
      </c>
      <c r="R5087" s="10" t="s">
        <v>26826</v>
      </c>
      <c r="S5087" s="10" t="s">
        <v>53</v>
      </c>
      <c r="T5087" s="10" t="s">
        <v>54</v>
      </c>
    </row>
    <row r="5088" spans="1:20" ht="14.5" x14ac:dyDescent="0.35">
      <c r="A5088" s="10" t="s">
        <v>26827</v>
      </c>
      <c r="B5088" s="10" t="str">
        <f>"9781781906989"</f>
        <v>9781781906989</v>
      </c>
      <c r="C5088" s="10" t="str">
        <f>"9781781906996"</f>
        <v>9781781906996</v>
      </c>
      <c r="D5088" s="10" t="s">
        <v>8699</v>
      </c>
      <c r="E5088" s="10" t="s">
        <v>8699</v>
      </c>
      <c r="F5088" s="10" t="s">
        <v>559</v>
      </c>
      <c r="G5088" s="10" t="s">
        <v>6352</v>
      </c>
      <c r="H5088" s="11">
        <v>41568</v>
      </c>
      <c r="I5088" s="10">
        <v>2013</v>
      </c>
      <c r="J5088" s="10" t="s">
        <v>8699</v>
      </c>
      <c r="K5088" s="10">
        <v>526</v>
      </c>
      <c r="L5088" s="10" t="s">
        <v>26828</v>
      </c>
      <c r="M5088" s="10">
        <v>1</v>
      </c>
      <c r="N5088" s="10" t="s">
        <v>14534</v>
      </c>
      <c r="O5088" s="10">
        <v>21</v>
      </c>
      <c r="P5088" s="10" t="s">
        <v>26829</v>
      </c>
      <c r="Q5088" s="10">
        <v>378.6</v>
      </c>
      <c r="R5088" s="10" t="s">
        <v>26830</v>
      </c>
      <c r="S5088" s="10" t="s">
        <v>53</v>
      </c>
      <c r="T5088" s="10" t="s">
        <v>54</v>
      </c>
    </row>
    <row r="5089" spans="1:20" ht="14.5" x14ac:dyDescent="0.35">
      <c r="A5089" s="10" t="s">
        <v>26831</v>
      </c>
      <c r="B5089" s="10" t="str">
        <f>"9781416616085"</f>
        <v>9781416616085</v>
      </c>
      <c r="C5089" s="10" t="str">
        <f>"9781416617761"</f>
        <v>9781416617761</v>
      </c>
      <c r="D5089" s="10" t="s">
        <v>10014</v>
      </c>
      <c r="E5089" s="10" t="s">
        <v>10015</v>
      </c>
      <c r="F5089" s="10" t="s">
        <v>201</v>
      </c>
      <c r="G5089" s="10" t="s">
        <v>6317</v>
      </c>
      <c r="H5089" s="11">
        <v>41577</v>
      </c>
      <c r="I5089" s="10">
        <v>2013</v>
      </c>
      <c r="J5089" s="10" t="s">
        <v>10015</v>
      </c>
      <c r="K5089" s="10">
        <v>171</v>
      </c>
      <c r="L5089" s="10" t="s">
        <v>26832</v>
      </c>
      <c r="M5089" s="10">
        <v>1</v>
      </c>
      <c r="N5089" s="10"/>
      <c r="O5089" s="10"/>
      <c r="P5089" s="10" t="s">
        <v>26833</v>
      </c>
      <c r="Q5089" s="10">
        <v>371.39</v>
      </c>
      <c r="R5089" s="10" t="s">
        <v>26834</v>
      </c>
      <c r="S5089" s="10" t="s">
        <v>53</v>
      </c>
      <c r="T5089" s="10" t="s">
        <v>54</v>
      </c>
    </row>
    <row r="5090" spans="1:20" ht="14.5" x14ac:dyDescent="0.35">
      <c r="A5090" s="10" t="s">
        <v>26835</v>
      </c>
      <c r="B5090" s="10" t="str">
        <f>"9781845402112"</f>
        <v>9781845402112</v>
      </c>
      <c r="C5090" s="10" t="str">
        <f>"9781845406257"</f>
        <v>9781845406257</v>
      </c>
      <c r="D5090" s="10" t="s">
        <v>19500</v>
      </c>
      <c r="E5090" s="10" t="s">
        <v>19501</v>
      </c>
      <c r="F5090" s="10" t="s">
        <v>20587</v>
      </c>
      <c r="G5090" s="10" t="s">
        <v>6352</v>
      </c>
      <c r="H5090" s="11">
        <v>40326</v>
      </c>
      <c r="I5090" s="10">
        <v>2013</v>
      </c>
      <c r="J5090" s="10" t="s">
        <v>19503</v>
      </c>
      <c r="K5090" s="10">
        <v>248</v>
      </c>
      <c r="L5090" s="10" t="s">
        <v>26836</v>
      </c>
      <c r="M5090" s="10">
        <v>1</v>
      </c>
      <c r="N5090" s="10"/>
      <c r="O5090" s="10"/>
      <c r="P5090" s="10" t="s">
        <v>26837</v>
      </c>
      <c r="Q5090" s="10">
        <v>370.11399999999998</v>
      </c>
      <c r="R5090" s="10" t="s">
        <v>26838</v>
      </c>
      <c r="S5090" s="10" t="s">
        <v>53</v>
      </c>
      <c r="T5090" s="10" t="s">
        <v>54</v>
      </c>
    </row>
    <row r="5091" spans="1:20" ht="14.5" x14ac:dyDescent="0.35">
      <c r="A5091" s="10" t="s">
        <v>26839</v>
      </c>
      <c r="B5091" s="10" t="str">
        <f>"9781909330375"</f>
        <v>9781909330375</v>
      </c>
      <c r="C5091" s="10" t="str">
        <f>"9781909330405"</f>
        <v>9781909330405</v>
      </c>
      <c r="D5091" s="10" t="s">
        <v>9533</v>
      </c>
      <c r="E5091" s="10" t="s">
        <v>26840</v>
      </c>
      <c r="F5091" s="10" t="s">
        <v>26841</v>
      </c>
      <c r="G5091" s="10" t="s">
        <v>6352</v>
      </c>
      <c r="H5091" s="11">
        <v>41519</v>
      </c>
      <c r="I5091" s="10">
        <v>2013</v>
      </c>
      <c r="J5091" s="10" t="s">
        <v>26840</v>
      </c>
      <c r="K5091" s="10">
        <v>186</v>
      </c>
      <c r="L5091" s="10" t="s">
        <v>26842</v>
      </c>
      <c r="M5091" s="10">
        <v>1</v>
      </c>
      <c r="N5091" s="10" t="s">
        <v>26843</v>
      </c>
      <c r="O5091" s="10"/>
      <c r="P5091" s="10" t="s">
        <v>24353</v>
      </c>
      <c r="Q5091" s="10">
        <v>372.70440940999998</v>
      </c>
      <c r="R5091" s="10" t="s">
        <v>26844</v>
      </c>
      <c r="S5091" s="10" t="s">
        <v>53</v>
      </c>
      <c r="T5091" s="10" t="s">
        <v>7425</v>
      </c>
    </row>
    <row r="5092" spans="1:20" ht="14.5" x14ac:dyDescent="0.35">
      <c r="A5092" s="10" t="s">
        <v>26845</v>
      </c>
      <c r="B5092" s="10" t="str">
        <f>"9781909330412"</f>
        <v>9781909330412</v>
      </c>
      <c r="C5092" s="10" t="str">
        <f>"9781909330443"</f>
        <v>9781909330443</v>
      </c>
      <c r="D5092" s="10" t="s">
        <v>9533</v>
      </c>
      <c r="E5092" s="10" t="s">
        <v>26840</v>
      </c>
      <c r="F5092" s="10" t="s">
        <v>26841</v>
      </c>
      <c r="G5092" s="10" t="s">
        <v>6352</v>
      </c>
      <c r="H5092" s="11">
        <v>41534</v>
      </c>
      <c r="I5092" s="10">
        <v>2013</v>
      </c>
      <c r="J5092" s="10" t="s">
        <v>26840</v>
      </c>
      <c r="K5092" s="10">
        <v>194</v>
      </c>
      <c r="L5092" s="10" t="s">
        <v>26846</v>
      </c>
      <c r="M5092" s="10">
        <v>1</v>
      </c>
      <c r="N5092" s="10" t="s">
        <v>26843</v>
      </c>
      <c r="O5092" s="10"/>
      <c r="P5092" s="10" t="s">
        <v>26847</v>
      </c>
      <c r="Q5092" s="10">
        <v>372.4</v>
      </c>
      <c r="R5092" s="10" t="s">
        <v>26848</v>
      </c>
      <c r="S5092" s="10" t="s">
        <v>53</v>
      </c>
      <c r="T5092" s="10" t="s">
        <v>54</v>
      </c>
    </row>
    <row r="5093" spans="1:20" ht="14.5" x14ac:dyDescent="0.35">
      <c r="A5093" s="10" t="s">
        <v>26849</v>
      </c>
      <c r="B5093" s="10" t="str">
        <f>"9780415949965"</f>
        <v>9780415949965</v>
      </c>
      <c r="C5093" s="10" t="str">
        <f>"9781136729812"</f>
        <v>9781136729812</v>
      </c>
      <c r="D5093" s="10" t="s">
        <v>6350</v>
      </c>
      <c r="E5093" s="10" t="s">
        <v>6351</v>
      </c>
      <c r="F5093" s="10" t="s">
        <v>139</v>
      </c>
      <c r="G5093" s="10" t="s">
        <v>6352</v>
      </c>
      <c r="H5093" s="11">
        <v>38444</v>
      </c>
      <c r="I5093" s="10">
        <v>2005</v>
      </c>
      <c r="J5093" s="10" t="s">
        <v>6353</v>
      </c>
      <c r="K5093" s="10">
        <v>201</v>
      </c>
      <c r="L5093" s="10" t="s">
        <v>26850</v>
      </c>
      <c r="M5093" s="10">
        <v>1</v>
      </c>
      <c r="N5093" s="10"/>
      <c r="O5093" s="10"/>
      <c r="P5093" s="10" t="s">
        <v>26851</v>
      </c>
      <c r="Q5093" s="10">
        <v>370.11700000000002</v>
      </c>
      <c r="R5093" s="10" t="s">
        <v>26509</v>
      </c>
      <c r="S5093" s="10" t="s">
        <v>53</v>
      </c>
      <c r="T5093" s="10" t="s">
        <v>54</v>
      </c>
    </row>
    <row r="5094" spans="1:20" ht="14.5" x14ac:dyDescent="0.35">
      <c r="A5094" s="10" t="s">
        <v>26852</v>
      </c>
      <c r="B5094" s="10" t="str">
        <f>"9781596671010"</f>
        <v>9781596671010</v>
      </c>
      <c r="C5094" s="10" t="str">
        <f>"9781317923183"</f>
        <v>9781317923183</v>
      </c>
      <c r="D5094" s="10" t="s">
        <v>6350</v>
      </c>
      <c r="E5094" s="10" t="s">
        <v>6351</v>
      </c>
      <c r="F5094" s="10" t="s">
        <v>139</v>
      </c>
      <c r="G5094" s="10" t="s">
        <v>6352</v>
      </c>
      <c r="H5094" s="11">
        <v>39867</v>
      </c>
      <c r="I5094" s="10">
        <v>2009</v>
      </c>
      <c r="J5094" s="10" t="s">
        <v>6353</v>
      </c>
      <c r="K5094" s="10">
        <v>247</v>
      </c>
      <c r="L5094" s="10" t="s">
        <v>26853</v>
      </c>
      <c r="M5094" s="10">
        <v>2</v>
      </c>
      <c r="N5094" s="10"/>
      <c r="O5094" s="10"/>
      <c r="P5094" s="10" t="s">
        <v>26854</v>
      </c>
      <c r="Q5094" s="10">
        <v>371</v>
      </c>
      <c r="R5094" s="10" t="s">
        <v>26855</v>
      </c>
      <c r="S5094" s="10" t="s">
        <v>53</v>
      </c>
      <c r="T5094" s="10" t="s">
        <v>54</v>
      </c>
    </row>
    <row r="5095" spans="1:20" ht="14.5" x14ac:dyDescent="0.35">
      <c r="A5095" s="10" t="s">
        <v>26856</v>
      </c>
      <c r="B5095" s="10" t="str">
        <f>"9781930556560"</f>
        <v>9781930556560</v>
      </c>
      <c r="C5095" s="10" t="str">
        <f>"9781317927808"</f>
        <v>9781317927808</v>
      </c>
      <c r="D5095" s="10" t="s">
        <v>6350</v>
      </c>
      <c r="E5095" s="10" t="s">
        <v>6351</v>
      </c>
      <c r="F5095" s="10" t="s">
        <v>23883</v>
      </c>
      <c r="G5095" s="10" t="s">
        <v>6352</v>
      </c>
      <c r="H5095" s="11">
        <v>37707</v>
      </c>
      <c r="I5095" s="10">
        <v>2003</v>
      </c>
      <c r="J5095" s="10" t="s">
        <v>6353</v>
      </c>
      <c r="K5095" s="10">
        <v>266</v>
      </c>
      <c r="L5095" s="10" t="s">
        <v>26857</v>
      </c>
      <c r="M5095" s="10">
        <v>1</v>
      </c>
      <c r="N5095" s="10"/>
      <c r="O5095" s="10"/>
      <c r="P5095" s="10" t="s">
        <v>26858</v>
      </c>
      <c r="Q5095" s="10" t="s">
        <v>15558</v>
      </c>
      <c r="R5095" s="10" t="s">
        <v>26859</v>
      </c>
      <c r="S5095" s="10" t="s">
        <v>53</v>
      </c>
      <c r="T5095" s="10" t="s">
        <v>54</v>
      </c>
    </row>
    <row r="5096" spans="1:20" ht="14.5" x14ac:dyDescent="0.35">
      <c r="A5096" s="10" t="s">
        <v>26860</v>
      </c>
      <c r="B5096" s="10" t="str">
        <f>"9781930556751"</f>
        <v>9781930556751</v>
      </c>
      <c r="C5096" s="10" t="str">
        <f>"9781317925828"</f>
        <v>9781317925828</v>
      </c>
      <c r="D5096" s="10" t="s">
        <v>6350</v>
      </c>
      <c r="E5096" s="10" t="s">
        <v>6351</v>
      </c>
      <c r="F5096" s="10" t="s">
        <v>139</v>
      </c>
      <c r="G5096" s="10" t="s">
        <v>6352</v>
      </c>
      <c r="H5096" s="11">
        <v>38033</v>
      </c>
      <c r="I5096" s="10">
        <v>2004</v>
      </c>
      <c r="J5096" s="10" t="s">
        <v>6353</v>
      </c>
      <c r="K5096" s="10">
        <v>288</v>
      </c>
      <c r="L5096" s="10" t="s">
        <v>26861</v>
      </c>
      <c r="M5096" s="10">
        <v>1</v>
      </c>
      <c r="N5096" s="10"/>
      <c r="O5096" s="10"/>
      <c r="P5096" s="10" t="s">
        <v>26862</v>
      </c>
      <c r="Q5096" s="10">
        <v>373.12912999999998</v>
      </c>
      <c r="R5096" s="10" t="s">
        <v>26863</v>
      </c>
      <c r="S5096" s="10" t="s">
        <v>53</v>
      </c>
      <c r="T5096" s="10" t="s">
        <v>54</v>
      </c>
    </row>
    <row r="5097" spans="1:20" ht="14.5" x14ac:dyDescent="0.35">
      <c r="A5097" s="10" t="s">
        <v>26864</v>
      </c>
      <c r="B5097" s="10" t="str">
        <f>"9781462511716"</f>
        <v>9781462511716</v>
      </c>
      <c r="C5097" s="10" t="str">
        <f>"9781462511754"</f>
        <v>9781462511754</v>
      </c>
      <c r="D5097" s="10" t="s">
        <v>11213</v>
      </c>
      <c r="E5097" s="10" t="s">
        <v>11214</v>
      </c>
      <c r="F5097" s="10" t="s">
        <v>70</v>
      </c>
      <c r="G5097" s="10" t="s">
        <v>6317</v>
      </c>
      <c r="H5097" s="11">
        <v>41571</v>
      </c>
      <c r="I5097" s="10">
        <v>2013</v>
      </c>
      <c r="J5097" s="10" t="s">
        <v>11215</v>
      </c>
      <c r="K5097" s="10">
        <v>202</v>
      </c>
      <c r="L5097" s="10" t="s">
        <v>26865</v>
      </c>
      <c r="M5097" s="10">
        <v>1</v>
      </c>
      <c r="N5097" s="10" t="s">
        <v>11708</v>
      </c>
      <c r="O5097" s="10"/>
      <c r="P5097" s="10" t="s">
        <v>26866</v>
      </c>
      <c r="Q5097" s="10">
        <v>372.37404400000003</v>
      </c>
      <c r="R5097" s="10" t="s">
        <v>26867</v>
      </c>
      <c r="S5097" s="10" t="s">
        <v>53</v>
      </c>
      <c r="T5097" s="10" t="s">
        <v>54</v>
      </c>
    </row>
    <row r="5098" spans="1:20" ht="14.5" x14ac:dyDescent="0.35">
      <c r="A5098" s="10" t="s">
        <v>26868</v>
      </c>
      <c r="B5098" s="10" t="str">
        <f>"9780415807388"</f>
        <v>9780415807388</v>
      </c>
      <c r="C5098" s="10" t="str">
        <f>"9781135118822"</f>
        <v>9781135118822</v>
      </c>
      <c r="D5098" s="10" t="s">
        <v>6350</v>
      </c>
      <c r="E5098" s="10" t="s">
        <v>6351</v>
      </c>
      <c r="F5098" s="10" t="s">
        <v>139</v>
      </c>
      <c r="G5098" s="10" t="s">
        <v>6352</v>
      </c>
      <c r="H5098" s="11">
        <v>41564</v>
      </c>
      <c r="I5098" s="10">
        <v>2013</v>
      </c>
      <c r="J5098" s="10" t="s">
        <v>6353</v>
      </c>
      <c r="K5098" s="10">
        <v>480</v>
      </c>
      <c r="L5098" s="10" t="s">
        <v>26869</v>
      </c>
      <c r="M5098" s="10">
        <v>1</v>
      </c>
      <c r="N5098" s="10"/>
      <c r="O5098" s="10"/>
      <c r="P5098" s="10" t="s">
        <v>26870</v>
      </c>
      <c r="Q5098" s="10">
        <v>371.3</v>
      </c>
      <c r="R5098" s="10" t="s">
        <v>21354</v>
      </c>
      <c r="S5098" s="10" t="s">
        <v>53</v>
      </c>
      <c r="T5098" s="10" t="s">
        <v>54</v>
      </c>
    </row>
    <row r="5099" spans="1:20" ht="14.5" x14ac:dyDescent="0.35">
      <c r="A5099" s="10" t="s">
        <v>26871</v>
      </c>
      <c r="B5099" s="10" t="str">
        <f>"9781118435274"</f>
        <v>9781118435274</v>
      </c>
      <c r="C5099" s="10" t="str">
        <f>"9781118646885"</f>
        <v>9781118646885</v>
      </c>
      <c r="D5099" s="10" t="s">
        <v>6322</v>
      </c>
      <c r="E5099" s="10" t="s">
        <v>6323</v>
      </c>
      <c r="F5099" s="10" t="s">
        <v>4423</v>
      </c>
      <c r="G5099" s="10" t="s">
        <v>6317</v>
      </c>
      <c r="H5099" s="11">
        <v>41612</v>
      </c>
      <c r="I5099" s="10">
        <v>2014</v>
      </c>
      <c r="J5099" s="10" t="s">
        <v>6324</v>
      </c>
      <c r="K5099" s="10">
        <v>258</v>
      </c>
      <c r="L5099" s="10" t="s">
        <v>26872</v>
      </c>
      <c r="M5099" s="10">
        <v>1</v>
      </c>
      <c r="N5099" s="10"/>
      <c r="O5099" s="10"/>
      <c r="P5099" s="10" t="s">
        <v>26873</v>
      </c>
      <c r="Q5099" s="10">
        <v>370.11399999999998</v>
      </c>
      <c r="R5099" s="10" t="s">
        <v>26874</v>
      </c>
      <c r="S5099" s="10" t="s">
        <v>53</v>
      </c>
      <c r="T5099" s="10" t="s">
        <v>54</v>
      </c>
    </row>
    <row r="5100" spans="1:20" ht="14.5" x14ac:dyDescent="0.35">
      <c r="A5100" s="10" t="s">
        <v>26875</v>
      </c>
      <c r="B5100" s="10" t="str">
        <f>"9781498525893"</f>
        <v>9781498525893</v>
      </c>
      <c r="C5100" s="10" t="str">
        <f>"9780739182536"</f>
        <v>9780739182536</v>
      </c>
      <c r="D5100" s="10" t="s">
        <v>9752</v>
      </c>
      <c r="E5100" s="10" t="s">
        <v>15182</v>
      </c>
      <c r="F5100" s="10" t="s">
        <v>9754</v>
      </c>
      <c r="G5100" s="10" t="s">
        <v>6317</v>
      </c>
      <c r="H5100" s="11">
        <v>41541</v>
      </c>
      <c r="I5100" s="10">
        <v>2013</v>
      </c>
      <c r="J5100" s="10" t="s">
        <v>15182</v>
      </c>
      <c r="K5100" s="10">
        <v>247</v>
      </c>
      <c r="L5100" s="10" t="s">
        <v>26876</v>
      </c>
      <c r="M5100" s="10">
        <v>1</v>
      </c>
      <c r="N5100" s="10"/>
      <c r="O5100" s="10"/>
      <c r="P5100" s="10" t="s">
        <v>26877</v>
      </c>
      <c r="Q5100" s="10">
        <v>378.01</v>
      </c>
      <c r="R5100" s="10" t="s">
        <v>13219</v>
      </c>
      <c r="S5100" s="10" t="s">
        <v>53</v>
      </c>
      <c r="T5100" s="10" t="s">
        <v>54</v>
      </c>
    </row>
    <row r="5101" spans="1:20" ht="14.5" x14ac:dyDescent="0.35">
      <c r="A5101" s="10" t="s">
        <v>26878</v>
      </c>
      <c r="B5101" s="10" t="str">
        <f>"9781118834558"</f>
        <v>9781118834558</v>
      </c>
      <c r="C5101" s="10" t="str">
        <f>"9781118834534"</f>
        <v>9781118834534</v>
      </c>
      <c r="D5101" s="10" t="s">
        <v>6322</v>
      </c>
      <c r="E5101" s="10" t="s">
        <v>6323</v>
      </c>
      <c r="F5101" s="10" t="s">
        <v>6339</v>
      </c>
      <c r="G5101" s="10" t="s">
        <v>6317</v>
      </c>
      <c r="H5101" s="11">
        <v>41617</v>
      </c>
      <c r="I5101" s="10">
        <v>2013</v>
      </c>
      <c r="J5101" s="10" t="s">
        <v>6324</v>
      </c>
      <c r="K5101" s="10">
        <v>114</v>
      </c>
      <c r="L5101" s="10" t="s">
        <v>26879</v>
      </c>
      <c r="M5101" s="10">
        <v>1</v>
      </c>
      <c r="N5101" s="10" t="s">
        <v>22922</v>
      </c>
      <c r="O5101" s="10"/>
      <c r="P5101" s="10" t="s">
        <v>26880</v>
      </c>
      <c r="Q5101" s="10">
        <v>378.15430973000002</v>
      </c>
      <c r="R5101" s="10" t="s">
        <v>26881</v>
      </c>
      <c r="S5101" s="10" t="s">
        <v>53</v>
      </c>
      <c r="T5101" s="10" t="s">
        <v>54</v>
      </c>
    </row>
    <row r="5102" spans="1:20" ht="14.5" x14ac:dyDescent="0.35">
      <c r="A5102" s="10" t="s">
        <v>26882</v>
      </c>
      <c r="B5102" s="10" t="str">
        <f>"9781869405779"</f>
        <v>9781869405779</v>
      </c>
      <c r="C5102" s="10" t="str">
        <f>"9781775585091"</f>
        <v>9781775585091</v>
      </c>
      <c r="D5102" s="10" t="s">
        <v>9215</v>
      </c>
      <c r="E5102" s="10" t="s">
        <v>26883</v>
      </c>
      <c r="F5102" s="10" t="s">
        <v>12230</v>
      </c>
      <c r="G5102" s="10" t="s">
        <v>6317</v>
      </c>
      <c r="H5102" s="11">
        <v>41030</v>
      </c>
      <c r="I5102" s="10">
        <v>2012</v>
      </c>
      <c r="J5102" s="10" t="s">
        <v>26883</v>
      </c>
      <c r="K5102" s="10">
        <v>198</v>
      </c>
      <c r="L5102" s="10" t="s">
        <v>26884</v>
      </c>
      <c r="M5102" s="10"/>
      <c r="N5102" s="10"/>
      <c r="O5102" s="10"/>
      <c r="P5102" s="10" t="s">
        <v>26885</v>
      </c>
      <c r="Q5102" s="10">
        <v>371.9</v>
      </c>
      <c r="R5102" s="10" t="s">
        <v>26886</v>
      </c>
      <c r="S5102" s="10" t="s">
        <v>53</v>
      </c>
      <c r="T5102" s="10" t="s">
        <v>54</v>
      </c>
    </row>
    <row r="5103" spans="1:20" ht="14.5" x14ac:dyDescent="0.35">
      <c r="A5103" s="10" t="s">
        <v>26887</v>
      </c>
      <c r="B5103" s="10" t="str">
        <f>"9781847740441"</f>
        <v>9781847740441</v>
      </c>
      <c r="C5103" s="10" t="str">
        <f>"9781847740618"</f>
        <v>9781847740618</v>
      </c>
      <c r="D5103" s="10" t="s">
        <v>9533</v>
      </c>
      <c r="E5103" s="10" t="s">
        <v>26738</v>
      </c>
      <c r="F5103" s="10" t="s">
        <v>139</v>
      </c>
      <c r="G5103" s="10" t="s">
        <v>6317</v>
      </c>
      <c r="H5103" s="11">
        <v>41540</v>
      </c>
      <c r="I5103" s="10">
        <v>2013</v>
      </c>
      <c r="J5103" s="10" t="s">
        <v>26738</v>
      </c>
      <c r="K5103" s="10">
        <v>257</v>
      </c>
      <c r="L5103" s="10" t="s">
        <v>26888</v>
      </c>
      <c r="M5103" s="10">
        <v>1</v>
      </c>
      <c r="N5103" s="10"/>
      <c r="O5103" s="10"/>
      <c r="P5103" s="10" t="s">
        <v>26889</v>
      </c>
      <c r="Q5103" s="10">
        <v>371.82</v>
      </c>
      <c r="R5103" s="10" t="s">
        <v>26890</v>
      </c>
      <c r="S5103" s="10" t="s">
        <v>53</v>
      </c>
      <c r="T5103" s="10" t="s">
        <v>54</v>
      </c>
    </row>
    <row r="5104" spans="1:20" ht="14.5" x14ac:dyDescent="0.35">
      <c r="A5104" s="10" t="s">
        <v>26891</v>
      </c>
      <c r="B5104" s="10" t="str">
        <f>"9781452218823"</f>
        <v>9781452218823</v>
      </c>
      <c r="C5104" s="10" t="str">
        <f>"9781483332895"</f>
        <v>9781483332895</v>
      </c>
      <c r="D5104" s="10" t="s">
        <v>22210</v>
      </c>
      <c r="E5104" s="10" t="s">
        <v>22211</v>
      </c>
      <c r="F5104" s="10" t="s">
        <v>333</v>
      </c>
      <c r="G5104" s="10" t="s">
        <v>6317</v>
      </c>
      <c r="H5104" s="11">
        <v>41583</v>
      </c>
      <c r="I5104" s="10">
        <v>2014</v>
      </c>
      <c r="J5104" s="10" t="s">
        <v>22211</v>
      </c>
      <c r="K5104" s="10">
        <v>161</v>
      </c>
      <c r="L5104" s="10" t="s">
        <v>26892</v>
      </c>
      <c r="M5104" s="10">
        <v>1</v>
      </c>
      <c r="N5104" s="10"/>
      <c r="O5104" s="10"/>
      <c r="P5104" s="10" t="s">
        <v>26893</v>
      </c>
      <c r="Q5104" s="10">
        <v>371.10219999999998</v>
      </c>
      <c r="R5104" s="10" t="s">
        <v>26894</v>
      </c>
      <c r="S5104" s="10" t="s">
        <v>53</v>
      </c>
      <c r="T5104" s="10" t="s">
        <v>8755</v>
      </c>
    </row>
    <row r="5105" spans="1:20" ht="14.5" x14ac:dyDescent="0.35">
      <c r="A5105" s="10" t="s">
        <v>26895</v>
      </c>
      <c r="B5105" s="10" t="str">
        <f>"9781452271828"</f>
        <v>9781452271828</v>
      </c>
      <c r="C5105" s="10" t="str">
        <f>"9781483346151"</f>
        <v>9781483346151</v>
      </c>
      <c r="D5105" s="10" t="s">
        <v>22210</v>
      </c>
      <c r="E5105" s="10" t="s">
        <v>22211</v>
      </c>
      <c r="F5105" s="10" t="s">
        <v>333</v>
      </c>
      <c r="G5105" s="10" t="s">
        <v>6317</v>
      </c>
      <c r="H5105" s="11">
        <v>41583</v>
      </c>
      <c r="I5105" s="10">
        <v>2014</v>
      </c>
      <c r="J5105" s="10" t="s">
        <v>22211</v>
      </c>
      <c r="K5105" s="10">
        <v>289</v>
      </c>
      <c r="L5105" s="10" t="s">
        <v>26896</v>
      </c>
      <c r="M5105" s="10">
        <v>1</v>
      </c>
      <c r="N5105" s="10"/>
      <c r="O5105" s="10"/>
      <c r="P5105" s="10" t="s">
        <v>19301</v>
      </c>
      <c r="Q5105" s="10">
        <v>371.10199999999998</v>
      </c>
      <c r="R5105" s="10"/>
      <c r="S5105" s="10" t="s">
        <v>53</v>
      </c>
      <c r="T5105" s="10" t="s">
        <v>54</v>
      </c>
    </row>
    <row r="5106" spans="1:20" ht="14.5" x14ac:dyDescent="0.35">
      <c r="A5106" s="10" t="s">
        <v>26897</v>
      </c>
      <c r="B5106" s="10" t="str">
        <f>"9781909330214"</f>
        <v>9781909330214</v>
      </c>
      <c r="C5106" s="10" t="str">
        <f>"9781909330245"</f>
        <v>9781909330245</v>
      </c>
      <c r="D5106" s="10" t="s">
        <v>9533</v>
      </c>
      <c r="E5106" s="10" t="s">
        <v>26840</v>
      </c>
      <c r="F5106" s="10" t="s">
        <v>26841</v>
      </c>
      <c r="G5106" s="10" t="s">
        <v>6352</v>
      </c>
      <c r="H5106" s="11">
        <v>41529</v>
      </c>
      <c r="I5106" s="10">
        <v>2013</v>
      </c>
      <c r="J5106" s="10" t="s">
        <v>26840</v>
      </c>
      <c r="K5106" s="10">
        <v>130</v>
      </c>
      <c r="L5106" s="10" t="s">
        <v>26898</v>
      </c>
      <c r="M5106" s="10">
        <v>1</v>
      </c>
      <c r="N5106" s="10" t="s">
        <v>26899</v>
      </c>
      <c r="O5106" s="10"/>
      <c r="P5106" s="10" t="s">
        <v>26900</v>
      </c>
      <c r="Q5106" s="10">
        <v>378</v>
      </c>
      <c r="R5106" s="10" t="s">
        <v>26901</v>
      </c>
      <c r="S5106" s="10" t="s">
        <v>53</v>
      </c>
      <c r="T5106" s="10" t="s">
        <v>54</v>
      </c>
    </row>
    <row r="5107" spans="1:20" ht="14.5" x14ac:dyDescent="0.35">
      <c r="A5107" s="10" t="s">
        <v>26902</v>
      </c>
      <c r="B5107" s="10" t="str">
        <f>"9780816687404"</f>
        <v>9780816687404</v>
      </c>
      <c r="C5107" s="10" t="str">
        <f>"9781452940120"</f>
        <v>9781452940120</v>
      </c>
      <c r="D5107" s="10" t="s">
        <v>11428</v>
      </c>
      <c r="E5107" s="10" t="s">
        <v>11428</v>
      </c>
      <c r="F5107" s="10" t="s">
        <v>2186</v>
      </c>
      <c r="G5107" s="10" t="s">
        <v>6317</v>
      </c>
      <c r="H5107" s="11">
        <v>41563</v>
      </c>
      <c r="I5107" s="10">
        <v>2013</v>
      </c>
      <c r="J5107" s="10" t="s">
        <v>11428</v>
      </c>
      <c r="K5107" s="10">
        <v>337</v>
      </c>
      <c r="L5107" s="10" t="s">
        <v>26903</v>
      </c>
      <c r="M5107" s="10">
        <v>1</v>
      </c>
      <c r="N5107" s="10"/>
      <c r="O5107" s="10"/>
      <c r="P5107" s="10" t="s">
        <v>26904</v>
      </c>
      <c r="Q5107" s="10">
        <v>370.80979400000001</v>
      </c>
      <c r="R5107" s="10" t="s">
        <v>26905</v>
      </c>
      <c r="S5107" s="10" t="s">
        <v>53</v>
      </c>
      <c r="T5107" s="10" t="s">
        <v>54</v>
      </c>
    </row>
    <row r="5108" spans="1:20" ht="14.5" x14ac:dyDescent="0.35">
      <c r="A5108" s="10" t="s">
        <v>26906</v>
      </c>
      <c r="B5108" s="10" t="str">
        <f>"9780715636459"</f>
        <v>9780715636459</v>
      </c>
      <c r="C5108" s="10" t="str">
        <f>"9781472537812"</f>
        <v>9781472537812</v>
      </c>
      <c r="D5108" s="10" t="s">
        <v>13959</v>
      </c>
      <c r="E5108" s="10" t="s">
        <v>13960</v>
      </c>
      <c r="F5108" s="10" t="s">
        <v>139</v>
      </c>
      <c r="G5108" s="10" t="s">
        <v>6352</v>
      </c>
      <c r="H5108" s="11">
        <v>39357</v>
      </c>
      <c r="I5108" s="10">
        <v>2013</v>
      </c>
      <c r="J5108" s="10" t="s">
        <v>14057</v>
      </c>
      <c r="K5108" s="10">
        <v>277</v>
      </c>
      <c r="L5108" s="10" t="s">
        <v>26907</v>
      </c>
      <c r="M5108" s="10">
        <v>1</v>
      </c>
      <c r="N5108" s="10"/>
      <c r="O5108" s="10"/>
      <c r="P5108" s="10" t="s">
        <v>26908</v>
      </c>
      <c r="Q5108" s="10">
        <v>480.07114257400002</v>
      </c>
      <c r="R5108" s="10" t="s">
        <v>26909</v>
      </c>
      <c r="S5108" s="10" t="s">
        <v>53</v>
      </c>
      <c r="T5108" s="10" t="s">
        <v>6498</v>
      </c>
    </row>
    <row r="5109" spans="1:20" ht="14.5" x14ac:dyDescent="0.35">
      <c r="A5109" s="10" t="s">
        <v>26910</v>
      </c>
      <c r="B5109" s="10" t="str">
        <f>"9780415386081"</f>
        <v>9780415386081</v>
      </c>
      <c r="C5109" s="10" t="str">
        <f>"9781136622793"</f>
        <v>9781136622793</v>
      </c>
      <c r="D5109" s="10" t="s">
        <v>6350</v>
      </c>
      <c r="E5109" s="10" t="s">
        <v>6351</v>
      </c>
      <c r="F5109" s="10" t="s">
        <v>139</v>
      </c>
      <c r="G5109" s="10" t="s">
        <v>6352</v>
      </c>
      <c r="H5109" s="11">
        <v>38702</v>
      </c>
      <c r="I5109" s="10">
        <v>2005</v>
      </c>
      <c r="J5109" s="10" t="s">
        <v>6353</v>
      </c>
      <c r="K5109" s="10">
        <v>387</v>
      </c>
      <c r="L5109" s="10" t="s">
        <v>26911</v>
      </c>
      <c r="M5109" s="10">
        <v>1</v>
      </c>
      <c r="N5109" s="10"/>
      <c r="O5109" s="10"/>
      <c r="P5109" s="10" t="s">
        <v>26912</v>
      </c>
      <c r="Q5109" s="10">
        <v>373.44</v>
      </c>
      <c r="R5109" s="10" t="s">
        <v>26913</v>
      </c>
      <c r="S5109" s="10" t="s">
        <v>53</v>
      </c>
      <c r="T5109" s="10" t="s">
        <v>54</v>
      </c>
    </row>
    <row r="5110" spans="1:20" ht="14.5" x14ac:dyDescent="0.35">
      <c r="A5110" s="10" t="s">
        <v>26914</v>
      </c>
      <c r="B5110" s="10" t="str">
        <f>"9780521122658"</f>
        <v>9780521122658</v>
      </c>
      <c r="C5110" s="10" t="str">
        <f>"9781107478411"</f>
        <v>9781107478411</v>
      </c>
      <c r="D5110" s="10" t="s">
        <v>397</v>
      </c>
      <c r="E5110" s="10" t="s">
        <v>397</v>
      </c>
      <c r="F5110" s="10" t="s">
        <v>1150</v>
      </c>
      <c r="G5110" s="10" t="s">
        <v>12975</v>
      </c>
      <c r="H5110" s="11">
        <v>40259</v>
      </c>
      <c r="I5110" s="10">
        <v>2010</v>
      </c>
      <c r="J5110" s="10" t="s">
        <v>397</v>
      </c>
      <c r="K5110" s="10">
        <v>268</v>
      </c>
      <c r="L5110" s="10" t="s">
        <v>26915</v>
      </c>
      <c r="M5110" s="10">
        <v>1</v>
      </c>
      <c r="N5110" s="10"/>
      <c r="O5110" s="10"/>
      <c r="P5110" s="10" t="s">
        <v>26916</v>
      </c>
      <c r="Q5110" s="10">
        <v>372.21</v>
      </c>
      <c r="R5110" s="10" t="s">
        <v>22994</v>
      </c>
      <c r="S5110" s="10" t="s">
        <v>53</v>
      </c>
      <c r="T5110" s="10" t="s">
        <v>54</v>
      </c>
    </row>
    <row r="5111" spans="1:20" ht="14.5" x14ac:dyDescent="0.35">
      <c r="A5111" s="10" t="s">
        <v>26917</v>
      </c>
      <c r="B5111" s="10" t="str">
        <f>"9781596670020"</f>
        <v>9781596670020</v>
      </c>
      <c r="C5111" s="10" t="str">
        <f>"9781317925736"</f>
        <v>9781317925736</v>
      </c>
      <c r="D5111" s="10" t="s">
        <v>6350</v>
      </c>
      <c r="E5111" s="10" t="s">
        <v>6351</v>
      </c>
      <c r="F5111" s="10" t="s">
        <v>139</v>
      </c>
      <c r="G5111" s="10" t="s">
        <v>6352</v>
      </c>
      <c r="H5111" s="11">
        <v>38426</v>
      </c>
      <c r="I5111" s="10">
        <v>2005</v>
      </c>
      <c r="J5111" s="10" t="s">
        <v>6353</v>
      </c>
      <c r="K5111" s="10">
        <v>184</v>
      </c>
      <c r="L5111" s="10" t="s">
        <v>26918</v>
      </c>
      <c r="M5111" s="10">
        <v>2</v>
      </c>
      <c r="N5111" s="10"/>
      <c r="O5111" s="10"/>
      <c r="P5111" s="10" t="s">
        <v>26919</v>
      </c>
      <c r="Q5111" s="10" t="s">
        <v>26920</v>
      </c>
      <c r="R5111" s="10" t="s">
        <v>26921</v>
      </c>
      <c r="S5111" s="10" t="s">
        <v>53</v>
      </c>
      <c r="T5111" s="10" t="s">
        <v>10454</v>
      </c>
    </row>
    <row r="5112" spans="1:20" ht="14.5" x14ac:dyDescent="0.35">
      <c r="A5112" s="10" t="s">
        <v>26922</v>
      </c>
      <c r="B5112" s="10" t="str">
        <f>"9781412909709"</f>
        <v>9781412909709</v>
      </c>
      <c r="C5112" s="10" t="str">
        <f>"9781452213552"</f>
        <v>9781452213552</v>
      </c>
      <c r="D5112" s="10" t="s">
        <v>22210</v>
      </c>
      <c r="E5112" s="10" t="s">
        <v>22211</v>
      </c>
      <c r="F5112" s="10" t="s">
        <v>333</v>
      </c>
      <c r="G5112" s="10" t="s">
        <v>6317</v>
      </c>
      <c r="H5112" s="11">
        <v>38449</v>
      </c>
      <c r="I5112" s="10">
        <v>2005</v>
      </c>
      <c r="J5112" s="10" t="s">
        <v>22211</v>
      </c>
      <c r="K5112" s="10">
        <v>169</v>
      </c>
      <c r="L5112" s="10" t="s">
        <v>23274</v>
      </c>
      <c r="M5112" s="10">
        <v>1</v>
      </c>
      <c r="N5112" s="10"/>
      <c r="O5112" s="10"/>
      <c r="P5112" s="10" t="s">
        <v>26923</v>
      </c>
      <c r="Q5112" s="10"/>
      <c r="R5112" s="10"/>
      <c r="S5112" s="10" t="s">
        <v>53</v>
      </c>
      <c r="T5112" s="10" t="s">
        <v>54</v>
      </c>
    </row>
    <row r="5113" spans="1:20" ht="14.5" x14ac:dyDescent="0.35">
      <c r="A5113" s="10" t="s">
        <v>26924</v>
      </c>
      <c r="B5113" s="10" t="str">
        <f>"9781933896854"</f>
        <v>9781933896854</v>
      </c>
      <c r="C5113" s="10" t="str">
        <f>"9781937875787"</f>
        <v>9781937875787</v>
      </c>
      <c r="D5113" s="10" t="s">
        <v>23853</v>
      </c>
      <c r="E5113" s="10" t="s">
        <v>26925</v>
      </c>
      <c r="F5113" s="10" t="s">
        <v>26926</v>
      </c>
      <c r="G5113" s="10" t="s">
        <v>6317</v>
      </c>
      <c r="H5113" s="11">
        <v>41096</v>
      </c>
      <c r="I5113" s="10">
        <v>2012</v>
      </c>
      <c r="J5113" s="10" t="s">
        <v>26925</v>
      </c>
      <c r="K5113" s="10">
        <v>218</v>
      </c>
      <c r="L5113" s="10" t="s">
        <v>26927</v>
      </c>
      <c r="M5113" s="10">
        <v>1</v>
      </c>
      <c r="N5113" s="10"/>
      <c r="O5113" s="10"/>
      <c r="P5113" s="10" t="s">
        <v>26928</v>
      </c>
      <c r="Q5113" s="10" t="s">
        <v>26929</v>
      </c>
      <c r="R5113" s="10" t="s">
        <v>26930</v>
      </c>
      <c r="S5113" s="10" t="s">
        <v>53</v>
      </c>
      <c r="T5113" s="10" t="s">
        <v>1166</v>
      </c>
    </row>
    <row r="5114" spans="1:20" ht="14.5" x14ac:dyDescent="0.35">
      <c r="A5114" s="10" t="s">
        <v>26931</v>
      </c>
      <c r="B5114" s="10" t="str">
        <f>"9781849059558"</f>
        <v>9781849059558</v>
      </c>
      <c r="C5114" s="10" t="str">
        <f>"9780857007858"</f>
        <v>9780857007858</v>
      </c>
      <c r="D5114" s="10" t="s">
        <v>10516</v>
      </c>
      <c r="E5114" s="10" t="s">
        <v>10516</v>
      </c>
      <c r="F5114" s="10" t="s">
        <v>139</v>
      </c>
      <c r="G5114" s="10" t="s">
        <v>6352</v>
      </c>
      <c r="H5114" s="11">
        <v>41599</v>
      </c>
      <c r="I5114" s="10">
        <v>2013</v>
      </c>
      <c r="J5114" s="10" t="s">
        <v>10516</v>
      </c>
      <c r="K5114" s="10">
        <v>162</v>
      </c>
      <c r="L5114" s="10" t="s">
        <v>26932</v>
      </c>
      <c r="M5114" s="10">
        <v>1</v>
      </c>
      <c r="N5114" s="10"/>
      <c r="O5114" s="10"/>
      <c r="P5114" s="10" t="s">
        <v>26933</v>
      </c>
      <c r="Q5114" s="10"/>
      <c r="R5114" s="10" t="s">
        <v>26934</v>
      </c>
      <c r="S5114" s="10" t="s">
        <v>53</v>
      </c>
      <c r="T5114" s="10" t="s">
        <v>54</v>
      </c>
    </row>
    <row r="5115" spans="1:20" ht="14.5" x14ac:dyDescent="0.35">
      <c r="A5115" s="10" t="s">
        <v>26935</v>
      </c>
      <c r="B5115" s="10" t="str">
        <f>"9781464800795"</f>
        <v>9781464800795</v>
      </c>
      <c r="C5115" s="10" t="str">
        <f>"9781464800801"</f>
        <v>9781464800801</v>
      </c>
      <c r="D5115" s="10" t="s">
        <v>14731</v>
      </c>
      <c r="E5115" s="10" t="s">
        <v>14732</v>
      </c>
      <c r="F5115" s="10" t="s">
        <v>88</v>
      </c>
      <c r="G5115" s="10" t="s">
        <v>6317</v>
      </c>
      <c r="H5115" s="11">
        <v>41275</v>
      </c>
      <c r="I5115" s="10">
        <v>2013</v>
      </c>
      <c r="J5115" s="10" t="s">
        <v>14732</v>
      </c>
      <c r="K5115" s="10">
        <v>205</v>
      </c>
      <c r="L5115" s="10" t="s">
        <v>26936</v>
      </c>
      <c r="M5115" s="10">
        <v>1</v>
      </c>
      <c r="N5115" s="10" t="s">
        <v>14770</v>
      </c>
      <c r="O5115" s="10"/>
      <c r="P5115" s="10" t="s">
        <v>26937</v>
      </c>
      <c r="Q5115" s="10" t="s">
        <v>26938</v>
      </c>
      <c r="R5115" s="10" t="s">
        <v>26939</v>
      </c>
      <c r="S5115" s="10" t="s">
        <v>53</v>
      </c>
      <c r="T5115" s="10" t="s">
        <v>8723</v>
      </c>
    </row>
    <row r="5116" spans="1:20" ht="14.5" x14ac:dyDescent="0.35">
      <c r="A5116" s="10" t="s">
        <v>26940</v>
      </c>
      <c r="B5116" s="10" t="str">
        <f>"9789956791156"</f>
        <v>9789956791156</v>
      </c>
      <c r="C5116" s="10" t="str">
        <f>"9789956791286"</f>
        <v>9789956791286</v>
      </c>
      <c r="D5116" s="10" t="s">
        <v>24820</v>
      </c>
      <c r="E5116" s="10" t="s">
        <v>24821</v>
      </c>
      <c r="F5116" s="10" t="s">
        <v>26941</v>
      </c>
      <c r="G5116" s="10" t="s">
        <v>6352</v>
      </c>
      <c r="H5116" s="11">
        <v>41542</v>
      </c>
      <c r="I5116" s="10">
        <v>2013</v>
      </c>
      <c r="J5116" s="10" t="s">
        <v>24821</v>
      </c>
      <c r="K5116" s="10">
        <v>540</v>
      </c>
      <c r="L5116" s="10" t="s">
        <v>26942</v>
      </c>
      <c r="M5116" s="10">
        <v>1</v>
      </c>
      <c r="N5116" s="10"/>
      <c r="O5116" s="10"/>
      <c r="P5116" s="10" t="s">
        <v>26943</v>
      </c>
      <c r="Q5116" s="10">
        <v>199.6</v>
      </c>
      <c r="R5116" s="10" t="s">
        <v>26944</v>
      </c>
      <c r="S5116" s="10" t="s">
        <v>5404</v>
      </c>
      <c r="T5116" s="10" t="s">
        <v>12015</v>
      </c>
    </row>
    <row r="5117" spans="1:20" ht="14.5" x14ac:dyDescent="0.35">
      <c r="A5117" s="10" t="s">
        <v>26945</v>
      </c>
      <c r="B5117" s="10" t="str">
        <f>"9780813561691"</f>
        <v>9780813561691</v>
      </c>
      <c r="C5117" s="10" t="str">
        <f>"9780813561707"</f>
        <v>9780813561707</v>
      </c>
      <c r="D5117" s="10" t="s">
        <v>12251</v>
      </c>
      <c r="E5117" s="10" t="s">
        <v>12251</v>
      </c>
      <c r="F5117" s="10" t="s">
        <v>12451</v>
      </c>
      <c r="G5117" s="10" t="s">
        <v>6317</v>
      </c>
      <c r="H5117" s="11">
        <v>41471</v>
      </c>
      <c r="I5117" s="10">
        <v>2013</v>
      </c>
      <c r="J5117" s="10" t="s">
        <v>12251</v>
      </c>
      <c r="K5117" s="10">
        <v>214</v>
      </c>
      <c r="L5117" s="10" t="s">
        <v>26946</v>
      </c>
      <c r="M5117" s="10">
        <v>1</v>
      </c>
      <c r="N5117" s="10"/>
      <c r="O5117" s="10"/>
      <c r="P5117" s="10" t="s">
        <v>13342</v>
      </c>
      <c r="Q5117" s="10">
        <v>378.19828999999999</v>
      </c>
      <c r="R5117" s="10" t="s">
        <v>26947</v>
      </c>
      <c r="S5117" s="10" t="s">
        <v>53</v>
      </c>
      <c r="T5117" s="10" t="s">
        <v>54</v>
      </c>
    </row>
    <row r="5118" spans="1:20" ht="14.5" x14ac:dyDescent="0.35">
      <c r="A5118" s="10" t="s">
        <v>26948</v>
      </c>
      <c r="B5118" s="10" t="str">
        <f>"9780813561233"</f>
        <v>9780813561233</v>
      </c>
      <c r="C5118" s="10" t="str">
        <f>"9780813561257"</f>
        <v>9780813561257</v>
      </c>
      <c r="D5118" s="10" t="s">
        <v>12251</v>
      </c>
      <c r="E5118" s="10" t="s">
        <v>12251</v>
      </c>
      <c r="F5118" s="10" t="s">
        <v>12451</v>
      </c>
      <c r="G5118" s="10" t="s">
        <v>6317</v>
      </c>
      <c r="H5118" s="11">
        <v>41501</v>
      </c>
      <c r="I5118" s="10">
        <v>2013</v>
      </c>
      <c r="J5118" s="10" t="s">
        <v>12251</v>
      </c>
      <c r="K5118" s="10">
        <v>192</v>
      </c>
      <c r="L5118" s="10" t="s">
        <v>26949</v>
      </c>
      <c r="M5118" s="10">
        <v>1</v>
      </c>
      <c r="N5118" s="10"/>
      <c r="O5118" s="10"/>
      <c r="P5118" s="10" t="s">
        <v>15320</v>
      </c>
      <c r="Q5118" s="10">
        <v>378.10599999999999</v>
      </c>
      <c r="R5118" s="10" t="s">
        <v>26950</v>
      </c>
      <c r="S5118" s="10" t="s">
        <v>53</v>
      </c>
      <c r="T5118" s="10" t="s">
        <v>54</v>
      </c>
    </row>
    <row r="5119" spans="1:20" ht="14.5" x14ac:dyDescent="0.35">
      <c r="A5119" s="10" t="s">
        <v>26951</v>
      </c>
      <c r="B5119" s="10" t="str">
        <f>"9781118472897"</f>
        <v>9781118472897</v>
      </c>
      <c r="C5119" s="10" t="str">
        <f>"9781118867907"</f>
        <v>9781118867907</v>
      </c>
      <c r="D5119" s="10" t="s">
        <v>6322</v>
      </c>
      <c r="E5119" s="10" t="s">
        <v>6323</v>
      </c>
      <c r="F5119" s="10" t="s">
        <v>4423</v>
      </c>
      <c r="G5119" s="10" t="s">
        <v>6317</v>
      </c>
      <c r="H5119" s="11">
        <v>41617</v>
      </c>
      <c r="I5119" s="10">
        <v>2014</v>
      </c>
      <c r="J5119" s="10" t="s">
        <v>26952</v>
      </c>
      <c r="K5119" s="10">
        <v>535</v>
      </c>
      <c r="L5119" s="10" t="s">
        <v>26953</v>
      </c>
      <c r="M5119" s="10">
        <v>1</v>
      </c>
      <c r="N5119" s="10"/>
      <c r="O5119" s="10"/>
      <c r="P5119" s="10" t="s">
        <v>26954</v>
      </c>
      <c r="Q5119" s="10"/>
      <c r="R5119" s="10" t="s">
        <v>54</v>
      </c>
      <c r="S5119" s="10" t="s">
        <v>53</v>
      </c>
      <c r="T5119" s="10" t="s">
        <v>54</v>
      </c>
    </row>
    <row r="5120" spans="1:20" ht="14.5" x14ac:dyDescent="0.35">
      <c r="A5120" s="10" t="s">
        <v>26955</v>
      </c>
      <c r="B5120" s="10" t="str">
        <f>"9781742233635"</f>
        <v>9781742233635</v>
      </c>
      <c r="C5120" s="10" t="str">
        <f>"9781742246543"</f>
        <v>9781742246543</v>
      </c>
      <c r="D5120" s="10" t="s">
        <v>9215</v>
      </c>
      <c r="E5120" s="10" t="s">
        <v>22531</v>
      </c>
      <c r="F5120" s="10" t="s">
        <v>674</v>
      </c>
      <c r="G5120" s="10" t="s">
        <v>6317</v>
      </c>
      <c r="H5120" s="11">
        <v>41579</v>
      </c>
      <c r="I5120" s="10">
        <v>2013</v>
      </c>
      <c r="J5120" s="10" t="s">
        <v>22531</v>
      </c>
      <c r="K5120" s="10">
        <v>257</v>
      </c>
      <c r="L5120" s="10" t="s">
        <v>26956</v>
      </c>
      <c r="M5120" s="10"/>
      <c r="N5120" s="10"/>
      <c r="O5120" s="10"/>
      <c r="P5120" s="10" t="s">
        <v>26957</v>
      </c>
      <c r="Q5120" s="10">
        <v>371.392</v>
      </c>
      <c r="R5120" s="10" t="s">
        <v>26958</v>
      </c>
      <c r="S5120" s="10" t="s">
        <v>53</v>
      </c>
      <c r="T5120" s="10" t="s">
        <v>54</v>
      </c>
    </row>
    <row r="5121" spans="1:20" ht="14.5" x14ac:dyDescent="0.35">
      <c r="A5121" s="10" t="s">
        <v>26959</v>
      </c>
      <c r="B5121" s="10" t="str">
        <f>"9780826199737"</f>
        <v>9780826199737</v>
      </c>
      <c r="C5121" s="10" t="str">
        <f>"9780826199744"</f>
        <v>9780826199744</v>
      </c>
      <c r="D5121" s="10" t="s">
        <v>3370</v>
      </c>
      <c r="E5121" s="10" t="s">
        <v>10927</v>
      </c>
      <c r="F5121" s="10" t="s">
        <v>70</v>
      </c>
      <c r="G5121" s="10" t="s">
        <v>6317</v>
      </c>
      <c r="H5121" s="11">
        <v>41579</v>
      </c>
      <c r="I5121" s="10">
        <v>2013</v>
      </c>
      <c r="J5121" s="10" t="s">
        <v>10927</v>
      </c>
      <c r="K5121" s="10">
        <v>389</v>
      </c>
      <c r="L5121" s="10" t="s">
        <v>26960</v>
      </c>
      <c r="M5121" s="10">
        <v>1</v>
      </c>
      <c r="N5121" s="10"/>
      <c r="O5121" s="10"/>
      <c r="P5121" s="10" t="s">
        <v>26961</v>
      </c>
      <c r="Q5121" s="10"/>
      <c r="R5121" s="10" t="s">
        <v>26962</v>
      </c>
      <c r="S5121" s="10" t="s">
        <v>53</v>
      </c>
      <c r="T5121" s="10" t="s">
        <v>483</v>
      </c>
    </row>
    <row r="5122" spans="1:20" ht="14.5" x14ac:dyDescent="0.35">
      <c r="A5122" s="10" t="s">
        <v>26963</v>
      </c>
      <c r="B5122" s="10" t="str">
        <f>"9781462513185"</f>
        <v>9781462513185</v>
      </c>
      <c r="C5122" s="10" t="str">
        <f>"9781462513192"</f>
        <v>9781462513192</v>
      </c>
      <c r="D5122" s="10" t="s">
        <v>11213</v>
      </c>
      <c r="E5122" s="10" t="s">
        <v>11214</v>
      </c>
      <c r="F5122" s="10" t="s">
        <v>70</v>
      </c>
      <c r="G5122" s="10" t="s">
        <v>6317</v>
      </c>
      <c r="H5122" s="11">
        <v>41687</v>
      </c>
      <c r="I5122" s="10">
        <v>2014</v>
      </c>
      <c r="J5122" s="10" t="s">
        <v>11215</v>
      </c>
      <c r="K5122" s="10">
        <v>256</v>
      </c>
      <c r="L5122" s="10" t="s">
        <v>26964</v>
      </c>
      <c r="M5122" s="10">
        <v>1</v>
      </c>
      <c r="N5122" s="10"/>
      <c r="O5122" s="10"/>
      <c r="P5122" s="10"/>
      <c r="Q5122" s="10" t="s">
        <v>13111</v>
      </c>
      <c r="R5122" s="10" t="s">
        <v>26965</v>
      </c>
      <c r="S5122" s="10" t="s">
        <v>53</v>
      </c>
      <c r="T5122" s="10" t="s">
        <v>1166</v>
      </c>
    </row>
    <row r="5123" spans="1:20" ht="14.5" x14ac:dyDescent="0.35">
      <c r="A5123" s="10" t="s">
        <v>26966</v>
      </c>
      <c r="B5123" s="10" t="str">
        <f>"9781782380009"</f>
        <v>9781782380009</v>
      </c>
      <c r="C5123" s="10" t="str">
        <f>"9781782380016"</f>
        <v>9781782380016</v>
      </c>
      <c r="D5123" s="10" t="s">
        <v>21315</v>
      </c>
      <c r="E5123" s="10" t="s">
        <v>21316</v>
      </c>
      <c r="F5123" s="10" t="s">
        <v>13068</v>
      </c>
      <c r="G5123" s="10" t="s">
        <v>6317</v>
      </c>
      <c r="H5123" s="11">
        <v>41579</v>
      </c>
      <c r="I5123" s="10">
        <v>2013</v>
      </c>
      <c r="J5123" s="10" t="s">
        <v>21316</v>
      </c>
      <c r="K5123" s="10">
        <v>390</v>
      </c>
      <c r="L5123" s="10" t="s">
        <v>26967</v>
      </c>
      <c r="M5123" s="10">
        <v>1</v>
      </c>
      <c r="N5123" s="10" t="s">
        <v>26968</v>
      </c>
      <c r="O5123" s="10">
        <v>10</v>
      </c>
      <c r="P5123" s="10" t="s">
        <v>26969</v>
      </c>
      <c r="Q5123" s="10">
        <v>949.50750000000005</v>
      </c>
      <c r="R5123" s="10" t="s">
        <v>26970</v>
      </c>
      <c r="S5123" s="10" t="s">
        <v>53</v>
      </c>
      <c r="T5123" s="10" t="s">
        <v>16298</v>
      </c>
    </row>
    <row r="5124" spans="1:20" ht="14.5" x14ac:dyDescent="0.35">
      <c r="A5124" s="10" t="s">
        <v>26971</v>
      </c>
      <c r="B5124" s="10" t="str">
        <f>"9781930556720"</f>
        <v>9781930556720</v>
      </c>
      <c r="C5124" s="10" t="str">
        <f>"9781317919315"</f>
        <v>9781317919315</v>
      </c>
      <c r="D5124" s="10" t="s">
        <v>6350</v>
      </c>
      <c r="E5124" s="10" t="s">
        <v>6351</v>
      </c>
      <c r="F5124" s="10" t="s">
        <v>139</v>
      </c>
      <c r="G5124" s="10" t="s">
        <v>6352</v>
      </c>
      <c r="H5124" s="11">
        <v>37984</v>
      </c>
      <c r="I5124" s="10">
        <v>2004</v>
      </c>
      <c r="J5124" s="10" t="s">
        <v>6353</v>
      </c>
      <c r="K5124" s="10">
        <v>183</v>
      </c>
      <c r="L5124" s="10" t="s">
        <v>26972</v>
      </c>
      <c r="M5124" s="10">
        <v>1</v>
      </c>
      <c r="N5124" s="10"/>
      <c r="O5124" s="10"/>
      <c r="P5124" s="10" t="s">
        <v>26973</v>
      </c>
      <c r="Q5124" s="10">
        <v>371.20699999999999</v>
      </c>
      <c r="R5124" s="10" t="s">
        <v>26974</v>
      </c>
      <c r="S5124" s="10" t="s">
        <v>53</v>
      </c>
      <c r="T5124" s="10" t="s">
        <v>54</v>
      </c>
    </row>
    <row r="5125" spans="1:20" ht="14.5" x14ac:dyDescent="0.35">
      <c r="A5125" s="10" t="s">
        <v>26975</v>
      </c>
      <c r="B5125" s="10" t="str">
        <f>"9781409437123"</f>
        <v>9781409437123</v>
      </c>
      <c r="C5125" s="10" t="str">
        <f>"9781409437130"</f>
        <v>9781409437130</v>
      </c>
      <c r="D5125" s="10" t="s">
        <v>6350</v>
      </c>
      <c r="E5125" s="10" t="s">
        <v>6351</v>
      </c>
      <c r="F5125" s="10" t="s">
        <v>15682</v>
      </c>
      <c r="G5125" s="10" t="s">
        <v>6352</v>
      </c>
      <c r="H5125" s="11">
        <v>41631</v>
      </c>
      <c r="I5125" s="10">
        <v>2013</v>
      </c>
      <c r="J5125" s="10" t="s">
        <v>6353</v>
      </c>
      <c r="K5125" s="10">
        <v>352</v>
      </c>
      <c r="L5125" s="10" t="s">
        <v>26976</v>
      </c>
      <c r="M5125" s="10">
        <v>1</v>
      </c>
      <c r="N5125" s="10"/>
      <c r="O5125" s="10"/>
      <c r="P5125" s="10" t="s">
        <v>26977</v>
      </c>
      <c r="Q5125" s="10">
        <v>378.19829210492298</v>
      </c>
      <c r="R5125" s="10" t="s">
        <v>26978</v>
      </c>
      <c r="S5125" s="10" t="s">
        <v>53</v>
      </c>
      <c r="T5125" s="10" t="s">
        <v>54</v>
      </c>
    </row>
    <row r="5126" spans="1:20" ht="14.5" x14ac:dyDescent="0.35">
      <c r="A5126" s="10" t="s">
        <v>26979</v>
      </c>
      <c r="B5126" s="10" t="str">
        <f>"9781452291833"</f>
        <v>9781452291833</v>
      </c>
      <c r="C5126" s="10" t="str">
        <f>"9781452291796"</f>
        <v>9781452291796</v>
      </c>
      <c r="D5126" s="10" t="s">
        <v>22210</v>
      </c>
      <c r="E5126" s="10" t="s">
        <v>22211</v>
      </c>
      <c r="F5126" s="10" t="s">
        <v>333</v>
      </c>
      <c r="G5126" s="10" t="s">
        <v>6317</v>
      </c>
      <c r="H5126" s="11">
        <v>41613</v>
      </c>
      <c r="I5126" s="10">
        <v>2014</v>
      </c>
      <c r="J5126" s="10" t="s">
        <v>22211</v>
      </c>
      <c r="K5126" s="10">
        <v>129</v>
      </c>
      <c r="L5126" s="10" t="s">
        <v>26980</v>
      </c>
      <c r="M5126" s="10">
        <v>1</v>
      </c>
      <c r="N5126" s="10"/>
      <c r="O5126" s="10"/>
      <c r="P5126" s="10" t="s">
        <v>26981</v>
      </c>
      <c r="Q5126" s="10" t="s">
        <v>7299</v>
      </c>
      <c r="R5126" s="10"/>
      <c r="S5126" s="10" t="s">
        <v>53</v>
      </c>
      <c r="T5126" s="10" t="s">
        <v>54</v>
      </c>
    </row>
    <row r="5127" spans="1:20" ht="14.5" x14ac:dyDescent="0.35">
      <c r="A5127" s="10" t="s">
        <v>26982</v>
      </c>
      <c r="B5127" s="10" t="str">
        <f>"9781443851305"</f>
        <v>9781443851305</v>
      </c>
      <c r="C5127" s="10" t="str">
        <f>"9781443854153"</f>
        <v>9781443854153</v>
      </c>
      <c r="D5127" s="10" t="s">
        <v>23635</v>
      </c>
      <c r="E5127" s="10" t="s">
        <v>23635</v>
      </c>
      <c r="F5127" s="10" t="s">
        <v>23636</v>
      </c>
      <c r="G5127" s="10" t="s">
        <v>6352</v>
      </c>
      <c r="H5127" s="11">
        <v>41558</v>
      </c>
      <c r="I5127" s="10">
        <v>2013</v>
      </c>
      <c r="J5127" s="10" t="s">
        <v>23635</v>
      </c>
      <c r="K5127" s="10">
        <v>411</v>
      </c>
      <c r="L5127" s="10" t="s">
        <v>26983</v>
      </c>
      <c r="M5127" s="10">
        <v>1</v>
      </c>
      <c r="N5127" s="10"/>
      <c r="O5127" s="10"/>
      <c r="P5127" s="10" t="s">
        <v>26984</v>
      </c>
      <c r="Q5127" s="10">
        <v>372.96710999999999</v>
      </c>
      <c r="R5127" s="10" t="s">
        <v>26985</v>
      </c>
      <c r="S5127" s="10" t="s">
        <v>53</v>
      </c>
      <c r="T5127" s="10" t="s">
        <v>54</v>
      </c>
    </row>
    <row r="5128" spans="1:20" ht="14.5" x14ac:dyDescent="0.35">
      <c r="A5128" s="10" t="s">
        <v>26986</v>
      </c>
      <c r="B5128" s="10" t="str">
        <f>"9780817928223"</f>
        <v>9780817928223</v>
      </c>
      <c r="C5128" s="10" t="str">
        <f>"9780817928285"</f>
        <v>9780817928285</v>
      </c>
      <c r="D5128" s="10" t="s">
        <v>9215</v>
      </c>
      <c r="E5128" s="10" t="s">
        <v>26180</v>
      </c>
      <c r="F5128" s="10" t="s">
        <v>26185</v>
      </c>
      <c r="G5128" s="10" t="s">
        <v>6317</v>
      </c>
      <c r="H5128" s="11">
        <v>37895</v>
      </c>
      <c r="I5128" s="10">
        <v>2003</v>
      </c>
      <c r="J5128" s="10" t="s">
        <v>26180</v>
      </c>
      <c r="K5128" s="10">
        <v>364</v>
      </c>
      <c r="L5128" s="10" t="s">
        <v>26987</v>
      </c>
      <c r="M5128" s="10"/>
      <c r="N5128" s="10"/>
      <c r="O5128" s="10"/>
      <c r="P5128" s="10" t="s">
        <v>26988</v>
      </c>
      <c r="Q5128" s="10" t="s">
        <v>26989</v>
      </c>
      <c r="R5128" s="10" t="s">
        <v>26990</v>
      </c>
      <c r="S5128" s="10" t="s">
        <v>53</v>
      </c>
      <c r="T5128" s="10" t="s">
        <v>54</v>
      </c>
    </row>
    <row r="5129" spans="1:20" ht="14.5" x14ac:dyDescent="0.35">
      <c r="A5129" s="10" t="s">
        <v>26991</v>
      </c>
      <c r="B5129" s="10" t="str">
        <f>"9780817928322"</f>
        <v>9780817928322</v>
      </c>
      <c r="C5129" s="10" t="str">
        <f>"9780817928384"</f>
        <v>9780817928384</v>
      </c>
      <c r="D5129" s="10" t="s">
        <v>9215</v>
      </c>
      <c r="E5129" s="10" t="s">
        <v>26180</v>
      </c>
      <c r="F5129" s="10" t="s">
        <v>26185</v>
      </c>
      <c r="G5129" s="10" t="s">
        <v>6317</v>
      </c>
      <c r="H5129" s="11">
        <v>37377</v>
      </c>
      <c r="I5129" s="10">
        <v>2002</v>
      </c>
      <c r="J5129" s="10" t="s">
        <v>26180</v>
      </c>
      <c r="K5129" s="10">
        <v>351</v>
      </c>
      <c r="L5129" s="10" t="s">
        <v>26992</v>
      </c>
      <c r="M5129" s="10">
        <v>1</v>
      </c>
      <c r="N5129" s="10"/>
      <c r="O5129" s="10"/>
      <c r="P5129" s="10" t="s">
        <v>11133</v>
      </c>
      <c r="Q5129" s="10">
        <v>370.92</v>
      </c>
      <c r="R5129" s="10" t="s">
        <v>26993</v>
      </c>
      <c r="S5129" s="10" t="s">
        <v>53</v>
      </c>
      <c r="T5129" s="10" t="s">
        <v>54</v>
      </c>
    </row>
    <row r="5130" spans="1:20" ht="14.5" x14ac:dyDescent="0.35">
      <c r="A5130" s="10" t="s">
        <v>26994</v>
      </c>
      <c r="B5130" s="10" t="str">
        <f>"9780415931960"</f>
        <v>9780415931960</v>
      </c>
      <c r="C5130" s="10" t="str">
        <f>"9781136702655"</f>
        <v>9781136702655</v>
      </c>
      <c r="D5130" s="10" t="s">
        <v>6350</v>
      </c>
      <c r="E5130" s="10" t="s">
        <v>6351</v>
      </c>
      <c r="F5130" s="10" t="s">
        <v>139</v>
      </c>
      <c r="G5130" s="10" t="s">
        <v>6352</v>
      </c>
      <c r="H5130" s="11">
        <v>37575</v>
      </c>
      <c r="I5130" s="10">
        <v>2003</v>
      </c>
      <c r="J5130" s="10" t="s">
        <v>6353</v>
      </c>
      <c r="K5130" s="10">
        <v>225</v>
      </c>
      <c r="L5130" s="10" t="s">
        <v>26995</v>
      </c>
      <c r="M5130" s="10">
        <v>1</v>
      </c>
      <c r="N5130" s="10"/>
      <c r="O5130" s="10"/>
      <c r="P5130" s="10" t="s">
        <v>26996</v>
      </c>
      <c r="Q5130" s="10" t="s">
        <v>11668</v>
      </c>
      <c r="R5130" s="10" t="s">
        <v>26997</v>
      </c>
      <c r="S5130" s="10" t="s">
        <v>53</v>
      </c>
      <c r="T5130" s="10" t="s">
        <v>54</v>
      </c>
    </row>
    <row r="5131" spans="1:20" ht="14.5" x14ac:dyDescent="0.35">
      <c r="A5131" s="10" t="s">
        <v>26998</v>
      </c>
      <c r="B5131" s="10" t="str">
        <f>"9781441151889"</f>
        <v>9781441151889</v>
      </c>
      <c r="C5131" s="10" t="str">
        <f>"9781441153111"</f>
        <v>9781441153111</v>
      </c>
      <c r="D5131" s="10" t="s">
        <v>26999</v>
      </c>
      <c r="E5131" s="10" t="s">
        <v>13960</v>
      </c>
      <c r="F5131" s="10" t="s">
        <v>139</v>
      </c>
      <c r="G5131" s="10" t="s">
        <v>6352</v>
      </c>
      <c r="H5131" s="11">
        <v>41683</v>
      </c>
      <c r="I5131" s="10">
        <v>2014</v>
      </c>
      <c r="J5131" s="10" t="s">
        <v>14057</v>
      </c>
      <c r="K5131" s="10">
        <v>577</v>
      </c>
      <c r="L5131" s="10" t="s">
        <v>27000</v>
      </c>
      <c r="M5131" s="10">
        <v>2</v>
      </c>
      <c r="N5131" s="10"/>
      <c r="O5131" s="10"/>
      <c r="P5131" s="10" t="s">
        <v>27001</v>
      </c>
      <c r="Q5131" s="10" t="s">
        <v>6950</v>
      </c>
      <c r="R5131" s="10" t="s">
        <v>7288</v>
      </c>
      <c r="S5131" s="10" t="s">
        <v>53</v>
      </c>
      <c r="T5131" s="10" t="s">
        <v>6616</v>
      </c>
    </row>
    <row r="5132" spans="1:20" ht="14.5" x14ac:dyDescent="0.35">
      <c r="A5132" s="10" t="s">
        <v>27002</v>
      </c>
      <c r="B5132" s="10" t="str">
        <f>"9781593327040"</f>
        <v>9781593327040</v>
      </c>
      <c r="C5132" s="10" t="str">
        <f>"9781593327422"</f>
        <v>9781593327422</v>
      </c>
      <c r="D5132" s="10" t="s">
        <v>20187</v>
      </c>
      <c r="E5132" s="10" t="s">
        <v>20188</v>
      </c>
      <c r="F5132" s="10" t="s">
        <v>20189</v>
      </c>
      <c r="G5132" s="10" t="s">
        <v>6317</v>
      </c>
      <c r="H5132" s="11">
        <v>41623</v>
      </c>
      <c r="I5132" s="10">
        <v>2013</v>
      </c>
      <c r="J5132" s="10" t="s">
        <v>20188</v>
      </c>
      <c r="K5132" s="10">
        <v>274</v>
      </c>
      <c r="L5132" s="10" t="s">
        <v>27003</v>
      </c>
      <c r="M5132" s="10">
        <v>1</v>
      </c>
      <c r="N5132" s="10" t="s">
        <v>23350</v>
      </c>
      <c r="O5132" s="10"/>
      <c r="P5132" s="10" t="s">
        <v>27004</v>
      </c>
      <c r="Q5132" s="10">
        <v>378.19829960729999</v>
      </c>
      <c r="R5132" s="10" t="s">
        <v>27005</v>
      </c>
      <c r="S5132" s="10" t="s">
        <v>53</v>
      </c>
      <c r="T5132" s="10" t="s">
        <v>54</v>
      </c>
    </row>
    <row r="5133" spans="1:20" ht="14.5" x14ac:dyDescent="0.35">
      <c r="A5133" s="10" t="s">
        <v>27006</v>
      </c>
      <c r="B5133" s="10" t="str">
        <f>"9780231167147"</f>
        <v>9780231167147</v>
      </c>
      <c r="C5133" s="10" t="str">
        <f>"9780231536615"</f>
        <v>9780231536615</v>
      </c>
      <c r="D5133" s="10" t="s">
        <v>20767</v>
      </c>
      <c r="E5133" s="10" t="s">
        <v>20768</v>
      </c>
      <c r="F5133" s="10" t="s">
        <v>70</v>
      </c>
      <c r="G5133" s="10" t="s">
        <v>6317</v>
      </c>
      <c r="H5133" s="11">
        <v>41625</v>
      </c>
      <c r="I5133" s="10">
        <v>2013</v>
      </c>
      <c r="J5133" s="10" t="s">
        <v>20768</v>
      </c>
      <c r="K5133" s="10">
        <v>194</v>
      </c>
      <c r="L5133" s="10" t="s">
        <v>27007</v>
      </c>
      <c r="M5133" s="10"/>
      <c r="N5133" s="10"/>
      <c r="O5133" s="10"/>
      <c r="P5133" s="10" t="s">
        <v>27008</v>
      </c>
      <c r="Q5133" s="10">
        <v>370.1</v>
      </c>
      <c r="R5133" s="10" t="s">
        <v>27009</v>
      </c>
      <c r="S5133" s="10" t="s">
        <v>53</v>
      </c>
      <c r="T5133" s="10" t="s">
        <v>54</v>
      </c>
    </row>
    <row r="5134" spans="1:20" ht="14.5" x14ac:dyDescent="0.35">
      <c r="A5134" s="10" t="s">
        <v>27010</v>
      </c>
      <c r="B5134" s="10" t="str">
        <f>"9780415932134"</f>
        <v>9780415932134</v>
      </c>
      <c r="C5134" s="10" t="str">
        <f>"9781135322120"</f>
        <v>9781135322120</v>
      </c>
      <c r="D5134" s="10" t="s">
        <v>6350</v>
      </c>
      <c r="E5134" s="10" t="s">
        <v>6351</v>
      </c>
      <c r="F5134" s="10" t="s">
        <v>748</v>
      </c>
      <c r="G5134" s="10" t="s">
        <v>6352</v>
      </c>
      <c r="H5134" s="11">
        <v>37344</v>
      </c>
      <c r="I5134" s="10">
        <v>2002</v>
      </c>
      <c r="J5134" s="10" t="s">
        <v>6351</v>
      </c>
      <c r="K5134" s="10">
        <v>214</v>
      </c>
      <c r="L5134" s="10" t="s">
        <v>27011</v>
      </c>
      <c r="M5134" s="10">
        <v>1</v>
      </c>
      <c r="N5134" s="10" t="s">
        <v>7358</v>
      </c>
      <c r="O5134" s="10"/>
      <c r="P5134" s="10" t="s">
        <v>27012</v>
      </c>
      <c r="Q5134" s="10">
        <v>370.11500000000001</v>
      </c>
      <c r="R5134" s="10" t="s">
        <v>49</v>
      </c>
      <c r="S5134" s="10" t="s">
        <v>53</v>
      </c>
      <c r="T5134" s="10" t="s">
        <v>54</v>
      </c>
    </row>
    <row r="5135" spans="1:20" ht="14.5" x14ac:dyDescent="0.35">
      <c r="A5135" s="10" t="s">
        <v>27013</v>
      </c>
      <c r="B5135" s="10" t="str">
        <f>"9781843346760"</f>
        <v>9781843346760</v>
      </c>
      <c r="C5135" s="10" t="str">
        <f>"9781780633169"</f>
        <v>9781780633169</v>
      </c>
      <c r="D5135" s="10" t="s">
        <v>8547</v>
      </c>
      <c r="E5135" s="10" t="s">
        <v>8548</v>
      </c>
      <c r="F5135" s="10" t="s">
        <v>1232</v>
      </c>
      <c r="G5135" s="10" t="s">
        <v>6352</v>
      </c>
      <c r="H5135" s="11">
        <v>41347</v>
      </c>
      <c r="I5135" s="10">
        <v>2013</v>
      </c>
      <c r="J5135" s="10" t="s">
        <v>8548</v>
      </c>
      <c r="K5135" s="10">
        <v>309</v>
      </c>
      <c r="L5135" s="10" t="s">
        <v>27014</v>
      </c>
      <c r="M5135" s="10">
        <v>1</v>
      </c>
      <c r="N5135" s="10" t="s">
        <v>27015</v>
      </c>
      <c r="O5135" s="10"/>
      <c r="P5135" s="10" t="s">
        <v>27016</v>
      </c>
      <c r="Q5135" s="10"/>
      <c r="R5135" s="10" t="s">
        <v>27017</v>
      </c>
      <c r="S5135" s="10" t="s">
        <v>53</v>
      </c>
      <c r="T5135" s="10" t="s">
        <v>54</v>
      </c>
    </row>
    <row r="5136" spans="1:20" ht="14.5" x14ac:dyDescent="0.35">
      <c r="A5136" s="10" t="s">
        <v>27018</v>
      </c>
      <c r="B5136" s="10" t="str">
        <f>"9781843346944"</f>
        <v>9781843346944</v>
      </c>
      <c r="C5136" s="10" t="str">
        <f>"9781780633428"</f>
        <v>9781780633428</v>
      </c>
      <c r="D5136" s="10" t="s">
        <v>8547</v>
      </c>
      <c r="E5136" s="10" t="s">
        <v>8548</v>
      </c>
      <c r="F5136" s="10" t="s">
        <v>1232</v>
      </c>
      <c r="G5136" s="10" t="s">
        <v>6352</v>
      </c>
      <c r="H5136" s="11">
        <v>41409</v>
      </c>
      <c r="I5136" s="10">
        <v>2013</v>
      </c>
      <c r="J5136" s="10" t="s">
        <v>8548</v>
      </c>
      <c r="K5136" s="10">
        <v>377</v>
      </c>
      <c r="L5136" s="10" t="s">
        <v>27019</v>
      </c>
      <c r="M5136" s="10">
        <v>1</v>
      </c>
      <c r="N5136" s="10" t="s">
        <v>27020</v>
      </c>
      <c r="O5136" s="10"/>
      <c r="P5136" s="10" t="s">
        <v>27021</v>
      </c>
      <c r="Q5136" s="10"/>
      <c r="R5136" s="10" t="s">
        <v>12537</v>
      </c>
      <c r="S5136" s="10" t="s">
        <v>53</v>
      </c>
      <c r="T5136" s="10" t="s">
        <v>54</v>
      </c>
    </row>
    <row r="5137" spans="1:20" ht="14.5" x14ac:dyDescent="0.35">
      <c r="A5137" s="10" t="s">
        <v>27022</v>
      </c>
      <c r="B5137" s="10" t="str">
        <f>"9781843346661"</f>
        <v>9781843346661</v>
      </c>
      <c r="C5137" s="10" t="str">
        <f>"9781780633503"</f>
        <v>9781780633503</v>
      </c>
      <c r="D5137" s="10" t="s">
        <v>8547</v>
      </c>
      <c r="E5137" s="10" t="s">
        <v>8548</v>
      </c>
      <c r="F5137" s="10" t="s">
        <v>27023</v>
      </c>
      <c r="G5137" s="10" t="s">
        <v>6352</v>
      </c>
      <c r="H5137" s="11">
        <v>41219</v>
      </c>
      <c r="I5137" s="10">
        <v>2013</v>
      </c>
      <c r="J5137" s="10" t="s">
        <v>27024</v>
      </c>
      <c r="K5137" s="10">
        <v>331</v>
      </c>
      <c r="L5137" s="10" t="s">
        <v>27025</v>
      </c>
      <c r="M5137" s="10">
        <v>1</v>
      </c>
      <c r="N5137" s="10" t="s">
        <v>27026</v>
      </c>
      <c r="O5137" s="10"/>
      <c r="P5137" s="10" t="s">
        <v>27027</v>
      </c>
      <c r="Q5137" s="10">
        <v>808.06600000000003</v>
      </c>
      <c r="R5137" s="10" t="s">
        <v>27028</v>
      </c>
      <c r="S5137" s="10" t="s">
        <v>53</v>
      </c>
      <c r="T5137" s="10" t="s">
        <v>6568</v>
      </c>
    </row>
    <row r="5138" spans="1:20" ht="14.5" x14ac:dyDescent="0.35">
      <c r="A5138" s="10" t="s">
        <v>27029</v>
      </c>
      <c r="B5138" s="10" t="str">
        <f>"9781452268415"</f>
        <v>9781452268415</v>
      </c>
      <c r="C5138" s="10" t="str">
        <f>"9781483318264"</f>
        <v>9781483318264</v>
      </c>
      <c r="D5138" s="10" t="s">
        <v>22210</v>
      </c>
      <c r="E5138" s="10" t="s">
        <v>22211</v>
      </c>
      <c r="F5138" s="10" t="s">
        <v>333</v>
      </c>
      <c r="G5138" s="10" t="s">
        <v>6317</v>
      </c>
      <c r="H5138" s="11">
        <v>41631</v>
      </c>
      <c r="I5138" s="10">
        <v>2014</v>
      </c>
      <c r="J5138" s="10" t="s">
        <v>22211</v>
      </c>
      <c r="K5138" s="10">
        <v>129</v>
      </c>
      <c r="L5138" s="10" t="s">
        <v>27030</v>
      </c>
      <c r="M5138" s="10">
        <v>1</v>
      </c>
      <c r="N5138" s="10"/>
      <c r="O5138" s="10"/>
      <c r="P5138" s="10" t="s">
        <v>27031</v>
      </c>
      <c r="Q5138" s="10">
        <v>371.93</v>
      </c>
      <c r="R5138" s="10" t="s">
        <v>27032</v>
      </c>
      <c r="S5138" s="10" t="s">
        <v>53</v>
      </c>
      <c r="T5138" s="10" t="s">
        <v>54</v>
      </c>
    </row>
    <row r="5139" spans="1:20" ht="14.5" x14ac:dyDescent="0.35">
      <c r="A5139" s="10" t="s">
        <v>27033</v>
      </c>
      <c r="B5139" s="10" t="str">
        <f>"9781118720479"</f>
        <v>9781118720479</v>
      </c>
      <c r="C5139" s="10" t="str">
        <f>"9781118791042"</f>
        <v>9781118791042</v>
      </c>
      <c r="D5139" s="10" t="s">
        <v>6322</v>
      </c>
      <c r="E5139" s="10" t="s">
        <v>6323</v>
      </c>
      <c r="F5139" s="10" t="s">
        <v>4423</v>
      </c>
      <c r="G5139" s="10" t="s">
        <v>6317</v>
      </c>
      <c r="H5139" s="11">
        <v>41603</v>
      </c>
      <c r="I5139" s="10">
        <v>2014</v>
      </c>
      <c r="J5139" s="10" t="s">
        <v>6324</v>
      </c>
      <c r="K5139" s="10">
        <v>174</v>
      </c>
      <c r="L5139" s="10" t="s">
        <v>27034</v>
      </c>
      <c r="M5139" s="10">
        <v>1</v>
      </c>
      <c r="N5139" s="10"/>
      <c r="O5139" s="10"/>
      <c r="P5139" s="10" t="s">
        <v>27035</v>
      </c>
      <c r="Q5139" s="10">
        <v>303.340711</v>
      </c>
      <c r="R5139" s="10" t="s">
        <v>27036</v>
      </c>
      <c r="S5139" s="10" t="s">
        <v>53</v>
      </c>
      <c r="T5139" s="10" t="s">
        <v>6526</v>
      </c>
    </row>
    <row r="5140" spans="1:20" ht="14.5" x14ac:dyDescent="0.35">
      <c r="A5140" s="10" t="s">
        <v>27037</v>
      </c>
      <c r="B5140" s="10" t="str">
        <f>"9781930556317"</f>
        <v>9781930556317</v>
      </c>
      <c r="C5140" s="10" t="str">
        <f>"9781317919674"</f>
        <v>9781317919674</v>
      </c>
      <c r="D5140" s="10" t="s">
        <v>6350</v>
      </c>
      <c r="E5140" s="10" t="s">
        <v>6351</v>
      </c>
      <c r="F5140" s="10" t="s">
        <v>139</v>
      </c>
      <c r="G5140" s="10" t="s">
        <v>6352</v>
      </c>
      <c r="H5140" s="11">
        <v>37385</v>
      </c>
      <c r="I5140" s="10">
        <v>2002</v>
      </c>
      <c r="J5140" s="10" t="s">
        <v>6353</v>
      </c>
      <c r="K5140" s="10">
        <v>286</v>
      </c>
      <c r="L5140" s="10" t="s">
        <v>27038</v>
      </c>
      <c r="M5140" s="10">
        <v>1</v>
      </c>
      <c r="N5140" s="10"/>
      <c r="O5140" s="10"/>
      <c r="P5140" s="10" t="s">
        <v>27039</v>
      </c>
      <c r="Q5140" s="10">
        <v>371.2</v>
      </c>
      <c r="R5140" s="10" t="s">
        <v>27040</v>
      </c>
      <c r="S5140" s="10" t="s">
        <v>53</v>
      </c>
      <c r="T5140" s="10" t="s">
        <v>54</v>
      </c>
    </row>
    <row r="5141" spans="1:20" ht="14.5" x14ac:dyDescent="0.35">
      <c r="A5141" s="10" t="s">
        <v>27041</v>
      </c>
      <c r="B5141" s="10" t="str">
        <f>"9781118828052"</f>
        <v>9781118828052</v>
      </c>
      <c r="C5141" s="10" t="str">
        <f>"9781118828106"</f>
        <v>9781118828106</v>
      </c>
      <c r="D5141" s="10" t="s">
        <v>6322</v>
      </c>
      <c r="E5141" s="10" t="s">
        <v>6323</v>
      </c>
      <c r="F5141" s="10" t="s">
        <v>13068</v>
      </c>
      <c r="G5141" s="10" t="s">
        <v>6317</v>
      </c>
      <c r="H5141" s="11">
        <v>41631</v>
      </c>
      <c r="I5141" s="10">
        <v>2013</v>
      </c>
      <c r="J5141" s="10" t="s">
        <v>6324</v>
      </c>
      <c r="K5141" s="10">
        <v>104</v>
      </c>
      <c r="L5141" s="10" t="s">
        <v>27042</v>
      </c>
      <c r="M5141" s="10">
        <v>1</v>
      </c>
      <c r="N5141" s="10" t="s">
        <v>25112</v>
      </c>
      <c r="O5141" s="10"/>
      <c r="P5141" s="10" t="s">
        <v>27043</v>
      </c>
      <c r="Q5141" s="10">
        <v>378.01</v>
      </c>
      <c r="R5141" s="10" t="s">
        <v>27044</v>
      </c>
      <c r="S5141" s="10" t="s">
        <v>53</v>
      </c>
      <c r="T5141" s="10" t="s">
        <v>54</v>
      </c>
    </row>
    <row r="5142" spans="1:20" ht="14.5" x14ac:dyDescent="0.35">
      <c r="A5142" s="10" t="s">
        <v>27045</v>
      </c>
      <c r="B5142" s="10" t="str">
        <f>"9781605541563"</f>
        <v>9781605541563</v>
      </c>
      <c r="C5142" s="10" t="str">
        <f>"9781605543536"</f>
        <v>9781605543536</v>
      </c>
      <c r="D5142" s="10" t="s">
        <v>9533</v>
      </c>
      <c r="E5142" s="10" t="s">
        <v>25518</v>
      </c>
      <c r="F5142" s="10" t="s">
        <v>25519</v>
      </c>
      <c r="G5142" s="10" t="s">
        <v>6317</v>
      </c>
      <c r="H5142" s="11">
        <v>41750</v>
      </c>
      <c r="I5142" s="10">
        <v>2014</v>
      </c>
      <c r="J5142" s="10" t="s">
        <v>25518</v>
      </c>
      <c r="K5142" s="10">
        <v>181</v>
      </c>
      <c r="L5142" s="10" t="s">
        <v>27046</v>
      </c>
      <c r="M5142" s="10">
        <v>1</v>
      </c>
      <c r="N5142" s="10"/>
      <c r="O5142" s="10"/>
      <c r="P5142" s="10" t="s">
        <v>27047</v>
      </c>
      <c r="Q5142" s="10">
        <v>372.21</v>
      </c>
      <c r="R5142" s="10" t="s">
        <v>27048</v>
      </c>
      <c r="S5142" s="10" t="s">
        <v>53</v>
      </c>
      <c r="T5142" s="10" t="s">
        <v>54</v>
      </c>
    </row>
    <row r="5143" spans="1:20" ht="14.5" x14ac:dyDescent="0.35">
      <c r="A5143" s="10" t="s">
        <v>27049</v>
      </c>
      <c r="B5143" s="10" t="str">
        <f>"9780826130723"</f>
        <v>9780826130723</v>
      </c>
      <c r="C5143" s="10" t="str">
        <f>"9780826130730"</f>
        <v>9780826130730</v>
      </c>
      <c r="D5143" s="10" t="s">
        <v>3370</v>
      </c>
      <c r="E5143" s="10" t="s">
        <v>10927</v>
      </c>
      <c r="F5143" s="10" t="s">
        <v>70</v>
      </c>
      <c r="G5143" s="10" t="s">
        <v>6317</v>
      </c>
      <c r="H5143" s="11">
        <v>41579</v>
      </c>
      <c r="I5143" s="10">
        <v>2013</v>
      </c>
      <c r="J5143" s="10" t="s">
        <v>10927</v>
      </c>
      <c r="K5143" s="10">
        <v>304</v>
      </c>
      <c r="L5143" s="10" t="s">
        <v>27050</v>
      </c>
      <c r="M5143" s="10">
        <v>1</v>
      </c>
      <c r="N5143" s="10"/>
      <c r="O5143" s="10"/>
      <c r="P5143" s="10" t="s">
        <v>27051</v>
      </c>
      <c r="Q5143" s="10">
        <v>371.40460000000002</v>
      </c>
      <c r="R5143" s="10" t="s">
        <v>11395</v>
      </c>
      <c r="S5143" s="10" t="s">
        <v>53</v>
      </c>
      <c r="T5143" s="10" t="s">
        <v>54</v>
      </c>
    </row>
    <row r="5144" spans="1:20" ht="14.5" x14ac:dyDescent="0.35">
      <c r="A5144" s="10" t="s">
        <v>27052</v>
      </c>
      <c r="B5144" s="10" t="str">
        <f>"9781464800986"</f>
        <v>9781464800986</v>
      </c>
      <c r="C5144" s="10" t="str">
        <f>"9781464801006"</f>
        <v>9781464801006</v>
      </c>
      <c r="D5144" s="10" t="s">
        <v>14731</v>
      </c>
      <c r="E5144" s="10" t="s">
        <v>14732</v>
      </c>
      <c r="F5144" s="10" t="s">
        <v>27053</v>
      </c>
      <c r="G5144" s="10" t="s">
        <v>6317</v>
      </c>
      <c r="H5144" s="11">
        <v>41609</v>
      </c>
      <c r="I5144" s="10">
        <v>2013</v>
      </c>
      <c r="J5144" s="10" t="s">
        <v>14732</v>
      </c>
      <c r="K5144" s="10">
        <v>185</v>
      </c>
      <c r="L5144" s="10" t="s">
        <v>27054</v>
      </c>
      <c r="M5144" s="10">
        <v>1</v>
      </c>
      <c r="N5144" s="10" t="s">
        <v>20668</v>
      </c>
      <c r="O5144" s="10"/>
      <c r="P5144" s="10" t="s">
        <v>27055</v>
      </c>
      <c r="Q5144" s="10">
        <v>370.9667</v>
      </c>
      <c r="R5144" s="10" t="s">
        <v>27056</v>
      </c>
      <c r="S5144" s="10" t="s">
        <v>53</v>
      </c>
      <c r="T5144" s="10" t="s">
        <v>54</v>
      </c>
    </row>
    <row r="5145" spans="1:20" ht="14.5" x14ac:dyDescent="0.35">
      <c r="A5145" s="10" t="s">
        <v>27057</v>
      </c>
      <c r="B5145" s="10" t="str">
        <f>"9781452282633"</f>
        <v>9781452282633</v>
      </c>
      <c r="C5145" s="10" t="str">
        <f>"9781452282596"</f>
        <v>9781452282596</v>
      </c>
      <c r="D5145" s="10" t="s">
        <v>22210</v>
      </c>
      <c r="E5145" s="10" t="s">
        <v>22211</v>
      </c>
      <c r="F5145" s="10" t="s">
        <v>333</v>
      </c>
      <c r="G5145" s="10" t="s">
        <v>6317</v>
      </c>
      <c r="H5145" s="11">
        <v>41631</v>
      </c>
      <c r="I5145" s="10">
        <v>2014</v>
      </c>
      <c r="J5145" s="10" t="s">
        <v>22211</v>
      </c>
      <c r="K5145" s="10">
        <v>209</v>
      </c>
      <c r="L5145" s="10" t="s">
        <v>27058</v>
      </c>
      <c r="M5145" s="10">
        <v>1</v>
      </c>
      <c r="N5145" s="10"/>
      <c r="O5145" s="10"/>
      <c r="P5145" s="10" t="s">
        <v>27059</v>
      </c>
      <c r="Q5145" s="10">
        <v>510.71199999999999</v>
      </c>
      <c r="R5145" s="10"/>
      <c r="S5145" s="10" t="s">
        <v>53</v>
      </c>
      <c r="T5145" s="10" t="s">
        <v>389</v>
      </c>
    </row>
    <row r="5146" spans="1:20" ht="14.5" x14ac:dyDescent="0.35">
      <c r="A5146" s="10" t="s">
        <v>27060</v>
      </c>
      <c r="B5146" s="10" t="str">
        <f>"9781610484329"</f>
        <v>9781610484329</v>
      </c>
      <c r="C5146" s="10" t="str">
        <f>"9781610484343"</f>
        <v>9781610484343</v>
      </c>
      <c r="D5146" s="10" t="s">
        <v>9752</v>
      </c>
      <c r="E5146" s="10" t="s">
        <v>15192</v>
      </c>
      <c r="F5146" s="10" t="s">
        <v>9754</v>
      </c>
      <c r="G5146" s="10" t="s">
        <v>6317</v>
      </c>
      <c r="H5146" s="11">
        <v>40795</v>
      </c>
      <c r="I5146" s="10">
        <v>2011</v>
      </c>
      <c r="J5146" s="10" t="s">
        <v>15192</v>
      </c>
      <c r="K5146" s="10">
        <v>200</v>
      </c>
      <c r="L5146" s="10" t="s">
        <v>27061</v>
      </c>
      <c r="M5146" s="10">
        <v>2</v>
      </c>
      <c r="N5146" s="10"/>
      <c r="O5146" s="10"/>
      <c r="P5146" s="10" t="s">
        <v>27062</v>
      </c>
      <c r="Q5146" s="10" t="s">
        <v>6920</v>
      </c>
      <c r="R5146" s="10" t="s">
        <v>17194</v>
      </c>
      <c r="S5146" s="10" t="s">
        <v>53</v>
      </c>
      <c r="T5146" s="10" t="s">
        <v>54</v>
      </c>
    </row>
    <row r="5147" spans="1:20" ht="14.5" x14ac:dyDescent="0.35">
      <c r="A5147" s="10" t="s">
        <v>27063</v>
      </c>
      <c r="B5147" s="10" t="str">
        <f>"9781118834879"</f>
        <v>9781118834879</v>
      </c>
      <c r="C5147" s="10" t="str">
        <f>"9781118834886"</f>
        <v>9781118834886</v>
      </c>
      <c r="D5147" s="10" t="s">
        <v>6322</v>
      </c>
      <c r="E5147" s="10" t="s">
        <v>6323</v>
      </c>
      <c r="F5147" s="10" t="s">
        <v>13068</v>
      </c>
      <c r="G5147" s="10" t="s">
        <v>6317</v>
      </c>
      <c r="H5147" s="11">
        <v>41639</v>
      </c>
      <c r="I5147" s="10">
        <v>2013</v>
      </c>
      <c r="J5147" s="10" t="s">
        <v>6324</v>
      </c>
      <c r="K5147" s="10">
        <v>122</v>
      </c>
      <c r="L5147" s="10" t="s">
        <v>27064</v>
      </c>
      <c r="M5147" s="10">
        <v>1</v>
      </c>
      <c r="N5147" s="10" t="s">
        <v>20707</v>
      </c>
      <c r="O5147" s="10"/>
      <c r="P5147" s="10" t="s">
        <v>27065</v>
      </c>
      <c r="Q5147" s="10">
        <v>374.00700000000001</v>
      </c>
      <c r="R5147" s="10" t="s">
        <v>27066</v>
      </c>
      <c r="S5147" s="10" t="s">
        <v>53</v>
      </c>
      <c r="T5147" s="10" t="s">
        <v>54</v>
      </c>
    </row>
    <row r="5148" spans="1:20" ht="14.5" x14ac:dyDescent="0.35">
      <c r="A5148" s="10" t="s">
        <v>27067</v>
      </c>
      <c r="B5148" s="10" t="str">
        <f>"9781472512987"</f>
        <v>9781472512987</v>
      </c>
      <c r="C5148" s="10" t="str">
        <f>"9781472509918"</f>
        <v>9781472509918</v>
      </c>
      <c r="D5148" s="10" t="s">
        <v>13959</v>
      </c>
      <c r="E5148" s="10" t="s">
        <v>13960</v>
      </c>
      <c r="F5148" s="10" t="s">
        <v>139</v>
      </c>
      <c r="G5148" s="10" t="s">
        <v>6352</v>
      </c>
      <c r="H5148" s="11">
        <v>41655</v>
      </c>
      <c r="I5148" s="10">
        <v>2014</v>
      </c>
      <c r="J5148" s="10" t="s">
        <v>14057</v>
      </c>
      <c r="K5148" s="10">
        <v>251</v>
      </c>
      <c r="L5148" s="10" t="s">
        <v>27068</v>
      </c>
      <c r="M5148" s="10">
        <v>1</v>
      </c>
      <c r="N5148" s="10"/>
      <c r="O5148" s="10"/>
      <c r="P5148" s="10" t="s">
        <v>27069</v>
      </c>
      <c r="Q5148" s="10" t="s">
        <v>7299</v>
      </c>
      <c r="R5148" s="10" t="s">
        <v>27070</v>
      </c>
      <c r="S5148" s="10" t="s">
        <v>53</v>
      </c>
      <c r="T5148" s="10" t="s">
        <v>54</v>
      </c>
    </row>
    <row r="5149" spans="1:20" ht="14.5" x14ac:dyDescent="0.35">
      <c r="A5149" s="10" t="s">
        <v>27071</v>
      </c>
      <c r="B5149" s="10" t="str">
        <f>"9780857094643"</f>
        <v>9780857094643</v>
      </c>
      <c r="C5149" s="10" t="str">
        <f>"9780857094650"</f>
        <v>9780857094650</v>
      </c>
      <c r="D5149" s="10" t="s">
        <v>8547</v>
      </c>
      <c r="E5149" s="10" t="s">
        <v>8548</v>
      </c>
      <c r="F5149" s="10" t="s">
        <v>1232</v>
      </c>
      <c r="G5149" s="10" t="s">
        <v>6352</v>
      </c>
      <c r="H5149" s="11">
        <v>41578</v>
      </c>
      <c r="I5149" s="10">
        <v>2013</v>
      </c>
      <c r="J5149" s="10" t="s">
        <v>8548</v>
      </c>
      <c r="K5149" s="10">
        <v>241</v>
      </c>
      <c r="L5149" s="10" t="s">
        <v>27072</v>
      </c>
      <c r="M5149" s="10">
        <v>1</v>
      </c>
      <c r="N5149" s="10" t="s">
        <v>27073</v>
      </c>
      <c r="O5149" s="10"/>
      <c r="P5149" s="10" t="s">
        <v>27074</v>
      </c>
      <c r="Q5149" s="10"/>
      <c r="R5149" s="10" t="s">
        <v>27075</v>
      </c>
      <c r="S5149" s="10" t="s">
        <v>53</v>
      </c>
      <c r="T5149" s="10" t="s">
        <v>54</v>
      </c>
    </row>
    <row r="5150" spans="1:20" ht="14.5" x14ac:dyDescent="0.35">
      <c r="A5150" s="10" t="s">
        <v>27076</v>
      </c>
      <c r="B5150" s="10" t="str">
        <f>"9780415271455"</f>
        <v>9780415271455</v>
      </c>
      <c r="C5150" s="10" t="str">
        <f>"9781136466908"</f>
        <v>9781136466908</v>
      </c>
      <c r="D5150" s="10" t="s">
        <v>6350</v>
      </c>
      <c r="E5150" s="10" t="s">
        <v>6351</v>
      </c>
      <c r="F5150" s="10" t="s">
        <v>139</v>
      </c>
      <c r="G5150" s="10" t="s">
        <v>6352</v>
      </c>
      <c r="H5150" s="11">
        <v>37414</v>
      </c>
      <c r="I5150" s="10">
        <v>2002</v>
      </c>
      <c r="J5150" s="10" t="s">
        <v>6353</v>
      </c>
      <c r="K5150" s="10">
        <v>248</v>
      </c>
      <c r="L5150" s="10" t="s">
        <v>27077</v>
      </c>
      <c r="M5150" s="10">
        <v>2</v>
      </c>
      <c r="N5150" s="10"/>
      <c r="O5150" s="10"/>
      <c r="P5150" s="10" t="s">
        <v>27078</v>
      </c>
      <c r="Q5150" s="10" t="s">
        <v>27079</v>
      </c>
      <c r="R5150" s="10" t="s">
        <v>7822</v>
      </c>
      <c r="S5150" s="10" t="s">
        <v>53</v>
      </c>
      <c r="T5150" s="10" t="s">
        <v>54</v>
      </c>
    </row>
    <row r="5151" spans="1:20" ht="14.5" x14ac:dyDescent="0.35">
      <c r="A5151" s="10" t="s">
        <v>27080</v>
      </c>
      <c r="B5151" s="10" t="str">
        <f>"9780415932547"</f>
        <v>9780415932547</v>
      </c>
      <c r="C5151" s="10" t="str">
        <f>"9781136703492"</f>
        <v>9781136703492</v>
      </c>
      <c r="D5151" s="10" t="s">
        <v>6350</v>
      </c>
      <c r="E5151" s="10" t="s">
        <v>6351</v>
      </c>
      <c r="F5151" s="10" t="s">
        <v>139</v>
      </c>
      <c r="G5151" s="10" t="s">
        <v>6352</v>
      </c>
      <c r="H5151" s="11">
        <v>37386</v>
      </c>
      <c r="I5151" s="10">
        <v>2002</v>
      </c>
      <c r="J5151" s="10" t="s">
        <v>6353</v>
      </c>
      <c r="K5151" s="10">
        <v>219</v>
      </c>
      <c r="L5151" s="10" t="s">
        <v>27081</v>
      </c>
      <c r="M5151" s="10">
        <v>1</v>
      </c>
      <c r="N5151" s="10"/>
      <c r="O5151" s="10"/>
      <c r="P5151" s="10" t="s">
        <v>27082</v>
      </c>
      <c r="Q5151" s="10">
        <v>371.10086639999997</v>
      </c>
      <c r="R5151" s="10" t="s">
        <v>27083</v>
      </c>
      <c r="S5151" s="10" t="s">
        <v>53</v>
      </c>
      <c r="T5151" s="10" t="s">
        <v>54</v>
      </c>
    </row>
    <row r="5152" spans="1:20" ht="14.5" x14ac:dyDescent="0.35">
      <c r="A5152" s="10" t="s">
        <v>27084</v>
      </c>
      <c r="B5152" s="10" t="str">
        <f>"9781853469558"</f>
        <v>9781853469558</v>
      </c>
      <c r="C5152" s="10" t="str">
        <f>"9781134154586"</f>
        <v>9781134154586</v>
      </c>
      <c r="D5152" s="10" t="s">
        <v>6350</v>
      </c>
      <c r="E5152" s="10" t="s">
        <v>15120</v>
      </c>
      <c r="F5152" s="10" t="s">
        <v>748</v>
      </c>
      <c r="G5152" s="10" t="s">
        <v>6352</v>
      </c>
      <c r="H5152" s="11">
        <v>37484</v>
      </c>
      <c r="I5152" s="10">
        <v>2002</v>
      </c>
      <c r="J5152" s="10" t="s">
        <v>15120</v>
      </c>
      <c r="K5152" s="10">
        <v>128</v>
      </c>
      <c r="L5152" s="10" t="s">
        <v>27085</v>
      </c>
      <c r="M5152" s="10">
        <v>1</v>
      </c>
      <c r="N5152" s="10"/>
      <c r="O5152" s="10"/>
      <c r="P5152" s="10" t="s">
        <v>27086</v>
      </c>
      <c r="Q5152" s="10" t="s">
        <v>27087</v>
      </c>
      <c r="R5152" s="10" t="s">
        <v>9113</v>
      </c>
      <c r="S5152" s="10" t="s">
        <v>53</v>
      </c>
      <c r="T5152" s="10" t="s">
        <v>54</v>
      </c>
    </row>
    <row r="5153" spans="1:20" ht="14.5" x14ac:dyDescent="0.35">
      <c r="A5153" s="10" t="s">
        <v>27088</v>
      </c>
      <c r="B5153" s="10" t="str">
        <f>"9789004263154"</f>
        <v>9789004263154</v>
      </c>
      <c r="C5153" s="10" t="str">
        <f>"9789004263161"</f>
        <v>9789004263161</v>
      </c>
      <c r="D5153" s="10" t="s">
        <v>8564</v>
      </c>
      <c r="E5153" s="10" t="s">
        <v>8565</v>
      </c>
      <c r="F5153" s="10" t="s">
        <v>1420</v>
      </c>
      <c r="G5153" s="10" t="s">
        <v>6317</v>
      </c>
      <c r="H5153" s="11">
        <v>41603</v>
      </c>
      <c r="I5153" s="10">
        <v>2014</v>
      </c>
      <c r="J5153" s="10" t="s">
        <v>8565</v>
      </c>
      <c r="K5153" s="10">
        <v>317</v>
      </c>
      <c r="L5153" s="10" t="s">
        <v>27089</v>
      </c>
      <c r="M5153" s="10">
        <v>1</v>
      </c>
      <c r="N5153" s="10" t="s">
        <v>27090</v>
      </c>
      <c r="O5153" s="10">
        <v>1</v>
      </c>
      <c r="P5153" s="10" t="s">
        <v>27091</v>
      </c>
      <c r="Q5153" s="10">
        <v>306.43095099999999</v>
      </c>
      <c r="R5153" s="10" t="s">
        <v>27092</v>
      </c>
      <c r="S5153" s="10" t="s">
        <v>53</v>
      </c>
      <c r="T5153" s="10" t="s">
        <v>6472</v>
      </c>
    </row>
    <row r="5154" spans="1:20" ht="14.5" x14ac:dyDescent="0.35">
      <c r="A5154" s="10" t="s">
        <v>27093</v>
      </c>
      <c r="B5154" s="10" t="str">
        <f>"9781930556898"</f>
        <v>9781930556898</v>
      </c>
      <c r="C5154" s="10" t="str">
        <f>"9781317923817"</f>
        <v>9781317923817</v>
      </c>
      <c r="D5154" s="10" t="s">
        <v>6350</v>
      </c>
      <c r="E5154" s="10" t="s">
        <v>6351</v>
      </c>
      <c r="F5154" s="10" t="s">
        <v>3967</v>
      </c>
      <c r="G5154" s="10" t="s">
        <v>6352</v>
      </c>
      <c r="H5154" s="11">
        <v>38259</v>
      </c>
      <c r="I5154" s="10">
        <v>2005</v>
      </c>
      <c r="J5154" s="10" t="s">
        <v>6353</v>
      </c>
      <c r="K5154" s="10">
        <v>168</v>
      </c>
      <c r="L5154" s="10" t="s">
        <v>27094</v>
      </c>
      <c r="M5154" s="10">
        <v>2</v>
      </c>
      <c r="N5154" s="10"/>
      <c r="O5154" s="10"/>
      <c r="P5154" s="10" t="s">
        <v>27095</v>
      </c>
      <c r="Q5154" s="10" t="s">
        <v>15417</v>
      </c>
      <c r="R5154" s="10" t="s">
        <v>27096</v>
      </c>
      <c r="S5154" s="10" t="s">
        <v>53</v>
      </c>
      <c r="T5154" s="10" t="s">
        <v>54</v>
      </c>
    </row>
    <row r="5155" spans="1:20" ht="14.5" x14ac:dyDescent="0.35">
      <c r="A5155" s="10" t="s">
        <v>27097</v>
      </c>
      <c r="B5155" s="10" t="str">
        <f>"9780415734684"</f>
        <v>9780415734684</v>
      </c>
      <c r="C5155" s="10" t="str">
        <f>"9781317821038"</f>
        <v>9781317821038</v>
      </c>
      <c r="D5155" s="10" t="s">
        <v>6350</v>
      </c>
      <c r="E5155" s="10" t="s">
        <v>6351</v>
      </c>
      <c r="F5155" s="10" t="s">
        <v>139</v>
      </c>
      <c r="G5155" s="10" t="s">
        <v>6352</v>
      </c>
      <c r="H5155" s="11">
        <v>41624</v>
      </c>
      <c r="I5155" s="10">
        <v>2014</v>
      </c>
      <c r="J5155" s="10" t="s">
        <v>6353</v>
      </c>
      <c r="K5155" s="10">
        <v>146</v>
      </c>
      <c r="L5155" s="10" t="s">
        <v>27098</v>
      </c>
      <c r="M5155" s="10">
        <v>1</v>
      </c>
      <c r="N5155" s="10"/>
      <c r="O5155" s="10"/>
      <c r="P5155" s="10" t="s">
        <v>27099</v>
      </c>
      <c r="Q5155" s="10">
        <v>428.00712729999998</v>
      </c>
      <c r="R5155" s="10" t="s">
        <v>27100</v>
      </c>
      <c r="S5155" s="10" t="s">
        <v>53</v>
      </c>
      <c r="T5155" s="10" t="s">
        <v>6634</v>
      </c>
    </row>
    <row r="5156" spans="1:20" ht="14.5" x14ac:dyDescent="0.35">
      <c r="A5156" s="10" t="s">
        <v>27101</v>
      </c>
      <c r="B5156" s="10" t="str">
        <f>"9781475804065"</f>
        <v>9781475804065</v>
      </c>
      <c r="C5156" s="10" t="str">
        <f>"9781475804089"</f>
        <v>9781475804089</v>
      </c>
      <c r="D5156" s="10" t="s">
        <v>9752</v>
      </c>
      <c r="E5156" s="10" t="s">
        <v>15192</v>
      </c>
      <c r="F5156" s="10" t="s">
        <v>9754</v>
      </c>
      <c r="G5156" s="10" t="s">
        <v>6317</v>
      </c>
      <c r="H5156" s="11">
        <v>41624</v>
      </c>
      <c r="I5156" s="10">
        <v>2013</v>
      </c>
      <c r="J5156" s="10" t="s">
        <v>15192</v>
      </c>
      <c r="K5156" s="10">
        <v>179</v>
      </c>
      <c r="L5156" s="10" t="s">
        <v>27102</v>
      </c>
      <c r="M5156" s="10">
        <v>1</v>
      </c>
      <c r="N5156" s="10"/>
      <c r="O5156" s="10"/>
      <c r="P5156" s="10" t="s">
        <v>27103</v>
      </c>
      <c r="Q5156" s="10">
        <v>378.73</v>
      </c>
      <c r="R5156" s="10" t="s">
        <v>8111</v>
      </c>
      <c r="S5156" s="10" t="s">
        <v>53</v>
      </c>
      <c r="T5156" s="10" t="s">
        <v>54</v>
      </c>
    </row>
    <row r="5157" spans="1:20" ht="14.5" x14ac:dyDescent="0.35">
      <c r="A5157" s="10" t="s">
        <v>27104</v>
      </c>
      <c r="B5157" s="10" t="str">
        <f>"9781475806830"</f>
        <v>9781475806830</v>
      </c>
      <c r="C5157" s="10" t="str">
        <f>"9781475806847"</f>
        <v>9781475806847</v>
      </c>
      <c r="D5157" s="10" t="s">
        <v>9752</v>
      </c>
      <c r="E5157" s="10" t="s">
        <v>15192</v>
      </c>
      <c r="F5157" s="10" t="s">
        <v>9754</v>
      </c>
      <c r="G5157" s="10" t="s">
        <v>6317</v>
      </c>
      <c r="H5157" s="11">
        <v>41619</v>
      </c>
      <c r="I5157" s="10">
        <v>2013</v>
      </c>
      <c r="J5157" s="10" t="s">
        <v>15192</v>
      </c>
      <c r="K5157" s="10">
        <v>97</v>
      </c>
      <c r="L5157" s="10" t="s">
        <v>27105</v>
      </c>
      <c r="M5157" s="10">
        <v>1</v>
      </c>
      <c r="N5157" s="10"/>
      <c r="O5157" s="10"/>
      <c r="P5157" s="10" t="s">
        <v>27106</v>
      </c>
      <c r="Q5157" s="10">
        <v>370.91732000000002</v>
      </c>
      <c r="R5157" s="10" t="s">
        <v>27107</v>
      </c>
      <c r="S5157" s="10" t="s">
        <v>53</v>
      </c>
      <c r="T5157" s="10" t="s">
        <v>54</v>
      </c>
    </row>
    <row r="5158" spans="1:20" ht="14.5" x14ac:dyDescent="0.35">
      <c r="A5158" s="10" t="s">
        <v>27108</v>
      </c>
      <c r="B5158" s="10" t="str">
        <f>"9780809332854"</f>
        <v>9780809332854</v>
      </c>
      <c r="C5158" s="10" t="str">
        <f>"9780809332861"</f>
        <v>9780809332861</v>
      </c>
      <c r="D5158" s="10" t="s">
        <v>26036</v>
      </c>
      <c r="E5158" s="10" t="s">
        <v>26036</v>
      </c>
      <c r="F5158" s="10" t="s">
        <v>2236</v>
      </c>
      <c r="G5158" s="10" t="s">
        <v>6317</v>
      </c>
      <c r="H5158" s="11">
        <v>41627</v>
      </c>
      <c r="I5158" s="10">
        <v>2014</v>
      </c>
      <c r="J5158" s="10" t="s">
        <v>26036</v>
      </c>
      <c r="K5158" s="10">
        <v>201</v>
      </c>
      <c r="L5158" s="10" t="s">
        <v>27109</v>
      </c>
      <c r="M5158" s="10">
        <v>1</v>
      </c>
      <c r="N5158" s="10" t="s">
        <v>27110</v>
      </c>
      <c r="O5158" s="10"/>
      <c r="P5158" s="10" t="s">
        <v>27111</v>
      </c>
      <c r="Q5158" s="10">
        <v>371.82209749999998</v>
      </c>
      <c r="R5158" s="10" t="s">
        <v>27112</v>
      </c>
      <c r="S5158" s="10" t="s">
        <v>53</v>
      </c>
      <c r="T5158" s="10" t="s">
        <v>54</v>
      </c>
    </row>
    <row r="5159" spans="1:20" ht="14.5" x14ac:dyDescent="0.35">
      <c r="A5159" s="10" t="s">
        <v>27113</v>
      </c>
      <c r="B5159" s="10" t="str">
        <f>"9781843120025"</f>
        <v>9781843120025</v>
      </c>
      <c r="C5159" s="10" t="str">
        <f>"9781134005345"</f>
        <v>9781134005345</v>
      </c>
      <c r="D5159" s="10" t="s">
        <v>6350</v>
      </c>
      <c r="E5159" s="10" t="s">
        <v>15120</v>
      </c>
      <c r="F5159" s="10" t="s">
        <v>748</v>
      </c>
      <c r="G5159" s="10" t="s">
        <v>6352</v>
      </c>
      <c r="H5159" s="11">
        <v>37792</v>
      </c>
      <c r="I5159" s="10">
        <v>2003</v>
      </c>
      <c r="J5159" s="10" t="s">
        <v>15120</v>
      </c>
      <c r="K5159" s="10">
        <v>111</v>
      </c>
      <c r="L5159" s="10" t="s">
        <v>13736</v>
      </c>
      <c r="M5159" s="10">
        <v>1</v>
      </c>
      <c r="N5159" s="10"/>
      <c r="O5159" s="10"/>
      <c r="P5159" s="10" t="s">
        <v>27114</v>
      </c>
      <c r="Q5159" s="10">
        <v>371.9144</v>
      </c>
      <c r="R5159" s="10" t="s">
        <v>54</v>
      </c>
      <c r="S5159" s="10" t="s">
        <v>53</v>
      </c>
      <c r="T5159" s="10" t="s">
        <v>54</v>
      </c>
    </row>
    <row r="5160" spans="1:20" ht="14.5" x14ac:dyDescent="0.35">
      <c r="A5160" s="10" t="s">
        <v>27115</v>
      </c>
      <c r="B5160" s="10" t="str">
        <f>"9781843120452"</f>
        <v>9781843120452</v>
      </c>
      <c r="C5160" s="10" t="str">
        <f>"9781134010103"</f>
        <v>9781134010103</v>
      </c>
      <c r="D5160" s="10" t="s">
        <v>6350</v>
      </c>
      <c r="E5160" s="10" t="s">
        <v>15120</v>
      </c>
      <c r="F5160" s="10" t="s">
        <v>748</v>
      </c>
      <c r="G5160" s="10" t="s">
        <v>6352</v>
      </c>
      <c r="H5160" s="11">
        <v>38183</v>
      </c>
      <c r="I5160" s="10">
        <v>2003</v>
      </c>
      <c r="J5160" s="10" t="s">
        <v>15120</v>
      </c>
      <c r="K5160" s="10">
        <v>125</v>
      </c>
      <c r="L5160" s="10" t="s">
        <v>27116</v>
      </c>
      <c r="M5160" s="10">
        <v>1</v>
      </c>
      <c r="N5160" s="10"/>
      <c r="O5160" s="10"/>
      <c r="P5160" s="10" t="s">
        <v>27117</v>
      </c>
      <c r="Q5160" s="10" t="s">
        <v>7205</v>
      </c>
      <c r="R5160" s="10" t="s">
        <v>27118</v>
      </c>
      <c r="S5160" s="10" t="s">
        <v>53</v>
      </c>
      <c r="T5160" s="10" t="s">
        <v>54</v>
      </c>
    </row>
    <row r="5161" spans="1:20" ht="14.5" x14ac:dyDescent="0.35">
      <c r="A5161" s="10" t="s">
        <v>27119</v>
      </c>
      <c r="B5161" s="10" t="str">
        <f>"9781843120636"</f>
        <v>9781843120636</v>
      </c>
      <c r="C5161" s="10" t="str">
        <f>"9781134012909"</f>
        <v>9781134012909</v>
      </c>
      <c r="D5161" s="10" t="s">
        <v>6350</v>
      </c>
      <c r="E5161" s="10" t="s">
        <v>15120</v>
      </c>
      <c r="F5161" s="10" t="s">
        <v>748</v>
      </c>
      <c r="G5161" s="10" t="s">
        <v>6352</v>
      </c>
      <c r="H5161" s="11">
        <v>38532</v>
      </c>
      <c r="I5161" s="10">
        <v>2004</v>
      </c>
      <c r="J5161" s="10" t="s">
        <v>15120</v>
      </c>
      <c r="K5161" s="10">
        <v>177</v>
      </c>
      <c r="L5161" s="10" t="s">
        <v>27120</v>
      </c>
      <c r="M5161" s="10">
        <v>1</v>
      </c>
      <c r="N5161" s="10"/>
      <c r="O5161" s="10"/>
      <c r="P5161" s="10" t="s">
        <v>27121</v>
      </c>
      <c r="Q5161" s="10" t="s">
        <v>6576</v>
      </c>
      <c r="R5161" s="10" t="s">
        <v>9113</v>
      </c>
      <c r="S5161" s="10" t="s">
        <v>53</v>
      </c>
      <c r="T5161" s="10" t="s">
        <v>54</v>
      </c>
    </row>
    <row r="5162" spans="1:20" ht="14.5" x14ac:dyDescent="0.35">
      <c r="A5162" s="10" t="s">
        <v>27122</v>
      </c>
      <c r="B5162" s="10" t="str">
        <f>"9781843120063"</f>
        <v>9781843120063</v>
      </c>
      <c r="C5162" s="10" t="str">
        <f>"9781134006182"</f>
        <v>9781134006182</v>
      </c>
      <c r="D5162" s="10" t="s">
        <v>6350</v>
      </c>
      <c r="E5162" s="10" t="s">
        <v>15120</v>
      </c>
      <c r="F5162" s="10" t="s">
        <v>748</v>
      </c>
      <c r="G5162" s="10" t="s">
        <v>6352</v>
      </c>
      <c r="H5162" s="11">
        <v>37694</v>
      </c>
      <c r="I5162" s="10">
        <v>2003</v>
      </c>
      <c r="J5162" s="10" t="s">
        <v>15120</v>
      </c>
      <c r="K5162" s="10">
        <v>159</v>
      </c>
      <c r="L5162" s="10" t="s">
        <v>27123</v>
      </c>
      <c r="M5162" s="10">
        <v>1</v>
      </c>
      <c r="N5162" s="10"/>
      <c r="O5162" s="10"/>
      <c r="P5162" s="10" t="s">
        <v>27124</v>
      </c>
      <c r="Q5162" s="10">
        <v>371</v>
      </c>
      <c r="R5162" s="10" t="s">
        <v>6543</v>
      </c>
      <c r="S5162" s="10" t="s">
        <v>53</v>
      </c>
      <c r="T5162" s="10" t="s">
        <v>54</v>
      </c>
    </row>
    <row r="5163" spans="1:20" ht="14.5" x14ac:dyDescent="0.35">
      <c r="A5163" s="10" t="s">
        <v>27125</v>
      </c>
      <c r="B5163" s="10" t="str">
        <f>"9781118828144"</f>
        <v>9781118828144</v>
      </c>
      <c r="C5163" s="10" t="str">
        <f>"9781118828205"</f>
        <v>9781118828205</v>
      </c>
      <c r="D5163" s="10" t="s">
        <v>6322</v>
      </c>
      <c r="E5163" s="10" t="s">
        <v>6323</v>
      </c>
      <c r="F5163" s="10" t="s">
        <v>13068</v>
      </c>
      <c r="G5163" s="10" t="s">
        <v>6317</v>
      </c>
      <c r="H5163" s="11">
        <v>41631</v>
      </c>
      <c r="I5163" s="10">
        <v>2013</v>
      </c>
      <c r="J5163" s="10" t="s">
        <v>6324</v>
      </c>
      <c r="K5163" s="10">
        <v>97</v>
      </c>
      <c r="L5163" s="10" t="s">
        <v>27126</v>
      </c>
      <c r="M5163" s="10">
        <v>1</v>
      </c>
      <c r="N5163" s="10" t="s">
        <v>25682</v>
      </c>
      <c r="O5163" s="10"/>
      <c r="P5163" s="10" t="s">
        <v>27127</v>
      </c>
      <c r="Q5163" s="10">
        <v>155</v>
      </c>
      <c r="R5163" s="10" t="s">
        <v>27128</v>
      </c>
      <c r="S5163" s="10" t="s">
        <v>53</v>
      </c>
      <c r="T5163" s="10" t="s">
        <v>483</v>
      </c>
    </row>
    <row r="5164" spans="1:20" ht="14.5" x14ac:dyDescent="0.35">
      <c r="A5164" s="10" t="s">
        <v>27129</v>
      </c>
      <c r="B5164" s="10" t="str">
        <f>"9781118834831"</f>
        <v>9781118834831</v>
      </c>
      <c r="C5164" s="10" t="str">
        <f>"9781118834916"</f>
        <v>9781118834916</v>
      </c>
      <c r="D5164" s="10" t="s">
        <v>6322</v>
      </c>
      <c r="E5164" s="10" t="s">
        <v>6323</v>
      </c>
      <c r="F5164" s="10" t="s">
        <v>6339</v>
      </c>
      <c r="G5164" s="10" t="s">
        <v>6317</v>
      </c>
      <c r="H5164" s="11">
        <v>41652</v>
      </c>
      <c r="I5164" s="10">
        <v>2013</v>
      </c>
      <c r="J5164" s="10" t="s">
        <v>6324</v>
      </c>
      <c r="K5164" s="10">
        <v>121</v>
      </c>
      <c r="L5164" s="10" t="s">
        <v>27130</v>
      </c>
      <c r="M5164" s="10">
        <v>1</v>
      </c>
      <c r="N5164" s="10" t="s">
        <v>21283</v>
      </c>
      <c r="O5164" s="10"/>
      <c r="P5164" s="10" t="s">
        <v>27131</v>
      </c>
      <c r="Q5164" s="10">
        <v>374</v>
      </c>
      <c r="R5164" s="10" t="s">
        <v>27132</v>
      </c>
      <c r="S5164" s="10" t="s">
        <v>53</v>
      </c>
      <c r="T5164" s="10" t="s">
        <v>54</v>
      </c>
    </row>
    <row r="5165" spans="1:20" ht="14.5" x14ac:dyDescent="0.35">
      <c r="A5165" s="10" t="s">
        <v>27133</v>
      </c>
      <c r="B5165" s="10" t="str">
        <f>"9781118846117"</f>
        <v>9781118846117</v>
      </c>
      <c r="C5165" s="10" t="str">
        <f>"9781118846056"</f>
        <v>9781118846056</v>
      </c>
      <c r="D5165" s="10" t="s">
        <v>6322</v>
      </c>
      <c r="E5165" s="10" t="s">
        <v>6323</v>
      </c>
      <c r="F5165" s="10" t="s">
        <v>6339</v>
      </c>
      <c r="G5165" s="10" t="s">
        <v>6317</v>
      </c>
      <c r="H5165" s="11">
        <v>41646</v>
      </c>
      <c r="I5165" s="10">
        <v>2013</v>
      </c>
      <c r="J5165" s="10" t="s">
        <v>6324</v>
      </c>
      <c r="K5165" s="10">
        <v>154</v>
      </c>
      <c r="L5165" s="10" t="s">
        <v>27134</v>
      </c>
      <c r="M5165" s="10">
        <v>1</v>
      </c>
      <c r="N5165" s="10" t="s">
        <v>23322</v>
      </c>
      <c r="O5165" s="10"/>
      <c r="P5165" s="10" t="s">
        <v>27135</v>
      </c>
      <c r="Q5165" s="10">
        <v>371.90474</v>
      </c>
      <c r="R5165" s="10" t="s">
        <v>27136</v>
      </c>
      <c r="S5165" s="10" t="s">
        <v>53</v>
      </c>
      <c r="T5165" s="10" t="s">
        <v>54</v>
      </c>
    </row>
    <row r="5166" spans="1:20" ht="14.5" x14ac:dyDescent="0.35">
      <c r="A5166" s="10" t="s">
        <v>27137</v>
      </c>
      <c r="B5166" s="10" t="str">
        <f>"9781118655443"</f>
        <v>9781118655443</v>
      </c>
      <c r="C5166" s="10" t="str">
        <f>"9781118655771"</f>
        <v>9781118655771</v>
      </c>
      <c r="D5166" s="10" t="s">
        <v>6322</v>
      </c>
      <c r="E5166" s="10" t="s">
        <v>6323</v>
      </c>
      <c r="F5166" s="10" t="s">
        <v>4423</v>
      </c>
      <c r="G5166" s="10" t="s">
        <v>6317</v>
      </c>
      <c r="H5166" s="11">
        <v>41646</v>
      </c>
      <c r="I5166" s="10">
        <v>2014</v>
      </c>
      <c r="J5166" s="10" t="s">
        <v>6324</v>
      </c>
      <c r="K5166" s="10">
        <v>390</v>
      </c>
      <c r="L5166" s="10" t="s">
        <v>27138</v>
      </c>
      <c r="M5166" s="10">
        <v>1</v>
      </c>
      <c r="N5166" s="10"/>
      <c r="O5166" s="10"/>
      <c r="P5166" s="10" t="s">
        <v>27139</v>
      </c>
      <c r="Q5166" s="10" t="s">
        <v>8376</v>
      </c>
      <c r="R5166" s="10" t="s">
        <v>12187</v>
      </c>
      <c r="S5166" s="10" t="s">
        <v>53</v>
      </c>
      <c r="T5166" s="10" t="s">
        <v>54</v>
      </c>
    </row>
    <row r="5167" spans="1:20" ht="14.5" x14ac:dyDescent="0.35">
      <c r="A5167" s="10" t="s">
        <v>27140</v>
      </c>
      <c r="B5167" s="10" t="str">
        <f>"9783486587036"</f>
        <v>9783486587036</v>
      </c>
      <c r="C5167" s="10" t="str">
        <f>"9783486763836"</f>
        <v>9783486763836</v>
      </c>
      <c r="D5167" s="10" t="s">
        <v>9995</v>
      </c>
      <c r="E5167" s="10" t="s">
        <v>2515</v>
      </c>
      <c r="F5167" s="10" t="s">
        <v>26321</v>
      </c>
      <c r="G5167" s="10" t="s">
        <v>9998</v>
      </c>
      <c r="H5167" s="11">
        <v>41605</v>
      </c>
      <c r="I5167" s="10">
        <v>2014</v>
      </c>
      <c r="J5167" s="10" t="s">
        <v>2515</v>
      </c>
      <c r="K5167" s="10">
        <v>265</v>
      </c>
      <c r="L5167" s="10" t="s">
        <v>27141</v>
      </c>
      <c r="M5167" s="10">
        <v>1</v>
      </c>
      <c r="N5167" s="10"/>
      <c r="O5167" s="10"/>
      <c r="P5167" s="10"/>
      <c r="Q5167" s="10"/>
      <c r="R5167" s="10" t="s">
        <v>27142</v>
      </c>
      <c r="S5167" s="10" t="s">
        <v>1519</v>
      </c>
      <c r="T5167" s="10" t="s">
        <v>54</v>
      </c>
    </row>
    <row r="5168" spans="1:20" ht="14.5" x14ac:dyDescent="0.35">
      <c r="A5168" s="10" t="s">
        <v>27143</v>
      </c>
      <c r="B5168" s="10" t="str">
        <f>"9783034607513"</f>
        <v>9783034607513</v>
      </c>
      <c r="C5168" s="10" t="str">
        <f>"9783038215479"</f>
        <v>9783038215479</v>
      </c>
      <c r="D5168" s="10" t="s">
        <v>9995</v>
      </c>
      <c r="E5168" s="10" t="s">
        <v>2515</v>
      </c>
      <c r="F5168" s="10" t="s">
        <v>10008</v>
      </c>
      <c r="G5168" s="10" t="s">
        <v>9998</v>
      </c>
      <c r="H5168" s="11">
        <v>42215</v>
      </c>
      <c r="I5168" s="10">
        <v>2015</v>
      </c>
      <c r="J5168" s="10" t="s">
        <v>13413</v>
      </c>
      <c r="K5168" s="10">
        <v>240</v>
      </c>
      <c r="L5168" s="10" t="s">
        <v>27144</v>
      </c>
      <c r="M5168" s="10">
        <v>1</v>
      </c>
      <c r="N5168" s="10"/>
      <c r="O5168" s="10"/>
      <c r="P5168" s="10"/>
      <c r="Q5168" s="10"/>
      <c r="R5168" s="10" t="s">
        <v>27145</v>
      </c>
      <c r="S5168" s="10" t="s">
        <v>53</v>
      </c>
      <c r="T5168" s="10" t="s">
        <v>15515</v>
      </c>
    </row>
    <row r="5169" spans="1:20" ht="14.5" x14ac:dyDescent="0.35">
      <c r="A5169" s="10" t="s">
        <v>27146</v>
      </c>
      <c r="B5169" s="10" t="str">
        <f>"9780415352055"</f>
        <v>9780415352055</v>
      </c>
      <c r="C5169" s="10" t="str">
        <f>"9781136555091"</f>
        <v>9781136555091</v>
      </c>
      <c r="D5169" s="10" t="s">
        <v>6350</v>
      </c>
      <c r="E5169" s="10" t="s">
        <v>6351</v>
      </c>
      <c r="F5169" s="10" t="s">
        <v>139</v>
      </c>
      <c r="G5169" s="10" t="s">
        <v>6352</v>
      </c>
      <c r="H5169" s="11">
        <v>38359</v>
      </c>
      <c r="I5169" s="10">
        <v>2005</v>
      </c>
      <c r="J5169" s="10" t="s">
        <v>6353</v>
      </c>
      <c r="K5169" s="10">
        <v>267</v>
      </c>
      <c r="L5169" s="10" t="s">
        <v>27147</v>
      </c>
      <c r="M5169" s="10">
        <v>1</v>
      </c>
      <c r="N5169" s="10"/>
      <c r="O5169" s="10"/>
      <c r="P5169" s="10" t="s">
        <v>27148</v>
      </c>
      <c r="Q5169" s="10" t="s">
        <v>27149</v>
      </c>
      <c r="R5169" s="10" t="s">
        <v>27150</v>
      </c>
      <c r="S5169" s="10" t="s">
        <v>53</v>
      </c>
      <c r="T5169" s="10" t="s">
        <v>54</v>
      </c>
    </row>
    <row r="5170" spans="1:20" ht="14.5" x14ac:dyDescent="0.35">
      <c r="A5170" s="10" t="s">
        <v>27151</v>
      </c>
      <c r="B5170" s="10" t="str">
        <f>"9781137025579"</f>
        <v>9781137025579</v>
      </c>
      <c r="C5170" s="10" t="str">
        <f>"9781137025586"</f>
        <v>9781137025586</v>
      </c>
      <c r="D5170" s="10" t="s">
        <v>11249</v>
      </c>
      <c r="E5170" s="10" t="s">
        <v>13407</v>
      </c>
      <c r="F5170" s="10" t="s">
        <v>139</v>
      </c>
      <c r="G5170" s="10" t="s">
        <v>6352</v>
      </c>
      <c r="H5170" s="11">
        <v>41577</v>
      </c>
      <c r="I5170" s="10">
        <v>2013</v>
      </c>
      <c r="J5170" s="10" t="s">
        <v>2400</v>
      </c>
      <c r="K5170" s="10">
        <v>200</v>
      </c>
      <c r="L5170" s="10" t="s">
        <v>27152</v>
      </c>
      <c r="M5170" s="10">
        <v>1</v>
      </c>
      <c r="N5170" s="10"/>
      <c r="O5170" s="10"/>
      <c r="P5170" s="10" t="s">
        <v>11394</v>
      </c>
      <c r="Q5170" s="10"/>
      <c r="R5170" s="10" t="s">
        <v>6415</v>
      </c>
      <c r="S5170" s="10" t="s">
        <v>53</v>
      </c>
      <c r="T5170" s="10" t="s">
        <v>54</v>
      </c>
    </row>
    <row r="5171" spans="1:20" ht="14.5" x14ac:dyDescent="0.35">
      <c r="A5171" s="10" t="s">
        <v>27153</v>
      </c>
      <c r="B5171" s="10" t="str">
        <f>"9781137372024"</f>
        <v>9781137372024</v>
      </c>
      <c r="C5171" s="10" t="str">
        <f>"9781137371973"</f>
        <v>9781137371973</v>
      </c>
      <c r="D5171" s="10" t="s">
        <v>11249</v>
      </c>
      <c r="E5171" s="10" t="s">
        <v>2400</v>
      </c>
      <c r="F5171" s="10" t="s">
        <v>70</v>
      </c>
      <c r="G5171" s="10" t="s">
        <v>6317</v>
      </c>
      <c r="H5171" s="11">
        <v>41590</v>
      </c>
      <c r="I5171" s="10">
        <v>2013</v>
      </c>
      <c r="J5171" s="10" t="s">
        <v>2400</v>
      </c>
      <c r="K5171" s="10">
        <v>242</v>
      </c>
      <c r="L5171" s="10" t="s">
        <v>27154</v>
      </c>
      <c r="M5171" s="10">
        <v>1</v>
      </c>
      <c r="N5171" s="10"/>
      <c r="O5171" s="10"/>
      <c r="P5171" s="10" t="s">
        <v>11360</v>
      </c>
      <c r="Q5171" s="10"/>
      <c r="R5171" s="10" t="s">
        <v>6765</v>
      </c>
      <c r="S5171" s="10" t="s">
        <v>53</v>
      </c>
      <c r="T5171" s="10" t="s">
        <v>54</v>
      </c>
    </row>
    <row r="5172" spans="1:20" ht="14.5" x14ac:dyDescent="0.35">
      <c r="A5172" s="10" t="s">
        <v>27155</v>
      </c>
      <c r="B5172" s="10" t="str">
        <f>"9781137373526"</f>
        <v>9781137373526</v>
      </c>
      <c r="C5172" s="10" t="str">
        <f>"9781137363787"</f>
        <v>9781137363787</v>
      </c>
      <c r="D5172" s="10" t="s">
        <v>11249</v>
      </c>
      <c r="E5172" s="10" t="s">
        <v>2400</v>
      </c>
      <c r="F5172" s="10" t="s">
        <v>70</v>
      </c>
      <c r="G5172" s="10" t="s">
        <v>6317</v>
      </c>
      <c r="H5172" s="11">
        <v>41599</v>
      </c>
      <c r="I5172" s="10">
        <v>2013</v>
      </c>
      <c r="J5172" s="10" t="s">
        <v>2400</v>
      </c>
      <c r="K5172" s="10">
        <v>193</v>
      </c>
      <c r="L5172" s="10" t="s">
        <v>27154</v>
      </c>
      <c r="M5172" s="10">
        <v>1</v>
      </c>
      <c r="N5172" s="10"/>
      <c r="O5172" s="10"/>
      <c r="P5172" s="10" t="s">
        <v>11360</v>
      </c>
      <c r="Q5172" s="10"/>
      <c r="R5172" s="10" t="s">
        <v>27156</v>
      </c>
      <c r="S5172" s="10" t="s">
        <v>53</v>
      </c>
      <c r="T5172" s="10" t="s">
        <v>54</v>
      </c>
    </row>
    <row r="5173" spans="1:20" ht="14.5" x14ac:dyDescent="0.35">
      <c r="A5173" s="10" t="s">
        <v>27157</v>
      </c>
      <c r="B5173" s="10" t="str">
        <f>"9781118838679"</f>
        <v>9781118838679</v>
      </c>
      <c r="C5173" s="10" t="str">
        <f>"9781118838662"</f>
        <v>9781118838662</v>
      </c>
      <c r="D5173" s="10" t="s">
        <v>6322</v>
      </c>
      <c r="E5173" s="10" t="s">
        <v>6323</v>
      </c>
      <c r="F5173" s="10" t="s">
        <v>13068</v>
      </c>
      <c r="G5173" s="10" t="s">
        <v>6317</v>
      </c>
      <c r="H5173" s="11">
        <v>41646</v>
      </c>
      <c r="I5173" s="10">
        <v>2013</v>
      </c>
      <c r="J5173" s="10" t="s">
        <v>6324</v>
      </c>
      <c r="K5173" s="10">
        <v>129</v>
      </c>
      <c r="L5173" s="10" t="s">
        <v>27158</v>
      </c>
      <c r="M5173" s="10">
        <v>1</v>
      </c>
      <c r="N5173" s="10" t="s">
        <v>20712</v>
      </c>
      <c r="O5173" s="10">
        <v>136</v>
      </c>
      <c r="P5173" s="10" t="s">
        <v>27159</v>
      </c>
      <c r="Q5173" s="10">
        <v>379.15800000000002</v>
      </c>
      <c r="R5173" s="10" t="s">
        <v>27160</v>
      </c>
      <c r="S5173" s="10" t="s">
        <v>53</v>
      </c>
      <c r="T5173" s="10" t="s">
        <v>54</v>
      </c>
    </row>
    <row r="5174" spans="1:20" ht="14.5" x14ac:dyDescent="0.35">
      <c r="A5174" s="10" t="s">
        <v>27161</v>
      </c>
      <c r="B5174" s="10" t="str">
        <f>"9781475807615"</f>
        <v>9781475807615</v>
      </c>
      <c r="C5174" s="10" t="str">
        <f>"9781475807622"</f>
        <v>9781475807622</v>
      </c>
      <c r="D5174" s="10" t="s">
        <v>9752</v>
      </c>
      <c r="E5174" s="10" t="s">
        <v>15192</v>
      </c>
      <c r="F5174" s="10" t="s">
        <v>9754</v>
      </c>
      <c r="G5174" s="10" t="s">
        <v>6317</v>
      </c>
      <c r="H5174" s="11">
        <v>41624</v>
      </c>
      <c r="I5174" s="10">
        <v>2013</v>
      </c>
      <c r="J5174" s="10" t="s">
        <v>15192</v>
      </c>
      <c r="K5174" s="10">
        <v>145</v>
      </c>
      <c r="L5174" s="10" t="s">
        <v>10225</v>
      </c>
      <c r="M5174" s="10">
        <v>1</v>
      </c>
      <c r="N5174" s="10"/>
      <c r="O5174" s="10"/>
      <c r="P5174" s="10" t="s">
        <v>27162</v>
      </c>
      <c r="Q5174" s="10" t="s">
        <v>27163</v>
      </c>
      <c r="R5174" s="10" t="s">
        <v>27164</v>
      </c>
      <c r="S5174" s="10" t="s">
        <v>53</v>
      </c>
      <c r="T5174" s="10" t="s">
        <v>54</v>
      </c>
    </row>
    <row r="5175" spans="1:20" ht="14.5" x14ac:dyDescent="0.35">
      <c r="A5175" s="10" t="s">
        <v>27165</v>
      </c>
      <c r="B5175" s="10" t="str">
        <f>"9789400776265"</f>
        <v>9789400776265</v>
      </c>
      <c r="C5175" s="10" t="str">
        <f>"9789400776272"</f>
        <v>9789400776272</v>
      </c>
      <c r="D5175" s="10" t="s">
        <v>11249</v>
      </c>
      <c r="E5175" s="10" t="s">
        <v>12215</v>
      </c>
      <c r="F5175" s="10" t="s">
        <v>206</v>
      </c>
      <c r="G5175" s="10" t="s">
        <v>9233</v>
      </c>
      <c r="H5175" s="11">
        <v>41626</v>
      </c>
      <c r="I5175" s="10">
        <v>2014</v>
      </c>
      <c r="J5175" s="10" t="s">
        <v>13067</v>
      </c>
      <c r="K5175" s="10">
        <v>237</v>
      </c>
      <c r="L5175" s="10" t="s">
        <v>27166</v>
      </c>
      <c r="M5175" s="10">
        <v>1</v>
      </c>
      <c r="N5175" s="10" t="s">
        <v>14279</v>
      </c>
      <c r="O5175" s="10">
        <v>27</v>
      </c>
      <c r="P5175" s="10" t="s">
        <v>11251</v>
      </c>
      <c r="Q5175" s="10">
        <v>370.11500000000001</v>
      </c>
      <c r="R5175" s="10" t="s">
        <v>27167</v>
      </c>
      <c r="S5175" s="10" t="s">
        <v>53</v>
      </c>
      <c r="T5175" s="10" t="s">
        <v>54</v>
      </c>
    </row>
    <row r="5176" spans="1:20" ht="14.5" x14ac:dyDescent="0.35">
      <c r="A5176" s="10" t="s">
        <v>27168</v>
      </c>
      <c r="B5176" s="10" t="str">
        <f>"9781461489832"</f>
        <v>9781461489832</v>
      </c>
      <c r="C5176" s="10" t="str">
        <f>"9781461489849"</f>
        <v>9781461489849</v>
      </c>
      <c r="D5176" s="10" t="s">
        <v>11249</v>
      </c>
      <c r="E5176" s="10" t="s">
        <v>13067</v>
      </c>
      <c r="F5176" s="10" t="s">
        <v>13068</v>
      </c>
      <c r="G5176" s="10" t="s">
        <v>6317</v>
      </c>
      <c r="H5176" s="11">
        <v>41579</v>
      </c>
      <c r="I5176" s="10">
        <v>2014</v>
      </c>
      <c r="J5176" s="10" t="s">
        <v>13067</v>
      </c>
      <c r="K5176" s="10">
        <v>219</v>
      </c>
      <c r="L5176" s="10" t="s">
        <v>27169</v>
      </c>
      <c r="M5176" s="10">
        <v>1</v>
      </c>
      <c r="N5176" s="10"/>
      <c r="O5176" s="10"/>
      <c r="P5176" s="10" t="s">
        <v>27170</v>
      </c>
      <c r="Q5176" s="10">
        <v>371.90890000000002</v>
      </c>
      <c r="R5176" s="10" t="s">
        <v>6577</v>
      </c>
      <c r="S5176" s="10" t="s">
        <v>53</v>
      </c>
      <c r="T5176" s="10" t="s">
        <v>54</v>
      </c>
    </row>
    <row r="5177" spans="1:20" ht="14.5" x14ac:dyDescent="0.35">
      <c r="A5177" s="10" t="s">
        <v>27171</v>
      </c>
      <c r="B5177" s="10" t="str">
        <f>"9781781908167"</f>
        <v>9781781908167</v>
      </c>
      <c r="C5177" s="10" t="str">
        <f>"9781781908174"</f>
        <v>9781781908174</v>
      </c>
      <c r="D5177" s="10" t="s">
        <v>8699</v>
      </c>
      <c r="E5177" s="10" t="s">
        <v>8699</v>
      </c>
      <c r="F5177" s="10" t="s">
        <v>559</v>
      </c>
      <c r="G5177" s="10" t="s">
        <v>6352</v>
      </c>
      <c r="H5177" s="11">
        <v>41561</v>
      </c>
      <c r="I5177" s="10">
        <v>2013</v>
      </c>
      <c r="J5177" s="10" t="s">
        <v>8699</v>
      </c>
      <c r="K5177" s="10">
        <v>288</v>
      </c>
      <c r="L5177" s="10" t="s">
        <v>27172</v>
      </c>
      <c r="M5177" s="10">
        <v>1</v>
      </c>
      <c r="N5177" s="10" t="s">
        <v>14534</v>
      </c>
      <c r="O5177" s="10">
        <v>22</v>
      </c>
      <c r="P5177" s="10" t="s">
        <v>27173</v>
      </c>
      <c r="Q5177" s="10">
        <v>370.11099999999999</v>
      </c>
      <c r="R5177" s="10" t="s">
        <v>27174</v>
      </c>
      <c r="S5177" s="10" t="s">
        <v>53</v>
      </c>
      <c r="T5177" s="10" t="s">
        <v>54</v>
      </c>
    </row>
    <row r="5178" spans="1:20" ht="14.5" x14ac:dyDescent="0.35">
      <c r="A5178" s="10" t="s">
        <v>27175</v>
      </c>
      <c r="B5178" s="10" t="str">
        <f>"9781781907047"</f>
        <v>9781781907047</v>
      </c>
      <c r="C5178" s="10" t="str">
        <f>"9781781907054"</f>
        <v>9781781907054</v>
      </c>
      <c r="D5178" s="10" t="s">
        <v>8699</v>
      </c>
      <c r="E5178" s="10" t="s">
        <v>8699</v>
      </c>
      <c r="F5178" s="10" t="s">
        <v>559</v>
      </c>
      <c r="G5178" s="10" t="s">
        <v>6352</v>
      </c>
      <c r="H5178" s="11">
        <v>41578</v>
      </c>
      <c r="I5178" s="10">
        <v>2013</v>
      </c>
      <c r="J5178" s="10" t="s">
        <v>8699</v>
      </c>
      <c r="K5178" s="10">
        <v>235</v>
      </c>
      <c r="L5178" s="10" t="s">
        <v>27176</v>
      </c>
      <c r="M5178" s="10">
        <v>1</v>
      </c>
      <c r="N5178" s="10" t="s">
        <v>27177</v>
      </c>
      <c r="O5178" s="10">
        <v>14</v>
      </c>
      <c r="P5178" s="10" t="s">
        <v>27178</v>
      </c>
      <c r="Q5178" s="10">
        <v>375.00609930000002</v>
      </c>
      <c r="R5178" s="10" t="s">
        <v>27179</v>
      </c>
      <c r="S5178" s="10" t="s">
        <v>53</v>
      </c>
      <c r="T5178" s="10" t="s">
        <v>54</v>
      </c>
    </row>
    <row r="5179" spans="1:20" ht="14.5" x14ac:dyDescent="0.35">
      <c r="A5179" s="10" t="s">
        <v>27180</v>
      </c>
      <c r="B5179" s="10" t="str">
        <f>"9781781906903"</f>
        <v>9781781906903</v>
      </c>
      <c r="C5179" s="10" t="str">
        <f>"9781781906910"</f>
        <v>9781781906910</v>
      </c>
      <c r="D5179" s="10" t="s">
        <v>8699</v>
      </c>
      <c r="E5179" s="10" t="s">
        <v>8699</v>
      </c>
      <c r="F5179" s="10" t="s">
        <v>559</v>
      </c>
      <c r="G5179" s="10" t="s">
        <v>6352</v>
      </c>
      <c r="H5179" s="11">
        <v>41612</v>
      </c>
      <c r="I5179" s="10">
        <v>2013</v>
      </c>
      <c r="J5179" s="10" t="s">
        <v>8699</v>
      </c>
      <c r="K5179" s="10">
        <v>172</v>
      </c>
      <c r="L5179" s="10" t="s">
        <v>27181</v>
      </c>
      <c r="M5179" s="10">
        <v>1</v>
      </c>
      <c r="N5179" s="10" t="s">
        <v>18360</v>
      </c>
      <c r="O5179" s="10">
        <v>8</v>
      </c>
      <c r="P5179" s="10" t="s">
        <v>27182</v>
      </c>
      <c r="Q5179" s="10">
        <v>371.334678</v>
      </c>
      <c r="R5179" s="10" t="s">
        <v>27183</v>
      </c>
      <c r="S5179" s="10" t="s">
        <v>53</v>
      </c>
      <c r="T5179" s="10" t="s">
        <v>54</v>
      </c>
    </row>
    <row r="5180" spans="1:20" ht="14.5" x14ac:dyDescent="0.35">
      <c r="A5180" s="10" t="s">
        <v>27184</v>
      </c>
      <c r="B5180" s="10" t="str">
        <f>"9781936137350"</f>
        <v>9781936137350</v>
      </c>
      <c r="C5180" s="10" t="str">
        <f>"9781938946684"</f>
        <v>9781938946684</v>
      </c>
      <c r="D5180" s="10" t="s">
        <v>3386</v>
      </c>
      <c r="E5180" s="10" t="s">
        <v>3386</v>
      </c>
      <c r="F5180" s="10" t="s">
        <v>9597</v>
      </c>
      <c r="G5180" s="10" t="s">
        <v>6317</v>
      </c>
      <c r="H5180" s="11">
        <v>41593</v>
      </c>
      <c r="I5180" s="10">
        <v>2013</v>
      </c>
      <c r="J5180" s="10" t="s">
        <v>3386</v>
      </c>
      <c r="K5180" s="10">
        <v>234</v>
      </c>
      <c r="L5180" s="10" t="s">
        <v>27185</v>
      </c>
      <c r="M5180" s="10">
        <v>1</v>
      </c>
      <c r="N5180" s="10"/>
      <c r="O5180" s="10"/>
      <c r="P5180" s="10" t="s">
        <v>27186</v>
      </c>
      <c r="Q5180" s="10" t="s">
        <v>9606</v>
      </c>
      <c r="R5180" s="10" t="s">
        <v>27187</v>
      </c>
      <c r="S5180" s="10" t="s">
        <v>53</v>
      </c>
      <c r="T5180" s="10" t="s">
        <v>7193</v>
      </c>
    </row>
    <row r="5181" spans="1:20" ht="14.5" x14ac:dyDescent="0.35">
      <c r="A5181" s="10" t="s">
        <v>27188</v>
      </c>
      <c r="B5181" s="10" t="str">
        <f>"9783955490508"</f>
        <v>9783955490508</v>
      </c>
      <c r="C5181" s="10" t="str">
        <f>"9783955495503"</f>
        <v>9783955495503</v>
      </c>
      <c r="D5181" s="10" t="s">
        <v>27189</v>
      </c>
      <c r="E5181" s="10" t="s">
        <v>27190</v>
      </c>
      <c r="F5181" s="10" t="s">
        <v>2841</v>
      </c>
      <c r="G5181" s="10" t="s">
        <v>9998</v>
      </c>
      <c r="H5181" s="11">
        <v>41275</v>
      </c>
      <c r="I5181" s="10">
        <v>2013</v>
      </c>
      <c r="J5181" s="10" t="s">
        <v>27191</v>
      </c>
      <c r="K5181" s="10">
        <v>93</v>
      </c>
      <c r="L5181" s="10" t="s">
        <v>27192</v>
      </c>
      <c r="M5181" s="10">
        <v>1</v>
      </c>
      <c r="N5181" s="10"/>
      <c r="O5181" s="10"/>
      <c r="P5181" s="10" t="s">
        <v>27193</v>
      </c>
      <c r="Q5181" s="10">
        <v>427.00900000000001</v>
      </c>
      <c r="R5181" s="10" t="s">
        <v>27194</v>
      </c>
      <c r="S5181" s="10" t="s">
        <v>53</v>
      </c>
      <c r="T5181" s="10" t="s">
        <v>6616</v>
      </c>
    </row>
    <row r="5182" spans="1:20" ht="14.5" x14ac:dyDescent="0.35">
      <c r="A5182" s="10" t="s">
        <v>27195</v>
      </c>
      <c r="B5182" s="10" t="str">
        <f>"9780815338703"</f>
        <v>9780815338703</v>
      </c>
      <c r="C5182" s="10" t="str">
        <f>"9781317734000"</f>
        <v>9781317734000</v>
      </c>
      <c r="D5182" s="10" t="s">
        <v>6350</v>
      </c>
      <c r="E5182" s="10" t="s">
        <v>6351</v>
      </c>
      <c r="F5182" s="10" t="s">
        <v>70</v>
      </c>
      <c r="G5182" s="10" t="s">
        <v>6352</v>
      </c>
      <c r="H5182" s="11">
        <v>37012</v>
      </c>
      <c r="I5182" s="10">
        <v>2001</v>
      </c>
      <c r="J5182" s="10" t="s">
        <v>6353</v>
      </c>
      <c r="K5182" s="10">
        <v>278</v>
      </c>
      <c r="L5182" s="10" t="s">
        <v>27196</v>
      </c>
      <c r="M5182" s="10">
        <v>1</v>
      </c>
      <c r="N5182" s="10" t="s">
        <v>27197</v>
      </c>
      <c r="O5182" s="10"/>
      <c r="P5182" s="10" t="s">
        <v>27198</v>
      </c>
      <c r="Q5182" s="10">
        <v>121</v>
      </c>
      <c r="R5182" s="10" t="s">
        <v>27199</v>
      </c>
      <c r="S5182" s="10" t="s">
        <v>53</v>
      </c>
      <c r="T5182" s="10" t="s">
        <v>12015</v>
      </c>
    </row>
    <row r="5183" spans="1:20" ht="14.5" x14ac:dyDescent="0.35">
      <c r="A5183" s="10" t="s">
        <v>27200</v>
      </c>
      <c r="B5183" s="10" t="str">
        <f>"9781118720424"</f>
        <v>9781118720424</v>
      </c>
      <c r="C5183" s="10" t="str">
        <f>"9781118720516"</f>
        <v>9781118720516</v>
      </c>
      <c r="D5183" s="10" t="s">
        <v>6322</v>
      </c>
      <c r="E5183" s="10" t="s">
        <v>6323</v>
      </c>
      <c r="F5183" s="10" t="s">
        <v>6339</v>
      </c>
      <c r="G5183" s="10" t="s">
        <v>6317</v>
      </c>
      <c r="H5183" s="11">
        <v>41652</v>
      </c>
      <c r="I5183" s="10">
        <v>2014</v>
      </c>
      <c r="J5183" s="10" t="s">
        <v>6324</v>
      </c>
      <c r="K5183" s="10">
        <v>450</v>
      </c>
      <c r="L5183" s="10" t="s">
        <v>27201</v>
      </c>
      <c r="M5183" s="10">
        <v>3</v>
      </c>
      <c r="N5183" s="10"/>
      <c r="O5183" s="10"/>
      <c r="P5183" s="10" t="s">
        <v>27202</v>
      </c>
      <c r="Q5183" s="10">
        <v>378</v>
      </c>
      <c r="R5183" s="10" t="s">
        <v>27203</v>
      </c>
      <c r="S5183" s="10" t="s">
        <v>53</v>
      </c>
      <c r="T5183" s="10" t="s">
        <v>54</v>
      </c>
    </row>
    <row r="5184" spans="1:20" ht="14.5" x14ac:dyDescent="0.35">
      <c r="A5184" s="10" t="s">
        <v>27204</v>
      </c>
      <c r="B5184" s="10" t="str">
        <f>"9781443847193"</f>
        <v>9781443847193</v>
      </c>
      <c r="C5184" s="10" t="str">
        <f>"9781443854320"</f>
        <v>9781443854320</v>
      </c>
      <c r="D5184" s="10" t="s">
        <v>23635</v>
      </c>
      <c r="E5184" s="10" t="s">
        <v>23635</v>
      </c>
      <c r="F5184" s="10" t="s">
        <v>23636</v>
      </c>
      <c r="G5184" s="10" t="s">
        <v>6352</v>
      </c>
      <c r="H5184" s="11">
        <v>41557</v>
      </c>
      <c r="I5184" s="10">
        <v>2013</v>
      </c>
      <c r="J5184" s="10" t="s">
        <v>23635</v>
      </c>
      <c r="K5184" s="10">
        <v>127</v>
      </c>
      <c r="L5184" s="10" t="s">
        <v>27205</v>
      </c>
      <c r="M5184" s="10">
        <v>1</v>
      </c>
      <c r="N5184" s="10"/>
      <c r="O5184" s="10"/>
      <c r="P5184" s="10" t="s">
        <v>27206</v>
      </c>
      <c r="Q5184" s="10">
        <v>371.9</v>
      </c>
      <c r="R5184" s="10" t="s">
        <v>27207</v>
      </c>
      <c r="S5184" s="10" t="s">
        <v>53</v>
      </c>
      <c r="T5184" s="10" t="s">
        <v>54</v>
      </c>
    </row>
    <row r="5185" spans="1:20" ht="14.5" x14ac:dyDescent="0.35">
      <c r="A5185" s="10" t="s">
        <v>27208</v>
      </c>
      <c r="B5185" s="10" t="str">
        <f>"9781443851688"</f>
        <v>9781443851688</v>
      </c>
      <c r="C5185" s="10" t="str">
        <f>"9781443854870"</f>
        <v>9781443854870</v>
      </c>
      <c r="D5185" s="10" t="s">
        <v>23635</v>
      </c>
      <c r="E5185" s="10" t="s">
        <v>23635</v>
      </c>
      <c r="F5185" s="10" t="s">
        <v>23636</v>
      </c>
      <c r="G5185" s="10" t="s">
        <v>6352</v>
      </c>
      <c r="H5185" s="11">
        <v>41603</v>
      </c>
      <c r="I5185" s="10">
        <v>2013</v>
      </c>
      <c r="J5185" s="10" t="s">
        <v>23635</v>
      </c>
      <c r="K5185" s="10">
        <v>247</v>
      </c>
      <c r="L5185" s="10" t="s">
        <v>27209</v>
      </c>
      <c r="M5185" s="10">
        <v>1</v>
      </c>
      <c r="N5185" s="10"/>
      <c r="O5185" s="10"/>
      <c r="P5185" s="10" t="s">
        <v>27210</v>
      </c>
      <c r="Q5185" s="10">
        <v>371.02095100000003</v>
      </c>
      <c r="R5185" s="10" t="s">
        <v>27211</v>
      </c>
      <c r="S5185" s="10" t="s">
        <v>53</v>
      </c>
      <c r="T5185" s="10" t="s">
        <v>54</v>
      </c>
    </row>
    <row r="5186" spans="1:20" ht="14.5" x14ac:dyDescent="0.35">
      <c r="A5186" s="10" t="s">
        <v>27212</v>
      </c>
      <c r="B5186" s="10" t="str">
        <f>"9781443852388"</f>
        <v>9781443852388</v>
      </c>
      <c r="C5186" s="10" t="str">
        <f>"9781443854887"</f>
        <v>9781443854887</v>
      </c>
      <c r="D5186" s="10" t="s">
        <v>23635</v>
      </c>
      <c r="E5186" s="10" t="s">
        <v>23635</v>
      </c>
      <c r="F5186" s="10" t="s">
        <v>23636</v>
      </c>
      <c r="G5186" s="10" t="s">
        <v>6352</v>
      </c>
      <c r="H5186" s="11">
        <v>41606</v>
      </c>
      <c r="I5186" s="10">
        <v>2013</v>
      </c>
      <c r="J5186" s="10" t="s">
        <v>23635</v>
      </c>
      <c r="K5186" s="10">
        <v>147</v>
      </c>
      <c r="L5186" s="10" t="s">
        <v>27213</v>
      </c>
      <c r="M5186" s="10">
        <v>1</v>
      </c>
      <c r="N5186" s="10"/>
      <c r="O5186" s="10"/>
      <c r="P5186" s="10" t="s">
        <v>27214</v>
      </c>
      <c r="Q5186" s="10">
        <v>378.15499999999997</v>
      </c>
      <c r="R5186" s="10" t="s">
        <v>27215</v>
      </c>
      <c r="S5186" s="10" t="s">
        <v>53</v>
      </c>
      <c r="T5186" s="10" t="s">
        <v>54</v>
      </c>
    </row>
    <row r="5187" spans="1:20" ht="14.5" x14ac:dyDescent="0.35">
      <c r="A5187" s="10" t="s">
        <v>27216</v>
      </c>
      <c r="B5187" s="10" t="str">
        <f>"9781443852937"</f>
        <v>9781443852937</v>
      </c>
      <c r="C5187" s="10" t="str">
        <f>"9781443855662"</f>
        <v>9781443855662</v>
      </c>
      <c r="D5187" s="10" t="s">
        <v>23635</v>
      </c>
      <c r="E5187" s="10" t="s">
        <v>23635</v>
      </c>
      <c r="F5187" s="10" t="s">
        <v>23636</v>
      </c>
      <c r="G5187" s="10" t="s">
        <v>6352</v>
      </c>
      <c r="H5187" s="11">
        <v>41606</v>
      </c>
      <c r="I5187" s="10">
        <v>2014</v>
      </c>
      <c r="J5187" s="10" t="s">
        <v>23635</v>
      </c>
      <c r="K5187" s="10">
        <v>184</v>
      </c>
      <c r="L5187" s="10" t="s">
        <v>27217</v>
      </c>
      <c r="M5187" s="10">
        <v>1</v>
      </c>
      <c r="N5187" s="10"/>
      <c r="O5187" s="10"/>
      <c r="P5187" s="10" t="s">
        <v>27218</v>
      </c>
      <c r="Q5187" s="10">
        <v>372.6</v>
      </c>
      <c r="R5187" s="10" t="s">
        <v>27219</v>
      </c>
      <c r="S5187" s="10" t="s">
        <v>53</v>
      </c>
      <c r="T5187" s="10" t="s">
        <v>54</v>
      </c>
    </row>
    <row r="5188" spans="1:20" ht="14.5" x14ac:dyDescent="0.35">
      <c r="A5188" s="10" t="s">
        <v>27220</v>
      </c>
      <c r="B5188" s="10" t="str">
        <f>"9780335246847"</f>
        <v>9780335246847</v>
      </c>
      <c r="C5188" s="10" t="str">
        <f>"9780335246854"</f>
        <v>9780335246854</v>
      </c>
      <c r="D5188" s="10" t="s">
        <v>10342</v>
      </c>
      <c r="E5188" s="10" t="s">
        <v>10343</v>
      </c>
      <c r="F5188" s="10" t="s">
        <v>10344</v>
      </c>
      <c r="G5188" s="10" t="s">
        <v>6352</v>
      </c>
      <c r="H5188" s="11">
        <v>41655</v>
      </c>
      <c r="I5188" s="10">
        <v>2013</v>
      </c>
      <c r="J5188" s="10" t="s">
        <v>10345</v>
      </c>
      <c r="K5188" s="10">
        <v>201</v>
      </c>
      <c r="L5188" s="10" t="s">
        <v>27221</v>
      </c>
      <c r="M5188" s="10">
        <v>1</v>
      </c>
      <c r="N5188" s="10" t="s">
        <v>10347</v>
      </c>
      <c r="O5188" s="10"/>
      <c r="P5188" s="10" t="s">
        <v>27222</v>
      </c>
      <c r="Q5188" s="10"/>
      <c r="R5188" s="10" t="s">
        <v>27223</v>
      </c>
      <c r="S5188" s="10" t="s">
        <v>53</v>
      </c>
      <c r="T5188" s="10" t="s">
        <v>54</v>
      </c>
    </row>
    <row r="5189" spans="1:20" ht="14.5" x14ac:dyDescent="0.35">
      <c r="A5189" s="10" t="s">
        <v>27224</v>
      </c>
      <c r="B5189" s="10" t="str">
        <f>"9780335246908"</f>
        <v>9780335246908</v>
      </c>
      <c r="C5189" s="10" t="str">
        <f>"9780335246915"</f>
        <v>9780335246915</v>
      </c>
      <c r="D5189" s="10" t="s">
        <v>10342</v>
      </c>
      <c r="E5189" s="10" t="s">
        <v>10343</v>
      </c>
      <c r="F5189" s="10" t="s">
        <v>10344</v>
      </c>
      <c r="G5189" s="10" t="s">
        <v>6352</v>
      </c>
      <c r="H5189" s="11">
        <v>41655</v>
      </c>
      <c r="I5189" s="10">
        <v>2013</v>
      </c>
      <c r="J5189" s="10" t="s">
        <v>10345</v>
      </c>
      <c r="K5189" s="10">
        <v>210</v>
      </c>
      <c r="L5189" s="10" t="s">
        <v>18593</v>
      </c>
      <c r="M5189" s="10">
        <v>1</v>
      </c>
      <c r="N5189" s="10" t="s">
        <v>10347</v>
      </c>
      <c r="O5189" s="10"/>
      <c r="P5189" s="10" t="s">
        <v>27225</v>
      </c>
      <c r="Q5189" s="10">
        <v>371.30279999999999</v>
      </c>
      <c r="R5189" s="10" t="s">
        <v>27226</v>
      </c>
      <c r="S5189" s="10" t="s">
        <v>53</v>
      </c>
      <c r="T5189" s="10" t="s">
        <v>54</v>
      </c>
    </row>
    <row r="5190" spans="1:20" ht="14.5" x14ac:dyDescent="0.35">
      <c r="A5190" s="10" t="s">
        <v>27227</v>
      </c>
      <c r="B5190" s="10" t="str">
        <f>"9780335247615"</f>
        <v>9780335247615</v>
      </c>
      <c r="C5190" s="10" t="str">
        <f>"9780335247622"</f>
        <v>9780335247622</v>
      </c>
      <c r="D5190" s="10" t="s">
        <v>10342</v>
      </c>
      <c r="E5190" s="10" t="s">
        <v>10343</v>
      </c>
      <c r="F5190" s="10" t="s">
        <v>10344</v>
      </c>
      <c r="G5190" s="10" t="s">
        <v>6352</v>
      </c>
      <c r="H5190" s="11">
        <v>41655</v>
      </c>
      <c r="I5190" s="10">
        <v>2013</v>
      </c>
      <c r="J5190" s="10" t="s">
        <v>10345</v>
      </c>
      <c r="K5190" s="10">
        <v>226</v>
      </c>
      <c r="L5190" s="10" t="s">
        <v>27228</v>
      </c>
      <c r="M5190" s="10">
        <v>1</v>
      </c>
      <c r="N5190" s="10" t="s">
        <v>10347</v>
      </c>
      <c r="O5190" s="10"/>
      <c r="P5190" s="10" t="s">
        <v>27229</v>
      </c>
      <c r="Q5190" s="10">
        <v>372.21</v>
      </c>
      <c r="R5190" s="10"/>
      <c r="S5190" s="10" t="s">
        <v>53</v>
      </c>
      <c r="T5190" s="10" t="s">
        <v>54</v>
      </c>
    </row>
    <row r="5191" spans="1:20" ht="14.5" x14ac:dyDescent="0.35">
      <c r="A5191" s="10" t="s">
        <v>27230</v>
      </c>
      <c r="B5191" s="10" t="str">
        <f>"9780821386958"</f>
        <v>9780821386958</v>
      </c>
      <c r="C5191" s="10" t="str">
        <f>"9780821386941"</f>
        <v>9780821386941</v>
      </c>
      <c r="D5191" s="10" t="s">
        <v>14731</v>
      </c>
      <c r="E5191" s="10" t="s">
        <v>14732</v>
      </c>
      <c r="F5191" s="10" t="s">
        <v>14733</v>
      </c>
      <c r="G5191" s="10" t="s">
        <v>6317</v>
      </c>
      <c r="H5191" s="11">
        <v>41090</v>
      </c>
      <c r="I5191" s="10">
        <v>2012</v>
      </c>
      <c r="J5191" s="10" t="s">
        <v>14732</v>
      </c>
      <c r="K5191" s="10">
        <v>162</v>
      </c>
      <c r="L5191" s="10" t="s">
        <v>27231</v>
      </c>
      <c r="M5191" s="10">
        <v>1</v>
      </c>
      <c r="N5191" s="10" t="s">
        <v>20668</v>
      </c>
      <c r="O5191" s="10"/>
      <c r="P5191" s="10" t="s">
        <v>27232</v>
      </c>
      <c r="Q5191" s="10">
        <v>147</v>
      </c>
      <c r="R5191" s="10" t="s">
        <v>27233</v>
      </c>
      <c r="S5191" s="10" t="s">
        <v>53</v>
      </c>
      <c r="T5191" s="10" t="s">
        <v>6521</v>
      </c>
    </row>
    <row r="5192" spans="1:20" ht="14.5" x14ac:dyDescent="0.35">
      <c r="A5192" s="10" t="s">
        <v>27234</v>
      </c>
      <c r="B5192" s="10" t="str">
        <f>"9780821398296"</f>
        <v>9780821398296</v>
      </c>
      <c r="C5192" s="10" t="str">
        <f>"9780821399606"</f>
        <v>9780821399606</v>
      </c>
      <c r="D5192" s="10" t="s">
        <v>14731</v>
      </c>
      <c r="E5192" s="10" t="s">
        <v>14732</v>
      </c>
      <c r="F5192" s="10" t="s">
        <v>14733</v>
      </c>
      <c r="G5192" s="10" t="s">
        <v>6317</v>
      </c>
      <c r="H5192" s="11">
        <v>41275</v>
      </c>
      <c r="I5192" s="10">
        <v>2013</v>
      </c>
      <c r="J5192" s="10" t="s">
        <v>14732</v>
      </c>
      <c r="K5192" s="10">
        <v>240</v>
      </c>
      <c r="L5192" s="10" t="s">
        <v>27235</v>
      </c>
      <c r="M5192" s="10">
        <v>1</v>
      </c>
      <c r="N5192" s="10" t="s">
        <v>27236</v>
      </c>
      <c r="O5192" s="10"/>
      <c r="P5192" s="10" t="s">
        <v>27237</v>
      </c>
      <c r="Q5192" s="10">
        <v>379.59800000000001</v>
      </c>
      <c r="R5192" s="10" t="s">
        <v>27238</v>
      </c>
      <c r="S5192" s="10" t="s">
        <v>53</v>
      </c>
      <c r="T5192" s="10" t="s">
        <v>54</v>
      </c>
    </row>
    <row r="5193" spans="1:20" ht="14.5" x14ac:dyDescent="0.35">
      <c r="A5193" s="10" t="s">
        <v>27239</v>
      </c>
      <c r="B5193" s="10" t="str">
        <f>"9780415822077"</f>
        <v>9780415822077</v>
      </c>
      <c r="C5193" s="10" t="str">
        <f>"9781317821274"</f>
        <v>9781317821274</v>
      </c>
      <c r="D5193" s="10" t="s">
        <v>6350</v>
      </c>
      <c r="E5193" s="10" t="s">
        <v>6351</v>
      </c>
      <c r="F5193" s="10" t="s">
        <v>139</v>
      </c>
      <c r="G5193" s="10" t="s">
        <v>6352</v>
      </c>
      <c r="H5193" s="11">
        <v>41661</v>
      </c>
      <c r="I5193" s="10">
        <v>2014</v>
      </c>
      <c r="J5193" s="10" t="s">
        <v>6353</v>
      </c>
      <c r="K5193" s="10">
        <v>217</v>
      </c>
      <c r="L5193" s="10" t="s">
        <v>27240</v>
      </c>
      <c r="M5193" s="10">
        <v>1</v>
      </c>
      <c r="N5193" s="10" t="s">
        <v>6954</v>
      </c>
      <c r="O5193" s="10"/>
      <c r="P5193" s="10" t="s">
        <v>27241</v>
      </c>
      <c r="Q5193" s="10" t="s">
        <v>7299</v>
      </c>
      <c r="R5193" s="10" t="s">
        <v>27242</v>
      </c>
      <c r="S5193" s="10" t="s">
        <v>53</v>
      </c>
      <c r="T5193" s="10" t="s">
        <v>54</v>
      </c>
    </row>
    <row r="5194" spans="1:20" ht="14.5" x14ac:dyDescent="0.35">
      <c r="A5194" s="10" t="s">
        <v>27243</v>
      </c>
      <c r="B5194" s="10" t="str">
        <f>"9780803948181"</f>
        <v>9780803948181</v>
      </c>
      <c r="C5194" s="10" t="str">
        <f>"9781452253879"</f>
        <v>9781452253879</v>
      </c>
      <c r="D5194" s="10" t="s">
        <v>22210</v>
      </c>
      <c r="E5194" s="10" t="s">
        <v>22214</v>
      </c>
      <c r="F5194" s="10" t="s">
        <v>333</v>
      </c>
      <c r="G5194" s="10" t="s">
        <v>6317</v>
      </c>
      <c r="H5194" s="11">
        <v>34191</v>
      </c>
      <c r="I5194" s="10">
        <v>1993</v>
      </c>
      <c r="J5194" s="10" t="s">
        <v>22214</v>
      </c>
      <c r="K5194" s="10">
        <v>122</v>
      </c>
      <c r="L5194" s="10" t="s">
        <v>20176</v>
      </c>
      <c r="M5194" s="10">
        <v>1</v>
      </c>
      <c r="N5194" s="10" t="s">
        <v>22479</v>
      </c>
      <c r="O5194" s="10"/>
      <c r="P5194" s="10" t="s">
        <v>27244</v>
      </c>
      <c r="Q5194" s="10" t="s">
        <v>27245</v>
      </c>
      <c r="R5194" s="10"/>
      <c r="S5194" s="10" t="s">
        <v>53</v>
      </c>
      <c r="T5194" s="10" t="s">
        <v>27246</v>
      </c>
    </row>
    <row r="5195" spans="1:20" ht="14.5" x14ac:dyDescent="0.35">
      <c r="A5195" s="10" t="s">
        <v>27247</v>
      </c>
      <c r="B5195" s="10" t="str">
        <f>"9780803949706"</f>
        <v>9780803949706</v>
      </c>
      <c r="C5195" s="10" t="str">
        <f>"9781452253886"</f>
        <v>9781452253886</v>
      </c>
      <c r="D5195" s="10" t="s">
        <v>22210</v>
      </c>
      <c r="E5195" s="10" t="s">
        <v>22214</v>
      </c>
      <c r="F5195" s="10" t="s">
        <v>333</v>
      </c>
      <c r="G5195" s="10" t="s">
        <v>6317</v>
      </c>
      <c r="H5195" s="11">
        <v>34205</v>
      </c>
      <c r="I5195" s="10">
        <v>1993</v>
      </c>
      <c r="J5195" s="10" t="s">
        <v>22214</v>
      </c>
      <c r="K5195" s="10">
        <v>98</v>
      </c>
      <c r="L5195" s="10" t="s">
        <v>27248</v>
      </c>
      <c r="M5195" s="10">
        <v>1</v>
      </c>
      <c r="N5195" s="10" t="s">
        <v>22479</v>
      </c>
      <c r="O5195" s="10"/>
      <c r="P5195" s="10" t="s">
        <v>27249</v>
      </c>
      <c r="Q5195" s="10">
        <v>378.12018999999998</v>
      </c>
      <c r="R5195" s="10"/>
      <c r="S5195" s="10" t="s">
        <v>53</v>
      </c>
      <c r="T5195" s="10" t="s">
        <v>54</v>
      </c>
    </row>
    <row r="5196" spans="1:20" ht="14.5" x14ac:dyDescent="0.35">
      <c r="A5196" s="10" t="s">
        <v>27250</v>
      </c>
      <c r="B5196" s="10" t="str">
        <f>"9780761903901"</f>
        <v>9780761903901</v>
      </c>
      <c r="C5196" s="10" t="str">
        <f>"9781452249513"</f>
        <v>9781452249513</v>
      </c>
      <c r="D5196" s="10" t="s">
        <v>22210</v>
      </c>
      <c r="E5196" s="10" t="s">
        <v>22214</v>
      </c>
      <c r="F5196" s="10" t="s">
        <v>333</v>
      </c>
      <c r="G5196" s="10" t="s">
        <v>6317</v>
      </c>
      <c r="H5196" s="11">
        <v>35633</v>
      </c>
      <c r="I5196" s="10">
        <v>1997</v>
      </c>
      <c r="J5196" s="10" t="s">
        <v>22214</v>
      </c>
      <c r="K5196" s="10">
        <v>169</v>
      </c>
      <c r="L5196" s="10" t="s">
        <v>27251</v>
      </c>
      <c r="M5196" s="10">
        <v>1</v>
      </c>
      <c r="N5196" s="10" t="s">
        <v>27252</v>
      </c>
      <c r="O5196" s="10"/>
      <c r="P5196" s="10" t="s">
        <v>27253</v>
      </c>
      <c r="Q5196" s="10"/>
      <c r="R5196" s="10"/>
      <c r="S5196" s="10" t="s">
        <v>53</v>
      </c>
      <c r="T5196" s="10" t="s">
        <v>54</v>
      </c>
    </row>
    <row r="5197" spans="1:20" ht="14.5" x14ac:dyDescent="0.35">
      <c r="A5197" s="10" t="s">
        <v>27254</v>
      </c>
      <c r="B5197" s="10" t="str">
        <f>"9780803954694"</f>
        <v>9780803954694</v>
      </c>
      <c r="C5197" s="10" t="str">
        <f>"9781452249681"</f>
        <v>9781452249681</v>
      </c>
      <c r="D5197" s="10" t="s">
        <v>22210</v>
      </c>
      <c r="E5197" s="10" t="s">
        <v>22214</v>
      </c>
      <c r="F5197" s="10" t="s">
        <v>333</v>
      </c>
      <c r="G5197" s="10" t="s">
        <v>6317</v>
      </c>
      <c r="H5197" s="11">
        <v>35534</v>
      </c>
      <c r="I5197" s="10">
        <v>1997</v>
      </c>
      <c r="J5197" s="10" t="s">
        <v>22214</v>
      </c>
      <c r="K5197" s="10">
        <v>415</v>
      </c>
      <c r="L5197" s="10" t="s">
        <v>27255</v>
      </c>
      <c r="M5197" s="10">
        <v>1</v>
      </c>
      <c r="N5197" s="10"/>
      <c r="O5197" s="10"/>
      <c r="P5197" s="10" t="s">
        <v>27256</v>
      </c>
      <c r="Q5197" s="10"/>
      <c r="R5197" s="10"/>
      <c r="S5197" s="10" t="s">
        <v>53</v>
      </c>
      <c r="T5197" s="10" t="s">
        <v>6660</v>
      </c>
    </row>
    <row r="5198" spans="1:20" ht="14.5" x14ac:dyDescent="0.35">
      <c r="A5198" s="10" t="s">
        <v>27257</v>
      </c>
      <c r="B5198" s="10" t="str">
        <f>"9780761904397"</f>
        <v>9780761904397</v>
      </c>
      <c r="C5198" s="10" t="str">
        <f>"9781452249766"</f>
        <v>9781452249766</v>
      </c>
      <c r="D5198" s="10" t="s">
        <v>22210</v>
      </c>
      <c r="E5198" s="10" t="s">
        <v>22214</v>
      </c>
      <c r="F5198" s="10" t="s">
        <v>333</v>
      </c>
      <c r="G5198" s="10" t="s">
        <v>6317</v>
      </c>
      <c r="H5198" s="11">
        <v>35593</v>
      </c>
      <c r="I5198" s="10">
        <v>1997</v>
      </c>
      <c r="J5198" s="10" t="s">
        <v>22214</v>
      </c>
      <c r="K5198" s="10">
        <v>157</v>
      </c>
      <c r="L5198" s="10" t="s">
        <v>27258</v>
      </c>
      <c r="M5198" s="10">
        <v>1</v>
      </c>
      <c r="N5198" s="10" t="s">
        <v>27252</v>
      </c>
      <c r="O5198" s="10"/>
      <c r="P5198" s="10" t="s">
        <v>27259</v>
      </c>
      <c r="Q5198" s="10" t="s">
        <v>27260</v>
      </c>
      <c r="R5198" s="10"/>
      <c r="S5198" s="10" t="s">
        <v>53</v>
      </c>
      <c r="T5198" s="10" t="s">
        <v>54</v>
      </c>
    </row>
    <row r="5199" spans="1:20" ht="14.5" x14ac:dyDescent="0.35">
      <c r="A5199" s="10" t="s">
        <v>27261</v>
      </c>
      <c r="B5199" s="10" t="str">
        <f>"9780761908364"</f>
        <v>9780761908364</v>
      </c>
      <c r="C5199" s="10" t="str">
        <f>"9781452249698"</f>
        <v>9781452249698</v>
      </c>
      <c r="D5199" s="10" t="s">
        <v>22210</v>
      </c>
      <c r="E5199" s="10" t="s">
        <v>22214</v>
      </c>
      <c r="F5199" s="10" t="s">
        <v>333</v>
      </c>
      <c r="G5199" s="10" t="s">
        <v>6317</v>
      </c>
      <c r="H5199" s="11">
        <v>35509</v>
      </c>
      <c r="I5199" s="10">
        <v>1997</v>
      </c>
      <c r="J5199" s="10" t="s">
        <v>22214</v>
      </c>
      <c r="K5199" s="10">
        <v>237</v>
      </c>
      <c r="L5199" s="10" t="s">
        <v>27262</v>
      </c>
      <c r="M5199" s="10">
        <v>1</v>
      </c>
      <c r="N5199" s="10"/>
      <c r="O5199" s="10"/>
      <c r="P5199" s="10" t="s">
        <v>27263</v>
      </c>
      <c r="Q5199" s="10">
        <v>781.66</v>
      </c>
      <c r="R5199" s="10"/>
      <c r="S5199" s="10" t="s">
        <v>53</v>
      </c>
      <c r="T5199" s="10" t="s">
        <v>6384</v>
      </c>
    </row>
    <row r="5200" spans="1:20" ht="14.5" x14ac:dyDescent="0.35">
      <c r="A5200" s="10" t="s">
        <v>27264</v>
      </c>
      <c r="B5200" s="10" t="str">
        <f>"9781610486019"</f>
        <v>9781610486019</v>
      </c>
      <c r="C5200" s="10" t="str">
        <f>"9781610486026"</f>
        <v>9781610486026</v>
      </c>
      <c r="D5200" s="10" t="s">
        <v>9752</v>
      </c>
      <c r="E5200" s="10" t="s">
        <v>15192</v>
      </c>
      <c r="F5200" s="10" t="s">
        <v>9754</v>
      </c>
      <c r="G5200" s="10" t="s">
        <v>6317</v>
      </c>
      <c r="H5200" s="11">
        <v>41163</v>
      </c>
      <c r="I5200" s="10">
        <v>2012</v>
      </c>
      <c r="J5200" s="10" t="s">
        <v>15192</v>
      </c>
      <c r="K5200" s="10">
        <v>102</v>
      </c>
      <c r="L5200" s="10" t="s">
        <v>27265</v>
      </c>
      <c r="M5200" s="10">
        <v>1</v>
      </c>
      <c r="N5200" s="10"/>
      <c r="O5200" s="10"/>
      <c r="P5200" s="10" t="s">
        <v>27266</v>
      </c>
      <c r="Q5200" s="10" t="s">
        <v>8460</v>
      </c>
      <c r="R5200" s="10" t="s">
        <v>20345</v>
      </c>
      <c r="S5200" s="10" t="s">
        <v>53</v>
      </c>
      <c r="T5200" s="10" t="s">
        <v>54</v>
      </c>
    </row>
    <row r="5201" spans="1:20" ht="14.5" x14ac:dyDescent="0.35">
      <c r="A5201" s="10" t="s">
        <v>27267</v>
      </c>
      <c r="B5201" s="10" t="str">
        <f>"9780977129454"</f>
        <v>9780977129454</v>
      </c>
      <c r="C5201" s="10" t="str">
        <f>"9781936749195"</f>
        <v>9781936749195</v>
      </c>
      <c r="D5201" s="10" t="s">
        <v>27268</v>
      </c>
      <c r="E5201" s="10" t="s">
        <v>27269</v>
      </c>
      <c r="F5201" s="10" t="s">
        <v>27270</v>
      </c>
      <c r="G5201" s="10" t="s">
        <v>6317</v>
      </c>
      <c r="H5201" s="11">
        <v>38918</v>
      </c>
      <c r="I5201" s="10">
        <v>2007</v>
      </c>
      <c r="J5201" s="10" t="s">
        <v>27269</v>
      </c>
      <c r="K5201" s="10">
        <v>130</v>
      </c>
      <c r="L5201" s="10" t="s">
        <v>27271</v>
      </c>
      <c r="M5201" s="10">
        <v>1</v>
      </c>
      <c r="N5201" s="10" t="s">
        <v>27272</v>
      </c>
      <c r="O5201" s="10"/>
      <c r="P5201" s="10" t="s">
        <v>27273</v>
      </c>
      <c r="Q5201" s="10">
        <v>745.5</v>
      </c>
      <c r="R5201" s="10" t="s">
        <v>27274</v>
      </c>
      <c r="S5201" s="10" t="s">
        <v>53</v>
      </c>
      <c r="T5201" s="10" t="s">
        <v>27275</v>
      </c>
    </row>
    <row r="5202" spans="1:20" ht="14.5" x14ac:dyDescent="0.35">
      <c r="A5202" s="10" t="s">
        <v>27276</v>
      </c>
      <c r="B5202" s="10" t="str">
        <f>"9781595800237"</f>
        <v>9781595800237</v>
      </c>
      <c r="C5202" s="10" t="str">
        <f>"9781595808684"</f>
        <v>9781595808684</v>
      </c>
      <c r="D5202" s="10" t="s">
        <v>9533</v>
      </c>
      <c r="E5202" s="10" t="s">
        <v>27277</v>
      </c>
      <c r="F5202" s="10" t="s">
        <v>8136</v>
      </c>
      <c r="G5202" s="10" t="s">
        <v>6317</v>
      </c>
      <c r="H5202" s="11">
        <v>39264</v>
      </c>
      <c r="I5202" s="10">
        <v>2007</v>
      </c>
      <c r="J5202" s="10" t="s">
        <v>27277</v>
      </c>
      <c r="K5202" s="10">
        <v>169</v>
      </c>
      <c r="L5202" s="10" t="s">
        <v>27278</v>
      </c>
      <c r="M5202" s="10">
        <v>1</v>
      </c>
      <c r="N5202" s="10"/>
      <c r="O5202" s="10"/>
      <c r="P5202" s="10" t="s">
        <v>27279</v>
      </c>
      <c r="Q5202" s="10">
        <v>373.18</v>
      </c>
      <c r="R5202" s="10" t="s">
        <v>27280</v>
      </c>
      <c r="S5202" s="10" t="s">
        <v>53</v>
      </c>
      <c r="T5202" s="10" t="s">
        <v>54</v>
      </c>
    </row>
    <row r="5203" spans="1:20" ht="14.5" x14ac:dyDescent="0.35">
      <c r="A5203" s="10" t="s">
        <v>27281</v>
      </c>
      <c r="B5203" s="10" t="str">
        <f>"9780977129409"</f>
        <v>9780977129409</v>
      </c>
      <c r="C5203" s="10" t="str">
        <f>"9781936749256"</f>
        <v>9781936749256</v>
      </c>
      <c r="D5203" s="10" t="s">
        <v>27268</v>
      </c>
      <c r="E5203" s="10" t="s">
        <v>27269</v>
      </c>
      <c r="F5203" s="10" t="s">
        <v>27270</v>
      </c>
      <c r="G5203" s="10" t="s">
        <v>6317</v>
      </c>
      <c r="H5203" s="11">
        <v>38899</v>
      </c>
      <c r="I5203" s="10">
        <v>2007</v>
      </c>
      <c r="J5203" s="10" t="s">
        <v>27269</v>
      </c>
      <c r="K5203" s="10">
        <v>130</v>
      </c>
      <c r="L5203" s="10" t="s">
        <v>27282</v>
      </c>
      <c r="M5203" s="10">
        <v>1</v>
      </c>
      <c r="N5203" s="10" t="s">
        <v>27272</v>
      </c>
      <c r="O5203" s="10"/>
      <c r="P5203" s="10" t="s">
        <v>27283</v>
      </c>
      <c r="Q5203" s="10">
        <v>973.20699999999999</v>
      </c>
      <c r="R5203" s="10" t="s">
        <v>27284</v>
      </c>
      <c r="S5203" s="10" t="s">
        <v>53</v>
      </c>
      <c r="T5203" s="10" t="s">
        <v>27275</v>
      </c>
    </row>
    <row r="5204" spans="1:20" ht="14.5" x14ac:dyDescent="0.35">
      <c r="A5204" s="10" t="s">
        <v>27285</v>
      </c>
      <c r="B5204" s="10" t="str">
        <f>"9780415933315"</f>
        <v>9780415933315</v>
      </c>
      <c r="C5204" s="10" t="str">
        <f>"9781317849582"</f>
        <v>9781317849582</v>
      </c>
      <c r="D5204" s="10" t="s">
        <v>6350</v>
      </c>
      <c r="E5204" s="10" t="s">
        <v>6351</v>
      </c>
      <c r="F5204" s="10" t="s">
        <v>5406</v>
      </c>
      <c r="G5204" s="10" t="s">
        <v>6352</v>
      </c>
      <c r="H5204" s="11">
        <v>37547</v>
      </c>
      <c r="I5204" s="10">
        <v>2003</v>
      </c>
      <c r="J5204" s="10" t="s">
        <v>6353</v>
      </c>
      <c r="K5204" s="10">
        <v>270</v>
      </c>
      <c r="L5204" s="10" t="s">
        <v>27286</v>
      </c>
      <c r="M5204" s="10">
        <v>1</v>
      </c>
      <c r="N5204" s="10" t="s">
        <v>7363</v>
      </c>
      <c r="O5204" s="10"/>
      <c r="P5204" s="10" t="s">
        <v>27287</v>
      </c>
      <c r="Q5204" s="10">
        <v>378.01609730000001</v>
      </c>
      <c r="R5204" s="10" t="s">
        <v>6938</v>
      </c>
      <c r="S5204" s="10" t="s">
        <v>53</v>
      </c>
      <c r="T5204" s="10" t="s">
        <v>54</v>
      </c>
    </row>
    <row r="5205" spans="1:20" ht="14.5" x14ac:dyDescent="0.35">
      <c r="A5205" s="10" t="s">
        <v>27288</v>
      </c>
      <c r="B5205" s="10" t="str">
        <f>"9780815339120"</f>
        <v>9780815339120</v>
      </c>
      <c r="C5205" s="10" t="str">
        <f>"9781135722050"</f>
        <v>9781135722050</v>
      </c>
      <c r="D5205" s="10" t="s">
        <v>6350</v>
      </c>
      <c r="E5205" s="10" t="s">
        <v>6351</v>
      </c>
      <c r="F5205" s="10" t="s">
        <v>748</v>
      </c>
      <c r="G5205" s="10" t="s">
        <v>6352</v>
      </c>
      <c r="H5205" s="11">
        <v>37400</v>
      </c>
      <c r="I5205" s="10">
        <v>2002</v>
      </c>
      <c r="J5205" s="10" t="s">
        <v>6351</v>
      </c>
      <c r="K5205" s="10">
        <v>227</v>
      </c>
      <c r="L5205" s="10" t="s">
        <v>27289</v>
      </c>
      <c r="M5205" s="10">
        <v>1</v>
      </c>
      <c r="N5205" s="10" t="s">
        <v>7358</v>
      </c>
      <c r="O5205" s="10"/>
      <c r="P5205" s="10">
        <v>2001048676</v>
      </c>
      <c r="Q5205" s="10">
        <v>507.15499999999997</v>
      </c>
      <c r="R5205" s="10" t="s">
        <v>27290</v>
      </c>
      <c r="S5205" s="10" t="s">
        <v>53</v>
      </c>
      <c r="T5205" s="10" t="s">
        <v>21206</v>
      </c>
    </row>
    <row r="5206" spans="1:20" ht="14.5" x14ac:dyDescent="0.35">
      <c r="A5206" s="10" t="s">
        <v>27291</v>
      </c>
      <c r="B5206" s="10" t="str">
        <f>"9781783506378"</f>
        <v>9781783506378</v>
      </c>
      <c r="C5206" s="10" t="str">
        <f>"9781783506385"</f>
        <v>9781783506385</v>
      </c>
      <c r="D5206" s="10" t="s">
        <v>8699</v>
      </c>
      <c r="E5206" s="10" t="s">
        <v>8699</v>
      </c>
      <c r="F5206" s="10" t="s">
        <v>1019</v>
      </c>
      <c r="G5206" s="10" t="s">
        <v>6352</v>
      </c>
      <c r="H5206" s="11">
        <v>41565</v>
      </c>
      <c r="I5206" s="10">
        <v>2013</v>
      </c>
      <c r="J5206" s="10" t="s">
        <v>115</v>
      </c>
      <c r="K5206" s="10">
        <v>209</v>
      </c>
      <c r="L5206" s="10" t="s">
        <v>27292</v>
      </c>
      <c r="M5206" s="10">
        <v>1</v>
      </c>
      <c r="N5206" s="10" t="s">
        <v>27293</v>
      </c>
      <c r="O5206" s="10">
        <v>55</v>
      </c>
      <c r="P5206" s="10" t="s">
        <v>27294</v>
      </c>
      <c r="Q5206" s="10">
        <v>338.04070999999999</v>
      </c>
      <c r="R5206" s="10" t="s">
        <v>27295</v>
      </c>
      <c r="S5206" s="10" t="s">
        <v>53</v>
      </c>
      <c r="T5206" s="10" t="s">
        <v>7545</v>
      </c>
    </row>
    <row r="5207" spans="1:20" ht="14.5" x14ac:dyDescent="0.35">
      <c r="A5207" s="10" t="s">
        <v>27296</v>
      </c>
      <c r="B5207" s="10" t="str">
        <f>"9781783506934"</f>
        <v>9781783506934</v>
      </c>
      <c r="C5207" s="10" t="str">
        <f>"9781783506941"</f>
        <v>9781783506941</v>
      </c>
      <c r="D5207" s="10" t="s">
        <v>8699</v>
      </c>
      <c r="E5207" s="10" t="s">
        <v>8699</v>
      </c>
      <c r="F5207" s="10" t="s">
        <v>1019</v>
      </c>
      <c r="G5207" s="10" t="s">
        <v>6352</v>
      </c>
      <c r="H5207" s="11">
        <v>41570</v>
      </c>
      <c r="I5207" s="10">
        <v>2013</v>
      </c>
      <c r="J5207" s="10" t="s">
        <v>115</v>
      </c>
      <c r="K5207" s="10">
        <v>135</v>
      </c>
      <c r="L5207" s="10" t="s">
        <v>27297</v>
      </c>
      <c r="M5207" s="10">
        <v>1</v>
      </c>
      <c r="N5207" s="10" t="s">
        <v>27298</v>
      </c>
      <c r="O5207" s="10">
        <v>6</v>
      </c>
      <c r="P5207" s="10" t="s">
        <v>27299</v>
      </c>
      <c r="Q5207" s="10" t="s">
        <v>27300</v>
      </c>
      <c r="R5207" s="10" t="s">
        <v>27301</v>
      </c>
      <c r="S5207" s="10" t="s">
        <v>53</v>
      </c>
      <c r="T5207" s="10" t="s">
        <v>27302</v>
      </c>
    </row>
    <row r="5208" spans="1:20" ht="14.5" x14ac:dyDescent="0.35">
      <c r="A5208" s="10" t="s">
        <v>27303</v>
      </c>
      <c r="B5208" s="10" t="str">
        <f>"9781783506156"</f>
        <v>9781783506156</v>
      </c>
      <c r="C5208" s="10" t="str">
        <f>"9781783506163"</f>
        <v>9781783506163</v>
      </c>
      <c r="D5208" s="10" t="s">
        <v>8699</v>
      </c>
      <c r="E5208" s="10" t="s">
        <v>8699</v>
      </c>
      <c r="F5208" s="10" t="s">
        <v>1019</v>
      </c>
      <c r="G5208" s="10" t="s">
        <v>6352</v>
      </c>
      <c r="H5208" s="11">
        <v>41576</v>
      </c>
      <c r="I5208" s="10">
        <v>2013</v>
      </c>
      <c r="J5208" s="10" t="s">
        <v>115</v>
      </c>
      <c r="K5208" s="10">
        <v>92</v>
      </c>
      <c r="L5208" s="10" t="s">
        <v>27304</v>
      </c>
      <c r="M5208" s="10">
        <v>1</v>
      </c>
      <c r="N5208" s="10" t="s">
        <v>27305</v>
      </c>
      <c r="O5208" s="10">
        <v>7</v>
      </c>
      <c r="P5208" s="10" t="s">
        <v>27306</v>
      </c>
      <c r="Q5208" s="10">
        <v>937.26700000000005</v>
      </c>
      <c r="R5208" s="10" t="s">
        <v>27307</v>
      </c>
      <c r="S5208" s="10" t="s">
        <v>53</v>
      </c>
      <c r="T5208" s="10" t="s">
        <v>27308</v>
      </c>
    </row>
    <row r="5209" spans="1:20" ht="14.5" x14ac:dyDescent="0.35">
      <c r="A5209" s="10" t="s">
        <v>27309</v>
      </c>
      <c r="B5209" s="10" t="str">
        <f>"9781118575239"</f>
        <v>9781118575239</v>
      </c>
      <c r="C5209" s="10" t="str">
        <f>"9781118582541"</f>
        <v>9781118582541</v>
      </c>
      <c r="D5209" s="10" t="s">
        <v>6322</v>
      </c>
      <c r="E5209" s="10" t="s">
        <v>6323</v>
      </c>
      <c r="F5209" s="10" t="s">
        <v>4423</v>
      </c>
      <c r="G5209" s="10" t="s">
        <v>6317</v>
      </c>
      <c r="H5209" s="11">
        <v>41673</v>
      </c>
      <c r="I5209" s="10">
        <v>2014</v>
      </c>
      <c r="J5209" s="10" t="s">
        <v>6324</v>
      </c>
      <c r="K5209" s="10">
        <v>194</v>
      </c>
      <c r="L5209" s="10" t="s">
        <v>7403</v>
      </c>
      <c r="M5209" s="10">
        <v>1</v>
      </c>
      <c r="N5209" s="10"/>
      <c r="O5209" s="10"/>
      <c r="P5209" s="10" t="s">
        <v>27310</v>
      </c>
      <c r="Q5209" s="10">
        <v>371.2</v>
      </c>
      <c r="R5209" s="10" t="s">
        <v>27311</v>
      </c>
      <c r="S5209" s="10" t="s">
        <v>53</v>
      </c>
      <c r="T5209" s="10" t="s">
        <v>54</v>
      </c>
    </row>
    <row r="5210" spans="1:20" ht="14.5" x14ac:dyDescent="0.35">
      <c r="A5210" s="10" t="s">
        <v>27312</v>
      </c>
      <c r="B5210" s="10" t="str">
        <f>"9780817917050"</f>
        <v>9780817917050</v>
      </c>
      <c r="C5210" s="10" t="str">
        <f>"9780817917067"</f>
        <v>9780817917067</v>
      </c>
      <c r="D5210" s="10" t="s">
        <v>9215</v>
      </c>
      <c r="E5210" s="10" t="s">
        <v>26180</v>
      </c>
      <c r="F5210" s="10" t="s">
        <v>26185</v>
      </c>
      <c r="G5210" s="10" t="s">
        <v>6317</v>
      </c>
      <c r="H5210" s="11">
        <v>41699</v>
      </c>
      <c r="I5210" s="10">
        <v>2014</v>
      </c>
      <c r="J5210" s="10" t="s">
        <v>27313</v>
      </c>
      <c r="K5210" s="10">
        <v>241</v>
      </c>
      <c r="L5210" s="10" t="s">
        <v>27314</v>
      </c>
      <c r="M5210" s="10">
        <v>1</v>
      </c>
      <c r="N5210" s="10"/>
      <c r="O5210" s="10"/>
      <c r="P5210" s="10" t="s">
        <v>27315</v>
      </c>
      <c r="Q5210" s="10">
        <v>372.97300000000001</v>
      </c>
      <c r="R5210" s="10" t="s">
        <v>27316</v>
      </c>
      <c r="S5210" s="10" t="s">
        <v>53</v>
      </c>
      <c r="T5210" s="10" t="s">
        <v>54</v>
      </c>
    </row>
    <row r="5211" spans="1:20" ht="14.5" x14ac:dyDescent="0.35">
      <c r="A5211" s="10" t="s">
        <v>27317</v>
      </c>
      <c r="B5211" s="10" t="str">
        <f>"9780231167628"</f>
        <v>9780231167628</v>
      </c>
      <c r="C5211" s="10" t="str">
        <f>"9780231537056"</f>
        <v>9780231537056</v>
      </c>
      <c r="D5211" s="10" t="s">
        <v>20767</v>
      </c>
      <c r="E5211" s="10" t="s">
        <v>20768</v>
      </c>
      <c r="F5211" s="10" t="s">
        <v>70</v>
      </c>
      <c r="G5211" s="10" t="s">
        <v>6317</v>
      </c>
      <c r="H5211" s="11">
        <v>41688</v>
      </c>
      <c r="I5211" s="10">
        <v>2014</v>
      </c>
      <c r="J5211" s="10" t="s">
        <v>20768</v>
      </c>
      <c r="K5211" s="10">
        <v>325</v>
      </c>
      <c r="L5211" s="10" t="s">
        <v>27318</v>
      </c>
      <c r="M5211" s="10"/>
      <c r="N5211" s="10"/>
      <c r="O5211" s="10"/>
      <c r="P5211" s="10" t="s">
        <v>27319</v>
      </c>
      <c r="Q5211" s="10">
        <v>378.11109199999999</v>
      </c>
      <c r="R5211" s="10" t="s">
        <v>27320</v>
      </c>
      <c r="S5211" s="10" t="s">
        <v>53</v>
      </c>
      <c r="T5211" s="10" t="s">
        <v>54</v>
      </c>
    </row>
    <row r="5212" spans="1:20" ht="14.5" x14ac:dyDescent="0.35">
      <c r="A5212" s="10" t="s">
        <v>27321</v>
      </c>
      <c r="B5212" s="10" t="str">
        <f>"9789004262027"</f>
        <v>9789004262027</v>
      </c>
      <c r="C5212" s="10" t="str">
        <f>"9789004264342"</f>
        <v>9789004264342</v>
      </c>
      <c r="D5212" s="10" t="s">
        <v>8564</v>
      </c>
      <c r="E5212" s="10" t="s">
        <v>8565</v>
      </c>
      <c r="F5212" s="10" t="s">
        <v>1420</v>
      </c>
      <c r="G5212" s="10" t="s">
        <v>6317</v>
      </c>
      <c r="H5212" s="11">
        <v>41648</v>
      </c>
      <c r="I5212" s="10">
        <v>2014</v>
      </c>
      <c r="J5212" s="10" t="s">
        <v>8565</v>
      </c>
      <c r="K5212" s="10">
        <v>322</v>
      </c>
      <c r="L5212" s="10" t="s">
        <v>27322</v>
      </c>
      <c r="M5212" s="10">
        <v>1</v>
      </c>
      <c r="N5212" s="10" t="s">
        <v>27323</v>
      </c>
      <c r="O5212" s="10">
        <v>21</v>
      </c>
      <c r="P5212" s="10" t="s">
        <v>27324</v>
      </c>
      <c r="Q5212" s="10" t="s">
        <v>27325</v>
      </c>
      <c r="R5212" s="10" t="s">
        <v>27326</v>
      </c>
      <c r="S5212" s="10" t="s">
        <v>53</v>
      </c>
      <c r="T5212" s="10" t="s">
        <v>54</v>
      </c>
    </row>
    <row r="5213" spans="1:20" ht="14.5" x14ac:dyDescent="0.35">
      <c r="A5213" s="10" t="s">
        <v>27327</v>
      </c>
      <c r="B5213" s="10" t="str">
        <f>"9781118390078"</f>
        <v>9781118390078</v>
      </c>
      <c r="C5213" s="10" t="str">
        <f>"9781118602539"</f>
        <v>9781118602539</v>
      </c>
      <c r="D5213" s="10" t="s">
        <v>6322</v>
      </c>
      <c r="E5213" s="10" t="s">
        <v>6323</v>
      </c>
      <c r="F5213" s="10" t="s">
        <v>13068</v>
      </c>
      <c r="G5213" s="10" t="s">
        <v>6317</v>
      </c>
      <c r="H5213" s="11">
        <v>41687</v>
      </c>
      <c r="I5213" s="10">
        <v>2014</v>
      </c>
      <c r="J5213" s="10" t="s">
        <v>6324</v>
      </c>
      <c r="K5213" s="10">
        <v>306</v>
      </c>
      <c r="L5213" s="10" t="s">
        <v>27328</v>
      </c>
      <c r="M5213" s="10">
        <v>2</v>
      </c>
      <c r="N5213" s="10" t="s">
        <v>25322</v>
      </c>
      <c r="O5213" s="10"/>
      <c r="P5213" s="10" t="s">
        <v>27329</v>
      </c>
      <c r="Q5213" s="10" t="s">
        <v>7307</v>
      </c>
      <c r="R5213" s="10" t="s">
        <v>27330</v>
      </c>
      <c r="S5213" s="10" t="s">
        <v>53</v>
      </c>
      <c r="T5213" s="10" t="s">
        <v>54</v>
      </c>
    </row>
    <row r="5214" spans="1:20" ht="14.5" x14ac:dyDescent="0.35">
      <c r="A5214" s="10" t="s">
        <v>27331</v>
      </c>
      <c r="B5214" s="10" t="str">
        <f>"9781118466773"</f>
        <v>9781118466773</v>
      </c>
      <c r="C5214" s="10" t="str">
        <f>"9781118841501"</f>
        <v>9781118841501</v>
      </c>
      <c r="D5214" s="10" t="s">
        <v>6322</v>
      </c>
      <c r="E5214" s="10" t="s">
        <v>6323</v>
      </c>
      <c r="F5214" s="10" t="s">
        <v>6339</v>
      </c>
      <c r="G5214" s="10" t="s">
        <v>6317</v>
      </c>
      <c r="H5214" s="11">
        <v>41667</v>
      </c>
      <c r="I5214" s="10">
        <v>2013</v>
      </c>
      <c r="J5214" s="10" t="s">
        <v>6323</v>
      </c>
      <c r="K5214" s="10">
        <v>226</v>
      </c>
      <c r="L5214" s="10" t="s">
        <v>27332</v>
      </c>
      <c r="M5214" s="10">
        <v>1</v>
      </c>
      <c r="N5214" s="10" t="s">
        <v>27333</v>
      </c>
      <c r="O5214" s="10"/>
      <c r="P5214" s="10" t="s">
        <v>27334</v>
      </c>
      <c r="Q5214" s="10">
        <v>370.72699999999998</v>
      </c>
      <c r="R5214" s="10" t="s">
        <v>27335</v>
      </c>
      <c r="S5214" s="10" t="s">
        <v>53</v>
      </c>
      <c r="T5214" s="10" t="s">
        <v>54</v>
      </c>
    </row>
    <row r="5215" spans="1:20" ht="14.5" x14ac:dyDescent="0.35">
      <c r="A5215" s="10" t="s">
        <v>27336</v>
      </c>
      <c r="B5215" s="10" t="str">
        <f>"9781475510669"</f>
        <v>9781475510669</v>
      </c>
      <c r="C5215" s="10" t="str">
        <f>"9781475511512"</f>
        <v>9781475511512</v>
      </c>
      <c r="D5215" s="10" t="s">
        <v>27337</v>
      </c>
      <c r="E5215" s="10" t="s">
        <v>27337</v>
      </c>
      <c r="F5215" s="10" t="s">
        <v>27053</v>
      </c>
      <c r="G5215" s="10" t="s">
        <v>6317</v>
      </c>
      <c r="H5215" s="11">
        <v>41185</v>
      </c>
      <c r="I5215" s="10">
        <v>2012</v>
      </c>
      <c r="J5215" s="10" t="s">
        <v>27338</v>
      </c>
      <c r="K5215" s="10">
        <v>42</v>
      </c>
      <c r="L5215" s="10" t="s">
        <v>27339</v>
      </c>
      <c r="M5215" s="10">
        <v>1</v>
      </c>
      <c r="N5215" s="10" t="s">
        <v>27340</v>
      </c>
      <c r="O5215" s="10"/>
      <c r="P5215" s="10" t="s">
        <v>27341</v>
      </c>
      <c r="Q5215" s="10" t="s">
        <v>27342</v>
      </c>
      <c r="R5215" s="10" t="s">
        <v>27343</v>
      </c>
      <c r="S5215" s="10" t="s">
        <v>53</v>
      </c>
      <c r="T5215" s="10" t="s">
        <v>27344</v>
      </c>
    </row>
    <row r="5216" spans="1:20" ht="14.5" x14ac:dyDescent="0.35">
      <c r="A5216" s="10" t="s">
        <v>27345</v>
      </c>
      <c r="B5216" s="10" t="str">
        <f>"9783110335491"</f>
        <v>9783110335491</v>
      </c>
      <c r="C5216" s="10" t="str">
        <f>"9783110335781"</f>
        <v>9783110335781</v>
      </c>
      <c r="D5216" s="10" t="s">
        <v>9995</v>
      </c>
      <c r="E5216" s="10" t="s">
        <v>9996</v>
      </c>
      <c r="F5216" s="10" t="s">
        <v>9997</v>
      </c>
      <c r="G5216" s="10" t="s">
        <v>9998</v>
      </c>
      <c r="H5216" s="11">
        <v>41659</v>
      </c>
      <c r="I5216" s="10">
        <v>2014</v>
      </c>
      <c r="J5216" s="10" t="s">
        <v>9996</v>
      </c>
      <c r="K5216" s="10">
        <v>256</v>
      </c>
      <c r="L5216" s="10" t="s">
        <v>27346</v>
      </c>
      <c r="M5216" s="10">
        <v>1</v>
      </c>
      <c r="N5216" s="10" t="s">
        <v>27347</v>
      </c>
      <c r="O5216" s="10">
        <v>456</v>
      </c>
      <c r="P5216" s="10" t="s">
        <v>27348</v>
      </c>
      <c r="Q5216" s="10">
        <v>370.95693999999997</v>
      </c>
      <c r="R5216" s="10" t="s">
        <v>27349</v>
      </c>
      <c r="S5216" s="10" t="s">
        <v>53</v>
      </c>
      <c r="T5216" s="10" t="s">
        <v>54</v>
      </c>
    </row>
    <row r="5217" spans="1:20" ht="14.5" x14ac:dyDescent="0.35">
      <c r="A5217" s="10" t="s">
        <v>27350</v>
      </c>
      <c r="B5217" s="10" t="str">
        <f>"9781907241178"</f>
        <v>9781907241178</v>
      </c>
      <c r="C5217" s="10" t="str">
        <f>"9781907241758"</f>
        <v>9781907241758</v>
      </c>
      <c r="D5217" s="10" t="s">
        <v>19500</v>
      </c>
      <c r="E5217" s="10" t="s">
        <v>19501</v>
      </c>
      <c r="F5217" s="10" t="s">
        <v>20587</v>
      </c>
      <c r="G5217" s="10" t="s">
        <v>6352</v>
      </c>
      <c r="H5217" s="11">
        <v>40724</v>
      </c>
      <c r="I5217" s="10">
        <v>2014</v>
      </c>
      <c r="J5217" s="10" t="s">
        <v>21828</v>
      </c>
      <c r="K5217" s="10">
        <v>200</v>
      </c>
      <c r="L5217" s="10" t="s">
        <v>27351</v>
      </c>
      <c r="M5217" s="10">
        <v>1</v>
      </c>
      <c r="N5217" s="10"/>
      <c r="O5217" s="10"/>
      <c r="P5217" s="10" t="s">
        <v>27352</v>
      </c>
      <c r="Q5217" s="10" t="s">
        <v>27353</v>
      </c>
      <c r="R5217" s="10" t="s">
        <v>27354</v>
      </c>
      <c r="S5217" s="10" t="s">
        <v>53</v>
      </c>
      <c r="T5217" s="10" t="s">
        <v>54</v>
      </c>
    </row>
    <row r="5218" spans="1:20" ht="14.5" x14ac:dyDescent="0.35">
      <c r="A5218" s="10" t="s">
        <v>27355</v>
      </c>
      <c r="B5218" s="10" t="str">
        <f>"9781593327002"</f>
        <v>9781593327002</v>
      </c>
      <c r="C5218" s="10" t="str">
        <f>"9781593327514"</f>
        <v>9781593327514</v>
      </c>
      <c r="D5218" s="10" t="s">
        <v>20187</v>
      </c>
      <c r="E5218" s="10" t="s">
        <v>20188</v>
      </c>
      <c r="F5218" s="10" t="s">
        <v>20189</v>
      </c>
      <c r="G5218" s="10" t="s">
        <v>6317</v>
      </c>
      <c r="H5218" s="11">
        <v>41713</v>
      </c>
      <c r="I5218" s="10">
        <v>2014</v>
      </c>
      <c r="J5218" s="10" t="s">
        <v>20188</v>
      </c>
      <c r="K5218" s="10">
        <v>161</v>
      </c>
      <c r="L5218" s="10" t="s">
        <v>27356</v>
      </c>
      <c r="M5218" s="10">
        <v>1</v>
      </c>
      <c r="N5218" s="10" t="s">
        <v>23350</v>
      </c>
      <c r="O5218" s="10"/>
      <c r="P5218" s="10" t="s">
        <v>27357</v>
      </c>
      <c r="Q5218" s="10" t="s">
        <v>9797</v>
      </c>
      <c r="R5218" s="10" t="s">
        <v>27358</v>
      </c>
      <c r="S5218" s="10" t="s">
        <v>53</v>
      </c>
      <c r="T5218" s="10" t="s">
        <v>54</v>
      </c>
    </row>
    <row r="5219" spans="1:20" ht="14.5" x14ac:dyDescent="0.35">
      <c r="A5219" s="10" t="s">
        <v>27359</v>
      </c>
      <c r="B5219" s="10" t="str">
        <f>"9780415834698"</f>
        <v>9780415834698</v>
      </c>
      <c r="C5219" s="10" t="str">
        <f>"9781135049232"</f>
        <v>9781135049232</v>
      </c>
      <c r="D5219" s="10" t="s">
        <v>6350</v>
      </c>
      <c r="E5219" s="10" t="s">
        <v>6351</v>
      </c>
      <c r="F5219" s="10" t="s">
        <v>139</v>
      </c>
      <c r="G5219" s="10" t="s">
        <v>6352</v>
      </c>
      <c r="H5219" s="11">
        <v>41724</v>
      </c>
      <c r="I5219" s="10">
        <v>2014</v>
      </c>
      <c r="J5219" s="10" t="s">
        <v>6353</v>
      </c>
      <c r="K5219" s="10">
        <v>227</v>
      </c>
      <c r="L5219" s="10" t="s">
        <v>27360</v>
      </c>
      <c r="M5219" s="10">
        <v>1</v>
      </c>
      <c r="N5219" s="10" t="s">
        <v>12310</v>
      </c>
      <c r="O5219" s="10"/>
      <c r="P5219" s="10" t="s">
        <v>27361</v>
      </c>
      <c r="Q5219" s="10">
        <v>303.61</v>
      </c>
      <c r="R5219" s="10" t="s">
        <v>27362</v>
      </c>
      <c r="S5219" s="10" t="s">
        <v>53</v>
      </c>
      <c r="T5219" s="10" t="s">
        <v>6363</v>
      </c>
    </row>
    <row r="5220" spans="1:20" ht="14.5" x14ac:dyDescent="0.35">
      <c r="A5220" s="10" t="s">
        <v>27363</v>
      </c>
      <c r="B5220" s="10" t="str">
        <f>"9781560246961"</f>
        <v>9781560246961</v>
      </c>
      <c r="C5220" s="10" t="str">
        <f>"9781317764540"</f>
        <v>9781317764540</v>
      </c>
      <c r="D5220" s="10" t="s">
        <v>6350</v>
      </c>
      <c r="E5220" s="10" t="s">
        <v>6351</v>
      </c>
      <c r="F5220" s="10" t="s">
        <v>5406</v>
      </c>
      <c r="G5220" s="10" t="s">
        <v>6352</v>
      </c>
      <c r="H5220" s="11">
        <v>34645</v>
      </c>
      <c r="I5220" s="10">
        <v>1994</v>
      </c>
      <c r="J5220" s="10" t="s">
        <v>6353</v>
      </c>
      <c r="K5220" s="10">
        <v>147</v>
      </c>
      <c r="L5220" s="10" t="s">
        <v>27364</v>
      </c>
      <c r="M5220" s="10">
        <v>1</v>
      </c>
      <c r="N5220" s="10"/>
      <c r="O5220" s="10"/>
      <c r="P5220" s="10" t="s">
        <v>27365</v>
      </c>
      <c r="Q5220" s="10" t="s">
        <v>10040</v>
      </c>
      <c r="R5220" s="10" t="s">
        <v>27366</v>
      </c>
      <c r="S5220" s="10" t="s">
        <v>53</v>
      </c>
      <c r="T5220" s="10" t="s">
        <v>6526</v>
      </c>
    </row>
    <row r="5221" spans="1:20" ht="14.5" x14ac:dyDescent="0.35">
      <c r="A5221" s="10" t="s">
        <v>27367</v>
      </c>
      <c r="B5221" s="10" t="str">
        <f>"9780817318147"</f>
        <v>9780817318147</v>
      </c>
      <c r="C5221" s="10" t="str">
        <f>"9780817387259"</f>
        <v>9780817387259</v>
      </c>
      <c r="D5221" s="10" t="s">
        <v>3407</v>
      </c>
      <c r="E5221" s="10" t="s">
        <v>3407</v>
      </c>
      <c r="F5221" s="10" t="s">
        <v>3408</v>
      </c>
      <c r="G5221" s="10" t="s">
        <v>6317</v>
      </c>
      <c r="H5221" s="11">
        <v>41670</v>
      </c>
      <c r="I5221" s="10">
        <v>2014</v>
      </c>
      <c r="J5221" s="10" t="s">
        <v>3407</v>
      </c>
      <c r="K5221" s="10">
        <v>273</v>
      </c>
      <c r="L5221" s="10" t="s">
        <v>27368</v>
      </c>
      <c r="M5221" s="10">
        <v>1</v>
      </c>
      <c r="N5221" s="10"/>
      <c r="O5221" s="10"/>
      <c r="P5221" s="10" t="s">
        <v>14623</v>
      </c>
      <c r="Q5221" s="10">
        <v>378.00976100000003</v>
      </c>
      <c r="R5221" s="10" t="s">
        <v>27369</v>
      </c>
      <c r="S5221" s="10" t="s">
        <v>53</v>
      </c>
      <c r="T5221" s="10" t="s">
        <v>54</v>
      </c>
    </row>
    <row r="5222" spans="1:20" ht="14.5" x14ac:dyDescent="0.35">
      <c r="A5222" s="10" t="s">
        <v>27370</v>
      </c>
      <c r="B5222" s="10" t="str">
        <f>"9781118279281"</f>
        <v>9781118279281</v>
      </c>
      <c r="C5222" s="10" t="str">
        <f>"9781118419755"</f>
        <v>9781118419755</v>
      </c>
      <c r="D5222" s="10" t="s">
        <v>6322</v>
      </c>
      <c r="E5222" s="10" t="s">
        <v>6323</v>
      </c>
      <c r="F5222" s="10" t="s">
        <v>4423</v>
      </c>
      <c r="G5222" s="10" t="s">
        <v>6317</v>
      </c>
      <c r="H5222" s="11">
        <v>41715</v>
      </c>
      <c r="I5222" s="10">
        <v>2013</v>
      </c>
      <c r="J5222" s="10" t="s">
        <v>6323</v>
      </c>
      <c r="K5222" s="10">
        <v>290</v>
      </c>
      <c r="L5222" s="10" t="s">
        <v>27371</v>
      </c>
      <c r="M5222" s="10">
        <v>1</v>
      </c>
      <c r="N5222" s="10"/>
      <c r="O5222" s="10"/>
      <c r="P5222" s="10"/>
      <c r="Q5222" s="10"/>
      <c r="R5222" s="10" t="s">
        <v>27372</v>
      </c>
      <c r="S5222" s="10" t="s">
        <v>53</v>
      </c>
      <c r="T5222" s="10" t="s">
        <v>483</v>
      </c>
    </row>
    <row r="5223" spans="1:20" ht="14.5" x14ac:dyDescent="0.35">
      <c r="A5223" s="10" t="s">
        <v>27373</v>
      </c>
      <c r="B5223" s="10" t="str">
        <f>"9781118862162"</f>
        <v>9781118862162</v>
      </c>
      <c r="C5223" s="10" t="str">
        <f>"9781118862278"</f>
        <v>9781118862278</v>
      </c>
      <c r="D5223" s="10" t="s">
        <v>6322</v>
      </c>
      <c r="E5223" s="10" t="s">
        <v>6323</v>
      </c>
      <c r="F5223" s="10" t="s">
        <v>13068</v>
      </c>
      <c r="G5223" s="10" t="s">
        <v>6317</v>
      </c>
      <c r="H5223" s="11">
        <v>41680</v>
      </c>
      <c r="I5223" s="10">
        <v>2014</v>
      </c>
      <c r="J5223" s="10" t="s">
        <v>6324</v>
      </c>
      <c r="K5223" s="10">
        <v>88</v>
      </c>
      <c r="L5223" s="10" t="s">
        <v>27374</v>
      </c>
      <c r="M5223" s="10">
        <v>1</v>
      </c>
      <c r="N5223" s="10" t="s">
        <v>22922</v>
      </c>
      <c r="O5223" s="10"/>
      <c r="P5223" s="10" t="s">
        <v>27375</v>
      </c>
      <c r="Q5223" s="10">
        <v>378.16913</v>
      </c>
      <c r="R5223" s="10" t="s">
        <v>27376</v>
      </c>
      <c r="S5223" s="10" t="s">
        <v>53</v>
      </c>
      <c r="T5223" s="10" t="s">
        <v>54</v>
      </c>
    </row>
    <row r="5224" spans="1:20" ht="14.5" x14ac:dyDescent="0.35">
      <c r="A5224" s="10" t="s">
        <v>27377</v>
      </c>
      <c r="B5224" s="10" t="str">
        <f>"9780739186725"</f>
        <v>9780739186725</v>
      </c>
      <c r="C5224" s="10" t="str">
        <f>"9780739186732"</f>
        <v>9780739186732</v>
      </c>
      <c r="D5224" s="10" t="s">
        <v>9752</v>
      </c>
      <c r="E5224" s="10" t="s">
        <v>15182</v>
      </c>
      <c r="F5224" s="10" t="s">
        <v>9754</v>
      </c>
      <c r="G5224" s="10" t="s">
        <v>6317</v>
      </c>
      <c r="H5224" s="11">
        <v>41620</v>
      </c>
      <c r="I5224" s="10">
        <v>2013</v>
      </c>
      <c r="J5224" s="10" t="s">
        <v>15182</v>
      </c>
      <c r="K5224" s="10">
        <v>127</v>
      </c>
      <c r="L5224" s="10" t="s">
        <v>27378</v>
      </c>
      <c r="M5224" s="10">
        <v>1</v>
      </c>
      <c r="N5224" s="10"/>
      <c r="O5224" s="10"/>
      <c r="P5224" s="10" t="s">
        <v>27379</v>
      </c>
      <c r="Q5224" s="10">
        <v>379</v>
      </c>
      <c r="R5224" s="10" t="s">
        <v>27380</v>
      </c>
      <c r="S5224" s="10" t="s">
        <v>53</v>
      </c>
      <c r="T5224" s="10" t="s">
        <v>54</v>
      </c>
    </row>
    <row r="5225" spans="1:20" ht="14.5" x14ac:dyDescent="0.35">
      <c r="A5225" s="10" t="s">
        <v>27381</v>
      </c>
      <c r="B5225" s="10" t="str">
        <f>"9781412980609"</f>
        <v>9781412980609</v>
      </c>
      <c r="C5225" s="10" t="str">
        <f>"9781452267494"</f>
        <v>9781452267494</v>
      </c>
      <c r="D5225" s="10" t="s">
        <v>22210</v>
      </c>
      <c r="E5225" s="10" t="s">
        <v>22214</v>
      </c>
      <c r="F5225" s="10" t="s">
        <v>333</v>
      </c>
      <c r="G5225" s="10" t="s">
        <v>6317</v>
      </c>
      <c r="H5225" s="11">
        <v>40802</v>
      </c>
      <c r="I5225" s="10">
        <v>2012</v>
      </c>
      <c r="J5225" s="10" t="s">
        <v>22214</v>
      </c>
      <c r="K5225" s="10">
        <v>273</v>
      </c>
      <c r="L5225" s="10" t="s">
        <v>27382</v>
      </c>
      <c r="M5225" s="10">
        <v>1</v>
      </c>
      <c r="N5225" s="10"/>
      <c r="O5225" s="10"/>
      <c r="P5225" s="10" t="s">
        <v>27383</v>
      </c>
      <c r="Q5225" s="10" t="s">
        <v>18149</v>
      </c>
      <c r="R5225" s="10" t="s">
        <v>27384</v>
      </c>
      <c r="S5225" s="10" t="s">
        <v>53</v>
      </c>
      <c r="T5225" s="10" t="s">
        <v>54</v>
      </c>
    </row>
    <row r="5226" spans="1:20" ht="14.5" x14ac:dyDescent="0.35">
      <c r="A5226" s="10" t="s">
        <v>27385</v>
      </c>
      <c r="B5226" s="10" t="str">
        <f>"9781472506566"</f>
        <v>9781472506566</v>
      </c>
      <c r="C5226" s="10" t="str">
        <f>"9781472512529"</f>
        <v>9781472512529</v>
      </c>
      <c r="D5226" s="10" t="s">
        <v>26999</v>
      </c>
      <c r="E5226" s="10" t="s">
        <v>13960</v>
      </c>
      <c r="F5226" s="10" t="s">
        <v>139</v>
      </c>
      <c r="G5226" s="10" t="s">
        <v>6352</v>
      </c>
      <c r="H5226" s="11">
        <v>41739</v>
      </c>
      <c r="I5226" s="10">
        <v>2014</v>
      </c>
      <c r="J5226" s="10" t="s">
        <v>14057</v>
      </c>
      <c r="K5226" s="10">
        <v>499</v>
      </c>
      <c r="L5226" s="10" t="s">
        <v>27386</v>
      </c>
      <c r="M5226" s="10">
        <v>2</v>
      </c>
      <c r="N5226" s="10" t="s">
        <v>27387</v>
      </c>
      <c r="O5226" s="10"/>
      <c r="P5226" s="10" t="s">
        <v>27388</v>
      </c>
      <c r="Q5226" s="10">
        <v>371.10199999999998</v>
      </c>
      <c r="R5226" s="10" t="s">
        <v>18841</v>
      </c>
      <c r="S5226" s="10" t="s">
        <v>53</v>
      </c>
      <c r="T5226" s="10" t="s">
        <v>54</v>
      </c>
    </row>
    <row r="5227" spans="1:20" ht="14.5" x14ac:dyDescent="0.35">
      <c r="A5227" s="10" t="s">
        <v>27389</v>
      </c>
      <c r="B5227" s="10" t="str">
        <f>"9780335247301"</f>
        <v>9780335247301</v>
      </c>
      <c r="C5227" s="10" t="str">
        <f>"9780335247318"</f>
        <v>9780335247318</v>
      </c>
      <c r="D5227" s="10" t="s">
        <v>10342</v>
      </c>
      <c r="E5227" s="10" t="s">
        <v>10343</v>
      </c>
      <c r="F5227" s="10" t="s">
        <v>10344</v>
      </c>
      <c r="G5227" s="10" t="s">
        <v>6352</v>
      </c>
      <c r="H5227" s="11">
        <v>41686</v>
      </c>
      <c r="I5227" s="10">
        <v>2014</v>
      </c>
      <c r="J5227" s="10" t="s">
        <v>10343</v>
      </c>
      <c r="K5227" s="10">
        <v>210</v>
      </c>
      <c r="L5227" s="10" t="s">
        <v>27390</v>
      </c>
      <c r="M5227" s="10">
        <v>1</v>
      </c>
      <c r="N5227" s="10" t="s">
        <v>10347</v>
      </c>
      <c r="O5227" s="10"/>
      <c r="P5227" s="10"/>
      <c r="Q5227" s="10"/>
      <c r="R5227" s="10" t="s">
        <v>27391</v>
      </c>
      <c r="S5227" s="10" t="s">
        <v>53</v>
      </c>
      <c r="T5227" s="10" t="s">
        <v>54</v>
      </c>
    </row>
    <row r="5228" spans="1:20" ht="14.5" x14ac:dyDescent="0.35">
      <c r="A5228" s="10" t="s">
        <v>27392</v>
      </c>
      <c r="B5228" s="10" t="str">
        <f>"9780335246786"</f>
        <v>9780335246786</v>
      </c>
      <c r="C5228" s="10" t="str">
        <f>"9780335246793"</f>
        <v>9780335246793</v>
      </c>
      <c r="D5228" s="10" t="s">
        <v>10342</v>
      </c>
      <c r="E5228" s="10" t="s">
        <v>10343</v>
      </c>
      <c r="F5228" s="10" t="s">
        <v>10344</v>
      </c>
      <c r="G5228" s="10" t="s">
        <v>6352</v>
      </c>
      <c r="H5228" s="11">
        <v>41655</v>
      </c>
      <c r="I5228" s="10">
        <v>2014</v>
      </c>
      <c r="J5228" s="10" t="s">
        <v>10345</v>
      </c>
      <c r="K5228" s="10">
        <v>218</v>
      </c>
      <c r="L5228" s="10" t="s">
        <v>27393</v>
      </c>
      <c r="M5228" s="10">
        <v>1</v>
      </c>
      <c r="N5228" s="10" t="s">
        <v>10347</v>
      </c>
      <c r="O5228" s="10"/>
      <c r="P5228" s="10" t="s">
        <v>27394</v>
      </c>
      <c r="Q5228" s="10"/>
      <c r="R5228" s="10" t="s">
        <v>27395</v>
      </c>
      <c r="S5228" s="10" t="s">
        <v>53</v>
      </c>
      <c r="T5228" s="10" t="s">
        <v>54</v>
      </c>
    </row>
    <row r="5229" spans="1:20" ht="14.5" x14ac:dyDescent="0.35">
      <c r="A5229" s="10" t="s">
        <v>27396</v>
      </c>
      <c r="B5229" s="10" t="str">
        <f>"9780821399651"</f>
        <v>9780821399651</v>
      </c>
      <c r="C5229" s="10" t="str">
        <f>"9780821399668"</f>
        <v>9780821399668</v>
      </c>
      <c r="D5229" s="10" t="s">
        <v>14731</v>
      </c>
      <c r="E5229" s="10" t="s">
        <v>14732</v>
      </c>
      <c r="F5229" s="10" t="s">
        <v>14733</v>
      </c>
      <c r="G5229" s="10" t="s">
        <v>6317</v>
      </c>
      <c r="H5229" s="11">
        <v>41640</v>
      </c>
      <c r="I5229" s="10">
        <v>2014</v>
      </c>
      <c r="J5229" s="10" t="s">
        <v>14732</v>
      </c>
      <c r="K5229" s="10">
        <v>143</v>
      </c>
      <c r="L5229" s="10" t="s">
        <v>27397</v>
      </c>
      <c r="M5229" s="10">
        <v>1</v>
      </c>
      <c r="N5229" s="10" t="s">
        <v>20668</v>
      </c>
      <c r="O5229" s="10"/>
      <c r="P5229" s="10" t="s">
        <v>27398</v>
      </c>
      <c r="Q5229" s="10">
        <v>370.96</v>
      </c>
      <c r="R5229" s="10" t="s">
        <v>27399</v>
      </c>
      <c r="S5229" s="10" t="s">
        <v>53</v>
      </c>
      <c r="T5229" s="10" t="s">
        <v>54</v>
      </c>
    </row>
    <row r="5230" spans="1:20" ht="14.5" x14ac:dyDescent="0.35">
      <c r="A5230" s="10" t="s">
        <v>27400</v>
      </c>
      <c r="B5230" s="10" t="str">
        <f>"9781118871942"</f>
        <v>9781118871942</v>
      </c>
      <c r="C5230" s="10" t="str">
        <f>"9781118872482"</f>
        <v>9781118872482</v>
      </c>
      <c r="D5230" s="10" t="s">
        <v>6322</v>
      </c>
      <c r="E5230" s="10" t="s">
        <v>6323</v>
      </c>
      <c r="F5230" s="10" t="s">
        <v>13068</v>
      </c>
      <c r="G5230" s="10" t="s">
        <v>6317</v>
      </c>
      <c r="H5230" s="11">
        <v>41694</v>
      </c>
      <c r="I5230" s="10">
        <v>2014</v>
      </c>
      <c r="J5230" s="10" t="s">
        <v>6324</v>
      </c>
      <c r="K5230" s="10">
        <v>128</v>
      </c>
      <c r="L5230" s="10" t="s">
        <v>27401</v>
      </c>
      <c r="M5230" s="10">
        <v>1</v>
      </c>
      <c r="N5230" s="10" t="s">
        <v>25343</v>
      </c>
      <c r="O5230" s="10"/>
      <c r="P5230" s="10" t="s">
        <v>27402</v>
      </c>
      <c r="Q5230" s="10">
        <v>378.161</v>
      </c>
      <c r="R5230" s="10" t="s">
        <v>27403</v>
      </c>
      <c r="S5230" s="10" t="s">
        <v>53</v>
      </c>
      <c r="T5230" s="10" t="s">
        <v>54</v>
      </c>
    </row>
    <row r="5231" spans="1:20" ht="14.5" x14ac:dyDescent="0.35">
      <c r="A5231" s="10" t="s">
        <v>27404</v>
      </c>
      <c r="B5231" s="10" t="str">
        <f>"9781118710333"</f>
        <v>9781118710333</v>
      </c>
      <c r="C5231" s="10" t="str">
        <f>"9781118710449"</f>
        <v>9781118710449</v>
      </c>
      <c r="D5231" s="10" t="s">
        <v>6322</v>
      </c>
      <c r="E5231" s="10" t="s">
        <v>6323</v>
      </c>
      <c r="F5231" s="10" t="s">
        <v>4423</v>
      </c>
      <c r="G5231" s="10" t="s">
        <v>6317</v>
      </c>
      <c r="H5231" s="11">
        <v>41708</v>
      </c>
      <c r="I5231" s="10">
        <v>2014</v>
      </c>
      <c r="J5231" s="10" t="s">
        <v>6324</v>
      </c>
      <c r="K5231" s="10">
        <v>301</v>
      </c>
      <c r="L5231" s="10" t="s">
        <v>27405</v>
      </c>
      <c r="M5231" s="10">
        <v>1</v>
      </c>
      <c r="N5231" s="10"/>
      <c r="O5231" s="10"/>
      <c r="P5231" s="10"/>
      <c r="Q5231" s="10" t="s">
        <v>16264</v>
      </c>
      <c r="R5231" s="10" t="s">
        <v>27406</v>
      </c>
      <c r="S5231" s="10" t="s">
        <v>53</v>
      </c>
      <c r="T5231" s="10" t="s">
        <v>54</v>
      </c>
    </row>
    <row r="5232" spans="1:20" ht="14.5" x14ac:dyDescent="0.35">
      <c r="A5232" s="10" t="s">
        <v>27407</v>
      </c>
      <c r="B5232" s="10" t="str">
        <f>"9781416617587"</f>
        <v>9781416617587</v>
      </c>
      <c r="C5232" s="10" t="str">
        <f>"9781416618799"</f>
        <v>9781416618799</v>
      </c>
      <c r="D5232" s="10" t="s">
        <v>10014</v>
      </c>
      <c r="E5232" s="10" t="s">
        <v>10015</v>
      </c>
      <c r="F5232" s="10" t="s">
        <v>201</v>
      </c>
      <c r="G5232" s="10" t="s">
        <v>6317</v>
      </c>
      <c r="H5232" s="11">
        <v>41638</v>
      </c>
      <c r="I5232" s="10">
        <v>2013</v>
      </c>
      <c r="J5232" s="10" t="s">
        <v>10015</v>
      </c>
      <c r="K5232" s="10">
        <v>167</v>
      </c>
      <c r="L5232" s="10" t="s">
        <v>22364</v>
      </c>
      <c r="M5232" s="10">
        <v>1</v>
      </c>
      <c r="N5232" s="10"/>
      <c r="O5232" s="10"/>
      <c r="P5232" s="10"/>
      <c r="Q5232" s="10"/>
      <c r="R5232" s="10"/>
      <c r="S5232" s="10" t="s">
        <v>53</v>
      </c>
      <c r="T5232" s="10" t="s">
        <v>54</v>
      </c>
    </row>
    <row r="5233" spans="1:20" ht="14.5" x14ac:dyDescent="0.35">
      <c r="A5233" s="10" t="s">
        <v>27408</v>
      </c>
      <c r="B5233" s="10" t="str">
        <f>"9781883001353"</f>
        <v>9781883001353</v>
      </c>
      <c r="C5233" s="10" t="str">
        <f>"9781317920939"</f>
        <v>9781317920939</v>
      </c>
      <c r="D5233" s="10" t="s">
        <v>6350</v>
      </c>
      <c r="E5233" s="10" t="s">
        <v>6351</v>
      </c>
      <c r="F5233" s="10" t="s">
        <v>3967</v>
      </c>
      <c r="G5233" s="10" t="s">
        <v>6352</v>
      </c>
      <c r="H5233" s="11">
        <v>35520</v>
      </c>
      <c r="I5233" s="10">
        <v>1997</v>
      </c>
      <c r="J5233" s="10" t="s">
        <v>6353</v>
      </c>
      <c r="K5233" s="10">
        <v>185</v>
      </c>
      <c r="L5233" s="10" t="s">
        <v>27409</v>
      </c>
      <c r="M5233" s="10">
        <v>1</v>
      </c>
      <c r="N5233" s="10"/>
      <c r="O5233" s="10"/>
      <c r="P5233" s="10" t="s">
        <v>27410</v>
      </c>
      <c r="Q5233" s="10"/>
      <c r="R5233" s="10" t="s">
        <v>25401</v>
      </c>
      <c r="S5233" s="10" t="s">
        <v>53</v>
      </c>
      <c r="T5233" s="10" t="s">
        <v>54</v>
      </c>
    </row>
    <row r="5234" spans="1:20" ht="14.5" x14ac:dyDescent="0.35">
      <c r="A5234" s="10" t="s">
        <v>27411</v>
      </c>
      <c r="B5234" s="10" t="str">
        <f>"9780520276451"</f>
        <v>9780520276451</v>
      </c>
      <c r="C5234" s="10" t="str">
        <f>"9780520958449"</f>
        <v>9780520958449</v>
      </c>
      <c r="D5234" s="10" t="s">
        <v>8512</v>
      </c>
      <c r="E5234" s="10" t="s">
        <v>8512</v>
      </c>
      <c r="F5234" s="10" t="s">
        <v>717</v>
      </c>
      <c r="G5234" s="10" t="s">
        <v>6317</v>
      </c>
      <c r="H5234" s="11">
        <v>41761</v>
      </c>
      <c r="I5234" s="10">
        <v>2014</v>
      </c>
      <c r="J5234" s="10" t="s">
        <v>8512</v>
      </c>
      <c r="K5234" s="10">
        <v>236</v>
      </c>
      <c r="L5234" s="10" t="s">
        <v>27412</v>
      </c>
      <c r="M5234" s="10">
        <v>1</v>
      </c>
      <c r="N5234" s="10"/>
      <c r="O5234" s="10"/>
      <c r="P5234" s="10"/>
      <c r="Q5234" s="10">
        <v>378.36200000000002</v>
      </c>
      <c r="R5234" s="10" t="s">
        <v>27413</v>
      </c>
      <c r="S5234" s="10" t="s">
        <v>53</v>
      </c>
      <c r="T5234" s="10" t="s">
        <v>54</v>
      </c>
    </row>
    <row r="5235" spans="1:20" ht="14.5" x14ac:dyDescent="0.35">
      <c r="A5235" s="10" t="s">
        <v>27414</v>
      </c>
      <c r="B5235" s="10" t="str">
        <f>"9781118866917"</f>
        <v>9781118866917</v>
      </c>
      <c r="C5235" s="10" t="str">
        <f>"9781118866979"</f>
        <v>9781118866979</v>
      </c>
      <c r="D5235" s="10" t="s">
        <v>6322</v>
      </c>
      <c r="E5235" s="10" t="s">
        <v>6323</v>
      </c>
      <c r="F5235" s="10" t="s">
        <v>13068</v>
      </c>
      <c r="G5235" s="10" t="s">
        <v>6317</v>
      </c>
      <c r="H5235" s="11">
        <v>41708</v>
      </c>
      <c r="I5235" s="10">
        <v>2014</v>
      </c>
      <c r="J5235" s="10" t="s">
        <v>6324</v>
      </c>
      <c r="K5235" s="10">
        <v>178</v>
      </c>
      <c r="L5235" s="10" t="s">
        <v>27415</v>
      </c>
      <c r="M5235" s="10">
        <v>1</v>
      </c>
      <c r="N5235" s="10" t="s">
        <v>23322</v>
      </c>
      <c r="O5235" s="10"/>
      <c r="P5235" s="10" t="s">
        <v>27416</v>
      </c>
      <c r="Q5235" s="10">
        <v>378.19850000000002</v>
      </c>
      <c r="R5235" s="10" t="s">
        <v>27417</v>
      </c>
      <c r="S5235" s="10" t="s">
        <v>53</v>
      </c>
      <c r="T5235" s="10" t="s">
        <v>54</v>
      </c>
    </row>
    <row r="5236" spans="1:20" ht="14.5" x14ac:dyDescent="0.35">
      <c r="A5236" s="10" t="s">
        <v>27418</v>
      </c>
      <c r="B5236" s="10" t="str">
        <f>"9780787969691"</f>
        <v>9780787969691</v>
      </c>
      <c r="C5236" s="10" t="str">
        <f>"9781118917404"</f>
        <v>9781118917404</v>
      </c>
      <c r="D5236" s="10" t="s">
        <v>6322</v>
      </c>
      <c r="E5236" s="10" t="s">
        <v>6323</v>
      </c>
      <c r="F5236" s="10" t="s">
        <v>4423</v>
      </c>
      <c r="G5236" s="10" t="s">
        <v>6317</v>
      </c>
      <c r="H5236" s="11">
        <v>37960</v>
      </c>
      <c r="I5236" s="10">
        <v>2003</v>
      </c>
      <c r="J5236" s="10" t="s">
        <v>6324</v>
      </c>
      <c r="K5236" s="10">
        <v>265</v>
      </c>
      <c r="L5236" s="10" t="s">
        <v>7403</v>
      </c>
      <c r="M5236" s="10">
        <v>1</v>
      </c>
      <c r="N5236" s="10"/>
      <c r="O5236" s="10"/>
      <c r="P5236" s="10"/>
      <c r="Q5236" s="10"/>
      <c r="R5236" s="10" t="s">
        <v>27419</v>
      </c>
      <c r="S5236" s="10" t="s">
        <v>53</v>
      </c>
      <c r="T5236" s="10" t="s">
        <v>8755</v>
      </c>
    </row>
    <row r="5237" spans="1:20" ht="14.5" x14ac:dyDescent="0.35">
      <c r="A5237" s="10" t="s">
        <v>27420</v>
      </c>
      <c r="B5237" s="10" t="str">
        <f>"9780415361675"</f>
        <v>9780415361675</v>
      </c>
      <c r="C5237" s="10" t="str">
        <f>"9781136574979"</f>
        <v>9781136574979</v>
      </c>
      <c r="D5237" s="10" t="s">
        <v>6350</v>
      </c>
      <c r="E5237" s="10" t="s">
        <v>6351</v>
      </c>
      <c r="F5237" s="10" t="s">
        <v>748</v>
      </c>
      <c r="G5237" s="10" t="s">
        <v>6352</v>
      </c>
      <c r="H5237" s="11">
        <v>38446</v>
      </c>
      <c r="I5237" s="10">
        <v>2005</v>
      </c>
      <c r="J5237" s="10" t="s">
        <v>6351</v>
      </c>
      <c r="K5237" s="10">
        <v>367</v>
      </c>
      <c r="L5237" s="10" t="s">
        <v>27421</v>
      </c>
      <c r="M5237" s="10">
        <v>1</v>
      </c>
      <c r="N5237" s="10"/>
      <c r="O5237" s="10"/>
      <c r="P5237" s="10" t="s">
        <v>27422</v>
      </c>
      <c r="Q5237" s="10" t="s">
        <v>27423</v>
      </c>
      <c r="R5237" s="10" t="s">
        <v>27424</v>
      </c>
      <c r="S5237" s="10" t="s">
        <v>53</v>
      </c>
      <c r="T5237" s="10" t="s">
        <v>54</v>
      </c>
    </row>
    <row r="5238" spans="1:20" ht="14.5" x14ac:dyDescent="0.35">
      <c r="A5238" s="10" t="s">
        <v>27425</v>
      </c>
      <c r="B5238" s="10" t="str">
        <f>"9781853466199"</f>
        <v>9781853466199</v>
      </c>
      <c r="C5238" s="10" t="str">
        <f>"9781134110902"</f>
        <v>9781134110902</v>
      </c>
      <c r="D5238" s="10" t="s">
        <v>6350</v>
      </c>
      <c r="E5238" s="10" t="s">
        <v>15120</v>
      </c>
      <c r="F5238" s="10" t="s">
        <v>748</v>
      </c>
      <c r="G5238" s="10" t="s">
        <v>6352</v>
      </c>
      <c r="H5238" s="11">
        <v>36465</v>
      </c>
      <c r="I5238" s="10">
        <v>2000</v>
      </c>
      <c r="J5238" s="10" t="s">
        <v>15120</v>
      </c>
      <c r="K5238" s="10">
        <v>82</v>
      </c>
      <c r="L5238" s="10" t="s">
        <v>27426</v>
      </c>
      <c r="M5238" s="10">
        <v>1</v>
      </c>
      <c r="N5238" s="10"/>
      <c r="O5238" s="10"/>
      <c r="P5238" s="10" t="s">
        <v>27427</v>
      </c>
      <c r="Q5238" s="10" t="s">
        <v>7817</v>
      </c>
      <c r="R5238" s="10" t="s">
        <v>54</v>
      </c>
      <c r="S5238" s="10" t="s">
        <v>53</v>
      </c>
      <c r="T5238" s="10" t="s">
        <v>54</v>
      </c>
    </row>
    <row r="5239" spans="1:20" ht="14.5" x14ac:dyDescent="0.35">
      <c r="A5239" s="10" t="s">
        <v>27428</v>
      </c>
      <c r="B5239" s="10" t="str">
        <f>"9780789014290"</f>
        <v>9780789014290</v>
      </c>
      <c r="C5239" s="10" t="str">
        <f>"9781317719519"</f>
        <v>9781317719519</v>
      </c>
      <c r="D5239" s="10" t="s">
        <v>6350</v>
      </c>
      <c r="E5239" s="10" t="s">
        <v>6351</v>
      </c>
      <c r="F5239" s="10" t="s">
        <v>5406</v>
      </c>
      <c r="G5239" s="10" t="s">
        <v>6352</v>
      </c>
      <c r="H5239" s="11">
        <v>37371</v>
      </c>
      <c r="I5239" s="10">
        <v>2002</v>
      </c>
      <c r="J5239" s="10" t="s">
        <v>6353</v>
      </c>
      <c r="K5239" s="10">
        <v>336</v>
      </c>
      <c r="L5239" s="10" t="s">
        <v>27429</v>
      </c>
      <c r="M5239" s="10">
        <v>1</v>
      </c>
      <c r="N5239" s="10"/>
      <c r="O5239" s="10"/>
      <c r="P5239" s="10" t="s">
        <v>27430</v>
      </c>
      <c r="Q5239" s="10">
        <v>616</v>
      </c>
      <c r="R5239" s="10" t="s">
        <v>27431</v>
      </c>
      <c r="S5239" s="10" t="s">
        <v>53</v>
      </c>
      <c r="T5239" s="10" t="s">
        <v>8681</v>
      </c>
    </row>
    <row r="5240" spans="1:20" ht="14.5" x14ac:dyDescent="0.35">
      <c r="A5240" s="10" t="s">
        <v>27432</v>
      </c>
      <c r="B5240" s="10" t="str">
        <f>"9783954892105"</f>
        <v>9783954892105</v>
      </c>
      <c r="C5240" s="10" t="str">
        <f>"9783954897100"</f>
        <v>9783954897100</v>
      </c>
      <c r="D5240" s="10" t="s">
        <v>27189</v>
      </c>
      <c r="E5240" s="10" t="s">
        <v>27190</v>
      </c>
      <c r="F5240" s="10" t="s">
        <v>2841</v>
      </c>
      <c r="G5240" s="10" t="s">
        <v>9998</v>
      </c>
      <c r="H5240" s="11">
        <v>41671</v>
      </c>
      <c r="I5240" s="10">
        <v>2014</v>
      </c>
      <c r="J5240" s="10" t="s">
        <v>27433</v>
      </c>
      <c r="K5240" s="10">
        <v>183</v>
      </c>
      <c r="L5240" s="10" t="s">
        <v>27434</v>
      </c>
      <c r="M5240" s="10">
        <v>1</v>
      </c>
      <c r="N5240" s="10"/>
      <c r="O5240" s="10"/>
      <c r="P5240" s="10" t="s">
        <v>27435</v>
      </c>
      <c r="Q5240" s="10">
        <v>370.15230000000003</v>
      </c>
      <c r="R5240" s="10" t="s">
        <v>27436</v>
      </c>
      <c r="S5240" s="10" t="s">
        <v>53</v>
      </c>
      <c r="T5240" s="10" t="s">
        <v>54</v>
      </c>
    </row>
    <row r="5241" spans="1:20" ht="14.5" x14ac:dyDescent="0.35">
      <c r="A5241" s="10" t="s">
        <v>27437</v>
      </c>
      <c r="B5241" s="10" t="str">
        <f>"9783954890972"</f>
        <v>9783954890972</v>
      </c>
      <c r="C5241" s="10" t="str">
        <f>"9783954895977"</f>
        <v>9783954895977</v>
      </c>
      <c r="D5241" s="10" t="s">
        <v>27189</v>
      </c>
      <c r="E5241" s="10" t="s">
        <v>27190</v>
      </c>
      <c r="F5241" s="10" t="s">
        <v>2841</v>
      </c>
      <c r="G5241" s="10" t="s">
        <v>9998</v>
      </c>
      <c r="H5241" s="11">
        <v>41548</v>
      </c>
      <c r="I5241" s="10">
        <v>2014</v>
      </c>
      <c r="J5241" s="10" t="s">
        <v>27433</v>
      </c>
      <c r="K5241" s="10">
        <v>291</v>
      </c>
      <c r="L5241" s="10" t="s">
        <v>27438</v>
      </c>
      <c r="M5241" s="10">
        <v>1</v>
      </c>
      <c r="N5241" s="10"/>
      <c r="O5241" s="10"/>
      <c r="P5241" s="10" t="s">
        <v>27439</v>
      </c>
      <c r="Q5241" s="10">
        <v>370.96893999999998</v>
      </c>
      <c r="R5241" s="10" t="s">
        <v>27440</v>
      </c>
      <c r="S5241" s="10" t="s">
        <v>53</v>
      </c>
      <c r="T5241" s="10" t="s">
        <v>54</v>
      </c>
    </row>
    <row r="5242" spans="1:20" ht="14.5" x14ac:dyDescent="0.35">
      <c r="A5242" s="10" t="s">
        <v>27441</v>
      </c>
      <c r="B5242" s="10" t="str">
        <f>"9781412971751"</f>
        <v>9781412971751</v>
      </c>
      <c r="C5242" s="10" t="str">
        <f>"9781452298894"</f>
        <v>9781452298894</v>
      </c>
      <c r="D5242" s="10" t="s">
        <v>22210</v>
      </c>
      <c r="E5242" s="10" t="s">
        <v>22211</v>
      </c>
      <c r="F5242" s="10" t="s">
        <v>333</v>
      </c>
      <c r="G5242" s="10" t="s">
        <v>6317</v>
      </c>
      <c r="H5242" s="11">
        <v>40333</v>
      </c>
      <c r="I5242" s="10">
        <v>2010</v>
      </c>
      <c r="J5242" s="10" t="s">
        <v>22211</v>
      </c>
      <c r="K5242" s="10">
        <v>121</v>
      </c>
      <c r="L5242" s="10" t="s">
        <v>23167</v>
      </c>
      <c r="M5242" s="10">
        <v>2</v>
      </c>
      <c r="N5242" s="10"/>
      <c r="O5242" s="10"/>
      <c r="P5242" s="10" t="s">
        <v>27442</v>
      </c>
      <c r="Q5242" s="10">
        <v>370.11700000000002</v>
      </c>
      <c r="R5242" s="10"/>
      <c r="S5242" s="10" t="s">
        <v>53</v>
      </c>
      <c r="T5242" s="10" t="s">
        <v>54</v>
      </c>
    </row>
    <row r="5243" spans="1:20" ht="14.5" x14ac:dyDescent="0.35">
      <c r="A5243" s="10" t="s">
        <v>27443</v>
      </c>
      <c r="B5243" s="10" t="str">
        <f>"9781452217406"</f>
        <v>9781452217406</v>
      </c>
      <c r="C5243" s="10" t="str">
        <f>"9781452299150"</f>
        <v>9781452299150</v>
      </c>
      <c r="D5243" s="10" t="s">
        <v>22210</v>
      </c>
      <c r="E5243" s="10" t="s">
        <v>22211</v>
      </c>
      <c r="F5243" s="10" t="s">
        <v>333</v>
      </c>
      <c r="G5243" s="10" t="s">
        <v>6317</v>
      </c>
      <c r="H5243" s="11">
        <v>40807</v>
      </c>
      <c r="I5243" s="10">
        <v>2011</v>
      </c>
      <c r="J5243" s="10" t="s">
        <v>22211</v>
      </c>
      <c r="K5243" s="10">
        <v>209</v>
      </c>
      <c r="L5243" s="10" t="s">
        <v>25838</v>
      </c>
      <c r="M5243" s="10">
        <v>1</v>
      </c>
      <c r="N5243" s="10" t="s">
        <v>23984</v>
      </c>
      <c r="O5243" s="10"/>
      <c r="P5243" s="10" t="s">
        <v>27444</v>
      </c>
      <c r="Q5243" s="10" t="s">
        <v>10031</v>
      </c>
      <c r="R5243" s="10"/>
      <c r="S5243" s="10" t="s">
        <v>53</v>
      </c>
      <c r="T5243" s="10" t="s">
        <v>54</v>
      </c>
    </row>
    <row r="5244" spans="1:20" ht="14.5" x14ac:dyDescent="0.35">
      <c r="A5244" s="10" t="s">
        <v>27445</v>
      </c>
      <c r="B5244" s="10" t="str">
        <f>"9781118368213"</f>
        <v>9781118368213</v>
      </c>
      <c r="C5244" s="10" t="str">
        <f>"9781118420652"</f>
        <v>9781118420652</v>
      </c>
      <c r="D5244" s="10" t="s">
        <v>6322</v>
      </c>
      <c r="E5244" s="10" t="s">
        <v>6323</v>
      </c>
      <c r="F5244" s="10" t="s">
        <v>4423</v>
      </c>
      <c r="G5244" s="10" t="s">
        <v>6317</v>
      </c>
      <c r="H5244" s="11">
        <v>41715</v>
      </c>
      <c r="I5244" s="10">
        <v>2014</v>
      </c>
      <c r="J5244" s="10" t="s">
        <v>6323</v>
      </c>
      <c r="K5244" s="10">
        <v>498</v>
      </c>
      <c r="L5244" s="10" t="s">
        <v>27446</v>
      </c>
      <c r="M5244" s="10">
        <v>1</v>
      </c>
      <c r="N5244" s="10" t="s">
        <v>18778</v>
      </c>
      <c r="O5244" s="10"/>
      <c r="P5244" s="10"/>
      <c r="Q5244" s="10">
        <v>371.9</v>
      </c>
      <c r="R5244" s="10" t="s">
        <v>6577</v>
      </c>
      <c r="S5244" s="10" t="s">
        <v>53</v>
      </c>
      <c r="T5244" s="10" t="s">
        <v>54</v>
      </c>
    </row>
    <row r="5245" spans="1:20" ht="14.5" x14ac:dyDescent="0.35">
      <c r="A5245" s="10" t="s">
        <v>27447</v>
      </c>
      <c r="B5245" s="10" t="str">
        <f>"9780787977672"</f>
        <v>9780787977672</v>
      </c>
      <c r="C5245" s="10" t="str">
        <f>"9781118931707"</f>
        <v>9781118931707</v>
      </c>
      <c r="D5245" s="10" t="s">
        <v>6322</v>
      </c>
      <c r="E5245" s="10" t="s">
        <v>6323</v>
      </c>
      <c r="F5245" s="10" t="s">
        <v>6339</v>
      </c>
      <c r="G5245" s="10" t="s">
        <v>6317</v>
      </c>
      <c r="H5245" s="11">
        <v>38247</v>
      </c>
      <c r="I5245" s="10">
        <v>2004</v>
      </c>
      <c r="J5245" s="10" t="s">
        <v>6324</v>
      </c>
      <c r="K5245" s="10">
        <v>116</v>
      </c>
      <c r="L5245" s="10" t="s">
        <v>27448</v>
      </c>
      <c r="M5245" s="10">
        <v>1</v>
      </c>
      <c r="N5245" s="10" t="s">
        <v>20707</v>
      </c>
      <c r="O5245" s="10">
        <v>74</v>
      </c>
      <c r="P5245" s="10" t="s">
        <v>27449</v>
      </c>
      <c r="Q5245" s="10">
        <v>374</v>
      </c>
      <c r="R5245" s="10" t="s">
        <v>27450</v>
      </c>
      <c r="S5245" s="10" t="s">
        <v>53</v>
      </c>
      <c r="T5245" s="10" t="s">
        <v>54</v>
      </c>
    </row>
    <row r="5246" spans="1:20" ht="14.5" x14ac:dyDescent="0.35">
      <c r="A5246" s="10" t="s">
        <v>27451</v>
      </c>
      <c r="B5246" s="10" t="str">
        <f>"9780809309030"</f>
        <v>9780809309030</v>
      </c>
      <c r="C5246" s="10" t="str">
        <f>"9780809384556"</f>
        <v>9780809384556</v>
      </c>
      <c r="D5246" s="10" t="s">
        <v>26036</v>
      </c>
      <c r="E5246" s="10" t="s">
        <v>26036</v>
      </c>
      <c r="F5246" s="10" t="s">
        <v>2236</v>
      </c>
      <c r="G5246" s="10" t="s">
        <v>6317</v>
      </c>
      <c r="H5246" s="11">
        <v>29083</v>
      </c>
      <c r="I5246" s="10">
        <v>1979</v>
      </c>
      <c r="J5246" s="10" t="s">
        <v>26036</v>
      </c>
      <c r="K5246" s="10">
        <v>312</v>
      </c>
      <c r="L5246" s="10" t="s">
        <v>27452</v>
      </c>
      <c r="M5246" s="10">
        <v>1</v>
      </c>
      <c r="N5246" s="10"/>
      <c r="O5246" s="10"/>
      <c r="P5246" s="10" t="s">
        <v>27453</v>
      </c>
      <c r="Q5246" s="10"/>
      <c r="R5246" s="10"/>
      <c r="S5246" s="10" t="s">
        <v>53</v>
      </c>
      <c r="T5246" s="10" t="s">
        <v>6384</v>
      </c>
    </row>
    <row r="5247" spans="1:20" ht="14.5" x14ac:dyDescent="0.35">
      <c r="A5247" s="10" t="s">
        <v>27454</v>
      </c>
      <c r="B5247" s="10" t="str">
        <f>"9783110341126"</f>
        <v>9783110341126</v>
      </c>
      <c r="C5247" s="10" t="str">
        <f>"9783110341201"</f>
        <v>9783110341201</v>
      </c>
      <c r="D5247" s="10" t="s">
        <v>9995</v>
      </c>
      <c r="E5247" s="10" t="s">
        <v>2515</v>
      </c>
      <c r="F5247" s="10" t="s">
        <v>26321</v>
      </c>
      <c r="G5247" s="10" t="s">
        <v>9998</v>
      </c>
      <c r="H5247" s="11">
        <v>42090</v>
      </c>
      <c r="I5247" s="10">
        <v>2015</v>
      </c>
      <c r="J5247" s="10" t="s">
        <v>2515</v>
      </c>
      <c r="K5247" s="10">
        <v>978</v>
      </c>
      <c r="L5247" s="10" t="s">
        <v>27455</v>
      </c>
      <c r="M5247" s="10">
        <v>1</v>
      </c>
      <c r="N5247" s="10"/>
      <c r="O5247" s="10"/>
      <c r="P5247" s="10" t="s">
        <v>27456</v>
      </c>
      <c r="Q5247" s="10"/>
      <c r="R5247" s="10" t="s">
        <v>27457</v>
      </c>
      <c r="S5247" s="10" t="s">
        <v>1519</v>
      </c>
      <c r="T5247" s="10" t="s">
        <v>54</v>
      </c>
    </row>
    <row r="5248" spans="1:20" ht="14.5" x14ac:dyDescent="0.35">
      <c r="A5248" s="10" t="s">
        <v>27458</v>
      </c>
      <c r="B5248" s="10" t="str">
        <f>"9780739146989"</f>
        <v>9780739146989</v>
      </c>
      <c r="C5248" s="10" t="str">
        <f>"9780739146996"</f>
        <v>9780739146996</v>
      </c>
      <c r="D5248" s="10" t="s">
        <v>9752</v>
      </c>
      <c r="E5248" s="10" t="s">
        <v>15182</v>
      </c>
      <c r="F5248" s="10" t="s">
        <v>9754</v>
      </c>
      <c r="G5248" s="10" t="s">
        <v>6317</v>
      </c>
      <c r="H5248" s="11">
        <v>41697</v>
      </c>
      <c r="I5248" s="10">
        <v>2014</v>
      </c>
      <c r="J5248" s="10" t="s">
        <v>15182</v>
      </c>
      <c r="K5248" s="10">
        <v>153</v>
      </c>
      <c r="L5248" s="10" t="s">
        <v>27459</v>
      </c>
      <c r="M5248" s="10">
        <v>1</v>
      </c>
      <c r="N5248" s="10" t="s">
        <v>17833</v>
      </c>
      <c r="O5248" s="10"/>
      <c r="P5248" s="10" t="s">
        <v>27460</v>
      </c>
      <c r="Q5248" s="10">
        <v>371.90460951156001</v>
      </c>
      <c r="R5248" s="10" t="s">
        <v>27461</v>
      </c>
      <c r="S5248" s="10" t="s">
        <v>53</v>
      </c>
      <c r="T5248" s="10" t="s">
        <v>54</v>
      </c>
    </row>
    <row r="5249" spans="1:20" ht="14.5" x14ac:dyDescent="0.35">
      <c r="A5249" s="10" t="s">
        <v>27462</v>
      </c>
      <c r="B5249" s="10" t="str">
        <f>"9780231169288"</f>
        <v>9780231169288</v>
      </c>
      <c r="C5249" s="10" t="str">
        <f>"9780231537513"</f>
        <v>9780231537513</v>
      </c>
      <c r="D5249" s="10" t="s">
        <v>20767</v>
      </c>
      <c r="E5249" s="10" t="s">
        <v>20768</v>
      </c>
      <c r="F5249" s="10" t="s">
        <v>70</v>
      </c>
      <c r="G5249" s="10" t="s">
        <v>6317</v>
      </c>
      <c r="H5249" s="11">
        <v>41933</v>
      </c>
      <c r="I5249" s="10">
        <v>2014</v>
      </c>
      <c r="J5249" s="10" t="s">
        <v>20768</v>
      </c>
      <c r="K5249" s="10">
        <v>230</v>
      </c>
      <c r="L5249" s="10" t="s">
        <v>27463</v>
      </c>
      <c r="M5249" s="10"/>
      <c r="N5249" s="10"/>
      <c r="O5249" s="10"/>
      <c r="P5249" s="10" t="s">
        <v>27464</v>
      </c>
      <c r="Q5249" s="10">
        <v>379.58100000000002</v>
      </c>
      <c r="R5249" s="10" t="s">
        <v>27465</v>
      </c>
      <c r="S5249" s="10" t="s">
        <v>53</v>
      </c>
      <c r="T5249" s="10" t="s">
        <v>54</v>
      </c>
    </row>
    <row r="5250" spans="1:20" ht="14.5" x14ac:dyDescent="0.35">
      <c r="A5250" s="10" t="s">
        <v>27466</v>
      </c>
      <c r="B5250" s="10" t="str">
        <f>"9781452271880"</f>
        <v>9781452271880</v>
      </c>
      <c r="C5250" s="10" t="str">
        <f>"9781483359090"</f>
        <v>9781483359090</v>
      </c>
      <c r="D5250" s="10" t="s">
        <v>22210</v>
      </c>
      <c r="E5250" s="10" t="s">
        <v>22211</v>
      </c>
      <c r="F5250" s="10" t="s">
        <v>333</v>
      </c>
      <c r="G5250" s="10" t="s">
        <v>6317</v>
      </c>
      <c r="H5250" s="11">
        <v>41716</v>
      </c>
      <c r="I5250" s="10">
        <v>2014</v>
      </c>
      <c r="J5250" s="10" t="s">
        <v>22211</v>
      </c>
      <c r="K5250" s="10">
        <v>273</v>
      </c>
      <c r="L5250" s="10" t="s">
        <v>27467</v>
      </c>
      <c r="M5250" s="10">
        <v>1</v>
      </c>
      <c r="N5250" s="10" t="s">
        <v>23967</v>
      </c>
      <c r="O5250" s="10"/>
      <c r="P5250" s="10" t="s">
        <v>27468</v>
      </c>
      <c r="Q5250" s="10">
        <v>370.15409729999999</v>
      </c>
      <c r="R5250" s="10"/>
      <c r="S5250" s="10" t="s">
        <v>53</v>
      </c>
      <c r="T5250" s="10" t="s">
        <v>54</v>
      </c>
    </row>
    <row r="5251" spans="1:20" ht="14.5" x14ac:dyDescent="0.35">
      <c r="A5251" s="10" t="s">
        <v>27469</v>
      </c>
      <c r="B5251" s="10" t="str">
        <f>"9781441153012"</f>
        <v>9781441153012</v>
      </c>
      <c r="C5251" s="10" t="str">
        <f>"9781441128225"</f>
        <v>9781441128225</v>
      </c>
      <c r="D5251" s="10" t="s">
        <v>13959</v>
      </c>
      <c r="E5251" s="10" t="s">
        <v>13960</v>
      </c>
      <c r="F5251" s="10" t="s">
        <v>139</v>
      </c>
      <c r="G5251" s="10" t="s">
        <v>6352</v>
      </c>
      <c r="H5251" s="11">
        <v>41697</v>
      </c>
      <c r="I5251" s="10">
        <v>2014</v>
      </c>
      <c r="J5251" s="10" t="s">
        <v>16948</v>
      </c>
      <c r="K5251" s="10">
        <v>193</v>
      </c>
      <c r="L5251" s="10" t="s">
        <v>27470</v>
      </c>
      <c r="M5251" s="10">
        <v>1</v>
      </c>
      <c r="N5251" s="10"/>
      <c r="O5251" s="10"/>
      <c r="P5251" s="10" t="s">
        <v>27471</v>
      </c>
      <c r="Q5251" s="10">
        <v>371.2</v>
      </c>
      <c r="R5251" s="10" t="s">
        <v>27472</v>
      </c>
      <c r="S5251" s="10" t="s">
        <v>53</v>
      </c>
      <c r="T5251" s="10" t="s">
        <v>54</v>
      </c>
    </row>
    <row r="5252" spans="1:20" ht="14.5" x14ac:dyDescent="0.35">
      <c r="A5252" s="10" t="s">
        <v>27473</v>
      </c>
      <c r="B5252" s="10" t="str">
        <f>"9781889057552"</f>
        <v>9781889057552</v>
      </c>
      <c r="C5252" s="10" t="str">
        <f>"9781889057231"</f>
        <v>9781889057231</v>
      </c>
      <c r="D5252" s="10" t="s">
        <v>6315</v>
      </c>
      <c r="E5252" s="10" t="s">
        <v>6315</v>
      </c>
      <c r="F5252" s="10" t="s">
        <v>3061</v>
      </c>
      <c r="G5252" s="10" t="s">
        <v>6317</v>
      </c>
      <c r="H5252" s="11">
        <v>41671</v>
      </c>
      <c r="I5252" s="10">
        <v>2014</v>
      </c>
      <c r="J5252" s="10" t="s">
        <v>6315</v>
      </c>
      <c r="K5252" s="10">
        <v>373</v>
      </c>
      <c r="L5252" s="10" t="s">
        <v>27474</v>
      </c>
      <c r="M5252" s="10">
        <v>1</v>
      </c>
      <c r="N5252" s="10"/>
      <c r="O5252" s="10"/>
      <c r="P5252" s="10" t="s">
        <v>27475</v>
      </c>
      <c r="Q5252" s="10">
        <v>371.26028500000001</v>
      </c>
      <c r="R5252" s="10" t="s">
        <v>27476</v>
      </c>
      <c r="S5252" s="10" t="s">
        <v>53</v>
      </c>
      <c r="T5252" s="10" t="s">
        <v>54</v>
      </c>
    </row>
    <row r="5253" spans="1:20" ht="14.5" x14ac:dyDescent="0.35">
      <c r="A5253" s="10" t="s">
        <v>27477</v>
      </c>
      <c r="B5253" s="10" t="str">
        <f>"9789888208135"</f>
        <v>9789888208135</v>
      </c>
      <c r="C5253" s="10" t="str">
        <f>"9789888268290"</f>
        <v>9789888268290</v>
      </c>
      <c r="D5253" s="10" t="s">
        <v>18250</v>
      </c>
      <c r="E5253" s="10" t="s">
        <v>18250</v>
      </c>
      <c r="F5253" s="10" t="s">
        <v>535</v>
      </c>
      <c r="G5253" s="10" t="s">
        <v>18251</v>
      </c>
      <c r="H5253" s="11">
        <v>41615</v>
      </c>
      <c r="I5253" s="10">
        <v>2014</v>
      </c>
      <c r="J5253" s="10" t="s">
        <v>18250</v>
      </c>
      <c r="K5253" s="10">
        <v>427</v>
      </c>
      <c r="L5253" s="10" t="s">
        <v>27478</v>
      </c>
      <c r="M5253" s="10">
        <v>1</v>
      </c>
      <c r="N5253" s="10"/>
      <c r="O5253" s="10"/>
      <c r="P5253" s="10" t="s">
        <v>27479</v>
      </c>
      <c r="Q5253" s="10">
        <v>371.82900950999999</v>
      </c>
      <c r="R5253" s="10" t="s">
        <v>27480</v>
      </c>
      <c r="S5253" s="10" t="s">
        <v>53</v>
      </c>
      <c r="T5253" s="10" t="s">
        <v>54</v>
      </c>
    </row>
    <row r="5254" spans="1:20" ht="14.5" x14ac:dyDescent="0.35">
      <c r="A5254" s="10" t="s">
        <v>27481</v>
      </c>
      <c r="B5254" s="10" t="str">
        <f>"9780826492715"</f>
        <v>9780826492715</v>
      </c>
      <c r="C5254" s="10" t="str">
        <f>"9781441162083"</f>
        <v>9781441162083</v>
      </c>
      <c r="D5254" s="10" t="s">
        <v>13959</v>
      </c>
      <c r="E5254" s="10" t="s">
        <v>13960</v>
      </c>
      <c r="F5254" s="10" t="s">
        <v>139</v>
      </c>
      <c r="G5254" s="10" t="s">
        <v>6352</v>
      </c>
      <c r="H5254" s="11">
        <v>39187</v>
      </c>
      <c r="I5254" s="10">
        <v>2007</v>
      </c>
      <c r="J5254" s="10" t="s">
        <v>13960</v>
      </c>
      <c r="K5254" s="10">
        <v>255</v>
      </c>
      <c r="L5254" s="10" t="s">
        <v>12569</v>
      </c>
      <c r="M5254" s="10">
        <v>1</v>
      </c>
      <c r="N5254" s="10" t="s">
        <v>14169</v>
      </c>
      <c r="O5254" s="10"/>
      <c r="P5254" s="10" t="s">
        <v>27482</v>
      </c>
      <c r="Q5254" s="10">
        <v>370.11399999999998</v>
      </c>
      <c r="R5254" s="10" t="s">
        <v>26838</v>
      </c>
      <c r="S5254" s="10" t="s">
        <v>53</v>
      </c>
      <c r="T5254" s="10" t="s">
        <v>54</v>
      </c>
    </row>
    <row r="5255" spans="1:20" ht="14.5" x14ac:dyDescent="0.35">
      <c r="A5255" s="10" t="s">
        <v>27483</v>
      </c>
      <c r="B5255" s="10" t="str">
        <f>"9780826496317"</f>
        <v>9780826496317</v>
      </c>
      <c r="C5255" s="10" t="str">
        <f>"9781441154866"</f>
        <v>9781441154866</v>
      </c>
      <c r="D5255" s="10" t="s">
        <v>13959</v>
      </c>
      <c r="E5255" s="10" t="s">
        <v>13960</v>
      </c>
      <c r="F5255" s="10" t="s">
        <v>139</v>
      </c>
      <c r="G5255" s="10" t="s">
        <v>6352</v>
      </c>
      <c r="H5255" s="11">
        <v>39517</v>
      </c>
      <c r="I5255" s="10">
        <v>2008</v>
      </c>
      <c r="J5255" s="10" t="s">
        <v>13961</v>
      </c>
      <c r="K5255" s="10">
        <v>123</v>
      </c>
      <c r="L5255" s="10" t="s">
        <v>10407</v>
      </c>
      <c r="M5255" s="10">
        <v>2</v>
      </c>
      <c r="N5255" s="10" t="s">
        <v>27484</v>
      </c>
      <c r="O5255" s="10"/>
      <c r="P5255" s="10" t="s">
        <v>27485</v>
      </c>
      <c r="Q5255" s="10">
        <v>1.43</v>
      </c>
      <c r="R5255" s="10" t="s">
        <v>27486</v>
      </c>
      <c r="S5255" s="10" t="s">
        <v>53</v>
      </c>
      <c r="T5255" s="10" t="s">
        <v>19372</v>
      </c>
    </row>
    <row r="5256" spans="1:20" ht="14.5" x14ac:dyDescent="0.35">
      <c r="A5256" s="10" t="s">
        <v>27487</v>
      </c>
      <c r="B5256" s="10" t="str">
        <f>"9781441176424"</f>
        <v>9781441176424</v>
      </c>
      <c r="C5256" s="10" t="str">
        <f>"9781441110008"</f>
        <v>9781441110008</v>
      </c>
      <c r="D5256" s="10" t="s">
        <v>13959</v>
      </c>
      <c r="E5256" s="10" t="s">
        <v>13960</v>
      </c>
      <c r="F5256" s="10" t="s">
        <v>139</v>
      </c>
      <c r="G5256" s="10" t="s">
        <v>6352</v>
      </c>
      <c r="H5256" s="11">
        <v>40522</v>
      </c>
      <c r="I5256" s="10">
        <v>2008</v>
      </c>
      <c r="J5256" s="10" t="s">
        <v>13961</v>
      </c>
      <c r="K5256" s="10">
        <v>228</v>
      </c>
      <c r="L5256" s="10" t="s">
        <v>24387</v>
      </c>
      <c r="M5256" s="10">
        <v>1</v>
      </c>
      <c r="N5256" s="10"/>
      <c r="O5256" s="10"/>
      <c r="P5256" s="10" t="s">
        <v>27488</v>
      </c>
      <c r="Q5256" s="10">
        <v>305.23</v>
      </c>
      <c r="R5256" s="10" t="s">
        <v>27489</v>
      </c>
      <c r="S5256" s="10" t="s">
        <v>53</v>
      </c>
      <c r="T5256" s="10" t="s">
        <v>6363</v>
      </c>
    </row>
    <row r="5257" spans="1:20" ht="14.5" x14ac:dyDescent="0.35">
      <c r="A5257" s="10" t="s">
        <v>27490</v>
      </c>
      <c r="B5257" s="10" t="str">
        <f>"9780761939115"</f>
        <v>9780761939115</v>
      </c>
      <c r="C5257" s="10" t="str">
        <f>"9781483362724"</f>
        <v>9781483362724</v>
      </c>
      <c r="D5257" s="10" t="s">
        <v>22210</v>
      </c>
      <c r="E5257" s="10" t="s">
        <v>22211</v>
      </c>
      <c r="F5257" s="10" t="s">
        <v>333</v>
      </c>
      <c r="G5257" s="10" t="s">
        <v>6317</v>
      </c>
      <c r="H5257" s="11">
        <v>37924</v>
      </c>
      <c r="I5257" s="10">
        <v>2004</v>
      </c>
      <c r="J5257" s="10" t="s">
        <v>22211</v>
      </c>
      <c r="K5257" s="10">
        <v>217</v>
      </c>
      <c r="L5257" s="10" t="s">
        <v>27491</v>
      </c>
      <c r="M5257" s="10">
        <v>1</v>
      </c>
      <c r="N5257" s="10"/>
      <c r="O5257" s="10"/>
      <c r="P5257" s="10" t="s">
        <v>27492</v>
      </c>
      <c r="Q5257" s="10"/>
      <c r="R5257" s="10"/>
      <c r="S5257" s="10" t="s">
        <v>53</v>
      </c>
      <c r="T5257" s="10" t="s">
        <v>54</v>
      </c>
    </row>
    <row r="5258" spans="1:20" ht="14.5" x14ac:dyDescent="0.35">
      <c r="A5258" s="10" t="s">
        <v>27493</v>
      </c>
      <c r="B5258" s="10" t="str">
        <f>"9780761931706"</f>
        <v>9780761931706</v>
      </c>
      <c r="C5258" s="10" t="str">
        <f>"9781483362540"</f>
        <v>9781483362540</v>
      </c>
      <c r="D5258" s="10" t="s">
        <v>22210</v>
      </c>
      <c r="E5258" s="10" t="s">
        <v>22211</v>
      </c>
      <c r="F5258" s="10" t="s">
        <v>333</v>
      </c>
      <c r="G5258" s="10" t="s">
        <v>6317</v>
      </c>
      <c r="H5258" s="11">
        <v>38272</v>
      </c>
      <c r="I5258" s="10">
        <v>2005</v>
      </c>
      <c r="J5258" s="10" t="s">
        <v>22211</v>
      </c>
      <c r="K5258" s="10">
        <v>161</v>
      </c>
      <c r="L5258" s="10" t="s">
        <v>27494</v>
      </c>
      <c r="M5258" s="10">
        <v>1</v>
      </c>
      <c r="N5258" s="10"/>
      <c r="O5258" s="10"/>
      <c r="P5258" s="10" t="s">
        <v>27495</v>
      </c>
      <c r="Q5258" s="10">
        <v>371.2</v>
      </c>
      <c r="R5258" s="10"/>
      <c r="S5258" s="10" t="s">
        <v>53</v>
      </c>
      <c r="T5258" s="10" t="s">
        <v>54</v>
      </c>
    </row>
    <row r="5259" spans="1:20" ht="14.5" x14ac:dyDescent="0.35">
      <c r="A5259" s="10" t="s">
        <v>27496</v>
      </c>
      <c r="B5259" s="10" t="str">
        <f>"9781137347008"</f>
        <v>9781137347008</v>
      </c>
      <c r="C5259" s="10" t="str">
        <f>"9781137347015"</f>
        <v>9781137347015</v>
      </c>
      <c r="D5259" s="10" t="s">
        <v>11249</v>
      </c>
      <c r="E5259" s="10" t="s">
        <v>13407</v>
      </c>
      <c r="F5259" s="10" t="s">
        <v>139</v>
      </c>
      <c r="G5259" s="10" t="s">
        <v>6352</v>
      </c>
      <c r="H5259" s="11">
        <v>41681</v>
      </c>
      <c r="I5259" s="10">
        <v>2014</v>
      </c>
      <c r="J5259" s="10" t="s">
        <v>2400</v>
      </c>
      <c r="K5259" s="10">
        <v>205</v>
      </c>
      <c r="L5259" s="10" t="s">
        <v>27497</v>
      </c>
      <c r="M5259" s="10">
        <v>1</v>
      </c>
      <c r="N5259" s="10"/>
      <c r="O5259" s="10"/>
      <c r="P5259" s="10" t="s">
        <v>11275</v>
      </c>
      <c r="Q5259" s="10">
        <v>371.54300000000001</v>
      </c>
      <c r="R5259" s="10" t="s">
        <v>6938</v>
      </c>
      <c r="S5259" s="10" t="s">
        <v>53</v>
      </c>
      <c r="T5259" s="10" t="s">
        <v>54</v>
      </c>
    </row>
    <row r="5260" spans="1:20" ht="14.5" x14ac:dyDescent="0.35">
      <c r="A5260" s="10" t="s">
        <v>27498</v>
      </c>
      <c r="B5260" s="10" t="str">
        <f>"9781118834374"</f>
        <v>9781118834374</v>
      </c>
      <c r="C5260" s="10" t="str">
        <f>"9781118837955"</f>
        <v>9781118837955</v>
      </c>
      <c r="D5260" s="10" t="s">
        <v>6322</v>
      </c>
      <c r="E5260" s="10" t="s">
        <v>6323</v>
      </c>
      <c r="F5260" s="10" t="s">
        <v>4423</v>
      </c>
      <c r="G5260" s="10" t="s">
        <v>6317</v>
      </c>
      <c r="H5260" s="11">
        <v>41736</v>
      </c>
      <c r="I5260" s="10">
        <v>2014</v>
      </c>
      <c r="J5260" s="10" t="s">
        <v>6324</v>
      </c>
      <c r="K5260" s="10">
        <v>338</v>
      </c>
      <c r="L5260" s="10" t="s">
        <v>27499</v>
      </c>
      <c r="M5260" s="10">
        <v>2</v>
      </c>
      <c r="N5260" s="10"/>
      <c r="O5260" s="10"/>
      <c r="P5260" s="10" t="s">
        <v>27500</v>
      </c>
      <c r="Q5260" s="10" t="s">
        <v>8587</v>
      </c>
      <c r="R5260" s="10" t="s">
        <v>27501</v>
      </c>
      <c r="S5260" s="10" t="s">
        <v>53</v>
      </c>
      <c r="T5260" s="10" t="s">
        <v>54</v>
      </c>
    </row>
    <row r="5261" spans="1:20" ht="14.5" x14ac:dyDescent="0.35">
      <c r="A5261" s="10" t="s">
        <v>27502</v>
      </c>
      <c r="B5261" s="10" t="str">
        <f>"9781412940610"</f>
        <v>9781412940610</v>
      </c>
      <c r="C5261" s="10" t="str">
        <f>"9781452282473"</f>
        <v>9781452282473</v>
      </c>
      <c r="D5261" s="10" t="s">
        <v>22210</v>
      </c>
      <c r="E5261" s="10" t="s">
        <v>22211</v>
      </c>
      <c r="F5261" s="10" t="s">
        <v>333</v>
      </c>
      <c r="G5261" s="10" t="s">
        <v>6317</v>
      </c>
      <c r="H5261" s="11">
        <v>39555</v>
      </c>
      <c r="I5261" s="10">
        <v>2008</v>
      </c>
      <c r="J5261" s="10" t="s">
        <v>22211</v>
      </c>
      <c r="K5261" s="10">
        <v>225</v>
      </c>
      <c r="L5261" s="10" t="s">
        <v>27503</v>
      </c>
      <c r="M5261" s="10">
        <v>2</v>
      </c>
      <c r="N5261" s="10"/>
      <c r="O5261" s="10"/>
      <c r="P5261" s="10" t="s">
        <v>27504</v>
      </c>
      <c r="Q5261" s="10">
        <v>371.10199999999998</v>
      </c>
      <c r="R5261" s="10" t="s">
        <v>27505</v>
      </c>
      <c r="S5261" s="10" t="s">
        <v>53</v>
      </c>
      <c r="T5261" s="10" t="s">
        <v>54</v>
      </c>
    </row>
    <row r="5262" spans="1:20" ht="14.5" x14ac:dyDescent="0.35">
      <c r="A5262" s="10" t="s">
        <v>27506</v>
      </c>
      <c r="B5262" s="10" t="str">
        <f>"9781412952750"</f>
        <v>9781412952750</v>
      </c>
      <c r="C5262" s="10" t="str">
        <f>"9781452297293"</f>
        <v>9781452297293</v>
      </c>
      <c r="D5262" s="10" t="s">
        <v>22210</v>
      </c>
      <c r="E5262" s="10" t="s">
        <v>22211</v>
      </c>
      <c r="F5262" s="10" t="s">
        <v>333</v>
      </c>
      <c r="G5262" s="10" t="s">
        <v>6317</v>
      </c>
      <c r="H5262" s="11">
        <v>39233</v>
      </c>
      <c r="I5262" s="10">
        <v>2007</v>
      </c>
      <c r="J5262" s="10" t="s">
        <v>22211</v>
      </c>
      <c r="K5262" s="10">
        <v>233</v>
      </c>
      <c r="L5262" s="10" t="s">
        <v>27507</v>
      </c>
      <c r="M5262" s="10">
        <v>2</v>
      </c>
      <c r="N5262" s="10"/>
      <c r="O5262" s="10"/>
      <c r="P5262" s="10" t="s">
        <v>27508</v>
      </c>
      <c r="Q5262" s="10"/>
      <c r="R5262" s="10"/>
      <c r="S5262" s="10" t="s">
        <v>53</v>
      </c>
      <c r="T5262" s="10" t="s">
        <v>389</v>
      </c>
    </row>
    <row r="5263" spans="1:20" ht="14.5" x14ac:dyDescent="0.35">
      <c r="A5263" s="10" t="s">
        <v>27509</v>
      </c>
      <c r="B5263" s="10" t="str">
        <f>"9781412939331"</f>
        <v>9781412939331</v>
      </c>
      <c r="C5263" s="10" t="str">
        <f>"9781452297422"</f>
        <v>9781452297422</v>
      </c>
      <c r="D5263" s="10" t="s">
        <v>22210</v>
      </c>
      <c r="E5263" s="10" t="s">
        <v>22211</v>
      </c>
      <c r="F5263" s="10" t="s">
        <v>333</v>
      </c>
      <c r="G5263" s="10" t="s">
        <v>6317</v>
      </c>
      <c r="H5263" s="11">
        <v>39317</v>
      </c>
      <c r="I5263" s="10">
        <v>2008</v>
      </c>
      <c r="J5263" s="10" t="s">
        <v>22211</v>
      </c>
      <c r="K5263" s="10">
        <v>169</v>
      </c>
      <c r="L5263" s="10" t="s">
        <v>27510</v>
      </c>
      <c r="M5263" s="10">
        <v>1</v>
      </c>
      <c r="N5263" s="10"/>
      <c r="O5263" s="10"/>
      <c r="P5263" s="10" t="s">
        <v>27511</v>
      </c>
      <c r="Q5263" s="10" t="s">
        <v>18149</v>
      </c>
      <c r="R5263" s="10"/>
      <c r="S5263" s="10" t="s">
        <v>53</v>
      </c>
      <c r="T5263" s="10" t="s">
        <v>54</v>
      </c>
    </row>
    <row r="5264" spans="1:20" ht="14.5" x14ac:dyDescent="0.35">
      <c r="A5264" s="10" t="s">
        <v>27512</v>
      </c>
      <c r="B5264" s="10" t="str">
        <f>"9781412951098"</f>
        <v>9781412951098</v>
      </c>
      <c r="C5264" s="10" t="str">
        <f>"9781452297804"</f>
        <v>9781452297804</v>
      </c>
      <c r="D5264" s="10" t="s">
        <v>22210</v>
      </c>
      <c r="E5264" s="10" t="s">
        <v>22211</v>
      </c>
      <c r="F5264" s="10" t="s">
        <v>333</v>
      </c>
      <c r="G5264" s="10" t="s">
        <v>6317</v>
      </c>
      <c r="H5264" s="11">
        <v>39345</v>
      </c>
      <c r="I5264" s="10">
        <v>2008</v>
      </c>
      <c r="J5264" s="10" t="s">
        <v>22211</v>
      </c>
      <c r="K5264" s="10">
        <v>129</v>
      </c>
      <c r="L5264" s="10" t="s">
        <v>27513</v>
      </c>
      <c r="M5264" s="10">
        <v>1</v>
      </c>
      <c r="N5264" s="10"/>
      <c r="O5264" s="10"/>
      <c r="P5264" s="10" t="s">
        <v>27514</v>
      </c>
      <c r="Q5264" s="10"/>
      <c r="R5264" s="10"/>
      <c r="S5264" s="10" t="s">
        <v>53</v>
      </c>
      <c r="T5264" s="10" t="s">
        <v>54</v>
      </c>
    </row>
    <row r="5265" spans="1:20" ht="14.5" x14ac:dyDescent="0.35">
      <c r="A5265" s="10" t="s">
        <v>27515</v>
      </c>
      <c r="B5265" s="10" t="str">
        <f>"9781412952859"</f>
        <v>9781412952859</v>
      </c>
      <c r="C5265" s="10" t="str">
        <f>"9781452298009"</f>
        <v>9781452298009</v>
      </c>
      <c r="D5265" s="10" t="s">
        <v>22210</v>
      </c>
      <c r="E5265" s="10" t="s">
        <v>22211</v>
      </c>
      <c r="F5265" s="10" t="s">
        <v>333</v>
      </c>
      <c r="G5265" s="10" t="s">
        <v>6317</v>
      </c>
      <c r="H5265" s="11">
        <v>39520</v>
      </c>
      <c r="I5265" s="10">
        <v>2008</v>
      </c>
      <c r="J5265" s="10" t="s">
        <v>22211</v>
      </c>
      <c r="K5265" s="10">
        <v>233</v>
      </c>
      <c r="L5265" s="10" t="s">
        <v>27516</v>
      </c>
      <c r="M5265" s="10">
        <v>1</v>
      </c>
      <c r="N5265" s="10"/>
      <c r="O5265" s="10"/>
      <c r="P5265" s="10" t="s">
        <v>27517</v>
      </c>
      <c r="Q5265" s="10">
        <v>372.4</v>
      </c>
      <c r="R5265" s="10"/>
      <c r="S5265" s="10" t="s">
        <v>53</v>
      </c>
      <c r="T5265" s="10" t="s">
        <v>54</v>
      </c>
    </row>
    <row r="5266" spans="1:20" ht="14.5" x14ac:dyDescent="0.35">
      <c r="A5266" s="10" t="s">
        <v>27518</v>
      </c>
      <c r="B5266" s="10" t="str">
        <f>"9781412904421"</f>
        <v>9781412904421</v>
      </c>
      <c r="C5266" s="10" t="str">
        <f>"9781452296654"</f>
        <v>9781452296654</v>
      </c>
      <c r="D5266" s="10" t="s">
        <v>22210</v>
      </c>
      <c r="E5266" s="10" t="s">
        <v>22211</v>
      </c>
      <c r="F5266" s="10" t="s">
        <v>333</v>
      </c>
      <c r="G5266" s="10" t="s">
        <v>6317</v>
      </c>
      <c r="H5266" s="11">
        <v>39302</v>
      </c>
      <c r="I5266" s="10">
        <v>2008</v>
      </c>
      <c r="J5266" s="10" t="s">
        <v>22211</v>
      </c>
      <c r="K5266" s="10">
        <v>145</v>
      </c>
      <c r="L5266" s="10" t="s">
        <v>27519</v>
      </c>
      <c r="M5266" s="10">
        <v>1</v>
      </c>
      <c r="N5266" s="10"/>
      <c r="O5266" s="10"/>
      <c r="P5266" s="10" t="s">
        <v>27520</v>
      </c>
      <c r="Q5266" s="10"/>
      <c r="R5266" s="10"/>
      <c r="S5266" s="10" t="s">
        <v>53</v>
      </c>
      <c r="T5266" s="10" t="s">
        <v>54</v>
      </c>
    </row>
    <row r="5267" spans="1:20" ht="14.5" x14ac:dyDescent="0.35">
      <c r="A5267" s="10" t="s">
        <v>27521</v>
      </c>
      <c r="B5267" s="10" t="str">
        <f>"9781412954235"</f>
        <v>9781412954235</v>
      </c>
      <c r="C5267" s="10" t="str">
        <f>"9781452296807"</f>
        <v>9781452296807</v>
      </c>
      <c r="D5267" s="10" t="s">
        <v>22210</v>
      </c>
      <c r="E5267" s="10" t="s">
        <v>22211</v>
      </c>
      <c r="F5267" s="10" t="s">
        <v>333</v>
      </c>
      <c r="G5267" s="10" t="s">
        <v>6317</v>
      </c>
      <c r="H5267" s="11">
        <v>39169</v>
      </c>
      <c r="I5267" s="10">
        <v>2007</v>
      </c>
      <c r="J5267" s="10" t="s">
        <v>22211</v>
      </c>
      <c r="K5267" s="10">
        <v>153</v>
      </c>
      <c r="L5267" s="10" t="s">
        <v>25039</v>
      </c>
      <c r="M5267" s="10">
        <v>1</v>
      </c>
      <c r="N5267" s="10"/>
      <c r="O5267" s="10"/>
      <c r="P5267" s="10"/>
      <c r="Q5267" s="10">
        <v>371.90973000000002</v>
      </c>
      <c r="R5267" s="10"/>
      <c r="S5267" s="10" t="s">
        <v>53</v>
      </c>
      <c r="T5267" s="10" t="s">
        <v>54</v>
      </c>
    </row>
    <row r="5268" spans="1:20" ht="14.5" x14ac:dyDescent="0.35">
      <c r="A5268" s="10" t="s">
        <v>27522</v>
      </c>
      <c r="B5268" s="10" t="str">
        <f>"9781412958080"</f>
        <v>9781412958080</v>
      </c>
      <c r="C5268" s="10" t="str">
        <f>"9781452298467"</f>
        <v>9781452298467</v>
      </c>
      <c r="D5268" s="10" t="s">
        <v>22210</v>
      </c>
      <c r="E5268" s="10" t="s">
        <v>22211</v>
      </c>
      <c r="F5268" s="10" t="s">
        <v>333</v>
      </c>
      <c r="G5268" s="10" t="s">
        <v>6317</v>
      </c>
      <c r="H5268" s="11">
        <v>39546</v>
      </c>
      <c r="I5268" s="10">
        <v>2008</v>
      </c>
      <c r="J5268" s="10" t="s">
        <v>22211</v>
      </c>
      <c r="K5268" s="10">
        <v>97</v>
      </c>
      <c r="L5268" s="10" t="s">
        <v>27523</v>
      </c>
      <c r="M5268" s="10">
        <v>1</v>
      </c>
      <c r="N5268" s="10"/>
      <c r="O5268" s="10"/>
      <c r="P5268" s="10" t="s">
        <v>27524</v>
      </c>
      <c r="Q5268" s="10" t="s">
        <v>8460</v>
      </c>
      <c r="R5268" s="10"/>
      <c r="S5268" s="10" t="s">
        <v>53</v>
      </c>
      <c r="T5268" s="10" t="s">
        <v>54</v>
      </c>
    </row>
    <row r="5269" spans="1:20" ht="14.5" x14ac:dyDescent="0.35">
      <c r="A5269" s="10" t="s">
        <v>27525</v>
      </c>
      <c r="B5269" s="10" t="str">
        <f>"9781783508334"</f>
        <v>9781783508334</v>
      </c>
      <c r="C5269" s="10" t="str">
        <f>"9781783508341"</f>
        <v>9781783508341</v>
      </c>
      <c r="D5269" s="10" t="s">
        <v>8699</v>
      </c>
      <c r="E5269" s="10" t="s">
        <v>8699</v>
      </c>
      <c r="F5269" s="10" t="s">
        <v>559</v>
      </c>
      <c r="G5269" s="10" t="s">
        <v>6352</v>
      </c>
      <c r="H5269" s="11">
        <v>41708</v>
      </c>
      <c r="I5269" s="10">
        <v>2014</v>
      </c>
      <c r="J5269" s="10" t="s">
        <v>8699</v>
      </c>
      <c r="K5269" s="10">
        <v>329</v>
      </c>
      <c r="L5269" s="10" t="s">
        <v>27526</v>
      </c>
      <c r="M5269" s="10">
        <v>1</v>
      </c>
      <c r="N5269" s="10" t="s">
        <v>14534</v>
      </c>
      <c r="O5269" s="10">
        <v>24</v>
      </c>
      <c r="P5269" s="10"/>
      <c r="Q5269" s="10">
        <v>338.92609529999999</v>
      </c>
      <c r="R5269" s="10" t="s">
        <v>27527</v>
      </c>
      <c r="S5269" s="10" t="s">
        <v>53</v>
      </c>
      <c r="T5269" s="10" t="s">
        <v>7545</v>
      </c>
    </row>
    <row r="5270" spans="1:20" ht="14.5" x14ac:dyDescent="0.35">
      <c r="A5270" s="10" t="s">
        <v>27528</v>
      </c>
      <c r="B5270" s="10" t="str">
        <f>"9781783509997"</f>
        <v>9781783509997</v>
      </c>
      <c r="C5270" s="10" t="str">
        <f>"9781783508235"</f>
        <v>9781783508235</v>
      </c>
      <c r="D5270" s="10" t="s">
        <v>8699</v>
      </c>
      <c r="E5270" s="10" t="s">
        <v>8699</v>
      </c>
      <c r="F5270" s="10" t="s">
        <v>559</v>
      </c>
      <c r="G5270" s="10" t="s">
        <v>6352</v>
      </c>
      <c r="H5270" s="11">
        <v>41690</v>
      </c>
      <c r="I5270" s="10">
        <v>2014</v>
      </c>
      <c r="J5270" s="10" t="s">
        <v>8699</v>
      </c>
      <c r="K5270" s="10">
        <v>278</v>
      </c>
      <c r="L5270" s="10" t="s">
        <v>26823</v>
      </c>
      <c r="M5270" s="10">
        <v>1</v>
      </c>
      <c r="N5270" s="10" t="s">
        <v>24718</v>
      </c>
      <c r="O5270" s="10">
        <v>10</v>
      </c>
      <c r="P5270" s="10" t="s">
        <v>27182</v>
      </c>
      <c r="Q5270" s="10"/>
      <c r="R5270" s="10" t="s">
        <v>11337</v>
      </c>
      <c r="S5270" s="10" t="s">
        <v>53</v>
      </c>
      <c r="T5270" s="10" t="s">
        <v>54</v>
      </c>
    </row>
    <row r="5271" spans="1:20" ht="14.5" x14ac:dyDescent="0.35">
      <c r="A5271" s="10" t="s">
        <v>27529</v>
      </c>
      <c r="B5271" s="10" t="str">
        <f>"9781412966061"</f>
        <v>9781412966061</v>
      </c>
      <c r="C5271" s="10" t="str">
        <f>"9781452298702"</f>
        <v>9781452298702</v>
      </c>
      <c r="D5271" s="10" t="s">
        <v>22210</v>
      </c>
      <c r="E5271" s="10" t="s">
        <v>22211</v>
      </c>
      <c r="F5271" s="10" t="s">
        <v>333</v>
      </c>
      <c r="G5271" s="10" t="s">
        <v>6317</v>
      </c>
      <c r="H5271" s="11">
        <v>39762</v>
      </c>
      <c r="I5271" s="10">
        <v>2009</v>
      </c>
      <c r="J5271" s="10" t="s">
        <v>22211</v>
      </c>
      <c r="K5271" s="10">
        <v>241</v>
      </c>
      <c r="L5271" s="10" t="s">
        <v>27530</v>
      </c>
      <c r="M5271" s="10">
        <v>1</v>
      </c>
      <c r="N5271" s="10"/>
      <c r="O5271" s="10"/>
      <c r="P5271" s="10" t="s">
        <v>27531</v>
      </c>
      <c r="Q5271" s="10">
        <v>372.11020000000002</v>
      </c>
      <c r="R5271" s="10"/>
      <c r="S5271" s="10" t="s">
        <v>53</v>
      </c>
      <c r="T5271" s="10" t="s">
        <v>54</v>
      </c>
    </row>
    <row r="5272" spans="1:20" ht="14.5" x14ac:dyDescent="0.35">
      <c r="A5272" s="10" t="s">
        <v>27532</v>
      </c>
      <c r="B5272" s="10" t="str">
        <f>"9781412981064"</f>
        <v>9781412981064</v>
      </c>
      <c r="C5272" s="10" t="str">
        <f>"9781452298986"</f>
        <v>9781452298986</v>
      </c>
      <c r="D5272" s="10" t="s">
        <v>22210</v>
      </c>
      <c r="E5272" s="10" t="s">
        <v>22211</v>
      </c>
      <c r="F5272" s="10" t="s">
        <v>333</v>
      </c>
      <c r="G5272" s="10" t="s">
        <v>6317</v>
      </c>
      <c r="H5272" s="11">
        <v>40331</v>
      </c>
      <c r="I5272" s="10">
        <v>2010</v>
      </c>
      <c r="J5272" s="10" t="s">
        <v>22211</v>
      </c>
      <c r="K5272" s="10">
        <v>225</v>
      </c>
      <c r="L5272" s="10" t="s">
        <v>24006</v>
      </c>
      <c r="M5272" s="10">
        <v>1</v>
      </c>
      <c r="N5272" s="10"/>
      <c r="O5272" s="10"/>
      <c r="P5272" s="10" t="s">
        <v>27533</v>
      </c>
      <c r="Q5272" s="10" t="s">
        <v>24008</v>
      </c>
      <c r="R5272" s="10"/>
      <c r="S5272" s="10" t="s">
        <v>53</v>
      </c>
      <c r="T5272" s="10" t="s">
        <v>6448</v>
      </c>
    </row>
    <row r="5273" spans="1:20" ht="14.5" x14ac:dyDescent="0.35">
      <c r="A5273" s="10" t="s">
        <v>27534</v>
      </c>
      <c r="B5273" s="10" t="str">
        <f>"9781483317236"</f>
        <v>9781483317236</v>
      </c>
      <c r="C5273" s="10" t="str">
        <f>"9781483359113"</f>
        <v>9781483359113</v>
      </c>
      <c r="D5273" s="10" t="s">
        <v>22210</v>
      </c>
      <c r="E5273" s="10" t="s">
        <v>22211</v>
      </c>
      <c r="F5273" s="10" t="s">
        <v>333</v>
      </c>
      <c r="G5273" s="10" t="s">
        <v>6317</v>
      </c>
      <c r="H5273" s="11">
        <v>41718</v>
      </c>
      <c r="I5273" s="10">
        <v>2014</v>
      </c>
      <c r="J5273" s="10" t="s">
        <v>22211</v>
      </c>
      <c r="K5273" s="10">
        <v>161</v>
      </c>
      <c r="L5273" s="10" t="s">
        <v>27535</v>
      </c>
      <c r="M5273" s="10">
        <v>1</v>
      </c>
      <c r="N5273" s="10"/>
      <c r="O5273" s="10"/>
      <c r="P5273" s="10" t="s">
        <v>27536</v>
      </c>
      <c r="Q5273" s="10">
        <v>363.70710000000003</v>
      </c>
      <c r="R5273" s="10"/>
      <c r="S5273" s="10" t="s">
        <v>53</v>
      </c>
      <c r="T5273" s="10" t="s">
        <v>27537</v>
      </c>
    </row>
    <row r="5274" spans="1:20" ht="14.5" x14ac:dyDescent="0.35">
      <c r="A5274" s="10" t="s">
        <v>27538</v>
      </c>
      <c r="B5274" s="10" t="str">
        <f>"9780470594797"</f>
        <v>9780470594797</v>
      </c>
      <c r="C5274" s="10" t="str">
        <f>"9781118220603"</f>
        <v>9781118220603</v>
      </c>
      <c r="D5274" s="10" t="s">
        <v>6322</v>
      </c>
      <c r="E5274" s="10" t="s">
        <v>6323</v>
      </c>
      <c r="F5274" s="10" t="s">
        <v>4423</v>
      </c>
      <c r="G5274" s="10" t="s">
        <v>6317</v>
      </c>
      <c r="H5274" s="11">
        <v>41715</v>
      </c>
      <c r="I5274" s="10">
        <v>2014</v>
      </c>
      <c r="J5274" s="10" t="s">
        <v>6324</v>
      </c>
      <c r="K5274" s="10">
        <v>162</v>
      </c>
      <c r="L5274" s="10" t="s">
        <v>27539</v>
      </c>
      <c r="M5274" s="10">
        <v>1</v>
      </c>
      <c r="N5274" s="10" t="s">
        <v>18234</v>
      </c>
      <c r="O5274" s="10">
        <v>12</v>
      </c>
      <c r="P5274" s="10"/>
      <c r="Q5274" s="10">
        <v>371.26</v>
      </c>
      <c r="R5274" s="10" t="s">
        <v>27540</v>
      </c>
      <c r="S5274" s="10" t="s">
        <v>53</v>
      </c>
      <c r="T5274" s="10" t="s">
        <v>54</v>
      </c>
    </row>
    <row r="5275" spans="1:20" ht="14.5" x14ac:dyDescent="0.35">
      <c r="A5275" s="10" t="s">
        <v>27541</v>
      </c>
      <c r="B5275" s="10" t="str">
        <f>"9781118434581"</f>
        <v>9781118434581</v>
      </c>
      <c r="C5275" s="10" t="str">
        <f>"9781118836262"</f>
        <v>9781118836262</v>
      </c>
      <c r="D5275" s="10" t="s">
        <v>6322</v>
      </c>
      <c r="E5275" s="10" t="s">
        <v>6323</v>
      </c>
      <c r="F5275" s="10" t="s">
        <v>4423</v>
      </c>
      <c r="G5275" s="10" t="s">
        <v>6317</v>
      </c>
      <c r="H5275" s="11">
        <v>41750</v>
      </c>
      <c r="I5275" s="10">
        <v>2014</v>
      </c>
      <c r="J5275" s="10" t="s">
        <v>6324</v>
      </c>
      <c r="K5275" s="10">
        <v>303</v>
      </c>
      <c r="L5275" s="10" t="s">
        <v>27542</v>
      </c>
      <c r="M5275" s="10">
        <v>1</v>
      </c>
      <c r="N5275" s="10"/>
      <c r="O5275" s="10"/>
      <c r="P5275" s="10"/>
      <c r="Q5275" s="10" t="s">
        <v>9298</v>
      </c>
      <c r="R5275" s="10" t="s">
        <v>8224</v>
      </c>
      <c r="S5275" s="10" t="s">
        <v>53</v>
      </c>
      <c r="T5275" s="10" t="s">
        <v>54</v>
      </c>
    </row>
    <row r="5276" spans="1:20" ht="14.5" x14ac:dyDescent="0.35">
      <c r="A5276" s="10" t="s">
        <v>27543</v>
      </c>
      <c r="B5276" s="10" t="str">
        <f>"9781412916141"</f>
        <v>9781412916141</v>
      </c>
      <c r="C5276" s="10" t="str">
        <f>"9781452296708"</f>
        <v>9781452296708</v>
      </c>
      <c r="D5276" s="10" t="s">
        <v>22210</v>
      </c>
      <c r="E5276" s="10" t="s">
        <v>22211</v>
      </c>
      <c r="F5276" s="10" t="s">
        <v>333</v>
      </c>
      <c r="G5276" s="10" t="s">
        <v>6317</v>
      </c>
      <c r="H5276" s="11">
        <v>39198</v>
      </c>
      <c r="I5276" s="10">
        <v>2007</v>
      </c>
      <c r="J5276" s="10" t="s">
        <v>22211</v>
      </c>
      <c r="K5276" s="10">
        <v>185</v>
      </c>
      <c r="L5276" s="10" t="s">
        <v>27544</v>
      </c>
      <c r="M5276" s="10">
        <v>1</v>
      </c>
      <c r="N5276" s="10"/>
      <c r="O5276" s="10"/>
      <c r="P5276" s="10" t="s">
        <v>27545</v>
      </c>
      <c r="Q5276" s="10">
        <v>428.40710000000001</v>
      </c>
      <c r="R5276" s="10"/>
      <c r="S5276" s="10" t="s">
        <v>53</v>
      </c>
      <c r="T5276" s="10" t="s">
        <v>6634</v>
      </c>
    </row>
    <row r="5277" spans="1:20" ht="14.5" x14ac:dyDescent="0.35">
      <c r="A5277" s="10" t="s">
        <v>27546</v>
      </c>
      <c r="B5277" s="10" t="str">
        <f>"9781412924504"</f>
        <v>9781412924504</v>
      </c>
      <c r="C5277" s="10" t="str">
        <f>"9781452296913"</f>
        <v>9781452296913</v>
      </c>
      <c r="D5277" s="10" t="s">
        <v>22210</v>
      </c>
      <c r="E5277" s="10" t="s">
        <v>22211</v>
      </c>
      <c r="F5277" s="10" t="s">
        <v>333</v>
      </c>
      <c r="G5277" s="10" t="s">
        <v>6317</v>
      </c>
      <c r="H5277" s="11">
        <v>39190</v>
      </c>
      <c r="I5277" s="10">
        <v>2007</v>
      </c>
      <c r="J5277" s="10" t="s">
        <v>22211</v>
      </c>
      <c r="K5277" s="10">
        <v>169</v>
      </c>
      <c r="L5277" s="10" t="s">
        <v>27547</v>
      </c>
      <c r="M5277" s="10">
        <v>1</v>
      </c>
      <c r="N5277" s="10"/>
      <c r="O5277" s="10"/>
      <c r="P5277" s="10" t="s">
        <v>27548</v>
      </c>
      <c r="Q5277" s="10">
        <v>428.00711999999999</v>
      </c>
      <c r="R5277" s="10"/>
      <c r="S5277" s="10" t="s">
        <v>53</v>
      </c>
      <c r="T5277" s="10" t="s">
        <v>6634</v>
      </c>
    </row>
    <row r="5278" spans="1:20" ht="14.5" x14ac:dyDescent="0.35">
      <c r="A5278" s="10" t="s">
        <v>27549</v>
      </c>
      <c r="B5278" s="10" t="str">
        <f>"9781412951838"</f>
        <v>9781412951838</v>
      </c>
      <c r="C5278" s="10" t="str">
        <f>"9781452297163"</f>
        <v>9781452297163</v>
      </c>
      <c r="D5278" s="10" t="s">
        <v>22210</v>
      </c>
      <c r="E5278" s="10" t="s">
        <v>22211</v>
      </c>
      <c r="F5278" s="10" t="s">
        <v>333</v>
      </c>
      <c r="G5278" s="10" t="s">
        <v>6317</v>
      </c>
      <c r="H5278" s="11">
        <v>39430</v>
      </c>
      <c r="I5278" s="10">
        <v>2008</v>
      </c>
      <c r="J5278" s="10" t="s">
        <v>22211</v>
      </c>
      <c r="K5278" s="10">
        <v>225</v>
      </c>
      <c r="L5278" s="10" t="s">
        <v>27550</v>
      </c>
      <c r="M5278" s="10">
        <v>2</v>
      </c>
      <c r="N5278" s="10"/>
      <c r="O5278" s="10"/>
      <c r="P5278" s="10" t="s">
        <v>27551</v>
      </c>
      <c r="Q5278" s="10" t="s">
        <v>22259</v>
      </c>
      <c r="R5278" s="10"/>
      <c r="S5278" s="10" t="s">
        <v>53</v>
      </c>
      <c r="T5278" s="10" t="s">
        <v>54</v>
      </c>
    </row>
    <row r="5279" spans="1:20" ht="14.5" x14ac:dyDescent="0.35">
      <c r="A5279" s="10" t="s">
        <v>27552</v>
      </c>
      <c r="B5279" s="10" t="str">
        <f>"9781412942249"</f>
        <v>9781412942249</v>
      </c>
      <c r="C5279" s="10" t="str">
        <f>"9781452297576"</f>
        <v>9781452297576</v>
      </c>
      <c r="D5279" s="10" t="s">
        <v>22210</v>
      </c>
      <c r="E5279" s="10" t="s">
        <v>22211</v>
      </c>
      <c r="F5279" s="10" t="s">
        <v>333</v>
      </c>
      <c r="G5279" s="10" t="s">
        <v>6317</v>
      </c>
      <c r="H5279" s="11">
        <v>39430</v>
      </c>
      <c r="I5279" s="10">
        <v>2008</v>
      </c>
      <c r="J5279" s="10" t="s">
        <v>22211</v>
      </c>
      <c r="K5279" s="10">
        <v>353</v>
      </c>
      <c r="L5279" s="10" t="s">
        <v>27553</v>
      </c>
      <c r="M5279" s="10">
        <v>1</v>
      </c>
      <c r="N5279" s="10"/>
      <c r="O5279" s="10"/>
      <c r="P5279" s="10" t="s">
        <v>27554</v>
      </c>
      <c r="Q5279" s="10"/>
      <c r="R5279" s="10"/>
      <c r="S5279" s="10" t="s">
        <v>53</v>
      </c>
      <c r="T5279" s="10" t="s">
        <v>54</v>
      </c>
    </row>
    <row r="5280" spans="1:20" ht="14.5" x14ac:dyDescent="0.35">
      <c r="A5280" s="10" t="s">
        <v>27555</v>
      </c>
      <c r="B5280" s="10" t="str">
        <f>"9781412949347"</f>
        <v>9781412949347</v>
      </c>
      <c r="C5280" s="10" t="str">
        <f>"9781452297699"</f>
        <v>9781452297699</v>
      </c>
      <c r="D5280" s="10" t="s">
        <v>22210</v>
      </c>
      <c r="E5280" s="10" t="s">
        <v>22211</v>
      </c>
      <c r="F5280" s="10" t="s">
        <v>333</v>
      </c>
      <c r="G5280" s="10" t="s">
        <v>6317</v>
      </c>
      <c r="H5280" s="11">
        <v>40204</v>
      </c>
      <c r="I5280" s="10">
        <v>2010</v>
      </c>
      <c r="J5280" s="10" t="s">
        <v>22211</v>
      </c>
      <c r="K5280" s="10">
        <v>169</v>
      </c>
      <c r="L5280" s="10" t="s">
        <v>25449</v>
      </c>
      <c r="M5280" s="10">
        <v>1</v>
      </c>
      <c r="N5280" s="10" t="s">
        <v>23158</v>
      </c>
      <c r="O5280" s="10"/>
      <c r="P5280" s="10" t="s">
        <v>27556</v>
      </c>
      <c r="Q5280" s="10" t="s">
        <v>27557</v>
      </c>
      <c r="R5280" s="10"/>
      <c r="S5280" s="10" t="s">
        <v>53</v>
      </c>
      <c r="T5280" s="10" t="s">
        <v>54</v>
      </c>
    </row>
    <row r="5281" spans="1:20" ht="14.5" x14ac:dyDescent="0.35">
      <c r="A5281" s="10" t="s">
        <v>27558</v>
      </c>
      <c r="B5281" s="10" t="str">
        <f>"9781412950671"</f>
        <v>9781412950671</v>
      </c>
      <c r="C5281" s="10" t="str">
        <f>"9781452297828"</f>
        <v>9781452297828</v>
      </c>
      <c r="D5281" s="10" t="s">
        <v>22210</v>
      </c>
      <c r="E5281" s="10" t="s">
        <v>22211</v>
      </c>
      <c r="F5281" s="10" t="s">
        <v>333</v>
      </c>
      <c r="G5281" s="10" t="s">
        <v>6317</v>
      </c>
      <c r="H5281" s="11">
        <v>39414</v>
      </c>
      <c r="I5281" s="10">
        <v>2008</v>
      </c>
      <c r="J5281" s="10" t="s">
        <v>22211</v>
      </c>
      <c r="K5281" s="10">
        <v>169</v>
      </c>
      <c r="L5281" s="10" t="s">
        <v>27559</v>
      </c>
      <c r="M5281" s="10">
        <v>1</v>
      </c>
      <c r="N5281" s="10"/>
      <c r="O5281" s="10"/>
      <c r="P5281" s="10" t="s">
        <v>27560</v>
      </c>
      <c r="Q5281" s="10">
        <v>371.10199999999998</v>
      </c>
      <c r="R5281" s="10"/>
      <c r="S5281" s="10" t="s">
        <v>53</v>
      </c>
      <c r="T5281" s="10" t="s">
        <v>54</v>
      </c>
    </row>
    <row r="5282" spans="1:20" ht="14.5" x14ac:dyDescent="0.35">
      <c r="A5282" s="10" t="s">
        <v>27561</v>
      </c>
      <c r="B5282" s="10" t="str">
        <f>"9781412952002"</f>
        <v>9781412952002</v>
      </c>
      <c r="C5282" s="10" t="str">
        <f>"9781452297880"</f>
        <v>9781452297880</v>
      </c>
      <c r="D5282" s="10" t="s">
        <v>22210</v>
      </c>
      <c r="E5282" s="10" t="s">
        <v>22211</v>
      </c>
      <c r="F5282" s="10" t="s">
        <v>333</v>
      </c>
      <c r="G5282" s="10" t="s">
        <v>6317</v>
      </c>
      <c r="H5282" s="11">
        <v>39514</v>
      </c>
      <c r="I5282" s="10">
        <v>2008</v>
      </c>
      <c r="J5282" s="10" t="s">
        <v>22211</v>
      </c>
      <c r="K5282" s="10">
        <v>257</v>
      </c>
      <c r="L5282" s="10" t="s">
        <v>27562</v>
      </c>
      <c r="M5282" s="10">
        <v>1</v>
      </c>
      <c r="N5282" s="10"/>
      <c r="O5282" s="10"/>
      <c r="P5282" s="10" t="s">
        <v>27563</v>
      </c>
      <c r="Q5282" s="10">
        <v>372.6</v>
      </c>
      <c r="R5282" s="10"/>
      <c r="S5282" s="10" t="s">
        <v>53</v>
      </c>
      <c r="T5282" s="10" t="s">
        <v>54</v>
      </c>
    </row>
    <row r="5283" spans="1:20" ht="14.5" x14ac:dyDescent="0.35">
      <c r="A5283" s="10" t="s">
        <v>27564</v>
      </c>
      <c r="B5283" s="10" t="str">
        <f>"9781412955966"</f>
        <v>9781412955966</v>
      </c>
      <c r="C5283" s="10" t="str">
        <f>"9781452298375"</f>
        <v>9781452298375</v>
      </c>
      <c r="D5283" s="10" t="s">
        <v>22210</v>
      </c>
      <c r="E5283" s="10" t="s">
        <v>22211</v>
      </c>
      <c r="F5283" s="10" t="s">
        <v>333</v>
      </c>
      <c r="G5283" s="10" t="s">
        <v>6317</v>
      </c>
      <c r="H5283" s="11">
        <v>39380</v>
      </c>
      <c r="I5283" s="10">
        <v>2008</v>
      </c>
      <c r="J5283" s="10" t="s">
        <v>22211</v>
      </c>
      <c r="K5283" s="10">
        <v>121</v>
      </c>
      <c r="L5283" s="10" t="s">
        <v>27565</v>
      </c>
      <c r="M5283" s="10">
        <v>1</v>
      </c>
      <c r="N5283" s="10"/>
      <c r="O5283" s="10"/>
      <c r="P5283" s="10" t="s">
        <v>27566</v>
      </c>
      <c r="Q5283" s="10" t="s">
        <v>27567</v>
      </c>
      <c r="R5283" s="10"/>
      <c r="S5283" s="10" t="s">
        <v>53</v>
      </c>
      <c r="T5283" s="10" t="s">
        <v>54</v>
      </c>
    </row>
    <row r="5284" spans="1:20" ht="14.5" x14ac:dyDescent="0.35">
      <c r="A5284" s="10" t="s">
        <v>27568</v>
      </c>
      <c r="B5284" s="10" t="str">
        <f>"9780761931195"</f>
        <v>9780761931195</v>
      </c>
      <c r="C5284" s="10" t="str">
        <f>"9781483362410"</f>
        <v>9781483362410</v>
      </c>
      <c r="D5284" s="10" t="s">
        <v>22210</v>
      </c>
      <c r="E5284" s="10" t="s">
        <v>22211</v>
      </c>
      <c r="F5284" s="10" t="s">
        <v>333</v>
      </c>
      <c r="G5284" s="10" t="s">
        <v>6317</v>
      </c>
      <c r="H5284" s="11">
        <v>37924</v>
      </c>
      <c r="I5284" s="10">
        <v>2004</v>
      </c>
      <c r="J5284" s="10" t="s">
        <v>22211</v>
      </c>
      <c r="K5284" s="10">
        <v>105</v>
      </c>
      <c r="L5284" s="10" t="s">
        <v>23167</v>
      </c>
      <c r="M5284" s="10">
        <v>1</v>
      </c>
      <c r="N5284" s="10"/>
      <c r="O5284" s="10"/>
      <c r="P5284" s="10" t="s">
        <v>27569</v>
      </c>
      <c r="Q5284" s="10"/>
      <c r="R5284" s="10"/>
      <c r="S5284" s="10" t="s">
        <v>53</v>
      </c>
      <c r="T5284" s="10" t="s">
        <v>54</v>
      </c>
    </row>
    <row r="5285" spans="1:20" ht="14.5" x14ac:dyDescent="0.35">
      <c r="A5285" s="10" t="s">
        <v>27570</v>
      </c>
      <c r="B5285" s="10" t="str">
        <f>"9780761931744"</f>
        <v>9780761931744</v>
      </c>
      <c r="C5285" s="10" t="str">
        <f>"9781483362557"</f>
        <v>9781483362557</v>
      </c>
      <c r="D5285" s="10" t="s">
        <v>22210</v>
      </c>
      <c r="E5285" s="10" t="s">
        <v>22211</v>
      </c>
      <c r="F5285" s="10" t="s">
        <v>333</v>
      </c>
      <c r="G5285" s="10" t="s">
        <v>6317</v>
      </c>
      <c r="H5285" s="11">
        <v>38020</v>
      </c>
      <c r="I5285" s="10">
        <v>2004</v>
      </c>
      <c r="J5285" s="10" t="s">
        <v>22211</v>
      </c>
      <c r="K5285" s="10">
        <v>145</v>
      </c>
      <c r="L5285" s="10" t="s">
        <v>27571</v>
      </c>
      <c r="M5285" s="10">
        <v>1</v>
      </c>
      <c r="N5285" s="10"/>
      <c r="O5285" s="10"/>
      <c r="P5285" s="10" t="s">
        <v>27572</v>
      </c>
      <c r="Q5285" s="10">
        <v>371.2</v>
      </c>
      <c r="R5285" s="10" t="s">
        <v>27573</v>
      </c>
      <c r="S5285" s="10" t="s">
        <v>53</v>
      </c>
      <c r="T5285" s="10" t="s">
        <v>54</v>
      </c>
    </row>
    <row r="5286" spans="1:20" ht="14.5" x14ac:dyDescent="0.35">
      <c r="A5286" s="10" t="s">
        <v>27574</v>
      </c>
      <c r="B5286" s="10" t="str">
        <f>"9780761931775"</f>
        <v>9780761931775</v>
      </c>
      <c r="C5286" s="10" t="str">
        <f>"9781452296647"</f>
        <v>9781452296647</v>
      </c>
      <c r="D5286" s="10" t="s">
        <v>22210</v>
      </c>
      <c r="E5286" s="10" t="s">
        <v>22211</v>
      </c>
      <c r="F5286" s="10" t="s">
        <v>333</v>
      </c>
      <c r="G5286" s="10" t="s">
        <v>6317</v>
      </c>
      <c r="H5286" s="11">
        <v>39190</v>
      </c>
      <c r="I5286" s="10">
        <v>2007</v>
      </c>
      <c r="J5286" s="10" t="s">
        <v>22211</v>
      </c>
      <c r="K5286" s="10">
        <v>345</v>
      </c>
      <c r="L5286" s="10" t="s">
        <v>27575</v>
      </c>
      <c r="M5286" s="10">
        <v>1</v>
      </c>
      <c r="N5286" s="10"/>
      <c r="O5286" s="10"/>
      <c r="P5286" s="10" t="s">
        <v>27576</v>
      </c>
      <c r="Q5286" s="10" t="s">
        <v>19938</v>
      </c>
      <c r="R5286" s="10"/>
      <c r="S5286" s="10" t="s">
        <v>53</v>
      </c>
      <c r="T5286" s="10" t="s">
        <v>54</v>
      </c>
    </row>
    <row r="5287" spans="1:20" ht="14.5" x14ac:dyDescent="0.35">
      <c r="A5287" s="10" t="s">
        <v>27577</v>
      </c>
      <c r="B5287" s="10" t="str">
        <f>"9781412917902"</f>
        <v>9781412917902</v>
      </c>
      <c r="C5287" s="10" t="str">
        <f>"9781452296852"</f>
        <v>9781452296852</v>
      </c>
      <c r="D5287" s="10" t="s">
        <v>22210</v>
      </c>
      <c r="E5287" s="10" t="s">
        <v>22211</v>
      </c>
      <c r="F5287" s="10" t="s">
        <v>333</v>
      </c>
      <c r="G5287" s="10" t="s">
        <v>6317</v>
      </c>
      <c r="H5287" s="11">
        <v>39169</v>
      </c>
      <c r="I5287" s="10">
        <v>2007</v>
      </c>
      <c r="J5287" s="10" t="s">
        <v>22211</v>
      </c>
      <c r="K5287" s="10">
        <v>137</v>
      </c>
      <c r="L5287" s="10" t="s">
        <v>25039</v>
      </c>
      <c r="M5287" s="10">
        <v>1</v>
      </c>
      <c r="N5287" s="10"/>
      <c r="O5287" s="10"/>
      <c r="P5287" s="10"/>
      <c r="Q5287" s="10"/>
      <c r="R5287" s="10"/>
      <c r="S5287" s="10" t="s">
        <v>53</v>
      </c>
      <c r="T5287" s="10" t="s">
        <v>54</v>
      </c>
    </row>
    <row r="5288" spans="1:20" ht="14.5" x14ac:dyDescent="0.35">
      <c r="A5288" s="10" t="s">
        <v>27578</v>
      </c>
      <c r="B5288" s="10" t="str">
        <f>"9781412937832"</f>
        <v>9781412937832</v>
      </c>
      <c r="C5288" s="10" t="str">
        <f>"9781452297033"</f>
        <v>9781452297033</v>
      </c>
      <c r="D5288" s="10" t="s">
        <v>22210</v>
      </c>
      <c r="E5288" s="10" t="s">
        <v>22211</v>
      </c>
      <c r="F5288" s="10" t="s">
        <v>333</v>
      </c>
      <c r="G5288" s="10" t="s">
        <v>6317</v>
      </c>
      <c r="H5288" s="11">
        <v>39430</v>
      </c>
      <c r="I5288" s="10">
        <v>2008</v>
      </c>
      <c r="J5288" s="10" t="s">
        <v>22211</v>
      </c>
      <c r="K5288" s="10">
        <v>177</v>
      </c>
      <c r="L5288" s="10" t="s">
        <v>27579</v>
      </c>
      <c r="M5288" s="10">
        <v>1</v>
      </c>
      <c r="N5288" s="10"/>
      <c r="O5288" s="10"/>
      <c r="P5288" s="10" t="s">
        <v>27580</v>
      </c>
      <c r="Q5288" s="10">
        <v>371.10239999999999</v>
      </c>
      <c r="R5288" s="10"/>
      <c r="S5288" s="10" t="s">
        <v>53</v>
      </c>
      <c r="T5288" s="10" t="s">
        <v>54</v>
      </c>
    </row>
    <row r="5289" spans="1:20" ht="14.5" x14ac:dyDescent="0.35">
      <c r="A5289" s="10" t="s">
        <v>27581</v>
      </c>
      <c r="B5289" s="10" t="str">
        <f>"9781412952934"</f>
        <v>9781412952934</v>
      </c>
      <c r="C5289" s="10" t="str">
        <f>"9781452298030"</f>
        <v>9781452298030</v>
      </c>
      <c r="D5289" s="10" t="s">
        <v>22210</v>
      </c>
      <c r="E5289" s="10" t="s">
        <v>22211</v>
      </c>
      <c r="F5289" s="10" t="s">
        <v>333</v>
      </c>
      <c r="G5289" s="10" t="s">
        <v>6317</v>
      </c>
      <c r="H5289" s="11">
        <v>39226</v>
      </c>
      <c r="I5289" s="10">
        <v>2007</v>
      </c>
      <c r="J5289" s="10" t="s">
        <v>22211</v>
      </c>
      <c r="K5289" s="10">
        <v>233</v>
      </c>
      <c r="L5289" s="10" t="s">
        <v>27582</v>
      </c>
      <c r="M5289" s="10">
        <v>1</v>
      </c>
      <c r="N5289" s="10"/>
      <c r="O5289" s="10"/>
      <c r="P5289" s="10" t="s">
        <v>27583</v>
      </c>
      <c r="Q5289" s="10">
        <v>374</v>
      </c>
      <c r="R5289" s="10"/>
      <c r="S5289" s="10" t="s">
        <v>53</v>
      </c>
      <c r="T5289" s="10" t="s">
        <v>54</v>
      </c>
    </row>
    <row r="5290" spans="1:20" ht="14.5" x14ac:dyDescent="0.35">
      <c r="A5290" s="10" t="s">
        <v>27584</v>
      </c>
      <c r="B5290" s="10" t="str">
        <f>"9780761931218"</f>
        <v>9780761931218</v>
      </c>
      <c r="C5290" s="10" t="str">
        <f>"9781483362434"</f>
        <v>9781483362434</v>
      </c>
      <c r="D5290" s="10" t="s">
        <v>22210</v>
      </c>
      <c r="E5290" s="10" t="s">
        <v>22211</v>
      </c>
      <c r="F5290" s="10" t="s">
        <v>333</v>
      </c>
      <c r="G5290" s="10" t="s">
        <v>6317</v>
      </c>
      <c r="H5290" s="11">
        <v>37924</v>
      </c>
      <c r="I5290" s="10">
        <v>2004</v>
      </c>
      <c r="J5290" s="10" t="s">
        <v>22211</v>
      </c>
      <c r="K5290" s="10">
        <v>137</v>
      </c>
      <c r="L5290" s="10" t="s">
        <v>23167</v>
      </c>
      <c r="M5290" s="10">
        <v>1</v>
      </c>
      <c r="N5290" s="10"/>
      <c r="O5290" s="10"/>
      <c r="P5290" s="10" t="s">
        <v>8192</v>
      </c>
      <c r="Q5290" s="10"/>
      <c r="R5290" s="10"/>
      <c r="S5290" s="10" t="s">
        <v>53</v>
      </c>
      <c r="T5290" s="10" t="s">
        <v>54</v>
      </c>
    </row>
    <row r="5291" spans="1:20" ht="14.5" x14ac:dyDescent="0.35">
      <c r="A5291" s="10" t="s">
        <v>27585</v>
      </c>
      <c r="B5291" s="10" t="str">
        <f>"9781412908887"</f>
        <v>9781412908887</v>
      </c>
      <c r="C5291" s="10" t="str">
        <f>"9781483363486"</f>
        <v>9781483363486</v>
      </c>
      <c r="D5291" s="10" t="s">
        <v>22210</v>
      </c>
      <c r="E5291" s="10" t="s">
        <v>22211</v>
      </c>
      <c r="F5291" s="10" t="s">
        <v>333</v>
      </c>
      <c r="G5291" s="10" t="s">
        <v>6317</v>
      </c>
      <c r="H5291" s="11">
        <v>38421</v>
      </c>
      <c r="I5291" s="10">
        <v>2005</v>
      </c>
      <c r="J5291" s="10" t="s">
        <v>22211</v>
      </c>
      <c r="K5291" s="10">
        <v>265</v>
      </c>
      <c r="L5291" s="10" t="s">
        <v>27586</v>
      </c>
      <c r="M5291" s="10">
        <v>1</v>
      </c>
      <c r="N5291" s="10"/>
      <c r="O5291" s="10"/>
      <c r="P5291" s="10" t="s">
        <v>27587</v>
      </c>
      <c r="Q5291" s="10">
        <v>371.9</v>
      </c>
      <c r="R5291" s="10"/>
      <c r="S5291" s="10" t="s">
        <v>53</v>
      </c>
      <c r="T5291" s="10" t="s">
        <v>54</v>
      </c>
    </row>
    <row r="5292" spans="1:20" ht="14.5" x14ac:dyDescent="0.35">
      <c r="A5292" s="10" t="s">
        <v>27588</v>
      </c>
      <c r="B5292" s="10" t="str">
        <f>"9781412942430"</f>
        <v>9781412942430</v>
      </c>
      <c r="C5292" s="10" t="str">
        <f>"9781483362304"</f>
        <v>9781483362304</v>
      </c>
      <c r="D5292" s="10" t="s">
        <v>22210</v>
      </c>
      <c r="E5292" s="10" t="s">
        <v>22211</v>
      </c>
      <c r="F5292" s="10" t="s">
        <v>333</v>
      </c>
      <c r="G5292" s="10" t="s">
        <v>6317</v>
      </c>
      <c r="H5292" s="11">
        <v>39071</v>
      </c>
      <c r="I5292" s="10">
        <v>2007</v>
      </c>
      <c r="J5292" s="10" t="s">
        <v>22211</v>
      </c>
      <c r="K5292" s="10">
        <v>145</v>
      </c>
      <c r="L5292" s="10" t="s">
        <v>27589</v>
      </c>
      <c r="M5292" s="10">
        <v>1</v>
      </c>
      <c r="N5292" s="10"/>
      <c r="O5292" s="10"/>
      <c r="P5292" s="10" t="s">
        <v>27590</v>
      </c>
      <c r="Q5292" s="10" t="s">
        <v>7069</v>
      </c>
      <c r="R5292" s="10" t="s">
        <v>27591</v>
      </c>
      <c r="S5292" s="10" t="s">
        <v>53</v>
      </c>
      <c r="T5292" s="10" t="s">
        <v>54</v>
      </c>
    </row>
    <row r="5293" spans="1:20" ht="14.5" x14ac:dyDescent="0.35">
      <c r="A5293" s="10" t="s">
        <v>27592</v>
      </c>
      <c r="B5293" s="10" t="str">
        <f>"9781412986717"</f>
        <v>9781412986717</v>
      </c>
      <c r="C5293" s="10" t="str">
        <f>"9781483359137"</f>
        <v>9781483359137</v>
      </c>
      <c r="D5293" s="10" t="s">
        <v>22210</v>
      </c>
      <c r="E5293" s="10" t="s">
        <v>22211</v>
      </c>
      <c r="F5293" s="10" t="s">
        <v>333</v>
      </c>
      <c r="G5293" s="10" t="s">
        <v>6317</v>
      </c>
      <c r="H5293" s="11">
        <v>41731</v>
      </c>
      <c r="I5293" s="10">
        <v>2014</v>
      </c>
      <c r="J5293" s="10" t="s">
        <v>22211</v>
      </c>
      <c r="K5293" s="10">
        <v>241</v>
      </c>
      <c r="L5293" s="10" t="s">
        <v>27593</v>
      </c>
      <c r="M5293" s="10">
        <v>1</v>
      </c>
      <c r="N5293" s="10" t="s">
        <v>23967</v>
      </c>
      <c r="O5293" s="10"/>
      <c r="P5293" s="10" t="s">
        <v>27594</v>
      </c>
      <c r="Q5293" s="10">
        <v>370.154</v>
      </c>
      <c r="R5293" s="10"/>
      <c r="S5293" s="10" t="s">
        <v>53</v>
      </c>
      <c r="T5293" s="10" t="s">
        <v>54</v>
      </c>
    </row>
    <row r="5294" spans="1:20" ht="14.5" x14ac:dyDescent="0.35">
      <c r="A5294" s="10" t="s">
        <v>27595</v>
      </c>
      <c r="B5294" s="10" t="str">
        <f>"9781412964845"</f>
        <v>9781412964845</v>
      </c>
      <c r="C5294" s="10" t="str">
        <f>"9781452298672"</f>
        <v>9781452298672</v>
      </c>
      <c r="D5294" s="10" t="s">
        <v>22210</v>
      </c>
      <c r="E5294" s="10" t="s">
        <v>22211</v>
      </c>
      <c r="F5294" s="10" t="s">
        <v>333</v>
      </c>
      <c r="G5294" s="10" t="s">
        <v>6317</v>
      </c>
      <c r="H5294" s="11">
        <v>39519</v>
      </c>
      <c r="I5294" s="10">
        <v>2008</v>
      </c>
      <c r="J5294" s="10" t="s">
        <v>22211</v>
      </c>
      <c r="K5294" s="10">
        <v>81</v>
      </c>
      <c r="L5294" s="10" t="s">
        <v>25094</v>
      </c>
      <c r="M5294" s="10">
        <v>1</v>
      </c>
      <c r="N5294" s="10"/>
      <c r="O5294" s="10"/>
      <c r="P5294" s="10" t="s">
        <v>27596</v>
      </c>
      <c r="Q5294" s="10"/>
      <c r="R5294" s="10"/>
      <c r="S5294" s="10" t="s">
        <v>53</v>
      </c>
      <c r="T5294" s="10" t="s">
        <v>54</v>
      </c>
    </row>
    <row r="5295" spans="1:20" ht="14.5" x14ac:dyDescent="0.35">
      <c r="A5295" s="10" t="s">
        <v>27597</v>
      </c>
      <c r="B5295" s="10" t="str">
        <f>"9781118409473"</f>
        <v>9781118409473</v>
      </c>
      <c r="C5295" s="10" t="str">
        <f>"9781118836118"</f>
        <v>9781118836118</v>
      </c>
      <c r="D5295" s="10" t="s">
        <v>6322</v>
      </c>
      <c r="E5295" s="10" t="s">
        <v>6323</v>
      </c>
      <c r="F5295" s="10" t="s">
        <v>4423</v>
      </c>
      <c r="G5295" s="10" t="s">
        <v>6317</v>
      </c>
      <c r="H5295" s="11">
        <v>41736</v>
      </c>
      <c r="I5295" s="10">
        <v>2014</v>
      </c>
      <c r="J5295" s="10" t="s">
        <v>6324</v>
      </c>
      <c r="K5295" s="10">
        <v>304</v>
      </c>
      <c r="L5295" s="10" t="s">
        <v>27598</v>
      </c>
      <c r="M5295" s="10">
        <v>1</v>
      </c>
      <c r="N5295" s="10"/>
      <c r="O5295" s="10"/>
      <c r="P5295" s="10"/>
      <c r="Q5295" s="10" t="s">
        <v>23516</v>
      </c>
      <c r="R5295" s="10" t="s">
        <v>27599</v>
      </c>
      <c r="S5295" s="10" t="s">
        <v>53</v>
      </c>
      <c r="T5295" s="10" t="s">
        <v>54</v>
      </c>
    </row>
    <row r="5296" spans="1:20" ht="14.5" x14ac:dyDescent="0.35">
      <c r="A5296" s="10" t="s">
        <v>27600</v>
      </c>
      <c r="B5296" s="10" t="str">
        <f>"9781118112700"</f>
        <v>9781118112700</v>
      </c>
      <c r="C5296" s="10" t="str">
        <f>"9781118418949"</f>
        <v>9781118418949</v>
      </c>
      <c r="D5296" s="10" t="s">
        <v>6322</v>
      </c>
      <c r="E5296" s="10" t="s">
        <v>6323</v>
      </c>
      <c r="F5296" s="10" t="s">
        <v>4423</v>
      </c>
      <c r="G5296" s="10" t="s">
        <v>6317</v>
      </c>
      <c r="H5296" s="11">
        <v>41722</v>
      </c>
      <c r="I5296" s="10">
        <v>2014</v>
      </c>
      <c r="J5296" s="10" t="s">
        <v>6323</v>
      </c>
      <c r="K5296" s="10">
        <v>305</v>
      </c>
      <c r="L5296" s="10" t="s">
        <v>27601</v>
      </c>
      <c r="M5296" s="10">
        <v>1</v>
      </c>
      <c r="N5296" s="10" t="s">
        <v>18778</v>
      </c>
      <c r="O5296" s="10"/>
      <c r="P5296" s="10"/>
      <c r="Q5296" s="10">
        <v>618.92858899999999</v>
      </c>
      <c r="R5296" s="10" t="s">
        <v>27602</v>
      </c>
      <c r="S5296" s="10" t="s">
        <v>53</v>
      </c>
      <c r="T5296" s="10" t="s">
        <v>8625</v>
      </c>
    </row>
    <row r="5297" spans="1:20" ht="14.5" x14ac:dyDescent="0.35">
      <c r="A5297" s="10" t="s">
        <v>27603</v>
      </c>
      <c r="B5297" s="10" t="str">
        <f>"9781118710159"</f>
        <v>9781118710159</v>
      </c>
      <c r="C5297" s="10" t="str">
        <f>"9781118710180"</f>
        <v>9781118710180</v>
      </c>
      <c r="D5297" s="10" t="s">
        <v>6322</v>
      </c>
      <c r="E5297" s="10" t="s">
        <v>6323</v>
      </c>
      <c r="F5297" s="10" t="s">
        <v>4423</v>
      </c>
      <c r="G5297" s="10" t="s">
        <v>6317</v>
      </c>
      <c r="H5297" s="11">
        <v>41743</v>
      </c>
      <c r="I5297" s="10">
        <v>2014</v>
      </c>
      <c r="J5297" s="10" t="s">
        <v>6324</v>
      </c>
      <c r="K5297" s="10">
        <v>217</v>
      </c>
      <c r="L5297" s="10" t="s">
        <v>27604</v>
      </c>
      <c r="M5297" s="10">
        <v>1</v>
      </c>
      <c r="N5297" s="10"/>
      <c r="O5297" s="10"/>
      <c r="P5297" s="10"/>
      <c r="Q5297" s="10"/>
      <c r="R5297" s="10" t="s">
        <v>27605</v>
      </c>
      <c r="S5297" s="10" t="s">
        <v>53</v>
      </c>
      <c r="T5297" s="10" t="s">
        <v>54</v>
      </c>
    </row>
    <row r="5298" spans="1:20" ht="14.5" x14ac:dyDescent="0.35">
      <c r="A5298" s="10" t="s">
        <v>27606</v>
      </c>
      <c r="B5298" s="10" t="str">
        <f>"9781412905275"</f>
        <v>9781412905275</v>
      </c>
      <c r="C5298" s="10" t="str">
        <f>"9781452296661"</f>
        <v>9781452296661</v>
      </c>
      <c r="D5298" s="10" t="s">
        <v>22210</v>
      </c>
      <c r="E5298" s="10" t="s">
        <v>22211</v>
      </c>
      <c r="F5298" s="10" t="s">
        <v>333</v>
      </c>
      <c r="G5298" s="10" t="s">
        <v>6317</v>
      </c>
      <c r="H5298" s="11">
        <v>39645</v>
      </c>
      <c r="I5298" s="10">
        <v>2009</v>
      </c>
      <c r="J5298" s="10" t="s">
        <v>22211</v>
      </c>
      <c r="K5298" s="10">
        <v>249</v>
      </c>
      <c r="L5298" s="10" t="s">
        <v>22313</v>
      </c>
      <c r="M5298" s="10">
        <v>1</v>
      </c>
      <c r="N5298" s="10"/>
      <c r="O5298" s="10"/>
      <c r="P5298" s="10" t="s">
        <v>27607</v>
      </c>
      <c r="Q5298" s="10">
        <v>371.10199999999998</v>
      </c>
      <c r="R5298" s="10" t="s">
        <v>12268</v>
      </c>
      <c r="S5298" s="10" t="s">
        <v>53</v>
      </c>
      <c r="T5298" s="10" t="s">
        <v>54</v>
      </c>
    </row>
    <row r="5299" spans="1:20" ht="14.5" x14ac:dyDescent="0.35">
      <c r="A5299" s="10" t="s">
        <v>27608</v>
      </c>
      <c r="B5299" s="10" t="str">
        <f>"9781412952064"</f>
        <v>9781412952064</v>
      </c>
      <c r="C5299" s="10" t="str">
        <f>"9781452297798"</f>
        <v>9781452297798</v>
      </c>
      <c r="D5299" s="10" t="s">
        <v>22210</v>
      </c>
      <c r="E5299" s="10" t="s">
        <v>22211</v>
      </c>
      <c r="F5299" s="10" t="s">
        <v>333</v>
      </c>
      <c r="G5299" s="10" t="s">
        <v>6317</v>
      </c>
      <c r="H5299" s="11">
        <v>39203</v>
      </c>
      <c r="I5299" s="10">
        <v>2007</v>
      </c>
      <c r="J5299" s="10" t="s">
        <v>22211</v>
      </c>
      <c r="K5299" s="10">
        <v>201</v>
      </c>
      <c r="L5299" s="10" t="s">
        <v>22313</v>
      </c>
      <c r="M5299" s="10">
        <v>1</v>
      </c>
      <c r="N5299" s="10"/>
      <c r="O5299" s="10"/>
      <c r="P5299" s="10" t="s">
        <v>27609</v>
      </c>
      <c r="Q5299" s="10"/>
      <c r="R5299" s="10"/>
      <c r="S5299" s="10" t="s">
        <v>53</v>
      </c>
      <c r="T5299" s="10" t="s">
        <v>54</v>
      </c>
    </row>
    <row r="5300" spans="1:20" ht="14.5" x14ac:dyDescent="0.35">
      <c r="A5300" s="10" t="s">
        <v>27610</v>
      </c>
      <c r="B5300" s="10" t="str">
        <f>"9780761945796"</f>
        <v>9780761945796</v>
      </c>
      <c r="C5300" s="10" t="str">
        <f>"9781483362939"</f>
        <v>9781483362939</v>
      </c>
      <c r="D5300" s="10" t="s">
        <v>22210</v>
      </c>
      <c r="E5300" s="10" t="s">
        <v>22211</v>
      </c>
      <c r="F5300" s="10" t="s">
        <v>333</v>
      </c>
      <c r="G5300" s="10" t="s">
        <v>6317</v>
      </c>
      <c r="H5300" s="11">
        <v>37895</v>
      </c>
      <c r="I5300" s="10">
        <v>2004</v>
      </c>
      <c r="J5300" s="10" t="s">
        <v>22211</v>
      </c>
      <c r="K5300" s="10">
        <v>265</v>
      </c>
      <c r="L5300" s="10" t="s">
        <v>22283</v>
      </c>
      <c r="M5300" s="10">
        <v>1</v>
      </c>
      <c r="N5300" s="10" t="s">
        <v>15005</v>
      </c>
      <c r="O5300" s="10"/>
      <c r="P5300" s="10" t="s">
        <v>27611</v>
      </c>
      <c r="Q5300" s="10"/>
      <c r="R5300" s="10"/>
      <c r="S5300" s="10" t="s">
        <v>53</v>
      </c>
      <c r="T5300" s="10" t="s">
        <v>54</v>
      </c>
    </row>
    <row r="5301" spans="1:20" ht="14.5" x14ac:dyDescent="0.35">
      <c r="A5301" s="10" t="s">
        <v>27612</v>
      </c>
      <c r="B5301" s="10" t="str">
        <f>"9781595589064"</f>
        <v>9781595589064</v>
      </c>
      <c r="C5301" s="10" t="str">
        <f>"9781595589811"</f>
        <v>9781595589811</v>
      </c>
      <c r="D5301" s="10" t="s">
        <v>9533</v>
      </c>
      <c r="E5301" s="10" t="s">
        <v>21864</v>
      </c>
      <c r="F5301" s="10" t="s">
        <v>25348</v>
      </c>
      <c r="G5301" s="10" t="s">
        <v>6317</v>
      </c>
      <c r="H5301" s="11">
        <v>41821</v>
      </c>
      <c r="I5301" s="10">
        <v>2014</v>
      </c>
      <c r="J5301" s="10" t="s">
        <v>21864</v>
      </c>
      <c r="K5301" s="10">
        <v>273</v>
      </c>
      <c r="L5301" s="10" t="s">
        <v>27613</v>
      </c>
      <c r="M5301" s="10">
        <v>1</v>
      </c>
      <c r="N5301" s="10"/>
      <c r="O5301" s="10"/>
      <c r="P5301" s="10" t="s">
        <v>27614</v>
      </c>
      <c r="Q5301" s="10">
        <v>370.97300000000001</v>
      </c>
      <c r="R5301" s="10" t="s">
        <v>27615</v>
      </c>
      <c r="S5301" s="10" t="s">
        <v>53</v>
      </c>
      <c r="T5301" s="10" t="s">
        <v>54</v>
      </c>
    </row>
    <row r="5302" spans="1:20" ht="14.5" x14ac:dyDescent="0.35">
      <c r="A5302" s="10" t="s">
        <v>27616</v>
      </c>
      <c r="B5302" s="10" t="str">
        <f>"9781416617266"</f>
        <v>9781416617266</v>
      </c>
      <c r="C5302" s="10" t="str">
        <f>"9781416618133"</f>
        <v>9781416618133</v>
      </c>
      <c r="D5302" s="10" t="s">
        <v>10014</v>
      </c>
      <c r="E5302" s="10" t="s">
        <v>10015</v>
      </c>
      <c r="F5302" s="10" t="s">
        <v>201</v>
      </c>
      <c r="G5302" s="10" t="s">
        <v>6317</v>
      </c>
      <c r="H5302" s="11">
        <v>41698</v>
      </c>
      <c r="I5302" s="10">
        <v>2014</v>
      </c>
      <c r="J5302" s="10" t="s">
        <v>10015</v>
      </c>
      <c r="K5302" s="10">
        <v>75</v>
      </c>
      <c r="L5302" s="10" t="s">
        <v>27617</v>
      </c>
      <c r="M5302" s="10">
        <v>1</v>
      </c>
      <c r="N5302" s="10"/>
      <c r="O5302" s="10"/>
      <c r="P5302" s="10" t="s">
        <v>27618</v>
      </c>
      <c r="Q5302" s="10" t="s">
        <v>19565</v>
      </c>
      <c r="R5302" s="10" t="s">
        <v>27619</v>
      </c>
      <c r="S5302" s="10" t="s">
        <v>53</v>
      </c>
      <c r="T5302" s="10" t="s">
        <v>54</v>
      </c>
    </row>
    <row r="5303" spans="1:20" ht="14.5" x14ac:dyDescent="0.35">
      <c r="A5303" s="10" t="s">
        <v>27620</v>
      </c>
      <c r="B5303" s="10" t="str">
        <f>"9781416617273"</f>
        <v>9781416617273</v>
      </c>
      <c r="C5303" s="10" t="str">
        <f>"9781416618102"</f>
        <v>9781416618102</v>
      </c>
      <c r="D5303" s="10" t="s">
        <v>10014</v>
      </c>
      <c r="E5303" s="10" t="s">
        <v>10015</v>
      </c>
      <c r="F5303" s="10" t="s">
        <v>201</v>
      </c>
      <c r="G5303" s="10" t="s">
        <v>6317</v>
      </c>
      <c r="H5303" s="11">
        <v>41698</v>
      </c>
      <c r="I5303" s="10">
        <v>2014</v>
      </c>
      <c r="J5303" s="10" t="s">
        <v>10015</v>
      </c>
      <c r="K5303" s="10">
        <v>70</v>
      </c>
      <c r="L5303" s="10" t="s">
        <v>27621</v>
      </c>
      <c r="M5303" s="10">
        <v>1</v>
      </c>
      <c r="N5303" s="10"/>
      <c r="O5303" s="10"/>
      <c r="P5303" s="10" t="s">
        <v>27622</v>
      </c>
      <c r="Q5303" s="10">
        <v>372.83</v>
      </c>
      <c r="R5303" s="10" t="s">
        <v>27623</v>
      </c>
      <c r="S5303" s="10" t="s">
        <v>53</v>
      </c>
      <c r="T5303" s="10" t="s">
        <v>54</v>
      </c>
    </row>
    <row r="5304" spans="1:20" ht="14.5" x14ac:dyDescent="0.35">
      <c r="A5304" s="10" t="s">
        <v>27624</v>
      </c>
      <c r="B5304" s="10" t="str">
        <f>"9781416617259"</f>
        <v>9781416617259</v>
      </c>
      <c r="C5304" s="10" t="str">
        <f>"9781416618072"</f>
        <v>9781416618072</v>
      </c>
      <c r="D5304" s="10" t="s">
        <v>10014</v>
      </c>
      <c r="E5304" s="10" t="s">
        <v>10015</v>
      </c>
      <c r="F5304" s="10" t="s">
        <v>201</v>
      </c>
      <c r="G5304" s="10" t="s">
        <v>6317</v>
      </c>
      <c r="H5304" s="11">
        <v>41698</v>
      </c>
      <c r="I5304" s="10">
        <v>2014</v>
      </c>
      <c r="J5304" s="10" t="s">
        <v>10015</v>
      </c>
      <c r="K5304" s="10">
        <v>67</v>
      </c>
      <c r="L5304" s="10" t="s">
        <v>27625</v>
      </c>
      <c r="M5304" s="10">
        <v>1</v>
      </c>
      <c r="N5304" s="10"/>
      <c r="O5304" s="10"/>
      <c r="P5304" s="10" t="s">
        <v>27626</v>
      </c>
      <c r="Q5304" s="10">
        <v>372.6</v>
      </c>
      <c r="R5304" s="10" t="s">
        <v>27627</v>
      </c>
      <c r="S5304" s="10" t="s">
        <v>53</v>
      </c>
      <c r="T5304" s="10" t="s">
        <v>54</v>
      </c>
    </row>
    <row r="5305" spans="1:20" ht="14.5" x14ac:dyDescent="0.35">
      <c r="A5305" s="10" t="s">
        <v>27628</v>
      </c>
      <c r="B5305" s="10" t="str">
        <f>"9781412909808"</f>
        <v>9781412909808</v>
      </c>
      <c r="C5305" s="10" t="str">
        <f>"9781483363509"</f>
        <v>9781483363509</v>
      </c>
      <c r="D5305" s="10" t="s">
        <v>22210</v>
      </c>
      <c r="E5305" s="10" t="s">
        <v>22211</v>
      </c>
      <c r="F5305" s="10" t="s">
        <v>333</v>
      </c>
      <c r="G5305" s="10" t="s">
        <v>6317</v>
      </c>
      <c r="H5305" s="11">
        <v>38469</v>
      </c>
      <c r="I5305" s="10">
        <v>2005</v>
      </c>
      <c r="J5305" s="10" t="s">
        <v>22211</v>
      </c>
      <c r="K5305" s="10">
        <v>281</v>
      </c>
      <c r="L5305" s="10" t="s">
        <v>22271</v>
      </c>
      <c r="M5305" s="10">
        <v>1</v>
      </c>
      <c r="N5305" s="10"/>
      <c r="O5305" s="10"/>
      <c r="P5305" s="10" t="s">
        <v>27629</v>
      </c>
      <c r="Q5305" s="10" t="s">
        <v>27630</v>
      </c>
      <c r="R5305" s="10"/>
      <c r="S5305" s="10" t="s">
        <v>53</v>
      </c>
      <c r="T5305" s="10" t="s">
        <v>54</v>
      </c>
    </row>
    <row r="5306" spans="1:20" ht="14.5" x14ac:dyDescent="0.35">
      <c r="A5306" s="10" t="s">
        <v>27631</v>
      </c>
      <c r="B5306" s="10" t="str">
        <f>"9781412949040"</f>
        <v>9781412949040</v>
      </c>
      <c r="C5306" s="10" t="str">
        <f>"9781452297446"</f>
        <v>9781452297446</v>
      </c>
      <c r="D5306" s="10" t="s">
        <v>22210</v>
      </c>
      <c r="E5306" s="10" t="s">
        <v>22211</v>
      </c>
      <c r="F5306" s="10" t="s">
        <v>333</v>
      </c>
      <c r="G5306" s="10" t="s">
        <v>6317</v>
      </c>
      <c r="H5306" s="11">
        <v>39225</v>
      </c>
      <c r="I5306" s="10">
        <v>2007</v>
      </c>
      <c r="J5306" s="10" t="s">
        <v>22211</v>
      </c>
      <c r="K5306" s="10">
        <v>153</v>
      </c>
      <c r="L5306" s="10" t="s">
        <v>24363</v>
      </c>
      <c r="M5306" s="10">
        <v>1</v>
      </c>
      <c r="N5306" s="10"/>
      <c r="O5306" s="10"/>
      <c r="P5306" s="10" t="s">
        <v>27632</v>
      </c>
      <c r="Q5306" s="10">
        <v>371.10199999999998</v>
      </c>
      <c r="R5306" s="10"/>
      <c r="S5306" s="10" t="s">
        <v>53</v>
      </c>
      <c r="T5306" s="10" t="s">
        <v>54</v>
      </c>
    </row>
    <row r="5307" spans="1:20" ht="14.5" x14ac:dyDescent="0.35">
      <c r="A5307" s="10" t="s">
        <v>27633</v>
      </c>
      <c r="B5307" s="10" t="str">
        <f>"9781412953030"</f>
        <v>9781412953030</v>
      </c>
      <c r="C5307" s="10" t="str">
        <f>"9781452297996"</f>
        <v>9781452297996</v>
      </c>
      <c r="D5307" s="10" t="s">
        <v>22210</v>
      </c>
      <c r="E5307" s="10" t="s">
        <v>22211</v>
      </c>
      <c r="F5307" s="10" t="s">
        <v>333</v>
      </c>
      <c r="G5307" s="10" t="s">
        <v>6317</v>
      </c>
      <c r="H5307" s="11">
        <v>39422</v>
      </c>
      <c r="I5307" s="10">
        <v>2008</v>
      </c>
      <c r="J5307" s="10" t="s">
        <v>22211</v>
      </c>
      <c r="K5307" s="10">
        <v>137</v>
      </c>
      <c r="L5307" s="10" t="s">
        <v>15696</v>
      </c>
      <c r="M5307" s="10">
        <v>1</v>
      </c>
      <c r="N5307" s="10"/>
      <c r="O5307" s="10"/>
      <c r="P5307" s="10" t="s">
        <v>27634</v>
      </c>
      <c r="Q5307" s="10">
        <v>371.5</v>
      </c>
      <c r="R5307" s="10"/>
      <c r="S5307" s="10" t="s">
        <v>53</v>
      </c>
      <c r="T5307" s="10" t="s">
        <v>54</v>
      </c>
    </row>
    <row r="5308" spans="1:20" ht="14.5" x14ac:dyDescent="0.35">
      <c r="A5308" s="10" t="s">
        <v>27635</v>
      </c>
      <c r="B5308" s="10" t="str">
        <f>"9780761945079"</f>
        <v>9780761945079</v>
      </c>
      <c r="C5308" s="10" t="str">
        <f>"9781483362823"</f>
        <v>9781483362823</v>
      </c>
      <c r="D5308" s="10" t="s">
        <v>22210</v>
      </c>
      <c r="E5308" s="10" t="s">
        <v>22211</v>
      </c>
      <c r="F5308" s="10" t="s">
        <v>333</v>
      </c>
      <c r="G5308" s="10" t="s">
        <v>6317</v>
      </c>
      <c r="H5308" s="11">
        <v>37456</v>
      </c>
      <c r="I5308" s="10">
        <v>2002</v>
      </c>
      <c r="J5308" s="10" t="s">
        <v>22211</v>
      </c>
      <c r="K5308" s="10">
        <v>145</v>
      </c>
      <c r="L5308" s="10" t="s">
        <v>27636</v>
      </c>
      <c r="M5308" s="10">
        <v>1</v>
      </c>
      <c r="N5308" s="10"/>
      <c r="O5308" s="10"/>
      <c r="P5308" s="10" t="s">
        <v>27637</v>
      </c>
      <c r="Q5308" s="10" t="s">
        <v>18116</v>
      </c>
      <c r="R5308" s="10"/>
      <c r="S5308" s="10" t="s">
        <v>53</v>
      </c>
      <c r="T5308" s="10" t="s">
        <v>54</v>
      </c>
    </row>
    <row r="5309" spans="1:20" ht="14.5" x14ac:dyDescent="0.35">
      <c r="A5309" s="10" t="s">
        <v>27638</v>
      </c>
      <c r="B5309" s="10" t="str">
        <f>"9780761938927"</f>
        <v>9780761938927</v>
      </c>
      <c r="C5309" s="10" t="str">
        <f>"9781483362700"</f>
        <v>9781483362700</v>
      </c>
      <c r="D5309" s="10" t="s">
        <v>22210</v>
      </c>
      <c r="E5309" s="10" t="s">
        <v>22211</v>
      </c>
      <c r="F5309" s="10" t="s">
        <v>333</v>
      </c>
      <c r="G5309" s="10" t="s">
        <v>6317</v>
      </c>
      <c r="H5309" s="11">
        <v>38092</v>
      </c>
      <c r="I5309" s="10">
        <v>2004</v>
      </c>
      <c r="J5309" s="10" t="s">
        <v>22211</v>
      </c>
      <c r="K5309" s="10">
        <v>161</v>
      </c>
      <c r="L5309" s="10" t="s">
        <v>27639</v>
      </c>
      <c r="M5309" s="10">
        <v>1</v>
      </c>
      <c r="N5309" s="10"/>
      <c r="O5309" s="10"/>
      <c r="P5309" s="10" t="s">
        <v>27640</v>
      </c>
      <c r="Q5309" s="10" t="s">
        <v>7069</v>
      </c>
      <c r="R5309" s="10"/>
      <c r="S5309" s="10" t="s">
        <v>53</v>
      </c>
      <c r="T5309" s="10" t="s">
        <v>54</v>
      </c>
    </row>
    <row r="5310" spans="1:20" ht="14.5" x14ac:dyDescent="0.35">
      <c r="A5310" s="10" t="s">
        <v>27641</v>
      </c>
      <c r="B5310" s="10" t="str">
        <f>"9780761939672"</f>
        <v>9780761939672</v>
      </c>
      <c r="C5310" s="10" t="str">
        <f>"9781483362809"</f>
        <v>9781483362809</v>
      </c>
      <c r="D5310" s="10" t="s">
        <v>22210</v>
      </c>
      <c r="E5310" s="10" t="s">
        <v>22211</v>
      </c>
      <c r="F5310" s="10" t="s">
        <v>333</v>
      </c>
      <c r="G5310" s="10" t="s">
        <v>6317</v>
      </c>
      <c r="H5310" s="11">
        <v>38058</v>
      </c>
      <c r="I5310" s="10">
        <v>2004</v>
      </c>
      <c r="J5310" s="10" t="s">
        <v>22211</v>
      </c>
      <c r="K5310" s="10">
        <v>249</v>
      </c>
      <c r="L5310" s="10" t="s">
        <v>27642</v>
      </c>
      <c r="M5310" s="10">
        <v>1</v>
      </c>
      <c r="N5310" s="10"/>
      <c r="O5310" s="10"/>
      <c r="P5310" s="10" t="s">
        <v>27643</v>
      </c>
      <c r="Q5310" s="10" t="s">
        <v>27644</v>
      </c>
      <c r="R5310" s="10"/>
      <c r="S5310" s="10" t="s">
        <v>53</v>
      </c>
      <c r="T5310" s="10" t="s">
        <v>54</v>
      </c>
    </row>
    <row r="5311" spans="1:20" ht="14.5" x14ac:dyDescent="0.35">
      <c r="A5311" s="10" t="s">
        <v>27645</v>
      </c>
      <c r="B5311" s="10" t="str">
        <f>"9780761931263"</f>
        <v>9780761931263</v>
      </c>
      <c r="C5311" s="10" t="str">
        <f>"9781483362472"</f>
        <v>9781483362472</v>
      </c>
      <c r="D5311" s="10" t="s">
        <v>22210</v>
      </c>
      <c r="E5311" s="10" t="s">
        <v>22211</v>
      </c>
      <c r="F5311" s="10" t="s">
        <v>333</v>
      </c>
      <c r="G5311" s="10" t="s">
        <v>6317</v>
      </c>
      <c r="H5311" s="11">
        <v>37924</v>
      </c>
      <c r="I5311" s="10">
        <v>2004</v>
      </c>
      <c r="J5311" s="10" t="s">
        <v>22211</v>
      </c>
      <c r="K5311" s="10">
        <v>89</v>
      </c>
      <c r="L5311" s="10" t="s">
        <v>23167</v>
      </c>
      <c r="M5311" s="10">
        <v>1</v>
      </c>
      <c r="N5311" s="10"/>
      <c r="O5311" s="10"/>
      <c r="P5311" s="10" t="s">
        <v>27646</v>
      </c>
      <c r="Q5311" s="10"/>
      <c r="R5311" s="10"/>
      <c r="S5311" s="10" t="s">
        <v>53</v>
      </c>
      <c r="T5311" s="10" t="s">
        <v>54</v>
      </c>
    </row>
    <row r="5312" spans="1:20" ht="14.5" x14ac:dyDescent="0.35">
      <c r="A5312" s="10" t="s">
        <v>27647</v>
      </c>
      <c r="B5312" s="10" t="str">
        <f>"9780761931157"</f>
        <v>9780761931157</v>
      </c>
      <c r="C5312" s="10" t="str">
        <f>"9781483362403"</f>
        <v>9781483362403</v>
      </c>
      <c r="D5312" s="10" t="s">
        <v>22210</v>
      </c>
      <c r="E5312" s="10" t="s">
        <v>22211</v>
      </c>
      <c r="F5312" s="10" t="s">
        <v>333</v>
      </c>
      <c r="G5312" s="10" t="s">
        <v>6317</v>
      </c>
      <c r="H5312" s="11">
        <v>37930</v>
      </c>
      <c r="I5312" s="10">
        <v>2004</v>
      </c>
      <c r="J5312" s="10" t="s">
        <v>22211</v>
      </c>
      <c r="K5312" s="10">
        <v>249</v>
      </c>
      <c r="L5312" s="10" t="s">
        <v>27648</v>
      </c>
      <c r="M5312" s="10">
        <v>2</v>
      </c>
      <c r="N5312" s="10"/>
      <c r="O5312" s="10"/>
      <c r="P5312" s="10" t="s">
        <v>27649</v>
      </c>
      <c r="Q5312" s="10" t="s">
        <v>10094</v>
      </c>
      <c r="R5312" s="10"/>
      <c r="S5312" s="10" t="s">
        <v>53</v>
      </c>
      <c r="T5312" s="10" t="s">
        <v>54</v>
      </c>
    </row>
    <row r="5313" spans="1:20" ht="14.5" x14ac:dyDescent="0.35">
      <c r="A5313" s="10" t="s">
        <v>27650</v>
      </c>
      <c r="B5313" s="10" t="str">
        <f>"9781853467110"</f>
        <v>9781853467110</v>
      </c>
      <c r="C5313" s="10" t="str">
        <f>"9781134124626"</f>
        <v>9781134124626</v>
      </c>
      <c r="D5313" s="10" t="s">
        <v>6350</v>
      </c>
      <c r="E5313" s="10" t="s">
        <v>15120</v>
      </c>
      <c r="F5313" s="10" t="s">
        <v>748</v>
      </c>
      <c r="G5313" s="10" t="s">
        <v>6352</v>
      </c>
      <c r="H5313" s="11">
        <v>37463</v>
      </c>
      <c r="I5313" s="10">
        <v>2002</v>
      </c>
      <c r="J5313" s="10" t="s">
        <v>15120</v>
      </c>
      <c r="K5313" s="10">
        <v>113</v>
      </c>
      <c r="L5313" s="10" t="s">
        <v>27651</v>
      </c>
      <c r="M5313" s="10">
        <v>1</v>
      </c>
      <c r="N5313" s="10"/>
      <c r="O5313" s="10"/>
      <c r="P5313" s="10" t="s">
        <v>27652</v>
      </c>
      <c r="Q5313" s="10" t="s">
        <v>22734</v>
      </c>
      <c r="R5313" s="10" t="s">
        <v>27653</v>
      </c>
      <c r="S5313" s="10" t="s">
        <v>53</v>
      </c>
      <c r="T5313" s="10" t="s">
        <v>54</v>
      </c>
    </row>
    <row r="5314" spans="1:20" ht="14.5" x14ac:dyDescent="0.35">
      <c r="A5314" s="10" t="s">
        <v>27654</v>
      </c>
      <c r="B5314" s="10" t="str">
        <f>"9780815339274"</f>
        <v>9780815339274</v>
      </c>
      <c r="C5314" s="10" t="str">
        <f>"9781135722548"</f>
        <v>9781135722548</v>
      </c>
      <c r="D5314" s="10" t="s">
        <v>6350</v>
      </c>
      <c r="E5314" s="10" t="s">
        <v>6351</v>
      </c>
      <c r="F5314" s="10" t="s">
        <v>139</v>
      </c>
      <c r="G5314" s="10" t="s">
        <v>6352</v>
      </c>
      <c r="H5314" s="11">
        <v>37337</v>
      </c>
      <c r="I5314" s="10">
        <v>2002</v>
      </c>
      <c r="J5314" s="10" t="s">
        <v>6353</v>
      </c>
      <c r="K5314" s="10">
        <v>181</v>
      </c>
      <c r="L5314" s="10" t="s">
        <v>27655</v>
      </c>
      <c r="M5314" s="10">
        <v>1</v>
      </c>
      <c r="N5314" s="10"/>
      <c r="O5314" s="10"/>
      <c r="P5314" s="10" t="s">
        <v>27656</v>
      </c>
      <c r="Q5314" s="10">
        <v>174.93719999999999</v>
      </c>
      <c r="R5314" s="10" t="s">
        <v>6388</v>
      </c>
      <c r="S5314" s="10" t="s">
        <v>53</v>
      </c>
      <c r="T5314" s="10" t="s">
        <v>6521</v>
      </c>
    </row>
    <row r="5315" spans="1:20" ht="14.5" x14ac:dyDescent="0.35">
      <c r="A5315" s="10" t="s">
        <v>27657</v>
      </c>
      <c r="B5315" s="10" t="str">
        <f>"9781843122906"</f>
        <v>9781843122906</v>
      </c>
      <c r="C5315" s="10" t="str">
        <f>"9781317854999"</f>
        <v>9781317854999</v>
      </c>
      <c r="D5315" s="10" t="s">
        <v>6350</v>
      </c>
      <c r="E5315" s="10" t="s">
        <v>15120</v>
      </c>
      <c r="F5315" s="10" t="s">
        <v>748</v>
      </c>
      <c r="G5315" s="10" t="s">
        <v>6352</v>
      </c>
      <c r="H5315" s="11">
        <v>38737</v>
      </c>
      <c r="I5315" s="10">
        <v>2005</v>
      </c>
      <c r="J5315" s="10" t="s">
        <v>15120</v>
      </c>
      <c r="K5315" s="10">
        <v>97</v>
      </c>
      <c r="L5315" s="10" t="s">
        <v>27658</v>
      </c>
      <c r="M5315" s="10">
        <v>1</v>
      </c>
      <c r="N5315" s="10" t="s">
        <v>27659</v>
      </c>
      <c r="O5315" s="10"/>
      <c r="P5315" s="10" t="s">
        <v>27660</v>
      </c>
      <c r="Q5315" s="10">
        <v>372.21094099999999</v>
      </c>
      <c r="R5315" s="10" t="s">
        <v>27661</v>
      </c>
      <c r="S5315" s="10" t="s">
        <v>53</v>
      </c>
      <c r="T5315" s="10" t="s">
        <v>54</v>
      </c>
    </row>
    <row r="5316" spans="1:20" ht="14.5" x14ac:dyDescent="0.35">
      <c r="A5316" s="10" t="s">
        <v>27662</v>
      </c>
      <c r="B5316" s="10" t="str">
        <f>"9780789019219"</f>
        <v>9780789019219</v>
      </c>
      <c r="C5316" s="10" t="str">
        <f>"9781317760672"</f>
        <v>9781317760672</v>
      </c>
      <c r="D5316" s="10" t="s">
        <v>6350</v>
      </c>
      <c r="E5316" s="10" t="s">
        <v>6351</v>
      </c>
      <c r="F5316" s="10" t="s">
        <v>748</v>
      </c>
      <c r="G5316" s="10" t="s">
        <v>6352</v>
      </c>
      <c r="H5316" s="11">
        <v>37567</v>
      </c>
      <c r="I5316" s="10">
        <v>2003</v>
      </c>
      <c r="J5316" s="10" t="s">
        <v>6351</v>
      </c>
      <c r="K5316" s="10">
        <v>205</v>
      </c>
      <c r="L5316" s="10" t="s">
        <v>27663</v>
      </c>
      <c r="M5316" s="10">
        <v>1</v>
      </c>
      <c r="N5316" s="10"/>
      <c r="O5316" s="10"/>
      <c r="P5316" s="10" t="s">
        <v>27664</v>
      </c>
      <c r="Q5316" s="10" t="s">
        <v>27665</v>
      </c>
      <c r="R5316" s="10" t="s">
        <v>27666</v>
      </c>
      <c r="S5316" s="10" t="s">
        <v>53</v>
      </c>
      <c r="T5316" s="10" t="s">
        <v>54</v>
      </c>
    </row>
    <row r="5317" spans="1:20" ht="14.5" x14ac:dyDescent="0.35">
      <c r="A5317" s="10" t="s">
        <v>27667</v>
      </c>
      <c r="B5317" s="10" t="str">
        <f>"9781843120995"</f>
        <v>9781843120995</v>
      </c>
      <c r="C5317" s="10" t="str">
        <f>"9781317855057"</f>
        <v>9781317855057</v>
      </c>
      <c r="D5317" s="10" t="s">
        <v>6350</v>
      </c>
      <c r="E5317" s="10" t="s">
        <v>15120</v>
      </c>
      <c r="F5317" s="10" t="s">
        <v>748</v>
      </c>
      <c r="G5317" s="10" t="s">
        <v>6352</v>
      </c>
      <c r="H5317" s="11">
        <v>38741</v>
      </c>
      <c r="I5317" s="10">
        <v>2005</v>
      </c>
      <c r="J5317" s="10" t="s">
        <v>15120</v>
      </c>
      <c r="K5317" s="10">
        <v>92</v>
      </c>
      <c r="L5317" s="10" t="s">
        <v>27668</v>
      </c>
      <c r="M5317" s="10">
        <v>1</v>
      </c>
      <c r="N5317" s="10" t="s">
        <v>27669</v>
      </c>
      <c r="O5317" s="10"/>
      <c r="P5317" s="10" t="s">
        <v>27670</v>
      </c>
      <c r="Q5317" s="10" t="s">
        <v>23452</v>
      </c>
      <c r="R5317" s="10" t="s">
        <v>27671</v>
      </c>
      <c r="S5317" s="10" t="s">
        <v>53</v>
      </c>
      <c r="T5317" s="10" t="s">
        <v>54</v>
      </c>
    </row>
    <row r="5318" spans="1:20" ht="14.5" x14ac:dyDescent="0.35">
      <c r="A5318" s="10" t="s">
        <v>27672</v>
      </c>
      <c r="B5318" s="10" t="str">
        <f>"9780761978893"</f>
        <v>9780761978893</v>
      </c>
      <c r="C5318" s="10" t="str">
        <f>"9781483363103"</f>
        <v>9781483363103</v>
      </c>
      <c r="D5318" s="10" t="s">
        <v>22210</v>
      </c>
      <c r="E5318" s="10" t="s">
        <v>22211</v>
      </c>
      <c r="F5318" s="10" t="s">
        <v>333</v>
      </c>
      <c r="G5318" s="10" t="s">
        <v>6317</v>
      </c>
      <c r="H5318" s="11">
        <v>37572</v>
      </c>
      <c r="I5318" s="10">
        <v>2003</v>
      </c>
      <c r="J5318" s="10" t="s">
        <v>22211</v>
      </c>
      <c r="K5318" s="10">
        <v>201</v>
      </c>
      <c r="L5318" s="10" t="s">
        <v>27673</v>
      </c>
      <c r="M5318" s="10">
        <v>1</v>
      </c>
      <c r="N5318" s="10"/>
      <c r="O5318" s="10"/>
      <c r="P5318" s="10" t="s">
        <v>27674</v>
      </c>
      <c r="Q5318" s="10" t="s">
        <v>27675</v>
      </c>
      <c r="R5318" s="10"/>
      <c r="S5318" s="10" t="s">
        <v>53</v>
      </c>
      <c r="T5318" s="10" t="s">
        <v>54</v>
      </c>
    </row>
    <row r="5319" spans="1:20" ht="14.5" x14ac:dyDescent="0.35">
      <c r="A5319" s="10" t="s">
        <v>27676</v>
      </c>
      <c r="B5319" s="10" t="str">
        <f>"9781412904285"</f>
        <v>9781412904285</v>
      </c>
      <c r="C5319" s="10" t="str">
        <f>"9781483363257"</f>
        <v>9781483363257</v>
      </c>
      <c r="D5319" s="10" t="s">
        <v>22210</v>
      </c>
      <c r="E5319" s="10" t="s">
        <v>22211</v>
      </c>
      <c r="F5319" s="10" t="s">
        <v>333</v>
      </c>
      <c r="G5319" s="10" t="s">
        <v>6317</v>
      </c>
      <c r="H5319" s="11">
        <v>38052</v>
      </c>
      <c r="I5319" s="10">
        <v>2004</v>
      </c>
      <c r="J5319" s="10" t="s">
        <v>22211</v>
      </c>
      <c r="K5319" s="10">
        <v>185</v>
      </c>
      <c r="L5319" s="10" t="s">
        <v>27677</v>
      </c>
      <c r="M5319" s="10">
        <v>1</v>
      </c>
      <c r="N5319" s="10" t="s">
        <v>27678</v>
      </c>
      <c r="O5319" s="10"/>
      <c r="P5319" s="10" t="s">
        <v>27679</v>
      </c>
      <c r="Q5319" s="10">
        <v>371.95</v>
      </c>
      <c r="R5319" s="10"/>
      <c r="S5319" s="10" t="s">
        <v>53</v>
      </c>
      <c r="T5319" s="10" t="s">
        <v>54</v>
      </c>
    </row>
    <row r="5320" spans="1:20" ht="14.5" x14ac:dyDescent="0.35">
      <c r="A5320" s="10" t="s">
        <v>27680</v>
      </c>
      <c r="B5320" s="10" t="str">
        <f>"9780971733268"</f>
        <v>9780971733268</v>
      </c>
      <c r="C5320" s="10" t="str">
        <f>"9781483363202"</f>
        <v>9781483363202</v>
      </c>
      <c r="D5320" s="10" t="s">
        <v>22210</v>
      </c>
      <c r="E5320" s="10" t="s">
        <v>22211</v>
      </c>
      <c r="F5320" s="10" t="s">
        <v>333</v>
      </c>
      <c r="G5320" s="10" t="s">
        <v>6317</v>
      </c>
      <c r="H5320" s="11">
        <v>37987</v>
      </c>
      <c r="I5320" s="10">
        <v>2004</v>
      </c>
      <c r="J5320" s="10" t="s">
        <v>22211</v>
      </c>
      <c r="K5320" s="10">
        <v>81</v>
      </c>
      <c r="L5320" s="10" t="s">
        <v>27681</v>
      </c>
      <c r="M5320" s="10">
        <v>1</v>
      </c>
      <c r="N5320" s="10" t="s">
        <v>27682</v>
      </c>
      <c r="O5320" s="10"/>
      <c r="P5320" s="10" t="s">
        <v>27683</v>
      </c>
      <c r="Q5320" s="10"/>
      <c r="R5320" s="10"/>
      <c r="S5320" s="10" t="s">
        <v>53</v>
      </c>
      <c r="T5320" s="10" t="s">
        <v>54</v>
      </c>
    </row>
    <row r="5321" spans="1:20" ht="14.5" x14ac:dyDescent="0.35">
      <c r="A5321" s="10" t="s">
        <v>27684</v>
      </c>
      <c r="B5321" s="10" t="str">
        <f>"9781118878880"</f>
        <v>9781118878880</v>
      </c>
      <c r="C5321" s="10" t="str">
        <f>"9781118878910"</f>
        <v>9781118878910</v>
      </c>
      <c r="D5321" s="10" t="s">
        <v>6322</v>
      </c>
      <c r="E5321" s="10" t="s">
        <v>6323</v>
      </c>
      <c r="F5321" s="10" t="s">
        <v>6339</v>
      </c>
      <c r="G5321" s="10" t="s">
        <v>6317</v>
      </c>
      <c r="H5321" s="11">
        <v>41722</v>
      </c>
      <c r="I5321" s="10">
        <v>2014</v>
      </c>
      <c r="J5321" s="10" t="s">
        <v>6324</v>
      </c>
      <c r="K5321" s="10">
        <v>114</v>
      </c>
      <c r="L5321" s="10" t="s">
        <v>27685</v>
      </c>
      <c r="M5321" s="10">
        <v>1</v>
      </c>
      <c r="N5321" s="10" t="s">
        <v>21283</v>
      </c>
      <c r="O5321" s="10"/>
      <c r="P5321" s="10" t="s">
        <v>27686</v>
      </c>
      <c r="Q5321" s="10">
        <v>378.19</v>
      </c>
      <c r="R5321" s="10" t="s">
        <v>27687</v>
      </c>
      <c r="S5321" s="10" t="s">
        <v>53</v>
      </c>
      <c r="T5321" s="10" t="s">
        <v>54</v>
      </c>
    </row>
    <row r="5322" spans="1:20" ht="14.5" x14ac:dyDescent="0.35">
      <c r="A5322" s="10" t="s">
        <v>27688</v>
      </c>
      <c r="B5322" s="10" t="str">
        <f>"9781443853187"</f>
        <v>9781443853187</v>
      </c>
      <c r="C5322" s="10" t="str">
        <f>"9781443855891"</f>
        <v>9781443855891</v>
      </c>
      <c r="D5322" s="10" t="s">
        <v>23635</v>
      </c>
      <c r="E5322" s="10" t="s">
        <v>23635</v>
      </c>
      <c r="F5322" s="10" t="s">
        <v>23636</v>
      </c>
      <c r="G5322" s="10" t="s">
        <v>6352</v>
      </c>
      <c r="H5322" s="11">
        <v>41619</v>
      </c>
      <c r="I5322" s="10">
        <v>2014</v>
      </c>
      <c r="J5322" s="10" t="s">
        <v>23635</v>
      </c>
      <c r="K5322" s="10">
        <v>520</v>
      </c>
      <c r="L5322" s="10" t="s">
        <v>27689</v>
      </c>
      <c r="M5322" s="10">
        <v>1</v>
      </c>
      <c r="N5322" s="10"/>
      <c r="O5322" s="10"/>
      <c r="P5322" s="10" t="s">
        <v>27690</v>
      </c>
      <c r="Q5322" s="10">
        <v>372.6</v>
      </c>
      <c r="R5322" s="10" t="s">
        <v>27691</v>
      </c>
      <c r="S5322" s="10" t="s">
        <v>53</v>
      </c>
      <c r="T5322" s="10" t="s">
        <v>54</v>
      </c>
    </row>
    <row r="5323" spans="1:20" ht="14.5" x14ac:dyDescent="0.35">
      <c r="A5323" s="10" t="s">
        <v>27692</v>
      </c>
      <c r="B5323" s="10" t="str">
        <f>"9781443849067"</f>
        <v>9781443849067</v>
      </c>
      <c r="C5323" s="10" t="str">
        <f>"9781443856102"</f>
        <v>9781443856102</v>
      </c>
      <c r="D5323" s="10" t="s">
        <v>23635</v>
      </c>
      <c r="E5323" s="10" t="s">
        <v>23635</v>
      </c>
      <c r="F5323" s="10" t="s">
        <v>23636</v>
      </c>
      <c r="G5323" s="10" t="s">
        <v>6352</v>
      </c>
      <c r="H5323" s="11">
        <v>41620</v>
      </c>
      <c r="I5323" s="10">
        <v>2014</v>
      </c>
      <c r="J5323" s="10" t="s">
        <v>23635</v>
      </c>
      <c r="K5323" s="10">
        <v>160</v>
      </c>
      <c r="L5323" s="10" t="s">
        <v>27693</v>
      </c>
      <c r="M5323" s="10">
        <v>1</v>
      </c>
      <c r="N5323" s="10"/>
      <c r="O5323" s="10"/>
      <c r="P5323" s="10" t="s">
        <v>27694</v>
      </c>
      <c r="Q5323" s="10">
        <v>378.19810000000001</v>
      </c>
      <c r="R5323" s="10" t="s">
        <v>27695</v>
      </c>
      <c r="S5323" s="10" t="s">
        <v>53</v>
      </c>
      <c r="T5323" s="10" t="s">
        <v>54</v>
      </c>
    </row>
    <row r="5324" spans="1:20" ht="14.5" x14ac:dyDescent="0.35">
      <c r="A5324" s="10" t="s">
        <v>27696</v>
      </c>
      <c r="B5324" s="10" t="str">
        <f>"9781443856409"</f>
        <v>9781443856409</v>
      </c>
      <c r="C5324" s="10" t="str">
        <f>"9781443857352"</f>
        <v>9781443857352</v>
      </c>
      <c r="D5324" s="10" t="s">
        <v>23635</v>
      </c>
      <c r="E5324" s="10" t="s">
        <v>23635</v>
      </c>
      <c r="F5324" s="10" t="s">
        <v>24478</v>
      </c>
      <c r="G5324" s="10" t="s">
        <v>6352</v>
      </c>
      <c r="H5324" s="11">
        <v>41709</v>
      </c>
      <c r="I5324" s="10">
        <v>2014</v>
      </c>
      <c r="J5324" s="10" t="s">
        <v>23635</v>
      </c>
      <c r="K5324" s="10">
        <v>253</v>
      </c>
      <c r="L5324" s="10" t="s">
        <v>27697</v>
      </c>
      <c r="M5324" s="10">
        <v>1</v>
      </c>
      <c r="N5324" s="10"/>
      <c r="O5324" s="10"/>
      <c r="P5324" s="10" t="s">
        <v>27698</v>
      </c>
      <c r="Q5324" s="10">
        <v>374</v>
      </c>
      <c r="R5324" s="10" t="s">
        <v>27699</v>
      </c>
      <c r="S5324" s="10" t="s">
        <v>53</v>
      </c>
      <c r="T5324" s="10" t="s">
        <v>54</v>
      </c>
    </row>
    <row r="5325" spans="1:20" ht="14.5" x14ac:dyDescent="0.35">
      <c r="A5325" s="10" t="s">
        <v>27700</v>
      </c>
      <c r="B5325" s="10" t="str">
        <f>"9781443855822"</f>
        <v>9781443855822</v>
      </c>
      <c r="C5325" s="10" t="str">
        <f>"9781443857444"</f>
        <v>9781443857444</v>
      </c>
      <c r="D5325" s="10" t="s">
        <v>23635</v>
      </c>
      <c r="E5325" s="10" t="s">
        <v>23635</v>
      </c>
      <c r="F5325" s="10" t="s">
        <v>23636</v>
      </c>
      <c r="G5325" s="10" t="s">
        <v>6352</v>
      </c>
      <c r="H5325" s="11">
        <v>41684</v>
      </c>
      <c r="I5325" s="10">
        <v>2014</v>
      </c>
      <c r="J5325" s="10" t="s">
        <v>23635</v>
      </c>
      <c r="K5325" s="10">
        <v>242</v>
      </c>
      <c r="L5325" s="10" t="s">
        <v>27701</v>
      </c>
      <c r="M5325" s="10">
        <v>1</v>
      </c>
      <c r="N5325" s="10"/>
      <c r="O5325" s="10"/>
      <c r="P5325" s="10" t="s">
        <v>27702</v>
      </c>
      <c r="Q5325" s="10">
        <v>370</v>
      </c>
      <c r="R5325" s="10" t="s">
        <v>27703</v>
      </c>
      <c r="S5325" s="10" t="s">
        <v>53</v>
      </c>
      <c r="T5325" s="10" t="s">
        <v>54</v>
      </c>
    </row>
    <row r="5326" spans="1:20" ht="14.5" x14ac:dyDescent="0.35">
      <c r="A5326" s="10" t="s">
        <v>27704</v>
      </c>
      <c r="B5326" s="10" t="str">
        <f>"9781443854924"</f>
        <v>9781443854924</v>
      </c>
      <c r="C5326" s="10" t="str">
        <f>"9781443857840"</f>
        <v>9781443857840</v>
      </c>
      <c r="D5326" s="10" t="s">
        <v>23635</v>
      </c>
      <c r="E5326" s="10" t="s">
        <v>23635</v>
      </c>
      <c r="F5326" s="10" t="s">
        <v>23636</v>
      </c>
      <c r="G5326" s="10" t="s">
        <v>6352</v>
      </c>
      <c r="H5326" s="11">
        <v>41663</v>
      </c>
      <c r="I5326" s="10">
        <v>2014</v>
      </c>
      <c r="J5326" s="10" t="s">
        <v>23635</v>
      </c>
      <c r="K5326" s="10">
        <v>129</v>
      </c>
      <c r="L5326" s="10" t="s">
        <v>27705</v>
      </c>
      <c r="M5326" s="10">
        <v>1</v>
      </c>
      <c r="N5326" s="10"/>
      <c r="O5326" s="10"/>
      <c r="P5326" s="10" t="s">
        <v>27706</v>
      </c>
      <c r="Q5326" s="10">
        <v>378.101</v>
      </c>
      <c r="R5326" s="10" t="s">
        <v>27707</v>
      </c>
      <c r="S5326" s="10" t="s">
        <v>53</v>
      </c>
      <c r="T5326" s="10" t="s">
        <v>54</v>
      </c>
    </row>
    <row r="5327" spans="1:20" ht="14.5" x14ac:dyDescent="0.35">
      <c r="A5327" s="10" t="s">
        <v>27708</v>
      </c>
      <c r="B5327" s="10" t="str">
        <f>"9781443854993"</f>
        <v>9781443854993</v>
      </c>
      <c r="C5327" s="10" t="str">
        <f>"9781443857895"</f>
        <v>9781443857895</v>
      </c>
      <c r="D5327" s="10" t="s">
        <v>23635</v>
      </c>
      <c r="E5327" s="10" t="s">
        <v>23635</v>
      </c>
      <c r="F5327" s="10" t="s">
        <v>23636</v>
      </c>
      <c r="G5327" s="10" t="s">
        <v>6352</v>
      </c>
      <c r="H5327" s="11">
        <v>41723</v>
      </c>
      <c r="I5327" s="10">
        <v>2014</v>
      </c>
      <c r="J5327" s="10" t="s">
        <v>23635</v>
      </c>
      <c r="K5327" s="10">
        <v>290</v>
      </c>
      <c r="L5327" s="10" t="s">
        <v>27709</v>
      </c>
      <c r="M5327" s="10">
        <v>1</v>
      </c>
      <c r="N5327" s="10"/>
      <c r="O5327" s="10"/>
      <c r="P5327" s="10" t="s">
        <v>27710</v>
      </c>
      <c r="Q5327" s="10">
        <v>378</v>
      </c>
      <c r="R5327" s="10" t="s">
        <v>27711</v>
      </c>
      <c r="S5327" s="10" t="s">
        <v>53</v>
      </c>
      <c r="T5327" s="10" t="s">
        <v>54</v>
      </c>
    </row>
    <row r="5328" spans="1:20" ht="14.5" x14ac:dyDescent="0.35">
      <c r="A5328" s="10" t="s">
        <v>27712</v>
      </c>
      <c r="B5328" s="10" t="str">
        <f>"9781443856126"</f>
        <v>9781443856126</v>
      </c>
      <c r="C5328" s="10" t="str">
        <f>"9781443857987"</f>
        <v>9781443857987</v>
      </c>
      <c r="D5328" s="10" t="s">
        <v>23635</v>
      </c>
      <c r="E5328" s="10" t="s">
        <v>23635</v>
      </c>
      <c r="F5328" s="10" t="s">
        <v>24478</v>
      </c>
      <c r="G5328" s="10" t="s">
        <v>6352</v>
      </c>
      <c r="H5328" s="11">
        <v>41730</v>
      </c>
      <c r="I5328" s="10">
        <v>2014</v>
      </c>
      <c r="J5328" s="10" t="s">
        <v>23635</v>
      </c>
      <c r="K5328" s="10">
        <v>366</v>
      </c>
      <c r="L5328" s="10" t="s">
        <v>27713</v>
      </c>
      <c r="M5328" s="10">
        <v>1</v>
      </c>
      <c r="N5328" s="10"/>
      <c r="O5328" s="10"/>
      <c r="P5328" s="10" t="s">
        <v>27714</v>
      </c>
      <c r="Q5328" s="10">
        <v>378</v>
      </c>
      <c r="R5328" s="10" t="s">
        <v>27715</v>
      </c>
      <c r="S5328" s="10" t="s">
        <v>53</v>
      </c>
      <c r="T5328" s="10" t="s">
        <v>54</v>
      </c>
    </row>
    <row r="5329" spans="1:20" ht="14.5" x14ac:dyDescent="0.35">
      <c r="A5329" s="10" t="s">
        <v>27716</v>
      </c>
      <c r="B5329" s="10" t="str">
        <f>"9781610486477"</f>
        <v>9781610486477</v>
      </c>
      <c r="C5329" s="10" t="str">
        <f>"9781610486484"</f>
        <v>9781610486484</v>
      </c>
      <c r="D5329" s="10" t="s">
        <v>9752</v>
      </c>
      <c r="E5329" s="10" t="s">
        <v>15192</v>
      </c>
      <c r="F5329" s="10" t="s">
        <v>9754</v>
      </c>
      <c r="G5329" s="10" t="s">
        <v>6317</v>
      </c>
      <c r="H5329" s="11">
        <v>41716</v>
      </c>
      <c r="I5329" s="10">
        <v>2014</v>
      </c>
      <c r="J5329" s="10" t="s">
        <v>15192</v>
      </c>
      <c r="K5329" s="10">
        <v>258</v>
      </c>
      <c r="L5329" s="10" t="s">
        <v>27717</v>
      </c>
      <c r="M5329" s="10">
        <v>1</v>
      </c>
      <c r="N5329" s="10" t="s">
        <v>27718</v>
      </c>
      <c r="O5329" s="10">
        <v>2</v>
      </c>
      <c r="P5329" s="10" t="s">
        <v>27719</v>
      </c>
      <c r="Q5329" s="10">
        <v>370.92200000000003</v>
      </c>
      <c r="R5329" s="10" t="s">
        <v>27720</v>
      </c>
      <c r="S5329" s="10" t="s">
        <v>53</v>
      </c>
      <c r="T5329" s="10" t="s">
        <v>54</v>
      </c>
    </row>
    <row r="5330" spans="1:20" ht="14.5" x14ac:dyDescent="0.35">
      <c r="A5330" s="10" t="s">
        <v>27721</v>
      </c>
      <c r="B5330" s="10" t="str">
        <f>"9781412966931"</f>
        <v>9781412966931</v>
      </c>
      <c r="C5330" s="10" t="str">
        <f>"9781452298177"</f>
        <v>9781452298177</v>
      </c>
      <c r="D5330" s="10" t="s">
        <v>22210</v>
      </c>
      <c r="E5330" s="10" t="s">
        <v>22211</v>
      </c>
      <c r="F5330" s="10" t="s">
        <v>333</v>
      </c>
      <c r="G5330" s="10" t="s">
        <v>6317</v>
      </c>
      <c r="H5330" s="11">
        <v>39688</v>
      </c>
      <c r="I5330" s="10">
        <v>2009</v>
      </c>
      <c r="J5330" s="10" t="s">
        <v>22211</v>
      </c>
      <c r="K5330" s="10">
        <v>217</v>
      </c>
      <c r="L5330" s="10" t="s">
        <v>27722</v>
      </c>
      <c r="M5330" s="10">
        <v>2</v>
      </c>
      <c r="N5330" s="10"/>
      <c r="O5330" s="10"/>
      <c r="P5330" s="10" t="s">
        <v>27723</v>
      </c>
      <c r="Q5330" s="10"/>
      <c r="R5330" s="10"/>
      <c r="S5330" s="10" t="s">
        <v>53</v>
      </c>
      <c r="T5330" s="10" t="s">
        <v>54</v>
      </c>
    </row>
    <row r="5331" spans="1:20" ht="14.5" x14ac:dyDescent="0.35">
      <c r="A5331" s="10" t="s">
        <v>27724</v>
      </c>
      <c r="B5331" s="10" t="str">
        <f>"9780761946892"</f>
        <v>9780761946892</v>
      </c>
      <c r="C5331" s="10" t="str">
        <f>"9781483363080"</f>
        <v>9781483363080</v>
      </c>
      <c r="D5331" s="10" t="s">
        <v>22210</v>
      </c>
      <c r="E5331" s="10" t="s">
        <v>22211</v>
      </c>
      <c r="F5331" s="10" t="s">
        <v>333</v>
      </c>
      <c r="G5331" s="10" t="s">
        <v>6317</v>
      </c>
      <c r="H5331" s="11">
        <v>37572</v>
      </c>
      <c r="I5331" s="10">
        <v>2002</v>
      </c>
      <c r="J5331" s="10" t="s">
        <v>22211</v>
      </c>
      <c r="K5331" s="10">
        <v>193</v>
      </c>
      <c r="L5331" s="10" t="s">
        <v>27725</v>
      </c>
      <c r="M5331" s="10">
        <v>1</v>
      </c>
      <c r="N5331" s="10"/>
      <c r="O5331" s="10"/>
      <c r="P5331" s="10" t="s">
        <v>27726</v>
      </c>
      <c r="Q5331" s="10" t="s">
        <v>27727</v>
      </c>
      <c r="R5331" s="10"/>
      <c r="S5331" s="10" t="s">
        <v>53</v>
      </c>
      <c r="T5331" s="10" t="s">
        <v>10454</v>
      </c>
    </row>
    <row r="5332" spans="1:20" ht="14.5" x14ac:dyDescent="0.35">
      <c r="A5332" s="10" t="s">
        <v>27728</v>
      </c>
      <c r="B5332" s="10" t="str">
        <f>"9780761946298"</f>
        <v>9780761946298</v>
      </c>
      <c r="C5332" s="10" t="str">
        <f>"9781483363042"</f>
        <v>9781483363042</v>
      </c>
      <c r="D5332" s="10" t="s">
        <v>22210</v>
      </c>
      <c r="E5332" s="10" t="s">
        <v>22211</v>
      </c>
      <c r="F5332" s="10" t="s">
        <v>333</v>
      </c>
      <c r="G5332" s="10" t="s">
        <v>6317</v>
      </c>
      <c r="H5332" s="11">
        <v>37488</v>
      </c>
      <c r="I5332" s="10">
        <v>2002</v>
      </c>
      <c r="J5332" s="10" t="s">
        <v>22211</v>
      </c>
      <c r="K5332" s="10">
        <v>217</v>
      </c>
      <c r="L5332" s="10" t="s">
        <v>22313</v>
      </c>
      <c r="M5332" s="10">
        <v>2</v>
      </c>
      <c r="N5332" s="10"/>
      <c r="O5332" s="10"/>
      <c r="P5332" s="10" t="s">
        <v>27729</v>
      </c>
      <c r="Q5332" s="10"/>
      <c r="R5332" s="10"/>
      <c r="S5332" s="10" t="s">
        <v>53</v>
      </c>
      <c r="T5332" s="10" t="s">
        <v>54</v>
      </c>
    </row>
    <row r="5333" spans="1:20" ht="14.5" x14ac:dyDescent="0.35">
      <c r="A5333" s="10" t="s">
        <v>27730</v>
      </c>
      <c r="B5333" s="10" t="str">
        <f>"9780761946380"</f>
        <v>9780761946380</v>
      </c>
      <c r="C5333" s="10" t="str">
        <f>"9781483363066"</f>
        <v>9781483363066</v>
      </c>
      <c r="D5333" s="10" t="s">
        <v>22210</v>
      </c>
      <c r="E5333" s="10" t="s">
        <v>22211</v>
      </c>
      <c r="F5333" s="10" t="s">
        <v>333</v>
      </c>
      <c r="G5333" s="10" t="s">
        <v>6317</v>
      </c>
      <c r="H5333" s="11">
        <v>38657</v>
      </c>
      <c r="I5333" s="10">
        <v>2006</v>
      </c>
      <c r="J5333" s="10" t="s">
        <v>22211</v>
      </c>
      <c r="K5333" s="10">
        <v>145</v>
      </c>
      <c r="L5333" s="10" t="s">
        <v>27731</v>
      </c>
      <c r="M5333" s="10">
        <v>1</v>
      </c>
      <c r="N5333" s="10"/>
      <c r="O5333" s="10"/>
      <c r="P5333" s="10" t="s">
        <v>27732</v>
      </c>
      <c r="Q5333" s="10">
        <v>371.10199999999998</v>
      </c>
      <c r="R5333" s="10"/>
      <c r="S5333" s="10" t="s">
        <v>53</v>
      </c>
      <c r="T5333" s="10" t="s">
        <v>54</v>
      </c>
    </row>
    <row r="5334" spans="1:20" ht="14.5" x14ac:dyDescent="0.35">
      <c r="A5334" s="10" t="s">
        <v>27733</v>
      </c>
      <c r="B5334" s="10" t="str">
        <f>"9780761946212"</f>
        <v>9780761946212</v>
      </c>
      <c r="C5334" s="10" t="str">
        <f>"9781483363028"</f>
        <v>9781483363028</v>
      </c>
      <c r="D5334" s="10" t="s">
        <v>22210</v>
      </c>
      <c r="E5334" s="10" t="s">
        <v>22211</v>
      </c>
      <c r="F5334" s="10" t="s">
        <v>333</v>
      </c>
      <c r="G5334" s="10" t="s">
        <v>6317</v>
      </c>
      <c r="H5334" s="11">
        <v>38097</v>
      </c>
      <c r="I5334" s="10">
        <v>2004</v>
      </c>
      <c r="J5334" s="10" t="s">
        <v>22211</v>
      </c>
      <c r="K5334" s="10">
        <v>225</v>
      </c>
      <c r="L5334" s="10" t="s">
        <v>22313</v>
      </c>
      <c r="M5334" s="10">
        <v>1</v>
      </c>
      <c r="N5334" s="10"/>
      <c r="O5334" s="10"/>
      <c r="P5334" s="10" t="s">
        <v>27734</v>
      </c>
      <c r="Q5334" s="10"/>
      <c r="R5334" s="10"/>
      <c r="S5334" s="10" t="s">
        <v>53</v>
      </c>
      <c r="T5334" s="10" t="s">
        <v>54</v>
      </c>
    </row>
    <row r="5335" spans="1:20" ht="14.5" x14ac:dyDescent="0.35">
      <c r="A5335" s="10" t="s">
        <v>27735</v>
      </c>
      <c r="B5335" s="10" t="str">
        <f>"9781412914703"</f>
        <v>9781412914703</v>
      </c>
      <c r="C5335" s="10" t="str">
        <f>"9781483363622"</f>
        <v>9781483363622</v>
      </c>
      <c r="D5335" s="10" t="s">
        <v>22210</v>
      </c>
      <c r="E5335" s="10" t="s">
        <v>22211</v>
      </c>
      <c r="F5335" s="10" t="s">
        <v>333</v>
      </c>
      <c r="G5335" s="10" t="s">
        <v>6317</v>
      </c>
      <c r="H5335" s="11">
        <v>38638</v>
      </c>
      <c r="I5335" s="10">
        <v>2006</v>
      </c>
      <c r="J5335" s="10" t="s">
        <v>22211</v>
      </c>
      <c r="K5335" s="10">
        <v>89</v>
      </c>
      <c r="L5335" s="10" t="s">
        <v>23167</v>
      </c>
      <c r="M5335" s="10">
        <v>1</v>
      </c>
      <c r="N5335" s="10"/>
      <c r="O5335" s="10"/>
      <c r="P5335" s="10" t="s">
        <v>27736</v>
      </c>
      <c r="Q5335" s="10"/>
      <c r="R5335" s="10"/>
      <c r="S5335" s="10" t="s">
        <v>53</v>
      </c>
      <c r="T5335" s="10" t="s">
        <v>54</v>
      </c>
    </row>
    <row r="5336" spans="1:20" ht="14.5" x14ac:dyDescent="0.35">
      <c r="A5336" s="10" t="s">
        <v>27737</v>
      </c>
      <c r="B5336" s="10" t="str">
        <f>"9781412914864"</f>
        <v>9781412914864</v>
      </c>
      <c r="C5336" s="10" t="str">
        <f>"9781483363653"</f>
        <v>9781483363653</v>
      </c>
      <c r="D5336" s="10" t="s">
        <v>22210</v>
      </c>
      <c r="E5336" s="10" t="s">
        <v>22211</v>
      </c>
      <c r="F5336" s="10" t="s">
        <v>333</v>
      </c>
      <c r="G5336" s="10" t="s">
        <v>6317</v>
      </c>
      <c r="H5336" s="11">
        <v>38455</v>
      </c>
      <c r="I5336" s="10">
        <v>2005</v>
      </c>
      <c r="J5336" s="10" t="s">
        <v>22211</v>
      </c>
      <c r="K5336" s="10">
        <v>145</v>
      </c>
      <c r="L5336" s="10" t="s">
        <v>27738</v>
      </c>
      <c r="M5336" s="10">
        <v>1</v>
      </c>
      <c r="N5336" s="10"/>
      <c r="O5336" s="10"/>
      <c r="P5336" s="10"/>
      <c r="Q5336" s="10">
        <v>371.2</v>
      </c>
      <c r="R5336" s="10"/>
      <c r="S5336" s="10" t="s">
        <v>53</v>
      </c>
      <c r="T5336" s="10" t="s">
        <v>54</v>
      </c>
    </row>
    <row r="5337" spans="1:20" ht="14.5" x14ac:dyDescent="0.35">
      <c r="A5337" s="10" t="s">
        <v>27739</v>
      </c>
      <c r="B5337" s="10" t="str">
        <f>"9780971733299"</f>
        <v>9780971733299</v>
      </c>
      <c r="C5337" s="10" t="str">
        <f>"9781483363219"</f>
        <v>9781483363219</v>
      </c>
      <c r="D5337" s="10" t="s">
        <v>22210</v>
      </c>
      <c r="E5337" s="10" t="s">
        <v>22211</v>
      </c>
      <c r="F5337" s="10" t="s">
        <v>333</v>
      </c>
      <c r="G5337" s="10" t="s">
        <v>6317</v>
      </c>
      <c r="H5337" s="11">
        <v>37987</v>
      </c>
      <c r="I5337" s="10">
        <v>2004</v>
      </c>
      <c r="J5337" s="10" t="s">
        <v>22211</v>
      </c>
      <c r="K5337" s="10">
        <v>121</v>
      </c>
      <c r="L5337" s="10" t="s">
        <v>27740</v>
      </c>
      <c r="M5337" s="10">
        <v>1</v>
      </c>
      <c r="N5337" s="10" t="s">
        <v>27682</v>
      </c>
      <c r="O5337" s="10"/>
      <c r="P5337" s="10" t="s">
        <v>27741</v>
      </c>
      <c r="Q5337" s="10">
        <v>371.2</v>
      </c>
      <c r="R5337" s="10"/>
      <c r="S5337" s="10" t="s">
        <v>53</v>
      </c>
      <c r="T5337" s="10" t="s">
        <v>54</v>
      </c>
    </row>
    <row r="5338" spans="1:20" ht="14.5" x14ac:dyDescent="0.35">
      <c r="A5338" s="10" t="s">
        <v>27742</v>
      </c>
      <c r="B5338" s="10" t="str">
        <f>"9780761988922"</f>
        <v>9780761988922</v>
      </c>
      <c r="C5338" s="10" t="str">
        <f>"9781483363158"</f>
        <v>9781483363158</v>
      </c>
      <c r="D5338" s="10" t="s">
        <v>22210</v>
      </c>
      <c r="E5338" s="10" t="s">
        <v>22211</v>
      </c>
      <c r="F5338" s="10" t="s">
        <v>333</v>
      </c>
      <c r="G5338" s="10" t="s">
        <v>6317</v>
      </c>
      <c r="H5338" s="11">
        <v>38328</v>
      </c>
      <c r="I5338" s="10">
        <v>2005</v>
      </c>
      <c r="J5338" s="10" t="s">
        <v>22211</v>
      </c>
      <c r="K5338" s="10">
        <v>161</v>
      </c>
      <c r="L5338" s="10" t="s">
        <v>27743</v>
      </c>
      <c r="M5338" s="10">
        <v>1</v>
      </c>
      <c r="N5338" s="10"/>
      <c r="O5338" s="10"/>
      <c r="P5338" s="10" t="s">
        <v>27744</v>
      </c>
      <c r="Q5338" s="10" t="s">
        <v>9954</v>
      </c>
      <c r="R5338" s="10"/>
      <c r="S5338" s="10" t="s">
        <v>53</v>
      </c>
      <c r="T5338" s="10" t="s">
        <v>54</v>
      </c>
    </row>
    <row r="5339" spans="1:20" ht="14.5" x14ac:dyDescent="0.35">
      <c r="A5339" s="10" t="s">
        <v>27745</v>
      </c>
      <c r="B5339" s="10" t="str">
        <f>"9781412904568"</f>
        <v>9781412904568</v>
      </c>
      <c r="C5339" s="10" t="str">
        <f>"9781483363356"</f>
        <v>9781483363356</v>
      </c>
      <c r="D5339" s="10" t="s">
        <v>22210</v>
      </c>
      <c r="E5339" s="10" t="s">
        <v>22211</v>
      </c>
      <c r="F5339" s="10" t="s">
        <v>333</v>
      </c>
      <c r="G5339" s="10" t="s">
        <v>6317</v>
      </c>
      <c r="H5339" s="11">
        <v>38330</v>
      </c>
      <c r="I5339" s="10">
        <v>2005</v>
      </c>
      <c r="J5339" s="10" t="s">
        <v>22211</v>
      </c>
      <c r="K5339" s="10">
        <v>265</v>
      </c>
      <c r="L5339" s="10" t="s">
        <v>24046</v>
      </c>
      <c r="M5339" s="10">
        <v>1</v>
      </c>
      <c r="N5339" s="10"/>
      <c r="O5339" s="10"/>
      <c r="P5339" s="10">
        <v>2004015951</v>
      </c>
      <c r="Q5339" s="10" t="s">
        <v>9360</v>
      </c>
      <c r="R5339" s="10"/>
      <c r="S5339" s="10" t="s">
        <v>53</v>
      </c>
      <c r="T5339" s="10" t="s">
        <v>54</v>
      </c>
    </row>
    <row r="5340" spans="1:20" ht="14.5" x14ac:dyDescent="0.35">
      <c r="A5340" s="10" t="s">
        <v>27746</v>
      </c>
      <c r="B5340" s="10" t="str">
        <f>"9781412904322"</f>
        <v>9781412904322</v>
      </c>
      <c r="C5340" s="10" t="str">
        <f>"9781483363288"</f>
        <v>9781483363288</v>
      </c>
      <c r="D5340" s="10" t="s">
        <v>22210</v>
      </c>
      <c r="E5340" s="10" t="s">
        <v>22211</v>
      </c>
      <c r="F5340" s="10" t="s">
        <v>333</v>
      </c>
      <c r="G5340" s="10" t="s">
        <v>6317</v>
      </c>
      <c r="H5340" s="11">
        <v>38052</v>
      </c>
      <c r="I5340" s="10">
        <v>2004</v>
      </c>
      <c r="J5340" s="10" t="s">
        <v>22211</v>
      </c>
      <c r="K5340" s="10">
        <v>185</v>
      </c>
      <c r="L5340" s="10" t="s">
        <v>27747</v>
      </c>
      <c r="M5340" s="10">
        <v>1</v>
      </c>
      <c r="N5340" s="10" t="s">
        <v>27678</v>
      </c>
      <c r="O5340" s="10"/>
      <c r="P5340" s="10" t="s">
        <v>27748</v>
      </c>
      <c r="Q5340" s="10"/>
      <c r="R5340" s="10"/>
      <c r="S5340" s="10" t="s">
        <v>53</v>
      </c>
      <c r="T5340" s="10" t="s">
        <v>54</v>
      </c>
    </row>
    <row r="5341" spans="1:20" ht="14.5" x14ac:dyDescent="0.35">
      <c r="A5341" s="10" t="s">
        <v>27749</v>
      </c>
      <c r="B5341" s="10" t="str">
        <f>"9780974741659"</f>
        <v>9780974741659</v>
      </c>
      <c r="C5341" s="10" t="str">
        <f>"9781483363233"</f>
        <v>9781483363233</v>
      </c>
      <c r="D5341" s="10" t="s">
        <v>22210</v>
      </c>
      <c r="E5341" s="10" t="s">
        <v>22211</v>
      </c>
      <c r="F5341" s="10" t="s">
        <v>333</v>
      </c>
      <c r="G5341" s="10" t="s">
        <v>6317</v>
      </c>
      <c r="H5341" s="11">
        <v>38353</v>
      </c>
      <c r="I5341" s="10">
        <v>2005</v>
      </c>
      <c r="J5341" s="10" t="s">
        <v>22211</v>
      </c>
      <c r="K5341" s="10">
        <v>105</v>
      </c>
      <c r="L5341" s="10" t="s">
        <v>27750</v>
      </c>
      <c r="M5341" s="10">
        <v>1</v>
      </c>
      <c r="N5341" s="10" t="s">
        <v>27682</v>
      </c>
      <c r="O5341" s="10"/>
      <c r="P5341" s="10" t="s">
        <v>27751</v>
      </c>
      <c r="Q5341" s="10">
        <v>370.15240972999999</v>
      </c>
      <c r="R5341" s="10"/>
      <c r="S5341" s="10" t="s">
        <v>53</v>
      </c>
      <c r="T5341" s="10" t="s">
        <v>54</v>
      </c>
    </row>
    <row r="5342" spans="1:20" ht="14.5" x14ac:dyDescent="0.35">
      <c r="A5342" s="10" t="s">
        <v>27752</v>
      </c>
      <c r="B5342" s="10" t="str">
        <f>"9780974741635"</f>
        <v>9780974741635</v>
      </c>
      <c r="C5342" s="10" t="str">
        <f>"9781483363226"</f>
        <v>9781483363226</v>
      </c>
      <c r="D5342" s="10" t="s">
        <v>22210</v>
      </c>
      <c r="E5342" s="10" t="s">
        <v>22211</v>
      </c>
      <c r="F5342" s="10" t="s">
        <v>333</v>
      </c>
      <c r="G5342" s="10" t="s">
        <v>6317</v>
      </c>
      <c r="H5342" s="11">
        <v>37987</v>
      </c>
      <c r="I5342" s="10">
        <v>2004</v>
      </c>
      <c r="J5342" s="10" t="s">
        <v>22211</v>
      </c>
      <c r="K5342" s="10">
        <v>113</v>
      </c>
      <c r="L5342" s="10" t="s">
        <v>27681</v>
      </c>
      <c r="M5342" s="10">
        <v>1</v>
      </c>
      <c r="N5342" s="10" t="s">
        <v>27682</v>
      </c>
      <c r="O5342" s="10"/>
      <c r="P5342" s="10" t="s">
        <v>27753</v>
      </c>
      <c r="Q5342" s="10"/>
      <c r="R5342" s="10"/>
      <c r="S5342" s="10" t="s">
        <v>53</v>
      </c>
      <c r="T5342" s="10" t="s">
        <v>54</v>
      </c>
    </row>
    <row r="5343" spans="1:20" ht="14.5" x14ac:dyDescent="0.35">
      <c r="A5343" s="10" t="s">
        <v>27754</v>
      </c>
      <c r="B5343" s="10" t="str">
        <f>"9781412908856"</f>
        <v>9781412908856</v>
      </c>
      <c r="C5343" s="10" t="str">
        <f>"9781483363479"</f>
        <v>9781483363479</v>
      </c>
      <c r="D5343" s="10" t="s">
        <v>22210</v>
      </c>
      <c r="E5343" s="10" t="s">
        <v>22211</v>
      </c>
      <c r="F5343" s="10" t="s">
        <v>333</v>
      </c>
      <c r="G5343" s="10" t="s">
        <v>6317</v>
      </c>
      <c r="H5343" s="11">
        <v>38632</v>
      </c>
      <c r="I5343" s="10">
        <v>2006</v>
      </c>
      <c r="J5343" s="10" t="s">
        <v>22211</v>
      </c>
      <c r="K5343" s="10">
        <v>169</v>
      </c>
      <c r="L5343" s="10" t="s">
        <v>27755</v>
      </c>
      <c r="M5343" s="10">
        <v>1</v>
      </c>
      <c r="N5343" s="10" t="s">
        <v>15005</v>
      </c>
      <c r="O5343" s="10"/>
      <c r="P5343" s="10" t="s">
        <v>27756</v>
      </c>
      <c r="Q5343" s="10" t="s">
        <v>6942</v>
      </c>
      <c r="R5343" s="10"/>
      <c r="S5343" s="10" t="s">
        <v>53</v>
      </c>
      <c r="T5343" s="10" t="s">
        <v>54</v>
      </c>
    </row>
    <row r="5344" spans="1:20" ht="14.5" x14ac:dyDescent="0.35">
      <c r="A5344" s="10" t="s">
        <v>27757</v>
      </c>
      <c r="B5344" s="10" t="str">
        <f>"9781412905152"</f>
        <v>9781412905152</v>
      </c>
      <c r="C5344" s="10" t="str">
        <f>"9781483363387"</f>
        <v>9781483363387</v>
      </c>
      <c r="D5344" s="10" t="s">
        <v>22210</v>
      </c>
      <c r="E5344" s="10" t="s">
        <v>22211</v>
      </c>
      <c r="F5344" s="10" t="s">
        <v>333</v>
      </c>
      <c r="G5344" s="10" t="s">
        <v>6317</v>
      </c>
      <c r="H5344" s="11">
        <v>38441</v>
      </c>
      <c r="I5344" s="10">
        <v>2005</v>
      </c>
      <c r="J5344" s="10" t="s">
        <v>22211</v>
      </c>
      <c r="K5344" s="10">
        <v>169</v>
      </c>
      <c r="L5344" s="10" t="s">
        <v>27758</v>
      </c>
      <c r="M5344" s="10">
        <v>1</v>
      </c>
      <c r="N5344" s="10"/>
      <c r="O5344" s="10"/>
      <c r="P5344" s="10" t="s">
        <v>27759</v>
      </c>
      <c r="Q5344" s="10" t="s">
        <v>11202</v>
      </c>
      <c r="R5344" s="10"/>
      <c r="S5344" s="10" t="s">
        <v>53</v>
      </c>
      <c r="T5344" s="10" t="s">
        <v>54</v>
      </c>
    </row>
    <row r="5345" spans="1:20" ht="14.5" x14ac:dyDescent="0.35">
      <c r="A5345" s="10" t="s">
        <v>27760</v>
      </c>
      <c r="B5345" s="10" t="str">
        <f>"9781412904544"</f>
        <v>9781412904544</v>
      </c>
      <c r="C5345" s="10" t="str">
        <f>"9781483363349"</f>
        <v>9781483363349</v>
      </c>
      <c r="D5345" s="10" t="s">
        <v>22210</v>
      </c>
      <c r="E5345" s="10" t="s">
        <v>22211</v>
      </c>
      <c r="F5345" s="10" t="s">
        <v>333</v>
      </c>
      <c r="G5345" s="10" t="s">
        <v>6317</v>
      </c>
      <c r="H5345" s="11">
        <v>38789</v>
      </c>
      <c r="I5345" s="10">
        <v>2006</v>
      </c>
      <c r="J5345" s="10" t="s">
        <v>22211</v>
      </c>
      <c r="K5345" s="10">
        <v>257</v>
      </c>
      <c r="L5345" s="10" t="s">
        <v>22313</v>
      </c>
      <c r="M5345" s="10">
        <v>1</v>
      </c>
      <c r="N5345" s="10"/>
      <c r="O5345" s="10"/>
      <c r="P5345" s="10" t="s">
        <v>27761</v>
      </c>
      <c r="Q5345" s="10">
        <v>371.1</v>
      </c>
      <c r="R5345" s="10" t="s">
        <v>27762</v>
      </c>
      <c r="S5345" s="10" t="s">
        <v>53</v>
      </c>
      <c r="T5345" s="10" t="s">
        <v>54</v>
      </c>
    </row>
    <row r="5346" spans="1:20" ht="14.5" x14ac:dyDescent="0.35">
      <c r="A5346" s="10" t="s">
        <v>27763</v>
      </c>
      <c r="B5346" s="10" t="str">
        <f>"9781412915021"</f>
        <v>9781412915021</v>
      </c>
      <c r="C5346" s="10" t="str">
        <f>"9781483363684"</f>
        <v>9781483363684</v>
      </c>
      <c r="D5346" s="10" t="s">
        <v>22210</v>
      </c>
      <c r="E5346" s="10" t="s">
        <v>22211</v>
      </c>
      <c r="F5346" s="10" t="s">
        <v>333</v>
      </c>
      <c r="G5346" s="10" t="s">
        <v>6317</v>
      </c>
      <c r="H5346" s="11">
        <v>38974</v>
      </c>
      <c r="I5346" s="10">
        <v>2007</v>
      </c>
      <c r="J5346" s="10" t="s">
        <v>22211</v>
      </c>
      <c r="K5346" s="10">
        <v>169</v>
      </c>
      <c r="L5346" s="10" t="s">
        <v>27764</v>
      </c>
      <c r="M5346" s="10">
        <v>1</v>
      </c>
      <c r="N5346" s="10"/>
      <c r="O5346" s="10"/>
      <c r="P5346" s="10" t="s">
        <v>27765</v>
      </c>
      <c r="Q5346" s="10">
        <v>372.7</v>
      </c>
      <c r="R5346" s="10" t="s">
        <v>27766</v>
      </c>
      <c r="S5346" s="10" t="s">
        <v>53</v>
      </c>
      <c r="T5346" s="10" t="s">
        <v>6448</v>
      </c>
    </row>
    <row r="5347" spans="1:20" ht="14.5" x14ac:dyDescent="0.35">
      <c r="A5347" s="10" t="s">
        <v>27767</v>
      </c>
      <c r="B5347" s="10" t="str">
        <f>"9781412915014"</f>
        <v>9781412915014</v>
      </c>
      <c r="C5347" s="10" t="str">
        <f>"9781483363677"</f>
        <v>9781483363677</v>
      </c>
      <c r="D5347" s="10" t="s">
        <v>22210</v>
      </c>
      <c r="E5347" s="10" t="s">
        <v>22211</v>
      </c>
      <c r="F5347" s="10" t="s">
        <v>333</v>
      </c>
      <c r="G5347" s="10" t="s">
        <v>6317</v>
      </c>
      <c r="H5347" s="11">
        <v>38540</v>
      </c>
      <c r="I5347" s="10">
        <v>2006</v>
      </c>
      <c r="J5347" s="10" t="s">
        <v>22211</v>
      </c>
      <c r="K5347" s="10">
        <v>137</v>
      </c>
      <c r="L5347" s="10" t="s">
        <v>27768</v>
      </c>
      <c r="M5347" s="10">
        <v>1</v>
      </c>
      <c r="N5347" s="10"/>
      <c r="O5347" s="10"/>
      <c r="P5347" s="10" t="s">
        <v>27769</v>
      </c>
      <c r="Q5347" s="10" t="s">
        <v>27770</v>
      </c>
      <c r="R5347" s="10"/>
      <c r="S5347" s="10" t="s">
        <v>53</v>
      </c>
      <c r="T5347" s="10" t="s">
        <v>1166</v>
      </c>
    </row>
    <row r="5348" spans="1:20" ht="14.5" x14ac:dyDescent="0.35">
      <c r="A5348" s="10" t="s">
        <v>27771</v>
      </c>
      <c r="B5348" s="10" t="str">
        <f>"9781412914949"</f>
        <v>9781412914949</v>
      </c>
      <c r="C5348" s="10" t="str">
        <f>"9781483363660"</f>
        <v>9781483363660</v>
      </c>
      <c r="D5348" s="10" t="s">
        <v>22210</v>
      </c>
      <c r="E5348" s="10" t="s">
        <v>22211</v>
      </c>
      <c r="F5348" s="10" t="s">
        <v>333</v>
      </c>
      <c r="G5348" s="10" t="s">
        <v>6317</v>
      </c>
      <c r="H5348" s="11">
        <v>39003</v>
      </c>
      <c r="I5348" s="10">
        <v>2007</v>
      </c>
      <c r="J5348" s="10" t="s">
        <v>22211</v>
      </c>
      <c r="K5348" s="10">
        <v>137</v>
      </c>
      <c r="L5348" s="10" t="s">
        <v>27772</v>
      </c>
      <c r="M5348" s="10">
        <v>1</v>
      </c>
      <c r="N5348" s="10"/>
      <c r="O5348" s="10"/>
      <c r="P5348" s="10" t="s">
        <v>27773</v>
      </c>
      <c r="Q5348" s="10" t="s">
        <v>9360</v>
      </c>
      <c r="R5348" s="10" t="s">
        <v>27774</v>
      </c>
      <c r="S5348" s="10" t="s">
        <v>53</v>
      </c>
      <c r="T5348" s="10" t="s">
        <v>54</v>
      </c>
    </row>
    <row r="5349" spans="1:20" ht="14.5" x14ac:dyDescent="0.35">
      <c r="A5349" s="10" t="s">
        <v>27775</v>
      </c>
      <c r="B5349" s="10" t="str">
        <f>"9781412916929"</f>
        <v>9781412916929</v>
      </c>
      <c r="C5349" s="10" t="str">
        <f>"9781483363868"</f>
        <v>9781483363868</v>
      </c>
      <c r="D5349" s="10" t="s">
        <v>22210</v>
      </c>
      <c r="E5349" s="10" t="s">
        <v>22211</v>
      </c>
      <c r="F5349" s="10" t="s">
        <v>333</v>
      </c>
      <c r="G5349" s="10" t="s">
        <v>6317</v>
      </c>
      <c r="H5349" s="11">
        <v>38741</v>
      </c>
      <c r="I5349" s="10">
        <v>2006</v>
      </c>
      <c r="J5349" s="10" t="s">
        <v>22211</v>
      </c>
      <c r="K5349" s="10">
        <v>105</v>
      </c>
      <c r="L5349" s="10" t="s">
        <v>27776</v>
      </c>
      <c r="M5349" s="10">
        <v>1</v>
      </c>
      <c r="N5349" s="10"/>
      <c r="O5349" s="10"/>
      <c r="P5349" s="10" t="s">
        <v>27777</v>
      </c>
      <c r="Q5349" s="10">
        <v>371.1</v>
      </c>
      <c r="R5349" s="10" t="s">
        <v>27778</v>
      </c>
      <c r="S5349" s="10" t="s">
        <v>53</v>
      </c>
      <c r="T5349" s="10" t="s">
        <v>54</v>
      </c>
    </row>
    <row r="5350" spans="1:20" ht="14.5" x14ac:dyDescent="0.35">
      <c r="A5350" s="10" t="s">
        <v>27779</v>
      </c>
      <c r="B5350" s="10" t="str">
        <f>"9781412925044"</f>
        <v>9781412925044</v>
      </c>
      <c r="C5350" s="10" t="str">
        <f>"9781483364025"</f>
        <v>9781483364025</v>
      </c>
      <c r="D5350" s="10" t="s">
        <v>22210</v>
      </c>
      <c r="E5350" s="10" t="s">
        <v>22211</v>
      </c>
      <c r="F5350" s="10" t="s">
        <v>333</v>
      </c>
      <c r="G5350" s="10" t="s">
        <v>6317</v>
      </c>
      <c r="H5350" s="11">
        <v>38849</v>
      </c>
      <c r="I5350" s="10">
        <v>2006</v>
      </c>
      <c r="J5350" s="10" t="s">
        <v>22211</v>
      </c>
      <c r="K5350" s="10">
        <v>257</v>
      </c>
      <c r="L5350" s="10" t="s">
        <v>23203</v>
      </c>
      <c r="M5350" s="10">
        <v>1</v>
      </c>
      <c r="N5350" s="10"/>
      <c r="O5350" s="10"/>
      <c r="P5350" s="10" t="s">
        <v>27780</v>
      </c>
      <c r="Q5350" s="10" t="s">
        <v>27781</v>
      </c>
      <c r="R5350" s="10" t="s">
        <v>27782</v>
      </c>
      <c r="S5350" s="10" t="s">
        <v>53</v>
      </c>
      <c r="T5350" s="10" t="s">
        <v>54</v>
      </c>
    </row>
    <row r="5351" spans="1:20" ht="14.5" x14ac:dyDescent="0.35">
      <c r="A5351" s="10" t="s">
        <v>27783</v>
      </c>
      <c r="B5351" s="10" t="str">
        <f>"9781412914789"</f>
        <v>9781412914789</v>
      </c>
      <c r="C5351" s="10" t="str">
        <f>"9781483363639"</f>
        <v>9781483363639</v>
      </c>
      <c r="D5351" s="10" t="s">
        <v>22210</v>
      </c>
      <c r="E5351" s="10" t="s">
        <v>22211</v>
      </c>
      <c r="F5351" s="10" t="s">
        <v>333</v>
      </c>
      <c r="G5351" s="10" t="s">
        <v>6317</v>
      </c>
      <c r="H5351" s="11">
        <v>38462</v>
      </c>
      <c r="I5351" s="10">
        <v>2005</v>
      </c>
      <c r="J5351" s="10" t="s">
        <v>22211</v>
      </c>
      <c r="K5351" s="10">
        <v>169</v>
      </c>
      <c r="L5351" s="10" t="s">
        <v>27784</v>
      </c>
      <c r="M5351" s="10">
        <v>1</v>
      </c>
      <c r="N5351" s="10"/>
      <c r="O5351" s="10"/>
      <c r="P5351" s="10" t="s">
        <v>27785</v>
      </c>
      <c r="Q5351" s="10">
        <v>373.11020000000002</v>
      </c>
      <c r="R5351" s="10"/>
      <c r="S5351" s="10" t="s">
        <v>53</v>
      </c>
      <c r="T5351" s="10" t="s">
        <v>54</v>
      </c>
    </row>
    <row r="5352" spans="1:20" ht="14.5" x14ac:dyDescent="0.35">
      <c r="A5352" s="10" t="s">
        <v>27786</v>
      </c>
      <c r="B5352" s="10" t="str">
        <f>"9781412914857"</f>
        <v>9781412914857</v>
      </c>
      <c r="C5352" s="10" t="str">
        <f>"9781483363646"</f>
        <v>9781483363646</v>
      </c>
      <c r="D5352" s="10" t="s">
        <v>22210</v>
      </c>
      <c r="E5352" s="10" t="s">
        <v>22211</v>
      </c>
      <c r="F5352" s="10" t="s">
        <v>333</v>
      </c>
      <c r="G5352" s="10" t="s">
        <v>6317</v>
      </c>
      <c r="H5352" s="11">
        <v>38658</v>
      </c>
      <c r="I5352" s="10">
        <v>2006</v>
      </c>
      <c r="J5352" s="10" t="s">
        <v>22211</v>
      </c>
      <c r="K5352" s="10">
        <v>281</v>
      </c>
      <c r="L5352" s="10" t="s">
        <v>27787</v>
      </c>
      <c r="M5352" s="10">
        <v>1</v>
      </c>
      <c r="N5352" s="10"/>
      <c r="O5352" s="10"/>
      <c r="P5352" s="10" t="s">
        <v>27788</v>
      </c>
      <c r="Q5352" s="10">
        <v>371.82693999999998</v>
      </c>
      <c r="R5352" s="10"/>
      <c r="S5352" s="10" t="s">
        <v>53</v>
      </c>
      <c r="T5352" s="10" t="s">
        <v>54</v>
      </c>
    </row>
    <row r="5353" spans="1:20" ht="14.5" x14ac:dyDescent="0.35">
      <c r="A5353" s="10" t="s">
        <v>27789</v>
      </c>
      <c r="B5353" s="10" t="str">
        <f>"9781412915861"</f>
        <v>9781412915861</v>
      </c>
      <c r="C5353" s="10" t="str">
        <f>"9781483363769"</f>
        <v>9781483363769</v>
      </c>
      <c r="D5353" s="10" t="s">
        <v>22210</v>
      </c>
      <c r="E5353" s="10" t="s">
        <v>22211</v>
      </c>
      <c r="F5353" s="10" t="s">
        <v>333</v>
      </c>
      <c r="G5353" s="10" t="s">
        <v>6317</v>
      </c>
      <c r="H5353" s="11">
        <v>38638</v>
      </c>
      <c r="I5353" s="10">
        <v>2006</v>
      </c>
      <c r="J5353" s="10" t="s">
        <v>22211</v>
      </c>
      <c r="K5353" s="10">
        <v>145</v>
      </c>
      <c r="L5353" s="10" t="s">
        <v>27790</v>
      </c>
      <c r="M5353" s="10">
        <v>1</v>
      </c>
      <c r="N5353" s="10"/>
      <c r="O5353" s="10"/>
      <c r="P5353" s="10" t="s">
        <v>27791</v>
      </c>
      <c r="Q5353" s="10"/>
      <c r="R5353" s="10"/>
      <c r="S5353" s="10" t="s">
        <v>53</v>
      </c>
      <c r="T5353" s="10" t="s">
        <v>54</v>
      </c>
    </row>
    <row r="5354" spans="1:20" ht="14.5" x14ac:dyDescent="0.35">
      <c r="A5354" s="10" t="s">
        <v>27792</v>
      </c>
      <c r="B5354" s="10" t="str">
        <f>"9781412915915"</f>
        <v>9781412915915</v>
      </c>
      <c r="C5354" s="10" t="str">
        <f>"9781483363806"</f>
        <v>9781483363806</v>
      </c>
      <c r="D5354" s="10" t="s">
        <v>22210</v>
      </c>
      <c r="E5354" s="10" t="s">
        <v>22211</v>
      </c>
      <c r="F5354" s="10" t="s">
        <v>333</v>
      </c>
      <c r="G5354" s="10" t="s">
        <v>6317</v>
      </c>
      <c r="H5354" s="11">
        <v>38684</v>
      </c>
      <c r="I5354" s="10">
        <v>2006</v>
      </c>
      <c r="J5354" s="10" t="s">
        <v>22211</v>
      </c>
      <c r="K5354" s="10">
        <v>201</v>
      </c>
      <c r="L5354" s="10" t="s">
        <v>27790</v>
      </c>
      <c r="M5354" s="10">
        <v>1</v>
      </c>
      <c r="N5354" s="10"/>
      <c r="O5354" s="10"/>
      <c r="P5354" s="10">
        <v>2005022378</v>
      </c>
      <c r="Q5354" s="10"/>
      <c r="R5354" s="10"/>
      <c r="S5354" s="10" t="s">
        <v>53</v>
      </c>
      <c r="T5354" s="10" t="s">
        <v>54</v>
      </c>
    </row>
    <row r="5355" spans="1:20" ht="14.5" x14ac:dyDescent="0.35">
      <c r="A5355" s="10" t="s">
        <v>27793</v>
      </c>
      <c r="B5355" s="10" t="str">
        <f>"9781412917032"</f>
        <v>9781412917032</v>
      </c>
      <c r="C5355" s="10" t="str">
        <f>"9781483363882"</f>
        <v>9781483363882</v>
      </c>
      <c r="D5355" s="10" t="s">
        <v>22210</v>
      </c>
      <c r="E5355" s="10" t="s">
        <v>22211</v>
      </c>
      <c r="F5355" s="10" t="s">
        <v>333</v>
      </c>
      <c r="G5355" s="10" t="s">
        <v>6317</v>
      </c>
      <c r="H5355" s="11">
        <v>38553</v>
      </c>
      <c r="I5355" s="10">
        <v>2006</v>
      </c>
      <c r="J5355" s="10" t="s">
        <v>22211</v>
      </c>
      <c r="K5355" s="10">
        <v>185</v>
      </c>
      <c r="L5355" s="10" t="s">
        <v>27794</v>
      </c>
      <c r="M5355" s="10">
        <v>1</v>
      </c>
      <c r="N5355" s="10"/>
      <c r="O5355" s="10"/>
      <c r="P5355" s="10">
        <v>2005008044</v>
      </c>
      <c r="Q5355" s="10">
        <v>370.11200000000002</v>
      </c>
      <c r="R5355" s="10"/>
      <c r="S5355" s="10" t="s">
        <v>53</v>
      </c>
      <c r="T5355" s="10" t="s">
        <v>54</v>
      </c>
    </row>
    <row r="5356" spans="1:20" ht="14.5" x14ac:dyDescent="0.35">
      <c r="A5356" s="10" t="s">
        <v>27795</v>
      </c>
      <c r="B5356" s="10" t="str">
        <f>"9780815725527"</f>
        <v>9780815725527</v>
      </c>
      <c r="C5356" s="10" t="str">
        <f>"9780815725534"</f>
        <v>9780815725534</v>
      </c>
      <c r="D5356" s="10" t="s">
        <v>9752</v>
      </c>
      <c r="E5356" s="10" t="s">
        <v>9753</v>
      </c>
      <c r="F5356" s="10" t="s">
        <v>9754</v>
      </c>
      <c r="G5356" s="10" t="s">
        <v>6317</v>
      </c>
      <c r="H5356" s="11">
        <v>41758</v>
      </c>
      <c r="I5356" s="10">
        <v>2014</v>
      </c>
      <c r="J5356" s="10" t="s">
        <v>9753</v>
      </c>
      <c r="K5356" s="10">
        <v>194</v>
      </c>
      <c r="L5356" s="10" t="s">
        <v>27796</v>
      </c>
      <c r="M5356" s="10">
        <v>1</v>
      </c>
      <c r="N5356" s="10"/>
      <c r="O5356" s="10"/>
      <c r="P5356" s="10" t="s">
        <v>27797</v>
      </c>
      <c r="Q5356" s="10">
        <v>370.97300000000001</v>
      </c>
      <c r="R5356" s="10" t="s">
        <v>27798</v>
      </c>
      <c r="S5356" s="10" t="s">
        <v>53</v>
      </c>
      <c r="T5356" s="10" t="s">
        <v>54</v>
      </c>
    </row>
    <row r="5357" spans="1:20" ht="14.5" x14ac:dyDescent="0.35">
      <c r="A5357" s="10" t="s">
        <v>27799</v>
      </c>
      <c r="B5357" s="10" t="str">
        <f>"9780857452672"</f>
        <v>9780857452672</v>
      </c>
      <c r="C5357" s="10" t="str">
        <f>"9780857452689"</f>
        <v>9780857452689</v>
      </c>
      <c r="D5357" s="10" t="s">
        <v>21315</v>
      </c>
      <c r="E5357" s="10" t="s">
        <v>21316</v>
      </c>
      <c r="F5357" s="10" t="s">
        <v>13068</v>
      </c>
      <c r="G5357" s="10" t="s">
        <v>6317</v>
      </c>
      <c r="H5357" s="11">
        <v>40878</v>
      </c>
      <c r="I5357" s="10">
        <v>2011</v>
      </c>
      <c r="J5357" s="10" t="s">
        <v>21316</v>
      </c>
      <c r="K5357" s="10">
        <v>214</v>
      </c>
      <c r="L5357" s="10" t="s">
        <v>27800</v>
      </c>
      <c r="M5357" s="10">
        <v>1</v>
      </c>
      <c r="N5357" s="10" t="s">
        <v>27801</v>
      </c>
      <c r="O5357" s="10">
        <v>4</v>
      </c>
      <c r="P5357" s="10" t="s">
        <v>27802</v>
      </c>
      <c r="Q5357" s="10">
        <v>371.20709520000003</v>
      </c>
      <c r="R5357" s="10" t="s">
        <v>27803</v>
      </c>
      <c r="S5357" s="10" t="s">
        <v>53</v>
      </c>
      <c r="T5357" s="10" t="s">
        <v>54</v>
      </c>
    </row>
    <row r="5358" spans="1:20" ht="14.5" x14ac:dyDescent="0.35">
      <c r="A5358" s="10" t="s">
        <v>27804</v>
      </c>
      <c r="B5358" s="10" t="str">
        <f>"9780761938682"</f>
        <v>9780761938682</v>
      </c>
      <c r="C5358" s="10" t="str">
        <f>"9781483362687"</f>
        <v>9781483362687</v>
      </c>
      <c r="D5358" s="10" t="s">
        <v>22210</v>
      </c>
      <c r="E5358" s="10" t="s">
        <v>22211</v>
      </c>
      <c r="F5358" s="10" t="s">
        <v>333</v>
      </c>
      <c r="G5358" s="10" t="s">
        <v>6317</v>
      </c>
      <c r="H5358" s="11">
        <v>37993</v>
      </c>
      <c r="I5358" s="10">
        <v>2004</v>
      </c>
      <c r="J5358" s="10" t="s">
        <v>22211</v>
      </c>
      <c r="K5358" s="10">
        <v>185</v>
      </c>
      <c r="L5358" s="10" t="s">
        <v>24363</v>
      </c>
      <c r="M5358" s="10">
        <v>1</v>
      </c>
      <c r="N5358" s="10"/>
      <c r="O5358" s="10"/>
      <c r="P5358" s="10" t="s">
        <v>27805</v>
      </c>
      <c r="Q5358" s="10" t="s">
        <v>27806</v>
      </c>
      <c r="R5358" s="10"/>
      <c r="S5358" s="10" t="s">
        <v>53</v>
      </c>
      <c r="T5358" s="10" t="s">
        <v>54</v>
      </c>
    </row>
    <row r="5359" spans="1:20" ht="14.5" x14ac:dyDescent="0.35">
      <c r="A5359" s="10" t="s">
        <v>27807</v>
      </c>
      <c r="B5359" s="10" t="str">
        <f>"9781412917100"</f>
        <v>9781412917100</v>
      </c>
      <c r="C5359" s="10" t="str">
        <f>"9781483363899"</f>
        <v>9781483363899</v>
      </c>
      <c r="D5359" s="10" t="s">
        <v>22210</v>
      </c>
      <c r="E5359" s="10" t="s">
        <v>22211</v>
      </c>
      <c r="F5359" s="10" t="s">
        <v>333</v>
      </c>
      <c r="G5359" s="10" t="s">
        <v>6317</v>
      </c>
      <c r="H5359" s="11">
        <v>38694</v>
      </c>
      <c r="I5359" s="10">
        <v>2006</v>
      </c>
      <c r="J5359" s="10" t="s">
        <v>22211</v>
      </c>
      <c r="K5359" s="10">
        <v>417</v>
      </c>
      <c r="L5359" s="10" t="s">
        <v>27808</v>
      </c>
      <c r="M5359" s="10">
        <v>1</v>
      </c>
      <c r="N5359" s="10"/>
      <c r="O5359" s="10"/>
      <c r="P5359" s="10" t="s">
        <v>27809</v>
      </c>
      <c r="Q5359" s="10" t="s">
        <v>27810</v>
      </c>
      <c r="R5359" s="10" t="s">
        <v>27811</v>
      </c>
      <c r="S5359" s="10" t="s">
        <v>53</v>
      </c>
      <c r="T5359" s="10" t="s">
        <v>8777</v>
      </c>
    </row>
    <row r="5360" spans="1:20" ht="14.5" x14ac:dyDescent="0.35">
      <c r="A5360" s="10" t="s">
        <v>27812</v>
      </c>
      <c r="B5360" s="10" t="str">
        <f>"9781412926140"</f>
        <v>9781412926140</v>
      </c>
      <c r="C5360" s="10" t="str">
        <f>"9781483364087"</f>
        <v>9781483364087</v>
      </c>
      <c r="D5360" s="10" t="s">
        <v>22210</v>
      </c>
      <c r="E5360" s="10" t="s">
        <v>22211</v>
      </c>
      <c r="F5360" s="10" t="s">
        <v>333</v>
      </c>
      <c r="G5360" s="10" t="s">
        <v>6317</v>
      </c>
      <c r="H5360" s="11">
        <v>38912</v>
      </c>
      <c r="I5360" s="10">
        <v>2007</v>
      </c>
      <c r="J5360" s="10" t="s">
        <v>22211</v>
      </c>
      <c r="K5360" s="10">
        <v>217</v>
      </c>
      <c r="L5360" s="10" t="s">
        <v>27813</v>
      </c>
      <c r="M5360" s="10">
        <v>1</v>
      </c>
      <c r="N5360" s="10"/>
      <c r="O5360" s="10"/>
      <c r="P5360" s="10" t="s">
        <v>27814</v>
      </c>
      <c r="Q5360" s="10">
        <v>372.21</v>
      </c>
      <c r="R5360" s="10" t="s">
        <v>27815</v>
      </c>
      <c r="S5360" s="10" t="s">
        <v>53</v>
      </c>
      <c r="T5360" s="10" t="s">
        <v>54</v>
      </c>
    </row>
    <row r="5361" spans="1:20" ht="14.5" x14ac:dyDescent="0.35">
      <c r="A5361" s="10" t="s">
        <v>27816</v>
      </c>
      <c r="B5361" s="10" t="str">
        <f>"9781412925785"</f>
        <v>9781412925785</v>
      </c>
      <c r="C5361" s="10" t="str">
        <f>"9781483364070"</f>
        <v>9781483364070</v>
      </c>
      <c r="D5361" s="10" t="s">
        <v>22210</v>
      </c>
      <c r="E5361" s="10" t="s">
        <v>22211</v>
      </c>
      <c r="F5361" s="10" t="s">
        <v>333</v>
      </c>
      <c r="G5361" s="10" t="s">
        <v>6317</v>
      </c>
      <c r="H5361" s="11">
        <v>38764</v>
      </c>
      <c r="I5361" s="10">
        <v>2006</v>
      </c>
      <c r="J5361" s="10" t="s">
        <v>22211</v>
      </c>
      <c r="K5361" s="10">
        <v>177</v>
      </c>
      <c r="L5361" s="10" t="s">
        <v>27817</v>
      </c>
      <c r="M5361" s="10">
        <v>1</v>
      </c>
      <c r="N5361" s="10"/>
      <c r="O5361" s="10"/>
      <c r="P5361" s="10" t="s">
        <v>27818</v>
      </c>
      <c r="Q5361" s="10" t="s">
        <v>12010</v>
      </c>
      <c r="R5361" s="10" t="s">
        <v>27819</v>
      </c>
      <c r="S5361" s="10" t="s">
        <v>53</v>
      </c>
      <c r="T5361" s="10" t="s">
        <v>13459</v>
      </c>
    </row>
    <row r="5362" spans="1:20" ht="14.5" x14ac:dyDescent="0.35">
      <c r="A5362" s="10" t="s">
        <v>27820</v>
      </c>
      <c r="B5362" s="10" t="str">
        <f>"9780761946960"</f>
        <v>9780761946960</v>
      </c>
      <c r="C5362" s="10" t="str">
        <f>"9781483363097"</f>
        <v>9781483363097</v>
      </c>
      <c r="D5362" s="10" t="s">
        <v>22210</v>
      </c>
      <c r="E5362" s="10" t="s">
        <v>22211</v>
      </c>
      <c r="F5362" s="10" t="s">
        <v>333</v>
      </c>
      <c r="G5362" s="10" t="s">
        <v>6317</v>
      </c>
      <c r="H5362" s="11">
        <v>37946</v>
      </c>
      <c r="I5362" s="10">
        <v>2004</v>
      </c>
      <c r="J5362" s="10" t="s">
        <v>22211</v>
      </c>
      <c r="K5362" s="10">
        <v>209</v>
      </c>
      <c r="L5362" s="10" t="s">
        <v>27821</v>
      </c>
      <c r="M5362" s="10">
        <v>1</v>
      </c>
      <c r="N5362" s="10"/>
      <c r="O5362" s="10"/>
      <c r="P5362" s="10" t="s">
        <v>27822</v>
      </c>
      <c r="Q5362" s="10" t="s">
        <v>17825</v>
      </c>
      <c r="R5362" s="10"/>
      <c r="S5362" s="10" t="s">
        <v>53</v>
      </c>
      <c r="T5362" s="10" t="s">
        <v>54</v>
      </c>
    </row>
    <row r="5363" spans="1:20" ht="14.5" x14ac:dyDescent="0.35">
      <c r="A5363" s="10" t="s">
        <v>27823</v>
      </c>
      <c r="B5363" s="10" t="str">
        <f>"9781412926614"</f>
        <v>9781412926614</v>
      </c>
      <c r="C5363" s="10" t="str">
        <f>"9781483364124"</f>
        <v>9781483364124</v>
      </c>
      <c r="D5363" s="10" t="s">
        <v>22210</v>
      </c>
      <c r="E5363" s="10" t="s">
        <v>22211</v>
      </c>
      <c r="F5363" s="10" t="s">
        <v>333</v>
      </c>
      <c r="G5363" s="10" t="s">
        <v>6317</v>
      </c>
      <c r="H5363" s="11">
        <v>38891</v>
      </c>
      <c r="I5363" s="10">
        <v>2006</v>
      </c>
      <c r="J5363" s="10" t="s">
        <v>22211</v>
      </c>
      <c r="K5363" s="10">
        <v>217</v>
      </c>
      <c r="L5363" s="10" t="s">
        <v>25057</v>
      </c>
      <c r="M5363" s="10">
        <v>1</v>
      </c>
      <c r="N5363" s="10"/>
      <c r="O5363" s="10"/>
      <c r="P5363" s="10" t="s">
        <v>27824</v>
      </c>
      <c r="Q5363" s="10">
        <v>507.1</v>
      </c>
      <c r="R5363" s="10" t="s">
        <v>27825</v>
      </c>
      <c r="S5363" s="10" t="s">
        <v>53</v>
      </c>
      <c r="T5363" s="10" t="s">
        <v>7193</v>
      </c>
    </row>
    <row r="5364" spans="1:20" ht="14.5" x14ac:dyDescent="0.35">
      <c r="A5364" s="10" t="s">
        <v>27826</v>
      </c>
      <c r="B5364" s="10" t="str">
        <f>"9780971733237"</f>
        <v>9780971733237</v>
      </c>
      <c r="C5364" s="10" t="str">
        <f>"9781483363189"</f>
        <v>9781483363189</v>
      </c>
      <c r="D5364" s="10" t="s">
        <v>22210</v>
      </c>
      <c r="E5364" s="10" t="s">
        <v>22211</v>
      </c>
      <c r="F5364" s="10" t="s">
        <v>333</v>
      </c>
      <c r="G5364" s="10" t="s">
        <v>6317</v>
      </c>
      <c r="H5364" s="11">
        <v>37622</v>
      </c>
      <c r="I5364" s="10">
        <v>2003</v>
      </c>
      <c r="J5364" s="10" t="s">
        <v>22211</v>
      </c>
      <c r="K5364" s="10">
        <v>121</v>
      </c>
      <c r="L5364" s="10" t="s">
        <v>27750</v>
      </c>
      <c r="M5364" s="10">
        <v>1</v>
      </c>
      <c r="N5364" s="10" t="s">
        <v>27682</v>
      </c>
      <c r="O5364" s="10"/>
      <c r="P5364" s="10" t="s">
        <v>27827</v>
      </c>
      <c r="Q5364" s="10">
        <v>371.1</v>
      </c>
      <c r="R5364" s="10" t="s">
        <v>18927</v>
      </c>
      <c r="S5364" s="10" t="s">
        <v>53</v>
      </c>
      <c r="T5364" s="10" t="s">
        <v>54</v>
      </c>
    </row>
    <row r="5365" spans="1:20" ht="14.5" x14ac:dyDescent="0.35">
      <c r="A5365" s="10" t="s">
        <v>27828</v>
      </c>
      <c r="B5365" s="10" t="str">
        <f>"9781629500027"</f>
        <v>9781629500027</v>
      </c>
      <c r="C5365" s="10" t="str">
        <f>"9781629500034"</f>
        <v>9781629500034</v>
      </c>
      <c r="D5365" s="10" t="s">
        <v>9215</v>
      </c>
      <c r="E5365" s="10" t="s">
        <v>27829</v>
      </c>
      <c r="F5365" s="10" t="s">
        <v>403</v>
      </c>
      <c r="G5365" s="10" t="s">
        <v>6317</v>
      </c>
      <c r="H5365" s="11">
        <v>41518</v>
      </c>
      <c r="I5365" s="10">
        <v>2013</v>
      </c>
      <c r="J5365" s="10" t="s">
        <v>27829</v>
      </c>
      <c r="K5365" s="10">
        <v>177</v>
      </c>
      <c r="L5365" s="10" t="s">
        <v>27830</v>
      </c>
      <c r="M5365" s="10"/>
      <c r="N5365" s="10"/>
      <c r="O5365" s="10"/>
      <c r="P5365" s="10" t="s">
        <v>27831</v>
      </c>
      <c r="Q5365" s="10">
        <v>371.39499999999998</v>
      </c>
      <c r="R5365" s="10" t="s">
        <v>27832</v>
      </c>
      <c r="S5365" s="10" t="s">
        <v>53</v>
      </c>
      <c r="T5365" s="10" t="s">
        <v>54</v>
      </c>
    </row>
    <row r="5366" spans="1:20" ht="14.5" x14ac:dyDescent="0.35">
      <c r="A5366" s="10" t="s">
        <v>27833</v>
      </c>
      <c r="B5366" s="10" t="str">
        <f>"9781443855747"</f>
        <v>9781443855747</v>
      </c>
      <c r="C5366" s="10" t="str">
        <f>"9781443858670"</f>
        <v>9781443858670</v>
      </c>
      <c r="D5366" s="10" t="s">
        <v>23635</v>
      </c>
      <c r="E5366" s="10" t="s">
        <v>23635</v>
      </c>
      <c r="F5366" s="10" t="s">
        <v>23636</v>
      </c>
      <c r="G5366" s="10" t="s">
        <v>6352</v>
      </c>
      <c r="H5366" s="11">
        <v>41724</v>
      </c>
      <c r="I5366" s="10">
        <v>2014</v>
      </c>
      <c r="J5366" s="10" t="s">
        <v>23635</v>
      </c>
      <c r="K5366" s="10">
        <v>176</v>
      </c>
      <c r="L5366" s="10" t="s">
        <v>27834</v>
      </c>
      <c r="M5366" s="10">
        <v>1</v>
      </c>
      <c r="N5366" s="10"/>
      <c r="O5366" s="10"/>
      <c r="P5366" s="10" t="s">
        <v>27835</v>
      </c>
      <c r="Q5366" s="10">
        <v>370.1</v>
      </c>
      <c r="R5366" s="10" t="s">
        <v>27836</v>
      </c>
      <c r="S5366" s="10" t="s">
        <v>53</v>
      </c>
      <c r="T5366" s="10" t="s">
        <v>54</v>
      </c>
    </row>
    <row r="5367" spans="1:20" ht="14.5" x14ac:dyDescent="0.35">
      <c r="A5367" s="10" t="s">
        <v>27837</v>
      </c>
      <c r="B5367" s="10" t="str">
        <f>"9781412973908"</f>
        <v>9781412973908</v>
      </c>
      <c r="C5367" s="10" t="str">
        <f>"9781452298948"</f>
        <v>9781452298948</v>
      </c>
      <c r="D5367" s="10" t="s">
        <v>22210</v>
      </c>
      <c r="E5367" s="10" t="s">
        <v>22211</v>
      </c>
      <c r="F5367" s="10" t="s">
        <v>333</v>
      </c>
      <c r="G5367" s="10" t="s">
        <v>6317</v>
      </c>
      <c r="H5367" s="11">
        <v>40294</v>
      </c>
      <c r="I5367" s="10">
        <v>2010</v>
      </c>
      <c r="J5367" s="10" t="s">
        <v>22211</v>
      </c>
      <c r="K5367" s="10">
        <v>153</v>
      </c>
      <c r="L5367" s="10" t="s">
        <v>24323</v>
      </c>
      <c r="M5367" s="10">
        <v>1</v>
      </c>
      <c r="N5367" s="10"/>
      <c r="O5367" s="10"/>
      <c r="P5367" s="10" t="s">
        <v>27838</v>
      </c>
      <c r="Q5367" s="10" t="s">
        <v>19840</v>
      </c>
      <c r="R5367" s="10"/>
      <c r="S5367" s="10" t="s">
        <v>53</v>
      </c>
      <c r="T5367" s="10" t="s">
        <v>54</v>
      </c>
    </row>
    <row r="5368" spans="1:20" ht="14.5" x14ac:dyDescent="0.35">
      <c r="A5368" s="10" t="s">
        <v>27839</v>
      </c>
      <c r="B5368" s="10" t="str">
        <f>"9780761945642"</f>
        <v>9780761945642</v>
      </c>
      <c r="C5368" s="10" t="str">
        <f>"9781483362892"</f>
        <v>9781483362892</v>
      </c>
      <c r="D5368" s="10" t="s">
        <v>22210</v>
      </c>
      <c r="E5368" s="10" t="s">
        <v>22211</v>
      </c>
      <c r="F5368" s="10" t="s">
        <v>333</v>
      </c>
      <c r="G5368" s="10" t="s">
        <v>6317</v>
      </c>
      <c r="H5368" s="11">
        <v>37777</v>
      </c>
      <c r="I5368" s="10">
        <v>2003</v>
      </c>
      <c r="J5368" s="10" t="s">
        <v>22211</v>
      </c>
      <c r="K5368" s="10">
        <v>481</v>
      </c>
      <c r="L5368" s="10" t="s">
        <v>27840</v>
      </c>
      <c r="M5368" s="10">
        <v>1</v>
      </c>
      <c r="N5368" s="10"/>
      <c r="O5368" s="10"/>
      <c r="P5368" s="10" t="s">
        <v>27841</v>
      </c>
      <c r="Q5368" s="10"/>
      <c r="R5368" s="10"/>
      <c r="S5368" s="10" t="s">
        <v>53</v>
      </c>
      <c r="T5368" s="10" t="s">
        <v>54</v>
      </c>
    </row>
    <row r="5369" spans="1:20" ht="14.5" x14ac:dyDescent="0.35">
      <c r="A5369" s="10" t="s">
        <v>27842</v>
      </c>
      <c r="B5369" s="10" t="str">
        <f>"9781412939355"</f>
        <v>9781412939355</v>
      </c>
      <c r="C5369" s="10" t="str">
        <f>"9781483364391"</f>
        <v>9781483364391</v>
      </c>
      <c r="D5369" s="10" t="s">
        <v>22210</v>
      </c>
      <c r="E5369" s="10" t="s">
        <v>22211</v>
      </c>
      <c r="F5369" s="10" t="s">
        <v>333</v>
      </c>
      <c r="G5369" s="10" t="s">
        <v>6317</v>
      </c>
      <c r="H5369" s="11">
        <v>38909</v>
      </c>
      <c r="I5369" s="10">
        <v>2007</v>
      </c>
      <c r="J5369" s="10" t="s">
        <v>22211</v>
      </c>
      <c r="K5369" s="10">
        <v>201</v>
      </c>
      <c r="L5369" s="10" t="s">
        <v>27843</v>
      </c>
      <c r="M5369" s="10">
        <v>2</v>
      </c>
      <c r="N5369" s="10"/>
      <c r="O5369" s="10"/>
      <c r="P5369" s="10" t="s">
        <v>27844</v>
      </c>
      <c r="Q5369" s="10" t="s">
        <v>22247</v>
      </c>
      <c r="R5369" s="10" t="s">
        <v>27845</v>
      </c>
      <c r="S5369" s="10" t="s">
        <v>53</v>
      </c>
      <c r="T5369" s="10" t="s">
        <v>54</v>
      </c>
    </row>
    <row r="5370" spans="1:20" ht="14.5" x14ac:dyDescent="0.35">
      <c r="A5370" s="10" t="s">
        <v>27846</v>
      </c>
      <c r="B5370" s="10" t="str">
        <f>"9781412937580"</f>
        <v>9781412937580</v>
      </c>
      <c r="C5370" s="10" t="str">
        <f>"9781483364285"</f>
        <v>9781483364285</v>
      </c>
      <c r="D5370" s="10" t="s">
        <v>22210</v>
      </c>
      <c r="E5370" s="10" t="s">
        <v>22211</v>
      </c>
      <c r="F5370" s="10" t="s">
        <v>333</v>
      </c>
      <c r="G5370" s="10" t="s">
        <v>6317</v>
      </c>
      <c r="H5370" s="11">
        <v>39079</v>
      </c>
      <c r="I5370" s="10">
        <v>2007</v>
      </c>
      <c r="J5370" s="10" t="s">
        <v>22211</v>
      </c>
      <c r="K5370" s="10">
        <v>161</v>
      </c>
      <c r="L5370" s="10" t="s">
        <v>27847</v>
      </c>
      <c r="M5370" s="10">
        <v>1</v>
      </c>
      <c r="N5370" s="10"/>
      <c r="O5370" s="10"/>
      <c r="P5370" s="10" t="s">
        <v>27848</v>
      </c>
      <c r="Q5370" s="10">
        <v>372.6</v>
      </c>
      <c r="R5370" s="10" t="s">
        <v>27849</v>
      </c>
      <c r="S5370" s="10" t="s">
        <v>53</v>
      </c>
      <c r="T5370" s="10" t="s">
        <v>54</v>
      </c>
    </row>
    <row r="5371" spans="1:20" ht="14.5" x14ac:dyDescent="0.35">
      <c r="A5371" s="10" t="s">
        <v>27850</v>
      </c>
      <c r="B5371" s="10" t="str">
        <f>"9781412936736"</f>
        <v>9781412936736</v>
      </c>
      <c r="C5371" s="10" t="str">
        <f>"9781483364216"</f>
        <v>9781483364216</v>
      </c>
      <c r="D5371" s="10" t="s">
        <v>22210</v>
      </c>
      <c r="E5371" s="10" t="s">
        <v>22211</v>
      </c>
      <c r="F5371" s="10" t="s">
        <v>333</v>
      </c>
      <c r="G5371" s="10" t="s">
        <v>6317</v>
      </c>
      <c r="H5371" s="11">
        <v>38812</v>
      </c>
      <c r="I5371" s="10">
        <v>2006</v>
      </c>
      <c r="J5371" s="10" t="s">
        <v>22211</v>
      </c>
      <c r="K5371" s="10">
        <v>233</v>
      </c>
      <c r="L5371" s="10" t="s">
        <v>27851</v>
      </c>
      <c r="M5371" s="10">
        <v>2</v>
      </c>
      <c r="N5371" s="10"/>
      <c r="O5371" s="10"/>
      <c r="P5371" s="10" t="s">
        <v>27852</v>
      </c>
      <c r="Q5371" s="10" t="s">
        <v>8800</v>
      </c>
      <c r="R5371" s="10"/>
      <c r="S5371" s="10" t="s">
        <v>53</v>
      </c>
      <c r="T5371" s="10" t="s">
        <v>6526</v>
      </c>
    </row>
    <row r="5372" spans="1:20" ht="14.5" x14ac:dyDescent="0.35">
      <c r="A5372" s="10" t="s">
        <v>27853</v>
      </c>
      <c r="B5372" s="10" t="str">
        <f>"9781412936705"</f>
        <v>9781412936705</v>
      </c>
      <c r="C5372" s="10" t="str">
        <f>"9781483364209"</f>
        <v>9781483364209</v>
      </c>
      <c r="D5372" s="10" t="s">
        <v>22210</v>
      </c>
      <c r="E5372" s="10" t="s">
        <v>22211</v>
      </c>
      <c r="F5372" s="10" t="s">
        <v>333</v>
      </c>
      <c r="G5372" s="10" t="s">
        <v>6317</v>
      </c>
      <c r="H5372" s="11">
        <v>38835</v>
      </c>
      <c r="I5372" s="10">
        <v>2006</v>
      </c>
      <c r="J5372" s="10" t="s">
        <v>22211</v>
      </c>
      <c r="K5372" s="10">
        <v>185</v>
      </c>
      <c r="L5372" s="10" t="s">
        <v>27854</v>
      </c>
      <c r="M5372" s="10">
        <v>2</v>
      </c>
      <c r="N5372" s="10"/>
      <c r="O5372" s="10"/>
      <c r="P5372" s="10" t="s">
        <v>27855</v>
      </c>
      <c r="Q5372" s="10" t="s">
        <v>15602</v>
      </c>
      <c r="R5372" s="10" t="s">
        <v>27856</v>
      </c>
      <c r="S5372" s="10" t="s">
        <v>53</v>
      </c>
      <c r="T5372" s="10" t="s">
        <v>54</v>
      </c>
    </row>
    <row r="5373" spans="1:20" ht="14.5" x14ac:dyDescent="0.35">
      <c r="A5373" s="10" t="s">
        <v>27857</v>
      </c>
      <c r="B5373" s="10" t="str">
        <f>"9781412937108"</f>
        <v>9781412937108</v>
      </c>
      <c r="C5373" s="10" t="str">
        <f>"9781483364254"</f>
        <v>9781483364254</v>
      </c>
      <c r="D5373" s="10" t="s">
        <v>22210</v>
      </c>
      <c r="E5373" s="10" t="s">
        <v>22211</v>
      </c>
      <c r="F5373" s="10" t="s">
        <v>333</v>
      </c>
      <c r="G5373" s="10" t="s">
        <v>6317</v>
      </c>
      <c r="H5373" s="11">
        <v>38889</v>
      </c>
      <c r="I5373" s="10">
        <v>2007</v>
      </c>
      <c r="J5373" s="10" t="s">
        <v>22211</v>
      </c>
      <c r="K5373" s="10">
        <v>297</v>
      </c>
      <c r="L5373" s="10" t="s">
        <v>27858</v>
      </c>
      <c r="M5373" s="10">
        <v>2</v>
      </c>
      <c r="N5373" s="10"/>
      <c r="O5373" s="10"/>
      <c r="P5373" s="10" t="s">
        <v>27859</v>
      </c>
      <c r="Q5373" s="10" t="s">
        <v>27860</v>
      </c>
      <c r="R5373" s="10" t="s">
        <v>27861</v>
      </c>
      <c r="S5373" s="10" t="s">
        <v>53</v>
      </c>
      <c r="T5373" s="10" t="s">
        <v>6660</v>
      </c>
    </row>
    <row r="5374" spans="1:20" ht="14.5" x14ac:dyDescent="0.35">
      <c r="A5374" s="10" t="s">
        <v>27862</v>
      </c>
      <c r="B5374" s="10" t="str">
        <f>"9781118841365"</f>
        <v>9781118841365</v>
      </c>
      <c r="C5374" s="10" t="str">
        <f>"9781118841280"</f>
        <v>9781118841280</v>
      </c>
      <c r="D5374" s="10" t="s">
        <v>6322</v>
      </c>
      <c r="E5374" s="10" t="s">
        <v>6323</v>
      </c>
      <c r="F5374" s="10" t="s">
        <v>4423</v>
      </c>
      <c r="G5374" s="10" t="s">
        <v>6317</v>
      </c>
      <c r="H5374" s="11">
        <v>41757</v>
      </c>
      <c r="I5374" s="10">
        <v>2014</v>
      </c>
      <c r="J5374" s="10" t="s">
        <v>6324</v>
      </c>
      <c r="K5374" s="10">
        <v>258</v>
      </c>
      <c r="L5374" s="10" t="s">
        <v>27863</v>
      </c>
      <c r="M5374" s="10">
        <v>1</v>
      </c>
      <c r="N5374" s="10"/>
      <c r="O5374" s="10"/>
      <c r="P5374" s="10" t="s">
        <v>27864</v>
      </c>
      <c r="Q5374" s="10"/>
      <c r="R5374" s="10" t="s">
        <v>27865</v>
      </c>
      <c r="S5374" s="10" t="s">
        <v>53</v>
      </c>
      <c r="T5374" s="10" t="s">
        <v>54</v>
      </c>
    </row>
    <row r="5375" spans="1:20" ht="14.5" x14ac:dyDescent="0.35">
      <c r="A5375" s="10" t="s">
        <v>27866</v>
      </c>
      <c r="B5375" s="10" t="str">
        <f>"9781118850039"</f>
        <v>9781118850039</v>
      </c>
      <c r="C5375" s="10" t="str">
        <f>"9781118850169"</f>
        <v>9781118850169</v>
      </c>
      <c r="D5375" s="10" t="s">
        <v>6322</v>
      </c>
      <c r="E5375" s="10" t="s">
        <v>6323</v>
      </c>
      <c r="F5375" s="10" t="s">
        <v>6339</v>
      </c>
      <c r="G5375" s="10" t="s">
        <v>6317</v>
      </c>
      <c r="H5375" s="11">
        <v>41722</v>
      </c>
      <c r="I5375" s="10">
        <v>2014</v>
      </c>
      <c r="J5375" s="10" t="s">
        <v>6324</v>
      </c>
      <c r="K5375" s="10">
        <v>114</v>
      </c>
      <c r="L5375" s="10" t="s">
        <v>27867</v>
      </c>
      <c r="M5375" s="10">
        <v>1</v>
      </c>
      <c r="N5375" s="10" t="s">
        <v>20707</v>
      </c>
      <c r="O5375" s="10"/>
      <c r="P5375" s="10" t="s">
        <v>27868</v>
      </c>
      <c r="Q5375" s="10">
        <v>374.97300000000001</v>
      </c>
      <c r="R5375" s="10" t="s">
        <v>27869</v>
      </c>
      <c r="S5375" s="10" t="s">
        <v>53</v>
      </c>
      <c r="T5375" s="10" t="s">
        <v>8760</v>
      </c>
    </row>
    <row r="5376" spans="1:20" ht="14.5" x14ac:dyDescent="0.35">
      <c r="A5376" s="10" t="s">
        <v>27870</v>
      </c>
      <c r="B5376" s="10" t="str">
        <f>"9781118205655"</f>
        <v>9781118205655</v>
      </c>
      <c r="C5376" s="10" t="str">
        <f>"9781118852392"</f>
        <v>9781118852392</v>
      </c>
      <c r="D5376" s="10" t="s">
        <v>6322</v>
      </c>
      <c r="E5376" s="10" t="s">
        <v>6323</v>
      </c>
      <c r="F5376" s="10" t="s">
        <v>4423</v>
      </c>
      <c r="G5376" s="10" t="s">
        <v>6317</v>
      </c>
      <c r="H5376" s="11">
        <v>41736</v>
      </c>
      <c r="I5376" s="10">
        <v>2014</v>
      </c>
      <c r="J5376" s="10" t="s">
        <v>6323</v>
      </c>
      <c r="K5376" s="10">
        <v>214</v>
      </c>
      <c r="L5376" s="10" t="s">
        <v>27871</v>
      </c>
      <c r="M5376" s="10">
        <v>1</v>
      </c>
      <c r="N5376" s="10"/>
      <c r="O5376" s="10"/>
      <c r="P5376" s="10" t="s">
        <v>27872</v>
      </c>
      <c r="Q5376" s="10">
        <v>371.2</v>
      </c>
      <c r="R5376" s="10" t="s">
        <v>27873</v>
      </c>
      <c r="S5376" s="10" t="s">
        <v>53</v>
      </c>
      <c r="T5376" s="10" t="s">
        <v>54</v>
      </c>
    </row>
    <row r="5377" spans="1:20" ht="14.5" x14ac:dyDescent="0.35">
      <c r="A5377" s="10" t="s">
        <v>27874</v>
      </c>
      <c r="B5377" s="10" t="str">
        <f>"9781118870112"</f>
        <v>9781118870112</v>
      </c>
      <c r="C5377" s="10" t="str">
        <f>"9781118870280"</f>
        <v>9781118870280</v>
      </c>
      <c r="D5377" s="10" t="s">
        <v>6322</v>
      </c>
      <c r="E5377" s="10" t="s">
        <v>6323</v>
      </c>
      <c r="F5377" s="10" t="s">
        <v>6339</v>
      </c>
      <c r="G5377" s="10" t="s">
        <v>6317</v>
      </c>
      <c r="H5377" s="11">
        <v>41722</v>
      </c>
      <c r="I5377" s="10">
        <v>2014</v>
      </c>
      <c r="J5377" s="10" t="s">
        <v>6324</v>
      </c>
      <c r="K5377" s="10">
        <v>114</v>
      </c>
      <c r="L5377" s="10" t="s">
        <v>27875</v>
      </c>
      <c r="M5377" s="10">
        <v>1</v>
      </c>
      <c r="N5377" s="10" t="s">
        <v>20712</v>
      </c>
      <c r="O5377" s="10"/>
      <c r="P5377" s="10" t="s">
        <v>27876</v>
      </c>
      <c r="Q5377" s="10">
        <v>378.125</v>
      </c>
      <c r="R5377" s="10" t="s">
        <v>27877</v>
      </c>
      <c r="S5377" s="10" t="s">
        <v>53</v>
      </c>
      <c r="T5377" s="10" t="s">
        <v>54</v>
      </c>
    </row>
    <row r="5378" spans="1:20" ht="14.5" x14ac:dyDescent="0.35">
      <c r="A5378" s="10" t="s">
        <v>27878</v>
      </c>
      <c r="B5378" s="10" t="str">
        <f>"9781118881453"</f>
        <v>9781118881453</v>
      </c>
      <c r="C5378" s="10" t="str">
        <f>"9781118881415"</f>
        <v>9781118881415</v>
      </c>
      <c r="D5378" s="10" t="s">
        <v>6322</v>
      </c>
      <c r="E5378" s="10" t="s">
        <v>6323</v>
      </c>
      <c r="F5378" s="10" t="s">
        <v>6339</v>
      </c>
      <c r="G5378" s="10" t="s">
        <v>6317</v>
      </c>
      <c r="H5378" s="11">
        <v>41729</v>
      </c>
      <c r="I5378" s="10">
        <v>2014</v>
      </c>
      <c r="J5378" s="10" t="s">
        <v>6324</v>
      </c>
      <c r="K5378" s="10">
        <v>105</v>
      </c>
      <c r="L5378" s="10" t="s">
        <v>27879</v>
      </c>
      <c r="M5378" s="10">
        <v>1</v>
      </c>
      <c r="N5378" s="10" t="s">
        <v>22922</v>
      </c>
      <c r="O5378" s="10"/>
      <c r="P5378" s="10" t="s">
        <v>27880</v>
      </c>
      <c r="Q5378" s="10">
        <v>378.05200000000002</v>
      </c>
      <c r="R5378" s="10" t="s">
        <v>27881</v>
      </c>
      <c r="S5378" s="10" t="s">
        <v>53</v>
      </c>
      <c r="T5378" s="10" t="s">
        <v>54</v>
      </c>
    </row>
    <row r="5379" spans="1:20" ht="14.5" x14ac:dyDescent="0.35">
      <c r="A5379" s="10" t="s">
        <v>27882</v>
      </c>
      <c r="B5379" s="10" t="str">
        <f>"9781118884904"</f>
        <v>9781118884904</v>
      </c>
      <c r="C5379" s="10" t="str">
        <f>"9781118885000"</f>
        <v>9781118885000</v>
      </c>
      <c r="D5379" s="10" t="s">
        <v>6322</v>
      </c>
      <c r="E5379" s="10" t="s">
        <v>6323</v>
      </c>
      <c r="F5379" s="10" t="s">
        <v>6339</v>
      </c>
      <c r="G5379" s="10" t="s">
        <v>6317</v>
      </c>
      <c r="H5379" s="11">
        <v>41736</v>
      </c>
      <c r="I5379" s="10">
        <v>2014</v>
      </c>
      <c r="J5379" s="10" t="s">
        <v>6324</v>
      </c>
      <c r="K5379" s="10">
        <v>153</v>
      </c>
      <c r="L5379" s="10" t="s">
        <v>27883</v>
      </c>
      <c r="M5379" s="10">
        <v>1</v>
      </c>
      <c r="N5379" s="10" t="s">
        <v>23322</v>
      </c>
      <c r="O5379" s="10"/>
      <c r="P5379" s="10" t="s">
        <v>27884</v>
      </c>
      <c r="Q5379" s="10">
        <v>378.00200000000001</v>
      </c>
      <c r="R5379" s="10" t="s">
        <v>27885</v>
      </c>
      <c r="S5379" s="10" t="s">
        <v>53</v>
      </c>
      <c r="T5379" s="10" t="s">
        <v>54</v>
      </c>
    </row>
    <row r="5380" spans="1:20" ht="14.5" x14ac:dyDescent="0.35">
      <c r="A5380" s="10" t="s">
        <v>27886</v>
      </c>
      <c r="B5380" s="10" t="str">
        <f>"9781412928199"</f>
        <v>9781412928199</v>
      </c>
      <c r="C5380" s="10" t="str">
        <f>"9781483364186"</f>
        <v>9781483364186</v>
      </c>
      <c r="D5380" s="10" t="s">
        <v>22210</v>
      </c>
      <c r="E5380" s="10" t="s">
        <v>22211</v>
      </c>
      <c r="F5380" s="10" t="s">
        <v>333</v>
      </c>
      <c r="G5380" s="10" t="s">
        <v>6317</v>
      </c>
      <c r="H5380" s="11">
        <v>38782</v>
      </c>
      <c r="I5380" s="10">
        <v>2006</v>
      </c>
      <c r="J5380" s="10" t="s">
        <v>22211</v>
      </c>
      <c r="K5380" s="10">
        <v>145</v>
      </c>
      <c r="L5380" s="10" t="s">
        <v>27887</v>
      </c>
      <c r="M5380" s="10">
        <v>1</v>
      </c>
      <c r="N5380" s="10"/>
      <c r="O5380" s="10"/>
      <c r="P5380" s="10">
        <v>2005025358</v>
      </c>
      <c r="Q5380" s="10" t="s">
        <v>27888</v>
      </c>
      <c r="R5380" s="10"/>
      <c r="S5380" s="10" t="s">
        <v>53</v>
      </c>
      <c r="T5380" s="10" t="s">
        <v>8625</v>
      </c>
    </row>
    <row r="5381" spans="1:20" ht="14.5" x14ac:dyDescent="0.35">
      <c r="A5381" s="10" t="s">
        <v>27889</v>
      </c>
      <c r="B5381" s="10" t="str">
        <f>"9781412938983"</f>
        <v>9781412938983</v>
      </c>
      <c r="C5381" s="10" t="str">
        <f>"9781483364346"</f>
        <v>9781483364346</v>
      </c>
      <c r="D5381" s="10" t="s">
        <v>22210</v>
      </c>
      <c r="E5381" s="10" t="s">
        <v>22211</v>
      </c>
      <c r="F5381" s="10" t="s">
        <v>333</v>
      </c>
      <c r="G5381" s="10" t="s">
        <v>6317</v>
      </c>
      <c r="H5381" s="11">
        <v>38800</v>
      </c>
      <c r="I5381" s="10">
        <v>2006</v>
      </c>
      <c r="J5381" s="10" t="s">
        <v>22211</v>
      </c>
      <c r="K5381" s="10">
        <v>121</v>
      </c>
      <c r="L5381" s="10" t="s">
        <v>27890</v>
      </c>
      <c r="M5381" s="10">
        <v>1</v>
      </c>
      <c r="N5381" s="10"/>
      <c r="O5381" s="10"/>
      <c r="P5381" s="10" t="s">
        <v>27891</v>
      </c>
      <c r="Q5381" s="10">
        <v>371.904</v>
      </c>
      <c r="R5381" s="10" t="s">
        <v>27892</v>
      </c>
      <c r="S5381" s="10" t="s">
        <v>53</v>
      </c>
      <c r="T5381" s="10" t="s">
        <v>54</v>
      </c>
    </row>
    <row r="5382" spans="1:20" ht="14.5" x14ac:dyDescent="0.35">
      <c r="A5382" s="10" t="s">
        <v>27893</v>
      </c>
      <c r="B5382" s="10" t="str">
        <f>"9781936137374"</f>
        <v>9781936137374</v>
      </c>
      <c r="C5382" s="10" t="str">
        <f>"9781941316917"</f>
        <v>9781941316917</v>
      </c>
      <c r="D5382" s="10" t="s">
        <v>3386</v>
      </c>
      <c r="E5382" s="10" t="s">
        <v>3386</v>
      </c>
      <c r="F5382" s="10" t="s">
        <v>9597</v>
      </c>
      <c r="G5382" s="10" t="s">
        <v>6317</v>
      </c>
      <c r="H5382" s="11">
        <v>41699</v>
      </c>
      <c r="I5382" s="10">
        <v>2014</v>
      </c>
      <c r="J5382" s="10" t="s">
        <v>3386</v>
      </c>
      <c r="K5382" s="10">
        <v>210</v>
      </c>
      <c r="L5382" s="10" t="s">
        <v>27894</v>
      </c>
      <c r="M5382" s="10">
        <v>1</v>
      </c>
      <c r="N5382" s="10"/>
      <c r="O5382" s="10"/>
      <c r="P5382" s="10" t="s">
        <v>27895</v>
      </c>
      <c r="Q5382" s="10" t="s">
        <v>27896</v>
      </c>
      <c r="R5382" s="10" t="s">
        <v>27897</v>
      </c>
      <c r="S5382" s="10" t="s">
        <v>53</v>
      </c>
      <c r="T5382" s="10" t="s">
        <v>27898</v>
      </c>
    </row>
    <row r="5383" spans="1:20" ht="14.5" x14ac:dyDescent="0.35">
      <c r="A5383" s="10" t="s">
        <v>27899</v>
      </c>
      <c r="B5383" s="10" t="str">
        <f>"9780415744003"</f>
        <v>9780415744003</v>
      </c>
      <c r="C5383" s="10" t="str">
        <f>"9781317801023"</f>
        <v>9781317801023</v>
      </c>
      <c r="D5383" s="10" t="s">
        <v>6350</v>
      </c>
      <c r="E5383" s="10" t="s">
        <v>6351</v>
      </c>
      <c r="F5383" s="10" t="s">
        <v>139</v>
      </c>
      <c r="G5383" s="10" t="s">
        <v>6352</v>
      </c>
      <c r="H5383" s="11">
        <v>41757</v>
      </c>
      <c r="I5383" s="10">
        <v>2014</v>
      </c>
      <c r="J5383" s="10" t="s">
        <v>6353</v>
      </c>
      <c r="K5383" s="10">
        <v>203</v>
      </c>
      <c r="L5383" s="10" t="s">
        <v>27900</v>
      </c>
      <c r="M5383" s="10">
        <v>1</v>
      </c>
      <c r="N5383" s="10" t="s">
        <v>12310</v>
      </c>
      <c r="O5383" s="10"/>
      <c r="P5383" s="10" t="s">
        <v>27901</v>
      </c>
      <c r="Q5383" s="10" t="s">
        <v>9360</v>
      </c>
      <c r="R5383" s="10" t="s">
        <v>27902</v>
      </c>
      <c r="S5383" s="10" t="s">
        <v>53</v>
      </c>
      <c r="T5383" s="10" t="s">
        <v>16922</v>
      </c>
    </row>
    <row r="5384" spans="1:20" ht="14.5" x14ac:dyDescent="0.35">
      <c r="A5384" s="10" t="s">
        <v>27903</v>
      </c>
      <c r="B5384" s="10" t="str">
        <f>"9781483352961"</f>
        <v>9781483352961</v>
      </c>
      <c r="C5384" s="10" t="str">
        <f>"9781483364575"</f>
        <v>9781483364575</v>
      </c>
      <c r="D5384" s="10" t="s">
        <v>22210</v>
      </c>
      <c r="E5384" s="10" t="s">
        <v>22211</v>
      </c>
      <c r="F5384" s="10" t="s">
        <v>333</v>
      </c>
      <c r="G5384" s="10" t="s">
        <v>6317</v>
      </c>
      <c r="H5384" s="11">
        <v>41744</v>
      </c>
      <c r="I5384" s="10">
        <v>2014</v>
      </c>
      <c r="J5384" s="10" t="s">
        <v>22211</v>
      </c>
      <c r="K5384" s="10">
        <v>145</v>
      </c>
      <c r="L5384" s="10" t="s">
        <v>22336</v>
      </c>
      <c r="M5384" s="10">
        <v>1</v>
      </c>
      <c r="N5384" s="10"/>
      <c r="O5384" s="10"/>
      <c r="P5384" s="10" t="s">
        <v>27904</v>
      </c>
      <c r="Q5384" s="10">
        <v>371.10209730000003</v>
      </c>
      <c r="R5384" s="10"/>
      <c r="S5384" s="10" t="s">
        <v>53</v>
      </c>
      <c r="T5384" s="10" t="s">
        <v>54</v>
      </c>
    </row>
    <row r="5385" spans="1:20" ht="14.5" x14ac:dyDescent="0.35">
      <c r="A5385" s="10" t="s">
        <v>27905</v>
      </c>
      <c r="B5385" s="10" t="str">
        <f>"9781783507030"</f>
        <v>9781783507030</v>
      </c>
      <c r="C5385" s="10" t="str">
        <f>"9781783507047"</f>
        <v>9781783507047</v>
      </c>
      <c r="D5385" s="10" t="s">
        <v>8699</v>
      </c>
      <c r="E5385" s="10" t="s">
        <v>8699</v>
      </c>
      <c r="F5385" s="10" t="s">
        <v>559</v>
      </c>
      <c r="G5385" s="10" t="s">
        <v>6352</v>
      </c>
      <c r="H5385" s="11">
        <v>41736</v>
      </c>
      <c r="I5385" s="10">
        <v>2014</v>
      </c>
      <c r="J5385" s="10" t="s">
        <v>8699</v>
      </c>
      <c r="K5385" s="10">
        <v>344</v>
      </c>
      <c r="L5385" s="10" t="s">
        <v>27906</v>
      </c>
      <c r="M5385" s="10">
        <v>1</v>
      </c>
      <c r="N5385" s="10" t="s">
        <v>18965</v>
      </c>
      <c r="O5385" s="10">
        <v>15</v>
      </c>
      <c r="P5385" s="10" t="s">
        <v>27907</v>
      </c>
      <c r="Q5385" s="10">
        <v>378.008999442</v>
      </c>
      <c r="R5385" s="10" t="s">
        <v>27908</v>
      </c>
      <c r="S5385" s="10" t="s">
        <v>53</v>
      </c>
      <c r="T5385" s="10" t="s">
        <v>54</v>
      </c>
    </row>
    <row r="5386" spans="1:20" ht="14.5" x14ac:dyDescent="0.35">
      <c r="A5386" s="10" t="s">
        <v>27909</v>
      </c>
      <c r="B5386" s="10" t="str">
        <f>"9781853467691"</f>
        <v>9781853467691</v>
      </c>
      <c r="C5386" s="10" t="str">
        <f>"9781134133581"</f>
        <v>9781134133581</v>
      </c>
      <c r="D5386" s="10" t="s">
        <v>6350</v>
      </c>
      <c r="E5386" s="10" t="s">
        <v>6351</v>
      </c>
      <c r="F5386" s="10" t="s">
        <v>748</v>
      </c>
      <c r="G5386" s="10" t="s">
        <v>6352</v>
      </c>
      <c r="H5386" s="11">
        <v>37102</v>
      </c>
      <c r="I5386" s="10">
        <v>2001</v>
      </c>
      <c r="J5386" s="10" t="s">
        <v>6351</v>
      </c>
      <c r="K5386" s="10">
        <v>96</v>
      </c>
      <c r="L5386" s="10" t="s">
        <v>12513</v>
      </c>
      <c r="M5386" s="10">
        <v>1</v>
      </c>
      <c r="N5386" s="10"/>
      <c r="O5386" s="10"/>
      <c r="P5386" s="10" t="s">
        <v>27910</v>
      </c>
      <c r="Q5386" s="10" t="s">
        <v>27911</v>
      </c>
      <c r="R5386" s="10" t="s">
        <v>6547</v>
      </c>
      <c r="S5386" s="10" t="s">
        <v>53</v>
      </c>
      <c r="T5386" s="10" t="s">
        <v>54</v>
      </c>
    </row>
    <row r="5387" spans="1:20" ht="14.5" x14ac:dyDescent="0.35">
      <c r="A5387" s="10" t="s">
        <v>27912</v>
      </c>
      <c r="B5387" s="10" t="str">
        <f>"9780789012715"</f>
        <v>9780789012715</v>
      </c>
      <c r="C5387" s="10" t="str">
        <f>"9781317825746"</f>
        <v>9781317825746</v>
      </c>
      <c r="D5387" s="10" t="s">
        <v>6350</v>
      </c>
      <c r="E5387" s="10" t="s">
        <v>6351</v>
      </c>
      <c r="F5387" s="10" t="s">
        <v>5406</v>
      </c>
      <c r="G5387" s="10" t="s">
        <v>6352</v>
      </c>
      <c r="H5387" s="11">
        <v>37560</v>
      </c>
      <c r="I5387" s="10">
        <v>2002</v>
      </c>
      <c r="J5387" s="10" t="s">
        <v>6353</v>
      </c>
      <c r="K5387" s="10">
        <v>187</v>
      </c>
      <c r="L5387" s="10" t="s">
        <v>27913</v>
      </c>
      <c r="M5387" s="10">
        <v>1</v>
      </c>
      <c r="N5387" s="10"/>
      <c r="O5387" s="10"/>
      <c r="P5387" s="10" t="s">
        <v>27914</v>
      </c>
      <c r="Q5387" s="10">
        <v>371.71</v>
      </c>
      <c r="R5387" s="10" t="s">
        <v>27915</v>
      </c>
      <c r="S5387" s="10" t="s">
        <v>53</v>
      </c>
      <c r="T5387" s="10" t="s">
        <v>54</v>
      </c>
    </row>
    <row r="5388" spans="1:20" ht="14.5" x14ac:dyDescent="0.35">
      <c r="A5388" s="10" t="s">
        <v>27916</v>
      </c>
      <c r="B5388" s="10" t="str">
        <f>"9781118738498"</f>
        <v>9781118738498</v>
      </c>
      <c r="C5388" s="10" t="str">
        <f>"9781118738627"</f>
        <v>9781118738627</v>
      </c>
      <c r="D5388" s="10" t="s">
        <v>6322</v>
      </c>
      <c r="E5388" s="10" t="s">
        <v>6323</v>
      </c>
      <c r="F5388" s="10" t="s">
        <v>4423</v>
      </c>
      <c r="G5388" s="10" t="s">
        <v>6317</v>
      </c>
      <c r="H5388" s="11">
        <v>41764</v>
      </c>
      <c r="I5388" s="10">
        <v>2014</v>
      </c>
      <c r="J5388" s="10" t="s">
        <v>6324</v>
      </c>
      <c r="K5388" s="10">
        <v>258</v>
      </c>
      <c r="L5388" s="10" t="s">
        <v>27917</v>
      </c>
      <c r="M5388" s="10">
        <v>1</v>
      </c>
      <c r="N5388" s="10"/>
      <c r="O5388" s="10"/>
      <c r="P5388" s="10" t="s">
        <v>27918</v>
      </c>
      <c r="Q5388" s="10"/>
      <c r="R5388" s="10" t="s">
        <v>27919</v>
      </c>
      <c r="S5388" s="10" t="s">
        <v>53</v>
      </c>
      <c r="T5388" s="10" t="s">
        <v>54</v>
      </c>
    </row>
    <row r="5389" spans="1:20" ht="14.5" x14ac:dyDescent="0.35">
      <c r="A5389" s="10" t="s">
        <v>27920</v>
      </c>
      <c r="B5389" s="10" t="str">
        <f>"9781853464195"</f>
        <v>9781853464195</v>
      </c>
      <c r="C5389" s="10" t="str">
        <f>"9781134089628"</f>
        <v>9781134089628</v>
      </c>
      <c r="D5389" s="10" t="s">
        <v>6350</v>
      </c>
      <c r="E5389" s="10" t="s">
        <v>6351</v>
      </c>
      <c r="F5389" s="10" t="s">
        <v>748</v>
      </c>
      <c r="G5389" s="10" t="s">
        <v>6352</v>
      </c>
      <c r="H5389" s="11">
        <v>35096</v>
      </c>
      <c r="I5389" s="10">
        <v>1996</v>
      </c>
      <c r="J5389" s="10" t="s">
        <v>6351</v>
      </c>
      <c r="K5389" s="10">
        <v>162</v>
      </c>
      <c r="L5389" s="10" t="s">
        <v>27921</v>
      </c>
      <c r="M5389" s="10">
        <v>1</v>
      </c>
      <c r="N5389" s="10"/>
      <c r="O5389" s="10"/>
      <c r="P5389" s="10" t="s">
        <v>27922</v>
      </c>
      <c r="Q5389" s="10">
        <v>379.41</v>
      </c>
      <c r="R5389" s="10" t="s">
        <v>27923</v>
      </c>
      <c r="S5389" s="10" t="s">
        <v>53</v>
      </c>
      <c r="T5389" s="10" t="s">
        <v>54</v>
      </c>
    </row>
    <row r="5390" spans="1:20" ht="14.5" x14ac:dyDescent="0.35">
      <c r="A5390" s="10" t="s">
        <v>27924</v>
      </c>
      <c r="B5390" s="10" t="str">
        <f>"9781853464201"</f>
        <v>9781853464201</v>
      </c>
      <c r="C5390" s="10" t="str">
        <f>"9781134089901"</f>
        <v>9781134089901</v>
      </c>
      <c r="D5390" s="10" t="s">
        <v>6350</v>
      </c>
      <c r="E5390" s="10" t="s">
        <v>6351</v>
      </c>
      <c r="F5390" s="10" t="s">
        <v>748</v>
      </c>
      <c r="G5390" s="10" t="s">
        <v>6352</v>
      </c>
      <c r="H5390" s="11">
        <v>35431</v>
      </c>
      <c r="I5390" s="10">
        <v>1997</v>
      </c>
      <c r="J5390" s="10" t="s">
        <v>6351</v>
      </c>
      <c r="K5390" s="10">
        <v>323</v>
      </c>
      <c r="L5390" s="10" t="s">
        <v>27925</v>
      </c>
      <c r="M5390" s="10">
        <v>1</v>
      </c>
      <c r="N5390" s="10"/>
      <c r="O5390" s="10"/>
      <c r="P5390" s="10" t="s">
        <v>27926</v>
      </c>
      <c r="Q5390" s="10">
        <v>371.92094100000003</v>
      </c>
      <c r="R5390" s="10" t="s">
        <v>6840</v>
      </c>
      <c r="S5390" s="10" t="s">
        <v>53</v>
      </c>
      <c r="T5390" s="10" t="s">
        <v>54</v>
      </c>
    </row>
    <row r="5391" spans="1:20" ht="14.5" x14ac:dyDescent="0.35">
      <c r="A5391" s="10" t="s">
        <v>27927</v>
      </c>
      <c r="B5391" s="10" t="str">
        <f>"9780415931182"</f>
        <v>9780415931182</v>
      </c>
      <c r="C5391" s="10" t="str">
        <f>"9781135316525"</f>
        <v>9781135316525</v>
      </c>
      <c r="D5391" s="10" t="s">
        <v>6350</v>
      </c>
      <c r="E5391" s="10" t="s">
        <v>6351</v>
      </c>
      <c r="F5391" s="10" t="s">
        <v>5406</v>
      </c>
      <c r="G5391" s="10" t="s">
        <v>6352</v>
      </c>
      <c r="H5391" s="11">
        <v>37330</v>
      </c>
      <c r="I5391" s="10">
        <v>2002</v>
      </c>
      <c r="J5391" s="10" t="s">
        <v>6353</v>
      </c>
      <c r="K5391" s="10">
        <v>377</v>
      </c>
      <c r="L5391" s="10" t="s">
        <v>27928</v>
      </c>
      <c r="M5391" s="10">
        <v>1</v>
      </c>
      <c r="N5391" s="10" t="s">
        <v>7368</v>
      </c>
      <c r="O5391" s="10"/>
      <c r="P5391" s="10" t="s">
        <v>27929</v>
      </c>
      <c r="Q5391" s="10">
        <v>371.02097300000003</v>
      </c>
      <c r="R5391" s="10" t="s">
        <v>27930</v>
      </c>
      <c r="S5391" s="10" t="s">
        <v>53</v>
      </c>
      <c r="T5391" s="10" t="s">
        <v>54</v>
      </c>
    </row>
    <row r="5392" spans="1:20" ht="14.5" x14ac:dyDescent="0.35">
      <c r="A5392" s="10" t="s">
        <v>27931</v>
      </c>
      <c r="B5392" s="10" t="str">
        <f>"9781853469367"</f>
        <v>9781853469367</v>
      </c>
      <c r="C5392" s="10" t="str">
        <f>"9781134152063"</f>
        <v>9781134152063</v>
      </c>
      <c r="D5392" s="10" t="s">
        <v>6350</v>
      </c>
      <c r="E5392" s="10" t="s">
        <v>6351</v>
      </c>
      <c r="F5392" s="10" t="s">
        <v>748</v>
      </c>
      <c r="G5392" s="10" t="s">
        <v>6352</v>
      </c>
      <c r="H5392" s="11">
        <v>37519</v>
      </c>
      <c r="I5392" s="10">
        <v>2002</v>
      </c>
      <c r="J5392" s="10" t="s">
        <v>6351</v>
      </c>
      <c r="K5392" s="10">
        <v>112</v>
      </c>
      <c r="L5392" s="10" t="s">
        <v>19727</v>
      </c>
      <c r="M5392" s="10">
        <v>1</v>
      </c>
      <c r="N5392" s="10"/>
      <c r="O5392" s="10"/>
      <c r="P5392" s="10" t="s">
        <v>27932</v>
      </c>
      <c r="Q5392" s="10" t="s">
        <v>6700</v>
      </c>
      <c r="R5392" s="10" t="s">
        <v>27933</v>
      </c>
      <c r="S5392" s="10" t="s">
        <v>53</v>
      </c>
      <c r="T5392" s="10" t="s">
        <v>54</v>
      </c>
    </row>
    <row r="5393" spans="1:20" ht="14.5" x14ac:dyDescent="0.35">
      <c r="A5393" s="10" t="s">
        <v>27934</v>
      </c>
      <c r="B5393" s="10" t="str">
        <f>"9781853469107"</f>
        <v>9781853469107</v>
      </c>
      <c r="C5393" s="10" t="str">
        <f>"9781134149544"</f>
        <v>9781134149544</v>
      </c>
      <c r="D5393" s="10" t="s">
        <v>6350</v>
      </c>
      <c r="E5393" s="10" t="s">
        <v>15120</v>
      </c>
      <c r="F5393" s="10" t="s">
        <v>748</v>
      </c>
      <c r="G5393" s="10" t="s">
        <v>6352</v>
      </c>
      <c r="H5393" s="11">
        <v>37792</v>
      </c>
      <c r="I5393" s="10">
        <v>2003</v>
      </c>
      <c r="J5393" s="10" t="s">
        <v>15120</v>
      </c>
      <c r="K5393" s="10">
        <v>137</v>
      </c>
      <c r="L5393" s="10" t="s">
        <v>27935</v>
      </c>
      <c r="M5393" s="10">
        <v>1</v>
      </c>
      <c r="N5393" s="10"/>
      <c r="O5393" s="10"/>
      <c r="P5393" s="10" t="s">
        <v>27936</v>
      </c>
      <c r="Q5393" s="10" t="s">
        <v>27937</v>
      </c>
      <c r="R5393" s="10" t="s">
        <v>6577</v>
      </c>
      <c r="S5393" s="10" t="s">
        <v>53</v>
      </c>
      <c r="T5393" s="10" t="s">
        <v>54</v>
      </c>
    </row>
    <row r="5394" spans="1:20" ht="14.5" x14ac:dyDescent="0.35">
      <c r="A5394" s="10" t="s">
        <v>27938</v>
      </c>
      <c r="B5394" s="10" t="str">
        <f>"9781462515578"</f>
        <v>9781462515578</v>
      </c>
      <c r="C5394" s="10" t="str">
        <f>"9781462515691"</f>
        <v>9781462515691</v>
      </c>
      <c r="D5394" s="10" t="s">
        <v>11213</v>
      </c>
      <c r="E5394" s="10" t="s">
        <v>11214</v>
      </c>
      <c r="F5394" s="10" t="s">
        <v>70</v>
      </c>
      <c r="G5394" s="10" t="s">
        <v>6317</v>
      </c>
      <c r="H5394" s="11">
        <v>41753</v>
      </c>
      <c r="I5394" s="10">
        <v>2014</v>
      </c>
      <c r="J5394" s="10" t="s">
        <v>11214</v>
      </c>
      <c r="K5394" s="10">
        <v>242</v>
      </c>
      <c r="L5394" s="10" t="s">
        <v>27939</v>
      </c>
      <c r="M5394" s="10">
        <v>1</v>
      </c>
      <c r="N5394" s="10" t="s">
        <v>18535</v>
      </c>
      <c r="O5394" s="10"/>
      <c r="P5394" s="10"/>
      <c r="Q5394" s="10">
        <v>372.6</v>
      </c>
      <c r="R5394" s="10" t="s">
        <v>27940</v>
      </c>
      <c r="S5394" s="10" t="s">
        <v>53</v>
      </c>
      <c r="T5394" s="10" t="s">
        <v>54</v>
      </c>
    </row>
    <row r="5395" spans="1:20" ht="14.5" x14ac:dyDescent="0.35">
      <c r="A5395" s="10" t="s">
        <v>27941</v>
      </c>
      <c r="B5395" s="10" t="str">
        <f>"9781930556119"</f>
        <v>9781930556119</v>
      </c>
      <c r="C5395" s="10" t="str">
        <f>"9781317919827"</f>
        <v>9781317919827</v>
      </c>
      <c r="D5395" s="10" t="s">
        <v>6350</v>
      </c>
      <c r="E5395" s="10" t="s">
        <v>6351</v>
      </c>
      <c r="F5395" s="10" t="s">
        <v>5406</v>
      </c>
      <c r="G5395" s="10" t="s">
        <v>6352</v>
      </c>
      <c r="H5395" s="11">
        <v>36816</v>
      </c>
      <c r="I5395" s="10">
        <v>2001</v>
      </c>
      <c r="J5395" s="10" t="s">
        <v>6353</v>
      </c>
      <c r="K5395" s="10">
        <v>225</v>
      </c>
      <c r="L5395" s="10" t="s">
        <v>27942</v>
      </c>
      <c r="M5395" s="10">
        <v>1</v>
      </c>
      <c r="N5395" s="10"/>
      <c r="O5395" s="10"/>
      <c r="P5395" s="10" t="s">
        <v>27943</v>
      </c>
      <c r="Q5395" s="10" t="s">
        <v>11202</v>
      </c>
      <c r="R5395" s="10" t="s">
        <v>27944</v>
      </c>
      <c r="S5395" s="10" t="s">
        <v>53</v>
      </c>
      <c r="T5395" s="10" t="s">
        <v>54</v>
      </c>
    </row>
    <row r="5396" spans="1:20" ht="14.5" x14ac:dyDescent="0.35">
      <c r="A5396" s="10" t="s">
        <v>27945</v>
      </c>
      <c r="B5396" s="10" t="str">
        <f>"9781118661642"</f>
        <v>9781118661642</v>
      </c>
      <c r="C5396" s="10" t="str">
        <f>"9781118673577"</f>
        <v>9781118673577</v>
      </c>
      <c r="D5396" s="10" t="s">
        <v>6322</v>
      </c>
      <c r="E5396" s="10" t="s">
        <v>6323</v>
      </c>
      <c r="F5396" s="10" t="s">
        <v>4423</v>
      </c>
      <c r="G5396" s="10" t="s">
        <v>6352</v>
      </c>
      <c r="H5396" s="11">
        <v>41793</v>
      </c>
      <c r="I5396" s="10">
        <v>2014</v>
      </c>
      <c r="J5396" s="10" t="s">
        <v>25195</v>
      </c>
      <c r="K5396" s="10">
        <v>363</v>
      </c>
      <c r="L5396" s="10" t="s">
        <v>27946</v>
      </c>
      <c r="M5396" s="10">
        <v>1</v>
      </c>
      <c r="N5396" s="10"/>
      <c r="O5396" s="10"/>
      <c r="P5396" s="10" t="s">
        <v>27947</v>
      </c>
      <c r="Q5396" s="10">
        <v>370.76</v>
      </c>
      <c r="R5396" s="10" t="s">
        <v>27948</v>
      </c>
      <c r="S5396" s="10" t="s">
        <v>53</v>
      </c>
      <c r="T5396" s="10" t="s">
        <v>54</v>
      </c>
    </row>
    <row r="5397" spans="1:20" ht="14.5" x14ac:dyDescent="0.35">
      <c r="A5397" s="10" t="s">
        <v>27949</v>
      </c>
      <c r="B5397" s="10" t="str">
        <f>"9781611329643"</f>
        <v>9781611329643</v>
      </c>
      <c r="C5397" s="10" t="str">
        <f>"9781611329667"</f>
        <v>9781611329667</v>
      </c>
      <c r="D5397" s="10" t="s">
        <v>6350</v>
      </c>
      <c r="E5397" s="10" t="s">
        <v>6351</v>
      </c>
      <c r="F5397" s="10" t="s">
        <v>18342</v>
      </c>
      <c r="G5397" s="10" t="s">
        <v>6317</v>
      </c>
      <c r="H5397" s="11">
        <v>41729</v>
      </c>
      <c r="I5397" s="10">
        <v>2014</v>
      </c>
      <c r="J5397" s="10" t="s">
        <v>6353</v>
      </c>
      <c r="K5397" s="10">
        <v>124</v>
      </c>
      <c r="L5397" s="10" t="s">
        <v>27950</v>
      </c>
      <c r="M5397" s="10">
        <v>1</v>
      </c>
      <c r="N5397" s="10" t="s">
        <v>27951</v>
      </c>
      <c r="O5397" s="10">
        <v>4</v>
      </c>
      <c r="P5397" s="10" t="s">
        <v>27952</v>
      </c>
      <c r="Q5397" s="10">
        <v>370.11500000000001</v>
      </c>
      <c r="R5397" s="10" t="s">
        <v>27953</v>
      </c>
      <c r="S5397" s="10" t="s">
        <v>53</v>
      </c>
      <c r="T5397" s="10" t="s">
        <v>54</v>
      </c>
    </row>
    <row r="5398" spans="1:20" ht="14.5" x14ac:dyDescent="0.35">
      <c r="A5398" s="10" t="s">
        <v>27954</v>
      </c>
      <c r="B5398" s="10" t="str">
        <f>"9781781906231"</f>
        <v>9781781906231</v>
      </c>
      <c r="C5398" s="10" t="str">
        <f>"9781781908341"</f>
        <v>9781781908341</v>
      </c>
      <c r="D5398" s="10" t="s">
        <v>8699</v>
      </c>
      <c r="E5398" s="10" t="s">
        <v>8699</v>
      </c>
      <c r="F5398" s="10" t="s">
        <v>1019</v>
      </c>
      <c r="G5398" s="10" t="s">
        <v>6352</v>
      </c>
      <c r="H5398" s="11">
        <v>41646</v>
      </c>
      <c r="I5398" s="10">
        <v>2014</v>
      </c>
      <c r="J5398" s="10" t="s">
        <v>115</v>
      </c>
      <c r="K5398" s="10">
        <v>96</v>
      </c>
      <c r="L5398" s="10" t="s">
        <v>27955</v>
      </c>
      <c r="M5398" s="10">
        <v>1</v>
      </c>
      <c r="N5398" s="10" t="s">
        <v>27956</v>
      </c>
      <c r="O5398" s="10" t="s">
        <v>27957</v>
      </c>
      <c r="P5398" s="10" t="s">
        <v>27958</v>
      </c>
      <c r="Q5398" s="10">
        <v>370.91723999999999</v>
      </c>
      <c r="R5398" s="10" t="s">
        <v>27959</v>
      </c>
      <c r="S5398" s="10" t="s">
        <v>53</v>
      </c>
      <c r="T5398" s="10" t="s">
        <v>54</v>
      </c>
    </row>
    <row r="5399" spans="1:20" ht="14.5" x14ac:dyDescent="0.35">
      <c r="A5399" s="10" t="s">
        <v>27960</v>
      </c>
      <c r="B5399" s="10" t="str">
        <f>"9781783504817"</f>
        <v>9781783504817</v>
      </c>
      <c r="C5399" s="10" t="str">
        <f>"9781783504824"</f>
        <v>9781783504824</v>
      </c>
      <c r="D5399" s="10" t="s">
        <v>8699</v>
      </c>
      <c r="E5399" s="10" t="s">
        <v>8699</v>
      </c>
      <c r="F5399" s="10" t="s">
        <v>1019</v>
      </c>
      <c r="G5399" s="10" t="s">
        <v>6352</v>
      </c>
      <c r="H5399" s="11">
        <v>41703</v>
      </c>
      <c r="I5399" s="10">
        <v>2014</v>
      </c>
      <c r="J5399" s="10" t="s">
        <v>115</v>
      </c>
      <c r="K5399" s="10">
        <v>85</v>
      </c>
      <c r="L5399" s="10" t="s">
        <v>27961</v>
      </c>
      <c r="M5399" s="10">
        <v>1</v>
      </c>
      <c r="N5399" s="10" t="s">
        <v>27962</v>
      </c>
      <c r="O5399" s="10" t="s">
        <v>27963</v>
      </c>
      <c r="P5399" s="10" t="s">
        <v>27964</v>
      </c>
      <c r="Q5399" s="10">
        <v>378.10951</v>
      </c>
      <c r="R5399" s="10" t="s">
        <v>27965</v>
      </c>
      <c r="S5399" s="10" t="s">
        <v>53</v>
      </c>
      <c r="T5399" s="10" t="s">
        <v>54</v>
      </c>
    </row>
    <row r="5400" spans="1:20" ht="14.5" x14ac:dyDescent="0.35">
      <c r="A5400" s="10" t="s">
        <v>27966</v>
      </c>
      <c r="B5400" s="10" t="str">
        <f>"9781845405731"</f>
        <v>9781845405731</v>
      </c>
      <c r="C5400" s="10" t="str">
        <f>"9781845407483"</f>
        <v>9781845407483</v>
      </c>
      <c r="D5400" s="10" t="s">
        <v>19500</v>
      </c>
      <c r="E5400" s="10" t="s">
        <v>19501</v>
      </c>
      <c r="F5400" s="10" t="s">
        <v>20587</v>
      </c>
      <c r="G5400" s="10" t="s">
        <v>6352</v>
      </c>
      <c r="H5400" s="11">
        <v>41716</v>
      </c>
      <c r="I5400" s="10">
        <v>2014</v>
      </c>
      <c r="J5400" s="10" t="s">
        <v>19503</v>
      </c>
      <c r="K5400" s="10">
        <v>169</v>
      </c>
      <c r="L5400" s="10" t="s">
        <v>27967</v>
      </c>
      <c r="M5400" s="10">
        <v>1</v>
      </c>
      <c r="N5400" s="10" t="s">
        <v>27968</v>
      </c>
      <c r="O5400" s="10">
        <v>18</v>
      </c>
      <c r="P5400" s="10" t="s">
        <v>27969</v>
      </c>
      <c r="Q5400" s="10">
        <v>306.43200000000002</v>
      </c>
      <c r="R5400" s="10" t="s">
        <v>27970</v>
      </c>
      <c r="S5400" s="10" t="s">
        <v>53</v>
      </c>
      <c r="T5400" s="10" t="s">
        <v>6526</v>
      </c>
    </row>
    <row r="5401" spans="1:20" ht="14.5" x14ac:dyDescent="0.35">
      <c r="A5401" s="10" t="s">
        <v>27971</v>
      </c>
      <c r="B5401" s="10" t="str">
        <f>"9781625310187"</f>
        <v>9781625310187</v>
      </c>
      <c r="C5401" s="10" t="str">
        <f>"9781003839187"</f>
        <v>9781003839187</v>
      </c>
      <c r="D5401" s="10" t="s">
        <v>6350</v>
      </c>
      <c r="E5401" s="10" t="s">
        <v>27972</v>
      </c>
      <c r="F5401" s="10" t="s">
        <v>3967</v>
      </c>
      <c r="G5401" s="10" t="s">
        <v>6317</v>
      </c>
      <c r="H5401" s="11">
        <v>41671</v>
      </c>
      <c r="I5401" s="10">
        <v>2014</v>
      </c>
      <c r="J5401" s="10" t="s">
        <v>27972</v>
      </c>
      <c r="K5401" s="10">
        <v>211</v>
      </c>
      <c r="L5401" s="10" t="s">
        <v>27973</v>
      </c>
      <c r="M5401" s="10">
        <v>2</v>
      </c>
      <c r="N5401" s="10"/>
      <c r="O5401" s="10"/>
      <c r="P5401" s="10" t="s">
        <v>27974</v>
      </c>
      <c r="Q5401" s="10">
        <v>371.10239999999999</v>
      </c>
      <c r="R5401" s="10" t="s">
        <v>7483</v>
      </c>
      <c r="S5401" s="10" t="s">
        <v>119</v>
      </c>
      <c r="T5401" s="10" t="s">
        <v>54</v>
      </c>
    </row>
    <row r="5402" spans="1:20" ht="14.5" x14ac:dyDescent="0.35">
      <c r="A5402" s="10" t="s">
        <v>27975</v>
      </c>
      <c r="B5402" s="10" t="str">
        <f>"9781462515820"</f>
        <v>9781462515820</v>
      </c>
      <c r="C5402" s="10" t="str">
        <f>"9781462515837"</f>
        <v>9781462515837</v>
      </c>
      <c r="D5402" s="10" t="s">
        <v>11213</v>
      </c>
      <c r="E5402" s="10" t="s">
        <v>11214</v>
      </c>
      <c r="F5402" s="10" t="s">
        <v>70</v>
      </c>
      <c r="G5402" s="10" t="s">
        <v>6317</v>
      </c>
      <c r="H5402" s="11">
        <v>41760</v>
      </c>
      <c r="I5402" s="10">
        <v>2014</v>
      </c>
      <c r="J5402" s="10" t="s">
        <v>11214</v>
      </c>
      <c r="K5402" s="10">
        <v>275</v>
      </c>
      <c r="L5402" s="10" t="s">
        <v>27976</v>
      </c>
      <c r="M5402" s="10">
        <v>3</v>
      </c>
      <c r="N5402" s="10"/>
      <c r="O5402" s="10"/>
      <c r="P5402" s="10" t="s">
        <v>27977</v>
      </c>
      <c r="Q5402" s="10">
        <v>372.4</v>
      </c>
      <c r="R5402" s="10" t="s">
        <v>27978</v>
      </c>
      <c r="S5402" s="10" t="s">
        <v>53</v>
      </c>
      <c r="T5402" s="10" t="s">
        <v>54</v>
      </c>
    </row>
    <row r="5403" spans="1:20" ht="14.5" x14ac:dyDescent="0.35">
      <c r="A5403" s="10" t="s">
        <v>7211</v>
      </c>
      <c r="B5403" s="10" t="str">
        <f>"9780335263288"</f>
        <v>9780335263288</v>
      </c>
      <c r="C5403" s="10" t="str">
        <f>"9780335263295"</f>
        <v>9780335263295</v>
      </c>
      <c r="D5403" s="10" t="s">
        <v>10342</v>
      </c>
      <c r="E5403" s="10" t="s">
        <v>10343</v>
      </c>
      <c r="F5403" s="10" t="s">
        <v>10344</v>
      </c>
      <c r="G5403" s="10" t="s">
        <v>6352</v>
      </c>
      <c r="H5403" s="11">
        <v>41714</v>
      </c>
      <c r="I5403" s="10">
        <v>2014</v>
      </c>
      <c r="J5403" s="10" t="s">
        <v>10345</v>
      </c>
      <c r="K5403" s="10">
        <v>162</v>
      </c>
      <c r="L5403" s="10" t="s">
        <v>27979</v>
      </c>
      <c r="M5403" s="10">
        <v>1</v>
      </c>
      <c r="N5403" s="10" t="s">
        <v>10347</v>
      </c>
      <c r="O5403" s="10"/>
      <c r="P5403" s="10" t="s">
        <v>27980</v>
      </c>
      <c r="Q5403" s="10"/>
      <c r="R5403" s="10"/>
      <c r="S5403" s="10" t="s">
        <v>53</v>
      </c>
      <c r="T5403" s="10" t="s">
        <v>54</v>
      </c>
    </row>
    <row r="5404" spans="1:20" ht="14.5" x14ac:dyDescent="0.35">
      <c r="A5404" s="10" t="s">
        <v>27981</v>
      </c>
      <c r="B5404" s="10" t="str">
        <f>"9781443854382"</f>
        <v>9781443854382</v>
      </c>
      <c r="C5404" s="10" t="str">
        <f>"9781443859332"</f>
        <v>9781443859332</v>
      </c>
      <c r="D5404" s="10" t="s">
        <v>23635</v>
      </c>
      <c r="E5404" s="10" t="s">
        <v>23635</v>
      </c>
      <c r="F5404" s="10" t="s">
        <v>23636</v>
      </c>
      <c r="G5404" s="10" t="s">
        <v>6352</v>
      </c>
      <c r="H5404" s="11">
        <v>41743</v>
      </c>
      <c r="I5404" s="10">
        <v>2014</v>
      </c>
      <c r="J5404" s="10" t="s">
        <v>23635</v>
      </c>
      <c r="K5404" s="10">
        <v>566</v>
      </c>
      <c r="L5404" s="10" t="s">
        <v>27982</v>
      </c>
      <c r="M5404" s="10">
        <v>1</v>
      </c>
      <c r="N5404" s="10"/>
      <c r="O5404" s="10"/>
      <c r="P5404" s="10" t="s">
        <v>27983</v>
      </c>
      <c r="Q5404" s="10">
        <v>701</v>
      </c>
      <c r="R5404" s="10" t="s">
        <v>27984</v>
      </c>
      <c r="S5404" s="10" t="s">
        <v>53</v>
      </c>
      <c r="T5404" s="10" t="s">
        <v>6881</v>
      </c>
    </row>
    <row r="5405" spans="1:20" ht="14.5" x14ac:dyDescent="0.35">
      <c r="A5405" s="10" t="s">
        <v>27985</v>
      </c>
      <c r="B5405" s="10" t="str">
        <f>"9781442227576"</f>
        <v>9781442227576</v>
      </c>
      <c r="C5405" s="10" t="str">
        <f>"9781442227590"</f>
        <v>9781442227590</v>
      </c>
      <c r="D5405" s="10" t="s">
        <v>15207</v>
      </c>
      <c r="E5405" s="10" t="s">
        <v>15187</v>
      </c>
      <c r="F5405" s="10" t="s">
        <v>9754</v>
      </c>
      <c r="G5405" s="10" t="s">
        <v>6317</v>
      </c>
      <c r="H5405" s="11">
        <v>41739</v>
      </c>
      <c r="I5405" s="10">
        <v>2014</v>
      </c>
      <c r="J5405" s="10" t="s">
        <v>15187</v>
      </c>
      <c r="K5405" s="10">
        <v>165</v>
      </c>
      <c r="L5405" s="10" t="s">
        <v>27986</v>
      </c>
      <c r="M5405" s="10">
        <v>1</v>
      </c>
      <c r="N5405" s="10"/>
      <c r="O5405" s="10"/>
      <c r="P5405" s="10" t="s">
        <v>27987</v>
      </c>
      <c r="Q5405" s="10" t="s">
        <v>12315</v>
      </c>
      <c r="R5405" s="10" t="s">
        <v>27988</v>
      </c>
      <c r="S5405" s="10" t="s">
        <v>53</v>
      </c>
      <c r="T5405" s="10" t="s">
        <v>6568</v>
      </c>
    </row>
    <row r="5406" spans="1:20" ht="14.5" x14ac:dyDescent="0.35">
      <c r="A5406" s="10" t="s">
        <v>27989</v>
      </c>
      <c r="B5406" s="10" t="str">
        <f>"9780761863526"</f>
        <v>9780761863526</v>
      </c>
      <c r="C5406" s="10" t="str">
        <f>"9780761863533"</f>
        <v>9780761863533</v>
      </c>
      <c r="D5406" s="10" t="s">
        <v>15207</v>
      </c>
      <c r="E5406" s="10" t="s">
        <v>17167</v>
      </c>
      <c r="F5406" s="10" t="s">
        <v>9754</v>
      </c>
      <c r="G5406" s="10" t="s">
        <v>6317</v>
      </c>
      <c r="H5406" s="11">
        <v>41744</v>
      </c>
      <c r="I5406" s="10">
        <v>2014</v>
      </c>
      <c r="J5406" s="10" t="s">
        <v>17167</v>
      </c>
      <c r="K5406" s="10">
        <v>235</v>
      </c>
      <c r="L5406" s="10" t="s">
        <v>27990</v>
      </c>
      <c r="M5406" s="10">
        <v>2</v>
      </c>
      <c r="N5406" s="10"/>
      <c r="O5406" s="10"/>
      <c r="P5406" s="10" t="s">
        <v>27991</v>
      </c>
      <c r="Q5406" s="10">
        <v>378.19400000000002</v>
      </c>
      <c r="R5406" s="10" t="s">
        <v>27992</v>
      </c>
      <c r="S5406" s="10" t="s">
        <v>53</v>
      </c>
      <c r="T5406" s="10" t="s">
        <v>54</v>
      </c>
    </row>
    <row r="5407" spans="1:20" ht="14.5" x14ac:dyDescent="0.35">
      <c r="A5407" s="10" t="s">
        <v>27993</v>
      </c>
      <c r="B5407" s="10" t="str">
        <f>"9781412961431"</f>
        <v>9781412961431</v>
      </c>
      <c r="C5407" s="10" t="str">
        <f>"9781452244976"</f>
        <v>9781452244976</v>
      </c>
      <c r="D5407" s="10" t="s">
        <v>22210</v>
      </c>
      <c r="E5407" s="10" t="s">
        <v>22214</v>
      </c>
      <c r="F5407" s="10" t="s">
        <v>333</v>
      </c>
      <c r="G5407" s="10" t="s">
        <v>6317</v>
      </c>
      <c r="H5407" s="11">
        <v>39758</v>
      </c>
      <c r="I5407" s="10">
        <v>2009</v>
      </c>
      <c r="J5407" s="10" t="s">
        <v>22214</v>
      </c>
      <c r="K5407" s="10">
        <v>273</v>
      </c>
      <c r="L5407" s="10" t="s">
        <v>27994</v>
      </c>
      <c r="M5407" s="10">
        <v>1</v>
      </c>
      <c r="N5407" s="10"/>
      <c r="O5407" s="10"/>
      <c r="P5407" s="10"/>
      <c r="Q5407" s="10" t="s">
        <v>24601</v>
      </c>
      <c r="R5407" s="10"/>
      <c r="S5407" s="10" t="s">
        <v>53</v>
      </c>
      <c r="T5407" s="10" t="s">
        <v>54</v>
      </c>
    </row>
    <row r="5408" spans="1:20" ht="14.5" x14ac:dyDescent="0.35">
      <c r="A5408" s="10" t="s">
        <v>27995</v>
      </c>
      <c r="B5408" s="10" t="str">
        <f>"9780786469505"</f>
        <v>9780786469505</v>
      </c>
      <c r="C5408" s="10" t="str">
        <f>"9781476615110"</f>
        <v>9781476615110</v>
      </c>
      <c r="D5408" s="10" t="s">
        <v>27996</v>
      </c>
      <c r="E5408" s="10" t="s">
        <v>27997</v>
      </c>
      <c r="F5408" s="10" t="s">
        <v>1215</v>
      </c>
      <c r="G5408" s="10" t="s">
        <v>6317</v>
      </c>
      <c r="H5408" s="11">
        <v>41766</v>
      </c>
      <c r="I5408" s="10">
        <v>2014</v>
      </c>
      <c r="J5408" s="10" t="s">
        <v>27997</v>
      </c>
      <c r="K5408" s="10">
        <v>345</v>
      </c>
      <c r="L5408" s="10" t="s">
        <v>27998</v>
      </c>
      <c r="M5408" s="10">
        <v>1</v>
      </c>
      <c r="N5408" s="10"/>
      <c r="O5408" s="10"/>
      <c r="P5408" s="10" t="s">
        <v>27999</v>
      </c>
      <c r="Q5408" s="10" t="s">
        <v>28000</v>
      </c>
      <c r="R5408" s="10" t="s">
        <v>28001</v>
      </c>
      <c r="S5408" s="10" t="s">
        <v>53</v>
      </c>
      <c r="T5408" s="10" t="s">
        <v>7340</v>
      </c>
    </row>
    <row r="5409" spans="1:20" ht="14.5" x14ac:dyDescent="0.35">
      <c r="A5409" s="10" t="s">
        <v>28002</v>
      </c>
      <c r="B5409" s="10" t="str">
        <f>"9789004270770"</f>
        <v>9789004270770</v>
      </c>
      <c r="C5409" s="10" t="str">
        <f>"9789004270787"</f>
        <v>9789004270787</v>
      </c>
      <c r="D5409" s="10" t="s">
        <v>8564</v>
      </c>
      <c r="E5409" s="10" t="s">
        <v>8565</v>
      </c>
      <c r="F5409" s="10" t="s">
        <v>1420</v>
      </c>
      <c r="G5409" s="10" t="s">
        <v>6317</v>
      </c>
      <c r="H5409" s="11">
        <v>41732</v>
      </c>
      <c r="I5409" s="10">
        <v>2014</v>
      </c>
      <c r="J5409" s="10" t="s">
        <v>8565</v>
      </c>
      <c r="K5409" s="10">
        <v>296</v>
      </c>
      <c r="L5409" s="10" t="s">
        <v>24904</v>
      </c>
      <c r="M5409" s="10">
        <v>1</v>
      </c>
      <c r="N5409" s="10" t="s">
        <v>24905</v>
      </c>
      <c r="O5409" s="10">
        <v>2</v>
      </c>
      <c r="P5409" s="10" t="s">
        <v>28003</v>
      </c>
      <c r="Q5409" s="10">
        <v>370.1</v>
      </c>
      <c r="R5409" s="10" t="s">
        <v>28004</v>
      </c>
      <c r="S5409" s="10" t="s">
        <v>53</v>
      </c>
      <c r="T5409" s="10" t="s">
        <v>54</v>
      </c>
    </row>
    <row r="5410" spans="1:20" ht="14.5" x14ac:dyDescent="0.35">
      <c r="A5410" s="10" t="s">
        <v>28005</v>
      </c>
      <c r="B5410" s="10" t="str">
        <f>"9781860946936"</f>
        <v>9781860946936</v>
      </c>
      <c r="C5410" s="10" t="str">
        <f>"9781860948855"</f>
        <v>9781860948855</v>
      </c>
      <c r="D5410" s="10" t="s">
        <v>8571</v>
      </c>
      <c r="E5410" s="10" t="s">
        <v>8572</v>
      </c>
      <c r="F5410" s="10" t="s">
        <v>549</v>
      </c>
      <c r="G5410" s="10" t="s">
        <v>8573</v>
      </c>
      <c r="H5410" s="11">
        <v>39013</v>
      </c>
      <c r="I5410" s="10">
        <v>2006</v>
      </c>
      <c r="J5410" s="10" t="s">
        <v>11504</v>
      </c>
      <c r="K5410" s="10">
        <v>897</v>
      </c>
      <c r="L5410" s="10" t="s">
        <v>28006</v>
      </c>
      <c r="M5410" s="10">
        <v>1</v>
      </c>
      <c r="N5410" s="10"/>
      <c r="O5410" s="10"/>
      <c r="P5410" s="10" t="s">
        <v>28007</v>
      </c>
      <c r="Q5410" s="10">
        <v>509.2</v>
      </c>
      <c r="R5410" s="10" t="s">
        <v>28008</v>
      </c>
      <c r="S5410" s="10" t="s">
        <v>53</v>
      </c>
      <c r="T5410" s="10" t="s">
        <v>7193</v>
      </c>
    </row>
    <row r="5411" spans="1:20" ht="14.5" x14ac:dyDescent="0.35">
      <c r="A5411" s="10" t="s">
        <v>28009</v>
      </c>
      <c r="B5411" s="10" t="str">
        <f>""</f>
        <v/>
      </c>
      <c r="C5411" s="10" t="str">
        <f>"9789812776570"</f>
        <v>9789812776570</v>
      </c>
      <c r="D5411" s="10" t="s">
        <v>8571</v>
      </c>
      <c r="E5411" s="10" t="s">
        <v>8572</v>
      </c>
      <c r="F5411" s="10" t="s">
        <v>549</v>
      </c>
      <c r="G5411" s="10" t="s">
        <v>8573</v>
      </c>
      <c r="H5411" s="11">
        <v>37533</v>
      </c>
      <c r="I5411" s="10">
        <v>2002</v>
      </c>
      <c r="J5411" s="10" t="s">
        <v>8574</v>
      </c>
      <c r="K5411" s="10">
        <v>447</v>
      </c>
      <c r="L5411" s="10" t="s">
        <v>28010</v>
      </c>
      <c r="M5411" s="10">
        <v>1</v>
      </c>
      <c r="N5411" s="10" t="s">
        <v>28011</v>
      </c>
      <c r="O5411" s="10">
        <v>1</v>
      </c>
      <c r="P5411" s="10" t="s">
        <v>28012</v>
      </c>
      <c r="Q5411" s="10">
        <v>371.35</v>
      </c>
      <c r="R5411" s="10" t="s">
        <v>25712</v>
      </c>
      <c r="S5411" s="10" t="s">
        <v>53</v>
      </c>
      <c r="T5411" s="10" t="s">
        <v>54</v>
      </c>
    </row>
    <row r="5412" spans="1:20" ht="14.5" x14ac:dyDescent="0.35">
      <c r="A5412" s="10" t="s">
        <v>28013</v>
      </c>
      <c r="B5412" s="10" t="str">
        <f>"9781843120223"</f>
        <v>9781843120223</v>
      </c>
      <c r="C5412" s="10" t="str">
        <f>"9781134007301"</f>
        <v>9781134007301</v>
      </c>
      <c r="D5412" s="10" t="s">
        <v>6350</v>
      </c>
      <c r="E5412" s="10" t="s">
        <v>6351</v>
      </c>
      <c r="F5412" s="10" t="s">
        <v>748</v>
      </c>
      <c r="G5412" s="10" t="s">
        <v>6352</v>
      </c>
      <c r="H5412" s="11">
        <v>37792</v>
      </c>
      <c r="I5412" s="10">
        <v>2003</v>
      </c>
      <c r="J5412" s="10" t="s">
        <v>6351</v>
      </c>
      <c r="K5412" s="10">
        <v>103</v>
      </c>
      <c r="L5412" s="10" t="s">
        <v>28014</v>
      </c>
      <c r="M5412" s="10">
        <v>1</v>
      </c>
      <c r="N5412" s="10"/>
      <c r="O5412" s="10"/>
      <c r="P5412" s="10" t="s">
        <v>28015</v>
      </c>
      <c r="Q5412" s="10" t="s">
        <v>28016</v>
      </c>
      <c r="R5412" s="10" t="s">
        <v>28017</v>
      </c>
      <c r="S5412" s="10" t="s">
        <v>53</v>
      </c>
      <c r="T5412" s="10" t="s">
        <v>54</v>
      </c>
    </row>
    <row r="5413" spans="1:20" ht="14.5" x14ac:dyDescent="0.35">
      <c r="A5413" s="10" t="s">
        <v>28018</v>
      </c>
      <c r="B5413" s="10" t="str">
        <f>"9780813563626"</f>
        <v>9780813563626</v>
      </c>
      <c r="C5413" s="10" t="str">
        <f>"9780813563633"</f>
        <v>9780813563633</v>
      </c>
      <c r="D5413" s="10" t="s">
        <v>12251</v>
      </c>
      <c r="E5413" s="10" t="s">
        <v>12251</v>
      </c>
      <c r="F5413" s="10" t="s">
        <v>12451</v>
      </c>
      <c r="G5413" s="10" t="s">
        <v>6317</v>
      </c>
      <c r="H5413" s="11">
        <v>41744</v>
      </c>
      <c r="I5413" s="10">
        <v>2014</v>
      </c>
      <c r="J5413" s="10" t="s">
        <v>12251</v>
      </c>
      <c r="K5413" s="10">
        <v>188</v>
      </c>
      <c r="L5413" s="10" t="s">
        <v>28019</v>
      </c>
      <c r="M5413" s="10">
        <v>1</v>
      </c>
      <c r="N5413" s="10" t="s">
        <v>12813</v>
      </c>
      <c r="O5413" s="10"/>
      <c r="P5413" s="10" t="s">
        <v>28020</v>
      </c>
      <c r="Q5413" s="10">
        <v>373.18</v>
      </c>
      <c r="R5413" s="10" t="s">
        <v>28021</v>
      </c>
      <c r="S5413" s="10" t="s">
        <v>53</v>
      </c>
      <c r="T5413" s="10" t="s">
        <v>54</v>
      </c>
    </row>
    <row r="5414" spans="1:20" ht="14.5" x14ac:dyDescent="0.35">
      <c r="A5414" s="10" t="s">
        <v>28022</v>
      </c>
      <c r="B5414" s="10" t="str">
        <f>"9780739176863"</f>
        <v>9780739176863</v>
      </c>
      <c r="C5414" s="10" t="str">
        <f>"9780739176870"</f>
        <v>9780739176870</v>
      </c>
      <c r="D5414" s="10" t="s">
        <v>9752</v>
      </c>
      <c r="E5414" s="10" t="s">
        <v>15182</v>
      </c>
      <c r="F5414" s="10" t="s">
        <v>9754</v>
      </c>
      <c r="G5414" s="10" t="s">
        <v>6317</v>
      </c>
      <c r="H5414" s="11">
        <v>41257</v>
      </c>
      <c r="I5414" s="10">
        <v>2012</v>
      </c>
      <c r="J5414" s="10" t="s">
        <v>15182</v>
      </c>
      <c r="K5414" s="10">
        <v>161</v>
      </c>
      <c r="L5414" s="10" t="s">
        <v>28023</v>
      </c>
      <c r="M5414" s="10">
        <v>1</v>
      </c>
      <c r="N5414" s="10"/>
      <c r="O5414" s="10"/>
      <c r="P5414" s="10" t="s">
        <v>28024</v>
      </c>
      <c r="Q5414" s="10">
        <v>370.1</v>
      </c>
      <c r="R5414" s="10" t="s">
        <v>28025</v>
      </c>
      <c r="S5414" s="10" t="s">
        <v>53</v>
      </c>
      <c r="T5414" s="10" t="s">
        <v>54</v>
      </c>
    </row>
    <row r="5415" spans="1:20" ht="14.5" x14ac:dyDescent="0.35">
      <c r="A5415" s="10" t="s">
        <v>28026</v>
      </c>
      <c r="B5415" s="10" t="str">
        <f>"9789810247201"</f>
        <v>9789810247201</v>
      </c>
      <c r="C5415" s="10" t="str">
        <f>"9789812778390"</f>
        <v>9789812778390</v>
      </c>
      <c r="D5415" s="10" t="s">
        <v>8571</v>
      </c>
      <c r="E5415" s="10" t="s">
        <v>8572</v>
      </c>
      <c r="F5415" s="10" t="s">
        <v>549</v>
      </c>
      <c r="G5415" s="10" t="s">
        <v>8573</v>
      </c>
      <c r="H5415" s="11">
        <v>37400</v>
      </c>
      <c r="I5415" s="10">
        <v>2002</v>
      </c>
      <c r="J5415" s="10" t="s">
        <v>8574</v>
      </c>
      <c r="K5415" s="10">
        <v>358</v>
      </c>
      <c r="L5415" s="10" t="s">
        <v>28027</v>
      </c>
      <c r="M5415" s="10">
        <v>1</v>
      </c>
      <c r="N5415" s="10"/>
      <c r="O5415" s="10"/>
      <c r="P5415" s="10" t="s">
        <v>28028</v>
      </c>
      <c r="Q5415" s="10">
        <v>510</v>
      </c>
      <c r="R5415" s="10" t="s">
        <v>28029</v>
      </c>
      <c r="S5415" s="10" t="s">
        <v>53</v>
      </c>
      <c r="T5415" s="10" t="s">
        <v>389</v>
      </c>
    </row>
    <row r="5416" spans="1:20" ht="14.5" x14ac:dyDescent="0.35">
      <c r="A5416" s="10" t="s">
        <v>28030</v>
      </c>
      <c r="B5416" s="10" t="str">
        <f>"9781416618201"</f>
        <v>9781416618201</v>
      </c>
      <c r="C5416" s="10" t="str">
        <f>"9781416618225"</f>
        <v>9781416618225</v>
      </c>
      <c r="D5416" s="10" t="s">
        <v>10014</v>
      </c>
      <c r="E5416" s="10" t="s">
        <v>10015</v>
      </c>
      <c r="F5416" s="10" t="s">
        <v>201</v>
      </c>
      <c r="G5416" s="10" t="s">
        <v>6317</v>
      </c>
      <c r="H5416" s="11">
        <v>41759</v>
      </c>
      <c r="I5416" s="10">
        <v>2014</v>
      </c>
      <c r="J5416" s="10" t="s">
        <v>10015</v>
      </c>
      <c r="K5416" s="10">
        <v>195</v>
      </c>
      <c r="L5416" s="10" t="s">
        <v>28031</v>
      </c>
      <c r="M5416" s="10">
        <v>1</v>
      </c>
      <c r="N5416" s="10"/>
      <c r="O5416" s="10"/>
      <c r="P5416" s="10" t="s">
        <v>28032</v>
      </c>
      <c r="Q5416" s="10">
        <v>371.10199999999998</v>
      </c>
      <c r="R5416" s="10" t="s">
        <v>28033</v>
      </c>
      <c r="S5416" s="10" t="s">
        <v>53</v>
      </c>
      <c r="T5416" s="10" t="s">
        <v>54</v>
      </c>
    </row>
    <row r="5417" spans="1:20" ht="14.5" x14ac:dyDescent="0.35">
      <c r="A5417" s="10" t="s">
        <v>28034</v>
      </c>
      <c r="B5417" s="10" t="str">
        <f>"9781416618683"</f>
        <v>9781416618683</v>
      </c>
      <c r="C5417" s="10" t="str">
        <f>"9781416618706"</f>
        <v>9781416618706</v>
      </c>
      <c r="D5417" s="10" t="s">
        <v>10014</v>
      </c>
      <c r="E5417" s="10" t="s">
        <v>10015</v>
      </c>
      <c r="F5417" s="10" t="s">
        <v>201</v>
      </c>
      <c r="G5417" s="10" t="s">
        <v>6317</v>
      </c>
      <c r="H5417" s="11">
        <v>41759</v>
      </c>
      <c r="I5417" s="10">
        <v>2014</v>
      </c>
      <c r="J5417" s="10" t="s">
        <v>10015</v>
      </c>
      <c r="K5417" s="10">
        <v>187</v>
      </c>
      <c r="L5417" s="10" t="s">
        <v>28035</v>
      </c>
      <c r="M5417" s="10">
        <v>1</v>
      </c>
      <c r="N5417" s="10"/>
      <c r="O5417" s="10"/>
      <c r="P5417" s="10" t="s">
        <v>28036</v>
      </c>
      <c r="Q5417" s="10">
        <v>372.43</v>
      </c>
      <c r="R5417" s="10" t="s">
        <v>28037</v>
      </c>
      <c r="S5417" s="10" t="s">
        <v>53</v>
      </c>
      <c r="T5417" s="10" t="s">
        <v>54</v>
      </c>
    </row>
    <row r="5418" spans="1:20" ht="14.5" x14ac:dyDescent="0.35">
      <c r="A5418" s="10" t="s">
        <v>28038</v>
      </c>
      <c r="B5418" s="10" t="str">
        <f>"9781416617570"</f>
        <v>9781416617570</v>
      </c>
      <c r="C5418" s="10" t="str">
        <f>"9781416618980"</f>
        <v>9781416618980</v>
      </c>
      <c r="D5418" s="10" t="s">
        <v>10014</v>
      </c>
      <c r="E5418" s="10" t="s">
        <v>10015</v>
      </c>
      <c r="F5418" s="10" t="s">
        <v>201</v>
      </c>
      <c r="G5418" s="10" t="s">
        <v>6317</v>
      </c>
      <c r="H5418" s="11">
        <v>41728</v>
      </c>
      <c r="I5418" s="10">
        <v>2014</v>
      </c>
      <c r="J5418" s="10" t="s">
        <v>10015</v>
      </c>
      <c r="K5418" s="10">
        <v>237</v>
      </c>
      <c r="L5418" s="10" t="s">
        <v>28039</v>
      </c>
      <c r="M5418" s="10">
        <v>1</v>
      </c>
      <c r="N5418" s="10"/>
      <c r="O5418" s="10"/>
      <c r="P5418" s="10" t="s">
        <v>28040</v>
      </c>
      <c r="Q5418" s="10" t="s">
        <v>6942</v>
      </c>
      <c r="R5418" s="10" t="s">
        <v>28041</v>
      </c>
      <c r="S5418" s="10" t="s">
        <v>53</v>
      </c>
      <c r="T5418" s="10" t="s">
        <v>54</v>
      </c>
    </row>
    <row r="5419" spans="1:20" ht="14.5" x14ac:dyDescent="0.35">
      <c r="A5419" s="10" t="s">
        <v>28042</v>
      </c>
      <c r="B5419" s="10" t="str">
        <f>"9781416617563"</f>
        <v>9781416617563</v>
      </c>
      <c r="C5419" s="10" t="str">
        <f>"9781416619017"</f>
        <v>9781416619017</v>
      </c>
      <c r="D5419" s="10" t="s">
        <v>10014</v>
      </c>
      <c r="E5419" s="10" t="s">
        <v>10015</v>
      </c>
      <c r="F5419" s="10" t="s">
        <v>201</v>
      </c>
      <c r="G5419" s="10" t="s">
        <v>6317</v>
      </c>
      <c r="H5419" s="11">
        <v>41728</v>
      </c>
      <c r="I5419" s="10">
        <v>2014</v>
      </c>
      <c r="J5419" s="10" t="s">
        <v>10015</v>
      </c>
      <c r="K5419" s="10">
        <v>219</v>
      </c>
      <c r="L5419" s="10" t="s">
        <v>28043</v>
      </c>
      <c r="M5419" s="10">
        <v>1</v>
      </c>
      <c r="N5419" s="10"/>
      <c r="O5419" s="10"/>
      <c r="P5419" s="10" t="s">
        <v>28044</v>
      </c>
      <c r="Q5419" s="10">
        <v>302.2242071</v>
      </c>
      <c r="R5419" s="10"/>
      <c r="S5419" s="10" t="s">
        <v>53</v>
      </c>
      <c r="T5419" s="10" t="s">
        <v>6472</v>
      </c>
    </row>
    <row r="5420" spans="1:20" ht="14.5" x14ac:dyDescent="0.35">
      <c r="A5420" s="10" t="s">
        <v>28045</v>
      </c>
      <c r="B5420" s="10" t="str">
        <f>""</f>
        <v/>
      </c>
      <c r="C5420" s="10" t="str">
        <f>"9789812777133"</f>
        <v>9789812777133</v>
      </c>
      <c r="D5420" s="10" t="s">
        <v>8571</v>
      </c>
      <c r="E5420" s="10" t="s">
        <v>8572</v>
      </c>
      <c r="F5420" s="10" t="s">
        <v>549</v>
      </c>
      <c r="G5420" s="10" t="s">
        <v>8573</v>
      </c>
      <c r="H5420" s="11">
        <v>37476</v>
      </c>
      <c r="I5420" s="10">
        <v>2002</v>
      </c>
      <c r="J5420" s="10" t="s">
        <v>8574</v>
      </c>
      <c r="K5420" s="10">
        <v>259</v>
      </c>
      <c r="L5420" s="10" t="s">
        <v>28046</v>
      </c>
      <c r="M5420" s="10">
        <v>1</v>
      </c>
      <c r="N5420" s="10"/>
      <c r="O5420" s="10"/>
      <c r="P5420" s="10" t="s">
        <v>28047</v>
      </c>
      <c r="Q5420" s="10">
        <v>371.10199999999998</v>
      </c>
      <c r="R5420" s="10" t="s">
        <v>28048</v>
      </c>
      <c r="S5420" s="10" t="s">
        <v>53</v>
      </c>
      <c r="T5420" s="10" t="s">
        <v>54</v>
      </c>
    </row>
    <row r="5421" spans="1:20" ht="14.5" x14ac:dyDescent="0.35">
      <c r="A5421" s="10" t="s">
        <v>28049</v>
      </c>
      <c r="B5421" s="10" t="str">
        <f>"9789812566027"</f>
        <v>9789812566027</v>
      </c>
      <c r="C5421" s="10" t="str">
        <f>"9789812774545"</f>
        <v>9789812774545</v>
      </c>
      <c r="D5421" s="10" t="s">
        <v>8571</v>
      </c>
      <c r="E5421" s="10" t="s">
        <v>8572</v>
      </c>
      <c r="F5421" s="10" t="s">
        <v>549</v>
      </c>
      <c r="G5421" s="10" t="s">
        <v>8573</v>
      </c>
      <c r="H5421" s="11">
        <v>39066</v>
      </c>
      <c r="I5421" s="10">
        <v>2007</v>
      </c>
      <c r="J5421" s="10" t="s">
        <v>8574</v>
      </c>
      <c r="K5421" s="10">
        <v>545</v>
      </c>
      <c r="L5421" s="10" t="s">
        <v>28050</v>
      </c>
      <c r="M5421" s="10">
        <v>1</v>
      </c>
      <c r="N5421" s="10"/>
      <c r="O5421" s="10"/>
      <c r="P5421" s="10" t="s">
        <v>28051</v>
      </c>
      <c r="Q5421" s="10">
        <v>530.07799999999997</v>
      </c>
      <c r="R5421" s="10" t="s">
        <v>28052</v>
      </c>
      <c r="S5421" s="10" t="s">
        <v>53</v>
      </c>
      <c r="T5421" s="10" t="s">
        <v>11108</v>
      </c>
    </row>
    <row r="5422" spans="1:20" ht="14.5" x14ac:dyDescent="0.35">
      <c r="A5422" s="10" t="s">
        <v>28053</v>
      </c>
      <c r="B5422" s="10" t="str">
        <f>"9789812794130"</f>
        <v>9789812794130</v>
      </c>
      <c r="C5422" s="10" t="str">
        <f>"9789812794147"</f>
        <v>9789812794147</v>
      </c>
      <c r="D5422" s="10" t="s">
        <v>8571</v>
      </c>
      <c r="E5422" s="10" t="s">
        <v>8572</v>
      </c>
      <c r="F5422" s="10" t="s">
        <v>549</v>
      </c>
      <c r="G5422" s="10" t="s">
        <v>8573</v>
      </c>
      <c r="H5422" s="11">
        <v>39535</v>
      </c>
      <c r="I5422" s="10">
        <v>2008</v>
      </c>
      <c r="J5422" s="10" t="s">
        <v>8574</v>
      </c>
      <c r="K5422" s="10">
        <v>160</v>
      </c>
      <c r="L5422" s="10" t="s">
        <v>28054</v>
      </c>
      <c r="M5422" s="10">
        <v>1</v>
      </c>
      <c r="N5422" s="10"/>
      <c r="O5422" s="10"/>
      <c r="P5422" s="10" t="s">
        <v>28055</v>
      </c>
      <c r="Q5422" s="10">
        <v>371.26</v>
      </c>
      <c r="R5422" s="10" t="s">
        <v>28056</v>
      </c>
      <c r="S5422" s="10" t="s">
        <v>53</v>
      </c>
      <c r="T5422" s="10" t="s">
        <v>54</v>
      </c>
    </row>
    <row r="5423" spans="1:20" ht="14.5" x14ac:dyDescent="0.35">
      <c r="A5423" s="10" t="s">
        <v>28057</v>
      </c>
      <c r="B5423" s="10" t="str">
        <f>"9789810241421"</f>
        <v>9789810241421</v>
      </c>
      <c r="C5423" s="10" t="str">
        <f>"9789812810694"</f>
        <v>9789812810694</v>
      </c>
      <c r="D5423" s="10" t="s">
        <v>8571</v>
      </c>
      <c r="E5423" s="10" t="s">
        <v>8572</v>
      </c>
      <c r="F5423" s="10" t="s">
        <v>549</v>
      </c>
      <c r="G5423" s="10" t="s">
        <v>8573</v>
      </c>
      <c r="H5423" s="11">
        <v>37235</v>
      </c>
      <c r="I5423" s="10">
        <v>2001</v>
      </c>
      <c r="J5423" s="10" t="s">
        <v>8574</v>
      </c>
      <c r="K5423" s="10">
        <v>422</v>
      </c>
      <c r="L5423" s="10" t="s">
        <v>28058</v>
      </c>
      <c r="M5423" s="10">
        <v>1</v>
      </c>
      <c r="N5423" s="10"/>
      <c r="O5423" s="10"/>
      <c r="P5423" s="10" t="s">
        <v>28059</v>
      </c>
      <c r="Q5423" s="10">
        <v>658.4</v>
      </c>
      <c r="R5423" s="10" t="s">
        <v>28060</v>
      </c>
      <c r="S5423" s="10" t="s">
        <v>53</v>
      </c>
      <c r="T5423" s="10" t="s">
        <v>6660</v>
      </c>
    </row>
    <row r="5424" spans="1:20" ht="14.5" x14ac:dyDescent="0.35">
      <c r="A5424" s="10" t="s">
        <v>28061</v>
      </c>
      <c r="B5424" s="10" t="str">
        <f>"9789812381262"</f>
        <v>9789812381262</v>
      </c>
      <c r="C5424" s="10" t="str">
        <f>"9789812776747"</f>
        <v>9789812776747</v>
      </c>
      <c r="D5424" s="10" t="s">
        <v>8571</v>
      </c>
      <c r="E5424" s="10" t="s">
        <v>8572</v>
      </c>
      <c r="F5424" s="10" t="s">
        <v>549</v>
      </c>
      <c r="G5424" s="10" t="s">
        <v>8573</v>
      </c>
      <c r="H5424" s="11">
        <v>37452</v>
      </c>
      <c r="I5424" s="10">
        <v>2002</v>
      </c>
      <c r="J5424" s="10" t="s">
        <v>8574</v>
      </c>
      <c r="K5424" s="10">
        <v>270</v>
      </c>
      <c r="L5424" s="10" t="s">
        <v>28062</v>
      </c>
      <c r="M5424" s="10">
        <v>1</v>
      </c>
      <c r="N5424" s="10"/>
      <c r="O5424" s="10"/>
      <c r="P5424" s="10" t="s">
        <v>28063</v>
      </c>
      <c r="Q5424" s="10">
        <v>371.33</v>
      </c>
      <c r="R5424" s="10" t="s">
        <v>28064</v>
      </c>
      <c r="S5424" s="10" t="s">
        <v>53</v>
      </c>
      <c r="T5424" s="10" t="s">
        <v>54</v>
      </c>
    </row>
    <row r="5425" spans="1:20" ht="14.5" x14ac:dyDescent="0.35">
      <c r="A5425" s="10" t="s">
        <v>28065</v>
      </c>
      <c r="B5425" s="10" t="str">
        <f>"9789812704047"</f>
        <v>9789812704047</v>
      </c>
      <c r="C5425" s="10" t="str">
        <f>"9789812772459"</f>
        <v>9789812772459</v>
      </c>
      <c r="D5425" s="10" t="s">
        <v>8571</v>
      </c>
      <c r="E5425" s="10" t="s">
        <v>8572</v>
      </c>
      <c r="F5425" s="10" t="s">
        <v>549</v>
      </c>
      <c r="G5425" s="10" t="s">
        <v>8573</v>
      </c>
      <c r="H5425" s="11">
        <v>39022</v>
      </c>
      <c r="I5425" s="10">
        <v>2006</v>
      </c>
      <c r="J5425" s="10" t="s">
        <v>8574</v>
      </c>
      <c r="K5425" s="10">
        <v>174</v>
      </c>
      <c r="L5425" s="10" t="s">
        <v>28066</v>
      </c>
      <c r="M5425" s="10">
        <v>1</v>
      </c>
      <c r="N5425" s="10"/>
      <c r="O5425" s="10"/>
      <c r="P5425" s="10" t="s">
        <v>28067</v>
      </c>
      <c r="Q5425" s="10">
        <v>793.74</v>
      </c>
      <c r="R5425" s="10" t="s">
        <v>28068</v>
      </c>
      <c r="S5425" s="10" t="s">
        <v>53</v>
      </c>
      <c r="T5425" s="10" t="s">
        <v>28069</v>
      </c>
    </row>
    <row r="5426" spans="1:20" ht="14.5" x14ac:dyDescent="0.35">
      <c r="A5426" s="10" t="s">
        <v>28070</v>
      </c>
      <c r="B5426" s="10" t="str">
        <f>""</f>
        <v/>
      </c>
      <c r="C5426" s="10" t="str">
        <f>"9789814271448"</f>
        <v>9789814271448</v>
      </c>
      <c r="D5426" s="10" t="s">
        <v>8571</v>
      </c>
      <c r="E5426" s="10" t="s">
        <v>8572</v>
      </c>
      <c r="F5426" s="10" t="s">
        <v>549</v>
      </c>
      <c r="G5426" s="10" t="s">
        <v>8573</v>
      </c>
      <c r="H5426" s="11">
        <v>40108</v>
      </c>
      <c r="I5426" s="10">
        <v>2010</v>
      </c>
      <c r="J5426" s="10" t="s">
        <v>11510</v>
      </c>
      <c r="K5426" s="10">
        <v>319</v>
      </c>
      <c r="L5426" s="10" t="s">
        <v>28071</v>
      </c>
      <c r="M5426" s="10">
        <v>1</v>
      </c>
      <c r="N5426" s="10"/>
      <c r="O5426" s="10"/>
      <c r="P5426" s="10" t="s">
        <v>28072</v>
      </c>
      <c r="Q5426" s="10">
        <v>530</v>
      </c>
      <c r="R5426" s="10" t="s">
        <v>28073</v>
      </c>
      <c r="S5426" s="10" t="s">
        <v>53</v>
      </c>
      <c r="T5426" s="10" t="s">
        <v>11578</v>
      </c>
    </row>
    <row r="5427" spans="1:20" ht="14.5" x14ac:dyDescent="0.35">
      <c r="A5427" s="10" t="s">
        <v>28074</v>
      </c>
      <c r="B5427" s="10" t="str">
        <f>"9789812565082"</f>
        <v>9789812565082</v>
      </c>
      <c r="C5427" s="10" t="str">
        <f>"9789812774651"</f>
        <v>9789812774651</v>
      </c>
      <c r="D5427" s="10" t="s">
        <v>8571</v>
      </c>
      <c r="E5427" s="10" t="s">
        <v>8572</v>
      </c>
      <c r="F5427" s="10" t="s">
        <v>549</v>
      </c>
      <c r="G5427" s="10" t="s">
        <v>8573</v>
      </c>
      <c r="H5427" s="11">
        <v>38862</v>
      </c>
      <c r="I5427" s="10">
        <v>2006</v>
      </c>
      <c r="J5427" s="10" t="s">
        <v>8574</v>
      </c>
      <c r="K5427" s="10">
        <v>690</v>
      </c>
      <c r="L5427" s="10" t="s">
        <v>28075</v>
      </c>
      <c r="M5427" s="10">
        <v>1</v>
      </c>
      <c r="N5427" s="10"/>
      <c r="O5427" s="10"/>
      <c r="P5427" s="10" t="s">
        <v>28076</v>
      </c>
      <c r="Q5427" s="10">
        <v>370.15</v>
      </c>
      <c r="R5427" s="10" t="s">
        <v>28077</v>
      </c>
      <c r="S5427" s="10" t="s">
        <v>53</v>
      </c>
      <c r="T5427" s="10" t="s">
        <v>54</v>
      </c>
    </row>
    <row r="5428" spans="1:20" ht="14.5" x14ac:dyDescent="0.35">
      <c r="A5428" s="10" t="s">
        <v>28078</v>
      </c>
      <c r="B5428" s="10" t="str">
        <f>""</f>
        <v/>
      </c>
      <c r="C5428" s="10" t="str">
        <f>"9789812778925"</f>
        <v>9789812778925</v>
      </c>
      <c r="D5428" s="10" t="s">
        <v>8571</v>
      </c>
      <c r="E5428" s="10" t="s">
        <v>8572</v>
      </c>
      <c r="F5428" s="10" t="s">
        <v>549</v>
      </c>
      <c r="G5428" s="10" t="s">
        <v>8573</v>
      </c>
      <c r="H5428" s="11">
        <v>39437</v>
      </c>
      <c r="I5428" s="10">
        <v>2008</v>
      </c>
      <c r="J5428" s="10" t="s">
        <v>8574</v>
      </c>
      <c r="K5428" s="10">
        <v>291</v>
      </c>
      <c r="L5428" s="10" t="s">
        <v>28079</v>
      </c>
      <c r="M5428" s="10">
        <v>1</v>
      </c>
      <c r="N5428" s="10"/>
      <c r="O5428" s="10"/>
      <c r="P5428" s="10" t="s">
        <v>28080</v>
      </c>
      <c r="Q5428" s="10">
        <v>373.59570000000002</v>
      </c>
      <c r="R5428" s="10" t="s">
        <v>28081</v>
      </c>
      <c r="S5428" s="10" t="s">
        <v>53</v>
      </c>
      <c r="T5428" s="10" t="s">
        <v>54</v>
      </c>
    </row>
    <row r="5429" spans="1:20" ht="14.5" x14ac:dyDescent="0.35">
      <c r="A5429" s="10" t="s">
        <v>28082</v>
      </c>
      <c r="B5429" s="10" t="str">
        <f>""</f>
        <v/>
      </c>
      <c r="C5429" s="10" t="str">
        <f>"9789812814777"</f>
        <v>9789812814777</v>
      </c>
      <c r="D5429" s="10" t="s">
        <v>8571</v>
      </c>
      <c r="E5429" s="10" t="s">
        <v>8572</v>
      </c>
      <c r="F5429" s="10" t="s">
        <v>549</v>
      </c>
      <c r="G5429" s="10" t="s">
        <v>8573</v>
      </c>
      <c r="H5429" s="11">
        <v>39555</v>
      </c>
      <c r="I5429" s="10">
        <v>2008</v>
      </c>
      <c r="J5429" s="10" t="s">
        <v>8574</v>
      </c>
      <c r="K5429" s="10">
        <v>242</v>
      </c>
      <c r="L5429" s="10" t="s">
        <v>28083</v>
      </c>
      <c r="M5429" s="10">
        <v>1</v>
      </c>
      <c r="N5429" s="10"/>
      <c r="O5429" s="10"/>
      <c r="P5429" s="10" t="s">
        <v>28084</v>
      </c>
      <c r="Q5429" s="10">
        <v>510</v>
      </c>
      <c r="R5429" s="10" t="s">
        <v>28085</v>
      </c>
      <c r="S5429" s="10" t="s">
        <v>53</v>
      </c>
      <c r="T5429" s="10" t="s">
        <v>389</v>
      </c>
    </row>
    <row r="5430" spans="1:20" ht="14.5" x14ac:dyDescent="0.35">
      <c r="A5430" s="10" t="s">
        <v>28086</v>
      </c>
      <c r="B5430" s="10" t="str">
        <f>""</f>
        <v/>
      </c>
      <c r="C5430" s="10" t="str">
        <f>"9789812794949"</f>
        <v>9789812794949</v>
      </c>
      <c r="D5430" s="10" t="s">
        <v>8571</v>
      </c>
      <c r="E5430" s="10" t="s">
        <v>8572</v>
      </c>
      <c r="F5430" s="10" t="s">
        <v>549</v>
      </c>
      <c r="G5430" s="10" t="s">
        <v>8573</v>
      </c>
      <c r="H5430" s="11">
        <v>37970</v>
      </c>
      <c r="I5430" s="10">
        <v>2003</v>
      </c>
      <c r="J5430" s="10" t="s">
        <v>8574</v>
      </c>
      <c r="K5430" s="10">
        <v>119</v>
      </c>
      <c r="L5430" s="10" t="s">
        <v>28087</v>
      </c>
      <c r="M5430" s="10">
        <v>1</v>
      </c>
      <c r="N5430" s="10"/>
      <c r="O5430" s="10"/>
      <c r="P5430" s="10" t="s">
        <v>28088</v>
      </c>
      <c r="Q5430" s="10">
        <v>512.70000000000005</v>
      </c>
      <c r="R5430" s="10" t="s">
        <v>28089</v>
      </c>
      <c r="S5430" s="10" t="s">
        <v>53</v>
      </c>
      <c r="T5430" s="10" t="s">
        <v>389</v>
      </c>
    </row>
    <row r="5431" spans="1:20" ht="14.5" x14ac:dyDescent="0.35">
      <c r="A5431" s="10" t="s">
        <v>28090</v>
      </c>
      <c r="B5431" s="10" t="str">
        <f>"9789812705587"</f>
        <v>9789812705587</v>
      </c>
      <c r="C5431" s="10" t="str">
        <f>"9789812772725"</f>
        <v>9789812772725</v>
      </c>
      <c r="D5431" s="10" t="s">
        <v>8571</v>
      </c>
      <c r="E5431" s="10" t="s">
        <v>8572</v>
      </c>
      <c r="F5431" s="10" t="s">
        <v>549</v>
      </c>
      <c r="G5431" s="10" t="s">
        <v>8573</v>
      </c>
      <c r="H5431" s="11">
        <v>39065</v>
      </c>
      <c r="I5431" s="10">
        <v>2007</v>
      </c>
      <c r="J5431" s="10" t="s">
        <v>8574</v>
      </c>
      <c r="K5431" s="10">
        <v>292</v>
      </c>
      <c r="L5431" s="10" t="s">
        <v>28091</v>
      </c>
      <c r="M5431" s="10">
        <v>1</v>
      </c>
      <c r="N5431" s="10"/>
      <c r="O5431" s="10"/>
      <c r="P5431" s="10" t="s">
        <v>28092</v>
      </c>
      <c r="Q5431" s="10">
        <v>371</v>
      </c>
      <c r="R5431" s="10" t="s">
        <v>12537</v>
      </c>
      <c r="S5431" s="10" t="s">
        <v>53</v>
      </c>
      <c r="T5431" s="10" t="s">
        <v>54</v>
      </c>
    </row>
    <row r="5432" spans="1:20" ht="14.5" x14ac:dyDescent="0.35">
      <c r="A5432" s="10" t="s">
        <v>28093</v>
      </c>
      <c r="B5432" s="10" t="str">
        <f>"9789812568083"</f>
        <v>9789812568083</v>
      </c>
      <c r="C5432" s="10" t="str">
        <f>"9789812773586"</f>
        <v>9789812773586</v>
      </c>
      <c r="D5432" s="10" t="s">
        <v>8571</v>
      </c>
      <c r="E5432" s="10" t="s">
        <v>8572</v>
      </c>
      <c r="F5432" s="10" t="s">
        <v>549</v>
      </c>
      <c r="G5432" s="10" t="s">
        <v>8573</v>
      </c>
      <c r="H5432" s="11">
        <v>38952</v>
      </c>
      <c r="I5432" s="10">
        <v>2006</v>
      </c>
      <c r="J5432" s="10" t="s">
        <v>8574</v>
      </c>
      <c r="K5432" s="10">
        <v>130</v>
      </c>
      <c r="L5432" s="10" t="s">
        <v>28094</v>
      </c>
      <c r="M5432" s="10">
        <v>1</v>
      </c>
      <c r="N5432" s="10"/>
      <c r="O5432" s="10"/>
      <c r="P5432" s="10" t="s">
        <v>28095</v>
      </c>
      <c r="Q5432" s="10">
        <v>610.76</v>
      </c>
      <c r="R5432" s="10" t="s">
        <v>28096</v>
      </c>
      <c r="S5432" s="10" t="s">
        <v>53</v>
      </c>
      <c r="T5432" s="10" t="s">
        <v>8625</v>
      </c>
    </row>
    <row r="5433" spans="1:20" ht="14.5" x14ac:dyDescent="0.35">
      <c r="A5433" s="10" t="s">
        <v>28097</v>
      </c>
      <c r="B5433" s="10" t="str">
        <f>"9789812775993"</f>
        <v>9789812775993</v>
      </c>
      <c r="C5433" s="10" t="str">
        <f>"9789812776006"</f>
        <v>9789812776006</v>
      </c>
      <c r="D5433" s="10" t="s">
        <v>8571</v>
      </c>
      <c r="E5433" s="10" t="s">
        <v>8572</v>
      </c>
      <c r="F5433" s="10" t="s">
        <v>549</v>
      </c>
      <c r="G5433" s="10" t="s">
        <v>8573</v>
      </c>
      <c r="H5433" s="11">
        <v>39372</v>
      </c>
      <c r="I5433" s="10">
        <v>2007</v>
      </c>
      <c r="J5433" s="10" t="s">
        <v>8574</v>
      </c>
      <c r="K5433" s="10">
        <v>256</v>
      </c>
      <c r="L5433" s="10" t="s">
        <v>28098</v>
      </c>
      <c r="M5433" s="10">
        <v>1</v>
      </c>
      <c r="N5433" s="10"/>
      <c r="O5433" s="10"/>
      <c r="P5433" s="10" t="s">
        <v>28099</v>
      </c>
      <c r="Q5433" s="10">
        <v>510.78</v>
      </c>
      <c r="R5433" s="10" t="s">
        <v>28100</v>
      </c>
      <c r="S5433" s="10" t="s">
        <v>53</v>
      </c>
      <c r="T5433" s="10" t="s">
        <v>389</v>
      </c>
    </row>
    <row r="5434" spans="1:20" ht="14.5" x14ac:dyDescent="0.35">
      <c r="A5434" s="10" t="s">
        <v>28101</v>
      </c>
      <c r="B5434" s="10" t="str">
        <f>"9781742234007"</f>
        <v>9781742234007</v>
      </c>
      <c r="C5434" s="10" t="str">
        <f>"9781742246628"</f>
        <v>9781742246628</v>
      </c>
      <c r="D5434" s="10" t="s">
        <v>9215</v>
      </c>
      <c r="E5434" s="10" t="s">
        <v>22531</v>
      </c>
      <c r="F5434" s="10" t="s">
        <v>674</v>
      </c>
      <c r="G5434" s="10" t="s">
        <v>6317</v>
      </c>
      <c r="H5434" s="11">
        <v>41730</v>
      </c>
      <c r="I5434" s="10">
        <v>2014</v>
      </c>
      <c r="J5434" s="10" t="s">
        <v>22531</v>
      </c>
      <c r="K5434" s="10">
        <v>385</v>
      </c>
      <c r="L5434" s="10" t="s">
        <v>28102</v>
      </c>
      <c r="M5434" s="10"/>
      <c r="N5434" s="10"/>
      <c r="O5434" s="10"/>
      <c r="P5434" s="10" t="s">
        <v>28103</v>
      </c>
      <c r="Q5434" s="10" t="s">
        <v>28104</v>
      </c>
      <c r="R5434" s="10" t="s">
        <v>28105</v>
      </c>
      <c r="S5434" s="10" t="s">
        <v>53</v>
      </c>
      <c r="T5434" s="10" t="s">
        <v>54</v>
      </c>
    </row>
    <row r="5435" spans="1:20" ht="14.5" x14ac:dyDescent="0.35">
      <c r="A5435" s="10" t="s">
        <v>28106</v>
      </c>
      <c r="B5435" s="10" t="str">
        <f>"9780415532334"</f>
        <v>9780415532334</v>
      </c>
      <c r="C5435" s="10" t="str">
        <f>"9781136293122"</f>
        <v>9781136293122</v>
      </c>
      <c r="D5435" s="10" t="s">
        <v>6350</v>
      </c>
      <c r="E5435" s="10" t="s">
        <v>6351</v>
      </c>
      <c r="F5435" s="10" t="s">
        <v>748</v>
      </c>
      <c r="G5435" s="10" t="s">
        <v>6352</v>
      </c>
      <c r="H5435" s="11">
        <v>41725</v>
      </c>
      <c r="I5435" s="10">
        <v>2014</v>
      </c>
      <c r="J5435" s="10" t="s">
        <v>6351</v>
      </c>
      <c r="K5435" s="10">
        <v>571</v>
      </c>
      <c r="L5435" s="10" t="s">
        <v>28107</v>
      </c>
      <c r="M5435" s="10">
        <v>2</v>
      </c>
      <c r="N5435" s="10" t="s">
        <v>24504</v>
      </c>
      <c r="O5435" s="10"/>
      <c r="P5435" s="10" t="s">
        <v>28108</v>
      </c>
      <c r="Q5435" s="10">
        <v>370.11399999999998</v>
      </c>
      <c r="R5435" s="10" t="s">
        <v>28109</v>
      </c>
      <c r="S5435" s="10" t="s">
        <v>53</v>
      </c>
      <c r="T5435" s="10" t="s">
        <v>54</v>
      </c>
    </row>
    <row r="5436" spans="1:20" ht="14.5" x14ac:dyDescent="0.35">
      <c r="A5436" s="10" t="s">
        <v>28110</v>
      </c>
      <c r="B5436" s="10" t="str">
        <f>"9780415934664"</f>
        <v>9780415934664</v>
      </c>
      <c r="C5436" s="10" t="str">
        <f>"9781136798085"</f>
        <v>9781136798085</v>
      </c>
      <c r="D5436" s="10" t="s">
        <v>6350</v>
      </c>
      <c r="E5436" s="10" t="s">
        <v>6351</v>
      </c>
      <c r="F5436" s="10" t="s">
        <v>139</v>
      </c>
      <c r="G5436" s="10" t="s">
        <v>6352</v>
      </c>
      <c r="H5436" s="11">
        <v>37470</v>
      </c>
      <c r="I5436" s="10">
        <v>2002</v>
      </c>
      <c r="J5436" s="10" t="s">
        <v>6353</v>
      </c>
      <c r="K5436" s="10">
        <v>301</v>
      </c>
      <c r="L5436" s="10" t="s">
        <v>28111</v>
      </c>
      <c r="M5436" s="10">
        <v>1</v>
      </c>
      <c r="N5436" s="10" t="s">
        <v>18188</v>
      </c>
      <c r="O5436" s="10"/>
      <c r="P5436" s="10" t="s">
        <v>28112</v>
      </c>
      <c r="Q5436" s="10" t="s">
        <v>28113</v>
      </c>
      <c r="R5436" s="10" t="s">
        <v>28114</v>
      </c>
      <c r="S5436" s="10" t="s">
        <v>53</v>
      </c>
      <c r="T5436" s="10" t="s">
        <v>54</v>
      </c>
    </row>
    <row r="5437" spans="1:20" ht="14.5" x14ac:dyDescent="0.35">
      <c r="A5437" s="10" t="s">
        <v>28115</v>
      </c>
      <c r="B5437" s="10" t="str">
        <f>"9781483350967"</f>
        <v>9781483350967</v>
      </c>
      <c r="C5437" s="10" t="str">
        <f>"9781483320571"</f>
        <v>9781483320571</v>
      </c>
      <c r="D5437" s="10" t="s">
        <v>22210</v>
      </c>
      <c r="E5437" s="10" t="s">
        <v>22211</v>
      </c>
      <c r="F5437" s="10" t="s">
        <v>333</v>
      </c>
      <c r="G5437" s="10" t="s">
        <v>6317</v>
      </c>
      <c r="H5437" s="11">
        <v>41759</v>
      </c>
      <c r="I5437" s="10">
        <v>2014</v>
      </c>
      <c r="J5437" s="10" t="s">
        <v>22211</v>
      </c>
      <c r="K5437" s="10">
        <v>177</v>
      </c>
      <c r="L5437" s="10" t="s">
        <v>28116</v>
      </c>
      <c r="M5437" s="10">
        <v>1</v>
      </c>
      <c r="N5437" s="10"/>
      <c r="O5437" s="10"/>
      <c r="P5437" s="10" t="s">
        <v>28117</v>
      </c>
      <c r="Q5437" s="10">
        <v>371.10199999999998</v>
      </c>
      <c r="R5437" s="10" t="s">
        <v>28118</v>
      </c>
      <c r="S5437" s="10" t="s">
        <v>53</v>
      </c>
      <c r="T5437" s="10" t="s">
        <v>54</v>
      </c>
    </row>
    <row r="5438" spans="1:20" ht="14.5" x14ac:dyDescent="0.35">
      <c r="A5438" s="10" t="s">
        <v>28119</v>
      </c>
      <c r="B5438" s="10" t="str">
        <f>"9781118917459"</f>
        <v>9781118917459</v>
      </c>
      <c r="C5438" s="10" t="str">
        <f>"9781118917473"</f>
        <v>9781118917473</v>
      </c>
      <c r="D5438" s="10" t="s">
        <v>6322</v>
      </c>
      <c r="E5438" s="10" t="s">
        <v>6323</v>
      </c>
      <c r="F5438" s="10" t="s">
        <v>6339</v>
      </c>
      <c r="G5438" s="10" t="s">
        <v>6317</v>
      </c>
      <c r="H5438" s="11">
        <v>41771</v>
      </c>
      <c r="I5438" s="10">
        <v>2014</v>
      </c>
      <c r="J5438" s="10" t="s">
        <v>6324</v>
      </c>
      <c r="K5438" s="10">
        <v>151</v>
      </c>
      <c r="L5438" s="10" t="s">
        <v>28120</v>
      </c>
      <c r="M5438" s="10">
        <v>1</v>
      </c>
      <c r="N5438" s="10" t="s">
        <v>23322</v>
      </c>
      <c r="O5438" s="10" t="s">
        <v>28121</v>
      </c>
      <c r="P5438" s="10" t="s">
        <v>28122</v>
      </c>
      <c r="Q5438" s="10">
        <v>378.10300000000001</v>
      </c>
      <c r="R5438" s="10" t="s">
        <v>28123</v>
      </c>
      <c r="S5438" s="10" t="s">
        <v>53</v>
      </c>
      <c r="T5438" s="10" t="s">
        <v>54</v>
      </c>
    </row>
    <row r="5439" spans="1:20" ht="14.5" x14ac:dyDescent="0.35">
      <c r="A5439" s="10" t="s">
        <v>28124</v>
      </c>
      <c r="B5439" s="10" t="str">
        <f>"9780803958630"</f>
        <v>9780803958630</v>
      </c>
      <c r="C5439" s="10" t="str">
        <f>"9781452247601"</f>
        <v>9781452247601</v>
      </c>
      <c r="D5439" s="10" t="s">
        <v>22210</v>
      </c>
      <c r="E5439" s="10" t="s">
        <v>22214</v>
      </c>
      <c r="F5439" s="10" t="s">
        <v>333</v>
      </c>
      <c r="G5439" s="10" t="s">
        <v>6317</v>
      </c>
      <c r="H5439" s="11">
        <v>34914</v>
      </c>
      <c r="I5439" s="10">
        <v>1995</v>
      </c>
      <c r="J5439" s="10" t="s">
        <v>22214</v>
      </c>
      <c r="K5439" s="10">
        <v>265</v>
      </c>
      <c r="L5439" s="10" t="s">
        <v>28125</v>
      </c>
      <c r="M5439" s="10">
        <v>1</v>
      </c>
      <c r="N5439" s="10"/>
      <c r="O5439" s="10"/>
      <c r="P5439" s="10" t="s">
        <v>28126</v>
      </c>
      <c r="Q5439" s="10"/>
      <c r="R5439" s="10"/>
      <c r="S5439" s="10" t="s">
        <v>53</v>
      </c>
      <c r="T5439" s="10" t="s">
        <v>483</v>
      </c>
    </row>
    <row r="5440" spans="1:20" ht="14.5" x14ac:dyDescent="0.35">
      <c r="A5440" s="10" t="s">
        <v>28127</v>
      </c>
      <c r="B5440" s="10" t="str">
        <f>"9781623563523"</f>
        <v>9781623563523</v>
      </c>
      <c r="C5440" s="10" t="str">
        <f>"9781623566890"</f>
        <v>9781623566890</v>
      </c>
      <c r="D5440" s="10" t="s">
        <v>9777</v>
      </c>
      <c r="E5440" s="10" t="s">
        <v>23825</v>
      </c>
      <c r="F5440" s="10" t="s">
        <v>70</v>
      </c>
      <c r="G5440" s="10" t="s">
        <v>6317</v>
      </c>
      <c r="H5440" s="11">
        <v>41823</v>
      </c>
      <c r="I5440" s="10">
        <v>2014</v>
      </c>
      <c r="J5440" s="10" t="s">
        <v>23825</v>
      </c>
      <c r="K5440" s="10">
        <v>289</v>
      </c>
      <c r="L5440" s="10" t="s">
        <v>28128</v>
      </c>
      <c r="M5440" s="10">
        <v>1</v>
      </c>
      <c r="N5440" s="10" t="s">
        <v>23827</v>
      </c>
      <c r="O5440" s="10"/>
      <c r="P5440" s="10" t="s">
        <v>28129</v>
      </c>
      <c r="Q5440" s="10">
        <v>370.11500000000001</v>
      </c>
      <c r="R5440" s="10" t="s">
        <v>28130</v>
      </c>
      <c r="S5440" s="10" t="s">
        <v>53</v>
      </c>
      <c r="T5440" s="10" t="s">
        <v>54</v>
      </c>
    </row>
    <row r="5441" spans="1:20" ht="14.5" x14ac:dyDescent="0.35">
      <c r="A5441" s="10" t="s">
        <v>28131</v>
      </c>
      <c r="B5441" s="10" t="str">
        <f>"9781443857123"</f>
        <v>9781443857123</v>
      </c>
      <c r="C5441" s="10" t="str">
        <f>"9781443859646"</f>
        <v>9781443859646</v>
      </c>
      <c r="D5441" s="10" t="s">
        <v>23635</v>
      </c>
      <c r="E5441" s="10" t="s">
        <v>23635</v>
      </c>
      <c r="F5441" s="10" t="s">
        <v>23636</v>
      </c>
      <c r="G5441" s="10" t="s">
        <v>6352</v>
      </c>
      <c r="H5441" s="11">
        <v>41767</v>
      </c>
      <c r="I5441" s="10">
        <v>2014</v>
      </c>
      <c r="J5441" s="10" t="s">
        <v>23635</v>
      </c>
      <c r="K5441" s="10">
        <v>428</v>
      </c>
      <c r="L5441" s="10" t="s">
        <v>28132</v>
      </c>
      <c r="M5441" s="10">
        <v>1</v>
      </c>
      <c r="N5441" s="10"/>
      <c r="O5441" s="10"/>
      <c r="P5441" s="10" t="s">
        <v>28133</v>
      </c>
      <c r="Q5441" s="10">
        <v>372.21094099999999</v>
      </c>
      <c r="R5441" s="10" t="s">
        <v>28134</v>
      </c>
      <c r="S5441" s="10" t="s">
        <v>53</v>
      </c>
      <c r="T5441" s="10" t="s">
        <v>54</v>
      </c>
    </row>
    <row r="5442" spans="1:20" ht="14.5" x14ac:dyDescent="0.35">
      <c r="A5442" s="10" t="s">
        <v>28135</v>
      </c>
      <c r="B5442" s="10" t="str">
        <f>"9781118567616"</f>
        <v>9781118567616</v>
      </c>
      <c r="C5442" s="10" t="str">
        <f>"9781118584866"</f>
        <v>9781118584866</v>
      </c>
      <c r="D5442" s="10" t="s">
        <v>6322</v>
      </c>
      <c r="E5442" s="10" t="s">
        <v>6323</v>
      </c>
      <c r="F5442" s="10" t="s">
        <v>4423</v>
      </c>
      <c r="G5442" s="10" t="s">
        <v>6317</v>
      </c>
      <c r="H5442" s="11">
        <v>41799</v>
      </c>
      <c r="I5442" s="10">
        <v>2014</v>
      </c>
      <c r="J5442" s="10" t="s">
        <v>6324</v>
      </c>
      <c r="K5442" s="10">
        <v>290</v>
      </c>
      <c r="L5442" s="10" t="s">
        <v>28136</v>
      </c>
      <c r="M5442" s="10">
        <v>1</v>
      </c>
      <c r="N5442" s="10"/>
      <c r="O5442" s="10"/>
      <c r="P5442" s="10"/>
      <c r="Q5442" s="10" t="s">
        <v>6942</v>
      </c>
      <c r="R5442" s="10" t="s">
        <v>28137</v>
      </c>
      <c r="S5442" s="10" t="s">
        <v>53</v>
      </c>
      <c r="T5442" s="10" t="s">
        <v>54</v>
      </c>
    </row>
    <row r="5443" spans="1:20" ht="14.5" x14ac:dyDescent="0.35">
      <c r="A5443" s="10" t="s">
        <v>28138</v>
      </c>
      <c r="B5443" s="10" t="str">
        <f>"9780415703130"</f>
        <v>9780415703130</v>
      </c>
      <c r="C5443" s="10" t="str">
        <f>"9781317687016"</f>
        <v>9781317687016</v>
      </c>
      <c r="D5443" s="10" t="s">
        <v>6350</v>
      </c>
      <c r="E5443" s="10" t="s">
        <v>6351</v>
      </c>
      <c r="F5443" s="10" t="s">
        <v>748</v>
      </c>
      <c r="G5443" s="10" t="s">
        <v>6352</v>
      </c>
      <c r="H5443" s="11">
        <v>41771</v>
      </c>
      <c r="I5443" s="10">
        <v>2014</v>
      </c>
      <c r="J5443" s="10" t="s">
        <v>6351</v>
      </c>
      <c r="K5443" s="10">
        <v>157</v>
      </c>
      <c r="L5443" s="10" t="s">
        <v>28139</v>
      </c>
      <c r="M5443" s="10">
        <v>1</v>
      </c>
      <c r="N5443" s="10"/>
      <c r="O5443" s="10"/>
      <c r="P5443" s="10" t="s">
        <v>28140</v>
      </c>
      <c r="Q5443" s="10">
        <v>372.66094099999998</v>
      </c>
      <c r="R5443" s="10" t="s">
        <v>28141</v>
      </c>
      <c r="S5443" s="10" t="s">
        <v>53</v>
      </c>
      <c r="T5443" s="10" t="s">
        <v>6881</v>
      </c>
    </row>
    <row r="5444" spans="1:20" ht="14.5" x14ac:dyDescent="0.35">
      <c r="A5444" s="10" t="s">
        <v>28142</v>
      </c>
      <c r="B5444" s="10" t="str">
        <f>"9781462516209"</f>
        <v>9781462516209</v>
      </c>
      <c r="C5444" s="10" t="str">
        <f>"9781462516254"</f>
        <v>9781462516254</v>
      </c>
      <c r="D5444" s="10" t="s">
        <v>11213</v>
      </c>
      <c r="E5444" s="10" t="s">
        <v>11214</v>
      </c>
      <c r="F5444" s="10" t="s">
        <v>70</v>
      </c>
      <c r="G5444" s="10" t="s">
        <v>6317</v>
      </c>
      <c r="H5444" s="11">
        <v>41795</v>
      </c>
      <c r="I5444" s="10">
        <v>2014</v>
      </c>
      <c r="J5444" s="10" t="s">
        <v>11215</v>
      </c>
      <c r="K5444" s="10">
        <v>194</v>
      </c>
      <c r="L5444" s="10" t="s">
        <v>28143</v>
      </c>
      <c r="M5444" s="10">
        <v>1</v>
      </c>
      <c r="N5444" s="10" t="s">
        <v>12889</v>
      </c>
      <c r="O5444" s="10"/>
      <c r="P5444" s="10" t="s">
        <v>28144</v>
      </c>
      <c r="Q5444" s="10" t="s">
        <v>28145</v>
      </c>
      <c r="R5444" s="10" t="s">
        <v>28146</v>
      </c>
      <c r="S5444" s="10" t="s">
        <v>53</v>
      </c>
      <c r="T5444" s="10" t="s">
        <v>54</v>
      </c>
    </row>
    <row r="5445" spans="1:20" ht="14.5" x14ac:dyDescent="0.35">
      <c r="A5445" s="10" t="s">
        <v>28147</v>
      </c>
      <c r="B5445" s="10" t="str">
        <f>"9781559590334"</f>
        <v>9781559590334</v>
      </c>
      <c r="C5445" s="10" t="str">
        <f>"9781317757047"</f>
        <v>9781317757047</v>
      </c>
      <c r="D5445" s="10" t="s">
        <v>6350</v>
      </c>
      <c r="E5445" s="10" t="s">
        <v>6351</v>
      </c>
      <c r="F5445" s="10" t="s">
        <v>5406</v>
      </c>
      <c r="G5445" s="10" t="s">
        <v>6352</v>
      </c>
      <c r="H5445" s="11">
        <v>33725</v>
      </c>
      <c r="I5445" s="10">
        <v>1992</v>
      </c>
      <c r="J5445" s="10" t="s">
        <v>6353</v>
      </c>
      <c r="K5445" s="10">
        <v>169</v>
      </c>
      <c r="L5445" s="10" t="s">
        <v>28148</v>
      </c>
      <c r="M5445" s="10">
        <v>1</v>
      </c>
      <c r="N5445" s="10"/>
      <c r="O5445" s="10"/>
      <c r="P5445" s="10" t="s">
        <v>28149</v>
      </c>
      <c r="Q5445" s="10">
        <v>370.19600000000003</v>
      </c>
      <c r="R5445" s="10" t="s">
        <v>28150</v>
      </c>
      <c r="S5445" s="10" t="s">
        <v>53</v>
      </c>
      <c r="T5445" s="10" t="s">
        <v>54</v>
      </c>
    </row>
    <row r="5446" spans="1:20" ht="14.5" x14ac:dyDescent="0.35">
      <c r="A5446" s="10" t="s">
        <v>28151</v>
      </c>
      <c r="B5446" s="10" t="str">
        <f>"9780833084996"</f>
        <v>9780833084996</v>
      </c>
      <c r="C5446" s="10" t="str">
        <f>"9780833086624"</f>
        <v>9780833086624</v>
      </c>
      <c r="D5446" s="10" t="s">
        <v>8134</v>
      </c>
      <c r="E5446" s="10" t="s">
        <v>8135</v>
      </c>
      <c r="F5446" s="10" t="s">
        <v>8136</v>
      </c>
      <c r="G5446" s="10" t="s">
        <v>6317</v>
      </c>
      <c r="H5446" s="11">
        <v>41730</v>
      </c>
      <c r="I5446" s="10">
        <v>2014</v>
      </c>
      <c r="J5446" s="10" t="s">
        <v>8135</v>
      </c>
      <c r="K5446" s="10">
        <v>30</v>
      </c>
      <c r="L5446" s="10" t="s">
        <v>28152</v>
      </c>
      <c r="M5446" s="10">
        <v>1</v>
      </c>
      <c r="N5446" s="10" t="s">
        <v>28153</v>
      </c>
      <c r="O5446" s="10" t="s">
        <v>28154</v>
      </c>
      <c r="P5446" s="10" t="s">
        <v>28155</v>
      </c>
      <c r="Q5446" s="10">
        <v>372.21097949300002</v>
      </c>
      <c r="R5446" s="10" t="s">
        <v>28156</v>
      </c>
      <c r="S5446" s="10" t="s">
        <v>53</v>
      </c>
      <c r="T5446" s="10" t="s">
        <v>54</v>
      </c>
    </row>
    <row r="5447" spans="1:20" ht="14.5" x14ac:dyDescent="0.35">
      <c r="A5447" s="10" t="s">
        <v>28157</v>
      </c>
      <c r="B5447" s="10" t="str">
        <f>"9781920677039"</f>
        <v>9781920677039</v>
      </c>
      <c r="C5447" s="10" t="str">
        <f>"9781920677527"</f>
        <v>9781920677527</v>
      </c>
      <c r="D5447" s="10" t="s">
        <v>24820</v>
      </c>
      <c r="E5447" s="10" t="s">
        <v>24825</v>
      </c>
      <c r="F5447" s="10" t="s">
        <v>748</v>
      </c>
      <c r="G5447" s="10" t="s">
        <v>24826</v>
      </c>
      <c r="H5447" s="11">
        <v>41699</v>
      </c>
      <c r="I5447" s="10">
        <v>2014</v>
      </c>
      <c r="J5447" s="10" t="s">
        <v>24825</v>
      </c>
      <c r="K5447" s="10">
        <v>122</v>
      </c>
      <c r="L5447" s="10" t="s">
        <v>28158</v>
      </c>
      <c r="M5447" s="10">
        <v>1</v>
      </c>
      <c r="N5447" s="10"/>
      <c r="O5447" s="10"/>
      <c r="P5447" s="10" t="s">
        <v>28159</v>
      </c>
      <c r="Q5447" s="10">
        <v>338.43378000000001</v>
      </c>
      <c r="R5447" s="10" t="s">
        <v>28160</v>
      </c>
      <c r="S5447" s="10" t="s">
        <v>53</v>
      </c>
      <c r="T5447" s="10" t="s">
        <v>7769</v>
      </c>
    </row>
    <row r="5448" spans="1:20" ht="14.5" x14ac:dyDescent="0.35">
      <c r="A5448" s="10" t="s">
        <v>28161</v>
      </c>
      <c r="B5448" s="10" t="str">
        <f>"9780833085962"</f>
        <v>9780833085962</v>
      </c>
      <c r="C5448" s="10" t="str">
        <f>"9780833086617"</f>
        <v>9780833086617</v>
      </c>
      <c r="D5448" s="10" t="s">
        <v>8134</v>
      </c>
      <c r="E5448" s="10" t="s">
        <v>8135</v>
      </c>
      <c r="F5448" s="10" t="s">
        <v>8136</v>
      </c>
      <c r="G5448" s="10" t="s">
        <v>6317</v>
      </c>
      <c r="H5448" s="11">
        <v>41767</v>
      </c>
      <c r="I5448" s="10">
        <v>2014</v>
      </c>
      <c r="J5448" s="10" t="s">
        <v>8135</v>
      </c>
      <c r="K5448" s="10">
        <v>209</v>
      </c>
      <c r="L5448" s="10" t="s">
        <v>28162</v>
      </c>
      <c r="M5448" s="10">
        <v>1</v>
      </c>
      <c r="N5448" s="10" t="s">
        <v>28153</v>
      </c>
      <c r="O5448" s="10" t="s">
        <v>28154</v>
      </c>
      <c r="P5448" s="10" t="s">
        <v>28155</v>
      </c>
      <c r="Q5448" s="10">
        <v>372.21097949300002</v>
      </c>
      <c r="R5448" s="10" t="s">
        <v>28156</v>
      </c>
      <c r="S5448" s="10" t="s">
        <v>53</v>
      </c>
      <c r="T5448" s="10" t="s">
        <v>54</v>
      </c>
    </row>
    <row r="5449" spans="1:20" ht="14.5" x14ac:dyDescent="0.35">
      <c r="A5449" s="10" t="s">
        <v>28163</v>
      </c>
      <c r="B5449" s="10" t="str">
        <f>"9780761945185"</f>
        <v>9780761945185</v>
      </c>
      <c r="C5449" s="10" t="str">
        <f>"9781483362847"</f>
        <v>9781483362847</v>
      </c>
      <c r="D5449" s="10" t="s">
        <v>22210</v>
      </c>
      <c r="E5449" s="10" t="s">
        <v>22211</v>
      </c>
      <c r="F5449" s="10" t="s">
        <v>333</v>
      </c>
      <c r="G5449" s="10" t="s">
        <v>6317</v>
      </c>
      <c r="H5449" s="11">
        <v>37417</v>
      </c>
      <c r="I5449" s="10">
        <v>2002</v>
      </c>
      <c r="J5449" s="10" t="s">
        <v>22211</v>
      </c>
      <c r="K5449" s="10">
        <v>201</v>
      </c>
      <c r="L5449" s="10" t="s">
        <v>28164</v>
      </c>
      <c r="M5449" s="10">
        <v>1</v>
      </c>
      <c r="N5449" s="10"/>
      <c r="O5449" s="10"/>
      <c r="P5449" s="10" t="s">
        <v>28165</v>
      </c>
      <c r="Q5449" s="10"/>
      <c r="R5449" s="10"/>
      <c r="S5449" s="10" t="s">
        <v>53</v>
      </c>
      <c r="T5449" s="10" t="s">
        <v>54</v>
      </c>
    </row>
    <row r="5450" spans="1:20" ht="14.5" x14ac:dyDescent="0.35">
      <c r="A5450" s="10" t="s">
        <v>28166</v>
      </c>
      <c r="B5450" s="10" t="str">
        <f>"9780761946359"</f>
        <v>9780761946359</v>
      </c>
      <c r="C5450" s="10" t="str">
        <f>"9781483363059"</f>
        <v>9781483363059</v>
      </c>
      <c r="D5450" s="10" t="s">
        <v>22210</v>
      </c>
      <c r="E5450" s="10" t="s">
        <v>22211</v>
      </c>
      <c r="F5450" s="10" t="s">
        <v>333</v>
      </c>
      <c r="G5450" s="10" t="s">
        <v>6317</v>
      </c>
      <c r="H5450" s="11">
        <v>37628</v>
      </c>
      <c r="I5450" s="10">
        <v>2003</v>
      </c>
      <c r="J5450" s="10" t="s">
        <v>22211</v>
      </c>
      <c r="K5450" s="10">
        <v>193</v>
      </c>
      <c r="L5450" s="10" t="s">
        <v>28167</v>
      </c>
      <c r="M5450" s="10">
        <v>1</v>
      </c>
      <c r="N5450" s="10"/>
      <c r="O5450" s="10"/>
      <c r="P5450" s="10" t="s">
        <v>28168</v>
      </c>
      <c r="Q5450" s="10" t="s">
        <v>27675</v>
      </c>
      <c r="R5450" s="10"/>
      <c r="S5450" s="10" t="s">
        <v>53</v>
      </c>
      <c r="T5450" s="10" t="s">
        <v>54</v>
      </c>
    </row>
    <row r="5451" spans="1:20" ht="14.5" x14ac:dyDescent="0.35">
      <c r="A5451" s="10" t="s">
        <v>28169</v>
      </c>
      <c r="B5451" s="10" t="str">
        <f>"9781118456187"</f>
        <v>9781118456187</v>
      </c>
      <c r="C5451" s="10" t="str">
        <f>"9781118889329"</f>
        <v>9781118889329</v>
      </c>
      <c r="D5451" s="10" t="s">
        <v>6322</v>
      </c>
      <c r="E5451" s="10" t="s">
        <v>6323</v>
      </c>
      <c r="F5451" s="10" t="s">
        <v>4423</v>
      </c>
      <c r="G5451" s="10" t="s">
        <v>6317</v>
      </c>
      <c r="H5451" s="11">
        <v>41806</v>
      </c>
      <c r="I5451" s="10">
        <v>2014</v>
      </c>
      <c r="J5451" s="10" t="s">
        <v>6324</v>
      </c>
      <c r="K5451" s="10">
        <v>466</v>
      </c>
      <c r="L5451" s="10" t="s">
        <v>28170</v>
      </c>
      <c r="M5451" s="10">
        <v>1</v>
      </c>
      <c r="N5451" s="10"/>
      <c r="O5451" s="10"/>
      <c r="P5451" s="10"/>
      <c r="Q5451" s="10"/>
      <c r="R5451" s="10" t="s">
        <v>28171</v>
      </c>
      <c r="S5451" s="10" t="s">
        <v>53</v>
      </c>
      <c r="T5451" s="10" t="s">
        <v>54</v>
      </c>
    </row>
    <row r="5452" spans="1:20" ht="14.5" x14ac:dyDescent="0.35">
      <c r="A5452" s="10" t="s">
        <v>28172</v>
      </c>
      <c r="B5452" s="10" t="str">
        <f>"9781780490342"</f>
        <v>9781780490342</v>
      </c>
      <c r="C5452" s="10" t="str">
        <f>"9781782411666"</f>
        <v>9781782411666</v>
      </c>
      <c r="D5452" s="10" t="s">
        <v>6350</v>
      </c>
      <c r="E5452" s="10" t="s">
        <v>6351</v>
      </c>
      <c r="F5452" s="10" t="s">
        <v>139</v>
      </c>
      <c r="G5452" s="10" t="s">
        <v>6352</v>
      </c>
      <c r="H5452" s="11">
        <v>41781</v>
      </c>
      <c r="I5452" s="10">
        <v>2014</v>
      </c>
      <c r="J5452" s="10" t="s">
        <v>6353</v>
      </c>
      <c r="K5452" s="10">
        <v>260</v>
      </c>
      <c r="L5452" s="10" t="s">
        <v>28173</v>
      </c>
      <c r="M5452" s="10">
        <v>1</v>
      </c>
      <c r="N5452" s="10"/>
      <c r="O5452" s="10"/>
      <c r="P5452" s="10" t="s">
        <v>28174</v>
      </c>
      <c r="Q5452" s="10">
        <v>371.9</v>
      </c>
      <c r="R5452" s="10" t="s">
        <v>28175</v>
      </c>
      <c r="S5452" s="10" t="s">
        <v>53</v>
      </c>
      <c r="T5452" s="10" t="s">
        <v>54</v>
      </c>
    </row>
    <row r="5453" spans="1:20" ht="14.5" x14ac:dyDescent="0.35">
      <c r="A5453" s="10" t="s">
        <v>28176</v>
      </c>
      <c r="B5453" s="10" t="str">
        <f>"9781605543680"</f>
        <v>9781605543680</v>
      </c>
      <c r="C5453" s="10" t="str">
        <f>"9781605543697"</f>
        <v>9781605543697</v>
      </c>
      <c r="D5453" s="10" t="s">
        <v>9533</v>
      </c>
      <c r="E5453" s="10" t="s">
        <v>25518</v>
      </c>
      <c r="F5453" s="10" t="s">
        <v>25519</v>
      </c>
      <c r="G5453" s="10" t="s">
        <v>6317</v>
      </c>
      <c r="H5453" s="11">
        <v>41904</v>
      </c>
      <c r="I5453" s="10">
        <v>2014</v>
      </c>
      <c r="J5453" s="10" t="s">
        <v>25518</v>
      </c>
      <c r="K5453" s="10">
        <v>161</v>
      </c>
      <c r="L5453" s="10" t="s">
        <v>28177</v>
      </c>
      <c r="M5453" s="10">
        <v>2</v>
      </c>
      <c r="N5453" s="10"/>
      <c r="O5453" s="10"/>
      <c r="P5453" s="10" t="s">
        <v>28178</v>
      </c>
      <c r="Q5453" s="10">
        <v>372.21097300000002</v>
      </c>
      <c r="R5453" s="10" t="s">
        <v>28179</v>
      </c>
      <c r="S5453" s="10" t="s">
        <v>53</v>
      </c>
      <c r="T5453" s="10" t="s">
        <v>54</v>
      </c>
    </row>
    <row r="5454" spans="1:20" ht="14.5" x14ac:dyDescent="0.35">
      <c r="A5454" s="10" t="s">
        <v>28180</v>
      </c>
      <c r="B5454" s="10" t="str">
        <f>"9789004264120"</f>
        <v>9789004264120</v>
      </c>
      <c r="C5454" s="10" t="str">
        <f>"9789004276451"</f>
        <v>9789004276451</v>
      </c>
      <c r="D5454" s="10" t="s">
        <v>8564</v>
      </c>
      <c r="E5454" s="10" t="s">
        <v>8565</v>
      </c>
      <c r="F5454" s="10" t="s">
        <v>1420</v>
      </c>
      <c r="G5454" s="10" t="s">
        <v>6317</v>
      </c>
      <c r="H5454" s="11">
        <v>41768</v>
      </c>
      <c r="I5454" s="10">
        <v>2014</v>
      </c>
      <c r="J5454" s="10" t="s">
        <v>8565</v>
      </c>
      <c r="K5454" s="10">
        <v>312</v>
      </c>
      <c r="L5454" s="10" t="s">
        <v>28181</v>
      </c>
      <c r="M5454" s="10">
        <v>1</v>
      </c>
      <c r="N5454" s="10" t="s">
        <v>10126</v>
      </c>
      <c r="O5454" s="10">
        <v>48</v>
      </c>
      <c r="P5454" s="10" t="s">
        <v>28182</v>
      </c>
      <c r="Q5454" s="10">
        <v>370.15230000000003</v>
      </c>
      <c r="R5454" s="10" t="s">
        <v>28183</v>
      </c>
      <c r="S5454" s="10" t="s">
        <v>53</v>
      </c>
      <c r="T5454" s="10" t="s">
        <v>54</v>
      </c>
    </row>
    <row r="5455" spans="1:20" ht="14.5" x14ac:dyDescent="0.35">
      <c r="A5455" s="10" t="s">
        <v>28184</v>
      </c>
      <c r="B5455" s="10" t="str">
        <f>"9780816680900"</f>
        <v>9780816680900</v>
      </c>
      <c r="C5455" s="10" t="str">
        <f>"9781452941837"</f>
        <v>9781452941837</v>
      </c>
      <c r="D5455" s="10" t="s">
        <v>11428</v>
      </c>
      <c r="E5455" s="10" t="s">
        <v>11428</v>
      </c>
      <c r="F5455" s="10" t="s">
        <v>2186</v>
      </c>
      <c r="G5455" s="10" t="s">
        <v>6317</v>
      </c>
      <c r="H5455" s="11">
        <v>41759</v>
      </c>
      <c r="I5455" s="10">
        <v>2014</v>
      </c>
      <c r="J5455" s="10" t="s">
        <v>11428</v>
      </c>
      <c r="K5455" s="10">
        <v>394</v>
      </c>
      <c r="L5455" s="10" t="s">
        <v>28185</v>
      </c>
      <c r="M5455" s="10">
        <v>1</v>
      </c>
      <c r="N5455" s="10"/>
      <c r="O5455" s="10"/>
      <c r="P5455" s="10" t="s">
        <v>28186</v>
      </c>
      <c r="Q5455" s="10">
        <v>371.01097299999998</v>
      </c>
      <c r="R5455" s="10" t="s">
        <v>28187</v>
      </c>
      <c r="S5455" s="10" t="s">
        <v>53</v>
      </c>
      <c r="T5455" s="10" t="s">
        <v>54</v>
      </c>
    </row>
    <row r="5456" spans="1:20" ht="14.5" x14ac:dyDescent="0.35">
      <c r="A5456" s="10" t="s">
        <v>28188</v>
      </c>
      <c r="B5456" s="10" t="str">
        <f>"9780816681655"</f>
        <v>9780816681655</v>
      </c>
      <c r="C5456" s="10" t="str">
        <f>"9781452941684"</f>
        <v>9781452941684</v>
      </c>
      <c r="D5456" s="10" t="s">
        <v>11428</v>
      </c>
      <c r="E5456" s="10" t="s">
        <v>11428</v>
      </c>
      <c r="F5456" s="10" t="s">
        <v>2186</v>
      </c>
      <c r="G5456" s="10" t="s">
        <v>6317</v>
      </c>
      <c r="H5456" s="11">
        <v>41750</v>
      </c>
      <c r="I5456" s="10">
        <v>2014</v>
      </c>
      <c r="J5456" s="10" t="s">
        <v>11428</v>
      </c>
      <c r="K5456" s="10">
        <v>212</v>
      </c>
      <c r="L5456" s="10" t="s">
        <v>28189</v>
      </c>
      <c r="M5456" s="10">
        <v>1</v>
      </c>
      <c r="N5456" s="10"/>
      <c r="O5456" s="10"/>
      <c r="P5456" s="10" t="s">
        <v>28190</v>
      </c>
      <c r="Q5456" s="10">
        <v>370.8909792</v>
      </c>
      <c r="R5456" s="10" t="s">
        <v>28191</v>
      </c>
      <c r="S5456" s="10" t="s">
        <v>53</v>
      </c>
      <c r="T5456" s="10" t="s">
        <v>54</v>
      </c>
    </row>
    <row r="5457" spans="1:20" ht="14.5" x14ac:dyDescent="0.35">
      <c r="A5457" s="10" t="s">
        <v>28192</v>
      </c>
      <c r="B5457" s="10" t="str">
        <f>"9780415934930"</f>
        <v>9780415934930</v>
      </c>
      <c r="C5457" s="10" t="str">
        <f>"9781136706011"</f>
        <v>9781136706011</v>
      </c>
      <c r="D5457" s="10" t="s">
        <v>6350</v>
      </c>
      <c r="E5457" s="10" t="s">
        <v>6351</v>
      </c>
      <c r="F5457" s="10" t="s">
        <v>70</v>
      </c>
      <c r="G5457" s="10" t="s">
        <v>6352</v>
      </c>
      <c r="H5457" s="11">
        <v>37519</v>
      </c>
      <c r="I5457" s="10">
        <v>2003</v>
      </c>
      <c r="J5457" s="10" t="s">
        <v>6353</v>
      </c>
      <c r="K5457" s="10">
        <v>165</v>
      </c>
      <c r="L5457" s="10" t="s">
        <v>28193</v>
      </c>
      <c r="M5457" s="10">
        <v>1</v>
      </c>
      <c r="N5457" s="10"/>
      <c r="O5457" s="10"/>
      <c r="P5457" s="10" t="s">
        <v>28194</v>
      </c>
      <c r="Q5457" s="10">
        <v>371.39</v>
      </c>
      <c r="R5457" s="10" t="s">
        <v>6392</v>
      </c>
      <c r="S5457" s="10" t="s">
        <v>53</v>
      </c>
      <c r="T5457" s="10" t="s">
        <v>54</v>
      </c>
    </row>
    <row r="5458" spans="1:20" ht="14.5" x14ac:dyDescent="0.35">
      <c r="A5458" s="10" t="s">
        <v>28195</v>
      </c>
      <c r="B5458" s="10" t="str">
        <f>"9780749420383"</f>
        <v>9780749420383</v>
      </c>
      <c r="C5458" s="10" t="str">
        <f>"9781317960577"</f>
        <v>9781317960577</v>
      </c>
      <c r="D5458" s="10" t="s">
        <v>6350</v>
      </c>
      <c r="E5458" s="10" t="s">
        <v>6351</v>
      </c>
      <c r="F5458" s="10" t="s">
        <v>748</v>
      </c>
      <c r="G5458" s="10" t="s">
        <v>6352</v>
      </c>
      <c r="H5458" s="11">
        <v>35551</v>
      </c>
      <c r="I5458" s="10">
        <v>1997</v>
      </c>
      <c r="J5458" s="10" t="s">
        <v>6351</v>
      </c>
      <c r="K5458" s="10">
        <v>257</v>
      </c>
      <c r="L5458" s="10" t="s">
        <v>28196</v>
      </c>
      <c r="M5458" s="10">
        <v>1</v>
      </c>
      <c r="N5458" s="10"/>
      <c r="O5458" s="10"/>
      <c r="P5458" s="10" t="s">
        <v>28197</v>
      </c>
      <c r="Q5458" s="10" t="s">
        <v>28198</v>
      </c>
      <c r="R5458" s="10" t="s">
        <v>15649</v>
      </c>
      <c r="S5458" s="10" t="s">
        <v>53</v>
      </c>
      <c r="T5458" s="10" t="s">
        <v>54</v>
      </c>
    </row>
    <row r="5459" spans="1:20" ht="14.5" x14ac:dyDescent="0.35">
      <c r="A5459" s="10" t="s">
        <v>28199</v>
      </c>
      <c r="B5459" s="10" t="str">
        <f>"9781930556157"</f>
        <v>9781930556157</v>
      </c>
      <c r="C5459" s="10" t="str">
        <f>"9781317919766"</f>
        <v>9781317919766</v>
      </c>
      <c r="D5459" s="10" t="s">
        <v>6350</v>
      </c>
      <c r="E5459" s="10" t="s">
        <v>6351</v>
      </c>
      <c r="F5459" s="10" t="s">
        <v>139</v>
      </c>
      <c r="G5459" s="10" t="s">
        <v>6352</v>
      </c>
      <c r="H5459" s="11">
        <v>37020</v>
      </c>
      <c r="I5459" s="10">
        <v>2001</v>
      </c>
      <c r="J5459" s="10" t="s">
        <v>6353</v>
      </c>
      <c r="K5459" s="10">
        <v>176</v>
      </c>
      <c r="L5459" s="10" t="s">
        <v>28200</v>
      </c>
      <c r="M5459" s="10">
        <v>1</v>
      </c>
      <c r="N5459" s="10"/>
      <c r="O5459" s="10"/>
      <c r="P5459" s="10" t="s">
        <v>28201</v>
      </c>
      <c r="Q5459" s="10">
        <v>372.1</v>
      </c>
      <c r="R5459" s="10" t="s">
        <v>28202</v>
      </c>
      <c r="S5459" s="10" t="s">
        <v>53</v>
      </c>
      <c r="T5459" s="10" t="s">
        <v>54</v>
      </c>
    </row>
    <row r="5460" spans="1:20" ht="14.5" x14ac:dyDescent="0.35">
      <c r="A5460" s="10" t="s">
        <v>28203</v>
      </c>
      <c r="B5460" s="10" t="str">
        <f>"9780415931885"</f>
        <v>9780415931885</v>
      </c>
      <c r="C5460" s="10" t="str">
        <f>"9781317958444"</f>
        <v>9781317958444</v>
      </c>
      <c r="D5460" s="10" t="s">
        <v>6350</v>
      </c>
      <c r="E5460" s="10" t="s">
        <v>6351</v>
      </c>
      <c r="F5460" s="10" t="s">
        <v>139</v>
      </c>
      <c r="G5460" s="10" t="s">
        <v>6352</v>
      </c>
      <c r="H5460" s="11">
        <v>37736</v>
      </c>
      <c r="I5460" s="10">
        <v>2003</v>
      </c>
      <c r="J5460" s="10" t="s">
        <v>6353</v>
      </c>
      <c r="K5460" s="10">
        <v>265</v>
      </c>
      <c r="L5460" s="10" t="s">
        <v>28204</v>
      </c>
      <c r="M5460" s="10">
        <v>1</v>
      </c>
      <c r="N5460" s="10"/>
      <c r="O5460" s="10"/>
      <c r="P5460" s="10" t="s">
        <v>28205</v>
      </c>
      <c r="Q5460" s="10" t="s">
        <v>28206</v>
      </c>
      <c r="R5460" s="10" t="s">
        <v>28207</v>
      </c>
      <c r="S5460" s="10" t="s">
        <v>53</v>
      </c>
      <c r="T5460" s="10" t="s">
        <v>54</v>
      </c>
    </row>
    <row r="5461" spans="1:20" ht="14.5" x14ac:dyDescent="0.35">
      <c r="A5461" s="10" t="s">
        <v>28208</v>
      </c>
      <c r="B5461" s="10" t="str">
        <f>"9781930556614"</f>
        <v>9781930556614</v>
      </c>
      <c r="C5461" s="10" t="str">
        <f>"9781317922520"</f>
        <v>9781317922520</v>
      </c>
      <c r="D5461" s="10" t="s">
        <v>6350</v>
      </c>
      <c r="E5461" s="10" t="s">
        <v>6351</v>
      </c>
      <c r="F5461" s="10" t="s">
        <v>139</v>
      </c>
      <c r="G5461" s="10" t="s">
        <v>6352</v>
      </c>
      <c r="H5461" s="11">
        <v>37810</v>
      </c>
      <c r="I5461" s="10">
        <v>2003</v>
      </c>
      <c r="J5461" s="10" t="s">
        <v>6353</v>
      </c>
      <c r="K5461" s="10">
        <v>235</v>
      </c>
      <c r="L5461" s="10" t="s">
        <v>28209</v>
      </c>
      <c r="M5461" s="10">
        <v>1</v>
      </c>
      <c r="N5461" s="10"/>
      <c r="O5461" s="10"/>
      <c r="P5461" s="10" t="s">
        <v>28210</v>
      </c>
      <c r="Q5461" s="10">
        <v>371</v>
      </c>
      <c r="R5461" s="10" t="s">
        <v>28211</v>
      </c>
      <c r="S5461" s="10" t="s">
        <v>53</v>
      </c>
      <c r="T5461" s="10" t="s">
        <v>54</v>
      </c>
    </row>
    <row r="5462" spans="1:20" ht="14.5" x14ac:dyDescent="0.35">
      <c r="A5462" s="10" t="s">
        <v>28212</v>
      </c>
      <c r="B5462" s="10" t="str">
        <f>"9781930556799"</f>
        <v>9781930556799</v>
      </c>
      <c r="C5462" s="10" t="str">
        <f>"9781317919223"</f>
        <v>9781317919223</v>
      </c>
      <c r="D5462" s="10" t="s">
        <v>6350</v>
      </c>
      <c r="E5462" s="10" t="s">
        <v>6351</v>
      </c>
      <c r="F5462" s="10" t="s">
        <v>139</v>
      </c>
      <c r="G5462" s="10" t="s">
        <v>6352</v>
      </c>
      <c r="H5462" s="11">
        <v>38075</v>
      </c>
      <c r="I5462" s="10">
        <v>2004</v>
      </c>
      <c r="J5462" s="10" t="s">
        <v>6353</v>
      </c>
      <c r="K5462" s="10">
        <v>225</v>
      </c>
      <c r="L5462" s="10" t="s">
        <v>28213</v>
      </c>
      <c r="M5462" s="10">
        <v>1</v>
      </c>
      <c r="N5462" s="10"/>
      <c r="O5462" s="10"/>
      <c r="P5462" s="10" t="s">
        <v>28214</v>
      </c>
      <c r="Q5462" s="10">
        <v>371.20299999999997</v>
      </c>
      <c r="R5462" s="10" t="s">
        <v>28215</v>
      </c>
      <c r="S5462" s="10" t="s">
        <v>53</v>
      </c>
      <c r="T5462" s="10" t="s">
        <v>54</v>
      </c>
    </row>
    <row r="5463" spans="1:20" ht="14.5" x14ac:dyDescent="0.35">
      <c r="A5463" s="10" t="s">
        <v>28216</v>
      </c>
      <c r="B5463" s="10" t="str">
        <f>"9781607095743"</f>
        <v>9781607095743</v>
      </c>
      <c r="C5463" s="10" t="str">
        <f>"9781607095767"</f>
        <v>9781607095767</v>
      </c>
      <c r="D5463" s="10" t="s">
        <v>9752</v>
      </c>
      <c r="E5463" s="10" t="s">
        <v>15192</v>
      </c>
      <c r="F5463" s="10" t="s">
        <v>9754</v>
      </c>
      <c r="G5463" s="10" t="s">
        <v>6317</v>
      </c>
      <c r="H5463" s="11">
        <v>41738</v>
      </c>
      <c r="I5463" s="10">
        <v>2014</v>
      </c>
      <c r="J5463" s="10" t="s">
        <v>15192</v>
      </c>
      <c r="K5463" s="10">
        <v>298</v>
      </c>
      <c r="L5463" s="10" t="s">
        <v>28217</v>
      </c>
      <c r="M5463" s="10">
        <v>1</v>
      </c>
      <c r="N5463" s="10"/>
      <c r="O5463" s="10"/>
      <c r="P5463" s="10" t="s">
        <v>28218</v>
      </c>
      <c r="Q5463" s="10">
        <v>371.1</v>
      </c>
      <c r="R5463" s="10" t="s">
        <v>28219</v>
      </c>
      <c r="S5463" s="10" t="s">
        <v>53</v>
      </c>
      <c r="T5463" s="10" t="s">
        <v>54</v>
      </c>
    </row>
    <row r="5464" spans="1:20" ht="14.5" x14ac:dyDescent="0.35">
      <c r="A5464" s="10" t="s">
        <v>28220</v>
      </c>
      <c r="B5464" s="10" t="str">
        <f>"9781118855942"</f>
        <v>9781118855942</v>
      </c>
      <c r="C5464" s="10" t="str">
        <f>"9781118857595"</f>
        <v>9781118857595</v>
      </c>
      <c r="D5464" s="10" t="s">
        <v>6322</v>
      </c>
      <c r="E5464" s="10" t="s">
        <v>6323</v>
      </c>
      <c r="F5464" s="10" t="s">
        <v>6339</v>
      </c>
      <c r="G5464" s="10" t="s">
        <v>6317</v>
      </c>
      <c r="H5464" s="11">
        <v>41799</v>
      </c>
      <c r="I5464" s="10">
        <v>2014</v>
      </c>
      <c r="J5464" s="10" t="s">
        <v>25195</v>
      </c>
      <c r="K5464" s="10">
        <v>339</v>
      </c>
      <c r="L5464" s="10" t="s">
        <v>28221</v>
      </c>
      <c r="M5464" s="10">
        <v>2</v>
      </c>
      <c r="N5464" s="10"/>
      <c r="O5464" s="10"/>
      <c r="P5464" s="10" t="s">
        <v>28222</v>
      </c>
      <c r="Q5464" s="10">
        <v>650.11028499999998</v>
      </c>
      <c r="R5464" s="10" t="s">
        <v>28223</v>
      </c>
      <c r="S5464" s="10" t="s">
        <v>53</v>
      </c>
      <c r="T5464" s="10" t="s">
        <v>8755</v>
      </c>
    </row>
    <row r="5465" spans="1:20" ht="14.5" x14ac:dyDescent="0.35">
      <c r="A5465" s="10" t="s">
        <v>28224</v>
      </c>
      <c r="B5465" s="10" t="str">
        <f>"9781452291710"</f>
        <v>9781452291710</v>
      </c>
      <c r="C5465" s="10" t="str">
        <f>"9781452291673"</f>
        <v>9781452291673</v>
      </c>
      <c r="D5465" s="10" t="s">
        <v>22210</v>
      </c>
      <c r="E5465" s="10" t="s">
        <v>22211</v>
      </c>
      <c r="F5465" s="10" t="s">
        <v>333</v>
      </c>
      <c r="G5465" s="10" t="s">
        <v>6317</v>
      </c>
      <c r="H5465" s="11">
        <v>41781</v>
      </c>
      <c r="I5465" s="10">
        <v>2014</v>
      </c>
      <c r="J5465" s="10" t="s">
        <v>22211</v>
      </c>
      <c r="K5465" s="10">
        <v>225</v>
      </c>
      <c r="L5465" s="10" t="s">
        <v>28225</v>
      </c>
      <c r="M5465" s="10">
        <v>1</v>
      </c>
      <c r="N5465" s="10"/>
      <c r="O5465" s="10"/>
      <c r="P5465" s="10" t="s">
        <v>28226</v>
      </c>
      <c r="Q5465" s="10"/>
      <c r="R5465" s="10" t="s">
        <v>28227</v>
      </c>
      <c r="S5465" s="10" t="s">
        <v>53</v>
      </c>
      <c r="T5465" s="10" t="s">
        <v>54</v>
      </c>
    </row>
    <row r="5466" spans="1:20" ht="14.5" x14ac:dyDescent="0.35">
      <c r="A5466" s="10" t="s">
        <v>28228</v>
      </c>
      <c r="B5466" s="10" t="str">
        <f>"9781483351209"</f>
        <v>9781483351209</v>
      </c>
      <c r="C5466" s="10" t="str">
        <f>"9781483319964"</f>
        <v>9781483319964</v>
      </c>
      <c r="D5466" s="10" t="s">
        <v>22210</v>
      </c>
      <c r="E5466" s="10" t="s">
        <v>22211</v>
      </c>
      <c r="F5466" s="10" t="s">
        <v>333</v>
      </c>
      <c r="G5466" s="10" t="s">
        <v>6317</v>
      </c>
      <c r="H5466" s="11">
        <v>41788</v>
      </c>
      <c r="I5466" s="10">
        <v>2014</v>
      </c>
      <c r="J5466" s="10" t="s">
        <v>22211</v>
      </c>
      <c r="K5466" s="10">
        <v>161</v>
      </c>
      <c r="L5466" s="10" t="s">
        <v>28229</v>
      </c>
      <c r="M5466" s="10">
        <v>1</v>
      </c>
      <c r="N5466" s="10"/>
      <c r="O5466" s="10"/>
      <c r="P5466" s="10" t="s">
        <v>28230</v>
      </c>
      <c r="Q5466" s="10" t="s">
        <v>9954</v>
      </c>
      <c r="R5466" s="10" t="s">
        <v>28231</v>
      </c>
      <c r="S5466" s="10" t="s">
        <v>53</v>
      </c>
      <c r="T5466" s="10" t="s">
        <v>54</v>
      </c>
    </row>
    <row r="5467" spans="1:20" ht="14.5" x14ac:dyDescent="0.35">
      <c r="A5467" s="10" t="s">
        <v>28232</v>
      </c>
      <c r="B5467" s="10" t="str">
        <f>"9781483332819"</f>
        <v>9781483332819</v>
      </c>
      <c r="C5467" s="10" t="str">
        <f>"9781483332789"</f>
        <v>9781483332789</v>
      </c>
      <c r="D5467" s="10" t="s">
        <v>22210</v>
      </c>
      <c r="E5467" s="10" t="s">
        <v>22211</v>
      </c>
      <c r="F5467" s="10" t="s">
        <v>333</v>
      </c>
      <c r="G5467" s="10" t="s">
        <v>6317</v>
      </c>
      <c r="H5467" s="11">
        <v>41795</v>
      </c>
      <c r="I5467" s="10">
        <v>2014</v>
      </c>
      <c r="J5467" s="10" t="s">
        <v>22211</v>
      </c>
      <c r="K5467" s="10">
        <v>193</v>
      </c>
      <c r="L5467" s="10" t="s">
        <v>28233</v>
      </c>
      <c r="M5467" s="10">
        <v>1</v>
      </c>
      <c r="N5467" s="10"/>
      <c r="O5467" s="10"/>
      <c r="P5467" s="10" t="s">
        <v>28234</v>
      </c>
      <c r="Q5467" s="10">
        <v>371.3</v>
      </c>
      <c r="R5467" s="10" t="s">
        <v>28235</v>
      </c>
      <c r="S5467" s="10" t="s">
        <v>53</v>
      </c>
      <c r="T5467" s="10" t="s">
        <v>54</v>
      </c>
    </row>
    <row r="5468" spans="1:20" ht="14.5" x14ac:dyDescent="0.35">
      <c r="A5468" s="10" t="s">
        <v>28236</v>
      </c>
      <c r="B5468" s="10" t="str">
        <f>"9789888083411"</f>
        <v>9789888083411</v>
      </c>
      <c r="C5468" s="10" t="str">
        <f>"9789888268313"</f>
        <v>9789888268313</v>
      </c>
      <c r="D5468" s="10" t="s">
        <v>18250</v>
      </c>
      <c r="E5468" s="10" t="s">
        <v>18250</v>
      </c>
      <c r="F5468" s="10" t="s">
        <v>535</v>
      </c>
      <c r="G5468" s="10" t="s">
        <v>18251</v>
      </c>
      <c r="H5468" s="11">
        <v>41436</v>
      </c>
      <c r="I5468" s="10">
        <v>2013</v>
      </c>
      <c r="J5468" s="10" t="s">
        <v>18250</v>
      </c>
      <c r="K5468" s="10">
        <v>259</v>
      </c>
      <c r="L5468" s="10" t="s">
        <v>28237</v>
      </c>
      <c r="M5468" s="10">
        <v>1</v>
      </c>
      <c r="N5468" s="10"/>
      <c r="O5468" s="10"/>
      <c r="P5468" s="10" t="s">
        <v>28238</v>
      </c>
      <c r="Q5468" s="10">
        <v>371.40951250000001</v>
      </c>
      <c r="R5468" s="10" t="s">
        <v>28239</v>
      </c>
      <c r="S5468" s="10" t="s">
        <v>53</v>
      </c>
      <c r="T5468" s="10" t="s">
        <v>54</v>
      </c>
    </row>
    <row r="5469" spans="1:20" ht="14.5" x14ac:dyDescent="0.35">
      <c r="A5469" s="10" t="s">
        <v>28240</v>
      </c>
      <c r="B5469" s="10" t="str">
        <f>"9781493903344"</f>
        <v>9781493903344</v>
      </c>
      <c r="C5469" s="10" t="str">
        <f>"9781493903351"</f>
        <v>9781493903351</v>
      </c>
      <c r="D5469" s="10" t="s">
        <v>11249</v>
      </c>
      <c r="E5469" s="10" t="s">
        <v>13067</v>
      </c>
      <c r="F5469" s="10" t="s">
        <v>13068</v>
      </c>
      <c r="G5469" s="10" t="s">
        <v>6317</v>
      </c>
      <c r="H5469" s="11">
        <v>41685</v>
      </c>
      <c r="I5469" s="10">
        <v>2014</v>
      </c>
      <c r="J5469" s="10" t="s">
        <v>13067</v>
      </c>
      <c r="K5469" s="10">
        <v>260</v>
      </c>
      <c r="L5469" s="10" t="s">
        <v>28241</v>
      </c>
      <c r="M5469" s="10">
        <v>1</v>
      </c>
      <c r="N5469" s="10" t="s">
        <v>28242</v>
      </c>
      <c r="O5469" s="10"/>
      <c r="P5469" s="10" t="s">
        <v>27170</v>
      </c>
      <c r="Q5469" s="10" t="s">
        <v>10807</v>
      </c>
      <c r="R5469" s="10" t="s">
        <v>28243</v>
      </c>
      <c r="S5469" s="10" t="s">
        <v>53</v>
      </c>
      <c r="T5469" s="10" t="s">
        <v>10829</v>
      </c>
    </row>
    <row r="5470" spans="1:20" ht="14.5" x14ac:dyDescent="0.35">
      <c r="A5470" s="10" t="s">
        <v>28244</v>
      </c>
      <c r="B5470" s="10" t="str">
        <f>"9789812870162"</f>
        <v>9789812870162</v>
      </c>
      <c r="C5470" s="10" t="str">
        <f>"9789812870179"</f>
        <v>9789812870179</v>
      </c>
      <c r="D5470" s="10" t="s">
        <v>11249</v>
      </c>
      <c r="E5470" s="10" t="s">
        <v>23658</v>
      </c>
      <c r="F5470" s="10" t="s">
        <v>549</v>
      </c>
      <c r="G5470" s="10" t="s">
        <v>8573</v>
      </c>
      <c r="H5470" s="11">
        <v>41739</v>
      </c>
      <c r="I5470" s="10">
        <v>2014</v>
      </c>
      <c r="J5470" s="10" t="s">
        <v>13067</v>
      </c>
      <c r="K5470" s="10">
        <v>114</v>
      </c>
      <c r="L5470" s="10" t="s">
        <v>28245</v>
      </c>
      <c r="M5470" s="10">
        <v>1</v>
      </c>
      <c r="N5470" s="10" t="s">
        <v>26362</v>
      </c>
      <c r="O5470" s="10"/>
      <c r="P5470" s="10" t="s">
        <v>11394</v>
      </c>
      <c r="Q5470" s="10">
        <v>371.92099423000002</v>
      </c>
      <c r="R5470" s="10" t="s">
        <v>28246</v>
      </c>
      <c r="S5470" s="10" t="s">
        <v>53</v>
      </c>
      <c r="T5470" s="10" t="s">
        <v>54</v>
      </c>
    </row>
    <row r="5471" spans="1:20" ht="14.5" x14ac:dyDescent="0.35">
      <c r="A5471" s="10" t="s">
        <v>28247</v>
      </c>
      <c r="B5471" s="10" t="str">
        <f>"9780739191149"</f>
        <v>9780739191149</v>
      </c>
      <c r="C5471" s="10" t="str">
        <f>"9780739191156"</f>
        <v>9780739191156</v>
      </c>
      <c r="D5471" s="10" t="s">
        <v>9752</v>
      </c>
      <c r="E5471" s="10" t="s">
        <v>15182</v>
      </c>
      <c r="F5471" s="10" t="s">
        <v>9754</v>
      </c>
      <c r="G5471" s="10" t="s">
        <v>6317</v>
      </c>
      <c r="H5471" s="11">
        <v>41786</v>
      </c>
      <c r="I5471" s="10">
        <v>2014</v>
      </c>
      <c r="J5471" s="10" t="s">
        <v>15182</v>
      </c>
      <c r="K5471" s="10">
        <v>159</v>
      </c>
      <c r="L5471" s="10" t="s">
        <v>28248</v>
      </c>
      <c r="M5471" s="10">
        <v>1</v>
      </c>
      <c r="N5471" s="10"/>
      <c r="O5471" s="10"/>
      <c r="P5471" s="10" t="s">
        <v>28249</v>
      </c>
      <c r="Q5471" s="10" t="s">
        <v>20834</v>
      </c>
      <c r="R5471" s="10" t="s">
        <v>28250</v>
      </c>
      <c r="S5471" s="10" t="s">
        <v>53</v>
      </c>
      <c r="T5471" s="10" t="s">
        <v>54</v>
      </c>
    </row>
    <row r="5472" spans="1:20" ht="14.5" x14ac:dyDescent="0.35">
      <c r="A5472" s="10" t="s">
        <v>28251</v>
      </c>
      <c r="B5472" s="10" t="str">
        <f>"9781605542966"</f>
        <v>9781605542966</v>
      </c>
      <c r="C5472" s="10" t="str">
        <f>"9781605543901"</f>
        <v>9781605543901</v>
      </c>
      <c r="D5472" s="10" t="s">
        <v>9533</v>
      </c>
      <c r="E5472" s="10" t="s">
        <v>25518</v>
      </c>
      <c r="F5472" s="10" t="s">
        <v>25519</v>
      </c>
      <c r="G5472" s="10" t="s">
        <v>6317</v>
      </c>
      <c r="H5472" s="11">
        <v>41904</v>
      </c>
      <c r="I5472" s="10">
        <v>2014</v>
      </c>
      <c r="J5472" s="10" t="s">
        <v>25518</v>
      </c>
      <c r="K5472" s="10">
        <v>111</v>
      </c>
      <c r="L5472" s="10" t="s">
        <v>28252</v>
      </c>
      <c r="M5472" s="10">
        <v>1</v>
      </c>
      <c r="N5472" s="10"/>
      <c r="O5472" s="10"/>
      <c r="P5472" s="10" t="s">
        <v>28253</v>
      </c>
      <c r="Q5472" s="10">
        <v>372.21097300000002</v>
      </c>
      <c r="R5472" s="10" t="s">
        <v>18002</v>
      </c>
      <c r="S5472" s="10" t="s">
        <v>53</v>
      </c>
      <c r="T5472" s="10" t="s">
        <v>54</v>
      </c>
    </row>
    <row r="5473" spans="1:20" ht="14.5" x14ac:dyDescent="0.35">
      <c r="A5473" s="10" t="s">
        <v>28254</v>
      </c>
      <c r="B5473" s="10" t="str">
        <f>"9780415455336"</f>
        <v>9780415455336</v>
      </c>
      <c r="C5473" s="10" t="str">
        <f>"9781134050161"</f>
        <v>9781134050161</v>
      </c>
      <c r="D5473" s="10" t="s">
        <v>6350</v>
      </c>
      <c r="E5473" s="10" t="s">
        <v>6351</v>
      </c>
      <c r="F5473" s="10" t="s">
        <v>139</v>
      </c>
      <c r="G5473" s="10" t="s">
        <v>6352</v>
      </c>
      <c r="H5473" s="11">
        <v>39520</v>
      </c>
      <c r="I5473" s="10">
        <v>2008</v>
      </c>
      <c r="J5473" s="10" t="s">
        <v>6353</v>
      </c>
      <c r="K5473" s="10">
        <v>374</v>
      </c>
      <c r="L5473" s="10" t="s">
        <v>28255</v>
      </c>
      <c r="M5473" s="10">
        <v>1</v>
      </c>
      <c r="N5473" s="10" t="s">
        <v>28256</v>
      </c>
      <c r="O5473" s="10"/>
      <c r="P5473" s="10" t="s">
        <v>28257</v>
      </c>
      <c r="Q5473" s="10" t="s">
        <v>9360</v>
      </c>
      <c r="R5473" s="10" t="s">
        <v>28258</v>
      </c>
      <c r="S5473" s="10" t="s">
        <v>53</v>
      </c>
      <c r="T5473" s="10" t="s">
        <v>54</v>
      </c>
    </row>
    <row r="5474" spans="1:20" ht="14.5" x14ac:dyDescent="0.35">
      <c r="A5474" s="10" t="s">
        <v>28259</v>
      </c>
      <c r="B5474" s="10" t="str">
        <f>"9781853468308"</f>
        <v>9781853468308</v>
      </c>
      <c r="C5474" s="10" t="str">
        <f>"9781134141425"</f>
        <v>9781134141425</v>
      </c>
      <c r="D5474" s="10" t="s">
        <v>6350</v>
      </c>
      <c r="E5474" s="10" t="s">
        <v>6351</v>
      </c>
      <c r="F5474" s="10" t="s">
        <v>748</v>
      </c>
      <c r="G5474" s="10" t="s">
        <v>6352</v>
      </c>
      <c r="H5474" s="11">
        <v>37792</v>
      </c>
      <c r="I5474" s="10">
        <v>2003</v>
      </c>
      <c r="J5474" s="10" t="s">
        <v>6351</v>
      </c>
      <c r="K5474" s="10">
        <v>224</v>
      </c>
      <c r="L5474" s="10" t="s">
        <v>28260</v>
      </c>
      <c r="M5474" s="10">
        <v>1</v>
      </c>
      <c r="N5474" s="10"/>
      <c r="O5474" s="10"/>
      <c r="P5474" s="10" t="s">
        <v>28261</v>
      </c>
      <c r="Q5474" s="10">
        <v>618.91999999999996</v>
      </c>
      <c r="R5474" s="10" t="s">
        <v>28262</v>
      </c>
      <c r="S5474" s="10" t="s">
        <v>53</v>
      </c>
      <c r="T5474" s="10" t="s">
        <v>13739</v>
      </c>
    </row>
    <row r="5475" spans="1:20" ht="14.5" x14ac:dyDescent="0.35">
      <c r="A5475" s="10" t="s">
        <v>28263</v>
      </c>
      <c r="B5475" s="10" t="str">
        <f>"9781843123705"</f>
        <v>9781843123705</v>
      </c>
      <c r="C5475" s="10" t="str">
        <f>"9781134026340"</f>
        <v>9781134026340</v>
      </c>
      <c r="D5475" s="10" t="s">
        <v>6350</v>
      </c>
      <c r="E5475" s="10" t="s">
        <v>15120</v>
      </c>
      <c r="F5475" s="10" t="s">
        <v>748</v>
      </c>
      <c r="G5475" s="10" t="s">
        <v>6352</v>
      </c>
      <c r="H5475" s="11">
        <v>38532</v>
      </c>
      <c r="I5475" s="10">
        <v>2005</v>
      </c>
      <c r="J5475" s="10" t="s">
        <v>15120</v>
      </c>
      <c r="K5475" s="10">
        <v>33</v>
      </c>
      <c r="L5475" s="10" t="s">
        <v>16193</v>
      </c>
      <c r="M5475" s="10">
        <v>1</v>
      </c>
      <c r="N5475" s="10" t="s">
        <v>17117</v>
      </c>
      <c r="O5475" s="10"/>
      <c r="P5475" s="10" t="s">
        <v>28264</v>
      </c>
      <c r="Q5475" s="10">
        <v>373.11023</v>
      </c>
      <c r="R5475" s="10" t="s">
        <v>28265</v>
      </c>
      <c r="S5475" s="10" t="s">
        <v>53</v>
      </c>
      <c r="T5475" s="10" t="s">
        <v>54</v>
      </c>
    </row>
    <row r="5476" spans="1:20" ht="14.5" x14ac:dyDescent="0.35">
      <c r="A5476" s="10" t="s">
        <v>28266</v>
      </c>
      <c r="B5476" s="10" t="str">
        <f>"9780415289009"</f>
        <v>9780415289009</v>
      </c>
      <c r="C5476" s="10" t="str">
        <f>"9781136486128"</f>
        <v>9781136486128</v>
      </c>
      <c r="D5476" s="10" t="s">
        <v>6350</v>
      </c>
      <c r="E5476" s="10" t="s">
        <v>6351</v>
      </c>
      <c r="F5476" s="10" t="s">
        <v>139</v>
      </c>
      <c r="G5476" s="10" t="s">
        <v>6352</v>
      </c>
      <c r="H5476" s="11">
        <v>37575</v>
      </c>
      <c r="I5476" s="10">
        <v>2002</v>
      </c>
      <c r="J5476" s="10" t="s">
        <v>6353</v>
      </c>
      <c r="K5476" s="10">
        <v>343</v>
      </c>
      <c r="L5476" s="10" t="s">
        <v>28267</v>
      </c>
      <c r="M5476" s="10">
        <v>1</v>
      </c>
      <c r="N5476" s="10"/>
      <c r="O5476" s="10"/>
      <c r="P5476" s="10" t="s">
        <v>28268</v>
      </c>
      <c r="Q5476" s="10" t="s">
        <v>9527</v>
      </c>
      <c r="R5476" s="10" t="s">
        <v>6558</v>
      </c>
      <c r="S5476" s="10" t="s">
        <v>53</v>
      </c>
      <c r="T5476" s="10" t="s">
        <v>6472</v>
      </c>
    </row>
    <row r="5477" spans="1:20" ht="14.5" x14ac:dyDescent="0.35">
      <c r="A5477" s="10" t="s">
        <v>28269</v>
      </c>
      <c r="B5477" s="10" t="str">
        <f>"9780819574701"</f>
        <v>9780819574701</v>
      </c>
      <c r="C5477" s="10" t="str">
        <f>"9780819574718"</f>
        <v>9780819574718</v>
      </c>
      <c r="D5477" s="10" t="s">
        <v>6358</v>
      </c>
      <c r="E5477" s="10" t="s">
        <v>19698</v>
      </c>
      <c r="F5477" s="10" t="s">
        <v>19699</v>
      </c>
      <c r="G5477" s="10" t="s">
        <v>6317</v>
      </c>
      <c r="H5477" s="11">
        <v>41800</v>
      </c>
      <c r="I5477" s="10">
        <v>2014</v>
      </c>
      <c r="J5477" s="10" t="s">
        <v>19698</v>
      </c>
      <c r="K5477" s="10">
        <v>495</v>
      </c>
      <c r="L5477" s="10" t="s">
        <v>28270</v>
      </c>
      <c r="M5477" s="10">
        <v>1</v>
      </c>
      <c r="N5477" s="10" t="s">
        <v>28271</v>
      </c>
      <c r="O5477" s="10"/>
      <c r="P5477" s="10"/>
      <c r="Q5477" s="10" t="s">
        <v>28272</v>
      </c>
      <c r="R5477" s="10" t="s">
        <v>28273</v>
      </c>
      <c r="S5477" s="10" t="s">
        <v>53</v>
      </c>
      <c r="T5477" s="10" t="s">
        <v>9993</v>
      </c>
    </row>
    <row r="5478" spans="1:20" ht="14.5" x14ac:dyDescent="0.35">
      <c r="A5478" s="10" t="s">
        <v>28274</v>
      </c>
      <c r="B5478" s="10" t="str">
        <f>"9781472505415"</f>
        <v>9781472505415</v>
      </c>
      <c r="C5478" s="10" t="str">
        <f>"9781472508157"</f>
        <v>9781472508157</v>
      </c>
      <c r="D5478" s="10" t="s">
        <v>13959</v>
      </c>
      <c r="E5478" s="10" t="s">
        <v>13960</v>
      </c>
      <c r="F5478" s="10" t="s">
        <v>139</v>
      </c>
      <c r="G5478" s="10" t="s">
        <v>6352</v>
      </c>
      <c r="H5478" s="11">
        <v>42313</v>
      </c>
      <c r="I5478" s="10">
        <v>2014</v>
      </c>
      <c r="J5478" s="10" t="s">
        <v>14057</v>
      </c>
      <c r="K5478" s="10">
        <v>375</v>
      </c>
      <c r="L5478" s="10" t="s">
        <v>28275</v>
      </c>
      <c r="M5478" s="10">
        <v>1</v>
      </c>
      <c r="N5478" s="10" t="s">
        <v>26015</v>
      </c>
      <c r="O5478" s="10"/>
      <c r="P5478" s="10" t="s">
        <v>28276</v>
      </c>
      <c r="Q5478" s="10">
        <v>370.9676</v>
      </c>
      <c r="R5478" s="10" t="s">
        <v>28277</v>
      </c>
      <c r="S5478" s="10" t="s">
        <v>53</v>
      </c>
      <c r="T5478" s="10" t="s">
        <v>54</v>
      </c>
    </row>
    <row r="5479" spans="1:20" ht="14.5" x14ac:dyDescent="0.35">
      <c r="A5479" s="10" t="s">
        <v>28278</v>
      </c>
      <c r="B5479" s="10" t="str">
        <f>"9780786415168"</f>
        <v>9780786415168</v>
      </c>
      <c r="C5479" s="10" t="str">
        <f>"9781476607870"</f>
        <v>9781476607870</v>
      </c>
      <c r="D5479" s="10" t="s">
        <v>27996</v>
      </c>
      <c r="E5479" s="10" t="s">
        <v>27997</v>
      </c>
      <c r="F5479" s="10" t="s">
        <v>1215</v>
      </c>
      <c r="G5479" s="10" t="s">
        <v>6317</v>
      </c>
      <c r="H5479" s="11">
        <v>38603</v>
      </c>
      <c r="I5479" s="10">
        <v>2005</v>
      </c>
      <c r="J5479" s="10" t="s">
        <v>27997</v>
      </c>
      <c r="K5479" s="10">
        <v>280</v>
      </c>
      <c r="L5479" s="10" t="s">
        <v>28279</v>
      </c>
      <c r="M5479" s="10">
        <v>1</v>
      </c>
      <c r="N5479" s="10"/>
      <c r="O5479" s="10"/>
      <c r="P5479" s="10" t="s">
        <v>28280</v>
      </c>
      <c r="Q5479" s="10" t="s">
        <v>28281</v>
      </c>
      <c r="R5479" s="10" t="s">
        <v>28282</v>
      </c>
      <c r="S5479" s="10" t="s">
        <v>53</v>
      </c>
      <c r="T5479" s="10" t="s">
        <v>6384</v>
      </c>
    </row>
    <row r="5480" spans="1:20" ht="14.5" x14ac:dyDescent="0.35">
      <c r="A5480" s="10" t="s">
        <v>28283</v>
      </c>
      <c r="B5480" s="10" t="str">
        <f>"9789004262744"</f>
        <v>9789004262744</v>
      </c>
      <c r="C5480" s="10" t="str">
        <f>"9789004262768"</f>
        <v>9789004262768</v>
      </c>
      <c r="D5480" s="10" t="s">
        <v>8564</v>
      </c>
      <c r="E5480" s="10" t="s">
        <v>8565</v>
      </c>
      <c r="F5480" s="10" t="s">
        <v>1420</v>
      </c>
      <c r="G5480" s="10" t="s">
        <v>6317</v>
      </c>
      <c r="H5480" s="11">
        <v>41774</v>
      </c>
      <c r="I5480" s="10">
        <v>2014</v>
      </c>
      <c r="J5480" s="10" t="s">
        <v>8565</v>
      </c>
      <c r="K5480" s="10">
        <v>296</v>
      </c>
      <c r="L5480" s="10" t="s">
        <v>28284</v>
      </c>
      <c r="M5480" s="10">
        <v>1</v>
      </c>
      <c r="N5480" s="10" t="s">
        <v>28285</v>
      </c>
      <c r="O5480" s="10">
        <v>1</v>
      </c>
      <c r="P5480" s="10"/>
      <c r="Q5480" s="10">
        <v>378</v>
      </c>
      <c r="R5480" s="10" t="s">
        <v>28286</v>
      </c>
      <c r="S5480" s="10" t="s">
        <v>53</v>
      </c>
      <c r="T5480" s="10" t="s">
        <v>54</v>
      </c>
    </row>
    <row r="5481" spans="1:20" ht="14.5" x14ac:dyDescent="0.35">
      <c r="A5481" s="10" t="s">
        <v>28287</v>
      </c>
      <c r="B5481" s="10" t="str">
        <f>"9780335263240"</f>
        <v>9780335263240</v>
      </c>
      <c r="C5481" s="10" t="str">
        <f>"9780335263257"</f>
        <v>9780335263257</v>
      </c>
      <c r="D5481" s="10" t="s">
        <v>10342</v>
      </c>
      <c r="E5481" s="10" t="s">
        <v>10343</v>
      </c>
      <c r="F5481" s="10" t="s">
        <v>10344</v>
      </c>
      <c r="G5481" s="10" t="s">
        <v>6352</v>
      </c>
      <c r="H5481" s="11">
        <v>41760</v>
      </c>
      <c r="I5481" s="10">
        <v>2014</v>
      </c>
      <c r="J5481" s="10" t="s">
        <v>10345</v>
      </c>
      <c r="K5481" s="10">
        <v>178</v>
      </c>
      <c r="L5481" s="10" t="s">
        <v>28288</v>
      </c>
      <c r="M5481" s="10">
        <v>1</v>
      </c>
      <c r="N5481" s="10" t="s">
        <v>10347</v>
      </c>
      <c r="O5481" s="10"/>
      <c r="P5481" s="10"/>
      <c r="Q5481" s="10"/>
      <c r="R5481" s="10" t="s">
        <v>28289</v>
      </c>
      <c r="S5481" s="10" t="s">
        <v>53</v>
      </c>
      <c r="T5481" s="10" t="s">
        <v>54</v>
      </c>
    </row>
    <row r="5482" spans="1:20" ht="14.5" x14ac:dyDescent="0.35">
      <c r="A5482" s="10" t="s">
        <v>28290</v>
      </c>
      <c r="B5482" s="10" t="str">
        <f>"9781920677374"</f>
        <v>9781920677374</v>
      </c>
      <c r="C5482" s="10" t="str">
        <f>"9781920677466"</f>
        <v>9781920677466</v>
      </c>
      <c r="D5482" s="10" t="s">
        <v>24820</v>
      </c>
      <c r="E5482" s="10" t="s">
        <v>24825</v>
      </c>
      <c r="F5482" s="10" t="s">
        <v>748</v>
      </c>
      <c r="G5482" s="10" t="s">
        <v>24826</v>
      </c>
      <c r="H5482" s="11">
        <v>41760</v>
      </c>
      <c r="I5482" s="10">
        <v>2014</v>
      </c>
      <c r="J5482" s="10" t="s">
        <v>24825</v>
      </c>
      <c r="K5482" s="10">
        <v>122</v>
      </c>
      <c r="L5482" s="10" t="s">
        <v>28291</v>
      </c>
      <c r="M5482" s="10">
        <v>1</v>
      </c>
      <c r="N5482" s="10"/>
      <c r="O5482" s="10"/>
      <c r="P5482" s="10" t="s">
        <v>28292</v>
      </c>
      <c r="Q5482" s="10">
        <v>370.71096799999998</v>
      </c>
      <c r="R5482" s="10" t="s">
        <v>28293</v>
      </c>
      <c r="S5482" s="10" t="s">
        <v>53</v>
      </c>
      <c r="T5482" s="10" t="s">
        <v>54</v>
      </c>
    </row>
    <row r="5483" spans="1:20" ht="14.5" x14ac:dyDescent="0.35">
      <c r="A5483" s="10" t="s">
        <v>28294</v>
      </c>
      <c r="B5483" s="10" t="str">
        <f>"9781464801587"</f>
        <v>9781464801587</v>
      </c>
      <c r="C5483" s="10" t="str">
        <f>"9781464801594"</f>
        <v>9781464801594</v>
      </c>
      <c r="D5483" s="10" t="s">
        <v>14731</v>
      </c>
      <c r="E5483" s="10" t="s">
        <v>14732</v>
      </c>
      <c r="F5483" s="10" t="s">
        <v>14733</v>
      </c>
      <c r="G5483" s="10" t="s">
        <v>6317</v>
      </c>
      <c r="H5483" s="11">
        <v>41640</v>
      </c>
      <c r="I5483" s="10">
        <v>2014</v>
      </c>
      <c r="J5483" s="10" t="s">
        <v>14732</v>
      </c>
      <c r="K5483" s="10">
        <v>243</v>
      </c>
      <c r="L5483" s="10" t="s">
        <v>28295</v>
      </c>
      <c r="M5483" s="10">
        <v>1</v>
      </c>
      <c r="N5483" s="10" t="s">
        <v>14770</v>
      </c>
      <c r="O5483" s="10"/>
      <c r="P5483" s="10" t="s">
        <v>28296</v>
      </c>
      <c r="Q5483" s="10">
        <v>370.113095493</v>
      </c>
      <c r="R5483" s="10" t="s">
        <v>28297</v>
      </c>
      <c r="S5483" s="10" t="s">
        <v>53</v>
      </c>
      <c r="T5483" s="10" t="s">
        <v>54</v>
      </c>
    </row>
    <row r="5484" spans="1:20" ht="14.5" x14ac:dyDescent="0.35">
      <c r="A5484" s="10" t="s">
        <v>28298</v>
      </c>
      <c r="B5484" s="10" t="str">
        <f>"9781464801600"</f>
        <v>9781464801600</v>
      </c>
      <c r="C5484" s="10" t="str">
        <f>"9781464801617"</f>
        <v>9781464801617</v>
      </c>
      <c r="D5484" s="10" t="s">
        <v>14731</v>
      </c>
      <c r="E5484" s="10" t="s">
        <v>14732</v>
      </c>
      <c r="F5484" s="10" t="s">
        <v>14733</v>
      </c>
      <c r="G5484" s="10" t="s">
        <v>6317</v>
      </c>
      <c r="H5484" s="11">
        <v>41640</v>
      </c>
      <c r="I5484" s="10">
        <v>2014</v>
      </c>
      <c r="J5484" s="10" t="s">
        <v>14732</v>
      </c>
      <c r="K5484" s="10">
        <v>440</v>
      </c>
      <c r="L5484" s="10" t="s">
        <v>28299</v>
      </c>
      <c r="M5484" s="10">
        <v>1</v>
      </c>
      <c r="N5484" s="10" t="s">
        <v>14770</v>
      </c>
      <c r="O5484" s="10"/>
      <c r="P5484" s="10" t="s">
        <v>28300</v>
      </c>
      <c r="Q5484" s="10">
        <v>372.95</v>
      </c>
      <c r="R5484" s="10" t="s">
        <v>28301</v>
      </c>
      <c r="S5484" s="10" t="s">
        <v>53</v>
      </c>
      <c r="T5484" s="10" t="s">
        <v>54</v>
      </c>
    </row>
    <row r="5485" spans="1:20" ht="14.5" x14ac:dyDescent="0.35">
      <c r="A5485" s="10" t="s">
        <v>28302</v>
      </c>
      <c r="B5485" s="10" t="str">
        <f>"9780415841474"</f>
        <v>9780415841474</v>
      </c>
      <c r="C5485" s="10" t="str">
        <f>"9781135019907"</f>
        <v>9781135019907</v>
      </c>
      <c r="D5485" s="10" t="s">
        <v>6350</v>
      </c>
      <c r="E5485" s="10" t="s">
        <v>6351</v>
      </c>
      <c r="F5485" s="10" t="s">
        <v>3967</v>
      </c>
      <c r="G5485" s="10" t="s">
        <v>6352</v>
      </c>
      <c r="H5485" s="11">
        <v>41792</v>
      </c>
      <c r="I5485" s="10">
        <v>2014</v>
      </c>
      <c r="J5485" s="10" t="s">
        <v>6353</v>
      </c>
      <c r="K5485" s="10">
        <v>242</v>
      </c>
      <c r="L5485" s="10" t="s">
        <v>28303</v>
      </c>
      <c r="M5485" s="10">
        <v>1</v>
      </c>
      <c r="N5485" s="10" t="s">
        <v>28304</v>
      </c>
      <c r="O5485" s="10"/>
      <c r="P5485" s="10"/>
      <c r="Q5485" s="10"/>
      <c r="R5485" s="10" t="s">
        <v>28305</v>
      </c>
      <c r="S5485" s="10" t="s">
        <v>53</v>
      </c>
      <c r="T5485" s="10" t="s">
        <v>7863</v>
      </c>
    </row>
    <row r="5486" spans="1:20" ht="14.5" x14ac:dyDescent="0.35">
      <c r="A5486" s="10" t="s">
        <v>28306</v>
      </c>
      <c r="B5486" s="10" t="str">
        <f>"9780199855834"</f>
        <v>9780199855834</v>
      </c>
      <c r="C5486" s="10" t="str">
        <f>"9780199855827"</f>
        <v>9780199855827</v>
      </c>
      <c r="D5486" s="10" t="s">
        <v>9122</v>
      </c>
      <c r="E5486" s="10" t="s">
        <v>9133</v>
      </c>
      <c r="F5486" s="10" t="s">
        <v>70</v>
      </c>
      <c r="G5486" s="10" t="s">
        <v>6317</v>
      </c>
      <c r="H5486" s="11">
        <v>41855</v>
      </c>
      <c r="I5486" s="10">
        <v>2014</v>
      </c>
      <c r="J5486" s="10" t="s">
        <v>9133</v>
      </c>
      <c r="K5486" s="10">
        <v>337</v>
      </c>
      <c r="L5486" s="10" t="s">
        <v>28307</v>
      </c>
      <c r="M5486" s="10">
        <v>1</v>
      </c>
      <c r="N5486" s="10"/>
      <c r="O5486" s="10"/>
      <c r="P5486" s="10" t="s">
        <v>28308</v>
      </c>
      <c r="Q5486" s="10">
        <v>372.87</v>
      </c>
      <c r="R5486" s="10" t="s">
        <v>28309</v>
      </c>
      <c r="S5486" s="10" t="s">
        <v>53</v>
      </c>
      <c r="T5486" s="10" t="s">
        <v>6881</v>
      </c>
    </row>
    <row r="5487" spans="1:20" ht="14.5" x14ac:dyDescent="0.35">
      <c r="A5487" s="10" t="s">
        <v>28310</v>
      </c>
      <c r="B5487" s="10" t="str">
        <f>"9781118915059"</f>
        <v>9781118915059</v>
      </c>
      <c r="C5487" s="10" t="str">
        <f>"9781118915073"</f>
        <v>9781118915073</v>
      </c>
      <c r="D5487" s="10" t="s">
        <v>6322</v>
      </c>
      <c r="E5487" s="10" t="s">
        <v>6323</v>
      </c>
      <c r="F5487" s="10" t="s">
        <v>13068</v>
      </c>
      <c r="G5487" s="10" t="s">
        <v>6317</v>
      </c>
      <c r="H5487" s="11">
        <v>41806</v>
      </c>
      <c r="I5487" s="10">
        <v>2014</v>
      </c>
      <c r="J5487" s="10" t="s">
        <v>6324</v>
      </c>
      <c r="K5487" s="10">
        <v>115</v>
      </c>
      <c r="L5487" s="10" t="s">
        <v>28311</v>
      </c>
      <c r="M5487" s="10">
        <v>1</v>
      </c>
      <c r="N5487" s="10" t="s">
        <v>21283</v>
      </c>
      <c r="O5487" s="10"/>
      <c r="P5487" s="10" t="s">
        <v>28312</v>
      </c>
      <c r="Q5487" s="10">
        <v>378</v>
      </c>
      <c r="R5487" s="10" t="s">
        <v>28313</v>
      </c>
      <c r="S5487" s="10" t="s">
        <v>53</v>
      </c>
      <c r="T5487" s="10" t="s">
        <v>54</v>
      </c>
    </row>
    <row r="5488" spans="1:20" ht="14.5" x14ac:dyDescent="0.35">
      <c r="A5488" s="10" t="s">
        <v>28314</v>
      </c>
      <c r="B5488" s="10" t="str">
        <f>"9781416618607"</f>
        <v>9781416618607</v>
      </c>
      <c r="C5488" s="10" t="str">
        <f>"9781416618621"</f>
        <v>9781416618621</v>
      </c>
      <c r="D5488" s="10" t="s">
        <v>10014</v>
      </c>
      <c r="E5488" s="10" t="s">
        <v>10015</v>
      </c>
      <c r="F5488" s="10" t="s">
        <v>201</v>
      </c>
      <c r="G5488" s="10" t="s">
        <v>6317</v>
      </c>
      <c r="H5488" s="11">
        <v>41789</v>
      </c>
      <c r="I5488" s="10">
        <v>2014</v>
      </c>
      <c r="J5488" s="10" t="s">
        <v>10015</v>
      </c>
      <c r="K5488" s="10">
        <v>210</v>
      </c>
      <c r="L5488" s="10" t="s">
        <v>28315</v>
      </c>
      <c r="M5488" s="10">
        <v>2</v>
      </c>
      <c r="N5488" s="10"/>
      <c r="O5488" s="10"/>
      <c r="P5488" s="10" t="s">
        <v>28316</v>
      </c>
      <c r="Q5488" s="10" t="s">
        <v>10031</v>
      </c>
      <c r="R5488" s="10" t="s">
        <v>28317</v>
      </c>
      <c r="S5488" s="10" t="s">
        <v>53</v>
      </c>
      <c r="T5488" s="10" t="s">
        <v>54</v>
      </c>
    </row>
    <row r="5489" spans="1:20" ht="14.5" x14ac:dyDescent="0.35">
      <c r="A5489" s="10" t="s">
        <v>28318</v>
      </c>
      <c r="B5489" s="10" t="str">
        <f>"9780582368101"</f>
        <v>9780582368101</v>
      </c>
      <c r="C5489" s="10" t="str">
        <f>"9781317879268"</f>
        <v>9781317879268</v>
      </c>
      <c r="D5489" s="10" t="s">
        <v>6350</v>
      </c>
      <c r="E5489" s="10" t="s">
        <v>6351</v>
      </c>
      <c r="F5489" s="10" t="s">
        <v>748</v>
      </c>
      <c r="G5489" s="10" t="s">
        <v>6352</v>
      </c>
      <c r="H5489" s="11">
        <v>37280</v>
      </c>
      <c r="I5489" s="10">
        <v>2002</v>
      </c>
      <c r="J5489" s="10" t="s">
        <v>6351</v>
      </c>
      <c r="K5489" s="10">
        <v>306</v>
      </c>
      <c r="L5489" s="10" t="s">
        <v>28319</v>
      </c>
      <c r="M5489" s="10">
        <v>2</v>
      </c>
      <c r="N5489" s="10"/>
      <c r="O5489" s="10"/>
      <c r="P5489" s="10" t="s">
        <v>28320</v>
      </c>
      <c r="Q5489" s="10" t="s">
        <v>28321</v>
      </c>
      <c r="R5489" s="10" t="s">
        <v>28322</v>
      </c>
      <c r="S5489" s="10" t="s">
        <v>53</v>
      </c>
      <c r="T5489" s="10" t="s">
        <v>54</v>
      </c>
    </row>
    <row r="5490" spans="1:20" ht="14.5" x14ac:dyDescent="0.35">
      <c r="A5490" s="10" t="s">
        <v>28323</v>
      </c>
      <c r="B5490" s="10" t="str">
        <f>"9780789017321"</f>
        <v>9780789017321</v>
      </c>
      <c r="C5490" s="10" t="str">
        <f>"9781317719120"</f>
        <v>9781317719120</v>
      </c>
      <c r="D5490" s="10" t="s">
        <v>6350</v>
      </c>
      <c r="E5490" s="10" t="s">
        <v>6351</v>
      </c>
      <c r="F5490" s="10" t="s">
        <v>748</v>
      </c>
      <c r="G5490" s="10" t="s">
        <v>6352</v>
      </c>
      <c r="H5490" s="11">
        <v>37735</v>
      </c>
      <c r="I5490" s="10">
        <v>2003</v>
      </c>
      <c r="J5490" s="10" t="s">
        <v>6351</v>
      </c>
      <c r="K5490" s="10">
        <v>189</v>
      </c>
      <c r="L5490" s="10" t="s">
        <v>28324</v>
      </c>
      <c r="M5490" s="10">
        <v>1</v>
      </c>
      <c r="N5490" s="10"/>
      <c r="O5490" s="10"/>
      <c r="P5490" s="10" t="s">
        <v>28325</v>
      </c>
      <c r="Q5490" s="10">
        <v>371.46</v>
      </c>
      <c r="R5490" s="10" t="s">
        <v>28326</v>
      </c>
      <c r="S5490" s="10" t="s">
        <v>53</v>
      </c>
      <c r="T5490" s="10" t="s">
        <v>54</v>
      </c>
    </row>
    <row r="5491" spans="1:20" ht="14.5" x14ac:dyDescent="0.35">
      <c r="A5491" s="10" t="s">
        <v>28327</v>
      </c>
      <c r="B5491" s="10" t="str">
        <f>"9780815340324"</f>
        <v>9780815340324</v>
      </c>
      <c r="C5491" s="10" t="str">
        <f>"9781317842668"</f>
        <v>9781317842668</v>
      </c>
      <c r="D5491" s="10" t="s">
        <v>6350</v>
      </c>
      <c r="E5491" s="10" t="s">
        <v>6351</v>
      </c>
      <c r="F5491" s="10" t="s">
        <v>70</v>
      </c>
      <c r="G5491" s="10" t="s">
        <v>6352</v>
      </c>
      <c r="H5491" s="11">
        <v>36920</v>
      </c>
      <c r="I5491" s="10">
        <v>2001</v>
      </c>
      <c r="J5491" s="10" t="s">
        <v>6353</v>
      </c>
      <c r="K5491" s="10">
        <v>209</v>
      </c>
      <c r="L5491" s="10" t="s">
        <v>28328</v>
      </c>
      <c r="M5491" s="10">
        <v>1</v>
      </c>
      <c r="N5491" s="10" t="s">
        <v>7363</v>
      </c>
      <c r="O5491" s="10"/>
      <c r="P5491" s="10" t="s">
        <v>28329</v>
      </c>
      <c r="Q5491" s="10">
        <v>378</v>
      </c>
      <c r="R5491" s="10" t="s">
        <v>28330</v>
      </c>
      <c r="S5491" s="10" t="s">
        <v>53</v>
      </c>
      <c r="T5491" s="10" t="s">
        <v>54</v>
      </c>
    </row>
    <row r="5492" spans="1:20" ht="14.5" x14ac:dyDescent="0.35">
      <c r="A5492" s="10" t="s">
        <v>28331</v>
      </c>
      <c r="B5492" s="10" t="str">
        <f>"9780749428778"</f>
        <v>9780749428778</v>
      </c>
      <c r="C5492" s="10" t="str">
        <f>"9781317960515"</f>
        <v>9781317960515</v>
      </c>
      <c r="D5492" s="10" t="s">
        <v>6350</v>
      </c>
      <c r="E5492" s="10" t="s">
        <v>6351</v>
      </c>
      <c r="F5492" s="10" t="s">
        <v>748</v>
      </c>
      <c r="G5492" s="10" t="s">
        <v>6352</v>
      </c>
      <c r="H5492" s="11">
        <v>36220</v>
      </c>
      <c r="I5492" s="10">
        <v>1999</v>
      </c>
      <c r="J5492" s="10" t="s">
        <v>6351</v>
      </c>
      <c r="K5492" s="10">
        <v>191</v>
      </c>
      <c r="L5492" s="10" t="s">
        <v>28332</v>
      </c>
      <c r="M5492" s="10">
        <v>2</v>
      </c>
      <c r="N5492" s="10"/>
      <c r="O5492" s="10"/>
      <c r="P5492" s="10" t="s">
        <v>28333</v>
      </c>
      <c r="Q5492" s="10" t="s">
        <v>7142</v>
      </c>
      <c r="R5492" s="10" t="s">
        <v>6932</v>
      </c>
      <c r="S5492" s="10" t="s">
        <v>53</v>
      </c>
      <c r="T5492" s="10" t="s">
        <v>54</v>
      </c>
    </row>
    <row r="5493" spans="1:20" ht="14.5" x14ac:dyDescent="0.35">
      <c r="A5493" s="10" t="s">
        <v>28334</v>
      </c>
      <c r="B5493" s="10" t="str">
        <f>"9780520278226"</f>
        <v>9780520278226</v>
      </c>
      <c r="C5493" s="10" t="str">
        <f>"9780520959804"</f>
        <v>9780520959804</v>
      </c>
      <c r="D5493" s="10" t="s">
        <v>8512</v>
      </c>
      <c r="E5493" s="10" t="s">
        <v>8512</v>
      </c>
      <c r="F5493" s="10" t="s">
        <v>717</v>
      </c>
      <c r="G5493" s="10" t="s">
        <v>6317</v>
      </c>
      <c r="H5493" s="11">
        <v>41957</v>
      </c>
      <c r="I5493" s="10">
        <v>2014</v>
      </c>
      <c r="J5493" s="10" t="s">
        <v>8512</v>
      </c>
      <c r="K5493" s="10">
        <v>225</v>
      </c>
      <c r="L5493" s="10" t="s">
        <v>28335</v>
      </c>
      <c r="M5493" s="10">
        <v>1</v>
      </c>
      <c r="N5493" s="10"/>
      <c r="O5493" s="10"/>
      <c r="P5493" s="10"/>
      <c r="Q5493" s="10">
        <v>371.10086639999997</v>
      </c>
      <c r="R5493" s="10" t="s">
        <v>28336</v>
      </c>
      <c r="S5493" s="10" t="s">
        <v>53</v>
      </c>
      <c r="T5493" s="10" t="s">
        <v>54</v>
      </c>
    </row>
    <row r="5494" spans="1:20" ht="14.5" x14ac:dyDescent="0.35">
      <c r="A5494" s="10" t="s">
        <v>28337</v>
      </c>
      <c r="B5494" s="10" t="str">
        <f>"9781909682252"</f>
        <v>9781909682252</v>
      </c>
      <c r="C5494" s="10" t="str">
        <f>"9781909682283"</f>
        <v>9781909682283</v>
      </c>
      <c r="D5494" s="10" t="s">
        <v>9533</v>
      </c>
      <c r="E5494" s="10" t="s">
        <v>26840</v>
      </c>
      <c r="F5494" s="10" t="s">
        <v>26841</v>
      </c>
      <c r="G5494" s="10" t="s">
        <v>6352</v>
      </c>
      <c r="H5494" s="11">
        <v>41737</v>
      </c>
      <c r="I5494" s="10">
        <v>2014</v>
      </c>
      <c r="J5494" s="10" t="s">
        <v>26840</v>
      </c>
      <c r="K5494" s="10">
        <v>198</v>
      </c>
      <c r="L5494" s="10" t="s">
        <v>28338</v>
      </c>
      <c r="M5494" s="10">
        <v>1</v>
      </c>
      <c r="N5494" s="10" t="s">
        <v>28339</v>
      </c>
      <c r="O5494" s="10"/>
      <c r="P5494" s="10" t="s">
        <v>28340</v>
      </c>
      <c r="Q5494" s="10">
        <v>372.11020000000002</v>
      </c>
      <c r="R5494" s="10" t="s">
        <v>28341</v>
      </c>
      <c r="S5494" s="10" t="s">
        <v>53</v>
      </c>
      <c r="T5494" s="10" t="s">
        <v>54</v>
      </c>
    </row>
    <row r="5495" spans="1:20" ht="14.5" x14ac:dyDescent="0.35">
      <c r="A5495" s="10" t="s">
        <v>28342</v>
      </c>
      <c r="B5495" s="10" t="str">
        <f>"9780415734752"</f>
        <v>9780415734752</v>
      </c>
      <c r="C5495" s="10" t="str">
        <f>"9781317820826"</f>
        <v>9781317820826</v>
      </c>
      <c r="D5495" s="10" t="s">
        <v>6350</v>
      </c>
      <c r="E5495" s="10" t="s">
        <v>6351</v>
      </c>
      <c r="F5495" s="10" t="s">
        <v>748</v>
      </c>
      <c r="G5495" s="10" t="s">
        <v>6352</v>
      </c>
      <c r="H5495" s="11">
        <v>41815</v>
      </c>
      <c r="I5495" s="10">
        <v>2014</v>
      </c>
      <c r="J5495" s="10" t="s">
        <v>6351</v>
      </c>
      <c r="K5495" s="10">
        <v>159</v>
      </c>
      <c r="L5495" s="10" t="s">
        <v>26918</v>
      </c>
      <c r="M5495" s="10">
        <v>1</v>
      </c>
      <c r="N5495" s="10"/>
      <c r="O5495" s="10"/>
      <c r="P5495" s="10" t="s">
        <v>28343</v>
      </c>
      <c r="Q5495" s="10" t="s">
        <v>9646</v>
      </c>
      <c r="R5495" s="10" t="s">
        <v>28344</v>
      </c>
      <c r="S5495" s="10" t="s">
        <v>53</v>
      </c>
      <c r="T5495" s="10" t="s">
        <v>54</v>
      </c>
    </row>
    <row r="5496" spans="1:20" ht="14.5" x14ac:dyDescent="0.35">
      <c r="A5496" s="10" t="s">
        <v>28345</v>
      </c>
      <c r="B5496" s="10" t="str">
        <f>"9781783507832"</f>
        <v>9781783507832</v>
      </c>
      <c r="C5496" s="10" t="str">
        <f>"9781784412838"</f>
        <v>9781784412838</v>
      </c>
      <c r="D5496" s="10" t="s">
        <v>8699</v>
      </c>
      <c r="E5496" s="10" t="s">
        <v>8699</v>
      </c>
      <c r="F5496" s="10" t="s">
        <v>559</v>
      </c>
      <c r="G5496" s="10" t="s">
        <v>6352</v>
      </c>
      <c r="H5496" s="11">
        <v>41787</v>
      </c>
      <c r="I5496" s="10">
        <v>2014</v>
      </c>
      <c r="J5496" s="10" t="s">
        <v>8699</v>
      </c>
      <c r="K5496" s="10">
        <v>421</v>
      </c>
      <c r="L5496" s="10" t="s">
        <v>28346</v>
      </c>
      <c r="M5496" s="10">
        <v>1</v>
      </c>
      <c r="N5496" s="10" t="s">
        <v>25270</v>
      </c>
      <c r="O5496" s="10">
        <v>2</v>
      </c>
      <c r="P5496" s="10" t="s">
        <v>28347</v>
      </c>
      <c r="Q5496" s="10"/>
      <c r="R5496" s="10" t="s">
        <v>28348</v>
      </c>
      <c r="S5496" s="10" t="s">
        <v>53</v>
      </c>
      <c r="T5496" s="10" t="s">
        <v>54</v>
      </c>
    </row>
    <row r="5497" spans="1:20" ht="14.5" x14ac:dyDescent="0.35">
      <c r="A5497" s="10" t="s">
        <v>28349</v>
      </c>
      <c r="B5497" s="10" t="str">
        <f>"9781783508532"</f>
        <v>9781783508532</v>
      </c>
      <c r="C5497" s="10" t="str">
        <f>"9781783508549"</f>
        <v>9781783508549</v>
      </c>
      <c r="D5497" s="10" t="s">
        <v>8699</v>
      </c>
      <c r="E5497" s="10" t="s">
        <v>8699</v>
      </c>
      <c r="F5497" s="10" t="s">
        <v>559</v>
      </c>
      <c r="G5497" s="10" t="s">
        <v>6352</v>
      </c>
      <c r="H5497" s="11">
        <v>41787</v>
      </c>
      <c r="I5497" s="10">
        <v>2014</v>
      </c>
      <c r="J5497" s="10" t="s">
        <v>8699</v>
      </c>
      <c r="K5497" s="10">
        <v>274</v>
      </c>
      <c r="L5497" s="10" t="s">
        <v>28350</v>
      </c>
      <c r="M5497" s="10">
        <v>1</v>
      </c>
      <c r="N5497" s="10" t="s">
        <v>24718</v>
      </c>
      <c r="O5497" s="10">
        <v>11</v>
      </c>
      <c r="P5497" s="10" t="s">
        <v>27182</v>
      </c>
      <c r="Q5497" s="10">
        <v>378.12</v>
      </c>
      <c r="R5497" s="10" t="s">
        <v>28351</v>
      </c>
      <c r="S5497" s="10" t="s">
        <v>53</v>
      </c>
      <c r="T5497" s="10" t="s">
        <v>54</v>
      </c>
    </row>
    <row r="5498" spans="1:20" ht="14.5" x14ac:dyDescent="0.35">
      <c r="A5498" s="10" t="s">
        <v>28352</v>
      </c>
      <c r="B5498" s="10" t="str">
        <f>"9781909682054"</f>
        <v>9781909682054</v>
      </c>
      <c r="C5498" s="10" t="str">
        <f>"9781909682085"</f>
        <v>9781909682085</v>
      </c>
      <c r="D5498" s="10" t="s">
        <v>9533</v>
      </c>
      <c r="E5498" s="10" t="s">
        <v>26840</v>
      </c>
      <c r="F5498" s="10" t="s">
        <v>26841</v>
      </c>
      <c r="G5498" s="10" t="s">
        <v>6352</v>
      </c>
      <c r="H5498" s="11">
        <v>41809</v>
      </c>
      <c r="I5498" s="10">
        <v>2014</v>
      </c>
      <c r="J5498" s="10" t="s">
        <v>26840</v>
      </c>
      <c r="K5498" s="10">
        <v>142</v>
      </c>
      <c r="L5498" s="10" t="s">
        <v>28353</v>
      </c>
      <c r="M5498" s="10">
        <v>1</v>
      </c>
      <c r="N5498" s="10" t="s">
        <v>26899</v>
      </c>
      <c r="O5498" s="10"/>
      <c r="P5498" s="10" t="s">
        <v>28354</v>
      </c>
      <c r="Q5498" s="10">
        <v>374.12</v>
      </c>
      <c r="R5498" s="10" t="s">
        <v>28355</v>
      </c>
      <c r="S5498" s="10" t="s">
        <v>53</v>
      </c>
      <c r="T5498" s="10" t="s">
        <v>54</v>
      </c>
    </row>
    <row r="5499" spans="1:20" ht="14.5" x14ac:dyDescent="0.35">
      <c r="A5499" s="10" t="s">
        <v>28356</v>
      </c>
      <c r="B5499" s="10" t="str">
        <f>"9781909682139"</f>
        <v>9781909682139</v>
      </c>
      <c r="C5499" s="10" t="str">
        <f>"9781909682160"</f>
        <v>9781909682160</v>
      </c>
      <c r="D5499" s="10" t="s">
        <v>9533</v>
      </c>
      <c r="E5499" s="10" t="s">
        <v>26840</v>
      </c>
      <c r="F5499" s="10" t="s">
        <v>26841</v>
      </c>
      <c r="G5499" s="10" t="s">
        <v>6352</v>
      </c>
      <c r="H5499" s="11">
        <v>41809</v>
      </c>
      <c r="I5499" s="10">
        <v>2014</v>
      </c>
      <c r="J5499" s="10" t="s">
        <v>26840</v>
      </c>
      <c r="K5499" s="10">
        <v>120</v>
      </c>
      <c r="L5499" s="10" t="s">
        <v>28357</v>
      </c>
      <c r="M5499" s="10">
        <v>1</v>
      </c>
      <c r="N5499" s="10" t="s">
        <v>28358</v>
      </c>
      <c r="O5499" s="10"/>
      <c r="P5499" s="10" t="s">
        <v>28359</v>
      </c>
      <c r="Q5499" s="10">
        <v>374.1</v>
      </c>
      <c r="R5499" s="10" t="s">
        <v>28360</v>
      </c>
      <c r="S5499" s="10" t="s">
        <v>53</v>
      </c>
      <c r="T5499" s="10" t="s">
        <v>54</v>
      </c>
    </row>
    <row r="5500" spans="1:20" ht="14.5" x14ac:dyDescent="0.35">
      <c r="A5500" s="10" t="s">
        <v>28361</v>
      </c>
      <c r="B5500" s="10" t="str">
        <f>"9781843107156"</f>
        <v>9781843107156</v>
      </c>
      <c r="C5500" s="10" t="str">
        <f>"9781846421785"</f>
        <v>9781846421785</v>
      </c>
      <c r="D5500" s="10" t="s">
        <v>10516</v>
      </c>
      <c r="E5500" s="10" t="s">
        <v>10516</v>
      </c>
      <c r="F5500" s="10" t="s">
        <v>139</v>
      </c>
      <c r="G5500" s="10" t="s">
        <v>6352</v>
      </c>
      <c r="H5500" s="11">
        <v>37237</v>
      </c>
      <c r="I5500" s="10">
        <v>2001</v>
      </c>
      <c r="J5500" s="10" t="s">
        <v>10516</v>
      </c>
      <c r="K5500" s="10">
        <v>251</v>
      </c>
      <c r="L5500" s="10" t="s">
        <v>28362</v>
      </c>
      <c r="M5500" s="10">
        <v>1</v>
      </c>
      <c r="N5500" s="10"/>
      <c r="O5500" s="10"/>
      <c r="P5500" s="10"/>
      <c r="Q5500" s="10"/>
      <c r="R5500" s="10" t="s">
        <v>28363</v>
      </c>
      <c r="S5500" s="10" t="s">
        <v>53</v>
      </c>
      <c r="T5500" s="10" t="s">
        <v>10704</v>
      </c>
    </row>
    <row r="5501" spans="1:20" ht="14.5" x14ac:dyDescent="0.35">
      <c r="A5501" s="10" t="s">
        <v>28364</v>
      </c>
      <c r="B5501" s="10" t="str">
        <f>"9783110369588"</f>
        <v>9783110369588</v>
      </c>
      <c r="C5501" s="10" t="str">
        <f>"9783110365597"</f>
        <v>9783110365597</v>
      </c>
      <c r="D5501" s="10" t="s">
        <v>9995</v>
      </c>
      <c r="E5501" s="10" t="s">
        <v>9996</v>
      </c>
      <c r="F5501" s="10" t="s">
        <v>9997</v>
      </c>
      <c r="G5501" s="10" t="s">
        <v>9998</v>
      </c>
      <c r="H5501" s="11">
        <v>42181</v>
      </c>
      <c r="I5501" s="10">
        <v>2015</v>
      </c>
      <c r="J5501" s="10" t="s">
        <v>9996</v>
      </c>
      <c r="K5501" s="10">
        <v>466</v>
      </c>
      <c r="L5501" s="10" t="s">
        <v>28365</v>
      </c>
      <c r="M5501" s="10">
        <v>1</v>
      </c>
      <c r="N5501" s="10" t="s">
        <v>28366</v>
      </c>
      <c r="O5501" s="10">
        <v>17</v>
      </c>
      <c r="P5501" s="10" t="s">
        <v>28367</v>
      </c>
      <c r="Q5501" s="10">
        <v>489.32</v>
      </c>
      <c r="R5501" s="10" t="s">
        <v>28368</v>
      </c>
      <c r="S5501" s="10" t="s">
        <v>53</v>
      </c>
      <c r="T5501" s="10" t="s">
        <v>6634</v>
      </c>
    </row>
    <row r="5502" spans="1:20" ht="14.5" x14ac:dyDescent="0.35">
      <c r="A5502" s="10" t="s">
        <v>28369</v>
      </c>
      <c r="B5502" s="10" t="str">
        <f>"9780804790673"</f>
        <v>9780804790673</v>
      </c>
      <c r="C5502" s="10" t="str">
        <f>"9780804791427"</f>
        <v>9780804791427</v>
      </c>
      <c r="D5502" s="10" t="s">
        <v>16213</v>
      </c>
      <c r="E5502" s="10" t="s">
        <v>16213</v>
      </c>
      <c r="F5502" s="10" t="s">
        <v>16214</v>
      </c>
      <c r="G5502" s="10" t="s">
        <v>6317</v>
      </c>
      <c r="H5502" s="11">
        <v>41808</v>
      </c>
      <c r="I5502" s="10">
        <v>2014</v>
      </c>
      <c r="J5502" s="10" t="s">
        <v>20663</v>
      </c>
      <c r="K5502" s="10">
        <v>268</v>
      </c>
      <c r="L5502" s="10" t="s">
        <v>28370</v>
      </c>
      <c r="M5502" s="10">
        <v>1</v>
      </c>
      <c r="N5502" s="10" t="s">
        <v>28371</v>
      </c>
      <c r="O5502" s="10"/>
      <c r="P5502" s="10" t="s">
        <v>28372</v>
      </c>
      <c r="Q5502" s="10">
        <v>378.79399999999998</v>
      </c>
      <c r="R5502" s="10" t="s">
        <v>28373</v>
      </c>
      <c r="S5502" s="10" t="s">
        <v>53</v>
      </c>
      <c r="T5502" s="10" t="s">
        <v>54</v>
      </c>
    </row>
    <row r="5503" spans="1:20" ht="14.5" x14ac:dyDescent="0.35">
      <c r="A5503" s="10" t="s">
        <v>28374</v>
      </c>
      <c r="B5503" s="10" t="str">
        <f>"9781118915080"</f>
        <v>9781118915080</v>
      </c>
      <c r="C5503" s="10" t="str">
        <f>"9781118915103"</f>
        <v>9781118915103</v>
      </c>
      <c r="D5503" s="10" t="s">
        <v>6322</v>
      </c>
      <c r="E5503" s="10" t="s">
        <v>6323</v>
      </c>
      <c r="F5503" s="10" t="s">
        <v>13068</v>
      </c>
      <c r="G5503" s="10" t="s">
        <v>6317</v>
      </c>
      <c r="H5503" s="11">
        <v>41813</v>
      </c>
      <c r="I5503" s="10">
        <v>2014</v>
      </c>
      <c r="J5503" s="10" t="s">
        <v>6324</v>
      </c>
      <c r="K5503" s="10">
        <v>123</v>
      </c>
      <c r="L5503" s="10" t="s">
        <v>28375</v>
      </c>
      <c r="M5503" s="10">
        <v>1</v>
      </c>
      <c r="N5503" s="10" t="s">
        <v>25112</v>
      </c>
      <c r="O5503" s="10">
        <v>166</v>
      </c>
      <c r="P5503" s="10" t="s">
        <v>28376</v>
      </c>
      <c r="Q5503" s="10">
        <v>306.43097299999999</v>
      </c>
      <c r="R5503" s="10" t="s">
        <v>28377</v>
      </c>
      <c r="S5503" s="10" t="s">
        <v>53</v>
      </c>
      <c r="T5503" s="10" t="s">
        <v>6472</v>
      </c>
    </row>
    <row r="5504" spans="1:20" ht="14.5" x14ac:dyDescent="0.35">
      <c r="A5504" s="10" t="s">
        <v>28378</v>
      </c>
      <c r="B5504" s="10" t="str">
        <f>"9781443854955"</f>
        <v>9781443854955</v>
      </c>
      <c r="C5504" s="10" t="str">
        <f>"9781443861892"</f>
        <v>9781443861892</v>
      </c>
      <c r="D5504" s="10" t="s">
        <v>23635</v>
      </c>
      <c r="E5504" s="10" t="s">
        <v>23635</v>
      </c>
      <c r="F5504" s="10" t="s">
        <v>23636</v>
      </c>
      <c r="G5504" s="10" t="s">
        <v>6352</v>
      </c>
      <c r="H5504" s="11">
        <v>41810</v>
      </c>
      <c r="I5504" s="10">
        <v>2014</v>
      </c>
      <c r="J5504" s="10" t="s">
        <v>23635</v>
      </c>
      <c r="K5504" s="10">
        <v>278</v>
      </c>
      <c r="L5504" s="10" t="s">
        <v>28379</v>
      </c>
      <c r="M5504" s="10">
        <v>1</v>
      </c>
      <c r="N5504" s="10"/>
      <c r="O5504" s="10"/>
      <c r="P5504" s="10" t="s">
        <v>28380</v>
      </c>
      <c r="Q5504" s="10">
        <v>372.6</v>
      </c>
      <c r="R5504" s="10" t="s">
        <v>28381</v>
      </c>
      <c r="S5504" s="10" t="s">
        <v>53</v>
      </c>
      <c r="T5504" s="10" t="s">
        <v>54</v>
      </c>
    </row>
    <row r="5505" spans="1:20" ht="14.5" x14ac:dyDescent="0.35">
      <c r="A5505" s="10" t="s">
        <v>28382</v>
      </c>
      <c r="B5505" s="10" t="str">
        <f>"9780749434113"</f>
        <v>9780749434113</v>
      </c>
      <c r="C5505" s="10" t="str">
        <f>"9781135380380"</f>
        <v>9781135380380</v>
      </c>
      <c r="D5505" s="10" t="s">
        <v>6350</v>
      </c>
      <c r="E5505" s="10" t="s">
        <v>6351</v>
      </c>
      <c r="F5505" s="10" t="s">
        <v>139</v>
      </c>
      <c r="G5505" s="10" t="s">
        <v>6352</v>
      </c>
      <c r="H5505" s="11">
        <v>36861</v>
      </c>
      <c r="I5505" s="10">
        <v>2000</v>
      </c>
      <c r="J5505" s="10" t="s">
        <v>6353</v>
      </c>
      <c r="K5505" s="10">
        <v>241</v>
      </c>
      <c r="L5505" s="10" t="s">
        <v>21614</v>
      </c>
      <c r="M5505" s="10">
        <v>1</v>
      </c>
      <c r="N5505" s="10"/>
      <c r="O5505" s="10"/>
      <c r="P5505" s="10" t="s">
        <v>28383</v>
      </c>
      <c r="Q5505" s="10">
        <v>370.1</v>
      </c>
      <c r="R5505" s="10" t="s">
        <v>6534</v>
      </c>
      <c r="S5505" s="10" t="s">
        <v>53</v>
      </c>
      <c r="T5505" s="10" t="s">
        <v>54</v>
      </c>
    </row>
    <row r="5506" spans="1:20" ht="14.5" x14ac:dyDescent="0.35">
      <c r="A5506" s="10" t="s">
        <v>28384</v>
      </c>
      <c r="B5506" s="10" t="str">
        <f>"9780875530413"</f>
        <v>9780875530413</v>
      </c>
      <c r="C5506" s="10" t="str">
        <f>"9780875532684"</f>
        <v>9780875532684</v>
      </c>
      <c r="D5506" s="10" t="s">
        <v>21167</v>
      </c>
      <c r="E5506" s="10" t="s">
        <v>21168</v>
      </c>
      <c r="F5506" s="10" t="s">
        <v>88</v>
      </c>
      <c r="G5506" s="10" t="s">
        <v>6317</v>
      </c>
      <c r="H5506" s="11">
        <v>41513</v>
      </c>
      <c r="I5506" s="10">
        <v>2014</v>
      </c>
      <c r="J5506" s="10" t="s">
        <v>21168</v>
      </c>
      <c r="K5506" s="10">
        <v>362</v>
      </c>
      <c r="L5506" s="10" t="s">
        <v>28385</v>
      </c>
      <c r="M5506" s="10">
        <v>1</v>
      </c>
      <c r="N5506" s="10"/>
      <c r="O5506" s="10"/>
      <c r="P5506" s="10" t="s">
        <v>28386</v>
      </c>
      <c r="Q5506" s="10" t="s">
        <v>8304</v>
      </c>
      <c r="R5506" s="10" t="s">
        <v>28387</v>
      </c>
      <c r="S5506" s="10" t="s">
        <v>53</v>
      </c>
      <c r="T5506" s="10" t="s">
        <v>54</v>
      </c>
    </row>
    <row r="5507" spans="1:20" ht="14.5" x14ac:dyDescent="0.35">
      <c r="A5507" s="10" t="s">
        <v>28388</v>
      </c>
      <c r="B5507" s="10" t="str">
        <f>"9781118923092"</f>
        <v>9781118923092</v>
      </c>
      <c r="C5507" s="10" t="str">
        <f>"9781118923191"</f>
        <v>9781118923191</v>
      </c>
      <c r="D5507" s="10" t="s">
        <v>6322</v>
      </c>
      <c r="E5507" s="10" t="s">
        <v>6323</v>
      </c>
      <c r="F5507" s="10" t="s">
        <v>6339</v>
      </c>
      <c r="G5507" s="10" t="s">
        <v>6317</v>
      </c>
      <c r="H5507" s="11">
        <v>41813</v>
      </c>
      <c r="I5507" s="10">
        <v>2014</v>
      </c>
      <c r="J5507" s="10" t="s">
        <v>6324</v>
      </c>
      <c r="K5507" s="10">
        <v>107</v>
      </c>
      <c r="L5507" s="10" t="s">
        <v>28389</v>
      </c>
      <c r="M5507" s="10">
        <v>1</v>
      </c>
      <c r="N5507" s="10" t="s">
        <v>20712</v>
      </c>
      <c r="O5507" s="10"/>
      <c r="P5507" s="10" t="s">
        <v>18361</v>
      </c>
      <c r="Q5507" s="10" t="s">
        <v>28390</v>
      </c>
      <c r="R5507" s="10" t="s">
        <v>28391</v>
      </c>
      <c r="S5507" s="10" t="s">
        <v>53</v>
      </c>
      <c r="T5507" s="10" t="s">
        <v>54</v>
      </c>
    </row>
    <row r="5508" spans="1:20" ht="14.5" x14ac:dyDescent="0.35">
      <c r="A5508" s="10" t="s">
        <v>28392</v>
      </c>
      <c r="B5508" s="10" t="str">
        <f>"9780804790703"</f>
        <v>9780804790703</v>
      </c>
      <c r="C5508" s="10" t="str">
        <f>"9780804792455"</f>
        <v>9780804792455</v>
      </c>
      <c r="D5508" s="10" t="s">
        <v>16213</v>
      </c>
      <c r="E5508" s="10" t="s">
        <v>16213</v>
      </c>
      <c r="F5508" s="10" t="s">
        <v>16214</v>
      </c>
      <c r="G5508" s="10" t="s">
        <v>6317</v>
      </c>
      <c r="H5508" s="11">
        <v>41815</v>
      </c>
      <c r="I5508" s="10">
        <v>2014</v>
      </c>
      <c r="J5508" s="10" t="s">
        <v>16213</v>
      </c>
      <c r="K5508" s="10">
        <v>231</v>
      </c>
      <c r="L5508" s="10" t="s">
        <v>28393</v>
      </c>
      <c r="M5508" s="10">
        <v>1</v>
      </c>
      <c r="N5508" s="10"/>
      <c r="O5508" s="10"/>
      <c r="P5508" s="10" t="s">
        <v>21059</v>
      </c>
      <c r="Q5508" s="10">
        <v>379.26</v>
      </c>
      <c r="R5508" s="10" t="s">
        <v>28394</v>
      </c>
      <c r="S5508" s="10" t="s">
        <v>53</v>
      </c>
      <c r="T5508" s="10" t="s">
        <v>54</v>
      </c>
    </row>
    <row r="5509" spans="1:20" ht="14.5" x14ac:dyDescent="0.35">
      <c r="A5509" s="10" t="s">
        <v>28395</v>
      </c>
      <c r="B5509" s="10" t="str">
        <f>"9781443853453"</f>
        <v>9781443853453</v>
      </c>
      <c r="C5509" s="10" t="str">
        <f>"9781443862431"</f>
        <v>9781443862431</v>
      </c>
      <c r="D5509" s="10" t="s">
        <v>23635</v>
      </c>
      <c r="E5509" s="10" t="s">
        <v>23635</v>
      </c>
      <c r="F5509" s="10" t="s">
        <v>23636</v>
      </c>
      <c r="G5509" s="10" t="s">
        <v>6352</v>
      </c>
      <c r="H5509" s="11">
        <v>41683</v>
      </c>
      <c r="I5509" s="10">
        <v>2014</v>
      </c>
      <c r="J5509" s="10" t="s">
        <v>23635</v>
      </c>
      <c r="K5509" s="10">
        <v>283</v>
      </c>
      <c r="L5509" s="10" t="s">
        <v>28396</v>
      </c>
      <c r="M5509" s="10">
        <v>1</v>
      </c>
      <c r="N5509" s="10"/>
      <c r="O5509" s="10"/>
      <c r="P5509" s="10" t="s">
        <v>28397</v>
      </c>
      <c r="Q5509" s="10">
        <v>371.33699999999999</v>
      </c>
      <c r="R5509" s="10" t="s">
        <v>28398</v>
      </c>
      <c r="S5509" s="10" t="s">
        <v>53</v>
      </c>
      <c r="T5509" s="10" t="s">
        <v>54</v>
      </c>
    </row>
    <row r="5510" spans="1:20" ht="14.5" x14ac:dyDescent="0.35">
      <c r="A5510" s="10" t="s">
        <v>28399</v>
      </c>
      <c r="B5510" s="10" t="str">
        <f>"9781443858267"</f>
        <v>9781443858267</v>
      </c>
      <c r="C5510" s="10" t="str">
        <f>"9781443862899"</f>
        <v>9781443862899</v>
      </c>
      <c r="D5510" s="10" t="s">
        <v>23635</v>
      </c>
      <c r="E5510" s="10" t="s">
        <v>23635</v>
      </c>
      <c r="F5510" s="10" t="s">
        <v>23636</v>
      </c>
      <c r="G5510" s="10" t="s">
        <v>6352</v>
      </c>
      <c r="H5510" s="11">
        <v>41821</v>
      </c>
      <c r="I5510" s="10">
        <v>2014</v>
      </c>
      <c r="J5510" s="10" t="s">
        <v>23635</v>
      </c>
      <c r="K5510" s="10">
        <v>424</v>
      </c>
      <c r="L5510" s="10" t="s">
        <v>28400</v>
      </c>
      <c r="M5510" s="10">
        <v>1</v>
      </c>
      <c r="N5510" s="10"/>
      <c r="O5510" s="10"/>
      <c r="P5510" s="10" t="s">
        <v>28401</v>
      </c>
      <c r="Q5510" s="10">
        <v>373.6</v>
      </c>
      <c r="R5510" s="10" t="s">
        <v>28402</v>
      </c>
      <c r="S5510" s="10" t="s">
        <v>53</v>
      </c>
      <c r="T5510" s="10" t="s">
        <v>54</v>
      </c>
    </row>
    <row r="5511" spans="1:20" ht="14.5" x14ac:dyDescent="0.35">
      <c r="A5511" s="10" t="s">
        <v>28403</v>
      </c>
      <c r="B5511" s="10" t="str">
        <f>"9781443853903"</f>
        <v>9781443853903</v>
      </c>
      <c r="C5511" s="10" t="str">
        <f>"9781443862943"</f>
        <v>9781443862943</v>
      </c>
      <c r="D5511" s="10" t="s">
        <v>23635</v>
      </c>
      <c r="E5511" s="10" t="s">
        <v>23635</v>
      </c>
      <c r="F5511" s="10" t="s">
        <v>23636</v>
      </c>
      <c r="G5511" s="10" t="s">
        <v>6352</v>
      </c>
      <c r="H5511" s="11">
        <v>41701</v>
      </c>
      <c r="I5511" s="10">
        <v>2014</v>
      </c>
      <c r="J5511" s="10" t="s">
        <v>23635</v>
      </c>
      <c r="K5511" s="10">
        <v>254</v>
      </c>
      <c r="L5511" s="10" t="s">
        <v>28404</v>
      </c>
      <c r="M5511" s="10">
        <v>1</v>
      </c>
      <c r="N5511" s="10"/>
      <c r="O5511" s="10"/>
      <c r="P5511" s="10" t="s">
        <v>28405</v>
      </c>
      <c r="Q5511" s="10">
        <v>378.47</v>
      </c>
      <c r="R5511" s="10" t="s">
        <v>28406</v>
      </c>
      <c r="S5511" s="10" t="s">
        <v>53</v>
      </c>
      <c r="T5511" s="10" t="s">
        <v>54</v>
      </c>
    </row>
    <row r="5512" spans="1:20" ht="14.5" x14ac:dyDescent="0.35">
      <c r="A5512" s="10" t="s">
        <v>28407</v>
      </c>
      <c r="B5512" s="10" t="str">
        <f>"9781937006747"</f>
        <v>9781937006747</v>
      </c>
      <c r="C5512" s="10" t="str">
        <f>"9781937006754"</f>
        <v>9781937006754</v>
      </c>
      <c r="D5512" s="10" t="s">
        <v>28408</v>
      </c>
      <c r="E5512" s="10" t="s">
        <v>28408</v>
      </c>
      <c r="F5512" s="10" t="s">
        <v>717</v>
      </c>
      <c r="G5512" s="10" t="s">
        <v>6317</v>
      </c>
      <c r="H5512" s="11">
        <v>41869</v>
      </c>
      <c r="I5512" s="10">
        <v>2014</v>
      </c>
      <c r="J5512" s="10" t="s">
        <v>28408</v>
      </c>
      <c r="K5512" s="10">
        <v>153</v>
      </c>
      <c r="L5512" s="10" t="s">
        <v>28409</v>
      </c>
      <c r="M5512" s="10">
        <v>1</v>
      </c>
      <c r="N5512" s="10"/>
      <c r="O5512" s="10"/>
      <c r="P5512" s="10" t="s">
        <v>28410</v>
      </c>
      <c r="Q5512" s="10" t="s">
        <v>6942</v>
      </c>
      <c r="R5512" s="10" t="s">
        <v>28411</v>
      </c>
      <c r="S5512" s="10" t="s">
        <v>53</v>
      </c>
      <c r="T5512" s="10" t="s">
        <v>54</v>
      </c>
    </row>
    <row r="5513" spans="1:20" ht="14.5" x14ac:dyDescent="0.35">
      <c r="A5513" s="10" t="s">
        <v>28412</v>
      </c>
      <c r="B5513" s="10" t="str">
        <f>"9781595589590"</f>
        <v>9781595589590</v>
      </c>
      <c r="C5513" s="10" t="str">
        <f>"9781595589941"</f>
        <v>9781595589941</v>
      </c>
      <c r="D5513" s="10" t="s">
        <v>9533</v>
      </c>
      <c r="E5513" s="10" t="s">
        <v>21864</v>
      </c>
      <c r="F5513" s="10" t="s">
        <v>25348</v>
      </c>
      <c r="G5513" s="10" t="s">
        <v>6317</v>
      </c>
      <c r="H5513" s="11">
        <v>41807</v>
      </c>
      <c r="I5513" s="10">
        <v>2014</v>
      </c>
      <c r="J5513" s="10" t="s">
        <v>21864</v>
      </c>
      <c r="K5513" s="10">
        <v>225</v>
      </c>
      <c r="L5513" s="10" t="s">
        <v>28413</v>
      </c>
      <c r="M5513" s="10">
        <v>1</v>
      </c>
      <c r="N5513" s="10"/>
      <c r="O5513" s="10"/>
      <c r="P5513" s="10" t="s">
        <v>28414</v>
      </c>
      <c r="Q5513" s="10" t="s">
        <v>8460</v>
      </c>
      <c r="R5513" s="10" t="s">
        <v>28415</v>
      </c>
      <c r="S5513" s="10" t="s">
        <v>53</v>
      </c>
      <c r="T5513" s="10" t="s">
        <v>54</v>
      </c>
    </row>
    <row r="5514" spans="1:20" ht="14.5" x14ac:dyDescent="0.35">
      <c r="A5514" s="10" t="s">
        <v>28416</v>
      </c>
      <c r="B5514" s="10" t="str">
        <f>"9781595589965"</f>
        <v>9781595589965</v>
      </c>
      <c r="C5514" s="10" t="str">
        <f>"9781620970225"</f>
        <v>9781620970225</v>
      </c>
      <c r="D5514" s="10" t="s">
        <v>6358</v>
      </c>
      <c r="E5514" s="10" t="s">
        <v>21864</v>
      </c>
      <c r="F5514" s="10" t="s">
        <v>70</v>
      </c>
      <c r="G5514" s="10" t="s">
        <v>6317</v>
      </c>
      <c r="H5514" s="11">
        <v>41954</v>
      </c>
      <c r="I5514" s="10">
        <v>2014</v>
      </c>
      <c r="J5514" s="10" t="s">
        <v>21864</v>
      </c>
      <c r="K5514" s="10">
        <v>207</v>
      </c>
      <c r="L5514" s="10" t="s">
        <v>28417</v>
      </c>
      <c r="M5514" s="10">
        <v>1</v>
      </c>
      <c r="N5514" s="10"/>
      <c r="O5514" s="10"/>
      <c r="P5514" s="10"/>
      <c r="Q5514" s="10" t="s">
        <v>6942</v>
      </c>
      <c r="R5514" s="10" t="s">
        <v>28418</v>
      </c>
      <c r="S5514" s="10" t="s">
        <v>53</v>
      </c>
      <c r="T5514" s="10" t="s">
        <v>54</v>
      </c>
    </row>
    <row r="5515" spans="1:20" ht="14.5" x14ac:dyDescent="0.35">
      <c r="A5515" s="10" t="s">
        <v>28419</v>
      </c>
      <c r="B5515" s="10" t="str">
        <f>"9781605542744"</f>
        <v>9781605542744</v>
      </c>
      <c r="C5515" s="10" t="str">
        <f>"9781605542751"</f>
        <v>9781605542751</v>
      </c>
      <c r="D5515" s="10" t="s">
        <v>9533</v>
      </c>
      <c r="E5515" s="10" t="s">
        <v>25518</v>
      </c>
      <c r="F5515" s="10" t="s">
        <v>25519</v>
      </c>
      <c r="G5515" s="10" t="s">
        <v>6317</v>
      </c>
      <c r="H5515" s="11">
        <v>41918</v>
      </c>
      <c r="I5515" s="10">
        <v>2014</v>
      </c>
      <c r="J5515" s="10" t="s">
        <v>25518</v>
      </c>
      <c r="K5515" s="10">
        <v>338</v>
      </c>
      <c r="L5515" s="10" t="s">
        <v>28420</v>
      </c>
      <c r="M5515" s="10">
        <v>1</v>
      </c>
      <c r="N5515" s="10" t="s">
        <v>28421</v>
      </c>
      <c r="O5515" s="10"/>
      <c r="P5515" s="10" t="s">
        <v>28422</v>
      </c>
      <c r="Q5515" s="10">
        <v>371.21</v>
      </c>
      <c r="R5515" s="10" t="s">
        <v>28423</v>
      </c>
      <c r="S5515" s="10" t="s">
        <v>53</v>
      </c>
      <c r="T5515" s="10" t="s">
        <v>54</v>
      </c>
    </row>
    <row r="5516" spans="1:20" ht="14.5" x14ac:dyDescent="0.35">
      <c r="A5516" s="10" t="s">
        <v>28424</v>
      </c>
      <c r="B5516" s="10" t="str">
        <f>"9781443853361"</f>
        <v>9781443853361</v>
      </c>
      <c r="C5516" s="10" t="str">
        <f>"9781443863148"</f>
        <v>9781443863148</v>
      </c>
      <c r="D5516" s="10" t="s">
        <v>23635</v>
      </c>
      <c r="E5516" s="10" t="s">
        <v>23635</v>
      </c>
      <c r="F5516" s="10" t="s">
        <v>23636</v>
      </c>
      <c r="G5516" s="10" t="s">
        <v>6352</v>
      </c>
      <c r="H5516" s="11">
        <v>41647</v>
      </c>
      <c r="I5516" s="10">
        <v>2014</v>
      </c>
      <c r="J5516" s="10" t="s">
        <v>23635</v>
      </c>
      <c r="K5516" s="10">
        <v>218</v>
      </c>
      <c r="L5516" s="10" t="s">
        <v>28425</v>
      </c>
      <c r="M5516" s="10">
        <v>1</v>
      </c>
      <c r="N5516" s="10"/>
      <c r="O5516" s="10"/>
      <c r="P5516" s="10" t="s">
        <v>28426</v>
      </c>
      <c r="Q5516" s="10">
        <v>428</v>
      </c>
      <c r="R5516" s="10" t="s">
        <v>28381</v>
      </c>
      <c r="S5516" s="10" t="s">
        <v>53</v>
      </c>
      <c r="T5516" s="10" t="s">
        <v>6498</v>
      </c>
    </row>
    <row r="5517" spans="1:20" ht="14.5" x14ac:dyDescent="0.35">
      <c r="A5517" s="10" t="s">
        <v>28427</v>
      </c>
      <c r="B5517" s="10" t="str">
        <f>"9781783506842"</f>
        <v>9781783506842</v>
      </c>
      <c r="C5517" s="10" t="str">
        <f>"9781783506835"</f>
        <v>9781783506835</v>
      </c>
      <c r="D5517" s="10" t="s">
        <v>8699</v>
      </c>
      <c r="E5517" s="10" t="s">
        <v>8699</v>
      </c>
      <c r="F5517" s="10" t="s">
        <v>559</v>
      </c>
      <c r="G5517" s="10" t="s">
        <v>6352</v>
      </c>
      <c r="H5517" s="11">
        <v>41796</v>
      </c>
      <c r="I5517" s="10">
        <v>2014</v>
      </c>
      <c r="J5517" s="10" t="s">
        <v>8699</v>
      </c>
      <c r="K5517" s="10">
        <v>419</v>
      </c>
      <c r="L5517" s="10" t="s">
        <v>28428</v>
      </c>
      <c r="M5517" s="10">
        <v>1</v>
      </c>
      <c r="N5517" s="10" t="s">
        <v>28429</v>
      </c>
      <c r="O5517" s="10">
        <v>42</v>
      </c>
      <c r="P5517" s="10" t="s">
        <v>28430</v>
      </c>
      <c r="Q5517" s="10">
        <v>378.101</v>
      </c>
      <c r="R5517" s="10" t="s">
        <v>28431</v>
      </c>
      <c r="S5517" s="10" t="s">
        <v>53</v>
      </c>
      <c r="T5517" s="10" t="s">
        <v>8760</v>
      </c>
    </row>
    <row r="5518" spans="1:20" ht="14.5" x14ac:dyDescent="0.35">
      <c r="A5518" s="10" t="s">
        <v>28432</v>
      </c>
      <c r="B5518" s="10" t="str">
        <f>"9781783507412"</f>
        <v>9781783507412</v>
      </c>
      <c r="C5518" s="10" t="str">
        <f>"9781783507429"</f>
        <v>9781783507429</v>
      </c>
      <c r="D5518" s="10" t="s">
        <v>8699</v>
      </c>
      <c r="E5518" s="10" t="s">
        <v>8699</v>
      </c>
      <c r="F5518" s="10" t="s">
        <v>559</v>
      </c>
      <c r="G5518" s="10" t="s">
        <v>6352</v>
      </c>
      <c r="H5518" s="11">
        <v>41815</v>
      </c>
      <c r="I5518" s="10">
        <v>2014</v>
      </c>
      <c r="J5518" s="10" t="s">
        <v>8699</v>
      </c>
      <c r="K5518" s="10">
        <v>248</v>
      </c>
      <c r="L5518" s="10" t="s">
        <v>28433</v>
      </c>
      <c r="M5518" s="10">
        <v>1</v>
      </c>
      <c r="N5518" s="10" t="s">
        <v>14550</v>
      </c>
      <c r="O5518" s="10">
        <v>26</v>
      </c>
      <c r="P5518" s="10" t="s">
        <v>28434</v>
      </c>
      <c r="Q5518" s="10">
        <v>371.95</v>
      </c>
      <c r="R5518" s="10" t="s">
        <v>28435</v>
      </c>
      <c r="S5518" s="10" t="s">
        <v>53</v>
      </c>
      <c r="T5518" s="10" t="s">
        <v>54</v>
      </c>
    </row>
    <row r="5519" spans="1:20" ht="14.5" x14ac:dyDescent="0.35">
      <c r="A5519" s="10" t="s">
        <v>28436</v>
      </c>
      <c r="B5519" s="10" t="str">
        <f>"9781783508211"</f>
        <v>9781783508211</v>
      </c>
      <c r="C5519" s="10" t="str">
        <f>"9781783508228"</f>
        <v>9781783508228</v>
      </c>
      <c r="D5519" s="10" t="s">
        <v>8699</v>
      </c>
      <c r="E5519" s="10" t="s">
        <v>8699</v>
      </c>
      <c r="F5519" s="10" t="s">
        <v>559</v>
      </c>
      <c r="G5519" s="10" t="s">
        <v>6352</v>
      </c>
      <c r="H5519" s="11">
        <v>41803</v>
      </c>
      <c r="I5519" s="10">
        <v>2014</v>
      </c>
      <c r="J5519" s="10" t="s">
        <v>8699</v>
      </c>
      <c r="K5519" s="10">
        <v>279</v>
      </c>
      <c r="L5519" s="10" t="s">
        <v>28437</v>
      </c>
      <c r="M5519" s="10">
        <v>1</v>
      </c>
      <c r="N5519" s="10" t="s">
        <v>24817</v>
      </c>
      <c r="O5519" s="10">
        <v>4</v>
      </c>
      <c r="P5519" s="10" t="s">
        <v>28438</v>
      </c>
      <c r="Q5519" s="10">
        <v>370.7</v>
      </c>
      <c r="R5519" s="10" t="s">
        <v>1997</v>
      </c>
      <c r="S5519" s="10" t="s">
        <v>53</v>
      </c>
      <c r="T5519" s="10" t="s">
        <v>54</v>
      </c>
    </row>
    <row r="5520" spans="1:20" ht="14.5" x14ac:dyDescent="0.35">
      <c r="A5520" s="10" t="s">
        <v>28439</v>
      </c>
      <c r="B5520" s="10" t="str">
        <f>"9781483359601"</f>
        <v>9781483359601</v>
      </c>
      <c r="C5520" s="10" t="str">
        <f>"9781483375144"</f>
        <v>9781483375144</v>
      </c>
      <c r="D5520" s="10" t="s">
        <v>22210</v>
      </c>
      <c r="E5520" s="10" t="s">
        <v>22211</v>
      </c>
      <c r="F5520" s="10" t="s">
        <v>333</v>
      </c>
      <c r="G5520" s="10" t="s">
        <v>6317</v>
      </c>
      <c r="H5520" s="11">
        <v>41808</v>
      </c>
      <c r="I5520" s="10">
        <v>2014</v>
      </c>
      <c r="J5520" s="10" t="s">
        <v>22211</v>
      </c>
      <c r="K5520" s="10">
        <v>161</v>
      </c>
      <c r="L5520" s="10" t="s">
        <v>28440</v>
      </c>
      <c r="M5520" s="10">
        <v>1</v>
      </c>
      <c r="N5520" s="10"/>
      <c r="O5520" s="10"/>
      <c r="P5520" s="10" t="s">
        <v>28441</v>
      </c>
      <c r="Q5520" s="10">
        <v>794.8</v>
      </c>
      <c r="R5520" s="10"/>
      <c r="S5520" s="10" t="s">
        <v>53</v>
      </c>
      <c r="T5520" s="10" t="s">
        <v>28442</v>
      </c>
    </row>
    <row r="5521" spans="1:20" ht="14.5" x14ac:dyDescent="0.35">
      <c r="A5521" s="10" t="s">
        <v>28443</v>
      </c>
      <c r="B5521" s="10" t="str">
        <f>"9781483331560"</f>
        <v>9781483331560</v>
      </c>
      <c r="C5521" s="10" t="str">
        <f>"9781483331539"</f>
        <v>9781483331539</v>
      </c>
      <c r="D5521" s="10" t="s">
        <v>22210</v>
      </c>
      <c r="E5521" s="10" t="s">
        <v>22211</v>
      </c>
      <c r="F5521" s="10" t="s">
        <v>333</v>
      </c>
      <c r="G5521" s="10" t="s">
        <v>6317</v>
      </c>
      <c r="H5521" s="11">
        <v>41821</v>
      </c>
      <c r="I5521" s="10">
        <v>2014</v>
      </c>
      <c r="J5521" s="10" t="s">
        <v>22211</v>
      </c>
      <c r="K5521" s="10">
        <v>145</v>
      </c>
      <c r="L5521" s="10" t="s">
        <v>28444</v>
      </c>
      <c r="M5521" s="10">
        <v>1</v>
      </c>
      <c r="N5521" s="10"/>
      <c r="O5521" s="10"/>
      <c r="P5521" s="10" t="s">
        <v>28445</v>
      </c>
      <c r="Q5521" s="10">
        <v>371.90430973000002</v>
      </c>
      <c r="R5521" s="10" t="s">
        <v>28446</v>
      </c>
      <c r="S5521" s="10" t="s">
        <v>53</v>
      </c>
      <c r="T5521" s="10" t="s">
        <v>54</v>
      </c>
    </row>
    <row r="5522" spans="1:20" ht="14.5" x14ac:dyDescent="0.35">
      <c r="A5522" s="10" t="s">
        <v>28447</v>
      </c>
      <c r="B5522" s="10" t="str">
        <f>"9783110401448"</f>
        <v>9783110401448</v>
      </c>
      <c r="C5522" s="10" t="str">
        <f>"9783110401455"</f>
        <v>9783110401455</v>
      </c>
      <c r="D5522" s="10" t="s">
        <v>9995</v>
      </c>
      <c r="E5522" s="10" t="s">
        <v>2515</v>
      </c>
      <c r="F5522" s="10" t="s">
        <v>28448</v>
      </c>
      <c r="G5522" s="10" t="s">
        <v>9998</v>
      </c>
      <c r="H5522" s="11">
        <v>41848</v>
      </c>
      <c r="I5522" s="10">
        <v>2014</v>
      </c>
      <c r="J5522" s="10" t="s">
        <v>28449</v>
      </c>
      <c r="K5522" s="10">
        <v>204</v>
      </c>
      <c r="L5522" s="10" t="s">
        <v>28450</v>
      </c>
      <c r="M5522" s="10">
        <v>1</v>
      </c>
      <c r="N5522" s="10"/>
      <c r="O5522" s="10"/>
      <c r="P5522" s="10" t="s">
        <v>28451</v>
      </c>
      <c r="Q5522" s="10">
        <v>371.33</v>
      </c>
      <c r="R5522" s="10" t="s">
        <v>28452</v>
      </c>
      <c r="S5522" s="10" t="s">
        <v>53</v>
      </c>
      <c r="T5522" s="10" t="s">
        <v>8755</v>
      </c>
    </row>
    <row r="5523" spans="1:20" ht="14.5" x14ac:dyDescent="0.35">
      <c r="A5523" s="10" t="s">
        <v>28453</v>
      </c>
      <c r="B5523" s="10" t="str">
        <f>"9783486597370"</f>
        <v>9783486597370</v>
      </c>
      <c r="C5523" s="10" t="str">
        <f>"9783486710182"</f>
        <v>9783486710182</v>
      </c>
      <c r="D5523" s="10" t="s">
        <v>9995</v>
      </c>
      <c r="E5523" s="10" t="s">
        <v>2515</v>
      </c>
      <c r="F5523" s="10" t="s">
        <v>26321</v>
      </c>
      <c r="G5523" s="10" t="s">
        <v>9998</v>
      </c>
      <c r="H5523" s="11">
        <v>40289</v>
      </c>
      <c r="I5523" s="10">
        <v>2010</v>
      </c>
      <c r="J5523" s="10" t="s">
        <v>28454</v>
      </c>
      <c r="K5523" s="10">
        <v>313</v>
      </c>
      <c r="L5523" s="10" t="s">
        <v>28455</v>
      </c>
      <c r="M5523" s="10">
        <v>3</v>
      </c>
      <c r="N5523" s="10"/>
      <c r="O5523" s="10"/>
      <c r="P5523" s="10"/>
      <c r="Q5523" s="10"/>
      <c r="R5523" s="10" t="s">
        <v>28456</v>
      </c>
      <c r="S5523" s="10" t="s">
        <v>1519</v>
      </c>
      <c r="T5523" s="10" t="s">
        <v>54</v>
      </c>
    </row>
    <row r="5524" spans="1:20" ht="14.5" x14ac:dyDescent="0.35">
      <c r="A5524" s="10" t="s">
        <v>28457</v>
      </c>
      <c r="B5524" s="10" t="str">
        <f>"9783486713657"</f>
        <v>9783486713657</v>
      </c>
      <c r="C5524" s="10" t="str">
        <f>"9783486716153"</f>
        <v>9783486716153</v>
      </c>
      <c r="D5524" s="10" t="s">
        <v>9995</v>
      </c>
      <c r="E5524" s="10" t="s">
        <v>2515</v>
      </c>
      <c r="F5524" s="10" t="s">
        <v>26321</v>
      </c>
      <c r="G5524" s="10" t="s">
        <v>9998</v>
      </c>
      <c r="H5524" s="11">
        <v>40989</v>
      </c>
      <c r="I5524" s="10">
        <v>2012</v>
      </c>
      <c r="J5524" s="10" t="s">
        <v>28454</v>
      </c>
      <c r="K5524" s="10">
        <v>188</v>
      </c>
      <c r="L5524" s="10" t="s">
        <v>28458</v>
      </c>
      <c r="M5524" s="10">
        <v>3</v>
      </c>
      <c r="N5524" s="10"/>
      <c r="O5524" s="10"/>
      <c r="P5524" s="10" t="s">
        <v>28459</v>
      </c>
      <c r="Q5524" s="10"/>
      <c r="R5524" s="10" t="s">
        <v>28460</v>
      </c>
      <c r="S5524" s="10" t="s">
        <v>1519</v>
      </c>
      <c r="T5524" s="10" t="s">
        <v>11508</v>
      </c>
    </row>
    <row r="5525" spans="1:20" ht="14.5" x14ac:dyDescent="0.35">
      <c r="A5525" s="10" t="s">
        <v>28461</v>
      </c>
      <c r="B5525" s="10" t="str">
        <f>"9780739172582"</f>
        <v>9780739172582</v>
      </c>
      <c r="C5525" s="10" t="str">
        <f>"9780739172599"</f>
        <v>9780739172599</v>
      </c>
      <c r="D5525" s="10" t="s">
        <v>9752</v>
      </c>
      <c r="E5525" s="10" t="s">
        <v>15182</v>
      </c>
      <c r="F5525" s="10" t="s">
        <v>9754</v>
      </c>
      <c r="G5525" s="10" t="s">
        <v>6317</v>
      </c>
      <c r="H5525" s="11">
        <v>41808</v>
      </c>
      <c r="I5525" s="10">
        <v>2014</v>
      </c>
      <c r="J5525" s="10" t="s">
        <v>15182</v>
      </c>
      <c r="K5525" s="10">
        <v>277</v>
      </c>
      <c r="L5525" s="10" t="s">
        <v>28462</v>
      </c>
      <c r="M5525" s="10">
        <v>1</v>
      </c>
      <c r="N5525" s="10" t="s">
        <v>20339</v>
      </c>
      <c r="O5525" s="10"/>
      <c r="P5525" s="10" t="s">
        <v>28463</v>
      </c>
      <c r="Q5525" s="10">
        <v>371.01097299999998</v>
      </c>
      <c r="R5525" s="10" t="s">
        <v>28464</v>
      </c>
      <c r="S5525" s="10" t="s">
        <v>53</v>
      </c>
      <c r="T5525" s="10" t="s">
        <v>54</v>
      </c>
    </row>
    <row r="5526" spans="1:20" ht="14.5" x14ac:dyDescent="0.35">
      <c r="A5526" s="10" t="s">
        <v>28465</v>
      </c>
      <c r="B5526" s="10" t="str">
        <f>"9780804789615"</f>
        <v>9780804789615</v>
      </c>
      <c r="C5526" s="10" t="str">
        <f>"9780804791922"</f>
        <v>9780804791922</v>
      </c>
      <c r="D5526" s="10" t="s">
        <v>16213</v>
      </c>
      <c r="E5526" s="10" t="s">
        <v>16213</v>
      </c>
      <c r="F5526" s="10" t="s">
        <v>16214</v>
      </c>
      <c r="G5526" s="10" t="s">
        <v>6317</v>
      </c>
      <c r="H5526" s="11">
        <v>41850</v>
      </c>
      <c r="I5526" s="10">
        <v>2014</v>
      </c>
      <c r="J5526" s="10" t="s">
        <v>20663</v>
      </c>
      <c r="K5526" s="10">
        <v>200</v>
      </c>
      <c r="L5526" s="10" t="s">
        <v>28466</v>
      </c>
      <c r="M5526" s="10">
        <v>1</v>
      </c>
      <c r="N5526" s="10" t="s">
        <v>28371</v>
      </c>
      <c r="O5526" s="10"/>
      <c r="P5526" s="10" t="s">
        <v>13176</v>
      </c>
      <c r="Q5526" s="10" t="s">
        <v>16754</v>
      </c>
      <c r="R5526" s="10" t="s">
        <v>28467</v>
      </c>
      <c r="S5526" s="10" t="s">
        <v>53</v>
      </c>
      <c r="T5526" s="10" t="s">
        <v>11186</v>
      </c>
    </row>
    <row r="5527" spans="1:20" ht="14.5" x14ac:dyDescent="0.35">
      <c r="A5527" s="10" t="s">
        <v>28468</v>
      </c>
      <c r="B5527" s="10" t="str">
        <f>"9780804787369"</f>
        <v>9780804787369</v>
      </c>
      <c r="C5527" s="10" t="str">
        <f>"9780804790482"</f>
        <v>9780804790482</v>
      </c>
      <c r="D5527" s="10" t="s">
        <v>16213</v>
      </c>
      <c r="E5527" s="10" t="s">
        <v>16213</v>
      </c>
      <c r="F5527" s="10" t="s">
        <v>16214</v>
      </c>
      <c r="G5527" s="10" t="s">
        <v>6317</v>
      </c>
      <c r="H5527" s="11">
        <v>41843</v>
      </c>
      <c r="I5527" s="10">
        <v>2014</v>
      </c>
      <c r="J5527" s="10" t="s">
        <v>16213</v>
      </c>
      <c r="K5527" s="10">
        <v>361</v>
      </c>
      <c r="L5527" s="10" t="s">
        <v>28469</v>
      </c>
      <c r="M5527" s="10">
        <v>1</v>
      </c>
      <c r="N5527" s="10"/>
      <c r="O5527" s="10"/>
      <c r="P5527" s="10" t="s">
        <v>28470</v>
      </c>
      <c r="Q5527" s="10">
        <v>306.43</v>
      </c>
      <c r="R5527" s="10" t="s">
        <v>28471</v>
      </c>
      <c r="S5527" s="10" t="s">
        <v>53</v>
      </c>
      <c r="T5527" s="10" t="s">
        <v>6526</v>
      </c>
    </row>
    <row r="5528" spans="1:20" ht="14.5" x14ac:dyDescent="0.35">
      <c r="A5528" s="10" t="s">
        <v>28472</v>
      </c>
      <c r="B5528" s="10" t="str">
        <f>"9781412948937"</f>
        <v>9781412948937</v>
      </c>
      <c r="C5528" s="10" t="str">
        <f>"9781452297705"</f>
        <v>9781452297705</v>
      </c>
      <c r="D5528" s="10" t="s">
        <v>22210</v>
      </c>
      <c r="E5528" s="10" t="s">
        <v>22211</v>
      </c>
      <c r="F5528" s="10" t="s">
        <v>333</v>
      </c>
      <c r="G5528" s="10" t="s">
        <v>6317</v>
      </c>
      <c r="H5528" s="11">
        <v>39336</v>
      </c>
      <c r="I5528" s="10">
        <v>2008</v>
      </c>
      <c r="J5528" s="10" t="s">
        <v>22211</v>
      </c>
      <c r="K5528" s="10">
        <v>177</v>
      </c>
      <c r="L5528" s="10" t="s">
        <v>25036</v>
      </c>
      <c r="M5528" s="10">
        <v>1</v>
      </c>
      <c r="N5528" s="10"/>
      <c r="O5528" s="10"/>
      <c r="P5528" s="10" t="s">
        <v>28473</v>
      </c>
      <c r="Q5528" s="10"/>
      <c r="R5528" s="10"/>
      <c r="S5528" s="10" t="s">
        <v>53</v>
      </c>
      <c r="T5528" s="10" t="s">
        <v>54</v>
      </c>
    </row>
    <row r="5529" spans="1:20" ht="14.5" x14ac:dyDescent="0.35">
      <c r="A5529" s="10" t="s">
        <v>28474</v>
      </c>
      <c r="B5529" s="10" t="str">
        <f>"9781412949965"</f>
        <v>9781412949965</v>
      </c>
      <c r="C5529" s="10" t="str">
        <f>"9781452297774"</f>
        <v>9781452297774</v>
      </c>
      <c r="D5529" s="10" t="s">
        <v>22210</v>
      </c>
      <c r="E5529" s="10" t="s">
        <v>22211</v>
      </c>
      <c r="F5529" s="10" t="s">
        <v>333</v>
      </c>
      <c r="G5529" s="10" t="s">
        <v>6317</v>
      </c>
      <c r="H5529" s="11">
        <v>39422</v>
      </c>
      <c r="I5529" s="10">
        <v>2008</v>
      </c>
      <c r="J5529" s="10" t="s">
        <v>22211</v>
      </c>
      <c r="K5529" s="10">
        <v>217</v>
      </c>
      <c r="L5529" s="10" t="s">
        <v>28475</v>
      </c>
      <c r="M5529" s="10">
        <v>1</v>
      </c>
      <c r="N5529" s="10"/>
      <c r="O5529" s="10"/>
      <c r="P5529" s="10" t="s">
        <v>28476</v>
      </c>
      <c r="Q5529" s="10"/>
      <c r="R5529" s="10"/>
      <c r="S5529" s="10" t="s">
        <v>53</v>
      </c>
      <c r="T5529" s="10" t="s">
        <v>54</v>
      </c>
    </row>
    <row r="5530" spans="1:20" ht="14.5" x14ac:dyDescent="0.35">
      <c r="A5530" s="10" t="s">
        <v>28477</v>
      </c>
      <c r="B5530" s="10" t="str">
        <f>"9781412955126"</f>
        <v>9781412955126</v>
      </c>
      <c r="C5530" s="10" t="str">
        <f>"9781452298306"</f>
        <v>9781452298306</v>
      </c>
      <c r="D5530" s="10" t="s">
        <v>22210</v>
      </c>
      <c r="E5530" s="10" t="s">
        <v>22211</v>
      </c>
      <c r="F5530" s="10" t="s">
        <v>333</v>
      </c>
      <c r="G5530" s="10" t="s">
        <v>6317</v>
      </c>
      <c r="H5530" s="11">
        <v>39365</v>
      </c>
      <c r="I5530" s="10">
        <v>2008</v>
      </c>
      <c r="J5530" s="10" t="s">
        <v>22211</v>
      </c>
      <c r="K5530" s="10">
        <v>65</v>
      </c>
      <c r="L5530" s="10" t="s">
        <v>28478</v>
      </c>
      <c r="M5530" s="10">
        <v>1</v>
      </c>
      <c r="N5530" s="10"/>
      <c r="O5530" s="10"/>
      <c r="P5530" s="10" t="s">
        <v>28479</v>
      </c>
      <c r="Q5530" s="10">
        <v>371.2</v>
      </c>
      <c r="R5530" s="10"/>
      <c r="S5530" s="10" t="s">
        <v>53</v>
      </c>
      <c r="T5530" s="10" t="s">
        <v>54</v>
      </c>
    </row>
    <row r="5531" spans="1:20" ht="14.5" x14ac:dyDescent="0.35">
      <c r="A5531" s="10" t="s">
        <v>28480</v>
      </c>
      <c r="B5531" s="10" t="str">
        <f>"9781575178592"</f>
        <v>9781575178592</v>
      </c>
      <c r="C5531" s="10" t="str">
        <f>"9781483366456"</f>
        <v>9781483366456</v>
      </c>
      <c r="D5531" s="10" t="s">
        <v>22210</v>
      </c>
      <c r="E5531" s="10" t="s">
        <v>22211</v>
      </c>
      <c r="F5531" s="10" t="s">
        <v>333</v>
      </c>
      <c r="G5531" s="10" t="s">
        <v>6317</v>
      </c>
      <c r="H5531" s="11">
        <v>37773</v>
      </c>
      <c r="I5531" s="10">
        <v>2003</v>
      </c>
      <c r="J5531" s="10" t="s">
        <v>22211</v>
      </c>
      <c r="K5531" s="10">
        <v>49</v>
      </c>
      <c r="L5531" s="10" t="s">
        <v>23132</v>
      </c>
      <c r="M5531" s="10">
        <v>1</v>
      </c>
      <c r="N5531" s="10"/>
      <c r="O5531" s="10"/>
      <c r="P5531" s="10" t="s">
        <v>28481</v>
      </c>
      <c r="Q5531" s="10"/>
      <c r="R5531" s="10"/>
      <c r="S5531" s="10" t="s">
        <v>53</v>
      </c>
      <c r="T5531" s="10" t="s">
        <v>54</v>
      </c>
    </row>
    <row r="5532" spans="1:20" ht="14.5" x14ac:dyDescent="0.35">
      <c r="A5532" s="10" t="s">
        <v>28482</v>
      </c>
      <c r="B5532" s="10" t="str">
        <f>"9781890455040"</f>
        <v>9781890455040</v>
      </c>
      <c r="C5532" s="10" t="str">
        <f>"9781483366395"</f>
        <v>9781483366395</v>
      </c>
      <c r="D5532" s="10" t="s">
        <v>22210</v>
      </c>
      <c r="E5532" s="10" t="s">
        <v>22211</v>
      </c>
      <c r="F5532" s="10" t="s">
        <v>333</v>
      </c>
      <c r="G5532" s="10" t="s">
        <v>6317</v>
      </c>
      <c r="H5532" s="11">
        <v>38777</v>
      </c>
      <c r="I5532" s="10">
        <v>2006</v>
      </c>
      <c r="J5532" s="10" t="s">
        <v>22211</v>
      </c>
      <c r="K5532" s="10">
        <v>99</v>
      </c>
      <c r="L5532" s="10" t="s">
        <v>28483</v>
      </c>
      <c r="M5532" s="10">
        <v>1</v>
      </c>
      <c r="N5532" s="10"/>
      <c r="O5532" s="10"/>
      <c r="P5532" s="10" t="s">
        <v>28484</v>
      </c>
      <c r="Q5532" s="10"/>
      <c r="R5532" s="10"/>
      <c r="S5532" s="10" t="s">
        <v>53</v>
      </c>
      <c r="T5532" s="10" t="s">
        <v>54</v>
      </c>
    </row>
    <row r="5533" spans="1:20" ht="14.5" x14ac:dyDescent="0.35">
      <c r="A5533" s="10" t="s">
        <v>28485</v>
      </c>
      <c r="B5533" s="10" t="str">
        <f>"9781472504869"</f>
        <v>9781472504869</v>
      </c>
      <c r="C5533" s="10" t="str">
        <f>"9781441143532"</f>
        <v>9781441143532</v>
      </c>
      <c r="D5533" s="10" t="s">
        <v>13959</v>
      </c>
      <c r="E5533" s="10" t="s">
        <v>13960</v>
      </c>
      <c r="F5533" s="10" t="s">
        <v>139</v>
      </c>
      <c r="G5533" s="10" t="s">
        <v>6352</v>
      </c>
      <c r="H5533" s="11">
        <v>41991</v>
      </c>
      <c r="I5533" s="10">
        <v>2014</v>
      </c>
      <c r="J5533" s="10" t="s">
        <v>14057</v>
      </c>
      <c r="K5533" s="10">
        <v>267</v>
      </c>
      <c r="L5533" s="10" t="s">
        <v>28486</v>
      </c>
      <c r="M5533" s="10">
        <v>1</v>
      </c>
      <c r="N5533" s="10" t="s">
        <v>28487</v>
      </c>
      <c r="O5533" s="10"/>
      <c r="P5533" s="10" t="s">
        <v>28488</v>
      </c>
      <c r="Q5533" s="10">
        <v>371.822</v>
      </c>
      <c r="R5533" s="10" t="s">
        <v>28489</v>
      </c>
      <c r="S5533" s="10" t="s">
        <v>53</v>
      </c>
      <c r="T5533" s="10" t="s">
        <v>54</v>
      </c>
    </row>
    <row r="5534" spans="1:20" ht="14.5" x14ac:dyDescent="0.35">
      <c r="A5534" s="10" t="s">
        <v>28490</v>
      </c>
      <c r="B5534" s="10" t="str">
        <f>"9781472504852"</f>
        <v>9781472504852</v>
      </c>
      <c r="C5534" s="10" t="str">
        <f>"9781441136046"</f>
        <v>9781441136046</v>
      </c>
      <c r="D5534" s="10" t="s">
        <v>13959</v>
      </c>
      <c r="E5534" s="10" t="s">
        <v>13960</v>
      </c>
      <c r="F5534" s="10" t="s">
        <v>139</v>
      </c>
      <c r="G5534" s="10" t="s">
        <v>6352</v>
      </c>
      <c r="H5534" s="11">
        <v>41935</v>
      </c>
      <c r="I5534" s="10">
        <v>2014</v>
      </c>
      <c r="J5534" s="10" t="s">
        <v>14057</v>
      </c>
      <c r="K5534" s="10">
        <v>217</v>
      </c>
      <c r="L5534" s="10" t="s">
        <v>28491</v>
      </c>
      <c r="M5534" s="10">
        <v>1</v>
      </c>
      <c r="N5534" s="10" t="s">
        <v>28487</v>
      </c>
      <c r="O5534" s="10"/>
      <c r="P5534" s="10" t="s">
        <v>28492</v>
      </c>
      <c r="Q5534" s="10">
        <v>184</v>
      </c>
      <c r="R5534" s="10" t="s">
        <v>28493</v>
      </c>
      <c r="S5534" s="10" t="s">
        <v>53</v>
      </c>
      <c r="T5534" s="10" t="s">
        <v>12015</v>
      </c>
    </row>
    <row r="5535" spans="1:20" ht="14.5" x14ac:dyDescent="0.35">
      <c r="A5535" s="10" t="s">
        <v>28494</v>
      </c>
      <c r="B5535" s="10" t="str">
        <f>"9789401788656"</f>
        <v>9789401788656</v>
      </c>
      <c r="C5535" s="10" t="str">
        <f>"9789401788663"</f>
        <v>9789401788663</v>
      </c>
      <c r="D5535" s="10" t="s">
        <v>11249</v>
      </c>
      <c r="E5535" s="10" t="s">
        <v>12215</v>
      </c>
      <c r="F5535" s="10" t="s">
        <v>206</v>
      </c>
      <c r="G5535" s="10" t="s">
        <v>9233</v>
      </c>
      <c r="H5535" s="11">
        <v>41806</v>
      </c>
      <c r="I5535" s="10">
        <v>2014</v>
      </c>
      <c r="J5535" s="10" t="s">
        <v>13067</v>
      </c>
      <c r="K5535" s="10">
        <v>305</v>
      </c>
      <c r="L5535" s="10" t="s">
        <v>28495</v>
      </c>
      <c r="M5535" s="10">
        <v>1</v>
      </c>
      <c r="N5535" s="10" t="s">
        <v>28496</v>
      </c>
      <c r="O5535" s="10">
        <v>5</v>
      </c>
      <c r="P5535" s="10" t="s">
        <v>11251</v>
      </c>
      <c r="Q5535" s="10">
        <v>333.70710182300002</v>
      </c>
      <c r="R5535" s="10" t="s">
        <v>28497</v>
      </c>
      <c r="S5535" s="10" t="s">
        <v>53</v>
      </c>
      <c r="T5535" s="10" t="s">
        <v>28498</v>
      </c>
    </row>
    <row r="5536" spans="1:20" ht="14.5" x14ac:dyDescent="0.35">
      <c r="A5536" s="10" t="s">
        <v>28499</v>
      </c>
      <c r="B5536" s="10" t="str">
        <f>"9781443860093"</f>
        <v>9781443860093</v>
      </c>
      <c r="C5536" s="10" t="str">
        <f>"9781443861724"</f>
        <v>9781443861724</v>
      </c>
      <c r="D5536" s="10" t="s">
        <v>23635</v>
      </c>
      <c r="E5536" s="10" t="s">
        <v>23635</v>
      </c>
      <c r="F5536" s="10" t="s">
        <v>23636</v>
      </c>
      <c r="G5536" s="10" t="s">
        <v>6352</v>
      </c>
      <c r="H5536" s="11">
        <v>41842</v>
      </c>
      <c r="I5536" s="10">
        <v>2014</v>
      </c>
      <c r="J5536" s="10" t="s">
        <v>23635</v>
      </c>
      <c r="K5536" s="10">
        <v>548</v>
      </c>
      <c r="L5536" s="10" t="s">
        <v>28500</v>
      </c>
      <c r="M5536" s="10">
        <v>1</v>
      </c>
      <c r="N5536" s="10"/>
      <c r="O5536" s="10"/>
      <c r="P5536" s="10" t="s">
        <v>28501</v>
      </c>
      <c r="Q5536" s="10">
        <v>428.00720000000001</v>
      </c>
      <c r="R5536" s="10" t="s">
        <v>28502</v>
      </c>
      <c r="S5536" s="10" t="s">
        <v>53</v>
      </c>
      <c r="T5536" s="10" t="s">
        <v>6634</v>
      </c>
    </row>
    <row r="5537" spans="1:20" ht="14.5" x14ac:dyDescent="0.35">
      <c r="A5537" s="10" t="s">
        <v>28503</v>
      </c>
      <c r="B5537" s="10" t="str">
        <f>"9781920677510"</f>
        <v>9781920677510</v>
      </c>
      <c r="C5537" s="10" t="str">
        <f>"9781620677551"</f>
        <v>9781620677551</v>
      </c>
      <c r="D5537" s="10" t="s">
        <v>24820</v>
      </c>
      <c r="E5537" s="10" t="s">
        <v>24825</v>
      </c>
      <c r="F5537" s="10" t="s">
        <v>748</v>
      </c>
      <c r="G5537" s="10" t="s">
        <v>24826</v>
      </c>
      <c r="H5537" s="11">
        <v>41821</v>
      </c>
      <c r="I5537" s="10">
        <v>2014</v>
      </c>
      <c r="J5537" s="10" t="s">
        <v>24825</v>
      </c>
      <c r="K5537" s="10">
        <v>262</v>
      </c>
      <c r="L5537" s="10" t="s">
        <v>28504</v>
      </c>
      <c r="M5537" s="10">
        <v>1</v>
      </c>
      <c r="N5537" s="10"/>
      <c r="O5537" s="10"/>
      <c r="P5537" s="10" t="s">
        <v>28505</v>
      </c>
      <c r="Q5537" s="10">
        <v>370.96</v>
      </c>
      <c r="R5537" s="10" t="s">
        <v>28506</v>
      </c>
      <c r="S5537" s="10" t="s">
        <v>53</v>
      </c>
      <c r="T5537" s="10" t="s">
        <v>54</v>
      </c>
    </row>
    <row r="5538" spans="1:20" ht="14.5" x14ac:dyDescent="0.35">
      <c r="A5538" s="10" t="s">
        <v>28507</v>
      </c>
      <c r="B5538" s="10" t="str">
        <f>"9781920677435"</f>
        <v>9781920677435</v>
      </c>
      <c r="C5538" s="10" t="str">
        <f>"9781920677565"</f>
        <v>9781920677565</v>
      </c>
      <c r="D5538" s="10" t="s">
        <v>24820</v>
      </c>
      <c r="E5538" s="10" t="s">
        <v>24825</v>
      </c>
      <c r="F5538" s="10" t="s">
        <v>748</v>
      </c>
      <c r="G5538" s="10" t="s">
        <v>24826</v>
      </c>
      <c r="H5538" s="11">
        <v>41973</v>
      </c>
      <c r="I5538" s="10">
        <v>2014</v>
      </c>
      <c r="J5538" s="10" t="s">
        <v>24825</v>
      </c>
      <c r="K5538" s="10">
        <v>186</v>
      </c>
      <c r="L5538" s="10" t="s">
        <v>28508</v>
      </c>
      <c r="M5538" s="10">
        <v>1</v>
      </c>
      <c r="N5538" s="10"/>
      <c r="O5538" s="10"/>
      <c r="P5538" s="10" t="s">
        <v>28509</v>
      </c>
      <c r="Q5538" s="10"/>
      <c r="R5538" s="10"/>
      <c r="S5538" s="10" t="s">
        <v>53</v>
      </c>
      <c r="T5538" s="10" t="s">
        <v>54</v>
      </c>
    </row>
    <row r="5539" spans="1:20" ht="14.5" x14ac:dyDescent="0.35">
      <c r="A5539" s="10" t="s">
        <v>28510</v>
      </c>
      <c r="B5539" s="10" t="str">
        <f>"9780415935661"</f>
        <v>9780415935661</v>
      </c>
      <c r="C5539" s="10" t="str">
        <f>"9781317849476"</f>
        <v>9781317849476</v>
      </c>
      <c r="D5539" s="10" t="s">
        <v>6350</v>
      </c>
      <c r="E5539" s="10" t="s">
        <v>6351</v>
      </c>
      <c r="F5539" s="10" t="s">
        <v>139</v>
      </c>
      <c r="G5539" s="10" t="s">
        <v>6352</v>
      </c>
      <c r="H5539" s="11">
        <v>37554</v>
      </c>
      <c r="I5539" s="10">
        <v>2003</v>
      </c>
      <c r="J5539" s="10" t="s">
        <v>6353</v>
      </c>
      <c r="K5539" s="10">
        <v>157</v>
      </c>
      <c r="L5539" s="10" t="s">
        <v>28511</v>
      </c>
      <c r="M5539" s="10">
        <v>1</v>
      </c>
      <c r="N5539" s="10" t="s">
        <v>7363</v>
      </c>
      <c r="O5539" s="10"/>
      <c r="P5539" s="10" t="s">
        <v>28512</v>
      </c>
      <c r="Q5539" s="10">
        <v>378.101</v>
      </c>
      <c r="R5539" s="10" t="s">
        <v>28513</v>
      </c>
      <c r="S5539" s="10" t="s">
        <v>53</v>
      </c>
      <c r="T5539" s="10" t="s">
        <v>54</v>
      </c>
    </row>
    <row r="5540" spans="1:20" ht="14.5" x14ac:dyDescent="0.35">
      <c r="A5540" s="10" t="s">
        <v>28514</v>
      </c>
      <c r="B5540" s="10" t="str">
        <f>"9781475809138"</f>
        <v>9781475809138</v>
      </c>
      <c r="C5540" s="10" t="str">
        <f>"9781475809145"</f>
        <v>9781475809145</v>
      </c>
      <c r="D5540" s="10" t="s">
        <v>9752</v>
      </c>
      <c r="E5540" s="10" t="s">
        <v>15187</v>
      </c>
      <c r="F5540" s="10" t="s">
        <v>9754</v>
      </c>
      <c r="G5540" s="10" t="s">
        <v>6317</v>
      </c>
      <c r="H5540" s="11">
        <v>41827</v>
      </c>
      <c r="I5540" s="10">
        <v>2014</v>
      </c>
      <c r="J5540" s="10" t="s">
        <v>15187</v>
      </c>
      <c r="K5540" s="10">
        <v>285</v>
      </c>
      <c r="L5540" s="10" t="s">
        <v>28515</v>
      </c>
      <c r="M5540" s="10">
        <v>2</v>
      </c>
      <c r="N5540" s="10"/>
      <c r="O5540" s="10"/>
      <c r="P5540" s="10" t="s">
        <v>28516</v>
      </c>
      <c r="Q5540" s="10">
        <v>371.2</v>
      </c>
      <c r="R5540" s="10" t="s">
        <v>28517</v>
      </c>
      <c r="S5540" s="10" t="s">
        <v>53</v>
      </c>
      <c r="T5540" s="10" t="s">
        <v>54</v>
      </c>
    </row>
    <row r="5541" spans="1:20" ht="14.5" x14ac:dyDescent="0.35">
      <c r="A5541" s="10" t="s">
        <v>28518</v>
      </c>
      <c r="B5541" s="10" t="str">
        <f>"9781118702055"</f>
        <v>9781118702055</v>
      </c>
      <c r="C5541" s="10" t="str">
        <f>"9781118701973"</f>
        <v>9781118701973</v>
      </c>
      <c r="D5541" s="10" t="s">
        <v>6322</v>
      </c>
      <c r="E5541" s="10" t="s">
        <v>6323</v>
      </c>
      <c r="F5541" s="10" t="s">
        <v>4423</v>
      </c>
      <c r="G5541" s="10" t="s">
        <v>6317</v>
      </c>
      <c r="H5541" s="11">
        <v>41855</v>
      </c>
      <c r="I5541" s="10">
        <v>2014</v>
      </c>
      <c r="J5541" s="10" t="s">
        <v>6324</v>
      </c>
      <c r="K5541" s="10">
        <v>235</v>
      </c>
      <c r="L5541" s="10" t="s">
        <v>13292</v>
      </c>
      <c r="M5541" s="10">
        <v>1</v>
      </c>
      <c r="N5541" s="10"/>
      <c r="O5541" s="10"/>
      <c r="P5541" s="10"/>
      <c r="Q5541" s="10">
        <v>371.10199999999998</v>
      </c>
      <c r="R5541" s="10" t="s">
        <v>28519</v>
      </c>
      <c r="S5541" s="10" t="s">
        <v>53</v>
      </c>
      <c r="T5541" s="10" t="s">
        <v>54</v>
      </c>
    </row>
    <row r="5542" spans="1:20" ht="14.5" x14ac:dyDescent="0.35">
      <c r="A5542" s="10" t="s">
        <v>28520</v>
      </c>
      <c r="B5542" s="10" t="str">
        <f>"9781849055505"</f>
        <v>9781849055505</v>
      </c>
      <c r="C5542" s="10" t="str">
        <f>"9780857009739"</f>
        <v>9780857009739</v>
      </c>
      <c r="D5542" s="10" t="s">
        <v>10516</v>
      </c>
      <c r="E5542" s="10" t="s">
        <v>10516</v>
      </c>
      <c r="F5542" s="10" t="s">
        <v>139</v>
      </c>
      <c r="G5542" s="10" t="s">
        <v>6352</v>
      </c>
      <c r="H5542" s="11">
        <v>41841</v>
      </c>
      <c r="I5542" s="10">
        <v>2014</v>
      </c>
      <c r="J5542" s="10" t="s">
        <v>10516</v>
      </c>
      <c r="K5542" s="10">
        <v>162</v>
      </c>
      <c r="L5542" s="10" t="s">
        <v>28521</v>
      </c>
      <c r="M5542" s="10">
        <v>1</v>
      </c>
      <c r="N5542" s="10"/>
      <c r="O5542" s="10"/>
      <c r="P5542" s="10" t="s">
        <v>28522</v>
      </c>
      <c r="Q5542" s="10">
        <v>371.93</v>
      </c>
      <c r="R5542" s="10" t="s">
        <v>28523</v>
      </c>
      <c r="S5542" s="10" t="s">
        <v>53</v>
      </c>
      <c r="T5542" s="10" t="s">
        <v>54</v>
      </c>
    </row>
    <row r="5543" spans="1:20" ht="14.5" x14ac:dyDescent="0.35">
      <c r="A5543" s="10" t="s">
        <v>28524</v>
      </c>
      <c r="B5543" s="10" t="str">
        <f>"9780813564746"</f>
        <v>9780813564746</v>
      </c>
      <c r="C5543" s="10" t="str">
        <f>"9780813564753"</f>
        <v>9780813564753</v>
      </c>
      <c r="D5543" s="10" t="s">
        <v>12251</v>
      </c>
      <c r="E5543" s="10" t="s">
        <v>12251</v>
      </c>
      <c r="F5543" s="10" t="s">
        <v>12451</v>
      </c>
      <c r="G5543" s="10" t="s">
        <v>6317</v>
      </c>
      <c r="H5543" s="11">
        <v>41913</v>
      </c>
      <c r="I5543" s="10">
        <v>2014</v>
      </c>
      <c r="J5543" s="10" t="s">
        <v>12251</v>
      </c>
      <c r="K5543" s="10">
        <v>300</v>
      </c>
      <c r="L5543" s="10" t="s">
        <v>28525</v>
      </c>
      <c r="M5543" s="10">
        <v>1</v>
      </c>
      <c r="N5543" s="10" t="s">
        <v>28526</v>
      </c>
      <c r="O5543" s="10"/>
      <c r="P5543" s="10" t="s">
        <v>28527</v>
      </c>
      <c r="Q5543" s="10" t="s">
        <v>28528</v>
      </c>
      <c r="R5543" s="10" t="s">
        <v>28529</v>
      </c>
      <c r="S5543" s="10" t="s">
        <v>53</v>
      </c>
      <c r="T5543" s="10" t="s">
        <v>54</v>
      </c>
    </row>
    <row r="5544" spans="1:20" ht="14.5" x14ac:dyDescent="0.35">
      <c r="A5544" s="10" t="s">
        <v>28530</v>
      </c>
      <c r="B5544" s="10" t="str">
        <f>"9781462515776"</f>
        <v>9781462515776</v>
      </c>
      <c r="C5544" s="10" t="str">
        <f>"9781462515783"</f>
        <v>9781462515783</v>
      </c>
      <c r="D5544" s="10" t="s">
        <v>11213</v>
      </c>
      <c r="E5544" s="10" t="s">
        <v>11214</v>
      </c>
      <c r="F5544" s="10" t="s">
        <v>70</v>
      </c>
      <c r="G5544" s="10" t="s">
        <v>6317</v>
      </c>
      <c r="H5544" s="11">
        <v>41905</v>
      </c>
      <c r="I5544" s="10">
        <v>2014</v>
      </c>
      <c r="J5544" s="10" t="s">
        <v>11215</v>
      </c>
      <c r="K5544" s="10">
        <v>250</v>
      </c>
      <c r="L5544" s="10" t="s">
        <v>28531</v>
      </c>
      <c r="M5544" s="10">
        <v>1</v>
      </c>
      <c r="N5544" s="10" t="s">
        <v>28532</v>
      </c>
      <c r="O5544" s="10"/>
      <c r="P5544" s="10" t="s">
        <v>28533</v>
      </c>
      <c r="Q5544" s="10" t="s">
        <v>28534</v>
      </c>
      <c r="R5544" s="10" t="s">
        <v>28535</v>
      </c>
      <c r="S5544" s="10" t="s">
        <v>53</v>
      </c>
      <c r="T5544" s="10" t="s">
        <v>54</v>
      </c>
    </row>
    <row r="5545" spans="1:20" ht="14.5" x14ac:dyDescent="0.35">
      <c r="A5545" s="10" t="s">
        <v>28536</v>
      </c>
      <c r="B5545" s="10" t="str">
        <f>"9780789003157"</f>
        <v>9780789003157</v>
      </c>
      <c r="C5545" s="10" t="str">
        <f>"9781317790730"</f>
        <v>9781317790730</v>
      </c>
      <c r="D5545" s="10" t="s">
        <v>6350</v>
      </c>
      <c r="E5545" s="10" t="s">
        <v>6351</v>
      </c>
      <c r="F5545" s="10" t="s">
        <v>748</v>
      </c>
      <c r="G5545" s="10" t="s">
        <v>6352</v>
      </c>
      <c r="H5545" s="11">
        <v>35583</v>
      </c>
      <c r="I5545" s="10">
        <v>1997</v>
      </c>
      <c r="J5545" s="10" t="s">
        <v>6351</v>
      </c>
      <c r="K5545" s="10">
        <v>122</v>
      </c>
      <c r="L5545" s="10" t="s">
        <v>28537</v>
      </c>
      <c r="M5545" s="10">
        <v>1</v>
      </c>
      <c r="N5545" s="10"/>
      <c r="O5545" s="10"/>
      <c r="P5545" s="10" t="s">
        <v>28538</v>
      </c>
      <c r="Q5545" s="10"/>
      <c r="R5545" s="10" t="s">
        <v>28539</v>
      </c>
      <c r="S5545" s="10" t="s">
        <v>53</v>
      </c>
      <c r="T5545" s="10" t="s">
        <v>8368</v>
      </c>
    </row>
    <row r="5546" spans="1:20" ht="14.5" x14ac:dyDescent="0.35">
      <c r="A5546" s="10" t="s">
        <v>28540</v>
      </c>
      <c r="B5546" s="10" t="str">
        <f>"9781118456170"</f>
        <v>9781118456170</v>
      </c>
      <c r="C5546" s="10" t="str">
        <f>"9781118928127"</f>
        <v>9781118928127</v>
      </c>
      <c r="D5546" s="10" t="s">
        <v>6322</v>
      </c>
      <c r="E5546" s="10" t="s">
        <v>6323</v>
      </c>
      <c r="F5546" s="10" t="s">
        <v>4423</v>
      </c>
      <c r="G5546" s="10" t="s">
        <v>6317</v>
      </c>
      <c r="H5546" s="11">
        <v>41869</v>
      </c>
      <c r="I5546" s="10">
        <v>2014</v>
      </c>
      <c r="J5546" s="10" t="s">
        <v>6324</v>
      </c>
      <c r="K5546" s="10">
        <v>147</v>
      </c>
      <c r="L5546" s="10" t="s">
        <v>28541</v>
      </c>
      <c r="M5546" s="10">
        <v>1</v>
      </c>
      <c r="N5546" s="10"/>
      <c r="O5546" s="10"/>
      <c r="P5546" s="10"/>
      <c r="Q5546" s="10">
        <v>371.26</v>
      </c>
      <c r="R5546" s="10" t="s">
        <v>6755</v>
      </c>
      <c r="S5546" s="10" t="s">
        <v>53</v>
      </c>
      <c r="T5546" s="10" t="s">
        <v>54</v>
      </c>
    </row>
    <row r="5547" spans="1:20" ht="14.5" x14ac:dyDescent="0.35">
      <c r="A5547" s="10" t="s">
        <v>28542</v>
      </c>
      <c r="B5547" s="10" t="str">
        <f>"9781118647455"</f>
        <v>9781118647455</v>
      </c>
      <c r="C5547" s="10" t="str">
        <f>"9781118903711"</f>
        <v>9781118903711</v>
      </c>
      <c r="D5547" s="10" t="s">
        <v>6322</v>
      </c>
      <c r="E5547" s="10" t="s">
        <v>6323</v>
      </c>
      <c r="F5547" s="10" t="s">
        <v>13068</v>
      </c>
      <c r="G5547" s="10" t="s">
        <v>6317</v>
      </c>
      <c r="H5547" s="11">
        <v>41869</v>
      </c>
      <c r="I5547" s="10">
        <v>2014</v>
      </c>
      <c r="J5547" s="10" t="s">
        <v>6324</v>
      </c>
      <c r="K5547" s="10">
        <v>369</v>
      </c>
      <c r="L5547" s="10" t="s">
        <v>28543</v>
      </c>
      <c r="M5547" s="10">
        <v>1</v>
      </c>
      <c r="N5547" s="10"/>
      <c r="O5547" s="10"/>
      <c r="P5547" s="10" t="s">
        <v>28544</v>
      </c>
      <c r="Q5547" s="10">
        <v>378.197</v>
      </c>
      <c r="R5547" s="10" t="s">
        <v>28545</v>
      </c>
      <c r="S5547" s="10" t="s">
        <v>53</v>
      </c>
      <c r="T5547" s="10" t="s">
        <v>54</v>
      </c>
    </row>
    <row r="5548" spans="1:20" ht="14.5" x14ac:dyDescent="0.35">
      <c r="A5548" s="10" t="s">
        <v>28546</v>
      </c>
      <c r="B5548" s="10" t="str">
        <f>"9780787986995"</f>
        <v>9780787986995</v>
      </c>
      <c r="C5548" s="10" t="str">
        <f>"9781119016267"</f>
        <v>9781119016267</v>
      </c>
      <c r="D5548" s="10" t="s">
        <v>6322</v>
      </c>
      <c r="E5548" s="10" t="s">
        <v>6323</v>
      </c>
      <c r="F5548" s="10" t="s">
        <v>4423</v>
      </c>
      <c r="G5548" s="10" t="s">
        <v>6317</v>
      </c>
      <c r="H5548" s="11">
        <v>39388</v>
      </c>
      <c r="I5548" s="10">
        <v>2008</v>
      </c>
      <c r="J5548" s="10" t="s">
        <v>6324</v>
      </c>
      <c r="K5548" s="10">
        <v>267</v>
      </c>
      <c r="L5548" s="10" t="s">
        <v>28547</v>
      </c>
      <c r="M5548" s="10">
        <v>1</v>
      </c>
      <c r="N5548" s="10"/>
      <c r="O5548" s="10"/>
      <c r="P5548" s="10" t="s">
        <v>28548</v>
      </c>
      <c r="Q5548" s="10">
        <v>370</v>
      </c>
      <c r="R5548" s="10" t="s">
        <v>28549</v>
      </c>
      <c r="S5548" s="10" t="s">
        <v>53</v>
      </c>
      <c r="T5548" s="10" t="s">
        <v>54</v>
      </c>
    </row>
    <row r="5549" spans="1:20" ht="14.5" x14ac:dyDescent="0.35">
      <c r="A5549" s="10" t="s">
        <v>28550</v>
      </c>
      <c r="B5549" s="10" t="str">
        <f>"9781118761557"</f>
        <v>9781118761557</v>
      </c>
      <c r="C5549" s="10" t="str">
        <f>"9781118761267"</f>
        <v>9781118761267</v>
      </c>
      <c r="D5549" s="10" t="s">
        <v>6322</v>
      </c>
      <c r="E5549" s="10" t="s">
        <v>6323</v>
      </c>
      <c r="F5549" s="10" t="s">
        <v>4423</v>
      </c>
      <c r="G5549" s="10" t="s">
        <v>6317</v>
      </c>
      <c r="H5549" s="11">
        <v>41862</v>
      </c>
      <c r="I5549" s="10">
        <v>2014</v>
      </c>
      <c r="J5549" s="10" t="s">
        <v>6324</v>
      </c>
      <c r="K5549" s="10">
        <v>441</v>
      </c>
      <c r="L5549" s="10" t="s">
        <v>28551</v>
      </c>
      <c r="M5549" s="10">
        <v>2</v>
      </c>
      <c r="N5549" s="10"/>
      <c r="O5549" s="10"/>
      <c r="P5549" s="10"/>
      <c r="Q5549" s="10" t="s">
        <v>8223</v>
      </c>
      <c r="R5549" s="10" t="s">
        <v>28552</v>
      </c>
      <c r="S5549" s="10" t="s">
        <v>53</v>
      </c>
      <c r="T5549" s="10" t="s">
        <v>54</v>
      </c>
    </row>
    <row r="5550" spans="1:20" ht="14.5" x14ac:dyDescent="0.35">
      <c r="A5550" s="10" t="s">
        <v>28553</v>
      </c>
      <c r="B5550" s="10" t="str">
        <f>"9781416618737"</f>
        <v>9781416618737</v>
      </c>
      <c r="C5550" s="10" t="str">
        <f>"9781416619291"</f>
        <v>9781416619291</v>
      </c>
      <c r="D5550" s="10" t="s">
        <v>10014</v>
      </c>
      <c r="E5550" s="10" t="s">
        <v>10015</v>
      </c>
      <c r="F5550" s="10" t="s">
        <v>201</v>
      </c>
      <c r="G5550" s="10" t="s">
        <v>6317</v>
      </c>
      <c r="H5550" s="11">
        <v>41820</v>
      </c>
      <c r="I5550" s="10">
        <v>2014</v>
      </c>
      <c r="J5550" s="10" t="s">
        <v>10015</v>
      </c>
      <c r="K5550" s="10">
        <v>379</v>
      </c>
      <c r="L5550" s="10" t="s">
        <v>28554</v>
      </c>
      <c r="M5550" s="10">
        <v>1</v>
      </c>
      <c r="N5550" s="10"/>
      <c r="O5550" s="10"/>
      <c r="P5550" s="10" t="s">
        <v>28555</v>
      </c>
      <c r="Q5550" s="10">
        <v>372.6</v>
      </c>
      <c r="R5550" s="10" t="s">
        <v>28556</v>
      </c>
      <c r="S5550" s="10" t="s">
        <v>53</v>
      </c>
      <c r="T5550" s="10" t="s">
        <v>54</v>
      </c>
    </row>
    <row r="5551" spans="1:20" ht="14.5" x14ac:dyDescent="0.35">
      <c r="A5551" s="10" t="s">
        <v>28557</v>
      </c>
      <c r="B5551" s="10" t="str">
        <f>"9781853466342"</f>
        <v>9781853466342</v>
      </c>
      <c r="C5551" s="10" t="str">
        <f>"9781134113705"</f>
        <v>9781134113705</v>
      </c>
      <c r="D5551" s="10" t="s">
        <v>6350</v>
      </c>
      <c r="E5551" s="10" t="s">
        <v>15120</v>
      </c>
      <c r="F5551" s="10" t="s">
        <v>748</v>
      </c>
      <c r="G5551" s="10" t="s">
        <v>6352</v>
      </c>
      <c r="H5551" s="11">
        <v>36404</v>
      </c>
      <c r="I5551" s="10">
        <v>2000</v>
      </c>
      <c r="J5551" s="10" t="s">
        <v>15120</v>
      </c>
      <c r="K5551" s="10">
        <v>178</v>
      </c>
      <c r="L5551" s="10" t="s">
        <v>28558</v>
      </c>
      <c r="M5551" s="10">
        <v>1</v>
      </c>
      <c r="N5551" s="10"/>
      <c r="O5551" s="10"/>
      <c r="P5551" s="10" t="s">
        <v>28559</v>
      </c>
      <c r="Q5551" s="10">
        <v>373.11024093999998</v>
      </c>
      <c r="R5551" s="10" t="s">
        <v>7322</v>
      </c>
      <c r="S5551" s="10" t="s">
        <v>53</v>
      </c>
      <c r="T5551" s="10" t="s">
        <v>54</v>
      </c>
    </row>
    <row r="5552" spans="1:20" ht="14.5" x14ac:dyDescent="0.35">
      <c r="A5552" s="10" t="s">
        <v>28560</v>
      </c>
      <c r="B5552" s="10" t="str">
        <f>"9781853466038"</f>
        <v>9781853466038</v>
      </c>
      <c r="C5552" s="10" t="str">
        <f>"9781134108947"</f>
        <v>9781134108947</v>
      </c>
      <c r="D5552" s="10" t="s">
        <v>6350</v>
      </c>
      <c r="E5552" s="10" t="s">
        <v>15120</v>
      </c>
      <c r="F5552" s="10" t="s">
        <v>748</v>
      </c>
      <c r="G5552" s="10" t="s">
        <v>6352</v>
      </c>
      <c r="H5552" s="11">
        <v>36220</v>
      </c>
      <c r="I5552" s="10">
        <v>1999</v>
      </c>
      <c r="J5552" s="10" t="s">
        <v>15120</v>
      </c>
      <c r="K5552" s="10">
        <v>114</v>
      </c>
      <c r="L5552" s="10" t="s">
        <v>28561</v>
      </c>
      <c r="M5552" s="10">
        <v>1</v>
      </c>
      <c r="N5552" s="10"/>
      <c r="O5552" s="10"/>
      <c r="P5552" s="10" t="s">
        <v>28562</v>
      </c>
      <c r="Q5552" s="10" t="s">
        <v>28563</v>
      </c>
      <c r="R5552" s="10" t="s">
        <v>19525</v>
      </c>
      <c r="S5552" s="10" t="s">
        <v>53</v>
      </c>
      <c r="T5552" s="10" t="s">
        <v>54</v>
      </c>
    </row>
    <row r="5553" spans="1:20" ht="14.5" x14ac:dyDescent="0.35">
      <c r="A5553" s="10" t="s">
        <v>28564</v>
      </c>
      <c r="B5553" s="10" t="str">
        <f>"9781853466212"</f>
        <v>9781853466212</v>
      </c>
      <c r="C5553" s="10" t="str">
        <f>"9781134111183"</f>
        <v>9781134111183</v>
      </c>
      <c r="D5553" s="10" t="s">
        <v>6350</v>
      </c>
      <c r="E5553" s="10" t="s">
        <v>15120</v>
      </c>
      <c r="F5553" s="10" t="s">
        <v>748</v>
      </c>
      <c r="G5553" s="10" t="s">
        <v>6352</v>
      </c>
      <c r="H5553" s="11">
        <v>36312</v>
      </c>
      <c r="I5553" s="10">
        <v>1999</v>
      </c>
      <c r="J5553" s="10" t="s">
        <v>15120</v>
      </c>
      <c r="K5553" s="10">
        <v>387</v>
      </c>
      <c r="L5553" s="10" t="s">
        <v>28565</v>
      </c>
      <c r="M5553" s="10">
        <v>1</v>
      </c>
      <c r="N5553" s="10"/>
      <c r="O5553" s="10"/>
      <c r="P5553" s="10" t="s">
        <v>28566</v>
      </c>
      <c r="Q5553" s="10">
        <v>371.90940999999998</v>
      </c>
      <c r="R5553" s="10" t="s">
        <v>28567</v>
      </c>
      <c r="S5553" s="10" t="s">
        <v>53</v>
      </c>
      <c r="T5553" s="10" t="s">
        <v>54</v>
      </c>
    </row>
    <row r="5554" spans="1:20" ht="14.5" x14ac:dyDescent="0.35">
      <c r="A5554" s="10" t="s">
        <v>28568</v>
      </c>
      <c r="B5554" s="10" t="str">
        <f>"9781441141309"</f>
        <v>9781441141309</v>
      </c>
      <c r="C5554" s="10" t="str">
        <f>"9781441107190"</f>
        <v>9781441107190</v>
      </c>
      <c r="D5554" s="10" t="s">
        <v>13959</v>
      </c>
      <c r="E5554" s="10" t="s">
        <v>13960</v>
      </c>
      <c r="F5554" s="10" t="s">
        <v>139</v>
      </c>
      <c r="G5554" s="10" t="s">
        <v>6352</v>
      </c>
      <c r="H5554" s="11">
        <v>42355</v>
      </c>
      <c r="I5554" s="10">
        <v>2011</v>
      </c>
      <c r="J5554" s="10" t="s">
        <v>13961</v>
      </c>
      <c r="K5554" s="10">
        <v>244</v>
      </c>
      <c r="L5554" s="10" t="s">
        <v>28569</v>
      </c>
      <c r="M5554" s="10">
        <v>1</v>
      </c>
      <c r="N5554" s="10"/>
      <c r="O5554" s="10"/>
      <c r="P5554" s="10" t="s">
        <v>28570</v>
      </c>
      <c r="Q5554" s="10">
        <v>370.94299999999998</v>
      </c>
      <c r="R5554" s="10" t="s">
        <v>28571</v>
      </c>
      <c r="S5554" s="10" t="s">
        <v>53</v>
      </c>
      <c r="T5554" s="10" t="s">
        <v>54</v>
      </c>
    </row>
    <row r="5555" spans="1:20" ht="14.5" x14ac:dyDescent="0.35">
      <c r="A5555" s="10" t="s">
        <v>28572</v>
      </c>
      <c r="B5555" s="10" t="str">
        <f>"9781441161260"</f>
        <v>9781441161260</v>
      </c>
      <c r="C5555" s="10" t="str">
        <f>"9781441147578"</f>
        <v>9781441147578</v>
      </c>
      <c r="D5555" s="10" t="s">
        <v>13959</v>
      </c>
      <c r="E5555" s="10" t="s">
        <v>13960</v>
      </c>
      <c r="F5555" s="10" t="s">
        <v>139</v>
      </c>
      <c r="G5555" s="10" t="s">
        <v>6352</v>
      </c>
      <c r="H5555" s="11">
        <v>40955</v>
      </c>
      <c r="I5555" s="10">
        <v>2011</v>
      </c>
      <c r="J5555" s="10" t="s">
        <v>13961</v>
      </c>
      <c r="K5555" s="10">
        <v>289</v>
      </c>
      <c r="L5555" s="10" t="s">
        <v>28573</v>
      </c>
      <c r="M5555" s="10">
        <v>1</v>
      </c>
      <c r="N5555" s="10"/>
      <c r="O5555" s="10"/>
      <c r="P5555" s="10" t="s">
        <v>19301</v>
      </c>
      <c r="Q5555" s="10">
        <v>370.1</v>
      </c>
      <c r="R5555" s="10" t="s">
        <v>28574</v>
      </c>
      <c r="S5555" s="10" t="s">
        <v>53</v>
      </c>
      <c r="T5555" s="10" t="s">
        <v>54</v>
      </c>
    </row>
    <row r="5556" spans="1:20" ht="14.5" x14ac:dyDescent="0.35">
      <c r="A5556" s="10" t="s">
        <v>28575</v>
      </c>
      <c r="B5556" s="10" t="str">
        <f>"9780826419880"</f>
        <v>9780826419880</v>
      </c>
      <c r="C5556" s="10" t="str">
        <f>"9781441119018"</f>
        <v>9781441119018</v>
      </c>
      <c r="D5556" s="10" t="s">
        <v>13959</v>
      </c>
      <c r="E5556" s="10" t="s">
        <v>13960</v>
      </c>
      <c r="F5556" s="10" t="s">
        <v>139</v>
      </c>
      <c r="G5556" s="10" t="s">
        <v>6352</v>
      </c>
      <c r="H5556" s="11">
        <v>40035</v>
      </c>
      <c r="I5556" s="10">
        <v>2007</v>
      </c>
      <c r="J5556" s="10" t="s">
        <v>13961</v>
      </c>
      <c r="K5556" s="10">
        <v>209</v>
      </c>
      <c r="L5556" s="10" t="s">
        <v>28576</v>
      </c>
      <c r="M5556" s="10">
        <v>1</v>
      </c>
      <c r="N5556" s="10"/>
      <c r="O5556" s="10"/>
      <c r="P5556" s="10" t="s">
        <v>28577</v>
      </c>
      <c r="Q5556" s="10">
        <v>370.71</v>
      </c>
      <c r="R5556" s="10" t="s">
        <v>28578</v>
      </c>
      <c r="S5556" s="10" t="s">
        <v>53</v>
      </c>
      <c r="T5556" s="10" t="s">
        <v>54</v>
      </c>
    </row>
    <row r="5557" spans="1:20" ht="14.5" x14ac:dyDescent="0.35">
      <c r="A5557" s="10" t="s">
        <v>28579</v>
      </c>
      <c r="B5557" s="10" t="str">
        <f>"9780826479075"</f>
        <v>9780826479075</v>
      </c>
      <c r="C5557" s="10" t="str">
        <f>"9781441138767"</f>
        <v>9781441138767</v>
      </c>
      <c r="D5557" s="10" t="s">
        <v>13959</v>
      </c>
      <c r="E5557" s="10" t="s">
        <v>13960</v>
      </c>
      <c r="F5557" s="10" t="s">
        <v>139</v>
      </c>
      <c r="G5557" s="10" t="s">
        <v>6352</v>
      </c>
      <c r="H5557" s="11">
        <v>38471</v>
      </c>
      <c r="I5557" s="10">
        <v>2005</v>
      </c>
      <c r="J5557" s="10" t="s">
        <v>13961</v>
      </c>
      <c r="K5557" s="10">
        <v>265</v>
      </c>
      <c r="L5557" s="10" t="s">
        <v>28580</v>
      </c>
      <c r="M5557" s="10">
        <v>1</v>
      </c>
      <c r="N5557" s="10"/>
      <c r="O5557" s="10"/>
      <c r="P5557" s="10" t="s">
        <v>28581</v>
      </c>
      <c r="Q5557" s="10">
        <v>379</v>
      </c>
      <c r="R5557" s="10" t="s">
        <v>28582</v>
      </c>
      <c r="S5557" s="10" t="s">
        <v>53</v>
      </c>
      <c r="T5557" s="10" t="s">
        <v>54</v>
      </c>
    </row>
    <row r="5558" spans="1:20" ht="14.5" x14ac:dyDescent="0.35">
      <c r="A5558" s="10" t="s">
        <v>28583</v>
      </c>
      <c r="B5558" s="10" t="str">
        <f>"9780826474940"</f>
        <v>9780826474940</v>
      </c>
      <c r="C5558" s="10" t="str">
        <f>"9781441139894"</f>
        <v>9781441139894</v>
      </c>
      <c r="D5558" s="10" t="s">
        <v>13959</v>
      </c>
      <c r="E5558" s="10" t="s">
        <v>13960</v>
      </c>
      <c r="F5558" s="10" t="s">
        <v>139</v>
      </c>
      <c r="G5558" s="10" t="s">
        <v>6352</v>
      </c>
      <c r="H5558" s="11">
        <v>38732</v>
      </c>
      <c r="I5558" s="10">
        <v>2006</v>
      </c>
      <c r="J5558" s="10" t="s">
        <v>13961</v>
      </c>
      <c r="K5558" s="10">
        <v>173</v>
      </c>
      <c r="L5558" s="10" t="s">
        <v>28584</v>
      </c>
      <c r="M5558" s="10">
        <v>1</v>
      </c>
      <c r="N5558" s="10" t="s">
        <v>16548</v>
      </c>
      <c r="O5558" s="10"/>
      <c r="P5558" s="10" t="s">
        <v>28585</v>
      </c>
      <c r="Q5558" s="10">
        <v>371.20709410000001</v>
      </c>
      <c r="R5558" s="10" t="s">
        <v>6452</v>
      </c>
      <c r="S5558" s="10" t="s">
        <v>53</v>
      </c>
      <c r="T5558" s="10" t="s">
        <v>54</v>
      </c>
    </row>
    <row r="5559" spans="1:20" ht="14.5" x14ac:dyDescent="0.35">
      <c r="A5559" s="10" t="s">
        <v>28586</v>
      </c>
      <c r="B5559" s="10" t="str">
        <f>"9780826496508"</f>
        <v>9780826496508</v>
      </c>
      <c r="C5559" s="10" t="str">
        <f>"9781441165176"</f>
        <v>9781441165176</v>
      </c>
      <c r="D5559" s="10" t="s">
        <v>13959</v>
      </c>
      <c r="E5559" s="10" t="s">
        <v>13960</v>
      </c>
      <c r="F5559" s="10" t="s">
        <v>139</v>
      </c>
      <c r="G5559" s="10" t="s">
        <v>6352</v>
      </c>
      <c r="H5559" s="11">
        <v>39245</v>
      </c>
      <c r="I5559" s="10">
        <v>2007</v>
      </c>
      <c r="J5559" s="10" t="s">
        <v>13961</v>
      </c>
      <c r="K5559" s="10">
        <v>211</v>
      </c>
      <c r="L5559" s="10" t="s">
        <v>14638</v>
      </c>
      <c r="M5559" s="10">
        <v>1</v>
      </c>
      <c r="N5559" s="10" t="s">
        <v>14169</v>
      </c>
      <c r="O5559" s="10"/>
      <c r="P5559" s="10" t="s">
        <v>28587</v>
      </c>
      <c r="Q5559" s="10">
        <v>306.43</v>
      </c>
      <c r="R5559" s="10" t="s">
        <v>22554</v>
      </c>
      <c r="S5559" s="10" t="s">
        <v>53</v>
      </c>
      <c r="T5559" s="10" t="s">
        <v>6526</v>
      </c>
    </row>
    <row r="5560" spans="1:20" ht="14.5" x14ac:dyDescent="0.35">
      <c r="A5560" s="10" t="s">
        <v>28588</v>
      </c>
      <c r="B5560" s="10" t="str">
        <f>"9780826484727"</f>
        <v>9780826484727</v>
      </c>
      <c r="C5560" s="10" t="str">
        <f>"9781441117601"</f>
        <v>9781441117601</v>
      </c>
      <c r="D5560" s="10" t="s">
        <v>13959</v>
      </c>
      <c r="E5560" s="10" t="s">
        <v>13960</v>
      </c>
      <c r="F5560" s="10" t="s">
        <v>139</v>
      </c>
      <c r="G5560" s="10" t="s">
        <v>6352</v>
      </c>
      <c r="H5560" s="11">
        <v>39301</v>
      </c>
      <c r="I5560" s="10">
        <v>2007</v>
      </c>
      <c r="J5560" s="10" t="s">
        <v>13961</v>
      </c>
      <c r="K5560" s="10">
        <v>170</v>
      </c>
      <c r="L5560" s="10" t="s">
        <v>28589</v>
      </c>
      <c r="M5560" s="10">
        <v>1</v>
      </c>
      <c r="N5560" s="10"/>
      <c r="O5560" s="10"/>
      <c r="P5560" s="10" t="s">
        <v>28590</v>
      </c>
      <c r="Q5560" s="10">
        <v>370.1</v>
      </c>
      <c r="R5560" s="10" t="s">
        <v>17321</v>
      </c>
      <c r="S5560" s="10" t="s">
        <v>53</v>
      </c>
      <c r="T5560" s="10" t="s">
        <v>54</v>
      </c>
    </row>
    <row r="5561" spans="1:20" ht="14.5" x14ac:dyDescent="0.35">
      <c r="A5561" s="10" t="s">
        <v>28591</v>
      </c>
      <c r="B5561" s="10" t="str">
        <f>"9780826485045"</f>
        <v>9780826485045</v>
      </c>
      <c r="C5561" s="10" t="str">
        <f>"9781441147660"</f>
        <v>9781441147660</v>
      </c>
      <c r="D5561" s="10" t="s">
        <v>13959</v>
      </c>
      <c r="E5561" s="10" t="s">
        <v>13960</v>
      </c>
      <c r="F5561" s="10" t="s">
        <v>139</v>
      </c>
      <c r="G5561" s="10" t="s">
        <v>6352</v>
      </c>
      <c r="H5561" s="11">
        <v>39210</v>
      </c>
      <c r="I5561" s="10">
        <v>2007</v>
      </c>
      <c r="J5561" s="10" t="s">
        <v>13961</v>
      </c>
      <c r="K5561" s="10">
        <v>224</v>
      </c>
      <c r="L5561" s="10" t="s">
        <v>14222</v>
      </c>
      <c r="M5561" s="10">
        <v>1</v>
      </c>
      <c r="N5561" s="10" t="s">
        <v>14169</v>
      </c>
      <c r="O5561" s="10"/>
      <c r="P5561" s="10" t="s">
        <v>28592</v>
      </c>
      <c r="Q5561" s="10">
        <v>379.26</v>
      </c>
      <c r="R5561" s="10" t="s">
        <v>28593</v>
      </c>
      <c r="S5561" s="10" t="s">
        <v>53</v>
      </c>
      <c r="T5561" s="10" t="s">
        <v>54</v>
      </c>
    </row>
    <row r="5562" spans="1:20" ht="14.5" x14ac:dyDescent="0.35">
      <c r="A5562" s="10" t="s">
        <v>28594</v>
      </c>
      <c r="B5562" s="10" t="str">
        <f>"9780826447012"</f>
        <v>9780826447012</v>
      </c>
      <c r="C5562" s="10" t="str">
        <f>"9781441127280"</f>
        <v>9781441127280</v>
      </c>
      <c r="D5562" s="10" t="s">
        <v>13959</v>
      </c>
      <c r="E5562" s="10" t="s">
        <v>13960</v>
      </c>
      <c r="F5562" s="10" t="s">
        <v>139</v>
      </c>
      <c r="G5562" s="10" t="s">
        <v>6352</v>
      </c>
      <c r="H5562" s="11">
        <v>36982</v>
      </c>
      <c r="I5562" s="10">
        <v>2001</v>
      </c>
      <c r="J5562" s="10" t="s">
        <v>13961</v>
      </c>
      <c r="K5562" s="10">
        <v>208</v>
      </c>
      <c r="L5562" s="10" t="s">
        <v>7547</v>
      </c>
      <c r="M5562" s="10">
        <v>1</v>
      </c>
      <c r="N5562" s="10"/>
      <c r="O5562" s="10"/>
      <c r="P5562" s="10" t="s">
        <v>28595</v>
      </c>
      <c r="Q5562" s="10">
        <v>370.72</v>
      </c>
      <c r="R5562" s="10" t="s">
        <v>16010</v>
      </c>
      <c r="S5562" s="10" t="s">
        <v>53</v>
      </c>
      <c r="T5562" s="10" t="s">
        <v>54</v>
      </c>
    </row>
    <row r="5563" spans="1:20" ht="14.5" x14ac:dyDescent="0.35">
      <c r="A5563" s="10" t="s">
        <v>28596</v>
      </c>
      <c r="B5563" s="10" t="str">
        <f>"9780826464743"</f>
        <v>9780826464743</v>
      </c>
      <c r="C5563" s="10" t="str">
        <f>"9781441164063"</f>
        <v>9781441164063</v>
      </c>
      <c r="D5563" s="10" t="s">
        <v>13959</v>
      </c>
      <c r="E5563" s="10" t="s">
        <v>13960</v>
      </c>
      <c r="F5563" s="10" t="s">
        <v>139</v>
      </c>
      <c r="G5563" s="10" t="s">
        <v>6352</v>
      </c>
      <c r="H5563" s="11">
        <v>38487</v>
      </c>
      <c r="I5563" s="10">
        <v>2005</v>
      </c>
      <c r="J5563" s="10" t="s">
        <v>13961</v>
      </c>
      <c r="K5563" s="10">
        <v>205</v>
      </c>
      <c r="L5563" s="10" t="s">
        <v>28597</v>
      </c>
      <c r="M5563" s="10">
        <v>1</v>
      </c>
      <c r="N5563" s="10" t="s">
        <v>16548</v>
      </c>
      <c r="O5563" s="10"/>
      <c r="P5563" s="10" t="s">
        <v>28598</v>
      </c>
      <c r="Q5563" s="10">
        <v>371.20699999999999</v>
      </c>
      <c r="R5563" s="10" t="s">
        <v>6738</v>
      </c>
      <c r="S5563" s="10" t="s">
        <v>53</v>
      </c>
      <c r="T5563" s="10" t="s">
        <v>54</v>
      </c>
    </row>
    <row r="5564" spans="1:20" ht="14.5" x14ac:dyDescent="0.35">
      <c r="A5564" s="10" t="s">
        <v>28599</v>
      </c>
      <c r="B5564" s="10" t="str">
        <f>"9780826494191"</f>
        <v>9780826494191</v>
      </c>
      <c r="C5564" s="10" t="str">
        <f>"9781441170606"</f>
        <v>9781441170606</v>
      </c>
      <c r="D5564" s="10" t="s">
        <v>13959</v>
      </c>
      <c r="E5564" s="10" t="s">
        <v>13960</v>
      </c>
      <c r="F5564" s="10" t="s">
        <v>139</v>
      </c>
      <c r="G5564" s="10" t="s">
        <v>6352</v>
      </c>
      <c r="H5564" s="11">
        <v>39400</v>
      </c>
      <c r="I5564" s="10">
        <v>2007</v>
      </c>
      <c r="J5564" s="10" t="s">
        <v>13961</v>
      </c>
      <c r="K5564" s="10">
        <v>191</v>
      </c>
      <c r="L5564" s="10" t="s">
        <v>28600</v>
      </c>
      <c r="M5564" s="10">
        <v>1</v>
      </c>
      <c r="N5564" s="10"/>
      <c r="O5564" s="10"/>
      <c r="P5564" s="10" t="s">
        <v>28601</v>
      </c>
      <c r="Q5564" s="10">
        <v>306.43200000000002</v>
      </c>
      <c r="R5564" s="10" t="s">
        <v>28602</v>
      </c>
      <c r="S5564" s="10" t="s">
        <v>53</v>
      </c>
      <c r="T5564" s="10" t="s">
        <v>9993</v>
      </c>
    </row>
    <row r="5565" spans="1:20" ht="14.5" x14ac:dyDescent="0.35">
      <c r="A5565" s="10" t="s">
        <v>28603</v>
      </c>
      <c r="B5565" s="10" t="str">
        <f>"9781855392335"</f>
        <v>9781855392335</v>
      </c>
      <c r="C5565" s="10" t="str">
        <f>"9781855395213"</f>
        <v>9781855395213</v>
      </c>
      <c r="D5565" s="10" t="s">
        <v>13959</v>
      </c>
      <c r="E5565" s="10" t="s">
        <v>13960</v>
      </c>
      <c r="F5565" s="10" t="s">
        <v>139</v>
      </c>
      <c r="G5565" s="10" t="s">
        <v>6352</v>
      </c>
      <c r="H5565" s="11">
        <v>39243</v>
      </c>
      <c r="I5565" s="10">
        <v>2007</v>
      </c>
      <c r="J5565" s="10" t="s">
        <v>14120</v>
      </c>
      <c r="K5565" s="10">
        <v>193</v>
      </c>
      <c r="L5565" s="10" t="s">
        <v>28604</v>
      </c>
      <c r="M5565" s="10">
        <v>1</v>
      </c>
      <c r="N5565" s="10"/>
      <c r="O5565" s="10"/>
      <c r="P5565" s="10" t="s">
        <v>28605</v>
      </c>
      <c r="Q5565" s="10">
        <v>371.19</v>
      </c>
      <c r="R5565" s="10" t="s">
        <v>28606</v>
      </c>
      <c r="S5565" s="10" t="s">
        <v>53</v>
      </c>
      <c r="T5565" s="10" t="s">
        <v>54</v>
      </c>
    </row>
    <row r="5566" spans="1:20" ht="14.5" x14ac:dyDescent="0.35">
      <c r="A5566" s="10" t="s">
        <v>28607</v>
      </c>
      <c r="B5566" s="10" t="str">
        <f>"9781855391154"</f>
        <v>9781855391154</v>
      </c>
      <c r="C5566" s="10" t="str">
        <f>"9781855397842"</f>
        <v>9781855397842</v>
      </c>
      <c r="D5566" s="10" t="s">
        <v>13959</v>
      </c>
      <c r="E5566" s="10" t="s">
        <v>13960</v>
      </c>
      <c r="F5566" s="10" t="s">
        <v>139</v>
      </c>
      <c r="G5566" s="10" t="s">
        <v>6352</v>
      </c>
      <c r="H5566" s="11">
        <v>38820</v>
      </c>
      <c r="I5566" s="10">
        <v>2006</v>
      </c>
      <c r="J5566" s="10" t="s">
        <v>14120</v>
      </c>
      <c r="K5566" s="10">
        <v>161</v>
      </c>
      <c r="L5566" s="10" t="s">
        <v>28608</v>
      </c>
      <c r="M5566" s="10">
        <v>1</v>
      </c>
      <c r="N5566" s="10"/>
      <c r="O5566" s="10"/>
      <c r="P5566" s="10" t="s">
        <v>28609</v>
      </c>
      <c r="Q5566" s="10">
        <v>371.39400000000001</v>
      </c>
      <c r="R5566" s="10" t="s">
        <v>28610</v>
      </c>
      <c r="S5566" s="10" t="s">
        <v>53</v>
      </c>
      <c r="T5566" s="10" t="s">
        <v>54</v>
      </c>
    </row>
    <row r="5567" spans="1:20" ht="14.5" x14ac:dyDescent="0.35">
      <c r="A5567" s="10" t="s">
        <v>28611</v>
      </c>
      <c r="B5567" s="10" t="str">
        <f>"9780826484901"</f>
        <v>9780826484901</v>
      </c>
      <c r="C5567" s="10" t="str">
        <f>"9781441191533"</f>
        <v>9781441191533</v>
      </c>
      <c r="D5567" s="10" t="s">
        <v>13959</v>
      </c>
      <c r="E5567" s="10" t="s">
        <v>13960</v>
      </c>
      <c r="F5567" s="10" t="s">
        <v>139</v>
      </c>
      <c r="G5567" s="10" t="s">
        <v>6352</v>
      </c>
      <c r="H5567" s="11">
        <v>39294</v>
      </c>
      <c r="I5567" s="10">
        <v>2007</v>
      </c>
      <c r="J5567" s="10" t="s">
        <v>13961</v>
      </c>
      <c r="K5567" s="10">
        <v>198</v>
      </c>
      <c r="L5567" s="10" t="s">
        <v>28612</v>
      </c>
      <c r="M5567" s="10">
        <v>1</v>
      </c>
      <c r="N5567" s="10" t="s">
        <v>17037</v>
      </c>
      <c r="O5567" s="10"/>
      <c r="P5567" s="10" t="s">
        <v>28613</v>
      </c>
      <c r="Q5567" s="10">
        <v>370.71499999999997</v>
      </c>
      <c r="R5567" s="10" t="s">
        <v>28614</v>
      </c>
      <c r="S5567" s="10" t="s">
        <v>53</v>
      </c>
      <c r="T5567" s="10" t="s">
        <v>54</v>
      </c>
    </row>
    <row r="5568" spans="1:20" ht="14.5" x14ac:dyDescent="0.35">
      <c r="A5568" s="10" t="s">
        <v>28615</v>
      </c>
      <c r="B5568" s="10" t="str">
        <f>"9780826487308"</f>
        <v>9780826487308</v>
      </c>
      <c r="C5568" s="10" t="str">
        <f>"9781441186157"</f>
        <v>9781441186157</v>
      </c>
      <c r="D5568" s="10" t="s">
        <v>13959</v>
      </c>
      <c r="E5568" s="10" t="s">
        <v>13960</v>
      </c>
      <c r="F5568" s="10" t="s">
        <v>139</v>
      </c>
      <c r="G5568" s="10" t="s">
        <v>6352</v>
      </c>
      <c r="H5568" s="11">
        <v>39066</v>
      </c>
      <c r="I5568" s="10">
        <v>2006</v>
      </c>
      <c r="J5568" s="10" t="s">
        <v>13961</v>
      </c>
      <c r="K5568" s="10">
        <v>150</v>
      </c>
      <c r="L5568" s="10" t="s">
        <v>28616</v>
      </c>
      <c r="M5568" s="10">
        <v>1</v>
      </c>
      <c r="N5568" s="10" t="s">
        <v>19261</v>
      </c>
      <c r="O5568" s="10"/>
      <c r="P5568" s="10" t="s">
        <v>28617</v>
      </c>
      <c r="Q5568" s="10">
        <v>374.12009410000002</v>
      </c>
      <c r="R5568" s="10" t="s">
        <v>28618</v>
      </c>
      <c r="S5568" s="10" t="s">
        <v>53</v>
      </c>
      <c r="T5568" s="10" t="s">
        <v>54</v>
      </c>
    </row>
    <row r="5569" spans="1:20" ht="14.5" x14ac:dyDescent="0.35">
      <c r="A5569" s="10" t="s">
        <v>28619</v>
      </c>
      <c r="B5569" s="10" t="str">
        <f>"9780826490858"</f>
        <v>9780826490858</v>
      </c>
      <c r="C5569" s="10" t="str">
        <f>"9781441185068"</f>
        <v>9781441185068</v>
      </c>
      <c r="D5569" s="10" t="s">
        <v>13959</v>
      </c>
      <c r="E5569" s="10" t="s">
        <v>13960</v>
      </c>
      <c r="F5569" s="10" t="s">
        <v>139</v>
      </c>
      <c r="G5569" s="10" t="s">
        <v>6352</v>
      </c>
      <c r="H5569" s="11">
        <v>39295</v>
      </c>
      <c r="I5569" s="10">
        <v>2007</v>
      </c>
      <c r="J5569" s="10" t="s">
        <v>13961</v>
      </c>
      <c r="K5569" s="10">
        <v>186</v>
      </c>
      <c r="L5569" s="10" t="s">
        <v>14698</v>
      </c>
      <c r="M5569" s="10">
        <v>1</v>
      </c>
      <c r="N5569" s="10"/>
      <c r="O5569" s="10"/>
      <c r="P5569" s="10" t="s">
        <v>28620</v>
      </c>
      <c r="Q5569" s="10">
        <v>379</v>
      </c>
      <c r="R5569" s="10" t="s">
        <v>28621</v>
      </c>
      <c r="S5569" s="10" t="s">
        <v>53</v>
      </c>
      <c r="T5569" s="10" t="s">
        <v>54</v>
      </c>
    </row>
    <row r="5570" spans="1:20" ht="14.5" x14ac:dyDescent="0.35">
      <c r="A5570" s="10" t="s">
        <v>28622</v>
      </c>
      <c r="B5570" s="10" t="str">
        <f>"9780826473127"</f>
        <v>9780826473127</v>
      </c>
      <c r="C5570" s="10" t="str">
        <f>"9781441177872"</f>
        <v>9781441177872</v>
      </c>
      <c r="D5570" s="10" t="s">
        <v>13959</v>
      </c>
      <c r="E5570" s="10" t="s">
        <v>13960</v>
      </c>
      <c r="F5570" s="10" t="s">
        <v>139</v>
      </c>
      <c r="G5570" s="10" t="s">
        <v>6352</v>
      </c>
      <c r="H5570" s="11">
        <v>38261</v>
      </c>
      <c r="I5570" s="10">
        <v>2004</v>
      </c>
      <c r="J5570" s="10" t="s">
        <v>13961</v>
      </c>
      <c r="K5570" s="10">
        <v>183</v>
      </c>
      <c r="L5570" s="10" t="s">
        <v>14140</v>
      </c>
      <c r="M5570" s="10">
        <v>1</v>
      </c>
      <c r="N5570" s="10"/>
      <c r="O5570" s="10"/>
      <c r="P5570" s="10" t="s">
        <v>28623</v>
      </c>
      <c r="Q5570" s="10" t="s">
        <v>14142</v>
      </c>
      <c r="R5570" s="10" t="s">
        <v>28624</v>
      </c>
      <c r="S5570" s="10" t="s">
        <v>53</v>
      </c>
      <c r="T5570" s="10" t="s">
        <v>54</v>
      </c>
    </row>
    <row r="5571" spans="1:20" ht="14.5" x14ac:dyDescent="0.35">
      <c r="A5571" s="10" t="s">
        <v>28625</v>
      </c>
      <c r="B5571" s="10" t="str">
        <f>"9780826485519"</f>
        <v>9780826485519</v>
      </c>
      <c r="C5571" s="10" t="str">
        <f>"9781441177384"</f>
        <v>9781441177384</v>
      </c>
      <c r="D5571" s="10" t="s">
        <v>13959</v>
      </c>
      <c r="E5571" s="10" t="s">
        <v>13960</v>
      </c>
      <c r="F5571" s="10" t="s">
        <v>139</v>
      </c>
      <c r="G5571" s="10" t="s">
        <v>6352</v>
      </c>
      <c r="H5571" s="11">
        <v>39097</v>
      </c>
      <c r="I5571" s="10">
        <v>2006</v>
      </c>
      <c r="J5571" s="10" t="s">
        <v>13961</v>
      </c>
      <c r="K5571" s="10">
        <v>163</v>
      </c>
      <c r="L5571" s="10" t="s">
        <v>18937</v>
      </c>
      <c r="M5571" s="10">
        <v>1</v>
      </c>
      <c r="N5571" s="10" t="s">
        <v>19261</v>
      </c>
      <c r="O5571" s="10"/>
      <c r="P5571" s="10" t="s">
        <v>28626</v>
      </c>
      <c r="Q5571" s="10">
        <v>155.90420243700001</v>
      </c>
      <c r="R5571" s="10" t="s">
        <v>28627</v>
      </c>
      <c r="S5571" s="10" t="s">
        <v>53</v>
      </c>
      <c r="T5571" s="10" t="s">
        <v>6640</v>
      </c>
    </row>
    <row r="5572" spans="1:20" ht="14.5" x14ac:dyDescent="0.35">
      <c r="A5572" s="10" t="s">
        <v>28628</v>
      </c>
      <c r="B5572" s="10" t="str">
        <f>"9780826477613"</f>
        <v>9780826477613</v>
      </c>
      <c r="C5572" s="10" t="str">
        <f>"9781441176707"</f>
        <v>9781441176707</v>
      </c>
      <c r="D5572" s="10" t="s">
        <v>13959</v>
      </c>
      <c r="E5572" s="10" t="s">
        <v>13960</v>
      </c>
      <c r="F5572" s="10" t="s">
        <v>139</v>
      </c>
      <c r="G5572" s="10" t="s">
        <v>6352</v>
      </c>
      <c r="H5572" s="11">
        <v>38351</v>
      </c>
      <c r="I5572" s="10">
        <v>2004</v>
      </c>
      <c r="J5572" s="10" t="s">
        <v>13961</v>
      </c>
      <c r="K5572" s="10">
        <v>201</v>
      </c>
      <c r="L5572" s="10" t="s">
        <v>28629</v>
      </c>
      <c r="M5572" s="10">
        <v>1</v>
      </c>
      <c r="N5572" s="10"/>
      <c r="O5572" s="10"/>
      <c r="P5572" s="10" t="s">
        <v>28630</v>
      </c>
      <c r="Q5572" s="10">
        <v>371.20709410000001</v>
      </c>
      <c r="R5572" s="10" t="s">
        <v>6452</v>
      </c>
      <c r="S5572" s="10" t="s">
        <v>53</v>
      </c>
      <c r="T5572" s="10" t="s">
        <v>54</v>
      </c>
    </row>
    <row r="5573" spans="1:20" ht="14.5" x14ac:dyDescent="0.35">
      <c r="A5573" s="10" t="s">
        <v>28631</v>
      </c>
      <c r="B5573" s="10" t="str">
        <f>"9780826492494"</f>
        <v>9780826492494</v>
      </c>
      <c r="C5573" s="10" t="str">
        <f>"9781441189615"</f>
        <v>9781441189615</v>
      </c>
      <c r="D5573" s="10" t="s">
        <v>13959</v>
      </c>
      <c r="E5573" s="10" t="s">
        <v>13960</v>
      </c>
      <c r="F5573" s="10" t="s">
        <v>139</v>
      </c>
      <c r="G5573" s="10" t="s">
        <v>6352</v>
      </c>
      <c r="H5573" s="11">
        <v>39217</v>
      </c>
      <c r="I5573" s="10">
        <v>2007</v>
      </c>
      <c r="J5573" s="10" t="s">
        <v>13961</v>
      </c>
      <c r="K5573" s="10">
        <v>167</v>
      </c>
      <c r="L5573" s="10" t="s">
        <v>26898</v>
      </c>
      <c r="M5573" s="10">
        <v>1</v>
      </c>
      <c r="N5573" s="10" t="s">
        <v>16573</v>
      </c>
      <c r="O5573" s="10"/>
      <c r="P5573" s="10" t="s">
        <v>28632</v>
      </c>
      <c r="Q5573" s="10">
        <v>374.18019094099998</v>
      </c>
      <c r="R5573" s="10" t="s">
        <v>28633</v>
      </c>
      <c r="S5573" s="10" t="s">
        <v>53</v>
      </c>
      <c r="T5573" s="10" t="s">
        <v>54</v>
      </c>
    </row>
    <row r="5574" spans="1:20" ht="14.5" x14ac:dyDescent="0.35">
      <c r="A5574" s="10" t="s">
        <v>28634</v>
      </c>
      <c r="B5574" s="10" t="str">
        <f>"9781441129734"</f>
        <v>9781441129734</v>
      </c>
      <c r="C5574" s="10" t="str">
        <f>"9781441169617"</f>
        <v>9781441169617</v>
      </c>
      <c r="D5574" s="10" t="s">
        <v>13959</v>
      </c>
      <c r="E5574" s="10" t="s">
        <v>13960</v>
      </c>
      <c r="F5574" s="10" t="s">
        <v>139</v>
      </c>
      <c r="G5574" s="10" t="s">
        <v>6352</v>
      </c>
      <c r="H5574" s="11">
        <v>40941</v>
      </c>
      <c r="I5574" s="10">
        <v>2011</v>
      </c>
      <c r="J5574" s="10" t="s">
        <v>13961</v>
      </c>
      <c r="K5574" s="10">
        <v>321</v>
      </c>
      <c r="L5574" s="10" t="s">
        <v>28635</v>
      </c>
      <c r="M5574" s="10">
        <v>1</v>
      </c>
      <c r="N5574" s="10"/>
      <c r="O5574" s="10"/>
      <c r="P5574" s="10" t="s">
        <v>16415</v>
      </c>
      <c r="Q5574" s="10" t="s">
        <v>8460</v>
      </c>
      <c r="R5574" s="10" t="s">
        <v>28636</v>
      </c>
      <c r="S5574" s="10" t="s">
        <v>53</v>
      </c>
      <c r="T5574" s="10" t="s">
        <v>54</v>
      </c>
    </row>
    <row r="5575" spans="1:20" ht="14.5" x14ac:dyDescent="0.35">
      <c r="A5575" s="10" t="s">
        <v>28637</v>
      </c>
      <c r="B5575" s="10" t="str">
        <f>"9781441143778"</f>
        <v>9781441143778</v>
      </c>
      <c r="C5575" s="10" t="str">
        <f>"9781441176790"</f>
        <v>9781441176790</v>
      </c>
      <c r="D5575" s="10" t="s">
        <v>13959</v>
      </c>
      <c r="E5575" s="10" t="s">
        <v>13960</v>
      </c>
      <c r="F5575" s="10" t="s">
        <v>139</v>
      </c>
      <c r="G5575" s="10" t="s">
        <v>6352</v>
      </c>
      <c r="H5575" s="11">
        <v>41067</v>
      </c>
      <c r="I5575" s="10">
        <v>2012</v>
      </c>
      <c r="J5575" s="10" t="s">
        <v>13961</v>
      </c>
      <c r="K5575" s="10">
        <v>366</v>
      </c>
      <c r="L5575" s="10" t="s">
        <v>28638</v>
      </c>
      <c r="M5575" s="10">
        <v>1</v>
      </c>
      <c r="N5575" s="10"/>
      <c r="O5575" s="10"/>
      <c r="P5575" s="10" t="s">
        <v>28639</v>
      </c>
      <c r="Q5575" s="10">
        <v>371.33446780000003</v>
      </c>
      <c r="R5575" s="10" t="s">
        <v>28640</v>
      </c>
      <c r="S5575" s="10" t="s">
        <v>53</v>
      </c>
      <c r="T5575" s="10" t="s">
        <v>54</v>
      </c>
    </row>
    <row r="5576" spans="1:20" ht="14.5" x14ac:dyDescent="0.35">
      <c r="A5576" s="10" t="s">
        <v>28641</v>
      </c>
      <c r="B5576" s="10" t="str">
        <f>"9780826491701"</f>
        <v>9780826491701</v>
      </c>
      <c r="C5576" s="10" t="str">
        <f>"9781441185310"</f>
        <v>9781441185310</v>
      </c>
      <c r="D5576" s="10" t="s">
        <v>13959</v>
      </c>
      <c r="E5576" s="10" t="s">
        <v>13960</v>
      </c>
      <c r="F5576" s="10" t="s">
        <v>139</v>
      </c>
      <c r="G5576" s="10" t="s">
        <v>6352</v>
      </c>
      <c r="H5576" s="11">
        <v>39217</v>
      </c>
      <c r="I5576" s="10">
        <v>2007</v>
      </c>
      <c r="J5576" s="10" t="s">
        <v>13961</v>
      </c>
      <c r="K5576" s="10">
        <v>540</v>
      </c>
      <c r="L5576" s="10" t="s">
        <v>28642</v>
      </c>
      <c r="M5576" s="10">
        <v>1</v>
      </c>
      <c r="N5576" s="10" t="s">
        <v>19261</v>
      </c>
      <c r="O5576" s="10"/>
      <c r="P5576" s="10" t="s">
        <v>28643</v>
      </c>
      <c r="Q5576" s="10">
        <v>374.12</v>
      </c>
      <c r="R5576" s="10" t="s">
        <v>28644</v>
      </c>
      <c r="S5576" s="10" t="s">
        <v>53</v>
      </c>
      <c r="T5576" s="10" t="s">
        <v>54</v>
      </c>
    </row>
    <row r="5577" spans="1:20" ht="14.5" x14ac:dyDescent="0.35">
      <c r="A5577" s="10" t="s">
        <v>28645</v>
      </c>
      <c r="B5577" s="10" t="str">
        <f>"9781783507207"</f>
        <v>9781783507207</v>
      </c>
      <c r="C5577" s="10" t="str">
        <f>"9781783507238"</f>
        <v>9781783507238</v>
      </c>
      <c r="D5577" s="10" t="s">
        <v>8699</v>
      </c>
      <c r="E5577" s="10" t="s">
        <v>8699</v>
      </c>
      <c r="F5577" s="10" t="s">
        <v>1019</v>
      </c>
      <c r="G5577" s="10" t="s">
        <v>6352</v>
      </c>
      <c r="H5577" s="11">
        <v>41820</v>
      </c>
      <c r="I5577" s="10">
        <v>2014</v>
      </c>
      <c r="J5577" s="10" t="s">
        <v>115</v>
      </c>
      <c r="K5577" s="10">
        <v>175</v>
      </c>
      <c r="L5577" s="10" t="s">
        <v>28646</v>
      </c>
      <c r="M5577" s="10">
        <v>1</v>
      </c>
      <c r="N5577" s="10" t="s">
        <v>28647</v>
      </c>
      <c r="O5577" s="10">
        <v>35</v>
      </c>
      <c r="P5577" s="10" t="s">
        <v>28648</v>
      </c>
      <c r="Q5577" s="10">
        <v>378.19809400000003</v>
      </c>
      <c r="R5577" s="10" t="s">
        <v>28649</v>
      </c>
      <c r="S5577" s="10" t="s">
        <v>53</v>
      </c>
      <c r="T5577" s="10" t="s">
        <v>54</v>
      </c>
    </row>
    <row r="5578" spans="1:20" ht="14.5" x14ac:dyDescent="0.35">
      <c r="A5578" s="10" t="s">
        <v>28650</v>
      </c>
      <c r="B5578" s="10" t="str">
        <f>"9781784410421"</f>
        <v>9781784410421</v>
      </c>
      <c r="C5578" s="10" t="str">
        <f>"9781784410438"</f>
        <v>9781784410438</v>
      </c>
      <c r="D5578" s="10" t="s">
        <v>8699</v>
      </c>
      <c r="E5578" s="10" t="s">
        <v>8699</v>
      </c>
      <c r="F5578" s="10" t="s">
        <v>1019</v>
      </c>
      <c r="G5578" s="10" t="s">
        <v>6352</v>
      </c>
      <c r="H5578" s="11">
        <v>41718</v>
      </c>
      <c r="I5578" s="10">
        <v>2014</v>
      </c>
      <c r="J5578" s="10" t="s">
        <v>115</v>
      </c>
      <c r="K5578" s="10">
        <v>152</v>
      </c>
      <c r="L5578" s="10" t="s">
        <v>28651</v>
      </c>
      <c r="M5578" s="10">
        <v>1</v>
      </c>
      <c r="N5578" s="10" t="s">
        <v>28652</v>
      </c>
      <c r="O5578" s="10">
        <v>56</v>
      </c>
      <c r="P5578" s="10" t="s">
        <v>28653</v>
      </c>
      <c r="Q5578" s="10">
        <v>371.334</v>
      </c>
      <c r="R5578" s="10" t="s">
        <v>28654</v>
      </c>
      <c r="S5578" s="10" t="s">
        <v>53</v>
      </c>
      <c r="T5578" s="10" t="s">
        <v>54</v>
      </c>
    </row>
    <row r="5579" spans="1:20" ht="14.5" x14ac:dyDescent="0.35">
      <c r="A5579" s="10" t="s">
        <v>28655</v>
      </c>
      <c r="B5579" s="10" t="str">
        <f>"9781784410483"</f>
        <v>9781784410483</v>
      </c>
      <c r="C5579" s="10" t="str">
        <f>"9781784410490"</f>
        <v>9781784410490</v>
      </c>
      <c r="D5579" s="10" t="s">
        <v>8699</v>
      </c>
      <c r="E5579" s="10" t="s">
        <v>8699</v>
      </c>
      <c r="F5579" s="10" t="s">
        <v>1019</v>
      </c>
      <c r="G5579" s="10" t="s">
        <v>6352</v>
      </c>
      <c r="H5579" s="11">
        <v>41801</v>
      </c>
      <c r="I5579" s="10">
        <v>2014</v>
      </c>
      <c r="J5579" s="10" t="s">
        <v>115</v>
      </c>
      <c r="K5579" s="10">
        <v>124</v>
      </c>
      <c r="L5579" s="10" t="s">
        <v>28656</v>
      </c>
      <c r="M5579" s="10">
        <v>1</v>
      </c>
      <c r="N5579" s="10" t="s">
        <v>28657</v>
      </c>
      <c r="O5579" s="10">
        <v>31</v>
      </c>
      <c r="P5579" s="10" t="s">
        <v>28658</v>
      </c>
      <c r="Q5579" s="10">
        <v>910.71</v>
      </c>
      <c r="R5579" s="10" t="s">
        <v>28659</v>
      </c>
      <c r="S5579" s="10" t="s">
        <v>53</v>
      </c>
      <c r="T5579" s="10" t="s">
        <v>28660</v>
      </c>
    </row>
    <row r="5580" spans="1:20" ht="14.5" x14ac:dyDescent="0.35">
      <c r="A5580" s="10" t="s">
        <v>28661</v>
      </c>
      <c r="B5580" s="10" t="str">
        <f>"9781784411473"</f>
        <v>9781784411473</v>
      </c>
      <c r="C5580" s="10" t="str">
        <f>"9781784411480"</f>
        <v>9781784411480</v>
      </c>
      <c r="D5580" s="10" t="s">
        <v>8699</v>
      </c>
      <c r="E5580" s="10" t="s">
        <v>8699</v>
      </c>
      <c r="F5580" s="10" t="s">
        <v>1019</v>
      </c>
      <c r="G5580" s="10" t="s">
        <v>6352</v>
      </c>
      <c r="H5580" s="11">
        <v>41816</v>
      </c>
      <c r="I5580" s="10">
        <v>2014</v>
      </c>
      <c r="J5580" s="10" t="s">
        <v>115</v>
      </c>
      <c r="K5580" s="10">
        <v>109</v>
      </c>
      <c r="L5580" s="10" t="s">
        <v>28662</v>
      </c>
      <c r="M5580" s="10">
        <v>1</v>
      </c>
      <c r="N5580" s="10" t="s">
        <v>28663</v>
      </c>
      <c r="O5580" s="10">
        <v>38</v>
      </c>
      <c r="P5580" s="10" t="s">
        <v>28664</v>
      </c>
      <c r="Q5580" s="10">
        <v>374.01299999999998</v>
      </c>
      <c r="R5580" s="10" t="s">
        <v>28665</v>
      </c>
      <c r="S5580" s="10" t="s">
        <v>53</v>
      </c>
      <c r="T5580" s="10" t="s">
        <v>54</v>
      </c>
    </row>
    <row r="5581" spans="1:20" ht="14.5" x14ac:dyDescent="0.35">
      <c r="A5581" s="10" t="s">
        <v>28666</v>
      </c>
      <c r="B5581" s="10" t="str">
        <f>"9781784412241"</f>
        <v>9781784412241</v>
      </c>
      <c r="C5581" s="10" t="str">
        <f>"9781784412258"</f>
        <v>9781784412258</v>
      </c>
      <c r="D5581" s="10" t="s">
        <v>8699</v>
      </c>
      <c r="E5581" s="10" t="s">
        <v>8699</v>
      </c>
      <c r="F5581" s="10" t="s">
        <v>1019</v>
      </c>
      <c r="G5581" s="10" t="s">
        <v>6352</v>
      </c>
      <c r="H5581" s="11">
        <v>41810</v>
      </c>
      <c r="I5581" s="10">
        <v>2014</v>
      </c>
      <c r="J5581" s="10" t="s">
        <v>115</v>
      </c>
      <c r="K5581" s="10">
        <v>97</v>
      </c>
      <c r="L5581" s="10" t="s">
        <v>28667</v>
      </c>
      <c r="M5581" s="10">
        <v>1</v>
      </c>
      <c r="N5581" s="10" t="s">
        <v>28668</v>
      </c>
      <c r="O5581" s="10">
        <v>19</v>
      </c>
      <c r="P5581" s="10" t="s">
        <v>28669</v>
      </c>
      <c r="Q5581" s="10">
        <v>370.11500000000001</v>
      </c>
      <c r="R5581" s="10" t="s">
        <v>28670</v>
      </c>
      <c r="S5581" s="10" t="s">
        <v>53</v>
      </c>
      <c r="T5581" s="10" t="s">
        <v>54</v>
      </c>
    </row>
    <row r="5582" spans="1:20" ht="14.5" x14ac:dyDescent="0.35">
      <c r="A5582" s="10" t="s">
        <v>28671</v>
      </c>
      <c r="B5582" s="10" t="str">
        <f>"9781443859103"</f>
        <v>9781443859103</v>
      </c>
      <c r="C5582" s="10" t="str">
        <f>"9781443861816"</f>
        <v>9781443861816</v>
      </c>
      <c r="D5582" s="10" t="s">
        <v>23635</v>
      </c>
      <c r="E5582" s="10" t="s">
        <v>23635</v>
      </c>
      <c r="F5582" s="10" t="s">
        <v>23636</v>
      </c>
      <c r="G5582" s="10" t="s">
        <v>6352</v>
      </c>
      <c r="H5582" s="11">
        <v>41872</v>
      </c>
      <c r="I5582" s="10">
        <v>2014</v>
      </c>
      <c r="J5582" s="10" t="s">
        <v>23635</v>
      </c>
      <c r="K5582" s="10">
        <v>297</v>
      </c>
      <c r="L5582" s="10" t="s">
        <v>28672</v>
      </c>
      <c r="M5582" s="10">
        <v>1</v>
      </c>
      <c r="N5582" s="10"/>
      <c r="O5582" s="10"/>
      <c r="P5582" s="10" t="s">
        <v>28673</v>
      </c>
      <c r="Q5582" s="10">
        <v>370.1</v>
      </c>
      <c r="R5582" s="10" t="s">
        <v>28674</v>
      </c>
      <c r="S5582" s="10" t="s">
        <v>53</v>
      </c>
      <c r="T5582" s="10" t="s">
        <v>54</v>
      </c>
    </row>
    <row r="5583" spans="1:20" ht="14.5" x14ac:dyDescent="0.35">
      <c r="A5583" s="10" t="s">
        <v>28675</v>
      </c>
      <c r="B5583" s="10" t="str">
        <f>"9781443849449"</f>
        <v>9781443849449</v>
      </c>
      <c r="C5583" s="10" t="str">
        <f>"9781443864176"</f>
        <v>9781443864176</v>
      </c>
      <c r="D5583" s="10" t="s">
        <v>23635</v>
      </c>
      <c r="E5583" s="10" t="s">
        <v>23635</v>
      </c>
      <c r="F5583" s="10" t="s">
        <v>23636</v>
      </c>
      <c r="G5583" s="10" t="s">
        <v>6352</v>
      </c>
      <c r="H5583" s="11">
        <v>41583</v>
      </c>
      <c r="I5583" s="10">
        <v>2014</v>
      </c>
      <c r="J5583" s="10" t="s">
        <v>23635</v>
      </c>
      <c r="K5583" s="10">
        <v>280</v>
      </c>
      <c r="L5583" s="10" t="s">
        <v>28676</v>
      </c>
      <c r="M5583" s="10">
        <v>1</v>
      </c>
      <c r="N5583" s="10"/>
      <c r="O5583" s="10"/>
      <c r="P5583" s="10" t="s">
        <v>28677</v>
      </c>
      <c r="Q5583" s="10" t="s">
        <v>28678</v>
      </c>
      <c r="R5583" s="10" t="s">
        <v>28679</v>
      </c>
      <c r="S5583" s="10" t="s">
        <v>53</v>
      </c>
      <c r="T5583" s="10" t="s">
        <v>6526</v>
      </c>
    </row>
    <row r="5584" spans="1:20" ht="14.5" x14ac:dyDescent="0.35">
      <c r="A5584" s="10" t="s">
        <v>28680</v>
      </c>
      <c r="B5584" s="10" t="str">
        <f>"9781443849821"</f>
        <v>9781443849821</v>
      </c>
      <c r="C5584" s="10" t="str">
        <f>"9781443864268"</f>
        <v>9781443864268</v>
      </c>
      <c r="D5584" s="10" t="s">
        <v>23635</v>
      </c>
      <c r="E5584" s="10" t="s">
        <v>23635</v>
      </c>
      <c r="F5584" s="10" t="s">
        <v>23636</v>
      </c>
      <c r="G5584" s="10" t="s">
        <v>6352</v>
      </c>
      <c r="H5584" s="11">
        <v>41523</v>
      </c>
      <c r="I5584" s="10">
        <v>2014</v>
      </c>
      <c r="J5584" s="10" t="s">
        <v>23635</v>
      </c>
      <c r="K5584" s="10">
        <v>219</v>
      </c>
      <c r="L5584" s="10" t="s">
        <v>28681</v>
      </c>
      <c r="M5584" s="10">
        <v>1</v>
      </c>
      <c r="N5584" s="10"/>
      <c r="O5584" s="10"/>
      <c r="P5584" s="10" t="s">
        <v>28682</v>
      </c>
      <c r="Q5584" s="10" t="s">
        <v>28683</v>
      </c>
      <c r="R5584" s="10" t="s">
        <v>28684</v>
      </c>
      <c r="S5584" s="10" t="s">
        <v>53</v>
      </c>
      <c r="T5584" s="10" t="s">
        <v>9993</v>
      </c>
    </row>
    <row r="5585" spans="1:20" ht="14.5" x14ac:dyDescent="0.35">
      <c r="A5585" s="10" t="s">
        <v>28685</v>
      </c>
      <c r="B5585" s="10" t="str">
        <f>"9781443850506"</f>
        <v>9781443850506</v>
      </c>
      <c r="C5585" s="10" t="str">
        <f>"9781443864343"</f>
        <v>9781443864343</v>
      </c>
      <c r="D5585" s="10" t="s">
        <v>23635</v>
      </c>
      <c r="E5585" s="10" t="s">
        <v>23635</v>
      </c>
      <c r="F5585" s="10" t="s">
        <v>23636</v>
      </c>
      <c r="G5585" s="10" t="s">
        <v>6352</v>
      </c>
      <c r="H5585" s="11">
        <v>41627</v>
      </c>
      <c r="I5585" s="10">
        <v>2014</v>
      </c>
      <c r="J5585" s="10" t="s">
        <v>23635</v>
      </c>
      <c r="K5585" s="10">
        <v>169</v>
      </c>
      <c r="L5585" s="10" t="s">
        <v>28686</v>
      </c>
      <c r="M5585" s="10">
        <v>1</v>
      </c>
      <c r="N5585" s="10"/>
      <c r="O5585" s="10"/>
      <c r="P5585" s="10" t="s">
        <v>28687</v>
      </c>
      <c r="Q5585" s="10">
        <v>371.334</v>
      </c>
      <c r="R5585" s="10" t="s">
        <v>12435</v>
      </c>
      <c r="S5585" s="10" t="s">
        <v>53</v>
      </c>
      <c r="T5585" s="10" t="s">
        <v>54</v>
      </c>
    </row>
    <row r="5586" spans="1:20" ht="14.5" x14ac:dyDescent="0.35">
      <c r="A5586" s="10" t="s">
        <v>28688</v>
      </c>
      <c r="B5586" s="10" t="str">
        <f>"9781118839058"</f>
        <v>9781118839058</v>
      </c>
      <c r="C5586" s="10" t="str">
        <f>"9781118839096"</f>
        <v>9781118839096</v>
      </c>
      <c r="D5586" s="10" t="s">
        <v>6322</v>
      </c>
      <c r="E5586" s="10" t="s">
        <v>6323</v>
      </c>
      <c r="F5586" s="10" t="s">
        <v>4423</v>
      </c>
      <c r="G5586" s="10" t="s">
        <v>6317</v>
      </c>
      <c r="H5586" s="11">
        <v>41841</v>
      </c>
      <c r="I5586" s="10">
        <v>2014</v>
      </c>
      <c r="J5586" s="10" t="s">
        <v>6324</v>
      </c>
      <c r="K5586" s="10">
        <v>282</v>
      </c>
      <c r="L5586" s="10" t="s">
        <v>28689</v>
      </c>
      <c r="M5586" s="10">
        <v>1</v>
      </c>
      <c r="N5586" s="10"/>
      <c r="O5586" s="10"/>
      <c r="P5586" s="10"/>
      <c r="Q5586" s="10"/>
      <c r="R5586" s="10" t="s">
        <v>28690</v>
      </c>
      <c r="S5586" s="10" t="s">
        <v>53</v>
      </c>
      <c r="T5586" s="10" t="s">
        <v>54</v>
      </c>
    </row>
    <row r="5587" spans="1:20" ht="14.5" x14ac:dyDescent="0.35">
      <c r="A5587" s="10" t="s">
        <v>28691</v>
      </c>
      <c r="B5587" s="10" t="str">
        <f>"9781443842464"</f>
        <v>9781443842464</v>
      </c>
      <c r="C5587" s="10" t="str">
        <f>"9781443864701"</f>
        <v>9781443864701</v>
      </c>
      <c r="D5587" s="10" t="s">
        <v>23635</v>
      </c>
      <c r="E5587" s="10" t="s">
        <v>23635</v>
      </c>
      <c r="F5587" s="10" t="s">
        <v>23636</v>
      </c>
      <c r="G5587" s="10" t="s">
        <v>6352</v>
      </c>
      <c r="H5587" s="11">
        <v>41341</v>
      </c>
      <c r="I5587" s="10">
        <v>2014</v>
      </c>
      <c r="J5587" s="10" t="s">
        <v>23635</v>
      </c>
      <c r="K5587" s="10">
        <v>265</v>
      </c>
      <c r="L5587" s="10" t="s">
        <v>28692</v>
      </c>
      <c r="M5587" s="10">
        <v>1</v>
      </c>
      <c r="N5587" s="10"/>
      <c r="O5587" s="10"/>
      <c r="P5587" s="10" t="s">
        <v>28693</v>
      </c>
      <c r="Q5587" s="10">
        <v>370</v>
      </c>
      <c r="R5587" s="10" t="s">
        <v>28694</v>
      </c>
      <c r="S5587" s="10" t="s">
        <v>53</v>
      </c>
      <c r="T5587" s="10" t="s">
        <v>54</v>
      </c>
    </row>
    <row r="5588" spans="1:20" ht="14.5" x14ac:dyDescent="0.35">
      <c r="A5588" s="10" t="s">
        <v>28695</v>
      </c>
      <c r="B5588" s="10" t="str">
        <f>"9781849059961"</f>
        <v>9781849059961</v>
      </c>
      <c r="C5588" s="10" t="str">
        <f>"9780857009807"</f>
        <v>9780857009807</v>
      </c>
      <c r="D5588" s="10" t="s">
        <v>10516</v>
      </c>
      <c r="E5588" s="10" t="s">
        <v>10516</v>
      </c>
      <c r="F5588" s="10" t="s">
        <v>139</v>
      </c>
      <c r="G5588" s="10" t="s">
        <v>6352</v>
      </c>
      <c r="H5588" s="11">
        <v>41872</v>
      </c>
      <c r="I5588" s="10">
        <v>2014</v>
      </c>
      <c r="J5588" s="10" t="s">
        <v>10516</v>
      </c>
      <c r="K5588" s="10">
        <v>138</v>
      </c>
      <c r="L5588" s="10" t="s">
        <v>28696</v>
      </c>
      <c r="M5588" s="10">
        <v>1</v>
      </c>
      <c r="N5588" s="10"/>
      <c r="O5588" s="10"/>
      <c r="P5588" s="10" t="s">
        <v>28697</v>
      </c>
      <c r="Q5588" s="10">
        <v>371.9</v>
      </c>
      <c r="R5588" s="10"/>
      <c r="S5588" s="10" t="s">
        <v>53</v>
      </c>
      <c r="T5588" s="10" t="s">
        <v>54</v>
      </c>
    </row>
    <row r="5589" spans="1:20" ht="14.5" x14ac:dyDescent="0.35">
      <c r="A5589" s="10" t="s">
        <v>28698</v>
      </c>
      <c r="B5589" s="10" t="str">
        <f>"9781416618836"</f>
        <v>9781416618836</v>
      </c>
      <c r="C5589" s="10" t="str">
        <f>"9781416618959"</f>
        <v>9781416618959</v>
      </c>
      <c r="D5589" s="10" t="s">
        <v>10014</v>
      </c>
      <c r="E5589" s="10" t="s">
        <v>10015</v>
      </c>
      <c r="F5589" s="10" t="s">
        <v>201</v>
      </c>
      <c r="G5589" s="10" t="s">
        <v>6317</v>
      </c>
      <c r="H5589" s="11">
        <v>41850</v>
      </c>
      <c r="I5589" s="10">
        <v>2014</v>
      </c>
      <c r="J5589" s="10" t="s">
        <v>10015</v>
      </c>
      <c r="K5589" s="10">
        <v>163</v>
      </c>
      <c r="L5589" s="10" t="s">
        <v>28699</v>
      </c>
      <c r="M5589" s="10">
        <v>1</v>
      </c>
      <c r="N5589" s="10"/>
      <c r="O5589" s="10"/>
      <c r="P5589" s="10" t="s">
        <v>28700</v>
      </c>
      <c r="Q5589" s="10">
        <v>372.6</v>
      </c>
      <c r="R5589" s="10" t="s">
        <v>28701</v>
      </c>
      <c r="S5589" s="10" t="s">
        <v>53</v>
      </c>
      <c r="T5589" s="10" t="s">
        <v>54</v>
      </c>
    </row>
    <row r="5590" spans="1:20" ht="14.5" x14ac:dyDescent="0.35">
      <c r="A5590" s="10" t="s">
        <v>28702</v>
      </c>
      <c r="B5590" s="10" t="str">
        <f>"9781416618904"</f>
        <v>9781416618904</v>
      </c>
      <c r="C5590" s="10" t="str">
        <f>"9781416618928"</f>
        <v>9781416618928</v>
      </c>
      <c r="D5590" s="10" t="s">
        <v>10014</v>
      </c>
      <c r="E5590" s="10" t="s">
        <v>10015</v>
      </c>
      <c r="F5590" s="10" t="s">
        <v>201</v>
      </c>
      <c r="G5590" s="10" t="s">
        <v>6317</v>
      </c>
      <c r="H5590" s="11">
        <v>41850</v>
      </c>
      <c r="I5590" s="10">
        <v>2014</v>
      </c>
      <c r="J5590" s="10" t="s">
        <v>10015</v>
      </c>
      <c r="K5590" s="10">
        <v>203</v>
      </c>
      <c r="L5590" s="10" t="s">
        <v>28703</v>
      </c>
      <c r="M5590" s="10">
        <v>1</v>
      </c>
      <c r="N5590" s="10"/>
      <c r="O5590" s="10"/>
      <c r="P5590" s="10" t="s">
        <v>28704</v>
      </c>
      <c r="Q5590" s="10">
        <v>371.26</v>
      </c>
      <c r="R5590" s="10" t="s">
        <v>28705</v>
      </c>
      <c r="S5590" s="10" t="s">
        <v>53</v>
      </c>
      <c r="T5590" s="10" t="s">
        <v>54</v>
      </c>
    </row>
    <row r="5591" spans="1:20" ht="14.5" x14ac:dyDescent="0.35">
      <c r="A5591" s="10" t="s">
        <v>28706</v>
      </c>
      <c r="B5591" s="10" t="str">
        <f>"9781593327613"</f>
        <v>9781593327613</v>
      </c>
      <c r="C5591" s="10" t="str">
        <f>"9781593327859"</f>
        <v>9781593327859</v>
      </c>
      <c r="D5591" s="10" t="s">
        <v>20187</v>
      </c>
      <c r="E5591" s="10" t="s">
        <v>20188</v>
      </c>
      <c r="F5591" s="10" t="s">
        <v>20189</v>
      </c>
      <c r="G5591" s="10" t="s">
        <v>6317</v>
      </c>
      <c r="H5591" s="11">
        <v>41927</v>
      </c>
      <c r="I5591" s="10">
        <v>2014</v>
      </c>
      <c r="J5591" s="10" t="s">
        <v>20188</v>
      </c>
      <c r="K5591" s="10">
        <v>235</v>
      </c>
      <c r="L5591" s="10" t="s">
        <v>28707</v>
      </c>
      <c r="M5591" s="10">
        <v>1</v>
      </c>
      <c r="N5591" s="10" t="s">
        <v>20191</v>
      </c>
      <c r="O5591" s="10"/>
      <c r="P5591" s="10" t="s">
        <v>28708</v>
      </c>
      <c r="Q5591" s="10" t="s">
        <v>8304</v>
      </c>
      <c r="R5591" s="10" t="s">
        <v>28709</v>
      </c>
      <c r="S5591" s="10" t="s">
        <v>53</v>
      </c>
      <c r="T5591" s="10" t="s">
        <v>54</v>
      </c>
    </row>
    <row r="5592" spans="1:20" ht="14.5" x14ac:dyDescent="0.35">
      <c r="A5592" s="10" t="s">
        <v>28710</v>
      </c>
      <c r="B5592" s="10" t="str">
        <f>"9780821418871"</f>
        <v>9780821418871</v>
      </c>
      <c r="C5592" s="10" t="str">
        <f>"9780821443637"</f>
        <v>9780821443637</v>
      </c>
      <c r="D5592" s="10" t="s">
        <v>28711</v>
      </c>
      <c r="E5592" s="10" t="s">
        <v>28711</v>
      </c>
      <c r="F5592" s="10" t="s">
        <v>28712</v>
      </c>
      <c r="G5592" s="10" t="s">
        <v>6317</v>
      </c>
      <c r="H5592" s="11">
        <v>40193</v>
      </c>
      <c r="I5592" s="10">
        <v>2010</v>
      </c>
      <c r="J5592" s="10" t="s">
        <v>28711</v>
      </c>
      <c r="K5592" s="10">
        <v>484</v>
      </c>
      <c r="L5592" s="10" t="s">
        <v>28713</v>
      </c>
      <c r="M5592" s="10">
        <v>1</v>
      </c>
      <c r="N5592" s="10"/>
      <c r="O5592" s="10"/>
      <c r="P5592" s="10"/>
      <c r="Q5592" s="10" t="s">
        <v>28714</v>
      </c>
      <c r="R5592" s="10"/>
      <c r="S5592" s="10" t="s">
        <v>53</v>
      </c>
      <c r="T5592" s="10" t="s">
        <v>54</v>
      </c>
    </row>
    <row r="5593" spans="1:20" ht="14.5" x14ac:dyDescent="0.35">
      <c r="A5593" s="10" t="s">
        <v>28715</v>
      </c>
      <c r="B5593" s="10" t="str">
        <f>"9781464802805"</f>
        <v>9781464802805</v>
      </c>
      <c r="C5593" s="10" t="str">
        <f>"9781464802812"</f>
        <v>9781464802812</v>
      </c>
      <c r="D5593" s="10" t="s">
        <v>14731</v>
      </c>
      <c r="E5593" s="10" t="s">
        <v>14732</v>
      </c>
      <c r="F5593" s="10" t="s">
        <v>14733</v>
      </c>
      <c r="G5593" s="10" t="s">
        <v>6317</v>
      </c>
      <c r="H5593" s="11">
        <v>41640</v>
      </c>
      <c r="I5593" s="10">
        <v>2014</v>
      </c>
      <c r="J5593" s="10" t="s">
        <v>14732</v>
      </c>
      <c r="K5593" s="10">
        <v>204</v>
      </c>
      <c r="L5593" s="10" t="s">
        <v>28716</v>
      </c>
      <c r="M5593" s="10">
        <v>1</v>
      </c>
      <c r="N5593" s="10" t="s">
        <v>20668</v>
      </c>
      <c r="O5593" s="10"/>
      <c r="P5593" s="10" t="s">
        <v>28717</v>
      </c>
      <c r="Q5593" s="10">
        <v>370.113</v>
      </c>
      <c r="R5593" s="10" t="s">
        <v>28718</v>
      </c>
      <c r="S5593" s="10" t="s">
        <v>53</v>
      </c>
      <c r="T5593" s="10" t="s">
        <v>54</v>
      </c>
    </row>
    <row r="5594" spans="1:20" ht="14.5" x14ac:dyDescent="0.35">
      <c r="A5594" s="10" t="s">
        <v>28719</v>
      </c>
      <c r="B5594" s="10" t="str">
        <f>"9780415749848"</f>
        <v>9780415749848</v>
      </c>
      <c r="C5594" s="10" t="str">
        <f>"9781317748762"</f>
        <v>9781317748762</v>
      </c>
      <c r="D5594" s="10" t="s">
        <v>6350</v>
      </c>
      <c r="E5594" s="10" t="s">
        <v>6351</v>
      </c>
      <c r="F5594" s="10" t="s">
        <v>3967</v>
      </c>
      <c r="G5594" s="10" t="s">
        <v>6352</v>
      </c>
      <c r="H5594" s="11">
        <v>41833</v>
      </c>
      <c r="I5594" s="10">
        <v>2015</v>
      </c>
      <c r="J5594" s="10" t="s">
        <v>6353</v>
      </c>
      <c r="K5594" s="10">
        <v>245</v>
      </c>
      <c r="L5594" s="10" t="s">
        <v>8988</v>
      </c>
      <c r="M5594" s="10">
        <v>2</v>
      </c>
      <c r="N5594" s="10" t="s">
        <v>8813</v>
      </c>
      <c r="O5594" s="10"/>
      <c r="P5594" s="10"/>
      <c r="Q5594" s="10">
        <v>370</v>
      </c>
      <c r="R5594" s="10" t="s">
        <v>8200</v>
      </c>
      <c r="S5594" s="10" t="s">
        <v>53</v>
      </c>
      <c r="T5594" s="10" t="s">
        <v>54</v>
      </c>
    </row>
    <row r="5595" spans="1:20" ht="14.5" x14ac:dyDescent="0.35">
      <c r="A5595" s="10" t="s">
        <v>28720</v>
      </c>
      <c r="B5595" s="10" t="str">
        <f>"9780809333424"</f>
        <v>9780809333424</v>
      </c>
      <c r="C5595" s="10" t="str">
        <f>"9780809333431"</f>
        <v>9780809333431</v>
      </c>
      <c r="D5595" s="10" t="s">
        <v>26036</v>
      </c>
      <c r="E5595" s="10" t="s">
        <v>26036</v>
      </c>
      <c r="F5595" s="10" t="s">
        <v>2236</v>
      </c>
      <c r="G5595" s="10" t="s">
        <v>6317</v>
      </c>
      <c r="H5595" s="11">
        <v>41880</v>
      </c>
      <c r="I5595" s="10">
        <v>2014</v>
      </c>
      <c r="J5595" s="10" t="s">
        <v>26036</v>
      </c>
      <c r="K5595" s="10">
        <v>210</v>
      </c>
      <c r="L5595" s="10" t="s">
        <v>28721</v>
      </c>
      <c r="M5595" s="10">
        <v>1</v>
      </c>
      <c r="N5595" s="10"/>
      <c r="O5595" s="10"/>
      <c r="P5595" s="10" t="s">
        <v>28722</v>
      </c>
      <c r="Q5595" s="10" t="s">
        <v>9797</v>
      </c>
      <c r="R5595" s="10"/>
      <c r="S5595" s="10" t="s">
        <v>53</v>
      </c>
      <c r="T5595" s="10" t="s">
        <v>54</v>
      </c>
    </row>
    <row r="5596" spans="1:20" ht="14.5" x14ac:dyDescent="0.35">
      <c r="A5596" s="10" t="s">
        <v>28723</v>
      </c>
      <c r="B5596" s="10" t="str">
        <f>"9781462518418"</f>
        <v>9781462518418</v>
      </c>
      <c r="C5596" s="10" t="str">
        <f>"9781462518425"</f>
        <v>9781462518425</v>
      </c>
      <c r="D5596" s="10" t="s">
        <v>11213</v>
      </c>
      <c r="E5596" s="10" t="s">
        <v>11214</v>
      </c>
      <c r="F5596" s="10" t="s">
        <v>70</v>
      </c>
      <c r="G5596" s="10" t="s">
        <v>6317</v>
      </c>
      <c r="H5596" s="11">
        <v>41966</v>
      </c>
      <c r="I5596" s="10">
        <v>2015</v>
      </c>
      <c r="J5596" s="10" t="s">
        <v>11214</v>
      </c>
      <c r="K5596" s="10">
        <v>298</v>
      </c>
      <c r="L5596" s="10" t="s">
        <v>28724</v>
      </c>
      <c r="M5596" s="10">
        <v>1</v>
      </c>
      <c r="N5596" s="10"/>
      <c r="O5596" s="10"/>
      <c r="P5596" s="10" t="s">
        <v>28725</v>
      </c>
      <c r="Q5596" s="10" t="s">
        <v>17158</v>
      </c>
      <c r="R5596" s="10" t="s">
        <v>4456</v>
      </c>
      <c r="S5596" s="10" t="s">
        <v>53</v>
      </c>
      <c r="T5596" s="10" t="s">
        <v>6498</v>
      </c>
    </row>
    <row r="5597" spans="1:20" ht="14.5" x14ac:dyDescent="0.35">
      <c r="A5597" s="10" t="s">
        <v>28726</v>
      </c>
      <c r="B5597" s="10" t="str">
        <f>"9781462518593"</f>
        <v>9781462518593</v>
      </c>
      <c r="C5597" s="10" t="str">
        <f>"9781462518647"</f>
        <v>9781462518647</v>
      </c>
      <c r="D5597" s="10" t="s">
        <v>11213</v>
      </c>
      <c r="E5597" s="10" t="s">
        <v>11214</v>
      </c>
      <c r="F5597" s="10" t="s">
        <v>70</v>
      </c>
      <c r="G5597" s="10" t="s">
        <v>6317</v>
      </c>
      <c r="H5597" s="11">
        <v>41954</v>
      </c>
      <c r="I5597" s="10">
        <v>2015</v>
      </c>
      <c r="J5597" s="10" t="s">
        <v>11215</v>
      </c>
      <c r="K5597" s="10">
        <v>162</v>
      </c>
      <c r="L5597" s="10" t="s">
        <v>28727</v>
      </c>
      <c r="M5597" s="10">
        <v>1</v>
      </c>
      <c r="N5597" s="10"/>
      <c r="O5597" s="10"/>
      <c r="P5597" s="10" t="s">
        <v>28728</v>
      </c>
      <c r="Q5597" s="10">
        <v>372.6</v>
      </c>
      <c r="R5597" s="10" t="s">
        <v>28729</v>
      </c>
      <c r="S5597" s="10" t="s">
        <v>53</v>
      </c>
      <c r="T5597" s="10" t="s">
        <v>54</v>
      </c>
    </row>
    <row r="5598" spans="1:20" ht="14.5" x14ac:dyDescent="0.35">
      <c r="A5598" s="10" t="s">
        <v>28730</v>
      </c>
      <c r="B5598" s="10" t="str">
        <f>"9781118647523"</f>
        <v>9781118647523</v>
      </c>
      <c r="C5598" s="10" t="str">
        <f>"9781118903575"</f>
        <v>9781118903575</v>
      </c>
      <c r="D5598" s="10" t="s">
        <v>6322</v>
      </c>
      <c r="E5598" s="10" t="s">
        <v>6323</v>
      </c>
      <c r="F5598" s="10" t="s">
        <v>13068</v>
      </c>
      <c r="G5598" s="10" t="s">
        <v>6317</v>
      </c>
      <c r="H5598" s="11">
        <v>41891</v>
      </c>
      <c r="I5598" s="10">
        <v>2014</v>
      </c>
      <c r="J5598" s="10" t="s">
        <v>6324</v>
      </c>
      <c r="K5598" s="10">
        <v>245</v>
      </c>
      <c r="L5598" s="10" t="s">
        <v>28731</v>
      </c>
      <c r="M5598" s="10">
        <v>1</v>
      </c>
      <c r="N5598" s="10"/>
      <c r="O5598" s="10"/>
      <c r="P5598" s="10" t="s">
        <v>28732</v>
      </c>
      <c r="Q5598" s="10" t="s">
        <v>16871</v>
      </c>
      <c r="R5598" s="10" t="s">
        <v>28733</v>
      </c>
      <c r="S5598" s="10" t="s">
        <v>53</v>
      </c>
      <c r="T5598" s="10" t="s">
        <v>54</v>
      </c>
    </row>
    <row r="5599" spans="1:20" ht="14.5" x14ac:dyDescent="0.35">
      <c r="A5599" s="10" t="s">
        <v>28734</v>
      </c>
      <c r="B5599" s="10" t="str">
        <f>"9789058677655"</f>
        <v>9789058677655</v>
      </c>
      <c r="C5599" s="10" t="str">
        <f>"9789461660503"</f>
        <v>9789461660503</v>
      </c>
      <c r="D5599" s="10" t="s">
        <v>28735</v>
      </c>
      <c r="E5599" s="10" t="s">
        <v>28735</v>
      </c>
      <c r="F5599" s="10" t="s">
        <v>28736</v>
      </c>
      <c r="G5599" s="10" t="s">
        <v>28737</v>
      </c>
      <c r="H5599" s="11">
        <v>40313</v>
      </c>
      <c r="I5599" s="10">
        <v>2010</v>
      </c>
      <c r="J5599" s="10" t="s">
        <v>28735</v>
      </c>
      <c r="K5599" s="10">
        <v>126</v>
      </c>
      <c r="L5599" s="10" t="s">
        <v>28738</v>
      </c>
      <c r="M5599" s="10">
        <v>1</v>
      </c>
      <c r="N5599" s="10" t="s">
        <v>28739</v>
      </c>
      <c r="O5599" s="10">
        <v>44</v>
      </c>
      <c r="P5599" s="10" t="s">
        <v>28740</v>
      </c>
      <c r="Q5599" s="10">
        <v>370.88281999999998</v>
      </c>
      <c r="R5599" s="10" t="s">
        <v>28741</v>
      </c>
      <c r="S5599" s="10" t="s">
        <v>53</v>
      </c>
      <c r="T5599" s="10" t="s">
        <v>54</v>
      </c>
    </row>
    <row r="5600" spans="1:20" ht="14.5" x14ac:dyDescent="0.35">
      <c r="A5600" s="10" t="s">
        <v>28742</v>
      </c>
      <c r="B5600" s="10" t="str">
        <f>"9789058679178"</f>
        <v>9789058679178</v>
      </c>
      <c r="C5600" s="10" t="str">
        <f>"9789461660718"</f>
        <v>9789461660718</v>
      </c>
      <c r="D5600" s="10" t="s">
        <v>28735</v>
      </c>
      <c r="E5600" s="10" t="s">
        <v>28735</v>
      </c>
      <c r="F5600" s="10" t="s">
        <v>28736</v>
      </c>
      <c r="G5600" s="10" t="s">
        <v>28737</v>
      </c>
      <c r="H5600" s="11">
        <v>41379</v>
      </c>
      <c r="I5600" s="10">
        <v>2013</v>
      </c>
      <c r="J5600" s="10" t="s">
        <v>28735</v>
      </c>
      <c r="K5600" s="10">
        <v>496</v>
      </c>
      <c r="L5600" s="10" t="s">
        <v>28743</v>
      </c>
      <c r="M5600" s="10">
        <v>1</v>
      </c>
      <c r="N5600" s="10"/>
      <c r="O5600" s="10"/>
      <c r="P5600" s="10" t="s">
        <v>28744</v>
      </c>
      <c r="Q5600" s="10"/>
      <c r="R5600" s="10"/>
      <c r="S5600" s="10" t="s">
        <v>53</v>
      </c>
      <c r="T5600" s="10" t="s">
        <v>54</v>
      </c>
    </row>
    <row r="5601" spans="1:20" ht="14.5" x14ac:dyDescent="0.35">
      <c r="A5601" s="10" t="s">
        <v>28745</v>
      </c>
      <c r="B5601" s="10" t="str">
        <f>"9789058678751"</f>
        <v>9789058678751</v>
      </c>
      <c r="C5601" s="10" t="str">
        <f>"9789461661227"</f>
        <v>9789461661227</v>
      </c>
      <c r="D5601" s="10" t="s">
        <v>28735</v>
      </c>
      <c r="E5601" s="10" t="s">
        <v>28735</v>
      </c>
      <c r="F5601" s="10" t="s">
        <v>28736</v>
      </c>
      <c r="G5601" s="10" t="s">
        <v>28737</v>
      </c>
      <c r="H5601" s="11">
        <v>40862</v>
      </c>
      <c r="I5601" s="10">
        <v>2011</v>
      </c>
      <c r="J5601" s="10" t="s">
        <v>28735</v>
      </c>
      <c r="K5601" s="10">
        <v>240</v>
      </c>
      <c r="L5601" s="10" t="s">
        <v>28746</v>
      </c>
      <c r="M5601" s="10">
        <v>1</v>
      </c>
      <c r="N5601" s="10" t="s">
        <v>28739</v>
      </c>
      <c r="O5601" s="10">
        <v>46</v>
      </c>
      <c r="P5601" s="10" t="s">
        <v>28747</v>
      </c>
      <c r="Q5601" s="10"/>
      <c r="R5601" s="10"/>
      <c r="S5601" s="10" t="s">
        <v>53</v>
      </c>
      <c r="T5601" s="10" t="s">
        <v>483</v>
      </c>
    </row>
    <row r="5602" spans="1:20" ht="14.5" x14ac:dyDescent="0.35">
      <c r="A5602" s="10" t="s">
        <v>28748</v>
      </c>
      <c r="B5602" s="10" t="str">
        <f>"9781483344270"</f>
        <v>9781483344270</v>
      </c>
      <c r="C5602" s="10" t="str">
        <f>"9781483344263"</f>
        <v>9781483344263</v>
      </c>
      <c r="D5602" s="10" t="s">
        <v>22210</v>
      </c>
      <c r="E5602" s="10" t="s">
        <v>22211</v>
      </c>
      <c r="F5602" s="10" t="s">
        <v>333</v>
      </c>
      <c r="G5602" s="10" t="s">
        <v>6317</v>
      </c>
      <c r="H5602" s="11">
        <v>41859</v>
      </c>
      <c r="I5602" s="10">
        <v>2014</v>
      </c>
      <c r="J5602" s="10" t="s">
        <v>22211</v>
      </c>
      <c r="K5602" s="10">
        <v>177</v>
      </c>
      <c r="L5602" s="10" t="s">
        <v>28749</v>
      </c>
      <c r="M5602" s="10">
        <v>1</v>
      </c>
      <c r="N5602" s="10"/>
      <c r="O5602" s="10"/>
      <c r="P5602" s="10" t="s">
        <v>28750</v>
      </c>
      <c r="Q5602" s="10" t="s">
        <v>8460</v>
      </c>
      <c r="R5602" s="10"/>
      <c r="S5602" s="10" t="s">
        <v>53</v>
      </c>
      <c r="T5602" s="10" t="s">
        <v>54</v>
      </c>
    </row>
    <row r="5603" spans="1:20" ht="14.5" x14ac:dyDescent="0.35">
      <c r="A5603" s="10" t="s">
        <v>28751</v>
      </c>
      <c r="B5603" s="10" t="str">
        <f>"9781137392176"</f>
        <v>9781137392176</v>
      </c>
      <c r="C5603" s="10" t="str">
        <f>"9781137440358"</f>
        <v>9781137440358</v>
      </c>
      <c r="D5603" s="10" t="s">
        <v>11249</v>
      </c>
      <c r="E5603" s="10" t="s">
        <v>2400</v>
      </c>
      <c r="F5603" s="10" t="s">
        <v>70</v>
      </c>
      <c r="G5603" s="10" t="s">
        <v>6317</v>
      </c>
      <c r="H5603" s="11">
        <v>41795</v>
      </c>
      <c r="I5603" s="10">
        <v>2014</v>
      </c>
      <c r="J5603" s="10" t="s">
        <v>2400</v>
      </c>
      <c r="K5603" s="10">
        <v>193</v>
      </c>
      <c r="L5603" s="10" t="s">
        <v>28752</v>
      </c>
      <c r="M5603" s="10">
        <v>1</v>
      </c>
      <c r="N5603" s="10" t="s">
        <v>11379</v>
      </c>
      <c r="O5603" s="10"/>
      <c r="P5603" s="10" t="s">
        <v>11370</v>
      </c>
      <c r="Q5603" s="10"/>
      <c r="R5603" s="10" t="s">
        <v>19099</v>
      </c>
      <c r="S5603" s="10" t="s">
        <v>53</v>
      </c>
      <c r="T5603" s="10" t="s">
        <v>54</v>
      </c>
    </row>
    <row r="5604" spans="1:20" ht="14.5" x14ac:dyDescent="0.35">
      <c r="A5604" s="10" t="s">
        <v>28753</v>
      </c>
      <c r="B5604" s="10" t="str">
        <f>"9781118898581"</f>
        <v>9781118898581</v>
      </c>
      <c r="C5604" s="10" t="str">
        <f>"9781118898888"</f>
        <v>9781118898888</v>
      </c>
      <c r="D5604" s="10" t="s">
        <v>6322</v>
      </c>
      <c r="E5604" s="10" t="s">
        <v>6323</v>
      </c>
      <c r="F5604" s="10" t="s">
        <v>4423</v>
      </c>
      <c r="G5604" s="10" t="s">
        <v>6317</v>
      </c>
      <c r="H5604" s="11">
        <v>41891</v>
      </c>
      <c r="I5604" s="10">
        <v>2014</v>
      </c>
      <c r="J5604" s="10" t="s">
        <v>6324</v>
      </c>
      <c r="K5604" s="10">
        <v>307</v>
      </c>
      <c r="L5604" s="10" t="s">
        <v>28754</v>
      </c>
      <c r="M5604" s="10">
        <v>1</v>
      </c>
      <c r="N5604" s="10"/>
      <c r="O5604" s="10"/>
      <c r="P5604" s="10"/>
      <c r="Q5604" s="10"/>
      <c r="R5604" s="10" t="s">
        <v>28755</v>
      </c>
      <c r="S5604" s="10" t="s">
        <v>53</v>
      </c>
      <c r="T5604" s="10" t="s">
        <v>54</v>
      </c>
    </row>
    <row r="5605" spans="1:20" ht="14.5" x14ac:dyDescent="0.35">
      <c r="A5605" s="10" t="s">
        <v>28756</v>
      </c>
      <c r="B5605" s="10" t="str">
        <f>"9781118487136"</f>
        <v>9781118487136</v>
      </c>
      <c r="C5605" s="10" t="str">
        <f>"9781118584910"</f>
        <v>9781118584910</v>
      </c>
      <c r="D5605" s="10" t="s">
        <v>6322</v>
      </c>
      <c r="E5605" s="10" t="s">
        <v>6323</v>
      </c>
      <c r="F5605" s="10" t="s">
        <v>4423</v>
      </c>
      <c r="G5605" s="10" t="s">
        <v>6317</v>
      </c>
      <c r="H5605" s="11">
        <v>41897</v>
      </c>
      <c r="I5605" s="10">
        <v>2014</v>
      </c>
      <c r="J5605" s="10" t="s">
        <v>6324</v>
      </c>
      <c r="K5605" s="10">
        <v>273</v>
      </c>
      <c r="L5605" s="10" t="s">
        <v>15786</v>
      </c>
      <c r="M5605" s="10">
        <v>1</v>
      </c>
      <c r="N5605" s="10"/>
      <c r="O5605" s="10"/>
      <c r="P5605" s="10"/>
      <c r="Q5605" s="10"/>
      <c r="R5605" s="10" t="s">
        <v>28757</v>
      </c>
      <c r="S5605" s="10" t="s">
        <v>53</v>
      </c>
      <c r="T5605" s="10" t="s">
        <v>54</v>
      </c>
    </row>
    <row r="5606" spans="1:20" ht="14.5" x14ac:dyDescent="0.35">
      <c r="A5606" s="10" t="s">
        <v>28758</v>
      </c>
      <c r="B5606" s="10" t="str">
        <f>"9781118784648"</f>
        <v>9781118784648</v>
      </c>
      <c r="C5606" s="10" t="str">
        <f>"9781118784808"</f>
        <v>9781118784808</v>
      </c>
      <c r="D5606" s="10" t="s">
        <v>6322</v>
      </c>
      <c r="E5606" s="10" t="s">
        <v>6323</v>
      </c>
      <c r="F5606" s="10" t="s">
        <v>4423</v>
      </c>
      <c r="G5606" s="10" t="s">
        <v>6317</v>
      </c>
      <c r="H5606" s="11">
        <v>41904</v>
      </c>
      <c r="I5606" s="10">
        <v>2014</v>
      </c>
      <c r="J5606" s="10" t="s">
        <v>6324</v>
      </c>
      <c r="K5606" s="10">
        <v>362</v>
      </c>
      <c r="L5606" s="10" t="s">
        <v>28759</v>
      </c>
      <c r="M5606" s="10">
        <v>2</v>
      </c>
      <c r="N5606" s="10"/>
      <c r="O5606" s="10"/>
      <c r="P5606" s="10"/>
      <c r="Q5606" s="10" t="s">
        <v>14668</v>
      </c>
      <c r="R5606" s="10" t="s">
        <v>28760</v>
      </c>
      <c r="S5606" s="10" t="s">
        <v>53</v>
      </c>
      <c r="T5606" s="10" t="s">
        <v>54</v>
      </c>
    </row>
    <row r="5607" spans="1:20" ht="14.5" x14ac:dyDescent="0.35">
      <c r="A5607" s="10" t="s">
        <v>28761</v>
      </c>
      <c r="B5607" s="10" t="str">
        <f>"9781118952269"</f>
        <v>9781118952269</v>
      </c>
      <c r="C5607" s="10" t="str">
        <f>"9781118952283"</f>
        <v>9781118952283</v>
      </c>
      <c r="D5607" s="10" t="s">
        <v>6322</v>
      </c>
      <c r="E5607" s="10" t="s">
        <v>6323</v>
      </c>
      <c r="F5607" s="10" t="s">
        <v>4423</v>
      </c>
      <c r="G5607" s="10" t="s">
        <v>6317</v>
      </c>
      <c r="H5607" s="11">
        <v>41911</v>
      </c>
      <c r="I5607" s="10">
        <v>2014</v>
      </c>
      <c r="J5607" s="10" t="s">
        <v>6323</v>
      </c>
      <c r="K5607" s="10">
        <v>195</v>
      </c>
      <c r="L5607" s="10" t="s">
        <v>28762</v>
      </c>
      <c r="M5607" s="10">
        <v>1</v>
      </c>
      <c r="N5607" s="10"/>
      <c r="O5607" s="10"/>
      <c r="P5607" s="10"/>
      <c r="Q5607" s="10"/>
      <c r="R5607" s="10" t="s">
        <v>12187</v>
      </c>
      <c r="S5607" s="10" t="s">
        <v>53</v>
      </c>
      <c r="T5607" s="10" t="s">
        <v>54</v>
      </c>
    </row>
    <row r="5608" spans="1:20" ht="14.5" x14ac:dyDescent="0.35">
      <c r="A5608" s="10" t="s">
        <v>28763</v>
      </c>
      <c r="B5608" s="10" t="str">
        <f>"9781118962237"</f>
        <v>9781118962237</v>
      </c>
      <c r="C5608" s="10" t="str">
        <f>"9781118962244"</f>
        <v>9781118962244</v>
      </c>
      <c r="D5608" s="10" t="s">
        <v>6322</v>
      </c>
      <c r="E5608" s="10" t="s">
        <v>6323</v>
      </c>
      <c r="F5608" s="10" t="s">
        <v>4423</v>
      </c>
      <c r="G5608" s="10" t="s">
        <v>6317</v>
      </c>
      <c r="H5608" s="11">
        <v>41869</v>
      </c>
      <c r="I5608" s="10">
        <v>2014</v>
      </c>
      <c r="J5608" s="10" t="s">
        <v>6324</v>
      </c>
      <c r="K5608" s="10">
        <v>321</v>
      </c>
      <c r="L5608" s="10" t="s">
        <v>28764</v>
      </c>
      <c r="M5608" s="10">
        <v>1</v>
      </c>
      <c r="N5608" s="10"/>
      <c r="O5608" s="10"/>
      <c r="P5608" s="10"/>
      <c r="Q5608" s="10">
        <v>428.00711999999999</v>
      </c>
      <c r="R5608" s="10" t="s">
        <v>28765</v>
      </c>
      <c r="S5608" s="10" t="s">
        <v>53</v>
      </c>
      <c r="T5608" s="10" t="s">
        <v>6616</v>
      </c>
    </row>
    <row r="5609" spans="1:20" ht="14.5" x14ac:dyDescent="0.35">
      <c r="A5609" s="10" t="s">
        <v>28766</v>
      </c>
      <c r="B5609" s="10" t="str">
        <f>"9781452290560"</f>
        <v>9781452290560</v>
      </c>
      <c r="C5609" s="10" t="str">
        <f>"9781452290539"</f>
        <v>9781452290539</v>
      </c>
      <c r="D5609" s="10" t="s">
        <v>22210</v>
      </c>
      <c r="E5609" s="10" t="s">
        <v>22211</v>
      </c>
      <c r="F5609" s="10" t="s">
        <v>333</v>
      </c>
      <c r="G5609" s="10" t="s">
        <v>6317</v>
      </c>
      <c r="H5609" s="11">
        <v>41872</v>
      </c>
      <c r="I5609" s="10">
        <v>2014</v>
      </c>
      <c r="J5609" s="10" t="s">
        <v>22211</v>
      </c>
      <c r="K5609" s="10">
        <v>241</v>
      </c>
      <c r="L5609" s="10" t="s">
        <v>28767</v>
      </c>
      <c r="M5609" s="10">
        <v>1</v>
      </c>
      <c r="N5609" s="10"/>
      <c r="O5609" s="10"/>
      <c r="P5609" s="10" t="s">
        <v>28768</v>
      </c>
      <c r="Q5609" s="10">
        <v>371.90430973000002</v>
      </c>
      <c r="R5609" s="10"/>
      <c r="S5609" s="10" t="s">
        <v>53</v>
      </c>
      <c r="T5609" s="10" t="s">
        <v>54</v>
      </c>
    </row>
    <row r="5610" spans="1:20" ht="14.5" x14ac:dyDescent="0.35">
      <c r="A5610" s="10" t="s">
        <v>28769</v>
      </c>
      <c r="B5610" s="10" t="str">
        <f>"9781849053938"</f>
        <v>9781849053938</v>
      </c>
      <c r="C5610" s="10" t="str">
        <f>"9780857007612"</f>
        <v>9780857007612</v>
      </c>
      <c r="D5610" s="10" t="s">
        <v>10516</v>
      </c>
      <c r="E5610" s="10" t="s">
        <v>10516</v>
      </c>
      <c r="F5610" s="10" t="s">
        <v>139</v>
      </c>
      <c r="G5610" s="10" t="s">
        <v>6352</v>
      </c>
      <c r="H5610" s="11">
        <v>41903</v>
      </c>
      <c r="I5610" s="10">
        <v>2014</v>
      </c>
      <c r="J5610" s="10" t="s">
        <v>10516</v>
      </c>
      <c r="K5610" s="10">
        <v>314</v>
      </c>
      <c r="L5610" s="10" t="s">
        <v>28770</v>
      </c>
      <c r="M5610" s="10">
        <v>1</v>
      </c>
      <c r="N5610" s="10"/>
      <c r="O5610" s="10"/>
      <c r="P5610" s="10"/>
      <c r="Q5610" s="10"/>
      <c r="R5610" s="10"/>
      <c r="S5610" s="10" t="s">
        <v>53</v>
      </c>
      <c r="T5610" s="10" t="s">
        <v>10829</v>
      </c>
    </row>
    <row r="5611" spans="1:20" ht="14.5" x14ac:dyDescent="0.35">
      <c r="A5611" s="10" t="s">
        <v>28771</v>
      </c>
      <c r="B5611" s="10" t="str">
        <f>"9781472508348"</f>
        <v>9781472508348</v>
      </c>
      <c r="C5611" s="10" t="str">
        <f>"9781472509536"</f>
        <v>9781472509536</v>
      </c>
      <c r="D5611" s="10" t="s">
        <v>13959</v>
      </c>
      <c r="E5611" s="10" t="s">
        <v>13960</v>
      </c>
      <c r="F5611" s="10" t="s">
        <v>139</v>
      </c>
      <c r="G5611" s="10" t="s">
        <v>6352</v>
      </c>
      <c r="H5611" s="11">
        <v>42019</v>
      </c>
      <c r="I5611" s="10">
        <v>2014</v>
      </c>
      <c r="J5611" s="10" t="s">
        <v>14057</v>
      </c>
      <c r="K5611" s="10">
        <v>193</v>
      </c>
      <c r="L5611" s="10" t="s">
        <v>28772</v>
      </c>
      <c r="M5611" s="10">
        <v>1</v>
      </c>
      <c r="N5611" s="10" t="s">
        <v>20725</v>
      </c>
      <c r="O5611" s="10"/>
      <c r="P5611" s="10" t="s">
        <v>28773</v>
      </c>
      <c r="Q5611" s="10" t="s">
        <v>6331</v>
      </c>
      <c r="R5611" s="10" t="s">
        <v>28774</v>
      </c>
      <c r="S5611" s="10" t="s">
        <v>53</v>
      </c>
      <c r="T5611" s="10" t="s">
        <v>54</v>
      </c>
    </row>
    <row r="5612" spans="1:20" ht="14.5" x14ac:dyDescent="0.35">
      <c r="A5612" s="10" t="s">
        <v>28775</v>
      </c>
      <c r="B5612" s="10" t="str">
        <f>"9781920677442"</f>
        <v>9781920677442</v>
      </c>
      <c r="C5612" s="10" t="str">
        <f>"9781920677602"</f>
        <v>9781920677602</v>
      </c>
      <c r="D5612" s="10" t="s">
        <v>24820</v>
      </c>
      <c r="E5612" s="10" t="s">
        <v>24825</v>
      </c>
      <c r="F5612" s="10" t="s">
        <v>748</v>
      </c>
      <c r="G5612" s="10" t="s">
        <v>24826</v>
      </c>
      <c r="H5612" s="11">
        <v>41973</v>
      </c>
      <c r="I5612" s="10">
        <v>2014</v>
      </c>
      <c r="J5612" s="10" t="s">
        <v>24825</v>
      </c>
      <c r="K5612" s="10">
        <v>170</v>
      </c>
      <c r="L5612" s="10" t="s">
        <v>28776</v>
      </c>
      <c r="M5612" s="10">
        <v>1</v>
      </c>
      <c r="N5612" s="10"/>
      <c r="O5612" s="10"/>
      <c r="P5612" s="10"/>
      <c r="Q5612" s="10"/>
      <c r="R5612" s="10"/>
      <c r="S5612" s="10" t="s">
        <v>53</v>
      </c>
      <c r="T5612" s="10" t="s">
        <v>54</v>
      </c>
    </row>
    <row r="5613" spans="1:20" ht="14.5" x14ac:dyDescent="0.35">
      <c r="A5613" s="10" t="s">
        <v>28777</v>
      </c>
      <c r="B5613" s="10" t="str">
        <f>"9781780460185"</f>
        <v>9781780460185</v>
      </c>
      <c r="C5613" s="10" t="str">
        <f>"9781903544853"</f>
        <v>9781903544853</v>
      </c>
      <c r="D5613" s="10" t="s">
        <v>2131</v>
      </c>
      <c r="E5613" s="10" t="s">
        <v>2131</v>
      </c>
      <c r="F5613" s="10" t="s">
        <v>2132</v>
      </c>
      <c r="G5613" s="10" t="s">
        <v>6352</v>
      </c>
      <c r="H5613" s="11">
        <v>41438</v>
      </c>
      <c r="I5613" s="10">
        <v>2013</v>
      </c>
      <c r="J5613" s="10" t="s">
        <v>2131</v>
      </c>
      <c r="K5613" s="10">
        <v>192</v>
      </c>
      <c r="L5613" s="10" t="s">
        <v>28778</v>
      </c>
      <c r="M5613" s="10">
        <v>2</v>
      </c>
      <c r="N5613" s="10"/>
      <c r="O5613" s="10"/>
      <c r="P5613" s="10" t="s">
        <v>28779</v>
      </c>
      <c r="Q5613" s="10">
        <v>371.2011</v>
      </c>
      <c r="R5613" s="10"/>
      <c r="S5613" s="10" t="s">
        <v>53</v>
      </c>
      <c r="T5613" s="10" t="s">
        <v>54</v>
      </c>
    </row>
    <row r="5614" spans="1:20" ht="14.5" x14ac:dyDescent="0.35">
      <c r="A5614" s="10" t="s">
        <v>28780</v>
      </c>
      <c r="B5614" s="10" t="str">
        <f>"9781118761571"</f>
        <v>9781118761571</v>
      </c>
      <c r="C5614" s="10" t="str">
        <f>"9781118761403"</f>
        <v>9781118761403</v>
      </c>
      <c r="D5614" s="10" t="s">
        <v>6322</v>
      </c>
      <c r="E5614" s="10" t="s">
        <v>6323</v>
      </c>
      <c r="F5614" s="10" t="s">
        <v>4423</v>
      </c>
      <c r="G5614" s="10" t="s">
        <v>6317</v>
      </c>
      <c r="H5614" s="11">
        <v>41925</v>
      </c>
      <c r="I5614" s="10">
        <v>2015</v>
      </c>
      <c r="J5614" s="10" t="s">
        <v>6323</v>
      </c>
      <c r="K5614" s="10">
        <v>323</v>
      </c>
      <c r="L5614" s="10" t="s">
        <v>28781</v>
      </c>
      <c r="M5614" s="10">
        <v>1</v>
      </c>
      <c r="N5614" s="10"/>
      <c r="O5614" s="10"/>
      <c r="P5614" s="10"/>
      <c r="Q5614" s="10" t="s">
        <v>7069</v>
      </c>
      <c r="R5614" s="10" t="s">
        <v>27179</v>
      </c>
      <c r="S5614" s="10" t="s">
        <v>53</v>
      </c>
      <c r="T5614" s="10" t="s">
        <v>54</v>
      </c>
    </row>
    <row r="5615" spans="1:20" ht="14.5" x14ac:dyDescent="0.35">
      <c r="A5615" s="10" t="s">
        <v>28782</v>
      </c>
      <c r="B5615" s="10" t="str">
        <f>"9780195392494"</f>
        <v>9780195392494</v>
      </c>
      <c r="C5615" s="10" t="str">
        <f>"9780199875085"</f>
        <v>9780199875085</v>
      </c>
      <c r="D5615" s="10" t="s">
        <v>9122</v>
      </c>
      <c r="E5615" s="10" t="s">
        <v>9133</v>
      </c>
      <c r="F5615" s="10" t="s">
        <v>748</v>
      </c>
      <c r="G5615" s="10" t="s">
        <v>6317</v>
      </c>
      <c r="H5615" s="11">
        <v>41912</v>
      </c>
      <c r="I5615" s="10">
        <v>2014</v>
      </c>
      <c r="J5615" s="10" t="s">
        <v>9133</v>
      </c>
      <c r="K5615" s="10">
        <v>289</v>
      </c>
      <c r="L5615" s="10" t="s">
        <v>28783</v>
      </c>
      <c r="M5615" s="10">
        <v>1</v>
      </c>
      <c r="N5615" s="10" t="s">
        <v>28784</v>
      </c>
      <c r="O5615" s="10"/>
      <c r="P5615" s="10" t="s">
        <v>28785</v>
      </c>
      <c r="Q5615" s="10">
        <v>616.89</v>
      </c>
      <c r="R5615" s="10" t="s">
        <v>28786</v>
      </c>
      <c r="S5615" s="10" t="s">
        <v>53</v>
      </c>
      <c r="T5615" s="10" t="s">
        <v>8510</v>
      </c>
    </row>
    <row r="5616" spans="1:20" ht="14.5" x14ac:dyDescent="0.35">
      <c r="A5616" s="10" t="s">
        <v>28787</v>
      </c>
      <c r="B5616" s="10" t="str">
        <f>"9781118966235"</f>
        <v>9781118966235</v>
      </c>
      <c r="C5616" s="10" t="str">
        <f>"9781118966259"</f>
        <v>9781118966259</v>
      </c>
      <c r="D5616" s="10" t="s">
        <v>6322</v>
      </c>
      <c r="E5616" s="10" t="s">
        <v>6323</v>
      </c>
      <c r="F5616" s="10" t="s">
        <v>13068</v>
      </c>
      <c r="G5616" s="10" t="s">
        <v>6317</v>
      </c>
      <c r="H5616" s="11">
        <v>41869</v>
      </c>
      <c r="I5616" s="10">
        <v>2014</v>
      </c>
      <c r="J5616" s="10" t="s">
        <v>6324</v>
      </c>
      <c r="K5616" s="10">
        <v>163</v>
      </c>
      <c r="L5616" s="10" t="s">
        <v>28788</v>
      </c>
      <c r="M5616" s="10">
        <v>1</v>
      </c>
      <c r="N5616" s="10" t="s">
        <v>23322</v>
      </c>
      <c r="O5616" s="10"/>
      <c r="P5616" s="10" t="s">
        <v>28789</v>
      </c>
      <c r="Q5616" s="10">
        <v>306.43</v>
      </c>
      <c r="R5616" s="10" t="s">
        <v>28790</v>
      </c>
      <c r="S5616" s="10" t="s">
        <v>53</v>
      </c>
      <c r="T5616" s="10" t="s">
        <v>6526</v>
      </c>
    </row>
    <row r="5617" spans="1:20" ht="14.5" x14ac:dyDescent="0.35">
      <c r="A5617" s="10" t="s">
        <v>28791</v>
      </c>
      <c r="B5617" s="10" t="str">
        <f>"9781610394413"</f>
        <v>9781610394413</v>
      </c>
      <c r="C5617" s="10" t="str">
        <f>"9781610394420"</f>
        <v>9781610394420</v>
      </c>
      <c r="D5617" s="10" t="s">
        <v>15536</v>
      </c>
      <c r="E5617" s="10" t="s">
        <v>15537</v>
      </c>
      <c r="F5617" s="10" t="s">
        <v>70</v>
      </c>
      <c r="G5617" s="10" t="s">
        <v>6317</v>
      </c>
      <c r="H5617" s="11">
        <v>42010</v>
      </c>
      <c r="I5617" s="10">
        <v>2015</v>
      </c>
      <c r="J5617" s="10" t="s">
        <v>15537</v>
      </c>
      <c r="K5617" s="10">
        <v>273</v>
      </c>
      <c r="L5617" s="10" t="s">
        <v>28792</v>
      </c>
      <c r="M5617" s="10">
        <v>1</v>
      </c>
      <c r="N5617" s="10"/>
      <c r="O5617" s="10"/>
      <c r="P5617" s="10" t="s">
        <v>28793</v>
      </c>
      <c r="Q5617" s="10">
        <v>371.26</v>
      </c>
      <c r="R5617" s="10" t="s">
        <v>28794</v>
      </c>
      <c r="S5617" s="10" t="s">
        <v>53</v>
      </c>
      <c r="T5617" s="10" t="s">
        <v>54</v>
      </c>
    </row>
    <row r="5618" spans="1:20" ht="14.5" x14ac:dyDescent="0.35">
      <c r="A5618" s="10" t="s">
        <v>28795</v>
      </c>
      <c r="B5618" s="10" t="str">
        <f>"9781841136943"</f>
        <v>9781841136943</v>
      </c>
      <c r="C5618" s="10" t="str">
        <f>"9781847316103"</f>
        <v>9781847316103</v>
      </c>
      <c r="D5618" s="10" t="s">
        <v>13959</v>
      </c>
      <c r="E5618" s="10" t="s">
        <v>13960</v>
      </c>
      <c r="F5618" s="10" t="s">
        <v>139</v>
      </c>
      <c r="G5618" s="10" t="s">
        <v>6352</v>
      </c>
      <c r="H5618" s="11">
        <v>40512</v>
      </c>
      <c r="I5618" s="10">
        <v>2010</v>
      </c>
      <c r="J5618" s="10" t="s">
        <v>28796</v>
      </c>
      <c r="K5618" s="10">
        <v>359</v>
      </c>
      <c r="L5618" s="10" t="s">
        <v>28797</v>
      </c>
      <c r="M5618" s="10">
        <v>1</v>
      </c>
      <c r="N5618" s="10"/>
      <c r="O5618" s="10"/>
      <c r="P5618" s="10" t="s">
        <v>28798</v>
      </c>
      <c r="Q5618" s="10">
        <v>344.07</v>
      </c>
      <c r="R5618" s="10" t="s">
        <v>28799</v>
      </c>
      <c r="S5618" s="10" t="s">
        <v>53</v>
      </c>
      <c r="T5618" s="10" t="s">
        <v>5396</v>
      </c>
    </row>
    <row r="5619" spans="1:20" ht="14.5" x14ac:dyDescent="0.35">
      <c r="A5619" s="10" t="s">
        <v>28800</v>
      </c>
      <c r="B5619" s="10" t="str">
        <f>"9789089644091"</f>
        <v>9789089644091</v>
      </c>
      <c r="C5619" s="10" t="str">
        <f>"9789048515899"</f>
        <v>9789048515899</v>
      </c>
      <c r="D5619" s="10" t="s">
        <v>13287</v>
      </c>
      <c r="E5619" s="10" t="s">
        <v>13287</v>
      </c>
      <c r="F5619" s="10" t="s">
        <v>1818</v>
      </c>
      <c r="G5619" s="10" t="s">
        <v>9233</v>
      </c>
      <c r="H5619" s="11">
        <v>41039</v>
      </c>
      <c r="I5619" s="10">
        <v>2012</v>
      </c>
      <c r="J5619" s="10" t="s">
        <v>13287</v>
      </c>
      <c r="K5619" s="10">
        <v>351</v>
      </c>
      <c r="L5619" s="10" t="s">
        <v>28801</v>
      </c>
      <c r="M5619" s="10">
        <v>1</v>
      </c>
      <c r="N5619" s="10" t="s">
        <v>23086</v>
      </c>
      <c r="O5619" s="10">
        <v>7</v>
      </c>
      <c r="P5619" s="10" t="s">
        <v>28802</v>
      </c>
      <c r="Q5619" s="10">
        <v>959.50400000000002</v>
      </c>
      <c r="R5619" s="10"/>
      <c r="S5619" s="10" t="s">
        <v>53</v>
      </c>
      <c r="T5619" s="10" t="s">
        <v>4490</v>
      </c>
    </row>
    <row r="5620" spans="1:20" ht="14.5" x14ac:dyDescent="0.35">
      <c r="A5620" s="10" t="s">
        <v>28803</v>
      </c>
      <c r="B5620" s="10" t="str">
        <f>"9789089643124"</f>
        <v>9789089643124</v>
      </c>
      <c r="C5620" s="10" t="str">
        <f>"9789048514113"</f>
        <v>9789048514113</v>
      </c>
      <c r="D5620" s="10" t="s">
        <v>13287</v>
      </c>
      <c r="E5620" s="10" t="s">
        <v>13287</v>
      </c>
      <c r="F5620" s="10" t="s">
        <v>1818</v>
      </c>
      <c r="G5620" s="10" t="s">
        <v>9233</v>
      </c>
      <c r="H5620" s="11">
        <v>41167</v>
      </c>
      <c r="I5620" s="10">
        <v>2012</v>
      </c>
      <c r="J5620" s="10" t="s">
        <v>13287</v>
      </c>
      <c r="K5620" s="10">
        <v>373</v>
      </c>
      <c r="L5620" s="10" t="s">
        <v>28804</v>
      </c>
      <c r="M5620" s="10">
        <v>1</v>
      </c>
      <c r="N5620" s="10" t="s">
        <v>28805</v>
      </c>
      <c r="O5620" s="10"/>
      <c r="P5620" s="10" t="s">
        <v>28806</v>
      </c>
      <c r="Q5620" s="10"/>
      <c r="R5620" s="10"/>
      <c r="S5620" s="10" t="s">
        <v>53</v>
      </c>
      <c r="T5620" s="10" t="s">
        <v>54</v>
      </c>
    </row>
    <row r="5621" spans="1:20" ht="14.5" x14ac:dyDescent="0.35">
      <c r="A5621" s="10" t="s">
        <v>28807</v>
      </c>
      <c r="B5621" s="10" t="str">
        <f>"9789089646514"</f>
        <v>9789089646514</v>
      </c>
      <c r="C5621" s="10" t="str">
        <f>"9789048523184"</f>
        <v>9789048523184</v>
      </c>
      <c r="D5621" s="10" t="s">
        <v>13287</v>
      </c>
      <c r="E5621" s="10" t="s">
        <v>13287</v>
      </c>
      <c r="F5621" s="10" t="s">
        <v>1818</v>
      </c>
      <c r="G5621" s="10" t="s">
        <v>9233</v>
      </c>
      <c r="H5621" s="11">
        <v>41927</v>
      </c>
      <c r="I5621" s="10">
        <v>2014</v>
      </c>
      <c r="J5621" s="10" t="s">
        <v>13287</v>
      </c>
      <c r="K5621" s="10">
        <v>280</v>
      </c>
      <c r="L5621" s="10" t="s">
        <v>28808</v>
      </c>
      <c r="M5621" s="10">
        <v>1</v>
      </c>
      <c r="N5621" s="10" t="s">
        <v>28809</v>
      </c>
      <c r="O5621" s="10"/>
      <c r="P5621" s="10"/>
      <c r="Q5621" s="10"/>
      <c r="R5621" s="10"/>
      <c r="S5621" s="10" t="s">
        <v>53</v>
      </c>
      <c r="T5621" s="10" t="s">
        <v>6363</v>
      </c>
    </row>
    <row r="5622" spans="1:20" ht="14.5" x14ac:dyDescent="0.35">
      <c r="A5622" s="10" t="s">
        <v>28810</v>
      </c>
      <c r="B5622" s="10" t="str">
        <f>"9780826447906"</f>
        <v>9780826447906</v>
      </c>
      <c r="C5622" s="10" t="str">
        <f>"9781847143969"</f>
        <v>9781847143969</v>
      </c>
      <c r="D5622" s="10" t="s">
        <v>13959</v>
      </c>
      <c r="E5622" s="10" t="s">
        <v>13960</v>
      </c>
      <c r="F5622" s="10" t="s">
        <v>139</v>
      </c>
      <c r="G5622" s="10" t="s">
        <v>6352</v>
      </c>
      <c r="H5622" s="11">
        <v>36770</v>
      </c>
      <c r="I5622" s="10">
        <v>2000</v>
      </c>
      <c r="J5622" s="10" t="s">
        <v>13960</v>
      </c>
      <c r="K5622" s="10">
        <v>177</v>
      </c>
      <c r="L5622" s="10" t="s">
        <v>28811</v>
      </c>
      <c r="M5622" s="10">
        <v>1</v>
      </c>
      <c r="N5622" s="10"/>
      <c r="O5622" s="10"/>
      <c r="P5622" s="10" t="s">
        <v>28812</v>
      </c>
      <c r="Q5622" s="10" t="s">
        <v>14034</v>
      </c>
      <c r="R5622" s="10" t="s">
        <v>28813</v>
      </c>
      <c r="S5622" s="10" t="s">
        <v>53</v>
      </c>
      <c r="T5622" s="10" t="s">
        <v>54</v>
      </c>
    </row>
    <row r="5623" spans="1:20" ht="14.5" x14ac:dyDescent="0.35">
      <c r="A5623" s="10" t="s">
        <v>28814</v>
      </c>
      <c r="B5623" s="10" t="str">
        <f>"9781472518866"</f>
        <v>9781472518866</v>
      </c>
      <c r="C5623" s="10" t="str">
        <f>"9781441183132"</f>
        <v>9781441183132</v>
      </c>
      <c r="D5623" s="10" t="s">
        <v>13959</v>
      </c>
      <c r="E5623" s="10" t="s">
        <v>13960</v>
      </c>
      <c r="F5623" s="10" t="s">
        <v>139</v>
      </c>
      <c r="G5623" s="10" t="s">
        <v>6352</v>
      </c>
      <c r="H5623" s="11">
        <v>41935</v>
      </c>
      <c r="I5623" s="10">
        <v>2014</v>
      </c>
      <c r="J5623" s="10" t="s">
        <v>14057</v>
      </c>
      <c r="K5623" s="10">
        <v>225</v>
      </c>
      <c r="L5623" s="10" t="s">
        <v>28815</v>
      </c>
      <c r="M5623" s="10">
        <v>1</v>
      </c>
      <c r="N5623" s="10" t="s">
        <v>28487</v>
      </c>
      <c r="O5623" s="10"/>
      <c r="P5623" s="10" t="s">
        <v>28816</v>
      </c>
      <c r="Q5623" s="10">
        <v>370.92</v>
      </c>
      <c r="R5623" s="10" t="s">
        <v>28817</v>
      </c>
      <c r="S5623" s="10" t="s">
        <v>53</v>
      </c>
      <c r="T5623" s="10" t="s">
        <v>54</v>
      </c>
    </row>
    <row r="5624" spans="1:20" ht="14.5" x14ac:dyDescent="0.35">
      <c r="A5624" s="10" t="s">
        <v>28818</v>
      </c>
      <c r="B5624" s="10" t="str">
        <f>"9780415825146"</f>
        <v>9780415825146</v>
      </c>
      <c r="C5624" s="10" t="str">
        <f>"9781135949464"</f>
        <v>9781135949464</v>
      </c>
      <c r="D5624" s="10" t="s">
        <v>6350</v>
      </c>
      <c r="E5624" s="10" t="s">
        <v>6351</v>
      </c>
      <c r="F5624" s="10" t="s">
        <v>139</v>
      </c>
      <c r="G5624" s="10" t="s">
        <v>6352</v>
      </c>
      <c r="H5624" s="11">
        <v>41898</v>
      </c>
      <c r="I5624" s="10">
        <v>2014</v>
      </c>
      <c r="J5624" s="10" t="s">
        <v>6353</v>
      </c>
      <c r="K5624" s="10">
        <v>185</v>
      </c>
      <c r="L5624" s="10" t="s">
        <v>28819</v>
      </c>
      <c r="M5624" s="10">
        <v>1</v>
      </c>
      <c r="N5624" s="10" t="s">
        <v>24679</v>
      </c>
      <c r="O5624" s="10"/>
      <c r="P5624" s="10" t="s">
        <v>28820</v>
      </c>
      <c r="Q5624" s="10">
        <v>780.89</v>
      </c>
      <c r="R5624" s="10" t="s">
        <v>28821</v>
      </c>
      <c r="S5624" s="10" t="s">
        <v>53</v>
      </c>
      <c r="T5624" s="10" t="s">
        <v>6881</v>
      </c>
    </row>
    <row r="5625" spans="1:20" ht="14.5" x14ac:dyDescent="0.35">
      <c r="A5625" s="10" t="s">
        <v>28822</v>
      </c>
      <c r="B5625" s="10" t="str">
        <f>"9781452229935"</f>
        <v>9781452229935</v>
      </c>
      <c r="C5625" s="10" t="str">
        <f>"9781452277516"</f>
        <v>9781452277516</v>
      </c>
      <c r="D5625" s="10" t="s">
        <v>22210</v>
      </c>
      <c r="E5625" s="10" t="s">
        <v>22211</v>
      </c>
      <c r="F5625" s="10" t="s">
        <v>333</v>
      </c>
      <c r="G5625" s="10" t="s">
        <v>6317</v>
      </c>
      <c r="H5625" s="11">
        <v>41878</v>
      </c>
      <c r="I5625" s="10">
        <v>2014</v>
      </c>
      <c r="J5625" s="10" t="s">
        <v>22211</v>
      </c>
      <c r="K5625" s="10">
        <v>185</v>
      </c>
      <c r="L5625" s="10" t="s">
        <v>28823</v>
      </c>
      <c r="M5625" s="10">
        <v>1</v>
      </c>
      <c r="N5625" s="10"/>
      <c r="O5625" s="10"/>
      <c r="P5625" s="10" t="s">
        <v>28824</v>
      </c>
      <c r="Q5625" s="10">
        <v>428.00712729999998</v>
      </c>
      <c r="R5625" s="10"/>
      <c r="S5625" s="10" t="s">
        <v>53</v>
      </c>
      <c r="T5625" s="10" t="s">
        <v>6634</v>
      </c>
    </row>
    <row r="5626" spans="1:20" ht="14.5" x14ac:dyDescent="0.35">
      <c r="A5626" s="10" t="s">
        <v>28825</v>
      </c>
      <c r="B5626" s="10" t="str">
        <f>"9781118993637"</f>
        <v>9781118993637</v>
      </c>
      <c r="C5626" s="10" t="str">
        <f>"9781118993767"</f>
        <v>9781118993767</v>
      </c>
      <c r="D5626" s="10" t="s">
        <v>6322</v>
      </c>
      <c r="E5626" s="10" t="s">
        <v>6323</v>
      </c>
      <c r="F5626" s="10" t="s">
        <v>6339</v>
      </c>
      <c r="G5626" s="10" t="s">
        <v>6317</v>
      </c>
      <c r="H5626" s="11">
        <v>41891</v>
      </c>
      <c r="I5626" s="10">
        <v>2014</v>
      </c>
      <c r="J5626" s="10" t="s">
        <v>6324</v>
      </c>
      <c r="K5626" s="10">
        <v>106</v>
      </c>
      <c r="L5626" s="10" t="s">
        <v>28826</v>
      </c>
      <c r="M5626" s="10">
        <v>1</v>
      </c>
      <c r="N5626" s="10" t="s">
        <v>23327</v>
      </c>
      <c r="O5626" s="10"/>
      <c r="P5626" s="10" t="s">
        <v>28827</v>
      </c>
      <c r="Q5626" s="10">
        <v>378</v>
      </c>
      <c r="R5626" s="10" t="s">
        <v>28828</v>
      </c>
      <c r="S5626" s="10" t="s">
        <v>53</v>
      </c>
      <c r="T5626" s="10" t="s">
        <v>54</v>
      </c>
    </row>
    <row r="5627" spans="1:20" ht="14.5" x14ac:dyDescent="0.35">
      <c r="A5627" s="10" t="s">
        <v>28829</v>
      </c>
      <c r="B5627" s="10" t="str">
        <f>"9781137382177"</f>
        <v>9781137382177</v>
      </c>
      <c r="C5627" s="10" t="str">
        <f>"9781137382184"</f>
        <v>9781137382184</v>
      </c>
      <c r="D5627" s="10" t="s">
        <v>11249</v>
      </c>
      <c r="E5627" s="10" t="s">
        <v>2400</v>
      </c>
      <c r="F5627" s="10" t="s">
        <v>70</v>
      </c>
      <c r="G5627" s="10" t="s">
        <v>6317</v>
      </c>
      <c r="H5627" s="11">
        <v>41871</v>
      </c>
      <c r="I5627" s="10">
        <v>2014</v>
      </c>
      <c r="J5627" s="10" t="s">
        <v>2400</v>
      </c>
      <c r="K5627" s="10">
        <v>266</v>
      </c>
      <c r="L5627" s="10" t="s">
        <v>28830</v>
      </c>
      <c r="M5627" s="10">
        <v>1</v>
      </c>
      <c r="N5627" s="10" t="s">
        <v>17721</v>
      </c>
      <c r="O5627" s="10"/>
      <c r="P5627" s="10" t="s">
        <v>11275</v>
      </c>
      <c r="Q5627" s="10">
        <v>371.82900000000001</v>
      </c>
      <c r="R5627" s="10" t="s">
        <v>19099</v>
      </c>
      <c r="S5627" s="10" t="s">
        <v>53</v>
      </c>
      <c r="T5627" s="10" t="s">
        <v>54</v>
      </c>
    </row>
    <row r="5628" spans="1:20" ht="14.5" x14ac:dyDescent="0.35">
      <c r="A5628" s="10" t="s">
        <v>28831</v>
      </c>
      <c r="B5628" s="10" t="str">
        <f>"9781137390592"</f>
        <v>9781137390592</v>
      </c>
      <c r="C5628" s="10" t="str">
        <f>"9781137390608"</f>
        <v>9781137390608</v>
      </c>
      <c r="D5628" s="10" t="s">
        <v>11249</v>
      </c>
      <c r="E5628" s="10" t="s">
        <v>13407</v>
      </c>
      <c r="F5628" s="10" t="s">
        <v>139</v>
      </c>
      <c r="G5628" s="10" t="s">
        <v>6352</v>
      </c>
      <c r="H5628" s="11">
        <v>41901</v>
      </c>
      <c r="I5628" s="10">
        <v>2014</v>
      </c>
      <c r="J5628" s="10" t="s">
        <v>2400</v>
      </c>
      <c r="K5628" s="10">
        <v>359</v>
      </c>
      <c r="L5628" s="10" t="s">
        <v>28832</v>
      </c>
      <c r="M5628" s="10">
        <v>1</v>
      </c>
      <c r="N5628" s="10" t="s">
        <v>13409</v>
      </c>
      <c r="O5628" s="10"/>
      <c r="P5628" s="10" t="s">
        <v>13410</v>
      </c>
      <c r="Q5628" s="10"/>
      <c r="R5628" s="10" t="s">
        <v>13411</v>
      </c>
      <c r="S5628" s="10" t="s">
        <v>53</v>
      </c>
      <c r="T5628" s="10" t="s">
        <v>6616</v>
      </c>
    </row>
    <row r="5629" spans="1:20" ht="14.5" x14ac:dyDescent="0.35">
      <c r="A5629" s="10" t="s">
        <v>28833</v>
      </c>
      <c r="B5629" s="10" t="str">
        <f>"9781783504534"</f>
        <v>9781783504534</v>
      </c>
      <c r="C5629" s="10" t="str">
        <f>"9781783504541"</f>
        <v>9781783504541</v>
      </c>
      <c r="D5629" s="10" t="s">
        <v>8699</v>
      </c>
      <c r="E5629" s="10" t="s">
        <v>8699</v>
      </c>
      <c r="F5629" s="10" t="s">
        <v>559</v>
      </c>
      <c r="G5629" s="10" t="s">
        <v>6352</v>
      </c>
      <c r="H5629" s="11">
        <v>41869</v>
      </c>
      <c r="I5629" s="10">
        <v>2014</v>
      </c>
      <c r="J5629" s="10" t="s">
        <v>8699</v>
      </c>
      <c r="K5629" s="10">
        <v>418</v>
      </c>
      <c r="L5629" s="10" t="s">
        <v>28834</v>
      </c>
      <c r="M5629" s="10">
        <v>1</v>
      </c>
      <c r="N5629" s="10" t="s">
        <v>14534</v>
      </c>
      <c r="O5629" s="10">
        <v>25</v>
      </c>
      <c r="P5629" s="10" t="s">
        <v>28835</v>
      </c>
      <c r="Q5629" s="10">
        <v>370.90499999999997</v>
      </c>
      <c r="R5629" s="10" t="s">
        <v>22595</v>
      </c>
      <c r="S5629" s="10" t="s">
        <v>53</v>
      </c>
      <c r="T5629" s="10" t="s">
        <v>54</v>
      </c>
    </row>
    <row r="5630" spans="1:20" ht="14.5" x14ac:dyDescent="0.35">
      <c r="A5630" s="10" t="s">
        <v>28836</v>
      </c>
      <c r="B5630" s="10" t="str">
        <f>"9781783508358"</f>
        <v>9781783508358</v>
      </c>
      <c r="C5630" s="10" t="str">
        <f>"9781783508365"</f>
        <v>9781783508365</v>
      </c>
      <c r="D5630" s="10" t="s">
        <v>8699</v>
      </c>
      <c r="E5630" s="10" t="s">
        <v>8699</v>
      </c>
      <c r="F5630" s="10" t="s">
        <v>559</v>
      </c>
      <c r="G5630" s="10" t="s">
        <v>6352</v>
      </c>
      <c r="H5630" s="11">
        <v>41877</v>
      </c>
      <c r="I5630" s="10">
        <v>2014</v>
      </c>
      <c r="J5630" s="10" t="s">
        <v>8699</v>
      </c>
      <c r="K5630" s="10">
        <v>247</v>
      </c>
      <c r="L5630" s="10" t="s">
        <v>28837</v>
      </c>
      <c r="M5630" s="10">
        <v>1</v>
      </c>
      <c r="N5630" s="10" t="s">
        <v>14554</v>
      </c>
      <c r="O5630" s="10">
        <v>27</v>
      </c>
      <c r="P5630" s="10" t="s">
        <v>28838</v>
      </c>
      <c r="Q5630" s="10">
        <v>371.94</v>
      </c>
      <c r="R5630" s="10" t="s">
        <v>6697</v>
      </c>
      <c r="S5630" s="10" t="s">
        <v>53</v>
      </c>
      <c r="T5630" s="10" t="s">
        <v>54</v>
      </c>
    </row>
    <row r="5631" spans="1:20" ht="14.5" x14ac:dyDescent="0.35">
      <c r="A5631" s="10" t="s">
        <v>28839</v>
      </c>
      <c r="B5631" s="10" t="str">
        <f>"9781784410964"</f>
        <v>9781784410964</v>
      </c>
      <c r="C5631" s="10" t="str">
        <f>"9781784410957"</f>
        <v>9781784410957</v>
      </c>
      <c r="D5631" s="10" t="s">
        <v>8699</v>
      </c>
      <c r="E5631" s="10" t="s">
        <v>8699</v>
      </c>
      <c r="F5631" s="10" t="s">
        <v>559</v>
      </c>
      <c r="G5631" s="10" t="s">
        <v>6352</v>
      </c>
      <c r="H5631" s="11">
        <v>41877</v>
      </c>
      <c r="I5631" s="10">
        <v>2014</v>
      </c>
      <c r="J5631" s="10" t="s">
        <v>8699</v>
      </c>
      <c r="K5631" s="10">
        <v>736</v>
      </c>
      <c r="L5631" s="10" t="s">
        <v>28840</v>
      </c>
      <c r="M5631" s="10">
        <v>1</v>
      </c>
      <c r="N5631" s="10" t="s">
        <v>14550</v>
      </c>
      <c r="O5631" s="10">
        <v>28</v>
      </c>
      <c r="P5631" s="10" t="s">
        <v>28841</v>
      </c>
      <c r="Q5631" s="10">
        <v>371.92</v>
      </c>
      <c r="R5631" s="10" t="s">
        <v>6577</v>
      </c>
      <c r="S5631" s="10" t="s">
        <v>53</v>
      </c>
      <c r="T5631" s="10" t="s">
        <v>54</v>
      </c>
    </row>
    <row r="5632" spans="1:20" ht="14.5" x14ac:dyDescent="0.35">
      <c r="A5632" s="10" t="s">
        <v>28842</v>
      </c>
      <c r="B5632" s="10" t="str">
        <f>"9781118903322"</f>
        <v>9781118903322</v>
      </c>
      <c r="C5632" s="10" t="str">
        <f>"9781118903766"</f>
        <v>9781118903766</v>
      </c>
      <c r="D5632" s="10" t="s">
        <v>6322</v>
      </c>
      <c r="E5632" s="10" t="s">
        <v>6323</v>
      </c>
      <c r="F5632" s="10" t="s">
        <v>4423</v>
      </c>
      <c r="G5632" s="10" t="s">
        <v>6317</v>
      </c>
      <c r="H5632" s="11">
        <v>41932</v>
      </c>
      <c r="I5632" s="10">
        <v>2015</v>
      </c>
      <c r="J5632" s="10" t="s">
        <v>6324</v>
      </c>
      <c r="K5632" s="10">
        <v>370</v>
      </c>
      <c r="L5632" s="10" t="s">
        <v>28843</v>
      </c>
      <c r="M5632" s="10">
        <v>2</v>
      </c>
      <c r="N5632" s="10"/>
      <c r="O5632" s="10"/>
      <c r="P5632" s="10"/>
      <c r="Q5632" s="10" t="s">
        <v>19167</v>
      </c>
      <c r="R5632" s="10" t="s">
        <v>28105</v>
      </c>
      <c r="S5632" s="10" t="s">
        <v>53</v>
      </c>
      <c r="T5632" s="10" t="s">
        <v>54</v>
      </c>
    </row>
    <row r="5633" spans="1:20" ht="14.5" x14ac:dyDescent="0.35">
      <c r="A5633" s="10" t="s">
        <v>28844</v>
      </c>
      <c r="B5633" s="10" t="str">
        <f>"9780761864127"</f>
        <v>9780761864127</v>
      </c>
      <c r="C5633" s="10" t="str">
        <f>"9780761864134"</f>
        <v>9780761864134</v>
      </c>
      <c r="D5633" s="10" t="s">
        <v>9752</v>
      </c>
      <c r="E5633" s="10" t="s">
        <v>17167</v>
      </c>
      <c r="F5633" s="10" t="s">
        <v>9754</v>
      </c>
      <c r="G5633" s="10" t="s">
        <v>6317</v>
      </c>
      <c r="H5633" s="11">
        <v>41886</v>
      </c>
      <c r="I5633" s="10">
        <v>2014</v>
      </c>
      <c r="J5633" s="10" t="s">
        <v>17167</v>
      </c>
      <c r="K5633" s="10">
        <v>77</v>
      </c>
      <c r="L5633" s="10" t="s">
        <v>28845</v>
      </c>
      <c r="M5633" s="10">
        <v>1</v>
      </c>
      <c r="N5633" s="10"/>
      <c r="O5633" s="10"/>
      <c r="P5633" s="10"/>
      <c r="Q5633" s="10">
        <v>378.15509730000002</v>
      </c>
      <c r="R5633" s="10" t="s">
        <v>28846</v>
      </c>
      <c r="S5633" s="10" t="s">
        <v>53</v>
      </c>
      <c r="T5633" s="10" t="s">
        <v>54</v>
      </c>
    </row>
    <row r="5634" spans="1:20" ht="14.5" x14ac:dyDescent="0.35">
      <c r="A5634" s="10" t="s">
        <v>28847</v>
      </c>
      <c r="B5634" s="10" t="str">
        <f>"9789401789011"</f>
        <v>9789401789011</v>
      </c>
      <c r="C5634" s="10" t="str">
        <f>"9789401789028"</f>
        <v>9789401789028</v>
      </c>
      <c r="D5634" s="10" t="s">
        <v>11249</v>
      </c>
      <c r="E5634" s="10" t="s">
        <v>12215</v>
      </c>
      <c r="F5634" s="10" t="s">
        <v>206</v>
      </c>
      <c r="G5634" s="10" t="s">
        <v>9233</v>
      </c>
      <c r="H5634" s="11">
        <v>41852</v>
      </c>
      <c r="I5634" s="10">
        <v>2014</v>
      </c>
      <c r="J5634" s="10" t="s">
        <v>13067</v>
      </c>
      <c r="K5634" s="10">
        <v>1378</v>
      </c>
      <c r="L5634" s="10" t="s">
        <v>28848</v>
      </c>
      <c r="M5634" s="10">
        <v>1</v>
      </c>
      <c r="N5634" s="10" t="s">
        <v>28849</v>
      </c>
      <c r="O5634" s="10"/>
      <c r="P5634" s="10" t="s">
        <v>13419</v>
      </c>
      <c r="Q5634" s="10">
        <v>658.31240000000003</v>
      </c>
      <c r="R5634" s="10" t="s">
        <v>28850</v>
      </c>
      <c r="S5634" s="10" t="s">
        <v>53</v>
      </c>
      <c r="T5634" s="10" t="s">
        <v>8760</v>
      </c>
    </row>
    <row r="5635" spans="1:20" ht="14.5" x14ac:dyDescent="0.35">
      <c r="A5635" s="10" t="s">
        <v>28851</v>
      </c>
      <c r="B5635" s="10" t="str">
        <f>"9781118944196"</f>
        <v>9781118944196</v>
      </c>
      <c r="C5635" s="10" t="str">
        <f>"9781118944202"</f>
        <v>9781118944202</v>
      </c>
      <c r="D5635" s="10" t="s">
        <v>6322</v>
      </c>
      <c r="E5635" s="10" t="s">
        <v>6323</v>
      </c>
      <c r="F5635" s="10" t="s">
        <v>6339</v>
      </c>
      <c r="G5635" s="10" t="s">
        <v>6317</v>
      </c>
      <c r="H5635" s="11">
        <v>41904</v>
      </c>
      <c r="I5635" s="10">
        <v>2014</v>
      </c>
      <c r="J5635" s="10" t="s">
        <v>6324</v>
      </c>
      <c r="K5635" s="10">
        <v>106</v>
      </c>
      <c r="L5635" s="10" t="s">
        <v>28852</v>
      </c>
      <c r="M5635" s="10">
        <v>1</v>
      </c>
      <c r="N5635" s="10" t="s">
        <v>20707</v>
      </c>
      <c r="O5635" s="10">
        <v>143</v>
      </c>
      <c r="P5635" s="10" t="s">
        <v>28853</v>
      </c>
      <c r="Q5635" s="10">
        <v>371.10923400000001</v>
      </c>
      <c r="R5635" s="10" t="s">
        <v>28854</v>
      </c>
      <c r="S5635" s="10" t="s">
        <v>53</v>
      </c>
      <c r="T5635" s="10" t="s">
        <v>54</v>
      </c>
    </row>
    <row r="5636" spans="1:20" ht="14.5" x14ac:dyDescent="0.35">
      <c r="A5636" s="10" t="s">
        <v>28855</v>
      </c>
      <c r="B5636" s="10" t="str">
        <f>"9781118976364"</f>
        <v>9781118976364</v>
      </c>
      <c r="C5636" s="10" t="str">
        <f>"9781118976371"</f>
        <v>9781118976371</v>
      </c>
      <c r="D5636" s="10" t="s">
        <v>6322</v>
      </c>
      <c r="E5636" s="10" t="s">
        <v>6323</v>
      </c>
      <c r="F5636" s="10" t="s">
        <v>1168</v>
      </c>
      <c r="G5636" s="10" t="s">
        <v>6317</v>
      </c>
      <c r="H5636" s="11">
        <v>41904</v>
      </c>
      <c r="I5636" s="10">
        <v>2014</v>
      </c>
      <c r="J5636" s="10" t="s">
        <v>6324</v>
      </c>
      <c r="K5636" s="10">
        <v>115</v>
      </c>
      <c r="L5636" s="10" t="s">
        <v>28856</v>
      </c>
      <c r="M5636" s="10">
        <v>1</v>
      </c>
      <c r="N5636" s="10" t="s">
        <v>22922</v>
      </c>
      <c r="O5636" s="10">
        <v>167</v>
      </c>
      <c r="P5636" s="10" t="s">
        <v>28857</v>
      </c>
      <c r="Q5636" s="10">
        <v>378.16913</v>
      </c>
      <c r="R5636" s="10" t="s">
        <v>28858</v>
      </c>
      <c r="S5636" s="10" t="s">
        <v>53</v>
      </c>
      <c r="T5636" s="10" t="s">
        <v>54</v>
      </c>
    </row>
    <row r="5637" spans="1:20" ht="14.5" x14ac:dyDescent="0.35">
      <c r="A5637" s="10" t="s">
        <v>28859</v>
      </c>
      <c r="B5637" s="10" t="str">
        <f>"9781907969508"</f>
        <v>9781907969508</v>
      </c>
      <c r="C5637" s="10" t="str">
        <f>"9781907969706"</f>
        <v>9781907969706</v>
      </c>
      <c r="D5637" s="10" t="s">
        <v>10516</v>
      </c>
      <c r="E5637" s="10" t="s">
        <v>10516</v>
      </c>
      <c r="F5637" s="10" t="s">
        <v>139</v>
      </c>
      <c r="G5637" s="10" t="s">
        <v>6352</v>
      </c>
      <c r="H5637" s="11">
        <v>40980</v>
      </c>
      <c r="I5637" s="10">
        <v>2012</v>
      </c>
      <c r="J5637" s="10" t="s">
        <v>28860</v>
      </c>
      <c r="K5637" s="10">
        <v>122</v>
      </c>
      <c r="L5637" s="10" t="s">
        <v>28861</v>
      </c>
      <c r="M5637" s="10">
        <v>2</v>
      </c>
      <c r="N5637" s="10"/>
      <c r="O5637" s="10"/>
      <c r="P5637" s="10" t="s">
        <v>28862</v>
      </c>
      <c r="Q5637" s="10">
        <v>370.11500000000001</v>
      </c>
      <c r="R5637" s="10" t="s">
        <v>28863</v>
      </c>
      <c r="S5637" s="10" t="s">
        <v>53</v>
      </c>
      <c r="T5637" s="10" t="s">
        <v>54</v>
      </c>
    </row>
    <row r="5638" spans="1:20" ht="14.5" x14ac:dyDescent="0.35">
      <c r="A5638" s="10" t="s">
        <v>28864</v>
      </c>
      <c r="B5638" s="10" t="str">
        <f>"9781870985505"</f>
        <v>9781870985505</v>
      </c>
      <c r="C5638" s="10" t="str">
        <f>"9781907969683"</f>
        <v>9781907969683</v>
      </c>
      <c r="D5638" s="10" t="s">
        <v>10516</v>
      </c>
      <c r="E5638" s="10" t="s">
        <v>10516</v>
      </c>
      <c r="F5638" s="10" t="s">
        <v>139</v>
      </c>
      <c r="G5638" s="10" t="s">
        <v>6352</v>
      </c>
      <c r="H5638" s="11">
        <v>37622</v>
      </c>
      <c r="I5638" s="10">
        <v>2003</v>
      </c>
      <c r="J5638" s="10" t="s">
        <v>28860</v>
      </c>
      <c r="K5638" s="10">
        <v>76</v>
      </c>
      <c r="L5638" s="10" t="s">
        <v>28865</v>
      </c>
      <c r="M5638" s="10">
        <v>1</v>
      </c>
      <c r="N5638" s="10"/>
      <c r="O5638" s="10"/>
      <c r="P5638" s="10" t="s">
        <v>28866</v>
      </c>
      <c r="Q5638" s="10" t="s">
        <v>28867</v>
      </c>
      <c r="R5638" s="10" t="s">
        <v>7113</v>
      </c>
      <c r="S5638" s="10" t="s">
        <v>53</v>
      </c>
      <c r="T5638" s="10" t="s">
        <v>6363</v>
      </c>
    </row>
    <row r="5639" spans="1:20" ht="14.5" x14ac:dyDescent="0.35">
      <c r="A5639" s="10" t="s">
        <v>28868</v>
      </c>
      <c r="B5639" s="10" t="str">
        <f>"9781900990431"</f>
        <v>9781900990431</v>
      </c>
      <c r="C5639" s="10" t="str">
        <f>"9781907969591"</f>
        <v>9781907969591</v>
      </c>
      <c r="D5639" s="10" t="s">
        <v>10516</v>
      </c>
      <c r="E5639" s="10" t="s">
        <v>10516</v>
      </c>
      <c r="F5639" s="10" t="s">
        <v>139</v>
      </c>
      <c r="G5639" s="10" t="s">
        <v>6352</v>
      </c>
      <c r="H5639" s="11">
        <v>35805</v>
      </c>
      <c r="I5639" s="10">
        <v>1998</v>
      </c>
      <c r="J5639" s="10" t="s">
        <v>28860</v>
      </c>
      <c r="K5639" s="10">
        <v>68</v>
      </c>
      <c r="L5639" s="10" t="s">
        <v>28869</v>
      </c>
      <c r="M5639" s="10">
        <v>1</v>
      </c>
      <c r="N5639" s="10"/>
      <c r="O5639" s="10"/>
      <c r="P5639" s="10" t="s">
        <v>28870</v>
      </c>
      <c r="Q5639" s="10" t="s">
        <v>6612</v>
      </c>
      <c r="R5639" s="10" t="s">
        <v>20590</v>
      </c>
      <c r="S5639" s="10" t="s">
        <v>53</v>
      </c>
      <c r="T5639" s="10" t="s">
        <v>54</v>
      </c>
    </row>
    <row r="5640" spans="1:20" ht="14.5" x14ac:dyDescent="0.35">
      <c r="A5640" s="10" t="s">
        <v>28871</v>
      </c>
      <c r="B5640" s="10" t="str">
        <f>"9781905818501"</f>
        <v>9781905818501</v>
      </c>
      <c r="C5640" s="10" t="str">
        <f>"9781905818839"</f>
        <v>9781905818839</v>
      </c>
      <c r="D5640" s="10" t="s">
        <v>10516</v>
      </c>
      <c r="E5640" s="10" t="s">
        <v>10516</v>
      </c>
      <c r="F5640" s="10" t="s">
        <v>139</v>
      </c>
      <c r="G5640" s="10" t="s">
        <v>6352</v>
      </c>
      <c r="H5640" s="11">
        <v>40235</v>
      </c>
      <c r="I5640" s="10">
        <v>2010</v>
      </c>
      <c r="J5640" s="10" t="s">
        <v>28860</v>
      </c>
      <c r="K5640" s="10">
        <v>196</v>
      </c>
      <c r="L5640" s="10" t="s">
        <v>28872</v>
      </c>
      <c r="M5640" s="10">
        <v>1</v>
      </c>
      <c r="N5640" s="10"/>
      <c r="O5640" s="10"/>
      <c r="P5640" s="10" t="s">
        <v>28873</v>
      </c>
      <c r="Q5640" s="10">
        <v>372.1</v>
      </c>
      <c r="R5640" s="10" t="s">
        <v>28874</v>
      </c>
      <c r="S5640" s="10" t="s">
        <v>53</v>
      </c>
      <c r="T5640" s="10" t="s">
        <v>54</v>
      </c>
    </row>
    <row r="5641" spans="1:20" ht="14.5" x14ac:dyDescent="0.35">
      <c r="A5641" s="10" t="s">
        <v>28875</v>
      </c>
      <c r="B5641" s="10" t="str">
        <f>"9781598571967"</f>
        <v>9781598571967</v>
      </c>
      <c r="C5641" s="10" t="str">
        <f>"9781598573749"</f>
        <v>9781598573749</v>
      </c>
      <c r="D5641" s="10" t="s">
        <v>28876</v>
      </c>
      <c r="E5641" s="10" t="s">
        <v>28877</v>
      </c>
      <c r="F5641" s="10" t="s">
        <v>885</v>
      </c>
      <c r="G5641" s="10" t="s">
        <v>6317</v>
      </c>
      <c r="H5641" s="11">
        <v>41166</v>
      </c>
      <c r="I5641" s="10">
        <v>2013</v>
      </c>
      <c r="J5641" s="10" t="s">
        <v>28877</v>
      </c>
      <c r="K5641" s="10">
        <v>612</v>
      </c>
      <c r="L5641" s="10" t="s">
        <v>28878</v>
      </c>
      <c r="M5641" s="10">
        <v>4</v>
      </c>
      <c r="N5641" s="10"/>
      <c r="O5641" s="10"/>
      <c r="P5641" s="10" t="s">
        <v>28879</v>
      </c>
      <c r="Q5641" s="10" t="s">
        <v>28880</v>
      </c>
      <c r="R5641" s="10" t="s">
        <v>28881</v>
      </c>
      <c r="S5641" s="10" t="s">
        <v>53</v>
      </c>
      <c r="T5641" s="10" t="s">
        <v>8625</v>
      </c>
    </row>
    <row r="5642" spans="1:20" ht="14.5" x14ac:dyDescent="0.35">
      <c r="A5642" s="10" t="s">
        <v>28882</v>
      </c>
      <c r="B5642" s="10" t="str">
        <f>"9781598572520"</f>
        <v>9781598572520</v>
      </c>
      <c r="C5642" s="10" t="str">
        <f>"9781598578188"</f>
        <v>9781598578188</v>
      </c>
      <c r="D5642" s="10" t="s">
        <v>28876</v>
      </c>
      <c r="E5642" s="10" t="s">
        <v>28877</v>
      </c>
      <c r="F5642" s="10" t="s">
        <v>885</v>
      </c>
      <c r="G5642" s="10" t="s">
        <v>6317</v>
      </c>
      <c r="H5642" s="11">
        <v>41823</v>
      </c>
      <c r="I5642" s="10">
        <v>2014</v>
      </c>
      <c r="J5642" s="10" t="s">
        <v>28877</v>
      </c>
      <c r="K5642" s="10">
        <v>225</v>
      </c>
      <c r="L5642" s="10" t="s">
        <v>28883</v>
      </c>
      <c r="M5642" s="10">
        <v>1</v>
      </c>
      <c r="N5642" s="10"/>
      <c r="O5642" s="10"/>
      <c r="P5642" s="10" t="s">
        <v>28884</v>
      </c>
      <c r="Q5642" s="10">
        <v>371.90460000000002</v>
      </c>
      <c r="R5642" s="10" t="s">
        <v>28885</v>
      </c>
      <c r="S5642" s="10" t="s">
        <v>53</v>
      </c>
      <c r="T5642" s="10" t="s">
        <v>54</v>
      </c>
    </row>
    <row r="5643" spans="1:20" ht="14.5" x14ac:dyDescent="0.35">
      <c r="A5643" s="10" t="s">
        <v>28886</v>
      </c>
      <c r="B5643" s="10" t="str">
        <f>"9781557668998"</f>
        <v>9781557668998</v>
      </c>
      <c r="C5643" s="10" t="str">
        <f>"9781598576771"</f>
        <v>9781598576771</v>
      </c>
      <c r="D5643" s="10" t="s">
        <v>28876</v>
      </c>
      <c r="E5643" s="10" t="s">
        <v>28877</v>
      </c>
      <c r="F5643" s="10" t="s">
        <v>885</v>
      </c>
      <c r="G5643" s="10" t="s">
        <v>6317</v>
      </c>
      <c r="H5643" s="11">
        <v>39960</v>
      </c>
      <c r="I5643" s="10">
        <v>2014</v>
      </c>
      <c r="J5643" s="10" t="s">
        <v>28877</v>
      </c>
      <c r="K5643" s="10">
        <v>149</v>
      </c>
      <c r="L5643" s="10" t="s">
        <v>28887</v>
      </c>
      <c r="M5643" s="10">
        <v>1</v>
      </c>
      <c r="N5643" s="10"/>
      <c r="O5643" s="10"/>
      <c r="P5643" s="10" t="s">
        <v>28888</v>
      </c>
      <c r="Q5643" s="10" t="s">
        <v>6576</v>
      </c>
      <c r="R5643" s="10" t="s">
        <v>28889</v>
      </c>
      <c r="S5643" s="10" t="s">
        <v>53</v>
      </c>
      <c r="T5643" s="10" t="s">
        <v>54</v>
      </c>
    </row>
    <row r="5644" spans="1:20" ht="14.5" x14ac:dyDescent="0.35">
      <c r="A5644" s="10" t="s">
        <v>28890</v>
      </c>
      <c r="B5644" s="10" t="str">
        <f>"9781598572988"</f>
        <v>9781598572988</v>
      </c>
      <c r="C5644" s="10" t="str">
        <f>"9781598576863"</f>
        <v>9781598576863</v>
      </c>
      <c r="D5644" s="10" t="s">
        <v>28876</v>
      </c>
      <c r="E5644" s="10" t="s">
        <v>28877</v>
      </c>
      <c r="F5644" s="10" t="s">
        <v>885</v>
      </c>
      <c r="G5644" s="10" t="s">
        <v>6317</v>
      </c>
      <c r="H5644" s="11">
        <v>41509</v>
      </c>
      <c r="I5644" s="10">
        <v>2014</v>
      </c>
      <c r="J5644" s="10" t="s">
        <v>28877</v>
      </c>
      <c r="K5644" s="10">
        <v>185</v>
      </c>
      <c r="L5644" s="10" t="s">
        <v>28891</v>
      </c>
      <c r="M5644" s="10">
        <v>1</v>
      </c>
      <c r="N5644" s="10"/>
      <c r="O5644" s="10"/>
      <c r="P5644" s="10" t="s">
        <v>28892</v>
      </c>
      <c r="Q5644" s="10">
        <v>371.90460000000002</v>
      </c>
      <c r="R5644" s="10" t="s">
        <v>28893</v>
      </c>
      <c r="S5644" s="10" t="s">
        <v>53</v>
      </c>
      <c r="T5644" s="10" t="s">
        <v>54</v>
      </c>
    </row>
    <row r="5645" spans="1:20" ht="14.5" x14ac:dyDescent="0.35">
      <c r="A5645" s="10" t="s">
        <v>28894</v>
      </c>
      <c r="B5645" s="10" t="str">
        <f>"9781598572766"</f>
        <v>9781598572766</v>
      </c>
      <c r="C5645" s="10" t="str">
        <f>"9781598575743"</f>
        <v>9781598575743</v>
      </c>
      <c r="D5645" s="10" t="s">
        <v>28876</v>
      </c>
      <c r="E5645" s="10" t="s">
        <v>28877</v>
      </c>
      <c r="F5645" s="10" t="s">
        <v>885</v>
      </c>
      <c r="G5645" s="10" t="s">
        <v>6317</v>
      </c>
      <c r="H5645" s="11">
        <v>41579</v>
      </c>
      <c r="I5645" s="10">
        <v>2013</v>
      </c>
      <c r="J5645" s="10" t="s">
        <v>28877</v>
      </c>
      <c r="K5645" s="10">
        <v>208</v>
      </c>
      <c r="L5645" s="10" t="s">
        <v>28895</v>
      </c>
      <c r="M5645" s="10">
        <v>1</v>
      </c>
      <c r="N5645" s="10"/>
      <c r="O5645" s="10"/>
      <c r="P5645" s="10" t="s">
        <v>28896</v>
      </c>
      <c r="Q5645" s="10">
        <v>371.92083097300002</v>
      </c>
      <c r="R5645" s="10" t="s">
        <v>28897</v>
      </c>
      <c r="S5645" s="10" t="s">
        <v>53</v>
      </c>
      <c r="T5645" s="10" t="s">
        <v>6472</v>
      </c>
    </row>
    <row r="5646" spans="1:20" ht="14.5" x14ac:dyDescent="0.35">
      <c r="A5646" s="10" t="s">
        <v>28898</v>
      </c>
      <c r="B5646" s="10" t="str">
        <f>"9781598572117"</f>
        <v>9781598572117</v>
      </c>
      <c r="C5646" s="10" t="str">
        <f>"9781598576153"</f>
        <v>9781598576153</v>
      </c>
      <c r="D5646" s="10" t="s">
        <v>28876</v>
      </c>
      <c r="E5646" s="10" t="s">
        <v>28877</v>
      </c>
      <c r="F5646" s="10" t="s">
        <v>885</v>
      </c>
      <c r="G5646" s="10" t="s">
        <v>6317</v>
      </c>
      <c r="H5646" s="11">
        <v>41690</v>
      </c>
      <c r="I5646" s="10">
        <v>2014</v>
      </c>
      <c r="J5646" s="10" t="s">
        <v>28877</v>
      </c>
      <c r="K5646" s="10">
        <v>276</v>
      </c>
      <c r="L5646" s="10" t="s">
        <v>28899</v>
      </c>
      <c r="M5646" s="10">
        <v>1</v>
      </c>
      <c r="N5646" s="10"/>
      <c r="O5646" s="10"/>
      <c r="P5646" s="10" t="s">
        <v>28900</v>
      </c>
      <c r="Q5646" s="10">
        <v>371.9</v>
      </c>
      <c r="R5646" s="10" t="s">
        <v>28901</v>
      </c>
      <c r="S5646" s="10" t="s">
        <v>53</v>
      </c>
      <c r="T5646" s="10" t="s">
        <v>54</v>
      </c>
    </row>
    <row r="5647" spans="1:20" ht="14.5" x14ac:dyDescent="0.35">
      <c r="A5647" s="10" t="s">
        <v>28902</v>
      </c>
      <c r="B5647" s="10" t="str">
        <f>"9781557669872"</f>
        <v>9781557669872</v>
      </c>
      <c r="C5647" s="10" t="str">
        <f>"9781598575408"</f>
        <v>9781598575408</v>
      </c>
      <c r="D5647" s="10" t="s">
        <v>28876</v>
      </c>
      <c r="E5647" s="10" t="s">
        <v>28877</v>
      </c>
      <c r="F5647" s="10" t="s">
        <v>885</v>
      </c>
      <c r="G5647" s="10" t="s">
        <v>6317</v>
      </c>
      <c r="H5647" s="11">
        <v>41579</v>
      </c>
      <c r="I5647" s="10">
        <v>2013</v>
      </c>
      <c r="J5647" s="10" t="s">
        <v>28877</v>
      </c>
      <c r="K5647" s="10">
        <v>305</v>
      </c>
      <c r="L5647" s="10" t="s">
        <v>28903</v>
      </c>
      <c r="M5647" s="10">
        <v>1</v>
      </c>
      <c r="N5647" s="10"/>
      <c r="O5647" s="10"/>
      <c r="P5647" s="10" t="s">
        <v>28904</v>
      </c>
      <c r="Q5647" s="10">
        <v>362.3</v>
      </c>
      <c r="R5647" s="10" t="s">
        <v>28905</v>
      </c>
      <c r="S5647" s="10" t="s">
        <v>53</v>
      </c>
      <c r="T5647" s="10" t="s">
        <v>6363</v>
      </c>
    </row>
    <row r="5648" spans="1:20" ht="14.5" x14ac:dyDescent="0.35">
      <c r="A5648" s="10" t="s">
        <v>28906</v>
      </c>
      <c r="B5648" s="10" t="str">
        <f>"9781598572919"</f>
        <v>9781598572919</v>
      </c>
      <c r="C5648" s="10" t="str">
        <f>"9781598574166"</f>
        <v>9781598574166</v>
      </c>
      <c r="D5648" s="10" t="s">
        <v>28876</v>
      </c>
      <c r="E5648" s="10" t="s">
        <v>28877</v>
      </c>
      <c r="F5648" s="10" t="s">
        <v>885</v>
      </c>
      <c r="G5648" s="10" t="s">
        <v>6317</v>
      </c>
      <c r="H5648" s="11">
        <v>41549</v>
      </c>
      <c r="I5648" s="10">
        <v>2014</v>
      </c>
      <c r="J5648" s="10" t="s">
        <v>28877</v>
      </c>
      <c r="K5648" s="10">
        <v>249</v>
      </c>
      <c r="L5648" s="10" t="s">
        <v>28907</v>
      </c>
      <c r="M5648" s="10">
        <v>1</v>
      </c>
      <c r="N5648" s="10"/>
      <c r="O5648" s="10"/>
      <c r="P5648" s="10" t="s">
        <v>28908</v>
      </c>
      <c r="Q5648" s="10">
        <v>372.70490000000001</v>
      </c>
      <c r="R5648" s="10" t="s">
        <v>28909</v>
      </c>
      <c r="S5648" s="10" t="s">
        <v>53</v>
      </c>
      <c r="T5648" s="10" t="s">
        <v>7425</v>
      </c>
    </row>
    <row r="5649" spans="1:20" ht="14.5" x14ac:dyDescent="0.35">
      <c r="A5649" s="10" t="s">
        <v>28910</v>
      </c>
      <c r="B5649" s="10" t="str">
        <f>"9781598573503"</f>
        <v>9781598573503</v>
      </c>
      <c r="C5649" s="10" t="str">
        <f>"9781598573886"</f>
        <v>9781598573886</v>
      </c>
      <c r="D5649" s="10" t="s">
        <v>28876</v>
      </c>
      <c r="E5649" s="10" t="s">
        <v>28877</v>
      </c>
      <c r="F5649" s="10" t="s">
        <v>885</v>
      </c>
      <c r="G5649" s="10" t="s">
        <v>6317</v>
      </c>
      <c r="H5649" s="11">
        <v>41582</v>
      </c>
      <c r="I5649" s="10">
        <v>2014</v>
      </c>
      <c r="J5649" s="10" t="s">
        <v>28877</v>
      </c>
      <c r="K5649" s="10">
        <v>169</v>
      </c>
      <c r="L5649" s="10" t="s">
        <v>28911</v>
      </c>
      <c r="M5649" s="10">
        <v>1</v>
      </c>
      <c r="N5649" s="10"/>
      <c r="O5649" s="10"/>
      <c r="P5649" s="10" t="s">
        <v>28912</v>
      </c>
      <c r="Q5649" s="10" t="s">
        <v>10031</v>
      </c>
      <c r="R5649" s="10" t="s">
        <v>28913</v>
      </c>
      <c r="S5649" s="10" t="s">
        <v>53</v>
      </c>
      <c r="T5649" s="10" t="s">
        <v>54</v>
      </c>
    </row>
    <row r="5650" spans="1:20" ht="14.5" x14ac:dyDescent="0.35">
      <c r="A5650" s="10" t="s">
        <v>28914</v>
      </c>
      <c r="B5650" s="10" t="str">
        <f>""</f>
        <v/>
      </c>
      <c r="C5650" s="10" t="str">
        <f>"9781845407827"</f>
        <v>9781845407827</v>
      </c>
      <c r="D5650" s="10" t="s">
        <v>19500</v>
      </c>
      <c r="E5650" s="10" t="s">
        <v>19501</v>
      </c>
      <c r="F5650" s="10" t="s">
        <v>20587</v>
      </c>
      <c r="G5650" s="10" t="s">
        <v>6352</v>
      </c>
      <c r="H5650" s="11">
        <v>41877</v>
      </c>
      <c r="I5650" s="10">
        <v>2014</v>
      </c>
      <c r="J5650" s="10" t="s">
        <v>19503</v>
      </c>
      <c r="K5650" s="10">
        <v>3341</v>
      </c>
      <c r="L5650" s="10" t="s">
        <v>28915</v>
      </c>
      <c r="M5650" s="10">
        <v>1</v>
      </c>
      <c r="N5650" s="10" t="s">
        <v>28916</v>
      </c>
      <c r="O5650" s="10">
        <v>7</v>
      </c>
      <c r="P5650" s="10" t="s">
        <v>28917</v>
      </c>
      <c r="Q5650" s="10">
        <v>370.1</v>
      </c>
      <c r="R5650" s="10" t="s">
        <v>6967</v>
      </c>
      <c r="S5650" s="10" t="s">
        <v>53</v>
      </c>
      <c r="T5650" s="10" t="s">
        <v>54</v>
      </c>
    </row>
    <row r="5651" spans="1:20" ht="14.5" x14ac:dyDescent="0.35">
      <c r="A5651" s="10" t="s">
        <v>28918</v>
      </c>
      <c r="B5651" s="10" t="str">
        <f>"9780739179420"</f>
        <v>9780739179420</v>
      </c>
      <c r="C5651" s="10" t="str">
        <f>"9780739179437"</f>
        <v>9780739179437</v>
      </c>
      <c r="D5651" s="10" t="s">
        <v>9752</v>
      </c>
      <c r="E5651" s="10" t="s">
        <v>15182</v>
      </c>
      <c r="F5651" s="10" t="s">
        <v>9754</v>
      </c>
      <c r="G5651" s="10" t="s">
        <v>6317</v>
      </c>
      <c r="H5651" s="11">
        <v>41857</v>
      </c>
      <c r="I5651" s="10">
        <v>2014</v>
      </c>
      <c r="J5651" s="10" t="s">
        <v>15182</v>
      </c>
      <c r="K5651" s="10">
        <v>223</v>
      </c>
      <c r="L5651" s="10" t="s">
        <v>28919</v>
      </c>
      <c r="M5651" s="10">
        <v>1</v>
      </c>
      <c r="N5651" s="10"/>
      <c r="O5651" s="10"/>
      <c r="P5651" s="10" t="s">
        <v>28920</v>
      </c>
      <c r="Q5651" s="10">
        <v>320.96789999999999</v>
      </c>
      <c r="R5651" s="10" t="s">
        <v>28921</v>
      </c>
      <c r="S5651" s="10" t="s">
        <v>53</v>
      </c>
      <c r="T5651" s="10" t="s">
        <v>16922</v>
      </c>
    </row>
    <row r="5652" spans="1:20" ht="14.5" x14ac:dyDescent="0.35">
      <c r="A5652" s="10" t="s">
        <v>28922</v>
      </c>
      <c r="B5652" s="10" t="str">
        <f>"9781443862196"</f>
        <v>9781443862196</v>
      </c>
      <c r="C5652" s="10" t="str">
        <f>"9781443867184"</f>
        <v>9781443867184</v>
      </c>
      <c r="D5652" s="10" t="s">
        <v>23635</v>
      </c>
      <c r="E5652" s="10" t="s">
        <v>23635</v>
      </c>
      <c r="F5652" s="10" t="s">
        <v>23636</v>
      </c>
      <c r="G5652" s="10" t="s">
        <v>6352</v>
      </c>
      <c r="H5652" s="11">
        <v>41880</v>
      </c>
      <c r="I5652" s="10">
        <v>2014</v>
      </c>
      <c r="J5652" s="10" t="s">
        <v>23635</v>
      </c>
      <c r="K5652" s="10">
        <v>285</v>
      </c>
      <c r="L5652" s="10" t="s">
        <v>28923</v>
      </c>
      <c r="M5652" s="10">
        <v>1</v>
      </c>
      <c r="N5652" s="10"/>
      <c r="O5652" s="10"/>
      <c r="P5652" s="10" t="s">
        <v>28924</v>
      </c>
      <c r="Q5652" s="10">
        <v>428.00709999999998</v>
      </c>
      <c r="R5652" s="10" t="s">
        <v>28925</v>
      </c>
      <c r="S5652" s="10" t="s">
        <v>53</v>
      </c>
      <c r="T5652" s="10" t="s">
        <v>6634</v>
      </c>
    </row>
    <row r="5653" spans="1:20" ht="14.5" x14ac:dyDescent="0.35">
      <c r="A5653" s="10" t="s">
        <v>28926</v>
      </c>
      <c r="B5653" s="10" t="str">
        <f>"9781443843980"</f>
        <v>9781443843980</v>
      </c>
      <c r="C5653" s="10" t="str">
        <f>"9781443867306"</f>
        <v>9781443867306</v>
      </c>
      <c r="D5653" s="10" t="s">
        <v>23635</v>
      </c>
      <c r="E5653" s="10" t="s">
        <v>23635</v>
      </c>
      <c r="F5653" s="10" t="s">
        <v>23636</v>
      </c>
      <c r="G5653" s="10" t="s">
        <v>6352</v>
      </c>
      <c r="H5653" s="11">
        <v>41386</v>
      </c>
      <c r="I5653" s="10">
        <v>2014</v>
      </c>
      <c r="J5653" s="10" t="s">
        <v>23635</v>
      </c>
      <c r="K5653" s="10">
        <v>242</v>
      </c>
      <c r="L5653" s="10" t="s">
        <v>28927</v>
      </c>
      <c r="M5653" s="10">
        <v>1</v>
      </c>
      <c r="N5653" s="10"/>
      <c r="O5653" s="10"/>
      <c r="P5653" s="10" t="s">
        <v>28928</v>
      </c>
      <c r="Q5653" s="10">
        <v>370.72</v>
      </c>
      <c r="R5653" s="10" t="s">
        <v>6769</v>
      </c>
      <c r="S5653" s="10" t="s">
        <v>53</v>
      </c>
      <c r="T5653" s="10" t="s">
        <v>54</v>
      </c>
    </row>
    <row r="5654" spans="1:20" ht="14.5" x14ac:dyDescent="0.35">
      <c r="A5654" s="10" t="s">
        <v>28929</v>
      </c>
      <c r="B5654" s="10" t="str">
        <f>"9780761858133"</f>
        <v>9780761858133</v>
      </c>
      <c r="C5654" s="10" t="str">
        <f>"9780761857792"</f>
        <v>9780761857792</v>
      </c>
      <c r="D5654" s="10" t="s">
        <v>9752</v>
      </c>
      <c r="E5654" s="10" t="s">
        <v>17167</v>
      </c>
      <c r="F5654" s="10" t="s">
        <v>9754</v>
      </c>
      <c r="G5654" s="10" t="s">
        <v>6317</v>
      </c>
      <c r="H5654" s="11">
        <v>41033</v>
      </c>
      <c r="I5654" s="10">
        <v>2012</v>
      </c>
      <c r="J5654" s="10" t="s">
        <v>17167</v>
      </c>
      <c r="K5654" s="10">
        <v>309</v>
      </c>
      <c r="L5654" s="10" t="s">
        <v>28930</v>
      </c>
      <c r="M5654" s="10">
        <v>1</v>
      </c>
      <c r="N5654" s="10" t="s">
        <v>22943</v>
      </c>
      <c r="O5654" s="10"/>
      <c r="P5654" s="10" t="s">
        <v>28931</v>
      </c>
      <c r="Q5654" s="10">
        <v>378.19819999999999</v>
      </c>
      <c r="R5654" s="10" t="s">
        <v>28932</v>
      </c>
      <c r="S5654" s="10" t="s">
        <v>53</v>
      </c>
      <c r="T5654" s="10" t="s">
        <v>54</v>
      </c>
    </row>
    <row r="5655" spans="1:20" ht="14.5" x14ac:dyDescent="0.35">
      <c r="A5655" s="10" t="s">
        <v>28933</v>
      </c>
      <c r="B5655" s="10" t="str">
        <f>"9781595589545"</f>
        <v>9781595589545</v>
      </c>
      <c r="C5655" s="10" t="str">
        <f>"9781620970164"</f>
        <v>9781620970164</v>
      </c>
      <c r="D5655" s="10" t="s">
        <v>9533</v>
      </c>
      <c r="E5655" s="10" t="s">
        <v>21864</v>
      </c>
      <c r="F5655" s="10" t="s">
        <v>25348</v>
      </c>
      <c r="G5655" s="10" t="s">
        <v>6317</v>
      </c>
      <c r="H5655" s="11">
        <v>42059</v>
      </c>
      <c r="I5655" s="10">
        <v>2015</v>
      </c>
      <c r="J5655" s="10" t="s">
        <v>21864</v>
      </c>
      <c r="K5655" s="10">
        <v>241</v>
      </c>
      <c r="L5655" s="10" t="s">
        <v>28934</v>
      </c>
      <c r="M5655" s="10">
        <v>1</v>
      </c>
      <c r="N5655" s="10"/>
      <c r="O5655" s="10"/>
      <c r="P5655" s="10" t="s">
        <v>28935</v>
      </c>
      <c r="Q5655" s="10">
        <v>370.1</v>
      </c>
      <c r="R5655" s="10" t="s">
        <v>21986</v>
      </c>
      <c r="S5655" s="10" t="s">
        <v>53</v>
      </c>
      <c r="T5655" s="10" t="s">
        <v>54</v>
      </c>
    </row>
    <row r="5656" spans="1:20" ht="14.5" x14ac:dyDescent="0.35">
      <c r="A5656" s="10" t="s">
        <v>28936</v>
      </c>
      <c r="B5656" s="10" t="str">
        <f>"9780761939498"</f>
        <v>9780761939498</v>
      </c>
      <c r="C5656" s="10" t="str">
        <f>"9781483304069"</f>
        <v>9781483304069</v>
      </c>
      <c r="D5656" s="10" t="s">
        <v>22210</v>
      </c>
      <c r="E5656" s="10" t="s">
        <v>22211</v>
      </c>
      <c r="F5656" s="10" t="s">
        <v>333</v>
      </c>
      <c r="G5656" s="10" t="s">
        <v>6317</v>
      </c>
      <c r="H5656" s="11">
        <v>37951</v>
      </c>
      <c r="I5656" s="10">
        <v>2004</v>
      </c>
      <c r="J5656" s="10" t="s">
        <v>22211</v>
      </c>
      <c r="K5656" s="10">
        <v>265</v>
      </c>
      <c r="L5656" s="10" t="s">
        <v>28937</v>
      </c>
      <c r="M5656" s="10">
        <v>1</v>
      </c>
      <c r="N5656" s="10"/>
      <c r="O5656" s="10"/>
      <c r="P5656" s="10" t="s">
        <v>13844</v>
      </c>
      <c r="Q5656" s="10" t="s">
        <v>25087</v>
      </c>
      <c r="R5656" s="10"/>
      <c r="S5656" s="10" t="s">
        <v>53</v>
      </c>
      <c r="T5656" s="10" t="s">
        <v>6526</v>
      </c>
    </row>
    <row r="5657" spans="1:20" ht="14.5" x14ac:dyDescent="0.35">
      <c r="A5657" s="10" t="s">
        <v>28938</v>
      </c>
      <c r="B5657" s="10" t="str">
        <f>"9781118717080"</f>
        <v>9781118717080</v>
      </c>
      <c r="C5657" s="10" t="str">
        <f>"9781118717103"</f>
        <v>9781118717103</v>
      </c>
      <c r="D5657" s="10" t="s">
        <v>6322</v>
      </c>
      <c r="E5657" s="10" t="s">
        <v>6323</v>
      </c>
      <c r="F5657" s="10" t="s">
        <v>4423</v>
      </c>
      <c r="G5657" s="10" t="s">
        <v>6317</v>
      </c>
      <c r="H5657" s="11">
        <v>41911</v>
      </c>
      <c r="I5657" s="10">
        <v>2014</v>
      </c>
      <c r="J5657" s="10" t="s">
        <v>6324</v>
      </c>
      <c r="K5657" s="10">
        <v>221</v>
      </c>
      <c r="L5657" s="10" t="s">
        <v>28939</v>
      </c>
      <c r="M5657" s="10">
        <v>2</v>
      </c>
      <c r="N5657" s="10" t="s">
        <v>16630</v>
      </c>
      <c r="O5657" s="10"/>
      <c r="P5657" s="10"/>
      <c r="Q5657" s="10" t="s">
        <v>14582</v>
      </c>
      <c r="R5657" s="10" t="s">
        <v>8224</v>
      </c>
      <c r="S5657" s="10" t="s">
        <v>53</v>
      </c>
      <c r="T5657" s="10" t="s">
        <v>54</v>
      </c>
    </row>
    <row r="5658" spans="1:20" ht="14.5" x14ac:dyDescent="0.35">
      <c r="A5658" s="10" t="s">
        <v>28940</v>
      </c>
      <c r="B5658" s="10" t="str">
        <f>"9781472513403"</f>
        <v>9781472513403</v>
      </c>
      <c r="C5658" s="10" t="str">
        <f>"9781472513960"</f>
        <v>9781472513960</v>
      </c>
      <c r="D5658" s="10" t="s">
        <v>13959</v>
      </c>
      <c r="E5658" s="10" t="s">
        <v>13960</v>
      </c>
      <c r="F5658" s="10" t="s">
        <v>139</v>
      </c>
      <c r="G5658" s="10" t="s">
        <v>6352</v>
      </c>
      <c r="H5658" s="11">
        <v>42481</v>
      </c>
      <c r="I5658" s="10">
        <v>2014</v>
      </c>
      <c r="J5658" s="10" t="s">
        <v>14057</v>
      </c>
      <c r="K5658" s="10">
        <v>257</v>
      </c>
      <c r="L5658" s="10" t="s">
        <v>28941</v>
      </c>
      <c r="M5658" s="10">
        <v>1</v>
      </c>
      <c r="N5658" s="10"/>
      <c r="O5658" s="10"/>
      <c r="P5658" s="10" t="s">
        <v>28942</v>
      </c>
      <c r="Q5658" s="10">
        <v>371.00099999999998</v>
      </c>
      <c r="R5658" s="10" t="s">
        <v>22057</v>
      </c>
      <c r="S5658" s="10" t="s">
        <v>53</v>
      </c>
      <c r="T5658" s="10" t="s">
        <v>54</v>
      </c>
    </row>
    <row r="5659" spans="1:20" ht="14.5" x14ac:dyDescent="0.35">
      <c r="A5659" s="10" t="s">
        <v>28943</v>
      </c>
      <c r="B5659" s="10" t="str">
        <f>"9781780935904"</f>
        <v>9781780935904</v>
      </c>
      <c r="C5659" s="10" t="str">
        <f>"9781780937939"</f>
        <v>9781780937939</v>
      </c>
      <c r="D5659" s="10" t="s">
        <v>13959</v>
      </c>
      <c r="E5659" s="10" t="s">
        <v>13960</v>
      </c>
      <c r="F5659" s="10" t="s">
        <v>139</v>
      </c>
      <c r="G5659" s="10" t="s">
        <v>6352</v>
      </c>
      <c r="H5659" s="11">
        <v>42481</v>
      </c>
      <c r="I5659" s="10">
        <v>2016</v>
      </c>
      <c r="J5659" s="10" t="s">
        <v>14057</v>
      </c>
      <c r="K5659" s="10">
        <v>260</v>
      </c>
      <c r="L5659" s="10" t="s">
        <v>28944</v>
      </c>
      <c r="M5659" s="10">
        <v>1</v>
      </c>
      <c r="N5659" s="10"/>
      <c r="O5659" s="10"/>
      <c r="P5659" s="10" t="s">
        <v>28945</v>
      </c>
      <c r="Q5659" s="10">
        <v>371.200942</v>
      </c>
      <c r="R5659" s="10" t="s">
        <v>28946</v>
      </c>
      <c r="S5659" s="10" t="s">
        <v>53</v>
      </c>
      <c r="T5659" s="10" t="s">
        <v>54</v>
      </c>
    </row>
    <row r="5660" spans="1:20" ht="14.5" x14ac:dyDescent="0.35">
      <c r="A5660" s="10" t="s">
        <v>28947</v>
      </c>
      <c r="B5660" s="10" t="str">
        <f>"9780761862185"</f>
        <v>9780761862185</v>
      </c>
      <c r="C5660" s="10" t="str">
        <f>"9780761862192"</f>
        <v>9780761862192</v>
      </c>
      <c r="D5660" s="10" t="s">
        <v>9752</v>
      </c>
      <c r="E5660" s="10" t="s">
        <v>17167</v>
      </c>
      <c r="F5660" s="10" t="s">
        <v>9754</v>
      </c>
      <c r="G5660" s="10" t="s">
        <v>6317</v>
      </c>
      <c r="H5660" s="11">
        <v>41899</v>
      </c>
      <c r="I5660" s="10">
        <v>2014</v>
      </c>
      <c r="J5660" s="10" t="s">
        <v>17167</v>
      </c>
      <c r="K5660" s="10">
        <v>226</v>
      </c>
      <c r="L5660" s="10" t="s">
        <v>19026</v>
      </c>
      <c r="M5660" s="10">
        <v>1</v>
      </c>
      <c r="N5660" s="10"/>
      <c r="O5660" s="10"/>
      <c r="P5660" s="10" t="s">
        <v>28948</v>
      </c>
      <c r="Q5660" s="10">
        <v>378.73</v>
      </c>
      <c r="R5660" s="10" t="s">
        <v>28949</v>
      </c>
      <c r="S5660" s="10" t="s">
        <v>53</v>
      </c>
      <c r="T5660" s="10" t="s">
        <v>54</v>
      </c>
    </row>
    <row r="5661" spans="1:20" ht="14.5" x14ac:dyDescent="0.35">
      <c r="A5661" s="10" t="s">
        <v>28950</v>
      </c>
      <c r="B5661" s="10" t="str">
        <f>"9781455776320"</f>
        <v>9781455776320</v>
      </c>
      <c r="C5661" s="10" t="str">
        <f>"9781317521624"</f>
        <v>9781317521624</v>
      </c>
      <c r="D5661" s="10" t="s">
        <v>6350</v>
      </c>
      <c r="E5661" s="10" t="s">
        <v>6351</v>
      </c>
      <c r="F5661" s="10" t="s">
        <v>139</v>
      </c>
      <c r="G5661" s="10" t="s">
        <v>6352</v>
      </c>
      <c r="H5661" s="11">
        <v>42524</v>
      </c>
      <c r="I5661" s="10">
        <v>2013</v>
      </c>
      <c r="J5661" s="10" t="s">
        <v>6353</v>
      </c>
      <c r="K5661" s="10">
        <v>160</v>
      </c>
      <c r="L5661" s="10" t="s">
        <v>28951</v>
      </c>
      <c r="M5661" s="10">
        <v>1</v>
      </c>
      <c r="N5661" s="10"/>
      <c r="O5661" s="10"/>
      <c r="P5661" s="10" t="s">
        <v>28952</v>
      </c>
      <c r="Q5661" s="10">
        <v>371.35</v>
      </c>
      <c r="R5661" s="10" t="s">
        <v>28953</v>
      </c>
      <c r="S5661" s="10" t="s">
        <v>53</v>
      </c>
      <c r="T5661" s="10" t="s">
        <v>54</v>
      </c>
    </row>
    <row r="5662" spans="1:20" ht="14.5" x14ac:dyDescent="0.35">
      <c r="A5662" s="10" t="s">
        <v>28954</v>
      </c>
      <c r="B5662" s="10" t="str">
        <f>"9781443845229"</f>
        <v>9781443845229</v>
      </c>
      <c r="C5662" s="10" t="str">
        <f>"9781443867665"</f>
        <v>9781443867665</v>
      </c>
      <c r="D5662" s="10" t="s">
        <v>23635</v>
      </c>
      <c r="E5662" s="10" t="s">
        <v>23635</v>
      </c>
      <c r="F5662" s="10" t="s">
        <v>23636</v>
      </c>
      <c r="G5662" s="10" t="s">
        <v>6352</v>
      </c>
      <c r="H5662" s="11">
        <v>41457</v>
      </c>
      <c r="I5662" s="10">
        <v>2014</v>
      </c>
      <c r="J5662" s="10" t="s">
        <v>23635</v>
      </c>
      <c r="K5662" s="10">
        <v>288</v>
      </c>
      <c r="L5662" s="10" t="s">
        <v>28955</v>
      </c>
      <c r="M5662" s="10">
        <v>1</v>
      </c>
      <c r="N5662" s="10"/>
      <c r="O5662" s="10"/>
      <c r="P5662" s="10" t="s">
        <v>28956</v>
      </c>
      <c r="Q5662" s="10" t="s">
        <v>28957</v>
      </c>
      <c r="R5662" s="10" t="s">
        <v>28958</v>
      </c>
      <c r="S5662" s="10" t="s">
        <v>53</v>
      </c>
      <c r="T5662" s="10" t="s">
        <v>6472</v>
      </c>
    </row>
    <row r="5663" spans="1:20" ht="14.5" x14ac:dyDescent="0.35">
      <c r="A5663" s="10" t="s">
        <v>28959</v>
      </c>
      <c r="B5663" s="10" t="str">
        <f>"9781443846134"</f>
        <v>9781443846134</v>
      </c>
      <c r="C5663" s="10" t="str">
        <f>"9781443867900"</f>
        <v>9781443867900</v>
      </c>
      <c r="D5663" s="10" t="s">
        <v>23635</v>
      </c>
      <c r="E5663" s="10" t="s">
        <v>23635</v>
      </c>
      <c r="F5663" s="10" t="s">
        <v>23636</v>
      </c>
      <c r="G5663" s="10" t="s">
        <v>6352</v>
      </c>
      <c r="H5663" s="11">
        <v>41438</v>
      </c>
      <c r="I5663" s="10">
        <v>2014</v>
      </c>
      <c r="J5663" s="10" t="s">
        <v>23635</v>
      </c>
      <c r="K5663" s="10">
        <v>248</v>
      </c>
      <c r="L5663" s="10" t="s">
        <v>28960</v>
      </c>
      <c r="M5663" s="10">
        <v>1</v>
      </c>
      <c r="N5663" s="10"/>
      <c r="O5663" s="10"/>
      <c r="P5663" s="10" t="s">
        <v>28961</v>
      </c>
      <c r="Q5663" s="10">
        <v>378.15499999999997</v>
      </c>
      <c r="R5663" s="10" t="s">
        <v>20401</v>
      </c>
      <c r="S5663" s="10" t="s">
        <v>53</v>
      </c>
      <c r="T5663" s="10" t="s">
        <v>54</v>
      </c>
    </row>
    <row r="5664" spans="1:20" ht="14.5" x14ac:dyDescent="0.35">
      <c r="A5664" s="10" t="s">
        <v>28962</v>
      </c>
      <c r="B5664" s="10" t="str">
        <f>"9781443844734"</f>
        <v>9781443844734</v>
      </c>
      <c r="C5664" s="10" t="str">
        <f>"9781443867993"</f>
        <v>9781443867993</v>
      </c>
      <c r="D5664" s="10" t="s">
        <v>23635</v>
      </c>
      <c r="E5664" s="10" t="s">
        <v>23635</v>
      </c>
      <c r="F5664" s="10" t="s">
        <v>23636</v>
      </c>
      <c r="G5664" s="10" t="s">
        <v>6352</v>
      </c>
      <c r="H5664" s="11">
        <v>41395</v>
      </c>
      <c r="I5664" s="10">
        <v>2014</v>
      </c>
      <c r="J5664" s="10" t="s">
        <v>23635</v>
      </c>
      <c r="K5664" s="10">
        <v>115</v>
      </c>
      <c r="L5664" s="10" t="s">
        <v>28963</v>
      </c>
      <c r="M5664" s="10">
        <v>1</v>
      </c>
      <c r="N5664" s="10" t="s">
        <v>28964</v>
      </c>
      <c r="O5664" s="10"/>
      <c r="P5664" s="10" t="s">
        <v>28965</v>
      </c>
      <c r="Q5664" s="10">
        <v>371.82900000000001</v>
      </c>
      <c r="R5664" s="10" t="s">
        <v>28966</v>
      </c>
      <c r="S5664" s="10" t="s">
        <v>53</v>
      </c>
      <c r="T5664" s="10" t="s">
        <v>54</v>
      </c>
    </row>
    <row r="5665" spans="1:20" ht="14.5" x14ac:dyDescent="0.35">
      <c r="A5665" s="10" t="s">
        <v>28967</v>
      </c>
      <c r="B5665" s="10" t="str">
        <f>"9781118966563"</f>
        <v>9781118966563</v>
      </c>
      <c r="C5665" s="10" t="str">
        <f>"9781118966983"</f>
        <v>9781118966983</v>
      </c>
      <c r="D5665" s="10" t="s">
        <v>6322</v>
      </c>
      <c r="E5665" s="10" t="s">
        <v>6323</v>
      </c>
      <c r="F5665" s="10" t="s">
        <v>6339</v>
      </c>
      <c r="G5665" s="10" t="s">
        <v>6317</v>
      </c>
      <c r="H5665" s="11">
        <v>41904</v>
      </c>
      <c r="I5665" s="10">
        <v>2014</v>
      </c>
      <c r="J5665" s="10" t="s">
        <v>6324</v>
      </c>
      <c r="K5665" s="10">
        <v>107</v>
      </c>
      <c r="L5665" s="10" t="s">
        <v>28968</v>
      </c>
      <c r="M5665" s="10">
        <v>1</v>
      </c>
      <c r="N5665" s="10" t="s">
        <v>25112</v>
      </c>
      <c r="O5665" s="10"/>
      <c r="P5665" s="10" t="s">
        <v>28969</v>
      </c>
      <c r="Q5665" s="10">
        <v>378.19810973</v>
      </c>
      <c r="R5665" s="10" t="s">
        <v>28970</v>
      </c>
      <c r="S5665" s="10" t="s">
        <v>53</v>
      </c>
      <c r="T5665" s="10" t="s">
        <v>54</v>
      </c>
    </row>
    <row r="5666" spans="1:20" ht="14.5" x14ac:dyDescent="0.35">
      <c r="A5666" s="10" t="s">
        <v>28971</v>
      </c>
      <c r="B5666" s="10" t="str">
        <f>"9781118980569"</f>
        <v>9781118980569</v>
      </c>
      <c r="C5666" s="10" t="str">
        <f>"9781118980927"</f>
        <v>9781118980927</v>
      </c>
      <c r="D5666" s="10" t="s">
        <v>6322</v>
      </c>
      <c r="E5666" s="10" t="s">
        <v>6323</v>
      </c>
      <c r="F5666" s="10" t="s">
        <v>6339</v>
      </c>
      <c r="G5666" s="10" t="s">
        <v>6317</v>
      </c>
      <c r="H5666" s="11">
        <v>41918</v>
      </c>
      <c r="I5666" s="10">
        <v>2014</v>
      </c>
      <c r="J5666" s="10" t="s">
        <v>6324</v>
      </c>
      <c r="K5666" s="10">
        <v>107</v>
      </c>
      <c r="L5666" s="10" t="s">
        <v>28972</v>
      </c>
      <c r="M5666" s="10">
        <v>1</v>
      </c>
      <c r="N5666" s="10" t="s">
        <v>20712</v>
      </c>
      <c r="O5666" s="10"/>
      <c r="P5666" s="10" t="s">
        <v>28973</v>
      </c>
      <c r="Q5666" s="10" t="s">
        <v>28974</v>
      </c>
      <c r="R5666" s="10" t="s">
        <v>28975</v>
      </c>
      <c r="S5666" s="10" t="s">
        <v>53</v>
      </c>
      <c r="T5666" s="10" t="s">
        <v>54</v>
      </c>
    </row>
    <row r="5667" spans="1:20" ht="14.5" x14ac:dyDescent="0.35">
      <c r="A5667" s="10" t="s">
        <v>28976</v>
      </c>
      <c r="B5667" s="10" t="str">
        <f>"9781118973776"</f>
        <v>9781118973776</v>
      </c>
      <c r="C5667" s="10" t="str">
        <f>"9781118974100"</f>
        <v>9781118974100</v>
      </c>
      <c r="D5667" s="10" t="s">
        <v>6322</v>
      </c>
      <c r="E5667" s="10" t="s">
        <v>6323</v>
      </c>
      <c r="F5667" s="10" t="s">
        <v>13068</v>
      </c>
      <c r="G5667" s="10" t="s">
        <v>6317</v>
      </c>
      <c r="H5667" s="11">
        <v>41918</v>
      </c>
      <c r="I5667" s="10">
        <v>2014</v>
      </c>
      <c r="J5667" s="10" t="s">
        <v>6324</v>
      </c>
      <c r="K5667" s="10">
        <v>138</v>
      </c>
      <c r="L5667" s="10" t="s">
        <v>28977</v>
      </c>
      <c r="M5667" s="10">
        <v>1</v>
      </c>
      <c r="N5667" s="10" t="s">
        <v>20717</v>
      </c>
      <c r="O5667" s="10"/>
      <c r="P5667" s="10" t="s">
        <v>28978</v>
      </c>
      <c r="Q5667" s="10">
        <v>361.61</v>
      </c>
      <c r="R5667" s="10" t="s">
        <v>28979</v>
      </c>
      <c r="S5667" s="10" t="s">
        <v>53</v>
      </c>
      <c r="T5667" s="10" t="s">
        <v>6526</v>
      </c>
    </row>
    <row r="5668" spans="1:20" ht="14.5" x14ac:dyDescent="0.35">
      <c r="A5668" s="10" t="s">
        <v>28980</v>
      </c>
      <c r="B5668" s="10" t="str">
        <f>"9783838206707"</f>
        <v>9783838206707</v>
      </c>
      <c r="C5668" s="10" t="str">
        <f>"9783838266701"</f>
        <v>9783838266701</v>
      </c>
      <c r="D5668" s="10" t="s">
        <v>27189</v>
      </c>
      <c r="E5668" s="10" t="s">
        <v>28981</v>
      </c>
      <c r="F5668" s="10" t="s">
        <v>28982</v>
      </c>
      <c r="G5668" s="10" t="s">
        <v>6317</v>
      </c>
      <c r="H5668" s="11">
        <v>41913</v>
      </c>
      <c r="I5668" s="10">
        <v>2014</v>
      </c>
      <c r="J5668" s="10" t="s">
        <v>28981</v>
      </c>
      <c r="K5668" s="10">
        <v>133</v>
      </c>
      <c r="L5668" s="10" t="s">
        <v>28983</v>
      </c>
      <c r="M5668" s="10"/>
      <c r="N5668" s="10" t="s">
        <v>28984</v>
      </c>
      <c r="O5668" s="10">
        <v>132</v>
      </c>
      <c r="P5668" s="10" t="s">
        <v>28985</v>
      </c>
      <c r="Q5668" s="10">
        <v>378.19509470000003</v>
      </c>
      <c r="R5668" s="10" t="s">
        <v>28986</v>
      </c>
      <c r="S5668" s="10" t="s">
        <v>53</v>
      </c>
      <c r="T5668" s="10" t="s">
        <v>54</v>
      </c>
    </row>
    <row r="5669" spans="1:20" ht="14.5" x14ac:dyDescent="0.35">
      <c r="A5669" s="10" t="s">
        <v>28987</v>
      </c>
      <c r="B5669" s="10" t="str">
        <f>"9781416619352"</f>
        <v>9781416619352</v>
      </c>
      <c r="C5669" s="10" t="str">
        <f>"9781416619376"</f>
        <v>9781416619376</v>
      </c>
      <c r="D5669" s="10" t="s">
        <v>10014</v>
      </c>
      <c r="E5669" s="10" t="s">
        <v>10015</v>
      </c>
      <c r="F5669" s="10" t="s">
        <v>201</v>
      </c>
      <c r="G5669" s="10" t="s">
        <v>6317</v>
      </c>
      <c r="H5669" s="11">
        <v>41912</v>
      </c>
      <c r="I5669" s="10">
        <v>2014</v>
      </c>
      <c r="J5669" s="10" t="s">
        <v>10015</v>
      </c>
      <c r="K5669" s="10">
        <v>203</v>
      </c>
      <c r="L5669" s="10" t="s">
        <v>28988</v>
      </c>
      <c r="M5669" s="10">
        <v>1</v>
      </c>
      <c r="N5669" s="10"/>
      <c r="O5669" s="10"/>
      <c r="P5669" s="10"/>
      <c r="Q5669" s="10" t="s">
        <v>23516</v>
      </c>
      <c r="R5669" s="10"/>
      <c r="S5669" s="10" t="s">
        <v>53</v>
      </c>
      <c r="T5669" s="10" t="s">
        <v>54</v>
      </c>
    </row>
    <row r="5670" spans="1:20" ht="14.5" x14ac:dyDescent="0.35">
      <c r="A5670" s="10" t="s">
        <v>28989</v>
      </c>
      <c r="B5670" s="10" t="str">
        <f>"9781493914821"</f>
        <v>9781493914821</v>
      </c>
      <c r="C5670" s="10" t="str">
        <f>"9781493914838"</f>
        <v>9781493914838</v>
      </c>
      <c r="D5670" s="10" t="s">
        <v>11249</v>
      </c>
      <c r="E5670" s="10" t="s">
        <v>28990</v>
      </c>
      <c r="F5670" s="10" t="s">
        <v>13068</v>
      </c>
      <c r="G5670" s="10" t="s">
        <v>6317</v>
      </c>
      <c r="H5670" s="11">
        <v>41872</v>
      </c>
      <c r="I5670" s="10">
        <v>2014</v>
      </c>
      <c r="J5670" s="10" t="s">
        <v>28990</v>
      </c>
      <c r="K5670" s="10">
        <v>200</v>
      </c>
      <c r="L5670" s="10" t="s">
        <v>28991</v>
      </c>
      <c r="M5670" s="10">
        <v>1</v>
      </c>
      <c r="N5670" s="10"/>
      <c r="O5670" s="10"/>
      <c r="P5670" s="10" t="s">
        <v>27170</v>
      </c>
      <c r="Q5670" s="10"/>
      <c r="R5670" s="10" t="s">
        <v>6577</v>
      </c>
      <c r="S5670" s="10" t="s">
        <v>53</v>
      </c>
      <c r="T5670" s="10" t="s">
        <v>54</v>
      </c>
    </row>
    <row r="5671" spans="1:20" ht="14.5" x14ac:dyDescent="0.35">
      <c r="A5671" s="10" t="s">
        <v>28992</v>
      </c>
      <c r="B5671" s="10" t="str">
        <f>"9781118819487"</f>
        <v>9781118819487</v>
      </c>
      <c r="C5671" s="10" t="str">
        <f>"9781118819401"</f>
        <v>9781118819401</v>
      </c>
      <c r="D5671" s="10" t="s">
        <v>6322</v>
      </c>
      <c r="E5671" s="10" t="s">
        <v>6323</v>
      </c>
      <c r="F5671" s="10" t="s">
        <v>4423</v>
      </c>
      <c r="G5671" s="10" t="s">
        <v>6317</v>
      </c>
      <c r="H5671" s="11">
        <v>41932</v>
      </c>
      <c r="I5671" s="10">
        <v>2015</v>
      </c>
      <c r="J5671" s="10" t="s">
        <v>6324</v>
      </c>
      <c r="K5671" s="10">
        <v>654</v>
      </c>
      <c r="L5671" s="10" t="s">
        <v>28993</v>
      </c>
      <c r="M5671" s="10">
        <v>1</v>
      </c>
      <c r="N5671" s="10"/>
      <c r="O5671" s="10"/>
      <c r="P5671" s="10"/>
      <c r="Q5671" s="10">
        <v>378.16160000000002</v>
      </c>
      <c r="R5671" s="10" t="s">
        <v>28994</v>
      </c>
      <c r="S5671" s="10" t="s">
        <v>53</v>
      </c>
      <c r="T5671" s="10" t="s">
        <v>54</v>
      </c>
    </row>
    <row r="5672" spans="1:20" ht="14.5" x14ac:dyDescent="0.35">
      <c r="A5672" s="10" t="s">
        <v>28995</v>
      </c>
      <c r="B5672" s="10" t="str">
        <f>"9781443858335"</f>
        <v>9781443858335</v>
      </c>
      <c r="C5672" s="10" t="str">
        <f>"9781443868266"</f>
        <v>9781443868266</v>
      </c>
      <c r="D5672" s="10" t="s">
        <v>23635</v>
      </c>
      <c r="E5672" s="10" t="s">
        <v>23635</v>
      </c>
      <c r="F5672" s="10" t="s">
        <v>23636</v>
      </c>
      <c r="G5672" s="10" t="s">
        <v>6352</v>
      </c>
      <c r="H5672" s="11">
        <v>41891</v>
      </c>
      <c r="I5672" s="10">
        <v>2014</v>
      </c>
      <c r="J5672" s="10" t="s">
        <v>23635</v>
      </c>
      <c r="K5672" s="10">
        <v>404</v>
      </c>
      <c r="L5672" s="10" t="s">
        <v>28996</v>
      </c>
      <c r="M5672" s="10">
        <v>1</v>
      </c>
      <c r="N5672" s="10"/>
      <c r="O5672" s="10"/>
      <c r="P5672" s="10" t="s">
        <v>28997</v>
      </c>
      <c r="Q5672" s="10">
        <v>372.6096</v>
      </c>
      <c r="R5672" s="10" t="s">
        <v>28998</v>
      </c>
      <c r="S5672" s="10" t="s">
        <v>53</v>
      </c>
      <c r="T5672" s="10" t="s">
        <v>54</v>
      </c>
    </row>
    <row r="5673" spans="1:20" ht="14.5" x14ac:dyDescent="0.35">
      <c r="A5673" s="10" t="s">
        <v>28999</v>
      </c>
      <c r="B5673" s="10" t="str">
        <f>"9781443859707"</f>
        <v>9781443859707</v>
      </c>
      <c r="C5673" s="10" t="str">
        <f>"9781443868303"</f>
        <v>9781443868303</v>
      </c>
      <c r="D5673" s="10" t="s">
        <v>23635</v>
      </c>
      <c r="E5673" s="10" t="s">
        <v>23635</v>
      </c>
      <c r="F5673" s="10" t="s">
        <v>23636</v>
      </c>
      <c r="G5673" s="10" t="s">
        <v>6352</v>
      </c>
      <c r="H5673" s="11">
        <v>41891</v>
      </c>
      <c r="I5673" s="10">
        <v>2014</v>
      </c>
      <c r="J5673" s="10" t="s">
        <v>23635</v>
      </c>
      <c r="K5673" s="10">
        <v>210</v>
      </c>
      <c r="L5673" s="10" t="s">
        <v>29000</v>
      </c>
      <c r="M5673" s="10">
        <v>1</v>
      </c>
      <c r="N5673" s="10"/>
      <c r="O5673" s="10"/>
      <c r="P5673" s="10" t="s">
        <v>29001</v>
      </c>
      <c r="Q5673" s="10">
        <v>370</v>
      </c>
      <c r="R5673" s="10" t="s">
        <v>29002</v>
      </c>
      <c r="S5673" s="10" t="s">
        <v>53</v>
      </c>
      <c r="T5673" s="10" t="s">
        <v>54</v>
      </c>
    </row>
    <row r="5674" spans="1:20" ht="14.5" x14ac:dyDescent="0.35">
      <c r="A5674" s="10" t="s">
        <v>29003</v>
      </c>
      <c r="B5674" s="10" t="str">
        <f>"9781443863322"</f>
        <v>9781443863322</v>
      </c>
      <c r="C5674" s="10" t="str">
        <f>"9781443868396"</f>
        <v>9781443868396</v>
      </c>
      <c r="D5674" s="10" t="s">
        <v>23635</v>
      </c>
      <c r="E5674" s="10" t="s">
        <v>23635</v>
      </c>
      <c r="F5674" s="10" t="s">
        <v>23636</v>
      </c>
      <c r="G5674" s="10" t="s">
        <v>6352</v>
      </c>
      <c r="H5674" s="11">
        <v>41897</v>
      </c>
      <c r="I5674" s="10">
        <v>2014</v>
      </c>
      <c r="J5674" s="10" t="s">
        <v>23635</v>
      </c>
      <c r="K5674" s="10">
        <v>270</v>
      </c>
      <c r="L5674" s="10" t="s">
        <v>29004</v>
      </c>
      <c r="M5674" s="10">
        <v>1</v>
      </c>
      <c r="N5674" s="10"/>
      <c r="O5674" s="10"/>
      <c r="P5674" s="10" t="s">
        <v>29005</v>
      </c>
      <c r="Q5674" s="10">
        <v>370.1934</v>
      </c>
      <c r="R5674" s="10" t="s">
        <v>29006</v>
      </c>
      <c r="S5674" s="10" t="s">
        <v>53</v>
      </c>
      <c r="T5674" s="10" t="s">
        <v>54</v>
      </c>
    </row>
    <row r="5675" spans="1:20" ht="14.5" x14ac:dyDescent="0.35">
      <c r="A5675" s="10" t="s">
        <v>29007</v>
      </c>
      <c r="B5675" s="10" t="str">
        <f>"9781443861410"</f>
        <v>9781443861410</v>
      </c>
      <c r="C5675" s="10" t="str">
        <f>"9781443868648"</f>
        <v>9781443868648</v>
      </c>
      <c r="D5675" s="10" t="s">
        <v>23635</v>
      </c>
      <c r="E5675" s="10" t="s">
        <v>23635</v>
      </c>
      <c r="F5675" s="10" t="s">
        <v>23636</v>
      </c>
      <c r="G5675" s="10" t="s">
        <v>6352</v>
      </c>
      <c r="H5675" s="11">
        <v>41891</v>
      </c>
      <c r="I5675" s="10">
        <v>2014</v>
      </c>
      <c r="J5675" s="10" t="s">
        <v>23635</v>
      </c>
      <c r="K5675" s="10">
        <v>478</v>
      </c>
      <c r="L5675" s="10" t="s">
        <v>29008</v>
      </c>
      <c r="M5675" s="10">
        <v>1</v>
      </c>
      <c r="N5675" s="10"/>
      <c r="O5675" s="10"/>
      <c r="P5675" s="10" t="s">
        <v>29009</v>
      </c>
      <c r="Q5675" s="10">
        <v>428.00709999999998</v>
      </c>
      <c r="R5675" s="10" t="s">
        <v>29010</v>
      </c>
      <c r="S5675" s="10" t="s">
        <v>53</v>
      </c>
      <c r="T5675" s="10" t="s">
        <v>6634</v>
      </c>
    </row>
    <row r="5676" spans="1:20" ht="14.5" x14ac:dyDescent="0.35">
      <c r="A5676" s="10" t="s">
        <v>29011</v>
      </c>
      <c r="B5676" s="10" t="str">
        <f>"9780761864585"</f>
        <v>9780761864585</v>
      </c>
      <c r="C5676" s="10" t="str">
        <f>"9780761864592"</f>
        <v>9780761864592</v>
      </c>
      <c r="D5676" s="10" t="s">
        <v>9752</v>
      </c>
      <c r="E5676" s="10" t="s">
        <v>17167</v>
      </c>
      <c r="F5676" s="10" t="s">
        <v>9754</v>
      </c>
      <c r="G5676" s="10" t="s">
        <v>6317</v>
      </c>
      <c r="H5676" s="11">
        <v>41918</v>
      </c>
      <c r="I5676" s="10">
        <v>2014</v>
      </c>
      <c r="J5676" s="10" t="s">
        <v>17167</v>
      </c>
      <c r="K5676" s="10">
        <v>145</v>
      </c>
      <c r="L5676" s="10" t="s">
        <v>29012</v>
      </c>
      <c r="M5676" s="10">
        <v>1</v>
      </c>
      <c r="N5676" s="10"/>
      <c r="O5676" s="10"/>
      <c r="P5676" s="10"/>
      <c r="Q5676" s="10">
        <v>353.88</v>
      </c>
      <c r="R5676" s="10" t="s">
        <v>29013</v>
      </c>
      <c r="S5676" s="10" t="s">
        <v>53</v>
      </c>
      <c r="T5676" s="10" t="s">
        <v>4859</v>
      </c>
    </row>
    <row r="5677" spans="1:20" ht="14.5" x14ac:dyDescent="0.35">
      <c r="A5677" s="10" t="s">
        <v>29014</v>
      </c>
      <c r="B5677" s="10" t="str">
        <f>"9789004279704"</f>
        <v>9789004279704</v>
      </c>
      <c r="C5677" s="10" t="str">
        <f>"9789004279728"</f>
        <v>9789004279728</v>
      </c>
      <c r="D5677" s="10" t="s">
        <v>8564</v>
      </c>
      <c r="E5677" s="10" t="s">
        <v>8565</v>
      </c>
      <c r="F5677" s="10" t="s">
        <v>1420</v>
      </c>
      <c r="G5677" s="10" t="s">
        <v>6317</v>
      </c>
      <c r="H5677" s="11">
        <v>41894</v>
      </c>
      <c r="I5677" s="10">
        <v>2014</v>
      </c>
      <c r="J5677" s="10" t="s">
        <v>8565</v>
      </c>
      <c r="K5677" s="10">
        <v>393</v>
      </c>
      <c r="L5677" s="10" t="s">
        <v>29015</v>
      </c>
      <c r="M5677" s="10">
        <v>1</v>
      </c>
      <c r="N5677" s="10" t="s">
        <v>29016</v>
      </c>
      <c r="O5677" s="10">
        <v>46</v>
      </c>
      <c r="P5677" s="10" t="s">
        <v>29017</v>
      </c>
      <c r="Q5677" s="10">
        <v>370.952</v>
      </c>
      <c r="R5677" s="10"/>
      <c r="S5677" s="10" t="s">
        <v>53</v>
      </c>
      <c r="T5677" s="10" t="s">
        <v>54</v>
      </c>
    </row>
    <row r="5678" spans="1:20" ht="14.5" x14ac:dyDescent="0.35">
      <c r="A5678" s="10" t="s">
        <v>29018</v>
      </c>
      <c r="B5678" s="10" t="str">
        <f>"9781782387718"</f>
        <v>9781782387718</v>
      </c>
      <c r="C5678" s="10" t="str">
        <f>"9781782387725"</f>
        <v>9781782387725</v>
      </c>
      <c r="D5678" s="10" t="s">
        <v>21315</v>
      </c>
      <c r="E5678" s="10" t="s">
        <v>21316</v>
      </c>
      <c r="F5678" s="10" t="s">
        <v>13068</v>
      </c>
      <c r="G5678" s="10" t="s">
        <v>6317</v>
      </c>
      <c r="H5678" s="11">
        <v>42186</v>
      </c>
      <c r="I5678" s="10">
        <v>2015</v>
      </c>
      <c r="J5678" s="10" t="s">
        <v>21316</v>
      </c>
      <c r="K5678" s="10">
        <v>276</v>
      </c>
      <c r="L5678" s="10" t="s">
        <v>29019</v>
      </c>
      <c r="M5678" s="10">
        <v>1</v>
      </c>
      <c r="N5678" s="10" t="s">
        <v>29020</v>
      </c>
      <c r="O5678" s="10">
        <v>27</v>
      </c>
      <c r="P5678" s="10" t="s">
        <v>29021</v>
      </c>
      <c r="Q5678" s="10">
        <v>378.48899999999998</v>
      </c>
      <c r="R5678" s="10"/>
      <c r="S5678" s="10" t="s">
        <v>53</v>
      </c>
      <c r="T5678" s="10" t="s">
        <v>54</v>
      </c>
    </row>
    <row r="5679" spans="1:20" ht="14.5" x14ac:dyDescent="0.35">
      <c r="A5679" s="10" t="s">
        <v>29022</v>
      </c>
      <c r="B5679" s="10" t="str">
        <f>"9781909682375"</f>
        <v>9781909682375</v>
      </c>
      <c r="C5679" s="10" t="str">
        <f>"9781909682405"</f>
        <v>9781909682405</v>
      </c>
      <c r="D5679" s="10" t="s">
        <v>9533</v>
      </c>
      <c r="E5679" s="10" t="s">
        <v>26840</v>
      </c>
      <c r="F5679" s="10" t="s">
        <v>26841</v>
      </c>
      <c r="G5679" s="10" t="s">
        <v>6352</v>
      </c>
      <c r="H5679" s="11">
        <v>41932</v>
      </c>
      <c r="I5679" s="10">
        <v>2014</v>
      </c>
      <c r="J5679" s="10" t="s">
        <v>26840</v>
      </c>
      <c r="K5679" s="10">
        <v>82</v>
      </c>
      <c r="L5679" s="10" t="s">
        <v>29023</v>
      </c>
      <c r="M5679" s="10">
        <v>1</v>
      </c>
      <c r="N5679" s="10" t="s">
        <v>29024</v>
      </c>
      <c r="O5679" s="10"/>
      <c r="P5679" s="10" t="s">
        <v>29025</v>
      </c>
      <c r="Q5679" s="10">
        <v>371.91</v>
      </c>
      <c r="R5679" s="10" t="s">
        <v>29026</v>
      </c>
      <c r="S5679" s="10" t="s">
        <v>53</v>
      </c>
      <c r="T5679" s="10" t="s">
        <v>54</v>
      </c>
    </row>
    <row r="5680" spans="1:20" ht="14.5" x14ac:dyDescent="0.35">
      <c r="A5680" s="10" t="s">
        <v>29027</v>
      </c>
      <c r="B5680" s="10" t="str">
        <f>"9781909682412"</f>
        <v>9781909682412</v>
      </c>
      <c r="C5680" s="10" t="str">
        <f>"9781909682443"</f>
        <v>9781909682443</v>
      </c>
      <c r="D5680" s="10" t="s">
        <v>9533</v>
      </c>
      <c r="E5680" s="10" t="s">
        <v>26840</v>
      </c>
      <c r="F5680" s="10" t="s">
        <v>26841</v>
      </c>
      <c r="G5680" s="10" t="s">
        <v>6352</v>
      </c>
      <c r="H5680" s="11">
        <v>41932</v>
      </c>
      <c r="I5680" s="10">
        <v>2014</v>
      </c>
      <c r="J5680" s="10" t="s">
        <v>26840</v>
      </c>
      <c r="K5680" s="10">
        <v>82</v>
      </c>
      <c r="L5680" s="10" t="s">
        <v>29028</v>
      </c>
      <c r="M5680" s="10">
        <v>1</v>
      </c>
      <c r="N5680" s="10" t="s">
        <v>29029</v>
      </c>
      <c r="O5680" s="10"/>
      <c r="P5680" s="10" t="s">
        <v>29030</v>
      </c>
      <c r="Q5680" s="10">
        <v>371.12</v>
      </c>
      <c r="R5680" s="10" t="s">
        <v>29031</v>
      </c>
      <c r="S5680" s="10" t="s">
        <v>53</v>
      </c>
      <c r="T5680" s="10" t="s">
        <v>54</v>
      </c>
    </row>
    <row r="5681" spans="1:20" ht="14.5" x14ac:dyDescent="0.35">
      <c r="A5681" s="10" t="s">
        <v>29032</v>
      </c>
      <c r="B5681" s="10" t="str">
        <f>"9781909682016"</f>
        <v>9781909682016</v>
      </c>
      <c r="C5681" s="10" t="str">
        <f>"9781909682047"</f>
        <v>9781909682047</v>
      </c>
      <c r="D5681" s="10" t="s">
        <v>9533</v>
      </c>
      <c r="E5681" s="10" t="s">
        <v>26840</v>
      </c>
      <c r="F5681" s="10" t="s">
        <v>26841</v>
      </c>
      <c r="G5681" s="10" t="s">
        <v>6352</v>
      </c>
      <c r="H5681" s="11">
        <v>41737</v>
      </c>
      <c r="I5681" s="10">
        <v>2014</v>
      </c>
      <c r="J5681" s="10" t="s">
        <v>26840</v>
      </c>
      <c r="K5681" s="10">
        <v>142</v>
      </c>
      <c r="L5681" s="10" t="s">
        <v>29033</v>
      </c>
      <c r="M5681" s="10">
        <v>1</v>
      </c>
      <c r="N5681" s="10" t="s">
        <v>26899</v>
      </c>
      <c r="O5681" s="10"/>
      <c r="P5681" s="10" t="s">
        <v>29034</v>
      </c>
      <c r="Q5681" s="10">
        <v>378.12</v>
      </c>
      <c r="R5681" s="10" t="s">
        <v>29035</v>
      </c>
      <c r="S5681" s="10" t="s">
        <v>53</v>
      </c>
      <c r="T5681" s="10" t="s">
        <v>54</v>
      </c>
    </row>
    <row r="5682" spans="1:20" ht="14.5" x14ac:dyDescent="0.35">
      <c r="A5682" s="10" t="s">
        <v>29036</v>
      </c>
      <c r="B5682" s="10" t="str">
        <f>"9781909682290"</f>
        <v>9781909682290</v>
      </c>
      <c r="C5682" s="10" t="str">
        <f>"9781909682320"</f>
        <v>9781909682320</v>
      </c>
      <c r="D5682" s="10" t="s">
        <v>9533</v>
      </c>
      <c r="E5682" s="10" t="s">
        <v>26840</v>
      </c>
      <c r="F5682" s="10" t="s">
        <v>26841</v>
      </c>
      <c r="G5682" s="10" t="s">
        <v>6352</v>
      </c>
      <c r="H5682" s="11">
        <v>41800</v>
      </c>
      <c r="I5682" s="10">
        <v>2014</v>
      </c>
      <c r="J5682" s="10" t="s">
        <v>26840</v>
      </c>
      <c r="K5682" s="10">
        <v>182</v>
      </c>
      <c r="L5682" s="10" t="s">
        <v>29037</v>
      </c>
      <c r="M5682" s="10">
        <v>1</v>
      </c>
      <c r="N5682" s="10" t="s">
        <v>26843</v>
      </c>
      <c r="O5682" s="10"/>
      <c r="P5682" s="10" t="s">
        <v>16143</v>
      </c>
      <c r="Q5682" s="10">
        <v>372.35043999999999</v>
      </c>
      <c r="R5682" s="10" t="s">
        <v>29038</v>
      </c>
      <c r="S5682" s="10" t="s">
        <v>53</v>
      </c>
      <c r="T5682" s="10" t="s">
        <v>54</v>
      </c>
    </row>
    <row r="5683" spans="1:20" ht="14.5" x14ac:dyDescent="0.35">
      <c r="A5683" s="10" t="s">
        <v>29039</v>
      </c>
      <c r="B5683" s="10" t="str">
        <f>"9780415737425"</f>
        <v>9780415737425</v>
      </c>
      <c r="C5683" s="10" t="str">
        <f>"9781317803287"</f>
        <v>9781317803287</v>
      </c>
      <c r="D5683" s="10" t="s">
        <v>6350</v>
      </c>
      <c r="E5683" s="10" t="s">
        <v>6351</v>
      </c>
      <c r="F5683" s="10" t="s">
        <v>139</v>
      </c>
      <c r="G5683" s="10" t="s">
        <v>6352</v>
      </c>
      <c r="H5683" s="11">
        <v>41955</v>
      </c>
      <c r="I5683" s="10">
        <v>2015</v>
      </c>
      <c r="J5683" s="10" t="s">
        <v>6353</v>
      </c>
      <c r="K5683" s="10">
        <v>121</v>
      </c>
      <c r="L5683" s="10" t="s">
        <v>7994</v>
      </c>
      <c r="M5683" s="10">
        <v>1</v>
      </c>
      <c r="N5683" s="10" t="s">
        <v>29040</v>
      </c>
      <c r="O5683" s="10"/>
      <c r="P5683" s="10" t="s">
        <v>29041</v>
      </c>
      <c r="Q5683" s="10">
        <v>370.11309510000001</v>
      </c>
      <c r="R5683" s="10" t="s">
        <v>29042</v>
      </c>
      <c r="S5683" s="10" t="s">
        <v>53</v>
      </c>
      <c r="T5683" s="10" t="s">
        <v>8755</v>
      </c>
    </row>
    <row r="5684" spans="1:20" ht="14.5" x14ac:dyDescent="0.35">
      <c r="A5684" s="10" t="s">
        <v>29043</v>
      </c>
      <c r="B5684" s="10" t="str">
        <f>"9781118955154"</f>
        <v>9781118955154</v>
      </c>
      <c r="C5684" s="10" t="str">
        <f>"9781118955178"</f>
        <v>9781118955178</v>
      </c>
      <c r="D5684" s="10" t="s">
        <v>6322</v>
      </c>
      <c r="E5684" s="10" t="s">
        <v>6323</v>
      </c>
      <c r="F5684" s="10" t="s">
        <v>4423</v>
      </c>
      <c r="G5684" s="10" t="s">
        <v>6317</v>
      </c>
      <c r="H5684" s="11">
        <v>41939</v>
      </c>
      <c r="I5684" s="10">
        <v>2015</v>
      </c>
      <c r="J5684" s="10" t="s">
        <v>6324</v>
      </c>
      <c r="K5684" s="10">
        <v>333</v>
      </c>
      <c r="L5684" s="10" t="s">
        <v>29044</v>
      </c>
      <c r="M5684" s="10">
        <v>1</v>
      </c>
      <c r="N5684" s="10"/>
      <c r="O5684" s="10"/>
      <c r="P5684" s="10"/>
      <c r="Q5684" s="10">
        <v>370</v>
      </c>
      <c r="R5684" s="10" t="s">
        <v>12537</v>
      </c>
      <c r="S5684" s="10" t="s">
        <v>53</v>
      </c>
      <c r="T5684" s="10" t="s">
        <v>54</v>
      </c>
    </row>
    <row r="5685" spans="1:20" ht="14.5" x14ac:dyDescent="0.35">
      <c r="A5685" s="10" t="s">
        <v>29045</v>
      </c>
      <c r="B5685" s="10" t="str">
        <f>"9781443865289"</f>
        <v>9781443865289</v>
      </c>
      <c r="C5685" s="10" t="str">
        <f>"9781443868891"</f>
        <v>9781443868891</v>
      </c>
      <c r="D5685" s="10" t="s">
        <v>23635</v>
      </c>
      <c r="E5685" s="10" t="s">
        <v>23635</v>
      </c>
      <c r="F5685" s="10" t="s">
        <v>23636</v>
      </c>
      <c r="G5685" s="10" t="s">
        <v>6352</v>
      </c>
      <c r="H5685" s="11">
        <v>41929</v>
      </c>
      <c r="I5685" s="10">
        <v>2014</v>
      </c>
      <c r="J5685" s="10" t="s">
        <v>23635</v>
      </c>
      <c r="K5685" s="10">
        <v>198</v>
      </c>
      <c r="L5685" s="10" t="s">
        <v>29046</v>
      </c>
      <c r="M5685" s="10">
        <v>1</v>
      </c>
      <c r="N5685" s="10" t="s">
        <v>29047</v>
      </c>
      <c r="O5685" s="10"/>
      <c r="P5685" s="10" t="s">
        <v>29048</v>
      </c>
      <c r="Q5685" s="10">
        <v>370.19</v>
      </c>
      <c r="R5685" s="10" t="s">
        <v>29049</v>
      </c>
      <c r="S5685" s="10" t="s">
        <v>53</v>
      </c>
      <c r="T5685" s="10" t="s">
        <v>54</v>
      </c>
    </row>
    <row r="5686" spans="1:20" ht="14.5" x14ac:dyDescent="0.35">
      <c r="A5686" s="10" t="s">
        <v>29050</v>
      </c>
      <c r="B5686" s="10" t="str">
        <f>"9781443864053"</f>
        <v>9781443864053</v>
      </c>
      <c r="C5686" s="10" t="str">
        <f>"9781443869522"</f>
        <v>9781443869522</v>
      </c>
      <c r="D5686" s="10" t="s">
        <v>23635</v>
      </c>
      <c r="E5686" s="10" t="s">
        <v>23635</v>
      </c>
      <c r="F5686" s="10" t="s">
        <v>23636</v>
      </c>
      <c r="G5686" s="10" t="s">
        <v>6352</v>
      </c>
      <c r="H5686" s="11">
        <v>41915</v>
      </c>
      <c r="I5686" s="10">
        <v>2014</v>
      </c>
      <c r="J5686" s="10" t="s">
        <v>23635</v>
      </c>
      <c r="K5686" s="10">
        <v>196</v>
      </c>
      <c r="L5686" s="10" t="s">
        <v>29051</v>
      </c>
      <c r="M5686" s="10">
        <v>1</v>
      </c>
      <c r="N5686" s="10" t="s">
        <v>24179</v>
      </c>
      <c r="O5686" s="10"/>
      <c r="P5686" s="10" t="s">
        <v>29052</v>
      </c>
      <c r="Q5686" s="10">
        <v>302.22440699999999</v>
      </c>
      <c r="R5686" s="10" t="s">
        <v>29053</v>
      </c>
      <c r="S5686" s="10" t="s">
        <v>53</v>
      </c>
      <c r="T5686" s="10" t="s">
        <v>6526</v>
      </c>
    </row>
    <row r="5687" spans="1:20" ht="14.5" x14ac:dyDescent="0.35">
      <c r="A5687" s="10" t="s">
        <v>29054</v>
      </c>
      <c r="B5687" s="10" t="str">
        <f>"9781443862226"</f>
        <v>9781443862226</v>
      </c>
      <c r="C5687" s="10" t="str">
        <f>"9781443869607"</f>
        <v>9781443869607</v>
      </c>
      <c r="D5687" s="10" t="s">
        <v>23635</v>
      </c>
      <c r="E5687" s="10" t="s">
        <v>23635</v>
      </c>
      <c r="F5687" s="10" t="s">
        <v>23636</v>
      </c>
      <c r="G5687" s="10" t="s">
        <v>6352</v>
      </c>
      <c r="H5687" s="11">
        <v>41905</v>
      </c>
      <c r="I5687" s="10">
        <v>2014</v>
      </c>
      <c r="J5687" s="10" t="s">
        <v>23635</v>
      </c>
      <c r="K5687" s="10">
        <v>382</v>
      </c>
      <c r="L5687" s="10" t="s">
        <v>29055</v>
      </c>
      <c r="M5687" s="10">
        <v>1</v>
      </c>
      <c r="N5687" s="10"/>
      <c r="O5687" s="10"/>
      <c r="P5687" s="10" t="s">
        <v>29056</v>
      </c>
      <c r="Q5687" s="10">
        <v>371.97009600000001</v>
      </c>
      <c r="R5687" s="10" t="s">
        <v>29057</v>
      </c>
      <c r="S5687" s="10" t="s">
        <v>53</v>
      </c>
      <c r="T5687" s="10" t="s">
        <v>54</v>
      </c>
    </row>
    <row r="5688" spans="1:20" ht="14.5" x14ac:dyDescent="0.35">
      <c r="A5688" s="10" t="s">
        <v>29058</v>
      </c>
      <c r="B5688" s="10" t="str">
        <f>"9781443864619"</f>
        <v>9781443864619</v>
      </c>
      <c r="C5688" s="10" t="str">
        <f>"9781443869645"</f>
        <v>9781443869645</v>
      </c>
      <c r="D5688" s="10" t="s">
        <v>23635</v>
      </c>
      <c r="E5688" s="10" t="s">
        <v>23635</v>
      </c>
      <c r="F5688" s="10" t="s">
        <v>23636</v>
      </c>
      <c r="G5688" s="10" t="s">
        <v>6352</v>
      </c>
      <c r="H5688" s="11">
        <v>41915</v>
      </c>
      <c r="I5688" s="10">
        <v>2014</v>
      </c>
      <c r="J5688" s="10" t="s">
        <v>23635</v>
      </c>
      <c r="K5688" s="10">
        <v>162</v>
      </c>
      <c r="L5688" s="10" t="s">
        <v>29059</v>
      </c>
      <c r="M5688" s="10">
        <v>1</v>
      </c>
      <c r="N5688" s="10"/>
      <c r="O5688" s="10"/>
      <c r="P5688" s="10" t="s">
        <v>29060</v>
      </c>
      <c r="Q5688" s="10">
        <v>808.02</v>
      </c>
      <c r="R5688" s="10" t="s">
        <v>29061</v>
      </c>
      <c r="S5688" s="10" t="s">
        <v>53</v>
      </c>
      <c r="T5688" s="10" t="s">
        <v>6568</v>
      </c>
    </row>
    <row r="5689" spans="1:20" ht="14.5" x14ac:dyDescent="0.35">
      <c r="A5689" s="10" t="s">
        <v>29062</v>
      </c>
      <c r="B5689" s="10" t="str">
        <f>"9781443865241"</f>
        <v>9781443865241</v>
      </c>
      <c r="C5689" s="10" t="str">
        <f>"9781443870054"</f>
        <v>9781443870054</v>
      </c>
      <c r="D5689" s="10" t="s">
        <v>23635</v>
      </c>
      <c r="E5689" s="10" t="s">
        <v>23635</v>
      </c>
      <c r="F5689" s="10" t="s">
        <v>23636</v>
      </c>
      <c r="G5689" s="10" t="s">
        <v>6352</v>
      </c>
      <c r="H5689" s="11">
        <v>41932</v>
      </c>
      <c r="I5689" s="10">
        <v>2014</v>
      </c>
      <c r="J5689" s="10" t="s">
        <v>23635</v>
      </c>
      <c r="K5689" s="10">
        <v>301</v>
      </c>
      <c r="L5689" s="10" t="s">
        <v>29063</v>
      </c>
      <c r="M5689" s="10">
        <v>1</v>
      </c>
      <c r="N5689" s="10"/>
      <c r="O5689" s="10"/>
      <c r="P5689" s="10" t="s">
        <v>29064</v>
      </c>
      <c r="Q5689" s="10">
        <v>371.334</v>
      </c>
      <c r="R5689" s="10" t="s">
        <v>29065</v>
      </c>
      <c r="S5689" s="10" t="s">
        <v>53</v>
      </c>
      <c r="T5689" s="10" t="s">
        <v>54</v>
      </c>
    </row>
    <row r="5690" spans="1:20" ht="14.5" x14ac:dyDescent="0.35">
      <c r="A5690" s="10" t="s">
        <v>29066</v>
      </c>
      <c r="B5690" s="10" t="str">
        <f>"9781849055604"</f>
        <v>9781849055604</v>
      </c>
      <c r="C5690" s="10" t="str">
        <f>"9780857009487"</f>
        <v>9780857009487</v>
      </c>
      <c r="D5690" s="10" t="s">
        <v>10516</v>
      </c>
      <c r="E5690" s="10" t="s">
        <v>10516</v>
      </c>
      <c r="F5690" s="10" t="s">
        <v>139</v>
      </c>
      <c r="G5690" s="10" t="s">
        <v>6352</v>
      </c>
      <c r="H5690" s="11">
        <v>41964</v>
      </c>
      <c r="I5690" s="10">
        <v>2014</v>
      </c>
      <c r="J5690" s="10" t="s">
        <v>10516</v>
      </c>
      <c r="K5690" s="10">
        <v>154</v>
      </c>
      <c r="L5690" s="10" t="s">
        <v>29067</v>
      </c>
      <c r="M5690" s="10">
        <v>1</v>
      </c>
      <c r="N5690" s="10"/>
      <c r="O5690" s="10"/>
      <c r="P5690" s="10" t="s">
        <v>29068</v>
      </c>
      <c r="Q5690" s="10"/>
      <c r="R5690" s="10" t="s">
        <v>29069</v>
      </c>
      <c r="S5690" s="10" t="s">
        <v>53</v>
      </c>
      <c r="T5690" s="10" t="s">
        <v>8625</v>
      </c>
    </row>
    <row r="5691" spans="1:20" ht="14.5" x14ac:dyDescent="0.35">
      <c r="A5691" s="10" t="s">
        <v>29070</v>
      </c>
      <c r="B5691" s="10" t="str">
        <f>"9781598572216"</f>
        <v>9781598572216</v>
      </c>
      <c r="C5691" s="10" t="str">
        <f>"9781598578553"</f>
        <v>9781598578553</v>
      </c>
      <c r="D5691" s="10" t="s">
        <v>28876</v>
      </c>
      <c r="E5691" s="10" t="s">
        <v>28877</v>
      </c>
      <c r="F5691" s="10" t="s">
        <v>885</v>
      </c>
      <c r="G5691" s="10" t="s">
        <v>6317</v>
      </c>
      <c r="H5691" s="11">
        <v>41932</v>
      </c>
      <c r="I5691" s="10">
        <v>2014</v>
      </c>
      <c r="J5691" s="10" t="s">
        <v>28877</v>
      </c>
      <c r="K5691" s="10">
        <v>514</v>
      </c>
      <c r="L5691" s="10" t="s">
        <v>29071</v>
      </c>
      <c r="M5691" s="10">
        <v>1</v>
      </c>
      <c r="N5691" s="10"/>
      <c r="O5691" s="10"/>
      <c r="P5691" s="10" t="s">
        <v>29072</v>
      </c>
      <c r="Q5691" s="10" t="s">
        <v>8679</v>
      </c>
      <c r="R5691" s="10" t="s">
        <v>29073</v>
      </c>
      <c r="S5691" s="10" t="s">
        <v>53</v>
      </c>
      <c r="T5691" s="10" t="s">
        <v>8510</v>
      </c>
    </row>
    <row r="5692" spans="1:20" ht="14.5" x14ac:dyDescent="0.35">
      <c r="A5692" s="10" t="s">
        <v>29074</v>
      </c>
      <c r="B5692" s="10" t="str">
        <f>"9781443861373"</f>
        <v>9781443861373</v>
      </c>
      <c r="C5692" s="10" t="str">
        <f>"9781443870115"</f>
        <v>9781443870115</v>
      </c>
      <c r="D5692" s="10" t="s">
        <v>23635</v>
      </c>
      <c r="E5692" s="10" t="s">
        <v>23635</v>
      </c>
      <c r="F5692" s="10" t="s">
        <v>23636</v>
      </c>
      <c r="G5692" s="10" t="s">
        <v>6352</v>
      </c>
      <c r="H5692" s="11">
        <v>41935</v>
      </c>
      <c r="I5692" s="10">
        <v>2014</v>
      </c>
      <c r="J5692" s="10" t="s">
        <v>23635</v>
      </c>
      <c r="K5692" s="10">
        <v>279</v>
      </c>
      <c r="L5692" s="10" t="s">
        <v>29075</v>
      </c>
      <c r="M5692" s="10">
        <v>1</v>
      </c>
      <c r="N5692" s="10"/>
      <c r="O5692" s="10"/>
      <c r="P5692" s="10" t="s">
        <v>29076</v>
      </c>
      <c r="Q5692" s="10">
        <v>378.99400000000003</v>
      </c>
      <c r="R5692" s="10" t="s">
        <v>29077</v>
      </c>
      <c r="S5692" s="10" t="s">
        <v>53</v>
      </c>
      <c r="T5692" s="10" t="s">
        <v>54</v>
      </c>
    </row>
    <row r="5693" spans="1:20" ht="14.5" x14ac:dyDescent="0.35">
      <c r="A5693" s="10" t="s">
        <v>29078</v>
      </c>
      <c r="B5693" s="10" t="str">
        <f>"9781443865401"</f>
        <v>9781443865401</v>
      </c>
      <c r="C5693" s="10" t="str">
        <f>"9781443870375"</f>
        <v>9781443870375</v>
      </c>
      <c r="D5693" s="10" t="s">
        <v>23635</v>
      </c>
      <c r="E5693" s="10" t="s">
        <v>23635</v>
      </c>
      <c r="F5693" s="10" t="s">
        <v>23636</v>
      </c>
      <c r="G5693" s="10" t="s">
        <v>6352</v>
      </c>
      <c r="H5693" s="11">
        <v>41942</v>
      </c>
      <c r="I5693" s="10">
        <v>2014</v>
      </c>
      <c r="J5693" s="10" t="s">
        <v>23635</v>
      </c>
      <c r="K5693" s="10">
        <v>159</v>
      </c>
      <c r="L5693" s="10" t="s">
        <v>29079</v>
      </c>
      <c r="M5693" s="10">
        <v>1</v>
      </c>
      <c r="N5693" s="10"/>
      <c r="O5693" s="10"/>
      <c r="P5693" s="10" t="s">
        <v>29080</v>
      </c>
      <c r="Q5693" s="10">
        <v>378.24200000000002</v>
      </c>
      <c r="R5693" s="10" t="s">
        <v>29081</v>
      </c>
      <c r="S5693" s="10" t="s">
        <v>53</v>
      </c>
      <c r="T5693" s="10" t="s">
        <v>54</v>
      </c>
    </row>
    <row r="5694" spans="1:20" ht="14.5" x14ac:dyDescent="0.35">
      <c r="A5694" s="10" t="s">
        <v>29082</v>
      </c>
      <c r="B5694" s="10" t="str">
        <f>"9781781902677"</f>
        <v>9781781902677</v>
      </c>
      <c r="C5694" s="10" t="str">
        <f>"9789004248489"</f>
        <v>9789004248489</v>
      </c>
      <c r="D5694" s="10" t="s">
        <v>8564</v>
      </c>
      <c r="E5694" s="10" t="s">
        <v>8565</v>
      </c>
      <c r="F5694" s="10" t="s">
        <v>1420</v>
      </c>
      <c r="G5694" s="10" t="s">
        <v>6317</v>
      </c>
      <c r="H5694" s="11">
        <v>41234</v>
      </c>
      <c r="I5694" s="10">
        <v>2012</v>
      </c>
      <c r="J5694" s="10" t="s">
        <v>8565</v>
      </c>
      <c r="K5694" s="10">
        <v>257</v>
      </c>
      <c r="L5694" s="10" t="s">
        <v>29083</v>
      </c>
      <c r="M5694" s="10">
        <v>1</v>
      </c>
      <c r="N5694" s="10" t="s">
        <v>29084</v>
      </c>
      <c r="O5694" s="10">
        <v>27</v>
      </c>
      <c r="P5694" s="10" t="s">
        <v>29085</v>
      </c>
      <c r="Q5694" s="10"/>
      <c r="R5694" s="10"/>
      <c r="S5694" s="10" t="s">
        <v>53</v>
      </c>
      <c r="T5694" s="10" t="s">
        <v>6616</v>
      </c>
    </row>
    <row r="5695" spans="1:20" ht="14.5" x14ac:dyDescent="0.35">
      <c r="A5695" s="10" t="s">
        <v>29086</v>
      </c>
      <c r="B5695" s="10" t="str">
        <f>"9789004271920"</f>
        <v>9789004271920</v>
      </c>
      <c r="C5695" s="10" t="str">
        <f>"9789004271944"</f>
        <v>9789004271944</v>
      </c>
      <c r="D5695" s="10" t="s">
        <v>8564</v>
      </c>
      <c r="E5695" s="10" t="s">
        <v>8565</v>
      </c>
      <c r="F5695" s="10" t="s">
        <v>1420</v>
      </c>
      <c r="G5695" s="10" t="s">
        <v>6317</v>
      </c>
      <c r="H5695" s="11">
        <v>41787</v>
      </c>
      <c r="I5695" s="10">
        <v>2014</v>
      </c>
      <c r="J5695" s="10" t="s">
        <v>8565</v>
      </c>
      <c r="K5695" s="10">
        <v>226</v>
      </c>
      <c r="L5695" s="10" t="s">
        <v>29087</v>
      </c>
      <c r="M5695" s="10">
        <v>1</v>
      </c>
      <c r="N5695" s="10" t="s">
        <v>29088</v>
      </c>
      <c r="O5695" s="10">
        <v>12</v>
      </c>
      <c r="P5695" s="10" t="s">
        <v>29089</v>
      </c>
      <c r="Q5695" s="10">
        <v>378.00099999999998</v>
      </c>
      <c r="R5695" s="10"/>
      <c r="S5695" s="10" t="s">
        <v>53</v>
      </c>
      <c r="T5695" s="10" t="s">
        <v>54</v>
      </c>
    </row>
    <row r="5696" spans="1:20" ht="14.5" x14ac:dyDescent="0.35">
      <c r="A5696" s="10" t="s">
        <v>29090</v>
      </c>
      <c r="B5696" s="10" t="str">
        <f>"9789004216969"</f>
        <v>9789004216969</v>
      </c>
      <c r="C5696" s="10" t="str">
        <f>"9789004265073"</f>
        <v>9789004265073</v>
      </c>
      <c r="D5696" s="10" t="s">
        <v>8564</v>
      </c>
      <c r="E5696" s="10" t="s">
        <v>8565</v>
      </c>
      <c r="F5696" s="10" t="s">
        <v>1420</v>
      </c>
      <c r="G5696" s="10" t="s">
        <v>6317</v>
      </c>
      <c r="H5696" s="11">
        <v>41940</v>
      </c>
      <c r="I5696" s="10">
        <v>2015</v>
      </c>
      <c r="J5696" s="10" t="s">
        <v>8565</v>
      </c>
      <c r="K5696" s="10">
        <v>267</v>
      </c>
      <c r="L5696" s="10" t="s">
        <v>22529</v>
      </c>
      <c r="M5696" s="10">
        <v>1</v>
      </c>
      <c r="N5696" s="10" t="s">
        <v>29088</v>
      </c>
      <c r="O5696" s="10">
        <v>13</v>
      </c>
      <c r="P5696" s="10" t="s">
        <v>29091</v>
      </c>
      <c r="Q5696" s="10">
        <v>378.4</v>
      </c>
      <c r="R5696" s="10"/>
      <c r="S5696" s="10" t="s">
        <v>53</v>
      </c>
      <c r="T5696" s="10" t="s">
        <v>54</v>
      </c>
    </row>
    <row r="5697" spans="1:20" ht="14.5" x14ac:dyDescent="0.35">
      <c r="A5697" s="10" t="s">
        <v>29092</v>
      </c>
      <c r="B5697" s="10" t="str">
        <f>"9780809333585"</f>
        <v>9780809333585</v>
      </c>
      <c r="C5697" s="10" t="str">
        <f>"9780809333592"</f>
        <v>9780809333592</v>
      </c>
      <c r="D5697" s="10" t="s">
        <v>26036</v>
      </c>
      <c r="E5697" s="10" t="s">
        <v>26036</v>
      </c>
      <c r="F5697" s="10" t="s">
        <v>2236</v>
      </c>
      <c r="G5697" s="10" t="s">
        <v>6317</v>
      </c>
      <c r="H5697" s="11">
        <v>41949</v>
      </c>
      <c r="I5697" s="10">
        <v>2014</v>
      </c>
      <c r="J5697" s="10" t="s">
        <v>26036</v>
      </c>
      <c r="K5697" s="10">
        <v>198</v>
      </c>
      <c r="L5697" s="10" t="s">
        <v>29093</v>
      </c>
      <c r="M5697" s="10">
        <v>1</v>
      </c>
      <c r="N5697" s="10"/>
      <c r="O5697" s="10"/>
      <c r="P5697" s="10" t="s">
        <v>29094</v>
      </c>
      <c r="Q5697" s="10" t="s">
        <v>29095</v>
      </c>
      <c r="R5697" s="10"/>
      <c r="S5697" s="10" t="s">
        <v>53</v>
      </c>
      <c r="T5697" s="10" t="s">
        <v>54</v>
      </c>
    </row>
    <row r="5698" spans="1:20" ht="14.5" x14ac:dyDescent="0.35">
      <c r="A5698" s="10" t="s">
        <v>29096</v>
      </c>
      <c r="B5698" s="10" t="str">
        <f>"9781442237209"</f>
        <v>9781442237209</v>
      </c>
      <c r="C5698" s="10" t="str">
        <f>"9781442237216"</f>
        <v>9781442237216</v>
      </c>
      <c r="D5698" s="10" t="s">
        <v>9752</v>
      </c>
      <c r="E5698" s="10" t="s">
        <v>15187</v>
      </c>
      <c r="F5698" s="10" t="s">
        <v>9754</v>
      </c>
      <c r="G5698" s="10" t="s">
        <v>6317</v>
      </c>
      <c r="H5698" s="11">
        <v>41928</v>
      </c>
      <c r="I5698" s="10">
        <v>2014</v>
      </c>
      <c r="J5698" s="10" t="s">
        <v>15187</v>
      </c>
      <c r="K5698" s="10">
        <v>178</v>
      </c>
      <c r="L5698" s="10" t="s">
        <v>29097</v>
      </c>
      <c r="M5698" s="10">
        <v>1</v>
      </c>
      <c r="N5698" s="10"/>
      <c r="O5698" s="10"/>
      <c r="P5698" s="10" t="s">
        <v>29098</v>
      </c>
      <c r="Q5698" s="10" t="s">
        <v>29099</v>
      </c>
      <c r="R5698" s="10" t="s">
        <v>29100</v>
      </c>
      <c r="S5698" s="10" t="s">
        <v>53</v>
      </c>
      <c r="T5698" s="10" t="s">
        <v>18352</v>
      </c>
    </row>
    <row r="5699" spans="1:20" ht="14.5" x14ac:dyDescent="0.35">
      <c r="A5699" s="10" t="s">
        <v>29101</v>
      </c>
      <c r="B5699" s="10" t="str">
        <f>"9780826196453"</f>
        <v>9780826196453</v>
      </c>
      <c r="C5699" s="10" t="str">
        <f>"9780826196422"</f>
        <v>9780826196422</v>
      </c>
      <c r="D5699" s="10" t="s">
        <v>3370</v>
      </c>
      <c r="E5699" s="10" t="s">
        <v>10927</v>
      </c>
      <c r="F5699" s="10" t="s">
        <v>70</v>
      </c>
      <c r="G5699" s="10" t="s">
        <v>6317</v>
      </c>
      <c r="H5699" s="11">
        <v>41913</v>
      </c>
      <c r="I5699" s="10">
        <v>2014</v>
      </c>
      <c r="J5699" s="10" t="s">
        <v>10927</v>
      </c>
      <c r="K5699" s="10">
        <v>468</v>
      </c>
      <c r="L5699" s="10" t="s">
        <v>29102</v>
      </c>
      <c r="M5699" s="10">
        <v>1</v>
      </c>
      <c r="N5699" s="10"/>
      <c r="O5699" s="10"/>
      <c r="P5699" s="10" t="s">
        <v>29103</v>
      </c>
      <c r="Q5699" s="10">
        <v>370.15</v>
      </c>
      <c r="R5699" s="10" t="s">
        <v>29104</v>
      </c>
      <c r="S5699" s="10" t="s">
        <v>53</v>
      </c>
      <c r="T5699" s="10" t="s">
        <v>13010</v>
      </c>
    </row>
    <row r="5700" spans="1:20" ht="14.5" x14ac:dyDescent="0.35">
      <c r="A5700" s="10" t="s">
        <v>29105</v>
      </c>
      <c r="B5700" s="10" t="str">
        <f>"9781784414313"</f>
        <v>9781784414313</v>
      </c>
      <c r="C5700" s="10" t="str">
        <f>"9781784414320"</f>
        <v>9781784414320</v>
      </c>
      <c r="D5700" s="10" t="s">
        <v>8699</v>
      </c>
      <c r="E5700" s="10" t="s">
        <v>8699</v>
      </c>
      <c r="F5700" s="10" t="s">
        <v>1019</v>
      </c>
      <c r="G5700" s="10" t="s">
        <v>6352</v>
      </c>
      <c r="H5700" s="11">
        <v>41897</v>
      </c>
      <c r="I5700" s="10">
        <v>2014</v>
      </c>
      <c r="J5700" s="10" t="s">
        <v>115</v>
      </c>
      <c r="K5700" s="10">
        <v>91</v>
      </c>
      <c r="L5700" s="10" t="s">
        <v>29106</v>
      </c>
      <c r="M5700" s="10">
        <v>1</v>
      </c>
      <c r="N5700" s="10" t="s">
        <v>29107</v>
      </c>
      <c r="O5700" s="10">
        <v>56.7</v>
      </c>
      <c r="P5700" s="10" t="s">
        <v>29108</v>
      </c>
      <c r="Q5700" s="10">
        <v>372.19094100000001</v>
      </c>
      <c r="R5700" s="10" t="s">
        <v>29109</v>
      </c>
      <c r="S5700" s="10" t="s">
        <v>53</v>
      </c>
      <c r="T5700" s="10" t="s">
        <v>54</v>
      </c>
    </row>
    <row r="5701" spans="1:20" ht="14.5" x14ac:dyDescent="0.35">
      <c r="A5701" s="10" t="s">
        <v>29110</v>
      </c>
      <c r="B5701" s="10" t="str">
        <f>"9781783505241"</f>
        <v>9781783505241</v>
      </c>
      <c r="C5701" s="10" t="str">
        <f>"9781784419783"</f>
        <v>9781784419783</v>
      </c>
      <c r="D5701" s="10" t="s">
        <v>8699</v>
      </c>
      <c r="E5701" s="10" t="s">
        <v>8699</v>
      </c>
      <c r="F5701" s="10" t="s">
        <v>1019</v>
      </c>
      <c r="G5701" s="10" t="s">
        <v>6352</v>
      </c>
      <c r="H5701" s="11">
        <v>41849</v>
      </c>
      <c r="I5701" s="10">
        <v>2014</v>
      </c>
      <c r="J5701" s="10" t="s">
        <v>115</v>
      </c>
      <c r="K5701" s="10">
        <v>88</v>
      </c>
      <c r="L5701" s="10" t="s">
        <v>29111</v>
      </c>
      <c r="M5701" s="10">
        <v>1</v>
      </c>
      <c r="N5701" s="10" t="s">
        <v>29112</v>
      </c>
      <c r="O5701" s="10">
        <v>31.4</v>
      </c>
      <c r="P5701" s="10" t="s">
        <v>29113</v>
      </c>
      <c r="Q5701" s="10">
        <v>371.10199999999998</v>
      </c>
      <c r="R5701" s="10" t="s">
        <v>29114</v>
      </c>
      <c r="S5701" s="10" t="s">
        <v>53</v>
      </c>
      <c r="T5701" s="10" t="s">
        <v>54</v>
      </c>
    </row>
    <row r="5702" spans="1:20" ht="14.5" x14ac:dyDescent="0.35">
      <c r="A5702" s="10" t="s">
        <v>29115</v>
      </c>
      <c r="B5702" s="10" t="str">
        <f>"9781443859783"</f>
        <v>9781443859783</v>
      </c>
      <c r="C5702" s="10" t="str">
        <f>"9781443871105"</f>
        <v>9781443871105</v>
      </c>
      <c r="D5702" s="10" t="s">
        <v>23635</v>
      </c>
      <c r="E5702" s="10" t="s">
        <v>23635</v>
      </c>
      <c r="F5702" s="10" t="s">
        <v>23636</v>
      </c>
      <c r="G5702" s="10" t="s">
        <v>6352</v>
      </c>
      <c r="H5702" s="11">
        <v>41948</v>
      </c>
      <c r="I5702" s="10">
        <v>2014</v>
      </c>
      <c r="J5702" s="10" t="s">
        <v>23635</v>
      </c>
      <c r="K5702" s="10">
        <v>171</v>
      </c>
      <c r="L5702" s="10" t="s">
        <v>29116</v>
      </c>
      <c r="M5702" s="10">
        <v>1</v>
      </c>
      <c r="N5702" s="10"/>
      <c r="O5702" s="10"/>
      <c r="P5702" s="10" t="s">
        <v>29117</v>
      </c>
      <c r="Q5702" s="10">
        <v>428.00709999999998</v>
      </c>
      <c r="R5702" s="10" t="s">
        <v>29118</v>
      </c>
      <c r="S5702" s="10" t="s">
        <v>53</v>
      </c>
      <c r="T5702" s="10" t="s">
        <v>6634</v>
      </c>
    </row>
    <row r="5703" spans="1:20" ht="14.5" x14ac:dyDescent="0.35">
      <c r="A5703" s="10" t="s">
        <v>29119</v>
      </c>
      <c r="B5703" s="10" t="str">
        <f>"9781784411329"</f>
        <v>9781784411329</v>
      </c>
      <c r="C5703" s="10" t="str">
        <f>"9781784411312"</f>
        <v>9781784411312</v>
      </c>
      <c r="D5703" s="10" t="s">
        <v>8699</v>
      </c>
      <c r="E5703" s="10" t="s">
        <v>8699</v>
      </c>
      <c r="F5703" s="10" t="s">
        <v>559</v>
      </c>
      <c r="G5703" s="10" t="s">
        <v>6352</v>
      </c>
      <c r="H5703" s="11">
        <v>41943</v>
      </c>
      <c r="I5703" s="10">
        <v>2014</v>
      </c>
      <c r="J5703" s="10" t="s">
        <v>8699</v>
      </c>
      <c r="K5703" s="10">
        <v>279</v>
      </c>
      <c r="L5703" s="10" t="s">
        <v>29120</v>
      </c>
      <c r="M5703" s="10">
        <v>1</v>
      </c>
      <c r="N5703" s="10" t="s">
        <v>24718</v>
      </c>
      <c r="O5703" s="10">
        <v>13</v>
      </c>
      <c r="P5703" s="10" t="s">
        <v>27182</v>
      </c>
      <c r="Q5703" s="10">
        <v>378.1</v>
      </c>
      <c r="R5703" s="10" t="s">
        <v>29121</v>
      </c>
      <c r="S5703" s="10" t="s">
        <v>53</v>
      </c>
      <c r="T5703" s="10" t="s">
        <v>54</v>
      </c>
    </row>
    <row r="5704" spans="1:20" ht="14.5" x14ac:dyDescent="0.35">
      <c r="A5704" s="10" t="s">
        <v>29122</v>
      </c>
      <c r="B5704" s="10" t="str">
        <f>"9781784411466"</f>
        <v>9781784411466</v>
      </c>
      <c r="C5704" s="10" t="str">
        <f>"9781784411459"</f>
        <v>9781784411459</v>
      </c>
      <c r="D5704" s="10" t="s">
        <v>8699</v>
      </c>
      <c r="E5704" s="10" t="s">
        <v>8699</v>
      </c>
      <c r="F5704" s="10" t="s">
        <v>559</v>
      </c>
      <c r="G5704" s="10" t="s">
        <v>6352</v>
      </c>
      <c r="H5704" s="11">
        <v>41941</v>
      </c>
      <c r="I5704" s="10">
        <v>2014</v>
      </c>
      <c r="J5704" s="10" t="s">
        <v>8699</v>
      </c>
      <c r="K5704" s="10">
        <v>329</v>
      </c>
      <c r="L5704" s="10" t="s">
        <v>29123</v>
      </c>
      <c r="M5704" s="10">
        <v>1</v>
      </c>
      <c r="N5704" s="10" t="s">
        <v>22927</v>
      </c>
      <c r="O5704" s="10">
        <v>3</v>
      </c>
      <c r="P5704" s="10"/>
      <c r="Q5704" s="10">
        <v>371.90460000000002</v>
      </c>
      <c r="R5704" s="10" t="s">
        <v>29124</v>
      </c>
      <c r="S5704" s="10" t="s">
        <v>53</v>
      </c>
      <c r="T5704" s="10" t="s">
        <v>54</v>
      </c>
    </row>
    <row r="5705" spans="1:20" ht="14.5" x14ac:dyDescent="0.35">
      <c r="A5705" s="10" t="s">
        <v>29125</v>
      </c>
      <c r="B5705" s="10" t="str">
        <f>"9789004281141"</f>
        <v>9789004281141</v>
      </c>
      <c r="C5705" s="10" t="str">
        <f>"9789004281158"</f>
        <v>9789004281158</v>
      </c>
      <c r="D5705" s="10" t="s">
        <v>8564</v>
      </c>
      <c r="E5705" s="10" t="s">
        <v>8565</v>
      </c>
      <c r="F5705" s="10" t="s">
        <v>554</v>
      </c>
      <c r="G5705" s="10" t="s">
        <v>9233</v>
      </c>
      <c r="H5705" s="11">
        <v>41948</v>
      </c>
      <c r="I5705" s="10">
        <v>2014</v>
      </c>
      <c r="J5705" s="10" t="s">
        <v>29126</v>
      </c>
      <c r="K5705" s="10">
        <v>237</v>
      </c>
      <c r="L5705" s="10" t="s">
        <v>29127</v>
      </c>
      <c r="M5705" s="10">
        <v>1</v>
      </c>
      <c r="N5705" s="10" t="s">
        <v>29128</v>
      </c>
      <c r="O5705" s="10">
        <v>5</v>
      </c>
      <c r="P5705" s="10" t="s">
        <v>29129</v>
      </c>
      <c r="Q5705" s="10">
        <v>370.71100000000001</v>
      </c>
      <c r="R5705" s="10" t="s">
        <v>27070</v>
      </c>
      <c r="S5705" s="10" t="s">
        <v>53</v>
      </c>
      <c r="T5705" s="10" t="s">
        <v>54</v>
      </c>
    </row>
    <row r="5706" spans="1:20" ht="14.5" x14ac:dyDescent="0.35">
      <c r="A5706" s="10" t="s">
        <v>29130</v>
      </c>
      <c r="B5706" s="10" t="str">
        <f>"9780819575197"</f>
        <v>9780819575197</v>
      </c>
      <c r="C5706" s="10" t="str">
        <f>"9780819575203"</f>
        <v>9780819575203</v>
      </c>
      <c r="D5706" s="10" t="s">
        <v>19698</v>
      </c>
      <c r="E5706" s="10" t="s">
        <v>19698</v>
      </c>
      <c r="F5706" s="10" t="s">
        <v>19699</v>
      </c>
      <c r="G5706" s="10" t="s">
        <v>6317</v>
      </c>
      <c r="H5706" s="11">
        <v>42135</v>
      </c>
      <c r="I5706" s="10">
        <v>2015</v>
      </c>
      <c r="J5706" s="10" t="s">
        <v>19698</v>
      </c>
      <c r="K5706" s="10">
        <v>705</v>
      </c>
      <c r="L5706" s="10" t="s">
        <v>29131</v>
      </c>
      <c r="M5706" s="10">
        <v>1</v>
      </c>
      <c r="N5706" s="10"/>
      <c r="O5706" s="10"/>
      <c r="P5706" s="10"/>
      <c r="Q5706" s="10">
        <v>378.7466</v>
      </c>
      <c r="R5706" s="10"/>
      <c r="S5706" s="10" t="s">
        <v>53</v>
      </c>
      <c r="T5706" s="10" t="s">
        <v>54</v>
      </c>
    </row>
    <row r="5707" spans="1:20" ht="14.5" x14ac:dyDescent="0.35">
      <c r="A5707" s="10" t="s">
        <v>29132</v>
      </c>
      <c r="B5707" s="10" t="str">
        <f>"9781443868808"</f>
        <v>9781443868808</v>
      </c>
      <c r="C5707" s="10" t="str">
        <f>"9781443871396"</f>
        <v>9781443871396</v>
      </c>
      <c r="D5707" s="10" t="s">
        <v>23635</v>
      </c>
      <c r="E5707" s="10" t="s">
        <v>23635</v>
      </c>
      <c r="F5707" s="10" t="s">
        <v>23636</v>
      </c>
      <c r="G5707" s="10" t="s">
        <v>6352</v>
      </c>
      <c r="H5707" s="11">
        <v>41967</v>
      </c>
      <c r="I5707" s="10">
        <v>2014</v>
      </c>
      <c r="J5707" s="10" t="s">
        <v>23635</v>
      </c>
      <c r="K5707" s="10">
        <v>251</v>
      </c>
      <c r="L5707" s="10" t="s">
        <v>29133</v>
      </c>
      <c r="M5707" s="10">
        <v>1</v>
      </c>
      <c r="N5707" s="10"/>
      <c r="O5707" s="10"/>
      <c r="P5707" s="10" t="s">
        <v>29134</v>
      </c>
      <c r="Q5707" s="10">
        <v>370.11399999999998</v>
      </c>
      <c r="R5707" s="10" t="s">
        <v>29135</v>
      </c>
      <c r="S5707" s="10" t="s">
        <v>53</v>
      </c>
      <c r="T5707" s="10" t="s">
        <v>54</v>
      </c>
    </row>
    <row r="5708" spans="1:20" ht="14.5" x14ac:dyDescent="0.35">
      <c r="A5708" s="10" t="s">
        <v>29136</v>
      </c>
      <c r="B5708" s="10" t="str">
        <f>"9781443856065"</f>
        <v>9781443856065</v>
      </c>
      <c r="C5708" s="10" t="str">
        <f>"9781443871495"</f>
        <v>9781443871495</v>
      </c>
      <c r="D5708" s="10" t="s">
        <v>23635</v>
      </c>
      <c r="E5708" s="10" t="s">
        <v>23635</v>
      </c>
      <c r="F5708" s="10" t="s">
        <v>23636</v>
      </c>
      <c r="G5708" s="10" t="s">
        <v>6352</v>
      </c>
      <c r="H5708" s="11">
        <v>41963</v>
      </c>
      <c r="I5708" s="10">
        <v>2014</v>
      </c>
      <c r="J5708" s="10" t="s">
        <v>23635</v>
      </c>
      <c r="K5708" s="10">
        <v>267</v>
      </c>
      <c r="L5708" s="10" t="s">
        <v>29137</v>
      </c>
      <c r="M5708" s="10">
        <v>1</v>
      </c>
      <c r="N5708" s="10"/>
      <c r="O5708" s="10"/>
      <c r="P5708" s="10" t="s">
        <v>29138</v>
      </c>
      <c r="Q5708" s="10">
        <v>370.15</v>
      </c>
      <c r="R5708" s="10" t="s">
        <v>29139</v>
      </c>
      <c r="S5708" s="10" t="s">
        <v>53</v>
      </c>
      <c r="T5708" s="10" t="s">
        <v>54</v>
      </c>
    </row>
    <row r="5709" spans="1:20" ht="14.5" x14ac:dyDescent="0.35">
      <c r="A5709" s="10" t="s">
        <v>29140</v>
      </c>
      <c r="B5709" s="10" t="str">
        <f>"9781443868112"</f>
        <v>9781443868112</v>
      </c>
      <c r="C5709" s="10" t="str">
        <f>"9781443871501"</f>
        <v>9781443871501</v>
      </c>
      <c r="D5709" s="10" t="s">
        <v>23635</v>
      </c>
      <c r="E5709" s="10" t="s">
        <v>23635</v>
      </c>
      <c r="F5709" s="10" t="s">
        <v>23636</v>
      </c>
      <c r="G5709" s="10" t="s">
        <v>6352</v>
      </c>
      <c r="H5709" s="11">
        <v>41974</v>
      </c>
      <c r="I5709" s="10">
        <v>2014</v>
      </c>
      <c r="J5709" s="10" t="s">
        <v>23635</v>
      </c>
      <c r="K5709" s="10">
        <v>344</v>
      </c>
      <c r="L5709" s="10" t="s">
        <v>29141</v>
      </c>
      <c r="M5709" s="10">
        <v>1</v>
      </c>
      <c r="N5709" s="10"/>
      <c r="O5709" s="10"/>
      <c r="P5709" s="10" t="s">
        <v>29142</v>
      </c>
      <c r="Q5709" s="10" t="s">
        <v>29143</v>
      </c>
      <c r="R5709" s="10" t="s">
        <v>29144</v>
      </c>
      <c r="S5709" s="10" t="s">
        <v>53</v>
      </c>
      <c r="T5709" s="10" t="s">
        <v>6498</v>
      </c>
    </row>
    <row r="5710" spans="1:20" ht="14.5" x14ac:dyDescent="0.35">
      <c r="A5710" s="10" t="s">
        <v>29145</v>
      </c>
      <c r="B5710" s="10" t="str">
        <f>"9781442211384"</f>
        <v>9781442211384</v>
      </c>
      <c r="C5710" s="10" t="str">
        <f>"9781442211407"</f>
        <v>9781442211407</v>
      </c>
      <c r="D5710" s="10" t="s">
        <v>9752</v>
      </c>
      <c r="E5710" s="10" t="s">
        <v>15187</v>
      </c>
      <c r="F5710" s="10" t="s">
        <v>9754</v>
      </c>
      <c r="G5710" s="10" t="s">
        <v>6317</v>
      </c>
      <c r="H5710" s="11">
        <v>41942</v>
      </c>
      <c r="I5710" s="10">
        <v>2014</v>
      </c>
      <c r="J5710" s="10" t="s">
        <v>15187</v>
      </c>
      <c r="K5710" s="10">
        <v>193</v>
      </c>
      <c r="L5710" s="10" t="s">
        <v>29146</v>
      </c>
      <c r="M5710" s="10">
        <v>1</v>
      </c>
      <c r="N5710" s="10"/>
      <c r="O5710" s="10"/>
      <c r="P5710" s="10" t="s">
        <v>29147</v>
      </c>
      <c r="Q5710" s="10" t="s">
        <v>29148</v>
      </c>
      <c r="R5710" s="10" t="s">
        <v>29149</v>
      </c>
      <c r="S5710" s="10" t="s">
        <v>53</v>
      </c>
      <c r="T5710" s="10" t="s">
        <v>54</v>
      </c>
    </row>
    <row r="5711" spans="1:20" ht="14.5" x14ac:dyDescent="0.35">
      <c r="A5711" s="10" t="s">
        <v>29150</v>
      </c>
      <c r="B5711" s="10" t="str">
        <f>"9781138780767"</f>
        <v>9781138780767</v>
      </c>
      <c r="C5711" s="10" t="str">
        <f>"9781317672562"</f>
        <v>9781317672562</v>
      </c>
      <c r="D5711" s="10" t="s">
        <v>6350</v>
      </c>
      <c r="E5711" s="10" t="s">
        <v>6351</v>
      </c>
      <c r="F5711" s="10" t="s">
        <v>139</v>
      </c>
      <c r="G5711" s="10" t="s">
        <v>6352</v>
      </c>
      <c r="H5711" s="11">
        <v>41977</v>
      </c>
      <c r="I5711" s="10">
        <v>2015</v>
      </c>
      <c r="J5711" s="10" t="s">
        <v>6353</v>
      </c>
      <c r="K5711" s="10">
        <v>251</v>
      </c>
      <c r="L5711" s="10" t="s">
        <v>29151</v>
      </c>
      <c r="M5711" s="10">
        <v>1</v>
      </c>
      <c r="N5711" s="10"/>
      <c r="O5711" s="10"/>
      <c r="P5711" s="10" t="s">
        <v>29152</v>
      </c>
      <c r="Q5711" s="10">
        <v>370.95100000000002</v>
      </c>
      <c r="R5711" s="10" t="s">
        <v>29153</v>
      </c>
      <c r="S5711" s="10" t="s">
        <v>53</v>
      </c>
      <c r="T5711" s="10" t="s">
        <v>54</v>
      </c>
    </row>
    <row r="5712" spans="1:20" ht="14.5" x14ac:dyDescent="0.35">
      <c r="A5712" s="10" t="s">
        <v>29154</v>
      </c>
      <c r="B5712" s="10" t="str">
        <f>"9780826355430"</f>
        <v>9780826355430</v>
      </c>
      <c r="C5712" s="10" t="str">
        <f>"9780826355447"</f>
        <v>9780826355447</v>
      </c>
      <c r="D5712" s="10" t="s">
        <v>24305</v>
      </c>
      <c r="E5712" s="10" t="s">
        <v>24305</v>
      </c>
      <c r="F5712" s="10" t="s">
        <v>24306</v>
      </c>
      <c r="G5712" s="10" t="s">
        <v>6317</v>
      </c>
      <c r="H5712" s="11">
        <v>42036</v>
      </c>
      <c r="I5712" s="10">
        <v>2015</v>
      </c>
      <c r="J5712" s="10" t="s">
        <v>24305</v>
      </c>
      <c r="K5712" s="10">
        <v>258</v>
      </c>
      <c r="L5712" s="10" t="s">
        <v>29155</v>
      </c>
      <c r="M5712" s="10">
        <v>1</v>
      </c>
      <c r="N5712" s="10"/>
      <c r="O5712" s="10"/>
      <c r="P5712" s="10" t="s">
        <v>29156</v>
      </c>
      <c r="Q5712" s="10" t="s">
        <v>29157</v>
      </c>
      <c r="R5712" s="10" t="s">
        <v>29158</v>
      </c>
      <c r="S5712" s="10" t="s">
        <v>53</v>
      </c>
      <c r="T5712" s="10" t="s">
        <v>54</v>
      </c>
    </row>
    <row r="5713" spans="1:20" ht="14.5" x14ac:dyDescent="0.35">
      <c r="A5713" s="10" t="s">
        <v>29159</v>
      </c>
      <c r="B5713" s="10" t="str">
        <f>"9780804791670"</f>
        <v>9780804791670</v>
      </c>
      <c r="C5713" s="10" t="str">
        <f>"9780804793551"</f>
        <v>9780804793551</v>
      </c>
      <c r="D5713" s="10" t="s">
        <v>16213</v>
      </c>
      <c r="E5713" s="10" t="s">
        <v>16213</v>
      </c>
      <c r="F5713" s="10" t="s">
        <v>16214</v>
      </c>
      <c r="G5713" s="10" t="s">
        <v>6317</v>
      </c>
      <c r="H5713" s="11">
        <v>42011</v>
      </c>
      <c r="I5713" s="10">
        <v>2015</v>
      </c>
      <c r="J5713" s="10" t="s">
        <v>16213</v>
      </c>
      <c r="K5713" s="10">
        <v>336</v>
      </c>
      <c r="L5713" s="10" t="s">
        <v>29160</v>
      </c>
      <c r="M5713" s="10">
        <v>1</v>
      </c>
      <c r="N5713" s="10"/>
      <c r="O5713" s="10"/>
      <c r="P5713" s="10" t="s">
        <v>29161</v>
      </c>
      <c r="Q5713" s="10">
        <v>378.73</v>
      </c>
      <c r="R5713" s="10" t="s">
        <v>29162</v>
      </c>
      <c r="S5713" s="10" t="s">
        <v>53</v>
      </c>
      <c r="T5713" s="10" t="s">
        <v>54</v>
      </c>
    </row>
    <row r="5714" spans="1:20" ht="14.5" x14ac:dyDescent="0.35">
      <c r="A5714" s="10" t="s">
        <v>29163</v>
      </c>
      <c r="B5714" s="10" t="str">
        <f>"9781118551608"</f>
        <v>9781118551608</v>
      </c>
      <c r="C5714" s="10" t="str">
        <f>"9781118992395"</f>
        <v>9781118992395</v>
      </c>
      <c r="D5714" s="10" t="s">
        <v>6322</v>
      </c>
      <c r="E5714" s="10" t="s">
        <v>6323</v>
      </c>
      <c r="F5714" s="10" t="s">
        <v>4423</v>
      </c>
      <c r="G5714" s="10" t="s">
        <v>6317</v>
      </c>
      <c r="H5714" s="11">
        <v>42024</v>
      </c>
      <c r="I5714" s="10">
        <v>2015</v>
      </c>
      <c r="J5714" s="10" t="s">
        <v>6324</v>
      </c>
      <c r="K5714" s="10">
        <v>419</v>
      </c>
      <c r="L5714" s="10" t="s">
        <v>29164</v>
      </c>
      <c r="M5714" s="10">
        <v>1</v>
      </c>
      <c r="N5714" s="10"/>
      <c r="O5714" s="10"/>
      <c r="P5714" s="10"/>
      <c r="Q5714" s="10"/>
      <c r="R5714" s="10" t="s">
        <v>25127</v>
      </c>
      <c r="S5714" s="10" t="s">
        <v>53</v>
      </c>
      <c r="T5714" s="10" t="s">
        <v>54</v>
      </c>
    </row>
    <row r="5715" spans="1:20" ht="14.5" x14ac:dyDescent="0.35">
      <c r="A5715" s="10" t="s">
        <v>29165</v>
      </c>
      <c r="B5715" s="10" t="str">
        <f>"9783110344172"</f>
        <v>9783110344172</v>
      </c>
      <c r="C5715" s="10" t="str">
        <f>"9783110344462"</f>
        <v>9783110344462</v>
      </c>
      <c r="D5715" s="10" t="s">
        <v>9995</v>
      </c>
      <c r="E5715" s="10" t="s">
        <v>2515</v>
      </c>
      <c r="F5715" s="10" t="s">
        <v>26321</v>
      </c>
      <c r="G5715" s="10" t="s">
        <v>9998</v>
      </c>
      <c r="H5715" s="11">
        <v>41925</v>
      </c>
      <c r="I5715" s="10">
        <v>2014</v>
      </c>
      <c r="J5715" s="10" t="s">
        <v>28454</v>
      </c>
      <c r="K5715" s="10">
        <v>144</v>
      </c>
      <c r="L5715" s="10" t="s">
        <v>29166</v>
      </c>
      <c r="M5715" s="10">
        <v>1</v>
      </c>
      <c r="N5715" s="10"/>
      <c r="O5715" s="10"/>
      <c r="P5715" s="10"/>
      <c r="Q5715" s="10"/>
      <c r="R5715" s="10" t="s">
        <v>29167</v>
      </c>
      <c r="S5715" s="10" t="s">
        <v>53</v>
      </c>
      <c r="T5715" s="10" t="s">
        <v>19959</v>
      </c>
    </row>
    <row r="5716" spans="1:20" ht="14.5" x14ac:dyDescent="0.35">
      <c r="A5716" s="10" t="s">
        <v>29168</v>
      </c>
      <c r="B5716" s="10" t="str">
        <f>"9781472526069"</f>
        <v>9781472526069</v>
      </c>
      <c r="C5716" s="10" t="str">
        <f>"9781472524232"</f>
        <v>9781472524232</v>
      </c>
      <c r="D5716" s="10" t="s">
        <v>13959</v>
      </c>
      <c r="E5716" s="10" t="s">
        <v>13960</v>
      </c>
      <c r="F5716" s="10" t="s">
        <v>139</v>
      </c>
      <c r="G5716" s="10" t="s">
        <v>6352</v>
      </c>
      <c r="H5716" s="11">
        <v>41991</v>
      </c>
      <c r="I5716" s="10">
        <v>2015</v>
      </c>
      <c r="J5716" s="10" t="s">
        <v>14057</v>
      </c>
      <c r="K5716" s="10">
        <v>228</v>
      </c>
      <c r="L5716" s="10" t="s">
        <v>29169</v>
      </c>
      <c r="M5716" s="10">
        <v>1</v>
      </c>
      <c r="N5716" s="10"/>
      <c r="O5716" s="10"/>
      <c r="P5716" s="10" t="s">
        <v>29170</v>
      </c>
      <c r="Q5716" s="10">
        <v>371.20699999999999</v>
      </c>
      <c r="R5716" s="10" t="s">
        <v>6738</v>
      </c>
      <c r="S5716" s="10" t="s">
        <v>53</v>
      </c>
      <c r="T5716" s="10" t="s">
        <v>54</v>
      </c>
    </row>
    <row r="5717" spans="1:20" ht="14.5" x14ac:dyDescent="0.35">
      <c r="A5717" s="10" t="s">
        <v>29171</v>
      </c>
      <c r="B5717" s="10" t="str">
        <f>"9782806212788"</f>
        <v>9782806212788</v>
      </c>
      <c r="C5717" s="10" t="str">
        <f>"9782806217639"</f>
        <v>9782806217639</v>
      </c>
      <c r="D5717" s="10" t="s">
        <v>29172</v>
      </c>
      <c r="E5717" s="10" t="s">
        <v>29173</v>
      </c>
      <c r="F5717" s="10" t="s">
        <v>29174</v>
      </c>
      <c r="G5717" s="10" t="s">
        <v>28737</v>
      </c>
      <c r="H5717" s="11">
        <v>41605</v>
      </c>
      <c r="I5717" s="10">
        <v>2005</v>
      </c>
      <c r="J5717" s="10" t="s">
        <v>29175</v>
      </c>
      <c r="K5717" s="10">
        <v>30</v>
      </c>
      <c r="L5717" s="10" t="s">
        <v>29176</v>
      </c>
      <c r="M5717" s="10">
        <v>1</v>
      </c>
      <c r="N5717" s="10" t="s">
        <v>29177</v>
      </c>
      <c r="O5717" s="10"/>
      <c r="P5717" s="10" t="s">
        <v>29178</v>
      </c>
      <c r="Q5717" s="10">
        <v>843.92</v>
      </c>
      <c r="R5717" s="10" t="s">
        <v>29179</v>
      </c>
      <c r="S5717" s="10" t="s">
        <v>5404</v>
      </c>
      <c r="T5717" s="10" t="s">
        <v>1166</v>
      </c>
    </row>
    <row r="5718" spans="1:20" ht="14.5" x14ac:dyDescent="0.35">
      <c r="A5718" s="10" t="s">
        <v>29180</v>
      </c>
      <c r="B5718" s="10" t="str">
        <f>"9782806211774"</f>
        <v>9782806211774</v>
      </c>
      <c r="C5718" s="10" t="str">
        <f>"9782806217448"</f>
        <v>9782806217448</v>
      </c>
      <c r="D5718" s="10" t="s">
        <v>29172</v>
      </c>
      <c r="E5718" s="10" t="s">
        <v>29173</v>
      </c>
      <c r="F5718" s="10" t="s">
        <v>29181</v>
      </c>
      <c r="G5718" s="10" t="s">
        <v>28737</v>
      </c>
      <c r="H5718" s="11">
        <v>40544</v>
      </c>
      <c r="I5718" s="10">
        <v>2011</v>
      </c>
      <c r="J5718" s="10" t="s">
        <v>29175</v>
      </c>
      <c r="K5718" s="10">
        <v>32</v>
      </c>
      <c r="L5718" s="10" t="s">
        <v>29182</v>
      </c>
      <c r="M5718" s="10">
        <v>1</v>
      </c>
      <c r="N5718" s="10" t="s">
        <v>29177</v>
      </c>
      <c r="O5718" s="10"/>
      <c r="P5718" s="10"/>
      <c r="Q5718" s="10"/>
      <c r="R5718" s="10"/>
      <c r="S5718" s="10" t="s">
        <v>5404</v>
      </c>
      <c r="T5718" s="10" t="s">
        <v>6568</v>
      </c>
    </row>
    <row r="5719" spans="1:20" ht="14.5" x14ac:dyDescent="0.35">
      <c r="A5719" s="10" t="s">
        <v>29183</v>
      </c>
      <c r="B5719" s="10" t="str">
        <f>"9782806230768"</f>
        <v>9782806230768</v>
      </c>
      <c r="C5719" s="10" t="str">
        <f>"9782806230744"</f>
        <v>9782806230744</v>
      </c>
      <c r="D5719" s="10" t="s">
        <v>29172</v>
      </c>
      <c r="E5719" s="10" t="s">
        <v>29173</v>
      </c>
      <c r="F5719" s="10" t="s">
        <v>29181</v>
      </c>
      <c r="G5719" s="10" t="s">
        <v>28737</v>
      </c>
      <c r="H5719" s="11">
        <v>40544</v>
      </c>
      <c r="I5719" s="10">
        <v>2011</v>
      </c>
      <c r="J5719" s="10" t="s">
        <v>29175</v>
      </c>
      <c r="K5719" s="10">
        <v>39</v>
      </c>
      <c r="L5719" s="10" t="s">
        <v>29184</v>
      </c>
      <c r="M5719" s="10">
        <v>1</v>
      </c>
      <c r="N5719" s="10" t="s">
        <v>29177</v>
      </c>
      <c r="O5719" s="10"/>
      <c r="P5719" s="10"/>
      <c r="Q5719" s="10"/>
      <c r="R5719" s="10" t="s">
        <v>29185</v>
      </c>
      <c r="S5719" s="10" t="s">
        <v>5404</v>
      </c>
      <c r="T5719" s="10" t="s">
        <v>29186</v>
      </c>
    </row>
    <row r="5720" spans="1:20" ht="14.5" x14ac:dyDescent="0.35">
      <c r="A5720" s="10" t="s">
        <v>29187</v>
      </c>
      <c r="B5720" s="10" t="str">
        <f>"9782806212559"</f>
        <v>9782806212559</v>
      </c>
      <c r="C5720" s="10" t="str">
        <f>"9782806217479"</f>
        <v>9782806217479</v>
      </c>
      <c r="D5720" s="10" t="s">
        <v>29172</v>
      </c>
      <c r="E5720" s="10" t="s">
        <v>29173</v>
      </c>
      <c r="F5720" s="10" t="s">
        <v>29181</v>
      </c>
      <c r="G5720" s="10" t="s">
        <v>28737</v>
      </c>
      <c r="H5720" s="11">
        <v>41810</v>
      </c>
      <c r="I5720" s="10">
        <v>2014</v>
      </c>
      <c r="J5720" s="10" t="s">
        <v>29175</v>
      </c>
      <c r="K5720" s="10">
        <v>38</v>
      </c>
      <c r="L5720" s="10" t="s">
        <v>29188</v>
      </c>
      <c r="M5720" s="10">
        <v>1</v>
      </c>
      <c r="N5720" s="10" t="s">
        <v>29177</v>
      </c>
      <c r="O5720" s="10"/>
      <c r="P5720" s="10"/>
      <c r="Q5720" s="10"/>
      <c r="R5720" s="10"/>
      <c r="S5720" s="10" t="s">
        <v>5404</v>
      </c>
      <c r="T5720" s="10" t="s">
        <v>10454</v>
      </c>
    </row>
    <row r="5721" spans="1:20" ht="14.5" x14ac:dyDescent="0.35">
      <c r="A5721" s="10" t="s">
        <v>29189</v>
      </c>
      <c r="B5721" s="10" t="str">
        <f>"9782806212702"</f>
        <v>9782806212702</v>
      </c>
      <c r="C5721" s="10" t="str">
        <f>"9782806217660"</f>
        <v>9782806217660</v>
      </c>
      <c r="D5721" s="10" t="s">
        <v>29172</v>
      </c>
      <c r="E5721" s="10" t="s">
        <v>29173</v>
      </c>
      <c r="F5721" s="10" t="s">
        <v>29181</v>
      </c>
      <c r="G5721" s="10" t="s">
        <v>28737</v>
      </c>
      <c r="H5721" s="11">
        <v>40544</v>
      </c>
      <c r="I5721" s="10">
        <v>2011</v>
      </c>
      <c r="J5721" s="10" t="s">
        <v>29175</v>
      </c>
      <c r="K5721" s="10">
        <v>38</v>
      </c>
      <c r="L5721" s="10" t="s">
        <v>29190</v>
      </c>
      <c r="M5721" s="10">
        <v>1</v>
      </c>
      <c r="N5721" s="10" t="s">
        <v>29177</v>
      </c>
      <c r="O5721" s="10"/>
      <c r="P5721" s="10"/>
      <c r="Q5721" s="10"/>
      <c r="R5721" s="10"/>
      <c r="S5721" s="10" t="s">
        <v>5404</v>
      </c>
      <c r="T5721" s="10" t="s">
        <v>6568</v>
      </c>
    </row>
    <row r="5722" spans="1:20" ht="14.5" x14ac:dyDescent="0.35">
      <c r="A5722" s="10" t="s">
        <v>29191</v>
      </c>
      <c r="B5722" s="10" t="str">
        <f>"9782806210548"</f>
        <v>9782806210548</v>
      </c>
      <c r="C5722" s="10" t="str">
        <f>"9782806219176"</f>
        <v>9782806219176</v>
      </c>
      <c r="D5722" s="10" t="s">
        <v>29172</v>
      </c>
      <c r="E5722" s="10" t="s">
        <v>29173</v>
      </c>
      <c r="F5722" s="10" t="s">
        <v>29181</v>
      </c>
      <c r="G5722" s="10" t="s">
        <v>28737</v>
      </c>
      <c r="H5722" s="11">
        <v>43060</v>
      </c>
      <c r="I5722" s="10">
        <v>2017</v>
      </c>
      <c r="J5722" s="10" t="s">
        <v>29175</v>
      </c>
      <c r="K5722" s="10">
        <v>63</v>
      </c>
      <c r="L5722" s="10" t="s">
        <v>29192</v>
      </c>
      <c r="M5722" s="10">
        <v>1</v>
      </c>
      <c r="N5722" s="10" t="s">
        <v>29177</v>
      </c>
      <c r="O5722" s="10"/>
      <c r="P5722" s="10"/>
      <c r="Q5722" s="10"/>
      <c r="R5722" s="10" t="s">
        <v>29193</v>
      </c>
      <c r="S5722" s="10" t="s">
        <v>5404</v>
      </c>
      <c r="T5722" s="10" t="s">
        <v>29186</v>
      </c>
    </row>
    <row r="5723" spans="1:20" ht="14.5" x14ac:dyDescent="0.35">
      <c r="A5723" s="10" t="s">
        <v>29194</v>
      </c>
      <c r="B5723" s="10" t="str">
        <f>"9782806237538"</f>
        <v>9782806237538</v>
      </c>
      <c r="C5723" s="10" t="str">
        <f>"9782806237262"</f>
        <v>9782806237262</v>
      </c>
      <c r="D5723" s="10" t="s">
        <v>29172</v>
      </c>
      <c r="E5723" s="10" t="s">
        <v>29173</v>
      </c>
      <c r="F5723" s="10" t="s">
        <v>29181</v>
      </c>
      <c r="G5723" s="10" t="s">
        <v>28737</v>
      </c>
      <c r="H5723" s="11">
        <v>40544</v>
      </c>
      <c r="I5723" s="10">
        <v>2011</v>
      </c>
      <c r="J5723" s="10" t="s">
        <v>29175</v>
      </c>
      <c r="K5723" s="10">
        <v>37</v>
      </c>
      <c r="L5723" s="10" t="s">
        <v>29195</v>
      </c>
      <c r="M5723" s="10">
        <v>1</v>
      </c>
      <c r="N5723" s="10" t="s">
        <v>29177</v>
      </c>
      <c r="O5723" s="10"/>
      <c r="P5723" s="10"/>
      <c r="Q5723" s="10"/>
      <c r="R5723" s="10"/>
      <c r="S5723" s="10" t="s">
        <v>5404</v>
      </c>
      <c r="T5723" s="10" t="s">
        <v>6568</v>
      </c>
    </row>
    <row r="5724" spans="1:20" ht="14.5" x14ac:dyDescent="0.35">
      <c r="A5724" s="10" t="s">
        <v>29196</v>
      </c>
      <c r="B5724" s="10" t="str">
        <f>"9782806241740"</f>
        <v>9782806241740</v>
      </c>
      <c r="C5724" s="10" t="str">
        <f>"9782806241733"</f>
        <v>9782806241733</v>
      </c>
      <c r="D5724" s="10" t="s">
        <v>29172</v>
      </c>
      <c r="E5724" s="10" t="s">
        <v>29173</v>
      </c>
      <c r="F5724" s="10" t="s">
        <v>29181</v>
      </c>
      <c r="G5724" s="10" t="s">
        <v>28737</v>
      </c>
      <c r="H5724" s="11">
        <v>40544</v>
      </c>
      <c r="I5724" s="10">
        <v>2011</v>
      </c>
      <c r="J5724" s="10" t="s">
        <v>29175</v>
      </c>
      <c r="K5724" s="10">
        <v>41</v>
      </c>
      <c r="L5724" s="10" t="s">
        <v>29197</v>
      </c>
      <c r="M5724" s="10">
        <v>1</v>
      </c>
      <c r="N5724" s="10" t="s">
        <v>29177</v>
      </c>
      <c r="O5724" s="10"/>
      <c r="P5724" s="10"/>
      <c r="Q5724" s="10"/>
      <c r="R5724" s="10"/>
      <c r="S5724" s="10" t="s">
        <v>5404</v>
      </c>
      <c r="T5724" s="10" t="s">
        <v>29186</v>
      </c>
    </row>
    <row r="5725" spans="1:20" ht="14.5" x14ac:dyDescent="0.35">
      <c r="A5725" s="10" t="s">
        <v>29198</v>
      </c>
      <c r="B5725" s="10" t="str">
        <f>"9782806211798"</f>
        <v>9782806211798</v>
      </c>
      <c r="C5725" s="10" t="str">
        <f>"9782806217509"</f>
        <v>9782806217509</v>
      </c>
      <c r="D5725" s="10" t="s">
        <v>29172</v>
      </c>
      <c r="E5725" s="10" t="s">
        <v>29173</v>
      </c>
      <c r="F5725" s="10" t="s">
        <v>29181</v>
      </c>
      <c r="G5725" s="10" t="s">
        <v>28737</v>
      </c>
      <c r="H5725" s="11">
        <v>40544</v>
      </c>
      <c r="I5725" s="10">
        <v>2011</v>
      </c>
      <c r="J5725" s="10" t="s">
        <v>29175</v>
      </c>
      <c r="K5725" s="10">
        <v>33</v>
      </c>
      <c r="L5725" s="10" t="s">
        <v>29199</v>
      </c>
      <c r="M5725" s="10">
        <v>1</v>
      </c>
      <c r="N5725" s="10" t="s">
        <v>29177</v>
      </c>
      <c r="O5725" s="10"/>
      <c r="P5725" s="10"/>
      <c r="Q5725" s="10"/>
      <c r="R5725" s="10" t="s">
        <v>29200</v>
      </c>
      <c r="S5725" s="10" t="s">
        <v>5404</v>
      </c>
      <c r="T5725" s="10" t="s">
        <v>6568</v>
      </c>
    </row>
    <row r="5726" spans="1:20" ht="14.5" x14ac:dyDescent="0.35">
      <c r="A5726" s="10" t="s">
        <v>29201</v>
      </c>
      <c r="B5726" s="10" t="str">
        <f>"9782806210746"</f>
        <v>9782806210746</v>
      </c>
      <c r="C5726" s="10" t="str">
        <f>"9782806219282"</f>
        <v>9782806219282</v>
      </c>
      <c r="D5726" s="10" t="s">
        <v>29172</v>
      </c>
      <c r="E5726" s="10" t="s">
        <v>29173</v>
      </c>
      <c r="F5726" s="10" t="s">
        <v>29181</v>
      </c>
      <c r="G5726" s="10" t="s">
        <v>28737</v>
      </c>
      <c r="H5726" s="11">
        <v>40544</v>
      </c>
      <c r="I5726" s="10">
        <v>2011</v>
      </c>
      <c r="J5726" s="10" t="s">
        <v>29175</v>
      </c>
      <c r="K5726" s="10">
        <v>32</v>
      </c>
      <c r="L5726" s="10" t="s">
        <v>29202</v>
      </c>
      <c r="M5726" s="10">
        <v>1</v>
      </c>
      <c r="N5726" s="10" t="s">
        <v>29177</v>
      </c>
      <c r="O5726" s="10"/>
      <c r="P5726" s="10"/>
      <c r="Q5726" s="10"/>
      <c r="R5726" s="10" t="s">
        <v>29203</v>
      </c>
      <c r="S5726" s="10" t="s">
        <v>5404</v>
      </c>
      <c r="T5726" s="10" t="s">
        <v>6568</v>
      </c>
    </row>
    <row r="5727" spans="1:20" ht="14.5" x14ac:dyDescent="0.35">
      <c r="A5727" s="10" t="s">
        <v>29204</v>
      </c>
      <c r="B5727" s="10" t="str">
        <f>"9782806211217"</f>
        <v>9782806211217</v>
      </c>
      <c r="C5727" s="10" t="str">
        <f>"9782806219763"</f>
        <v>9782806219763</v>
      </c>
      <c r="D5727" s="10" t="s">
        <v>29172</v>
      </c>
      <c r="E5727" s="10" t="s">
        <v>29173</v>
      </c>
      <c r="F5727" s="10" t="s">
        <v>29181</v>
      </c>
      <c r="G5727" s="10" t="s">
        <v>28737</v>
      </c>
      <c r="H5727" s="11">
        <v>40544</v>
      </c>
      <c r="I5727" s="10">
        <v>2011</v>
      </c>
      <c r="J5727" s="10" t="s">
        <v>29175</v>
      </c>
      <c r="K5727" s="10">
        <v>39</v>
      </c>
      <c r="L5727" s="10" t="s">
        <v>29205</v>
      </c>
      <c r="M5727" s="10">
        <v>1</v>
      </c>
      <c r="N5727" s="10" t="s">
        <v>29177</v>
      </c>
      <c r="O5727" s="10"/>
      <c r="P5727" s="10"/>
      <c r="Q5727" s="10"/>
      <c r="R5727" s="10" t="s">
        <v>29185</v>
      </c>
      <c r="S5727" s="10" t="s">
        <v>5404</v>
      </c>
      <c r="T5727" s="10" t="s">
        <v>29186</v>
      </c>
    </row>
    <row r="5728" spans="1:20" ht="14.5" x14ac:dyDescent="0.35">
      <c r="A5728" s="10" t="s">
        <v>29206</v>
      </c>
      <c r="B5728" s="10" t="str">
        <f>"9782806237514"</f>
        <v>9782806237514</v>
      </c>
      <c r="C5728" s="10" t="str">
        <f>"9782806237408"</f>
        <v>9782806237408</v>
      </c>
      <c r="D5728" s="10" t="s">
        <v>29172</v>
      </c>
      <c r="E5728" s="10" t="s">
        <v>29173</v>
      </c>
      <c r="F5728" s="10" t="s">
        <v>29181</v>
      </c>
      <c r="G5728" s="10" t="s">
        <v>28737</v>
      </c>
      <c r="H5728" s="11">
        <v>40544</v>
      </c>
      <c r="I5728" s="10">
        <v>2011</v>
      </c>
      <c r="J5728" s="10" t="s">
        <v>29175</v>
      </c>
      <c r="K5728" s="10">
        <v>34</v>
      </c>
      <c r="L5728" s="10" t="s">
        <v>29207</v>
      </c>
      <c r="M5728" s="10">
        <v>1</v>
      </c>
      <c r="N5728" s="10" t="s">
        <v>29177</v>
      </c>
      <c r="O5728" s="10"/>
      <c r="P5728" s="10"/>
      <c r="Q5728" s="10"/>
      <c r="R5728" s="10" t="s">
        <v>29185</v>
      </c>
      <c r="S5728" s="10" t="s">
        <v>5404</v>
      </c>
      <c r="T5728" s="10" t="s">
        <v>6568</v>
      </c>
    </row>
    <row r="5729" spans="1:20" ht="14.5" x14ac:dyDescent="0.35">
      <c r="A5729" s="10" t="s">
        <v>29208</v>
      </c>
      <c r="B5729" s="10" t="str">
        <f>"9782806241535"</f>
        <v>9782806241535</v>
      </c>
      <c r="C5729" s="10" t="str">
        <f>"9782806241306"</f>
        <v>9782806241306</v>
      </c>
      <c r="D5729" s="10" t="s">
        <v>29172</v>
      </c>
      <c r="E5729" s="10" t="s">
        <v>29173</v>
      </c>
      <c r="F5729" s="10" t="s">
        <v>29181</v>
      </c>
      <c r="G5729" s="10" t="s">
        <v>28737</v>
      </c>
      <c r="H5729" s="11">
        <v>41810</v>
      </c>
      <c r="I5729" s="10">
        <v>2014</v>
      </c>
      <c r="J5729" s="10" t="s">
        <v>29175</v>
      </c>
      <c r="K5729" s="10">
        <v>34</v>
      </c>
      <c r="L5729" s="10" t="s">
        <v>29209</v>
      </c>
      <c r="M5729" s="10">
        <v>1</v>
      </c>
      <c r="N5729" s="10" t="s">
        <v>29177</v>
      </c>
      <c r="O5729" s="10"/>
      <c r="P5729" s="10"/>
      <c r="Q5729" s="10"/>
      <c r="R5729" s="10" t="s">
        <v>29210</v>
      </c>
      <c r="S5729" s="10" t="s">
        <v>5404</v>
      </c>
      <c r="T5729" s="10" t="s">
        <v>6568</v>
      </c>
    </row>
    <row r="5730" spans="1:20" ht="14.5" x14ac:dyDescent="0.35">
      <c r="A5730" s="10" t="s">
        <v>29211</v>
      </c>
      <c r="B5730" s="10" t="str">
        <f>"9782806231574"</f>
        <v>9782806231574</v>
      </c>
      <c r="C5730" s="10" t="str">
        <f>"9782806231567"</f>
        <v>9782806231567</v>
      </c>
      <c r="D5730" s="10" t="s">
        <v>29172</v>
      </c>
      <c r="E5730" s="10" t="s">
        <v>29173</v>
      </c>
      <c r="F5730" s="10" t="s">
        <v>29181</v>
      </c>
      <c r="G5730" s="10" t="s">
        <v>28737</v>
      </c>
      <c r="H5730" s="11">
        <v>40544</v>
      </c>
      <c r="I5730" s="10">
        <v>2011</v>
      </c>
      <c r="J5730" s="10" t="s">
        <v>29175</v>
      </c>
      <c r="K5730" s="10">
        <v>73</v>
      </c>
      <c r="L5730" s="10" t="s">
        <v>29212</v>
      </c>
      <c r="M5730" s="10">
        <v>1</v>
      </c>
      <c r="N5730" s="10" t="s">
        <v>29177</v>
      </c>
      <c r="O5730" s="10"/>
      <c r="P5730" s="10"/>
      <c r="Q5730" s="10"/>
      <c r="R5730" s="10" t="s">
        <v>29213</v>
      </c>
      <c r="S5730" s="10" t="s">
        <v>5404</v>
      </c>
      <c r="T5730" s="10" t="s">
        <v>6568</v>
      </c>
    </row>
    <row r="5731" spans="1:20" ht="14.5" x14ac:dyDescent="0.35">
      <c r="A5731" s="10" t="s">
        <v>29214</v>
      </c>
      <c r="B5731" s="10" t="str">
        <f>"9782806210876"</f>
        <v>9782806210876</v>
      </c>
      <c r="C5731" s="10" t="str">
        <f>"9782806219411"</f>
        <v>9782806219411</v>
      </c>
      <c r="D5731" s="10" t="s">
        <v>29172</v>
      </c>
      <c r="E5731" s="10" t="s">
        <v>29173</v>
      </c>
      <c r="F5731" s="10" t="s">
        <v>29181</v>
      </c>
      <c r="G5731" s="10" t="s">
        <v>28737</v>
      </c>
      <c r="H5731" s="11">
        <v>41810</v>
      </c>
      <c r="I5731" s="10">
        <v>2014</v>
      </c>
      <c r="J5731" s="10" t="s">
        <v>29175</v>
      </c>
      <c r="K5731" s="10">
        <v>35</v>
      </c>
      <c r="L5731" s="10" t="s">
        <v>29215</v>
      </c>
      <c r="M5731" s="10">
        <v>1</v>
      </c>
      <c r="N5731" s="10" t="s">
        <v>29177</v>
      </c>
      <c r="O5731" s="10"/>
      <c r="P5731" s="10"/>
      <c r="Q5731" s="10"/>
      <c r="R5731" s="10"/>
      <c r="S5731" s="10" t="s">
        <v>5404</v>
      </c>
      <c r="T5731" s="10" t="s">
        <v>6568</v>
      </c>
    </row>
    <row r="5732" spans="1:20" ht="14.5" x14ac:dyDescent="0.35">
      <c r="A5732" s="10" t="s">
        <v>29216</v>
      </c>
      <c r="B5732" s="10" t="str">
        <f>"9782806211224"</f>
        <v>9782806211224</v>
      </c>
      <c r="C5732" s="10" t="str">
        <f>"9782806219770"</f>
        <v>9782806219770</v>
      </c>
      <c r="D5732" s="10" t="s">
        <v>29172</v>
      </c>
      <c r="E5732" s="10" t="s">
        <v>29173</v>
      </c>
      <c r="F5732" s="10" t="s">
        <v>29181</v>
      </c>
      <c r="G5732" s="10" t="s">
        <v>28737</v>
      </c>
      <c r="H5732" s="11">
        <v>40544</v>
      </c>
      <c r="I5732" s="10">
        <v>2011</v>
      </c>
      <c r="J5732" s="10" t="s">
        <v>29175</v>
      </c>
      <c r="K5732" s="10">
        <v>30</v>
      </c>
      <c r="L5732" s="10" t="s">
        <v>29217</v>
      </c>
      <c r="M5732" s="10">
        <v>1</v>
      </c>
      <c r="N5732" s="10" t="s">
        <v>29177</v>
      </c>
      <c r="O5732" s="10"/>
      <c r="P5732" s="10"/>
      <c r="Q5732" s="10"/>
      <c r="R5732" s="10" t="s">
        <v>29218</v>
      </c>
      <c r="S5732" s="10" t="s">
        <v>5404</v>
      </c>
      <c r="T5732" s="10" t="s">
        <v>6568</v>
      </c>
    </row>
    <row r="5733" spans="1:20" ht="14.5" x14ac:dyDescent="0.35">
      <c r="A5733" s="10" t="s">
        <v>29219</v>
      </c>
      <c r="B5733" s="10" t="str">
        <f>"9782806212283"</f>
        <v>9782806212283</v>
      </c>
      <c r="C5733" s="10" t="str">
        <f>"9782806220592"</f>
        <v>9782806220592</v>
      </c>
      <c r="D5733" s="10" t="s">
        <v>29172</v>
      </c>
      <c r="E5733" s="10" t="s">
        <v>29173</v>
      </c>
      <c r="F5733" s="10" t="s">
        <v>29181</v>
      </c>
      <c r="G5733" s="10" t="s">
        <v>28737</v>
      </c>
      <c r="H5733" s="11">
        <v>40544</v>
      </c>
      <c r="I5733" s="10">
        <v>2011</v>
      </c>
      <c r="J5733" s="10" t="s">
        <v>29175</v>
      </c>
      <c r="K5733" s="10">
        <v>32</v>
      </c>
      <c r="L5733" s="10" t="s">
        <v>29220</v>
      </c>
      <c r="M5733" s="10">
        <v>1</v>
      </c>
      <c r="N5733" s="10" t="s">
        <v>29177</v>
      </c>
      <c r="O5733" s="10"/>
      <c r="P5733" s="10"/>
      <c r="Q5733" s="10"/>
      <c r="R5733" s="10" t="s">
        <v>29221</v>
      </c>
      <c r="S5733" s="10" t="s">
        <v>5404</v>
      </c>
      <c r="T5733" s="10" t="s">
        <v>6568</v>
      </c>
    </row>
    <row r="5734" spans="1:20" ht="14.5" x14ac:dyDescent="0.35">
      <c r="A5734" s="10" t="s">
        <v>29222</v>
      </c>
      <c r="B5734" s="10" t="str">
        <f>"9782806211521"</f>
        <v>9782806211521</v>
      </c>
      <c r="C5734" s="10" t="str">
        <f>"9782806220073"</f>
        <v>9782806220073</v>
      </c>
      <c r="D5734" s="10" t="s">
        <v>29172</v>
      </c>
      <c r="E5734" s="10" t="s">
        <v>29173</v>
      </c>
      <c r="F5734" s="10" t="s">
        <v>29181</v>
      </c>
      <c r="G5734" s="10" t="s">
        <v>28737</v>
      </c>
      <c r="H5734" s="11">
        <v>40544</v>
      </c>
      <c r="I5734" s="10">
        <v>2011</v>
      </c>
      <c r="J5734" s="10" t="s">
        <v>29175</v>
      </c>
      <c r="K5734" s="10">
        <v>40</v>
      </c>
      <c r="L5734" s="10" t="s">
        <v>29223</v>
      </c>
      <c r="M5734" s="10">
        <v>1</v>
      </c>
      <c r="N5734" s="10" t="s">
        <v>29177</v>
      </c>
      <c r="O5734" s="10"/>
      <c r="P5734" s="10"/>
      <c r="Q5734" s="10"/>
      <c r="R5734" s="10"/>
      <c r="S5734" s="10" t="s">
        <v>5404</v>
      </c>
      <c r="T5734" s="10" t="s">
        <v>29186</v>
      </c>
    </row>
    <row r="5735" spans="1:20" ht="14.5" x14ac:dyDescent="0.35">
      <c r="A5735" s="10" t="s">
        <v>29224</v>
      </c>
      <c r="B5735" s="10" t="str">
        <f>"9782806211378"</f>
        <v>9782806211378</v>
      </c>
      <c r="C5735" s="10" t="str">
        <f>"9782806219923"</f>
        <v>9782806219923</v>
      </c>
      <c r="D5735" s="10" t="s">
        <v>29172</v>
      </c>
      <c r="E5735" s="10" t="s">
        <v>29173</v>
      </c>
      <c r="F5735" s="10" t="s">
        <v>29181</v>
      </c>
      <c r="G5735" s="10" t="s">
        <v>28737</v>
      </c>
      <c r="H5735" s="11">
        <v>41901</v>
      </c>
      <c r="I5735" s="10">
        <v>2014</v>
      </c>
      <c r="J5735" s="10" t="s">
        <v>29175</v>
      </c>
      <c r="K5735" s="10">
        <v>36</v>
      </c>
      <c r="L5735" s="10" t="s">
        <v>29225</v>
      </c>
      <c r="M5735" s="10">
        <v>1</v>
      </c>
      <c r="N5735" s="10" t="s">
        <v>29177</v>
      </c>
      <c r="O5735" s="10"/>
      <c r="P5735" s="10"/>
      <c r="Q5735" s="10"/>
      <c r="R5735" s="10" t="s">
        <v>29226</v>
      </c>
      <c r="S5735" s="10" t="s">
        <v>5404</v>
      </c>
      <c r="T5735" s="10" t="s">
        <v>29186</v>
      </c>
    </row>
    <row r="5736" spans="1:20" ht="14.5" x14ac:dyDescent="0.35">
      <c r="A5736" s="10" t="s">
        <v>29227</v>
      </c>
      <c r="B5736" s="10" t="str">
        <f>"9782806210975"</f>
        <v>9782806210975</v>
      </c>
      <c r="C5736" s="10" t="str">
        <f>"9782806219510"</f>
        <v>9782806219510</v>
      </c>
      <c r="D5736" s="10" t="s">
        <v>29172</v>
      </c>
      <c r="E5736" s="10" t="s">
        <v>29173</v>
      </c>
      <c r="F5736" s="10" t="s">
        <v>29181</v>
      </c>
      <c r="G5736" s="10" t="s">
        <v>28737</v>
      </c>
      <c r="H5736" s="11">
        <v>41989</v>
      </c>
      <c r="I5736" s="10">
        <v>2014</v>
      </c>
      <c r="J5736" s="10" t="s">
        <v>29175</v>
      </c>
      <c r="K5736" s="10">
        <v>35</v>
      </c>
      <c r="L5736" s="10" t="s">
        <v>29228</v>
      </c>
      <c r="M5736" s="10">
        <v>1</v>
      </c>
      <c r="N5736" s="10" t="s">
        <v>29177</v>
      </c>
      <c r="O5736" s="10"/>
      <c r="P5736" s="10"/>
      <c r="Q5736" s="10"/>
      <c r="R5736" s="10" t="s">
        <v>29229</v>
      </c>
      <c r="S5736" s="10" t="s">
        <v>5404</v>
      </c>
      <c r="T5736" s="10" t="s">
        <v>6568</v>
      </c>
    </row>
    <row r="5737" spans="1:20" ht="14.5" x14ac:dyDescent="0.35">
      <c r="A5737" s="10" t="s">
        <v>29230</v>
      </c>
      <c r="B5737" s="10" t="str">
        <f>"9782806237453"</f>
        <v>9782806237453</v>
      </c>
      <c r="C5737" s="10" t="str">
        <f>"9782806237194"</f>
        <v>9782806237194</v>
      </c>
      <c r="D5737" s="10" t="s">
        <v>29172</v>
      </c>
      <c r="E5737" s="10" t="s">
        <v>29173</v>
      </c>
      <c r="F5737" s="10" t="s">
        <v>29181</v>
      </c>
      <c r="G5737" s="10" t="s">
        <v>28737</v>
      </c>
      <c r="H5737" s="11">
        <v>40544</v>
      </c>
      <c r="I5737" s="10">
        <v>2011</v>
      </c>
      <c r="J5737" s="10" t="s">
        <v>29175</v>
      </c>
      <c r="K5737" s="10">
        <v>35</v>
      </c>
      <c r="L5737" s="10" t="s">
        <v>29231</v>
      </c>
      <c r="M5737" s="10">
        <v>1</v>
      </c>
      <c r="N5737" s="10" t="s">
        <v>29177</v>
      </c>
      <c r="O5737" s="10"/>
      <c r="P5737" s="10"/>
      <c r="Q5737" s="10"/>
      <c r="R5737" s="10"/>
      <c r="S5737" s="10" t="s">
        <v>5404</v>
      </c>
      <c r="T5737" s="10" t="s">
        <v>6568</v>
      </c>
    </row>
    <row r="5738" spans="1:20" ht="14.5" x14ac:dyDescent="0.35">
      <c r="A5738" s="10" t="s">
        <v>29232</v>
      </c>
      <c r="B5738" s="10" t="str">
        <f>"9782806241504"</f>
        <v>9782806241504</v>
      </c>
      <c r="C5738" s="10" t="str">
        <f>"9782806241269"</f>
        <v>9782806241269</v>
      </c>
      <c r="D5738" s="10" t="s">
        <v>29172</v>
      </c>
      <c r="E5738" s="10" t="s">
        <v>29173</v>
      </c>
      <c r="F5738" s="10" t="s">
        <v>29181</v>
      </c>
      <c r="G5738" s="10" t="s">
        <v>28737</v>
      </c>
      <c r="H5738" s="11">
        <v>40544</v>
      </c>
      <c r="I5738" s="10">
        <v>2011</v>
      </c>
      <c r="J5738" s="10" t="s">
        <v>29175</v>
      </c>
      <c r="K5738" s="10">
        <v>39</v>
      </c>
      <c r="L5738" s="10" t="s">
        <v>29233</v>
      </c>
      <c r="M5738" s="10">
        <v>1</v>
      </c>
      <c r="N5738" s="10" t="s">
        <v>29177</v>
      </c>
      <c r="O5738" s="10"/>
      <c r="P5738" s="10"/>
      <c r="Q5738" s="10"/>
      <c r="R5738" s="10"/>
      <c r="S5738" s="10" t="s">
        <v>5404</v>
      </c>
      <c r="T5738" s="10" t="s">
        <v>6568</v>
      </c>
    </row>
    <row r="5739" spans="1:20" ht="14.5" x14ac:dyDescent="0.35">
      <c r="A5739" s="10" t="s">
        <v>29234</v>
      </c>
      <c r="B5739" s="10" t="str">
        <f>"9782806212658"</f>
        <v>9782806212658</v>
      </c>
      <c r="C5739" s="10" t="str">
        <f>"9782806217530"</f>
        <v>9782806217530</v>
      </c>
      <c r="D5739" s="10" t="s">
        <v>29172</v>
      </c>
      <c r="E5739" s="10" t="s">
        <v>29173</v>
      </c>
      <c r="F5739" s="10" t="s">
        <v>29181</v>
      </c>
      <c r="G5739" s="10" t="s">
        <v>28737</v>
      </c>
      <c r="H5739" s="11">
        <v>40544</v>
      </c>
      <c r="I5739" s="10">
        <v>2011</v>
      </c>
      <c r="J5739" s="10" t="s">
        <v>29175</v>
      </c>
      <c r="K5739" s="10">
        <v>32</v>
      </c>
      <c r="L5739" s="10" t="s">
        <v>29235</v>
      </c>
      <c r="M5739" s="10">
        <v>1</v>
      </c>
      <c r="N5739" s="10" t="s">
        <v>29177</v>
      </c>
      <c r="O5739" s="10"/>
      <c r="P5739" s="10"/>
      <c r="Q5739" s="10"/>
      <c r="R5739" s="10"/>
      <c r="S5739" s="10" t="s">
        <v>5404</v>
      </c>
      <c r="T5739" s="10" t="s">
        <v>6568</v>
      </c>
    </row>
    <row r="5740" spans="1:20" ht="14.5" x14ac:dyDescent="0.35">
      <c r="A5740" s="10" t="s">
        <v>29236</v>
      </c>
      <c r="B5740" s="10" t="str">
        <f>"9782806213174"</f>
        <v>9782806213174</v>
      </c>
      <c r="C5740" s="10" t="str">
        <f>"9782806220776"</f>
        <v>9782806220776</v>
      </c>
      <c r="D5740" s="10" t="s">
        <v>29172</v>
      </c>
      <c r="E5740" s="10" t="s">
        <v>29173</v>
      </c>
      <c r="F5740" s="10" t="s">
        <v>29181</v>
      </c>
      <c r="G5740" s="10" t="s">
        <v>28737</v>
      </c>
      <c r="H5740" s="11">
        <v>41901</v>
      </c>
      <c r="I5740" s="10">
        <v>2014</v>
      </c>
      <c r="J5740" s="10" t="s">
        <v>29175</v>
      </c>
      <c r="K5740" s="10">
        <v>69</v>
      </c>
      <c r="L5740" s="10" t="s">
        <v>29237</v>
      </c>
      <c r="M5740" s="10">
        <v>1</v>
      </c>
      <c r="N5740" s="10" t="s">
        <v>29177</v>
      </c>
      <c r="O5740" s="10"/>
      <c r="P5740" s="10"/>
      <c r="Q5740" s="10"/>
      <c r="R5740" s="10"/>
      <c r="S5740" s="10" t="s">
        <v>5404</v>
      </c>
      <c r="T5740" s="10" t="s">
        <v>29186</v>
      </c>
    </row>
    <row r="5741" spans="1:20" ht="14.5" x14ac:dyDescent="0.35">
      <c r="A5741" s="10" t="s">
        <v>29238</v>
      </c>
      <c r="B5741" s="10" t="str">
        <f>"9782806213228"</f>
        <v>9782806213228</v>
      </c>
      <c r="C5741" s="10" t="str">
        <f>"9782806218131"</f>
        <v>9782806218131</v>
      </c>
      <c r="D5741" s="10" t="s">
        <v>29172</v>
      </c>
      <c r="E5741" s="10" t="s">
        <v>29173</v>
      </c>
      <c r="F5741" s="10" t="s">
        <v>29181</v>
      </c>
      <c r="G5741" s="10" t="s">
        <v>28737</v>
      </c>
      <c r="H5741" s="11">
        <v>40544</v>
      </c>
      <c r="I5741" s="10">
        <v>2011</v>
      </c>
      <c r="J5741" s="10" t="s">
        <v>29175</v>
      </c>
      <c r="K5741" s="10">
        <v>41</v>
      </c>
      <c r="L5741" s="10" t="s">
        <v>29239</v>
      </c>
      <c r="M5741" s="10">
        <v>1</v>
      </c>
      <c r="N5741" s="10" t="s">
        <v>29177</v>
      </c>
      <c r="O5741" s="10"/>
      <c r="P5741" s="10"/>
      <c r="Q5741" s="10"/>
      <c r="R5741" s="10"/>
      <c r="S5741" s="10" t="s">
        <v>5404</v>
      </c>
      <c r="T5741" s="10" t="s">
        <v>29186</v>
      </c>
    </row>
    <row r="5742" spans="1:20" ht="14.5" x14ac:dyDescent="0.35">
      <c r="A5742" s="10" t="s">
        <v>29240</v>
      </c>
      <c r="B5742" s="10" t="str">
        <f>"9782806225801"</f>
        <v>9782806225801</v>
      </c>
      <c r="C5742" s="10" t="str">
        <f>"9782806225788"</f>
        <v>9782806225788</v>
      </c>
      <c r="D5742" s="10" t="s">
        <v>29172</v>
      </c>
      <c r="E5742" s="10" t="s">
        <v>29173</v>
      </c>
      <c r="F5742" s="10" t="s">
        <v>29181</v>
      </c>
      <c r="G5742" s="10" t="s">
        <v>28737</v>
      </c>
      <c r="H5742" s="11">
        <v>40544</v>
      </c>
      <c r="I5742" s="10">
        <v>2011</v>
      </c>
      <c r="J5742" s="10" t="s">
        <v>29175</v>
      </c>
      <c r="K5742" s="10">
        <v>36</v>
      </c>
      <c r="L5742" s="10" t="s">
        <v>29241</v>
      </c>
      <c r="M5742" s="10">
        <v>1</v>
      </c>
      <c r="N5742" s="10" t="s">
        <v>29177</v>
      </c>
      <c r="O5742" s="10"/>
      <c r="P5742" s="10"/>
      <c r="Q5742" s="10"/>
      <c r="R5742" s="10" t="s">
        <v>29242</v>
      </c>
      <c r="S5742" s="10" t="s">
        <v>5404</v>
      </c>
      <c r="T5742" s="10" t="s">
        <v>29186</v>
      </c>
    </row>
    <row r="5743" spans="1:20" ht="14.5" x14ac:dyDescent="0.35">
      <c r="A5743" s="10" t="s">
        <v>29243</v>
      </c>
      <c r="B5743" s="10" t="str">
        <f>"9782806211613"</f>
        <v>9782806211613</v>
      </c>
      <c r="C5743" s="10" t="str">
        <f>"9782806220165"</f>
        <v>9782806220165</v>
      </c>
      <c r="D5743" s="10" t="s">
        <v>29172</v>
      </c>
      <c r="E5743" s="10" t="s">
        <v>29173</v>
      </c>
      <c r="F5743" s="10" t="s">
        <v>29181</v>
      </c>
      <c r="G5743" s="10" t="s">
        <v>28737</v>
      </c>
      <c r="H5743" s="11">
        <v>40544</v>
      </c>
      <c r="I5743" s="10">
        <v>2011</v>
      </c>
      <c r="J5743" s="10" t="s">
        <v>29175</v>
      </c>
      <c r="K5743" s="10">
        <v>34</v>
      </c>
      <c r="L5743" s="10" t="s">
        <v>29244</v>
      </c>
      <c r="M5743" s="10">
        <v>1</v>
      </c>
      <c r="N5743" s="10" t="s">
        <v>29177</v>
      </c>
      <c r="O5743" s="10"/>
      <c r="P5743" s="10"/>
      <c r="Q5743" s="10"/>
      <c r="R5743" s="10" t="s">
        <v>29245</v>
      </c>
      <c r="S5743" s="10" t="s">
        <v>5404</v>
      </c>
      <c r="T5743" s="10" t="s">
        <v>6568</v>
      </c>
    </row>
    <row r="5744" spans="1:20" ht="14.5" x14ac:dyDescent="0.35">
      <c r="A5744" s="10" t="s">
        <v>29246</v>
      </c>
      <c r="B5744" s="10" t="str">
        <f>"9782806212207"</f>
        <v>9782806212207</v>
      </c>
      <c r="C5744" s="10" t="str">
        <f>"9782806220509"</f>
        <v>9782806220509</v>
      </c>
      <c r="D5744" s="10" t="s">
        <v>29172</v>
      </c>
      <c r="E5744" s="10" t="s">
        <v>29173</v>
      </c>
      <c r="F5744" s="10" t="s">
        <v>29181</v>
      </c>
      <c r="G5744" s="10" t="s">
        <v>28737</v>
      </c>
      <c r="H5744" s="11">
        <v>43062</v>
      </c>
      <c r="I5744" s="10">
        <v>2017</v>
      </c>
      <c r="J5744" s="10" t="s">
        <v>29175</v>
      </c>
      <c r="K5744" s="10">
        <v>63</v>
      </c>
      <c r="L5744" s="10" t="s">
        <v>29247</v>
      </c>
      <c r="M5744" s="10">
        <v>1</v>
      </c>
      <c r="N5744" s="10" t="s">
        <v>29177</v>
      </c>
      <c r="O5744" s="10"/>
      <c r="P5744" s="10"/>
      <c r="Q5744" s="10"/>
      <c r="R5744" s="10" t="s">
        <v>29248</v>
      </c>
      <c r="S5744" s="10" t="s">
        <v>5404</v>
      </c>
      <c r="T5744" s="10" t="s">
        <v>6568</v>
      </c>
    </row>
    <row r="5745" spans="1:20" ht="14.5" x14ac:dyDescent="0.35">
      <c r="A5745" s="10" t="s">
        <v>29249</v>
      </c>
      <c r="B5745" s="10" t="str">
        <f>"9782806211187"</f>
        <v>9782806211187</v>
      </c>
      <c r="C5745" s="10" t="str">
        <f>"9782806219732"</f>
        <v>9782806219732</v>
      </c>
      <c r="D5745" s="10" t="s">
        <v>29172</v>
      </c>
      <c r="E5745" s="10" t="s">
        <v>29173</v>
      </c>
      <c r="F5745" s="10" t="s">
        <v>29181</v>
      </c>
      <c r="G5745" s="10" t="s">
        <v>28737</v>
      </c>
      <c r="H5745" s="11">
        <v>40544</v>
      </c>
      <c r="I5745" s="10">
        <v>2011</v>
      </c>
      <c r="J5745" s="10" t="s">
        <v>29175</v>
      </c>
      <c r="K5745" s="10">
        <v>40</v>
      </c>
      <c r="L5745" s="10" t="s">
        <v>29250</v>
      </c>
      <c r="M5745" s="10">
        <v>1</v>
      </c>
      <c r="N5745" s="10" t="s">
        <v>29177</v>
      </c>
      <c r="O5745" s="10"/>
      <c r="P5745" s="10"/>
      <c r="Q5745" s="10"/>
      <c r="R5745" s="10"/>
      <c r="S5745" s="10" t="s">
        <v>5404</v>
      </c>
      <c r="T5745" s="10" t="s">
        <v>29186</v>
      </c>
    </row>
    <row r="5746" spans="1:20" ht="14.5" x14ac:dyDescent="0.35">
      <c r="A5746" s="10" t="s">
        <v>29251</v>
      </c>
      <c r="B5746" s="10" t="str">
        <f>"9782806213297"</f>
        <v>9782806213297</v>
      </c>
      <c r="C5746" s="10" t="str">
        <f>"9782806218155"</f>
        <v>9782806218155</v>
      </c>
      <c r="D5746" s="10" t="s">
        <v>29172</v>
      </c>
      <c r="E5746" s="10" t="s">
        <v>29173</v>
      </c>
      <c r="F5746" s="10" t="s">
        <v>29181</v>
      </c>
      <c r="G5746" s="10" t="s">
        <v>28737</v>
      </c>
      <c r="H5746" s="11">
        <v>40544</v>
      </c>
      <c r="I5746" s="10">
        <v>2011</v>
      </c>
      <c r="J5746" s="10" t="s">
        <v>29175</v>
      </c>
      <c r="K5746" s="10">
        <v>35</v>
      </c>
      <c r="L5746" s="10" t="s">
        <v>29252</v>
      </c>
      <c r="M5746" s="10">
        <v>1</v>
      </c>
      <c r="N5746" s="10" t="s">
        <v>29177</v>
      </c>
      <c r="O5746" s="10"/>
      <c r="P5746" s="10"/>
      <c r="Q5746" s="10"/>
      <c r="R5746" s="10"/>
      <c r="S5746" s="10" t="s">
        <v>5404</v>
      </c>
      <c r="T5746" s="10" t="s">
        <v>6568</v>
      </c>
    </row>
    <row r="5747" spans="1:20" ht="14.5" x14ac:dyDescent="0.35">
      <c r="A5747" s="10" t="s">
        <v>29253</v>
      </c>
      <c r="B5747" s="10" t="str">
        <f>"9782806212511"</f>
        <v>9782806212511</v>
      </c>
      <c r="C5747" s="10" t="str">
        <f>"9782806217523"</f>
        <v>9782806217523</v>
      </c>
      <c r="D5747" s="10" t="s">
        <v>29172</v>
      </c>
      <c r="E5747" s="10" t="s">
        <v>29173</v>
      </c>
      <c r="F5747" s="10" t="s">
        <v>29181</v>
      </c>
      <c r="G5747" s="10" t="s">
        <v>28737</v>
      </c>
      <c r="H5747" s="11">
        <v>40544</v>
      </c>
      <c r="I5747" s="10">
        <v>2011</v>
      </c>
      <c r="J5747" s="10" t="s">
        <v>29175</v>
      </c>
      <c r="K5747" s="10">
        <v>34</v>
      </c>
      <c r="L5747" s="10" t="s">
        <v>29254</v>
      </c>
      <c r="M5747" s="10">
        <v>1</v>
      </c>
      <c r="N5747" s="10" t="s">
        <v>29177</v>
      </c>
      <c r="O5747" s="10"/>
      <c r="P5747" s="10"/>
      <c r="Q5747" s="10"/>
      <c r="R5747" s="10"/>
      <c r="S5747" s="10" t="s">
        <v>5404</v>
      </c>
      <c r="T5747" s="10" t="s">
        <v>29255</v>
      </c>
    </row>
    <row r="5748" spans="1:20" ht="14.5" x14ac:dyDescent="0.35">
      <c r="A5748" s="10" t="s">
        <v>29256</v>
      </c>
      <c r="B5748" s="10" t="str">
        <f>"9782806213556"</f>
        <v>9782806213556</v>
      </c>
      <c r="C5748" s="10" t="str">
        <f>"9782806218605"</f>
        <v>9782806218605</v>
      </c>
      <c r="D5748" s="10" t="s">
        <v>29172</v>
      </c>
      <c r="E5748" s="10" t="s">
        <v>29173</v>
      </c>
      <c r="F5748" s="10" t="s">
        <v>29181</v>
      </c>
      <c r="G5748" s="10" t="s">
        <v>28737</v>
      </c>
      <c r="H5748" s="11">
        <v>40544</v>
      </c>
      <c r="I5748" s="10">
        <v>2011</v>
      </c>
      <c r="J5748" s="10" t="s">
        <v>29175</v>
      </c>
      <c r="K5748" s="10">
        <v>67</v>
      </c>
      <c r="L5748" s="10" t="s">
        <v>29257</v>
      </c>
      <c r="M5748" s="10">
        <v>1</v>
      </c>
      <c r="N5748" s="10" t="s">
        <v>29177</v>
      </c>
      <c r="O5748" s="10"/>
      <c r="P5748" s="10"/>
      <c r="Q5748" s="10"/>
      <c r="R5748" s="10"/>
      <c r="S5748" s="10" t="s">
        <v>5404</v>
      </c>
      <c r="T5748" s="10" t="s">
        <v>10454</v>
      </c>
    </row>
    <row r="5749" spans="1:20" ht="14.5" x14ac:dyDescent="0.35">
      <c r="A5749" s="10" t="s">
        <v>29258</v>
      </c>
      <c r="B5749" s="10" t="str">
        <f>"9782806212849"</f>
        <v>9782806212849</v>
      </c>
      <c r="C5749" s="10" t="str">
        <f>"9782806217714"</f>
        <v>9782806217714</v>
      </c>
      <c r="D5749" s="10" t="s">
        <v>29172</v>
      </c>
      <c r="E5749" s="10" t="s">
        <v>29173</v>
      </c>
      <c r="F5749" s="10" t="s">
        <v>29181</v>
      </c>
      <c r="G5749" s="10" t="s">
        <v>28737</v>
      </c>
      <c r="H5749" s="11">
        <v>40544</v>
      </c>
      <c r="I5749" s="10">
        <v>2011</v>
      </c>
      <c r="J5749" s="10" t="s">
        <v>29175</v>
      </c>
      <c r="K5749" s="10">
        <v>38</v>
      </c>
      <c r="L5749" s="10" t="s">
        <v>29259</v>
      </c>
      <c r="M5749" s="10">
        <v>1</v>
      </c>
      <c r="N5749" s="10" t="s">
        <v>29177</v>
      </c>
      <c r="O5749" s="10"/>
      <c r="P5749" s="10"/>
      <c r="Q5749" s="10"/>
      <c r="R5749" s="10"/>
      <c r="S5749" s="10" t="s">
        <v>5404</v>
      </c>
      <c r="T5749" s="10" t="s">
        <v>6568</v>
      </c>
    </row>
    <row r="5750" spans="1:20" ht="14.5" x14ac:dyDescent="0.35">
      <c r="A5750" s="10" t="s">
        <v>29260</v>
      </c>
      <c r="B5750" s="10" t="str">
        <f>"9782806231253"</f>
        <v>9782806231253</v>
      </c>
      <c r="C5750" s="10" t="str">
        <f>"9782806231246"</f>
        <v>9782806231246</v>
      </c>
      <c r="D5750" s="10" t="s">
        <v>29172</v>
      </c>
      <c r="E5750" s="10" t="s">
        <v>29173</v>
      </c>
      <c r="F5750" s="10" t="s">
        <v>29181</v>
      </c>
      <c r="G5750" s="10" t="s">
        <v>28737</v>
      </c>
      <c r="H5750" s="11">
        <v>40544</v>
      </c>
      <c r="I5750" s="10">
        <v>2011</v>
      </c>
      <c r="J5750" s="10" t="s">
        <v>29175</v>
      </c>
      <c r="K5750" s="10">
        <v>13</v>
      </c>
      <c r="L5750" s="10" t="s">
        <v>29261</v>
      </c>
      <c r="M5750" s="10">
        <v>1</v>
      </c>
      <c r="N5750" s="10" t="s">
        <v>29177</v>
      </c>
      <c r="O5750" s="10"/>
      <c r="P5750" s="10"/>
      <c r="Q5750" s="10"/>
      <c r="R5750" s="10"/>
      <c r="S5750" s="10" t="s">
        <v>5404</v>
      </c>
      <c r="T5750" s="10" t="s">
        <v>29186</v>
      </c>
    </row>
    <row r="5751" spans="1:20" ht="14.5" x14ac:dyDescent="0.35">
      <c r="A5751" s="10" t="s">
        <v>29262</v>
      </c>
      <c r="B5751" s="10" t="str">
        <f>"9782806212610"</f>
        <v>9782806212610</v>
      </c>
      <c r="C5751" s="10" t="str">
        <f>"9782806217547"</f>
        <v>9782806217547</v>
      </c>
      <c r="D5751" s="10" t="s">
        <v>29172</v>
      </c>
      <c r="E5751" s="10" t="s">
        <v>29173</v>
      </c>
      <c r="F5751" s="10" t="s">
        <v>29181</v>
      </c>
      <c r="G5751" s="10" t="s">
        <v>28737</v>
      </c>
      <c r="H5751" s="11">
        <v>43124</v>
      </c>
      <c r="I5751" s="10">
        <v>2018</v>
      </c>
      <c r="J5751" s="10" t="s">
        <v>29175</v>
      </c>
      <c r="K5751" s="10">
        <v>67</v>
      </c>
      <c r="L5751" s="10" t="s">
        <v>29263</v>
      </c>
      <c r="M5751" s="10">
        <v>1</v>
      </c>
      <c r="N5751" s="10" t="s">
        <v>29177</v>
      </c>
      <c r="O5751" s="10"/>
      <c r="P5751" s="10"/>
      <c r="Q5751" s="10"/>
      <c r="R5751" s="10"/>
      <c r="S5751" s="10" t="s">
        <v>5404</v>
      </c>
      <c r="T5751" s="10" t="s">
        <v>29264</v>
      </c>
    </row>
    <row r="5752" spans="1:20" ht="14.5" x14ac:dyDescent="0.35">
      <c r="A5752" s="10" t="s">
        <v>29265</v>
      </c>
      <c r="B5752" s="10" t="str">
        <f>"9782806213440"</f>
        <v>9782806213440</v>
      </c>
      <c r="C5752" s="10" t="str">
        <f>"9782806218421"</f>
        <v>9782806218421</v>
      </c>
      <c r="D5752" s="10" t="s">
        <v>29172</v>
      </c>
      <c r="E5752" s="10" t="s">
        <v>29173</v>
      </c>
      <c r="F5752" s="10" t="s">
        <v>29181</v>
      </c>
      <c r="G5752" s="10" t="s">
        <v>28737</v>
      </c>
      <c r="H5752" s="11">
        <v>40544</v>
      </c>
      <c r="I5752" s="10">
        <v>2011</v>
      </c>
      <c r="J5752" s="10" t="s">
        <v>29175</v>
      </c>
      <c r="K5752" s="10">
        <v>32</v>
      </c>
      <c r="L5752" s="10" t="s">
        <v>29266</v>
      </c>
      <c r="M5752" s="10">
        <v>1</v>
      </c>
      <c r="N5752" s="10" t="s">
        <v>29177</v>
      </c>
      <c r="O5752" s="10"/>
      <c r="P5752" s="10"/>
      <c r="Q5752" s="10"/>
      <c r="R5752" s="10"/>
      <c r="S5752" s="10" t="s">
        <v>5404</v>
      </c>
      <c r="T5752" s="10" t="s">
        <v>6568</v>
      </c>
    </row>
    <row r="5753" spans="1:20" ht="14.5" x14ac:dyDescent="0.35">
      <c r="A5753" s="10" t="s">
        <v>29267</v>
      </c>
      <c r="B5753" s="10" t="str">
        <f>"9782806212627"</f>
        <v>9782806212627</v>
      </c>
      <c r="C5753" s="10" t="str">
        <f>"9782806217554"</f>
        <v>9782806217554</v>
      </c>
      <c r="D5753" s="10" t="s">
        <v>29172</v>
      </c>
      <c r="E5753" s="10" t="s">
        <v>29173</v>
      </c>
      <c r="F5753" s="10" t="s">
        <v>29181</v>
      </c>
      <c r="G5753" s="10" t="s">
        <v>28737</v>
      </c>
      <c r="H5753" s="11">
        <v>40544</v>
      </c>
      <c r="I5753" s="10">
        <v>2011</v>
      </c>
      <c r="J5753" s="10" t="s">
        <v>29175</v>
      </c>
      <c r="K5753" s="10">
        <v>31</v>
      </c>
      <c r="L5753" s="10" t="s">
        <v>29268</v>
      </c>
      <c r="M5753" s="10">
        <v>1</v>
      </c>
      <c r="N5753" s="10" t="s">
        <v>29177</v>
      </c>
      <c r="O5753" s="10"/>
      <c r="P5753" s="10"/>
      <c r="Q5753" s="10"/>
      <c r="R5753" s="10"/>
      <c r="S5753" s="10" t="s">
        <v>5404</v>
      </c>
      <c r="T5753" s="10" t="s">
        <v>29186</v>
      </c>
    </row>
    <row r="5754" spans="1:20" ht="14.5" x14ac:dyDescent="0.35">
      <c r="A5754" s="10" t="s">
        <v>29269</v>
      </c>
      <c r="B5754" s="10" t="str">
        <f>"9782806226563"</f>
        <v>9782806226563</v>
      </c>
      <c r="C5754" s="10" t="str">
        <f>"9782806226549"</f>
        <v>9782806226549</v>
      </c>
      <c r="D5754" s="10" t="s">
        <v>29172</v>
      </c>
      <c r="E5754" s="10" t="s">
        <v>29173</v>
      </c>
      <c r="F5754" s="10" t="s">
        <v>29181</v>
      </c>
      <c r="G5754" s="10" t="s">
        <v>28737</v>
      </c>
      <c r="H5754" s="11">
        <v>40544</v>
      </c>
      <c r="I5754" s="10">
        <v>2011</v>
      </c>
      <c r="J5754" s="10" t="s">
        <v>29175</v>
      </c>
      <c r="K5754" s="10">
        <v>61</v>
      </c>
      <c r="L5754" s="10" t="s">
        <v>29270</v>
      </c>
      <c r="M5754" s="10">
        <v>1</v>
      </c>
      <c r="N5754" s="10" t="s">
        <v>29177</v>
      </c>
      <c r="O5754" s="10"/>
      <c r="P5754" s="10"/>
      <c r="Q5754" s="10"/>
      <c r="R5754" s="10"/>
      <c r="S5754" s="10" t="s">
        <v>5404</v>
      </c>
      <c r="T5754" s="10" t="s">
        <v>29186</v>
      </c>
    </row>
    <row r="5755" spans="1:20" ht="14.5" x14ac:dyDescent="0.35">
      <c r="A5755" s="10" t="s">
        <v>29271</v>
      </c>
      <c r="B5755" s="10" t="str">
        <f>"9782806213471"</f>
        <v>9782806213471</v>
      </c>
      <c r="C5755" s="10" t="str">
        <f>"9782806218384"</f>
        <v>9782806218384</v>
      </c>
      <c r="D5755" s="10" t="s">
        <v>29172</v>
      </c>
      <c r="E5755" s="10" t="s">
        <v>29173</v>
      </c>
      <c r="F5755" s="10" t="s">
        <v>29181</v>
      </c>
      <c r="G5755" s="10" t="s">
        <v>28737</v>
      </c>
      <c r="H5755" s="11">
        <v>40544</v>
      </c>
      <c r="I5755" s="10">
        <v>2011</v>
      </c>
      <c r="J5755" s="10" t="s">
        <v>29175</v>
      </c>
      <c r="K5755" s="10">
        <v>37</v>
      </c>
      <c r="L5755" s="10" t="s">
        <v>29272</v>
      </c>
      <c r="M5755" s="10">
        <v>1</v>
      </c>
      <c r="N5755" s="10" t="s">
        <v>29177</v>
      </c>
      <c r="O5755" s="10"/>
      <c r="P5755" s="10"/>
      <c r="Q5755" s="10"/>
      <c r="R5755" s="10"/>
      <c r="S5755" s="10" t="s">
        <v>5404</v>
      </c>
      <c r="T5755" s="10" t="s">
        <v>6568</v>
      </c>
    </row>
    <row r="5756" spans="1:20" ht="14.5" x14ac:dyDescent="0.35">
      <c r="A5756" s="10" t="s">
        <v>29273</v>
      </c>
      <c r="B5756" s="10" t="str">
        <f>"9782806210807"</f>
        <v>9782806210807</v>
      </c>
      <c r="C5756" s="10" t="str">
        <f>"9782806219343"</f>
        <v>9782806219343</v>
      </c>
      <c r="D5756" s="10" t="s">
        <v>29172</v>
      </c>
      <c r="E5756" s="10" t="s">
        <v>29173</v>
      </c>
      <c r="F5756" s="10" t="s">
        <v>29181</v>
      </c>
      <c r="G5756" s="10" t="s">
        <v>28737</v>
      </c>
      <c r="H5756" s="11">
        <v>40544</v>
      </c>
      <c r="I5756" s="10">
        <v>2011</v>
      </c>
      <c r="J5756" s="10" t="s">
        <v>29175</v>
      </c>
      <c r="K5756" s="10">
        <v>42</v>
      </c>
      <c r="L5756" s="10" t="s">
        <v>29274</v>
      </c>
      <c r="M5756" s="10">
        <v>1</v>
      </c>
      <c r="N5756" s="10" t="s">
        <v>29177</v>
      </c>
      <c r="O5756" s="10"/>
      <c r="P5756" s="10"/>
      <c r="Q5756" s="10"/>
      <c r="R5756" s="10" t="s">
        <v>29275</v>
      </c>
      <c r="S5756" s="10" t="s">
        <v>5404</v>
      </c>
      <c r="T5756" s="10" t="s">
        <v>6568</v>
      </c>
    </row>
    <row r="5757" spans="1:20" ht="14.5" x14ac:dyDescent="0.35">
      <c r="A5757" s="10" t="s">
        <v>29276</v>
      </c>
      <c r="B5757" s="10" t="str">
        <f>"9782806212757"</f>
        <v>9782806212757</v>
      </c>
      <c r="C5757" s="10" t="str">
        <f>"9782806217608"</f>
        <v>9782806217608</v>
      </c>
      <c r="D5757" s="10" t="s">
        <v>29172</v>
      </c>
      <c r="E5757" s="10" t="s">
        <v>29173</v>
      </c>
      <c r="F5757" s="10" t="s">
        <v>29181</v>
      </c>
      <c r="G5757" s="10" t="s">
        <v>28737</v>
      </c>
      <c r="H5757" s="11">
        <v>40544</v>
      </c>
      <c r="I5757" s="10">
        <v>2011</v>
      </c>
      <c r="J5757" s="10" t="s">
        <v>29175</v>
      </c>
      <c r="K5757" s="10">
        <v>34</v>
      </c>
      <c r="L5757" s="10" t="s">
        <v>29277</v>
      </c>
      <c r="M5757" s="10">
        <v>1</v>
      </c>
      <c r="N5757" s="10" t="s">
        <v>29177</v>
      </c>
      <c r="O5757" s="10"/>
      <c r="P5757" s="10"/>
      <c r="Q5757" s="10"/>
      <c r="R5757" s="10"/>
      <c r="S5757" s="10" t="s">
        <v>5404</v>
      </c>
      <c r="T5757" s="10" t="s">
        <v>6568</v>
      </c>
    </row>
    <row r="5758" spans="1:20" ht="14.5" x14ac:dyDescent="0.35">
      <c r="A5758" s="10" t="s">
        <v>29278</v>
      </c>
      <c r="B5758" s="10" t="str">
        <f>"9782806213068"</f>
        <v>9782806213068</v>
      </c>
      <c r="C5758" s="10" t="str">
        <f>"9782806217981"</f>
        <v>9782806217981</v>
      </c>
      <c r="D5758" s="10" t="s">
        <v>29172</v>
      </c>
      <c r="E5758" s="10" t="s">
        <v>29173</v>
      </c>
      <c r="F5758" s="10" t="s">
        <v>29181</v>
      </c>
      <c r="G5758" s="10" t="s">
        <v>28737</v>
      </c>
      <c r="H5758" s="11">
        <v>40544</v>
      </c>
      <c r="I5758" s="10">
        <v>2011</v>
      </c>
      <c r="J5758" s="10" t="s">
        <v>29175</v>
      </c>
      <c r="K5758" s="10">
        <v>34</v>
      </c>
      <c r="L5758" s="10" t="s">
        <v>29279</v>
      </c>
      <c r="M5758" s="10">
        <v>1</v>
      </c>
      <c r="N5758" s="10" t="s">
        <v>29177</v>
      </c>
      <c r="O5758" s="10"/>
      <c r="P5758" s="10"/>
      <c r="Q5758" s="10"/>
      <c r="R5758" s="10"/>
      <c r="S5758" s="10" t="s">
        <v>5404</v>
      </c>
      <c r="T5758" s="10" t="s">
        <v>6568</v>
      </c>
    </row>
    <row r="5759" spans="1:20" ht="14.5" x14ac:dyDescent="0.35">
      <c r="A5759" s="10" t="s">
        <v>29280</v>
      </c>
      <c r="B5759" s="10" t="str">
        <f>"9782806230850"</f>
        <v>9782806230850</v>
      </c>
      <c r="C5759" s="10" t="str">
        <f>"9782806230836"</f>
        <v>9782806230836</v>
      </c>
      <c r="D5759" s="10" t="s">
        <v>29172</v>
      </c>
      <c r="E5759" s="10" t="s">
        <v>29173</v>
      </c>
      <c r="F5759" s="10" t="s">
        <v>29181</v>
      </c>
      <c r="G5759" s="10" t="s">
        <v>28737</v>
      </c>
      <c r="H5759" s="11">
        <v>43097</v>
      </c>
      <c r="I5759" s="10">
        <v>2017</v>
      </c>
      <c r="J5759" s="10" t="s">
        <v>29175</v>
      </c>
      <c r="K5759" s="10">
        <v>59</v>
      </c>
      <c r="L5759" s="10" t="s">
        <v>29281</v>
      </c>
      <c r="M5759" s="10">
        <v>1</v>
      </c>
      <c r="N5759" s="10" t="s">
        <v>29177</v>
      </c>
      <c r="O5759" s="10"/>
      <c r="P5759" s="10"/>
      <c r="Q5759" s="10"/>
      <c r="R5759" s="10"/>
      <c r="S5759" s="10" t="s">
        <v>5404</v>
      </c>
      <c r="T5759" s="10" t="s">
        <v>29186</v>
      </c>
    </row>
    <row r="5760" spans="1:20" ht="14.5" x14ac:dyDescent="0.35">
      <c r="A5760" s="10" t="s">
        <v>29282</v>
      </c>
      <c r="B5760" s="10" t="str">
        <f>"9782806214010"</f>
        <v>9782806214010</v>
      </c>
      <c r="C5760" s="10" t="str">
        <f>"9782806218919"</f>
        <v>9782806218919</v>
      </c>
      <c r="D5760" s="10" t="s">
        <v>29172</v>
      </c>
      <c r="E5760" s="10" t="s">
        <v>29173</v>
      </c>
      <c r="F5760" s="10" t="s">
        <v>29181</v>
      </c>
      <c r="G5760" s="10" t="s">
        <v>28737</v>
      </c>
      <c r="H5760" s="11">
        <v>40544</v>
      </c>
      <c r="I5760" s="10">
        <v>2011</v>
      </c>
      <c r="J5760" s="10" t="s">
        <v>29175</v>
      </c>
      <c r="K5760" s="10">
        <v>38</v>
      </c>
      <c r="L5760" s="10" t="s">
        <v>29283</v>
      </c>
      <c r="M5760" s="10">
        <v>1</v>
      </c>
      <c r="N5760" s="10" t="s">
        <v>29177</v>
      </c>
      <c r="O5760" s="10"/>
      <c r="P5760" s="10"/>
      <c r="Q5760" s="10"/>
      <c r="R5760" s="10"/>
      <c r="S5760" s="10" t="s">
        <v>5404</v>
      </c>
      <c r="T5760" s="10" t="s">
        <v>6568</v>
      </c>
    </row>
    <row r="5761" spans="1:20" ht="14.5" x14ac:dyDescent="0.35">
      <c r="A5761" s="10" t="s">
        <v>29284</v>
      </c>
      <c r="B5761" s="10" t="str">
        <f>"9782806225726"</f>
        <v>9782806225726</v>
      </c>
      <c r="C5761" s="10" t="str">
        <f>"9782806225702"</f>
        <v>9782806225702</v>
      </c>
      <c r="D5761" s="10" t="s">
        <v>29172</v>
      </c>
      <c r="E5761" s="10" t="s">
        <v>29173</v>
      </c>
      <c r="F5761" s="10" t="s">
        <v>29181</v>
      </c>
      <c r="G5761" s="10" t="s">
        <v>28737</v>
      </c>
      <c r="H5761" s="11">
        <v>43063</v>
      </c>
      <c r="I5761" s="10">
        <v>2017</v>
      </c>
      <c r="J5761" s="10" t="s">
        <v>29175</v>
      </c>
      <c r="K5761" s="10">
        <v>65</v>
      </c>
      <c r="L5761" s="10" t="s">
        <v>29285</v>
      </c>
      <c r="M5761" s="10">
        <v>1</v>
      </c>
      <c r="N5761" s="10" t="s">
        <v>29177</v>
      </c>
      <c r="O5761" s="10"/>
      <c r="P5761" s="10"/>
      <c r="Q5761" s="10"/>
      <c r="R5761" s="10" t="s">
        <v>29286</v>
      </c>
      <c r="S5761" s="10" t="s">
        <v>5404</v>
      </c>
      <c r="T5761" s="10" t="s">
        <v>10454</v>
      </c>
    </row>
    <row r="5762" spans="1:20" ht="14.5" x14ac:dyDescent="0.35">
      <c r="A5762" s="10" t="s">
        <v>29287</v>
      </c>
      <c r="B5762" s="10" t="str">
        <f>"9782806212825"</f>
        <v>9782806212825</v>
      </c>
      <c r="C5762" s="10" t="str">
        <f>"9782806217776"</f>
        <v>9782806217776</v>
      </c>
      <c r="D5762" s="10" t="s">
        <v>29172</v>
      </c>
      <c r="E5762" s="10" t="s">
        <v>29173</v>
      </c>
      <c r="F5762" s="10" t="s">
        <v>29181</v>
      </c>
      <c r="G5762" s="10" t="s">
        <v>28737</v>
      </c>
      <c r="H5762" s="11">
        <v>40544</v>
      </c>
      <c r="I5762" s="10">
        <v>2011</v>
      </c>
      <c r="J5762" s="10" t="s">
        <v>29175</v>
      </c>
      <c r="K5762" s="10">
        <v>32</v>
      </c>
      <c r="L5762" s="10" t="s">
        <v>29288</v>
      </c>
      <c r="M5762" s="10">
        <v>1</v>
      </c>
      <c r="N5762" s="10" t="s">
        <v>29177</v>
      </c>
      <c r="O5762" s="10"/>
      <c r="P5762" s="10"/>
      <c r="Q5762" s="10"/>
      <c r="R5762" s="10" t="s">
        <v>29289</v>
      </c>
      <c r="S5762" s="10" t="s">
        <v>5404</v>
      </c>
      <c r="T5762" s="10" t="s">
        <v>10454</v>
      </c>
    </row>
    <row r="5763" spans="1:20" ht="14.5" x14ac:dyDescent="0.35">
      <c r="A5763" s="10" t="s">
        <v>29290</v>
      </c>
      <c r="B5763" s="10" t="str">
        <f>"9782806214096"</f>
        <v>9782806214096</v>
      </c>
      <c r="C5763" s="10" t="str">
        <f>"9782806218995"</f>
        <v>9782806218995</v>
      </c>
      <c r="D5763" s="10" t="s">
        <v>29172</v>
      </c>
      <c r="E5763" s="10" t="s">
        <v>29173</v>
      </c>
      <c r="F5763" s="10" t="s">
        <v>29181</v>
      </c>
      <c r="G5763" s="10" t="s">
        <v>28737</v>
      </c>
      <c r="H5763" s="11">
        <v>41901</v>
      </c>
      <c r="I5763" s="10">
        <v>2014</v>
      </c>
      <c r="J5763" s="10" t="s">
        <v>29175</v>
      </c>
      <c r="K5763" s="10">
        <v>38</v>
      </c>
      <c r="L5763" s="10" t="s">
        <v>29291</v>
      </c>
      <c r="M5763" s="10">
        <v>1</v>
      </c>
      <c r="N5763" s="10" t="s">
        <v>29177</v>
      </c>
      <c r="O5763" s="10"/>
      <c r="P5763" s="10"/>
      <c r="Q5763" s="10"/>
      <c r="R5763" s="10" t="s">
        <v>29292</v>
      </c>
      <c r="S5763" s="10" t="s">
        <v>5404</v>
      </c>
      <c r="T5763" s="10" t="s">
        <v>6568</v>
      </c>
    </row>
    <row r="5764" spans="1:20" ht="14.5" x14ac:dyDescent="0.35">
      <c r="A5764" s="10" t="s">
        <v>29293</v>
      </c>
      <c r="B5764" s="10" t="str">
        <f>"9782806241672"</f>
        <v>9782806241672</v>
      </c>
      <c r="C5764" s="10" t="str">
        <f>"9782806241290"</f>
        <v>9782806241290</v>
      </c>
      <c r="D5764" s="10" t="s">
        <v>29172</v>
      </c>
      <c r="E5764" s="10" t="s">
        <v>29173</v>
      </c>
      <c r="F5764" s="10" t="s">
        <v>29181</v>
      </c>
      <c r="G5764" s="10" t="s">
        <v>28737</v>
      </c>
      <c r="H5764" s="11">
        <v>40544</v>
      </c>
      <c r="I5764" s="10">
        <v>2011</v>
      </c>
      <c r="J5764" s="10" t="s">
        <v>29175</v>
      </c>
      <c r="K5764" s="10">
        <v>15</v>
      </c>
      <c r="L5764" s="10" t="s">
        <v>29294</v>
      </c>
      <c r="M5764" s="10">
        <v>1</v>
      </c>
      <c r="N5764" s="10" t="s">
        <v>29177</v>
      </c>
      <c r="O5764" s="10"/>
      <c r="P5764" s="10"/>
      <c r="Q5764" s="10"/>
      <c r="R5764" s="10"/>
      <c r="S5764" s="10" t="s">
        <v>5404</v>
      </c>
      <c r="T5764" s="10" t="s">
        <v>6568</v>
      </c>
    </row>
    <row r="5765" spans="1:20" ht="14.5" x14ac:dyDescent="0.35">
      <c r="A5765" s="10" t="s">
        <v>29295</v>
      </c>
      <c r="B5765" s="10" t="str">
        <f>"9782806214058"</f>
        <v>9782806214058</v>
      </c>
      <c r="C5765" s="10" t="str">
        <f>"9782806218964"</f>
        <v>9782806218964</v>
      </c>
      <c r="D5765" s="10" t="s">
        <v>29172</v>
      </c>
      <c r="E5765" s="10" t="s">
        <v>29173</v>
      </c>
      <c r="F5765" s="10" t="s">
        <v>29181</v>
      </c>
      <c r="G5765" s="10" t="s">
        <v>28737</v>
      </c>
      <c r="H5765" s="11">
        <v>40544</v>
      </c>
      <c r="I5765" s="10">
        <v>2011</v>
      </c>
      <c r="J5765" s="10" t="s">
        <v>29175</v>
      </c>
      <c r="K5765" s="10">
        <v>37</v>
      </c>
      <c r="L5765" s="10" t="s">
        <v>29296</v>
      </c>
      <c r="M5765" s="10">
        <v>1</v>
      </c>
      <c r="N5765" s="10" t="s">
        <v>29177</v>
      </c>
      <c r="O5765" s="10"/>
      <c r="P5765" s="10"/>
      <c r="Q5765" s="10"/>
      <c r="R5765" s="10"/>
      <c r="S5765" s="10" t="s">
        <v>5404</v>
      </c>
      <c r="T5765" s="10" t="s">
        <v>10454</v>
      </c>
    </row>
    <row r="5766" spans="1:20" ht="14.5" x14ac:dyDescent="0.35">
      <c r="A5766" s="10" t="s">
        <v>29297</v>
      </c>
      <c r="B5766" s="10" t="str">
        <f>"9782806213273"</f>
        <v>9782806213273</v>
      </c>
      <c r="C5766" s="10" t="str">
        <f>"9782806218292"</f>
        <v>9782806218292</v>
      </c>
      <c r="D5766" s="10" t="s">
        <v>29172</v>
      </c>
      <c r="E5766" s="10" t="s">
        <v>29173</v>
      </c>
      <c r="F5766" s="10" t="s">
        <v>29181</v>
      </c>
      <c r="G5766" s="10" t="s">
        <v>28737</v>
      </c>
      <c r="H5766" s="11">
        <v>40544</v>
      </c>
      <c r="I5766" s="10">
        <v>2011</v>
      </c>
      <c r="J5766" s="10" t="s">
        <v>29175</v>
      </c>
      <c r="K5766" s="10">
        <v>33</v>
      </c>
      <c r="L5766" s="10" t="s">
        <v>29298</v>
      </c>
      <c r="M5766" s="10">
        <v>1</v>
      </c>
      <c r="N5766" s="10" t="s">
        <v>29177</v>
      </c>
      <c r="O5766" s="10"/>
      <c r="P5766" s="10"/>
      <c r="Q5766" s="10"/>
      <c r="R5766" s="10"/>
      <c r="S5766" s="10" t="s">
        <v>5404</v>
      </c>
      <c r="T5766" s="10" t="s">
        <v>6568</v>
      </c>
    </row>
    <row r="5767" spans="1:20" ht="14.5" x14ac:dyDescent="0.35">
      <c r="A5767" s="10" t="s">
        <v>29299</v>
      </c>
      <c r="B5767" s="10" t="str">
        <f>"9782806213365"</f>
        <v>9782806213365</v>
      </c>
      <c r="C5767" s="10" t="str">
        <f>"9782806218285"</f>
        <v>9782806218285</v>
      </c>
      <c r="D5767" s="10" t="s">
        <v>29172</v>
      </c>
      <c r="E5767" s="10" t="s">
        <v>29173</v>
      </c>
      <c r="F5767" s="10" t="s">
        <v>29181</v>
      </c>
      <c r="G5767" s="10" t="s">
        <v>28737</v>
      </c>
      <c r="H5767" s="11">
        <v>40544</v>
      </c>
      <c r="I5767" s="10">
        <v>2011</v>
      </c>
      <c r="J5767" s="10" t="s">
        <v>29175</v>
      </c>
      <c r="K5767" s="10">
        <v>36</v>
      </c>
      <c r="L5767" s="10" t="s">
        <v>29300</v>
      </c>
      <c r="M5767" s="10">
        <v>1</v>
      </c>
      <c r="N5767" s="10" t="s">
        <v>29177</v>
      </c>
      <c r="O5767" s="10"/>
      <c r="P5767" s="10"/>
      <c r="Q5767" s="10"/>
      <c r="R5767" s="10" t="s">
        <v>29301</v>
      </c>
      <c r="S5767" s="10" t="s">
        <v>5404</v>
      </c>
      <c r="T5767" s="10" t="s">
        <v>10454</v>
      </c>
    </row>
    <row r="5768" spans="1:20" ht="14.5" x14ac:dyDescent="0.35">
      <c r="A5768" s="10" t="s">
        <v>29302</v>
      </c>
      <c r="B5768" s="10" t="str">
        <f>"9782806214027"</f>
        <v>9782806214027</v>
      </c>
      <c r="C5768" s="10" t="str">
        <f>"9782806218957"</f>
        <v>9782806218957</v>
      </c>
      <c r="D5768" s="10" t="s">
        <v>29172</v>
      </c>
      <c r="E5768" s="10" t="s">
        <v>29173</v>
      </c>
      <c r="F5768" s="10" t="s">
        <v>29181</v>
      </c>
      <c r="G5768" s="10" t="s">
        <v>28737</v>
      </c>
      <c r="H5768" s="11">
        <v>41605</v>
      </c>
      <c r="I5768" s="10">
        <v>2013</v>
      </c>
      <c r="J5768" s="10" t="s">
        <v>29175</v>
      </c>
      <c r="K5768" s="10">
        <v>35</v>
      </c>
      <c r="L5768" s="10" t="s">
        <v>29303</v>
      </c>
      <c r="M5768" s="10">
        <v>1</v>
      </c>
      <c r="N5768" s="10" t="s">
        <v>29177</v>
      </c>
      <c r="O5768" s="10"/>
      <c r="P5768" s="10"/>
      <c r="Q5768" s="10"/>
      <c r="R5768" s="10"/>
      <c r="S5768" s="10" t="s">
        <v>5404</v>
      </c>
      <c r="T5768" s="10" t="s">
        <v>6568</v>
      </c>
    </row>
    <row r="5769" spans="1:20" ht="14.5" x14ac:dyDescent="0.35">
      <c r="A5769" s="10" t="s">
        <v>29304</v>
      </c>
      <c r="B5769" s="10" t="str">
        <f>"9782806212733"</f>
        <v>9782806212733</v>
      </c>
      <c r="C5769" s="10" t="str">
        <f>"9782806217875"</f>
        <v>9782806217875</v>
      </c>
      <c r="D5769" s="10" t="s">
        <v>29172</v>
      </c>
      <c r="E5769" s="10" t="s">
        <v>29173</v>
      </c>
      <c r="F5769" s="10" t="s">
        <v>29181</v>
      </c>
      <c r="G5769" s="10" t="s">
        <v>28737</v>
      </c>
      <c r="H5769" s="11">
        <v>40544</v>
      </c>
      <c r="I5769" s="10">
        <v>2011</v>
      </c>
      <c r="J5769" s="10" t="s">
        <v>29175</v>
      </c>
      <c r="K5769" s="10">
        <v>40</v>
      </c>
      <c r="L5769" s="10" t="s">
        <v>29305</v>
      </c>
      <c r="M5769" s="10">
        <v>1</v>
      </c>
      <c r="N5769" s="10" t="s">
        <v>29177</v>
      </c>
      <c r="O5769" s="10"/>
      <c r="P5769" s="10"/>
      <c r="Q5769" s="10"/>
      <c r="R5769" s="10"/>
      <c r="S5769" s="10" t="s">
        <v>5404</v>
      </c>
      <c r="T5769" s="10" t="s">
        <v>6568</v>
      </c>
    </row>
    <row r="5770" spans="1:20" ht="14.5" x14ac:dyDescent="0.35">
      <c r="A5770" s="10" t="s">
        <v>29306</v>
      </c>
      <c r="B5770" s="10" t="str">
        <f>"9782806211750"</f>
        <v>9782806211750</v>
      </c>
      <c r="C5770" s="10" t="str">
        <f>"9782806217387"</f>
        <v>9782806217387</v>
      </c>
      <c r="D5770" s="10" t="s">
        <v>29172</v>
      </c>
      <c r="E5770" s="10" t="s">
        <v>29173</v>
      </c>
      <c r="F5770" s="10" t="s">
        <v>29181</v>
      </c>
      <c r="G5770" s="10" t="s">
        <v>28737</v>
      </c>
      <c r="H5770" s="11">
        <v>40544</v>
      </c>
      <c r="I5770" s="10">
        <v>2011</v>
      </c>
      <c r="J5770" s="10" t="s">
        <v>29175</v>
      </c>
      <c r="K5770" s="10">
        <v>38</v>
      </c>
      <c r="L5770" s="10" t="s">
        <v>29307</v>
      </c>
      <c r="M5770" s="10">
        <v>1</v>
      </c>
      <c r="N5770" s="10" t="s">
        <v>29177</v>
      </c>
      <c r="O5770" s="10"/>
      <c r="P5770" s="10"/>
      <c r="Q5770" s="10"/>
      <c r="R5770" s="10"/>
      <c r="S5770" s="10" t="s">
        <v>5404</v>
      </c>
      <c r="T5770" s="10" t="s">
        <v>6568</v>
      </c>
    </row>
    <row r="5771" spans="1:20" ht="14.5" x14ac:dyDescent="0.35">
      <c r="A5771" s="10" t="s">
        <v>29308</v>
      </c>
      <c r="B5771" s="10" t="str">
        <f>"9782806211415"</f>
        <v>9782806211415</v>
      </c>
      <c r="C5771" s="10" t="str">
        <f>"9782806219961"</f>
        <v>9782806219961</v>
      </c>
      <c r="D5771" s="10" t="s">
        <v>29172</v>
      </c>
      <c r="E5771" s="10" t="s">
        <v>29173</v>
      </c>
      <c r="F5771" s="10" t="s">
        <v>29181</v>
      </c>
      <c r="G5771" s="10" t="s">
        <v>28737</v>
      </c>
      <c r="H5771" s="11">
        <v>41901</v>
      </c>
      <c r="I5771" s="10">
        <v>2014</v>
      </c>
      <c r="J5771" s="10" t="s">
        <v>29175</v>
      </c>
      <c r="K5771" s="10">
        <v>59</v>
      </c>
      <c r="L5771" s="10" t="s">
        <v>29309</v>
      </c>
      <c r="M5771" s="10">
        <v>1</v>
      </c>
      <c r="N5771" s="10" t="s">
        <v>29177</v>
      </c>
      <c r="O5771" s="10"/>
      <c r="P5771" s="10"/>
      <c r="Q5771" s="10"/>
      <c r="R5771" s="10" t="s">
        <v>29310</v>
      </c>
      <c r="S5771" s="10" t="s">
        <v>5404</v>
      </c>
      <c r="T5771" s="10" t="s">
        <v>29186</v>
      </c>
    </row>
    <row r="5772" spans="1:20" ht="14.5" x14ac:dyDescent="0.35">
      <c r="A5772" s="10" t="s">
        <v>29311</v>
      </c>
      <c r="B5772" s="10" t="str">
        <f>"9782806212092"</f>
        <v>9782806212092</v>
      </c>
      <c r="C5772" s="10" t="str">
        <f>"9782806220394"</f>
        <v>9782806220394</v>
      </c>
      <c r="D5772" s="10" t="s">
        <v>29172</v>
      </c>
      <c r="E5772" s="10" t="s">
        <v>29173</v>
      </c>
      <c r="F5772" s="10" t="s">
        <v>29181</v>
      </c>
      <c r="G5772" s="10" t="s">
        <v>28737</v>
      </c>
      <c r="H5772" s="11">
        <v>40544</v>
      </c>
      <c r="I5772" s="10">
        <v>2011</v>
      </c>
      <c r="J5772" s="10" t="s">
        <v>29175</v>
      </c>
      <c r="K5772" s="10">
        <v>33</v>
      </c>
      <c r="L5772" s="10" t="s">
        <v>29312</v>
      </c>
      <c r="M5772" s="10">
        <v>1</v>
      </c>
      <c r="N5772" s="10" t="s">
        <v>29177</v>
      </c>
      <c r="O5772" s="10"/>
      <c r="P5772" s="10"/>
      <c r="Q5772" s="10"/>
      <c r="R5772" s="10"/>
      <c r="S5772" s="10" t="s">
        <v>5404</v>
      </c>
      <c r="T5772" s="10" t="s">
        <v>6568</v>
      </c>
    </row>
    <row r="5773" spans="1:20" ht="14.5" x14ac:dyDescent="0.35">
      <c r="A5773" s="10" t="s">
        <v>29313</v>
      </c>
      <c r="B5773" s="10" t="str">
        <f>"9782806211408"</f>
        <v>9782806211408</v>
      </c>
      <c r="C5773" s="10" t="str">
        <f>"9782806219954"</f>
        <v>9782806219954</v>
      </c>
      <c r="D5773" s="10" t="s">
        <v>29172</v>
      </c>
      <c r="E5773" s="10" t="s">
        <v>29173</v>
      </c>
      <c r="F5773" s="10" t="s">
        <v>29181</v>
      </c>
      <c r="G5773" s="10" t="s">
        <v>28737</v>
      </c>
      <c r="H5773" s="11">
        <v>40544</v>
      </c>
      <c r="I5773" s="10">
        <v>2011</v>
      </c>
      <c r="J5773" s="10" t="s">
        <v>29175</v>
      </c>
      <c r="K5773" s="10">
        <v>39</v>
      </c>
      <c r="L5773" s="10" t="s">
        <v>29314</v>
      </c>
      <c r="M5773" s="10">
        <v>1</v>
      </c>
      <c r="N5773" s="10" t="s">
        <v>29177</v>
      </c>
      <c r="O5773" s="10"/>
      <c r="P5773" s="10"/>
      <c r="Q5773" s="10"/>
      <c r="R5773" s="10"/>
      <c r="S5773" s="10" t="s">
        <v>5404</v>
      </c>
      <c r="T5773" s="10" t="s">
        <v>6568</v>
      </c>
    </row>
    <row r="5774" spans="1:20" ht="14.5" x14ac:dyDescent="0.35">
      <c r="A5774" s="10" t="s">
        <v>29315</v>
      </c>
      <c r="B5774" s="10" t="str">
        <f>"9781118761878"</f>
        <v>9781118761878</v>
      </c>
      <c r="C5774" s="10" t="str">
        <f>"9781118761960"</f>
        <v>9781118761960</v>
      </c>
      <c r="D5774" s="10" t="s">
        <v>6322</v>
      </c>
      <c r="E5774" s="10" t="s">
        <v>6323</v>
      </c>
      <c r="F5774" s="10" t="s">
        <v>4423</v>
      </c>
      <c r="G5774" s="10" t="s">
        <v>6317</v>
      </c>
      <c r="H5774" s="11">
        <v>42016</v>
      </c>
      <c r="I5774" s="10">
        <v>2015</v>
      </c>
      <c r="J5774" s="10" t="s">
        <v>6324</v>
      </c>
      <c r="K5774" s="10">
        <v>288</v>
      </c>
      <c r="L5774" s="10" t="s">
        <v>29316</v>
      </c>
      <c r="M5774" s="10">
        <v>1</v>
      </c>
      <c r="N5774" s="10"/>
      <c r="O5774" s="10"/>
      <c r="P5774" s="10"/>
      <c r="Q5774" s="10" t="s">
        <v>9360</v>
      </c>
      <c r="R5774" s="10" t="s">
        <v>29317</v>
      </c>
      <c r="S5774" s="10" t="s">
        <v>53</v>
      </c>
      <c r="T5774" s="10" t="s">
        <v>54</v>
      </c>
    </row>
    <row r="5775" spans="1:20" ht="14.5" x14ac:dyDescent="0.35">
      <c r="A5775" s="10" t="s">
        <v>29318</v>
      </c>
      <c r="B5775" s="10" t="str">
        <f>"9781118762035"</f>
        <v>9781118762035</v>
      </c>
      <c r="C5775" s="10" t="str">
        <f>"9781118762233"</f>
        <v>9781118762233</v>
      </c>
      <c r="D5775" s="10" t="s">
        <v>6322</v>
      </c>
      <c r="E5775" s="10" t="s">
        <v>6323</v>
      </c>
      <c r="F5775" s="10" t="s">
        <v>4423</v>
      </c>
      <c r="G5775" s="10" t="s">
        <v>6317</v>
      </c>
      <c r="H5775" s="11">
        <v>42004</v>
      </c>
      <c r="I5775" s="10">
        <v>2015</v>
      </c>
      <c r="J5775" s="10" t="s">
        <v>6324</v>
      </c>
      <c r="K5775" s="10">
        <v>286</v>
      </c>
      <c r="L5775" s="10" t="s">
        <v>17519</v>
      </c>
      <c r="M5775" s="10">
        <v>1</v>
      </c>
      <c r="N5775" s="10"/>
      <c r="O5775" s="10"/>
      <c r="P5775" s="10"/>
      <c r="Q5775" s="10" t="s">
        <v>7307</v>
      </c>
      <c r="R5775" s="10" t="s">
        <v>18362</v>
      </c>
      <c r="S5775" s="10" t="s">
        <v>53</v>
      </c>
      <c r="T5775" s="10" t="s">
        <v>54</v>
      </c>
    </row>
    <row r="5776" spans="1:20" ht="14.5" x14ac:dyDescent="0.35">
      <c r="A5776" s="10" t="s">
        <v>29319</v>
      </c>
      <c r="B5776" s="10" t="str">
        <f>"9781118920626"</f>
        <v>9781118920626</v>
      </c>
      <c r="C5776" s="10" t="str">
        <f>"9781118920640"</f>
        <v>9781118920640</v>
      </c>
      <c r="D5776" s="10" t="s">
        <v>6322</v>
      </c>
      <c r="E5776" s="10" t="s">
        <v>6323</v>
      </c>
      <c r="F5776" s="10" t="s">
        <v>4423</v>
      </c>
      <c r="G5776" s="10" t="s">
        <v>6317</v>
      </c>
      <c r="H5776" s="11">
        <v>42004</v>
      </c>
      <c r="I5776" s="10">
        <v>2014</v>
      </c>
      <c r="J5776" s="10" t="s">
        <v>6324</v>
      </c>
      <c r="K5776" s="10">
        <v>271</v>
      </c>
      <c r="L5776" s="10" t="s">
        <v>29320</v>
      </c>
      <c r="M5776" s="10">
        <v>1</v>
      </c>
      <c r="N5776" s="10"/>
      <c r="O5776" s="10"/>
      <c r="P5776" s="10"/>
      <c r="Q5776" s="10" t="s">
        <v>9954</v>
      </c>
      <c r="R5776" s="10" t="s">
        <v>29321</v>
      </c>
      <c r="S5776" s="10" t="s">
        <v>53</v>
      </c>
      <c r="T5776" s="10" t="s">
        <v>54</v>
      </c>
    </row>
    <row r="5777" spans="1:20" ht="14.5" x14ac:dyDescent="0.35">
      <c r="A5777" s="10" t="s">
        <v>29322</v>
      </c>
      <c r="B5777" s="10" t="str">
        <f>"9781556203121"</f>
        <v>9781556203121</v>
      </c>
      <c r="C5777" s="10" t="str">
        <f>"9781119026211"</f>
        <v>9781119026211</v>
      </c>
      <c r="D5777" s="10" t="s">
        <v>6322</v>
      </c>
      <c r="E5777" s="10" t="s">
        <v>2011</v>
      </c>
      <c r="F5777" s="10" t="s">
        <v>4423</v>
      </c>
      <c r="G5777" s="10" t="s">
        <v>6317</v>
      </c>
      <c r="H5777" s="11">
        <v>40817</v>
      </c>
      <c r="I5777" s="10">
        <v>2012</v>
      </c>
      <c r="J5777" s="10" t="s">
        <v>2011</v>
      </c>
      <c r="K5777" s="10">
        <v>550</v>
      </c>
      <c r="L5777" s="10" t="s">
        <v>29323</v>
      </c>
      <c r="M5777" s="10">
        <v>5</v>
      </c>
      <c r="N5777" s="10"/>
      <c r="O5777" s="10"/>
      <c r="P5777" s="10"/>
      <c r="Q5777" s="10" t="s">
        <v>29324</v>
      </c>
      <c r="R5777" s="10" t="s">
        <v>29325</v>
      </c>
      <c r="S5777" s="10" t="s">
        <v>53</v>
      </c>
      <c r="T5777" s="10" t="s">
        <v>54</v>
      </c>
    </row>
    <row r="5778" spans="1:20" ht="14.5" x14ac:dyDescent="0.35">
      <c r="A5778" s="10" t="s">
        <v>29326</v>
      </c>
      <c r="B5778" s="10" t="str">
        <f>"9781138776296"</f>
        <v>9781138776296</v>
      </c>
      <c r="C5778" s="10" t="str">
        <f>"9781317679011"</f>
        <v>9781317679011</v>
      </c>
      <c r="D5778" s="10" t="s">
        <v>6350</v>
      </c>
      <c r="E5778" s="10" t="s">
        <v>6351</v>
      </c>
      <c r="F5778" s="10" t="s">
        <v>139</v>
      </c>
      <c r="G5778" s="10" t="s">
        <v>6352</v>
      </c>
      <c r="H5778" s="11">
        <v>41990</v>
      </c>
      <c r="I5778" s="10">
        <v>2015</v>
      </c>
      <c r="J5778" s="10" t="s">
        <v>6353</v>
      </c>
      <c r="K5778" s="10">
        <v>262</v>
      </c>
      <c r="L5778" s="10" t="s">
        <v>29327</v>
      </c>
      <c r="M5778" s="10">
        <v>1</v>
      </c>
      <c r="N5778" s="10" t="s">
        <v>6954</v>
      </c>
      <c r="O5778" s="10"/>
      <c r="P5778" s="10" t="s">
        <v>29328</v>
      </c>
      <c r="Q5778" s="10">
        <v>371.33</v>
      </c>
      <c r="R5778" s="10" t="s">
        <v>29329</v>
      </c>
      <c r="S5778" s="10" t="s">
        <v>53</v>
      </c>
      <c r="T5778" s="10" t="s">
        <v>54</v>
      </c>
    </row>
    <row r="5779" spans="1:20" ht="14.5" x14ac:dyDescent="0.35">
      <c r="A5779" s="10" t="s">
        <v>29330</v>
      </c>
      <c r="B5779" s="10" t="str">
        <f>"9781137502438"</f>
        <v>9781137502438</v>
      </c>
      <c r="C5779" s="10" t="str">
        <f>"9781137502445"</f>
        <v>9781137502445</v>
      </c>
      <c r="D5779" s="10" t="s">
        <v>11249</v>
      </c>
      <c r="E5779" s="10" t="s">
        <v>2400</v>
      </c>
      <c r="F5779" s="10" t="s">
        <v>70</v>
      </c>
      <c r="G5779" s="10" t="s">
        <v>6317</v>
      </c>
      <c r="H5779" s="11">
        <v>41971</v>
      </c>
      <c r="I5779" s="10">
        <v>2015</v>
      </c>
      <c r="J5779" s="10" t="s">
        <v>25925</v>
      </c>
      <c r="K5779" s="10">
        <v>132</v>
      </c>
      <c r="L5779" s="10" t="s">
        <v>29331</v>
      </c>
      <c r="M5779" s="10">
        <v>1</v>
      </c>
      <c r="N5779" s="10"/>
      <c r="O5779" s="10"/>
      <c r="P5779" s="10" t="s">
        <v>11270</v>
      </c>
      <c r="Q5779" s="10"/>
      <c r="R5779" s="10" t="s">
        <v>29332</v>
      </c>
      <c r="S5779" s="10" t="s">
        <v>53</v>
      </c>
      <c r="T5779" s="10" t="s">
        <v>54</v>
      </c>
    </row>
    <row r="5780" spans="1:20" ht="14.5" x14ac:dyDescent="0.35">
      <c r="A5780" s="10" t="s">
        <v>29333</v>
      </c>
      <c r="B5780" s="10" t="str">
        <f>"9780080308517"</f>
        <v>9780080308517</v>
      </c>
      <c r="C5780" s="10" t="str">
        <f>"9781483297187"</f>
        <v>9781483297187</v>
      </c>
      <c r="D5780" s="10" t="s">
        <v>8547</v>
      </c>
      <c r="E5780" s="10" t="s">
        <v>8548</v>
      </c>
      <c r="F5780" s="10" t="s">
        <v>4102</v>
      </c>
      <c r="G5780" s="10" t="s">
        <v>6352</v>
      </c>
      <c r="H5780" s="11">
        <v>32673</v>
      </c>
      <c r="I5780" s="10">
        <v>1989</v>
      </c>
      <c r="J5780" s="10" t="s">
        <v>29334</v>
      </c>
      <c r="K5780" s="10">
        <v>631</v>
      </c>
      <c r="L5780" s="10" t="s">
        <v>29335</v>
      </c>
      <c r="M5780" s="10">
        <v>1</v>
      </c>
      <c r="N5780" s="10" t="s">
        <v>29336</v>
      </c>
      <c r="O5780" s="10"/>
      <c r="P5780" s="10" t="s">
        <v>29337</v>
      </c>
      <c r="Q5780" s="10">
        <v>374</v>
      </c>
      <c r="R5780" s="10" t="s">
        <v>29338</v>
      </c>
      <c r="S5780" s="10" t="s">
        <v>53</v>
      </c>
      <c r="T5780" s="10" t="s">
        <v>54</v>
      </c>
    </row>
    <row r="5781" spans="1:20" ht="14.5" x14ac:dyDescent="0.35">
      <c r="A5781" s="10" t="s">
        <v>29339</v>
      </c>
      <c r="B5781" s="10" t="str">
        <f>"9780127424606"</f>
        <v>9780127424606</v>
      </c>
      <c r="C5781" s="10" t="str">
        <f>"9781483297675"</f>
        <v>9781483297675</v>
      </c>
      <c r="D5781" s="10" t="s">
        <v>8547</v>
      </c>
      <c r="E5781" s="10" t="s">
        <v>8548</v>
      </c>
      <c r="F5781" s="10" t="s">
        <v>1232</v>
      </c>
      <c r="G5781" s="10" t="s">
        <v>6317</v>
      </c>
      <c r="H5781" s="11">
        <v>32264</v>
      </c>
      <c r="I5781" s="10">
        <v>1988</v>
      </c>
      <c r="J5781" s="10" t="s">
        <v>1231</v>
      </c>
      <c r="K5781" s="10">
        <v>372</v>
      </c>
      <c r="L5781" s="10" t="s">
        <v>29340</v>
      </c>
      <c r="M5781" s="10">
        <v>1</v>
      </c>
      <c r="N5781" s="10"/>
      <c r="O5781" s="10"/>
      <c r="P5781" s="10" t="s">
        <v>29341</v>
      </c>
      <c r="Q5781" s="10"/>
      <c r="R5781" s="10" t="s">
        <v>29342</v>
      </c>
      <c r="S5781" s="10" t="s">
        <v>53</v>
      </c>
      <c r="T5781" s="10" t="s">
        <v>54</v>
      </c>
    </row>
    <row r="5782" spans="1:20" ht="14.5" x14ac:dyDescent="0.35">
      <c r="A5782" s="10" t="s">
        <v>29343</v>
      </c>
      <c r="B5782" s="10" t="str">
        <f>"9781118903391"</f>
        <v>9781118903391</v>
      </c>
      <c r="C5782" s="10" t="str">
        <f>"9781118903735"</f>
        <v>9781118903735</v>
      </c>
      <c r="D5782" s="10" t="s">
        <v>6322</v>
      </c>
      <c r="E5782" s="10" t="s">
        <v>6323</v>
      </c>
      <c r="F5782" s="10" t="s">
        <v>4423</v>
      </c>
      <c r="G5782" s="10" t="s">
        <v>6317</v>
      </c>
      <c r="H5782" s="11">
        <v>42024</v>
      </c>
      <c r="I5782" s="10">
        <v>2015</v>
      </c>
      <c r="J5782" s="10" t="s">
        <v>6324</v>
      </c>
      <c r="K5782" s="10">
        <v>304</v>
      </c>
      <c r="L5782" s="10" t="s">
        <v>29344</v>
      </c>
      <c r="M5782" s="10">
        <v>1</v>
      </c>
      <c r="N5782" s="10"/>
      <c r="O5782" s="10"/>
      <c r="P5782" s="10"/>
      <c r="Q5782" s="10" t="s">
        <v>29345</v>
      </c>
      <c r="R5782" s="10" t="s">
        <v>29346</v>
      </c>
      <c r="S5782" s="10" t="s">
        <v>53</v>
      </c>
      <c r="T5782" s="10" t="s">
        <v>54</v>
      </c>
    </row>
    <row r="5783" spans="1:20" ht="14.5" x14ac:dyDescent="0.35">
      <c r="A5783" s="10" t="s">
        <v>29347</v>
      </c>
      <c r="B5783" s="10" t="str">
        <f>"9781412949026"</f>
        <v>9781412949026</v>
      </c>
      <c r="C5783" s="10" t="str">
        <f>"9781452297415"</f>
        <v>9781452297415</v>
      </c>
      <c r="D5783" s="10" t="s">
        <v>22210</v>
      </c>
      <c r="E5783" s="10" t="s">
        <v>22211</v>
      </c>
      <c r="F5783" s="10" t="s">
        <v>333</v>
      </c>
      <c r="G5783" s="10" t="s">
        <v>6317</v>
      </c>
      <c r="H5783" s="11">
        <v>39177</v>
      </c>
      <c r="I5783" s="10">
        <v>2007</v>
      </c>
      <c r="J5783" s="10" t="s">
        <v>22211</v>
      </c>
      <c r="K5783" s="10">
        <v>273</v>
      </c>
      <c r="L5783" s="10" t="s">
        <v>29348</v>
      </c>
      <c r="M5783" s="10">
        <v>1</v>
      </c>
      <c r="N5783" s="10"/>
      <c r="O5783" s="10"/>
      <c r="P5783" s="10" t="s">
        <v>29349</v>
      </c>
      <c r="Q5783" s="10">
        <v>373.11020000000002</v>
      </c>
      <c r="R5783" s="10"/>
      <c r="S5783" s="10" t="s">
        <v>53</v>
      </c>
      <c r="T5783" s="10" t="s">
        <v>54</v>
      </c>
    </row>
    <row r="5784" spans="1:20" ht="14.5" x14ac:dyDescent="0.35">
      <c r="A5784" s="10" t="s">
        <v>29350</v>
      </c>
      <c r="B5784" s="10" t="str">
        <f>"9781611686104"</f>
        <v>9781611686104</v>
      </c>
      <c r="C5784" s="10" t="str">
        <f>"9781611686111"</f>
        <v>9781611686111</v>
      </c>
      <c r="D5784" s="10" t="s">
        <v>20156</v>
      </c>
      <c r="E5784" s="10" t="s">
        <v>23671</v>
      </c>
      <c r="F5784" s="10" t="s">
        <v>324</v>
      </c>
      <c r="G5784" s="10" t="s">
        <v>6317</v>
      </c>
      <c r="H5784" s="11">
        <v>41947</v>
      </c>
      <c r="I5784" s="10">
        <v>2014</v>
      </c>
      <c r="J5784" s="10" t="s">
        <v>23671</v>
      </c>
      <c r="K5784" s="10">
        <v>231</v>
      </c>
      <c r="L5784" s="10" t="s">
        <v>29351</v>
      </c>
      <c r="M5784" s="10">
        <v>1</v>
      </c>
      <c r="N5784" s="10"/>
      <c r="O5784" s="10"/>
      <c r="P5784" s="10" t="s">
        <v>29352</v>
      </c>
      <c r="Q5784" s="10" t="s">
        <v>29353</v>
      </c>
      <c r="R5784" s="10" t="s">
        <v>29354</v>
      </c>
      <c r="S5784" s="10" t="s">
        <v>53</v>
      </c>
      <c r="T5784" s="10" t="s">
        <v>7340</v>
      </c>
    </row>
    <row r="5785" spans="1:20" ht="14.5" x14ac:dyDescent="0.35">
      <c r="A5785" s="10" t="s">
        <v>29355</v>
      </c>
      <c r="B5785" s="10" t="str">
        <f>"9781611686593"</f>
        <v>9781611686593</v>
      </c>
      <c r="C5785" s="10" t="str">
        <f>"9781611686616"</f>
        <v>9781611686616</v>
      </c>
      <c r="D5785" s="10" t="s">
        <v>20156</v>
      </c>
      <c r="E5785" s="10" t="s">
        <v>23671</v>
      </c>
      <c r="F5785" s="10" t="s">
        <v>324</v>
      </c>
      <c r="G5785" s="10" t="s">
        <v>6317</v>
      </c>
      <c r="H5785" s="11">
        <v>42010</v>
      </c>
      <c r="I5785" s="10">
        <v>2015</v>
      </c>
      <c r="J5785" s="10" t="s">
        <v>23671</v>
      </c>
      <c r="K5785" s="10">
        <v>337</v>
      </c>
      <c r="L5785" s="10" t="s">
        <v>29356</v>
      </c>
      <c r="M5785" s="10">
        <v>1</v>
      </c>
      <c r="N5785" s="10"/>
      <c r="O5785" s="10"/>
      <c r="P5785" s="10" t="s">
        <v>29357</v>
      </c>
      <c r="Q5785" s="10">
        <v>610.71</v>
      </c>
      <c r="R5785" s="10" t="s">
        <v>29358</v>
      </c>
      <c r="S5785" s="10" t="s">
        <v>53</v>
      </c>
      <c r="T5785" s="10" t="s">
        <v>8625</v>
      </c>
    </row>
    <row r="5786" spans="1:20" ht="14.5" x14ac:dyDescent="0.35">
      <c r="A5786" s="10" t="s">
        <v>29359</v>
      </c>
      <c r="B5786" s="10" t="str">
        <f>"9780120975525"</f>
        <v>9780120975525</v>
      </c>
      <c r="C5786" s="10" t="str">
        <f>"9781483273310"</f>
        <v>9781483273310</v>
      </c>
      <c r="D5786" s="10" t="s">
        <v>8547</v>
      </c>
      <c r="E5786" s="10" t="s">
        <v>8548</v>
      </c>
      <c r="F5786" s="10" t="s">
        <v>1232</v>
      </c>
      <c r="G5786" s="10" t="s">
        <v>6317</v>
      </c>
      <c r="H5786" s="11">
        <v>29921</v>
      </c>
      <c r="I5786" s="10">
        <v>1982</v>
      </c>
      <c r="J5786" s="10" t="s">
        <v>1231</v>
      </c>
      <c r="K5786" s="10">
        <v>262</v>
      </c>
      <c r="L5786" s="10" t="s">
        <v>29360</v>
      </c>
      <c r="M5786" s="10">
        <v>1</v>
      </c>
      <c r="N5786" s="10"/>
      <c r="O5786" s="10"/>
      <c r="P5786" s="10" t="s">
        <v>29361</v>
      </c>
      <c r="Q5786" s="10"/>
      <c r="R5786" s="10" t="s">
        <v>29362</v>
      </c>
      <c r="S5786" s="10" t="s">
        <v>53</v>
      </c>
      <c r="T5786" s="10" t="s">
        <v>54</v>
      </c>
    </row>
    <row r="5787" spans="1:20" ht="14.5" x14ac:dyDescent="0.35">
      <c r="A5787" s="10" t="s">
        <v>29363</v>
      </c>
      <c r="B5787" s="10" t="str">
        <f>"9781553192657"</f>
        <v>9781553192657</v>
      </c>
      <c r="C5787" s="10" t="str">
        <f>"9781553197300"</f>
        <v>9781553197300</v>
      </c>
      <c r="D5787" s="10" t="s">
        <v>29364</v>
      </c>
      <c r="E5787" s="10" t="s">
        <v>29364</v>
      </c>
      <c r="F5787" s="10" t="s">
        <v>1232</v>
      </c>
      <c r="G5787" s="10" t="s">
        <v>6317</v>
      </c>
      <c r="H5787" s="11">
        <v>41760</v>
      </c>
      <c r="I5787" s="10">
        <v>2014</v>
      </c>
      <c r="J5787" s="10" t="s">
        <v>29365</v>
      </c>
      <c r="K5787" s="10">
        <v>81</v>
      </c>
      <c r="L5787" s="10" t="s">
        <v>29366</v>
      </c>
      <c r="M5787" s="10">
        <v>1</v>
      </c>
      <c r="N5787" s="10" t="s">
        <v>29367</v>
      </c>
      <c r="O5787" s="10">
        <v>1</v>
      </c>
      <c r="P5787" s="10" t="s">
        <v>29368</v>
      </c>
      <c r="Q5787" s="10">
        <v>520.71100000000001</v>
      </c>
      <c r="R5787" s="10" t="s">
        <v>29369</v>
      </c>
      <c r="S5787" s="10" t="s">
        <v>53</v>
      </c>
      <c r="T5787" s="10" t="s">
        <v>11285</v>
      </c>
    </row>
    <row r="5788" spans="1:20" ht="14.5" x14ac:dyDescent="0.35">
      <c r="A5788" s="10" t="s">
        <v>29370</v>
      </c>
      <c r="B5788" s="10" t="str">
        <f>"9780415855785"</f>
        <v>9780415855785</v>
      </c>
      <c r="C5788" s="10" t="str">
        <f>"9781135007270"</f>
        <v>9781135007270</v>
      </c>
      <c r="D5788" s="10" t="s">
        <v>6350</v>
      </c>
      <c r="E5788" s="10" t="s">
        <v>6351</v>
      </c>
      <c r="F5788" s="10" t="s">
        <v>139</v>
      </c>
      <c r="G5788" s="10" t="s">
        <v>6352</v>
      </c>
      <c r="H5788" s="11">
        <v>41990</v>
      </c>
      <c r="I5788" s="10">
        <v>2015</v>
      </c>
      <c r="J5788" s="10" t="s">
        <v>6353</v>
      </c>
      <c r="K5788" s="10">
        <v>381</v>
      </c>
      <c r="L5788" s="10" t="s">
        <v>29371</v>
      </c>
      <c r="M5788" s="10">
        <v>1</v>
      </c>
      <c r="N5788" s="10" t="s">
        <v>25543</v>
      </c>
      <c r="O5788" s="10"/>
      <c r="P5788" s="10" t="s">
        <v>29372</v>
      </c>
      <c r="Q5788" s="10">
        <v>323.60950000000003</v>
      </c>
      <c r="R5788" s="10" t="s">
        <v>23722</v>
      </c>
      <c r="S5788" s="10" t="s">
        <v>53</v>
      </c>
      <c r="T5788" s="10" t="s">
        <v>4859</v>
      </c>
    </row>
    <row r="5789" spans="1:20" ht="14.5" x14ac:dyDescent="0.35">
      <c r="A5789" s="10" t="s">
        <v>29373</v>
      </c>
      <c r="B5789" s="10" t="str">
        <f>"9781119000754"</f>
        <v>9781119000754</v>
      </c>
      <c r="C5789" s="10" t="str">
        <f>"9781119000778"</f>
        <v>9781119000778</v>
      </c>
      <c r="D5789" s="10" t="s">
        <v>6322</v>
      </c>
      <c r="E5789" s="10" t="s">
        <v>6323</v>
      </c>
      <c r="F5789" s="10" t="s">
        <v>6339</v>
      </c>
      <c r="G5789" s="10" t="s">
        <v>6317</v>
      </c>
      <c r="H5789" s="11">
        <v>41976</v>
      </c>
      <c r="I5789" s="10">
        <v>2014</v>
      </c>
      <c r="J5789" s="10" t="s">
        <v>6324</v>
      </c>
      <c r="K5789" s="10">
        <v>147</v>
      </c>
      <c r="L5789" s="10" t="s">
        <v>29374</v>
      </c>
      <c r="M5789" s="10">
        <v>1</v>
      </c>
      <c r="N5789" s="10" t="s">
        <v>23322</v>
      </c>
      <c r="O5789" s="10"/>
      <c r="P5789" s="10" t="s">
        <v>29375</v>
      </c>
      <c r="Q5789" s="10">
        <v>371.33</v>
      </c>
      <c r="R5789" s="10" t="s">
        <v>29376</v>
      </c>
      <c r="S5789" s="10" t="s">
        <v>53</v>
      </c>
      <c r="T5789" s="10" t="s">
        <v>54</v>
      </c>
    </row>
    <row r="5790" spans="1:20" ht="14.5" x14ac:dyDescent="0.35">
      <c r="A5790" s="10" t="s">
        <v>29377</v>
      </c>
      <c r="B5790" s="10" t="str">
        <f>"9781119045618"</f>
        <v>9781119045618</v>
      </c>
      <c r="C5790" s="10" t="str">
        <f>"9781119045540"</f>
        <v>9781119045540</v>
      </c>
      <c r="D5790" s="10" t="s">
        <v>6322</v>
      </c>
      <c r="E5790" s="10" t="s">
        <v>6323</v>
      </c>
      <c r="F5790" s="10" t="s">
        <v>13068</v>
      </c>
      <c r="G5790" s="10" t="s">
        <v>6317</v>
      </c>
      <c r="H5790" s="11">
        <v>41981</v>
      </c>
      <c r="I5790" s="10">
        <v>2014</v>
      </c>
      <c r="J5790" s="10" t="s">
        <v>6324</v>
      </c>
      <c r="K5790" s="10">
        <v>131</v>
      </c>
      <c r="L5790" s="10" t="s">
        <v>29378</v>
      </c>
      <c r="M5790" s="10">
        <v>1</v>
      </c>
      <c r="N5790" s="10" t="s">
        <v>23327</v>
      </c>
      <c r="O5790" s="10"/>
      <c r="P5790" s="10" t="s">
        <v>29379</v>
      </c>
      <c r="Q5790" s="10">
        <v>306.43</v>
      </c>
      <c r="R5790" s="10" t="s">
        <v>29380</v>
      </c>
      <c r="S5790" s="10" t="s">
        <v>53</v>
      </c>
      <c r="T5790" s="10" t="s">
        <v>6472</v>
      </c>
    </row>
    <row r="5791" spans="1:20" ht="14.5" x14ac:dyDescent="0.35">
      <c r="A5791" s="10" t="s">
        <v>29381</v>
      </c>
      <c r="B5791" s="10" t="str">
        <f>"9781784411367"</f>
        <v>9781784411367</v>
      </c>
      <c r="C5791" s="10" t="str">
        <f>"9781784411350"</f>
        <v>9781784411350</v>
      </c>
      <c r="D5791" s="10" t="s">
        <v>8699</v>
      </c>
      <c r="E5791" s="10" t="s">
        <v>8699</v>
      </c>
      <c r="F5791" s="10" t="s">
        <v>559</v>
      </c>
      <c r="G5791" s="10" t="s">
        <v>6352</v>
      </c>
      <c r="H5791" s="11">
        <v>41975</v>
      </c>
      <c r="I5791" s="10">
        <v>2014</v>
      </c>
      <c r="J5791" s="10" t="s">
        <v>8699</v>
      </c>
      <c r="K5791" s="10">
        <v>482</v>
      </c>
      <c r="L5791" s="10" t="s">
        <v>29382</v>
      </c>
      <c r="M5791" s="10">
        <v>1</v>
      </c>
      <c r="N5791" s="10" t="s">
        <v>17877</v>
      </c>
      <c r="O5791" s="10" t="s">
        <v>29383</v>
      </c>
      <c r="P5791" s="10" t="s">
        <v>29384</v>
      </c>
      <c r="Q5791" s="10">
        <v>370.71</v>
      </c>
      <c r="R5791" s="10" t="s">
        <v>6840</v>
      </c>
      <c r="S5791" s="10" t="s">
        <v>53</v>
      </c>
      <c r="T5791" s="10" t="s">
        <v>54</v>
      </c>
    </row>
    <row r="5792" spans="1:20" ht="14.5" x14ac:dyDescent="0.35">
      <c r="A5792" s="10" t="s">
        <v>29385</v>
      </c>
      <c r="B5792" s="10" t="str">
        <f>"9781118739747"</f>
        <v>9781118739747</v>
      </c>
      <c r="C5792" s="10" t="str">
        <f>"9781118739709"</f>
        <v>9781118739709</v>
      </c>
      <c r="D5792" s="10" t="s">
        <v>6322</v>
      </c>
      <c r="E5792" s="10" t="s">
        <v>6323</v>
      </c>
      <c r="F5792" s="10" t="s">
        <v>4423</v>
      </c>
      <c r="G5792" s="10" t="s">
        <v>6317</v>
      </c>
      <c r="H5792" s="11">
        <v>42031</v>
      </c>
      <c r="I5792" s="10">
        <v>2014</v>
      </c>
      <c r="J5792" s="10" t="s">
        <v>6324</v>
      </c>
      <c r="K5792" s="10">
        <v>306</v>
      </c>
      <c r="L5792" s="10" t="s">
        <v>29386</v>
      </c>
      <c r="M5792" s="10">
        <v>1</v>
      </c>
      <c r="N5792" s="10"/>
      <c r="O5792" s="10"/>
      <c r="P5792" s="10" t="s">
        <v>29387</v>
      </c>
      <c r="Q5792" s="10"/>
      <c r="R5792" s="10" t="s">
        <v>29388</v>
      </c>
      <c r="S5792" s="10" t="s">
        <v>53</v>
      </c>
      <c r="T5792" s="10" t="s">
        <v>54</v>
      </c>
    </row>
    <row r="5793" spans="1:20" ht="14.5" x14ac:dyDescent="0.35">
      <c r="A5793" s="10" t="s">
        <v>29389</v>
      </c>
      <c r="B5793" s="10" t="str">
        <f>"9781597563666"</f>
        <v>9781597563666</v>
      </c>
      <c r="C5793" s="10" t="str">
        <f>"9781597567015"</f>
        <v>9781597567015</v>
      </c>
      <c r="D5793" s="10" t="s">
        <v>29390</v>
      </c>
      <c r="E5793" s="10" t="s">
        <v>29391</v>
      </c>
      <c r="F5793" s="10" t="s">
        <v>1232</v>
      </c>
      <c r="G5793" s="10" t="s">
        <v>6317</v>
      </c>
      <c r="H5793" s="11">
        <v>40749</v>
      </c>
      <c r="I5793" s="10">
        <v>2011</v>
      </c>
      <c r="J5793" s="10" t="s">
        <v>29391</v>
      </c>
      <c r="K5793" s="10">
        <v>225</v>
      </c>
      <c r="L5793" s="10" t="s">
        <v>29391</v>
      </c>
      <c r="M5793" s="10">
        <v>1</v>
      </c>
      <c r="N5793" s="10"/>
      <c r="O5793" s="10"/>
      <c r="P5793" s="10"/>
      <c r="Q5793" s="10" t="s">
        <v>29392</v>
      </c>
      <c r="R5793" s="10"/>
      <c r="S5793" s="10" t="s">
        <v>53</v>
      </c>
      <c r="T5793" s="10" t="s">
        <v>54</v>
      </c>
    </row>
    <row r="5794" spans="1:20" ht="14.5" x14ac:dyDescent="0.35">
      <c r="A5794" s="10" t="s">
        <v>29393</v>
      </c>
      <c r="B5794" s="10" t="str">
        <f>"9781118941652"</f>
        <v>9781118941652</v>
      </c>
      <c r="C5794" s="10" t="str">
        <f>"9781118941669"</f>
        <v>9781118941669</v>
      </c>
      <c r="D5794" s="10" t="s">
        <v>6322</v>
      </c>
      <c r="E5794" s="10" t="s">
        <v>6323</v>
      </c>
      <c r="F5794" s="10" t="s">
        <v>6339</v>
      </c>
      <c r="G5794" s="10" t="s">
        <v>6317</v>
      </c>
      <c r="H5794" s="11">
        <v>41828</v>
      </c>
      <c r="I5794" s="10">
        <v>2014</v>
      </c>
      <c r="J5794" s="10" t="s">
        <v>6324</v>
      </c>
      <c r="K5794" s="10">
        <v>170</v>
      </c>
      <c r="L5794" s="10" t="s">
        <v>29394</v>
      </c>
      <c r="M5794" s="10">
        <v>1</v>
      </c>
      <c r="N5794" s="10" t="s">
        <v>23322</v>
      </c>
      <c r="O5794" s="10"/>
      <c r="P5794" s="10" t="s">
        <v>29395</v>
      </c>
      <c r="Q5794" s="10">
        <v>371.9</v>
      </c>
      <c r="R5794" s="10" t="s">
        <v>29396</v>
      </c>
      <c r="S5794" s="10" t="s">
        <v>53</v>
      </c>
      <c r="T5794" s="10" t="s">
        <v>54</v>
      </c>
    </row>
    <row r="5795" spans="1:20" ht="14.5" x14ac:dyDescent="0.35">
      <c r="A5795" s="10" t="s">
        <v>29397</v>
      </c>
      <c r="B5795" s="10" t="str">
        <f>"9781118947470"</f>
        <v>9781118947470</v>
      </c>
      <c r="C5795" s="10" t="str">
        <f>"9781118947487"</f>
        <v>9781118947487</v>
      </c>
      <c r="D5795" s="10" t="s">
        <v>6322</v>
      </c>
      <c r="E5795" s="10" t="s">
        <v>6323</v>
      </c>
      <c r="F5795" s="10" t="s">
        <v>6339</v>
      </c>
      <c r="G5795" s="10" t="s">
        <v>6317</v>
      </c>
      <c r="H5795" s="11">
        <v>41828</v>
      </c>
      <c r="I5795" s="10">
        <v>2014</v>
      </c>
      <c r="J5795" s="10" t="s">
        <v>6324</v>
      </c>
      <c r="K5795" s="10">
        <v>131</v>
      </c>
      <c r="L5795" s="10" t="s">
        <v>29398</v>
      </c>
      <c r="M5795" s="10">
        <v>1</v>
      </c>
      <c r="N5795" s="10" t="s">
        <v>23327</v>
      </c>
      <c r="O5795" s="10"/>
      <c r="P5795" s="10" t="s">
        <v>29399</v>
      </c>
      <c r="Q5795" s="10">
        <v>370.72</v>
      </c>
      <c r="R5795" s="10" t="s">
        <v>29400</v>
      </c>
      <c r="S5795" s="10" t="s">
        <v>53</v>
      </c>
      <c r="T5795" s="10" t="s">
        <v>54</v>
      </c>
    </row>
    <row r="5796" spans="1:20" ht="14.5" x14ac:dyDescent="0.35">
      <c r="A5796" s="10" t="s">
        <v>29401</v>
      </c>
      <c r="B5796" s="10" t="str">
        <f>"9781441122759"</f>
        <v>9781441122759</v>
      </c>
      <c r="C5796" s="10" t="str">
        <f>"9781441126092"</f>
        <v>9781441126092</v>
      </c>
      <c r="D5796" s="10" t="s">
        <v>9777</v>
      </c>
      <c r="E5796" s="10" t="s">
        <v>23825</v>
      </c>
      <c r="F5796" s="10" t="s">
        <v>70</v>
      </c>
      <c r="G5796" s="10" t="s">
        <v>6317</v>
      </c>
      <c r="H5796" s="11">
        <v>42047</v>
      </c>
      <c r="I5796" s="10">
        <v>2015</v>
      </c>
      <c r="J5796" s="10" t="s">
        <v>23825</v>
      </c>
      <c r="K5796" s="10">
        <v>193</v>
      </c>
      <c r="L5796" s="10" t="s">
        <v>29402</v>
      </c>
      <c r="M5796" s="10">
        <v>1</v>
      </c>
      <c r="N5796" s="10"/>
      <c r="O5796" s="10"/>
      <c r="P5796" s="10" t="s">
        <v>29403</v>
      </c>
      <c r="Q5796" s="10" t="s">
        <v>24268</v>
      </c>
      <c r="R5796" s="10" t="s">
        <v>29404</v>
      </c>
      <c r="S5796" s="10" t="s">
        <v>53</v>
      </c>
      <c r="T5796" s="10" t="s">
        <v>54</v>
      </c>
    </row>
    <row r="5797" spans="1:20" ht="14.5" x14ac:dyDescent="0.35">
      <c r="A5797" s="10" t="s">
        <v>29405</v>
      </c>
      <c r="B5797" s="10" t="str">
        <f>"9781441122438"</f>
        <v>9781441122438</v>
      </c>
      <c r="C5797" s="10" t="str">
        <f>"9781441183446"</f>
        <v>9781441183446</v>
      </c>
      <c r="D5797" s="10" t="s">
        <v>9777</v>
      </c>
      <c r="E5797" s="10" t="s">
        <v>23825</v>
      </c>
      <c r="F5797" s="10" t="s">
        <v>70</v>
      </c>
      <c r="G5797" s="10" t="s">
        <v>6317</v>
      </c>
      <c r="H5797" s="11">
        <v>42089</v>
      </c>
      <c r="I5797" s="10">
        <v>2013</v>
      </c>
      <c r="J5797" s="10" t="s">
        <v>23825</v>
      </c>
      <c r="K5797" s="10">
        <v>313</v>
      </c>
      <c r="L5797" s="10" t="s">
        <v>29406</v>
      </c>
      <c r="M5797" s="10">
        <v>1</v>
      </c>
      <c r="N5797" s="10"/>
      <c r="O5797" s="10"/>
      <c r="P5797" s="10" t="s">
        <v>8036</v>
      </c>
      <c r="Q5797" s="10">
        <v>370.1</v>
      </c>
      <c r="R5797" s="10" t="s">
        <v>22057</v>
      </c>
      <c r="S5797" s="10" t="s">
        <v>53</v>
      </c>
      <c r="T5797" s="10" t="s">
        <v>54</v>
      </c>
    </row>
    <row r="5798" spans="1:20" ht="14.5" x14ac:dyDescent="0.35">
      <c r="A5798" s="10" t="s">
        <v>29407</v>
      </c>
      <c r="B5798" s="10" t="str">
        <f>"9781556203244"</f>
        <v>9781556203244</v>
      </c>
      <c r="C5798" s="10" t="str">
        <f>"9781119026358"</f>
        <v>9781119026358</v>
      </c>
      <c r="D5798" s="10" t="s">
        <v>6322</v>
      </c>
      <c r="E5798" s="10" t="s">
        <v>2011</v>
      </c>
      <c r="F5798" s="10" t="s">
        <v>4423</v>
      </c>
      <c r="G5798" s="10" t="s">
        <v>6317</v>
      </c>
      <c r="H5798" s="11">
        <v>39479</v>
      </c>
      <c r="I5798" s="10">
        <v>2015</v>
      </c>
      <c r="J5798" s="10" t="s">
        <v>2011</v>
      </c>
      <c r="K5798" s="10">
        <v>364</v>
      </c>
      <c r="L5798" s="10" t="s">
        <v>29408</v>
      </c>
      <c r="M5798" s="10">
        <v>3</v>
      </c>
      <c r="N5798" s="10"/>
      <c r="O5798" s="10"/>
      <c r="P5798" s="10"/>
      <c r="Q5798" s="10">
        <v>371.4</v>
      </c>
      <c r="R5798" s="10" t="s">
        <v>29409</v>
      </c>
      <c r="S5798" s="10" t="s">
        <v>53</v>
      </c>
      <c r="T5798" s="10" t="s">
        <v>54</v>
      </c>
    </row>
    <row r="5799" spans="1:20" ht="14.5" x14ac:dyDescent="0.35">
      <c r="A5799" s="10" t="s">
        <v>29410</v>
      </c>
      <c r="B5799" s="10" t="str">
        <f>"9781848218017"</f>
        <v>9781848218017</v>
      </c>
      <c r="C5799" s="10" t="str">
        <f>"9781119081296"</f>
        <v>9781119081296</v>
      </c>
      <c r="D5799" s="10" t="s">
        <v>6322</v>
      </c>
      <c r="E5799" s="10" t="s">
        <v>6323</v>
      </c>
      <c r="F5799" s="10" t="s">
        <v>4423</v>
      </c>
      <c r="G5799" s="10" t="s">
        <v>6317</v>
      </c>
      <c r="H5799" s="11">
        <v>42079</v>
      </c>
      <c r="I5799" s="10">
        <v>2015</v>
      </c>
      <c r="J5799" s="10" t="s">
        <v>29411</v>
      </c>
      <c r="K5799" s="10">
        <v>143</v>
      </c>
      <c r="L5799" s="10" t="s">
        <v>29412</v>
      </c>
      <c r="M5799" s="10">
        <v>1</v>
      </c>
      <c r="N5799" s="10"/>
      <c r="O5799" s="10"/>
      <c r="P5799" s="10"/>
      <c r="Q5799" s="10">
        <v>371.33446780000003</v>
      </c>
      <c r="R5799" s="10" t="s">
        <v>29413</v>
      </c>
      <c r="S5799" s="10" t="s">
        <v>53</v>
      </c>
      <c r="T5799" s="10" t="s">
        <v>54</v>
      </c>
    </row>
    <row r="5800" spans="1:20" ht="14.5" x14ac:dyDescent="0.35">
      <c r="A5800" s="10" t="s">
        <v>29414</v>
      </c>
      <c r="B5800" s="10" t="str">
        <f>"9781118571354"</f>
        <v>9781118571354</v>
      </c>
      <c r="C5800" s="10" t="str">
        <f>"9781118571798"</f>
        <v>9781118571798</v>
      </c>
      <c r="D5800" s="10" t="s">
        <v>6322</v>
      </c>
      <c r="E5800" s="10" t="s">
        <v>6323</v>
      </c>
      <c r="F5800" s="10" t="s">
        <v>4423</v>
      </c>
      <c r="G5800" s="10" t="s">
        <v>6317</v>
      </c>
      <c r="H5800" s="11">
        <v>42142</v>
      </c>
      <c r="I5800" s="10">
        <v>2015</v>
      </c>
      <c r="J5800" s="10" t="s">
        <v>6323</v>
      </c>
      <c r="K5800" s="10">
        <v>225</v>
      </c>
      <c r="L5800" s="10" t="s">
        <v>29415</v>
      </c>
      <c r="M5800" s="10">
        <v>1</v>
      </c>
      <c r="N5800" s="10"/>
      <c r="O5800" s="10"/>
      <c r="P5800" s="10" t="s">
        <v>29416</v>
      </c>
      <c r="Q5800" s="10" t="s">
        <v>9298</v>
      </c>
      <c r="R5800" s="10" t="s">
        <v>29417</v>
      </c>
      <c r="S5800" s="10" t="s">
        <v>53</v>
      </c>
      <c r="T5800" s="10" t="s">
        <v>54</v>
      </c>
    </row>
    <row r="5801" spans="1:20" ht="14.5" x14ac:dyDescent="0.35">
      <c r="A5801" s="10" t="s">
        <v>29418</v>
      </c>
      <c r="B5801" s="10" t="str">
        <f>"9781118589205"</f>
        <v>9781118589205</v>
      </c>
      <c r="C5801" s="10" t="str">
        <f>"9781118705643"</f>
        <v>9781118705643</v>
      </c>
      <c r="D5801" s="10" t="s">
        <v>6322</v>
      </c>
      <c r="E5801" s="10" t="s">
        <v>6323</v>
      </c>
      <c r="F5801" s="10" t="s">
        <v>4423</v>
      </c>
      <c r="G5801" s="10" t="s">
        <v>6317</v>
      </c>
      <c r="H5801" s="11">
        <v>42121</v>
      </c>
      <c r="I5801" s="10">
        <v>2015</v>
      </c>
      <c r="J5801" s="10" t="s">
        <v>6323</v>
      </c>
      <c r="K5801" s="10">
        <v>189</v>
      </c>
      <c r="L5801" s="10" t="s">
        <v>29419</v>
      </c>
      <c r="M5801" s="10">
        <v>1</v>
      </c>
      <c r="N5801" s="10" t="s">
        <v>18778</v>
      </c>
      <c r="O5801" s="10"/>
      <c r="P5801" s="10"/>
      <c r="Q5801" s="10" t="s">
        <v>29420</v>
      </c>
      <c r="R5801" s="10" t="s">
        <v>29421</v>
      </c>
      <c r="S5801" s="10" t="s">
        <v>53</v>
      </c>
      <c r="T5801" s="10" t="s">
        <v>54</v>
      </c>
    </row>
    <row r="5802" spans="1:20" ht="14.5" x14ac:dyDescent="0.35">
      <c r="A5802" s="10" t="s">
        <v>29422</v>
      </c>
      <c r="B5802" s="10" t="str">
        <f>"9781118438978"</f>
        <v>9781118438978</v>
      </c>
      <c r="C5802" s="10" t="str">
        <f>"9781118746905"</f>
        <v>9781118746905</v>
      </c>
      <c r="D5802" s="10" t="s">
        <v>6322</v>
      </c>
      <c r="E5802" s="10" t="s">
        <v>6323</v>
      </c>
      <c r="F5802" s="10" t="s">
        <v>4423</v>
      </c>
      <c r="G5802" s="10" t="s">
        <v>6317</v>
      </c>
      <c r="H5802" s="11">
        <v>42065</v>
      </c>
      <c r="I5802" s="10">
        <v>2015</v>
      </c>
      <c r="J5802" s="10" t="s">
        <v>6324</v>
      </c>
      <c r="K5802" s="10">
        <v>243</v>
      </c>
      <c r="L5802" s="10" t="s">
        <v>29423</v>
      </c>
      <c r="M5802" s="10">
        <v>1</v>
      </c>
      <c r="N5802" s="10"/>
      <c r="O5802" s="10"/>
      <c r="P5802" s="10"/>
      <c r="Q5802" s="10">
        <v>374</v>
      </c>
      <c r="R5802" s="10" t="s">
        <v>6337</v>
      </c>
      <c r="S5802" s="10" t="s">
        <v>53</v>
      </c>
      <c r="T5802" s="10" t="s">
        <v>54</v>
      </c>
    </row>
    <row r="5803" spans="1:20" ht="14.5" x14ac:dyDescent="0.35">
      <c r="A5803" s="10" t="s">
        <v>29424</v>
      </c>
      <c r="B5803" s="10" t="str">
        <f>"9781118799154"</f>
        <v>9781118799154</v>
      </c>
      <c r="C5803" s="10" t="str">
        <f>"9781118799109"</f>
        <v>9781118799109</v>
      </c>
      <c r="D5803" s="10" t="s">
        <v>6322</v>
      </c>
      <c r="E5803" s="10" t="s">
        <v>6323</v>
      </c>
      <c r="F5803" s="10" t="s">
        <v>4423</v>
      </c>
      <c r="G5803" s="10" t="s">
        <v>6317</v>
      </c>
      <c r="H5803" s="11">
        <v>42024</v>
      </c>
      <c r="I5803" s="10">
        <v>2015</v>
      </c>
      <c r="J5803" s="10" t="s">
        <v>6323</v>
      </c>
      <c r="K5803" s="10">
        <v>367</v>
      </c>
      <c r="L5803" s="10" t="s">
        <v>29425</v>
      </c>
      <c r="M5803" s="10">
        <v>1</v>
      </c>
      <c r="N5803" s="10" t="s">
        <v>18778</v>
      </c>
      <c r="O5803" s="10"/>
      <c r="P5803" s="10" t="s">
        <v>29426</v>
      </c>
      <c r="Q5803" s="10">
        <v>371.26</v>
      </c>
      <c r="R5803" s="10" t="s">
        <v>29427</v>
      </c>
      <c r="S5803" s="10" t="s">
        <v>53</v>
      </c>
      <c r="T5803" s="10" t="s">
        <v>54</v>
      </c>
    </row>
    <row r="5804" spans="1:20" ht="14.5" x14ac:dyDescent="0.35">
      <c r="A5804" s="10" t="s">
        <v>29428</v>
      </c>
      <c r="B5804" s="10" t="str">
        <f>"9781118821770"</f>
        <v>9781118821770</v>
      </c>
      <c r="C5804" s="10" t="str">
        <f>"9781118821671"</f>
        <v>9781118821671</v>
      </c>
      <c r="D5804" s="10" t="s">
        <v>6322</v>
      </c>
      <c r="E5804" s="10" t="s">
        <v>6323</v>
      </c>
      <c r="F5804" s="10" t="s">
        <v>4423</v>
      </c>
      <c r="G5804" s="10" t="s">
        <v>6317</v>
      </c>
      <c r="H5804" s="11">
        <v>42037</v>
      </c>
      <c r="I5804" s="10">
        <v>2015</v>
      </c>
      <c r="J5804" s="10" t="s">
        <v>6324</v>
      </c>
      <c r="K5804" s="10">
        <v>395</v>
      </c>
      <c r="L5804" s="10" t="s">
        <v>29429</v>
      </c>
      <c r="M5804" s="10">
        <v>2</v>
      </c>
      <c r="N5804" s="10"/>
      <c r="O5804" s="10"/>
      <c r="P5804" s="10" t="s">
        <v>29430</v>
      </c>
      <c r="Q5804" s="10">
        <v>158.40710999999999</v>
      </c>
      <c r="R5804" s="10" t="s">
        <v>12602</v>
      </c>
      <c r="S5804" s="10" t="s">
        <v>53</v>
      </c>
      <c r="T5804" s="10" t="s">
        <v>6640</v>
      </c>
    </row>
    <row r="5805" spans="1:20" ht="14.5" x14ac:dyDescent="0.35">
      <c r="A5805" s="10" t="s">
        <v>29431</v>
      </c>
      <c r="B5805" s="10" t="str">
        <f>"9781118821824"</f>
        <v>9781118821824</v>
      </c>
      <c r="C5805" s="10" t="str">
        <f>"9781118821886"</f>
        <v>9781118821886</v>
      </c>
      <c r="D5805" s="10" t="s">
        <v>6322</v>
      </c>
      <c r="E5805" s="10" t="s">
        <v>6323</v>
      </c>
      <c r="F5805" s="10" t="s">
        <v>4423</v>
      </c>
      <c r="G5805" s="10" t="s">
        <v>6317</v>
      </c>
      <c r="H5805" s="11">
        <v>42037</v>
      </c>
      <c r="I5805" s="10">
        <v>2015</v>
      </c>
      <c r="J5805" s="10" t="s">
        <v>6324</v>
      </c>
      <c r="K5805" s="10">
        <v>257</v>
      </c>
      <c r="L5805" s="10" t="s">
        <v>29429</v>
      </c>
      <c r="M5805" s="10">
        <v>2</v>
      </c>
      <c r="N5805" s="10"/>
      <c r="O5805" s="10"/>
      <c r="P5805" s="10" t="s">
        <v>29432</v>
      </c>
      <c r="Q5805" s="10"/>
      <c r="R5805" s="10" t="s">
        <v>12602</v>
      </c>
      <c r="S5805" s="10" t="s">
        <v>53</v>
      </c>
      <c r="T5805" s="10" t="s">
        <v>54</v>
      </c>
    </row>
    <row r="5806" spans="1:20" ht="14.5" x14ac:dyDescent="0.35">
      <c r="A5806" s="10" t="s">
        <v>29433</v>
      </c>
      <c r="B5806" s="10" t="str">
        <f>"9781118894309"</f>
        <v>9781118894309</v>
      </c>
      <c r="C5806" s="10" t="str">
        <f>"9781118938959"</f>
        <v>9781118938959</v>
      </c>
      <c r="D5806" s="10" t="s">
        <v>6322</v>
      </c>
      <c r="E5806" s="10" t="s">
        <v>6323</v>
      </c>
      <c r="F5806" s="10" t="s">
        <v>4423</v>
      </c>
      <c r="G5806" s="10" t="s">
        <v>6317</v>
      </c>
      <c r="H5806" s="11">
        <v>42072</v>
      </c>
      <c r="I5806" s="10">
        <v>2015</v>
      </c>
      <c r="J5806" s="10" t="s">
        <v>6323</v>
      </c>
      <c r="K5806" s="10">
        <v>395</v>
      </c>
      <c r="L5806" s="10" t="s">
        <v>29434</v>
      </c>
      <c r="M5806" s="10">
        <v>1</v>
      </c>
      <c r="N5806" s="10" t="s">
        <v>27333</v>
      </c>
      <c r="O5806" s="10"/>
      <c r="P5806" s="10"/>
      <c r="Q5806" s="10">
        <v>371.33</v>
      </c>
      <c r="R5806" s="10" t="s">
        <v>29435</v>
      </c>
      <c r="S5806" s="10" t="s">
        <v>53</v>
      </c>
      <c r="T5806" s="10" t="s">
        <v>54</v>
      </c>
    </row>
    <row r="5807" spans="1:20" ht="14.5" x14ac:dyDescent="0.35">
      <c r="A5807" s="10" t="s">
        <v>29436</v>
      </c>
      <c r="B5807" s="10" t="str">
        <f>"9781118904794"</f>
        <v>9781118904794</v>
      </c>
      <c r="C5807" s="10" t="str">
        <f>"9781118904817"</f>
        <v>9781118904817</v>
      </c>
      <c r="D5807" s="10" t="s">
        <v>6322</v>
      </c>
      <c r="E5807" s="10" t="s">
        <v>6323</v>
      </c>
      <c r="F5807" s="10" t="s">
        <v>4423</v>
      </c>
      <c r="G5807" s="10" t="s">
        <v>6317</v>
      </c>
      <c r="H5807" s="11">
        <v>42072</v>
      </c>
      <c r="I5807" s="10">
        <v>2015</v>
      </c>
      <c r="J5807" s="10" t="s">
        <v>6324</v>
      </c>
      <c r="K5807" s="10">
        <v>238</v>
      </c>
      <c r="L5807" s="10" t="s">
        <v>29437</v>
      </c>
      <c r="M5807" s="10">
        <v>1</v>
      </c>
      <c r="N5807" s="10"/>
      <c r="O5807" s="10"/>
      <c r="P5807" s="10"/>
      <c r="Q5807" s="10" t="s">
        <v>10031</v>
      </c>
      <c r="R5807" s="10" t="s">
        <v>29438</v>
      </c>
      <c r="S5807" s="10" t="s">
        <v>53</v>
      </c>
      <c r="T5807" s="10" t="s">
        <v>54</v>
      </c>
    </row>
    <row r="5808" spans="1:20" ht="14.5" x14ac:dyDescent="0.35">
      <c r="A5808" s="10" t="s">
        <v>29439</v>
      </c>
      <c r="B5808" s="10" t="str">
        <f>"9781118769720"</f>
        <v>9781118769720</v>
      </c>
      <c r="C5808" s="10" t="str">
        <f>"9781118911587"</f>
        <v>9781118911587</v>
      </c>
      <c r="D5808" s="10" t="s">
        <v>6322</v>
      </c>
      <c r="E5808" s="10" t="s">
        <v>6323</v>
      </c>
      <c r="F5808" s="10" t="s">
        <v>4423</v>
      </c>
      <c r="G5808" s="10" t="s">
        <v>6317</v>
      </c>
      <c r="H5808" s="11">
        <v>42072</v>
      </c>
      <c r="I5808" s="10">
        <v>2015</v>
      </c>
      <c r="J5808" s="10" t="s">
        <v>6324</v>
      </c>
      <c r="K5808" s="10">
        <v>243</v>
      </c>
      <c r="L5808" s="10" t="s">
        <v>20068</v>
      </c>
      <c r="M5808" s="10">
        <v>1</v>
      </c>
      <c r="N5808" s="10"/>
      <c r="O5808" s="10"/>
      <c r="P5808" s="10"/>
      <c r="Q5808" s="10">
        <v>372.4</v>
      </c>
      <c r="R5808" s="10" t="s">
        <v>29440</v>
      </c>
      <c r="S5808" s="10" t="s">
        <v>53</v>
      </c>
      <c r="T5808" s="10" t="s">
        <v>54</v>
      </c>
    </row>
    <row r="5809" spans="1:20" ht="14.5" x14ac:dyDescent="0.35">
      <c r="A5809" s="10" t="s">
        <v>29441</v>
      </c>
      <c r="B5809" s="10" t="str">
        <f>"9781118821787"</f>
        <v>9781118821787</v>
      </c>
      <c r="C5809" s="10" t="str">
        <f>"9781118932315"</f>
        <v>9781118932315</v>
      </c>
      <c r="D5809" s="10" t="s">
        <v>6322</v>
      </c>
      <c r="E5809" s="10" t="s">
        <v>6323</v>
      </c>
      <c r="F5809" s="10" t="s">
        <v>4423</v>
      </c>
      <c r="G5809" s="10" t="s">
        <v>6317</v>
      </c>
      <c r="H5809" s="11">
        <v>42024</v>
      </c>
      <c r="I5809" s="10">
        <v>2015</v>
      </c>
      <c r="J5809" s="10" t="s">
        <v>6324</v>
      </c>
      <c r="K5809" s="10">
        <v>286</v>
      </c>
      <c r="L5809" s="10" t="s">
        <v>29429</v>
      </c>
      <c r="M5809" s="10">
        <v>2</v>
      </c>
      <c r="N5809" s="10"/>
      <c r="O5809" s="10"/>
      <c r="P5809" s="10"/>
      <c r="Q5809" s="10"/>
      <c r="R5809" s="10" t="s">
        <v>12602</v>
      </c>
      <c r="S5809" s="10" t="s">
        <v>53</v>
      </c>
      <c r="T5809" s="10" t="s">
        <v>8760</v>
      </c>
    </row>
    <row r="5810" spans="1:20" ht="14.5" x14ac:dyDescent="0.35">
      <c r="A5810" s="10" t="s">
        <v>29442</v>
      </c>
      <c r="B5810" s="10" t="str">
        <f>"9781118954911"</f>
        <v>9781118954911</v>
      </c>
      <c r="C5810" s="10" t="str">
        <f>"9781118954959"</f>
        <v>9781118954959</v>
      </c>
      <c r="D5810" s="10" t="s">
        <v>6322</v>
      </c>
      <c r="E5810" s="10" t="s">
        <v>6323</v>
      </c>
      <c r="F5810" s="10" t="s">
        <v>4423</v>
      </c>
      <c r="G5810" s="10" t="s">
        <v>6317</v>
      </c>
      <c r="H5810" s="11">
        <v>42093</v>
      </c>
      <c r="I5810" s="10">
        <v>2015</v>
      </c>
      <c r="J5810" s="10" t="s">
        <v>6324</v>
      </c>
      <c r="K5810" s="10">
        <v>332</v>
      </c>
      <c r="L5810" s="10" t="s">
        <v>29443</v>
      </c>
      <c r="M5810" s="10">
        <v>1</v>
      </c>
      <c r="N5810" s="10"/>
      <c r="O5810" s="10"/>
      <c r="P5810" s="10"/>
      <c r="Q5810" s="10"/>
      <c r="R5810" s="10" t="s">
        <v>29444</v>
      </c>
      <c r="S5810" s="10" t="s">
        <v>53</v>
      </c>
      <c r="T5810" s="10" t="s">
        <v>54</v>
      </c>
    </row>
    <row r="5811" spans="1:20" ht="14.5" x14ac:dyDescent="0.35">
      <c r="A5811" s="10" t="s">
        <v>29445</v>
      </c>
      <c r="B5811" s="10" t="str">
        <f>"9781118971956"</f>
        <v>9781118971956</v>
      </c>
      <c r="C5811" s="10" t="str">
        <f>"9781118971970"</f>
        <v>9781118971970</v>
      </c>
      <c r="D5811" s="10" t="s">
        <v>6322</v>
      </c>
      <c r="E5811" s="10" t="s">
        <v>15260</v>
      </c>
      <c r="F5811" s="10" t="s">
        <v>4423</v>
      </c>
      <c r="G5811" s="10" t="s">
        <v>6317</v>
      </c>
      <c r="H5811" s="11">
        <v>42128</v>
      </c>
      <c r="I5811" s="10">
        <v>2015</v>
      </c>
      <c r="J5811" s="10" t="s">
        <v>15260</v>
      </c>
      <c r="K5811" s="10">
        <v>339</v>
      </c>
      <c r="L5811" s="10" t="s">
        <v>29446</v>
      </c>
      <c r="M5811" s="10">
        <v>1</v>
      </c>
      <c r="N5811" s="10" t="s">
        <v>29447</v>
      </c>
      <c r="O5811" s="10"/>
      <c r="P5811" s="10"/>
      <c r="Q5811" s="10"/>
      <c r="R5811" s="10" t="s">
        <v>7970</v>
      </c>
      <c r="S5811" s="10" t="s">
        <v>53</v>
      </c>
      <c r="T5811" s="10" t="s">
        <v>6660</v>
      </c>
    </row>
    <row r="5812" spans="1:20" ht="14.5" x14ac:dyDescent="0.35">
      <c r="A5812" s="10" t="s">
        <v>29448</v>
      </c>
      <c r="B5812" s="10" t="str">
        <f>"9781118821664"</f>
        <v>9781118821664</v>
      </c>
      <c r="C5812" s="10" t="str">
        <f>"9781118973790"</f>
        <v>9781118973790</v>
      </c>
      <c r="D5812" s="10" t="s">
        <v>6322</v>
      </c>
      <c r="E5812" s="10" t="s">
        <v>6323</v>
      </c>
      <c r="F5812" s="10" t="s">
        <v>4423</v>
      </c>
      <c r="G5812" s="10" t="s">
        <v>6317</v>
      </c>
      <c r="H5812" s="11">
        <v>42037</v>
      </c>
      <c r="I5812" s="10">
        <v>2015</v>
      </c>
      <c r="J5812" s="10" t="s">
        <v>6324</v>
      </c>
      <c r="K5812" s="10">
        <v>25</v>
      </c>
      <c r="L5812" s="10" t="s">
        <v>29449</v>
      </c>
      <c r="M5812" s="10">
        <v>2</v>
      </c>
      <c r="N5812" s="10"/>
      <c r="O5812" s="10"/>
      <c r="P5812" s="10"/>
      <c r="Q5812" s="10">
        <v>158.4</v>
      </c>
      <c r="R5812" s="10" t="s">
        <v>12602</v>
      </c>
      <c r="S5812" s="10" t="s">
        <v>53</v>
      </c>
      <c r="T5812" s="10" t="s">
        <v>483</v>
      </c>
    </row>
    <row r="5813" spans="1:20" ht="14.5" x14ac:dyDescent="0.35">
      <c r="A5813" s="10" t="s">
        <v>29450</v>
      </c>
      <c r="B5813" s="10" t="str">
        <f>"9781118973974"</f>
        <v>9781118973974</v>
      </c>
      <c r="C5813" s="10" t="str">
        <f>"9781118974148"</f>
        <v>9781118974148</v>
      </c>
      <c r="D5813" s="10" t="s">
        <v>6322</v>
      </c>
      <c r="E5813" s="10" t="s">
        <v>6323</v>
      </c>
      <c r="F5813" s="10" t="s">
        <v>4423</v>
      </c>
      <c r="G5813" s="10" t="s">
        <v>6317</v>
      </c>
      <c r="H5813" s="11">
        <v>42031</v>
      </c>
      <c r="I5813" s="10">
        <v>2015</v>
      </c>
      <c r="J5813" s="10" t="s">
        <v>6323</v>
      </c>
      <c r="K5813" s="10">
        <v>562</v>
      </c>
      <c r="L5813" s="10" t="s">
        <v>29451</v>
      </c>
      <c r="M5813" s="10">
        <v>3</v>
      </c>
      <c r="N5813" s="10"/>
      <c r="O5813" s="10"/>
      <c r="P5813" s="10"/>
      <c r="Q5813" s="10" t="s">
        <v>29452</v>
      </c>
      <c r="R5813" s="10" t="s">
        <v>29453</v>
      </c>
      <c r="S5813" s="10" t="s">
        <v>53</v>
      </c>
      <c r="T5813" s="10" t="s">
        <v>54</v>
      </c>
    </row>
    <row r="5814" spans="1:20" ht="14.5" x14ac:dyDescent="0.35">
      <c r="A5814" s="10" t="s">
        <v>29454</v>
      </c>
      <c r="B5814" s="10" t="str">
        <f>"9781118974209"</f>
        <v>9781118974209</v>
      </c>
      <c r="C5814" s="10" t="str">
        <f>"9781118974223"</f>
        <v>9781118974223</v>
      </c>
      <c r="D5814" s="10" t="s">
        <v>6322</v>
      </c>
      <c r="E5814" s="10" t="s">
        <v>6323</v>
      </c>
      <c r="F5814" s="10" t="s">
        <v>4423</v>
      </c>
      <c r="G5814" s="10" t="s">
        <v>6317</v>
      </c>
      <c r="H5814" s="11">
        <v>42037</v>
      </c>
      <c r="I5814" s="10">
        <v>2015</v>
      </c>
      <c r="J5814" s="10" t="s">
        <v>6324</v>
      </c>
      <c r="K5814" s="10">
        <v>333</v>
      </c>
      <c r="L5814" s="10" t="s">
        <v>29455</v>
      </c>
      <c r="M5814" s="10">
        <v>1</v>
      </c>
      <c r="N5814" s="10"/>
      <c r="O5814" s="10"/>
      <c r="P5814" s="10" t="s">
        <v>29456</v>
      </c>
      <c r="Q5814" s="10">
        <v>371.3</v>
      </c>
      <c r="R5814" s="10" t="s">
        <v>29457</v>
      </c>
      <c r="S5814" s="10" t="s">
        <v>53</v>
      </c>
      <c r="T5814" s="10" t="s">
        <v>54</v>
      </c>
    </row>
    <row r="5815" spans="1:20" ht="14.5" x14ac:dyDescent="0.35">
      <c r="A5815" s="10" t="s">
        <v>29458</v>
      </c>
      <c r="B5815" s="10" t="str">
        <f>"9781118974605"</f>
        <v>9781118974605</v>
      </c>
      <c r="C5815" s="10" t="str">
        <f>"9781118975060"</f>
        <v>9781118975060</v>
      </c>
      <c r="D5815" s="10" t="s">
        <v>6322</v>
      </c>
      <c r="E5815" s="10" t="s">
        <v>6323</v>
      </c>
      <c r="F5815" s="10" t="s">
        <v>4423</v>
      </c>
      <c r="G5815" s="10" t="s">
        <v>6317</v>
      </c>
      <c r="H5815" s="11">
        <v>42072</v>
      </c>
      <c r="I5815" s="10">
        <v>2014</v>
      </c>
      <c r="J5815" s="10" t="s">
        <v>6324</v>
      </c>
      <c r="K5815" s="10">
        <v>387</v>
      </c>
      <c r="L5815" s="10" t="s">
        <v>29459</v>
      </c>
      <c r="M5815" s="10">
        <v>1</v>
      </c>
      <c r="N5815" s="10"/>
      <c r="O5815" s="10"/>
      <c r="P5815" s="10"/>
      <c r="Q5815" s="10" t="s">
        <v>9870</v>
      </c>
      <c r="R5815" s="10" t="s">
        <v>29460</v>
      </c>
      <c r="S5815" s="10" t="s">
        <v>53</v>
      </c>
      <c r="T5815" s="10" t="s">
        <v>54</v>
      </c>
    </row>
    <row r="5816" spans="1:20" ht="14.5" x14ac:dyDescent="0.35">
      <c r="A5816" s="10" t="s">
        <v>29461</v>
      </c>
      <c r="B5816" s="10" t="str">
        <f>"9781118299487"</f>
        <v>9781118299487</v>
      </c>
      <c r="C5816" s="10" t="str">
        <f>"9781118989319"</f>
        <v>9781118989319</v>
      </c>
      <c r="D5816" s="10" t="s">
        <v>6322</v>
      </c>
      <c r="E5816" s="10" t="s">
        <v>6323</v>
      </c>
      <c r="F5816" s="10" t="s">
        <v>4423</v>
      </c>
      <c r="G5816" s="10" t="s">
        <v>6317</v>
      </c>
      <c r="H5816" s="11">
        <v>42037</v>
      </c>
      <c r="I5816" s="10">
        <v>2015</v>
      </c>
      <c r="J5816" s="10" t="s">
        <v>6324</v>
      </c>
      <c r="K5816" s="10">
        <v>259</v>
      </c>
      <c r="L5816" s="10" t="s">
        <v>29462</v>
      </c>
      <c r="M5816" s="10">
        <v>1</v>
      </c>
      <c r="N5816" s="10"/>
      <c r="O5816" s="10"/>
      <c r="P5816" s="10"/>
      <c r="Q5816" s="10">
        <v>378.101</v>
      </c>
      <c r="R5816" s="10" t="s">
        <v>29463</v>
      </c>
      <c r="S5816" s="10" t="s">
        <v>53</v>
      </c>
      <c r="T5816" s="10" t="s">
        <v>54</v>
      </c>
    </row>
    <row r="5817" spans="1:20" ht="14.5" x14ac:dyDescent="0.35">
      <c r="A5817" s="10" t="s">
        <v>29464</v>
      </c>
      <c r="B5817" s="10" t="str">
        <f>"9781119001010"</f>
        <v>9781119001010</v>
      </c>
      <c r="C5817" s="10" t="str">
        <f>"9781119001034"</f>
        <v>9781119001034</v>
      </c>
      <c r="D5817" s="10" t="s">
        <v>6322</v>
      </c>
      <c r="E5817" s="10" t="s">
        <v>6323</v>
      </c>
      <c r="F5817" s="10" t="s">
        <v>4423</v>
      </c>
      <c r="G5817" s="10" t="s">
        <v>6317</v>
      </c>
      <c r="H5817" s="11">
        <v>42024</v>
      </c>
      <c r="I5817" s="10">
        <v>2015</v>
      </c>
      <c r="J5817" s="10" t="s">
        <v>6324</v>
      </c>
      <c r="K5817" s="10">
        <v>736</v>
      </c>
      <c r="L5817" s="10"/>
      <c r="M5817" s="10">
        <v>1</v>
      </c>
      <c r="N5817" s="10"/>
      <c r="O5817" s="10"/>
      <c r="P5817" s="10"/>
      <c r="Q5817" s="10"/>
      <c r="R5817" s="10" t="s">
        <v>23803</v>
      </c>
      <c r="S5817" s="10" t="s">
        <v>53</v>
      </c>
      <c r="T5817" s="10" t="s">
        <v>54</v>
      </c>
    </row>
    <row r="5818" spans="1:20" ht="14.5" x14ac:dyDescent="0.35">
      <c r="A5818" s="10" t="s">
        <v>29465</v>
      </c>
      <c r="B5818" s="10" t="str">
        <f>"9781118893760"</f>
        <v>9781118893760</v>
      </c>
      <c r="C5818" s="10" t="str">
        <f>"9781119010241"</f>
        <v>9781119010241</v>
      </c>
      <c r="D5818" s="10" t="s">
        <v>6322</v>
      </c>
      <c r="E5818" s="10" t="s">
        <v>6323</v>
      </c>
      <c r="F5818" s="10" t="s">
        <v>4423</v>
      </c>
      <c r="G5818" s="10" t="s">
        <v>6317</v>
      </c>
      <c r="H5818" s="11">
        <v>42058</v>
      </c>
      <c r="I5818" s="10">
        <v>2015</v>
      </c>
      <c r="J5818" s="10" t="s">
        <v>6323</v>
      </c>
      <c r="K5818" s="10">
        <v>282</v>
      </c>
      <c r="L5818" s="10" t="s">
        <v>29466</v>
      </c>
      <c r="M5818" s="10">
        <v>1</v>
      </c>
      <c r="N5818" s="10" t="s">
        <v>29467</v>
      </c>
      <c r="O5818" s="10"/>
      <c r="P5818" s="10" t="s">
        <v>29468</v>
      </c>
      <c r="Q5818" s="10">
        <v>371.3</v>
      </c>
      <c r="R5818" s="10" t="s">
        <v>29469</v>
      </c>
      <c r="S5818" s="10" t="s">
        <v>53</v>
      </c>
      <c r="T5818" s="10" t="s">
        <v>54</v>
      </c>
    </row>
    <row r="5819" spans="1:20" ht="14.5" x14ac:dyDescent="0.35">
      <c r="A5819" s="10" t="s">
        <v>29470</v>
      </c>
      <c r="B5819" s="10" t="str">
        <f>"9781119017493"</f>
        <v>9781119017493</v>
      </c>
      <c r="C5819" s="10" t="str">
        <f>"9781119017516"</f>
        <v>9781119017516</v>
      </c>
      <c r="D5819" s="10" t="s">
        <v>6322</v>
      </c>
      <c r="E5819" s="10" t="s">
        <v>6323</v>
      </c>
      <c r="F5819" s="10" t="s">
        <v>6339</v>
      </c>
      <c r="G5819" s="10" t="s">
        <v>6317</v>
      </c>
      <c r="H5819" s="11">
        <v>41995</v>
      </c>
      <c r="I5819" s="10">
        <v>2014</v>
      </c>
      <c r="J5819" s="10" t="s">
        <v>6324</v>
      </c>
      <c r="K5819" s="10">
        <v>115</v>
      </c>
      <c r="L5819" s="10" t="s">
        <v>29471</v>
      </c>
      <c r="M5819" s="10">
        <v>1</v>
      </c>
      <c r="N5819" s="10" t="s">
        <v>25112</v>
      </c>
      <c r="O5819" s="10"/>
      <c r="P5819" s="10" t="s">
        <v>29472</v>
      </c>
      <c r="Q5819" s="10">
        <v>378</v>
      </c>
      <c r="R5819" s="10" t="s">
        <v>29473</v>
      </c>
      <c r="S5819" s="10" t="s">
        <v>53</v>
      </c>
      <c r="T5819" s="10" t="s">
        <v>54</v>
      </c>
    </row>
    <row r="5820" spans="1:20" ht="14.5" x14ac:dyDescent="0.35">
      <c r="A5820" s="10" t="s">
        <v>29474</v>
      </c>
      <c r="B5820" s="10" t="str">
        <f>"9781118450291"</f>
        <v>9781118450291</v>
      </c>
      <c r="C5820" s="10" t="str">
        <f>"9781119019879"</f>
        <v>9781119019879</v>
      </c>
      <c r="D5820" s="10" t="s">
        <v>6322</v>
      </c>
      <c r="E5820" s="10" t="s">
        <v>6323</v>
      </c>
      <c r="F5820" s="10" t="s">
        <v>4423</v>
      </c>
      <c r="G5820" s="10" t="s">
        <v>6317</v>
      </c>
      <c r="H5820" s="11">
        <v>42072</v>
      </c>
      <c r="I5820" s="10">
        <v>2015</v>
      </c>
      <c r="J5820" s="10" t="s">
        <v>6324</v>
      </c>
      <c r="K5820" s="10">
        <v>341</v>
      </c>
      <c r="L5820" s="10" t="s">
        <v>24764</v>
      </c>
      <c r="M5820" s="10">
        <v>3</v>
      </c>
      <c r="N5820" s="10"/>
      <c r="O5820" s="10"/>
      <c r="P5820" s="10"/>
      <c r="Q5820" s="10" t="s">
        <v>9298</v>
      </c>
      <c r="R5820" s="10" t="s">
        <v>8224</v>
      </c>
      <c r="S5820" s="10" t="s">
        <v>53</v>
      </c>
      <c r="T5820" s="10" t="s">
        <v>54</v>
      </c>
    </row>
    <row r="5821" spans="1:20" ht="14.5" x14ac:dyDescent="0.35">
      <c r="A5821" s="10" t="s">
        <v>29475</v>
      </c>
      <c r="B5821" s="10" t="str">
        <f>"9781119021803"</f>
        <v>9781119021803</v>
      </c>
      <c r="C5821" s="10" t="str">
        <f>"9781119021940"</f>
        <v>9781119021940</v>
      </c>
      <c r="D5821" s="10" t="s">
        <v>6322</v>
      </c>
      <c r="E5821" s="10" t="s">
        <v>6323</v>
      </c>
      <c r="F5821" s="10" t="s">
        <v>6339</v>
      </c>
      <c r="G5821" s="10" t="s">
        <v>6317</v>
      </c>
      <c r="H5821" s="11">
        <v>41995</v>
      </c>
      <c r="I5821" s="10">
        <v>2014</v>
      </c>
      <c r="J5821" s="10" t="s">
        <v>6324</v>
      </c>
      <c r="K5821" s="10">
        <v>107</v>
      </c>
      <c r="L5821" s="10" t="s">
        <v>29476</v>
      </c>
      <c r="M5821" s="10">
        <v>1</v>
      </c>
      <c r="N5821" s="10" t="s">
        <v>20707</v>
      </c>
      <c r="O5821" s="10"/>
      <c r="P5821" s="10" t="s">
        <v>29477</v>
      </c>
      <c r="Q5821" s="10">
        <v>374.18299607300003</v>
      </c>
      <c r="R5821" s="10" t="s">
        <v>29478</v>
      </c>
      <c r="S5821" s="10" t="s">
        <v>53</v>
      </c>
      <c r="T5821" s="10" t="s">
        <v>54</v>
      </c>
    </row>
    <row r="5822" spans="1:20" ht="14.5" x14ac:dyDescent="0.35">
      <c r="A5822" s="10" t="s">
        <v>29479</v>
      </c>
      <c r="B5822" s="10" t="str">
        <f>"9781119023845"</f>
        <v>9781119023845</v>
      </c>
      <c r="C5822" s="10" t="str">
        <f>"9781119023999"</f>
        <v>9781119023999</v>
      </c>
      <c r="D5822" s="10" t="s">
        <v>6322</v>
      </c>
      <c r="E5822" s="10" t="s">
        <v>6323</v>
      </c>
      <c r="F5822" s="10" t="s">
        <v>6339</v>
      </c>
      <c r="G5822" s="10" t="s">
        <v>6317</v>
      </c>
      <c r="H5822" s="11">
        <v>42004</v>
      </c>
      <c r="I5822" s="10">
        <v>2014</v>
      </c>
      <c r="J5822" s="10" t="s">
        <v>6324</v>
      </c>
      <c r="K5822" s="10">
        <v>114</v>
      </c>
      <c r="L5822" s="10" t="s">
        <v>29480</v>
      </c>
      <c r="M5822" s="10">
        <v>1</v>
      </c>
      <c r="N5822" s="10" t="s">
        <v>21283</v>
      </c>
      <c r="O5822" s="10"/>
      <c r="P5822" s="10" t="s">
        <v>29481</v>
      </c>
      <c r="Q5822" s="10">
        <v>378.19425000000001</v>
      </c>
      <c r="R5822" s="10" t="s">
        <v>29482</v>
      </c>
      <c r="S5822" s="10" t="s">
        <v>53</v>
      </c>
      <c r="T5822" s="10" t="s">
        <v>54</v>
      </c>
    </row>
    <row r="5823" spans="1:20" ht="14.5" x14ac:dyDescent="0.35">
      <c r="A5823" s="10" t="s">
        <v>29483</v>
      </c>
      <c r="B5823" s="10" t="str">
        <f>"9781119036470"</f>
        <v>9781119036470</v>
      </c>
      <c r="C5823" s="10" t="str">
        <f>"9781119036340"</f>
        <v>9781119036340</v>
      </c>
      <c r="D5823" s="10" t="s">
        <v>6322</v>
      </c>
      <c r="E5823" s="10" t="s">
        <v>6323</v>
      </c>
      <c r="F5823" s="10" t="s">
        <v>13068</v>
      </c>
      <c r="G5823" s="10" t="s">
        <v>6317</v>
      </c>
      <c r="H5823" s="11">
        <v>42004</v>
      </c>
      <c r="I5823" s="10">
        <v>2014</v>
      </c>
      <c r="J5823" s="10" t="s">
        <v>6324</v>
      </c>
      <c r="K5823" s="10">
        <v>99</v>
      </c>
      <c r="L5823" s="10" t="s">
        <v>29484</v>
      </c>
      <c r="M5823" s="10">
        <v>1</v>
      </c>
      <c r="N5823" s="10" t="s">
        <v>20712</v>
      </c>
      <c r="O5823" s="10"/>
      <c r="P5823" s="10" t="s">
        <v>29485</v>
      </c>
      <c r="Q5823" s="10">
        <v>371.90460000000002</v>
      </c>
      <c r="R5823" s="10" t="s">
        <v>29486</v>
      </c>
      <c r="S5823" s="10" t="s">
        <v>53</v>
      </c>
      <c r="T5823" s="10" t="s">
        <v>54</v>
      </c>
    </row>
    <row r="5824" spans="1:20" ht="14.5" x14ac:dyDescent="0.35">
      <c r="A5824" s="10" t="s">
        <v>29487</v>
      </c>
      <c r="B5824" s="10" t="str">
        <f>"9781119041566"</f>
        <v>9781119041566</v>
      </c>
      <c r="C5824" s="10" t="str">
        <f>"9781119041641"</f>
        <v>9781119041641</v>
      </c>
      <c r="D5824" s="10" t="s">
        <v>6322</v>
      </c>
      <c r="E5824" s="10" t="s">
        <v>6323</v>
      </c>
      <c r="F5824" s="10" t="s">
        <v>6339</v>
      </c>
      <c r="G5824" s="10" t="s">
        <v>6317</v>
      </c>
      <c r="H5824" s="11">
        <v>42016</v>
      </c>
      <c r="I5824" s="10">
        <v>2014</v>
      </c>
      <c r="J5824" s="10" t="s">
        <v>6324</v>
      </c>
      <c r="K5824" s="10">
        <v>147</v>
      </c>
      <c r="L5824" s="10" t="s">
        <v>29488</v>
      </c>
      <c r="M5824" s="10">
        <v>1</v>
      </c>
      <c r="N5824" s="10" t="s">
        <v>22922</v>
      </c>
      <c r="O5824" s="10"/>
      <c r="P5824" s="10" t="s">
        <v>14611</v>
      </c>
      <c r="Q5824" s="10" t="s">
        <v>29489</v>
      </c>
      <c r="R5824" s="10" t="s">
        <v>29490</v>
      </c>
      <c r="S5824" s="10" t="s">
        <v>53</v>
      </c>
      <c r="T5824" s="10" t="s">
        <v>54</v>
      </c>
    </row>
    <row r="5825" spans="1:20" ht="14.5" x14ac:dyDescent="0.35">
      <c r="A5825" s="10" t="s">
        <v>29491</v>
      </c>
      <c r="B5825" s="10" t="str">
        <f>"9781119044215"</f>
        <v>9781119044215</v>
      </c>
      <c r="C5825" s="10" t="str">
        <f>"9781119044055"</f>
        <v>9781119044055</v>
      </c>
      <c r="D5825" s="10" t="s">
        <v>6322</v>
      </c>
      <c r="E5825" s="10" t="s">
        <v>6323</v>
      </c>
      <c r="F5825" s="10" t="s">
        <v>4423</v>
      </c>
      <c r="G5825" s="10" t="s">
        <v>6317</v>
      </c>
      <c r="H5825" s="11">
        <v>42121</v>
      </c>
      <c r="I5825" s="10">
        <v>2015</v>
      </c>
      <c r="J5825" s="10" t="s">
        <v>6324</v>
      </c>
      <c r="K5825" s="10">
        <v>201</v>
      </c>
      <c r="L5825" s="10" t="s">
        <v>29492</v>
      </c>
      <c r="M5825" s="10">
        <v>1</v>
      </c>
      <c r="N5825" s="10"/>
      <c r="O5825" s="10"/>
      <c r="P5825" s="10" t="s">
        <v>29493</v>
      </c>
      <c r="Q5825" s="10">
        <v>371.2</v>
      </c>
      <c r="R5825" s="10" t="s">
        <v>27419</v>
      </c>
      <c r="S5825" s="10" t="s">
        <v>53</v>
      </c>
      <c r="T5825" s="10" t="s">
        <v>54</v>
      </c>
    </row>
    <row r="5826" spans="1:20" ht="14.5" x14ac:dyDescent="0.35">
      <c r="A5826" s="10" t="s">
        <v>29494</v>
      </c>
      <c r="B5826" s="10" t="str">
        <f>"9781119049067"</f>
        <v>9781119049067</v>
      </c>
      <c r="C5826" s="10" t="str">
        <f>"9781119049159"</f>
        <v>9781119049159</v>
      </c>
      <c r="D5826" s="10" t="s">
        <v>6322</v>
      </c>
      <c r="E5826" s="10" t="s">
        <v>6323</v>
      </c>
      <c r="F5826" s="10" t="s">
        <v>6339</v>
      </c>
      <c r="G5826" s="10" t="s">
        <v>6317</v>
      </c>
      <c r="H5826" s="11">
        <v>42004</v>
      </c>
      <c r="I5826" s="10">
        <v>2014</v>
      </c>
      <c r="J5826" s="10" t="s">
        <v>6324</v>
      </c>
      <c r="K5826" s="10">
        <v>155</v>
      </c>
      <c r="L5826" s="10" t="s">
        <v>29495</v>
      </c>
      <c r="M5826" s="10">
        <v>1</v>
      </c>
      <c r="N5826" s="10" t="s">
        <v>23322</v>
      </c>
      <c r="O5826" s="10"/>
      <c r="P5826" s="10" t="s">
        <v>29496</v>
      </c>
      <c r="Q5826" s="10">
        <v>378.1</v>
      </c>
      <c r="R5826" s="10" t="s">
        <v>29497</v>
      </c>
      <c r="S5826" s="10" t="s">
        <v>53</v>
      </c>
      <c r="T5826" s="10" t="s">
        <v>54</v>
      </c>
    </row>
    <row r="5827" spans="1:20" ht="14.5" x14ac:dyDescent="0.35">
      <c r="A5827" s="10" t="s">
        <v>29498</v>
      </c>
      <c r="B5827" s="10" t="str">
        <f>"9781119054184"</f>
        <v>9781119054184</v>
      </c>
      <c r="C5827" s="10" t="str">
        <f>"9781119054290"</f>
        <v>9781119054290</v>
      </c>
      <c r="D5827" s="10" t="s">
        <v>6322</v>
      </c>
      <c r="E5827" s="10" t="s">
        <v>6323</v>
      </c>
      <c r="F5827" s="10" t="s">
        <v>6339</v>
      </c>
      <c r="G5827" s="10" t="s">
        <v>6317</v>
      </c>
      <c r="H5827" s="11">
        <v>42079</v>
      </c>
      <c r="I5827" s="10">
        <v>2015</v>
      </c>
      <c r="J5827" s="10" t="s">
        <v>6324</v>
      </c>
      <c r="K5827" s="10">
        <v>123</v>
      </c>
      <c r="L5827" s="10" t="s">
        <v>29499</v>
      </c>
      <c r="M5827" s="10">
        <v>1</v>
      </c>
      <c r="N5827" s="10" t="s">
        <v>22922</v>
      </c>
      <c r="O5827" s="10"/>
      <c r="P5827" s="10" t="s">
        <v>29500</v>
      </c>
      <c r="Q5827" s="10">
        <v>378.16160000000002</v>
      </c>
      <c r="R5827" s="10" t="s">
        <v>29501</v>
      </c>
      <c r="S5827" s="10" t="s">
        <v>53</v>
      </c>
      <c r="T5827" s="10" t="s">
        <v>54</v>
      </c>
    </row>
    <row r="5828" spans="1:20" ht="14.5" x14ac:dyDescent="0.35">
      <c r="A5828" s="10" t="s">
        <v>29502</v>
      </c>
      <c r="B5828" s="10" t="str">
        <f>"9781119057697"</f>
        <v>9781119057697</v>
      </c>
      <c r="C5828" s="10" t="str">
        <f>"9781119057710"</f>
        <v>9781119057710</v>
      </c>
      <c r="D5828" s="10" t="s">
        <v>6322</v>
      </c>
      <c r="E5828" s="10" t="s">
        <v>6323</v>
      </c>
      <c r="F5828" s="10" t="s">
        <v>6339</v>
      </c>
      <c r="G5828" s="10" t="s">
        <v>6317</v>
      </c>
      <c r="H5828" s="11">
        <v>42093</v>
      </c>
      <c r="I5828" s="10">
        <v>2015</v>
      </c>
      <c r="J5828" s="10" t="s">
        <v>6324</v>
      </c>
      <c r="K5828" s="10">
        <v>128</v>
      </c>
      <c r="L5828" s="10" t="s">
        <v>29503</v>
      </c>
      <c r="M5828" s="10">
        <v>1</v>
      </c>
      <c r="N5828" s="10" t="s">
        <v>20717</v>
      </c>
      <c r="O5828" s="10"/>
      <c r="P5828" s="10" t="s">
        <v>29504</v>
      </c>
      <c r="Q5828" s="10" t="s">
        <v>29505</v>
      </c>
      <c r="R5828" s="10" t="s">
        <v>29506</v>
      </c>
      <c r="S5828" s="10" t="s">
        <v>53</v>
      </c>
      <c r="T5828" s="10" t="s">
        <v>10686</v>
      </c>
    </row>
    <row r="5829" spans="1:20" ht="14.5" x14ac:dyDescent="0.35">
      <c r="A5829" s="10" t="s">
        <v>29507</v>
      </c>
      <c r="B5829" s="10" t="str">
        <f>"9781119061366"</f>
        <v>9781119061366</v>
      </c>
      <c r="C5829" s="10" t="str">
        <f>"9781119061496"</f>
        <v>9781119061496</v>
      </c>
      <c r="D5829" s="10" t="s">
        <v>6322</v>
      </c>
      <c r="E5829" s="10" t="s">
        <v>6323</v>
      </c>
      <c r="F5829" s="10" t="s">
        <v>6339</v>
      </c>
      <c r="G5829" s="10" t="s">
        <v>6317</v>
      </c>
      <c r="H5829" s="11">
        <v>42093</v>
      </c>
      <c r="I5829" s="10">
        <v>2015</v>
      </c>
      <c r="J5829" s="10" t="s">
        <v>6324</v>
      </c>
      <c r="K5829" s="10">
        <v>123</v>
      </c>
      <c r="L5829" s="10" t="s">
        <v>29508</v>
      </c>
      <c r="M5829" s="10">
        <v>1</v>
      </c>
      <c r="N5829" s="10" t="s">
        <v>25112</v>
      </c>
      <c r="O5829" s="10"/>
      <c r="P5829" s="10" t="s">
        <v>29509</v>
      </c>
      <c r="Q5829" s="10">
        <v>378.00720000000001</v>
      </c>
      <c r="R5829" s="10" t="s">
        <v>29510</v>
      </c>
      <c r="S5829" s="10" t="s">
        <v>53</v>
      </c>
      <c r="T5829" s="10" t="s">
        <v>54</v>
      </c>
    </row>
    <row r="5830" spans="1:20" ht="14.5" x14ac:dyDescent="0.35">
      <c r="A5830" s="10" t="s">
        <v>29511</v>
      </c>
      <c r="B5830" s="10" t="str">
        <f>"9781118710104"</f>
        <v>9781118710104</v>
      </c>
      <c r="C5830" s="10" t="str">
        <f>"9781119062202"</f>
        <v>9781119062202</v>
      </c>
      <c r="D5830" s="10" t="s">
        <v>6322</v>
      </c>
      <c r="E5830" s="10" t="s">
        <v>6323</v>
      </c>
      <c r="F5830" s="10" t="s">
        <v>4423</v>
      </c>
      <c r="G5830" s="10" t="s">
        <v>6317</v>
      </c>
      <c r="H5830" s="11">
        <v>42142</v>
      </c>
      <c r="I5830" s="10">
        <v>2014</v>
      </c>
      <c r="J5830" s="10" t="s">
        <v>6324</v>
      </c>
      <c r="K5830" s="10">
        <v>315</v>
      </c>
      <c r="L5830" s="10" t="s">
        <v>29512</v>
      </c>
      <c r="M5830" s="10">
        <v>1</v>
      </c>
      <c r="N5830" s="10"/>
      <c r="O5830" s="10"/>
      <c r="P5830" s="10"/>
      <c r="Q5830" s="10" t="s">
        <v>20039</v>
      </c>
      <c r="R5830" s="10" t="s">
        <v>29513</v>
      </c>
      <c r="S5830" s="10" t="s">
        <v>53</v>
      </c>
      <c r="T5830" s="10" t="s">
        <v>389</v>
      </c>
    </row>
    <row r="5831" spans="1:20" ht="14.5" x14ac:dyDescent="0.35">
      <c r="A5831" s="10" t="s">
        <v>29514</v>
      </c>
      <c r="B5831" s="10" t="str">
        <f>"9781119063384"</f>
        <v>9781119063384</v>
      </c>
      <c r="C5831" s="10" t="str">
        <f>"9781119063391"</f>
        <v>9781119063391</v>
      </c>
      <c r="D5831" s="10" t="s">
        <v>6322</v>
      </c>
      <c r="E5831" s="10" t="s">
        <v>6323</v>
      </c>
      <c r="F5831" s="10" t="s">
        <v>6339</v>
      </c>
      <c r="G5831" s="10" t="s">
        <v>6317</v>
      </c>
      <c r="H5831" s="11">
        <v>42086</v>
      </c>
      <c r="I5831" s="10">
        <v>2015</v>
      </c>
      <c r="J5831" s="10" t="s">
        <v>6324</v>
      </c>
      <c r="K5831" s="10">
        <v>107</v>
      </c>
      <c r="L5831" s="10" t="s">
        <v>29515</v>
      </c>
      <c r="M5831" s="10">
        <v>1</v>
      </c>
      <c r="N5831" s="10" t="s">
        <v>20712</v>
      </c>
      <c r="O5831" s="10"/>
      <c r="P5831" s="10" t="s">
        <v>29516</v>
      </c>
      <c r="Q5831" s="10">
        <v>371.90460973</v>
      </c>
      <c r="R5831" s="10" t="s">
        <v>29517</v>
      </c>
      <c r="S5831" s="10" t="s">
        <v>53</v>
      </c>
      <c r="T5831" s="10" t="s">
        <v>54</v>
      </c>
    </row>
    <row r="5832" spans="1:20" ht="14.5" x14ac:dyDescent="0.35">
      <c r="A5832" s="10" t="s">
        <v>29518</v>
      </c>
      <c r="B5832" s="10" t="str">
        <f>"9781119063094"</f>
        <v>9781119063094</v>
      </c>
      <c r="C5832" s="10" t="str">
        <f>"9781119063889"</f>
        <v>9781119063889</v>
      </c>
      <c r="D5832" s="10" t="s">
        <v>6322</v>
      </c>
      <c r="E5832" s="10" t="s">
        <v>6323</v>
      </c>
      <c r="F5832" s="10" t="s">
        <v>4423</v>
      </c>
      <c r="G5832" s="10" t="s">
        <v>6317</v>
      </c>
      <c r="H5832" s="11">
        <v>41988</v>
      </c>
      <c r="I5832" s="10">
        <v>2015</v>
      </c>
      <c r="J5832" s="10" t="s">
        <v>6323</v>
      </c>
      <c r="K5832" s="10">
        <v>424</v>
      </c>
      <c r="L5832" s="10" t="s">
        <v>29519</v>
      </c>
      <c r="M5832" s="10">
        <v>2</v>
      </c>
      <c r="N5832" s="10" t="s">
        <v>29520</v>
      </c>
      <c r="O5832" s="10"/>
      <c r="P5832" s="10" t="s">
        <v>29521</v>
      </c>
      <c r="Q5832" s="10">
        <v>371.4</v>
      </c>
      <c r="R5832" s="10" t="s">
        <v>29522</v>
      </c>
      <c r="S5832" s="10" t="s">
        <v>53</v>
      </c>
      <c r="T5832" s="10" t="s">
        <v>54</v>
      </c>
    </row>
    <row r="5833" spans="1:20" ht="14.5" x14ac:dyDescent="0.35">
      <c r="A5833" s="10" t="s">
        <v>29523</v>
      </c>
      <c r="B5833" s="10" t="str">
        <f>"9781119065050"</f>
        <v>9781119065050</v>
      </c>
      <c r="C5833" s="10" t="str">
        <f>"9781119065104"</f>
        <v>9781119065104</v>
      </c>
      <c r="D5833" s="10" t="s">
        <v>6322</v>
      </c>
      <c r="E5833" s="10" t="s">
        <v>6323</v>
      </c>
      <c r="F5833" s="10" t="s">
        <v>6339</v>
      </c>
      <c r="G5833" s="10" t="s">
        <v>6317</v>
      </c>
      <c r="H5833" s="11">
        <v>42016</v>
      </c>
      <c r="I5833" s="10">
        <v>2014</v>
      </c>
      <c r="J5833" s="10" t="s">
        <v>6324</v>
      </c>
      <c r="K5833" s="10">
        <v>115</v>
      </c>
      <c r="L5833" s="10" t="s">
        <v>29524</v>
      </c>
      <c r="M5833" s="10">
        <v>1</v>
      </c>
      <c r="N5833" s="10" t="s">
        <v>23327</v>
      </c>
      <c r="O5833" s="10"/>
      <c r="P5833" s="10" t="s">
        <v>29525</v>
      </c>
      <c r="Q5833" s="10">
        <v>378.10700000000003</v>
      </c>
      <c r="R5833" s="10" t="s">
        <v>29526</v>
      </c>
      <c r="S5833" s="10" t="s">
        <v>53</v>
      </c>
      <c r="T5833" s="10" t="s">
        <v>54</v>
      </c>
    </row>
    <row r="5834" spans="1:20" ht="14.5" x14ac:dyDescent="0.35">
      <c r="A5834" s="10" t="s">
        <v>29527</v>
      </c>
      <c r="B5834" s="10" t="str">
        <f>"9781119065111"</f>
        <v>9781119065111</v>
      </c>
      <c r="C5834" s="10" t="str">
        <f>"9781119065203"</f>
        <v>9781119065203</v>
      </c>
      <c r="D5834" s="10" t="s">
        <v>6322</v>
      </c>
      <c r="E5834" s="10" t="s">
        <v>6323</v>
      </c>
      <c r="F5834" s="10" t="s">
        <v>6339</v>
      </c>
      <c r="G5834" s="10" t="s">
        <v>6317</v>
      </c>
      <c r="H5834" s="11">
        <v>42086</v>
      </c>
      <c r="I5834" s="10">
        <v>2015</v>
      </c>
      <c r="J5834" s="10" t="s">
        <v>6324</v>
      </c>
      <c r="K5834" s="10">
        <v>115</v>
      </c>
      <c r="L5834" s="10" t="s">
        <v>29528</v>
      </c>
      <c r="M5834" s="10">
        <v>1</v>
      </c>
      <c r="N5834" s="10" t="s">
        <v>21283</v>
      </c>
      <c r="O5834" s="10"/>
      <c r="P5834" s="10" t="s">
        <v>29529</v>
      </c>
      <c r="Q5834" s="10">
        <v>378.19409730000001</v>
      </c>
      <c r="R5834" s="10" t="s">
        <v>29530</v>
      </c>
      <c r="S5834" s="10" t="s">
        <v>53</v>
      </c>
      <c r="T5834" s="10" t="s">
        <v>54</v>
      </c>
    </row>
    <row r="5835" spans="1:20" ht="14.5" x14ac:dyDescent="0.35">
      <c r="A5835" s="10" t="s">
        <v>29531</v>
      </c>
      <c r="B5835" s="10" t="str">
        <f>"9781119067818"</f>
        <v>9781119067818</v>
      </c>
      <c r="C5835" s="10" t="str">
        <f>"9781119067702"</f>
        <v>9781119067702</v>
      </c>
      <c r="D5835" s="10" t="s">
        <v>6322</v>
      </c>
      <c r="E5835" s="10" t="s">
        <v>6323</v>
      </c>
      <c r="F5835" s="10" t="s">
        <v>6339</v>
      </c>
      <c r="G5835" s="10" t="s">
        <v>6317</v>
      </c>
      <c r="H5835" s="11">
        <v>42079</v>
      </c>
      <c r="I5835" s="10">
        <v>2015</v>
      </c>
      <c r="J5835" s="10" t="s">
        <v>6324</v>
      </c>
      <c r="K5835" s="10">
        <v>115</v>
      </c>
      <c r="L5835" s="10" t="s">
        <v>29532</v>
      </c>
      <c r="M5835" s="10">
        <v>1</v>
      </c>
      <c r="N5835" s="10" t="s">
        <v>23322</v>
      </c>
      <c r="O5835" s="10"/>
      <c r="P5835" s="10" t="s">
        <v>29533</v>
      </c>
      <c r="Q5835" s="10">
        <v>378.1</v>
      </c>
      <c r="R5835" s="10" t="s">
        <v>29534</v>
      </c>
      <c r="S5835" s="10" t="s">
        <v>53</v>
      </c>
      <c r="T5835" s="10" t="s">
        <v>54</v>
      </c>
    </row>
    <row r="5836" spans="1:20" ht="14.5" x14ac:dyDescent="0.35">
      <c r="A5836" s="10" t="s">
        <v>29535</v>
      </c>
      <c r="B5836" s="10" t="str">
        <f>"9781119075271"</f>
        <v>9781119075271</v>
      </c>
      <c r="C5836" s="10" t="str">
        <f>"9781119075318"</f>
        <v>9781119075318</v>
      </c>
      <c r="D5836" s="10" t="s">
        <v>6322</v>
      </c>
      <c r="E5836" s="10" t="s">
        <v>6323</v>
      </c>
      <c r="F5836" s="10" t="s">
        <v>6339</v>
      </c>
      <c r="G5836" s="10" t="s">
        <v>6317</v>
      </c>
      <c r="H5836" s="11">
        <v>42100</v>
      </c>
      <c r="I5836" s="10">
        <v>2015</v>
      </c>
      <c r="J5836" s="10" t="s">
        <v>6324</v>
      </c>
      <c r="K5836" s="10">
        <v>106</v>
      </c>
      <c r="L5836" s="10" t="s">
        <v>29536</v>
      </c>
      <c r="M5836" s="10">
        <v>1</v>
      </c>
      <c r="N5836" s="10" t="s">
        <v>20707</v>
      </c>
      <c r="O5836" s="10"/>
      <c r="P5836" s="10" t="s">
        <v>29537</v>
      </c>
      <c r="Q5836" s="10">
        <v>374</v>
      </c>
      <c r="R5836" s="10" t="s">
        <v>29538</v>
      </c>
      <c r="S5836" s="10" t="s">
        <v>53</v>
      </c>
      <c r="T5836" s="10" t="s">
        <v>54</v>
      </c>
    </row>
    <row r="5837" spans="1:20" ht="14.5" x14ac:dyDescent="0.35">
      <c r="A5837" s="10" t="s">
        <v>29539</v>
      </c>
      <c r="B5837" s="10" t="str">
        <f>"9781784412357"</f>
        <v>9781784412357</v>
      </c>
      <c r="C5837" s="10" t="str">
        <f>"9781784412340"</f>
        <v>9781784412340</v>
      </c>
      <c r="D5837" s="10" t="s">
        <v>8699</v>
      </c>
      <c r="E5837" s="10" t="s">
        <v>8699</v>
      </c>
      <c r="F5837" s="10" t="s">
        <v>559</v>
      </c>
      <c r="G5837" s="10" t="s">
        <v>6352</v>
      </c>
      <c r="H5837" s="11">
        <v>41978</v>
      </c>
      <c r="I5837" s="10">
        <v>2014</v>
      </c>
      <c r="J5837" s="10" t="s">
        <v>8699</v>
      </c>
      <c r="K5837" s="10">
        <v>522</v>
      </c>
      <c r="L5837" s="10" t="s">
        <v>29540</v>
      </c>
      <c r="M5837" s="10">
        <v>1</v>
      </c>
      <c r="N5837" s="10" t="s">
        <v>29541</v>
      </c>
      <c r="O5837" s="10">
        <v>1</v>
      </c>
      <c r="P5837" s="10"/>
      <c r="Q5837" s="10">
        <v>371.3</v>
      </c>
      <c r="R5837" s="10" t="s">
        <v>29542</v>
      </c>
      <c r="S5837" s="10" t="s">
        <v>53</v>
      </c>
      <c r="T5837" s="10" t="s">
        <v>54</v>
      </c>
    </row>
    <row r="5838" spans="1:20" ht="14.5" x14ac:dyDescent="0.35">
      <c r="A5838" s="10" t="s">
        <v>29543</v>
      </c>
      <c r="B5838" s="10" t="str">
        <f>"9781784412371"</f>
        <v>9781784412371</v>
      </c>
      <c r="C5838" s="10" t="str">
        <f>"9781784412364"</f>
        <v>9781784412364</v>
      </c>
      <c r="D5838" s="10" t="s">
        <v>8699</v>
      </c>
      <c r="E5838" s="10" t="s">
        <v>8699</v>
      </c>
      <c r="F5838" s="10" t="s">
        <v>559</v>
      </c>
      <c r="G5838" s="10" t="s">
        <v>6352</v>
      </c>
      <c r="H5838" s="11">
        <v>41988</v>
      </c>
      <c r="I5838" s="10">
        <v>2014</v>
      </c>
      <c r="J5838" s="10" t="s">
        <v>8699</v>
      </c>
      <c r="K5838" s="10">
        <v>528</v>
      </c>
      <c r="L5838" s="10" t="s">
        <v>29540</v>
      </c>
      <c r="M5838" s="10">
        <v>1</v>
      </c>
      <c r="N5838" s="10" t="s">
        <v>29541</v>
      </c>
      <c r="O5838" s="10">
        <v>2</v>
      </c>
      <c r="P5838" s="10"/>
      <c r="Q5838" s="10">
        <v>378.17939999999999</v>
      </c>
      <c r="R5838" s="10" t="s">
        <v>29544</v>
      </c>
      <c r="S5838" s="10" t="s">
        <v>53</v>
      </c>
      <c r="T5838" s="10" t="s">
        <v>54</v>
      </c>
    </row>
    <row r="5839" spans="1:20" ht="14.5" x14ac:dyDescent="0.35">
      <c r="A5839" s="10" t="s">
        <v>29545</v>
      </c>
      <c r="B5839" s="10" t="str">
        <f>"9780765619969"</f>
        <v>9780765619969</v>
      </c>
      <c r="C5839" s="10" t="str">
        <f>"9781317452669"</f>
        <v>9781317452669</v>
      </c>
      <c r="D5839" s="10" t="s">
        <v>6350</v>
      </c>
      <c r="E5839" s="10" t="s">
        <v>6351</v>
      </c>
      <c r="F5839" s="10" t="s">
        <v>748</v>
      </c>
      <c r="G5839" s="10" t="s">
        <v>6352</v>
      </c>
      <c r="H5839" s="11">
        <v>39692</v>
      </c>
      <c r="I5839" s="10">
        <v>2008</v>
      </c>
      <c r="J5839" s="10" t="s">
        <v>6351</v>
      </c>
      <c r="K5839" s="10">
        <v>248</v>
      </c>
      <c r="L5839" s="10" t="s">
        <v>29546</v>
      </c>
      <c r="M5839" s="10">
        <v>1</v>
      </c>
      <c r="N5839" s="10"/>
      <c r="O5839" s="10"/>
      <c r="P5839" s="10" t="s">
        <v>29547</v>
      </c>
      <c r="Q5839" s="10">
        <v>794.80190000000005</v>
      </c>
      <c r="R5839" s="10" t="s">
        <v>29548</v>
      </c>
      <c r="S5839" s="10" t="s">
        <v>53</v>
      </c>
      <c r="T5839" s="10" t="s">
        <v>7340</v>
      </c>
    </row>
    <row r="5840" spans="1:20" ht="14.5" x14ac:dyDescent="0.35">
      <c r="A5840" s="10" t="s">
        <v>29549</v>
      </c>
      <c r="B5840" s="10" t="str">
        <f>"9780765620811"</f>
        <v>9780765620811</v>
      </c>
      <c r="C5840" s="10" t="str">
        <f>"9781317458999"</f>
        <v>9781317458999</v>
      </c>
      <c r="D5840" s="10" t="s">
        <v>6350</v>
      </c>
      <c r="E5840" s="10" t="s">
        <v>6351</v>
      </c>
      <c r="F5840" s="10" t="s">
        <v>139</v>
      </c>
      <c r="G5840" s="10" t="s">
        <v>6352</v>
      </c>
      <c r="H5840" s="11">
        <v>41962</v>
      </c>
      <c r="I5840" s="10">
        <v>2011</v>
      </c>
      <c r="J5840" s="10" t="s">
        <v>6353</v>
      </c>
      <c r="K5840" s="10">
        <v>196</v>
      </c>
      <c r="L5840" s="10" t="s">
        <v>29550</v>
      </c>
      <c r="M5840" s="10">
        <v>1</v>
      </c>
      <c r="N5840" s="10" t="s">
        <v>29551</v>
      </c>
      <c r="O5840" s="10"/>
      <c r="P5840" s="10" t="s">
        <v>29552</v>
      </c>
      <c r="Q5840" s="10">
        <v>1.3</v>
      </c>
      <c r="R5840" s="10" t="s">
        <v>29553</v>
      </c>
      <c r="S5840" s="10" t="s">
        <v>53</v>
      </c>
      <c r="T5840" s="10" t="s">
        <v>6601</v>
      </c>
    </row>
    <row r="5841" spans="1:20" ht="14.5" x14ac:dyDescent="0.35">
      <c r="A5841" s="10" t="s">
        <v>29554</v>
      </c>
      <c r="B5841" s="10" t="str">
        <f>"9780765611864"</f>
        <v>9780765611864</v>
      </c>
      <c r="C5841" s="10" t="str">
        <f>"9781317478348"</f>
        <v>9781317478348</v>
      </c>
      <c r="D5841" s="10" t="s">
        <v>6350</v>
      </c>
      <c r="E5841" s="10" t="s">
        <v>6351</v>
      </c>
      <c r="F5841" s="10" t="s">
        <v>5406</v>
      </c>
      <c r="G5841" s="10" t="s">
        <v>6352</v>
      </c>
      <c r="H5841" s="11">
        <v>37802</v>
      </c>
      <c r="I5841" s="10">
        <v>2003</v>
      </c>
      <c r="J5841" s="10" t="s">
        <v>6353</v>
      </c>
      <c r="K5841" s="10">
        <v>545</v>
      </c>
      <c r="L5841" s="10" t="s">
        <v>29555</v>
      </c>
      <c r="M5841" s="10">
        <v>1</v>
      </c>
      <c r="N5841" s="10"/>
      <c r="O5841" s="10"/>
      <c r="P5841" s="10" t="s">
        <v>29556</v>
      </c>
      <c r="Q5841" s="10">
        <v>371.82995107300002</v>
      </c>
      <c r="R5841" s="10" t="s">
        <v>29557</v>
      </c>
      <c r="S5841" s="10" t="s">
        <v>53</v>
      </c>
      <c r="T5841" s="10" t="s">
        <v>54</v>
      </c>
    </row>
    <row r="5842" spans="1:20" ht="14.5" x14ac:dyDescent="0.35">
      <c r="A5842" s="10" t="s">
        <v>29558</v>
      </c>
      <c r="B5842" s="10" t="str">
        <f>"9780765616753"</f>
        <v>9780765616753</v>
      </c>
      <c r="C5842" s="10" t="str">
        <f>"9781317467335"</f>
        <v>9781317467335</v>
      </c>
      <c r="D5842" s="10" t="s">
        <v>6350</v>
      </c>
      <c r="E5842" s="10" t="s">
        <v>6351</v>
      </c>
      <c r="F5842" s="10" t="s">
        <v>3967</v>
      </c>
      <c r="G5842" s="10" t="s">
        <v>6352</v>
      </c>
      <c r="H5842" s="11">
        <v>39401</v>
      </c>
      <c r="I5842" s="10">
        <v>2008</v>
      </c>
      <c r="J5842" s="10" t="s">
        <v>6353</v>
      </c>
      <c r="K5842" s="10">
        <v>240</v>
      </c>
      <c r="L5842" s="10" t="s">
        <v>29559</v>
      </c>
      <c r="M5842" s="10">
        <v>1</v>
      </c>
      <c r="N5842" s="10"/>
      <c r="O5842" s="10"/>
      <c r="P5842" s="10" t="s">
        <v>29560</v>
      </c>
      <c r="Q5842" s="10">
        <v>330.07119999999998</v>
      </c>
      <c r="R5842" s="10" t="s">
        <v>29561</v>
      </c>
      <c r="S5842" s="10" t="s">
        <v>53</v>
      </c>
      <c r="T5842" s="10" t="s">
        <v>10311</v>
      </c>
    </row>
    <row r="5843" spans="1:20" ht="14.5" x14ac:dyDescent="0.35">
      <c r="A5843" s="10" t="s">
        <v>29562</v>
      </c>
      <c r="B5843" s="10" t="str">
        <f>"9781784399375"</f>
        <v>9781784399375</v>
      </c>
      <c r="C5843" s="10" t="str">
        <f>"9781784396619"</f>
        <v>9781784396619</v>
      </c>
      <c r="D5843" s="10" t="s">
        <v>21162</v>
      </c>
      <c r="E5843" s="10" t="s">
        <v>21163</v>
      </c>
      <c r="F5843" s="10" t="s">
        <v>1939</v>
      </c>
      <c r="G5843" s="10" t="s">
        <v>6352</v>
      </c>
      <c r="H5843" s="11">
        <v>41990</v>
      </c>
      <c r="I5843" s="10">
        <v>2014</v>
      </c>
      <c r="J5843" s="10" t="s">
        <v>21163</v>
      </c>
      <c r="K5843" s="10">
        <v>180</v>
      </c>
      <c r="L5843" s="10" t="s">
        <v>21164</v>
      </c>
      <c r="M5843" s="10">
        <v>2</v>
      </c>
      <c r="N5843" s="10"/>
      <c r="O5843" s="10"/>
      <c r="P5843" s="10" t="s">
        <v>11313</v>
      </c>
      <c r="Q5843" s="10">
        <v>371.3</v>
      </c>
      <c r="R5843" s="10" t="s">
        <v>29563</v>
      </c>
      <c r="S5843" s="10" t="s">
        <v>53</v>
      </c>
      <c r="T5843" s="10" t="s">
        <v>54</v>
      </c>
    </row>
    <row r="5844" spans="1:20" ht="14.5" x14ac:dyDescent="0.35">
      <c r="A5844" s="10" t="s">
        <v>29564</v>
      </c>
      <c r="B5844" s="10" t="str">
        <f>"9781416619222"</f>
        <v>9781416619222</v>
      </c>
      <c r="C5844" s="10" t="str">
        <f>"9781416619239"</f>
        <v>9781416619239</v>
      </c>
      <c r="D5844" s="10" t="s">
        <v>10014</v>
      </c>
      <c r="E5844" s="10" t="s">
        <v>10015</v>
      </c>
      <c r="F5844" s="10" t="s">
        <v>201</v>
      </c>
      <c r="G5844" s="10" t="s">
        <v>6317</v>
      </c>
      <c r="H5844" s="11">
        <v>42003</v>
      </c>
      <c r="I5844" s="10">
        <v>2014</v>
      </c>
      <c r="J5844" s="10" t="s">
        <v>10015</v>
      </c>
      <c r="K5844" s="10">
        <v>170</v>
      </c>
      <c r="L5844" s="10" t="s">
        <v>16543</v>
      </c>
      <c r="M5844" s="10">
        <v>2</v>
      </c>
      <c r="N5844" s="10"/>
      <c r="O5844" s="10"/>
      <c r="P5844" s="10"/>
      <c r="Q5844" s="10" t="s">
        <v>9954</v>
      </c>
      <c r="R5844" s="10"/>
      <c r="S5844" s="10" t="s">
        <v>53</v>
      </c>
      <c r="T5844" s="10" t="s">
        <v>54</v>
      </c>
    </row>
    <row r="5845" spans="1:20" ht="14.5" x14ac:dyDescent="0.35">
      <c r="A5845" s="10" t="s">
        <v>29565</v>
      </c>
      <c r="B5845" s="10" t="str">
        <f>"9781934155707"</f>
        <v>9781934155707</v>
      </c>
      <c r="C5845" s="10" t="str">
        <f>"9780910030007"</f>
        <v>9780910030007</v>
      </c>
      <c r="D5845" s="10" t="s">
        <v>9215</v>
      </c>
      <c r="E5845" s="10" t="s">
        <v>14714</v>
      </c>
      <c r="F5845" s="10" t="s">
        <v>29566</v>
      </c>
      <c r="G5845" s="10" t="s">
        <v>6317</v>
      </c>
      <c r="H5845" s="11">
        <v>41944</v>
      </c>
      <c r="I5845" s="10">
        <v>2015</v>
      </c>
      <c r="J5845" s="10" t="s">
        <v>14714</v>
      </c>
      <c r="K5845" s="10">
        <v>212</v>
      </c>
      <c r="L5845" s="10" t="s">
        <v>14716</v>
      </c>
      <c r="M5845" s="10"/>
      <c r="N5845" s="10"/>
      <c r="O5845" s="10"/>
      <c r="P5845" s="10" t="s">
        <v>29567</v>
      </c>
      <c r="Q5845" s="10">
        <v>371.82996072999998</v>
      </c>
      <c r="R5845" s="10" t="s">
        <v>29568</v>
      </c>
      <c r="S5845" s="10" t="s">
        <v>53</v>
      </c>
      <c r="T5845" s="10" t="s">
        <v>54</v>
      </c>
    </row>
    <row r="5846" spans="1:20" ht="14.5" x14ac:dyDescent="0.35">
      <c r="A5846" s="10" t="s">
        <v>29569</v>
      </c>
      <c r="B5846" s="10" t="str">
        <f>"9781853029561"</f>
        <v>9781853029561</v>
      </c>
      <c r="C5846" s="10" t="str">
        <f>"9781846422782"</f>
        <v>9781846422782</v>
      </c>
      <c r="D5846" s="10" t="s">
        <v>10516</v>
      </c>
      <c r="E5846" s="10" t="s">
        <v>10516</v>
      </c>
      <c r="F5846" s="10" t="s">
        <v>139</v>
      </c>
      <c r="G5846" s="10" t="s">
        <v>6352</v>
      </c>
      <c r="H5846" s="11">
        <v>36965</v>
      </c>
      <c r="I5846" s="10">
        <v>2001</v>
      </c>
      <c r="J5846" s="10" t="s">
        <v>10516</v>
      </c>
      <c r="K5846" s="10">
        <v>209</v>
      </c>
      <c r="L5846" s="10" t="s">
        <v>29570</v>
      </c>
      <c r="M5846" s="10">
        <v>1</v>
      </c>
      <c r="N5846" s="10"/>
      <c r="O5846" s="10"/>
      <c r="P5846" s="10"/>
      <c r="Q5846" s="10">
        <v>371.94</v>
      </c>
      <c r="R5846" s="10"/>
      <c r="S5846" s="10" t="s">
        <v>53</v>
      </c>
      <c r="T5846" s="10" t="s">
        <v>54</v>
      </c>
    </row>
    <row r="5847" spans="1:20" ht="14.5" x14ac:dyDescent="0.35">
      <c r="A5847" s="10" t="s">
        <v>29571</v>
      </c>
      <c r="B5847" s="10" t="str">
        <f>"9780761864745"</f>
        <v>9780761864745</v>
      </c>
      <c r="C5847" s="10" t="str">
        <f>"9780761864752"</f>
        <v>9780761864752</v>
      </c>
      <c r="D5847" s="10" t="s">
        <v>9752</v>
      </c>
      <c r="E5847" s="10" t="s">
        <v>17167</v>
      </c>
      <c r="F5847" s="10" t="s">
        <v>9754</v>
      </c>
      <c r="G5847" s="10" t="s">
        <v>6317</v>
      </c>
      <c r="H5847" s="11">
        <v>41996</v>
      </c>
      <c r="I5847" s="10">
        <v>2014</v>
      </c>
      <c r="J5847" s="10" t="s">
        <v>17167</v>
      </c>
      <c r="K5847" s="10">
        <v>195</v>
      </c>
      <c r="L5847" s="10" t="s">
        <v>29572</v>
      </c>
      <c r="M5847" s="10">
        <v>1</v>
      </c>
      <c r="N5847" s="10"/>
      <c r="O5847" s="10"/>
      <c r="P5847" s="10" t="s">
        <v>29573</v>
      </c>
      <c r="Q5847" s="10" t="s">
        <v>29574</v>
      </c>
      <c r="R5847" s="10" t="s">
        <v>29575</v>
      </c>
      <c r="S5847" s="10" t="s">
        <v>53</v>
      </c>
      <c r="T5847" s="10" t="s">
        <v>54</v>
      </c>
    </row>
    <row r="5848" spans="1:20" ht="14.5" x14ac:dyDescent="0.35">
      <c r="A5848" s="10" t="s">
        <v>29576</v>
      </c>
      <c r="B5848" s="10" t="str">
        <f>"9781464804175"</f>
        <v>9781464804175</v>
      </c>
      <c r="C5848" s="10" t="str">
        <f>"9781464804182"</f>
        <v>9781464804182</v>
      </c>
      <c r="D5848" s="10" t="s">
        <v>14731</v>
      </c>
      <c r="E5848" s="10" t="s">
        <v>14732</v>
      </c>
      <c r="F5848" s="10" t="s">
        <v>88</v>
      </c>
      <c r="G5848" s="10" t="s">
        <v>6317</v>
      </c>
      <c r="H5848" s="11">
        <v>42005</v>
      </c>
      <c r="I5848" s="10">
        <v>2015</v>
      </c>
      <c r="J5848" s="10" t="s">
        <v>14732</v>
      </c>
      <c r="K5848" s="10">
        <v>231</v>
      </c>
      <c r="L5848" s="10" t="s">
        <v>29577</v>
      </c>
      <c r="M5848" s="10">
        <v>1</v>
      </c>
      <c r="N5848" s="10" t="s">
        <v>14770</v>
      </c>
      <c r="O5848" s="10"/>
      <c r="P5848" s="10" t="s">
        <v>29578</v>
      </c>
      <c r="Q5848" s="10">
        <v>379.596</v>
      </c>
      <c r="R5848" s="10" t="s">
        <v>29579</v>
      </c>
      <c r="S5848" s="10" t="s">
        <v>53</v>
      </c>
      <c r="T5848" s="10" t="s">
        <v>54</v>
      </c>
    </row>
    <row r="5849" spans="1:20" ht="14.5" x14ac:dyDescent="0.35">
      <c r="A5849" s="10" t="s">
        <v>29580</v>
      </c>
      <c r="B5849" s="10" t="str">
        <f>"9780761864721"</f>
        <v>9780761864721</v>
      </c>
      <c r="C5849" s="10" t="str">
        <f>"9780761864738"</f>
        <v>9780761864738</v>
      </c>
      <c r="D5849" s="10" t="s">
        <v>9752</v>
      </c>
      <c r="E5849" s="10" t="s">
        <v>17167</v>
      </c>
      <c r="F5849" s="10" t="s">
        <v>9754</v>
      </c>
      <c r="G5849" s="10" t="s">
        <v>6317</v>
      </c>
      <c r="H5849" s="11">
        <v>42003</v>
      </c>
      <c r="I5849" s="10">
        <v>2014</v>
      </c>
      <c r="J5849" s="10" t="s">
        <v>17167</v>
      </c>
      <c r="K5849" s="10">
        <v>287</v>
      </c>
      <c r="L5849" s="10" t="s">
        <v>29581</v>
      </c>
      <c r="M5849" s="10">
        <v>1</v>
      </c>
      <c r="N5849" s="10"/>
      <c r="O5849" s="10"/>
      <c r="P5849" s="10" t="s">
        <v>29582</v>
      </c>
      <c r="Q5849" s="10">
        <v>371.2011</v>
      </c>
      <c r="R5849" s="10" t="s">
        <v>10073</v>
      </c>
      <c r="S5849" s="10" t="s">
        <v>53</v>
      </c>
      <c r="T5849" s="10" t="s">
        <v>54</v>
      </c>
    </row>
    <row r="5850" spans="1:20" ht="14.5" x14ac:dyDescent="0.35">
      <c r="A5850" s="10" t="s">
        <v>29583</v>
      </c>
      <c r="B5850" s="10" t="str">
        <f>"9780231168809"</f>
        <v>9780231168809</v>
      </c>
      <c r="C5850" s="10" t="str">
        <f>"9780231538794"</f>
        <v>9780231538794</v>
      </c>
      <c r="D5850" s="10" t="s">
        <v>20767</v>
      </c>
      <c r="E5850" s="10" t="s">
        <v>20768</v>
      </c>
      <c r="F5850" s="10" t="s">
        <v>70</v>
      </c>
      <c r="G5850" s="10" t="s">
        <v>6317</v>
      </c>
      <c r="H5850" s="11">
        <v>42045</v>
      </c>
      <c r="I5850" s="10">
        <v>2015</v>
      </c>
      <c r="J5850" s="10" t="s">
        <v>20768</v>
      </c>
      <c r="K5850" s="10">
        <v>449</v>
      </c>
      <c r="L5850" s="10" t="s">
        <v>29584</v>
      </c>
      <c r="M5850" s="10"/>
      <c r="N5850" s="10"/>
      <c r="O5850" s="10"/>
      <c r="P5850" s="10" t="s">
        <v>29585</v>
      </c>
      <c r="Q5850" s="10">
        <v>323.44</v>
      </c>
      <c r="R5850" s="10" t="s">
        <v>29586</v>
      </c>
      <c r="S5850" s="10" t="s">
        <v>53</v>
      </c>
      <c r="T5850" s="10" t="s">
        <v>7807</v>
      </c>
    </row>
    <row r="5851" spans="1:20" ht="14.5" x14ac:dyDescent="0.35">
      <c r="A5851" s="10" t="s">
        <v>29587</v>
      </c>
      <c r="B5851" s="10" t="str">
        <f>"9780313364280"</f>
        <v>9780313364280</v>
      </c>
      <c r="C5851" s="10" t="str">
        <f>"9780313364297"</f>
        <v>9780313364297</v>
      </c>
      <c r="D5851" s="10" t="s">
        <v>9777</v>
      </c>
      <c r="E5851" s="10" t="s">
        <v>9792</v>
      </c>
      <c r="F5851" s="10" t="s">
        <v>70</v>
      </c>
      <c r="G5851" s="10" t="s">
        <v>6317</v>
      </c>
      <c r="H5851" s="11">
        <v>39933</v>
      </c>
      <c r="I5851" s="10">
        <v>2009</v>
      </c>
      <c r="J5851" s="10" t="s">
        <v>9793</v>
      </c>
      <c r="K5851" s="10">
        <v>216</v>
      </c>
      <c r="L5851" s="10" t="s">
        <v>29588</v>
      </c>
      <c r="M5851" s="10">
        <v>1</v>
      </c>
      <c r="N5851" s="10"/>
      <c r="O5851" s="10"/>
      <c r="P5851" s="10" t="s">
        <v>29589</v>
      </c>
      <c r="Q5851" s="10">
        <v>379.73</v>
      </c>
      <c r="R5851" s="10" t="s">
        <v>29590</v>
      </c>
      <c r="S5851" s="10" t="s">
        <v>53</v>
      </c>
      <c r="T5851" s="10" t="s">
        <v>54</v>
      </c>
    </row>
    <row r="5852" spans="1:20" ht="14.5" x14ac:dyDescent="0.35">
      <c r="A5852" s="10" t="s">
        <v>29591</v>
      </c>
      <c r="B5852" s="10" t="str">
        <f>"9781464801518"</f>
        <v>9781464801518</v>
      </c>
      <c r="C5852" s="10" t="str">
        <f>"9781464801525"</f>
        <v>9781464801525</v>
      </c>
      <c r="D5852" s="10" t="s">
        <v>14731</v>
      </c>
      <c r="E5852" s="10" t="s">
        <v>14732</v>
      </c>
      <c r="F5852" s="10" t="s">
        <v>88</v>
      </c>
      <c r="G5852" s="10" t="s">
        <v>6317</v>
      </c>
      <c r="H5852" s="11">
        <v>41640</v>
      </c>
      <c r="I5852" s="10">
        <v>2014</v>
      </c>
      <c r="J5852" s="10" t="s">
        <v>14732</v>
      </c>
      <c r="K5852" s="10">
        <v>434</v>
      </c>
      <c r="L5852" s="10" t="s">
        <v>29592</v>
      </c>
      <c r="M5852" s="10">
        <v>1</v>
      </c>
      <c r="N5852" s="10" t="s">
        <v>14922</v>
      </c>
      <c r="O5852" s="10"/>
      <c r="P5852" s="10" t="s">
        <v>29593</v>
      </c>
      <c r="Q5852" s="10">
        <v>371.10199999999998</v>
      </c>
      <c r="R5852" s="10" t="s">
        <v>29594</v>
      </c>
      <c r="S5852" s="10" t="s">
        <v>53</v>
      </c>
      <c r="T5852" s="10" t="s">
        <v>54</v>
      </c>
    </row>
    <row r="5853" spans="1:20" ht="14.5" x14ac:dyDescent="0.35">
      <c r="A5853" s="10" t="s">
        <v>29595</v>
      </c>
      <c r="B5853" s="10" t="str">
        <f>"9781475808049"</f>
        <v>9781475808049</v>
      </c>
      <c r="C5853" s="10" t="str">
        <f>"9781475808056"</f>
        <v>9781475808056</v>
      </c>
      <c r="D5853" s="10" t="s">
        <v>9752</v>
      </c>
      <c r="E5853" s="10" t="s">
        <v>15187</v>
      </c>
      <c r="F5853" s="10" t="s">
        <v>9754</v>
      </c>
      <c r="G5853" s="10" t="s">
        <v>6317</v>
      </c>
      <c r="H5853" s="11">
        <v>42009</v>
      </c>
      <c r="I5853" s="10">
        <v>2015</v>
      </c>
      <c r="J5853" s="10" t="s">
        <v>15187</v>
      </c>
      <c r="K5853" s="10">
        <v>260</v>
      </c>
      <c r="L5853" s="10" t="s">
        <v>29596</v>
      </c>
      <c r="M5853" s="10">
        <v>1</v>
      </c>
      <c r="N5853" s="10"/>
      <c r="O5853" s="10"/>
      <c r="P5853" s="10" t="s">
        <v>29597</v>
      </c>
      <c r="Q5853" s="10">
        <v>378.101</v>
      </c>
      <c r="R5853" s="10" t="s">
        <v>10223</v>
      </c>
      <c r="S5853" s="10" t="s">
        <v>53</v>
      </c>
      <c r="T5853" s="10" t="s">
        <v>54</v>
      </c>
    </row>
    <row r="5854" spans="1:20" ht="14.5" x14ac:dyDescent="0.35">
      <c r="A5854" s="10" t="s">
        <v>29598</v>
      </c>
      <c r="B5854" s="10" t="str">
        <f>"9780813122571"</f>
        <v>9780813122571</v>
      </c>
      <c r="C5854" s="10" t="str">
        <f>"9780813149981"</f>
        <v>9780813149981</v>
      </c>
      <c r="D5854" s="10" t="s">
        <v>19768</v>
      </c>
      <c r="E5854" s="10" t="s">
        <v>19768</v>
      </c>
      <c r="F5854" s="10" t="s">
        <v>19774</v>
      </c>
      <c r="G5854" s="10" t="s">
        <v>6317</v>
      </c>
      <c r="H5854" s="11">
        <v>37617</v>
      </c>
      <c r="I5854" s="10">
        <v>2014</v>
      </c>
      <c r="J5854" s="10" t="s">
        <v>19768</v>
      </c>
      <c r="K5854" s="10">
        <v>478</v>
      </c>
      <c r="L5854" s="10" t="s">
        <v>29599</v>
      </c>
      <c r="M5854" s="10">
        <v>1</v>
      </c>
      <c r="N5854" s="10"/>
      <c r="O5854" s="10"/>
      <c r="P5854" s="10" t="s">
        <v>29600</v>
      </c>
      <c r="Q5854" s="10" t="s">
        <v>29601</v>
      </c>
      <c r="R5854" s="10" t="s">
        <v>29602</v>
      </c>
      <c r="S5854" s="10" t="s">
        <v>53</v>
      </c>
      <c r="T5854" s="10" t="s">
        <v>54</v>
      </c>
    </row>
    <row r="5855" spans="1:20" ht="14.5" x14ac:dyDescent="0.35">
      <c r="A5855" s="10" t="s">
        <v>29603</v>
      </c>
      <c r="B5855" s="10" t="str">
        <f>"9780813102313"</f>
        <v>9780813102313</v>
      </c>
      <c r="C5855" s="10" t="str">
        <f>"9780813148762"</f>
        <v>9780813148762</v>
      </c>
      <c r="D5855" s="10" t="s">
        <v>19768</v>
      </c>
      <c r="E5855" s="10" t="s">
        <v>19768</v>
      </c>
      <c r="F5855" s="10" t="s">
        <v>19774</v>
      </c>
      <c r="G5855" s="10" t="s">
        <v>6317</v>
      </c>
      <c r="H5855" s="11">
        <v>28126</v>
      </c>
      <c r="I5855" s="10">
        <v>2014</v>
      </c>
      <c r="J5855" s="10" t="s">
        <v>19768</v>
      </c>
      <c r="K5855" s="10">
        <v>128</v>
      </c>
      <c r="L5855" s="10" t="s">
        <v>29604</v>
      </c>
      <c r="M5855" s="10">
        <v>1</v>
      </c>
      <c r="N5855" s="10"/>
      <c r="O5855" s="10"/>
      <c r="P5855" s="10" t="s">
        <v>29605</v>
      </c>
      <c r="Q5855" s="10">
        <v>371</v>
      </c>
      <c r="R5855" s="10" t="s">
        <v>29606</v>
      </c>
      <c r="S5855" s="10" t="s">
        <v>53</v>
      </c>
      <c r="T5855" s="10" t="s">
        <v>54</v>
      </c>
    </row>
    <row r="5856" spans="1:20" ht="14.5" x14ac:dyDescent="0.35">
      <c r="A5856" s="10" t="s">
        <v>29607</v>
      </c>
      <c r="B5856" s="10" t="str">
        <f>"9780813120249"</f>
        <v>9780813120249</v>
      </c>
      <c r="C5856" s="10" t="str">
        <f>"9780813158976"</f>
        <v>9780813158976</v>
      </c>
      <c r="D5856" s="10" t="s">
        <v>19768</v>
      </c>
      <c r="E5856" s="10" t="s">
        <v>19768</v>
      </c>
      <c r="F5856" s="10" t="s">
        <v>19774</v>
      </c>
      <c r="G5856" s="10" t="s">
        <v>6317</v>
      </c>
      <c r="H5856" s="11">
        <v>35719</v>
      </c>
      <c r="I5856" s="10">
        <v>2015</v>
      </c>
      <c r="J5856" s="10" t="s">
        <v>19768</v>
      </c>
      <c r="K5856" s="10">
        <v>199</v>
      </c>
      <c r="L5856" s="10" t="s">
        <v>29608</v>
      </c>
      <c r="M5856" s="10">
        <v>1</v>
      </c>
      <c r="N5856" s="10"/>
      <c r="O5856" s="10"/>
      <c r="P5856" s="10" t="s">
        <v>29609</v>
      </c>
      <c r="Q5856" s="10" t="s">
        <v>29610</v>
      </c>
      <c r="R5856" s="10" t="s">
        <v>29611</v>
      </c>
      <c r="S5856" s="10" t="s">
        <v>53</v>
      </c>
      <c r="T5856" s="10" t="s">
        <v>54</v>
      </c>
    </row>
    <row r="5857" spans="1:20" ht="14.5" x14ac:dyDescent="0.35">
      <c r="A5857" s="10" t="s">
        <v>29612</v>
      </c>
      <c r="B5857" s="10" t="str">
        <f>"9780813101996"</f>
        <v>9780813101996</v>
      </c>
      <c r="C5857" s="10" t="str">
        <f>"9780813148922"</f>
        <v>9780813148922</v>
      </c>
      <c r="D5857" s="10" t="s">
        <v>19768</v>
      </c>
      <c r="E5857" s="10" t="s">
        <v>19768</v>
      </c>
      <c r="F5857" s="10" t="s">
        <v>19774</v>
      </c>
      <c r="G5857" s="10" t="s">
        <v>6317</v>
      </c>
      <c r="H5857" s="11">
        <v>32961</v>
      </c>
      <c r="I5857" s="10">
        <v>2014</v>
      </c>
      <c r="J5857" s="10" t="s">
        <v>19768</v>
      </c>
      <c r="K5857" s="10">
        <v>176</v>
      </c>
      <c r="L5857" s="10" t="s">
        <v>29613</v>
      </c>
      <c r="M5857" s="10">
        <v>1</v>
      </c>
      <c r="N5857" s="10"/>
      <c r="O5857" s="10"/>
      <c r="P5857" s="10" t="s">
        <v>29614</v>
      </c>
      <c r="Q5857" s="10">
        <v>379.76900000000001</v>
      </c>
      <c r="R5857" s="10" t="s">
        <v>29615</v>
      </c>
      <c r="S5857" s="10" t="s">
        <v>53</v>
      </c>
      <c r="T5857" s="10" t="s">
        <v>54</v>
      </c>
    </row>
    <row r="5858" spans="1:20" ht="14.5" x14ac:dyDescent="0.35">
      <c r="A5858" s="10" t="s">
        <v>29616</v>
      </c>
      <c r="B5858" s="10" t="str">
        <f>"9780813114200"</f>
        <v>9780813114200</v>
      </c>
      <c r="C5858" s="10" t="str">
        <f>"9780813149202"</f>
        <v>9780813149202</v>
      </c>
      <c r="D5858" s="10" t="s">
        <v>19768</v>
      </c>
      <c r="E5858" s="10" t="s">
        <v>19768</v>
      </c>
      <c r="F5858" s="10" t="s">
        <v>19774</v>
      </c>
      <c r="G5858" s="10" t="s">
        <v>6317</v>
      </c>
      <c r="H5858" s="11">
        <v>29342</v>
      </c>
      <c r="I5858" s="10">
        <v>2014</v>
      </c>
      <c r="J5858" s="10" t="s">
        <v>19768</v>
      </c>
      <c r="K5858" s="10">
        <v>464</v>
      </c>
      <c r="L5858" s="10" t="s">
        <v>29617</v>
      </c>
      <c r="M5858" s="10">
        <v>1</v>
      </c>
      <c r="N5858" s="10"/>
      <c r="O5858" s="10"/>
      <c r="P5858" s="10"/>
      <c r="Q5858" s="10"/>
      <c r="R5858" s="10" t="s">
        <v>29618</v>
      </c>
      <c r="S5858" s="10" t="s">
        <v>53</v>
      </c>
      <c r="T5858" s="10" t="s">
        <v>8717</v>
      </c>
    </row>
    <row r="5859" spans="1:20" ht="14.5" x14ac:dyDescent="0.35">
      <c r="A5859" s="10" t="s">
        <v>29619</v>
      </c>
      <c r="B5859" s="10" t="str">
        <f>"9780813118567"</f>
        <v>9780813118567</v>
      </c>
      <c r="C5859" s="10" t="str">
        <f>"9780813158679"</f>
        <v>9780813158679</v>
      </c>
      <c r="D5859" s="10" t="s">
        <v>19768</v>
      </c>
      <c r="E5859" s="10" t="s">
        <v>19768</v>
      </c>
      <c r="F5859" s="10" t="s">
        <v>19774</v>
      </c>
      <c r="G5859" s="10" t="s">
        <v>6317</v>
      </c>
      <c r="H5859" s="11">
        <v>34373</v>
      </c>
      <c r="I5859" s="10">
        <v>2015</v>
      </c>
      <c r="J5859" s="10" t="s">
        <v>19768</v>
      </c>
      <c r="K5859" s="10">
        <v>242</v>
      </c>
      <c r="L5859" s="10" t="s">
        <v>29620</v>
      </c>
      <c r="M5859" s="10">
        <v>1</v>
      </c>
      <c r="N5859" s="10"/>
      <c r="O5859" s="10"/>
      <c r="P5859" s="10" t="s">
        <v>29621</v>
      </c>
      <c r="Q5859" s="10">
        <v>378.11099999999999</v>
      </c>
      <c r="R5859" s="10" t="s">
        <v>29622</v>
      </c>
      <c r="S5859" s="10" t="s">
        <v>53</v>
      </c>
      <c r="T5859" s="10" t="s">
        <v>54</v>
      </c>
    </row>
    <row r="5860" spans="1:20" ht="14.5" x14ac:dyDescent="0.35">
      <c r="A5860" s="10" t="s">
        <v>29623</v>
      </c>
      <c r="B5860" s="10" t="str">
        <f>"9780813118833"</f>
        <v>9780813118833</v>
      </c>
      <c r="C5860" s="10" t="str">
        <f>"9780813159034"</f>
        <v>9780813159034</v>
      </c>
      <c r="D5860" s="10" t="s">
        <v>19768</v>
      </c>
      <c r="E5860" s="10" t="s">
        <v>19768</v>
      </c>
      <c r="F5860" s="10" t="s">
        <v>19774</v>
      </c>
      <c r="G5860" s="10" t="s">
        <v>6317</v>
      </c>
      <c r="H5860" s="11">
        <v>34753</v>
      </c>
      <c r="I5860" s="10">
        <v>2015</v>
      </c>
      <c r="J5860" s="10" t="s">
        <v>19768</v>
      </c>
      <c r="K5860" s="10">
        <v>238</v>
      </c>
      <c r="L5860" s="10" t="s">
        <v>29624</v>
      </c>
      <c r="M5860" s="10">
        <v>1</v>
      </c>
      <c r="N5860" s="10"/>
      <c r="O5860" s="10"/>
      <c r="P5860" s="10" t="s">
        <v>29625</v>
      </c>
      <c r="Q5860" s="10" t="s">
        <v>29626</v>
      </c>
      <c r="R5860" s="10" t="s">
        <v>29627</v>
      </c>
      <c r="S5860" s="10" t="s">
        <v>53</v>
      </c>
      <c r="T5860" s="10" t="s">
        <v>54</v>
      </c>
    </row>
    <row r="5861" spans="1:20" ht="14.5" x14ac:dyDescent="0.35">
      <c r="A5861" s="10" t="s">
        <v>29628</v>
      </c>
      <c r="B5861" s="10" t="str">
        <f>"9780813116204"</f>
        <v>9780813116204</v>
      </c>
      <c r="C5861" s="10" t="str">
        <f>"9780813157634"</f>
        <v>9780813157634</v>
      </c>
      <c r="D5861" s="10" t="s">
        <v>19768</v>
      </c>
      <c r="E5861" s="10" t="s">
        <v>19768</v>
      </c>
      <c r="F5861" s="10" t="s">
        <v>19774</v>
      </c>
      <c r="G5861" s="10" t="s">
        <v>6317</v>
      </c>
      <c r="H5861" s="11">
        <v>31912</v>
      </c>
      <c r="I5861" s="10">
        <v>2015</v>
      </c>
      <c r="J5861" s="10" t="s">
        <v>19768</v>
      </c>
      <c r="K5861" s="10">
        <v>386</v>
      </c>
      <c r="L5861" s="10" t="s">
        <v>29629</v>
      </c>
      <c r="M5861" s="10">
        <v>1</v>
      </c>
      <c r="N5861" s="10"/>
      <c r="O5861" s="10"/>
      <c r="P5861" s="10" t="s">
        <v>29630</v>
      </c>
      <c r="Q5861" s="10" t="s">
        <v>29631</v>
      </c>
      <c r="R5861" s="10" t="s">
        <v>29632</v>
      </c>
      <c r="S5861" s="10" t="s">
        <v>53</v>
      </c>
      <c r="T5861" s="10" t="s">
        <v>54</v>
      </c>
    </row>
    <row r="5862" spans="1:20" ht="14.5" x14ac:dyDescent="0.35">
      <c r="A5862" s="10" t="s">
        <v>29633</v>
      </c>
      <c r="B5862" s="10" t="str">
        <f>"9780813153230"</f>
        <v>9780813153230</v>
      </c>
      <c r="C5862" s="10" t="str">
        <f>"9780813163550"</f>
        <v>9780813163550</v>
      </c>
      <c r="D5862" s="10" t="s">
        <v>19768</v>
      </c>
      <c r="E5862" s="10" t="s">
        <v>19768</v>
      </c>
      <c r="F5862" s="10" t="s">
        <v>19774</v>
      </c>
      <c r="G5862" s="10" t="s">
        <v>6317</v>
      </c>
      <c r="H5862" s="11">
        <v>41827</v>
      </c>
      <c r="I5862" s="10">
        <v>2015</v>
      </c>
      <c r="J5862" s="10" t="s">
        <v>19768</v>
      </c>
      <c r="K5862" s="10">
        <v>221</v>
      </c>
      <c r="L5862" s="10" t="s">
        <v>29634</v>
      </c>
      <c r="M5862" s="10">
        <v>1</v>
      </c>
      <c r="N5862" s="10"/>
      <c r="O5862" s="10"/>
      <c r="P5862" s="10" t="s">
        <v>29635</v>
      </c>
      <c r="Q5862" s="10">
        <v>378.120924</v>
      </c>
      <c r="R5862" s="10" t="s">
        <v>29636</v>
      </c>
      <c r="S5862" s="10" t="s">
        <v>53</v>
      </c>
      <c r="T5862" s="10" t="s">
        <v>54</v>
      </c>
    </row>
    <row r="5863" spans="1:20" ht="14.5" x14ac:dyDescent="0.35">
      <c r="A5863" s="10" t="s">
        <v>29637</v>
      </c>
      <c r="B5863" s="10" t="str">
        <f>"9780813152806"</f>
        <v>9780813152806</v>
      </c>
      <c r="C5863" s="10" t="str">
        <f>"9780813163253"</f>
        <v>9780813163253</v>
      </c>
      <c r="D5863" s="10" t="s">
        <v>19768</v>
      </c>
      <c r="E5863" s="10" t="s">
        <v>19768</v>
      </c>
      <c r="F5863" s="10" t="s">
        <v>19774</v>
      </c>
      <c r="G5863" s="10" t="s">
        <v>6317</v>
      </c>
      <c r="H5863" s="11">
        <v>41827</v>
      </c>
      <c r="I5863" s="10">
        <v>2015</v>
      </c>
      <c r="J5863" s="10" t="s">
        <v>19768</v>
      </c>
      <c r="K5863" s="10">
        <v>328</v>
      </c>
      <c r="L5863" s="10" t="s">
        <v>29638</v>
      </c>
      <c r="M5863" s="10">
        <v>1</v>
      </c>
      <c r="N5863" s="10"/>
      <c r="O5863" s="10"/>
      <c r="P5863" s="10" t="s">
        <v>29639</v>
      </c>
      <c r="Q5863" s="10">
        <v>374.97680000000003</v>
      </c>
      <c r="R5863" s="10" t="s">
        <v>29640</v>
      </c>
      <c r="S5863" s="10" t="s">
        <v>53</v>
      </c>
      <c r="T5863" s="10" t="s">
        <v>54</v>
      </c>
    </row>
    <row r="5864" spans="1:20" ht="14.5" x14ac:dyDescent="0.35">
      <c r="A5864" s="10" t="s">
        <v>29641</v>
      </c>
      <c r="B5864" s="10" t="str">
        <f>"9780813152042"</f>
        <v>9780813152042</v>
      </c>
      <c r="C5864" s="10" t="str">
        <f>"9780813162720"</f>
        <v>9780813162720</v>
      </c>
      <c r="D5864" s="10" t="s">
        <v>19768</v>
      </c>
      <c r="E5864" s="10" t="s">
        <v>19768</v>
      </c>
      <c r="F5864" s="10" t="s">
        <v>19774</v>
      </c>
      <c r="G5864" s="10" t="s">
        <v>6317</v>
      </c>
      <c r="H5864" s="11">
        <v>41827</v>
      </c>
      <c r="I5864" s="10">
        <v>2015</v>
      </c>
      <c r="J5864" s="10" t="s">
        <v>19768</v>
      </c>
      <c r="K5864" s="10">
        <v>177</v>
      </c>
      <c r="L5864" s="10" t="s">
        <v>29642</v>
      </c>
      <c r="M5864" s="10">
        <v>1</v>
      </c>
      <c r="N5864" s="10"/>
      <c r="O5864" s="10"/>
      <c r="P5864" s="10" t="s">
        <v>29643</v>
      </c>
      <c r="Q5864" s="10">
        <v>378.76900000000001</v>
      </c>
      <c r="R5864" s="10" t="s">
        <v>29644</v>
      </c>
      <c r="S5864" s="10" t="s">
        <v>53</v>
      </c>
      <c r="T5864" s="10" t="s">
        <v>54</v>
      </c>
    </row>
    <row r="5865" spans="1:20" ht="14.5" x14ac:dyDescent="0.35">
      <c r="A5865" s="10" t="s">
        <v>29645</v>
      </c>
      <c r="B5865" s="10" t="str">
        <f>"9780813151373"</f>
        <v>9780813151373</v>
      </c>
      <c r="C5865" s="10" t="str">
        <f>"9780813162195"</f>
        <v>9780813162195</v>
      </c>
      <c r="D5865" s="10" t="s">
        <v>19768</v>
      </c>
      <c r="E5865" s="10" t="s">
        <v>19768</v>
      </c>
      <c r="F5865" s="10" t="s">
        <v>19774</v>
      </c>
      <c r="G5865" s="10" t="s">
        <v>6317</v>
      </c>
      <c r="H5865" s="11">
        <v>41827</v>
      </c>
      <c r="I5865" s="10">
        <v>2015</v>
      </c>
      <c r="J5865" s="10" t="s">
        <v>19768</v>
      </c>
      <c r="K5865" s="10">
        <v>231</v>
      </c>
      <c r="L5865" s="10" t="s">
        <v>29646</v>
      </c>
      <c r="M5865" s="10">
        <v>1</v>
      </c>
      <c r="N5865" s="10"/>
      <c r="O5865" s="10"/>
      <c r="P5865" s="10" t="s">
        <v>29647</v>
      </c>
      <c r="Q5865" s="10">
        <v>377.1</v>
      </c>
      <c r="R5865" s="10" t="s">
        <v>29648</v>
      </c>
      <c r="S5865" s="10" t="s">
        <v>53</v>
      </c>
      <c r="T5865" s="10" t="s">
        <v>54</v>
      </c>
    </row>
    <row r="5866" spans="1:20" ht="14.5" x14ac:dyDescent="0.35">
      <c r="A5866" s="10" t="s">
        <v>29649</v>
      </c>
      <c r="B5866" s="10" t="str">
        <f>"9780813155326"</f>
        <v>9780813155326</v>
      </c>
      <c r="C5866" s="10" t="str">
        <f>"9780813164915"</f>
        <v>9780813164915</v>
      </c>
      <c r="D5866" s="10" t="s">
        <v>19768</v>
      </c>
      <c r="E5866" s="10" t="s">
        <v>19768</v>
      </c>
      <c r="F5866" s="10" t="s">
        <v>19774</v>
      </c>
      <c r="G5866" s="10" t="s">
        <v>6317</v>
      </c>
      <c r="H5866" s="11">
        <v>41827</v>
      </c>
      <c r="I5866" s="10">
        <v>2015</v>
      </c>
      <c r="J5866" s="10" t="s">
        <v>19768</v>
      </c>
      <c r="K5866" s="10">
        <v>192</v>
      </c>
      <c r="L5866" s="10" t="s">
        <v>29650</v>
      </c>
      <c r="M5866" s="10">
        <v>1</v>
      </c>
      <c r="N5866" s="10"/>
      <c r="O5866" s="10"/>
      <c r="P5866" s="10" t="s">
        <v>29651</v>
      </c>
      <c r="Q5866" s="10">
        <v>370.97500000000002</v>
      </c>
      <c r="R5866" s="10" t="s">
        <v>29652</v>
      </c>
      <c r="S5866" s="10" t="s">
        <v>53</v>
      </c>
      <c r="T5866" s="10" t="s">
        <v>54</v>
      </c>
    </row>
    <row r="5867" spans="1:20" ht="14.5" x14ac:dyDescent="0.35">
      <c r="A5867" s="10" t="s">
        <v>29653</v>
      </c>
      <c r="B5867" s="10" t="str">
        <f>"9780813151199"</f>
        <v>9780813151199</v>
      </c>
      <c r="C5867" s="10" t="str">
        <f>"9780813162065"</f>
        <v>9780813162065</v>
      </c>
      <c r="D5867" s="10" t="s">
        <v>19768</v>
      </c>
      <c r="E5867" s="10" t="s">
        <v>19768</v>
      </c>
      <c r="F5867" s="10" t="s">
        <v>19774</v>
      </c>
      <c r="G5867" s="10" t="s">
        <v>6317</v>
      </c>
      <c r="H5867" s="11">
        <v>41827</v>
      </c>
      <c r="I5867" s="10">
        <v>2015</v>
      </c>
      <c r="J5867" s="10" t="s">
        <v>19768</v>
      </c>
      <c r="K5867" s="10">
        <v>288</v>
      </c>
      <c r="L5867" s="10" t="s">
        <v>29654</v>
      </c>
      <c r="M5867" s="10">
        <v>1</v>
      </c>
      <c r="N5867" s="10"/>
      <c r="O5867" s="10"/>
      <c r="P5867" s="10" t="s">
        <v>29655</v>
      </c>
      <c r="Q5867" s="10">
        <v>630.71</v>
      </c>
      <c r="R5867" s="10" t="s">
        <v>29656</v>
      </c>
      <c r="S5867" s="10" t="s">
        <v>53</v>
      </c>
      <c r="T5867" s="10" t="s">
        <v>29657</v>
      </c>
    </row>
    <row r="5868" spans="1:20" ht="14.5" x14ac:dyDescent="0.35">
      <c r="A5868" s="10" t="s">
        <v>29658</v>
      </c>
      <c r="B5868" s="10" t="str">
        <f>"9780813151229"</f>
        <v>9780813151229</v>
      </c>
      <c r="C5868" s="10" t="str">
        <f>"9780813162089"</f>
        <v>9780813162089</v>
      </c>
      <c r="D5868" s="10" t="s">
        <v>19768</v>
      </c>
      <c r="E5868" s="10" t="s">
        <v>19768</v>
      </c>
      <c r="F5868" s="10" t="s">
        <v>19774</v>
      </c>
      <c r="G5868" s="10" t="s">
        <v>6317</v>
      </c>
      <c r="H5868" s="11">
        <v>41827</v>
      </c>
      <c r="I5868" s="10">
        <v>2015</v>
      </c>
      <c r="J5868" s="10" t="s">
        <v>19768</v>
      </c>
      <c r="K5868" s="10">
        <v>216</v>
      </c>
      <c r="L5868" s="10" t="s">
        <v>29659</v>
      </c>
      <c r="M5868" s="10">
        <v>1</v>
      </c>
      <c r="N5868" s="10"/>
      <c r="O5868" s="10"/>
      <c r="P5868" s="10" t="s">
        <v>29660</v>
      </c>
      <c r="Q5868" s="10">
        <v>370.19299999999998</v>
      </c>
      <c r="R5868" s="10" t="s">
        <v>29661</v>
      </c>
      <c r="S5868" s="10" t="s">
        <v>53</v>
      </c>
      <c r="T5868" s="10" t="s">
        <v>54</v>
      </c>
    </row>
    <row r="5869" spans="1:20" ht="14.5" x14ac:dyDescent="0.35">
      <c r="A5869" s="10" t="s">
        <v>29662</v>
      </c>
      <c r="B5869" s="10" t="str">
        <f>"9780813153797"</f>
        <v>9780813153797</v>
      </c>
      <c r="C5869" s="10" t="str">
        <f>"9780813163932"</f>
        <v>9780813163932</v>
      </c>
      <c r="D5869" s="10" t="s">
        <v>19768</v>
      </c>
      <c r="E5869" s="10" t="s">
        <v>19768</v>
      </c>
      <c r="F5869" s="10" t="s">
        <v>19774</v>
      </c>
      <c r="G5869" s="10" t="s">
        <v>6317</v>
      </c>
      <c r="H5869" s="11">
        <v>41827</v>
      </c>
      <c r="I5869" s="10">
        <v>2015</v>
      </c>
      <c r="J5869" s="10" t="s">
        <v>19768</v>
      </c>
      <c r="K5869" s="10">
        <v>332</v>
      </c>
      <c r="L5869" s="10" t="s">
        <v>29663</v>
      </c>
      <c r="M5869" s="10">
        <v>1</v>
      </c>
      <c r="N5869" s="10"/>
      <c r="O5869" s="10"/>
      <c r="P5869" s="10" t="s">
        <v>29664</v>
      </c>
      <c r="Q5869" s="10">
        <v>370.9769</v>
      </c>
      <c r="R5869" s="10" t="s">
        <v>29665</v>
      </c>
      <c r="S5869" s="10" t="s">
        <v>53</v>
      </c>
      <c r="T5869" s="10" t="s">
        <v>54</v>
      </c>
    </row>
    <row r="5870" spans="1:20" ht="14.5" x14ac:dyDescent="0.35">
      <c r="A5870" s="10" t="s">
        <v>29666</v>
      </c>
      <c r="B5870" s="10" t="str">
        <f>"9780813154336"</f>
        <v>9780813154336</v>
      </c>
      <c r="C5870" s="10" t="str">
        <f>"9780813164281"</f>
        <v>9780813164281</v>
      </c>
      <c r="D5870" s="10" t="s">
        <v>19768</v>
      </c>
      <c r="E5870" s="10" t="s">
        <v>19768</v>
      </c>
      <c r="F5870" s="10" t="s">
        <v>19774</v>
      </c>
      <c r="G5870" s="10" t="s">
        <v>6317</v>
      </c>
      <c r="H5870" s="11">
        <v>41827</v>
      </c>
      <c r="I5870" s="10">
        <v>2015</v>
      </c>
      <c r="J5870" s="10" t="s">
        <v>19768</v>
      </c>
      <c r="K5870" s="10">
        <v>225</v>
      </c>
      <c r="L5870" s="10" t="s">
        <v>29667</v>
      </c>
      <c r="M5870" s="10">
        <v>1</v>
      </c>
      <c r="N5870" s="10"/>
      <c r="O5870" s="10"/>
      <c r="P5870" s="10" t="s">
        <v>29668</v>
      </c>
      <c r="Q5870" s="10">
        <v>377.2</v>
      </c>
      <c r="R5870" s="10" t="s">
        <v>29648</v>
      </c>
      <c r="S5870" s="10" t="s">
        <v>53</v>
      </c>
      <c r="T5870" s="10" t="s">
        <v>54</v>
      </c>
    </row>
    <row r="5871" spans="1:20" ht="14.5" x14ac:dyDescent="0.35">
      <c r="A5871" s="10" t="s">
        <v>29669</v>
      </c>
      <c r="B5871" s="10" t="str">
        <f>"9780813154367"</f>
        <v>9780813154367</v>
      </c>
      <c r="C5871" s="10" t="str">
        <f>"9780813164304"</f>
        <v>9780813164304</v>
      </c>
      <c r="D5871" s="10" t="s">
        <v>19768</v>
      </c>
      <c r="E5871" s="10" t="s">
        <v>19768</v>
      </c>
      <c r="F5871" s="10" t="s">
        <v>19774</v>
      </c>
      <c r="G5871" s="10" t="s">
        <v>6317</v>
      </c>
      <c r="H5871" s="11">
        <v>41827</v>
      </c>
      <c r="I5871" s="10">
        <v>2015</v>
      </c>
      <c r="J5871" s="10" t="s">
        <v>19768</v>
      </c>
      <c r="K5871" s="10">
        <v>168</v>
      </c>
      <c r="L5871" s="10" t="s">
        <v>29670</v>
      </c>
      <c r="M5871" s="10">
        <v>1</v>
      </c>
      <c r="N5871" s="10"/>
      <c r="O5871" s="10"/>
      <c r="P5871" s="10" t="s">
        <v>29671</v>
      </c>
      <c r="Q5871" s="10">
        <v>378.73</v>
      </c>
      <c r="R5871" s="10" t="s">
        <v>29672</v>
      </c>
      <c r="S5871" s="10" t="s">
        <v>53</v>
      </c>
      <c r="T5871" s="10" t="s">
        <v>54</v>
      </c>
    </row>
    <row r="5872" spans="1:20" ht="14.5" x14ac:dyDescent="0.35">
      <c r="A5872" s="10" t="s">
        <v>29673</v>
      </c>
      <c r="B5872" s="10" t="str">
        <f>"9780813154565"</f>
        <v>9780813154565</v>
      </c>
      <c r="C5872" s="10" t="str">
        <f>"9780813164472"</f>
        <v>9780813164472</v>
      </c>
      <c r="D5872" s="10" t="s">
        <v>19768</v>
      </c>
      <c r="E5872" s="10" t="s">
        <v>19768</v>
      </c>
      <c r="F5872" s="10" t="s">
        <v>19774</v>
      </c>
      <c r="G5872" s="10" t="s">
        <v>6317</v>
      </c>
      <c r="H5872" s="11">
        <v>41827</v>
      </c>
      <c r="I5872" s="10">
        <v>2015</v>
      </c>
      <c r="J5872" s="10" t="s">
        <v>19768</v>
      </c>
      <c r="K5872" s="10">
        <v>128</v>
      </c>
      <c r="L5872" s="10" t="s">
        <v>29674</v>
      </c>
      <c r="M5872" s="10">
        <v>1</v>
      </c>
      <c r="N5872" s="10"/>
      <c r="O5872" s="10"/>
      <c r="P5872" s="10" t="s">
        <v>29675</v>
      </c>
      <c r="Q5872" s="10">
        <v>378.73</v>
      </c>
      <c r="R5872" s="10" t="s">
        <v>29676</v>
      </c>
      <c r="S5872" s="10" t="s">
        <v>53</v>
      </c>
      <c r="T5872" s="10" t="s">
        <v>54</v>
      </c>
    </row>
    <row r="5873" spans="1:20" ht="14.5" x14ac:dyDescent="0.35">
      <c r="A5873" s="10" t="s">
        <v>29677</v>
      </c>
      <c r="B5873" s="10" t="str">
        <f>"9780813116969"</f>
        <v>9780813116969</v>
      </c>
      <c r="C5873" s="10" t="str">
        <f>"9780813157542"</f>
        <v>9780813157542</v>
      </c>
      <c r="D5873" s="10" t="s">
        <v>19768</v>
      </c>
      <c r="E5873" s="10" t="s">
        <v>19768</v>
      </c>
      <c r="F5873" s="10" t="s">
        <v>19774</v>
      </c>
      <c r="G5873" s="10" t="s">
        <v>6317</v>
      </c>
      <c r="H5873" s="11">
        <v>32973</v>
      </c>
      <c r="I5873" s="10">
        <v>1990</v>
      </c>
      <c r="J5873" s="10" t="s">
        <v>19768</v>
      </c>
      <c r="K5873" s="10">
        <v>258</v>
      </c>
      <c r="L5873" s="10" t="s">
        <v>29678</v>
      </c>
      <c r="M5873" s="10">
        <v>1</v>
      </c>
      <c r="N5873" s="10"/>
      <c r="O5873" s="10"/>
      <c r="P5873" s="10"/>
      <c r="Q5873" s="10" t="s">
        <v>29679</v>
      </c>
      <c r="R5873" s="10"/>
      <c r="S5873" s="10" t="s">
        <v>53</v>
      </c>
      <c r="T5873" s="10" t="s">
        <v>54</v>
      </c>
    </row>
    <row r="5874" spans="1:20" ht="14.5" x14ac:dyDescent="0.35">
      <c r="A5874" s="10" t="s">
        <v>29680</v>
      </c>
      <c r="B5874" s="10" t="str">
        <f>"9789956727070"</f>
        <v>9789956727070</v>
      </c>
      <c r="C5874" s="10" t="str">
        <f>"9789956728961"</f>
        <v>9789956728961</v>
      </c>
      <c r="D5874" s="10" t="s">
        <v>24820</v>
      </c>
      <c r="E5874" s="10" t="s">
        <v>24821</v>
      </c>
      <c r="F5874" s="10" t="s">
        <v>748</v>
      </c>
      <c r="G5874" s="10" t="s">
        <v>24822</v>
      </c>
      <c r="H5874" s="11">
        <v>41122</v>
      </c>
      <c r="I5874" s="10">
        <v>2012</v>
      </c>
      <c r="J5874" s="10" t="s">
        <v>24821</v>
      </c>
      <c r="K5874" s="10">
        <v>344</v>
      </c>
      <c r="L5874" s="10" t="s">
        <v>29681</v>
      </c>
      <c r="M5874" s="10">
        <v>1</v>
      </c>
      <c r="N5874" s="10"/>
      <c r="O5874" s="10"/>
      <c r="P5874" s="10"/>
      <c r="Q5874" s="10"/>
      <c r="R5874" s="10"/>
      <c r="S5874" s="10" t="s">
        <v>53</v>
      </c>
      <c r="T5874" s="10" t="s">
        <v>4490</v>
      </c>
    </row>
    <row r="5875" spans="1:20" ht="14.5" x14ac:dyDescent="0.35">
      <c r="A5875" s="10" t="s">
        <v>29682</v>
      </c>
      <c r="B5875" s="10" t="str">
        <f>"9781412937771"</f>
        <v>9781412937771</v>
      </c>
      <c r="C5875" s="10" t="str">
        <f>"9781483376783"</f>
        <v>9781483376783</v>
      </c>
      <c r="D5875" s="10" t="s">
        <v>22210</v>
      </c>
      <c r="E5875" s="10" t="s">
        <v>22214</v>
      </c>
      <c r="F5875" s="10" t="s">
        <v>333</v>
      </c>
      <c r="G5875" s="10" t="s">
        <v>6317</v>
      </c>
      <c r="H5875" s="11">
        <v>39280</v>
      </c>
      <c r="I5875" s="10">
        <v>2008</v>
      </c>
      <c r="J5875" s="10" t="s">
        <v>22214</v>
      </c>
      <c r="K5875" s="10">
        <v>249</v>
      </c>
      <c r="L5875" s="10" t="s">
        <v>29683</v>
      </c>
      <c r="M5875" s="10">
        <v>1</v>
      </c>
      <c r="N5875" s="10"/>
      <c r="O5875" s="10"/>
      <c r="P5875" s="10" t="s">
        <v>29684</v>
      </c>
      <c r="Q5875" s="10"/>
      <c r="R5875" s="10"/>
      <c r="S5875" s="10" t="s">
        <v>53</v>
      </c>
      <c r="T5875" s="10" t="s">
        <v>54</v>
      </c>
    </row>
    <row r="5876" spans="1:20" ht="14.5" x14ac:dyDescent="0.35">
      <c r="A5876" s="10" t="s">
        <v>29685</v>
      </c>
      <c r="B5876" s="10" t="str">
        <f>"9780335262885"</f>
        <v>9780335262885</v>
      </c>
      <c r="C5876" s="10" t="str">
        <f>"9780335262892"</f>
        <v>9780335262892</v>
      </c>
      <c r="D5876" s="10" t="s">
        <v>10342</v>
      </c>
      <c r="E5876" s="10" t="s">
        <v>10343</v>
      </c>
      <c r="F5876" s="10" t="s">
        <v>10344</v>
      </c>
      <c r="G5876" s="10" t="s">
        <v>6352</v>
      </c>
      <c r="H5876" s="11">
        <v>41989</v>
      </c>
      <c r="I5876" s="10">
        <v>2015</v>
      </c>
      <c r="J5876" s="10" t="s">
        <v>10345</v>
      </c>
      <c r="K5876" s="10">
        <v>282</v>
      </c>
      <c r="L5876" s="10" t="s">
        <v>29686</v>
      </c>
      <c r="M5876" s="10">
        <v>1</v>
      </c>
      <c r="N5876" s="10" t="s">
        <v>10347</v>
      </c>
      <c r="O5876" s="10"/>
      <c r="P5876" s="10" t="s">
        <v>29687</v>
      </c>
      <c r="Q5876" s="10">
        <v>155.4</v>
      </c>
      <c r="R5876" s="10" t="s">
        <v>29688</v>
      </c>
      <c r="S5876" s="10" t="s">
        <v>53</v>
      </c>
      <c r="T5876" s="10" t="s">
        <v>483</v>
      </c>
    </row>
    <row r="5877" spans="1:20" ht="14.5" x14ac:dyDescent="0.35">
      <c r="A5877" s="10" t="s">
        <v>29689</v>
      </c>
      <c r="B5877" s="10" t="str">
        <f>"9780335247653"</f>
        <v>9780335247653</v>
      </c>
      <c r="C5877" s="10" t="str">
        <f>"9780335247660"</f>
        <v>9780335247660</v>
      </c>
      <c r="D5877" s="10" t="s">
        <v>10342</v>
      </c>
      <c r="E5877" s="10" t="s">
        <v>10343</v>
      </c>
      <c r="F5877" s="10" t="s">
        <v>10344</v>
      </c>
      <c r="G5877" s="10" t="s">
        <v>6352</v>
      </c>
      <c r="H5877" s="11">
        <v>41928</v>
      </c>
      <c r="I5877" s="10">
        <v>2014</v>
      </c>
      <c r="J5877" s="10" t="s">
        <v>10345</v>
      </c>
      <c r="K5877" s="10">
        <v>186</v>
      </c>
      <c r="L5877" s="10" t="s">
        <v>29690</v>
      </c>
      <c r="M5877" s="10">
        <v>1</v>
      </c>
      <c r="N5877" s="10" t="s">
        <v>10347</v>
      </c>
      <c r="O5877" s="10"/>
      <c r="P5877" s="10" t="s">
        <v>29691</v>
      </c>
      <c r="Q5877" s="10"/>
      <c r="R5877" s="10"/>
      <c r="S5877" s="10" t="s">
        <v>53</v>
      </c>
      <c r="T5877" s="10" t="s">
        <v>54</v>
      </c>
    </row>
    <row r="5878" spans="1:20" ht="14.5" x14ac:dyDescent="0.35">
      <c r="A5878" s="10" t="s">
        <v>29692</v>
      </c>
      <c r="B5878" s="10" t="str">
        <f>"9780335263707"</f>
        <v>9780335263707</v>
      </c>
      <c r="C5878" s="10" t="str">
        <f>"9780335263714"</f>
        <v>9780335263714</v>
      </c>
      <c r="D5878" s="10" t="s">
        <v>10342</v>
      </c>
      <c r="E5878" s="10" t="s">
        <v>10343</v>
      </c>
      <c r="F5878" s="10" t="s">
        <v>10344</v>
      </c>
      <c r="G5878" s="10" t="s">
        <v>6352</v>
      </c>
      <c r="H5878" s="11">
        <v>41989</v>
      </c>
      <c r="I5878" s="10">
        <v>2015</v>
      </c>
      <c r="J5878" s="10" t="s">
        <v>10345</v>
      </c>
      <c r="K5878" s="10">
        <v>178</v>
      </c>
      <c r="L5878" s="10" t="s">
        <v>29693</v>
      </c>
      <c r="M5878" s="10">
        <v>1</v>
      </c>
      <c r="N5878" s="10" t="s">
        <v>29694</v>
      </c>
      <c r="O5878" s="10"/>
      <c r="P5878" s="10" t="s">
        <v>29695</v>
      </c>
      <c r="Q5878" s="10"/>
      <c r="R5878" s="10" t="s">
        <v>29696</v>
      </c>
      <c r="S5878" s="10" t="s">
        <v>53</v>
      </c>
      <c r="T5878" s="10" t="s">
        <v>54</v>
      </c>
    </row>
    <row r="5879" spans="1:20" ht="14.5" x14ac:dyDescent="0.35">
      <c r="A5879" s="10" t="s">
        <v>29697</v>
      </c>
      <c r="B5879" s="10" t="str">
        <f>"9780809333783"</f>
        <v>9780809333783</v>
      </c>
      <c r="C5879" s="10" t="str">
        <f>"9780809333790"</f>
        <v>9780809333790</v>
      </c>
      <c r="D5879" s="10" t="s">
        <v>26036</v>
      </c>
      <c r="E5879" s="10" t="s">
        <v>26036</v>
      </c>
      <c r="F5879" s="10" t="s">
        <v>2236</v>
      </c>
      <c r="G5879" s="10" t="s">
        <v>6317</v>
      </c>
      <c r="H5879" s="11">
        <v>41989</v>
      </c>
      <c r="I5879" s="10">
        <v>2015</v>
      </c>
      <c r="J5879" s="10" t="s">
        <v>26036</v>
      </c>
      <c r="K5879" s="10">
        <v>250</v>
      </c>
      <c r="L5879" s="10" t="s">
        <v>29698</v>
      </c>
      <c r="M5879" s="10">
        <v>1</v>
      </c>
      <c r="N5879" s="10"/>
      <c r="O5879" s="10"/>
      <c r="P5879" s="10" t="s">
        <v>26276</v>
      </c>
      <c r="Q5879" s="10" t="s">
        <v>29699</v>
      </c>
      <c r="R5879" s="10" t="s">
        <v>29700</v>
      </c>
      <c r="S5879" s="10" t="s">
        <v>53</v>
      </c>
      <c r="T5879" s="10" t="s">
        <v>54</v>
      </c>
    </row>
    <row r="5880" spans="1:20" ht="14.5" x14ac:dyDescent="0.35">
      <c r="A5880" s="10" t="s">
        <v>29701</v>
      </c>
      <c r="B5880" s="10" t="str">
        <f>"9789004285231"</f>
        <v>9789004285231</v>
      </c>
      <c r="C5880" s="10" t="str">
        <f>"9789004285248"</f>
        <v>9789004285248</v>
      </c>
      <c r="D5880" s="10" t="s">
        <v>8564</v>
      </c>
      <c r="E5880" s="10" t="s">
        <v>8565</v>
      </c>
      <c r="F5880" s="10" t="s">
        <v>1420</v>
      </c>
      <c r="G5880" s="10" t="s">
        <v>6317</v>
      </c>
      <c r="H5880" s="11">
        <v>42012</v>
      </c>
      <c r="I5880" s="10">
        <v>2015</v>
      </c>
      <c r="J5880" s="10" t="s">
        <v>8565</v>
      </c>
      <c r="K5880" s="10">
        <v>448</v>
      </c>
      <c r="L5880" s="10" t="s">
        <v>29702</v>
      </c>
      <c r="M5880" s="10">
        <v>1</v>
      </c>
      <c r="N5880" s="10"/>
      <c r="O5880" s="10"/>
      <c r="P5880" s="10" t="s">
        <v>29703</v>
      </c>
      <c r="Q5880" s="10">
        <v>378.51155999999997</v>
      </c>
      <c r="R5880" s="10" t="s">
        <v>29704</v>
      </c>
      <c r="S5880" s="10" t="s">
        <v>53</v>
      </c>
      <c r="T5880" s="10" t="s">
        <v>54</v>
      </c>
    </row>
    <row r="5881" spans="1:20" ht="14.5" x14ac:dyDescent="0.35">
      <c r="A5881" s="10" t="s">
        <v>29705</v>
      </c>
      <c r="B5881" s="10" t="str">
        <f>"9780231174213"</f>
        <v>9780231174213</v>
      </c>
      <c r="C5881" s="10" t="str">
        <f>"9780231539524"</f>
        <v>9780231539524</v>
      </c>
      <c r="D5881" s="10" t="s">
        <v>20767</v>
      </c>
      <c r="E5881" s="10" t="s">
        <v>20768</v>
      </c>
      <c r="F5881" s="10" t="s">
        <v>70</v>
      </c>
      <c r="G5881" s="10" t="s">
        <v>6317</v>
      </c>
      <c r="H5881" s="11">
        <v>42164</v>
      </c>
      <c r="I5881" s="10">
        <v>2015</v>
      </c>
      <c r="J5881" s="10" t="s">
        <v>20768</v>
      </c>
      <c r="K5881" s="10">
        <v>545</v>
      </c>
      <c r="L5881" s="10" t="s">
        <v>29706</v>
      </c>
      <c r="M5881" s="10"/>
      <c r="N5881" s="10"/>
      <c r="O5881" s="10"/>
      <c r="P5881" s="10" t="s">
        <v>29707</v>
      </c>
      <c r="Q5881" s="10">
        <v>378.00920000000002</v>
      </c>
      <c r="R5881" s="10" t="s">
        <v>29708</v>
      </c>
      <c r="S5881" s="10" t="s">
        <v>53</v>
      </c>
      <c r="T5881" s="10" t="s">
        <v>54</v>
      </c>
    </row>
    <row r="5882" spans="1:20" ht="14.5" x14ac:dyDescent="0.35">
      <c r="A5882" s="10" t="s">
        <v>29709</v>
      </c>
      <c r="B5882" s="10" t="str">
        <f>"9781464803239"</f>
        <v>9781464803239</v>
      </c>
      <c r="C5882" s="10" t="str">
        <f>"9781464803246"</f>
        <v>9781464803246</v>
      </c>
      <c r="D5882" s="10" t="s">
        <v>14731</v>
      </c>
      <c r="E5882" s="10" t="s">
        <v>14732</v>
      </c>
      <c r="F5882" s="10" t="s">
        <v>88</v>
      </c>
      <c r="G5882" s="10" t="s">
        <v>6317</v>
      </c>
      <c r="H5882" s="11">
        <v>42005</v>
      </c>
      <c r="I5882" s="10">
        <v>2015</v>
      </c>
      <c r="J5882" s="10" t="s">
        <v>14732</v>
      </c>
      <c r="K5882" s="10">
        <v>343</v>
      </c>
      <c r="L5882" s="10" t="s">
        <v>29710</v>
      </c>
      <c r="M5882" s="10">
        <v>1</v>
      </c>
      <c r="N5882" s="10" t="s">
        <v>27236</v>
      </c>
      <c r="O5882" s="10"/>
      <c r="P5882" s="10" t="s">
        <v>29711</v>
      </c>
      <c r="Q5882" s="10">
        <v>372.21</v>
      </c>
      <c r="R5882" s="10" t="s">
        <v>29712</v>
      </c>
      <c r="S5882" s="10" t="s">
        <v>53</v>
      </c>
      <c r="T5882" s="10" t="s">
        <v>54</v>
      </c>
    </row>
    <row r="5883" spans="1:20" ht="14.5" x14ac:dyDescent="0.35">
      <c r="A5883" s="10" t="s">
        <v>29713</v>
      </c>
      <c r="B5883" s="10" t="str">
        <f>"9781597564977"</f>
        <v>9781597564977</v>
      </c>
      <c r="C5883" s="10" t="str">
        <f>"9781597566810"</f>
        <v>9781597566810</v>
      </c>
      <c r="D5883" s="10" t="s">
        <v>29390</v>
      </c>
      <c r="E5883" s="10" t="s">
        <v>29391</v>
      </c>
      <c r="F5883" s="10" t="s">
        <v>1232</v>
      </c>
      <c r="G5883" s="10" t="s">
        <v>6317</v>
      </c>
      <c r="H5883" s="11">
        <v>41228</v>
      </c>
      <c r="I5883" s="10">
        <v>2013</v>
      </c>
      <c r="J5883" s="10" t="s">
        <v>29391</v>
      </c>
      <c r="K5883" s="10">
        <v>363</v>
      </c>
      <c r="L5883" s="10" t="s">
        <v>29391</v>
      </c>
      <c r="M5883" s="10">
        <v>2</v>
      </c>
      <c r="N5883" s="10"/>
      <c r="O5883" s="10"/>
      <c r="P5883" s="10" t="s">
        <v>29714</v>
      </c>
      <c r="Q5883" s="10">
        <v>618.92854999999997</v>
      </c>
      <c r="R5883" s="10" t="s">
        <v>29715</v>
      </c>
      <c r="S5883" s="10" t="s">
        <v>53</v>
      </c>
      <c r="T5883" s="10" t="s">
        <v>10829</v>
      </c>
    </row>
    <row r="5884" spans="1:20" ht="14.5" x14ac:dyDescent="0.35">
      <c r="A5884" s="10" t="s">
        <v>29716</v>
      </c>
      <c r="B5884" s="10" t="str">
        <f>"9780195341461"</f>
        <v>9780195341461</v>
      </c>
      <c r="C5884" s="10" t="str">
        <f>"9780199712205"</f>
        <v>9780199712205</v>
      </c>
      <c r="D5884" s="10" t="s">
        <v>9122</v>
      </c>
      <c r="E5884" s="10" t="s">
        <v>9133</v>
      </c>
      <c r="F5884" s="10" t="s">
        <v>70</v>
      </c>
      <c r="G5884" s="10" t="s">
        <v>6317</v>
      </c>
      <c r="H5884" s="11">
        <v>42090</v>
      </c>
      <c r="I5884" s="10">
        <v>2015</v>
      </c>
      <c r="J5884" s="10" t="s">
        <v>9133</v>
      </c>
      <c r="K5884" s="10">
        <v>313</v>
      </c>
      <c r="L5884" s="10" t="s">
        <v>29717</v>
      </c>
      <c r="M5884" s="10">
        <v>1</v>
      </c>
      <c r="N5884" s="10"/>
      <c r="O5884" s="10"/>
      <c r="P5884" s="10" t="s">
        <v>9913</v>
      </c>
      <c r="Q5884" s="10" t="s">
        <v>29718</v>
      </c>
      <c r="R5884" s="10" t="s">
        <v>29719</v>
      </c>
      <c r="S5884" s="10" t="s">
        <v>53</v>
      </c>
      <c r="T5884" s="10" t="s">
        <v>483</v>
      </c>
    </row>
    <row r="5885" spans="1:20" ht="14.5" x14ac:dyDescent="0.35">
      <c r="A5885" s="10" t="s">
        <v>29720</v>
      </c>
      <c r="B5885" s="10" t="str">
        <f>"9781849055949"</f>
        <v>9781849055949</v>
      </c>
      <c r="C5885" s="10" t="str">
        <f>"9781784500498"</f>
        <v>9781784500498</v>
      </c>
      <c r="D5885" s="10" t="s">
        <v>10516</v>
      </c>
      <c r="E5885" s="10" t="s">
        <v>10516</v>
      </c>
      <c r="F5885" s="10" t="s">
        <v>139</v>
      </c>
      <c r="G5885" s="10" t="s">
        <v>6352</v>
      </c>
      <c r="H5885" s="11">
        <v>42084</v>
      </c>
      <c r="I5885" s="10">
        <v>2015</v>
      </c>
      <c r="J5885" s="10" t="s">
        <v>10516</v>
      </c>
      <c r="K5885" s="10">
        <v>194</v>
      </c>
      <c r="L5885" s="10" t="s">
        <v>29721</v>
      </c>
      <c r="M5885" s="10">
        <v>1</v>
      </c>
      <c r="N5885" s="10"/>
      <c r="O5885" s="10"/>
      <c r="P5885" s="10"/>
      <c r="Q5885" s="10">
        <v>371.9</v>
      </c>
      <c r="R5885" s="10" t="s">
        <v>29722</v>
      </c>
      <c r="S5885" s="10" t="s">
        <v>53</v>
      </c>
      <c r="T5885" s="10" t="s">
        <v>54</v>
      </c>
    </row>
    <row r="5886" spans="1:20" ht="14.5" x14ac:dyDescent="0.35">
      <c r="A5886" s="10" t="s">
        <v>29723</v>
      </c>
      <c r="B5886" s="10" t="str">
        <f>""</f>
        <v/>
      </c>
      <c r="C5886" s="10" t="str">
        <f>"9781504009270"</f>
        <v>9781504009270</v>
      </c>
      <c r="D5886" s="10" t="s">
        <v>6358</v>
      </c>
      <c r="E5886" s="10" t="s">
        <v>29724</v>
      </c>
      <c r="F5886" s="10" t="s">
        <v>70</v>
      </c>
      <c r="G5886" s="10" t="s">
        <v>6317</v>
      </c>
      <c r="H5886" s="11">
        <v>42038</v>
      </c>
      <c r="I5886" s="10">
        <v>1959</v>
      </c>
      <c r="J5886" s="10" t="s">
        <v>29724</v>
      </c>
      <c r="K5886" s="10">
        <v>154</v>
      </c>
      <c r="L5886" s="10" t="s">
        <v>29725</v>
      </c>
      <c r="M5886" s="10">
        <v>1</v>
      </c>
      <c r="N5886" s="10"/>
      <c r="O5886" s="10"/>
      <c r="P5886" s="10" t="s">
        <v>29726</v>
      </c>
      <c r="Q5886" s="10">
        <v>370.3</v>
      </c>
      <c r="R5886" s="10" t="s">
        <v>29727</v>
      </c>
      <c r="S5886" s="10" t="s">
        <v>53</v>
      </c>
      <c r="T5886" s="10" t="s">
        <v>54</v>
      </c>
    </row>
    <row r="5887" spans="1:20" ht="14.5" x14ac:dyDescent="0.35">
      <c r="A5887" s="10" t="s">
        <v>29728</v>
      </c>
      <c r="B5887" s="10" t="str">
        <f>"9781118242339"</f>
        <v>9781118242339</v>
      </c>
      <c r="C5887" s="10" t="str">
        <f>"9781118419489"</f>
        <v>9781118419489</v>
      </c>
      <c r="D5887" s="10" t="s">
        <v>6322</v>
      </c>
      <c r="E5887" s="10" t="s">
        <v>6323</v>
      </c>
      <c r="F5887" s="10" t="s">
        <v>4423</v>
      </c>
      <c r="G5887" s="10" t="s">
        <v>6317</v>
      </c>
      <c r="H5887" s="11">
        <v>41841</v>
      </c>
      <c r="I5887" s="10">
        <v>2014</v>
      </c>
      <c r="J5887" s="10" t="s">
        <v>6324</v>
      </c>
      <c r="K5887" s="10">
        <v>221</v>
      </c>
      <c r="L5887" s="10" t="s">
        <v>29729</v>
      </c>
      <c r="M5887" s="10">
        <v>1</v>
      </c>
      <c r="N5887" s="10"/>
      <c r="O5887" s="10"/>
      <c r="P5887" s="10"/>
      <c r="Q5887" s="10">
        <v>370.11709730000001</v>
      </c>
      <c r="R5887" s="10" t="s">
        <v>29730</v>
      </c>
      <c r="S5887" s="10" t="s">
        <v>53</v>
      </c>
      <c r="T5887" s="10" t="s">
        <v>54</v>
      </c>
    </row>
    <row r="5888" spans="1:20" ht="14.5" x14ac:dyDescent="0.35">
      <c r="A5888" s="10" t="s">
        <v>29731</v>
      </c>
      <c r="B5888" s="10" t="str">
        <f>"9781118930311"</f>
        <v>9781118930311</v>
      </c>
      <c r="C5888" s="10" t="str">
        <f>"9781118930335"</f>
        <v>9781118930335</v>
      </c>
      <c r="D5888" s="10" t="s">
        <v>6322</v>
      </c>
      <c r="E5888" s="10" t="s">
        <v>6323</v>
      </c>
      <c r="F5888" s="10" t="s">
        <v>6339</v>
      </c>
      <c r="G5888" s="10" t="s">
        <v>6317</v>
      </c>
      <c r="H5888" s="11">
        <v>41828</v>
      </c>
      <c r="I5888" s="10">
        <v>2014</v>
      </c>
      <c r="J5888" s="10" t="s">
        <v>6324</v>
      </c>
      <c r="K5888" s="10">
        <v>99</v>
      </c>
      <c r="L5888" s="10" t="s">
        <v>29732</v>
      </c>
      <c r="M5888" s="10">
        <v>1</v>
      </c>
      <c r="N5888" s="10" t="s">
        <v>22922</v>
      </c>
      <c r="O5888" s="10"/>
      <c r="P5888" s="10" t="s">
        <v>29733</v>
      </c>
      <c r="Q5888" s="10">
        <v>378.197</v>
      </c>
      <c r="R5888" s="10" t="s">
        <v>29734</v>
      </c>
      <c r="S5888" s="10" t="s">
        <v>53</v>
      </c>
      <c r="T5888" s="10" t="s">
        <v>54</v>
      </c>
    </row>
    <row r="5889" spans="1:20" ht="14.5" x14ac:dyDescent="0.35">
      <c r="A5889" s="10" t="s">
        <v>29735</v>
      </c>
      <c r="B5889" s="10" t="str">
        <f>"9781118944738"</f>
        <v>9781118944738</v>
      </c>
      <c r="C5889" s="10" t="str">
        <f>"9781118944721"</f>
        <v>9781118944721</v>
      </c>
      <c r="D5889" s="10" t="s">
        <v>6322</v>
      </c>
      <c r="E5889" s="10" t="s">
        <v>6323</v>
      </c>
      <c r="F5889" s="10" t="s">
        <v>4423</v>
      </c>
      <c r="G5889" s="10" t="s">
        <v>6352</v>
      </c>
      <c r="H5889" s="11">
        <v>41960</v>
      </c>
      <c r="I5889" s="10">
        <v>2015</v>
      </c>
      <c r="J5889" s="10" t="s">
        <v>8436</v>
      </c>
      <c r="K5889" s="10">
        <v>215</v>
      </c>
      <c r="L5889" s="10" t="s">
        <v>29736</v>
      </c>
      <c r="M5889" s="10">
        <v>1</v>
      </c>
      <c r="N5889" s="10" t="s">
        <v>18839</v>
      </c>
      <c r="O5889" s="10"/>
      <c r="P5889" s="10"/>
      <c r="Q5889" s="10" t="s">
        <v>8836</v>
      </c>
      <c r="R5889" s="10" t="s">
        <v>29737</v>
      </c>
      <c r="S5889" s="10" t="s">
        <v>53</v>
      </c>
      <c r="T5889" s="10" t="s">
        <v>54</v>
      </c>
    </row>
    <row r="5890" spans="1:20" ht="14.5" x14ac:dyDescent="0.35">
      <c r="A5890" s="10" t="s">
        <v>29738</v>
      </c>
      <c r="B5890" s="10" t="str">
        <f>"9781475813449"</f>
        <v>9781475813449</v>
      </c>
      <c r="C5890" s="10" t="str">
        <f>"9781475813463"</f>
        <v>9781475813463</v>
      </c>
      <c r="D5890" s="10" t="s">
        <v>9752</v>
      </c>
      <c r="E5890" s="10" t="s">
        <v>15187</v>
      </c>
      <c r="F5890" s="10" t="s">
        <v>9754</v>
      </c>
      <c r="G5890" s="10" t="s">
        <v>6317</v>
      </c>
      <c r="H5890" s="11">
        <v>42025</v>
      </c>
      <c r="I5890" s="10">
        <v>2015</v>
      </c>
      <c r="J5890" s="10" t="s">
        <v>15187</v>
      </c>
      <c r="K5890" s="10">
        <v>105</v>
      </c>
      <c r="L5890" s="10" t="s">
        <v>29739</v>
      </c>
      <c r="M5890" s="10">
        <v>1</v>
      </c>
      <c r="N5890" s="10"/>
      <c r="O5890" s="10"/>
      <c r="P5890" s="10"/>
      <c r="Q5890" s="10" t="s">
        <v>6638</v>
      </c>
      <c r="R5890" s="10" t="s">
        <v>7113</v>
      </c>
      <c r="S5890" s="10" t="s">
        <v>53</v>
      </c>
      <c r="T5890" s="10" t="s">
        <v>483</v>
      </c>
    </row>
    <row r="5891" spans="1:20" ht="14.5" x14ac:dyDescent="0.35">
      <c r="A5891" s="10" t="s">
        <v>29740</v>
      </c>
      <c r="B5891" s="10" t="str">
        <f>"9780851398631"</f>
        <v>9780851398631</v>
      </c>
      <c r="C5891" s="10" t="str">
        <f>"9781483135748"</f>
        <v>9781483135748</v>
      </c>
      <c r="D5891" s="10" t="s">
        <v>8547</v>
      </c>
      <c r="E5891" s="10" t="s">
        <v>29741</v>
      </c>
      <c r="F5891" s="10" t="s">
        <v>612</v>
      </c>
      <c r="G5891" s="10" t="s">
        <v>6352</v>
      </c>
      <c r="H5891" s="11">
        <v>31413</v>
      </c>
      <c r="I5891" s="10">
        <v>1986</v>
      </c>
      <c r="J5891" s="10" t="s">
        <v>29742</v>
      </c>
      <c r="K5891" s="10">
        <v>289</v>
      </c>
      <c r="L5891" s="10" t="s">
        <v>29743</v>
      </c>
      <c r="M5891" s="10">
        <v>1</v>
      </c>
      <c r="N5891" s="10"/>
      <c r="O5891" s="10"/>
      <c r="P5891" s="10" t="s">
        <v>29744</v>
      </c>
      <c r="Q5891" s="10" t="s">
        <v>29745</v>
      </c>
      <c r="R5891" s="10" t="s">
        <v>29746</v>
      </c>
      <c r="S5891" s="10" t="s">
        <v>53</v>
      </c>
      <c r="T5891" s="10" t="s">
        <v>6384</v>
      </c>
    </row>
    <row r="5892" spans="1:20" ht="14.5" x14ac:dyDescent="0.35">
      <c r="A5892" s="10" t="s">
        <v>29747</v>
      </c>
      <c r="B5892" s="10" t="str">
        <f>"9781623492892"</f>
        <v>9781623492892</v>
      </c>
      <c r="C5892" s="10" t="str">
        <f>"9781623493042"</f>
        <v>9781623493042</v>
      </c>
      <c r="D5892" s="10" t="s">
        <v>23853</v>
      </c>
      <c r="E5892" s="10" t="s">
        <v>23854</v>
      </c>
      <c r="F5892" s="10" t="s">
        <v>3126</v>
      </c>
      <c r="G5892" s="10" t="s">
        <v>6317</v>
      </c>
      <c r="H5892" s="11">
        <v>42054</v>
      </c>
      <c r="I5892" s="10">
        <v>2015</v>
      </c>
      <c r="J5892" s="10" t="s">
        <v>23854</v>
      </c>
      <c r="K5892" s="10">
        <v>242</v>
      </c>
      <c r="L5892" s="10" t="s">
        <v>29748</v>
      </c>
      <c r="M5892" s="10">
        <v>1</v>
      </c>
      <c r="N5892" s="10" t="s">
        <v>29749</v>
      </c>
      <c r="O5892" s="10"/>
      <c r="P5892" s="10" t="s">
        <v>29750</v>
      </c>
      <c r="Q5892" s="10" t="s">
        <v>29751</v>
      </c>
      <c r="R5892" s="10" t="s">
        <v>29752</v>
      </c>
      <c r="S5892" s="10" t="s">
        <v>53</v>
      </c>
      <c r="T5892" s="10" t="s">
        <v>54</v>
      </c>
    </row>
    <row r="5893" spans="1:20" ht="14.5" x14ac:dyDescent="0.35">
      <c r="A5893" s="10" t="s">
        <v>29753</v>
      </c>
      <c r="B5893" s="10" t="str">
        <f>"9781472913494"</f>
        <v>9781472913494</v>
      </c>
      <c r="C5893" s="10" t="str">
        <f>"9781472915177"</f>
        <v>9781472915177</v>
      </c>
      <c r="D5893" s="10" t="s">
        <v>13959</v>
      </c>
      <c r="E5893" s="10" t="s">
        <v>13960</v>
      </c>
      <c r="F5893" s="10" t="s">
        <v>139</v>
      </c>
      <c r="G5893" s="10" t="s">
        <v>6352</v>
      </c>
      <c r="H5893" s="11">
        <v>42075</v>
      </c>
      <c r="I5893" s="10">
        <v>2015</v>
      </c>
      <c r="J5893" s="10" t="s">
        <v>25203</v>
      </c>
      <c r="K5893" s="10">
        <v>169</v>
      </c>
      <c r="L5893" s="10" t="s">
        <v>29754</v>
      </c>
      <c r="M5893" s="10">
        <v>1</v>
      </c>
      <c r="N5893" s="10"/>
      <c r="O5893" s="10"/>
      <c r="P5893" s="10" t="s">
        <v>29755</v>
      </c>
      <c r="Q5893" s="10">
        <v>372.21094099999999</v>
      </c>
      <c r="R5893" s="10" t="s">
        <v>29756</v>
      </c>
      <c r="S5893" s="10" t="s">
        <v>53</v>
      </c>
      <c r="T5893" s="10" t="s">
        <v>54</v>
      </c>
    </row>
    <row r="5894" spans="1:20" ht="14.5" x14ac:dyDescent="0.35">
      <c r="A5894" s="10" t="s">
        <v>29757</v>
      </c>
      <c r="B5894" s="10" t="str">
        <f>"9781442239951"</f>
        <v>9781442239951</v>
      </c>
      <c r="C5894" s="10" t="str">
        <f>"9781442239968"</f>
        <v>9781442239968</v>
      </c>
      <c r="D5894" s="10" t="s">
        <v>9752</v>
      </c>
      <c r="E5894" s="10" t="s">
        <v>15187</v>
      </c>
      <c r="F5894" s="10" t="s">
        <v>9754</v>
      </c>
      <c r="G5894" s="10" t="s">
        <v>6317</v>
      </c>
      <c r="H5894" s="11">
        <v>42026</v>
      </c>
      <c r="I5894" s="10">
        <v>2015</v>
      </c>
      <c r="J5894" s="10" t="s">
        <v>15187</v>
      </c>
      <c r="K5894" s="10">
        <v>261</v>
      </c>
      <c r="L5894" s="10" t="s">
        <v>29758</v>
      </c>
      <c r="M5894" s="10">
        <v>1</v>
      </c>
      <c r="N5894" s="10"/>
      <c r="O5894" s="10"/>
      <c r="P5894" s="10" t="s">
        <v>29759</v>
      </c>
      <c r="Q5894" s="10" t="s">
        <v>29099</v>
      </c>
      <c r="R5894" s="10" t="s">
        <v>29760</v>
      </c>
      <c r="S5894" s="10" t="s">
        <v>53</v>
      </c>
      <c r="T5894" s="10" t="s">
        <v>18352</v>
      </c>
    </row>
    <row r="5895" spans="1:20" ht="14.5" x14ac:dyDescent="0.35">
      <c r="A5895" s="10" t="s">
        <v>29761</v>
      </c>
      <c r="B5895" s="10" t="str">
        <f>"9781472507204"</f>
        <v>9781472507204</v>
      </c>
      <c r="C5895" s="10" t="str">
        <f>"9781472506399"</f>
        <v>9781472506399</v>
      </c>
      <c r="D5895" s="10" t="s">
        <v>13959</v>
      </c>
      <c r="E5895" s="10" t="s">
        <v>13960</v>
      </c>
      <c r="F5895" s="10" t="s">
        <v>139</v>
      </c>
      <c r="G5895" s="10" t="s">
        <v>6352</v>
      </c>
      <c r="H5895" s="11">
        <v>42117</v>
      </c>
      <c r="I5895" s="10">
        <v>2015</v>
      </c>
      <c r="J5895" s="10" t="s">
        <v>14057</v>
      </c>
      <c r="K5895" s="10">
        <v>193</v>
      </c>
      <c r="L5895" s="10" t="s">
        <v>29762</v>
      </c>
      <c r="M5895" s="10">
        <v>1</v>
      </c>
      <c r="N5895" s="10"/>
      <c r="O5895" s="10"/>
      <c r="P5895" s="10" t="s">
        <v>29763</v>
      </c>
      <c r="Q5895" s="10" t="s">
        <v>29764</v>
      </c>
      <c r="R5895" s="10" t="s">
        <v>29765</v>
      </c>
      <c r="S5895" s="10" t="s">
        <v>53</v>
      </c>
      <c r="T5895" s="10" t="s">
        <v>54</v>
      </c>
    </row>
    <row r="5896" spans="1:20" ht="14.5" x14ac:dyDescent="0.35">
      <c r="A5896" s="10" t="s">
        <v>29766</v>
      </c>
      <c r="B5896" s="10" t="str">
        <f>"9781442241770"</f>
        <v>9781442241770</v>
      </c>
      <c r="C5896" s="10" t="str">
        <f>"9781442241787"</f>
        <v>9781442241787</v>
      </c>
      <c r="D5896" s="10" t="s">
        <v>9752</v>
      </c>
      <c r="E5896" s="10" t="s">
        <v>15187</v>
      </c>
      <c r="F5896" s="10" t="s">
        <v>9754</v>
      </c>
      <c r="G5896" s="10" t="s">
        <v>6317</v>
      </c>
      <c r="H5896" s="11">
        <v>42026</v>
      </c>
      <c r="I5896" s="10">
        <v>2015</v>
      </c>
      <c r="J5896" s="10" t="s">
        <v>15187</v>
      </c>
      <c r="K5896" s="10">
        <v>332</v>
      </c>
      <c r="L5896" s="10" t="s">
        <v>29767</v>
      </c>
      <c r="M5896" s="10">
        <v>1</v>
      </c>
      <c r="N5896" s="10"/>
      <c r="O5896" s="10"/>
      <c r="P5896" s="10" t="s">
        <v>29768</v>
      </c>
      <c r="Q5896" s="10" t="s">
        <v>29769</v>
      </c>
      <c r="R5896" s="10" t="s">
        <v>10223</v>
      </c>
      <c r="S5896" s="10" t="s">
        <v>53</v>
      </c>
      <c r="T5896" s="10" t="s">
        <v>54</v>
      </c>
    </row>
    <row r="5897" spans="1:20" ht="14.5" x14ac:dyDescent="0.35">
      <c r="A5897" s="10" t="s">
        <v>29770</v>
      </c>
      <c r="B5897" s="10" t="str">
        <f>"9781475807943"</f>
        <v>9781475807943</v>
      </c>
      <c r="C5897" s="10" t="str">
        <f>"9781475807967"</f>
        <v>9781475807967</v>
      </c>
      <c r="D5897" s="10" t="s">
        <v>9752</v>
      </c>
      <c r="E5897" s="10" t="s">
        <v>15187</v>
      </c>
      <c r="F5897" s="10" t="s">
        <v>9754</v>
      </c>
      <c r="G5897" s="10" t="s">
        <v>6317</v>
      </c>
      <c r="H5897" s="11">
        <v>42040</v>
      </c>
      <c r="I5897" s="10">
        <v>2015</v>
      </c>
      <c r="J5897" s="10" t="s">
        <v>15187</v>
      </c>
      <c r="K5897" s="10">
        <v>690</v>
      </c>
      <c r="L5897" s="10" t="s">
        <v>29771</v>
      </c>
      <c r="M5897" s="10">
        <v>1</v>
      </c>
      <c r="N5897" s="10"/>
      <c r="O5897" s="10"/>
      <c r="P5897" s="10" t="s">
        <v>29772</v>
      </c>
      <c r="Q5897" s="10">
        <v>790</v>
      </c>
      <c r="R5897" s="10" t="s">
        <v>29773</v>
      </c>
      <c r="S5897" s="10" t="s">
        <v>53</v>
      </c>
      <c r="T5897" s="10" t="s">
        <v>29774</v>
      </c>
    </row>
    <row r="5898" spans="1:20" ht="14.5" x14ac:dyDescent="0.35">
      <c r="A5898" s="10" t="s">
        <v>29775</v>
      </c>
      <c r="B5898" s="10" t="str">
        <f>"9781784416126"</f>
        <v>9781784416126</v>
      </c>
      <c r="C5898" s="10" t="str">
        <f>"9781784416119"</f>
        <v>9781784416119</v>
      </c>
      <c r="D5898" s="10" t="s">
        <v>8699</v>
      </c>
      <c r="E5898" s="10" t="s">
        <v>8699</v>
      </c>
      <c r="F5898" s="10" t="s">
        <v>559</v>
      </c>
      <c r="G5898" s="10" t="s">
        <v>6352</v>
      </c>
      <c r="H5898" s="11">
        <v>42034</v>
      </c>
      <c r="I5898" s="10">
        <v>2015</v>
      </c>
      <c r="J5898" s="10" t="s">
        <v>8699</v>
      </c>
      <c r="K5898" s="10">
        <v>311</v>
      </c>
      <c r="L5898" s="10" t="s">
        <v>29776</v>
      </c>
      <c r="M5898" s="10">
        <v>1</v>
      </c>
      <c r="N5898" s="10" t="s">
        <v>22927</v>
      </c>
      <c r="O5898" s="10">
        <v>4</v>
      </c>
      <c r="P5898" s="10" t="s">
        <v>29777</v>
      </c>
      <c r="Q5898" s="10">
        <v>371.1</v>
      </c>
      <c r="R5898" s="10" t="s">
        <v>29778</v>
      </c>
      <c r="S5898" s="10" t="s">
        <v>53</v>
      </c>
      <c r="T5898" s="10" t="s">
        <v>54</v>
      </c>
    </row>
    <row r="5899" spans="1:20" ht="14.5" x14ac:dyDescent="0.35">
      <c r="A5899" s="10" t="s">
        <v>29779</v>
      </c>
      <c r="B5899" s="10" t="str">
        <f>"9781784414948"</f>
        <v>9781784414948</v>
      </c>
      <c r="C5899" s="10" t="str">
        <f>"9781784414931"</f>
        <v>9781784414931</v>
      </c>
      <c r="D5899" s="10" t="s">
        <v>8699</v>
      </c>
      <c r="E5899" s="10" t="s">
        <v>8699</v>
      </c>
      <c r="F5899" s="10" t="s">
        <v>559</v>
      </c>
      <c r="G5899" s="10" t="s">
        <v>6352</v>
      </c>
      <c r="H5899" s="11">
        <v>42039</v>
      </c>
      <c r="I5899" s="10">
        <v>2015</v>
      </c>
      <c r="J5899" s="10" t="s">
        <v>8699</v>
      </c>
      <c r="K5899" s="10">
        <v>326</v>
      </c>
      <c r="L5899" s="10" t="s">
        <v>29780</v>
      </c>
      <c r="M5899" s="10">
        <v>1</v>
      </c>
      <c r="N5899" s="10" t="s">
        <v>17877</v>
      </c>
      <c r="O5899" s="10">
        <v>24</v>
      </c>
      <c r="P5899" s="10" t="s">
        <v>29781</v>
      </c>
      <c r="Q5899" s="10">
        <v>370.11700000000002</v>
      </c>
      <c r="R5899" s="10" t="s">
        <v>21018</v>
      </c>
      <c r="S5899" s="10" t="s">
        <v>53</v>
      </c>
      <c r="T5899" s="10" t="s">
        <v>54</v>
      </c>
    </row>
    <row r="5900" spans="1:20" ht="14.5" x14ac:dyDescent="0.35">
      <c r="A5900" s="10" t="s">
        <v>29782</v>
      </c>
      <c r="B5900" s="10" t="str">
        <f>"9789004289802"</f>
        <v>9789004289802</v>
      </c>
      <c r="C5900" s="10" t="str">
        <f>"9789004289819"</f>
        <v>9789004289819</v>
      </c>
      <c r="D5900" s="10" t="s">
        <v>8564</v>
      </c>
      <c r="E5900" s="10" t="s">
        <v>8565</v>
      </c>
      <c r="F5900" s="10" t="s">
        <v>1420</v>
      </c>
      <c r="G5900" s="10" t="s">
        <v>6317</v>
      </c>
      <c r="H5900" s="11">
        <v>42040</v>
      </c>
      <c r="I5900" s="10">
        <v>2015</v>
      </c>
      <c r="J5900" s="10" t="s">
        <v>8565</v>
      </c>
      <c r="K5900" s="10">
        <v>414</v>
      </c>
      <c r="L5900" s="10" t="s">
        <v>29783</v>
      </c>
      <c r="M5900" s="10">
        <v>1</v>
      </c>
      <c r="N5900" s="10" t="s">
        <v>27323</v>
      </c>
      <c r="O5900" s="10">
        <v>25</v>
      </c>
      <c r="P5900" s="10"/>
      <c r="Q5900" s="10" t="s">
        <v>27325</v>
      </c>
      <c r="R5900" s="10" t="s">
        <v>29784</v>
      </c>
      <c r="S5900" s="10" t="s">
        <v>53</v>
      </c>
      <c r="T5900" s="10" t="s">
        <v>54</v>
      </c>
    </row>
    <row r="5901" spans="1:20" ht="14.5" x14ac:dyDescent="0.35">
      <c r="A5901" s="10" t="s">
        <v>29785</v>
      </c>
      <c r="B5901" s="10" t="str">
        <f>"9781598576559"</f>
        <v>9781598576559</v>
      </c>
      <c r="C5901" s="10" t="str">
        <f>"9781598575798"</f>
        <v>9781598575798</v>
      </c>
      <c r="D5901" s="10" t="s">
        <v>28876</v>
      </c>
      <c r="E5901" s="10" t="s">
        <v>28877</v>
      </c>
      <c r="F5901" s="10" t="s">
        <v>885</v>
      </c>
      <c r="G5901" s="10" t="s">
        <v>6317</v>
      </c>
      <c r="H5901" s="11">
        <v>42058</v>
      </c>
      <c r="I5901" s="10">
        <v>2015</v>
      </c>
      <c r="J5901" s="10" t="s">
        <v>28877</v>
      </c>
      <c r="K5901" s="10">
        <v>297</v>
      </c>
      <c r="L5901" s="10" t="s">
        <v>29786</v>
      </c>
      <c r="M5901" s="10">
        <v>3</v>
      </c>
      <c r="N5901" s="10"/>
      <c r="O5901" s="10"/>
      <c r="P5901" s="10" t="s">
        <v>29787</v>
      </c>
      <c r="Q5901" s="10" t="s">
        <v>23192</v>
      </c>
      <c r="R5901" s="10" t="s">
        <v>29788</v>
      </c>
      <c r="S5901" s="10" t="s">
        <v>53</v>
      </c>
      <c r="T5901" s="10" t="s">
        <v>54</v>
      </c>
    </row>
    <row r="5902" spans="1:20" ht="14.5" x14ac:dyDescent="0.35">
      <c r="A5902" s="10" t="s">
        <v>29789</v>
      </c>
      <c r="B5902" s="10" t="str">
        <f>"9781475812152"</f>
        <v>9781475812152</v>
      </c>
      <c r="C5902" s="10" t="str">
        <f>"9781475812169"</f>
        <v>9781475812169</v>
      </c>
      <c r="D5902" s="10" t="s">
        <v>9752</v>
      </c>
      <c r="E5902" s="10" t="s">
        <v>15187</v>
      </c>
      <c r="F5902" s="10" t="s">
        <v>9754</v>
      </c>
      <c r="G5902" s="10" t="s">
        <v>6317</v>
      </c>
      <c r="H5902" s="11">
        <v>42040</v>
      </c>
      <c r="I5902" s="10">
        <v>2015</v>
      </c>
      <c r="J5902" s="10" t="s">
        <v>15187</v>
      </c>
      <c r="K5902" s="10">
        <v>88</v>
      </c>
      <c r="L5902" s="10" t="s">
        <v>29790</v>
      </c>
      <c r="M5902" s="10">
        <v>1</v>
      </c>
      <c r="N5902" s="10"/>
      <c r="O5902" s="10"/>
      <c r="P5902" s="10"/>
      <c r="Q5902" s="10">
        <v>371.20097299999998</v>
      </c>
      <c r="R5902" s="10" t="s">
        <v>29791</v>
      </c>
      <c r="S5902" s="10" t="s">
        <v>53</v>
      </c>
      <c r="T5902" s="10" t="s">
        <v>54</v>
      </c>
    </row>
    <row r="5903" spans="1:20" ht="14.5" x14ac:dyDescent="0.35">
      <c r="A5903" s="10" t="s">
        <v>29792</v>
      </c>
      <c r="B5903" s="10" t="str">
        <f>"9780190221287"</f>
        <v>9780190221287</v>
      </c>
      <c r="C5903" s="10" t="str">
        <f>"9780190221294"</f>
        <v>9780190221294</v>
      </c>
      <c r="D5903" s="10" t="s">
        <v>9122</v>
      </c>
      <c r="E5903" s="10" t="s">
        <v>9133</v>
      </c>
      <c r="F5903" s="10" t="s">
        <v>70</v>
      </c>
      <c r="G5903" s="10" t="s">
        <v>6317</v>
      </c>
      <c r="H5903" s="11">
        <v>42095</v>
      </c>
      <c r="I5903" s="10">
        <v>2015</v>
      </c>
      <c r="J5903" s="10" t="s">
        <v>9133</v>
      </c>
      <c r="K5903" s="10">
        <v>349</v>
      </c>
      <c r="L5903" s="10" t="s">
        <v>29793</v>
      </c>
      <c r="M5903" s="10">
        <v>1</v>
      </c>
      <c r="N5903" s="10"/>
      <c r="O5903" s="10"/>
      <c r="P5903" s="10" t="s">
        <v>29794</v>
      </c>
      <c r="Q5903" s="10" t="s">
        <v>29795</v>
      </c>
      <c r="R5903" s="10" t="s">
        <v>29796</v>
      </c>
      <c r="S5903" s="10" t="s">
        <v>53</v>
      </c>
      <c r="T5903" s="10" t="s">
        <v>8346</v>
      </c>
    </row>
    <row r="5904" spans="1:20" ht="14.5" x14ac:dyDescent="0.35">
      <c r="A5904" s="10" t="s">
        <v>29797</v>
      </c>
      <c r="B5904" s="10" t="str">
        <f>"9780748620302"</f>
        <v>9780748620302</v>
      </c>
      <c r="C5904" s="10" t="str">
        <f>"9780748626403"</f>
        <v>9780748626403</v>
      </c>
      <c r="D5904" s="10" t="s">
        <v>16606</v>
      </c>
      <c r="E5904" s="10" t="s">
        <v>16606</v>
      </c>
      <c r="F5904" s="10" t="s">
        <v>3289</v>
      </c>
      <c r="G5904" s="10" t="s">
        <v>6352</v>
      </c>
      <c r="H5904" s="11">
        <v>39052</v>
      </c>
      <c r="I5904" s="10">
        <v>2006</v>
      </c>
      <c r="J5904" s="10" t="s">
        <v>16606</v>
      </c>
      <c r="K5904" s="10">
        <v>201</v>
      </c>
      <c r="L5904" s="10" t="s">
        <v>29798</v>
      </c>
      <c r="M5904" s="10">
        <v>1</v>
      </c>
      <c r="N5904" s="10" t="s">
        <v>29799</v>
      </c>
      <c r="O5904" s="10"/>
      <c r="P5904" s="10" t="s">
        <v>29800</v>
      </c>
      <c r="Q5904" s="10">
        <v>378.01600000000002</v>
      </c>
      <c r="R5904" s="10" t="s">
        <v>29801</v>
      </c>
      <c r="S5904" s="10" t="s">
        <v>53</v>
      </c>
      <c r="T5904" s="10" t="s">
        <v>54</v>
      </c>
    </row>
    <row r="5905" spans="1:20" ht="14.5" x14ac:dyDescent="0.35">
      <c r="A5905" s="10" t="s">
        <v>29802</v>
      </c>
      <c r="B5905" s="10" t="str">
        <f>"9780748621392"</f>
        <v>9780748621392</v>
      </c>
      <c r="C5905" s="10" t="str">
        <f>"9780748626205"</f>
        <v>9780748626205</v>
      </c>
      <c r="D5905" s="10" t="s">
        <v>16606</v>
      </c>
      <c r="E5905" s="10" t="s">
        <v>16606</v>
      </c>
      <c r="F5905" s="10" t="s">
        <v>3289</v>
      </c>
      <c r="G5905" s="10" t="s">
        <v>6352</v>
      </c>
      <c r="H5905" s="11">
        <v>38687</v>
      </c>
      <c r="I5905" s="10">
        <v>2005</v>
      </c>
      <c r="J5905" s="10" t="s">
        <v>16606</v>
      </c>
      <c r="K5905" s="10">
        <v>217</v>
      </c>
      <c r="L5905" s="10" t="s">
        <v>29803</v>
      </c>
      <c r="M5905" s="10">
        <v>1</v>
      </c>
      <c r="N5905" s="10" t="s">
        <v>29799</v>
      </c>
      <c r="O5905" s="10"/>
      <c r="P5905" s="10" t="s">
        <v>29804</v>
      </c>
      <c r="Q5905" s="10">
        <v>370</v>
      </c>
      <c r="R5905" s="10" t="s">
        <v>29805</v>
      </c>
      <c r="S5905" s="10" t="s">
        <v>53</v>
      </c>
      <c r="T5905" s="10" t="s">
        <v>54</v>
      </c>
    </row>
    <row r="5906" spans="1:20" ht="14.5" x14ac:dyDescent="0.35">
      <c r="A5906" s="10" t="s">
        <v>29806</v>
      </c>
      <c r="B5906" s="10" t="str">
        <f>"9781475807547"</f>
        <v>9781475807547</v>
      </c>
      <c r="C5906" s="10" t="str">
        <f>"9781475807554"</f>
        <v>9781475807554</v>
      </c>
      <c r="D5906" s="10" t="s">
        <v>9752</v>
      </c>
      <c r="E5906" s="10" t="s">
        <v>15187</v>
      </c>
      <c r="F5906" s="10" t="s">
        <v>9754</v>
      </c>
      <c r="G5906" s="10" t="s">
        <v>6317</v>
      </c>
      <c r="H5906" s="11">
        <v>42040</v>
      </c>
      <c r="I5906" s="10">
        <v>2015</v>
      </c>
      <c r="J5906" s="10" t="s">
        <v>15187</v>
      </c>
      <c r="K5906" s="10">
        <v>122</v>
      </c>
      <c r="L5906" s="10" t="s">
        <v>29807</v>
      </c>
      <c r="M5906" s="10">
        <v>1</v>
      </c>
      <c r="N5906" s="10"/>
      <c r="O5906" s="10"/>
      <c r="P5906" s="10"/>
      <c r="Q5906" s="10" t="s">
        <v>23922</v>
      </c>
      <c r="R5906" s="10" t="s">
        <v>12766</v>
      </c>
      <c r="S5906" s="10" t="s">
        <v>53</v>
      </c>
      <c r="T5906" s="10" t="s">
        <v>54</v>
      </c>
    </row>
    <row r="5907" spans="1:20" ht="14.5" x14ac:dyDescent="0.35">
      <c r="A5907" s="10" t="s">
        <v>29808</v>
      </c>
      <c r="B5907" s="10" t="str">
        <f>"9781475814163"</f>
        <v>9781475814163</v>
      </c>
      <c r="C5907" s="10" t="str">
        <f>"9781475814170"</f>
        <v>9781475814170</v>
      </c>
      <c r="D5907" s="10" t="s">
        <v>9752</v>
      </c>
      <c r="E5907" s="10" t="s">
        <v>15187</v>
      </c>
      <c r="F5907" s="10" t="s">
        <v>9754</v>
      </c>
      <c r="G5907" s="10" t="s">
        <v>6317</v>
      </c>
      <c r="H5907" s="11">
        <v>42024</v>
      </c>
      <c r="I5907" s="10">
        <v>2015</v>
      </c>
      <c r="J5907" s="10" t="s">
        <v>15187</v>
      </c>
      <c r="K5907" s="10">
        <v>157</v>
      </c>
      <c r="L5907" s="10" t="s">
        <v>29809</v>
      </c>
      <c r="M5907" s="10">
        <v>1</v>
      </c>
      <c r="N5907" s="10"/>
      <c r="O5907" s="10"/>
      <c r="P5907" s="10" t="s">
        <v>29810</v>
      </c>
      <c r="Q5907" s="10">
        <v>371.10199999999998</v>
      </c>
      <c r="R5907" s="10" t="s">
        <v>29811</v>
      </c>
      <c r="S5907" s="10" t="s">
        <v>53</v>
      </c>
      <c r="T5907" s="10" t="s">
        <v>54</v>
      </c>
    </row>
    <row r="5908" spans="1:20" ht="14.5" x14ac:dyDescent="0.35">
      <c r="A5908" s="10" t="s">
        <v>29812</v>
      </c>
      <c r="B5908" s="10" t="str">
        <f>"9781442238220"</f>
        <v>9781442238220</v>
      </c>
      <c r="C5908" s="10" t="str">
        <f>"9781442238237"</f>
        <v>9781442238237</v>
      </c>
      <c r="D5908" s="10" t="s">
        <v>9752</v>
      </c>
      <c r="E5908" s="10" t="s">
        <v>15187</v>
      </c>
      <c r="F5908" s="10" t="s">
        <v>9754</v>
      </c>
      <c r="G5908" s="10" t="s">
        <v>6317</v>
      </c>
      <c r="H5908" s="11">
        <v>42026</v>
      </c>
      <c r="I5908" s="10">
        <v>2015</v>
      </c>
      <c r="J5908" s="10" t="s">
        <v>15187</v>
      </c>
      <c r="K5908" s="10">
        <v>195</v>
      </c>
      <c r="L5908" s="10" t="s">
        <v>29813</v>
      </c>
      <c r="M5908" s="10">
        <v>1</v>
      </c>
      <c r="N5908" s="10"/>
      <c r="O5908" s="10"/>
      <c r="P5908" s="10" t="s">
        <v>29814</v>
      </c>
      <c r="Q5908" s="10" t="s">
        <v>29815</v>
      </c>
      <c r="R5908" s="10" t="s">
        <v>12187</v>
      </c>
      <c r="S5908" s="10" t="s">
        <v>53</v>
      </c>
      <c r="T5908" s="10" t="s">
        <v>10027</v>
      </c>
    </row>
    <row r="5909" spans="1:20" ht="14.5" x14ac:dyDescent="0.35">
      <c r="A5909" s="10" t="s">
        <v>29816</v>
      </c>
      <c r="B5909" s="10" t="str">
        <f>"9781475809756"</f>
        <v>9781475809756</v>
      </c>
      <c r="C5909" s="10" t="str">
        <f>"9781475809770"</f>
        <v>9781475809770</v>
      </c>
      <c r="D5909" s="10" t="s">
        <v>9752</v>
      </c>
      <c r="E5909" s="10" t="s">
        <v>15187</v>
      </c>
      <c r="F5909" s="10" t="s">
        <v>9754</v>
      </c>
      <c r="G5909" s="10" t="s">
        <v>6317</v>
      </c>
      <c r="H5909" s="11">
        <v>42048</v>
      </c>
      <c r="I5909" s="10">
        <v>2015</v>
      </c>
      <c r="J5909" s="10" t="s">
        <v>15187</v>
      </c>
      <c r="K5909" s="10">
        <v>131</v>
      </c>
      <c r="L5909" s="10" t="s">
        <v>29817</v>
      </c>
      <c r="M5909" s="10">
        <v>1</v>
      </c>
      <c r="N5909" s="10"/>
      <c r="O5909" s="10"/>
      <c r="P5909" s="10" t="s">
        <v>29818</v>
      </c>
      <c r="Q5909" s="10" t="s">
        <v>9007</v>
      </c>
      <c r="R5909" s="10" t="s">
        <v>8592</v>
      </c>
      <c r="S5909" s="10" t="s">
        <v>53</v>
      </c>
      <c r="T5909" s="10" t="s">
        <v>54</v>
      </c>
    </row>
    <row r="5910" spans="1:20" ht="14.5" x14ac:dyDescent="0.35">
      <c r="A5910" s="10" t="s">
        <v>29819</v>
      </c>
      <c r="B5910" s="10" t="str">
        <f>"9781475816815"</f>
        <v>9781475816815</v>
      </c>
      <c r="C5910" s="10" t="str">
        <f>"9781475816822"</f>
        <v>9781475816822</v>
      </c>
      <c r="D5910" s="10" t="s">
        <v>9752</v>
      </c>
      <c r="E5910" s="10" t="s">
        <v>15187</v>
      </c>
      <c r="F5910" s="10" t="s">
        <v>9754</v>
      </c>
      <c r="G5910" s="10" t="s">
        <v>6317</v>
      </c>
      <c r="H5910" s="11">
        <v>42047</v>
      </c>
      <c r="I5910" s="10">
        <v>2015</v>
      </c>
      <c r="J5910" s="10" t="s">
        <v>15187</v>
      </c>
      <c r="K5910" s="10">
        <v>165</v>
      </c>
      <c r="L5910" s="10" t="s">
        <v>29820</v>
      </c>
      <c r="M5910" s="10">
        <v>1</v>
      </c>
      <c r="N5910" s="10"/>
      <c r="O5910" s="10"/>
      <c r="P5910" s="10" t="s">
        <v>29821</v>
      </c>
      <c r="Q5910" s="10" t="s">
        <v>10440</v>
      </c>
      <c r="R5910" s="10" t="s">
        <v>29822</v>
      </c>
      <c r="S5910" s="10" t="s">
        <v>53</v>
      </c>
      <c r="T5910" s="10" t="s">
        <v>6634</v>
      </c>
    </row>
    <row r="5911" spans="1:20" ht="14.5" x14ac:dyDescent="0.35">
      <c r="A5911" s="10" t="s">
        <v>29823</v>
      </c>
      <c r="B5911" s="10" t="str">
        <f>"9781475813470"</f>
        <v>9781475813470</v>
      </c>
      <c r="C5911" s="10" t="str">
        <f>"9781475813494"</f>
        <v>9781475813494</v>
      </c>
      <c r="D5911" s="10" t="s">
        <v>9752</v>
      </c>
      <c r="E5911" s="10" t="s">
        <v>15187</v>
      </c>
      <c r="F5911" s="10" t="s">
        <v>9754</v>
      </c>
      <c r="G5911" s="10" t="s">
        <v>6317</v>
      </c>
      <c r="H5911" s="11">
        <v>42059</v>
      </c>
      <c r="I5911" s="10">
        <v>2015</v>
      </c>
      <c r="J5911" s="10" t="s">
        <v>15187</v>
      </c>
      <c r="K5911" s="10">
        <v>189</v>
      </c>
      <c r="L5911" s="10" t="s">
        <v>29824</v>
      </c>
      <c r="M5911" s="10">
        <v>1</v>
      </c>
      <c r="N5911" s="10"/>
      <c r="O5911" s="10"/>
      <c r="P5911" s="10" t="s">
        <v>29825</v>
      </c>
      <c r="Q5911" s="10" t="s">
        <v>10031</v>
      </c>
      <c r="R5911" s="10" t="s">
        <v>29826</v>
      </c>
      <c r="S5911" s="10" t="s">
        <v>53</v>
      </c>
      <c r="T5911" s="10" t="s">
        <v>54</v>
      </c>
    </row>
    <row r="5912" spans="1:20" ht="14.5" x14ac:dyDescent="0.35">
      <c r="A5912" s="10" t="s">
        <v>29827</v>
      </c>
      <c r="B5912" s="10" t="str">
        <f>"9789401793544"</f>
        <v>9789401793544</v>
      </c>
      <c r="C5912" s="10" t="str">
        <f>"9789401793551"</f>
        <v>9789401793551</v>
      </c>
      <c r="D5912" s="10" t="s">
        <v>11249</v>
      </c>
      <c r="E5912" s="10" t="s">
        <v>12215</v>
      </c>
      <c r="F5912" s="10" t="s">
        <v>206</v>
      </c>
      <c r="G5912" s="10" t="s">
        <v>9233</v>
      </c>
      <c r="H5912" s="11">
        <v>42038</v>
      </c>
      <c r="I5912" s="10">
        <v>2015</v>
      </c>
      <c r="J5912" s="10" t="s">
        <v>12215</v>
      </c>
      <c r="K5912" s="10">
        <v>475</v>
      </c>
      <c r="L5912" s="10" t="s">
        <v>29828</v>
      </c>
      <c r="M5912" s="10">
        <v>1</v>
      </c>
      <c r="N5912" s="10"/>
      <c r="O5912" s="10"/>
      <c r="P5912" s="10" t="s">
        <v>17110</v>
      </c>
      <c r="Q5912" s="10">
        <v>370.11700000000002</v>
      </c>
      <c r="R5912" s="10" t="s">
        <v>29829</v>
      </c>
      <c r="S5912" s="10" t="s">
        <v>53</v>
      </c>
      <c r="T5912" s="10" t="s">
        <v>54</v>
      </c>
    </row>
    <row r="5913" spans="1:20" ht="14.5" x14ac:dyDescent="0.35">
      <c r="A5913" s="10" t="s">
        <v>29830</v>
      </c>
      <c r="B5913" s="10" t="str">
        <f>"9789401792998"</f>
        <v>9789401792998</v>
      </c>
      <c r="C5913" s="10" t="str">
        <f>"9789401793001"</f>
        <v>9789401793001</v>
      </c>
      <c r="D5913" s="10" t="s">
        <v>11249</v>
      </c>
      <c r="E5913" s="10" t="s">
        <v>12215</v>
      </c>
      <c r="F5913" s="10" t="s">
        <v>206</v>
      </c>
      <c r="G5913" s="10" t="s">
        <v>9233</v>
      </c>
      <c r="H5913" s="11">
        <v>41911</v>
      </c>
      <c r="I5913" s="10">
        <v>2015</v>
      </c>
      <c r="J5913" s="10" t="s">
        <v>13067</v>
      </c>
      <c r="K5913" s="10">
        <v>165</v>
      </c>
      <c r="L5913" s="10" t="s">
        <v>29831</v>
      </c>
      <c r="M5913" s="10">
        <v>1</v>
      </c>
      <c r="N5913" s="10" t="s">
        <v>17079</v>
      </c>
      <c r="O5913" s="10">
        <v>10</v>
      </c>
      <c r="P5913" s="10" t="s">
        <v>12218</v>
      </c>
      <c r="Q5913" s="10">
        <v>306.42</v>
      </c>
      <c r="R5913" s="10" t="s">
        <v>9109</v>
      </c>
      <c r="S5913" s="10" t="s">
        <v>53</v>
      </c>
      <c r="T5913" s="10" t="s">
        <v>9819</v>
      </c>
    </row>
    <row r="5914" spans="1:20" ht="14.5" x14ac:dyDescent="0.35">
      <c r="A5914" s="10" t="s">
        <v>29832</v>
      </c>
      <c r="B5914" s="10" t="str">
        <f>"9780765620392"</f>
        <v>9780765620392</v>
      </c>
      <c r="C5914" s="10" t="str">
        <f>"9781317469674"</f>
        <v>9781317469674</v>
      </c>
      <c r="D5914" s="10" t="s">
        <v>6350</v>
      </c>
      <c r="E5914" s="10" t="s">
        <v>6351</v>
      </c>
      <c r="F5914" s="10" t="s">
        <v>3967</v>
      </c>
      <c r="G5914" s="10" t="s">
        <v>6352</v>
      </c>
      <c r="H5914" s="11">
        <v>39508</v>
      </c>
      <c r="I5914" s="10">
        <v>2008</v>
      </c>
      <c r="J5914" s="10" t="s">
        <v>6353</v>
      </c>
      <c r="K5914" s="10">
        <v>359</v>
      </c>
      <c r="L5914" s="10" t="s">
        <v>29833</v>
      </c>
      <c r="M5914" s="10">
        <v>1</v>
      </c>
      <c r="N5914" s="10"/>
      <c r="O5914" s="10"/>
      <c r="P5914" s="10" t="s">
        <v>29834</v>
      </c>
      <c r="Q5914" s="10">
        <v>378.10307219999999</v>
      </c>
      <c r="R5914" s="10" t="s">
        <v>29835</v>
      </c>
      <c r="S5914" s="10" t="s">
        <v>53</v>
      </c>
      <c r="T5914" s="10" t="s">
        <v>54</v>
      </c>
    </row>
    <row r="5915" spans="1:20" ht="14.5" x14ac:dyDescent="0.35">
      <c r="A5915" s="10" t="s">
        <v>29836</v>
      </c>
      <c r="B5915" s="10" t="str">
        <f>"9780765614766"</f>
        <v>9780765614766</v>
      </c>
      <c r="C5915" s="10" t="str">
        <f>"9781317472346"</f>
        <v>9781317472346</v>
      </c>
      <c r="D5915" s="10" t="s">
        <v>6350</v>
      </c>
      <c r="E5915" s="10" t="s">
        <v>6351</v>
      </c>
      <c r="F5915" s="10" t="s">
        <v>11161</v>
      </c>
      <c r="G5915" s="10" t="s">
        <v>6352</v>
      </c>
      <c r="H5915" s="11">
        <v>38777</v>
      </c>
      <c r="I5915" s="10">
        <v>2010</v>
      </c>
      <c r="J5915" s="10" t="s">
        <v>6353</v>
      </c>
      <c r="K5915" s="10">
        <v>222</v>
      </c>
      <c r="L5915" s="10" t="s">
        <v>29837</v>
      </c>
      <c r="M5915" s="10">
        <v>1</v>
      </c>
      <c r="N5915" s="10"/>
      <c r="O5915" s="10"/>
      <c r="P5915" s="10" t="s">
        <v>29838</v>
      </c>
      <c r="Q5915" s="10" t="s">
        <v>29839</v>
      </c>
      <c r="R5915" s="10" t="s">
        <v>29840</v>
      </c>
      <c r="S5915" s="10" t="s">
        <v>53</v>
      </c>
      <c r="T5915" s="10" t="s">
        <v>6472</v>
      </c>
    </row>
    <row r="5916" spans="1:20" ht="14.5" x14ac:dyDescent="0.35">
      <c r="A5916" s="10" t="s">
        <v>29841</v>
      </c>
      <c r="B5916" s="10" t="str">
        <f>"9780761864707"</f>
        <v>9780761864707</v>
      </c>
      <c r="C5916" s="10" t="str">
        <f>"9780761864714"</f>
        <v>9780761864714</v>
      </c>
      <c r="D5916" s="10" t="s">
        <v>9752</v>
      </c>
      <c r="E5916" s="10" t="s">
        <v>17167</v>
      </c>
      <c r="F5916" s="10" t="s">
        <v>9754</v>
      </c>
      <c r="G5916" s="10" t="s">
        <v>6317</v>
      </c>
      <c r="H5916" s="11">
        <v>42055</v>
      </c>
      <c r="I5916" s="10">
        <v>2014</v>
      </c>
      <c r="J5916" s="10" t="s">
        <v>17167</v>
      </c>
      <c r="K5916" s="10">
        <v>144</v>
      </c>
      <c r="L5916" s="10" t="s">
        <v>29842</v>
      </c>
      <c r="M5916" s="10">
        <v>1</v>
      </c>
      <c r="N5916" s="10"/>
      <c r="O5916" s="10"/>
      <c r="P5916" s="10"/>
      <c r="Q5916" s="10"/>
      <c r="R5916" s="10" t="s">
        <v>16718</v>
      </c>
      <c r="S5916" s="10" t="s">
        <v>53</v>
      </c>
      <c r="T5916" s="10" t="s">
        <v>54</v>
      </c>
    </row>
    <row r="5917" spans="1:20" ht="14.5" x14ac:dyDescent="0.35">
      <c r="A5917" s="10" t="s">
        <v>29843</v>
      </c>
      <c r="B5917" s="10" t="str">
        <f>"9781475810318"</f>
        <v>9781475810318</v>
      </c>
      <c r="C5917" s="10" t="str">
        <f>"9781475810325"</f>
        <v>9781475810325</v>
      </c>
      <c r="D5917" s="10" t="s">
        <v>9752</v>
      </c>
      <c r="E5917" s="10" t="s">
        <v>15187</v>
      </c>
      <c r="F5917" s="10" t="s">
        <v>9754</v>
      </c>
      <c r="G5917" s="10" t="s">
        <v>6317</v>
      </c>
      <c r="H5917" s="11">
        <v>42059</v>
      </c>
      <c r="I5917" s="10">
        <v>2015</v>
      </c>
      <c r="J5917" s="10" t="s">
        <v>15187</v>
      </c>
      <c r="K5917" s="10">
        <v>180</v>
      </c>
      <c r="L5917" s="10" t="s">
        <v>29844</v>
      </c>
      <c r="M5917" s="10">
        <v>1</v>
      </c>
      <c r="N5917" s="10"/>
      <c r="O5917" s="10"/>
      <c r="P5917" s="10" t="s">
        <v>29845</v>
      </c>
      <c r="Q5917" s="10">
        <v>371.01097299999998</v>
      </c>
      <c r="R5917" s="10" t="s">
        <v>12187</v>
      </c>
      <c r="S5917" s="10" t="s">
        <v>53</v>
      </c>
      <c r="T5917" s="10" t="s">
        <v>54</v>
      </c>
    </row>
    <row r="5918" spans="1:20" ht="14.5" x14ac:dyDescent="0.35">
      <c r="A5918" s="10" t="s">
        <v>29846</v>
      </c>
      <c r="B5918" s="10" t="str">
        <f>"9781475814071"</f>
        <v>9781475814071</v>
      </c>
      <c r="C5918" s="10" t="str">
        <f>"9781475814088"</f>
        <v>9781475814088</v>
      </c>
      <c r="D5918" s="10" t="s">
        <v>9752</v>
      </c>
      <c r="E5918" s="10" t="s">
        <v>15187</v>
      </c>
      <c r="F5918" s="10" t="s">
        <v>9754</v>
      </c>
      <c r="G5918" s="10" t="s">
        <v>6317</v>
      </c>
      <c r="H5918" s="11">
        <v>42054</v>
      </c>
      <c r="I5918" s="10">
        <v>2015</v>
      </c>
      <c r="J5918" s="10" t="s">
        <v>15187</v>
      </c>
      <c r="K5918" s="10">
        <v>196</v>
      </c>
      <c r="L5918" s="10" t="s">
        <v>29847</v>
      </c>
      <c r="M5918" s="10">
        <v>1</v>
      </c>
      <c r="N5918" s="10"/>
      <c r="O5918" s="10"/>
      <c r="P5918" s="10" t="s">
        <v>29848</v>
      </c>
      <c r="Q5918" s="10">
        <v>808.1</v>
      </c>
      <c r="R5918" s="10" t="s">
        <v>29849</v>
      </c>
      <c r="S5918" s="10" t="s">
        <v>53</v>
      </c>
      <c r="T5918" s="10" t="s">
        <v>1166</v>
      </c>
    </row>
    <row r="5919" spans="1:20" ht="14.5" x14ac:dyDescent="0.35">
      <c r="A5919" s="10" t="s">
        <v>29850</v>
      </c>
      <c r="B5919" s="10" t="str">
        <f>"9781475815665"</f>
        <v>9781475815665</v>
      </c>
      <c r="C5919" s="10" t="str">
        <f>"9781475815689"</f>
        <v>9781475815689</v>
      </c>
      <c r="D5919" s="10" t="s">
        <v>9752</v>
      </c>
      <c r="E5919" s="10" t="s">
        <v>15187</v>
      </c>
      <c r="F5919" s="10" t="s">
        <v>9754</v>
      </c>
      <c r="G5919" s="10" t="s">
        <v>6317</v>
      </c>
      <c r="H5919" s="11">
        <v>42054</v>
      </c>
      <c r="I5919" s="10">
        <v>2015</v>
      </c>
      <c r="J5919" s="10" t="s">
        <v>15187</v>
      </c>
      <c r="K5919" s="10">
        <v>161</v>
      </c>
      <c r="L5919" s="10" t="s">
        <v>29851</v>
      </c>
      <c r="M5919" s="10">
        <v>1</v>
      </c>
      <c r="N5919" s="10"/>
      <c r="O5919" s="10"/>
      <c r="P5919" s="10"/>
      <c r="Q5919" s="10" t="s">
        <v>29852</v>
      </c>
      <c r="R5919" s="10" t="s">
        <v>29853</v>
      </c>
      <c r="S5919" s="10" t="s">
        <v>53</v>
      </c>
      <c r="T5919" s="10" t="s">
        <v>54</v>
      </c>
    </row>
    <row r="5920" spans="1:20" ht="14.5" x14ac:dyDescent="0.35">
      <c r="A5920" s="10" t="s">
        <v>29854</v>
      </c>
      <c r="B5920" s="10" t="str">
        <f>"9780821395837"</f>
        <v>9780821395837</v>
      </c>
      <c r="C5920" s="10" t="str">
        <f>"9780821395844"</f>
        <v>9780821395844</v>
      </c>
      <c r="D5920" s="10" t="s">
        <v>14731</v>
      </c>
      <c r="E5920" s="10" t="s">
        <v>14732</v>
      </c>
      <c r="F5920" s="10" t="s">
        <v>88</v>
      </c>
      <c r="G5920" s="10" t="s">
        <v>6317</v>
      </c>
      <c r="H5920" s="11">
        <v>42005</v>
      </c>
      <c r="I5920" s="10">
        <v>2015</v>
      </c>
      <c r="J5920" s="10" t="s">
        <v>14732</v>
      </c>
      <c r="K5920" s="10">
        <v>297</v>
      </c>
      <c r="L5920" s="10" t="s">
        <v>29855</v>
      </c>
      <c r="M5920" s="10">
        <v>1</v>
      </c>
      <c r="N5920" s="10"/>
      <c r="O5920" s="10"/>
      <c r="P5920" s="10" t="s">
        <v>29856</v>
      </c>
      <c r="Q5920" s="10">
        <v>371.26</v>
      </c>
      <c r="R5920" s="10" t="s">
        <v>14830</v>
      </c>
      <c r="S5920" s="10" t="s">
        <v>53</v>
      </c>
      <c r="T5920" s="10" t="s">
        <v>54</v>
      </c>
    </row>
    <row r="5921" spans="1:20" ht="14.5" x14ac:dyDescent="0.35">
      <c r="A5921" s="10" t="s">
        <v>29857</v>
      </c>
      <c r="B5921" s="10" t="str">
        <f>"9781594037917"</f>
        <v>9781594037917</v>
      </c>
      <c r="C5921" s="10" t="str">
        <f>"9781594037924"</f>
        <v>9781594037924</v>
      </c>
      <c r="D5921" s="10" t="s">
        <v>9533</v>
      </c>
      <c r="E5921" s="10" t="s">
        <v>15521</v>
      </c>
      <c r="F5921" s="10" t="s">
        <v>765</v>
      </c>
      <c r="G5921" s="10" t="s">
        <v>6317</v>
      </c>
      <c r="H5921" s="11">
        <v>42136</v>
      </c>
      <c r="I5921" s="10">
        <v>2015</v>
      </c>
      <c r="J5921" s="10" t="s">
        <v>15521</v>
      </c>
      <c r="K5921" s="10">
        <v>153</v>
      </c>
      <c r="L5921" s="10" t="s">
        <v>29858</v>
      </c>
      <c r="M5921" s="10">
        <v>1</v>
      </c>
      <c r="N5921" s="10"/>
      <c r="O5921" s="10"/>
      <c r="P5921" s="10" t="s">
        <v>29859</v>
      </c>
      <c r="Q5921" s="10">
        <v>370.97300000000001</v>
      </c>
      <c r="R5921" s="10" t="s">
        <v>29860</v>
      </c>
      <c r="S5921" s="10" t="s">
        <v>53</v>
      </c>
      <c r="T5921" s="10" t="s">
        <v>54</v>
      </c>
    </row>
    <row r="5922" spans="1:20" ht="14.5" x14ac:dyDescent="0.35">
      <c r="A5922" s="10" t="s">
        <v>29861</v>
      </c>
      <c r="B5922" s="10" t="str">
        <f>"9780765615411"</f>
        <v>9780765615411</v>
      </c>
      <c r="C5922" s="10" t="str">
        <f>"9781317454106"</f>
        <v>9781317454106</v>
      </c>
      <c r="D5922" s="10" t="s">
        <v>6350</v>
      </c>
      <c r="E5922" s="10" t="s">
        <v>6351</v>
      </c>
      <c r="F5922" s="10" t="s">
        <v>3967</v>
      </c>
      <c r="G5922" s="10" t="s">
        <v>6352</v>
      </c>
      <c r="H5922" s="11">
        <v>38503</v>
      </c>
      <c r="I5922" s="10">
        <v>2006</v>
      </c>
      <c r="J5922" s="10" t="s">
        <v>6353</v>
      </c>
      <c r="K5922" s="10">
        <v>345</v>
      </c>
      <c r="L5922" s="10" t="s">
        <v>29862</v>
      </c>
      <c r="M5922" s="10">
        <v>1</v>
      </c>
      <c r="N5922" s="10"/>
      <c r="O5922" s="10"/>
      <c r="P5922" s="10" t="s">
        <v>29863</v>
      </c>
      <c r="Q5922" s="10" t="s">
        <v>10427</v>
      </c>
      <c r="R5922" s="10" t="s">
        <v>29864</v>
      </c>
      <c r="S5922" s="10" t="s">
        <v>53</v>
      </c>
      <c r="T5922" s="10" t="s">
        <v>54</v>
      </c>
    </row>
    <row r="5923" spans="1:20" ht="14.5" x14ac:dyDescent="0.35">
      <c r="A5923" s="10" t="s">
        <v>29865</v>
      </c>
      <c r="B5923" s="10" t="str">
        <f>"9781462521074"</f>
        <v>9781462521074</v>
      </c>
      <c r="C5923" s="10" t="str">
        <f>"9781462521111"</f>
        <v>9781462521111</v>
      </c>
      <c r="D5923" s="10" t="s">
        <v>11213</v>
      </c>
      <c r="E5923" s="10" t="s">
        <v>11214</v>
      </c>
      <c r="F5923" s="10" t="s">
        <v>70</v>
      </c>
      <c r="G5923" s="10" t="s">
        <v>6317</v>
      </c>
      <c r="H5923" s="11">
        <v>42191</v>
      </c>
      <c r="I5923" s="10">
        <v>2015</v>
      </c>
      <c r="J5923" s="10" t="s">
        <v>11215</v>
      </c>
      <c r="K5923" s="10">
        <v>338</v>
      </c>
      <c r="L5923" s="10" t="s">
        <v>29866</v>
      </c>
      <c r="M5923" s="10">
        <v>1</v>
      </c>
      <c r="N5923" s="10" t="s">
        <v>11708</v>
      </c>
      <c r="O5923" s="10"/>
      <c r="P5923" s="10" t="s">
        <v>29867</v>
      </c>
      <c r="Q5923" s="10" t="s">
        <v>10031</v>
      </c>
      <c r="R5923" s="10" t="s">
        <v>29868</v>
      </c>
      <c r="S5923" s="10" t="s">
        <v>53</v>
      </c>
      <c r="T5923" s="10" t="s">
        <v>54</v>
      </c>
    </row>
    <row r="5924" spans="1:20" ht="14.5" x14ac:dyDescent="0.35">
      <c r="A5924" s="10" t="s">
        <v>29869</v>
      </c>
      <c r="B5924" s="10" t="str">
        <f>"9780765609243"</f>
        <v>9780765609243</v>
      </c>
      <c r="C5924" s="10" t="str">
        <f>"9781317467038"</f>
        <v>9781317467038</v>
      </c>
      <c r="D5924" s="10" t="s">
        <v>6350</v>
      </c>
      <c r="E5924" s="10" t="s">
        <v>6351</v>
      </c>
      <c r="F5924" s="10" t="s">
        <v>5406</v>
      </c>
      <c r="G5924" s="10" t="s">
        <v>6352</v>
      </c>
      <c r="H5924" s="11">
        <v>37287</v>
      </c>
      <c r="I5924" s="10">
        <v>2003</v>
      </c>
      <c r="J5924" s="10" t="s">
        <v>6353</v>
      </c>
      <c r="K5924" s="10">
        <v>318</v>
      </c>
      <c r="L5924" s="10" t="s">
        <v>29870</v>
      </c>
      <c r="M5924" s="10">
        <v>1</v>
      </c>
      <c r="N5924" s="10"/>
      <c r="O5924" s="10"/>
      <c r="P5924" s="10" t="s">
        <v>29871</v>
      </c>
      <c r="Q5924" s="10">
        <v>378.52</v>
      </c>
      <c r="R5924" s="10" t="s">
        <v>29872</v>
      </c>
      <c r="S5924" s="10" t="s">
        <v>53</v>
      </c>
      <c r="T5924" s="10" t="s">
        <v>54</v>
      </c>
    </row>
    <row r="5925" spans="1:20" ht="14.5" x14ac:dyDescent="0.35">
      <c r="A5925" s="10" t="s">
        <v>29873</v>
      </c>
      <c r="B5925" s="10" t="str">
        <f>"9781475817706"</f>
        <v>9781475817706</v>
      </c>
      <c r="C5925" s="10" t="str">
        <f>"9781475817720"</f>
        <v>9781475817720</v>
      </c>
      <c r="D5925" s="10" t="s">
        <v>9752</v>
      </c>
      <c r="E5925" s="10" t="s">
        <v>15187</v>
      </c>
      <c r="F5925" s="10" t="s">
        <v>9754</v>
      </c>
      <c r="G5925" s="10" t="s">
        <v>6317</v>
      </c>
      <c r="H5925" s="11">
        <v>42076</v>
      </c>
      <c r="I5925" s="10">
        <v>2015</v>
      </c>
      <c r="J5925" s="10" t="s">
        <v>15187</v>
      </c>
      <c r="K5925" s="10">
        <v>133</v>
      </c>
      <c r="L5925" s="10" t="s">
        <v>29874</v>
      </c>
      <c r="M5925" s="10">
        <v>1</v>
      </c>
      <c r="N5925" s="10"/>
      <c r="O5925" s="10"/>
      <c r="P5925" s="10" t="s">
        <v>29875</v>
      </c>
      <c r="Q5925" s="10" t="s">
        <v>11803</v>
      </c>
      <c r="R5925" s="10" t="s">
        <v>29876</v>
      </c>
      <c r="S5925" s="10" t="s">
        <v>53</v>
      </c>
      <c r="T5925" s="10" t="s">
        <v>54</v>
      </c>
    </row>
    <row r="5926" spans="1:20" ht="14.5" x14ac:dyDescent="0.35">
      <c r="A5926" s="10" t="s">
        <v>29877</v>
      </c>
      <c r="B5926" s="10" t="str">
        <f>"9781610489805"</f>
        <v>9781610489805</v>
      </c>
      <c r="C5926" s="10" t="str">
        <f>"9781610489812"</f>
        <v>9781610489812</v>
      </c>
      <c r="D5926" s="10" t="s">
        <v>9752</v>
      </c>
      <c r="E5926" s="10" t="s">
        <v>15187</v>
      </c>
      <c r="F5926" s="10" t="s">
        <v>9754</v>
      </c>
      <c r="G5926" s="10" t="s">
        <v>6317</v>
      </c>
      <c r="H5926" s="11">
        <v>42064</v>
      </c>
      <c r="I5926" s="10">
        <v>2015</v>
      </c>
      <c r="J5926" s="10" t="s">
        <v>15187</v>
      </c>
      <c r="K5926" s="10">
        <v>169</v>
      </c>
      <c r="L5926" s="10" t="s">
        <v>29878</v>
      </c>
      <c r="M5926" s="10">
        <v>1</v>
      </c>
      <c r="N5926" s="10"/>
      <c r="O5926" s="10"/>
      <c r="P5926" s="10"/>
      <c r="Q5926" s="10">
        <v>371.20097299999998</v>
      </c>
      <c r="R5926" s="10" t="s">
        <v>29879</v>
      </c>
      <c r="S5926" s="10" t="s">
        <v>53</v>
      </c>
      <c r="T5926" s="10" t="s">
        <v>54</v>
      </c>
    </row>
    <row r="5927" spans="1:20" ht="14.5" x14ac:dyDescent="0.35">
      <c r="A5927" s="10" t="s">
        <v>29880</v>
      </c>
      <c r="B5927" s="10" t="str">
        <f>"9780826486653"</f>
        <v>9780826486653</v>
      </c>
      <c r="C5927" s="10" t="str">
        <f>"9781441190901"</f>
        <v>9781441190901</v>
      </c>
      <c r="D5927" s="10" t="s">
        <v>13959</v>
      </c>
      <c r="E5927" s="10" t="s">
        <v>13960</v>
      </c>
      <c r="F5927" s="10" t="s">
        <v>139</v>
      </c>
      <c r="G5927" s="10" t="s">
        <v>6352</v>
      </c>
      <c r="H5927" s="11">
        <v>39217</v>
      </c>
      <c r="I5927" s="10">
        <v>2007</v>
      </c>
      <c r="J5927" s="10" t="s">
        <v>13961</v>
      </c>
      <c r="K5927" s="10">
        <v>128</v>
      </c>
      <c r="L5927" s="10" t="s">
        <v>18644</v>
      </c>
      <c r="M5927" s="10">
        <v>2</v>
      </c>
      <c r="N5927" s="10"/>
      <c r="O5927" s="10"/>
      <c r="P5927" s="10" t="s">
        <v>29881</v>
      </c>
      <c r="Q5927" s="10">
        <v>371.10239999999999</v>
      </c>
      <c r="R5927" s="10" t="s">
        <v>7483</v>
      </c>
      <c r="S5927" s="10" t="s">
        <v>53</v>
      </c>
      <c r="T5927" s="10" t="s">
        <v>54</v>
      </c>
    </row>
    <row r="5928" spans="1:20" ht="14.5" x14ac:dyDescent="0.35">
      <c r="A5928" s="10" t="s">
        <v>29882</v>
      </c>
      <c r="B5928" s="10" t="str">
        <f>"9781441142276"</f>
        <v>9781441142276</v>
      </c>
      <c r="C5928" s="10" t="str">
        <f>"9781441120533"</f>
        <v>9781441120533</v>
      </c>
      <c r="D5928" s="10" t="s">
        <v>13959</v>
      </c>
      <c r="E5928" s="10" t="s">
        <v>13960</v>
      </c>
      <c r="F5928" s="10" t="s">
        <v>139</v>
      </c>
      <c r="G5928" s="10" t="s">
        <v>6352</v>
      </c>
      <c r="H5928" s="11">
        <v>40871</v>
      </c>
      <c r="I5928" s="10">
        <v>2011</v>
      </c>
      <c r="J5928" s="10" t="s">
        <v>13961</v>
      </c>
      <c r="K5928" s="10">
        <v>217</v>
      </c>
      <c r="L5928" s="10" t="s">
        <v>19627</v>
      </c>
      <c r="M5928" s="10">
        <v>1</v>
      </c>
      <c r="N5928" s="10" t="s">
        <v>16842</v>
      </c>
      <c r="O5928" s="10"/>
      <c r="P5928" s="10" t="s">
        <v>29883</v>
      </c>
      <c r="Q5928" s="10">
        <v>510.71199999999999</v>
      </c>
      <c r="R5928" s="10" t="s">
        <v>29884</v>
      </c>
      <c r="S5928" s="10" t="s">
        <v>53</v>
      </c>
      <c r="T5928" s="10" t="s">
        <v>389</v>
      </c>
    </row>
    <row r="5929" spans="1:20" ht="14.5" x14ac:dyDescent="0.35">
      <c r="A5929" s="10" t="s">
        <v>29885</v>
      </c>
      <c r="B5929" s="10" t="str">
        <f>"9780826499752"</f>
        <v>9780826499752</v>
      </c>
      <c r="C5929" s="10" t="str">
        <f>"9781441107152"</f>
        <v>9781441107152</v>
      </c>
      <c r="D5929" s="10" t="s">
        <v>13959</v>
      </c>
      <c r="E5929" s="10" t="s">
        <v>13960</v>
      </c>
      <c r="F5929" s="10" t="s">
        <v>139</v>
      </c>
      <c r="G5929" s="10" t="s">
        <v>6352</v>
      </c>
      <c r="H5929" s="11">
        <v>39609</v>
      </c>
      <c r="I5929" s="10">
        <v>2008</v>
      </c>
      <c r="J5929" s="10" t="s">
        <v>13961</v>
      </c>
      <c r="K5929" s="10">
        <v>127</v>
      </c>
      <c r="L5929" s="10" t="s">
        <v>17032</v>
      </c>
      <c r="M5929" s="10">
        <v>1</v>
      </c>
      <c r="N5929" s="10" t="s">
        <v>17023</v>
      </c>
      <c r="O5929" s="10"/>
      <c r="P5929" s="10" t="s">
        <v>29886</v>
      </c>
      <c r="Q5929" s="10" t="s">
        <v>29887</v>
      </c>
      <c r="R5929" s="10" t="s">
        <v>29888</v>
      </c>
      <c r="S5929" s="10" t="s">
        <v>53</v>
      </c>
      <c r="T5929" s="10" t="s">
        <v>8755</v>
      </c>
    </row>
    <row r="5930" spans="1:20" ht="14.5" x14ac:dyDescent="0.35">
      <c r="A5930" s="10" t="s">
        <v>29889</v>
      </c>
      <c r="B5930" s="10" t="str">
        <f>"9781441155832"</f>
        <v>9781441155832</v>
      </c>
      <c r="C5930" s="10" t="str">
        <f>"9781441136824"</f>
        <v>9781441136824</v>
      </c>
      <c r="D5930" s="10" t="s">
        <v>13959</v>
      </c>
      <c r="E5930" s="10" t="s">
        <v>13960</v>
      </c>
      <c r="F5930" s="10" t="s">
        <v>139</v>
      </c>
      <c r="G5930" s="10" t="s">
        <v>6352</v>
      </c>
      <c r="H5930" s="11">
        <v>40598</v>
      </c>
      <c r="I5930" s="10">
        <v>2011</v>
      </c>
      <c r="J5930" s="10" t="s">
        <v>13961</v>
      </c>
      <c r="K5930" s="10">
        <v>217</v>
      </c>
      <c r="L5930" s="10" t="s">
        <v>29890</v>
      </c>
      <c r="M5930" s="10">
        <v>1</v>
      </c>
      <c r="N5930" s="10"/>
      <c r="O5930" s="10"/>
      <c r="P5930" s="10" t="s">
        <v>29891</v>
      </c>
      <c r="Q5930" s="10" t="s">
        <v>9870</v>
      </c>
      <c r="R5930" s="10" t="s">
        <v>29892</v>
      </c>
      <c r="S5930" s="10" t="s">
        <v>53</v>
      </c>
      <c r="T5930" s="10" t="s">
        <v>54</v>
      </c>
    </row>
    <row r="5931" spans="1:20" ht="14.5" x14ac:dyDescent="0.35">
      <c r="A5931" s="10" t="s">
        <v>29893</v>
      </c>
      <c r="B5931" s="10" t="str">
        <f>"9780826493187"</f>
        <v>9780826493187</v>
      </c>
      <c r="C5931" s="10" t="str">
        <f>"9781441137487"</f>
        <v>9781441137487</v>
      </c>
      <c r="D5931" s="10" t="s">
        <v>13959</v>
      </c>
      <c r="E5931" s="10" t="s">
        <v>13960</v>
      </c>
      <c r="F5931" s="10" t="s">
        <v>139</v>
      </c>
      <c r="G5931" s="10" t="s">
        <v>6352</v>
      </c>
      <c r="H5931" s="11">
        <v>39259</v>
      </c>
      <c r="I5931" s="10">
        <v>2007</v>
      </c>
      <c r="J5931" s="10" t="s">
        <v>13961</v>
      </c>
      <c r="K5931" s="10">
        <v>161</v>
      </c>
      <c r="L5931" s="10" t="s">
        <v>17004</v>
      </c>
      <c r="M5931" s="10">
        <v>2</v>
      </c>
      <c r="N5931" s="10" t="s">
        <v>17023</v>
      </c>
      <c r="O5931" s="10"/>
      <c r="P5931" s="10" t="s">
        <v>29894</v>
      </c>
      <c r="Q5931" s="10">
        <v>510.71</v>
      </c>
      <c r="R5931" s="10" t="s">
        <v>21116</v>
      </c>
      <c r="S5931" s="10" t="s">
        <v>53</v>
      </c>
      <c r="T5931" s="10" t="s">
        <v>389</v>
      </c>
    </row>
    <row r="5932" spans="1:20" ht="14.5" x14ac:dyDescent="0.35">
      <c r="A5932" s="10" t="s">
        <v>29895</v>
      </c>
      <c r="B5932" s="10" t="str">
        <f>"9781441174956"</f>
        <v>9781441174956</v>
      </c>
      <c r="C5932" s="10" t="str">
        <f>"9781441123213"</f>
        <v>9781441123213</v>
      </c>
      <c r="D5932" s="10" t="s">
        <v>13959</v>
      </c>
      <c r="E5932" s="10" t="s">
        <v>13960</v>
      </c>
      <c r="F5932" s="10" t="s">
        <v>139</v>
      </c>
      <c r="G5932" s="10" t="s">
        <v>6352</v>
      </c>
      <c r="H5932" s="11">
        <v>41249</v>
      </c>
      <c r="I5932" s="10">
        <v>2012</v>
      </c>
      <c r="J5932" s="10" t="s">
        <v>16948</v>
      </c>
      <c r="K5932" s="10">
        <v>204</v>
      </c>
      <c r="L5932" s="10" t="s">
        <v>29890</v>
      </c>
      <c r="M5932" s="10">
        <v>1</v>
      </c>
      <c r="N5932" s="10"/>
      <c r="O5932" s="10"/>
      <c r="P5932" s="10" t="s">
        <v>29896</v>
      </c>
      <c r="Q5932" s="10" t="s">
        <v>8289</v>
      </c>
      <c r="R5932" s="10" t="s">
        <v>29897</v>
      </c>
      <c r="S5932" s="10" t="s">
        <v>53</v>
      </c>
      <c r="T5932" s="10" t="s">
        <v>7863</v>
      </c>
    </row>
    <row r="5933" spans="1:20" ht="14.5" x14ac:dyDescent="0.35">
      <c r="A5933" s="10" t="s">
        <v>29898</v>
      </c>
      <c r="B5933" s="10" t="str">
        <f>"9781441160713"</f>
        <v>9781441160713</v>
      </c>
      <c r="C5933" s="10" t="str">
        <f>"9781441184528"</f>
        <v>9781441184528</v>
      </c>
      <c r="D5933" s="10" t="s">
        <v>13959</v>
      </c>
      <c r="E5933" s="10" t="s">
        <v>13960</v>
      </c>
      <c r="F5933" s="10" t="s">
        <v>139</v>
      </c>
      <c r="G5933" s="10" t="s">
        <v>6352</v>
      </c>
      <c r="H5933" s="11">
        <v>40941</v>
      </c>
      <c r="I5933" s="10">
        <v>2011</v>
      </c>
      <c r="J5933" s="10" t="s">
        <v>13961</v>
      </c>
      <c r="K5933" s="10">
        <v>161</v>
      </c>
      <c r="L5933" s="10" t="s">
        <v>29899</v>
      </c>
      <c r="M5933" s="10">
        <v>1</v>
      </c>
      <c r="N5933" s="10"/>
      <c r="O5933" s="10"/>
      <c r="P5933" s="10" t="s">
        <v>29900</v>
      </c>
      <c r="Q5933" s="10">
        <v>507.1241</v>
      </c>
      <c r="R5933" s="10" t="s">
        <v>29901</v>
      </c>
      <c r="S5933" s="10" t="s">
        <v>53</v>
      </c>
      <c r="T5933" s="10" t="s">
        <v>9608</v>
      </c>
    </row>
    <row r="5934" spans="1:20" ht="14.5" x14ac:dyDescent="0.35">
      <c r="A5934" s="10" t="s">
        <v>29902</v>
      </c>
      <c r="B5934" s="10" t="str">
        <f>"9781472909213"</f>
        <v>9781472909213</v>
      </c>
      <c r="C5934" s="10" t="str">
        <f>"9781472909220"</f>
        <v>9781472909220</v>
      </c>
      <c r="D5934" s="10" t="s">
        <v>13959</v>
      </c>
      <c r="E5934" s="10" t="s">
        <v>13960</v>
      </c>
      <c r="F5934" s="10" t="s">
        <v>139</v>
      </c>
      <c r="G5934" s="10" t="s">
        <v>6352</v>
      </c>
      <c r="H5934" s="11">
        <v>41907</v>
      </c>
      <c r="I5934" s="10">
        <v>2014</v>
      </c>
      <c r="J5934" s="10" t="s">
        <v>16948</v>
      </c>
      <c r="K5934" s="10">
        <v>249</v>
      </c>
      <c r="L5934" s="10" t="s">
        <v>19830</v>
      </c>
      <c r="M5934" s="10">
        <v>5</v>
      </c>
      <c r="N5934" s="10"/>
      <c r="O5934" s="10"/>
      <c r="P5934" s="10" t="s">
        <v>29903</v>
      </c>
      <c r="Q5934" s="10">
        <v>371.10239999999999</v>
      </c>
      <c r="R5934" s="10" t="s">
        <v>29904</v>
      </c>
      <c r="S5934" s="10" t="s">
        <v>53</v>
      </c>
      <c r="T5934" s="10" t="s">
        <v>54</v>
      </c>
    </row>
    <row r="5935" spans="1:20" ht="14.5" x14ac:dyDescent="0.35">
      <c r="A5935" s="10" t="s">
        <v>29905</v>
      </c>
      <c r="B5935" s="10" t="str">
        <f>"9781441129512"</f>
        <v>9781441129512</v>
      </c>
      <c r="C5935" s="10" t="str">
        <f>"9781472920997"</f>
        <v>9781472920997</v>
      </c>
      <c r="D5935" s="10" t="s">
        <v>13959</v>
      </c>
      <c r="E5935" s="10" t="s">
        <v>13960</v>
      </c>
      <c r="F5935" s="10" t="s">
        <v>139</v>
      </c>
      <c r="G5935" s="10" t="s">
        <v>6352</v>
      </c>
      <c r="H5935" s="11">
        <v>41907</v>
      </c>
      <c r="I5935" s="10">
        <v>2014</v>
      </c>
      <c r="J5935" s="10" t="s">
        <v>13960</v>
      </c>
      <c r="K5935" s="10">
        <v>274</v>
      </c>
      <c r="L5935" s="10" t="s">
        <v>29906</v>
      </c>
      <c r="M5935" s="10">
        <v>1</v>
      </c>
      <c r="N5935" s="10"/>
      <c r="O5935" s="10"/>
      <c r="P5935" s="10" t="s">
        <v>29907</v>
      </c>
      <c r="Q5935" s="10">
        <v>371.90447</v>
      </c>
      <c r="R5935" s="10" t="s">
        <v>29908</v>
      </c>
      <c r="S5935" s="10" t="s">
        <v>53</v>
      </c>
      <c r="T5935" s="10" t="s">
        <v>54</v>
      </c>
    </row>
    <row r="5936" spans="1:20" ht="14.5" x14ac:dyDescent="0.35">
      <c r="A5936" s="10" t="s">
        <v>29909</v>
      </c>
      <c r="B5936" s="10" t="str">
        <f>"9781475811063"</f>
        <v>9781475811063</v>
      </c>
      <c r="C5936" s="10" t="str">
        <f>"9781475811070"</f>
        <v>9781475811070</v>
      </c>
      <c r="D5936" s="10" t="s">
        <v>9752</v>
      </c>
      <c r="E5936" s="10" t="s">
        <v>15187</v>
      </c>
      <c r="F5936" s="10" t="s">
        <v>9754</v>
      </c>
      <c r="G5936" s="10" t="s">
        <v>6317</v>
      </c>
      <c r="H5936" s="11">
        <v>42069</v>
      </c>
      <c r="I5936" s="10">
        <v>2015</v>
      </c>
      <c r="J5936" s="10" t="s">
        <v>15187</v>
      </c>
      <c r="K5936" s="10">
        <v>173</v>
      </c>
      <c r="L5936" s="10" t="s">
        <v>29910</v>
      </c>
      <c r="M5936" s="10">
        <v>1</v>
      </c>
      <c r="N5936" s="10"/>
      <c r="O5936" s="10"/>
      <c r="P5936" s="10" t="s">
        <v>29911</v>
      </c>
      <c r="Q5936" s="10">
        <v>371.20097299999998</v>
      </c>
      <c r="R5936" s="10" t="s">
        <v>29912</v>
      </c>
      <c r="S5936" s="10" t="s">
        <v>53</v>
      </c>
      <c r="T5936" s="10" t="s">
        <v>54</v>
      </c>
    </row>
    <row r="5937" spans="1:20" ht="14.5" x14ac:dyDescent="0.35">
      <c r="A5937" s="10" t="s">
        <v>29913</v>
      </c>
      <c r="B5937" s="10" t="str">
        <f>"9781475815313"</f>
        <v>9781475815313</v>
      </c>
      <c r="C5937" s="10" t="str">
        <f>"9781475815337"</f>
        <v>9781475815337</v>
      </c>
      <c r="D5937" s="10" t="s">
        <v>9752</v>
      </c>
      <c r="E5937" s="10" t="s">
        <v>15187</v>
      </c>
      <c r="F5937" s="10" t="s">
        <v>9754</v>
      </c>
      <c r="G5937" s="10" t="s">
        <v>6317</v>
      </c>
      <c r="H5937" s="11">
        <v>42068</v>
      </c>
      <c r="I5937" s="10">
        <v>2014</v>
      </c>
      <c r="J5937" s="10" t="s">
        <v>15187</v>
      </c>
      <c r="K5937" s="10">
        <v>240</v>
      </c>
      <c r="L5937" s="10" t="s">
        <v>29914</v>
      </c>
      <c r="M5937" s="10">
        <v>1</v>
      </c>
      <c r="N5937" s="10"/>
      <c r="O5937" s="10"/>
      <c r="P5937" s="10" t="s">
        <v>29915</v>
      </c>
      <c r="Q5937" s="10">
        <v>371.2</v>
      </c>
      <c r="R5937" s="10" t="s">
        <v>29916</v>
      </c>
      <c r="S5937" s="10" t="s">
        <v>53</v>
      </c>
      <c r="T5937" s="10" t="s">
        <v>54</v>
      </c>
    </row>
    <row r="5938" spans="1:20" ht="14.5" x14ac:dyDescent="0.35">
      <c r="A5938" s="10" t="s">
        <v>29917</v>
      </c>
      <c r="B5938" s="10" t="str">
        <f>"9781498504355"</f>
        <v>9781498504355</v>
      </c>
      <c r="C5938" s="10" t="str">
        <f>"9781498504362"</f>
        <v>9781498504362</v>
      </c>
      <c r="D5938" s="10" t="s">
        <v>9752</v>
      </c>
      <c r="E5938" s="10" t="s">
        <v>15182</v>
      </c>
      <c r="F5938" s="10" t="s">
        <v>3460</v>
      </c>
      <c r="G5938" s="10" t="s">
        <v>6317</v>
      </c>
      <c r="H5938" s="11">
        <v>42069</v>
      </c>
      <c r="I5938" s="10">
        <v>2015</v>
      </c>
      <c r="J5938" s="10" t="s">
        <v>15182</v>
      </c>
      <c r="K5938" s="10">
        <v>334</v>
      </c>
      <c r="L5938" s="10" t="s">
        <v>29918</v>
      </c>
      <c r="M5938" s="10">
        <v>1</v>
      </c>
      <c r="N5938" s="10"/>
      <c r="O5938" s="10"/>
      <c r="P5938" s="10" t="s">
        <v>29919</v>
      </c>
      <c r="Q5938" s="10" t="s">
        <v>7299</v>
      </c>
      <c r="R5938" s="10" t="s">
        <v>7884</v>
      </c>
      <c r="S5938" s="10" t="s">
        <v>53</v>
      </c>
      <c r="T5938" s="10" t="s">
        <v>54</v>
      </c>
    </row>
    <row r="5939" spans="1:20" ht="14.5" x14ac:dyDescent="0.35">
      <c r="A5939" s="10" t="s">
        <v>29920</v>
      </c>
      <c r="B5939" s="10" t="str">
        <f>"9781475812657"</f>
        <v>9781475812657</v>
      </c>
      <c r="C5939" s="10" t="str">
        <f>"9781475812671"</f>
        <v>9781475812671</v>
      </c>
      <c r="D5939" s="10" t="s">
        <v>9752</v>
      </c>
      <c r="E5939" s="10" t="s">
        <v>15187</v>
      </c>
      <c r="F5939" s="10" t="s">
        <v>9754</v>
      </c>
      <c r="G5939" s="10" t="s">
        <v>6317</v>
      </c>
      <c r="H5939" s="11">
        <v>42076</v>
      </c>
      <c r="I5939" s="10">
        <v>2015</v>
      </c>
      <c r="J5939" s="10" t="s">
        <v>15187</v>
      </c>
      <c r="K5939" s="10">
        <v>131</v>
      </c>
      <c r="L5939" s="10" t="s">
        <v>29921</v>
      </c>
      <c r="M5939" s="10">
        <v>1</v>
      </c>
      <c r="N5939" s="10"/>
      <c r="O5939" s="10"/>
      <c r="P5939" s="10" t="s">
        <v>29922</v>
      </c>
      <c r="Q5939" s="10">
        <v>371.20097299999998</v>
      </c>
      <c r="R5939" s="10" t="s">
        <v>29923</v>
      </c>
      <c r="S5939" s="10" t="s">
        <v>53</v>
      </c>
      <c r="T5939" s="10" t="s">
        <v>54</v>
      </c>
    </row>
    <row r="5940" spans="1:20" ht="14.5" x14ac:dyDescent="0.35">
      <c r="A5940" s="10" t="s">
        <v>29924</v>
      </c>
      <c r="B5940" s="10" t="str">
        <f>"9781475815351"</f>
        <v>9781475815351</v>
      </c>
      <c r="C5940" s="10" t="str">
        <f>"9781475815368"</f>
        <v>9781475815368</v>
      </c>
      <c r="D5940" s="10" t="s">
        <v>9752</v>
      </c>
      <c r="E5940" s="10" t="s">
        <v>15187</v>
      </c>
      <c r="F5940" s="10" t="s">
        <v>9754</v>
      </c>
      <c r="G5940" s="10" t="s">
        <v>6317</v>
      </c>
      <c r="H5940" s="11">
        <v>42080</v>
      </c>
      <c r="I5940" s="10">
        <v>2015</v>
      </c>
      <c r="J5940" s="10" t="s">
        <v>15187</v>
      </c>
      <c r="K5940" s="10">
        <v>193</v>
      </c>
      <c r="L5940" s="10" t="s">
        <v>29925</v>
      </c>
      <c r="M5940" s="10">
        <v>1</v>
      </c>
      <c r="N5940" s="10"/>
      <c r="O5940" s="10"/>
      <c r="P5940" s="10" t="s">
        <v>29926</v>
      </c>
      <c r="Q5940" s="10" t="s">
        <v>10031</v>
      </c>
      <c r="R5940" s="10" t="s">
        <v>25828</v>
      </c>
      <c r="S5940" s="10" t="s">
        <v>53</v>
      </c>
      <c r="T5940" s="10" t="s">
        <v>54</v>
      </c>
    </row>
    <row r="5941" spans="1:20" ht="14.5" x14ac:dyDescent="0.35">
      <c r="A5941" s="10" t="s">
        <v>29927</v>
      </c>
      <c r="B5941" s="10" t="str">
        <f>"9781464805059"</f>
        <v>9781464805059</v>
      </c>
      <c r="C5941" s="10" t="str">
        <f>"9781464805066"</f>
        <v>9781464805066</v>
      </c>
      <c r="D5941" s="10" t="s">
        <v>14731</v>
      </c>
      <c r="E5941" s="10" t="s">
        <v>14732</v>
      </c>
      <c r="F5941" s="10" t="s">
        <v>88</v>
      </c>
      <c r="G5941" s="10" t="s">
        <v>6317</v>
      </c>
      <c r="H5941" s="11">
        <v>42005</v>
      </c>
      <c r="I5941" s="10">
        <v>2015</v>
      </c>
      <c r="J5941" s="10" t="s">
        <v>14732</v>
      </c>
      <c r="K5941" s="10">
        <v>170</v>
      </c>
      <c r="L5941" s="10" t="s">
        <v>29928</v>
      </c>
      <c r="M5941" s="10">
        <v>1</v>
      </c>
      <c r="N5941" s="10"/>
      <c r="O5941" s="10"/>
      <c r="P5941" s="10" t="s">
        <v>29929</v>
      </c>
      <c r="Q5941" s="10">
        <v>371.04</v>
      </c>
      <c r="R5941" s="10" t="s">
        <v>29930</v>
      </c>
      <c r="S5941" s="10" t="s">
        <v>53</v>
      </c>
      <c r="T5941" s="10" t="s">
        <v>54</v>
      </c>
    </row>
    <row r="5942" spans="1:20" ht="14.5" x14ac:dyDescent="0.35">
      <c r="A5942" s="10" t="s">
        <v>29931</v>
      </c>
      <c r="B5942" s="10" t="str">
        <f>""</f>
        <v/>
      </c>
      <c r="C5942" s="10" t="str">
        <f>"9781631011191"</f>
        <v>9781631011191</v>
      </c>
      <c r="D5942" s="10" t="s">
        <v>27268</v>
      </c>
      <c r="E5942" s="10" t="s">
        <v>29932</v>
      </c>
      <c r="F5942" s="10" t="s">
        <v>29933</v>
      </c>
      <c r="G5942" s="10" t="s">
        <v>6317</v>
      </c>
      <c r="H5942" s="11">
        <v>42076</v>
      </c>
      <c r="I5942" s="10">
        <v>2015</v>
      </c>
      <c r="J5942" s="10" t="s">
        <v>29932</v>
      </c>
      <c r="K5942" s="10">
        <v>234</v>
      </c>
      <c r="L5942" s="10" t="s">
        <v>29934</v>
      </c>
      <c r="M5942" s="10">
        <v>1</v>
      </c>
      <c r="N5942" s="10"/>
      <c r="O5942" s="10"/>
      <c r="P5942" s="10" t="s">
        <v>29935</v>
      </c>
      <c r="Q5942" s="10" t="s">
        <v>29936</v>
      </c>
      <c r="R5942" s="10" t="s">
        <v>29937</v>
      </c>
      <c r="S5942" s="10" t="s">
        <v>53</v>
      </c>
      <c r="T5942" s="10" t="s">
        <v>54</v>
      </c>
    </row>
    <row r="5943" spans="1:20" ht="14.5" x14ac:dyDescent="0.35">
      <c r="A5943" s="10" t="s">
        <v>29938</v>
      </c>
      <c r="B5943" s="10" t="str">
        <f>"9781412938440"</f>
        <v>9781412938440</v>
      </c>
      <c r="C5943" s="10" t="str">
        <f>"9781452222547"</f>
        <v>9781452222547</v>
      </c>
      <c r="D5943" s="10" t="s">
        <v>22210</v>
      </c>
      <c r="E5943" s="10" t="s">
        <v>22211</v>
      </c>
      <c r="F5943" s="10" t="s">
        <v>333</v>
      </c>
      <c r="G5943" s="10" t="s">
        <v>6317</v>
      </c>
      <c r="H5943" s="11">
        <v>40220</v>
      </c>
      <c r="I5943" s="10">
        <v>2010</v>
      </c>
      <c r="J5943" s="10" t="s">
        <v>22211</v>
      </c>
      <c r="K5943" s="10">
        <v>175</v>
      </c>
      <c r="L5943" s="10" t="s">
        <v>29939</v>
      </c>
      <c r="M5943" s="10">
        <v>1</v>
      </c>
      <c r="N5943" s="10" t="s">
        <v>29940</v>
      </c>
      <c r="O5943" s="10"/>
      <c r="P5943" s="10" t="s">
        <v>29941</v>
      </c>
      <c r="Q5943" s="10">
        <v>371.334</v>
      </c>
      <c r="R5943" s="10" t="s">
        <v>29942</v>
      </c>
      <c r="S5943" s="10" t="s">
        <v>53</v>
      </c>
      <c r="T5943" s="10" t="s">
        <v>54</v>
      </c>
    </row>
    <row r="5944" spans="1:20" ht="14.5" x14ac:dyDescent="0.35">
      <c r="A5944" s="10" t="s">
        <v>29943</v>
      </c>
      <c r="B5944" s="10" t="str">
        <f>"9781412958110"</f>
        <v>9781412958110</v>
      </c>
      <c r="C5944" s="10" t="str">
        <f>"9781452205915"</f>
        <v>9781452205915</v>
      </c>
      <c r="D5944" s="10" t="s">
        <v>22210</v>
      </c>
      <c r="E5944" s="10" t="s">
        <v>22211</v>
      </c>
      <c r="F5944" s="10" t="s">
        <v>333</v>
      </c>
      <c r="G5944" s="10" t="s">
        <v>6317</v>
      </c>
      <c r="H5944" s="11">
        <v>39661</v>
      </c>
      <c r="I5944" s="10">
        <v>2009</v>
      </c>
      <c r="J5944" s="10" t="s">
        <v>22211</v>
      </c>
      <c r="K5944" s="10">
        <v>201</v>
      </c>
      <c r="L5944" s="10" t="s">
        <v>29944</v>
      </c>
      <c r="M5944" s="10">
        <v>1</v>
      </c>
      <c r="N5944" s="10"/>
      <c r="O5944" s="10"/>
      <c r="P5944" s="10" t="s">
        <v>29945</v>
      </c>
      <c r="Q5944" s="10" t="s">
        <v>6920</v>
      </c>
      <c r="R5944" s="10"/>
      <c r="S5944" s="10" t="s">
        <v>53</v>
      </c>
      <c r="T5944" s="10" t="s">
        <v>54</v>
      </c>
    </row>
    <row r="5945" spans="1:20" ht="14.5" x14ac:dyDescent="0.35">
      <c r="A5945" s="10" t="s">
        <v>29946</v>
      </c>
      <c r="B5945" s="10" t="str">
        <f>"9781412966504"</f>
        <v>9781412966504</v>
      </c>
      <c r="C5945" s="10" t="str">
        <f>"9781452215631"</f>
        <v>9781452215631</v>
      </c>
      <c r="D5945" s="10" t="s">
        <v>22210</v>
      </c>
      <c r="E5945" s="10" t="s">
        <v>22211</v>
      </c>
      <c r="F5945" s="10" t="s">
        <v>333</v>
      </c>
      <c r="G5945" s="10" t="s">
        <v>6317</v>
      </c>
      <c r="H5945" s="11">
        <v>39981</v>
      </c>
      <c r="I5945" s="10">
        <v>2009</v>
      </c>
      <c r="J5945" s="10" t="s">
        <v>22211</v>
      </c>
      <c r="K5945" s="10">
        <v>177</v>
      </c>
      <c r="L5945" s="10" t="s">
        <v>23583</v>
      </c>
      <c r="M5945" s="10">
        <v>1</v>
      </c>
      <c r="N5945" s="10"/>
      <c r="O5945" s="10"/>
      <c r="P5945" s="10" t="s">
        <v>29947</v>
      </c>
      <c r="Q5945" s="10">
        <v>371.4</v>
      </c>
      <c r="R5945" s="10" t="s">
        <v>29948</v>
      </c>
      <c r="S5945" s="10" t="s">
        <v>53</v>
      </c>
      <c r="T5945" s="10" t="s">
        <v>54</v>
      </c>
    </row>
    <row r="5946" spans="1:20" ht="14.5" x14ac:dyDescent="0.35">
      <c r="A5946" s="10" t="s">
        <v>29949</v>
      </c>
      <c r="B5946" s="10" t="str">
        <f>"9781412975001"</f>
        <v>9781412975001</v>
      </c>
      <c r="C5946" s="10" t="str">
        <f>"9781452215686"</f>
        <v>9781452215686</v>
      </c>
      <c r="D5946" s="10" t="s">
        <v>22210</v>
      </c>
      <c r="E5946" s="10" t="s">
        <v>22211</v>
      </c>
      <c r="F5946" s="10" t="s">
        <v>333</v>
      </c>
      <c r="G5946" s="10" t="s">
        <v>6317</v>
      </c>
      <c r="H5946" s="11">
        <v>40294</v>
      </c>
      <c r="I5946" s="10">
        <v>2010</v>
      </c>
      <c r="J5946" s="10" t="s">
        <v>22211</v>
      </c>
      <c r="K5946" s="10">
        <v>193</v>
      </c>
      <c r="L5946" s="10" t="s">
        <v>29950</v>
      </c>
      <c r="M5946" s="10">
        <v>1</v>
      </c>
      <c r="N5946" s="10"/>
      <c r="O5946" s="10"/>
      <c r="P5946" s="10" t="s">
        <v>29951</v>
      </c>
      <c r="Q5946" s="10" t="s">
        <v>29952</v>
      </c>
      <c r="R5946" s="10" t="s">
        <v>29953</v>
      </c>
      <c r="S5946" s="10" t="s">
        <v>53</v>
      </c>
      <c r="T5946" s="10" t="s">
        <v>10311</v>
      </c>
    </row>
    <row r="5947" spans="1:20" ht="14.5" x14ac:dyDescent="0.35">
      <c r="A5947" s="10" t="s">
        <v>29954</v>
      </c>
      <c r="B5947" s="10" t="str">
        <f>"9781412924382"</f>
        <v>9781412924382</v>
      </c>
      <c r="C5947" s="10" t="str">
        <f>"9781452215860"</f>
        <v>9781452215860</v>
      </c>
      <c r="D5947" s="10" t="s">
        <v>22210</v>
      </c>
      <c r="E5947" s="10" t="s">
        <v>22211</v>
      </c>
      <c r="F5947" s="10" t="s">
        <v>333</v>
      </c>
      <c r="G5947" s="10" t="s">
        <v>6317</v>
      </c>
      <c r="H5947" s="11">
        <v>38658</v>
      </c>
      <c r="I5947" s="10">
        <v>2006</v>
      </c>
      <c r="J5947" s="10" t="s">
        <v>22211</v>
      </c>
      <c r="K5947" s="10">
        <v>177</v>
      </c>
      <c r="L5947" s="10" t="s">
        <v>29955</v>
      </c>
      <c r="M5947" s="10">
        <v>1</v>
      </c>
      <c r="N5947" s="10"/>
      <c r="O5947" s="10"/>
      <c r="P5947" s="10" t="s">
        <v>29956</v>
      </c>
      <c r="Q5947" s="10" t="s">
        <v>12123</v>
      </c>
      <c r="R5947" s="10" t="s">
        <v>29957</v>
      </c>
      <c r="S5947" s="10" t="s">
        <v>53</v>
      </c>
      <c r="T5947" s="10" t="s">
        <v>6616</v>
      </c>
    </row>
    <row r="5948" spans="1:20" ht="14.5" x14ac:dyDescent="0.35">
      <c r="A5948" s="10" t="s">
        <v>29958</v>
      </c>
      <c r="B5948" s="10" t="str">
        <f>"9781412957373"</f>
        <v>9781412957373</v>
      </c>
      <c r="C5948" s="10" t="str">
        <f>"9781452215952"</f>
        <v>9781452215952</v>
      </c>
      <c r="D5948" s="10" t="s">
        <v>22210</v>
      </c>
      <c r="E5948" s="10" t="s">
        <v>22211</v>
      </c>
      <c r="F5948" s="10" t="s">
        <v>333</v>
      </c>
      <c r="G5948" s="10" t="s">
        <v>6317</v>
      </c>
      <c r="H5948" s="11">
        <v>39611</v>
      </c>
      <c r="I5948" s="10">
        <v>2009</v>
      </c>
      <c r="J5948" s="10" t="s">
        <v>22211</v>
      </c>
      <c r="K5948" s="10">
        <v>161</v>
      </c>
      <c r="L5948" s="10" t="s">
        <v>29959</v>
      </c>
      <c r="M5948" s="10">
        <v>1</v>
      </c>
      <c r="N5948" s="10"/>
      <c r="O5948" s="10"/>
      <c r="P5948" s="10" t="s">
        <v>29960</v>
      </c>
      <c r="Q5948" s="10" t="s">
        <v>12010</v>
      </c>
      <c r="R5948" s="10"/>
      <c r="S5948" s="10" t="s">
        <v>53</v>
      </c>
      <c r="T5948" s="10" t="s">
        <v>54</v>
      </c>
    </row>
    <row r="5949" spans="1:20" ht="14.5" x14ac:dyDescent="0.35">
      <c r="A5949" s="10" t="s">
        <v>29961</v>
      </c>
      <c r="B5949" s="10" t="str">
        <f>"9781412972970"</f>
        <v>9781412972970</v>
      </c>
      <c r="C5949" s="10" t="str">
        <f>"9781452216010"</f>
        <v>9781452216010</v>
      </c>
      <c r="D5949" s="10" t="s">
        <v>22210</v>
      </c>
      <c r="E5949" s="10" t="s">
        <v>22211</v>
      </c>
      <c r="F5949" s="10" t="s">
        <v>333</v>
      </c>
      <c r="G5949" s="10" t="s">
        <v>6317</v>
      </c>
      <c r="H5949" s="11">
        <v>40218</v>
      </c>
      <c r="I5949" s="10">
        <v>2010</v>
      </c>
      <c r="J5949" s="10" t="s">
        <v>22211</v>
      </c>
      <c r="K5949" s="10">
        <v>161</v>
      </c>
      <c r="L5949" s="10" t="s">
        <v>29962</v>
      </c>
      <c r="M5949" s="10">
        <v>1</v>
      </c>
      <c r="N5949" s="10"/>
      <c r="O5949" s="10"/>
      <c r="P5949" s="10" t="s">
        <v>29963</v>
      </c>
      <c r="Q5949" s="10" t="s">
        <v>15602</v>
      </c>
      <c r="R5949" s="10" t="s">
        <v>29964</v>
      </c>
      <c r="S5949" s="10" t="s">
        <v>53</v>
      </c>
      <c r="T5949" s="10" t="s">
        <v>54</v>
      </c>
    </row>
    <row r="5950" spans="1:20" ht="14.5" x14ac:dyDescent="0.35">
      <c r="A5950" s="10" t="s">
        <v>29965</v>
      </c>
      <c r="B5950" s="10" t="str">
        <f>"9781412980494"</f>
        <v>9781412980494</v>
      </c>
      <c r="C5950" s="10" t="str">
        <f>"9781452216256"</f>
        <v>9781452216256</v>
      </c>
      <c r="D5950" s="10" t="s">
        <v>22210</v>
      </c>
      <c r="E5950" s="10" t="s">
        <v>22211</v>
      </c>
      <c r="F5950" s="10" t="s">
        <v>333</v>
      </c>
      <c r="G5950" s="10" t="s">
        <v>6317</v>
      </c>
      <c r="H5950" s="11">
        <v>40227</v>
      </c>
      <c r="I5950" s="10">
        <v>2010</v>
      </c>
      <c r="J5950" s="10" t="s">
        <v>22211</v>
      </c>
      <c r="K5950" s="10">
        <v>225</v>
      </c>
      <c r="L5950" s="10" t="s">
        <v>29966</v>
      </c>
      <c r="M5950" s="10">
        <v>1</v>
      </c>
      <c r="N5950" s="10"/>
      <c r="O5950" s="10"/>
      <c r="P5950" s="10" t="s">
        <v>29967</v>
      </c>
      <c r="Q5950" s="10" t="s">
        <v>15558</v>
      </c>
      <c r="R5950" s="10" t="s">
        <v>29968</v>
      </c>
      <c r="S5950" s="10" t="s">
        <v>53</v>
      </c>
      <c r="T5950" s="10" t="s">
        <v>54</v>
      </c>
    </row>
    <row r="5951" spans="1:20" ht="14.5" x14ac:dyDescent="0.35">
      <c r="A5951" s="10" t="s">
        <v>29969</v>
      </c>
      <c r="B5951" s="10" t="str">
        <f>"9781412948906"</f>
        <v>9781412948906</v>
      </c>
      <c r="C5951" s="10" t="str">
        <f>"9781452207605"</f>
        <v>9781452207605</v>
      </c>
      <c r="D5951" s="10" t="s">
        <v>22210</v>
      </c>
      <c r="E5951" s="10" t="s">
        <v>22211</v>
      </c>
      <c r="F5951" s="10" t="s">
        <v>333</v>
      </c>
      <c r="G5951" s="10" t="s">
        <v>6317</v>
      </c>
      <c r="H5951" s="11">
        <v>39241</v>
      </c>
      <c r="I5951" s="10">
        <v>2007</v>
      </c>
      <c r="J5951" s="10" t="s">
        <v>22211</v>
      </c>
      <c r="K5951" s="10">
        <v>241</v>
      </c>
      <c r="L5951" s="10" t="s">
        <v>29970</v>
      </c>
      <c r="M5951" s="10">
        <v>1</v>
      </c>
      <c r="N5951" s="10"/>
      <c r="O5951" s="10"/>
      <c r="P5951" s="10" t="s">
        <v>29971</v>
      </c>
      <c r="Q5951" s="10">
        <v>371.4</v>
      </c>
      <c r="R5951" s="10"/>
      <c r="S5951" s="10" t="s">
        <v>53</v>
      </c>
      <c r="T5951" s="10" t="s">
        <v>54</v>
      </c>
    </row>
    <row r="5952" spans="1:20" ht="14.5" x14ac:dyDescent="0.35">
      <c r="A5952" s="10" t="s">
        <v>29972</v>
      </c>
      <c r="B5952" s="10" t="str">
        <f>"9781412944762"</f>
        <v>9781412944762</v>
      </c>
      <c r="C5952" s="10" t="str">
        <f>"9781452207889"</f>
        <v>9781452207889</v>
      </c>
      <c r="D5952" s="10" t="s">
        <v>22210</v>
      </c>
      <c r="E5952" s="10" t="s">
        <v>22211</v>
      </c>
      <c r="F5952" s="10" t="s">
        <v>333</v>
      </c>
      <c r="G5952" s="10" t="s">
        <v>6317</v>
      </c>
      <c r="H5952" s="11">
        <v>39431</v>
      </c>
      <c r="I5952" s="10">
        <v>2008</v>
      </c>
      <c r="J5952" s="10" t="s">
        <v>22211</v>
      </c>
      <c r="K5952" s="10">
        <v>185</v>
      </c>
      <c r="L5952" s="10" t="s">
        <v>29973</v>
      </c>
      <c r="M5952" s="10">
        <v>1</v>
      </c>
      <c r="N5952" s="10"/>
      <c r="O5952" s="10"/>
      <c r="P5952" s="10" t="s">
        <v>29974</v>
      </c>
      <c r="Q5952" s="10">
        <v>371.2</v>
      </c>
      <c r="R5952" s="10" t="s">
        <v>29975</v>
      </c>
      <c r="S5952" s="10" t="s">
        <v>53</v>
      </c>
      <c r="T5952" s="10" t="s">
        <v>54</v>
      </c>
    </row>
    <row r="5953" spans="1:20" ht="14.5" x14ac:dyDescent="0.35">
      <c r="A5953" s="10" t="s">
        <v>29976</v>
      </c>
      <c r="B5953" s="10" t="str">
        <f>"9781890460419"</f>
        <v>9781890460419</v>
      </c>
      <c r="C5953" s="10" t="str">
        <f>"9781452207919"</f>
        <v>9781452207919</v>
      </c>
      <c r="D5953" s="10" t="s">
        <v>22210</v>
      </c>
      <c r="E5953" s="10" t="s">
        <v>22211</v>
      </c>
      <c r="F5953" s="10" t="s">
        <v>333</v>
      </c>
      <c r="G5953" s="10" t="s">
        <v>6317</v>
      </c>
      <c r="H5953" s="11">
        <v>38033</v>
      </c>
      <c r="I5953" s="10">
        <v>2004</v>
      </c>
      <c r="J5953" s="10" t="s">
        <v>22211</v>
      </c>
      <c r="K5953" s="10">
        <v>97</v>
      </c>
      <c r="L5953" s="10" t="s">
        <v>22232</v>
      </c>
      <c r="M5953" s="10">
        <v>2</v>
      </c>
      <c r="N5953" s="10"/>
      <c r="O5953" s="10"/>
      <c r="P5953" s="10" t="s">
        <v>29977</v>
      </c>
      <c r="Q5953" s="10"/>
      <c r="R5953" s="10"/>
      <c r="S5953" s="10" t="s">
        <v>53</v>
      </c>
      <c r="T5953" s="10" t="s">
        <v>54</v>
      </c>
    </row>
    <row r="5954" spans="1:20" ht="14.5" x14ac:dyDescent="0.35">
      <c r="A5954" s="10" t="s">
        <v>29978</v>
      </c>
      <c r="B5954" s="10" t="str">
        <f>"9781412939270"</f>
        <v>9781412939270</v>
      </c>
      <c r="C5954" s="10" t="str">
        <f>"9781452208398"</f>
        <v>9781452208398</v>
      </c>
      <c r="D5954" s="10" t="s">
        <v>22210</v>
      </c>
      <c r="E5954" s="10" t="s">
        <v>22211</v>
      </c>
      <c r="F5954" s="10" t="s">
        <v>333</v>
      </c>
      <c r="G5954" s="10" t="s">
        <v>6317</v>
      </c>
      <c r="H5954" s="11">
        <v>39708</v>
      </c>
      <c r="I5954" s="10">
        <v>2009</v>
      </c>
      <c r="J5954" s="10" t="s">
        <v>22211</v>
      </c>
      <c r="K5954" s="10">
        <v>281</v>
      </c>
      <c r="L5954" s="10" t="s">
        <v>29979</v>
      </c>
      <c r="M5954" s="10">
        <v>1</v>
      </c>
      <c r="N5954" s="10"/>
      <c r="O5954" s="10"/>
      <c r="P5954" s="10" t="s">
        <v>29980</v>
      </c>
      <c r="Q5954" s="10">
        <v>373.11020973000001</v>
      </c>
      <c r="R5954" s="10"/>
      <c r="S5954" s="10" t="s">
        <v>53</v>
      </c>
      <c r="T5954" s="10" t="s">
        <v>54</v>
      </c>
    </row>
    <row r="5955" spans="1:20" ht="14.5" x14ac:dyDescent="0.35">
      <c r="A5955" s="10" t="s">
        <v>29981</v>
      </c>
      <c r="B5955" s="10" t="str">
        <f>"9781412963756"</f>
        <v>9781412963756</v>
      </c>
      <c r="C5955" s="10" t="str">
        <f>"9781452208428"</f>
        <v>9781452208428</v>
      </c>
      <c r="D5955" s="10" t="s">
        <v>22210</v>
      </c>
      <c r="E5955" s="10" t="s">
        <v>22211</v>
      </c>
      <c r="F5955" s="10" t="s">
        <v>333</v>
      </c>
      <c r="G5955" s="10" t="s">
        <v>6317</v>
      </c>
      <c r="H5955" s="11">
        <v>39651</v>
      </c>
      <c r="I5955" s="10">
        <v>2009</v>
      </c>
      <c r="J5955" s="10" t="s">
        <v>22211</v>
      </c>
      <c r="K5955" s="10">
        <v>217</v>
      </c>
      <c r="L5955" s="10" t="s">
        <v>29982</v>
      </c>
      <c r="M5955" s="10">
        <v>2</v>
      </c>
      <c r="N5955" s="10"/>
      <c r="O5955" s="10"/>
      <c r="P5955" s="10"/>
      <c r="Q5955" s="10" t="s">
        <v>12394</v>
      </c>
      <c r="R5955" s="10"/>
      <c r="S5955" s="10" t="s">
        <v>53</v>
      </c>
      <c r="T5955" s="10" t="s">
        <v>54</v>
      </c>
    </row>
    <row r="5956" spans="1:20" ht="14.5" x14ac:dyDescent="0.35">
      <c r="A5956" s="10" t="s">
        <v>29983</v>
      </c>
      <c r="B5956" s="10" t="str">
        <f>"9781412966153"</f>
        <v>9781412966153</v>
      </c>
      <c r="C5956" s="10" t="str">
        <f>"9781452208480"</f>
        <v>9781452208480</v>
      </c>
      <c r="D5956" s="10" t="s">
        <v>22210</v>
      </c>
      <c r="E5956" s="10" t="s">
        <v>22211</v>
      </c>
      <c r="F5956" s="10" t="s">
        <v>333</v>
      </c>
      <c r="G5956" s="10" t="s">
        <v>6317</v>
      </c>
      <c r="H5956" s="11">
        <v>39912</v>
      </c>
      <c r="I5956" s="10">
        <v>2009</v>
      </c>
      <c r="J5956" s="10" t="s">
        <v>22211</v>
      </c>
      <c r="K5956" s="10">
        <v>129</v>
      </c>
      <c r="L5956" s="10" t="s">
        <v>29984</v>
      </c>
      <c r="M5956" s="10">
        <v>1</v>
      </c>
      <c r="N5956" s="10"/>
      <c r="O5956" s="10"/>
      <c r="P5956" s="10" t="s">
        <v>29985</v>
      </c>
      <c r="Q5956" s="10">
        <v>343.73099439999999</v>
      </c>
      <c r="R5956" s="10"/>
      <c r="S5956" s="10" t="s">
        <v>53</v>
      </c>
      <c r="T5956" s="10" t="s">
        <v>5396</v>
      </c>
    </row>
    <row r="5957" spans="1:20" ht="14.5" x14ac:dyDescent="0.35">
      <c r="A5957" s="10" t="s">
        <v>29986</v>
      </c>
      <c r="B5957" s="10" t="str">
        <f>"9781412926447"</f>
        <v>9781412926447</v>
      </c>
      <c r="C5957" s="10" t="str">
        <f>"9781452208749"</f>
        <v>9781452208749</v>
      </c>
      <c r="D5957" s="10" t="s">
        <v>22210</v>
      </c>
      <c r="E5957" s="10" t="s">
        <v>22211</v>
      </c>
      <c r="F5957" s="10" t="s">
        <v>333</v>
      </c>
      <c r="G5957" s="10" t="s">
        <v>6317</v>
      </c>
      <c r="H5957" s="11">
        <v>38813</v>
      </c>
      <c r="I5957" s="10">
        <v>2006</v>
      </c>
      <c r="J5957" s="10" t="s">
        <v>22211</v>
      </c>
      <c r="K5957" s="10">
        <v>257</v>
      </c>
      <c r="L5957" s="10" t="s">
        <v>29987</v>
      </c>
      <c r="M5957" s="10">
        <v>1</v>
      </c>
      <c r="N5957" s="10"/>
      <c r="O5957" s="10"/>
      <c r="P5957" s="10" t="s">
        <v>29988</v>
      </c>
      <c r="Q5957" s="10"/>
      <c r="R5957" s="10"/>
      <c r="S5957" s="10" t="s">
        <v>53</v>
      </c>
      <c r="T5957" s="10" t="s">
        <v>389</v>
      </c>
    </row>
    <row r="5958" spans="1:20" ht="14.5" x14ac:dyDescent="0.35">
      <c r="A5958" s="10" t="s">
        <v>29989</v>
      </c>
      <c r="B5958" s="10" t="str">
        <f>"9781412949705"</f>
        <v>9781412949705</v>
      </c>
      <c r="C5958" s="10" t="str">
        <f>"9781452208756"</f>
        <v>9781452208756</v>
      </c>
      <c r="D5958" s="10" t="s">
        <v>22210</v>
      </c>
      <c r="E5958" s="10" t="s">
        <v>22211</v>
      </c>
      <c r="F5958" s="10" t="s">
        <v>333</v>
      </c>
      <c r="G5958" s="10" t="s">
        <v>6317</v>
      </c>
      <c r="H5958" s="11">
        <v>39038</v>
      </c>
      <c r="I5958" s="10">
        <v>2007</v>
      </c>
      <c r="J5958" s="10" t="s">
        <v>22211</v>
      </c>
      <c r="K5958" s="10">
        <v>249</v>
      </c>
      <c r="L5958" s="10" t="s">
        <v>29990</v>
      </c>
      <c r="M5958" s="10">
        <v>2</v>
      </c>
      <c r="N5958" s="10"/>
      <c r="O5958" s="10"/>
      <c r="P5958" s="10"/>
      <c r="Q5958" s="10">
        <v>371.2</v>
      </c>
      <c r="R5958" s="10"/>
      <c r="S5958" s="10" t="s">
        <v>53</v>
      </c>
      <c r="T5958" s="10" t="s">
        <v>54</v>
      </c>
    </row>
    <row r="5959" spans="1:20" ht="14.5" x14ac:dyDescent="0.35">
      <c r="A5959" s="10" t="s">
        <v>29991</v>
      </c>
      <c r="B5959" s="10" t="str">
        <f>"9781412969086"</f>
        <v>9781412969086</v>
      </c>
      <c r="C5959" s="10" t="str">
        <f>"9781452209159"</f>
        <v>9781452209159</v>
      </c>
      <c r="D5959" s="10" t="s">
        <v>22210</v>
      </c>
      <c r="E5959" s="10" t="s">
        <v>22211</v>
      </c>
      <c r="F5959" s="10" t="s">
        <v>333</v>
      </c>
      <c r="G5959" s="10" t="s">
        <v>6317</v>
      </c>
      <c r="H5959" s="11">
        <v>40235</v>
      </c>
      <c r="I5959" s="10">
        <v>2010</v>
      </c>
      <c r="J5959" s="10" t="s">
        <v>22211</v>
      </c>
      <c r="K5959" s="10">
        <v>233</v>
      </c>
      <c r="L5959" s="10" t="s">
        <v>27565</v>
      </c>
      <c r="M5959" s="10">
        <v>1</v>
      </c>
      <c r="N5959" s="10"/>
      <c r="O5959" s="10"/>
      <c r="P5959" s="10" t="s">
        <v>29992</v>
      </c>
      <c r="Q5959" s="10" t="s">
        <v>29993</v>
      </c>
      <c r="R5959" s="10" t="s">
        <v>29994</v>
      </c>
      <c r="S5959" s="10" t="s">
        <v>53</v>
      </c>
      <c r="T5959" s="10" t="s">
        <v>54</v>
      </c>
    </row>
    <row r="5960" spans="1:20" ht="14.5" x14ac:dyDescent="0.35">
      <c r="A5960" s="10" t="s">
        <v>29995</v>
      </c>
      <c r="B5960" s="10" t="str">
        <f>"9781412967839"</f>
        <v>9781412967839</v>
      </c>
      <c r="C5960" s="10" t="str">
        <f>"9781452209401"</f>
        <v>9781452209401</v>
      </c>
      <c r="D5960" s="10" t="s">
        <v>22210</v>
      </c>
      <c r="E5960" s="10" t="s">
        <v>22211</v>
      </c>
      <c r="F5960" s="10" t="s">
        <v>333</v>
      </c>
      <c r="G5960" s="10" t="s">
        <v>6317</v>
      </c>
      <c r="H5960" s="11">
        <v>40154</v>
      </c>
      <c r="I5960" s="10">
        <v>2010</v>
      </c>
      <c r="J5960" s="10" t="s">
        <v>22211</v>
      </c>
      <c r="K5960" s="10">
        <v>201</v>
      </c>
      <c r="L5960" s="10" t="s">
        <v>23196</v>
      </c>
      <c r="M5960" s="10">
        <v>1</v>
      </c>
      <c r="N5960" s="10"/>
      <c r="O5960" s="10"/>
      <c r="P5960" s="10" t="s">
        <v>29996</v>
      </c>
      <c r="Q5960" s="10">
        <v>372.7</v>
      </c>
      <c r="R5960" s="10" t="s">
        <v>29997</v>
      </c>
      <c r="S5960" s="10" t="s">
        <v>53</v>
      </c>
      <c r="T5960" s="10" t="s">
        <v>6448</v>
      </c>
    </row>
    <row r="5961" spans="1:20" ht="14.5" x14ac:dyDescent="0.35">
      <c r="A5961" s="10" t="s">
        <v>29998</v>
      </c>
      <c r="B5961" s="10" t="str">
        <f>"9781412970457"</f>
        <v>9781412970457</v>
      </c>
      <c r="C5961" s="10" t="str">
        <f>"9781452209579"</f>
        <v>9781452209579</v>
      </c>
      <c r="D5961" s="10" t="s">
        <v>22210</v>
      </c>
      <c r="E5961" s="10" t="s">
        <v>22211</v>
      </c>
      <c r="F5961" s="10" t="s">
        <v>333</v>
      </c>
      <c r="G5961" s="10" t="s">
        <v>6317</v>
      </c>
      <c r="H5961" s="11">
        <v>39889</v>
      </c>
      <c r="I5961" s="10">
        <v>2009</v>
      </c>
      <c r="J5961" s="10" t="s">
        <v>22211</v>
      </c>
      <c r="K5961" s="10">
        <v>249</v>
      </c>
      <c r="L5961" s="10" t="s">
        <v>25094</v>
      </c>
      <c r="M5961" s="10">
        <v>1</v>
      </c>
      <c r="N5961" s="10"/>
      <c r="O5961" s="10"/>
      <c r="P5961" s="10" t="s">
        <v>29999</v>
      </c>
      <c r="Q5961" s="10" t="s">
        <v>6576</v>
      </c>
      <c r="R5961" s="10" t="s">
        <v>30000</v>
      </c>
      <c r="S5961" s="10" t="s">
        <v>53</v>
      </c>
      <c r="T5961" s="10" t="s">
        <v>54</v>
      </c>
    </row>
    <row r="5962" spans="1:20" ht="14.5" x14ac:dyDescent="0.35">
      <c r="A5962" s="10" t="s">
        <v>30001</v>
      </c>
      <c r="B5962" s="10" t="str">
        <f>"9781412967853"</f>
        <v>9781412967853</v>
      </c>
      <c r="C5962" s="10" t="str">
        <f>"9781452209654"</f>
        <v>9781452209654</v>
      </c>
      <c r="D5962" s="10" t="s">
        <v>22210</v>
      </c>
      <c r="E5962" s="10" t="s">
        <v>22211</v>
      </c>
      <c r="F5962" s="10" t="s">
        <v>333</v>
      </c>
      <c r="G5962" s="10" t="s">
        <v>6317</v>
      </c>
      <c r="H5962" s="11">
        <v>40141</v>
      </c>
      <c r="I5962" s="10">
        <v>2010</v>
      </c>
      <c r="J5962" s="10" t="s">
        <v>22211</v>
      </c>
      <c r="K5962" s="10">
        <v>201</v>
      </c>
      <c r="L5962" s="10" t="s">
        <v>23196</v>
      </c>
      <c r="M5962" s="10">
        <v>1</v>
      </c>
      <c r="N5962" s="10"/>
      <c r="O5962" s="10"/>
      <c r="P5962" s="10" t="s">
        <v>30002</v>
      </c>
      <c r="Q5962" s="10">
        <v>372.7</v>
      </c>
      <c r="R5962" s="10" t="s">
        <v>30003</v>
      </c>
      <c r="S5962" s="10" t="s">
        <v>53</v>
      </c>
      <c r="T5962" s="10" t="s">
        <v>6448</v>
      </c>
    </row>
    <row r="5963" spans="1:20" ht="14.5" x14ac:dyDescent="0.35">
      <c r="A5963" s="10" t="s">
        <v>30004</v>
      </c>
      <c r="B5963" s="10" t="str">
        <f>"9781412975384"</f>
        <v>9781412975384</v>
      </c>
      <c r="C5963" s="10" t="str">
        <f>"9781452209661"</f>
        <v>9781452209661</v>
      </c>
      <c r="D5963" s="10" t="s">
        <v>22210</v>
      </c>
      <c r="E5963" s="10" t="s">
        <v>22211</v>
      </c>
      <c r="F5963" s="10" t="s">
        <v>333</v>
      </c>
      <c r="G5963" s="10" t="s">
        <v>6317</v>
      </c>
      <c r="H5963" s="11">
        <v>40115</v>
      </c>
      <c r="I5963" s="10">
        <v>2010</v>
      </c>
      <c r="J5963" s="10" t="s">
        <v>22211</v>
      </c>
      <c r="K5963" s="10">
        <v>329</v>
      </c>
      <c r="L5963" s="10" t="s">
        <v>30005</v>
      </c>
      <c r="M5963" s="10">
        <v>1</v>
      </c>
      <c r="N5963" s="10"/>
      <c r="O5963" s="10"/>
      <c r="P5963" s="10" t="s">
        <v>30006</v>
      </c>
      <c r="Q5963" s="10" t="s">
        <v>22166</v>
      </c>
      <c r="R5963" s="10" t="s">
        <v>30007</v>
      </c>
      <c r="S5963" s="10" t="s">
        <v>53</v>
      </c>
      <c r="T5963" s="10" t="s">
        <v>54</v>
      </c>
    </row>
    <row r="5964" spans="1:20" ht="14.5" x14ac:dyDescent="0.35">
      <c r="A5964" s="10" t="s">
        <v>30008</v>
      </c>
      <c r="B5964" s="10" t="str">
        <f>"9781412936897"</f>
        <v>9781412936897</v>
      </c>
      <c r="C5964" s="10" t="str">
        <f>"9781452209678"</f>
        <v>9781452209678</v>
      </c>
      <c r="D5964" s="10" t="s">
        <v>22210</v>
      </c>
      <c r="E5964" s="10" t="s">
        <v>22211</v>
      </c>
      <c r="F5964" s="10" t="s">
        <v>333</v>
      </c>
      <c r="G5964" s="10" t="s">
        <v>6317</v>
      </c>
      <c r="H5964" s="11">
        <v>40157</v>
      </c>
      <c r="I5964" s="10">
        <v>2010</v>
      </c>
      <c r="J5964" s="10" t="s">
        <v>22211</v>
      </c>
      <c r="K5964" s="10">
        <v>193</v>
      </c>
      <c r="L5964" s="10" t="s">
        <v>30009</v>
      </c>
      <c r="M5964" s="10">
        <v>1</v>
      </c>
      <c r="N5964" s="10" t="s">
        <v>15005</v>
      </c>
      <c r="O5964" s="10"/>
      <c r="P5964" s="10" t="s">
        <v>30010</v>
      </c>
      <c r="Q5964" s="10">
        <v>371.20709729999999</v>
      </c>
      <c r="R5964" s="10" t="s">
        <v>30011</v>
      </c>
      <c r="S5964" s="10" t="s">
        <v>53</v>
      </c>
      <c r="T5964" s="10" t="s">
        <v>54</v>
      </c>
    </row>
    <row r="5965" spans="1:20" ht="14.5" x14ac:dyDescent="0.35">
      <c r="A5965" s="10" t="s">
        <v>30012</v>
      </c>
      <c r="B5965" s="10" t="str">
        <f>"9781412917803"</f>
        <v>9781412917803</v>
      </c>
      <c r="C5965" s="10" t="str">
        <f>"9781452209760"</f>
        <v>9781452209760</v>
      </c>
      <c r="D5965" s="10" t="s">
        <v>22210</v>
      </c>
      <c r="E5965" s="10" t="s">
        <v>22211</v>
      </c>
      <c r="F5965" s="10" t="s">
        <v>333</v>
      </c>
      <c r="G5965" s="10" t="s">
        <v>6317</v>
      </c>
      <c r="H5965" s="11">
        <v>38764</v>
      </c>
      <c r="I5965" s="10">
        <v>2006</v>
      </c>
      <c r="J5965" s="10" t="s">
        <v>22211</v>
      </c>
      <c r="K5965" s="10">
        <v>265</v>
      </c>
      <c r="L5965" s="10" t="s">
        <v>30013</v>
      </c>
      <c r="M5965" s="10">
        <v>3</v>
      </c>
      <c r="N5965" s="10"/>
      <c r="O5965" s="10"/>
      <c r="P5965" s="10" t="s">
        <v>30014</v>
      </c>
      <c r="Q5965" s="10" t="s">
        <v>8266</v>
      </c>
      <c r="R5965" s="10"/>
      <c r="S5965" s="10" t="s">
        <v>53</v>
      </c>
      <c r="T5965" s="10" t="s">
        <v>54</v>
      </c>
    </row>
    <row r="5966" spans="1:20" ht="14.5" x14ac:dyDescent="0.35">
      <c r="A5966" s="10" t="s">
        <v>30015</v>
      </c>
      <c r="B5966" s="10" t="str">
        <f>"9781412970860"</f>
        <v>9781412970860</v>
      </c>
      <c r="C5966" s="10" t="str">
        <f>"9781452210100"</f>
        <v>9781452210100</v>
      </c>
      <c r="D5966" s="10" t="s">
        <v>22210</v>
      </c>
      <c r="E5966" s="10" t="s">
        <v>22211</v>
      </c>
      <c r="F5966" s="10" t="s">
        <v>333</v>
      </c>
      <c r="G5966" s="10" t="s">
        <v>6317</v>
      </c>
      <c r="H5966" s="11">
        <v>40282</v>
      </c>
      <c r="I5966" s="10">
        <v>2010</v>
      </c>
      <c r="J5966" s="10" t="s">
        <v>22211</v>
      </c>
      <c r="K5966" s="10">
        <v>177</v>
      </c>
      <c r="L5966" s="10" t="s">
        <v>30016</v>
      </c>
      <c r="M5966" s="10">
        <v>1</v>
      </c>
      <c r="N5966" s="10"/>
      <c r="O5966" s="10"/>
      <c r="P5966" s="10" t="s">
        <v>30017</v>
      </c>
      <c r="Q5966" s="10" t="s">
        <v>30018</v>
      </c>
      <c r="R5966" s="10" t="s">
        <v>30019</v>
      </c>
      <c r="S5966" s="10" t="s">
        <v>53</v>
      </c>
      <c r="T5966" s="10" t="s">
        <v>54</v>
      </c>
    </row>
    <row r="5967" spans="1:20" ht="14.5" x14ac:dyDescent="0.35">
      <c r="A5967" s="10" t="s">
        <v>30020</v>
      </c>
      <c r="B5967" s="10" t="str">
        <f>"9781412971140"</f>
        <v>9781412971140</v>
      </c>
      <c r="C5967" s="10" t="str">
        <f>"9781452210155"</f>
        <v>9781452210155</v>
      </c>
      <c r="D5967" s="10" t="s">
        <v>22210</v>
      </c>
      <c r="E5967" s="10" t="s">
        <v>22211</v>
      </c>
      <c r="F5967" s="10" t="s">
        <v>333</v>
      </c>
      <c r="G5967" s="10" t="s">
        <v>6317</v>
      </c>
      <c r="H5967" s="11">
        <v>39966</v>
      </c>
      <c r="I5967" s="10">
        <v>2009</v>
      </c>
      <c r="J5967" s="10" t="s">
        <v>22211</v>
      </c>
      <c r="K5967" s="10">
        <v>225</v>
      </c>
      <c r="L5967" s="10" t="s">
        <v>30021</v>
      </c>
      <c r="M5967" s="10">
        <v>1</v>
      </c>
      <c r="N5967" s="10"/>
      <c r="O5967" s="10"/>
      <c r="P5967" s="10" t="s">
        <v>30022</v>
      </c>
      <c r="Q5967" s="10" t="s">
        <v>17634</v>
      </c>
      <c r="R5967" s="10" t="s">
        <v>30023</v>
      </c>
      <c r="S5967" s="10" t="s">
        <v>53</v>
      </c>
      <c r="T5967" s="10" t="s">
        <v>54</v>
      </c>
    </row>
    <row r="5968" spans="1:20" ht="14.5" x14ac:dyDescent="0.35">
      <c r="A5968" s="10" t="s">
        <v>30024</v>
      </c>
      <c r="B5968" s="10" t="str">
        <f>"9781412974264"</f>
        <v>9781412974264</v>
      </c>
      <c r="C5968" s="10" t="str">
        <f>"9781452210216"</f>
        <v>9781452210216</v>
      </c>
      <c r="D5968" s="10" t="s">
        <v>22210</v>
      </c>
      <c r="E5968" s="10" t="s">
        <v>22211</v>
      </c>
      <c r="F5968" s="10" t="s">
        <v>333</v>
      </c>
      <c r="G5968" s="10" t="s">
        <v>6317</v>
      </c>
      <c r="H5968" s="11">
        <v>40024</v>
      </c>
      <c r="I5968" s="10">
        <v>2009</v>
      </c>
      <c r="J5968" s="10" t="s">
        <v>22211</v>
      </c>
      <c r="K5968" s="10">
        <v>201</v>
      </c>
      <c r="L5968" s="10" t="s">
        <v>30025</v>
      </c>
      <c r="M5968" s="10">
        <v>1</v>
      </c>
      <c r="N5968" s="10"/>
      <c r="O5968" s="10"/>
      <c r="P5968" s="10" t="s">
        <v>30026</v>
      </c>
      <c r="Q5968" s="10" t="s">
        <v>17158</v>
      </c>
      <c r="R5968" s="10" t="s">
        <v>30027</v>
      </c>
      <c r="S5968" s="10" t="s">
        <v>53</v>
      </c>
      <c r="T5968" s="10" t="s">
        <v>6498</v>
      </c>
    </row>
    <row r="5969" spans="1:20" ht="14.5" x14ac:dyDescent="0.35">
      <c r="A5969" s="10" t="s">
        <v>30028</v>
      </c>
      <c r="B5969" s="10" t="str">
        <f>"9781412957250"</f>
        <v>9781412957250</v>
      </c>
      <c r="C5969" s="10" t="str">
        <f>"9781452210339"</f>
        <v>9781452210339</v>
      </c>
      <c r="D5969" s="10" t="s">
        <v>22210</v>
      </c>
      <c r="E5969" s="10" t="s">
        <v>22211</v>
      </c>
      <c r="F5969" s="10" t="s">
        <v>333</v>
      </c>
      <c r="G5969" s="10" t="s">
        <v>6317</v>
      </c>
      <c r="H5969" s="11">
        <v>40123</v>
      </c>
      <c r="I5969" s="10">
        <v>2010</v>
      </c>
      <c r="J5969" s="10" t="s">
        <v>22211</v>
      </c>
      <c r="K5969" s="10">
        <v>169</v>
      </c>
      <c r="L5969" s="10" t="s">
        <v>30029</v>
      </c>
      <c r="M5969" s="10">
        <v>1</v>
      </c>
      <c r="N5969" s="10"/>
      <c r="O5969" s="10"/>
      <c r="P5969" s="10"/>
      <c r="Q5969" s="10"/>
      <c r="R5969" s="10"/>
      <c r="S5969" s="10" t="s">
        <v>53</v>
      </c>
      <c r="T5969" s="10" t="s">
        <v>54</v>
      </c>
    </row>
    <row r="5970" spans="1:20" ht="14.5" x14ac:dyDescent="0.35">
      <c r="A5970" s="10" t="s">
        <v>30030</v>
      </c>
      <c r="B5970" s="10" t="str">
        <f>"9781412904988"</f>
        <v>9781412904988</v>
      </c>
      <c r="C5970" s="10" t="str">
        <f>"9781452210421"</f>
        <v>9781452210421</v>
      </c>
      <c r="D5970" s="10" t="s">
        <v>22210</v>
      </c>
      <c r="E5970" s="10" t="s">
        <v>22211</v>
      </c>
      <c r="F5970" s="10" t="s">
        <v>333</v>
      </c>
      <c r="G5970" s="10" t="s">
        <v>6317</v>
      </c>
      <c r="H5970" s="11">
        <v>38434</v>
      </c>
      <c r="I5970" s="10">
        <v>2005</v>
      </c>
      <c r="J5970" s="10" t="s">
        <v>22211</v>
      </c>
      <c r="K5970" s="10">
        <v>201</v>
      </c>
      <c r="L5970" s="10" t="s">
        <v>30031</v>
      </c>
      <c r="M5970" s="10">
        <v>1</v>
      </c>
      <c r="N5970" s="10"/>
      <c r="O5970" s="10"/>
      <c r="P5970" s="10" t="s">
        <v>30032</v>
      </c>
      <c r="Q5970" s="10">
        <v>371.94</v>
      </c>
      <c r="R5970" s="10" t="s">
        <v>30033</v>
      </c>
      <c r="S5970" s="10" t="s">
        <v>53</v>
      </c>
      <c r="T5970" s="10" t="s">
        <v>54</v>
      </c>
    </row>
    <row r="5971" spans="1:20" ht="14.5" x14ac:dyDescent="0.35">
      <c r="A5971" s="10" t="s">
        <v>30034</v>
      </c>
      <c r="B5971" s="10" t="str">
        <f>"9781412957649"</f>
        <v>9781412957649</v>
      </c>
      <c r="C5971" s="10" t="str">
        <f>"9781452210551"</f>
        <v>9781452210551</v>
      </c>
      <c r="D5971" s="10" t="s">
        <v>22210</v>
      </c>
      <c r="E5971" s="10" t="s">
        <v>22211</v>
      </c>
      <c r="F5971" s="10" t="s">
        <v>333</v>
      </c>
      <c r="G5971" s="10" t="s">
        <v>6317</v>
      </c>
      <c r="H5971" s="11">
        <v>39675</v>
      </c>
      <c r="I5971" s="10">
        <v>2009</v>
      </c>
      <c r="J5971" s="10" t="s">
        <v>22211</v>
      </c>
      <c r="K5971" s="10">
        <v>145</v>
      </c>
      <c r="L5971" s="10" t="s">
        <v>30035</v>
      </c>
      <c r="M5971" s="10">
        <v>1</v>
      </c>
      <c r="N5971" s="10"/>
      <c r="O5971" s="10"/>
      <c r="P5971" s="10" t="s">
        <v>30036</v>
      </c>
      <c r="Q5971" s="10"/>
      <c r="R5971" s="10"/>
      <c r="S5971" s="10" t="s">
        <v>53</v>
      </c>
      <c r="T5971" s="10" t="s">
        <v>54</v>
      </c>
    </row>
    <row r="5972" spans="1:20" ht="14.5" x14ac:dyDescent="0.35">
      <c r="A5972" s="10" t="s">
        <v>30037</v>
      </c>
      <c r="B5972" s="10" t="str">
        <f>"9781412963008"</f>
        <v>9781412963008</v>
      </c>
      <c r="C5972" s="10" t="str">
        <f>"9781452210636"</f>
        <v>9781452210636</v>
      </c>
      <c r="D5972" s="10" t="s">
        <v>22210</v>
      </c>
      <c r="E5972" s="10" t="s">
        <v>22211</v>
      </c>
      <c r="F5972" s="10" t="s">
        <v>333</v>
      </c>
      <c r="G5972" s="10" t="s">
        <v>6317</v>
      </c>
      <c r="H5972" s="11">
        <v>39801</v>
      </c>
      <c r="I5972" s="10">
        <v>2009</v>
      </c>
      <c r="J5972" s="10" t="s">
        <v>22211</v>
      </c>
      <c r="K5972" s="10">
        <v>289</v>
      </c>
      <c r="L5972" s="10" t="s">
        <v>26772</v>
      </c>
      <c r="M5972" s="10">
        <v>2</v>
      </c>
      <c r="N5972" s="10"/>
      <c r="O5972" s="10"/>
      <c r="P5972" s="10" t="s">
        <v>30038</v>
      </c>
      <c r="Q5972" s="10" t="s">
        <v>22259</v>
      </c>
      <c r="R5972" s="10" t="s">
        <v>30039</v>
      </c>
      <c r="S5972" s="10" t="s">
        <v>53</v>
      </c>
      <c r="T5972" s="10" t="s">
        <v>54</v>
      </c>
    </row>
    <row r="5973" spans="1:20" ht="14.5" x14ac:dyDescent="0.35">
      <c r="A5973" s="10" t="s">
        <v>30040</v>
      </c>
      <c r="B5973" s="10" t="str">
        <f>"9781412964340"</f>
        <v>9781412964340</v>
      </c>
      <c r="C5973" s="10" t="str">
        <f>"9781452210858"</f>
        <v>9781452210858</v>
      </c>
      <c r="D5973" s="10" t="s">
        <v>22210</v>
      </c>
      <c r="E5973" s="10" t="s">
        <v>22211</v>
      </c>
      <c r="F5973" s="10" t="s">
        <v>333</v>
      </c>
      <c r="G5973" s="10" t="s">
        <v>6317</v>
      </c>
      <c r="H5973" s="11">
        <v>40050</v>
      </c>
      <c r="I5973" s="10">
        <v>2009</v>
      </c>
      <c r="J5973" s="10" t="s">
        <v>22211</v>
      </c>
      <c r="K5973" s="10">
        <v>145</v>
      </c>
      <c r="L5973" s="10" t="s">
        <v>30041</v>
      </c>
      <c r="M5973" s="10">
        <v>1</v>
      </c>
      <c r="N5973" s="10"/>
      <c r="O5973" s="10"/>
      <c r="P5973" s="10" t="s">
        <v>30042</v>
      </c>
      <c r="Q5973" s="10" t="s">
        <v>22132</v>
      </c>
      <c r="R5973" s="10" t="s">
        <v>30043</v>
      </c>
      <c r="S5973" s="10" t="s">
        <v>53</v>
      </c>
      <c r="T5973" s="10" t="s">
        <v>54</v>
      </c>
    </row>
    <row r="5974" spans="1:20" ht="14.5" x14ac:dyDescent="0.35">
      <c r="A5974" s="10" t="s">
        <v>30044</v>
      </c>
      <c r="B5974" s="10" t="str">
        <f>"9781412972253"</f>
        <v>9781412972253</v>
      </c>
      <c r="C5974" s="10" t="str">
        <f>"9781452211381"</f>
        <v>9781452211381</v>
      </c>
      <c r="D5974" s="10" t="s">
        <v>22210</v>
      </c>
      <c r="E5974" s="10" t="s">
        <v>22211</v>
      </c>
      <c r="F5974" s="10" t="s">
        <v>333</v>
      </c>
      <c r="G5974" s="10" t="s">
        <v>6317</v>
      </c>
      <c r="H5974" s="11">
        <v>40141</v>
      </c>
      <c r="I5974" s="10">
        <v>2010</v>
      </c>
      <c r="J5974" s="10" t="s">
        <v>22211</v>
      </c>
      <c r="K5974" s="10">
        <v>137</v>
      </c>
      <c r="L5974" s="10" t="s">
        <v>30045</v>
      </c>
      <c r="M5974" s="10">
        <v>1</v>
      </c>
      <c r="N5974" s="10"/>
      <c r="O5974" s="10"/>
      <c r="P5974" s="10" t="s">
        <v>30046</v>
      </c>
      <c r="Q5974" s="10" t="s">
        <v>30047</v>
      </c>
      <c r="R5974" s="10" t="s">
        <v>30048</v>
      </c>
      <c r="S5974" s="10" t="s">
        <v>53</v>
      </c>
      <c r="T5974" s="10" t="s">
        <v>6526</v>
      </c>
    </row>
    <row r="5975" spans="1:20" ht="14.5" x14ac:dyDescent="0.35">
      <c r="A5975" s="10" t="s">
        <v>30049</v>
      </c>
      <c r="B5975" s="10" t="str">
        <f>"9781412940542"</f>
        <v>9781412940542</v>
      </c>
      <c r="C5975" s="10" t="str">
        <f>"9781452211442"</f>
        <v>9781452211442</v>
      </c>
      <c r="D5975" s="10" t="s">
        <v>22210</v>
      </c>
      <c r="E5975" s="10" t="s">
        <v>22211</v>
      </c>
      <c r="F5975" s="10" t="s">
        <v>333</v>
      </c>
      <c r="G5975" s="10" t="s">
        <v>6317</v>
      </c>
      <c r="H5975" s="11">
        <v>39590</v>
      </c>
      <c r="I5975" s="10">
        <v>2008</v>
      </c>
      <c r="J5975" s="10" t="s">
        <v>22211</v>
      </c>
      <c r="K5975" s="10">
        <v>185</v>
      </c>
      <c r="L5975" s="10" t="s">
        <v>30050</v>
      </c>
      <c r="M5975" s="10">
        <v>1</v>
      </c>
      <c r="N5975" s="10"/>
      <c r="O5975" s="10"/>
      <c r="P5975" s="10" t="s">
        <v>30051</v>
      </c>
      <c r="Q5975" s="10" t="s">
        <v>10031</v>
      </c>
      <c r="R5975" s="10" t="s">
        <v>30052</v>
      </c>
      <c r="S5975" s="10" t="s">
        <v>53</v>
      </c>
      <c r="T5975" s="10" t="s">
        <v>54</v>
      </c>
    </row>
    <row r="5976" spans="1:20" ht="14.5" x14ac:dyDescent="0.35">
      <c r="A5976" s="10" t="s">
        <v>30053</v>
      </c>
      <c r="B5976" s="10" t="str">
        <f>"9781412955720"</f>
        <v>9781412955720</v>
      </c>
      <c r="C5976" s="10" t="str">
        <f>"9781452211664"</f>
        <v>9781452211664</v>
      </c>
      <c r="D5976" s="10" t="s">
        <v>22210</v>
      </c>
      <c r="E5976" s="10" t="s">
        <v>22211</v>
      </c>
      <c r="F5976" s="10" t="s">
        <v>333</v>
      </c>
      <c r="G5976" s="10" t="s">
        <v>6317</v>
      </c>
      <c r="H5976" s="11">
        <v>39399</v>
      </c>
      <c r="I5976" s="10">
        <v>2008</v>
      </c>
      <c r="J5976" s="10" t="s">
        <v>22211</v>
      </c>
      <c r="K5976" s="10">
        <v>177</v>
      </c>
      <c r="L5976" s="10" t="s">
        <v>30054</v>
      </c>
      <c r="M5976" s="10">
        <v>1</v>
      </c>
      <c r="N5976" s="10"/>
      <c r="O5976" s="10"/>
      <c r="P5976" s="10" t="s">
        <v>30055</v>
      </c>
      <c r="Q5976" s="10" t="s">
        <v>7069</v>
      </c>
      <c r="R5976" s="10"/>
      <c r="S5976" s="10" t="s">
        <v>53</v>
      </c>
      <c r="T5976" s="10" t="s">
        <v>54</v>
      </c>
    </row>
    <row r="5977" spans="1:20" ht="14.5" x14ac:dyDescent="0.35">
      <c r="A5977" s="10" t="s">
        <v>30056</v>
      </c>
      <c r="B5977" s="10" t="str">
        <f>"9781412970501"</f>
        <v>9781412970501</v>
      </c>
      <c r="C5977" s="10" t="str">
        <f>"9781452211701"</f>
        <v>9781452211701</v>
      </c>
      <c r="D5977" s="10" t="s">
        <v>22210</v>
      </c>
      <c r="E5977" s="10" t="s">
        <v>22211</v>
      </c>
      <c r="F5977" s="10" t="s">
        <v>333</v>
      </c>
      <c r="G5977" s="10" t="s">
        <v>6317</v>
      </c>
      <c r="H5977" s="11">
        <v>40130</v>
      </c>
      <c r="I5977" s="10">
        <v>2010</v>
      </c>
      <c r="J5977" s="10" t="s">
        <v>22211</v>
      </c>
      <c r="K5977" s="10">
        <v>161</v>
      </c>
      <c r="L5977" s="10" t="s">
        <v>15901</v>
      </c>
      <c r="M5977" s="10">
        <v>1</v>
      </c>
      <c r="N5977" s="10"/>
      <c r="O5977" s="10"/>
      <c r="P5977" s="10" t="s">
        <v>30057</v>
      </c>
      <c r="Q5977" s="10">
        <v>371.20119999999997</v>
      </c>
      <c r="R5977" s="10" t="s">
        <v>30058</v>
      </c>
      <c r="S5977" s="10" t="s">
        <v>53</v>
      </c>
      <c r="T5977" s="10" t="s">
        <v>54</v>
      </c>
    </row>
    <row r="5978" spans="1:20" ht="14.5" x14ac:dyDescent="0.35">
      <c r="A5978" s="10" t="s">
        <v>30059</v>
      </c>
      <c r="B5978" s="10" t="str">
        <f>"9781412973878"</f>
        <v>9781412973878</v>
      </c>
      <c r="C5978" s="10" t="str">
        <f>"9781452212067"</f>
        <v>9781452212067</v>
      </c>
      <c r="D5978" s="10" t="s">
        <v>22210</v>
      </c>
      <c r="E5978" s="10" t="s">
        <v>22211</v>
      </c>
      <c r="F5978" s="10" t="s">
        <v>333</v>
      </c>
      <c r="G5978" s="10" t="s">
        <v>6317</v>
      </c>
      <c r="H5978" s="11">
        <v>39966</v>
      </c>
      <c r="I5978" s="10">
        <v>2009</v>
      </c>
      <c r="J5978" s="10" t="s">
        <v>22211</v>
      </c>
      <c r="K5978" s="10">
        <v>153</v>
      </c>
      <c r="L5978" s="10" t="s">
        <v>22356</v>
      </c>
      <c r="M5978" s="10">
        <v>1</v>
      </c>
      <c r="N5978" s="10"/>
      <c r="O5978" s="10"/>
      <c r="P5978" s="10" t="s">
        <v>30060</v>
      </c>
      <c r="Q5978" s="10" t="s">
        <v>9954</v>
      </c>
      <c r="R5978" s="10" t="s">
        <v>30061</v>
      </c>
      <c r="S5978" s="10" t="s">
        <v>53</v>
      </c>
      <c r="T5978" s="10" t="s">
        <v>54</v>
      </c>
    </row>
    <row r="5979" spans="1:20" ht="14.5" x14ac:dyDescent="0.35">
      <c r="A5979" s="10" t="s">
        <v>30062</v>
      </c>
      <c r="B5979" s="10" t="str">
        <f>"9781412978705"</f>
        <v>9781412978705</v>
      </c>
      <c r="C5979" s="10" t="str">
        <f>"9781452212197"</f>
        <v>9781452212197</v>
      </c>
      <c r="D5979" s="10" t="s">
        <v>22210</v>
      </c>
      <c r="E5979" s="10" t="s">
        <v>22211</v>
      </c>
      <c r="F5979" s="10" t="s">
        <v>333</v>
      </c>
      <c r="G5979" s="10" t="s">
        <v>6317</v>
      </c>
      <c r="H5979" s="11">
        <v>40107</v>
      </c>
      <c r="I5979" s="10">
        <v>2010</v>
      </c>
      <c r="J5979" s="10" t="s">
        <v>22211</v>
      </c>
      <c r="K5979" s="10">
        <v>153</v>
      </c>
      <c r="L5979" s="10" t="s">
        <v>25794</v>
      </c>
      <c r="M5979" s="10">
        <v>1</v>
      </c>
      <c r="N5979" s="10"/>
      <c r="O5979" s="10"/>
      <c r="P5979" s="10" t="s">
        <v>30063</v>
      </c>
      <c r="Q5979" s="10" t="s">
        <v>8460</v>
      </c>
      <c r="R5979" s="10" t="s">
        <v>27573</v>
      </c>
      <c r="S5979" s="10" t="s">
        <v>53</v>
      </c>
      <c r="T5979" s="10" t="s">
        <v>54</v>
      </c>
    </row>
    <row r="5980" spans="1:20" ht="14.5" x14ac:dyDescent="0.35">
      <c r="A5980" s="10" t="s">
        <v>30064</v>
      </c>
      <c r="B5980" s="10" t="str">
        <f>"9781412949361"</f>
        <v>9781412949361</v>
      </c>
      <c r="C5980" s="10" t="str">
        <f>"9781452212234"</f>
        <v>9781452212234</v>
      </c>
      <c r="D5980" s="10" t="s">
        <v>22210</v>
      </c>
      <c r="E5980" s="10" t="s">
        <v>22211</v>
      </c>
      <c r="F5980" s="10" t="s">
        <v>333</v>
      </c>
      <c r="G5980" s="10" t="s">
        <v>6317</v>
      </c>
      <c r="H5980" s="11">
        <v>39938</v>
      </c>
      <c r="I5980" s="10">
        <v>2009</v>
      </c>
      <c r="J5980" s="10" t="s">
        <v>22211</v>
      </c>
      <c r="K5980" s="10">
        <v>201</v>
      </c>
      <c r="L5980" s="10" t="s">
        <v>25449</v>
      </c>
      <c r="M5980" s="10">
        <v>1</v>
      </c>
      <c r="N5980" s="10" t="s">
        <v>23158</v>
      </c>
      <c r="O5980" s="10"/>
      <c r="P5980" s="10" t="s">
        <v>30065</v>
      </c>
      <c r="Q5980" s="10">
        <v>371.2</v>
      </c>
      <c r="R5980" s="10"/>
      <c r="S5980" s="10" t="s">
        <v>53</v>
      </c>
      <c r="T5980" s="10" t="s">
        <v>54</v>
      </c>
    </row>
    <row r="5981" spans="1:20" ht="14.5" x14ac:dyDescent="0.35">
      <c r="A5981" s="10" t="s">
        <v>30066</v>
      </c>
      <c r="B5981" s="10" t="str">
        <f>"9781412976534"</f>
        <v>9781412976534</v>
      </c>
      <c r="C5981" s="10" t="str">
        <f>"9781452212425"</f>
        <v>9781452212425</v>
      </c>
      <c r="D5981" s="10" t="s">
        <v>22210</v>
      </c>
      <c r="E5981" s="10" t="s">
        <v>22211</v>
      </c>
      <c r="F5981" s="10" t="s">
        <v>333</v>
      </c>
      <c r="G5981" s="10" t="s">
        <v>6317</v>
      </c>
      <c r="H5981" s="11">
        <v>40282</v>
      </c>
      <c r="I5981" s="10">
        <v>2010</v>
      </c>
      <c r="J5981" s="10" t="s">
        <v>22211</v>
      </c>
      <c r="K5981" s="10">
        <v>217</v>
      </c>
      <c r="L5981" s="10" t="s">
        <v>30067</v>
      </c>
      <c r="M5981" s="10">
        <v>1</v>
      </c>
      <c r="N5981" s="10"/>
      <c r="O5981" s="10"/>
      <c r="P5981" s="10" t="s">
        <v>30068</v>
      </c>
      <c r="Q5981" s="10">
        <v>818.30899999999997</v>
      </c>
      <c r="R5981" s="10" t="s">
        <v>30069</v>
      </c>
      <c r="S5981" s="10" t="s">
        <v>53</v>
      </c>
      <c r="T5981" s="10" t="s">
        <v>10454</v>
      </c>
    </row>
    <row r="5982" spans="1:20" ht="14.5" x14ac:dyDescent="0.35">
      <c r="A5982" s="10" t="s">
        <v>30070</v>
      </c>
      <c r="B5982" s="10" t="str">
        <f>"9781412915847"</f>
        <v>9781412915847</v>
      </c>
      <c r="C5982" s="10" t="str">
        <f>"9781452212487"</f>
        <v>9781452212487</v>
      </c>
      <c r="D5982" s="10" t="s">
        <v>22210</v>
      </c>
      <c r="E5982" s="10" t="s">
        <v>22211</v>
      </c>
      <c r="F5982" s="10" t="s">
        <v>333</v>
      </c>
      <c r="G5982" s="10" t="s">
        <v>6317</v>
      </c>
      <c r="H5982" s="11">
        <v>38547</v>
      </c>
      <c r="I5982" s="10">
        <v>2006</v>
      </c>
      <c r="J5982" s="10" t="s">
        <v>22211</v>
      </c>
      <c r="K5982" s="10">
        <v>217</v>
      </c>
      <c r="L5982" s="10" t="s">
        <v>25036</v>
      </c>
      <c r="M5982" s="10">
        <v>2</v>
      </c>
      <c r="N5982" s="10"/>
      <c r="O5982" s="10"/>
      <c r="P5982" s="10" t="s">
        <v>30071</v>
      </c>
      <c r="Q5982" s="10" t="s">
        <v>8587</v>
      </c>
      <c r="R5982" s="10"/>
      <c r="S5982" s="10" t="s">
        <v>53</v>
      </c>
      <c r="T5982" s="10" t="s">
        <v>54</v>
      </c>
    </row>
    <row r="5983" spans="1:20" ht="14.5" x14ac:dyDescent="0.35">
      <c r="A5983" s="10" t="s">
        <v>30072</v>
      </c>
      <c r="B5983" s="10" t="str">
        <f>"9781412925808"</f>
        <v>9781412925808</v>
      </c>
      <c r="C5983" s="10" t="str">
        <f>"9781452212555"</f>
        <v>9781452212555</v>
      </c>
      <c r="D5983" s="10" t="s">
        <v>22210</v>
      </c>
      <c r="E5983" s="10" t="s">
        <v>22211</v>
      </c>
      <c r="F5983" s="10" t="s">
        <v>333</v>
      </c>
      <c r="G5983" s="10" t="s">
        <v>6317</v>
      </c>
      <c r="H5983" s="11">
        <v>38611</v>
      </c>
      <c r="I5983" s="10">
        <v>2006</v>
      </c>
      <c r="J5983" s="10" t="s">
        <v>22211</v>
      </c>
      <c r="K5983" s="10">
        <v>209</v>
      </c>
      <c r="L5983" s="10" t="s">
        <v>30073</v>
      </c>
      <c r="M5983" s="10">
        <v>1</v>
      </c>
      <c r="N5983" s="10"/>
      <c r="O5983" s="10"/>
      <c r="P5983" s="10" t="s">
        <v>30074</v>
      </c>
      <c r="Q5983" s="10">
        <v>371.78199999999998</v>
      </c>
      <c r="R5983" s="10"/>
      <c r="S5983" s="10" t="s">
        <v>53</v>
      </c>
      <c r="T5983" s="10" t="s">
        <v>54</v>
      </c>
    </row>
    <row r="5984" spans="1:20" ht="14.5" x14ac:dyDescent="0.35">
      <c r="A5984" s="10" t="s">
        <v>30075</v>
      </c>
      <c r="B5984" s="10" t="str">
        <f>"9781412975421"</f>
        <v>9781412975421</v>
      </c>
      <c r="C5984" s="10" t="str">
        <f>"9781452213040"</f>
        <v>9781452213040</v>
      </c>
      <c r="D5984" s="10" t="s">
        <v>22210</v>
      </c>
      <c r="E5984" s="10" t="s">
        <v>22211</v>
      </c>
      <c r="F5984" s="10" t="s">
        <v>333</v>
      </c>
      <c r="G5984" s="10" t="s">
        <v>6317</v>
      </c>
      <c r="H5984" s="11">
        <v>40060</v>
      </c>
      <c r="I5984" s="10">
        <v>2009</v>
      </c>
      <c r="J5984" s="10" t="s">
        <v>22211</v>
      </c>
      <c r="K5984" s="10">
        <v>137</v>
      </c>
      <c r="L5984" s="10" t="s">
        <v>30076</v>
      </c>
      <c r="M5984" s="10">
        <v>1</v>
      </c>
      <c r="N5984" s="10" t="s">
        <v>27682</v>
      </c>
      <c r="O5984" s="10"/>
      <c r="P5984" s="10" t="s">
        <v>30077</v>
      </c>
      <c r="Q5984" s="10">
        <v>371.26</v>
      </c>
      <c r="R5984" s="10" t="s">
        <v>30078</v>
      </c>
      <c r="S5984" s="10" t="s">
        <v>53</v>
      </c>
      <c r="T5984" s="10" t="s">
        <v>54</v>
      </c>
    </row>
    <row r="5985" spans="1:20" ht="14.5" x14ac:dyDescent="0.35">
      <c r="A5985" s="10" t="s">
        <v>30079</v>
      </c>
      <c r="B5985" s="10" t="str">
        <f>"9781412974998"</f>
        <v>9781412974998</v>
      </c>
      <c r="C5985" s="10" t="str">
        <f>"9781452213101"</f>
        <v>9781452213101</v>
      </c>
      <c r="D5985" s="10" t="s">
        <v>22210</v>
      </c>
      <c r="E5985" s="10" t="s">
        <v>22211</v>
      </c>
      <c r="F5985" s="10" t="s">
        <v>333</v>
      </c>
      <c r="G5985" s="10" t="s">
        <v>6317</v>
      </c>
      <c r="H5985" s="11">
        <v>40133</v>
      </c>
      <c r="I5985" s="10">
        <v>2010</v>
      </c>
      <c r="J5985" s="10" t="s">
        <v>22211</v>
      </c>
      <c r="K5985" s="10">
        <v>201</v>
      </c>
      <c r="L5985" s="10" t="s">
        <v>27750</v>
      </c>
      <c r="M5985" s="10">
        <v>1</v>
      </c>
      <c r="N5985" s="10"/>
      <c r="O5985" s="10"/>
      <c r="P5985" s="10" t="s">
        <v>30080</v>
      </c>
      <c r="Q5985" s="10" t="s">
        <v>15602</v>
      </c>
      <c r="R5985" s="10" t="s">
        <v>30081</v>
      </c>
      <c r="S5985" s="10" t="s">
        <v>53</v>
      </c>
      <c r="T5985" s="10" t="s">
        <v>54</v>
      </c>
    </row>
    <row r="5986" spans="1:20" ht="14.5" x14ac:dyDescent="0.35">
      <c r="A5986" s="10" t="s">
        <v>30082</v>
      </c>
      <c r="B5986" s="10" t="str">
        <f>"9781412986663"</f>
        <v>9781412986663</v>
      </c>
      <c r="C5986" s="10" t="str">
        <f>"9781452213149"</f>
        <v>9781452213149</v>
      </c>
      <c r="D5986" s="10" t="s">
        <v>22210</v>
      </c>
      <c r="E5986" s="10" t="s">
        <v>22211</v>
      </c>
      <c r="F5986" s="10" t="s">
        <v>333</v>
      </c>
      <c r="G5986" s="10" t="s">
        <v>6317</v>
      </c>
      <c r="H5986" s="11">
        <v>40345</v>
      </c>
      <c r="I5986" s="10">
        <v>2010</v>
      </c>
      <c r="J5986" s="10" t="s">
        <v>22211</v>
      </c>
      <c r="K5986" s="10">
        <v>193</v>
      </c>
      <c r="L5986" s="10" t="s">
        <v>30083</v>
      </c>
      <c r="M5986" s="10">
        <v>1</v>
      </c>
      <c r="N5986" s="10"/>
      <c r="O5986" s="10"/>
      <c r="P5986" s="10" t="s">
        <v>30084</v>
      </c>
      <c r="Q5986" s="10" t="s">
        <v>30085</v>
      </c>
      <c r="R5986" s="10" t="s">
        <v>30086</v>
      </c>
      <c r="S5986" s="10" t="s">
        <v>53</v>
      </c>
      <c r="T5986" s="10" t="s">
        <v>54</v>
      </c>
    </row>
    <row r="5987" spans="1:20" ht="14.5" x14ac:dyDescent="0.35">
      <c r="A5987" s="10" t="s">
        <v>30087</v>
      </c>
      <c r="B5987" s="10" t="str">
        <f>"9781412970952"</f>
        <v>9781412970952</v>
      </c>
      <c r="C5987" s="10" t="str">
        <f>"9781452213347"</f>
        <v>9781452213347</v>
      </c>
      <c r="D5987" s="10" t="s">
        <v>22210</v>
      </c>
      <c r="E5987" s="10" t="s">
        <v>22211</v>
      </c>
      <c r="F5987" s="10" t="s">
        <v>333</v>
      </c>
      <c r="G5987" s="10" t="s">
        <v>6317</v>
      </c>
      <c r="H5987" s="11">
        <v>39917</v>
      </c>
      <c r="I5987" s="10">
        <v>2009</v>
      </c>
      <c r="J5987" s="10" t="s">
        <v>22211</v>
      </c>
      <c r="K5987" s="10">
        <v>153</v>
      </c>
      <c r="L5987" s="10" t="s">
        <v>30088</v>
      </c>
      <c r="M5987" s="10">
        <v>1</v>
      </c>
      <c r="N5987" s="10"/>
      <c r="O5987" s="10"/>
      <c r="P5987" s="10" t="s">
        <v>30089</v>
      </c>
      <c r="Q5987" s="10">
        <v>372.21</v>
      </c>
      <c r="R5987" s="10" t="s">
        <v>30090</v>
      </c>
      <c r="S5987" s="10" t="s">
        <v>53</v>
      </c>
      <c r="T5987" s="10" t="s">
        <v>54</v>
      </c>
    </row>
    <row r="5988" spans="1:20" ht="14.5" x14ac:dyDescent="0.35">
      <c r="A5988" s="10" t="s">
        <v>30091</v>
      </c>
      <c r="B5988" s="10" t="str">
        <f>"9781412957229"</f>
        <v>9781412957229</v>
      </c>
      <c r="C5988" s="10" t="str">
        <f>"9781452213439"</f>
        <v>9781452213439</v>
      </c>
      <c r="D5988" s="10" t="s">
        <v>22210</v>
      </c>
      <c r="E5988" s="10" t="s">
        <v>22211</v>
      </c>
      <c r="F5988" s="10" t="s">
        <v>333</v>
      </c>
      <c r="G5988" s="10" t="s">
        <v>6317</v>
      </c>
      <c r="H5988" s="11">
        <v>40087</v>
      </c>
      <c r="I5988" s="10">
        <v>2009</v>
      </c>
      <c r="J5988" s="10" t="s">
        <v>22211</v>
      </c>
      <c r="K5988" s="10">
        <v>153</v>
      </c>
      <c r="L5988" s="10" t="s">
        <v>23223</v>
      </c>
      <c r="M5988" s="10">
        <v>1</v>
      </c>
      <c r="N5988" s="10"/>
      <c r="O5988" s="10"/>
      <c r="P5988" s="10" t="s">
        <v>30092</v>
      </c>
      <c r="Q5988" s="10" t="s">
        <v>30093</v>
      </c>
      <c r="R5988" s="10" t="s">
        <v>30094</v>
      </c>
      <c r="S5988" s="10" t="s">
        <v>53</v>
      </c>
      <c r="T5988" s="10" t="s">
        <v>54</v>
      </c>
    </row>
    <row r="5989" spans="1:20" ht="14.5" x14ac:dyDescent="0.35">
      <c r="A5989" s="10" t="s">
        <v>30095</v>
      </c>
      <c r="B5989" s="10" t="str">
        <f>"9781412965392"</f>
        <v>9781412965392</v>
      </c>
      <c r="C5989" s="10" t="str">
        <f>"9781452213514"</f>
        <v>9781452213514</v>
      </c>
      <c r="D5989" s="10" t="s">
        <v>22210</v>
      </c>
      <c r="E5989" s="10" t="s">
        <v>22211</v>
      </c>
      <c r="F5989" s="10" t="s">
        <v>333</v>
      </c>
      <c r="G5989" s="10" t="s">
        <v>6317</v>
      </c>
      <c r="H5989" s="11">
        <v>40115</v>
      </c>
      <c r="I5989" s="10">
        <v>2010</v>
      </c>
      <c r="J5989" s="10" t="s">
        <v>22211</v>
      </c>
      <c r="K5989" s="10">
        <v>241</v>
      </c>
      <c r="L5989" s="10" t="s">
        <v>30096</v>
      </c>
      <c r="M5989" s="10">
        <v>1</v>
      </c>
      <c r="N5989" s="10"/>
      <c r="O5989" s="10"/>
      <c r="P5989" s="10" t="s">
        <v>30097</v>
      </c>
      <c r="Q5989" s="10">
        <v>300.70999999999998</v>
      </c>
      <c r="R5989" s="10" t="s">
        <v>30098</v>
      </c>
      <c r="S5989" s="10" t="s">
        <v>53</v>
      </c>
      <c r="T5989" s="10" t="s">
        <v>6526</v>
      </c>
    </row>
    <row r="5990" spans="1:20" ht="14.5" x14ac:dyDescent="0.35">
      <c r="A5990" s="10" t="s">
        <v>30099</v>
      </c>
      <c r="B5990" s="10" t="str">
        <f>"9781412961172"</f>
        <v>9781412961172</v>
      </c>
      <c r="C5990" s="10" t="str">
        <f>"9781452213545"</f>
        <v>9781452213545</v>
      </c>
      <c r="D5990" s="10" t="s">
        <v>22210</v>
      </c>
      <c r="E5990" s="10" t="s">
        <v>22211</v>
      </c>
      <c r="F5990" s="10" t="s">
        <v>333</v>
      </c>
      <c r="G5990" s="10" t="s">
        <v>6317</v>
      </c>
      <c r="H5990" s="11">
        <v>40004</v>
      </c>
      <c r="I5990" s="10">
        <v>2009</v>
      </c>
      <c r="J5990" s="10" t="s">
        <v>22211</v>
      </c>
      <c r="K5990" s="10">
        <v>177</v>
      </c>
      <c r="L5990" s="10" t="s">
        <v>23588</v>
      </c>
      <c r="M5990" s="10">
        <v>1</v>
      </c>
      <c r="N5990" s="10"/>
      <c r="O5990" s="10"/>
      <c r="P5990" s="10" t="s">
        <v>30100</v>
      </c>
      <c r="Q5990" s="10" t="s">
        <v>8460</v>
      </c>
      <c r="R5990" s="10" t="s">
        <v>30101</v>
      </c>
      <c r="S5990" s="10" t="s">
        <v>53</v>
      </c>
      <c r="T5990" s="10" t="s">
        <v>54</v>
      </c>
    </row>
    <row r="5991" spans="1:20" ht="14.5" x14ac:dyDescent="0.35">
      <c r="A5991" s="10" t="s">
        <v>30102</v>
      </c>
      <c r="B5991" s="10" t="str">
        <f>"9781412928069"</f>
        <v>9781412928069</v>
      </c>
      <c r="C5991" s="10" t="str">
        <f>"9781452213682"</f>
        <v>9781452213682</v>
      </c>
      <c r="D5991" s="10" t="s">
        <v>22210</v>
      </c>
      <c r="E5991" s="10" t="s">
        <v>22211</v>
      </c>
      <c r="F5991" s="10" t="s">
        <v>333</v>
      </c>
      <c r="G5991" s="10" t="s">
        <v>6317</v>
      </c>
      <c r="H5991" s="11">
        <v>39938</v>
      </c>
      <c r="I5991" s="10">
        <v>2009</v>
      </c>
      <c r="J5991" s="10" t="s">
        <v>22211</v>
      </c>
      <c r="K5991" s="10">
        <v>345</v>
      </c>
      <c r="L5991" s="10" t="s">
        <v>30103</v>
      </c>
      <c r="M5991" s="10">
        <v>1</v>
      </c>
      <c r="N5991" s="10"/>
      <c r="O5991" s="10"/>
      <c r="P5991" s="10" t="s">
        <v>30104</v>
      </c>
      <c r="Q5991" s="10">
        <v>371.20699999999999</v>
      </c>
      <c r="R5991" s="10" t="s">
        <v>30105</v>
      </c>
      <c r="S5991" s="10" t="s">
        <v>53</v>
      </c>
      <c r="T5991" s="10" t="s">
        <v>54</v>
      </c>
    </row>
    <row r="5992" spans="1:20" ht="14.5" x14ac:dyDescent="0.35">
      <c r="A5992" s="10" t="s">
        <v>30106</v>
      </c>
      <c r="B5992" s="10" t="str">
        <f>"9781412980500"</f>
        <v>9781412980500</v>
      </c>
      <c r="C5992" s="10" t="str">
        <f>"9781452213781"</f>
        <v>9781452213781</v>
      </c>
      <c r="D5992" s="10" t="s">
        <v>22210</v>
      </c>
      <c r="E5992" s="10" t="s">
        <v>22211</v>
      </c>
      <c r="F5992" s="10" t="s">
        <v>333</v>
      </c>
      <c r="G5992" s="10" t="s">
        <v>6317</v>
      </c>
      <c r="H5992" s="11">
        <v>40184</v>
      </c>
      <c r="I5992" s="10">
        <v>2010</v>
      </c>
      <c r="J5992" s="10" t="s">
        <v>22211</v>
      </c>
      <c r="K5992" s="10">
        <v>161</v>
      </c>
      <c r="L5992" s="10" t="s">
        <v>22356</v>
      </c>
      <c r="M5992" s="10">
        <v>1</v>
      </c>
      <c r="N5992" s="10"/>
      <c r="O5992" s="10"/>
      <c r="P5992" s="10" t="s">
        <v>30107</v>
      </c>
      <c r="Q5992" s="10">
        <v>371.10199999999998</v>
      </c>
      <c r="R5992" s="10" t="s">
        <v>30108</v>
      </c>
      <c r="S5992" s="10" t="s">
        <v>53</v>
      </c>
      <c r="T5992" s="10" t="s">
        <v>54</v>
      </c>
    </row>
    <row r="5993" spans="1:20" ht="14.5" x14ac:dyDescent="0.35">
      <c r="A5993" s="10" t="s">
        <v>30109</v>
      </c>
      <c r="B5993" s="10" t="str">
        <f>"9781412963428"</f>
        <v>9781412963428</v>
      </c>
      <c r="C5993" s="10" t="str">
        <f>"9781452213842"</f>
        <v>9781452213842</v>
      </c>
      <c r="D5993" s="10" t="s">
        <v>22210</v>
      </c>
      <c r="E5993" s="10" t="s">
        <v>22211</v>
      </c>
      <c r="F5993" s="10" t="s">
        <v>333</v>
      </c>
      <c r="G5993" s="10" t="s">
        <v>6317</v>
      </c>
      <c r="H5993" s="11">
        <v>40246</v>
      </c>
      <c r="I5993" s="10">
        <v>2010</v>
      </c>
      <c r="J5993" s="10" t="s">
        <v>22211</v>
      </c>
      <c r="K5993" s="10">
        <v>201</v>
      </c>
      <c r="L5993" s="10" t="s">
        <v>23274</v>
      </c>
      <c r="M5993" s="10">
        <v>1</v>
      </c>
      <c r="N5993" s="10"/>
      <c r="O5993" s="10"/>
      <c r="P5993" s="10" t="s">
        <v>30110</v>
      </c>
      <c r="Q5993" s="10"/>
      <c r="R5993" s="10"/>
      <c r="S5993" s="10" t="s">
        <v>53</v>
      </c>
      <c r="T5993" s="10" t="s">
        <v>54</v>
      </c>
    </row>
    <row r="5994" spans="1:20" ht="14.5" x14ac:dyDescent="0.35">
      <c r="A5994" s="10" t="s">
        <v>30111</v>
      </c>
      <c r="B5994" s="10" t="str">
        <f>"9781412974226"</f>
        <v>9781412974226</v>
      </c>
      <c r="C5994" s="10" t="str">
        <f>"9781452213927"</f>
        <v>9781452213927</v>
      </c>
      <c r="D5994" s="10" t="s">
        <v>22210</v>
      </c>
      <c r="E5994" s="10" t="s">
        <v>22211</v>
      </c>
      <c r="F5994" s="10" t="s">
        <v>333</v>
      </c>
      <c r="G5994" s="10" t="s">
        <v>6317</v>
      </c>
      <c r="H5994" s="11">
        <v>40108</v>
      </c>
      <c r="I5994" s="10">
        <v>2010</v>
      </c>
      <c r="J5994" s="10" t="s">
        <v>22211</v>
      </c>
      <c r="K5994" s="10">
        <v>185</v>
      </c>
      <c r="L5994" s="10" t="s">
        <v>30112</v>
      </c>
      <c r="M5994" s="10">
        <v>1</v>
      </c>
      <c r="N5994" s="10"/>
      <c r="O5994" s="10"/>
      <c r="P5994" s="10" t="s">
        <v>30113</v>
      </c>
      <c r="Q5994" s="10">
        <v>372.21</v>
      </c>
      <c r="R5994" s="10" t="s">
        <v>30114</v>
      </c>
      <c r="S5994" s="10" t="s">
        <v>53</v>
      </c>
      <c r="T5994" s="10" t="s">
        <v>54</v>
      </c>
    </row>
    <row r="5995" spans="1:20" ht="14.5" x14ac:dyDescent="0.35">
      <c r="A5995" s="10" t="s">
        <v>30115</v>
      </c>
      <c r="B5995" s="10" t="str">
        <f>"9781412963275"</f>
        <v>9781412963275</v>
      </c>
      <c r="C5995" s="10" t="str">
        <f>"9781452214276"</f>
        <v>9781452214276</v>
      </c>
      <c r="D5995" s="10" t="s">
        <v>22210</v>
      </c>
      <c r="E5995" s="10" t="s">
        <v>22211</v>
      </c>
      <c r="F5995" s="10" t="s">
        <v>333</v>
      </c>
      <c r="G5995" s="10" t="s">
        <v>6317</v>
      </c>
      <c r="H5995" s="11">
        <v>40101</v>
      </c>
      <c r="I5995" s="10">
        <v>2010</v>
      </c>
      <c r="J5995" s="10" t="s">
        <v>22211</v>
      </c>
      <c r="K5995" s="10">
        <v>209</v>
      </c>
      <c r="L5995" s="10" t="s">
        <v>30116</v>
      </c>
      <c r="M5995" s="10">
        <v>1</v>
      </c>
      <c r="N5995" s="10"/>
      <c r="O5995" s="10"/>
      <c r="P5995" s="10" t="s">
        <v>30117</v>
      </c>
      <c r="Q5995" s="10">
        <v>371.30281000000002</v>
      </c>
      <c r="R5995" s="10" t="s">
        <v>30118</v>
      </c>
      <c r="S5995" s="10" t="s">
        <v>53</v>
      </c>
      <c r="T5995" s="10" t="s">
        <v>54</v>
      </c>
    </row>
    <row r="5996" spans="1:20" ht="14.5" x14ac:dyDescent="0.35">
      <c r="A5996" s="10" t="s">
        <v>30119</v>
      </c>
      <c r="B5996" s="10" t="str">
        <f>"9781412971287"</f>
        <v>9781412971287</v>
      </c>
      <c r="C5996" s="10" t="str">
        <f>"9781452214368"</f>
        <v>9781452214368</v>
      </c>
      <c r="D5996" s="10" t="s">
        <v>22210</v>
      </c>
      <c r="E5996" s="10" t="s">
        <v>22211</v>
      </c>
      <c r="F5996" s="10" t="s">
        <v>333</v>
      </c>
      <c r="G5996" s="10" t="s">
        <v>6317</v>
      </c>
      <c r="H5996" s="11">
        <v>39954</v>
      </c>
      <c r="I5996" s="10">
        <v>2009</v>
      </c>
      <c r="J5996" s="10" t="s">
        <v>22211</v>
      </c>
      <c r="K5996" s="10">
        <v>249</v>
      </c>
      <c r="L5996" s="10" t="s">
        <v>30120</v>
      </c>
      <c r="M5996" s="10">
        <v>2</v>
      </c>
      <c r="N5996" s="10"/>
      <c r="O5996" s="10"/>
      <c r="P5996" s="10" t="s">
        <v>30121</v>
      </c>
      <c r="Q5996" s="10"/>
      <c r="R5996" s="10"/>
      <c r="S5996" s="10" t="s">
        <v>53</v>
      </c>
      <c r="T5996" s="10" t="s">
        <v>54</v>
      </c>
    </row>
    <row r="5997" spans="1:20" ht="14.5" x14ac:dyDescent="0.35">
      <c r="A5997" s="10" t="s">
        <v>30122</v>
      </c>
      <c r="B5997" s="10" t="str">
        <f>"9781412963800"</f>
        <v>9781412963800</v>
      </c>
      <c r="C5997" s="10" t="str">
        <f>"9781452214405"</f>
        <v>9781452214405</v>
      </c>
      <c r="D5997" s="10" t="s">
        <v>22210</v>
      </c>
      <c r="E5997" s="10" t="s">
        <v>22211</v>
      </c>
      <c r="F5997" s="10" t="s">
        <v>333</v>
      </c>
      <c r="G5997" s="10" t="s">
        <v>6317</v>
      </c>
      <c r="H5997" s="11">
        <v>40050</v>
      </c>
      <c r="I5997" s="10">
        <v>2009</v>
      </c>
      <c r="J5997" s="10" t="s">
        <v>22211</v>
      </c>
      <c r="K5997" s="10">
        <v>193</v>
      </c>
      <c r="L5997" s="10" t="s">
        <v>30123</v>
      </c>
      <c r="M5997" s="10">
        <v>1</v>
      </c>
      <c r="N5997" s="10"/>
      <c r="O5997" s="10"/>
      <c r="P5997" s="10" t="s">
        <v>30124</v>
      </c>
      <c r="Q5997" s="10" t="s">
        <v>30125</v>
      </c>
      <c r="R5997" s="10" t="s">
        <v>30126</v>
      </c>
      <c r="S5997" s="10" t="s">
        <v>53</v>
      </c>
      <c r="T5997" s="10" t="s">
        <v>54</v>
      </c>
    </row>
    <row r="5998" spans="1:20" ht="14.5" x14ac:dyDescent="0.35">
      <c r="A5998" s="10" t="s">
        <v>30127</v>
      </c>
      <c r="B5998" s="10" t="str">
        <f>"9781412968690"</f>
        <v>9781412968690</v>
      </c>
      <c r="C5998" s="10" t="str">
        <f>"9781452214412"</f>
        <v>9781452214412</v>
      </c>
      <c r="D5998" s="10" t="s">
        <v>22210</v>
      </c>
      <c r="E5998" s="10" t="s">
        <v>22211</v>
      </c>
      <c r="F5998" s="10" t="s">
        <v>333</v>
      </c>
      <c r="G5998" s="10" t="s">
        <v>6317</v>
      </c>
      <c r="H5998" s="11">
        <v>40130</v>
      </c>
      <c r="I5998" s="10">
        <v>2010</v>
      </c>
      <c r="J5998" s="10" t="s">
        <v>22211</v>
      </c>
      <c r="K5998" s="10">
        <v>217</v>
      </c>
      <c r="L5998" s="10" t="s">
        <v>30128</v>
      </c>
      <c r="M5998" s="10">
        <v>1</v>
      </c>
      <c r="N5998" s="10"/>
      <c r="O5998" s="10"/>
      <c r="P5998" s="10" t="s">
        <v>30129</v>
      </c>
      <c r="Q5998" s="10"/>
      <c r="R5998" s="10"/>
      <c r="S5998" s="10" t="s">
        <v>53</v>
      </c>
      <c r="T5998" s="10" t="s">
        <v>54</v>
      </c>
    </row>
    <row r="5999" spans="1:20" ht="14.5" x14ac:dyDescent="0.35">
      <c r="A5999" s="10" t="s">
        <v>30130</v>
      </c>
      <c r="B5999" s="10" t="str">
        <f>"9781412963442"</f>
        <v>9781412963442</v>
      </c>
      <c r="C5999" s="10" t="str">
        <f>"9781452214429"</f>
        <v>9781452214429</v>
      </c>
      <c r="D5999" s="10" t="s">
        <v>22210</v>
      </c>
      <c r="E5999" s="10" t="s">
        <v>22211</v>
      </c>
      <c r="F5999" s="10" t="s">
        <v>333</v>
      </c>
      <c r="G5999" s="10" t="s">
        <v>6317</v>
      </c>
      <c r="H5999" s="11">
        <v>40294</v>
      </c>
      <c r="I5999" s="10">
        <v>2010</v>
      </c>
      <c r="J5999" s="10" t="s">
        <v>22211</v>
      </c>
      <c r="K5999" s="10">
        <v>225</v>
      </c>
      <c r="L5999" s="10" t="s">
        <v>23274</v>
      </c>
      <c r="M5999" s="10">
        <v>1</v>
      </c>
      <c r="N5999" s="10"/>
      <c r="O5999" s="10"/>
      <c r="P5999" s="10" t="s">
        <v>30131</v>
      </c>
      <c r="Q5999" s="10">
        <v>373.11020000000002</v>
      </c>
      <c r="R5999" s="10" t="s">
        <v>30132</v>
      </c>
      <c r="S5999" s="10" t="s">
        <v>53</v>
      </c>
      <c r="T5999" s="10" t="s">
        <v>54</v>
      </c>
    </row>
    <row r="6000" spans="1:20" ht="14.5" x14ac:dyDescent="0.35">
      <c r="A6000" s="10" t="s">
        <v>30133</v>
      </c>
      <c r="B6000" s="10" t="str">
        <f>"9781412962711"</f>
        <v>9781412962711</v>
      </c>
      <c r="C6000" s="10" t="str">
        <f>"9781452214443"</f>
        <v>9781452214443</v>
      </c>
      <c r="D6000" s="10" t="s">
        <v>22210</v>
      </c>
      <c r="E6000" s="10" t="s">
        <v>22211</v>
      </c>
      <c r="F6000" s="10" t="s">
        <v>333</v>
      </c>
      <c r="G6000" s="10" t="s">
        <v>6317</v>
      </c>
      <c r="H6000" s="11">
        <v>40430</v>
      </c>
      <c r="I6000" s="10">
        <v>2010</v>
      </c>
      <c r="J6000" s="10" t="s">
        <v>22211</v>
      </c>
      <c r="K6000" s="10">
        <v>201</v>
      </c>
      <c r="L6000" s="10" t="s">
        <v>30134</v>
      </c>
      <c r="M6000" s="10">
        <v>1</v>
      </c>
      <c r="N6000" s="10"/>
      <c r="O6000" s="10"/>
      <c r="P6000" s="10" t="s">
        <v>30135</v>
      </c>
      <c r="Q6000" s="10" t="s">
        <v>9870</v>
      </c>
      <c r="R6000" s="10" t="s">
        <v>16926</v>
      </c>
      <c r="S6000" s="10" t="s">
        <v>53</v>
      </c>
      <c r="T6000" s="10" t="s">
        <v>54</v>
      </c>
    </row>
    <row r="6001" spans="1:20" ht="14.5" x14ac:dyDescent="0.35">
      <c r="A6001" s="10" t="s">
        <v>30136</v>
      </c>
      <c r="B6001" s="10" t="str">
        <f>"9781412973892"</f>
        <v>9781412973892</v>
      </c>
      <c r="C6001" s="10" t="str">
        <f>"9781452214771"</f>
        <v>9781452214771</v>
      </c>
      <c r="D6001" s="10" t="s">
        <v>22210</v>
      </c>
      <c r="E6001" s="10" t="s">
        <v>22211</v>
      </c>
      <c r="F6001" s="10" t="s">
        <v>333</v>
      </c>
      <c r="G6001" s="10" t="s">
        <v>6317</v>
      </c>
      <c r="H6001" s="11">
        <v>40130</v>
      </c>
      <c r="I6001" s="10">
        <v>2010</v>
      </c>
      <c r="J6001" s="10" t="s">
        <v>22211</v>
      </c>
      <c r="K6001" s="10">
        <v>193</v>
      </c>
      <c r="L6001" s="10" t="s">
        <v>30137</v>
      </c>
      <c r="M6001" s="10">
        <v>1</v>
      </c>
      <c r="N6001" s="10"/>
      <c r="O6001" s="10"/>
      <c r="P6001" s="10" t="s">
        <v>30138</v>
      </c>
      <c r="Q6001" s="10" t="s">
        <v>13111</v>
      </c>
      <c r="R6001" s="10" t="s">
        <v>30139</v>
      </c>
      <c r="S6001" s="10" t="s">
        <v>53</v>
      </c>
      <c r="T6001" s="10" t="s">
        <v>6568</v>
      </c>
    </row>
    <row r="6002" spans="1:20" ht="14.5" x14ac:dyDescent="0.35">
      <c r="A6002" s="10" t="s">
        <v>30140</v>
      </c>
      <c r="B6002" s="10" t="str">
        <f>"9781412968782"</f>
        <v>9781412968782</v>
      </c>
      <c r="C6002" s="10" t="str">
        <f>"9781452214818"</f>
        <v>9781452214818</v>
      </c>
      <c r="D6002" s="10" t="s">
        <v>22210</v>
      </c>
      <c r="E6002" s="10" t="s">
        <v>22211</v>
      </c>
      <c r="F6002" s="10" t="s">
        <v>333</v>
      </c>
      <c r="G6002" s="10" t="s">
        <v>6317</v>
      </c>
      <c r="H6002" s="11">
        <v>40028</v>
      </c>
      <c r="I6002" s="10">
        <v>2009</v>
      </c>
      <c r="J6002" s="10" t="s">
        <v>22211</v>
      </c>
      <c r="K6002" s="10">
        <v>233</v>
      </c>
      <c r="L6002" s="10" t="s">
        <v>30141</v>
      </c>
      <c r="M6002" s="10">
        <v>1</v>
      </c>
      <c r="N6002" s="10"/>
      <c r="O6002" s="10"/>
      <c r="P6002" s="10" t="s">
        <v>30142</v>
      </c>
      <c r="Q6002" s="10">
        <v>371.10239999999999</v>
      </c>
      <c r="R6002" s="10" t="s">
        <v>30143</v>
      </c>
      <c r="S6002" s="10" t="s">
        <v>53</v>
      </c>
      <c r="T6002" s="10" t="s">
        <v>54</v>
      </c>
    </row>
    <row r="6003" spans="1:20" ht="14.5" x14ac:dyDescent="0.35">
      <c r="A6003" s="10" t="s">
        <v>30144</v>
      </c>
      <c r="B6003" s="10" t="str">
        <f>"9781412962698"</f>
        <v>9781412962698</v>
      </c>
      <c r="C6003" s="10" t="str">
        <f>"9781452214825"</f>
        <v>9781452214825</v>
      </c>
      <c r="D6003" s="10" t="s">
        <v>22210</v>
      </c>
      <c r="E6003" s="10" t="s">
        <v>22211</v>
      </c>
      <c r="F6003" s="10" t="s">
        <v>333</v>
      </c>
      <c r="G6003" s="10" t="s">
        <v>6317</v>
      </c>
      <c r="H6003" s="11">
        <v>40037</v>
      </c>
      <c r="I6003" s="10">
        <v>2009</v>
      </c>
      <c r="J6003" s="10" t="s">
        <v>22211</v>
      </c>
      <c r="K6003" s="10">
        <v>121</v>
      </c>
      <c r="L6003" s="10" t="s">
        <v>29955</v>
      </c>
      <c r="M6003" s="10">
        <v>1</v>
      </c>
      <c r="N6003" s="10"/>
      <c r="O6003" s="10"/>
      <c r="P6003" s="10" t="s">
        <v>30145</v>
      </c>
      <c r="Q6003" s="10" t="s">
        <v>12854</v>
      </c>
      <c r="R6003" s="10"/>
      <c r="S6003" s="10" t="s">
        <v>53</v>
      </c>
      <c r="T6003" s="10" t="s">
        <v>54</v>
      </c>
    </row>
    <row r="6004" spans="1:20" ht="14.5" x14ac:dyDescent="0.35">
      <c r="A6004" s="10" t="s">
        <v>30146</v>
      </c>
      <c r="B6004" s="10" t="str">
        <f>"9781412969611"</f>
        <v>9781412969611</v>
      </c>
      <c r="C6004" s="10" t="str">
        <f>"9781452215006"</f>
        <v>9781452215006</v>
      </c>
      <c r="D6004" s="10" t="s">
        <v>22210</v>
      </c>
      <c r="E6004" s="10" t="s">
        <v>22211</v>
      </c>
      <c r="F6004" s="10" t="s">
        <v>333</v>
      </c>
      <c r="G6004" s="10" t="s">
        <v>6317</v>
      </c>
      <c r="H6004" s="11">
        <v>40267</v>
      </c>
      <c r="I6004" s="10">
        <v>2010</v>
      </c>
      <c r="J6004" s="10" t="s">
        <v>22211</v>
      </c>
      <c r="K6004" s="10">
        <v>153</v>
      </c>
      <c r="L6004" s="10" t="s">
        <v>30147</v>
      </c>
      <c r="M6004" s="10">
        <v>1</v>
      </c>
      <c r="N6004" s="10"/>
      <c r="O6004" s="10"/>
      <c r="P6004" s="10" t="s">
        <v>30148</v>
      </c>
      <c r="Q6004" s="10" t="s">
        <v>8460</v>
      </c>
      <c r="R6004" s="10" t="s">
        <v>30149</v>
      </c>
      <c r="S6004" s="10" t="s">
        <v>53</v>
      </c>
      <c r="T6004" s="10" t="s">
        <v>54</v>
      </c>
    </row>
    <row r="6005" spans="1:20" ht="14.5" x14ac:dyDescent="0.35">
      <c r="A6005" s="10" t="s">
        <v>30150</v>
      </c>
      <c r="B6005" s="10" t="str">
        <f>"9781412969062"</f>
        <v>9781412969062</v>
      </c>
      <c r="C6005" s="10" t="str">
        <f>"9781452215099"</f>
        <v>9781452215099</v>
      </c>
      <c r="D6005" s="10" t="s">
        <v>22210</v>
      </c>
      <c r="E6005" s="10" t="s">
        <v>22211</v>
      </c>
      <c r="F6005" s="10" t="s">
        <v>333</v>
      </c>
      <c r="G6005" s="10" t="s">
        <v>6317</v>
      </c>
      <c r="H6005" s="11">
        <v>40115</v>
      </c>
      <c r="I6005" s="10">
        <v>2010</v>
      </c>
      <c r="J6005" s="10" t="s">
        <v>22211</v>
      </c>
      <c r="K6005" s="10">
        <v>209</v>
      </c>
      <c r="L6005" s="10" t="s">
        <v>25036</v>
      </c>
      <c r="M6005" s="10">
        <v>1</v>
      </c>
      <c r="N6005" s="10"/>
      <c r="O6005" s="10"/>
      <c r="P6005" s="10" t="s">
        <v>30151</v>
      </c>
      <c r="Q6005" s="10" t="s">
        <v>30152</v>
      </c>
      <c r="R6005" s="10" t="s">
        <v>30153</v>
      </c>
      <c r="S6005" s="10" t="s">
        <v>53</v>
      </c>
      <c r="T6005" s="10" t="s">
        <v>54</v>
      </c>
    </row>
    <row r="6006" spans="1:20" ht="14.5" x14ac:dyDescent="0.35">
      <c r="A6006" s="10" t="s">
        <v>30154</v>
      </c>
      <c r="B6006" s="10" t="str">
        <f>"9781412906227"</f>
        <v>9781412906227</v>
      </c>
      <c r="C6006" s="10" t="str">
        <f>"9781452215211"</f>
        <v>9781452215211</v>
      </c>
      <c r="D6006" s="10" t="s">
        <v>22210</v>
      </c>
      <c r="E6006" s="10" t="s">
        <v>22211</v>
      </c>
      <c r="F6006" s="10" t="s">
        <v>333</v>
      </c>
      <c r="G6006" s="10" t="s">
        <v>6317</v>
      </c>
      <c r="H6006" s="11">
        <v>38611</v>
      </c>
      <c r="I6006" s="10">
        <v>2006</v>
      </c>
      <c r="J6006" s="10" t="s">
        <v>22211</v>
      </c>
      <c r="K6006" s="10">
        <v>161</v>
      </c>
      <c r="L6006" s="10" t="s">
        <v>30155</v>
      </c>
      <c r="M6006" s="10">
        <v>1</v>
      </c>
      <c r="N6006" s="10"/>
      <c r="O6006" s="10"/>
      <c r="P6006" s="10" t="s">
        <v>30156</v>
      </c>
      <c r="Q6006" s="10">
        <v>370.154</v>
      </c>
      <c r="R6006" s="10"/>
      <c r="S6006" s="10" t="s">
        <v>53</v>
      </c>
      <c r="T6006" s="10" t="s">
        <v>54</v>
      </c>
    </row>
    <row r="6007" spans="1:20" ht="14.5" x14ac:dyDescent="0.35">
      <c r="A6007" s="10" t="s">
        <v>30157</v>
      </c>
      <c r="B6007" s="10" t="str">
        <f>"9781412966177"</f>
        <v>9781412966177</v>
      </c>
      <c r="C6007" s="10" t="str">
        <f>"9781452215280"</f>
        <v>9781452215280</v>
      </c>
      <c r="D6007" s="10" t="s">
        <v>22210</v>
      </c>
      <c r="E6007" s="10" t="s">
        <v>22211</v>
      </c>
      <c r="F6007" s="10" t="s">
        <v>333</v>
      </c>
      <c r="G6007" s="10" t="s">
        <v>6317</v>
      </c>
      <c r="H6007" s="11">
        <v>39974</v>
      </c>
      <c r="I6007" s="10">
        <v>2009</v>
      </c>
      <c r="J6007" s="10" t="s">
        <v>22211</v>
      </c>
      <c r="K6007" s="10">
        <v>153</v>
      </c>
      <c r="L6007" s="10" t="s">
        <v>30158</v>
      </c>
      <c r="M6007" s="10">
        <v>1</v>
      </c>
      <c r="N6007" s="10"/>
      <c r="O6007" s="10"/>
      <c r="P6007" s="10"/>
      <c r="Q6007" s="10"/>
      <c r="R6007" s="10"/>
      <c r="S6007" s="10" t="s">
        <v>53</v>
      </c>
      <c r="T6007" s="10" t="s">
        <v>54</v>
      </c>
    </row>
    <row r="6008" spans="1:20" ht="14.5" x14ac:dyDescent="0.35">
      <c r="A6008" s="10" t="s">
        <v>30159</v>
      </c>
      <c r="B6008" s="10" t="str">
        <f>"9781412992961"</f>
        <v>9781412992961</v>
      </c>
      <c r="C6008" s="10" t="str">
        <f>"9781452224480"</f>
        <v>9781452224480</v>
      </c>
      <c r="D6008" s="10" t="s">
        <v>22210</v>
      </c>
      <c r="E6008" s="10" t="s">
        <v>22211</v>
      </c>
      <c r="F6008" s="10" t="s">
        <v>333</v>
      </c>
      <c r="G6008" s="10" t="s">
        <v>6317</v>
      </c>
      <c r="H6008" s="11">
        <v>40637</v>
      </c>
      <c r="I6008" s="10">
        <v>2011</v>
      </c>
      <c r="J6008" s="10" t="s">
        <v>22211</v>
      </c>
      <c r="K6008" s="10">
        <v>185</v>
      </c>
      <c r="L6008" s="10" t="s">
        <v>30160</v>
      </c>
      <c r="M6008" s="10">
        <v>1</v>
      </c>
      <c r="N6008" s="10"/>
      <c r="O6008" s="10"/>
      <c r="P6008" s="10" t="s">
        <v>30161</v>
      </c>
      <c r="Q6008" s="10">
        <v>370.97300000000001</v>
      </c>
      <c r="R6008" s="10"/>
      <c r="S6008" s="10" t="s">
        <v>53</v>
      </c>
      <c r="T6008" s="10" t="s">
        <v>54</v>
      </c>
    </row>
    <row r="6009" spans="1:20" ht="14.5" x14ac:dyDescent="0.35">
      <c r="A6009" s="10" t="s">
        <v>30162</v>
      </c>
      <c r="B6009" s="10" t="str">
        <f>"9781412926454"</f>
        <v>9781412926454</v>
      </c>
      <c r="C6009" s="10" t="str">
        <f>"9781452222714"</f>
        <v>9781452222714</v>
      </c>
      <c r="D6009" s="10" t="s">
        <v>22210</v>
      </c>
      <c r="E6009" s="10" t="s">
        <v>22211</v>
      </c>
      <c r="F6009" s="10" t="s">
        <v>333</v>
      </c>
      <c r="G6009" s="10" t="s">
        <v>6317</v>
      </c>
      <c r="H6009" s="11">
        <v>38840</v>
      </c>
      <c r="I6009" s="10">
        <v>2006</v>
      </c>
      <c r="J6009" s="10" t="s">
        <v>22211</v>
      </c>
      <c r="K6009" s="10">
        <v>121</v>
      </c>
      <c r="L6009" s="10" t="s">
        <v>25832</v>
      </c>
      <c r="M6009" s="10">
        <v>1</v>
      </c>
      <c r="N6009" s="10"/>
      <c r="O6009" s="10"/>
      <c r="P6009" s="10"/>
      <c r="Q6009" s="10">
        <v>371.10199999999998</v>
      </c>
      <c r="R6009" s="10"/>
      <c r="S6009" s="10" t="s">
        <v>53</v>
      </c>
      <c r="T6009" s="10" t="s">
        <v>54</v>
      </c>
    </row>
    <row r="6010" spans="1:20" ht="14.5" x14ac:dyDescent="0.35">
      <c r="A6010" s="10" t="s">
        <v>30163</v>
      </c>
      <c r="B6010" s="10" t="str">
        <f>"9780761945482"</f>
        <v>9780761945482</v>
      </c>
      <c r="C6010" s="10" t="str">
        <f>"9781452222059"</f>
        <v>9781452222059</v>
      </c>
      <c r="D6010" s="10" t="s">
        <v>22210</v>
      </c>
      <c r="E6010" s="10" t="s">
        <v>22211</v>
      </c>
      <c r="F6010" s="10" t="s">
        <v>333</v>
      </c>
      <c r="G6010" s="10" t="s">
        <v>6317</v>
      </c>
      <c r="H6010" s="11">
        <v>37440</v>
      </c>
      <c r="I6010" s="10">
        <v>2002</v>
      </c>
      <c r="J6010" s="10" t="s">
        <v>22211</v>
      </c>
      <c r="K6010" s="10">
        <v>113</v>
      </c>
      <c r="L6010" s="10" t="s">
        <v>30164</v>
      </c>
      <c r="M6010" s="10">
        <v>1</v>
      </c>
      <c r="N6010" s="10"/>
      <c r="O6010" s="10"/>
      <c r="P6010" s="10" t="s">
        <v>30165</v>
      </c>
      <c r="Q6010" s="10" t="s">
        <v>14718</v>
      </c>
      <c r="R6010" s="10" t="s">
        <v>30166</v>
      </c>
      <c r="S6010" s="10" t="s">
        <v>53</v>
      </c>
      <c r="T6010" s="10" t="s">
        <v>54</v>
      </c>
    </row>
    <row r="6011" spans="1:20" ht="14.5" x14ac:dyDescent="0.35">
      <c r="A6011" s="10" t="s">
        <v>30167</v>
      </c>
      <c r="B6011" s="10" t="str">
        <f>"9781412986656"</f>
        <v>9781412986656</v>
      </c>
      <c r="C6011" s="10" t="str">
        <f>"9781452224220"</f>
        <v>9781452224220</v>
      </c>
      <c r="D6011" s="10" t="s">
        <v>22210</v>
      </c>
      <c r="E6011" s="10" t="s">
        <v>22211</v>
      </c>
      <c r="F6011" s="10" t="s">
        <v>333</v>
      </c>
      <c r="G6011" s="10" t="s">
        <v>6317</v>
      </c>
      <c r="H6011" s="11">
        <v>40616</v>
      </c>
      <c r="I6011" s="10">
        <v>2011</v>
      </c>
      <c r="J6011" s="10" t="s">
        <v>22211</v>
      </c>
      <c r="K6011" s="10">
        <v>249</v>
      </c>
      <c r="L6011" s="10" t="s">
        <v>30168</v>
      </c>
      <c r="M6011" s="10">
        <v>1</v>
      </c>
      <c r="N6011" s="10"/>
      <c r="O6011" s="10"/>
      <c r="P6011" s="10" t="s">
        <v>30169</v>
      </c>
      <c r="Q6011" s="10"/>
      <c r="R6011" s="10"/>
      <c r="S6011" s="10" t="s">
        <v>53</v>
      </c>
      <c r="T6011" s="10" t="s">
        <v>54</v>
      </c>
    </row>
    <row r="6012" spans="1:20" ht="14.5" x14ac:dyDescent="0.35">
      <c r="A6012" s="10" t="s">
        <v>30170</v>
      </c>
      <c r="B6012" s="10" t="str">
        <f>"9781412965484"</f>
        <v>9781412965484</v>
      </c>
      <c r="C6012" s="10" t="str">
        <f>"9781452223247"</f>
        <v>9781452223247</v>
      </c>
      <c r="D6012" s="10" t="s">
        <v>22210</v>
      </c>
      <c r="E6012" s="10" t="s">
        <v>22211</v>
      </c>
      <c r="F6012" s="10" t="s">
        <v>333</v>
      </c>
      <c r="G6012" s="10" t="s">
        <v>6317</v>
      </c>
      <c r="H6012" s="11">
        <v>40640</v>
      </c>
      <c r="I6012" s="10">
        <v>2011</v>
      </c>
      <c r="J6012" s="10" t="s">
        <v>22211</v>
      </c>
      <c r="K6012" s="10">
        <v>153</v>
      </c>
      <c r="L6012" s="10" t="s">
        <v>30171</v>
      </c>
      <c r="M6012" s="10">
        <v>1</v>
      </c>
      <c r="N6012" s="10"/>
      <c r="O6012" s="10"/>
      <c r="P6012" s="10" t="s">
        <v>30172</v>
      </c>
      <c r="Q6012" s="10" t="s">
        <v>10085</v>
      </c>
      <c r="R6012" s="10" t="s">
        <v>30173</v>
      </c>
      <c r="S6012" s="10" t="s">
        <v>53</v>
      </c>
      <c r="T6012" s="10" t="s">
        <v>389</v>
      </c>
    </row>
    <row r="6013" spans="1:20" ht="14.5" x14ac:dyDescent="0.35">
      <c r="A6013" s="10" t="s">
        <v>30174</v>
      </c>
      <c r="B6013" s="10" t="str">
        <f>"9781412961301"</f>
        <v>9781412961301</v>
      </c>
      <c r="C6013" s="10" t="str">
        <f>"9781452222981"</f>
        <v>9781452222981</v>
      </c>
      <c r="D6013" s="10" t="s">
        <v>22210</v>
      </c>
      <c r="E6013" s="10" t="s">
        <v>22211</v>
      </c>
      <c r="F6013" s="10" t="s">
        <v>333</v>
      </c>
      <c r="G6013" s="10" t="s">
        <v>6317</v>
      </c>
      <c r="H6013" s="11">
        <v>39743</v>
      </c>
      <c r="I6013" s="10">
        <v>2009</v>
      </c>
      <c r="J6013" s="10" t="s">
        <v>22211</v>
      </c>
      <c r="K6013" s="10">
        <v>337</v>
      </c>
      <c r="L6013" s="10" t="s">
        <v>30175</v>
      </c>
      <c r="M6013" s="10">
        <v>2</v>
      </c>
      <c r="N6013" s="10"/>
      <c r="O6013" s="10"/>
      <c r="P6013" s="10" t="s">
        <v>30176</v>
      </c>
      <c r="Q6013" s="10" t="s">
        <v>30125</v>
      </c>
      <c r="R6013" s="10" t="s">
        <v>30177</v>
      </c>
      <c r="S6013" s="10" t="s">
        <v>53</v>
      </c>
      <c r="T6013" s="10" t="s">
        <v>54</v>
      </c>
    </row>
    <row r="6014" spans="1:20" ht="14.5" x14ac:dyDescent="0.35">
      <c r="A6014" s="10" t="s">
        <v>30178</v>
      </c>
      <c r="B6014" s="10" t="str">
        <f>"9781412915533"</f>
        <v>9781412915533</v>
      </c>
      <c r="C6014" s="10" t="str">
        <f>"9781452222608"</f>
        <v>9781452222608</v>
      </c>
      <c r="D6014" s="10" t="s">
        <v>22210</v>
      </c>
      <c r="E6014" s="10" t="s">
        <v>22211</v>
      </c>
      <c r="F6014" s="10" t="s">
        <v>333</v>
      </c>
      <c r="G6014" s="10" t="s">
        <v>6317</v>
      </c>
      <c r="H6014" s="11">
        <v>38490</v>
      </c>
      <c r="I6014" s="10">
        <v>2005</v>
      </c>
      <c r="J6014" s="10" t="s">
        <v>22211</v>
      </c>
      <c r="K6014" s="10">
        <v>137</v>
      </c>
      <c r="L6014" s="10" t="s">
        <v>30179</v>
      </c>
      <c r="M6014" s="10">
        <v>2</v>
      </c>
      <c r="N6014" s="10"/>
      <c r="O6014" s="10"/>
      <c r="P6014" s="10" t="s">
        <v>30180</v>
      </c>
      <c r="Q6014" s="10" t="s">
        <v>8587</v>
      </c>
      <c r="R6014" s="10" t="s">
        <v>30181</v>
      </c>
      <c r="S6014" s="10" t="s">
        <v>53</v>
      </c>
      <c r="T6014" s="10" t="s">
        <v>54</v>
      </c>
    </row>
    <row r="6015" spans="1:20" ht="14.5" x14ac:dyDescent="0.35">
      <c r="A6015" s="10" t="s">
        <v>30182</v>
      </c>
      <c r="B6015" s="10" t="str">
        <f>"9781412992381"</f>
        <v>9781412992381</v>
      </c>
      <c r="C6015" s="10" t="str">
        <f>"9781452224183"</f>
        <v>9781452224183</v>
      </c>
      <c r="D6015" s="10" t="s">
        <v>22210</v>
      </c>
      <c r="E6015" s="10" t="s">
        <v>22211</v>
      </c>
      <c r="F6015" s="10" t="s">
        <v>333</v>
      </c>
      <c r="G6015" s="10" t="s">
        <v>6317</v>
      </c>
      <c r="H6015" s="11">
        <v>40701</v>
      </c>
      <c r="I6015" s="10">
        <v>2011</v>
      </c>
      <c r="J6015" s="10" t="s">
        <v>22211</v>
      </c>
      <c r="K6015" s="10">
        <v>185</v>
      </c>
      <c r="L6015" s="10" t="s">
        <v>30183</v>
      </c>
      <c r="M6015" s="10">
        <v>1</v>
      </c>
      <c r="N6015" s="10"/>
      <c r="O6015" s="10"/>
      <c r="P6015" s="10" t="s">
        <v>30184</v>
      </c>
      <c r="Q6015" s="10" t="s">
        <v>8460</v>
      </c>
      <c r="R6015" s="10" t="s">
        <v>30185</v>
      </c>
      <c r="S6015" s="10" t="s">
        <v>53</v>
      </c>
      <c r="T6015" s="10" t="s">
        <v>54</v>
      </c>
    </row>
    <row r="6016" spans="1:20" ht="14.5" x14ac:dyDescent="0.35">
      <c r="A6016" s="10" t="s">
        <v>30186</v>
      </c>
      <c r="B6016" s="10" t="str">
        <f>"9781412969147"</f>
        <v>9781412969147</v>
      </c>
      <c r="C6016" s="10" t="str">
        <f>"9781452223353"</f>
        <v>9781452223353</v>
      </c>
      <c r="D6016" s="10" t="s">
        <v>22210</v>
      </c>
      <c r="E6016" s="10" t="s">
        <v>22211</v>
      </c>
      <c r="F6016" s="10" t="s">
        <v>333</v>
      </c>
      <c r="G6016" s="10" t="s">
        <v>6317</v>
      </c>
      <c r="H6016" s="11">
        <v>39871</v>
      </c>
      <c r="I6016" s="10">
        <v>2009</v>
      </c>
      <c r="J6016" s="10" t="s">
        <v>22211</v>
      </c>
      <c r="K6016" s="10">
        <v>241</v>
      </c>
      <c r="L6016" s="10" t="s">
        <v>30187</v>
      </c>
      <c r="M6016" s="10">
        <v>3</v>
      </c>
      <c r="N6016" s="10"/>
      <c r="O6016" s="10"/>
      <c r="P6016" s="10" t="s">
        <v>30188</v>
      </c>
      <c r="Q6016" s="10" t="s">
        <v>30189</v>
      </c>
      <c r="R6016" s="10" t="s">
        <v>30190</v>
      </c>
      <c r="S6016" s="10" t="s">
        <v>53</v>
      </c>
      <c r="T6016" s="10" t="s">
        <v>54</v>
      </c>
    </row>
    <row r="6017" spans="1:20" ht="14.5" x14ac:dyDescent="0.35">
      <c r="A6017" s="10" t="s">
        <v>30191</v>
      </c>
      <c r="B6017" s="10" t="str">
        <f>"9781412988438"</f>
        <v>9781412988438</v>
      </c>
      <c r="C6017" s="10" t="str">
        <f>"9781452224206"</f>
        <v>9781452224206</v>
      </c>
      <c r="D6017" s="10" t="s">
        <v>22210</v>
      </c>
      <c r="E6017" s="10" t="s">
        <v>22211</v>
      </c>
      <c r="F6017" s="10" t="s">
        <v>333</v>
      </c>
      <c r="G6017" s="10" t="s">
        <v>6317</v>
      </c>
      <c r="H6017" s="11">
        <v>40674</v>
      </c>
      <c r="I6017" s="10">
        <v>2011</v>
      </c>
      <c r="J6017" s="10" t="s">
        <v>22211</v>
      </c>
      <c r="K6017" s="10">
        <v>201</v>
      </c>
      <c r="L6017" s="10" t="s">
        <v>30192</v>
      </c>
      <c r="M6017" s="10">
        <v>1</v>
      </c>
      <c r="N6017" s="10"/>
      <c r="O6017" s="10"/>
      <c r="P6017" s="10" t="s">
        <v>30193</v>
      </c>
      <c r="Q6017" s="10">
        <v>372.6</v>
      </c>
      <c r="R6017" s="10" t="s">
        <v>30194</v>
      </c>
      <c r="S6017" s="10" t="s">
        <v>53</v>
      </c>
      <c r="T6017" s="10" t="s">
        <v>54</v>
      </c>
    </row>
    <row r="6018" spans="1:20" ht="14.5" x14ac:dyDescent="0.35">
      <c r="A6018" s="10" t="s">
        <v>30195</v>
      </c>
      <c r="B6018" s="10" t="str">
        <f>"9781412960724"</f>
        <v>9781412960724</v>
      </c>
      <c r="C6018" s="10" t="str">
        <f>"9781452223209"</f>
        <v>9781452223209</v>
      </c>
      <c r="D6018" s="10" t="s">
        <v>22210</v>
      </c>
      <c r="E6018" s="10" t="s">
        <v>22211</v>
      </c>
      <c r="F6018" s="10" t="s">
        <v>333</v>
      </c>
      <c r="G6018" s="10" t="s">
        <v>6317</v>
      </c>
      <c r="H6018" s="11">
        <v>39680</v>
      </c>
      <c r="I6018" s="10">
        <v>2009</v>
      </c>
      <c r="J6018" s="10" t="s">
        <v>22211</v>
      </c>
      <c r="K6018" s="10">
        <v>177</v>
      </c>
      <c r="L6018" s="10" t="s">
        <v>30196</v>
      </c>
      <c r="M6018" s="10">
        <v>1</v>
      </c>
      <c r="N6018" s="10"/>
      <c r="O6018" s="10"/>
      <c r="P6018" s="10" t="s">
        <v>30197</v>
      </c>
      <c r="Q6018" s="10">
        <v>372.21</v>
      </c>
      <c r="R6018" s="10" t="s">
        <v>30198</v>
      </c>
      <c r="S6018" s="10" t="s">
        <v>53</v>
      </c>
      <c r="T6018" s="10" t="s">
        <v>54</v>
      </c>
    </row>
    <row r="6019" spans="1:20" ht="14.5" x14ac:dyDescent="0.35">
      <c r="A6019" s="10" t="s">
        <v>30199</v>
      </c>
      <c r="B6019" s="10" t="str">
        <f>"9781412942324"</f>
        <v>9781412942324</v>
      </c>
      <c r="C6019" s="10" t="str">
        <f>"9781452222967"</f>
        <v>9781452222967</v>
      </c>
      <c r="D6019" s="10" t="s">
        <v>22210</v>
      </c>
      <c r="E6019" s="10" t="s">
        <v>22211</v>
      </c>
      <c r="F6019" s="10" t="s">
        <v>333</v>
      </c>
      <c r="G6019" s="10" t="s">
        <v>6317</v>
      </c>
      <c r="H6019" s="11">
        <v>38919</v>
      </c>
      <c r="I6019" s="10">
        <v>2006</v>
      </c>
      <c r="J6019" s="10" t="s">
        <v>22211</v>
      </c>
      <c r="K6019" s="10">
        <v>225</v>
      </c>
      <c r="L6019" s="10" t="s">
        <v>30200</v>
      </c>
      <c r="M6019" s="10">
        <v>1</v>
      </c>
      <c r="N6019" s="10"/>
      <c r="O6019" s="10"/>
      <c r="P6019" s="10" t="s">
        <v>30201</v>
      </c>
      <c r="Q6019" s="10"/>
      <c r="R6019" s="10"/>
      <c r="S6019" s="10" t="s">
        <v>53</v>
      </c>
      <c r="T6019" s="10" t="s">
        <v>54</v>
      </c>
    </row>
    <row r="6020" spans="1:20" ht="14.5" x14ac:dyDescent="0.35">
      <c r="A6020" s="10" t="s">
        <v>30202</v>
      </c>
      <c r="B6020" s="10" t="str">
        <f>"9781412987011"</f>
        <v>9781412987011</v>
      </c>
      <c r="C6020" s="10" t="str">
        <f>"9781452224237"</f>
        <v>9781452224237</v>
      </c>
      <c r="D6020" s="10" t="s">
        <v>22210</v>
      </c>
      <c r="E6020" s="10" t="s">
        <v>22211</v>
      </c>
      <c r="F6020" s="10" t="s">
        <v>333</v>
      </c>
      <c r="G6020" s="10" t="s">
        <v>6317</v>
      </c>
      <c r="H6020" s="11">
        <v>40469</v>
      </c>
      <c r="I6020" s="10">
        <v>2011</v>
      </c>
      <c r="J6020" s="10" t="s">
        <v>22211</v>
      </c>
      <c r="K6020" s="10">
        <v>233</v>
      </c>
      <c r="L6020" s="10" t="s">
        <v>22321</v>
      </c>
      <c r="M6020" s="10">
        <v>3</v>
      </c>
      <c r="N6020" s="10"/>
      <c r="O6020" s="10"/>
      <c r="P6020" s="10" t="s">
        <v>30203</v>
      </c>
      <c r="Q6020" s="10">
        <v>372.12639999999999</v>
      </c>
      <c r="R6020" s="10" t="s">
        <v>30204</v>
      </c>
      <c r="S6020" s="10" t="s">
        <v>53</v>
      </c>
      <c r="T6020" s="10" t="s">
        <v>54</v>
      </c>
    </row>
    <row r="6021" spans="1:20" ht="14.5" x14ac:dyDescent="0.35">
      <c r="A6021" s="10" t="s">
        <v>30205</v>
      </c>
      <c r="B6021" s="10" t="str">
        <f>"9781412972734"</f>
        <v>9781412972734</v>
      </c>
      <c r="C6021" s="10" t="str">
        <f>"9781452223506"</f>
        <v>9781452223506</v>
      </c>
      <c r="D6021" s="10" t="s">
        <v>22210</v>
      </c>
      <c r="E6021" s="10" t="s">
        <v>22211</v>
      </c>
      <c r="F6021" s="10" t="s">
        <v>333</v>
      </c>
      <c r="G6021" s="10" t="s">
        <v>6317</v>
      </c>
      <c r="H6021" s="11">
        <v>40542</v>
      </c>
      <c r="I6021" s="10">
        <v>2011</v>
      </c>
      <c r="J6021" s="10" t="s">
        <v>22211</v>
      </c>
      <c r="K6021" s="10">
        <v>217</v>
      </c>
      <c r="L6021" s="10" t="s">
        <v>30206</v>
      </c>
      <c r="M6021" s="10">
        <v>1</v>
      </c>
      <c r="N6021" s="10"/>
      <c r="O6021" s="10"/>
      <c r="P6021" s="10" t="s">
        <v>30207</v>
      </c>
      <c r="Q6021" s="10" t="s">
        <v>22166</v>
      </c>
      <c r="R6021" s="10" t="s">
        <v>30208</v>
      </c>
      <c r="S6021" s="10" t="s">
        <v>53</v>
      </c>
      <c r="T6021" s="10" t="s">
        <v>54</v>
      </c>
    </row>
    <row r="6022" spans="1:20" ht="14.5" x14ac:dyDescent="0.35">
      <c r="A6022" s="10" t="s">
        <v>30209</v>
      </c>
      <c r="B6022" s="10" t="str">
        <f>"9780761931492"</f>
        <v>9780761931492</v>
      </c>
      <c r="C6022" s="10" t="str">
        <f>"9781452222196"</f>
        <v>9781452222196</v>
      </c>
      <c r="D6022" s="10" t="s">
        <v>22210</v>
      </c>
      <c r="E6022" s="10" t="s">
        <v>22211</v>
      </c>
      <c r="F6022" s="10" t="s">
        <v>333</v>
      </c>
      <c r="G6022" s="10" t="s">
        <v>6317</v>
      </c>
      <c r="H6022" s="11">
        <v>38037</v>
      </c>
      <c r="I6022" s="10">
        <v>2004</v>
      </c>
      <c r="J6022" s="10" t="s">
        <v>22211</v>
      </c>
      <c r="K6022" s="10">
        <v>161</v>
      </c>
      <c r="L6022" s="10" t="s">
        <v>23098</v>
      </c>
      <c r="M6022" s="10">
        <v>1</v>
      </c>
      <c r="N6022" s="10"/>
      <c r="O6022" s="10"/>
      <c r="P6022" s="10" t="s">
        <v>30210</v>
      </c>
      <c r="Q6022" s="10">
        <v>370.97300000000001</v>
      </c>
      <c r="R6022" s="10" t="s">
        <v>30211</v>
      </c>
      <c r="S6022" s="10" t="s">
        <v>53</v>
      </c>
      <c r="T6022" s="10" t="s">
        <v>54</v>
      </c>
    </row>
    <row r="6023" spans="1:20" ht="14.5" x14ac:dyDescent="0.35">
      <c r="A6023" s="10" t="s">
        <v>30212</v>
      </c>
      <c r="B6023" s="10" t="str">
        <f>"9781412987035"</f>
        <v>9781412987035</v>
      </c>
      <c r="C6023" s="10" t="str">
        <f>"9781452224053"</f>
        <v>9781452224053</v>
      </c>
      <c r="D6023" s="10" t="s">
        <v>22210</v>
      </c>
      <c r="E6023" s="10" t="s">
        <v>22211</v>
      </c>
      <c r="F6023" s="10" t="s">
        <v>333</v>
      </c>
      <c r="G6023" s="10" t="s">
        <v>6317</v>
      </c>
      <c r="H6023" s="11">
        <v>40513</v>
      </c>
      <c r="I6023" s="10">
        <v>2011</v>
      </c>
      <c r="J6023" s="10" t="s">
        <v>22211</v>
      </c>
      <c r="K6023" s="10">
        <v>273</v>
      </c>
      <c r="L6023" s="10" t="s">
        <v>30213</v>
      </c>
      <c r="M6023" s="10">
        <v>1</v>
      </c>
      <c r="N6023" s="10"/>
      <c r="O6023" s="10"/>
      <c r="P6023" s="10" t="s">
        <v>30214</v>
      </c>
      <c r="Q6023" s="10">
        <v>372.7</v>
      </c>
      <c r="R6023" s="10" t="s">
        <v>30215</v>
      </c>
      <c r="S6023" s="10" t="s">
        <v>53</v>
      </c>
      <c r="T6023" s="10" t="s">
        <v>6448</v>
      </c>
    </row>
    <row r="6024" spans="1:20" ht="14.5" x14ac:dyDescent="0.35">
      <c r="A6024" s="10" t="s">
        <v>30216</v>
      </c>
      <c r="B6024" s="10" t="str">
        <f>"9781412990912"</f>
        <v>9781412990912</v>
      </c>
      <c r="C6024" s="10" t="str">
        <f>"9781452224152"</f>
        <v>9781452224152</v>
      </c>
      <c r="D6024" s="10" t="s">
        <v>22210</v>
      </c>
      <c r="E6024" s="10" t="s">
        <v>22211</v>
      </c>
      <c r="F6024" s="10" t="s">
        <v>333</v>
      </c>
      <c r="G6024" s="10" t="s">
        <v>6317</v>
      </c>
      <c r="H6024" s="11">
        <v>40429</v>
      </c>
      <c r="I6024" s="10">
        <v>2010</v>
      </c>
      <c r="J6024" s="10" t="s">
        <v>22211</v>
      </c>
      <c r="K6024" s="10">
        <v>313</v>
      </c>
      <c r="L6024" s="10" t="s">
        <v>30217</v>
      </c>
      <c r="M6024" s="10">
        <v>1</v>
      </c>
      <c r="N6024" s="10"/>
      <c r="O6024" s="10"/>
      <c r="P6024" s="10" t="s">
        <v>30218</v>
      </c>
      <c r="Q6024" s="10" t="s">
        <v>9441</v>
      </c>
      <c r="R6024" s="10" t="s">
        <v>30219</v>
      </c>
      <c r="S6024" s="10" t="s">
        <v>53</v>
      </c>
      <c r="T6024" s="10" t="s">
        <v>54</v>
      </c>
    </row>
    <row r="6025" spans="1:20" ht="14.5" x14ac:dyDescent="0.35">
      <c r="A6025" s="10" t="s">
        <v>30220</v>
      </c>
      <c r="B6025" s="10" t="str">
        <f>"9781412917582"</f>
        <v>9781412917582</v>
      </c>
      <c r="C6025" s="10" t="str">
        <f>"9781452222653"</f>
        <v>9781452222653</v>
      </c>
      <c r="D6025" s="10" t="s">
        <v>22210</v>
      </c>
      <c r="E6025" s="10" t="s">
        <v>22211</v>
      </c>
      <c r="F6025" s="10" t="s">
        <v>333</v>
      </c>
      <c r="G6025" s="10" t="s">
        <v>6317</v>
      </c>
      <c r="H6025" s="11">
        <v>38632</v>
      </c>
      <c r="I6025" s="10">
        <v>2006</v>
      </c>
      <c r="J6025" s="10" t="s">
        <v>22211</v>
      </c>
      <c r="K6025" s="10">
        <v>233</v>
      </c>
      <c r="L6025" s="10" t="s">
        <v>30179</v>
      </c>
      <c r="M6025" s="10">
        <v>1</v>
      </c>
      <c r="N6025" s="10"/>
      <c r="O6025" s="10"/>
      <c r="P6025" s="10" t="s">
        <v>30221</v>
      </c>
      <c r="Q6025" s="10">
        <v>371.2</v>
      </c>
      <c r="R6025" s="10"/>
      <c r="S6025" s="10" t="s">
        <v>53</v>
      </c>
      <c r="T6025" s="10" t="s">
        <v>54</v>
      </c>
    </row>
    <row r="6026" spans="1:20" ht="14.5" x14ac:dyDescent="0.35">
      <c r="A6026" s="10" t="s">
        <v>30222</v>
      </c>
      <c r="B6026" s="10" t="str">
        <f>"9781412972437"</f>
        <v>9781412972437</v>
      </c>
      <c r="C6026" s="10" t="str">
        <f>"9781452223438"</f>
        <v>9781452223438</v>
      </c>
      <c r="D6026" s="10" t="s">
        <v>22210</v>
      </c>
      <c r="E6026" s="10" t="s">
        <v>22211</v>
      </c>
      <c r="F6026" s="10" t="s">
        <v>333</v>
      </c>
      <c r="G6026" s="10" t="s">
        <v>6317</v>
      </c>
      <c r="H6026" s="11">
        <v>40157</v>
      </c>
      <c r="I6026" s="10">
        <v>2010</v>
      </c>
      <c r="J6026" s="10" t="s">
        <v>22211</v>
      </c>
      <c r="K6026" s="10">
        <v>185</v>
      </c>
      <c r="L6026" s="10" t="s">
        <v>30223</v>
      </c>
      <c r="M6026" s="10">
        <v>1</v>
      </c>
      <c r="N6026" s="10"/>
      <c r="O6026" s="10"/>
      <c r="P6026" s="10" t="s">
        <v>30224</v>
      </c>
      <c r="Q6026" s="10" t="s">
        <v>30225</v>
      </c>
      <c r="R6026" s="10"/>
      <c r="S6026" s="10" t="s">
        <v>53</v>
      </c>
      <c r="T6026" s="10" t="s">
        <v>6616</v>
      </c>
    </row>
    <row r="6027" spans="1:20" ht="14.5" x14ac:dyDescent="0.35">
      <c r="A6027" s="10" t="s">
        <v>30226</v>
      </c>
      <c r="B6027" s="10" t="str">
        <f>"9781412992053"</f>
        <v>9781412992053</v>
      </c>
      <c r="C6027" s="10" t="str">
        <f>"9781452230801"</f>
        <v>9781452230801</v>
      </c>
      <c r="D6027" s="10" t="s">
        <v>22210</v>
      </c>
      <c r="E6027" s="10" t="s">
        <v>22211</v>
      </c>
      <c r="F6027" s="10" t="s">
        <v>333</v>
      </c>
      <c r="G6027" s="10" t="s">
        <v>6317</v>
      </c>
      <c r="H6027" s="11">
        <v>40564</v>
      </c>
      <c r="I6027" s="10">
        <v>2011</v>
      </c>
      <c r="J6027" s="10" t="s">
        <v>22211</v>
      </c>
      <c r="K6027" s="10">
        <v>185</v>
      </c>
      <c r="L6027" s="10" t="s">
        <v>22244</v>
      </c>
      <c r="M6027" s="10">
        <v>1</v>
      </c>
      <c r="N6027" s="10"/>
      <c r="O6027" s="10"/>
      <c r="P6027" s="10" t="s">
        <v>30227</v>
      </c>
      <c r="Q6027" s="10">
        <v>372.7</v>
      </c>
      <c r="R6027" s="10" t="s">
        <v>19338</v>
      </c>
      <c r="S6027" s="10" t="s">
        <v>53</v>
      </c>
      <c r="T6027" s="10" t="s">
        <v>7425</v>
      </c>
    </row>
    <row r="6028" spans="1:20" ht="14.5" x14ac:dyDescent="0.35">
      <c r="A6028" s="10" t="s">
        <v>30228</v>
      </c>
      <c r="B6028" s="10" t="str">
        <f>"9781412958332"</f>
        <v>9781412958332</v>
      </c>
      <c r="C6028" s="10" t="str">
        <f>"9781452298344"</f>
        <v>9781452298344</v>
      </c>
      <c r="D6028" s="10" t="s">
        <v>22210</v>
      </c>
      <c r="E6028" s="10" t="s">
        <v>22211</v>
      </c>
      <c r="F6028" s="10" t="s">
        <v>333</v>
      </c>
      <c r="G6028" s="10" t="s">
        <v>6317</v>
      </c>
      <c r="H6028" s="11">
        <v>39646</v>
      </c>
      <c r="I6028" s="10">
        <v>2009</v>
      </c>
      <c r="J6028" s="10" t="s">
        <v>22211</v>
      </c>
      <c r="K6028" s="10">
        <v>169</v>
      </c>
      <c r="L6028" s="10" t="s">
        <v>30229</v>
      </c>
      <c r="M6028" s="10">
        <v>1</v>
      </c>
      <c r="N6028" s="10"/>
      <c r="O6028" s="10"/>
      <c r="P6028" s="10" t="s">
        <v>30230</v>
      </c>
      <c r="Q6028" s="10" t="s">
        <v>10440</v>
      </c>
      <c r="R6028" s="10"/>
      <c r="S6028" s="10" t="s">
        <v>53</v>
      </c>
      <c r="T6028" s="10" t="s">
        <v>6616</v>
      </c>
    </row>
    <row r="6029" spans="1:20" ht="14.5" x14ac:dyDescent="0.35">
      <c r="A6029" s="10" t="s">
        <v>30231</v>
      </c>
      <c r="B6029" s="10" t="str">
        <f>"9781452216690"</f>
        <v>9781452216690</v>
      </c>
      <c r="C6029" s="10" t="str">
        <f>"9781452277424"</f>
        <v>9781452277424</v>
      </c>
      <c r="D6029" s="10" t="s">
        <v>22210</v>
      </c>
      <c r="E6029" s="10" t="s">
        <v>22211</v>
      </c>
      <c r="F6029" s="10" t="s">
        <v>333</v>
      </c>
      <c r="G6029" s="10" t="s">
        <v>6317</v>
      </c>
      <c r="H6029" s="11">
        <v>41177</v>
      </c>
      <c r="I6029" s="10">
        <v>2012</v>
      </c>
      <c r="J6029" s="10" t="s">
        <v>22211</v>
      </c>
      <c r="K6029" s="10">
        <v>289</v>
      </c>
      <c r="L6029" s="10" t="s">
        <v>30232</v>
      </c>
      <c r="M6029" s="10">
        <v>1</v>
      </c>
      <c r="N6029" s="10"/>
      <c r="O6029" s="10"/>
      <c r="P6029" s="10" t="s">
        <v>30233</v>
      </c>
      <c r="Q6029" s="10" t="s">
        <v>6920</v>
      </c>
      <c r="R6029" s="10" t="s">
        <v>30234</v>
      </c>
      <c r="S6029" s="10" t="s">
        <v>53</v>
      </c>
      <c r="T6029" s="10" t="s">
        <v>54</v>
      </c>
    </row>
    <row r="6030" spans="1:20" ht="14.5" x14ac:dyDescent="0.35">
      <c r="A6030" s="10" t="s">
        <v>30235</v>
      </c>
      <c r="B6030" s="10" t="str">
        <f>"9780761978978"</f>
        <v>9780761978978</v>
      </c>
      <c r="C6030" s="10" t="str">
        <f>"9781412993623"</f>
        <v>9781412993623</v>
      </c>
      <c r="D6030" s="10" t="s">
        <v>22210</v>
      </c>
      <c r="E6030" s="10" t="s">
        <v>22211</v>
      </c>
      <c r="F6030" s="10" t="s">
        <v>333</v>
      </c>
      <c r="G6030" s="10" t="s">
        <v>6317</v>
      </c>
      <c r="H6030" s="11">
        <v>37448</v>
      </c>
      <c r="I6030" s="10">
        <v>2002</v>
      </c>
      <c r="J6030" s="10" t="s">
        <v>22211</v>
      </c>
      <c r="K6030" s="10">
        <v>217</v>
      </c>
      <c r="L6030" s="10" t="s">
        <v>30236</v>
      </c>
      <c r="M6030" s="10">
        <v>1</v>
      </c>
      <c r="N6030" s="10"/>
      <c r="O6030" s="10"/>
      <c r="P6030" s="10" t="s">
        <v>30237</v>
      </c>
      <c r="Q6030" s="10">
        <v>370.11700000000002</v>
      </c>
      <c r="R6030" s="10" t="s">
        <v>30238</v>
      </c>
      <c r="S6030" s="10" t="s">
        <v>53</v>
      </c>
      <c r="T6030" s="10" t="s">
        <v>54</v>
      </c>
    </row>
    <row r="6031" spans="1:20" ht="14.5" x14ac:dyDescent="0.35">
      <c r="A6031" s="10" t="s">
        <v>30239</v>
      </c>
      <c r="B6031" s="10" t="str">
        <f>"9781452235233"</f>
        <v>9781452235233</v>
      </c>
      <c r="C6031" s="10" t="str">
        <f>"9781452279596"</f>
        <v>9781452279596</v>
      </c>
      <c r="D6031" s="10" t="s">
        <v>22210</v>
      </c>
      <c r="E6031" s="10" t="s">
        <v>22211</v>
      </c>
      <c r="F6031" s="10" t="s">
        <v>333</v>
      </c>
      <c r="G6031" s="10" t="s">
        <v>6317</v>
      </c>
      <c r="H6031" s="11">
        <v>41164</v>
      </c>
      <c r="I6031" s="10">
        <v>2012</v>
      </c>
      <c r="J6031" s="10" t="s">
        <v>22211</v>
      </c>
      <c r="K6031" s="10">
        <v>225</v>
      </c>
      <c r="L6031" s="10" t="s">
        <v>30240</v>
      </c>
      <c r="M6031" s="10">
        <v>1</v>
      </c>
      <c r="N6031" s="10"/>
      <c r="O6031" s="10"/>
      <c r="P6031" s="10" t="s">
        <v>30241</v>
      </c>
      <c r="Q6031" s="10">
        <v>428.00709999999998</v>
      </c>
      <c r="R6031" s="10"/>
      <c r="S6031" s="10" t="s">
        <v>53</v>
      </c>
      <c r="T6031" s="10" t="s">
        <v>6616</v>
      </c>
    </row>
    <row r="6032" spans="1:20" ht="14.5" x14ac:dyDescent="0.35">
      <c r="A6032" s="10" t="s">
        <v>30242</v>
      </c>
      <c r="B6032" s="10" t="str">
        <f>"9781452241647"</f>
        <v>9781452241647</v>
      </c>
      <c r="C6032" s="10" t="str">
        <f>"9781452279794"</f>
        <v>9781452279794</v>
      </c>
      <c r="D6032" s="10" t="s">
        <v>22210</v>
      </c>
      <c r="E6032" s="10" t="s">
        <v>22211</v>
      </c>
      <c r="F6032" s="10" t="s">
        <v>333</v>
      </c>
      <c r="G6032" s="10" t="s">
        <v>6317</v>
      </c>
      <c r="H6032" s="11">
        <v>41179</v>
      </c>
      <c r="I6032" s="10">
        <v>2012</v>
      </c>
      <c r="J6032" s="10" t="s">
        <v>22211</v>
      </c>
      <c r="K6032" s="10">
        <v>121</v>
      </c>
      <c r="L6032" s="10" t="s">
        <v>30243</v>
      </c>
      <c r="M6032" s="10">
        <v>1</v>
      </c>
      <c r="N6032" s="10"/>
      <c r="O6032" s="10"/>
      <c r="P6032" s="10"/>
      <c r="Q6032" s="10">
        <v>372.6</v>
      </c>
      <c r="R6032" s="10"/>
      <c r="S6032" s="10" t="s">
        <v>53</v>
      </c>
      <c r="T6032" s="10" t="s">
        <v>54</v>
      </c>
    </row>
    <row r="6033" spans="1:20" ht="14.5" x14ac:dyDescent="0.35">
      <c r="A6033" s="10" t="s">
        <v>30244</v>
      </c>
      <c r="B6033" s="10" t="str">
        <f>"9781452205236"</f>
        <v>9781452205236</v>
      </c>
      <c r="C6033" s="10" t="str">
        <f>"9781452279695"</f>
        <v>9781452279695</v>
      </c>
      <c r="D6033" s="10" t="s">
        <v>22210</v>
      </c>
      <c r="E6033" s="10" t="s">
        <v>22211</v>
      </c>
      <c r="F6033" s="10" t="s">
        <v>333</v>
      </c>
      <c r="G6033" s="10" t="s">
        <v>6317</v>
      </c>
      <c r="H6033" s="11">
        <v>41129</v>
      </c>
      <c r="I6033" s="10">
        <v>2012</v>
      </c>
      <c r="J6033" s="10" t="s">
        <v>22211</v>
      </c>
      <c r="K6033" s="10">
        <v>201</v>
      </c>
      <c r="L6033" s="10" t="s">
        <v>22283</v>
      </c>
      <c r="M6033" s="10">
        <v>1</v>
      </c>
      <c r="N6033" s="10"/>
      <c r="O6033" s="10"/>
      <c r="P6033" s="10" t="s">
        <v>30245</v>
      </c>
      <c r="Q6033" s="10"/>
      <c r="R6033" s="10"/>
      <c r="S6033" s="10" t="s">
        <v>53</v>
      </c>
      <c r="T6033" s="10" t="s">
        <v>54</v>
      </c>
    </row>
    <row r="6034" spans="1:20" ht="14.5" x14ac:dyDescent="0.35">
      <c r="A6034" s="10" t="s">
        <v>30246</v>
      </c>
      <c r="B6034" s="10" t="str">
        <f>"9781412996365"</f>
        <v>9781412996365</v>
      </c>
      <c r="C6034" s="10" t="str">
        <f>"9781452279862"</f>
        <v>9781452279862</v>
      </c>
      <c r="D6034" s="10" t="s">
        <v>22210</v>
      </c>
      <c r="E6034" s="10" t="s">
        <v>22211</v>
      </c>
      <c r="F6034" s="10" t="s">
        <v>333</v>
      </c>
      <c r="G6034" s="10" t="s">
        <v>6317</v>
      </c>
      <c r="H6034" s="11">
        <v>41123</v>
      </c>
      <c r="I6034" s="10">
        <v>2012</v>
      </c>
      <c r="J6034" s="10" t="s">
        <v>22211</v>
      </c>
      <c r="K6034" s="10">
        <v>217</v>
      </c>
      <c r="L6034" s="10" t="s">
        <v>30247</v>
      </c>
      <c r="M6034" s="10">
        <v>1</v>
      </c>
      <c r="N6034" s="10"/>
      <c r="O6034" s="10"/>
      <c r="P6034" s="10" t="s">
        <v>30248</v>
      </c>
      <c r="Q6034" s="10" t="s">
        <v>9797</v>
      </c>
      <c r="R6034" s="10"/>
      <c r="S6034" s="10" t="s">
        <v>53</v>
      </c>
      <c r="T6034" s="10" t="s">
        <v>54</v>
      </c>
    </row>
    <row r="6035" spans="1:20" ht="14.5" x14ac:dyDescent="0.35">
      <c r="A6035" s="10" t="s">
        <v>30249</v>
      </c>
      <c r="B6035" s="10" t="str">
        <f>"9781452216485"</f>
        <v>9781452216485</v>
      </c>
      <c r="C6035" s="10" t="str">
        <f>"9781452279930"</f>
        <v>9781452279930</v>
      </c>
      <c r="D6035" s="10" t="s">
        <v>22210</v>
      </c>
      <c r="E6035" s="10" t="s">
        <v>22211</v>
      </c>
      <c r="F6035" s="10" t="s">
        <v>333</v>
      </c>
      <c r="G6035" s="10" t="s">
        <v>6317</v>
      </c>
      <c r="H6035" s="11">
        <v>41218</v>
      </c>
      <c r="I6035" s="10">
        <v>2013</v>
      </c>
      <c r="J6035" s="10" t="s">
        <v>22211</v>
      </c>
      <c r="K6035" s="10">
        <v>169</v>
      </c>
      <c r="L6035" s="10" t="s">
        <v>30250</v>
      </c>
      <c r="M6035" s="10">
        <v>1</v>
      </c>
      <c r="N6035" s="10"/>
      <c r="O6035" s="10"/>
      <c r="P6035" s="10" t="s">
        <v>30251</v>
      </c>
      <c r="Q6035" s="10">
        <v>371.39</v>
      </c>
      <c r="R6035" s="10"/>
      <c r="S6035" s="10" t="s">
        <v>53</v>
      </c>
      <c r="T6035" s="10" t="s">
        <v>54</v>
      </c>
    </row>
    <row r="6036" spans="1:20" ht="14.5" x14ac:dyDescent="0.35">
      <c r="A6036" s="10" t="s">
        <v>30252</v>
      </c>
      <c r="B6036" s="10" t="str">
        <f>"9781412962674"</f>
        <v>9781412962674</v>
      </c>
      <c r="C6036" s="10" t="str">
        <f>"9781452274010"</f>
        <v>9781452274010</v>
      </c>
      <c r="D6036" s="10" t="s">
        <v>22210</v>
      </c>
      <c r="E6036" s="10" t="s">
        <v>22211</v>
      </c>
      <c r="F6036" s="10" t="s">
        <v>333</v>
      </c>
      <c r="G6036" s="10" t="s">
        <v>6317</v>
      </c>
      <c r="H6036" s="11">
        <v>40037</v>
      </c>
      <c r="I6036" s="10">
        <v>2009</v>
      </c>
      <c r="J6036" s="10" t="s">
        <v>22211</v>
      </c>
      <c r="K6036" s="10">
        <v>217</v>
      </c>
      <c r="L6036" s="10" t="s">
        <v>30253</v>
      </c>
      <c r="M6036" s="10">
        <v>2</v>
      </c>
      <c r="N6036" s="10"/>
      <c r="O6036" s="10"/>
      <c r="P6036" s="10" t="s">
        <v>30254</v>
      </c>
      <c r="Q6036" s="10">
        <v>373.18097299999999</v>
      </c>
      <c r="R6036" s="10"/>
      <c r="S6036" s="10" t="s">
        <v>53</v>
      </c>
      <c r="T6036" s="10" t="s">
        <v>54</v>
      </c>
    </row>
    <row r="6037" spans="1:20" ht="14.5" x14ac:dyDescent="0.35">
      <c r="A6037" s="10" t="s">
        <v>30255</v>
      </c>
      <c r="B6037" s="10" t="str">
        <f>"9781412969840"</f>
        <v>9781412969840</v>
      </c>
      <c r="C6037" s="10" t="str">
        <f>"9781452273907"</f>
        <v>9781452273907</v>
      </c>
      <c r="D6037" s="10" t="s">
        <v>22210</v>
      </c>
      <c r="E6037" s="10" t="s">
        <v>22211</v>
      </c>
      <c r="F6037" s="10" t="s">
        <v>333</v>
      </c>
      <c r="G6037" s="10" t="s">
        <v>6317</v>
      </c>
      <c r="H6037" s="11">
        <v>39821</v>
      </c>
      <c r="I6037" s="10">
        <v>2009</v>
      </c>
      <c r="J6037" s="10" t="s">
        <v>22211</v>
      </c>
      <c r="K6037" s="10">
        <v>249</v>
      </c>
      <c r="L6037" s="10" t="s">
        <v>30256</v>
      </c>
      <c r="M6037" s="10">
        <v>3</v>
      </c>
      <c r="N6037" s="10"/>
      <c r="O6037" s="10"/>
      <c r="P6037" s="10" t="s">
        <v>30257</v>
      </c>
      <c r="Q6037" s="10" t="s">
        <v>9360</v>
      </c>
      <c r="R6037" s="10"/>
      <c r="S6037" s="10" t="s">
        <v>53</v>
      </c>
      <c r="T6037" s="10" t="s">
        <v>54</v>
      </c>
    </row>
    <row r="6038" spans="1:20" ht="14.5" x14ac:dyDescent="0.35">
      <c r="A6038" s="10" t="s">
        <v>30258</v>
      </c>
      <c r="B6038" s="10" t="str">
        <f>"9781412971737"</f>
        <v>9781412971737</v>
      </c>
      <c r="C6038" s="10" t="str">
        <f>"9781452273884"</f>
        <v>9781452273884</v>
      </c>
      <c r="D6038" s="10" t="s">
        <v>22210</v>
      </c>
      <c r="E6038" s="10" t="s">
        <v>22211</v>
      </c>
      <c r="F6038" s="10" t="s">
        <v>333</v>
      </c>
      <c r="G6038" s="10" t="s">
        <v>6317</v>
      </c>
      <c r="H6038" s="11">
        <v>40024</v>
      </c>
      <c r="I6038" s="10">
        <v>2009</v>
      </c>
      <c r="J6038" s="10" t="s">
        <v>22211</v>
      </c>
      <c r="K6038" s="10">
        <v>297</v>
      </c>
      <c r="L6038" s="10" t="s">
        <v>23196</v>
      </c>
      <c r="M6038" s="10">
        <v>2</v>
      </c>
      <c r="N6038" s="10"/>
      <c r="O6038" s="10"/>
      <c r="P6038" s="10" t="s">
        <v>30259</v>
      </c>
      <c r="Q6038" s="10">
        <v>371.95</v>
      </c>
      <c r="R6038" s="10"/>
      <c r="S6038" s="10" t="s">
        <v>53</v>
      </c>
      <c r="T6038" s="10" t="s">
        <v>54</v>
      </c>
    </row>
    <row r="6039" spans="1:20" ht="14.5" x14ac:dyDescent="0.35">
      <c r="A6039" s="10" t="s">
        <v>30260</v>
      </c>
      <c r="B6039" s="10" t="str">
        <f>"9781452203959"</f>
        <v>9781452203959</v>
      </c>
      <c r="C6039" s="10" t="str">
        <f>"9781452279763"</f>
        <v>9781452279763</v>
      </c>
      <c r="D6039" s="10" t="s">
        <v>22210</v>
      </c>
      <c r="E6039" s="10" t="s">
        <v>22211</v>
      </c>
      <c r="F6039" s="10" t="s">
        <v>333</v>
      </c>
      <c r="G6039" s="10" t="s">
        <v>6317</v>
      </c>
      <c r="H6039" s="11">
        <v>41052</v>
      </c>
      <c r="I6039" s="10">
        <v>2012</v>
      </c>
      <c r="J6039" s="10" t="s">
        <v>22211</v>
      </c>
      <c r="K6039" s="10">
        <v>241</v>
      </c>
      <c r="L6039" s="10" t="s">
        <v>30261</v>
      </c>
      <c r="M6039" s="10">
        <v>1</v>
      </c>
      <c r="N6039" s="10"/>
      <c r="O6039" s="10"/>
      <c r="P6039" s="10" t="s">
        <v>30262</v>
      </c>
      <c r="Q6039" s="10">
        <v>791.07100000000003</v>
      </c>
      <c r="R6039" s="10"/>
      <c r="S6039" s="10" t="s">
        <v>53</v>
      </c>
      <c r="T6039" s="10" t="s">
        <v>12249</v>
      </c>
    </row>
    <row r="6040" spans="1:20" ht="14.5" x14ac:dyDescent="0.35">
      <c r="A6040" s="10" t="s">
        <v>30263</v>
      </c>
      <c r="B6040" s="10" t="str">
        <f>"9781412939942"</f>
        <v>9781412939942</v>
      </c>
      <c r="C6040" s="10" t="str">
        <f>"9781452292878"</f>
        <v>9781452292878</v>
      </c>
      <c r="D6040" s="10" t="s">
        <v>22210</v>
      </c>
      <c r="E6040" s="10" t="s">
        <v>22211</v>
      </c>
      <c r="F6040" s="10" t="s">
        <v>333</v>
      </c>
      <c r="G6040" s="10" t="s">
        <v>6317</v>
      </c>
      <c r="H6040" s="11">
        <v>38947</v>
      </c>
      <c r="I6040" s="10">
        <v>2007</v>
      </c>
      <c r="J6040" s="10" t="s">
        <v>22211</v>
      </c>
      <c r="K6040" s="10">
        <v>297</v>
      </c>
      <c r="L6040" s="10" t="s">
        <v>30264</v>
      </c>
      <c r="M6040" s="10">
        <v>2</v>
      </c>
      <c r="N6040" s="10"/>
      <c r="O6040" s="10"/>
      <c r="P6040" s="10"/>
      <c r="Q6040" s="10">
        <v>372.7</v>
      </c>
      <c r="R6040" s="10"/>
      <c r="S6040" s="10" t="s">
        <v>53</v>
      </c>
      <c r="T6040" s="10" t="s">
        <v>54</v>
      </c>
    </row>
    <row r="6041" spans="1:20" ht="14.5" x14ac:dyDescent="0.35">
      <c r="A6041" s="10" t="s">
        <v>30265</v>
      </c>
      <c r="B6041" s="10" t="str">
        <f>"9781452205120"</f>
        <v>9781452205120</v>
      </c>
      <c r="C6041" s="10" t="str">
        <f>"9781452279374"</f>
        <v>9781452279374</v>
      </c>
      <c r="D6041" s="10" t="s">
        <v>22210</v>
      </c>
      <c r="E6041" s="10" t="s">
        <v>22211</v>
      </c>
      <c r="F6041" s="10" t="s">
        <v>333</v>
      </c>
      <c r="G6041" s="10" t="s">
        <v>6317</v>
      </c>
      <c r="H6041" s="11">
        <v>41068</v>
      </c>
      <c r="I6041" s="10">
        <v>2012</v>
      </c>
      <c r="J6041" s="10" t="s">
        <v>22211</v>
      </c>
      <c r="K6041" s="10">
        <v>97</v>
      </c>
      <c r="L6041" s="10" t="s">
        <v>24216</v>
      </c>
      <c r="M6041" s="10">
        <v>1</v>
      </c>
      <c r="N6041" s="10"/>
      <c r="O6041" s="10"/>
      <c r="P6041" s="10" t="s">
        <v>30266</v>
      </c>
      <c r="Q6041" s="10"/>
      <c r="R6041" s="10"/>
      <c r="S6041" s="10" t="s">
        <v>53</v>
      </c>
      <c r="T6041" s="10" t="s">
        <v>54</v>
      </c>
    </row>
    <row r="6042" spans="1:20" ht="14.5" x14ac:dyDescent="0.35">
      <c r="A6042" s="10" t="s">
        <v>30267</v>
      </c>
      <c r="B6042" s="10" t="str">
        <f>"9781452202891"</f>
        <v>9781452202891</v>
      </c>
      <c r="C6042" s="10" t="str">
        <f>"9781452279688"</f>
        <v>9781452279688</v>
      </c>
      <c r="D6042" s="10" t="s">
        <v>22210</v>
      </c>
      <c r="E6042" s="10" t="s">
        <v>22211</v>
      </c>
      <c r="F6042" s="10" t="s">
        <v>333</v>
      </c>
      <c r="G6042" s="10" t="s">
        <v>6317</v>
      </c>
      <c r="H6042" s="11">
        <v>41023</v>
      </c>
      <c r="I6042" s="10">
        <v>2012</v>
      </c>
      <c r="J6042" s="10" t="s">
        <v>22211</v>
      </c>
      <c r="K6042" s="10">
        <v>233</v>
      </c>
      <c r="L6042" s="10" t="s">
        <v>30268</v>
      </c>
      <c r="M6042" s="10">
        <v>1</v>
      </c>
      <c r="N6042" s="10"/>
      <c r="O6042" s="10"/>
      <c r="P6042" s="10" t="s">
        <v>30269</v>
      </c>
      <c r="Q6042" s="10" t="s">
        <v>7299</v>
      </c>
      <c r="R6042" s="10"/>
      <c r="S6042" s="10" t="s">
        <v>53</v>
      </c>
      <c r="T6042" s="10" t="s">
        <v>54</v>
      </c>
    </row>
    <row r="6043" spans="1:20" ht="14.5" x14ac:dyDescent="0.35">
      <c r="A6043" s="10" t="s">
        <v>30270</v>
      </c>
      <c r="B6043" s="10" t="str">
        <f>"9781452203898"</f>
        <v>9781452203898</v>
      </c>
      <c r="C6043" s="10" t="str">
        <f>"9781452279398"</f>
        <v>9781452279398</v>
      </c>
      <c r="D6043" s="10" t="s">
        <v>22210</v>
      </c>
      <c r="E6043" s="10" t="s">
        <v>22211</v>
      </c>
      <c r="F6043" s="10" t="s">
        <v>333</v>
      </c>
      <c r="G6043" s="10" t="s">
        <v>6317</v>
      </c>
      <c r="H6043" s="11">
        <v>40932</v>
      </c>
      <c r="I6043" s="10">
        <v>2012</v>
      </c>
      <c r="J6043" s="10" t="s">
        <v>22211</v>
      </c>
      <c r="K6043" s="10">
        <v>193</v>
      </c>
      <c r="L6043" s="10" t="s">
        <v>30271</v>
      </c>
      <c r="M6043" s="10">
        <v>1</v>
      </c>
      <c r="N6043" s="10"/>
      <c r="O6043" s="10"/>
      <c r="P6043" s="10" t="s">
        <v>30272</v>
      </c>
      <c r="Q6043" s="10" t="s">
        <v>9954</v>
      </c>
      <c r="R6043" s="10"/>
      <c r="S6043" s="10" t="s">
        <v>53</v>
      </c>
      <c r="T6043" s="10" t="s">
        <v>54</v>
      </c>
    </row>
    <row r="6044" spans="1:20" ht="14.5" x14ac:dyDescent="0.35">
      <c r="A6044" s="10" t="s">
        <v>30273</v>
      </c>
      <c r="B6044" s="10" t="str">
        <f>"9781452216461"</f>
        <v>9781452216461</v>
      </c>
      <c r="C6044" s="10" t="str">
        <f>"9781452279947"</f>
        <v>9781452279947</v>
      </c>
      <c r="D6044" s="10" t="s">
        <v>22210</v>
      </c>
      <c r="E6044" s="10" t="s">
        <v>22211</v>
      </c>
      <c r="F6044" s="10" t="s">
        <v>333</v>
      </c>
      <c r="G6044" s="10" t="s">
        <v>6317</v>
      </c>
      <c r="H6044" s="11">
        <v>41047</v>
      </c>
      <c r="I6044" s="10">
        <v>2012</v>
      </c>
      <c r="J6044" s="10" t="s">
        <v>22211</v>
      </c>
      <c r="K6044" s="10">
        <v>177</v>
      </c>
      <c r="L6044" s="10" t="s">
        <v>30274</v>
      </c>
      <c r="M6044" s="10">
        <v>1</v>
      </c>
      <c r="N6044" s="10"/>
      <c r="O6044" s="10"/>
      <c r="P6044" s="10" t="s">
        <v>30275</v>
      </c>
      <c r="Q6044" s="10" t="s">
        <v>6942</v>
      </c>
      <c r="R6044" s="10"/>
      <c r="S6044" s="10" t="s">
        <v>53</v>
      </c>
      <c r="T6044" s="10" t="s">
        <v>54</v>
      </c>
    </row>
    <row r="6045" spans="1:20" ht="14.5" x14ac:dyDescent="0.35">
      <c r="A6045" s="10" t="s">
        <v>30276</v>
      </c>
      <c r="B6045" s="10" t="str">
        <f>"9781452220055"</f>
        <v>9781452220055</v>
      </c>
      <c r="C6045" s="10" t="str">
        <f>"9781452279367"</f>
        <v>9781452279367</v>
      </c>
      <c r="D6045" s="10" t="s">
        <v>22210</v>
      </c>
      <c r="E6045" s="10" t="s">
        <v>22211</v>
      </c>
      <c r="F6045" s="10" t="s">
        <v>333</v>
      </c>
      <c r="G6045" s="10" t="s">
        <v>6317</v>
      </c>
      <c r="H6045" s="11">
        <v>40969</v>
      </c>
      <c r="I6045" s="10">
        <v>2012</v>
      </c>
      <c r="J6045" s="10" t="s">
        <v>22211</v>
      </c>
      <c r="K6045" s="10">
        <v>209</v>
      </c>
      <c r="L6045" s="10" t="s">
        <v>30277</v>
      </c>
      <c r="M6045" s="10">
        <v>1</v>
      </c>
      <c r="N6045" s="10"/>
      <c r="O6045" s="10"/>
      <c r="P6045" s="10" t="s">
        <v>30278</v>
      </c>
      <c r="Q6045" s="10">
        <v>371.33446780000003</v>
      </c>
      <c r="R6045" s="10"/>
      <c r="S6045" s="10" t="s">
        <v>53</v>
      </c>
      <c r="T6045" s="10" t="s">
        <v>54</v>
      </c>
    </row>
    <row r="6046" spans="1:20" ht="14.5" x14ac:dyDescent="0.35">
      <c r="A6046" s="10" t="s">
        <v>30279</v>
      </c>
      <c r="B6046" s="10" t="str">
        <f>"9781452205298"</f>
        <v>9781452205298</v>
      </c>
      <c r="C6046" s="10" t="str">
        <f>"9781452279749"</f>
        <v>9781452279749</v>
      </c>
      <c r="D6046" s="10" t="s">
        <v>22210</v>
      </c>
      <c r="E6046" s="10" t="s">
        <v>22211</v>
      </c>
      <c r="F6046" s="10" t="s">
        <v>333</v>
      </c>
      <c r="G6046" s="10" t="s">
        <v>6317</v>
      </c>
      <c r="H6046" s="11">
        <v>40938</v>
      </c>
      <c r="I6046" s="10">
        <v>2012</v>
      </c>
      <c r="J6046" s="10" t="s">
        <v>22211</v>
      </c>
      <c r="K6046" s="10">
        <v>113</v>
      </c>
      <c r="L6046" s="10" t="s">
        <v>30280</v>
      </c>
      <c r="M6046" s="10">
        <v>1</v>
      </c>
      <c r="N6046" s="10"/>
      <c r="O6046" s="10"/>
      <c r="P6046" s="10" t="s">
        <v>30281</v>
      </c>
      <c r="Q6046" s="10">
        <v>370.11700000000002</v>
      </c>
      <c r="R6046" s="10"/>
      <c r="S6046" s="10" t="s">
        <v>53</v>
      </c>
      <c r="T6046" s="10" t="s">
        <v>54</v>
      </c>
    </row>
    <row r="6047" spans="1:20" ht="14.5" x14ac:dyDescent="0.35">
      <c r="A6047" s="10" t="s">
        <v>30282</v>
      </c>
      <c r="B6047" s="10" t="str">
        <f>"9781412991995"</f>
        <v>9781412991995</v>
      </c>
      <c r="C6047" s="10" t="str">
        <f>"9781452268811"</f>
        <v>9781452268811</v>
      </c>
      <c r="D6047" s="10" t="s">
        <v>22210</v>
      </c>
      <c r="E6047" s="10" t="s">
        <v>22211</v>
      </c>
      <c r="F6047" s="10" t="s">
        <v>333</v>
      </c>
      <c r="G6047" s="10" t="s">
        <v>6317</v>
      </c>
      <c r="H6047" s="11">
        <v>40770</v>
      </c>
      <c r="I6047" s="10">
        <v>2011</v>
      </c>
      <c r="J6047" s="10" t="s">
        <v>22211</v>
      </c>
      <c r="K6047" s="10">
        <v>193</v>
      </c>
      <c r="L6047" s="10" t="s">
        <v>24610</v>
      </c>
      <c r="M6047" s="10">
        <v>1</v>
      </c>
      <c r="N6047" s="10"/>
      <c r="O6047" s="10"/>
      <c r="P6047" s="10" t="s">
        <v>30283</v>
      </c>
      <c r="Q6047" s="10"/>
      <c r="R6047" s="10"/>
      <c r="S6047" s="10" t="s">
        <v>53</v>
      </c>
      <c r="T6047" s="10" t="s">
        <v>54</v>
      </c>
    </row>
    <row r="6048" spans="1:20" ht="14.5" x14ac:dyDescent="0.35">
      <c r="A6048" s="10" t="s">
        <v>30284</v>
      </c>
      <c r="B6048" s="10" t="str">
        <f>"9781412965422"</f>
        <v>9781412965422</v>
      </c>
      <c r="C6048" s="10" t="str">
        <f>"9781452269023"</f>
        <v>9781452269023</v>
      </c>
      <c r="D6048" s="10" t="s">
        <v>22210</v>
      </c>
      <c r="E6048" s="10" t="s">
        <v>22211</v>
      </c>
      <c r="F6048" s="10" t="s">
        <v>333</v>
      </c>
      <c r="G6048" s="10" t="s">
        <v>6317</v>
      </c>
      <c r="H6048" s="11">
        <v>40589</v>
      </c>
      <c r="I6048" s="10">
        <v>2011</v>
      </c>
      <c r="J6048" s="10" t="s">
        <v>22211</v>
      </c>
      <c r="K6048" s="10">
        <v>241</v>
      </c>
      <c r="L6048" s="10" t="s">
        <v>30171</v>
      </c>
      <c r="M6048" s="10">
        <v>1</v>
      </c>
      <c r="N6048" s="10"/>
      <c r="O6048" s="10"/>
      <c r="P6048" s="10" t="s">
        <v>30285</v>
      </c>
      <c r="Q6048" s="10" t="s">
        <v>19565</v>
      </c>
      <c r="R6048" s="10" t="s">
        <v>30286</v>
      </c>
      <c r="S6048" s="10" t="s">
        <v>53</v>
      </c>
      <c r="T6048" s="10" t="s">
        <v>54</v>
      </c>
    </row>
    <row r="6049" spans="1:20" ht="14.5" x14ac:dyDescent="0.35">
      <c r="A6049" s="10" t="s">
        <v>30287</v>
      </c>
      <c r="B6049" s="10" t="str">
        <f>"9781412996211"</f>
        <v>9781412996211</v>
      </c>
      <c r="C6049" s="10" t="str">
        <f>"9781452269207"</f>
        <v>9781452269207</v>
      </c>
      <c r="D6049" s="10" t="s">
        <v>22210</v>
      </c>
      <c r="E6049" s="10" t="s">
        <v>22211</v>
      </c>
      <c r="F6049" s="10" t="s">
        <v>333</v>
      </c>
      <c r="G6049" s="10" t="s">
        <v>6317</v>
      </c>
      <c r="H6049" s="11">
        <v>40882</v>
      </c>
      <c r="I6049" s="10">
        <v>2012</v>
      </c>
      <c r="J6049" s="10" t="s">
        <v>22211</v>
      </c>
      <c r="K6049" s="10">
        <v>177</v>
      </c>
      <c r="L6049" s="10" t="s">
        <v>30288</v>
      </c>
      <c r="M6049" s="10">
        <v>1</v>
      </c>
      <c r="N6049" s="10"/>
      <c r="O6049" s="10"/>
      <c r="P6049" s="10" t="s">
        <v>30289</v>
      </c>
      <c r="Q6049" s="10" t="s">
        <v>30290</v>
      </c>
      <c r="R6049" s="10" t="s">
        <v>30291</v>
      </c>
      <c r="S6049" s="10" t="s">
        <v>53</v>
      </c>
      <c r="T6049" s="10" t="s">
        <v>16443</v>
      </c>
    </row>
    <row r="6050" spans="1:20" ht="14.5" x14ac:dyDescent="0.35">
      <c r="A6050" s="10" t="s">
        <v>30292</v>
      </c>
      <c r="B6050" s="10" t="str">
        <f>"9781452202884"</f>
        <v>9781452202884</v>
      </c>
      <c r="C6050" s="10" t="str">
        <f>"9781452269030"</f>
        <v>9781452269030</v>
      </c>
      <c r="D6050" s="10" t="s">
        <v>22210</v>
      </c>
      <c r="E6050" s="10" t="s">
        <v>22211</v>
      </c>
      <c r="F6050" s="10" t="s">
        <v>333</v>
      </c>
      <c r="G6050" s="10" t="s">
        <v>6317</v>
      </c>
      <c r="H6050" s="11">
        <v>40865</v>
      </c>
      <c r="I6050" s="10">
        <v>2012</v>
      </c>
      <c r="J6050" s="10" t="s">
        <v>22211</v>
      </c>
      <c r="K6050" s="10">
        <v>193</v>
      </c>
      <c r="L6050" s="10" t="s">
        <v>30293</v>
      </c>
      <c r="M6050" s="10">
        <v>1</v>
      </c>
      <c r="N6050" s="10"/>
      <c r="O6050" s="10"/>
      <c r="P6050" s="10" t="s">
        <v>30294</v>
      </c>
      <c r="Q6050" s="10">
        <v>371.9</v>
      </c>
      <c r="R6050" s="10" t="s">
        <v>30295</v>
      </c>
      <c r="S6050" s="10" t="s">
        <v>53</v>
      </c>
      <c r="T6050" s="10" t="s">
        <v>54</v>
      </c>
    </row>
    <row r="6051" spans="1:20" ht="14.5" x14ac:dyDescent="0.35">
      <c r="A6051" s="10" t="s">
        <v>30296</v>
      </c>
      <c r="B6051" s="10" t="str">
        <f>"9781452203973"</f>
        <v>9781452203973</v>
      </c>
      <c r="C6051" s="10" t="str">
        <f>"9781452279213"</f>
        <v>9781452279213</v>
      </c>
      <c r="D6051" s="10" t="s">
        <v>22210</v>
      </c>
      <c r="E6051" s="10" t="s">
        <v>22211</v>
      </c>
      <c r="F6051" s="10" t="s">
        <v>333</v>
      </c>
      <c r="G6051" s="10" t="s">
        <v>6317</v>
      </c>
      <c r="H6051" s="11">
        <v>41215</v>
      </c>
      <c r="I6051" s="10">
        <v>2013</v>
      </c>
      <c r="J6051" s="10" t="s">
        <v>22211</v>
      </c>
      <c r="K6051" s="10">
        <v>145</v>
      </c>
      <c r="L6051" s="10" t="s">
        <v>30297</v>
      </c>
      <c r="M6051" s="10">
        <v>1</v>
      </c>
      <c r="N6051" s="10"/>
      <c r="O6051" s="10"/>
      <c r="P6051" s="10" t="s">
        <v>30298</v>
      </c>
      <c r="Q6051" s="10" t="s">
        <v>8304</v>
      </c>
      <c r="R6051" s="10" t="s">
        <v>30299</v>
      </c>
      <c r="S6051" s="10" t="s">
        <v>53</v>
      </c>
      <c r="T6051" s="10" t="s">
        <v>54</v>
      </c>
    </row>
    <row r="6052" spans="1:20" ht="14.5" x14ac:dyDescent="0.35">
      <c r="A6052" s="10" t="s">
        <v>30300</v>
      </c>
      <c r="B6052" s="10" t="str">
        <f>"9781452235011"</f>
        <v>9781452235011</v>
      </c>
      <c r="C6052" s="10" t="str">
        <f>"9781452279787"</f>
        <v>9781452279787</v>
      </c>
      <c r="D6052" s="10" t="s">
        <v>22210</v>
      </c>
      <c r="E6052" s="10" t="s">
        <v>22211</v>
      </c>
      <c r="F6052" s="10" t="s">
        <v>333</v>
      </c>
      <c r="G6052" s="10" t="s">
        <v>6317</v>
      </c>
      <c r="H6052" s="11">
        <v>41221</v>
      </c>
      <c r="I6052" s="10">
        <v>2013</v>
      </c>
      <c r="J6052" s="10" t="s">
        <v>22211</v>
      </c>
      <c r="K6052" s="10">
        <v>265</v>
      </c>
      <c r="L6052" s="10" t="s">
        <v>30301</v>
      </c>
      <c r="M6052" s="10">
        <v>1</v>
      </c>
      <c r="N6052" s="10"/>
      <c r="O6052" s="10"/>
      <c r="P6052" s="10" t="s">
        <v>30302</v>
      </c>
      <c r="Q6052" s="10">
        <v>372.62309729999998</v>
      </c>
      <c r="R6052" s="10"/>
      <c r="S6052" s="10" t="s">
        <v>53</v>
      </c>
      <c r="T6052" s="10" t="s">
        <v>54</v>
      </c>
    </row>
    <row r="6053" spans="1:20" ht="14.5" x14ac:dyDescent="0.35">
      <c r="A6053" s="10" t="s">
        <v>30303</v>
      </c>
      <c r="B6053" s="10" t="str">
        <f>"9781452258676"</f>
        <v>9781452258676</v>
      </c>
      <c r="C6053" s="10" t="str">
        <f>"9781452279848"</f>
        <v>9781452279848</v>
      </c>
      <c r="D6053" s="10" t="s">
        <v>22210</v>
      </c>
      <c r="E6053" s="10" t="s">
        <v>22211</v>
      </c>
      <c r="F6053" s="10" t="s">
        <v>333</v>
      </c>
      <c r="G6053" s="10" t="s">
        <v>6317</v>
      </c>
      <c r="H6053" s="11">
        <v>41234</v>
      </c>
      <c r="I6053" s="10">
        <v>2013</v>
      </c>
      <c r="J6053" s="10" t="s">
        <v>22211</v>
      </c>
      <c r="K6053" s="10">
        <v>113</v>
      </c>
      <c r="L6053" s="10" t="s">
        <v>30304</v>
      </c>
      <c r="M6053" s="10">
        <v>1</v>
      </c>
      <c r="N6053" s="10"/>
      <c r="O6053" s="10"/>
      <c r="P6053" s="10" t="s">
        <v>30305</v>
      </c>
      <c r="Q6053" s="10">
        <v>370.154</v>
      </c>
      <c r="R6053" s="10"/>
      <c r="S6053" s="10" t="s">
        <v>53</v>
      </c>
      <c r="T6053" s="10" t="s">
        <v>54</v>
      </c>
    </row>
    <row r="6054" spans="1:20" ht="14.5" x14ac:dyDescent="0.35">
      <c r="A6054" s="10" t="s">
        <v>30306</v>
      </c>
      <c r="B6054" s="10" t="str">
        <f>"9781452226217"</f>
        <v>9781452226217</v>
      </c>
      <c r="C6054" s="10" t="str">
        <f>"9781452279619"</f>
        <v>9781452279619</v>
      </c>
      <c r="D6054" s="10" t="s">
        <v>22210</v>
      </c>
      <c r="E6054" s="10" t="s">
        <v>22211</v>
      </c>
      <c r="F6054" s="10" t="s">
        <v>333</v>
      </c>
      <c r="G6054" s="10" t="s">
        <v>6317</v>
      </c>
      <c r="H6054" s="11">
        <v>41241</v>
      </c>
      <c r="I6054" s="10">
        <v>2013</v>
      </c>
      <c r="J6054" s="10" t="s">
        <v>22211</v>
      </c>
      <c r="K6054" s="10">
        <v>233</v>
      </c>
      <c r="L6054" s="10" t="s">
        <v>30307</v>
      </c>
      <c r="M6054" s="10">
        <v>1</v>
      </c>
      <c r="N6054" s="10"/>
      <c r="O6054" s="10"/>
      <c r="P6054" s="10" t="s">
        <v>30308</v>
      </c>
      <c r="Q6054" s="10">
        <v>428.24</v>
      </c>
      <c r="R6054" s="10" t="s">
        <v>30309</v>
      </c>
      <c r="S6054" s="10" t="s">
        <v>53</v>
      </c>
      <c r="T6054" s="10" t="s">
        <v>6634</v>
      </c>
    </row>
    <row r="6055" spans="1:20" ht="14.5" x14ac:dyDescent="0.35">
      <c r="A6055" s="10" t="s">
        <v>30310</v>
      </c>
      <c r="B6055" s="10" t="str">
        <f>"9781412954211"</f>
        <v>9781412954211</v>
      </c>
      <c r="C6055" s="10" t="str">
        <f>"9781452296814"</f>
        <v>9781452296814</v>
      </c>
      <c r="D6055" s="10" t="s">
        <v>22210</v>
      </c>
      <c r="E6055" s="10" t="s">
        <v>22211</v>
      </c>
      <c r="F6055" s="10" t="s">
        <v>333</v>
      </c>
      <c r="G6055" s="10" t="s">
        <v>6317</v>
      </c>
      <c r="H6055" s="11">
        <v>39178</v>
      </c>
      <c r="I6055" s="10">
        <v>2007</v>
      </c>
      <c r="J6055" s="10" t="s">
        <v>22211</v>
      </c>
      <c r="K6055" s="10">
        <v>177</v>
      </c>
      <c r="L6055" s="10" t="s">
        <v>25039</v>
      </c>
      <c r="M6055" s="10">
        <v>1</v>
      </c>
      <c r="N6055" s="10"/>
      <c r="O6055" s="10"/>
      <c r="P6055" s="10"/>
      <c r="Q6055" s="10"/>
      <c r="R6055" s="10"/>
      <c r="S6055" s="10" t="s">
        <v>53</v>
      </c>
      <c r="T6055" s="10" t="s">
        <v>54</v>
      </c>
    </row>
    <row r="6056" spans="1:20" ht="14.5" x14ac:dyDescent="0.35">
      <c r="A6056" s="10" t="s">
        <v>30311</v>
      </c>
      <c r="B6056" s="10" t="str">
        <f>"9781412954266"</f>
        <v>9781412954266</v>
      </c>
      <c r="C6056" s="10" t="str">
        <f>"9781452296821"</f>
        <v>9781452296821</v>
      </c>
      <c r="D6056" s="10" t="s">
        <v>22210</v>
      </c>
      <c r="E6056" s="10" t="s">
        <v>22211</v>
      </c>
      <c r="F6056" s="10" t="s">
        <v>333</v>
      </c>
      <c r="G6056" s="10" t="s">
        <v>6317</v>
      </c>
      <c r="H6056" s="11">
        <v>39534</v>
      </c>
      <c r="I6056" s="10">
        <v>2008</v>
      </c>
      <c r="J6056" s="10" t="s">
        <v>22211</v>
      </c>
      <c r="K6056" s="10">
        <v>153</v>
      </c>
      <c r="L6056" s="10" t="s">
        <v>25039</v>
      </c>
      <c r="M6056" s="10">
        <v>1</v>
      </c>
      <c r="N6056" s="10"/>
      <c r="O6056" s="10"/>
      <c r="P6056" s="10"/>
      <c r="Q6056" s="10">
        <v>371.94</v>
      </c>
      <c r="R6056" s="10"/>
      <c r="S6056" s="10" t="s">
        <v>53</v>
      </c>
      <c r="T6056" s="10" t="s">
        <v>54</v>
      </c>
    </row>
    <row r="6057" spans="1:20" ht="14.5" x14ac:dyDescent="0.35">
      <c r="A6057" s="10" t="s">
        <v>30312</v>
      </c>
      <c r="B6057" s="10" t="str">
        <f>"9781412954273"</f>
        <v>9781412954273</v>
      </c>
      <c r="C6057" s="10" t="str">
        <f>"9781452296838"</f>
        <v>9781452296838</v>
      </c>
      <c r="D6057" s="10" t="s">
        <v>22210</v>
      </c>
      <c r="E6057" s="10" t="s">
        <v>22211</v>
      </c>
      <c r="F6057" s="10" t="s">
        <v>333</v>
      </c>
      <c r="G6057" s="10" t="s">
        <v>6317</v>
      </c>
      <c r="H6057" s="11">
        <v>39427</v>
      </c>
      <c r="I6057" s="10">
        <v>2008</v>
      </c>
      <c r="J6057" s="10" t="s">
        <v>22211</v>
      </c>
      <c r="K6057" s="10">
        <v>121</v>
      </c>
      <c r="L6057" s="10" t="s">
        <v>25039</v>
      </c>
      <c r="M6057" s="10">
        <v>1</v>
      </c>
      <c r="N6057" s="10"/>
      <c r="O6057" s="10"/>
      <c r="P6057" s="10" t="s">
        <v>30313</v>
      </c>
      <c r="Q6057" s="10">
        <v>371.94</v>
      </c>
      <c r="R6057" s="10"/>
      <c r="S6057" s="10" t="s">
        <v>53</v>
      </c>
      <c r="T6057" s="10" t="s">
        <v>54</v>
      </c>
    </row>
    <row r="6058" spans="1:20" ht="14.5" x14ac:dyDescent="0.35">
      <c r="A6058" s="10" t="s">
        <v>30314</v>
      </c>
      <c r="B6058" s="10" t="str">
        <f>"9781412917896"</f>
        <v>9781412917896</v>
      </c>
      <c r="C6058" s="10" t="str">
        <f>"9781452296845"</f>
        <v>9781452296845</v>
      </c>
      <c r="D6058" s="10" t="s">
        <v>22210</v>
      </c>
      <c r="E6058" s="10" t="s">
        <v>22211</v>
      </c>
      <c r="F6058" s="10" t="s">
        <v>333</v>
      </c>
      <c r="G6058" s="10" t="s">
        <v>6317</v>
      </c>
      <c r="H6058" s="11">
        <v>39429</v>
      </c>
      <c r="I6058" s="10">
        <v>2008</v>
      </c>
      <c r="J6058" s="10" t="s">
        <v>22211</v>
      </c>
      <c r="K6058" s="10">
        <v>177</v>
      </c>
      <c r="L6058" s="10" t="s">
        <v>25039</v>
      </c>
      <c r="M6058" s="10">
        <v>1</v>
      </c>
      <c r="N6058" s="10"/>
      <c r="O6058" s="10"/>
      <c r="P6058" s="10" t="s">
        <v>30315</v>
      </c>
      <c r="Q6058" s="10"/>
      <c r="R6058" s="10"/>
      <c r="S6058" s="10" t="s">
        <v>53</v>
      </c>
      <c r="T6058" s="10" t="s">
        <v>54</v>
      </c>
    </row>
    <row r="6059" spans="1:20" ht="14.5" x14ac:dyDescent="0.35">
      <c r="A6059" s="10" t="s">
        <v>30316</v>
      </c>
      <c r="B6059" s="10" t="str">
        <f>"9781412927338"</f>
        <v>9781412927338</v>
      </c>
      <c r="C6059" s="10" t="str">
        <f>"9781452296906"</f>
        <v>9781452296906</v>
      </c>
      <c r="D6059" s="10" t="s">
        <v>22210</v>
      </c>
      <c r="E6059" s="10" t="s">
        <v>22211</v>
      </c>
      <c r="F6059" s="10" t="s">
        <v>333</v>
      </c>
      <c r="G6059" s="10" t="s">
        <v>6317</v>
      </c>
      <c r="H6059" s="11">
        <v>39226</v>
      </c>
      <c r="I6059" s="10">
        <v>2007</v>
      </c>
      <c r="J6059" s="10" t="s">
        <v>22211</v>
      </c>
      <c r="K6059" s="10">
        <v>225</v>
      </c>
      <c r="L6059" s="10" t="s">
        <v>30317</v>
      </c>
      <c r="M6059" s="10">
        <v>1</v>
      </c>
      <c r="N6059" s="10"/>
      <c r="O6059" s="10"/>
      <c r="P6059" s="10" t="s">
        <v>30318</v>
      </c>
      <c r="Q6059" s="10"/>
      <c r="R6059" s="10"/>
      <c r="S6059" s="10" t="s">
        <v>53</v>
      </c>
      <c r="T6059" s="10" t="s">
        <v>6363</v>
      </c>
    </row>
    <row r="6060" spans="1:20" ht="14.5" x14ac:dyDescent="0.35">
      <c r="A6060" s="10" t="s">
        <v>30319</v>
      </c>
      <c r="B6060" s="10" t="str">
        <f>"9781412925747"</f>
        <v>9781412925747</v>
      </c>
      <c r="C6060" s="10" t="str">
        <f>"9781452296937"</f>
        <v>9781452296937</v>
      </c>
      <c r="D6060" s="10" t="s">
        <v>22210</v>
      </c>
      <c r="E6060" s="10" t="s">
        <v>22211</v>
      </c>
      <c r="F6060" s="10" t="s">
        <v>333</v>
      </c>
      <c r="G6060" s="10" t="s">
        <v>6317</v>
      </c>
      <c r="H6060" s="11">
        <v>39087</v>
      </c>
      <c r="I6060" s="10">
        <v>2007</v>
      </c>
      <c r="J6060" s="10" t="s">
        <v>22211</v>
      </c>
      <c r="K6060" s="10">
        <v>209</v>
      </c>
      <c r="L6060" s="10" t="s">
        <v>30320</v>
      </c>
      <c r="M6060" s="10">
        <v>1</v>
      </c>
      <c r="N6060" s="10"/>
      <c r="O6060" s="10"/>
      <c r="P6060" s="10" t="s">
        <v>30321</v>
      </c>
      <c r="Q6060" s="10" t="s">
        <v>10535</v>
      </c>
      <c r="R6060" s="10"/>
      <c r="S6060" s="10" t="s">
        <v>53</v>
      </c>
      <c r="T6060" s="10" t="s">
        <v>54</v>
      </c>
    </row>
    <row r="6061" spans="1:20" ht="14.5" x14ac:dyDescent="0.35">
      <c r="A6061" s="10" t="s">
        <v>30322</v>
      </c>
      <c r="B6061" s="10" t="str">
        <f>"9781412926621"</f>
        <v>9781412926621</v>
      </c>
      <c r="C6061" s="10" t="str">
        <f>"9781452296968"</f>
        <v>9781452296968</v>
      </c>
      <c r="D6061" s="10" t="s">
        <v>22210</v>
      </c>
      <c r="E6061" s="10" t="s">
        <v>22211</v>
      </c>
      <c r="F6061" s="10" t="s">
        <v>333</v>
      </c>
      <c r="G6061" s="10" t="s">
        <v>6317</v>
      </c>
      <c r="H6061" s="11">
        <v>39177</v>
      </c>
      <c r="I6061" s="10">
        <v>2007</v>
      </c>
      <c r="J6061" s="10" t="s">
        <v>22211</v>
      </c>
      <c r="K6061" s="10">
        <v>241</v>
      </c>
      <c r="L6061" s="10" t="s">
        <v>30323</v>
      </c>
      <c r="M6061" s="10">
        <v>1</v>
      </c>
      <c r="N6061" s="10"/>
      <c r="O6061" s="10"/>
      <c r="P6061" s="10" t="s">
        <v>30324</v>
      </c>
      <c r="Q6061" s="10">
        <v>530.07100000000003</v>
      </c>
      <c r="R6061" s="10"/>
      <c r="S6061" s="10" t="s">
        <v>53</v>
      </c>
      <c r="T6061" s="10" t="s">
        <v>11108</v>
      </c>
    </row>
    <row r="6062" spans="1:20" ht="14.5" x14ac:dyDescent="0.35">
      <c r="A6062" s="10" t="s">
        <v>30325</v>
      </c>
      <c r="B6062" s="10" t="str">
        <f>"9781412926119"</f>
        <v>9781412926119</v>
      </c>
      <c r="C6062" s="10" t="str">
        <f>"9781452296975"</f>
        <v>9781452296975</v>
      </c>
      <c r="D6062" s="10" t="s">
        <v>22210</v>
      </c>
      <c r="E6062" s="10" t="s">
        <v>22211</v>
      </c>
      <c r="F6062" s="10" t="s">
        <v>333</v>
      </c>
      <c r="G6062" s="10" t="s">
        <v>6317</v>
      </c>
      <c r="H6062" s="11">
        <v>39100</v>
      </c>
      <c r="I6062" s="10">
        <v>2007</v>
      </c>
      <c r="J6062" s="10" t="s">
        <v>22211</v>
      </c>
      <c r="K6062" s="10">
        <v>177</v>
      </c>
      <c r="L6062" s="10" t="s">
        <v>30134</v>
      </c>
      <c r="M6062" s="10">
        <v>1</v>
      </c>
      <c r="N6062" s="10"/>
      <c r="O6062" s="10"/>
      <c r="P6062" s="10" t="s">
        <v>30326</v>
      </c>
      <c r="Q6062" s="10">
        <v>155.5</v>
      </c>
      <c r="R6062" s="10"/>
      <c r="S6062" s="10" t="s">
        <v>53</v>
      </c>
      <c r="T6062" s="10" t="s">
        <v>10711</v>
      </c>
    </row>
    <row r="6063" spans="1:20" ht="14.5" x14ac:dyDescent="0.35">
      <c r="A6063" s="10" t="s">
        <v>30327</v>
      </c>
      <c r="B6063" s="10" t="str">
        <f>"9781412927284"</f>
        <v>9781412927284</v>
      </c>
      <c r="C6063" s="10" t="str">
        <f>"9781452296982"</f>
        <v>9781452296982</v>
      </c>
      <c r="D6063" s="10" t="s">
        <v>22210</v>
      </c>
      <c r="E6063" s="10" t="s">
        <v>22211</v>
      </c>
      <c r="F6063" s="10" t="s">
        <v>333</v>
      </c>
      <c r="G6063" s="10" t="s">
        <v>6317</v>
      </c>
      <c r="H6063" s="11">
        <v>39129</v>
      </c>
      <c r="I6063" s="10">
        <v>2007</v>
      </c>
      <c r="J6063" s="10" t="s">
        <v>22211</v>
      </c>
      <c r="K6063" s="10">
        <v>161</v>
      </c>
      <c r="L6063" s="10" t="s">
        <v>30328</v>
      </c>
      <c r="M6063" s="10">
        <v>1</v>
      </c>
      <c r="N6063" s="10"/>
      <c r="O6063" s="10"/>
      <c r="P6063" s="10" t="s">
        <v>30329</v>
      </c>
      <c r="Q6063" s="10" t="s">
        <v>22247</v>
      </c>
      <c r="R6063" s="10"/>
      <c r="S6063" s="10" t="s">
        <v>53</v>
      </c>
      <c r="T6063" s="10" t="s">
        <v>54</v>
      </c>
    </row>
    <row r="6064" spans="1:20" ht="14.5" x14ac:dyDescent="0.35">
      <c r="A6064" s="10" t="s">
        <v>30330</v>
      </c>
      <c r="B6064" s="10" t="str">
        <f>"9781412927826"</f>
        <v>9781412927826</v>
      </c>
      <c r="C6064" s="10" t="str">
        <f>"9781452296999"</f>
        <v>9781452296999</v>
      </c>
      <c r="D6064" s="10" t="s">
        <v>22210</v>
      </c>
      <c r="E6064" s="10" t="s">
        <v>22211</v>
      </c>
      <c r="F6064" s="10" t="s">
        <v>333</v>
      </c>
      <c r="G6064" s="10" t="s">
        <v>6317</v>
      </c>
      <c r="H6064" s="11">
        <v>39632</v>
      </c>
      <c r="I6064" s="10">
        <v>2009</v>
      </c>
      <c r="J6064" s="10" t="s">
        <v>22211</v>
      </c>
      <c r="K6064" s="10">
        <v>145</v>
      </c>
      <c r="L6064" s="10" t="s">
        <v>30331</v>
      </c>
      <c r="M6064" s="10">
        <v>1</v>
      </c>
      <c r="N6064" s="10"/>
      <c r="O6064" s="10"/>
      <c r="P6064" s="10" t="s">
        <v>30332</v>
      </c>
      <c r="Q6064" s="10" t="s">
        <v>9360</v>
      </c>
      <c r="R6064" s="10"/>
      <c r="S6064" s="10" t="s">
        <v>53</v>
      </c>
      <c r="T6064" s="10" t="s">
        <v>54</v>
      </c>
    </row>
    <row r="6065" spans="1:20" ht="14.5" x14ac:dyDescent="0.35">
      <c r="A6065" s="10" t="s">
        <v>30333</v>
      </c>
      <c r="B6065" s="10" t="str">
        <f>"9781412927642"</f>
        <v>9781412927642</v>
      </c>
      <c r="C6065" s="10" t="str">
        <f>"9781452297040"</f>
        <v>9781452297040</v>
      </c>
      <c r="D6065" s="10" t="s">
        <v>22210</v>
      </c>
      <c r="E6065" s="10" t="s">
        <v>22211</v>
      </c>
      <c r="F6065" s="10" t="s">
        <v>333</v>
      </c>
      <c r="G6065" s="10" t="s">
        <v>6317</v>
      </c>
      <c r="H6065" s="11">
        <v>39422</v>
      </c>
      <c r="I6065" s="10">
        <v>2008</v>
      </c>
      <c r="J6065" s="10" t="s">
        <v>22211</v>
      </c>
      <c r="K6065" s="10">
        <v>137</v>
      </c>
      <c r="L6065" s="10" t="s">
        <v>30334</v>
      </c>
      <c r="M6065" s="10">
        <v>1</v>
      </c>
      <c r="N6065" s="10"/>
      <c r="O6065" s="10"/>
      <c r="P6065" s="10" t="s">
        <v>30335</v>
      </c>
      <c r="Q6065" s="10">
        <v>372.7</v>
      </c>
      <c r="R6065" s="10"/>
      <c r="S6065" s="10" t="s">
        <v>53</v>
      </c>
      <c r="T6065" s="10" t="s">
        <v>6448</v>
      </c>
    </row>
    <row r="6066" spans="1:20" ht="14.5" x14ac:dyDescent="0.35">
      <c r="A6066" s="10" t="s">
        <v>30336</v>
      </c>
      <c r="B6066" s="10" t="str">
        <f>"9781412936866"</f>
        <v>9781412936866</v>
      </c>
      <c r="C6066" s="10" t="str">
        <f>"9781452297057"</f>
        <v>9781452297057</v>
      </c>
      <c r="D6066" s="10" t="s">
        <v>22210</v>
      </c>
      <c r="E6066" s="10" t="s">
        <v>22211</v>
      </c>
      <c r="F6066" s="10" t="s">
        <v>333</v>
      </c>
      <c r="G6066" s="10" t="s">
        <v>6317</v>
      </c>
      <c r="H6066" s="11">
        <v>39429</v>
      </c>
      <c r="I6066" s="10">
        <v>2008</v>
      </c>
      <c r="J6066" s="10" t="s">
        <v>22211</v>
      </c>
      <c r="K6066" s="10">
        <v>217</v>
      </c>
      <c r="L6066" s="10" t="s">
        <v>30337</v>
      </c>
      <c r="M6066" s="10">
        <v>1</v>
      </c>
      <c r="N6066" s="10"/>
      <c r="O6066" s="10"/>
      <c r="P6066" s="10" t="s">
        <v>30338</v>
      </c>
      <c r="Q6066" s="10">
        <v>428.00709999999998</v>
      </c>
      <c r="R6066" s="10"/>
      <c r="S6066" s="10" t="s">
        <v>53</v>
      </c>
      <c r="T6066" s="10" t="s">
        <v>6616</v>
      </c>
    </row>
    <row r="6067" spans="1:20" ht="14.5" x14ac:dyDescent="0.35">
      <c r="A6067" s="10" t="s">
        <v>30339</v>
      </c>
      <c r="B6067" s="10" t="str">
        <f>"9781412938839"</f>
        <v>9781412938839</v>
      </c>
      <c r="C6067" s="10" t="str">
        <f>"9781452297071"</f>
        <v>9781452297071</v>
      </c>
      <c r="D6067" s="10" t="s">
        <v>22210</v>
      </c>
      <c r="E6067" s="10" t="s">
        <v>22211</v>
      </c>
      <c r="F6067" s="10" t="s">
        <v>333</v>
      </c>
      <c r="G6067" s="10" t="s">
        <v>6317</v>
      </c>
      <c r="H6067" s="11">
        <v>39183</v>
      </c>
      <c r="I6067" s="10">
        <v>2007</v>
      </c>
      <c r="J6067" s="10" t="s">
        <v>22211</v>
      </c>
      <c r="K6067" s="10">
        <v>241</v>
      </c>
      <c r="L6067" s="10" t="s">
        <v>30340</v>
      </c>
      <c r="M6067" s="10">
        <v>1</v>
      </c>
      <c r="N6067" s="10"/>
      <c r="O6067" s="10"/>
      <c r="P6067" s="10" t="s">
        <v>30341</v>
      </c>
      <c r="Q6067" s="10" t="s">
        <v>30342</v>
      </c>
      <c r="R6067" s="10"/>
      <c r="S6067" s="10" t="s">
        <v>53</v>
      </c>
      <c r="T6067" s="10" t="s">
        <v>54</v>
      </c>
    </row>
    <row r="6068" spans="1:20" ht="14.5" x14ac:dyDescent="0.35">
      <c r="A6068" s="10" t="s">
        <v>30343</v>
      </c>
      <c r="B6068" s="10" t="str">
        <f>"9781412936743"</f>
        <v>9781412936743</v>
      </c>
      <c r="C6068" s="10" t="str">
        <f>"9781452297088"</f>
        <v>9781452297088</v>
      </c>
      <c r="D6068" s="10" t="s">
        <v>22210</v>
      </c>
      <c r="E6068" s="10" t="s">
        <v>22211</v>
      </c>
      <c r="F6068" s="10" t="s">
        <v>333</v>
      </c>
      <c r="G6068" s="10" t="s">
        <v>6317</v>
      </c>
      <c r="H6068" s="11">
        <v>39295</v>
      </c>
      <c r="I6068" s="10">
        <v>2007</v>
      </c>
      <c r="J6068" s="10" t="s">
        <v>22211</v>
      </c>
      <c r="K6068" s="10">
        <v>177</v>
      </c>
      <c r="L6068" s="10" t="s">
        <v>30344</v>
      </c>
      <c r="M6068" s="10">
        <v>1</v>
      </c>
      <c r="N6068" s="10"/>
      <c r="O6068" s="10"/>
      <c r="P6068" s="10" t="s">
        <v>30345</v>
      </c>
      <c r="Q6068" s="10"/>
      <c r="R6068" s="10"/>
      <c r="S6068" s="10" t="s">
        <v>53</v>
      </c>
      <c r="T6068" s="10" t="s">
        <v>54</v>
      </c>
    </row>
    <row r="6069" spans="1:20" ht="14.5" x14ac:dyDescent="0.35">
      <c r="A6069" s="10" t="s">
        <v>30346</v>
      </c>
      <c r="B6069" s="10" t="str">
        <f>"9781412941754"</f>
        <v>9781412941754</v>
      </c>
      <c r="C6069" s="10" t="str">
        <f>"9781452297095"</f>
        <v>9781452297095</v>
      </c>
      <c r="D6069" s="10" t="s">
        <v>22210</v>
      </c>
      <c r="E6069" s="10" t="s">
        <v>22211</v>
      </c>
      <c r="F6069" s="10" t="s">
        <v>333</v>
      </c>
      <c r="G6069" s="10" t="s">
        <v>6317</v>
      </c>
      <c r="H6069" s="11">
        <v>39322</v>
      </c>
      <c r="I6069" s="10">
        <v>2008</v>
      </c>
      <c r="J6069" s="10" t="s">
        <v>22211</v>
      </c>
      <c r="K6069" s="10">
        <v>273</v>
      </c>
      <c r="L6069" s="10" t="s">
        <v>30347</v>
      </c>
      <c r="M6069" s="10">
        <v>1</v>
      </c>
      <c r="N6069" s="10"/>
      <c r="O6069" s="10"/>
      <c r="P6069" s="10" t="s">
        <v>30348</v>
      </c>
      <c r="Q6069" s="10">
        <v>372.4</v>
      </c>
      <c r="R6069" s="10"/>
      <c r="S6069" s="10" t="s">
        <v>53</v>
      </c>
      <c r="T6069" s="10" t="s">
        <v>54</v>
      </c>
    </row>
    <row r="6070" spans="1:20" ht="14.5" x14ac:dyDescent="0.35">
      <c r="A6070" s="10" t="s">
        <v>30349</v>
      </c>
      <c r="B6070" s="10" t="str">
        <f>"9781412942454"</f>
        <v>9781412942454</v>
      </c>
      <c r="C6070" s="10" t="str">
        <f>"9781452297118"</f>
        <v>9781452297118</v>
      </c>
      <c r="D6070" s="10" t="s">
        <v>22210</v>
      </c>
      <c r="E6070" s="10" t="s">
        <v>22211</v>
      </c>
      <c r="F6070" s="10" t="s">
        <v>333</v>
      </c>
      <c r="G6070" s="10" t="s">
        <v>6317</v>
      </c>
      <c r="H6070" s="11">
        <v>39567</v>
      </c>
      <c r="I6070" s="10">
        <v>2008</v>
      </c>
      <c r="J6070" s="10" t="s">
        <v>22211</v>
      </c>
      <c r="K6070" s="10">
        <v>217</v>
      </c>
      <c r="L6070" s="10" t="s">
        <v>30350</v>
      </c>
      <c r="M6070" s="10">
        <v>1</v>
      </c>
      <c r="N6070" s="10"/>
      <c r="O6070" s="10"/>
      <c r="P6070" s="10" t="s">
        <v>30351</v>
      </c>
      <c r="Q6070" s="10"/>
      <c r="R6070" s="10"/>
      <c r="S6070" s="10" t="s">
        <v>53</v>
      </c>
      <c r="T6070" s="10" t="s">
        <v>54</v>
      </c>
    </row>
    <row r="6071" spans="1:20" ht="14.5" x14ac:dyDescent="0.35">
      <c r="A6071" s="10" t="s">
        <v>30352</v>
      </c>
      <c r="B6071" s="10" t="str">
        <f>"9781412957847"</f>
        <v>9781412957847</v>
      </c>
      <c r="C6071" s="10" t="str">
        <f>"9781452297149"</f>
        <v>9781452297149</v>
      </c>
      <c r="D6071" s="10" t="s">
        <v>22210</v>
      </c>
      <c r="E6071" s="10" t="s">
        <v>22211</v>
      </c>
      <c r="F6071" s="10" t="s">
        <v>333</v>
      </c>
      <c r="G6071" s="10" t="s">
        <v>6317</v>
      </c>
      <c r="H6071" s="11">
        <v>39693</v>
      </c>
      <c r="I6071" s="10">
        <v>2009</v>
      </c>
      <c r="J6071" s="10" t="s">
        <v>22211</v>
      </c>
      <c r="K6071" s="10">
        <v>201</v>
      </c>
      <c r="L6071" s="10" t="s">
        <v>30353</v>
      </c>
      <c r="M6071" s="10">
        <v>2</v>
      </c>
      <c r="N6071" s="10"/>
      <c r="O6071" s="10"/>
      <c r="P6071" s="10" t="s">
        <v>30354</v>
      </c>
      <c r="Q6071" s="10">
        <v>372.6</v>
      </c>
      <c r="R6071" s="10"/>
      <c r="S6071" s="10" t="s">
        <v>53</v>
      </c>
      <c r="T6071" s="10" t="s">
        <v>54</v>
      </c>
    </row>
    <row r="6072" spans="1:20" ht="14.5" x14ac:dyDescent="0.35">
      <c r="A6072" s="10" t="s">
        <v>30355</v>
      </c>
      <c r="B6072" s="10" t="str">
        <f>"9781412949323"</f>
        <v>9781412949323</v>
      </c>
      <c r="C6072" s="10" t="str">
        <f>"9781452297194"</f>
        <v>9781452297194</v>
      </c>
      <c r="D6072" s="10" t="s">
        <v>22210</v>
      </c>
      <c r="E6072" s="10" t="s">
        <v>22211</v>
      </c>
      <c r="F6072" s="10" t="s">
        <v>333</v>
      </c>
      <c r="G6072" s="10" t="s">
        <v>6317</v>
      </c>
      <c r="H6072" s="11">
        <v>39289</v>
      </c>
      <c r="I6072" s="10">
        <v>2008</v>
      </c>
      <c r="J6072" s="10" t="s">
        <v>22211</v>
      </c>
      <c r="K6072" s="10">
        <v>257</v>
      </c>
      <c r="L6072" s="10" t="s">
        <v>30356</v>
      </c>
      <c r="M6072" s="10">
        <v>2</v>
      </c>
      <c r="N6072" s="10"/>
      <c r="O6072" s="10"/>
      <c r="P6072" s="10" t="s">
        <v>30357</v>
      </c>
      <c r="Q6072" s="10">
        <v>370.113</v>
      </c>
      <c r="R6072" s="10"/>
      <c r="S6072" s="10" t="s">
        <v>53</v>
      </c>
      <c r="T6072" s="10" t="s">
        <v>54</v>
      </c>
    </row>
    <row r="6073" spans="1:20" ht="14.5" x14ac:dyDescent="0.35">
      <c r="A6073" s="10" t="s">
        <v>30358</v>
      </c>
      <c r="B6073" s="10" t="str">
        <f>"9781412944618"</f>
        <v>9781412944618</v>
      </c>
      <c r="C6073" s="10" t="str">
        <f>"9781452297200"</f>
        <v>9781452297200</v>
      </c>
      <c r="D6073" s="10" t="s">
        <v>22210</v>
      </c>
      <c r="E6073" s="10" t="s">
        <v>22211</v>
      </c>
      <c r="F6073" s="10" t="s">
        <v>333</v>
      </c>
      <c r="G6073" s="10" t="s">
        <v>6317</v>
      </c>
      <c r="H6073" s="11">
        <v>39295</v>
      </c>
      <c r="I6073" s="10">
        <v>2008</v>
      </c>
      <c r="J6073" s="10" t="s">
        <v>22211</v>
      </c>
      <c r="K6073" s="10">
        <v>297</v>
      </c>
      <c r="L6073" s="10" t="s">
        <v>30359</v>
      </c>
      <c r="M6073" s="10">
        <v>2</v>
      </c>
      <c r="N6073" s="10"/>
      <c r="O6073" s="10"/>
      <c r="P6073" s="10" t="s">
        <v>30360</v>
      </c>
      <c r="Q6073" s="10">
        <v>371.10199999999998</v>
      </c>
      <c r="R6073" s="10"/>
      <c r="S6073" s="10" t="s">
        <v>53</v>
      </c>
      <c r="T6073" s="10" t="s">
        <v>54</v>
      </c>
    </row>
    <row r="6074" spans="1:20" ht="14.5" x14ac:dyDescent="0.35">
      <c r="A6074" s="10" t="s">
        <v>30361</v>
      </c>
      <c r="B6074" s="10" t="str">
        <f>"9781412963060"</f>
        <v>9781412963060</v>
      </c>
      <c r="C6074" s="10" t="str">
        <f>"9781452297217"</f>
        <v>9781452297217</v>
      </c>
      <c r="D6074" s="10" t="s">
        <v>22210</v>
      </c>
      <c r="E6074" s="10" t="s">
        <v>22211</v>
      </c>
      <c r="F6074" s="10" t="s">
        <v>333</v>
      </c>
      <c r="G6074" s="10" t="s">
        <v>6317</v>
      </c>
      <c r="H6074" s="11">
        <v>39785</v>
      </c>
      <c r="I6074" s="10">
        <v>2009</v>
      </c>
      <c r="J6074" s="10" t="s">
        <v>22211</v>
      </c>
      <c r="K6074" s="10">
        <v>161</v>
      </c>
      <c r="L6074" s="10" t="s">
        <v>22296</v>
      </c>
      <c r="M6074" s="10">
        <v>1</v>
      </c>
      <c r="N6074" s="10" t="s">
        <v>22297</v>
      </c>
      <c r="O6074" s="10"/>
      <c r="P6074" s="10" t="s">
        <v>30362</v>
      </c>
      <c r="Q6074" s="10"/>
      <c r="R6074" s="10"/>
      <c r="S6074" s="10" t="s">
        <v>53</v>
      </c>
      <c r="T6074" s="10" t="s">
        <v>54</v>
      </c>
    </row>
    <row r="6075" spans="1:20" ht="14.5" x14ac:dyDescent="0.35">
      <c r="A6075" s="10" t="s">
        <v>30363</v>
      </c>
      <c r="B6075" s="10" t="str">
        <f>"9781412963046"</f>
        <v>9781412963046</v>
      </c>
      <c r="C6075" s="10" t="str">
        <f>"9781452297224"</f>
        <v>9781452297224</v>
      </c>
      <c r="D6075" s="10" t="s">
        <v>22210</v>
      </c>
      <c r="E6075" s="10" t="s">
        <v>22211</v>
      </c>
      <c r="F6075" s="10" t="s">
        <v>333</v>
      </c>
      <c r="G6075" s="10" t="s">
        <v>6317</v>
      </c>
      <c r="H6075" s="11">
        <v>39785</v>
      </c>
      <c r="I6075" s="10">
        <v>2009</v>
      </c>
      <c r="J6075" s="10" t="s">
        <v>22211</v>
      </c>
      <c r="K6075" s="10">
        <v>161</v>
      </c>
      <c r="L6075" s="10" t="s">
        <v>22296</v>
      </c>
      <c r="M6075" s="10">
        <v>1</v>
      </c>
      <c r="N6075" s="10" t="s">
        <v>22297</v>
      </c>
      <c r="O6075" s="10"/>
      <c r="P6075" s="10" t="s">
        <v>30364</v>
      </c>
      <c r="Q6075" s="10"/>
      <c r="R6075" s="10"/>
      <c r="S6075" s="10" t="s">
        <v>53</v>
      </c>
      <c r="T6075" s="10" t="s">
        <v>54</v>
      </c>
    </row>
    <row r="6076" spans="1:20" ht="14.5" x14ac:dyDescent="0.35">
      <c r="A6076" s="10" t="s">
        <v>30365</v>
      </c>
      <c r="B6076" s="10" t="str">
        <f>"9781412950183"</f>
        <v>9781412950183</v>
      </c>
      <c r="C6076" s="10" t="str">
        <f>"9781452297248"</f>
        <v>9781452297248</v>
      </c>
      <c r="D6076" s="10" t="s">
        <v>22210</v>
      </c>
      <c r="E6076" s="10" t="s">
        <v>22211</v>
      </c>
      <c r="F6076" s="10" t="s">
        <v>333</v>
      </c>
      <c r="G6076" s="10" t="s">
        <v>6317</v>
      </c>
      <c r="H6076" s="11">
        <v>39135</v>
      </c>
      <c r="I6076" s="10">
        <v>2007</v>
      </c>
      <c r="J6076" s="10" t="s">
        <v>22211</v>
      </c>
      <c r="K6076" s="10">
        <v>209</v>
      </c>
      <c r="L6076" s="10" t="s">
        <v>30050</v>
      </c>
      <c r="M6076" s="10">
        <v>2</v>
      </c>
      <c r="N6076" s="10"/>
      <c r="O6076" s="10"/>
      <c r="P6076" s="10" t="s">
        <v>30366</v>
      </c>
      <c r="Q6076" s="10">
        <v>373.11020000000002</v>
      </c>
      <c r="R6076" s="10"/>
      <c r="S6076" s="10" t="s">
        <v>53</v>
      </c>
      <c r="T6076" s="10" t="s">
        <v>54</v>
      </c>
    </row>
    <row r="6077" spans="1:20" ht="14.5" x14ac:dyDescent="0.35">
      <c r="A6077" s="10" t="s">
        <v>30367</v>
      </c>
      <c r="B6077" s="10" t="str">
        <f>"9781412954198"</f>
        <v>9781412954198</v>
      </c>
      <c r="C6077" s="10" t="str">
        <f>"9781452297262"</f>
        <v>9781452297262</v>
      </c>
      <c r="D6077" s="10" t="s">
        <v>22210</v>
      </c>
      <c r="E6077" s="10" t="s">
        <v>22211</v>
      </c>
      <c r="F6077" s="10" t="s">
        <v>333</v>
      </c>
      <c r="G6077" s="10" t="s">
        <v>6317</v>
      </c>
      <c r="H6077" s="11">
        <v>39266</v>
      </c>
      <c r="I6077" s="10">
        <v>2007</v>
      </c>
      <c r="J6077" s="10" t="s">
        <v>22211</v>
      </c>
      <c r="K6077" s="10">
        <v>225</v>
      </c>
      <c r="L6077" s="10" t="s">
        <v>30368</v>
      </c>
      <c r="M6077" s="10">
        <v>2</v>
      </c>
      <c r="N6077" s="10"/>
      <c r="O6077" s="10"/>
      <c r="P6077" s="10" t="s">
        <v>30369</v>
      </c>
      <c r="Q6077" s="10"/>
      <c r="R6077" s="10"/>
      <c r="S6077" s="10" t="s">
        <v>53</v>
      </c>
      <c r="T6077" s="10" t="s">
        <v>54</v>
      </c>
    </row>
    <row r="6078" spans="1:20" ht="14.5" x14ac:dyDescent="0.35">
      <c r="A6078" s="10" t="s">
        <v>30370</v>
      </c>
      <c r="B6078" s="10" t="str">
        <f>"9781412950206"</f>
        <v>9781412950206</v>
      </c>
      <c r="C6078" s="10" t="str">
        <f>"9781452297279"</f>
        <v>9781452297279</v>
      </c>
      <c r="D6078" s="10" t="s">
        <v>22210</v>
      </c>
      <c r="E6078" s="10" t="s">
        <v>22211</v>
      </c>
      <c r="F6078" s="10" t="s">
        <v>333</v>
      </c>
      <c r="G6078" s="10" t="s">
        <v>6317</v>
      </c>
      <c r="H6078" s="11">
        <v>39106</v>
      </c>
      <c r="I6078" s="10">
        <v>2007</v>
      </c>
      <c r="J6078" s="10" t="s">
        <v>22211</v>
      </c>
      <c r="K6078" s="10">
        <v>161</v>
      </c>
      <c r="L6078" s="10" t="s">
        <v>30371</v>
      </c>
      <c r="M6078" s="10">
        <v>2</v>
      </c>
      <c r="N6078" s="10"/>
      <c r="O6078" s="10"/>
      <c r="P6078" s="10"/>
      <c r="Q6078" s="10" t="s">
        <v>8376</v>
      </c>
      <c r="R6078" s="10"/>
      <c r="S6078" s="10" t="s">
        <v>53</v>
      </c>
      <c r="T6078" s="10" t="s">
        <v>54</v>
      </c>
    </row>
    <row r="6079" spans="1:20" ht="14.5" x14ac:dyDescent="0.35">
      <c r="A6079" s="10" t="s">
        <v>30372</v>
      </c>
      <c r="B6079" s="10" t="str">
        <f>"9781412939997"</f>
        <v>9781412939997</v>
      </c>
      <c r="C6079" s="10" t="str">
        <f>"9781452297330"</f>
        <v>9781452297330</v>
      </c>
      <c r="D6079" s="10" t="s">
        <v>22210</v>
      </c>
      <c r="E6079" s="10" t="s">
        <v>22211</v>
      </c>
      <c r="F6079" s="10" t="s">
        <v>333</v>
      </c>
      <c r="G6079" s="10" t="s">
        <v>6317</v>
      </c>
      <c r="H6079" s="11">
        <v>39491</v>
      </c>
      <c r="I6079" s="10">
        <v>2008</v>
      </c>
      <c r="J6079" s="10" t="s">
        <v>22211</v>
      </c>
      <c r="K6079" s="10">
        <v>177</v>
      </c>
      <c r="L6079" s="10" t="s">
        <v>30373</v>
      </c>
      <c r="M6079" s="10">
        <v>1</v>
      </c>
      <c r="N6079" s="10"/>
      <c r="O6079" s="10"/>
      <c r="P6079" s="10" t="s">
        <v>30374</v>
      </c>
      <c r="Q6079" s="10">
        <v>371.39</v>
      </c>
      <c r="R6079" s="10"/>
      <c r="S6079" s="10" t="s">
        <v>53</v>
      </c>
      <c r="T6079" s="10" t="s">
        <v>54</v>
      </c>
    </row>
    <row r="6080" spans="1:20" ht="14.5" x14ac:dyDescent="0.35">
      <c r="A6080" s="10" t="s">
        <v>30375</v>
      </c>
      <c r="B6080" s="10" t="str">
        <f>"9781412940351"</f>
        <v>9781412940351</v>
      </c>
      <c r="C6080" s="10" t="str">
        <f>"9781452297347"</f>
        <v>9781452297347</v>
      </c>
      <c r="D6080" s="10" t="s">
        <v>22210</v>
      </c>
      <c r="E6080" s="10" t="s">
        <v>22211</v>
      </c>
      <c r="F6080" s="10" t="s">
        <v>333</v>
      </c>
      <c r="G6080" s="10" t="s">
        <v>6317</v>
      </c>
      <c r="H6080" s="11">
        <v>39569</v>
      </c>
      <c r="I6080" s="10">
        <v>2008</v>
      </c>
      <c r="J6080" s="10" t="s">
        <v>22211</v>
      </c>
      <c r="K6080" s="10">
        <v>193</v>
      </c>
      <c r="L6080" s="10" t="s">
        <v>30376</v>
      </c>
      <c r="M6080" s="10">
        <v>1</v>
      </c>
      <c r="N6080" s="10"/>
      <c r="O6080" s="10"/>
      <c r="P6080" s="10" t="s">
        <v>30377</v>
      </c>
      <c r="Q6080" s="10">
        <v>370.11</v>
      </c>
      <c r="R6080" s="10"/>
      <c r="S6080" s="10" t="s">
        <v>53</v>
      </c>
      <c r="T6080" s="10" t="s">
        <v>54</v>
      </c>
    </row>
    <row r="6081" spans="1:20" ht="14.5" x14ac:dyDescent="0.35">
      <c r="A6081" s="10" t="s">
        <v>30378</v>
      </c>
      <c r="B6081" s="10" t="str">
        <f>"9781412940436"</f>
        <v>9781412940436</v>
      </c>
      <c r="C6081" s="10" t="str">
        <f>"9781452297354"</f>
        <v>9781452297354</v>
      </c>
      <c r="D6081" s="10" t="s">
        <v>22210</v>
      </c>
      <c r="E6081" s="10" t="s">
        <v>22211</v>
      </c>
      <c r="F6081" s="10" t="s">
        <v>333</v>
      </c>
      <c r="G6081" s="10" t="s">
        <v>6317</v>
      </c>
      <c r="H6081" s="11">
        <v>39168</v>
      </c>
      <c r="I6081" s="10">
        <v>2007</v>
      </c>
      <c r="J6081" s="10" t="s">
        <v>22211</v>
      </c>
      <c r="K6081" s="10">
        <v>177</v>
      </c>
      <c r="L6081" s="10" t="s">
        <v>30379</v>
      </c>
      <c r="M6081" s="10">
        <v>1</v>
      </c>
      <c r="N6081" s="10"/>
      <c r="O6081" s="10"/>
      <c r="P6081" s="10" t="s">
        <v>30380</v>
      </c>
      <c r="Q6081" s="10">
        <v>372.47</v>
      </c>
      <c r="R6081" s="10"/>
      <c r="S6081" s="10" t="s">
        <v>53</v>
      </c>
      <c r="T6081" s="10" t="s">
        <v>54</v>
      </c>
    </row>
    <row r="6082" spans="1:20" ht="14.5" x14ac:dyDescent="0.35">
      <c r="A6082" s="10" t="s">
        <v>30381</v>
      </c>
      <c r="B6082" s="10" t="str">
        <f>"9781412940382"</f>
        <v>9781412940382</v>
      </c>
      <c r="C6082" s="10" t="str">
        <f>"9781452297361"</f>
        <v>9781452297361</v>
      </c>
      <c r="D6082" s="10" t="s">
        <v>22210</v>
      </c>
      <c r="E6082" s="10" t="s">
        <v>22211</v>
      </c>
      <c r="F6082" s="10" t="s">
        <v>333</v>
      </c>
      <c r="G6082" s="10" t="s">
        <v>6317</v>
      </c>
      <c r="H6082" s="11">
        <v>39177</v>
      </c>
      <c r="I6082" s="10">
        <v>2007</v>
      </c>
      <c r="J6082" s="10" t="s">
        <v>22211</v>
      </c>
      <c r="K6082" s="10">
        <v>161</v>
      </c>
      <c r="L6082" s="10" t="s">
        <v>30382</v>
      </c>
      <c r="M6082" s="10">
        <v>1</v>
      </c>
      <c r="N6082" s="10"/>
      <c r="O6082" s="10"/>
      <c r="P6082" s="10"/>
      <c r="Q6082" s="10" t="s">
        <v>19840</v>
      </c>
      <c r="R6082" s="10"/>
      <c r="S6082" s="10" t="s">
        <v>53</v>
      </c>
      <c r="T6082" s="10" t="s">
        <v>54</v>
      </c>
    </row>
    <row r="6083" spans="1:20" ht="14.5" x14ac:dyDescent="0.35">
      <c r="A6083" s="10" t="s">
        <v>30383</v>
      </c>
      <c r="B6083" s="10" t="str">
        <f>"9781412940955"</f>
        <v>9781412940955</v>
      </c>
      <c r="C6083" s="10" t="str">
        <f>"9781452297385"</f>
        <v>9781452297385</v>
      </c>
      <c r="D6083" s="10" t="s">
        <v>22210</v>
      </c>
      <c r="E6083" s="10" t="s">
        <v>22211</v>
      </c>
      <c r="F6083" s="10" t="s">
        <v>333</v>
      </c>
      <c r="G6083" s="10" t="s">
        <v>6317</v>
      </c>
      <c r="H6083" s="11">
        <v>39717</v>
      </c>
      <c r="I6083" s="10">
        <v>2009</v>
      </c>
      <c r="J6083" s="10" t="s">
        <v>22211</v>
      </c>
      <c r="K6083" s="10">
        <v>345</v>
      </c>
      <c r="L6083" s="10" t="s">
        <v>30384</v>
      </c>
      <c r="M6083" s="10">
        <v>2</v>
      </c>
      <c r="N6083" s="10"/>
      <c r="O6083" s="10"/>
      <c r="P6083" s="10" t="s">
        <v>30385</v>
      </c>
      <c r="Q6083" s="10" t="s">
        <v>30386</v>
      </c>
      <c r="R6083" s="10"/>
      <c r="S6083" s="10" t="s">
        <v>53</v>
      </c>
      <c r="T6083" s="10" t="s">
        <v>54</v>
      </c>
    </row>
    <row r="6084" spans="1:20" ht="14.5" x14ac:dyDescent="0.35">
      <c r="A6084" s="10" t="s">
        <v>30387</v>
      </c>
      <c r="B6084" s="10" t="str">
        <f>"9781412940993"</f>
        <v>9781412940993</v>
      </c>
      <c r="C6084" s="10" t="str">
        <f>"9781452297460"</f>
        <v>9781452297460</v>
      </c>
      <c r="D6084" s="10" t="s">
        <v>22210</v>
      </c>
      <c r="E6084" s="10" t="s">
        <v>22211</v>
      </c>
      <c r="F6084" s="10" t="s">
        <v>333</v>
      </c>
      <c r="G6084" s="10" t="s">
        <v>6317</v>
      </c>
      <c r="H6084" s="11">
        <v>39750</v>
      </c>
      <c r="I6084" s="10">
        <v>2009</v>
      </c>
      <c r="J6084" s="10" t="s">
        <v>22211</v>
      </c>
      <c r="K6084" s="10">
        <v>233</v>
      </c>
      <c r="L6084" s="10" t="s">
        <v>30388</v>
      </c>
      <c r="M6084" s="10">
        <v>1</v>
      </c>
      <c r="N6084" s="10"/>
      <c r="O6084" s="10"/>
      <c r="P6084" s="10" t="s">
        <v>30389</v>
      </c>
      <c r="Q6084" s="10">
        <v>372.24209730000001</v>
      </c>
      <c r="R6084" s="10"/>
      <c r="S6084" s="10" t="s">
        <v>53</v>
      </c>
      <c r="T6084" s="10" t="s">
        <v>54</v>
      </c>
    </row>
    <row r="6085" spans="1:20" ht="14.5" x14ac:dyDescent="0.35">
      <c r="A6085" s="10" t="s">
        <v>30390</v>
      </c>
      <c r="B6085" s="10" t="str">
        <f>"9781412941389"</f>
        <v>9781412941389</v>
      </c>
      <c r="C6085" s="10" t="str">
        <f>"9781452297477"</f>
        <v>9781452297477</v>
      </c>
      <c r="D6085" s="10" t="s">
        <v>22210</v>
      </c>
      <c r="E6085" s="10" t="s">
        <v>22211</v>
      </c>
      <c r="F6085" s="10" t="s">
        <v>333</v>
      </c>
      <c r="G6085" s="10" t="s">
        <v>6317</v>
      </c>
      <c r="H6085" s="11">
        <v>39211</v>
      </c>
      <c r="I6085" s="10">
        <v>2007</v>
      </c>
      <c r="J6085" s="10" t="s">
        <v>22211</v>
      </c>
      <c r="K6085" s="10">
        <v>169</v>
      </c>
      <c r="L6085" s="10" t="s">
        <v>30391</v>
      </c>
      <c r="M6085" s="10">
        <v>1</v>
      </c>
      <c r="N6085" s="10"/>
      <c r="O6085" s="10"/>
      <c r="P6085" s="10" t="s">
        <v>30392</v>
      </c>
      <c r="Q6085" s="10">
        <v>510.71199999999999</v>
      </c>
      <c r="R6085" s="10"/>
      <c r="S6085" s="10" t="s">
        <v>53</v>
      </c>
      <c r="T6085" s="10" t="s">
        <v>389</v>
      </c>
    </row>
    <row r="6086" spans="1:20" ht="14.5" x14ac:dyDescent="0.35">
      <c r="A6086" s="10" t="s">
        <v>30393</v>
      </c>
      <c r="B6086" s="10" t="str">
        <f>"9781412940887"</f>
        <v>9781412940887</v>
      </c>
      <c r="C6086" s="10" t="str">
        <f>"9781452297514"</f>
        <v>9781452297514</v>
      </c>
      <c r="D6086" s="10" t="s">
        <v>22210</v>
      </c>
      <c r="E6086" s="10" t="s">
        <v>22211</v>
      </c>
      <c r="F6086" s="10" t="s">
        <v>333</v>
      </c>
      <c r="G6086" s="10" t="s">
        <v>6317</v>
      </c>
      <c r="H6086" s="11">
        <v>39771</v>
      </c>
      <c r="I6086" s="10">
        <v>2009</v>
      </c>
      <c r="J6086" s="10" t="s">
        <v>22211</v>
      </c>
      <c r="K6086" s="10">
        <v>225</v>
      </c>
      <c r="L6086" s="10" t="s">
        <v>30394</v>
      </c>
      <c r="M6086" s="10">
        <v>1</v>
      </c>
      <c r="N6086" s="10"/>
      <c r="O6086" s="10"/>
      <c r="P6086" s="10" t="s">
        <v>30395</v>
      </c>
      <c r="Q6086" s="10">
        <v>428.40719999999999</v>
      </c>
      <c r="R6086" s="10"/>
      <c r="S6086" s="10" t="s">
        <v>53</v>
      </c>
      <c r="T6086" s="10" t="s">
        <v>6634</v>
      </c>
    </row>
    <row r="6087" spans="1:20" ht="14.5" x14ac:dyDescent="0.35">
      <c r="A6087" s="10" t="s">
        <v>30396</v>
      </c>
      <c r="B6087" s="10" t="str">
        <f>"9781412941198"</f>
        <v>9781412941198</v>
      </c>
      <c r="C6087" s="10" t="str">
        <f>"9781452297521"</f>
        <v>9781452297521</v>
      </c>
      <c r="D6087" s="10" t="s">
        <v>22210</v>
      </c>
      <c r="E6087" s="10" t="s">
        <v>22211</v>
      </c>
      <c r="F6087" s="10" t="s">
        <v>333</v>
      </c>
      <c r="G6087" s="10" t="s">
        <v>6317</v>
      </c>
      <c r="H6087" s="11">
        <v>39185</v>
      </c>
      <c r="I6087" s="10">
        <v>2007</v>
      </c>
      <c r="J6087" s="10" t="s">
        <v>22211</v>
      </c>
      <c r="K6087" s="10">
        <v>409</v>
      </c>
      <c r="L6087" s="10" t="s">
        <v>30397</v>
      </c>
      <c r="M6087" s="10">
        <v>1</v>
      </c>
      <c r="N6087" s="10"/>
      <c r="O6087" s="10"/>
      <c r="P6087" s="10" t="s">
        <v>30398</v>
      </c>
      <c r="Q6087" s="10"/>
      <c r="R6087" s="10"/>
      <c r="S6087" s="10" t="s">
        <v>53</v>
      </c>
      <c r="T6087" s="10" t="s">
        <v>54</v>
      </c>
    </row>
    <row r="6088" spans="1:20" ht="14.5" x14ac:dyDescent="0.35">
      <c r="A6088" s="10" t="s">
        <v>30399</v>
      </c>
      <c r="B6088" s="10" t="str">
        <f>"9781412941778"</f>
        <v>9781412941778</v>
      </c>
      <c r="C6088" s="10" t="str">
        <f>"9781452297538"</f>
        <v>9781452297538</v>
      </c>
      <c r="D6088" s="10" t="s">
        <v>22210</v>
      </c>
      <c r="E6088" s="10" t="s">
        <v>22211</v>
      </c>
      <c r="F6088" s="10" t="s">
        <v>333</v>
      </c>
      <c r="G6088" s="10" t="s">
        <v>6317</v>
      </c>
      <c r="H6088" s="11">
        <v>39220</v>
      </c>
      <c r="I6088" s="10">
        <v>2007</v>
      </c>
      <c r="J6088" s="10" t="s">
        <v>22211</v>
      </c>
      <c r="K6088" s="10">
        <v>249</v>
      </c>
      <c r="L6088" s="10" t="s">
        <v>30400</v>
      </c>
      <c r="M6088" s="10">
        <v>1</v>
      </c>
      <c r="N6088" s="10"/>
      <c r="O6088" s="10"/>
      <c r="P6088" s="10" t="s">
        <v>30401</v>
      </c>
      <c r="Q6088" s="10">
        <v>371.01</v>
      </c>
      <c r="R6088" s="10"/>
      <c r="S6088" s="10" t="s">
        <v>53</v>
      </c>
      <c r="T6088" s="10" t="s">
        <v>54</v>
      </c>
    </row>
    <row r="6089" spans="1:20" ht="14.5" x14ac:dyDescent="0.35">
      <c r="A6089" s="10" t="s">
        <v>30402</v>
      </c>
      <c r="B6089" s="10" t="str">
        <f>"9781412942195"</f>
        <v>9781412942195</v>
      </c>
      <c r="C6089" s="10" t="str">
        <f>"9781452297552"</f>
        <v>9781452297552</v>
      </c>
      <c r="D6089" s="10" t="s">
        <v>22210</v>
      </c>
      <c r="E6089" s="10" t="s">
        <v>22211</v>
      </c>
      <c r="F6089" s="10" t="s">
        <v>333</v>
      </c>
      <c r="G6089" s="10" t="s">
        <v>6317</v>
      </c>
      <c r="H6089" s="11">
        <v>39203</v>
      </c>
      <c r="I6089" s="10">
        <v>2007</v>
      </c>
      <c r="J6089" s="10" t="s">
        <v>22211</v>
      </c>
      <c r="K6089" s="10">
        <v>225</v>
      </c>
      <c r="L6089" s="10" t="s">
        <v>27565</v>
      </c>
      <c r="M6089" s="10">
        <v>1</v>
      </c>
      <c r="N6089" s="10"/>
      <c r="O6089" s="10"/>
      <c r="P6089" s="10" t="s">
        <v>30403</v>
      </c>
      <c r="Q6089" s="10">
        <v>371.1</v>
      </c>
      <c r="R6089" s="10"/>
      <c r="S6089" s="10" t="s">
        <v>53</v>
      </c>
      <c r="T6089" s="10" t="s">
        <v>54</v>
      </c>
    </row>
    <row r="6090" spans="1:20" ht="14.5" x14ac:dyDescent="0.35">
      <c r="A6090" s="10" t="s">
        <v>30404</v>
      </c>
      <c r="B6090" s="10" t="str">
        <f>"9781412944755"</f>
        <v>9781412944755</v>
      </c>
      <c r="C6090" s="10" t="str">
        <f>"9781452297569"</f>
        <v>9781452297569</v>
      </c>
      <c r="D6090" s="10" t="s">
        <v>22210</v>
      </c>
      <c r="E6090" s="10" t="s">
        <v>22211</v>
      </c>
      <c r="F6090" s="10" t="s">
        <v>333</v>
      </c>
      <c r="G6090" s="10" t="s">
        <v>6317</v>
      </c>
      <c r="H6090" s="11">
        <v>39399</v>
      </c>
      <c r="I6090" s="10">
        <v>2008</v>
      </c>
      <c r="J6090" s="10" t="s">
        <v>22211</v>
      </c>
      <c r="K6090" s="10">
        <v>161</v>
      </c>
      <c r="L6090" s="10" t="s">
        <v>30405</v>
      </c>
      <c r="M6090" s="10">
        <v>1</v>
      </c>
      <c r="N6090" s="10"/>
      <c r="O6090" s="10"/>
      <c r="P6090" s="10" t="s">
        <v>30406</v>
      </c>
      <c r="Q6090" s="10">
        <v>371.1</v>
      </c>
      <c r="R6090" s="10"/>
      <c r="S6090" s="10" t="s">
        <v>53</v>
      </c>
      <c r="T6090" s="10" t="s">
        <v>54</v>
      </c>
    </row>
    <row r="6091" spans="1:20" ht="14.5" x14ac:dyDescent="0.35">
      <c r="A6091" s="10" t="s">
        <v>30407</v>
      </c>
      <c r="B6091" s="10" t="str">
        <f>"9781412953771"</f>
        <v>9781412953771</v>
      </c>
      <c r="C6091" s="10" t="str">
        <f>"9781452297590"</f>
        <v>9781452297590</v>
      </c>
      <c r="D6091" s="10" t="s">
        <v>22210</v>
      </c>
      <c r="E6091" s="10" t="s">
        <v>22211</v>
      </c>
      <c r="F6091" s="10" t="s">
        <v>333</v>
      </c>
      <c r="G6091" s="10" t="s">
        <v>6317</v>
      </c>
      <c r="H6091" s="11">
        <v>39380</v>
      </c>
      <c r="I6091" s="10">
        <v>2008</v>
      </c>
      <c r="J6091" s="10" t="s">
        <v>22211</v>
      </c>
      <c r="K6091" s="10">
        <v>161</v>
      </c>
      <c r="L6091" s="10" t="s">
        <v>30408</v>
      </c>
      <c r="M6091" s="10">
        <v>1</v>
      </c>
      <c r="N6091" s="10"/>
      <c r="O6091" s="10"/>
      <c r="P6091" s="10" t="s">
        <v>30409</v>
      </c>
      <c r="Q6091" s="10"/>
      <c r="R6091" s="10"/>
      <c r="S6091" s="10" t="s">
        <v>53</v>
      </c>
      <c r="T6091" s="10" t="s">
        <v>54</v>
      </c>
    </row>
    <row r="6092" spans="1:20" ht="14.5" x14ac:dyDescent="0.35">
      <c r="A6092" s="10" t="s">
        <v>30410</v>
      </c>
      <c r="B6092" s="10" t="str">
        <f>"9781412957625"</f>
        <v>9781412957625</v>
      </c>
      <c r="C6092" s="10" t="str">
        <f>"9781452297613"</f>
        <v>9781452297613</v>
      </c>
      <c r="D6092" s="10" t="s">
        <v>22210</v>
      </c>
      <c r="E6092" s="10" t="s">
        <v>22211</v>
      </c>
      <c r="F6092" s="10" t="s">
        <v>333</v>
      </c>
      <c r="G6092" s="10" t="s">
        <v>6317</v>
      </c>
      <c r="H6092" s="11">
        <v>39335</v>
      </c>
      <c r="I6092" s="10">
        <v>2008</v>
      </c>
      <c r="J6092" s="10" t="s">
        <v>22211</v>
      </c>
      <c r="K6092" s="10">
        <v>169</v>
      </c>
      <c r="L6092" s="10" t="s">
        <v>30411</v>
      </c>
      <c r="M6092" s="10">
        <v>1</v>
      </c>
      <c r="N6092" s="10"/>
      <c r="O6092" s="10"/>
      <c r="P6092" s="10" t="s">
        <v>30412</v>
      </c>
      <c r="Q6092" s="10"/>
      <c r="R6092" s="10"/>
      <c r="S6092" s="10" t="s">
        <v>53</v>
      </c>
      <c r="T6092" s="10" t="s">
        <v>54</v>
      </c>
    </row>
    <row r="6093" spans="1:20" ht="14.5" x14ac:dyDescent="0.35">
      <c r="A6093" s="10" t="s">
        <v>30413</v>
      </c>
      <c r="B6093" s="10" t="str">
        <f>"9781412942515"</f>
        <v>9781412942515</v>
      </c>
      <c r="C6093" s="10" t="str">
        <f>"9781452297637"</f>
        <v>9781452297637</v>
      </c>
      <c r="D6093" s="10" t="s">
        <v>22210</v>
      </c>
      <c r="E6093" s="10" t="s">
        <v>22211</v>
      </c>
      <c r="F6093" s="10" t="s">
        <v>333</v>
      </c>
      <c r="G6093" s="10" t="s">
        <v>6317</v>
      </c>
      <c r="H6093" s="11">
        <v>39429</v>
      </c>
      <c r="I6093" s="10">
        <v>2008</v>
      </c>
      <c r="J6093" s="10" t="s">
        <v>22211</v>
      </c>
      <c r="K6093" s="10">
        <v>209</v>
      </c>
      <c r="L6093" s="10" t="s">
        <v>30414</v>
      </c>
      <c r="M6093" s="10">
        <v>1</v>
      </c>
      <c r="N6093" s="10"/>
      <c r="O6093" s="10"/>
      <c r="P6093" s="10" t="s">
        <v>30415</v>
      </c>
      <c r="Q6093" s="10"/>
      <c r="R6093" s="10"/>
      <c r="S6093" s="10" t="s">
        <v>53</v>
      </c>
      <c r="T6093" s="10" t="s">
        <v>54</v>
      </c>
    </row>
    <row r="6094" spans="1:20" ht="14.5" x14ac:dyDescent="0.35">
      <c r="A6094" s="10" t="s">
        <v>30416</v>
      </c>
      <c r="B6094" s="10" t="str">
        <f>"9781412950275"</f>
        <v>9781412950275</v>
      </c>
      <c r="C6094" s="10" t="str">
        <f>"9781452297651"</f>
        <v>9781452297651</v>
      </c>
      <c r="D6094" s="10" t="s">
        <v>22210</v>
      </c>
      <c r="E6094" s="10" t="s">
        <v>22211</v>
      </c>
      <c r="F6094" s="10" t="s">
        <v>333</v>
      </c>
      <c r="G6094" s="10" t="s">
        <v>6317</v>
      </c>
      <c r="H6094" s="11">
        <v>39317</v>
      </c>
      <c r="I6094" s="10">
        <v>2008</v>
      </c>
      <c r="J6094" s="10" t="s">
        <v>22211</v>
      </c>
      <c r="K6094" s="10">
        <v>281</v>
      </c>
      <c r="L6094" s="10" t="s">
        <v>30417</v>
      </c>
      <c r="M6094" s="10">
        <v>1</v>
      </c>
      <c r="N6094" s="10"/>
      <c r="O6094" s="10"/>
      <c r="P6094" s="10" t="s">
        <v>30418</v>
      </c>
      <c r="Q6094" s="10">
        <v>300.70999999999998</v>
      </c>
      <c r="R6094" s="10"/>
      <c r="S6094" s="10" t="s">
        <v>53</v>
      </c>
      <c r="T6094" s="10" t="s">
        <v>6363</v>
      </c>
    </row>
    <row r="6095" spans="1:20" ht="14.5" x14ac:dyDescent="0.35">
      <c r="A6095" s="10" t="s">
        <v>30419</v>
      </c>
      <c r="B6095" s="10" t="str">
        <f>"9781412951036"</f>
        <v>9781412951036</v>
      </c>
      <c r="C6095" s="10" t="str">
        <f>"9781452297668"</f>
        <v>9781452297668</v>
      </c>
      <c r="D6095" s="10" t="s">
        <v>22210</v>
      </c>
      <c r="E6095" s="10" t="s">
        <v>22211</v>
      </c>
      <c r="F6095" s="10" t="s">
        <v>333</v>
      </c>
      <c r="G6095" s="10" t="s">
        <v>6317</v>
      </c>
      <c r="H6095" s="11">
        <v>39380</v>
      </c>
      <c r="I6095" s="10">
        <v>2008</v>
      </c>
      <c r="J6095" s="10" t="s">
        <v>22211</v>
      </c>
      <c r="K6095" s="10">
        <v>153</v>
      </c>
      <c r="L6095" s="10" t="s">
        <v>30073</v>
      </c>
      <c r="M6095" s="10">
        <v>1</v>
      </c>
      <c r="N6095" s="10"/>
      <c r="O6095" s="10"/>
      <c r="P6095" s="10" t="s">
        <v>30420</v>
      </c>
      <c r="Q6095" s="10" t="s">
        <v>8304</v>
      </c>
      <c r="R6095" s="10"/>
      <c r="S6095" s="10" t="s">
        <v>53</v>
      </c>
      <c r="T6095" s="10" t="s">
        <v>54</v>
      </c>
    </row>
    <row r="6096" spans="1:20" ht="14.5" x14ac:dyDescent="0.35">
      <c r="A6096" s="10" t="s">
        <v>30421</v>
      </c>
      <c r="B6096" s="10" t="str">
        <f>"9781412949569"</f>
        <v>9781412949569</v>
      </c>
      <c r="C6096" s="10" t="str">
        <f>"9781452297675"</f>
        <v>9781452297675</v>
      </c>
      <c r="D6096" s="10" t="s">
        <v>22210</v>
      </c>
      <c r="E6096" s="10" t="s">
        <v>22211</v>
      </c>
      <c r="F6096" s="10" t="s">
        <v>333</v>
      </c>
      <c r="G6096" s="10" t="s">
        <v>6317</v>
      </c>
      <c r="H6096" s="11">
        <v>39128</v>
      </c>
      <c r="I6096" s="10">
        <v>2007</v>
      </c>
      <c r="J6096" s="10" t="s">
        <v>22211</v>
      </c>
      <c r="K6096" s="10">
        <v>153</v>
      </c>
      <c r="L6096" s="10" t="s">
        <v>30422</v>
      </c>
      <c r="M6096" s="10">
        <v>2</v>
      </c>
      <c r="N6096" s="10"/>
      <c r="O6096" s="10"/>
      <c r="P6096" s="10" t="s">
        <v>30423</v>
      </c>
      <c r="Q6096" s="10">
        <v>373.11</v>
      </c>
      <c r="R6096" s="10"/>
      <c r="S6096" s="10" t="s">
        <v>53</v>
      </c>
      <c r="T6096" s="10" t="s">
        <v>54</v>
      </c>
    </row>
    <row r="6097" spans="1:20" ht="14.5" x14ac:dyDescent="0.35">
      <c r="A6097" s="10" t="s">
        <v>30424</v>
      </c>
      <c r="B6097" s="10" t="str">
        <f>"9781412949620"</f>
        <v>9781412949620</v>
      </c>
      <c r="C6097" s="10" t="str">
        <f>"9781452297729"</f>
        <v>9781452297729</v>
      </c>
      <c r="D6097" s="10" t="s">
        <v>22210</v>
      </c>
      <c r="E6097" s="10" t="s">
        <v>22211</v>
      </c>
      <c r="F6097" s="10" t="s">
        <v>333</v>
      </c>
      <c r="G6097" s="10" t="s">
        <v>6317</v>
      </c>
      <c r="H6097" s="11">
        <v>39210</v>
      </c>
      <c r="I6097" s="10">
        <v>2007</v>
      </c>
      <c r="J6097" s="10" t="s">
        <v>22211</v>
      </c>
      <c r="K6097" s="10">
        <v>129</v>
      </c>
      <c r="L6097" s="10" t="s">
        <v>30425</v>
      </c>
      <c r="M6097" s="10">
        <v>1</v>
      </c>
      <c r="N6097" s="10"/>
      <c r="O6097" s="10"/>
      <c r="P6097" s="10" t="s">
        <v>30426</v>
      </c>
      <c r="Q6097" s="10">
        <v>372.6</v>
      </c>
      <c r="R6097" s="10"/>
      <c r="S6097" s="10" t="s">
        <v>53</v>
      </c>
      <c r="T6097" s="10" t="s">
        <v>54</v>
      </c>
    </row>
    <row r="6098" spans="1:20" ht="14.5" x14ac:dyDescent="0.35">
      <c r="A6098" s="10" t="s">
        <v>30427</v>
      </c>
      <c r="B6098" s="10" t="str">
        <f>"9781412949811"</f>
        <v>9781412949811</v>
      </c>
      <c r="C6098" s="10" t="str">
        <f>"9781452297736"</f>
        <v>9781452297736</v>
      </c>
      <c r="D6098" s="10" t="s">
        <v>22210</v>
      </c>
      <c r="E6098" s="10" t="s">
        <v>22211</v>
      </c>
      <c r="F6098" s="10" t="s">
        <v>333</v>
      </c>
      <c r="G6098" s="10" t="s">
        <v>6317</v>
      </c>
      <c r="H6098" s="11">
        <v>39380</v>
      </c>
      <c r="I6098" s="10">
        <v>2008</v>
      </c>
      <c r="J6098" s="10" t="s">
        <v>22211</v>
      </c>
      <c r="K6098" s="10">
        <v>153</v>
      </c>
      <c r="L6098" s="10" t="s">
        <v>23098</v>
      </c>
      <c r="M6098" s="10">
        <v>1</v>
      </c>
      <c r="N6098" s="10"/>
      <c r="O6098" s="10"/>
      <c r="P6098" s="10" t="s">
        <v>30428</v>
      </c>
      <c r="Q6098" s="10">
        <v>379.13</v>
      </c>
      <c r="R6098" s="10"/>
      <c r="S6098" s="10" t="s">
        <v>53</v>
      </c>
      <c r="T6098" s="10" t="s">
        <v>54</v>
      </c>
    </row>
    <row r="6099" spans="1:20" ht="14.5" x14ac:dyDescent="0.35">
      <c r="A6099" s="10" t="s">
        <v>30429</v>
      </c>
      <c r="B6099" s="10" t="str">
        <f>"9780976342632"</f>
        <v>9780976342632</v>
      </c>
      <c r="C6099" s="10" t="str">
        <f>"9781452297866"</f>
        <v>9781452297866</v>
      </c>
      <c r="D6099" s="10" t="s">
        <v>22210</v>
      </c>
      <c r="E6099" s="10" t="s">
        <v>22211</v>
      </c>
      <c r="F6099" s="10" t="s">
        <v>333</v>
      </c>
      <c r="G6099" s="10" t="s">
        <v>6317</v>
      </c>
      <c r="H6099" s="11">
        <v>39225</v>
      </c>
      <c r="I6099" s="10">
        <v>2007</v>
      </c>
      <c r="J6099" s="10" t="s">
        <v>22211</v>
      </c>
      <c r="K6099" s="10">
        <v>169</v>
      </c>
      <c r="L6099" s="10" t="s">
        <v>30430</v>
      </c>
      <c r="M6099" s="10">
        <v>1</v>
      </c>
      <c r="N6099" s="10" t="s">
        <v>27682</v>
      </c>
      <c r="O6099" s="10"/>
      <c r="P6099" s="10" t="s">
        <v>30431</v>
      </c>
      <c r="Q6099" s="10"/>
      <c r="R6099" s="10"/>
      <c r="S6099" s="10" t="s">
        <v>53</v>
      </c>
      <c r="T6099" s="10" t="s">
        <v>8625</v>
      </c>
    </row>
    <row r="6100" spans="1:20" ht="14.5" x14ac:dyDescent="0.35">
      <c r="A6100" s="10" t="s">
        <v>30432</v>
      </c>
      <c r="B6100" s="10" t="str">
        <f>"9780976342618"</f>
        <v>9780976342618</v>
      </c>
      <c r="C6100" s="10" t="str">
        <f>"9781452297873"</f>
        <v>9781452297873</v>
      </c>
      <c r="D6100" s="10" t="s">
        <v>22210</v>
      </c>
      <c r="E6100" s="10" t="s">
        <v>22211</v>
      </c>
      <c r="F6100" s="10" t="s">
        <v>333</v>
      </c>
      <c r="G6100" s="10" t="s">
        <v>6317</v>
      </c>
      <c r="H6100" s="11">
        <v>39146</v>
      </c>
      <c r="I6100" s="10">
        <v>2005</v>
      </c>
      <c r="J6100" s="10" t="s">
        <v>22211</v>
      </c>
      <c r="K6100" s="10">
        <v>105</v>
      </c>
      <c r="L6100" s="10" t="s">
        <v>27681</v>
      </c>
      <c r="M6100" s="10">
        <v>1</v>
      </c>
      <c r="N6100" s="10" t="s">
        <v>27682</v>
      </c>
      <c r="O6100" s="10"/>
      <c r="P6100" s="10" t="s">
        <v>30433</v>
      </c>
      <c r="Q6100" s="10">
        <v>371.39400000000001</v>
      </c>
      <c r="R6100" s="10"/>
      <c r="S6100" s="10" t="s">
        <v>53</v>
      </c>
      <c r="T6100" s="10" t="s">
        <v>54</v>
      </c>
    </row>
    <row r="6101" spans="1:20" ht="14.5" x14ac:dyDescent="0.35">
      <c r="A6101" s="10" t="s">
        <v>30434</v>
      </c>
      <c r="B6101" s="10" t="str">
        <f>"9781412961127"</f>
        <v>9781412961127</v>
      </c>
      <c r="C6101" s="10" t="str">
        <f>"9781452297903"</f>
        <v>9781452297903</v>
      </c>
      <c r="D6101" s="10" t="s">
        <v>22210</v>
      </c>
      <c r="E6101" s="10" t="s">
        <v>22211</v>
      </c>
      <c r="F6101" s="10" t="s">
        <v>333</v>
      </c>
      <c r="G6101" s="10" t="s">
        <v>6317</v>
      </c>
      <c r="H6101" s="11">
        <v>39520</v>
      </c>
      <c r="I6101" s="10">
        <v>2008</v>
      </c>
      <c r="J6101" s="10" t="s">
        <v>22211</v>
      </c>
      <c r="K6101" s="10">
        <v>273</v>
      </c>
      <c r="L6101" s="10" t="s">
        <v>27858</v>
      </c>
      <c r="M6101" s="10">
        <v>2</v>
      </c>
      <c r="N6101" s="10"/>
      <c r="O6101" s="10"/>
      <c r="P6101" s="10" t="s">
        <v>30435</v>
      </c>
      <c r="Q6101" s="10">
        <v>371.2</v>
      </c>
      <c r="R6101" s="10"/>
      <c r="S6101" s="10" t="s">
        <v>53</v>
      </c>
      <c r="T6101" s="10" t="s">
        <v>54</v>
      </c>
    </row>
    <row r="6102" spans="1:20" ht="14.5" x14ac:dyDescent="0.35">
      <c r="A6102" s="10" t="s">
        <v>30436</v>
      </c>
      <c r="B6102" s="10" t="str">
        <f>"9781412957922"</f>
        <v>9781412957922</v>
      </c>
      <c r="C6102" s="10" t="str">
        <f>"9781452297910"</f>
        <v>9781452297910</v>
      </c>
      <c r="D6102" s="10" t="s">
        <v>22210</v>
      </c>
      <c r="E6102" s="10" t="s">
        <v>22211</v>
      </c>
      <c r="F6102" s="10" t="s">
        <v>333</v>
      </c>
      <c r="G6102" s="10" t="s">
        <v>6317</v>
      </c>
      <c r="H6102" s="11">
        <v>39363</v>
      </c>
      <c r="I6102" s="10">
        <v>2008</v>
      </c>
      <c r="J6102" s="10" t="s">
        <v>22211</v>
      </c>
      <c r="K6102" s="10">
        <v>433</v>
      </c>
      <c r="L6102" s="10" t="s">
        <v>30437</v>
      </c>
      <c r="M6102" s="10">
        <v>2</v>
      </c>
      <c r="N6102" s="10"/>
      <c r="O6102" s="10"/>
      <c r="P6102" s="10" t="s">
        <v>30438</v>
      </c>
      <c r="Q6102" s="10"/>
      <c r="R6102" s="10"/>
      <c r="S6102" s="10" t="s">
        <v>53</v>
      </c>
      <c r="T6102" s="10" t="s">
        <v>54</v>
      </c>
    </row>
    <row r="6103" spans="1:20" ht="14.5" x14ac:dyDescent="0.35">
      <c r="A6103" s="10" t="s">
        <v>30439</v>
      </c>
      <c r="B6103" s="10" t="str">
        <f>"9781412953283"</f>
        <v>9781412953283</v>
      </c>
      <c r="C6103" s="10" t="str">
        <f>"9781452297965"</f>
        <v>9781452297965</v>
      </c>
      <c r="D6103" s="10" t="s">
        <v>22210</v>
      </c>
      <c r="E6103" s="10" t="s">
        <v>22211</v>
      </c>
      <c r="F6103" s="10" t="s">
        <v>333</v>
      </c>
      <c r="G6103" s="10" t="s">
        <v>6317</v>
      </c>
      <c r="H6103" s="11">
        <v>39337</v>
      </c>
      <c r="I6103" s="10">
        <v>2008</v>
      </c>
      <c r="J6103" s="10" t="s">
        <v>22211</v>
      </c>
      <c r="K6103" s="10">
        <v>369</v>
      </c>
      <c r="L6103" s="10" t="s">
        <v>30440</v>
      </c>
      <c r="M6103" s="10">
        <v>1</v>
      </c>
      <c r="N6103" s="10"/>
      <c r="O6103" s="10"/>
      <c r="P6103" s="10" t="s">
        <v>30441</v>
      </c>
      <c r="Q6103" s="10" t="s">
        <v>22166</v>
      </c>
      <c r="R6103" s="10"/>
      <c r="S6103" s="10" t="s">
        <v>53</v>
      </c>
      <c r="T6103" s="10" t="s">
        <v>54</v>
      </c>
    </row>
    <row r="6104" spans="1:20" ht="14.5" x14ac:dyDescent="0.35">
      <c r="A6104" s="10" t="s">
        <v>30442</v>
      </c>
      <c r="B6104" s="10" t="str">
        <f>"9781412954051"</f>
        <v>9781412954051</v>
      </c>
      <c r="C6104" s="10" t="str">
        <f>"9781452297972"</f>
        <v>9781452297972</v>
      </c>
      <c r="D6104" s="10" t="s">
        <v>22210</v>
      </c>
      <c r="E6104" s="10" t="s">
        <v>22211</v>
      </c>
      <c r="F6104" s="10" t="s">
        <v>333</v>
      </c>
      <c r="G6104" s="10" t="s">
        <v>6317</v>
      </c>
      <c r="H6104" s="11">
        <v>39308</v>
      </c>
      <c r="I6104" s="10">
        <v>2008</v>
      </c>
      <c r="J6104" s="10" t="s">
        <v>22211</v>
      </c>
      <c r="K6104" s="10">
        <v>137</v>
      </c>
      <c r="L6104" s="10" t="s">
        <v>30443</v>
      </c>
      <c r="M6104" s="10">
        <v>4</v>
      </c>
      <c r="N6104" s="10"/>
      <c r="O6104" s="10"/>
      <c r="P6104" s="10" t="s">
        <v>30444</v>
      </c>
      <c r="Q6104" s="10" t="s">
        <v>9954</v>
      </c>
      <c r="R6104" s="10"/>
      <c r="S6104" s="10" t="s">
        <v>53</v>
      </c>
      <c r="T6104" s="10" t="s">
        <v>54</v>
      </c>
    </row>
    <row r="6105" spans="1:20" ht="14.5" x14ac:dyDescent="0.35">
      <c r="A6105" s="10" t="s">
        <v>30445</v>
      </c>
      <c r="B6105" s="10" t="str">
        <f>"9781412953344"</f>
        <v>9781412953344</v>
      </c>
      <c r="C6105" s="10" t="str">
        <f>"9781452297989"</f>
        <v>9781452297989</v>
      </c>
      <c r="D6105" s="10" t="s">
        <v>22210</v>
      </c>
      <c r="E6105" s="10" t="s">
        <v>22211</v>
      </c>
      <c r="F6105" s="10" t="s">
        <v>333</v>
      </c>
      <c r="G6105" s="10" t="s">
        <v>6317</v>
      </c>
      <c r="H6105" s="11">
        <v>39422</v>
      </c>
      <c r="I6105" s="10">
        <v>2008</v>
      </c>
      <c r="J6105" s="10" t="s">
        <v>22211</v>
      </c>
      <c r="K6105" s="10">
        <v>209</v>
      </c>
      <c r="L6105" s="10" t="s">
        <v>30446</v>
      </c>
      <c r="M6105" s="10">
        <v>1</v>
      </c>
      <c r="N6105" s="10"/>
      <c r="O6105" s="10"/>
      <c r="P6105" s="10" t="s">
        <v>30447</v>
      </c>
      <c r="Q6105" s="10" t="s">
        <v>17158</v>
      </c>
      <c r="R6105" s="10"/>
      <c r="S6105" s="10" t="s">
        <v>53</v>
      </c>
      <c r="T6105" s="10" t="s">
        <v>6634</v>
      </c>
    </row>
    <row r="6106" spans="1:20" ht="14.5" x14ac:dyDescent="0.35">
      <c r="A6106" s="10" t="s">
        <v>30448</v>
      </c>
      <c r="B6106" s="10" t="str">
        <f>"9781412959117"</f>
        <v>9781412959117</v>
      </c>
      <c r="C6106" s="10" t="str">
        <f>"9781452298016"</f>
        <v>9781452298016</v>
      </c>
      <c r="D6106" s="10" t="s">
        <v>22210</v>
      </c>
      <c r="E6106" s="10" t="s">
        <v>22211</v>
      </c>
      <c r="F6106" s="10" t="s">
        <v>333</v>
      </c>
      <c r="G6106" s="10" t="s">
        <v>6317</v>
      </c>
      <c r="H6106" s="11">
        <v>39405</v>
      </c>
      <c r="I6106" s="10">
        <v>2008</v>
      </c>
      <c r="J6106" s="10" t="s">
        <v>22211</v>
      </c>
      <c r="K6106" s="10">
        <v>193</v>
      </c>
      <c r="L6106" s="10" t="s">
        <v>30449</v>
      </c>
      <c r="M6106" s="10">
        <v>2</v>
      </c>
      <c r="N6106" s="10"/>
      <c r="O6106" s="10"/>
      <c r="P6106" s="10" t="s">
        <v>30450</v>
      </c>
      <c r="Q6106" s="10">
        <v>371.95</v>
      </c>
      <c r="R6106" s="10"/>
      <c r="S6106" s="10" t="s">
        <v>53</v>
      </c>
      <c r="T6106" s="10" t="s">
        <v>54</v>
      </c>
    </row>
    <row r="6107" spans="1:20" ht="14.5" x14ac:dyDescent="0.35">
      <c r="A6107" s="10" t="s">
        <v>30451</v>
      </c>
      <c r="B6107" s="10" t="str">
        <f>"9781412965620"</f>
        <v>9781412965620</v>
      </c>
      <c r="C6107" s="10" t="str">
        <f>"9781452298047"</f>
        <v>9781452298047</v>
      </c>
      <c r="D6107" s="10" t="s">
        <v>22210</v>
      </c>
      <c r="E6107" s="10" t="s">
        <v>22211</v>
      </c>
      <c r="F6107" s="10" t="s">
        <v>333</v>
      </c>
      <c r="G6107" s="10" t="s">
        <v>6317</v>
      </c>
      <c r="H6107" s="11">
        <v>40070</v>
      </c>
      <c r="I6107" s="10">
        <v>2009</v>
      </c>
      <c r="J6107" s="10" t="s">
        <v>22211</v>
      </c>
      <c r="K6107" s="10">
        <v>169</v>
      </c>
      <c r="L6107" s="10" t="s">
        <v>30452</v>
      </c>
      <c r="M6107" s="10">
        <v>2</v>
      </c>
      <c r="N6107" s="10"/>
      <c r="O6107" s="10"/>
      <c r="P6107" s="10" t="s">
        <v>30453</v>
      </c>
      <c r="Q6107" s="10">
        <v>371.10199999999998</v>
      </c>
      <c r="R6107" s="10"/>
      <c r="S6107" s="10" t="s">
        <v>53</v>
      </c>
      <c r="T6107" s="10" t="s">
        <v>54</v>
      </c>
    </row>
    <row r="6108" spans="1:20" ht="14.5" x14ac:dyDescent="0.35">
      <c r="A6108" s="10" t="s">
        <v>30454</v>
      </c>
      <c r="B6108" s="10" t="str">
        <f>"9781412954433"</f>
        <v>9781412954433</v>
      </c>
      <c r="C6108" s="10" t="str">
        <f>"9781452298054"</f>
        <v>9781452298054</v>
      </c>
      <c r="D6108" s="10" t="s">
        <v>22210</v>
      </c>
      <c r="E6108" s="10" t="s">
        <v>22211</v>
      </c>
      <c r="F6108" s="10" t="s">
        <v>333</v>
      </c>
      <c r="G6108" s="10" t="s">
        <v>6317</v>
      </c>
      <c r="H6108" s="11">
        <v>39785</v>
      </c>
      <c r="I6108" s="10">
        <v>2009</v>
      </c>
      <c r="J6108" s="10" t="s">
        <v>22211</v>
      </c>
      <c r="K6108" s="10">
        <v>177</v>
      </c>
      <c r="L6108" s="10" t="s">
        <v>30455</v>
      </c>
      <c r="M6108" s="10">
        <v>1</v>
      </c>
      <c r="N6108" s="10"/>
      <c r="O6108" s="10"/>
      <c r="P6108" s="10" t="s">
        <v>30456</v>
      </c>
      <c r="Q6108" s="10"/>
      <c r="R6108" s="10"/>
      <c r="S6108" s="10" t="s">
        <v>53</v>
      </c>
      <c r="T6108" s="10" t="s">
        <v>54</v>
      </c>
    </row>
    <row r="6109" spans="1:20" ht="14.5" x14ac:dyDescent="0.35">
      <c r="A6109" s="10" t="s">
        <v>30457</v>
      </c>
      <c r="B6109" s="10" t="str">
        <f>"9781412958691"</f>
        <v>9781412958691</v>
      </c>
      <c r="C6109" s="10" t="str">
        <f>"9781452298153"</f>
        <v>9781452298153</v>
      </c>
      <c r="D6109" s="10" t="s">
        <v>22210</v>
      </c>
      <c r="E6109" s="10" t="s">
        <v>22211</v>
      </c>
      <c r="F6109" s="10" t="s">
        <v>333</v>
      </c>
      <c r="G6109" s="10" t="s">
        <v>6317</v>
      </c>
      <c r="H6109" s="11">
        <v>39637</v>
      </c>
      <c r="I6109" s="10">
        <v>2009</v>
      </c>
      <c r="J6109" s="10" t="s">
        <v>22211</v>
      </c>
      <c r="K6109" s="10">
        <v>265</v>
      </c>
      <c r="L6109" s="10" t="s">
        <v>23196</v>
      </c>
      <c r="M6109" s="10">
        <v>1</v>
      </c>
      <c r="N6109" s="10"/>
      <c r="O6109" s="10"/>
      <c r="P6109" s="10" t="s">
        <v>30458</v>
      </c>
      <c r="Q6109" s="10" t="s">
        <v>9954</v>
      </c>
      <c r="R6109" s="10"/>
      <c r="S6109" s="10" t="s">
        <v>53</v>
      </c>
      <c r="T6109" s="10" t="s">
        <v>54</v>
      </c>
    </row>
    <row r="6110" spans="1:20" ht="14.5" x14ac:dyDescent="0.35">
      <c r="A6110" s="10" t="s">
        <v>30459</v>
      </c>
      <c r="B6110" s="10" t="str">
        <f>"9781412955621"</f>
        <v>9781412955621</v>
      </c>
      <c r="C6110" s="10" t="str">
        <f>"9781452298160"</f>
        <v>9781452298160</v>
      </c>
      <c r="D6110" s="10" t="s">
        <v>22210</v>
      </c>
      <c r="E6110" s="10" t="s">
        <v>22211</v>
      </c>
      <c r="F6110" s="10" t="s">
        <v>333</v>
      </c>
      <c r="G6110" s="10" t="s">
        <v>6317</v>
      </c>
      <c r="H6110" s="11">
        <v>39308</v>
      </c>
      <c r="I6110" s="10">
        <v>2008</v>
      </c>
      <c r="J6110" s="10" t="s">
        <v>22211</v>
      </c>
      <c r="K6110" s="10">
        <v>233</v>
      </c>
      <c r="L6110" s="10" t="s">
        <v>30460</v>
      </c>
      <c r="M6110" s="10">
        <v>2</v>
      </c>
      <c r="N6110" s="10"/>
      <c r="O6110" s="10"/>
      <c r="P6110" s="10" t="s">
        <v>30461</v>
      </c>
      <c r="Q6110" s="10">
        <v>371.1</v>
      </c>
      <c r="R6110" s="10"/>
      <c r="S6110" s="10" t="s">
        <v>53</v>
      </c>
      <c r="T6110" s="10" t="s">
        <v>54</v>
      </c>
    </row>
    <row r="6111" spans="1:20" ht="14.5" x14ac:dyDescent="0.35">
      <c r="A6111" s="10" t="s">
        <v>30462</v>
      </c>
      <c r="B6111" s="10" t="str">
        <f>"9781412955812"</f>
        <v>9781412955812</v>
      </c>
      <c r="C6111" s="10" t="str">
        <f>"9781452298238"</f>
        <v>9781452298238</v>
      </c>
      <c r="D6111" s="10" t="s">
        <v>22210</v>
      </c>
      <c r="E6111" s="10" t="s">
        <v>22211</v>
      </c>
      <c r="F6111" s="10" t="s">
        <v>333</v>
      </c>
      <c r="G6111" s="10" t="s">
        <v>6317</v>
      </c>
      <c r="H6111" s="11">
        <v>39266</v>
      </c>
      <c r="I6111" s="10">
        <v>2008</v>
      </c>
      <c r="J6111" s="10" t="s">
        <v>22211</v>
      </c>
      <c r="K6111" s="10">
        <v>217</v>
      </c>
      <c r="L6111" s="10" t="s">
        <v>30463</v>
      </c>
      <c r="M6111" s="10">
        <v>2</v>
      </c>
      <c r="N6111" s="10"/>
      <c r="O6111" s="10"/>
      <c r="P6111" s="10" t="s">
        <v>30464</v>
      </c>
      <c r="Q6111" s="10">
        <v>370.15199999999999</v>
      </c>
      <c r="R6111" s="10"/>
      <c r="S6111" s="10" t="s">
        <v>53</v>
      </c>
      <c r="T6111" s="10" t="s">
        <v>54</v>
      </c>
    </row>
    <row r="6112" spans="1:20" ht="14.5" x14ac:dyDescent="0.35">
      <c r="A6112" s="10" t="s">
        <v>30465</v>
      </c>
      <c r="B6112" s="10" t="str">
        <f>"9781412965286"</f>
        <v>9781412965286</v>
      </c>
      <c r="C6112" s="10" t="str">
        <f>"9781452298252"</f>
        <v>9781452298252</v>
      </c>
      <c r="D6112" s="10" t="s">
        <v>22210</v>
      </c>
      <c r="E6112" s="10" t="s">
        <v>22211</v>
      </c>
      <c r="F6112" s="10" t="s">
        <v>333</v>
      </c>
      <c r="G6112" s="10" t="s">
        <v>6317</v>
      </c>
      <c r="H6112" s="11">
        <v>39682</v>
      </c>
      <c r="I6112" s="10">
        <v>2009</v>
      </c>
      <c r="J6112" s="10" t="s">
        <v>22211</v>
      </c>
      <c r="K6112" s="10">
        <v>169</v>
      </c>
      <c r="L6112" s="10" t="s">
        <v>24619</v>
      </c>
      <c r="M6112" s="10">
        <v>2</v>
      </c>
      <c r="N6112" s="10"/>
      <c r="O6112" s="10"/>
      <c r="P6112" s="10" t="s">
        <v>30466</v>
      </c>
      <c r="Q6112" s="10">
        <v>371.93</v>
      </c>
      <c r="R6112" s="10"/>
      <c r="S6112" s="10" t="s">
        <v>53</v>
      </c>
      <c r="T6112" s="10" t="s">
        <v>54</v>
      </c>
    </row>
    <row r="6113" spans="1:20" ht="14.5" x14ac:dyDescent="0.35">
      <c r="A6113" s="10" t="s">
        <v>30467</v>
      </c>
      <c r="B6113" s="10" t="str">
        <f>"9781412955478"</f>
        <v>9781412955478</v>
      </c>
      <c r="C6113" s="10" t="str">
        <f>"9781452298368"</f>
        <v>9781452298368</v>
      </c>
      <c r="D6113" s="10" t="s">
        <v>22210</v>
      </c>
      <c r="E6113" s="10" t="s">
        <v>22211</v>
      </c>
      <c r="F6113" s="10" t="s">
        <v>333</v>
      </c>
      <c r="G6113" s="10" t="s">
        <v>6317</v>
      </c>
      <c r="H6113" s="11">
        <v>39666</v>
      </c>
      <c r="I6113" s="10">
        <v>2009</v>
      </c>
      <c r="J6113" s="10" t="s">
        <v>22211</v>
      </c>
      <c r="K6113" s="10">
        <v>201</v>
      </c>
      <c r="L6113" s="10" t="s">
        <v>30468</v>
      </c>
      <c r="M6113" s="10">
        <v>1</v>
      </c>
      <c r="N6113" s="10"/>
      <c r="O6113" s="10"/>
      <c r="P6113" s="10" t="s">
        <v>30469</v>
      </c>
      <c r="Q6113" s="10" t="s">
        <v>30470</v>
      </c>
      <c r="R6113" s="10"/>
      <c r="S6113" s="10" t="s">
        <v>53</v>
      </c>
      <c r="T6113" s="10" t="s">
        <v>54</v>
      </c>
    </row>
    <row r="6114" spans="1:20" ht="14.5" x14ac:dyDescent="0.35">
      <c r="A6114" s="10" t="s">
        <v>30471</v>
      </c>
      <c r="B6114" s="10" t="str">
        <f>"9781412958196"</f>
        <v>9781412958196</v>
      </c>
      <c r="C6114" s="10" t="str">
        <f>"9781452298382"</f>
        <v>9781452298382</v>
      </c>
      <c r="D6114" s="10" t="s">
        <v>22210</v>
      </c>
      <c r="E6114" s="10" t="s">
        <v>22211</v>
      </c>
      <c r="F6114" s="10" t="s">
        <v>333</v>
      </c>
      <c r="G6114" s="10" t="s">
        <v>6317</v>
      </c>
      <c r="H6114" s="11">
        <v>39750</v>
      </c>
      <c r="I6114" s="10">
        <v>2009</v>
      </c>
      <c r="J6114" s="10" t="s">
        <v>22211</v>
      </c>
      <c r="K6114" s="10">
        <v>145</v>
      </c>
      <c r="L6114" s="10" t="s">
        <v>30472</v>
      </c>
      <c r="M6114" s="10">
        <v>1</v>
      </c>
      <c r="N6114" s="10"/>
      <c r="O6114" s="10"/>
      <c r="P6114" s="10" t="s">
        <v>30473</v>
      </c>
      <c r="Q6114" s="10">
        <v>371.9</v>
      </c>
      <c r="R6114" s="10"/>
      <c r="S6114" s="10" t="s">
        <v>53</v>
      </c>
      <c r="T6114" s="10" t="s">
        <v>54</v>
      </c>
    </row>
    <row r="6115" spans="1:20" ht="14.5" x14ac:dyDescent="0.35">
      <c r="A6115" s="10" t="s">
        <v>30474</v>
      </c>
      <c r="B6115" s="10" t="str">
        <f>"9781412959698"</f>
        <v>9781412959698</v>
      </c>
      <c r="C6115" s="10" t="str">
        <f>"9781452298481"</f>
        <v>9781452298481</v>
      </c>
      <c r="D6115" s="10" t="s">
        <v>22210</v>
      </c>
      <c r="E6115" s="10" t="s">
        <v>22211</v>
      </c>
      <c r="F6115" s="10" t="s">
        <v>333</v>
      </c>
      <c r="G6115" s="10" t="s">
        <v>6317</v>
      </c>
      <c r="H6115" s="11">
        <v>39527</v>
      </c>
      <c r="I6115" s="10">
        <v>2008</v>
      </c>
      <c r="J6115" s="10" t="s">
        <v>22211</v>
      </c>
      <c r="K6115" s="10">
        <v>281</v>
      </c>
      <c r="L6115" s="10" t="s">
        <v>30475</v>
      </c>
      <c r="M6115" s="10">
        <v>2</v>
      </c>
      <c r="N6115" s="10"/>
      <c r="O6115" s="10"/>
      <c r="P6115" s="10" t="s">
        <v>30476</v>
      </c>
      <c r="Q6115" s="10" t="s">
        <v>10085</v>
      </c>
      <c r="R6115" s="10"/>
      <c r="S6115" s="10" t="s">
        <v>53</v>
      </c>
      <c r="T6115" s="10" t="s">
        <v>389</v>
      </c>
    </row>
    <row r="6116" spans="1:20" ht="14.5" x14ac:dyDescent="0.35">
      <c r="A6116" s="10" t="s">
        <v>30477</v>
      </c>
      <c r="B6116" s="10" t="str">
        <f>"9781412963350"</f>
        <v>9781412963350</v>
      </c>
      <c r="C6116" s="10" t="str">
        <f>"9781452298580"</f>
        <v>9781452298580</v>
      </c>
      <c r="D6116" s="10" t="s">
        <v>22210</v>
      </c>
      <c r="E6116" s="10" t="s">
        <v>22211</v>
      </c>
      <c r="F6116" s="10" t="s">
        <v>333</v>
      </c>
      <c r="G6116" s="10" t="s">
        <v>6317</v>
      </c>
      <c r="H6116" s="11">
        <v>39693</v>
      </c>
      <c r="I6116" s="10">
        <v>2009</v>
      </c>
      <c r="J6116" s="10" t="s">
        <v>22211</v>
      </c>
      <c r="K6116" s="10">
        <v>169</v>
      </c>
      <c r="L6116" s="10" t="s">
        <v>30478</v>
      </c>
      <c r="M6116" s="10">
        <v>2</v>
      </c>
      <c r="N6116" s="10"/>
      <c r="O6116" s="10"/>
      <c r="P6116" s="10" t="s">
        <v>30479</v>
      </c>
      <c r="Q6116" s="10">
        <v>373.11020000000002</v>
      </c>
      <c r="R6116" s="10"/>
      <c r="S6116" s="10" t="s">
        <v>53</v>
      </c>
      <c r="T6116" s="10" t="s">
        <v>54</v>
      </c>
    </row>
    <row r="6117" spans="1:20" ht="14.5" x14ac:dyDescent="0.35">
      <c r="A6117" s="10" t="s">
        <v>30480</v>
      </c>
      <c r="B6117" s="10" t="str">
        <f>"9781412978026"</f>
        <v>9781412978026</v>
      </c>
      <c r="C6117" s="10" t="str">
        <f>"9781452298641"</f>
        <v>9781452298641</v>
      </c>
      <c r="D6117" s="10" t="s">
        <v>22210</v>
      </c>
      <c r="E6117" s="10" t="s">
        <v>22211</v>
      </c>
      <c r="F6117" s="10" t="s">
        <v>333</v>
      </c>
      <c r="G6117" s="10" t="s">
        <v>6317</v>
      </c>
      <c r="H6117" s="11">
        <v>40227</v>
      </c>
      <c r="I6117" s="10">
        <v>2010</v>
      </c>
      <c r="J6117" s="10" t="s">
        <v>22211</v>
      </c>
      <c r="K6117" s="10">
        <v>201</v>
      </c>
      <c r="L6117" s="10" t="s">
        <v>30481</v>
      </c>
      <c r="M6117" s="10">
        <v>1</v>
      </c>
      <c r="N6117" s="10"/>
      <c r="O6117" s="10"/>
      <c r="P6117" s="10" t="s">
        <v>30482</v>
      </c>
      <c r="Q6117" s="10"/>
      <c r="R6117" s="10"/>
      <c r="S6117" s="10" t="s">
        <v>53</v>
      </c>
      <c r="T6117" s="10" t="s">
        <v>54</v>
      </c>
    </row>
    <row r="6118" spans="1:20" ht="14.5" x14ac:dyDescent="0.35">
      <c r="A6118" s="10" t="s">
        <v>30483</v>
      </c>
      <c r="B6118" s="10" t="str">
        <f>"9781412963671"</f>
        <v>9781412963671</v>
      </c>
      <c r="C6118" s="10" t="str">
        <f>"9781452298696"</f>
        <v>9781452298696</v>
      </c>
      <c r="D6118" s="10" t="s">
        <v>22210</v>
      </c>
      <c r="E6118" s="10" t="s">
        <v>22211</v>
      </c>
      <c r="F6118" s="10" t="s">
        <v>333</v>
      </c>
      <c r="G6118" s="10" t="s">
        <v>6317</v>
      </c>
      <c r="H6118" s="11">
        <v>39675</v>
      </c>
      <c r="I6118" s="10">
        <v>2009</v>
      </c>
      <c r="J6118" s="10" t="s">
        <v>22211</v>
      </c>
      <c r="K6118" s="10">
        <v>209</v>
      </c>
      <c r="L6118" s="10" t="s">
        <v>30484</v>
      </c>
      <c r="M6118" s="10">
        <v>2</v>
      </c>
      <c r="N6118" s="10"/>
      <c r="O6118" s="10"/>
      <c r="P6118" s="10" t="s">
        <v>30485</v>
      </c>
      <c r="Q6118" s="10">
        <v>371.10199999999998</v>
      </c>
      <c r="R6118" s="10"/>
      <c r="S6118" s="10" t="s">
        <v>53</v>
      </c>
      <c r="T6118" s="10" t="s">
        <v>54</v>
      </c>
    </row>
    <row r="6119" spans="1:20" ht="14.5" x14ac:dyDescent="0.35">
      <c r="A6119" s="10" t="s">
        <v>30486</v>
      </c>
      <c r="B6119" s="10" t="str">
        <f>"9781412966214"</f>
        <v>9781412966214</v>
      </c>
      <c r="C6119" s="10" t="str">
        <f>"9781452298771"</f>
        <v>9781452298771</v>
      </c>
      <c r="D6119" s="10" t="s">
        <v>22210</v>
      </c>
      <c r="E6119" s="10" t="s">
        <v>22211</v>
      </c>
      <c r="F6119" s="10" t="s">
        <v>333</v>
      </c>
      <c r="G6119" s="10" t="s">
        <v>6317</v>
      </c>
      <c r="H6119" s="11">
        <v>39763</v>
      </c>
      <c r="I6119" s="10">
        <v>2009</v>
      </c>
      <c r="J6119" s="10" t="s">
        <v>22211</v>
      </c>
      <c r="K6119" s="10">
        <v>161</v>
      </c>
      <c r="L6119" s="10" t="s">
        <v>30487</v>
      </c>
      <c r="M6119" s="10">
        <v>1</v>
      </c>
      <c r="N6119" s="10"/>
      <c r="O6119" s="10"/>
      <c r="P6119" s="10" t="s">
        <v>30488</v>
      </c>
      <c r="Q6119" s="10">
        <v>973.07100000000003</v>
      </c>
      <c r="R6119" s="10"/>
      <c r="S6119" s="10" t="s">
        <v>53</v>
      </c>
      <c r="T6119" s="10" t="s">
        <v>4490</v>
      </c>
    </row>
    <row r="6120" spans="1:20" ht="14.5" x14ac:dyDescent="0.35">
      <c r="A6120" s="10" t="s">
        <v>30489</v>
      </c>
      <c r="B6120" s="10" t="str">
        <f>"9781412978040"</f>
        <v>9781412978040</v>
      </c>
      <c r="C6120" s="10" t="str">
        <f>"9781452298788"</f>
        <v>9781452298788</v>
      </c>
      <c r="D6120" s="10" t="s">
        <v>22210</v>
      </c>
      <c r="E6120" s="10" t="s">
        <v>22211</v>
      </c>
      <c r="F6120" s="10" t="s">
        <v>333</v>
      </c>
      <c r="G6120" s="10" t="s">
        <v>6317</v>
      </c>
      <c r="H6120" s="11">
        <v>40267</v>
      </c>
      <c r="I6120" s="10">
        <v>2010</v>
      </c>
      <c r="J6120" s="10" t="s">
        <v>22211</v>
      </c>
      <c r="K6120" s="10">
        <v>177</v>
      </c>
      <c r="L6120" s="10" t="s">
        <v>30490</v>
      </c>
      <c r="M6120" s="10">
        <v>1</v>
      </c>
      <c r="N6120" s="10"/>
      <c r="O6120" s="10"/>
      <c r="P6120" s="10" t="s">
        <v>30491</v>
      </c>
      <c r="Q6120" s="10">
        <v>371.2</v>
      </c>
      <c r="R6120" s="10"/>
      <c r="S6120" s="10" t="s">
        <v>53</v>
      </c>
      <c r="T6120" s="10" t="s">
        <v>54</v>
      </c>
    </row>
    <row r="6121" spans="1:20" ht="14.5" x14ac:dyDescent="0.35">
      <c r="A6121" s="10" t="s">
        <v>30492</v>
      </c>
      <c r="B6121" s="10" t="str">
        <f>"9781412968720"</f>
        <v>9781412968720</v>
      </c>
      <c r="C6121" s="10" t="str">
        <f>"9781452298825"</f>
        <v>9781452298825</v>
      </c>
      <c r="D6121" s="10" t="s">
        <v>22210</v>
      </c>
      <c r="E6121" s="10" t="s">
        <v>22211</v>
      </c>
      <c r="F6121" s="10" t="s">
        <v>333</v>
      </c>
      <c r="G6121" s="10" t="s">
        <v>6317</v>
      </c>
      <c r="H6121" s="11">
        <v>40232</v>
      </c>
      <c r="I6121" s="10">
        <v>2010</v>
      </c>
      <c r="J6121" s="10" t="s">
        <v>22211</v>
      </c>
      <c r="K6121" s="10">
        <v>193</v>
      </c>
      <c r="L6121" s="10" t="s">
        <v>25176</v>
      </c>
      <c r="M6121" s="10">
        <v>1</v>
      </c>
      <c r="N6121" s="10"/>
      <c r="O6121" s="10"/>
      <c r="P6121" s="10" t="s">
        <v>30493</v>
      </c>
      <c r="Q6121" s="10"/>
      <c r="R6121" s="10"/>
      <c r="S6121" s="10" t="s">
        <v>53</v>
      </c>
      <c r="T6121" s="10" t="s">
        <v>54</v>
      </c>
    </row>
    <row r="6122" spans="1:20" ht="14.5" x14ac:dyDescent="0.35">
      <c r="A6122" s="10" t="s">
        <v>30494</v>
      </c>
      <c r="B6122" s="10" t="str">
        <f>"9781412995214"</f>
        <v>9781412995214</v>
      </c>
      <c r="C6122" s="10" t="str">
        <f>"9781452298863"</f>
        <v>9781452298863</v>
      </c>
      <c r="D6122" s="10" t="s">
        <v>22210</v>
      </c>
      <c r="E6122" s="10" t="s">
        <v>22211</v>
      </c>
      <c r="F6122" s="10" t="s">
        <v>333</v>
      </c>
      <c r="G6122" s="10" t="s">
        <v>6317</v>
      </c>
      <c r="H6122" s="11">
        <v>40777</v>
      </c>
      <c r="I6122" s="10">
        <v>2011</v>
      </c>
      <c r="J6122" s="10" t="s">
        <v>22211</v>
      </c>
      <c r="K6122" s="10">
        <v>241</v>
      </c>
      <c r="L6122" s="10" t="s">
        <v>24754</v>
      </c>
      <c r="M6122" s="10">
        <v>1</v>
      </c>
      <c r="N6122" s="10"/>
      <c r="O6122" s="10"/>
      <c r="P6122" s="10" t="s">
        <v>30495</v>
      </c>
      <c r="Q6122" s="10"/>
      <c r="R6122" s="10"/>
      <c r="S6122" s="10" t="s">
        <v>53</v>
      </c>
      <c r="T6122" s="10" t="s">
        <v>389</v>
      </c>
    </row>
    <row r="6123" spans="1:20" ht="14.5" x14ac:dyDescent="0.35">
      <c r="A6123" s="10" t="s">
        <v>30496</v>
      </c>
      <c r="B6123" s="10" t="str">
        <f>"9781412972772"</f>
        <v>9781412972772</v>
      </c>
      <c r="C6123" s="10" t="str">
        <f>"9781452298887"</f>
        <v>9781452298887</v>
      </c>
      <c r="D6123" s="10" t="s">
        <v>22210</v>
      </c>
      <c r="E6123" s="10" t="s">
        <v>22211</v>
      </c>
      <c r="F6123" s="10" t="s">
        <v>333</v>
      </c>
      <c r="G6123" s="10" t="s">
        <v>6317</v>
      </c>
      <c r="H6123" s="11">
        <v>40235</v>
      </c>
      <c r="I6123" s="10">
        <v>2010</v>
      </c>
      <c r="J6123" s="10" t="s">
        <v>22211</v>
      </c>
      <c r="K6123" s="10">
        <v>409</v>
      </c>
      <c r="L6123" s="10" t="s">
        <v>30497</v>
      </c>
      <c r="M6123" s="10">
        <v>1</v>
      </c>
      <c r="N6123" s="10"/>
      <c r="O6123" s="10"/>
      <c r="P6123" s="10" t="s">
        <v>30498</v>
      </c>
      <c r="Q6123" s="10" t="s">
        <v>18922</v>
      </c>
      <c r="R6123" s="10"/>
      <c r="S6123" s="10" t="s">
        <v>53</v>
      </c>
      <c r="T6123" s="10" t="s">
        <v>54</v>
      </c>
    </row>
    <row r="6124" spans="1:20" ht="14.5" x14ac:dyDescent="0.35">
      <c r="A6124" s="10" t="s">
        <v>30499</v>
      </c>
      <c r="B6124" s="10" t="str">
        <f>"9781412986670"</f>
        <v>9781412986670</v>
      </c>
      <c r="C6124" s="10" t="str">
        <f>"9781452299051"</f>
        <v>9781452299051</v>
      </c>
      <c r="D6124" s="10" t="s">
        <v>22210</v>
      </c>
      <c r="E6124" s="10" t="s">
        <v>22211</v>
      </c>
      <c r="F6124" s="10" t="s">
        <v>333</v>
      </c>
      <c r="G6124" s="10" t="s">
        <v>6317</v>
      </c>
      <c r="H6124" s="11">
        <v>40406</v>
      </c>
      <c r="I6124" s="10">
        <v>2010</v>
      </c>
      <c r="J6124" s="10" t="s">
        <v>22211</v>
      </c>
      <c r="K6124" s="10">
        <v>81</v>
      </c>
      <c r="L6124" s="10" t="s">
        <v>30500</v>
      </c>
      <c r="M6124" s="10">
        <v>1</v>
      </c>
      <c r="N6124" s="10"/>
      <c r="O6124" s="10"/>
      <c r="P6124" s="10" t="s">
        <v>30501</v>
      </c>
      <c r="Q6124" s="10">
        <v>372.11020000000002</v>
      </c>
      <c r="R6124" s="10"/>
      <c r="S6124" s="10" t="s">
        <v>53</v>
      </c>
      <c r="T6124" s="10" t="s">
        <v>54</v>
      </c>
    </row>
    <row r="6125" spans="1:20" ht="14.5" x14ac:dyDescent="0.35">
      <c r="A6125" s="10" t="s">
        <v>30502</v>
      </c>
      <c r="B6125" s="10" t="str">
        <f>"9780761938408"</f>
        <v>9780761938408</v>
      </c>
      <c r="C6125" s="10" t="str">
        <f>"9781483362649"</f>
        <v>9781483362649</v>
      </c>
      <c r="D6125" s="10" t="s">
        <v>22210</v>
      </c>
      <c r="E6125" s="10" t="s">
        <v>22211</v>
      </c>
      <c r="F6125" s="10" t="s">
        <v>333</v>
      </c>
      <c r="G6125" s="10" t="s">
        <v>6317</v>
      </c>
      <c r="H6125" s="11">
        <v>37741</v>
      </c>
      <c r="I6125" s="10">
        <v>2003</v>
      </c>
      <c r="J6125" s="10" t="s">
        <v>22211</v>
      </c>
      <c r="K6125" s="10">
        <v>161</v>
      </c>
      <c r="L6125" s="10" t="s">
        <v>30503</v>
      </c>
      <c r="M6125" s="10">
        <v>1</v>
      </c>
      <c r="N6125" s="10"/>
      <c r="O6125" s="10"/>
      <c r="P6125" s="10" t="s">
        <v>30504</v>
      </c>
      <c r="Q6125" s="10">
        <v>371.9</v>
      </c>
      <c r="R6125" s="10"/>
      <c r="S6125" s="10" t="s">
        <v>53</v>
      </c>
      <c r="T6125" s="10" t="s">
        <v>54</v>
      </c>
    </row>
    <row r="6126" spans="1:20" ht="14.5" x14ac:dyDescent="0.35">
      <c r="A6126" s="10" t="s">
        <v>30505</v>
      </c>
      <c r="B6126" s="10" t="str">
        <f>"9780761938637"</f>
        <v>9780761938637</v>
      </c>
      <c r="C6126" s="10" t="str">
        <f>"9781483362670"</f>
        <v>9781483362670</v>
      </c>
      <c r="D6126" s="10" t="s">
        <v>22210</v>
      </c>
      <c r="E6126" s="10" t="s">
        <v>22211</v>
      </c>
      <c r="F6126" s="10" t="s">
        <v>333</v>
      </c>
      <c r="G6126" s="10" t="s">
        <v>6317</v>
      </c>
      <c r="H6126" s="11">
        <v>37701</v>
      </c>
      <c r="I6126" s="10">
        <v>2003</v>
      </c>
      <c r="J6126" s="10" t="s">
        <v>22211</v>
      </c>
      <c r="K6126" s="10">
        <v>237</v>
      </c>
      <c r="L6126" s="10" t="s">
        <v>30506</v>
      </c>
      <c r="M6126" s="10">
        <v>1</v>
      </c>
      <c r="N6126" s="10"/>
      <c r="O6126" s="10"/>
      <c r="P6126" s="10" t="s">
        <v>30507</v>
      </c>
      <c r="Q6126" s="10">
        <v>370</v>
      </c>
      <c r="R6126" s="10"/>
      <c r="S6126" s="10" t="s">
        <v>53</v>
      </c>
      <c r="T6126" s="10" t="s">
        <v>10454</v>
      </c>
    </row>
    <row r="6127" spans="1:20" ht="14.5" x14ac:dyDescent="0.35">
      <c r="A6127" s="10" t="s">
        <v>30508</v>
      </c>
      <c r="B6127" s="10" t="str">
        <f>"9780761938545"</f>
        <v>9780761938545</v>
      </c>
      <c r="C6127" s="10" t="str">
        <f>"9781483362663"</f>
        <v>9781483362663</v>
      </c>
      <c r="D6127" s="10" t="s">
        <v>22210</v>
      </c>
      <c r="E6127" s="10" t="s">
        <v>22211</v>
      </c>
      <c r="F6127" s="10" t="s">
        <v>333</v>
      </c>
      <c r="G6127" s="10" t="s">
        <v>6317</v>
      </c>
      <c r="H6127" s="11">
        <v>39080</v>
      </c>
      <c r="I6127" s="10">
        <v>2007</v>
      </c>
      <c r="J6127" s="10" t="s">
        <v>22211</v>
      </c>
      <c r="K6127" s="10">
        <v>121</v>
      </c>
      <c r="L6127" s="10" t="s">
        <v>23167</v>
      </c>
      <c r="M6127" s="10">
        <v>1</v>
      </c>
      <c r="N6127" s="10"/>
      <c r="O6127" s="10"/>
      <c r="P6127" s="10" t="s">
        <v>30509</v>
      </c>
      <c r="Q6127" s="10"/>
      <c r="R6127" s="10"/>
      <c r="S6127" s="10" t="s">
        <v>53</v>
      </c>
      <c r="T6127" s="10" t="s">
        <v>54</v>
      </c>
    </row>
    <row r="6128" spans="1:20" ht="14.5" x14ac:dyDescent="0.35">
      <c r="A6128" s="10" t="s">
        <v>30510</v>
      </c>
      <c r="B6128" s="10" t="str">
        <f>"9780761939634"</f>
        <v>9780761939634</v>
      </c>
      <c r="C6128" s="10" t="str">
        <f>"9781483362786"</f>
        <v>9781483362786</v>
      </c>
      <c r="D6128" s="10" t="s">
        <v>22210</v>
      </c>
      <c r="E6128" s="10" t="s">
        <v>22211</v>
      </c>
      <c r="F6128" s="10" t="s">
        <v>333</v>
      </c>
      <c r="G6128" s="10" t="s">
        <v>6317</v>
      </c>
      <c r="H6128" s="11">
        <v>38252</v>
      </c>
      <c r="I6128" s="10">
        <v>2004</v>
      </c>
      <c r="J6128" s="10" t="s">
        <v>22211</v>
      </c>
      <c r="K6128" s="10">
        <v>345</v>
      </c>
      <c r="L6128" s="10" t="s">
        <v>30511</v>
      </c>
      <c r="M6128" s="10">
        <v>1</v>
      </c>
      <c r="N6128" s="10"/>
      <c r="O6128" s="10"/>
      <c r="P6128" s="10" t="s">
        <v>30512</v>
      </c>
      <c r="Q6128" s="10" t="s">
        <v>9360</v>
      </c>
      <c r="R6128" s="10"/>
      <c r="S6128" s="10" t="s">
        <v>53</v>
      </c>
      <c r="T6128" s="10" t="s">
        <v>54</v>
      </c>
    </row>
    <row r="6129" spans="1:20" ht="14.5" x14ac:dyDescent="0.35">
      <c r="A6129" s="10" t="s">
        <v>30513</v>
      </c>
      <c r="B6129" s="10" t="str">
        <f>"9780761946236"</f>
        <v>9780761946236</v>
      </c>
      <c r="C6129" s="10" t="str">
        <f>"9781483363035"</f>
        <v>9781483363035</v>
      </c>
      <c r="D6129" s="10" t="s">
        <v>22210</v>
      </c>
      <c r="E6129" s="10" t="s">
        <v>22211</v>
      </c>
      <c r="F6129" s="10" t="s">
        <v>333</v>
      </c>
      <c r="G6129" s="10" t="s">
        <v>6317</v>
      </c>
      <c r="H6129" s="11">
        <v>37910</v>
      </c>
      <c r="I6129" s="10">
        <v>2004</v>
      </c>
      <c r="J6129" s="10" t="s">
        <v>22211</v>
      </c>
      <c r="K6129" s="10">
        <v>161</v>
      </c>
      <c r="L6129" s="10" t="s">
        <v>23595</v>
      </c>
      <c r="M6129" s="10">
        <v>1</v>
      </c>
      <c r="N6129" s="10"/>
      <c r="O6129" s="10"/>
      <c r="P6129" s="10" t="s">
        <v>30514</v>
      </c>
      <c r="Q6129" s="10" t="s">
        <v>11202</v>
      </c>
      <c r="R6129" s="10"/>
      <c r="S6129" s="10" t="s">
        <v>53</v>
      </c>
      <c r="T6129" s="10" t="s">
        <v>54</v>
      </c>
    </row>
    <row r="6130" spans="1:20" ht="14.5" x14ac:dyDescent="0.35">
      <c r="A6130" s="10" t="s">
        <v>30515</v>
      </c>
      <c r="B6130" s="10" t="str">
        <f>"9780761939078"</f>
        <v>9780761939078</v>
      </c>
      <c r="C6130" s="10" t="str">
        <f>"9781483362717"</f>
        <v>9781483362717</v>
      </c>
      <c r="D6130" s="10" t="s">
        <v>22210</v>
      </c>
      <c r="E6130" s="10" t="s">
        <v>22211</v>
      </c>
      <c r="F6130" s="10" t="s">
        <v>333</v>
      </c>
      <c r="G6130" s="10" t="s">
        <v>6317</v>
      </c>
      <c r="H6130" s="11">
        <v>38037</v>
      </c>
      <c r="I6130" s="10">
        <v>2004</v>
      </c>
      <c r="J6130" s="10" t="s">
        <v>22211</v>
      </c>
      <c r="K6130" s="10">
        <v>177</v>
      </c>
      <c r="L6130" s="10" t="s">
        <v>30516</v>
      </c>
      <c r="M6130" s="10">
        <v>1</v>
      </c>
      <c r="N6130" s="10"/>
      <c r="O6130" s="10"/>
      <c r="P6130" s="10" t="s">
        <v>30517</v>
      </c>
      <c r="Q6130" s="10">
        <v>371.20119999999997</v>
      </c>
      <c r="R6130" s="10"/>
      <c r="S6130" s="10" t="s">
        <v>53</v>
      </c>
      <c r="T6130" s="10" t="s">
        <v>54</v>
      </c>
    </row>
    <row r="6131" spans="1:20" ht="14.5" x14ac:dyDescent="0.35">
      <c r="A6131" s="10" t="s">
        <v>30518</v>
      </c>
      <c r="B6131" s="10" t="str">
        <f>"9780761939276"</f>
        <v>9780761939276</v>
      </c>
      <c r="C6131" s="10" t="str">
        <f>"9781483362748"</f>
        <v>9781483362748</v>
      </c>
      <c r="D6131" s="10" t="s">
        <v>22210</v>
      </c>
      <c r="E6131" s="10" t="s">
        <v>22211</v>
      </c>
      <c r="F6131" s="10" t="s">
        <v>333</v>
      </c>
      <c r="G6131" s="10" t="s">
        <v>6317</v>
      </c>
      <c r="H6131" s="11">
        <v>38058</v>
      </c>
      <c r="I6131" s="10">
        <v>2004</v>
      </c>
      <c r="J6131" s="10" t="s">
        <v>22211</v>
      </c>
      <c r="K6131" s="10">
        <v>193</v>
      </c>
      <c r="L6131" s="10" t="s">
        <v>30519</v>
      </c>
      <c r="M6131" s="10">
        <v>1</v>
      </c>
      <c r="N6131" s="10"/>
      <c r="O6131" s="10"/>
      <c r="P6131" s="10" t="s">
        <v>30520</v>
      </c>
      <c r="Q6131" s="10" t="s">
        <v>30521</v>
      </c>
      <c r="R6131" s="10"/>
      <c r="S6131" s="10" t="s">
        <v>53</v>
      </c>
      <c r="T6131" s="10" t="s">
        <v>54</v>
      </c>
    </row>
    <row r="6132" spans="1:20" ht="14.5" x14ac:dyDescent="0.35">
      <c r="A6132" s="10" t="s">
        <v>30522</v>
      </c>
      <c r="B6132" s="10" t="str">
        <f>"9780761939528"</f>
        <v>9780761939528</v>
      </c>
      <c r="C6132" s="10" t="str">
        <f>"9781483362762"</f>
        <v>9781483362762</v>
      </c>
      <c r="D6132" s="10" t="s">
        <v>22210</v>
      </c>
      <c r="E6132" s="10" t="s">
        <v>22211</v>
      </c>
      <c r="F6132" s="10" t="s">
        <v>333</v>
      </c>
      <c r="G6132" s="10" t="s">
        <v>6317</v>
      </c>
      <c r="H6132" s="11">
        <v>38166</v>
      </c>
      <c r="I6132" s="10">
        <v>2005</v>
      </c>
      <c r="J6132" s="10" t="s">
        <v>22211</v>
      </c>
      <c r="K6132" s="10">
        <v>113</v>
      </c>
      <c r="L6132" s="10" t="s">
        <v>30523</v>
      </c>
      <c r="M6132" s="10">
        <v>1</v>
      </c>
      <c r="N6132" s="10"/>
      <c r="O6132" s="10"/>
      <c r="P6132" s="10" t="s">
        <v>30524</v>
      </c>
      <c r="Q6132" s="10" t="s">
        <v>11202</v>
      </c>
      <c r="R6132" s="10"/>
      <c r="S6132" s="10" t="s">
        <v>53</v>
      </c>
      <c r="T6132" s="10" t="s">
        <v>54</v>
      </c>
    </row>
    <row r="6133" spans="1:20" ht="14.5" x14ac:dyDescent="0.35">
      <c r="A6133" s="10" t="s">
        <v>30525</v>
      </c>
      <c r="B6133" s="10" t="str">
        <f>"9780761939542"</f>
        <v>9780761939542</v>
      </c>
      <c r="C6133" s="10" t="str">
        <f>"9781483362779"</f>
        <v>9781483362779</v>
      </c>
      <c r="D6133" s="10" t="s">
        <v>22210</v>
      </c>
      <c r="E6133" s="10" t="s">
        <v>22211</v>
      </c>
      <c r="F6133" s="10" t="s">
        <v>333</v>
      </c>
      <c r="G6133" s="10" t="s">
        <v>6317</v>
      </c>
      <c r="H6133" s="11">
        <v>37790</v>
      </c>
      <c r="I6133" s="10">
        <v>2003</v>
      </c>
      <c r="J6133" s="10" t="s">
        <v>22211</v>
      </c>
      <c r="K6133" s="10">
        <v>193</v>
      </c>
      <c r="L6133" s="10" t="s">
        <v>30526</v>
      </c>
      <c r="M6133" s="10">
        <v>1</v>
      </c>
      <c r="N6133" s="10"/>
      <c r="O6133" s="10"/>
      <c r="P6133" s="10" t="s">
        <v>30527</v>
      </c>
      <c r="Q6133" s="10">
        <v>371.2</v>
      </c>
      <c r="R6133" s="10"/>
      <c r="S6133" s="10" t="s">
        <v>53</v>
      </c>
      <c r="T6133" s="10" t="s">
        <v>54</v>
      </c>
    </row>
    <row r="6134" spans="1:20" ht="14.5" x14ac:dyDescent="0.35">
      <c r="A6134" s="10" t="s">
        <v>30528</v>
      </c>
      <c r="B6134" s="10" t="str">
        <f>"9780761939641"</f>
        <v>9780761939641</v>
      </c>
      <c r="C6134" s="10" t="str">
        <f>"9781483362793"</f>
        <v>9781483362793</v>
      </c>
      <c r="D6134" s="10" t="s">
        <v>22210</v>
      </c>
      <c r="E6134" s="10" t="s">
        <v>22211</v>
      </c>
      <c r="F6134" s="10" t="s">
        <v>333</v>
      </c>
      <c r="G6134" s="10" t="s">
        <v>6317</v>
      </c>
      <c r="H6134" s="11">
        <v>37938</v>
      </c>
      <c r="I6134" s="10">
        <v>2004</v>
      </c>
      <c r="J6134" s="10" t="s">
        <v>22211</v>
      </c>
      <c r="K6134" s="10">
        <v>297</v>
      </c>
      <c r="L6134" s="10" t="s">
        <v>30529</v>
      </c>
      <c r="M6134" s="10">
        <v>1</v>
      </c>
      <c r="N6134" s="10"/>
      <c r="O6134" s="10"/>
      <c r="P6134" s="10" t="s">
        <v>30530</v>
      </c>
      <c r="Q6134" s="10"/>
      <c r="R6134" s="10"/>
      <c r="S6134" s="10" t="s">
        <v>53</v>
      </c>
      <c r="T6134" s="10" t="s">
        <v>54</v>
      </c>
    </row>
    <row r="6135" spans="1:20" ht="14.5" x14ac:dyDescent="0.35">
      <c r="A6135" s="10" t="s">
        <v>30531</v>
      </c>
      <c r="B6135" s="10" t="str">
        <f>"9780761931409"</f>
        <v>9780761931409</v>
      </c>
      <c r="C6135" s="10" t="str">
        <f>"9781483362502"</f>
        <v>9781483362502</v>
      </c>
      <c r="D6135" s="10" t="s">
        <v>22210</v>
      </c>
      <c r="E6135" s="10" t="s">
        <v>22211</v>
      </c>
      <c r="F6135" s="10" t="s">
        <v>333</v>
      </c>
      <c r="G6135" s="10" t="s">
        <v>6317</v>
      </c>
      <c r="H6135" s="11">
        <v>38069</v>
      </c>
      <c r="I6135" s="10">
        <v>2004</v>
      </c>
      <c r="J6135" s="10" t="s">
        <v>22211</v>
      </c>
      <c r="K6135" s="10">
        <v>233</v>
      </c>
      <c r="L6135" s="10" t="s">
        <v>30532</v>
      </c>
      <c r="M6135" s="10">
        <v>1</v>
      </c>
      <c r="N6135" s="10"/>
      <c r="O6135" s="10"/>
      <c r="P6135" s="10" t="s">
        <v>30533</v>
      </c>
      <c r="Q6135" s="10" t="s">
        <v>30534</v>
      </c>
      <c r="R6135" s="10"/>
      <c r="S6135" s="10" t="s">
        <v>53</v>
      </c>
      <c r="T6135" s="10" t="s">
        <v>54</v>
      </c>
    </row>
    <row r="6136" spans="1:20" ht="14.5" x14ac:dyDescent="0.35">
      <c r="A6136" s="10" t="s">
        <v>30535</v>
      </c>
      <c r="B6136" s="10" t="str">
        <f>"9780761931201"</f>
        <v>9780761931201</v>
      </c>
      <c r="C6136" s="10" t="str">
        <f>"9781483362427"</f>
        <v>9781483362427</v>
      </c>
      <c r="D6136" s="10" t="s">
        <v>22210</v>
      </c>
      <c r="E6136" s="10" t="s">
        <v>22211</v>
      </c>
      <c r="F6136" s="10" t="s">
        <v>333</v>
      </c>
      <c r="G6136" s="10" t="s">
        <v>6317</v>
      </c>
      <c r="H6136" s="11">
        <v>37924</v>
      </c>
      <c r="I6136" s="10">
        <v>2004</v>
      </c>
      <c r="J6136" s="10" t="s">
        <v>22211</v>
      </c>
      <c r="K6136" s="10">
        <v>129</v>
      </c>
      <c r="L6136" s="10" t="s">
        <v>23167</v>
      </c>
      <c r="M6136" s="10">
        <v>1</v>
      </c>
      <c r="N6136" s="10"/>
      <c r="O6136" s="10"/>
      <c r="P6136" s="10" t="s">
        <v>30536</v>
      </c>
      <c r="Q6136" s="10"/>
      <c r="R6136" s="10"/>
      <c r="S6136" s="10" t="s">
        <v>53</v>
      </c>
      <c r="T6136" s="10" t="s">
        <v>54</v>
      </c>
    </row>
    <row r="6137" spans="1:20" ht="14.5" x14ac:dyDescent="0.35">
      <c r="A6137" s="10" t="s">
        <v>30537</v>
      </c>
      <c r="B6137" s="10" t="str">
        <f>"9780761931225"</f>
        <v>9780761931225</v>
      </c>
      <c r="C6137" s="10" t="str">
        <f>"9781483362441"</f>
        <v>9781483362441</v>
      </c>
      <c r="D6137" s="10" t="s">
        <v>22210</v>
      </c>
      <c r="E6137" s="10" t="s">
        <v>22211</v>
      </c>
      <c r="F6137" s="10" t="s">
        <v>333</v>
      </c>
      <c r="G6137" s="10" t="s">
        <v>6317</v>
      </c>
      <c r="H6137" s="11">
        <v>37924</v>
      </c>
      <c r="I6137" s="10">
        <v>2004</v>
      </c>
      <c r="J6137" s="10" t="s">
        <v>22211</v>
      </c>
      <c r="K6137" s="10">
        <v>113</v>
      </c>
      <c r="L6137" s="10" t="s">
        <v>23167</v>
      </c>
      <c r="M6137" s="10">
        <v>1</v>
      </c>
      <c r="N6137" s="10"/>
      <c r="O6137" s="10"/>
      <c r="P6137" s="10" t="s">
        <v>30538</v>
      </c>
      <c r="Q6137" s="10"/>
      <c r="R6137" s="10"/>
      <c r="S6137" s="10" t="s">
        <v>53</v>
      </c>
      <c r="T6137" s="10" t="s">
        <v>54</v>
      </c>
    </row>
    <row r="6138" spans="1:20" ht="14.5" x14ac:dyDescent="0.35">
      <c r="A6138" s="10" t="s">
        <v>30539</v>
      </c>
      <c r="B6138" s="10" t="str">
        <f>"9780761931232"</f>
        <v>9780761931232</v>
      </c>
      <c r="C6138" s="10" t="str">
        <f>"9781483362458"</f>
        <v>9781483362458</v>
      </c>
      <c r="D6138" s="10" t="s">
        <v>22210</v>
      </c>
      <c r="E6138" s="10" t="s">
        <v>22211</v>
      </c>
      <c r="F6138" s="10" t="s">
        <v>333</v>
      </c>
      <c r="G6138" s="10" t="s">
        <v>6317</v>
      </c>
      <c r="H6138" s="11">
        <v>37924</v>
      </c>
      <c r="I6138" s="10">
        <v>2004</v>
      </c>
      <c r="J6138" s="10" t="s">
        <v>22211</v>
      </c>
      <c r="K6138" s="10">
        <v>137</v>
      </c>
      <c r="L6138" s="10" t="s">
        <v>23167</v>
      </c>
      <c r="M6138" s="10">
        <v>1</v>
      </c>
      <c r="N6138" s="10"/>
      <c r="O6138" s="10"/>
      <c r="P6138" s="10" t="s">
        <v>30540</v>
      </c>
      <c r="Q6138" s="10"/>
      <c r="R6138" s="10"/>
      <c r="S6138" s="10" t="s">
        <v>53</v>
      </c>
      <c r="T6138" s="10" t="s">
        <v>54</v>
      </c>
    </row>
    <row r="6139" spans="1:20" ht="14.5" x14ac:dyDescent="0.35">
      <c r="A6139" s="10" t="s">
        <v>30541</v>
      </c>
      <c r="B6139" s="10" t="str">
        <f>"9780761931249"</f>
        <v>9780761931249</v>
      </c>
      <c r="C6139" s="10" t="str">
        <f>"9781483362465"</f>
        <v>9781483362465</v>
      </c>
      <c r="D6139" s="10" t="s">
        <v>22210</v>
      </c>
      <c r="E6139" s="10" t="s">
        <v>22211</v>
      </c>
      <c r="F6139" s="10" t="s">
        <v>333</v>
      </c>
      <c r="G6139" s="10" t="s">
        <v>6317</v>
      </c>
      <c r="H6139" s="11">
        <v>37924</v>
      </c>
      <c r="I6139" s="10">
        <v>2004</v>
      </c>
      <c r="J6139" s="10" t="s">
        <v>22211</v>
      </c>
      <c r="K6139" s="10">
        <v>129</v>
      </c>
      <c r="L6139" s="10" t="s">
        <v>23167</v>
      </c>
      <c r="M6139" s="10">
        <v>1</v>
      </c>
      <c r="N6139" s="10"/>
      <c r="O6139" s="10"/>
      <c r="P6139" s="10" t="s">
        <v>30542</v>
      </c>
      <c r="Q6139" s="10"/>
      <c r="R6139" s="10"/>
      <c r="S6139" s="10" t="s">
        <v>53</v>
      </c>
      <c r="T6139" s="10" t="s">
        <v>54</v>
      </c>
    </row>
    <row r="6140" spans="1:20" ht="14.5" x14ac:dyDescent="0.35">
      <c r="A6140" s="10" t="s">
        <v>30543</v>
      </c>
      <c r="B6140" s="10" t="str">
        <f>"9780761931812"</f>
        <v>9780761931812</v>
      </c>
      <c r="C6140" s="10" t="str">
        <f>"9781483362571"</f>
        <v>9781483362571</v>
      </c>
      <c r="D6140" s="10" t="s">
        <v>22210</v>
      </c>
      <c r="E6140" s="10" t="s">
        <v>22211</v>
      </c>
      <c r="F6140" s="10" t="s">
        <v>333</v>
      </c>
      <c r="G6140" s="10" t="s">
        <v>6317</v>
      </c>
      <c r="H6140" s="11">
        <v>38058</v>
      </c>
      <c r="I6140" s="10">
        <v>2004</v>
      </c>
      <c r="J6140" s="10" t="s">
        <v>22211</v>
      </c>
      <c r="K6140" s="10">
        <v>185</v>
      </c>
      <c r="L6140" s="10" t="s">
        <v>23274</v>
      </c>
      <c r="M6140" s="10">
        <v>1</v>
      </c>
      <c r="N6140" s="10"/>
      <c r="O6140" s="10"/>
      <c r="P6140" s="10" t="s">
        <v>30544</v>
      </c>
      <c r="Q6140" s="10"/>
      <c r="R6140" s="10"/>
      <c r="S6140" s="10" t="s">
        <v>53</v>
      </c>
      <c r="T6140" s="10" t="s">
        <v>54</v>
      </c>
    </row>
    <row r="6141" spans="1:20" ht="14.5" x14ac:dyDescent="0.35">
      <c r="A6141" s="10" t="s">
        <v>30545</v>
      </c>
      <c r="B6141" s="10" t="str">
        <f>"9780761931379"</f>
        <v>9780761931379</v>
      </c>
      <c r="C6141" s="10" t="str">
        <f>"9781483362496"</f>
        <v>9781483362496</v>
      </c>
      <c r="D6141" s="10" t="s">
        <v>22210</v>
      </c>
      <c r="E6141" s="10" t="s">
        <v>22211</v>
      </c>
      <c r="F6141" s="10" t="s">
        <v>333</v>
      </c>
      <c r="G6141" s="10" t="s">
        <v>6317</v>
      </c>
      <c r="H6141" s="11">
        <v>38058</v>
      </c>
      <c r="I6141" s="10">
        <v>2004</v>
      </c>
      <c r="J6141" s="10" t="s">
        <v>22211</v>
      </c>
      <c r="K6141" s="10">
        <v>161</v>
      </c>
      <c r="L6141" s="10" t="s">
        <v>25070</v>
      </c>
      <c r="M6141" s="10">
        <v>1</v>
      </c>
      <c r="N6141" s="10"/>
      <c r="O6141" s="10"/>
      <c r="P6141" s="10"/>
      <c r="Q6141" s="10"/>
      <c r="R6141" s="10"/>
      <c r="S6141" s="10" t="s">
        <v>53</v>
      </c>
      <c r="T6141" s="10" t="s">
        <v>54</v>
      </c>
    </row>
    <row r="6142" spans="1:20" ht="14.5" x14ac:dyDescent="0.35">
      <c r="A6142" s="10" t="s">
        <v>30546</v>
      </c>
      <c r="B6142" s="10" t="str">
        <f>"9780761939849"</f>
        <v>9780761939849</v>
      </c>
      <c r="C6142" s="10" t="str">
        <f>"9781483362816"</f>
        <v>9781483362816</v>
      </c>
      <c r="D6142" s="10" t="s">
        <v>22210</v>
      </c>
      <c r="E6142" s="10" t="s">
        <v>22211</v>
      </c>
      <c r="F6142" s="10" t="s">
        <v>333</v>
      </c>
      <c r="G6142" s="10" t="s">
        <v>6317</v>
      </c>
      <c r="H6142" s="11">
        <v>37888</v>
      </c>
      <c r="I6142" s="10">
        <v>2004</v>
      </c>
      <c r="J6142" s="10" t="s">
        <v>22211</v>
      </c>
      <c r="K6142" s="10">
        <v>225</v>
      </c>
      <c r="L6142" s="10" t="s">
        <v>30547</v>
      </c>
      <c r="M6142" s="10">
        <v>2</v>
      </c>
      <c r="N6142" s="10"/>
      <c r="O6142" s="10"/>
      <c r="P6142" s="10" t="s">
        <v>30548</v>
      </c>
      <c r="Q6142" s="10">
        <v>373.13</v>
      </c>
      <c r="R6142" s="10"/>
      <c r="S6142" s="10" t="s">
        <v>53</v>
      </c>
      <c r="T6142" s="10" t="s">
        <v>54</v>
      </c>
    </row>
    <row r="6143" spans="1:20" ht="14.5" x14ac:dyDescent="0.35">
      <c r="A6143" s="10" t="s">
        <v>30549</v>
      </c>
      <c r="B6143" s="10" t="str">
        <f>"9780761931645"</f>
        <v>9780761931645</v>
      </c>
      <c r="C6143" s="10" t="str">
        <f>"9781483362526"</f>
        <v>9781483362526</v>
      </c>
      <c r="D6143" s="10" t="s">
        <v>22210</v>
      </c>
      <c r="E6143" s="10" t="s">
        <v>22211</v>
      </c>
      <c r="F6143" s="10" t="s">
        <v>333</v>
      </c>
      <c r="G6143" s="10" t="s">
        <v>6317</v>
      </c>
      <c r="H6143" s="11">
        <v>37945</v>
      </c>
      <c r="I6143" s="10">
        <v>2004</v>
      </c>
      <c r="J6143" s="10" t="s">
        <v>22211</v>
      </c>
      <c r="K6143" s="10">
        <v>129</v>
      </c>
      <c r="L6143" s="10" t="s">
        <v>29955</v>
      </c>
      <c r="M6143" s="10">
        <v>1</v>
      </c>
      <c r="N6143" s="10"/>
      <c r="O6143" s="10"/>
      <c r="P6143" s="10" t="s">
        <v>30550</v>
      </c>
      <c r="Q6143" s="10">
        <v>371.10199999999998</v>
      </c>
      <c r="R6143" s="10"/>
      <c r="S6143" s="10" t="s">
        <v>53</v>
      </c>
      <c r="T6143" s="10" t="s">
        <v>54</v>
      </c>
    </row>
    <row r="6144" spans="1:20" ht="14.5" x14ac:dyDescent="0.35">
      <c r="A6144" s="10" t="s">
        <v>30551</v>
      </c>
      <c r="B6144" s="10" t="str">
        <f>"9780761931652"</f>
        <v>9780761931652</v>
      </c>
      <c r="C6144" s="10" t="str">
        <f>"9781483362533"</f>
        <v>9781483362533</v>
      </c>
      <c r="D6144" s="10" t="s">
        <v>22210</v>
      </c>
      <c r="E6144" s="10" t="s">
        <v>22211</v>
      </c>
      <c r="F6144" s="10" t="s">
        <v>333</v>
      </c>
      <c r="G6144" s="10" t="s">
        <v>6317</v>
      </c>
      <c r="H6144" s="11">
        <v>38281</v>
      </c>
      <c r="I6144" s="10">
        <v>2005</v>
      </c>
      <c r="J6144" s="10" t="s">
        <v>22211</v>
      </c>
      <c r="K6144" s="10">
        <v>193</v>
      </c>
      <c r="L6144" s="10" t="s">
        <v>30552</v>
      </c>
      <c r="M6144" s="10">
        <v>1</v>
      </c>
      <c r="N6144" s="10"/>
      <c r="O6144" s="10"/>
      <c r="P6144" s="10" t="s">
        <v>30553</v>
      </c>
      <c r="Q6144" s="10" t="s">
        <v>9491</v>
      </c>
      <c r="R6144" s="10"/>
      <c r="S6144" s="10" t="s">
        <v>53</v>
      </c>
      <c r="T6144" s="10" t="s">
        <v>54</v>
      </c>
    </row>
    <row r="6145" spans="1:20" ht="14.5" x14ac:dyDescent="0.35">
      <c r="A6145" s="10" t="s">
        <v>30554</v>
      </c>
      <c r="B6145" s="10" t="str">
        <f>"9781412904919"</f>
        <v>9781412904919</v>
      </c>
      <c r="C6145" s="10" t="str">
        <f>"9781483363363"</f>
        <v>9781483363363</v>
      </c>
      <c r="D6145" s="10" t="s">
        <v>22210</v>
      </c>
      <c r="E6145" s="10" t="s">
        <v>22211</v>
      </c>
      <c r="F6145" s="10" t="s">
        <v>333</v>
      </c>
      <c r="G6145" s="10" t="s">
        <v>6317</v>
      </c>
      <c r="H6145" s="11">
        <v>38168</v>
      </c>
      <c r="I6145" s="10">
        <v>2004</v>
      </c>
      <c r="J6145" s="10" t="s">
        <v>22211</v>
      </c>
      <c r="K6145" s="10">
        <v>225</v>
      </c>
      <c r="L6145" s="10" t="s">
        <v>24054</v>
      </c>
      <c r="M6145" s="10">
        <v>1</v>
      </c>
      <c r="N6145" s="10"/>
      <c r="O6145" s="10"/>
      <c r="P6145" s="10" t="s">
        <v>30555</v>
      </c>
      <c r="Q6145" s="10" t="s">
        <v>12394</v>
      </c>
      <c r="R6145" s="10"/>
      <c r="S6145" s="10" t="s">
        <v>53</v>
      </c>
      <c r="T6145" s="10" t="s">
        <v>54</v>
      </c>
    </row>
    <row r="6146" spans="1:20" ht="14.5" x14ac:dyDescent="0.35">
      <c r="A6146" s="10" t="s">
        <v>30556</v>
      </c>
      <c r="B6146" s="10" t="str">
        <f>"9780761988328"</f>
        <v>9780761988328</v>
      </c>
      <c r="C6146" s="10" t="str">
        <f>"9781483363110"</f>
        <v>9781483363110</v>
      </c>
      <c r="D6146" s="10" t="s">
        <v>22210</v>
      </c>
      <c r="E6146" s="10" t="s">
        <v>22211</v>
      </c>
      <c r="F6146" s="10" t="s">
        <v>333</v>
      </c>
      <c r="G6146" s="10" t="s">
        <v>6317</v>
      </c>
      <c r="H6146" s="11">
        <v>38079</v>
      </c>
      <c r="I6146" s="10">
        <v>2004</v>
      </c>
      <c r="J6146" s="10" t="s">
        <v>22211</v>
      </c>
      <c r="K6146" s="10">
        <v>121</v>
      </c>
      <c r="L6146" s="10" t="s">
        <v>30557</v>
      </c>
      <c r="M6146" s="10">
        <v>1</v>
      </c>
      <c r="N6146" s="10"/>
      <c r="O6146" s="10"/>
      <c r="P6146" s="10" t="s">
        <v>30558</v>
      </c>
      <c r="Q6146" s="10"/>
      <c r="R6146" s="10"/>
      <c r="S6146" s="10" t="s">
        <v>53</v>
      </c>
      <c r="T6146" s="10" t="s">
        <v>54</v>
      </c>
    </row>
    <row r="6147" spans="1:20" ht="14.5" x14ac:dyDescent="0.35">
      <c r="A6147" s="10" t="s">
        <v>30559</v>
      </c>
      <c r="B6147" s="10" t="str">
        <f>"9780761988854"</f>
        <v>9780761988854</v>
      </c>
      <c r="C6147" s="10" t="str">
        <f>"9781483363141"</f>
        <v>9781483363141</v>
      </c>
      <c r="D6147" s="10" t="s">
        <v>22210</v>
      </c>
      <c r="E6147" s="10" t="s">
        <v>22211</v>
      </c>
      <c r="F6147" s="10" t="s">
        <v>333</v>
      </c>
      <c r="G6147" s="10" t="s">
        <v>6317</v>
      </c>
      <c r="H6147" s="11">
        <v>38324</v>
      </c>
      <c r="I6147" s="10">
        <v>2005</v>
      </c>
      <c r="J6147" s="10" t="s">
        <v>22211</v>
      </c>
      <c r="K6147" s="10">
        <v>145</v>
      </c>
      <c r="L6147" s="10" t="s">
        <v>30560</v>
      </c>
      <c r="M6147" s="10">
        <v>1</v>
      </c>
      <c r="N6147" s="10"/>
      <c r="O6147" s="10"/>
      <c r="P6147" s="10" t="s">
        <v>30561</v>
      </c>
      <c r="Q6147" s="10"/>
      <c r="R6147" s="10"/>
      <c r="S6147" s="10" t="s">
        <v>53</v>
      </c>
      <c r="T6147" s="10" t="s">
        <v>54</v>
      </c>
    </row>
    <row r="6148" spans="1:20" ht="14.5" x14ac:dyDescent="0.35">
      <c r="A6148" s="10" t="s">
        <v>30562</v>
      </c>
      <c r="B6148" s="10" t="str">
        <f>"9780761931874"</f>
        <v>9780761931874</v>
      </c>
      <c r="C6148" s="10" t="str">
        <f>"9781483362588"</f>
        <v>9781483362588</v>
      </c>
      <c r="D6148" s="10" t="s">
        <v>22210</v>
      </c>
      <c r="E6148" s="10" t="s">
        <v>22211</v>
      </c>
      <c r="F6148" s="10" t="s">
        <v>333</v>
      </c>
      <c r="G6148" s="10" t="s">
        <v>6317</v>
      </c>
      <c r="H6148" s="11">
        <v>38030</v>
      </c>
      <c r="I6148" s="10">
        <v>2004</v>
      </c>
      <c r="J6148" s="10" t="s">
        <v>22211</v>
      </c>
      <c r="K6148" s="10">
        <v>177</v>
      </c>
      <c r="L6148" s="10" t="s">
        <v>30563</v>
      </c>
      <c r="M6148" s="10">
        <v>1</v>
      </c>
      <c r="N6148" s="10"/>
      <c r="O6148" s="10"/>
      <c r="P6148" s="10" t="s">
        <v>30564</v>
      </c>
      <c r="Q6148" s="10" t="s">
        <v>6496</v>
      </c>
      <c r="R6148" s="10"/>
      <c r="S6148" s="10" t="s">
        <v>53</v>
      </c>
      <c r="T6148" s="10" t="s">
        <v>6616</v>
      </c>
    </row>
    <row r="6149" spans="1:20" ht="14.5" x14ac:dyDescent="0.35">
      <c r="A6149" s="10" t="s">
        <v>30565</v>
      </c>
      <c r="B6149" s="10" t="str">
        <f>"9781412906340"</f>
        <v>9781412906340</v>
      </c>
      <c r="C6149" s="10" t="str">
        <f>"9781483363448"</f>
        <v>9781483363448</v>
      </c>
      <c r="D6149" s="10" t="s">
        <v>22210</v>
      </c>
      <c r="E6149" s="10" t="s">
        <v>22211</v>
      </c>
      <c r="F6149" s="10" t="s">
        <v>333</v>
      </c>
      <c r="G6149" s="10" t="s">
        <v>6317</v>
      </c>
      <c r="H6149" s="11">
        <v>38812</v>
      </c>
      <c r="I6149" s="10">
        <v>2006</v>
      </c>
      <c r="J6149" s="10" t="s">
        <v>22211</v>
      </c>
      <c r="K6149" s="10">
        <v>137</v>
      </c>
      <c r="L6149" s="10" t="s">
        <v>30566</v>
      </c>
      <c r="M6149" s="10">
        <v>1</v>
      </c>
      <c r="N6149" s="10"/>
      <c r="O6149" s="10"/>
      <c r="P6149" s="10" t="s">
        <v>30567</v>
      </c>
      <c r="Q6149" s="10"/>
      <c r="R6149" s="10"/>
      <c r="S6149" s="10" t="s">
        <v>53</v>
      </c>
      <c r="T6149" s="10" t="s">
        <v>54</v>
      </c>
    </row>
    <row r="6150" spans="1:20" ht="14.5" x14ac:dyDescent="0.35">
      <c r="A6150" s="10" t="s">
        <v>30568</v>
      </c>
      <c r="B6150" s="10" t="str">
        <f>"9781412904346"</f>
        <v>9781412904346</v>
      </c>
      <c r="C6150" s="10" t="str">
        <f>"9781483363295"</f>
        <v>9781483363295</v>
      </c>
      <c r="D6150" s="10" t="s">
        <v>22210</v>
      </c>
      <c r="E6150" s="10" t="s">
        <v>22211</v>
      </c>
      <c r="F6150" s="10" t="s">
        <v>333</v>
      </c>
      <c r="G6150" s="10" t="s">
        <v>6317</v>
      </c>
      <c r="H6150" s="11">
        <v>38052</v>
      </c>
      <c r="I6150" s="10">
        <v>2004</v>
      </c>
      <c r="J6150" s="10" t="s">
        <v>22211</v>
      </c>
      <c r="K6150" s="10">
        <v>185</v>
      </c>
      <c r="L6150" s="10" t="s">
        <v>30569</v>
      </c>
      <c r="M6150" s="10">
        <v>1</v>
      </c>
      <c r="N6150" s="10" t="s">
        <v>27678</v>
      </c>
      <c r="O6150" s="10"/>
      <c r="P6150" s="10" t="s">
        <v>30570</v>
      </c>
      <c r="Q6150" s="10" t="s">
        <v>30571</v>
      </c>
      <c r="R6150" s="10"/>
      <c r="S6150" s="10" t="s">
        <v>53</v>
      </c>
      <c r="T6150" s="10" t="s">
        <v>54</v>
      </c>
    </row>
    <row r="6151" spans="1:20" ht="14.5" x14ac:dyDescent="0.35">
      <c r="A6151" s="10" t="s">
        <v>30572</v>
      </c>
      <c r="B6151" s="10" t="str">
        <f>"9781412904292"</f>
        <v>9781412904292</v>
      </c>
      <c r="C6151" s="10" t="str">
        <f>"9781483363264"</f>
        <v>9781483363264</v>
      </c>
      <c r="D6151" s="10" t="s">
        <v>22210</v>
      </c>
      <c r="E6151" s="10" t="s">
        <v>22211</v>
      </c>
      <c r="F6151" s="10" t="s">
        <v>333</v>
      </c>
      <c r="G6151" s="10" t="s">
        <v>6317</v>
      </c>
      <c r="H6151" s="11">
        <v>38052</v>
      </c>
      <c r="I6151" s="10">
        <v>2004</v>
      </c>
      <c r="J6151" s="10" t="s">
        <v>22211</v>
      </c>
      <c r="K6151" s="10">
        <v>209</v>
      </c>
      <c r="L6151" s="10" t="s">
        <v>30573</v>
      </c>
      <c r="M6151" s="10">
        <v>1</v>
      </c>
      <c r="N6151" s="10" t="s">
        <v>27678</v>
      </c>
      <c r="O6151" s="10"/>
      <c r="P6151" s="10" t="s">
        <v>30574</v>
      </c>
      <c r="Q6151" s="10"/>
      <c r="R6151" s="10"/>
      <c r="S6151" s="10" t="s">
        <v>53</v>
      </c>
      <c r="T6151" s="10" t="s">
        <v>54</v>
      </c>
    </row>
    <row r="6152" spans="1:20" ht="14.5" x14ac:dyDescent="0.35">
      <c r="A6152" s="10" t="s">
        <v>30575</v>
      </c>
      <c r="B6152" s="10" t="str">
        <f>"9780761988748"</f>
        <v>9780761988748</v>
      </c>
      <c r="C6152" s="10" t="str">
        <f>"9781483363134"</f>
        <v>9781483363134</v>
      </c>
      <c r="D6152" s="10" t="s">
        <v>22210</v>
      </c>
      <c r="E6152" s="10" t="s">
        <v>22211</v>
      </c>
      <c r="F6152" s="10" t="s">
        <v>333</v>
      </c>
      <c r="G6152" s="10" t="s">
        <v>6317</v>
      </c>
      <c r="H6152" s="11">
        <v>37931</v>
      </c>
      <c r="I6152" s="10">
        <v>2004</v>
      </c>
      <c r="J6152" s="10" t="s">
        <v>22211</v>
      </c>
      <c r="K6152" s="10">
        <v>209</v>
      </c>
      <c r="L6152" s="10" t="s">
        <v>30576</v>
      </c>
      <c r="M6152" s="10">
        <v>1</v>
      </c>
      <c r="N6152" s="10" t="s">
        <v>27678</v>
      </c>
      <c r="O6152" s="10"/>
      <c r="P6152" s="10" t="s">
        <v>30577</v>
      </c>
      <c r="Q6152" s="10" t="s">
        <v>30125</v>
      </c>
      <c r="R6152" s="10"/>
      <c r="S6152" s="10" t="s">
        <v>53</v>
      </c>
      <c r="T6152" s="10" t="s">
        <v>54</v>
      </c>
    </row>
    <row r="6153" spans="1:20" ht="14.5" x14ac:dyDescent="0.35">
      <c r="A6153" s="10" t="s">
        <v>30578</v>
      </c>
      <c r="B6153" s="10" t="str">
        <f>"9781412904353"</f>
        <v>9781412904353</v>
      </c>
      <c r="C6153" s="10" t="str">
        <f>"9781483363301"</f>
        <v>9781483363301</v>
      </c>
      <c r="D6153" s="10" t="s">
        <v>22210</v>
      </c>
      <c r="E6153" s="10" t="s">
        <v>22211</v>
      </c>
      <c r="F6153" s="10" t="s">
        <v>333</v>
      </c>
      <c r="G6153" s="10" t="s">
        <v>6317</v>
      </c>
      <c r="H6153" s="11">
        <v>38057</v>
      </c>
      <c r="I6153" s="10">
        <v>2004</v>
      </c>
      <c r="J6153" s="10" t="s">
        <v>22211</v>
      </c>
      <c r="K6153" s="10">
        <v>225</v>
      </c>
      <c r="L6153" s="10" t="s">
        <v>30579</v>
      </c>
      <c r="M6153" s="10">
        <v>1</v>
      </c>
      <c r="N6153" s="10" t="s">
        <v>27678</v>
      </c>
      <c r="O6153" s="10"/>
      <c r="P6153" s="10" t="s">
        <v>30580</v>
      </c>
      <c r="Q6153" s="10">
        <v>371.95</v>
      </c>
      <c r="R6153" s="10"/>
      <c r="S6153" s="10" t="s">
        <v>53</v>
      </c>
      <c r="T6153" s="10" t="s">
        <v>54</v>
      </c>
    </row>
    <row r="6154" spans="1:20" ht="14.5" x14ac:dyDescent="0.35">
      <c r="A6154" s="10" t="s">
        <v>30581</v>
      </c>
      <c r="B6154" s="10" t="str">
        <f>"9781412904308"</f>
        <v>9781412904308</v>
      </c>
      <c r="C6154" s="10" t="str">
        <f>"9781483363271"</f>
        <v>9781483363271</v>
      </c>
      <c r="D6154" s="10" t="s">
        <v>22210</v>
      </c>
      <c r="E6154" s="10" t="s">
        <v>22211</v>
      </c>
      <c r="F6154" s="10" t="s">
        <v>333</v>
      </c>
      <c r="G6154" s="10" t="s">
        <v>6317</v>
      </c>
      <c r="H6154" s="11">
        <v>38052</v>
      </c>
      <c r="I6154" s="10">
        <v>2004</v>
      </c>
      <c r="J6154" s="10" t="s">
        <v>22211</v>
      </c>
      <c r="K6154" s="10">
        <v>273</v>
      </c>
      <c r="L6154" s="10" t="s">
        <v>30582</v>
      </c>
      <c r="M6154" s="10">
        <v>1</v>
      </c>
      <c r="N6154" s="10" t="s">
        <v>27678</v>
      </c>
      <c r="O6154" s="10"/>
      <c r="P6154" s="10" t="s">
        <v>30583</v>
      </c>
      <c r="Q6154" s="10">
        <v>371.95</v>
      </c>
      <c r="R6154" s="10"/>
      <c r="S6154" s="10" t="s">
        <v>53</v>
      </c>
      <c r="T6154" s="10" t="s">
        <v>54</v>
      </c>
    </row>
    <row r="6155" spans="1:20" ht="14.5" x14ac:dyDescent="0.35">
      <c r="A6155" s="10" t="s">
        <v>30584</v>
      </c>
      <c r="B6155" s="10" t="str">
        <f>"9781412904186"</f>
        <v>9781412904186</v>
      </c>
      <c r="C6155" s="10" t="str">
        <f>"9781483363240"</f>
        <v>9781483363240</v>
      </c>
      <c r="D6155" s="10" t="s">
        <v>22210</v>
      </c>
      <c r="E6155" s="10" t="s">
        <v>22211</v>
      </c>
      <c r="F6155" s="10" t="s">
        <v>333</v>
      </c>
      <c r="G6155" s="10" t="s">
        <v>6317</v>
      </c>
      <c r="H6155" s="11">
        <v>38308</v>
      </c>
      <c r="I6155" s="10">
        <v>2005</v>
      </c>
      <c r="J6155" s="10" t="s">
        <v>22211</v>
      </c>
      <c r="K6155" s="10">
        <v>81</v>
      </c>
      <c r="L6155" s="10" t="s">
        <v>23554</v>
      </c>
      <c r="M6155" s="10">
        <v>1</v>
      </c>
      <c r="N6155" s="10"/>
      <c r="O6155" s="10"/>
      <c r="P6155" s="10" t="s">
        <v>30585</v>
      </c>
      <c r="Q6155" s="10">
        <v>371.10199999999998</v>
      </c>
      <c r="R6155" s="10"/>
      <c r="S6155" s="10" t="s">
        <v>53</v>
      </c>
      <c r="T6155" s="10" t="s">
        <v>54</v>
      </c>
    </row>
    <row r="6156" spans="1:20" ht="14.5" x14ac:dyDescent="0.35">
      <c r="A6156" s="10" t="s">
        <v>30586</v>
      </c>
      <c r="B6156" s="10" t="str">
        <f>"9781412904513"</f>
        <v>9781412904513</v>
      </c>
      <c r="C6156" s="10" t="str">
        <f>"9781483363332"</f>
        <v>9781483363332</v>
      </c>
      <c r="D6156" s="10" t="s">
        <v>22210</v>
      </c>
      <c r="E6156" s="10" t="s">
        <v>22211</v>
      </c>
      <c r="F6156" s="10" t="s">
        <v>333</v>
      </c>
      <c r="G6156" s="10" t="s">
        <v>6317</v>
      </c>
      <c r="H6156" s="11">
        <v>38288</v>
      </c>
      <c r="I6156" s="10">
        <v>2005</v>
      </c>
      <c r="J6156" s="10" t="s">
        <v>22211</v>
      </c>
      <c r="K6156" s="10">
        <v>225</v>
      </c>
      <c r="L6156" s="10" t="s">
        <v>25036</v>
      </c>
      <c r="M6156" s="10">
        <v>1</v>
      </c>
      <c r="N6156" s="10"/>
      <c r="O6156" s="10"/>
      <c r="P6156" s="10" t="s">
        <v>30587</v>
      </c>
      <c r="Q6156" s="10" t="s">
        <v>12010</v>
      </c>
      <c r="R6156" s="10"/>
      <c r="S6156" s="10" t="s">
        <v>53</v>
      </c>
      <c r="T6156" s="10" t="s">
        <v>54</v>
      </c>
    </row>
    <row r="6157" spans="1:20" ht="14.5" x14ac:dyDescent="0.35">
      <c r="A6157" s="10" t="s">
        <v>30588</v>
      </c>
      <c r="B6157" s="10" t="str">
        <f>"9781412904490"</f>
        <v>9781412904490</v>
      </c>
      <c r="C6157" s="10" t="str">
        <f>"9781483363325"</f>
        <v>9781483363325</v>
      </c>
      <c r="D6157" s="10" t="s">
        <v>22210</v>
      </c>
      <c r="E6157" s="10" t="s">
        <v>22211</v>
      </c>
      <c r="F6157" s="10" t="s">
        <v>333</v>
      </c>
      <c r="G6157" s="10" t="s">
        <v>6317</v>
      </c>
      <c r="H6157" s="11">
        <v>38293</v>
      </c>
      <c r="I6157" s="10">
        <v>2005</v>
      </c>
      <c r="J6157" s="10" t="s">
        <v>22211</v>
      </c>
      <c r="K6157" s="10">
        <v>257</v>
      </c>
      <c r="L6157" s="10" t="s">
        <v>30589</v>
      </c>
      <c r="M6157" s="10">
        <v>1</v>
      </c>
      <c r="N6157" s="10"/>
      <c r="O6157" s="10"/>
      <c r="P6157" s="10" t="s">
        <v>30590</v>
      </c>
      <c r="Q6157" s="10">
        <v>373.14</v>
      </c>
      <c r="R6157" s="10"/>
      <c r="S6157" s="10" t="s">
        <v>53</v>
      </c>
      <c r="T6157" s="10" t="s">
        <v>54</v>
      </c>
    </row>
    <row r="6158" spans="1:20" ht="14.5" x14ac:dyDescent="0.35">
      <c r="A6158" s="10" t="s">
        <v>30591</v>
      </c>
      <c r="B6158" s="10" t="str">
        <f>"9781412915083"</f>
        <v>9781412915083</v>
      </c>
      <c r="C6158" s="10" t="str">
        <f>"9781483363691"</f>
        <v>9781483363691</v>
      </c>
      <c r="D6158" s="10" t="s">
        <v>22210</v>
      </c>
      <c r="E6158" s="10" t="s">
        <v>22211</v>
      </c>
      <c r="F6158" s="10" t="s">
        <v>333</v>
      </c>
      <c r="G6158" s="10" t="s">
        <v>6317</v>
      </c>
      <c r="H6158" s="11">
        <v>38789</v>
      </c>
      <c r="I6158" s="10">
        <v>2006</v>
      </c>
      <c r="J6158" s="10" t="s">
        <v>22211</v>
      </c>
      <c r="K6158" s="10">
        <v>145</v>
      </c>
      <c r="L6158" s="10" t="s">
        <v>30592</v>
      </c>
      <c r="M6158" s="10">
        <v>1</v>
      </c>
      <c r="N6158" s="10"/>
      <c r="O6158" s="10"/>
      <c r="P6158" s="10" t="s">
        <v>30593</v>
      </c>
      <c r="Q6158" s="10" t="s">
        <v>6785</v>
      </c>
      <c r="R6158" s="10"/>
      <c r="S6158" s="10" t="s">
        <v>53</v>
      </c>
      <c r="T6158" s="10" t="s">
        <v>54</v>
      </c>
    </row>
    <row r="6159" spans="1:20" ht="14.5" x14ac:dyDescent="0.35">
      <c r="A6159" s="10" t="s">
        <v>30594</v>
      </c>
      <c r="B6159" s="10" t="str">
        <f>"9781412905084"</f>
        <v>9781412905084</v>
      </c>
      <c r="C6159" s="10" t="str">
        <f>"9781483363370"</f>
        <v>9781483363370</v>
      </c>
      <c r="D6159" s="10" t="s">
        <v>22210</v>
      </c>
      <c r="E6159" s="10" t="s">
        <v>22211</v>
      </c>
      <c r="F6159" s="10" t="s">
        <v>333</v>
      </c>
      <c r="G6159" s="10" t="s">
        <v>6317</v>
      </c>
      <c r="H6159" s="11">
        <v>38119</v>
      </c>
      <c r="I6159" s="10">
        <v>2004</v>
      </c>
      <c r="J6159" s="10" t="s">
        <v>22211</v>
      </c>
      <c r="K6159" s="10">
        <v>217</v>
      </c>
      <c r="L6159" s="10" t="s">
        <v>30595</v>
      </c>
      <c r="M6159" s="10">
        <v>1</v>
      </c>
      <c r="N6159" s="10"/>
      <c r="O6159" s="10"/>
      <c r="P6159" s="10" t="s">
        <v>30596</v>
      </c>
      <c r="Q6159" s="10"/>
      <c r="R6159" s="10"/>
      <c r="S6159" s="10" t="s">
        <v>53</v>
      </c>
      <c r="T6159" s="10" t="s">
        <v>54</v>
      </c>
    </row>
    <row r="6160" spans="1:20" ht="14.5" x14ac:dyDescent="0.35">
      <c r="A6160" s="10" t="s">
        <v>30597</v>
      </c>
      <c r="B6160" s="10" t="str">
        <f>"9781412906173"</f>
        <v>9781412906173</v>
      </c>
      <c r="C6160" s="10" t="str">
        <f>"9781483363424"</f>
        <v>9781483363424</v>
      </c>
      <c r="D6160" s="10" t="s">
        <v>22210</v>
      </c>
      <c r="E6160" s="10" t="s">
        <v>22211</v>
      </c>
      <c r="F6160" s="10" t="s">
        <v>333</v>
      </c>
      <c r="G6160" s="10" t="s">
        <v>6317</v>
      </c>
      <c r="H6160" s="11">
        <v>38455</v>
      </c>
      <c r="I6160" s="10">
        <v>2005</v>
      </c>
      <c r="J6160" s="10" t="s">
        <v>22211</v>
      </c>
      <c r="K6160" s="10">
        <v>289</v>
      </c>
      <c r="L6160" s="10" t="s">
        <v>30598</v>
      </c>
      <c r="M6160" s="10">
        <v>1</v>
      </c>
      <c r="N6160" s="10"/>
      <c r="O6160" s="10"/>
      <c r="P6160" s="10" t="s">
        <v>30599</v>
      </c>
      <c r="Q6160" s="10">
        <v>371.39</v>
      </c>
      <c r="R6160" s="10"/>
      <c r="S6160" s="10" t="s">
        <v>53</v>
      </c>
      <c r="T6160" s="10" t="s">
        <v>54</v>
      </c>
    </row>
    <row r="6161" spans="1:20" ht="14.5" x14ac:dyDescent="0.35">
      <c r="A6161" s="10" t="s">
        <v>30600</v>
      </c>
      <c r="B6161" s="10" t="str">
        <f>"9781412906265"</f>
        <v>9781412906265</v>
      </c>
      <c r="C6161" s="10" t="str">
        <f>"9781483363431"</f>
        <v>9781483363431</v>
      </c>
      <c r="D6161" s="10" t="s">
        <v>22210</v>
      </c>
      <c r="E6161" s="10" t="s">
        <v>22211</v>
      </c>
      <c r="F6161" s="10" t="s">
        <v>333</v>
      </c>
      <c r="G6161" s="10" t="s">
        <v>6317</v>
      </c>
      <c r="H6161" s="11">
        <v>38511</v>
      </c>
      <c r="I6161" s="10">
        <v>2005</v>
      </c>
      <c r="J6161" s="10" t="s">
        <v>22211</v>
      </c>
      <c r="K6161" s="10">
        <v>249</v>
      </c>
      <c r="L6161" s="10" t="s">
        <v>30601</v>
      </c>
      <c r="M6161" s="10">
        <v>1</v>
      </c>
      <c r="N6161" s="10"/>
      <c r="O6161" s="10"/>
      <c r="P6161" s="10" t="s">
        <v>30602</v>
      </c>
      <c r="Q6161" s="10"/>
      <c r="R6161" s="10"/>
      <c r="S6161" s="10" t="s">
        <v>53</v>
      </c>
      <c r="T6161" s="10" t="s">
        <v>54</v>
      </c>
    </row>
    <row r="6162" spans="1:20" ht="14.5" x14ac:dyDescent="0.35">
      <c r="A6162" s="10" t="s">
        <v>30603</v>
      </c>
      <c r="B6162" s="10" t="str">
        <f>"9781412909563"</f>
        <v>9781412909563</v>
      </c>
      <c r="C6162" s="10" t="str">
        <f>"9781483363493"</f>
        <v>9781483363493</v>
      </c>
      <c r="D6162" s="10" t="s">
        <v>22210</v>
      </c>
      <c r="E6162" s="10" t="s">
        <v>22211</v>
      </c>
      <c r="F6162" s="10" t="s">
        <v>333</v>
      </c>
      <c r="G6162" s="10" t="s">
        <v>6317</v>
      </c>
      <c r="H6162" s="11">
        <v>38707</v>
      </c>
      <c r="I6162" s="10">
        <v>2006</v>
      </c>
      <c r="J6162" s="10" t="s">
        <v>22211</v>
      </c>
      <c r="K6162" s="10">
        <v>257</v>
      </c>
      <c r="L6162" s="10" t="s">
        <v>30604</v>
      </c>
      <c r="M6162" s="10">
        <v>1</v>
      </c>
      <c r="N6162" s="10"/>
      <c r="O6162" s="10"/>
      <c r="P6162" s="10" t="s">
        <v>30605</v>
      </c>
      <c r="Q6162" s="10"/>
      <c r="R6162" s="10"/>
      <c r="S6162" s="10" t="s">
        <v>53</v>
      </c>
      <c r="T6162" s="10" t="s">
        <v>54</v>
      </c>
    </row>
    <row r="6163" spans="1:20" ht="14.5" x14ac:dyDescent="0.35">
      <c r="A6163" s="10" t="s">
        <v>30606</v>
      </c>
      <c r="B6163" s="10" t="str">
        <f>"9781412913423"</f>
        <v>9781412913423</v>
      </c>
      <c r="C6163" s="10" t="str">
        <f>"9781483363554"</f>
        <v>9781483363554</v>
      </c>
      <c r="D6163" s="10" t="s">
        <v>22210</v>
      </c>
      <c r="E6163" s="10" t="s">
        <v>22211</v>
      </c>
      <c r="F6163" s="10" t="s">
        <v>333</v>
      </c>
      <c r="G6163" s="10" t="s">
        <v>6317</v>
      </c>
      <c r="H6163" s="11">
        <v>38611</v>
      </c>
      <c r="I6163" s="10">
        <v>2006</v>
      </c>
      <c r="J6163" s="10" t="s">
        <v>22211</v>
      </c>
      <c r="K6163" s="10">
        <v>169</v>
      </c>
      <c r="L6163" s="10" t="s">
        <v>30607</v>
      </c>
      <c r="M6163" s="10">
        <v>1</v>
      </c>
      <c r="N6163" s="10"/>
      <c r="O6163" s="10"/>
      <c r="P6163" s="10" t="s">
        <v>30608</v>
      </c>
      <c r="Q6163" s="10"/>
      <c r="R6163" s="10"/>
      <c r="S6163" s="10" t="s">
        <v>53</v>
      </c>
      <c r="T6163" s="10" t="s">
        <v>54</v>
      </c>
    </row>
    <row r="6164" spans="1:20" ht="14.5" x14ac:dyDescent="0.35">
      <c r="A6164" s="10" t="s">
        <v>30609</v>
      </c>
      <c r="B6164" s="10" t="str">
        <f>"9781412913270"</f>
        <v>9781412913270</v>
      </c>
      <c r="C6164" s="10" t="str">
        <f>"9781483363523"</f>
        <v>9781483363523</v>
      </c>
      <c r="D6164" s="10" t="s">
        <v>22210</v>
      </c>
      <c r="E6164" s="10" t="s">
        <v>22211</v>
      </c>
      <c r="F6164" s="10" t="s">
        <v>333</v>
      </c>
      <c r="G6164" s="10" t="s">
        <v>6317</v>
      </c>
      <c r="H6164" s="11">
        <v>38531</v>
      </c>
      <c r="I6164" s="10">
        <v>2005</v>
      </c>
      <c r="J6164" s="10" t="s">
        <v>22211</v>
      </c>
      <c r="K6164" s="10">
        <v>305</v>
      </c>
      <c r="L6164" s="10" t="s">
        <v>30610</v>
      </c>
      <c r="M6164" s="10">
        <v>1</v>
      </c>
      <c r="N6164" s="10"/>
      <c r="O6164" s="10"/>
      <c r="P6164" s="10"/>
      <c r="Q6164" s="10">
        <v>371.2011</v>
      </c>
      <c r="R6164" s="10"/>
      <c r="S6164" s="10" t="s">
        <v>53</v>
      </c>
      <c r="T6164" s="10" t="s">
        <v>54</v>
      </c>
    </row>
    <row r="6165" spans="1:20" ht="14.5" x14ac:dyDescent="0.35">
      <c r="A6165" s="10" t="s">
        <v>30611</v>
      </c>
      <c r="B6165" s="10" t="str">
        <f>"9781412913287"</f>
        <v>9781412913287</v>
      </c>
      <c r="C6165" s="10" t="str">
        <f>"9781483363530"</f>
        <v>9781483363530</v>
      </c>
      <c r="D6165" s="10" t="s">
        <v>22210</v>
      </c>
      <c r="E6165" s="10" t="s">
        <v>22211</v>
      </c>
      <c r="F6165" s="10" t="s">
        <v>333</v>
      </c>
      <c r="G6165" s="10" t="s">
        <v>6317</v>
      </c>
      <c r="H6165" s="11">
        <v>38398</v>
      </c>
      <c r="I6165" s="10">
        <v>2005</v>
      </c>
      <c r="J6165" s="10" t="s">
        <v>22211</v>
      </c>
      <c r="K6165" s="10">
        <v>201</v>
      </c>
      <c r="L6165" s="10" t="s">
        <v>30612</v>
      </c>
      <c r="M6165" s="10">
        <v>1</v>
      </c>
      <c r="N6165" s="10"/>
      <c r="O6165" s="10"/>
      <c r="P6165" s="10" t="s">
        <v>30613</v>
      </c>
      <c r="Q6165" s="10" t="s">
        <v>9757</v>
      </c>
      <c r="R6165" s="10"/>
      <c r="S6165" s="10" t="s">
        <v>53</v>
      </c>
      <c r="T6165" s="10" t="s">
        <v>54</v>
      </c>
    </row>
    <row r="6166" spans="1:20" ht="14.5" x14ac:dyDescent="0.35">
      <c r="A6166" s="10" t="s">
        <v>30614</v>
      </c>
      <c r="B6166" s="10" t="str">
        <f>"9781412913201"</f>
        <v>9781412913201</v>
      </c>
      <c r="C6166" s="10" t="str">
        <f>"9781483363516"</f>
        <v>9781483363516</v>
      </c>
      <c r="D6166" s="10" t="s">
        <v>22210</v>
      </c>
      <c r="E6166" s="10" t="s">
        <v>22211</v>
      </c>
      <c r="F6166" s="10" t="s">
        <v>333</v>
      </c>
      <c r="G6166" s="10" t="s">
        <v>6317</v>
      </c>
      <c r="H6166" s="11">
        <v>38812</v>
      </c>
      <c r="I6166" s="10">
        <v>2006</v>
      </c>
      <c r="J6166" s="10" t="s">
        <v>22211</v>
      </c>
      <c r="K6166" s="10">
        <v>201</v>
      </c>
      <c r="L6166" s="10" t="s">
        <v>30615</v>
      </c>
      <c r="M6166" s="10">
        <v>1</v>
      </c>
      <c r="N6166" s="10"/>
      <c r="O6166" s="10"/>
      <c r="P6166" s="10" t="s">
        <v>30616</v>
      </c>
      <c r="Q6166" s="10" t="s">
        <v>30617</v>
      </c>
      <c r="R6166" s="10"/>
      <c r="S6166" s="10" t="s">
        <v>53</v>
      </c>
      <c r="T6166" s="10" t="s">
        <v>8723</v>
      </c>
    </row>
    <row r="6167" spans="1:20" ht="14.5" x14ac:dyDescent="0.35">
      <c r="A6167" s="10" t="s">
        <v>30618</v>
      </c>
      <c r="B6167" s="10" t="str">
        <f>"9781412913492"</f>
        <v>9781412913492</v>
      </c>
      <c r="C6167" s="10" t="str">
        <f>"9781483363561"</f>
        <v>9781483363561</v>
      </c>
      <c r="D6167" s="10" t="s">
        <v>22210</v>
      </c>
      <c r="E6167" s="10" t="s">
        <v>22211</v>
      </c>
      <c r="F6167" s="10" t="s">
        <v>333</v>
      </c>
      <c r="G6167" s="10" t="s">
        <v>6317</v>
      </c>
      <c r="H6167" s="11">
        <v>38384</v>
      </c>
      <c r="I6167" s="10">
        <v>2005</v>
      </c>
      <c r="J6167" s="10" t="s">
        <v>22211</v>
      </c>
      <c r="K6167" s="10">
        <v>129</v>
      </c>
      <c r="L6167" s="10" t="s">
        <v>30619</v>
      </c>
      <c r="M6167" s="10">
        <v>2</v>
      </c>
      <c r="N6167" s="10"/>
      <c r="O6167" s="10"/>
      <c r="P6167" s="10" t="s">
        <v>30620</v>
      </c>
      <c r="Q6167" s="10">
        <v>371.5</v>
      </c>
      <c r="R6167" s="10"/>
      <c r="S6167" s="10" t="s">
        <v>53</v>
      </c>
      <c r="T6167" s="10" t="s">
        <v>54</v>
      </c>
    </row>
    <row r="6168" spans="1:20" ht="14.5" x14ac:dyDescent="0.35">
      <c r="A6168" s="10" t="s">
        <v>30621</v>
      </c>
      <c r="B6168" s="10" t="str">
        <f>"9781412914635"</f>
        <v>9781412914635</v>
      </c>
      <c r="C6168" s="10" t="str">
        <f>"9781483363615"</f>
        <v>9781483363615</v>
      </c>
      <c r="D6168" s="10" t="s">
        <v>22210</v>
      </c>
      <c r="E6168" s="10" t="s">
        <v>22211</v>
      </c>
      <c r="F6168" s="10" t="s">
        <v>333</v>
      </c>
      <c r="G6168" s="10" t="s">
        <v>6317</v>
      </c>
      <c r="H6168" s="11">
        <v>38723</v>
      </c>
      <c r="I6168" s="10">
        <v>2006</v>
      </c>
      <c r="J6168" s="10" t="s">
        <v>22211</v>
      </c>
      <c r="K6168" s="10">
        <v>201</v>
      </c>
      <c r="L6168" s="10" t="s">
        <v>30622</v>
      </c>
      <c r="M6168" s="10">
        <v>1</v>
      </c>
      <c r="N6168" s="10" t="s">
        <v>15005</v>
      </c>
      <c r="O6168" s="10"/>
      <c r="P6168" s="10" t="s">
        <v>30623</v>
      </c>
      <c r="Q6168" s="10"/>
      <c r="R6168" s="10"/>
      <c r="S6168" s="10" t="s">
        <v>53</v>
      </c>
      <c r="T6168" s="10" t="s">
        <v>54</v>
      </c>
    </row>
    <row r="6169" spans="1:20" ht="14.5" x14ac:dyDescent="0.35">
      <c r="A6169" s="10" t="s">
        <v>30624</v>
      </c>
      <c r="B6169" s="10" t="str">
        <f>"9781412914574"</f>
        <v>9781412914574</v>
      </c>
      <c r="C6169" s="10" t="str">
        <f>"9781483363608"</f>
        <v>9781483363608</v>
      </c>
      <c r="D6169" s="10" t="s">
        <v>22210</v>
      </c>
      <c r="E6169" s="10" t="s">
        <v>22211</v>
      </c>
      <c r="F6169" s="10" t="s">
        <v>333</v>
      </c>
      <c r="G6169" s="10" t="s">
        <v>6317</v>
      </c>
      <c r="H6169" s="11">
        <v>38518</v>
      </c>
      <c r="I6169" s="10">
        <v>2005</v>
      </c>
      <c r="J6169" s="10" t="s">
        <v>22211</v>
      </c>
      <c r="K6169" s="10">
        <v>121</v>
      </c>
      <c r="L6169" s="10" t="s">
        <v>30625</v>
      </c>
      <c r="M6169" s="10">
        <v>1</v>
      </c>
      <c r="N6169" s="10"/>
      <c r="O6169" s="10"/>
      <c r="P6169" s="10" t="s">
        <v>30626</v>
      </c>
      <c r="Q6169" s="10">
        <v>371.2722</v>
      </c>
      <c r="R6169" s="10"/>
      <c r="S6169" s="10" t="s">
        <v>53</v>
      </c>
      <c r="T6169" s="10" t="s">
        <v>54</v>
      </c>
    </row>
    <row r="6170" spans="1:20" ht="14.5" x14ac:dyDescent="0.35">
      <c r="A6170" s="10" t="s">
        <v>30627</v>
      </c>
      <c r="B6170" s="10" t="str">
        <f>"9781412915120"</f>
        <v>9781412915120</v>
      </c>
      <c r="C6170" s="10" t="str">
        <f>"9781483363707"</f>
        <v>9781483363707</v>
      </c>
      <c r="D6170" s="10" t="s">
        <v>22210</v>
      </c>
      <c r="E6170" s="10" t="s">
        <v>22211</v>
      </c>
      <c r="F6170" s="10" t="s">
        <v>333</v>
      </c>
      <c r="G6170" s="10" t="s">
        <v>6317</v>
      </c>
      <c r="H6170" s="11">
        <v>38595</v>
      </c>
      <c r="I6170" s="10">
        <v>2006</v>
      </c>
      <c r="J6170" s="10" t="s">
        <v>22211</v>
      </c>
      <c r="K6170" s="10">
        <v>121</v>
      </c>
      <c r="L6170" s="10" t="s">
        <v>22271</v>
      </c>
      <c r="M6170" s="10">
        <v>1</v>
      </c>
      <c r="N6170" s="10"/>
      <c r="O6170" s="10"/>
      <c r="P6170" s="10" t="s">
        <v>30628</v>
      </c>
      <c r="Q6170" s="10" t="s">
        <v>27630</v>
      </c>
      <c r="R6170" s="10"/>
      <c r="S6170" s="10" t="s">
        <v>53</v>
      </c>
      <c r="T6170" s="10" t="s">
        <v>54</v>
      </c>
    </row>
    <row r="6171" spans="1:20" ht="14.5" x14ac:dyDescent="0.35">
      <c r="A6171" s="10" t="s">
        <v>30629</v>
      </c>
      <c r="B6171" s="10" t="str">
        <f>"9781412915793"</f>
        <v>9781412915793</v>
      </c>
      <c r="C6171" s="10" t="str">
        <f>"9781483363752"</f>
        <v>9781483363752</v>
      </c>
      <c r="D6171" s="10" t="s">
        <v>22210</v>
      </c>
      <c r="E6171" s="10" t="s">
        <v>22211</v>
      </c>
      <c r="F6171" s="10" t="s">
        <v>333</v>
      </c>
      <c r="G6171" s="10" t="s">
        <v>6317</v>
      </c>
      <c r="H6171" s="11">
        <v>38730</v>
      </c>
      <c r="I6171" s="10">
        <v>2006</v>
      </c>
      <c r="J6171" s="10" t="s">
        <v>22211</v>
      </c>
      <c r="K6171" s="10">
        <v>193</v>
      </c>
      <c r="L6171" s="10" t="s">
        <v>30630</v>
      </c>
      <c r="M6171" s="10">
        <v>1</v>
      </c>
      <c r="N6171" s="10"/>
      <c r="O6171" s="10"/>
      <c r="P6171" s="10" t="s">
        <v>30631</v>
      </c>
      <c r="Q6171" s="10"/>
      <c r="R6171" s="10"/>
      <c r="S6171" s="10" t="s">
        <v>53</v>
      </c>
      <c r="T6171" s="10" t="s">
        <v>54</v>
      </c>
    </row>
    <row r="6172" spans="1:20" ht="14.5" x14ac:dyDescent="0.35">
      <c r="A6172" s="10" t="s">
        <v>30632</v>
      </c>
      <c r="B6172" s="10" t="str">
        <f>"9781412924429"</f>
        <v>9781412924429</v>
      </c>
      <c r="C6172" s="10" t="str">
        <f>"9781483363998"</f>
        <v>9781483363998</v>
      </c>
      <c r="D6172" s="10" t="s">
        <v>22210</v>
      </c>
      <c r="E6172" s="10" t="s">
        <v>22211</v>
      </c>
      <c r="F6172" s="10" t="s">
        <v>333</v>
      </c>
      <c r="G6172" s="10" t="s">
        <v>6317</v>
      </c>
      <c r="H6172" s="11">
        <v>38639</v>
      </c>
      <c r="I6172" s="10">
        <v>2006</v>
      </c>
      <c r="J6172" s="10" t="s">
        <v>22211</v>
      </c>
      <c r="K6172" s="10">
        <v>185</v>
      </c>
      <c r="L6172" s="10" t="s">
        <v>30088</v>
      </c>
      <c r="M6172" s="10">
        <v>1</v>
      </c>
      <c r="N6172" s="10"/>
      <c r="O6172" s="10"/>
      <c r="P6172" s="10" t="s">
        <v>30633</v>
      </c>
      <c r="Q6172" s="10"/>
      <c r="R6172" s="10"/>
      <c r="S6172" s="10" t="s">
        <v>53</v>
      </c>
      <c r="T6172" s="10" t="s">
        <v>54</v>
      </c>
    </row>
    <row r="6173" spans="1:20" ht="14.5" x14ac:dyDescent="0.35">
      <c r="A6173" s="10" t="s">
        <v>30634</v>
      </c>
      <c r="B6173" s="10" t="str">
        <f>"9781412916479"</f>
        <v>9781412916479</v>
      </c>
      <c r="C6173" s="10" t="str">
        <f>"9781483363844"</f>
        <v>9781483363844</v>
      </c>
      <c r="D6173" s="10" t="s">
        <v>22210</v>
      </c>
      <c r="E6173" s="10" t="s">
        <v>22211</v>
      </c>
      <c r="F6173" s="10" t="s">
        <v>333</v>
      </c>
      <c r="G6173" s="10" t="s">
        <v>6317</v>
      </c>
      <c r="H6173" s="11">
        <v>39008</v>
      </c>
      <c r="I6173" s="10">
        <v>2007</v>
      </c>
      <c r="J6173" s="10" t="s">
        <v>22211</v>
      </c>
      <c r="K6173" s="10">
        <v>257</v>
      </c>
      <c r="L6173" s="10" t="s">
        <v>30417</v>
      </c>
      <c r="M6173" s="10">
        <v>1</v>
      </c>
      <c r="N6173" s="10"/>
      <c r="O6173" s="10"/>
      <c r="P6173" s="10" t="s">
        <v>30635</v>
      </c>
      <c r="Q6173" s="10">
        <v>371.11</v>
      </c>
      <c r="R6173" s="10"/>
      <c r="S6173" s="10" t="s">
        <v>53</v>
      </c>
      <c r="T6173" s="10" t="s">
        <v>54</v>
      </c>
    </row>
    <row r="6174" spans="1:20" ht="14.5" x14ac:dyDescent="0.35">
      <c r="A6174" s="10" t="s">
        <v>30636</v>
      </c>
      <c r="B6174" s="10" t="str">
        <f>"9781412915755"</f>
        <v>9781412915755</v>
      </c>
      <c r="C6174" s="10" t="str">
        <f>"9781483363745"</f>
        <v>9781483363745</v>
      </c>
      <c r="D6174" s="10" t="s">
        <v>22210</v>
      </c>
      <c r="E6174" s="10" t="s">
        <v>22211</v>
      </c>
      <c r="F6174" s="10" t="s">
        <v>333</v>
      </c>
      <c r="G6174" s="10" t="s">
        <v>6317</v>
      </c>
      <c r="H6174" s="11">
        <v>38617</v>
      </c>
      <c r="I6174" s="10">
        <v>2006</v>
      </c>
      <c r="J6174" s="10" t="s">
        <v>22211</v>
      </c>
      <c r="K6174" s="10">
        <v>129</v>
      </c>
      <c r="L6174" s="10" t="s">
        <v>30637</v>
      </c>
      <c r="M6174" s="10">
        <v>1</v>
      </c>
      <c r="N6174" s="10"/>
      <c r="O6174" s="10"/>
      <c r="P6174" s="10" t="s">
        <v>30638</v>
      </c>
      <c r="Q6174" s="10">
        <v>371.2</v>
      </c>
      <c r="R6174" s="10"/>
      <c r="S6174" s="10" t="s">
        <v>53</v>
      </c>
      <c r="T6174" s="10" t="s">
        <v>54</v>
      </c>
    </row>
    <row r="6175" spans="1:20" ht="14.5" x14ac:dyDescent="0.35">
      <c r="A6175" s="10" t="s">
        <v>30639</v>
      </c>
      <c r="B6175" s="10" t="str">
        <f>"9781412916448"</f>
        <v>9781412916448</v>
      </c>
      <c r="C6175" s="10" t="str">
        <f>"9781483363837"</f>
        <v>9781483363837</v>
      </c>
      <c r="D6175" s="10" t="s">
        <v>22210</v>
      </c>
      <c r="E6175" s="10" t="s">
        <v>22211</v>
      </c>
      <c r="F6175" s="10" t="s">
        <v>333</v>
      </c>
      <c r="G6175" s="10" t="s">
        <v>6317</v>
      </c>
      <c r="H6175" s="11">
        <v>38910</v>
      </c>
      <c r="I6175" s="10">
        <v>2007</v>
      </c>
      <c r="J6175" s="10" t="s">
        <v>22211</v>
      </c>
      <c r="K6175" s="10">
        <v>225</v>
      </c>
      <c r="L6175" s="10" t="s">
        <v>30640</v>
      </c>
      <c r="M6175" s="10">
        <v>1</v>
      </c>
      <c r="N6175" s="10"/>
      <c r="O6175" s="10"/>
      <c r="P6175" s="10" t="s">
        <v>30641</v>
      </c>
      <c r="Q6175" s="10" t="s">
        <v>9360</v>
      </c>
      <c r="R6175" s="10"/>
      <c r="S6175" s="10" t="s">
        <v>53</v>
      </c>
      <c r="T6175" s="10" t="s">
        <v>54</v>
      </c>
    </row>
    <row r="6176" spans="1:20" ht="14.5" x14ac:dyDescent="0.35">
      <c r="A6176" s="10" t="s">
        <v>30642</v>
      </c>
      <c r="B6176" s="10" t="str">
        <f>"9781412916950"</f>
        <v>9781412916950</v>
      </c>
      <c r="C6176" s="10" t="str">
        <f>"9781483363875"</f>
        <v>9781483363875</v>
      </c>
      <c r="D6176" s="10" t="s">
        <v>22210</v>
      </c>
      <c r="E6176" s="10" t="s">
        <v>22211</v>
      </c>
      <c r="F6176" s="10" t="s">
        <v>333</v>
      </c>
      <c r="G6176" s="10" t="s">
        <v>6317</v>
      </c>
      <c r="H6176" s="11">
        <v>38541</v>
      </c>
      <c r="I6176" s="10">
        <v>2006</v>
      </c>
      <c r="J6176" s="10" t="s">
        <v>22211</v>
      </c>
      <c r="K6176" s="10">
        <v>161</v>
      </c>
      <c r="L6176" s="10" t="s">
        <v>30643</v>
      </c>
      <c r="M6176" s="10">
        <v>1</v>
      </c>
      <c r="N6176" s="10"/>
      <c r="O6176" s="10"/>
      <c r="P6176" s="10" t="s">
        <v>30644</v>
      </c>
      <c r="Q6176" s="10">
        <v>371.2</v>
      </c>
      <c r="R6176" s="10"/>
      <c r="S6176" s="10" t="s">
        <v>53</v>
      </c>
      <c r="T6176" s="10" t="s">
        <v>54</v>
      </c>
    </row>
    <row r="6177" spans="1:20" ht="14.5" x14ac:dyDescent="0.35">
      <c r="A6177" s="10" t="s">
        <v>30645</v>
      </c>
      <c r="B6177" s="10" t="str">
        <f>"9781412915878"</f>
        <v>9781412915878</v>
      </c>
      <c r="C6177" s="10" t="str">
        <f>"9781483363776"</f>
        <v>9781483363776</v>
      </c>
      <c r="D6177" s="10" t="s">
        <v>22210</v>
      </c>
      <c r="E6177" s="10" t="s">
        <v>22211</v>
      </c>
      <c r="F6177" s="10" t="s">
        <v>333</v>
      </c>
      <c r="G6177" s="10" t="s">
        <v>6317</v>
      </c>
      <c r="H6177" s="11">
        <v>38638</v>
      </c>
      <c r="I6177" s="10">
        <v>2006</v>
      </c>
      <c r="J6177" s="10" t="s">
        <v>22211</v>
      </c>
      <c r="K6177" s="10">
        <v>145</v>
      </c>
      <c r="L6177" s="10" t="s">
        <v>27790</v>
      </c>
      <c r="M6177" s="10">
        <v>1</v>
      </c>
      <c r="N6177" s="10"/>
      <c r="O6177" s="10"/>
      <c r="P6177" s="10" t="s">
        <v>30646</v>
      </c>
      <c r="Q6177" s="10"/>
      <c r="R6177" s="10"/>
      <c r="S6177" s="10" t="s">
        <v>53</v>
      </c>
      <c r="T6177" s="10" t="s">
        <v>54</v>
      </c>
    </row>
    <row r="6178" spans="1:20" ht="14.5" x14ac:dyDescent="0.35">
      <c r="A6178" s="10" t="s">
        <v>30647</v>
      </c>
      <c r="B6178" s="10" t="str">
        <f>"9781412915908"</f>
        <v>9781412915908</v>
      </c>
      <c r="C6178" s="10" t="str">
        <f>"9781483363790"</f>
        <v>9781483363790</v>
      </c>
      <c r="D6178" s="10" t="s">
        <v>22210</v>
      </c>
      <c r="E6178" s="10" t="s">
        <v>22211</v>
      </c>
      <c r="F6178" s="10" t="s">
        <v>333</v>
      </c>
      <c r="G6178" s="10" t="s">
        <v>6317</v>
      </c>
      <c r="H6178" s="11">
        <v>38638</v>
      </c>
      <c r="I6178" s="10">
        <v>2006</v>
      </c>
      <c r="J6178" s="10" t="s">
        <v>22211</v>
      </c>
      <c r="K6178" s="10">
        <v>153</v>
      </c>
      <c r="L6178" s="10" t="s">
        <v>27790</v>
      </c>
      <c r="M6178" s="10">
        <v>1</v>
      </c>
      <c r="N6178" s="10"/>
      <c r="O6178" s="10"/>
      <c r="P6178" s="10" t="s">
        <v>30648</v>
      </c>
      <c r="Q6178" s="10"/>
      <c r="R6178" s="10"/>
      <c r="S6178" s="10" t="s">
        <v>53</v>
      </c>
      <c r="T6178" s="10" t="s">
        <v>54</v>
      </c>
    </row>
    <row r="6179" spans="1:20" ht="14.5" x14ac:dyDescent="0.35">
      <c r="A6179" s="10" t="s">
        <v>30649</v>
      </c>
      <c r="B6179" s="10" t="str">
        <f>"9781412915922"</f>
        <v>9781412915922</v>
      </c>
      <c r="C6179" s="10" t="str">
        <f>"9781483363813"</f>
        <v>9781483363813</v>
      </c>
      <c r="D6179" s="10" t="s">
        <v>22210</v>
      </c>
      <c r="E6179" s="10" t="s">
        <v>22211</v>
      </c>
      <c r="F6179" s="10" t="s">
        <v>333</v>
      </c>
      <c r="G6179" s="10" t="s">
        <v>6317</v>
      </c>
      <c r="H6179" s="11">
        <v>38666</v>
      </c>
      <c r="I6179" s="10">
        <v>2006</v>
      </c>
      <c r="J6179" s="10" t="s">
        <v>22211</v>
      </c>
      <c r="K6179" s="10">
        <v>185</v>
      </c>
      <c r="L6179" s="10" t="s">
        <v>27790</v>
      </c>
      <c r="M6179" s="10">
        <v>1</v>
      </c>
      <c r="N6179" s="10"/>
      <c r="O6179" s="10"/>
      <c r="P6179" s="10" t="s">
        <v>30650</v>
      </c>
      <c r="Q6179" s="10"/>
      <c r="R6179" s="10"/>
      <c r="S6179" s="10" t="s">
        <v>53</v>
      </c>
      <c r="T6179" s="10" t="s">
        <v>54</v>
      </c>
    </row>
    <row r="6180" spans="1:20" ht="14.5" x14ac:dyDescent="0.35">
      <c r="A6180" s="10" t="s">
        <v>30651</v>
      </c>
      <c r="B6180" s="10" t="str">
        <f>"9781412917124"</f>
        <v>9781412917124</v>
      </c>
      <c r="C6180" s="10" t="str">
        <f>"9781483363905"</f>
        <v>9781483363905</v>
      </c>
      <c r="D6180" s="10" t="s">
        <v>22210</v>
      </c>
      <c r="E6180" s="10" t="s">
        <v>22211</v>
      </c>
      <c r="F6180" s="10" t="s">
        <v>333</v>
      </c>
      <c r="G6180" s="10" t="s">
        <v>6317</v>
      </c>
      <c r="H6180" s="11">
        <v>38611</v>
      </c>
      <c r="I6180" s="10">
        <v>2006</v>
      </c>
      <c r="J6180" s="10" t="s">
        <v>22211</v>
      </c>
      <c r="K6180" s="10">
        <v>185</v>
      </c>
      <c r="L6180" s="10" t="s">
        <v>30652</v>
      </c>
      <c r="M6180" s="10">
        <v>1</v>
      </c>
      <c r="N6180" s="10"/>
      <c r="O6180" s="10"/>
      <c r="P6180" s="10" t="s">
        <v>30653</v>
      </c>
      <c r="Q6180" s="10"/>
      <c r="R6180" s="10"/>
      <c r="S6180" s="10" t="s">
        <v>53</v>
      </c>
      <c r="T6180" s="10" t="s">
        <v>54</v>
      </c>
    </row>
    <row r="6181" spans="1:20" ht="14.5" x14ac:dyDescent="0.35">
      <c r="A6181" s="10" t="s">
        <v>30654</v>
      </c>
      <c r="B6181" s="10" t="str">
        <f>"9781412916622"</f>
        <v>9781412916622</v>
      </c>
      <c r="C6181" s="10" t="str">
        <f>"9781483363851"</f>
        <v>9781483363851</v>
      </c>
      <c r="D6181" s="10" t="s">
        <v>22210</v>
      </c>
      <c r="E6181" s="10" t="s">
        <v>22211</v>
      </c>
      <c r="F6181" s="10" t="s">
        <v>333</v>
      </c>
      <c r="G6181" s="10" t="s">
        <v>6317</v>
      </c>
      <c r="H6181" s="11">
        <v>38982</v>
      </c>
      <c r="I6181" s="10">
        <v>2007</v>
      </c>
      <c r="J6181" s="10" t="s">
        <v>22211</v>
      </c>
      <c r="K6181" s="10">
        <v>321</v>
      </c>
      <c r="L6181" s="10" t="s">
        <v>30655</v>
      </c>
      <c r="M6181" s="10">
        <v>1</v>
      </c>
      <c r="N6181" s="10"/>
      <c r="O6181" s="10"/>
      <c r="P6181" s="10" t="s">
        <v>30656</v>
      </c>
      <c r="Q6181" s="10" t="s">
        <v>9304</v>
      </c>
      <c r="R6181" s="10"/>
      <c r="S6181" s="10" t="s">
        <v>53</v>
      </c>
      <c r="T6181" s="10" t="s">
        <v>54</v>
      </c>
    </row>
    <row r="6182" spans="1:20" ht="14.5" x14ac:dyDescent="0.35">
      <c r="A6182" s="10" t="s">
        <v>30657</v>
      </c>
      <c r="B6182" s="10" t="str">
        <f>"9781412917551"</f>
        <v>9781412917551</v>
      </c>
      <c r="C6182" s="10" t="str">
        <f>"9781483363936"</f>
        <v>9781483363936</v>
      </c>
      <c r="D6182" s="10" t="s">
        <v>22210</v>
      </c>
      <c r="E6182" s="10" t="s">
        <v>22211</v>
      </c>
      <c r="F6182" s="10" t="s">
        <v>333</v>
      </c>
      <c r="G6182" s="10" t="s">
        <v>6317</v>
      </c>
      <c r="H6182" s="11">
        <v>38761</v>
      </c>
      <c r="I6182" s="10">
        <v>2006</v>
      </c>
      <c r="J6182" s="10" t="s">
        <v>22211</v>
      </c>
      <c r="K6182" s="10">
        <v>113</v>
      </c>
      <c r="L6182" s="10" t="s">
        <v>27507</v>
      </c>
      <c r="M6182" s="10">
        <v>1</v>
      </c>
      <c r="N6182" s="10"/>
      <c r="O6182" s="10"/>
      <c r="P6182" s="10" t="s">
        <v>7503</v>
      </c>
      <c r="Q6182" s="10"/>
      <c r="R6182" s="10"/>
      <c r="S6182" s="10" t="s">
        <v>53</v>
      </c>
      <c r="T6182" s="10" t="s">
        <v>54</v>
      </c>
    </row>
    <row r="6183" spans="1:20" ht="14.5" x14ac:dyDescent="0.35">
      <c r="A6183" s="10" t="s">
        <v>30658</v>
      </c>
      <c r="B6183" s="10" t="str">
        <f>"9781412917247"</f>
        <v>9781412917247</v>
      </c>
      <c r="C6183" s="10" t="str">
        <f>"9781483363912"</f>
        <v>9781483363912</v>
      </c>
      <c r="D6183" s="10" t="s">
        <v>22210</v>
      </c>
      <c r="E6183" s="10" t="s">
        <v>22211</v>
      </c>
      <c r="F6183" s="10" t="s">
        <v>333</v>
      </c>
      <c r="G6183" s="10" t="s">
        <v>6317</v>
      </c>
      <c r="H6183" s="11">
        <v>38723</v>
      </c>
      <c r="I6183" s="10">
        <v>2006</v>
      </c>
      <c r="J6183" s="10" t="s">
        <v>22211</v>
      </c>
      <c r="K6183" s="10">
        <v>185</v>
      </c>
      <c r="L6183" s="10" t="s">
        <v>30659</v>
      </c>
      <c r="M6183" s="10">
        <v>1</v>
      </c>
      <c r="N6183" s="10"/>
      <c r="O6183" s="10"/>
      <c r="P6183" s="10" t="s">
        <v>30660</v>
      </c>
      <c r="Q6183" s="10">
        <v>371.94</v>
      </c>
      <c r="R6183" s="10"/>
      <c r="S6183" s="10" t="s">
        <v>53</v>
      </c>
      <c r="T6183" s="10" t="s">
        <v>54</v>
      </c>
    </row>
    <row r="6184" spans="1:20" ht="14.5" x14ac:dyDescent="0.35">
      <c r="A6184" s="10" t="s">
        <v>30661</v>
      </c>
      <c r="B6184" s="10" t="str">
        <f>"9781412917513"</f>
        <v>9781412917513</v>
      </c>
      <c r="C6184" s="10" t="str">
        <f>"9781483363929"</f>
        <v>9781483363929</v>
      </c>
      <c r="D6184" s="10" t="s">
        <v>22210</v>
      </c>
      <c r="E6184" s="10" t="s">
        <v>22211</v>
      </c>
      <c r="F6184" s="10" t="s">
        <v>333</v>
      </c>
      <c r="G6184" s="10" t="s">
        <v>6317</v>
      </c>
      <c r="H6184" s="11">
        <v>38490</v>
      </c>
      <c r="I6184" s="10">
        <v>2006</v>
      </c>
      <c r="J6184" s="10" t="s">
        <v>22211</v>
      </c>
      <c r="K6184" s="10">
        <v>161</v>
      </c>
      <c r="L6184" s="10" t="s">
        <v>30662</v>
      </c>
      <c r="M6184" s="10">
        <v>1</v>
      </c>
      <c r="N6184" s="10"/>
      <c r="O6184" s="10"/>
      <c r="P6184" s="10" t="s">
        <v>30663</v>
      </c>
      <c r="Q6184" s="10" t="s">
        <v>24606</v>
      </c>
      <c r="R6184" s="10"/>
      <c r="S6184" s="10" t="s">
        <v>53</v>
      </c>
      <c r="T6184" s="10" t="s">
        <v>6634</v>
      </c>
    </row>
    <row r="6185" spans="1:20" ht="14.5" x14ac:dyDescent="0.35">
      <c r="A6185" s="10" t="s">
        <v>30664</v>
      </c>
      <c r="B6185" s="10" t="str">
        <f>"9781412925501"</f>
        <v>9781412925501</v>
      </c>
      <c r="C6185" s="10" t="str">
        <f>"9781483364056"</f>
        <v>9781483364056</v>
      </c>
      <c r="D6185" s="10" t="s">
        <v>22210</v>
      </c>
      <c r="E6185" s="10" t="s">
        <v>22211</v>
      </c>
      <c r="F6185" s="10" t="s">
        <v>333</v>
      </c>
      <c r="G6185" s="10" t="s">
        <v>6317</v>
      </c>
      <c r="H6185" s="11">
        <v>38674</v>
      </c>
      <c r="I6185" s="10">
        <v>2006</v>
      </c>
      <c r="J6185" s="10" t="s">
        <v>22211</v>
      </c>
      <c r="K6185" s="10">
        <v>313</v>
      </c>
      <c r="L6185" s="10" t="s">
        <v>30665</v>
      </c>
      <c r="M6185" s="10">
        <v>1</v>
      </c>
      <c r="N6185" s="10"/>
      <c r="O6185" s="10"/>
      <c r="P6185" s="10" t="s">
        <v>30666</v>
      </c>
      <c r="Q6185" s="10">
        <v>372.47</v>
      </c>
      <c r="R6185" s="10"/>
      <c r="S6185" s="10" t="s">
        <v>53</v>
      </c>
      <c r="T6185" s="10" t="s">
        <v>54</v>
      </c>
    </row>
    <row r="6186" spans="1:20" ht="14.5" x14ac:dyDescent="0.35">
      <c r="A6186" s="10" t="s">
        <v>30667</v>
      </c>
      <c r="B6186" s="10" t="str">
        <f>"9781412925495"</f>
        <v>9781412925495</v>
      </c>
      <c r="C6186" s="10" t="str">
        <f>"9781483364049"</f>
        <v>9781483364049</v>
      </c>
      <c r="D6186" s="10" t="s">
        <v>22210</v>
      </c>
      <c r="E6186" s="10" t="s">
        <v>22211</v>
      </c>
      <c r="F6186" s="10" t="s">
        <v>333</v>
      </c>
      <c r="G6186" s="10" t="s">
        <v>6317</v>
      </c>
      <c r="H6186" s="11">
        <v>38632</v>
      </c>
      <c r="I6186" s="10">
        <v>2006</v>
      </c>
      <c r="J6186" s="10" t="s">
        <v>22211</v>
      </c>
      <c r="K6186" s="10">
        <v>193</v>
      </c>
      <c r="L6186" s="10" t="s">
        <v>30668</v>
      </c>
      <c r="M6186" s="10">
        <v>1</v>
      </c>
      <c r="N6186" s="10"/>
      <c r="O6186" s="10"/>
      <c r="P6186" s="10" t="s">
        <v>30669</v>
      </c>
      <c r="Q6186" s="10" t="s">
        <v>26920</v>
      </c>
      <c r="R6186" s="10"/>
      <c r="S6186" s="10" t="s">
        <v>53</v>
      </c>
      <c r="T6186" s="10" t="s">
        <v>6568</v>
      </c>
    </row>
    <row r="6187" spans="1:20" ht="14.5" x14ac:dyDescent="0.35">
      <c r="A6187" s="10" t="s">
        <v>30670</v>
      </c>
      <c r="B6187" s="10" t="str">
        <f>"9781412924351"</f>
        <v>9781412924351</v>
      </c>
      <c r="C6187" s="10" t="str">
        <f>"9781483363981"</f>
        <v>9781483363981</v>
      </c>
      <c r="D6187" s="10" t="s">
        <v>22210</v>
      </c>
      <c r="E6187" s="10" t="s">
        <v>22211</v>
      </c>
      <c r="F6187" s="10" t="s">
        <v>333</v>
      </c>
      <c r="G6187" s="10" t="s">
        <v>6317</v>
      </c>
      <c r="H6187" s="11">
        <v>38986</v>
      </c>
      <c r="I6187" s="10">
        <v>2007</v>
      </c>
      <c r="J6187" s="10" t="s">
        <v>22211</v>
      </c>
      <c r="K6187" s="10">
        <v>225</v>
      </c>
      <c r="L6187" s="10" t="s">
        <v>22313</v>
      </c>
      <c r="M6187" s="10">
        <v>2</v>
      </c>
      <c r="N6187" s="10"/>
      <c r="O6187" s="10"/>
      <c r="P6187" s="10" t="s">
        <v>30671</v>
      </c>
      <c r="Q6187" s="10"/>
      <c r="R6187" s="10"/>
      <c r="S6187" s="10" t="s">
        <v>53</v>
      </c>
      <c r="T6187" s="10" t="s">
        <v>54</v>
      </c>
    </row>
    <row r="6188" spans="1:20" ht="14.5" x14ac:dyDescent="0.35">
      <c r="A6188" s="10" t="s">
        <v>30672</v>
      </c>
      <c r="B6188" s="10" t="str">
        <f>"9781412926959"</f>
        <v>9781412926959</v>
      </c>
      <c r="C6188" s="10" t="str">
        <f>"9781483364148"</f>
        <v>9781483364148</v>
      </c>
      <c r="D6188" s="10" t="s">
        <v>22210</v>
      </c>
      <c r="E6188" s="10" t="s">
        <v>22211</v>
      </c>
      <c r="F6188" s="10" t="s">
        <v>333</v>
      </c>
      <c r="G6188" s="10" t="s">
        <v>6317</v>
      </c>
      <c r="H6188" s="11">
        <v>38835</v>
      </c>
      <c r="I6188" s="10">
        <v>2006</v>
      </c>
      <c r="J6188" s="10" t="s">
        <v>22211</v>
      </c>
      <c r="K6188" s="10">
        <v>217</v>
      </c>
      <c r="L6188" s="10" t="s">
        <v>30673</v>
      </c>
      <c r="M6188" s="10">
        <v>1</v>
      </c>
      <c r="N6188" s="10"/>
      <c r="O6188" s="10"/>
      <c r="P6188" s="10" t="s">
        <v>30674</v>
      </c>
      <c r="Q6188" s="10">
        <v>371.39</v>
      </c>
      <c r="R6188" s="10"/>
      <c r="S6188" s="10" t="s">
        <v>53</v>
      </c>
      <c r="T6188" s="10" t="s">
        <v>54</v>
      </c>
    </row>
    <row r="6189" spans="1:20" ht="14.5" x14ac:dyDescent="0.35">
      <c r="A6189" s="10" t="s">
        <v>30675</v>
      </c>
      <c r="B6189" s="10" t="str">
        <f>"9781412926188"</f>
        <v>9781412926188</v>
      </c>
      <c r="C6189" s="10" t="str">
        <f>"9781483364094"</f>
        <v>9781483364094</v>
      </c>
      <c r="D6189" s="10" t="s">
        <v>22210</v>
      </c>
      <c r="E6189" s="10" t="s">
        <v>22211</v>
      </c>
      <c r="F6189" s="10" t="s">
        <v>333</v>
      </c>
      <c r="G6189" s="10" t="s">
        <v>6317</v>
      </c>
      <c r="H6189" s="11">
        <v>38835</v>
      </c>
      <c r="I6189" s="10">
        <v>2006</v>
      </c>
      <c r="J6189" s="10" t="s">
        <v>22211</v>
      </c>
      <c r="K6189" s="10">
        <v>193</v>
      </c>
      <c r="L6189" s="10" t="s">
        <v>25070</v>
      </c>
      <c r="M6189" s="10">
        <v>1</v>
      </c>
      <c r="N6189" s="10"/>
      <c r="O6189" s="10"/>
      <c r="P6189" s="10" t="s">
        <v>30676</v>
      </c>
      <c r="Q6189" s="10"/>
      <c r="R6189" s="10"/>
      <c r="S6189" s="10" t="s">
        <v>53</v>
      </c>
      <c r="T6189" s="10" t="s">
        <v>54</v>
      </c>
    </row>
    <row r="6190" spans="1:20" ht="14.5" x14ac:dyDescent="0.35">
      <c r="A6190" s="10" t="s">
        <v>30677</v>
      </c>
      <c r="B6190" s="10" t="str">
        <f>"9781412926478"</f>
        <v>9781412926478</v>
      </c>
      <c r="C6190" s="10" t="str">
        <f>"9781483364117"</f>
        <v>9781483364117</v>
      </c>
      <c r="D6190" s="10" t="s">
        <v>22210</v>
      </c>
      <c r="E6190" s="10" t="s">
        <v>22211</v>
      </c>
      <c r="F6190" s="10" t="s">
        <v>333</v>
      </c>
      <c r="G6190" s="10" t="s">
        <v>6317</v>
      </c>
      <c r="H6190" s="11">
        <v>38849</v>
      </c>
      <c r="I6190" s="10">
        <v>2006</v>
      </c>
      <c r="J6190" s="10" t="s">
        <v>22211</v>
      </c>
      <c r="K6190" s="10">
        <v>201</v>
      </c>
      <c r="L6190" s="10" t="s">
        <v>30678</v>
      </c>
      <c r="M6190" s="10">
        <v>1</v>
      </c>
      <c r="N6190" s="10"/>
      <c r="O6190" s="10"/>
      <c r="P6190" s="10" t="s">
        <v>30679</v>
      </c>
      <c r="Q6190" s="10">
        <v>372.4</v>
      </c>
      <c r="R6190" s="10"/>
      <c r="S6190" s="10" t="s">
        <v>53</v>
      </c>
      <c r="T6190" s="10" t="s">
        <v>54</v>
      </c>
    </row>
    <row r="6191" spans="1:20" ht="14.5" x14ac:dyDescent="0.35">
      <c r="A6191" s="10" t="s">
        <v>30680</v>
      </c>
      <c r="B6191" s="10" t="str">
        <f>"9781412926805"</f>
        <v>9781412926805</v>
      </c>
      <c r="C6191" s="10" t="str">
        <f>"9781483364131"</f>
        <v>9781483364131</v>
      </c>
      <c r="D6191" s="10" t="s">
        <v>22210</v>
      </c>
      <c r="E6191" s="10" t="s">
        <v>22211</v>
      </c>
      <c r="F6191" s="10" t="s">
        <v>333</v>
      </c>
      <c r="G6191" s="10" t="s">
        <v>6317</v>
      </c>
      <c r="H6191" s="11">
        <v>38889</v>
      </c>
      <c r="I6191" s="10">
        <v>2007</v>
      </c>
      <c r="J6191" s="10" t="s">
        <v>22211</v>
      </c>
      <c r="K6191" s="10">
        <v>145</v>
      </c>
      <c r="L6191" s="10" t="s">
        <v>25036</v>
      </c>
      <c r="M6191" s="10">
        <v>1</v>
      </c>
      <c r="N6191" s="10"/>
      <c r="O6191" s="10"/>
      <c r="P6191" s="10" t="s">
        <v>30681</v>
      </c>
      <c r="Q6191" s="10">
        <v>370</v>
      </c>
      <c r="R6191" s="10"/>
      <c r="S6191" s="10" t="s">
        <v>53</v>
      </c>
      <c r="T6191" s="10" t="s">
        <v>10454</v>
      </c>
    </row>
    <row r="6192" spans="1:20" ht="14.5" x14ac:dyDescent="0.35">
      <c r="A6192" s="10" t="s">
        <v>30682</v>
      </c>
      <c r="B6192" s="10" t="str">
        <f>"9781412938631"</f>
        <v>9781412938631</v>
      </c>
      <c r="C6192" s="10" t="str">
        <f>"9781483364315"</f>
        <v>9781483364315</v>
      </c>
      <c r="D6192" s="10" t="s">
        <v>22210</v>
      </c>
      <c r="E6192" s="10" t="s">
        <v>22211</v>
      </c>
      <c r="F6192" s="10" t="s">
        <v>333</v>
      </c>
      <c r="G6192" s="10" t="s">
        <v>6317</v>
      </c>
      <c r="H6192" s="11">
        <v>39070</v>
      </c>
      <c r="I6192" s="10">
        <v>2007</v>
      </c>
      <c r="J6192" s="10" t="s">
        <v>22211</v>
      </c>
      <c r="K6192" s="10">
        <v>169</v>
      </c>
      <c r="L6192" s="10" t="s">
        <v>22256</v>
      </c>
      <c r="M6192" s="10">
        <v>1</v>
      </c>
      <c r="N6192" s="10"/>
      <c r="O6192" s="10"/>
      <c r="P6192" s="10" t="s">
        <v>30683</v>
      </c>
      <c r="Q6192" s="10">
        <v>371.10199999999998</v>
      </c>
      <c r="R6192" s="10"/>
      <c r="S6192" s="10" t="s">
        <v>53</v>
      </c>
      <c r="T6192" s="10" t="s">
        <v>54</v>
      </c>
    </row>
    <row r="6193" spans="1:20" ht="14.5" x14ac:dyDescent="0.35">
      <c r="A6193" s="10" t="s">
        <v>30684</v>
      </c>
      <c r="B6193" s="10" t="str">
        <f>"9781412927727"</f>
        <v>9781412927727</v>
      </c>
      <c r="C6193" s="10" t="str">
        <f>"9781483364155"</f>
        <v>9781483364155</v>
      </c>
      <c r="D6193" s="10" t="s">
        <v>22210</v>
      </c>
      <c r="E6193" s="10" t="s">
        <v>22211</v>
      </c>
      <c r="F6193" s="10" t="s">
        <v>333</v>
      </c>
      <c r="G6193" s="10" t="s">
        <v>6317</v>
      </c>
      <c r="H6193" s="11">
        <v>38889</v>
      </c>
      <c r="I6193" s="10">
        <v>2007</v>
      </c>
      <c r="J6193" s="10" t="s">
        <v>22211</v>
      </c>
      <c r="K6193" s="10">
        <v>153</v>
      </c>
      <c r="L6193" s="10" t="s">
        <v>23565</v>
      </c>
      <c r="M6193" s="10">
        <v>1</v>
      </c>
      <c r="N6193" s="10"/>
      <c r="O6193" s="10"/>
      <c r="P6193" s="10" t="s">
        <v>30685</v>
      </c>
      <c r="Q6193" s="10"/>
      <c r="R6193" s="10"/>
      <c r="S6193" s="10" t="s">
        <v>53</v>
      </c>
      <c r="T6193" s="10" t="s">
        <v>54</v>
      </c>
    </row>
    <row r="6194" spans="1:20" ht="14.5" x14ac:dyDescent="0.35">
      <c r="A6194" s="10" t="s">
        <v>30686</v>
      </c>
      <c r="B6194" s="10" t="str">
        <f>"9781412936545"</f>
        <v>9781412936545</v>
      </c>
      <c r="C6194" s="10" t="str">
        <f>"9781483364193"</f>
        <v>9781483364193</v>
      </c>
      <c r="D6194" s="10" t="s">
        <v>22210</v>
      </c>
      <c r="E6194" s="10" t="s">
        <v>22211</v>
      </c>
      <c r="F6194" s="10" t="s">
        <v>333</v>
      </c>
      <c r="G6194" s="10" t="s">
        <v>6317</v>
      </c>
      <c r="H6194" s="11">
        <v>38876</v>
      </c>
      <c r="I6194" s="10">
        <v>2006</v>
      </c>
      <c r="J6194" s="10" t="s">
        <v>22211</v>
      </c>
      <c r="K6194" s="10">
        <v>521</v>
      </c>
      <c r="L6194" s="10" t="s">
        <v>30687</v>
      </c>
      <c r="M6194" s="10">
        <v>4</v>
      </c>
      <c r="N6194" s="10"/>
      <c r="O6194" s="10"/>
      <c r="P6194" s="10" t="s">
        <v>30688</v>
      </c>
      <c r="Q6194" s="10"/>
      <c r="R6194" s="10"/>
      <c r="S6194" s="10" t="s">
        <v>53</v>
      </c>
      <c r="T6194" s="10" t="s">
        <v>54</v>
      </c>
    </row>
    <row r="6195" spans="1:20" ht="14.5" x14ac:dyDescent="0.35">
      <c r="A6195" s="10" t="s">
        <v>30689</v>
      </c>
      <c r="B6195" s="10" t="str">
        <f>"9781412937085"</f>
        <v>9781412937085</v>
      </c>
      <c r="C6195" s="10" t="str">
        <f>"9781483364247"</f>
        <v>9781483364247</v>
      </c>
      <c r="D6195" s="10" t="s">
        <v>22210</v>
      </c>
      <c r="E6195" s="10" t="s">
        <v>22211</v>
      </c>
      <c r="F6195" s="10" t="s">
        <v>333</v>
      </c>
      <c r="G6195" s="10" t="s">
        <v>6317</v>
      </c>
      <c r="H6195" s="11">
        <v>38891</v>
      </c>
      <c r="I6195" s="10">
        <v>2007</v>
      </c>
      <c r="J6195" s="10" t="s">
        <v>22211</v>
      </c>
      <c r="K6195" s="10">
        <v>137</v>
      </c>
      <c r="L6195" s="10" t="s">
        <v>30690</v>
      </c>
      <c r="M6195" s="10">
        <v>2</v>
      </c>
      <c r="N6195" s="10"/>
      <c r="O6195" s="10"/>
      <c r="P6195" s="10" t="s">
        <v>30691</v>
      </c>
      <c r="Q6195" s="10" t="s">
        <v>12394</v>
      </c>
      <c r="R6195" s="10"/>
      <c r="S6195" s="10" t="s">
        <v>53</v>
      </c>
      <c r="T6195" s="10" t="s">
        <v>54</v>
      </c>
    </row>
    <row r="6196" spans="1:20" ht="14.5" x14ac:dyDescent="0.35">
      <c r="A6196" s="10" t="s">
        <v>30692</v>
      </c>
      <c r="B6196" s="10" t="str">
        <f>"9781412938594"</f>
        <v>9781412938594</v>
      </c>
      <c r="C6196" s="10" t="str">
        <f>"9781483364308"</f>
        <v>9781483364308</v>
      </c>
      <c r="D6196" s="10" t="s">
        <v>22210</v>
      </c>
      <c r="E6196" s="10" t="s">
        <v>22211</v>
      </c>
      <c r="F6196" s="10" t="s">
        <v>333</v>
      </c>
      <c r="G6196" s="10" t="s">
        <v>6317</v>
      </c>
      <c r="H6196" s="11">
        <v>38849</v>
      </c>
      <c r="I6196" s="10">
        <v>2006</v>
      </c>
      <c r="J6196" s="10" t="s">
        <v>22211</v>
      </c>
      <c r="K6196" s="10">
        <v>193</v>
      </c>
      <c r="L6196" s="10" t="s">
        <v>30693</v>
      </c>
      <c r="M6196" s="10">
        <v>2</v>
      </c>
      <c r="N6196" s="10"/>
      <c r="O6196" s="10"/>
      <c r="P6196" s="10" t="s">
        <v>30694</v>
      </c>
      <c r="Q6196" s="10" t="s">
        <v>7504</v>
      </c>
      <c r="R6196" s="10"/>
      <c r="S6196" s="10" t="s">
        <v>53</v>
      </c>
      <c r="T6196" s="10" t="s">
        <v>54</v>
      </c>
    </row>
    <row r="6197" spans="1:20" ht="14.5" x14ac:dyDescent="0.35">
      <c r="A6197" s="10" t="s">
        <v>30695</v>
      </c>
      <c r="B6197" s="10" t="str">
        <f>"9781412940917"</f>
        <v>9781412940917</v>
      </c>
      <c r="C6197" s="10" t="str">
        <f>"9781483362274"</f>
        <v>9781483362274</v>
      </c>
      <c r="D6197" s="10" t="s">
        <v>22210</v>
      </c>
      <c r="E6197" s="10" t="s">
        <v>22211</v>
      </c>
      <c r="F6197" s="10" t="s">
        <v>333</v>
      </c>
      <c r="G6197" s="10" t="s">
        <v>6317</v>
      </c>
      <c r="H6197" s="11">
        <v>38933</v>
      </c>
      <c r="I6197" s="10">
        <v>2007</v>
      </c>
      <c r="J6197" s="10" t="s">
        <v>22211</v>
      </c>
      <c r="K6197" s="10">
        <v>145</v>
      </c>
      <c r="L6197" s="10" t="s">
        <v>30696</v>
      </c>
      <c r="M6197" s="10">
        <v>2</v>
      </c>
      <c r="N6197" s="10"/>
      <c r="O6197" s="10"/>
      <c r="P6197" s="10" t="s">
        <v>30697</v>
      </c>
      <c r="Q6197" s="10" t="s">
        <v>9360</v>
      </c>
      <c r="R6197" s="10"/>
      <c r="S6197" s="10" t="s">
        <v>53</v>
      </c>
      <c r="T6197" s="10" t="s">
        <v>54</v>
      </c>
    </row>
    <row r="6198" spans="1:20" ht="14.5" x14ac:dyDescent="0.35">
      <c r="A6198" s="10" t="s">
        <v>30698</v>
      </c>
      <c r="B6198" s="10" t="str">
        <f>"9781412940924"</f>
        <v>9781412940924</v>
      </c>
      <c r="C6198" s="10" t="str">
        <f>"9781483362281"</f>
        <v>9781483362281</v>
      </c>
      <c r="D6198" s="10" t="s">
        <v>22210</v>
      </c>
      <c r="E6198" s="10" t="s">
        <v>22211</v>
      </c>
      <c r="F6198" s="10" t="s">
        <v>333</v>
      </c>
      <c r="G6198" s="10" t="s">
        <v>6317</v>
      </c>
      <c r="H6198" s="11">
        <v>39028</v>
      </c>
      <c r="I6198" s="10">
        <v>2007</v>
      </c>
      <c r="J6198" s="10" t="s">
        <v>22211</v>
      </c>
      <c r="K6198" s="10">
        <v>177</v>
      </c>
      <c r="L6198" s="10" t="s">
        <v>30699</v>
      </c>
      <c r="M6198" s="10">
        <v>2</v>
      </c>
      <c r="N6198" s="10"/>
      <c r="O6198" s="10"/>
      <c r="P6198" s="10" t="s">
        <v>30700</v>
      </c>
      <c r="Q6198" s="10" t="s">
        <v>30701</v>
      </c>
      <c r="R6198" s="10"/>
      <c r="S6198" s="10" t="s">
        <v>53</v>
      </c>
      <c r="T6198" s="10" t="s">
        <v>54</v>
      </c>
    </row>
    <row r="6199" spans="1:20" ht="14.5" x14ac:dyDescent="0.35">
      <c r="A6199" s="10" t="s">
        <v>30702</v>
      </c>
      <c r="B6199" s="10" t="str">
        <f>"9781412940412"</f>
        <v>9781412940412</v>
      </c>
      <c r="C6199" s="10" t="str">
        <f>"9781483362250"</f>
        <v>9781483362250</v>
      </c>
      <c r="D6199" s="10" t="s">
        <v>22210</v>
      </c>
      <c r="E6199" s="10" t="s">
        <v>22211</v>
      </c>
      <c r="F6199" s="10" t="s">
        <v>333</v>
      </c>
      <c r="G6199" s="10" t="s">
        <v>6317</v>
      </c>
      <c r="H6199" s="11">
        <v>38974</v>
      </c>
      <c r="I6199" s="10">
        <v>2007</v>
      </c>
      <c r="J6199" s="10" t="s">
        <v>22211</v>
      </c>
      <c r="K6199" s="10">
        <v>153</v>
      </c>
      <c r="L6199" s="10" t="s">
        <v>30703</v>
      </c>
      <c r="M6199" s="10">
        <v>1</v>
      </c>
      <c r="N6199" s="10"/>
      <c r="O6199" s="10"/>
      <c r="P6199" s="10" t="s">
        <v>30704</v>
      </c>
      <c r="Q6199" s="10" t="s">
        <v>9757</v>
      </c>
      <c r="R6199" s="10"/>
      <c r="S6199" s="10" t="s">
        <v>53</v>
      </c>
      <c r="T6199" s="10" t="s">
        <v>54</v>
      </c>
    </row>
    <row r="6200" spans="1:20" ht="14.5" x14ac:dyDescent="0.35">
      <c r="A6200" s="10" t="s">
        <v>30705</v>
      </c>
      <c r="B6200" s="10" t="str">
        <f>"9781412939898"</f>
        <v>9781412939898</v>
      </c>
      <c r="C6200" s="10" t="str">
        <f>"9781483362243"</f>
        <v>9781483362243</v>
      </c>
      <c r="D6200" s="10" t="s">
        <v>22210</v>
      </c>
      <c r="E6200" s="10" t="s">
        <v>22211</v>
      </c>
      <c r="F6200" s="10" t="s">
        <v>333</v>
      </c>
      <c r="G6200" s="10" t="s">
        <v>6317</v>
      </c>
      <c r="H6200" s="11">
        <v>39017</v>
      </c>
      <c r="I6200" s="10">
        <v>2007</v>
      </c>
      <c r="J6200" s="10" t="s">
        <v>22211</v>
      </c>
      <c r="K6200" s="10">
        <v>233</v>
      </c>
      <c r="L6200" s="10" t="s">
        <v>30706</v>
      </c>
      <c r="M6200" s="10">
        <v>1</v>
      </c>
      <c r="N6200" s="10"/>
      <c r="O6200" s="10"/>
      <c r="P6200" s="10" t="s">
        <v>30707</v>
      </c>
      <c r="Q6200" s="10">
        <v>371.10199999999998</v>
      </c>
      <c r="R6200" s="10"/>
      <c r="S6200" s="10" t="s">
        <v>53</v>
      </c>
      <c r="T6200" s="10" t="s">
        <v>54</v>
      </c>
    </row>
    <row r="6201" spans="1:20" ht="14.5" x14ac:dyDescent="0.35">
      <c r="A6201" s="10" t="s">
        <v>30708</v>
      </c>
      <c r="B6201" s="10" t="str">
        <f>"9781412939416"</f>
        <v>9781412939416</v>
      </c>
      <c r="C6201" s="10" t="str">
        <f>"9781483364339"</f>
        <v>9781483364339</v>
      </c>
      <c r="D6201" s="10" t="s">
        <v>22210</v>
      </c>
      <c r="E6201" s="10" t="s">
        <v>22211</v>
      </c>
      <c r="F6201" s="10" t="s">
        <v>333</v>
      </c>
      <c r="G6201" s="10" t="s">
        <v>6317</v>
      </c>
      <c r="H6201" s="11">
        <v>38789</v>
      </c>
      <c r="I6201" s="10">
        <v>2006</v>
      </c>
      <c r="J6201" s="10" t="s">
        <v>22211</v>
      </c>
      <c r="K6201" s="10">
        <v>105</v>
      </c>
      <c r="L6201" s="10" t="s">
        <v>30709</v>
      </c>
      <c r="M6201" s="10">
        <v>1</v>
      </c>
      <c r="N6201" s="10"/>
      <c r="O6201" s="10"/>
      <c r="P6201" s="10" t="s">
        <v>30710</v>
      </c>
      <c r="Q6201" s="10"/>
      <c r="R6201" s="10"/>
      <c r="S6201" s="10" t="s">
        <v>53</v>
      </c>
      <c r="T6201" s="10" t="s">
        <v>54</v>
      </c>
    </row>
    <row r="6202" spans="1:20" ht="14.5" x14ac:dyDescent="0.35">
      <c r="A6202" s="10" t="s">
        <v>30711</v>
      </c>
      <c r="B6202" s="10" t="str">
        <f>"9781412939010"</f>
        <v>9781412939010</v>
      </c>
      <c r="C6202" s="10" t="str">
        <f>"9781483364353"</f>
        <v>9781483364353</v>
      </c>
      <c r="D6202" s="10" t="s">
        <v>22210</v>
      </c>
      <c r="E6202" s="10" t="s">
        <v>22211</v>
      </c>
      <c r="F6202" s="10" t="s">
        <v>333</v>
      </c>
      <c r="G6202" s="10" t="s">
        <v>6317</v>
      </c>
      <c r="H6202" s="11">
        <v>38799</v>
      </c>
      <c r="I6202" s="10">
        <v>2006</v>
      </c>
      <c r="J6202" s="10" t="s">
        <v>22211</v>
      </c>
      <c r="K6202" s="10">
        <v>137</v>
      </c>
      <c r="L6202" s="10" t="s">
        <v>30709</v>
      </c>
      <c r="M6202" s="10">
        <v>1</v>
      </c>
      <c r="N6202" s="10"/>
      <c r="O6202" s="10"/>
      <c r="P6202" s="10" t="s">
        <v>30712</v>
      </c>
      <c r="Q6202" s="10">
        <v>371.91</v>
      </c>
      <c r="R6202" s="10"/>
      <c r="S6202" s="10" t="s">
        <v>53</v>
      </c>
      <c r="T6202" s="10" t="s">
        <v>54</v>
      </c>
    </row>
    <row r="6203" spans="1:20" ht="14.5" x14ac:dyDescent="0.35">
      <c r="A6203" s="10" t="s">
        <v>30713</v>
      </c>
      <c r="B6203" s="10" t="str">
        <f>"9781412939508"</f>
        <v>9781412939508</v>
      </c>
      <c r="C6203" s="10" t="str">
        <f>"9781483364360"</f>
        <v>9781483364360</v>
      </c>
      <c r="D6203" s="10" t="s">
        <v>22210</v>
      </c>
      <c r="E6203" s="10" t="s">
        <v>22211</v>
      </c>
      <c r="F6203" s="10" t="s">
        <v>333</v>
      </c>
      <c r="G6203" s="10" t="s">
        <v>6317</v>
      </c>
      <c r="H6203" s="11">
        <v>38800</v>
      </c>
      <c r="I6203" s="10">
        <v>2006</v>
      </c>
      <c r="J6203" s="10" t="s">
        <v>22211</v>
      </c>
      <c r="K6203" s="10">
        <v>105</v>
      </c>
      <c r="L6203" s="10" t="s">
        <v>27890</v>
      </c>
      <c r="M6203" s="10">
        <v>1</v>
      </c>
      <c r="N6203" s="10"/>
      <c r="O6203" s="10"/>
      <c r="P6203" s="10" t="s">
        <v>30714</v>
      </c>
      <c r="Q6203" s="10" t="s">
        <v>30715</v>
      </c>
      <c r="R6203" s="10"/>
      <c r="S6203" s="10" t="s">
        <v>53</v>
      </c>
      <c r="T6203" s="10" t="s">
        <v>54</v>
      </c>
    </row>
    <row r="6204" spans="1:20" ht="14.5" x14ac:dyDescent="0.35">
      <c r="A6204" s="10" t="s">
        <v>30716</v>
      </c>
      <c r="B6204" s="10" t="str">
        <f>"9781412939065"</f>
        <v>9781412939065</v>
      </c>
      <c r="C6204" s="10" t="str">
        <f>"9781483364377"</f>
        <v>9781483364377</v>
      </c>
      <c r="D6204" s="10" t="s">
        <v>22210</v>
      </c>
      <c r="E6204" s="10" t="s">
        <v>22211</v>
      </c>
      <c r="F6204" s="10" t="s">
        <v>333</v>
      </c>
      <c r="G6204" s="10" t="s">
        <v>6317</v>
      </c>
      <c r="H6204" s="11">
        <v>38797</v>
      </c>
      <c r="I6204" s="10">
        <v>2006</v>
      </c>
      <c r="J6204" s="10" t="s">
        <v>22211</v>
      </c>
      <c r="K6204" s="10">
        <v>113</v>
      </c>
      <c r="L6204" s="10" t="s">
        <v>30709</v>
      </c>
      <c r="M6204" s="10">
        <v>1</v>
      </c>
      <c r="N6204" s="10"/>
      <c r="O6204" s="10"/>
      <c r="P6204" s="10" t="s">
        <v>30717</v>
      </c>
      <c r="Q6204" s="10">
        <v>371.95600000000002</v>
      </c>
      <c r="R6204" s="10"/>
      <c r="S6204" s="10" t="s">
        <v>53</v>
      </c>
      <c r="T6204" s="10" t="s">
        <v>54</v>
      </c>
    </row>
    <row r="6205" spans="1:20" ht="14.5" x14ac:dyDescent="0.35">
      <c r="A6205" s="10" t="s">
        <v>30718</v>
      </c>
      <c r="B6205" s="10" t="str">
        <f>"9781412940597"</f>
        <v>9781412940597</v>
      </c>
      <c r="C6205" s="10" t="str">
        <f>"9781483362267"</f>
        <v>9781483362267</v>
      </c>
      <c r="D6205" s="10" t="s">
        <v>22210</v>
      </c>
      <c r="E6205" s="10" t="s">
        <v>22211</v>
      </c>
      <c r="F6205" s="10" t="s">
        <v>333</v>
      </c>
      <c r="G6205" s="10" t="s">
        <v>6317</v>
      </c>
      <c r="H6205" s="11">
        <v>38961</v>
      </c>
      <c r="I6205" s="10">
        <v>2007</v>
      </c>
      <c r="J6205" s="10" t="s">
        <v>22211</v>
      </c>
      <c r="K6205" s="10">
        <v>281</v>
      </c>
      <c r="L6205" s="10" t="s">
        <v>30719</v>
      </c>
      <c r="M6205" s="10">
        <v>1</v>
      </c>
      <c r="N6205" s="10"/>
      <c r="O6205" s="10"/>
      <c r="P6205" s="10" t="s">
        <v>30720</v>
      </c>
      <c r="Q6205" s="10"/>
      <c r="R6205" s="10"/>
      <c r="S6205" s="10" t="s">
        <v>53</v>
      </c>
      <c r="T6205" s="10" t="s">
        <v>54</v>
      </c>
    </row>
    <row r="6206" spans="1:20" ht="14.5" x14ac:dyDescent="0.35">
      <c r="A6206" s="10" t="s">
        <v>30721</v>
      </c>
      <c r="B6206" s="10" t="str">
        <f>"9781412942225"</f>
        <v>9781412942225</v>
      </c>
      <c r="C6206" s="10" t="str">
        <f>"9781483362298"</f>
        <v>9781483362298</v>
      </c>
      <c r="D6206" s="10" t="s">
        <v>22210</v>
      </c>
      <c r="E6206" s="10" t="s">
        <v>22211</v>
      </c>
      <c r="F6206" s="10" t="s">
        <v>333</v>
      </c>
      <c r="G6206" s="10" t="s">
        <v>6317</v>
      </c>
      <c r="H6206" s="11">
        <v>38961</v>
      </c>
      <c r="I6206" s="10">
        <v>2007</v>
      </c>
      <c r="J6206" s="10" t="s">
        <v>22211</v>
      </c>
      <c r="K6206" s="10">
        <v>153</v>
      </c>
      <c r="L6206" s="10" t="s">
        <v>30722</v>
      </c>
      <c r="M6206" s="10">
        <v>1</v>
      </c>
      <c r="N6206" s="10"/>
      <c r="O6206" s="10"/>
      <c r="P6206" s="10" t="s">
        <v>30723</v>
      </c>
      <c r="Q6206" s="10" t="s">
        <v>11202</v>
      </c>
      <c r="R6206" s="10"/>
      <c r="S6206" s="10" t="s">
        <v>53</v>
      </c>
      <c r="T6206" s="10" t="s">
        <v>54</v>
      </c>
    </row>
    <row r="6207" spans="1:20" ht="14.5" x14ac:dyDescent="0.35">
      <c r="A6207" s="10" t="s">
        <v>30724</v>
      </c>
      <c r="B6207" s="10" t="str">
        <f>"9781890460495"</f>
        <v>9781890460495</v>
      </c>
      <c r="C6207" s="10" t="str">
        <f>"9781483362359"</f>
        <v>9781483362359</v>
      </c>
      <c r="D6207" s="10" t="s">
        <v>22210</v>
      </c>
      <c r="E6207" s="10" t="s">
        <v>22211</v>
      </c>
      <c r="F6207" s="10" t="s">
        <v>333</v>
      </c>
      <c r="G6207" s="10" t="s">
        <v>6317</v>
      </c>
      <c r="H6207" s="11">
        <v>38947</v>
      </c>
      <c r="I6207" s="10">
        <v>2007</v>
      </c>
      <c r="J6207" s="10" t="s">
        <v>22211</v>
      </c>
      <c r="K6207" s="10">
        <v>233</v>
      </c>
      <c r="L6207" s="10" t="s">
        <v>30725</v>
      </c>
      <c r="M6207" s="10">
        <v>1</v>
      </c>
      <c r="N6207" s="10"/>
      <c r="O6207" s="10"/>
      <c r="P6207" s="10" t="s">
        <v>30726</v>
      </c>
      <c r="Q6207" s="10"/>
      <c r="R6207" s="10"/>
      <c r="S6207" s="10" t="s">
        <v>53</v>
      </c>
      <c r="T6207" s="10" t="s">
        <v>54</v>
      </c>
    </row>
    <row r="6208" spans="1:20" ht="14.5" x14ac:dyDescent="0.35">
      <c r="A6208" s="10" t="s">
        <v>30727</v>
      </c>
      <c r="B6208" s="10" t="str">
        <f>"9780971733244"</f>
        <v>9780971733244</v>
      </c>
      <c r="C6208" s="10" t="str">
        <f>"9781483363196"</f>
        <v>9781483363196</v>
      </c>
      <c r="D6208" s="10" t="s">
        <v>22210</v>
      </c>
      <c r="E6208" s="10" t="s">
        <v>22211</v>
      </c>
      <c r="F6208" s="10" t="s">
        <v>333</v>
      </c>
      <c r="G6208" s="10" t="s">
        <v>6317</v>
      </c>
      <c r="H6208" s="11">
        <v>37622</v>
      </c>
      <c r="I6208" s="10">
        <v>2003</v>
      </c>
      <c r="J6208" s="10" t="s">
        <v>22211</v>
      </c>
      <c r="K6208" s="10">
        <v>113</v>
      </c>
      <c r="L6208" s="10" t="s">
        <v>27750</v>
      </c>
      <c r="M6208" s="10">
        <v>1</v>
      </c>
      <c r="N6208" s="10" t="s">
        <v>27682</v>
      </c>
      <c r="O6208" s="10"/>
      <c r="P6208" s="10" t="s">
        <v>30728</v>
      </c>
      <c r="Q6208" s="10">
        <v>370.15230000000003</v>
      </c>
      <c r="R6208" s="10"/>
      <c r="S6208" s="10" t="s">
        <v>53</v>
      </c>
      <c r="T6208" s="10" t="s">
        <v>54</v>
      </c>
    </row>
    <row r="6209" spans="1:20" ht="14.5" x14ac:dyDescent="0.35">
      <c r="A6209" s="10" t="s">
        <v>30729</v>
      </c>
      <c r="B6209" s="10" t="str">
        <f>"9781483339160"</f>
        <v>9781483339160</v>
      </c>
      <c r="C6209" s="10" t="str">
        <f>"9781483339191"</f>
        <v>9781483339191</v>
      </c>
      <c r="D6209" s="10" t="s">
        <v>22210</v>
      </c>
      <c r="E6209" s="10" t="s">
        <v>22211</v>
      </c>
      <c r="F6209" s="10" t="s">
        <v>333</v>
      </c>
      <c r="G6209" s="10" t="s">
        <v>6317</v>
      </c>
      <c r="H6209" s="11">
        <v>41715</v>
      </c>
      <c r="I6209" s="10">
        <v>2014</v>
      </c>
      <c r="J6209" s="10" t="s">
        <v>22211</v>
      </c>
      <c r="K6209" s="10">
        <v>233</v>
      </c>
      <c r="L6209" s="10" t="s">
        <v>30730</v>
      </c>
      <c r="M6209" s="10">
        <v>1</v>
      </c>
      <c r="N6209" s="10"/>
      <c r="O6209" s="10"/>
      <c r="P6209" s="10" t="s">
        <v>17787</v>
      </c>
      <c r="Q6209" s="10" t="s">
        <v>10535</v>
      </c>
      <c r="R6209" s="10"/>
      <c r="S6209" s="10" t="s">
        <v>53</v>
      </c>
      <c r="T6209" s="10" t="s">
        <v>54</v>
      </c>
    </row>
    <row r="6210" spans="1:20" ht="14.5" x14ac:dyDescent="0.35">
      <c r="A6210" s="10" t="s">
        <v>30731</v>
      </c>
      <c r="B6210" s="10" t="str">
        <f>"9780761978343"</f>
        <v>9780761978343</v>
      </c>
      <c r="C6210" s="10" t="str">
        <f>"9781483366463"</f>
        <v>9781483366463</v>
      </c>
      <c r="D6210" s="10" t="s">
        <v>22210</v>
      </c>
      <c r="E6210" s="10" t="s">
        <v>22211</v>
      </c>
      <c r="F6210" s="10" t="s">
        <v>333</v>
      </c>
      <c r="G6210" s="10" t="s">
        <v>6317</v>
      </c>
      <c r="H6210" s="11">
        <v>37306</v>
      </c>
      <c r="I6210" s="10">
        <v>2002</v>
      </c>
      <c r="J6210" s="10" t="s">
        <v>22211</v>
      </c>
      <c r="K6210" s="10">
        <v>201</v>
      </c>
      <c r="L6210" s="10" t="s">
        <v>30732</v>
      </c>
      <c r="M6210" s="10">
        <v>1</v>
      </c>
      <c r="N6210" s="10"/>
      <c r="O6210" s="10"/>
      <c r="P6210" s="10" t="s">
        <v>30733</v>
      </c>
      <c r="Q6210" s="10">
        <v>428.40712000000002</v>
      </c>
      <c r="R6210" s="10"/>
      <c r="S6210" s="10" t="s">
        <v>53</v>
      </c>
      <c r="T6210" s="10" t="s">
        <v>6634</v>
      </c>
    </row>
    <row r="6211" spans="1:20" ht="14.5" x14ac:dyDescent="0.35">
      <c r="A6211" s="10" t="s">
        <v>30734</v>
      </c>
      <c r="B6211" s="10" t="str">
        <f>"9780761946335"</f>
        <v>9780761946335</v>
      </c>
      <c r="C6211" s="10" t="str">
        <f>"9781483366364"</f>
        <v>9781483366364</v>
      </c>
      <c r="D6211" s="10" t="s">
        <v>22210</v>
      </c>
      <c r="E6211" s="10" t="s">
        <v>22211</v>
      </c>
      <c r="F6211" s="10" t="s">
        <v>333</v>
      </c>
      <c r="G6211" s="10" t="s">
        <v>6317</v>
      </c>
      <c r="H6211" s="11">
        <v>37663</v>
      </c>
      <c r="I6211" s="10">
        <v>2003</v>
      </c>
      <c r="J6211" s="10" t="s">
        <v>22211</v>
      </c>
      <c r="K6211" s="10">
        <v>113</v>
      </c>
      <c r="L6211" s="10" t="s">
        <v>16538</v>
      </c>
      <c r="M6211" s="10">
        <v>1</v>
      </c>
      <c r="N6211" s="10"/>
      <c r="O6211" s="10"/>
      <c r="P6211" s="10" t="s">
        <v>30735</v>
      </c>
      <c r="Q6211" s="10">
        <v>371.5</v>
      </c>
      <c r="R6211" s="10"/>
      <c r="S6211" s="10" t="s">
        <v>53</v>
      </c>
      <c r="T6211" s="10" t="s">
        <v>54</v>
      </c>
    </row>
    <row r="6212" spans="1:20" ht="14.5" x14ac:dyDescent="0.35">
      <c r="A6212" s="10" t="s">
        <v>30736</v>
      </c>
      <c r="B6212" s="10" t="str">
        <f>"9780761977728"</f>
        <v>9780761977728</v>
      </c>
      <c r="C6212" s="10" t="str">
        <f>"9781483366357"</f>
        <v>9781483366357</v>
      </c>
      <c r="D6212" s="10" t="s">
        <v>22210</v>
      </c>
      <c r="E6212" s="10" t="s">
        <v>22211</v>
      </c>
      <c r="F6212" s="10" t="s">
        <v>333</v>
      </c>
      <c r="G6212" s="10" t="s">
        <v>6317</v>
      </c>
      <c r="H6212" s="11">
        <v>37483</v>
      </c>
      <c r="I6212" s="10">
        <v>2002</v>
      </c>
      <c r="J6212" s="10" t="s">
        <v>22211</v>
      </c>
      <c r="K6212" s="10">
        <v>209</v>
      </c>
      <c r="L6212" s="10" t="s">
        <v>30737</v>
      </c>
      <c r="M6212" s="10">
        <v>1</v>
      </c>
      <c r="N6212" s="10"/>
      <c r="O6212" s="10"/>
      <c r="P6212" s="10" t="s">
        <v>30738</v>
      </c>
      <c r="Q6212" s="10" t="s">
        <v>11202</v>
      </c>
      <c r="R6212" s="10"/>
      <c r="S6212" s="10" t="s">
        <v>53</v>
      </c>
      <c r="T6212" s="10" t="s">
        <v>54</v>
      </c>
    </row>
    <row r="6213" spans="1:20" ht="14.5" x14ac:dyDescent="0.35">
      <c r="A6213" s="10" t="s">
        <v>30739</v>
      </c>
      <c r="B6213" s="10" t="str">
        <f>"9780761938514"</f>
        <v>9780761938514</v>
      </c>
      <c r="C6213" s="10" t="str">
        <f>"9781483366319"</f>
        <v>9781483366319</v>
      </c>
      <c r="D6213" s="10" t="s">
        <v>22210</v>
      </c>
      <c r="E6213" s="10" t="s">
        <v>22211</v>
      </c>
      <c r="F6213" s="10" t="s">
        <v>333</v>
      </c>
      <c r="G6213" s="10" t="s">
        <v>6317</v>
      </c>
      <c r="H6213" s="11">
        <v>37551</v>
      </c>
      <c r="I6213" s="10">
        <v>2003</v>
      </c>
      <c r="J6213" s="10" t="s">
        <v>22211</v>
      </c>
      <c r="K6213" s="10">
        <v>161</v>
      </c>
      <c r="L6213" s="10" t="s">
        <v>30740</v>
      </c>
      <c r="M6213" s="10">
        <v>1</v>
      </c>
      <c r="N6213" s="10"/>
      <c r="O6213" s="10"/>
      <c r="P6213" s="10" t="s">
        <v>30741</v>
      </c>
      <c r="Q6213" s="10" t="s">
        <v>30742</v>
      </c>
      <c r="R6213" s="10"/>
      <c r="S6213" s="10" t="s">
        <v>53</v>
      </c>
      <c r="T6213" s="10" t="s">
        <v>6448</v>
      </c>
    </row>
    <row r="6214" spans="1:20" ht="14.5" x14ac:dyDescent="0.35">
      <c r="A6214" s="10" t="s">
        <v>30743</v>
      </c>
      <c r="B6214" s="10" t="str">
        <f>"9780761931454"</f>
        <v>9780761931454</v>
      </c>
      <c r="C6214" s="10" t="str">
        <f>"9781483366326"</f>
        <v>9781483366326</v>
      </c>
      <c r="D6214" s="10" t="s">
        <v>22210</v>
      </c>
      <c r="E6214" s="10" t="s">
        <v>22211</v>
      </c>
      <c r="F6214" s="10" t="s">
        <v>333</v>
      </c>
      <c r="G6214" s="10" t="s">
        <v>6317</v>
      </c>
      <c r="H6214" s="11">
        <v>38531</v>
      </c>
      <c r="I6214" s="10">
        <v>2006</v>
      </c>
      <c r="J6214" s="10" t="s">
        <v>22211</v>
      </c>
      <c r="K6214" s="10">
        <v>321</v>
      </c>
      <c r="L6214" s="10" t="s">
        <v>26270</v>
      </c>
      <c r="M6214" s="10">
        <v>1</v>
      </c>
      <c r="N6214" s="10"/>
      <c r="O6214" s="10"/>
      <c r="P6214" s="10" t="s">
        <v>30744</v>
      </c>
      <c r="Q6214" s="10" t="s">
        <v>11202</v>
      </c>
      <c r="R6214" s="10"/>
      <c r="S6214" s="10" t="s">
        <v>53</v>
      </c>
      <c r="T6214" s="10" t="s">
        <v>54</v>
      </c>
    </row>
    <row r="6215" spans="1:20" ht="14.5" x14ac:dyDescent="0.35">
      <c r="A6215" s="10" t="s">
        <v>30745</v>
      </c>
      <c r="B6215" s="10" t="str">
        <f>"9781575178844"</f>
        <v>9781575178844</v>
      </c>
      <c r="C6215" s="10" t="str">
        <f>"9781483366432"</f>
        <v>9781483366432</v>
      </c>
      <c r="D6215" s="10" t="s">
        <v>22210</v>
      </c>
      <c r="E6215" s="10" t="s">
        <v>22211</v>
      </c>
      <c r="F6215" s="10" t="s">
        <v>333</v>
      </c>
      <c r="G6215" s="10" t="s">
        <v>6317</v>
      </c>
      <c r="H6215" s="11">
        <v>38139</v>
      </c>
      <c r="I6215" s="10">
        <v>2004</v>
      </c>
      <c r="J6215" s="10" t="s">
        <v>22211</v>
      </c>
      <c r="K6215" s="10">
        <v>41</v>
      </c>
      <c r="L6215" s="10" t="s">
        <v>30368</v>
      </c>
      <c r="M6215" s="10">
        <v>1</v>
      </c>
      <c r="N6215" s="10"/>
      <c r="O6215" s="10"/>
      <c r="P6215" s="10" t="s">
        <v>30746</v>
      </c>
      <c r="Q6215" s="10"/>
      <c r="R6215" s="10"/>
      <c r="S6215" s="10" t="s">
        <v>53</v>
      </c>
      <c r="T6215" s="10" t="s">
        <v>54</v>
      </c>
    </row>
    <row r="6216" spans="1:20" ht="14.5" x14ac:dyDescent="0.35">
      <c r="A6216" s="10" t="s">
        <v>30747</v>
      </c>
      <c r="B6216" s="10" t="str">
        <f>"9781483316413"</f>
        <v>9781483316413</v>
      </c>
      <c r="C6216" s="10" t="str">
        <f>"9781483369716"</f>
        <v>9781483369716</v>
      </c>
      <c r="D6216" s="10" t="s">
        <v>22210</v>
      </c>
      <c r="E6216" s="10" t="s">
        <v>22211</v>
      </c>
      <c r="F6216" s="10" t="s">
        <v>333</v>
      </c>
      <c r="G6216" s="10" t="s">
        <v>6317</v>
      </c>
      <c r="H6216" s="11">
        <v>41753</v>
      </c>
      <c r="I6216" s="10">
        <v>2014</v>
      </c>
      <c r="J6216" s="10" t="s">
        <v>22211</v>
      </c>
      <c r="K6216" s="10">
        <v>79</v>
      </c>
      <c r="L6216" s="10" t="s">
        <v>30748</v>
      </c>
      <c r="M6216" s="10">
        <v>1</v>
      </c>
      <c r="N6216" s="10"/>
      <c r="O6216" s="10"/>
      <c r="P6216" s="10" t="s">
        <v>11128</v>
      </c>
      <c r="Q6216" s="10">
        <v>373.11020000000002</v>
      </c>
      <c r="R6216" s="10"/>
      <c r="S6216" s="10" t="s">
        <v>53</v>
      </c>
      <c r="T6216" s="10" t="s">
        <v>54</v>
      </c>
    </row>
    <row r="6217" spans="1:20" ht="14.5" x14ac:dyDescent="0.35">
      <c r="A6217" s="10" t="s">
        <v>30749</v>
      </c>
      <c r="B6217" s="10" t="str">
        <f>"9781483351216"</f>
        <v>9781483351216</v>
      </c>
      <c r="C6217" s="10" t="str">
        <f>"9781483319940"</f>
        <v>9781483319940</v>
      </c>
      <c r="D6217" s="10" t="s">
        <v>22210</v>
      </c>
      <c r="E6217" s="10" t="s">
        <v>22211</v>
      </c>
      <c r="F6217" s="10" t="s">
        <v>333</v>
      </c>
      <c r="G6217" s="10" t="s">
        <v>6317</v>
      </c>
      <c r="H6217" s="11">
        <v>41788</v>
      </c>
      <c r="I6217" s="10">
        <v>2014</v>
      </c>
      <c r="J6217" s="10" t="s">
        <v>22211</v>
      </c>
      <c r="K6217" s="10">
        <v>137</v>
      </c>
      <c r="L6217" s="10" t="s">
        <v>28229</v>
      </c>
      <c r="M6217" s="10">
        <v>1</v>
      </c>
      <c r="N6217" s="10"/>
      <c r="O6217" s="10"/>
      <c r="P6217" s="10" t="s">
        <v>30750</v>
      </c>
      <c r="Q6217" s="10">
        <v>507.1</v>
      </c>
      <c r="R6217" s="10"/>
      <c r="S6217" s="10" t="s">
        <v>53</v>
      </c>
      <c r="T6217" s="10" t="s">
        <v>6800</v>
      </c>
    </row>
    <row r="6218" spans="1:20" ht="14.5" x14ac:dyDescent="0.35">
      <c r="A6218" s="10" t="s">
        <v>30751</v>
      </c>
      <c r="B6218" s="10" t="str">
        <f>"9781483306728"</f>
        <v>9781483306728</v>
      </c>
      <c r="C6218" s="10" t="str">
        <f>"9781483306698"</f>
        <v>9781483306698</v>
      </c>
      <c r="D6218" s="10" t="s">
        <v>22210</v>
      </c>
      <c r="E6218" s="10" t="s">
        <v>22211</v>
      </c>
      <c r="F6218" s="10" t="s">
        <v>333</v>
      </c>
      <c r="G6218" s="10" t="s">
        <v>6317</v>
      </c>
      <c r="H6218" s="11">
        <v>41788</v>
      </c>
      <c r="I6218" s="10">
        <v>2014</v>
      </c>
      <c r="J6218" s="10" t="s">
        <v>22211</v>
      </c>
      <c r="K6218" s="10">
        <v>209</v>
      </c>
      <c r="L6218" s="10" t="s">
        <v>30752</v>
      </c>
      <c r="M6218" s="10">
        <v>1</v>
      </c>
      <c r="N6218" s="10"/>
      <c r="O6218" s="10"/>
      <c r="P6218" s="10" t="s">
        <v>30753</v>
      </c>
      <c r="Q6218" s="10"/>
      <c r="R6218" s="10"/>
      <c r="S6218" s="10" t="s">
        <v>53</v>
      </c>
      <c r="T6218" s="10" t="s">
        <v>54</v>
      </c>
    </row>
    <row r="6219" spans="1:20" ht="14.5" x14ac:dyDescent="0.35">
      <c r="A6219" s="10" t="s">
        <v>30754</v>
      </c>
      <c r="B6219" s="10" t="str">
        <f>"9781483331782"</f>
        <v>9781483331782</v>
      </c>
      <c r="C6219" s="10" t="str">
        <f>"9781483331805"</f>
        <v>9781483331805</v>
      </c>
      <c r="D6219" s="10" t="s">
        <v>22210</v>
      </c>
      <c r="E6219" s="10" t="s">
        <v>22211</v>
      </c>
      <c r="F6219" s="10" t="s">
        <v>333</v>
      </c>
      <c r="G6219" s="10" t="s">
        <v>6317</v>
      </c>
      <c r="H6219" s="11">
        <v>41878</v>
      </c>
      <c r="I6219" s="10">
        <v>2014</v>
      </c>
      <c r="J6219" s="10" t="s">
        <v>22211</v>
      </c>
      <c r="K6219" s="10">
        <v>161</v>
      </c>
      <c r="L6219" s="10" t="s">
        <v>30755</v>
      </c>
      <c r="M6219" s="10">
        <v>2</v>
      </c>
      <c r="N6219" s="10"/>
      <c r="O6219" s="10"/>
      <c r="P6219" s="10" t="s">
        <v>30756</v>
      </c>
      <c r="Q6219" s="10">
        <v>510.71</v>
      </c>
      <c r="R6219" s="10"/>
      <c r="S6219" s="10" t="s">
        <v>53</v>
      </c>
      <c r="T6219" s="10" t="s">
        <v>389</v>
      </c>
    </row>
    <row r="6220" spans="1:20" ht="14.5" x14ac:dyDescent="0.35">
      <c r="A6220" s="10" t="s">
        <v>30757</v>
      </c>
      <c r="B6220" s="10" t="str">
        <f>"9781483319773"</f>
        <v>9781483319773</v>
      </c>
      <c r="C6220" s="10" t="str">
        <f>"9781483384658"</f>
        <v>9781483384658</v>
      </c>
      <c r="D6220" s="10" t="s">
        <v>22210</v>
      </c>
      <c r="E6220" s="10" t="s">
        <v>22211</v>
      </c>
      <c r="F6220" s="10" t="s">
        <v>333</v>
      </c>
      <c r="G6220" s="10" t="s">
        <v>6317</v>
      </c>
      <c r="H6220" s="11">
        <v>41899</v>
      </c>
      <c r="I6220" s="10">
        <v>2015</v>
      </c>
      <c r="J6220" s="10" t="s">
        <v>22211</v>
      </c>
      <c r="K6220" s="10">
        <v>145</v>
      </c>
      <c r="L6220" s="10" t="s">
        <v>30758</v>
      </c>
      <c r="M6220" s="10">
        <v>1</v>
      </c>
      <c r="N6220" s="10"/>
      <c r="O6220" s="10"/>
      <c r="P6220" s="10" t="s">
        <v>30759</v>
      </c>
      <c r="Q6220" s="10" t="s">
        <v>30760</v>
      </c>
      <c r="R6220" s="10"/>
      <c r="S6220" s="10" t="s">
        <v>53</v>
      </c>
      <c r="T6220" s="10" t="s">
        <v>54</v>
      </c>
    </row>
    <row r="6221" spans="1:20" ht="14.5" x14ac:dyDescent="0.35">
      <c r="A6221" s="10" t="s">
        <v>30761</v>
      </c>
      <c r="B6221" s="10" t="str">
        <f>"9781483307367"</f>
        <v>9781483307367</v>
      </c>
      <c r="C6221" s="10" t="str">
        <f>"9781483384368"</f>
        <v>9781483384368</v>
      </c>
      <c r="D6221" s="10" t="s">
        <v>22210</v>
      </c>
      <c r="E6221" s="10" t="s">
        <v>22211</v>
      </c>
      <c r="F6221" s="10" t="s">
        <v>333</v>
      </c>
      <c r="G6221" s="10" t="s">
        <v>6317</v>
      </c>
      <c r="H6221" s="11">
        <v>41887</v>
      </c>
      <c r="I6221" s="10">
        <v>2014</v>
      </c>
      <c r="J6221" s="10" t="s">
        <v>22211</v>
      </c>
      <c r="K6221" s="10">
        <v>257</v>
      </c>
      <c r="L6221" s="10" t="s">
        <v>30762</v>
      </c>
      <c r="M6221" s="10">
        <v>1</v>
      </c>
      <c r="N6221" s="10"/>
      <c r="O6221" s="10"/>
      <c r="P6221" s="10" t="s">
        <v>30763</v>
      </c>
      <c r="Q6221" s="10">
        <v>372.35</v>
      </c>
      <c r="R6221" s="10"/>
      <c r="S6221" s="10" t="s">
        <v>53</v>
      </c>
      <c r="T6221" s="10" t="s">
        <v>54</v>
      </c>
    </row>
    <row r="6222" spans="1:20" ht="14.5" x14ac:dyDescent="0.35">
      <c r="A6222" s="10" t="s">
        <v>30764</v>
      </c>
      <c r="B6222" s="10" t="str">
        <f>"9781412939522"</f>
        <v>9781412939522</v>
      </c>
      <c r="C6222" s="10" t="str">
        <f>"9781483304038"</f>
        <v>9781483304038</v>
      </c>
      <c r="D6222" s="10" t="s">
        <v>22210</v>
      </c>
      <c r="E6222" s="10" t="s">
        <v>22211</v>
      </c>
      <c r="F6222" s="10" t="s">
        <v>333</v>
      </c>
      <c r="G6222" s="10" t="s">
        <v>6317</v>
      </c>
      <c r="H6222" s="11">
        <v>38800</v>
      </c>
      <c r="I6222" s="10">
        <v>2006</v>
      </c>
      <c r="J6222" s="10" t="s">
        <v>22211</v>
      </c>
      <c r="K6222" s="10">
        <v>137</v>
      </c>
      <c r="L6222" s="10" t="s">
        <v>30709</v>
      </c>
      <c r="M6222" s="10">
        <v>1</v>
      </c>
      <c r="N6222" s="10"/>
      <c r="O6222" s="10"/>
      <c r="P6222" s="10" t="s">
        <v>30765</v>
      </c>
      <c r="Q6222" s="10">
        <v>371.928</v>
      </c>
      <c r="R6222" s="10"/>
      <c r="S6222" s="10" t="s">
        <v>53</v>
      </c>
      <c r="T6222" s="10" t="s">
        <v>54</v>
      </c>
    </row>
    <row r="6223" spans="1:20" ht="14.5" x14ac:dyDescent="0.35">
      <c r="A6223" s="10" t="s">
        <v>30766</v>
      </c>
      <c r="B6223" s="10" t="str">
        <f>"9781452234816"</f>
        <v>9781452234816</v>
      </c>
      <c r="C6223" s="10" t="str">
        <f>"9781452278032"</f>
        <v>9781452278032</v>
      </c>
      <c r="D6223" s="10" t="s">
        <v>22210</v>
      </c>
      <c r="E6223" s="10" t="s">
        <v>22211</v>
      </c>
      <c r="F6223" s="10" t="s">
        <v>333</v>
      </c>
      <c r="G6223" s="10" t="s">
        <v>6317</v>
      </c>
      <c r="H6223" s="11">
        <v>41345</v>
      </c>
      <c r="I6223" s="10">
        <v>2013</v>
      </c>
      <c r="J6223" s="10" t="s">
        <v>22211</v>
      </c>
      <c r="K6223" s="10">
        <v>201</v>
      </c>
      <c r="L6223" s="10" t="s">
        <v>26558</v>
      </c>
      <c r="M6223" s="10">
        <v>1</v>
      </c>
      <c r="N6223" s="10"/>
      <c r="O6223" s="10"/>
      <c r="P6223" s="10" t="s">
        <v>30767</v>
      </c>
      <c r="Q6223" s="10">
        <v>372.7</v>
      </c>
      <c r="R6223" s="10" t="s">
        <v>30768</v>
      </c>
      <c r="S6223" s="10" t="s">
        <v>53</v>
      </c>
      <c r="T6223" s="10" t="s">
        <v>6448</v>
      </c>
    </row>
    <row r="6224" spans="1:20" ht="14.5" x14ac:dyDescent="0.35">
      <c r="A6224" s="10" t="s">
        <v>30769</v>
      </c>
      <c r="B6224" s="10" t="str">
        <f>"9781452234823"</f>
        <v>9781452234823</v>
      </c>
      <c r="C6224" s="10" t="str">
        <f>"9781452278087"</f>
        <v>9781452278087</v>
      </c>
      <c r="D6224" s="10" t="s">
        <v>22210</v>
      </c>
      <c r="E6224" s="10" t="s">
        <v>22211</v>
      </c>
      <c r="F6224" s="10" t="s">
        <v>333</v>
      </c>
      <c r="G6224" s="10" t="s">
        <v>6317</v>
      </c>
      <c r="H6224" s="11">
        <v>41345</v>
      </c>
      <c r="I6224" s="10">
        <v>2013</v>
      </c>
      <c r="J6224" s="10" t="s">
        <v>22211</v>
      </c>
      <c r="K6224" s="10">
        <v>201</v>
      </c>
      <c r="L6224" s="10" t="s">
        <v>26558</v>
      </c>
      <c r="M6224" s="10">
        <v>1</v>
      </c>
      <c r="N6224" s="10"/>
      <c r="O6224" s="10"/>
      <c r="P6224" s="10" t="s">
        <v>30770</v>
      </c>
      <c r="Q6224" s="10" t="s">
        <v>16264</v>
      </c>
      <c r="R6224" s="10" t="s">
        <v>30771</v>
      </c>
      <c r="S6224" s="10" t="s">
        <v>53</v>
      </c>
      <c r="T6224" s="10" t="s">
        <v>7425</v>
      </c>
    </row>
    <row r="6225" spans="1:20" ht="14.5" x14ac:dyDescent="0.35">
      <c r="A6225" s="10" t="s">
        <v>30772</v>
      </c>
      <c r="B6225" s="10" t="str">
        <f>"9781452218021"</f>
        <v>9781452218021</v>
      </c>
      <c r="C6225" s="10" t="str">
        <f>"9781452285092"</f>
        <v>9781452285092</v>
      </c>
      <c r="D6225" s="10" t="s">
        <v>22210</v>
      </c>
      <c r="E6225" s="10" t="s">
        <v>22211</v>
      </c>
      <c r="F6225" s="10" t="s">
        <v>333</v>
      </c>
      <c r="G6225" s="10" t="s">
        <v>6317</v>
      </c>
      <c r="H6225" s="11">
        <v>41366</v>
      </c>
      <c r="I6225" s="10">
        <v>2013</v>
      </c>
      <c r="J6225" s="10" t="s">
        <v>22211</v>
      </c>
      <c r="K6225" s="10">
        <v>225</v>
      </c>
      <c r="L6225" s="10" t="s">
        <v>30773</v>
      </c>
      <c r="M6225" s="10">
        <v>1</v>
      </c>
      <c r="N6225" s="10"/>
      <c r="O6225" s="10"/>
      <c r="P6225" s="10" t="s">
        <v>30774</v>
      </c>
      <c r="Q6225" s="10">
        <v>507.12</v>
      </c>
      <c r="R6225" s="10"/>
      <c r="S6225" s="10" t="s">
        <v>53</v>
      </c>
      <c r="T6225" s="10" t="s">
        <v>7193</v>
      </c>
    </row>
    <row r="6226" spans="1:20" ht="14.5" x14ac:dyDescent="0.35">
      <c r="A6226" s="10" t="s">
        <v>30775</v>
      </c>
      <c r="B6226" s="10" t="str">
        <f>"9781452260853"</f>
        <v>9781452260853</v>
      </c>
      <c r="C6226" s="10" t="str">
        <f>"9781452277585"</f>
        <v>9781452277585</v>
      </c>
      <c r="D6226" s="10" t="s">
        <v>22210</v>
      </c>
      <c r="E6226" s="10" t="s">
        <v>22211</v>
      </c>
      <c r="F6226" s="10" t="s">
        <v>333</v>
      </c>
      <c r="G6226" s="10" t="s">
        <v>6317</v>
      </c>
      <c r="H6226" s="11">
        <v>41381</v>
      </c>
      <c r="I6226" s="10">
        <v>2013</v>
      </c>
      <c r="J6226" s="10" t="s">
        <v>22211</v>
      </c>
      <c r="K6226" s="10">
        <v>201</v>
      </c>
      <c r="L6226" s="10" t="s">
        <v>8278</v>
      </c>
      <c r="M6226" s="10">
        <v>1</v>
      </c>
      <c r="N6226" s="10"/>
      <c r="O6226" s="10"/>
      <c r="P6226" s="10" t="s">
        <v>30776</v>
      </c>
      <c r="Q6226" s="10">
        <v>371.1440973</v>
      </c>
      <c r="R6226" s="10"/>
      <c r="S6226" s="10" t="s">
        <v>53</v>
      </c>
      <c r="T6226" s="10" t="s">
        <v>54</v>
      </c>
    </row>
    <row r="6227" spans="1:20" ht="14.5" x14ac:dyDescent="0.35">
      <c r="A6227" s="10" t="s">
        <v>30777</v>
      </c>
      <c r="B6227" s="10" t="str">
        <f>"9781452255514"</f>
        <v>9781452255514</v>
      </c>
      <c r="C6227" s="10" t="str">
        <f>"9781483307572"</f>
        <v>9781483307572</v>
      </c>
      <c r="D6227" s="10" t="s">
        <v>22210</v>
      </c>
      <c r="E6227" s="10" t="s">
        <v>22211</v>
      </c>
      <c r="F6227" s="10" t="s">
        <v>333</v>
      </c>
      <c r="G6227" s="10" t="s">
        <v>6317</v>
      </c>
      <c r="H6227" s="11">
        <v>41403</v>
      </c>
      <c r="I6227" s="10">
        <v>2013</v>
      </c>
      <c r="J6227" s="10" t="s">
        <v>22211</v>
      </c>
      <c r="K6227" s="10">
        <v>137</v>
      </c>
      <c r="L6227" s="10" t="s">
        <v>30778</v>
      </c>
      <c r="M6227" s="10">
        <v>1</v>
      </c>
      <c r="N6227" s="10"/>
      <c r="O6227" s="10"/>
      <c r="P6227" s="10" t="s">
        <v>30779</v>
      </c>
      <c r="Q6227" s="10">
        <v>331.28137110973</v>
      </c>
      <c r="R6227" s="10"/>
      <c r="S6227" s="10" t="s">
        <v>53</v>
      </c>
      <c r="T6227" s="10" t="s">
        <v>8723</v>
      </c>
    </row>
    <row r="6228" spans="1:20" ht="14.5" x14ac:dyDescent="0.35">
      <c r="A6228" s="10" t="s">
        <v>30780</v>
      </c>
      <c r="B6228" s="10" t="str">
        <f>"9781452268255"</f>
        <v>9781452268255</v>
      </c>
      <c r="C6228" s="10" t="str">
        <f>"9781452277462"</f>
        <v>9781452277462</v>
      </c>
      <c r="D6228" s="10" t="s">
        <v>22210</v>
      </c>
      <c r="E6228" s="10" t="s">
        <v>22211</v>
      </c>
      <c r="F6228" s="10" t="s">
        <v>333</v>
      </c>
      <c r="G6228" s="10" t="s">
        <v>6317</v>
      </c>
      <c r="H6228" s="11">
        <v>41359</v>
      </c>
      <c r="I6228" s="10">
        <v>2013</v>
      </c>
      <c r="J6228" s="10" t="s">
        <v>22211</v>
      </c>
      <c r="K6228" s="10">
        <v>305</v>
      </c>
      <c r="L6228" s="10" t="s">
        <v>22375</v>
      </c>
      <c r="M6228" s="10">
        <v>2</v>
      </c>
      <c r="N6228" s="10"/>
      <c r="O6228" s="10"/>
      <c r="P6228" s="10" t="s">
        <v>30781</v>
      </c>
      <c r="Q6228" s="10" t="s">
        <v>30782</v>
      </c>
      <c r="R6228" s="10"/>
      <c r="S6228" s="10" t="s">
        <v>53</v>
      </c>
      <c r="T6228" s="10" t="s">
        <v>54</v>
      </c>
    </row>
    <row r="6229" spans="1:20" ht="14.5" x14ac:dyDescent="0.35">
      <c r="A6229" s="10" t="s">
        <v>30783</v>
      </c>
      <c r="B6229" s="10" t="str">
        <f>"9781452234830"</f>
        <v>9781452234830</v>
      </c>
      <c r="C6229" s="10" t="str">
        <f>"9781452278131"</f>
        <v>9781452278131</v>
      </c>
      <c r="D6229" s="10" t="s">
        <v>22210</v>
      </c>
      <c r="E6229" s="10" t="s">
        <v>22211</v>
      </c>
      <c r="F6229" s="10" t="s">
        <v>333</v>
      </c>
      <c r="G6229" s="10" t="s">
        <v>6317</v>
      </c>
      <c r="H6229" s="11">
        <v>41403</v>
      </c>
      <c r="I6229" s="10">
        <v>2013</v>
      </c>
      <c r="J6229" s="10" t="s">
        <v>22211</v>
      </c>
      <c r="K6229" s="10">
        <v>185</v>
      </c>
      <c r="L6229" s="10" t="s">
        <v>26558</v>
      </c>
      <c r="M6229" s="10">
        <v>1</v>
      </c>
      <c r="N6229" s="10"/>
      <c r="O6229" s="10"/>
      <c r="P6229" s="10" t="s">
        <v>26559</v>
      </c>
      <c r="Q6229" s="10">
        <v>428.24071272999998</v>
      </c>
      <c r="R6229" s="10"/>
      <c r="S6229" s="10" t="s">
        <v>53</v>
      </c>
      <c r="T6229" s="10" t="s">
        <v>6616</v>
      </c>
    </row>
    <row r="6230" spans="1:20" ht="14.5" x14ac:dyDescent="0.35">
      <c r="A6230" s="10" t="s">
        <v>30784</v>
      </c>
      <c r="B6230" s="10" t="str">
        <f>"9781452255644"</f>
        <v>9781452255644</v>
      </c>
      <c r="C6230" s="10" t="str">
        <f>"9781452284996"</f>
        <v>9781452284996</v>
      </c>
      <c r="D6230" s="10" t="s">
        <v>22210</v>
      </c>
      <c r="E6230" s="10" t="s">
        <v>22211</v>
      </c>
      <c r="F6230" s="10" t="s">
        <v>333</v>
      </c>
      <c r="G6230" s="10" t="s">
        <v>6317</v>
      </c>
      <c r="H6230" s="11">
        <v>41394</v>
      </c>
      <c r="I6230" s="10">
        <v>2013</v>
      </c>
      <c r="J6230" s="10" t="s">
        <v>22211</v>
      </c>
      <c r="K6230" s="10">
        <v>249</v>
      </c>
      <c r="L6230" s="10" t="s">
        <v>30785</v>
      </c>
      <c r="M6230" s="10">
        <v>1</v>
      </c>
      <c r="N6230" s="10"/>
      <c r="O6230" s="10"/>
      <c r="P6230" s="10" t="s">
        <v>30786</v>
      </c>
      <c r="Q6230" s="10" t="s">
        <v>22166</v>
      </c>
      <c r="R6230" s="10"/>
      <c r="S6230" s="10" t="s">
        <v>53</v>
      </c>
      <c r="T6230" s="10" t="s">
        <v>54</v>
      </c>
    </row>
    <row r="6231" spans="1:20" ht="14.5" x14ac:dyDescent="0.35">
      <c r="A6231" s="10" t="s">
        <v>30787</v>
      </c>
      <c r="B6231" s="10" t="str">
        <f>"9781452276663"</f>
        <v>9781452276663</v>
      </c>
      <c r="C6231" s="10" t="str">
        <f>"9781452276717"</f>
        <v>9781452276717</v>
      </c>
      <c r="D6231" s="10" t="s">
        <v>22210</v>
      </c>
      <c r="E6231" s="10" t="s">
        <v>22211</v>
      </c>
      <c r="F6231" s="10" t="s">
        <v>333</v>
      </c>
      <c r="G6231" s="10" t="s">
        <v>6317</v>
      </c>
      <c r="H6231" s="11">
        <v>41410</v>
      </c>
      <c r="I6231" s="10">
        <v>2013</v>
      </c>
      <c r="J6231" s="10" t="s">
        <v>22211</v>
      </c>
      <c r="K6231" s="10">
        <v>121</v>
      </c>
      <c r="L6231" s="10" t="s">
        <v>30788</v>
      </c>
      <c r="M6231" s="10">
        <v>1</v>
      </c>
      <c r="N6231" s="10"/>
      <c r="O6231" s="10"/>
      <c r="P6231" s="10" t="s">
        <v>30789</v>
      </c>
      <c r="Q6231" s="10" t="s">
        <v>7299</v>
      </c>
      <c r="R6231" s="10" t="s">
        <v>30790</v>
      </c>
      <c r="S6231" s="10" t="s">
        <v>53</v>
      </c>
      <c r="T6231" s="10" t="s">
        <v>54</v>
      </c>
    </row>
    <row r="6232" spans="1:20" ht="14.5" x14ac:dyDescent="0.35">
      <c r="A6232" s="10" t="s">
        <v>30791</v>
      </c>
      <c r="B6232" s="10" t="str">
        <f>"9781483333205"</f>
        <v>9781483333205</v>
      </c>
      <c r="C6232" s="10" t="str">
        <f>"9781483332147"</f>
        <v>9781483332147</v>
      </c>
      <c r="D6232" s="10" t="s">
        <v>22210</v>
      </c>
      <c r="E6232" s="10" t="s">
        <v>22211</v>
      </c>
      <c r="F6232" s="10" t="s">
        <v>333</v>
      </c>
      <c r="G6232" s="10" t="s">
        <v>6317</v>
      </c>
      <c r="H6232" s="11">
        <v>41430</v>
      </c>
      <c r="I6232" s="10">
        <v>2013</v>
      </c>
      <c r="J6232" s="10" t="s">
        <v>22211</v>
      </c>
      <c r="K6232" s="10">
        <v>201</v>
      </c>
      <c r="L6232" s="10" t="s">
        <v>30792</v>
      </c>
      <c r="M6232" s="10">
        <v>1</v>
      </c>
      <c r="N6232" s="10"/>
      <c r="O6232" s="10"/>
      <c r="P6232" s="10" t="s">
        <v>30793</v>
      </c>
      <c r="Q6232" s="10">
        <v>371.33446780000003</v>
      </c>
      <c r="R6232" s="10"/>
      <c r="S6232" s="10" t="s">
        <v>53</v>
      </c>
      <c r="T6232" s="10" t="s">
        <v>54</v>
      </c>
    </row>
    <row r="6233" spans="1:20" ht="14.5" x14ac:dyDescent="0.35">
      <c r="A6233" s="10" t="s">
        <v>30794</v>
      </c>
      <c r="B6233" s="10" t="str">
        <f>"9781452268224"</f>
        <v>9781452268224</v>
      </c>
      <c r="C6233" s="10" t="str">
        <f>"9781483331034"</f>
        <v>9781483331034</v>
      </c>
      <c r="D6233" s="10" t="s">
        <v>22210</v>
      </c>
      <c r="E6233" s="10" t="s">
        <v>22211</v>
      </c>
      <c r="F6233" s="10" t="s">
        <v>333</v>
      </c>
      <c r="G6233" s="10" t="s">
        <v>6317</v>
      </c>
      <c r="H6233" s="11">
        <v>41428</v>
      </c>
      <c r="I6233" s="10">
        <v>2013</v>
      </c>
      <c r="J6233" s="10" t="s">
        <v>22211</v>
      </c>
      <c r="K6233" s="10">
        <v>137</v>
      </c>
      <c r="L6233" s="10" t="s">
        <v>22283</v>
      </c>
      <c r="M6233" s="10">
        <v>1</v>
      </c>
      <c r="N6233" s="10"/>
      <c r="O6233" s="10"/>
      <c r="P6233" s="10" t="s">
        <v>30795</v>
      </c>
      <c r="Q6233" s="10"/>
      <c r="R6233" s="10"/>
      <c r="S6233" s="10" t="s">
        <v>53</v>
      </c>
      <c r="T6233" s="10" t="s">
        <v>54</v>
      </c>
    </row>
    <row r="6234" spans="1:20" ht="14.5" x14ac:dyDescent="0.35">
      <c r="A6234" s="10" t="s">
        <v>30796</v>
      </c>
      <c r="B6234" s="10" t="str">
        <f>"9781452230030"</f>
        <v>9781452230030</v>
      </c>
      <c r="C6234" s="10" t="str">
        <f>"9781452284842"</f>
        <v>9781452284842</v>
      </c>
      <c r="D6234" s="10" t="s">
        <v>22210</v>
      </c>
      <c r="E6234" s="10" t="s">
        <v>22211</v>
      </c>
      <c r="F6234" s="10" t="s">
        <v>333</v>
      </c>
      <c r="G6234" s="10" t="s">
        <v>6317</v>
      </c>
      <c r="H6234" s="11">
        <v>41437</v>
      </c>
      <c r="I6234" s="10">
        <v>2013</v>
      </c>
      <c r="J6234" s="10" t="s">
        <v>22211</v>
      </c>
      <c r="K6234" s="10">
        <v>241</v>
      </c>
      <c r="L6234" s="10" t="s">
        <v>30797</v>
      </c>
      <c r="M6234" s="10">
        <v>1</v>
      </c>
      <c r="N6234" s="10"/>
      <c r="O6234" s="10"/>
      <c r="P6234" s="10" t="s">
        <v>30495</v>
      </c>
      <c r="Q6234" s="10">
        <v>372.7</v>
      </c>
      <c r="R6234" s="10"/>
      <c r="S6234" s="10" t="s">
        <v>53</v>
      </c>
      <c r="T6234" s="10" t="s">
        <v>7425</v>
      </c>
    </row>
    <row r="6235" spans="1:20" ht="14.5" x14ac:dyDescent="0.35">
      <c r="A6235" s="10" t="s">
        <v>30798</v>
      </c>
      <c r="B6235" s="10" t="str">
        <f>"9781452268156"</f>
        <v>9781452268156</v>
      </c>
      <c r="C6235" s="10" t="str">
        <f>"9781452268194"</f>
        <v>9781452268194</v>
      </c>
      <c r="D6235" s="10" t="s">
        <v>22210</v>
      </c>
      <c r="E6235" s="10" t="s">
        <v>22211</v>
      </c>
      <c r="F6235" s="10" t="s">
        <v>333</v>
      </c>
      <c r="G6235" s="10" t="s">
        <v>6317</v>
      </c>
      <c r="H6235" s="11">
        <v>41417</v>
      </c>
      <c r="I6235" s="10">
        <v>2013</v>
      </c>
      <c r="J6235" s="10" t="s">
        <v>22211</v>
      </c>
      <c r="K6235" s="10">
        <v>185</v>
      </c>
      <c r="L6235" s="10" t="s">
        <v>30799</v>
      </c>
      <c r="M6235" s="10">
        <v>1</v>
      </c>
      <c r="N6235" s="10"/>
      <c r="O6235" s="10"/>
      <c r="P6235" s="10" t="s">
        <v>30800</v>
      </c>
      <c r="Q6235" s="10" t="s">
        <v>7299</v>
      </c>
      <c r="R6235" s="10" t="s">
        <v>30801</v>
      </c>
      <c r="S6235" s="10" t="s">
        <v>53</v>
      </c>
      <c r="T6235" s="10" t="s">
        <v>54</v>
      </c>
    </row>
    <row r="6236" spans="1:20" ht="14.5" x14ac:dyDescent="0.35">
      <c r="A6236" s="10" t="s">
        <v>30802</v>
      </c>
      <c r="B6236" s="10" t="str">
        <f>"9781452217642"</f>
        <v>9781452217642</v>
      </c>
      <c r="C6236" s="10" t="str">
        <f>"9781483332062"</f>
        <v>9781483332062</v>
      </c>
      <c r="D6236" s="10" t="s">
        <v>22210</v>
      </c>
      <c r="E6236" s="10" t="s">
        <v>22211</v>
      </c>
      <c r="F6236" s="10" t="s">
        <v>333</v>
      </c>
      <c r="G6236" s="10" t="s">
        <v>6317</v>
      </c>
      <c r="H6236" s="11">
        <v>41453</v>
      </c>
      <c r="I6236" s="10">
        <v>2013</v>
      </c>
      <c r="J6236" s="10" t="s">
        <v>22211</v>
      </c>
      <c r="K6236" s="10">
        <v>201</v>
      </c>
      <c r="L6236" s="10" t="s">
        <v>30803</v>
      </c>
      <c r="M6236" s="10">
        <v>1</v>
      </c>
      <c r="N6236" s="10"/>
      <c r="O6236" s="10"/>
      <c r="P6236" s="10" t="s">
        <v>13226</v>
      </c>
      <c r="Q6236" s="10"/>
      <c r="R6236" s="10"/>
      <c r="S6236" s="10" t="s">
        <v>53</v>
      </c>
      <c r="T6236" s="10" t="s">
        <v>54</v>
      </c>
    </row>
    <row r="6237" spans="1:20" ht="14.5" x14ac:dyDescent="0.35">
      <c r="A6237" s="10" t="s">
        <v>30804</v>
      </c>
      <c r="B6237" s="10" t="str">
        <f>"9781452259130"</f>
        <v>9781452259130</v>
      </c>
      <c r="C6237" s="10" t="str">
        <f>"9781452299860"</f>
        <v>9781452299860</v>
      </c>
      <c r="D6237" s="10" t="s">
        <v>22210</v>
      </c>
      <c r="E6237" s="10" t="s">
        <v>22211</v>
      </c>
      <c r="F6237" s="10" t="s">
        <v>333</v>
      </c>
      <c r="G6237" s="10" t="s">
        <v>6317</v>
      </c>
      <c r="H6237" s="11">
        <v>41466</v>
      </c>
      <c r="I6237" s="10">
        <v>2013</v>
      </c>
      <c r="J6237" s="10" t="s">
        <v>22211</v>
      </c>
      <c r="K6237" s="10">
        <v>273</v>
      </c>
      <c r="L6237" s="10" t="s">
        <v>30805</v>
      </c>
      <c r="M6237" s="10">
        <v>2</v>
      </c>
      <c r="N6237" s="10"/>
      <c r="O6237" s="10"/>
      <c r="P6237" s="10" t="s">
        <v>30806</v>
      </c>
      <c r="Q6237" s="10" t="s">
        <v>10085</v>
      </c>
      <c r="R6237" s="10"/>
      <c r="S6237" s="10" t="s">
        <v>53</v>
      </c>
      <c r="T6237" s="10" t="s">
        <v>389</v>
      </c>
    </row>
    <row r="6238" spans="1:20" ht="14.5" x14ac:dyDescent="0.35">
      <c r="A6238" s="10" t="s">
        <v>30807</v>
      </c>
      <c r="B6238" s="10" t="str">
        <f>"9781452257341"</f>
        <v>9781452257341</v>
      </c>
      <c r="C6238" s="10" t="str">
        <f>"9781483300245"</f>
        <v>9781483300245</v>
      </c>
      <c r="D6238" s="10" t="s">
        <v>22210</v>
      </c>
      <c r="E6238" s="10" t="s">
        <v>22211</v>
      </c>
      <c r="F6238" s="10" t="s">
        <v>333</v>
      </c>
      <c r="G6238" s="10" t="s">
        <v>6317</v>
      </c>
      <c r="H6238" s="11">
        <v>41492</v>
      </c>
      <c r="I6238" s="10">
        <v>2013</v>
      </c>
      <c r="J6238" s="10" t="s">
        <v>22211</v>
      </c>
      <c r="K6238" s="10">
        <v>233</v>
      </c>
      <c r="L6238" s="10" t="s">
        <v>30808</v>
      </c>
      <c r="M6238" s="10">
        <v>1</v>
      </c>
      <c r="N6238" s="10"/>
      <c r="O6238" s="10"/>
      <c r="P6238" s="10" t="s">
        <v>29034</v>
      </c>
      <c r="Q6238" s="10"/>
      <c r="R6238" s="10"/>
      <c r="S6238" s="10" t="s">
        <v>53</v>
      </c>
      <c r="T6238" s="10" t="s">
        <v>54</v>
      </c>
    </row>
    <row r="6239" spans="1:20" ht="14.5" x14ac:dyDescent="0.35">
      <c r="A6239" s="10" t="s">
        <v>30809</v>
      </c>
      <c r="B6239" s="10" t="str">
        <f>"9781452274348"</f>
        <v>9781452274348</v>
      </c>
      <c r="C6239" s="10" t="str">
        <f>"9781452290690"</f>
        <v>9781452290690</v>
      </c>
      <c r="D6239" s="10" t="s">
        <v>22210</v>
      </c>
      <c r="E6239" s="10" t="s">
        <v>22211</v>
      </c>
      <c r="F6239" s="10" t="s">
        <v>333</v>
      </c>
      <c r="G6239" s="10" t="s">
        <v>6317</v>
      </c>
      <c r="H6239" s="11">
        <v>41502</v>
      </c>
      <c r="I6239" s="10">
        <v>2013</v>
      </c>
      <c r="J6239" s="10" t="s">
        <v>22211</v>
      </c>
      <c r="K6239" s="10">
        <v>137</v>
      </c>
      <c r="L6239" s="10" t="s">
        <v>30810</v>
      </c>
      <c r="M6239" s="10">
        <v>1</v>
      </c>
      <c r="N6239" s="10"/>
      <c r="O6239" s="10"/>
      <c r="P6239" s="10" t="s">
        <v>30811</v>
      </c>
      <c r="Q6239" s="10"/>
      <c r="R6239" s="10"/>
      <c r="S6239" s="10" t="s">
        <v>53</v>
      </c>
      <c r="T6239" s="10" t="s">
        <v>54</v>
      </c>
    </row>
    <row r="6240" spans="1:20" ht="14.5" x14ac:dyDescent="0.35">
      <c r="A6240" s="10" t="s">
        <v>30812</v>
      </c>
      <c r="B6240" s="10" t="str">
        <f>"9781452260921"</f>
        <v>9781452260921</v>
      </c>
      <c r="C6240" s="10" t="str">
        <f>"9781483332161"</f>
        <v>9781483332161</v>
      </c>
      <c r="D6240" s="10" t="s">
        <v>22210</v>
      </c>
      <c r="E6240" s="10" t="s">
        <v>22211</v>
      </c>
      <c r="F6240" s="10" t="s">
        <v>333</v>
      </c>
      <c r="G6240" s="10" t="s">
        <v>6317</v>
      </c>
      <c r="H6240" s="11">
        <v>41506</v>
      </c>
      <c r="I6240" s="10">
        <v>2013</v>
      </c>
      <c r="J6240" s="10" t="s">
        <v>22211</v>
      </c>
      <c r="K6240" s="10">
        <v>121</v>
      </c>
      <c r="L6240" s="10" t="s">
        <v>30560</v>
      </c>
      <c r="M6240" s="10">
        <v>2</v>
      </c>
      <c r="N6240" s="10"/>
      <c r="O6240" s="10"/>
      <c r="P6240" s="10" t="s">
        <v>30813</v>
      </c>
      <c r="Q6240" s="10">
        <v>371.20120973000002</v>
      </c>
      <c r="R6240" s="10"/>
      <c r="S6240" s="10" t="s">
        <v>53</v>
      </c>
      <c r="T6240" s="10" t="s">
        <v>54</v>
      </c>
    </row>
    <row r="6241" spans="1:20" ht="14.5" x14ac:dyDescent="0.35">
      <c r="A6241" s="10" t="s">
        <v>30814</v>
      </c>
      <c r="B6241" s="10" t="str">
        <f>"9781452258379"</f>
        <v>9781452258379</v>
      </c>
      <c r="C6241" s="10" t="str">
        <f>"9781483307916"</f>
        <v>9781483307916</v>
      </c>
      <c r="D6241" s="10" t="s">
        <v>22210</v>
      </c>
      <c r="E6241" s="10" t="s">
        <v>22211</v>
      </c>
      <c r="F6241" s="10" t="s">
        <v>333</v>
      </c>
      <c r="G6241" s="10" t="s">
        <v>6317</v>
      </c>
      <c r="H6241" s="11">
        <v>41544</v>
      </c>
      <c r="I6241" s="10">
        <v>2013</v>
      </c>
      <c r="J6241" s="10" t="s">
        <v>22211</v>
      </c>
      <c r="K6241" s="10">
        <v>209</v>
      </c>
      <c r="L6241" s="10" t="s">
        <v>23606</v>
      </c>
      <c r="M6241" s="10">
        <v>1</v>
      </c>
      <c r="N6241" s="10"/>
      <c r="O6241" s="10"/>
      <c r="P6241" s="10" t="s">
        <v>30815</v>
      </c>
      <c r="Q6241" s="10"/>
      <c r="R6241" s="10"/>
      <c r="S6241" s="10" t="s">
        <v>53</v>
      </c>
      <c r="T6241" s="10" t="s">
        <v>389</v>
      </c>
    </row>
    <row r="6242" spans="1:20" ht="14.5" x14ac:dyDescent="0.35">
      <c r="A6242" s="10" t="s">
        <v>30816</v>
      </c>
      <c r="B6242" s="10" t="str">
        <f>"9781452234793"</f>
        <v>9781452234793</v>
      </c>
      <c r="C6242" s="10" t="str">
        <f>"9781452278285"</f>
        <v>9781452278285</v>
      </c>
      <c r="D6242" s="10" t="s">
        <v>22210</v>
      </c>
      <c r="E6242" s="10" t="s">
        <v>22211</v>
      </c>
      <c r="F6242" s="10" t="s">
        <v>333</v>
      </c>
      <c r="G6242" s="10" t="s">
        <v>6317</v>
      </c>
      <c r="H6242" s="11">
        <v>41544</v>
      </c>
      <c r="I6242" s="10">
        <v>2014</v>
      </c>
      <c r="J6242" s="10" t="s">
        <v>22211</v>
      </c>
      <c r="K6242" s="10">
        <v>225</v>
      </c>
      <c r="L6242" s="10" t="s">
        <v>26558</v>
      </c>
      <c r="M6242" s="10">
        <v>1</v>
      </c>
      <c r="N6242" s="10"/>
      <c r="O6242" s="10"/>
      <c r="P6242" s="10" t="s">
        <v>26559</v>
      </c>
      <c r="Q6242" s="10">
        <v>372.65210000000002</v>
      </c>
      <c r="R6242" s="10"/>
      <c r="S6242" s="10" t="s">
        <v>53</v>
      </c>
      <c r="T6242" s="10" t="s">
        <v>6634</v>
      </c>
    </row>
    <row r="6243" spans="1:20" ht="14.5" x14ac:dyDescent="0.35">
      <c r="A6243" s="10" t="s">
        <v>30817</v>
      </c>
      <c r="B6243" s="10" t="str">
        <f>"9781452234809"</f>
        <v>9781452234809</v>
      </c>
      <c r="C6243" s="10" t="str">
        <f>"9781452278339"</f>
        <v>9781452278339</v>
      </c>
      <c r="D6243" s="10" t="s">
        <v>22210</v>
      </c>
      <c r="E6243" s="10" t="s">
        <v>22211</v>
      </c>
      <c r="F6243" s="10" t="s">
        <v>333</v>
      </c>
      <c r="G6243" s="10" t="s">
        <v>6317</v>
      </c>
      <c r="H6243" s="11">
        <v>41548</v>
      </c>
      <c r="I6243" s="10">
        <v>2014</v>
      </c>
      <c r="J6243" s="10" t="s">
        <v>22211</v>
      </c>
      <c r="K6243" s="10">
        <v>225</v>
      </c>
      <c r="L6243" s="10" t="s">
        <v>26558</v>
      </c>
      <c r="M6243" s="10">
        <v>1</v>
      </c>
      <c r="N6243" s="10"/>
      <c r="O6243" s="10"/>
      <c r="P6243" s="10" t="s">
        <v>26559</v>
      </c>
      <c r="Q6243" s="10">
        <v>372.65210000000002</v>
      </c>
      <c r="R6243" s="10"/>
      <c r="S6243" s="10" t="s">
        <v>53</v>
      </c>
      <c r="T6243" s="10" t="s">
        <v>6634</v>
      </c>
    </row>
    <row r="6244" spans="1:20" ht="14.5" x14ac:dyDescent="0.35">
      <c r="A6244" s="10" t="s">
        <v>30818</v>
      </c>
      <c r="B6244" s="10" t="str">
        <f>"9781452230887"</f>
        <v>9781452230887</v>
      </c>
      <c r="C6244" s="10" t="str">
        <f>"9781483340388"</f>
        <v>9781483340388</v>
      </c>
      <c r="D6244" s="10" t="s">
        <v>22210</v>
      </c>
      <c r="E6244" s="10" t="s">
        <v>22211</v>
      </c>
      <c r="F6244" s="10" t="s">
        <v>333</v>
      </c>
      <c r="G6244" s="10" t="s">
        <v>6317</v>
      </c>
      <c r="H6244" s="11">
        <v>41558</v>
      </c>
      <c r="I6244" s="10">
        <v>2014</v>
      </c>
      <c r="J6244" s="10" t="s">
        <v>22211</v>
      </c>
      <c r="K6244" s="10">
        <v>233</v>
      </c>
      <c r="L6244" s="10" t="s">
        <v>30819</v>
      </c>
      <c r="M6244" s="10">
        <v>1</v>
      </c>
      <c r="N6244" s="10"/>
      <c r="O6244" s="10"/>
      <c r="P6244" s="10" t="s">
        <v>30820</v>
      </c>
      <c r="Q6244" s="10">
        <v>510.71273000000002</v>
      </c>
      <c r="R6244" s="10"/>
      <c r="S6244" s="10" t="s">
        <v>53</v>
      </c>
      <c r="T6244" s="10" t="s">
        <v>389</v>
      </c>
    </row>
    <row r="6245" spans="1:20" ht="14.5" x14ac:dyDescent="0.35">
      <c r="A6245" s="10" t="s">
        <v>30821</v>
      </c>
      <c r="B6245" s="10" t="str">
        <f>"9780761931683"</f>
        <v>9780761931683</v>
      </c>
      <c r="C6245" s="10" t="str">
        <f>"9781483351902"</f>
        <v>9781483351902</v>
      </c>
      <c r="D6245" s="10" t="s">
        <v>22210</v>
      </c>
      <c r="E6245" s="10" t="s">
        <v>22211</v>
      </c>
      <c r="F6245" s="10" t="s">
        <v>333</v>
      </c>
      <c r="G6245" s="10" t="s">
        <v>6317</v>
      </c>
      <c r="H6245" s="11">
        <v>38206</v>
      </c>
      <c r="I6245" s="10">
        <v>2005</v>
      </c>
      <c r="J6245" s="10" t="s">
        <v>22211</v>
      </c>
      <c r="K6245" s="10">
        <v>281</v>
      </c>
      <c r="L6245" s="10" t="s">
        <v>30822</v>
      </c>
      <c r="M6245" s="10">
        <v>1</v>
      </c>
      <c r="N6245" s="10"/>
      <c r="O6245" s="10"/>
      <c r="P6245" s="10" t="s">
        <v>30823</v>
      </c>
      <c r="Q6245" s="10" t="s">
        <v>12010</v>
      </c>
      <c r="R6245" s="10"/>
      <c r="S6245" s="10" t="s">
        <v>53</v>
      </c>
      <c r="T6245" s="10" t="s">
        <v>54</v>
      </c>
    </row>
    <row r="6246" spans="1:20" ht="14.5" x14ac:dyDescent="0.35">
      <c r="A6246" s="10" t="s">
        <v>30824</v>
      </c>
      <c r="B6246" s="10" t="str">
        <f>"9781452255507"</f>
        <v>9781452255507</v>
      </c>
      <c r="C6246" s="10" t="str">
        <f>"9781483332123"</f>
        <v>9781483332123</v>
      </c>
      <c r="D6246" s="10" t="s">
        <v>22210</v>
      </c>
      <c r="E6246" s="10" t="s">
        <v>22211</v>
      </c>
      <c r="F6246" s="10" t="s">
        <v>333</v>
      </c>
      <c r="G6246" s="10" t="s">
        <v>6317</v>
      </c>
      <c r="H6246" s="11">
        <v>41591</v>
      </c>
      <c r="I6246" s="10">
        <v>2014</v>
      </c>
      <c r="J6246" s="10" t="s">
        <v>22211</v>
      </c>
      <c r="K6246" s="10">
        <v>201</v>
      </c>
      <c r="L6246" s="10" t="s">
        <v>30825</v>
      </c>
      <c r="M6246" s="10">
        <v>1</v>
      </c>
      <c r="N6246" s="10"/>
      <c r="O6246" s="10"/>
      <c r="P6246" s="10" t="s">
        <v>29456</v>
      </c>
      <c r="Q6246" s="10">
        <v>371.334</v>
      </c>
      <c r="R6246" s="10"/>
      <c r="S6246" s="10" t="s">
        <v>53</v>
      </c>
      <c r="T6246" s="10" t="s">
        <v>54</v>
      </c>
    </row>
    <row r="6247" spans="1:20" ht="14.5" x14ac:dyDescent="0.35">
      <c r="A6247" s="10" t="s">
        <v>30826</v>
      </c>
      <c r="B6247" s="10" t="str">
        <f>"9781412981187"</f>
        <v>9781412981187</v>
      </c>
      <c r="C6247" s="10" t="str">
        <f>"9781483332581"</f>
        <v>9781483332581</v>
      </c>
      <c r="D6247" s="10" t="s">
        <v>22210</v>
      </c>
      <c r="E6247" s="10" t="s">
        <v>22211</v>
      </c>
      <c r="F6247" s="10" t="s">
        <v>333</v>
      </c>
      <c r="G6247" s="10" t="s">
        <v>6317</v>
      </c>
      <c r="H6247" s="11">
        <v>41614</v>
      </c>
      <c r="I6247" s="10">
        <v>2014</v>
      </c>
      <c r="J6247" s="10" t="s">
        <v>22211</v>
      </c>
      <c r="K6247" s="10">
        <v>185</v>
      </c>
      <c r="L6247" s="10" t="s">
        <v>30827</v>
      </c>
      <c r="M6247" s="10">
        <v>1</v>
      </c>
      <c r="N6247" s="10"/>
      <c r="O6247" s="10"/>
      <c r="P6247" s="10" t="s">
        <v>13844</v>
      </c>
      <c r="Q6247" s="10">
        <v>371.2011</v>
      </c>
      <c r="R6247" s="10"/>
      <c r="S6247" s="10" t="s">
        <v>53</v>
      </c>
      <c r="T6247" s="10" t="s">
        <v>54</v>
      </c>
    </row>
    <row r="6248" spans="1:20" ht="14.5" x14ac:dyDescent="0.35">
      <c r="A6248" s="10" t="s">
        <v>30828</v>
      </c>
      <c r="B6248" s="10" t="str">
        <f>"9781452270241"</f>
        <v>9781452270241</v>
      </c>
      <c r="C6248" s="10" t="str">
        <f>"9781483340203"</f>
        <v>9781483340203</v>
      </c>
      <c r="D6248" s="10" t="s">
        <v>22210</v>
      </c>
      <c r="E6248" s="10" t="s">
        <v>22211</v>
      </c>
      <c r="F6248" s="10" t="s">
        <v>333</v>
      </c>
      <c r="G6248" s="10" t="s">
        <v>6317</v>
      </c>
      <c r="H6248" s="11">
        <v>41619</v>
      </c>
      <c r="I6248" s="10">
        <v>2014</v>
      </c>
      <c r="J6248" s="10" t="s">
        <v>22211</v>
      </c>
      <c r="K6248" s="10">
        <v>249</v>
      </c>
      <c r="L6248" s="10" t="s">
        <v>30797</v>
      </c>
      <c r="M6248" s="10">
        <v>1</v>
      </c>
      <c r="N6248" s="10"/>
      <c r="O6248" s="10"/>
      <c r="P6248" s="10" t="s">
        <v>30829</v>
      </c>
      <c r="Q6248" s="10">
        <v>372.70490000000001</v>
      </c>
      <c r="R6248" s="10"/>
      <c r="S6248" s="10" t="s">
        <v>53</v>
      </c>
      <c r="T6248" s="10" t="s">
        <v>7425</v>
      </c>
    </row>
    <row r="6249" spans="1:20" ht="14.5" x14ac:dyDescent="0.35">
      <c r="A6249" s="10" t="s">
        <v>30830</v>
      </c>
      <c r="B6249" s="10" t="str">
        <f>"9781452271835"</f>
        <v>9781452271835</v>
      </c>
      <c r="C6249" s="10" t="str">
        <f>"9781483339795"</f>
        <v>9781483339795</v>
      </c>
      <c r="D6249" s="10" t="s">
        <v>22210</v>
      </c>
      <c r="E6249" s="10" t="s">
        <v>22211</v>
      </c>
      <c r="F6249" s="10" t="s">
        <v>333</v>
      </c>
      <c r="G6249" s="10" t="s">
        <v>6317</v>
      </c>
      <c r="H6249" s="11">
        <v>41653</v>
      </c>
      <c r="I6249" s="10">
        <v>2014</v>
      </c>
      <c r="J6249" s="10" t="s">
        <v>22211</v>
      </c>
      <c r="K6249" s="10">
        <v>137</v>
      </c>
      <c r="L6249" s="10" t="s">
        <v>22294</v>
      </c>
      <c r="M6249" s="10">
        <v>1</v>
      </c>
      <c r="N6249" s="10"/>
      <c r="O6249" s="10"/>
      <c r="P6249" s="10" t="s">
        <v>30831</v>
      </c>
      <c r="Q6249" s="10">
        <v>371.334</v>
      </c>
      <c r="R6249" s="10"/>
      <c r="S6249" s="10" t="s">
        <v>53</v>
      </c>
      <c r="T6249" s="10" t="s">
        <v>54</v>
      </c>
    </row>
    <row r="6250" spans="1:20" ht="14.5" x14ac:dyDescent="0.35">
      <c r="A6250" s="10" t="s">
        <v>30832</v>
      </c>
      <c r="B6250" s="10" t="str">
        <f>"9781452271842"</f>
        <v>9781452271842</v>
      </c>
      <c r="C6250" s="10" t="str">
        <f>"9781483339894"</f>
        <v>9781483339894</v>
      </c>
      <c r="D6250" s="10" t="s">
        <v>22210</v>
      </c>
      <c r="E6250" s="10" t="s">
        <v>22211</v>
      </c>
      <c r="F6250" s="10" t="s">
        <v>333</v>
      </c>
      <c r="G6250" s="10" t="s">
        <v>6317</v>
      </c>
      <c r="H6250" s="11">
        <v>41680</v>
      </c>
      <c r="I6250" s="10">
        <v>2014</v>
      </c>
      <c r="J6250" s="10" t="s">
        <v>22211</v>
      </c>
      <c r="K6250" s="10">
        <v>209</v>
      </c>
      <c r="L6250" s="10" t="s">
        <v>25834</v>
      </c>
      <c r="M6250" s="10">
        <v>1</v>
      </c>
      <c r="N6250" s="10"/>
      <c r="O6250" s="10"/>
      <c r="P6250" s="10" t="s">
        <v>30833</v>
      </c>
      <c r="Q6250" s="10">
        <v>371.2</v>
      </c>
      <c r="R6250" s="10"/>
      <c r="S6250" s="10" t="s">
        <v>53</v>
      </c>
      <c r="T6250" s="10" t="s">
        <v>54</v>
      </c>
    </row>
    <row r="6251" spans="1:20" ht="14.5" x14ac:dyDescent="0.35">
      <c r="A6251" s="10" t="s">
        <v>30834</v>
      </c>
      <c r="B6251" s="10" t="str">
        <f>"9780761945093"</f>
        <v>9780761945093</v>
      </c>
      <c r="C6251" s="10" t="str">
        <f>"9781483362830"</f>
        <v>9781483362830</v>
      </c>
      <c r="D6251" s="10" t="s">
        <v>22210</v>
      </c>
      <c r="E6251" s="10" t="s">
        <v>22211</v>
      </c>
      <c r="F6251" s="10" t="s">
        <v>333</v>
      </c>
      <c r="G6251" s="10" t="s">
        <v>6317</v>
      </c>
      <c r="H6251" s="11">
        <v>37432</v>
      </c>
      <c r="I6251" s="10">
        <v>2002</v>
      </c>
      <c r="J6251" s="10" t="s">
        <v>22211</v>
      </c>
      <c r="K6251" s="10">
        <v>337</v>
      </c>
      <c r="L6251" s="10" t="s">
        <v>30835</v>
      </c>
      <c r="M6251" s="10">
        <v>1</v>
      </c>
      <c r="N6251" s="10"/>
      <c r="O6251" s="10"/>
      <c r="P6251" s="10" t="s">
        <v>30836</v>
      </c>
      <c r="Q6251" s="10" t="s">
        <v>8916</v>
      </c>
      <c r="R6251" s="10"/>
      <c r="S6251" s="10" t="s">
        <v>53</v>
      </c>
      <c r="T6251" s="10" t="s">
        <v>54</v>
      </c>
    </row>
    <row r="6252" spans="1:20" ht="14.5" x14ac:dyDescent="0.35">
      <c r="A6252" s="10" t="s">
        <v>30837</v>
      </c>
      <c r="B6252" s="10" t="str">
        <f>"9780761945789"</f>
        <v>9780761945789</v>
      </c>
      <c r="C6252" s="10" t="str">
        <f>"9781483362922"</f>
        <v>9781483362922</v>
      </c>
      <c r="D6252" s="10" t="s">
        <v>22210</v>
      </c>
      <c r="E6252" s="10" t="s">
        <v>22211</v>
      </c>
      <c r="F6252" s="10" t="s">
        <v>333</v>
      </c>
      <c r="G6252" s="10" t="s">
        <v>6317</v>
      </c>
      <c r="H6252" s="11">
        <v>37692</v>
      </c>
      <c r="I6252" s="10">
        <v>2003</v>
      </c>
      <c r="J6252" s="10" t="s">
        <v>22211</v>
      </c>
      <c r="K6252" s="10">
        <v>393</v>
      </c>
      <c r="L6252" s="10" t="s">
        <v>27840</v>
      </c>
      <c r="M6252" s="10">
        <v>1</v>
      </c>
      <c r="N6252" s="10"/>
      <c r="O6252" s="10"/>
      <c r="P6252" s="10" t="s">
        <v>30838</v>
      </c>
      <c r="Q6252" s="10"/>
      <c r="R6252" s="10"/>
      <c r="S6252" s="10" t="s">
        <v>53</v>
      </c>
      <c r="T6252" s="10" t="s">
        <v>54</v>
      </c>
    </row>
    <row r="6253" spans="1:20" ht="14.5" x14ac:dyDescent="0.35">
      <c r="A6253" s="10" t="s">
        <v>30839</v>
      </c>
      <c r="B6253" s="10" t="str">
        <f>"9780761946007"</f>
        <v>9780761946007</v>
      </c>
      <c r="C6253" s="10" t="str">
        <f>"9781483362960"</f>
        <v>9781483362960</v>
      </c>
      <c r="D6253" s="10" t="s">
        <v>22210</v>
      </c>
      <c r="E6253" s="10" t="s">
        <v>22211</v>
      </c>
      <c r="F6253" s="10" t="s">
        <v>333</v>
      </c>
      <c r="G6253" s="10" t="s">
        <v>6317</v>
      </c>
      <c r="H6253" s="11">
        <v>37994</v>
      </c>
      <c r="I6253" s="10">
        <v>2004</v>
      </c>
      <c r="J6253" s="10" t="s">
        <v>22211</v>
      </c>
      <c r="K6253" s="10">
        <v>145</v>
      </c>
      <c r="L6253" s="10" t="s">
        <v>23164</v>
      </c>
      <c r="M6253" s="10">
        <v>1</v>
      </c>
      <c r="N6253" s="10"/>
      <c r="O6253" s="10"/>
      <c r="P6253" s="10" t="s">
        <v>30840</v>
      </c>
      <c r="Q6253" s="10" t="s">
        <v>11202</v>
      </c>
      <c r="R6253" s="10"/>
      <c r="S6253" s="10" t="s">
        <v>53</v>
      </c>
      <c r="T6253" s="10" t="s">
        <v>54</v>
      </c>
    </row>
    <row r="6254" spans="1:20" ht="14.5" x14ac:dyDescent="0.35">
      <c r="A6254" s="10" t="s">
        <v>30841</v>
      </c>
      <c r="B6254" s="10" t="str">
        <f>"9780761946472"</f>
        <v>9780761946472</v>
      </c>
      <c r="C6254" s="10" t="str">
        <f>"9781483363073"</f>
        <v>9781483363073</v>
      </c>
      <c r="D6254" s="10" t="s">
        <v>22210</v>
      </c>
      <c r="E6254" s="10" t="s">
        <v>22211</v>
      </c>
      <c r="F6254" s="10" t="s">
        <v>333</v>
      </c>
      <c r="G6254" s="10" t="s">
        <v>6317</v>
      </c>
      <c r="H6254" s="11">
        <v>37666</v>
      </c>
      <c r="I6254" s="10">
        <v>2003</v>
      </c>
      <c r="J6254" s="10" t="s">
        <v>22211</v>
      </c>
      <c r="K6254" s="10">
        <v>201</v>
      </c>
      <c r="L6254" s="10" t="s">
        <v>30842</v>
      </c>
      <c r="M6254" s="10">
        <v>1</v>
      </c>
      <c r="N6254" s="10"/>
      <c r="O6254" s="10"/>
      <c r="P6254" s="10" t="s">
        <v>16702</v>
      </c>
      <c r="Q6254" s="10"/>
      <c r="R6254" s="10"/>
      <c r="S6254" s="10" t="s">
        <v>53</v>
      </c>
      <c r="T6254" s="10" t="s">
        <v>54</v>
      </c>
    </row>
    <row r="6255" spans="1:20" ht="14.5" x14ac:dyDescent="0.35">
      <c r="A6255" s="10" t="s">
        <v>30843</v>
      </c>
      <c r="B6255" s="10" t="str">
        <f>"9780761945987"</f>
        <v>9780761945987</v>
      </c>
      <c r="C6255" s="10" t="str">
        <f>"9781483362953"</f>
        <v>9781483362953</v>
      </c>
      <c r="D6255" s="10" t="s">
        <v>22210</v>
      </c>
      <c r="E6255" s="10" t="s">
        <v>22211</v>
      </c>
      <c r="F6255" s="10" t="s">
        <v>333</v>
      </c>
      <c r="G6255" s="10" t="s">
        <v>6317</v>
      </c>
      <c r="H6255" s="11">
        <v>37993</v>
      </c>
      <c r="I6255" s="10">
        <v>2004</v>
      </c>
      <c r="J6255" s="10" t="s">
        <v>22211</v>
      </c>
      <c r="K6255" s="10">
        <v>145</v>
      </c>
      <c r="L6255" s="10" t="s">
        <v>30844</v>
      </c>
      <c r="M6255" s="10">
        <v>1</v>
      </c>
      <c r="N6255" s="10"/>
      <c r="O6255" s="10"/>
      <c r="P6255" s="10" t="s">
        <v>30845</v>
      </c>
      <c r="Q6255" s="10" t="s">
        <v>22489</v>
      </c>
      <c r="R6255" s="10"/>
      <c r="S6255" s="10" t="s">
        <v>53</v>
      </c>
      <c r="T6255" s="10" t="s">
        <v>54</v>
      </c>
    </row>
    <row r="6256" spans="1:20" ht="14.5" x14ac:dyDescent="0.35">
      <c r="A6256" s="10" t="s">
        <v>30846</v>
      </c>
      <c r="B6256" s="10" t="str">
        <f>"9780761945680"</f>
        <v>9780761945680</v>
      </c>
      <c r="C6256" s="10" t="str">
        <f>"9781483362908"</f>
        <v>9781483362908</v>
      </c>
      <c r="D6256" s="10" t="s">
        <v>22210</v>
      </c>
      <c r="E6256" s="10" t="s">
        <v>22211</v>
      </c>
      <c r="F6256" s="10" t="s">
        <v>333</v>
      </c>
      <c r="G6256" s="10" t="s">
        <v>6317</v>
      </c>
      <c r="H6256" s="11">
        <v>37580</v>
      </c>
      <c r="I6256" s="10">
        <v>2003</v>
      </c>
      <c r="J6256" s="10" t="s">
        <v>22211</v>
      </c>
      <c r="K6256" s="10">
        <v>161</v>
      </c>
      <c r="L6256" s="10" t="s">
        <v>30847</v>
      </c>
      <c r="M6256" s="10">
        <v>1</v>
      </c>
      <c r="N6256" s="10"/>
      <c r="O6256" s="10"/>
      <c r="P6256" s="10" t="s">
        <v>30848</v>
      </c>
      <c r="Q6256" s="10"/>
      <c r="R6256" s="10"/>
      <c r="S6256" s="10" t="s">
        <v>53</v>
      </c>
      <c r="T6256" s="10" t="s">
        <v>54</v>
      </c>
    </row>
    <row r="6257" spans="1:20" ht="14.5" x14ac:dyDescent="0.35">
      <c r="A6257" s="10" t="s">
        <v>30849</v>
      </c>
      <c r="B6257" s="10" t="str">
        <f>"9780761946175"</f>
        <v>9780761946175</v>
      </c>
      <c r="C6257" s="10" t="str">
        <f>"9781483363004"</f>
        <v>9781483363004</v>
      </c>
      <c r="D6257" s="10" t="s">
        <v>22210</v>
      </c>
      <c r="E6257" s="10" t="s">
        <v>22211</v>
      </c>
      <c r="F6257" s="10" t="s">
        <v>333</v>
      </c>
      <c r="G6257" s="10" t="s">
        <v>6317</v>
      </c>
      <c r="H6257" s="11">
        <v>37908</v>
      </c>
      <c r="I6257" s="10">
        <v>2004</v>
      </c>
      <c r="J6257" s="10" t="s">
        <v>22211</v>
      </c>
      <c r="K6257" s="10">
        <v>129</v>
      </c>
      <c r="L6257" s="10" t="s">
        <v>30850</v>
      </c>
      <c r="M6257" s="10">
        <v>1</v>
      </c>
      <c r="N6257" s="10"/>
      <c r="O6257" s="10"/>
      <c r="P6257" s="10" t="s">
        <v>30851</v>
      </c>
      <c r="Q6257" s="10" t="s">
        <v>27675</v>
      </c>
      <c r="R6257" s="10"/>
      <c r="S6257" s="10" t="s">
        <v>53</v>
      </c>
      <c r="T6257" s="10" t="s">
        <v>54</v>
      </c>
    </row>
    <row r="6258" spans="1:20" ht="14.5" x14ac:dyDescent="0.35">
      <c r="A6258" s="10" t="s">
        <v>30852</v>
      </c>
      <c r="B6258" s="10" t="str">
        <f>"9780761945444"</f>
        <v>9780761945444</v>
      </c>
      <c r="C6258" s="10" t="str">
        <f>"9781483362878"</f>
        <v>9781483362878</v>
      </c>
      <c r="D6258" s="10" t="s">
        <v>22210</v>
      </c>
      <c r="E6258" s="10" t="s">
        <v>22211</v>
      </c>
      <c r="F6258" s="10" t="s">
        <v>333</v>
      </c>
      <c r="G6258" s="10" t="s">
        <v>6317</v>
      </c>
      <c r="H6258" s="11">
        <v>37419</v>
      </c>
      <c r="I6258" s="10">
        <v>2002</v>
      </c>
      <c r="J6258" s="10" t="s">
        <v>22211</v>
      </c>
      <c r="K6258" s="10">
        <v>225</v>
      </c>
      <c r="L6258" s="10" t="s">
        <v>30607</v>
      </c>
      <c r="M6258" s="10">
        <v>1</v>
      </c>
      <c r="N6258" s="10"/>
      <c r="O6258" s="10"/>
      <c r="P6258" s="10" t="s">
        <v>30853</v>
      </c>
      <c r="Q6258" s="10"/>
      <c r="R6258" s="10"/>
      <c r="S6258" s="10" t="s">
        <v>53</v>
      </c>
      <c r="T6258" s="10" t="s">
        <v>54</v>
      </c>
    </row>
    <row r="6259" spans="1:20" ht="14.5" x14ac:dyDescent="0.35">
      <c r="A6259" s="10" t="s">
        <v>30854</v>
      </c>
      <c r="B6259" s="10" t="str">
        <f>"9780761945574"</f>
        <v>9780761945574</v>
      </c>
      <c r="C6259" s="10" t="str">
        <f>"9781483362885"</f>
        <v>9781483362885</v>
      </c>
      <c r="D6259" s="10" t="s">
        <v>22210</v>
      </c>
      <c r="E6259" s="10" t="s">
        <v>22211</v>
      </c>
      <c r="F6259" s="10" t="s">
        <v>333</v>
      </c>
      <c r="G6259" s="10" t="s">
        <v>6317</v>
      </c>
      <c r="H6259" s="11">
        <v>37425</v>
      </c>
      <c r="I6259" s="10">
        <v>2002</v>
      </c>
      <c r="J6259" s="10" t="s">
        <v>22211</v>
      </c>
      <c r="K6259" s="10">
        <v>255</v>
      </c>
      <c r="L6259" s="10" t="s">
        <v>30855</v>
      </c>
      <c r="M6259" s="10">
        <v>1</v>
      </c>
      <c r="N6259" s="10"/>
      <c r="O6259" s="10"/>
      <c r="P6259" s="10" t="s">
        <v>30856</v>
      </c>
      <c r="Q6259" s="10" t="s">
        <v>30857</v>
      </c>
      <c r="R6259" s="10"/>
      <c r="S6259" s="10" t="s">
        <v>53</v>
      </c>
      <c r="T6259" s="10" t="s">
        <v>54</v>
      </c>
    </row>
    <row r="6260" spans="1:20" ht="14.5" x14ac:dyDescent="0.35">
      <c r="A6260" s="10" t="s">
        <v>30858</v>
      </c>
      <c r="B6260" s="10" t="str">
        <f>"9780761938347"</f>
        <v>9780761938347</v>
      </c>
      <c r="C6260" s="10" t="str">
        <f>"9781483362632"</f>
        <v>9781483362632</v>
      </c>
      <c r="D6260" s="10" t="s">
        <v>22210</v>
      </c>
      <c r="E6260" s="10" t="s">
        <v>22211</v>
      </c>
      <c r="F6260" s="10" t="s">
        <v>333</v>
      </c>
      <c r="G6260" s="10" t="s">
        <v>6317</v>
      </c>
      <c r="H6260" s="11">
        <v>37630</v>
      </c>
      <c r="I6260" s="10">
        <v>2003</v>
      </c>
      <c r="J6260" s="10" t="s">
        <v>22211</v>
      </c>
      <c r="K6260" s="10">
        <v>297</v>
      </c>
      <c r="L6260" s="10" t="s">
        <v>30859</v>
      </c>
      <c r="M6260" s="10">
        <v>1</v>
      </c>
      <c r="N6260" s="10"/>
      <c r="O6260" s="10"/>
      <c r="P6260" s="10" t="s">
        <v>30860</v>
      </c>
      <c r="Q6260" s="10" t="s">
        <v>8993</v>
      </c>
      <c r="R6260" s="10"/>
      <c r="S6260" s="10" t="s">
        <v>53</v>
      </c>
      <c r="T6260" s="10" t="s">
        <v>54</v>
      </c>
    </row>
    <row r="6261" spans="1:20" ht="14.5" x14ac:dyDescent="0.35">
      <c r="A6261" s="10" t="s">
        <v>30861</v>
      </c>
      <c r="B6261" s="10" t="str">
        <f>"9780761938460"</f>
        <v>9780761938460</v>
      </c>
      <c r="C6261" s="10" t="str">
        <f>"9781483362656"</f>
        <v>9781483362656</v>
      </c>
      <c r="D6261" s="10" t="s">
        <v>22210</v>
      </c>
      <c r="E6261" s="10" t="s">
        <v>22211</v>
      </c>
      <c r="F6261" s="10" t="s">
        <v>333</v>
      </c>
      <c r="G6261" s="10" t="s">
        <v>6317</v>
      </c>
      <c r="H6261" s="11">
        <v>38036</v>
      </c>
      <c r="I6261" s="10">
        <v>2004</v>
      </c>
      <c r="J6261" s="10" t="s">
        <v>22211</v>
      </c>
      <c r="K6261" s="10">
        <v>137</v>
      </c>
      <c r="L6261" s="10" t="s">
        <v>30862</v>
      </c>
      <c r="M6261" s="10">
        <v>1</v>
      </c>
      <c r="N6261" s="10"/>
      <c r="O6261" s="10"/>
      <c r="P6261" s="10" t="s">
        <v>30863</v>
      </c>
      <c r="Q6261" s="10"/>
      <c r="R6261" s="10"/>
      <c r="S6261" s="10" t="s">
        <v>53</v>
      </c>
      <c r="T6261" s="10" t="s">
        <v>54</v>
      </c>
    </row>
    <row r="6262" spans="1:20" ht="14.5" x14ac:dyDescent="0.35">
      <c r="A6262" s="10" t="s">
        <v>30864</v>
      </c>
      <c r="B6262" s="10" t="str">
        <f>"9780761938200"</f>
        <v>9780761938200</v>
      </c>
      <c r="C6262" s="10" t="str">
        <f>"9781483362618"</f>
        <v>9781483362618</v>
      </c>
      <c r="D6262" s="10" t="s">
        <v>22210</v>
      </c>
      <c r="E6262" s="10" t="s">
        <v>22211</v>
      </c>
      <c r="F6262" s="10" t="s">
        <v>333</v>
      </c>
      <c r="G6262" s="10" t="s">
        <v>6317</v>
      </c>
      <c r="H6262" s="11">
        <v>37910</v>
      </c>
      <c r="I6262" s="10">
        <v>2004</v>
      </c>
      <c r="J6262" s="10" t="s">
        <v>22211</v>
      </c>
      <c r="K6262" s="10">
        <v>145</v>
      </c>
      <c r="L6262" s="10" t="s">
        <v>30865</v>
      </c>
      <c r="M6262" s="10">
        <v>1</v>
      </c>
      <c r="N6262" s="10"/>
      <c r="O6262" s="10"/>
      <c r="P6262" s="10" t="s">
        <v>30866</v>
      </c>
      <c r="Q6262" s="10"/>
      <c r="R6262" s="10"/>
      <c r="S6262" s="10" t="s">
        <v>53</v>
      </c>
      <c r="T6262" s="10" t="s">
        <v>54</v>
      </c>
    </row>
    <row r="6263" spans="1:20" ht="14.5" x14ac:dyDescent="0.35">
      <c r="A6263" s="10" t="s">
        <v>30867</v>
      </c>
      <c r="B6263" s="10" t="str">
        <f>"9780761945765"</f>
        <v>9780761945765</v>
      </c>
      <c r="C6263" s="10" t="str">
        <f>"9781483362915"</f>
        <v>9781483362915</v>
      </c>
      <c r="D6263" s="10" t="s">
        <v>22210</v>
      </c>
      <c r="E6263" s="10" t="s">
        <v>22211</v>
      </c>
      <c r="F6263" s="10" t="s">
        <v>333</v>
      </c>
      <c r="G6263" s="10" t="s">
        <v>6317</v>
      </c>
      <c r="H6263" s="11">
        <v>37587</v>
      </c>
      <c r="I6263" s="10">
        <v>2003</v>
      </c>
      <c r="J6263" s="10" t="s">
        <v>22211</v>
      </c>
      <c r="K6263" s="10">
        <v>105</v>
      </c>
      <c r="L6263" s="10" t="s">
        <v>30868</v>
      </c>
      <c r="M6263" s="10">
        <v>1</v>
      </c>
      <c r="N6263" s="10"/>
      <c r="O6263" s="10"/>
      <c r="P6263" s="10" t="s">
        <v>30869</v>
      </c>
      <c r="Q6263" s="10">
        <v>371.10199999999998</v>
      </c>
      <c r="R6263" s="10"/>
      <c r="S6263" s="10" t="s">
        <v>53</v>
      </c>
      <c r="T6263" s="10" t="s">
        <v>54</v>
      </c>
    </row>
    <row r="6264" spans="1:20" ht="14.5" x14ac:dyDescent="0.35">
      <c r="A6264" s="10" t="s">
        <v>30870</v>
      </c>
      <c r="B6264" s="10" t="str">
        <f>"9780761938330"</f>
        <v>9780761938330</v>
      </c>
      <c r="C6264" s="10" t="str">
        <f>"9781483362625"</f>
        <v>9781483362625</v>
      </c>
      <c r="D6264" s="10" t="s">
        <v>22210</v>
      </c>
      <c r="E6264" s="10" t="s">
        <v>22211</v>
      </c>
      <c r="F6264" s="10" t="s">
        <v>333</v>
      </c>
      <c r="G6264" s="10" t="s">
        <v>6317</v>
      </c>
      <c r="H6264" s="11">
        <v>37771</v>
      </c>
      <c r="I6264" s="10">
        <v>2003</v>
      </c>
      <c r="J6264" s="10" t="s">
        <v>22211</v>
      </c>
      <c r="K6264" s="10">
        <v>209</v>
      </c>
      <c r="L6264" s="10" t="s">
        <v>25036</v>
      </c>
      <c r="M6264" s="10">
        <v>1</v>
      </c>
      <c r="N6264" s="10"/>
      <c r="O6264" s="10"/>
      <c r="P6264" s="10" t="s">
        <v>30871</v>
      </c>
      <c r="Q6264" s="10"/>
      <c r="R6264" s="10"/>
      <c r="S6264" s="10" t="s">
        <v>53</v>
      </c>
      <c r="T6264" s="10" t="s">
        <v>54</v>
      </c>
    </row>
    <row r="6265" spans="1:20" ht="14.5" x14ac:dyDescent="0.35">
      <c r="A6265" s="10" t="s">
        <v>30872</v>
      </c>
      <c r="B6265" s="10" t="str">
        <f>"9781412975261"</f>
        <v>9781412975261</v>
      </c>
      <c r="C6265" s="10" t="str">
        <f>"9781452212968"</f>
        <v>9781452212968</v>
      </c>
      <c r="D6265" s="10" t="s">
        <v>22210</v>
      </c>
      <c r="E6265" s="10" t="s">
        <v>22214</v>
      </c>
      <c r="F6265" s="10" t="s">
        <v>333</v>
      </c>
      <c r="G6265" s="10" t="s">
        <v>6317</v>
      </c>
      <c r="H6265" s="11">
        <v>40281</v>
      </c>
      <c r="I6265" s="10">
        <v>2011</v>
      </c>
      <c r="J6265" s="10" t="s">
        <v>22214</v>
      </c>
      <c r="K6265" s="10">
        <v>329</v>
      </c>
      <c r="L6265" s="10" t="s">
        <v>30873</v>
      </c>
      <c r="M6265" s="10">
        <v>1</v>
      </c>
      <c r="N6265" s="10"/>
      <c r="O6265" s="10"/>
      <c r="P6265" s="10"/>
      <c r="Q6265" s="10"/>
      <c r="R6265" s="10"/>
      <c r="S6265" s="10" t="s">
        <v>53</v>
      </c>
      <c r="T6265" s="10" t="s">
        <v>6472</v>
      </c>
    </row>
    <row r="6266" spans="1:20" ht="14.5" x14ac:dyDescent="0.35">
      <c r="A6266" s="10" t="s">
        <v>30874</v>
      </c>
      <c r="B6266" s="10" t="str">
        <f>"9781412961011"</f>
        <v>9781412961011</v>
      </c>
      <c r="C6266" s="10" t="str">
        <f>"9781412993036"</f>
        <v>9781412993036</v>
      </c>
      <c r="D6266" s="10" t="s">
        <v>22210</v>
      </c>
      <c r="E6266" s="10" t="s">
        <v>22214</v>
      </c>
      <c r="F6266" s="10" t="s">
        <v>333</v>
      </c>
      <c r="G6266" s="10" t="s">
        <v>6317</v>
      </c>
      <c r="H6266" s="11">
        <v>39826</v>
      </c>
      <c r="I6266" s="10">
        <v>2010</v>
      </c>
      <c r="J6266" s="10" t="s">
        <v>22214</v>
      </c>
      <c r="K6266" s="10">
        <v>217</v>
      </c>
      <c r="L6266" s="10" t="s">
        <v>30875</v>
      </c>
      <c r="M6266" s="10">
        <v>1</v>
      </c>
      <c r="N6266" s="10"/>
      <c r="O6266" s="10"/>
      <c r="P6266" s="10" t="s">
        <v>30876</v>
      </c>
      <c r="Q6266" s="10">
        <v>507.1</v>
      </c>
      <c r="R6266" s="10"/>
      <c r="S6266" s="10" t="s">
        <v>53</v>
      </c>
      <c r="T6266" s="10" t="s">
        <v>7193</v>
      </c>
    </row>
    <row r="6267" spans="1:20" ht="14.5" x14ac:dyDescent="0.35">
      <c r="A6267" s="10" t="s">
        <v>30877</v>
      </c>
      <c r="B6267" s="10" t="str">
        <f>"9781412980296"</f>
        <v>9781412980296</v>
      </c>
      <c r="C6267" s="10" t="str">
        <f>"9781452267739"</f>
        <v>9781452267739</v>
      </c>
      <c r="D6267" s="10" t="s">
        <v>22210</v>
      </c>
      <c r="E6267" s="10" t="s">
        <v>22214</v>
      </c>
      <c r="F6267" s="10" t="s">
        <v>333</v>
      </c>
      <c r="G6267" s="10" t="s">
        <v>6317</v>
      </c>
      <c r="H6267" s="11">
        <v>40610</v>
      </c>
      <c r="I6267" s="10">
        <v>2012</v>
      </c>
      <c r="J6267" s="10" t="s">
        <v>22214</v>
      </c>
      <c r="K6267" s="10">
        <v>281</v>
      </c>
      <c r="L6267" s="10" t="s">
        <v>30878</v>
      </c>
      <c r="M6267" s="10">
        <v>1</v>
      </c>
      <c r="N6267" s="10"/>
      <c r="O6267" s="10"/>
      <c r="P6267" s="10"/>
      <c r="Q6267" s="10"/>
      <c r="R6267" s="10"/>
      <c r="S6267" s="10" t="s">
        <v>53</v>
      </c>
      <c r="T6267" s="10" t="s">
        <v>54</v>
      </c>
    </row>
    <row r="6268" spans="1:20" ht="14.5" x14ac:dyDescent="0.35">
      <c r="A6268" s="10" t="s">
        <v>30879</v>
      </c>
      <c r="B6268" s="10" t="str">
        <f>"9781412980142"</f>
        <v>9781412980142</v>
      </c>
      <c r="C6268" s="10" t="str">
        <f>"9781483309811"</f>
        <v>9781483309811</v>
      </c>
      <c r="D6268" s="10" t="s">
        <v>22210</v>
      </c>
      <c r="E6268" s="10" t="s">
        <v>22214</v>
      </c>
      <c r="F6268" s="10" t="s">
        <v>333</v>
      </c>
      <c r="G6268" s="10" t="s">
        <v>6317</v>
      </c>
      <c r="H6268" s="11">
        <v>41409</v>
      </c>
      <c r="I6268" s="10">
        <v>2013</v>
      </c>
      <c r="J6268" s="10" t="s">
        <v>22214</v>
      </c>
      <c r="K6268" s="10">
        <v>601</v>
      </c>
      <c r="L6268" s="10" t="s">
        <v>30880</v>
      </c>
      <c r="M6268" s="10">
        <v>2</v>
      </c>
      <c r="N6268" s="10" t="s">
        <v>30881</v>
      </c>
      <c r="O6268" s="10"/>
      <c r="P6268" s="10" t="s">
        <v>30882</v>
      </c>
      <c r="Q6268" s="10" t="s">
        <v>30883</v>
      </c>
      <c r="R6268" s="10"/>
      <c r="S6268" s="10" t="s">
        <v>53</v>
      </c>
      <c r="T6268" s="10" t="s">
        <v>6363</v>
      </c>
    </row>
    <row r="6269" spans="1:20" ht="14.5" x14ac:dyDescent="0.35">
      <c r="A6269" s="10" t="s">
        <v>30884</v>
      </c>
      <c r="B6269" s="10" t="str">
        <f>"9781412996198"</f>
        <v>9781412996198</v>
      </c>
      <c r="C6269" s="10" t="str">
        <f>"9781452281001"</f>
        <v>9781452281001</v>
      </c>
      <c r="D6269" s="10" t="s">
        <v>22210</v>
      </c>
      <c r="E6269" s="10" t="s">
        <v>22214</v>
      </c>
      <c r="F6269" s="10" t="s">
        <v>333</v>
      </c>
      <c r="G6269" s="10" t="s">
        <v>6317</v>
      </c>
      <c r="H6269" s="11">
        <v>40926</v>
      </c>
      <c r="I6269" s="10">
        <v>2012</v>
      </c>
      <c r="J6269" s="10" t="s">
        <v>22214</v>
      </c>
      <c r="K6269" s="10">
        <v>105</v>
      </c>
      <c r="L6269" s="10" t="s">
        <v>30885</v>
      </c>
      <c r="M6269" s="10">
        <v>1</v>
      </c>
      <c r="N6269" s="10"/>
      <c r="O6269" s="10"/>
      <c r="P6269" s="10" t="s">
        <v>30886</v>
      </c>
      <c r="Q6269" s="10" t="s">
        <v>14582</v>
      </c>
      <c r="R6269" s="10"/>
      <c r="S6269" s="10" t="s">
        <v>53</v>
      </c>
      <c r="T6269" s="10" t="s">
        <v>54</v>
      </c>
    </row>
    <row r="6270" spans="1:20" ht="14.5" x14ac:dyDescent="0.35">
      <c r="A6270" s="10" t="s">
        <v>30887</v>
      </c>
      <c r="B6270" s="10" t="str">
        <f>"9781412996075"</f>
        <v>9781412996075</v>
      </c>
      <c r="C6270" s="10" t="str">
        <f>"9781483341767"</f>
        <v>9781483341767</v>
      </c>
      <c r="D6270" s="10" t="s">
        <v>22210</v>
      </c>
      <c r="E6270" s="10" t="s">
        <v>22214</v>
      </c>
      <c r="F6270" s="10" t="s">
        <v>333</v>
      </c>
      <c r="G6270" s="10" t="s">
        <v>6317</v>
      </c>
      <c r="H6270" s="11">
        <v>40842</v>
      </c>
      <c r="I6270" s="10">
        <v>2012</v>
      </c>
      <c r="J6270" s="10" t="s">
        <v>22214</v>
      </c>
      <c r="K6270" s="10">
        <v>257</v>
      </c>
      <c r="L6270" s="10" t="s">
        <v>30888</v>
      </c>
      <c r="M6270" s="10">
        <v>1</v>
      </c>
      <c r="N6270" s="10"/>
      <c r="O6270" s="10"/>
      <c r="P6270" s="10"/>
      <c r="Q6270" s="10"/>
      <c r="R6270" s="10" t="s">
        <v>30889</v>
      </c>
      <c r="S6270" s="10" t="s">
        <v>53</v>
      </c>
      <c r="T6270" s="10" t="s">
        <v>54</v>
      </c>
    </row>
    <row r="6271" spans="1:20" ht="14.5" x14ac:dyDescent="0.35">
      <c r="A6271" s="10" t="s">
        <v>30890</v>
      </c>
      <c r="B6271" s="10" t="str">
        <f>"9781412999212"</f>
        <v>9781412999212</v>
      </c>
      <c r="C6271" s="10" t="str">
        <f>"9781452262024"</f>
        <v>9781452262024</v>
      </c>
      <c r="D6271" s="10" t="s">
        <v>22210</v>
      </c>
      <c r="E6271" s="10" t="s">
        <v>22214</v>
      </c>
      <c r="F6271" s="10" t="s">
        <v>333</v>
      </c>
      <c r="G6271" s="10" t="s">
        <v>6317</v>
      </c>
      <c r="H6271" s="11">
        <v>41141</v>
      </c>
      <c r="I6271" s="10">
        <v>2012</v>
      </c>
      <c r="J6271" s="10" t="s">
        <v>22214</v>
      </c>
      <c r="K6271" s="10">
        <v>553</v>
      </c>
      <c r="L6271" s="10" t="s">
        <v>30891</v>
      </c>
      <c r="M6271" s="10">
        <v>1</v>
      </c>
      <c r="N6271" s="10"/>
      <c r="O6271" s="10"/>
      <c r="P6271" s="10" t="s">
        <v>30892</v>
      </c>
      <c r="Q6271" s="10">
        <v>378</v>
      </c>
      <c r="R6271" s="10"/>
      <c r="S6271" s="10" t="s">
        <v>53</v>
      </c>
      <c r="T6271" s="10" t="s">
        <v>54</v>
      </c>
    </row>
    <row r="6272" spans="1:20" ht="14.5" x14ac:dyDescent="0.35">
      <c r="A6272" s="10" t="s">
        <v>30893</v>
      </c>
      <c r="B6272" s="10" t="str">
        <f>"9781412987950"</f>
        <v>9781412987950</v>
      </c>
      <c r="C6272" s="10" t="str">
        <f>"9781452266572"</f>
        <v>9781452266572</v>
      </c>
      <c r="D6272" s="10" t="s">
        <v>22210</v>
      </c>
      <c r="E6272" s="10" t="s">
        <v>22214</v>
      </c>
      <c r="F6272" s="10" t="s">
        <v>333</v>
      </c>
      <c r="G6272" s="10" t="s">
        <v>6317</v>
      </c>
      <c r="H6272" s="11">
        <v>41158</v>
      </c>
      <c r="I6272" s="10">
        <v>2012</v>
      </c>
      <c r="J6272" s="10" t="s">
        <v>22214</v>
      </c>
      <c r="K6272" s="10">
        <v>401</v>
      </c>
      <c r="L6272" s="10" t="s">
        <v>30894</v>
      </c>
      <c r="M6272" s="10">
        <v>1</v>
      </c>
      <c r="N6272" s="10" t="s">
        <v>30895</v>
      </c>
      <c r="O6272" s="10"/>
      <c r="P6272" s="10"/>
      <c r="Q6272" s="10" t="s">
        <v>10291</v>
      </c>
      <c r="R6272" s="10"/>
      <c r="S6272" s="10" t="s">
        <v>53</v>
      </c>
      <c r="T6272" s="10" t="s">
        <v>54</v>
      </c>
    </row>
    <row r="6273" spans="1:20" ht="14.5" x14ac:dyDescent="0.35">
      <c r="A6273" s="10" t="s">
        <v>30896</v>
      </c>
      <c r="B6273" s="10" t="str">
        <f>"9781412987653"</f>
        <v>9781412987653</v>
      </c>
      <c r="C6273" s="10" t="str">
        <f>"9781452266589"</f>
        <v>9781452266589</v>
      </c>
      <c r="D6273" s="10" t="s">
        <v>22210</v>
      </c>
      <c r="E6273" s="10" t="s">
        <v>22214</v>
      </c>
      <c r="F6273" s="10" t="s">
        <v>333</v>
      </c>
      <c r="G6273" s="10" t="s">
        <v>6317</v>
      </c>
      <c r="H6273" s="11">
        <v>41158</v>
      </c>
      <c r="I6273" s="10">
        <v>2012</v>
      </c>
      <c r="J6273" s="10" t="s">
        <v>22214</v>
      </c>
      <c r="K6273" s="10">
        <v>393</v>
      </c>
      <c r="L6273" s="10" t="s">
        <v>30897</v>
      </c>
      <c r="M6273" s="10">
        <v>1</v>
      </c>
      <c r="N6273" s="10" t="s">
        <v>30895</v>
      </c>
      <c r="O6273" s="10"/>
      <c r="P6273" s="10"/>
      <c r="Q6273" s="10"/>
      <c r="R6273" s="10"/>
      <c r="S6273" s="10" t="s">
        <v>53</v>
      </c>
      <c r="T6273" s="10" t="s">
        <v>54</v>
      </c>
    </row>
    <row r="6274" spans="1:20" ht="14.5" x14ac:dyDescent="0.35">
      <c r="A6274" s="10" t="s">
        <v>30898</v>
      </c>
      <c r="B6274" s="10" t="str">
        <f>"9781412987585"</f>
        <v>9781412987585</v>
      </c>
      <c r="C6274" s="10" t="str">
        <f>"9781452266596"</f>
        <v>9781452266596</v>
      </c>
      <c r="D6274" s="10" t="s">
        <v>22210</v>
      </c>
      <c r="E6274" s="10" t="s">
        <v>22214</v>
      </c>
      <c r="F6274" s="10" t="s">
        <v>333</v>
      </c>
      <c r="G6274" s="10" t="s">
        <v>6317</v>
      </c>
      <c r="H6274" s="11">
        <v>41158</v>
      </c>
      <c r="I6274" s="10">
        <v>2012</v>
      </c>
      <c r="J6274" s="10" t="s">
        <v>22214</v>
      </c>
      <c r="K6274" s="10">
        <v>385</v>
      </c>
      <c r="L6274" s="10" t="s">
        <v>22588</v>
      </c>
      <c r="M6274" s="10">
        <v>1</v>
      </c>
      <c r="N6274" s="10" t="s">
        <v>30895</v>
      </c>
      <c r="O6274" s="10"/>
      <c r="P6274" s="10"/>
      <c r="Q6274" s="10">
        <v>344.73</v>
      </c>
      <c r="R6274" s="10"/>
      <c r="S6274" s="10" t="s">
        <v>53</v>
      </c>
      <c r="T6274" s="10" t="s">
        <v>5396</v>
      </c>
    </row>
    <row r="6275" spans="1:20" ht="14.5" x14ac:dyDescent="0.35">
      <c r="A6275" s="10" t="s">
        <v>30899</v>
      </c>
      <c r="B6275" s="10" t="str">
        <f>"9781412987660"</f>
        <v>9781412987660</v>
      </c>
      <c r="C6275" s="10" t="str">
        <f>"9781452266602"</f>
        <v>9781452266602</v>
      </c>
      <c r="D6275" s="10" t="s">
        <v>22210</v>
      </c>
      <c r="E6275" s="10" t="s">
        <v>22214</v>
      </c>
      <c r="F6275" s="10" t="s">
        <v>333</v>
      </c>
      <c r="G6275" s="10" t="s">
        <v>6317</v>
      </c>
      <c r="H6275" s="11">
        <v>41158</v>
      </c>
      <c r="I6275" s="10">
        <v>2012</v>
      </c>
      <c r="J6275" s="10" t="s">
        <v>22214</v>
      </c>
      <c r="K6275" s="10">
        <v>409</v>
      </c>
      <c r="L6275" s="10" t="s">
        <v>30900</v>
      </c>
      <c r="M6275" s="10">
        <v>1</v>
      </c>
      <c r="N6275" s="10" t="s">
        <v>30895</v>
      </c>
      <c r="O6275" s="10"/>
      <c r="P6275" s="10"/>
      <c r="Q6275" s="10" t="s">
        <v>30901</v>
      </c>
      <c r="R6275" s="10"/>
      <c r="S6275" s="10" t="s">
        <v>53</v>
      </c>
      <c r="T6275" s="10" t="s">
        <v>54</v>
      </c>
    </row>
    <row r="6276" spans="1:20" ht="14.5" x14ac:dyDescent="0.35">
      <c r="A6276" s="10" t="s">
        <v>30902</v>
      </c>
      <c r="B6276" s="10" t="str">
        <f>"9781412987592"</f>
        <v>9781412987592</v>
      </c>
      <c r="C6276" s="10" t="str">
        <f>"9781452266619"</f>
        <v>9781452266619</v>
      </c>
      <c r="D6276" s="10" t="s">
        <v>22210</v>
      </c>
      <c r="E6276" s="10" t="s">
        <v>22214</v>
      </c>
      <c r="F6276" s="10" t="s">
        <v>333</v>
      </c>
      <c r="G6276" s="10" t="s">
        <v>6317</v>
      </c>
      <c r="H6276" s="11">
        <v>41158</v>
      </c>
      <c r="I6276" s="10">
        <v>2012</v>
      </c>
      <c r="J6276" s="10" t="s">
        <v>22214</v>
      </c>
      <c r="K6276" s="10">
        <v>353</v>
      </c>
      <c r="L6276" s="10" t="s">
        <v>30903</v>
      </c>
      <c r="M6276" s="10">
        <v>1</v>
      </c>
      <c r="N6276" s="10" t="s">
        <v>30895</v>
      </c>
      <c r="O6276" s="10"/>
      <c r="P6276" s="10"/>
      <c r="Q6276" s="10">
        <v>371.33</v>
      </c>
      <c r="R6276" s="10"/>
      <c r="S6276" s="10" t="s">
        <v>53</v>
      </c>
      <c r="T6276" s="10" t="s">
        <v>54</v>
      </c>
    </row>
    <row r="6277" spans="1:20" ht="14.5" x14ac:dyDescent="0.35">
      <c r="A6277" s="10" t="s">
        <v>30904</v>
      </c>
      <c r="B6277" s="10" t="str">
        <f>"9781412988087"</f>
        <v>9781412988087</v>
      </c>
      <c r="C6277" s="10" t="str">
        <f>"9781452266633"</f>
        <v>9781452266633</v>
      </c>
      <c r="D6277" s="10" t="s">
        <v>22210</v>
      </c>
      <c r="E6277" s="10" t="s">
        <v>22214</v>
      </c>
      <c r="F6277" s="10" t="s">
        <v>333</v>
      </c>
      <c r="G6277" s="10" t="s">
        <v>6317</v>
      </c>
      <c r="H6277" s="11">
        <v>41158</v>
      </c>
      <c r="I6277" s="10">
        <v>2012</v>
      </c>
      <c r="J6277" s="10" t="s">
        <v>22214</v>
      </c>
      <c r="K6277" s="10">
        <v>377</v>
      </c>
      <c r="L6277" s="10" t="s">
        <v>30905</v>
      </c>
      <c r="M6277" s="10">
        <v>1</v>
      </c>
      <c r="N6277" s="10" t="s">
        <v>30895</v>
      </c>
      <c r="O6277" s="10">
        <v>2</v>
      </c>
      <c r="P6277" s="10" t="s">
        <v>30906</v>
      </c>
      <c r="Q6277" s="10" t="s">
        <v>9360</v>
      </c>
      <c r="R6277" s="10" t="s">
        <v>30907</v>
      </c>
      <c r="S6277" s="10" t="s">
        <v>53</v>
      </c>
      <c r="T6277" s="10" t="s">
        <v>54</v>
      </c>
    </row>
    <row r="6278" spans="1:20" ht="14.5" x14ac:dyDescent="0.35">
      <c r="A6278" s="10" t="s">
        <v>30908</v>
      </c>
      <c r="B6278" s="10" t="str">
        <f>"9781412987646"</f>
        <v>9781412987646</v>
      </c>
      <c r="C6278" s="10" t="str">
        <f>"9781452266664"</f>
        <v>9781452266664</v>
      </c>
      <c r="D6278" s="10" t="s">
        <v>22210</v>
      </c>
      <c r="E6278" s="10" t="s">
        <v>22214</v>
      </c>
      <c r="F6278" s="10" t="s">
        <v>333</v>
      </c>
      <c r="G6278" s="10" t="s">
        <v>6317</v>
      </c>
      <c r="H6278" s="11">
        <v>41158</v>
      </c>
      <c r="I6278" s="10">
        <v>2012</v>
      </c>
      <c r="J6278" s="10" t="s">
        <v>22214</v>
      </c>
      <c r="K6278" s="10">
        <v>401</v>
      </c>
      <c r="L6278" s="10" t="s">
        <v>30909</v>
      </c>
      <c r="M6278" s="10">
        <v>1</v>
      </c>
      <c r="N6278" s="10" t="s">
        <v>30895</v>
      </c>
      <c r="O6278" s="10"/>
      <c r="P6278" s="10"/>
      <c r="Q6278" s="10"/>
      <c r="R6278" s="10"/>
      <c r="S6278" s="10" t="s">
        <v>53</v>
      </c>
      <c r="T6278" s="10" t="s">
        <v>54</v>
      </c>
    </row>
    <row r="6279" spans="1:20" ht="14.5" x14ac:dyDescent="0.35">
      <c r="A6279" s="10" t="s">
        <v>30910</v>
      </c>
      <c r="B6279" s="10" t="str">
        <f>"9781412987561"</f>
        <v>9781412987561</v>
      </c>
      <c r="C6279" s="10" t="str">
        <f>"9781452266701"</f>
        <v>9781452266701</v>
      </c>
      <c r="D6279" s="10" t="s">
        <v>22210</v>
      </c>
      <c r="E6279" s="10" t="s">
        <v>22214</v>
      </c>
      <c r="F6279" s="10" t="s">
        <v>333</v>
      </c>
      <c r="G6279" s="10" t="s">
        <v>6317</v>
      </c>
      <c r="H6279" s="11">
        <v>41158</v>
      </c>
      <c r="I6279" s="10">
        <v>2012</v>
      </c>
      <c r="J6279" s="10" t="s">
        <v>22214</v>
      </c>
      <c r="K6279" s="10">
        <v>393</v>
      </c>
      <c r="L6279" s="10" t="s">
        <v>30911</v>
      </c>
      <c r="M6279" s="10">
        <v>1</v>
      </c>
      <c r="N6279" s="10" t="s">
        <v>30895</v>
      </c>
      <c r="O6279" s="10"/>
      <c r="P6279" s="10"/>
      <c r="Q6279" s="10">
        <v>371.5</v>
      </c>
      <c r="R6279" s="10"/>
      <c r="S6279" s="10" t="s">
        <v>53</v>
      </c>
      <c r="T6279" s="10" t="s">
        <v>54</v>
      </c>
    </row>
    <row r="6280" spans="1:20" ht="14.5" x14ac:dyDescent="0.35">
      <c r="A6280" s="10" t="s">
        <v>30912</v>
      </c>
      <c r="B6280" s="10" t="str">
        <f>"9781412987578"</f>
        <v>9781412987578</v>
      </c>
      <c r="C6280" s="10" t="str">
        <f>"9781452266718"</f>
        <v>9781452266718</v>
      </c>
      <c r="D6280" s="10" t="s">
        <v>22210</v>
      </c>
      <c r="E6280" s="10" t="s">
        <v>22214</v>
      </c>
      <c r="F6280" s="10" t="s">
        <v>333</v>
      </c>
      <c r="G6280" s="10" t="s">
        <v>6317</v>
      </c>
      <c r="H6280" s="11">
        <v>41158</v>
      </c>
      <c r="I6280" s="10">
        <v>2012</v>
      </c>
      <c r="J6280" s="10" t="s">
        <v>22214</v>
      </c>
      <c r="K6280" s="10">
        <v>433</v>
      </c>
      <c r="L6280" s="10" t="s">
        <v>30913</v>
      </c>
      <c r="M6280" s="10">
        <v>1</v>
      </c>
      <c r="N6280" s="10" t="s">
        <v>30895</v>
      </c>
      <c r="O6280" s="10">
        <v>6</v>
      </c>
      <c r="P6280" s="10" t="s">
        <v>30914</v>
      </c>
      <c r="Q6280" s="10">
        <v>371.20600000000002</v>
      </c>
      <c r="R6280" s="10" t="s">
        <v>30915</v>
      </c>
      <c r="S6280" s="10" t="s">
        <v>53</v>
      </c>
      <c r="T6280" s="10" t="s">
        <v>54</v>
      </c>
    </row>
    <row r="6281" spans="1:20" ht="14.5" x14ac:dyDescent="0.35">
      <c r="A6281" s="10" t="s">
        <v>30916</v>
      </c>
      <c r="B6281" s="10" t="str">
        <f>"9781412954983"</f>
        <v>9781412954983</v>
      </c>
      <c r="C6281" s="10" t="str">
        <f>"9781483370880"</f>
        <v>9781483370880</v>
      </c>
      <c r="D6281" s="10" t="s">
        <v>22210</v>
      </c>
      <c r="E6281" s="10" t="s">
        <v>22214</v>
      </c>
      <c r="F6281" s="10" t="s">
        <v>333</v>
      </c>
      <c r="G6281" s="10" t="s">
        <v>6317</v>
      </c>
      <c r="H6281" s="11">
        <v>39826</v>
      </c>
      <c r="I6281" s="10">
        <v>2010</v>
      </c>
      <c r="J6281" s="10" t="s">
        <v>22214</v>
      </c>
      <c r="K6281" s="10">
        <v>241</v>
      </c>
      <c r="L6281" s="10" t="s">
        <v>30917</v>
      </c>
      <c r="M6281" s="10">
        <v>1</v>
      </c>
      <c r="N6281" s="10"/>
      <c r="O6281" s="10"/>
      <c r="P6281" s="10"/>
      <c r="Q6281" s="10" t="s">
        <v>8836</v>
      </c>
      <c r="R6281" s="10" t="s">
        <v>30918</v>
      </c>
      <c r="S6281" s="10" t="s">
        <v>53</v>
      </c>
      <c r="T6281" s="10" t="s">
        <v>54</v>
      </c>
    </row>
    <row r="6282" spans="1:20" ht="14.5" x14ac:dyDescent="0.35">
      <c r="A6282" s="10" t="s">
        <v>30919</v>
      </c>
      <c r="B6282" s="10" t="str">
        <f>"9781452258225"</f>
        <v>9781452258225</v>
      </c>
      <c r="C6282" s="10" t="str">
        <f>"9781483346403"</f>
        <v>9781483346403</v>
      </c>
      <c r="D6282" s="10" t="s">
        <v>22210</v>
      </c>
      <c r="E6282" s="10" t="s">
        <v>22214</v>
      </c>
      <c r="F6282" s="10" t="s">
        <v>333</v>
      </c>
      <c r="G6282" s="10" t="s">
        <v>6317</v>
      </c>
      <c r="H6282" s="11">
        <v>42055</v>
      </c>
      <c r="I6282" s="10">
        <v>2015</v>
      </c>
      <c r="J6282" s="10" t="s">
        <v>22214</v>
      </c>
      <c r="K6282" s="10">
        <v>969</v>
      </c>
      <c r="L6282" s="10" t="s">
        <v>30920</v>
      </c>
      <c r="M6282" s="10">
        <v>1</v>
      </c>
      <c r="N6282" s="10"/>
      <c r="O6282" s="10"/>
      <c r="P6282" s="10"/>
      <c r="Q6282" s="10" t="s">
        <v>30921</v>
      </c>
      <c r="R6282" s="10" t="s">
        <v>29942</v>
      </c>
      <c r="S6282" s="10" t="s">
        <v>53</v>
      </c>
      <c r="T6282" s="10" t="s">
        <v>54</v>
      </c>
    </row>
    <row r="6283" spans="1:20" ht="14.5" x14ac:dyDescent="0.35">
      <c r="A6283" s="10" t="s">
        <v>30922</v>
      </c>
      <c r="B6283" s="10" t="str">
        <f>"9781452281926"</f>
        <v>9781452281926</v>
      </c>
      <c r="C6283" s="10" t="str">
        <f>"9781483346632"</f>
        <v>9781483346632</v>
      </c>
      <c r="D6283" s="10" t="s">
        <v>22210</v>
      </c>
      <c r="E6283" s="10" t="s">
        <v>22214</v>
      </c>
      <c r="F6283" s="10" t="s">
        <v>333</v>
      </c>
      <c r="G6283" s="10" t="s">
        <v>6317</v>
      </c>
      <c r="H6283" s="11">
        <v>42055</v>
      </c>
      <c r="I6283" s="10">
        <v>2015</v>
      </c>
      <c r="J6283" s="10" t="s">
        <v>22214</v>
      </c>
      <c r="K6283" s="10">
        <v>585</v>
      </c>
      <c r="L6283" s="10" t="s">
        <v>22427</v>
      </c>
      <c r="M6283" s="10">
        <v>1</v>
      </c>
      <c r="N6283" s="10"/>
      <c r="O6283" s="10"/>
      <c r="P6283" s="10"/>
      <c r="Q6283" s="10">
        <v>371.2</v>
      </c>
      <c r="R6283" s="10" t="s">
        <v>10462</v>
      </c>
      <c r="S6283" s="10" t="s">
        <v>53</v>
      </c>
      <c r="T6283" s="10" t="s">
        <v>54</v>
      </c>
    </row>
    <row r="6284" spans="1:20" ht="14.5" x14ac:dyDescent="0.35">
      <c r="A6284" s="10" t="s">
        <v>30923</v>
      </c>
      <c r="B6284" s="10" t="str">
        <f>"9781605542386"</f>
        <v>9781605542386</v>
      </c>
      <c r="C6284" s="10" t="str">
        <f>"9781605542737"</f>
        <v>9781605542737</v>
      </c>
      <c r="D6284" s="10" t="s">
        <v>9533</v>
      </c>
      <c r="E6284" s="10" t="s">
        <v>25518</v>
      </c>
      <c r="F6284" s="10" t="s">
        <v>30924</v>
      </c>
      <c r="G6284" s="10" t="s">
        <v>6317</v>
      </c>
      <c r="H6284" s="11">
        <v>42107</v>
      </c>
      <c r="I6284" s="10">
        <v>2015</v>
      </c>
      <c r="J6284" s="10" t="s">
        <v>25518</v>
      </c>
      <c r="K6284" s="10">
        <v>275</v>
      </c>
      <c r="L6284" s="10" t="s">
        <v>13354</v>
      </c>
      <c r="M6284" s="10">
        <v>1</v>
      </c>
      <c r="N6284" s="10"/>
      <c r="O6284" s="10"/>
      <c r="P6284" s="10" t="s">
        <v>30925</v>
      </c>
      <c r="Q6284" s="10">
        <v>371.9</v>
      </c>
      <c r="R6284" s="10" t="s">
        <v>30926</v>
      </c>
      <c r="S6284" s="10" t="s">
        <v>53</v>
      </c>
      <c r="T6284" s="10" t="s">
        <v>54</v>
      </c>
    </row>
    <row r="6285" spans="1:20" ht="14.5" x14ac:dyDescent="0.35">
      <c r="A6285" s="10" t="s">
        <v>30927</v>
      </c>
      <c r="B6285" s="10" t="str">
        <f>"9781920677855"</f>
        <v>9781920677855</v>
      </c>
      <c r="C6285" s="10" t="str">
        <f>"9781920677862"</f>
        <v>9781920677862</v>
      </c>
      <c r="D6285" s="10" t="s">
        <v>24820</v>
      </c>
      <c r="E6285" s="10" t="s">
        <v>24825</v>
      </c>
      <c r="F6285" s="10" t="s">
        <v>748</v>
      </c>
      <c r="G6285" s="10" t="s">
        <v>24826</v>
      </c>
      <c r="H6285" s="11">
        <v>42065</v>
      </c>
      <c r="I6285" s="10">
        <v>2015</v>
      </c>
      <c r="J6285" s="10" t="s">
        <v>24825</v>
      </c>
      <c r="K6285" s="10">
        <v>314</v>
      </c>
      <c r="L6285" s="10" t="s">
        <v>30928</v>
      </c>
      <c r="M6285" s="10">
        <v>1</v>
      </c>
      <c r="N6285" s="10"/>
      <c r="O6285" s="10"/>
      <c r="P6285" s="10" t="s">
        <v>30929</v>
      </c>
      <c r="Q6285" s="10">
        <v>378.6</v>
      </c>
      <c r="R6285" s="10" t="s">
        <v>30930</v>
      </c>
      <c r="S6285" s="10" t="s">
        <v>53</v>
      </c>
      <c r="T6285" s="10" t="s">
        <v>54</v>
      </c>
    </row>
    <row r="6286" spans="1:20" ht="14.5" x14ac:dyDescent="0.35">
      <c r="A6286" s="10" t="s">
        <v>30931</v>
      </c>
      <c r="B6286" s="10" t="str">
        <f>"9781849055840"</f>
        <v>9781849055840</v>
      </c>
      <c r="C6286" s="10" t="str">
        <f>"9781784500313"</f>
        <v>9781784500313</v>
      </c>
      <c r="D6286" s="10" t="s">
        <v>10516</v>
      </c>
      <c r="E6286" s="10" t="s">
        <v>10516</v>
      </c>
      <c r="F6286" s="10" t="s">
        <v>139</v>
      </c>
      <c r="G6286" s="10" t="s">
        <v>6352</v>
      </c>
      <c r="H6286" s="11">
        <v>42115</v>
      </c>
      <c r="I6286" s="10">
        <v>2015</v>
      </c>
      <c r="J6286" s="10" t="s">
        <v>10516</v>
      </c>
      <c r="K6286" s="10">
        <v>226</v>
      </c>
      <c r="L6286" s="10" t="s">
        <v>30932</v>
      </c>
      <c r="M6286" s="10">
        <v>1</v>
      </c>
      <c r="N6286" s="10"/>
      <c r="O6286" s="10"/>
      <c r="P6286" s="10"/>
      <c r="Q6286" s="10" t="s">
        <v>30933</v>
      </c>
      <c r="R6286" s="10"/>
      <c r="S6286" s="10" t="s">
        <v>53</v>
      </c>
      <c r="T6286" s="10" t="s">
        <v>8625</v>
      </c>
    </row>
    <row r="6287" spans="1:20" ht="14.5" x14ac:dyDescent="0.35">
      <c r="A6287" s="10" t="s">
        <v>30934</v>
      </c>
      <c r="B6287" s="10" t="str">
        <f>"9788024623726"</f>
        <v>9788024623726</v>
      </c>
      <c r="C6287" s="10" t="str">
        <f>"9788024624280"</f>
        <v>9788024624280</v>
      </c>
      <c r="D6287" s="10" t="s">
        <v>30935</v>
      </c>
      <c r="E6287" s="10" t="s">
        <v>30935</v>
      </c>
      <c r="F6287" s="10" t="s">
        <v>1796</v>
      </c>
      <c r="G6287" s="10" t="s">
        <v>30936</v>
      </c>
      <c r="H6287" s="11">
        <v>41548</v>
      </c>
      <c r="I6287" s="10">
        <v>2013</v>
      </c>
      <c r="J6287" s="10" t="s">
        <v>30935</v>
      </c>
      <c r="K6287" s="10">
        <v>185</v>
      </c>
      <c r="L6287" s="10" t="s">
        <v>30937</v>
      </c>
      <c r="M6287" s="10">
        <v>1</v>
      </c>
      <c r="N6287" s="10"/>
      <c r="O6287" s="10"/>
      <c r="P6287" s="10" t="s">
        <v>30938</v>
      </c>
      <c r="Q6287" s="10">
        <v>891.85090000000002</v>
      </c>
      <c r="R6287" s="10" t="s">
        <v>30939</v>
      </c>
      <c r="S6287" s="10" t="s">
        <v>4212</v>
      </c>
      <c r="T6287" s="10" t="s">
        <v>8424</v>
      </c>
    </row>
    <row r="6288" spans="1:20" ht="14.5" x14ac:dyDescent="0.35">
      <c r="A6288" s="10" t="s">
        <v>30940</v>
      </c>
      <c r="B6288" s="10" t="str">
        <f>"9788024627953"</f>
        <v>9788024627953</v>
      </c>
      <c r="C6288" s="10" t="str">
        <f>"9788024627960"</f>
        <v>9788024627960</v>
      </c>
      <c r="D6288" s="10" t="s">
        <v>30935</v>
      </c>
      <c r="E6288" s="10" t="s">
        <v>30935</v>
      </c>
      <c r="F6288" s="10" t="s">
        <v>1796</v>
      </c>
      <c r="G6288" s="10" t="s">
        <v>30936</v>
      </c>
      <c r="H6288" s="11">
        <v>41944</v>
      </c>
      <c r="I6288" s="10">
        <v>2014</v>
      </c>
      <c r="J6288" s="10" t="s">
        <v>30935</v>
      </c>
      <c r="K6288" s="10">
        <v>113</v>
      </c>
      <c r="L6288" s="10" t="s">
        <v>30941</v>
      </c>
      <c r="M6288" s="10">
        <v>1</v>
      </c>
      <c r="N6288" s="10"/>
      <c r="O6288" s="10"/>
      <c r="P6288" s="10" t="s">
        <v>30942</v>
      </c>
      <c r="Q6288" s="10">
        <v>613.71</v>
      </c>
      <c r="R6288" s="10" t="s">
        <v>30943</v>
      </c>
      <c r="S6288" s="10" t="s">
        <v>4212</v>
      </c>
      <c r="T6288" s="10" t="s">
        <v>6791</v>
      </c>
    </row>
    <row r="6289" spans="1:20" ht="14.5" x14ac:dyDescent="0.35">
      <c r="A6289" s="10" t="s">
        <v>30944</v>
      </c>
      <c r="B6289" s="10" t="str">
        <f>"9788024622866"</f>
        <v>9788024622866</v>
      </c>
      <c r="C6289" s="10" t="str">
        <f>"9788024623085"</f>
        <v>9788024623085</v>
      </c>
      <c r="D6289" s="10" t="s">
        <v>30935</v>
      </c>
      <c r="E6289" s="10" t="s">
        <v>30935</v>
      </c>
      <c r="F6289" s="10" t="s">
        <v>1796</v>
      </c>
      <c r="G6289" s="10" t="s">
        <v>30936</v>
      </c>
      <c r="H6289" s="11">
        <v>41671</v>
      </c>
      <c r="I6289" s="10">
        <v>2014</v>
      </c>
      <c r="J6289" s="10" t="s">
        <v>30935</v>
      </c>
      <c r="K6289" s="10">
        <v>475</v>
      </c>
      <c r="L6289" s="10" t="s">
        <v>30945</v>
      </c>
      <c r="M6289" s="10">
        <v>1</v>
      </c>
      <c r="N6289" s="10"/>
      <c r="O6289" s="10"/>
      <c r="P6289" s="10" t="s">
        <v>30946</v>
      </c>
      <c r="Q6289" s="10">
        <v>378.1</v>
      </c>
      <c r="R6289" s="10" t="s">
        <v>30947</v>
      </c>
      <c r="S6289" s="10" t="s">
        <v>4212</v>
      </c>
      <c r="T6289" s="10" t="s">
        <v>54</v>
      </c>
    </row>
    <row r="6290" spans="1:20" ht="14.5" x14ac:dyDescent="0.35">
      <c r="A6290" s="10" t="s">
        <v>30948</v>
      </c>
      <c r="B6290" s="10" t="str">
        <f>"9781920355241"</f>
        <v>9781920355241</v>
      </c>
      <c r="C6290" s="10" t="str">
        <f>"9781920489779"</f>
        <v>9781920489779</v>
      </c>
      <c r="D6290" s="10" t="s">
        <v>24820</v>
      </c>
      <c r="E6290" s="10" t="s">
        <v>24825</v>
      </c>
      <c r="F6290" s="10" t="s">
        <v>748</v>
      </c>
      <c r="G6290" s="10" t="s">
        <v>24826</v>
      </c>
      <c r="H6290" s="11">
        <v>40513</v>
      </c>
      <c r="I6290" s="10">
        <v>2010</v>
      </c>
      <c r="J6290" s="10" t="s">
        <v>24825</v>
      </c>
      <c r="K6290" s="10">
        <v>76</v>
      </c>
      <c r="L6290" s="10" t="s">
        <v>30949</v>
      </c>
      <c r="M6290" s="10">
        <v>1</v>
      </c>
      <c r="N6290" s="10"/>
      <c r="O6290" s="10"/>
      <c r="P6290" s="10"/>
      <c r="Q6290" s="10"/>
      <c r="R6290" s="10"/>
      <c r="S6290" s="10" t="s">
        <v>53</v>
      </c>
      <c r="T6290" s="10" t="s">
        <v>4859</v>
      </c>
    </row>
    <row r="6291" spans="1:20" ht="14.5" x14ac:dyDescent="0.35">
      <c r="A6291" s="10" t="s">
        <v>30950</v>
      </c>
      <c r="B6291" s="10" t="str">
        <f>"9781472579508"</f>
        <v>9781472579508</v>
      </c>
      <c r="C6291" s="10" t="str">
        <f>"9781472579522"</f>
        <v>9781472579522</v>
      </c>
      <c r="D6291" s="10" t="s">
        <v>13959</v>
      </c>
      <c r="E6291" s="10" t="s">
        <v>13960</v>
      </c>
      <c r="F6291" s="10" t="s">
        <v>139</v>
      </c>
      <c r="G6291" s="10" t="s">
        <v>6352</v>
      </c>
      <c r="H6291" s="11">
        <v>42719</v>
      </c>
      <c r="I6291" s="10">
        <v>2015</v>
      </c>
      <c r="J6291" s="10" t="s">
        <v>14057</v>
      </c>
      <c r="K6291" s="10">
        <v>292</v>
      </c>
      <c r="L6291" s="10" t="s">
        <v>30951</v>
      </c>
      <c r="M6291" s="10">
        <v>1</v>
      </c>
      <c r="N6291" s="10"/>
      <c r="O6291" s="10"/>
      <c r="P6291" s="10" t="s">
        <v>30952</v>
      </c>
      <c r="Q6291" s="10">
        <v>378.4</v>
      </c>
      <c r="R6291" s="10" t="s">
        <v>30953</v>
      </c>
      <c r="S6291" s="10" t="s">
        <v>53</v>
      </c>
      <c r="T6291" s="10" t="s">
        <v>54</v>
      </c>
    </row>
    <row r="6292" spans="1:20" ht="14.5" x14ac:dyDescent="0.35">
      <c r="A6292" s="10" t="s">
        <v>30954</v>
      </c>
      <c r="B6292" s="10" t="str">
        <f>"9783319105475"</f>
        <v>9783319105475</v>
      </c>
      <c r="C6292" s="10" t="str">
        <f>"9783319105482"</f>
        <v>9783319105482</v>
      </c>
      <c r="D6292" s="10" t="s">
        <v>11249</v>
      </c>
      <c r="E6292" s="10" t="s">
        <v>26623</v>
      </c>
      <c r="F6292" s="10" t="s">
        <v>26624</v>
      </c>
      <c r="G6292" s="10" t="s">
        <v>16676</v>
      </c>
      <c r="H6292" s="11">
        <v>42086</v>
      </c>
      <c r="I6292" s="10">
        <v>2015</v>
      </c>
      <c r="J6292" s="10" t="s">
        <v>13067</v>
      </c>
      <c r="K6292" s="10">
        <v>280</v>
      </c>
      <c r="L6292" s="10" t="s">
        <v>30955</v>
      </c>
      <c r="M6292" s="10">
        <v>1</v>
      </c>
      <c r="N6292" s="10"/>
      <c r="O6292" s="10"/>
      <c r="P6292" s="10" t="s">
        <v>30956</v>
      </c>
      <c r="Q6292" s="10">
        <v>374.9</v>
      </c>
      <c r="R6292" s="10" t="s">
        <v>30957</v>
      </c>
      <c r="S6292" s="10" t="s">
        <v>53</v>
      </c>
      <c r="T6292" s="10" t="s">
        <v>54</v>
      </c>
    </row>
    <row r="6293" spans="1:20" ht="14.5" x14ac:dyDescent="0.35">
      <c r="A6293" s="10" t="s">
        <v>30958</v>
      </c>
      <c r="B6293" s="10" t="str">
        <f>"9781452281919"</f>
        <v>9781452281919</v>
      </c>
      <c r="C6293" s="10" t="str">
        <f>"9781483346618"</f>
        <v>9781483346618</v>
      </c>
      <c r="D6293" s="10" t="s">
        <v>22210</v>
      </c>
      <c r="E6293" s="10" t="s">
        <v>22214</v>
      </c>
      <c r="F6293" s="10" t="s">
        <v>333</v>
      </c>
      <c r="G6293" s="10" t="s">
        <v>6317</v>
      </c>
      <c r="H6293" s="11">
        <v>42123</v>
      </c>
      <c r="I6293" s="10">
        <v>2015</v>
      </c>
      <c r="J6293" s="10" t="s">
        <v>22214</v>
      </c>
      <c r="K6293" s="10">
        <v>521</v>
      </c>
      <c r="L6293" s="10" t="s">
        <v>30959</v>
      </c>
      <c r="M6293" s="10">
        <v>1</v>
      </c>
      <c r="N6293" s="10"/>
      <c r="O6293" s="10"/>
      <c r="P6293" s="10" t="s">
        <v>30960</v>
      </c>
      <c r="Q6293" s="10" t="s">
        <v>10427</v>
      </c>
      <c r="R6293" s="10"/>
      <c r="S6293" s="10" t="s">
        <v>53</v>
      </c>
      <c r="T6293" s="10" t="s">
        <v>54</v>
      </c>
    </row>
    <row r="6294" spans="1:20" ht="14.5" x14ac:dyDescent="0.35">
      <c r="A6294" s="10" t="s">
        <v>30961</v>
      </c>
      <c r="B6294" s="10" t="str">
        <f>"9781598578867"</f>
        <v>9781598578867</v>
      </c>
      <c r="C6294" s="10" t="str">
        <f>"9781598579437"</f>
        <v>9781598579437</v>
      </c>
      <c r="D6294" s="10" t="s">
        <v>28876</v>
      </c>
      <c r="E6294" s="10" t="s">
        <v>28877</v>
      </c>
      <c r="F6294" s="10" t="s">
        <v>885</v>
      </c>
      <c r="G6294" s="10" t="s">
        <v>6317</v>
      </c>
      <c r="H6294" s="11">
        <v>42094</v>
      </c>
      <c r="I6294" s="10">
        <v>2015</v>
      </c>
      <c r="J6294" s="10" t="s">
        <v>28877</v>
      </c>
      <c r="K6294" s="10">
        <v>225</v>
      </c>
      <c r="L6294" s="10" t="s">
        <v>30962</v>
      </c>
      <c r="M6294" s="10">
        <v>3</v>
      </c>
      <c r="N6294" s="10" t="s">
        <v>30963</v>
      </c>
      <c r="O6294" s="10"/>
      <c r="P6294" s="10" t="s">
        <v>30964</v>
      </c>
      <c r="Q6294" s="10" t="s">
        <v>30965</v>
      </c>
      <c r="R6294" s="10" t="s">
        <v>30966</v>
      </c>
      <c r="S6294" s="10" t="s">
        <v>53</v>
      </c>
      <c r="T6294" s="10" t="s">
        <v>54</v>
      </c>
    </row>
    <row r="6295" spans="1:20" ht="14.5" x14ac:dyDescent="0.35">
      <c r="A6295" s="10" t="s">
        <v>30967</v>
      </c>
      <c r="B6295" s="10" t="str">
        <f>"9781475802245"</f>
        <v>9781475802245</v>
      </c>
      <c r="C6295" s="10" t="str">
        <f>"9781475802269"</f>
        <v>9781475802269</v>
      </c>
      <c r="D6295" s="10" t="s">
        <v>9752</v>
      </c>
      <c r="E6295" s="10" t="s">
        <v>15187</v>
      </c>
      <c r="F6295" s="10" t="s">
        <v>9754</v>
      </c>
      <c r="G6295" s="10" t="s">
        <v>6317</v>
      </c>
      <c r="H6295" s="11">
        <v>42102</v>
      </c>
      <c r="I6295" s="10">
        <v>2015</v>
      </c>
      <c r="J6295" s="10" t="s">
        <v>15187</v>
      </c>
      <c r="K6295" s="10">
        <v>320</v>
      </c>
      <c r="L6295" s="10" t="s">
        <v>30968</v>
      </c>
      <c r="M6295" s="10">
        <v>1</v>
      </c>
      <c r="N6295" s="10"/>
      <c r="O6295" s="10"/>
      <c r="P6295" s="10" t="s">
        <v>30969</v>
      </c>
      <c r="Q6295" s="10" t="s">
        <v>15693</v>
      </c>
      <c r="R6295" s="10" t="s">
        <v>30970</v>
      </c>
      <c r="S6295" s="10" t="s">
        <v>53</v>
      </c>
      <c r="T6295" s="10" t="s">
        <v>54</v>
      </c>
    </row>
    <row r="6296" spans="1:20" ht="14.5" x14ac:dyDescent="0.35">
      <c r="A6296" s="10" t="s">
        <v>30971</v>
      </c>
      <c r="B6296" s="10" t="str">
        <f>"9781782201984"</f>
        <v>9781782201984</v>
      </c>
      <c r="C6296" s="10" t="str">
        <f>"9780429919480"</f>
        <v>9780429919480</v>
      </c>
      <c r="D6296" s="10" t="s">
        <v>6350</v>
      </c>
      <c r="E6296" s="10" t="s">
        <v>6351</v>
      </c>
      <c r="F6296" s="10" t="s">
        <v>139</v>
      </c>
      <c r="G6296" s="10" t="s">
        <v>6352</v>
      </c>
      <c r="H6296" s="11">
        <v>42107</v>
      </c>
      <c r="I6296" s="10">
        <v>2015</v>
      </c>
      <c r="J6296" s="10" t="s">
        <v>6353</v>
      </c>
      <c r="K6296" s="10">
        <v>273</v>
      </c>
      <c r="L6296" s="10" t="s">
        <v>30972</v>
      </c>
      <c r="M6296" s="10">
        <v>1</v>
      </c>
      <c r="N6296" s="10" t="s">
        <v>30973</v>
      </c>
      <c r="O6296" s="10"/>
      <c r="P6296" s="10" t="s">
        <v>30974</v>
      </c>
      <c r="Q6296" s="10">
        <v>150.19499999999999</v>
      </c>
      <c r="R6296" s="10" t="s">
        <v>19383</v>
      </c>
      <c r="S6296" s="10" t="s">
        <v>53</v>
      </c>
      <c r="T6296" s="10" t="s">
        <v>6492</v>
      </c>
    </row>
    <row r="6297" spans="1:20" ht="14.5" x14ac:dyDescent="0.35">
      <c r="A6297" s="10" t="s">
        <v>30975</v>
      </c>
      <c r="B6297" s="10" t="str">
        <f>"9781475815375"</f>
        <v>9781475815375</v>
      </c>
      <c r="C6297" s="10" t="str">
        <f>"9781475815399"</f>
        <v>9781475815399</v>
      </c>
      <c r="D6297" s="10" t="s">
        <v>9752</v>
      </c>
      <c r="E6297" s="10" t="s">
        <v>15187</v>
      </c>
      <c r="F6297" s="10" t="s">
        <v>9754</v>
      </c>
      <c r="G6297" s="10" t="s">
        <v>6317</v>
      </c>
      <c r="H6297" s="11">
        <v>42089</v>
      </c>
      <c r="I6297" s="10">
        <v>2015</v>
      </c>
      <c r="J6297" s="10" t="s">
        <v>15187</v>
      </c>
      <c r="K6297" s="10">
        <v>191</v>
      </c>
      <c r="L6297" s="10" t="s">
        <v>30976</v>
      </c>
      <c r="M6297" s="10">
        <v>1</v>
      </c>
      <c r="N6297" s="10" t="s">
        <v>15939</v>
      </c>
      <c r="O6297" s="10"/>
      <c r="P6297" s="10" t="s">
        <v>30977</v>
      </c>
      <c r="Q6297" s="10">
        <v>371.050973</v>
      </c>
      <c r="R6297" s="10" t="s">
        <v>30978</v>
      </c>
      <c r="S6297" s="10" t="s">
        <v>53</v>
      </c>
      <c r="T6297" s="10" t="s">
        <v>54</v>
      </c>
    </row>
    <row r="6298" spans="1:20" ht="14.5" x14ac:dyDescent="0.35">
      <c r="A6298" s="10" t="s">
        <v>30979</v>
      </c>
      <c r="B6298" s="10" t="str">
        <f>"9781472576897"</f>
        <v>9781472576897</v>
      </c>
      <c r="C6298" s="10" t="str">
        <f>"9781472576910"</f>
        <v>9781472576910</v>
      </c>
      <c r="D6298" s="10" t="s">
        <v>13959</v>
      </c>
      <c r="E6298" s="10" t="s">
        <v>13960</v>
      </c>
      <c r="F6298" s="10" t="s">
        <v>139</v>
      </c>
      <c r="G6298" s="10" t="s">
        <v>6352</v>
      </c>
      <c r="H6298" s="11">
        <v>41991</v>
      </c>
      <c r="I6298" s="10">
        <v>2015</v>
      </c>
      <c r="J6298" s="10" t="s">
        <v>14057</v>
      </c>
      <c r="K6298" s="10">
        <v>314</v>
      </c>
      <c r="L6298" s="10" t="s">
        <v>30980</v>
      </c>
      <c r="M6298" s="10">
        <v>1</v>
      </c>
      <c r="N6298" s="10"/>
      <c r="O6298" s="10"/>
      <c r="P6298" s="10" t="s">
        <v>30981</v>
      </c>
      <c r="Q6298" s="10" t="s">
        <v>7752</v>
      </c>
      <c r="R6298" s="10" t="s">
        <v>30982</v>
      </c>
      <c r="S6298" s="10" t="s">
        <v>53</v>
      </c>
      <c r="T6298" s="10" t="s">
        <v>6881</v>
      </c>
    </row>
    <row r="6299" spans="1:20" ht="14.5" x14ac:dyDescent="0.35">
      <c r="A6299" s="10" t="s">
        <v>30983</v>
      </c>
      <c r="B6299" s="10" t="str">
        <f>"9781441145260"</f>
        <v>9781441145260</v>
      </c>
      <c r="C6299" s="10" t="str">
        <f>"9781441167576"</f>
        <v>9781441167576</v>
      </c>
      <c r="D6299" s="10" t="s">
        <v>13959</v>
      </c>
      <c r="E6299" s="10" t="s">
        <v>13960</v>
      </c>
      <c r="F6299" s="10" t="s">
        <v>139</v>
      </c>
      <c r="G6299" s="10" t="s">
        <v>6352</v>
      </c>
      <c r="H6299" s="11">
        <v>42061</v>
      </c>
      <c r="I6299" s="10">
        <v>2015</v>
      </c>
      <c r="J6299" s="10" t="s">
        <v>14057</v>
      </c>
      <c r="K6299" s="10">
        <v>337</v>
      </c>
      <c r="L6299" s="10" t="s">
        <v>30984</v>
      </c>
      <c r="M6299" s="10">
        <v>1</v>
      </c>
      <c r="N6299" s="10" t="s">
        <v>30985</v>
      </c>
      <c r="O6299" s="10"/>
      <c r="P6299" s="10" t="s">
        <v>30986</v>
      </c>
      <c r="Q6299" s="10">
        <v>370.7</v>
      </c>
      <c r="R6299" s="10" t="s">
        <v>30987</v>
      </c>
      <c r="S6299" s="10" t="s">
        <v>53</v>
      </c>
      <c r="T6299" s="10" t="s">
        <v>54</v>
      </c>
    </row>
    <row r="6300" spans="1:20" ht="14.5" x14ac:dyDescent="0.35">
      <c r="A6300" s="10" t="s">
        <v>30988</v>
      </c>
      <c r="B6300" s="10" t="str">
        <f>"9781138848719"</f>
        <v>9781138848719</v>
      </c>
      <c r="C6300" s="10" t="str">
        <f>"9781317535805"</f>
        <v>9781317535805</v>
      </c>
      <c r="D6300" s="10" t="s">
        <v>6350</v>
      </c>
      <c r="E6300" s="10" t="s">
        <v>6351</v>
      </c>
      <c r="F6300" s="10" t="s">
        <v>5406</v>
      </c>
      <c r="G6300" s="10" t="s">
        <v>6352</v>
      </c>
      <c r="H6300" s="11">
        <v>41975</v>
      </c>
      <c r="I6300" s="10">
        <v>1992</v>
      </c>
      <c r="J6300" s="10" t="s">
        <v>6353</v>
      </c>
      <c r="K6300" s="10">
        <v>227</v>
      </c>
      <c r="L6300" s="10" t="s">
        <v>30989</v>
      </c>
      <c r="M6300" s="10">
        <v>1</v>
      </c>
      <c r="N6300" s="10" t="s">
        <v>30990</v>
      </c>
      <c r="O6300" s="10"/>
      <c r="P6300" s="10" t="s">
        <v>30991</v>
      </c>
      <c r="Q6300" s="10">
        <v>370.15</v>
      </c>
      <c r="R6300" s="10" t="s">
        <v>30992</v>
      </c>
      <c r="S6300" s="10" t="s">
        <v>53</v>
      </c>
      <c r="T6300" s="10" t="s">
        <v>54</v>
      </c>
    </row>
    <row r="6301" spans="1:20" ht="14.5" x14ac:dyDescent="0.35">
      <c r="A6301" s="10" t="s">
        <v>30993</v>
      </c>
      <c r="B6301" s="10" t="str">
        <f>"9781623493141"</f>
        <v>9781623493141</v>
      </c>
      <c r="C6301" s="10" t="str">
        <f>"9781623493158"</f>
        <v>9781623493158</v>
      </c>
      <c r="D6301" s="10" t="s">
        <v>23853</v>
      </c>
      <c r="E6301" s="10" t="s">
        <v>23854</v>
      </c>
      <c r="F6301" s="10" t="s">
        <v>3126</v>
      </c>
      <c r="G6301" s="10" t="s">
        <v>6317</v>
      </c>
      <c r="H6301" s="11">
        <v>42093</v>
      </c>
      <c r="I6301" s="10">
        <v>2015</v>
      </c>
      <c r="J6301" s="10" t="s">
        <v>23854</v>
      </c>
      <c r="K6301" s="10">
        <v>140</v>
      </c>
      <c r="L6301" s="10" t="s">
        <v>30994</v>
      </c>
      <c r="M6301" s="10">
        <v>1</v>
      </c>
      <c r="N6301" s="10"/>
      <c r="O6301" s="10"/>
      <c r="P6301" s="10" t="s">
        <v>30995</v>
      </c>
      <c r="Q6301" s="10" t="s">
        <v>29751</v>
      </c>
      <c r="R6301" s="10" t="s">
        <v>30996</v>
      </c>
      <c r="S6301" s="10" t="s">
        <v>53</v>
      </c>
      <c r="T6301" s="10" t="s">
        <v>54</v>
      </c>
    </row>
    <row r="6302" spans="1:20" ht="14.5" x14ac:dyDescent="0.35">
      <c r="A6302" s="10" t="s">
        <v>30997</v>
      </c>
      <c r="B6302" s="10" t="str">
        <f>"9781475806434"</f>
        <v>9781475806434</v>
      </c>
      <c r="C6302" s="10" t="str">
        <f>"9781475806458"</f>
        <v>9781475806458</v>
      </c>
      <c r="D6302" s="10" t="s">
        <v>9752</v>
      </c>
      <c r="E6302" s="10" t="s">
        <v>15187</v>
      </c>
      <c r="F6302" s="10" t="s">
        <v>9754</v>
      </c>
      <c r="G6302" s="10" t="s">
        <v>6317</v>
      </c>
      <c r="H6302" s="11">
        <v>42087</v>
      </c>
      <c r="I6302" s="10">
        <v>2015</v>
      </c>
      <c r="J6302" s="10" t="s">
        <v>15187</v>
      </c>
      <c r="K6302" s="10">
        <v>297</v>
      </c>
      <c r="L6302" s="10" t="s">
        <v>30998</v>
      </c>
      <c r="M6302" s="10">
        <v>1</v>
      </c>
      <c r="N6302" s="10"/>
      <c r="O6302" s="10"/>
      <c r="P6302" s="10" t="s">
        <v>30999</v>
      </c>
      <c r="Q6302" s="10">
        <v>372.21</v>
      </c>
      <c r="R6302" s="10" t="s">
        <v>31000</v>
      </c>
      <c r="S6302" s="10" t="s">
        <v>53</v>
      </c>
      <c r="T6302" s="10" t="s">
        <v>54</v>
      </c>
    </row>
    <row r="6303" spans="1:20" ht="14.5" x14ac:dyDescent="0.35">
      <c r="A6303" s="10" t="s">
        <v>31001</v>
      </c>
      <c r="B6303" s="10" t="str">
        <f>"9782806258854"</f>
        <v>9782806258854</v>
      </c>
      <c r="C6303" s="10" t="str">
        <f>"9782806258731"</f>
        <v>9782806258731</v>
      </c>
      <c r="D6303" s="10" t="s">
        <v>29172</v>
      </c>
      <c r="E6303" s="10" t="s">
        <v>29173</v>
      </c>
      <c r="F6303" s="10" t="s">
        <v>29181</v>
      </c>
      <c r="G6303" s="10" t="s">
        <v>28737</v>
      </c>
      <c r="H6303" s="11">
        <v>41989</v>
      </c>
      <c r="I6303" s="10">
        <v>2014</v>
      </c>
      <c r="J6303" s="10" t="s">
        <v>29175</v>
      </c>
      <c r="K6303" s="10">
        <v>63</v>
      </c>
      <c r="L6303" s="10" t="s">
        <v>31002</v>
      </c>
      <c r="M6303" s="10">
        <v>1</v>
      </c>
      <c r="N6303" s="10" t="s">
        <v>29177</v>
      </c>
      <c r="O6303" s="10"/>
      <c r="P6303" s="10"/>
      <c r="Q6303" s="10"/>
      <c r="R6303" s="10" t="s">
        <v>31003</v>
      </c>
      <c r="S6303" s="10" t="s">
        <v>5404</v>
      </c>
      <c r="T6303" s="10" t="s">
        <v>29186</v>
      </c>
    </row>
    <row r="6304" spans="1:20" ht="14.5" x14ac:dyDescent="0.35">
      <c r="A6304" s="10" t="s">
        <v>31004</v>
      </c>
      <c r="B6304" s="10" t="str">
        <f>"9783842889002"</f>
        <v>9783842889002</v>
      </c>
      <c r="C6304" s="10" t="str">
        <f>"9783842839007"</f>
        <v>9783842839007</v>
      </c>
      <c r="D6304" s="10" t="s">
        <v>27189</v>
      </c>
      <c r="E6304" s="10" t="s">
        <v>27190</v>
      </c>
      <c r="F6304" s="10" t="s">
        <v>2841</v>
      </c>
      <c r="G6304" s="10" t="s">
        <v>9998</v>
      </c>
      <c r="H6304" s="11">
        <v>41609</v>
      </c>
      <c r="I6304" s="10">
        <v>2015</v>
      </c>
      <c r="J6304" s="10" t="s">
        <v>27190</v>
      </c>
      <c r="K6304" s="10">
        <v>116</v>
      </c>
      <c r="L6304" s="10" t="s">
        <v>31005</v>
      </c>
      <c r="M6304" s="10">
        <v>1</v>
      </c>
      <c r="N6304" s="10"/>
      <c r="O6304" s="10"/>
      <c r="P6304" s="10" t="s">
        <v>31006</v>
      </c>
      <c r="Q6304" s="10">
        <v>371.10239999999999</v>
      </c>
      <c r="R6304" s="10" t="s">
        <v>31007</v>
      </c>
      <c r="S6304" s="10" t="s">
        <v>1519</v>
      </c>
      <c r="T6304" s="10" t="s">
        <v>54</v>
      </c>
    </row>
    <row r="6305" spans="1:20" ht="14.5" x14ac:dyDescent="0.35">
      <c r="A6305" s="10" t="s">
        <v>31008</v>
      </c>
      <c r="B6305" s="10" t="str">
        <f>"9783842889279"</f>
        <v>9783842889279</v>
      </c>
      <c r="C6305" s="10" t="str">
        <f>"9783842839274"</f>
        <v>9783842839274</v>
      </c>
      <c r="D6305" s="10" t="s">
        <v>27189</v>
      </c>
      <c r="E6305" s="10" t="s">
        <v>27190</v>
      </c>
      <c r="F6305" s="10" t="s">
        <v>2841</v>
      </c>
      <c r="G6305" s="10" t="s">
        <v>9998</v>
      </c>
      <c r="H6305" s="11">
        <v>41640</v>
      </c>
      <c r="I6305" s="10">
        <v>2015</v>
      </c>
      <c r="J6305" s="10" t="s">
        <v>27190</v>
      </c>
      <c r="K6305" s="10">
        <v>125</v>
      </c>
      <c r="L6305" s="10" t="s">
        <v>31009</v>
      </c>
      <c r="M6305" s="10">
        <v>1</v>
      </c>
      <c r="N6305" s="10"/>
      <c r="O6305" s="10"/>
      <c r="P6305" s="10" t="s">
        <v>31010</v>
      </c>
      <c r="Q6305" s="10">
        <v>371.33580000000001</v>
      </c>
      <c r="R6305" s="10" t="s">
        <v>31011</v>
      </c>
      <c r="S6305" s="10" t="s">
        <v>1519</v>
      </c>
      <c r="T6305" s="10" t="s">
        <v>54</v>
      </c>
    </row>
    <row r="6306" spans="1:20" ht="14.5" x14ac:dyDescent="0.35">
      <c r="A6306" s="10" t="s">
        <v>31012</v>
      </c>
      <c r="B6306" s="10" t="str">
        <f>"9783842889613"</f>
        <v>9783842889613</v>
      </c>
      <c r="C6306" s="10" t="str">
        <f>"9783842839618"</f>
        <v>9783842839618</v>
      </c>
      <c r="D6306" s="10" t="s">
        <v>27189</v>
      </c>
      <c r="E6306" s="10" t="s">
        <v>27190</v>
      </c>
      <c r="F6306" s="10" t="s">
        <v>2841</v>
      </c>
      <c r="G6306" s="10" t="s">
        <v>9998</v>
      </c>
      <c r="H6306" s="11">
        <v>41640</v>
      </c>
      <c r="I6306" s="10">
        <v>2015</v>
      </c>
      <c r="J6306" s="10" t="s">
        <v>27190</v>
      </c>
      <c r="K6306" s="10">
        <v>80</v>
      </c>
      <c r="L6306" s="10" t="s">
        <v>31013</v>
      </c>
      <c r="M6306" s="10">
        <v>1</v>
      </c>
      <c r="N6306" s="10"/>
      <c r="O6306" s="10"/>
      <c r="P6306" s="10" t="s">
        <v>31014</v>
      </c>
      <c r="Q6306" s="10">
        <v>362.70942000000002</v>
      </c>
      <c r="R6306" s="10" t="s">
        <v>31015</v>
      </c>
      <c r="S6306" s="10" t="s">
        <v>1519</v>
      </c>
      <c r="T6306" s="10" t="s">
        <v>6363</v>
      </c>
    </row>
    <row r="6307" spans="1:20" ht="14.5" x14ac:dyDescent="0.35">
      <c r="A6307" s="10" t="s">
        <v>31016</v>
      </c>
      <c r="B6307" s="10" t="str">
        <f>"9783842890008"</f>
        <v>9783842890008</v>
      </c>
      <c r="C6307" s="10" t="str">
        <f>"9783842840003"</f>
        <v>9783842840003</v>
      </c>
      <c r="D6307" s="10" t="s">
        <v>27189</v>
      </c>
      <c r="E6307" s="10" t="s">
        <v>27190</v>
      </c>
      <c r="F6307" s="10" t="s">
        <v>2841</v>
      </c>
      <c r="G6307" s="10" t="s">
        <v>9998</v>
      </c>
      <c r="H6307" s="11">
        <v>41640</v>
      </c>
      <c r="I6307" s="10">
        <v>2015</v>
      </c>
      <c r="J6307" s="10" t="s">
        <v>27190</v>
      </c>
      <c r="K6307" s="10">
        <v>79</v>
      </c>
      <c r="L6307" s="10" t="s">
        <v>31017</v>
      </c>
      <c r="M6307" s="10">
        <v>1</v>
      </c>
      <c r="N6307" s="10"/>
      <c r="O6307" s="10"/>
      <c r="P6307" s="10" t="s">
        <v>31018</v>
      </c>
      <c r="Q6307" s="10">
        <v>371.19200000000001</v>
      </c>
      <c r="R6307" s="10" t="s">
        <v>31019</v>
      </c>
      <c r="S6307" s="10" t="s">
        <v>1519</v>
      </c>
      <c r="T6307" s="10" t="s">
        <v>54</v>
      </c>
    </row>
    <row r="6308" spans="1:20" ht="14.5" x14ac:dyDescent="0.35">
      <c r="A6308" s="10" t="s">
        <v>31020</v>
      </c>
      <c r="B6308" s="10" t="str">
        <f>"9783842890299"</f>
        <v>9783842890299</v>
      </c>
      <c r="C6308" s="10" t="str">
        <f>"9783842840294"</f>
        <v>9783842840294</v>
      </c>
      <c r="D6308" s="10" t="s">
        <v>27189</v>
      </c>
      <c r="E6308" s="10" t="s">
        <v>27190</v>
      </c>
      <c r="F6308" s="10" t="s">
        <v>2841</v>
      </c>
      <c r="G6308" s="10" t="s">
        <v>9998</v>
      </c>
      <c r="H6308" s="11">
        <v>41640</v>
      </c>
      <c r="I6308" s="10">
        <v>2015</v>
      </c>
      <c r="J6308" s="10" t="s">
        <v>27190</v>
      </c>
      <c r="K6308" s="10">
        <v>109</v>
      </c>
      <c r="L6308" s="10" t="s">
        <v>31021</v>
      </c>
      <c r="M6308" s="10">
        <v>1</v>
      </c>
      <c r="N6308" s="10"/>
      <c r="O6308" s="10"/>
      <c r="P6308" s="10" t="s">
        <v>31022</v>
      </c>
      <c r="Q6308" s="10">
        <v>362.71199999999999</v>
      </c>
      <c r="R6308" s="10" t="s">
        <v>31023</v>
      </c>
      <c r="S6308" s="10" t="s">
        <v>1519</v>
      </c>
      <c r="T6308" s="10" t="s">
        <v>6363</v>
      </c>
    </row>
    <row r="6309" spans="1:20" ht="14.5" x14ac:dyDescent="0.35">
      <c r="A6309" s="10" t="s">
        <v>31024</v>
      </c>
      <c r="B6309" s="10" t="str">
        <f>"9783842881976"</f>
        <v>9783842881976</v>
      </c>
      <c r="C6309" s="10" t="str">
        <f>"9783842831971"</f>
        <v>9783842831971</v>
      </c>
      <c r="D6309" s="10" t="s">
        <v>27189</v>
      </c>
      <c r="E6309" s="10" t="s">
        <v>27190</v>
      </c>
      <c r="F6309" s="10" t="s">
        <v>2841</v>
      </c>
      <c r="G6309" s="10" t="s">
        <v>9998</v>
      </c>
      <c r="H6309" s="11">
        <v>41518</v>
      </c>
      <c r="I6309" s="10">
        <v>2015</v>
      </c>
      <c r="J6309" s="10" t="s">
        <v>27190</v>
      </c>
      <c r="K6309" s="10">
        <v>96</v>
      </c>
      <c r="L6309" s="10" t="s">
        <v>31025</v>
      </c>
      <c r="M6309" s="10">
        <v>1</v>
      </c>
      <c r="N6309" s="10"/>
      <c r="O6309" s="10"/>
      <c r="P6309" s="10" t="s">
        <v>31026</v>
      </c>
      <c r="Q6309" s="10">
        <v>306.43</v>
      </c>
      <c r="R6309" s="10" t="s">
        <v>31027</v>
      </c>
      <c r="S6309" s="10" t="s">
        <v>1519</v>
      </c>
      <c r="T6309" s="10" t="s">
        <v>6526</v>
      </c>
    </row>
    <row r="6310" spans="1:20" ht="14.5" x14ac:dyDescent="0.35">
      <c r="A6310" s="10" t="s">
        <v>31028</v>
      </c>
      <c r="B6310" s="10" t="str">
        <f>"9783842882027"</f>
        <v>9783842882027</v>
      </c>
      <c r="C6310" s="10" t="str">
        <f>"9783842832022"</f>
        <v>9783842832022</v>
      </c>
      <c r="D6310" s="10" t="s">
        <v>27189</v>
      </c>
      <c r="E6310" s="10" t="s">
        <v>27190</v>
      </c>
      <c r="F6310" s="10" t="s">
        <v>2841</v>
      </c>
      <c r="G6310" s="10" t="s">
        <v>9998</v>
      </c>
      <c r="H6310" s="11">
        <v>41487</v>
      </c>
      <c r="I6310" s="10">
        <v>2015</v>
      </c>
      <c r="J6310" s="10" t="s">
        <v>27190</v>
      </c>
      <c r="K6310" s="10">
        <v>114</v>
      </c>
      <c r="L6310" s="10" t="s">
        <v>31029</v>
      </c>
      <c r="M6310" s="10">
        <v>1</v>
      </c>
      <c r="N6310" s="10"/>
      <c r="O6310" s="10"/>
      <c r="P6310" s="10" t="s">
        <v>31030</v>
      </c>
      <c r="Q6310" s="10">
        <v>232</v>
      </c>
      <c r="R6310" s="10" t="s">
        <v>31031</v>
      </c>
      <c r="S6310" s="10" t="s">
        <v>1519</v>
      </c>
      <c r="T6310" s="10" t="s">
        <v>8346</v>
      </c>
    </row>
    <row r="6311" spans="1:20" ht="14.5" x14ac:dyDescent="0.35">
      <c r="A6311" s="10" t="s">
        <v>31032</v>
      </c>
      <c r="B6311" s="10" t="str">
        <f>"9783842886698"</f>
        <v>9783842886698</v>
      </c>
      <c r="C6311" s="10" t="str">
        <f>"9783842836693"</f>
        <v>9783842836693</v>
      </c>
      <c r="D6311" s="10" t="s">
        <v>27189</v>
      </c>
      <c r="E6311" s="10" t="s">
        <v>27190</v>
      </c>
      <c r="F6311" s="10" t="s">
        <v>2841</v>
      </c>
      <c r="G6311" s="10" t="s">
        <v>9998</v>
      </c>
      <c r="H6311" s="11">
        <v>41548</v>
      </c>
      <c r="I6311" s="10">
        <v>2015</v>
      </c>
      <c r="J6311" s="10" t="s">
        <v>27190</v>
      </c>
      <c r="K6311" s="10">
        <v>81</v>
      </c>
      <c r="L6311" s="10" t="s">
        <v>31033</v>
      </c>
      <c r="M6311" s="10">
        <v>1</v>
      </c>
      <c r="N6311" s="10"/>
      <c r="O6311" s="10"/>
      <c r="P6311" s="10" t="s">
        <v>31034</v>
      </c>
      <c r="Q6311" s="10">
        <v>372.13340941000001</v>
      </c>
      <c r="R6311" s="10" t="s">
        <v>31035</v>
      </c>
      <c r="S6311" s="10" t="s">
        <v>1519</v>
      </c>
      <c r="T6311" s="10" t="s">
        <v>54</v>
      </c>
    </row>
    <row r="6312" spans="1:20" ht="14.5" x14ac:dyDescent="0.35">
      <c r="A6312" s="10" t="s">
        <v>31036</v>
      </c>
      <c r="B6312" s="10" t="str">
        <f>"9783842886599"</f>
        <v>9783842886599</v>
      </c>
      <c r="C6312" s="10" t="str">
        <f>"9783842836594"</f>
        <v>9783842836594</v>
      </c>
      <c r="D6312" s="10" t="s">
        <v>27189</v>
      </c>
      <c r="E6312" s="10" t="s">
        <v>27190</v>
      </c>
      <c r="F6312" s="10" t="s">
        <v>2841</v>
      </c>
      <c r="G6312" s="10" t="s">
        <v>9998</v>
      </c>
      <c r="H6312" s="11">
        <v>41518</v>
      </c>
      <c r="I6312" s="10">
        <v>2015</v>
      </c>
      <c r="J6312" s="10" t="s">
        <v>27190</v>
      </c>
      <c r="K6312" s="10">
        <v>124</v>
      </c>
      <c r="L6312" s="10" t="s">
        <v>31037</v>
      </c>
      <c r="M6312" s="10">
        <v>1</v>
      </c>
      <c r="N6312" s="10"/>
      <c r="O6312" s="10"/>
      <c r="P6312" s="10" t="s">
        <v>31038</v>
      </c>
      <c r="Q6312" s="10">
        <v>371.950943</v>
      </c>
      <c r="R6312" s="10" t="s">
        <v>31039</v>
      </c>
      <c r="S6312" s="10" t="s">
        <v>1519</v>
      </c>
      <c r="T6312" s="10" t="s">
        <v>54</v>
      </c>
    </row>
    <row r="6313" spans="1:20" ht="14.5" x14ac:dyDescent="0.35">
      <c r="A6313" s="10" t="s">
        <v>31040</v>
      </c>
      <c r="B6313" s="10" t="str">
        <f>"9783842882782"</f>
        <v>9783842882782</v>
      </c>
      <c r="C6313" s="10" t="str">
        <f>"9783842832787"</f>
        <v>9783842832787</v>
      </c>
      <c r="D6313" s="10" t="s">
        <v>27189</v>
      </c>
      <c r="E6313" s="10" t="s">
        <v>27190</v>
      </c>
      <c r="F6313" s="10" t="s">
        <v>2841</v>
      </c>
      <c r="G6313" s="10" t="s">
        <v>9998</v>
      </c>
      <c r="H6313" s="11">
        <v>41456</v>
      </c>
      <c r="I6313" s="10">
        <v>2015</v>
      </c>
      <c r="J6313" s="10" t="s">
        <v>27190</v>
      </c>
      <c r="K6313" s="10">
        <v>128</v>
      </c>
      <c r="L6313" s="10" t="s">
        <v>31041</v>
      </c>
      <c r="M6313" s="10">
        <v>1</v>
      </c>
      <c r="N6313" s="10"/>
      <c r="O6313" s="10"/>
      <c r="P6313" s="10" t="s">
        <v>31042</v>
      </c>
      <c r="Q6313" s="10">
        <v>371.78199999999998</v>
      </c>
      <c r="R6313" s="10" t="s">
        <v>31043</v>
      </c>
      <c r="S6313" s="10" t="s">
        <v>1519</v>
      </c>
      <c r="T6313" s="10" t="s">
        <v>54</v>
      </c>
    </row>
    <row r="6314" spans="1:20" ht="14.5" x14ac:dyDescent="0.35">
      <c r="A6314" s="10" t="s">
        <v>31044</v>
      </c>
      <c r="B6314" s="10" t="str">
        <f>"9783842882850"</f>
        <v>9783842882850</v>
      </c>
      <c r="C6314" s="10" t="str">
        <f>"9783842832855"</f>
        <v>9783842832855</v>
      </c>
      <c r="D6314" s="10" t="s">
        <v>27189</v>
      </c>
      <c r="E6314" s="10" t="s">
        <v>27190</v>
      </c>
      <c r="F6314" s="10" t="s">
        <v>2841</v>
      </c>
      <c r="G6314" s="10" t="s">
        <v>9998</v>
      </c>
      <c r="H6314" s="11">
        <v>41456</v>
      </c>
      <c r="I6314" s="10">
        <v>2015</v>
      </c>
      <c r="J6314" s="10" t="s">
        <v>27190</v>
      </c>
      <c r="K6314" s="10">
        <v>112</v>
      </c>
      <c r="L6314" s="10" t="s">
        <v>31045</v>
      </c>
      <c r="M6314" s="10">
        <v>1</v>
      </c>
      <c r="N6314" s="10"/>
      <c r="O6314" s="10"/>
      <c r="P6314" s="10" t="s">
        <v>31046</v>
      </c>
      <c r="Q6314" s="10">
        <v>371.392</v>
      </c>
      <c r="R6314" s="10" t="s">
        <v>31047</v>
      </c>
      <c r="S6314" s="10" t="s">
        <v>1519</v>
      </c>
      <c r="T6314" s="10" t="s">
        <v>54</v>
      </c>
    </row>
    <row r="6315" spans="1:20" ht="14.5" x14ac:dyDescent="0.35">
      <c r="A6315" s="10" t="s">
        <v>31048</v>
      </c>
      <c r="B6315" s="10" t="str">
        <f>"9783842883833"</f>
        <v>9783842883833</v>
      </c>
      <c r="C6315" s="10" t="str">
        <f>"9783842833838"</f>
        <v>9783842833838</v>
      </c>
      <c r="D6315" s="10" t="s">
        <v>27189</v>
      </c>
      <c r="E6315" s="10" t="s">
        <v>27190</v>
      </c>
      <c r="F6315" s="10" t="s">
        <v>2841</v>
      </c>
      <c r="G6315" s="10" t="s">
        <v>9998</v>
      </c>
      <c r="H6315" s="11">
        <v>41548</v>
      </c>
      <c r="I6315" s="10">
        <v>2015</v>
      </c>
      <c r="J6315" s="10" t="s">
        <v>27190</v>
      </c>
      <c r="K6315" s="10">
        <v>80</v>
      </c>
      <c r="L6315" s="10" t="s">
        <v>31049</v>
      </c>
      <c r="M6315" s="10">
        <v>1</v>
      </c>
      <c r="N6315" s="10"/>
      <c r="O6315" s="10"/>
      <c r="P6315" s="10" t="s">
        <v>31050</v>
      </c>
      <c r="Q6315" s="10">
        <v>364.3</v>
      </c>
      <c r="R6315" s="10" t="s">
        <v>31051</v>
      </c>
      <c r="S6315" s="10" t="s">
        <v>1519</v>
      </c>
      <c r="T6315" s="10" t="s">
        <v>6363</v>
      </c>
    </row>
    <row r="6316" spans="1:20" ht="14.5" x14ac:dyDescent="0.35">
      <c r="A6316" s="10" t="s">
        <v>31052</v>
      </c>
      <c r="B6316" s="10" t="str">
        <f>"9783842884120"</f>
        <v>9783842884120</v>
      </c>
      <c r="C6316" s="10" t="str">
        <f>"9783842834125"</f>
        <v>9783842834125</v>
      </c>
      <c r="D6316" s="10" t="s">
        <v>27189</v>
      </c>
      <c r="E6316" s="10" t="s">
        <v>27190</v>
      </c>
      <c r="F6316" s="10" t="s">
        <v>2841</v>
      </c>
      <c r="G6316" s="10" t="s">
        <v>9998</v>
      </c>
      <c r="H6316" s="11">
        <v>41487</v>
      </c>
      <c r="I6316" s="10">
        <v>2015</v>
      </c>
      <c r="J6316" s="10" t="s">
        <v>27190</v>
      </c>
      <c r="K6316" s="10">
        <v>100</v>
      </c>
      <c r="L6316" s="10" t="s">
        <v>31053</v>
      </c>
      <c r="M6316" s="10">
        <v>1</v>
      </c>
      <c r="N6316" s="10"/>
      <c r="O6316" s="10"/>
      <c r="P6316" s="10" t="s">
        <v>31054</v>
      </c>
      <c r="Q6316" s="10">
        <v>371.82691199999999</v>
      </c>
      <c r="R6316" s="10" t="s">
        <v>31055</v>
      </c>
      <c r="S6316" s="10" t="s">
        <v>1519</v>
      </c>
      <c r="T6316" s="10" t="s">
        <v>54</v>
      </c>
    </row>
    <row r="6317" spans="1:20" ht="14.5" x14ac:dyDescent="0.35">
      <c r="A6317" s="10" t="s">
        <v>31056</v>
      </c>
      <c r="B6317" s="10" t="str">
        <f>"9783842884199"</f>
        <v>9783842884199</v>
      </c>
      <c r="C6317" s="10" t="str">
        <f>"9783842834194"</f>
        <v>9783842834194</v>
      </c>
      <c r="D6317" s="10" t="s">
        <v>27189</v>
      </c>
      <c r="E6317" s="10" t="s">
        <v>27190</v>
      </c>
      <c r="F6317" s="10" t="s">
        <v>2841</v>
      </c>
      <c r="G6317" s="10" t="s">
        <v>9998</v>
      </c>
      <c r="H6317" s="11">
        <v>41518</v>
      </c>
      <c r="I6317" s="10">
        <v>2015</v>
      </c>
      <c r="J6317" s="10" t="s">
        <v>27190</v>
      </c>
      <c r="K6317" s="10">
        <v>110</v>
      </c>
      <c r="L6317" s="10" t="s">
        <v>31057</v>
      </c>
      <c r="M6317" s="10">
        <v>1</v>
      </c>
      <c r="N6317" s="10"/>
      <c r="O6317" s="10"/>
      <c r="P6317" s="10" t="s">
        <v>31058</v>
      </c>
      <c r="Q6317" s="10">
        <v>371.2</v>
      </c>
      <c r="R6317" s="10" t="s">
        <v>16762</v>
      </c>
      <c r="S6317" s="10" t="s">
        <v>1519</v>
      </c>
      <c r="T6317" s="10" t="s">
        <v>54</v>
      </c>
    </row>
    <row r="6318" spans="1:20" ht="14.5" x14ac:dyDescent="0.35">
      <c r="A6318" s="10" t="s">
        <v>31059</v>
      </c>
      <c r="B6318" s="10" t="str">
        <f>"9783842885899"</f>
        <v>9783842885899</v>
      </c>
      <c r="C6318" s="10" t="str">
        <f>"9783842835894"</f>
        <v>9783842835894</v>
      </c>
      <c r="D6318" s="10" t="s">
        <v>27189</v>
      </c>
      <c r="E6318" s="10" t="s">
        <v>27190</v>
      </c>
      <c r="F6318" s="10" t="s">
        <v>2841</v>
      </c>
      <c r="G6318" s="10" t="s">
        <v>9998</v>
      </c>
      <c r="H6318" s="11">
        <v>41518</v>
      </c>
      <c r="I6318" s="10">
        <v>2015</v>
      </c>
      <c r="J6318" s="10" t="s">
        <v>27190</v>
      </c>
      <c r="K6318" s="10">
        <v>75</v>
      </c>
      <c r="L6318" s="10" t="s">
        <v>31060</v>
      </c>
      <c r="M6318" s="10">
        <v>1</v>
      </c>
      <c r="N6318" s="10"/>
      <c r="O6318" s="10"/>
      <c r="P6318" s="10" t="s">
        <v>31061</v>
      </c>
      <c r="Q6318" s="10">
        <v>371.334</v>
      </c>
      <c r="R6318" s="10" t="s">
        <v>31062</v>
      </c>
      <c r="S6318" s="10" t="s">
        <v>1519</v>
      </c>
      <c r="T6318" s="10" t="s">
        <v>54</v>
      </c>
    </row>
    <row r="6319" spans="1:20" ht="14.5" x14ac:dyDescent="0.35">
      <c r="A6319" s="10" t="s">
        <v>31063</v>
      </c>
      <c r="B6319" s="10" t="str">
        <f>"9783842885943"</f>
        <v>9783842885943</v>
      </c>
      <c r="C6319" s="10" t="str">
        <f>"9783842835948"</f>
        <v>9783842835948</v>
      </c>
      <c r="D6319" s="10" t="s">
        <v>27189</v>
      </c>
      <c r="E6319" s="10" t="s">
        <v>27190</v>
      </c>
      <c r="F6319" s="10" t="s">
        <v>2841</v>
      </c>
      <c r="G6319" s="10" t="s">
        <v>9998</v>
      </c>
      <c r="H6319" s="11">
        <v>41518</v>
      </c>
      <c r="I6319" s="10">
        <v>2015</v>
      </c>
      <c r="J6319" s="10" t="s">
        <v>27190</v>
      </c>
      <c r="K6319" s="10">
        <v>68</v>
      </c>
      <c r="L6319" s="10" t="s">
        <v>31064</v>
      </c>
      <c r="M6319" s="10">
        <v>1</v>
      </c>
      <c r="N6319" s="10"/>
      <c r="O6319" s="10"/>
      <c r="P6319" s="10" t="s">
        <v>31065</v>
      </c>
      <c r="Q6319" s="10">
        <v>371.39109430000002</v>
      </c>
      <c r="R6319" s="10" t="s">
        <v>31066</v>
      </c>
      <c r="S6319" s="10" t="s">
        <v>1519</v>
      </c>
      <c r="T6319" s="10" t="s">
        <v>54</v>
      </c>
    </row>
    <row r="6320" spans="1:20" ht="14.5" x14ac:dyDescent="0.35">
      <c r="A6320" s="10" t="s">
        <v>31067</v>
      </c>
      <c r="B6320" s="10" t="str">
        <f>"9783842882218"</f>
        <v>9783842882218</v>
      </c>
      <c r="C6320" s="10" t="str">
        <f>"9783842832213"</f>
        <v>9783842832213</v>
      </c>
      <c r="D6320" s="10" t="s">
        <v>27189</v>
      </c>
      <c r="E6320" s="10" t="s">
        <v>27190</v>
      </c>
      <c r="F6320" s="10" t="s">
        <v>2841</v>
      </c>
      <c r="G6320" s="10" t="s">
        <v>9998</v>
      </c>
      <c r="H6320" s="11">
        <v>41487</v>
      </c>
      <c r="I6320" s="10">
        <v>2015</v>
      </c>
      <c r="J6320" s="10" t="s">
        <v>27190</v>
      </c>
      <c r="K6320" s="10">
        <v>85</v>
      </c>
      <c r="L6320" s="10" t="s">
        <v>31068</v>
      </c>
      <c r="M6320" s="10">
        <v>1</v>
      </c>
      <c r="N6320" s="10"/>
      <c r="O6320" s="10"/>
      <c r="P6320" s="10" t="s">
        <v>31069</v>
      </c>
      <c r="Q6320" s="10">
        <v>371.90973000000002</v>
      </c>
      <c r="R6320" s="10" t="s">
        <v>31070</v>
      </c>
      <c r="S6320" s="10" t="s">
        <v>1519</v>
      </c>
      <c r="T6320" s="10" t="s">
        <v>54</v>
      </c>
    </row>
    <row r="6321" spans="1:20" ht="14.5" x14ac:dyDescent="0.35">
      <c r="A6321" s="10" t="s">
        <v>31071</v>
      </c>
      <c r="B6321" s="10" t="str">
        <f>"9783958509696"</f>
        <v>9783958509696</v>
      </c>
      <c r="C6321" s="10" t="str">
        <f>"9783958504691"</f>
        <v>9783958504691</v>
      </c>
      <c r="D6321" s="10" t="s">
        <v>27189</v>
      </c>
      <c r="E6321" s="10" t="s">
        <v>27190</v>
      </c>
      <c r="F6321" s="10" t="s">
        <v>2841</v>
      </c>
      <c r="G6321" s="10" t="s">
        <v>9998</v>
      </c>
      <c r="H6321" s="11">
        <v>42064</v>
      </c>
      <c r="I6321" s="10">
        <v>2015</v>
      </c>
      <c r="J6321" s="10" t="s">
        <v>27190</v>
      </c>
      <c r="K6321" s="10">
        <v>79</v>
      </c>
      <c r="L6321" s="10" t="s">
        <v>31072</v>
      </c>
      <c r="M6321" s="10">
        <v>1</v>
      </c>
      <c r="N6321" s="10"/>
      <c r="O6321" s="10"/>
      <c r="P6321" s="10" t="s">
        <v>31073</v>
      </c>
      <c r="Q6321" s="10">
        <v>362.22</v>
      </c>
      <c r="R6321" s="10" t="s">
        <v>31074</v>
      </c>
      <c r="S6321" s="10" t="s">
        <v>1519</v>
      </c>
      <c r="T6321" s="10" t="s">
        <v>8493</v>
      </c>
    </row>
    <row r="6322" spans="1:20" ht="14.5" x14ac:dyDescent="0.35">
      <c r="A6322" s="10" t="s">
        <v>31075</v>
      </c>
      <c r="B6322" s="10" t="str">
        <f>"9783959345002"</f>
        <v>9783959345002</v>
      </c>
      <c r="C6322" s="10" t="str">
        <f>"9783959340007"</f>
        <v>9783959340007</v>
      </c>
      <c r="D6322" s="10" t="s">
        <v>27189</v>
      </c>
      <c r="E6322" s="10" t="s">
        <v>27190</v>
      </c>
      <c r="F6322" s="10" t="s">
        <v>2841</v>
      </c>
      <c r="G6322" s="10" t="s">
        <v>9998</v>
      </c>
      <c r="H6322" s="11">
        <v>42064</v>
      </c>
      <c r="I6322" s="10">
        <v>2015</v>
      </c>
      <c r="J6322" s="10" t="s">
        <v>27190</v>
      </c>
      <c r="K6322" s="10">
        <v>86</v>
      </c>
      <c r="L6322" s="10" t="s">
        <v>31076</v>
      </c>
      <c r="M6322" s="10">
        <v>1</v>
      </c>
      <c r="N6322" s="10"/>
      <c r="O6322" s="10"/>
      <c r="P6322" s="10" t="s">
        <v>31077</v>
      </c>
      <c r="Q6322" s="10">
        <v>306.76620000000003</v>
      </c>
      <c r="R6322" s="10" t="s">
        <v>31078</v>
      </c>
      <c r="S6322" s="10" t="s">
        <v>1519</v>
      </c>
      <c r="T6322" s="10" t="s">
        <v>6363</v>
      </c>
    </row>
    <row r="6323" spans="1:20" ht="14.5" x14ac:dyDescent="0.35">
      <c r="A6323" s="10" t="s">
        <v>31079</v>
      </c>
      <c r="B6323" s="10" t="str">
        <f>"9783842896895"</f>
        <v>9783842896895</v>
      </c>
      <c r="C6323" s="10" t="str">
        <f>"9783842846890"</f>
        <v>9783842846890</v>
      </c>
      <c r="D6323" s="10" t="s">
        <v>27189</v>
      </c>
      <c r="E6323" s="10" t="s">
        <v>27190</v>
      </c>
      <c r="F6323" s="10" t="s">
        <v>2841</v>
      </c>
      <c r="G6323" s="10" t="s">
        <v>9998</v>
      </c>
      <c r="H6323" s="11">
        <v>41730</v>
      </c>
      <c r="I6323" s="10">
        <v>2015</v>
      </c>
      <c r="J6323" s="10" t="s">
        <v>27190</v>
      </c>
      <c r="K6323" s="10">
        <v>116</v>
      </c>
      <c r="L6323" s="10" t="s">
        <v>31080</v>
      </c>
      <c r="M6323" s="10">
        <v>1</v>
      </c>
      <c r="N6323" s="10"/>
      <c r="O6323" s="10"/>
      <c r="P6323" s="10" t="s">
        <v>31081</v>
      </c>
      <c r="Q6323" s="10">
        <v>371.39</v>
      </c>
      <c r="R6323" s="10" t="s">
        <v>31082</v>
      </c>
      <c r="S6323" s="10" t="s">
        <v>1519</v>
      </c>
      <c r="T6323" s="10" t="s">
        <v>54</v>
      </c>
    </row>
    <row r="6324" spans="1:20" ht="14.5" x14ac:dyDescent="0.35">
      <c r="A6324" s="10" t="s">
        <v>31083</v>
      </c>
      <c r="B6324" s="10" t="str">
        <f>"9781598576566"</f>
        <v>9781598576566</v>
      </c>
      <c r="C6324" s="10" t="str">
        <f>"9781598577907"</f>
        <v>9781598577907</v>
      </c>
      <c r="D6324" s="10" t="s">
        <v>28876</v>
      </c>
      <c r="E6324" s="10" t="s">
        <v>28877</v>
      </c>
      <c r="F6324" s="10" t="s">
        <v>885</v>
      </c>
      <c r="G6324" s="10" t="s">
        <v>6317</v>
      </c>
      <c r="H6324" s="11">
        <v>42041</v>
      </c>
      <c r="I6324" s="10">
        <v>2015</v>
      </c>
      <c r="J6324" s="10" t="s">
        <v>28877</v>
      </c>
      <c r="K6324" s="10">
        <v>193</v>
      </c>
      <c r="L6324" s="10" t="s">
        <v>31084</v>
      </c>
      <c r="M6324" s="10">
        <v>3</v>
      </c>
      <c r="N6324" s="10" t="s">
        <v>30963</v>
      </c>
      <c r="O6324" s="10"/>
      <c r="P6324" s="10" t="s">
        <v>31085</v>
      </c>
      <c r="Q6324" s="10" t="s">
        <v>6576</v>
      </c>
      <c r="R6324" s="10" t="s">
        <v>31086</v>
      </c>
      <c r="S6324" s="10" t="s">
        <v>53</v>
      </c>
      <c r="T6324" s="10" t="s">
        <v>54</v>
      </c>
    </row>
    <row r="6325" spans="1:20" ht="14.5" x14ac:dyDescent="0.35">
      <c r="A6325" s="10" t="s">
        <v>31087</v>
      </c>
      <c r="B6325" s="10" t="str">
        <f>"9781784416584"</f>
        <v>9781784416584</v>
      </c>
      <c r="C6325" s="10" t="str">
        <f>"9781784416577"</f>
        <v>9781784416577</v>
      </c>
      <c r="D6325" s="10" t="s">
        <v>8699</v>
      </c>
      <c r="E6325" s="10" t="s">
        <v>8699</v>
      </c>
      <c r="F6325" s="10" t="s">
        <v>559</v>
      </c>
      <c r="G6325" s="10" t="s">
        <v>6352</v>
      </c>
      <c r="H6325" s="11">
        <v>42090</v>
      </c>
      <c r="I6325" s="10">
        <v>2015</v>
      </c>
      <c r="J6325" s="10" t="s">
        <v>8699</v>
      </c>
      <c r="K6325" s="10">
        <v>142</v>
      </c>
      <c r="L6325" s="10" t="s">
        <v>31088</v>
      </c>
      <c r="M6325" s="10">
        <v>1</v>
      </c>
      <c r="N6325" s="10" t="s">
        <v>14550</v>
      </c>
      <c r="O6325" s="10">
        <v>29</v>
      </c>
      <c r="P6325" s="10" t="s">
        <v>29781</v>
      </c>
      <c r="Q6325" s="10"/>
      <c r="R6325" s="10" t="s">
        <v>31089</v>
      </c>
      <c r="S6325" s="10" t="s">
        <v>53</v>
      </c>
      <c r="T6325" s="10" t="s">
        <v>8760</v>
      </c>
    </row>
    <row r="6326" spans="1:20" ht="14.5" x14ac:dyDescent="0.35">
      <c r="A6326" s="10" t="s">
        <v>31090</v>
      </c>
      <c r="B6326" s="10" t="str">
        <f>"9781475807479"</f>
        <v>9781475807479</v>
      </c>
      <c r="C6326" s="10" t="str">
        <f>"9781475807493"</f>
        <v>9781475807493</v>
      </c>
      <c r="D6326" s="10" t="s">
        <v>9752</v>
      </c>
      <c r="E6326" s="10" t="s">
        <v>15187</v>
      </c>
      <c r="F6326" s="10" t="s">
        <v>9754</v>
      </c>
      <c r="G6326" s="10" t="s">
        <v>6317</v>
      </c>
      <c r="H6326" s="11">
        <v>42088</v>
      </c>
      <c r="I6326" s="10">
        <v>2015</v>
      </c>
      <c r="J6326" s="10" t="s">
        <v>15187</v>
      </c>
      <c r="K6326" s="10">
        <v>209</v>
      </c>
      <c r="L6326" s="10" t="s">
        <v>31091</v>
      </c>
      <c r="M6326" s="10">
        <v>1</v>
      </c>
      <c r="N6326" s="10"/>
      <c r="O6326" s="10"/>
      <c r="P6326" s="10" t="s">
        <v>31092</v>
      </c>
      <c r="Q6326" s="10" t="s">
        <v>10031</v>
      </c>
      <c r="R6326" s="10" t="s">
        <v>31093</v>
      </c>
      <c r="S6326" s="10" t="s">
        <v>53</v>
      </c>
      <c r="T6326" s="10" t="s">
        <v>54</v>
      </c>
    </row>
    <row r="6327" spans="1:20" ht="14.5" x14ac:dyDescent="0.35">
      <c r="A6327" s="10" t="s">
        <v>31094</v>
      </c>
      <c r="B6327" s="10" t="str">
        <f>"9781557289162"</f>
        <v>9781557289162</v>
      </c>
      <c r="C6327" s="10" t="str">
        <f>"9781610750011"</f>
        <v>9781610750011</v>
      </c>
      <c r="D6327" s="10" t="s">
        <v>20156</v>
      </c>
      <c r="E6327" s="10" t="s">
        <v>31095</v>
      </c>
      <c r="F6327" s="10" t="s">
        <v>324</v>
      </c>
      <c r="G6327" s="10" t="s">
        <v>6317</v>
      </c>
      <c r="H6327" s="11">
        <v>40118</v>
      </c>
      <c r="I6327" s="10">
        <v>2009</v>
      </c>
      <c r="J6327" s="10" t="s">
        <v>31095</v>
      </c>
      <c r="K6327" s="10">
        <v>386</v>
      </c>
      <c r="L6327" s="10" t="s">
        <v>31096</v>
      </c>
      <c r="M6327" s="10">
        <v>1</v>
      </c>
      <c r="N6327" s="10"/>
      <c r="O6327" s="10"/>
      <c r="P6327" s="10" t="s">
        <v>11140</v>
      </c>
      <c r="Q6327" s="10" t="s">
        <v>31097</v>
      </c>
      <c r="R6327" s="10" t="s">
        <v>31098</v>
      </c>
      <c r="S6327" s="10" t="s">
        <v>53</v>
      </c>
      <c r="T6327" s="10" t="s">
        <v>54</v>
      </c>
    </row>
    <row r="6328" spans="1:20" ht="14.5" x14ac:dyDescent="0.35">
      <c r="A6328" s="10" t="s">
        <v>31099</v>
      </c>
      <c r="B6328" s="10" t="str">
        <f>"9781557288745"</f>
        <v>9781557288745</v>
      </c>
      <c r="C6328" s="10" t="str">
        <f>"9781610751421"</f>
        <v>9781610751421</v>
      </c>
      <c r="D6328" s="10" t="s">
        <v>20156</v>
      </c>
      <c r="E6328" s="10" t="s">
        <v>31095</v>
      </c>
      <c r="F6328" s="10" t="s">
        <v>324</v>
      </c>
      <c r="G6328" s="10" t="s">
        <v>6317</v>
      </c>
      <c r="H6328" s="11">
        <v>39508</v>
      </c>
      <c r="I6328" s="10">
        <v>2008</v>
      </c>
      <c r="J6328" s="10" t="s">
        <v>31095</v>
      </c>
      <c r="K6328" s="10">
        <v>217</v>
      </c>
      <c r="L6328" s="10" t="s">
        <v>31100</v>
      </c>
      <c r="M6328" s="10">
        <v>1</v>
      </c>
      <c r="N6328" s="10"/>
      <c r="O6328" s="10"/>
      <c r="P6328" s="10" t="s">
        <v>31101</v>
      </c>
      <c r="Q6328" s="10" t="s">
        <v>16164</v>
      </c>
      <c r="R6328" s="10" t="s">
        <v>31102</v>
      </c>
      <c r="S6328" s="10" t="s">
        <v>53</v>
      </c>
      <c r="T6328" s="10" t="s">
        <v>54</v>
      </c>
    </row>
    <row r="6329" spans="1:20" ht="14.5" x14ac:dyDescent="0.35">
      <c r="A6329" s="10" t="s">
        <v>31103</v>
      </c>
      <c r="B6329" s="10" t="str">
        <f>"9781557289001"</f>
        <v>9781557289001</v>
      </c>
      <c r="C6329" s="10" t="str">
        <f>"9781610751520"</f>
        <v>9781610751520</v>
      </c>
      <c r="D6329" s="10" t="s">
        <v>20156</v>
      </c>
      <c r="E6329" s="10" t="s">
        <v>31095</v>
      </c>
      <c r="F6329" s="10" t="s">
        <v>324</v>
      </c>
      <c r="G6329" s="10" t="s">
        <v>6317</v>
      </c>
      <c r="H6329" s="11">
        <v>39889</v>
      </c>
      <c r="I6329" s="10">
        <v>2009</v>
      </c>
      <c r="J6329" s="10" t="s">
        <v>31095</v>
      </c>
      <c r="K6329" s="10">
        <v>274</v>
      </c>
      <c r="L6329" s="10" t="s">
        <v>31104</v>
      </c>
      <c r="M6329" s="10">
        <v>1</v>
      </c>
      <c r="N6329" s="10"/>
      <c r="O6329" s="10"/>
      <c r="P6329" s="10" t="s">
        <v>31101</v>
      </c>
      <c r="Q6329" s="10">
        <v>379.26309767730902</v>
      </c>
      <c r="R6329" s="10" t="s">
        <v>31105</v>
      </c>
      <c r="S6329" s="10" t="s">
        <v>53</v>
      </c>
      <c r="T6329" s="10" t="s">
        <v>54</v>
      </c>
    </row>
    <row r="6330" spans="1:20" ht="14.5" x14ac:dyDescent="0.35">
      <c r="A6330" s="10" t="s">
        <v>31106</v>
      </c>
      <c r="B6330" s="10" t="str">
        <f>"9781557289186"</f>
        <v>9781557289186</v>
      </c>
      <c r="C6330" s="10" t="str">
        <f>"9781610752312"</f>
        <v>9781610752312</v>
      </c>
      <c r="D6330" s="10" t="s">
        <v>20156</v>
      </c>
      <c r="E6330" s="10" t="s">
        <v>31095</v>
      </c>
      <c r="F6330" s="10" t="s">
        <v>324</v>
      </c>
      <c r="G6330" s="10" t="s">
        <v>6317</v>
      </c>
      <c r="H6330" s="11">
        <v>39995</v>
      </c>
      <c r="I6330" s="10">
        <v>2009</v>
      </c>
      <c r="J6330" s="10" t="s">
        <v>31095</v>
      </c>
      <c r="K6330" s="10">
        <v>183</v>
      </c>
      <c r="L6330" s="10" t="s">
        <v>31107</v>
      </c>
      <c r="M6330" s="10">
        <v>1</v>
      </c>
      <c r="N6330" s="10"/>
      <c r="O6330" s="10"/>
      <c r="P6330" s="10" t="s">
        <v>31108</v>
      </c>
      <c r="Q6330" s="10" t="s">
        <v>31109</v>
      </c>
      <c r="R6330" s="10" t="s">
        <v>31110</v>
      </c>
      <c r="S6330" s="10" t="s">
        <v>53</v>
      </c>
      <c r="T6330" s="10" t="s">
        <v>54</v>
      </c>
    </row>
    <row r="6331" spans="1:20" ht="14.5" x14ac:dyDescent="0.35">
      <c r="A6331" s="10" t="s">
        <v>31111</v>
      </c>
      <c r="B6331" s="10" t="str">
        <f>"9781557288608"</f>
        <v>9781557288608</v>
      </c>
      <c r="C6331" s="10" t="str">
        <f>"9781610752732"</f>
        <v>9781610752732</v>
      </c>
      <c r="D6331" s="10" t="s">
        <v>20156</v>
      </c>
      <c r="E6331" s="10" t="s">
        <v>31095</v>
      </c>
      <c r="F6331" s="10" t="s">
        <v>324</v>
      </c>
      <c r="G6331" s="10" t="s">
        <v>6317</v>
      </c>
      <c r="H6331" s="11">
        <v>39264</v>
      </c>
      <c r="I6331" s="10">
        <v>2007</v>
      </c>
      <c r="J6331" s="10" t="s">
        <v>31095</v>
      </c>
      <c r="K6331" s="10">
        <v>186</v>
      </c>
      <c r="L6331" s="10" t="s">
        <v>31107</v>
      </c>
      <c r="M6331" s="10">
        <v>1</v>
      </c>
      <c r="N6331" s="10"/>
      <c r="O6331" s="10"/>
      <c r="P6331" s="10" t="s">
        <v>31108</v>
      </c>
      <c r="Q6331" s="10" t="s">
        <v>31112</v>
      </c>
      <c r="R6331" s="10" t="s">
        <v>31113</v>
      </c>
      <c r="S6331" s="10" t="s">
        <v>53</v>
      </c>
      <c r="T6331" s="10" t="s">
        <v>54</v>
      </c>
    </row>
    <row r="6332" spans="1:20" ht="14.5" x14ac:dyDescent="0.35">
      <c r="A6332" s="10" t="s">
        <v>31114</v>
      </c>
      <c r="B6332" s="10" t="str">
        <f>"9781557286406"</f>
        <v>9781557286406</v>
      </c>
      <c r="C6332" s="10" t="str">
        <f>"9781610755283"</f>
        <v>9781610755283</v>
      </c>
      <c r="D6332" s="10" t="s">
        <v>20156</v>
      </c>
      <c r="E6332" s="10" t="s">
        <v>31095</v>
      </c>
      <c r="F6332" s="10" t="s">
        <v>324</v>
      </c>
      <c r="G6332" s="10" t="s">
        <v>6317</v>
      </c>
      <c r="H6332" s="11">
        <v>41487</v>
      </c>
      <c r="I6332" s="10">
        <v>2013</v>
      </c>
      <c r="J6332" s="10" t="s">
        <v>31095</v>
      </c>
      <c r="K6332" s="10">
        <v>124</v>
      </c>
      <c r="L6332" s="10" t="s">
        <v>31107</v>
      </c>
      <c r="M6332" s="10">
        <v>1</v>
      </c>
      <c r="N6332" s="10"/>
      <c r="O6332" s="10"/>
      <c r="P6332" s="10" t="s">
        <v>31108</v>
      </c>
      <c r="Q6332" s="10" t="s">
        <v>31115</v>
      </c>
      <c r="R6332" s="10" t="s">
        <v>31116</v>
      </c>
      <c r="S6332" s="10" t="s">
        <v>53</v>
      </c>
      <c r="T6332" s="10" t="s">
        <v>31117</v>
      </c>
    </row>
    <row r="6333" spans="1:20" ht="14.5" x14ac:dyDescent="0.35">
      <c r="A6333" s="10" t="s">
        <v>31118</v>
      </c>
      <c r="B6333" s="10" t="str">
        <f>"9781557289834"</f>
        <v>9781557289834</v>
      </c>
      <c r="C6333" s="10" t="str">
        <f>"9781610754989"</f>
        <v>9781610754989</v>
      </c>
      <c r="D6333" s="10" t="s">
        <v>20156</v>
      </c>
      <c r="E6333" s="10" t="s">
        <v>31095</v>
      </c>
      <c r="F6333" s="10" t="s">
        <v>324</v>
      </c>
      <c r="G6333" s="10" t="s">
        <v>6317</v>
      </c>
      <c r="H6333" s="11">
        <v>41061</v>
      </c>
      <c r="I6333" s="10">
        <v>2012</v>
      </c>
      <c r="J6333" s="10" t="s">
        <v>31095</v>
      </c>
      <c r="K6333" s="10">
        <v>268</v>
      </c>
      <c r="L6333" s="10" t="s">
        <v>31119</v>
      </c>
      <c r="M6333" s="10">
        <v>1</v>
      </c>
      <c r="N6333" s="10"/>
      <c r="O6333" s="10"/>
      <c r="P6333" s="10" t="s">
        <v>13948</v>
      </c>
      <c r="Q6333" s="10" t="s">
        <v>31120</v>
      </c>
      <c r="R6333" s="10" t="s">
        <v>31121</v>
      </c>
      <c r="S6333" s="10" t="s">
        <v>53</v>
      </c>
      <c r="T6333" s="10" t="s">
        <v>54</v>
      </c>
    </row>
    <row r="6334" spans="1:20" ht="14.5" x14ac:dyDescent="0.35">
      <c r="A6334" s="10" t="s">
        <v>31122</v>
      </c>
      <c r="B6334" s="10" t="str">
        <f>"9781416620143"</f>
        <v>9781416620143</v>
      </c>
      <c r="C6334" s="10" t="str">
        <f>"9781416620167"</f>
        <v>9781416620167</v>
      </c>
      <c r="D6334" s="10" t="s">
        <v>10014</v>
      </c>
      <c r="E6334" s="10" t="s">
        <v>10015</v>
      </c>
      <c r="F6334" s="10" t="s">
        <v>201</v>
      </c>
      <c r="G6334" s="10" t="s">
        <v>6317</v>
      </c>
      <c r="H6334" s="11">
        <v>42093</v>
      </c>
      <c r="I6334" s="10">
        <v>2015</v>
      </c>
      <c r="J6334" s="10" t="s">
        <v>10015</v>
      </c>
      <c r="K6334" s="10">
        <v>114</v>
      </c>
      <c r="L6334" s="10" t="s">
        <v>15760</v>
      </c>
      <c r="M6334" s="10">
        <v>1</v>
      </c>
      <c r="N6334" s="10"/>
      <c r="O6334" s="10"/>
      <c r="P6334" s="10"/>
      <c r="Q6334" s="10" t="s">
        <v>11202</v>
      </c>
      <c r="R6334" s="10"/>
      <c r="S6334" s="10" t="s">
        <v>53</v>
      </c>
      <c r="T6334" s="10" t="s">
        <v>54</v>
      </c>
    </row>
    <row r="6335" spans="1:20" ht="14.5" x14ac:dyDescent="0.35">
      <c r="A6335" s="10" t="s">
        <v>31123</v>
      </c>
      <c r="B6335" s="10" t="str">
        <f>"9781610480093"</f>
        <v>9781610480093</v>
      </c>
      <c r="C6335" s="10" t="str">
        <f>"9781610480109"</f>
        <v>9781610480109</v>
      </c>
      <c r="D6335" s="10" t="s">
        <v>9752</v>
      </c>
      <c r="E6335" s="10" t="s">
        <v>15187</v>
      </c>
      <c r="F6335" s="10" t="s">
        <v>9754</v>
      </c>
      <c r="G6335" s="10" t="s">
        <v>6317</v>
      </c>
      <c r="H6335" s="11">
        <v>42097</v>
      </c>
      <c r="I6335" s="10">
        <v>2015</v>
      </c>
      <c r="J6335" s="10" t="s">
        <v>15187</v>
      </c>
      <c r="K6335" s="10">
        <v>127</v>
      </c>
      <c r="L6335" s="10" t="s">
        <v>31124</v>
      </c>
      <c r="M6335" s="10">
        <v>1</v>
      </c>
      <c r="N6335" s="10"/>
      <c r="O6335" s="10"/>
      <c r="P6335" s="10"/>
      <c r="Q6335" s="10" t="s">
        <v>20438</v>
      </c>
      <c r="R6335" s="10" t="s">
        <v>31125</v>
      </c>
      <c r="S6335" s="10" t="s">
        <v>53</v>
      </c>
      <c r="T6335" s="10" t="s">
        <v>54</v>
      </c>
    </row>
    <row r="6336" spans="1:20" ht="14.5" x14ac:dyDescent="0.35">
      <c r="A6336" s="10" t="s">
        <v>31126</v>
      </c>
      <c r="B6336" s="10" t="str">
        <f>"9781475813319"</f>
        <v>9781475813319</v>
      </c>
      <c r="C6336" s="10" t="str">
        <f>"9781475813333"</f>
        <v>9781475813333</v>
      </c>
      <c r="D6336" s="10" t="s">
        <v>9752</v>
      </c>
      <c r="E6336" s="10" t="s">
        <v>15187</v>
      </c>
      <c r="F6336" s="10" t="s">
        <v>9754</v>
      </c>
      <c r="G6336" s="10" t="s">
        <v>6317</v>
      </c>
      <c r="H6336" s="11">
        <v>42069</v>
      </c>
      <c r="I6336" s="10">
        <v>2015</v>
      </c>
      <c r="J6336" s="10" t="s">
        <v>15187</v>
      </c>
      <c r="K6336" s="10">
        <v>133</v>
      </c>
      <c r="L6336" s="10" t="s">
        <v>31127</v>
      </c>
      <c r="M6336" s="10">
        <v>2</v>
      </c>
      <c r="N6336" s="10"/>
      <c r="O6336" s="10"/>
      <c r="P6336" s="10"/>
      <c r="Q6336" s="10" t="s">
        <v>31128</v>
      </c>
      <c r="R6336" s="10" t="s">
        <v>31129</v>
      </c>
      <c r="S6336" s="10" t="s">
        <v>53</v>
      </c>
      <c r="T6336" s="10" t="s">
        <v>54</v>
      </c>
    </row>
    <row r="6337" spans="1:20" ht="14.5" x14ac:dyDescent="0.35">
      <c r="A6337" s="10" t="s">
        <v>31130</v>
      </c>
      <c r="B6337" s="10" t="str">
        <f>"9781475810837"</f>
        <v>9781475810837</v>
      </c>
      <c r="C6337" s="10" t="str">
        <f>"9781475810851"</f>
        <v>9781475810851</v>
      </c>
      <c r="D6337" s="10" t="s">
        <v>9752</v>
      </c>
      <c r="E6337" s="10" t="s">
        <v>15187</v>
      </c>
      <c r="F6337" s="10" t="s">
        <v>9754</v>
      </c>
      <c r="G6337" s="10" t="s">
        <v>6317</v>
      </c>
      <c r="H6337" s="11">
        <v>42102</v>
      </c>
      <c r="I6337" s="10">
        <v>2015</v>
      </c>
      <c r="J6337" s="10" t="s">
        <v>15187</v>
      </c>
      <c r="K6337" s="10">
        <v>219</v>
      </c>
      <c r="L6337" s="10" t="s">
        <v>31131</v>
      </c>
      <c r="M6337" s="10">
        <v>1</v>
      </c>
      <c r="N6337" s="10"/>
      <c r="O6337" s="10"/>
      <c r="P6337" s="10" t="s">
        <v>31132</v>
      </c>
      <c r="Q6337" s="10">
        <v>510.76</v>
      </c>
      <c r="R6337" s="10" t="s">
        <v>31133</v>
      </c>
      <c r="S6337" s="10" t="s">
        <v>53</v>
      </c>
      <c r="T6337" s="10" t="s">
        <v>389</v>
      </c>
    </row>
    <row r="6338" spans="1:20" ht="14.5" x14ac:dyDescent="0.35">
      <c r="A6338" s="10" t="s">
        <v>31134</v>
      </c>
      <c r="B6338" s="10" t="str">
        <f>"9781597563017"</f>
        <v>9781597563017</v>
      </c>
      <c r="C6338" s="10" t="str">
        <f>"9781597568135"</f>
        <v>9781597568135</v>
      </c>
      <c r="D6338" s="10" t="s">
        <v>29390</v>
      </c>
      <c r="E6338" s="10" t="s">
        <v>29391</v>
      </c>
      <c r="F6338" s="10" t="s">
        <v>1232</v>
      </c>
      <c r="G6338" s="10" t="s">
        <v>6317</v>
      </c>
      <c r="H6338" s="11">
        <v>39753</v>
      </c>
      <c r="I6338" s="10">
        <v>2009</v>
      </c>
      <c r="J6338" s="10" t="s">
        <v>29391</v>
      </c>
      <c r="K6338" s="10">
        <v>250</v>
      </c>
      <c r="L6338" s="10" t="s">
        <v>29391</v>
      </c>
      <c r="M6338" s="10">
        <v>1</v>
      </c>
      <c r="N6338" s="10"/>
      <c r="O6338" s="10"/>
      <c r="P6338" s="10"/>
      <c r="Q6338" s="10"/>
      <c r="R6338" s="10"/>
      <c r="S6338" s="10" t="s">
        <v>53</v>
      </c>
      <c r="T6338" s="10" t="s">
        <v>6601</v>
      </c>
    </row>
    <row r="6339" spans="1:20" ht="14.5" x14ac:dyDescent="0.35">
      <c r="A6339" s="10" t="s">
        <v>31135</v>
      </c>
      <c r="B6339" s="10" t="str">
        <f>"9780765611130"</f>
        <v>9780765611130</v>
      </c>
      <c r="C6339" s="10" t="str">
        <f>"9781317473060"</f>
        <v>9781317473060</v>
      </c>
      <c r="D6339" s="10" t="s">
        <v>6350</v>
      </c>
      <c r="E6339" s="10" t="s">
        <v>6351</v>
      </c>
      <c r="F6339" s="10" t="s">
        <v>5406</v>
      </c>
      <c r="G6339" s="10" t="s">
        <v>6352</v>
      </c>
      <c r="H6339" s="11">
        <v>37833</v>
      </c>
      <c r="I6339" s="10">
        <v>2004</v>
      </c>
      <c r="J6339" s="10" t="s">
        <v>6353</v>
      </c>
      <c r="K6339" s="10">
        <v>288</v>
      </c>
      <c r="L6339" s="10" t="s">
        <v>31136</v>
      </c>
      <c r="M6339" s="10">
        <v>1</v>
      </c>
      <c r="N6339" s="10"/>
      <c r="O6339" s="10"/>
      <c r="P6339" s="10" t="s">
        <v>31137</v>
      </c>
      <c r="Q6339" s="10">
        <v>378.12099999999998</v>
      </c>
      <c r="R6339" s="10" t="s">
        <v>31138</v>
      </c>
      <c r="S6339" s="10" t="s">
        <v>53</v>
      </c>
      <c r="T6339" s="10" t="s">
        <v>54</v>
      </c>
    </row>
    <row r="6340" spans="1:20" ht="14.5" x14ac:dyDescent="0.35">
      <c r="A6340" s="10" t="s">
        <v>31139</v>
      </c>
      <c r="B6340" s="10" t="str">
        <f>"9783883097459"</f>
        <v>9783883097459</v>
      </c>
      <c r="C6340" s="10" t="str">
        <f>"9783869455778"</f>
        <v>9783869455778</v>
      </c>
      <c r="D6340" s="10" t="s">
        <v>27189</v>
      </c>
      <c r="E6340" s="10" t="s">
        <v>31140</v>
      </c>
      <c r="F6340" s="10" t="s">
        <v>31141</v>
      </c>
      <c r="G6340" s="10" t="s">
        <v>9998</v>
      </c>
      <c r="H6340" s="11">
        <v>41218</v>
      </c>
      <c r="I6340" s="10">
        <v>2012</v>
      </c>
      <c r="J6340" s="10" t="s">
        <v>31140</v>
      </c>
      <c r="K6340" s="10">
        <v>158</v>
      </c>
      <c r="L6340" s="10" t="s">
        <v>31142</v>
      </c>
      <c r="M6340" s="10"/>
      <c r="N6340" s="10"/>
      <c r="O6340" s="10"/>
      <c r="P6340" s="10" t="s">
        <v>31143</v>
      </c>
      <c r="Q6340" s="10">
        <v>378.19799999999998</v>
      </c>
      <c r="R6340" s="10" t="s">
        <v>31144</v>
      </c>
      <c r="S6340" s="10" t="s">
        <v>53</v>
      </c>
      <c r="T6340" s="10" t="s">
        <v>54</v>
      </c>
    </row>
    <row r="6341" spans="1:20" ht="14.5" x14ac:dyDescent="0.35">
      <c r="A6341" s="10" t="s">
        <v>31145</v>
      </c>
      <c r="B6341" s="10" t="str">
        <f>"9781909682696"</f>
        <v>9781909682696</v>
      </c>
      <c r="C6341" s="10" t="str">
        <f>"9781909682726"</f>
        <v>9781909682726</v>
      </c>
      <c r="D6341" s="10" t="s">
        <v>9533</v>
      </c>
      <c r="E6341" s="10" t="s">
        <v>26840</v>
      </c>
      <c r="F6341" s="10" t="s">
        <v>26841</v>
      </c>
      <c r="G6341" s="10" t="s">
        <v>6352</v>
      </c>
      <c r="H6341" s="11">
        <v>42109</v>
      </c>
      <c r="I6341" s="10">
        <v>2015</v>
      </c>
      <c r="J6341" s="10" t="s">
        <v>26840</v>
      </c>
      <c r="K6341" s="10">
        <v>146</v>
      </c>
      <c r="L6341" s="10" t="s">
        <v>31146</v>
      </c>
      <c r="M6341" s="10">
        <v>1</v>
      </c>
      <c r="N6341" s="10" t="s">
        <v>31147</v>
      </c>
      <c r="O6341" s="10"/>
      <c r="P6341" s="10" t="s">
        <v>31148</v>
      </c>
      <c r="Q6341" s="10" t="s">
        <v>31149</v>
      </c>
      <c r="R6341" s="10" t="s">
        <v>10397</v>
      </c>
      <c r="S6341" s="10" t="s">
        <v>53</v>
      </c>
      <c r="T6341" s="10" t="s">
        <v>6363</v>
      </c>
    </row>
    <row r="6342" spans="1:20" ht="14.5" x14ac:dyDescent="0.35">
      <c r="A6342" s="10" t="s">
        <v>31150</v>
      </c>
      <c r="B6342" s="10" t="str">
        <f>"9780415974448"</f>
        <v>9780415974448</v>
      </c>
      <c r="C6342" s="10" t="str">
        <f>"9781135484248"</f>
        <v>9781135484248</v>
      </c>
      <c r="D6342" s="10" t="s">
        <v>6350</v>
      </c>
      <c r="E6342" s="10" t="s">
        <v>6351</v>
      </c>
      <c r="F6342" s="10" t="s">
        <v>139</v>
      </c>
      <c r="G6342" s="10" t="s">
        <v>6352</v>
      </c>
      <c r="H6342" s="11">
        <v>38504</v>
      </c>
      <c r="I6342" s="10">
        <v>2005</v>
      </c>
      <c r="J6342" s="10" t="s">
        <v>6353</v>
      </c>
      <c r="K6342" s="10">
        <v>207</v>
      </c>
      <c r="L6342" s="10" t="s">
        <v>31151</v>
      </c>
      <c r="M6342" s="10">
        <v>1</v>
      </c>
      <c r="N6342" s="10" t="s">
        <v>8119</v>
      </c>
      <c r="O6342" s="10"/>
      <c r="P6342" s="10" t="s">
        <v>31152</v>
      </c>
      <c r="Q6342" s="10">
        <v>370.95979999999997</v>
      </c>
      <c r="R6342" s="10" t="s">
        <v>31153</v>
      </c>
      <c r="S6342" s="10" t="s">
        <v>53</v>
      </c>
      <c r="T6342" s="10" t="s">
        <v>54</v>
      </c>
    </row>
    <row r="6343" spans="1:20" ht="14.5" x14ac:dyDescent="0.35">
      <c r="A6343" s="10" t="s">
        <v>31154</v>
      </c>
      <c r="B6343" s="10" t="str">
        <f>"9781873942437"</f>
        <v>9781873942437</v>
      </c>
      <c r="C6343" s="10" t="str">
        <f>"9781473914162"</f>
        <v>9781473914162</v>
      </c>
      <c r="D6343" s="10" t="s">
        <v>9325</v>
      </c>
      <c r="E6343" s="10" t="s">
        <v>9326</v>
      </c>
      <c r="F6343" s="10" t="s">
        <v>139</v>
      </c>
      <c r="G6343" s="10" t="s">
        <v>6352</v>
      </c>
      <c r="H6343" s="11">
        <v>36526</v>
      </c>
      <c r="I6343" s="10">
        <v>2000</v>
      </c>
      <c r="J6343" s="10" t="s">
        <v>9326</v>
      </c>
      <c r="K6343" s="10">
        <v>91</v>
      </c>
      <c r="L6343" s="10" t="s">
        <v>16201</v>
      </c>
      <c r="M6343" s="10">
        <v>1</v>
      </c>
      <c r="N6343" s="10" t="s">
        <v>11973</v>
      </c>
      <c r="O6343" s="10"/>
      <c r="P6343" s="10" t="s">
        <v>31155</v>
      </c>
      <c r="Q6343" s="10">
        <v>649.64</v>
      </c>
      <c r="R6343" s="10" t="s">
        <v>9305</v>
      </c>
      <c r="S6343" s="10" t="s">
        <v>53</v>
      </c>
      <c r="T6343" s="10" t="s">
        <v>13383</v>
      </c>
    </row>
    <row r="6344" spans="1:20" ht="14.5" x14ac:dyDescent="0.35">
      <c r="A6344" s="10" t="s">
        <v>31156</v>
      </c>
      <c r="B6344" s="10" t="str">
        <f>"9781472910691"</f>
        <v>9781472910691</v>
      </c>
      <c r="C6344" s="10" t="str">
        <f>"9781472919106"</f>
        <v>9781472919106</v>
      </c>
      <c r="D6344" s="10" t="s">
        <v>13959</v>
      </c>
      <c r="E6344" s="10" t="s">
        <v>13960</v>
      </c>
      <c r="F6344" s="10" t="s">
        <v>139</v>
      </c>
      <c r="G6344" s="10" t="s">
        <v>6352</v>
      </c>
      <c r="H6344" s="11">
        <v>42195</v>
      </c>
      <c r="I6344" s="10">
        <v>2015</v>
      </c>
      <c r="J6344" s="10" t="s">
        <v>25203</v>
      </c>
      <c r="K6344" s="10">
        <v>129</v>
      </c>
      <c r="L6344" s="10" t="s">
        <v>31157</v>
      </c>
      <c r="M6344" s="10">
        <v>1</v>
      </c>
      <c r="N6344" s="10"/>
      <c r="O6344" s="10"/>
      <c r="P6344" s="10" t="s">
        <v>31158</v>
      </c>
      <c r="Q6344" s="10">
        <v>372.60440941000002</v>
      </c>
      <c r="R6344" s="10" t="s">
        <v>31159</v>
      </c>
      <c r="S6344" s="10" t="s">
        <v>53</v>
      </c>
      <c r="T6344" s="10" t="s">
        <v>6634</v>
      </c>
    </row>
    <row r="6345" spans="1:20" ht="14.5" x14ac:dyDescent="0.35">
      <c r="A6345" s="10" t="s">
        <v>31160</v>
      </c>
      <c r="B6345" s="10" t="str">
        <f>"9781784418434"</f>
        <v>9781784418434</v>
      </c>
      <c r="C6345" s="10" t="str">
        <f>"9781784418441"</f>
        <v>9781784418441</v>
      </c>
      <c r="D6345" s="10" t="s">
        <v>8699</v>
      </c>
      <c r="E6345" s="10" t="s">
        <v>8699</v>
      </c>
      <c r="F6345" s="10" t="s">
        <v>1019</v>
      </c>
      <c r="G6345" s="10" t="s">
        <v>6352</v>
      </c>
      <c r="H6345" s="11">
        <v>42009</v>
      </c>
      <c r="I6345" s="10">
        <v>2015</v>
      </c>
      <c r="J6345" s="10" t="s">
        <v>115</v>
      </c>
      <c r="K6345" s="10">
        <v>160</v>
      </c>
      <c r="L6345" s="10" t="s">
        <v>31161</v>
      </c>
      <c r="M6345" s="10">
        <v>1</v>
      </c>
      <c r="N6345" s="10" t="s">
        <v>31162</v>
      </c>
      <c r="O6345" s="10">
        <v>4</v>
      </c>
      <c r="P6345" s="10" t="s">
        <v>31163</v>
      </c>
      <c r="Q6345" s="10">
        <v>370.95</v>
      </c>
      <c r="R6345" s="10" t="s">
        <v>31164</v>
      </c>
      <c r="S6345" s="10" t="s">
        <v>53</v>
      </c>
      <c r="T6345" s="10" t="s">
        <v>54</v>
      </c>
    </row>
    <row r="6346" spans="1:20" ht="14.5" x14ac:dyDescent="0.35">
      <c r="A6346" s="10" t="s">
        <v>31165</v>
      </c>
      <c r="B6346" s="10" t="str">
        <f>"9781784418618"</f>
        <v>9781784418618</v>
      </c>
      <c r="C6346" s="10" t="str">
        <f>"9781784418625"</f>
        <v>9781784418625</v>
      </c>
      <c r="D6346" s="10" t="s">
        <v>8699</v>
      </c>
      <c r="E6346" s="10" t="s">
        <v>8699</v>
      </c>
      <c r="F6346" s="10" t="s">
        <v>1019</v>
      </c>
      <c r="G6346" s="10" t="s">
        <v>6352</v>
      </c>
      <c r="H6346" s="11">
        <v>42038</v>
      </c>
      <c r="I6346" s="10">
        <v>2015</v>
      </c>
      <c r="J6346" s="10" t="s">
        <v>115</v>
      </c>
      <c r="K6346" s="10">
        <v>151</v>
      </c>
      <c r="L6346" s="10" t="s">
        <v>31166</v>
      </c>
      <c r="M6346" s="10">
        <v>1</v>
      </c>
      <c r="N6346" s="10" t="s">
        <v>31167</v>
      </c>
      <c r="O6346" s="10">
        <v>53</v>
      </c>
      <c r="P6346" s="10" t="s">
        <v>31168</v>
      </c>
      <c r="Q6346" s="10">
        <v>378</v>
      </c>
      <c r="R6346" s="10" t="s">
        <v>31169</v>
      </c>
      <c r="S6346" s="10" t="s">
        <v>53</v>
      </c>
      <c r="T6346" s="10" t="s">
        <v>54</v>
      </c>
    </row>
    <row r="6347" spans="1:20" ht="14.5" x14ac:dyDescent="0.35">
      <c r="A6347" s="10" t="s">
        <v>31170</v>
      </c>
      <c r="B6347" s="10" t="str">
        <f>"9781416620105"</f>
        <v>9781416620105</v>
      </c>
      <c r="C6347" s="10" t="str">
        <f>"9781416620129"</f>
        <v>9781416620129</v>
      </c>
      <c r="D6347" s="10" t="s">
        <v>10014</v>
      </c>
      <c r="E6347" s="10" t="s">
        <v>10015</v>
      </c>
      <c r="F6347" s="10" t="s">
        <v>201</v>
      </c>
      <c r="G6347" s="10" t="s">
        <v>6317</v>
      </c>
      <c r="H6347" s="11">
        <v>42124</v>
      </c>
      <c r="I6347" s="10">
        <v>2015</v>
      </c>
      <c r="J6347" s="10" t="s">
        <v>10015</v>
      </c>
      <c r="K6347" s="10">
        <v>194</v>
      </c>
      <c r="L6347" s="10" t="s">
        <v>13295</v>
      </c>
      <c r="M6347" s="10">
        <v>1</v>
      </c>
      <c r="N6347" s="10"/>
      <c r="O6347" s="10"/>
      <c r="P6347" s="10" t="s">
        <v>31171</v>
      </c>
      <c r="Q6347" s="10">
        <v>371.10199999999998</v>
      </c>
      <c r="R6347" s="10" t="s">
        <v>31172</v>
      </c>
      <c r="S6347" s="10" t="s">
        <v>53</v>
      </c>
      <c r="T6347" s="10" t="s">
        <v>54</v>
      </c>
    </row>
    <row r="6348" spans="1:20" ht="14.5" x14ac:dyDescent="0.35">
      <c r="A6348" s="10" t="s">
        <v>31173</v>
      </c>
      <c r="B6348" s="10" t="str">
        <f>"9781475808384"</f>
        <v>9781475808384</v>
      </c>
      <c r="C6348" s="10" t="str">
        <f>"9781475808407"</f>
        <v>9781475808407</v>
      </c>
      <c r="D6348" s="10" t="s">
        <v>9752</v>
      </c>
      <c r="E6348" s="10" t="s">
        <v>15187</v>
      </c>
      <c r="F6348" s="10" t="s">
        <v>9754</v>
      </c>
      <c r="G6348" s="10" t="s">
        <v>6317</v>
      </c>
      <c r="H6348" s="11">
        <v>42108</v>
      </c>
      <c r="I6348" s="10">
        <v>2015</v>
      </c>
      <c r="J6348" s="10" t="s">
        <v>15187</v>
      </c>
      <c r="K6348" s="10">
        <v>232</v>
      </c>
      <c r="L6348" s="10" t="s">
        <v>31174</v>
      </c>
      <c r="M6348" s="10">
        <v>1</v>
      </c>
      <c r="N6348" s="10"/>
      <c r="O6348" s="10"/>
      <c r="P6348" s="10" t="s">
        <v>31175</v>
      </c>
      <c r="Q6348" s="10">
        <v>379.1</v>
      </c>
      <c r="R6348" s="10" t="s">
        <v>31176</v>
      </c>
      <c r="S6348" s="10" t="s">
        <v>53</v>
      </c>
      <c r="T6348" s="10" t="s">
        <v>54</v>
      </c>
    </row>
    <row r="6349" spans="1:20" ht="14.5" x14ac:dyDescent="0.35">
      <c r="A6349" s="10" t="s">
        <v>31177</v>
      </c>
      <c r="B6349" s="10" t="str">
        <f>"9780761865384"</f>
        <v>9780761865384</v>
      </c>
      <c r="C6349" s="10" t="str">
        <f>"9780761865391"</f>
        <v>9780761865391</v>
      </c>
      <c r="D6349" s="10" t="s">
        <v>9752</v>
      </c>
      <c r="E6349" s="10" t="s">
        <v>17167</v>
      </c>
      <c r="F6349" s="10" t="s">
        <v>9754</v>
      </c>
      <c r="G6349" s="10" t="s">
        <v>6317</v>
      </c>
      <c r="H6349" s="11">
        <v>42111</v>
      </c>
      <c r="I6349" s="10">
        <v>2015</v>
      </c>
      <c r="J6349" s="10" t="s">
        <v>17167</v>
      </c>
      <c r="K6349" s="10">
        <v>123</v>
      </c>
      <c r="L6349" s="10" t="s">
        <v>31178</v>
      </c>
      <c r="M6349" s="10">
        <v>1</v>
      </c>
      <c r="N6349" s="10"/>
      <c r="O6349" s="10"/>
      <c r="P6349" s="10" t="s">
        <v>31179</v>
      </c>
      <c r="Q6349" s="10" t="s">
        <v>31180</v>
      </c>
      <c r="R6349" s="10" t="s">
        <v>31181</v>
      </c>
      <c r="S6349" s="10" t="s">
        <v>53</v>
      </c>
      <c r="T6349" s="10" t="s">
        <v>54</v>
      </c>
    </row>
    <row r="6350" spans="1:20" ht="14.5" x14ac:dyDescent="0.35">
      <c r="A6350" s="10" t="s">
        <v>31182</v>
      </c>
      <c r="B6350" s="10" t="str">
        <f>"9781845196875"</f>
        <v>9781845196875</v>
      </c>
      <c r="C6350" s="10" t="str">
        <f>"9781782842224"</f>
        <v>9781782842224</v>
      </c>
      <c r="D6350" s="10" t="s">
        <v>2131</v>
      </c>
      <c r="E6350" s="10" t="s">
        <v>2131</v>
      </c>
      <c r="F6350" s="10" t="s">
        <v>2132</v>
      </c>
      <c r="G6350" s="10" t="s">
        <v>6352</v>
      </c>
      <c r="H6350" s="11">
        <v>42125</v>
      </c>
      <c r="I6350" s="10">
        <v>2015</v>
      </c>
      <c r="J6350" s="10" t="s">
        <v>2131</v>
      </c>
      <c r="K6350" s="10">
        <v>229</v>
      </c>
      <c r="L6350" s="10" t="s">
        <v>31183</v>
      </c>
      <c r="M6350" s="10">
        <v>1</v>
      </c>
      <c r="N6350" s="10" t="s">
        <v>31184</v>
      </c>
      <c r="O6350" s="10"/>
      <c r="P6350" s="10"/>
      <c r="Q6350" s="10">
        <v>370.964</v>
      </c>
      <c r="R6350" s="10" t="s">
        <v>31185</v>
      </c>
      <c r="S6350" s="10" t="s">
        <v>53</v>
      </c>
      <c r="T6350" s="10" t="s">
        <v>54</v>
      </c>
    </row>
    <row r="6351" spans="1:20" ht="14.5" x14ac:dyDescent="0.35">
      <c r="A6351" s="10" t="s">
        <v>31186</v>
      </c>
      <c r="B6351" s="10" t="str">
        <f>"9781849057523"</f>
        <v>9781849057523</v>
      </c>
      <c r="C6351" s="10" t="str">
        <f>"9780857009777"</f>
        <v>9780857009777</v>
      </c>
      <c r="D6351" s="10" t="s">
        <v>10516</v>
      </c>
      <c r="E6351" s="10" t="s">
        <v>10516</v>
      </c>
      <c r="F6351" s="10" t="s">
        <v>139</v>
      </c>
      <c r="G6351" s="10" t="s">
        <v>6352</v>
      </c>
      <c r="H6351" s="11">
        <v>42176</v>
      </c>
      <c r="I6351" s="10">
        <v>2015</v>
      </c>
      <c r="J6351" s="10" t="s">
        <v>10516</v>
      </c>
      <c r="K6351" s="10">
        <v>210</v>
      </c>
      <c r="L6351" s="10" t="s">
        <v>31187</v>
      </c>
      <c r="M6351" s="10">
        <v>1</v>
      </c>
      <c r="N6351" s="10"/>
      <c r="O6351" s="10"/>
      <c r="P6351" s="10" t="s">
        <v>31188</v>
      </c>
      <c r="Q6351" s="10" t="s">
        <v>31189</v>
      </c>
      <c r="R6351" s="10"/>
      <c r="S6351" s="10" t="s">
        <v>53</v>
      </c>
      <c r="T6351" s="10" t="s">
        <v>483</v>
      </c>
    </row>
    <row r="6352" spans="1:20" ht="14.5" x14ac:dyDescent="0.35">
      <c r="A6352" s="10" t="s">
        <v>31190</v>
      </c>
      <c r="B6352" s="10" t="str">
        <f>"9781849055437"</f>
        <v>9781849055437</v>
      </c>
      <c r="C6352" s="10" t="str">
        <f>"9780857009685"</f>
        <v>9780857009685</v>
      </c>
      <c r="D6352" s="10" t="s">
        <v>10516</v>
      </c>
      <c r="E6352" s="10" t="s">
        <v>10516</v>
      </c>
      <c r="F6352" s="10" t="s">
        <v>139</v>
      </c>
      <c r="G6352" s="10" t="s">
        <v>6352</v>
      </c>
      <c r="H6352" s="11">
        <v>42176</v>
      </c>
      <c r="I6352" s="10">
        <v>2015</v>
      </c>
      <c r="J6352" s="10" t="s">
        <v>10516</v>
      </c>
      <c r="K6352" s="10">
        <v>210</v>
      </c>
      <c r="L6352" s="10" t="s">
        <v>31191</v>
      </c>
      <c r="M6352" s="10">
        <v>1</v>
      </c>
      <c r="N6352" s="10"/>
      <c r="O6352" s="10"/>
      <c r="P6352" s="10" t="s">
        <v>31192</v>
      </c>
      <c r="Q6352" s="10">
        <v>371.9</v>
      </c>
      <c r="R6352" s="10" t="s">
        <v>31193</v>
      </c>
      <c r="S6352" s="10" t="s">
        <v>53</v>
      </c>
      <c r="T6352" s="10" t="s">
        <v>54</v>
      </c>
    </row>
    <row r="6353" spans="1:20" ht="14.5" x14ac:dyDescent="0.35">
      <c r="A6353" s="10" t="s">
        <v>31194</v>
      </c>
      <c r="B6353" s="10" t="str">
        <f>"9781475818208"</f>
        <v>9781475818208</v>
      </c>
      <c r="C6353" s="10" t="str">
        <f>"9781475818222"</f>
        <v>9781475818222</v>
      </c>
      <c r="D6353" s="10" t="s">
        <v>9752</v>
      </c>
      <c r="E6353" s="10" t="s">
        <v>15187</v>
      </c>
      <c r="F6353" s="10" t="s">
        <v>9754</v>
      </c>
      <c r="G6353" s="10" t="s">
        <v>6317</v>
      </c>
      <c r="H6353" s="11">
        <v>42109</v>
      </c>
      <c r="I6353" s="10">
        <v>2015</v>
      </c>
      <c r="J6353" s="10" t="s">
        <v>15187</v>
      </c>
      <c r="K6353" s="10">
        <v>251</v>
      </c>
      <c r="L6353" s="10" t="s">
        <v>31195</v>
      </c>
      <c r="M6353" s="10">
        <v>1</v>
      </c>
      <c r="N6353" s="10"/>
      <c r="O6353" s="10"/>
      <c r="P6353" s="10"/>
      <c r="Q6353" s="10" t="s">
        <v>14668</v>
      </c>
      <c r="R6353" s="10" t="s">
        <v>31196</v>
      </c>
      <c r="S6353" s="10" t="s">
        <v>53</v>
      </c>
      <c r="T6353" s="10" t="s">
        <v>54</v>
      </c>
    </row>
    <row r="6354" spans="1:20" ht="14.5" x14ac:dyDescent="0.35">
      <c r="A6354" s="10" t="s">
        <v>31197</v>
      </c>
      <c r="B6354" s="10" t="str">
        <f>"9781118977668"</f>
        <v>9781118977668</v>
      </c>
      <c r="C6354" s="10" t="str">
        <f>"9781118977774"</f>
        <v>9781118977774</v>
      </c>
      <c r="D6354" s="10" t="s">
        <v>6322</v>
      </c>
      <c r="E6354" s="10" t="s">
        <v>6323</v>
      </c>
      <c r="F6354" s="10" t="s">
        <v>4423</v>
      </c>
      <c r="G6354" s="10" t="s">
        <v>6352</v>
      </c>
      <c r="H6354" s="11">
        <v>42130</v>
      </c>
      <c r="I6354" s="10">
        <v>2015</v>
      </c>
      <c r="J6354" s="10" t="s">
        <v>8436</v>
      </c>
      <c r="K6354" s="10">
        <v>217</v>
      </c>
      <c r="L6354" s="10" t="s">
        <v>31198</v>
      </c>
      <c r="M6354" s="10">
        <v>1</v>
      </c>
      <c r="N6354" s="10" t="s">
        <v>18839</v>
      </c>
      <c r="O6354" s="10"/>
      <c r="P6354" s="10"/>
      <c r="Q6354" s="10">
        <v>371.10199999999998</v>
      </c>
      <c r="R6354" s="10" t="s">
        <v>22057</v>
      </c>
      <c r="S6354" s="10" t="s">
        <v>53</v>
      </c>
      <c r="T6354" s="10" t="s">
        <v>54</v>
      </c>
    </row>
    <row r="6355" spans="1:20" ht="14.5" x14ac:dyDescent="0.35">
      <c r="A6355" s="10" t="s">
        <v>31199</v>
      </c>
      <c r="B6355" s="10" t="str">
        <f>""</f>
        <v/>
      </c>
      <c r="C6355" s="10" t="str">
        <f>"9781771673839"</f>
        <v>9781771673839</v>
      </c>
      <c r="D6355" s="10" t="s">
        <v>29364</v>
      </c>
      <c r="E6355" s="10" t="s">
        <v>31200</v>
      </c>
      <c r="F6355" s="10" t="s">
        <v>1232</v>
      </c>
      <c r="G6355" s="10" t="s">
        <v>6317</v>
      </c>
      <c r="H6355" s="11">
        <v>42124</v>
      </c>
      <c r="I6355" s="10">
        <v>2015</v>
      </c>
      <c r="J6355" s="10" t="s">
        <v>29364</v>
      </c>
      <c r="K6355" s="10">
        <v>60</v>
      </c>
      <c r="L6355" s="10" t="s">
        <v>31201</v>
      </c>
      <c r="M6355" s="10">
        <v>1</v>
      </c>
      <c r="N6355" s="10" t="s">
        <v>31202</v>
      </c>
      <c r="O6355" s="10"/>
      <c r="P6355" s="10" t="s">
        <v>31203</v>
      </c>
      <c r="Q6355" s="10">
        <v>372.47</v>
      </c>
      <c r="R6355" s="10" t="s">
        <v>31204</v>
      </c>
      <c r="S6355" s="10" t="s">
        <v>53</v>
      </c>
      <c r="T6355" s="10" t="s">
        <v>54</v>
      </c>
    </row>
    <row r="6356" spans="1:20" ht="14.5" x14ac:dyDescent="0.35">
      <c r="A6356" s="10" t="s">
        <v>31205</v>
      </c>
      <c r="B6356" s="10" t="str">
        <f>"9780822943679"</f>
        <v>9780822943679</v>
      </c>
      <c r="C6356" s="10" t="str">
        <f>"9780822973522"</f>
        <v>9780822973522</v>
      </c>
      <c r="D6356" s="10" t="s">
        <v>31206</v>
      </c>
      <c r="E6356" s="10" t="s">
        <v>31206</v>
      </c>
      <c r="F6356" s="10" t="s">
        <v>1534</v>
      </c>
      <c r="G6356" s="10" t="s">
        <v>6317</v>
      </c>
      <c r="H6356" s="11">
        <v>40055</v>
      </c>
      <c r="I6356" s="10">
        <v>2009</v>
      </c>
      <c r="J6356" s="10" t="s">
        <v>31206</v>
      </c>
      <c r="K6356" s="10">
        <v>496</v>
      </c>
      <c r="L6356" s="10" t="s">
        <v>31207</v>
      </c>
      <c r="M6356" s="10">
        <v>1</v>
      </c>
      <c r="N6356" s="10" t="s">
        <v>31208</v>
      </c>
      <c r="O6356" s="10"/>
      <c r="P6356" s="10" t="s">
        <v>31209</v>
      </c>
      <c r="Q6356" s="10" t="s">
        <v>31210</v>
      </c>
      <c r="R6356" s="10" t="s">
        <v>31211</v>
      </c>
      <c r="S6356" s="10" t="s">
        <v>53</v>
      </c>
      <c r="T6356" s="10" t="s">
        <v>54</v>
      </c>
    </row>
    <row r="6357" spans="1:20" ht="14.5" x14ac:dyDescent="0.35">
      <c r="A6357" s="10" t="s">
        <v>31212</v>
      </c>
      <c r="B6357" s="10" t="str">
        <f>"9780128013854"</f>
        <v>9780128013854</v>
      </c>
      <c r="C6357" s="10" t="str">
        <f>"9780128016329"</f>
        <v>9780128016329</v>
      </c>
      <c r="D6357" s="10" t="s">
        <v>8547</v>
      </c>
      <c r="E6357" s="10" t="s">
        <v>8548</v>
      </c>
      <c r="F6357" s="10" t="s">
        <v>1232</v>
      </c>
      <c r="G6357" s="10" t="s">
        <v>6317</v>
      </c>
      <c r="H6357" s="11">
        <v>42121</v>
      </c>
      <c r="I6357" s="10">
        <v>2015</v>
      </c>
      <c r="J6357" s="10" t="s">
        <v>1231</v>
      </c>
      <c r="K6357" s="10">
        <v>330</v>
      </c>
      <c r="L6357" s="10" t="s">
        <v>31213</v>
      </c>
      <c r="M6357" s="10">
        <v>1</v>
      </c>
      <c r="N6357" s="10"/>
      <c r="O6357" s="10"/>
      <c r="P6357" s="10"/>
      <c r="Q6357" s="10">
        <v>612.82600000000002</v>
      </c>
      <c r="R6357" s="10" t="s">
        <v>31214</v>
      </c>
      <c r="S6357" s="10" t="s">
        <v>53</v>
      </c>
      <c r="T6357" s="10" t="s">
        <v>31215</v>
      </c>
    </row>
    <row r="6358" spans="1:20" ht="14.5" x14ac:dyDescent="0.35">
      <c r="A6358" s="10" t="s">
        <v>31216</v>
      </c>
      <c r="B6358" s="10" t="str">
        <f>"9780822943860"</f>
        <v>9780822943860</v>
      </c>
      <c r="C6358" s="10" t="str">
        <f>"9780822977377"</f>
        <v>9780822977377</v>
      </c>
      <c r="D6358" s="10" t="s">
        <v>31206</v>
      </c>
      <c r="E6358" s="10" t="s">
        <v>31206</v>
      </c>
      <c r="F6358" s="10" t="s">
        <v>1534</v>
      </c>
      <c r="G6358" s="10" t="s">
        <v>6317</v>
      </c>
      <c r="H6358" s="11">
        <v>40209</v>
      </c>
      <c r="I6358" s="10">
        <v>2010</v>
      </c>
      <c r="J6358" s="10" t="s">
        <v>31206</v>
      </c>
      <c r="K6358" s="10">
        <v>193</v>
      </c>
      <c r="L6358" s="10" t="s">
        <v>31217</v>
      </c>
      <c r="M6358" s="10">
        <v>1</v>
      </c>
      <c r="N6358" s="10" t="s">
        <v>31218</v>
      </c>
      <c r="O6358" s="10"/>
      <c r="P6358" s="10" t="s">
        <v>31219</v>
      </c>
      <c r="Q6358" s="10" t="s">
        <v>31220</v>
      </c>
      <c r="R6358" s="10" t="s">
        <v>31221</v>
      </c>
      <c r="S6358" s="10" t="s">
        <v>53</v>
      </c>
      <c r="T6358" s="10" t="s">
        <v>54</v>
      </c>
    </row>
    <row r="6359" spans="1:20" ht="14.5" x14ac:dyDescent="0.35">
      <c r="A6359" s="10" t="s">
        <v>31222</v>
      </c>
      <c r="B6359" s="10" t="str">
        <f>"9780822961864"</f>
        <v>9780822961864</v>
      </c>
      <c r="C6359" s="10" t="str">
        <f>"9780822977872"</f>
        <v>9780822977872</v>
      </c>
      <c r="D6359" s="10" t="s">
        <v>31206</v>
      </c>
      <c r="E6359" s="10" t="s">
        <v>31206</v>
      </c>
      <c r="F6359" s="10" t="s">
        <v>1534</v>
      </c>
      <c r="G6359" s="10" t="s">
        <v>6317</v>
      </c>
      <c r="H6359" s="11">
        <v>40954</v>
      </c>
      <c r="I6359" s="10">
        <v>2012</v>
      </c>
      <c r="J6359" s="10" t="s">
        <v>31206</v>
      </c>
      <c r="K6359" s="10">
        <v>265</v>
      </c>
      <c r="L6359" s="10" t="s">
        <v>31223</v>
      </c>
      <c r="M6359" s="10">
        <v>1</v>
      </c>
      <c r="N6359" s="10" t="s">
        <v>31218</v>
      </c>
      <c r="O6359" s="10"/>
      <c r="P6359" s="10" t="s">
        <v>22173</v>
      </c>
      <c r="Q6359" s="10" t="s">
        <v>7867</v>
      </c>
      <c r="R6359" s="10" t="s">
        <v>31224</v>
      </c>
      <c r="S6359" s="10" t="s">
        <v>53</v>
      </c>
      <c r="T6359" s="10" t="s">
        <v>54</v>
      </c>
    </row>
    <row r="6360" spans="1:20" ht="14.5" x14ac:dyDescent="0.35">
      <c r="A6360" s="10" t="s">
        <v>31225</v>
      </c>
      <c r="B6360" s="10" t="str">
        <f>"9780822961505"</f>
        <v>9780822961505</v>
      </c>
      <c r="C6360" s="10" t="str">
        <f>"9780822977780"</f>
        <v>9780822977780</v>
      </c>
      <c r="D6360" s="10" t="s">
        <v>31206</v>
      </c>
      <c r="E6360" s="10" t="s">
        <v>31206</v>
      </c>
      <c r="F6360" s="10" t="s">
        <v>1534</v>
      </c>
      <c r="G6360" s="10" t="s">
        <v>6317</v>
      </c>
      <c r="H6360" s="11">
        <v>40663</v>
      </c>
      <c r="I6360" s="10">
        <v>2011</v>
      </c>
      <c r="J6360" s="10" t="s">
        <v>31206</v>
      </c>
      <c r="K6360" s="10">
        <v>196</v>
      </c>
      <c r="L6360" s="10" t="s">
        <v>31226</v>
      </c>
      <c r="M6360" s="10">
        <v>1</v>
      </c>
      <c r="N6360" s="10" t="s">
        <v>31218</v>
      </c>
      <c r="O6360" s="10"/>
      <c r="P6360" s="10" t="s">
        <v>31227</v>
      </c>
      <c r="Q6360" s="10">
        <v>808</v>
      </c>
      <c r="R6360" s="10" t="s">
        <v>31228</v>
      </c>
      <c r="S6360" s="10" t="s">
        <v>53</v>
      </c>
      <c r="T6360" s="10" t="s">
        <v>8424</v>
      </c>
    </row>
    <row r="6361" spans="1:20" ht="14.5" x14ac:dyDescent="0.35">
      <c r="A6361" s="10" t="s">
        <v>31229</v>
      </c>
      <c r="B6361" s="10" t="str">
        <f>"9780822962168"</f>
        <v>9780822962168</v>
      </c>
      <c r="C6361" s="10" t="str">
        <f>"9780822978046"</f>
        <v>9780822978046</v>
      </c>
      <c r="D6361" s="10" t="s">
        <v>31206</v>
      </c>
      <c r="E6361" s="10" t="s">
        <v>31206</v>
      </c>
      <c r="F6361" s="10" t="s">
        <v>1534</v>
      </c>
      <c r="G6361" s="10" t="s">
        <v>6317</v>
      </c>
      <c r="H6361" s="11">
        <v>41365</v>
      </c>
      <c r="I6361" s="10">
        <v>2013</v>
      </c>
      <c r="J6361" s="10" t="s">
        <v>31206</v>
      </c>
      <c r="K6361" s="10">
        <v>369</v>
      </c>
      <c r="L6361" s="10" t="s">
        <v>31230</v>
      </c>
      <c r="M6361" s="10">
        <v>1</v>
      </c>
      <c r="N6361" s="10" t="s">
        <v>31218</v>
      </c>
      <c r="O6361" s="10"/>
      <c r="P6361" s="10" t="s">
        <v>31227</v>
      </c>
      <c r="Q6361" s="10">
        <v>808.04207110000004</v>
      </c>
      <c r="R6361" s="10" t="s">
        <v>31231</v>
      </c>
      <c r="S6361" s="10" t="s">
        <v>53</v>
      </c>
      <c r="T6361" s="10" t="s">
        <v>8424</v>
      </c>
    </row>
    <row r="6362" spans="1:20" ht="14.5" x14ac:dyDescent="0.35">
      <c r="A6362" s="10" t="s">
        <v>31232</v>
      </c>
      <c r="B6362" s="10" t="str">
        <f>"9780822962427"</f>
        <v>9780822962427</v>
      </c>
      <c r="C6362" s="10" t="str">
        <f>"9780822978725"</f>
        <v>9780822978725</v>
      </c>
      <c r="D6362" s="10" t="s">
        <v>31206</v>
      </c>
      <c r="E6362" s="10" t="s">
        <v>31206</v>
      </c>
      <c r="F6362" s="10" t="s">
        <v>1534</v>
      </c>
      <c r="G6362" s="10" t="s">
        <v>6317</v>
      </c>
      <c r="H6362" s="11">
        <v>41456</v>
      </c>
      <c r="I6362" s="10">
        <v>2013</v>
      </c>
      <c r="J6362" s="10" t="s">
        <v>31206</v>
      </c>
      <c r="K6362" s="10">
        <v>303</v>
      </c>
      <c r="L6362" s="10" t="s">
        <v>31233</v>
      </c>
      <c r="M6362" s="10">
        <v>1</v>
      </c>
      <c r="N6362" s="10"/>
      <c r="O6362" s="10"/>
      <c r="P6362" s="10" t="s">
        <v>31234</v>
      </c>
      <c r="Q6362" s="10">
        <v>304.2</v>
      </c>
      <c r="R6362" s="10" t="s">
        <v>31235</v>
      </c>
      <c r="S6362" s="10" t="s">
        <v>53</v>
      </c>
      <c r="T6362" s="10" t="s">
        <v>31236</v>
      </c>
    </row>
    <row r="6363" spans="1:20" ht="14.5" x14ac:dyDescent="0.35">
      <c r="A6363" s="10" t="s">
        <v>31237</v>
      </c>
      <c r="B6363" s="10" t="str">
        <f>"9781610395267"</f>
        <v>9781610395267</v>
      </c>
      <c r="C6363" s="10" t="str">
        <f>"9781610395274"</f>
        <v>9781610395274</v>
      </c>
      <c r="D6363" s="10" t="s">
        <v>15536</v>
      </c>
      <c r="E6363" s="10" t="s">
        <v>15537</v>
      </c>
      <c r="F6363" s="10" t="s">
        <v>70</v>
      </c>
      <c r="G6363" s="10" t="s">
        <v>6317</v>
      </c>
      <c r="H6363" s="11">
        <v>42164</v>
      </c>
      <c r="I6363" s="10">
        <v>2015</v>
      </c>
      <c r="J6363" s="10" t="s">
        <v>15537</v>
      </c>
      <c r="K6363" s="10">
        <v>225</v>
      </c>
      <c r="L6363" s="10" t="s">
        <v>31238</v>
      </c>
      <c r="M6363" s="10">
        <v>1</v>
      </c>
      <c r="N6363" s="10"/>
      <c r="O6363" s="10"/>
      <c r="P6363" s="10" t="s">
        <v>15320</v>
      </c>
      <c r="Q6363" s="10">
        <v>378.10599999999999</v>
      </c>
      <c r="R6363" s="10" t="s">
        <v>31239</v>
      </c>
      <c r="S6363" s="10" t="s">
        <v>53</v>
      </c>
      <c r="T6363" s="10" t="s">
        <v>54</v>
      </c>
    </row>
    <row r="6364" spans="1:20" ht="14.5" x14ac:dyDescent="0.35">
      <c r="A6364" s="10" t="s">
        <v>31240</v>
      </c>
      <c r="B6364" s="10" t="str">
        <f>"9788024628431"</f>
        <v>9788024628431</v>
      </c>
      <c r="C6364" s="10" t="str">
        <f>"9788024628530"</f>
        <v>9788024628530</v>
      </c>
      <c r="D6364" s="10" t="s">
        <v>30935</v>
      </c>
      <c r="E6364" s="10" t="s">
        <v>30935</v>
      </c>
      <c r="F6364" s="10" t="s">
        <v>1796</v>
      </c>
      <c r="G6364" s="10" t="s">
        <v>30936</v>
      </c>
      <c r="H6364" s="11">
        <v>42036</v>
      </c>
      <c r="I6364" s="10">
        <v>2015</v>
      </c>
      <c r="J6364" s="10" t="s">
        <v>30935</v>
      </c>
      <c r="K6364" s="10">
        <v>132</v>
      </c>
      <c r="L6364" s="10" t="s">
        <v>31241</v>
      </c>
      <c r="M6364" s="10">
        <v>1</v>
      </c>
      <c r="N6364" s="10"/>
      <c r="O6364" s="10"/>
      <c r="P6364" s="10" t="s">
        <v>31242</v>
      </c>
      <c r="Q6364" s="10" t="s">
        <v>31243</v>
      </c>
      <c r="R6364" s="10" t="s">
        <v>31244</v>
      </c>
      <c r="S6364" s="10" t="s">
        <v>4212</v>
      </c>
      <c r="T6364" s="10" t="s">
        <v>54</v>
      </c>
    </row>
    <row r="6365" spans="1:20" ht="14.5" x14ac:dyDescent="0.35">
      <c r="A6365" s="10" t="s">
        <v>31245</v>
      </c>
      <c r="B6365" s="10" t="str">
        <f>"9780822962892"</f>
        <v>9780822962892</v>
      </c>
      <c r="C6365" s="10" t="str">
        <f>"9780822979609"</f>
        <v>9780822979609</v>
      </c>
      <c r="D6365" s="10" t="s">
        <v>31206</v>
      </c>
      <c r="E6365" s="10" t="s">
        <v>31206</v>
      </c>
      <c r="F6365" s="10" t="s">
        <v>1534</v>
      </c>
      <c r="G6365" s="10" t="s">
        <v>6317</v>
      </c>
      <c r="H6365" s="11">
        <v>41728</v>
      </c>
      <c r="I6365" s="10">
        <v>2014</v>
      </c>
      <c r="J6365" s="10" t="s">
        <v>31206</v>
      </c>
      <c r="K6365" s="10">
        <v>231</v>
      </c>
      <c r="L6365" s="10" t="s">
        <v>31246</v>
      </c>
      <c r="M6365" s="10">
        <v>1</v>
      </c>
      <c r="N6365" s="10" t="s">
        <v>31218</v>
      </c>
      <c r="O6365" s="10"/>
      <c r="P6365" s="10" t="s">
        <v>26276</v>
      </c>
      <c r="Q6365" s="10" t="s">
        <v>9527</v>
      </c>
      <c r="R6365" s="10" t="s">
        <v>31247</v>
      </c>
      <c r="S6365" s="10" t="s">
        <v>53</v>
      </c>
      <c r="T6365" s="10" t="s">
        <v>6526</v>
      </c>
    </row>
    <row r="6366" spans="1:20" ht="14.5" x14ac:dyDescent="0.35">
      <c r="A6366" s="10" t="s">
        <v>31248</v>
      </c>
      <c r="B6366" s="10" t="str">
        <f>"9781922235473"</f>
        <v>9781922235473</v>
      </c>
      <c r="C6366" s="10" t="str">
        <f>"9781922235480"</f>
        <v>9781922235480</v>
      </c>
      <c r="D6366" s="10" t="s">
        <v>31249</v>
      </c>
      <c r="E6366" s="10" t="s">
        <v>31250</v>
      </c>
      <c r="F6366" s="10" t="s">
        <v>31251</v>
      </c>
      <c r="G6366" s="10" t="s">
        <v>12975</v>
      </c>
      <c r="H6366" s="11">
        <v>41890</v>
      </c>
      <c r="I6366" s="10">
        <v>2014</v>
      </c>
      <c r="J6366" s="10" t="s">
        <v>31250</v>
      </c>
      <c r="K6366" s="10">
        <v>482</v>
      </c>
      <c r="L6366" s="10" t="s">
        <v>31252</v>
      </c>
      <c r="M6366" s="10">
        <v>1</v>
      </c>
      <c r="N6366" s="10" t="s">
        <v>54</v>
      </c>
      <c r="O6366" s="10"/>
      <c r="P6366" s="10" t="s">
        <v>31253</v>
      </c>
      <c r="Q6366" s="10">
        <v>378.00900000000001</v>
      </c>
      <c r="R6366" s="10" t="s">
        <v>31254</v>
      </c>
      <c r="S6366" s="10" t="s">
        <v>53</v>
      </c>
      <c r="T6366" s="10" t="s">
        <v>54</v>
      </c>
    </row>
    <row r="6367" spans="1:20" ht="14.5" x14ac:dyDescent="0.35">
      <c r="A6367" s="10" t="s">
        <v>31255</v>
      </c>
      <c r="B6367" s="10" t="str">
        <f>"9789935230737"</f>
        <v>9789935230737</v>
      </c>
      <c r="C6367" s="10" t="str">
        <f>"9789935230829"</f>
        <v>9789935230829</v>
      </c>
      <c r="D6367" s="10" t="s">
        <v>31256</v>
      </c>
      <c r="E6367" s="10" t="s">
        <v>31257</v>
      </c>
      <c r="F6367" s="10" t="s">
        <v>31258</v>
      </c>
      <c r="G6367" s="10" t="s">
        <v>6317</v>
      </c>
      <c r="H6367" s="11">
        <v>42082</v>
      </c>
      <c r="I6367" s="10">
        <v>2015</v>
      </c>
      <c r="J6367" s="10" t="s">
        <v>31257</v>
      </c>
      <c r="K6367" s="10">
        <v>113</v>
      </c>
      <c r="L6367" s="10" t="s">
        <v>31259</v>
      </c>
      <c r="M6367" s="10">
        <v>1</v>
      </c>
      <c r="N6367" s="10"/>
      <c r="O6367" s="10"/>
      <c r="P6367" s="10"/>
      <c r="Q6367" s="10"/>
      <c r="R6367" s="10" t="s">
        <v>31260</v>
      </c>
      <c r="S6367" s="10" t="s">
        <v>53</v>
      </c>
      <c r="T6367" s="10" t="s">
        <v>54</v>
      </c>
    </row>
    <row r="6368" spans="1:20" ht="14.5" x14ac:dyDescent="0.35">
      <c r="A6368" s="10" t="s">
        <v>31261</v>
      </c>
      <c r="B6368" s="10" t="str">
        <f>"9781452241395"</f>
        <v>9781452241395</v>
      </c>
      <c r="C6368" s="10" t="str">
        <f>"9781483346236"</f>
        <v>9781483346236</v>
      </c>
      <c r="D6368" s="10" t="s">
        <v>22210</v>
      </c>
      <c r="E6368" s="10" t="s">
        <v>22214</v>
      </c>
      <c r="F6368" s="10" t="s">
        <v>333</v>
      </c>
      <c r="G6368" s="10" t="s">
        <v>6317</v>
      </c>
      <c r="H6368" s="11">
        <v>42103</v>
      </c>
      <c r="I6368" s="10">
        <v>2015</v>
      </c>
      <c r="J6368" s="10" t="s">
        <v>22214</v>
      </c>
      <c r="K6368" s="10">
        <v>967</v>
      </c>
      <c r="L6368" s="10" t="s">
        <v>31262</v>
      </c>
      <c r="M6368" s="10">
        <v>1</v>
      </c>
      <c r="N6368" s="10"/>
      <c r="O6368" s="10"/>
      <c r="P6368" s="10" t="s">
        <v>31263</v>
      </c>
      <c r="Q6368" s="10" t="s">
        <v>9954</v>
      </c>
      <c r="R6368" s="10"/>
      <c r="S6368" s="10" t="s">
        <v>53</v>
      </c>
      <c r="T6368" s="10" t="s">
        <v>54</v>
      </c>
    </row>
    <row r="6369" spans="1:20" ht="14.5" x14ac:dyDescent="0.35">
      <c r="A6369" s="10" t="s">
        <v>31264</v>
      </c>
      <c r="B6369" s="10" t="str">
        <f>"9781909682894"</f>
        <v>9781909682894</v>
      </c>
      <c r="C6369" s="10" t="str">
        <f>"9781909682917"</f>
        <v>9781909682917</v>
      </c>
      <c r="D6369" s="10" t="s">
        <v>9533</v>
      </c>
      <c r="E6369" s="10" t="s">
        <v>26840</v>
      </c>
      <c r="F6369" s="10" t="s">
        <v>26841</v>
      </c>
      <c r="G6369" s="10" t="s">
        <v>6352</v>
      </c>
      <c r="H6369" s="11">
        <v>42132</v>
      </c>
      <c r="I6369" s="10">
        <v>2015</v>
      </c>
      <c r="J6369" s="10" t="s">
        <v>26840</v>
      </c>
      <c r="K6369" s="10">
        <v>349</v>
      </c>
      <c r="L6369" s="10" t="s">
        <v>31265</v>
      </c>
      <c r="M6369" s="10">
        <v>1</v>
      </c>
      <c r="N6369" s="10" t="s">
        <v>31266</v>
      </c>
      <c r="O6369" s="10"/>
      <c r="P6369" s="10" t="s">
        <v>23818</v>
      </c>
      <c r="Q6369" s="10">
        <v>372</v>
      </c>
      <c r="R6369" s="10" t="s">
        <v>31267</v>
      </c>
      <c r="S6369" s="10" t="s">
        <v>53</v>
      </c>
      <c r="T6369" s="10" t="s">
        <v>54</v>
      </c>
    </row>
    <row r="6370" spans="1:20" ht="14.5" x14ac:dyDescent="0.35">
      <c r="A6370" s="10" t="s">
        <v>31268</v>
      </c>
      <c r="B6370" s="10" t="str">
        <f>"9780313351037"</f>
        <v>9780313351037</v>
      </c>
      <c r="C6370" s="10" t="str">
        <f>"9780313351044"</f>
        <v>9780313351044</v>
      </c>
      <c r="D6370" s="10" t="s">
        <v>9777</v>
      </c>
      <c r="E6370" s="10" t="s">
        <v>9792</v>
      </c>
      <c r="F6370" s="10" t="s">
        <v>70</v>
      </c>
      <c r="G6370" s="10" t="s">
        <v>6317</v>
      </c>
      <c r="H6370" s="11">
        <v>40141</v>
      </c>
      <c r="I6370" s="10">
        <v>2010</v>
      </c>
      <c r="J6370" s="10" t="s">
        <v>9793</v>
      </c>
      <c r="K6370" s="10">
        <v>344</v>
      </c>
      <c r="L6370" s="10" t="s">
        <v>31269</v>
      </c>
      <c r="M6370" s="10">
        <v>1</v>
      </c>
      <c r="N6370" s="10"/>
      <c r="O6370" s="10"/>
      <c r="P6370" s="10" t="s">
        <v>31270</v>
      </c>
      <c r="Q6370" s="10" t="s">
        <v>9007</v>
      </c>
      <c r="R6370" s="10" t="s">
        <v>31271</v>
      </c>
      <c r="S6370" s="10" t="s">
        <v>53</v>
      </c>
      <c r="T6370" s="10" t="s">
        <v>54</v>
      </c>
    </row>
    <row r="6371" spans="1:20" ht="14.5" x14ac:dyDescent="0.35">
      <c r="A6371" s="10" t="s">
        <v>31272</v>
      </c>
      <c r="B6371" s="10" t="str">
        <f>"9781475816914"</f>
        <v>9781475816914</v>
      </c>
      <c r="C6371" s="10" t="str">
        <f>"9781475816938"</f>
        <v>9781475816938</v>
      </c>
      <c r="D6371" s="10" t="s">
        <v>9752</v>
      </c>
      <c r="E6371" s="10" t="s">
        <v>15187</v>
      </c>
      <c r="F6371" s="10" t="s">
        <v>9754</v>
      </c>
      <c r="G6371" s="10" t="s">
        <v>6317</v>
      </c>
      <c r="H6371" s="11">
        <v>42130</v>
      </c>
      <c r="I6371" s="10">
        <v>2015</v>
      </c>
      <c r="J6371" s="10" t="s">
        <v>15187</v>
      </c>
      <c r="K6371" s="10">
        <v>174</v>
      </c>
      <c r="L6371" s="10" t="s">
        <v>31273</v>
      </c>
      <c r="M6371" s="10">
        <v>2</v>
      </c>
      <c r="N6371" s="10"/>
      <c r="O6371" s="10"/>
      <c r="P6371" s="10" t="s">
        <v>27643</v>
      </c>
      <c r="Q6371" s="10" t="s">
        <v>11202</v>
      </c>
      <c r="R6371" s="10" t="s">
        <v>31274</v>
      </c>
      <c r="S6371" s="10" t="s">
        <v>53</v>
      </c>
      <c r="T6371" s="10" t="s">
        <v>54</v>
      </c>
    </row>
    <row r="6372" spans="1:20" ht="14.5" x14ac:dyDescent="0.35">
      <c r="A6372" s="10" t="s">
        <v>31275</v>
      </c>
      <c r="B6372" s="10" t="str">
        <f>"9782806268501"</f>
        <v>9782806268501</v>
      </c>
      <c r="C6372" s="10" t="str">
        <f>"9782806262240"</f>
        <v>9782806262240</v>
      </c>
      <c r="D6372" s="10" t="s">
        <v>29172</v>
      </c>
      <c r="E6372" s="10" t="s">
        <v>29173</v>
      </c>
      <c r="F6372" s="10" t="s">
        <v>29181</v>
      </c>
      <c r="G6372" s="10" t="s">
        <v>28737</v>
      </c>
      <c r="H6372" s="11">
        <v>42137</v>
      </c>
      <c r="I6372" s="10">
        <v>2015</v>
      </c>
      <c r="J6372" s="10" t="s">
        <v>31276</v>
      </c>
      <c r="K6372" s="10">
        <v>74</v>
      </c>
      <c r="L6372" s="10" t="s">
        <v>31277</v>
      </c>
      <c r="M6372" s="10">
        <v>1</v>
      </c>
      <c r="N6372" s="10" t="s">
        <v>31278</v>
      </c>
      <c r="O6372" s="10">
        <v>7</v>
      </c>
      <c r="P6372" s="10"/>
      <c r="Q6372" s="10"/>
      <c r="R6372" s="10" t="s">
        <v>31279</v>
      </c>
      <c r="S6372" s="10" t="s">
        <v>5404</v>
      </c>
      <c r="T6372" s="10" t="s">
        <v>24220</v>
      </c>
    </row>
    <row r="6373" spans="1:20" ht="14.5" x14ac:dyDescent="0.35">
      <c r="A6373" s="10" t="s">
        <v>31280</v>
      </c>
      <c r="B6373" s="10" t="str">
        <f>"9780128031902"</f>
        <v>9780128031902</v>
      </c>
      <c r="C6373" s="10" t="str">
        <f>"9780128031919"</f>
        <v>9780128031919</v>
      </c>
      <c r="D6373" s="10" t="s">
        <v>8547</v>
      </c>
      <c r="E6373" s="10" t="s">
        <v>8548</v>
      </c>
      <c r="F6373" s="10" t="s">
        <v>1232</v>
      </c>
      <c r="G6373" s="10" t="s">
        <v>6317</v>
      </c>
      <c r="H6373" s="11">
        <v>42116</v>
      </c>
      <c r="I6373" s="10">
        <v>2015</v>
      </c>
      <c r="J6373" s="10" t="s">
        <v>1231</v>
      </c>
      <c r="K6373" s="10">
        <v>190</v>
      </c>
      <c r="L6373" s="10" t="s">
        <v>31281</v>
      </c>
      <c r="M6373" s="10">
        <v>1</v>
      </c>
      <c r="N6373" s="10"/>
      <c r="O6373" s="10"/>
      <c r="P6373" s="10" t="s">
        <v>31282</v>
      </c>
      <c r="Q6373" s="10">
        <v>378.161</v>
      </c>
      <c r="R6373" s="10" t="s">
        <v>31283</v>
      </c>
      <c r="S6373" s="10" t="s">
        <v>53</v>
      </c>
      <c r="T6373" s="10" t="s">
        <v>8760</v>
      </c>
    </row>
    <row r="6374" spans="1:20" ht="14.5" x14ac:dyDescent="0.35">
      <c r="A6374" s="10" t="s">
        <v>31284</v>
      </c>
      <c r="B6374" s="10" t="str">
        <f>"9781611170771"</f>
        <v>9781611170771</v>
      </c>
      <c r="C6374" s="10" t="str">
        <f>"9781611171846"</f>
        <v>9781611171846</v>
      </c>
      <c r="D6374" s="10" t="s">
        <v>31285</v>
      </c>
      <c r="E6374" s="10" t="s">
        <v>31285</v>
      </c>
      <c r="F6374" s="10" t="s">
        <v>3189</v>
      </c>
      <c r="G6374" s="10" t="s">
        <v>6317</v>
      </c>
      <c r="H6374" s="11">
        <v>41151</v>
      </c>
      <c r="I6374" s="10">
        <v>2012</v>
      </c>
      <c r="J6374" s="10" t="s">
        <v>31285</v>
      </c>
      <c r="K6374" s="10">
        <v>385</v>
      </c>
      <c r="L6374" s="10" t="s">
        <v>31286</v>
      </c>
      <c r="M6374" s="10">
        <v>1</v>
      </c>
      <c r="N6374" s="10"/>
      <c r="O6374" s="10"/>
      <c r="P6374" s="10" t="s">
        <v>31287</v>
      </c>
      <c r="Q6374" s="10"/>
      <c r="R6374" s="10" t="s">
        <v>31288</v>
      </c>
      <c r="S6374" s="10" t="s">
        <v>53</v>
      </c>
      <c r="T6374" s="10" t="s">
        <v>54</v>
      </c>
    </row>
    <row r="6375" spans="1:20" ht="14.5" x14ac:dyDescent="0.35">
      <c r="A6375" s="10" t="s">
        <v>31289</v>
      </c>
      <c r="B6375" s="10" t="str">
        <f>"9781611170818"</f>
        <v>9781611170818</v>
      </c>
      <c r="C6375" s="10" t="str">
        <f>"9781611171976"</f>
        <v>9781611171976</v>
      </c>
      <c r="D6375" s="10" t="s">
        <v>31285</v>
      </c>
      <c r="E6375" s="10" t="s">
        <v>31285</v>
      </c>
      <c r="F6375" s="10" t="s">
        <v>3189</v>
      </c>
      <c r="G6375" s="10" t="s">
        <v>6317</v>
      </c>
      <c r="H6375" s="11">
        <v>41120</v>
      </c>
      <c r="I6375" s="10">
        <v>2012</v>
      </c>
      <c r="J6375" s="10" t="s">
        <v>31285</v>
      </c>
      <c r="K6375" s="10">
        <v>180</v>
      </c>
      <c r="L6375" s="10" t="s">
        <v>31290</v>
      </c>
      <c r="M6375" s="10">
        <v>1</v>
      </c>
      <c r="N6375" s="10"/>
      <c r="O6375" s="10"/>
      <c r="P6375" s="10" t="s">
        <v>31291</v>
      </c>
      <c r="Q6375" s="10" t="s">
        <v>31292</v>
      </c>
      <c r="R6375" s="10" t="s">
        <v>31293</v>
      </c>
      <c r="S6375" s="10" t="s">
        <v>53</v>
      </c>
      <c r="T6375" s="10" t="s">
        <v>6384</v>
      </c>
    </row>
    <row r="6376" spans="1:20" ht="14.5" x14ac:dyDescent="0.35">
      <c r="A6376" s="10" t="s">
        <v>31294</v>
      </c>
      <c r="B6376" s="10" t="str">
        <f>"9781611173819"</f>
        <v>9781611173819</v>
      </c>
      <c r="C6376" s="10" t="str">
        <f>"9781611173826"</f>
        <v>9781611173826</v>
      </c>
      <c r="D6376" s="10" t="s">
        <v>31285</v>
      </c>
      <c r="E6376" s="10" t="s">
        <v>31285</v>
      </c>
      <c r="F6376" s="10" t="s">
        <v>3189</v>
      </c>
      <c r="G6376" s="10" t="s">
        <v>6317</v>
      </c>
      <c r="H6376" s="11">
        <v>41912</v>
      </c>
      <c r="I6376" s="10">
        <v>2014</v>
      </c>
      <c r="J6376" s="10" t="s">
        <v>31285</v>
      </c>
      <c r="K6376" s="10">
        <v>209</v>
      </c>
      <c r="L6376" s="10" t="s">
        <v>31295</v>
      </c>
      <c r="M6376" s="10">
        <v>1</v>
      </c>
      <c r="N6376" s="10" t="s">
        <v>31296</v>
      </c>
      <c r="O6376" s="10"/>
      <c r="P6376" s="10" t="s">
        <v>31297</v>
      </c>
      <c r="Q6376" s="10" t="s">
        <v>7335</v>
      </c>
      <c r="R6376" s="10" t="s">
        <v>31298</v>
      </c>
      <c r="S6376" s="10" t="s">
        <v>53</v>
      </c>
      <c r="T6376" s="10" t="s">
        <v>54</v>
      </c>
    </row>
    <row r="6377" spans="1:20" ht="14.5" x14ac:dyDescent="0.35">
      <c r="A6377" s="10" t="s">
        <v>31299</v>
      </c>
      <c r="B6377" s="10" t="str">
        <f>"9781611174366"</f>
        <v>9781611174366</v>
      </c>
      <c r="C6377" s="10" t="str">
        <f>"9781611174373"</f>
        <v>9781611174373</v>
      </c>
      <c r="D6377" s="10" t="s">
        <v>31285</v>
      </c>
      <c r="E6377" s="10" t="s">
        <v>31285</v>
      </c>
      <c r="F6377" s="10" t="s">
        <v>3189</v>
      </c>
      <c r="G6377" s="10" t="s">
        <v>6317</v>
      </c>
      <c r="H6377" s="11">
        <v>41881</v>
      </c>
      <c r="I6377" s="10">
        <v>2014</v>
      </c>
      <c r="J6377" s="10" t="s">
        <v>31285</v>
      </c>
      <c r="K6377" s="10">
        <v>374</v>
      </c>
      <c r="L6377" s="10" t="s">
        <v>31300</v>
      </c>
      <c r="M6377" s="10">
        <v>1</v>
      </c>
      <c r="N6377" s="10" t="s">
        <v>31301</v>
      </c>
      <c r="O6377" s="10"/>
      <c r="P6377" s="10" t="s">
        <v>31302</v>
      </c>
      <c r="Q6377" s="10">
        <v>378.00920000000002</v>
      </c>
      <c r="R6377" s="10" t="s">
        <v>31303</v>
      </c>
      <c r="S6377" s="10" t="s">
        <v>53</v>
      </c>
      <c r="T6377" s="10" t="s">
        <v>54</v>
      </c>
    </row>
    <row r="6378" spans="1:20" ht="14.5" x14ac:dyDescent="0.35">
      <c r="A6378" s="10" t="s">
        <v>31304</v>
      </c>
      <c r="B6378" s="10" t="str">
        <f>"9780124046979"</f>
        <v>9780124046979</v>
      </c>
      <c r="C6378" s="10" t="str">
        <f>"9780124051850"</f>
        <v>9780124051850</v>
      </c>
      <c r="D6378" s="10" t="s">
        <v>8547</v>
      </c>
      <c r="E6378" s="10" t="s">
        <v>8548</v>
      </c>
      <c r="F6378" s="10" t="s">
        <v>1232</v>
      </c>
      <c r="G6378" s="10" t="s">
        <v>6317</v>
      </c>
      <c r="H6378" s="11">
        <v>42159</v>
      </c>
      <c r="I6378" s="10">
        <v>2016</v>
      </c>
      <c r="J6378" s="10" t="s">
        <v>1231</v>
      </c>
      <c r="K6378" s="10">
        <v>455</v>
      </c>
      <c r="L6378" s="10" t="s">
        <v>31305</v>
      </c>
      <c r="M6378" s="10">
        <v>1</v>
      </c>
      <c r="N6378" s="10" t="s">
        <v>8550</v>
      </c>
      <c r="O6378" s="10"/>
      <c r="P6378" s="10"/>
      <c r="Q6378" s="10">
        <v>155.41392999999999</v>
      </c>
      <c r="R6378" s="10" t="s">
        <v>31306</v>
      </c>
      <c r="S6378" s="10" t="s">
        <v>53</v>
      </c>
      <c r="T6378" s="10" t="s">
        <v>483</v>
      </c>
    </row>
    <row r="6379" spans="1:20" ht="14.5" x14ac:dyDescent="0.35">
      <c r="A6379" s="10" t="s">
        <v>31307</v>
      </c>
      <c r="B6379" s="10" t="str">
        <f>"9780761865308"</f>
        <v>9780761865308</v>
      </c>
      <c r="C6379" s="10" t="str">
        <f>"9780761865315"</f>
        <v>9780761865315</v>
      </c>
      <c r="D6379" s="10" t="s">
        <v>9752</v>
      </c>
      <c r="E6379" s="10" t="s">
        <v>17167</v>
      </c>
      <c r="F6379" s="10" t="s">
        <v>9754</v>
      </c>
      <c r="G6379" s="10" t="s">
        <v>6317</v>
      </c>
      <c r="H6379" s="11">
        <v>42138</v>
      </c>
      <c r="I6379" s="10">
        <v>2015</v>
      </c>
      <c r="J6379" s="10" t="s">
        <v>17167</v>
      </c>
      <c r="K6379" s="10">
        <v>120</v>
      </c>
      <c r="L6379" s="10" t="s">
        <v>31308</v>
      </c>
      <c r="M6379" s="10">
        <v>1</v>
      </c>
      <c r="N6379" s="10"/>
      <c r="O6379" s="10"/>
      <c r="P6379" s="10" t="s">
        <v>31309</v>
      </c>
      <c r="Q6379" s="10">
        <v>370.11309729999999</v>
      </c>
      <c r="R6379" s="10" t="s">
        <v>31310</v>
      </c>
      <c r="S6379" s="10" t="s">
        <v>53</v>
      </c>
      <c r="T6379" s="10" t="s">
        <v>54</v>
      </c>
    </row>
    <row r="6380" spans="1:20" ht="14.5" x14ac:dyDescent="0.35">
      <c r="A6380" s="10" t="s">
        <v>31311</v>
      </c>
      <c r="B6380" s="10" t="str">
        <f>"9781498515306"</f>
        <v>9781498515306</v>
      </c>
      <c r="C6380" s="10" t="str">
        <f>"9781498515313"</f>
        <v>9781498515313</v>
      </c>
      <c r="D6380" s="10" t="s">
        <v>9752</v>
      </c>
      <c r="E6380" s="10" t="s">
        <v>15182</v>
      </c>
      <c r="F6380" s="10" t="s">
        <v>9754</v>
      </c>
      <c r="G6380" s="10" t="s">
        <v>6317</v>
      </c>
      <c r="H6380" s="11">
        <v>42165</v>
      </c>
      <c r="I6380" s="10">
        <v>2015</v>
      </c>
      <c r="J6380" s="10" t="s">
        <v>15182</v>
      </c>
      <c r="K6380" s="10">
        <v>225</v>
      </c>
      <c r="L6380" s="10" t="s">
        <v>31312</v>
      </c>
      <c r="M6380" s="10">
        <v>1</v>
      </c>
      <c r="N6380" s="10"/>
      <c r="O6380" s="10"/>
      <c r="P6380" s="10" t="s">
        <v>31313</v>
      </c>
      <c r="Q6380" s="10">
        <v>378.00819999999999</v>
      </c>
      <c r="R6380" s="10" t="s">
        <v>31314</v>
      </c>
      <c r="S6380" s="10" t="s">
        <v>53</v>
      </c>
      <c r="T6380" s="10" t="s">
        <v>54</v>
      </c>
    </row>
    <row r="6381" spans="1:20" ht="14.5" x14ac:dyDescent="0.35">
      <c r="A6381" s="10" t="s">
        <v>31315</v>
      </c>
      <c r="B6381" s="10" t="str">
        <f>"9781597560979"</f>
        <v>9781597560979</v>
      </c>
      <c r="C6381" s="10" t="str">
        <f>"9781597568432"</f>
        <v>9781597568432</v>
      </c>
      <c r="D6381" s="10" t="s">
        <v>29390</v>
      </c>
      <c r="E6381" s="10" t="s">
        <v>29391</v>
      </c>
      <c r="F6381" s="10" t="s">
        <v>1232</v>
      </c>
      <c r="G6381" s="10" t="s">
        <v>6317</v>
      </c>
      <c r="H6381" s="11">
        <v>39022</v>
      </c>
      <c r="I6381" s="10">
        <v>2015</v>
      </c>
      <c r="J6381" s="10" t="s">
        <v>29391</v>
      </c>
      <c r="K6381" s="10">
        <v>567</v>
      </c>
      <c r="L6381" s="10" t="s">
        <v>29391</v>
      </c>
      <c r="M6381" s="10">
        <v>1</v>
      </c>
      <c r="N6381" s="10"/>
      <c r="O6381" s="10"/>
      <c r="P6381" s="10" t="s">
        <v>31316</v>
      </c>
      <c r="Q6381" s="10">
        <v>616.85505999999998</v>
      </c>
      <c r="R6381" s="10" t="s">
        <v>31317</v>
      </c>
      <c r="S6381" s="10" t="s">
        <v>53</v>
      </c>
      <c r="T6381" s="10" t="s">
        <v>10829</v>
      </c>
    </row>
    <row r="6382" spans="1:20" ht="14.5" x14ac:dyDescent="0.35">
      <c r="A6382" s="10" t="s">
        <v>31318</v>
      </c>
      <c r="B6382" s="10" t="str">
        <f>"9781557536822"</f>
        <v>9781557536822</v>
      </c>
      <c r="C6382" s="10" t="str">
        <f>"9781612493671"</f>
        <v>9781612493671</v>
      </c>
      <c r="D6382" s="10" t="s">
        <v>9533</v>
      </c>
      <c r="E6382" s="10" t="s">
        <v>4024</v>
      </c>
      <c r="F6382" s="10" t="s">
        <v>31319</v>
      </c>
      <c r="G6382" s="10" t="s">
        <v>6317</v>
      </c>
      <c r="H6382" s="11">
        <v>42019</v>
      </c>
      <c r="I6382" s="10">
        <v>2015</v>
      </c>
      <c r="J6382" s="10" t="s">
        <v>4024</v>
      </c>
      <c r="K6382" s="10">
        <v>399</v>
      </c>
      <c r="L6382" s="10" t="s">
        <v>31320</v>
      </c>
      <c r="M6382" s="10">
        <v>1</v>
      </c>
      <c r="N6382" s="10"/>
      <c r="O6382" s="10"/>
      <c r="P6382" s="10" t="s">
        <v>31321</v>
      </c>
      <c r="Q6382" s="10" t="s">
        <v>8223</v>
      </c>
      <c r="R6382" s="10" t="s">
        <v>31322</v>
      </c>
      <c r="S6382" s="10" t="s">
        <v>53</v>
      </c>
      <c r="T6382" s="10" t="s">
        <v>54</v>
      </c>
    </row>
    <row r="6383" spans="1:20" ht="14.5" x14ac:dyDescent="0.35">
      <c r="A6383" s="10" t="s">
        <v>31323</v>
      </c>
      <c r="B6383" s="10" t="str">
        <f>"9780081000489"</f>
        <v>9780081000489</v>
      </c>
      <c r="C6383" s="10" t="str">
        <f>"9780081000618"</f>
        <v>9780081000618</v>
      </c>
      <c r="D6383" s="10" t="s">
        <v>8547</v>
      </c>
      <c r="E6383" s="10" t="s">
        <v>8548</v>
      </c>
      <c r="F6383" s="10" t="s">
        <v>1232</v>
      </c>
      <c r="G6383" s="10" t="s">
        <v>6352</v>
      </c>
      <c r="H6383" s="11">
        <v>42135</v>
      </c>
      <c r="I6383" s="10">
        <v>2015</v>
      </c>
      <c r="J6383" s="10" t="s">
        <v>27024</v>
      </c>
      <c r="K6383" s="10">
        <v>157</v>
      </c>
      <c r="L6383" s="10" t="s">
        <v>31324</v>
      </c>
      <c r="M6383" s="10">
        <v>1</v>
      </c>
      <c r="N6383" s="10"/>
      <c r="O6383" s="10"/>
      <c r="P6383" s="10"/>
      <c r="Q6383" s="10">
        <v>371.33446780000003</v>
      </c>
      <c r="R6383" s="10" t="s">
        <v>31325</v>
      </c>
      <c r="S6383" s="10" t="s">
        <v>53</v>
      </c>
      <c r="T6383" s="10" t="s">
        <v>54</v>
      </c>
    </row>
    <row r="6384" spans="1:20" ht="14.5" x14ac:dyDescent="0.35">
      <c r="A6384" s="10" t="s">
        <v>31326</v>
      </c>
      <c r="B6384" s="10" t="str">
        <f>"9781464805400"</f>
        <v>9781464805400</v>
      </c>
      <c r="C6384" s="10" t="str">
        <f>"9781464805417"</f>
        <v>9781464805417</v>
      </c>
      <c r="D6384" s="10" t="s">
        <v>14731</v>
      </c>
      <c r="E6384" s="10" t="s">
        <v>14732</v>
      </c>
      <c r="F6384" s="10" t="s">
        <v>88</v>
      </c>
      <c r="G6384" s="10" t="s">
        <v>6317</v>
      </c>
      <c r="H6384" s="11">
        <v>42146</v>
      </c>
      <c r="I6384" s="10">
        <v>2015</v>
      </c>
      <c r="J6384" s="10" t="s">
        <v>14732</v>
      </c>
      <c r="K6384" s="10">
        <v>127</v>
      </c>
      <c r="L6384" s="10" t="s">
        <v>31327</v>
      </c>
      <c r="M6384" s="10">
        <v>1</v>
      </c>
      <c r="N6384" s="10" t="s">
        <v>14770</v>
      </c>
      <c r="O6384" s="10"/>
      <c r="P6384" s="10" t="s">
        <v>31328</v>
      </c>
      <c r="Q6384" s="10">
        <v>370</v>
      </c>
      <c r="R6384" s="10" t="s">
        <v>31329</v>
      </c>
      <c r="S6384" s="10" t="s">
        <v>53</v>
      </c>
      <c r="T6384" s="10" t="s">
        <v>54</v>
      </c>
    </row>
    <row r="6385" spans="1:20" ht="14.5" x14ac:dyDescent="0.35">
      <c r="A6385" s="10" t="s">
        <v>31330</v>
      </c>
      <c r="B6385" s="10" t="str">
        <f>"9788024624129"</f>
        <v>9788024624129</v>
      </c>
      <c r="C6385" s="10" t="str">
        <f>"9788024626000"</f>
        <v>9788024626000</v>
      </c>
      <c r="D6385" s="10" t="s">
        <v>30935</v>
      </c>
      <c r="E6385" s="10" t="s">
        <v>30935</v>
      </c>
      <c r="F6385" s="10" t="s">
        <v>1796</v>
      </c>
      <c r="G6385" s="10" t="s">
        <v>30936</v>
      </c>
      <c r="H6385" s="11">
        <v>41699</v>
      </c>
      <c r="I6385" s="10">
        <v>2014</v>
      </c>
      <c r="J6385" s="10" t="s">
        <v>30935</v>
      </c>
      <c r="K6385" s="10">
        <v>277</v>
      </c>
      <c r="L6385" s="10" t="s">
        <v>31331</v>
      </c>
      <c r="M6385" s="10">
        <v>1</v>
      </c>
      <c r="N6385" s="10"/>
      <c r="O6385" s="10"/>
      <c r="P6385" s="10" t="s">
        <v>31332</v>
      </c>
      <c r="Q6385" s="10">
        <v>370.9</v>
      </c>
      <c r="R6385" s="10" t="s">
        <v>31333</v>
      </c>
      <c r="S6385" s="10" t="s">
        <v>4212</v>
      </c>
      <c r="T6385" s="10" t="s">
        <v>54</v>
      </c>
    </row>
    <row r="6386" spans="1:20" ht="14.5" x14ac:dyDescent="0.35">
      <c r="A6386" s="10" t="s">
        <v>31334</v>
      </c>
      <c r="B6386" s="10" t="str">
        <f>"9781137391742"</f>
        <v>9781137391742</v>
      </c>
      <c r="C6386" s="10" t="str">
        <f>"9781137386779"</f>
        <v>9781137386779</v>
      </c>
      <c r="D6386" s="10" t="s">
        <v>11249</v>
      </c>
      <c r="E6386" s="10" t="s">
        <v>2400</v>
      </c>
      <c r="F6386" s="10" t="s">
        <v>70</v>
      </c>
      <c r="G6386" s="10" t="s">
        <v>6317</v>
      </c>
      <c r="H6386" s="11">
        <v>42095</v>
      </c>
      <c r="I6386" s="10">
        <v>2015</v>
      </c>
      <c r="J6386" s="10" t="s">
        <v>2400</v>
      </c>
      <c r="K6386" s="10">
        <v>239</v>
      </c>
      <c r="L6386" s="10" t="s">
        <v>31335</v>
      </c>
      <c r="M6386" s="10">
        <v>1</v>
      </c>
      <c r="N6386" s="10"/>
      <c r="O6386" s="10"/>
      <c r="P6386" s="10" t="s">
        <v>17110</v>
      </c>
      <c r="Q6386" s="10">
        <v>378</v>
      </c>
      <c r="R6386" s="10" t="s">
        <v>6765</v>
      </c>
      <c r="S6386" s="10" t="s">
        <v>53</v>
      </c>
      <c r="T6386" s="10" t="s">
        <v>54</v>
      </c>
    </row>
    <row r="6387" spans="1:20" ht="14.5" x14ac:dyDescent="0.35">
      <c r="A6387" s="10" t="s">
        <v>31336</v>
      </c>
      <c r="B6387" s="10" t="str">
        <f>"9781138807297"</f>
        <v>9781138807297</v>
      </c>
      <c r="C6387" s="10" t="str">
        <f>"9781317614364"</f>
        <v>9781317614364</v>
      </c>
      <c r="D6387" s="10" t="s">
        <v>6350</v>
      </c>
      <c r="E6387" s="10" t="s">
        <v>6351</v>
      </c>
      <c r="F6387" s="10" t="s">
        <v>139</v>
      </c>
      <c r="G6387" s="10" t="s">
        <v>6352</v>
      </c>
      <c r="H6387" s="11">
        <v>42159</v>
      </c>
      <c r="I6387" s="10">
        <v>2015</v>
      </c>
      <c r="J6387" s="10" t="s">
        <v>6353</v>
      </c>
      <c r="K6387" s="10">
        <v>231</v>
      </c>
      <c r="L6387" s="10" t="s">
        <v>31337</v>
      </c>
      <c r="M6387" s="10">
        <v>1</v>
      </c>
      <c r="N6387" s="10" t="s">
        <v>6954</v>
      </c>
      <c r="O6387" s="10"/>
      <c r="P6387" s="10" t="s">
        <v>31338</v>
      </c>
      <c r="Q6387" s="10" t="s">
        <v>7069</v>
      </c>
      <c r="R6387" s="10" t="s">
        <v>31339</v>
      </c>
      <c r="S6387" s="10" t="s">
        <v>53</v>
      </c>
      <c r="T6387" s="10" t="s">
        <v>54</v>
      </c>
    </row>
    <row r="6388" spans="1:20" ht="14.5" x14ac:dyDescent="0.35">
      <c r="A6388" s="10" t="s">
        <v>31340</v>
      </c>
      <c r="B6388" s="10" t="str">
        <f>"9781475813562"</f>
        <v>9781475813562</v>
      </c>
      <c r="C6388" s="10" t="str">
        <f>"9781475813593"</f>
        <v>9781475813593</v>
      </c>
      <c r="D6388" s="10" t="s">
        <v>9752</v>
      </c>
      <c r="E6388" s="10" t="s">
        <v>15187</v>
      </c>
      <c r="F6388" s="10" t="s">
        <v>9754</v>
      </c>
      <c r="G6388" s="10" t="s">
        <v>6317</v>
      </c>
      <c r="H6388" s="11">
        <v>42145</v>
      </c>
      <c r="I6388" s="10">
        <v>2015</v>
      </c>
      <c r="J6388" s="10" t="s">
        <v>15187</v>
      </c>
      <c r="K6388" s="10">
        <v>131</v>
      </c>
      <c r="L6388" s="10" t="s">
        <v>31341</v>
      </c>
      <c r="M6388" s="10">
        <v>1</v>
      </c>
      <c r="N6388" s="10"/>
      <c r="O6388" s="10"/>
      <c r="P6388" s="10" t="s">
        <v>31342</v>
      </c>
      <c r="Q6388" s="10" t="s">
        <v>31343</v>
      </c>
      <c r="R6388" s="10" t="s">
        <v>31344</v>
      </c>
      <c r="S6388" s="10" t="s">
        <v>53</v>
      </c>
      <c r="T6388" s="10" t="s">
        <v>54</v>
      </c>
    </row>
    <row r="6389" spans="1:20" ht="14.5" x14ac:dyDescent="0.35">
      <c r="A6389" s="10" t="s">
        <v>31345</v>
      </c>
      <c r="B6389" s="10" t="str">
        <f>"9781475817935"</f>
        <v>9781475817935</v>
      </c>
      <c r="C6389" s="10" t="str">
        <f>"9781475817959"</f>
        <v>9781475817959</v>
      </c>
      <c r="D6389" s="10" t="s">
        <v>9752</v>
      </c>
      <c r="E6389" s="10" t="s">
        <v>15187</v>
      </c>
      <c r="F6389" s="10" t="s">
        <v>9754</v>
      </c>
      <c r="G6389" s="10" t="s">
        <v>6317</v>
      </c>
      <c r="H6389" s="11">
        <v>42145</v>
      </c>
      <c r="I6389" s="10">
        <v>2015</v>
      </c>
      <c r="J6389" s="10" t="s">
        <v>15187</v>
      </c>
      <c r="K6389" s="10">
        <v>183</v>
      </c>
      <c r="L6389" s="10" t="s">
        <v>31346</v>
      </c>
      <c r="M6389" s="10">
        <v>1</v>
      </c>
      <c r="N6389" s="10"/>
      <c r="O6389" s="10"/>
      <c r="P6389" s="10" t="s">
        <v>31347</v>
      </c>
      <c r="Q6389" s="10" t="s">
        <v>27260</v>
      </c>
      <c r="R6389" s="10" t="s">
        <v>31348</v>
      </c>
      <c r="S6389" s="10" t="s">
        <v>53</v>
      </c>
      <c r="T6389" s="10" t="s">
        <v>54</v>
      </c>
    </row>
    <row r="6390" spans="1:20" ht="14.5" x14ac:dyDescent="0.35">
      <c r="A6390" s="10" t="s">
        <v>31349</v>
      </c>
      <c r="B6390" s="10" t="str">
        <f>"9781442220843"</f>
        <v>9781442220843</v>
      </c>
      <c r="C6390" s="10" t="str">
        <f>"9781442220850"</f>
        <v>9781442220850</v>
      </c>
      <c r="D6390" s="10" t="s">
        <v>9752</v>
      </c>
      <c r="E6390" s="10" t="s">
        <v>15187</v>
      </c>
      <c r="F6390" s="10" t="s">
        <v>9754</v>
      </c>
      <c r="G6390" s="10" t="s">
        <v>6317</v>
      </c>
      <c r="H6390" s="11">
        <v>42156</v>
      </c>
      <c r="I6390" s="10">
        <v>2015</v>
      </c>
      <c r="J6390" s="10" t="s">
        <v>15187</v>
      </c>
      <c r="K6390" s="10">
        <v>701</v>
      </c>
      <c r="L6390" s="10" t="s">
        <v>31350</v>
      </c>
      <c r="M6390" s="10">
        <v>1</v>
      </c>
      <c r="N6390" s="10"/>
      <c r="O6390" s="10"/>
      <c r="P6390" s="10" t="s">
        <v>31351</v>
      </c>
      <c r="Q6390" s="10" t="s">
        <v>18149</v>
      </c>
      <c r="R6390" s="10" t="s">
        <v>31352</v>
      </c>
      <c r="S6390" s="10" t="s">
        <v>53</v>
      </c>
      <c r="T6390" s="10" t="s">
        <v>54</v>
      </c>
    </row>
    <row r="6391" spans="1:20" ht="14.5" x14ac:dyDescent="0.35">
      <c r="A6391" s="10" t="s">
        <v>31353</v>
      </c>
      <c r="B6391" s="10" t="str">
        <f>"9781475815849"</f>
        <v>9781475815849</v>
      </c>
      <c r="C6391" s="10" t="str">
        <f>"9781475815863"</f>
        <v>9781475815863</v>
      </c>
      <c r="D6391" s="10" t="s">
        <v>9752</v>
      </c>
      <c r="E6391" s="10" t="s">
        <v>15187</v>
      </c>
      <c r="F6391" s="10" t="s">
        <v>9754</v>
      </c>
      <c r="G6391" s="10" t="s">
        <v>6317</v>
      </c>
      <c r="H6391" s="11">
        <v>42158</v>
      </c>
      <c r="I6391" s="10">
        <v>2015</v>
      </c>
      <c r="J6391" s="10" t="s">
        <v>15187</v>
      </c>
      <c r="K6391" s="10">
        <v>210</v>
      </c>
      <c r="L6391" s="10" t="s">
        <v>31354</v>
      </c>
      <c r="M6391" s="10">
        <v>1</v>
      </c>
      <c r="N6391" s="10"/>
      <c r="O6391" s="10"/>
      <c r="P6391" s="10" t="s">
        <v>31355</v>
      </c>
      <c r="Q6391" s="10" t="s">
        <v>11803</v>
      </c>
      <c r="R6391" s="10" t="s">
        <v>31356</v>
      </c>
      <c r="S6391" s="10" t="s">
        <v>53</v>
      </c>
      <c r="T6391" s="10" t="s">
        <v>54</v>
      </c>
    </row>
    <row r="6392" spans="1:20" ht="14.5" x14ac:dyDescent="0.35">
      <c r="A6392" s="10" t="s">
        <v>31357</v>
      </c>
      <c r="B6392" s="10" t="str">
        <f>"9781785601422"</f>
        <v>9781785601422</v>
      </c>
      <c r="C6392" s="10" t="str">
        <f>"9781785601439"</f>
        <v>9781785601439</v>
      </c>
      <c r="D6392" s="10" t="s">
        <v>8699</v>
      </c>
      <c r="E6392" s="10" t="s">
        <v>8699</v>
      </c>
      <c r="F6392" s="10" t="s">
        <v>559</v>
      </c>
      <c r="G6392" s="10" t="s">
        <v>6352</v>
      </c>
      <c r="H6392" s="11">
        <v>42108</v>
      </c>
      <c r="I6392" s="10">
        <v>2015</v>
      </c>
      <c r="J6392" s="10" t="s">
        <v>115</v>
      </c>
      <c r="K6392" s="10">
        <v>133</v>
      </c>
      <c r="L6392" s="10" t="s">
        <v>31358</v>
      </c>
      <c r="M6392" s="10">
        <v>1</v>
      </c>
      <c r="N6392" s="10" t="s">
        <v>31359</v>
      </c>
      <c r="O6392" s="10"/>
      <c r="P6392" s="10" t="s">
        <v>20058</v>
      </c>
      <c r="Q6392" s="10" t="s">
        <v>31360</v>
      </c>
      <c r="R6392" s="10" t="s">
        <v>31361</v>
      </c>
      <c r="S6392" s="10" t="s">
        <v>53</v>
      </c>
      <c r="T6392" s="10" t="s">
        <v>54</v>
      </c>
    </row>
    <row r="6393" spans="1:20" ht="14.5" x14ac:dyDescent="0.35">
      <c r="A6393" s="10" t="s">
        <v>31362</v>
      </c>
      <c r="B6393" s="10" t="str">
        <f>"9781784418519"</f>
        <v>9781784418519</v>
      </c>
      <c r="C6393" s="10" t="str">
        <f>"9781784418526"</f>
        <v>9781784418526</v>
      </c>
      <c r="D6393" s="10" t="s">
        <v>8699</v>
      </c>
      <c r="E6393" s="10" t="s">
        <v>8699</v>
      </c>
      <c r="F6393" s="10" t="s">
        <v>559</v>
      </c>
      <c r="G6393" s="10" t="s">
        <v>6352</v>
      </c>
      <c r="H6393" s="11">
        <v>42121</v>
      </c>
      <c r="I6393" s="10">
        <v>2015</v>
      </c>
      <c r="J6393" s="10" t="s">
        <v>115</v>
      </c>
      <c r="K6393" s="10">
        <v>144</v>
      </c>
      <c r="L6393" s="10" t="s">
        <v>31363</v>
      </c>
      <c r="M6393" s="10">
        <v>1</v>
      </c>
      <c r="N6393" s="10" t="s">
        <v>31364</v>
      </c>
      <c r="O6393" s="10"/>
      <c r="P6393" s="10" t="s">
        <v>31365</v>
      </c>
      <c r="Q6393" s="10">
        <v>378</v>
      </c>
      <c r="R6393" s="10" t="s">
        <v>31366</v>
      </c>
      <c r="S6393" s="10" t="s">
        <v>53</v>
      </c>
      <c r="T6393" s="10" t="s">
        <v>54</v>
      </c>
    </row>
    <row r="6394" spans="1:20" ht="14.5" x14ac:dyDescent="0.35">
      <c r="A6394" s="10" t="s">
        <v>31367</v>
      </c>
      <c r="B6394" s="10" t="str">
        <f>"9781475809916"</f>
        <v>9781475809916</v>
      </c>
      <c r="C6394" s="10" t="str">
        <f>"9781475809923"</f>
        <v>9781475809923</v>
      </c>
      <c r="D6394" s="10" t="s">
        <v>9752</v>
      </c>
      <c r="E6394" s="10" t="s">
        <v>15187</v>
      </c>
      <c r="F6394" s="10" t="s">
        <v>9754</v>
      </c>
      <c r="G6394" s="10" t="s">
        <v>6317</v>
      </c>
      <c r="H6394" s="11">
        <v>42151</v>
      </c>
      <c r="I6394" s="10">
        <v>2015</v>
      </c>
      <c r="J6394" s="10" t="s">
        <v>15187</v>
      </c>
      <c r="K6394" s="10">
        <v>226</v>
      </c>
      <c r="L6394" s="10" t="s">
        <v>31368</v>
      </c>
      <c r="M6394" s="10">
        <v>1</v>
      </c>
      <c r="N6394" s="10"/>
      <c r="O6394" s="10"/>
      <c r="P6394" s="10" t="s">
        <v>31369</v>
      </c>
      <c r="Q6394" s="10">
        <v>780.71</v>
      </c>
      <c r="R6394" s="10" t="s">
        <v>31370</v>
      </c>
      <c r="S6394" s="10" t="s">
        <v>53</v>
      </c>
      <c r="T6394" s="10" t="s">
        <v>6384</v>
      </c>
    </row>
    <row r="6395" spans="1:20" ht="14.5" x14ac:dyDescent="0.35">
      <c r="A6395" s="10" t="s">
        <v>31371</v>
      </c>
      <c r="B6395" s="10" t="str">
        <f>"9781475817768"</f>
        <v>9781475817768</v>
      </c>
      <c r="C6395" s="10" t="str">
        <f>"9781475817775"</f>
        <v>9781475817775</v>
      </c>
      <c r="D6395" s="10" t="s">
        <v>9752</v>
      </c>
      <c r="E6395" s="10" t="s">
        <v>15187</v>
      </c>
      <c r="F6395" s="10" t="s">
        <v>9754</v>
      </c>
      <c r="G6395" s="10" t="s">
        <v>6317</v>
      </c>
      <c r="H6395" s="11">
        <v>42158</v>
      </c>
      <c r="I6395" s="10">
        <v>2015</v>
      </c>
      <c r="J6395" s="10" t="s">
        <v>15187</v>
      </c>
      <c r="K6395" s="10">
        <v>195</v>
      </c>
      <c r="L6395" s="10" t="s">
        <v>31372</v>
      </c>
      <c r="M6395" s="10">
        <v>1</v>
      </c>
      <c r="N6395" s="10"/>
      <c r="O6395" s="10"/>
      <c r="P6395" s="10" t="s">
        <v>31373</v>
      </c>
      <c r="Q6395" s="10">
        <v>371.10199999999998</v>
      </c>
      <c r="R6395" s="10" t="s">
        <v>12145</v>
      </c>
      <c r="S6395" s="10" t="s">
        <v>53</v>
      </c>
      <c r="T6395" s="10" t="s">
        <v>54</v>
      </c>
    </row>
    <row r="6396" spans="1:20" ht="14.5" x14ac:dyDescent="0.35">
      <c r="A6396" s="10" t="s">
        <v>31374</v>
      </c>
      <c r="B6396" s="10" t="str">
        <f>"9781475814484"</f>
        <v>9781475814484</v>
      </c>
      <c r="C6396" s="10" t="str">
        <f>"9781475814491"</f>
        <v>9781475814491</v>
      </c>
      <c r="D6396" s="10" t="s">
        <v>9752</v>
      </c>
      <c r="E6396" s="10" t="s">
        <v>15187</v>
      </c>
      <c r="F6396" s="10" t="s">
        <v>9754</v>
      </c>
      <c r="G6396" s="10" t="s">
        <v>6317</v>
      </c>
      <c r="H6396" s="11">
        <v>42156</v>
      </c>
      <c r="I6396" s="10">
        <v>2015</v>
      </c>
      <c r="J6396" s="10" t="s">
        <v>15187</v>
      </c>
      <c r="K6396" s="10">
        <v>144</v>
      </c>
      <c r="L6396" s="10" t="s">
        <v>31375</v>
      </c>
      <c r="M6396" s="10">
        <v>1</v>
      </c>
      <c r="N6396" s="10"/>
      <c r="O6396" s="10"/>
      <c r="P6396" s="10" t="s">
        <v>31376</v>
      </c>
      <c r="Q6396" s="10">
        <v>371.9</v>
      </c>
      <c r="R6396" s="10" t="s">
        <v>31377</v>
      </c>
      <c r="S6396" s="10" t="s">
        <v>53</v>
      </c>
      <c r="T6396" s="10" t="s">
        <v>54</v>
      </c>
    </row>
    <row r="6397" spans="1:20" ht="14.5" x14ac:dyDescent="0.35">
      <c r="A6397" s="10" t="s">
        <v>31378</v>
      </c>
      <c r="B6397" s="10" t="str">
        <f>"9781475814545"</f>
        <v>9781475814545</v>
      </c>
      <c r="C6397" s="10" t="str">
        <f>"9781475814552"</f>
        <v>9781475814552</v>
      </c>
      <c r="D6397" s="10" t="s">
        <v>9752</v>
      </c>
      <c r="E6397" s="10" t="s">
        <v>15187</v>
      </c>
      <c r="F6397" s="10" t="s">
        <v>9754</v>
      </c>
      <c r="G6397" s="10" t="s">
        <v>6317</v>
      </c>
      <c r="H6397" s="11">
        <v>42171</v>
      </c>
      <c r="I6397" s="10">
        <v>2015</v>
      </c>
      <c r="J6397" s="10" t="s">
        <v>15187</v>
      </c>
      <c r="K6397" s="10">
        <v>163</v>
      </c>
      <c r="L6397" s="10" t="s">
        <v>31379</v>
      </c>
      <c r="M6397" s="10">
        <v>1</v>
      </c>
      <c r="N6397" s="10"/>
      <c r="O6397" s="10"/>
      <c r="P6397" s="10" t="s">
        <v>31380</v>
      </c>
      <c r="Q6397" s="10" t="s">
        <v>8460</v>
      </c>
      <c r="R6397" s="10" t="s">
        <v>29791</v>
      </c>
      <c r="S6397" s="10" t="s">
        <v>53</v>
      </c>
      <c r="T6397" s="10" t="s">
        <v>54</v>
      </c>
    </row>
    <row r="6398" spans="1:20" ht="14.5" x14ac:dyDescent="0.35">
      <c r="A6398" s="10" t="s">
        <v>31381</v>
      </c>
      <c r="B6398" s="10" t="str">
        <f>"9781557286857"</f>
        <v>9781557286857</v>
      </c>
      <c r="C6398" s="10" t="str">
        <f>"9781610755788"</f>
        <v>9781610755788</v>
      </c>
      <c r="D6398" s="10" t="s">
        <v>20156</v>
      </c>
      <c r="E6398" s="10" t="s">
        <v>31095</v>
      </c>
      <c r="F6398" s="10" t="s">
        <v>324</v>
      </c>
      <c r="G6398" s="10" t="s">
        <v>6317</v>
      </c>
      <c r="H6398" s="11">
        <v>42194</v>
      </c>
      <c r="I6398" s="10">
        <v>2015</v>
      </c>
      <c r="J6398" s="10" t="s">
        <v>31095</v>
      </c>
      <c r="K6398" s="10">
        <v>182</v>
      </c>
      <c r="L6398" s="10" t="s">
        <v>31382</v>
      </c>
      <c r="M6398" s="10">
        <v>1</v>
      </c>
      <c r="N6398" s="10"/>
      <c r="O6398" s="10"/>
      <c r="P6398" s="10" t="s">
        <v>31383</v>
      </c>
      <c r="Q6398" s="10">
        <v>378.34097300000002</v>
      </c>
      <c r="R6398" s="10" t="s">
        <v>31384</v>
      </c>
      <c r="S6398" s="10" t="s">
        <v>53</v>
      </c>
      <c r="T6398" s="10" t="s">
        <v>54</v>
      </c>
    </row>
    <row r="6399" spans="1:20" ht="14.5" x14ac:dyDescent="0.35">
      <c r="A6399" s="10" t="s">
        <v>31385</v>
      </c>
      <c r="B6399" s="10" t="str">
        <f>"9781475818246"</f>
        <v>9781475818246</v>
      </c>
      <c r="C6399" s="10" t="str">
        <f>"9781475818253"</f>
        <v>9781475818253</v>
      </c>
      <c r="D6399" s="10" t="s">
        <v>9752</v>
      </c>
      <c r="E6399" s="10" t="s">
        <v>15187</v>
      </c>
      <c r="F6399" s="10" t="s">
        <v>9754</v>
      </c>
      <c r="G6399" s="10" t="s">
        <v>6317</v>
      </c>
      <c r="H6399" s="11">
        <v>42193</v>
      </c>
      <c r="I6399" s="10">
        <v>2015</v>
      </c>
      <c r="J6399" s="10" t="s">
        <v>15187</v>
      </c>
      <c r="K6399" s="10">
        <v>129</v>
      </c>
      <c r="L6399" s="10" t="s">
        <v>31386</v>
      </c>
      <c r="M6399" s="10">
        <v>1</v>
      </c>
      <c r="N6399" s="10"/>
      <c r="O6399" s="10"/>
      <c r="P6399" s="10" t="s">
        <v>20495</v>
      </c>
      <c r="Q6399" s="10">
        <v>372.21</v>
      </c>
      <c r="R6399" s="10" t="s">
        <v>31387</v>
      </c>
      <c r="S6399" s="10" t="s">
        <v>53</v>
      </c>
      <c r="T6399" s="10" t="s">
        <v>54</v>
      </c>
    </row>
    <row r="6400" spans="1:20" ht="14.5" x14ac:dyDescent="0.35">
      <c r="A6400" s="10" t="s">
        <v>31388</v>
      </c>
      <c r="B6400" s="10" t="str">
        <f>"9781475819724"</f>
        <v>9781475819724</v>
      </c>
      <c r="C6400" s="10" t="str">
        <f>"9781475819748"</f>
        <v>9781475819748</v>
      </c>
      <c r="D6400" s="10" t="s">
        <v>9752</v>
      </c>
      <c r="E6400" s="10" t="s">
        <v>15187</v>
      </c>
      <c r="F6400" s="10" t="s">
        <v>9754</v>
      </c>
      <c r="G6400" s="10" t="s">
        <v>6317</v>
      </c>
      <c r="H6400" s="11">
        <v>42156</v>
      </c>
      <c r="I6400" s="10">
        <v>2015</v>
      </c>
      <c r="J6400" s="10" t="s">
        <v>15187</v>
      </c>
      <c r="K6400" s="10">
        <v>255</v>
      </c>
      <c r="L6400" s="10" t="s">
        <v>31389</v>
      </c>
      <c r="M6400" s="10">
        <v>1</v>
      </c>
      <c r="N6400" s="10"/>
      <c r="O6400" s="10"/>
      <c r="P6400" s="10" t="s">
        <v>31390</v>
      </c>
      <c r="Q6400" s="10">
        <v>305.800973</v>
      </c>
      <c r="R6400" s="10" t="s">
        <v>31391</v>
      </c>
      <c r="S6400" s="10" t="s">
        <v>53</v>
      </c>
      <c r="T6400" s="10" t="s">
        <v>6363</v>
      </c>
    </row>
    <row r="6401" spans="1:20" ht="14.5" x14ac:dyDescent="0.35">
      <c r="A6401" s="10" t="s">
        <v>31392</v>
      </c>
      <c r="B6401" s="10" t="str">
        <f>"9782806263865"</f>
        <v>9782806263865</v>
      </c>
      <c r="C6401" s="10" t="str">
        <f>"9782806263858"</f>
        <v>9782806263858</v>
      </c>
      <c r="D6401" s="10" t="s">
        <v>29172</v>
      </c>
      <c r="E6401" s="10" t="s">
        <v>29173</v>
      </c>
      <c r="F6401" s="10" t="s">
        <v>29181</v>
      </c>
      <c r="G6401" s="10" t="s">
        <v>28737</v>
      </c>
      <c r="H6401" s="11">
        <v>42159</v>
      </c>
      <c r="I6401" s="10">
        <v>2015</v>
      </c>
      <c r="J6401" s="10" t="s">
        <v>29175</v>
      </c>
      <c r="K6401" s="10">
        <v>15</v>
      </c>
      <c r="L6401" s="10" t="s">
        <v>31393</v>
      </c>
      <c r="M6401" s="10">
        <v>1</v>
      </c>
      <c r="N6401" s="10" t="s">
        <v>31394</v>
      </c>
      <c r="O6401" s="10"/>
      <c r="P6401" s="10"/>
      <c r="Q6401" s="10"/>
      <c r="R6401" s="10"/>
      <c r="S6401" s="10" t="s">
        <v>5404</v>
      </c>
      <c r="T6401" s="10" t="s">
        <v>29264</v>
      </c>
    </row>
    <row r="6402" spans="1:20" ht="14.5" x14ac:dyDescent="0.35">
      <c r="A6402" s="10" t="s">
        <v>31395</v>
      </c>
      <c r="B6402" s="10" t="str">
        <f>"9781849850360"</f>
        <v>9781849850360</v>
      </c>
      <c r="C6402" s="10" t="str">
        <f>"9781846422010"</f>
        <v>9781846422010</v>
      </c>
      <c r="D6402" s="10" t="s">
        <v>10516</v>
      </c>
      <c r="E6402" s="10" t="s">
        <v>10516</v>
      </c>
      <c r="F6402" s="10" t="s">
        <v>139</v>
      </c>
      <c r="G6402" s="10" t="s">
        <v>6352</v>
      </c>
      <c r="H6402" s="11">
        <v>36742</v>
      </c>
      <c r="I6402" s="10">
        <v>2000</v>
      </c>
      <c r="J6402" s="10" t="s">
        <v>10516</v>
      </c>
      <c r="K6402" s="10">
        <v>146</v>
      </c>
      <c r="L6402" s="10" t="s">
        <v>10904</v>
      </c>
      <c r="M6402" s="10">
        <v>1</v>
      </c>
      <c r="N6402" s="10"/>
      <c r="O6402" s="10"/>
      <c r="P6402" s="10" t="s">
        <v>31396</v>
      </c>
      <c r="Q6402" s="10">
        <v>373.14</v>
      </c>
      <c r="R6402" s="10" t="s">
        <v>31397</v>
      </c>
      <c r="S6402" s="10" t="s">
        <v>53</v>
      </c>
      <c r="T6402" s="10" t="s">
        <v>54</v>
      </c>
    </row>
    <row r="6403" spans="1:20" ht="14.5" x14ac:dyDescent="0.35">
      <c r="A6403" s="10" t="s">
        <v>31398</v>
      </c>
      <c r="B6403" s="10" t="str">
        <f>"9781784413941"</f>
        <v>9781784413941</v>
      </c>
      <c r="C6403" s="10" t="str">
        <f>"9781784413934"</f>
        <v>9781784413934</v>
      </c>
      <c r="D6403" s="10" t="s">
        <v>8699</v>
      </c>
      <c r="E6403" s="10" t="s">
        <v>8699</v>
      </c>
      <c r="F6403" s="10" t="s">
        <v>559</v>
      </c>
      <c r="G6403" s="10" t="s">
        <v>6352</v>
      </c>
      <c r="H6403" s="11">
        <v>42158</v>
      </c>
      <c r="I6403" s="10">
        <v>2015</v>
      </c>
      <c r="J6403" s="10" t="s">
        <v>8699</v>
      </c>
      <c r="K6403" s="10">
        <v>384</v>
      </c>
      <c r="L6403" s="10" t="s">
        <v>31399</v>
      </c>
      <c r="M6403" s="10">
        <v>1</v>
      </c>
      <c r="N6403" s="10" t="s">
        <v>18965</v>
      </c>
      <c r="O6403" s="10">
        <v>16</v>
      </c>
      <c r="P6403" s="10" t="s">
        <v>28347</v>
      </c>
      <c r="Q6403" s="10"/>
      <c r="R6403" s="10" t="s">
        <v>31400</v>
      </c>
      <c r="S6403" s="10" t="s">
        <v>53</v>
      </c>
      <c r="T6403" s="10" t="s">
        <v>54</v>
      </c>
    </row>
    <row r="6404" spans="1:20" ht="14.5" x14ac:dyDescent="0.35">
      <c r="A6404" s="10" t="s">
        <v>31401</v>
      </c>
      <c r="B6404" s="10" t="str">
        <f>"9780128022467"</f>
        <v>9780128022467</v>
      </c>
      <c r="C6404" s="10" t="str">
        <f>"9780128024348"</f>
        <v>9780128024348</v>
      </c>
      <c r="D6404" s="10" t="s">
        <v>8547</v>
      </c>
      <c r="E6404" s="10" t="s">
        <v>8548</v>
      </c>
      <c r="F6404" s="10" t="s">
        <v>1232</v>
      </c>
      <c r="G6404" s="10" t="s">
        <v>6317</v>
      </c>
      <c r="H6404" s="11">
        <v>42159</v>
      </c>
      <c r="I6404" s="10">
        <v>2015</v>
      </c>
      <c r="J6404" s="10" t="s">
        <v>1231</v>
      </c>
      <c r="K6404" s="10">
        <v>239</v>
      </c>
      <c r="L6404" s="10" t="s">
        <v>31402</v>
      </c>
      <c r="M6404" s="10">
        <v>1</v>
      </c>
      <c r="N6404" s="10" t="s">
        <v>8550</v>
      </c>
      <c r="O6404" s="10" t="s">
        <v>31403</v>
      </c>
      <c r="P6404" s="10" t="s">
        <v>31404</v>
      </c>
      <c r="Q6404" s="10">
        <v>153.15</v>
      </c>
      <c r="R6404" s="10" t="s">
        <v>31405</v>
      </c>
      <c r="S6404" s="10" t="s">
        <v>53</v>
      </c>
      <c r="T6404" s="10" t="s">
        <v>483</v>
      </c>
    </row>
    <row r="6405" spans="1:20" ht="14.5" x14ac:dyDescent="0.35">
      <c r="A6405" s="10" t="s">
        <v>31406</v>
      </c>
      <c r="B6405" s="10" t="str">
        <f>"9781475817072"</f>
        <v>9781475817072</v>
      </c>
      <c r="C6405" s="10" t="str">
        <f>"9781475817089"</f>
        <v>9781475817089</v>
      </c>
      <c r="D6405" s="10" t="s">
        <v>9752</v>
      </c>
      <c r="E6405" s="10" t="s">
        <v>15187</v>
      </c>
      <c r="F6405" s="10" t="s">
        <v>9754</v>
      </c>
      <c r="G6405" s="10" t="s">
        <v>6317</v>
      </c>
      <c r="H6405" s="11">
        <v>42164</v>
      </c>
      <c r="I6405" s="10">
        <v>2015</v>
      </c>
      <c r="J6405" s="10" t="s">
        <v>15187</v>
      </c>
      <c r="K6405" s="10">
        <v>221</v>
      </c>
      <c r="L6405" s="10" t="s">
        <v>31407</v>
      </c>
      <c r="M6405" s="10">
        <v>1</v>
      </c>
      <c r="N6405" s="10"/>
      <c r="O6405" s="10"/>
      <c r="P6405" s="10" t="s">
        <v>25263</v>
      </c>
      <c r="Q6405" s="10" t="s">
        <v>7299</v>
      </c>
      <c r="R6405" s="10" t="s">
        <v>31408</v>
      </c>
      <c r="S6405" s="10" t="s">
        <v>53</v>
      </c>
      <c r="T6405" s="10" t="s">
        <v>54</v>
      </c>
    </row>
    <row r="6406" spans="1:20" ht="14.5" x14ac:dyDescent="0.35">
      <c r="A6406" s="10" t="s">
        <v>31409</v>
      </c>
      <c r="B6406" s="10" t="str">
        <f>"9780621429152"</f>
        <v>9780621429152</v>
      </c>
      <c r="C6406" s="10" t="str">
        <f>"9781920677794"</f>
        <v>9781920677794</v>
      </c>
      <c r="D6406" s="10" t="s">
        <v>24820</v>
      </c>
      <c r="E6406" s="10" t="s">
        <v>24825</v>
      </c>
      <c r="F6406" s="10" t="s">
        <v>748</v>
      </c>
      <c r="G6406" s="10" t="s">
        <v>24826</v>
      </c>
      <c r="H6406" s="11">
        <v>42129</v>
      </c>
      <c r="I6406" s="10">
        <v>2015</v>
      </c>
      <c r="J6406" s="10" t="s">
        <v>24825</v>
      </c>
      <c r="K6406" s="10">
        <v>358</v>
      </c>
      <c r="L6406" s="10" t="s">
        <v>31410</v>
      </c>
      <c r="M6406" s="10">
        <v>1</v>
      </c>
      <c r="N6406" s="10"/>
      <c r="O6406" s="10"/>
      <c r="P6406" s="10"/>
      <c r="Q6406" s="10"/>
      <c r="R6406" s="10"/>
      <c r="S6406" s="10" t="s">
        <v>53</v>
      </c>
      <c r="T6406" s="10" t="s">
        <v>54</v>
      </c>
    </row>
    <row r="6407" spans="1:20" ht="14.5" x14ac:dyDescent="0.35">
      <c r="A6407" s="10" t="s">
        <v>31411</v>
      </c>
      <c r="B6407" s="10" t="str">
        <f>"9781784418236"</f>
        <v>9781784418236</v>
      </c>
      <c r="C6407" s="10" t="str">
        <f>"9781784418243"</f>
        <v>9781784418243</v>
      </c>
      <c r="D6407" s="10" t="s">
        <v>8699</v>
      </c>
      <c r="E6407" s="10" t="s">
        <v>8699</v>
      </c>
      <c r="F6407" s="10" t="s">
        <v>559</v>
      </c>
      <c r="G6407" s="10" t="s">
        <v>6352</v>
      </c>
      <c r="H6407" s="11">
        <v>42135</v>
      </c>
      <c r="I6407" s="10">
        <v>2015</v>
      </c>
      <c r="J6407" s="10" t="s">
        <v>115</v>
      </c>
      <c r="K6407" s="10">
        <v>105</v>
      </c>
      <c r="L6407" s="10" t="s">
        <v>31412</v>
      </c>
      <c r="M6407" s="10">
        <v>1</v>
      </c>
      <c r="N6407" s="10" t="s">
        <v>31413</v>
      </c>
      <c r="O6407" s="10"/>
      <c r="P6407" s="10" t="s">
        <v>23260</v>
      </c>
      <c r="Q6407" s="10">
        <v>378.00700000000001</v>
      </c>
      <c r="R6407" s="10" t="s">
        <v>31414</v>
      </c>
      <c r="S6407" s="10" t="s">
        <v>53</v>
      </c>
      <c r="T6407" s="10" t="s">
        <v>54</v>
      </c>
    </row>
    <row r="6408" spans="1:20" ht="14.5" x14ac:dyDescent="0.35">
      <c r="A6408" s="10" t="s">
        <v>31415</v>
      </c>
      <c r="B6408" s="10" t="str">
        <f>"9781843347699"</f>
        <v>9781843347699</v>
      </c>
      <c r="C6408" s="10" t="str">
        <f>"9781780634500"</f>
        <v>9781780634500</v>
      </c>
      <c r="D6408" s="10" t="s">
        <v>8547</v>
      </c>
      <c r="E6408" s="10" t="s">
        <v>8548</v>
      </c>
      <c r="F6408" s="10" t="s">
        <v>1232</v>
      </c>
      <c r="G6408" s="10" t="s">
        <v>6352</v>
      </c>
      <c r="H6408" s="11">
        <v>42159</v>
      </c>
      <c r="I6408" s="10">
        <v>2015</v>
      </c>
      <c r="J6408" s="10" t="s">
        <v>27024</v>
      </c>
      <c r="K6408" s="10">
        <v>125</v>
      </c>
      <c r="L6408" s="10" t="s">
        <v>31416</v>
      </c>
      <c r="M6408" s="10">
        <v>1</v>
      </c>
      <c r="N6408" s="10"/>
      <c r="O6408" s="10"/>
      <c r="P6408" s="10"/>
      <c r="Q6408" s="10">
        <v>20.23</v>
      </c>
      <c r="R6408" s="10" t="s">
        <v>31417</v>
      </c>
      <c r="S6408" s="10" t="s">
        <v>53</v>
      </c>
      <c r="T6408" s="10" t="s">
        <v>10302</v>
      </c>
    </row>
    <row r="6409" spans="1:20" ht="14.5" x14ac:dyDescent="0.35">
      <c r="A6409" s="10" t="s">
        <v>31418</v>
      </c>
      <c r="B6409" s="10" t="str">
        <f>"9782806264572"</f>
        <v>9782806264572</v>
      </c>
      <c r="C6409" s="10" t="str">
        <f>"9782806264565"</f>
        <v>9782806264565</v>
      </c>
      <c r="D6409" s="10" t="s">
        <v>29172</v>
      </c>
      <c r="E6409" s="10" t="s">
        <v>29173</v>
      </c>
      <c r="F6409" s="10" t="s">
        <v>29181</v>
      </c>
      <c r="G6409" s="10" t="s">
        <v>28737</v>
      </c>
      <c r="H6409" s="11">
        <v>42166</v>
      </c>
      <c r="I6409" s="10">
        <v>2015</v>
      </c>
      <c r="J6409" s="10" t="s">
        <v>29175</v>
      </c>
      <c r="K6409" s="10">
        <v>15</v>
      </c>
      <c r="L6409" s="10" t="s">
        <v>31419</v>
      </c>
      <c r="M6409" s="10">
        <v>1</v>
      </c>
      <c r="N6409" s="10" t="s">
        <v>29177</v>
      </c>
      <c r="O6409" s="10"/>
      <c r="P6409" s="10" t="s">
        <v>31420</v>
      </c>
      <c r="Q6409" s="10">
        <v>840.9</v>
      </c>
      <c r="R6409" s="10" t="s">
        <v>31421</v>
      </c>
      <c r="S6409" s="10" t="s">
        <v>5404</v>
      </c>
      <c r="T6409" s="10" t="s">
        <v>1166</v>
      </c>
    </row>
    <row r="6410" spans="1:20" ht="14.5" x14ac:dyDescent="0.35">
      <c r="A6410" s="10" t="s">
        <v>31422</v>
      </c>
      <c r="B6410" s="10" t="str">
        <f>"9782806253699"</f>
        <v>9782806253699</v>
      </c>
      <c r="C6410" s="10" t="str">
        <f>"9782806253651"</f>
        <v>9782806253651</v>
      </c>
      <c r="D6410" s="10" t="s">
        <v>29172</v>
      </c>
      <c r="E6410" s="10" t="s">
        <v>29173</v>
      </c>
      <c r="F6410" s="10" t="s">
        <v>29181</v>
      </c>
      <c r="G6410" s="10" t="s">
        <v>28737</v>
      </c>
      <c r="H6410" s="11">
        <v>40544</v>
      </c>
      <c r="I6410" s="10">
        <v>2011</v>
      </c>
      <c r="J6410" s="10" t="s">
        <v>29175</v>
      </c>
      <c r="K6410" s="10">
        <v>36</v>
      </c>
      <c r="L6410" s="10" t="s">
        <v>31423</v>
      </c>
      <c r="M6410" s="10">
        <v>1</v>
      </c>
      <c r="N6410" s="10" t="s">
        <v>29177</v>
      </c>
      <c r="O6410" s="10"/>
      <c r="P6410" s="10"/>
      <c r="Q6410" s="10"/>
      <c r="R6410" s="10" t="s">
        <v>31424</v>
      </c>
      <c r="S6410" s="10" t="s">
        <v>5404</v>
      </c>
      <c r="T6410" s="10" t="s">
        <v>10454</v>
      </c>
    </row>
    <row r="6411" spans="1:20" ht="14.5" x14ac:dyDescent="0.35">
      <c r="A6411" s="10" t="s">
        <v>31425</v>
      </c>
      <c r="B6411" s="10" t="str">
        <f>"9782806251923"</f>
        <v>9782806251923</v>
      </c>
      <c r="C6411" s="10" t="str">
        <f>"9782806251480"</f>
        <v>9782806251480</v>
      </c>
      <c r="D6411" s="10" t="s">
        <v>29172</v>
      </c>
      <c r="E6411" s="10" t="s">
        <v>29173</v>
      </c>
      <c r="F6411" s="10" t="s">
        <v>29181</v>
      </c>
      <c r="G6411" s="10" t="s">
        <v>28737</v>
      </c>
      <c r="H6411" s="11">
        <v>40544</v>
      </c>
      <c r="I6411" s="10">
        <v>2011</v>
      </c>
      <c r="J6411" s="10" t="s">
        <v>29175</v>
      </c>
      <c r="K6411" s="10">
        <v>37</v>
      </c>
      <c r="L6411" s="10" t="s">
        <v>31426</v>
      </c>
      <c r="M6411" s="10">
        <v>1</v>
      </c>
      <c r="N6411" s="10" t="s">
        <v>29177</v>
      </c>
      <c r="O6411" s="10"/>
      <c r="P6411" s="10"/>
      <c r="Q6411" s="10"/>
      <c r="R6411" s="10" t="s">
        <v>31427</v>
      </c>
      <c r="S6411" s="10" t="s">
        <v>5404</v>
      </c>
      <c r="T6411" s="10" t="s">
        <v>6568</v>
      </c>
    </row>
    <row r="6412" spans="1:20" ht="14.5" x14ac:dyDescent="0.35">
      <c r="A6412" s="10" t="s">
        <v>31428</v>
      </c>
      <c r="B6412" s="10" t="str">
        <f>"9782806251985"</f>
        <v>9782806251985</v>
      </c>
      <c r="C6412" s="10" t="str">
        <f>"9782806251541"</f>
        <v>9782806251541</v>
      </c>
      <c r="D6412" s="10" t="s">
        <v>29172</v>
      </c>
      <c r="E6412" s="10" t="s">
        <v>29173</v>
      </c>
      <c r="F6412" s="10" t="s">
        <v>29181</v>
      </c>
      <c r="G6412" s="10" t="s">
        <v>28737</v>
      </c>
      <c r="H6412" s="11">
        <v>40544</v>
      </c>
      <c r="I6412" s="10">
        <v>2011</v>
      </c>
      <c r="J6412" s="10" t="s">
        <v>29175</v>
      </c>
      <c r="K6412" s="10">
        <v>67</v>
      </c>
      <c r="L6412" s="10" t="s">
        <v>31429</v>
      </c>
      <c r="M6412" s="10">
        <v>1</v>
      </c>
      <c r="N6412" s="10" t="s">
        <v>29177</v>
      </c>
      <c r="O6412" s="10"/>
      <c r="P6412" s="10"/>
      <c r="Q6412" s="10"/>
      <c r="R6412" s="10" t="s">
        <v>31430</v>
      </c>
      <c r="S6412" s="10" t="s">
        <v>5404</v>
      </c>
      <c r="T6412" s="10" t="s">
        <v>6568</v>
      </c>
    </row>
    <row r="6413" spans="1:20" ht="14.5" x14ac:dyDescent="0.35">
      <c r="A6413" s="10" t="s">
        <v>31431</v>
      </c>
      <c r="B6413" s="10" t="str">
        <f>"9782806252012"</f>
        <v>9782806252012</v>
      </c>
      <c r="C6413" s="10" t="str">
        <f>"9782806251572"</f>
        <v>9782806251572</v>
      </c>
      <c r="D6413" s="10" t="s">
        <v>29172</v>
      </c>
      <c r="E6413" s="10" t="s">
        <v>29173</v>
      </c>
      <c r="F6413" s="10" t="s">
        <v>29181</v>
      </c>
      <c r="G6413" s="10" t="s">
        <v>28737</v>
      </c>
      <c r="H6413" s="11">
        <v>40544</v>
      </c>
      <c r="I6413" s="10">
        <v>2011</v>
      </c>
      <c r="J6413" s="10" t="s">
        <v>29175</v>
      </c>
      <c r="K6413" s="10">
        <v>37</v>
      </c>
      <c r="L6413" s="10" t="s">
        <v>31432</v>
      </c>
      <c r="M6413" s="10">
        <v>1</v>
      </c>
      <c r="N6413" s="10" t="s">
        <v>29177</v>
      </c>
      <c r="O6413" s="10"/>
      <c r="P6413" s="10"/>
      <c r="Q6413" s="10"/>
      <c r="R6413" s="10" t="s">
        <v>31433</v>
      </c>
      <c r="S6413" s="10" t="s">
        <v>5404</v>
      </c>
      <c r="T6413" s="10" t="s">
        <v>6568</v>
      </c>
    </row>
    <row r="6414" spans="1:20" ht="14.5" x14ac:dyDescent="0.35">
      <c r="A6414" s="10" t="s">
        <v>31434</v>
      </c>
      <c r="B6414" s="10" t="str">
        <f>"9782806253408"</f>
        <v>9782806253408</v>
      </c>
      <c r="C6414" s="10" t="str">
        <f>"9782806253354"</f>
        <v>9782806253354</v>
      </c>
      <c r="D6414" s="10" t="s">
        <v>29172</v>
      </c>
      <c r="E6414" s="10" t="s">
        <v>29173</v>
      </c>
      <c r="F6414" s="10" t="s">
        <v>29181</v>
      </c>
      <c r="G6414" s="10" t="s">
        <v>28737</v>
      </c>
      <c r="H6414" s="11">
        <v>40544</v>
      </c>
      <c r="I6414" s="10">
        <v>2011</v>
      </c>
      <c r="J6414" s="10" t="s">
        <v>29175</v>
      </c>
      <c r="K6414" s="10">
        <v>40</v>
      </c>
      <c r="L6414" s="10" t="s">
        <v>31435</v>
      </c>
      <c r="M6414" s="10">
        <v>1</v>
      </c>
      <c r="N6414" s="10" t="s">
        <v>29177</v>
      </c>
      <c r="O6414" s="10"/>
      <c r="P6414" s="10"/>
      <c r="Q6414" s="10"/>
      <c r="R6414" s="10" t="s">
        <v>13858</v>
      </c>
      <c r="S6414" s="10" t="s">
        <v>5404</v>
      </c>
      <c r="T6414" s="10" t="s">
        <v>29186</v>
      </c>
    </row>
    <row r="6415" spans="1:20" ht="14.5" x14ac:dyDescent="0.35">
      <c r="A6415" s="10" t="s">
        <v>31436</v>
      </c>
      <c r="B6415" s="10" t="str">
        <f>"9782806252050"</f>
        <v>9782806252050</v>
      </c>
      <c r="C6415" s="10" t="str">
        <f>"9782806251602"</f>
        <v>9782806251602</v>
      </c>
      <c r="D6415" s="10" t="s">
        <v>29172</v>
      </c>
      <c r="E6415" s="10" t="s">
        <v>29173</v>
      </c>
      <c r="F6415" s="10" t="s">
        <v>29181</v>
      </c>
      <c r="G6415" s="10" t="s">
        <v>28737</v>
      </c>
      <c r="H6415" s="11">
        <v>40544</v>
      </c>
      <c r="I6415" s="10">
        <v>2011</v>
      </c>
      <c r="J6415" s="10" t="s">
        <v>29175</v>
      </c>
      <c r="K6415" s="10">
        <v>36</v>
      </c>
      <c r="L6415" s="10" t="s">
        <v>31437</v>
      </c>
      <c r="M6415" s="10">
        <v>1</v>
      </c>
      <c r="N6415" s="10" t="s">
        <v>29177</v>
      </c>
      <c r="O6415" s="10"/>
      <c r="P6415" s="10"/>
      <c r="Q6415" s="10"/>
      <c r="R6415" s="10" t="s">
        <v>31438</v>
      </c>
      <c r="S6415" s="10" t="s">
        <v>5404</v>
      </c>
      <c r="T6415" s="10" t="s">
        <v>10454</v>
      </c>
    </row>
    <row r="6416" spans="1:20" ht="14.5" x14ac:dyDescent="0.35">
      <c r="A6416" s="10" t="s">
        <v>31439</v>
      </c>
      <c r="B6416" s="10" t="str">
        <f>"9782806253682"</f>
        <v>9782806253682</v>
      </c>
      <c r="C6416" s="10" t="str">
        <f>"9782806253644"</f>
        <v>9782806253644</v>
      </c>
      <c r="D6416" s="10" t="s">
        <v>29172</v>
      </c>
      <c r="E6416" s="10" t="s">
        <v>29173</v>
      </c>
      <c r="F6416" s="10" t="s">
        <v>29181</v>
      </c>
      <c r="G6416" s="10" t="s">
        <v>28737</v>
      </c>
      <c r="H6416" s="11">
        <v>40544</v>
      </c>
      <c r="I6416" s="10">
        <v>2011</v>
      </c>
      <c r="J6416" s="10" t="s">
        <v>29175</v>
      </c>
      <c r="K6416" s="10">
        <v>37</v>
      </c>
      <c r="L6416" s="10" t="s">
        <v>31440</v>
      </c>
      <c r="M6416" s="10">
        <v>1</v>
      </c>
      <c r="N6416" s="10" t="s">
        <v>29177</v>
      </c>
      <c r="O6416" s="10"/>
      <c r="P6416" s="10" t="s">
        <v>31441</v>
      </c>
      <c r="Q6416" s="10">
        <v>823.91399999999999</v>
      </c>
      <c r="R6416" s="10" t="s">
        <v>31442</v>
      </c>
      <c r="S6416" s="10" t="s">
        <v>5404</v>
      </c>
      <c r="T6416" s="10" t="s">
        <v>1166</v>
      </c>
    </row>
    <row r="6417" spans="1:20" ht="14.5" x14ac:dyDescent="0.35">
      <c r="A6417" s="10" t="s">
        <v>31443</v>
      </c>
      <c r="B6417" s="10" t="str">
        <f>"9782806252197"</f>
        <v>9782806252197</v>
      </c>
      <c r="C6417" s="10" t="str">
        <f>"9782806251756"</f>
        <v>9782806251756</v>
      </c>
      <c r="D6417" s="10" t="s">
        <v>29172</v>
      </c>
      <c r="E6417" s="10" t="s">
        <v>29173</v>
      </c>
      <c r="F6417" s="10" t="s">
        <v>29181</v>
      </c>
      <c r="G6417" s="10" t="s">
        <v>28737</v>
      </c>
      <c r="H6417" s="11">
        <v>43062</v>
      </c>
      <c r="I6417" s="10">
        <v>2017</v>
      </c>
      <c r="J6417" s="10" t="s">
        <v>29175</v>
      </c>
      <c r="K6417" s="10">
        <v>63</v>
      </c>
      <c r="L6417" s="10" t="s">
        <v>31444</v>
      </c>
      <c r="M6417" s="10">
        <v>1</v>
      </c>
      <c r="N6417" s="10" t="s">
        <v>29177</v>
      </c>
      <c r="O6417" s="10"/>
      <c r="P6417" s="10" t="s">
        <v>31445</v>
      </c>
      <c r="Q6417" s="10">
        <v>813.52</v>
      </c>
      <c r="R6417" s="10" t="s">
        <v>31446</v>
      </c>
      <c r="S6417" s="10" t="s">
        <v>5404</v>
      </c>
      <c r="T6417" s="10" t="s">
        <v>1166</v>
      </c>
    </row>
    <row r="6418" spans="1:20" ht="14.5" x14ac:dyDescent="0.35">
      <c r="A6418" s="10" t="s">
        <v>31447</v>
      </c>
      <c r="B6418" s="10" t="str">
        <f>"9782806253903"</f>
        <v>9782806253903</v>
      </c>
      <c r="C6418" s="10" t="str">
        <f>"9782806252081"</f>
        <v>9782806252081</v>
      </c>
      <c r="D6418" s="10" t="s">
        <v>29172</v>
      </c>
      <c r="E6418" s="10" t="s">
        <v>29173</v>
      </c>
      <c r="F6418" s="10" t="s">
        <v>29181</v>
      </c>
      <c r="G6418" s="10" t="s">
        <v>28737</v>
      </c>
      <c r="H6418" s="11">
        <v>40544</v>
      </c>
      <c r="I6418" s="10">
        <v>2011</v>
      </c>
      <c r="J6418" s="10" t="s">
        <v>29175</v>
      </c>
      <c r="K6418" s="10">
        <v>48</v>
      </c>
      <c r="L6418" s="10" t="s">
        <v>31448</v>
      </c>
      <c r="M6418" s="10">
        <v>1</v>
      </c>
      <c r="N6418" s="10" t="s">
        <v>29177</v>
      </c>
      <c r="O6418" s="10"/>
      <c r="P6418" s="10" t="s">
        <v>31449</v>
      </c>
      <c r="Q6418" s="10">
        <v>306.77499999999998</v>
      </c>
      <c r="R6418" s="10" t="s">
        <v>31450</v>
      </c>
      <c r="S6418" s="10" t="s">
        <v>5404</v>
      </c>
      <c r="T6418" s="10" t="s">
        <v>6363</v>
      </c>
    </row>
    <row r="6419" spans="1:20" ht="14.5" x14ac:dyDescent="0.35">
      <c r="A6419" s="10" t="s">
        <v>31451</v>
      </c>
      <c r="B6419" s="10" t="str">
        <f>"9782806253866"</f>
        <v>9782806253866</v>
      </c>
      <c r="C6419" s="10" t="str">
        <f>"9782806253781"</f>
        <v>9782806253781</v>
      </c>
      <c r="D6419" s="10" t="s">
        <v>29172</v>
      </c>
      <c r="E6419" s="10" t="s">
        <v>29173</v>
      </c>
      <c r="F6419" s="10" t="s">
        <v>29181</v>
      </c>
      <c r="G6419" s="10" t="s">
        <v>28737</v>
      </c>
      <c r="H6419" s="11">
        <v>41404</v>
      </c>
      <c r="I6419" s="10">
        <v>2013</v>
      </c>
      <c r="J6419" s="10" t="s">
        <v>29175</v>
      </c>
      <c r="K6419" s="10">
        <v>21</v>
      </c>
      <c r="L6419" s="10" t="s">
        <v>31452</v>
      </c>
      <c r="M6419" s="10">
        <v>1</v>
      </c>
      <c r="N6419" s="10" t="s">
        <v>31394</v>
      </c>
      <c r="O6419" s="10"/>
      <c r="P6419" s="10"/>
      <c r="Q6419" s="10"/>
      <c r="R6419" s="10" t="s">
        <v>31453</v>
      </c>
      <c r="S6419" s="10" t="s">
        <v>5404</v>
      </c>
      <c r="T6419" s="10" t="s">
        <v>6568</v>
      </c>
    </row>
    <row r="6420" spans="1:20" ht="14.5" x14ac:dyDescent="0.35">
      <c r="A6420" s="10" t="s">
        <v>31454</v>
      </c>
      <c r="B6420" s="10" t="str">
        <f>"9782806253859"</f>
        <v>9782806253859</v>
      </c>
      <c r="C6420" s="10" t="str">
        <f>"9782806253774"</f>
        <v>9782806253774</v>
      </c>
      <c r="D6420" s="10" t="s">
        <v>29172</v>
      </c>
      <c r="E6420" s="10" t="s">
        <v>29173</v>
      </c>
      <c r="F6420" s="10" t="s">
        <v>29181</v>
      </c>
      <c r="G6420" s="10" t="s">
        <v>28737</v>
      </c>
      <c r="H6420" s="11">
        <v>41404</v>
      </c>
      <c r="I6420" s="10">
        <v>2013</v>
      </c>
      <c r="J6420" s="10" t="s">
        <v>29175</v>
      </c>
      <c r="K6420" s="10">
        <v>22</v>
      </c>
      <c r="L6420" s="10" t="s">
        <v>31455</v>
      </c>
      <c r="M6420" s="10">
        <v>1</v>
      </c>
      <c r="N6420" s="10" t="s">
        <v>31394</v>
      </c>
      <c r="O6420" s="10"/>
      <c r="P6420" s="10"/>
      <c r="Q6420" s="10"/>
      <c r="R6420" s="10" t="s">
        <v>31456</v>
      </c>
      <c r="S6420" s="10" t="s">
        <v>5404</v>
      </c>
      <c r="T6420" s="10" t="s">
        <v>10454</v>
      </c>
    </row>
    <row r="6421" spans="1:20" ht="14.5" x14ac:dyDescent="0.35">
      <c r="A6421" s="10" t="s">
        <v>31457</v>
      </c>
      <c r="B6421" s="10" t="str">
        <f>"9781849852685"</f>
        <v>9781849852685</v>
      </c>
      <c r="C6421" s="10" t="str">
        <f>"9781846422966"</f>
        <v>9781846422966</v>
      </c>
      <c r="D6421" s="10" t="s">
        <v>10516</v>
      </c>
      <c r="E6421" s="10" t="s">
        <v>10516</v>
      </c>
      <c r="F6421" s="10" t="s">
        <v>139</v>
      </c>
      <c r="G6421" s="10" t="s">
        <v>6352</v>
      </c>
      <c r="H6421" s="11">
        <v>37149</v>
      </c>
      <c r="I6421" s="10">
        <v>2001</v>
      </c>
      <c r="J6421" s="10" t="s">
        <v>10516</v>
      </c>
      <c r="K6421" s="10">
        <v>243</v>
      </c>
      <c r="L6421" s="10" t="s">
        <v>31458</v>
      </c>
      <c r="M6421" s="10">
        <v>1</v>
      </c>
      <c r="N6421" s="10"/>
      <c r="O6421" s="10"/>
      <c r="P6421" s="10"/>
      <c r="Q6421" s="10"/>
      <c r="R6421" s="10" t="s">
        <v>31459</v>
      </c>
      <c r="S6421" s="10" t="s">
        <v>53</v>
      </c>
      <c r="T6421" s="10" t="s">
        <v>31460</v>
      </c>
    </row>
    <row r="6422" spans="1:20" ht="14.5" x14ac:dyDescent="0.35">
      <c r="A6422" s="10" t="s">
        <v>31461</v>
      </c>
      <c r="B6422" s="10" t="str">
        <f>"9781119107156"</f>
        <v>9781119107156</v>
      </c>
      <c r="C6422" s="10" t="str">
        <f>"9781119107163"</f>
        <v>9781119107163</v>
      </c>
      <c r="D6422" s="10" t="s">
        <v>6322</v>
      </c>
      <c r="E6422" s="10" t="s">
        <v>6323</v>
      </c>
      <c r="F6422" s="10" t="s">
        <v>70</v>
      </c>
      <c r="G6422" s="10" t="s">
        <v>6317</v>
      </c>
      <c r="H6422" s="11">
        <v>42170</v>
      </c>
      <c r="I6422" s="10">
        <v>2015</v>
      </c>
      <c r="J6422" s="10" t="s">
        <v>6324</v>
      </c>
      <c r="K6422" s="10">
        <v>123</v>
      </c>
      <c r="L6422" s="10" t="s">
        <v>31462</v>
      </c>
      <c r="M6422" s="10">
        <v>1</v>
      </c>
      <c r="N6422" s="10" t="s">
        <v>22922</v>
      </c>
      <c r="O6422" s="10"/>
      <c r="P6422" s="10" t="s">
        <v>14611</v>
      </c>
      <c r="Q6422" s="10">
        <v>378.05200000000002</v>
      </c>
      <c r="R6422" s="10" t="s">
        <v>31463</v>
      </c>
      <c r="S6422" s="10" t="s">
        <v>53</v>
      </c>
      <c r="T6422" s="10" t="s">
        <v>54</v>
      </c>
    </row>
    <row r="6423" spans="1:20" ht="14.5" x14ac:dyDescent="0.35">
      <c r="A6423" s="10" t="s">
        <v>31464</v>
      </c>
      <c r="B6423" s="10" t="str">
        <f>"9781119108436"</f>
        <v>9781119108436</v>
      </c>
      <c r="C6423" s="10" t="str">
        <f>"9781119108672"</f>
        <v>9781119108672</v>
      </c>
      <c r="D6423" s="10" t="s">
        <v>6322</v>
      </c>
      <c r="E6423" s="10" t="s">
        <v>6323</v>
      </c>
      <c r="F6423" s="10" t="s">
        <v>70</v>
      </c>
      <c r="G6423" s="10" t="s">
        <v>6317</v>
      </c>
      <c r="H6423" s="11">
        <v>42177</v>
      </c>
      <c r="I6423" s="10">
        <v>2015</v>
      </c>
      <c r="J6423" s="10" t="s">
        <v>6324</v>
      </c>
      <c r="K6423" s="10">
        <v>115</v>
      </c>
      <c r="L6423" s="10" t="s">
        <v>31465</v>
      </c>
      <c r="M6423" s="10">
        <v>1</v>
      </c>
      <c r="N6423" s="10" t="s">
        <v>25112</v>
      </c>
      <c r="O6423" s="10"/>
      <c r="P6423" s="10" t="s">
        <v>31466</v>
      </c>
      <c r="Q6423" s="10">
        <v>378.19</v>
      </c>
      <c r="R6423" s="10" t="s">
        <v>31467</v>
      </c>
      <c r="S6423" s="10" t="s">
        <v>53</v>
      </c>
      <c r="T6423" s="10" t="s">
        <v>54</v>
      </c>
    </row>
    <row r="6424" spans="1:20" ht="14.5" x14ac:dyDescent="0.35">
      <c r="A6424" s="10" t="s">
        <v>31468</v>
      </c>
      <c r="B6424" s="10" t="str">
        <f>"9781464805905"</f>
        <v>9781464805905</v>
      </c>
      <c r="C6424" s="10" t="str">
        <f>"9781464805912"</f>
        <v>9781464805912</v>
      </c>
      <c r="D6424" s="10" t="s">
        <v>14731</v>
      </c>
      <c r="E6424" s="10" t="s">
        <v>14732</v>
      </c>
      <c r="F6424" s="10" t="s">
        <v>88</v>
      </c>
      <c r="G6424" s="10" t="s">
        <v>6317</v>
      </c>
      <c r="H6424" s="11">
        <v>42005</v>
      </c>
      <c r="I6424" s="10">
        <v>2015</v>
      </c>
      <c r="J6424" s="10" t="s">
        <v>14732</v>
      </c>
      <c r="K6424" s="10">
        <v>163</v>
      </c>
      <c r="L6424" s="10" t="s">
        <v>31469</v>
      </c>
      <c r="M6424" s="10">
        <v>1</v>
      </c>
      <c r="N6424" s="10" t="s">
        <v>27236</v>
      </c>
      <c r="O6424" s="10"/>
      <c r="P6424" s="10" t="s">
        <v>31470</v>
      </c>
      <c r="Q6424" s="10">
        <v>379.678</v>
      </c>
      <c r="R6424" s="10" t="s">
        <v>31471</v>
      </c>
      <c r="S6424" s="10" t="s">
        <v>53</v>
      </c>
      <c r="T6424" s="10" t="s">
        <v>54</v>
      </c>
    </row>
    <row r="6425" spans="1:20" ht="14.5" x14ac:dyDescent="0.35">
      <c r="A6425" s="10" t="s">
        <v>31472</v>
      </c>
      <c r="B6425" s="10" t="str">
        <f>"9781475820331"</f>
        <v>9781475820331</v>
      </c>
      <c r="C6425" s="10" t="str">
        <f>"9781475811018"</f>
        <v>9781475811018</v>
      </c>
      <c r="D6425" s="10" t="s">
        <v>9752</v>
      </c>
      <c r="E6425" s="10" t="s">
        <v>15187</v>
      </c>
      <c r="F6425" s="10" t="s">
        <v>9754</v>
      </c>
      <c r="G6425" s="10" t="s">
        <v>6317</v>
      </c>
      <c r="H6425" s="11">
        <v>42207</v>
      </c>
      <c r="I6425" s="10">
        <v>2015</v>
      </c>
      <c r="J6425" s="10" t="s">
        <v>15187</v>
      </c>
      <c r="K6425" s="10">
        <v>157</v>
      </c>
      <c r="L6425" s="10" t="s">
        <v>31473</v>
      </c>
      <c r="M6425" s="10">
        <v>1</v>
      </c>
      <c r="N6425" s="10" t="s">
        <v>31474</v>
      </c>
      <c r="O6425" s="10"/>
      <c r="P6425" s="10" t="s">
        <v>31475</v>
      </c>
      <c r="Q6425" s="10" t="s">
        <v>20834</v>
      </c>
      <c r="R6425" s="10" t="s">
        <v>31476</v>
      </c>
      <c r="S6425" s="10" t="s">
        <v>53</v>
      </c>
      <c r="T6425" s="10" t="s">
        <v>54</v>
      </c>
    </row>
    <row r="6426" spans="1:20" ht="14.5" x14ac:dyDescent="0.35">
      <c r="A6426" s="10" t="s">
        <v>31477</v>
      </c>
      <c r="B6426" s="10" t="str">
        <f>"9780761864783"</f>
        <v>9780761864783</v>
      </c>
      <c r="C6426" s="10" t="str">
        <f>"9780761864790"</f>
        <v>9780761864790</v>
      </c>
      <c r="D6426" s="10" t="s">
        <v>9752</v>
      </c>
      <c r="E6426" s="10" t="s">
        <v>17167</v>
      </c>
      <c r="F6426" s="10" t="s">
        <v>9754</v>
      </c>
      <c r="G6426" s="10" t="s">
        <v>6317</v>
      </c>
      <c r="H6426" s="11">
        <v>42136</v>
      </c>
      <c r="I6426" s="10">
        <v>2015</v>
      </c>
      <c r="J6426" s="10" t="s">
        <v>17167</v>
      </c>
      <c r="K6426" s="10">
        <v>176</v>
      </c>
      <c r="L6426" s="10" t="s">
        <v>31478</v>
      </c>
      <c r="M6426" s="10">
        <v>1</v>
      </c>
      <c r="N6426" s="10"/>
      <c r="O6426" s="10"/>
      <c r="P6426" s="10" t="s">
        <v>30786</v>
      </c>
      <c r="Q6426" s="10">
        <v>373.12912</v>
      </c>
      <c r="R6426" s="10" t="s">
        <v>31479</v>
      </c>
      <c r="S6426" s="10" t="s">
        <v>53</v>
      </c>
      <c r="T6426" s="10" t="s">
        <v>54</v>
      </c>
    </row>
    <row r="6427" spans="1:20" ht="14.5" x14ac:dyDescent="0.35">
      <c r="A6427" s="10" t="s">
        <v>31480</v>
      </c>
      <c r="B6427" s="10" t="str">
        <f>"9780761866022"</f>
        <v>9780761866022</v>
      </c>
      <c r="C6427" s="10" t="str">
        <f>"9780761866039"</f>
        <v>9780761866039</v>
      </c>
      <c r="D6427" s="10" t="s">
        <v>9752</v>
      </c>
      <c r="E6427" s="10" t="s">
        <v>17167</v>
      </c>
      <c r="F6427" s="10" t="s">
        <v>9754</v>
      </c>
      <c r="G6427" s="10" t="s">
        <v>6317</v>
      </c>
      <c r="H6427" s="11">
        <v>42151</v>
      </c>
      <c r="I6427" s="10">
        <v>2015</v>
      </c>
      <c r="J6427" s="10" t="s">
        <v>17167</v>
      </c>
      <c r="K6427" s="10">
        <v>130</v>
      </c>
      <c r="L6427" s="10" t="s">
        <v>31481</v>
      </c>
      <c r="M6427" s="10">
        <v>1</v>
      </c>
      <c r="N6427" s="10"/>
      <c r="O6427" s="10"/>
      <c r="P6427" s="10" t="s">
        <v>31482</v>
      </c>
      <c r="Q6427" s="10">
        <v>372.6044</v>
      </c>
      <c r="R6427" s="10" t="s">
        <v>31483</v>
      </c>
      <c r="S6427" s="10" t="s">
        <v>53</v>
      </c>
      <c r="T6427" s="10" t="s">
        <v>16922</v>
      </c>
    </row>
    <row r="6428" spans="1:20" ht="14.5" x14ac:dyDescent="0.35">
      <c r="A6428" s="10" t="s">
        <v>31484</v>
      </c>
      <c r="B6428" s="10" t="str">
        <f>"9780761866084"</f>
        <v>9780761866084</v>
      </c>
      <c r="C6428" s="10" t="str">
        <f>"9780761866091"</f>
        <v>9780761866091</v>
      </c>
      <c r="D6428" s="10" t="s">
        <v>9752</v>
      </c>
      <c r="E6428" s="10" t="s">
        <v>17167</v>
      </c>
      <c r="F6428" s="10" t="s">
        <v>9754</v>
      </c>
      <c r="G6428" s="10" t="s">
        <v>6317</v>
      </c>
      <c r="H6428" s="11">
        <v>42185</v>
      </c>
      <c r="I6428" s="10">
        <v>2015</v>
      </c>
      <c r="J6428" s="10" t="s">
        <v>17167</v>
      </c>
      <c r="K6428" s="10">
        <v>200</v>
      </c>
      <c r="L6428" s="10" t="s">
        <v>31485</v>
      </c>
      <c r="M6428" s="10">
        <v>1</v>
      </c>
      <c r="N6428" s="10"/>
      <c r="O6428" s="10"/>
      <c r="P6428" s="10" t="s">
        <v>31486</v>
      </c>
      <c r="Q6428" s="10">
        <v>371.334</v>
      </c>
      <c r="R6428" s="10" t="s">
        <v>12537</v>
      </c>
      <c r="S6428" s="10" t="s">
        <v>53</v>
      </c>
      <c r="T6428" s="10" t="s">
        <v>54</v>
      </c>
    </row>
    <row r="6429" spans="1:20" ht="14.5" x14ac:dyDescent="0.35">
      <c r="A6429" s="10" t="s">
        <v>31487</v>
      </c>
      <c r="B6429" s="10" t="str">
        <f>"9781443872577"</f>
        <v>9781443872577</v>
      </c>
      <c r="C6429" s="10" t="str">
        <f>"9781443879279"</f>
        <v>9781443879279</v>
      </c>
      <c r="D6429" s="10" t="s">
        <v>23635</v>
      </c>
      <c r="E6429" s="10" t="s">
        <v>23635</v>
      </c>
      <c r="F6429" s="10" t="s">
        <v>23636</v>
      </c>
      <c r="G6429" s="10" t="s">
        <v>6352</v>
      </c>
      <c r="H6429" s="11">
        <v>42081</v>
      </c>
      <c r="I6429" s="10">
        <v>2015</v>
      </c>
      <c r="J6429" s="10" t="s">
        <v>23635</v>
      </c>
      <c r="K6429" s="10">
        <v>145</v>
      </c>
      <c r="L6429" s="10" t="s">
        <v>31488</v>
      </c>
      <c r="M6429" s="10">
        <v>1</v>
      </c>
      <c r="N6429" s="10" t="s">
        <v>28964</v>
      </c>
      <c r="O6429" s="10"/>
      <c r="P6429" s="10" t="s">
        <v>31489</v>
      </c>
      <c r="Q6429" s="10">
        <v>370.11700000000002</v>
      </c>
      <c r="R6429" s="10" t="s">
        <v>31490</v>
      </c>
      <c r="S6429" s="10" t="s">
        <v>53</v>
      </c>
      <c r="T6429" s="10" t="s">
        <v>54</v>
      </c>
    </row>
    <row r="6430" spans="1:20" ht="14.5" x14ac:dyDescent="0.35">
      <c r="A6430" s="10" t="s">
        <v>31491</v>
      </c>
      <c r="B6430" s="10" t="str">
        <f>"9781443874588"</f>
        <v>9781443874588</v>
      </c>
      <c r="C6430" s="10" t="str">
        <f>"9781443879187"</f>
        <v>9781443879187</v>
      </c>
      <c r="D6430" s="10" t="s">
        <v>23635</v>
      </c>
      <c r="E6430" s="10" t="s">
        <v>23635</v>
      </c>
      <c r="F6430" s="10" t="s">
        <v>23636</v>
      </c>
      <c r="G6430" s="10" t="s">
        <v>6352</v>
      </c>
      <c r="H6430" s="11">
        <v>42079</v>
      </c>
      <c r="I6430" s="10">
        <v>2015</v>
      </c>
      <c r="J6430" s="10" t="s">
        <v>23635</v>
      </c>
      <c r="K6430" s="10">
        <v>294</v>
      </c>
      <c r="L6430" s="10" t="s">
        <v>31492</v>
      </c>
      <c r="M6430" s="10">
        <v>1</v>
      </c>
      <c r="N6430" s="10"/>
      <c r="O6430" s="10"/>
      <c r="P6430" s="10" t="s">
        <v>31493</v>
      </c>
      <c r="Q6430" s="10">
        <v>428.24</v>
      </c>
      <c r="R6430" s="10" t="s">
        <v>31494</v>
      </c>
      <c r="S6430" s="10" t="s">
        <v>53</v>
      </c>
      <c r="T6430" s="10" t="s">
        <v>6616</v>
      </c>
    </row>
    <row r="6431" spans="1:20" ht="14.5" x14ac:dyDescent="0.35">
      <c r="A6431" s="10" t="s">
        <v>31495</v>
      </c>
      <c r="B6431" s="10" t="str">
        <f>"9781443870528"</f>
        <v>9781443870528</v>
      </c>
      <c r="C6431" s="10" t="str">
        <f>"9781443879361"</f>
        <v>9781443879361</v>
      </c>
      <c r="D6431" s="10" t="s">
        <v>23635</v>
      </c>
      <c r="E6431" s="10" t="s">
        <v>23635</v>
      </c>
      <c r="F6431" s="10" t="s">
        <v>23636</v>
      </c>
      <c r="G6431" s="10" t="s">
        <v>6352</v>
      </c>
      <c r="H6431" s="11">
        <v>42082</v>
      </c>
      <c r="I6431" s="10">
        <v>2015</v>
      </c>
      <c r="J6431" s="10" t="s">
        <v>23635</v>
      </c>
      <c r="K6431" s="10">
        <v>554</v>
      </c>
      <c r="L6431" s="10" t="s">
        <v>31496</v>
      </c>
      <c r="M6431" s="10">
        <v>1</v>
      </c>
      <c r="N6431" s="10"/>
      <c r="O6431" s="10"/>
      <c r="P6431" s="10" t="s">
        <v>31497</v>
      </c>
      <c r="Q6431" s="10">
        <v>370.12378999999999</v>
      </c>
      <c r="R6431" s="10" t="s">
        <v>31498</v>
      </c>
      <c r="S6431" s="10" t="s">
        <v>53</v>
      </c>
      <c r="T6431" s="10" t="s">
        <v>54</v>
      </c>
    </row>
    <row r="6432" spans="1:20" ht="14.5" x14ac:dyDescent="0.35">
      <c r="A6432" s="10" t="s">
        <v>31499</v>
      </c>
      <c r="B6432" s="10" t="str">
        <f>"9781443872546"</f>
        <v>9781443872546</v>
      </c>
      <c r="C6432" s="10" t="str">
        <f>"9781443879231"</f>
        <v>9781443879231</v>
      </c>
      <c r="D6432" s="10" t="s">
        <v>23635</v>
      </c>
      <c r="E6432" s="10" t="s">
        <v>23635</v>
      </c>
      <c r="F6432" s="10" t="s">
        <v>23636</v>
      </c>
      <c r="G6432" s="10" t="s">
        <v>6352</v>
      </c>
      <c r="H6432" s="11">
        <v>42124</v>
      </c>
      <c r="I6432" s="10">
        <v>2015</v>
      </c>
      <c r="J6432" s="10" t="s">
        <v>23635</v>
      </c>
      <c r="K6432" s="10">
        <v>146</v>
      </c>
      <c r="L6432" s="10" t="s">
        <v>31500</v>
      </c>
      <c r="M6432" s="10">
        <v>1</v>
      </c>
      <c r="N6432" s="10"/>
      <c r="O6432" s="10"/>
      <c r="P6432" s="10" t="s">
        <v>31501</v>
      </c>
      <c r="Q6432" s="10">
        <v>371.97009730000002</v>
      </c>
      <c r="R6432" s="10" t="s">
        <v>31502</v>
      </c>
      <c r="S6432" s="10" t="s">
        <v>53</v>
      </c>
      <c r="T6432" s="10" t="s">
        <v>54</v>
      </c>
    </row>
    <row r="6433" spans="1:20" ht="14.5" x14ac:dyDescent="0.35">
      <c r="A6433" s="10" t="s">
        <v>31503</v>
      </c>
      <c r="B6433" s="10" t="str">
        <f>"9781443872690"</f>
        <v>9781443872690</v>
      </c>
      <c r="C6433" s="10" t="str">
        <f>"9781443879828"</f>
        <v>9781443879828</v>
      </c>
      <c r="D6433" s="10" t="s">
        <v>23635</v>
      </c>
      <c r="E6433" s="10" t="s">
        <v>23635</v>
      </c>
      <c r="F6433" s="10" t="s">
        <v>23636</v>
      </c>
      <c r="G6433" s="10" t="s">
        <v>6352</v>
      </c>
      <c r="H6433" s="11">
        <v>42076</v>
      </c>
      <c r="I6433" s="10">
        <v>2015</v>
      </c>
      <c r="J6433" s="10" t="s">
        <v>23635</v>
      </c>
      <c r="K6433" s="10">
        <v>194</v>
      </c>
      <c r="L6433" s="10" t="s">
        <v>31504</v>
      </c>
      <c r="M6433" s="10">
        <v>1</v>
      </c>
      <c r="N6433" s="10"/>
      <c r="O6433" s="10"/>
      <c r="P6433" s="10" t="s">
        <v>31505</v>
      </c>
      <c r="Q6433" s="10">
        <v>378.67110000000002</v>
      </c>
      <c r="R6433" s="10" t="s">
        <v>31506</v>
      </c>
      <c r="S6433" s="10" t="s">
        <v>53</v>
      </c>
      <c r="T6433" s="10" t="s">
        <v>54</v>
      </c>
    </row>
    <row r="6434" spans="1:20" ht="14.5" x14ac:dyDescent="0.35">
      <c r="A6434" s="10" t="s">
        <v>31507</v>
      </c>
      <c r="B6434" s="10" t="str">
        <f>"9781443871969"</f>
        <v>9781443871969</v>
      </c>
      <c r="C6434" s="10" t="str">
        <f>"9781443874960"</f>
        <v>9781443874960</v>
      </c>
      <c r="D6434" s="10" t="s">
        <v>23635</v>
      </c>
      <c r="E6434" s="10" t="s">
        <v>23635</v>
      </c>
      <c r="F6434" s="10" t="s">
        <v>23636</v>
      </c>
      <c r="G6434" s="10" t="s">
        <v>6352</v>
      </c>
      <c r="H6434" s="11">
        <v>42025</v>
      </c>
      <c r="I6434" s="10">
        <v>2015</v>
      </c>
      <c r="J6434" s="10" t="s">
        <v>23635</v>
      </c>
      <c r="K6434" s="10">
        <v>133</v>
      </c>
      <c r="L6434" s="10" t="s">
        <v>31508</v>
      </c>
      <c r="M6434" s="10">
        <v>1</v>
      </c>
      <c r="N6434" s="10"/>
      <c r="O6434" s="10"/>
      <c r="P6434" s="10" t="s">
        <v>31509</v>
      </c>
      <c r="Q6434" s="10">
        <v>306.43</v>
      </c>
      <c r="R6434" s="10" t="s">
        <v>31510</v>
      </c>
      <c r="S6434" s="10" t="s">
        <v>53</v>
      </c>
      <c r="T6434" s="10" t="s">
        <v>6472</v>
      </c>
    </row>
    <row r="6435" spans="1:20" ht="14.5" x14ac:dyDescent="0.35">
      <c r="A6435" s="10" t="s">
        <v>31511</v>
      </c>
      <c r="B6435" s="10" t="str">
        <f>"9781443859721"</f>
        <v>9781443859721</v>
      </c>
      <c r="C6435" s="10" t="str">
        <f>"9781443870122"</f>
        <v>9781443870122</v>
      </c>
      <c r="D6435" s="10" t="s">
        <v>23635</v>
      </c>
      <c r="E6435" s="10" t="s">
        <v>23635</v>
      </c>
      <c r="F6435" s="10" t="s">
        <v>23636</v>
      </c>
      <c r="G6435" s="10" t="s">
        <v>6352</v>
      </c>
      <c r="H6435" s="11">
        <v>41995</v>
      </c>
      <c r="I6435" s="10">
        <v>2014</v>
      </c>
      <c r="J6435" s="10" t="s">
        <v>23635</v>
      </c>
      <c r="K6435" s="10">
        <v>272</v>
      </c>
      <c r="L6435" s="10" t="s">
        <v>31512</v>
      </c>
      <c r="M6435" s="10">
        <v>1</v>
      </c>
      <c r="N6435" s="10" t="s">
        <v>24801</v>
      </c>
      <c r="O6435" s="10">
        <v>4</v>
      </c>
      <c r="P6435" s="10" t="s">
        <v>31513</v>
      </c>
      <c r="Q6435" s="10">
        <v>372.6</v>
      </c>
      <c r="R6435" s="10" t="s">
        <v>31514</v>
      </c>
      <c r="S6435" s="10" t="s">
        <v>53</v>
      </c>
      <c r="T6435" s="10" t="s">
        <v>54</v>
      </c>
    </row>
    <row r="6436" spans="1:20" ht="14.5" x14ac:dyDescent="0.35">
      <c r="A6436" s="10" t="s">
        <v>31515</v>
      </c>
      <c r="B6436" s="10" t="str">
        <f>"9781443870498"</f>
        <v>9781443870498</v>
      </c>
      <c r="C6436" s="10" t="str">
        <f>"9781443875127"</f>
        <v>9781443875127</v>
      </c>
      <c r="D6436" s="10" t="s">
        <v>23635</v>
      </c>
      <c r="E6436" s="10" t="s">
        <v>23635</v>
      </c>
      <c r="F6436" s="10" t="s">
        <v>23636</v>
      </c>
      <c r="G6436" s="10" t="s">
        <v>6352</v>
      </c>
      <c r="H6436" s="11">
        <v>42023</v>
      </c>
      <c r="I6436" s="10">
        <v>2015</v>
      </c>
      <c r="J6436" s="10" t="s">
        <v>23635</v>
      </c>
      <c r="K6436" s="10">
        <v>266</v>
      </c>
      <c r="L6436" s="10" t="s">
        <v>31516</v>
      </c>
      <c r="M6436" s="10">
        <v>1</v>
      </c>
      <c r="N6436" s="10"/>
      <c r="O6436" s="10"/>
      <c r="P6436" s="10" t="s">
        <v>31517</v>
      </c>
      <c r="Q6436" s="10">
        <v>370.11500000000001</v>
      </c>
      <c r="R6436" s="10" t="s">
        <v>31518</v>
      </c>
      <c r="S6436" s="10" t="s">
        <v>53</v>
      </c>
      <c r="T6436" s="10" t="s">
        <v>54</v>
      </c>
    </row>
    <row r="6437" spans="1:20" ht="14.5" x14ac:dyDescent="0.35">
      <c r="A6437" s="10" t="s">
        <v>31519</v>
      </c>
      <c r="B6437" s="10" t="str">
        <f>"9781443868198"</f>
        <v>9781443868198</v>
      </c>
      <c r="C6437" s="10" t="str">
        <f>"9781443875257"</f>
        <v>9781443875257</v>
      </c>
      <c r="D6437" s="10" t="s">
        <v>23635</v>
      </c>
      <c r="E6437" s="10" t="s">
        <v>23635</v>
      </c>
      <c r="F6437" s="10" t="s">
        <v>23636</v>
      </c>
      <c r="G6437" s="10" t="s">
        <v>6352</v>
      </c>
      <c r="H6437" s="11">
        <v>42037</v>
      </c>
      <c r="I6437" s="10">
        <v>2015</v>
      </c>
      <c r="J6437" s="10" t="s">
        <v>23635</v>
      </c>
      <c r="K6437" s="10">
        <v>496</v>
      </c>
      <c r="L6437" s="10" t="s">
        <v>31520</v>
      </c>
      <c r="M6437" s="10">
        <v>1</v>
      </c>
      <c r="N6437" s="10"/>
      <c r="O6437" s="10"/>
      <c r="P6437" s="10" t="s">
        <v>31521</v>
      </c>
      <c r="Q6437" s="10">
        <v>375.00941999999998</v>
      </c>
      <c r="R6437" s="10" t="s">
        <v>31522</v>
      </c>
      <c r="S6437" s="10" t="s">
        <v>53</v>
      </c>
      <c r="T6437" s="10" t="s">
        <v>54</v>
      </c>
    </row>
    <row r="6438" spans="1:20" ht="14.5" x14ac:dyDescent="0.35">
      <c r="A6438" s="10" t="s">
        <v>31523</v>
      </c>
      <c r="B6438" s="10" t="str">
        <f>"9781443868075"</f>
        <v>9781443868075</v>
      </c>
      <c r="C6438" s="10" t="str">
        <f>"9781443873550"</f>
        <v>9781443873550</v>
      </c>
      <c r="D6438" s="10" t="s">
        <v>23635</v>
      </c>
      <c r="E6438" s="10" t="s">
        <v>23635</v>
      </c>
      <c r="F6438" s="10" t="s">
        <v>23636</v>
      </c>
      <c r="G6438" s="10" t="s">
        <v>6352</v>
      </c>
      <c r="H6438" s="11">
        <v>41982</v>
      </c>
      <c r="I6438" s="10">
        <v>2015</v>
      </c>
      <c r="J6438" s="10" t="s">
        <v>23635</v>
      </c>
      <c r="K6438" s="10">
        <v>235</v>
      </c>
      <c r="L6438" s="10" t="s">
        <v>31524</v>
      </c>
      <c r="M6438" s="10">
        <v>1</v>
      </c>
      <c r="N6438" s="10"/>
      <c r="O6438" s="10"/>
      <c r="P6438" s="10" t="s">
        <v>31525</v>
      </c>
      <c r="Q6438" s="10">
        <v>372.44</v>
      </c>
      <c r="R6438" s="10" t="s">
        <v>31526</v>
      </c>
      <c r="S6438" s="10" t="s">
        <v>53</v>
      </c>
      <c r="T6438" s="10" t="s">
        <v>54</v>
      </c>
    </row>
    <row r="6439" spans="1:20" ht="14.5" x14ac:dyDescent="0.35">
      <c r="A6439" s="10" t="s">
        <v>31527</v>
      </c>
      <c r="B6439" s="10" t="str">
        <f>"9781443868792"</f>
        <v>9781443868792</v>
      </c>
      <c r="C6439" s="10" t="str">
        <f>"9781443873505"</f>
        <v>9781443873505</v>
      </c>
      <c r="D6439" s="10" t="s">
        <v>23635</v>
      </c>
      <c r="E6439" s="10" t="s">
        <v>23635</v>
      </c>
      <c r="F6439" s="10" t="s">
        <v>23636</v>
      </c>
      <c r="G6439" s="10" t="s">
        <v>6352</v>
      </c>
      <c r="H6439" s="11">
        <v>42016</v>
      </c>
      <c r="I6439" s="10">
        <v>2015</v>
      </c>
      <c r="J6439" s="10" t="s">
        <v>23635</v>
      </c>
      <c r="K6439" s="10">
        <v>249</v>
      </c>
      <c r="L6439" s="10" t="s">
        <v>31528</v>
      </c>
      <c r="M6439" s="10">
        <v>1</v>
      </c>
      <c r="N6439" s="10"/>
      <c r="O6439" s="10"/>
      <c r="P6439" s="10" t="s">
        <v>31529</v>
      </c>
      <c r="Q6439" s="10">
        <v>378.125</v>
      </c>
      <c r="R6439" s="10" t="s">
        <v>31530</v>
      </c>
      <c r="S6439" s="10" t="s">
        <v>53</v>
      </c>
      <c r="T6439" s="10" t="s">
        <v>54</v>
      </c>
    </row>
    <row r="6440" spans="1:20" ht="14.5" x14ac:dyDescent="0.35">
      <c r="A6440" s="10" t="s">
        <v>31531</v>
      </c>
      <c r="B6440" s="10" t="str">
        <f>"9781442223721"</f>
        <v>9781442223721</v>
      </c>
      <c r="C6440" s="10" t="str">
        <f>"9781442223738"</f>
        <v>9781442223738</v>
      </c>
      <c r="D6440" s="10" t="s">
        <v>9752</v>
      </c>
      <c r="E6440" s="10" t="s">
        <v>15187</v>
      </c>
      <c r="F6440" s="10" t="s">
        <v>9754</v>
      </c>
      <c r="G6440" s="10" t="s">
        <v>6317</v>
      </c>
      <c r="H6440" s="11">
        <v>42138</v>
      </c>
      <c r="I6440" s="10">
        <v>2015</v>
      </c>
      <c r="J6440" s="10" t="s">
        <v>15187</v>
      </c>
      <c r="K6440" s="10">
        <v>297</v>
      </c>
      <c r="L6440" s="10" t="s">
        <v>31532</v>
      </c>
      <c r="M6440" s="10">
        <v>1</v>
      </c>
      <c r="N6440" s="10"/>
      <c r="O6440" s="10"/>
      <c r="P6440" s="10" t="s">
        <v>31533</v>
      </c>
      <c r="Q6440" s="10" t="s">
        <v>7307</v>
      </c>
      <c r="R6440" s="10" t="s">
        <v>31534</v>
      </c>
      <c r="S6440" s="10" t="s">
        <v>53</v>
      </c>
      <c r="T6440" s="10" t="s">
        <v>54</v>
      </c>
    </row>
    <row r="6441" spans="1:20" ht="14.5" x14ac:dyDescent="0.35">
      <c r="A6441" s="10" t="s">
        <v>31535</v>
      </c>
      <c r="B6441" s="10" t="str">
        <f>"9781849055826"</f>
        <v>9781849055826</v>
      </c>
      <c r="C6441" s="10" t="str">
        <f>"9781784500689"</f>
        <v>9781784500689</v>
      </c>
      <c r="D6441" s="10" t="s">
        <v>10516</v>
      </c>
      <c r="E6441" s="10" t="s">
        <v>10516</v>
      </c>
      <c r="F6441" s="10" t="s">
        <v>139</v>
      </c>
      <c r="G6441" s="10" t="s">
        <v>6352</v>
      </c>
      <c r="H6441" s="11">
        <v>42237</v>
      </c>
      <c r="I6441" s="10">
        <v>2015</v>
      </c>
      <c r="J6441" s="10" t="s">
        <v>10516</v>
      </c>
      <c r="K6441" s="10">
        <v>266</v>
      </c>
      <c r="L6441" s="10" t="s">
        <v>31536</v>
      </c>
      <c r="M6441" s="10">
        <v>1</v>
      </c>
      <c r="N6441" s="10"/>
      <c r="O6441" s="10"/>
      <c r="P6441" s="10" t="s">
        <v>31537</v>
      </c>
      <c r="Q6441" s="10" t="s">
        <v>31538</v>
      </c>
      <c r="R6441" s="10"/>
      <c r="S6441" s="10" t="s">
        <v>53</v>
      </c>
      <c r="T6441" s="10" t="s">
        <v>8625</v>
      </c>
    </row>
    <row r="6442" spans="1:20" ht="14.5" x14ac:dyDescent="0.35">
      <c r="A6442" s="10" t="s">
        <v>31539</v>
      </c>
      <c r="B6442" s="10" t="str">
        <f>"9780833088178"</f>
        <v>9780833088178</v>
      </c>
      <c r="C6442" s="10" t="str">
        <f>"9780833088222"</f>
        <v>9780833088222</v>
      </c>
      <c r="D6442" s="10" t="s">
        <v>8134</v>
      </c>
      <c r="E6442" s="10" t="s">
        <v>8135</v>
      </c>
      <c r="F6442" s="10" t="s">
        <v>8136</v>
      </c>
      <c r="G6442" s="10" t="s">
        <v>6317</v>
      </c>
      <c r="H6442" s="11">
        <v>42019</v>
      </c>
      <c r="I6442" s="10">
        <v>2014</v>
      </c>
      <c r="J6442" s="10" t="s">
        <v>8135</v>
      </c>
      <c r="K6442" s="10">
        <v>139</v>
      </c>
      <c r="L6442" s="10" t="s">
        <v>31540</v>
      </c>
      <c r="M6442" s="10">
        <v>1</v>
      </c>
      <c r="N6442" s="10"/>
      <c r="O6442" s="10"/>
      <c r="P6442" s="10" t="s">
        <v>31541</v>
      </c>
      <c r="Q6442" s="10" t="s">
        <v>12753</v>
      </c>
      <c r="R6442" s="10" t="s">
        <v>31542</v>
      </c>
      <c r="S6442" s="10" t="s">
        <v>53</v>
      </c>
      <c r="T6442" s="10" t="s">
        <v>54</v>
      </c>
    </row>
    <row r="6443" spans="1:20" ht="14.5" x14ac:dyDescent="0.35">
      <c r="A6443" s="10" t="s">
        <v>31543</v>
      </c>
      <c r="B6443" s="10" t="str">
        <f>"9781475813609"</f>
        <v>9781475813609</v>
      </c>
      <c r="C6443" s="10" t="str">
        <f>"9781475813623"</f>
        <v>9781475813623</v>
      </c>
      <c r="D6443" s="10" t="s">
        <v>9752</v>
      </c>
      <c r="E6443" s="10" t="s">
        <v>15187</v>
      </c>
      <c r="F6443" s="10" t="s">
        <v>9754</v>
      </c>
      <c r="G6443" s="10" t="s">
        <v>6317</v>
      </c>
      <c r="H6443" s="11">
        <v>42223</v>
      </c>
      <c r="I6443" s="10">
        <v>2015</v>
      </c>
      <c r="J6443" s="10" t="s">
        <v>15187</v>
      </c>
      <c r="K6443" s="10">
        <v>296</v>
      </c>
      <c r="L6443" s="10" t="s">
        <v>31544</v>
      </c>
      <c r="M6443" s="10">
        <v>1</v>
      </c>
      <c r="N6443" s="10"/>
      <c r="O6443" s="10"/>
      <c r="P6443" s="10" t="s">
        <v>31545</v>
      </c>
      <c r="Q6443" s="10" t="s">
        <v>14878</v>
      </c>
      <c r="R6443" s="10" t="s">
        <v>31546</v>
      </c>
      <c r="S6443" s="10" t="s">
        <v>53</v>
      </c>
      <c r="T6443" s="10" t="s">
        <v>54</v>
      </c>
    </row>
    <row r="6444" spans="1:20" ht="14.5" x14ac:dyDescent="0.35">
      <c r="A6444" s="10" t="s">
        <v>31547</v>
      </c>
      <c r="B6444" s="10" t="str">
        <f>"9781475817911"</f>
        <v>9781475817911</v>
      </c>
      <c r="C6444" s="10" t="str">
        <f>"9781475817928"</f>
        <v>9781475817928</v>
      </c>
      <c r="D6444" s="10" t="s">
        <v>9752</v>
      </c>
      <c r="E6444" s="10" t="s">
        <v>15187</v>
      </c>
      <c r="F6444" s="10" t="s">
        <v>9754</v>
      </c>
      <c r="G6444" s="10" t="s">
        <v>6317</v>
      </c>
      <c r="H6444" s="11">
        <v>42201</v>
      </c>
      <c r="I6444" s="10">
        <v>2015</v>
      </c>
      <c r="J6444" s="10" t="s">
        <v>15187</v>
      </c>
      <c r="K6444" s="10">
        <v>153</v>
      </c>
      <c r="L6444" s="10" t="s">
        <v>31548</v>
      </c>
      <c r="M6444" s="10">
        <v>1</v>
      </c>
      <c r="N6444" s="10"/>
      <c r="O6444" s="10"/>
      <c r="P6444" s="10" t="s">
        <v>31549</v>
      </c>
      <c r="Q6444" s="10">
        <v>371.10199999999998</v>
      </c>
      <c r="R6444" s="10" t="s">
        <v>31550</v>
      </c>
      <c r="S6444" s="10" t="s">
        <v>53</v>
      </c>
      <c r="T6444" s="10" t="s">
        <v>54</v>
      </c>
    </row>
    <row r="6445" spans="1:20" ht="14.5" x14ac:dyDescent="0.35">
      <c r="A6445" s="10" t="s">
        <v>31551</v>
      </c>
      <c r="B6445" s="10" t="str">
        <f>"9780814799697"</f>
        <v>9780814799697</v>
      </c>
      <c r="C6445" s="10" t="str">
        <f>"9780814789919"</f>
        <v>9780814789919</v>
      </c>
      <c r="D6445" s="10" t="s">
        <v>20429</v>
      </c>
      <c r="E6445" s="10" t="s">
        <v>20430</v>
      </c>
      <c r="F6445" s="10" t="s">
        <v>70</v>
      </c>
      <c r="G6445" s="10" t="s">
        <v>6317</v>
      </c>
      <c r="H6445" s="11">
        <v>39448</v>
      </c>
      <c r="I6445" s="10">
        <v>2008</v>
      </c>
      <c r="J6445" s="10" t="s">
        <v>20430</v>
      </c>
      <c r="K6445" s="10">
        <v>234</v>
      </c>
      <c r="L6445" s="10" t="s">
        <v>31552</v>
      </c>
      <c r="M6445" s="10">
        <v>1</v>
      </c>
      <c r="N6445" s="10"/>
      <c r="O6445" s="10"/>
      <c r="P6445" s="10"/>
      <c r="Q6445" s="10" t="s">
        <v>31553</v>
      </c>
      <c r="R6445" s="10"/>
      <c r="S6445" s="10" t="s">
        <v>53</v>
      </c>
      <c r="T6445" s="10" t="s">
        <v>6363</v>
      </c>
    </row>
    <row r="6446" spans="1:20" ht="14.5" x14ac:dyDescent="0.35">
      <c r="A6446" s="10" t="s">
        <v>31554</v>
      </c>
      <c r="B6446" s="10" t="str">
        <f>"9780814799758"</f>
        <v>9780814799758</v>
      </c>
      <c r="C6446" s="10" t="str">
        <f>"9780814789926"</f>
        <v>9780814789926</v>
      </c>
      <c r="D6446" s="10" t="s">
        <v>20429</v>
      </c>
      <c r="E6446" s="10" t="s">
        <v>20430</v>
      </c>
      <c r="F6446" s="10" t="s">
        <v>70</v>
      </c>
      <c r="G6446" s="10" t="s">
        <v>6317</v>
      </c>
      <c r="H6446" s="11">
        <v>39448</v>
      </c>
      <c r="I6446" s="10">
        <v>2008</v>
      </c>
      <c r="J6446" s="10" t="s">
        <v>20430</v>
      </c>
      <c r="K6446" s="10">
        <v>301</v>
      </c>
      <c r="L6446" s="10" t="s">
        <v>31555</v>
      </c>
      <c r="M6446" s="10">
        <v>1</v>
      </c>
      <c r="N6446" s="10" t="s">
        <v>20474</v>
      </c>
      <c r="O6446" s="10">
        <v>3</v>
      </c>
      <c r="P6446" s="10"/>
      <c r="Q6446" s="10" t="s">
        <v>31556</v>
      </c>
      <c r="R6446" s="10" t="s">
        <v>31557</v>
      </c>
      <c r="S6446" s="10" t="s">
        <v>53</v>
      </c>
      <c r="T6446" s="10" t="s">
        <v>31558</v>
      </c>
    </row>
    <row r="6447" spans="1:20" ht="14.5" x14ac:dyDescent="0.35">
      <c r="A6447" s="10" t="s">
        <v>31559</v>
      </c>
      <c r="B6447" s="10" t="str">
        <f>"9780814720882"</f>
        <v>9780814720882</v>
      </c>
      <c r="C6447" s="10" t="str">
        <f>"9780814785065"</f>
        <v>9780814785065</v>
      </c>
      <c r="D6447" s="10" t="s">
        <v>20429</v>
      </c>
      <c r="E6447" s="10" t="s">
        <v>20430</v>
      </c>
      <c r="F6447" s="10" t="s">
        <v>70</v>
      </c>
      <c r="G6447" s="10" t="s">
        <v>6317</v>
      </c>
      <c r="H6447" s="11">
        <v>40777</v>
      </c>
      <c r="I6447" s="10">
        <v>2011</v>
      </c>
      <c r="J6447" s="10" t="s">
        <v>20430</v>
      </c>
      <c r="K6447" s="10">
        <v>262</v>
      </c>
      <c r="L6447" s="10" t="s">
        <v>31560</v>
      </c>
      <c r="M6447" s="10">
        <v>1</v>
      </c>
      <c r="N6447" s="10"/>
      <c r="O6447" s="10"/>
      <c r="P6447" s="10"/>
      <c r="Q6447" s="10" t="s">
        <v>31561</v>
      </c>
      <c r="R6447" s="10" t="s">
        <v>31562</v>
      </c>
      <c r="S6447" s="10" t="s">
        <v>53</v>
      </c>
      <c r="T6447" s="10" t="s">
        <v>54</v>
      </c>
    </row>
    <row r="6448" spans="1:20" ht="14.5" x14ac:dyDescent="0.35">
      <c r="A6448" s="10" t="s">
        <v>31563</v>
      </c>
      <c r="B6448" s="10" t="str">
        <f>"9781498506663"</f>
        <v>9781498506663</v>
      </c>
      <c r="C6448" s="10" t="str">
        <f>"9781498506670"</f>
        <v>9781498506670</v>
      </c>
      <c r="D6448" s="10" t="s">
        <v>9752</v>
      </c>
      <c r="E6448" s="10" t="s">
        <v>15182</v>
      </c>
      <c r="F6448" s="10" t="s">
        <v>3460</v>
      </c>
      <c r="G6448" s="10" t="s">
        <v>6317</v>
      </c>
      <c r="H6448" s="11">
        <v>42207</v>
      </c>
      <c r="I6448" s="10">
        <v>2015</v>
      </c>
      <c r="J6448" s="10" t="s">
        <v>15182</v>
      </c>
      <c r="K6448" s="10">
        <v>131</v>
      </c>
      <c r="L6448" s="10" t="s">
        <v>31564</v>
      </c>
      <c r="M6448" s="10">
        <v>1</v>
      </c>
      <c r="N6448" s="10"/>
      <c r="O6448" s="10"/>
      <c r="P6448" s="10" t="s">
        <v>31565</v>
      </c>
      <c r="Q6448" s="10">
        <v>371.10199999999998</v>
      </c>
      <c r="R6448" s="10" t="s">
        <v>31566</v>
      </c>
      <c r="S6448" s="10" t="s">
        <v>53</v>
      </c>
      <c r="T6448" s="10" t="s">
        <v>54</v>
      </c>
    </row>
    <row r="6449" spans="1:20" ht="14.5" x14ac:dyDescent="0.35">
      <c r="A6449" s="10" t="s">
        <v>31567</v>
      </c>
      <c r="B6449" s="10" t="str">
        <f>"9780826499622"</f>
        <v>9780826499622</v>
      </c>
      <c r="C6449" s="10" t="str">
        <f>"9780826440822"</f>
        <v>9780826440822</v>
      </c>
      <c r="D6449" s="10" t="s">
        <v>13959</v>
      </c>
      <c r="E6449" s="10" t="s">
        <v>13960</v>
      </c>
      <c r="F6449" s="10" t="s">
        <v>139</v>
      </c>
      <c r="G6449" s="10" t="s">
        <v>6352</v>
      </c>
      <c r="H6449" s="11">
        <v>39630</v>
      </c>
      <c r="I6449" s="10">
        <v>2008</v>
      </c>
      <c r="J6449" s="10" t="s">
        <v>13961</v>
      </c>
      <c r="K6449" s="10">
        <v>165</v>
      </c>
      <c r="L6449" s="10" t="s">
        <v>16564</v>
      </c>
      <c r="M6449" s="10">
        <v>3</v>
      </c>
      <c r="N6449" s="10"/>
      <c r="O6449" s="10"/>
      <c r="P6449" s="10" t="s">
        <v>31568</v>
      </c>
      <c r="Q6449" s="10">
        <v>371.30279999999999</v>
      </c>
      <c r="R6449" s="10" t="s">
        <v>31569</v>
      </c>
      <c r="S6449" s="10" t="s">
        <v>53</v>
      </c>
      <c r="T6449" s="10" t="s">
        <v>54</v>
      </c>
    </row>
    <row r="6450" spans="1:20" ht="14.5" x14ac:dyDescent="0.35">
      <c r="A6450" s="10" t="s">
        <v>31570</v>
      </c>
      <c r="B6450" s="10" t="str">
        <f>"9780826489814"</f>
        <v>9780826489814</v>
      </c>
      <c r="C6450" s="10" t="str">
        <f>"9781441123152"</f>
        <v>9781441123152</v>
      </c>
      <c r="D6450" s="10" t="s">
        <v>13959</v>
      </c>
      <c r="E6450" s="10" t="s">
        <v>13960</v>
      </c>
      <c r="F6450" s="10" t="s">
        <v>139</v>
      </c>
      <c r="G6450" s="10" t="s">
        <v>6352</v>
      </c>
      <c r="H6450" s="11">
        <v>39060</v>
      </c>
      <c r="I6450" s="10">
        <v>2006</v>
      </c>
      <c r="J6450" s="10" t="s">
        <v>13961</v>
      </c>
      <c r="K6450" s="10">
        <v>178</v>
      </c>
      <c r="L6450" s="10" t="s">
        <v>5163</v>
      </c>
      <c r="M6450" s="10">
        <v>1</v>
      </c>
      <c r="N6450" s="10" t="s">
        <v>17037</v>
      </c>
      <c r="O6450" s="10"/>
      <c r="P6450" s="10" t="s">
        <v>31571</v>
      </c>
      <c r="Q6450" s="10">
        <v>371.10199999999998</v>
      </c>
      <c r="R6450" s="10" t="s">
        <v>31572</v>
      </c>
      <c r="S6450" s="10" t="s">
        <v>53</v>
      </c>
      <c r="T6450" s="10" t="s">
        <v>54</v>
      </c>
    </row>
    <row r="6451" spans="1:20" ht="14.5" x14ac:dyDescent="0.35">
      <c r="A6451" s="10" t="s">
        <v>31573</v>
      </c>
      <c r="B6451" s="10" t="str">
        <f>"9780826493286"</f>
        <v>9780826493286</v>
      </c>
      <c r="C6451" s="10" t="str">
        <f>"9781441156587"</f>
        <v>9781441156587</v>
      </c>
      <c r="D6451" s="10" t="s">
        <v>13959</v>
      </c>
      <c r="E6451" s="10" t="s">
        <v>13960</v>
      </c>
      <c r="F6451" s="10" t="s">
        <v>139</v>
      </c>
      <c r="G6451" s="10" t="s">
        <v>6352</v>
      </c>
      <c r="H6451" s="11">
        <v>39212</v>
      </c>
      <c r="I6451" s="10">
        <v>2007</v>
      </c>
      <c r="J6451" s="10" t="s">
        <v>13961</v>
      </c>
      <c r="K6451" s="10">
        <v>154</v>
      </c>
      <c r="L6451" s="10" t="s">
        <v>31574</v>
      </c>
      <c r="M6451" s="10">
        <v>1</v>
      </c>
      <c r="N6451" s="10" t="s">
        <v>18949</v>
      </c>
      <c r="O6451" s="10"/>
      <c r="P6451" s="10" t="s">
        <v>31575</v>
      </c>
      <c r="Q6451" s="10">
        <v>371.14123999999998</v>
      </c>
      <c r="R6451" s="10" t="s">
        <v>31576</v>
      </c>
      <c r="S6451" s="10" t="s">
        <v>53</v>
      </c>
      <c r="T6451" s="10" t="s">
        <v>54</v>
      </c>
    </row>
    <row r="6452" spans="1:20" ht="14.5" x14ac:dyDescent="0.35">
      <c r="A6452" s="10" t="s">
        <v>31577</v>
      </c>
      <c r="B6452" s="10" t="str">
        <f>"9780826498120"</f>
        <v>9780826498120</v>
      </c>
      <c r="C6452" s="10" t="str">
        <f>"9781441164605"</f>
        <v>9781441164605</v>
      </c>
      <c r="D6452" s="10" t="s">
        <v>13959</v>
      </c>
      <c r="E6452" s="10" t="s">
        <v>13960</v>
      </c>
      <c r="F6452" s="10" t="s">
        <v>139</v>
      </c>
      <c r="G6452" s="10" t="s">
        <v>6352</v>
      </c>
      <c r="H6452" s="11">
        <v>39578</v>
      </c>
      <c r="I6452" s="10">
        <v>2008</v>
      </c>
      <c r="J6452" s="10" t="s">
        <v>13961</v>
      </c>
      <c r="K6452" s="10">
        <v>153</v>
      </c>
      <c r="L6452" s="10" t="s">
        <v>31578</v>
      </c>
      <c r="M6452" s="10">
        <v>1</v>
      </c>
      <c r="N6452" s="10" t="s">
        <v>18949</v>
      </c>
      <c r="O6452" s="10"/>
      <c r="P6452" s="10" t="s">
        <v>31579</v>
      </c>
      <c r="Q6452" s="10">
        <v>371.14124094099998</v>
      </c>
      <c r="R6452" s="10" t="s">
        <v>31580</v>
      </c>
      <c r="S6452" s="10" t="s">
        <v>53</v>
      </c>
      <c r="T6452" s="10" t="s">
        <v>54</v>
      </c>
    </row>
    <row r="6453" spans="1:20" ht="14.5" x14ac:dyDescent="0.35">
      <c r="A6453" s="10" t="s">
        <v>31581</v>
      </c>
      <c r="B6453" s="10" t="str">
        <f>"9780826496447"</f>
        <v>9780826496447</v>
      </c>
      <c r="C6453" s="10" t="str">
        <f>"9781441183538"</f>
        <v>9781441183538</v>
      </c>
      <c r="D6453" s="10" t="s">
        <v>13959</v>
      </c>
      <c r="E6453" s="10" t="s">
        <v>13960</v>
      </c>
      <c r="F6453" s="10" t="s">
        <v>139</v>
      </c>
      <c r="G6453" s="10" t="s">
        <v>6352</v>
      </c>
      <c r="H6453" s="11">
        <v>39273</v>
      </c>
      <c r="I6453" s="10">
        <v>2007</v>
      </c>
      <c r="J6453" s="10" t="s">
        <v>13961</v>
      </c>
      <c r="K6453" s="10">
        <v>141</v>
      </c>
      <c r="L6453" s="10" t="s">
        <v>31582</v>
      </c>
      <c r="M6453" s="10">
        <v>1</v>
      </c>
      <c r="N6453" s="10"/>
      <c r="O6453" s="10"/>
      <c r="P6453" s="10" t="s">
        <v>31583</v>
      </c>
      <c r="Q6453" s="10">
        <v>371.20119999999997</v>
      </c>
      <c r="R6453" s="10" t="s">
        <v>31584</v>
      </c>
      <c r="S6453" s="10" t="s">
        <v>53</v>
      </c>
      <c r="T6453" s="10" t="s">
        <v>54</v>
      </c>
    </row>
    <row r="6454" spans="1:20" ht="14.5" x14ac:dyDescent="0.35">
      <c r="A6454" s="10" t="s">
        <v>31585</v>
      </c>
      <c r="B6454" s="10" t="str">
        <f>"9781475814408"</f>
        <v>9781475814408</v>
      </c>
      <c r="C6454" s="10" t="str">
        <f>"9781475814422"</f>
        <v>9781475814422</v>
      </c>
      <c r="D6454" s="10" t="s">
        <v>9752</v>
      </c>
      <c r="E6454" s="10" t="s">
        <v>15187</v>
      </c>
      <c r="F6454" s="10" t="s">
        <v>9754</v>
      </c>
      <c r="G6454" s="10" t="s">
        <v>6317</v>
      </c>
      <c r="H6454" s="11">
        <v>42193</v>
      </c>
      <c r="I6454" s="10">
        <v>2015</v>
      </c>
      <c r="J6454" s="10" t="s">
        <v>15187</v>
      </c>
      <c r="K6454" s="10">
        <v>141</v>
      </c>
      <c r="L6454" s="10" t="s">
        <v>31586</v>
      </c>
      <c r="M6454" s="10">
        <v>1</v>
      </c>
      <c r="N6454" s="10" t="s">
        <v>15952</v>
      </c>
      <c r="O6454" s="10"/>
      <c r="P6454" s="10" t="s">
        <v>31587</v>
      </c>
      <c r="Q6454" s="10" t="s">
        <v>31588</v>
      </c>
      <c r="R6454" s="10" t="s">
        <v>31589</v>
      </c>
      <c r="S6454" s="10" t="s">
        <v>53</v>
      </c>
      <c r="T6454" s="10" t="s">
        <v>6660</v>
      </c>
    </row>
    <row r="6455" spans="1:20" ht="14.5" x14ac:dyDescent="0.35">
      <c r="A6455" s="10" t="s">
        <v>31590</v>
      </c>
      <c r="B6455" s="10" t="str">
        <f>"9781475818093"</f>
        <v>9781475818093</v>
      </c>
      <c r="C6455" s="10" t="str">
        <f>"9781475818109"</f>
        <v>9781475818109</v>
      </c>
      <c r="D6455" s="10" t="s">
        <v>9752</v>
      </c>
      <c r="E6455" s="10" t="s">
        <v>15187</v>
      </c>
      <c r="F6455" s="10" t="s">
        <v>9754</v>
      </c>
      <c r="G6455" s="10" t="s">
        <v>6317</v>
      </c>
      <c r="H6455" s="11">
        <v>42229</v>
      </c>
      <c r="I6455" s="10">
        <v>2015</v>
      </c>
      <c r="J6455" s="10" t="s">
        <v>15187</v>
      </c>
      <c r="K6455" s="10">
        <v>85</v>
      </c>
      <c r="L6455" s="10" t="s">
        <v>31591</v>
      </c>
      <c r="M6455" s="10">
        <v>1</v>
      </c>
      <c r="N6455" s="10"/>
      <c r="O6455" s="10"/>
      <c r="P6455" s="10" t="s">
        <v>31592</v>
      </c>
      <c r="Q6455" s="10">
        <v>370.11709730000001</v>
      </c>
      <c r="R6455" s="10" t="s">
        <v>31593</v>
      </c>
      <c r="S6455" s="10" t="s">
        <v>53</v>
      </c>
      <c r="T6455" s="10" t="s">
        <v>54</v>
      </c>
    </row>
    <row r="6456" spans="1:20" ht="14.5" x14ac:dyDescent="0.35">
      <c r="A6456" s="10" t="s">
        <v>31594</v>
      </c>
      <c r="B6456" s="10" t="str">
        <f>"9782875250896"</f>
        <v>9782875250896</v>
      </c>
      <c r="C6456" s="10" t="str">
        <f>"9782875253781"</f>
        <v>9782875253781</v>
      </c>
      <c r="D6456" s="10" t="s">
        <v>31595</v>
      </c>
      <c r="E6456" s="10" t="s">
        <v>31596</v>
      </c>
      <c r="F6456" s="10" t="s">
        <v>194</v>
      </c>
      <c r="G6456" s="10" t="s">
        <v>31597</v>
      </c>
      <c r="H6456" s="11">
        <v>40725</v>
      </c>
      <c r="I6456" s="10">
        <v>2011</v>
      </c>
      <c r="J6456" s="10" t="s">
        <v>31596</v>
      </c>
      <c r="K6456" s="10">
        <v>414</v>
      </c>
      <c r="L6456" s="10"/>
      <c r="M6456" s="10">
        <v>1</v>
      </c>
      <c r="N6456" s="10" t="s">
        <v>31598</v>
      </c>
      <c r="O6456" s="10"/>
      <c r="P6456" s="10"/>
      <c r="Q6456" s="10"/>
      <c r="R6456" s="10" t="s">
        <v>31599</v>
      </c>
      <c r="S6456" s="10" t="s">
        <v>5404</v>
      </c>
      <c r="T6456" s="10" t="s">
        <v>6363</v>
      </c>
    </row>
    <row r="6457" spans="1:20" ht="14.5" x14ac:dyDescent="0.35">
      <c r="A6457" s="10" t="s">
        <v>31600</v>
      </c>
      <c r="B6457" s="10" t="str">
        <f>"9782806632043"</f>
        <v>9782806632043</v>
      </c>
      <c r="C6457" s="10" t="str">
        <f>"9782806632456"</f>
        <v>9782806632456</v>
      </c>
      <c r="D6457" s="10" t="s">
        <v>31595</v>
      </c>
      <c r="E6457" s="10" t="s">
        <v>31601</v>
      </c>
      <c r="F6457" s="10" t="s">
        <v>31602</v>
      </c>
      <c r="G6457" s="10" t="s">
        <v>28737</v>
      </c>
      <c r="H6457" s="11">
        <v>41984</v>
      </c>
      <c r="I6457" s="10">
        <v>2014</v>
      </c>
      <c r="J6457" s="10" t="s">
        <v>31601</v>
      </c>
      <c r="K6457" s="10">
        <v>379</v>
      </c>
      <c r="L6457" s="10" t="s">
        <v>31603</v>
      </c>
      <c r="M6457" s="10">
        <v>1</v>
      </c>
      <c r="N6457" s="10"/>
      <c r="O6457" s="10"/>
      <c r="P6457" s="10" t="s">
        <v>31604</v>
      </c>
      <c r="Q6457" s="10">
        <v>808.53</v>
      </c>
      <c r="R6457" s="10" t="s">
        <v>31605</v>
      </c>
      <c r="S6457" s="10" t="s">
        <v>5404</v>
      </c>
      <c r="T6457" s="10" t="s">
        <v>9546</v>
      </c>
    </row>
    <row r="6458" spans="1:20" ht="14.5" x14ac:dyDescent="0.35">
      <c r="A6458" s="10" t="s">
        <v>31606</v>
      </c>
      <c r="B6458" s="10" t="str">
        <f>"9782806609809"</f>
        <v>9782806609809</v>
      </c>
      <c r="C6458" s="10" t="str">
        <f>"9782806609847"</f>
        <v>9782806609847</v>
      </c>
      <c r="D6458" s="10" t="s">
        <v>31595</v>
      </c>
      <c r="E6458" s="10" t="s">
        <v>31601</v>
      </c>
      <c r="F6458" s="10" t="s">
        <v>31602</v>
      </c>
      <c r="G6458" s="10" t="s">
        <v>28737</v>
      </c>
      <c r="H6458" s="11">
        <v>41984</v>
      </c>
      <c r="I6458" s="10">
        <v>2014</v>
      </c>
      <c r="J6458" s="10" t="s">
        <v>31601</v>
      </c>
      <c r="K6458" s="10">
        <v>94</v>
      </c>
      <c r="L6458" s="10" t="s">
        <v>31607</v>
      </c>
      <c r="M6458" s="10">
        <v>1</v>
      </c>
      <c r="N6458" s="10"/>
      <c r="O6458" s="10"/>
      <c r="P6458" s="10" t="s">
        <v>31608</v>
      </c>
      <c r="Q6458" s="10">
        <v>448.00710493000003</v>
      </c>
      <c r="R6458" s="10" t="s">
        <v>31609</v>
      </c>
      <c r="S6458" s="10" t="s">
        <v>5404</v>
      </c>
      <c r="T6458" s="10" t="s">
        <v>6616</v>
      </c>
    </row>
    <row r="6459" spans="1:20" ht="14.5" x14ac:dyDescent="0.35">
      <c r="A6459" s="10" t="s">
        <v>31610</v>
      </c>
      <c r="B6459" s="10" t="str">
        <f>"9782806602916"</f>
        <v>9782806602916</v>
      </c>
      <c r="C6459" s="10" t="str">
        <f>"9782806634054"</f>
        <v>9782806634054</v>
      </c>
      <c r="D6459" s="10" t="s">
        <v>31595</v>
      </c>
      <c r="E6459" s="10" t="s">
        <v>31596</v>
      </c>
      <c r="F6459" s="10" t="s">
        <v>194</v>
      </c>
      <c r="G6459" s="10" t="s">
        <v>31597</v>
      </c>
      <c r="H6459" s="11">
        <v>41007</v>
      </c>
      <c r="I6459" s="10">
        <v>2012</v>
      </c>
      <c r="J6459" s="10" t="s">
        <v>31596</v>
      </c>
      <c r="K6459" s="10">
        <v>618</v>
      </c>
      <c r="L6459" s="10" t="s">
        <v>31611</v>
      </c>
      <c r="M6459" s="10">
        <v>1</v>
      </c>
      <c r="N6459" s="10" t="s">
        <v>31612</v>
      </c>
      <c r="O6459" s="10"/>
      <c r="P6459" s="10"/>
      <c r="Q6459" s="10"/>
      <c r="R6459" s="10" t="s">
        <v>31613</v>
      </c>
      <c r="S6459" s="10" t="s">
        <v>5404</v>
      </c>
      <c r="T6459" s="10" t="s">
        <v>6526</v>
      </c>
    </row>
    <row r="6460" spans="1:20" ht="14.5" x14ac:dyDescent="0.35">
      <c r="A6460" s="10" t="s">
        <v>31614</v>
      </c>
      <c r="B6460" s="10" t="str">
        <f>"9781843347538"</f>
        <v>9781843347538</v>
      </c>
      <c r="C6460" s="10" t="str">
        <f>"9781780634340"</f>
        <v>9781780634340</v>
      </c>
      <c r="D6460" s="10" t="s">
        <v>8547</v>
      </c>
      <c r="E6460" s="10" t="s">
        <v>8548</v>
      </c>
      <c r="F6460" s="10" t="s">
        <v>1232</v>
      </c>
      <c r="G6460" s="10" t="s">
        <v>6352</v>
      </c>
      <c r="H6460" s="11">
        <v>42194</v>
      </c>
      <c r="I6460" s="10">
        <v>2015</v>
      </c>
      <c r="J6460" s="10" t="s">
        <v>27024</v>
      </c>
      <c r="K6460" s="10">
        <v>269</v>
      </c>
      <c r="L6460" s="10" t="s">
        <v>31615</v>
      </c>
      <c r="M6460" s="10">
        <v>1</v>
      </c>
      <c r="N6460" s="10" t="s">
        <v>27026</v>
      </c>
      <c r="O6460" s="10"/>
      <c r="P6460" s="10"/>
      <c r="Q6460" s="10">
        <v>25.0427</v>
      </c>
      <c r="R6460" s="10" t="s">
        <v>6480</v>
      </c>
      <c r="S6460" s="10" t="s">
        <v>53</v>
      </c>
      <c r="T6460" s="10" t="s">
        <v>10302</v>
      </c>
    </row>
    <row r="6461" spans="1:20" ht="14.5" x14ac:dyDescent="0.35">
      <c r="A6461" s="10" t="s">
        <v>31616</v>
      </c>
      <c r="B6461" s="10" t="str">
        <f>"9782806602312"</f>
        <v>9782806602312</v>
      </c>
      <c r="C6461" s="10" t="str">
        <f>"9782806634153"</f>
        <v>9782806634153</v>
      </c>
      <c r="D6461" s="10" t="s">
        <v>31595</v>
      </c>
      <c r="E6461" s="10" t="s">
        <v>31601</v>
      </c>
      <c r="F6461" s="10" t="s">
        <v>31602</v>
      </c>
      <c r="G6461" s="10" t="s">
        <v>28737</v>
      </c>
      <c r="H6461" s="11">
        <v>42167</v>
      </c>
      <c r="I6461" s="10">
        <v>2014</v>
      </c>
      <c r="J6461" s="10" t="s">
        <v>31601</v>
      </c>
      <c r="K6461" s="10">
        <v>292</v>
      </c>
      <c r="L6461" s="10" t="s">
        <v>31617</v>
      </c>
      <c r="M6461" s="10">
        <v>1</v>
      </c>
      <c r="N6461" s="10"/>
      <c r="O6461" s="10"/>
      <c r="P6461" s="10" t="s">
        <v>31618</v>
      </c>
      <c r="Q6461" s="10">
        <v>378.49331999999998</v>
      </c>
      <c r="R6461" s="10" t="s">
        <v>31619</v>
      </c>
      <c r="S6461" s="10" t="s">
        <v>5404</v>
      </c>
      <c r="T6461" s="10" t="s">
        <v>54</v>
      </c>
    </row>
    <row r="6462" spans="1:20" ht="14.5" x14ac:dyDescent="0.35">
      <c r="A6462" s="10" t="s">
        <v>31620</v>
      </c>
      <c r="B6462" s="10" t="str">
        <f>"9781492613381"</f>
        <v>9781492613381</v>
      </c>
      <c r="C6462" s="10" t="str">
        <f>"9781492613404"</f>
        <v>9781492613404</v>
      </c>
      <c r="D6462" s="10" t="s">
        <v>31621</v>
      </c>
      <c r="E6462" s="10" t="s">
        <v>31622</v>
      </c>
      <c r="F6462" s="10" t="s">
        <v>31623</v>
      </c>
      <c r="G6462" s="10" t="s">
        <v>6317</v>
      </c>
      <c r="H6462" s="11">
        <v>42199</v>
      </c>
      <c r="I6462" s="10">
        <v>2015</v>
      </c>
      <c r="J6462" s="10" t="s">
        <v>31622</v>
      </c>
      <c r="K6462" s="10">
        <v>290</v>
      </c>
      <c r="L6462" s="10" t="s">
        <v>31624</v>
      </c>
      <c r="M6462" s="10">
        <v>1</v>
      </c>
      <c r="N6462" s="10"/>
      <c r="O6462" s="10"/>
      <c r="P6462" s="10"/>
      <c r="Q6462" s="10" t="s">
        <v>31625</v>
      </c>
      <c r="R6462" s="10" t="s">
        <v>31626</v>
      </c>
      <c r="S6462" s="10" t="s">
        <v>53</v>
      </c>
      <c r="T6462" s="10" t="s">
        <v>54</v>
      </c>
    </row>
    <row r="6463" spans="1:20" ht="14.5" x14ac:dyDescent="0.35">
      <c r="A6463" s="10" t="s">
        <v>31627</v>
      </c>
      <c r="B6463" s="10" t="str">
        <f>"9781119003618"</f>
        <v>9781119003618</v>
      </c>
      <c r="C6463" s="10" t="str">
        <f>"9781119003656"</f>
        <v>9781119003656</v>
      </c>
      <c r="D6463" s="10" t="s">
        <v>6322</v>
      </c>
      <c r="E6463" s="10" t="s">
        <v>6323</v>
      </c>
      <c r="F6463" s="10" t="s">
        <v>4423</v>
      </c>
      <c r="G6463" s="10" t="s">
        <v>6317</v>
      </c>
      <c r="H6463" s="11">
        <v>42240</v>
      </c>
      <c r="I6463" s="10">
        <v>2015</v>
      </c>
      <c r="J6463" s="10" t="s">
        <v>6323</v>
      </c>
      <c r="K6463" s="10">
        <v>371</v>
      </c>
      <c r="L6463" s="10" t="s">
        <v>31628</v>
      </c>
      <c r="M6463" s="10">
        <v>4</v>
      </c>
      <c r="N6463" s="10"/>
      <c r="O6463" s="10"/>
      <c r="P6463" s="10" t="s">
        <v>31629</v>
      </c>
      <c r="Q6463" s="10">
        <v>370.72</v>
      </c>
      <c r="R6463" s="10" t="s">
        <v>31630</v>
      </c>
      <c r="S6463" s="10" t="s">
        <v>53</v>
      </c>
      <c r="T6463" s="10" t="s">
        <v>54</v>
      </c>
    </row>
    <row r="6464" spans="1:20" ht="14.5" x14ac:dyDescent="0.35">
      <c r="A6464" s="10" t="s">
        <v>31631</v>
      </c>
      <c r="B6464" s="10" t="str">
        <f>"9781475814651"</f>
        <v>9781475814651</v>
      </c>
      <c r="C6464" s="10" t="str">
        <f>"9781475814675"</f>
        <v>9781475814675</v>
      </c>
      <c r="D6464" s="10" t="s">
        <v>9752</v>
      </c>
      <c r="E6464" s="10" t="s">
        <v>15187</v>
      </c>
      <c r="F6464" s="10" t="s">
        <v>9754</v>
      </c>
      <c r="G6464" s="10" t="s">
        <v>6317</v>
      </c>
      <c r="H6464" s="11">
        <v>42156</v>
      </c>
      <c r="I6464" s="10">
        <v>2015</v>
      </c>
      <c r="J6464" s="10" t="s">
        <v>15187</v>
      </c>
      <c r="K6464" s="10">
        <v>165</v>
      </c>
      <c r="L6464" s="10" t="s">
        <v>31632</v>
      </c>
      <c r="M6464" s="10">
        <v>1</v>
      </c>
      <c r="N6464" s="10"/>
      <c r="O6464" s="10"/>
      <c r="P6464" s="10" t="s">
        <v>31633</v>
      </c>
      <c r="Q6464" s="10" t="s">
        <v>15898</v>
      </c>
      <c r="R6464" s="10" t="s">
        <v>31634</v>
      </c>
      <c r="S6464" s="10" t="s">
        <v>53</v>
      </c>
      <c r="T6464" s="10" t="s">
        <v>54</v>
      </c>
    </row>
    <row r="6465" spans="1:20" ht="14.5" x14ac:dyDescent="0.35">
      <c r="A6465" s="10" t="s">
        <v>31635</v>
      </c>
      <c r="B6465" s="10" t="str">
        <f>"9781475813920"</f>
        <v>9781475813920</v>
      </c>
      <c r="C6465" s="10" t="str">
        <f>"9781475813937"</f>
        <v>9781475813937</v>
      </c>
      <c r="D6465" s="10" t="s">
        <v>9752</v>
      </c>
      <c r="E6465" s="10" t="s">
        <v>15187</v>
      </c>
      <c r="F6465" s="10" t="s">
        <v>9754</v>
      </c>
      <c r="G6465" s="10" t="s">
        <v>6317</v>
      </c>
      <c r="H6465" s="11">
        <v>42230</v>
      </c>
      <c r="I6465" s="10">
        <v>2015</v>
      </c>
      <c r="J6465" s="10" t="s">
        <v>15187</v>
      </c>
      <c r="K6465" s="10">
        <v>157</v>
      </c>
      <c r="L6465" s="10" t="s">
        <v>31636</v>
      </c>
      <c r="M6465" s="10">
        <v>1</v>
      </c>
      <c r="N6465" s="10"/>
      <c r="O6465" s="10"/>
      <c r="P6465" s="10" t="s">
        <v>31637</v>
      </c>
      <c r="Q6465" s="10" t="s">
        <v>31638</v>
      </c>
      <c r="R6465" s="10" t="s">
        <v>31639</v>
      </c>
      <c r="S6465" s="10" t="s">
        <v>53</v>
      </c>
      <c r="T6465" s="10" t="s">
        <v>6384</v>
      </c>
    </row>
    <row r="6466" spans="1:20" ht="14.5" x14ac:dyDescent="0.35">
      <c r="A6466" s="10" t="s">
        <v>31640</v>
      </c>
      <c r="B6466" s="10" t="str">
        <f>"9783319058368"</f>
        <v>9783319058368</v>
      </c>
      <c r="C6466" s="10" t="str">
        <f>"9783319058375"</f>
        <v>9783319058375</v>
      </c>
      <c r="D6466" s="10" t="s">
        <v>11249</v>
      </c>
      <c r="E6466" s="10" t="s">
        <v>26623</v>
      </c>
      <c r="F6466" s="10" t="s">
        <v>26624</v>
      </c>
      <c r="G6466" s="10" t="s">
        <v>16676</v>
      </c>
      <c r="H6466" s="11">
        <v>42130</v>
      </c>
      <c r="I6466" s="10">
        <v>2015</v>
      </c>
      <c r="J6466" s="10" t="s">
        <v>26623</v>
      </c>
      <c r="K6466" s="10">
        <v>313</v>
      </c>
      <c r="L6466" s="10" t="s">
        <v>31641</v>
      </c>
      <c r="M6466" s="10">
        <v>1</v>
      </c>
      <c r="N6466" s="10"/>
      <c r="O6466" s="10"/>
      <c r="P6466" s="10" t="s">
        <v>11313</v>
      </c>
      <c r="Q6466" s="10">
        <v>370.15499999999997</v>
      </c>
      <c r="R6466" s="10" t="s">
        <v>31642</v>
      </c>
      <c r="S6466" s="10" t="s">
        <v>53</v>
      </c>
      <c r="T6466" s="10" t="s">
        <v>54</v>
      </c>
    </row>
    <row r="6467" spans="1:20" ht="14.5" x14ac:dyDescent="0.35">
      <c r="A6467" s="10" t="s">
        <v>31643</v>
      </c>
      <c r="B6467" s="10" t="str">
        <f>"9780081001905"</f>
        <v>9780081001905</v>
      </c>
      <c r="C6467" s="10" t="str">
        <f>"9780081002360"</f>
        <v>9780081002360</v>
      </c>
      <c r="D6467" s="10" t="s">
        <v>8547</v>
      </c>
      <c r="E6467" s="10" t="s">
        <v>8548</v>
      </c>
      <c r="F6467" s="10" t="s">
        <v>31644</v>
      </c>
      <c r="G6467" s="10" t="s">
        <v>6352</v>
      </c>
      <c r="H6467" s="11">
        <v>42199</v>
      </c>
      <c r="I6467" s="10">
        <v>2015</v>
      </c>
      <c r="J6467" s="10" t="s">
        <v>27024</v>
      </c>
      <c r="K6467" s="10">
        <v>202</v>
      </c>
      <c r="L6467" s="10" t="s">
        <v>31645</v>
      </c>
      <c r="M6467" s="10">
        <v>1</v>
      </c>
      <c r="N6467" s="10"/>
      <c r="O6467" s="10"/>
      <c r="P6467" s="10" t="s">
        <v>31646</v>
      </c>
      <c r="Q6467" s="10">
        <v>658.40380000000005</v>
      </c>
      <c r="R6467" s="10" t="s">
        <v>31647</v>
      </c>
      <c r="S6467" s="10" t="s">
        <v>53</v>
      </c>
      <c r="T6467" s="10" t="s">
        <v>31648</v>
      </c>
    </row>
    <row r="6468" spans="1:20" ht="14.5" x14ac:dyDescent="0.35">
      <c r="A6468" s="10" t="s">
        <v>31649</v>
      </c>
      <c r="B6468" s="10" t="str">
        <f>"9781475809107"</f>
        <v>9781475809107</v>
      </c>
      <c r="C6468" s="10" t="str">
        <f>"9781475809114"</f>
        <v>9781475809114</v>
      </c>
      <c r="D6468" s="10" t="s">
        <v>9752</v>
      </c>
      <c r="E6468" s="10" t="s">
        <v>15187</v>
      </c>
      <c r="F6468" s="10" t="s">
        <v>9754</v>
      </c>
      <c r="G6468" s="10" t="s">
        <v>6317</v>
      </c>
      <c r="H6468" s="11">
        <v>42072</v>
      </c>
      <c r="I6468" s="10">
        <v>2015</v>
      </c>
      <c r="J6468" s="10" t="s">
        <v>15187</v>
      </c>
      <c r="K6468" s="10">
        <v>161</v>
      </c>
      <c r="L6468" s="10" t="s">
        <v>31650</v>
      </c>
      <c r="M6468" s="10">
        <v>1</v>
      </c>
      <c r="N6468" s="10"/>
      <c r="O6468" s="10"/>
      <c r="P6468" s="10" t="s">
        <v>31651</v>
      </c>
      <c r="Q6468" s="10">
        <v>107.1</v>
      </c>
      <c r="R6468" s="10" t="s">
        <v>31652</v>
      </c>
      <c r="S6468" s="10" t="s">
        <v>53</v>
      </c>
      <c r="T6468" s="10" t="s">
        <v>6534</v>
      </c>
    </row>
    <row r="6469" spans="1:20" ht="14.5" x14ac:dyDescent="0.35">
      <c r="A6469" s="10" t="s">
        <v>31653</v>
      </c>
      <c r="B6469" s="10" t="str">
        <f>"9781475820584"</f>
        <v>9781475820584</v>
      </c>
      <c r="C6469" s="10" t="str">
        <f>"9781475820607"</f>
        <v>9781475820607</v>
      </c>
      <c r="D6469" s="10" t="s">
        <v>9752</v>
      </c>
      <c r="E6469" s="10" t="s">
        <v>15187</v>
      </c>
      <c r="F6469" s="10" t="s">
        <v>9754</v>
      </c>
      <c r="G6469" s="10" t="s">
        <v>6317</v>
      </c>
      <c r="H6469" s="11">
        <v>42222</v>
      </c>
      <c r="I6469" s="10">
        <v>2015</v>
      </c>
      <c r="J6469" s="10" t="s">
        <v>15187</v>
      </c>
      <c r="K6469" s="10">
        <v>159</v>
      </c>
      <c r="L6469" s="10" t="s">
        <v>31654</v>
      </c>
      <c r="M6469" s="10">
        <v>1</v>
      </c>
      <c r="N6469" s="10"/>
      <c r="O6469" s="10"/>
      <c r="P6469" s="10" t="s">
        <v>31655</v>
      </c>
      <c r="Q6469" s="10"/>
      <c r="R6469" s="10" t="s">
        <v>16187</v>
      </c>
      <c r="S6469" s="10" t="s">
        <v>53</v>
      </c>
      <c r="T6469" s="10" t="s">
        <v>54</v>
      </c>
    </row>
    <row r="6470" spans="1:20" ht="14.5" x14ac:dyDescent="0.35">
      <c r="A6470" s="10" t="s">
        <v>31656</v>
      </c>
      <c r="B6470" s="10" t="str">
        <f>"9781472570826"</f>
        <v>9781472570826</v>
      </c>
      <c r="C6470" s="10" t="str">
        <f>"9781472570840"</f>
        <v>9781472570840</v>
      </c>
      <c r="D6470" s="10" t="s">
        <v>13959</v>
      </c>
      <c r="E6470" s="10" t="s">
        <v>13960</v>
      </c>
      <c r="F6470" s="10" t="s">
        <v>139</v>
      </c>
      <c r="G6470" s="10" t="s">
        <v>6352</v>
      </c>
      <c r="H6470" s="11">
        <v>42327</v>
      </c>
      <c r="I6470" s="10">
        <v>2015</v>
      </c>
      <c r="J6470" s="10" t="s">
        <v>14057</v>
      </c>
      <c r="K6470" s="10">
        <v>217</v>
      </c>
      <c r="L6470" s="10" t="s">
        <v>31657</v>
      </c>
      <c r="M6470" s="10">
        <v>1</v>
      </c>
      <c r="N6470" s="10"/>
      <c r="O6470" s="10"/>
      <c r="P6470" s="10" t="s">
        <v>31658</v>
      </c>
      <c r="Q6470" s="10" t="s">
        <v>7299</v>
      </c>
      <c r="R6470" s="10" t="s">
        <v>31659</v>
      </c>
      <c r="S6470" s="10" t="s">
        <v>53</v>
      </c>
      <c r="T6470" s="10" t="s">
        <v>54</v>
      </c>
    </row>
    <row r="6471" spans="1:20" ht="14.5" x14ac:dyDescent="0.35">
      <c r="A6471" s="10" t="s">
        <v>31660</v>
      </c>
      <c r="B6471" s="10" t="str">
        <f>"9781442234697"</f>
        <v>9781442234697</v>
      </c>
      <c r="C6471" s="10" t="str">
        <f>"9781442234710"</f>
        <v>9781442234710</v>
      </c>
      <c r="D6471" s="10" t="s">
        <v>9752</v>
      </c>
      <c r="E6471" s="10" t="s">
        <v>15187</v>
      </c>
      <c r="F6471" s="10" t="s">
        <v>9754</v>
      </c>
      <c r="G6471" s="10" t="s">
        <v>6317</v>
      </c>
      <c r="H6471" s="11">
        <v>42173</v>
      </c>
      <c r="I6471" s="10">
        <v>2015</v>
      </c>
      <c r="J6471" s="10" t="s">
        <v>15187</v>
      </c>
      <c r="K6471" s="10">
        <v>181</v>
      </c>
      <c r="L6471" s="10" t="s">
        <v>31661</v>
      </c>
      <c r="M6471" s="10">
        <v>1</v>
      </c>
      <c r="N6471" s="10"/>
      <c r="O6471" s="10"/>
      <c r="P6471" s="10" t="s">
        <v>25263</v>
      </c>
      <c r="Q6471" s="10">
        <v>371.1</v>
      </c>
      <c r="R6471" s="10" t="s">
        <v>25264</v>
      </c>
      <c r="S6471" s="10" t="s">
        <v>53</v>
      </c>
      <c r="T6471" s="10" t="s">
        <v>54</v>
      </c>
    </row>
    <row r="6472" spans="1:20" ht="14.5" x14ac:dyDescent="0.35">
      <c r="A6472" s="10" t="s">
        <v>31662</v>
      </c>
      <c r="B6472" s="10" t="str">
        <f>"9788024629773"</f>
        <v>9788024629773</v>
      </c>
      <c r="C6472" s="10" t="str">
        <f>"9788024629827"</f>
        <v>9788024629827</v>
      </c>
      <c r="D6472" s="10" t="s">
        <v>30935</v>
      </c>
      <c r="E6472" s="10" t="s">
        <v>30935</v>
      </c>
      <c r="F6472" s="10" t="s">
        <v>1796</v>
      </c>
      <c r="G6472" s="10" t="s">
        <v>30936</v>
      </c>
      <c r="H6472" s="11">
        <v>42095</v>
      </c>
      <c r="I6472" s="10">
        <v>2015</v>
      </c>
      <c r="J6472" s="10" t="s">
        <v>30935</v>
      </c>
      <c r="K6472" s="10">
        <v>195</v>
      </c>
      <c r="L6472" s="10" t="s">
        <v>31663</v>
      </c>
      <c r="M6472" s="10">
        <v>1</v>
      </c>
      <c r="N6472" s="10"/>
      <c r="O6472" s="10"/>
      <c r="P6472" s="10" t="s">
        <v>31664</v>
      </c>
      <c r="Q6472" s="10">
        <v>371.20934590000002</v>
      </c>
      <c r="R6472" s="10" t="s">
        <v>31665</v>
      </c>
      <c r="S6472" s="10" t="s">
        <v>4212</v>
      </c>
      <c r="T6472" s="10" t="s">
        <v>54</v>
      </c>
    </row>
    <row r="6473" spans="1:20" ht="14.5" x14ac:dyDescent="0.35">
      <c r="A6473" s="10" t="s">
        <v>31666</v>
      </c>
      <c r="B6473" s="10" t="str">
        <f>"9782875570277"</f>
        <v>9782875570277</v>
      </c>
      <c r="C6473" s="10" t="str">
        <f>"9782390090458"</f>
        <v>9782390090458</v>
      </c>
      <c r="D6473" s="10" t="s">
        <v>29172</v>
      </c>
      <c r="E6473" s="10" t="s">
        <v>31667</v>
      </c>
      <c r="F6473" s="10" t="s">
        <v>29181</v>
      </c>
      <c r="G6473" s="10" t="s">
        <v>28737</v>
      </c>
      <c r="H6473" s="11">
        <v>42065</v>
      </c>
      <c r="I6473" s="10">
        <v>2015</v>
      </c>
      <c r="J6473" s="10" t="s">
        <v>31667</v>
      </c>
      <c r="K6473" s="10">
        <v>210</v>
      </c>
      <c r="L6473" s="10" t="s">
        <v>31668</v>
      </c>
      <c r="M6473" s="10">
        <v>1</v>
      </c>
      <c r="N6473" s="10"/>
      <c r="O6473" s="10"/>
      <c r="P6473" s="10"/>
      <c r="Q6473" s="10"/>
      <c r="R6473" s="10" t="s">
        <v>31669</v>
      </c>
      <c r="S6473" s="10" t="s">
        <v>5404</v>
      </c>
      <c r="T6473" s="10" t="s">
        <v>31670</v>
      </c>
    </row>
    <row r="6474" spans="1:20" ht="14.5" x14ac:dyDescent="0.35">
      <c r="A6474" s="10" t="s">
        <v>31671</v>
      </c>
      <c r="B6474" s="10" t="str">
        <f>"9782874620799"</f>
        <v>9782874620799</v>
      </c>
      <c r="C6474" s="10" t="str">
        <f>"9782390090182"</f>
        <v>9782390090182</v>
      </c>
      <c r="D6474" s="10" t="s">
        <v>29172</v>
      </c>
      <c r="E6474" s="10" t="s">
        <v>31667</v>
      </c>
      <c r="F6474" s="10" t="s">
        <v>29181</v>
      </c>
      <c r="G6474" s="10" t="s">
        <v>28737</v>
      </c>
      <c r="H6474" s="11">
        <v>41963</v>
      </c>
      <c r="I6474" s="10">
        <v>2014</v>
      </c>
      <c r="J6474" s="10" t="s">
        <v>31667</v>
      </c>
      <c r="K6474" s="10">
        <v>293</v>
      </c>
      <c r="L6474" s="10" t="s">
        <v>31672</v>
      </c>
      <c r="M6474" s="10">
        <v>1</v>
      </c>
      <c r="N6474" s="10"/>
      <c r="O6474" s="10"/>
      <c r="P6474" s="10"/>
      <c r="Q6474" s="10"/>
      <c r="R6474" s="10" t="s">
        <v>31673</v>
      </c>
      <c r="S6474" s="10" t="s">
        <v>5404</v>
      </c>
      <c r="T6474" s="10" t="s">
        <v>31674</v>
      </c>
    </row>
    <row r="6475" spans="1:20" ht="14.5" x14ac:dyDescent="0.35">
      <c r="A6475" s="10" t="s">
        <v>31675</v>
      </c>
      <c r="B6475" s="10" t="str">
        <f>"9782806266958"</f>
        <v>9782806266958</v>
      </c>
      <c r="C6475" s="10" t="str">
        <f>"9782806266941"</f>
        <v>9782806266941</v>
      </c>
      <c r="D6475" s="10" t="s">
        <v>29172</v>
      </c>
      <c r="E6475" s="10" t="s">
        <v>29173</v>
      </c>
      <c r="F6475" s="10" t="s">
        <v>29181</v>
      </c>
      <c r="G6475" s="10" t="s">
        <v>28737</v>
      </c>
      <c r="H6475" s="11">
        <v>42216</v>
      </c>
      <c r="I6475" s="10">
        <v>2015</v>
      </c>
      <c r="J6475" s="10" t="s">
        <v>31276</v>
      </c>
      <c r="K6475" s="10">
        <v>80</v>
      </c>
      <c r="L6475" s="10" t="s">
        <v>31676</v>
      </c>
      <c r="M6475" s="10">
        <v>1</v>
      </c>
      <c r="N6475" s="10" t="s">
        <v>31278</v>
      </c>
      <c r="O6475" s="10">
        <v>22</v>
      </c>
      <c r="P6475" s="10"/>
      <c r="Q6475" s="10"/>
      <c r="R6475" s="10" t="s">
        <v>31677</v>
      </c>
      <c r="S6475" s="10" t="s">
        <v>5404</v>
      </c>
      <c r="T6475" s="10" t="s">
        <v>9448</v>
      </c>
    </row>
    <row r="6476" spans="1:20" ht="14.5" x14ac:dyDescent="0.35">
      <c r="A6476" s="10" t="s">
        <v>31678</v>
      </c>
      <c r="B6476" s="10" t="str">
        <f>"9781464805721"</f>
        <v>9781464805721</v>
      </c>
      <c r="C6476" s="10" t="str">
        <f>"9781464805738"</f>
        <v>9781464805738</v>
      </c>
      <c r="D6476" s="10" t="s">
        <v>14731</v>
      </c>
      <c r="E6476" s="10" t="s">
        <v>14732</v>
      </c>
      <c r="F6476" s="10" t="s">
        <v>88</v>
      </c>
      <c r="G6476" s="10" t="s">
        <v>6317</v>
      </c>
      <c r="H6476" s="11">
        <v>42156</v>
      </c>
      <c r="I6476" s="10">
        <v>2015</v>
      </c>
      <c r="J6476" s="10" t="s">
        <v>14732</v>
      </c>
      <c r="K6476" s="10">
        <v>295</v>
      </c>
      <c r="L6476" s="10" t="s">
        <v>31679</v>
      </c>
      <c r="M6476" s="10">
        <v>1</v>
      </c>
      <c r="N6476" s="10" t="s">
        <v>31680</v>
      </c>
      <c r="O6476" s="10"/>
      <c r="P6476" s="10" t="s">
        <v>31681</v>
      </c>
      <c r="Q6476" s="10">
        <v>371.10923488999998</v>
      </c>
      <c r="R6476" s="10" t="s">
        <v>31682</v>
      </c>
      <c r="S6476" s="10" t="s">
        <v>53</v>
      </c>
      <c r="T6476" s="10" t="s">
        <v>54</v>
      </c>
    </row>
    <row r="6477" spans="1:20" ht="14.5" x14ac:dyDescent="0.35">
      <c r="A6477" s="10" t="s">
        <v>31683</v>
      </c>
      <c r="B6477" s="10" t="str">
        <f>"9781848932388"</f>
        <v>9781848932388</v>
      </c>
      <c r="C6477" s="10" t="str">
        <f>"9781317321798"</f>
        <v>9781317321798</v>
      </c>
      <c r="D6477" s="10" t="s">
        <v>6350</v>
      </c>
      <c r="E6477" s="10" t="s">
        <v>6351</v>
      </c>
      <c r="F6477" s="10" t="s">
        <v>3967</v>
      </c>
      <c r="G6477" s="10" t="s">
        <v>6352</v>
      </c>
      <c r="H6477" s="11">
        <v>42200</v>
      </c>
      <c r="I6477" s="10">
        <v>2013</v>
      </c>
      <c r="J6477" s="10" t="s">
        <v>6353</v>
      </c>
      <c r="K6477" s="10">
        <v>294</v>
      </c>
      <c r="L6477" s="10" t="s">
        <v>31684</v>
      </c>
      <c r="M6477" s="10">
        <v>1</v>
      </c>
      <c r="N6477" s="10" t="s">
        <v>31685</v>
      </c>
      <c r="O6477" s="10"/>
      <c r="P6477" s="10" t="s">
        <v>31686</v>
      </c>
      <c r="Q6477" s="10">
        <v>305.42092200000002</v>
      </c>
      <c r="R6477" s="10" t="s">
        <v>31687</v>
      </c>
      <c r="S6477" s="10" t="s">
        <v>53</v>
      </c>
      <c r="T6477" s="10" t="s">
        <v>6363</v>
      </c>
    </row>
    <row r="6478" spans="1:20" ht="14.5" x14ac:dyDescent="0.35">
      <c r="A6478" s="10" t="s">
        <v>31688</v>
      </c>
      <c r="B6478" s="10" t="str">
        <f>"9780817318680"</f>
        <v>9780817318680</v>
      </c>
      <c r="C6478" s="10" t="str">
        <f>"9780817388188"</f>
        <v>9780817388188</v>
      </c>
      <c r="D6478" s="10" t="s">
        <v>3407</v>
      </c>
      <c r="E6478" s="10" t="s">
        <v>3407</v>
      </c>
      <c r="F6478" s="10" t="s">
        <v>3408</v>
      </c>
      <c r="G6478" s="10" t="s">
        <v>6317</v>
      </c>
      <c r="H6478" s="11">
        <v>42231</v>
      </c>
      <c r="I6478" s="10">
        <v>2015</v>
      </c>
      <c r="J6478" s="10" t="s">
        <v>3407</v>
      </c>
      <c r="K6478" s="10">
        <v>357</v>
      </c>
      <c r="L6478" s="10" t="s">
        <v>31689</v>
      </c>
      <c r="M6478" s="10">
        <v>1</v>
      </c>
      <c r="N6478" s="10" t="s">
        <v>31690</v>
      </c>
      <c r="O6478" s="10">
        <v>1</v>
      </c>
      <c r="P6478" s="10" t="s">
        <v>31691</v>
      </c>
      <c r="Q6478" s="10" t="s">
        <v>31692</v>
      </c>
      <c r="R6478" s="10" t="s">
        <v>31693</v>
      </c>
      <c r="S6478" s="10" t="s">
        <v>53</v>
      </c>
      <c r="T6478" s="10" t="s">
        <v>54</v>
      </c>
    </row>
    <row r="6479" spans="1:20" ht="14.5" x14ac:dyDescent="0.35">
      <c r="A6479" s="10" t="s">
        <v>31694</v>
      </c>
      <c r="B6479" s="10" t="str">
        <f>"9780081002315"</f>
        <v>9780081002315</v>
      </c>
      <c r="C6479" s="10" t="str">
        <f>"9780081002582"</f>
        <v>9780081002582</v>
      </c>
      <c r="D6479" s="10" t="s">
        <v>8547</v>
      </c>
      <c r="E6479" s="10" t="s">
        <v>8548</v>
      </c>
      <c r="F6479" s="10" t="s">
        <v>1232</v>
      </c>
      <c r="G6479" s="10" t="s">
        <v>6352</v>
      </c>
      <c r="H6479" s="11">
        <v>42221</v>
      </c>
      <c r="I6479" s="10">
        <v>2015</v>
      </c>
      <c r="J6479" s="10" t="s">
        <v>27024</v>
      </c>
      <c r="K6479" s="10">
        <v>153</v>
      </c>
      <c r="L6479" s="10" t="s">
        <v>31695</v>
      </c>
      <c r="M6479" s="10">
        <v>1</v>
      </c>
      <c r="N6479" s="10"/>
      <c r="O6479" s="10"/>
      <c r="P6479" s="10"/>
      <c r="Q6479" s="10">
        <v>1.4207110000000001</v>
      </c>
      <c r="R6479" s="10" t="s">
        <v>31696</v>
      </c>
      <c r="S6479" s="10" t="s">
        <v>53</v>
      </c>
      <c r="T6479" s="10" t="s">
        <v>6601</v>
      </c>
    </row>
    <row r="6480" spans="1:20" ht="14.5" x14ac:dyDescent="0.35">
      <c r="A6480" s="10" t="s">
        <v>31697</v>
      </c>
      <c r="B6480" s="10" t="str">
        <f>"9781464806469"</f>
        <v>9781464806469</v>
      </c>
      <c r="C6480" s="10" t="str">
        <f>"9781464806513"</f>
        <v>9781464806513</v>
      </c>
      <c r="D6480" s="10" t="s">
        <v>14731</v>
      </c>
      <c r="E6480" s="10" t="s">
        <v>14732</v>
      </c>
      <c r="F6480" s="10" t="s">
        <v>11765</v>
      </c>
      <c r="G6480" s="10" t="s">
        <v>6317</v>
      </c>
      <c r="H6480" s="11">
        <v>42005</v>
      </c>
      <c r="I6480" s="10">
        <v>2015</v>
      </c>
      <c r="J6480" s="10" t="s">
        <v>14732</v>
      </c>
      <c r="K6480" s="10">
        <v>143</v>
      </c>
      <c r="L6480" s="10" t="s">
        <v>31698</v>
      </c>
      <c r="M6480" s="10">
        <v>1</v>
      </c>
      <c r="N6480" s="10" t="s">
        <v>20668</v>
      </c>
      <c r="O6480" s="10"/>
      <c r="P6480" s="10" t="s">
        <v>31699</v>
      </c>
      <c r="Q6480" s="10">
        <v>372.21</v>
      </c>
      <c r="R6480" s="10" t="s">
        <v>31700</v>
      </c>
      <c r="S6480" s="10" t="s">
        <v>53</v>
      </c>
      <c r="T6480" s="10" t="s">
        <v>54</v>
      </c>
    </row>
    <row r="6481" spans="1:20" ht="14.5" x14ac:dyDescent="0.35">
      <c r="A6481" s="10" t="s">
        <v>31701</v>
      </c>
      <c r="B6481" s="10" t="str">
        <f>"9780485114423"</f>
        <v>9780485114423</v>
      </c>
      <c r="C6481" s="10" t="str">
        <f>"9781474241311"</f>
        <v>9781474241311</v>
      </c>
      <c r="D6481" s="10" t="s">
        <v>13959</v>
      </c>
      <c r="E6481" s="10" t="s">
        <v>13960</v>
      </c>
      <c r="F6481" s="10" t="s">
        <v>139</v>
      </c>
      <c r="G6481" s="10" t="s">
        <v>6352</v>
      </c>
      <c r="H6481" s="11">
        <v>34425</v>
      </c>
      <c r="I6481" s="10">
        <v>2015</v>
      </c>
      <c r="J6481" s="10" t="s">
        <v>14057</v>
      </c>
      <c r="K6481" s="10">
        <v>258</v>
      </c>
      <c r="L6481" s="10" t="s">
        <v>31702</v>
      </c>
      <c r="M6481" s="10">
        <v>1</v>
      </c>
      <c r="N6481" s="10" t="s">
        <v>31703</v>
      </c>
      <c r="O6481" s="10"/>
      <c r="P6481" s="10" t="s">
        <v>31704</v>
      </c>
      <c r="Q6481" s="10">
        <v>607.12410904000001</v>
      </c>
      <c r="R6481" s="10" t="s">
        <v>31705</v>
      </c>
      <c r="S6481" s="10" t="s">
        <v>53</v>
      </c>
      <c r="T6481" s="10" t="s">
        <v>11508</v>
      </c>
    </row>
    <row r="6482" spans="1:20" ht="14.5" x14ac:dyDescent="0.35">
      <c r="A6482" s="10" t="s">
        <v>31706</v>
      </c>
      <c r="B6482" s="10" t="str">
        <f>"9780081003671"</f>
        <v>9780081003671</v>
      </c>
      <c r="C6482" s="10" t="str">
        <f>"9780081003756"</f>
        <v>9780081003756</v>
      </c>
      <c r="D6482" s="10" t="s">
        <v>8547</v>
      </c>
      <c r="E6482" s="10" t="s">
        <v>8548</v>
      </c>
      <c r="F6482" s="10" t="s">
        <v>1232</v>
      </c>
      <c r="G6482" s="10" t="s">
        <v>6352</v>
      </c>
      <c r="H6482" s="11">
        <v>42237</v>
      </c>
      <c r="I6482" s="10">
        <v>2015</v>
      </c>
      <c r="J6482" s="10" t="s">
        <v>27024</v>
      </c>
      <c r="K6482" s="10">
        <v>146</v>
      </c>
      <c r="L6482" s="10" t="s">
        <v>31707</v>
      </c>
      <c r="M6482" s="10">
        <v>1</v>
      </c>
      <c r="N6482" s="10"/>
      <c r="O6482" s="10"/>
      <c r="P6482" s="10"/>
      <c r="Q6482" s="10">
        <v>378.1</v>
      </c>
      <c r="R6482" s="10" t="s">
        <v>31708</v>
      </c>
      <c r="S6482" s="10" t="s">
        <v>53</v>
      </c>
      <c r="T6482" s="10" t="s">
        <v>54</v>
      </c>
    </row>
    <row r="6483" spans="1:20" ht="14.5" x14ac:dyDescent="0.35">
      <c r="A6483" s="10" t="s">
        <v>31709</v>
      </c>
      <c r="B6483" s="10" t="str">
        <f>"9781629584225"</f>
        <v>9781629584225</v>
      </c>
      <c r="C6483" s="10" t="str">
        <f>"9781629584249"</f>
        <v>9781629584249</v>
      </c>
      <c r="D6483" s="10" t="s">
        <v>6350</v>
      </c>
      <c r="E6483" s="10" t="s">
        <v>6351</v>
      </c>
      <c r="F6483" s="10" t="s">
        <v>18342</v>
      </c>
      <c r="G6483" s="10" t="s">
        <v>6317</v>
      </c>
      <c r="H6483" s="11">
        <v>37652</v>
      </c>
      <c r="I6483" s="10">
        <v>2002</v>
      </c>
      <c r="J6483" s="10" t="s">
        <v>6353</v>
      </c>
      <c r="K6483" s="10">
        <v>261</v>
      </c>
      <c r="L6483" s="10" t="s">
        <v>31710</v>
      </c>
      <c r="M6483" s="10">
        <v>1</v>
      </c>
      <c r="N6483" s="10"/>
      <c r="O6483" s="10"/>
      <c r="P6483" s="10" t="s">
        <v>31711</v>
      </c>
      <c r="Q6483" s="10">
        <v>142.69999999999999</v>
      </c>
      <c r="R6483" s="10" t="s">
        <v>31712</v>
      </c>
      <c r="S6483" s="10" t="s">
        <v>53</v>
      </c>
      <c r="T6483" s="10" t="s">
        <v>16827</v>
      </c>
    </row>
    <row r="6484" spans="1:20" ht="14.5" x14ac:dyDescent="0.35">
      <c r="A6484" s="10" t="s">
        <v>31713</v>
      </c>
      <c r="B6484" s="10" t="str">
        <f>"9781783205318"</f>
        <v>9781783205318</v>
      </c>
      <c r="C6484" s="10" t="str">
        <f>"9781783205325"</f>
        <v>9781783205325</v>
      </c>
      <c r="D6484" s="10" t="s">
        <v>9533</v>
      </c>
      <c r="E6484" s="10" t="s">
        <v>10235</v>
      </c>
      <c r="F6484" s="10" t="s">
        <v>10236</v>
      </c>
      <c r="G6484" s="10" t="s">
        <v>6352</v>
      </c>
      <c r="H6484" s="11">
        <v>42353</v>
      </c>
      <c r="I6484" s="10">
        <v>2015</v>
      </c>
      <c r="J6484" s="10" t="s">
        <v>10235</v>
      </c>
      <c r="K6484" s="10">
        <v>266</v>
      </c>
      <c r="L6484" s="10" t="s">
        <v>31714</v>
      </c>
      <c r="M6484" s="10">
        <v>1</v>
      </c>
      <c r="N6484" s="10" t="s">
        <v>8550</v>
      </c>
      <c r="O6484" s="10"/>
      <c r="P6484" s="10" t="s">
        <v>31715</v>
      </c>
      <c r="Q6484" s="10">
        <v>792.08299999999997</v>
      </c>
      <c r="R6484" s="10" t="s">
        <v>31716</v>
      </c>
      <c r="S6484" s="10" t="s">
        <v>53</v>
      </c>
      <c r="T6484" s="10" t="s">
        <v>6384</v>
      </c>
    </row>
    <row r="6485" spans="1:20" ht="14.5" x14ac:dyDescent="0.35">
      <c r="A6485" s="10" t="s">
        <v>31717</v>
      </c>
      <c r="B6485" s="10" t="str">
        <f>"9781573561297"</f>
        <v>9781573561297</v>
      </c>
      <c r="C6485" s="10" t="str">
        <f>"9780313097577"</f>
        <v>9780313097577</v>
      </c>
      <c r="D6485" s="10" t="s">
        <v>9777</v>
      </c>
      <c r="E6485" s="10" t="s">
        <v>9778</v>
      </c>
      <c r="F6485" s="10" t="s">
        <v>1366</v>
      </c>
      <c r="G6485" s="10" t="s">
        <v>6317</v>
      </c>
      <c r="H6485" s="11">
        <v>35643</v>
      </c>
      <c r="I6485" s="10">
        <v>1997</v>
      </c>
      <c r="J6485" s="10" t="s">
        <v>31718</v>
      </c>
      <c r="K6485" s="10">
        <v>338</v>
      </c>
      <c r="L6485" s="10" t="s">
        <v>31719</v>
      </c>
      <c r="M6485" s="10">
        <v>1</v>
      </c>
      <c r="N6485" s="10"/>
      <c r="O6485" s="10"/>
      <c r="P6485" s="10" t="s">
        <v>31720</v>
      </c>
      <c r="Q6485" s="10" t="s">
        <v>31721</v>
      </c>
      <c r="R6485" s="10" t="s">
        <v>31722</v>
      </c>
      <c r="S6485" s="10" t="s">
        <v>53</v>
      </c>
      <c r="T6485" s="10" t="s">
        <v>54</v>
      </c>
    </row>
    <row r="6486" spans="1:20" ht="14.5" x14ac:dyDescent="0.35">
      <c r="A6486" s="10" t="s">
        <v>31723</v>
      </c>
      <c r="B6486" s="10" t="str">
        <f>"9780897897051"</f>
        <v>9780897897051</v>
      </c>
      <c r="C6486" s="10" t="str">
        <f>"9780313001642"</f>
        <v>9780313001642</v>
      </c>
      <c r="D6486" s="10" t="s">
        <v>9777</v>
      </c>
      <c r="E6486" s="10" t="s">
        <v>9792</v>
      </c>
      <c r="F6486" s="10" t="s">
        <v>70</v>
      </c>
      <c r="G6486" s="10" t="s">
        <v>6317</v>
      </c>
      <c r="H6486" s="11">
        <v>36676</v>
      </c>
      <c r="I6486" s="10">
        <v>2000</v>
      </c>
      <c r="J6486" s="10" t="s">
        <v>9793</v>
      </c>
      <c r="K6486" s="10">
        <v>161</v>
      </c>
      <c r="L6486" s="10" t="s">
        <v>22413</v>
      </c>
      <c r="M6486" s="10">
        <v>1</v>
      </c>
      <c r="N6486" s="10"/>
      <c r="O6486" s="10"/>
      <c r="P6486" s="10" t="s">
        <v>31724</v>
      </c>
      <c r="Q6486" s="10">
        <v>370.19</v>
      </c>
      <c r="R6486" s="10" t="s">
        <v>31725</v>
      </c>
      <c r="S6486" s="10" t="s">
        <v>53</v>
      </c>
      <c r="T6486" s="10" t="s">
        <v>54</v>
      </c>
    </row>
    <row r="6487" spans="1:20" ht="14.5" x14ac:dyDescent="0.35">
      <c r="A6487" s="10" t="s">
        <v>31726</v>
      </c>
      <c r="B6487" s="10" t="str">
        <f>"9780897897280"</f>
        <v>9780897897280</v>
      </c>
      <c r="C6487" s="10" t="str">
        <f>"9780313004919"</f>
        <v>9780313004919</v>
      </c>
      <c r="D6487" s="10" t="s">
        <v>9777</v>
      </c>
      <c r="E6487" s="10" t="s">
        <v>9792</v>
      </c>
      <c r="F6487" s="10" t="s">
        <v>70</v>
      </c>
      <c r="G6487" s="10" t="s">
        <v>6317</v>
      </c>
      <c r="H6487" s="11">
        <v>36646</v>
      </c>
      <c r="I6487" s="10">
        <v>2000</v>
      </c>
      <c r="J6487" s="10" t="s">
        <v>9793</v>
      </c>
      <c r="K6487" s="10">
        <v>236</v>
      </c>
      <c r="L6487" s="10" t="s">
        <v>31727</v>
      </c>
      <c r="M6487" s="10">
        <v>1</v>
      </c>
      <c r="N6487" s="10"/>
      <c r="O6487" s="10"/>
      <c r="P6487" s="10"/>
      <c r="Q6487" s="10"/>
      <c r="R6487" s="10" t="s">
        <v>31728</v>
      </c>
      <c r="S6487" s="10" t="s">
        <v>53</v>
      </c>
      <c r="T6487" s="10" t="s">
        <v>7807</v>
      </c>
    </row>
    <row r="6488" spans="1:20" ht="14.5" x14ac:dyDescent="0.35">
      <c r="A6488" s="10" t="s">
        <v>31729</v>
      </c>
      <c r="B6488" s="10" t="str">
        <f>"9780897896894"</f>
        <v>9780897896894</v>
      </c>
      <c r="C6488" s="10" t="str">
        <f>"9780313001673"</f>
        <v>9780313001673</v>
      </c>
      <c r="D6488" s="10" t="s">
        <v>9777</v>
      </c>
      <c r="E6488" s="10" t="s">
        <v>9792</v>
      </c>
      <c r="F6488" s="10" t="s">
        <v>70</v>
      </c>
      <c r="G6488" s="10" t="s">
        <v>6317</v>
      </c>
      <c r="H6488" s="11">
        <v>36555</v>
      </c>
      <c r="I6488" s="10">
        <v>2000</v>
      </c>
      <c r="J6488" s="10" t="s">
        <v>9793</v>
      </c>
      <c r="K6488" s="10">
        <v>236</v>
      </c>
      <c r="L6488" s="10" t="s">
        <v>31730</v>
      </c>
      <c r="M6488" s="10">
        <v>1</v>
      </c>
      <c r="N6488" s="10"/>
      <c r="O6488" s="10"/>
      <c r="P6488" s="10" t="s">
        <v>31731</v>
      </c>
      <c r="Q6488" s="10" t="s">
        <v>31732</v>
      </c>
      <c r="R6488" s="10" t="s">
        <v>31733</v>
      </c>
      <c r="S6488" s="10" t="s">
        <v>53</v>
      </c>
      <c r="T6488" s="10" t="s">
        <v>54</v>
      </c>
    </row>
    <row r="6489" spans="1:20" ht="14.5" x14ac:dyDescent="0.35">
      <c r="A6489" s="10" t="s">
        <v>31734</v>
      </c>
      <c r="B6489" s="10" t="str">
        <f>"9780313314797"</f>
        <v>9780313314797</v>
      </c>
      <c r="C6489" s="10" t="str">
        <f>"9780313002113"</f>
        <v>9780313002113</v>
      </c>
      <c r="D6489" s="10" t="s">
        <v>9777</v>
      </c>
      <c r="E6489" s="10" t="s">
        <v>9792</v>
      </c>
      <c r="F6489" s="10" t="s">
        <v>70</v>
      </c>
      <c r="G6489" s="10" t="s">
        <v>6317</v>
      </c>
      <c r="H6489" s="11">
        <v>36799</v>
      </c>
      <c r="I6489" s="10">
        <v>2000</v>
      </c>
      <c r="J6489" s="10" t="s">
        <v>9793</v>
      </c>
      <c r="K6489" s="10">
        <v>248</v>
      </c>
      <c r="L6489" s="10" t="s">
        <v>31735</v>
      </c>
      <c r="M6489" s="10">
        <v>1</v>
      </c>
      <c r="N6489" s="10" t="s">
        <v>31736</v>
      </c>
      <c r="O6489" s="10"/>
      <c r="P6489" s="10" t="s">
        <v>31737</v>
      </c>
      <c r="Q6489" s="10" t="s">
        <v>31738</v>
      </c>
      <c r="R6489" s="10" t="s">
        <v>31739</v>
      </c>
      <c r="S6489" s="10" t="s">
        <v>53</v>
      </c>
      <c r="T6489" s="10" t="s">
        <v>54</v>
      </c>
    </row>
    <row r="6490" spans="1:20" ht="14.5" x14ac:dyDescent="0.35">
      <c r="A6490" s="10" t="s">
        <v>31740</v>
      </c>
      <c r="B6490" s="10" t="str">
        <f>"9780313311789"</f>
        <v>9780313311789</v>
      </c>
      <c r="C6490" s="10" t="str">
        <f>"9780313005169"</f>
        <v>9780313005169</v>
      </c>
      <c r="D6490" s="10" t="s">
        <v>9777</v>
      </c>
      <c r="E6490" s="10" t="s">
        <v>9792</v>
      </c>
      <c r="F6490" s="10" t="s">
        <v>70</v>
      </c>
      <c r="G6490" s="10" t="s">
        <v>6317</v>
      </c>
      <c r="H6490" s="11">
        <v>36829</v>
      </c>
      <c r="I6490" s="10">
        <v>2000</v>
      </c>
      <c r="J6490" s="10" t="s">
        <v>15850</v>
      </c>
      <c r="K6490" s="10">
        <v>269</v>
      </c>
      <c r="L6490" s="10" t="s">
        <v>31741</v>
      </c>
      <c r="M6490" s="10">
        <v>1</v>
      </c>
      <c r="N6490" s="10" t="s">
        <v>31742</v>
      </c>
      <c r="O6490" s="10"/>
      <c r="P6490" s="10"/>
      <c r="Q6490" s="10" t="s">
        <v>18070</v>
      </c>
      <c r="R6490" s="10" t="s">
        <v>31743</v>
      </c>
      <c r="S6490" s="10" t="s">
        <v>53</v>
      </c>
      <c r="T6490" s="10" t="s">
        <v>54</v>
      </c>
    </row>
    <row r="6491" spans="1:20" ht="14.5" x14ac:dyDescent="0.35">
      <c r="A6491" s="10" t="s">
        <v>31744</v>
      </c>
      <c r="B6491" s="10" t="str">
        <f>"9780897897136"</f>
        <v>9780897897136</v>
      </c>
      <c r="C6491" s="10" t="str">
        <f>"9780313002731"</f>
        <v>9780313002731</v>
      </c>
      <c r="D6491" s="10" t="s">
        <v>9777</v>
      </c>
      <c r="E6491" s="10" t="s">
        <v>9792</v>
      </c>
      <c r="F6491" s="10" t="s">
        <v>70</v>
      </c>
      <c r="G6491" s="10" t="s">
        <v>6317</v>
      </c>
      <c r="H6491" s="11">
        <v>36950</v>
      </c>
      <c r="I6491" s="10">
        <v>2001</v>
      </c>
      <c r="J6491" s="10" t="s">
        <v>9793</v>
      </c>
      <c r="K6491" s="10">
        <v>199</v>
      </c>
      <c r="L6491" s="10" t="s">
        <v>31745</v>
      </c>
      <c r="M6491" s="10">
        <v>1</v>
      </c>
      <c r="N6491" s="10"/>
      <c r="O6491" s="10"/>
      <c r="P6491" s="10" t="s">
        <v>31746</v>
      </c>
      <c r="Q6491" s="10">
        <v>378.68</v>
      </c>
      <c r="R6491" s="10" t="s">
        <v>31747</v>
      </c>
      <c r="S6491" s="10" t="s">
        <v>53</v>
      </c>
      <c r="T6491" s="10" t="s">
        <v>54</v>
      </c>
    </row>
    <row r="6492" spans="1:20" ht="14.5" x14ac:dyDescent="0.35">
      <c r="A6492" s="10" t="s">
        <v>31748</v>
      </c>
      <c r="B6492" s="10" t="str">
        <f>"9780897897037"</f>
        <v>9780897897037</v>
      </c>
      <c r="C6492" s="10" t="str">
        <f>"9780313002823"</f>
        <v>9780313002823</v>
      </c>
      <c r="D6492" s="10" t="s">
        <v>9777</v>
      </c>
      <c r="E6492" s="10" t="s">
        <v>9792</v>
      </c>
      <c r="F6492" s="10" t="s">
        <v>70</v>
      </c>
      <c r="G6492" s="10" t="s">
        <v>6317</v>
      </c>
      <c r="H6492" s="11">
        <v>36646</v>
      </c>
      <c r="I6492" s="10">
        <v>2000</v>
      </c>
      <c r="J6492" s="10" t="s">
        <v>9793</v>
      </c>
      <c r="K6492" s="10">
        <v>280</v>
      </c>
      <c r="L6492" s="10" t="s">
        <v>31749</v>
      </c>
      <c r="M6492" s="10">
        <v>1</v>
      </c>
      <c r="N6492" s="10"/>
      <c r="O6492" s="10"/>
      <c r="P6492" s="10"/>
      <c r="Q6492" s="10"/>
      <c r="R6492" s="10" t="s">
        <v>31750</v>
      </c>
      <c r="S6492" s="10" t="s">
        <v>53</v>
      </c>
      <c r="T6492" s="10" t="s">
        <v>54</v>
      </c>
    </row>
    <row r="6493" spans="1:20" ht="14.5" x14ac:dyDescent="0.35">
      <c r="A6493" s="10" t="s">
        <v>31751</v>
      </c>
      <c r="B6493" s="10" t="str">
        <f>"9781567505344"</f>
        <v>9781567505344</v>
      </c>
      <c r="C6493" s="10" t="str">
        <f>"9780313001130"</f>
        <v>9780313001130</v>
      </c>
      <c r="D6493" s="10" t="s">
        <v>9777</v>
      </c>
      <c r="E6493" s="10" t="s">
        <v>9792</v>
      </c>
      <c r="F6493" s="10" t="s">
        <v>70</v>
      </c>
      <c r="G6493" s="10" t="s">
        <v>6317</v>
      </c>
      <c r="H6493" s="11">
        <v>36737</v>
      </c>
      <c r="I6493" s="10">
        <v>2000</v>
      </c>
      <c r="J6493" s="10" t="s">
        <v>9793</v>
      </c>
      <c r="K6493" s="10">
        <v>289</v>
      </c>
      <c r="L6493" s="10" t="s">
        <v>31752</v>
      </c>
      <c r="M6493" s="10">
        <v>1</v>
      </c>
      <c r="N6493" s="10" t="s">
        <v>31753</v>
      </c>
      <c r="O6493" s="10"/>
      <c r="P6493" s="10" t="s">
        <v>31754</v>
      </c>
      <c r="Q6493" s="10">
        <v>510.71</v>
      </c>
      <c r="R6493" s="10" t="s">
        <v>21116</v>
      </c>
      <c r="S6493" s="10" t="s">
        <v>53</v>
      </c>
      <c r="T6493" s="10" t="s">
        <v>389</v>
      </c>
    </row>
    <row r="6494" spans="1:20" ht="14.5" x14ac:dyDescent="0.35">
      <c r="A6494" s="10" t="s">
        <v>31755</v>
      </c>
      <c r="B6494" s="10" t="str">
        <f>"9780313310256"</f>
        <v>9780313310256</v>
      </c>
      <c r="C6494" s="10" t="str">
        <f>"9780313032578"</f>
        <v>9780313032578</v>
      </c>
      <c r="D6494" s="10" t="s">
        <v>9777</v>
      </c>
      <c r="E6494" s="10" t="s">
        <v>9778</v>
      </c>
      <c r="F6494" s="10" t="s">
        <v>1366</v>
      </c>
      <c r="G6494" s="10" t="s">
        <v>6317</v>
      </c>
      <c r="H6494" s="11">
        <v>36739</v>
      </c>
      <c r="I6494" s="10">
        <v>2000</v>
      </c>
      <c r="J6494" s="10" t="s">
        <v>31718</v>
      </c>
      <c r="K6494" s="10">
        <v>205</v>
      </c>
      <c r="L6494" s="10" t="s">
        <v>31756</v>
      </c>
      <c r="M6494" s="10">
        <v>1</v>
      </c>
      <c r="N6494" s="10"/>
      <c r="O6494" s="10"/>
      <c r="P6494" s="10" t="s">
        <v>31757</v>
      </c>
      <c r="Q6494" s="10">
        <v>27.8</v>
      </c>
      <c r="R6494" s="10" t="s">
        <v>31758</v>
      </c>
      <c r="S6494" s="10" t="s">
        <v>53</v>
      </c>
      <c r="T6494" s="10" t="s">
        <v>10302</v>
      </c>
    </row>
    <row r="6495" spans="1:20" ht="14.5" x14ac:dyDescent="0.35">
      <c r="A6495" s="10" t="s">
        <v>31759</v>
      </c>
      <c r="B6495" s="10" t="str">
        <f>"9781567506525"</f>
        <v>9781567506525</v>
      </c>
      <c r="C6495" s="10" t="str">
        <f>"9780313016035"</f>
        <v>9780313016035</v>
      </c>
      <c r="D6495" s="10" t="s">
        <v>9777</v>
      </c>
      <c r="E6495" s="10" t="s">
        <v>9778</v>
      </c>
      <c r="F6495" s="10" t="s">
        <v>1366</v>
      </c>
      <c r="G6495" s="10" t="s">
        <v>6317</v>
      </c>
      <c r="H6495" s="11">
        <v>37196</v>
      </c>
      <c r="I6495" s="10">
        <v>2002</v>
      </c>
      <c r="J6495" s="10" t="s">
        <v>31718</v>
      </c>
      <c r="K6495" s="10">
        <v>244</v>
      </c>
      <c r="L6495" s="10" t="s">
        <v>31760</v>
      </c>
      <c r="M6495" s="10">
        <v>1</v>
      </c>
      <c r="N6495" s="10"/>
      <c r="O6495" s="10"/>
      <c r="P6495" s="10" t="s">
        <v>31761</v>
      </c>
      <c r="Q6495" s="10" t="s">
        <v>31762</v>
      </c>
      <c r="R6495" s="10" t="s">
        <v>31763</v>
      </c>
      <c r="S6495" s="10" t="s">
        <v>53</v>
      </c>
      <c r="T6495" s="10" t="s">
        <v>389</v>
      </c>
    </row>
    <row r="6496" spans="1:20" ht="14.5" x14ac:dyDescent="0.35">
      <c r="A6496" s="10" t="s">
        <v>31764</v>
      </c>
      <c r="B6496" s="10" t="str">
        <f>"9780897898348"</f>
        <v>9780897898348</v>
      </c>
      <c r="C6496" s="10" t="str">
        <f>"9780313075681"</f>
        <v>9780313075681</v>
      </c>
      <c r="D6496" s="10" t="s">
        <v>9777</v>
      </c>
      <c r="E6496" s="10" t="s">
        <v>9792</v>
      </c>
      <c r="F6496" s="10" t="s">
        <v>70</v>
      </c>
      <c r="G6496" s="10" t="s">
        <v>6317</v>
      </c>
      <c r="H6496" s="11">
        <v>37225</v>
      </c>
      <c r="I6496" s="10">
        <v>2001</v>
      </c>
      <c r="J6496" s="10" t="s">
        <v>9793</v>
      </c>
      <c r="K6496" s="10">
        <v>172</v>
      </c>
      <c r="L6496" s="10" t="s">
        <v>31765</v>
      </c>
      <c r="M6496" s="10">
        <v>1</v>
      </c>
      <c r="N6496" s="10"/>
      <c r="O6496" s="10"/>
      <c r="P6496" s="10" t="s">
        <v>31766</v>
      </c>
      <c r="Q6496" s="10" t="s">
        <v>31767</v>
      </c>
      <c r="R6496" s="10" t="s">
        <v>31000</v>
      </c>
      <c r="S6496" s="10" t="s">
        <v>53</v>
      </c>
      <c r="T6496" s="10" t="s">
        <v>54</v>
      </c>
    </row>
    <row r="6497" spans="1:20" ht="14.5" x14ac:dyDescent="0.35">
      <c r="A6497" s="10" t="s">
        <v>31768</v>
      </c>
      <c r="B6497" s="10" t="str">
        <f>"9780313319471"</f>
        <v>9780313319471</v>
      </c>
      <c r="C6497" s="10" t="str">
        <f>"9780313074073"</f>
        <v>9780313074073</v>
      </c>
      <c r="D6497" s="10" t="s">
        <v>9777</v>
      </c>
      <c r="E6497" s="10" t="s">
        <v>9778</v>
      </c>
      <c r="F6497" s="10" t="s">
        <v>1366</v>
      </c>
      <c r="G6497" s="10" t="s">
        <v>6317</v>
      </c>
      <c r="H6497" s="11">
        <v>37196</v>
      </c>
      <c r="I6497" s="10">
        <v>2002</v>
      </c>
      <c r="J6497" s="10" t="s">
        <v>31718</v>
      </c>
      <c r="K6497" s="10">
        <v>169</v>
      </c>
      <c r="L6497" s="10" t="s">
        <v>31769</v>
      </c>
      <c r="M6497" s="10">
        <v>1</v>
      </c>
      <c r="N6497" s="10"/>
      <c r="O6497" s="10"/>
      <c r="P6497" s="10" t="s">
        <v>31770</v>
      </c>
      <c r="Q6497" s="10" t="s">
        <v>31771</v>
      </c>
      <c r="R6497" s="10" t="s">
        <v>31772</v>
      </c>
      <c r="S6497" s="10" t="s">
        <v>53</v>
      </c>
      <c r="T6497" s="10" t="s">
        <v>54</v>
      </c>
    </row>
    <row r="6498" spans="1:20" ht="14.5" x14ac:dyDescent="0.35">
      <c r="A6498" s="10" t="s">
        <v>31773</v>
      </c>
      <c r="B6498" s="10" t="str">
        <f>"9780313313417"</f>
        <v>9780313313417</v>
      </c>
      <c r="C6498" s="10" t="str">
        <f>"9780313074622"</f>
        <v>9780313074622</v>
      </c>
      <c r="D6498" s="10" t="s">
        <v>9777</v>
      </c>
      <c r="E6498" s="10" t="s">
        <v>9792</v>
      </c>
      <c r="F6498" s="10" t="s">
        <v>70</v>
      </c>
      <c r="G6498" s="10" t="s">
        <v>6317</v>
      </c>
      <c r="H6498" s="11">
        <v>37164</v>
      </c>
      <c r="I6498" s="10">
        <v>2001</v>
      </c>
      <c r="J6498" s="10" t="s">
        <v>9792</v>
      </c>
      <c r="K6498" s="10">
        <v>331</v>
      </c>
      <c r="L6498" s="10" t="s">
        <v>31774</v>
      </c>
      <c r="M6498" s="10">
        <v>1</v>
      </c>
      <c r="N6498" s="10" t="s">
        <v>31742</v>
      </c>
      <c r="O6498" s="10"/>
      <c r="P6498" s="10" t="s">
        <v>31775</v>
      </c>
      <c r="Q6498" s="10" t="s">
        <v>9091</v>
      </c>
      <c r="R6498" s="10" t="s">
        <v>31776</v>
      </c>
      <c r="S6498" s="10" t="s">
        <v>53</v>
      </c>
      <c r="T6498" s="10" t="s">
        <v>54</v>
      </c>
    </row>
    <row r="6499" spans="1:20" ht="14.5" x14ac:dyDescent="0.35">
      <c r="A6499" s="10" t="s">
        <v>31777</v>
      </c>
      <c r="B6499" s="10" t="str">
        <f>"9780897897501"</f>
        <v>9780897897501</v>
      </c>
      <c r="C6499" s="10" t="str">
        <f>"9781567509564"</f>
        <v>9781567509564</v>
      </c>
      <c r="D6499" s="10" t="s">
        <v>9777</v>
      </c>
      <c r="E6499" s="10" t="s">
        <v>9778</v>
      </c>
      <c r="F6499" s="10" t="s">
        <v>1366</v>
      </c>
      <c r="G6499" s="10" t="s">
        <v>6317</v>
      </c>
      <c r="H6499" s="11">
        <v>36800</v>
      </c>
      <c r="I6499" s="10">
        <v>2001</v>
      </c>
      <c r="J6499" s="10" t="s">
        <v>31718</v>
      </c>
      <c r="K6499" s="10">
        <v>235</v>
      </c>
      <c r="L6499" s="10" t="s">
        <v>31778</v>
      </c>
      <c r="M6499" s="10">
        <v>1</v>
      </c>
      <c r="N6499" s="10"/>
      <c r="O6499" s="10"/>
      <c r="P6499" s="10" t="s">
        <v>31779</v>
      </c>
      <c r="Q6499" s="10" t="s">
        <v>9522</v>
      </c>
      <c r="R6499" s="10" t="s">
        <v>31780</v>
      </c>
      <c r="S6499" s="10" t="s">
        <v>53</v>
      </c>
      <c r="T6499" s="10" t="s">
        <v>6616</v>
      </c>
    </row>
    <row r="6500" spans="1:20" ht="14.5" x14ac:dyDescent="0.35">
      <c r="A6500" s="10" t="s">
        <v>31781</v>
      </c>
      <c r="B6500" s="10" t="str">
        <f>"9780313313363"</f>
        <v>9780313313363</v>
      </c>
      <c r="C6500" s="10" t="str">
        <f>"9781567509229"</f>
        <v>9781567509229</v>
      </c>
      <c r="D6500" s="10" t="s">
        <v>9777</v>
      </c>
      <c r="E6500" s="10" t="s">
        <v>9778</v>
      </c>
      <c r="F6500" s="10" t="s">
        <v>1366</v>
      </c>
      <c r="G6500" s="10" t="s">
        <v>6317</v>
      </c>
      <c r="H6500" s="11">
        <v>37196</v>
      </c>
      <c r="I6500" s="10">
        <v>2002</v>
      </c>
      <c r="J6500" s="10" t="s">
        <v>31718</v>
      </c>
      <c r="K6500" s="10">
        <v>207</v>
      </c>
      <c r="L6500" s="10" t="s">
        <v>31782</v>
      </c>
      <c r="M6500" s="10">
        <v>1</v>
      </c>
      <c r="N6500" s="10"/>
      <c r="O6500" s="10"/>
      <c r="P6500" s="10" t="s">
        <v>31783</v>
      </c>
      <c r="Q6500" s="10" t="s">
        <v>31784</v>
      </c>
      <c r="R6500" s="10" t="s">
        <v>31785</v>
      </c>
      <c r="S6500" s="10" t="s">
        <v>53</v>
      </c>
      <c r="T6500" s="10" t="s">
        <v>1166</v>
      </c>
    </row>
    <row r="6501" spans="1:20" ht="14.5" x14ac:dyDescent="0.35">
      <c r="A6501" s="10" t="s">
        <v>31786</v>
      </c>
      <c r="B6501" s="10" t="str">
        <f>"9780275969097"</f>
        <v>9780275969097</v>
      </c>
      <c r="C6501" s="10" t="str">
        <f>"9780313095771"</f>
        <v>9780313095771</v>
      </c>
      <c r="D6501" s="10" t="s">
        <v>9777</v>
      </c>
      <c r="E6501" s="10" t="s">
        <v>9778</v>
      </c>
      <c r="F6501" s="10" t="s">
        <v>1366</v>
      </c>
      <c r="G6501" s="10" t="s">
        <v>6317</v>
      </c>
      <c r="H6501" s="11">
        <v>36831</v>
      </c>
      <c r="I6501" s="10">
        <v>2001</v>
      </c>
      <c r="J6501" s="10" t="s">
        <v>31718</v>
      </c>
      <c r="K6501" s="10">
        <v>280</v>
      </c>
      <c r="L6501" s="10" t="s">
        <v>31787</v>
      </c>
      <c r="M6501" s="10">
        <v>1</v>
      </c>
      <c r="N6501" s="10"/>
      <c r="O6501" s="10"/>
      <c r="P6501" s="10" t="s">
        <v>31788</v>
      </c>
      <c r="Q6501" s="10" t="s">
        <v>16056</v>
      </c>
      <c r="R6501" s="10" t="s">
        <v>31789</v>
      </c>
      <c r="S6501" s="10" t="s">
        <v>53</v>
      </c>
      <c r="T6501" s="10" t="s">
        <v>54</v>
      </c>
    </row>
    <row r="6502" spans="1:20" ht="14.5" x14ac:dyDescent="0.35">
      <c r="A6502" s="10" t="s">
        <v>31790</v>
      </c>
      <c r="B6502" s="10" t="str">
        <f>"9780313313929"</f>
        <v>9780313313929</v>
      </c>
      <c r="C6502" s="10" t="str">
        <f>"9780313016752"</f>
        <v>9780313016752</v>
      </c>
      <c r="D6502" s="10" t="s">
        <v>9777</v>
      </c>
      <c r="E6502" s="10" t="s">
        <v>9792</v>
      </c>
      <c r="F6502" s="10" t="s">
        <v>70</v>
      </c>
      <c r="G6502" s="10" t="s">
        <v>6317</v>
      </c>
      <c r="H6502" s="11">
        <v>37225</v>
      </c>
      <c r="I6502" s="10">
        <v>2002</v>
      </c>
      <c r="J6502" s="10" t="s">
        <v>15850</v>
      </c>
      <c r="K6502" s="10">
        <v>177</v>
      </c>
      <c r="L6502" s="10" t="s">
        <v>31791</v>
      </c>
      <c r="M6502" s="10">
        <v>1</v>
      </c>
      <c r="N6502" s="10"/>
      <c r="O6502" s="10"/>
      <c r="P6502" s="10" t="s">
        <v>31792</v>
      </c>
      <c r="Q6502" s="10" t="s">
        <v>31793</v>
      </c>
      <c r="R6502" s="10" t="s">
        <v>31794</v>
      </c>
      <c r="S6502" s="10" t="s">
        <v>53</v>
      </c>
      <c r="T6502" s="10" t="s">
        <v>6384</v>
      </c>
    </row>
    <row r="6503" spans="1:20" ht="14.5" x14ac:dyDescent="0.35">
      <c r="A6503" s="10" t="s">
        <v>31795</v>
      </c>
      <c r="B6503" s="10" t="str">
        <f>"9780897897778"</f>
        <v>9780897897778</v>
      </c>
      <c r="C6503" s="10" t="str">
        <f>"9780313074042"</f>
        <v>9780313074042</v>
      </c>
      <c r="D6503" s="10" t="s">
        <v>9777</v>
      </c>
      <c r="E6503" s="10" t="s">
        <v>9792</v>
      </c>
      <c r="F6503" s="10" t="s">
        <v>70</v>
      </c>
      <c r="G6503" s="10" t="s">
        <v>6317</v>
      </c>
      <c r="H6503" s="11">
        <v>37041</v>
      </c>
      <c r="I6503" s="10">
        <v>2001</v>
      </c>
      <c r="J6503" s="10" t="s">
        <v>9793</v>
      </c>
      <c r="K6503" s="10">
        <v>206</v>
      </c>
      <c r="L6503" s="10" t="s">
        <v>31796</v>
      </c>
      <c r="M6503" s="10">
        <v>1</v>
      </c>
      <c r="N6503" s="10"/>
      <c r="O6503" s="10"/>
      <c r="P6503" s="10" t="s">
        <v>31797</v>
      </c>
      <c r="Q6503" s="10" t="s">
        <v>31798</v>
      </c>
      <c r="R6503" s="10" t="s">
        <v>31799</v>
      </c>
      <c r="S6503" s="10" t="s">
        <v>53</v>
      </c>
      <c r="T6503" s="10" t="s">
        <v>6472</v>
      </c>
    </row>
    <row r="6504" spans="1:20" ht="14.5" x14ac:dyDescent="0.35">
      <c r="A6504" s="10" t="s">
        <v>31800</v>
      </c>
      <c r="B6504" s="10" t="str">
        <f>"9780897898058"</f>
        <v>9780897898058</v>
      </c>
      <c r="C6504" s="10" t="str">
        <f>"9780313073564"</f>
        <v>9780313073564</v>
      </c>
      <c r="D6504" s="10" t="s">
        <v>9777</v>
      </c>
      <c r="E6504" s="10" t="s">
        <v>9792</v>
      </c>
      <c r="F6504" s="10" t="s">
        <v>70</v>
      </c>
      <c r="G6504" s="10" t="s">
        <v>6317</v>
      </c>
      <c r="H6504" s="11">
        <v>37225</v>
      </c>
      <c r="I6504" s="10">
        <v>2001</v>
      </c>
      <c r="J6504" s="10" t="s">
        <v>9793</v>
      </c>
      <c r="K6504" s="10">
        <v>152</v>
      </c>
      <c r="L6504" s="10" t="s">
        <v>31801</v>
      </c>
      <c r="M6504" s="10">
        <v>1</v>
      </c>
      <c r="N6504" s="10"/>
      <c r="O6504" s="10"/>
      <c r="P6504" s="10" t="s">
        <v>31802</v>
      </c>
      <c r="Q6504" s="10">
        <v>306</v>
      </c>
      <c r="R6504" s="10" t="s">
        <v>31803</v>
      </c>
      <c r="S6504" s="10" t="s">
        <v>53</v>
      </c>
      <c r="T6504" s="10" t="s">
        <v>6363</v>
      </c>
    </row>
    <row r="6505" spans="1:20" ht="14.5" x14ac:dyDescent="0.35">
      <c r="A6505" s="10" t="s">
        <v>31804</v>
      </c>
      <c r="B6505" s="10" t="str">
        <f>"9780897897709"</f>
        <v>9780897897709</v>
      </c>
      <c r="C6505" s="10" t="str">
        <f>"9780313004131"</f>
        <v>9780313004131</v>
      </c>
      <c r="D6505" s="10" t="s">
        <v>9777</v>
      </c>
      <c r="E6505" s="10" t="s">
        <v>9778</v>
      </c>
      <c r="F6505" s="10" t="s">
        <v>1366</v>
      </c>
      <c r="G6505" s="10" t="s">
        <v>6317</v>
      </c>
      <c r="H6505" s="11">
        <v>37196</v>
      </c>
      <c r="I6505" s="10">
        <v>2002</v>
      </c>
      <c r="J6505" s="10" t="s">
        <v>31718</v>
      </c>
      <c r="K6505" s="10">
        <v>291</v>
      </c>
      <c r="L6505" s="10" t="s">
        <v>16291</v>
      </c>
      <c r="M6505" s="10">
        <v>1</v>
      </c>
      <c r="N6505" s="10"/>
      <c r="O6505" s="10"/>
      <c r="P6505" s="10" t="s">
        <v>31805</v>
      </c>
      <c r="Q6505" s="10" t="s">
        <v>31806</v>
      </c>
      <c r="R6505" s="10" t="s">
        <v>31807</v>
      </c>
      <c r="S6505" s="10" t="s">
        <v>53</v>
      </c>
      <c r="T6505" s="10" t="s">
        <v>54</v>
      </c>
    </row>
    <row r="6506" spans="1:20" ht="14.5" x14ac:dyDescent="0.35">
      <c r="A6506" s="10" t="s">
        <v>31808</v>
      </c>
      <c r="B6506" s="10" t="str">
        <f>"9780897896245"</f>
        <v>9780897896245</v>
      </c>
      <c r="C6506" s="10" t="str">
        <f>"9780313001260"</f>
        <v>9780313001260</v>
      </c>
      <c r="D6506" s="10" t="s">
        <v>9777</v>
      </c>
      <c r="E6506" s="10" t="s">
        <v>9792</v>
      </c>
      <c r="F6506" s="10" t="s">
        <v>70</v>
      </c>
      <c r="G6506" s="10" t="s">
        <v>6317</v>
      </c>
      <c r="H6506" s="11">
        <v>36555</v>
      </c>
      <c r="I6506" s="10">
        <v>2000</v>
      </c>
      <c r="J6506" s="10" t="s">
        <v>9793</v>
      </c>
      <c r="K6506" s="10">
        <v>311</v>
      </c>
      <c r="L6506" s="10" t="s">
        <v>31809</v>
      </c>
      <c r="M6506" s="10">
        <v>1</v>
      </c>
      <c r="N6506" s="10"/>
      <c r="O6506" s="10"/>
      <c r="P6506" s="10" t="s">
        <v>31810</v>
      </c>
      <c r="Q6506" s="10"/>
      <c r="R6506" s="10" t="s">
        <v>31811</v>
      </c>
      <c r="S6506" s="10" t="s">
        <v>53</v>
      </c>
      <c r="T6506" s="10" t="s">
        <v>54</v>
      </c>
    </row>
    <row r="6507" spans="1:20" ht="14.5" x14ac:dyDescent="0.35">
      <c r="A6507" s="10" t="s">
        <v>31812</v>
      </c>
      <c r="B6507" s="10" t="str">
        <f>"9780313312267"</f>
        <v>9780313312267</v>
      </c>
      <c r="C6507" s="10" t="str">
        <f>"9780313005411"</f>
        <v>9780313005411</v>
      </c>
      <c r="D6507" s="10" t="s">
        <v>9777</v>
      </c>
      <c r="E6507" s="10" t="s">
        <v>9792</v>
      </c>
      <c r="F6507" s="10" t="s">
        <v>70</v>
      </c>
      <c r="G6507" s="10" t="s">
        <v>6317</v>
      </c>
      <c r="H6507" s="11">
        <v>36707</v>
      </c>
      <c r="I6507" s="10">
        <v>2000</v>
      </c>
      <c r="J6507" s="10" t="s">
        <v>15850</v>
      </c>
      <c r="K6507" s="10">
        <v>426</v>
      </c>
      <c r="L6507" s="10" t="s">
        <v>31813</v>
      </c>
      <c r="M6507" s="10">
        <v>1</v>
      </c>
      <c r="N6507" s="10" t="s">
        <v>31742</v>
      </c>
      <c r="O6507" s="10"/>
      <c r="P6507" s="10"/>
      <c r="Q6507" s="10" t="s">
        <v>31814</v>
      </c>
      <c r="R6507" s="10" t="s">
        <v>12537</v>
      </c>
      <c r="S6507" s="10" t="s">
        <v>53</v>
      </c>
      <c r="T6507" s="10" t="s">
        <v>54</v>
      </c>
    </row>
    <row r="6508" spans="1:20" ht="14.5" x14ac:dyDescent="0.35">
      <c r="A6508" s="10" t="s">
        <v>31815</v>
      </c>
      <c r="B6508" s="10" t="str">
        <f>"9780897896900"</f>
        <v>9780897896900</v>
      </c>
      <c r="C6508" s="10" t="str">
        <f>"9780313003783"</f>
        <v>9780313003783</v>
      </c>
      <c r="D6508" s="10" t="s">
        <v>9777</v>
      </c>
      <c r="E6508" s="10" t="s">
        <v>9792</v>
      </c>
      <c r="F6508" s="10" t="s">
        <v>70</v>
      </c>
      <c r="G6508" s="10" t="s">
        <v>6317</v>
      </c>
      <c r="H6508" s="11">
        <v>36707</v>
      </c>
      <c r="I6508" s="10">
        <v>2000</v>
      </c>
      <c r="J6508" s="10" t="s">
        <v>9793</v>
      </c>
      <c r="K6508" s="10">
        <v>253</v>
      </c>
      <c r="L6508" s="10" t="s">
        <v>31816</v>
      </c>
      <c r="M6508" s="10">
        <v>1</v>
      </c>
      <c r="N6508" s="10" t="s">
        <v>10207</v>
      </c>
      <c r="O6508" s="10"/>
      <c r="P6508" s="10"/>
      <c r="Q6508" s="10" t="s">
        <v>7335</v>
      </c>
      <c r="R6508" s="10" t="s">
        <v>31817</v>
      </c>
      <c r="S6508" s="10" t="s">
        <v>53</v>
      </c>
      <c r="T6508" s="10" t="s">
        <v>54</v>
      </c>
    </row>
    <row r="6509" spans="1:20" ht="14.5" x14ac:dyDescent="0.35">
      <c r="A6509" s="10" t="s">
        <v>31818</v>
      </c>
      <c r="B6509" s="10" t="str">
        <f>"9780313299063"</f>
        <v>9780313299063</v>
      </c>
      <c r="C6509" s="10" t="str">
        <f>"9780313005794"</f>
        <v>9780313005794</v>
      </c>
      <c r="D6509" s="10" t="s">
        <v>9777</v>
      </c>
      <c r="E6509" s="10" t="s">
        <v>9778</v>
      </c>
      <c r="F6509" s="10" t="s">
        <v>1366</v>
      </c>
      <c r="G6509" s="10" t="s">
        <v>6317</v>
      </c>
      <c r="H6509" s="11">
        <v>36708</v>
      </c>
      <c r="I6509" s="10">
        <v>2000</v>
      </c>
      <c r="J6509" s="10" t="s">
        <v>31718</v>
      </c>
      <c r="K6509" s="10">
        <v>184</v>
      </c>
      <c r="L6509" s="10" t="s">
        <v>31819</v>
      </c>
      <c r="M6509" s="10">
        <v>1</v>
      </c>
      <c r="N6509" s="10"/>
      <c r="O6509" s="10"/>
      <c r="P6509" s="10" t="s">
        <v>31820</v>
      </c>
      <c r="Q6509" s="10" t="s">
        <v>31821</v>
      </c>
      <c r="R6509" s="10" t="s">
        <v>31822</v>
      </c>
      <c r="S6509" s="10" t="s">
        <v>53</v>
      </c>
      <c r="T6509" s="10" t="s">
        <v>54</v>
      </c>
    </row>
    <row r="6510" spans="1:20" ht="14.5" x14ac:dyDescent="0.35">
      <c r="A6510" s="10" t="s">
        <v>31823</v>
      </c>
      <c r="B6510" s="10" t="str">
        <f>"9780313318283"</f>
        <v>9780313318283</v>
      </c>
      <c r="C6510" s="10" t="str">
        <f>"9780313074097"</f>
        <v>9780313074097</v>
      </c>
      <c r="D6510" s="10" t="s">
        <v>9777</v>
      </c>
      <c r="E6510" s="10" t="s">
        <v>9792</v>
      </c>
      <c r="F6510" s="10" t="s">
        <v>70</v>
      </c>
      <c r="G6510" s="10" t="s">
        <v>6317</v>
      </c>
      <c r="H6510" s="11">
        <v>37133</v>
      </c>
      <c r="I6510" s="10">
        <v>2001</v>
      </c>
      <c r="J6510" s="10" t="s">
        <v>9793</v>
      </c>
      <c r="K6510" s="10">
        <v>343</v>
      </c>
      <c r="L6510" s="10" t="s">
        <v>31824</v>
      </c>
      <c r="M6510" s="10">
        <v>1</v>
      </c>
      <c r="N6510" s="10" t="s">
        <v>15823</v>
      </c>
      <c r="O6510" s="10"/>
      <c r="P6510" s="10" t="s">
        <v>31825</v>
      </c>
      <c r="Q6510" s="10" t="s">
        <v>31826</v>
      </c>
      <c r="R6510" s="10" t="s">
        <v>31827</v>
      </c>
      <c r="S6510" s="10" t="s">
        <v>53</v>
      </c>
      <c r="T6510" s="10" t="s">
        <v>54</v>
      </c>
    </row>
    <row r="6511" spans="1:20" ht="14.5" x14ac:dyDescent="0.35">
      <c r="A6511" s="10" t="s">
        <v>31828</v>
      </c>
      <c r="B6511" s="10" t="str">
        <f>"9780897896009"</f>
        <v>9780897896009</v>
      </c>
      <c r="C6511" s="10" t="str">
        <f>"9780313002892"</f>
        <v>9780313002892</v>
      </c>
      <c r="D6511" s="10" t="s">
        <v>9777</v>
      </c>
      <c r="E6511" s="10" t="s">
        <v>9792</v>
      </c>
      <c r="F6511" s="10" t="s">
        <v>70</v>
      </c>
      <c r="G6511" s="10" t="s">
        <v>6317</v>
      </c>
      <c r="H6511" s="11">
        <v>37072</v>
      </c>
      <c r="I6511" s="10">
        <v>2001</v>
      </c>
      <c r="J6511" s="10" t="s">
        <v>9793</v>
      </c>
      <c r="K6511" s="10">
        <v>376</v>
      </c>
      <c r="L6511" s="10" t="s">
        <v>31829</v>
      </c>
      <c r="M6511" s="10">
        <v>1</v>
      </c>
      <c r="N6511" s="10"/>
      <c r="O6511" s="10"/>
      <c r="P6511" s="10" t="s">
        <v>31830</v>
      </c>
      <c r="Q6511" s="10" t="s">
        <v>31831</v>
      </c>
      <c r="R6511" s="10" t="s">
        <v>31832</v>
      </c>
      <c r="S6511" s="10" t="s">
        <v>53</v>
      </c>
      <c r="T6511" s="10" t="s">
        <v>54</v>
      </c>
    </row>
    <row r="6512" spans="1:20" ht="14.5" x14ac:dyDescent="0.35">
      <c r="A6512" s="10" t="s">
        <v>31833</v>
      </c>
      <c r="B6512" s="10" t="str">
        <f>"9781567506693"</f>
        <v>9781567506693</v>
      </c>
      <c r="C6512" s="10" t="str">
        <f>"9780313010521"</f>
        <v>9780313010521</v>
      </c>
      <c r="D6512" s="10" t="s">
        <v>9777</v>
      </c>
      <c r="E6512" s="10" t="s">
        <v>9792</v>
      </c>
      <c r="F6512" s="10" t="s">
        <v>70</v>
      </c>
      <c r="G6512" s="10" t="s">
        <v>6317</v>
      </c>
      <c r="H6512" s="11">
        <v>37376</v>
      </c>
      <c r="I6512" s="10">
        <v>2002</v>
      </c>
      <c r="J6512" s="10" t="s">
        <v>9793</v>
      </c>
      <c r="K6512" s="10">
        <v>198</v>
      </c>
      <c r="L6512" s="10" t="s">
        <v>31834</v>
      </c>
      <c r="M6512" s="10">
        <v>1</v>
      </c>
      <c r="N6512" s="10" t="s">
        <v>31835</v>
      </c>
      <c r="O6512" s="10"/>
      <c r="P6512" s="10" t="s">
        <v>31836</v>
      </c>
      <c r="Q6512" s="10" t="s">
        <v>31837</v>
      </c>
      <c r="R6512" s="10" t="s">
        <v>31838</v>
      </c>
      <c r="S6512" s="10" t="s">
        <v>53</v>
      </c>
      <c r="T6512" s="10" t="s">
        <v>54</v>
      </c>
    </row>
    <row r="6513" spans="1:20" ht="14.5" x14ac:dyDescent="0.35">
      <c r="A6513" s="10" t="s">
        <v>31839</v>
      </c>
      <c r="B6513" s="10" t="str">
        <f>"9780313320163"</f>
        <v>9780313320163</v>
      </c>
      <c r="C6513" s="10" t="str">
        <f>"9780313011023"</f>
        <v>9780313011023</v>
      </c>
      <c r="D6513" s="10" t="s">
        <v>9777</v>
      </c>
      <c r="E6513" s="10" t="s">
        <v>9792</v>
      </c>
      <c r="F6513" s="10" t="s">
        <v>70</v>
      </c>
      <c r="G6513" s="10" t="s">
        <v>6317</v>
      </c>
      <c r="H6513" s="11">
        <v>37376</v>
      </c>
      <c r="I6513" s="10">
        <v>2002</v>
      </c>
      <c r="J6513" s="10" t="s">
        <v>9793</v>
      </c>
      <c r="K6513" s="10">
        <v>289</v>
      </c>
      <c r="L6513" s="10" t="s">
        <v>31840</v>
      </c>
      <c r="M6513" s="10">
        <v>1</v>
      </c>
      <c r="N6513" s="10" t="s">
        <v>15823</v>
      </c>
      <c r="O6513" s="10"/>
      <c r="P6513" s="10" t="s">
        <v>31841</v>
      </c>
      <c r="Q6513" s="10" t="s">
        <v>31842</v>
      </c>
      <c r="R6513" s="10" t="s">
        <v>31843</v>
      </c>
      <c r="S6513" s="10" t="s">
        <v>53</v>
      </c>
      <c r="T6513" s="10" t="s">
        <v>54</v>
      </c>
    </row>
    <row r="6514" spans="1:20" ht="14.5" x14ac:dyDescent="0.35">
      <c r="A6514" s="10" t="s">
        <v>31844</v>
      </c>
      <c r="B6514" s="10" t="str">
        <f>"9780897897198"</f>
        <v>9780897897198</v>
      </c>
      <c r="C6514" s="10" t="str">
        <f>"9780313004056"</f>
        <v>9780313004056</v>
      </c>
      <c r="D6514" s="10" t="s">
        <v>9777</v>
      </c>
      <c r="E6514" s="10" t="s">
        <v>9792</v>
      </c>
      <c r="F6514" s="10" t="s">
        <v>70</v>
      </c>
      <c r="G6514" s="10" t="s">
        <v>6317</v>
      </c>
      <c r="H6514" s="11">
        <v>37286</v>
      </c>
      <c r="I6514" s="10">
        <v>2002</v>
      </c>
      <c r="J6514" s="10" t="s">
        <v>9793</v>
      </c>
      <c r="K6514" s="10">
        <v>209</v>
      </c>
      <c r="L6514" s="10" t="s">
        <v>15840</v>
      </c>
      <c r="M6514" s="10">
        <v>1</v>
      </c>
      <c r="N6514" s="10" t="s">
        <v>31845</v>
      </c>
      <c r="O6514" s="10"/>
      <c r="P6514" s="10" t="s">
        <v>31846</v>
      </c>
      <c r="Q6514" s="10" t="s">
        <v>31847</v>
      </c>
      <c r="R6514" s="10" t="s">
        <v>31848</v>
      </c>
      <c r="S6514" s="10" t="s">
        <v>53</v>
      </c>
      <c r="T6514" s="10" t="s">
        <v>6634</v>
      </c>
    </row>
    <row r="6515" spans="1:20" ht="14.5" x14ac:dyDescent="0.35">
      <c r="A6515" s="10" t="s">
        <v>31849</v>
      </c>
      <c r="B6515" s="10" t="str">
        <f>"9780313320965"</f>
        <v>9780313320965</v>
      </c>
      <c r="C6515" s="10" t="str">
        <f>"9780313011047"</f>
        <v>9780313011047</v>
      </c>
      <c r="D6515" s="10" t="s">
        <v>9777</v>
      </c>
      <c r="E6515" s="10" t="s">
        <v>9792</v>
      </c>
      <c r="F6515" s="10" t="s">
        <v>70</v>
      </c>
      <c r="G6515" s="10" t="s">
        <v>6317</v>
      </c>
      <c r="H6515" s="11">
        <v>37345</v>
      </c>
      <c r="I6515" s="10">
        <v>2002</v>
      </c>
      <c r="J6515" s="10" t="s">
        <v>9793</v>
      </c>
      <c r="K6515" s="10">
        <v>218</v>
      </c>
      <c r="L6515" s="10" t="s">
        <v>31850</v>
      </c>
      <c r="M6515" s="10">
        <v>1</v>
      </c>
      <c r="N6515" s="10" t="s">
        <v>15823</v>
      </c>
      <c r="O6515" s="10"/>
      <c r="P6515" s="10" t="s">
        <v>31851</v>
      </c>
      <c r="Q6515" s="10" t="s">
        <v>6347</v>
      </c>
      <c r="R6515" s="10" t="s">
        <v>31852</v>
      </c>
      <c r="S6515" s="10" t="s">
        <v>53</v>
      </c>
      <c r="T6515" s="10" t="s">
        <v>54</v>
      </c>
    </row>
    <row r="6516" spans="1:20" ht="14.5" x14ac:dyDescent="0.35">
      <c r="A6516" s="10" t="s">
        <v>31853</v>
      </c>
      <c r="B6516" s="10" t="str">
        <f>"9780897897983"</f>
        <v>9780897897983</v>
      </c>
      <c r="C6516" s="10" t="str">
        <f>"9780313075117"</f>
        <v>9780313075117</v>
      </c>
      <c r="D6516" s="10" t="s">
        <v>9777</v>
      </c>
      <c r="E6516" s="10" t="s">
        <v>9792</v>
      </c>
      <c r="F6516" s="10" t="s">
        <v>70</v>
      </c>
      <c r="G6516" s="10" t="s">
        <v>6317</v>
      </c>
      <c r="H6516" s="11">
        <v>37255</v>
      </c>
      <c r="I6516" s="10">
        <v>2001</v>
      </c>
      <c r="J6516" s="10" t="s">
        <v>9793</v>
      </c>
      <c r="K6516" s="10">
        <v>193</v>
      </c>
      <c r="L6516" s="10" t="s">
        <v>31854</v>
      </c>
      <c r="M6516" s="10">
        <v>1</v>
      </c>
      <c r="N6516" s="10"/>
      <c r="O6516" s="10"/>
      <c r="P6516" s="10"/>
      <c r="Q6516" s="10" t="s">
        <v>22115</v>
      </c>
      <c r="R6516" s="10" t="s">
        <v>31855</v>
      </c>
      <c r="S6516" s="10" t="s">
        <v>53</v>
      </c>
      <c r="T6516" s="10" t="s">
        <v>54</v>
      </c>
    </row>
    <row r="6517" spans="1:20" ht="14.5" x14ac:dyDescent="0.35">
      <c r="A6517" s="10" t="s">
        <v>31856</v>
      </c>
      <c r="B6517" s="10" t="str">
        <f>"9780897897938"</f>
        <v>9780897897938</v>
      </c>
      <c r="C6517" s="10" t="str">
        <f>"9780313011405"</f>
        <v>9780313011405</v>
      </c>
      <c r="D6517" s="10" t="s">
        <v>9777</v>
      </c>
      <c r="E6517" s="10" t="s">
        <v>9792</v>
      </c>
      <c r="F6517" s="10" t="s">
        <v>70</v>
      </c>
      <c r="G6517" s="10" t="s">
        <v>6317</v>
      </c>
      <c r="H6517" s="11">
        <v>37315</v>
      </c>
      <c r="I6517" s="10">
        <v>2002</v>
      </c>
      <c r="J6517" s="10" t="s">
        <v>9793</v>
      </c>
      <c r="K6517" s="10">
        <v>136</v>
      </c>
      <c r="L6517" s="10" t="s">
        <v>31857</v>
      </c>
      <c r="M6517" s="10">
        <v>1</v>
      </c>
      <c r="N6517" s="10"/>
      <c r="O6517" s="10"/>
      <c r="P6517" s="10" t="s">
        <v>31858</v>
      </c>
      <c r="Q6517" s="10" t="s">
        <v>31821</v>
      </c>
      <c r="R6517" s="10" t="s">
        <v>31859</v>
      </c>
      <c r="S6517" s="10" t="s">
        <v>53</v>
      </c>
      <c r="T6517" s="10" t="s">
        <v>54</v>
      </c>
    </row>
    <row r="6518" spans="1:20" ht="14.5" x14ac:dyDescent="0.35">
      <c r="A6518" s="10" t="s">
        <v>31860</v>
      </c>
      <c r="B6518" s="10" t="str">
        <f>"9780897895446"</f>
        <v>9780897895446</v>
      </c>
      <c r="C6518" s="10" t="str">
        <f>"9780313076824"</f>
        <v>9780313076824</v>
      </c>
      <c r="D6518" s="10" t="s">
        <v>9777</v>
      </c>
      <c r="E6518" s="10" t="s">
        <v>9792</v>
      </c>
      <c r="F6518" s="10" t="s">
        <v>70</v>
      </c>
      <c r="G6518" s="10" t="s">
        <v>6317</v>
      </c>
      <c r="H6518" s="11">
        <v>37345</v>
      </c>
      <c r="I6518" s="10">
        <v>2002</v>
      </c>
      <c r="J6518" s="10" t="s">
        <v>9793</v>
      </c>
      <c r="K6518" s="10">
        <v>236</v>
      </c>
      <c r="L6518" s="10" t="s">
        <v>31861</v>
      </c>
      <c r="M6518" s="10">
        <v>1</v>
      </c>
      <c r="N6518" s="10"/>
      <c r="O6518" s="10"/>
      <c r="P6518" s="10" t="s">
        <v>31862</v>
      </c>
      <c r="Q6518" s="10" t="s">
        <v>31863</v>
      </c>
      <c r="R6518" s="10" t="s">
        <v>31864</v>
      </c>
      <c r="S6518" s="10" t="s">
        <v>53</v>
      </c>
      <c r="T6518" s="10" t="s">
        <v>54</v>
      </c>
    </row>
    <row r="6519" spans="1:20" ht="14.5" x14ac:dyDescent="0.35">
      <c r="A6519" s="10" t="s">
        <v>31865</v>
      </c>
      <c r="B6519" s="10" t="str">
        <f>"9780897898430"</f>
        <v>9780897898430</v>
      </c>
      <c r="C6519" s="10" t="str">
        <f>"9780313011450"</f>
        <v>9780313011450</v>
      </c>
      <c r="D6519" s="10" t="s">
        <v>9777</v>
      </c>
      <c r="E6519" s="10" t="s">
        <v>9778</v>
      </c>
      <c r="F6519" s="10" t="s">
        <v>1366</v>
      </c>
      <c r="G6519" s="10" t="s">
        <v>6317</v>
      </c>
      <c r="H6519" s="11">
        <v>37257</v>
      </c>
      <c r="I6519" s="10">
        <v>2002</v>
      </c>
      <c r="J6519" s="10" t="s">
        <v>31718</v>
      </c>
      <c r="K6519" s="10">
        <v>199</v>
      </c>
      <c r="L6519" s="10" t="s">
        <v>22285</v>
      </c>
      <c r="M6519" s="10">
        <v>1</v>
      </c>
      <c r="N6519" s="10"/>
      <c r="O6519" s="10"/>
      <c r="P6519" s="10" t="s">
        <v>31866</v>
      </c>
      <c r="Q6519" s="10" t="s">
        <v>31867</v>
      </c>
      <c r="R6519" s="10" t="s">
        <v>31868</v>
      </c>
      <c r="S6519" s="10" t="s">
        <v>53</v>
      </c>
      <c r="T6519" s="10" t="s">
        <v>54</v>
      </c>
    </row>
    <row r="6520" spans="1:20" ht="14.5" x14ac:dyDescent="0.35">
      <c r="A6520" s="10" t="s">
        <v>31869</v>
      </c>
      <c r="B6520" s="10" t="str">
        <f>"9780897897204"</f>
        <v>9780897897204</v>
      </c>
      <c r="C6520" s="10" t="str">
        <f>"9780313011382"</f>
        <v>9780313011382</v>
      </c>
      <c r="D6520" s="10" t="s">
        <v>9777</v>
      </c>
      <c r="E6520" s="10" t="s">
        <v>9792</v>
      </c>
      <c r="F6520" s="10" t="s">
        <v>70</v>
      </c>
      <c r="G6520" s="10" t="s">
        <v>6317</v>
      </c>
      <c r="H6520" s="11">
        <v>37376</v>
      </c>
      <c r="I6520" s="10">
        <v>2002</v>
      </c>
      <c r="J6520" s="10" t="s">
        <v>9793</v>
      </c>
      <c r="K6520" s="10">
        <v>151</v>
      </c>
      <c r="L6520" s="10" t="s">
        <v>31870</v>
      </c>
      <c r="M6520" s="10">
        <v>1</v>
      </c>
      <c r="N6520" s="10"/>
      <c r="O6520" s="10"/>
      <c r="P6520" s="10" t="s">
        <v>31871</v>
      </c>
      <c r="Q6520" s="10" t="s">
        <v>31872</v>
      </c>
      <c r="R6520" s="10" t="s">
        <v>31799</v>
      </c>
      <c r="S6520" s="10" t="s">
        <v>53</v>
      </c>
      <c r="T6520" s="10" t="s">
        <v>54</v>
      </c>
    </row>
    <row r="6521" spans="1:20" ht="14.5" x14ac:dyDescent="0.35">
      <c r="A6521" s="10" t="s">
        <v>31873</v>
      </c>
      <c r="B6521" s="10" t="str">
        <f>"9781567506730"</f>
        <v>9781567506730</v>
      </c>
      <c r="C6521" s="10" t="str">
        <f>"9780313011917"</f>
        <v>9780313011917</v>
      </c>
      <c r="D6521" s="10" t="s">
        <v>9777</v>
      </c>
      <c r="E6521" s="10" t="s">
        <v>9778</v>
      </c>
      <c r="F6521" s="10" t="s">
        <v>1366</v>
      </c>
      <c r="G6521" s="10" t="s">
        <v>6317</v>
      </c>
      <c r="H6521" s="11">
        <v>37469</v>
      </c>
      <c r="I6521" s="10">
        <v>2002</v>
      </c>
      <c r="J6521" s="10" t="s">
        <v>31718</v>
      </c>
      <c r="K6521" s="10">
        <v>218</v>
      </c>
      <c r="L6521" s="10" t="s">
        <v>31874</v>
      </c>
      <c r="M6521" s="10">
        <v>1</v>
      </c>
      <c r="N6521" s="10"/>
      <c r="O6521" s="10"/>
      <c r="P6521" s="10" t="s">
        <v>31875</v>
      </c>
      <c r="Q6521" s="10">
        <v>306.43</v>
      </c>
      <c r="R6521" s="10" t="s">
        <v>31876</v>
      </c>
      <c r="S6521" s="10" t="s">
        <v>53</v>
      </c>
      <c r="T6521" s="10" t="s">
        <v>6526</v>
      </c>
    </row>
    <row r="6522" spans="1:20" ht="14.5" x14ac:dyDescent="0.35">
      <c r="A6522" s="10" t="s">
        <v>31877</v>
      </c>
      <c r="B6522" s="10" t="str">
        <f>"9780897898539"</f>
        <v>9780897898539</v>
      </c>
      <c r="C6522" s="10" t="str">
        <f>"9780313011467"</f>
        <v>9780313011467</v>
      </c>
      <c r="D6522" s="10" t="s">
        <v>9777</v>
      </c>
      <c r="E6522" s="10" t="s">
        <v>9778</v>
      </c>
      <c r="F6522" s="10" t="s">
        <v>1366</v>
      </c>
      <c r="G6522" s="10" t="s">
        <v>6317</v>
      </c>
      <c r="H6522" s="11">
        <v>37408</v>
      </c>
      <c r="I6522" s="10">
        <v>2002</v>
      </c>
      <c r="J6522" s="10" t="s">
        <v>31718</v>
      </c>
      <c r="K6522" s="10">
        <v>160</v>
      </c>
      <c r="L6522" s="10" t="s">
        <v>31878</v>
      </c>
      <c r="M6522" s="10">
        <v>1</v>
      </c>
      <c r="N6522" s="10"/>
      <c r="O6522" s="10"/>
      <c r="P6522" s="10" t="s">
        <v>31879</v>
      </c>
      <c r="Q6522" s="10">
        <v>371.93</v>
      </c>
      <c r="R6522" s="10" t="s">
        <v>31880</v>
      </c>
      <c r="S6522" s="10" t="s">
        <v>53</v>
      </c>
      <c r="T6522" s="10" t="s">
        <v>54</v>
      </c>
    </row>
    <row r="6523" spans="1:20" ht="14.5" x14ac:dyDescent="0.35">
      <c r="A6523" s="10" t="s">
        <v>31881</v>
      </c>
      <c r="B6523" s="10" t="str">
        <f>"9780897898065"</f>
        <v>9780897898065</v>
      </c>
      <c r="C6523" s="10" t="str">
        <f>"9780313011412"</f>
        <v>9780313011412</v>
      </c>
      <c r="D6523" s="10" t="s">
        <v>9777</v>
      </c>
      <c r="E6523" s="10" t="s">
        <v>9792</v>
      </c>
      <c r="F6523" s="10" t="s">
        <v>70</v>
      </c>
      <c r="G6523" s="10" t="s">
        <v>6317</v>
      </c>
      <c r="H6523" s="11">
        <v>37345</v>
      </c>
      <c r="I6523" s="10">
        <v>2002</v>
      </c>
      <c r="J6523" s="10" t="s">
        <v>9793</v>
      </c>
      <c r="K6523" s="10">
        <v>197</v>
      </c>
      <c r="L6523" s="10" t="s">
        <v>31882</v>
      </c>
      <c r="M6523" s="10">
        <v>1</v>
      </c>
      <c r="N6523" s="10"/>
      <c r="O6523" s="10"/>
      <c r="P6523" s="10" t="s">
        <v>31883</v>
      </c>
      <c r="Q6523" s="10">
        <v>371.19</v>
      </c>
      <c r="R6523" s="10" t="s">
        <v>28760</v>
      </c>
      <c r="S6523" s="10" t="s">
        <v>53</v>
      </c>
      <c r="T6523" s="10" t="s">
        <v>54</v>
      </c>
    </row>
    <row r="6524" spans="1:20" ht="14.5" x14ac:dyDescent="0.35">
      <c r="A6524" s="10" t="s">
        <v>31884</v>
      </c>
      <c r="B6524" s="10" t="str">
        <f>"9780897899000"</f>
        <v>9780897899000</v>
      </c>
      <c r="C6524" s="10" t="str">
        <f>"9780313012983"</f>
        <v>9780313012983</v>
      </c>
      <c r="D6524" s="10" t="s">
        <v>9777</v>
      </c>
      <c r="E6524" s="10" t="s">
        <v>9792</v>
      </c>
      <c r="F6524" s="10" t="s">
        <v>70</v>
      </c>
      <c r="G6524" s="10" t="s">
        <v>6317</v>
      </c>
      <c r="H6524" s="11">
        <v>37406</v>
      </c>
      <c r="I6524" s="10">
        <v>2002</v>
      </c>
      <c r="J6524" s="10" t="s">
        <v>9793</v>
      </c>
      <c r="K6524" s="10">
        <v>231</v>
      </c>
      <c r="L6524" s="10" t="s">
        <v>31885</v>
      </c>
      <c r="M6524" s="10">
        <v>1</v>
      </c>
      <c r="N6524" s="10"/>
      <c r="O6524" s="10"/>
      <c r="P6524" s="10" t="s">
        <v>31886</v>
      </c>
      <c r="Q6524" s="10">
        <v>371.78209729999998</v>
      </c>
      <c r="R6524" s="10" t="s">
        <v>31887</v>
      </c>
      <c r="S6524" s="10" t="s">
        <v>53</v>
      </c>
      <c r="T6524" s="10" t="s">
        <v>54</v>
      </c>
    </row>
    <row r="6525" spans="1:20" ht="14.5" x14ac:dyDescent="0.35">
      <c r="A6525" s="10" t="s">
        <v>31888</v>
      </c>
      <c r="B6525" s="10" t="str">
        <f>"9781567506464"</f>
        <v>9781567506464</v>
      </c>
      <c r="C6525" s="10" t="str">
        <f>"9780313011863"</f>
        <v>9780313011863</v>
      </c>
      <c r="D6525" s="10" t="s">
        <v>9777</v>
      </c>
      <c r="E6525" s="10" t="s">
        <v>9792</v>
      </c>
      <c r="F6525" s="10" t="s">
        <v>70</v>
      </c>
      <c r="G6525" s="10" t="s">
        <v>6317</v>
      </c>
      <c r="H6525" s="11">
        <v>37498</v>
      </c>
      <c r="I6525" s="10">
        <v>2002</v>
      </c>
      <c r="J6525" s="10" t="s">
        <v>9793</v>
      </c>
      <c r="K6525" s="10">
        <v>150</v>
      </c>
      <c r="L6525" s="10" t="s">
        <v>31889</v>
      </c>
      <c r="M6525" s="10">
        <v>1</v>
      </c>
      <c r="N6525" s="10" t="s">
        <v>31890</v>
      </c>
      <c r="O6525" s="10"/>
      <c r="P6525" s="10" t="s">
        <v>31891</v>
      </c>
      <c r="Q6525" s="10">
        <v>370.15699999999998</v>
      </c>
      <c r="R6525" s="10" t="s">
        <v>31892</v>
      </c>
      <c r="S6525" s="10" t="s">
        <v>53</v>
      </c>
      <c r="T6525" s="10" t="s">
        <v>54</v>
      </c>
    </row>
    <row r="6526" spans="1:20" ht="14.5" x14ac:dyDescent="0.35">
      <c r="A6526" s="10" t="s">
        <v>31893</v>
      </c>
      <c r="B6526" s="10" t="str">
        <f>"9781567506266"</f>
        <v>9781567506266</v>
      </c>
      <c r="C6526" s="10" t="str">
        <f>"9780313011856"</f>
        <v>9780313011856</v>
      </c>
      <c r="D6526" s="10" t="s">
        <v>9777</v>
      </c>
      <c r="E6526" s="10" t="s">
        <v>9792</v>
      </c>
      <c r="F6526" s="10" t="s">
        <v>70</v>
      </c>
      <c r="G6526" s="10" t="s">
        <v>6317</v>
      </c>
      <c r="H6526" s="11">
        <v>37467</v>
      </c>
      <c r="I6526" s="10">
        <v>2002</v>
      </c>
      <c r="J6526" s="10" t="s">
        <v>9793</v>
      </c>
      <c r="K6526" s="10">
        <v>368</v>
      </c>
      <c r="L6526" s="10" t="s">
        <v>31894</v>
      </c>
      <c r="M6526" s="10">
        <v>1</v>
      </c>
      <c r="N6526" s="10" t="s">
        <v>31895</v>
      </c>
      <c r="O6526" s="10"/>
      <c r="P6526" s="10" t="s">
        <v>31896</v>
      </c>
      <c r="Q6526" s="10">
        <v>371.90973000000002</v>
      </c>
      <c r="R6526" s="10" t="s">
        <v>31897</v>
      </c>
      <c r="S6526" s="10" t="s">
        <v>53</v>
      </c>
      <c r="T6526" s="10" t="s">
        <v>54</v>
      </c>
    </row>
    <row r="6527" spans="1:20" ht="14.5" x14ac:dyDescent="0.35">
      <c r="A6527" s="10" t="s">
        <v>31898</v>
      </c>
      <c r="B6527" s="10" t="str">
        <f>"9781567506518"</f>
        <v>9781567506518</v>
      </c>
      <c r="C6527" s="10" t="str">
        <f>"9780313011870"</f>
        <v>9780313011870</v>
      </c>
      <c r="D6527" s="10" t="s">
        <v>9777</v>
      </c>
      <c r="E6527" s="10" t="s">
        <v>9778</v>
      </c>
      <c r="F6527" s="10" t="s">
        <v>1366</v>
      </c>
      <c r="G6527" s="10" t="s">
        <v>6317</v>
      </c>
      <c r="H6527" s="11">
        <v>37469</v>
      </c>
      <c r="I6527" s="10">
        <v>2002</v>
      </c>
      <c r="J6527" s="10" t="s">
        <v>31718</v>
      </c>
      <c r="K6527" s="10">
        <v>193</v>
      </c>
      <c r="L6527" s="10" t="s">
        <v>31899</v>
      </c>
      <c r="M6527" s="10">
        <v>1</v>
      </c>
      <c r="N6527" s="10"/>
      <c r="O6527" s="10"/>
      <c r="P6527" s="10" t="s">
        <v>31900</v>
      </c>
      <c r="Q6527" s="10" t="s">
        <v>7335</v>
      </c>
      <c r="R6527" s="10" t="s">
        <v>16149</v>
      </c>
      <c r="S6527" s="10" t="s">
        <v>53</v>
      </c>
      <c r="T6527" s="10" t="s">
        <v>54</v>
      </c>
    </row>
    <row r="6528" spans="1:20" ht="14.5" x14ac:dyDescent="0.35">
      <c r="A6528" s="10" t="s">
        <v>31901</v>
      </c>
      <c r="B6528" s="10" t="str">
        <f>"9781567506716"</f>
        <v>9781567506716</v>
      </c>
      <c r="C6528" s="10" t="str">
        <f>"9780313011900"</f>
        <v>9780313011900</v>
      </c>
      <c r="D6528" s="10" t="s">
        <v>9777</v>
      </c>
      <c r="E6528" s="10" t="s">
        <v>9792</v>
      </c>
      <c r="F6528" s="10" t="s">
        <v>70</v>
      </c>
      <c r="G6528" s="10" t="s">
        <v>6317</v>
      </c>
      <c r="H6528" s="11">
        <v>37467</v>
      </c>
      <c r="I6528" s="10">
        <v>2002</v>
      </c>
      <c r="J6528" s="10" t="s">
        <v>9793</v>
      </c>
      <c r="K6528" s="10">
        <v>268</v>
      </c>
      <c r="L6528" s="10" t="s">
        <v>31902</v>
      </c>
      <c r="M6528" s="10">
        <v>1</v>
      </c>
      <c r="N6528" s="10" t="s">
        <v>31903</v>
      </c>
      <c r="O6528" s="10"/>
      <c r="P6528" s="10" t="s">
        <v>31904</v>
      </c>
      <c r="Q6528" s="10" t="s">
        <v>7752</v>
      </c>
      <c r="R6528" s="10" t="s">
        <v>7123</v>
      </c>
      <c r="S6528" s="10" t="s">
        <v>53</v>
      </c>
      <c r="T6528" s="10" t="s">
        <v>6815</v>
      </c>
    </row>
    <row r="6529" spans="1:20" ht="14.5" x14ac:dyDescent="0.35">
      <c r="A6529" s="10" t="s">
        <v>31905</v>
      </c>
      <c r="B6529" s="10" t="str">
        <f>"9780897898089"</f>
        <v>9780897898089</v>
      </c>
      <c r="C6529" s="10" t="str">
        <f>"9780313011429"</f>
        <v>9780313011429</v>
      </c>
      <c r="D6529" s="10" t="s">
        <v>9777</v>
      </c>
      <c r="E6529" s="10" t="s">
        <v>9792</v>
      </c>
      <c r="F6529" s="10" t="s">
        <v>70</v>
      </c>
      <c r="G6529" s="10" t="s">
        <v>6317</v>
      </c>
      <c r="H6529" s="11">
        <v>37376</v>
      </c>
      <c r="I6529" s="10">
        <v>2002</v>
      </c>
      <c r="J6529" s="10" t="s">
        <v>9793</v>
      </c>
      <c r="K6529" s="10">
        <v>162</v>
      </c>
      <c r="L6529" s="10" t="s">
        <v>31906</v>
      </c>
      <c r="M6529" s="10">
        <v>1</v>
      </c>
      <c r="N6529" s="10"/>
      <c r="O6529" s="10"/>
      <c r="P6529" s="10" t="s">
        <v>31907</v>
      </c>
      <c r="Q6529" s="10" t="s">
        <v>31908</v>
      </c>
      <c r="R6529" s="10" t="s">
        <v>31909</v>
      </c>
      <c r="S6529" s="10" t="s">
        <v>53</v>
      </c>
      <c r="T6529" s="10" t="s">
        <v>54</v>
      </c>
    </row>
    <row r="6530" spans="1:20" ht="14.5" x14ac:dyDescent="0.35">
      <c r="A6530" s="10" t="s">
        <v>31910</v>
      </c>
      <c r="B6530" s="10" t="str">
        <f>"9780897898416"</f>
        <v>9780897898416</v>
      </c>
      <c r="C6530" s="10" t="str">
        <f>"9780313012907"</f>
        <v>9780313012907</v>
      </c>
      <c r="D6530" s="10" t="s">
        <v>9777</v>
      </c>
      <c r="E6530" s="10" t="s">
        <v>9778</v>
      </c>
      <c r="F6530" s="10" t="s">
        <v>1366</v>
      </c>
      <c r="G6530" s="10" t="s">
        <v>6317</v>
      </c>
      <c r="H6530" s="11">
        <v>37500</v>
      </c>
      <c r="I6530" s="10">
        <v>2002</v>
      </c>
      <c r="J6530" s="10" t="s">
        <v>31718</v>
      </c>
      <c r="K6530" s="10">
        <v>197</v>
      </c>
      <c r="L6530" s="10" t="s">
        <v>31911</v>
      </c>
      <c r="M6530" s="10">
        <v>1</v>
      </c>
      <c r="N6530" s="10"/>
      <c r="O6530" s="10"/>
      <c r="P6530" s="10" t="s">
        <v>31912</v>
      </c>
      <c r="Q6530" s="10">
        <v>371.82900000000001</v>
      </c>
      <c r="R6530" s="10" t="s">
        <v>31913</v>
      </c>
      <c r="S6530" s="10" t="s">
        <v>53</v>
      </c>
      <c r="T6530" s="10" t="s">
        <v>54</v>
      </c>
    </row>
    <row r="6531" spans="1:20" ht="14.5" x14ac:dyDescent="0.35">
      <c r="A6531" s="10" t="s">
        <v>31914</v>
      </c>
      <c r="B6531" s="10" t="str">
        <f>"9780897899123"</f>
        <v>9780897899123</v>
      </c>
      <c r="C6531" s="10" t="str">
        <f>"9780313013003"</f>
        <v>9780313013003</v>
      </c>
      <c r="D6531" s="10" t="s">
        <v>9777</v>
      </c>
      <c r="E6531" s="10" t="s">
        <v>9792</v>
      </c>
      <c r="F6531" s="10" t="s">
        <v>70</v>
      </c>
      <c r="G6531" s="10" t="s">
        <v>6317</v>
      </c>
      <c r="H6531" s="11">
        <v>37437</v>
      </c>
      <c r="I6531" s="10">
        <v>2002</v>
      </c>
      <c r="J6531" s="10" t="s">
        <v>9793</v>
      </c>
      <c r="K6531" s="10">
        <v>199</v>
      </c>
      <c r="L6531" s="10" t="s">
        <v>31915</v>
      </c>
      <c r="M6531" s="10">
        <v>1</v>
      </c>
      <c r="N6531" s="10"/>
      <c r="O6531" s="10"/>
      <c r="P6531" s="10" t="s">
        <v>31916</v>
      </c>
      <c r="Q6531" s="10">
        <v>371.92</v>
      </c>
      <c r="R6531" s="10" t="s">
        <v>31917</v>
      </c>
      <c r="S6531" s="10" t="s">
        <v>53</v>
      </c>
      <c r="T6531" s="10" t="s">
        <v>54</v>
      </c>
    </row>
    <row r="6532" spans="1:20" ht="14.5" x14ac:dyDescent="0.35">
      <c r="A6532" s="10" t="s">
        <v>31918</v>
      </c>
      <c r="B6532" s="10" t="str">
        <f>"9780275977573"</f>
        <v>9780275977573</v>
      </c>
      <c r="C6532" s="10" t="str">
        <f>"9780313012617"</f>
        <v>9780313012617</v>
      </c>
      <c r="D6532" s="10" t="s">
        <v>9777</v>
      </c>
      <c r="E6532" s="10" t="s">
        <v>9792</v>
      </c>
      <c r="F6532" s="10" t="s">
        <v>70</v>
      </c>
      <c r="G6532" s="10" t="s">
        <v>6317</v>
      </c>
      <c r="H6532" s="11">
        <v>37437</v>
      </c>
      <c r="I6532" s="10">
        <v>2002</v>
      </c>
      <c r="J6532" s="10" t="s">
        <v>9793</v>
      </c>
      <c r="K6532" s="10">
        <v>224</v>
      </c>
      <c r="L6532" s="10" t="s">
        <v>31919</v>
      </c>
      <c r="M6532" s="10">
        <v>1</v>
      </c>
      <c r="N6532" s="10" t="s">
        <v>31920</v>
      </c>
      <c r="O6532" s="10"/>
      <c r="P6532" s="10" t="s">
        <v>31921</v>
      </c>
      <c r="Q6532" s="10" t="s">
        <v>7931</v>
      </c>
      <c r="R6532" s="10" t="s">
        <v>31922</v>
      </c>
      <c r="S6532" s="10" t="s">
        <v>53</v>
      </c>
      <c r="T6532" s="10" t="s">
        <v>483</v>
      </c>
    </row>
    <row r="6533" spans="1:20" ht="14.5" x14ac:dyDescent="0.35">
      <c r="A6533" s="10" t="s">
        <v>31923</v>
      </c>
      <c r="B6533" s="10" t="str">
        <f>"9780275975784"</f>
        <v>9780275975784</v>
      </c>
      <c r="C6533" s="10" t="str">
        <f>"9780313012358"</f>
        <v>9780313012358</v>
      </c>
      <c r="D6533" s="10" t="s">
        <v>9777</v>
      </c>
      <c r="E6533" s="10" t="s">
        <v>9792</v>
      </c>
      <c r="F6533" s="10" t="s">
        <v>70</v>
      </c>
      <c r="G6533" s="10" t="s">
        <v>6317</v>
      </c>
      <c r="H6533" s="11">
        <v>37467</v>
      </c>
      <c r="I6533" s="10">
        <v>2002</v>
      </c>
      <c r="J6533" s="10" t="s">
        <v>9793</v>
      </c>
      <c r="K6533" s="10">
        <v>171</v>
      </c>
      <c r="L6533" s="10" t="s">
        <v>31924</v>
      </c>
      <c r="M6533" s="10">
        <v>1</v>
      </c>
      <c r="N6533" s="10"/>
      <c r="O6533" s="10"/>
      <c r="P6533" s="10" t="s">
        <v>31925</v>
      </c>
      <c r="Q6533" s="10" t="s">
        <v>11314</v>
      </c>
      <c r="R6533" s="10" t="s">
        <v>31926</v>
      </c>
      <c r="S6533" s="10" t="s">
        <v>53</v>
      </c>
      <c r="T6533" s="10" t="s">
        <v>54</v>
      </c>
    </row>
    <row r="6534" spans="1:20" ht="14.5" x14ac:dyDescent="0.35">
      <c r="A6534" s="10" t="s">
        <v>31927</v>
      </c>
      <c r="B6534" s="10" t="str">
        <f>"9780313311666"</f>
        <v>9780313311666</v>
      </c>
      <c r="C6534" s="10" t="str">
        <f>"9780313006708"</f>
        <v>9780313006708</v>
      </c>
      <c r="D6534" s="10" t="s">
        <v>9777</v>
      </c>
      <c r="E6534" s="10" t="s">
        <v>9778</v>
      </c>
      <c r="F6534" s="10" t="s">
        <v>1366</v>
      </c>
      <c r="G6534" s="10" t="s">
        <v>6317</v>
      </c>
      <c r="H6534" s="11">
        <v>37469</v>
      </c>
      <c r="I6534" s="10">
        <v>2002</v>
      </c>
      <c r="J6534" s="10" t="s">
        <v>31718</v>
      </c>
      <c r="K6534" s="10">
        <v>318</v>
      </c>
      <c r="L6534" s="10" t="s">
        <v>31928</v>
      </c>
      <c r="M6534" s="10">
        <v>1</v>
      </c>
      <c r="N6534" s="10"/>
      <c r="O6534" s="10"/>
      <c r="P6534" s="10" t="s">
        <v>31929</v>
      </c>
      <c r="Q6534" s="10" t="s">
        <v>31930</v>
      </c>
      <c r="R6534" s="10" t="s">
        <v>31931</v>
      </c>
      <c r="S6534" s="10" t="s">
        <v>53</v>
      </c>
      <c r="T6534" s="10" t="s">
        <v>16990</v>
      </c>
    </row>
    <row r="6535" spans="1:20" ht="14.5" x14ac:dyDescent="0.35">
      <c r="A6535" s="10" t="s">
        <v>31932</v>
      </c>
      <c r="B6535" s="10" t="str">
        <f>"9780897899062"</f>
        <v>9780897899062</v>
      </c>
      <c r="C6535" s="10" t="str">
        <f>"9780313013928"</f>
        <v>9780313013928</v>
      </c>
      <c r="D6535" s="10" t="s">
        <v>9777</v>
      </c>
      <c r="E6535" s="10" t="s">
        <v>9778</v>
      </c>
      <c r="F6535" s="10" t="s">
        <v>1366</v>
      </c>
      <c r="G6535" s="10" t="s">
        <v>6317</v>
      </c>
      <c r="H6535" s="11">
        <v>37469</v>
      </c>
      <c r="I6535" s="10">
        <v>2002</v>
      </c>
      <c r="J6535" s="10" t="s">
        <v>31718</v>
      </c>
      <c r="K6535" s="10">
        <v>155</v>
      </c>
      <c r="L6535" s="10" t="s">
        <v>31933</v>
      </c>
      <c r="M6535" s="10">
        <v>1</v>
      </c>
      <c r="N6535" s="10"/>
      <c r="O6535" s="10"/>
      <c r="P6535" s="10" t="s">
        <v>31934</v>
      </c>
      <c r="Q6535" s="10">
        <v>373.23599999999999</v>
      </c>
      <c r="R6535" s="10" t="s">
        <v>31935</v>
      </c>
      <c r="S6535" s="10" t="s">
        <v>53</v>
      </c>
      <c r="T6535" s="10" t="s">
        <v>54</v>
      </c>
    </row>
    <row r="6536" spans="1:20" ht="14.5" x14ac:dyDescent="0.35">
      <c r="A6536" s="10" t="s">
        <v>31936</v>
      </c>
      <c r="B6536" s="10" t="str">
        <f>"9789966846815"</f>
        <v>9789966846815</v>
      </c>
      <c r="C6536" s="10" t="str">
        <f>"9789966792037"</f>
        <v>9789966792037</v>
      </c>
      <c r="D6536" s="10" t="s">
        <v>24820</v>
      </c>
      <c r="E6536" s="10" t="s">
        <v>31937</v>
      </c>
      <c r="F6536" s="10" t="s">
        <v>31938</v>
      </c>
      <c r="G6536" s="10" t="s">
        <v>25462</v>
      </c>
      <c r="H6536" s="11">
        <v>39417</v>
      </c>
      <c r="I6536" s="10">
        <v>2007</v>
      </c>
      <c r="J6536" s="10" t="s">
        <v>31937</v>
      </c>
      <c r="K6536" s="10">
        <v>218</v>
      </c>
      <c r="L6536" s="10" t="s">
        <v>31939</v>
      </c>
      <c r="M6536" s="10">
        <v>1</v>
      </c>
      <c r="N6536" s="10"/>
      <c r="O6536" s="10"/>
      <c r="P6536" s="10" t="s">
        <v>31940</v>
      </c>
      <c r="Q6536" s="10"/>
      <c r="R6536" s="10" t="s">
        <v>31941</v>
      </c>
      <c r="S6536" s="10" t="s">
        <v>53</v>
      </c>
      <c r="T6536" s="10" t="s">
        <v>54</v>
      </c>
    </row>
    <row r="6537" spans="1:20" ht="14.5" x14ac:dyDescent="0.35">
      <c r="A6537" s="10" t="s">
        <v>31942</v>
      </c>
      <c r="B6537" s="10" t="str">
        <f>"9789966846303"</f>
        <v>9789966846303</v>
      </c>
      <c r="C6537" s="10" t="str">
        <f>"9789966792044"</f>
        <v>9789966792044</v>
      </c>
      <c r="D6537" s="10" t="s">
        <v>24820</v>
      </c>
      <c r="E6537" s="10" t="s">
        <v>31937</v>
      </c>
      <c r="F6537" s="10" t="s">
        <v>31938</v>
      </c>
      <c r="G6537" s="10" t="s">
        <v>25462</v>
      </c>
      <c r="H6537" s="11">
        <v>38687</v>
      </c>
      <c r="I6537" s="10">
        <v>2006</v>
      </c>
      <c r="J6537" s="10" t="s">
        <v>31937</v>
      </c>
      <c r="K6537" s="10">
        <v>294</v>
      </c>
      <c r="L6537" s="10" t="s">
        <v>31943</v>
      </c>
      <c r="M6537" s="10">
        <v>1</v>
      </c>
      <c r="N6537" s="10"/>
      <c r="O6537" s="10"/>
      <c r="P6537" s="10" t="s">
        <v>31944</v>
      </c>
      <c r="Q6537" s="10"/>
      <c r="R6537" s="10" t="s">
        <v>31945</v>
      </c>
      <c r="S6537" s="10" t="s">
        <v>53</v>
      </c>
      <c r="T6537" s="10" t="s">
        <v>54</v>
      </c>
    </row>
    <row r="6538" spans="1:20" ht="14.5" x14ac:dyDescent="0.35">
      <c r="A6538" s="10" t="s">
        <v>31946</v>
      </c>
      <c r="B6538" s="10" t="str">
        <f>"9780838908396"</f>
        <v>9780838908396</v>
      </c>
      <c r="C6538" s="10" t="str">
        <f>"9780838998915"</f>
        <v>9780838998915</v>
      </c>
      <c r="D6538" s="10" t="s">
        <v>15366</v>
      </c>
      <c r="E6538" s="10" t="s">
        <v>15366</v>
      </c>
      <c r="F6538" s="10" t="s">
        <v>324</v>
      </c>
      <c r="G6538" s="10" t="s">
        <v>6317</v>
      </c>
      <c r="H6538" s="11">
        <v>37257</v>
      </c>
      <c r="I6538" s="10">
        <v>2003</v>
      </c>
      <c r="J6538" s="10" t="s">
        <v>15366</v>
      </c>
      <c r="K6538" s="10">
        <v>167</v>
      </c>
      <c r="L6538" s="10" t="s">
        <v>31947</v>
      </c>
      <c r="M6538" s="10">
        <v>1</v>
      </c>
      <c r="N6538" s="10"/>
      <c r="O6538" s="10"/>
      <c r="P6538" s="10" t="s">
        <v>31948</v>
      </c>
      <c r="Q6538" s="10" t="s">
        <v>9491</v>
      </c>
      <c r="R6538" s="10" t="s">
        <v>31949</v>
      </c>
      <c r="S6538" s="10" t="s">
        <v>53</v>
      </c>
      <c r="T6538" s="10" t="s">
        <v>54</v>
      </c>
    </row>
    <row r="6539" spans="1:20" ht="14.5" x14ac:dyDescent="0.35">
      <c r="A6539" s="10" t="s">
        <v>31950</v>
      </c>
      <c r="B6539" s="10" t="str">
        <f>"9780838909010"</f>
        <v>9780838909010</v>
      </c>
      <c r="C6539" s="10" t="str">
        <f>"9780838998007"</f>
        <v>9780838998007</v>
      </c>
      <c r="D6539" s="10" t="s">
        <v>15366</v>
      </c>
      <c r="E6539" s="10" t="s">
        <v>15366</v>
      </c>
      <c r="F6539" s="10" t="s">
        <v>324</v>
      </c>
      <c r="G6539" s="10" t="s">
        <v>6317</v>
      </c>
      <c r="H6539" s="11">
        <v>38322</v>
      </c>
      <c r="I6539" s="10">
        <v>2005</v>
      </c>
      <c r="J6539" s="10" t="s">
        <v>15366</v>
      </c>
      <c r="K6539" s="10">
        <v>193</v>
      </c>
      <c r="L6539" s="10" t="s">
        <v>31951</v>
      </c>
      <c r="M6539" s="10">
        <v>1</v>
      </c>
      <c r="N6539" s="10"/>
      <c r="O6539" s="10"/>
      <c r="P6539" s="10" t="s">
        <v>31952</v>
      </c>
      <c r="Q6539" s="10">
        <v>27.8</v>
      </c>
      <c r="R6539" s="10" t="s">
        <v>31953</v>
      </c>
      <c r="S6539" s="10" t="s">
        <v>53</v>
      </c>
      <c r="T6539" s="10" t="s">
        <v>10302</v>
      </c>
    </row>
    <row r="6540" spans="1:20" ht="14.5" x14ac:dyDescent="0.35">
      <c r="A6540" s="10" t="s">
        <v>31954</v>
      </c>
      <c r="B6540" s="10" t="str">
        <f>"9780838908006"</f>
        <v>9780838908006</v>
      </c>
      <c r="C6540" s="10" t="str">
        <f>"9780838999387"</f>
        <v>9780838999387</v>
      </c>
      <c r="D6540" s="10" t="s">
        <v>15366</v>
      </c>
      <c r="E6540" s="10" t="s">
        <v>15366</v>
      </c>
      <c r="F6540" s="10" t="s">
        <v>324</v>
      </c>
      <c r="G6540" s="10" t="s">
        <v>6317</v>
      </c>
      <c r="H6540" s="11">
        <v>36892</v>
      </c>
      <c r="I6540" s="10">
        <v>2001</v>
      </c>
      <c r="J6540" s="10" t="s">
        <v>15366</v>
      </c>
      <c r="K6540" s="10">
        <v>153</v>
      </c>
      <c r="L6540" s="10" t="s">
        <v>31955</v>
      </c>
      <c r="M6540" s="10">
        <v>1</v>
      </c>
      <c r="N6540" s="10"/>
      <c r="O6540" s="10"/>
      <c r="P6540" s="10" t="s">
        <v>31956</v>
      </c>
      <c r="Q6540" s="10">
        <v>27.472999999999999</v>
      </c>
      <c r="R6540" s="10" t="s">
        <v>31957</v>
      </c>
      <c r="S6540" s="10" t="s">
        <v>53</v>
      </c>
      <c r="T6540" s="10" t="s">
        <v>10302</v>
      </c>
    </row>
    <row r="6541" spans="1:20" ht="14.5" x14ac:dyDescent="0.35">
      <c r="A6541" s="10" t="s">
        <v>31958</v>
      </c>
      <c r="B6541" s="10" t="str">
        <f>"9780838935538"</f>
        <v>9780838935538</v>
      </c>
      <c r="C6541" s="10" t="str">
        <f>"9780838998069"</f>
        <v>9780838998069</v>
      </c>
      <c r="D6541" s="10" t="s">
        <v>15366</v>
      </c>
      <c r="E6541" s="10" t="s">
        <v>15366</v>
      </c>
      <c r="F6541" s="10" t="s">
        <v>324</v>
      </c>
      <c r="G6541" s="10" t="s">
        <v>6317</v>
      </c>
      <c r="H6541" s="11">
        <v>38322</v>
      </c>
      <c r="I6541" s="10">
        <v>2006</v>
      </c>
      <c r="J6541" s="10" t="s">
        <v>15366</v>
      </c>
      <c r="K6541" s="10">
        <v>264</v>
      </c>
      <c r="L6541" s="10" t="s">
        <v>31959</v>
      </c>
      <c r="M6541" s="10">
        <v>2005</v>
      </c>
      <c r="N6541" s="10"/>
      <c r="O6541" s="10"/>
      <c r="P6541" s="10" t="s">
        <v>31960</v>
      </c>
      <c r="Q6541" s="10" t="s">
        <v>31961</v>
      </c>
      <c r="R6541" s="10" t="s">
        <v>31962</v>
      </c>
      <c r="S6541" s="10" t="s">
        <v>53</v>
      </c>
      <c r="T6541" s="10" t="s">
        <v>6601</v>
      </c>
    </row>
    <row r="6542" spans="1:20" ht="14.5" x14ac:dyDescent="0.35">
      <c r="A6542" s="10" t="s">
        <v>31963</v>
      </c>
      <c r="B6542" s="10" t="str">
        <f>"9780838908402"</f>
        <v>9780838908402</v>
      </c>
      <c r="C6542" s="10" t="str">
        <f>"9780838999004"</f>
        <v>9780838999004</v>
      </c>
      <c r="D6542" s="10" t="s">
        <v>15366</v>
      </c>
      <c r="E6542" s="10" t="s">
        <v>15366</v>
      </c>
      <c r="F6542" s="10" t="s">
        <v>324</v>
      </c>
      <c r="G6542" s="10" t="s">
        <v>6317</v>
      </c>
      <c r="H6542" s="11">
        <v>37591</v>
      </c>
      <c r="I6542" s="10">
        <v>2003</v>
      </c>
      <c r="J6542" s="10" t="s">
        <v>15366</v>
      </c>
      <c r="K6542" s="10">
        <v>149</v>
      </c>
      <c r="L6542" s="10" t="s">
        <v>31964</v>
      </c>
      <c r="M6542" s="10">
        <v>1</v>
      </c>
      <c r="N6542" s="10"/>
      <c r="O6542" s="10"/>
      <c r="P6542" s="10" t="s">
        <v>31965</v>
      </c>
      <c r="Q6542" s="10">
        <v>372.13</v>
      </c>
      <c r="R6542" s="10" t="s">
        <v>31966</v>
      </c>
      <c r="S6542" s="10" t="s">
        <v>53</v>
      </c>
      <c r="T6542" s="10" t="s">
        <v>54</v>
      </c>
    </row>
    <row r="6543" spans="1:20" ht="14.5" x14ac:dyDescent="0.35">
      <c r="A6543" s="10" t="s">
        <v>31967</v>
      </c>
      <c r="B6543" s="10" t="str">
        <f>"9780838908525"</f>
        <v>9780838908525</v>
      </c>
      <c r="C6543" s="10" t="str">
        <f>"9780838999462"</f>
        <v>9780838999462</v>
      </c>
      <c r="D6543" s="10" t="s">
        <v>15366</v>
      </c>
      <c r="E6543" s="10" t="s">
        <v>15366</v>
      </c>
      <c r="F6543" s="10" t="s">
        <v>324</v>
      </c>
      <c r="G6543" s="10" t="s">
        <v>6317</v>
      </c>
      <c r="H6543" s="11">
        <v>37591</v>
      </c>
      <c r="I6543" s="10">
        <v>2003</v>
      </c>
      <c r="J6543" s="10" t="s">
        <v>15366</v>
      </c>
      <c r="K6543" s="10">
        <v>241</v>
      </c>
      <c r="L6543" s="10" t="s">
        <v>31968</v>
      </c>
      <c r="M6543" s="10">
        <v>1</v>
      </c>
      <c r="N6543" s="10"/>
      <c r="O6543" s="10"/>
      <c r="P6543" s="10" t="s">
        <v>31969</v>
      </c>
      <c r="Q6543" s="10" t="s">
        <v>31970</v>
      </c>
      <c r="R6543" s="10" t="s">
        <v>31971</v>
      </c>
      <c r="S6543" s="10" t="s">
        <v>53</v>
      </c>
      <c r="T6543" s="10" t="s">
        <v>10302</v>
      </c>
    </row>
    <row r="6544" spans="1:20" ht="14.5" x14ac:dyDescent="0.35">
      <c r="A6544" s="10" t="s">
        <v>31972</v>
      </c>
      <c r="B6544" s="10" t="str">
        <f>"9780838908075"</f>
        <v>9780838908075</v>
      </c>
      <c r="C6544" s="10" t="str">
        <f>"9780838998854"</f>
        <v>9780838998854</v>
      </c>
      <c r="D6544" s="10" t="s">
        <v>15366</v>
      </c>
      <c r="E6544" s="10" t="s">
        <v>15366</v>
      </c>
      <c r="F6544" s="10" t="s">
        <v>324</v>
      </c>
      <c r="G6544" s="10" t="s">
        <v>6317</v>
      </c>
      <c r="H6544" s="11">
        <v>36861</v>
      </c>
      <c r="I6544" s="10">
        <v>2001</v>
      </c>
      <c r="J6544" s="10" t="s">
        <v>15366</v>
      </c>
      <c r="K6544" s="10">
        <v>150</v>
      </c>
      <c r="L6544" s="10" t="s">
        <v>31973</v>
      </c>
      <c r="M6544" s="10">
        <v>1</v>
      </c>
      <c r="N6544" s="10"/>
      <c r="O6544" s="10"/>
      <c r="P6544" s="10" t="s">
        <v>31974</v>
      </c>
      <c r="Q6544" s="10" t="s">
        <v>31975</v>
      </c>
      <c r="R6544" s="10" t="s">
        <v>31976</v>
      </c>
      <c r="S6544" s="10" t="s">
        <v>53</v>
      </c>
      <c r="T6544" s="10" t="s">
        <v>6601</v>
      </c>
    </row>
    <row r="6545" spans="1:20" ht="14.5" x14ac:dyDescent="0.35">
      <c r="A6545" s="10" t="s">
        <v>31977</v>
      </c>
      <c r="B6545" s="10" t="str">
        <f>"9780838909294"</f>
        <v>9780838909294</v>
      </c>
      <c r="C6545" s="10" t="str">
        <f>"9781441618825"</f>
        <v>9781441618825</v>
      </c>
      <c r="D6545" s="10" t="s">
        <v>15366</v>
      </c>
      <c r="E6545" s="10" t="s">
        <v>15366</v>
      </c>
      <c r="F6545" s="10" t="s">
        <v>324</v>
      </c>
      <c r="G6545" s="10" t="s">
        <v>6317</v>
      </c>
      <c r="H6545" s="11">
        <v>39052</v>
      </c>
      <c r="I6545" s="10">
        <v>2007</v>
      </c>
      <c r="J6545" s="10" t="s">
        <v>15366</v>
      </c>
      <c r="K6545" s="10">
        <v>184</v>
      </c>
      <c r="L6545" s="10" t="s">
        <v>31978</v>
      </c>
      <c r="M6545" s="10">
        <v>1</v>
      </c>
      <c r="N6545" s="10"/>
      <c r="O6545" s="10"/>
      <c r="P6545" s="10" t="s">
        <v>31979</v>
      </c>
      <c r="Q6545" s="10">
        <v>372.47</v>
      </c>
      <c r="R6545" s="10" t="s">
        <v>31980</v>
      </c>
      <c r="S6545" s="10" t="s">
        <v>53</v>
      </c>
      <c r="T6545" s="10" t="s">
        <v>54</v>
      </c>
    </row>
    <row r="6546" spans="1:20" ht="14.5" x14ac:dyDescent="0.35">
      <c r="A6546" s="10" t="s">
        <v>31981</v>
      </c>
      <c r="B6546" s="10" t="str">
        <f>"9780838907986"</f>
        <v>9780838907986</v>
      </c>
      <c r="C6546" s="10" t="str">
        <f>"9780838993613"</f>
        <v>9780838993613</v>
      </c>
      <c r="D6546" s="10" t="s">
        <v>15366</v>
      </c>
      <c r="E6546" s="10" t="s">
        <v>15366</v>
      </c>
      <c r="F6546" s="10" t="s">
        <v>324</v>
      </c>
      <c r="G6546" s="10" t="s">
        <v>6317</v>
      </c>
      <c r="H6546" s="11">
        <v>36861</v>
      </c>
      <c r="I6546" s="10">
        <v>2001</v>
      </c>
      <c r="J6546" s="10" t="s">
        <v>15366</v>
      </c>
      <c r="K6546" s="10">
        <v>232</v>
      </c>
      <c r="L6546" s="10" t="s">
        <v>31982</v>
      </c>
      <c r="M6546" s="10">
        <v>1</v>
      </c>
      <c r="N6546" s="10"/>
      <c r="O6546" s="10"/>
      <c r="P6546" s="10" t="s">
        <v>31983</v>
      </c>
      <c r="Q6546" s="10" t="s">
        <v>31984</v>
      </c>
      <c r="R6546" s="10" t="s">
        <v>31985</v>
      </c>
      <c r="S6546" s="10" t="s">
        <v>53</v>
      </c>
      <c r="T6546" s="10" t="s">
        <v>10302</v>
      </c>
    </row>
    <row r="6547" spans="1:20" ht="14.5" x14ac:dyDescent="0.35">
      <c r="A6547" s="10" t="s">
        <v>31986</v>
      </c>
      <c r="B6547" s="10" t="str">
        <f>"9780838908433"</f>
        <v>9780838908433</v>
      </c>
      <c r="C6547" s="10" t="str">
        <f>"9780838999561"</f>
        <v>9780838999561</v>
      </c>
      <c r="D6547" s="10" t="s">
        <v>15366</v>
      </c>
      <c r="E6547" s="10" t="s">
        <v>15366</v>
      </c>
      <c r="F6547" s="10" t="s">
        <v>324</v>
      </c>
      <c r="G6547" s="10" t="s">
        <v>6317</v>
      </c>
      <c r="H6547" s="11">
        <v>37591</v>
      </c>
      <c r="I6547" s="10">
        <v>2003</v>
      </c>
      <c r="J6547" s="10" t="s">
        <v>15366</v>
      </c>
      <c r="K6547" s="10">
        <v>168</v>
      </c>
      <c r="L6547" s="10" t="s">
        <v>31987</v>
      </c>
      <c r="M6547" s="10">
        <v>1</v>
      </c>
      <c r="N6547" s="10"/>
      <c r="O6547" s="10"/>
      <c r="P6547" s="10" t="s">
        <v>31988</v>
      </c>
      <c r="Q6547" s="10" t="s">
        <v>31989</v>
      </c>
      <c r="R6547" s="10" t="s">
        <v>31990</v>
      </c>
      <c r="S6547" s="10" t="s">
        <v>53</v>
      </c>
      <c r="T6547" s="10" t="s">
        <v>10302</v>
      </c>
    </row>
    <row r="6548" spans="1:20" ht="14.5" x14ac:dyDescent="0.35">
      <c r="A6548" s="10" t="s">
        <v>31991</v>
      </c>
      <c r="B6548" s="10" t="str">
        <f>"9780838908136"</f>
        <v>9780838908136</v>
      </c>
      <c r="C6548" s="10" t="str">
        <f>"9780838999493"</f>
        <v>9780838999493</v>
      </c>
      <c r="D6548" s="10" t="s">
        <v>15366</v>
      </c>
      <c r="E6548" s="10" t="s">
        <v>15366</v>
      </c>
      <c r="F6548" s="10" t="s">
        <v>324</v>
      </c>
      <c r="G6548" s="10" t="s">
        <v>6317</v>
      </c>
      <c r="H6548" s="11">
        <v>37226</v>
      </c>
      <c r="I6548" s="10">
        <v>2002</v>
      </c>
      <c r="J6548" s="10" t="s">
        <v>15366</v>
      </c>
      <c r="K6548" s="10">
        <v>206</v>
      </c>
      <c r="L6548" s="10" t="s">
        <v>31992</v>
      </c>
      <c r="M6548" s="10">
        <v>1</v>
      </c>
      <c r="N6548" s="10"/>
      <c r="O6548" s="10"/>
      <c r="P6548" s="10" t="s">
        <v>31993</v>
      </c>
      <c r="Q6548" s="10" t="s">
        <v>31994</v>
      </c>
      <c r="R6548" s="10" t="s">
        <v>31995</v>
      </c>
      <c r="S6548" s="10" t="s">
        <v>53</v>
      </c>
      <c r="T6548" s="10" t="s">
        <v>10302</v>
      </c>
    </row>
    <row r="6549" spans="1:20" ht="14.5" x14ac:dyDescent="0.35">
      <c r="A6549" s="10" t="s">
        <v>31996</v>
      </c>
      <c r="B6549" s="10" t="str">
        <f>"9780838908105"</f>
        <v>9780838908105</v>
      </c>
      <c r="C6549" s="10" t="str">
        <f>"9780838999509"</f>
        <v>9780838999509</v>
      </c>
      <c r="D6549" s="10" t="s">
        <v>15366</v>
      </c>
      <c r="E6549" s="10" t="s">
        <v>382</v>
      </c>
      <c r="F6549" s="10" t="s">
        <v>324</v>
      </c>
      <c r="G6549" s="10" t="s">
        <v>6317</v>
      </c>
      <c r="H6549" s="11">
        <v>41436</v>
      </c>
      <c r="I6549" s="10">
        <v>2014</v>
      </c>
      <c r="J6549" s="10" t="s">
        <v>382</v>
      </c>
      <c r="K6549" s="10">
        <v>153</v>
      </c>
      <c r="L6549" s="10" t="s">
        <v>31997</v>
      </c>
      <c r="M6549" s="10">
        <v>2</v>
      </c>
      <c r="N6549" s="10"/>
      <c r="O6549" s="10"/>
      <c r="P6549" s="10" t="s">
        <v>15368</v>
      </c>
      <c r="Q6549" s="10" t="s">
        <v>31998</v>
      </c>
      <c r="R6549" s="10" t="s">
        <v>31999</v>
      </c>
      <c r="S6549" s="10" t="s">
        <v>53</v>
      </c>
      <c r="T6549" s="10" t="s">
        <v>10302</v>
      </c>
    </row>
    <row r="6550" spans="1:20" ht="14.5" x14ac:dyDescent="0.35">
      <c r="A6550" s="10" t="s">
        <v>32000</v>
      </c>
      <c r="B6550" s="10" t="str">
        <f>"9780838909140"</f>
        <v>9780838909140</v>
      </c>
      <c r="C6550" s="10" t="str">
        <f>"9780838998441"</f>
        <v>9780838998441</v>
      </c>
      <c r="D6550" s="10" t="s">
        <v>15366</v>
      </c>
      <c r="E6550" s="10" t="s">
        <v>15366</v>
      </c>
      <c r="F6550" s="10" t="s">
        <v>324</v>
      </c>
      <c r="G6550" s="10" t="s">
        <v>6317</v>
      </c>
      <c r="H6550" s="11">
        <v>38687</v>
      </c>
      <c r="I6550" s="10">
        <v>2006</v>
      </c>
      <c r="J6550" s="10" t="s">
        <v>15366</v>
      </c>
      <c r="K6550" s="10">
        <v>225</v>
      </c>
      <c r="L6550" s="10" t="s">
        <v>32001</v>
      </c>
      <c r="M6550" s="10">
        <v>1</v>
      </c>
      <c r="N6550" s="10"/>
      <c r="O6550" s="10"/>
      <c r="P6550" s="10" t="s">
        <v>32002</v>
      </c>
      <c r="Q6550" s="10">
        <v>28.7</v>
      </c>
      <c r="R6550" s="10" t="s">
        <v>32003</v>
      </c>
      <c r="S6550" s="10" t="s">
        <v>53</v>
      </c>
      <c r="T6550" s="10" t="s">
        <v>16990</v>
      </c>
    </row>
    <row r="6551" spans="1:20" ht="14.5" x14ac:dyDescent="0.35">
      <c r="A6551" s="10" t="s">
        <v>32004</v>
      </c>
      <c r="B6551" s="10" t="str">
        <f>"9780838909133"</f>
        <v>9780838909133</v>
      </c>
      <c r="C6551" s="10" t="str">
        <f>"9780838998472"</f>
        <v>9780838998472</v>
      </c>
      <c r="D6551" s="10" t="s">
        <v>15366</v>
      </c>
      <c r="E6551" s="10" t="s">
        <v>15366</v>
      </c>
      <c r="F6551" s="10" t="s">
        <v>324</v>
      </c>
      <c r="G6551" s="10" t="s">
        <v>6317</v>
      </c>
      <c r="H6551" s="11">
        <v>38687</v>
      </c>
      <c r="I6551" s="10">
        <v>2006</v>
      </c>
      <c r="J6551" s="10" t="s">
        <v>15366</v>
      </c>
      <c r="K6551" s="10">
        <v>180</v>
      </c>
      <c r="L6551" s="10" t="s">
        <v>32005</v>
      </c>
      <c r="M6551" s="10">
        <v>1</v>
      </c>
      <c r="N6551" s="10"/>
      <c r="O6551" s="10"/>
      <c r="P6551" s="10" t="s">
        <v>32006</v>
      </c>
      <c r="Q6551" s="10" t="s">
        <v>18468</v>
      </c>
      <c r="R6551" s="10" t="s">
        <v>32007</v>
      </c>
      <c r="S6551" s="10" t="s">
        <v>53</v>
      </c>
      <c r="T6551" s="10" t="s">
        <v>10302</v>
      </c>
    </row>
    <row r="6552" spans="1:20" ht="14.5" x14ac:dyDescent="0.35">
      <c r="A6552" s="10" t="s">
        <v>32008</v>
      </c>
      <c r="B6552" s="10" t="str">
        <f>"9781628941029"</f>
        <v>9781628941029</v>
      </c>
      <c r="C6552" s="10" t="str">
        <f>"9781628941043"</f>
        <v>9781628941043</v>
      </c>
      <c r="D6552" s="10" t="s">
        <v>11686</v>
      </c>
      <c r="E6552" s="10" t="s">
        <v>11686</v>
      </c>
      <c r="F6552" s="10" t="s">
        <v>70</v>
      </c>
      <c r="G6552" s="10" t="s">
        <v>6317</v>
      </c>
      <c r="H6552" s="11">
        <v>42139</v>
      </c>
      <c r="I6552" s="10">
        <v>2015</v>
      </c>
      <c r="J6552" s="10" t="s">
        <v>11686</v>
      </c>
      <c r="K6552" s="10">
        <v>262</v>
      </c>
      <c r="L6552" s="10" t="s">
        <v>32009</v>
      </c>
      <c r="M6552" s="10">
        <v>1</v>
      </c>
      <c r="N6552" s="10"/>
      <c r="O6552" s="10"/>
      <c r="P6552" s="10" t="s">
        <v>32010</v>
      </c>
      <c r="Q6552" s="10">
        <v>371.90973000000002</v>
      </c>
      <c r="R6552" s="10" t="s">
        <v>32011</v>
      </c>
      <c r="S6552" s="10" t="s">
        <v>53</v>
      </c>
      <c r="T6552" s="10" t="s">
        <v>54</v>
      </c>
    </row>
    <row r="6553" spans="1:20" ht="14.5" x14ac:dyDescent="0.35">
      <c r="A6553" s="10" t="s">
        <v>32012</v>
      </c>
      <c r="B6553" s="10" t="str">
        <f>"9780875860299"</f>
        <v>9780875860299</v>
      </c>
      <c r="C6553" s="10" t="str">
        <f>"9780875866567"</f>
        <v>9780875866567</v>
      </c>
      <c r="D6553" s="10" t="s">
        <v>11686</v>
      </c>
      <c r="E6553" s="10" t="s">
        <v>11686</v>
      </c>
      <c r="F6553" s="10" t="s">
        <v>70</v>
      </c>
      <c r="G6553" s="10" t="s">
        <v>6317</v>
      </c>
      <c r="H6553" s="11">
        <v>26665</v>
      </c>
      <c r="I6553" s="10">
        <v>1973</v>
      </c>
      <c r="J6553" s="10" t="s">
        <v>32013</v>
      </c>
      <c r="K6553" s="10">
        <v>116</v>
      </c>
      <c r="L6553" s="10" t="s">
        <v>32014</v>
      </c>
      <c r="M6553" s="10">
        <v>1</v>
      </c>
      <c r="N6553" s="10"/>
      <c r="O6553" s="10"/>
      <c r="P6553" s="10" t="s">
        <v>32015</v>
      </c>
      <c r="Q6553" s="10">
        <v>155.41309240000001</v>
      </c>
      <c r="R6553" s="10" t="s">
        <v>32016</v>
      </c>
      <c r="S6553" s="10" t="s">
        <v>53</v>
      </c>
      <c r="T6553" s="10" t="s">
        <v>6492</v>
      </c>
    </row>
    <row r="6554" spans="1:20" ht="14.5" x14ac:dyDescent="0.35">
      <c r="A6554" s="10" t="s">
        <v>32017</v>
      </c>
      <c r="B6554" s="10" t="str">
        <f>"9789056297213"</f>
        <v>9789056297213</v>
      </c>
      <c r="C6554" s="10" t="str">
        <f>"9789048518265"</f>
        <v>9789048518265</v>
      </c>
      <c r="D6554" s="10" t="s">
        <v>13287</v>
      </c>
      <c r="E6554" s="10" t="s">
        <v>13287</v>
      </c>
      <c r="F6554" s="10" t="s">
        <v>1818</v>
      </c>
      <c r="G6554" s="10" t="s">
        <v>9233</v>
      </c>
      <c r="H6554" s="11">
        <v>41197</v>
      </c>
      <c r="I6554" s="10">
        <v>2012</v>
      </c>
      <c r="J6554" s="10" t="s">
        <v>1818</v>
      </c>
      <c r="K6554" s="10">
        <v>56</v>
      </c>
      <c r="L6554" s="10" t="s">
        <v>32018</v>
      </c>
      <c r="M6554" s="10">
        <v>1</v>
      </c>
      <c r="N6554" s="10"/>
      <c r="O6554" s="10"/>
      <c r="P6554" s="10" t="s">
        <v>32019</v>
      </c>
      <c r="Q6554" s="10"/>
      <c r="R6554" s="10" t="s">
        <v>32020</v>
      </c>
      <c r="S6554" s="10" t="s">
        <v>3107</v>
      </c>
      <c r="T6554" s="10" t="s">
        <v>4490</v>
      </c>
    </row>
    <row r="6555" spans="1:20" ht="14.5" x14ac:dyDescent="0.35">
      <c r="A6555" s="10" t="s">
        <v>32021</v>
      </c>
      <c r="B6555" s="10" t="str">
        <f>"9789056297206"</f>
        <v>9789056297206</v>
      </c>
      <c r="C6555" s="10" t="str">
        <f>"9789048518067"</f>
        <v>9789048518067</v>
      </c>
      <c r="D6555" s="10" t="s">
        <v>13287</v>
      </c>
      <c r="E6555" s="10" t="s">
        <v>13287</v>
      </c>
      <c r="F6555" s="10" t="s">
        <v>1818</v>
      </c>
      <c r="G6555" s="10" t="s">
        <v>9233</v>
      </c>
      <c r="H6555" s="11">
        <v>41177</v>
      </c>
      <c r="I6555" s="10">
        <v>2012</v>
      </c>
      <c r="J6555" s="10" t="s">
        <v>1818</v>
      </c>
      <c r="K6555" s="10">
        <v>184</v>
      </c>
      <c r="L6555" s="10" t="s">
        <v>32022</v>
      </c>
      <c r="M6555" s="10">
        <v>1</v>
      </c>
      <c r="N6555" s="10" t="s">
        <v>32023</v>
      </c>
      <c r="O6555" s="10"/>
      <c r="P6555" s="10" t="s">
        <v>32024</v>
      </c>
      <c r="Q6555" s="10"/>
      <c r="R6555" s="10" t="s">
        <v>17321</v>
      </c>
      <c r="S6555" s="10" t="s">
        <v>53</v>
      </c>
      <c r="T6555" s="10" t="s">
        <v>54</v>
      </c>
    </row>
    <row r="6556" spans="1:20" ht="14.5" x14ac:dyDescent="0.35">
      <c r="A6556" s="10" t="s">
        <v>32025</v>
      </c>
      <c r="B6556" s="10" t="str">
        <f>""</f>
        <v/>
      </c>
      <c r="C6556" s="10" t="str">
        <f>"9780871209047"</f>
        <v>9780871209047</v>
      </c>
      <c r="D6556" s="10" t="s">
        <v>10014</v>
      </c>
      <c r="E6556" s="10" t="s">
        <v>10015</v>
      </c>
      <c r="F6556" s="10" t="s">
        <v>201</v>
      </c>
      <c r="G6556" s="10" t="s">
        <v>6317</v>
      </c>
      <c r="H6556" s="11">
        <v>37591</v>
      </c>
      <c r="I6556" s="10">
        <v>2003</v>
      </c>
      <c r="J6556" s="10" t="s">
        <v>32026</v>
      </c>
      <c r="K6556" s="10">
        <v>265</v>
      </c>
      <c r="L6556" s="10" t="s">
        <v>32027</v>
      </c>
      <c r="M6556" s="10">
        <v>1</v>
      </c>
      <c r="N6556" s="10"/>
      <c r="O6556" s="10"/>
      <c r="P6556" s="10" t="s">
        <v>32028</v>
      </c>
      <c r="Q6556" s="10">
        <v>373.19</v>
      </c>
      <c r="R6556" s="10" t="s">
        <v>32029</v>
      </c>
      <c r="S6556" s="10" t="s">
        <v>53</v>
      </c>
      <c r="T6556" s="10" t="s">
        <v>54</v>
      </c>
    </row>
    <row r="6557" spans="1:20" ht="14.5" x14ac:dyDescent="0.35">
      <c r="A6557" s="10" t="s">
        <v>32030</v>
      </c>
      <c r="B6557" s="10" t="str">
        <f>""</f>
        <v/>
      </c>
      <c r="C6557" s="10" t="str">
        <f>"9780871209139"</f>
        <v>9780871209139</v>
      </c>
      <c r="D6557" s="10" t="s">
        <v>10014</v>
      </c>
      <c r="E6557" s="10" t="s">
        <v>10015</v>
      </c>
      <c r="F6557" s="10" t="s">
        <v>201</v>
      </c>
      <c r="G6557" s="10" t="s">
        <v>6317</v>
      </c>
      <c r="H6557" s="11">
        <v>37196</v>
      </c>
      <c r="I6557" s="10">
        <v>2001</v>
      </c>
      <c r="J6557" s="10" t="s">
        <v>32026</v>
      </c>
      <c r="K6557" s="10">
        <v>175</v>
      </c>
      <c r="L6557" s="10" t="s">
        <v>32031</v>
      </c>
      <c r="M6557" s="10">
        <v>1</v>
      </c>
      <c r="N6557" s="10"/>
      <c r="O6557" s="10"/>
      <c r="P6557" s="10" t="s">
        <v>32032</v>
      </c>
      <c r="Q6557" s="10"/>
      <c r="R6557" s="10" t="s">
        <v>32033</v>
      </c>
      <c r="S6557" s="10" t="s">
        <v>53</v>
      </c>
      <c r="T6557" s="10" t="s">
        <v>54</v>
      </c>
    </row>
    <row r="6558" spans="1:20" ht="14.5" x14ac:dyDescent="0.35">
      <c r="A6558" s="10" t="s">
        <v>32034</v>
      </c>
      <c r="B6558" s="10" t="str">
        <f>""</f>
        <v/>
      </c>
      <c r="C6558" s="10" t="str">
        <f>"9780871209016"</f>
        <v>9780871209016</v>
      </c>
      <c r="D6558" s="10" t="s">
        <v>10014</v>
      </c>
      <c r="E6558" s="10" t="s">
        <v>10015</v>
      </c>
      <c r="F6558" s="10" t="s">
        <v>201</v>
      </c>
      <c r="G6558" s="10" t="s">
        <v>6317</v>
      </c>
      <c r="H6558" s="11">
        <v>37377</v>
      </c>
      <c r="I6558" s="10">
        <v>2002</v>
      </c>
      <c r="J6558" s="10" t="s">
        <v>32026</v>
      </c>
      <c r="K6558" s="10">
        <v>174</v>
      </c>
      <c r="L6558" s="10" t="s">
        <v>32035</v>
      </c>
      <c r="M6558" s="10">
        <v>1</v>
      </c>
      <c r="N6558" s="10"/>
      <c r="O6558" s="10"/>
      <c r="P6558" s="10" t="s">
        <v>32036</v>
      </c>
      <c r="Q6558" s="10"/>
      <c r="R6558" s="10" t="s">
        <v>19383</v>
      </c>
      <c r="S6558" s="10" t="s">
        <v>53</v>
      </c>
      <c r="T6558" s="10" t="s">
        <v>54</v>
      </c>
    </row>
    <row r="6559" spans="1:20" ht="14.5" x14ac:dyDescent="0.35">
      <c r="A6559" s="10" t="s">
        <v>32037</v>
      </c>
      <c r="B6559" s="10" t="str">
        <f>""</f>
        <v/>
      </c>
      <c r="C6559" s="10" t="str">
        <f>"9780871209054"</f>
        <v>9780871209054</v>
      </c>
      <c r="D6559" s="10" t="s">
        <v>10014</v>
      </c>
      <c r="E6559" s="10" t="s">
        <v>10015</v>
      </c>
      <c r="F6559" s="10" t="s">
        <v>201</v>
      </c>
      <c r="G6559" s="10" t="s">
        <v>6317</v>
      </c>
      <c r="H6559" s="11">
        <v>36831</v>
      </c>
      <c r="I6559" s="10">
        <v>2000</v>
      </c>
      <c r="J6559" s="10" t="s">
        <v>32026</v>
      </c>
      <c r="K6559" s="10">
        <v>157</v>
      </c>
      <c r="L6559" s="10" t="s">
        <v>30850</v>
      </c>
      <c r="M6559" s="10">
        <v>1</v>
      </c>
      <c r="N6559" s="10"/>
      <c r="O6559" s="10"/>
      <c r="P6559" s="10" t="s">
        <v>32038</v>
      </c>
      <c r="Q6559" s="10">
        <v>371.10199999999998</v>
      </c>
      <c r="R6559" s="10" t="s">
        <v>32039</v>
      </c>
      <c r="S6559" s="10" t="s">
        <v>53</v>
      </c>
      <c r="T6559" s="10" t="s">
        <v>54</v>
      </c>
    </row>
    <row r="6560" spans="1:20" ht="14.5" x14ac:dyDescent="0.35">
      <c r="A6560" s="10" t="s">
        <v>32040</v>
      </c>
      <c r="B6560" s="10" t="str">
        <f>""</f>
        <v/>
      </c>
      <c r="C6560" s="10" t="str">
        <f>"9780871209221"</f>
        <v>9780871209221</v>
      </c>
      <c r="D6560" s="10" t="s">
        <v>10014</v>
      </c>
      <c r="E6560" s="10" t="s">
        <v>10015</v>
      </c>
      <c r="F6560" s="10" t="s">
        <v>201</v>
      </c>
      <c r="G6560" s="10" t="s">
        <v>6317</v>
      </c>
      <c r="H6560" s="11">
        <v>36861</v>
      </c>
      <c r="I6560" s="10">
        <v>2001</v>
      </c>
      <c r="J6560" s="10" t="s">
        <v>32026</v>
      </c>
      <c r="K6560" s="10">
        <v>119</v>
      </c>
      <c r="L6560" s="10" t="s">
        <v>32041</v>
      </c>
      <c r="M6560" s="10">
        <v>1</v>
      </c>
      <c r="N6560" s="10"/>
      <c r="O6560" s="10"/>
      <c r="P6560" s="10" t="s">
        <v>32042</v>
      </c>
      <c r="Q6560" s="10"/>
      <c r="R6560" s="10" t="s">
        <v>32043</v>
      </c>
      <c r="S6560" s="10" t="s">
        <v>53</v>
      </c>
      <c r="T6560" s="10" t="s">
        <v>54</v>
      </c>
    </row>
    <row r="6561" spans="1:20" ht="14.5" x14ac:dyDescent="0.35">
      <c r="A6561" s="10" t="s">
        <v>32044</v>
      </c>
      <c r="B6561" s="10" t="str">
        <f>"9780871207838"</f>
        <v>9780871207838</v>
      </c>
      <c r="C6561" s="10" t="str">
        <f>"9781416601296"</f>
        <v>9781416601296</v>
      </c>
      <c r="D6561" s="10" t="s">
        <v>10014</v>
      </c>
      <c r="E6561" s="10" t="s">
        <v>10015</v>
      </c>
      <c r="F6561" s="10" t="s">
        <v>201</v>
      </c>
      <c r="G6561" s="10" t="s">
        <v>6317</v>
      </c>
      <c r="H6561" s="11">
        <v>37834</v>
      </c>
      <c r="I6561" s="10">
        <v>2003</v>
      </c>
      <c r="J6561" s="10" t="s">
        <v>10015</v>
      </c>
      <c r="K6561" s="10">
        <v>147</v>
      </c>
      <c r="L6561" s="10" t="s">
        <v>32045</v>
      </c>
      <c r="M6561" s="10">
        <v>1</v>
      </c>
      <c r="N6561" s="10"/>
      <c r="O6561" s="10"/>
      <c r="P6561" s="10" t="s">
        <v>32046</v>
      </c>
      <c r="Q6561" s="10" t="s">
        <v>8304</v>
      </c>
      <c r="R6561" s="10" t="s">
        <v>32047</v>
      </c>
      <c r="S6561" s="10" t="s">
        <v>53</v>
      </c>
      <c r="T6561" s="10" t="s">
        <v>54</v>
      </c>
    </row>
    <row r="6562" spans="1:20" ht="14.5" x14ac:dyDescent="0.35">
      <c r="A6562" s="10" t="s">
        <v>32048</v>
      </c>
      <c r="B6562" s="10" t="str">
        <f>"9780871206916"</f>
        <v>9780871206916</v>
      </c>
      <c r="C6562" s="10" t="str">
        <f>"9780871208934"</f>
        <v>9780871208934</v>
      </c>
      <c r="D6562" s="10" t="s">
        <v>10014</v>
      </c>
      <c r="E6562" s="10" t="s">
        <v>10015</v>
      </c>
      <c r="F6562" s="10" t="s">
        <v>201</v>
      </c>
      <c r="G6562" s="10" t="s">
        <v>6317</v>
      </c>
      <c r="H6562" s="11">
        <v>37591</v>
      </c>
      <c r="I6562" s="10">
        <v>2002</v>
      </c>
      <c r="J6562" s="10" t="s">
        <v>10015</v>
      </c>
      <c r="K6562" s="10">
        <v>158</v>
      </c>
      <c r="L6562" s="10" t="s">
        <v>10447</v>
      </c>
      <c r="M6562" s="10">
        <v>1</v>
      </c>
      <c r="N6562" s="10"/>
      <c r="O6562" s="10"/>
      <c r="P6562" s="10" t="s">
        <v>32049</v>
      </c>
      <c r="Q6562" s="10">
        <v>371.2</v>
      </c>
      <c r="R6562" s="10" t="s">
        <v>32050</v>
      </c>
      <c r="S6562" s="10" t="s">
        <v>53</v>
      </c>
      <c r="T6562" s="10" t="s">
        <v>54</v>
      </c>
    </row>
    <row r="6563" spans="1:20" ht="14.5" x14ac:dyDescent="0.35">
      <c r="A6563" s="10" t="s">
        <v>32051</v>
      </c>
      <c r="B6563" s="10" t="str">
        <f>""</f>
        <v/>
      </c>
      <c r="C6563" s="10" t="str">
        <f>"9780871208873"</f>
        <v>9780871208873</v>
      </c>
      <c r="D6563" s="10" t="s">
        <v>10014</v>
      </c>
      <c r="E6563" s="10" t="s">
        <v>10015</v>
      </c>
      <c r="F6563" s="10" t="s">
        <v>201</v>
      </c>
      <c r="G6563" s="10" t="s">
        <v>6317</v>
      </c>
      <c r="H6563" s="11">
        <v>37591</v>
      </c>
      <c r="I6563" s="10">
        <v>2003</v>
      </c>
      <c r="J6563" s="10" t="s">
        <v>32026</v>
      </c>
      <c r="K6563" s="10">
        <v>217</v>
      </c>
      <c r="L6563" s="10" t="s">
        <v>32027</v>
      </c>
      <c r="M6563" s="10">
        <v>1</v>
      </c>
      <c r="N6563" s="10"/>
      <c r="O6563" s="10"/>
      <c r="P6563" s="10" t="s">
        <v>32052</v>
      </c>
      <c r="Q6563" s="10">
        <v>372.19</v>
      </c>
      <c r="R6563" s="10" t="s">
        <v>32053</v>
      </c>
      <c r="S6563" s="10" t="s">
        <v>53</v>
      </c>
      <c r="T6563" s="10" t="s">
        <v>54</v>
      </c>
    </row>
    <row r="6564" spans="1:20" ht="14.5" x14ac:dyDescent="0.35">
      <c r="A6564" s="10" t="s">
        <v>32054</v>
      </c>
      <c r="B6564" s="10" t="str">
        <f>"9780871206565"</f>
        <v>9780871206565</v>
      </c>
      <c r="C6564" s="10" t="str">
        <f>"9780871209085"</f>
        <v>9780871209085</v>
      </c>
      <c r="D6564" s="10" t="s">
        <v>10014</v>
      </c>
      <c r="E6564" s="10" t="s">
        <v>10015</v>
      </c>
      <c r="F6564" s="10" t="s">
        <v>201</v>
      </c>
      <c r="G6564" s="10" t="s">
        <v>6317</v>
      </c>
      <c r="H6564" s="11">
        <v>36982</v>
      </c>
      <c r="I6564" s="10">
        <v>2002</v>
      </c>
      <c r="J6564" s="10" t="s">
        <v>10015</v>
      </c>
      <c r="K6564" s="10">
        <v>131</v>
      </c>
      <c r="L6564" s="10" t="s">
        <v>26554</v>
      </c>
      <c r="M6564" s="10"/>
      <c r="N6564" s="10"/>
      <c r="O6564" s="10"/>
      <c r="P6564" s="10" t="s">
        <v>32055</v>
      </c>
      <c r="Q6564" s="10">
        <v>371.3</v>
      </c>
      <c r="R6564" s="10" t="s">
        <v>32056</v>
      </c>
      <c r="S6564" s="10" t="s">
        <v>53</v>
      </c>
      <c r="T6564" s="10" t="s">
        <v>54</v>
      </c>
    </row>
    <row r="6565" spans="1:20" ht="14.5" x14ac:dyDescent="0.35">
      <c r="A6565" s="10" t="s">
        <v>32057</v>
      </c>
      <c r="B6565" s="10" t="str">
        <f>"9780871203748"</f>
        <v>9780871203748</v>
      </c>
      <c r="C6565" s="10" t="str">
        <f>"9781416601289"</f>
        <v>9781416601289</v>
      </c>
      <c r="D6565" s="10" t="s">
        <v>10014</v>
      </c>
      <c r="E6565" s="10" t="s">
        <v>10015</v>
      </c>
      <c r="F6565" s="10" t="s">
        <v>201</v>
      </c>
      <c r="G6565" s="10" t="s">
        <v>6317</v>
      </c>
      <c r="H6565" s="11">
        <v>36678</v>
      </c>
      <c r="I6565" s="10">
        <v>2000</v>
      </c>
      <c r="J6565" s="10" t="s">
        <v>10015</v>
      </c>
      <c r="K6565" s="10">
        <v>180</v>
      </c>
      <c r="L6565" s="10" t="s">
        <v>32058</v>
      </c>
      <c r="M6565" s="10">
        <v>1</v>
      </c>
      <c r="N6565" s="10"/>
      <c r="O6565" s="10"/>
      <c r="P6565" s="10" t="s">
        <v>32059</v>
      </c>
      <c r="Q6565" s="10">
        <v>371.2</v>
      </c>
      <c r="R6565" s="10" t="s">
        <v>32060</v>
      </c>
      <c r="S6565" s="10" t="s">
        <v>53</v>
      </c>
      <c r="T6565" s="10" t="s">
        <v>54</v>
      </c>
    </row>
    <row r="6566" spans="1:20" ht="14.5" x14ac:dyDescent="0.35">
      <c r="A6566" s="10" t="s">
        <v>32061</v>
      </c>
      <c r="B6566" s="10" t="str">
        <f>"9780871207487"</f>
        <v>9780871207487</v>
      </c>
      <c r="C6566" s="10" t="str">
        <f>"9780871208897"</f>
        <v>9780871208897</v>
      </c>
      <c r="D6566" s="10" t="s">
        <v>10014</v>
      </c>
      <c r="E6566" s="10" t="s">
        <v>10015</v>
      </c>
      <c r="F6566" s="10" t="s">
        <v>201</v>
      </c>
      <c r="G6566" s="10" t="s">
        <v>6317</v>
      </c>
      <c r="H6566" s="11">
        <v>37653</v>
      </c>
      <c r="I6566" s="10">
        <v>2003</v>
      </c>
      <c r="J6566" s="10" t="s">
        <v>10015</v>
      </c>
      <c r="K6566" s="10">
        <v>179</v>
      </c>
      <c r="L6566" s="10" t="s">
        <v>32062</v>
      </c>
      <c r="M6566" s="10"/>
      <c r="N6566" s="10"/>
      <c r="O6566" s="10"/>
      <c r="P6566" s="10" t="s">
        <v>32063</v>
      </c>
      <c r="Q6566" s="10">
        <v>371.10199999999998</v>
      </c>
      <c r="R6566" s="10" t="s">
        <v>12145</v>
      </c>
      <c r="S6566" s="10" t="s">
        <v>53</v>
      </c>
      <c r="T6566" s="10" t="s">
        <v>54</v>
      </c>
    </row>
    <row r="6567" spans="1:20" ht="14.5" x14ac:dyDescent="0.35">
      <c r="A6567" s="10" t="s">
        <v>32064</v>
      </c>
      <c r="B6567" s="10" t="str">
        <f>""</f>
        <v/>
      </c>
      <c r="C6567" s="10" t="str">
        <f>"9780871209078"</f>
        <v>9780871209078</v>
      </c>
      <c r="D6567" s="10" t="s">
        <v>10014</v>
      </c>
      <c r="E6567" s="10" t="s">
        <v>10015</v>
      </c>
      <c r="F6567" s="10" t="s">
        <v>201</v>
      </c>
      <c r="G6567" s="10" t="s">
        <v>6317</v>
      </c>
      <c r="H6567" s="11">
        <v>37591</v>
      </c>
      <c r="I6567" s="10">
        <v>2002</v>
      </c>
      <c r="J6567" s="10" t="s">
        <v>32026</v>
      </c>
      <c r="K6567" s="10">
        <v>230</v>
      </c>
      <c r="L6567" s="10" t="s">
        <v>32065</v>
      </c>
      <c r="M6567" s="10">
        <v>1</v>
      </c>
      <c r="N6567" s="10"/>
      <c r="O6567" s="10"/>
      <c r="P6567" s="10" t="s">
        <v>32066</v>
      </c>
      <c r="Q6567" s="10">
        <v>371.2</v>
      </c>
      <c r="R6567" s="10" t="s">
        <v>32067</v>
      </c>
      <c r="S6567" s="10" t="s">
        <v>53</v>
      </c>
      <c r="T6567" s="10" t="s">
        <v>54</v>
      </c>
    </row>
    <row r="6568" spans="1:20" ht="14.5" x14ac:dyDescent="0.35">
      <c r="A6568" s="10" t="s">
        <v>32068</v>
      </c>
      <c r="B6568" s="10" t="str">
        <f>"9780871207760"</f>
        <v>9780871207760</v>
      </c>
      <c r="C6568" s="10" t="str">
        <f>"9781416600930"</f>
        <v>9781416600930</v>
      </c>
      <c r="D6568" s="10" t="s">
        <v>10014</v>
      </c>
      <c r="E6568" s="10" t="s">
        <v>10015</v>
      </c>
      <c r="F6568" s="10" t="s">
        <v>201</v>
      </c>
      <c r="G6568" s="10" t="s">
        <v>6317</v>
      </c>
      <c r="H6568" s="11">
        <v>37773</v>
      </c>
      <c r="I6568" s="10">
        <v>2003</v>
      </c>
      <c r="J6568" s="10" t="s">
        <v>10015</v>
      </c>
      <c r="K6568" s="10">
        <v>130</v>
      </c>
      <c r="L6568" s="10" t="s">
        <v>32069</v>
      </c>
      <c r="M6568" s="10">
        <v>1</v>
      </c>
      <c r="N6568" s="10"/>
      <c r="O6568" s="10"/>
      <c r="P6568" s="10" t="s">
        <v>32070</v>
      </c>
      <c r="Q6568" s="10" t="s">
        <v>10094</v>
      </c>
      <c r="R6568" s="10" t="s">
        <v>32071</v>
      </c>
      <c r="S6568" s="10" t="s">
        <v>53</v>
      </c>
      <c r="T6568" s="10" t="s">
        <v>54</v>
      </c>
    </row>
    <row r="6569" spans="1:20" ht="14.5" x14ac:dyDescent="0.35">
      <c r="A6569" s="10" t="s">
        <v>32072</v>
      </c>
      <c r="B6569" s="10" t="str">
        <f>"9780871203809"</f>
        <v>9780871203809</v>
      </c>
      <c r="C6569" s="10" t="str">
        <f>"9781416601180"</f>
        <v>9781416601180</v>
      </c>
      <c r="D6569" s="10" t="s">
        <v>10014</v>
      </c>
      <c r="E6569" s="10" t="s">
        <v>10015</v>
      </c>
      <c r="F6569" s="10" t="s">
        <v>201</v>
      </c>
      <c r="G6569" s="10" t="s">
        <v>6317</v>
      </c>
      <c r="H6569" s="11">
        <v>36708</v>
      </c>
      <c r="I6569" s="10">
        <v>2000</v>
      </c>
      <c r="J6569" s="10" t="s">
        <v>10015</v>
      </c>
      <c r="K6569" s="10">
        <v>167</v>
      </c>
      <c r="L6569" s="10" t="s">
        <v>32073</v>
      </c>
      <c r="M6569" s="10">
        <v>1</v>
      </c>
      <c r="N6569" s="10"/>
      <c r="O6569" s="10"/>
      <c r="P6569" s="10" t="s">
        <v>32074</v>
      </c>
      <c r="Q6569" s="10">
        <v>813</v>
      </c>
      <c r="R6569" s="10" t="s">
        <v>32075</v>
      </c>
      <c r="S6569" s="10" t="s">
        <v>53</v>
      </c>
      <c r="T6569" s="10" t="s">
        <v>10454</v>
      </c>
    </row>
    <row r="6570" spans="1:20" ht="14.5" x14ac:dyDescent="0.35">
      <c r="A6570" s="10" t="s">
        <v>32076</v>
      </c>
      <c r="B6570" s="10" t="str">
        <f>""</f>
        <v/>
      </c>
      <c r="C6570" s="10" t="str">
        <f>"9780871209337"</f>
        <v>9780871209337</v>
      </c>
      <c r="D6570" s="10" t="s">
        <v>10014</v>
      </c>
      <c r="E6570" s="10" t="s">
        <v>10015</v>
      </c>
      <c r="F6570" s="10" t="s">
        <v>201</v>
      </c>
      <c r="G6570" s="10" t="s">
        <v>6317</v>
      </c>
      <c r="H6570" s="11">
        <v>36800</v>
      </c>
      <c r="I6570" s="10">
        <v>2000</v>
      </c>
      <c r="J6570" s="10" t="s">
        <v>32026</v>
      </c>
      <c r="K6570" s="10">
        <v>147</v>
      </c>
      <c r="L6570" s="10" t="s">
        <v>32077</v>
      </c>
      <c r="M6570" s="10">
        <v>1</v>
      </c>
      <c r="N6570" s="10"/>
      <c r="O6570" s="10"/>
      <c r="P6570" s="10" t="s">
        <v>32078</v>
      </c>
      <c r="Q6570" s="10"/>
      <c r="R6570" s="10" t="s">
        <v>32079</v>
      </c>
      <c r="S6570" s="10" t="s">
        <v>53</v>
      </c>
      <c r="T6570" s="10" t="s">
        <v>54</v>
      </c>
    </row>
    <row r="6571" spans="1:20" ht="14.5" x14ac:dyDescent="0.35">
      <c r="A6571" s="10" t="s">
        <v>32080</v>
      </c>
      <c r="B6571" s="10" t="str">
        <f>"9780871206589"</f>
        <v>9780871206589</v>
      </c>
      <c r="C6571" s="10" t="str">
        <f>"9781416601142"</f>
        <v>9781416601142</v>
      </c>
      <c r="D6571" s="10" t="s">
        <v>10014</v>
      </c>
      <c r="E6571" s="10" t="s">
        <v>10015</v>
      </c>
      <c r="F6571" s="10" t="s">
        <v>201</v>
      </c>
      <c r="G6571" s="10" t="s">
        <v>6317</v>
      </c>
      <c r="H6571" s="11">
        <v>37438</v>
      </c>
      <c r="I6571" s="10">
        <v>2002</v>
      </c>
      <c r="J6571" s="10" t="s">
        <v>10015</v>
      </c>
      <c r="K6571" s="10">
        <v>168</v>
      </c>
      <c r="L6571" s="10" t="s">
        <v>32081</v>
      </c>
      <c r="M6571" s="10">
        <v>1</v>
      </c>
      <c r="N6571" s="10"/>
      <c r="O6571" s="10"/>
      <c r="P6571" s="10" t="s">
        <v>32082</v>
      </c>
      <c r="Q6571" s="10" t="s">
        <v>6942</v>
      </c>
      <c r="R6571" s="10" t="s">
        <v>32083</v>
      </c>
      <c r="S6571" s="10" t="s">
        <v>53</v>
      </c>
      <c r="T6571" s="10" t="s">
        <v>54</v>
      </c>
    </row>
    <row r="6572" spans="1:20" ht="14.5" x14ac:dyDescent="0.35">
      <c r="A6572" s="10" t="s">
        <v>32084</v>
      </c>
      <c r="B6572" s="10" t="str">
        <f>"9780871205025"</f>
        <v>9780871205025</v>
      </c>
      <c r="C6572" s="10" t="str">
        <f>"9780871209238"</f>
        <v>9780871209238</v>
      </c>
      <c r="D6572" s="10" t="s">
        <v>10014</v>
      </c>
      <c r="E6572" s="10" t="s">
        <v>10015</v>
      </c>
      <c r="F6572" s="10" t="s">
        <v>201</v>
      </c>
      <c r="G6572" s="10" t="s">
        <v>6317</v>
      </c>
      <c r="H6572" s="11">
        <v>36875</v>
      </c>
      <c r="I6572" s="10">
        <v>2000</v>
      </c>
      <c r="J6572" s="10" t="s">
        <v>10015</v>
      </c>
      <c r="K6572" s="10">
        <v>179</v>
      </c>
      <c r="L6572" s="10" t="s">
        <v>32085</v>
      </c>
      <c r="M6572" s="10">
        <v>1</v>
      </c>
      <c r="N6572" s="10"/>
      <c r="O6572" s="10"/>
      <c r="P6572" s="10"/>
      <c r="Q6572" s="10"/>
      <c r="R6572" s="10"/>
      <c r="S6572" s="10" t="s">
        <v>53</v>
      </c>
      <c r="T6572" s="10" t="s">
        <v>54</v>
      </c>
    </row>
    <row r="6573" spans="1:20" ht="14.5" x14ac:dyDescent="0.35">
      <c r="A6573" s="10" t="s">
        <v>32086</v>
      </c>
      <c r="B6573" s="10" t="str">
        <f>"9780871205735"</f>
        <v>9780871205735</v>
      </c>
      <c r="C6573" s="10" t="str">
        <f>"9780871209115"</f>
        <v>9780871209115</v>
      </c>
      <c r="D6573" s="10" t="s">
        <v>10014</v>
      </c>
      <c r="E6573" s="10" t="s">
        <v>10015</v>
      </c>
      <c r="F6573" s="10" t="s">
        <v>201</v>
      </c>
      <c r="G6573" s="10" t="s">
        <v>6317</v>
      </c>
      <c r="H6573" s="11">
        <v>37196</v>
      </c>
      <c r="I6573" s="10">
        <v>2001</v>
      </c>
      <c r="J6573" s="10" t="s">
        <v>10015</v>
      </c>
      <c r="K6573" s="10">
        <v>105</v>
      </c>
      <c r="L6573" s="10" t="s">
        <v>32087</v>
      </c>
      <c r="M6573" s="10">
        <v>1</v>
      </c>
      <c r="N6573" s="10"/>
      <c r="O6573" s="10"/>
      <c r="P6573" s="10" t="s">
        <v>32088</v>
      </c>
      <c r="Q6573" s="10" t="s">
        <v>8836</v>
      </c>
      <c r="R6573" s="10" t="s">
        <v>32089</v>
      </c>
      <c r="S6573" s="10" t="s">
        <v>53</v>
      </c>
      <c r="T6573" s="10" t="s">
        <v>54</v>
      </c>
    </row>
    <row r="6574" spans="1:20" ht="14.5" x14ac:dyDescent="0.35">
      <c r="A6574" s="10" t="s">
        <v>32090</v>
      </c>
      <c r="B6574" s="10" t="str">
        <f>""</f>
        <v/>
      </c>
      <c r="C6574" s="10" t="str">
        <f>"9780871209306"</f>
        <v>9780871209306</v>
      </c>
      <c r="D6574" s="10" t="s">
        <v>10014</v>
      </c>
      <c r="E6574" s="10" t="s">
        <v>10015</v>
      </c>
      <c r="F6574" s="10" t="s">
        <v>201</v>
      </c>
      <c r="G6574" s="10" t="s">
        <v>6317</v>
      </c>
      <c r="H6574" s="11">
        <v>34001</v>
      </c>
      <c r="I6574" s="10">
        <v>1992</v>
      </c>
      <c r="J6574" s="10" t="s">
        <v>32026</v>
      </c>
      <c r="K6574" s="10">
        <v>88</v>
      </c>
      <c r="L6574" s="10" t="s">
        <v>32091</v>
      </c>
      <c r="M6574" s="10">
        <v>1</v>
      </c>
      <c r="N6574" s="10"/>
      <c r="O6574" s="10"/>
      <c r="P6574" s="10" t="s">
        <v>32092</v>
      </c>
      <c r="Q6574" s="10" t="s">
        <v>32093</v>
      </c>
      <c r="R6574" s="10" t="s">
        <v>32094</v>
      </c>
      <c r="S6574" s="10" t="s">
        <v>53</v>
      </c>
      <c r="T6574" s="10" t="s">
        <v>54</v>
      </c>
    </row>
    <row r="6575" spans="1:20" ht="14.5" x14ac:dyDescent="0.35">
      <c r="A6575" s="10" t="s">
        <v>32095</v>
      </c>
      <c r="B6575" s="10" t="str">
        <f>"9780871206640"</f>
        <v>9780871206640</v>
      </c>
      <c r="C6575" s="10" t="str">
        <f>"9780871208972"</f>
        <v>9780871208972</v>
      </c>
      <c r="D6575" s="10" t="s">
        <v>10014</v>
      </c>
      <c r="E6575" s="10" t="s">
        <v>10015</v>
      </c>
      <c r="F6575" s="10" t="s">
        <v>201</v>
      </c>
      <c r="G6575" s="10" t="s">
        <v>6317</v>
      </c>
      <c r="H6575" s="11">
        <v>37377</v>
      </c>
      <c r="I6575" s="10">
        <v>2002</v>
      </c>
      <c r="J6575" s="10" t="s">
        <v>10015</v>
      </c>
      <c r="K6575" s="10">
        <v>158</v>
      </c>
      <c r="L6575" s="10" t="s">
        <v>32096</v>
      </c>
      <c r="M6575" s="10">
        <v>1</v>
      </c>
      <c r="N6575" s="10"/>
      <c r="O6575" s="10"/>
      <c r="P6575" s="10" t="s">
        <v>32097</v>
      </c>
      <c r="Q6575" s="10" t="s">
        <v>32098</v>
      </c>
      <c r="R6575" s="10" t="s">
        <v>32099</v>
      </c>
      <c r="S6575" s="10" t="s">
        <v>53</v>
      </c>
      <c r="T6575" s="10" t="s">
        <v>54</v>
      </c>
    </row>
    <row r="6576" spans="1:20" ht="14.5" x14ac:dyDescent="0.35">
      <c r="A6576" s="10" t="s">
        <v>32100</v>
      </c>
      <c r="B6576" s="10" t="str">
        <f>"9780871205094"</f>
        <v>9780871205094</v>
      </c>
      <c r="C6576" s="10" t="str">
        <f>"9780871209207"</f>
        <v>9780871209207</v>
      </c>
      <c r="D6576" s="10" t="s">
        <v>10014</v>
      </c>
      <c r="E6576" s="10" t="s">
        <v>10015</v>
      </c>
      <c r="F6576" s="10" t="s">
        <v>201</v>
      </c>
      <c r="G6576" s="10" t="s">
        <v>6317</v>
      </c>
      <c r="H6576" s="11">
        <v>36982</v>
      </c>
      <c r="I6576" s="10">
        <v>2001</v>
      </c>
      <c r="J6576" s="10" t="s">
        <v>32026</v>
      </c>
      <c r="K6576" s="10">
        <v>211</v>
      </c>
      <c r="L6576" s="10" t="s">
        <v>32101</v>
      </c>
      <c r="M6576" s="10">
        <v>1</v>
      </c>
      <c r="N6576" s="10"/>
      <c r="O6576" s="10"/>
      <c r="P6576" s="10" t="s">
        <v>32102</v>
      </c>
      <c r="Q6576" s="10" t="s">
        <v>7737</v>
      </c>
      <c r="R6576" s="10" t="s">
        <v>32103</v>
      </c>
      <c r="S6576" s="10" t="s">
        <v>53</v>
      </c>
      <c r="T6576" s="10" t="s">
        <v>54</v>
      </c>
    </row>
    <row r="6577" spans="1:20" ht="14.5" x14ac:dyDescent="0.35">
      <c r="A6577" s="10" t="s">
        <v>32104</v>
      </c>
      <c r="B6577" s="10" t="str">
        <f>"9780871207784"</f>
        <v>9780871207784</v>
      </c>
      <c r="C6577" s="10" t="str">
        <f>"9781416616146"</f>
        <v>9781416616146</v>
      </c>
      <c r="D6577" s="10" t="s">
        <v>10014</v>
      </c>
      <c r="E6577" s="10" t="s">
        <v>10015</v>
      </c>
      <c r="F6577" s="10" t="s">
        <v>201</v>
      </c>
      <c r="G6577" s="10" t="s">
        <v>6317</v>
      </c>
      <c r="H6577" s="11">
        <v>37803</v>
      </c>
      <c r="I6577" s="10">
        <v>2003</v>
      </c>
      <c r="J6577" s="10" t="s">
        <v>10015</v>
      </c>
      <c r="K6577" s="10">
        <v>143</v>
      </c>
      <c r="L6577" s="10" t="s">
        <v>32105</v>
      </c>
      <c r="M6577" s="10">
        <v>1</v>
      </c>
      <c r="N6577" s="10"/>
      <c r="O6577" s="10"/>
      <c r="P6577" s="10" t="s">
        <v>32106</v>
      </c>
      <c r="Q6577" s="10">
        <v>813</v>
      </c>
      <c r="R6577" s="10" t="s">
        <v>32107</v>
      </c>
      <c r="S6577" s="10" t="s">
        <v>53</v>
      </c>
      <c r="T6577" s="10" t="s">
        <v>10454</v>
      </c>
    </row>
    <row r="6578" spans="1:20" ht="14.5" x14ac:dyDescent="0.35">
      <c r="A6578" s="10" t="s">
        <v>32108</v>
      </c>
      <c r="B6578" s="10" t="str">
        <f>""</f>
        <v/>
      </c>
      <c r="C6578" s="10" t="str">
        <f>"9780871209245"</f>
        <v>9780871209245</v>
      </c>
      <c r="D6578" s="10" t="s">
        <v>10014</v>
      </c>
      <c r="E6578" s="10" t="s">
        <v>10015</v>
      </c>
      <c r="F6578" s="10" t="s">
        <v>201</v>
      </c>
      <c r="G6578" s="10" t="s">
        <v>6317</v>
      </c>
      <c r="H6578" s="11">
        <v>36495</v>
      </c>
      <c r="I6578" s="10">
        <v>2000</v>
      </c>
      <c r="J6578" s="10" t="s">
        <v>32026</v>
      </c>
      <c r="K6578" s="10">
        <v>116</v>
      </c>
      <c r="L6578" s="10" t="s">
        <v>32109</v>
      </c>
      <c r="M6578" s="10">
        <v>1</v>
      </c>
      <c r="N6578" s="10"/>
      <c r="O6578" s="10"/>
      <c r="P6578" s="10" t="s">
        <v>32110</v>
      </c>
      <c r="Q6578" s="10">
        <v>371.1</v>
      </c>
      <c r="R6578" s="10" t="s">
        <v>32111</v>
      </c>
      <c r="S6578" s="10" t="s">
        <v>53</v>
      </c>
      <c r="T6578" s="10" t="s">
        <v>54</v>
      </c>
    </row>
    <row r="6579" spans="1:20" ht="14.5" x14ac:dyDescent="0.35">
      <c r="A6579" s="10" t="s">
        <v>32112</v>
      </c>
      <c r="B6579" s="10" t="str">
        <f>""</f>
        <v/>
      </c>
      <c r="C6579" s="10" t="str">
        <f>"9780871209214"</f>
        <v>9780871209214</v>
      </c>
      <c r="D6579" s="10" t="s">
        <v>10014</v>
      </c>
      <c r="E6579" s="10" t="s">
        <v>10015</v>
      </c>
      <c r="F6579" s="10" t="s">
        <v>201</v>
      </c>
      <c r="G6579" s="10" t="s">
        <v>6317</v>
      </c>
      <c r="H6579" s="11">
        <v>36982</v>
      </c>
      <c r="I6579" s="10">
        <v>2001</v>
      </c>
      <c r="J6579" s="10" t="s">
        <v>32026</v>
      </c>
      <c r="K6579" s="10">
        <v>150</v>
      </c>
      <c r="L6579" s="10" t="s">
        <v>32113</v>
      </c>
      <c r="M6579" s="10">
        <v>1</v>
      </c>
      <c r="N6579" s="10"/>
      <c r="O6579" s="10"/>
      <c r="P6579" s="10" t="s">
        <v>32114</v>
      </c>
      <c r="Q6579" s="10" t="s">
        <v>32115</v>
      </c>
      <c r="R6579" s="10" t="s">
        <v>32116</v>
      </c>
      <c r="S6579" s="10" t="s">
        <v>53</v>
      </c>
      <c r="T6579" s="10" t="s">
        <v>54</v>
      </c>
    </row>
    <row r="6580" spans="1:20" ht="14.5" x14ac:dyDescent="0.35">
      <c r="A6580" s="10" t="s">
        <v>32117</v>
      </c>
      <c r="B6580" s="10" t="str">
        <f>"9780871205742"</f>
        <v>9780871205742</v>
      </c>
      <c r="C6580" s="10" t="str">
        <f>"9780871209108"</f>
        <v>9780871209108</v>
      </c>
      <c r="D6580" s="10" t="s">
        <v>10014</v>
      </c>
      <c r="E6580" s="10" t="s">
        <v>10015</v>
      </c>
      <c r="F6580" s="10" t="s">
        <v>201</v>
      </c>
      <c r="G6580" s="10" t="s">
        <v>6317</v>
      </c>
      <c r="H6580" s="11">
        <v>37257</v>
      </c>
      <c r="I6580" s="10">
        <v>2002</v>
      </c>
      <c r="J6580" s="10" t="s">
        <v>10015</v>
      </c>
      <c r="K6580" s="10">
        <v>141</v>
      </c>
      <c r="L6580" s="10" t="s">
        <v>32118</v>
      </c>
      <c r="M6580" s="10">
        <v>2</v>
      </c>
      <c r="N6580" s="10"/>
      <c r="O6580" s="10"/>
      <c r="P6580" s="10" t="s">
        <v>32119</v>
      </c>
      <c r="Q6580" s="10" t="s">
        <v>9360</v>
      </c>
      <c r="R6580" s="10" t="s">
        <v>32120</v>
      </c>
      <c r="S6580" s="10" t="s">
        <v>53</v>
      </c>
      <c r="T6580" s="10" t="s">
        <v>54</v>
      </c>
    </row>
    <row r="6581" spans="1:20" ht="14.5" x14ac:dyDescent="0.35">
      <c r="A6581" s="10" t="s">
        <v>32121</v>
      </c>
      <c r="B6581" s="10" t="str">
        <f>"9780871203557"</f>
        <v>9780871203557</v>
      </c>
      <c r="C6581" s="10" t="str">
        <f>"9780871209283"</f>
        <v>9780871209283</v>
      </c>
      <c r="D6581" s="10" t="s">
        <v>10014</v>
      </c>
      <c r="E6581" s="10" t="s">
        <v>10015</v>
      </c>
      <c r="F6581" s="10" t="s">
        <v>201</v>
      </c>
      <c r="G6581" s="10" t="s">
        <v>6317</v>
      </c>
      <c r="H6581" s="11">
        <v>36465</v>
      </c>
      <c r="I6581" s="10">
        <v>1999</v>
      </c>
      <c r="J6581" s="10" t="s">
        <v>32026</v>
      </c>
      <c r="K6581" s="10">
        <v>258</v>
      </c>
      <c r="L6581" s="10" t="s">
        <v>15766</v>
      </c>
      <c r="M6581" s="10">
        <v>1</v>
      </c>
      <c r="N6581" s="10"/>
      <c r="O6581" s="10"/>
      <c r="P6581" s="10" t="s">
        <v>32122</v>
      </c>
      <c r="Q6581" s="10">
        <v>371.1</v>
      </c>
      <c r="R6581" s="10" t="s">
        <v>32123</v>
      </c>
      <c r="S6581" s="10" t="s">
        <v>53</v>
      </c>
      <c r="T6581" s="10" t="s">
        <v>54</v>
      </c>
    </row>
    <row r="6582" spans="1:20" ht="14.5" x14ac:dyDescent="0.35">
      <c r="A6582" s="10" t="s">
        <v>32124</v>
      </c>
      <c r="B6582" s="10" t="str">
        <f>""</f>
        <v/>
      </c>
      <c r="C6582" s="10" t="str">
        <f>"9780871209122"</f>
        <v>9780871209122</v>
      </c>
      <c r="D6582" s="10" t="s">
        <v>10014</v>
      </c>
      <c r="E6582" s="10" t="s">
        <v>10015</v>
      </c>
      <c r="F6582" s="10" t="s">
        <v>201</v>
      </c>
      <c r="G6582" s="10" t="s">
        <v>6317</v>
      </c>
      <c r="H6582" s="11">
        <v>36861</v>
      </c>
      <c r="I6582" s="10">
        <v>2001</v>
      </c>
      <c r="J6582" s="10" t="s">
        <v>32026</v>
      </c>
      <c r="K6582" s="10">
        <v>147</v>
      </c>
      <c r="L6582" s="10" t="s">
        <v>32125</v>
      </c>
      <c r="M6582" s="10">
        <v>1</v>
      </c>
      <c r="N6582" s="10"/>
      <c r="O6582" s="10"/>
      <c r="P6582" s="10" t="s">
        <v>32126</v>
      </c>
      <c r="Q6582" s="10"/>
      <c r="R6582" s="10" t="s">
        <v>32127</v>
      </c>
      <c r="S6582" s="10" t="s">
        <v>53</v>
      </c>
      <c r="T6582" s="10" t="s">
        <v>54</v>
      </c>
    </row>
    <row r="6583" spans="1:20" ht="14.5" x14ac:dyDescent="0.35">
      <c r="A6583" s="10" t="s">
        <v>32128</v>
      </c>
      <c r="B6583" s="10" t="str">
        <f>"9780871202581"</f>
        <v>9780871202581</v>
      </c>
      <c r="C6583" s="10" t="str">
        <f>"9780871208903"</f>
        <v>9780871208903</v>
      </c>
      <c r="D6583" s="10" t="s">
        <v>10014</v>
      </c>
      <c r="E6583" s="10" t="s">
        <v>10015</v>
      </c>
      <c r="F6583" s="10" t="s">
        <v>201</v>
      </c>
      <c r="G6583" s="10" t="s">
        <v>6317</v>
      </c>
      <c r="H6583" s="11">
        <v>35004</v>
      </c>
      <c r="I6583" s="10">
        <v>2002</v>
      </c>
      <c r="J6583" s="10" t="s">
        <v>32026</v>
      </c>
      <c r="K6583" s="10">
        <v>110</v>
      </c>
      <c r="L6583" s="10" t="s">
        <v>32129</v>
      </c>
      <c r="M6583" s="10">
        <v>1</v>
      </c>
      <c r="N6583" s="10"/>
      <c r="O6583" s="10"/>
      <c r="P6583" s="10" t="s">
        <v>32130</v>
      </c>
      <c r="Q6583" s="10" t="s">
        <v>32131</v>
      </c>
      <c r="R6583" s="10" t="s">
        <v>32132</v>
      </c>
      <c r="S6583" s="10" t="s">
        <v>53</v>
      </c>
      <c r="T6583" s="10" t="s">
        <v>54</v>
      </c>
    </row>
    <row r="6584" spans="1:20" ht="14.5" x14ac:dyDescent="0.35">
      <c r="A6584" s="10" t="s">
        <v>32133</v>
      </c>
      <c r="B6584" s="10" t="str">
        <f>"9780871206756"</f>
        <v>9780871206756</v>
      </c>
      <c r="C6584" s="10" t="str">
        <f>"9780871208958"</f>
        <v>9780871208958</v>
      </c>
      <c r="D6584" s="10" t="s">
        <v>10014</v>
      </c>
      <c r="E6584" s="10" t="s">
        <v>10015</v>
      </c>
      <c r="F6584" s="10" t="s">
        <v>201</v>
      </c>
      <c r="G6584" s="10" t="s">
        <v>6317</v>
      </c>
      <c r="H6584" s="11">
        <v>37408</v>
      </c>
      <c r="I6584" s="10">
        <v>2002</v>
      </c>
      <c r="J6584" s="10" t="s">
        <v>10015</v>
      </c>
      <c r="K6584" s="10">
        <v>123</v>
      </c>
      <c r="L6584" s="10" t="s">
        <v>32134</v>
      </c>
      <c r="M6584" s="10">
        <v>1</v>
      </c>
      <c r="N6584" s="10"/>
      <c r="O6584" s="10"/>
      <c r="P6584" s="10" t="s">
        <v>32135</v>
      </c>
      <c r="Q6584" s="10" t="s">
        <v>32136</v>
      </c>
      <c r="R6584" s="10" t="s">
        <v>32137</v>
      </c>
      <c r="S6584" s="10" t="s">
        <v>53</v>
      </c>
      <c r="T6584" s="10" t="s">
        <v>8003</v>
      </c>
    </row>
    <row r="6585" spans="1:20" ht="14.5" x14ac:dyDescent="0.35">
      <c r="A6585" s="10" t="s">
        <v>32138</v>
      </c>
      <c r="B6585" s="10" t="str">
        <f>""</f>
        <v/>
      </c>
      <c r="C6585" s="10" t="str">
        <f>"9780871208866"</f>
        <v>9780871208866</v>
      </c>
      <c r="D6585" s="10" t="s">
        <v>10014</v>
      </c>
      <c r="E6585" s="10" t="s">
        <v>10015</v>
      </c>
      <c r="F6585" s="10" t="s">
        <v>201</v>
      </c>
      <c r="G6585" s="10" t="s">
        <v>6317</v>
      </c>
      <c r="H6585" s="11">
        <v>37712</v>
      </c>
      <c r="I6585" s="10">
        <v>2003</v>
      </c>
      <c r="J6585" s="10" t="s">
        <v>32026</v>
      </c>
      <c r="K6585" s="10">
        <v>216</v>
      </c>
      <c r="L6585" s="10" t="s">
        <v>32139</v>
      </c>
      <c r="M6585" s="10">
        <v>1</v>
      </c>
      <c r="N6585" s="10"/>
      <c r="O6585" s="10"/>
      <c r="P6585" s="10" t="s">
        <v>32140</v>
      </c>
      <c r="Q6585" s="10">
        <v>371.93</v>
      </c>
      <c r="R6585" s="10" t="s">
        <v>32141</v>
      </c>
      <c r="S6585" s="10" t="s">
        <v>53</v>
      </c>
      <c r="T6585" s="10" t="s">
        <v>54</v>
      </c>
    </row>
    <row r="6586" spans="1:20" ht="14.5" x14ac:dyDescent="0.35">
      <c r="A6586" s="10" t="s">
        <v>32142</v>
      </c>
      <c r="B6586" s="10" t="str">
        <f>""</f>
        <v/>
      </c>
      <c r="C6586" s="10" t="str">
        <f>"9780871209191"</f>
        <v>9780871209191</v>
      </c>
      <c r="D6586" s="10" t="s">
        <v>10014</v>
      </c>
      <c r="E6586" s="10" t="s">
        <v>10015</v>
      </c>
      <c r="F6586" s="10" t="s">
        <v>201</v>
      </c>
      <c r="G6586" s="10" t="s">
        <v>6317</v>
      </c>
      <c r="H6586" s="11">
        <v>37012</v>
      </c>
      <c r="I6586" s="10">
        <v>2001</v>
      </c>
      <c r="J6586" s="10" t="s">
        <v>32026</v>
      </c>
      <c r="K6586" s="10">
        <v>202</v>
      </c>
      <c r="L6586" s="10" t="s">
        <v>32143</v>
      </c>
      <c r="M6586" s="10">
        <v>1</v>
      </c>
      <c r="N6586" s="10"/>
      <c r="O6586" s="10"/>
      <c r="P6586" s="10" t="s">
        <v>32144</v>
      </c>
      <c r="Q6586" s="10"/>
      <c r="R6586" s="10" t="s">
        <v>24042</v>
      </c>
      <c r="S6586" s="10" t="s">
        <v>53</v>
      </c>
      <c r="T6586" s="10" t="s">
        <v>54</v>
      </c>
    </row>
    <row r="6587" spans="1:20" ht="14.5" x14ac:dyDescent="0.35">
      <c r="A6587" s="10" t="s">
        <v>32145</v>
      </c>
      <c r="B6587" s="10" t="str">
        <f>"9780801319099"</f>
        <v>9780801319099</v>
      </c>
      <c r="C6587" s="10" t="str">
        <f>"9780871208965"</f>
        <v>9780871208965</v>
      </c>
      <c r="D6587" s="10" t="s">
        <v>10014</v>
      </c>
      <c r="E6587" s="10" t="s">
        <v>10015</v>
      </c>
      <c r="F6587" s="10" t="s">
        <v>201</v>
      </c>
      <c r="G6587" s="10" t="s">
        <v>6317</v>
      </c>
      <c r="H6587" s="11">
        <v>37500</v>
      </c>
      <c r="I6587" s="10">
        <v>2002</v>
      </c>
      <c r="J6587" s="10" t="s">
        <v>32026</v>
      </c>
      <c r="K6587" s="10">
        <v>230</v>
      </c>
      <c r="L6587" s="10" t="s">
        <v>32146</v>
      </c>
      <c r="M6587" s="10">
        <v>1</v>
      </c>
      <c r="N6587" s="10"/>
      <c r="O6587" s="10"/>
      <c r="P6587" s="10" t="s">
        <v>32147</v>
      </c>
      <c r="Q6587" s="10"/>
      <c r="R6587" s="10" t="s">
        <v>32148</v>
      </c>
      <c r="S6587" s="10" t="s">
        <v>53</v>
      </c>
      <c r="T6587" s="10" t="s">
        <v>54</v>
      </c>
    </row>
    <row r="6588" spans="1:20" ht="14.5" x14ac:dyDescent="0.35">
      <c r="A6588" s="10" t="s">
        <v>32149</v>
      </c>
      <c r="B6588" s="10" t="str">
        <f>""</f>
        <v/>
      </c>
      <c r="C6588" s="10" t="str">
        <f>"9780871209177"</f>
        <v>9780871209177</v>
      </c>
      <c r="D6588" s="10" t="s">
        <v>10014</v>
      </c>
      <c r="E6588" s="10" t="s">
        <v>10015</v>
      </c>
      <c r="F6588" s="10" t="s">
        <v>201</v>
      </c>
      <c r="G6588" s="10" t="s">
        <v>6317</v>
      </c>
      <c r="H6588" s="11">
        <v>36982</v>
      </c>
      <c r="I6588" s="10">
        <v>2001</v>
      </c>
      <c r="J6588" s="10" t="s">
        <v>32026</v>
      </c>
      <c r="K6588" s="10">
        <v>128</v>
      </c>
      <c r="L6588" s="10" t="s">
        <v>28315</v>
      </c>
      <c r="M6588" s="10">
        <v>1</v>
      </c>
      <c r="N6588" s="10"/>
      <c r="O6588" s="10"/>
      <c r="P6588" s="10" t="s">
        <v>32150</v>
      </c>
      <c r="Q6588" s="10"/>
      <c r="R6588" s="10" t="s">
        <v>32151</v>
      </c>
      <c r="S6588" s="10" t="s">
        <v>53</v>
      </c>
      <c r="T6588" s="10" t="s">
        <v>54</v>
      </c>
    </row>
    <row r="6589" spans="1:20" ht="14.5" x14ac:dyDescent="0.35">
      <c r="A6589" s="10" t="s">
        <v>32152</v>
      </c>
      <c r="B6589" s="10" t="str">
        <f>"9780871205148"</f>
        <v>9780871205148</v>
      </c>
      <c r="C6589" s="10" t="str">
        <f>"9780871209160"</f>
        <v>9780871209160</v>
      </c>
      <c r="D6589" s="10" t="s">
        <v>10014</v>
      </c>
      <c r="E6589" s="10" t="s">
        <v>10015</v>
      </c>
      <c r="F6589" s="10" t="s">
        <v>201</v>
      </c>
      <c r="G6589" s="10" t="s">
        <v>6317</v>
      </c>
      <c r="H6589" s="11">
        <v>37041</v>
      </c>
      <c r="I6589" s="10">
        <v>2001</v>
      </c>
      <c r="J6589" s="10" t="s">
        <v>10015</v>
      </c>
      <c r="K6589" s="10">
        <v>151</v>
      </c>
      <c r="L6589" s="10" t="s">
        <v>26282</v>
      </c>
      <c r="M6589" s="10">
        <v>1</v>
      </c>
      <c r="N6589" s="10"/>
      <c r="O6589" s="10"/>
      <c r="P6589" s="10"/>
      <c r="Q6589" s="10">
        <v>813</v>
      </c>
      <c r="R6589" s="10"/>
      <c r="S6589" s="10" t="s">
        <v>53</v>
      </c>
      <c r="T6589" s="10" t="s">
        <v>1166</v>
      </c>
    </row>
    <row r="6590" spans="1:20" ht="14.5" x14ac:dyDescent="0.35">
      <c r="A6590" s="10" t="s">
        <v>32153</v>
      </c>
      <c r="B6590" s="10" t="str">
        <f>"9780871207197"</f>
        <v>9780871207197</v>
      </c>
      <c r="C6590" s="10" t="str">
        <f>"9780871208910"</f>
        <v>9780871208910</v>
      </c>
      <c r="D6590" s="10" t="s">
        <v>10014</v>
      </c>
      <c r="E6590" s="10" t="s">
        <v>10015</v>
      </c>
      <c r="F6590" s="10" t="s">
        <v>201</v>
      </c>
      <c r="G6590" s="10" t="s">
        <v>6317</v>
      </c>
      <c r="H6590" s="11">
        <v>37653</v>
      </c>
      <c r="I6590" s="10">
        <v>2003</v>
      </c>
      <c r="J6590" s="10" t="s">
        <v>10015</v>
      </c>
      <c r="K6590" s="10">
        <v>258</v>
      </c>
      <c r="L6590" s="10" t="s">
        <v>32154</v>
      </c>
      <c r="M6590" s="10">
        <v>1</v>
      </c>
      <c r="N6590" s="10"/>
      <c r="O6590" s="10"/>
      <c r="P6590" s="10" t="s">
        <v>32155</v>
      </c>
      <c r="Q6590" s="10">
        <v>371.39</v>
      </c>
      <c r="R6590" s="10" t="s">
        <v>32156</v>
      </c>
      <c r="S6590" s="10" t="s">
        <v>53</v>
      </c>
      <c r="T6590" s="10" t="s">
        <v>54</v>
      </c>
    </row>
    <row r="6591" spans="1:20" ht="14.5" x14ac:dyDescent="0.35">
      <c r="A6591" s="10" t="s">
        <v>17503</v>
      </c>
      <c r="B6591" s="10" t="str">
        <f>""</f>
        <v/>
      </c>
      <c r="C6591" s="10" t="str">
        <f>"9780871209023"</f>
        <v>9780871209023</v>
      </c>
      <c r="D6591" s="10" t="s">
        <v>10014</v>
      </c>
      <c r="E6591" s="10" t="s">
        <v>10015</v>
      </c>
      <c r="F6591" s="10" t="s">
        <v>201</v>
      </c>
      <c r="G6591" s="10" t="s">
        <v>6317</v>
      </c>
      <c r="H6591" s="11">
        <v>37073</v>
      </c>
      <c r="I6591" s="10">
        <v>2001</v>
      </c>
      <c r="J6591" s="10" t="s">
        <v>32026</v>
      </c>
      <c r="K6591" s="10">
        <v>220</v>
      </c>
      <c r="L6591" s="10" t="s">
        <v>17504</v>
      </c>
      <c r="M6591" s="10">
        <v>1</v>
      </c>
      <c r="N6591" s="10"/>
      <c r="O6591" s="10"/>
      <c r="P6591" s="10" t="s">
        <v>32157</v>
      </c>
      <c r="Q6591" s="10" t="s">
        <v>6942</v>
      </c>
      <c r="R6591" s="10" t="s">
        <v>32158</v>
      </c>
      <c r="S6591" s="10" t="s">
        <v>53</v>
      </c>
      <c r="T6591" s="10" t="s">
        <v>54</v>
      </c>
    </row>
    <row r="6592" spans="1:20" ht="14.5" x14ac:dyDescent="0.35">
      <c r="A6592" s="10" t="s">
        <v>32159</v>
      </c>
      <c r="B6592" s="10" t="str">
        <f>"9780871205216"</f>
        <v>9780871205216</v>
      </c>
      <c r="C6592" s="10" t="str">
        <f>"9780871209146"</f>
        <v>9780871209146</v>
      </c>
      <c r="D6592" s="10" t="s">
        <v>10014</v>
      </c>
      <c r="E6592" s="10" t="s">
        <v>10015</v>
      </c>
      <c r="F6592" s="10" t="s">
        <v>201</v>
      </c>
      <c r="G6592" s="10" t="s">
        <v>6317</v>
      </c>
      <c r="H6592" s="11">
        <v>36861</v>
      </c>
      <c r="I6592" s="10">
        <v>2001</v>
      </c>
      <c r="J6592" s="10" t="s">
        <v>32026</v>
      </c>
      <c r="K6592" s="10">
        <v>161</v>
      </c>
      <c r="L6592" s="10" t="s">
        <v>10092</v>
      </c>
      <c r="M6592" s="10"/>
      <c r="N6592" s="10"/>
      <c r="O6592" s="10"/>
      <c r="P6592" s="10" t="s">
        <v>32160</v>
      </c>
      <c r="Q6592" s="10" t="s">
        <v>8587</v>
      </c>
      <c r="R6592" s="10" t="s">
        <v>32161</v>
      </c>
      <c r="S6592" s="10" t="s">
        <v>53</v>
      </c>
      <c r="T6592" s="10" t="s">
        <v>54</v>
      </c>
    </row>
    <row r="6593" spans="1:20" ht="14.5" x14ac:dyDescent="0.35">
      <c r="A6593" s="10" t="s">
        <v>32162</v>
      </c>
      <c r="B6593" s="10" t="str">
        <f>"9780871205162"</f>
        <v>9780871205162</v>
      </c>
      <c r="C6593" s="10" t="str">
        <f>"9780871209153"</f>
        <v>9780871209153</v>
      </c>
      <c r="D6593" s="10" t="s">
        <v>10014</v>
      </c>
      <c r="E6593" s="10" t="s">
        <v>10015</v>
      </c>
      <c r="F6593" s="10" t="s">
        <v>201</v>
      </c>
      <c r="G6593" s="10" t="s">
        <v>6317</v>
      </c>
      <c r="H6593" s="11">
        <v>37102</v>
      </c>
      <c r="I6593" s="10">
        <v>2001</v>
      </c>
      <c r="J6593" s="10" t="s">
        <v>10015</v>
      </c>
      <c r="K6593" s="10">
        <v>147</v>
      </c>
      <c r="L6593" s="10" t="s">
        <v>32163</v>
      </c>
      <c r="M6593" s="10">
        <v>1</v>
      </c>
      <c r="N6593" s="10"/>
      <c r="O6593" s="10"/>
      <c r="P6593" s="10"/>
      <c r="Q6593" s="10">
        <v>371.2</v>
      </c>
      <c r="R6593" s="10"/>
      <c r="S6593" s="10" t="s">
        <v>53</v>
      </c>
      <c r="T6593" s="10" t="s">
        <v>54</v>
      </c>
    </row>
    <row r="6594" spans="1:20" ht="14.5" x14ac:dyDescent="0.35">
      <c r="A6594" s="10" t="s">
        <v>32164</v>
      </c>
      <c r="B6594" s="10" t="str">
        <f>""</f>
        <v/>
      </c>
      <c r="C6594" s="10" t="str">
        <f>"9780871208859"</f>
        <v>9780871208859</v>
      </c>
      <c r="D6594" s="10" t="s">
        <v>10014</v>
      </c>
      <c r="E6594" s="10" t="s">
        <v>10015</v>
      </c>
      <c r="F6594" s="10" t="s">
        <v>201</v>
      </c>
      <c r="G6594" s="10" t="s">
        <v>6317</v>
      </c>
      <c r="H6594" s="11">
        <v>37712</v>
      </c>
      <c r="I6594" s="10">
        <v>2003</v>
      </c>
      <c r="J6594" s="10" t="s">
        <v>32026</v>
      </c>
      <c r="K6594" s="10">
        <v>296</v>
      </c>
      <c r="L6594" s="10" t="s">
        <v>32165</v>
      </c>
      <c r="M6594" s="10">
        <v>1</v>
      </c>
      <c r="N6594" s="10"/>
      <c r="O6594" s="10"/>
      <c r="P6594" s="10" t="s">
        <v>32166</v>
      </c>
      <c r="Q6594" s="10"/>
      <c r="R6594" s="10" t="s">
        <v>32167</v>
      </c>
      <c r="S6594" s="10" t="s">
        <v>53</v>
      </c>
      <c r="T6594" s="10" t="s">
        <v>389</v>
      </c>
    </row>
    <row r="6595" spans="1:20" ht="14.5" x14ac:dyDescent="0.35">
      <c r="A6595" s="10" t="s">
        <v>32168</v>
      </c>
      <c r="B6595" s="10" t="str">
        <f>"9780871203052"</f>
        <v>9780871203052</v>
      </c>
      <c r="C6595" s="10" t="str">
        <f>"9780871209290"</f>
        <v>9780871209290</v>
      </c>
      <c r="D6595" s="10" t="s">
        <v>10014</v>
      </c>
      <c r="E6595" s="10" t="s">
        <v>10015</v>
      </c>
      <c r="F6595" s="10" t="s">
        <v>201</v>
      </c>
      <c r="G6595" s="10" t="s">
        <v>6317</v>
      </c>
      <c r="H6595" s="11">
        <v>35916</v>
      </c>
      <c r="I6595" s="10">
        <v>1998</v>
      </c>
      <c r="J6595" s="10" t="s">
        <v>10015</v>
      </c>
      <c r="K6595" s="10">
        <v>102</v>
      </c>
      <c r="L6595" s="10" t="s">
        <v>32169</v>
      </c>
      <c r="M6595" s="10">
        <v>1</v>
      </c>
      <c r="N6595" s="10"/>
      <c r="O6595" s="10"/>
      <c r="P6595" s="10" t="s">
        <v>32170</v>
      </c>
      <c r="Q6595" s="10" t="s">
        <v>6942</v>
      </c>
      <c r="R6595" s="10" t="s">
        <v>32171</v>
      </c>
      <c r="S6595" s="10" t="s">
        <v>53</v>
      </c>
      <c r="T6595" s="10" t="s">
        <v>54</v>
      </c>
    </row>
    <row r="6596" spans="1:20" ht="14.5" x14ac:dyDescent="0.35">
      <c r="A6596" s="10" t="s">
        <v>32172</v>
      </c>
      <c r="B6596" s="10" t="str">
        <f>"9780871203892"</f>
        <v>9780871203892</v>
      </c>
      <c r="C6596" s="10" t="str">
        <f>"9780871209009"</f>
        <v>9780871209009</v>
      </c>
      <c r="D6596" s="10" t="s">
        <v>10014</v>
      </c>
      <c r="E6596" s="10" t="s">
        <v>10015</v>
      </c>
      <c r="F6596" s="10" t="s">
        <v>201</v>
      </c>
      <c r="G6596" s="10" t="s">
        <v>6317</v>
      </c>
      <c r="H6596" s="11">
        <v>36861</v>
      </c>
      <c r="I6596" s="10">
        <v>2000</v>
      </c>
      <c r="J6596" s="10" t="s">
        <v>10015</v>
      </c>
      <c r="K6596" s="10">
        <v>179</v>
      </c>
      <c r="L6596" s="10" t="s">
        <v>32173</v>
      </c>
      <c r="M6596" s="10">
        <v>1</v>
      </c>
      <c r="N6596" s="10"/>
      <c r="O6596" s="10"/>
      <c r="P6596" s="10" t="s">
        <v>32174</v>
      </c>
      <c r="Q6596" s="10" t="s">
        <v>6576</v>
      </c>
      <c r="R6596" s="10" t="s">
        <v>32175</v>
      </c>
      <c r="S6596" s="10" t="s">
        <v>53</v>
      </c>
      <c r="T6596" s="10" t="s">
        <v>54</v>
      </c>
    </row>
    <row r="6597" spans="1:20" ht="14.5" x14ac:dyDescent="0.35">
      <c r="A6597" s="10" t="s">
        <v>32176</v>
      </c>
      <c r="B6597" s="10" t="str">
        <f>""</f>
        <v/>
      </c>
      <c r="C6597" s="10" t="str">
        <f>"9780871209344"</f>
        <v>9780871209344</v>
      </c>
      <c r="D6597" s="10" t="s">
        <v>10014</v>
      </c>
      <c r="E6597" s="10" t="s">
        <v>10015</v>
      </c>
      <c r="F6597" s="10" t="s">
        <v>201</v>
      </c>
      <c r="G6597" s="10" t="s">
        <v>6317</v>
      </c>
      <c r="H6597" s="11">
        <v>37834</v>
      </c>
      <c r="I6597" s="10">
        <v>2003</v>
      </c>
      <c r="J6597" s="10" t="s">
        <v>32026</v>
      </c>
      <c r="K6597" s="10">
        <v>187</v>
      </c>
      <c r="L6597" s="10" t="s">
        <v>8278</v>
      </c>
      <c r="M6597" s="10">
        <v>1</v>
      </c>
      <c r="N6597" s="10"/>
      <c r="O6597" s="10"/>
      <c r="P6597" s="10" t="s">
        <v>32177</v>
      </c>
      <c r="Q6597" s="10" t="s">
        <v>12332</v>
      </c>
      <c r="R6597" s="10" t="s">
        <v>32178</v>
      </c>
      <c r="S6597" s="10" t="s">
        <v>53</v>
      </c>
      <c r="T6597" s="10" t="s">
        <v>54</v>
      </c>
    </row>
    <row r="6598" spans="1:20" ht="14.5" x14ac:dyDescent="0.35">
      <c r="A6598" s="10" t="s">
        <v>32179</v>
      </c>
      <c r="B6598" s="10" t="str">
        <f>""</f>
        <v/>
      </c>
      <c r="C6598" s="10" t="str">
        <f>"9780871209375"</f>
        <v>9780871209375</v>
      </c>
      <c r="D6598" s="10" t="s">
        <v>10014</v>
      </c>
      <c r="E6598" s="10" t="s">
        <v>10015</v>
      </c>
      <c r="F6598" s="10" t="s">
        <v>201</v>
      </c>
      <c r="G6598" s="10" t="s">
        <v>6317</v>
      </c>
      <c r="H6598" s="11">
        <v>37895</v>
      </c>
      <c r="I6598" s="10">
        <v>2003</v>
      </c>
      <c r="J6598" s="10" t="s">
        <v>32026</v>
      </c>
      <c r="K6598" s="10">
        <v>122</v>
      </c>
      <c r="L6598" s="10" t="s">
        <v>32180</v>
      </c>
      <c r="M6598" s="10">
        <v>1</v>
      </c>
      <c r="N6598" s="10"/>
      <c r="O6598" s="10"/>
      <c r="P6598" s="10" t="s">
        <v>32181</v>
      </c>
      <c r="Q6598" s="10" t="s">
        <v>11202</v>
      </c>
      <c r="R6598" s="10" t="s">
        <v>32182</v>
      </c>
      <c r="S6598" s="10" t="s">
        <v>53</v>
      </c>
      <c r="T6598" s="10" t="s">
        <v>54</v>
      </c>
    </row>
    <row r="6599" spans="1:20" ht="14.5" x14ac:dyDescent="0.35">
      <c r="A6599" s="10" t="s">
        <v>32183</v>
      </c>
      <c r="B6599" s="10" t="str">
        <f>"9780871207456"</f>
        <v>9780871207456</v>
      </c>
      <c r="C6599" s="10" t="str">
        <f>"9780871209368"</f>
        <v>9780871209368</v>
      </c>
      <c r="D6599" s="10" t="s">
        <v>10014</v>
      </c>
      <c r="E6599" s="10" t="s">
        <v>10015</v>
      </c>
      <c r="F6599" s="10" t="s">
        <v>201</v>
      </c>
      <c r="G6599" s="10" t="s">
        <v>6317</v>
      </c>
      <c r="H6599" s="11">
        <v>37653</v>
      </c>
      <c r="I6599" s="10">
        <v>2003</v>
      </c>
      <c r="J6599" s="10" t="s">
        <v>10015</v>
      </c>
      <c r="K6599" s="10">
        <v>142</v>
      </c>
      <c r="L6599" s="10" t="s">
        <v>32184</v>
      </c>
      <c r="M6599" s="10">
        <v>1</v>
      </c>
      <c r="N6599" s="10"/>
      <c r="O6599" s="10"/>
      <c r="P6599" s="10" t="s">
        <v>32185</v>
      </c>
      <c r="Q6599" s="10" t="s">
        <v>6496</v>
      </c>
      <c r="R6599" s="10" t="s">
        <v>32186</v>
      </c>
      <c r="S6599" s="10" t="s">
        <v>53</v>
      </c>
      <c r="T6599" s="10" t="s">
        <v>6634</v>
      </c>
    </row>
    <row r="6600" spans="1:20" ht="14.5" x14ac:dyDescent="0.35">
      <c r="A6600" s="10" t="s">
        <v>32187</v>
      </c>
      <c r="B6600" s="10" t="str">
        <f>"9780871207876"</f>
        <v>9780871207876</v>
      </c>
      <c r="C6600" s="10" t="str">
        <f>"9780871209399"</f>
        <v>9780871209399</v>
      </c>
      <c r="D6600" s="10" t="s">
        <v>10014</v>
      </c>
      <c r="E6600" s="10" t="s">
        <v>10015</v>
      </c>
      <c r="F6600" s="10" t="s">
        <v>201</v>
      </c>
      <c r="G6600" s="10" t="s">
        <v>6317</v>
      </c>
      <c r="H6600" s="11">
        <v>37865</v>
      </c>
      <c r="I6600" s="10">
        <v>2003</v>
      </c>
      <c r="J6600" s="10" t="s">
        <v>10015</v>
      </c>
      <c r="K6600" s="10">
        <v>207</v>
      </c>
      <c r="L6600" s="10" t="s">
        <v>32188</v>
      </c>
      <c r="M6600" s="10">
        <v>1</v>
      </c>
      <c r="N6600" s="10"/>
      <c r="O6600" s="10"/>
      <c r="P6600" s="10" t="s">
        <v>32189</v>
      </c>
      <c r="Q6600" s="10">
        <v>813</v>
      </c>
      <c r="R6600" s="10" t="s">
        <v>8205</v>
      </c>
      <c r="S6600" s="10" t="s">
        <v>53</v>
      </c>
      <c r="T6600" s="10" t="s">
        <v>10454</v>
      </c>
    </row>
    <row r="6601" spans="1:20" ht="14.5" x14ac:dyDescent="0.35">
      <c r="A6601" s="10" t="s">
        <v>32190</v>
      </c>
      <c r="B6601" s="10" t="str">
        <f>""</f>
        <v/>
      </c>
      <c r="C6601" s="10" t="str">
        <f>"9780871209382"</f>
        <v>9780871209382</v>
      </c>
      <c r="D6601" s="10" t="s">
        <v>10014</v>
      </c>
      <c r="E6601" s="10" t="s">
        <v>10015</v>
      </c>
      <c r="F6601" s="10" t="s">
        <v>201</v>
      </c>
      <c r="G6601" s="10" t="s">
        <v>6317</v>
      </c>
      <c r="H6601" s="11">
        <v>37865</v>
      </c>
      <c r="I6601" s="10">
        <v>2003</v>
      </c>
      <c r="J6601" s="10" t="s">
        <v>32026</v>
      </c>
      <c r="K6601" s="10">
        <v>150</v>
      </c>
      <c r="L6601" s="10" t="s">
        <v>32191</v>
      </c>
      <c r="M6601" s="10">
        <v>1</v>
      </c>
      <c r="N6601" s="10"/>
      <c r="O6601" s="10"/>
      <c r="P6601" s="10" t="s">
        <v>32192</v>
      </c>
      <c r="Q6601" s="10" t="s">
        <v>9954</v>
      </c>
      <c r="R6601" s="10" t="s">
        <v>32193</v>
      </c>
      <c r="S6601" s="10" t="s">
        <v>53</v>
      </c>
      <c r="T6601" s="10" t="s">
        <v>54</v>
      </c>
    </row>
    <row r="6602" spans="1:20" ht="14.5" x14ac:dyDescent="0.35">
      <c r="A6602" s="10" t="s">
        <v>32194</v>
      </c>
      <c r="B6602" s="10" t="str">
        <f>"9780871208620"</f>
        <v>9780871208620</v>
      </c>
      <c r="C6602" s="10" t="str">
        <f>"9781416601005"</f>
        <v>9781416601005</v>
      </c>
      <c r="D6602" s="10" t="s">
        <v>10014</v>
      </c>
      <c r="E6602" s="10" t="s">
        <v>10015</v>
      </c>
      <c r="F6602" s="10" t="s">
        <v>201</v>
      </c>
      <c r="G6602" s="10" t="s">
        <v>6317</v>
      </c>
      <c r="H6602" s="11">
        <v>37987</v>
      </c>
      <c r="I6602" s="10">
        <v>2003</v>
      </c>
      <c r="J6602" s="10" t="s">
        <v>10015</v>
      </c>
      <c r="K6602" s="10">
        <v>251</v>
      </c>
      <c r="L6602" s="10" t="s">
        <v>32195</v>
      </c>
      <c r="M6602" s="10">
        <v>1</v>
      </c>
      <c r="N6602" s="10"/>
      <c r="O6602" s="10"/>
      <c r="P6602" s="10" t="s">
        <v>32196</v>
      </c>
      <c r="Q6602" s="10" t="s">
        <v>27675</v>
      </c>
      <c r="R6602" s="10" t="s">
        <v>32197</v>
      </c>
      <c r="S6602" s="10" t="s">
        <v>53</v>
      </c>
      <c r="T6602" s="10" t="s">
        <v>54</v>
      </c>
    </row>
    <row r="6603" spans="1:20" ht="14.5" x14ac:dyDescent="0.35">
      <c r="A6603" s="10" t="s">
        <v>32198</v>
      </c>
      <c r="B6603" s="10" t="str">
        <f>"9780871207173"</f>
        <v>9780871207173</v>
      </c>
      <c r="C6603" s="10" t="str">
        <f>"9780871209351"</f>
        <v>9780871209351</v>
      </c>
      <c r="D6603" s="10" t="s">
        <v>10014</v>
      </c>
      <c r="E6603" s="10" t="s">
        <v>10015</v>
      </c>
      <c r="F6603" s="10" t="s">
        <v>201</v>
      </c>
      <c r="G6603" s="10" t="s">
        <v>6317</v>
      </c>
      <c r="H6603" s="11">
        <v>37622</v>
      </c>
      <c r="I6603" s="10">
        <v>2003</v>
      </c>
      <c r="J6603" s="10" t="s">
        <v>10015</v>
      </c>
      <c r="K6603" s="10">
        <v>225</v>
      </c>
      <c r="L6603" s="10" t="s">
        <v>18671</v>
      </c>
      <c r="M6603" s="10">
        <v>1</v>
      </c>
      <c r="N6603" s="10"/>
      <c r="O6603" s="10"/>
      <c r="P6603" s="10"/>
      <c r="Q6603" s="10" t="s">
        <v>9044</v>
      </c>
      <c r="R6603" s="10"/>
      <c r="S6603" s="10" t="s">
        <v>53</v>
      </c>
      <c r="T6603" s="10" t="s">
        <v>54</v>
      </c>
    </row>
    <row r="6604" spans="1:20" ht="14.5" x14ac:dyDescent="0.35">
      <c r="A6604" s="10" t="s">
        <v>32199</v>
      </c>
      <c r="B6604" s="10" t="str">
        <f>""</f>
        <v/>
      </c>
      <c r="C6604" s="10" t="str">
        <f>"9780871209443"</f>
        <v>9780871209443</v>
      </c>
      <c r="D6604" s="10" t="s">
        <v>10014</v>
      </c>
      <c r="E6604" s="10" t="s">
        <v>10015</v>
      </c>
      <c r="F6604" s="10" t="s">
        <v>201</v>
      </c>
      <c r="G6604" s="10" t="s">
        <v>6317</v>
      </c>
      <c r="H6604" s="11">
        <v>37591</v>
      </c>
      <c r="I6604" s="10">
        <v>2003</v>
      </c>
      <c r="J6604" s="10" t="s">
        <v>32026</v>
      </c>
      <c r="K6604" s="10">
        <v>214</v>
      </c>
      <c r="L6604" s="10" t="s">
        <v>32200</v>
      </c>
      <c r="M6604" s="10">
        <v>1</v>
      </c>
      <c r="N6604" s="10"/>
      <c r="O6604" s="10"/>
      <c r="P6604" s="10" t="s">
        <v>32201</v>
      </c>
      <c r="Q6604" s="10" t="s">
        <v>32202</v>
      </c>
      <c r="R6604" s="10" t="s">
        <v>32203</v>
      </c>
      <c r="S6604" s="10" t="s">
        <v>53</v>
      </c>
      <c r="T6604" s="10" t="s">
        <v>54</v>
      </c>
    </row>
    <row r="6605" spans="1:20" ht="14.5" x14ac:dyDescent="0.35">
      <c r="A6605" s="10" t="s">
        <v>32204</v>
      </c>
      <c r="B6605" s="10" t="str">
        <f>"9780871207944"</f>
        <v>9780871207944</v>
      </c>
      <c r="C6605" s="10" t="str">
        <f>"9781416612605"</f>
        <v>9781416612605</v>
      </c>
      <c r="D6605" s="10" t="s">
        <v>10014</v>
      </c>
      <c r="E6605" s="10" t="s">
        <v>10015</v>
      </c>
      <c r="F6605" s="10" t="s">
        <v>201</v>
      </c>
      <c r="G6605" s="10" t="s">
        <v>6317</v>
      </c>
      <c r="H6605" s="11">
        <v>37926</v>
      </c>
      <c r="I6605" s="10">
        <v>2003</v>
      </c>
      <c r="J6605" s="10" t="s">
        <v>10015</v>
      </c>
      <c r="K6605" s="10">
        <v>194</v>
      </c>
      <c r="L6605" s="10" t="s">
        <v>32205</v>
      </c>
      <c r="M6605" s="10">
        <v>1</v>
      </c>
      <c r="N6605" s="10"/>
      <c r="O6605" s="10"/>
      <c r="P6605" s="10" t="s">
        <v>32206</v>
      </c>
      <c r="Q6605" s="10">
        <v>372.41</v>
      </c>
      <c r="R6605" s="10" t="s">
        <v>32207</v>
      </c>
      <c r="S6605" s="10" t="s">
        <v>53</v>
      </c>
      <c r="T6605" s="10" t="s">
        <v>54</v>
      </c>
    </row>
    <row r="6606" spans="1:20" ht="14.5" x14ac:dyDescent="0.35">
      <c r="A6606" s="10" t="s">
        <v>32208</v>
      </c>
      <c r="B6606" s="10" t="str">
        <f>"9780871208347"</f>
        <v>9780871208347</v>
      </c>
      <c r="C6606" s="10" t="str">
        <f>"9780871209672"</f>
        <v>9780871209672</v>
      </c>
      <c r="D6606" s="10" t="s">
        <v>10014</v>
      </c>
      <c r="E6606" s="10" t="s">
        <v>10015</v>
      </c>
      <c r="F6606" s="10" t="s">
        <v>201</v>
      </c>
      <c r="G6606" s="10" t="s">
        <v>6317</v>
      </c>
      <c r="H6606" s="11">
        <v>37987</v>
      </c>
      <c r="I6606" s="10">
        <v>2004</v>
      </c>
      <c r="J6606" s="10" t="s">
        <v>10015</v>
      </c>
      <c r="K6606" s="10">
        <v>178</v>
      </c>
      <c r="L6606" s="10" t="s">
        <v>30637</v>
      </c>
      <c r="M6606" s="10">
        <v>1</v>
      </c>
      <c r="N6606" s="10"/>
      <c r="O6606" s="10"/>
      <c r="P6606" s="10" t="s">
        <v>32209</v>
      </c>
      <c r="Q6606" s="10" t="s">
        <v>27644</v>
      </c>
      <c r="R6606" s="10" t="s">
        <v>32210</v>
      </c>
      <c r="S6606" s="10" t="s">
        <v>53</v>
      </c>
      <c r="T6606" s="10" t="s">
        <v>54</v>
      </c>
    </row>
    <row r="6607" spans="1:20" ht="14.5" x14ac:dyDescent="0.35">
      <c r="A6607" s="10" t="s">
        <v>32211</v>
      </c>
      <c r="B6607" s="10" t="str">
        <f>""</f>
        <v/>
      </c>
      <c r="C6607" s="10" t="str">
        <f>"9780871209641"</f>
        <v>9780871209641</v>
      </c>
      <c r="D6607" s="10" t="s">
        <v>10014</v>
      </c>
      <c r="E6607" s="10" t="s">
        <v>10015</v>
      </c>
      <c r="F6607" s="10" t="s">
        <v>201</v>
      </c>
      <c r="G6607" s="10" t="s">
        <v>6317</v>
      </c>
      <c r="H6607" s="11">
        <v>37956</v>
      </c>
      <c r="I6607" s="10">
        <v>2004</v>
      </c>
      <c r="J6607" s="10" t="s">
        <v>32026</v>
      </c>
      <c r="K6607" s="10">
        <v>106</v>
      </c>
      <c r="L6607" s="10" t="s">
        <v>10014</v>
      </c>
      <c r="M6607" s="10">
        <v>1</v>
      </c>
      <c r="N6607" s="10"/>
      <c r="O6607" s="10"/>
      <c r="P6607" s="10" t="s">
        <v>32212</v>
      </c>
      <c r="Q6607" s="10" t="s">
        <v>32213</v>
      </c>
      <c r="R6607" s="10" t="s">
        <v>32214</v>
      </c>
      <c r="S6607" s="10" t="s">
        <v>53</v>
      </c>
      <c r="T6607" s="10" t="s">
        <v>54</v>
      </c>
    </row>
    <row r="6608" spans="1:20" ht="14.5" x14ac:dyDescent="0.35">
      <c r="A6608" s="10" t="s">
        <v>32215</v>
      </c>
      <c r="B6608" s="10" t="str">
        <f>"9780871208408"</f>
        <v>9780871208408</v>
      </c>
      <c r="C6608" s="10" t="str">
        <f>"9781416601074"</f>
        <v>9781416601074</v>
      </c>
      <c r="D6608" s="10" t="s">
        <v>10014</v>
      </c>
      <c r="E6608" s="10" t="s">
        <v>10015</v>
      </c>
      <c r="F6608" s="10" t="s">
        <v>201</v>
      </c>
      <c r="G6608" s="10" t="s">
        <v>6317</v>
      </c>
      <c r="H6608" s="11">
        <v>38018</v>
      </c>
      <c r="I6608" s="10">
        <v>2004</v>
      </c>
      <c r="J6608" s="10" t="s">
        <v>10015</v>
      </c>
      <c r="K6608" s="10">
        <v>191</v>
      </c>
      <c r="L6608" s="10" t="s">
        <v>32216</v>
      </c>
      <c r="M6608" s="10">
        <v>1</v>
      </c>
      <c r="N6608" s="10"/>
      <c r="O6608" s="10"/>
      <c r="P6608" s="10" t="s">
        <v>32217</v>
      </c>
      <c r="Q6608" s="10">
        <v>600</v>
      </c>
      <c r="R6608" s="10" t="s">
        <v>32218</v>
      </c>
      <c r="S6608" s="10" t="s">
        <v>53</v>
      </c>
      <c r="T6608" s="10" t="s">
        <v>22084</v>
      </c>
    </row>
    <row r="6609" spans="1:20" ht="14.5" x14ac:dyDescent="0.35">
      <c r="A6609" s="10" t="s">
        <v>32219</v>
      </c>
      <c r="B6609" s="10" t="str">
        <f>""</f>
        <v/>
      </c>
      <c r="C6609" s="10" t="str">
        <f>"9780871209832"</f>
        <v>9780871209832</v>
      </c>
      <c r="D6609" s="10" t="s">
        <v>10014</v>
      </c>
      <c r="E6609" s="10" t="s">
        <v>10015</v>
      </c>
      <c r="F6609" s="10" t="s">
        <v>201</v>
      </c>
      <c r="G6609" s="10" t="s">
        <v>6317</v>
      </c>
      <c r="H6609" s="11">
        <v>37316</v>
      </c>
      <c r="I6609" s="10">
        <v>2001</v>
      </c>
      <c r="J6609" s="10" t="s">
        <v>32026</v>
      </c>
      <c r="K6609" s="10">
        <v>160</v>
      </c>
      <c r="L6609" s="10" t="s">
        <v>32220</v>
      </c>
      <c r="M6609" s="10">
        <v>1</v>
      </c>
      <c r="N6609" s="10"/>
      <c r="O6609" s="10"/>
      <c r="P6609" s="10" t="s">
        <v>32221</v>
      </c>
      <c r="Q6609" s="10" t="s">
        <v>8460</v>
      </c>
      <c r="R6609" s="10" t="s">
        <v>32222</v>
      </c>
      <c r="S6609" s="10" t="s">
        <v>53</v>
      </c>
      <c r="T6609" s="10" t="s">
        <v>54</v>
      </c>
    </row>
    <row r="6610" spans="1:20" ht="14.5" x14ac:dyDescent="0.35">
      <c r="A6610" s="10" t="s">
        <v>32223</v>
      </c>
      <c r="B6610" s="10" t="str">
        <f>"9780871208415"</f>
        <v>9780871208415</v>
      </c>
      <c r="C6610" s="10" t="str">
        <f>"9780871209962"</f>
        <v>9780871209962</v>
      </c>
      <c r="D6610" s="10" t="s">
        <v>10014</v>
      </c>
      <c r="E6610" s="10" t="s">
        <v>10015</v>
      </c>
      <c r="F6610" s="10" t="s">
        <v>201</v>
      </c>
      <c r="G6610" s="10" t="s">
        <v>6317</v>
      </c>
      <c r="H6610" s="11">
        <v>38047</v>
      </c>
      <c r="I6610" s="10">
        <v>2004</v>
      </c>
      <c r="J6610" s="10" t="s">
        <v>10015</v>
      </c>
      <c r="K6610" s="10">
        <v>225</v>
      </c>
      <c r="L6610" s="10" t="s">
        <v>32224</v>
      </c>
      <c r="M6610" s="10">
        <v>1</v>
      </c>
      <c r="N6610" s="10"/>
      <c r="O6610" s="10"/>
      <c r="P6610" s="10" t="s">
        <v>32225</v>
      </c>
      <c r="Q6610" s="10" t="s">
        <v>23559</v>
      </c>
      <c r="R6610" s="10" t="s">
        <v>32226</v>
      </c>
      <c r="S6610" s="10" t="s">
        <v>53</v>
      </c>
      <c r="T6610" s="10" t="s">
        <v>5396</v>
      </c>
    </row>
    <row r="6611" spans="1:20" ht="14.5" x14ac:dyDescent="0.35">
      <c r="A6611" s="10" t="s">
        <v>32227</v>
      </c>
      <c r="B6611" s="10" t="str">
        <f>"9780871208804"</f>
        <v>9780871208804</v>
      </c>
      <c r="C6611" s="10" t="str">
        <f>"9781416612612"</f>
        <v>9781416612612</v>
      </c>
      <c r="D6611" s="10" t="s">
        <v>10014</v>
      </c>
      <c r="E6611" s="10" t="s">
        <v>10015</v>
      </c>
      <c r="F6611" s="10" t="s">
        <v>201</v>
      </c>
      <c r="G6611" s="10" t="s">
        <v>6317</v>
      </c>
      <c r="H6611" s="11">
        <v>38047</v>
      </c>
      <c r="I6611" s="10">
        <v>2004</v>
      </c>
      <c r="J6611" s="10" t="s">
        <v>10015</v>
      </c>
      <c r="K6611" s="10">
        <v>196</v>
      </c>
      <c r="L6611" s="10" t="s">
        <v>32228</v>
      </c>
      <c r="M6611" s="10">
        <v>1</v>
      </c>
      <c r="N6611" s="10"/>
      <c r="O6611" s="10"/>
      <c r="P6611" s="10" t="s">
        <v>32229</v>
      </c>
      <c r="Q6611" s="10">
        <v>371.10199999999998</v>
      </c>
      <c r="R6611" s="10" t="s">
        <v>32230</v>
      </c>
      <c r="S6611" s="10" t="s">
        <v>53</v>
      </c>
      <c r="T6611" s="10" t="s">
        <v>54</v>
      </c>
    </row>
    <row r="6612" spans="1:20" ht="14.5" x14ac:dyDescent="0.35">
      <c r="A6612" s="10" t="s">
        <v>32231</v>
      </c>
      <c r="B6612" s="10" t="str">
        <f>""</f>
        <v/>
      </c>
      <c r="C6612" s="10" t="str">
        <f>"9780871209856"</f>
        <v>9780871209856</v>
      </c>
      <c r="D6612" s="10" t="s">
        <v>10014</v>
      </c>
      <c r="E6612" s="10" t="s">
        <v>10015</v>
      </c>
      <c r="F6612" s="10" t="s">
        <v>201</v>
      </c>
      <c r="G6612" s="10" t="s">
        <v>6317</v>
      </c>
      <c r="H6612" s="11">
        <v>38078</v>
      </c>
      <c r="I6612" s="10">
        <v>2004</v>
      </c>
      <c r="J6612" s="10" t="s">
        <v>32026</v>
      </c>
      <c r="K6612" s="10">
        <v>321</v>
      </c>
      <c r="L6612" s="10" t="s">
        <v>32232</v>
      </c>
      <c r="M6612" s="10">
        <v>1</v>
      </c>
      <c r="N6612" s="10"/>
      <c r="O6612" s="10"/>
      <c r="P6612" s="10" t="s">
        <v>32233</v>
      </c>
      <c r="Q6612" s="10" t="s">
        <v>11202</v>
      </c>
      <c r="R6612" s="10" t="s">
        <v>32234</v>
      </c>
      <c r="S6612" s="10" t="s">
        <v>53</v>
      </c>
      <c r="T6612" s="10" t="s">
        <v>54</v>
      </c>
    </row>
    <row r="6613" spans="1:20" ht="14.5" x14ac:dyDescent="0.35">
      <c r="A6613" s="10" t="s">
        <v>32235</v>
      </c>
      <c r="B6613" s="10" t="str">
        <f>"9780871208606"</f>
        <v>9780871208606</v>
      </c>
      <c r="C6613" s="10" t="str">
        <f>"9781416601395"</f>
        <v>9781416601395</v>
      </c>
      <c r="D6613" s="10" t="s">
        <v>10014</v>
      </c>
      <c r="E6613" s="10" t="s">
        <v>10015</v>
      </c>
      <c r="F6613" s="10" t="s">
        <v>201</v>
      </c>
      <c r="G6613" s="10" t="s">
        <v>6317</v>
      </c>
      <c r="H6613" s="11">
        <v>38078</v>
      </c>
      <c r="I6613" s="10">
        <v>2004</v>
      </c>
      <c r="J6613" s="10" t="s">
        <v>10015</v>
      </c>
      <c r="K6613" s="10">
        <v>218</v>
      </c>
      <c r="L6613" s="10" t="s">
        <v>32236</v>
      </c>
      <c r="M6613" s="10">
        <v>1</v>
      </c>
      <c r="N6613" s="10"/>
      <c r="O6613" s="10"/>
      <c r="P6613" s="10" t="s">
        <v>32237</v>
      </c>
      <c r="Q6613" s="10">
        <v>821.91399999999999</v>
      </c>
      <c r="R6613" s="10" t="s">
        <v>32238</v>
      </c>
      <c r="S6613" s="10" t="s">
        <v>53</v>
      </c>
      <c r="T6613" s="10" t="s">
        <v>10454</v>
      </c>
    </row>
    <row r="6614" spans="1:20" ht="14.5" x14ac:dyDescent="0.35">
      <c r="A6614" s="10" t="s">
        <v>32239</v>
      </c>
      <c r="B6614" s="10" t="str">
        <f>"9780871208422"</f>
        <v>9780871208422</v>
      </c>
      <c r="C6614" s="10" t="str">
        <f>"9781416612650"</f>
        <v>9781416612650</v>
      </c>
      <c r="D6614" s="10" t="s">
        <v>10014</v>
      </c>
      <c r="E6614" s="10" t="s">
        <v>10015</v>
      </c>
      <c r="F6614" s="10" t="s">
        <v>201</v>
      </c>
      <c r="G6614" s="10" t="s">
        <v>6317</v>
      </c>
      <c r="H6614" s="11">
        <v>38018</v>
      </c>
      <c r="I6614" s="10">
        <v>2004</v>
      </c>
      <c r="J6614" s="10" t="s">
        <v>10015</v>
      </c>
      <c r="K6614" s="10">
        <v>232</v>
      </c>
      <c r="L6614" s="10" t="s">
        <v>32240</v>
      </c>
      <c r="M6614" s="10">
        <v>1</v>
      </c>
      <c r="N6614" s="10"/>
      <c r="O6614" s="10"/>
      <c r="P6614" s="10"/>
      <c r="Q6614" s="10" t="s">
        <v>32241</v>
      </c>
      <c r="R6614" s="10"/>
      <c r="S6614" s="10" t="s">
        <v>53</v>
      </c>
      <c r="T6614" s="10" t="s">
        <v>54</v>
      </c>
    </row>
    <row r="6615" spans="1:20" ht="14.5" x14ac:dyDescent="0.35">
      <c r="A6615" s="10" t="s">
        <v>32242</v>
      </c>
      <c r="B6615" s="10" t="str">
        <f>""</f>
        <v/>
      </c>
      <c r="C6615" s="10" t="str">
        <f>"9781416600183"</f>
        <v>9781416600183</v>
      </c>
      <c r="D6615" s="10" t="s">
        <v>10014</v>
      </c>
      <c r="E6615" s="10" t="s">
        <v>10015</v>
      </c>
      <c r="F6615" s="10" t="s">
        <v>201</v>
      </c>
      <c r="G6615" s="10" t="s">
        <v>6317</v>
      </c>
      <c r="H6615" s="11">
        <v>38139</v>
      </c>
      <c r="I6615" s="10">
        <v>2004</v>
      </c>
      <c r="J6615" s="10" t="s">
        <v>32026</v>
      </c>
      <c r="K6615" s="10">
        <v>99</v>
      </c>
      <c r="L6615" s="10" t="s">
        <v>32243</v>
      </c>
      <c r="M6615" s="10">
        <v>2</v>
      </c>
      <c r="N6615" s="10"/>
      <c r="O6615" s="10"/>
      <c r="P6615" s="10" t="s">
        <v>32244</v>
      </c>
      <c r="Q6615" s="10" t="s">
        <v>32245</v>
      </c>
      <c r="R6615" s="10" t="s">
        <v>32246</v>
      </c>
      <c r="S6615" s="10" t="s">
        <v>53</v>
      </c>
      <c r="T6615" s="10" t="s">
        <v>54</v>
      </c>
    </row>
    <row r="6616" spans="1:20" ht="14.5" x14ac:dyDescent="0.35">
      <c r="A6616" s="10" t="s">
        <v>32247</v>
      </c>
      <c r="B6616" s="10" t="str">
        <f>"9780871208293"</f>
        <v>9780871208293</v>
      </c>
      <c r="C6616" s="10" t="str">
        <f>"9780871209986"</f>
        <v>9780871209986</v>
      </c>
      <c r="D6616" s="10" t="s">
        <v>10014</v>
      </c>
      <c r="E6616" s="10" t="s">
        <v>10015</v>
      </c>
      <c r="F6616" s="10" t="s">
        <v>201</v>
      </c>
      <c r="G6616" s="10" t="s">
        <v>6317</v>
      </c>
      <c r="H6616" s="11">
        <v>38108</v>
      </c>
      <c r="I6616" s="10">
        <v>2004</v>
      </c>
      <c r="J6616" s="10" t="s">
        <v>10015</v>
      </c>
      <c r="K6616" s="10">
        <v>242</v>
      </c>
      <c r="L6616" s="10" t="s">
        <v>16534</v>
      </c>
      <c r="M6616" s="10">
        <v>1</v>
      </c>
      <c r="N6616" s="10"/>
      <c r="O6616" s="10"/>
      <c r="P6616" s="10" t="s">
        <v>32248</v>
      </c>
      <c r="Q6616" s="10" t="s">
        <v>9954</v>
      </c>
      <c r="R6616" s="10" t="s">
        <v>32249</v>
      </c>
      <c r="S6616" s="10" t="s">
        <v>53</v>
      </c>
      <c r="T6616" s="10" t="s">
        <v>54</v>
      </c>
    </row>
    <row r="6617" spans="1:20" ht="14.5" x14ac:dyDescent="0.35">
      <c r="A6617" s="10" t="s">
        <v>32250</v>
      </c>
      <c r="B6617" s="10" t="str">
        <f>"9780871208453"</f>
        <v>9780871208453</v>
      </c>
      <c r="C6617" s="10" t="str">
        <f>"9781416600121"</f>
        <v>9781416600121</v>
      </c>
      <c r="D6617" s="10" t="s">
        <v>10014</v>
      </c>
      <c r="E6617" s="10" t="s">
        <v>10015</v>
      </c>
      <c r="F6617" s="10" t="s">
        <v>201</v>
      </c>
      <c r="G6617" s="10" t="s">
        <v>6317</v>
      </c>
      <c r="H6617" s="11">
        <v>38078</v>
      </c>
      <c r="I6617" s="10">
        <v>2004</v>
      </c>
      <c r="J6617" s="10" t="s">
        <v>10015</v>
      </c>
      <c r="K6617" s="10">
        <v>209</v>
      </c>
      <c r="L6617" s="10" t="s">
        <v>32251</v>
      </c>
      <c r="M6617" s="10">
        <v>1</v>
      </c>
      <c r="N6617" s="10"/>
      <c r="O6617" s="10"/>
      <c r="P6617" s="10" t="s">
        <v>32252</v>
      </c>
      <c r="Q6617" s="10" t="s">
        <v>27675</v>
      </c>
      <c r="R6617" s="10" t="s">
        <v>32253</v>
      </c>
      <c r="S6617" s="10" t="s">
        <v>53</v>
      </c>
      <c r="T6617" s="10" t="s">
        <v>54</v>
      </c>
    </row>
    <row r="6618" spans="1:20" ht="14.5" x14ac:dyDescent="0.35">
      <c r="A6618" s="10" t="s">
        <v>32254</v>
      </c>
      <c r="B6618" s="10" t="str">
        <f>"9780871208590"</f>
        <v>9780871208590</v>
      </c>
      <c r="C6618" s="10" t="str">
        <f>"9781416600169"</f>
        <v>9781416600169</v>
      </c>
      <c r="D6618" s="10" t="s">
        <v>10014</v>
      </c>
      <c r="E6618" s="10" t="s">
        <v>10015</v>
      </c>
      <c r="F6618" s="10" t="s">
        <v>201</v>
      </c>
      <c r="G6618" s="10" t="s">
        <v>6317</v>
      </c>
      <c r="H6618" s="11">
        <v>38108</v>
      </c>
      <c r="I6618" s="10">
        <v>2004</v>
      </c>
      <c r="J6618" s="10" t="s">
        <v>10015</v>
      </c>
      <c r="K6618" s="10">
        <v>191</v>
      </c>
      <c r="L6618" s="10" t="s">
        <v>32255</v>
      </c>
      <c r="M6618" s="10">
        <v>1</v>
      </c>
      <c r="N6618" s="10"/>
      <c r="O6618" s="10"/>
      <c r="P6618" s="10" t="s">
        <v>32256</v>
      </c>
      <c r="Q6618" s="10" t="s">
        <v>27630</v>
      </c>
      <c r="R6618" s="10" t="s">
        <v>32257</v>
      </c>
      <c r="S6618" s="10" t="s">
        <v>53</v>
      </c>
      <c r="T6618" s="10" t="s">
        <v>54</v>
      </c>
    </row>
    <row r="6619" spans="1:20" ht="14.5" x14ac:dyDescent="0.35">
      <c r="A6619" s="10" t="s">
        <v>32258</v>
      </c>
      <c r="B6619" s="10" t="str">
        <f>"9780871208262"</f>
        <v>9780871208262</v>
      </c>
      <c r="C6619" s="10" t="str">
        <f>"9781416601593"</f>
        <v>9781416601593</v>
      </c>
      <c r="D6619" s="10" t="s">
        <v>10014</v>
      </c>
      <c r="E6619" s="10" t="s">
        <v>10015</v>
      </c>
      <c r="F6619" s="10" t="s">
        <v>201</v>
      </c>
      <c r="G6619" s="10" t="s">
        <v>6317</v>
      </c>
      <c r="H6619" s="11">
        <v>38961</v>
      </c>
      <c r="I6619" s="10">
        <v>2003</v>
      </c>
      <c r="J6619" s="10" t="s">
        <v>10015</v>
      </c>
      <c r="K6619" s="10">
        <v>145</v>
      </c>
      <c r="L6619" s="10" t="s">
        <v>32259</v>
      </c>
      <c r="M6619" s="10">
        <v>1</v>
      </c>
      <c r="N6619" s="10"/>
      <c r="O6619" s="10"/>
      <c r="P6619" s="10" t="s">
        <v>32260</v>
      </c>
      <c r="Q6619" s="10"/>
      <c r="R6619" s="10" t="s">
        <v>32261</v>
      </c>
      <c r="S6619" s="10" t="s">
        <v>53</v>
      </c>
      <c r="T6619" s="10" t="s">
        <v>54</v>
      </c>
    </row>
    <row r="6620" spans="1:20" ht="14.5" x14ac:dyDescent="0.35">
      <c r="A6620" s="10" t="s">
        <v>32262</v>
      </c>
      <c r="B6620" s="10" t="str">
        <f>"9780871208811"</f>
        <v>9780871208811</v>
      </c>
      <c r="C6620" s="10" t="str">
        <f>"9781416600527"</f>
        <v>9781416600527</v>
      </c>
      <c r="D6620" s="10" t="s">
        <v>10014</v>
      </c>
      <c r="E6620" s="10" t="s">
        <v>10015</v>
      </c>
      <c r="F6620" s="10" t="s">
        <v>201</v>
      </c>
      <c r="G6620" s="10" t="s">
        <v>6317</v>
      </c>
      <c r="H6620" s="11">
        <v>38169</v>
      </c>
      <c r="I6620" s="10">
        <v>2004</v>
      </c>
      <c r="J6620" s="10" t="s">
        <v>10015</v>
      </c>
      <c r="K6620" s="10">
        <v>123</v>
      </c>
      <c r="L6620" s="10" t="s">
        <v>32263</v>
      </c>
      <c r="M6620" s="10">
        <v>1</v>
      </c>
      <c r="N6620" s="10"/>
      <c r="O6620" s="10"/>
      <c r="P6620" s="10" t="s">
        <v>32264</v>
      </c>
      <c r="Q6620" s="10">
        <v>371.1</v>
      </c>
      <c r="R6620" s="10" t="s">
        <v>32265</v>
      </c>
      <c r="S6620" s="10" t="s">
        <v>53</v>
      </c>
      <c r="T6620" s="10" t="s">
        <v>54</v>
      </c>
    </row>
    <row r="6621" spans="1:20" ht="14.5" x14ac:dyDescent="0.35">
      <c r="A6621" s="10" t="s">
        <v>32266</v>
      </c>
      <c r="B6621" s="10" t="str">
        <f>""</f>
        <v/>
      </c>
      <c r="C6621" s="10" t="str">
        <f>"9780871209184"</f>
        <v>9780871209184</v>
      </c>
      <c r="D6621" s="10" t="s">
        <v>10014</v>
      </c>
      <c r="E6621" s="10" t="s">
        <v>10015</v>
      </c>
      <c r="F6621" s="10" t="s">
        <v>201</v>
      </c>
      <c r="G6621" s="10" t="s">
        <v>6317</v>
      </c>
      <c r="H6621" s="11">
        <v>36861</v>
      </c>
      <c r="I6621" s="10">
        <v>2001</v>
      </c>
      <c r="J6621" s="10" t="s">
        <v>32026</v>
      </c>
      <c r="K6621" s="10">
        <v>149</v>
      </c>
      <c r="L6621" s="10" t="s">
        <v>32267</v>
      </c>
      <c r="M6621" s="10">
        <v>1</v>
      </c>
      <c r="N6621" s="10"/>
      <c r="O6621" s="10"/>
      <c r="P6621" s="10" t="s">
        <v>32268</v>
      </c>
      <c r="Q6621" s="10"/>
      <c r="R6621" s="10" t="s">
        <v>32269</v>
      </c>
      <c r="S6621" s="10" t="s">
        <v>53</v>
      </c>
      <c r="T6621" s="10" t="s">
        <v>54</v>
      </c>
    </row>
    <row r="6622" spans="1:20" ht="14.5" x14ac:dyDescent="0.35">
      <c r="A6622" s="10" t="s">
        <v>32270</v>
      </c>
      <c r="B6622" s="10" t="str">
        <f>"9781416600145"</f>
        <v>9781416600145</v>
      </c>
      <c r="C6622" s="10" t="str">
        <f>"9781416601517"</f>
        <v>9781416601517</v>
      </c>
      <c r="D6622" s="10" t="s">
        <v>10014</v>
      </c>
      <c r="E6622" s="10" t="s">
        <v>10015</v>
      </c>
      <c r="F6622" s="10" t="s">
        <v>201</v>
      </c>
      <c r="G6622" s="10" t="s">
        <v>6317</v>
      </c>
      <c r="H6622" s="11">
        <v>38231</v>
      </c>
      <c r="I6622" s="10">
        <v>2004</v>
      </c>
      <c r="J6622" s="10" t="s">
        <v>10015</v>
      </c>
      <c r="K6622" s="10">
        <v>230</v>
      </c>
      <c r="L6622" s="10" t="s">
        <v>32271</v>
      </c>
      <c r="M6622" s="10">
        <v>1</v>
      </c>
      <c r="N6622" s="10"/>
      <c r="O6622" s="10"/>
      <c r="P6622" s="10" t="s">
        <v>32272</v>
      </c>
      <c r="Q6622" s="10" t="s">
        <v>32273</v>
      </c>
      <c r="R6622" s="10" t="s">
        <v>32274</v>
      </c>
      <c r="S6622" s="10" t="s">
        <v>53</v>
      </c>
      <c r="T6622" s="10" t="s">
        <v>5396</v>
      </c>
    </row>
    <row r="6623" spans="1:20" ht="14.5" x14ac:dyDescent="0.35">
      <c r="A6623" s="10" t="s">
        <v>32275</v>
      </c>
      <c r="B6623" s="10" t="str">
        <f>"9780871209726"</f>
        <v>9780871209726</v>
      </c>
      <c r="C6623" s="10" t="str">
        <f>"9781416615804"</f>
        <v>9781416615804</v>
      </c>
      <c r="D6623" s="10" t="s">
        <v>10014</v>
      </c>
      <c r="E6623" s="10" t="s">
        <v>10015</v>
      </c>
      <c r="F6623" s="10" t="s">
        <v>201</v>
      </c>
      <c r="G6623" s="10" t="s">
        <v>6317</v>
      </c>
      <c r="H6623" s="11">
        <v>38229</v>
      </c>
      <c r="I6623" s="10">
        <v>2004</v>
      </c>
      <c r="J6623" s="10" t="s">
        <v>10015</v>
      </c>
      <c r="K6623" s="10">
        <v>228</v>
      </c>
      <c r="L6623" s="10" t="s">
        <v>18671</v>
      </c>
      <c r="M6623" s="10">
        <v>1</v>
      </c>
      <c r="N6623" s="10"/>
      <c r="O6623" s="10"/>
      <c r="P6623" s="10"/>
      <c r="Q6623" s="10" t="s">
        <v>32276</v>
      </c>
      <c r="R6623" s="10"/>
      <c r="S6623" s="10" t="s">
        <v>53</v>
      </c>
      <c r="T6623" s="10" t="s">
        <v>54</v>
      </c>
    </row>
    <row r="6624" spans="1:20" ht="14.5" x14ac:dyDescent="0.35">
      <c r="A6624" s="10" t="s">
        <v>32277</v>
      </c>
      <c r="B6624" s="10" t="str">
        <f>""</f>
        <v/>
      </c>
      <c r="C6624" s="10" t="str">
        <f>"9781416601579"</f>
        <v>9781416601579</v>
      </c>
      <c r="D6624" s="10" t="s">
        <v>10014</v>
      </c>
      <c r="E6624" s="10" t="s">
        <v>10015</v>
      </c>
      <c r="F6624" s="10" t="s">
        <v>201</v>
      </c>
      <c r="G6624" s="10" t="s">
        <v>6317</v>
      </c>
      <c r="H6624" s="11">
        <v>38292</v>
      </c>
      <c r="I6624" s="10">
        <v>2004</v>
      </c>
      <c r="J6624" s="10" t="s">
        <v>32026</v>
      </c>
      <c r="K6624" s="10">
        <v>193</v>
      </c>
      <c r="L6624" s="10" t="s">
        <v>15992</v>
      </c>
      <c r="M6624" s="10">
        <v>1</v>
      </c>
      <c r="N6624" s="10"/>
      <c r="O6624" s="10"/>
      <c r="P6624" s="10" t="s">
        <v>32278</v>
      </c>
      <c r="Q6624" s="10"/>
      <c r="R6624" s="10" t="s">
        <v>32279</v>
      </c>
      <c r="S6624" s="10" t="s">
        <v>53</v>
      </c>
      <c r="T6624" s="10" t="s">
        <v>54</v>
      </c>
    </row>
    <row r="6625" spans="1:20" ht="14.5" x14ac:dyDescent="0.35">
      <c r="A6625" s="10" t="s">
        <v>32280</v>
      </c>
      <c r="B6625" s="10" t="str">
        <f>"9780871203656"</f>
        <v>9780871203656</v>
      </c>
      <c r="C6625" s="10" t="str">
        <f>"9781416601791"</f>
        <v>9781416601791</v>
      </c>
      <c r="D6625" s="10" t="s">
        <v>10014</v>
      </c>
      <c r="E6625" s="10" t="s">
        <v>10015</v>
      </c>
      <c r="F6625" s="10" t="s">
        <v>201</v>
      </c>
      <c r="G6625" s="10" t="s">
        <v>6317</v>
      </c>
      <c r="H6625" s="11">
        <v>36557</v>
      </c>
      <c r="I6625" s="10">
        <v>2000</v>
      </c>
      <c r="J6625" s="10" t="s">
        <v>10015</v>
      </c>
      <c r="K6625" s="10">
        <v>130</v>
      </c>
      <c r="L6625" s="10" t="s">
        <v>32281</v>
      </c>
      <c r="M6625" s="10">
        <v>1</v>
      </c>
      <c r="N6625" s="10"/>
      <c r="O6625" s="10"/>
      <c r="P6625" s="10" t="s">
        <v>32282</v>
      </c>
      <c r="Q6625" s="10">
        <v>371.2</v>
      </c>
      <c r="R6625" s="10" t="s">
        <v>32283</v>
      </c>
      <c r="S6625" s="10" t="s">
        <v>53</v>
      </c>
      <c r="T6625" s="10" t="s">
        <v>54</v>
      </c>
    </row>
    <row r="6626" spans="1:20" ht="14.5" x14ac:dyDescent="0.35">
      <c r="A6626" s="10" t="s">
        <v>32284</v>
      </c>
      <c r="B6626" s="10" t="str">
        <f>"9780871209733"</f>
        <v>9780871209733</v>
      </c>
      <c r="C6626" s="10" t="str">
        <f>"9781416601494"</f>
        <v>9781416601494</v>
      </c>
      <c r="D6626" s="10" t="s">
        <v>10014</v>
      </c>
      <c r="E6626" s="10" t="s">
        <v>10015</v>
      </c>
      <c r="F6626" s="10" t="s">
        <v>201</v>
      </c>
      <c r="G6626" s="10" t="s">
        <v>6317</v>
      </c>
      <c r="H6626" s="11">
        <v>38261</v>
      </c>
      <c r="I6626" s="10">
        <v>2004</v>
      </c>
      <c r="J6626" s="10" t="s">
        <v>10015</v>
      </c>
      <c r="K6626" s="10">
        <v>180</v>
      </c>
      <c r="L6626" s="10" t="s">
        <v>32285</v>
      </c>
      <c r="M6626" s="10">
        <v>1</v>
      </c>
      <c r="N6626" s="10"/>
      <c r="O6626" s="10"/>
      <c r="P6626" s="10" t="s">
        <v>32286</v>
      </c>
      <c r="Q6626" s="10">
        <v>371.2</v>
      </c>
      <c r="R6626" s="10" t="s">
        <v>10462</v>
      </c>
      <c r="S6626" s="10" t="s">
        <v>53</v>
      </c>
      <c r="T6626" s="10" t="s">
        <v>54</v>
      </c>
    </row>
    <row r="6627" spans="1:20" ht="14.5" x14ac:dyDescent="0.35">
      <c r="A6627" s="10" t="s">
        <v>32287</v>
      </c>
      <c r="B6627" s="10" t="str">
        <f>"9780871209719"</f>
        <v>9780871209719</v>
      </c>
      <c r="C6627" s="10" t="str">
        <f>"9781416614609"</f>
        <v>9781416614609</v>
      </c>
      <c r="D6627" s="10" t="s">
        <v>10014</v>
      </c>
      <c r="E6627" s="10" t="s">
        <v>10015</v>
      </c>
      <c r="F6627" s="10" t="s">
        <v>201</v>
      </c>
      <c r="G6627" s="10" t="s">
        <v>6317</v>
      </c>
      <c r="H6627" s="11">
        <v>38231</v>
      </c>
      <c r="I6627" s="10">
        <v>2004</v>
      </c>
      <c r="J6627" s="10" t="s">
        <v>10015</v>
      </c>
      <c r="K6627" s="10">
        <v>250</v>
      </c>
      <c r="L6627" s="10" t="s">
        <v>32288</v>
      </c>
      <c r="M6627" s="10">
        <v>1</v>
      </c>
      <c r="N6627" s="10"/>
      <c r="O6627" s="10"/>
      <c r="P6627" s="10" t="s">
        <v>32289</v>
      </c>
      <c r="Q6627" s="10">
        <v>813</v>
      </c>
      <c r="R6627" s="10" t="s">
        <v>32290</v>
      </c>
      <c r="S6627" s="10" t="s">
        <v>53</v>
      </c>
      <c r="T6627" s="10" t="s">
        <v>10454</v>
      </c>
    </row>
    <row r="6628" spans="1:20" ht="14.5" x14ac:dyDescent="0.35">
      <c r="A6628" s="10" t="s">
        <v>32291</v>
      </c>
      <c r="B6628" s="10" t="str">
        <f>"9781416600206"</f>
        <v>9781416600206</v>
      </c>
      <c r="C6628" s="10" t="str">
        <f>"9781416600220"</f>
        <v>9781416600220</v>
      </c>
      <c r="D6628" s="10" t="s">
        <v>10014</v>
      </c>
      <c r="E6628" s="10" t="s">
        <v>10015</v>
      </c>
      <c r="F6628" s="10" t="s">
        <v>201</v>
      </c>
      <c r="G6628" s="10" t="s">
        <v>6317</v>
      </c>
      <c r="H6628" s="11">
        <v>38322</v>
      </c>
      <c r="I6628" s="10">
        <v>2004</v>
      </c>
      <c r="J6628" s="10" t="s">
        <v>10015</v>
      </c>
      <c r="K6628" s="10">
        <v>284</v>
      </c>
      <c r="L6628" s="10" t="s">
        <v>32292</v>
      </c>
      <c r="M6628" s="10">
        <v>2</v>
      </c>
      <c r="N6628" s="10"/>
      <c r="O6628" s="10"/>
      <c r="P6628" s="10" t="s">
        <v>32293</v>
      </c>
      <c r="Q6628" s="10">
        <v>371.10199999999998</v>
      </c>
      <c r="R6628" s="10" t="s">
        <v>18927</v>
      </c>
      <c r="S6628" s="10" t="s">
        <v>53</v>
      </c>
      <c r="T6628" s="10" t="s">
        <v>54</v>
      </c>
    </row>
    <row r="6629" spans="1:20" ht="14.5" x14ac:dyDescent="0.35">
      <c r="A6629" s="10" t="s">
        <v>32294</v>
      </c>
      <c r="B6629" s="10" t="str">
        <f>"9780871207777"</f>
        <v>9780871207777</v>
      </c>
      <c r="C6629" s="10" t="str">
        <f>"9781416612599"</f>
        <v>9781416612599</v>
      </c>
      <c r="D6629" s="10" t="s">
        <v>10014</v>
      </c>
      <c r="E6629" s="10" t="s">
        <v>10015</v>
      </c>
      <c r="F6629" s="10" t="s">
        <v>201</v>
      </c>
      <c r="G6629" s="10" t="s">
        <v>6317</v>
      </c>
      <c r="H6629" s="11">
        <v>37926</v>
      </c>
      <c r="I6629" s="10">
        <v>2003</v>
      </c>
      <c r="J6629" s="10" t="s">
        <v>10015</v>
      </c>
      <c r="K6629" s="10">
        <v>219</v>
      </c>
      <c r="L6629" s="10" t="s">
        <v>32295</v>
      </c>
      <c r="M6629" s="10">
        <v>1</v>
      </c>
      <c r="N6629" s="10"/>
      <c r="O6629" s="10"/>
      <c r="P6629" s="10" t="s">
        <v>32296</v>
      </c>
      <c r="Q6629" s="10" t="s">
        <v>32297</v>
      </c>
      <c r="R6629" s="10" t="s">
        <v>32298</v>
      </c>
      <c r="S6629" s="10" t="s">
        <v>53</v>
      </c>
      <c r="T6629" s="10" t="s">
        <v>5396</v>
      </c>
    </row>
    <row r="6630" spans="1:20" ht="14.5" x14ac:dyDescent="0.35">
      <c r="A6630" s="10" t="s">
        <v>32299</v>
      </c>
      <c r="B6630" s="10" t="str">
        <f>"9780871202888"</f>
        <v>9780871202888</v>
      </c>
      <c r="C6630" s="10" t="str">
        <f>"9781416602606"</f>
        <v>9781416602606</v>
      </c>
      <c r="D6630" s="10" t="s">
        <v>10014</v>
      </c>
      <c r="E6630" s="10" t="s">
        <v>10015</v>
      </c>
      <c r="F6630" s="10" t="s">
        <v>201</v>
      </c>
      <c r="G6630" s="10" t="s">
        <v>6317</v>
      </c>
      <c r="H6630" s="11">
        <v>35674</v>
      </c>
      <c r="I6630" s="10">
        <v>1997</v>
      </c>
      <c r="J6630" s="10" t="s">
        <v>10015</v>
      </c>
      <c r="K6630" s="10">
        <v>175</v>
      </c>
      <c r="L6630" s="10" t="s">
        <v>32300</v>
      </c>
      <c r="M6630" s="10">
        <v>1</v>
      </c>
      <c r="N6630" s="10"/>
      <c r="O6630" s="10"/>
      <c r="P6630" s="10" t="s">
        <v>32301</v>
      </c>
      <c r="Q6630" s="10" t="s">
        <v>27665</v>
      </c>
      <c r="R6630" s="10" t="s">
        <v>32302</v>
      </c>
      <c r="S6630" s="10" t="s">
        <v>53</v>
      </c>
      <c r="T6630" s="10" t="s">
        <v>54</v>
      </c>
    </row>
    <row r="6631" spans="1:20" ht="14.5" x14ac:dyDescent="0.35">
      <c r="A6631" s="10" t="s">
        <v>32303</v>
      </c>
      <c r="B6631" s="10" t="str">
        <f>"9780871206657"</f>
        <v>9780871206657</v>
      </c>
      <c r="C6631" s="10" t="str">
        <f>"9781416602620"</f>
        <v>9781416602620</v>
      </c>
      <c r="D6631" s="10" t="s">
        <v>10014</v>
      </c>
      <c r="E6631" s="10" t="s">
        <v>10015</v>
      </c>
      <c r="F6631" s="10" t="s">
        <v>201</v>
      </c>
      <c r="G6631" s="10" t="s">
        <v>6317</v>
      </c>
      <c r="H6631" s="11">
        <v>37469</v>
      </c>
      <c r="I6631" s="10">
        <v>2002</v>
      </c>
      <c r="J6631" s="10" t="s">
        <v>10015</v>
      </c>
      <c r="K6631" s="10">
        <v>151</v>
      </c>
      <c r="L6631" s="10" t="s">
        <v>32304</v>
      </c>
      <c r="M6631" s="10">
        <v>1</v>
      </c>
      <c r="N6631" s="10"/>
      <c r="O6631" s="10"/>
      <c r="P6631" s="10" t="s">
        <v>32305</v>
      </c>
      <c r="Q6631" s="10" t="s">
        <v>27665</v>
      </c>
      <c r="R6631" s="10" t="s">
        <v>32306</v>
      </c>
      <c r="S6631" s="10" t="s">
        <v>53</v>
      </c>
      <c r="T6631" s="10" t="s">
        <v>54</v>
      </c>
    </row>
    <row r="6632" spans="1:20" ht="14.5" x14ac:dyDescent="0.35">
      <c r="A6632" s="10" t="s">
        <v>32307</v>
      </c>
      <c r="B6632" s="10" t="str">
        <f>"9781416600329"</f>
        <v>9781416600329</v>
      </c>
      <c r="C6632" s="10" t="str">
        <f>"9781416602484"</f>
        <v>9781416602484</v>
      </c>
      <c r="D6632" s="10" t="s">
        <v>10014</v>
      </c>
      <c r="E6632" s="10" t="s">
        <v>10015</v>
      </c>
      <c r="F6632" s="10" t="s">
        <v>201</v>
      </c>
      <c r="G6632" s="10" t="s">
        <v>6317</v>
      </c>
      <c r="H6632" s="11">
        <v>38443</v>
      </c>
      <c r="I6632" s="10">
        <v>2005</v>
      </c>
      <c r="J6632" s="10" t="s">
        <v>10015</v>
      </c>
      <c r="K6632" s="10">
        <v>185</v>
      </c>
      <c r="L6632" s="10" t="s">
        <v>32308</v>
      </c>
      <c r="M6632" s="10">
        <v>1</v>
      </c>
      <c r="N6632" s="10"/>
      <c r="O6632" s="10"/>
      <c r="P6632" s="10" t="s">
        <v>32309</v>
      </c>
      <c r="Q6632" s="10" t="s">
        <v>24601</v>
      </c>
      <c r="R6632" s="10" t="s">
        <v>32310</v>
      </c>
      <c r="S6632" s="10" t="s">
        <v>53</v>
      </c>
      <c r="T6632" s="10" t="s">
        <v>54</v>
      </c>
    </row>
    <row r="6633" spans="1:20" ht="14.5" x14ac:dyDescent="0.35">
      <c r="A6633" s="10" t="s">
        <v>32311</v>
      </c>
      <c r="B6633" s="10" t="str">
        <f>""</f>
        <v/>
      </c>
      <c r="C6633" s="10" t="str">
        <f>"9781416602118"</f>
        <v>9781416602118</v>
      </c>
      <c r="D6633" s="10" t="s">
        <v>10014</v>
      </c>
      <c r="E6633" s="10" t="s">
        <v>10015</v>
      </c>
      <c r="F6633" s="10" t="s">
        <v>201</v>
      </c>
      <c r="G6633" s="10" t="s">
        <v>6317</v>
      </c>
      <c r="H6633" s="11">
        <v>38384</v>
      </c>
      <c r="I6633" s="10">
        <v>2005</v>
      </c>
      <c r="J6633" s="10" t="s">
        <v>32026</v>
      </c>
      <c r="K6633" s="10">
        <v>230</v>
      </c>
      <c r="L6633" s="10" t="s">
        <v>32312</v>
      </c>
      <c r="M6633" s="10">
        <v>2</v>
      </c>
      <c r="N6633" s="10"/>
      <c r="O6633" s="10"/>
      <c r="P6633" s="10" t="s">
        <v>32313</v>
      </c>
      <c r="Q6633" s="10" t="s">
        <v>6576</v>
      </c>
      <c r="R6633" s="10" t="s">
        <v>32314</v>
      </c>
      <c r="S6633" s="10" t="s">
        <v>53</v>
      </c>
      <c r="T6633" s="10" t="s">
        <v>54</v>
      </c>
    </row>
    <row r="6634" spans="1:20" ht="14.5" x14ac:dyDescent="0.35">
      <c r="A6634" s="10" t="s">
        <v>32315</v>
      </c>
      <c r="B6634" s="10" t="str">
        <f>""</f>
        <v/>
      </c>
      <c r="C6634" s="10" t="str">
        <f>"9781416602835"</f>
        <v>9781416602835</v>
      </c>
      <c r="D6634" s="10" t="s">
        <v>10014</v>
      </c>
      <c r="E6634" s="10" t="s">
        <v>10015</v>
      </c>
      <c r="F6634" s="10" t="s">
        <v>201</v>
      </c>
      <c r="G6634" s="10" t="s">
        <v>6317</v>
      </c>
      <c r="H6634" s="11">
        <v>36342</v>
      </c>
      <c r="I6634" s="10">
        <v>1999</v>
      </c>
      <c r="J6634" s="10" t="s">
        <v>32026</v>
      </c>
      <c r="K6634" s="10">
        <v>150</v>
      </c>
      <c r="L6634" s="10" t="s">
        <v>32316</v>
      </c>
      <c r="M6634" s="10">
        <v>1</v>
      </c>
      <c r="N6634" s="10"/>
      <c r="O6634" s="10"/>
      <c r="P6634" s="10" t="s">
        <v>32317</v>
      </c>
      <c r="Q6634" s="10" t="s">
        <v>9870</v>
      </c>
      <c r="R6634" s="10" t="s">
        <v>32318</v>
      </c>
      <c r="S6634" s="10" t="s">
        <v>53</v>
      </c>
      <c r="T6634" s="10" t="s">
        <v>54</v>
      </c>
    </row>
    <row r="6635" spans="1:20" ht="14.5" x14ac:dyDescent="0.35">
      <c r="A6635" s="10" t="s">
        <v>32319</v>
      </c>
      <c r="B6635" s="10" t="str">
        <f>"9781416601524"</f>
        <v>9781416601524</v>
      </c>
      <c r="C6635" s="10" t="str">
        <f>"9781416602873"</f>
        <v>9781416602873</v>
      </c>
      <c r="D6635" s="10" t="s">
        <v>10014</v>
      </c>
      <c r="E6635" s="10" t="s">
        <v>10015</v>
      </c>
      <c r="F6635" s="10" t="s">
        <v>201</v>
      </c>
      <c r="G6635" s="10" t="s">
        <v>6317</v>
      </c>
      <c r="H6635" s="11">
        <v>38473</v>
      </c>
      <c r="I6635" s="10">
        <v>2005</v>
      </c>
      <c r="J6635" s="10" t="s">
        <v>32026</v>
      </c>
      <c r="K6635" s="10">
        <v>215</v>
      </c>
      <c r="L6635" s="10" t="s">
        <v>16000</v>
      </c>
      <c r="M6635" s="10">
        <v>1</v>
      </c>
      <c r="N6635" s="10"/>
      <c r="O6635" s="10"/>
      <c r="P6635" s="10" t="s">
        <v>32320</v>
      </c>
      <c r="Q6635" s="10">
        <v>371.10199999999998</v>
      </c>
      <c r="R6635" s="10" t="s">
        <v>32321</v>
      </c>
      <c r="S6635" s="10" t="s">
        <v>53</v>
      </c>
      <c r="T6635" s="10" t="s">
        <v>54</v>
      </c>
    </row>
    <row r="6636" spans="1:20" ht="14.5" x14ac:dyDescent="0.35">
      <c r="A6636" s="10" t="s">
        <v>32322</v>
      </c>
      <c r="B6636" s="10" t="str">
        <f>""</f>
        <v/>
      </c>
      <c r="C6636" s="10" t="str">
        <f>"9781416602040"</f>
        <v>9781416602040</v>
      </c>
      <c r="D6636" s="10" t="s">
        <v>10014</v>
      </c>
      <c r="E6636" s="10" t="s">
        <v>10015</v>
      </c>
      <c r="F6636" s="10" t="s">
        <v>201</v>
      </c>
      <c r="G6636" s="10" t="s">
        <v>6317</v>
      </c>
      <c r="H6636" s="11">
        <v>38384</v>
      </c>
      <c r="I6636" s="10">
        <v>2005</v>
      </c>
      <c r="J6636" s="10" t="s">
        <v>32026</v>
      </c>
      <c r="K6636" s="10">
        <v>121</v>
      </c>
      <c r="L6636" s="10" t="s">
        <v>32323</v>
      </c>
      <c r="M6636" s="10">
        <v>1</v>
      </c>
      <c r="N6636" s="10"/>
      <c r="O6636" s="10"/>
      <c r="P6636" s="10" t="s">
        <v>32324</v>
      </c>
      <c r="Q6636" s="10">
        <v>371.93</v>
      </c>
      <c r="R6636" s="10" t="s">
        <v>32325</v>
      </c>
      <c r="S6636" s="10" t="s">
        <v>53</v>
      </c>
      <c r="T6636" s="10" t="s">
        <v>54</v>
      </c>
    </row>
    <row r="6637" spans="1:20" ht="14.5" x14ac:dyDescent="0.35">
      <c r="A6637" s="10" t="s">
        <v>32326</v>
      </c>
      <c r="B6637" s="10" t="str">
        <f>"9781416600350"</f>
        <v>9781416600350</v>
      </c>
      <c r="C6637" s="10" t="str">
        <f>"9781416602248"</f>
        <v>9781416602248</v>
      </c>
      <c r="D6637" s="10" t="s">
        <v>10014</v>
      </c>
      <c r="E6637" s="10" t="s">
        <v>10015</v>
      </c>
      <c r="F6637" s="10" t="s">
        <v>201</v>
      </c>
      <c r="G6637" s="10" t="s">
        <v>6317</v>
      </c>
      <c r="H6637" s="11">
        <v>38353</v>
      </c>
      <c r="I6637" s="10">
        <v>2005</v>
      </c>
      <c r="J6637" s="10" t="s">
        <v>10015</v>
      </c>
      <c r="K6637" s="10">
        <v>383</v>
      </c>
      <c r="L6637" s="10" t="s">
        <v>18852</v>
      </c>
      <c r="M6637" s="10">
        <v>2</v>
      </c>
      <c r="N6637" s="10"/>
      <c r="O6637" s="10"/>
      <c r="P6637" s="10"/>
      <c r="Q6637" s="10" t="s">
        <v>32327</v>
      </c>
      <c r="R6637" s="10"/>
      <c r="S6637" s="10" t="s">
        <v>53</v>
      </c>
      <c r="T6637" s="10" t="s">
        <v>54</v>
      </c>
    </row>
    <row r="6638" spans="1:20" ht="14.5" x14ac:dyDescent="0.35">
      <c r="A6638" s="10" t="s">
        <v>32328</v>
      </c>
      <c r="B6638" s="10" t="str">
        <f>"9781416601715"</f>
        <v>9781416601715</v>
      </c>
      <c r="C6638" s="10" t="str">
        <f>"9781416602934"</f>
        <v>9781416602934</v>
      </c>
      <c r="D6638" s="10" t="s">
        <v>10014</v>
      </c>
      <c r="E6638" s="10" t="s">
        <v>10015</v>
      </c>
      <c r="F6638" s="10" t="s">
        <v>201</v>
      </c>
      <c r="G6638" s="10" t="s">
        <v>6317</v>
      </c>
      <c r="H6638" s="11">
        <v>38473</v>
      </c>
      <c r="I6638" s="10">
        <v>2005</v>
      </c>
      <c r="J6638" s="10" t="s">
        <v>10015</v>
      </c>
      <c r="K6638" s="10">
        <v>176</v>
      </c>
      <c r="L6638" s="10" t="s">
        <v>32329</v>
      </c>
      <c r="M6638" s="10">
        <v>1</v>
      </c>
      <c r="N6638" s="10"/>
      <c r="O6638" s="10"/>
      <c r="P6638" s="10" t="s">
        <v>32330</v>
      </c>
      <c r="Q6638" s="10">
        <v>808.04207099999996</v>
      </c>
      <c r="R6638" s="10" t="s">
        <v>32331</v>
      </c>
      <c r="S6638" s="10" t="s">
        <v>53</v>
      </c>
      <c r="T6638" s="10" t="s">
        <v>10454</v>
      </c>
    </row>
    <row r="6639" spans="1:20" ht="14.5" x14ac:dyDescent="0.35">
      <c r="A6639" s="10" t="s">
        <v>32332</v>
      </c>
      <c r="B6639" s="10" t="str">
        <f>"9781416601548"</f>
        <v>9781416601548</v>
      </c>
      <c r="C6639" s="10" t="str">
        <f>"9781416602583"</f>
        <v>9781416602583</v>
      </c>
      <c r="D6639" s="10" t="s">
        <v>10014</v>
      </c>
      <c r="E6639" s="10" t="s">
        <v>10015</v>
      </c>
      <c r="F6639" s="10" t="s">
        <v>201</v>
      </c>
      <c r="G6639" s="10" t="s">
        <v>6317</v>
      </c>
      <c r="H6639" s="11">
        <v>38504</v>
      </c>
      <c r="I6639" s="10">
        <v>2005</v>
      </c>
      <c r="J6639" s="10" t="s">
        <v>10015</v>
      </c>
      <c r="K6639" s="10">
        <v>209</v>
      </c>
      <c r="L6639" s="10" t="s">
        <v>32205</v>
      </c>
      <c r="M6639" s="10">
        <v>1</v>
      </c>
      <c r="N6639" s="10"/>
      <c r="O6639" s="10"/>
      <c r="P6639" s="10" t="s">
        <v>32333</v>
      </c>
      <c r="Q6639" s="10" t="s">
        <v>24606</v>
      </c>
      <c r="R6639" s="10" t="s">
        <v>32334</v>
      </c>
      <c r="S6639" s="10" t="s">
        <v>53</v>
      </c>
      <c r="T6639" s="10" t="s">
        <v>6634</v>
      </c>
    </row>
    <row r="6640" spans="1:20" ht="14.5" x14ac:dyDescent="0.35">
      <c r="A6640" s="10" t="s">
        <v>32335</v>
      </c>
      <c r="B6640" s="10" t="str">
        <f>""</f>
        <v/>
      </c>
      <c r="C6640" s="10" t="str">
        <f>"9781416601845"</f>
        <v>9781416601845</v>
      </c>
      <c r="D6640" s="10" t="s">
        <v>10014</v>
      </c>
      <c r="E6640" s="10" t="s">
        <v>10015</v>
      </c>
      <c r="F6640" s="10" t="s">
        <v>201</v>
      </c>
      <c r="G6640" s="10" t="s">
        <v>6317</v>
      </c>
      <c r="H6640" s="11">
        <v>38353</v>
      </c>
      <c r="I6640" s="10">
        <v>2005</v>
      </c>
      <c r="J6640" s="10" t="s">
        <v>32026</v>
      </c>
      <c r="K6640" s="10">
        <v>237</v>
      </c>
      <c r="L6640" s="10" t="s">
        <v>32336</v>
      </c>
      <c r="M6640" s="10">
        <v>1</v>
      </c>
      <c r="N6640" s="10"/>
      <c r="O6640" s="10"/>
      <c r="P6640" s="10" t="s">
        <v>32337</v>
      </c>
      <c r="Q6640" s="10"/>
      <c r="R6640" s="10" t="s">
        <v>32338</v>
      </c>
      <c r="S6640" s="10" t="s">
        <v>53</v>
      </c>
      <c r="T6640" s="10" t="s">
        <v>54</v>
      </c>
    </row>
    <row r="6641" spans="1:20" ht="14.5" x14ac:dyDescent="0.35">
      <c r="A6641" s="10" t="s">
        <v>32339</v>
      </c>
      <c r="B6641" s="10" t="str">
        <f>""</f>
        <v/>
      </c>
      <c r="C6641" s="10" t="str">
        <f>"9781416603160"</f>
        <v>9781416603160</v>
      </c>
      <c r="D6641" s="10" t="s">
        <v>10014</v>
      </c>
      <c r="E6641" s="10" t="s">
        <v>10015</v>
      </c>
      <c r="F6641" s="10" t="s">
        <v>201</v>
      </c>
      <c r="G6641" s="10" t="s">
        <v>6317</v>
      </c>
      <c r="H6641" s="11">
        <v>38565</v>
      </c>
      <c r="I6641" s="10">
        <v>2005</v>
      </c>
      <c r="J6641" s="10" t="s">
        <v>32026</v>
      </c>
      <c r="K6641" s="10">
        <v>385</v>
      </c>
      <c r="L6641" s="10" t="s">
        <v>32340</v>
      </c>
      <c r="M6641" s="10">
        <v>1</v>
      </c>
      <c r="N6641" s="10"/>
      <c r="O6641" s="10"/>
      <c r="P6641" s="10" t="s">
        <v>32341</v>
      </c>
      <c r="Q6641" s="10">
        <v>373.19</v>
      </c>
      <c r="R6641" s="10" t="s">
        <v>32342</v>
      </c>
      <c r="S6641" s="10" t="s">
        <v>53</v>
      </c>
      <c r="T6641" s="10" t="s">
        <v>54</v>
      </c>
    </row>
    <row r="6642" spans="1:20" ht="14.5" x14ac:dyDescent="0.35">
      <c r="A6642" s="10" t="s">
        <v>32343</v>
      </c>
      <c r="B6642" s="10" t="str">
        <f>"9781416601722"</f>
        <v>9781416601722</v>
      </c>
      <c r="C6642" s="10" t="str">
        <f>"9781416603061"</f>
        <v>9781416603061</v>
      </c>
      <c r="D6642" s="10" t="s">
        <v>10014</v>
      </c>
      <c r="E6642" s="10" t="s">
        <v>10015</v>
      </c>
      <c r="F6642" s="10" t="s">
        <v>201</v>
      </c>
      <c r="G6642" s="10" t="s">
        <v>6317</v>
      </c>
      <c r="H6642" s="11">
        <v>38565</v>
      </c>
      <c r="I6642" s="10">
        <v>2005</v>
      </c>
      <c r="J6642" s="10" t="s">
        <v>10015</v>
      </c>
      <c r="K6642" s="10">
        <v>127</v>
      </c>
      <c r="L6642" s="10" t="s">
        <v>32344</v>
      </c>
      <c r="M6642" s="10">
        <v>1</v>
      </c>
      <c r="N6642" s="10"/>
      <c r="O6642" s="10"/>
      <c r="P6642" s="10" t="s">
        <v>32345</v>
      </c>
      <c r="Q6642" s="10" t="s">
        <v>20700</v>
      </c>
      <c r="R6642" s="10" t="s">
        <v>32346</v>
      </c>
      <c r="S6642" s="10" t="s">
        <v>53</v>
      </c>
      <c r="T6642" s="10" t="s">
        <v>54</v>
      </c>
    </row>
    <row r="6643" spans="1:20" ht="14.5" x14ac:dyDescent="0.35">
      <c r="A6643" s="10" t="s">
        <v>32347</v>
      </c>
      <c r="B6643" s="10" t="str">
        <f>""</f>
        <v/>
      </c>
      <c r="C6643" s="10" t="str">
        <f>"9781416602903"</f>
        <v>9781416602903</v>
      </c>
      <c r="D6643" s="10" t="s">
        <v>10014</v>
      </c>
      <c r="E6643" s="10" t="s">
        <v>10015</v>
      </c>
      <c r="F6643" s="10" t="s">
        <v>201</v>
      </c>
      <c r="G6643" s="10" t="s">
        <v>6317</v>
      </c>
      <c r="H6643" s="11">
        <v>38534</v>
      </c>
      <c r="I6643" s="10">
        <v>2005</v>
      </c>
      <c r="J6643" s="10" t="s">
        <v>32026</v>
      </c>
      <c r="K6643" s="10">
        <v>179</v>
      </c>
      <c r="L6643" s="10" t="s">
        <v>32348</v>
      </c>
      <c r="M6643" s="10">
        <v>1</v>
      </c>
      <c r="N6643" s="10"/>
      <c r="O6643" s="10"/>
      <c r="P6643" s="10" t="s">
        <v>32349</v>
      </c>
      <c r="Q6643" s="10" t="s">
        <v>7069</v>
      </c>
      <c r="R6643" s="10" t="s">
        <v>32350</v>
      </c>
      <c r="S6643" s="10" t="s">
        <v>53</v>
      </c>
      <c r="T6643" s="10" t="s">
        <v>54</v>
      </c>
    </row>
    <row r="6644" spans="1:20" ht="14.5" x14ac:dyDescent="0.35">
      <c r="A6644" s="10" t="s">
        <v>32351</v>
      </c>
      <c r="B6644" s="10" t="str">
        <f>"9781416602262"</f>
        <v>9781416602262</v>
      </c>
      <c r="C6644" s="10" t="str">
        <f>"9781416603344"</f>
        <v>9781416603344</v>
      </c>
      <c r="D6644" s="10" t="s">
        <v>10014</v>
      </c>
      <c r="E6644" s="10" t="s">
        <v>10015</v>
      </c>
      <c r="F6644" s="10" t="s">
        <v>201</v>
      </c>
      <c r="G6644" s="10" t="s">
        <v>6317</v>
      </c>
      <c r="H6644" s="11">
        <v>38626</v>
      </c>
      <c r="I6644" s="10">
        <v>2005</v>
      </c>
      <c r="J6644" s="10" t="s">
        <v>10015</v>
      </c>
      <c r="K6644" s="10">
        <v>174</v>
      </c>
      <c r="L6644" s="10" t="s">
        <v>32352</v>
      </c>
      <c r="M6644" s="10">
        <v>1</v>
      </c>
      <c r="N6644" s="10"/>
      <c r="O6644" s="10"/>
      <c r="P6644" s="10" t="s">
        <v>32353</v>
      </c>
      <c r="Q6644" s="10" t="s">
        <v>32354</v>
      </c>
      <c r="R6644" s="10" t="s">
        <v>32355</v>
      </c>
      <c r="S6644" s="10" t="s">
        <v>53</v>
      </c>
      <c r="T6644" s="10" t="s">
        <v>54</v>
      </c>
    </row>
    <row r="6645" spans="1:20" ht="14.5" x14ac:dyDescent="0.35">
      <c r="A6645" s="10" t="s">
        <v>32356</v>
      </c>
      <c r="B6645" s="10" t="str">
        <f>"9781416602309"</f>
        <v>9781416602309</v>
      </c>
      <c r="C6645" s="10" t="str">
        <f>"9781416615149"</f>
        <v>9781416615149</v>
      </c>
      <c r="D6645" s="10" t="s">
        <v>10014</v>
      </c>
      <c r="E6645" s="10" t="s">
        <v>10015</v>
      </c>
      <c r="F6645" s="10" t="s">
        <v>201</v>
      </c>
      <c r="G6645" s="10" t="s">
        <v>6317</v>
      </c>
      <c r="H6645" s="11">
        <v>38655</v>
      </c>
      <c r="I6645" s="10">
        <v>2005</v>
      </c>
      <c r="J6645" s="10" t="s">
        <v>10015</v>
      </c>
      <c r="K6645" s="10">
        <v>122</v>
      </c>
      <c r="L6645" s="10" t="s">
        <v>32357</v>
      </c>
      <c r="M6645" s="10">
        <v>1</v>
      </c>
      <c r="N6645" s="10"/>
      <c r="O6645" s="10"/>
      <c r="P6645" s="10"/>
      <c r="Q6645" s="10" t="s">
        <v>6538</v>
      </c>
      <c r="R6645" s="10"/>
      <c r="S6645" s="10" t="s">
        <v>53</v>
      </c>
      <c r="T6645" s="10" t="s">
        <v>389</v>
      </c>
    </row>
    <row r="6646" spans="1:20" ht="14.5" x14ac:dyDescent="0.35">
      <c r="A6646" s="10" t="s">
        <v>32358</v>
      </c>
      <c r="B6646" s="10" t="str">
        <f>"9781416602279"</f>
        <v>9781416602279</v>
      </c>
      <c r="C6646" s="10" t="str">
        <f>"9781416612308"</f>
        <v>9781416612308</v>
      </c>
      <c r="D6646" s="10" t="s">
        <v>10014</v>
      </c>
      <c r="E6646" s="10" t="s">
        <v>10015</v>
      </c>
      <c r="F6646" s="10" t="s">
        <v>201</v>
      </c>
      <c r="G6646" s="10" t="s">
        <v>6317</v>
      </c>
      <c r="H6646" s="11">
        <v>38625</v>
      </c>
      <c r="I6646" s="10">
        <v>2005</v>
      </c>
      <c r="J6646" s="10" t="s">
        <v>10015</v>
      </c>
      <c r="K6646" s="10">
        <v>204</v>
      </c>
      <c r="L6646" s="10" t="s">
        <v>32359</v>
      </c>
      <c r="M6646" s="10">
        <v>1</v>
      </c>
      <c r="N6646" s="10"/>
      <c r="O6646" s="10"/>
      <c r="P6646" s="10"/>
      <c r="Q6646" s="10">
        <v>371.2</v>
      </c>
      <c r="R6646" s="10"/>
      <c r="S6646" s="10" t="s">
        <v>53</v>
      </c>
      <c r="T6646" s="10" t="s">
        <v>54</v>
      </c>
    </row>
    <row r="6647" spans="1:20" ht="14.5" x14ac:dyDescent="0.35">
      <c r="A6647" s="10" t="s">
        <v>32360</v>
      </c>
      <c r="B6647" s="10" t="str">
        <f>""</f>
        <v/>
      </c>
      <c r="C6647" s="10" t="str">
        <f>"9781416602651"</f>
        <v>9781416602651</v>
      </c>
      <c r="D6647" s="10" t="s">
        <v>10014</v>
      </c>
      <c r="E6647" s="10" t="s">
        <v>10015</v>
      </c>
      <c r="F6647" s="10" t="s">
        <v>201</v>
      </c>
      <c r="G6647" s="10" t="s">
        <v>6317</v>
      </c>
      <c r="H6647" s="11">
        <v>38473</v>
      </c>
      <c r="I6647" s="10">
        <v>2005</v>
      </c>
      <c r="J6647" s="10" t="s">
        <v>32026</v>
      </c>
      <c r="K6647" s="10">
        <v>202</v>
      </c>
      <c r="L6647" s="10" t="s">
        <v>26282</v>
      </c>
      <c r="M6647" s="10">
        <v>2</v>
      </c>
      <c r="N6647" s="10"/>
      <c r="O6647" s="10"/>
      <c r="P6647" s="10" t="s">
        <v>32361</v>
      </c>
      <c r="Q6647" s="10" t="s">
        <v>6942</v>
      </c>
      <c r="R6647" s="10" t="s">
        <v>32362</v>
      </c>
      <c r="S6647" s="10" t="s">
        <v>53</v>
      </c>
      <c r="T6647" s="10" t="s">
        <v>54</v>
      </c>
    </row>
    <row r="6648" spans="1:20" ht="14.5" x14ac:dyDescent="0.35">
      <c r="A6648" s="10" t="s">
        <v>32363</v>
      </c>
      <c r="B6648" s="10" t="str">
        <f>"9780871203441"</f>
        <v>9780871203441</v>
      </c>
      <c r="C6648" s="10" t="str">
        <f>"9781416604204"</f>
        <v>9781416604204</v>
      </c>
      <c r="D6648" s="10" t="s">
        <v>10014</v>
      </c>
      <c r="E6648" s="10" t="s">
        <v>10015</v>
      </c>
      <c r="F6648" s="10" t="s">
        <v>201</v>
      </c>
      <c r="G6648" s="10" t="s">
        <v>6317</v>
      </c>
      <c r="H6648" s="11">
        <v>36342</v>
      </c>
      <c r="I6648" s="10">
        <v>1999</v>
      </c>
      <c r="J6648" s="10" t="s">
        <v>10015</v>
      </c>
      <c r="K6648" s="10">
        <v>208</v>
      </c>
      <c r="L6648" s="10" t="s">
        <v>32364</v>
      </c>
      <c r="M6648" s="10">
        <v>1</v>
      </c>
      <c r="N6648" s="10"/>
      <c r="O6648" s="10"/>
      <c r="P6648" s="10"/>
      <c r="Q6648" s="10" t="s">
        <v>8587</v>
      </c>
      <c r="R6648" s="10"/>
      <c r="S6648" s="10" t="s">
        <v>53</v>
      </c>
      <c r="T6648" s="10" t="s">
        <v>54</v>
      </c>
    </row>
    <row r="6649" spans="1:20" ht="14.5" x14ac:dyDescent="0.35">
      <c r="A6649" s="10" t="s">
        <v>32365</v>
      </c>
      <c r="B6649" s="10" t="str">
        <f>"9781416602842"</f>
        <v>9781416602842</v>
      </c>
      <c r="C6649" s="10" t="str">
        <f>"9781416603757"</f>
        <v>9781416603757</v>
      </c>
      <c r="D6649" s="10" t="s">
        <v>10014</v>
      </c>
      <c r="E6649" s="10" t="s">
        <v>10015</v>
      </c>
      <c r="F6649" s="10" t="s">
        <v>201</v>
      </c>
      <c r="G6649" s="10" t="s">
        <v>6317</v>
      </c>
      <c r="H6649" s="11">
        <v>41376</v>
      </c>
      <c r="I6649" s="10">
        <v>2006</v>
      </c>
      <c r="J6649" s="10" t="s">
        <v>10015</v>
      </c>
      <c r="K6649" s="10">
        <v>210</v>
      </c>
      <c r="L6649" s="10" t="s">
        <v>32366</v>
      </c>
      <c r="M6649" s="10">
        <v>1</v>
      </c>
      <c r="N6649" s="10"/>
      <c r="O6649" s="10"/>
      <c r="P6649" s="10"/>
      <c r="Q6649" s="10">
        <v>371.10199999999998</v>
      </c>
      <c r="R6649" s="10"/>
      <c r="S6649" s="10" t="s">
        <v>53</v>
      </c>
      <c r="T6649" s="10" t="s">
        <v>54</v>
      </c>
    </row>
    <row r="6650" spans="1:20" ht="14.5" x14ac:dyDescent="0.35">
      <c r="A6650" s="10" t="s">
        <v>32367</v>
      </c>
      <c r="B6650" s="10" t="str">
        <f>"9780871202529"</f>
        <v>9780871202529</v>
      </c>
      <c r="C6650" s="10" t="str">
        <f>"9781416604143"</f>
        <v>9781416604143</v>
      </c>
      <c r="D6650" s="10" t="s">
        <v>10014</v>
      </c>
      <c r="E6650" s="10" t="s">
        <v>10015</v>
      </c>
      <c r="F6650" s="10" t="s">
        <v>201</v>
      </c>
      <c r="G6650" s="10" t="s">
        <v>6317</v>
      </c>
      <c r="H6650" s="11">
        <v>34912</v>
      </c>
      <c r="I6650" s="10">
        <v>1995</v>
      </c>
      <c r="J6650" s="10" t="s">
        <v>10015</v>
      </c>
      <c r="K6650" s="10">
        <v>131</v>
      </c>
      <c r="L6650" s="10" t="s">
        <v>32368</v>
      </c>
      <c r="M6650" s="10">
        <v>1</v>
      </c>
      <c r="N6650" s="10"/>
      <c r="O6650" s="10"/>
      <c r="P6650" s="10" t="s">
        <v>32369</v>
      </c>
      <c r="Q6650" s="10">
        <v>823</v>
      </c>
      <c r="R6650" s="10" t="s">
        <v>32370</v>
      </c>
      <c r="S6650" s="10" t="s">
        <v>53</v>
      </c>
      <c r="T6650" s="10" t="s">
        <v>6568</v>
      </c>
    </row>
    <row r="6651" spans="1:20" ht="14.5" x14ac:dyDescent="0.35">
      <c r="A6651" s="10" t="s">
        <v>32371</v>
      </c>
      <c r="B6651" s="10" t="str">
        <f>"9781416602293"</f>
        <v>9781416602293</v>
      </c>
      <c r="C6651" s="10" t="str">
        <f>"9781416603092"</f>
        <v>9781416603092</v>
      </c>
      <c r="D6651" s="10" t="s">
        <v>10014</v>
      </c>
      <c r="E6651" s="10" t="s">
        <v>10015</v>
      </c>
      <c r="F6651" s="10" t="s">
        <v>201</v>
      </c>
      <c r="G6651" s="10" t="s">
        <v>6317</v>
      </c>
      <c r="H6651" s="11">
        <v>38687</v>
      </c>
      <c r="I6651" s="10">
        <v>2005</v>
      </c>
      <c r="J6651" s="10" t="s">
        <v>10015</v>
      </c>
      <c r="K6651" s="10">
        <v>231</v>
      </c>
      <c r="L6651" s="10" t="s">
        <v>32372</v>
      </c>
      <c r="M6651" s="10">
        <v>1</v>
      </c>
      <c r="N6651" s="10"/>
      <c r="O6651" s="10"/>
      <c r="P6651" s="10" t="s">
        <v>32373</v>
      </c>
      <c r="Q6651" s="10">
        <v>821.50992129999997</v>
      </c>
      <c r="R6651" s="10" t="s">
        <v>10462</v>
      </c>
      <c r="S6651" s="10" t="s">
        <v>53</v>
      </c>
      <c r="T6651" s="10" t="s">
        <v>10454</v>
      </c>
    </row>
    <row r="6652" spans="1:20" ht="14.5" x14ac:dyDescent="0.35">
      <c r="A6652" s="10" t="s">
        <v>32374</v>
      </c>
      <c r="B6652" s="10" t="str">
        <f>""</f>
        <v/>
      </c>
      <c r="C6652" s="10" t="str">
        <f>"9781416603993"</f>
        <v>9781416603993</v>
      </c>
      <c r="D6652" s="10" t="s">
        <v>10014</v>
      </c>
      <c r="E6652" s="10" t="s">
        <v>10015</v>
      </c>
      <c r="F6652" s="10" t="s">
        <v>201</v>
      </c>
      <c r="G6652" s="10" t="s">
        <v>6317</v>
      </c>
      <c r="H6652" s="11">
        <v>36008</v>
      </c>
      <c r="I6652" s="10">
        <v>1998</v>
      </c>
      <c r="J6652" s="10" t="s">
        <v>32026</v>
      </c>
      <c r="K6652" s="10">
        <v>145</v>
      </c>
      <c r="L6652" s="10" t="s">
        <v>32105</v>
      </c>
      <c r="M6652" s="10">
        <v>1</v>
      </c>
      <c r="N6652" s="10"/>
      <c r="O6652" s="10"/>
      <c r="P6652" s="10" t="s">
        <v>32375</v>
      </c>
      <c r="Q6652" s="10"/>
      <c r="R6652" s="10" t="s">
        <v>32376</v>
      </c>
      <c r="S6652" s="10" t="s">
        <v>53</v>
      </c>
      <c r="T6652" s="10" t="s">
        <v>54</v>
      </c>
    </row>
    <row r="6653" spans="1:20" ht="14.5" x14ac:dyDescent="0.35">
      <c r="A6653" s="10" t="s">
        <v>32377</v>
      </c>
      <c r="B6653" s="10" t="str">
        <f>"9780871203021"</f>
        <v>9780871203021</v>
      </c>
      <c r="C6653" s="10" t="str">
        <f>"9781416616122"</f>
        <v>9781416616122</v>
      </c>
      <c r="D6653" s="10" t="s">
        <v>10014</v>
      </c>
      <c r="E6653" s="10" t="s">
        <v>10015</v>
      </c>
      <c r="F6653" s="10" t="s">
        <v>201</v>
      </c>
      <c r="G6653" s="10" t="s">
        <v>6317</v>
      </c>
      <c r="H6653" s="11">
        <v>35977</v>
      </c>
      <c r="I6653" s="10">
        <v>1998</v>
      </c>
      <c r="J6653" s="10" t="s">
        <v>10015</v>
      </c>
      <c r="K6653" s="10">
        <v>94</v>
      </c>
      <c r="L6653" s="10" t="s">
        <v>10452</v>
      </c>
      <c r="M6653" s="10">
        <v>1</v>
      </c>
      <c r="N6653" s="10"/>
      <c r="O6653" s="10"/>
      <c r="P6653" s="10"/>
      <c r="Q6653" s="10" t="s">
        <v>6942</v>
      </c>
      <c r="R6653" s="10"/>
      <c r="S6653" s="10" t="s">
        <v>53</v>
      </c>
      <c r="T6653" s="10" t="s">
        <v>54</v>
      </c>
    </row>
    <row r="6654" spans="1:20" ht="14.5" x14ac:dyDescent="0.35">
      <c r="A6654" s="10" t="s">
        <v>32378</v>
      </c>
      <c r="B6654" s="10" t="str">
        <f>"9780871203502"</f>
        <v>9780871203502</v>
      </c>
      <c r="C6654" s="10" t="str">
        <f>"9781416604167"</f>
        <v>9781416604167</v>
      </c>
      <c r="D6654" s="10" t="s">
        <v>10014</v>
      </c>
      <c r="E6654" s="10" t="s">
        <v>10015</v>
      </c>
      <c r="F6654" s="10" t="s">
        <v>201</v>
      </c>
      <c r="G6654" s="10" t="s">
        <v>6317</v>
      </c>
      <c r="H6654" s="11">
        <v>36404</v>
      </c>
      <c r="I6654" s="10">
        <v>1999</v>
      </c>
      <c r="J6654" s="10" t="s">
        <v>10015</v>
      </c>
      <c r="K6654" s="10">
        <v>124</v>
      </c>
      <c r="L6654" s="10" t="s">
        <v>32379</v>
      </c>
      <c r="M6654" s="10">
        <v>1</v>
      </c>
      <c r="N6654" s="10"/>
      <c r="O6654" s="10"/>
      <c r="P6654" s="10" t="s">
        <v>32380</v>
      </c>
      <c r="Q6654" s="10"/>
      <c r="R6654" s="10" t="s">
        <v>32381</v>
      </c>
      <c r="S6654" s="10" t="s">
        <v>53</v>
      </c>
      <c r="T6654" s="10" t="s">
        <v>54</v>
      </c>
    </row>
    <row r="6655" spans="1:20" ht="14.5" x14ac:dyDescent="0.35">
      <c r="A6655" s="10" t="s">
        <v>32382</v>
      </c>
      <c r="B6655" s="10" t="str">
        <f>""</f>
        <v/>
      </c>
      <c r="C6655" s="10" t="str">
        <f>"9781416603955"</f>
        <v>9781416603955</v>
      </c>
      <c r="D6655" s="10" t="s">
        <v>10014</v>
      </c>
      <c r="E6655" s="10" t="s">
        <v>10015</v>
      </c>
      <c r="F6655" s="10" t="s">
        <v>201</v>
      </c>
      <c r="G6655" s="10" t="s">
        <v>6317</v>
      </c>
      <c r="H6655" s="11">
        <v>36495</v>
      </c>
      <c r="I6655" s="10">
        <v>1999</v>
      </c>
      <c r="J6655" s="10" t="s">
        <v>32026</v>
      </c>
      <c r="K6655" s="10">
        <v>137</v>
      </c>
      <c r="L6655" s="10" t="s">
        <v>10452</v>
      </c>
      <c r="M6655" s="10">
        <v>1</v>
      </c>
      <c r="N6655" s="10"/>
      <c r="O6655" s="10"/>
      <c r="P6655" s="10" t="s">
        <v>32383</v>
      </c>
      <c r="Q6655" s="10"/>
      <c r="R6655" s="10" t="s">
        <v>32384</v>
      </c>
      <c r="S6655" s="10" t="s">
        <v>53</v>
      </c>
      <c r="T6655" s="10" t="s">
        <v>54</v>
      </c>
    </row>
    <row r="6656" spans="1:20" ht="14.5" x14ac:dyDescent="0.35">
      <c r="A6656" s="10" t="s">
        <v>32385</v>
      </c>
      <c r="B6656" s="10" t="str">
        <f>""</f>
        <v/>
      </c>
      <c r="C6656" s="10" t="str">
        <f>"9781416604327"</f>
        <v>9781416604327</v>
      </c>
      <c r="D6656" s="10" t="s">
        <v>10014</v>
      </c>
      <c r="E6656" s="10" t="s">
        <v>10015</v>
      </c>
      <c r="F6656" s="10" t="s">
        <v>201</v>
      </c>
      <c r="G6656" s="10" t="s">
        <v>6317</v>
      </c>
      <c r="H6656" s="11">
        <v>36312</v>
      </c>
      <c r="I6656" s="10">
        <v>1999</v>
      </c>
      <c r="J6656" s="10" t="s">
        <v>32026</v>
      </c>
      <c r="K6656" s="10">
        <v>71</v>
      </c>
      <c r="L6656" s="10" t="s">
        <v>32386</v>
      </c>
      <c r="M6656" s="10">
        <v>1</v>
      </c>
      <c r="N6656" s="10"/>
      <c r="O6656" s="10"/>
      <c r="P6656" s="10" t="s">
        <v>32387</v>
      </c>
      <c r="Q6656" s="10">
        <v>507.2</v>
      </c>
      <c r="R6656" s="10" t="s">
        <v>32388</v>
      </c>
      <c r="S6656" s="10" t="s">
        <v>53</v>
      </c>
      <c r="T6656" s="10" t="s">
        <v>7193</v>
      </c>
    </row>
    <row r="6657" spans="1:20" ht="14.5" x14ac:dyDescent="0.35">
      <c r="A6657" s="10" t="s">
        <v>32389</v>
      </c>
      <c r="B6657" s="10" t="str">
        <f>""</f>
        <v/>
      </c>
      <c r="C6657" s="10" t="str">
        <f>"9781416604242"</f>
        <v>9781416604242</v>
      </c>
      <c r="D6657" s="10" t="s">
        <v>10014</v>
      </c>
      <c r="E6657" s="10" t="s">
        <v>10015</v>
      </c>
      <c r="F6657" s="10" t="s">
        <v>201</v>
      </c>
      <c r="G6657" s="10" t="s">
        <v>6317</v>
      </c>
      <c r="H6657" s="11">
        <v>36404</v>
      </c>
      <c r="I6657" s="10">
        <v>1999</v>
      </c>
      <c r="J6657" s="10" t="s">
        <v>32026</v>
      </c>
      <c r="K6657" s="10">
        <v>127</v>
      </c>
      <c r="L6657" s="10" t="s">
        <v>30850</v>
      </c>
      <c r="M6657" s="10">
        <v>1</v>
      </c>
      <c r="N6657" s="10"/>
      <c r="O6657" s="10"/>
      <c r="P6657" s="10" t="s">
        <v>32390</v>
      </c>
      <c r="Q6657" s="10" t="s">
        <v>24601</v>
      </c>
      <c r="R6657" s="10" t="s">
        <v>32391</v>
      </c>
      <c r="S6657" s="10" t="s">
        <v>53</v>
      </c>
      <c r="T6657" s="10" t="s">
        <v>54</v>
      </c>
    </row>
    <row r="6658" spans="1:20" ht="14.5" x14ac:dyDescent="0.35">
      <c r="A6658" s="10" t="s">
        <v>32392</v>
      </c>
      <c r="B6658" s="10" t="str">
        <f>""</f>
        <v/>
      </c>
      <c r="C6658" s="10" t="str">
        <f>"9781416604389"</f>
        <v>9781416604389</v>
      </c>
      <c r="D6658" s="10" t="s">
        <v>10014</v>
      </c>
      <c r="E6658" s="10" t="s">
        <v>10015</v>
      </c>
      <c r="F6658" s="10" t="s">
        <v>201</v>
      </c>
      <c r="G6658" s="10" t="s">
        <v>6317</v>
      </c>
      <c r="H6658" s="11">
        <v>36465</v>
      </c>
      <c r="I6658" s="10">
        <v>1999</v>
      </c>
      <c r="J6658" s="10" t="s">
        <v>32026</v>
      </c>
      <c r="K6658" s="10">
        <v>121</v>
      </c>
      <c r="L6658" s="10" t="s">
        <v>32393</v>
      </c>
      <c r="M6658" s="10">
        <v>1</v>
      </c>
      <c r="N6658" s="10"/>
      <c r="O6658" s="10"/>
      <c r="P6658" s="10" t="s">
        <v>32394</v>
      </c>
      <c r="Q6658" s="10" t="s">
        <v>9870</v>
      </c>
      <c r="R6658" s="10" t="s">
        <v>32395</v>
      </c>
      <c r="S6658" s="10" t="s">
        <v>53</v>
      </c>
      <c r="T6658" s="10" t="s">
        <v>54</v>
      </c>
    </row>
    <row r="6659" spans="1:20" ht="14.5" x14ac:dyDescent="0.35">
      <c r="A6659" s="10" t="s">
        <v>32396</v>
      </c>
      <c r="B6659" s="10" t="str">
        <f>""</f>
        <v/>
      </c>
      <c r="C6659" s="10" t="str">
        <f>"9781416604501"</f>
        <v>9781416604501</v>
      </c>
      <c r="D6659" s="10" t="s">
        <v>10014</v>
      </c>
      <c r="E6659" s="10" t="s">
        <v>10015</v>
      </c>
      <c r="F6659" s="10" t="s">
        <v>201</v>
      </c>
      <c r="G6659" s="10" t="s">
        <v>6317</v>
      </c>
      <c r="H6659" s="11">
        <v>35278</v>
      </c>
      <c r="I6659" s="10">
        <v>1996</v>
      </c>
      <c r="J6659" s="10" t="s">
        <v>32026</v>
      </c>
      <c r="K6659" s="10">
        <v>59</v>
      </c>
      <c r="L6659" s="10" t="s">
        <v>32397</v>
      </c>
      <c r="M6659" s="10">
        <v>1</v>
      </c>
      <c r="N6659" s="10"/>
      <c r="O6659" s="10"/>
      <c r="P6659" s="10" t="s">
        <v>32398</v>
      </c>
      <c r="Q6659" s="10" t="s">
        <v>23516</v>
      </c>
      <c r="R6659" s="10" t="s">
        <v>32399</v>
      </c>
      <c r="S6659" s="10" t="s">
        <v>53</v>
      </c>
      <c r="T6659" s="10" t="s">
        <v>54</v>
      </c>
    </row>
    <row r="6660" spans="1:20" ht="14.5" x14ac:dyDescent="0.35">
      <c r="A6660" s="10" t="s">
        <v>32400</v>
      </c>
      <c r="B6660" s="10" t="str">
        <f>""</f>
        <v/>
      </c>
      <c r="C6660" s="10" t="str">
        <f>"9781416604341"</f>
        <v>9781416604341</v>
      </c>
      <c r="D6660" s="10" t="s">
        <v>10014</v>
      </c>
      <c r="E6660" s="10" t="s">
        <v>10015</v>
      </c>
      <c r="F6660" s="10" t="s">
        <v>201</v>
      </c>
      <c r="G6660" s="10" t="s">
        <v>6317</v>
      </c>
      <c r="H6660" s="11">
        <v>36434</v>
      </c>
      <c r="I6660" s="10">
        <v>1999</v>
      </c>
      <c r="J6660" s="10" t="s">
        <v>32026</v>
      </c>
      <c r="K6660" s="10">
        <v>76</v>
      </c>
      <c r="L6660" s="10" t="s">
        <v>32401</v>
      </c>
      <c r="M6660" s="10">
        <v>1</v>
      </c>
      <c r="N6660" s="10"/>
      <c r="O6660" s="10"/>
      <c r="P6660" s="10" t="s">
        <v>32402</v>
      </c>
      <c r="Q6660" s="10" t="s">
        <v>32403</v>
      </c>
      <c r="R6660" s="10" t="s">
        <v>32404</v>
      </c>
      <c r="S6660" s="10" t="s">
        <v>53</v>
      </c>
      <c r="T6660" s="10" t="s">
        <v>54</v>
      </c>
    </row>
    <row r="6661" spans="1:20" ht="14.5" x14ac:dyDescent="0.35">
      <c r="A6661" s="10" t="s">
        <v>32405</v>
      </c>
      <c r="B6661" s="10" t="str">
        <f>""</f>
        <v/>
      </c>
      <c r="C6661" s="10" t="str">
        <f>"9781416604303"</f>
        <v>9781416604303</v>
      </c>
      <c r="D6661" s="10" t="s">
        <v>10014</v>
      </c>
      <c r="E6661" s="10" t="s">
        <v>10015</v>
      </c>
      <c r="F6661" s="10" t="s">
        <v>201</v>
      </c>
      <c r="G6661" s="10" t="s">
        <v>6317</v>
      </c>
      <c r="H6661" s="11">
        <v>35309</v>
      </c>
      <c r="I6661" s="10">
        <v>1996</v>
      </c>
      <c r="J6661" s="10" t="s">
        <v>32026</v>
      </c>
      <c r="K6661" s="10">
        <v>74</v>
      </c>
      <c r="L6661" s="10" t="s">
        <v>32406</v>
      </c>
      <c r="M6661" s="10">
        <v>1</v>
      </c>
      <c r="N6661" s="10"/>
      <c r="O6661" s="10"/>
      <c r="P6661" s="10" t="s">
        <v>32407</v>
      </c>
      <c r="Q6661" s="10" t="s">
        <v>32408</v>
      </c>
      <c r="R6661" s="10" t="s">
        <v>32409</v>
      </c>
      <c r="S6661" s="10" t="s">
        <v>53</v>
      </c>
      <c r="T6661" s="10" t="s">
        <v>54</v>
      </c>
    </row>
    <row r="6662" spans="1:20" ht="14.5" x14ac:dyDescent="0.35">
      <c r="A6662" s="10" t="s">
        <v>32410</v>
      </c>
      <c r="B6662" s="10" t="str">
        <f>""</f>
        <v/>
      </c>
      <c r="C6662" s="10" t="str">
        <f>"9781416604280"</f>
        <v>9781416604280</v>
      </c>
      <c r="D6662" s="10" t="s">
        <v>10014</v>
      </c>
      <c r="E6662" s="10" t="s">
        <v>10015</v>
      </c>
      <c r="F6662" s="10" t="s">
        <v>201</v>
      </c>
      <c r="G6662" s="10" t="s">
        <v>6317</v>
      </c>
      <c r="H6662" s="11">
        <v>35947</v>
      </c>
      <c r="I6662" s="10">
        <v>1998</v>
      </c>
      <c r="J6662" s="10" t="s">
        <v>32026</v>
      </c>
      <c r="K6662" s="10">
        <v>78</v>
      </c>
      <c r="L6662" s="10" t="s">
        <v>32125</v>
      </c>
      <c r="M6662" s="10">
        <v>1</v>
      </c>
      <c r="N6662" s="10"/>
      <c r="O6662" s="10"/>
      <c r="P6662" s="10" t="s">
        <v>32411</v>
      </c>
      <c r="Q6662" s="10" t="s">
        <v>32412</v>
      </c>
      <c r="R6662" s="10" t="s">
        <v>32413</v>
      </c>
      <c r="S6662" s="10" t="s">
        <v>53</v>
      </c>
      <c r="T6662" s="10" t="s">
        <v>54</v>
      </c>
    </row>
    <row r="6663" spans="1:20" ht="14.5" x14ac:dyDescent="0.35">
      <c r="A6663" s="10" t="s">
        <v>19227</v>
      </c>
      <c r="B6663" s="10" t="str">
        <f>"9780871203397"</f>
        <v>9780871203397</v>
      </c>
      <c r="C6663" s="10" t="str">
        <f>"9781416604440"</f>
        <v>9781416604440</v>
      </c>
      <c r="D6663" s="10" t="s">
        <v>10014</v>
      </c>
      <c r="E6663" s="10" t="s">
        <v>10015</v>
      </c>
      <c r="F6663" s="10" t="s">
        <v>201</v>
      </c>
      <c r="G6663" s="10" t="s">
        <v>6317</v>
      </c>
      <c r="H6663" s="11">
        <v>36130</v>
      </c>
      <c r="I6663" s="10">
        <v>1998</v>
      </c>
      <c r="J6663" s="10" t="s">
        <v>32026</v>
      </c>
      <c r="K6663" s="10">
        <v>175</v>
      </c>
      <c r="L6663" s="10" t="s">
        <v>32414</v>
      </c>
      <c r="M6663" s="10">
        <v>1</v>
      </c>
      <c r="N6663" s="10"/>
      <c r="O6663" s="10"/>
      <c r="P6663" s="10" t="s">
        <v>32415</v>
      </c>
      <c r="Q6663" s="10">
        <v>371.3</v>
      </c>
      <c r="R6663" s="10" t="s">
        <v>19230</v>
      </c>
      <c r="S6663" s="10" t="s">
        <v>53</v>
      </c>
      <c r="T6663" s="10" t="s">
        <v>54</v>
      </c>
    </row>
    <row r="6664" spans="1:20" ht="14.5" x14ac:dyDescent="0.35">
      <c r="A6664" s="10" t="s">
        <v>32416</v>
      </c>
      <c r="B6664" s="10" t="str">
        <f>"9780871202604"</f>
        <v>9780871202604</v>
      </c>
      <c r="C6664" s="10" t="str">
        <f>"9781416603931"</f>
        <v>9781416603931</v>
      </c>
      <c r="D6664" s="10" t="s">
        <v>10014</v>
      </c>
      <c r="E6664" s="10" t="s">
        <v>10015</v>
      </c>
      <c r="F6664" s="10" t="s">
        <v>201</v>
      </c>
      <c r="G6664" s="10" t="s">
        <v>6317</v>
      </c>
      <c r="H6664" s="11">
        <v>35156</v>
      </c>
      <c r="I6664" s="10">
        <v>1999</v>
      </c>
      <c r="J6664" s="10" t="s">
        <v>32026</v>
      </c>
      <c r="K6664" s="10">
        <v>149</v>
      </c>
      <c r="L6664" s="10" t="s">
        <v>10092</v>
      </c>
      <c r="M6664" s="10">
        <v>2</v>
      </c>
      <c r="N6664" s="10"/>
      <c r="O6664" s="10"/>
      <c r="P6664" s="10" t="s">
        <v>32417</v>
      </c>
      <c r="Q6664" s="10" t="s">
        <v>8587</v>
      </c>
      <c r="R6664" s="10" t="s">
        <v>32418</v>
      </c>
      <c r="S6664" s="10" t="s">
        <v>53</v>
      </c>
      <c r="T6664" s="10" t="s">
        <v>54</v>
      </c>
    </row>
    <row r="6665" spans="1:20" ht="14.5" x14ac:dyDescent="0.35">
      <c r="A6665" s="10" t="s">
        <v>32419</v>
      </c>
      <c r="B6665" s="10" t="str">
        <f>""</f>
        <v/>
      </c>
      <c r="C6665" s="10" t="str">
        <f>"9781416604426"</f>
        <v>9781416604426</v>
      </c>
      <c r="D6665" s="10" t="s">
        <v>10014</v>
      </c>
      <c r="E6665" s="10" t="s">
        <v>10015</v>
      </c>
      <c r="F6665" s="10" t="s">
        <v>201</v>
      </c>
      <c r="G6665" s="10" t="s">
        <v>6317</v>
      </c>
      <c r="H6665" s="11">
        <v>36586</v>
      </c>
      <c r="I6665" s="10">
        <v>2000</v>
      </c>
      <c r="J6665" s="10" t="s">
        <v>32026</v>
      </c>
      <c r="K6665" s="10">
        <v>203</v>
      </c>
      <c r="L6665" s="10" t="s">
        <v>32420</v>
      </c>
      <c r="M6665" s="10">
        <v>1</v>
      </c>
      <c r="N6665" s="10"/>
      <c r="O6665" s="10"/>
      <c r="P6665" s="10" t="s">
        <v>32421</v>
      </c>
      <c r="Q6665" s="10" t="s">
        <v>32422</v>
      </c>
      <c r="R6665" s="10" t="s">
        <v>32423</v>
      </c>
      <c r="S6665" s="10" t="s">
        <v>53</v>
      </c>
      <c r="T6665" s="10" t="s">
        <v>54</v>
      </c>
    </row>
    <row r="6666" spans="1:20" ht="14.5" x14ac:dyDescent="0.35">
      <c r="A6666" s="10" t="s">
        <v>32424</v>
      </c>
      <c r="B6666" s="10" t="str">
        <f>"9780871203663"</f>
        <v>9780871203663</v>
      </c>
      <c r="C6666" s="10" t="str">
        <f>"9781416604532"</f>
        <v>9781416604532</v>
      </c>
      <c r="D6666" s="10" t="s">
        <v>10014</v>
      </c>
      <c r="E6666" s="10" t="s">
        <v>10015</v>
      </c>
      <c r="F6666" s="10" t="s">
        <v>201</v>
      </c>
      <c r="G6666" s="10" t="s">
        <v>6317</v>
      </c>
      <c r="H6666" s="11">
        <v>36557</v>
      </c>
      <c r="I6666" s="10">
        <v>2000</v>
      </c>
      <c r="J6666" s="10" t="s">
        <v>10015</v>
      </c>
      <c r="K6666" s="10">
        <v>142</v>
      </c>
      <c r="L6666" s="10" t="s">
        <v>32425</v>
      </c>
      <c r="M6666" s="10">
        <v>1</v>
      </c>
      <c r="N6666" s="10"/>
      <c r="O6666" s="10"/>
      <c r="P6666" s="10" t="s">
        <v>32426</v>
      </c>
      <c r="Q6666" s="10" t="s">
        <v>27675</v>
      </c>
      <c r="R6666" s="10" t="s">
        <v>32427</v>
      </c>
      <c r="S6666" s="10" t="s">
        <v>53</v>
      </c>
      <c r="T6666" s="10" t="s">
        <v>54</v>
      </c>
    </row>
    <row r="6667" spans="1:20" ht="14.5" x14ac:dyDescent="0.35">
      <c r="A6667" s="10" t="s">
        <v>32428</v>
      </c>
      <c r="B6667" s="10" t="str">
        <f>"9780871203373"</f>
        <v>9780871203373</v>
      </c>
      <c r="C6667" s="10" t="str">
        <f>"9781416604266"</f>
        <v>9781416604266</v>
      </c>
      <c r="D6667" s="10" t="s">
        <v>10014</v>
      </c>
      <c r="E6667" s="10" t="s">
        <v>10015</v>
      </c>
      <c r="F6667" s="10" t="s">
        <v>201</v>
      </c>
      <c r="G6667" s="10" t="s">
        <v>6317</v>
      </c>
      <c r="H6667" s="11">
        <v>36192</v>
      </c>
      <c r="I6667" s="10">
        <v>1999</v>
      </c>
      <c r="J6667" s="10" t="s">
        <v>10015</v>
      </c>
      <c r="K6667" s="10">
        <v>134</v>
      </c>
      <c r="L6667" s="10" t="s">
        <v>15980</v>
      </c>
      <c r="M6667" s="10">
        <v>1</v>
      </c>
      <c r="N6667" s="10"/>
      <c r="O6667" s="10"/>
      <c r="P6667" s="10" t="s">
        <v>32429</v>
      </c>
      <c r="Q6667" s="10">
        <v>372.6</v>
      </c>
      <c r="R6667" s="10" t="s">
        <v>32430</v>
      </c>
      <c r="S6667" s="10" t="s">
        <v>53</v>
      </c>
      <c r="T6667" s="10" t="s">
        <v>54</v>
      </c>
    </row>
    <row r="6668" spans="1:20" ht="14.5" x14ac:dyDescent="0.35">
      <c r="A6668" s="10" t="s">
        <v>32431</v>
      </c>
      <c r="B6668" s="10" t="str">
        <f>""</f>
        <v/>
      </c>
      <c r="C6668" s="10" t="str">
        <f>"9781416604402"</f>
        <v>9781416604402</v>
      </c>
      <c r="D6668" s="10" t="s">
        <v>10014</v>
      </c>
      <c r="E6668" s="10" t="s">
        <v>10015</v>
      </c>
      <c r="F6668" s="10" t="s">
        <v>201</v>
      </c>
      <c r="G6668" s="10" t="s">
        <v>6317</v>
      </c>
      <c r="H6668" s="11">
        <v>36100</v>
      </c>
      <c r="I6668" s="10">
        <v>1998</v>
      </c>
      <c r="J6668" s="10" t="s">
        <v>32026</v>
      </c>
      <c r="K6668" s="10">
        <v>201</v>
      </c>
      <c r="L6668" s="10" t="s">
        <v>32432</v>
      </c>
      <c r="M6668" s="10">
        <v>2</v>
      </c>
      <c r="N6668" s="10"/>
      <c r="O6668" s="10"/>
      <c r="P6668" s="10" t="s">
        <v>32433</v>
      </c>
      <c r="Q6668" s="10" t="s">
        <v>9870</v>
      </c>
      <c r="R6668" s="10" t="s">
        <v>32434</v>
      </c>
      <c r="S6668" s="10" t="s">
        <v>53</v>
      </c>
      <c r="T6668" s="10" t="s">
        <v>54</v>
      </c>
    </row>
    <row r="6669" spans="1:20" ht="14.5" x14ac:dyDescent="0.35">
      <c r="A6669" s="10" t="s">
        <v>32435</v>
      </c>
      <c r="B6669" s="10" t="str">
        <f>"9780871203755"</f>
        <v>9780871203755</v>
      </c>
      <c r="C6669" s="10" t="str">
        <f>"9781416615903"</f>
        <v>9781416615903</v>
      </c>
      <c r="D6669" s="10" t="s">
        <v>10014</v>
      </c>
      <c r="E6669" s="10" t="s">
        <v>10015</v>
      </c>
      <c r="F6669" s="10" t="s">
        <v>201</v>
      </c>
      <c r="G6669" s="10" t="s">
        <v>6317</v>
      </c>
      <c r="H6669" s="11">
        <v>36647</v>
      </c>
      <c r="I6669" s="10">
        <v>2000</v>
      </c>
      <c r="J6669" s="10" t="s">
        <v>10015</v>
      </c>
      <c r="K6669" s="10">
        <v>231</v>
      </c>
      <c r="L6669" s="10" t="s">
        <v>32436</v>
      </c>
      <c r="M6669" s="10">
        <v>1</v>
      </c>
      <c r="N6669" s="10"/>
      <c r="O6669" s="10"/>
      <c r="P6669" s="10" t="s">
        <v>32437</v>
      </c>
      <c r="Q6669" s="10" t="s">
        <v>32438</v>
      </c>
      <c r="R6669" s="10" t="s">
        <v>32439</v>
      </c>
      <c r="S6669" s="10" t="s">
        <v>53</v>
      </c>
      <c r="T6669" s="10" t="s">
        <v>54</v>
      </c>
    </row>
    <row r="6670" spans="1:20" ht="14.5" x14ac:dyDescent="0.35">
      <c r="A6670" s="10" t="s">
        <v>32440</v>
      </c>
      <c r="B6670" s="10" t="str">
        <f>"9781416602729"</f>
        <v>9781416602729</v>
      </c>
      <c r="C6670" s="10" t="str">
        <f>"9781416618409"</f>
        <v>9781416618409</v>
      </c>
      <c r="D6670" s="10" t="s">
        <v>10014</v>
      </c>
      <c r="E6670" s="10" t="s">
        <v>10015</v>
      </c>
      <c r="F6670" s="10" t="s">
        <v>201</v>
      </c>
      <c r="G6670" s="10" t="s">
        <v>6317</v>
      </c>
      <c r="H6670" s="11">
        <v>38749</v>
      </c>
      <c r="I6670" s="10">
        <v>2006</v>
      </c>
      <c r="J6670" s="10" t="s">
        <v>10015</v>
      </c>
      <c r="K6670" s="10">
        <v>183</v>
      </c>
      <c r="L6670" s="10" t="s">
        <v>32441</v>
      </c>
      <c r="M6670" s="10">
        <v>1</v>
      </c>
      <c r="N6670" s="10"/>
      <c r="O6670" s="10"/>
      <c r="P6670" s="10"/>
      <c r="Q6670" s="10">
        <v>822.33</v>
      </c>
      <c r="R6670" s="10"/>
      <c r="S6670" s="10" t="s">
        <v>53</v>
      </c>
      <c r="T6670" s="10" t="s">
        <v>1166</v>
      </c>
    </row>
    <row r="6671" spans="1:20" ht="14.5" x14ac:dyDescent="0.35">
      <c r="A6671" s="10" t="s">
        <v>32442</v>
      </c>
      <c r="B6671" s="10" t="str">
        <f>"9781416602712"</f>
        <v>9781416602712</v>
      </c>
      <c r="C6671" s="10" t="str">
        <f>"9781416618423"</f>
        <v>9781416618423</v>
      </c>
      <c r="D6671" s="10" t="s">
        <v>10014</v>
      </c>
      <c r="E6671" s="10" t="s">
        <v>10015</v>
      </c>
      <c r="F6671" s="10" t="s">
        <v>201</v>
      </c>
      <c r="G6671" s="10" t="s">
        <v>6317</v>
      </c>
      <c r="H6671" s="11">
        <v>38776</v>
      </c>
      <c r="I6671" s="10">
        <v>2006</v>
      </c>
      <c r="J6671" s="10" t="s">
        <v>10015</v>
      </c>
      <c r="K6671" s="10">
        <v>170</v>
      </c>
      <c r="L6671" s="10" t="s">
        <v>10447</v>
      </c>
      <c r="M6671" s="10">
        <v>1</v>
      </c>
      <c r="N6671" s="10"/>
      <c r="O6671" s="10"/>
      <c r="P6671" s="10"/>
      <c r="Q6671" s="10">
        <v>822.05100000000004</v>
      </c>
      <c r="R6671" s="10"/>
      <c r="S6671" s="10" t="s">
        <v>53</v>
      </c>
      <c r="T6671" s="10" t="s">
        <v>1166</v>
      </c>
    </row>
    <row r="6672" spans="1:20" ht="14.5" x14ac:dyDescent="0.35">
      <c r="A6672" s="10" t="s">
        <v>32443</v>
      </c>
      <c r="B6672" s="10" t="str">
        <f>"9781741708370"</f>
        <v>9781741708370</v>
      </c>
      <c r="C6672" s="10" t="str">
        <f>"9781416603887"</f>
        <v>9781416603887</v>
      </c>
      <c r="D6672" s="10" t="s">
        <v>10014</v>
      </c>
      <c r="E6672" s="10" t="s">
        <v>10015</v>
      </c>
      <c r="F6672" s="10" t="s">
        <v>201</v>
      </c>
      <c r="G6672" s="10" t="s">
        <v>6317</v>
      </c>
      <c r="H6672" s="11">
        <v>38808</v>
      </c>
      <c r="I6672" s="10">
        <v>2006</v>
      </c>
      <c r="J6672" s="10" t="s">
        <v>32026</v>
      </c>
      <c r="K6672" s="10">
        <v>250</v>
      </c>
      <c r="L6672" s="10" t="s">
        <v>10016</v>
      </c>
      <c r="M6672" s="10">
        <v>1</v>
      </c>
      <c r="N6672" s="10"/>
      <c r="O6672" s="10"/>
      <c r="P6672" s="10" t="s">
        <v>32444</v>
      </c>
      <c r="Q6672" s="10">
        <v>371.20097299999998</v>
      </c>
      <c r="R6672" s="10" t="s">
        <v>32445</v>
      </c>
      <c r="S6672" s="10" t="s">
        <v>53</v>
      </c>
      <c r="T6672" s="10" t="s">
        <v>54</v>
      </c>
    </row>
    <row r="6673" spans="1:20" ht="14.5" x14ac:dyDescent="0.35">
      <c r="A6673" s="10" t="s">
        <v>32446</v>
      </c>
      <c r="B6673" s="10" t="str">
        <f>"9781416603214"</f>
        <v>9781416603214</v>
      </c>
      <c r="C6673" s="10" t="str">
        <f>"9781416618386"</f>
        <v>9781416618386</v>
      </c>
      <c r="D6673" s="10" t="s">
        <v>10014</v>
      </c>
      <c r="E6673" s="10" t="s">
        <v>10015</v>
      </c>
      <c r="F6673" s="10" t="s">
        <v>201</v>
      </c>
      <c r="G6673" s="10" t="s">
        <v>6317</v>
      </c>
      <c r="H6673" s="11">
        <v>38777</v>
      </c>
      <c r="I6673" s="10">
        <v>2006</v>
      </c>
      <c r="J6673" s="10" t="s">
        <v>10015</v>
      </c>
      <c r="K6673" s="10">
        <v>174</v>
      </c>
      <c r="L6673" s="10" t="s">
        <v>32447</v>
      </c>
      <c r="M6673" s="10">
        <v>1</v>
      </c>
      <c r="N6673" s="10"/>
      <c r="O6673" s="10"/>
      <c r="P6673" s="10" t="s">
        <v>32448</v>
      </c>
      <c r="Q6673" s="10">
        <v>813.54</v>
      </c>
      <c r="R6673" s="10" t="s">
        <v>6647</v>
      </c>
      <c r="S6673" s="10" t="s">
        <v>53</v>
      </c>
      <c r="T6673" s="10" t="s">
        <v>6568</v>
      </c>
    </row>
    <row r="6674" spans="1:20" ht="14.5" x14ac:dyDescent="0.35">
      <c r="A6674" s="10" t="s">
        <v>32449</v>
      </c>
      <c r="B6674" s="10" t="str">
        <f>""</f>
        <v/>
      </c>
      <c r="C6674" s="10" t="str">
        <f>"9781416605126"</f>
        <v>9781416605126</v>
      </c>
      <c r="D6674" s="10" t="s">
        <v>10014</v>
      </c>
      <c r="E6674" s="10" t="s">
        <v>10015</v>
      </c>
      <c r="F6674" s="10" t="s">
        <v>201</v>
      </c>
      <c r="G6674" s="10" t="s">
        <v>6317</v>
      </c>
      <c r="H6674" s="11">
        <v>38838</v>
      </c>
      <c r="I6674" s="10">
        <v>2006</v>
      </c>
      <c r="J6674" s="10" t="s">
        <v>32026</v>
      </c>
      <c r="K6674" s="10">
        <v>211</v>
      </c>
      <c r="L6674" s="10" t="s">
        <v>32450</v>
      </c>
      <c r="M6674" s="10">
        <v>1</v>
      </c>
      <c r="N6674" s="10"/>
      <c r="O6674" s="10"/>
      <c r="P6674" s="10" t="s">
        <v>32451</v>
      </c>
      <c r="Q6674" s="10"/>
      <c r="R6674" s="10" t="s">
        <v>32452</v>
      </c>
      <c r="S6674" s="10" t="s">
        <v>53</v>
      </c>
      <c r="T6674" s="10" t="s">
        <v>54</v>
      </c>
    </row>
    <row r="6675" spans="1:20" ht="14.5" x14ac:dyDescent="0.35">
      <c r="A6675" s="10" t="s">
        <v>32453</v>
      </c>
      <c r="B6675" s="10" t="str">
        <f>"9781416603467"</f>
        <v>9781416603467</v>
      </c>
      <c r="C6675" s="10" t="str">
        <f>"9781416617952"</f>
        <v>9781416617952</v>
      </c>
      <c r="D6675" s="10" t="s">
        <v>10014</v>
      </c>
      <c r="E6675" s="10" t="s">
        <v>10015</v>
      </c>
      <c r="F6675" s="10" t="s">
        <v>201</v>
      </c>
      <c r="G6675" s="10" t="s">
        <v>6317</v>
      </c>
      <c r="H6675" s="11">
        <v>38898</v>
      </c>
      <c r="I6675" s="10">
        <v>2006</v>
      </c>
      <c r="J6675" s="10" t="s">
        <v>10015</v>
      </c>
      <c r="K6675" s="10">
        <v>191</v>
      </c>
      <c r="L6675" s="10" t="s">
        <v>32454</v>
      </c>
      <c r="M6675" s="10">
        <v>1</v>
      </c>
      <c r="N6675" s="10"/>
      <c r="O6675" s="10"/>
      <c r="P6675" s="10"/>
      <c r="Q6675" s="10">
        <v>371.1</v>
      </c>
      <c r="R6675" s="10"/>
      <c r="S6675" s="10" t="s">
        <v>53</v>
      </c>
      <c r="T6675" s="10" t="s">
        <v>54</v>
      </c>
    </row>
    <row r="6676" spans="1:20" ht="14.5" x14ac:dyDescent="0.35">
      <c r="A6676" s="10" t="s">
        <v>32455</v>
      </c>
      <c r="B6676" s="10" t="str">
        <f>""</f>
        <v/>
      </c>
      <c r="C6676" s="10" t="str">
        <f>"9781416605492"</f>
        <v>9781416605492</v>
      </c>
      <c r="D6676" s="10" t="s">
        <v>10014</v>
      </c>
      <c r="E6676" s="10" t="s">
        <v>10015</v>
      </c>
      <c r="F6676" s="10" t="s">
        <v>201</v>
      </c>
      <c r="G6676" s="10" t="s">
        <v>6317</v>
      </c>
      <c r="H6676" s="11">
        <v>38991</v>
      </c>
      <c r="I6676" s="10">
        <v>2006</v>
      </c>
      <c r="J6676" s="10" t="s">
        <v>32026</v>
      </c>
      <c r="K6676" s="10">
        <v>203</v>
      </c>
      <c r="L6676" s="10" t="s">
        <v>32456</v>
      </c>
      <c r="M6676" s="10">
        <v>1</v>
      </c>
      <c r="N6676" s="10"/>
      <c r="O6676" s="10"/>
      <c r="P6676" s="10" t="s">
        <v>32457</v>
      </c>
      <c r="Q6676" s="10" t="s">
        <v>10213</v>
      </c>
      <c r="R6676" s="10" t="s">
        <v>19082</v>
      </c>
      <c r="S6676" s="10" t="s">
        <v>53</v>
      </c>
      <c r="T6676" s="10" t="s">
        <v>54</v>
      </c>
    </row>
    <row r="6677" spans="1:20" ht="14.5" x14ac:dyDescent="0.35">
      <c r="A6677" s="10" t="s">
        <v>32458</v>
      </c>
      <c r="B6677" s="10" t="str">
        <f>"9781416604044"</f>
        <v>9781416604044</v>
      </c>
      <c r="C6677" s="10" t="str">
        <f>"9781416605270"</f>
        <v>9781416605270</v>
      </c>
      <c r="D6677" s="10" t="s">
        <v>10014</v>
      </c>
      <c r="E6677" s="10" t="s">
        <v>10015</v>
      </c>
      <c r="F6677" s="10" t="s">
        <v>201</v>
      </c>
      <c r="G6677" s="10" t="s">
        <v>6317</v>
      </c>
      <c r="H6677" s="11">
        <v>39020</v>
      </c>
      <c r="I6677" s="10">
        <v>2006</v>
      </c>
      <c r="J6677" s="10" t="s">
        <v>10015</v>
      </c>
      <c r="K6677" s="10">
        <v>299</v>
      </c>
      <c r="L6677" s="10" t="s">
        <v>32459</v>
      </c>
      <c r="M6677" s="10">
        <v>1</v>
      </c>
      <c r="N6677" s="10"/>
      <c r="O6677" s="10"/>
      <c r="P6677" s="10"/>
      <c r="Q6677" s="10">
        <v>371.20097299999998</v>
      </c>
      <c r="R6677" s="10"/>
      <c r="S6677" s="10" t="s">
        <v>53</v>
      </c>
      <c r="T6677" s="10" t="s">
        <v>54</v>
      </c>
    </row>
    <row r="6678" spans="1:20" ht="14.5" x14ac:dyDescent="0.35">
      <c r="A6678" s="10" t="s">
        <v>32460</v>
      </c>
      <c r="B6678" s="10" t="str">
        <f>"9781416605249"</f>
        <v>9781416605249</v>
      </c>
      <c r="C6678" s="10" t="str">
        <f>"9781416605959"</f>
        <v>9781416605959</v>
      </c>
      <c r="D6678" s="10" t="s">
        <v>10014</v>
      </c>
      <c r="E6678" s="10" t="s">
        <v>10015</v>
      </c>
      <c r="F6678" s="10" t="s">
        <v>201</v>
      </c>
      <c r="G6678" s="10" t="s">
        <v>6317</v>
      </c>
      <c r="H6678" s="11">
        <v>39142</v>
      </c>
      <c r="I6678" s="10">
        <v>2007</v>
      </c>
      <c r="J6678" s="10" t="s">
        <v>10015</v>
      </c>
      <c r="K6678" s="10">
        <v>242</v>
      </c>
      <c r="L6678" s="10" t="s">
        <v>32461</v>
      </c>
      <c r="M6678" s="10">
        <v>1</v>
      </c>
      <c r="N6678" s="10"/>
      <c r="O6678" s="10"/>
      <c r="P6678" s="10"/>
      <c r="Q6678" s="10" t="s">
        <v>10085</v>
      </c>
      <c r="R6678" s="10"/>
      <c r="S6678" s="10" t="s">
        <v>53</v>
      </c>
      <c r="T6678" s="10" t="s">
        <v>389</v>
      </c>
    </row>
    <row r="6679" spans="1:20" ht="14.5" x14ac:dyDescent="0.35">
      <c r="A6679" s="10" t="s">
        <v>29564</v>
      </c>
      <c r="B6679" s="10" t="str">
        <f>""</f>
        <v/>
      </c>
      <c r="C6679" s="10" t="str">
        <f>"9781416606727"</f>
        <v>9781416606727</v>
      </c>
      <c r="D6679" s="10" t="s">
        <v>10014</v>
      </c>
      <c r="E6679" s="10" t="s">
        <v>10015</v>
      </c>
      <c r="F6679" s="10" t="s">
        <v>201</v>
      </c>
      <c r="G6679" s="10" t="s">
        <v>6317</v>
      </c>
      <c r="H6679" s="11">
        <v>39326</v>
      </c>
      <c r="I6679" s="10">
        <v>2007</v>
      </c>
      <c r="J6679" s="10" t="s">
        <v>32026</v>
      </c>
      <c r="K6679" s="10">
        <v>171</v>
      </c>
      <c r="L6679" s="10" t="s">
        <v>32462</v>
      </c>
      <c r="M6679" s="10">
        <v>1</v>
      </c>
      <c r="N6679" s="10"/>
      <c r="O6679" s="10"/>
      <c r="P6679" s="10" t="s">
        <v>32463</v>
      </c>
      <c r="Q6679" s="10" t="s">
        <v>17482</v>
      </c>
      <c r="R6679" s="10" t="s">
        <v>32464</v>
      </c>
      <c r="S6679" s="10" t="s">
        <v>53</v>
      </c>
      <c r="T6679" s="10" t="s">
        <v>54</v>
      </c>
    </row>
    <row r="6680" spans="1:20" ht="14.5" x14ac:dyDescent="0.35">
      <c r="A6680" s="10" t="s">
        <v>32465</v>
      </c>
      <c r="B6680" s="10" t="str">
        <f>""</f>
        <v/>
      </c>
      <c r="C6680" s="10" t="str">
        <f>"9781416606697"</f>
        <v>9781416606697</v>
      </c>
      <c r="D6680" s="10" t="s">
        <v>10014</v>
      </c>
      <c r="E6680" s="10" t="s">
        <v>10015</v>
      </c>
      <c r="F6680" s="10" t="s">
        <v>201</v>
      </c>
      <c r="G6680" s="10" t="s">
        <v>6317</v>
      </c>
      <c r="H6680" s="11">
        <v>39326</v>
      </c>
      <c r="I6680" s="10">
        <v>2007</v>
      </c>
      <c r="J6680" s="10" t="s">
        <v>32026</v>
      </c>
      <c r="K6680" s="10">
        <v>127</v>
      </c>
      <c r="L6680" s="10" t="s">
        <v>32466</v>
      </c>
      <c r="M6680" s="10">
        <v>1</v>
      </c>
      <c r="N6680" s="10"/>
      <c r="O6680" s="10"/>
      <c r="P6680" s="10" t="s">
        <v>32467</v>
      </c>
      <c r="Q6680" s="10">
        <v>418.00709999999998</v>
      </c>
      <c r="R6680" s="10" t="s">
        <v>32468</v>
      </c>
      <c r="S6680" s="10" t="s">
        <v>53</v>
      </c>
      <c r="T6680" s="10" t="s">
        <v>6616</v>
      </c>
    </row>
    <row r="6681" spans="1:20" ht="14.5" x14ac:dyDescent="0.35">
      <c r="A6681" s="10" t="s">
        <v>32469</v>
      </c>
      <c r="B6681" s="10" t="str">
        <f>"9781416605805"</f>
        <v>9781416605805</v>
      </c>
      <c r="C6681" s="10" t="str">
        <f>"9781416617372"</f>
        <v>9781416617372</v>
      </c>
      <c r="D6681" s="10" t="s">
        <v>10014</v>
      </c>
      <c r="E6681" s="10" t="s">
        <v>10015</v>
      </c>
      <c r="F6681" s="10" t="s">
        <v>201</v>
      </c>
      <c r="G6681" s="10" t="s">
        <v>6317</v>
      </c>
      <c r="H6681" s="11">
        <v>39293</v>
      </c>
      <c r="I6681" s="10">
        <v>2007</v>
      </c>
      <c r="J6681" s="10" t="s">
        <v>10015</v>
      </c>
      <c r="K6681" s="10">
        <v>297</v>
      </c>
      <c r="L6681" s="10" t="s">
        <v>18852</v>
      </c>
      <c r="M6681" s="10">
        <v>1</v>
      </c>
      <c r="N6681" s="10"/>
      <c r="O6681" s="10"/>
      <c r="P6681" s="10"/>
      <c r="Q6681" s="10">
        <v>370.1</v>
      </c>
      <c r="R6681" s="10"/>
      <c r="S6681" s="10" t="s">
        <v>53</v>
      </c>
      <c r="T6681" s="10" t="s">
        <v>54</v>
      </c>
    </row>
    <row r="6682" spans="1:20" ht="14.5" x14ac:dyDescent="0.35">
      <c r="A6682" s="10" t="s">
        <v>32470</v>
      </c>
      <c r="B6682" s="10" t="str">
        <f>""</f>
        <v/>
      </c>
      <c r="C6682" s="10" t="str">
        <f>"9781416606130"</f>
        <v>9781416606130</v>
      </c>
      <c r="D6682" s="10" t="s">
        <v>10014</v>
      </c>
      <c r="E6682" s="10" t="s">
        <v>10015</v>
      </c>
      <c r="F6682" s="10" t="s">
        <v>201</v>
      </c>
      <c r="G6682" s="10" t="s">
        <v>6317</v>
      </c>
      <c r="H6682" s="11">
        <v>39295</v>
      </c>
      <c r="I6682" s="10">
        <v>2007</v>
      </c>
      <c r="J6682" s="10" t="s">
        <v>32026</v>
      </c>
      <c r="K6682" s="10">
        <v>256</v>
      </c>
      <c r="L6682" s="10" t="s">
        <v>32471</v>
      </c>
      <c r="M6682" s="10">
        <v>1</v>
      </c>
      <c r="N6682" s="10"/>
      <c r="O6682" s="10"/>
      <c r="P6682" s="10" t="s">
        <v>32472</v>
      </c>
      <c r="Q6682" s="10">
        <v>370.3</v>
      </c>
      <c r="R6682" s="10" t="s">
        <v>32473</v>
      </c>
      <c r="S6682" s="10" t="s">
        <v>53</v>
      </c>
      <c r="T6682" s="10" t="s">
        <v>54</v>
      </c>
    </row>
    <row r="6683" spans="1:20" ht="14.5" x14ac:dyDescent="0.35">
      <c r="A6683" s="10" t="s">
        <v>32474</v>
      </c>
      <c r="B6683" s="10" t="str">
        <f>""</f>
        <v/>
      </c>
      <c r="C6683" s="10" t="str">
        <f>"9781416606574"</f>
        <v>9781416606574</v>
      </c>
      <c r="D6683" s="10" t="s">
        <v>10014</v>
      </c>
      <c r="E6683" s="10" t="s">
        <v>10015</v>
      </c>
      <c r="F6683" s="10" t="s">
        <v>201</v>
      </c>
      <c r="G6683" s="10" t="s">
        <v>6317</v>
      </c>
      <c r="H6683" s="11">
        <v>39264</v>
      </c>
      <c r="I6683" s="10">
        <v>2007</v>
      </c>
      <c r="J6683" s="10" t="s">
        <v>32026</v>
      </c>
      <c r="K6683" s="10">
        <v>233</v>
      </c>
      <c r="L6683" s="10" t="s">
        <v>18671</v>
      </c>
      <c r="M6683" s="10">
        <v>1</v>
      </c>
      <c r="N6683" s="10"/>
      <c r="O6683" s="10"/>
      <c r="P6683" s="10" t="s">
        <v>32475</v>
      </c>
      <c r="Q6683" s="10">
        <v>371.10199999999998</v>
      </c>
      <c r="R6683" s="10" t="s">
        <v>32476</v>
      </c>
      <c r="S6683" s="10" t="s">
        <v>53</v>
      </c>
      <c r="T6683" s="10" t="s">
        <v>54</v>
      </c>
    </row>
    <row r="6684" spans="1:20" ht="14.5" x14ac:dyDescent="0.35">
      <c r="A6684" s="10" t="s">
        <v>32477</v>
      </c>
      <c r="B6684" s="10" t="str">
        <f>"9781416605799"</f>
        <v>9781416605799</v>
      </c>
      <c r="C6684" s="10" t="str">
        <f>"9781416612216"</f>
        <v>9781416612216</v>
      </c>
      <c r="D6684" s="10" t="s">
        <v>10014</v>
      </c>
      <c r="E6684" s="10" t="s">
        <v>10015</v>
      </c>
      <c r="F6684" s="10" t="s">
        <v>201</v>
      </c>
      <c r="G6684" s="10" t="s">
        <v>6317</v>
      </c>
      <c r="H6684" s="11">
        <v>39317</v>
      </c>
      <c r="I6684" s="10">
        <v>2007</v>
      </c>
      <c r="J6684" s="10" t="s">
        <v>10015</v>
      </c>
      <c r="K6684" s="10">
        <v>189</v>
      </c>
      <c r="L6684" s="10" t="s">
        <v>32205</v>
      </c>
      <c r="M6684" s="10">
        <v>1</v>
      </c>
      <c r="N6684" s="10"/>
      <c r="O6684" s="10"/>
      <c r="P6684" s="10" t="s">
        <v>32478</v>
      </c>
      <c r="Q6684" s="10" t="s">
        <v>12332</v>
      </c>
      <c r="R6684" s="10" t="s">
        <v>32033</v>
      </c>
      <c r="S6684" s="10" t="s">
        <v>53</v>
      </c>
      <c r="T6684" s="10" t="s">
        <v>54</v>
      </c>
    </row>
    <row r="6685" spans="1:20" ht="14.5" x14ac:dyDescent="0.35">
      <c r="A6685" s="10" t="s">
        <v>32479</v>
      </c>
      <c r="B6685" s="10" t="str">
        <f>""</f>
        <v/>
      </c>
      <c r="C6685" s="10" t="str">
        <f>"9781416607151"</f>
        <v>9781416607151</v>
      </c>
      <c r="D6685" s="10" t="s">
        <v>10014</v>
      </c>
      <c r="E6685" s="10" t="s">
        <v>10015</v>
      </c>
      <c r="F6685" s="10" t="s">
        <v>201</v>
      </c>
      <c r="G6685" s="10" t="s">
        <v>6317</v>
      </c>
      <c r="H6685" s="11">
        <v>39448</v>
      </c>
      <c r="I6685" s="10">
        <v>2008</v>
      </c>
      <c r="J6685" s="10" t="s">
        <v>32026</v>
      </c>
      <c r="K6685" s="10">
        <v>100</v>
      </c>
      <c r="L6685" s="10" t="s">
        <v>10080</v>
      </c>
      <c r="M6685" s="10">
        <v>1</v>
      </c>
      <c r="N6685" s="10"/>
      <c r="O6685" s="10"/>
      <c r="P6685" s="10" t="s">
        <v>32480</v>
      </c>
      <c r="Q6685" s="10">
        <v>372.83</v>
      </c>
      <c r="R6685" s="10" t="s">
        <v>32481</v>
      </c>
      <c r="S6685" s="10" t="s">
        <v>53</v>
      </c>
      <c r="T6685" s="10" t="s">
        <v>54</v>
      </c>
    </row>
    <row r="6686" spans="1:20" ht="14.5" x14ac:dyDescent="0.35">
      <c r="A6686" s="10" t="s">
        <v>32482</v>
      </c>
      <c r="B6686" s="10" t="str">
        <f>""</f>
        <v/>
      </c>
      <c r="C6686" s="10" t="str">
        <f>"9781416607199"</f>
        <v>9781416607199</v>
      </c>
      <c r="D6686" s="10" t="s">
        <v>10014</v>
      </c>
      <c r="E6686" s="10" t="s">
        <v>10015</v>
      </c>
      <c r="F6686" s="10" t="s">
        <v>201</v>
      </c>
      <c r="G6686" s="10" t="s">
        <v>6317</v>
      </c>
      <c r="H6686" s="11">
        <v>39448</v>
      </c>
      <c r="I6686" s="10">
        <v>2008</v>
      </c>
      <c r="J6686" s="10" t="s">
        <v>32026</v>
      </c>
      <c r="K6686" s="10">
        <v>221</v>
      </c>
      <c r="L6686" s="10" t="s">
        <v>32483</v>
      </c>
      <c r="M6686" s="10">
        <v>1</v>
      </c>
      <c r="N6686" s="10"/>
      <c r="O6686" s="10"/>
      <c r="P6686" s="10" t="s">
        <v>32484</v>
      </c>
      <c r="Q6686" s="10" t="s">
        <v>9954</v>
      </c>
      <c r="R6686" s="10" t="s">
        <v>32485</v>
      </c>
      <c r="S6686" s="10" t="s">
        <v>53</v>
      </c>
      <c r="T6686" s="10" t="s">
        <v>54</v>
      </c>
    </row>
    <row r="6687" spans="1:20" ht="14.5" x14ac:dyDescent="0.35">
      <c r="A6687" s="10" t="s">
        <v>32486</v>
      </c>
      <c r="B6687" s="10" t="str">
        <f>""</f>
        <v/>
      </c>
      <c r="C6687" s="10" t="str">
        <f>"9781416606901"</f>
        <v>9781416606901</v>
      </c>
      <c r="D6687" s="10" t="s">
        <v>10014</v>
      </c>
      <c r="E6687" s="10" t="s">
        <v>10015</v>
      </c>
      <c r="F6687" s="10" t="s">
        <v>201</v>
      </c>
      <c r="G6687" s="10" t="s">
        <v>6317</v>
      </c>
      <c r="H6687" s="11">
        <v>39417</v>
      </c>
      <c r="I6687" s="10">
        <v>2007</v>
      </c>
      <c r="J6687" s="10" t="s">
        <v>32026</v>
      </c>
      <c r="K6687" s="10">
        <v>198</v>
      </c>
      <c r="L6687" s="10" t="s">
        <v>32487</v>
      </c>
      <c r="M6687" s="10">
        <v>1</v>
      </c>
      <c r="N6687" s="10"/>
      <c r="O6687" s="10"/>
      <c r="P6687" s="10" t="s">
        <v>32488</v>
      </c>
      <c r="Q6687" s="10" t="s">
        <v>9491</v>
      </c>
      <c r="R6687" s="10" t="s">
        <v>32489</v>
      </c>
      <c r="S6687" s="10" t="s">
        <v>53</v>
      </c>
      <c r="T6687" s="10" t="s">
        <v>54</v>
      </c>
    </row>
    <row r="6688" spans="1:20" ht="14.5" x14ac:dyDescent="0.35">
      <c r="A6688" s="10" t="s">
        <v>32490</v>
      </c>
      <c r="B6688" s="10" t="str">
        <f>"9781416606086"</f>
        <v>9781416606086</v>
      </c>
      <c r="C6688" s="10" t="str">
        <f>"9781416612421"</f>
        <v>9781416612421</v>
      </c>
      <c r="D6688" s="10" t="s">
        <v>10014</v>
      </c>
      <c r="E6688" s="10" t="s">
        <v>10015</v>
      </c>
      <c r="F6688" s="10" t="s">
        <v>201</v>
      </c>
      <c r="G6688" s="10" t="s">
        <v>6317</v>
      </c>
      <c r="H6688" s="11">
        <v>39416</v>
      </c>
      <c r="I6688" s="10">
        <v>2007</v>
      </c>
      <c r="J6688" s="10" t="s">
        <v>10015</v>
      </c>
      <c r="K6688" s="10">
        <v>189</v>
      </c>
      <c r="L6688" s="10" t="s">
        <v>32491</v>
      </c>
      <c r="M6688" s="10">
        <v>1</v>
      </c>
      <c r="N6688" s="10"/>
      <c r="O6688" s="10"/>
      <c r="P6688" s="10"/>
      <c r="Q6688" s="10" t="s">
        <v>6942</v>
      </c>
      <c r="R6688" s="10"/>
      <c r="S6688" s="10" t="s">
        <v>53</v>
      </c>
      <c r="T6688" s="10" t="s">
        <v>54</v>
      </c>
    </row>
    <row r="6689" spans="1:20" ht="14.5" x14ac:dyDescent="0.35">
      <c r="A6689" s="10" t="s">
        <v>32492</v>
      </c>
      <c r="B6689" s="10" t="str">
        <f>"9781416606116"</f>
        <v>9781416606116</v>
      </c>
      <c r="C6689" s="10" t="str">
        <f>"9781416616917"</f>
        <v>9781416616917</v>
      </c>
      <c r="D6689" s="10" t="s">
        <v>10014</v>
      </c>
      <c r="E6689" s="10" t="s">
        <v>10015</v>
      </c>
      <c r="F6689" s="10" t="s">
        <v>201</v>
      </c>
      <c r="G6689" s="10" t="s">
        <v>6317</v>
      </c>
      <c r="H6689" s="11">
        <v>39370</v>
      </c>
      <c r="I6689" s="10">
        <v>2007</v>
      </c>
      <c r="J6689" s="10" t="s">
        <v>10015</v>
      </c>
      <c r="K6689" s="10">
        <v>135</v>
      </c>
      <c r="L6689" s="10" t="s">
        <v>10105</v>
      </c>
      <c r="M6689" s="10">
        <v>1</v>
      </c>
      <c r="N6689" s="10"/>
      <c r="O6689" s="10"/>
      <c r="P6689" s="10" t="s">
        <v>32493</v>
      </c>
      <c r="Q6689" s="10">
        <v>371.5</v>
      </c>
      <c r="R6689" s="10" t="s">
        <v>32494</v>
      </c>
      <c r="S6689" s="10" t="s">
        <v>53</v>
      </c>
      <c r="T6689" s="10" t="s">
        <v>54</v>
      </c>
    </row>
    <row r="6690" spans="1:20" ht="14.5" x14ac:dyDescent="0.35">
      <c r="A6690" s="10" t="s">
        <v>32495</v>
      </c>
      <c r="B6690" s="10" t="str">
        <f>""</f>
        <v/>
      </c>
      <c r="C6690" s="10" t="str">
        <f>"9781416606802"</f>
        <v>9781416606802</v>
      </c>
      <c r="D6690" s="10" t="s">
        <v>10014</v>
      </c>
      <c r="E6690" s="10" t="s">
        <v>10015</v>
      </c>
      <c r="F6690" s="10" t="s">
        <v>201</v>
      </c>
      <c r="G6690" s="10" t="s">
        <v>6317</v>
      </c>
      <c r="H6690" s="11">
        <v>39356</v>
      </c>
      <c r="I6690" s="10">
        <v>2007</v>
      </c>
      <c r="J6690" s="10" t="s">
        <v>32026</v>
      </c>
      <c r="K6690" s="10">
        <v>288</v>
      </c>
      <c r="L6690" s="10" t="s">
        <v>32496</v>
      </c>
      <c r="M6690" s="10">
        <v>1</v>
      </c>
      <c r="N6690" s="10"/>
      <c r="O6690" s="10"/>
      <c r="P6690" s="10" t="s">
        <v>32497</v>
      </c>
      <c r="Q6690" s="10">
        <v>371.10199999999998</v>
      </c>
      <c r="R6690" s="10" t="s">
        <v>32498</v>
      </c>
      <c r="S6690" s="10" t="s">
        <v>53</v>
      </c>
      <c r="T6690" s="10" t="s">
        <v>54</v>
      </c>
    </row>
    <row r="6691" spans="1:20" ht="14.5" x14ac:dyDescent="0.35">
      <c r="A6691" s="10" t="s">
        <v>32499</v>
      </c>
      <c r="B6691" s="10" t="str">
        <f>""</f>
        <v/>
      </c>
      <c r="C6691" s="10" t="str">
        <f>"9781416607052"</f>
        <v>9781416607052</v>
      </c>
      <c r="D6691" s="10" t="s">
        <v>10014</v>
      </c>
      <c r="E6691" s="10" t="s">
        <v>10015</v>
      </c>
      <c r="F6691" s="10" t="s">
        <v>201</v>
      </c>
      <c r="G6691" s="10" t="s">
        <v>6317</v>
      </c>
      <c r="H6691" s="11">
        <v>39387</v>
      </c>
      <c r="I6691" s="10">
        <v>2007</v>
      </c>
      <c r="J6691" s="10" t="s">
        <v>32026</v>
      </c>
      <c r="K6691" s="10">
        <v>155</v>
      </c>
      <c r="L6691" s="10" t="s">
        <v>10464</v>
      </c>
      <c r="M6691" s="10">
        <v>1</v>
      </c>
      <c r="N6691" s="10"/>
      <c r="O6691" s="10"/>
      <c r="P6691" s="10" t="s">
        <v>32500</v>
      </c>
      <c r="Q6691" s="10" t="s">
        <v>24099</v>
      </c>
      <c r="R6691" s="10" t="s">
        <v>32501</v>
      </c>
      <c r="S6691" s="10" t="s">
        <v>53</v>
      </c>
      <c r="T6691" s="10" t="s">
        <v>7193</v>
      </c>
    </row>
    <row r="6692" spans="1:20" ht="14.5" x14ac:dyDescent="0.35">
      <c r="A6692" s="10" t="s">
        <v>32502</v>
      </c>
      <c r="B6692" s="10" t="str">
        <f>""</f>
        <v/>
      </c>
      <c r="C6692" s="10" t="str">
        <f>"9781416609810"</f>
        <v>9781416609810</v>
      </c>
      <c r="D6692" s="10" t="s">
        <v>10014</v>
      </c>
      <c r="E6692" s="10" t="s">
        <v>10015</v>
      </c>
      <c r="F6692" s="10" t="s">
        <v>201</v>
      </c>
      <c r="G6692" s="10" t="s">
        <v>6317</v>
      </c>
      <c r="H6692" s="11">
        <v>40026</v>
      </c>
      <c r="I6692" s="10">
        <v>2009</v>
      </c>
      <c r="J6692" s="10" t="s">
        <v>32026</v>
      </c>
      <c r="K6692" s="10">
        <v>366</v>
      </c>
      <c r="L6692" s="10" t="s">
        <v>15766</v>
      </c>
      <c r="M6692" s="10">
        <v>1</v>
      </c>
      <c r="N6692" s="10"/>
      <c r="O6692" s="10"/>
      <c r="P6692" s="10" t="s">
        <v>32503</v>
      </c>
      <c r="Q6692" s="10">
        <v>370.154</v>
      </c>
      <c r="R6692" s="10" t="s">
        <v>32504</v>
      </c>
      <c r="S6692" s="10" t="s">
        <v>53</v>
      </c>
      <c r="T6692" s="10" t="s">
        <v>54</v>
      </c>
    </row>
    <row r="6693" spans="1:20" ht="14.5" x14ac:dyDescent="0.35">
      <c r="A6693" s="10" t="s">
        <v>32505</v>
      </c>
      <c r="B6693" s="10" t="str">
        <f>""</f>
        <v/>
      </c>
      <c r="C6693" s="10" t="str">
        <f>"9781416610380"</f>
        <v>9781416610380</v>
      </c>
      <c r="D6693" s="10" t="s">
        <v>10014</v>
      </c>
      <c r="E6693" s="10" t="s">
        <v>10015</v>
      </c>
      <c r="F6693" s="10" t="s">
        <v>201</v>
      </c>
      <c r="G6693" s="10" t="s">
        <v>6317</v>
      </c>
      <c r="H6693" s="11">
        <v>40118</v>
      </c>
      <c r="I6693" s="10">
        <v>2009</v>
      </c>
      <c r="J6693" s="10" t="s">
        <v>32026</v>
      </c>
      <c r="K6693" s="10">
        <v>344</v>
      </c>
      <c r="L6693" s="10" t="s">
        <v>15766</v>
      </c>
      <c r="M6693" s="10">
        <v>1</v>
      </c>
      <c r="N6693" s="10"/>
      <c r="O6693" s="10"/>
      <c r="P6693" s="10" t="s">
        <v>32506</v>
      </c>
      <c r="Q6693" s="10"/>
      <c r="R6693" s="10" t="s">
        <v>22655</v>
      </c>
      <c r="S6693" s="10" t="s">
        <v>53</v>
      </c>
      <c r="T6693" s="10" t="s">
        <v>54</v>
      </c>
    </row>
    <row r="6694" spans="1:20" ht="14.5" x14ac:dyDescent="0.35">
      <c r="A6694" s="10" t="s">
        <v>32507</v>
      </c>
      <c r="B6694" s="10" t="str">
        <f>"9781416620006"</f>
        <v>9781416620006</v>
      </c>
      <c r="C6694" s="10" t="str">
        <f>"9781416611790"</f>
        <v>9781416611790</v>
      </c>
      <c r="D6694" s="10" t="s">
        <v>10014</v>
      </c>
      <c r="E6694" s="10" t="s">
        <v>10015</v>
      </c>
      <c r="F6694" s="10" t="s">
        <v>201</v>
      </c>
      <c r="G6694" s="10" t="s">
        <v>6317</v>
      </c>
      <c r="H6694" s="11">
        <v>41884</v>
      </c>
      <c r="I6694" s="10">
        <v>2010</v>
      </c>
      <c r="J6694" s="10" t="s">
        <v>10015</v>
      </c>
      <c r="K6694" s="10">
        <v>304</v>
      </c>
      <c r="L6694" s="10" t="s">
        <v>15766</v>
      </c>
      <c r="M6694" s="10">
        <v>1</v>
      </c>
      <c r="N6694" s="10"/>
      <c r="O6694" s="10"/>
      <c r="P6694" s="10"/>
      <c r="Q6694" s="10"/>
      <c r="R6694" s="10"/>
      <c r="S6694" s="10" t="s">
        <v>53</v>
      </c>
      <c r="T6694" s="10" t="s">
        <v>54</v>
      </c>
    </row>
    <row r="6695" spans="1:20" ht="14.5" x14ac:dyDescent="0.35">
      <c r="A6695" s="10" t="s">
        <v>32508</v>
      </c>
      <c r="B6695" s="10" t="str">
        <f>""</f>
        <v/>
      </c>
      <c r="C6695" s="10" t="str">
        <f>"9781416613466"</f>
        <v>9781416613466</v>
      </c>
      <c r="D6695" s="10" t="s">
        <v>10014</v>
      </c>
      <c r="E6695" s="10" t="s">
        <v>10015</v>
      </c>
      <c r="F6695" s="10" t="s">
        <v>201</v>
      </c>
      <c r="G6695" s="10" t="s">
        <v>6317</v>
      </c>
      <c r="H6695" s="11">
        <v>37012</v>
      </c>
      <c r="I6695" s="10">
        <v>1997</v>
      </c>
      <c r="J6695" s="10" t="s">
        <v>32026</v>
      </c>
      <c r="K6695" s="10">
        <v>485</v>
      </c>
      <c r="L6695" s="10" t="s">
        <v>32509</v>
      </c>
      <c r="M6695" s="10">
        <v>2</v>
      </c>
      <c r="N6695" s="10"/>
      <c r="O6695" s="10"/>
      <c r="P6695" s="10" t="s">
        <v>32510</v>
      </c>
      <c r="Q6695" s="10"/>
      <c r="R6695" s="10" t="s">
        <v>32511</v>
      </c>
      <c r="S6695" s="10" t="s">
        <v>53</v>
      </c>
      <c r="T6695" s="10" t="s">
        <v>6660</v>
      </c>
    </row>
    <row r="6696" spans="1:20" ht="14.5" x14ac:dyDescent="0.35">
      <c r="A6696" s="10" t="s">
        <v>32512</v>
      </c>
      <c r="B6696" s="10" t="str">
        <f>"9781416611233"</f>
        <v>9781416611233</v>
      </c>
      <c r="C6696" s="10" t="str">
        <f>"9781416611615"</f>
        <v>9781416611615</v>
      </c>
      <c r="D6696" s="10" t="s">
        <v>10014</v>
      </c>
      <c r="E6696" s="10" t="s">
        <v>10015</v>
      </c>
      <c r="F6696" s="10" t="s">
        <v>201</v>
      </c>
      <c r="G6696" s="10" t="s">
        <v>6317</v>
      </c>
      <c r="H6696" s="11">
        <v>40391</v>
      </c>
      <c r="I6696" s="10">
        <v>2010</v>
      </c>
      <c r="J6696" s="10" t="s">
        <v>32026</v>
      </c>
      <c r="K6696" s="10">
        <v>213</v>
      </c>
      <c r="L6696" s="10" t="s">
        <v>32513</v>
      </c>
      <c r="M6696" s="10">
        <v>2</v>
      </c>
      <c r="N6696" s="10"/>
      <c r="O6696" s="10"/>
      <c r="P6696" s="10" t="s">
        <v>32514</v>
      </c>
      <c r="Q6696" s="10" t="s">
        <v>7246</v>
      </c>
      <c r="R6696" s="10" t="s">
        <v>18765</v>
      </c>
      <c r="S6696" s="10" t="s">
        <v>53</v>
      </c>
      <c r="T6696" s="10" t="s">
        <v>54</v>
      </c>
    </row>
    <row r="6697" spans="1:20" ht="14.5" x14ac:dyDescent="0.35">
      <c r="A6697" s="10" t="s">
        <v>32515</v>
      </c>
      <c r="B6697" s="10" t="str">
        <f>"9780566083778"</f>
        <v>9780566083778</v>
      </c>
      <c r="C6697" s="10" t="str">
        <f>"9780566089657"</f>
        <v>9780566089657</v>
      </c>
      <c r="D6697" s="10" t="s">
        <v>6350</v>
      </c>
      <c r="E6697" s="10" t="s">
        <v>6351</v>
      </c>
      <c r="F6697" s="10" t="s">
        <v>13762</v>
      </c>
      <c r="G6697" s="10" t="s">
        <v>6352</v>
      </c>
      <c r="H6697" s="11">
        <v>37496</v>
      </c>
      <c r="I6697" s="10">
        <v>2002</v>
      </c>
      <c r="J6697" s="10" t="s">
        <v>6353</v>
      </c>
      <c r="K6697" s="10">
        <v>242</v>
      </c>
      <c r="L6697" s="10" t="s">
        <v>32516</v>
      </c>
      <c r="M6697" s="10">
        <v>1</v>
      </c>
      <c r="N6697" s="10"/>
      <c r="O6697" s="10"/>
      <c r="P6697" s="10" t="s">
        <v>32517</v>
      </c>
      <c r="Q6697" s="10" t="s">
        <v>9204</v>
      </c>
      <c r="R6697" s="10" t="s">
        <v>32518</v>
      </c>
      <c r="S6697" s="10" t="s">
        <v>53</v>
      </c>
      <c r="T6697" s="10" t="s">
        <v>8760</v>
      </c>
    </row>
    <row r="6698" spans="1:20" ht="14.5" x14ac:dyDescent="0.35">
      <c r="A6698" s="10" t="s">
        <v>32519</v>
      </c>
      <c r="B6698" s="10" t="str">
        <f>"9780566083648"</f>
        <v>9780566083648</v>
      </c>
      <c r="C6698" s="10" t="str">
        <f>"9780566089756"</f>
        <v>9780566089756</v>
      </c>
      <c r="D6698" s="10" t="s">
        <v>6350</v>
      </c>
      <c r="E6698" s="10" t="s">
        <v>32520</v>
      </c>
      <c r="F6698" s="10" t="s">
        <v>339</v>
      </c>
      <c r="G6698" s="10" t="s">
        <v>6352</v>
      </c>
      <c r="H6698" s="11">
        <v>36923</v>
      </c>
      <c r="I6698" s="10">
        <v>2001</v>
      </c>
      <c r="J6698" s="10" t="s">
        <v>32520</v>
      </c>
      <c r="K6698" s="10">
        <v>169</v>
      </c>
      <c r="L6698" s="10" t="s">
        <v>32521</v>
      </c>
      <c r="M6698" s="10">
        <v>1</v>
      </c>
      <c r="N6698" s="10"/>
      <c r="O6698" s="10"/>
      <c r="P6698" s="10" t="s">
        <v>32522</v>
      </c>
      <c r="Q6698" s="10">
        <v>302.3</v>
      </c>
      <c r="R6698" s="10" t="s">
        <v>32523</v>
      </c>
      <c r="S6698" s="10" t="s">
        <v>53</v>
      </c>
      <c r="T6698" s="10" t="s">
        <v>6472</v>
      </c>
    </row>
    <row r="6699" spans="1:20" ht="14.5" x14ac:dyDescent="0.35">
      <c r="A6699" s="10" t="s">
        <v>32524</v>
      </c>
      <c r="B6699" s="10" t="str">
        <f>"9780566084249"</f>
        <v>9780566084249</v>
      </c>
      <c r="C6699" s="10" t="str">
        <f>"9780566089541"</f>
        <v>9780566089541</v>
      </c>
      <c r="D6699" s="10" t="s">
        <v>6350</v>
      </c>
      <c r="E6699" s="10" t="s">
        <v>32520</v>
      </c>
      <c r="F6699" s="10" t="s">
        <v>339</v>
      </c>
      <c r="G6699" s="10" t="s">
        <v>6352</v>
      </c>
      <c r="H6699" s="11">
        <v>37622</v>
      </c>
      <c r="I6699" s="10">
        <v>2003</v>
      </c>
      <c r="J6699" s="10" t="s">
        <v>32520</v>
      </c>
      <c r="K6699" s="10">
        <v>205</v>
      </c>
      <c r="L6699" s="10" t="s">
        <v>32525</v>
      </c>
      <c r="M6699" s="10">
        <v>1</v>
      </c>
      <c r="N6699" s="10"/>
      <c r="O6699" s="10"/>
      <c r="P6699" s="10" t="s">
        <v>32526</v>
      </c>
      <c r="Q6699" s="10">
        <v>370.28500000000003</v>
      </c>
      <c r="R6699" s="10" t="s">
        <v>32527</v>
      </c>
      <c r="S6699" s="10" t="s">
        <v>53</v>
      </c>
      <c r="T6699" s="10" t="s">
        <v>54</v>
      </c>
    </row>
    <row r="6700" spans="1:20" ht="14.5" x14ac:dyDescent="0.35">
      <c r="A6700" s="10" t="s">
        <v>32528</v>
      </c>
      <c r="B6700" s="10" t="str">
        <f>"9780566080234"</f>
        <v>9780566080234</v>
      </c>
      <c r="C6700" s="10" t="str">
        <f>"9780566089565"</f>
        <v>9780566089565</v>
      </c>
      <c r="D6700" s="10" t="s">
        <v>6350</v>
      </c>
      <c r="E6700" s="10" t="s">
        <v>32520</v>
      </c>
      <c r="F6700" s="10" t="s">
        <v>339</v>
      </c>
      <c r="G6700" s="10" t="s">
        <v>6352</v>
      </c>
      <c r="H6700" s="11">
        <v>36982</v>
      </c>
      <c r="I6700" s="10">
        <v>2001</v>
      </c>
      <c r="J6700" s="10" t="s">
        <v>32520</v>
      </c>
      <c r="K6700" s="10">
        <v>160</v>
      </c>
      <c r="L6700" s="10" t="s">
        <v>32529</v>
      </c>
      <c r="M6700" s="10">
        <v>1</v>
      </c>
      <c r="N6700" s="10"/>
      <c r="O6700" s="10"/>
      <c r="P6700" s="10" t="s">
        <v>32530</v>
      </c>
      <c r="Q6700" s="10" t="s">
        <v>32531</v>
      </c>
      <c r="R6700" s="10" t="s">
        <v>32532</v>
      </c>
      <c r="S6700" s="10" t="s">
        <v>53</v>
      </c>
      <c r="T6700" s="10" t="s">
        <v>6660</v>
      </c>
    </row>
    <row r="6701" spans="1:20" ht="14.5" x14ac:dyDescent="0.35">
      <c r="A6701" s="10" t="s">
        <v>32533</v>
      </c>
      <c r="B6701" s="10" t="str">
        <f>"9780566083204"</f>
        <v>9780566083204</v>
      </c>
      <c r="C6701" s="10" t="str">
        <f>"9780566089558"</f>
        <v>9780566089558</v>
      </c>
      <c r="D6701" s="10" t="s">
        <v>6350</v>
      </c>
      <c r="E6701" s="10" t="s">
        <v>32520</v>
      </c>
      <c r="F6701" s="10" t="s">
        <v>339</v>
      </c>
      <c r="G6701" s="10" t="s">
        <v>6352</v>
      </c>
      <c r="H6701" s="11">
        <v>37135</v>
      </c>
      <c r="I6701" s="10">
        <v>2001</v>
      </c>
      <c r="J6701" s="10" t="s">
        <v>32520</v>
      </c>
      <c r="K6701" s="10">
        <v>214</v>
      </c>
      <c r="L6701" s="10" t="s">
        <v>19987</v>
      </c>
      <c r="M6701" s="10">
        <v>1</v>
      </c>
      <c r="N6701" s="10"/>
      <c r="O6701" s="10"/>
      <c r="P6701" s="10" t="s">
        <v>32534</v>
      </c>
      <c r="Q6701" s="10" t="s">
        <v>11314</v>
      </c>
      <c r="R6701" s="10" t="s">
        <v>32535</v>
      </c>
      <c r="S6701" s="10" t="s">
        <v>53</v>
      </c>
      <c r="T6701" s="10" t="s">
        <v>54</v>
      </c>
    </row>
    <row r="6702" spans="1:20" ht="14.5" x14ac:dyDescent="0.35">
      <c r="A6702" s="10" t="s">
        <v>32536</v>
      </c>
      <c r="B6702" s="10" t="str">
        <f>"9780566084560"</f>
        <v>9780566084560</v>
      </c>
      <c r="C6702" s="10" t="str">
        <f>"9780566089749"</f>
        <v>9780566089749</v>
      </c>
      <c r="D6702" s="10" t="s">
        <v>6350</v>
      </c>
      <c r="E6702" s="10" t="s">
        <v>6351</v>
      </c>
      <c r="F6702" s="10" t="s">
        <v>339</v>
      </c>
      <c r="G6702" s="10" t="s">
        <v>6352</v>
      </c>
      <c r="H6702" s="11">
        <v>37983</v>
      </c>
      <c r="I6702" s="10">
        <v>2003</v>
      </c>
      <c r="J6702" s="10" t="s">
        <v>6353</v>
      </c>
      <c r="K6702" s="10">
        <v>192</v>
      </c>
      <c r="L6702" s="10" t="s">
        <v>32521</v>
      </c>
      <c r="M6702" s="10">
        <v>1</v>
      </c>
      <c r="N6702" s="10"/>
      <c r="O6702" s="10"/>
      <c r="P6702" s="10" t="s">
        <v>32537</v>
      </c>
      <c r="Q6702" s="10" t="s">
        <v>6342</v>
      </c>
      <c r="R6702" s="10" t="s">
        <v>32538</v>
      </c>
      <c r="S6702" s="10" t="s">
        <v>53</v>
      </c>
      <c r="T6702" s="10" t="s">
        <v>54</v>
      </c>
    </row>
    <row r="6703" spans="1:20" ht="14.5" x14ac:dyDescent="0.35">
      <c r="A6703" s="10" t="s">
        <v>32539</v>
      </c>
      <c r="B6703" s="10" t="str">
        <f>"9780873898553"</f>
        <v>9780873898553</v>
      </c>
      <c r="C6703" s="10" t="str">
        <f>"9780873892971"</f>
        <v>9780873892971</v>
      </c>
      <c r="D6703" s="10" t="s">
        <v>9533</v>
      </c>
      <c r="E6703" s="10" t="s">
        <v>32540</v>
      </c>
      <c r="F6703" s="10" t="s">
        <v>15492</v>
      </c>
      <c r="G6703" s="10" t="s">
        <v>6317</v>
      </c>
      <c r="H6703" s="11">
        <v>41275</v>
      </c>
      <c r="I6703" s="10">
        <v>2013</v>
      </c>
      <c r="J6703" s="10" t="s">
        <v>32540</v>
      </c>
      <c r="K6703" s="10">
        <v>225</v>
      </c>
      <c r="L6703" s="10" t="s">
        <v>32541</v>
      </c>
      <c r="M6703" s="10">
        <v>1</v>
      </c>
      <c r="N6703" s="10"/>
      <c r="O6703" s="10"/>
      <c r="P6703" s="10" t="s">
        <v>32542</v>
      </c>
      <c r="Q6703" s="10">
        <v>370.97300000000001</v>
      </c>
      <c r="R6703" s="10" t="s">
        <v>32543</v>
      </c>
      <c r="S6703" s="10" t="s">
        <v>53</v>
      </c>
      <c r="T6703" s="10" t="s">
        <v>54</v>
      </c>
    </row>
    <row r="6704" spans="1:20" ht="14.5" x14ac:dyDescent="0.35">
      <c r="A6704" s="10" t="s">
        <v>32544</v>
      </c>
      <c r="B6704" s="10" t="str">
        <f>"9780826448101"</f>
        <v>9780826448101</v>
      </c>
      <c r="C6704" s="10" t="str">
        <f>"9780826425539"</f>
        <v>9780826425539</v>
      </c>
      <c r="D6704" s="10" t="s">
        <v>13959</v>
      </c>
      <c r="E6704" s="10" t="s">
        <v>13960</v>
      </c>
      <c r="F6704" s="10" t="s">
        <v>139</v>
      </c>
      <c r="G6704" s="10" t="s">
        <v>6352</v>
      </c>
      <c r="H6704" s="11">
        <v>37032</v>
      </c>
      <c r="I6704" s="10">
        <v>2001</v>
      </c>
      <c r="J6704" s="10" t="s">
        <v>13961</v>
      </c>
      <c r="K6704" s="10">
        <v>135</v>
      </c>
      <c r="L6704" s="10" t="s">
        <v>32545</v>
      </c>
      <c r="M6704" s="10">
        <v>1</v>
      </c>
      <c r="N6704" s="10"/>
      <c r="O6704" s="10"/>
      <c r="P6704" s="10" t="s">
        <v>32546</v>
      </c>
      <c r="Q6704" s="10" t="s">
        <v>32547</v>
      </c>
      <c r="R6704" s="10" t="s">
        <v>32548</v>
      </c>
      <c r="S6704" s="10" t="s">
        <v>53</v>
      </c>
      <c r="T6704" s="10" t="s">
        <v>6472</v>
      </c>
    </row>
    <row r="6705" spans="1:20" ht="14.5" x14ac:dyDescent="0.35">
      <c r="A6705" s="10" t="s">
        <v>32549</v>
      </c>
      <c r="B6705" s="10" t="str">
        <f>"9781441186843"</f>
        <v>9781441186843</v>
      </c>
      <c r="C6705" s="10" t="str">
        <f>"9781441114556"</f>
        <v>9781441114556</v>
      </c>
      <c r="D6705" s="10" t="s">
        <v>13959</v>
      </c>
      <c r="E6705" s="10" t="s">
        <v>13960</v>
      </c>
      <c r="F6705" s="10" t="s">
        <v>139</v>
      </c>
      <c r="G6705" s="10" t="s">
        <v>6352</v>
      </c>
      <c r="H6705" s="11">
        <v>41039</v>
      </c>
      <c r="I6705" s="10">
        <v>2012</v>
      </c>
      <c r="J6705" s="10" t="s">
        <v>13961</v>
      </c>
      <c r="K6705" s="10">
        <v>228</v>
      </c>
      <c r="L6705" s="10" t="s">
        <v>32550</v>
      </c>
      <c r="M6705" s="10">
        <v>1</v>
      </c>
      <c r="N6705" s="10"/>
      <c r="O6705" s="10"/>
      <c r="P6705" s="10" t="s">
        <v>13844</v>
      </c>
      <c r="Q6705" s="10">
        <v>372.12012094099998</v>
      </c>
      <c r="R6705" s="10" t="s">
        <v>32551</v>
      </c>
      <c r="S6705" s="10" t="s">
        <v>53</v>
      </c>
      <c r="T6705" s="10" t="s">
        <v>54</v>
      </c>
    </row>
    <row r="6706" spans="1:20" ht="14.5" x14ac:dyDescent="0.35">
      <c r="A6706" s="10" t="s">
        <v>32552</v>
      </c>
      <c r="B6706" s="10" t="str">
        <f>"9781441196613"</f>
        <v>9781441196613</v>
      </c>
      <c r="C6706" s="10" t="str">
        <f>"9781441169570"</f>
        <v>9781441169570</v>
      </c>
      <c r="D6706" s="10" t="s">
        <v>13959</v>
      </c>
      <c r="E6706" s="10" t="s">
        <v>13960</v>
      </c>
      <c r="F6706" s="10" t="s">
        <v>139</v>
      </c>
      <c r="G6706" s="10" t="s">
        <v>6352</v>
      </c>
      <c r="H6706" s="11">
        <v>41123</v>
      </c>
      <c r="I6706" s="10">
        <v>2012</v>
      </c>
      <c r="J6706" s="10" t="s">
        <v>13961</v>
      </c>
      <c r="K6706" s="10">
        <v>316</v>
      </c>
      <c r="L6706" s="10" t="s">
        <v>32553</v>
      </c>
      <c r="M6706" s="10">
        <v>1</v>
      </c>
      <c r="N6706" s="10"/>
      <c r="O6706" s="10"/>
      <c r="P6706" s="10" t="s">
        <v>32554</v>
      </c>
      <c r="Q6706" s="10">
        <v>108.3</v>
      </c>
      <c r="R6706" s="10" t="s">
        <v>32555</v>
      </c>
      <c r="S6706" s="10" t="s">
        <v>53</v>
      </c>
      <c r="T6706" s="10" t="s">
        <v>6534</v>
      </c>
    </row>
    <row r="6707" spans="1:20" ht="14.5" x14ac:dyDescent="0.35">
      <c r="A6707" s="10" t="s">
        <v>32556</v>
      </c>
      <c r="B6707" s="10" t="str">
        <f>"9781441159090"</f>
        <v>9781441159090</v>
      </c>
      <c r="C6707" s="10" t="str">
        <f>"9781441170224"</f>
        <v>9781441170224</v>
      </c>
      <c r="D6707" s="10" t="s">
        <v>13959</v>
      </c>
      <c r="E6707" s="10" t="s">
        <v>13960</v>
      </c>
      <c r="F6707" s="10" t="s">
        <v>139</v>
      </c>
      <c r="G6707" s="10" t="s">
        <v>6352</v>
      </c>
      <c r="H6707" s="11">
        <v>41235</v>
      </c>
      <c r="I6707" s="10">
        <v>2012</v>
      </c>
      <c r="J6707" s="10" t="s">
        <v>16948</v>
      </c>
      <c r="K6707" s="10">
        <v>225</v>
      </c>
      <c r="L6707" s="10" t="s">
        <v>32557</v>
      </c>
      <c r="M6707" s="10">
        <v>1</v>
      </c>
      <c r="N6707" s="10"/>
      <c r="O6707" s="10"/>
      <c r="P6707" s="10" t="s">
        <v>32558</v>
      </c>
      <c r="Q6707" s="10" t="s">
        <v>13135</v>
      </c>
      <c r="R6707" s="10" t="s">
        <v>32559</v>
      </c>
      <c r="S6707" s="10" t="s">
        <v>53</v>
      </c>
      <c r="T6707" s="10" t="s">
        <v>10454</v>
      </c>
    </row>
    <row r="6708" spans="1:20" ht="14.5" x14ac:dyDescent="0.35">
      <c r="A6708" s="10" t="s">
        <v>32560</v>
      </c>
      <c r="B6708" s="10" t="str">
        <f>"9789004138339"</f>
        <v>9789004138339</v>
      </c>
      <c r="C6708" s="10" t="str">
        <f>"9781280915093"</f>
        <v>9781280915093</v>
      </c>
      <c r="D6708" s="10" t="s">
        <v>8564</v>
      </c>
      <c r="E6708" s="10" t="s">
        <v>8565</v>
      </c>
      <c r="F6708" s="10" t="s">
        <v>554</v>
      </c>
      <c r="G6708" s="10" t="s">
        <v>9233</v>
      </c>
      <c r="H6708" s="11">
        <v>37987</v>
      </c>
      <c r="I6708" s="10">
        <v>2004</v>
      </c>
      <c r="J6708" s="10" t="s">
        <v>8564</v>
      </c>
      <c r="K6708" s="10">
        <v>535</v>
      </c>
      <c r="L6708" s="10" t="s">
        <v>32561</v>
      </c>
      <c r="M6708" s="10">
        <v>1</v>
      </c>
      <c r="N6708" s="10"/>
      <c r="O6708" s="10"/>
      <c r="P6708" s="10" t="s">
        <v>32562</v>
      </c>
      <c r="Q6708" s="10" t="s">
        <v>32563</v>
      </c>
      <c r="R6708" s="10" t="s">
        <v>32564</v>
      </c>
      <c r="S6708" s="10" t="s">
        <v>1519</v>
      </c>
      <c r="T6708" s="10" t="s">
        <v>54</v>
      </c>
    </row>
    <row r="6709" spans="1:20" ht="14.5" x14ac:dyDescent="0.35">
      <c r="A6709" s="10" t="s">
        <v>32565</v>
      </c>
      <c r="B6709" s="10" t="str">
        <f>"9789004131217"</f>
        <v>9789004131217</v>
      </c>
      <c r="C6709" s="10" t="str">
        <f>"9781280914737"</f>
        <v>9781280914737</v>
      </c>
      <c r="D6709" s="10" t="s">
        <v>8564</v>
      </c>
      <c r="E6709" s="10" t="s">
        <v>8565</v>
      </c>
      <c r="F6709" s="10" t="s">
        <v>554</v>
      </c>
      <c r="G6709" s="10" t="s">
        <v>9233</v>
      </c>
      <c r="H6709" s="11">
        <v>37987</v>
      </c>
      <c r="I6709" s="10">
        <v>2004</v>
      </c>
      <c r="J6709" s="10" t="s">
        <v>8564</v>
      </c>
      <c r="K6709" s="10">
        <v>264</v>
      </c>
      <c r="L6709" s="10" t="s">
        <v>32566</v>
      </c>
      <c r="M6709" s="10">
        <v>1</v>
      </c>
      <c r="N6709" s="10"/>
      <c r="O6709" s="10"/>
      <c r="P6709" s="10" t="s">
        <v>32567</v>
      </c>
      <c r="Q6709" s="10" t="s">
        <v>32568</v>
      </c>
      <c r="R6709" s="10" t="s">
        <v>32569</v>
      </c>
      <c r="S6709" s="10" t="s">
        <v>53</v>
      </c>
      <c r="T6709" s="10" t="s">
        <v>54</v>
      </c>
    </row>
    <row r="6710" spans="1:20" ht="14.5" x14ac:dyDescent="0.35">
      <c r="A6710" s="10" t="s">
        <v>32570</v>
      </c>
      <c r="B6710" s="10" t="str">
        <f>"9789004150805"</f>
        <v>9789004150805</v>
      </c>
      <c r="C6710" s="10" t="str">
        <f>"9789047409373"</f>
        <v>9789047409373</v>
      </c>
      <c r="D6710" s="10" t="s">
        <v>8564</v>
      </c>
      <c r="E6710" s="10" t="s">
        <v>8565</v>
      </c>
      <c r="F6710" s="10" t="s">
        <v>1420</v>
      </c>
      <c r="G6710" s="10" t="s">
        <v>6317</v>
      </c>
      <c r="H6710" s="11">
        <v>38877</v>
      </c>
      <c r="I6710" s="10">
        <v>2006</v>
      </c>
      <c r="J6710" s="10" t="s">
        <v>8565</v>
      </c>
      <c r="K6710" s="10">
        <v>259</v>
      </c>
      <c r="L6710" s="10" t="s">
        <v>32571</v>
      </c>
      <c r="M6710" s="10">
        <v>1</v>
      </c>
      <c r="N6710" s="10" t="s">
        <v>32572</v>
      </c>
      <c r="O6710" s="10">
        <v>277</v>
      </c>
      <c r="P6710" s="10" t="s">
        <v>32573</v>
      </c>
      <c r="Q6710" s="10">
        <v>366</v>
      </c>
      <c r="R6710" s="10" t="s">
        <v>32574</v>
      </c>
      <c r="S6710" s="10" t="s">
        <v>53</v>
      </c>
      <c r="T6710" s="10" t="s">
        <v>6363</v>
      </c>
    </row>
    <row r="6711" spans="1:20" ht="14.5" x14ac:dyDescent="0.35">
      <c r="A6711" s="10" t="s">
        <v>32575</v>
      </c>
      <c r="B6711" s="10" t="str">
        <f>"9780815702085"</f>
        <v>9780815702085</v>
      </c>
      <c r="C6711" s="10" t="str">
        <f>"9780815798576"</f>
        <v>9780815798576</v>
      </c>
      <c r="D6711" s="10" t="s">
        <v>9752</v>
      </c>
      <c r="E6711" s="10" t="s">
        <v>9753</v>
      </c>
      <c r="F6711" s="10" t="s">
        <v>9754</v>
      </c>
      <c r="G6711" s="10" t="s">
        <v>6317</v>
      </c>
      <c r="H6711" s="11">
        <v>37334</v>
      </c>
      <c r="I6711" s="10">
        <v>2002</v>
      </c>
      <c r="J6711" s="10" t="s">
        <v>9753</v>
      </c>
      <c r="K6711" s="10">
        <v>286</v>
      </c>
      <c r="L6711" s="10" t="s">
        <v>15988</v>
      </c>
      <c r="M6711" s="10">
        <v>1</v>
      </c>
      <c r="N6711" s="10"/>
      <c r="O6711" s="10"/>
      <c r="P6711" s="10" t="s">
        <v>32576</v>
      </c>
      <c r="Q6711" s="10" t="s">
        <v>32577</v>
      </c>
      <c r="R6711" s="10" t="s">
        <v>32578</v>
      </c>
      <c r="S6711" s="10" t="s">
        <v>53</v>
      </c>
      <c r="T6711" s="10" t="s">
        <v>54</v>
      </c>
    </row>
    <row r="6712" spans="1:20" ht="14.5" x14ac:dyDescent="0.35">
      <c r="A6712" s="10" t="s">
        <v>32579</v>
      </c>
      <c r="B6712" s="10" t="str">
        <f>"9780815753100"</f>
        <v>9780815753100</v>
      </c>
      <c r="C6712" s="10" t="str">
        <f>"9780815798156"</f>
        <v>9780815798156</v>
      </c>
      <c r="D6712" s="10" t="s">
        <v>9752</v>
      </c>
      <c r="E6712" s="10" t="s">
        <v>9753</v>
      </c>
      <c r="F6712" s="10" t="s">
        <v>9754</v>
      </c>
      <c r="G6712" s="10" t="s">
        <v>6317</v>
      </c>
      <c r="H6712" s="11">
        <v>37196</v>
      </c>
      <c r="I6712" s="10">
        <v>2002</v>
      </c>
      <c r="J6712" s="10" t="s">
        <v>9753</v>
      </c>
      <c r="K6712" s="10">
        <v>368</v>
      </c>
      <c r="L6712" s="10" t="s">
        <v>11588</v>
      </c>
      <c r="M6712" s="10">
        <v>1</v>
      </c>
      <c r="N6712" s="10"/>
      <c r="O6712" s="10"/>
      <c r="P6712" s="10" t="s">
        <v>32580</v>
      </c>
      <c r="Q6712" s="10" t="s">
        <v>8971</v>
      </c>
      <c r="R6712" s="10" t="s">
        <v>32581</v>
      </c>
      <c r="S6712" s="10" t="s">
        <v>53</v>
      </c>
      <c r="T6712" s="10" t="s">
        <v>54</v>
      </c>
    </row>
    <row r="6713" spans="1:20" ht="14.5" x14ac:dyDescent="0.35">
      <c r="A6713" s="10" t="s">
        <v>32582</v>
      </c>
      <c r="B6713" s="10" t="str">
        <f>"9780815728368"</f>
        <v>9780815728368</v>
      </c>
      <c r="C6713" s="10" t="str">
        <f>"9780815798491"</f>
        <v>9780815798491</v>
      </c>
      <c r="D6713" s="10" t="s">
        <v>9752</v>
      </c>
      <c r="E6713" s="10" t="s">
        <v>9753</v>
      </c>
      <c r="F6713" s="10" t="s">
        <v>9754</v>
      </c>
      <c r="G6713" s="10" t="s">
        <v>6317</v>
      </c>
      <c r="H6713" s="11">
        <v>36586</v>
      </c>
      <c r="I6713" s="10">
        <v>2000</v>
      </c>
      <c r="J6713" s="10" t="s">
        <v>9753</v>
      </c>
      <c r="K6713" s="10">
        <v>360</v>
      </c>
      <c r="L6713" s="10" t="s">
        <v>9922</v>
      </c>
      <c r="M6713" s="10">
        <v>1</v>
      </c>
      <c r="N6713" s="10"/>
      <c r="O6713" s="10"/>
      <c r="P6713" s="10" t="s">
        <v>32583</v>
      </c>
      <c r="Q6713" s="10">
        <v>379.93</v>
      </c>
      <c r="R6713" s="10" t="s">
        <v>32584</v>
      </c>
      <c r="S6713" s="10" t="s">
        <v>53</v>
      </c>
      <c r="T6713" s="10" t="s">
        <v>54</v>
      </c>
    </row>
    <row r="6714" spans="1:20" ht="14.5" x14ac:dyDescent="0.35">
      <c r="A6714" s="10" t="s">
        <v>32585</v>
      </c>
      <c r="B6714" s="10" t="str">
        <f>"9780815758082"</f>
        <v>9780815758082</v>
      </c>
      <c r="C6714" s="10" t="str">
        <f>"9780815798170"</f>
        <v>9780815798170</v>
      </c>
      <c r="D6714" s="10" t="s">
        <v>9752</v>
      </c>
      <c r="E6714" s="10" t="s">
        <v>9753</v>
      </c>
      <c r="F6714" s="10" t="s">
        <v>9754</v>
      </c>
      <c r="G6714" s="10" t="s">
        <v>6317</v>
      </c>
      <c r="H6714" s="11">
        <v>37012</v>
      </c>
      <c r="I6714" s="10">
        <v>2001</v>
      </c>
      <c r="J6714" s="10" t="s">
        <v>9753</v>
      </c>
      <c r="K6714" s="10">
        <v>469</v>
      </c>
      <c r="L6714" s="10" t="s">
        <v>26198</v>
      </c>
      <c r="M6714" s="10">
        <v>1</v>
      </c>
      <c r="N6714" s="10"/>
      <c r="O6714" s="10"/>
      <c r="P6714" s="10" t="s">
        <v>32586</v>
      </c>
      <c r="Q6714" s="10">
        <v>379.110973</v>
      </c>
      <c r="R6714" s="10" t="s">
        <v>32587</v>
      </c>
      <c r="S6714" s="10" t="s">
        <v>53</v>
      </c>
      <c r="T6714" s="10" t="s">
        <v>54</v>
      </c>
    </row>
    <row r="6715" spans="1:20" ht="14.5" x14ac:dyDescent="0.35">
      <c r="A6715" s="10" t="s">
        <v>32588</v>
      </c>
      <c r="B6715" s="10" t="str">
        <f>"9780815770268"</f>
        <v>9780815770268</v>
      </c>
      <c r="C6715" s="10" t="str">
        <f>"9780815798248"</f>
        <v>9780815798248</v>
      </c>
      <c r="D6715" s="10" t="s">
        <v>9752</v>
      </c>
      <c r="E6715" s="10" t="s">
        <v>9753</v>
      </c>
      <c r="F6715" s="10" t="s">
        <v>9754</v>
      </c>
      <c r="G6715" s="10" t="s">
        <v>6317</v>
      </c>
      <c r="H6715" s="11">
        <v>37196</v>
      </c>
      <c r="I6715" s="10">
        <v>2002</v>
      </c>
      <c r="J6715" s="10" t="s">
        <v>9753</v>
      </c>
      <c r="K6715" s="10">
        <v>330</v>
      </c>
      <c r="L6715" s="10" t="s">
        <v>32589</v>
      </c>
      <c r="M6715" s="10">
        <v>1</v>
      </c>
      <c r="N6715" s="10"/>
      <c r="O6715" s="10"/>
      <c r="P6715" s="10" t="s">
        <v>32590</v>
      </c>
      <c r="Q6715" s="10">
        <v>371.01</v>
      </c>
      <c r="R6715" s="10" t="s">
        <v>32591</v>
      </c>
      <c r="S6715" s="10" t="s">
        <v>53</v>
      </c>
      <c r="T6715" s="10" t="s">
        <v>54</v>
      </c>
    </row>
    <row r="6716" spans="1:20" ht="14.5" x14ac:dyDescent="0.35">
      <c r="A6716" s="10" t="s">
        <v>32592</v>
      </c>
      <c r="B6716" s="10" t="str">
        <f>"9780815790464"</f>
        <v>9780815790464</v>
      </c>
      <c r="C6716" s="10" t="str">
        <f>"9780815791027"</f>
        <v>9780815791027</v>
      </c>
      <c r="D6716" s="10" t="s">
        <v>9752</v>
      </c>
      <c r="E6716" s="10" t="s">
        <v>9753</v>
      </c>
      <c r="F6716" s="10" t="s">
        <v>9754</v>
      </c>
      <c r="G6716" s="10" t="s">
        <v>6317</v>
      </c>
      <c r="H6716" s="11">
        <v>36404</v>
      </c>
      <c r="I6716" s="10">
        <v>1999</v>
      </c>
      <c r="J6716" s="10" t="s">
        <v>9753</v>
      </c>
      <c r="K6716" s="10">
        <v>298</v>
      </c>
      <c r="L6716" s="10" t="s">
        <v>32593</v>
      </c>
      <c r="M6716" s="10">
        <v>1</v>
      </c>
      <c r="N6716" s="10"/>
      <c r="O6716" s="10"/>
      <c r="P6716" s="10" t="s">
        <v>32594</v>
      </c>
      <c r="Q6716" s="10" t="s">
        <v>32577</v>
      </c>
      <c r="R6716" s="10" t="s">
        <v>32595</v>
      </c>
      <c r="S6716" s="10" t="s">
        <v>53</v>
      </c>
      <c r="T6716" s="10" t="s">
        <v>54</v>
      </c>
    </row>
    <row r="6717" spans="1:20" ht="14.5" x14ac:dyDescent="0.35">
      <c r="A6717" s="10" t="s">
        <v>32596</v>
      </c>
      <c r="B6717" s="10" t="str">
        <f>"9780815748106"</f>
        <v>9780815748106</v>
      </c>
      <c r="C6717" s="10" t="str">
        <f>"9780815798606"</f>
        <v>9780815798606</v>
      </c>
      <c r="D6717" s="10" t="s">
        <v>9752</v>
      </c>
      <c r="E6717" s="10" t="s">
        <v>9753</v>
      </c>
      <c r="F6717" s="10" t="s">
        <v>9754</v>
      </c>
      <c r="G6717" s="10" t="s">
        <v>6317</v>
      </c>
      <c r="H6717" s="11">
        <v>36923</v>
      </c>
      <c r="I6717" s="10">
        <v>2001</v>
      </c>
      <c r="J6717" s="10" t="s">
        <v>9753</v>
      </c>
      <c r="K6717" s="10">
        <v>407</v>
      </c>
      <c r="L6717" s="10" t="s">
        <v>32597</v>
      </c>
      <c r="M6717" s="10">
        <v>1</v>
      </c>
      <c r="N6717" s="10"/>
      <c r="O6717" s="10"/>
      <c r="P6717" s="10" t="s">
        <v>32598</v>
      </c>
      <c r="Q6717" s="10"/>
      <c r="R6717" s="10" t="s">
        <v>32599</v>
      </c>
      <c r="S6717" s="10" t="s">
        <v>53</v>
      </c>
      <c r="T6717" s="10" t="s">
        <v>54</v>
      </c>
    </row>
    <row r="6718" spans="1:20" ht="14.5" x14ac:dyDescent="0.35">
      <c r="A6718" s="10" t="s">
        <v>32600</v>
      </c>
      <c r="B6718" s="10" t="str">
        <f>"9780815781547"</f>
        <v>9780815781547</v>
      </c>
      <c r="C6718" s="10" t="str">
        <f>"9780815798316"</f>
        <v>9780815798316</v>
      </c>
      <c r="D6718" s="10" t="s">
        <v>9752</v>
      </c>
      <c r="E6718" s="10" t="s">
        <v>9753</v>
      </c>
      <c r="F6718" s="10" t="s">
        <v>9754</v>
      </c>
      <c r="G6718" s="10" t="s">
        <v>6317</v>
      </c>
      <c r="H6718" s="11">
        <v>36678</v>
      </c>
      <c r="I6718" s="10">
        <v>2000</v>
      </c>
      <c r="J6718" s="10" t="s">
        <v>9753</v>
      </c>
      <c r="K6718" s="10">
        <v>556</v>
      </c>
      <c r="L6718" s="10" t="s">
        <v>32601</v>
      </c>
      <c r="M6718" s="10">
        <v>1</v>
      </c>
      <c r="N6718" s="10"/>
      <c r="O6718" s="10"/>
      <c r="P6718" s="10" t="s">
        <v>32602</v>
      </c>
      <c r="Q6718" s="10" t="s">
        <v>32603</v>
      </c>
      <c r="R6718" s="10" t="s">
        <v>32604</v>
      </c>
      <c r="S6718" s="10" t="s">
        <v>53</v>
      </c>
      <c r="T6718" s="10" t="s">
        <v>27302</v>
      </c>
    </row>
    <row r="6719" spans="1:20" ht="14.5" x14ac:dyDescent="0.35">
      <c r="A6719" s="10" t="s">
        <v>32605</v>
      </c>
      <c r="B6719" s="10" t="str">
        <f>"9780815702665"</f>
        <v>9780815702665</v>
      </c>
      <c r="C6719" s="10" t="str">
        <f>"9780815798583"</f>
        <v>9780815798583</v>
      </c>
      <c r="D6719" s="10" t="s">
        <v>9752</v>
      </c>
      <c r="E6719" s="10" t="s">
        <v>9753</v>
      </c>
      <c r="F6719" s="10" t="s">
        <v>9754</v>
      </c>
      <c r="G6719" s="10" t="s">
        <v>6317</v>
      </c>
      <c r="H6719" s="11">
        <v>37407</v>
      </c>
      <c r="I6719" s="10">
        <v>2002</v>
      </c>
      <c r="J6719" s="10" t="s">
        <v>9753</v>
      </c>
      <c r="K6719" s="10">
        <v>141</v>
      </c>
      <c r="L6719" s="10" t="s">
        <v>32606</v>
      </c>
      <c r="M6719" s="10">
        <v>1</v>
      </c>
      <c r="N6719" s="10"/>
      <c r="O6719" s="10"/>
      <c r="P6719" s="10" t="s">
        <v>32607</v>
      </c>
      <c r="Q6719" s="10">
        <v>371.01</v>
      </c>
      <c r="R6719" s="10" t="s">
        <v>12187</v>
      </c>
      <c r="S6719" s="10" t="s">
        <v>53</v>
      </c>
      <c r="T6719" s="10" t="s">
        <v>54</v>
      </c>
    </row>
    <row r="6720" spans="1:20" ht="14.5" x14ac:dyDescent="0.35">
      <c r="A6720" s="10" t="s">
        <v>32608</v>
      </c>
      <c r="B6720" s="10" t="str">
        <f>"9780815702047"</f>
        <v>9780815702047</v>
      </c>
      <c r="C6720" s="10" t="str">
        <f>"9780815798187"</f>
        <v>9780815798187</v>
      </c>
      <c r="D6720" s="10" t="s">
        <v>9752</v>
      </c>
      <c r="E6720" s="10" t="s">
        <v>9753</v>
      </c>
      <c r="F6720" s="10" t="s">
        <v>9754</v>
      </c>
      <c r="G6720" s="10" t="s">
        <v>6317</v>
      </c>
      <c r="H6720" s="11">
        <v>37357</v>
      </c>
      <c r="I6720" s="10">
        <v>2002</v>
      </c>
      <c r="J6720" s="10" t="s">
        <v>9753</v>
      </c>
      <c r="K6720" s="10">
        <v>241</v>
      </c>
      <c r="L6720" s="10" t="s">
        <v>32609</v>
      </c>
      <c r="M6720" s="10">
        <v>1</v>
      </c>
      <c r="N6720" s="10"/>
      <c r="O6720" s="10"/>
      <c r="P6720" s="10" t="s">
        <v>32610</v>
      </c>
      <c r="Q6720" s="10" t="s">
        <v>7147</v>
      </c>
      <c r="R6720" s="10" t="s">
        <v>6769</v>
      </c>
      <c r="S6720" s="10" t="s">
        <v>53</v>
      </c>
      <c r="T6720" s="10" t="s">
        <v>54</v>
      </c>
    </row>
    <row r="6721" spans="1:20" ht="14.5" x14ac:dyDescent="0.35">
      <c r="A6721" s="10" t="s">
        <v>32611</v>
      </c>
      <c r="B6721" s="10" t="str">
        <f>"9780815714002"</f>
        <v>9780815714002</v>
      </c>
      <c r="C6721" s="10" t="str">
        <f>"9780815714026"</f>
        <v>9780815714026</v>
      </c>
      <c r="D6721" s="10" t="s">
        <v>9752</v>
      </c>
      <c r="E6721" s="10" t="s">
        <v>9753</v>
      </c>
      <c r="F6721" s="10" t="s">
        <v>9754</v>
      </c>
      <c r="G6721" s="10" t="s">
        <v>6317</v>
      </c>
      <c r="H6721" s="11">
        <v>37572</v>
      </c>
      <c r="I6721" s="10">
        <v>2002</v>
      </c>
      <c r="J6721" s="10" t="s">
        <v>9753</v>
      </c>
      <c r="K6721" s="10">
        <v>252</v>
      </c>
      <c r="L6721" s="10" t="s">
        <v>32612</v>
      </c>
      <c r="M6721" s="10">
        <v>1</v>
      </c>
      <c r="N6721" s="10"/>
      <c r="O6721" s="10"/>
      <c r="P6721" s="10" t="s">
        <v>32613</v>
      </c>
      <c r="Q6721" s="10" t="s">
        <v>32614</v>
      </c>
      <c r="R6721" s="10" t="s">
        <v>32615</v>
      </c>
      <c r="S6721" s="10" t="s">
        <v>53</v>
      </c>
      <c r="T6721" s="10" t="s">
        <v>54</v>
      </c>
    </row>
    <row r="6722" spans="1:20" ht="14.5" x14ac:dyDescent="0.35">
      <c r="A6722" s="10" t="s">
        <v>32616</v>
      </c>
      <c r="B6722" s="10" t="str">
        <f>"9780815770282"</f>
        <v>9780815770282</v>
      </c>
      <c r="C6722" s="10" t="str">
        <f>"9780815796206"</f>
        <v>9780815796206</v>
      </c>
      <c r="D6722" s="10" t="s">
        <v>9752</v>
      </c>
      <c r="E6722" s="10" t="s">
        <v>9753</v>
      </c>
      <c r="F6722" s="10" t="s">
        <v>9754</v>
      </c>
      <c r="G6722" s="10" t="s">
        <v>6317</v>
      </c>
      <c r="H6722" s="11">
        <v>37943</v>
      </c>
      <c r="I6722" s="10">
        <v>2003</v>
      </c>
      <c r="J6722" s="10" t="s">
        <v>9753</v>
      </c>
      <c r="K6722" s="10">
        <v>352</v>
      </c>
      <c r="L6722" s="10" t="s">
        <v>32617</v>
      </c>
      <c r="M6722" s="10">
        <v>1</v>
      </c>
      <c r="N6722" s="10"/>
      <c r="O6722" s="10"/>
      <c r="P6722" s="10" t="s">
        <v>32618</v>
      </c>
      <c r="Q6722" s="10" t="s">
        <v>7737</v>
      </c>
      <c r="R6722" s="10" t="s">
        <v>12187</v>
      </c>
      <c r="S6722" s="10" t="s">
        <v>53</v>
      </c>
      <c r="T6722" s="10" t="s">
        <v>32619</v>
      </c>
    </row>
    <row r="6723" spans="1:20" ht="14.5" x14ac:dyDescent="0.35">
      <c r="A6723" s="10" t="s">
        <v>32620</v>
      </c>
      <c r="B6723" s="10" t="str">
        <f>"9780815736851"</f>
        <v>9780815736851</v>
      </c>
      <c r="C6723" s="10" t="str">
        <f>"9780815736868"</f>
        <v>9780815736868</v>
      </c>
      <c r="D6723" s="10" t="s">
        <v>9752</v>
      </c>
      <c r="E6723" s="10" t="s">
        <v>9753</v>
      </c>
      <c r="F6723" s="10" t="s">
        <v>9754</v>
      </c>
      <c r="G6723" s="10" t="s">
        <v>6317</v>
      </c>
      <c r="H6723" s="11">
        <v>37364</v>
      </c>
      <c r="I6723" s="10">
        <v>2006</v>
      </c>
      <c r="J6723" s="10" t="s">
        <v>9753</v>
      </c>
      <c r="K6723" s="10">
        <v>299</v>
      </c>
      <c r="L6723" s="10" t="s">
        <v>32621</v>
      </c>
      <c r="M6723" s="10">
        <v>2</v>
      </c>
      <c r="N6723" s="10"/>
      <c r="O6723" s="10"/>
      <c r="P6723" s="10" t="s">
        <v>32622</v>
      </c>
      <c r="Q6723" s="10" t="s">
        <v>10291</v>
      </c>
      <c r="R6723" s="10" t="s">
        <v>32578</v>
      </c>
      <c r="S6723" s="10" t="s">
        <v>53</v>
      </c>
      <c r="T6723" s="10" t="s">
        <v>54</v>
      </c>
    </row>
    <row r="6724" spans="1:20" ht="14.5" x14ac:dyDescent="0.35">
      <c r="A6724" s="10" t="s">
        <v>32623</v>
      </c>
      <c r="B6724" s="10" t="str">
        <f>"9780815746102"</f>
        <v>9780815746102</v>
      </c>
      <c r="C6724" s="10" t="str">
        <f>"9780815746119"</f>
        <v>9780815746119</v>
      </c>
      <c r="D6724" s="10" t="s">
        <v>9752</v>
      </c>
      <c r="E6724" s="10" t="s">
        <v>9753</v>
      </c>
      <c r="F6724" s="10" t="s">
        <v>9754</v>
      </c>
      <c r="G6724" s="10" t="s">
        <v>6317</v>
      </c>
      <c r="H6724" s="11">
        <v>36008</v>
      </c>
      <c r="I6724" s="10">
        <v>1998</v>
      </c>
      <c r="J6724" s="10" t="s">
        <v>9753</v>
      </c>
      <c r="K6724" s="10">
        <v>536</v>
      </c>
      <c r="L6724" s="10" t="s">
        <v>32624</v>
      </c>
      <c r="M6724" s="10">
        <v>1</v>
      </c>
      <c r="N6724" s="10"/>
      <c r="O6724" s="10"/>
      <c r="P6724" s="10"/>
      <c r="Q6724" s="10"/>
      <c r="R6724" s="10" t="s">
        <v>31799</v>
      </c>
      <c r="S6724" s="10" t="s">
        <v>53</v>
      </c>
      <c r="T6724" s="10" t="s">
        <v>6472</v>
      </c>
    </row>
    <row r="6725" spans="1:20" ht="14.5" x14ac:dyDescent="0.35">
      <c r="A6725" s="10" t="s">
        <v>32625</v>
      </c>
      <c r="B6725" s="10" t="str">
        <f>"9780521786393"</f>
        <v>9780521786393</v>
      </c>
      <c r="C6725" s="10" t="str">
        <f>"9780511153211"</f>
        <v>9780511153211</v>
      </c>
      <c r="D6725" s="10" t="s">
        <v>397</v>
      </c>
      <c r="E6725" s="10" t="s">
        <v>397</v>
      </c>
      <c r="F6725" s="10" t="s">
        <v>612</v>
      </c>
      <c r="G6725" s="10" t="s">
        <v>6352</v>
      </c>
      <c r="H6725" s="11">
        <v>36853</v>
      </c>
      <c r="I6725" s="10">
        <v>2000</v>
      </c>
      <c r="J6725" s="10" t="s">
        <v>397</v>
      </c>
      <c r="K6725" s="10">
        <v>595</v>
      </c>
      <c r="L6725" s="10" t="s">
        <v>32626</v>
      </c>
      <c r="M6725" s="10">
        <v>1</v>
      </c>
      <c r="N6725" s="10" t="s">
        <v>32627</v>
      </c>
      <c r="O6725" s="10"/>
      <c r="P6725" s="10" t="s">
        <v>32628</v>
      </c>
      <c r="Q6725" s="10">
        <v>618.9289</v>
      </c>
      <c r="R6725" s="10" t="s">
        <v>32629</v>
      </c>
      <c r="S6725" s="10" t="s">
        <v>53</v>
      </c>
      <c r="T6725" s="10" t="s">
        <v>8681</v>
      </c>
    </row>
    <row r="6726" spans="1:20" ht="14.5" x14ac:dyDescent="0.35">
      <c r="A6726" s="10" t="s">
        <v>32630</v>
      </c>
      <c r="B6726" s="10" t="str">
        <f>"9781853595431"</f>
        <v>9781853595431</v>
      </c>
      <c r="C6726" s="10" t="str">
        <f>"9781853595448"</f>
        <v>9781853595448</v>
      </c>
      <c r="D6726" s="10" t="s">
        <v>8394</v>
      </c>
      <c r="E6726" s="10" t="s">
        <v>8395</v>
      </c>
      <c r="F6726" s="10" t="s">
        <v>8396</v>
      </c>
      <c r="G6726" s="10" t="s">
        <v>6352</v>
      </c>
      <c r="H6726" s="11">
        <v>37181</v>
      </c>
      <c r="I6726" s="10">
        <v>2001</v>
      </c>
      <c r="J6726" s="10" t="s">
        <v>8395</v>
      </c>
      <c r="K6726" s="10">
        <v>184</v>
      </c>
      <c r="L6726" s="10" t="s">
        <v>32631</v>
      </c>
      <c r="M6726" s="10">
        <v>1</v>
      </c>
      <c r="N6726" s="10" t="s">
        <v>32632</v>
      </c>
      <c r="O6726" s="10">
        <v>17</v>
      </c>
      <c r="P6726" s="10" t="s">
        <v>32633</v>
      </c>
      <c r="Q6726" s="10" t="s">
        <v>6950</v>
      </c>
      <c r="R6726" s="10" t="s">
        <v>6951</v>
      </c>
      <c r="S6726" s="10" t="s">
        <v>53</v>
      </c>
      <c r="T6726" s="10" t="s">
        <v>6616</v>
      </c>
    </row>
    <row r="6727" spans="1:20" ht="14.5" x14ac:dyDescent="0.35">
      <c r="A6727" s="10" t="s">
        <v>32634</v>
      </c>
      <c r="B6727" s="10" t="str">
        <f>"9781853595523"</f>
        <v>9781853595523</v>
      </c>
      <c r="C6727" s="10" t="str">
        <f>"9781853595530"</f>
        <v>9781853595530</v>
      </c>
      <c r="D6727" s="10" t="s">
        <v>8394</v>
      </c>
      <c r="E6727" s="10" t="s">
        <v>8395</v>
      </c>
      <c r="F6727" s="10" t="s">
        <v>8396</v>
      </c>
      <c r="G6727" s="10" t="s">
        <v>6352</v>
      </c>
      <c r="H6727" s="11">
        <v>37181</v>
      </c>
      <c r="I6727" s="10">
        <v>2001</v>
      </c>
      <c r="J6727" s="10" t="s">
        <v>8395</v>
      </c>
      <c r="K6727" s="10">
        <v>240</v>
      </c>
      <c r="L6727" s="10" t="s">
        <v>32635</v>
      </c>
      <c r="M6727" s="10">
        <v>1</v>
      </c>
      <c r="N6727" s="10" t="s">
        <v>32632</v>
      </c>
      <c r="O6727" s="10">
        <v>18</v>
      </c>
      <c r="P6727" s="10" t="s">
        <v>32636</v>
      </c>
      <c r="Q6727" s="10" t="s">
        <v>32637</v>
      </c>
      <c r="R6727" s="10" t="s">
        <v>7101</v>
      </c>
      <c r="S6727" s="10" t="s">
        <v>53</v>
      </c>
      <c r="T6727" s="10" t="s">
        <v>6616</v>
      </c>
    </row>
    <row r="6728" spans="1:20" ht="14.5" x14ac:dyDescent="0.35">
      <c r="A6728" s="10" t="s">
        <v>32638</v>
      </c>
      <c r="B6728" s="10" t="str">
        <f>"9781853595325"</f>
        <v>9781853595325</v>
      </c>
      <c r="C6728" s="10" t="str">
        <f>"9781853595332"</f>
        <v>9781853595332</v>
      </c>
      <c r="D6728" s="10" t="s">
        <v>8394</v>
      </c>
      <c r="E6728" s="10" t="s">
        <v>8395</v>
      </c>
      <c r="F6728" s="10" t="s">
        <v>8396</v>
      </c>
      <c r="G6728" s="10" t="s">
        <v>6352</v>
      </c>
      <c r="H6728" s="11">
        <v>37060</v>
      </c>
      <c r="I6728" s="10">
        <v>2001</v>
      </c>
      <c r="J6728" s="10" t="s">
        <v>8395</v>
      </c>
      <c r="K6728" s="10">
        <v>378</v>
      </c>
      <c r="L6728" s="10" t="s">
        <v>32639</v>
      </c>
      <c r="M6728" s="10">
        <v>1</v>
      </c>
      <c r="N6728" s="10" t="s">
        <v>8403</v>
      </c>
      <c r="O6728" s="10">
        <v>28</v>
      </c>
      <c r="P6728" s="10" t="s">
        <v>32640</v>
      </c>
      <c r="Q6728" s="10" t="s">
        <v>10199</v>
      </c>
      <c r="R6728" s="10" t="s">
        <v>18699</v>
      </c>
      <c r="S6728" s="10" t="s">
        <v>53</v>
      </c>
      <c r="T6728" s="10" t="s">
        <v>54</v>
      </c>
    </row>
    <row r="6729" spans="1:20" ht="14.5" x14ac:dyDescent="0.35">
      <c r="A6729" s="10" t="s">
        <v>32641</v>
      </c>
      <c r="B6729" s="10" t="str">
        <f>"9781853595714"</f>
        <v>9781853595714</v>
      </c>
      <c r="C6729" s="10" t="str">
        <f>"9781853595721"</f>
        <v>9781853595721</v>
      </c>
      <c r="D6729" s="10" t="s">
        <v>8394</v>
      </c>
      <c r="E6729" s="10" t="s">
        <v>8395</v>
      </c>
      <c r="F6729" s="10" t="s">
        <v>8396</v>
      </c>
      <c r="G6729" s="10" t="s">
        <v>6352</v>
      </c>
      <c r="H6729" s="11">
        <v>37353</v>
      </c>
      <c r="I6729" s="10">
        <v>2002</v>
      </c>
      <c r="J6729" s="10" t="s">
        <v>8395</v>
      </c>
      <c r="K6729" s="10">
        <v>318</v>
      </c>
      <c r="L6729" s="10" t="s">
        <v>32642</v>
      </c>
      <c r="M6729" s="10">
        <v>1</v>
      </c>
      <c r="N6729" s="10" t="s">
        <v>8863</v>
      </c>
      <c r="O6729" s="10">
        <v>2</v>
      </c>
      <c r="P6729" s="10" t="s">
        <v>32643</v>
      </c>
      <c r="Q6729" s="10" t="s">
        <v>9522</v>
      </c>
      <c r="R6729" s="10" t="s">
        <v>32644</v>
      </c>
      <c r="S6729" s="10" t="s">
        <v>53</v>
      </c>
      <c r="T6729" s="10" t="s">
        <v>6616</v>
      </c>
    </row>
    <row r="6730" spans="1:20" ht="14.5" x14ac:dyDescent="0.35">
      <c r="A6730" s="10" t="s">
        <v>32645</v>
      </c>
      <c r="B6730" s="10" t="str">
        <f>"9781853595967"</f>
        <v>9781853595967</v>
      </c>
      <c r="C6730" s="10" t="str">
        <f>"9781853596698"</f>
        <v>9781853596698</v>
      </c>
      <c r="D6730" s="10" t="s">
        <v>8394</v>
      </c>
      <c r="E6730" s="10" t="s">
        <v>8395</v>
      </c>
      <c r="F6730" s="10" t="s">
        <v>8396</v>
      </c>
      <c r="G6730" s="10" t="s">
        <v>6352</v>
      </c>
      <c r="H6730" s="11">
        <v>37301</v>
      </c>
      <c r="I6730" s="10">
        <v>2002</v>
      </c>
      <c r="J6730" s="10" t="s">
        <v>8395</v>
      </c>
      <c r="K6730" s="10">
        <v>96</v>
      </c>
      <c r="L6730" s="10" t="s">
        <v>7154</v>
      </c>
      <c r="M6730" s="10">
        <v>1</v>
      </c>
      <c r="N6730" s="10"/>
      <c r="O6730" s="10"/>
      <c r="P6730" s="10" t="s">
        <v>32646</v>
      </c>
      <c r="Q6730" s="10">
        <v>372.11020939999997</v>
      </c>
      <c r="R6730" s="10" t="s">
        <v>32647</v>
      </c>
      <c r="S6730" s="10" t="s">
        <v>53</v>
      </c>
      <c r="T6730" s="10" t="s">
        <v>54</v>
      </c>
    </row>
    <row r="6731" spans="1:20" ht="14.5" x14ac:dyDescent="0.35">
      <c r="A6731" s="10" t="s">
        <v>32648</v>
      </c>
      <c r="B6731" s="10" t="str">
        <f>"9781853596018"</f>
        <v>9781853596018</v>
      </c>
      <c r="C6731" s="10" t="str">
        <f>"9781853596025"</f>
        <v>9781853596025</v>
      </c>
      <c r="D6731" s="10" t="s">
        <v>8394</v>
      </c>
      <c r="E6731" s="10" t="s">
        <v>8395</v>
      </c>
      <c r="F6731" s="10" t="s">
        <v>8396</v>
      </c>
      <c r="G6731" s="10" t="s">
        <v>6352</v>
      </c>
      <c r="H6731" s="11">
        <v>37474</v>
      </c>
      <c r="I6731" s="10">
        <v>2002</v>
      </c>
      <c r="J6731" s="10" t="s">
        <v>8395</v>
      </c>
      <c r="K6731" s="10">
        <v>285</v>
      </c>
      <c r="L6731" s="10" t="s">
        <v>32649</v>
      </c>
      <c r="M6731" s="10">
        <v>1</v>
      </c>
      <c r="N6731" s="10" t="s">
        <v>8403</v>
      </c>
      <c r="O6731" s="10">
        <v>37</v>
      </c>
      <c r="P6731" s="10" t="s">
        <v>32650</v>
      </c>
      <c r="Q6731" s="10" t="s">
        <v>32651</v>
      </c>
      <c r="R6731" s="10" t="s">
        <v>32652</v>
      </c>
      <c r="S6731" s="10" t="s">
        <v>53</v>
      </c>
      <c r="T6731" s="10" t="s">
        <v>6616</v>
      </c>
    </row>
    <row r="6732" spans="1:20" ht="14.5" x14ac:dyDescent="0.35">
      <c r="A6732" s="10" t="s">
        <v>32653</v>
      </c>
      <c r="B6732" s="10" t="str">
        <f>"9781853595653"</f>
        <v>9781853595653</v>
      </c>
      <c r="C6732" s="10" t="str">
        <f>"9781853595660"</f>
        <v>9781853595660</v>
      </c>
      <c r="D6732" s="10" t="s">
        <v>8394</v>
      </c>
      <c r="E6732" s="10" t="s">
        <v>8395</v>
      </c>
      <c r="F6732" s="10" t="s">
        <v>8396</v>
      </c>
      <c r="G6732" s="10" t="s">
        <v>6352</v>
      </c>
      <c r="H6732" s="11">
        <v>37278</v>
      </c>
      <c r="I6732" s="10">
        <v>2002</v>
      </c>
      <c r="J6732" s="10" t="s">
        <v>8395</v>
      </c>
      <c r="K6732" s="10">
        <v>173</v>
      </c>
      <c r="L6732" s="10" t="s">
        <v>32654</v>
      </c>
      <c r="M6732" s="10">
        <v>2</v>
      </c>
      <c r="N6732" s="10" t="s">
        <v>8403</v>
      </c>
      <c r="O6732" s="10">
        <v>33</v>
      </c>
      <c r="P6732" s="10" t="s">
        <v>32655</v>
      </c>
      <c r="Q6732" s="10" t="s">
        <v>32656</v>
      </c>
      <c r="R6732" s="10" t="s">
        <v>32657</v>
      </c>
      <c r="S6732" s="10" t="s">
        <v>53</v>
      </c>
      <c r="T6732" s="10" t="s">
        <v>54</v>
      </c>
    </row>
    <row r="6733" spans="1:20" ht="14.5" x14ac:dyDescent="0.35">
      <c r="A6733" s="10" t="s">
        <v>32658</v>
      </c>
      <c r="B6733" s="10" t="str">
        <f>"9781853596100"</f>
        <v>9781853596100</v>
      </c>
      <c r="C6733" s="10" t="str">
        <f>"9781853596117"</f>
        <v>9781853596117</v>
      </c>
      <c r="D6733" s="10" t="s">
        <v>8394</v>
      </c>
      <c r="E6733" s="10" t="s">
        <v>8395</v>
      </c>
      <c r="F6733" s="10" t="s">
        <v>8396</v>
      </c>
      <c r="G6733" s="10" t="s">
        <v>6352</v>
      </c>
      <c r="H6733" s="11">
        <v>37543</v>
      </c>
      <c r="I6733" s="10">
        <v>2002</v>
      </c>
      <c r="J6733" s="10" t="s">
        <v>8395</v>
      </c>
      <c r="K6733" s="10">
        <v>310</v>
      </c>
      <c r="L6733" s="10" t="s">
        <v>32659</v>
      </c>
      <c r="M6733" s="10">
        <v>1</v>
      </c>
      <c r="N6733" s="10" t="s">
        <v>8398</v>
      </c>
      <c r="O6733" s="10">
        <v>3</v>
      </c>
      <c r="P6733" s="10" t="s">
        <v>32660</v>
      </c>
      <c r="Q6733" s="10" t="s">
        <v>6950</v>
      </c>
      <c r="R6733" s="10" t="s">
        <v>32661</v>
      </c>
      <c r="S6733" s="10" t="s">
        <v>53</v>
      </c>
      <c r="T6733" s="10" t="s">
        <v>6498</v>
      </c>
    </row>
    <row r="6734" spans="1:20" ht="14.5" x14ac:dyDescent="0.35">
      <c r="A6734" s="10" t="s">
        <v>32662</v>
      </c>
      <c r="B6734" s="10" t="str">
        <f>"9781853596070"</f>
        <v>9781853596070</v>
      </c>
      <c r="C6734" s="10" t="str">
        <f>"9781853596087"</f>
        <v>9781853596087</v>
      </c>
      <c r="D6734" s="10" t="s">
        <v>8394</v>
      </c>
      <c r="E6734" s="10" t="s">
        <v>8395</v>
      </c>
      <c r="F6734" s="10" t="s">
        <v>8396</v>
      </c>
      <c r="G6734" s="10" t="s">
        <v>6352</v>
      </c>
      <c r="H6734" s="11">
        <v>37568</v>
      </c>
      <c r="I6734" s="10">
        <v>2002</v>
      </c>
      <c r="J6734" s="10" t="s">
        <v>8395</v>
      </c>
      <c r="K6734" s="10">
        <v>256</v>
      </c>
      <c r="L6734" s="10" t="s">
        <v>9939</v>
      </c>
      <c r="M6734" s="10">
        <v>1</v>
      </c>
      <c r="N6734" s="10" t="s">
        <v>8398</v>
      </c>
      <c r="O6734" s="10">
        <v>2</v>
      </c>
      <c r="P6734" s="10" t="s">
        <v>32663</v>
      </c>
      <c r="Q6734" s="10">
        <v>370.11700000000002</v>
      </c>
      <c r="R6734" s="10" t="s">
        <v>32664</v>
      </c>
      <c r="S6734" s="10" t="s">
        <v>53</v>
      </c>
      <c r="T6734" s="10" t="s">
        <v>54</v>
      </c>
    </row>
    <row r="6735" spans="1:20" ht="14.5" x14ac:dyDescent="0.35">
      <c r="A6735" s="10" t="s">
        <v>32665</v>
      </c>
      <c r="B6735" s="10" t="str">
        <f>"9781853595912"</f>
        <v>9781853595912</v>
      </c>
      <c r="C6735" s="10" t="str">
        <f>"9781853595929"</f>
        <v>9781853595929</v>
      </c>
      <c r="D6735" s="10" t="s">
        <v>8394</v>
      </c>
      <c r="E6735" s="10" t="s">
        <v>8395</v>
      </c>
      <c r="F6735" s="10" t="s">
        <v>8396</v>
      </c>
      <c r="G6735" s="10" t="s">
        <v>6352</v>
      </c>
      <c r="H6735" s="11">
        <v>37459</v>
      </c>
      <c r="I6735" s="10">
        <v>2002</v>
      </c>
      <c r="J6735" s="10" t="s">
        <v>8395</v>
      </c>
      <c r="K6735" s="10">
        <v>339</v>
      </c>
      <c r="L6735" s="10" t="s">
        <v>8868</v>
      </c>
      <c r="M6735" s="10">
        <v>1</v>
      </c>
      <c r="N6735" s="10" t="s">
        <v>8403</v>
      </c>
      <c r="O6735" s="10">
        <v>35</v>
      </c>
      <c r="P6735" s="10" t="s">
        <v>32666</v>
      </c>
      <c r="Q6735" s="10" t="s">
        <v>10199</v>
      </c>
      <c r="R6735" s="10" t="s">
        <v>32667</v>
      </c>
      <c r="S6735" s="10" t="s">
        <v>53</v>
      </c>
      <c r="T6735" s="10" t="s">
        <v>54</v>
      </c>
    </row>
    <row r="6736" spans="1:20" ht="14.5" x14ac:dyDescent="0.35">
      <c r="A6736" s="10" t="s">
        <v>32668</v>
      </c>
      <c r="B6736" s="10" t="str">
        <f>"9781853595981"</f>
        <v>9781853595981</v>
      </c>
      <c r="C6736" s="10" t="str">
        <f>"9781853595998"</f>
        <v>9781853595998</v>
      </c>
      <c r="D6736" s="10" t="s">
        <v>8394</v>
      </c>
      <c r="E6736" s="10" t="s">
        <v>8395</v>
      </c>
      <c r="F6736" s="10" t="s">
        <v>8396</v>
      </c>
      <c r="G6736" s="10" t="s">
        <v>6352</v>
      </c>
      <c r="H6736" s="11">
        <v>37474</v>
      </c>
      <c r="I6736" s="10">
        <v>2002</v>
      </c>
      <c r="J6736" s="10" t="s">
        <v>8395</v>
      </c>
      <c r="K6736" s="10">
        <v>141</v>
      </c>
      <c r="L6736" s="10" t="s">
        <v>32669</v>
      </c>
      <c r="M6736" s="10">
        <v>1</v>
      </c>
      <c r="N6736" s="10" t="s">
        <v>8403</v>
      </c>
      <c r="O6736" s="10">
        <v>36</v>
      </c>
      <c r="P6736" s="10" t="s">
        <v>32670</v>
      </c>
      <c r="Q6736" s="10" t="s">
        <v>12123</v>
      </c>
      <c r="R6736" s="10" t="s">
        <v>32671</v>
      </c>
      <c r="S6736" s="10" t="s">
        <v>53</v>
      </c>
      <c r="T6736" s="10" t="s">
        <v>6616</v>
      </c>
    </row>
    <row r="6737" spans="1:20" ht="14.5" x14ac:dyDescent="0.35">
      <c r="A6737" s="10" t="s">
        <v>32672</v>
      </c>
      <c r="B6737" s="10" t="str">
        <f>"9781853596957"</f>
        <v>9781853596957</v>
      </c>
      <c r="C6737" s="10" t="str">
        <f>"9781853596964"</f>
        <v>9781853596964</v>
      </c>
      <c r="D6737" s="10" t="s">
        <v>8394</v>
      </c>
      <c r="E6737" s="10" t="s">
        <v>8395</v>
      </c>
      <c r="F6737" s="10" t="s">
        <v>8396</v>
      </c>
      <c r="G6737" s="10" t="s">
        <v>6352</v>
      </c>
      <c r="H6737" s="11">
        <v>37949</v>
      </c>
      <c r="I6737" s="10">
        <v>2003</v>
      </c>
      <c r="J6737" s="10" t="s">
        <v>8395</v>
      </c>
      <c r="K6737" s="10">
        <v>148</v>
      </c>
      <c r="L6737" s="10" t="s">
        <v>32673</v>
      </c>
      <c r="M6737" s="10">
        <v>1</v>
      </c>
      <c r="N6737" s="10" t="s">
        <v>8403</v>
      </c>
      <c r="O6737" s="10">
        <v>44</v>
      </c>
      <c r="P6737" s="10" t="s">
        <v>32674</v>
      </c>
      <c r="Q6737" s="10">
        <v>370.11700000000002</v>
      </c>
      <c r="R6737" s="10" t="s">
        <v>32675</v>
      </c>
      <c r="S6737" s="10" t="s">
        <v>53</v>
      </c>
      <c r="T6737" s="10" t="s">
        <v>54</v>
      </c>
    </row>
    <row r="6738" spans="1:20" ht="14.5" x14ac:dyDescent="0.35">
      <c r="A6738" s="10" t="s">
        <v>32676</v>
      </c>
      <c r="B6738" s="10" t="str">
        <f>"9781853597121"</f>
        <v>9781853597121</v>
      </c>
      <c r="C6738" s="10" t="str">
        <f>"9781853597138"</f>
        <v>9781853597138</v>
      </c>
      <c r="D6738" s="10" t="s">
        <v>8394</v>
      </c>
      <c r="E6738" s="10" t="s">
        <v>8395</v>
      </c>
      <c r="F6738" s="10" t="s">
        <v>8396</v>
      </c>
      <c r="G6738" s="10" t="s">
        <v>6352</v>
      </c>
      <c r="H6738" s="11">
        <v>37923</v>
      </c>
      <c r="I6738" s="10">
        <v>2003</v>
      </c>
      <c r="J6738" s="10" t="s">
        <v>8395</v>
      </c>
      <c r="K6738" s="10">
        <v>299</v>
      </c>
      <c r="L6738" s="10" t="s">
        <v>32677</v>
      </c>
      <c r="M6738" s="10">
        <v>1</v>
      </c>
      <c r="N6738" s="10" t="s">
        <v>8863</v>
      </c>
      <c r="O6738" s="10">
        <v>4</v>
      </c>
      <c r="P6738" s="10" t="s">
        <v>32678</v>
      </c>
      <c r="Q6738" s="10" t="s">
        <v>32679</v>
      </c>
      <c r="R6738" s="10" t="s">
        <v>32680</v>
      </c>
      <c r="S6738" s="10" t="s">
        <v>53</v>
      </c>
      <c r="T6738" s="10" t="s">
        <v>8412</v>
      </c>
    </row>
    <row r="6739" spans="1:20" ht="14.5" x14ac:dyDescent="0.35">
      <c r="A6739" s="10" t="s">
        <v>32681</v>
      </c>
      <c r="B6739" s="10" t="str">
        <f>"9781853597558"</f>
        <v>9781853597558</v>
      </c>
      <c r="C6739" s="10" t="str">
        <f>"9781853597565"</f>
        <v>9781853597565</v>
      </c>
      <c r="D6739" s="10" t="s">
        <v>8394</v>
      </c>
      <c r="E6739" s="10" t="s">
        <v>8395</v>
      </c>
      <c r="F6739" s="10" t="s">
        <v>8396</v>
      </c>
      <c r="G6739" s="10" t="s">
        <v>6352</v>
      </c>
      <c r="H6739" s="11">
        <v>38282</v>
      </c>
      <c r="I6739" s="10">
        <v>2004</v>
      </c>
      <c r="J6739" s="10" t="s">
        <v>8395</v>
      </c>
      <c r="K6739" s="10">
        <v>151</v>
      </c>
      <c r="L6739" s="10" t="s">
        <v>32682</v>
      </c>
      <c r="M6739" s="10">
        <v>1</v>
      </c>
      <c r="N6739" s="10" t="s">
        <v>8403</v>
      </c>
      <c r="O6739" s="10">
        <v>47</v>
      </c>
      <c r="P6739" s="10" t="s">
        <v>32683</v>
      </c>
      <c r="Q6739" s="10" t="s">
        <v>32684</v>
      </c>
      <c r="R6739" s="10" t="s">
        <v>32685</v>
      </c>
      <c r="S6739" s="10" t="s">
        <v>53</v>
      </c>
      <c r="T6739" s="10" t="s">
        <v>6616</v>
      </c>
    </row>
    <row r="6740" spans="1:20" ht="14.5" x14ac:dyDescent="0.35">
      <c r="A6740" s="10" t="s">
        <v>32686</v>
      </c>
      <c r="B6740" s="10" t="str">
        <f>"9781853594977"</f>
        <v>9781853594977</v>
      </c>
      <c r="C6740" s="10" t="str">
        <f>"9781853596803"</f>
        <v>9781853596803</v>
      </c>
      <c r="D6740" s="10" t="s">
        <v>8394</v>
      </c>
      <c r="E6740" s="10" t="s">
        <v>8395</v>
      </c>
      <c r="F6740" s="10" t="s">
        <v>8396</v>
      </c>
      <c r="G6740" s="10" t="s">
        <v>6352</v>
      </c>
      <c r="H6740" s="11">
        <v>36845</v>
      </c>
      <c r="I6740" s="10">
        <v>2000</v>
      </c>
      <c r="J6740" s="10" t="s">
        <v>8395</v>
      </c>
      <c r="K6740" s="10">
        <v>133</v>
      </c>
      <c r="L6740" s="10" t="s">
        <v>32687</v>
      </c>
      <c r="M6740" s="10">
        <v>1</v>
      </c>
      <c r="N6740" s="10" t="s">
        <v>32632</v>
      </c>
      <c r="O6740" s="10">
        <v>14</v>
      </c>
      <c r="P6740" s="10" t="s">
        <v>32688</v>
      </c>
      <c r="Q6740" s="10">
        <v>448.1</v>
      </c>
      <c r="R6740" s="10" t="s">
        <v>32689</v>
      </c>
      <c r="S6740" s="10" t="s">
        <v>53</v>
      </c>
      <c r="T6740" s="10" t="s">
        <v>6616</v>
      </c>
    </row>
    <row r="6741" spans="1:20" ht="14.5" x14ac:dyDescent="0.35">
      <c r="A6741" s="10" t="s">
        <v>32690</v>
      </c>
      <c r="B6741" s="10" t="str">
        <f>"9781853595035"</f>
        <v>9781853595035</v>
      </c>
      <c r="C6741" s="10" t="str">
        <f>"9781853596810"</f>
        <v>9781853596810</v>
      </c>
      <c r="D6741" s="10" t="s">
        <v>8394</v>
      </c>
      <c r="E6741" s="10" t="s">
        <v>8395</v>
      </c>
      <c r="F6741" s="10" t="s">
        <v>8396</v>
      </c>
      <c r="G6741" s="10" t="s">
        <v>6352</v>
      </c>
      <c r="H6741" s="11">
        <v>36865</v>
      </c>
      <c r="I6741" s="10">
        <v>2001</v>
      </c>
      <c r="J6741" s="10" t="s">
        <v>8395</v>
      </c>
      <c r="K6741" s="10">
        <v>272</v>
      </c>
      <c r="L6741" s="10" t="s">
        <v>32691</v>
      </c>
      <c r="M6741" s="10">
        <v>1</v>
      </c>
      <c r="N6741" s="10" t="s">
        <v>32632</v>
      </c>
      <c r="O6741" s="10">
        <v>16</v>
      </c>
      <c r="P6741" s="10" t="s">
        <v>32692</v>
      </c>
      <c r="Q6741" s="10">
        <v>418.00200000000001</v>
      </c>
      <c r="R6741" s="10" t="s">
        <v>9531</v>
      </c>
      <c r="S6741" s="10" t="s">
        <v>53</v>
      </c>
      <c r="T6741" s="10" t="s">
        <v>6616</v>
      </c>
    </row>
    <row r="6742" spans="1:20" ht="14.5" x14ac:dyDescent="0.35">
      <c r="A6742" s="10" t="s">
        <v>32693</v>
      </c>
      <c r="B6742" s="10" t="str">
        <f>"9781846635342"</f>
        <v>9781846635342</v>
      </c>
      <c r="C6742" s="10" t="str">
        <f>"9781846635359"</f>
        <v>9781846635359</v>
      </c>
      <c r="D6742" s="10" t="s">
        <v>8699</v>
      </c>
      <c r="E6742" s="10" t="s">
        <v>8699</v>
      </c>
      <c r="F6742" s="10" t="s">
        <v>1019</v>
      </c>
      <c r="G6742" s="10" t="s">
        <v>6352</v>
      </c>
      <c r="H6742" s="11">
        <v>39234</v>
      </c>
      <c r="I6742" s="10">
        <v>2007</v>
      </c>
      <c r="J6742" s="10" t="s">
        <v>32694</v>
      </c>
      <c r="K6742" s="10">
        <v>73</v>
      </c>
      <c r="L6742" s="10" t="s">
        <v>32695</v>
      </c>
      <c r="M6742" s="10">
        <v>1</v>
      </c>
      <c r="N6742" s="10"/>
      <c r="O6742" s="10"/>
      <c r="P6742" s="10" t="s">
        <v>32696</v>
      </c>
      <c r="Q6742" s="10"/>
      <c r="R6742" s="10" t="s">
        <v>32697</v>
      </c>
      <c r="S6742" s="10" t="s">
        <v>53</v>
      </c>
      <c r="T6742" s="10" t="s">
        <v>54</v>
      </c>
    </row>
    <row r="6743" spans="1:20" ht="14.5" x14ac:dyDescent="0.35">
      <c r="A6743" s="10" t="s">
        <v>32698</v>
      </c>
      <c r="B6743" s="10" t="str">
        <f>"9781784414795"</f>
        <v>9781784414795</v>
      </c>
      <c r="C6743" s="10" t="str">
        <f>"9781784414801"</f>
        <v>9781784414801</v>
      </c>
      <c r="D6743" s="10" t="s">
        <v>8699</v>
      </c>
      <c r="E6743" s="10" t="s">
        <v>32699</v>
      </c>
      <c r="F6743" s="10" t="s">
        <v>1019</v>
      </c>
      <c r="G6743" s="10" t="s">
        <v>6352</v>
      </c>
      <c r="H6743" s="11">
        <v>41913</v>
      </c>
      <c r="I6743" s="10">
        <v>2014</v>
      </c>
      <c r="J6743" s="10" t="s">
        <v>32699</v>
      </c>
      <c r="K6743" s="10">
        <v>73</v>
      </c>
      <c r="L6743" s="10" t="s">
        <v>32700</v>
      </c>
      <c r="M6743" s="10">
        <v>1</v>
      </c>
      <c r="N6743" s="10" t="s">
        <v>2617</v>
      </c>
      <c r="O6743" s="10">
        <v>11.3</v>
      </c>
      <c r="P6743" s="10" t="s">
        <v>32701</v>
      </c>
      <c r="Q6743" s="10"/>
      <c r="R6743" s="10" t="s">
        <v>28640</v>
      </c>
      <c r="S6743" s="10" t="s">
        <v>53</v>
      </c>
      <c r="T6743" s="10" t="s">
        <v>54</v>
      </c>
    </row>
    <row r="6744" spans="1:20" ht="14.5" x14ac:dyDescent="0.35">
      <c r="A6744" s="10" t="s">
        <v>32702</v>
      </c>
      <c r="B6744" s="10" t="str">
        <f>"9781784415792"</f>
        <v>9781784415792</v>
      </c>
      <c r="C6744" s="10" t="str">
        <f>"9781784415808"</f>
        <v>9781784415808</v>
      </c>
      <c r="D6744" s="10" t="s">
        <v>8699</v>
      </c>
      <c r="E6744" s="10" t="s">
        <v>32699</v>
      </c>
      <c r="F6744" s="10" t="s">
        <v>1019</v>
      </c>
      <c r="G6744" s="10" t="s">
        <v>6352</v>
      </c>
      <c r="H6744" s="11">
        <v>41913</v>
      </c>
      <c r="I6744" s="10">
        <v>2014</v>
      </c>
      <c r="J6744" s="10" t="s">
        <v>32699</v>
      </c>
      <c r="K6744" s="10">
        <v>93</v>
      </c>
      <c r="L6744" s="10" t="s">
        <v>32703</v>
      </c>
      <c r="M6744" s="10">
        <v>1</v>
      </c>
      <c r="N6744" s="10" t="s">
        <v>32704</v>
      </c>
      <c r="O6744" s="10">
        <v>4.3</v>
      </c>
      <c r="P6744" s="10" t="s">
        <v>32705</v>
      </c>
      <c r="Q6744" s="10"/>
      <c r="R6744" s="10" t="s">
        <v>32706</v>
      </c>
      <c r="S6744" s="10" t="s">
        <v>53</v>
      </c>
      <c r="T6744" s="10" t="s">
        <v>6660</v>
      </c>
    </row>
    <row r="6745" spans="1:20" ht="14.5" x14ac:dyDescent="0.35">
      <c r="A6745" s="10" t="s">
        <v>32707</v>
      </c>
      <c r="B6745" s="10" t="str">
        <f>"9781563680359"</f>
        <v>9781563680359</v>
      </c>
      <c r="C6745" s="10" t="str">
        <f>"9781563682025"</f>
        <v>9781563682025</v>
      </c>
      <c r="D6745" s="10" t="s">
        <v>263</v>
      </c>
      <c r="E6745" s="10" t="s">
        <v>263</v>
      </c>
      <c r="F6745" s="10" t="s">
        <v>11765</v>
      </c>
      <c r="G6745" s="10" t="s">
        <v>6317</v>
      </c>
      <c r="H6745" s="11">
        <v>34759</v>
      </c>
      <c r="I6745" s="10">
        <v>1995</v>
      </c>
      <c r="J6745" s="10" t="s">
        <v>263</v>
      </c>
      <c r="K6745" s="10">
        <v>266</v>
      </c>
      <c r="L6745" s="10" t="s">
        <v>32708</v>
      </c>
      <c r="M6745" s="10">
        <v>1</v>
      </c>
      <c r="N6745" s="10"/>
      <c r="O6745" s="10"/>
      <c r="P6745" s="10" t="s">
        <v>32709</v>
      </c>
      <c r="Q6745" s="10" t="s">
        <v>32710</v>
      </c>
      <c r="R6745" s="10"/>
      <c r="S6745" s="10" t="s">
        <v>53</v>
      </c>
      <c r="T6745" s="10" t="s">
        <v>6526</v>
      </c>
    </row>
    <row r="6746" spans="1:20" ht="14.5" x14ac:dyDescent="0.35">
      <c r="A6746" s="10" t="s">
        <v>32711</v>
      </c>
      <c r="B6746" s="10" t="str">
        <f>"9780930323325"</f>
        <v>9780930323325</v>
      </c>
      <c r="C6746" s="10" t="str">
        <f>"9781563681806"</f>
        <v>9781563681806</v>
      </c>
      <c r="D6746" s="10" t="s">
        <v>263</v>
      </c>
      <c r="E6746" s="10" t="s">
        <v>263</v>
      </c>
      <c r="F6746" s="10" t="s">
        <v>11765</v>
      </c>
      <c r="G6746" s="10" t="s">
        <v>6317</v>
      </c>
      <c r="H6746" s="11">
        <v>31199</v>
      </c>
      <c r="I6746" s="10">
        <v>1985</v>
      </c>
      <c r="J6746" s="10" t="s">
        <v>263</v>
      </c>
      <c r="K6746" s="10">
        <v>163</v>
      </c>
      <c r="L6746" s="10" t="s">
        <v>32712</v>
      </c>
      <c r="M6746" s="10">
        <v>1</v>
      </c>
      <c r="N6746" s="10"/>
      <c r="O6746" s="10"/>
      <c r="P6746" s="10" t="s">
        <v>32713</v>
      </c>
      <c r="Q6746" s="10" t="s">
        <v>32714</v>
      </c>
      <c r="R6746" s="10"/>
      <c r="S6746" s="10" t="s">
        <v>53</v>
      </c>
      <c r="T6746" s="10" t="s">
        <v>6526</v>
      </c>
    </row>
    <row r="6747" spans="1:20" ht="14.5" x14ac:dyDescent="0.35">
      <c r="A6747" s="10" t="s">
        <v>32715</v>
      </c>
      <c r="B6747" s="10" t="str">
        <f>"9780913580912"</f>
        <v>9780913580912</v>
      </c>
      <c r="C6747" s="10" t="str">
        <f>"9781563681578"</f>
        <v>9781563681578</v>
      </c>
      <c r="D6747" s="10" t="s">
        <v>263</v>
      </c>
      <c r="E6747" s="10" t="s">
        <v>263</v>
      </c>
      <c r="F6747" s="10" t="s">
        <v>88</v>
      </c>
      <c r="G6747" s="10" t="s">
        <v>6317</v>
      </c>
      <c r="H6747" s="11">
        <v>30926</v>
      </c>
      <c r="I6747" s="10">
        <v>1984</v>
      </c>
      <c r="J6747" s="10" t="s">
        <v>263</v>
      </c>
      <c r="K6747" s="10">
        <v>246</v>
      </c>
      <c r="L6747" s="10" t="s">
        <v>32716</v>
      </c>
      <c r="M6747" s="10">
        <v>1</v>
      </c>
      <c r="N6747" s="10"/>
      <c r="O6747" s="10"/>
      <c r="P6747" s="10" t="s">
        <v>32717</v>
      </c>
      <c r="Q6747" s="10" t="s">
        <v>32718</v>
      </c>
      <c r="R6747" s="10" t="s">
        <v>32719</v>
      </c>
      <c r="S6747" s="10" t="s">
        <v>53</v>
      </c>
      <c r="T6747" s="10" t="s">
        <v>6616</v>
      </c>
    </row>
    <row r="6748" spans="1:20" ht="14.5" x14ac:dyDescent="0.35">
      <c r="A6748" s="10" t="s">
        <v>32720</v>
      </c>
      <c r="B6748" s="10" t="str">
        <f>"9781563681363"</f>
        <v>9781563681363</v>
      </c>
      <c r="C6748" s="10" t="str">
        <f>"9781563682612"</f>
        <v>9781563682612</v>
      </c>
      <c r="D6748" s="10" t="s">
        <v>263</v>
      </c>
      <c r="E6748" s="10" t="s">
        <v>263</v>
      </c>
      <c r="F6748" s="10" t="s">
        <v>88</v>
      </c>
      <c r="G6748" s="10" t="s">
        <v>6317</v>
      </c>
      <c r="H6748" s="11">
        <v>37712</v>
      </c>
      <c r="I6748" s="10">
        <v>2003</v>
      </c>
      <c r="J6748" s="10" t="s">
        <v>263</v>
      </c>
      <c r="K6748" s="10">
        <v>238</v>
      </c>
      <c r="L6748" s="10" t="s">
        <v>32721</v>
      </c>
      <c r="M6748" s="10">
        <v>1</v>
      </c>
      <c r="N6748" s="10"/>
      <c r="O6748" s="10"/>
      <c r="P6748" s="10" t="s">
        <v>32722</v>
      </c>
      <c r="Q6748" s="10" t="s">
        <v>9875</v>
      </c>
      <c r="R6748" s="10" t="s">
        <v>32723</v>
      </c>
      <c r="S6748" s="10" t="s">
        <v>53</v>
      </c>
      <c r="T6748" s="10" t="s">
        <v>6472</v>
      </c>
    </row>
    <row r="6749" spans="1:20" ht="14.5" x14ac:dyDescent="0.35">
      <c r="A6749" s="10" t="s">
        <v>32724</v>
      </c>
      <c r="B6749" s="10" t="str">
        <f>"9781563683008"</f>
        <v>9781563683008</v>
      </c>
      <c r="C6749" s="10" t="str">
        <f>"9781563683251"</f>
        <v>9781563683251</v>
      </c>
      <c r="D6749" s="10" t="s">
        <v>263</v>
      </c>
      <c r="E6749" s="10" t="s">
        <v>263</v>
      </c>
      <c r="F6749" s="10" t="s">
        <v>11765</v>
      </c>
      <c r="G6749" s="10" t="s">
        <v>6317</v>
      </c>
      <c r="H6749" s="11">
        <v>38107</v>
      </c>
      <c r="I6749" s="10">
        <v>2004</v>
      </c>
      <c r="J6749" s="10" t="s">
        <v>263</v>
      </c>
      <c r="K6749" s="10">
        <v>231</v>
      </c>
      <c r="L6749" s="10" t="s">
        <v>32725</v>
      </c>
      <c r="M6749" s="10">
        <v>1</v>
      </c>
      <c r="N6749" s="10" t="s">
        <v>32726</v>
      </c>
      <c r="O6749" s="10">
        <v>1</v>
      </c>
      <c r="P6749" s="10" t="s">
        <v>32727</v>
      </c>
      <c r="Q6749" s="10"/>
      <c r="R6749" s="10" t="s">
        <v>32728</v>
      </c>
      <c r="S6749" s="10" t="s">
        <v>53</v>
      </c>
      <c r="T6749" s="10" t="s">
        <v>6363</v>
      </c>
    </row>
    <row r="6750" spans="1:20" ht="14.5" x14ac:dyDescent="0.35">
      <c r="A6750" s="10" t="s">
        <v>32729</v>
      </c>
      <c r="B6750" s="10" t="str">
        <f>"9781563686078"</f>
        <v>9781563686078</v>
      </c>
      <c r="C6750" s="10" t="str">
        <f>"9781563686085"</f>
        <v>9781563686085</v>
      </c>
      <c r="D6750" s="10" t="s">
        <v>263</v>
      </c>
      <c r="E6750" s="10" t="s">
        <v>263</v>
      </c>
      <c r="F6750" s="10" t="s">
        <v>11765</v>
      </c>
      <c r="G6750" s="10" t="s">
        <v>6317</v>
      </c>
      <c r="H6750" s="11">
        <v>41774</v>
      </c>
      <c r="I6750" s="10">
        <v>2014</v>
      </c>
      <c r="J6750" s="10" t="s">
        <v>263</v>
      </c>
      <c r="K6750" s="10">
        <v>171</v>
      </c>
      <c r="L6750" s="10" t="s">
        <v>32730</v>
      </c>
      <c r="M6750" s="10">
        <v>1</v>
      </c>
      <c r="N6750" s="10"/>
      <c r="O6750" s="10"/>
      <c r="P6750" s="10" t="s">
        <v>32731</v>
      </c>
      <c r="Q6750" s="10" t="s">
        <v>32732</v>
      </c>
      <c r="R6750" s="10" t="s">
        <v>32733</v>
      </c>
      <c r="S6750" s="10" t="s">
        <v>53</v>
      </c>
      <c r="T6750" s="10" t="s">
        <v>6526</v>
      </c>
    </row>
    <row r="6751" spans="1:20" ht="14.5" x14ac:dyDescent="0.35">
      <c r="A6751" s="10" t="s">
        <v>32734</v>
      </c>
      <c r="B6751" s="10" t="str">
        <f>""</f>
        <v/>
      </c>
      <c r="C6751" s="10" t="str">
        <f>"9788189940393"</f>
        <v>9788189940393</v>
      </c>
      <c r="D6751" s="10" t="s">
        <v>17302</v>
      </c>
      <c r="E6751" s="10" t="s">
        <v>17302</v>
      </c>
      <c r="F6751" s="10" t="s">
        <v>17310</v>
      </c>
      <c r="G6751" s="10" t="s">
        <v>13425</v>
      </c>
      <c r="H6751" s="11">
        <v>39052</v>
      </c>
      <c r="I6751" s="10">
        <v>2007</v>
      </c>
      <c r="J6751" s="10" t="s">
        <v>17302</v>
      </c>
      <c r="K6751" s="10">
        <v>69</v>
      </c>
      <c r="L6751" s="10" t="s">
        <v>32735</v>
      </c>
      <c r="M6751" s="10"/>
      <c r="N6751" s="10"/>
      <c r="O6751" s="10"/>
      <c r="P6751" s="10" t="s">
        <v>32736</v>
      </c>
      <c r="Q6751" s="10"/>
      <c r="R6751" s="10" t="s">
        <v>32737</v>
      </c>
      <c r="S6751" s="10" t="s">
        <v>53</v>
      </c>
      <c r="T6751" s="10" t="s">
        <v>6363</v>
      </c>
    </row>
    <row r="6752" spans="1:20" ht="14.5" x14ac:dyDescent="0.35">
      <c r="A6752" s="10" t="s">
        <v>32738</v>
      </c>
      <c r="B6752" s="10" t="str">
        <f>"9788189645038"</f>
        <v>9788189645038</v>
      </c>
      <c r="C6752" s="10" t="str">
        <f>""</f>
        <v/>
      </c>
      <c r="D6752" s="10" t="s">
        <v>17302</v>
      </c>
      <c r="E6752" s="10" t="s">
        <v>17302</v>
      </c>
      <c r="F6752" s="10" t="s">
        <v>17310</v>
      </c>
      <c r="G6752" s="10" t="s">
        <v>13425</v>
      </c>
      <c r="H6752" s="11">
        <v>38687</v>
      </c>
      <c r="I6752" s="10">
        <v>2006</v>
      </c>
      <c r="J6752" s="10" t="s">
        <v>17309</v>
      </c>
      <c r="K6752" s="10">
        <v>393</v>
      </c>
      <c r="L6752" s="10" t="s">
        <v>32739</v>
      </c>
      <c r="M6752" s="10"/>
      <c r="N6752" s="10"/>
      <c r="O6752" s="10"/>
      <c r="P6752" s="10" t="s">
        <v>32740</v>
      </c>
      <c r="Q6752" s="10"/>
      <c r="R6752" s="10" t="s">
        <v>16762</v>
      </c>
      <c r="S6752" s="10" t="s">
        <v>53</v>
      </c>
      <c r="T6752" s="10" t="s">
        <v>54</v>
      </c>
    </row>
    <row r="6753" spans="1:20" ht="14.5" x14ac:dyDescent="0.35">
      <c r="A6753" s="10" t="s">
        <v>32741</v>
      </c>
      <c r="B6753" s="10" t="str">
        <f>"9788189645045"</f>
        <v>9788189645045</v>
      </c>
      <c r="C6753" s="10" t="str">
        <f>""</f>
        <v/>
      </c>
      <c r="D6753" s="10" t="s">
        <v>17302</v>
      </c>
      <c r="E6753" s="10" t="s">
        <v>17302</v>
      </c>
      <c r="F6753" s="10" t="s">
        <v>17310</v>
      </c>
      <c r="G6753" s="10" t="s">
        <v>13425</v>
      </c>
      <c r="H6753" s="11">
        <v>38687</v>
      </c>
      <c r="I6753" s="10">
        <v>2006</v>
      </c>
      <c r="J6753" s="10" t="s">
        <v>17309</v>
      </c>
      <c r="K6753" s="10">
        <v>351</v>
      </c>
      <c r="L6753" s="10" t="s">
        <v>32742</v>
      </c>
      <c r="M6753" s="10"/>
      <c r="N6753" s="10"/>
      <c r="O6753" s="10"/>
      <c r="P6753" s="10" t="s">
        <v>32743</v>
      </c>
      <c r="Q6753" s="10"/>
      <c r="R6753" s="10" t="s">
        <v>32744</v>
      </c>
      <c r="S6753" s="10" t="s">
        <v>53</v>
      </c>
      <c r="T6753" s="10" t="s">
        <v>54</v>
      </c>
    </row>
    <row r="6754" spans="1:20" ht="14.5" x14ac:dyDescent="0.35">
      <c r="A6754" s="10" t="s">
        <v>32745</v>
      </c>
      <c r="B6754" s="10" t="str">
        <f>"9788189645052"</f>
        <v>9788189645052</v>
      </c>
      <c r="C6754" s="10" t="str">
        <f>""</f>
        <v/>
      </c>
      <c r="D6754" s="10" t="s">
        <v>17302</v>
      </c>
      <c r="E6754" s="10" t="s">
        <v>17302</v>
      </c>
      <c r="F6754" s="10" t="s">
        <v>17310</v>
      </c>
      <c r="G6754" s="10" t="s">
        <v>13425</v>
      </c>
      <c r="H6754" s="11">
        <v>38687</v>
      </c>
      <c r="I6754" s="10">
        <v>2006</v>
      </c>
      <c r="J6754" s="10" t="s">
        <v>17309</v>
      </c>
      <c r="K6754" s="10">
        <v>361</v>
      </c>
      <c r="L6754" s="10" t="s">
        <v>32742</v>
      </c>
      <c r="M6754" s="10"/>
      <c r="N6754" s="10"/>
      <c r="O6754" s="10"/>
      <c r="P6754" s="10" t="s">
        <v>32743</v>
      </c>
      <c r="Q6754" s="10"/>
      <c r="R6754" s="10" t="s">
        <v>32744</v>
      </c>
      <c r="S6754" s="10" t="s">
        <v>53</v>
      </c>
      <c r="T6754" s="10" t="s">
        <v>54</v>
      </c>
    </row>
    <row r="6755" spans="1:20" ht="14.5" x14ac:dyDescent="0.35">
      <c r="A6755" s="10" t="s">
        <v>32746</v>
      </c>
      <c r="B6755" s="10" t="str">
        <f>"9788189645168"</f>
        <v>9788189645168</v>
      </c>
      <c r="C6755" s="10" t="str">
        <f>""</f>
        <v/>
      </c>
      <c r="D6755" s="10" t="s">
        <v>17302</v>
      </c>
      <c r="E6755" s="10" t="s">
        <v>17302</v>
      </c>
      <c r="F6755" s="10" t="s">
        <v>17310</v>
      </c>
      <c r="G6755" s="10" t="s">
        <v>13425</v>
      </c>
      <c r="H6755" s="11">
        <v>38687</v>
      </c>
      <c r="I6755" s="10">
        <v>2006</v>
      </c>
      <c r="J6755" s="10" t="s">
        <v>17309</v>
      </c>
      <c r="K6755" s="10">
        <v>423</v>
      </c>
      <c r="L6755" s="10" t="s">
        <v>32747</v>
      </c>
      <c r="M6755" s="10"/>
      <c r="N6755" s="10"/>
      <c r="O6755" s="10"/>
      <c r="P6755" s="10" t="s">
        <v>32748</v>
      </c>
      <c r="Q6755" s="10"/>
      <c r="R6755" s="10" t="s">
        <v>17321</v>
      </c>
      <c r="S6755" s="10" t="s">
        <v>53</v>
      </c>
      <c r="T6755" s="10" t="s">
        <v>54</v>
      </c>
    </row>
    <row r="6756" spans="1:20" ht="14.5" x14ac:dyDescent="0.35">
      <c r="A6756" s="10" t="s">
        <v>32749</v>
      </c>
      <c r="B6756" s="10" t="str">
        <f>"9789350245439"</f>
        <v>9789350245439</v>
      </c>
      <c r="C6756" s="10" t="str">
        <f>"9781642875683"</f>
        <v>9781642875683</v>
      </c>
      <c r="D6756" s="10" t="s">
        <v>17302</v>
      </c>
      <c r="E6756" s="10" t="s">
        <v>17302</v>
      </c>
      <c r="F6756" s="10" t="s">
        <v>1811</v>
      </c>
      <c r="G6756" s="10" t="s">
        <v>13425</v>
      </c>
      <c r="H6756" s="11">
        <v>40148</v>
      </c>
      <c r="I6756" s="10">
        <v>2010</v>
      </c>
      <c r="J6756" s="10" t="s">
        <v>17303</v>
      </c>
      <c r="K6756" s="10">
        <v>197</v>
      </c>
      <c r="L6756" s="10" t="s">
        <v>32750</v>
      </c>
      <c r="M6756" s="10"/>
      <c r="N6756" s="10"/>
      <c r="O6756" s="10"/>
      <c r="P6756" s="10" t="s">
        <v>32751</v>
      </c>
      <c r="Q6756" s="10"/>
      <c r="R6756" s="10" t="s">
        <v>32752</v>
      </c>
      <c r="S6756" s="10" t="s">
        <v>53</v>
      </c>
      <c r="T6756" s="10" t="s">
        <v>54</v>
      </c>
    </row>
    <row r="6757" spans="1:20" ht="14.5" x14ac:dyDescent="0.35">
      <c r="A6757" s="10" t="s">
        <v>1575</v>
      </c>
      <c r="B6757" s="10" t="str">
        <f>"9788189645137"</f>
        <v>9788189645137</v>
      </c>
      <c r="C6757" s="10" t="str">
        <f>""</f>
        <v/>
      </c>
      <c r="D6757" s="10" t="s">
        <v>17302</v>
      </c>
      <c r="E6757" s="10" t="s">
        <v>17302</v>
      </c>
      <c r="F6757" s="10" t="s">
        <v>17310</v>
      </c>
      <c r="G6757" s="10" t="s">
        <v>13425</v>
      </c>
      <c r="H6757" s="11">
        <v>38687</v>
      </c>
      <c r="I6757" s="10">
        <v>2006</v>
      </c>
      <c r="J6757" s="10" t="s">
        <v>17309</v>
      </c>
      <c r="K6757" s="10">
        <v>353</v>
      </c>
      <c r="L6757" s="10" t="s">
        <v>17323</v>
      </c>
      <c r="M6757" s="10"/>
      <c r="N6757" s="10"/>
      <c r="O6757" s="10"/>
      <c r="P6757" s="10" t="s">
        <v>32753</v>
      </c>
      <c r="Q6757" s="10"/>
      <c r="R6757" s="10" t="s">
        <v>32754</v>
      </c>
      <c r="S6757" s="10" t="s">
        <v>53</v>
      </c>
      <c r="T6757" s="10" t="s">
        <v>54</v>
      </c>
    </row>
    <row r="6758" spans="1:20" ht="14.5" x14ac:dyDescent="0.35">
      <c r="A6758" s="10" t="s">
        <v>32755</v>
      </c>
      <c r="B6758" s="10" t="str">
        <f>"9788189645007"</f>
        <v>9788189645007</v>
      </c>
      <c r="C6758" s="10" t="str">
        <f>"9781642875768"</f>
        <v>9781642875768</v>
      </c>
      <c r="D6758" s="10" t="s">
        <v>17302</v>
      </c>
      <c r="E6758" s="10" t="s">
        <v>17302</v>
      </c>
      <c r="F6758" s="10" t="s">
        <v>17310</v>
      </c>
      <c r="G6758" s="10" t="s">
        <v>13425</v>
      </c>
      <c r="H6758" s="11">
        <v>38687</v>
      </c>
      <c r="I6758" s="10">
        <v>2006</v>
      </c>
      <c r="J6758" s="10" t="s">
        <v>17309</v>
      </c>
      <c r="K6758" s="10">
        <v>402</v>
      </c>
      <c r="L6758" s="10" t="s">
        <v>17323</v>
      </c>
      <c r="M6758" s="10"/>
      <c r="N6758" s="10"/>
      <c r="O6758" s="10"/>
      <c r="P6758" s="10" t="s">
        <v>32756</v>
      </c>
      <c r="Q6758" s="10"/>
      <c r="R6758" s="10" t="s">
        <v>13858</v>
      </c>
      <c r="S6758" s="10" t="s">
        <v>53</v>
      </c>
      <c r="T6758" s="10" t="s">
        <v>54</v>
      </c>
    </row>
    <row r="6759" spans="1:20" ht="14.5" x14ac:dyDescent="0.35">
      <c r="A6759" s="10" t="s">
        <v>1903</v>
      </c>
      <c r="B6759" s="10" t="str">
        <f>"9788189645014"</f>
        <v>9788189645014</v>
      </c>
      <c r="C6759" s="10" t="str">
        <f>"9781642875775"</f>
        <v>9781642875775</v>
      </c>
      <c r="D6759" s="10" t="s">
        <v>17302</v>
      </c>
      <c r="E6759" s="10" t="s">
        <v>17302</v>
      </c>
      <c r="F6759" s="10" t="s">
        <v>17310</v>
      </c>
      <c r="G6759" s="10" t="s">
        <v>13425</v>
      </c>
      <c r="H6759" s="11">
        <v>38687</v>
      </c>
      <c r="I6759" s="10">
        <v>2006</v>
      </c>
      <c r="J6759" s="10" t="s">
        <v>17309</v>
      </c>
      <c r="K6759" s="10">
        <v>373</v>
      </c>
      <c r="L6759" s="10" t="s">
        <v>32757</v>
      </c>
      <c r="M6759" s="10"/>
      <c r="N6759" s="10"/>
      <c r="O6759" s="10"/>
      <c r="P6759" s="10" t="s">
        <v>32758</v>
      </c>
      <c r="Q6759" s="10"/>
      <c r="R6759" s="10" t="s">
        <v>19020</v>
      </c>
      <c r="S6759" s="10" t="s">
        <v>53</v>
      </c>
      <c r="T6759" s="10" t="s">
        <v>54</v>
      </c>
    </row>
    <row r="6760" spans="1:20" ht="14.5" x14ac:dyDescent="0.35">
      <c r="A6760" s="10" t="s">
        <v>32759</v>
      </c>
      <c r="B6760" s="10" t="str">
        <f>"9789350243862"</f>
        <v>9789350243862</v>
      </c>
      <c r="C6760" s="10" t="str">
        <f>"9789350432808"</f>
        <v>9789350432808</v>
      </c>
      <c r="D6760" s="10" t="s">
        <v>17302</v>
      </c>
      <c r="E6760" s="10" t="s">
        <v>17302</v>
      </c>
      <c r="F6760" s="10" t="s">
        <v>1811</v>
      </c>
      <c r="G6760" s="10" t="s">
        <v>13425</v>
      </c>
      <c r="H6760" s="11">
        <v>40148</v>
      </c>
      <c r="I6760" s="10">
        <v>2010</v>
      </c>
      <c r="J6760" s="10" t="s">
        <v>17303</v>
      </c>
      <c r="K6760" s="10">
        <v>345</v>
      </c>
      <c r="L6760" s="10" t="s">
        <v>32760</v>
      </c>
      <c r="M6760" s="10"/>
      <c r="N6760" s="10"/>
      <c r="O6760" s="10"/>
      <c r="P6760" s="10" t="s">
        <v>32761</v>
      </c>
      <c r="Q6760" s="10"/>
      <c r="R6760" s="10" t="s">
        <v>27179</v>
      </c>
      <c r="S6760" s="10" t="s">
        <v>53</v>
      </c>
      <c r="T6760" s="10" t="s">
        <v>54</v>
      </c>
    </row>
    <row r="6761" spans="1:20" ht="14.5" x14ac:dyDescent="0.35">
      <c r="A6761" s="10" t="s">
        <v>32762</v>
      </c>
      <c r="B6761" s="10" t="str">
        <f>"9788189645021"</f>
        <v>9788189645021</v>
      </c>
      <c r="C6761" s="10" t="str">
        <f>""</f>
        <v/>
      </c>
      <c r="D6761" s="10" t="s">
        <v>17302</v>
      </c>
      <c r="E6761" s="10" t="s">
        <v>17302</v>
      </c>
      <c r="F6761" s="10" t="s">
        <v>17310</v>
      </c>
      <c r="G6761" s="10" t="s">
        <v>13425</v>
      </c>
      <c r="H6761" s="11">
        <v>38687</v>
      </c>
      <c r="I6761" s="10">
        <v>2006</v>
      </c>
      <c r="J6761" s="10" t="s">
        <v>17309</v>
      </c>
      <c r="K6761" s="10">
        <v>393</v>
      </c>
      <c r="L6761" s="10" t="s">
        <v>17319</v>
      </c>
      <c r="M6761" s="10"/>
      <c r="N6761" s="10"/>
      <c r="O6761" s="10"/>
      <c r="P6761" s="10" t="s">
        <v>32763</v>
      </c>
      <c r="Q6761" s="10"/>
      <c r="R6761" s="10" t="s">
        <v>13858</v>
      </c>
      <c r="S6761" s="10" t="s">
        <v>53</v>
      </c>
      <c r="T6761" s="10" t="s">
        <v>54</v>
      </c>
    </row>
    <row r="6762" spans="1:20" ht="14.5" x14ac:dyDescent="0.35">
      <c r="A6762" s="10" t="s">
        <v>32764</v>
      </c>
      <c r="B6762" s="10" t="str">
        <f>"9789622097452"</f>
        <v>9789622097452</v>
      </c>
      <c r="C6762" s="10" t="str">
        <f>"9789882201156"</f>
        <v>9789882201156</v>
      </c>
      <c r="D6762" s="10" t="s">
        <v>18250</v>
      </c>
      <c r="E6762" s="10" t="s">
        <v>18250</v>
      </c>
      <c r="F6762" s="10" t="s">
        <v>535</v>
      </c>
      <c r="G6762" s="10" t="s">
        <v>18251</v>
      </c>
      <c r="H6762" s="11">
        <v>38657</v>
      </c>
      <c r="I6762" s="10">
        <v>2005</v>
      </c>
      <c r="J6762" s="10" t="s">
        <v>18250</v>
      </c>
      <c r="K6762" s="10">
        <v>263</v>
      </c>
      <c r="L6762" s="10" t="s">
        <v>32765</v>
      </c>
      <c r="M6762" s="10">
        <v>1</v>
      </c>
      <c r="N6762" s="10"/>
      <c r="O6762" s="10"/>
      <c r="P6762" s="10" t="s">
        <v>32766</v>
      </c>
      <c r="Q6762" s="10">
        <v>370.95125000000002</v>
      </c>
      <c r="R6762" s="10" t="s">
        <v>32767</v>
      </c>
      <c r="S6762" s="10" t="s">
        <v>53</v>
      </c>
      <c r="T6762" s="10" t="s">
        <v>54</v>
      </c>
    </row>
    <row r="6763" spans="1:20" ht="14.5" x14ac:dyDescent="0.35">
      <c r="A6763" s="10" t="s">
        <v>32768</v>
      </c>
      <c r="B6763" s="10" t="str">
        <f>"9789622099975"</f>
        <v>9789622099975</v>
      </c>
      <c r="C6763" s="10" t="str">
        <f>"9789888053629"</f>
        <v>9789888053629</v>
      </c>
      <c r="D6763" s="10" t="s">
        <v>18250</v>
      </c>
      <c r="E6763" s="10" t="s">
        <v>18250</v>
      </c>
      <c r="F6763" s="10" t="s">
        <v>535</v>
      </c>
      <c r="G6763" s="10" t="s">
        <v>18251</v>
      </c>
      <c r="H6763" s="11">
        <v>40118</v>
      </c>
      <c r="I6763" s="10">
        <v>2009</v>
      </c>
      <c r="J6763" s="10" t="s">
        <v>18250</v>
      </c>
      <c r="K6763" s="10">
        <v>428</v>
      </c>
      <c r="L6763" s="10" t="s">
        <v>32769</v>
      </c>
      <c r="M6763" s="10">
        <v>1</v>
      </c>
      <c r="N6763" s="10"/>
      <c r="O6763" s="10"/>
      <c r="P6763" s="10" t="s">
        <v>32770</v>
      </c>
      <c r="Q6763" s="10"/>
      <c r="R6763" s="10" t="s">
        <v>32771</v>
      </c>
      <c r="S6763" s="10" t="s">
        <v>53</v>
      </c>
      <c r="T6763" s="10" t="s">
        <v>54</v>
      </c>
    </row>
    <row r="6764" spans="1:20" ht="14.5" x14ac:dyDescent="0.35">
      <c r="A6764" s="10" t="s">
        <v>32772</v>
      </c>
      <c r="B6764" s="10" t="str">
        <f>"9789888139026"</f>
        <v>9789888139026</v>
      </c>
      <c r="C6764" s="10" t="str">
        <f>"9789882208872"</f>
        <v>9789882208872</v>
      </c>
      <c r="D6764" s="10" t="s">
        <v>18250</v>
      </c>
      <c r="E6764" s="10" t="s">
        <v>18250</v>
      </c>
      <c r="F6764" s="10" t="s">
        <v>535</v>
      </c>
      <c r="G6764" s="10" t="s">
        <v>18251</v>
      </c>
      <c r="H6764" s="11">
        <v>41069</v>
      </c>
      <c r="I6764" s="10">
        <v>2012</v>
      </c>
      <c r="J6764" s="10" t="s">
        <v>18250</v>
      </c>
      <c r="K6764" s="10">
        <v>299</v>
      </c>
      <c r="L6764" s="10" t="s">
        <v>32773</v>
      </c>
      <c r="M6764" s="10">
        <v>1</v>
      </c>
      <c r="N6764" s="10"/>
      <c r="O6764" s="10"/>
      <c r="P6764" s="10" t="s">
        <v>32774</v>
      </c>
      <c r="Q6764" s="10"/>
      <c r="R6764" s="10" t="s">
        <v>32775</v>
      </c>
      <c r="S6764" s="10" t="s">
        <v>53</v>
      </c>
      <c r="T6764" s="10" t="s">
        <v>54</v>
      </c>
    </row>
    <row r="6765" spans="1:20" ht="14.5" x14ac:dyDescent="0.35">
      <c r="A6765" s="10" t="s">
        <v>32776</v>
      </c>
      <c r="B6765" s="10" t="str">
        <f>"9781841507422"</f>
        <v>9781841507422</v>
      </c>
      <c r="C6765" s="10" t="str">
        <f>"9781783201198"</f>
        <v>9781783201198</v>
      </c>
      <c r="D6765" s="10" t="s">
        <v>9533</v>
      </c>
      <c r="E6765" s="10" t="s">
        <v>10235</v>
      </c>
      <c r="F6765" s="10" t="s">
        <v>10236</v>
      </c>
      <c r="G6765" s="10" t="s">
        <v>6352</v>
      </c>
      <c r="H6765" s="11">
        <v>41593</v>
      </c>
      <c r="I6765" s="10">
        <v>2013</v>
      </c>
      <c r="J6765" s="10" t="s">
        <v>10235</v>
      </c>
      <c r="K6765" s="10">
        <v>304</v>
      </c>
      <c r="L6765" s="10" t="s">
        <v>32777</v>
      </c>
      <c r="M6765" s="10">
        <v>1</v>
      </c>
      <c r="N6765" s="10"/>
      <c r="O6765" s="10"/>
      <c r="P6765" s="10" t="s">
        <v>32778</v>
      </c>
      <c r="Q6765" s="10">
        <v>375.00094000000001</v>
      </c>
      <c r="R6765" s="10" t="s">
        <v>32779</v>
      </c>
      <c r="S6765" s="10" t="s">
        <v>53</v>
      </c>
      <c r="T6765" s="10" t="s">
        <v>54</v>
      </c>
    </row>
    <row r="6766" spans="1:20" ht="14.5" x14ac:dyDescent="0.35">
      <c r="A6766" s="10" t="s">
        <v>32780</v>
      </c>
      <c r="B6766" s="10" t="str">
        <f>"9780817939212"</f>
        <v>9780817939212</v>
      </c>
      <c r="C6766" s="10" t="str">
        <f>"9780817939281"</f>
        <v>9780817939281</v>
      </c>
      <c r="D6766" s="10" t="s">
        <v>9215</v>
      </c>
      <c r="E6766" s="10" t="s">
        <v>26180</v>
      </c>
      <c r="F6766" s="10" t="s">
        <v>26185</v>
      </c>
      <c r="G6766" s="10" t="s">
        <v>6317</v>
      </c>
      <c r="H6766" s="11">
        <v>41579</v>
      </c>
      <c r="I6766" s="10">
        <v>2013</v>
      </c>
      <c r="J6766" s="10" t="s">
        <v>32781</v>
      </c>
      <c r="K6766" s="10">
        <v>400</v>
      </c>
      <c r="L6766" s="10" t="s">
        <v>32782</v>
      </c>
      <c r="M6766" s="10">
        <v>1</v>
      </c>
      <c r="N6766" s="10"/>
      <c r="O6766" s="10"/>
      <c r="P6766" s="10" t="s">
        <v>32783</v>
      </c>
      <c r="Q6766" s="10" t="s">
        <v>13808</v>
      </c>
      <c r="R6766" s="10" t="s">
        <v>26200</v>
      </c>
      <c r="S6766" s="10" t="s">
        <v>53</v>
      </c>
      <c r="T6766" s="10" t="s">
        <v>54</v>
      </c>
    </row>
    <row r="6767" spans="1:20" ht="14.5" x14ac:dyDescent="0.35">
      <c r="A6767" s="10" t="s">
        <v>32784</v>
      </c>
      <c r="B6767" s="10" t="str">
        <f>"9781853028304"</f>
        <v>9781853028304</v>
      </c>
      <c r="C6767" s="10" t="str">
        <f>"9781846421563"</f>
        <v>9781846421563</v>
      </c>
      <c r="D6767" s="10" t="s">
        <v>10516</v>
      </c>
      <c r="E6767" s="10" t="s">
        <v>10516</v>
      </c>
      <c r="F6767" s="10" t="s">
        <v>139</v>
      </c>
      <c r="G6767" s="10" t="s">
        <v>6352</v>
      </c>
      <c r="H6767" s="11">
        <v>36495</v>
      </c>
      <c r="I6767" s="10">
        <v>1999</v>
      </c>
      <c r="J6767" s="10" t="s">
        <v>10516</v>
      </c>
      <c r="K6767" s="10">
        <v>114</v>
      </c>
      <c r="L6767" s="10" t="s">
        <v>32785</v>
      </c>
      <c r="M6767" s="10">
        <v>1</v>
      </c>
      <c r="N6767" s="10"/>
      <c r="O6767" s="10"/>
      <c r="P6767" s="10" t="s">
        <v>32786</v>
      </c>
      <c r="Q6767" s="10">
        <v>790.19600000000003</v>
      </c>
      <c r="R6767" s="10" t="s">
        <v>32787</v>
      </c>
      <c r="S6767" s="10" t="s">
        <v>53</v>
      </c>
      <c r="T6767" s="10" t="s">
        <v>6881</v>
      </c>
    </row>
    <row r="6768" spans="1:20" ht="14.5" x14ac:dyDescent="0.35">
      <c r="A6768" s="10" t="s">
        <v>32788</v>
      </c>
      <c r="B6768" s="10" t="str">
        <f>"9781843100157"</f>
        <v>9781843100157</v>
      </c>
      <c r="C6768" s="10" t="str">
        <f>"9781846422959"</f>
        <v>9781846422959</v>
      </c>
      <c r="D6768" s="10" t="s">
        <v>10516</v>
      </c>
      <c r="E6768" s="10" t="s">
        <v>10516</v>
      </c>
      <c r="F6768" s="10" t="s">
        <v>139</v>
      </c>
      <c r="G6768" s="10" t="s">
        <v>6352</v>
      </c>
      <c r="H6768" s="11">
        <v>37148</v>
      </c>
      <c r="I6768" s="10">
        <v>2001</v>
      </c>
      <c r="J6768" s="10" t="s">
        <v>10516</v>
      </c>
      <c r="K6768" s="10">
        <v>146</v>
      </c>
      <c r="L6768" s="10" t="s">
        <v>32789</v>
      </c>
      <c r="M6768" s="10">
        <v>1</v>
      </c>
      <c r="N6768" s="10"/>
      <c r="O6768" s="10"/>
      <c r="P6768" s="10" t="s">
        <v>32790</v>
      </c>
      <c r="Q6768" s="10">
        <v>306.89999999999998</v>
      </c>
      <c r="R6768" s="10" t="s">
        <v>32791</v>
      </c>
      <c r="S6768" s="10" t="s">
        <v>53</v>
      </c>
      <c r="T6768" s="10" t="s">
        <v>10711</v>
      </c>
    </row>
    <row r="6769" spans="1:20" ht="14.5" x14ac:dyDescent="0.35">
      <c r="A6769" s="10" t="s">
        <v>32792</v>
      </c>
      <c r="B6769" s="10" t="str">
        <f>"9781853029424"</f>
        <v>9781853029424</v>
      </c>
      <c r="C6769" s="10" t="str">
        <f>"9781846423130"</f>
        <v>9781846423130</v>
      </c>
      <c r="D6769" s="10" t="s">
        <v>10516</v>
      </c>
      <c r="E6769" s="10" t="s">
        <v>10516</v>
      </c>
      <c r="F6769" s="10" t="s">
        <v>139</v>
      </c>
      <c r="G6769" s="10" t="s">
        <v>6352</v>
      </c>
      <c r="H6769" s="11">
        <v>37240</v>
      </c>
      <c r="I6769" s="10">
        <v>2001</v>
      </c>
      <c r="J6769" s="10" t="s">
        <v>10516</v>
      </c>
      <c r="K6769" s="10">
        <v>257</v>
      </c>
      <c r="L6769" s="10" t="s">
        <v>32793</v>
      </c>
      <c r="M6769" s="10">
        <v>1</v>
      </c>
      <c r="N6769" s="10"/>
      <c r="O6769" s="10"/>
      <c r="P6769" s="10" t="s">
        <v>32794</v>
      </c>
      <c r="Q6769" s="10">
        <v>371.92</v>
      </c>
      <c r="R6769" s="10" t="s">
        <v>6362</v>
      </c>
      <c r="S6769" s="10" t="s">
        <v>53</v>
      </c>
      <c r="T6769" s="10" t="s">
        <v>54</v>
      </c>
    </row>
    <row r="6770" spans="1:20" ht="14.5" x14ac:dyDescent="0.35">
      <c r="A6770" s="10" t="s">
        <v>32795</v>
      </c>
      <c r="B6770" s="10" t="str">
        <f>"9781843100379"</f>
        <v>9781843100379</v>
      </c>
      <c r="C6770" s="10" t="str">
        <f>"9781846421907"</f>
        <v>9781846421907</v>
      </c>
      <c r="D6770" s="10" t="s">
        <v>10516</v>
      </c>
      <c r="E6770" s="10" t="s">
        <v>10516</v>
      </c>
      <c r="F6770" s="10" t="s">
        <v>139</v>
      </c>
      <c r="G6770" s="10" t="s">
        <v>6352</v>
      </c>
      <c r="H6770" s="11">
        <v>37149</v>
      </c>
      <c r="I6770" s="10">
        <v>2001</v>
      </c>
      <c r="J6770" s="10" t="s">
        <v>10516</v>
      </c>
      <c r="K6770" s="10">
        <v>302</v>
      </c>
      <c r="L6770" s="10" t="s">
        <v>32796</v>
      </c>
      <c r="M6770" s="10">
        <v>1</v>
      </c>
      <c r="N6770" s="10"/>
      <c r="O6770" s="10"/>
      <c r="P6770" s="10" t="s">
        <v>32797</v>
      </c>
      <c r="Q6770" s="10" t="s">
        <v>32798</v>
      </c>
      <c r="R6770" s="10" t="s">
        <v>32799</v>
      </c>
      <c r="S6770" s="10" t="s">
        <v>53</v>
      </c>
      <c r="T6770" s="10" t="s">
        <v>8510</v>
      </c>
    </row>
    <row r="6771" spans="1:20" ht="14.5" x14ac:dyDescent="0.35">
      <c r="A6771" s="10" t="s">
        <v>32800</v>
      </c>
      <c r="B6771" s="10" t="str">
        <f>"9781907969362"</f>
        <v>9781907969362</v>
      </c>
      <c r="C6771" s="10" t="str">
        <f>"9781907969720"</f>
        <v>9781907969720</v>
      </c>
      <c r="D6771" s="10" t="s">
        <v>10516</v>
      </c>
      <c r="E6771" s="10" t="s">
        <v>10516</v>
      </c>
      <c r="F6771" s="10" t="s">
        <v>139</v>
      </c>
      <c r="G6771" s="10" t="s">
        <v>6352</v>
      </c>
      <c r="H6771" s="11">
        <v>40987</v>
      </c>
      <c r="I6771" s="10">
        <v>2012</v>
      </c>
      <c r="J6771" s="10" t="s">
        <v>28860</v>
      </c>
      <c r="K6771" s="10">
        <v>131</v>
      </c>
      <c r="L6771" s="10" t="s">
        <v>32801</v>
      </c>
      <c r="M6771" s="10">
        <v>1</v>
      </c>
      <c r="N6771" s="10"/>
      <c r="O6771" s="10"/>
      <c r="P6771" s="10" t="s">
        <v>32802</v>
      </c>
      <c r="Q6771" s="10"/>
      <c r="R6771" s="10" t="s">
        <v>32803</v>
      </c>
      <c r="S6771" s="10" t="s">
        <v>53</v>
      </c>
      <c r="T6771" s="10" t="s">
        <v>54</v>
      </c>
    </row>
    <row r="6772" spans="1:20" ht="14.5" x14ac:dyDescent="0.35">
      <c r="A6772" s="10" t="s">
        <v>32804</v>
      </c>
      <c r="B6772" s="10" t="str">
        <f>"9789027216953"</f>
        <v>9789027216953</v>
      </c>
      <c r="C6772" s="10" t="str">
        <f>"9789027297501"</f>
        <v>9789027297501</v>
      </c>
      <c r="D6772" s="10" t="s">
        <v>17335</v>
      </c>
      <c r="E6772" s="10" t="s">
        <v>17336</v>
      </c>
      <c r="F6772" s="10" t="s">
        <v>319</v>
      </c>
      <c r="G6772" s="10" t="s">
        <v>6317</v>
      </c>
      <c r="H6772" s="11">
        <v>37530</v>
      </c>
      <c r="I6772" s="10">
        <v>2002</v>
      </c>
      <c r="J6772" s="10" t="s">
        <v>17336</v>
      </c>
      <c r="K6772" s="10">
        <v>288</v>
      </c>
      <c r="L6772" s="10" t="s">
        <v>32805</v>
      </c>
      <c r="M6772" s="10">
        <v>1</v>
      </c>
      <c r="N6772" s="10"/>
      <c r="O6772" s="10"/>
      <c r="P6772" s="10" t="s">
        <v>32806</v>
      </c>
      <c r="Q6772" s="10" t="s">
        <v>32807</v>
      </c>
      <c r="R6772" s="10" t="s">
        <v>32808</v>
      </c>
      <c r="S6772" s="10" t="s">
        <v>53</v>
      </c>
      <c r="T6772" s="10" t="s">
        <v>6616</v>
      </c>
    </row>
    <row r="6773" spans="1:20" ht="14.5" x14ac:dyDescent="0.35">
      <c r="A6773" s="10" t="s">
        <v>32809</v>
      </c>
      <c r="B6773" s="10" t="str">
        <f>"9781931202282"</f>
        <v>9781931202282</v>
      </c>
      <c r="C6773" s="10" t="str">
        <f>"9781931202923"</f>
        <v>9781931202923</v>
      </c>
      <c r="D6773" s="10" t="s">
        <v>20187</v>
      </c>
      <c r="E6773" s="10" t="s">
        <v>20188</v>
      </c>
      <c r="F6773" s="10" t="s">
        <v>70</v>
      </c>
      <c r="G6773" s="10" t="s">
        <v>6317</v>
      </c>
      <c r="H6773" s="11">
        <v>37377</v>
      </c>
      <c r="I6773" s="10">
        <v>2002</v>
      </c>
      <c r="J6773" s="10" t="s">
        <v>20188</v>
      </c>
      <c r="K6773" s="10">
        <v>201</v>
      </c>
      <c r="L6773" s="10" t="s">
        <v>32810</v>
      </c>
      <c r="M6773" s="10"/>
      <c r="N6773" s="10"/>
      <c r="O6773" s="10"/>
      <c r="P6773" s="10" t="s">
        <v>32811</v>
      </c>
      <c r="Q6773" s="10" t="s">
        <v>25394</v>
      </c>
      <c r="R6773" s="10" t="s">
        <v>32812</v>
      </c>
      <c r="S6773" s="10" t="s">
        <v>53</v>
      </c>
      <c r="T6773" s="10" t="s">
        <v>54</v>
      </c>
    </row>
    <row r="6774" spans="1:20" ht="14.5" x14ac:dyDescent="0.35">
      <c r="A6774" s="10" t="s">
        <v>32813</v>
      </c>
      <c r="B6774" s="10" t="str">
        <f>"9781931202299"</f>
        <v>9781931202299</v>
      </c>
      <c r="C6774" s="10" t="str">
        <f>"9781931202961"</f>
        <v>9781931202961</v>
      </c>
      <c r="D6774" s="10" t="s">
        <v>20187</v>
      </c>
      <c r="E6774" s="10" t="s">
        <v>20188</v>
      </c>
      <c r="F6774" s="10" t="s">
        <v>70</v>
      </c>
      <c r="G6774" s="10" t="s">
        <v>6317</v>
      </c>
      <c r="H6774" s="11">
        <v>37257</v>
      </c>
      <c r="I6774" s="10">
        <v>2002</v>
      </c>
      <c r="J6774" s="10" t="s">
        <v>20188</v>
      </c>
      <c r="K6774" s="10">
        <v>296</v>
      </c>
      <c r="L6774" s="10" t="s">
        <v>32814</v>
      </c>
      <c r="M6774" s="10"/>
      <c r="N6774" s="10"/>
      <c r="O6774" s="10"/>
      <c r="P6774" s="10" t="s">
        <v>32815</v>
      </c>
      <c r="Q6774" s="10" t="s">
        <v>32816</v>
      </c>
      <c r="R6774" s="10" t="s">
        <v>32817</v>
      </c>
      <c r="S6774" s="10" t="s">
        <v>53</v>
      </c>
      <c r="T6774" s="10" t="s">
        <v>54</v>
      </c>
    </row>
    <row r="6775" spans="1:20" ht="14.5" x14ac:dyDescent="0.35">
      <c r="A6775" s="10" t="s">
        <v>32818</v>
      </c>
      <c r="B6775" s="10" t="str">
        <f>"9781931202206"</f>
        <v>9781931202206</v>
      </c>
      <c r="C6775" s="10" t="str">
        <f>"9781931202978"</f>
        <v>9781931202978</v>
      </c>
      <c r="D6775" s="10" t="s">
        <v>20187</v>
      </c>
      <c r="E6775" s="10" t="s">
        <v>20188</v>
      </c>
      <c r="F6775" s="10" t="s">
        <v>70</v>
      </c>
      <c r="G6775" s="10" t="s">
        <v>6317</v>
      </c>
      <c r="H6775" s="11">
        <v>37196</v>
      </c>
      <c r="I6775" s="10">
        <v>2001</v>
      </c>
      <c r="J6775" s="10" t="s">
        <v>20188</v>
      </c>
      <c r="K6775" s="10">
        <v>161</v>
      </c>
      <c r="L6775" s="10" t="s">
        <v>32819</v>
      </c>
      <c r="M6775" s="10"/>
      <c r="N6775" s="10"/>
      <c r="O6775" s="10"/>
      <c r="P6775" s="10" t="s">
        <v>32820</v>
      </c>
      <c r="Q6775" s="10">
        <v>305.89999999999998</v>
      </c>
      <c r="R6775" s="10" t="s">
        <v>32821</v>
      </c>
      <c r="S6775" s="10" t="s">
        <v>53</v>
      </c>
      <c r="T6775" s="10" t="s">
        <v>6472</v>
      </c>
    </row>
    <row r="6776" spans="1:20" ht="14.5" x14ac:dyDescent="0.35">
      <c r="A6776" s="10" t="s">
        <v>32822</v>
      </c>
      <c r="B6776" s="10" t="str">
        <f>"9781931202312"</f>
        <v>9781931202312</v>
      </c>
      <c r="C6776" s="10" t="str">
        <f>"9781593320324"</f>
        <v>9781593320324</v>
      </c>
      <c r="D6776" s="10" t="s">
        <v>20187</v>
      </c>
      <c r="E6776" s="10" t="s">
        <v>20188</v>
      </c>
      <c r="F6776" s="10" t="s">
        <v>70</v>
      </c>
      <c r="G6776" s="10" t="s">
        <v>6317</v>
      </c>
      <c r="H6776" s="11">
        <v>37408</v>
      </c>
      <c r="I6776" s="10">
        <v>2002</v>
      </c>
      <c r="J6776" s="10" t="s">
        <v>20188</v>
      </c>
      <c r="K6776" s="10">
        <v>341</v>
      </c>
      <c r="L6776" s="10" t="s">
        <v>32823</v>
      </c>
      <c r="M6776" s="10"/>
      <c r="N6776" s="10"/>
      <c r="O6776" s="10"/>
      <c r="P6776" s="10" t="s">
        <v>32824</v>
      </c>
      <c r="Q6776" s="10" t="s">
        <v>31867</v>
      </c>
      <c r="R6776" s="10" t="s">
        <v>32825</v>
      </c>
      <c r="S6776" s="10" t="s">
        <v>53</v>
      </c>
      <c r="T6776" s="10" t="s">
        <v>54</v>
      </c>
    </row>
    <row r="6777" spans="1:20" ht="14.5" x14ac:dyDescent="0.35">
      <c r="A6777" s="10" t="s">
        <v>32826</v>
      </c>
      <c r="B6777" s="10" t="str">
        <f>"9781931202466"</f>
        <v>9781931202466</v>
      </c>
      <c r="C6777" s="10" t="str">
        <f>"9781593320133"</f>
        <v>9781593320133</v>
      </c>
      <c r="D6777" s="10" t="s">
        <v>20187</v>
      </c>
      <c r="E6777" s="10" t="s">
        <v>20188</v>
      </c>
      <c r="F6777" s="10" t="s">
        <v>70</v>
      </c>
      <c r="G6777" s="10" t="s">
        <v>6317</v>
      </c>
      <c r="H6777" s="11">
        <v>37591</v>
      </c>
      <c r="I6777" s="10">
        <v>2003</v>
      </c>
      <c r="J6777" s="10" t="s">
        <v>20188</v>
      </c>
      <c r="K6777" s="10">
        <v>242</v>
      </c>
      <c r="L6777" s="10" t="s">
        <v>32827</v>
      </c>
      <c r="M6777" s="10"/>
      <c r="N6777" s="10"/>
      <c r="O6777" s="10"/>
      <c r="P6777" s="10" t="s">
        <v>32828</v>
      </c>
      <c r="Q6777" s="10" t="s">
        <v>32829</v>
      </c>
      <c r="R6777" s="10" t="s">
        <v>32830</v>
      </c>
      <c r="S6777" s="10" t="s">
        <v>53</v>
      </c>
      <c r="T6777" s="10" t="s">
        <v>5396</v>
      </c>
    </row>
    <row r="6778" spans="1:20" ht="14.5" x14ac:dyDescent="0.35">
      <c r="A6778" s="10" t="s">
        <v>32831</v>
      </c>
      <c r="B6778" s="10" t="str">
        <f>"9781931202459"</f>
        <v>9781931202459</v>
      </c>
      <c r="C6778" s="10" t="str">
        <f>"9781593320263"</f>
        <v>9781593320263</v>
      </c>
      <c r="D6778" s="10" t="s">
        <v>20187</v>
      </c>
      <c r="E6778" s="10" t="s">
        <v>20188</v>
      </c>
      <c r="F6778" s="10" t="s">
        <v>70</v>
      </c>
      <c r="G6778" s="10" t="s">
        <v>6317</v>
      </c>
      <c r="H6778" s="11">
        <v>37469</v>
      </c>
      <c r="I6778" s="10">
        <v>2002</v>
      </c>
      <c r="J6778" s="10" t="s">
        <v>20188</v>
      </c>
      <c r="K6778" s="10">
        <v>335</v>
      </c>
      <c r="L6778" s="10" t="s">
        <v>32832</v>
      </c>
      <c r="M6778" s="10"/>
      <c r="N6778" s="10"/>
      <c r="O6778" s="10"/>
      <c r="P6778" s="10" t="s">
        <v>32833</v>
      </c>
      <c r="Q6778" s="10" t="s">
        <v>31872</v>
      </c>
      <c r="R6778" s="10" t="s">
        <v>32834</v>
      </c>
      <c r="S6778" s="10" t="s">
        <v>53</v>
      </c>
      <c r="T6778" s="10" t="s">
        <v>54</v>
      </c>
    </row>
    <row r="6779" spans="1:20" ht="14.5" x14ac:dyDescent="0.35">
      <c r="A6779" s="10" t="s">
        <v>32835</v>
      </c>
      <c r="B6779" s="10" t="str">
        <f>"9781593320423"</f>
        <v>9781593320423</v>
      </c>
      <c r="C6779" s="10" t="str">
        <f>"9781593321116"</f>
        <v>9781593321116</v>
      </c>
      <c r="D6779" s="10" t="s">
        <v>20187</v>
      </c>
      <c r="E6779" s="10" t="s">
        <v>20188</v>
      </c>
      <c r="F6779" s="10" t="s">
        <v>70</v>
      </c>
      <c r="G6779" s="10" t="s">
        <v>6317</v>
      </c>
      <c r="H6779" s="11">
        <v>38108</v>
      </c>
      <c r="I6779" s="10">
        <v>2004</v>
      </c>
      <c r="J6779" s="10" t="s">
        <v>20188</v>
      </c>
      <c r="K6779" s="10">
        <v>177</v>
      </c>
      <c r="L6779" s="10" t="s">
        <v>32836</v>
      </c>
      <c r="M6779" s="10"/>
      <c r="N6779" s="10"/>
      <c r="O6779" s="10"/>
      <c r="P6779" s="10" t="s">
        <v>32837</v>
      </c>
      <c r="Q6779" s="10" t="s">
        <v>8304</v>
      </c>
      <c r="R6779" s="10" t="s">
        <v>32838</v>
      </c>
      <c r="S6779" s="10" t="s">
        <v>53</v>
      </c>
      <c r="T6779" s="10" t="s">
        <v>54</v>
      </c>
    </row>
    <row r="6780" spans="1:20" ht="14.5" x14ac:dyDescent="0.35">
      <c r="A6780" s="10" t="s">
        <v>32839</v>
      </c>
      <c r="B6780" s="10" t="str">
        <f>"9781931202671"</f>
        <v>9781931202671</v>
      </c>
      <c r="C6780" s="10" t="str">
        <f>"9781593321154"</f>
        <v>9781593321154</v>
      </c>
      <c r="D6780" s="10" t="s">
        <v>20187</v>
      </c>
      <c r="E6780" s="10" t="s">
        <v>20188</v>
      </c>
      <c r="F6780" s="10" t="s">
        <v>70</v>
      </c>
      <c r="G6780" s="10" t="s">
        <v>6317</v>
      </c>
      <c r="H6780" s="11">
        <v>38047</v>
      </c>
      <c r="I6780" s="10">
        <v>2004</v>
      </c>
      <c r="J6780" s="10" t="s">
        <v>20188</v>
      </c>
      <c r="K6780" s="10">
        <v>293</v>
      </c>
      <c r="L6780" s="10" t="s">
        <v>32840</v>
      </c>
      <c r="M6780" s="10"/>
      <c r="N6780" s="10"/>
      <c r="O6780" s="10"/>
      <c r="P6780" s="10" t="s">
        <v>32841</v>
      </c>
      <c r="Q6780" s="10" t="s">
        <v>32842</v>
      </c>
      <c r="R6780" s="10" t="s">
        <v>32843</v>
      </c>
      <c r="S6780" s="10" t="s">
        <v>53</v>
      </c>
      <c r="T6780" s="10" t="s">
        <v>54</v>
      </c>
    </row>
    <row r="6781" spans="1:20" ht="14.5" x14ac:dyDescent="0.35">
      <c r="A6781" s="10" t="s">
        <v>32844</v>
      </c>
      <c r="B6781" s="10" t="str">
        <f>"9781593320638"</f>
        <v>9781593320638</v>
      </c>
      <c r="C6781" s="10" t="str">
        <f>"9781593321642"</f>
        <v>9781593321642</v>
      </c>
      <c r="D6781" s="10" t="s">
        <v>20187</v>
      </c>
      <c r="E6781" s="10" t="s">
        <v>20188</v>
      </c>
      <c r="F6781" s="10" t="s">
        <v>70</v>
      </c>
      <c r="G6781" s="10" t="s">
        <v>6317</v>
      </c>
      <c r="H6781" s="11">
        <v>38261</v>
      </c>
      <c r="I6781" s="10">
        <v>2005</v>
      </c>
      <c r="J6781" s="10" t="s">
        <v>20188</v>
      </c>
      <c r="K6781" s="10">
        <v>264</v>
      </c>
      <c r="L6781" s="10" t="s">
        <v>32845</v>
      </c>
      <c r="M6781" s="10"/>
      <c r="N6781" s="10"/>
      <c r="O6781" s="10"/>
      <c r="P6781" s="10" t="s">
        <v>32846</v>
      </c>
      <c r="Q6781" s="10" t="s">
        <v>32847</v>
      </c>
      <c r="R6781" s="10" t="s">
        <v>32848</v>
      </c>
      <c r="S6781" s="10" t="s">
        <v>53</v>
      </c>
      <c r="T6781" s="10" t="s">
        <v>54</v>
      </c>
    </row>
    <row r="6782" spans="1:20" ht="14.5" x14ac:dyDescent="0.35">
      <c r="A6782" s="10" t="s">
        <v>32849</v>
      </c>
      <c r="B6782" s="10" t="str">
        <f>"9781593320393"</f>
        <v>9781593320393</v>
      </c>
      <c r="C6782" s="10" t="str">
        <f>"9781593321598"</f>
        <v>9781593321598</v>
      </c>
      <c r="D6782" s="10" t="s">
        <v>20187</v>
      </c>
      <c r="E6782" s="10" t="s">
        <v>20188</v>
      </c>
      <c r="F6782" s="10" t="s">
        <v>70</v>
      </c>
      <c r="G6782" s="10" t="s">
        <v>6317</v>
      </c>
      <c r="H6782" s="11">
        <v>38322</v>
      </c>
      <c r="I6782" s="10">
        <v>2005</v>
      </c>
      <c r="J6782" s="10" t="s">
        <v>20188</v>
      </c>
      <c r="K6782" s="10">
        <v>324</v>
      </c>
      <c r="L6782" s="10" t="s">
        <v>32850</v>
      </c>
      <c r="M6782" s="10"/>
      <c r="N6782" s="10"/>
      <c r="O6782" s="10"/>
      <c r="P6782" s="10" t="s">
        <v>32851</v>
      </c>
      <c r="Q6782" s="10" t="s">
        <v>32852</v>
      </c>
      <c r="R6782" s="10" t="s">
        <v>32853</v>
      </c>
      <c r="S6782" s="10" t="s">
        <v>53</v>
      </c>
      <c r="T6782" s="10" t="s">
        <v>5396</v>
      </c>
    </row>
    <row r="6783" spans="1:20" ht="14.5" x14ac:dyDescent="0.35">
      <c r="A6783" s="10" t="s">
        <v>32854</v>
      </c>
      <c r="B6783" s="10" t="str">
        <f>"9781593320720"</f>
        <v>9781593320720</v>
      </c>
      <c r="C6783" s="10" t="str">
        <f>"9781593321727"</f>
        <v>9781593321727</v>
      </c>
      <c r="D6783" s="10" t="s">
        <v>20187</v>
      </c>
      <c r="E6783" s="10" t="s">
        <v>20188</v>
      </c>
      <c r="F6783" s="10" t="s">
        <v>70</v>
      </c>
      <c r="G6783" s="10" t="s">
        <v>6317</v>
      </c>
      <c r="H6783" s="11">
        <v>38412</v>
      </c>
      <c r="I6783" s="10">
        <v>2005</v>
      </c>
      <c r="J6783" s="10" t="s">
        <v>20188</v>
      </c>
      <c r="K6783" s="10">
        <v>208</v>
      </c>
      <c r="L6783" s="10" t="s">
        <v>32855</v>
      </c>
      <c r="M6783" s="10"/>
      <c r="N6783" s="10"/>
      <c r="O6783" s="10"/>
      <c r="P6783" s="10" t="s">
        <v>32856</v>
      </c>
      <c r="Q6783" s="10" t="s">
        <v>32857</v>
      </c>
      <c r="R6783" s="10" t="s">
        <v>32858</v>
      </c>
      <c r="S6783" s="10" t="s">
        <v>53</v>
      </c>
      <c r="T6783" s="10" t="s">
        <v>54</v>
      </c>
    </row>
    <row r="6784" spans="1:20" ht="14.5" x14ac:dyDescent="0.35">
      <c r="A6784" s="10" t="s">
        <v>32859</v>
      </c>
      <c r="B6784" s="10" t="str">
        <f>"9781593320935"</f>
        <v>9781593320935</v>
      </c>
      <c r="C6784" s="10" t="str">
        <f>"9781593321710"</f>
        <v>9781593321710</v>
      </c>
      <c r="D6784" s="10" t="s">
        <v>20187</v>
      </c>
      <c r="E6784" s="10" t="s">
        <v>20188</v>
      </c>
      <c r="F6784" s="10" t="s">
        <v>70</v>
      </c>
      <c r="G6784" s="10" t="s">
        <v>6317</v>
      </c>
      <c r="H6784" s="11">
        <v>38504</v>
      </c>
      <c r="I6784" s="10">
        <v>2005</v>
      </c>
      <c r="J6784" s="10" t="s">
        <v>20188</v>
      </c>
      <c r="K6784" s="10">
        <v>179</v>
      </c>
      <c r="L6784" s="10" t="s">
        <v>32860</v>
      </c>
      <c r="M6784" s="10"/>
      <c r="N6784" s="10"/>
      <c r="O6784" s="10"/>
      <c r="P6784" s="10" t="s">
        <v>32861</v>
      </c>
      <c r="Q6784" s="10" t="s">
        <v>8011</v>
      </c>
      <c r="R6784" s="10" t="s">
        <v>32862</v>
      </c>
      <c r="S6784" s="10" t="s">
        <v>53</v>
      </c>
      <c r="T6784" s="10" t="s">
        <v>6526</v>
      </c>
    </row>
    <row r="6785" spans="1:20" ht="14.5" x14ac:dyDescent="0.35">
      <c r="A6785" s="10" t="s">
        <v>32863</v>
      </c>
      <c r="B6785" s="10" t="str">
        <f>"9781593320645"</f>
        <v>9781593320645</v>
      </c>
      <c r="C6785" s="10" t="str">
        <f>"9781593321734"</f>
        <v>9781593321734</v>
      </c>
      <c r="D6785" s="10" t="s">
        <v>20187</v>
      </c>
      <c r="E6785" s="10" t="s">
        <v>20188</v>
      </c>
      <c r="F6785" s="10" t="s">
        <v>70</v>
      </c>
      <c r="G6785" s="10" t="s">
        <v>6317</v>
      </c>
      <c r="H6785" s="11">
        <v>38078</v>
      </c>
      <c r="I6785" s="10">
        <v>2005</v>
      </c>
      <c r="J6785" s="10" t="s">
        <v>20188</v>
      </c>
      <c r="K6785" s="10">
        <v>225</v>
      </c>
      <c r="L6785" s="10" t="s">
        <v>32864</v>
      </c>
      <c r="M6785" s="10"/>
      <c r="N6785" s="10"/>
      <c r="O6785" s="10"/>
      <c r="P6785" s="10" t="s">
        <v>32865</v>
      </c>
      <c r="Q6785" s="10" t="s">
        <v>32866</v>
      </c>
      <c r="R6785" s="10" t="s">
        <v>32867</v>
      </c>
      <c r="S6785" s="10" t="s">
        <v>53</v>
      </c>
      <c r="T6785" s="10" t="s">
        <v>6472</v>
      </c>
    </row>
    <row r="6786" spans="1:20" ht="14.5" x14ac:dyDescent="0.35">
      <c r="A6786" s="10" t="s">
        <v>32868</v>
      </c>
      <c r="B6786" s="10" t="str">
        <f>"9781593320874"</f>
        <v>9781593320874</v>
      </c>
      <c r="C6786" s="10" t="str">
        <f>"9781593322786"</f>
        <v>9781593322786</v>
      </c>
      <c r="D6786" s="10" t="s">
        <v>20187</v>
      </c>
      <c r="E6786" s="10" t="s">
        <v>20188</v>
      </c>
      <c r="F6786" s="10" t="s">
        <v>70</v>
      </c>
      <c r="G6786" s="10" t="s">
        <v>6317</v>
      </c>
      <c r="H6786" s="11">
        <v>38687</v>
      </c>
      <c r="I6786" s="10">
        <v>2006</v>
      </c>
      <c r="J6786" s="10" t="s">
        <v>20188</v>
      </c>
      <c r="K6786" s="10">
        <v>189</v>
      </c>
      <c r="L6786" s="10" t="s">
        <v>32869</v>
      </c>
      <c r="M6786" s="10"/>
      <c r="N6786" s="10"/>
      <c r="O6786" s="10"/>
      <c r="P6786" s="10" t="s">
        <v>32870</v>
      </c>
      <c r="Q6786" s="10" t="s">
        <v>23357</v>
      </c>
      <c r="R6786" s="10" t="s">
        <v>32871</v>
      </c>
      <c r="S6786" s="10" t="s">
        <v>53</v>
      </c>
      <c r="T6786" s="10" t="s">
        <v>54</v>
      </c>
    </row>
    <row r="6787" spans="1:20" ht="14.5" x14ac:dyDescent="0.35">
      <c r="A6787" s="10" t="s">
        <v>32872</v>
      </c>
      <c r="B6787" s="10" t="str">
        <f>"9781593321017"</f>
        <v>9781593321017</v>
      </c>
      <c r="C6787" s="10" t="str">
        <f>"9781593321857"</f>
        <v>9781593321857</v>
      </c>
      <c r="D6787" s="10" t="s">
        <v>20187</v>
      </c>
      <c r="E6787" s="10" t="s">
        <v>20188</v>
      </c>
      <c r="F6787" s="10" t="s">
        <v>70</v>
      </c>
      <c r="G6787" s="10" t="s">
        <v>6317</v>
      </c>
      <c r="H6787" s="11">
        <v>38596</v>
      </c>
      <c r="I6787" s="10">
        <v>2005</v>
      </c>
      <c r="J6787" s="10" t="s">
        <v>20188</v>
      </c>
      <c r="K6787" s="10">
        <v>229</v>
      </c>
      <c r="L6787" s="10" t="s">
        <v>32873</v>
      </c>
      <c r="M6787" s="10"/>
      <c r="N6787" s="10"/>
      <c r="O6787" s="10"/>
      <c r="P6787" s="10" t="s">
        <v>32874</v>
      </c>
      <c r="Q6787" s="10" t="s">
        <v>32857</v>
      </c>
      <c r="R6787" s="10" t="s">
        <v>32875</v>
      </c>
      <c r="S6787" s="10" t="s">
        <v>53</v>
      </c>
      <c r="T6787" s="10" t="s">
        <v>54</v>
      </c>
    </row>
    <row r="6788" spans="1:20" ht="14.5" x14ac:dyDescent="0.35">
      <c r="A6788" s="10" t="s">
        <v>32876</v>
      </c>
      <c r="B6788" s="10" t="str">
        <f>"9781593322007"</f>
        <v>9781593322007</v>
      </c>
      <c r="C6788" s="10" t="str">
        <f>"9781593323165"</f>
        <v>9781593323165</v>
      </c>
      <c r="D6788" s="10" t="s">
        <v>20187</v>
      </c>
      <c r="E6788" s="10" t="s">
        <v>20188</v>
      </c>
      <c r="F6788" s="10" t="s">
        <v>70</v>
      </c>
      <c r="G6788" s="10" t="s">
        <v>6317</v>
      </c>
      <c r="H6788" s="11">
        <v>39295</v>
      </c>
      <c r="I6788" s="10">
        <v>2007</v>
      </c>
      <c r="J6788" s="10" t="s">
        <v>20188</v>
      </c>
      <c r="K6788" s="10">
        <v>171</v>
      </c>
      <c r="L6788" s="10" t="s">
        <v>32877</v>
      </c>
      <c r="M6788" s="10"/>
      <c r="N6788" s="10"/>
      <c r="O6788" s="10"/>
      <c r="P6788" s="10" t="s">
        <v>32878</v>
      </c>
      <c r="Q6788" s="10" t="s">
        <v>8304</v>
      </c>
      <c r="R6788" s="10" t="s">
        <v>32879</v>
      </c>
      <c r="S6788" s="10" t="s">
        <v>53</v>
      </c>
      <c r="T6788" s="10" t="s">
        <v>54</v>
      </c>
    </row>
    <row r="6789" spans="1:20" ht="14.5" x14ac:dyDescent="0.35">
      <c r="A6789" s="10" t="s">
        <v>32880</v>
      </c>
      <c r="B6789" s="10" t="str">
        <f>"9781593322922"</f>
        <v>9781593322922</v>
      </c>
      <c r="C6789" s="10" t="str">
        <f>"9781593323608"</f>
        <v>9781593323608</v>
      </c>
      <c r="D6789" s="10" t="s">
        <v>20187</v>
      </c>
      <c r="E6789" s="10" t="s">
        <v>20188</v>
      </c>
      <c r="F6789" s="10" t="s">
        <v>70</v>
      </c>
      <c r="G6789" s="10" t="s">
        <v>6317</v>
      </c>
      <c r="H6789" s="11">
        <v>39600</v>
      </c>
      <c r="I6789" s="10">
        <v>2008</v>
      </c>
      <c r="J6789" s="10" t="s">
        <v>20188</v>
      </c>
      <c r="K6789" s="10">
        <v>297</v>
      </c>
      <c r="L6789" s="10" t="s">
        <v>32881</v>
      </c>
      <c r="M6789" s="10"/>
      <c r="N6789" s="10"/>
      <c r="O6789" s="10"/>
      <c r="P6789" s="10" t="s">
        <v>32882</v>
      </c>
      <c r="Q6789" s="10" t="s">
        <v>32883</v>
      </c>
      <c r="R6789" s="10" t="s">
        <v>32884</v>
      </c>
      <c r="S6789" s="10" t="s">
        <v>53</v>
      </c>
      <c r="T6789" s="10" t="s">
        <v>54</v>
      </c>
    </row>
    <row r="6790" spans="1:20" ht="14.5" x14ac:dyDescent="0.35">
      <c r="A6790" s="10" t="s">
        <v>32885</v>
      </c>
      <c r="B6790" s="10" t="str">
        <f>"9781593322366"</f>
        <v>9781593322366</v>
      </c>
      <c r="C6790" s="10" t="str">
        <f>"9781593323486"</f>
        <v>9781593323486</v>
      </c>
      <c r="D6790" s="10" t="s">
        <v>20187</v>
      </c>
      <c r="E6790" s="10" t="s">
        <v>20188</v>
      </c>
      <c r="F6790" s="10" t="s">
        <v>70</v>
      </c>
      <c r="G6790" s="10" t="s">
        <v>6317</v>
      </c>
      <c r="H6790" s="11">
        <v>39479</v>
      </c>
      <c r="I6790" s="10">
        <v>2008</v>
      </c>
      <c r="J6790" s="10" t="s">
        <v>20188</v>
      </c>
      <c r="K6790" s="10">
        <v>206</v>
      </c>
      <c r="L6790" s="10" t="s">
        <v>32886</v>
      </c>
      <c r="M6790" s="10"/>
      <c r="N6790" s="10"/>
      <c r="O6790" s="10"/>
      <c r="P6790" s="10" t="s">
        <v>32887</v>
      </c>
      <c r="Q6790" s="10" t="s">
        <v>32888</v>
      </c>
      <c r="R6790" s="10" t="s">
        <v>32889</v>
      </c>
      <c r="S6790" s="10" t="s">
        <v>53</v>
      </c>
      <c r="T6790" s="10" t="s">
        <v>54</v>
      </c>
    </row>
    <row r="6791" spans="1:20" ht="14.5" x14ac:dyDescent="0.35">
      <c r="A6791" s="10" t="s">
        <v>32890</v>
      </c>
      <c r="B6791" s="10" t="str">
        <f>"9781593322601"</f>
        <v>9781593322601</v>
      </c>
      <c r="C6791" s="10" t="str">
        <f>"9781593323639"</f>
        <v>9781593323639</v>
      </c>
      <c r="D6791" s="10" t="s">
        <v>20187</v>
      </c>
      <c r="E6791" s="10" t="s">
        <v>20188</v>
      </c>
      <c r="F6791" s="10" t="s">
        <v>20189</v>
      </c>
      <c r="G6791" s="10" t="s">
        <v>6317</v>
      </c>
      <c r="H6791" s="11">
        <v>39630</v>
      </c>
      <c r="I6791" s="10">
        <v>2008</v>
      </c>
      <c r="J6791" s="10" t="s">
        <v>20188</v>
      </c>
      <c r="K6791" s="10">
        <v>336</v>
      </c>
      <c r="L6791" s="10" t="s">
        <v>32891</v>
      </c>
      <c r="M6791" s="10"/>
      <c r="N6791" s="10" t="s">
        <v>23344</v>
      </c>
      <c r="O6791" s="10"/>
      <c r="P6791" s="10" t="s">
        <v>32892</v>
      </c>
      <c r="Q6791" s="10" t="s">
        <v>20169</v>
      </c>
      <c r="R6791" s="10" t="s">
        <v>32893</v>
      </c>
      <c r="S6791" s="10" t="s">
        <v>53</v>
      </c>
      <c r="T6791" s="10" t="s">
        <v>54</v>
      </c>
    </row>
    <row r="6792" spans="1:20" ht="14.5" x14ac:dyDescent="0.35">
      <c r="A6792" s="10" t="s">
        <v>32894</v>
      </c>
      <c r="B6792" s="10" t="str">
        <f>"9781593327019"</f>
        <v>9781593327019</v>
      </c>
      <c r="C6792" s="10" t="str">
        <f>"9781593327309"</f>
        <v>9781593327309</v>
      </c>
      <c r="D6792" s="10" t="s">
        <v>20187</v>
      </c>
      <c r="E6792" s="10" t="s">
        <v>20188</v>
      </c>
      <c r="F6792" s="10" t="s">
        <v>20189</v>
      </c>
      <c r="G6792" s="10" t="s">
        <v>6317</v>
      </c>
      <c r="H6792" s="11">
        <v>41518</v>
      </c>
      <c r="I6792" s="10">
        <v>2013</v>
      </c>
      <c r="J6792" s="10" t="s">
        <v>20188</v>
      </c>
      <c r="K6792" s="10">
        <v>208</v>
      </c>
      <c r="L6792" s="10" t="s">
        <v>32895</v>
      </c>
      <c r="M6792" s="10"/>
      <c r="N6792" s="10" t="s">
        <v>32896</v>
      </c>
      <c r="O6792" s="10"/>
      <c r="P6792" s="10" t="s">
        <v>32897</v>
      </c>
      <c r="Q6792" s="10" t="s">
        <v>9584</v>
      </c>
      <c r="R6792" s="10" t="s">
        <v>32898</v>
      </c>
      <c r="S6792" s="10" t="s">
        <v>53</v>
      </c>
      <c r="T6792" s="10" t="s">
        <v>54</v>
      </c>
    </row>
    <row r="6793" spans="1:20" ht="14.5" x14ac:dyDescent="0.35">
      <c r="A6793" s="10" t="s">
        <v>32899</v>
      </c>
      <c r="B6793" s="10" t="str">
        <f>"9780874620023"</f>
        <v>9780874620023</v>
      </c>
      <c r="C6793" s="10" t="str">
        <f>"9780874629170"</f>
        <v>9780874629170</v>
      </c>
      <c r="D6793" s="10" t="s">
        <v>15491</v>
      </c>
      <c r="E6793" s="10" t="s">
        <v>15491</v>
      </c>
      <c r="F6793" s="10" t="s">
        <v>15492</v>
      </c>
      <c r="G6793" s="10" t="s">
        <v>6317</v>
      </c>
      <c r="H6793" s="11">
        <v>34973</v>
      </c>
      <c r="I6793" s="10">
        <v>1995</v>
      </c>
      <c r="J6793" s="10" t="s">
        <v>15491</v>
      </c>
      <c r="K6793" s="10">
        <v>209</v>
      </c>
      <c r="L6793" s="10" t="s">
        <v>32900</v>
      </c>
      <c r="M6793" s="10">
        <v>1</v>
      </c>
      <c r="N6793" s="10"/>
      <c r="O6793" s="10"/>
      <c r="P6793" s="10" t="s">
        <v>32901</v>
      </c>
      <c r="Q6793" s="10">
        <v>378.73</v>
      </c>
      <c r="R6793" s="10" t="s">
        <v>32902</v>
      </c>
      <c r="S6793" s="10" t="s">
        <v>53</v>
      </c>
      <c r="T6793" s="10" t="s">
        <v>54</v>
      </c>
    </row>
    <row r="6794" spans="1:20" ht="14.5" x14ac:dyDescent="0.35">
      <c r="A6794" s="10" t="s">
        <v>32903</v>
      </c>
      <c r="B6794" s="10" t="str">
        <f>"9780335246663"</f>
        <v>9780335246663</v>
      </c>
      <c r="C6794" s="10" t="str">
        <f>"9780335246670"</f>
        <v>9780335246670</v>
      </c>
      <c r="D6794" s="10" t="s">
        <v>10342</v>
      </c>
      <c r="E6794" s="10" t="s">
        <v>10343</v>
      </c>
      <c r="F6794" s="10" t="s">
        <v>10344</v>
      </c>
      <c r="G6794" s="10" t="s">
        <v>6352</v>
      </c>
      <c r="H6794" s="11">
        <v>41395</v>
      </c>
      <c r="I6794" s="10">
        <v>2013</v>
      </c>
      <c r="J6794" s="10" t="s">
        <v>10345</v>
      </c>
      <c r="K6794" s="10">
        <v>242</v>
      </c>
      <c r="L6794" s="10" t="s">
        <v>32904</v>
      </c>
      <c r="M6794" s="10">
        <v>1</v>
      </c>
      <c r="N6794" s="10" t="s">
        <v>10347</v>
      </c>
      <c r="O6794" s="10"/>
      <c r="P6794" s="10" t="s">
        <v>32905</v>
      </c>
      <c r="Q6794" s="10"/>
      <c r="R6794" s="10" t="s">
        <v>32906</v>
      </c>
      <c r="S6794" s="10" t="s">
        <v>53</v>
      </c>
      <c r="T6794" s="10" t="s">
        <v>54</v>
      </c>
    </row>
    <row r="6795" spans="1:20" ht="14.5" x14ac:dyDescent="0.35">
      <c r="A6795" s="10" t="s">
        <v>32907</v>
      </c>
      <c r="B6795" s="10" t="str">
        <f>"9788122422351"</f>
        <v>9788122422351</v>
      </c>
      <c r="C6795" s="10" t="str">
        <f>"9788122429459"</f>
        <v>9788122429459</v>
      </c>
      <c r="D6795" s="10" t="s">
        <v>13422</v>
      </c>
      <c r="E6795" s="10" t="s">
        <v>13423</v>
      </c>
      <c r="F6795" s="10" t="s">
        <v>13424</v>
      </c>
      <c r="G6795" s="10" t="s">
        <v>13425</v>
      </c>
      <c r="H6795" s="11">
        <v>36526</v>
      </c>
      <c r="I6795" s="10">
        <v>2008</v>
      </c>
      <c r="J6795" s="10" t="s">
        <v>32908</v>
      </c>
      <c r="K6795" s="10">
        <v>360</v>
      </c>
      <c r="L6795" s="10" t="s">
        <v>32909</v>
      </c>
      <c r="M6795" s="10">
        <v>1</v>
      </c>
      <c r="N6795" s="10"/>
      <c r="O6795" s="10"/>
      <c r="P6795" s="10" t="s">
        <v>32910</v>
      </c>
      <c r="Q6795" s="10"/>
      <c r="R6795" s="10" t="s">
        <v>32911</v>
      </c>
      <c r="S6795" s="10" t="s">
        <v>53</v>
      </c>
      <c r="T6795" s="10" t="s">
        <v>483</v>
      </c>
    </row>
    <row r="6796" spans="1:20" ht="14.5" x14ac:dyDescent="0.35">
      <c r="A6796" s="10" t="s">
        <v>32912</v>
      </c>
      <c r="B6796" s="10" t="str">
        <f>"9788122436884"</f>
        <v>9788122436884</v>
      </c>
      <c r="C6796" s="10" t="str">
        <f>"9788122439038"</f>
        <v>9788122439038</v>
      </c>
      <c r="D6796" s="10" t="s">
        <v>13422</v>
      </c>
      <c r="E6796" s="10" t="s">
        <v>13423</v>
      </c>
      <c r="F6796" s="10" t="s">
        <v>13424</v>
      </c>
      <c r="G6796" s="10" t="s">
        <v>13425</v>
      </c>
      <c r="H6796" s="11">
        <v>39192</v>
      </c>
      <c r="I6796" s="10">
        <v>2007</v>
      </c>
      <c r="J6796" s="10" t="s">
        <v>13426</v>
      </c>
      <c r="K6796" s="10">
        <v>265</v>
      </c>
      <c r="L6796" s="10" t="s">
        <v>32913</v>
      </c>
      <c r="M6796" s="10">
        <v>1</v>
      </c>
      <c r="N6796" s="10"/>
      <c r="O6796" s="10"/>
      <c r="P6796" s="10" t="s">
        <v>32914</v>
      </c>
      <c r="Q6796" s="10">
        <v>371.33</v>
      </c>
      <c r="R6796" s="10" t="s">
        <v>32915</v>
      </c>
      <c r="S6796" s="10" t="s">
        <v>53</v>
      </c>
      <c r="T6796" s="10" t="s">
        <v>54</v>
      </c>
    </row>
    <row r="6797" spans="1:20" ht="14.5" x14ac:dyDescent="0.35">
      <c r="A6797" s="10" t="s">
        <v>32916</v>
      </c>
      <c r="B6797" s="10" t="str">
        <f>"9781889057491"</f>
        <v>9781889057491</v>
      </c>
      <c r="C6797" s="10" t="str">
        <f>"9781889057521"</f>
        <v>9781889057521</v>
      </c>
      <c r="D6797" s="10" t="s">
        <v>6315</v>
      </c>
      <c r="E6797" s="10" t="s">
        <v>6315</v>
      </c>
      <c r="F6797" s="10" t="s">
        <v>3061</v>
      </c>
      <c r="G6797" s="10" t="s">
        <v>6317</v>
      </c>
      <c r="H6797" s="11">
        <v>39661</v>
      </c>
      <c r="I6797" s="10">
        <v>2008</v>
      </c>
      <c r="J6797" s="10" t="s">
        <v>6315</v>
      </c>
      <c r="K6797" s="10">
        <v>524</v>
      </c>
      <c r="L6797" s="10" t="s">
        <v>12942</v>
      </c>
      <c r="M6797" s="10">
        <v>1</v>
      </c>
      <c r="N6797" s="10"/>
      <c r="O6797" s="10"/>
      <c r="P6797" s="10" t="s">
        <v>32917</v>
      </c>
      <c r="Q6797" s="10"/>
      <c r="R6797" s="10" t="s">
        <v>12944</v>
      </c>
      <c r="S6797" s="10" t="s">
        <v>53</v>
      </c>
      <c r="T6797" s="10" t="s">
        <v>389</v>
      </c>
    </row>
    <row r="6798" spans="1:20" ht="14.5" x14ac:dyDescent="0.35">
      <c r="A6798" s="10" t="s">
        <v>32918</v>
      </c>
      <c r="B6798" s="10" t="str">
        <f>"9781612096278"</f>
        <v>9781612096278</v>
      </c>
      <c r="C6798" s="10" t="str">
        <f>"9781619422469"</f>
        <v>9781619422469</v>
      </c>
      <c r="D6798" s="10" t="s">
        <v>32919</v>
      </c>
      <c r="E6798" s="10" t="s">
        <v>32920</v>
      </c>
      <c r="F6798" s="10" t="s">
        <v>2865</v>
      </c>
      <c r="G6798" s="10" t="s">
        <v>6317</v>
      </c>
      <c r="H6798" s="11">
        <v>40781</v>
      </c>
      <c r="I6798" s="10">
        <v>2011</v>
      </c>
      <c r="J6798" s="10" t="s">
        <v>32921</v>
      </c>
      <c r="K6798" s="10">
        <v>209</v>
      </c>
      <c r="L6798" s="10" t="s">
        <v>32922</v>
      </c>
      <c r="M6798" s="10">
        <v>1</v>
      </c>
      <c r="N6798" s="10" t="s">
        <v>32923</v>
      </c>
      <c r="O6798" s="10"/>
      <c r="P6798" s="10" t="s">
        <v>32924</v>
      </c>
      <c r="Q6798" s="10">
        <v>370.11709730000001</v>
      </c>
      <c r="R6798" s="10" t="s">
        <v>32925</v>
      </c>
      <c r="S6798" s="10" t="s">
        <v>53</v>
      </c>
      <c r="T6798" s="10" t="s">
        <v>54</v>
      </c>
    </row>
    <row r="6799" spans="1:20" ht="14.5" x14ac:dyDescent="0.35">
      <c r="A6799" s="10" t="s">
        <v>32926</v>
      </c>
      <c r="B6799" s="10" t="str">
        <f>"9781612094519"</f>
        <v>9781612094519</v>
      </c>
      <c r="C6799" s="10" t="str">
        <f>"9781619420694"</f>
        <v>9781619420694</v>
      </c>
      <c r="D6799" s="10" t="s">
        <v>32919</v>
      </c>
      <c r="E6799" s="10" t="s">
        <v>32920</v>
      </c>
      <c r="F6799" s="10" t="s">
        <v>2865</v>
      </c>
      <c r="G6799" s="10" t="s">
        <v>6317</v>
      </c>
      <c r="H6799" s="11">
        <v>40725</v>
      </c>
      <c r="I6799" s="10">
        <v>2011</v>
      </c>
      <c r="J6799" s="10" t="s">
        <v>32921</v>
      </c>
      <c r="K6799" s="10">
        <v>219</v>
      </c>
      <c r="L6799" s="10" t="s">
        <v>32927</v>
      </c>
      <c r="M6799" s="10">
        <v>1</v>
      </c>
      <c r="N6799" s="10" t="s">
        <v>32923</v>
      </c>
      <c r="O6799" s="10"/>
      <c r="P6799" s="10" t="s">
        <v>32928</v>
      </c>
      <c r="Q6799" s="10">
        <v>374</v>
      </c>
      <c r="R6799" s="10" t="s">
        <v>32929</v>
      </c>
      <c r="S6799" s="10" t="s">
        <v>53</v>
      </c>
      <c r="T6799" s="10" t="s">
        <v>54</v>
      </c>
    </row>
    <row r="6800" spans="1:20" ht="14.5" x14ac:dyDescent="0.35">
      <c r="A6800" s="10" t="s">
        <v>32930</v>
      </c>
      <c r="B6800" s="10" t="str">
        <f>"9781612096865"</f>
        <v>9781612096865</v>
      </c>
      <c r="C6800" s="10" t="str">
        <f>"9781619421493"</f>
        <v>9781619421493</v>
      </c>
      <c r="D6800" s="10" t="s">
        <v>32919</v>
      </c>
      <c r="E6800" s="10" t="s">
        <v>32920</v>
      </c>
      <c r="F6800" s="10" t="s">
        <v>2865</v>
      </c>
      <c r="G6800" s="10" t="s">
        <v>6317</v>
      </c>
      <c r="H6800" s="11">
        <v>40695</v>
      </c>
      <c r="I6800" s="10">
        <v>2011</v>
      </c>
      <c r="J6800" s="10" t="s">
        <v>32921</v>
      </c>
      <c r="K6800" s="10">
        <v>277</v>
      </c>
      <c r="L6800" s="10" t="s">
        <v>32931</v>
      </c>
      <c r="M6800" s="10">
        <v>1</v>
      </c>
      <c r="N6800" s="10" t="s">
        <v>32923</v>
      </c>
      <c r="O6800" s="10"/>
      <c r="P6800" s="10" t="s">
        <v>32932</v>
      </c>
      <c r="Q6800" s="10">
        <v>378</v>
      </c>
      <c r="R6800" s="10" t="s">
        <v>32933</v>
      </c>
      <c r="S6800" s="10" t="s">
        <v>53</v>
      </c>
      <c r="T6800" s="10" t="s">
        <v>54</v>
      </c>
    </row>
    <row r="6801" spans="1:20" ht="14.5" x14ac:dyDescent="0.35">
      <c r="A6801" s="10" t="s">
        <v>32934</v>
      </c>
      <c r="B6801" s="10" t="str">
        <f>"9781619424241"</f>
        <v>9781619424241</v>
      </c>
      <c r="C6801" s="10" t="str">
        <f>"9781619424456"</f>
        <v>9781619424456</v>
      </c>
      <c r="D6801" s="10" t="s">
        <v>32919</v>
      </c>
      <c r="E6801" s="10" t="s">
        <v>32920</v>
      </c>
      <c r="F6801" s="10" t="s">
        <v>2865</v>
      </c>
      <c r="G6801" s="10" t="s">
        <v>6317</v>
      </c>
      <c r="H6801" s="11">
        <v>41075</v>
      </c>
      <c r="I6801" s="10">
        <v>2012</v>
      </c>
      <c r="J6801" s="10" t="s">
        <v>32921</v>
      </c>
      <c r="K6801" s="10">
        <v>336</v>
      </c>
      <c r="L6801" s="10" t="s">
        <v>32935</v>
      </c>
      <c r="M6801" s="10">
        <v>1</v>
      </c>
      <c r="N6801" s="10" t="s">
        <v>32936</v>
      </c>
      <c r="O6801" s="10"/>
      <c r="P6801" s="10" t="s">
        <v>32937</v>
      </c>
      <c r="Q6801" s="10"/>
      <c r="R6801" s="10" t="s">
        <v>32938</v>
      </c>
      <c r="S6801" s="10" t="s">
        <v>53</v>
      </c>
      <c r="T6801" s="10" t="s">
        <v>11108</v>
      </c>
    </row>
    <row r="6802" spans="1:20" ht="14.5" x14ac:dyDescent="0.35">
      <c r="A6802" s="10" t="s">
        <v>32939</v>
      </c>
      <c r="B6802" s="10" t="str">
        <f>"9781612093352"</f>
        <v>9781612093352</v>
      </c>
      <c r="C6802" s="10" t="str">
        <f>"9781619420434"</f>
        <v>9781619420434</v>
      </c>
      <c r="D6802" s="10" t="s">
        <v>32919</v>
      </c>
      <c r="E6802" s="10" t="s">
        <v>32920</v>
      </c>
      <c r="F6802" s="10" t="s">
        <v>2865</v>
      </c>
      <c r="G6802" s="10" t="s">
        <v>6317</v>
      </c>
      <c r="H6802" s="11">
        <v>40725</v>
      </c>
      <c r="I6802" s="10">
        <v>2011</v>
      </c>
      <c r="J6802" s="10" t="s">
        <v>32921</v>
      </c>
      <c r="K6802" s="10">
        <v>237</v>
      </c>
      <c r="L6802" s="10" t="s">
        <v>32940</v>
      </c>
      <c r="M6802" s="10">
        <v>1</v>
      </c>
      <c r="N6802" s="10" t="s">
        <v>32923</v>
      </c>
      <c r="O6802" s="10"/>
      <c r="P6802" s="10" t="s">
        <v>32941</v>
      </c>
      <c r="Q6802" s="10" t="s">
        <v>14582</v>
      </c>
      <c r="R6802" s="10" t="s">
        <v>32942</v>
      </c>
      <c r="S6802" s="10" t="s">
        <v>53</v>
      </c>
      <c r="T6802" s="10" t="s">
        <v>54</v>
      </c>
    </row>
    <row r="6803" spans="1:20" ht="14.5" x14ac:dyDescent="0.35">
      <c r="A6803" s="10" t="s">
        <v>32943</v>
      </c>
      <c r="B6803" s="10" t="str">
        <f>"9781604566673"</f>
        <v>9781604566673</v>
      </c>
      <c r="C6803" s="10" t="str">
        <f>"9781608763719"</f>
        <v>9781608763719</v>
      </c>
      <c r="D6803" s="10" t="s">
        <v>32919</v>
      </c>
      <c r="E6803" s="10" t="s">
        <v>32920</v>
      </c>
      <c r="F6803" s="10" t="s">
        <v>70</v>
      </c>
      <c r="G6803" s="10" t="s">
        <v>6317</v>
      </c>
      <c r="H6803" s="11">
        <v>39661</v>
      </c>
      <c r="I6803" s="10">
        <v>2008</v>
      </c>
      <c r="J6803" s="10" t="s">
        <v>32921</v>
      </c>
      <c r="K6803" s="10">
        <v>271</v>
      </c>
      <c r="L6803" s="10" t="s">
        <v>32944</v>
      </c>
      <c r="M6803" s="10">
        <v>1</v>
      </c>
      <c r="N6803" s="10"/>
      <c r="O6803" s="10"/>
      <c r="P6803" s="10" t="s">
        <v>32945</v>
      </c>
      <c r="Q6803" s="10" t="s">
        <v>32946</v>
      </c>
      <c r="R6803" s="10" t="s">
        <v>32947</v>
      </c>
      <c r="S6803" s="10" t="s">
        <v>53</v>
      </c>
      <c r="T6803" s="10" t="s">
        <v>54</v>
      </c>
    </row>
    <row r="6804" spans="1:20" ht="14.5" x14ac:dyDescent="0.35">
      <c r="A6804" s="10" t="s">
        <v>32948</v>
      </c>
      <c r="B6804" s="10" t="str">
        <f>"9781606922828"</f>
        <v>9781606922828</v>
      </c>
      <c r="C6804" s="10" t="str">
        <f>"9781608764952"</f>
        <v>9781608764952</v>
      </c>
      <c r="D6804" s="10" t="s">
        <v>32919</v>
      </c>
      <c r="E6804" s="10" t="s">
        <v>32920</v>
      </c>
      <c r="F6804" s="10" t="s">
        <v>70</v>
      </c>
      <c r="G6804" s="10" t="s">
        <v>6317</v>
      </c>
      <c r="H6804" s="11">
        <v>39904</v>
      </c>
      <c r="I6804" s="10">
        <v>2009</v>
      </c>
      <c r="J6804" s="10" t="s">
        <v>32921</v>
      </c>
      <c r="K6804" s="10">
        <v>215</v>
      </c>
      <c r="L6804" s="10" t="s">
        <v>32949</v>
      </c>
      <c r="M6804" s="10">
        <v>1</v>
      </c>
      <c r="N6804" s="10"/>
      <c r="O6804" s="10"/>
      <c r="P6804" s="10" t="s">
        <v>32950</v>
      </c>
      <c r="Q6804" s="10" t="s">
        <v>14668</v>
      </c>
      <c r="R6804" s="10" t="s">
        <v>32951</v>
      </c>
      <c r="S6804" s="10" t="s">
        <v>53</v>
      </c>
      <c r="T6804" s="10" t="s">
        <v>54</v>
      </c>
    </row>
    <row r="6805" spans="1:20" ht="14.5" x14ac:dyDescent="0.35">
      <c r="A6805" s="10" t="s">
        <v>32952</v>
      </c>
      <c r="B6805" s="10" t="str">
        <f>"9781617619915"</f>
        <v>9781617619915</v>
      </c>
      <c r="C6805" s="10" t="str">
        <f>"9781611223873"</f>
        <v>9781611223873</v>
      </c>
      <c r="D6805" s="10" t="s">
        <v>32919</v>
      </c>
      <c r="E6805" s="10" t="s">
        <v>32920</v>
      </c>
      <c r="F6805" s="10" t="s">
        <v>2865</v>
      </c>
      <c r="G6805" s="10" t="s">
        <v>6317</v>
      </c>
      <c r="H6805" s="11">
        <v>40878</v>
      </c>
      <c r="I6805" s="10">
        <v>2011</v>
      </c>
      <c r="J6805" s="10" t="s">
        <v>32921</v>
      </c>
      <c r="K6805" s="10">
        <v>229</v>
      </c>
      <c r="L6805" s="10" t="s">
        <v>32953</v>
      </c>
      <c r="M6805" s="10">
        <v>1</v>
      </c>
      <c r="N6805" s="10" t="s">
        <v>32923</v>
      </c>
      <c r="O6805" s="10"/>
      <c r="P6805" s="10" t="s">
        <v>32954</v>
      </c>
      <c r="Q6805" s="10" t="s">
        <v>12332</v>
      </c>
      <c r="R6805" s="10" t="s">
        <v>32955</v>
      </c>
      <c r="S6805" s="10" t="s">
        <v>53</v>
      </c>
      <c r="T6805" s="10" t="s">
        <v>54</v>
      </c>
    </row>
    <row r="6806" spans="1:20" ht="14.5" x14ac:dyDescent="0.35">
      <c r="A6806" s="10" t="s">
        <v>32956</v>
      </c>
      <c r="B6806" s="10" t="str">
        <f>"9781617616051"</f>
        <v>9781617616051</v>
      </c>
      <c r="C6806" s="10" t="str">
        <f>"9781611221534"</f>
        <v>9781611221534</v>
      </c>
      <c r="D6806" s="10" t="s">
        <v>32919</v>
      </c>
      <c r="E6806" s="10" t="s">
        <v>32920</v>
      </c>
      <c r="F6806" s="10" t="s">
        <v>2865</v>
      </c>
      <c r="G6806" s="10" t="s">
        <v>6317</v>
      </c>
      <c r="H6806" s="11">
        <v>40544</v>
      </c>
      <c r="I6806" s="10">
        <v>2011</v>
      </c>
      <c r="J6806" s="10" t="s">
        <v>32921</v>
      </c>
      <c r="K6806" s="10">
        <v>248</v>
      </c>
      <c r="L6806" s="10" t="s">
        <v>32957</v>
      </c>
      <c r="M6806" s="10">
        <v>1</v>
      </c>
      <c r="N6806" s="10" t="s">
        <v>32923</v>
      </c>
      <c r="O6806" s="10"/>
      <c r="P6806" s="10" t="s">
        <v>32958</v>
      </c>
      <c r="Q6806" s="10">
        <v>378.17344678000001</v>
      </c>
      <c r="R6806" s="10" t="s">
        <v>32959</v>
      </c>
      <c r="S6806" s="10" t="s">
        <v>53</v>
      </c>
      <c r="T6806" s="10" t="s">
        <v>54</v>
      </c>
    </row>
    <row r="6807" spans="1:20" ht="14.5" x14ac:dyDescent="0.35">
      <c r="A6807" s="10" t="s">
        <v>32960</v>
      </c>
      <c r="B6807" s="10" t="str">
        <f>"9781606925355"</f>
        <v>9781606925355</v>
      </c>
      <c r="C6807" s="10" t="str">
        <f>"9781608769698"</f>
        <v>9781608769698</v>
      </c>
      <c r="D6807" s="10" t="s">
        <v>32919</v>
      </c>
      <c r="E6807" s="10" t="s">
        <v>32920</v>
      </c>
      <c r="F6807" s="10" t="s">
        <v>70</v>
      </c>
      <c r="G6807" s="10" t="s">
        <v>6317</v>
      </c>
      <c r="H6807" s="11">
        <v>39873</v>
      </c>
      <c r="I6807" s="10">
        <v>2009</v>
      </c>
      <c r="J6807" s="10" t="s">
        <v>32921</v>
      </c>
      <c r="K6807" s="10">
        <v>493</v>
      </c>
      <c r="L6807" s="10" t="s">
        <v>32961</v>
      </c>
      <c r="M6807" s="10">
        <v>1</v>
      </c>
      <c r="N6807" s="10"/>
      <c r="O6807" s="10"/>
      <c r="P6807" s="10" t="s">
        <v>32962</v>
      </c>
      <c r="Q6807" s="10" t="s">
        <v>22300</v>
      </c>
      <c r="R6807" s="10" t="s">
        <v>32963</v>
      </c>
      <c r="S6807" s="10" t="s">
        <v>53</v>
      </c>
      <c r="T6807" s="10" t="s">
        <v>54</v>
      </c>
    </row>
    <row r="6808" spans="1:20" ht="14.5" x14ac:dyDescent="0.35">
      <c r="A6808" s="10" t="s">
        <v>32964</v>
      </c>
      <c r="B6808" s="10" t="str">
        <f>"9781606920213"</f>
        <v>9781606920213</v>
      </c>
      <c r="C6808" s="10" t="str">
        <f>"9781608768202"</f>
        <v>9781608768202</v>
      </c>
      <c r="D6808" s="10" t="s">
        <v>32919</v>
      </c>
      <c r="E6808" s="10" t="s">
        <v>32920</v>
      </c>
      <c r="F6808" s="10" t="s">
        <v>70</v>
      </c>
      <c r="G6808" s="10" t="s">
        <v>6317</v>
      </c>
      <c r="H6808" s="11">
        <v>39722</v>
      </c>
      <c r="I6808" s="10">
        <v>2009</v>
      </c>
      <c r="J6808" s="10" t="s">
        <v>32921</v>
      </c>
      <c r="K6808" s="10">
        <v>155</v>
      </c>
      <c r="L6808" s="10" t="s">
        <v>32965</v>
      </c>
      <c r="M6808" s="10">
        <v>1</v>
      </c>
      <c r="N6808" s="10"/>
      <c r="O6808" s="10"/>
      <c r="P6808" s="10" t="s">
        <v>32966</v>
      </c>
      <c r="Q6808" s="10">
        <v>374</v>
      </c>
      <c r="R6808" s="10" t="s">
        <v>32967</v>
      </c>
      <c r="S6808" s="10" t="s">
        <v>53</v>
      </c>
      <c r="T6808" s="10" t="s">
        <v>54</v>
      </c>
    </row>
    <row r="6809" spans="1:20" ht="14.5" x14ac:dyDescent="0.35">
      <c r="A6809" s="10" t="s">
        <v>32968</v>
      </c>
      <c r="B6809" s="10" t="str">
        <f>"9781608762606"</f>
        <v>9781608762606</v>
      </c>
      <c r="C6809" s="10" t="str">
        <f>"9781611220155"</f>
        <v>9781611220155</v>
      </c>
      <c r="D6809" s="10" t="s">
        <v>32919</v>
      </c>
      <c r="E6809" s="10" t="s">
        <v>32920</v>
      </c>
      <c r="F6809" s="10" t="s">
        <v>70</v>
      </c>
      <c r="G6809" s="10" t="s">
        <v>6317</v>
      </c>
      <c r="H6809" s="11">
        <v>40179</v>
      </c>
      <c r="I6809" s="10">
        <v>2009</v>
      </c>
      <c r="J6809" s="10" t="s">
        <v>32921</v>
      </c>
      <c r="K6809" s="10">
        <v>90</v>
      </c>
      <c r="L6809" s="10" t="s">
        <v>32969</v>
      </c>
      <c r="M6809" s="10">
        <v>1</v>
      </c>
      <c r="N6809" s="10" t="s">
        <v>32923</v>
      </c>
      <c r="O6809" s="10"/>
      <c r="P6809" s="10" t="s">
        <v>32970</v>
      </c>
      <c r="Q6809" s="10">
        <v>371.30941100000001</v>
      </c>
      <c r="R6809" s="10" t="s">
        <v>32971</v>
      </c>
      <c r="S6809" s="10" t="s">
        <v>53</v>
      </c>
      <c r="T6809" s="10" t="s">
        <v>54</v>
      </c>
    </row>
    <row r="6810" spans="1:20" ht="14.5" x14ac:dyDescent="0.35">
      <c r="A6810" s="10" t="s">
        <v>32972</v>
      </c>
      <c r="B6810" s="10" t="str">
        <f>"9781611227840"</f>
        <v>9781611227840</v>
      </c>
      <c r="C6810" s="10" t="str">
        <f>"9781612090313"</f>
        <v>9781612090313</v>
      </c>
      <c r="D6810" s="10" t="s">
        <v>32919</v>
      </c>
      <c r="E6810" s="10" t="s">
        <v>32920</v>
      </c>
      <c r="F6810" s="10" t="s">
        <v>2865</v>
      </c>
      <c r="G6810" s="10" t="s">
        <v>6317</v>
      </c>
      <c r="H6810" s="11">
        <v>40664</v>
      </c>
      <c r="I6810" s="10">
        <v>2011</v>
      </c>
      <c r="J6810" s="10" t="s">
        <v>32921</v>
      </c>
      <c r="K6810" s="10">
        <v>273</v>
      </c>
      <c r="L6810" s="10" t="s">
        <v>32973</v>
      </c>
      <c r="M6810" s="10">
        <v>1</v>
      </c>
      <c r="N6810" s="10" t="s">
        <v>32923</v>
      </c>
      <c r="O6810" s="10"/>
      <c r="P6810" s="10" t="s">
        <v>32974</v>
      </c>
      <c r="Q6810" s="10">
        <v>510.71</v>
      </c>
      <c r="R6810" s="10" t="s">
        <v>32975</v>
      </c>
      <c r="S6810" s="10" t="s">
        <v>53</v>
      </c>
      <c r="T6810" s="10" t="s">
        <v>389</v>
      </c>
    </row>
    <row r="6811" spans="1:20" ht="14.5" x14ac:dyDescent="0.35">
      <c r="A6811" s="10" t="s">
        <v>32976</v>
      </c>
      <c r="B6811" s="10" t="str">
        <f>"9781607418733"</f>
        <v>9781607418733</v>
      </c>
      <c r="C6811" s="10" t="str">
        <f>"9781612090832"</f>
        <v>9781612090832</v>
      </c>
      <c r="D6811" s="10" t="s">
        <v>32919</v>
      </c>
      <c r="E6811" s="10" t="s">
        <v>32920</v>
      </c>
      <c r="F6811" s="10" t="s">
        <v>70</v>
      </c>
      <c r="G6811" s="10" t="s">
        <v>6317</v>
      </c>
      <c r="H6811" s="11">
        <v>40087</v>
      </c>
      <c r="I6811" s="10">
        <v>2009</v>
      </c>
      <c r="J6811" s="10" t="s">
        <v>32921</v>
      </c>
      <c r="K6811" s="10">
        <v>172</v>
      </c>
      <c r="L6811" s="10" t="s">
        <v>32977</v>
      </c>
      <c r="M6811" s="10">
        <v>1</v>
      </c>
      <c r="N6811" s="10" t="s">
        <v>32923</v>
      </c>
      <c r="O6811" s="10"/>
      <c r="P6811" s="10" t="s">
        <v>32978</v>
      </c>
      <c r="Q6811" s="10">
        <v>374</v>
      </c>
      <c r="R6811" s="10" t="s">
        <v>32979</v>
      </c>
      <c r="S6811" s="10" t="s">
        <v>53</v>
      </c>
      <c r="T6811" s="10" t="s">
        <v>54</v>
      </c>
    </row>
    <row r="6812" spans="1:20" ht="14.5" x14ac:dyDescent="0.35">
      <c r="A6812" s="10" t="s">
        <v>32980</v>
      </c>
      <c r="B6812" s="10" t="str">
        <f>"9781611225181"</f>
        <v>9781611225181</v>
      </c>
      <c r="C6812" s="10" t="str">
        <f>"9781612090320"</f>
        <v>9781612090320</v>
      </c>
      <c r="D6812" s="10" t="s">
        <v>32919</v>
      </c>
      <c r="E6812" s="10" t="s">
        <v>32920</v>
      </c>
      <c r="F6812" s="10" t="s">
        <v>2865</v>
      </c>
      <c r="G6812" s="10" t="s">
        <v>6317</v>
      </c>
      <c r="H6812" s="11">
        <v>40708</v>
      </c>
      <c r="I6812" s="10">
        <v>2011</v>
      </c>
      <c r="J6812" s="10" t="s">
        <v>32921</v>
      </c>
      <c r="K6812" s="10">
        <v>242</v>
      </c>
      <c r="L6812" s="10" t="s">
        <v>32981</v>
      </c>
      <c r="M6812" s="10">
        <v>1</v>
      </c>
      <c r="N6812" s="10" t="s">
        <v>32923</v>
      </c>
      <c r="O6812" s="10"/>
      <c r="P6812" s="10" t="s">
        <v>32982</v>
      </c>
      <c r="Q6812" s="10">
        <v>378.10300000000001</v>
      </c>
      <c r="R6812" s="10" t="s">
        <v>32983</v>
      </c>
      <c r="S6812" s="10" t="s">
        <v>53</v>
      </c>
      <c r="T6812" s="10" t="s">
        <v>54</v>
      </c>
    </row>
    <row r="6813" spans="1:20" ht="14.5" x14ac:dyDescent="0.35">
      <c r="A6813" s="10" t="s">
        <v>32984</v>
      </c>
      <c r="B6813" s="10" t="str">
        <f>"9781611226553"</f>
        <v>9781611226553</v>
      </c>
      <c r="C6813" s="10" t="str">
        <f>"9781612090382"</f>
        <v>9781612090382</v>
      </c>
      <c r="D6813" s="10" t="s">
        <v>32919</v>
      </c>
      <c r="E6813" s="10" t="s">
        <v>32920</v>
      </c>
      <c r="F6813" s="10" t="s">
        <v>2865</v>
      </c>
      <c r="G6813" s="10" t="s">
        <v>6317</v>
      </c>
      <c r="H6813" s="11">
        <v>40708</v>
      </c>
      <c r="I6813" s="10">
        <v>2011</v>
      </c>
      <c r="J6813" s="10" t="s">
        <v>32921</v>
      </c>
      <c r="K6813" s="10">
        <v>171</v>
      </c>
      <c r="L6813" s="10" t="s">
        <v>32985</v>
      </c>
      <c r="M6813" s="10">
        <v>1</v>
      </c>
      <c r="N6813" s="10" t="s">
        <v>32923</v>
      </c>
      <c r="O6813" s="10"/>
      <c r="P6813" s="10" t="s">
        <v>32986</v>
      </c>
      <c r="Q6813" s="10">
        <v>378.16109729999999</v>
      </c>
      <c r="R6813" s="10" t="s">
        <v>32987</v>
      </c>
      <c r="S6813" s="10" t="s">
        <v>53</v>
      </c>
      <c r="T6813" s="10" t="s">
        <v>54</v>
      </c>
    </row>
    <row r="6814" spans="1:20" ht="14.5" x14ac:dyDescent="0.35">
      <c r="A6814" s="10" t="s">
        <v>32988</v>
      </c>
      <c r="B6814" s="10" t="str">
        <f>"9781608769957"</f>
        <v>9781608769957</v>
      </c>
      <c r="C6814" s="10" t="str">
        <f>"9781612090658"</f>
        <v>9781612090658</v>
      </c>
      <c r="D6814" s="10" t="s">
        <v>32919</v>
      </c>
      <c r="E6814" s="10" t="s">
        <v>32920</v>
      </c>
      <c r="F6814" s="10" t="s">
        <v>2865</v>
      </c>
      <c r="G6814" s="10" t="s">
        <v>6317</v>
      </c>
      <c r="H6814" s="11">
        <v>40422</v>
      </c>
      <c r="I6814" s="10">
        <v>2010</v>
      </c>
      <c r="J6814" s="10" t="s">
        <v>32921</v>
      </c>
      <c r="K6814" s="10">
        <v>297</v>
      </c>
      <c r="L6814" s="10" t="s">
        <v>32989</v>
      </c>
      <c r="M6814" s="10">
        <v>1</v>
      </c>
      <c r="N6814" s="10" t="s">
        <v>32923</v>
      </c>
      <c r="O6814" s="10"/>
      <c r="P6814" s="10" t="s">
        <v>32990</v>
      </c>
      <c r="Q6814" s="10">
        <v>370.117096</v>
      </c>
      <c r="R6814" s="10" t="s">
        <v>32991</v>
      </c>
      <c r="S6814" s="10" t="s">
        <v>53</v>
      </c>
      <c r="T6814" s="10" t="s">
        <v>54</v>
      </c>
    </row>
    <row r="6815" spans="1:20" ht="14.5" x14ac:dyDescent="0.35">
      <c r="A6815" s="10" t="s">
        <v>32992</v>
      </c>
      <c r="B6815" s="10" t="str">
        <f>"9781608769483"</f>
        <v>9781608769483</v>
      </c>
      <c r="C6815" s="10" t="str">
        <f>"9781613245323"</f>
        <v>9781613245323</v>
      </c>
      <c r="D6815" s="10" t="s">
        <v>32919</v>
      </c>
      <c r="E6815" s="10" t="s">
        <v>32920</v>
      </c>
      <c r="F6815" s="10" t="s">
        <v>2865</v>
      </c>
      <c r="G6815" s="10" t="s">
        <v>6317</v>
      </c>
      <c r="H6815" s="11">
        <v>40269</v>
      </c>
      <c r="I6815" s="10">
        <v>2010</v>
      </c>
      <c r="J6815" s="10" t="s">
        <v>32921</v>
      </c>
      <c r="K6815" s="10">
        <v>173</v>
      </c>
      <c r="L6815" s="10" t="s">
        <v>32993</v>
      </c>
      <c r="M6815" s="10">
        <v>1</v>
      </c>
      <c r="N6815" s="10" t="s">
        <v>32923</v>
      </c>
      <c r="O6815" s="10"/>
      <c r="P6815" s="10" t="s">
        <v>32994</v>
      </c>
      <c r="Q6815" s="10">
        <v>373.19096669999999</v>
      </c>
      <c r="R6815" s="10" t="s">
        <v>32995</v>
      </c>
      <c r="S6815" s="10" t="s">
        <v>53</v>
      </c>
      <c r="T6815" s="10" t="s">
        <v>54</v>
      </c>
    </row>
    <row r="6816" spans="1:20" ht="14.5" x14ac:dyDescent="0.35">
      <c r="A6816" s="10" t="s">
        <v>32996</v>
      </c>
      <c r="B6816" s="10" t="str">
        <f>"9781607415107"</f>
        <v>9781607415107</v>
      </c>
      <c r="C6816" s="10" t="str">
        <f>"9781613241745"</f>
        <v>9781613241745</v>
      </c>
      <c r="D6816" s="10" t="s">
        <v>32919</v>
      </c>
      <c r="E6816" s="10" t="s">
        <v>32920</v>
      </c>
      <c r="F6816" s="10" t="s">
        <v>2865</v>
      </c>
      <c r="G6816" s="10" t="s">
        <v>6317</v>
      </c>
      <c r="H6816" s="11">
        <v>40360</v>
      </c>
      <c r="I6816" s="10">
        <v>2010</v>
      </c>
      <c r="J6816" s="10" t="s">
        <v>32921</v>
      </c>
      <c r="K6816" s="10">
        <v>201</v>
      </c>
      <c r="L6816" s="10" t="s">
        <v>32997</v>
      </c>
      <c r="M6816" s="10">
        <v>1</v>
      </c>
      <c r="N6816" s="10" t="s">
        <v>32923</v>
      </c>
      <c r="O6816" s="10"/>
      <c r="P6816" s="10" t="s">
        <v>32998</v>
      </c>
      <c r="Q6816" s="10" t="s">
        <v>32999</v>
      </c>
      <c r="R6816" s="10" t="s">
        <v>33000</v>
      </c>
      <c r="S6816" s="10" t="s">
        <v>53</v>
      </c>
      <c r="T6816" s="10" t="s">
        <v>54</v>
      </c>
    </row>
    <row r="6817" spans="1:20" ht="14.5" x14ac:dyDescent="0.35">
      <c r="A6817" s="10" t="s">
        <v>33001</v>
      </c>
      <c r="B6817" s="10" t="str">
        <f>"9781608769582"</f>
        <v>9781608769582</v>
      </c>
      <c r="C6817" s="10" t="str">
        <f>"9781613245347"</f>
        <v>9781613245347</v>
      </c>
      <c r="D6817" s="10" t="s">
        <v>32919</v>
      </c>
      <c r="E6817" s="10" t="s">
        <v>32920</v>
      </c>
      <c r="F6817" s="10" t="s">
        <v>2865</v>
      </c>
      <c r="G6817" s="10" t="s">
        <v>6317</v>
      </c>
      <c r="H6817" s="11">
        <v>40330</v>
      </c>
      <c r="I6817" s="10">
        <v>2010</v>
      </c>
      <c r="J6817" s="10" t="s">
        <v>32921</v>
      </c>
      <c r="K6817" s="10">
        <v>131</v>
      </c>
      <c r="L6817" s="10" t="s">
        <v>33002</v>
      </c>
      <c r="M6817" s="10">
        <v>1</v>
      </c>
      <c r="N6817" s="10" t="s">
        <v>32923</v>
      </c>
      <c r="O6817" s="10"/>
      <c r="P6817" s="10" t="s">
        <v>33003</v>
      </c>
      <c r="Q6817" s="10" t="s">
        <v>10286</v>
      </c>
      <c r="R6817" s="10" t="s">
        <v>33004</v>
      </c>
      <c r="S6817" s="10" t="s">
        <v>53</v>
      </c>
      <c r="T6817" s="10" t="s">
        <v>9608</v>
      </c>
    </row>
    <row r="6818" spans="1:20" ht="14.5" x14ac:dyDescent="0.35">
      <c r="A6818" s="10" t="s">
        <v>33005</v>
      </c>
      <c r="B6818" s="10" t="str">
        <f>"9781613249277"</f>
        <v>9781613249277</v>
      </c>
      <c r="C6818" s="10" t="str">
        <f>"9781614700319"</f>
        <v>9781614700319</v>
      </c>
      <c r="D6818" s="10" t="s">
        <v>32919</v>
      </c>
      <c r="E6818" s="10" t="s">
        <v>32920</v>
      </c>
      <c r="F6818" s="10" t="s">
        <v>2865</v>
      </c>
      <c r="G6818" s="10" t="s">
        <v>6317</v>
      </c>
      <c r="H6818" s="11">
        <v>41054</v>
      </c>
      <c r="I6818" s="10">
        <v>2012</v>
      </c>
      <c r="J6818" s="10" t="s">
        <v>32921</v>
      </c>
      <c r="K6818" s="10">
        <v>151</v>
      </c>
      <c r="L6818" s="10" t="s">
        <v>33006</v>
      </c>
      <c r="M6818" s="10">
        <v>1</v>
      </c>
      <c r="N6818" s="10" t="s">
        <v>32923</v>
      </c>
      <c r="O6818" s="10"/>
      <c r="P6818" s="10" t="s">
        <v>33007</v>
      </c>
      <c r="Q6818" s="10" t="s">
        <v>8916</v>
      </c>
      <c r="R6818" s="10" t="s">
        <v>33008</v>
      </c>
      <c r="S6818" s="10" t="s">
        <v>53</v>
      </c>
      <c r="T6818" s="10" t="s">
        <v>54</v>
      </c>
    </row>
    <row r="6819" spans="1:20" ht="14.5" x14ac:dyDescent="0.35">
      <c r="A6819" s="10" t="s">
        <v>33009</v>
      </c>
      <c r="B6819" s="10" t="str">
        <f>"9781604563221"</f>
        <v>9781604563221</v>
      </c>
      <c r="C6819" s="10" t="str">
        <f>"9781613244678"</f>
        <v>9781613244678</v>
      </c>
      <c r="D6819" s="10" t="s">
        <v>32919</v>
      </c>
      <c r="E6819" s="10" t="s">
        <v>32920</v>
      </c>
      <c r="F6819" s="10" t="s">
        <v>2865</v>
      </c>
      <c r="G6819" s="10" t="s">
        <v>6317</v>
      </c>
      <c r="H6819" s="11">
        <v>39661</v>
      </c>
      <c r="I6819" s="10">
        <v>2008</v>
      </c>
      <c r="J6819" s="10" t="s">
        <v>32921</v>
      </c>
      <c r="K6819" s="10">
        <v>210</v>
      </c>
      <c r="L6819" s="10" t="s">
        <v>33010</v>
      </c>
      <c r="M6819" s="10">
        <v>1</v>
      </c>
      <c r="N6819" s="10"/>
      <c r="O6819" s="10"/>
      <c r="P6819" s="10" t="s">
        <v>33011</v>
      </c>
      <c r="Q6819" s="10">
        <v>371.26099299999998</v>
      </c>
      <c r="R6819" s="10" t="s">
        <v>33012</v>
      </c>
      <c r="S6819" s="10" t="s">
        <v>53</v>
      </c>
      <c r="T6819" s="10" t="s">
        <v>54</v>
      </c>
    </row>
    <row r="6820" spans="1:20" ht="14.5" x14ac:dyDescent="0.35">
      <c r="A6820" s="10" t="s">
        <v>33013</v>
      </c>
      <c r="B6820" s="10" t="str">
        <f>"9781607417323"</f>
        <v>9781607417323</v>
      </c>
      <c r="C6820" s="10" t="str">
        <f>"9781616685713"</f>
        <v>9781616685713</v>
      </c>
      <c r="D6820" s="10" t="s">
        <v>32919</v>
      </c>
      <c r="E6820" s="10" t="s">
        <v>32920</v>
      </c>
      <c r="F6820" s="10" t="s">
        <v>2865</v>
      </c>
      <c r="G6820" s="10" t="s">
        <v>6317</v>
      </c>
      <c r="H6820" s="11">
        <v>40077</v>
      </c>
      <c r="I6820" s="10">
        <v>2009</v>
      </c>
      <c r="J6820" s="10" t="s">
        <v>32921</v>
      </c>
      <c r="K6820" s="10">
        <v>327</v>
      </c>
      <c r="L6820" s="10" t="s">
        <v>33014</v>
      </c>
      <c r="M6820" s="10">
        <v>1</v>
      </c>
      <c r="N6820" s="10" t="s">
        <v>32923</v>
      </c>
      <c r="O6820" s="10"/>
      <c r="P6820" s="10" t="s">
        <v>33015</v>
      </c>
      <c r="Q6820" s="10" t="s">
        <v>7307</v>
      </c>
      <c r="R6820" s="10" t="s">
        <v>33016</v>
      </c>
      <c r="S6820" s="10" t="s">
        <v>53</v>
      </c>
      <c r="T6820" s="10" t="s">
        <v>54</v>
      </c>
    </row>
    <row r="6821" spans="1:20" ht="14.5" x14ac:dyDescent="0.35">
      <c r="A6821" s="10" t="s">
        <v>33017</v>
      </c>
      <c r="B6821" s="10" t="str">
        <f>"9781607416432"</f>
        <v>9781607416432</v>
      </c>
      <c r="C6821" s="10" t="str">
        <f>"9781617281402"</f>
        <v>9781617281402</v>
      </c>
      <c r="D6821" s="10" t="s">
        <v>32919</v>
      </c>
      <c r="E6821" s="10" t="s">
        <v>32920</v>
      </c>
      <c r="F6821" s="10" t="s">
        <v>2865</v>
      </c>
      <c r="G6821" s="10" t="s">
        <v>6317</v>
      </c>
      <c r="H6821" s="11">
        <v>40144</v>
      </c>
      <c r="I6821" s="10">
        <v>2009</v>
      </c>
      <c r="J6821" s="10" t="s">
        <v>32921</v>
      </c>
      <c r="K6821" s="10">
        <v>474</v>
      </c>
      <c r="L6821" s="10" t="s">
        <v>33018</v>
      </c>
      <c r="M6821" s="10">
        <v>1</v>
      </c>
      <c r="N6821" s="10" t="s">
        <v>32923</v>
      </c>
      <c r="O6821" s="10"/>
      <c r="P6821" s="10" t="s">
        <v>33019</v>
      </c>
      <c r="Q6821" s="10">
        <v>372.21</v>
      </c>
      <c r="R6821" s="10" t="s">
        <v>33020</v>
      </c>
      <c r="S6821" s="10" t="s">
        <v>53</v>
      </c>
      <c r="T6821" s="10" t="s">
        <v>54</v>
      </c>
    </row>
    <row r="6822" spans="1:20" ht="14.5" x14ac:dyDescent="0.35">
      <c r="A6822" s="10" t="s">
        <v>33021</v>
      </c>
      <c r="B6822" s="10" t="str">
        <f>"9781608768356"</f>
        <v>9781608768356</v>
      </c>
      <c r="C6822" s="10" t="str">
        <f>"9781616687304"</f>
        <v>9781616687304</v>
      </c>
      <c r="D6822" s="10" t="s">
        <v>32919</v>
      </c>
      <c r="E6822" s="10" t="s">
        <v>32920</v>
      </c>
      <c r="F6822" s="10" t="s">
        <v>2865</v>
      </c>
      <c r="G6822" s="10" t="s">
        <v>6317</v>
      </c>
      <c r="H6822" s="11">
        <v>40346</v>
      </c>
      <c r="I6822" s="10">
        <v>2010</v>
      </c>
      <c r="J6822" s="10" t="s">
        <v>32921</v>
      </c>
      <c r="K6822" s="10">
        <v>242</v>
      </c>
      <c r="L6822" s="10" t="s">
        <v>33022</v>
      </c>
      <c r="M6822" s="10">
        <v>1</v>
      </c>
      <c r="N6822" s="10" t="s">
        <v>32923</v>
      </c>
      <c r="O6822" s="10"/>
      <c r="P6822" s="10" t="s">
        <v>33023</v>
      </c>
      <c r="Q6822" s="10" t="s">
        <v>33024</v>
      </c>
      <c r="R6822" s="10" t="s">
        <v>33025</v>
      </c>
      <c r="S6822" s="10" t="s">
        <v>53</v>
      </c>
      <c r="T6822" s="10" t="s">
        <v>54</v>
      </c>
    </row>
    <row r="6823" spans="1:20" ht="14.5" x14ac:dyDescent="0.35">
      <c r="A6823" s="10" t="s">
        <v>33026</v>
      </c>
      <c r="B6823" s="10" t="str">
        <f>"9781590339169"</f>
        <v>9781590339169</v>
      </c>
      <c r="C6823" s="10" t="str">
        <f>"9781617281877"</f>
        <v>9781617281877</v>
      </c>
      <c r="D6823" s="10" t="s">
        <v>32919</v>
      </c>
      <c r="E6823" s="10" t="s">
        <v>32920</v>
      </c>
      <c r="F6823" s="10" t="s">
        <v>2865</v>
      </c>
      <c r="G6823" s="10" t="s">
        <v>6317</v>
      </c>
      <c r="H6823" s="11">
        <v>38169</v>
      </c>
      <c r="I6823" s="10">
        <v>2009</v>
      </c>
      <c r="J6823" s="10" t="s">
        <v>32921</v>
      </c>
      <c r="K6823" s="10">
        <v>156</v>
      </c>
      <c r="L6823" s="10" t="s">
        <v>33027</v>
      </c>
      <c r="M6823" s="10">
        <v>1</v>
      </c>
      <c r="N6823" s="10"/>
      <c r="O6823" s="10"/>
      <c r="P6823" s="10" t="s">
        <v>33028</v>
      </c>
      <c r="Q6823" s="10" t="s">
        <v>33029</v>
      </c>
      <c r="R6823" s="10" t="s">
        <v>33030</v>
      </c>
      <c r="S6823" s="10" t="s">
        <v>53</v>
      </c>
      <c r="T6823" s="10" t="s">
        <v>54</v>
      </c>
    </row>
    <row r="6824" spans="1:20" ht="14.5" x14ac:dyDescent="0.35">
      <c r="A6824" s="10" t="s">
        <v>33031</v>
      </c>
      <c r="B6824" s="10" t="str">
        <f>"9781614709435"</f>
        <v>9781614709435</v>
      </c>
      <c r="C6824" s="10" t="str">
        <f>"9781614709978"</f>
        <v>9781614709978</v>
      </c>
      <c r="D6824" s="10" t="s">
        <v>32919</v>
      </c>
      <c r="E6824" s="10" t="s">
        <v>32920</v>
      </c>
      <c r="F6824" s="10" t="s">
        <v>70</v>
      </c>
      <c r="G6824" s="10" t="s">
        <v>6317</v>
      </c>
      <c r="H6824" s="11">
        <v>41000</v>
      </c>
      <c r="I6824" s="10">
        <v>2012</v>
      </c>
      <c r="J6824" s="10" t="s">
        <v>32921</v>
      </c>
      <c r="K6824" s="10">
        <v>285</v>
      </c>
      <c r="L6824" s="10" t="s">
        <v>33032</v>
      </c>
      <c r="M6824" s="10">
        <v>1</v>
      </c>
      <c r="N6824" s="10" t="s">
        <v>33033</v>
      </c>
      <c r="O6824" s="10"/>
      <c r="P6824" s="10" t="s">
        <v>33034</v>
      </c>
      <c r="Q6824" s="10" t="s">
        <v>33035</v>
      </c>
      <c r="R6824" s="10" t="s">
        <v>33036</v>
      </c>
      <c r="S6824" s="10" t="s">
        <v>53</v>
      </c>
      <c r="T6824" s="10" t="s">
        <v>54</v>
      </c>
    </row>
    <row r="6825" spans="1:20" ht="14.5" x14ac:dyDescent="0.35">
      <c r="A6825" s="10" t="s">
        <v>33037</v>
      </c>
      <c r="B6825" s="10" t="str">
        <f>"9781607411277"</f>
        <v>9781607411277</v>
      </c>
      <c r="C6825" s="10" t="str">
        <f>"9781617614712"</f>
        <v>9781617614712</v>
      </c>
      <c r="D6825" s="10" t="s">
        <v>32919</v>
      </c>
      <c r="E6825" s="10" t="s">
        <v>32920</v>
      </c>
      <c r="F6825" s="10" t="s">
        <v>2865</v>
      </c>
      <c r="G6825" s="10" t="s">
        <v>6317</v>
      </c>
      <c r="H6825" s="11">
        <v>39904</v>
      </c>
      <c r="I6825" s="10">
        <v>2010</v>
      </c>
      <c r="J6825" s="10" t="s">
        <v>32921</v>
      </c>
      <c r="K6825" s="10">
        <v>166</v>
      </c>
      <c r="L6825" s="10" t="s">
        <v>33038</v>
      </c>
      <c r="M6825" s="10">
        <v>1</v>
      </c>
      <c r="N6825" s="10" t="s">
        <v>33039</v>
      </c>
      <c r="O6825" s="10"/>
      <c r="P6825" s="10" t="s">
        <v>33040</v>
      </c>
      <c r="Q6825" s="10">
        <v>428.00760000000002</v>
      </c>
      <c r="R6825" s="10" t="s">
        <v>33041</v>
      </c>
      <c r="S6825" s="10" t="s">
        <v>53</v>
      </c>
      <c r="T6825" s="10" t="s">
        <v>6616</v>
      </c>
    </row>
    <row r="6826" spans="1:20" ht="14.5" x14ac:dyDescent="0.35">
      <c r="A6826" s="10" t="s">
        <v>33042</v>
      </c>
      <c r="B6826" s="10" t="str">
        <f>"9781607416661"</f>
        <v>9781607416661</v>
      </c>
      <c r="C6826" s="10" t="str">
        <f>"9781616683887"</f>
        <v>9781616683887</v>
      </c>
      <c r="D6826" s="10" t="s">
        <v>32919</v>
      </c>
      <c r="E6826" s="10" t="s">
        <v>32920</v>
      </c>
      <c r="F6826" s="10" t="s">
        <v>2865</v>
      </c>
      <c r="G6826" s="10" t="s">
        <v>6317</v>
      </c>
      <c r="H6826" s="11">
        <v>40269</v>
      </c>
      <c r="I6826" s="10">
        <v>2011</v>
      </c>
      <c r="J6826" s="10" t="s">
        <v>32921</v>
      </c>
      <c r="K6826" s="10">
        <v>111</v>
      </c>
      <c r="L6826" s="10" t="s">
        <v>33043</v>
      </c>
      <c r="M6826" s="10">
        <v>1</v>
      </c>
      <c r="N6826" s="10" t="s">
        <v>32923</v>
      </c>
      <c r="O6826" s="10"/>
      <c r="P6826" s="10" t="s">
        <v>33044</v>
      </c>
      <c r="Q6826" s="10"/>
      <c r="R6826" s="10" t="s">
        <v>33045</v>
      </c>
      <c r="S6826" s="10" t="s">
        <v>53</v>
      </c>
      <c r="T6826" s="10" t="s">
        <v>54</v>
      </c>
    </row>
    <row r="6827" spans="1:20" ht="14.5" x14ac:dyDescent="0.35">
      <c r="A6827" s="10" t="s">
        <v>33046</v>
      </c>
      <c r="B6827" s="10" t="str">
        <f>"9781604567298"</f>
        <v>9781604567298</v>
      </c>
      <c r="C6827" s="10" t="str">
        <f>"9781616680961"</f>
        <v>9781616680961</v>
      </c>
      <c r="D6827" s="10" t="s">
        <v>32919</v>
      </c>
      <c r="E6827" s="10" t="s">
        <v>32920</v>
      </c>
      <c r="F6827" s="10" t="s">
        <v>2865</v>
      </c>
      <c r="G6827" s="10" t="s">
        <v>6317</v>
      </c>
      <c r="H6827" s="11">
        <v>39757</v>
      </c>
      <c r="I6827" s="10">
        <v>2008</v>
      </c>
      <c r="J6827" s="10" t="s">
        <v>32921</v>
      </c>
      <c r="K6827" s="10">
        <v>305</v>
      </c>
      <c r="L6827" s="10" t="s">
        <v>33047</v>
      </c>
      <c r="M6827" s="10">
        <v>1</v>
      </c>
      <c r="N6827" s="10"/>
      <c r="O6827" s="10"/>
      <c r="P6827" s="10" t="s">
        <v>33048</v>
      </c>
      <c r="Q6827" s="10">
        <v>378.4</v>
      </c>
      <c r="R6827" s="10" t="s">
        <v>33049</v>
      </c>
      <c r="S6827" s="10" t="s">
        <v>53</v>
      </c>
      <c r="T6827" s="10" t="s">
        <v>54</v>
      </c>
    </row>
    <row r="6828" spans="1:20" ht="14.5" x14ac:dyDescent="0.35">
      <c r="A6828" s="10" t="s">
        <v>33050</v>
      </c>
      <c r="B6828" s="10" t="str">
        <f>"9781606925058"</f>
        <v>9781606925058</v>
      </c>
      <c r="C6828" s="10" t="str">
        <f>"9781614706243"</f>
        <v>9781614706243</v>
      </c>
      <c r="D6828" s="10" t="s">
        <v>32919</v>
      </c>
      <c r="E6828" s="10" t="s">
        <v>32920</v>
      </c>
      <c r="F6828" s="10" t="s">
        <v>70</v>
      </c>
      <c r="G6828" s="10" t="s">
        <v>6317</v>
      </c>
      <c r="H6828" s="11">
        <v>39448</v>
      </c>
      <c r="I6828" s="10">
        <v>2009</v>
      </c>
      <c r="J6828" s="10" t="s">
        <v>32921</v>
      </c>
      <c r="K6828" s="10">
        <v>289</v>
      </c>
      <c r="L6828" s="10" t="s">
        <v>33051</v>
      </c>
      <c r="M6828" s="10">
        <v>1</v>
      </c>
      <c r="N6828" s="10"/>
      <c r="O6828" s="10"/>
      <c r="P6828" s="10" t="s">
        <v>33052</v>
      </c>
      <c r="Q6828" s="10"/>
      <c r="R6828" s="10" t="s">
        <v>33053</v>
      </c>
      <c r="S6828" s="10" t="s">
        <v>53</v>
      </c>
      <c r="T6828" s="10" t="s">
        <v>54</v>
      </c>
    </row>
    <row r="6829" spans="1:20" ht="14.5" x14ac:dyDescent="0.35">
      <c r="A6829" s="10" t="s">
        <v>33054</v>
      </c>
      <c r="B6829" s="10" t="str">
        <f>"9781606922385"</f>
        <v>9781606922385</v>
      </c>
      <c r="C6829" s="10" t="str">
        <f>"9781617283697"</f>
        <v>9781617283697</v>
      </c>
      <c r="D6829" s="10" t="s">
        <v>32919</v>
      </c>
      <c r="E6829" s="10" t="s">
        <v>32920</v>
      </c>
      <c r="F6829" s="10" t="s">
        <v>70</v>
      </c>
      <c r="G6829" s="10" t="s">
        <v>6317</v>
      </c>
      <c r="H6829" s="11">
        <v>39873</v>
      </c>
      <c r="I6829" s="10">
        <v>2009</v>
      </c>
      <c r="J6829" s="10" t="s">
        <v>32921</v>
      </c>
      <c r="K6829" s="10">
        <v>192</v>
      </c>
      <c r="L6829" s="10" t="s">
        <v>33055</v>
      </c>
      <c r="M6829" s="10">
        <v>1</v>
      </c>
      <c r="N6829" s="10"/>
      <c r="O6829" s="10"/>
      <c r="P6829" s="10" t="s">
        <v>33056</v>
      </c>
      <c r="Q6829" s="10" t="s">
        <v>32568</v>
      </c>
      <c r="R6829" s="10" t="s">
        <v>33057</v>
      </c>
      <c r="S6829" s="10" t="s">
        <v>53</v>
      </c>
      <c r="T6829" s="10" t="s">
        <v>54</v>
      </c>
    </row>
    <row r="6830" spans="1:20" ht="14.5" x14ac:dyDescent="0.35">
      <c r="A6830" s="10" t="s">
        <v>33058</v>
      </c>
      <c r="B6830" s="10" t="str">
        <f>"9781607415091"</f>
        <v>9781607415091</v>
      </c>
      <c r="C6830" s="10" t="str">
        <f>"9781617287701"</f>
        <v>9781617287701</v>
      </c>
      <c r="D6830" s="10" t="s">
        <v>32919</v>
      </c>
      <c r="E6830" s="10" t="s">
        <v>32920</v>
      </c>
      <c r="F6830" s="10" t="s">
        <v>70</v>
      </c>
      <c r="G6830" s="10" t="s">
        <v>6317</v>
      </c>
      <c r="H6830" s="11">
        <v>39995</v>
      </c>
      <c r="I6830" s="10">
        <v>2010</v>
      </c>
      <c r="J6830" s="10" t="s">
        <v>32921</v>
      </c>
      <c r="K6830" s="10">
        <v>259</v>
      </c>
      <c r="L6830" s="10" t="s">
        <v>33059</v>
      </c>
      <c r="M6830" s="10">
        <v>1</v>
      </c>
      <c r="N6830" s="10" t="s">
        <v>32923</v>
      </c>
      <c r="O6830" s="10"/>
      <c r="P6830" s="10" t="s">
        <v>33060</v>
      </c>
      <c r="Q6830" s="10">
        <v>370.96699999999998</v>
      </c>
      <c r="R6830" s="10" t="s">
        <v>33061</v>
      </c>
      <c r="S6830" s="10" t="s">
        <v>53</v>
      </c>
      <c r="T6830" s="10" t="s">
        <v>54</v>
      </c>
    </row>
    <row r="6831" spans="1:20" ht="14.5" x14ac:dyDescent="0.35">
      <c r="A6831" s="10" t="s">
        <v>33062</v>
      </c>
      <c r="B6831" s="10" t="str">
        <f>"9781617282683"</f>
        <v>9781617282683</v>
      </c>
      <c r="C6831" s="10" t="str">
        <f>"9781617286452"</f>
        <v>9781617286452</v>
      </c>
      <c r="D6831" s="10" t="s">
        <v>32919</v>
      </c>
      <c r="E6831" s="10" t="s">
        <v>32920</v>
      </c>
      <c r="F6831" s="10" t="s">
        <v>2865</v>
      </c>
      <c r="G6831" s="10" t="s">
        <v>6317</v>
      </c>
      <c r="H6831" s="11">
        <v>40521</v>
      </c>
      <c r="I6831" s="10">
        <v>2010</v>
      </c>
      <c r="J6831" s="10" t="s">
        <v>32921</v>
      </c>
      <c r="K6831" s="10">
        <v>99</v>
      </c>
      <c r="L6831" s="10" t="s">
        <v>33063</v>
      </c>
      <c r="M6831" s="10">
        <v>1</v>
      </c>
      <c r="N6831" s="10" t="s">
        <v>32923</v>
      </c>
      <c r="O6831" s="10"/>
      <c r="P6831" s="10" t="s">
        <v>33064</v>
      </c>
      <c r="Q6831" s="10" t="s">
        <v>8381</v>
      </c>
      <c r="R6831" s="10" t="s">
        <v>33065</v>
      </c>
      <c r="S6831" s="10" t="s">
        <v>53</v>
      </c>
      <c r="T6831" s="10" t="s">
        <v>54</v>
      </c>
    </row>
    <row r="6832" spans="1:20" ht="14.5" x14ac:dyDescent="0.35">
      <c r="A6832" s="10" t="s">
        <v>33066</v>
      </c>
      <c r="B6832" s="10" t="str">
        <f>"9781617289149"</f>
        <v>9781617289149</v>
      </c>
      <c r="C6832" s="10" t="str">
        <f>"9781617610387"</f>
        <v>9781617610387</v>
      </c>
      <c r="D6832" s="10" t="s">
        <v>32919</v>
      </c>
      <c r="E6832" s="10" t="s">
        <v>32920</v>
      </c>
      <c r="F6832" s="10" t="s">
        <v>2865</v>
      </c>
      <c r="G6832" s="10" t="s">
        <v>6317</v>
      </c>
      <c r="H6832" s="11">
        <v>40634</v>
      </c>
      <c r="I6832" s="10">
        <v>2011</v>
      </c>
      <c r="J6832" s="10" t="s">
        <v>32921</v>
      </c>
      <c r="K6832" s="10">
        <v>174</v>
      </c>
      <c r="L6832" s="10" t="s">
        <v>33067</v>
      </c>
      <c r="M6832" s="10">
        <v>1</v>
      </c>
      <c r="N6832" s="10" t="s">
        <v>32923</v>
      </c>
      <c r="O6832" s="10"/>
      <c r="P6832" s="10" t="s">
        <v>33068</v>
      </c>
      <c r="Q6832" s="10">
        <v>507.1</v>
      </c>
      <c r="R6832" s="10" t="s">
        <v>33069</v>
      </c>
      <c r="S6832" s="10" t="s">
        <v>53</v>
      </c>
      <c r="T6832" s="10" t="s">
        <v>7193</v>
      </c>
    </row>
    <row r="6833" spans="1:20" ht="14.5" x14ac:dyDescent="0.35">
      <c r="A6833" s="10" t="s">
        <v>33070</v>
      </c>
      <c r="B6833" s="10" t="str">
        <f>"9781606928875"</f>
        <v>9781606928875</v>
      </c>
      <c r="C6833" s="10" t="str">
        <f>"9781617283857"</f>
        <v>9781617283857</v>
      </c>
      <c r="D6833" s="10" t="s">
        <v>32919</v>
      </c>
      <c r="E6833" s="10" t="s">
        <v>32920</v>
      </c>
      <c r="F6833" s="10" t="s">
        <v>2865</v>
      </c>
      <c r="G6833" s="10" t="s">
        <v>6317</v>
      </c>
      <c r="H6833" s="11">
        <v>39539</v>
      </c>
      <c r="I6833" s="10">
        <v>2009</v>
      </c>
      <c r="J6833" s="10" t="s">
        <v>32920</v>
      </c>
      <c r="K6833" s="10">
        <v>164</v>
      </c>
      <c r="L6833" s="10" t="s">
        <v>33071</v>
      </c>
      <c r="M6833" s="10">
        <v>1</v>
      </c>
      <c r="N6833" s="10"/>
      <c r="O6833" s="10"/>
      <c r="P6833" s="10" t="s">
        <v>33072</v>
      </c>
      <c r="Q6833" s="10" t="s">
        <v>33073</v>
      </c>
      <c r="R6833" s="10" t="s">
        <v>33074</v>
      </c>
      <c r="S6833" s="10" t="s">
        <v>53</v>
      </c>
      <c r="T6833" s="10" t="s">
        <v>54</v>
      </c>
    </row>
    <row r="6834" spans="1:20" ht="14.5" x14ac:dyDescent="0.35">
      <c r="A6834" s="10" t="s">
        <v>33075</v>
      </c>
      <c r="B6834" s="10" t="str">
        <f>"9781606925331"</f>
        <v>9781606925331</v>
      </c>
      <c r="C6834" s="10" t="str">
        <f>"9781617283833"</f>
        <v>9781617283833</v>
      </c>
      <c r="D6834" s="10" t="s">
        <v>32919</v>
      </c>
      <c r="E6834" s="10" t="s">
        <v>32920</v>
      </c>
      <c r="F6834" s="10" t="s">
        <v>70</v>
      </c>
      <c r="G6834" s="10" t="s">
        <v>6317</v>
      </c>
      <c r="H6834" s="11">
        <v>39965</v>
      </c>
      <c r="I6834" s="10">
        <v>2009</v>
      </c>
      <c r="J6834" s="10" t="s">
        <v>32921</v>
      </c>
      <c r="K6834" s="10">
        <v>169</v>
      </c>
      <c r="L6834" s="10" t="s">
        <v>32993</v>
      </c>
      <c r="M6834" s="10">
        <v>1</v>
      </c>
      <c r="N6834" s="10"/>
      <c r="O6834" s="10"/>
      <c r="P6834" s="10" t="s">
        <v>33076</v>
      </c>
      <c r="Q6834" s="10" t="s">
        <v>33077</v>
      </c>
      <c r="R6834" s="10" t="s">
        <v>33078</v>
      </c>
      <c r="S6834" s="10" t="s">
        <v>53</v>
      </c>
      <c r="T6834" s="10" t="s">
        <v>54</v>
      </c>
    </row>
    <row r="6835" spans="1:20" ht="14.5" x14ac:dyDescent="0.35">
      <c r="A6835" s="10" t="s">
        <v>1575</v>
      </c>
      <c r="B6835" s="10" t="str">
        <f>"9781617288586"</f>
        <v>9781617288586</v>
      </c>
      <c r="C6835" s="10" t="str">
        <f>"9781617610431"</f>
        <v>9781617610431</v>
      </c>
      <c r="D6835" s="10" t="s">
        <v>32919</v>
      </c>
      <c r="E6835" s="10" t="s">
        <v>32920</v>
      </c>
      <c r="F6835" s="10" t="s">
        <v>70</v>
      </c>
      <c r="G6835" s="10" t="s">
        <v>6317</v>
      </c>
      <c r="H6835" s="11">
        <v>40452</v>
      </c>
      <c r="I6835" s="10">
        <v>2011</v>
      </c>
      <c r="J6835" s="10" t="s">
        <v>32921</v>
      </c>
      <c r="K6835" s="10">
        <v>322</v>
      </c>
      <c r="L6835" s="10" t="s">
        <v>33079</v>
      </c>
      <c r="M6835" s="10">
        <v>1</v>
      </c>
      <c r="N6835" s="10" t="s">
        <v>32923</v>
      </c>
      <c r="O6835" s="10"/>
      <c r="P6835" s="10" t="s">
        <v>33080</v>
      </c>
      <c r="Q6835" s="10">
        <v>371.35</v>
      </c>
      <c r="R6835" s="10" t="s">
        <v>33081</v>
      </c>
      <c r="S6835" s="10" t="s">
        <v>53</v>
      </c>
      <c r="T6835" s="10" t="s">
        <v>54</v>
      </c>
    </row>
    <row r="6836" spans="1:20" ht="14.5" x14ac:dyDescent="0.35">
      <c r="A6836" s="10" t="s">
        <v>33082</v>
      </c>
      <c r="B6836" s="10" t="str">
        <f>"9781621008538"</f>
        <v>9781621008538</v>
      </c>
      <c r="C6836" s="10" t="str">
        <f>"9781621008972"</f>
        <v>9781621008972</v>
      </c>
      <c r="D6836" s="10" t="s">
        <v>32919</v>
      </c>
      <c r="E6836" s="10" t="s">
        <v>32920</v>
      </c>
      <c r="F6836" s="10" t="s">
        <v>2865</v>
      </c>
      <c r="G6836" s="10" t="s">
        <v>6317</v>
      </c>
      <c r="H6836" s="11">
        <v>41143</v>
      </c>
      <c r="I6836" s="10">
        <v>2012</v>
      </c>
      <c r="J6836" s="10" t="s">
        <v>32921</v>
      </c>
      <c r="K6836" s="10">
        <v>242</v>
      </c>
      <c r="L6836" s="10" t="s">
        <v>33083</v>
      </c>
      <c r="M6836" s="10">
        <v>1</v>
      </c>
      <c r="N6836" s="10" t="s">
        <v>33084</v>
      </c>
      <c r="O6836" s="10"/>
      <c r="P6836" s="10" t="s">
        <v>33085</v>
      </c>
      <c r="Q6836" s="10">
        <v>379.68</v>
      </c>
      <c r="R6836" s="10" t="s">
        <v>33086</v>
      </c>
      <c r="S6836" s="10" t="s">
        <v>53</v>
      </c>
      <c r="T6836" s="10" t="s">
        <v>54</v>
      </c>
    </row>
    <row r="6837" spans="1:20" ht="14.5" x14ac:dyDescent="0.35">
      <c r="A6837" s="10" t="s">
        <v>20515</v>
      </c>
      <c r="B6837" s="10" t="str">
        <f>"9781613241547"</f>
        <v>9781613241547</v>
      </c>
      <c r="C6837" s="10" t="str">
        <f>"9781624173585"</f>
        <v>9781624173585</v>
      </c>
      <c r="D6837" s="10" t="s">
        <v>32919</v>
      </c>
      <c r="E6837" s="10" t="s">
        <v>32920</v>
      </c>
      <c r="F6837" s="10" t="s">
        <v>2865</v>
      </c>
      <c r="G6837" s="10" t="s">
        <v>6317</v>
      </c>
      <c r="H6837" s="11">
        <v>40948</v>
      </c>
      <c r="I6837" s="10">
        <v>2012</v>
      </c>
      <c r="J6837" s="10" t="s">
        <v>32921</v>
      </c>
      <c r="K6837" s="10">
        <v>240</v>
      </c>
      <c r="L6837" s="10" t="s">
        <v>33087</v>
      </c>
      <c r="M6837" s="10">
        <v>1</v>
      </c>
      <c r="N6837" s="10" t="s">
        <v>32923</v>
      </c>
      <c r="O6837" s="10"/>
      <c r="P6837" s="10" t="s">
        <v>33088</v>
      </c>
      <c r="Q6837" s="10">
        <v>372.21097300000002</v>
      </c>
      <c r="R6837" s="10" t="s">
        <v>33089</v>
      </c>
      <c r="S6837" s="10" t="s">
        <v>53</v>
      </c>
      <c r="T6837" s="10" t="s">
        <v>54</v>
      </c>
    </row>
    <row r="6838" spans="1:20" ht="14.5" x14ac:dyDescent="0.35">
      <c r="A6838" s="10" t="s">
        <v>33090</v>
      </c>
      <c r="B6838" s="10" t="str">
        <f>"9781622573875"</f>
        <v>9781622573875</v>
      </c>
      <c r="C6838" s="10" t="str">
        <f>"9781622573974"</f>
        <v>9781622573974</v>
      </c>
      <c r="D6838" s="10" t="s">
        <v>32919</v>
      </c>
      <c r="E6838" s="10" t="s">
        <v>32920</v>
      </c>
      <c r="F6838" s="10" t="s">
        <v>70</v>
      </c>
      <c r="G6838" s="10" t="s">
        <v>6317</v>
      </c>
      <c r="H6838" s="11">
        <v>41244</v>
      </c>
      <c r="I6838" s="10">
        <v>2013</v>
      </c>
      <c r="J6838" s="10" t="s">
        <v>32921</v>
      </c>
      <c r="K6838" s="10">
        <v>322</v>
      </c>
      <c r="L6838" s="10" t="s">
        <v>33091</v>
      </c>
      <c r="M6838" s="10">
        <v>1</v>
      </c>
      <c r="N6838" s="10" t="s">
        <v>32923</v>
      </c>
      <c r="O6838" s="10"/>
      <c r="P6838" s="10" t="s">
        <v>33092</v>
      </c>
      <c r="Q6838" s="10" t="s">
        <v>33093</v>
      </c>
      <c r="R6838" s="10" t="s">
        <v>33094</v>
      </c>
      <c r="S6838" s="10" t="s">
        <v>53</v>
      </c>
      <c r="T6838" s="10" t="s">
        <v>54</v>
      </c>
    </row>
    <row r="6839" spans="1:20" ht="14.5" x14ac:dyDescent="0.35">
      <c r="A6839" s="10" t="s">
        <v>33095</v>
      </c>
      <c r="B6839" s="10" t="str">
        <f>"9781613244197"</f>
        <v>9781613244197</v>
      </c>
      <c r="C6839" s="10" t="str">
        <f>"9781620817025"</f>
        <v>9781620817025</v>
      </c>
      <c r="D6839" s="10" t="s">
        <v>32919</v>
      </c>
      <c r="E6839" s="10" t="s">
        <v>32920</v>
      </c>
      <c r="F6839" s="10" t="s">
        <v>2865</v>
      </c>
      <c r="G6839" s="10" t="s">
        <v>6317</v>
      </c>
      <c r="H6839" s="11">
        <v>40864</v>
      </c>
      <c r="I6839" s="10">
        <v>2011</v>
      </c>
      <c r="J6839" s="10" t="s">
        <v>32921</v>
      </c>
      <c r="K6839" s="10">
        <v>212</v>
      </c>
      <c r="L6839" s="10" t="s">
        <v>33096</v>
      </c>
      <c r="M6839" s="10">
        <v>1</v>
      </c>
      <c r="N6839" s="10" t="s">
        <v>32923</v>
      </c>
      <c r="O6839" s="10"/>
      <c r="P6839" s="10" t="s">
        <v>33097</v>
      </c>
      <c r="Q6839" s="10">
        <v>160</v>
      </c>
      <c r="R6839" s="10" t="s">
        <v>33098</v>
      </c>
      <c r="S6839" s="10" t="s">
        <v>53</v>
      </c>
      <c r="T6839" s="10" t="s">
        <v>33099</v>
      </c>
    </row>
    <row r="6840" spans="1:20" ht="14.5" x14ac:dyDescent="0.35">
      <c r="A6840" s="10" t="s">
        <v>33100</v>
      </c>
      <c r="B6840" s="10" t="str">
        <f>"9781624175978"</f>
        <v>9781624175978</v>
      </c>
      <c r="C6840" s="10" t="str">
        <f>"9781624176036"</f>
        <v>9781624176036</v>
      </c>
      <c r="D6840" s="10" t="s">
        <v>32919</v>
      </c>
      <c r="E6840" s="10" t="s">
        <v>32920</v>
      </c>
      <c r="F6840" s="10" t="s">
        <v>2865</v>
      </c>
      <c r="G6840" s="10" t="s">
        <v>6317</v>
      </c>
      <c r="H6840" s="11">
        <v>41351</v>
      </c>
      <c r="I6840" s="10">
        <v>2013</v>
      </c>
      <c r="J6840" s="10" t="s">
        <v>32921</v>
      </c>
      <c r="K6840" s="10">
        <v>241</v>
      </c>
      <c r="L6840" s="10" t="s">
        <v>33101</v>
      </c>
      <c r="M6840" s="10">
        <v>1</v>
      </c>
      <c r="N6840" s="10" t="s">
        <v>32923</v>
      </c>
      <c r="O6840" s="10"/>
      <c r="P6840" s="10" t="s">
        <v>33102</v>
      </c>
      <c r="Q6840" s="10" t="s">
        <v>33103</v>
      </c>
      <c r="R6840" s="10" t="s">
        <v>33104</v>
      </c>
      <c r="S6840" s="10" t="s">
        <v>53</v>
      </c>
      <c r="T6840" s="10" t="s">
        <v>54</v>
      </c>
    </row>
    <row r="6841" spans="1:20" ht="14.5" x14ac:dyDescent="0.35">
      <c r="A6841" s="10" t="s">
        <v>33105</v>
      </c>
      <c r="B6841" s="10" t="str">
        <f>"9781624177866"</f>
        <v>9781624177866</v>
      </c>
      <c r="C6841" s="10" t="str">
        <f>"9781624177873"</f>
        <v>9781624177873</v>
      </c>
      <c r="D6841" s="10" t="s">
        <v>32919</v>
      </c>
      <c r="E6841" s="10" t="s">
        <v>32920</v>
      </c>
      <c r="F6841" s="10" t="s">
        <v>2865</v>
      </c>
      <c r="G6841" s="10" t="s">
        <v>6317</v>
      </c>
      <c r="H6841" s="11">
        <v>41313</v>
      </c>
      <c r="I6841" s="10">
        <v>2013</v>
      </c>
      <c r="J6841" s="10" t="s">
        <v>32921</v>
      </c>
      <c r="K6841" s="10">
        <v>244</v>
      </c>
      <c r="L6841" s="10" t="s">
        <v>33106</v>
      </c>
      <c r="M6841" s="10">
        <v>1</v>
      </c>
      <c r="N6841" s="10" t="s">
        <v>32923</v>
      </c>
      <c r="O6841" s="10"/>
      <c r="P6841" s="10" t="s">
        <v>33107</v>
      </c>
      <c r="Q6841" s="10">
        <v>372</v>
      </c>
      <c r="R6841" s="10" t="s">
        <v>33108</v>
      </c>
      <c r="S6841" s="10" t="s">
        <v>53</v>
      </c>
      <c r="T6841" s="10" t="s">
        <v>54</v>
      </c>
    </row>
    <row r="6842" spans="1:20" ht="14.5" x14ac:dyDescent="0.35">
      <c r="A6842" s="10" t="s">
        <v>33109</v>
      </c>
      <c r="B6842" s="10" t="str">
        <f>"9781621007685"</f>
        <v>9781621007685</v>
      </c>
      <c r="C6842" s="10" t="str">
        <f>"9781621008187"</f>
        <v>9781621008187</v>
      </c>
      <c r="D6842" s="10" t="s">
        <v>32919</v>
      </c>
      <c r="E6842" s="10" t="s">
        <v>32920</v>
      </c>
      <c r="F6842" s="10" t="s">
        <v>2865</v>
      </c>
      <c r="G6842" s="10" t="s">
        <v>6317</v>
      </c>
      <c r="H6842" s="11">
        <v>41039</v>
      </c>
      <c r="I6842" s="10">
        <v>2012</v>
      </c>
      <c r="J6842" s="10" t="s">
        <v>32921</v>
      </c>
      <c r="K6842" s="10">
        <v>214</v>
      </c>
      <c r="L6842" s="10" t="s">
        <v>33110</v>
      </c>
      <c r="M6842" s="10">
        <v>1</v>
      </c>
      <c r="N6842" s="10" t="s">
        <v>32923</v>
      </c>
      <c r="O6842" s="10"/>
      <c r="P6842" s="10" t="s">
        <v>33111</v>
      </c>
      <c r="Q6842" s="10">
        <v>507.1</v>
      </c>
      <c r="R6842" s="10" t="s">
        <v>33112</v>
      </c>
      <c r="S6842" s="10" t="s">
        <v>53</v>
      </c>
      <c r="T6842" s="10" t="s">
        <v>7193</v>
      </c>
    </row>
    <row r="6843" spans="1:20" ht="14.5" x14ac:dyDescent="0.35">
      <c r="A6843" s="10" t="s">
        <v>33113</v>
      </c>
      <c r="B6843" s="10" t="str">
        <f>"9781622570065"</f>
        <v>9781622570065</v>
      </c>
      <c r="C6843" s="10" t="str">
        <f>"9781622570690"</f>
        <v>9781622570690</v>
      </c>
      <c r="D6843" s="10" t="s">
        <v>32919</v>
      </c>
      <c r="E6843" s="10" t="s">
        <v>32920</v>
      </c>
      <c r="F6843" s="10" t="s">
        <v>2865</v>
      </c>
      <c r="G6843" s="10" t="s">
        <v>6317</v>
      </c>
      <c r="H6843" s="11">
        <v>41244</v>
      </c>
      <c r="I6843" s="10">
        <v>2012</v>
      </c>
      <c r="J6843" s="10" t="s">
        <v>2864</v>
      </c>
      <c r="K6843" s="10">
        <v>179</v>
      </c>
      <c r="L6843" s="10" t="s">
        <v>33114</v>
      </c>
      <c r="M6843" s="10">
        <v>1</v>
      </c>
      <c r="N6843" s="10"/>
      <c r="O6843" s="10"/>
      <c r="P6843" s="10" t="s">
        <v>33115</v>
      </c>
      <c r="Q6843" s="10" t="s">
        <v>33116</v>
      </c>
      <c r="R6843" s="10" t="s">
        <v>33117</v>
      </c>
      <c r="S6843" s="10" t="s">
        <v>53</v>
      </c>
      <c r="T6843" s="10" t="s">
        <v>54</v>
      </c>
    </row>
    <row r="6844" spans="1:20" ht="14.5" x14ac:dyDescent="0.35">
      <c r="A6844" s="10" t="s">
        <v>33118</v>
      </c>
      <c r="B6844" s="10" t="str">
        <f>"9781624179129"</f>
        <v>9781624179129</v>
      </c>
      <c r="C6844" s="10" t="str">
        <f>"9781629485812"</f>
        <v>9781629485812</v>
      </c>
      <c r="D6844" s="10" t="s">
        <v>32919</v>
      </c>
      <c r="E6844" s="10" t="s">
        <v>32920</v>
      </c>
      <c r="F6844" s="10" t="s">
        <v>2865</v>
      </c>
      <c r="G6844" s="10" t="s">
        <v>6317</v>
      </c>
      <c r="H6844" s="11">
        <v>41275</v>
      </c>
      <c r="I6844" s="10">
        <v>2013</v>
      </c>
      <c r="J6844" s="10" t="s">
        <v>2864</v>
      </c>
      <c r="K6844" s="10">
        <v>361</v>
      </c>
      <c r="L6844" s="10" t="s">
        <v>33119</v>
      </c>
      <c r="M6844" s="10">
        <v>1</v>
      </c>
      <c r="N6844" s="10"/>
      <c r="O6844" s="10"/>
      <c r="P6844" s="10" t="s">
        <v>33120</v>
      </c>
      <c r="Q6844" s="10">
        <v>370.72</v>
      </c>
      <c r="R6844" s="10" t="s">
        <v>33121</v>
      </c>
      <c r="S6844" s="10" t="s">
        <v>53</v>
      </c>
      <c r="T6844" s="10" t="s">
        <v>54</v>
      </c>
    </row>
    <row r="6845" spans="1:20" ht="14.5" x14ac:dyDescent="0.35">
      <c r="A6845" s="10" t="s">
        <v>33122</v>
      </c>
      <c r="B6845" s="10" t="str">
        <f>"9780814746967"</f>
        <v>9780814746967</v>
      </c>
      <c r="C6845" s="10" t="str">
        <f>"9780814749395"</f>
        <v>9780814749395</v>
      </c>
      <c r="D6845" s="10" t="s">
        <v>20429</v>
      </c>
      <c r="E6845" s="10" t="s">
        <v>20430</v>
      </c>
      <c r="F6845" s="10" t="s">
        <v>70</v>
      </c>
      <c r="G6845" s="10" t="s">
        <v>6317</v>
      </c>
      <c r="H6845" s="11">
        <v>35643</v>
      </c>
      <c r="I6845" s="10">
        <v>1997</v>
      </c>
      <c r="J6845" s="10" t="s">
        <v>20430</v>
      </c>
      <c r="K6845" s="10">
        <v>334</v>
      </c>
      <c r="L6845" s="10" t="s">
        <v>33123</v>
      </c>
      <c r="M6845" s="10">
        <v>1</v>
      </c>
      <c r="N6845" s="10"/>
      <c r="O6845" s="10"/>
      <c r="P6845" s="10" t="s">
        <v>33124</v>
      </c>
      <c r="Q6845" s="10" t="s">
        <v>7335</v>
      </c>
      <c r="R6845" s="10" t="s">
        <v>33125</v>
      </c>
      <c r="S6845" s="10" t="s">
        <v>53</v>
      </c>
      <c r="T6845" s="10" t="s">
        <v>54</v>
      </c>
    </row>
    <row r="6846" spans="1:20" ht="14.5" x14ac:dyDescent="0.35">
      <c r="A6846" s="10" t="s">
        <v>33126</v>
      </c>
      <c r="B6846" s="10" t="str">
        <f>"9780814740385"</f>
        <v>9780814740385</v>
      </c>
      <c r="C6846" s="10" t="str">
        <f>"9780814708989"</f>
        <v>9780814708989</v>
      </c>
      <c r="D6846" s="10" t="s">
        <v>20429</v>
      </c>
      <c r="E6846" s="10" t="s">
        <v>20430</v>
      </c>
      <c r="F6846" s="10" t="s">
        <v>70</v>
      </c>
      <c r="G6846" s="10" t="s">
        <v>6317</v>
      </c>
      <c r="H6846" s="11">
        <v>39142</v>
      </c>
      <c r="I6846" s="10">
        <v>2007</v>
      </c>
      <c r="J6846" s="10" t="s">
        <v>20430</v>
      </c>
      <c r="K6846" s="10">
        <v>266</v>
      </c>
      <c r="L6846" s="10" t="s">
        <v>33127</v>
      </c>
      <c r="M6846" s="10">
        <v>1</v>
      </c>
      <c r="N6846" s="10"/>
      <c r="O6846" s="10"/>
      <c r="P6846" s="10"/>
      <c r="Q6846" s="10">
        <v>306.77</v>
      </c>
      <c r="R6846" s="10" t="s">
        <v>33128</v>
      </c>
      <c r="S6846" s="10" t="s">
        <v>53</v>
      </c>
      <c r="T6846" s="10" t="s">
        <v>6363</v>
      </c>
    </row>
    <row r="6847" spans="1:20" ht="14.5" x14ac:dyDescent="0.35">
      <c r="A6847" s="10" t="s">
        <v>33129</v>
      </c>
      <c r="B6847" s="10" t="str">
        <f>"9780804010535"</f>
        <v>9780804010535</v>
      </c>
      <c r="C6847" s="10" t="str">
        <f>"9780804040099"</f>
        <v>9780804040099</v>
      </c>
      <c r="D6847" s="10" t="s">
        <v>28711</v>
      </c>
      <c r="E6847" s="10" t="s">
        <v>33130</v>
      </c>
      <c r="F6847" s="10" t="s">
        <v>2376</v>
      </c>
      <c r="G6847" s="10" t="s">
        <v>6317</v>
      </c>
      <c r="H6847" s="11">
        <v>37561</v>
      </c>
      <c r="I6847" s="10">
        <v>2002</v>
      </c>
      <c r="J6847" s="10" t="s">
        <v>33130</v>
      </c>
      <c r="K6847" s="10">
        <v>160</v>
      </c>
      <c r="L6847" s="10" t="s">
        <v>33131</v>
      </c>
      <c r="M6847" s="10">
        <v>1</v>
      </c>
      <c r="N6847" s="10"/>
      <c r="O6847" s="10"/>
      <c r="P6847" s="10" t="s">
        <v>33132</v>
      </c>
      <c r="Q6847" s="10">
        <v>371.94</v>
      </c>
      <c r="R6847" s="10" t="s">
        <v>33133</v>
      </c>
      <c r="S6847" s="10" t="s">
        <v>53</v>
      </c>
      <c r="T6847" s="10" t="s">
        <v>54</v>
      </c>
    </row>
    <row r="6848" spans="1:20" ht="14.5" x14ac:dyDescent="0.35">
      <c r="A6848" s="10" t="s">
        <v>33134</v>
      </c>
      <c r="B6848" s="10" t="str">
        <f>"9780966764468"</f>
        <v>9780966764468</v>
      </c>
      <c r="C6848" s="10" t="str">
        <f>"9780966764475"</f>
        <v>9780966764475</v>
      </c>
      <c r="D6848" s="10" t="s">
        <v>28711</v>
      </c>
      <c r="E6848" s="10" t="s">
        <v>28711</v>
      </c>
      <c r="F6848" s="10" t="s">
        <v>28712</v>
      </c>
      <c r="G6848" s="10" t="s">
        <v>6317</v>
      </c>
      <c r="H6848" s="11">
        <v>41902</v>
      </c>
      <c r="I6848" s="10">
        <v>2013</v>
      </c>
      <c r="J6848" s="10" t="s">
        <v>28711</v>
      </c>
      <c r="K6848" s="10">
        <v>177</v>
      </c>
      <c r="L6848" s="10" t="s">
        <v>33135</v>
      </c>
      <c r="M6848" s="10">
        <v>1</v>
      </c>
      <c r="N6848" s="10"/>
      <c r="O6848" s="10"/>
      <c r="P6848" s="10" t="s">
        <v>33136</v>
      </c>
      <c r="Q6848" s="10">
        <v>378.77197000000001</v>
      </c>
      <c r="R6848" s="10" t="s">
        <v>33137</v>
      </c>
      <c r="S6848" s="10" t="s">
        <v>53</v>
      </c>
      <c r="T6848" s="10" t="s">
        <v>54</v>
      </c>
    </row>
    <row r="6849" spans="1:20" ht="14.5" x14ac:dyDescent="0.35">
      <c r="A6849" s="10" t="s">
        <v>33138</v>
      </c>
      <c r="B6849" s="10" t="str">
        <f>"9781594031250"</f>
        <v>9781594031250</v>
      </c>
      <c r="C6849" s="10" t="str">
        <f>"9781594034428"</f>
        <v>9781594034428</v>
      </c>
      <c r="D6849" s="10" t="s">
        <v>9533</v>
      </c>
      <c r="E6849" s="10" t="s">
        <v>15521</v>
      </c>
      <c r="F6849" s="10" t="s">
        <v>765</v>
      </c>
      <c r="G6849" s="10" t="s">
        <v>6317</v>
      </c>
      <c r="H6849" s="11">
        <v>38473</v>
      </c>
      <c r="I6849" s="10">
        <v>2005</v>
      </c>
      <c r="J6849" s="10" t="s">
        <v>15521</v>
      </c>
      <c r="K6849" s="10">
        <v>229</v>
      </c>
      <c r="L6849" s="10" t="s">
        <v>33139</v>
      </c>
      <c r="M6849" s="10">
        <v>1</v>
      </c>
      <c r="N6849" s="10"/>
      <c r="O6849" s="10"/>
      <c r="P6849" s="10" t="s">
        <v>33140</v>
      </c>
      <c r="Q6849" s="10" t="s">
        <v>33141</v>
      </c>
      <c r="R6849" s="10" t="s">
        <v>33142</v>
      </c>
      <c r="S6849" s="10" t="s">
        <v>53</v>
      </c>
      <c r="T6849" s="10" t="s">
        <v>5396</v>
      </c>
    </row>
    <row r="6850" spans="1:20" ht="14.5" x14ac:dyDescent="0.35">
      <c r="A6850" s="10" t="s">
        <v>33143</v>
      </c>
      <c r="B6850" s="10" t="str">
        <f>"9781597563451"</f>
        <v>9781597563451</v>
      </c>
      <c r="C6850" s="10" t="str">
        <f>"9781597566780"</f>
        <v>9781597566780</v>
      </c>
      <c r="D6850" s="10" t="s">
        <v>29390</v>
      </c>
      <c r="E6850" s="10" t="s">
        <v>29391</v>
      </c>
      <c r="F6850" s="10" t="s">
        <v>1232</v>
      </c>
      <c r="G6850" s="10" t="s">
        <v>6317</v>
      </c>
      <c r="H6850" s="11">
        <v>40848</v>
      </c>
      <c r="I6850" s="10">
        <v>2013</v>
      </c>
      <c r="J6850" s="10" t="s">
        <v>29391</v>
      </c>
      <c r="K6850" s="10">
        <v>485</v>
      </c>
      <c r="L6850" s="10" t="s">
        <v>33144</v>
      </c>
      <c r="M6850" s="10">
        <v>1</v>
      </c>
      <c r="N6850" s="10"/>
      <c r="O6850" s="10"/>
      <c r="P6850" s="10" t="s">
        <v>33145</v>
      </c>
      <c r="Q6850" s="10">
        <v>372.6</v>
      </c>
      <c r="R6850" s="10" t="s">
        <v>18059</v>
      </c>
      <c r="S6850" s="10" t="s">
        <v>53</v>
      </c>
      <c r="T6850" s="10" t="s">
        <v>54</v>
      </c>
    </row>
    <row r="6851" spans="1:20" ht="14.5" x14ac:dyDescent="0.35">
      <c r="A6851" s="10" t="s">
        <v>33146</v>
      </c>
      <c r="B6851" s="10" t="str">
        <f>"9780833027603"</f>
        <v>9780833027603</v>
      </c>
      <c r="C6851" s="10" t="str">
        <f>"9780833043504"</f>
        <v>9780833043504</v>
      </c>
      <c r="D6851" s="10" t="s">
        <v>8134</v>
      </c>
      <c r="E6851" s="10" t="s">
        <v>8135</v>
      </c>
      <c r="F6851" s="10" t="s">
        <v>8136</v>
      </c>
      <c r="G6851" s="10" t="s">
        <v>6317</v>
      </c>
      <c r="H6851" s="11">
        <v>36495</v>
      </c>
      <c r="I6851" s="10">
        <v>1999</v>
      </c>
      <c r="J6851" s="10" t="s">
        <v>8363</v>
      </c>
      <c r="K6851" s="10">
        <v>92</v>
      </c>
      <c r="L6851" s="10" t="s">
        <v>33147</v>
      </c>
      <c r="M6851" s="10">
        <v>1</v>
      </c>
      <c r="N6851" s="10"/>
      <c r="O6851" s="10"/>
      <c r="P6851" s="10" t="s">
        <v>33148</v>
      </c>
      <c r="Q6851" s="10" t="s">
        <v>33149</v>
      </c>
      <c r="R6851" s="10" t="s">
        <v>33150</v>
      </c>
      <c r="S6851" s="10" t="s">
        <v>53</v>
      </c>
      <c r="T6851" s="10" t="s">
        <v>8003</v>
      </c>
    </row>
    <row r="6852" spans="1:20" ht="14.5" x14ac:dyDescent="0.35">
      <c r="A6852" s="10" t="s">
        <v>33151</v>
      </c>
      <c r="B6852" s="10" t="str">
        <f>"9780833028051"</f>
        <v>9780833028051</v>
      </c>
      <c r="C6852" s="10" t="str">
        <f>"9780833043634"</f>
        <v>9780833043634</v>
      </c>
      <c r="D6852" s="10" t="s">
        <v>8134</v>
      </c>
      <c r="E6852" s="10" t="s">
        <v>8135</v>
      </c>
      <c r="F6852" s="10" t="s">
        <v>8136</v>
      </c>
      <c r="G6852" s="10" t="s">
        <v>6317</v>
      </c>
      <c r="H6852" s="11">
        <v>36739</v>
      </c>
      <c r="I6852" s="10">
        <v>2000</v>
      </c>
      <c r="J6852" s="10" t="s">
        <v>8363</v>
      </c>
      <c r="K6852" s="10">
        <v>91</v>
      </c>
      <c r="L6852" s="10" t="s">
        <v>33152</v>
      </c>
      <c r="M6852" s="10">
        <v>1</v>
      </c>
      <c r="N6852" s="10"/>
      <c r="O6852" s="10"/>
      <c r="P6852" s="10" t="s">
        <v>33153</v>
      </c>
      <c r="Q6852" s="10" t="s">
        <v>33154</v>
      </c>
      <c r="R6852" s="10" t="s">
        <v>33155</v>
      </c>
      <c r="S6852" s="10" t="s">
        <v>53</v>
      </c>
      <c r="T6852" s="10" t="s">
        <v>9608</v>
      </c>
    </row>
    <row r="6853" spans="1:20" ht="14.5" x14ac:dyDescent="0.35">
      <c r="A6853" s="10" t="s">
        <v>33156</v>
      </c>
      <c r="B6853" s="10" t="str">
        <f>"9780833027610"</f>
        <v>9780833027610</v>
      </c>
      <c r="C6853" s="10" t="str">
        <f>"9780833043511"</f>
        <v>9780833043511</v>
      </c>
      <c r="D6853" s="10" t="s">
        <v>8134</v>
      </c>
      <c r="E6853" s="10" t="s">
        <v>8135</v>
      </c>
      <c r="F6853" s="10" t="s">
        <v>8136</v>
      </c>
      <c r="G6853" s="10" t="s">
        <v>6317</v>
      </c>
      <c r="H6853" s="11">
        <v>36526</v>
      </c>
      <c r="I6853" s="10">
        <v>1999</v>
      </c>
      <c r="J6853" s="10" t="s">
        <v>8363</v>
      </c>
      <c r="K6853" s="10">
        <v>52</v>
      </c>
      <c r="L6853" s="10" t="s">
        <v>33157</v>
      </c>
      <c r="M6853" s="10">
        <v>1</v>
      </c>
      <c r="N6853" s="10"/>
      <c r="O6853" s="10"/>
      <c r="P6853" s="10" t="s">
        <v>33158</v>
      </c>
      <c r="Q6853" s="10" t="s">
        <v>8587</v>
      </c>
      <c r="R6853" s="10" t="s">
        <v>8675</v>
      </c>
      <c r="S6853" s="10" t="s">
        <v>53</v>
      </c>
      <c r="T6853" s="10" t="s">
        <v>54</v>
      </c>
    </row>
    <row r="6854" spans="1:20" ht="14.5" x14ac:dyDescent="0.35">
      <c r="A6854" s="10" t="s">
        <v>33159</v>
      </c>
      <c r="B6854" s="10" t="str">
        <f>"9780833028228"</f>
        <v>9780833028228</v>
      </c>
      <c r="C6854" s="10" t="str">
        <f>"9780833043658"</f>
        <v>9780833043658</v>
      </c>
      <c r="D6854" s="10" t="s">
        <v>8134</v>
      </c>
      <c r="E6854" s="10" t="s">
        <v>8135</v>
      </c>
      <c r="F6854" s="10" t="s">
        <v>8136</v>
      </c>
      <c r="G6854" s="10" t="s">
        <v>6317</v>
      </c>
      <c r="H6854" s="11">
        <v>36617</v>
      </c>
      <c r="I6854" s="10">
        <v>2000</v>
      </c>
      <c r="J6854" s="10" t="s">
        <v>8363</v>
      </c>
      <c r="K6854" s="10">
        <v>68</v>
      </c>
      <c r="L6854" s="10" t="s">
        <v>33160</v>
      </c>
      <c r="M6854" s="10">
        <v>1</v>
      </c>
      <c r="N6854" s="10"/>
      <c r="O6854" s="10"/>
      <c r="P6854" s="10" t="s">
        <v>33161</v>
      </c>
      <c r="Q6854" s="10"/>
      <c r="R6854" s="10" t="s">
        <v>33162</v>
      </c>
      <c r="S6854" s="10" t="s">
        <v>53</v>
      </c>
      <c r="T6854" s="10" t="s">
        <v>54</v>
      </c>
    </row>
    <row r="6855" spans="1:20" ht="14.5" x14ac:dyDescent="0.35">
      <c r="A6855" s="10" t="s">
        <v>33163</v>
      </c>
      <c r="B6855" s="10" t="str">
        <f>"9780833025609"</f>
        <v>9780833025609</v>
      </c>
      <c r="C6855" s="10" t="str">
        <f>"9780833043283"</f>
        <v>9780833043283</v>
      </c>
      <c r="D6855" s="10" t="s">
        <v>8134</v>
      </c>
      <c r="E6855" s="10" t="s">
        <v>8135</v>
      </c>
      <c r="F6855" s="10" t="s">
        <v>8136</v>
      </c>
      <c r="G6855" s="10" t="s">
        <v>6317</v>
      </c>
      <c r="H6855" s="11">
        <v>36312</v>
      </c>
      <c r="I6855" s="10">
        <v>1999</v>
      </c>
      <c r="J6855" s="10" t="s">
        <v>8363</v>
      </c>
      <c r="K6855" s="10">
        <v>207</v>
      </c>
      <c r="L6855" s="10" t="s">
        <v>33164</v>
      </c>
      <c r="M6855" s="10">
        <v>1</v>
      </c>
      <c r="N6855" s="10"/>
      <c r="O6855" s="10"/>
      <c r="P6855" s="10" t="s">
        <v>33165</v>
      </c>
      <c r="Q6855" s="10" t="s">
        <v>8366</v>
      </c>
      <c r="R6855" s="10" t="s">
        <v>33166</v>
      </c>
      <c r="S6855" s="10" t="s">
        <v>53</v>
      </c>
      <c r="T6855" s="10" t="s">
        <v>8493</v>
      </c>
    </row>
    <row r="6856" spans="1:20" ht="14.5" x14ac:dyDescent="0.35">
      <c r="A6856" s="10" t="s">
        <v>33167</v>
      </c>
      <c r="B6856" s="10" t="str">
        <f>"9780833026170"</f>
        <v>9780833026170</v>
      </c>
      <c r="C6856" s="10" t="str">
        <f>"9780833043313"</f>
        <v>9780833043313</v>
      </c>
      <c r="D6856" s="10" t="s">
        <v>8134</v>
      </c>
      <c r="E6856" s="10" t="s">
        <v>8135</v>
      </c>
      <c r="F6856" s="10" t="s">
        <v>8136</v>
      </c>
      <c r="G6856" s="10" t="s">
        <v>6317</v>
      </c>
      <c r="H6856" s="11">
        <v>35947</v>
      </c>
      <c r="I6856" s="10">
        <v>1998</v>
      </c>
      <c r="J6856" s="10" t="s">
        <v>8363</v>
      </c>
      <c r="K6856" s="10">
        <v>127</v>
      </c>
      <c r="L6856" s="10" t="s">
        <v>33168</v>
      </c>
      <c r="M6856" s="10">
        <v>1</v>
      </c>
      <c r="N6856" s="10"/>
      <c r="O6856" s="10"/>
      <c r="P6856" s="10" t="s">
        <v>33169</v>
      </c>
      <c r="Q6856" s="10" t="s">
        <v>33170</v>
      </c>
      <c r="R6856" s="10" t="s">
        <v>33171</v>
      </c>
      <c r="S6856" s="10" t="s">
        <v>53</v>
      </c>
      <c r="T6856" s="10" t="s">
        <v>8777</v>
      </c>
    </row>
    <row r="6857" spans="1:20" ht="14.5" x14ac:dyDescent="0.35">
      <c r="A6857" s="10" t="s">
        <v>33172</v>
      </c>
      <c r="B6857" s="10" t="str">
        <f>"9780833027481"</f>
        <v>9780833027481</v>
      </c>
      <c r="C6857" s="10" t="str">
        <f>"9780833043436"</f>
        <v>9780833043436</v>
      </c>
      <c r="D6857" s="10" t="s">
        <v>8134</v>
      </c>
      <c r="E6857" s="10" t="s">
        <v>8135</v>
      </c>
      <c r="F6857" s="10" t="s">
        <v>8136</v>
      </c>
      <c r="G6857" s="10" t="s">
        <v>6317</v>
      </c>
      <c r="H6857" s="11">
        <v>36404</v>
      </c>
      <c r="I6857" s="10">
        <v>1999</v>
      </c>
      <c r="J6857" s="10" t="s">
        <v>8363</v>
      </c>
      <c r="K6857" s="10">
        <v>199</v>
      </c>
      <c r="L6857" s="10" t="s">
        <v>33173</v>
      </c>
      <c r="M6857" s="10">
        <v>1</v>
      </c>
      <c r="N6857" s="10"/>
      <c r="O6857" s="10"/>
      <c r="P6857" s="10" t="s">
        <v>33174</v>
      </c>
      <c r="Q6857" s="10" t="s">
        <v>31872</v>
      </c>
      <c r="R6857" s="10" t="s">
        <v>33175</v>
      </c>
      <c r="S6857" s="10" t="s">
        <v>53</v>
      </c>
      <c r="T6857" s="10" t="s">
        <v>54</v>
      </c>
    </row>
    <row r="6858" spans="1:20" ht="14.5" x14ac:dyDescent="0.35">
      <c r="A6858" s="10" t="s">
        <v>33176</v>
      </c>
      <c r="B6858" s="10" t="str">
        <f>"9780833028792"</f>
        <v>9780833028792</v>
      </c>
      <c r="C6858" s="10" t="str">
        <f>"9780833043696"</f>
        <v>9780833043696</v>
      </c>
      <c r="D6858" s="10" t="s">
        <v>8134</v>
      </c>
      <c r="E6858" s="10" t="s">
        <v>8135</v>
      </c>
      <c r="F6858" s="10" t="s">
        <v>8136</v>
      </c>
      <c r="G6858" s="10" t="s">
        <v>6317</v>
      </c>
      <c r="H6858" s="11">
        <v>36739</v>
      </c>
      <c r="I6858" s="10">
        <v>2000</v>
      </c>
      <c r="J6858" s="10" t="s">
        <v>8363</v>
      </c>
      <c r="K6858" s="10">
        <v>99</v>
      </c>
      <c r="L6858" s="10" t="s">
        <v>33177</v>
      </c>
      <c r="M6858" s="10">
        <v>1</v>
      </c>
      <c r="N6858" s="10"/>
      <c r="O6858" s="10"/>
      <c r="P6858" s="10" t="s">
        <v>33178</v>
      </c>
      <c r="Q6858" s="10"/>
      <c r="R6858" s="10" t="s">
        <v>33179</v>
      </c>
      <c r="S6858" s="10" t="s">
        <v>53</v>
      </c>
      <c r="T6858" s="10" t="s">
        <v>54</v>
      </c>
    </row>
    <row r="6859" spans="1:20" ht="14.5" x14ac:dyDescent="0.35">
      <c r="A6859" s="10" t="s">
        <v>33180</v>
      </c>
      <c r="B6859" s="10" t="str">
        <f>"9781607097440"</f>
        <v>9781607097440</v>
      </c>
      <c r="C6859" s="10" t="str">
        <f>"9781607097464"</f>
        <v>9781607097464</v>
      </c>
      <c r="D6859" s="10" t="s">
        <v>9752</v>
      </c>
      <c r="E6859" s="10" t="s">
        <v>15187</v>
      </c>
      <c r="F6859" s="10" t="s">
        <v>9754</v>
      </c>
      <c r="G6859" s="10" t="s">
        <v>6317</v>
      </c>
      <c r="H6859" s="11">
        <v>42068</v>
      </c>
      <c r="I6859" s="10">
        <v>2015</v>
      </c>
      <c r="J6859" s="10" t="s">
        <v>15187</v>
      </c>
      <c r="K6859" s="10">
        <v>123</v>
      </c>
      <c r="L6859" s="10" t="s">
        <v>33181</v>
      </c>
      <c r="M6859" s="10">
        <v>1</v>
      </c>
      <c r="N6859" s="10"/>
      <c r="O6859" s="10"/>
      <c r="P6859" s="10"/>
      <c r="Q6859" s="10">
        <v>371.10199999999998</v>
      </c>
      <c r="R6859" s="10" t="s">
        <v>33182</v>
      </c>
      <c r="S6859" s="10" t="s">
        <v>53</v>
      </c>
      <c r="T6859" s="10" t="s">
        <v>54</v>
      </c>
    </row>
    <row r="6860" spans="1:20" ht="14.5" x14ac:dyDescent="0.35">
      <c r="A6860" s="10" t="s">
        <v>33183</v>
      </c>
      <c r="B6860" s="10" t="str">
        <f>"9780813533483"</f>
        <v>9780813533483</v>
      </c>
      <c r="C6860" s="10" t="str">
        <f>"9780813536484"</f>
        <v>9780813536484</v>
      </c>
      <c r="D6860" s="10" t="s">
        <v>12251</v>
      </c>
      <c r="E6860" s="10" t="s">
        <v>12251</v>
      </c>
      <c r="F6860" s="10" t="s">
        <v>12451</v>
      </c>
      <c r="G6860" s="10" t="s">
        <v>6317</v>
      </c>
      <c r="H6860" s="11">
        <v>38047</v>
      </c>
      <c r="I6860" s="10">
        <v>2004</v>
      </c>
      <c r="J6860" s="10" t="s">
        <v>12251</v>
      </c>
      <c r="K6860" s="10">
        <v>214</v>
      </c>
      <c r="L6860" s="10" t="s">
        <v>33184</v>
      </c>
      <c r="M6860" s="10">
        <v>1</v>
      </c>
      <c r="N6860" s="10"/>
      <c r="O6860" s="10"/>
      <c r="P6860" s="10" t="s">
        <v>33185</v>
      </c>
      <c r="Q6860" s="10" t="s">
        <v>33186</v>
      </c>
      <c r="R6860" s="10" t="s">
        <v>33187</v>
      </c>
      <c r="S6860" s="10" t="s">
        <v>53</v>
      </c>
      <c r="T6860" s="10" t="s">
        <v>54</v>
      </c>
    </row>
    <row r="6861" spans="1:20" ht="14.5" x14ac:dyDescent="0.35">
      <c r="A6861" s="10" t="s">
        <v>33188</v>
      </c>
      <c r="B6861" s="10" t="str">
        <f>"9780813533742"</f>
        <v>9780813533742</v>
      </c>
      <c r="C6861" s="10" t="str">
        <f>"9780813536316"</f>
        <v>9780813536316</v>
      </c>
      <c r="D6861" s="10" t="s">
        <v>12251</v>
      </c>
      <c r="E6861" s="10" t="s">
        <v>12251</v>
      </c>
      <c r="F6861" s="10" t="s">
        <v>12451</v>
      </c>
      <c r="G6861" s="10" t="s">
        <v>6317</v>
      </c>
      <c r="H6861" s="11">
        <v>38018</v>
      </c>
      <c r="I6861" s="10">
        <v>2004</v>
      </c>
      <c r="J6861" s="10" t="s">
        <v>12251</v>
      </c>
      <c r="K6861" s="10">
        <v>198</v>
      </c>
      <c r="L6861" s="10" t="s">
        <v>33189</v>
      </c>
      <c r="M6861" s="10">
        <v>1</v>
      </c>
      <c r="N6861" s="10"/>
      <c r="O6861" s="10"/>
      <c r="P6861" s="10" t="s">
        <v>33190</v>
      </c>
      <c r="Q6861" s="10" t="s">
        <v>16754</v>
      </c>
      <c r="R6861" s="10" t="s">
        <v>33191</v>
      </c>
      <c r="S6861" s="10" t="s">
        <v>53</v>
      </c>
      <c r="T6861" s="10" t="s">
        <v>11186</v>
      </c>
    </row>
    <row r="6862" spans="1:20" ht="14.5" x14ac:dyDescent="0.35">
      <c r="A6862" s="10" t="s">
        <v>33192</v>
      </c>
      <c r="B6862" s="10" t="str">
        <f>"9781412927239"</f>
        <v>9781412927239</v>
      </c>
      <c r="C6862" s="10" t="str">
        <f>"9781452207018"</f>
        <v>9781452207018</v>
      </c>
      <c r="D6862" s="10" t="s">
        <v>22210</v>
      </c>
      <c r="E6862" s="10" t="s">
        <v>22211</v>
      </c>
      <c r="F6862" s="10" t="s">
        <v>333</v>
      </c>
      <c r="G6862" s="10" t="s">
        <v>6317</v>
      </c>
      <c r="H6862" s="11">
        <v>39203</v>
      </c>
      <c r="I6862" s="10">
        <v>2007</v>
      </c>
      <c r="J6862" s="10" t="s">
        <v>22211</v>
      </c>
      <c r="K6862" s="10">
        <v>257</v>
      </c>
      <c r="L6862" s="10" t="s">
        <v>22381</v>
      </c>
      <c r="M6862" s="10">
        <v>1</v>
      </c>
      <c r="N6862" s="10"/>
      <c r="O6862" s="10"/>
      <c r="P6862" s="10"/>
      <c r="Q6862" s="10" t="s">
        <v>22622</v>
      </c>
      <c r="R6862" s="10"/>
      <c r="S6862" s="10" t="s">
        <v>53</v>
      </c>
      <c r="T6862" s="10" t="s">
        <v>54</v>
      </c>
    </row>
    <row r="6863" spans="1:20" ht="14.5" x14ac:dyDescent="0.35">
      <c r="A6863" s="10" t="s">
        <v>33193</v>
      </c>
      <c r="B6863" s="10" t="str">
        <f>"9781412941013"</f>
        <v>9781412941013</v>
      </c>
      <c r="C6863" s="10" t="str">
        <f>"9781452213477"</f>
        <v>9781452213477</v>
      </c>
      <c r="D6863" s="10" t="s">
        <v>22210</v>
      </c>
      <c r="E6863" s="10" t="s">
        <v>22211</v>
      </c>
      <c r="F6863" s="10" t="s">
        <v>333</v>
      </c>
      <c r="G6863" s="10" t="s">
        <v>6317</v>
      </c>
      <c r="H6863" s="11">
        <v>39008</v>
      </c>
      <c r="I6863" s="10">
        <v>2007</v>
      </c>
      <c r="J6863" s="10" t="s">
        <v>22211</v>
      </c>
      <c r="K6863" s="10">
        <v>249</v>
      </c>
      <c r="L6863" s="10" t="s">
        <v>33194</v>
      </c>
      <c r="M6863" s="10">
        <v>2</v>
      </c>
      <c r="N6863" s="10"/>
      <c r="O6863" s="10"/>
      <c r="P6863" s="10"/>
      <c r="Q6863" s="10"/>
      <c r="R6863" s="10"/>
      <c r="S6863" s="10" t="s">
        <v>53</v>
      </c>
      <c r="T6863" s="10" t="s">
        <v>54</v>
      </c>
    </row>
    <row r="6864" spans="1:20" ht="14.5" x14ac:dyDescent="0.35">
      <c r="A6864" s="10" t="s">
        <v>33195</v>
      </c>
      <c r="B6864" s="10" t="str">
        <f>"9781412937887"</f>
        <v>9781412937887</v>
      </c>
      <c r="C6864" s="10" t="str">
        <f>"9781452214078"</f>
        <v>9781452214078</v>
      </c>
      <c r="D6864" s="10" t="s">
        <v>22210</v>
      </c>
      <c r="E6864" s="10" t="s">
        <v>22211</v>
      </c>
      <c r="F6864" s="10" t="s">
        <v>333</v>
      </c>
      <c r="G6864" s="10" t="s">
        <v>6317</v>
      </c>
      <c r="H6864" s="11">
        <v>38913</v>
      </c>
      <c r="I6864" s="10">
        <v>2008</v>
      </c>
      <c r="J6864" s="10" t="s">
        <v>22211</v>
      </c>
      <c r="K6864" s="10">
        <v>289</v>
      </c>
      <c r="L6864" s="10" t="s">
        <v>33196</v>
      </c>
      <c r="M6864" s="10">
        <v>2</v>
      </c>
      <c r="N6864" s="10"/>
      <c r="O6864" s="10"/>
      <c r="P6864" s="10"/>
      <c r="Q6864" s="10" t="s">
        <v>8836</v>
      </c>
      <c r="R6864" s="10"/>
      <c r="S6864" s="10" t="s">
        <v>53</v>
      </c>
      <c r="T6864" s="10" t="s">
        <v>54</v>
      </c>
    </row>
    <row r="6865" spans="1:20" ht="14.5" x14ac:dyDescent="0.35">
      <c r="A6865" s="10" t="s">
        <v>33197</v>
      </c>
      <c r="B6865" s="10" t="str">
        <f>"9781412966283"</f>
        <v>9781412966283</v>
      </c>
      <c r="C6865" s="10" t="str">
        <f>"9781452212005"</f>
        <v>9781452212005</v>
      </c>
      <c r="D6865" s="10" t="s">
        <v>22210</v>
      </c>
      <c r="E6865" s="10" t="s">
        <v>22211</v>
      </c>
      <c r="F6865" s="10" t="s">
        <v>333</v>
      </c>
      <c r="G6865" s="10" t="s">
        <v>6317</v>
      </c>
      <c r="H6865" s="11">
        <v>39903</v>
      </c>
      <c r="I6865" s="10">
        <v>2009</v>
      </c>
      <c r="J6865" s="10" t="s">
        <v>22211</v>
      </c>
      <c r="K6865" s="10">
        <v>177</v>
      </c>
      <c r="L6865" s="10" t="s">
        <v>33198</v>
      </c>
      <c r="M6865" s="10">
        <v>1</v>
      </c>
      <c r="N6865" s="10"/>
      <c r="O6865" s="10"/>
      <c r="P6865" s="10"/>
      <c r="Q6865" s="10"/>
      <c r="R6865" s="10"/>
      <c r="S6865" s="10" t="s">
        <v>53</v>
      </c>
      <c r="T6865" s="10" t="s">
        <v>54</v>
      </c>
    </row>
    <row r="6866" spans="1:20" ht="14.5" x14ac:dyDescent="0.35">
      <c r="A6866" s="10" t="s">
        <v>33199</v>
      </c>
      <c r="B6866" s="10" t="str">
        <f>"9781412958721"</f>
        <v>9781412958721</v>
      </c>
      <c r="C6866" s="10" t="str">
        <f>"9781452211589"</f>
        <v>9781452211589</v>
      </c>
      <c r="D6866" s="10" t="s">
        <v>22210</v>
      </c>
      <c r="E6866" s="10" t="s">
        <v>22211</v>
      </c>
      <c r="F6866" s="10" t="s">
        <v>333</v>
      </c>
      <c r="G6866" s="10" t="s">
        <v>6317</v>
      </c>
      <c r="H6866" s="11">
        <v>39675</v>
      </c>
      <c r="I6866" s="10">
        <v>2009</v>
      </c>
      <c r="J6866" s="10" t="s">
        <v>22211</v>
      </c>
      <c r="K6866" s="10">
        <v>177</v>
      </c>
      <c r="L6866" s="10" t="s">
        <v>33200</v>
      </c>
      <c r="M6866" s="10">
        <v>1</v>
      </c>
      <c r="N6866" s="10"/>
      <c r="O6866" s="10"/>
      <c r="P6866" s="10"/>
      <c r="Q6866" s="10">
        <v>371.95</v>
      </c>
      <c r="R6866" s="10"/>
      <c r="S6866" s="10" t="s">
        <v>53</v>
      </c>
      <c r="T6866" s="10" t="s">
        <v>54</v>
      </c>
    </row>
    <row r="6867" spans="1:20" ht="14.5" x14ac:dyDescent="0.35">
      <c r="A6867" s="10" t="s">
        <v>33201</v>
      </c>
      <c r="B6867" s="10" t="str">
        <f>"9781412941723"</f>
        <v>9781412941723</v>
      </c>
      <c r="C6867" s="10" t="str">
        <f>"9781452209708"</f>
        <v>9781452209708</v>
      </c>
      <c r="D6867" s="10" t="s">
        <v>22210</v>
      </c>
      <c r="E6867" s="10" t="s">
        <v>22211</v>
      </c>
      <c r="F6867" s="10" t="s">
        <v>333</v>
      </c>
      <c r="G6867" s="10" t="s">
        <v>6317</v>
      </c>
      <c r="H6867" s="11">
        <v>39771</v>
      </c>
      <c r="I6867" s="10">
        <v>2009</v>
      </c>
      <c r="J6867" s="10" t="s">
        <v>22211</v>
      </c>
      <c r="K6867" s="10">
        <v>241</v>
      </c>
      <c r="L6867" s="10" t="s">
        <v>33202</v>
      </c>
      <c r="M6867" s="10">
        <v>1</v>
      </c>
      <c r="N6867" s="10"/>
      <c r="O6867" s="10"/>
      <c r="P6867" s="10"/>
      <c r="Q6867" s="10"/>
      <c r="R6867" s="10"/>
      <c r="S6867" s="10" t="s">
        <v>53</v>
      </c>
      <c r="T6867" s="10" t="s">
        <v>54</v>
      </c>
    </row>
    <row r="6868" spans="1:20" ht="14.5" x14ac:dyDescent="0.35">
      <c r="A6868" s="10" t="s">
        <v>33203</v>
      </c>
      <c r="B6868" s="10" t="str">
        <f>"9781412960700"</f>
        <v>9781412960700</v>
      </c>
      <c r="C6868" s="10" t="str">
        <f>"9781452212166"</f>
        <v>9781452212166</v>
      </c>
      <c r="D6868" s="10" t="s">
        <v>22210</v>
      </c>
      <c r="E6868" s="10" t="s">
        <v>22211</v>
      </c>
      <c r="F6868" s="10" t="s">
        <v>333</v>
      </c>
      <c r="G6868" s="10" t="s">
        <v>6317</v>
      </c>
      <c r="H6868" s="11">
        <v>39717</v>
      </c>
      <c r="I6868" s="10">
        <v>2009</v>
      </c>
      <c r="J6868" s="10" t="s">
        <v>22211</v>
      </c>
      <c r="K6868" s="10">
        <v>137</v>
      </c>
      <c r="L6868" s="10" t="s">
        <v>33204</v>
      </c>
      <c r="M6868" s="10">
        <v>1</v>
      </c>
      <c r="N6868" s="10"/>
      <c r="O6868" s="10"/>
      <c r="P6868" s="10"/>
      <c r="Q6868" s="10" t="s">
        <v>19565</v>
      </c>
      <c r="R6868" s="10"/>
      <c r="S6868" s="10" t="s">
        <v>53</v>
      </c>
      <c r="T6868" s="10" t="s">
        <v>54</v>
      </c>
    </row>
    <row r="6869" spans="1:20" ht="14.5" x14ac:dyDescent="0.35">
      <c r="A6869" s="10" t="s">
        <v>33205</v>
      </c>
      <c r="B6869" s="10" t="str">
        <f>"9781412924528"</f>
        <v>9781412924528</v>
      </c>
      <c r="C6869" s="10" t="str">
        <f>"9781452209913"</f>
        <v>9781452209913</v>
      </c>
      <c r="D6869" s="10" t="s">
        <v>22210</v>
      </c>
      <c r="E6869" s="10" t="s">
        <v>22211</v>
      </c>
      <c r="F6869" s="10" t="s">
        <v>333</v>
      </c>
      <c r="G6869" s="10" t="s">
        <v>6317</v>
      </c>
      <c r="H6869" s="11">
        <v>39604</v>
      </c>
      <c r="I6869" s="10">
        <v>2008</v>
      </c>
      <c r="J6869" s="10" t="s">
        <v>22211</v>
      </c>
      <c r="K6869" s="10">
        <v>121</v>
      </c>
      <c r="L6869" s="10" t="s">
        <v>23274</v>
      </c>
      <c r="M6869" s="10">
        <v>1</v>
      </c>
      <c r="N6869" s="10"/>
      <c r="O6869" s="10"/>
      <c r="P6869" s="10"/>
      <c r="Q6869" s="10" t="s">
        <v>15596</v>
      </c>
      <c r="R6869" s="10"/>
      <c r="S6869" s="10" t="s">
        <v>53</v>
      </c>
      <c r="T6869" s="10" t="s">
        <v>6363</v>
      </c>
    </row>
    <row r="6870" spans="1:20" ht="14.5" x14ac:dyDescent="0.35">
      <c r="A6870" s="10" t="s">
        <v>33206</v>
      </c>
      <c r="B6870" s="10" t="str">
        <f>"9780761939443"</f>
        <v>9780761939443</v>
      </c>
      <c r="C6870" s="10" t="str">
        <f>"9781452212593"</f>
        <v>9781452212593</v>
      </c>
      <c r="D6870" s="10" t="s">
        <v>22210</v>
      </c>
      <c r="E6870" s="10" t="s">
        <v>22211</v>
      </c>
      <c r="F6870" s="10" t="s">
        <v>333</v>
      </c>
      <c r="G6870" s="10" t="s">
        <v>6317</v>
      </c>
      <c r="H6870" s="11">
        <v>38384</v>
      </c>
      <c r="I6870" s="10">
        <v>2005</v>
      </c>
      <c r="J6870" s="10" t="s">
        <v>22211</v>
      </c>
      <c r="K6870" s="10">
        <v>193</v>
      </c>
      <c r="L6870" s="10" t="s">
        <v>33207</v>
      </c>
      <c r="M6870" s="10">
        <v>3</v>
      </c>
      <c r="N6870" s="10"/>
      <c r="O6870" s="10"/>
      <c r="P6870" s="10"/>
      <c r="Q6870" s="10">
        <v>371.10199999999998</v>
      </c>
      <c r="R6870" s="10"/>
      <c r="S6870" s="10" t="s">
        <v>53</v>
      </c>
      <c r="T6870" s="10" t="s">
        <v>54</v>
      </c>
    </row>
    <row r="6871" spans="1:20" ht="14.5" x14ac:dyDescent="0.35">
      <c r="A6871" s="10" t="s">
        <v>33208</v>
      </c>
      <c r="B6871" s="10" t="str">
        <f>"9781412941167"</f>
        <v>9781412941167</v>
      </c>
      <c r="C6871" s="10" t="str">
        <f>"9781452211176"</f>
        <v>9781452211176</v>
      </c>
      <c r="D6871" s="10" t="s">
        <v>22210</v>
      </c>
      <c r="E6871" s="10" t="s">
        <v>22211</v>
      </c>
      <c r="F6871" s="10" t="s">
        <v>333</v>
      </c>
      <c r="G6871" s="10" t="s">
        <v>6317</v>
      </c>
      <c r="H6871" s="11">
        <v>39192</v>
      </c>
      <c r="I6871" s="10">
        <v>2007</v>
      </c>
      <c r="J6871" s="10" t="s">
        <v>22211</v>
      </c>
      <c r="K6871" s="10">
        <v>337</v>
      </c>
      <c r="L6871" s="10" t="s">
        <v>25094</v>
      </c>
      <c r="M6871" s="10">
        <v>1</v>
      </c>
      <c r="N6871" s="10"/>
      <c r="O6871" s="10"/>
      <c r="P6871" s="10"/>
      <c r="Q6871" s="10" t="s">
        <v>10535</v>
      </c>
      <c r="R6871" s="10"/>
      <c r="S6871" s="10" t="s">
        <v>53</v>
      </c>
      <c r="T6871" s="10" t="s">
        <v>54</v>
      </c>
    </row>
    <row r="6872" spans="1:20" ht="14.5" x14ac:dyDescent="0.35">
      <c r="A6872" s="10" t="s">
        <v>33209</v>
      </c>
      <c r="B6872" s="10" t="str">
        <f>"9781412938891"</f>
        <v>9781412938891</v>
      </c>
      <c r="C6872" s="10" t="str">
        <f>"9781452273877"</f>
        <v>9781452273877</v>
      </c>
      <c r="D6872" s="10" t="s">
        <v>22210</v>
      </c>
      <c r="E6872" s="10" t="s">
        <v>22211</v>
      </c>
      <c r="F6872" s="10" t="s">
        <v>333</v>
      </c>
      <c r="G6872" s="10" t="s">
        <v>6317</v>
      </c>
      <c r="H6872" s="11">
        <v>39917</v>
      </c>
      <c r="I6872" s="10">
        <v>2009</v>
      </c>
      <c r="J6872" s="10" t="s">
        <v>22211</v>
      </c>
      <c r="K6872" s="10">
        <v>153</v>
      </c>
      <c r="L6872" s="10" t="s">
        <v>27681</v>
      </c>
      <c r="M6872" s="10">
        <v>3</v>
      </c>
      <c r="N6872" s="10"/>
      <c r="O6872" s="10"/>
      <c r="P6872" s="10"/>
      <c r="Q6872" s="10"/>
      <c r="R6872" s="10"/>
      <c r="S6872" s="10" t="s">
        <v>53</v>
      </c>
      <c r="T6872" s="10" t="s">
        <v>54</v>
      </c>
    </row>
    <row r="6873" spans="1:20" ht="14.5" x14ac:dyDescent="0.35">
      <c r="A6873" s="10" t="s">
        <v>33210</v>
      </c>
      <c r="B6873" s="10" t="str">
        <f>"9780761939924"</f>
        <v>9780761939924</v>
      </c>
      <c r="C6873" s="10" t="str">
        <f>"9781452213392"</f>
        <v>9781452213392</v>
      </c>
      <c r="D6873" s="10" t="s">
        <v>22210</v>
      </c>
      <c r="E6873" s="10" t="s">
        <v>22211</v>
      </c>
      <c r="F6873" s="10" t="s">
        <v>333</v>
      </c>
      <c r="G6873" s="10" t="s">
        <v>6317</v>
      </c>
      <c r="H6873" s="11">
        <v>38085</v>
      </c>
      <c r="I6873" s="10">
        <v>2004</v>
      </c>
      <c r="J6873" s="10" t="s">
        <v>22211</v>
      </c>
      <c r="K6873" s="10">
        <v>121</v>
      </c>
      <c r="L6873" s="10" t="s">
        <v>30868</v>
      </c>
      <c r="M6873" s="10">
        <v>1</v>
      </c>
      <c r="N6873" s="10"/>
      <c r="O6873" s="10"/>
      <c r="P6873" s="10"/>
      <c r="Q6873" s="10" t="s">
        <v>11202</v>
      </c>
      <c r="R6873" s="10"/>
      <c r="S6873" s="10" t="s">
        <v>53</v>
      </c>
      <c r="T6873" s="10" t="s">
        <v>54</v>
      </c>
    </row>
    <row r="6874" spans="1:20" ht="14.5" x14ac:dyDescent="0.35">
      <c r="A6874" s="10" t="s">
        <v>33211</v>
      </c>
      <c r="B6874" s="10" t="str">
        <f>"9781412957656"</f>
        <v>9781412957656</v>
      </c>
      <c r="C6874" s="10" t="str">
        <f>"9781452214191"</f>
        <v>9781452214191</v>
      </c>
      <c r="D6874" s="10" t="s">
        <v>22210</v>
      </c>
      <c r="E6874" s="10" t="s">
        <v>22211</v>
      </c>
      <c r="F6874" s="10" t="s">
        <v>333</v>
      </c>
      <c r="G6874" s="10" t="s">
        <v>6317</v>
      </c>
      <c r="H6874" s="11">
        <v>39520</v>
      </c>
      <c r="I6874" s="10">
        <v>2008</v>
      </c>
      <c r="J6874" s="10" t="s">
        <v>22211</v>
      </c>
      <c r="K6874" s="10">
        <v>129</v>
      </c>
      <c r="L6874" s="10" t="s">
        <v>22462</v>
      </c>
      <c r="M6874" s="10">
        <v>1</v>
      </c>
      <c r="N6874" s="10"/>
      <c r="O6874" s="10"/>
      <c r="P6874" s="10"/>
      <c r="Q6874" s="10">
        <v>371.93</v>
      </c>
      <c r="R6874" s="10"/>
      <c r="S6874" s="10" t="s">
        <v>53</v>
      </c>
      <c r="T6874" s="10" t="s">
        <v>54</v>
      </c>
    </row>
    <row r="6875" spans="1:20" ht="14.5" x14ac:dyDescent="0.35">
      <c r="A6875" s="10" t="s">
        <v>33212</v>
      </c>
      <c r="B6875" s="10" t="str">
        <f>"9780761975090"</f>
        <v>9780761975090</v>
      </c>
      <c r="C6875" s="10" t="str">
        <f>"9781452211619"</f>
        <v>9781452211619</v>
      </c>
      <c r="D6875" s="10" t="s">
        <v>22210</v>
      </c>
      <c r="E6875" s="10" t="s">
        <v>22211</v>
      </c>
      <c r="F6875" s="10" t="s">
        <v>333</v>
      </c>
      <c r="G6875" s="10" t="s">
        <v>6317</v>
      </c>
      <c r="H6875" s="11">
        <v>39717</v>
      </c>
      <c r="I6875" s="10">
        <v>2009</v>
      </c>
      <c r="J6875" s="10" t="s">
        <v>22211</v>
      </c>
      <c r="K6875" s="10">
        <v>235</v>
      </c>
      <c r="L6875" s="10" t="s">
        <v>33213</v>
      </c>
      <c r="M6875" s="10">
        <v>2</v>
      </c>
      <c r="N6875" s="10"/>
      <c r="O6875" s="10"/>
      <c r="P6875" s="10"/>
      <c r="Q6875" s="10" t="s">
        <v>22247</v>
      </c>
      <c r="R6875" s="10"/>
      <c r="S6875" s="10" t="s">
        <v>53</v>
      </c>
      <c r="T6875" s="10" t="s">
        <v>54</v>
      </c>
    </row>
    <row r="6876" spans="1:20" ht="14.5" x14ac:dyDescent="0.35">
      <c r="A6876" s="10" t="s">
        <v>33214</v>
      </c>
      <c r="B6876" s="10" t="str">
        <f>"9781412942423"</f>
        <v>9781412942423</v>
      </c>
      <c r="C6876" s="10" t="str">
        <f>"9781452214702"</f>
        <v>9781452214702</v>
      </c>
      <c r="D6876" s="10" t="s">
        <v>22210</v>
      </c>
      <c r="E6876" s="10" t="s">
        <v>22211</v>
      </c>
      <c r="F6876" s="10" t="s">
        <v>333</v>
      </c>
      <c r="G6876" s="10" t="s">
        <v>6317</v>
      </c>
      <c r="H6876" s="11">
        <v>39889</v>
      </c>
      <c r="I6876" s="10">
        <v>2009</v>
      </c>
      <c r="J6876" s="10" t="s">
        <v>22211</v>
      </c>
      <c r="K6876" s="10">
        <v>201</v>
      </c>
      <c r="L6876" s="10" t="s">
        <v>33215</v>
      </c>
      <c r="M6876" s="10">
        <v>1</v>
      </c>
      <c r="N6876" s="10"/>
      <c r="O6876" s="10"/>
      <c r="P6876" s="10"/>
      <c r="Q6876" s="10">
        <v>373.11020000000002</v>
      </c>
      <c r="R6876" s="10"/>
      <c r="S6876" s="10" t="s">
        <v>53</v>
      </c>
      <c r="T6876" s="10" t="s">
        <v>54</v>
      </c>
    </row>
    <row r="6877" spans="1:20" ht="14.5" x14ac:dyDescent="0.35">
      <c r="A6877" s="10" t="s">
        <v>33216</v>
      </c>
      <c r="B6877" s="10" t="str">
        <f>"9781412971218"</f>
        <v>9781412971218</v>
      </c>
      <c r="C6877" s="10" t="str">
        <f>"9781452213293"</f>
        <v>9781452213293</v>
      </c>
      <c r="D6877" s="10" t="s">
        <v>22210</v>
      </c>
      <c r="E6877" s="10" t="s">
        <v>22211</v>
      </c>
      <c r="F6877" s="10" t="s">
        <v>333</v>
      </c>
      <c r="G6877" s="10" t="s">
        <v>6317</v>
      </c>
      <c r="H6877" s="11">
        <v>39916</v>
      </c>
      <c r="I6877" s="10">
        <v>2009</v>
      </c>
      <c r="J6877" s="10" t="s">
        <v>22211</v>
      </c>
      <c r="K6877" s="10">
        <v>153</v>
      </c>
      <c r="L6877" s="10" t="s">
        <v>23233</v>
      </c>
      <c r="M6877" s="10">
        <v>1</v>
      </c>
      <c r="N6877" s="10"/>
      <c r="O6877" s="10"/>
      <c r="P6877" s="10"/>
      <c r="Q6877" s="10">
        <v>372.13028000000003</v>
      </c>
      <c r="R6877" s="10"/>
      <c r="S6877" s="10" t="s">
        <v>53</v>
      </c>
      <c r="T6877" s="10" t="s">
        <v>54</v>
      </c>
    </row>
    <row r="6878" spans="1:20" ht="14.5" x14ac:dyDescent="0.35">
      <c r="A6878" s="10" t="s">
        <v>33217</v>
      </c>
      <c r="B6878" s="10" t="str">
        <f>"9781412960670"</f>
        <v>9781412960670</v>
      </c>
      <c r="C6878" s="10" t="str">
        <f>"9781452213309"</f>
        <v>9781452213309</v>
      </c>
      <c r="D6878" s="10" t="s">
        <v>22210</v>
      </c>
      <c r="E6878" s="10" t="s">
        <v>22211</v>
      </c>
      <c r="F6878" s="10" t="s">
        <v>333</v>
      </c>
      <c r="G6878" s="10" t="s">
        <v>6317</v>
      </c>
      <c r="H6878" s="11">
        <v>39869</v>
      </c>
      <c r="I6878" s="10">
        <v>2009</v>
      </c>
      <c r="J6878" s="10" t="s">
        <v>22211</v>
      </c>
      <c r="K6878" s="10">
        <v>153</v>
      </c>
      <c r="L6878" s="10" t="s">
        <v>30475</v>
      </c>
      <c r="M6878" s="10">
        <v>1</v>
      </c>
      <c r="N6878" s="10"/>
      <c r="O6878" s="10"/>
      <c r="P6878" s="10" t="s">
        <v>33218</v>
      </c>
      <c r="Q6878" s="10">
        <v>372.7</v>
      </c>
      <c r="R6878" s="10"/>
      <c r="S6878" s="10" t="s">
        <v>53</v>
      </c>
      <c r="T6878" s="10" t="s">
        <v>7425</v>
      </c>
    </row>
    <row r="6879" spans="1:20" ht="14.5" x14ac:dyDescent="0.35">
      <c r="A6879" s="10" t="s">
        <v>33219</v>
      </c>
      <c r="B6879" s="10" t="str">
        <f>"9781412966252"</f>
        <v>9781412966252</v>
      </c>
      <c r="C6879" s="10" t="str">
        <f>"9781452213217"</f>
        <v>9781452213217</v>
      </c>
      <c r="D6879" s="10" t="s">
        <v>22210</v>
      </c>
      <c r="E6879" s="10" t="s">
        <v>22211</v>
      </c>
      <c r="F6879" s="10" t="s">
        <v>333</v>
      </c>
      <c r="G6879" s="10" t="s">
        <v>6317</v>
      </c>
      <c r="H6879" s="11">
        <v>39889</v>
      </c>
      <c r="I6879" s="10">
        <v>2009</v>
      </c>
      <c r="J6879" s="10" t="s">
        <v>22211</v>
      </c>
      <c r="K6879" s="10">
        <v>297</v>
      </c>
      <c r="L6879" s="10" t="s">
        <v>33220</v>
      </c>
      <c r="M6879" s="10">
        <v>1</v>
      </c>
      <c r="N6879" s="10"/>
      <c r="O6879" s="10"/>
      <c r="P6879" s="10"/>
      <c r="Q6879" s="10"/>
      <c r="R6879" s="10"/>
      <c r="S6879" s="10" t="s">
        <v>53</v>
      </c>
      <c r="T6879" s="10" t="s">
        <v>10979</v>
      </c>
    </row>
    <row r="6880" spans="1:20" ht="14.5" x14ac:dyDescent="0.35">
      <c r="A6880" s="10" t="s">
        <v>33221</v>
      </c>
      <c r="B6880" s="10" t="str">
        <f>"9781412949002"</f>
        <v>9781412949002</v>
      </c>
      <c r="C6880" s="10" t="str">
        <f>"9781452209814"</f>
        <v>9781452209814</v>
      </c>
      <c r="D6880" s="10" t="s">
        <v>22210</v>
      </c>
      <c r="E6880" s="10" t="s">
        <v>22211</v>
      </c>
      <c r="F6880" s="10" t="s">
        <v>333</v>
      </c>
      <c r="G6880" s="10" t="s">
        <v>6317</v>
      </c>
      <c r="H6880" s="11">
        <v>39708</v>
      </c>
      <c r="I6880" s="10">
        <v>2009</v>
      </c>
      <c r="J6880" s="10" t="s">
        <v>22211</v>
      </c>
      <c r="K6880" s="10">
        <v>225</v>
      </c>
      <c r="L6880" s="10" t="s">
        <v>33222</v>
      </c>
      <c r="M6880" s="10">
        <v>2</v>
      </c>
      <c r="N6880" s="10"/>
      <c r="O6880" s="10"/>
      <c r="P6880" s="10"/>
      <c r="Q6880" s="10" t="s">
        <v>15252</v>
      </c>
      <c r="R6880" s="10"/>
      <c r="S6880" s="10" t="s">
        <v>53</v>
      </c>
      <c r="T6880" s="10" t="s">
        <v>54</v>
      </c>
    </row>
    <row r="6881" spans="1:20" ht="14.5" x14ac:dyDescent="0.35">
      <c r="A6881" s="10" t="s">
        <v>33223</v>
      </c>
      <c r="B6881" s="10" t="str">
        <f>"9781412927703"</f>
        <v>9781412927703</v>
      </c>
      <c r="C6881" s="10" t="str">
        <f>"9781452210247"</f>
        <v>9781452210247</v>
      </c>
      <c r="D6881" s="10" t="s">
        <v>22210</v>
      </c>
      <c r="E6881" s="10" t="s">
        <v>22211</v>
      </c>
      <c r="F6881" s="10" t="s">
        <v>333</v>
      </c>
      <c r="G6881" s="10" t="s">
        <v>6317</v>
      </c>
      <c r="H6881" s="11">
        <v>39778</v>
      </c>
      <c r="I6881" s="10">
        <v>2009</v>
      </c>
      <c r="J6881" s="10" t="s">
        <v>22211</v>
      </c>
      <c r="K6881" s="10">
        <v>145</v>
      </c>
      <c r="L6881" s="10" t="s">
        <v>33224</v>
      </c>
      <c r="M6881" s="10">
        <v>1</v>
      </c>
      <c r="N6881" s="10"/>
      <c r="O6881" s="10"/>
      <c r="P6881" s="10">
        <v>2008028633</v>
      </c>
      <c r="Q6881" s="10" t="s">
        <v>11202</v>
      </c>
      <c r="R6881" s="10"/>
      <c r="S6881" s="10" t="s">
        <v>53</v>
      </c>
      <c r="T6881" s="10" t="s">
        <v>54</v>
      </c>
    </row>
    <row r="6882" spans="1:20" ht="14.5" x14ac:dyDescent="0.35">
      <c r="A6882" s="10" t="s">
        <v>33225</v>
      </c>
      <c r="B6882" s="10" t="str">
        <f>"9781412963503"</f>
        <v>9781412963503</v>
      </c>
      <c r="C6882" s="10" t="str">
        <f>"9781452214634"</f>
        <v>9781452214634</v>
      </c>
      <c r="D6882" s="10" t="s">
        <v>22210</v>
      </c>
      <c r="E6882" s="10" t="s">
        <v>22211</v>
      </c>
      <c r="F6882" s="10" t="s">
        <v>333</v>
      </c>
      <c r="G6882" s="10" t="s">
        <v>6317</v>
      </c>
      <c r="H6882" s="11">
        <v>39735</v>
      </c>
      <c r="I6882" s="10">
        <v>2009</v>
      </c>
      <c r="J6882" s="10" t="s">
        <v>22211</v>
      </c>
      <c r="K6882" s="10">
        <v>201</v>
      </c>
      <c r="L6882" s="10" t="s">
        <v>33226</v>
      </c>
      <c r="M6882" s="10">
        <v>2</v>
      </c>
      <c r="N6882" s="10"/>
      <c r="O6882" s="10"/>
      <c r="P6882" s="10"/>
      <c r="Q6882" s="10" t="s">
        <v>9356</v>
      </c>
      <c r="R6882" s="10"/>
      <c r="S6882" s="10" t="s">
        <v>53</v>
      </c>
      <c r="T6882" s="10" t="s">
        <v>54</v>
      </c>
    </row>
    <row r="6883" spans="1:20" ht="14.5" x14ac:dyDescent="0.35">
      <c r="A6883" s="10" t="s">
        <v>33227</v>
      </c>
      <c r="B6883" s="10" t="str">
        <f>"9781412959841"</f>
        <v>9781412959841</v>
      </c>
      <c r="C6883" s="10" t="str">
        <f>"9781452212951"</f>
        <v>9781452212951</v>
      </c>
      <c r="D6883" s="10" t="s">
        <v>22210</v>
      </c>
      <c r="E6883" s="10" t="s">
        <v>22211</v>
      </c>
      <c r="F6883" s="10" t="s">
        <v>333</v>
      </c>
      <c r="G6883" s="10" t="s">
        <v>6317</v>
      </c>
      <c r="H6883" s="11">
        <v>39855</v>
      </c>
      <c r="I6883" s="10">
        <v>2009</v>
      </c>
      <c r="J6883" s="10" t="s">
        <v>22211</v>
      </c>
      <c r="K6883" s="10">
        <v>193</v>
      </c>
      <c r="L6883" s="10" t="s">
        <v>23203</v>
      </c>
      <c r="M6883" s="10">
        <v>1</v>
      </c>
      <c r="N6883" s="10"/>
      <c r="O6883" s="10"/>
      <c r="P6883" s="10"/>
      <c r="Q6883" s="10" t="s">
        <v>12010</v>
      </c>
      <c r="R6883" s="10"/>
      <c r="S6883" s="10" t="s">
        <v>53</v>
      </c>
      <c r="T6883" s="10" t="s">
        <v>54</v>
      </c>
    </row>
    <row r="6884" spans="1:20" ht="14.5" x14ac:dyDescent="0.35">
      <c r="A6884" s="10" t="s">
        <v>33228</v>
      </c>
      <c r="B6884" s="10" t="str">
        <f>"9781412906098"</f>
        <v>9781412906098</v>
      </c>
      <c r="C6884" s="10" t="str">
        <f>"9781452213118"</f>
        <v>9781452213118</v>
      </c>
      <c r="D6884" s="10" t="s">
        <v>22210</v>
      </c>
      <c r="E6884" s="10" t="s">
        <v>22211</v>
      </c>
      <c r="F6884" s="10" t="s">
        <v>333</v>
      </c>
      <c r="G6884" s="10" t="s">
        <v>6317</v>
      </c>
      <c r="H6884" s="11">
        <v>38288</v>
      </c>
      <c r="I6884" s="10">
        <v>2004</v>
      </c>
      <c r="J6884" s="10" t="s">
        <v>22211</v>
      </c>
      <c r="K6884" s="10">
        <v>137</v>
      </c>
      <c r="L6884" s="10" t="s">
        <v>33229</v>
      </c>
      <c r="M6884" s="10">
        <v>1</v>
      </c>
      <c r="N6884" s="10"/>
      <c r="O6884" s="10"/>
      <c r="P6884" s="10"/>
      <c r="Q6884" s="10" t="s">
        <v>24601</v>
      </c>
      <c r="R6884" s="10"/>
      <c r="S6884" s="10" t="s">
        <v>53</v>
      </c>
      <c r="T6884" s="10" t="s">
        <v>54</v>
      </c>
    </row>
    <row r="6885" spans="1:20" ht="14.5" x14ac:dyDescent="0.35">
      <c r="A6885" s="10" t="s">
        <v>33230</v>
      </c>
      <c r="B6885" s="10" t="str">
        <f>"9780803953642"</f>
        <v>9780803953642</v>
      </c>
      <c r="C6885" s="10" t="str">
        <f>"9781452255347"</f>
        <v>9781452255347</v>
      </c>
      <c r="D6885" s="10" t="s">
        <v>22210</v>
      </c>
      <c r="E6885" s="10" t="s">
        <v>22214</v>
      </c>
      <c r="F6885" s="10" t="s">
        <v>333</v>
      </c>
      <c r="G6885" s="10" t="s">
        <v>6317</v>
      </c>
      <c r="H6885" s="11">
        <v>34652</v>
      </c>
      <c r="I6885" s="10">
        <v>1994</v>
      </c>
      <c r="J6885" s="10" t="s">
        <v>22214</v>
      </c>
      <c r="K6885" s="10">
        <v>271</v>
      </c>
      <c r="L6885" s="10" t="s">
        <v>33231</v>
      </c>
      <c r="M6885" s="10">
        <v>1</v>
      </c>
      <c r="N6885" s="10"/>
      <c r="O6885" s="10"/>
      <c r="P6885" s="10" t="s">
        <v>33232</v>
      </c>
      <c r="Q6885" s="10" t="s">
        <v>31588</v>
      </c>
      <c r="R6885" s="10"/>
      <c r="S6885" s="10" t="s">
        <v>53</v>
      </c>
      <c r="T6885" s="10" t="s">
        <v>33233</v>
      </c>
    </row>
    <row r="6886" spans="1:20" ht="14.5" x14ac:dyDescent="0.35">
      <c r="A6886" s="10" t="s">
        <v>33234</v>
      </c>
      <c r="B6886" s="10" t="str">
        <f>"9781412951258"</f>
        <v>9781412951258</v>
      </c>
      <c r="C6886" s="10" t="str">
        <f>"9781452211428"</f>
        <v>9781452211428</v>
      </c>
      <c r="D6886" s="10" t="s">
        <v>22210</v>
      </c>
      <c r="E6886" s="10" t="s">
        <v>22211</v>
      </c>
      <c r="F6886" s="10" t="s">
        <v>333</v>
      </c>
      <c r="G6886" s="10" t="s">
        <v>6317</v>
      </c>
      <c r="H6886" s="11">
        <v>39534</v>
      </c>
      <c r="I6886" s="10">
        <v>2008</v>
      </c>
      <c r="J6886" s="10" t="s">
        <v>22211</v>
      </c>
      <c r="K6886" s="10">
        <v>209</v>
      </c>
      <c r="L6886" s="10" t="s">
        <v>33235</v>
      </c>
      <c r="M6886" s="10">
        <v>2</v>
      </c>
      <c r="N6886" s="10"/>
      <c r="O6886" s="10"/>
      <c r="P6886" s="10"/>
      <c r="Q6886" s="10" t="s">
        <v>7069</v>
      </c>
      <c r="R6886" s="10"/>
      <c r="S6886" s="10" t="s">
        <v>53</v>
      </c>
      <c r="T6886" s="10" t="s">
        <v>54</v>
      </c>
    </row>
    <row r="6887" spans="1:20" ht="14.5" x14ac:dyDescent="0.35">
      <c r="A6887" s="10" t="s">
        <v>33236</v>
      </c>
      <c r="B6887" s="10" t="str">
        <f>"9781412927529"</f>
        <v>9781412927529</v>
      </c>
      <c r="C6887" s="10" t="str">
        <f>"9781452222790"</f>
        <v>9781452222790</v>
      </c>
      <c r="D6887" s="10" t="s">
        <v>22210</v>
      </c>
      <c r="E6887" s="10" t="s">
        <v>22214</v>
      </c>
      <c r="F6887" s="10" t="s">
        <v>333</v>
      </c>
      <c r="G6887" s="10" t="s">
        <v>6317</v>
      </c>
      <c r="H6887" s="11">
        <v>39100</v>
      </c>
      <c r="I6887" s="10">
        <v>2007</v>
      </c>
      <c r="J6887" s="10" t="s">
        <v>22214</v>
      </c>
      <c r="K6887" s="10">
        <v>223</v>
      </c>
      <c r="L6887" s="10" t="s">
        <v>33237</v>
      </c>
      <c r="M6887" s="10">
        <v>1</v>
      </c>
      <c r="N6887" s="10"/>
      <c r="O6887" s="10"/>
      <c r="P6887" s="10"/>
      <c r="Q6887" s="10">
        <v>371.2</v>
      </c>
      <c r="R6887" s="10"/>
      <c r="S6887" s="10" t="s">
        <v>53</v>
      </c>
      <c r="T6887" s="10" t="s">
        <v>54</v>
      </c>
    </row>
    <row r="6888" spans="1:20" ht="14.5" x14ac:dyDescent="0.35">
      <c r="A6888" s="10" t="s">
        <v>33238</v>
      </c>
      <c r="B6888" s="10" t="str">
        <f>"9781412965538"</f>
        <v>9781412965538</v>
      </c>
      <c r="C6888" s="10" t="str">
        <f>"9781452210278"</f>
        <v>9781452210278</v>
      </c>
      <c r="D6888" s="10" t="s">
        <v>22210</v>
      </c>
      <c r="E6888" s="10" t="s">
        <v>22211</v>
      </c>
      <c r="F6888" s="10" t="s">
        <v>333</v>
      </c>
      <c r="G6888" s="10" t="s">
        <v>6317</v>
      </c>
      <c r="H6888" s="11">
        <v>40057</v>
      </c>
      <c r="I6888" s="10">
        <v>2009</v>
      </c>
      <c r="J6888" s="10" t="s">
        <v>22211</v>
      </c>
      <c r="K6888" s="10">
        <v>169</v>
      </c>
      <c r="L6888" s="10" t="s">
        <v>33239</v>
      </c>
      <c r="M6888" s="10">
        <v>1</v>
      </c>
      <c r="N6888" s="10"/>
      <c r="O6888" s="10"/>
      <c r="P6888" s="10" t="s">
        <v>33240</v>
      </c>
      <c r="Q6888" s="10" t="s">
        <v>15602</v>
      </c>
      <c r="R6888" s="10"/>
      <c r="S6888" s="10" t="s">
        <v>53</v>
      </c>
      <c r="T6888" s="10" t="s">
        <v>54</v>
      </c>
    </row>
    <row r="6889" spans="1:20" ht="14.5" x14ac:dyDescent="0.35">
      <c r="A6889" s="10" t="s">
        <v>33241</v>
      </c>
      <c r="B6889" s="10" t="str">
        <f>"9781412957717"</f>
        <v>9781412957717</v>
      </c>
      <c r="C6889" s="10" t="str">
        <f>"9781452208190"</f>
        <v>9781452208190</v>
      </c>
      <c r="D6889" s="10" t="s">
        <v>22210</v>
      </c>
      <c r="E6889" s="10" t="s">
        <v>22211</v>
      </c>
      <c r="F6889" s="10" t="s">
        <v>333</v>
      </c>
      <c r="G6889" s="10" t="s">
        <v>6317</v>
      </c>
      <c r="H6889" s="11">
        <v>39340</v>
      </c>
      <c r="I6889" s="10">
        <v>2008</v>
      </c>
      <c r="J6889" s="10" t="s">
        <v>22211</v>
      </c>
      <c r="K6889" s="10">
        <v>169</v>
      </c>
      <c r="L6889" s="10" t="s">
        <v>33242</v>
      </c>
      <c r="M6889" s="10">
        <v>1</v>
      </c>
      <c r="N6889" s="10"/>
      <c r="O6889" s="10"/>
      <c r="P6889" s="10" t="s">
        <v>33243</v>
      </c>
      <c r="Q6889" s="10"/>
      <c r="R6889" s="10"/>
      <c r="S6889" s="10" t="s">
        <v>53</v>
      </c>
      <c r="T6889" s="10" t="s">
        <v>54</v>
      </c>
    </row>
    <row r="6890" spans="1:20" ht="14.5" x14ac:dyDescent="0.35">
      <c r="A6890" s="10" t="s">
        <v>33244</v>
      </c>
      <c r="B6890" s="10" t="str">
        <f>"9783865961181"</f>
        <v>9783865961181</v>
      </c>
      <c r="C6890" s="10" t="str">
        <f>"9783865969804"</f>
        <v>9783865969804</v>
      </c>
      <c r="D6890" s="10" t="s">
        <v>27189</v>
      </c>
      <c r="E6890" s="10" t="s">
        <v>33245</v>
      </c>
      <c r="F6890" s="10" t="s">
        <v>2925</v>
      </c>
      <c r="G6890" s="10" t="s">
        <v>9998</v>
      </c>
      <c r="H6890" s="11">
        <v>41243</v>
      </c>
      <c r="I6890" s="10">
        <v>2007</v>
      </c>
      <c r="J6890" s="10" t="s">
        <v>33245</v>
      </c>
      <c r="K6890" s="10">
        <v>346</v>
      </c>
      <c r="L6890" s="10" t="s">
        <v>33246</v>
      </c>
      <c r="M6890" s="10"/>
      <c r="N6890" s="10"/>
      <c r="O6890" s="10"/>
      <c r="P6890" s="10" t="s">
        <v>33247</v>
      </c>
      <c r="Q6890" s="10"/>
      <c r="R6890" s="10" t="s">
        <v>33248</v>
      </c>
      <c r="S6890" s="10" t="s">
        <v>53</v>
      </c>
      <c r="T6890" s="10" t="s">
        <v>5557</v>
      </c>
    </row>
    <row r="6891" spans="1:20" ht="14.5" x14ac:dyDescent="0.35">
      <c r="A6891" s="10" t="s">
        <v>33249</v>
      </c>
      <c r="B6891" s="10" t="str">
        <f>"9789460916762"</f>
        <v>9789460916762</v>
      </c>
      <c r="C6891" s="10" t="str">
        <f>"9789460916786"</f>
        <v>9789460916786</v>
      </c>
      <c r="D6891" s="10" t="s">
        <v>8564</v>
      </c>
      <c r="E6891" s="10" t="s">
        <v>13067</v>
      </c>
      <c r="F6891" s="10" t="s">
        <v>33250</v>
      </c>
      <c r="G6891" s="10" t="s">
        <v>9233</v>
      </c>
      <c r="H6891" s="11">
        <v>40909</v>
      </c>
      <c r="I6891" s="10">
        <v>2011</v>
      </c>
      <c r="J6891" s="10" t="s">
        <v>13067</v>
      </c>
      <c r="K6891" s="10">
        <v>183</v>
      </c>
      <c r="L6891" s="10" t="s">
        <v>33251</v>
      </c>
      <c r="M6891" s="10">
        <v>1</v>
      </c>
      <c r="N6891" s="10"/>
      <c r="O6891" s="10"/>
      <c r="P6891" s="10" t="s">
        <v>19534</v>
      </c>
      <c r="Q6891" s="10"/>
      <c r="R6891" s="10" t="s">
        <v>33252</v>
      </c>
      <c r="S6891" s="10" t="s">
        <v>53</v>
      </c>
      <c r="T6891" s="10" t="s">
        <v>54</v>
      </c>
    </row>
    <row r="6892" spans="1:20" ht="14.5" x14ac:dyDescent="0.35">
      <c r="A6892" s="10" t="s">
        <v>33253</v>
      </c>
      <c r="B6892" s="10" t="str">
        <f>"9789460916977"</f>
        <v>9789460916977</v>
      </c>
      <c r="C6892" s="10" t="str">
        <f>"9789460916991"</f>
        <v>9789460916991</v>
      </c>
      <c r="D6892" s="10" t="s">
        <v>8564</v>
      </c>
      <c r="E6892" s="10" t="s">
        <v>13067</v>
      </c>
      <c r="F6892" s="10" t="s">
        <v>33250</v>
      </c>
      <c r="G6892" s="10" t="s">
        <v>9233</v>
      </c>
      <c r="H6892" s="11">
        <v>40909</v>
      </c>
      <c r="I6892" s="10">
        <v>2012</v>
      </c>
      <c r="J6892" s="10" t="s">
        <v>13067</v>
      </c>
      <c r="K6892" s="10">
        <v>239</v>
      </c>
      <c r="L6892" s="10" t="s">
        <v>33254</v>
      </c>
      <c r="M6892" s="10">
        <v>1</v>
      </c>
      <c r="N6892" s="10"/>
      <c r="O6892" s="10"/>
      <c r="P6892" s="10" t="s">
        <v>19534</v>
      </c>
      <c r="Q6892" s="10"/>
      <c r="R6892" s="10" t="s">
        <v>18927</v>
      </c>
      <c r="S6892" s="10" t="s">
        <v>53</v>
      </c>
      <c r="T6892" s="10" t="s">
        <v>54</v>
      </c>
    </row>
    <row r="6893" spans="1:20" ht="14.5" x14ac:dyDescent="0.35">
      <c r="A6893" s="10" t="s">
        <v>33255</v>
      </c>
      <c r="B6893" s="10" t="str">
        <f>"9789460917448"</f>
        <v>9789460917448</v>
      </c>
      <c r="C6893" s="10" t="str">
        <f>"9789460917462"</f>
        <v>9789460917462</v>
      </c>
      <c r="D6893" s="10" t="s">
        <v>8564</v>
      </c>
      <c r="E6893" s="10" t="s">
        <v>13067</v>
      </c>
      <c r="F6893" s="10" t="s">
        <v>33250</v>
      </c>
      <c r="G6893" s="10" t="s">
        <v>9233</v>
      </c>
      <c r="H6893" s="11">
        <v>40909</v>
      </c>
      <c r="I6893" s="10">
        <v>2012</v>
      </c>
      <c r="J6893" s="10" t="s">
        <v>13067</v>
      </c>
      <c r="K6893" s="10">
        <v>130</v>
      </c>
      <c r="L6893" s="10" t="s">
        <v>33256</v>
      </c>
      <c r="M6893" s="10">
        <v>1</v>
      </c>
      <c r="N6893" s="10" t="s">
        <v>33257</v>
      </c>
      <c r="O6893" s="10">
        <v>24</v>
      </c>
      <c r="P6893" s="10" t="s">
        <v>11360</v>
      </c>
      <c r="Q6893" s="10"/>
      <c r="R6893" s="10"/>
      <c r="S6893" s="10" t="s">
        <v>53</v>
      </c>
      <c r="T6893" s="10" t="s">
        <v>54</v>
      </c>
    </row>
    <row r="6894" spans="1:20" ht="14.5" x14ac:dyDescent="0.35">
      <c r="A6894" s="10" t="s">
        <v>33258</v>
      </c>
      <c r="B6894" s="10" t="str">
        <f>"9789460918094"</f>
        <v>9789460918094</v>
      </c>
      <c r="C6894" s="10" t="str">
        <f>"9789460918117"</f>
        <v>9789460918117</v>
      </c>
      <c r="D6894" s="10" t="s">
        <v>8564</v>
      </c>
      <c r="E6894" s="10" t="s">
        <v>8565</v>
      </c>
      <c r="F6894" s="10" t="s">
        <v>1420</v>
      </c>
      <c r="G6894" s="10" t="s">
        <v>6317</v>
      </c>
      <c r="H6894" s="11">
        <v>40909</v>
      </c>
      <c r="I6894" s="10">
        <v>2012</v>
      </c>
      <c r="J6894" s="10" t="s">
        <v>33259</v>
      </c>
      <c r="K6894" s="10">
        <v>306</v>
      </c>
      <c r="L6894" s="10" t="s">
        <v>33260</v>
      </c>
      <c r="M6894" s="10">
        <v>1</v>
      </c>
      <c r="N6894" s="10"/>
      <c r="O6894" s="10"/>
      <c r="P6894" s="10" t="s">
        <v>19534</v>
      </c>
      <c r="Q6894" s="10"/>
      <c r="R6894" s="10" t="s">
        <v>33261</v>
      </c>
      <c r="S6894" s="10" t="s">
        <v>53</v>
      </c>
      <c r="T6894" s="10" t="s">
        <v>54</v>
      </c>
    </row>
    <row r="6895" spans="1:20" ht="14.5" x14ac:dyDescent="0.35">
      <c r="A6895" s="10" t="s">
        <v>33262</v>
      </c>
      <c r="B6895" s="10" t="str">
        <f>"9789460918186"</f>
        <v>9789460918186</v>
      </c>
      <c r="C6895" s="10" t="str">
        <f>"9789460918209"</f>
        <v>9789460918209</v>
      </c>
      <c r="D6895" s="10" t="s">
        <v>8564</v>
      </c>
      <c r="E6895" s="10" t="s">
        <v>13067</v>
      </c>
      <c r="F6895" s="10" t="s">
        <v>33250</v>
      </c>
      <c r="G6895" s="10" t="s">
        <v>9233</v>
      </c>
      <c r="H6895" s="11">
        <v>40909</v>
      </c>
      <c r="I6895" s="10">
        <v>2012</v>
      </c>
      <c r="J6895" s="10" t="s">
        <v>13067</v>
      </c>
      <c r="K6895" s="10">
        <v>278</v>
      </c>
      <c r="L6895" s="10" t="s">
        <v>33263</v>
      </c>
      <c r="M6895" s="10">
        <v>1</v>
      </c>
      <c r="N6895" s="10" t="s">
        <v>33264</v>
      </c>
      <c r="O6895" s="10">
        <v>12</v>
      </c>
      <c r="P6895" s="10" t="s">
        <v>19534</v>
      </c>
      <c r="Q6895" s="10"/>
      <c r="R6895" s="10" t="s">
        <v>33265</v>
      </c>
      <c r="S6895" s="10" t="s">
        <v>53</v>
      </c>
      <c r="T6895" s="10" t="s">
        <v>54</v>
      </c>
    </row>
    <row r="6896" spans="1:20" ht="14.5" x14ac:dyDescent="0.35">
      <c r="A6896" s="10" t="s">
        <v>33266</v>
      </c>
      <c r="B6896" s="10" t="str">
        <f>"9789460918353"</f>
        <v>9789460918353</v>
      </c>
      <c r="C6896" s="10" t="str">
        <f>"9789460918377"</f>
        <v>9789460918377</v>
      </c>
      <c r="D6896" s="10" t="s">
        <v>8564</v>
      </c>
      <c r="E6896" s="10" t="s">
        <v>13067</v>
      </c>
      <c r="F6896" s="10" t="s">
        <v>33250</v>
      </c>
      <c r="G6896" s="10" t="s">
        <v>9233</v>
      </c>
      <c r="H6896" s="11">
        <v>40909</v>
      </c>
      <c r="I6896" s="10">
        <v>2012</v>
      </c>
      <c r="J6896" s="10" t="s">
        <v>13067</v>
      </c>
      <c r="K6896" s="10">
        <v>218</v>
      </c>
      <c r="L6896" s="10" t="s">
        <v>33267</v>
      </c>
      <c r="M6896" s="10">
        <v>1</v>
      </c>
      <c r="N6896" s="10" t="s">
        <v>33268</v>
      </c>
      <c r="O6896" s="10">
        <v>6</v>
      </c>
      <c r="P6896" s="10" t="s">
        <v>19534</v>
      </c>
      <c r="Q6896" s="10"/>
      <c r="R6896" s="10" t="s">
        <v>33269</v>
      </c>
      <c r="S6896" s="10" t="s">
        <v>53</v>
      </c>
      <c r="T6896" s="10" t="s">
        <v>54</v>
      </c>
    </row>
    <row r="6897" spans="1:20" ht="14.5" x14ac:dyDescent="0.35">
      <c r="A6897" s="10" t="s">
        <v>33270</v>
      </c>
      <c r="B6897" s="10" t="str">
        <f>"9789460917820"</f>
        <v>9789460917820</v>
      </c>
      <c r="C6897" s="10" t="str">
        <f>"9789460917844"</f>
        <v>9789460917844</v>
      </c>
      <c r="D6897" s="10" t="s">
        <v>8564</v>
      </c>
      <c r="E6897" s="10" t="s">
        <v>13067</v>
      </c>
      <c r="F6897" s="10" t="s">
        <v>33250</v>
      </c>
      <c r="G6897" s="10" t="s">
        <v>9233</v>
      </c>
      <c r="H6897" s="11">
        <v>40909</v>
      </c>
      <c r="I6897" s="10">
        <v>2012</v>
      </c>
      <c r="J6897" s="10" t="s">
        <v>13067</v>
      </c>
      <c r="K6897" s="10">
        <v>281</v>
      </c>
      <c r="L6897" s="10" t="s">
        <v>33271</v>
      </c>
      <c r="M6897" s="10">
        <v>1</v>
      </c>
      <c r="N6897" s="10"/>
      <c r="O6897" s="10"/>
      <c r="P6897" s="10" t="s">
        <v>19534</v>
      </c>
      <c r="Q6897" s="10"/>
      <c r="R6897" s="10" t="s">
        <v>33272</v>
      </c>
      <c r="S6897" s="10" t="s">
        <v>53</v>
      </c>
      <c r="T6897" s="10" t="s">
        <v>54</v>
      </c>
    </row>
    <row r="6898" spans="1:20" ht="14.5" x14ac:dyDescent="0.35">
      <c r="A6898" s="10" t="s">
        <v>33273</v>
      </c>
      <c r="B6898" s="10" t="str">
        <f>"9789460918773"</f>
        <v>9789460918773</v>
      </c>
      <c r="C6898" s="10" t="str">
        <f>"9789460918797"</f>
        <v>9789460918797</v>
      </c>
      <c r="D6898" s="10" t="s">
        <v>8564</v>
      </c>
      <c r="E6898" s="10" t="s">
        <v>13067</v>
      </c>
      <c r="F6898" s="10" t="s">
        <v>33250</v>
      </c>
      <c r="G6898" s="10" t="s">
        <v>9233</v>
      </c>
      <c r="H6898" s="11">
        <v>40909</v>
      </c>
      <c r="I6898" s="10">
        <v>2012</v>
      </c>
      <c r="J6898" s="10" t="s">
        <v>13067</v>
      </c>
      <c r="K6898" s="10">
        <v>195</v>
      </c>
      <c r="L6898" s="10" t="s">
        <v>33274</v>
      </c>
      <c r="M6898" s="10">
        <v>1</v>
      </c>
      <c r="N6898" s="10"/>
      <c r="O6898" s="10"/>
      <c r="P6898" s="10" t="s">
        <v>19534</v>
      </c>
      <c r="Q6898" s="10"/>
      <c r="R6898" s="10" t="s">
        <v>33275</v>
      </c>
      <c r="S6898" s="10" t="s">
        <v>53</v>
      </c>
      <c r="T6898" s="10" t="s">
        <v>54</v>
      </c>
    </row>
    <row r="6899" spans="1:20" ht="14.5" x14ac:dyDescent="0.35">
      <c r="A6899" s="10" t="s">
        <v>33276</v>
      </c>
      <c r="B6899" s="10" t="str">
        <f>"9789460918124"</f>
        <v>9789460918124</v>
      </c>
      <c r="C6899" s="10" t="str">
        <f>"9789460918148"</f>
        <v>9789460918148</v>
      </c>
      <c r="D6899" s="10" t="s">
        <v>8564</v>
      </c>
      <c r="E6899" s="10" t="s">
        <v>13067</v>
      </c>
      <c r="F6899" s="10" t="s">
        <v>33250</v>
      </c>
      <c r="G6899" s="10" t="s">
        <v>9233</v>
      </c>
      <c r="H6899" s="11">
        <v>40909</v>
      </c>
      <c r="I6899" s="10">
        <v>2012</v>
      </c>
      <c r="J6899" s="10" t="s">
        <v>13067</v>
      </c>
      <c r="K6899" s="10">
        <v>183</v>
      </c>
      <c r="L6899" s="10" t="s">
        <v>33277</v>
      </c>
      <c r="M6899" s="10">
        <v>1</v>
      </c>
      <c r="N6899" s="10"/>
      <c r="O6899" s="10"/>
      <c r="P6899" s="10" t="s">
        <v>19534</v>
      </c>
      <c r="Q6899" s="10"/>
      <c r="R6899" s="10" t="s">
        <v>17321</v>
      </c>
      <c r="S6899" s="10" t="s">
        <v>53</v>
      </c>
      <c r="T6899" s="10" t="s">
        <v>54</v>
      </c>
    </row>
    <row r="6900" spans="1:20" ht="14.5" x14ac:dyDescent="0.35">
      <c r="A6900" s="10" t="s">
        <v>33278</v>
      </c>
      <c r="B6900" s="10" t="str">
        <f>"9789460917004"</f>
        <v>9789460917004</v>
      </c>
      <c r="C6900" s="10" t="str">
        <f>"9789460917028"</f>
        <v>9789460917028</v>
      </c>
      <c r="D6900" s="10" t="s">
        <v>8564</v>
      </c>
      <c r="E6900" s="10" t="s">
        <v>13067</v>
      </c>
      <c r="F6900" s="10" t="s">
        <v>33250</v>
      </c>
      <c r="G6900" s="10" t="s">
        <v>9233</v>
      </c>
      <c r="H6900" s="11">
        <v>40909</v>
      </c>
      <c r="I6900" s="10">
        <v>2012</v>
      </c>
      <c r="J6900" s="10" t="s">
        <v>13067</v>
      </c>
      <c r="K6900" s="10">
        <v>237</v>
      </c>
      <c r="L6900" s="10" t="s">
        <v>33279</v>
      </c>
      <c r="M6900" s="10">
        <v>1</v>
      </c>
      <c r="N6900" s="10"/>
      <c r="O6900" s="10"/>
      <c r="P6900" s="10" t="s">
        <v>19534</v>
      </c>
      <c r="Q6900" s="10"/>
      <c r="R6900" s="10" t="s">
        <v>33280</v>
      </c>
      <c r="S6900" s="10" t="s">
        <v>53</v>
      </c>
      <c r="T6900" s="10" t="s">
        <v>54</v>
      </c>
    </row>
    <row r="6901" spans="1:20" ht="14.5" x14ac:dyDescent="0.35">
      <c r="A6901" s="10" t="s">
        <v>33281</v>
      </c>
      <c r="B6901" s="10" t="str">
        <f>"9789460917790"</f>
        <v>9789460917790</v>
      </c>
      <c r="C6901" s="10" t="str">
        <f>"9789460917813"</f>
        <v>9789460917813</v>
      </c>
      <c r="D6901" s="10" t="s">
        <v>8564</v>
      </c>
      <c r="E6901" s="10" t="s">
        <v>13067</v>
      </c>
      <c r="F6901" s="10" t="s">
        <v>33250</v>
      </c>
      <c r="G6901" s="10" t="s">
        <v>9233</v>
      </c>
      <c r="H6901" s="11">
        <v>40909</v>
      </c>
      <c r="I6901" s="10">
        <v>2012</v>
      </c>
      <c r="J6901" s="10" t="s">
        <v>13067</v>
      </c>
      <c r="K6901" s="10">
        <v>169</v>
      </c>
      <c r="L6901" s="10" t="s">
        <v>33282</v>
      </c>
      <c r="M6901" s="10">
        <v>1</v>
      </c>
      <c r="N6901" s="10"/>
      <c r="O6901" s="10"/>
      <c r="P6901" s="10" t="s">
        <v>19534</v>
      </c>
      <c r="Q6901" s="10"/>
      <c r="R6901" s="10" t="s">
        <v>33283</v>
      </c>
      <c r="S6901" s="10" t="s">
        <v>53</v>
      </c>
      <c r="T6901" s="10" t="s">
        <v>54</v>
      </c>
    </row>
    <row r="6902" spans="1:20" ht="14.5" x14ac:dyDescent="0.35">
      <c r="A6902" s="10" t="s">
        <v>33284</v>
      </c>
      <c r="B6902" s="10" t="str">
        <f>"9789460918018"</f>
        <v>9789460918018</v>
      </c>
      <c r="C6902" s="10" t="str">
        <f>"9789460918032"</f>
        <v>9789460918032</v>
      </c>
      <c r="D6902" s="10" t="s">
        <v>8564</v>
      </c>
      <c r="E6902" s="10" t="s">
        <v>8565</v>
      </c>
      <c r="F6902" s="10" t="s">
        <v>1420</v>
      </c>
      <c r="G6902" s="10" t="s">
        <v>6317</v>
      </c>
      <c r="H6902" s="11">
        <v>40909</v>
      </c>
      <c r="I6902" s="10">
        <v>2012</v>
      </c>
      <c r="J6902" s="10" t="s">
        <v>33259</v>
      </c>
      <c r="K6902" s="10">
        <v>239</v>
      </c>
      <c r="L6902" s="10" t="s">
        <v>33285</v>
      </c>
      <c r="M6902" s="10">
        <v>1</v>
      </c>
      <c r="N6902" s="10"/>
      <c r="O6902" s="10"/>
      <c r="P6902" s="10" t="s">
        <v>19534</v>
      </c>
      <c r="Q6902" s="10"/>
      <c r="R6902" s="10" t="s">
        <v>33286</v>
      </c>
      <c r="S6902" s="10" t="s">
        <v>53</v>
      </c>
      <c r="T6902" s="10" t="s">
        <v>54</v>
      </c>
    </row>
    <row r="6903" spans="1:20" ht="14.5" x14ac:dyDescent="0.35">
      <c r="A6903" s="10" t="s">
        <v>33287</v>
      </c>
      <c r="B6903" s="10" t="str">
        <f>"9789460919497"</f>
        <v>9789460919497</v>
      </c>
      <c r="C6903" s="10" t="str">
        <f>"9789460919510"</f>
        <v>9789460919510</v>
      </c>
      <c r="D6903" s="10" t="s">
        <v>8564</v>
      </c>
      <c r="E6903" s="10" t="s">
        <v>13067</v>
      </c>
      <c r="F6903" s="10" t="s">
        <v>33250</v>
      </c>
      <c r="G6903" s="10" t="s">
        <v>9233</v>
      </c>
      <c r="H6903" s="11">
        <v>40909</v>
      </c>
      <c r="I6903" s="10">
        <v>2012</v>
      </c>
      <c r="J6903" s="10" t="s">
        <v>13067</v>
      </c>
      <c r="K6903" s="10">
        <v>221</v>
      </c>
      <c r="L6903" s="10" t="s">
        <v>33288</v>
      </c>
      <c r="M6903" s="10">
        <v>1</v>
      </c>
      <c r="N6903" s="10" t="s">
        <v>33264</v>
      </c>
      <c r="O6903" s="10">
        <v>16</v>
      </c>
      <c r="P6903" s="10" t="s">
        <v>19534</v>
      </c>
      <c r="Q6903" s="10"/>
      <c r="R6903" s="10" t="s">
        <v>11181</v>
      </c>
      <c r="S6903" s="10" t="s">
        <v>53</v>
      </c>
      <c r="T6903" s="10" t="s">
        <v>54</v>
      </c>
    </row>
    <row r="6904" spans="1:20" ht="14.5" x14ac:dyDescent="0.35">
      <c r="A6904" s="10" t="s">
        <v>33289</v>
      </c>
      <c r="B6904" s="10" t="str">
        <f>"9789460918063"</f>
        <v>9789460918063</v>
      </c>
      <c r="C6904" s="10" t="str">
        <f>"9789460918087"</f>
        <v>9789460918087</v>
      </c>
      <c r="D6904" s="10" t="s">
        <v>8564</v>
      </c>
      <c r="E6904" s="10" t="s">
        <v>13067</v>
      </c>
      <c r="F6904" s="10" t="s">
        <v>33250</v>
      </c>
      <c r="G6904" s="10" t="s">
        <v>9233</v>
      </c>
      <c r="H6904" s="11">
        <v>40909</v>
      </c>
      <c r="I6904" s="10">
        <v>2012</v>
      </c>
      <c r="J6904" s="10" t="s">
        <v>13067</v>
      </c>
      <c r="K6904" s="10">
        <v>399</v>
      </c>
      <c r="L6904" s="10" t="s">
        <v>33290</v>
      </c>
      <c r="M6904" s="10">
        <v>1</v>
      </c>
      <c r="N6904" s="10" t="s">
        <v>33291</v>
      </c>
      <c r="O6904" s="10">
        <v>23</v>
      </c>
      <c r="P6904" s="10" t="s">
        <v>19534</v>
      </c>
      <c r="Q6904" s="10"/>
      <c r="R6904" s="10" t="s">
        <v>33292</v>
      </c>
      <c r="S6904" s="10" t="s">
        <v>53</v>
      </c>
      <c r="T6904" s="10" t="s">
        <v>54</v>
      </c>
    </row>
    <row r="6905" spans="1:20" ht="14.5" x14ac:dyDescent="0.35">
      <c r="A6905" s="10" t="s">
        <v>33293</v>
      </c>
      <c r="B6905" s="10" t="str">
        <f>"9789460918414"</f>
        <v>9789460918414</v>
      </c>
      <c r="C6905" s="10" t="str">
        <f>"9789460918438"</f>
        <v>9789460918438</v>
      </c>
      <c r="D6905" s="10" t="s">
        <v>8564</v>
      </c>
      <c r="E6905" s="10" t="s">
        <v>13067</v>
      </c>
      <c r="F6905" s="10" t="s">
        <v>33250</v>
      </c>
      <c r="G6905" s="10" t="s">
        <v>9233</v>
      </c>
      <c r="H6905" s="11">
        <v>40909</v>
      </c>
      <c r="I6905" s="10">
        <v>2012</v>
      </c>
      <c r="J6905" s="10" t="s">
        <v>13067</v>
      </c>
      <c r="K6905" s="10">
        <v>147</v>
      </c>
      <c r="L6905" s="10" t="s">
        <v>33294</v>
      </c>
      <c r="M6905" s="10">
        <v>1</v>
      </c>
      <c r="N6905" s="10"/>
      <c r="O6905" s="10"/>
      <c r="P6905" s="10" t="s">
        <v>19534</v>
      </c>
      <c r="Q6905" s="10"/>
      <c r="R6905" s="10" t="s">
        <v>33295</v>
      </c>
      <c r="S6905" s="10" t="s">
        <v>53</v>
      </c>
      <c r="T6905" s="10" t="s">
        <v>54</v>
      </c>
    </row>
    <row r="6906" spans="1:20" ht="14.5" x14ac:dyDescent="0.35">
      <c r="A6906" s="10" t="s">
        <v>33296</v>
      </c>
      <c r="B6906" s="10" t="str">
        <f>"9789460919015"</f>
        <v>9789460919015</v>
      </c>
      <c r="C6906" s="10" t="str">
        <f>"9789460919039"</f>
        <v>9789460919039</v>
      </c>
      <c r="D6906" s="10" t="s">
        <v>8564</v>
      </c>
      <c r="E6906" s="10" t="s">
        <v>13067</v>
      </c>
      <c r="F6906" s="10" t="s">
        <v>33250</v>
      </c>
      <c r="G6906" s="10" t="s">
        <v>9233</v>
      </c>
      <c r="H6906" s="11">
        <v>40909</v>
      </c>
      <c r="I6906" s="10">
        <v>2012</v>
      </c>
      <c r="J6906" s="10" t="s">
        <v>13067</v>
      </c>
      <c r="K6906" s="10">
        <v>267</v>
      </c>
      <c r="L6906" s="10" t="s">
        <v>33297</v>
      </c>
      <c r="M6906" s="10">
        <v>1</v>
      </c>
      <c r="N6906" s="10" t="s">
        <v>33264</v>
      </c>
      <c r="O6906" s="10">
        <v>14</v>
      </c>
      <c r="P6906" s="10" t="s">
        <v>19534</v>
      </c>
      <c r="Q6906" s="10"/>
      <c r="R6906" s="10" t="s">
        <v>33298</v>
      </c>
      <c r="S6906" s="10" t="s">
        <v>53</v>
      </c>
      <c r="T6906" s="10" t="s">
        <v>54</v>
      </c>
    </row>
    <row r="6907" spans="1:20" ht="14.5" x14ac:dyDescent="0.35">
      <c r="A6907" s="10" t="s">
        <v>33299</v>
      </c>
      <c r="B6907" s="10" t="str">
        <f>"9789460919688"</f>
        <v>9789460919688</v>
      </c>
      <c r="C6907" s="10" t="str">
        <f>"9789460919701"</f>
        <v>9789460919701</v>
      </c>
      <c r="D6907" s="10" t="s">
        <v>8564</v>
      </c>
      <c r="E6907" s="10" t="s">
        <v>13067</v>
      </c>
      <c r="F6907" s="10" t="s">
        <v>33250</v>
      </c>
      <c r="G6907" s="10" t="s">
        <v>9233</v>
      </c>
      <c r="H6907" s="11">
        <v>40909</v>
      </c>
      <c r="I6907" s="10">
        <v>2012</v>
      </c>
      <c r="J6907" s="10" t="s">
        <v>13067</v>
      </c>
      <c r="K6907" s="10">
        <v>383</v>
      </c>
      <c r="L6907" s="10" t="s">
        <v>33300</v>
      </c>
      <c r="M6907" s="10">
        <v>1</v>
      </c>
      <c r="N6907" s="10"/>
      <c r="O6907" s="10"/>
      <c r="P6907" s="10" t="s">
        <v>19534</v>
      </c>
      <c r="Q6907" s="10"/>
      <c r="R6907" s="10" t="s">
        <v>33301</v>
      </c>
      <c r="S6907" s="10" t="s">
        <v>53</v>
      </c>
      <c r="T6907" s="10" t="s">
        <v>54</v>
      </c>
    </row>
    <row r="6908" spans="1:20" ht="14.5" x14ac:dyDescent="0.35">
      <c r="A6908" s="10" t="s">
        <v>33302</v>
      </c>
      <c r="B6908" s="10" t="str">
        <f>"9789460918537"</f>
        <v>9789460918537</v>
      </c>
      <c r="C6908" s="10" t="str">
        <f>"9789460918551"</f>
        <v>9789460918551</v>
      </c>
      <c r="D6908" s="10" t="s">
        <v>8564</v>
      </c>
      <c r="E6908" s="10" t="s">
        <v>13067</v>
      </c>
      <c r="F6908" s="10" t="s">
        <v>33250</v>
      </c>
      <c r="G6908" s="10" t="s">
        <v>9233</v>
      </c>
      <c r="H6908" s="11">
        <v>40909</v>
      </c>
      <c r="I6908" s="10">
        <v>2012</v>
      </c>
      <c r="J6908" s="10" t="s">
        <v>13067</v>
      </c>
      <c r="K6908" s="10">
        <v>195</v>
      </c>
      <c r="L6908" s="10" t="s">
        <v>33303</v>
      </c>
      <c r="M6908" s="10">
        <v>1</v>
      </c>
      <c r="N6908" s="10"/>
      <c r="O6908" s="10"/>
      <c r="P6908" s="10" t="s">
        <v>19534</v>
      </c>
      <c r="Q6908" s="10"/>
      <c r="R6908" s="10" t="s">
        <v>33304</v>
      </c>
      <c r="S6908" s="10" t="s">
        <v>53</v>
      </c>
      <c r="T6908" s="10" t="s">
        <v>54</v>
      </c>
    </row>
    <row r="6909" spans="1:20" ht="14.5" x14ac:dyDescent="0.35">
      <c r="A6909" s="10" t="s">
        <v>33305</v>
      </c>
      <c r="B6909" s="10" t="str">
        <f>"9789460918476"</f>
        <v>9789460918476</v>
      </c>
      <c r="C6909" s="10" t="str">
        <f>"9789460918490"</f>
        <v>9789460918490</v>
      </c>
      <c r="D6909" s="10" t="s">
        <v>8564</v>
      </c>
      <c r="E6909" s="10" t="s">
        <v>13067</v>
      </c>
      <c r="F6909" s="10" t="s">
        <v>33250</v>
      </c>
      <c r="G6909" s="10" t="s">
        <v>9233</v>
      </c>
      <c r="H6909" s="11">
        <v>40909</v>
      </c>
      <c r="I6909" s="10">
        <v>2012</v>
      </c>
      <c r="J6909" s="10" t="s">
        <v>13067</v>
      </c>
      <c r="K6909" s="10">
        <v>244</v>
      </c>
      <c r="L6909" s="10" t="s">
        <v>33306</v>
      </c>
      <c r="M6909" s="10">
        <v>1</v>
      </c>
      <c r="N6909" s="10" t="s">
        <v>33307</v>
      </c>
      <c r="O6909" s="10">
        <v>16</v>
      </c>
      <c r="P6909" s="10" t="s">
        <v>19534</v>
      </c>
      <c r="Q6909" s="10">
        <v>307</v>
      </c>
      <c r="R6909" s="10" t="s">
        <v>33308</v>
      </c>
      <c r="S6909" s="10" t="s">
        <v>53</v>
      </c>
      <c r="T6909" s="10" t="s">
        <v>6472</v>
      </c>
    </row>
    <row r="6910" spans="1:20" ht="14.5" x14ac:dyDescent="0.35">
      <c r="A6910" s="10" t="s">
        <v>33309</v>
      </c>
      <c r="B6910" s="10" t="str">
        <f>"9789460918803"</f>
        <v>9789460918803</v>
      </c>
      <c r="C6910" s="10" t="str">
        <f>"9789460918827"</f>
        <v>9789460918827</v>
      </c>
      <c r="D6910" s="10" t="s">
        <v>8564</v>
      </c>
      <c r="E6910" s="10" t="s">
        <v>13067</v>
      </c>
      <c r="F6910" s="10" t="s">
        <v>33250</v>
      </c>
      <c r="G6910" s="10" t="s">
        <v>9233</v>
      </c>
      <c r="H6910" s="11">
        <v>40909</v>
      </c>
      <c r="I6910" s="10">
        <v>2012</v>
      </c>
      <c r="J6910" s="10" t="s">
        <v>13067</v>
      </c>
      <c r="K6910" s="10">
        <v>245</v>
      </c>
      <c r="L6910" s="10" t="s">
        <v>33310</v>
      </c>
      <c r="M6910" s="10">
        <v>1</v>
      </c>
      <c r="N6910" s="10"/>
      <c r="O6910" s="10"/>
      <c r="P6910" s="10" t="s">
        <v>19534</v>
      </c>
      <c r="Q6910" s="10"/>
      <c r="R6910" s="10" t="s">
        <v>33311</v>
      </c>
      <c r="S6910" s="10" t="s">
        <v>53</v>
      </c>
      <c r="T6910" s="10" t="s">
        <v>54</v>
      </c>
    </row>
    <row r="6911" spans="1:20" ht="14.5" x14ac:dyDescent="0.35">
      <c r="A6911" s="10" t="s">
        <v>33312</v>
      </c>
      <c r="B6911" s="10" t="str">
        <f>"9789460919312"</f>
        <v>9789460919312</v>
      </c>
      <c r="C6911" s="10" t="str">
        <f>"9789460919336"</f>
        <v>9789460919336</v>
      </c>
      <c r="D6911" s="10" t="s">
        <v>8564</v>
      </c>
      <c r="E6911" s="10" t="s">
        <v>13067</v>
      </c>
      <c r="F6911" s="10" t="s">
        <v>33250</v>
      </c>
      <c r="G6911" s="10" t="s">
        <v>9233</v>
      </c>
      <c r="H6911" s="11">
        <v>40909</v>
      </c>
      <c r="I6911" s="10">
        <v>2012</v>
      </c>
      <c r="J6911" s="10" t="s">
        <v>13067</v>
      </c>
      <c r="K6911" s="10">
        <v>303</v>
      </c>
      <c r="L6911" s="10" t="s">
        <v>33313</v>
      </c>
      <c r="M6911" s="10">
        <v>1</v>
      </c>
      <c r="N6911" s="10" t="s">
        <v>33264</v>
      </c>
      <c r="O6911" s="10">
        <v>16</v>
      </c>
      <c r="P6911" s="10" t="s">
        <v>19534</v>
      </c>
      <c r="Q6911" s="10"/>
      <c r="R6911" s="10"/>
      <c r="S6911" s="10" t="s">
        <v>53</v>
      </c>
      <c r="T6911" s="10" t="s">
        <v>54</v>
      </c>
    </row>
    <row r="6912" spans="1:20" ht="14.5" x14ac:dyDescent="0.35">
      <c r="A6912" s="10" t="s">
        <v>33314</v>
      </c>
      <c r="B6912" s="10" t="str">
        <f>"9789460919220"</f>
        <v>9789460919220</v>
      </c>
      <c r="C6912" s="10" t="str">
        <f>"9789460919244"</f>
        <v>9789460919244</v>
      </c>
      <c r="D6912" s="10" t="s">
        <v>8564</v>
      </c>
      <c r="E6912" s="10" t="s">
        <v>13067</v>
      </c>
      <c r="F6912" s="10" t="s">
        <v>33250</v>
      </c>
      <c r="G6912" s="10" t="s">
        <v>9233</v>
      </c>
      <c r="H6912" s="11">
        <v>40909</v>
      </c>
      <c r="I6912" s="10">
        <v>2012</v>
      </c>
      <c r="J6912" s="10" t="s">
        <v>13067</v>
      </c>
      <c r="K6912" s="10">
        <v>216</v>
      </c>
      <c r="L6912" s="10" t="s">
        <v>33315</v>
      </c>
      <c r="M6912" s="10">
        <v>1</v>
      </c>
      <c r="N6912" s="10"/>
      <c r="O6912" s="10"/>
      <c r="P6912" s="10" t="s">
        <v>19534</v>
      </c>
      <c r="Q6912" s="10"/>
      <c r="R6912" s="10" t="s">
        <v>32167</v>
      </c>
      <c r="S6912" s="10" t="s">
        <v>53</v>
      </c>
      <c r="T6912" s="10" t="s">
        <v>54</v>
      </c>
    </row>
    <row r="6913" spans="1:20" ht="14.5" x14ac:dyDescent="0.35">
      <c r="A6913" s="10" t="s">
        <v>33316</v>
      </c>
      <c r="B6913" s="10" t="str">
        <f>"9789460919435"</f>
        <v>9789460919435</v>
      </c>
      <c r="C6913" s="10" t="str">
        <f>"9789460919459"</f>
        <v>9789460919459</v>
      </c>
      <c r="D6913" s="10" t="s">
        <v>8564</v>
      </c>
      <c r="E6913" s="10" t="s">
        <v>13067</v>
      </c>
      <c r="F6913" s="10" t="s">
        <v>33250</v>
      </c>
      <c r="G6913" s="10" t="s">
        <v>9233</v>
      </c>
      <c r="H6913" s="11">
        <v>40909</v>
      </c>
      <c r="I6913" s="10">
        <v>2012</v>
      </c>
      <c r="J6913" s="10" t="s">
        <v>13067</v>
      </c>
      <c r="K6913" s="10">
        <v>351</v>
      </c>
      <c r="L6913" s="10" t="s">
        <v>33317</v>
      </c>
      <c r="M6913" s="10">
        <v>1</v>
      </c>
      <c r="N6913" s="10"/>
      <c r="O6913" s="10"/>
      <c r="P6913" s="10" t="s">
        <v>19534</v>
      </c>
      <c r="Q6913" s="10"/>
      <c r="R6913" s="10" t="s">
        <v>33318</v>
      </c>
      <c r="S6913" s="10" t="s">
        <v>53</v>
      </c>
      <c r="T6913" s="10" t="s">
        <v>54</v>
      </c>
    </row>
    <row r="6914" spans="1:20" ht="14.5" x14ac:dyDescent="0.35">
      <c r="A6914" s="10" t="s">
        <v>33319</v>
      </c>
      <c r="B6914" s="10" t="str">
        <f>"9789460919718"</f>
        <v>9789460919718</v>
      </c>
      <c r="C6914" s="10" t="str">
        <f>"9789460919732"</f>
        <v>9789460919732</v>
      </c>
      <c r="D6914" s="10" t="s">
        <v>8564</v>
      </c>
      <c r="E6914" s="10" t="s">
        <v>13067</v>
      </c>
      <c r="F6914" s="10" t="s">
        <v>33250</v>
      </c>
      <c r="G6914" s="10" t="s">
        <v>9233</v>
      </c>
      <c r="H6914" s="11">
        <v>40909</v>
      </c>
      <c r="I6914" s="10">
        <v>2012</v>
      </c>
      <c r="J6914" s="10" t="s">
        <v>13067</v>
      </c>
      <c r="K6914" s="10">
        <v>231</v>
      </c>
      <c r="L6914" s="10" t="s">
        <v>33320</v>
      </c>
      <c r="M6914" s="10">
        <v>1</v>
      </c>
      <c r="N6914" s="10" t="s">
        <v>33321</v>
      </c>
      <c r="O6914" s="10">
        <v>5</v>
      </c>
      <c r="P6914" s="10" t="s">
        <v>19534</v>
      </c>
      <c r="Q6914" s="10"/>
      <c r="R6914" s="10" t="s">
        <v>33322</v>
      </c>
      <c r="S6914" s="10" t="s">
        <v>53</v>
      </c>
      <c r="T6914" s="10" t="s">
        <v>54</v>
      </c>
    </row>
    <row r="6915" spans="1:20" ht="14.5" x14ac:dyDescent="0.35">
      <c r="A6915" s="10" t="s">
        <v>33323</v>
      </c>
      <c r="B6915" s="10" t="str">
        <f>"9789460918926"</f>
        <v>9789460918926</v>
      </c>
      <c r="C6915" s="10" t="str">
        <f>"9789460918940"</f>
        <v>9789460918940</v>
      </c>
      <c r="D6915" s="10" t="s">
        <v>8564</v>
      </c>
      <c r="E6915" s="10" t="s">
        <v>13067</v>
      </c>
      <c r="F6915" s="10" t="s">
        <v>33250</v>
      </c>
      <c r="G6915" s="10" t="s">
        <v>9233</v>
      </c>
      <c r="H6915" s="11">
        <v>40909</v>
      </c>
      <c r="I6915" s="10">
        <v>2012</v>
      </c>
      <c r="J6915" s="10" t="s">
        <v>13067</v>
      </c>
      <c r="K6915" s="10">
        <v>388</v>
      </c>
      <c r="L6915" s="10" t="s">
        <v>33324</v>
      </c>
      <c r="M6915" s="10">
        <v>1</v>
      </c>
      <c r="N6915" s="10" t="s">
        <v>33325</v>
      </c>
      <c r="O6915" s="10">
        <v>84</v>
      </c>
      <c r="P6915" s="10" t="s">
        <v>19534</v>
      </c>
      <c r="Q6915" s="10"/>
      <c r="R6915" s="10" t="s">
        <v>33326</v>
      </c>
      <c r="S6915" s="10" t="s">
        <v>53</v>
      </c>
      <c r="T6915" s="10" t="s">
        <v>54</v>
      </c>
    </row>
    <row r="6916" spans="1:20" ht="14.5" x14ac:dyDescent="0.35">
      <c r="A6916" s="10" t="s">
        <v>33327</v>
      </c>
      <c r="B6916" s="10" t="str">
        <f>"9789460918445"</f>
        <v>9789460918445</v>
      </c>
      <c r="C6916" s="10" t="str">
        <f>"9789460918469"</f>
        <v>9789460918469</v>
      </c>
      <c r="D6916" s="10" t="s">
        <v>8564</v>
      </c>
      <c r="E6916" s="10" t="s">
        <v>13067</v>
      </c>
      <c r="F6916" s="10" t="s">
        <v>33250</v>
      </c>
      <c r="G6916" s="10" t="s">
        <v>9233</v>
      </c>
      <c r="H6916" s="11">
        <v>40909</v>
      </c>
      <c r="I6916" s="10">
        <v>2012</v>
      </c>
      <c r="J6916" s="10" t="s">
        <v>13067</v>
      </c>
      <c r="K6916" s="10">
        <v>169</v>
      </c>
      <c r="L6916" s="10" t="s">
        <v>33328</v>
      </c>
      <c r="M6916" s="10">
        <v>1</v>
      </c>
      <c r="N6916" s="10"/>
      <c r="O6916" s="10"/>
      <c r="P6916" s="10" t="s">
        <v>19534</v>
      </c>
      <c r="Q6916" s="10"/>
      <c r="R6916" s="10" t="s">
        <v>33329</v>
      </c>
      <c r="S6916" s="10" t="s">
        <v>53</v>
      </c>
      <c r="T6916" s="10" t="s">
        <v>54</v>
      </c>
    </row>
    <row r="6917" spans="1:20" ht="14.5" x14ac:dyDescent="0.35">
      <c r="A6917" s="10" t="s">
        <v>33330</v>
      </c>
      <c r="B6917" s="10" t="str">
        <f>"9789460919107"</f>
        <v>9789460919107</v>
      </c>
      <c r="C6917" s="10" t="str">
        <f>"9789460919121"</f>
        <v>9789460919121</v>
      </c>
      <c r="D6917" s="10" t="s">
        <v>8564</v>
      </c>
      <c r="E6917" s="10" t="s">
        <v>13067</v>
      </c>
      <c r="F6917" s="10" t="s">
        <v>33250</v>
      </c>
      <c r="G6917" s="10" t="s">
        <v>9233</v>
      </c>
      <c r="H6917" s="11">
        <v>40909</v>
      </c>
      <c r="I6917" s="10">
        <v>2012</v>
      </c>
      <c r="J6917" s="10" t="s">
        <v>13067</v>
      </c>
      <c r="K6917" s="10">
        <v>348</v>
      </c>
      <c r="L6917" s="10" t="s">
        <v>33331</v>
      </c>
      <c r="M6917" s="10">
        <v>1</v>
      </c>
      <c r="N6917" s="10" t="s">
        <v>33332</v>
      </c>
      <c r="O6917" s="10">
        <v>1</v>
      </c>
      <c r="P6917" s="10" t="s">
        <v>19534</v>
      </c>
      <c r="Q6917" s="10"/>
      <c r="R6917" s="10" t="s">
        <v>33333</v>
      </c>
      <c r="S6917" s="10" t="s">
        <v>53</v>
      </c>
      <c r="T6917" s="10" t="s">
        <v>54</v>
      </c>
    </row>
    <row r="6918" spans="1:20" ht="14.5" x14ac:dyDescent="0.35">
      <c r="A6918" s="10" t="s">
        <v>33334</v>
      </c>
      <c r="B6918" s="10" t="str">
        <f>"9789460918599"</f>
        <v>9789460918599</v>
      </c>
      <c r="C6918" s="10" t="str">
        <f>"9789460918612"</f>
        <v>9789460918612</v>
      </c>
      <c r="D6918" s="10" t="s">
        <v>8564</v>
      </c>
      <c r="E6918" s="10" t="s">
        <v>13067</v>
      </c>
      <c r="F6918" s="10" t="s">
        <v>33250</v>
      </c>
      <c r="G6918" s="10" t="s">
        <v>9233</v>
      </c>
      <c r="H6918" s="11">
        <v>40909</v>
      </c>
      <c r="I6918" s="10">
        <v>2012</v>
      </c>
      <c r="J6918" s="10" t="s">
        <v>13067</v>
      </c>
      <c r="K6918" s="10">
        <v>159</v>
      </c>
      <c r="L6918" s="10" t="s">
        <v>33335</v>
      </c>
      <c r="M6918" s="10">
        <v>1</v>
      </c>
      <c r="N6918" s="10"/>
      <c r="O6918" s="10"/>
      <c r="P6918" s="10" t="s">
        <v>19534</v>
      </c>
      <c r="Q6918" s="10"/>
      <c r="R6918" s="10" t="s">
        <v>33336</v>
      </c>
      <c r="S6918" s="10" t="s">
        <v>53</v>
      </c>
      <c r="T6918" s="10" t="s">
        <v>54</v>
      </c>
    </row>
    <row r="6919" spans="1:20" ht="14.5" x14ac:dyDescent="0.35">
      <c r="A6919" s="10" t="s">
        <v>33337</v>
      </c>
      <c r="B6919" s="10" t="str">
        <f>"9789460919466"</f>
        <v>9789460919466</v>
      </c>
      <c r="C6919" s="10" t="str">
        <f>"9789460919480"</f>
        <v>9789460919480</v>
      </c>
      <c r="D6919" s="10" t="s">
        <v>8564</v>
      </c>
      <c r="E6919" s="10" t="s">
        <v>13067</v>
      </c>
      <c r="F6919" s="10" t="s">
        <v>33250</v>
      </c>
      <c r="G6919" s="10" t="s">
        <v>9233</v>
      </c>
      <c r="H6919" s="11">
        <v>40909</v>
      </c>
      <c r="I6919" s="10">
        <v>2012</v>
      </c>
      <c r="J6919" s="10" t="s">
        <v>13067</v>
      </c>
      <c r="K6919" s="10">
        <v>422</v>
      </c>
      <c r="L6919" s="10" t="s">
        <v>33338</v>
      </c>
      <c r="M6919" s="10">
        <v>1</v>
      </c>
      <c r="N6919" s="10"/>
      <c r="O6919" s="10"/>
      <c r="P6919" s="10" t="s">
        <v>19534</v>
      </c>
      <c r="Q6919" s="10"/>
      <c r="R6919" s="10" t="s">
        <v>17321</v>
      </c>
      <c r="S6919" s="10" t="s">
        <v>53</v>
      </c>
      <c r="T6919" s="10" t="s">
        <v>54</v>
      </c>
    </row>
    <row r="6920" spans="1:20" ht="14.5" x14ac:dyDescent="0.35">
      <c r="A6920" s="10" t="s">
        <v>33339</v>
      </c>
      <c r="B6920" s="10" t="str">
        <f>"9789460918568"</f>
        <v>9789460918568</v>
      </c>
      <c r="C6920" s="10" t="str">
        <f>"9789460918582"</f>
        <v>9789460918582</v>
      </c>
      <c r="D6920" s="10" t="s">
        <v>8564</v>
      </c>
      <c r="E6920" s="10" t="s">
        <v>13067</v>
      </c>
      <c r="F6920" s="10" t="s">
        <v>33250</v>
      </c>
      <c r="G6920" s="10" t="s">
        <v>9233</v>
      </c>
      <c r="H6920" s="11">
        <v>40909</v>
      </c>
      <c r="I6920" s="10">
        <v>2012</v>
      </c>
      <c r="J6920" s="10" t="s">
        <v>13067</v>
      </c>
      <c r="K6920" s="10">
        <v>124</v>
      </c>
      <c r="L6920" s="10" t="s">
        <v>33340</v>
      </c>
      <c r="M6920" s="10">
        <v>1</v>
      </c>
      <c r="N6920" s="10"/>
      <c r="O6920" s="10"/>
      <c r="P6920" s="10" t="s">
        <v>19534</v>
      </c>
      <c r="Q6920" s="10"/>
      <c r="R6920" s="10" t="s">
        <v>33341</v>
      </c>
      <c r="S6920" s="10" t="s">
        <v>53</v>
      </c>
      <c r="T6920" s="10" t="s">
        <v>54</v>
      </c>
    </row>
    <row r="6921" spans="1:20" ht="14.5" x14ac:dyDescent="0.35">
      <c r="A6921" s="10" t="s">
        <v>33342</v>
      </c>
      <c r="B6921" s="10" t="str">
        <f>"9789460919923"</f>
        <v>9789460919923</v>
      </c>
      <c r="C6921" s="10" t="str">
        <f>"9789460919947"</f>
        <v>9789460919947</v>
      </c>
      <c r="D6921" s="10" t="s">
        <v>8564</v>
      </c>
      <c r="E6921" s="10" t="s">
        <v>13067</v>
      </c>
      <c r="F6921" s="10" t="s">
        <v>33250</v>
      </c>
      <c r="G6921" s="10" t="s">
        <v>9233</v>
      </c>
      <c r="H6921" s="11">
        <v>40909</v>
      </c>
      <c r="I6921" s="10">
        <v>2012</v>
      </c>
      <c r="J6921" s="10" t="s">
        <v>13067</v>
      </c>
      <c r="K6921" s="10">
        <v>237</v>
      </c>
      <c r="L6921" s="10" t="s">
        <v>33343</v>
      </c>
      <c r="M6921" s="10">
        <v>1</v>
      </c>
      <c r="N6921" s="10" t="s">
        <v>33321</v>
      </c>
      <c r="O6921" s="10">
        <v>6</v>
      </c>
      <c r="P6921" s="10" t="s">
        <v>19534</v>
      </c>
      <c r="Q6921" s="10"/>
      <c r="R6921" s="10" t="s">
        <v>33344</v>
      </c>
      <c r="S6921" s="10" t="s">
        <v>53</v>
      </c>
      <c r="T6921" s="10" t="s">
        <v>54</v>
      </c>
    </row>
    <row r="6922" spans="1:20" ht="14.5" x14ac:dyDescent="0.35">
      <c r="A6922" s="10" t="s">
        <v>33345</v>
      </c>
      <c r="B6922" s="10" t="str">
        <f>"9789460919985"</f>
        <v>9789460919985</v>
      </c>
      <c r="C6922" s="10" t="str">
        <f>"9789462090019"</f>
        <v>9789462090019</v>
      </c>
      <c r="D6922" s="10" t="s">
        <v>8564</v>
      </c>
      <c r="E6922" s="10" t="s">
        <v>13067</v>
      </c>
      <c r="F6922" s="10" t="s">
        <v>33250</v>
      </c>
      <c r="G6922" s="10" t="s">
        <v>9233</v>
      </c>
      <c r="H6922" s="11">
        <v>40909</v>
      </c>
      <c r="I6922" s="10">
        <v>2012</v>
      </c>
      <c r="J6922" s="10" t="s">
        <v>13067</v>
      </c>
      <c r="K6922" s="10">
        <v>177</v>
      </c>
      <c r="L6922" s="10" t="s">
        <v>33346</v>
      </c>
      <c r="M6922" s="10">
        <v>1</v>
      </c>
      <c r="N6922" s="10"/>
      <c r="O6922" s="10"/>
      <c r="P6922" s="10" t="s">
        <v>19534</v>
      </c>
      <c r="Q6922" s="10"/>
      <c r="R6922" s="10" t="s">
        <v>33347</v>
      </c>
      <c r="S6922" s="10" t="s">
        <v>53</v>
      </c>
      <c r="T6922" s="10" t="s">
        <v>54</v>
      </c>
    </row>
    <row r="6923" spans="1:20" ht="14.5" x14ac:dyDescent="0.35">
      <c r="A6923" s="10" t="s">
        <v>33348</v>
      </c>
      <c r="B6923" s="10" t="str">
        <f>"9789460918896"</f>
        <v>9789460918896</v>
      </c>
      <c r="C6923" s="10" t="str">
        <f>"9789460918919"</f>
        <v>9789460918919</v>
      </c>
      <c r="D6923" s="10" t="s">
        <v>8564</v>
      </c>
      <c r="E6923" s="10" t="s">
        <v>13067</v>
      </c>
      <c r="F6923" s="10" t="s">
        <v>33250</v>
      </c>
      <c r="G6923" s="10" t="s">
        <v>9233</v>
      </c>
      <c r="H6923" s="11">
        <v>40909</v>
      </c>
      <c r="I6923" s="10">
        <v>2012</v>
      </c>
      <c r="J6923" s="10" t="s">
        <v>13067</v>
      </c>
      <c r="K6923" s="10">
        <v>76</v>
      </c>
      <c r="L6923" s="10" t="s">
        <v>33349</v>
      </c>
      <c r="M6923" s="10">
        <v>1</v>
      </c>
      <c r="N6923" s="10" t="s">
        <v>33325</v>
      </c>
      <c r="O6923" s="10">
        <v>85</v>
      </c>
      <c r="P6923" s="10" t="s">
        <v>19534</v>
      </c>
      <c r="Q6923" s="10"/>
      <c r="R6923" s="10"/>
      <c r="S6923" s="10" t="s">
        <v>53</v>
      </c>
      <c r="T6923" s="10" t="s">
        <v>54</v>
      </c>
    </row>
    <row r="6924" spans="1:20" ht="14.5" x14ac:dyDescent="0.35">
      <c r="A6924" s="10" t="s">
        <v>33350</v>
      </c>
      <c r="B6924" s="10" t="str">
        <f>"9789460918506"</f>
        <v>9789460918506</v>
      </c>
      <c r="C6924" s="10" t="str">
        <f>"9789460918520"</f>
        <v>9789460918520</v>
      </c>
      <c r="D6924" s="10" t="s">
        <v>8564</v>
      </c>
      <c r="E6924" s="10" t="s">
        <v>13067</v>
      </c>
      <c r="F6924" s="10" t="s">
        <v>33250</v>
      </c>
      <c r="G6924" s="10" t="s">
        <v>9233</v>
      </c>
      <c r="H6924" s="11">
        <v>40909</v>
      </c>
      <c r="I6924" s="10">
        <v>2012</v>
      </c>
      <c r="J6924" s="10" t="s">
        <v>13067</v>
      </c>
      <c r="K6924" s="10">
        <v>254</v>
      </c>
      <c r="L6924" s="10" t="s">
        <v>33351</v>
      </c>
      <c r="M6924" s="10">
        <v>1</v>
      </c>
      <c r="N6924" s="10"/>
      <c r="O6924" s="10"/>
      <c r="P6924" s="10" t="s">
        <v>19534</v>
      </c>
      <c r="Q6924" s="10">
        <v>370.71100000000001</v>
      </c>
      <c r="R6924" s="10" t="s">
        <v>33352</v>
      </c>
      <c r="S6924" s="10" t="s">
        <v>53</v>
      </c>
      <c r="T6924" s="10" t="s">
        <v>54</v>
      </c>
    </row>
    <row r="6925" spans="1:20" ht="14.5" x14ac:dyDescent="0.35">
      <c r="A6925" s="10" t="s">
        <v>33353</v>
      </c>
      <c r="B6925" s="10" t="str">
        <f>"9789462090026"</f>
        <v>9789462090026</v>
      </c>
      <c r="C6925" s="10" t="str">
        <f>"9789462090040"</f>
        <v>9789462090040</v>
      </c>
      <c r="D6925" s="10" t="s">
        <v>8564</v>
      </c>
      <c r="E6925" s="10" t="s">
        <v>13067</v>
      </c>
      <c r="F6925" s="10" t="s">
        <v>33250</v>
      </c>
      <c r="G6925" s="10" t="s">
        <v>9233</v>
      </c>
      <c r="H6925" s="11">
        <v>40909</v>
      </c>
      <c r="I6925" s="10">
        <v>2012</v>
      </c>
      <c r="J6925" s="10" t="s">
        <v>13067</v>
      </c>
      <c r="K6925" s="10">
        <v>288</v>
      </c>
      <c r="L6925" s="10" t="s">
        <v>33354</v>
      </c>
      <c r="M6925" s="10">
        <v>1</v>
      </c>
      <c r="N6925" s="10" t="s">
        <v>33355</v>
      </c>
      <c r="O6925" s="10">
        <v>7</v>
      </c>
      <c r="P6925" s="10" t="s">
        <v>19534</v>
      </c>
      <c r="Q6925" s="10"/>
      <c r="R6925" s="10" t="s">
        <v>33356</v>
      </c>
      <c r="S6925" s="10" t="s">
        <v>53</v>
      </c>
      <c r="T6925" s="10" t="s">
        <v>54</v>
      </c>
    </row>
    <row r="6926" spans="1:20" ht="14.5" x14ac:dyDescent="0.35">
      <c r="A6926" s="10" t="s">
        <v>33357</v>
      </c>
      <c r="B6926" s="10" t="str">
        <f>"9789462090231"</f>
        <v>9789462090231</v>
      </c>
      <c r="C6926" s="10" t="str">
        <f>"9789462090255"</f>
        <v>9789462090255</v>
      </c>
      <c r="D6926" s="10" t="s">
        <v>8564</v>
      </c>
      <c r="E6926" s="10" t="s">
        <v>13067</v>
      </c>
      <c r="F6926" s="10" t="s">
        <v>33250</v>
      </c>
      <c r="G6926" s="10" t="s">
        <v>9233</v>
      </c>
      <c r="H6926" s="11">
        <v>40909</v>
      </c>
      <c r="I6926" s="10">
        <v>2012</v>
      </c>
      <c r="J6926" s="10" t="s">
        <v>13067</v>
      </c>
      <c r="K6926" s="10">
        <v>302</v>
      </c>
      <c r="L6926" s="10" t="s">
        <v>33358</v>
      </c>
      <c r="M6926" s="10">
        <v>1</v>
      </c>
      <c r="N6926" s="10"/>
      <c r="O6926" s="10"/>
      <c r="P6926" s="10" t="s">
        <v>19534</v>
      </c>
      <c r="Q6926" s="10"/>
      <c r="R6926" s="10" t="s">
        <v>20401</v>
      </c>
      <c r="S6926" s="10" t="s">
        <v>53</v>
      </c>
      <c r="T6926" s="10" t="s">
        <v>54</v>
      </c>
    </row>
    <row r="6927" spans="1:20" ht="14.5" x14ac:dyDescent="0.35">
      <c r="A6927" s="10" t="s">
        <v>33359</v>
      </c>
      <c r="B6927" s="10" t="str">
        <f>"9789460918834"</f>
        <v>9789460918834</v>
      </c>
      <c r="C6927" s="10" t="str">
        <f>"9789460918858"</f>
        <v>9789460918858</v>
      </c>
      <c r="D6927" s="10" t="s">
        <v>8564</v>
      </c>
      <c r="E6927" s="10" t="s">
        <v>13067</v>
      </c>
      <c r="F6927" s="10" t="s">
        <v>33250</v>
      </c>
      <c r="G6927" s="10" t="s">
        <v>9233</v>
      </c>
      <c r="H6927" s="11">
        <v>40909</v>
      </c>
      <c r="I6927" s="10">
        <v>2012</v>
      </c>
      <c r="J6927" s="10" t="s">
        <v>13067</v>
      </c>
      <c r="K6927" s="10">
        <v>159</v>
      </c>
      <c r="L6927" s="10" t="s">
        <v>33360</v>
      </c>
      <c r="M6927" s="10">
        <v>1</v>
      </c>
      <c r="N6927" s="10" t="s">
        <v>33325</v>
      </c>
      <c r="O6927" s="10">
        <v>83</v>
      </c>
      <c r="P6927" s="10" t="s">
        <v>19534</v>
      </c>
      <c r="Q6927" s="10"/>
      <c r="R6927" s="10" t="s">
        <v>29542</v>
      </c>
      <c r="S6927" s="10" t="s">
        <v>53</v>
      </c>
      <c r="T6927" s="10" t="s">
        <v>54</v>
      </c>
    </row>
    <row r="6928" spans="1:20" ht="14.5" x14ac:dyDescent="0.35">
      <c r="A6928" s="10" t="s">
        <v>33361</v>
      </c>
      <c r="B6928" s="10" t="str">
        <f>"9789462090200"</f>
        <v>9789462090200</v>
      </c>
      <c r="C6928" s="10" t="str">
        <f>"9789462090224"</f>
        <v>9789462090224</v>
      </c>
      <c r="D6928" s="10" t="s">
        <v>8564</v>
      </c>
      <c r="E6928" s="10" t="s">
        <v>13067</v>
      </c>
      <c r="F6928" s="10" t="s">
        <v>33250</v>
      </c>
      <c r="G6928" s="10" t="s">
        <v>9233</v>
      </c>
      <c r="H6928" s="11">
        <v>40909</v>
      </c>
      <c r="I6928" s="10">
        <v>2012</v>
      </c>
      <c r="J6928" s="10" t="s">
        <v>13067</v>
      </c>
      <c r="K6928" s="10">
        <v>259</v>
      </c>
      <c r="L6928" s="10" t="s">
        <v>33362</v>
      </c>
      <c r="M6928" s="10">
        <v>1</v>
      </c>
      <c r="N6928" s="10"/>
      <c r="O6928" s="10"/>
      <c r="P6928" s="10" t="s">
        <v>19534</v>
      </c>
      <c r="Q6928" s="10"/>
      <c r="R6928" s="10" t="s">
        <v>33363</v>
      </c>
      <c r="S6928" s="10" t="s">
        <v>53</v>
      </c>
      <c r="T6928" s="10" t="s">
        <v>54</v>
      </c>
    </row>
    <row r="6929" spans="1:20" ht="14.5" x14ac:dyDescent="0.35">
      <c r="A6929" s="10" t="s">
        <v>33364</v>
      </c>
      <c r="B6929" s="10" t="str">
        <f>"9789462090507"</f>
        <v>9789462090507</v>
      </c>
      <c r="C6929" s="10" t="str">
        <f>"9789462090521"</f>
        <v>9789462090521</v>
      </c>
      <c r="D6929" s="10" t="s">
        <v>8564</v>
      </c>
      <c r="E6929" s="10" t="s">
        <v>13067</v>
      </c>
      <c r="F6929" s="10" t="s">
        <v>33250</v>
      </c>
      <c r="G6929" s="10" t="s">
        <v>9233</v>
      </c>
      <c r="H6929" s="11">
        <v>40909</v>
      </c>
      <c r="I6929" s="10">
        <v>2012</v>
      </c>
      <c r="J6929" s="10" t="s">
        <v>13067</v>
      </c>
      <c r="K6929" s="10">
        <v>246</v>
      </c>
      <c r="L6929" s="10" t="s">
        <v>33365</v>
      </c>
      <c r="M6929" s="10">
        <v>1</v>
      </c>
      <c r="N6929" s="10" t="s">
        <v>33264</v>
      </c>
      <c r="O6929" s="10">
        <v>19</v>
      </c>
      <c r="P6929" s="10" t="s">
        <v>19534</v>
      </c>
      <c r="Q6929" s="10"/>
      <c r="R6929" s="10" t="s">
        <v>33366</v>
      </c>
      <c r="S6929" s="10" t="s">
        <v>53</v>
      </c>
      <c r="T6929" s="10" t="s">
        <v>54</v>
      </c>
    </row>
    <row r="6930" spans="1:20" ht="14.5" x14ac:dyDescent="0.35">
      <c r="A6930" s="10" t="s">
        <v>33367</v>
      </c>
      <c r="B6930" s="10" t="str">
        <f>"9789462090149"</f>
        <v>9789462090149</v>
      </c>
      <c r="C6930" s="10" t="str">
        <f>"9789462090163"</f>
        <v>9789462090163</v>
      </c>
      <c r="D6930" s="10" t="s">
        <v>8564</v>
      </c>
      <c r="E6930" s="10" t="s">
        <v>13067</v>
      </c>
      <c r="F6930" s="10" t="s">
        <v>33250</v>
      </c>
      <c r="G6930" s="10" t="s">
        <v>9233</v>
      </c>
      <c r="H6930" s="11">
        <v>40909</v>
      </c>
      <c r="I6930" s="10">
        <v>2012</v>
      </c>
      <c r="J6930" s="10" t="s">
        <v>13067</v>
      </c>
      <c r="K6930" s="10">
        <v>317</v>
      </c>
      <c r="L6930" s="10" t="s">
        <v>33368</v>
      </c>
      <c r="M6930" s="10">
        <v>1</v>
      </c>
      <c r="N6930" s="10" t="s">
        <v>33369</v>
      </c>
      <c r="O6930" s="10">
        <v>4</v>
      </c>
      <c r="P6930" s="10" t="s">
        <v>19534</v>
      </c>
      <c r="Q6930" s="10"/>
      <c r="R6930" s="10" t="s">
        <v>33370</v>
      </c>
      <c r="S6930" s="10" t="s">
        <v>53</v>
      </c>
      <c r="T6930" s="10" t="s">
        <v>54</v>
      </c>
    </row>
    <row r="6931" spans="1:20" ht="14.5" x14ac:dyDescent="0.35">
      <c r="A6931" s="10" t="s">
        <v>33371</v>
      </c>
      <c r="B6931" s="10" t="str">
        <f>"9789460916199"</f>
        <v>9789460916199</v>
      </c>
      <c r="C6931" s="10" t="str">
        <f>"9789460916212"</f>
        <v>9789460916212</v>
      </c>
      <c r="D6931" s="10" t="s">
        <v>8564</v>
      </c>
      <c r="E6931" s="10" t="s">
        <v>13067</v>
      </c>
      <c r="F6931" s="10" t="s">
        <v>33250</v>
      </c>
      <c r="G6931" s="10" t="s">
        <v>9233</v>
      </c>
      <c r="H6931" s="11">
        <v>40909</v>
      </c>
      <c r="I6931" s="10">
        <v>2012</v>
      </c>
      <c r="J6931" s="10" t="s">
        <v>13067</v>
      </c>
      <c r="K6931" s="10">
        <v>147</v>
      </c>
      <c r="L6931" s="10" t="s">
        <v>33372</v>
      </c>
      <c r="M6931" s="10">
        <v>1</v>
      </c>
      <c r="N6931" s="10"/>
      <c r="O6931" s="10"/>
      <c r="P6931" s="10" t="s">
        <v>19534</v>
      </c>
      <c r="Q6931" s="10"/>
      <c r="R6931" s="10" t="s">
        <v>33373</v>
      </c>
      <c r="S6931" s="10" t="s">
        <v>53</v>
      </c>
      <c r="T6931" s="10" t="s">
        <v>54</v>
      </c>
    </row>
    <row r="6932" spans="1:20" ht="14.5" x14ac:dyDescent="0.35">
      <c r="A6932" s="10" t="s">
        <v>33374</v>
      </c>
      <c r="B6932" s="10" t="str">
        <f>"9789460918629"</f>
        <v>9789460918629</v>
      </c>
      <c r="C6932" s="10" t="str">
        <f>"9789460918643"</f>
        <v>9789460918643</v>
      </c>
      <c r="D6932" s="10" t="s">
        <v>8564</v>
      </c>
      <c r="E6932" s="10" t="s">
        <v>13067</v>
      </c>
      <c r="F6932" s="10" t="s">
        <v>33250</v>
      </c>
      <c r="G6932" s="10" t="s">
        <v>9233</v>
      </c>
      <c r="H6932" s="11">
        <v>40909</v>
      </c>
      <c r="I6932" s="10">
        <v>2012</v>
      </c>
      <c r="J6932" s="10" t="s">
        <v>13067</v>
      </c>
      <c r="K6932" s="10">
        <v>350</v>
      </c>
      <c r="L6932" s="10" t="s">
        <v>33375</v>
      </c>
      <c r="M6932" s="10">
        <v>1</v>
      </c>
      <c r="N6932" s="10"/>
      <c r="O6932" s="10"/>
      <c r="P6932" s="10" t="s">
        <v>19534</v>
      </c>
      <c r="Q6932" s="10">
        <v>370.7</v>
      </c>
      <c r="R6932" s="10" t="s">
        <v>33376</v>
      </c>
      <c r="S6932" s="10" t="s">
        <v>53</v>
      </c>
      <c r="T6932" s="10" t="s">
        <v>54</v>
      </c>
    </row>
    <row r="6933" spans="1:20" ht="14.5" x14ac:dyDescent="0.35">
      <c r="A6933" s="10" t="s">
        <v>33377</v>
      </c>
      <c r="B6933" s="10" t="str">
        <f>"9789462090873"</f>
        <v>9789462090873</v>
      </c>
      <c r="C6933" s="10" t="str">
        <f>"9789462090897"</f>
        <v>9789462090897</v>
      </c>
      <c r="D6933" s="10" t="s">
        <v>8564</v>
      </c>
      <c r="E6933" s="10" t="s">
        <v>8565</v>
      </c>
      <c r="F6933" s="10" t="s">
        <v>1420</v>
      </c>
      <c r="G6933" s="10" t="s">
        <v>6317</v>
      </c>
      <c r="H6933" s="11">
        <v>40909</v>
      </c>
      <c r="I6933" s="10">
        <v>2012</v>
      </c>
      <c r="J6933" s="10" t="s">
        <v>33259</v>
      </c>
      <c r="K6933" s="10">
        <v>93</v>
      </c>
      <c r="L6933" s="10" t="s">
        <v>33378</v>
      </c>
      <c r="M6933" s="10">
        <v>1</v>
      </c>
      <c r="N6933" s="10"/>
      <c r="O6933" s="10"/>
      <c r="P6933" s="10" t="s">
        <v>19534</v>
      </c>
      <c r="Q6933" s="10"/>
      <c r="R6933" s="10" t="s">
        <v>33379</v>
      </c>
      <c r="S6933" s="10" t="s">
        <v>53</v>
      </c>
      <c r="T6933" s="10" t="s">
        <v>54</v>
      </c>
    </row>
    <row r="6934" spans="1:20" ht="14.5" x14ac:dyDescent="0.35">
      <c r="A6934" s="10" t="s">
        <v>33380</v>
      </c>
      <c r="B6934" s="10" t="str">
        <f>"9789462090118"</f>
        <v>9789462090118</v>
      </c>
      <c r="C6934" s="10" t="str">
        <f>"9789462090132"</f>
        <v>9789462090132</v>
      </c>
      <c r="D6934" s="10" t="s">
        <v>8564</v>
      </c>
      <c r="E6934" s="10" t="s">
        <v>13067</v>
      </c>
      <c r="F6934" s="10" t="s">
        <v>33250</v>
      </c>
      <c r="G6934" s="10" t="s">
        <v>9233</v>
      </c>
      <c r="H6934" s="11">
        <v>40909</v>
      </c>
      <c r="I6934" s="10">
        <v>2012</v>
      </c>
      <c r="J6934" s="10" t="s">
        <v>13067</v>
      </c>
      <c r="K6934" s="10">
        <v>176</v>
      </c>
      <c r="L6934" s="10" t="s">
        <v>7290</v>
      </c>
      <c r="M6934" s="10">
        <v>1</v>
      </c>
      <c r="N6934" s="10" t="s">
        <v>33381</v>
      </c>
      <c r="O6934" s="10">
        <v>7</v>
      </c>
      <c r="P6934" s="10" t="s">
        <v>19534</v>
      </c>
      <c r="Q6934" s="10">
        <v>321.20709422356998</v>
      </c>
      <c r="R6934" s="10" t="s">
        <v>33382</v>
      </c>
      <c r="S6934" s="10" t="s">
        <v>53</v>
      </c>
      <c r="T6934" s="10" t="s">
        <v>7807</v>
      </c>
    </row>
    <row r="6935" spans="1:20" ht="14.5" x14ac:dyDescent="0.35">
      <c r="A6935" s="10" t="s">
        <v>33383</v>
      </c>
      <c r="B6935" s="10" t="str">
        <f>"9789460918681"</f>
        <v>9789460918681</v>
      </c>
      <c r="C6935" s="10" t="str">
        <f>"9789460918704"</f>
        <v>9789460918704</v>
      </c>
      <c r="D6935" s="10" t="s">
        <v>8564</v>
      </c>
      <c r="E6935" s="10" t="s">
        <v>13067</v>
      </c>
      <c r="F6935" s="10" t="s">
        <v>33250</v>
      </c>
      <c r="G6935" s="10" t="s">
        <v>9233</v>
      </c>
      <c r="H6935" s="11">
        <v>40909</v>
      </c>
      <c r="I6935" s="10">
        <v>2012</v>
      </c>
      <c r="J6935" s="10" t="s">
        <v>13067</v>
      </c>
      <c r="K6935" s="10">
        <v>273</v>
      </c>
      <c r="L6935" s="10" t="s">
        <v>33384</v>
      </c>
      <c r="M6935" s="10">
        <v>1</v>
      </c>
      <c r="N6935" s="10"/>
      <c r="O6935" s="10"/>
      <c r="P6935" s="10" t="s">
        <v>19534</v>
      </c>
      <c r="Q6935" s="10"/>
      <c r="R6935" s="10" t="s">
        <v>18604</v>
      </c>
      <c r="S6935" s="10" t="s">
        <v>53</v>
      </c>
      <c r="T6935" s="10" t="s">
        <v>54</v>
      </c>
    </row>
    <row r="6936" spans="1:20" ht="14.5" x14ac:dyDescent="0.35">
      <c r="A6936" s="10" t="s">
        <v>33385</v>
      </c>
      <c r="B6936" s="10" t="str">
        <f>"9789462090811"</f>
        <v>9789462090811</v>
      </c>
      <c r="C6936" s="10" t="str">
        <f>"9789462090835"</f>
        <v>9789462090835</v>
      </c>
      <c r="D6936" s="10" t="s">
        <v>8564</v>
      </c>
      <c r="E6936" s="10" t="s">
        <v>13067</v>
      </c>
      <c r="F6936" s="10" t="s">
        <v>33250</v>
      </c>
      <c r="G6936" s="10" t="s">
        <v>9233</v>
      </c>
      <c r="H6936" s="11">
        <v>40909</v>
      </c>
      <c r="I6936" s="10">
        <v>2012</v>
      </c>
      <c r="J6936" s="10" t="s">
        <v>13067</v>
      </c>
      <c r="K6936" s="10">
        <v>156</v>
      </c>
      <c r="L6936" s="10" t="s">
        <v>33386</v>
      </c>
      <c r="M6936" s="10">
        <v>1</v>
      </c>
      <c r="N6936" s="10"/>
      <c r="O6936" s="10"/>
      <c r="P6936" s="10" t="s">
        <v>19534</v>
      </c>
      <c r="Q6936" s="10"/>
      <c r="R6936" s="10" t="s">
        <v>33387</v>
      </c>
      <c r="S6936" s="10" t="s">
        <v>53</v>
      </c>
      <c r="T6936" s="10" t="s">
        <v>54</v>
      </c>
    </row>
    <row r="6937" spans="1:20" ht="14.5" x14ac:dyDescent="0.35">
      <c r="A6937" s="10" t="s">
        <v>33388</v>
      </c>
      <c r="B6937" s="10" t="str">
        <f>"9789462090293"</f>
        <v>9789462090293</v>
      </c>
      <c r="C6937" s="10" t="str">
        <f>"9789462090316"</f>
        <v>9789462090316</v>
      </c>
      <c r="D6937" s="10" t="s">
        <v>8564</v>
      </c>
      <c r="E6937" s="10" t="s">
        <v>13067</v>
      </c>
      <c r="F6937" s="10" t="s">
        <v>33250</v>
      </c>
      <c r="G6937" s="10" t="s">
        <v>9233</v>
      </c>
      <c r="H6937" s="11">
        <v>40909</v>
      </c>
      <c r="I6937" s="10">
        <v>2012</v>
      </c>
      <c r="J6937" s="10" t="s">
        <v>13067</v>
      </c>
      <c r="K6937" s="10">
        <v>325</v>
      </c>
      <c r="L6937" s="10" t="s">
        <v>33389</v>
      </c>
      <c r="M6937" s="10">
        <v>1</v>
      </c>
      <c r="N6937" s="10"/>
      <c r="O6937" s="10"/>
      <c r="P6937" s="10" t="s">
        <v>19534</v>
      </c>
      <c r="Q6937" s="10">
        <v>370.12</v>
      </c>
      <c r="R6937" s="10" t="s">
        <v>17321</v>
      </c>
      <c r="S6937" s="10" t="s">
        <v>53</v>
      </c>
      <c r="T6937" s="10" t="s">
        <v>54</v>
      </c>
    </row>
    <row r="6938" spans="1:20" ht="14.5" x14ac:dyDescent="0.35">
      <c r="A6938" s="10" t="s">
        <v>33390</v>
      </c>
      <c r="B6938" s="10" t="str">
        <f>"9789462090996"</f>
        <v>9789462090996</v>
      </c>
      <c r="C6938" s="10" t="str">
        <f>"9789462091016"</f>
        <v>9789462091016</v>
      </c>
      <c r="D6938" s="10" t="s">
        <v>8564</v>
      </c>
      <c r="E6938" s="10" t="s">
        <v>13067</v>
      </c>
      <c r="F6938" s="10" t="s">
        <v>33250</v>
      </c>
      <c r="G6938" s="10" t="s">
        <v>9233</v>
      </c>
      <c r="H6938" s="11">
        <v>40909</v>
      </c>
      <c r="I6938" s="10">
        <v>2012</v>
      </c>
      <c r="J6938" s="10" t="s">
        <v>13067</v>
      </c>
      <c r="K6938" s="10">
        <v>254</v>
      </c>
      <c r="L6938" s="10" t="s">
        <v>33391</v>
      </c>
      <c r="M6938" s="10">
        <v>1</v>
      </c>
      <c r="N6938" s="10"/>
      <c r="O6938" s="10"/>
      <c r="P6938" s="10" t="s">
        <v>19534</v>
      </c>
      <c r="Q6938" s="10"/>
      <c r="R6938" s="10" t="s">
        <v>33392</v>
      </c>
      <c r="S6938" s="10" t="s">
        <v>53</v>
      </c>
      <c r="T6938" s="10" t="s">
        <v>54</v>
      </c>
    </row>
    <row r="6939" spans="1:20" ht="14.5" x14ac:dyDescent="0.35">
      <c r="A6939" s="10" t="s">
        <v>33393</v>
      </c>
      <c r="B6939" s="10" t="str">
        <f>"9789462091085"</f>
        <v>9789462091085</v>
      </c>
      <c r="C6939" s="10" t="str">
        <f>"9789462091108"</f>
        <v>9789462091108</v>
      </c>
      <c r="D6939" s="10" t="s">
        <v>8564</v>
      </c>
      <c r="E6939" s="10" t="s">
        <v>13067</v>
      </c>
      <c r="F6939" s="10" t="s">
        <v>33250</v>
      </c>
      <c r="G6939" s="10" t="s">
        <v>9233</v>
      </c>
      <c r="H6939" s="11">
        <v>40909</v>
      </c>
      <c r="I6939" s="10">
        <v>2012</v>
      </c>
      <c r="J6939" s="10" t="s">
        <v>13067</v>
      </c>
      <c r="K6939" s="10">
        <v>163</v>
      </c>
      <c r="L6939" s="10" t="s">
        <v>33394</v>
      </c>
      <c r="M6939" s="10">
        <v>1</v>
      </c>
      <c r="N6939" s="10" t="s">
        <v>33325</v>
      </c>
      <c r="O6939" s="10">
        <v>90</v>
      </c>
      <c r="P6939" s="10" t="s">
        <v>19534</v>
      </c>
      <c r="Q6939" s="10"/>
      <c r="R6939" s="10" t="s">
        <v>33395</v>
      </c>
      <c r="S6939" s="10" t="s">
        <v>53</v>
      </c>
      <c r="T6939" s="10" t="s">
        <v>54</v>
      </c>
    </row>
    <row r="6940" spans="1:20" ht="14.5" x14ac:dyDescent="0.35">
      <c r="A6940" s="10" t="s">
        <v>33396</v>
      </c>
      <c r="B6940" s="10" t="str">
        <f>"9789460919190"</f>
        <v>9789460919190</v>
      </c>
      <c r="C6940" s="10" t="str">
        <f>"9789460919213"</f>
        <v>9789460919213</v>
      </c>
      <c r="D6940" s="10" t="s">
        <v>8564</v>
      </c>
      <c r="E6940" s="10" t="s">
        <v>13067</v>
      </c>
      <c r="F6940" s="10" t="s">
        <v>33250</v>
      </c>
      <c r="G6940" s="10" t="s">
        <v>9233</v>
      </c>
      <c r="H6940" s="11">
        <v>40909</v>
      </c>
      <c r="I6940" s="10">
        <v>2012</v>
      </c>
      <c r="J6940" s="10" t="s">
        <v>13067</v>
      </c>
      <c r="K6940" s="10">
        <v>337</v>
      </c>
      <c r="L6940" s="10" t="s">
        <v>33397</v>
      </c>
      <c r="M6940" s="10">
        <v>1</v>
      </c>
      <c r="N6940" s="10" t="s">
        <v>33291</v>
      </c>
      <c r="O6940" s="10">
        <v>24</v>
      </c>
      <c r="P6940" s="10" t="s">
        <v>19534</v>
      </c>
      <c r="Q6940" s="10"/>
      <c r="R6940" s="10" t="s">
        <v>33398</v>
      </c>
      <c r="S6940" s="10" t="s">
        <v>53</v>
      </c>
      <c r="T6940" s="10" t="s">
        <v>54</v>
      </c>
    </row>
    <row r="6941" spans="1:20" ht="14.5" x14ac:dyDescent="0.35">
      <c r="A6941" s="10" t="s">
        <v>33399</v>
      </c>
      <c r="B6941" s="10" t="str">
        <f>"9789462090477"</f>
        <v>9789462090477</v>
      </c>
      <c r="C6941" s="10" t="str">
        <f>"9789462090491"</f>
        <v>9789462090491</v>
      </c>
      <c r="D6941" s="10" t="s">
        <v>8564</v>
      </c>
      <c r="E6941" s="10" t="s">
        <v>13067</v>
      </c>
      <c r="F6941" s="10" t="s">
        <v>33250</v>
      </c>
      <c r="G6941" s="10" t="s">
        <v>9233</v>
      </c>
      <c r="H6941" s="11">
        <v>40909</v>
      </c>
      <c r="I6941" s="10">
        <v>2012</v>
      </c>
      <c r="J6941" s="10" t="s">
        <v>13067</v>
      </c>
      <c r="K6941" s="10">
        <v>99</v>
      </c>
      <c r="L6941" s="10" t="s">
        <v>33400</v>
      </c>
      <c r="M6941" s="10">
        <v>1</v>
      </c>
      <c r="N6941" s="10" t="s">
        <v>33332</v>
      </c>
      <c r="O6941" s="10">
        <v>3</v>
      </c>
      <c r="P6941" s="10" t="s">
        <v>19534</v>
      </c>
      <c r="Q6941" s="10"/>
      <c r="R6941" s="10" t="s">
        <v>33401</v>
      </c>
      <c r="S6941" s="10" t="s">
        <v>53</v>
      </c>
      <c r="T6941" s="10" t="s">
        <v>54</v>
      </c>
    </row>
    <row r="6942" spans="1:20" ht="14.5" x14ac:dyDescent="0.35">
      <c r="A6942" s="10" t="s">
        <v>33402</v>
      </c>
      <c r="B6942" s="10" t="str">
        <f>"9789462090088"</f>
        <v>9789462090088</v>
      </c>
      <c r="C6942" s="10" t="str">
        <f>"9789462090101"</f>
        <v>9789462090101</v>
      </c>
      <c r="D6942" s="10" t="s">
        <v>8564</v>
      </c>
      <c r="E6942" s="10" t="s">
        <v>13067</v>
      </c>
      <c r="F6942" s="10" t="s">
        <v>33250</v>
      </c>
      <c r="G6942" s="10" t="s">
        <v>9233</v>
      </c>
      <c r="H6942" s="11">
        <v>40909</v>
      </c>
      <c r="I6942" s="10">
        <v>2012</v>
      </c>
      <c r="J6942" s="10" t="s">
        <v>13067</v>
      </c>
      <c r="K6942" s="10">
        <v>165</v>
      </c>
      <c r="L6942" s="10" t="s">
        <v>33403</v>
      </c>
      <c r="M6942" s="10">
        <v>1</v>
      </c>
      <c r="N6942" s="10" t="s">
        <v>33404</v>
      </c>
      <c r="O6942" s="10">
        <v>7</v>
      </c>
      <c r="P6942" s="10" t="s">
        <v>19534</v>
      </c>
      <c r="Q6942" s="10"/>
      <c r="R6942" s="10" t="s">
        <v>33405</v>
      </c>
      <c r="S6942" s="10" t="s">
        <v>53</v>
      </c>
      <c r="T6942" s="10" t="s">
        <v>54</v>
      </c>
    </row>
    <row r="6943" spans="1:20" ht="14.5" x14ac:dyDescent="0.35">
      <c r="A6943" s="10" t="s">
        <v>33406</v>
      </c>
      <c r="B6943" s="10" t="str">
        <f>"9789460919374"</f>
        <v>9789460919374</v>
      </c>
      <c r="C6943" s="10" t="str">
        <f>"9789460919398"</f>
        <v>9789460919398</v>
      </c>
      <c r="D6943" s="10" t="s">
        <v>8564</v>
      </c>
      <c r="E6943" s="10" t="s">
        <v>13067</v>
      </c>
      <c r="F6943" s="10" t="s">
        <v>33250</v>
      </c>
      <c r="G6943" s="10" t="s">
        <v>9233</v>
      </c>
      <c r="H6943" s="11">
        <v>40909</v>
      </c>
      <c r="I6943" s="10">
        <v>2012</v>
      </c>
      <c r="J6943" s="10" t="s">
        <v>13067</v>
      </c>
      <c r="K6943" s="10">
        <v>264</v>
      </c>
      <c r="L6943" s="10" t="s">
        <v>33407</v>
      </c>
      <c r="M6943" s="10">
        <v>1</v>
      </c>
      <c r="N6943" s="10" t="s">
        <v>33408</v>
      </c>
      <c r="O6943" s="10">
        <v>3</v>
      </c>
      <c r="P6943" s="10" t="s">
        <v>19534</v>
      </c>
      <c r="Q6943" s="10"/>
      <c r="R6943" s="10" t="s">
        <v>33409</v>
      </c>
      <c r="S6943" s="10" t="s">
        <v>53</v>
      </c>
      <c r="T6943" s="10" t="s">
        <v>54</v>
      </c>
    </row>
    <row r="6944" spans="1:20" ht="14.5" x14ac:dyDescent="0.35">
      <c r="A6944" s="10" t="s">
        <v>33410</v>
      </c>
      <c r="B6944" s="10" t="str">
        <f>"9789460918865"</f>
        <v>9789460918865</v>
      </c>
      <c r="C6944" s="10" t="str">
        <f>"9789460918889"</f>
        <v>9789460918889</v>
      </c>
      <c r="D6944" s="10" t="s">
        <v>8564</v>
      </c>
      <c r="E6944" s="10" t="s">
        <v>13067</v>
      </c>
      <c r="F6944" s="10" t="s">
        <v>33250</v>
      </c>
      <c r="G6944" s="10" t="s">
        <v>9233</v>
      </c>
      <c r="H6944" s="11">
        <v>40909</v>
      </c>
      <c r="I6944" s="10">
        <v>2012</v>
      </c>
      <c r="J6944" s="10" t="s">
        <v>13067</v>
      </c>
      <c r="K6944" s="10">
        <v>175</v>
      </c>
      <c r="L6944" s="10" t="s">
        <v>33411</v>
      </c>
      <c r="M6944" s="10">
        <v>1</v>
      </c>
      <c r="N6944" s="10" t="s">
        <v>33325</v>
      </c>
      <c r="O6944" s="10">
        <v>86</v>
      </c>
      <c r="P6944" s="10" t="s">
        <v>19534</v>
      </c>
      <c r="Q6944" s="10"/>
      <c r="R6944" s="10"/>
      <c r="S6944" s="10" t="s">
        <v>53</v>
      </c>
      <c r="T6944" s="10" t="s">
        <v>54</v>
      </c>
    </row>
    <row r="6945" spans="1:20" ht="14.5" x14ac:dyDescent="0.35">
      <c r="A6945" s="10" t="s">
        <v>33412</v>
      </c>
      <c r="B6945" s="10" t="str">
        <f>"9789460917660"</f>
        <v>9789460917660</v>
      </c>
      <c r="C6945" s="10" t="str">
        <f>"9789460917684"</f>
        <v>9789460917684</v>
      </c>
      <c r="D6945" s="10" t="s">
        <v>8564</v>
      </c>
      <c r="E6945" s="10" t="s">
        <v>13067</v>
      </c>
      <c r="F6945" s="10" t="s">
        <v>33250</v>
      </c>
      <c r="G6945" s="10" t="s">
        <v>9233</v>
      </c>
      <c r="H6945" s="11">
        <v>40909</v>
      </c>
      <c r="I6945" s="10">
        <v>2012</v>
      </c>
      <c r="J6945" s="10" t="s">
        <v>13067</v>
      </c>
      <c r="K6945" s="10">
        <v>290</v>
      </c>
      <c r="L6945" s="10" t="s">
        <v>33413</v>
      </c>
      <c r="M6945" s="10">
        <v>1</v>
      </c>
      <c r="N6945" s="10" t="s">
        <v>33414</v>
      </c>
      <c r="O6945" s="10">
        <v>8</v>
      </c>
      <c r="P6945" s="10" t="s">
        <v>19534</v>
      </c>
      <c r="Q6945" s="10"/>
      <c r="R6945" s="10" t="s">
        <v>11901</v>
      </c>
      <c r="S6945" s="10" t="s">
        <v>53</v>
      </c>
      <c r="T6945" s="10" t="s">
        <v>54</v>
      </c>
    </row>
    <row r="6946" spans="1:20" ht="14.5" x14ac:dyDescent="0.35">
      <c r="A6946" s="10" t="s">
        <v>33415</v>
      </c>
      <c r="B6946" s="10" t="str">
        <f>"9789462090965"</f>
        <v>9789462090965</v>
      </c>
      <c r="C6946" s="10" t="str">
        <f>"9789462090989"</f>
        <v>9789462090989</v>
      </c>
      <c r="D6946" s="10" t="s">
        <v>8564</v>
      </c>
      <c r="E6946" s="10" t="s">
        <v>13067</v>
      </c>
      <c r="F6946" s="10" t="s">
        <v>33250</v>
      </c>
      <c r="G6946" s="10" t="s">
        <v>9233</v>
      </c>
      <c r="H6946" s="11">
        <v>40909</v>
      </c>
      <c r="I6946" s="10">
        <v>2012</v>
      </c>
      <c r="J6946" s="10" t="s">
        <v>13067</v>
      </c>
      <c r="K6946" s="10">
        <v>189</v>
      </c>
      <c r="L6946" s="10" t="s">
        <v>33416</v>
      </c>
      <c r="M6946" s="10">
        <v>1</v>
      </c>
      <c r="N6946" s="10"/>
      <c r="O6946" s="10"/>
      <c r="P6946" s="10" t="s">
        <v>19534</v>
      </c>
      <c r="Q6946" s="10"/>
      <c r="R6946" s="10" t="s">
        <v>33252</v>
      </c>
      <c r="S6946" s="10" t="s">
        <v>53</v>
      </c>
      <c r="T6946" s="10" t="s">
        <v>54</v>
      </c>
    </row>
    <row r="6947" spans="1:20" ht="14.5" x14ac:dyDescent="0.35">
      <c r="A6947" s="10" t="s">
        <v>33417</v>
      </c>
      <c r="B6947" s="10" t="str">
        <f>"9789460919749"</f>
        <v>9789460919749</v>
      </c>
      <c r="C6947" s="10" t="str">
        <f>"9789460919763"</f>
        <v>9789460919763</v>
      </c>
      <c r="D6947" s="10" t="s">
        <v>8564</v>
      </c>
      <c r="E6947" s="10" t="s">
        <v>13067</v>
      </c>
      <c r="F6947" s="10" t="s">
        <v>33250</v>
      </c>
      <c r="G6947" s="10" t="s">
        <v>9233</v>
      </c>
      <c r="H6947" s="11">
        <v>40909</v>
      </c>
      <c r="I6947" s="10">
        <v>2012</v>
      </c>
      <c r="J6947" s="10" t="s">
        <v>13067</v>
      </c>
      <c r="K6947" s="10">
        <v>297</v>
      </c>
      <c r="L6947" s="10" t="s">
        <v>33418</v>
      </c>
      <c r="M6947" s="10">
        <v>1</v>
      </c>
      <c r="N6947" s="10" t="s">
        <v>33419</v>
      </c>
      <c r="O6947" s="10">
        <v>54</v>
      </c>
      <c r="P6947" s="10" t="s">
        <v>19534</v>
      </c>
      <c r="Q6947" s="10"/>
      <c r="R6947" s="10" t="s">
        <v>33420</v>
      </c>
      <c r="S6947" s="10" t="s">
        <v>53</v>
      </c>
      <c r="T6947" s="10" t="s">
        <v>54</v>
      </c>
    </row>
    <row r="6948" spans="1:20" ht="14.5" x14ac:dyDescent="0.35">
      <c r="A6948" s="10" t="s">
        <v>33421</v>
      </c>
      <c r="B6948" s="10" t="str">
        <f>"9789462090446"</f>
        <v>9789462090446</v>
      </c>
      <c r="C6948" s="10" t="str">
        <f>"9789462090460"</f>
        <v>9789462090460</v>
      </c>
      <c r="D6948" s="10" t="s">
        <v>8564</v>
      </c>
      <c r="E6948" s="10" t="s">
        <v>13067</v>
      </c>
      <c r="F6948" s="10" t="s">
        <v>33250</v>
      </c>
      <c r="G6948" s="10" t="s">
        <v>9233</v>
      </c>
      <c r="H6948" s="11">
        <v>41275</v>
      </c>
      <c r="I6948" s="10">
        <v>2013</v>
      </c>
      <c r="J6948" s="10" t="s">
        <v>13067</v>
      </c>
      <c r="K6948" s="10">
        <v>280</v>
      </c>
      <c r="L6948" s="10" t="s">
        <v>33422</v>
      </c>
      <c r="M6948" s="10">
        <v>1</v>
      </c>
      <c r="N6948" s="10" t="s">
        <v>33404</v>
      </c>
      <c r="O6948" s="10">
        <v>8</v>
      </c>
      <c r="P6948" s="10" t="s">
        <v>19534</v>
      </c>
      <c r="Q6948" s="10"/>
      <c r="R6948" s="10" t="s">
        <v>21715</v>
      </c>
      <c r="S6948" s="10" t="s">
        <v>53</v>
      </c>
      <c r="T6948" s="10" t="s">
        <v>54</v>
      </c>
    </row>
    <row r="6949" spans="1:20" ht="14.5" x14ac:dyDescent="0.35">
      <c r="A6949" s="10" t="s">
        <v>33423</v>
      </c>
      <c r="B6949" s="10" t="str">
        <f>"9789462090590"</f>
        <v>9789462090590</v>
      </c>
      <c r="C6949" s="10" t="str">
        <f>"9789462090613"</f>
        <v>9789462090613</v>
      </c>
      <c r="D6949" s="10" t="s">
        <v>8564</v>
      </c>
      <c r="E6949" s="10" t="s">
        <v>13067</v>
      </c>
      <c r="F6949" s="10" t="s">
        <v>33250</v>
      </c>
      <c r="G6949" s="10" t="s">
        <v>9233</v>
      </c>
      <c r="H6949" s="11">
        <v>41275</v>
      </c>
      <c r="I6949" s="10">
        <v>2013</v>
      </c>
      <c r="J6949" s="10" t="s">
        <v>13067</v>
      </c>
      <c r="K6949" s="10">
        <v>173</v>
      </c>
      <c r="L6949" s="10" t="s">
        <v>33424</v>
      </c>
      <c r="M6949" s="10">
        <v>1</v>
      </c>
      <c r="N6949" s="10"/>
      <c r="O6949" s="10"/>
      <c r="P6949" s="10" t="s">
        <v>19534</v>
      </c>
      <c r="Q6949" s="10"/>
      <c r="R6949" s="10" t="s">
        <v>27179</v>
      </c>
      <c r="S6949" s="10" t="s">
        <v>53</v>
      </c>
      <c r="T6949" s="10" t="s">
        <v>54</v>
      </c>
    </row>
    <row r="6950" spans="1:20" ht="14.5" x14ac:dyDescent="0.35">
      <c r="A6950" s="10" t="s">
        <v>33425</v>
      </c>
      <c r="B6950" s="10" t="str">
        <f>"9789462090569"</f>
        <v>9789462090569</v>
      </c>
      <c r="C6950" s="10" t="str">
        <f>"9789462090583"</f>
        <v>9789462090583</v>
      </c>
      <c r="D6950" s="10" t="s">
        <v>8564</v>
      </c>
      <c r="E6950" s="10" t="s">
        <v>8565</v>
      </c>
      <c r="F6950" s="10" t="s">
        <v>1420</v>
      </c>
      <c r="G6950" s="10" t="s">
        <v>6317</v>
      </c>
      <c r="H6950" s="11">
        <v>41275</v>
      </c>
      <c r="I6950" s="10">
        <v>2013</v>
      </c>
      <c r="J6950" s="10" t="s">
        <v>33259</v>
      </c>
      <c r="K6950" s="10">
        <v>192</v>
      </c>
      <c r="L6950" s="10" t="s">
        <v>33426</v>
      </c>
      <c r="M6950" s="10">
        <v>1</v>
      </c>
      <c r="N6950" s="10"/>
      <c r="O6950" s="10"/>
      <c r="P6950" s="10" t="s">
        <v>19534</v>
      </c>
      <c r="Q6950" s="10"/>
      <c r="R6950" s="10" t="s">
        <v>18815</v>
      </c>
      <c r="S6950" s="10" t="s">
        <v>53</v>
      </c>
      <c r="T6950" s="10" t="s">
        <v>54</v>
      </c>
    </row>
    <row r="6951" spans="1:20" ht="14.5" x14ac:dyDescent="0.35">
      <c r="A6951" s="10" t="s">
        <v>33427</v>
      </c>
      <c r="B6951" s="10" t="str">
        <f>"9789460919657"</f>
        <v>9789460919657</v>
      </c>
      <c r="C6951" s="10" t="str">
        <f>"9789460919671"</f>
        <v>9789460919671</v>
      </c>
      <c r="D6951" s="10" t="s">
        <v>8564</v>
      </c>
      <c r="E6951" s="10" t="s">
        <v>13067</v>
      </c>
      <c r="F6951" s="10" t="s">
        <v>33250</v>
      </c>
      <c r="G6951" s="10" t="s">
        <v>9233</v>
      </c>
      <c r="H6951" s="11">
        <v>40909</v>
      </c>
      <c r="I6951" s="10">
        <v>2012</v>
      </c>
      <c r="J6951" s="10" t="s">
        <v>13067</v>
      </c>
      <c r="K6951" s="10">
        <v>141</v>
      </c>
      <c r="L6951" s="10" t="s">
        <v>33428</v>
      </c>
      <c r="M6951" s="10">
        <v>1</v>
      </c>
      <c r="N6951" s="10" t="s">
        <v>33429</v>
      </c>
      <c r="O6951" s="10">
        <v>1</v>
      </c>
      <c r="P6951" s="10" t="s">
        <v>19534</v>
      </c>
      <c r="Q6951" s="10"/>
      <c r="R6951" s="10"/>
      <c r="S6951" s="10" t="s">
        <v>53</v>
      </c>
      <c r="T6951" s="10" t="s">
        <v>54</v>
      </c>
    </row>
    <row r="6952" spans="1:20" ht="14.5" x14ac:dyDescent="0.35">
      <c r="A6952" s="10" t="s">
        <v>33430</v>
      </c>
      <c r="B6952" s="10" t="str">
        <f>"9789462090262"</f>
        <v>9789462090262</v>
      </c>
      <c r="C6952" s="10" t="str">
        <f>"9789462090286"</f>
        <v>9789462090286</v>
      </c>
      <c r="D6952" s="10" t="s">
        <v>8564</v>
      </c>
      <c r="E6952" s="10" t="s">
        <v>13067</v>
      </c>
      <c r="F6952" s="10" t="s">
        <v>33250</v>
      </c>
      <c r="G6952" s="10" t="s">
        <v>9233</v>
      </c>
      <c r="H6952" s="11">
        <v>40909</v>
      </c>
      <c r="I6952" s="10">
        <v>2012</v>
      </c>
      <c r="J6952" s="10" t="s">
        <v>13067</v>
      </c>
      <c r="K6952" s="10">
        <v>236</v>
      </c>
      <c r="L6952" s="10" t="s">
        <v>33431</v>
      </c>
      <c r="M6952" s="10">
        <v>1</v>
      </c>
      <c r="N6952" s="10" t="s">
        <v>33332</v>
      </c>
      <c r="O6952" s="10">
        <v>18</v>
      </c>
      <c r="P6952" s="10" t="s">
        <v>19534</v>
      </c>
      <c r="Q6952" s="10"/>
      <c r="R6952" s="10" t="s">
        <v>33432</v>
      </c>
      <c r="S6952" s="10" t="s">
        <v>53</v>
      </c>
      <c r="T6952" s="10" t="s">
        <v>54</v>
      </c>
    </row>
    <row r="6953" spans="1:20" ht="14.5" x14ac:dyDescent="0.35">
      <c r="A6953" s="10" t="s">
        <v>33433</v>
      </c>
      <c r="B6953" s="10" t="str">
        <f>"9789460919893"</f>
        <v>9789460919893</v>
      </c>
      <c r="C6953" s="10" t="str">
        <f>"9789460919916"</f>
        <v>9789460919916</v>
      </c>
      <c r="D6953" s="10" t="s">
        <v>8564</v>
      </c>
      <c r="E6953" s="10" t="s">
        <v>13067</v>
      </c>
      <c r="F6953" s="10" t="s">
        <v>33250</v>
      </c>
      <c r="G6953" s="10" t="s">
        <v>9233</v>
      </c>
      <c r="H6953" s="11">
        <v>40909</v>
      </c>
      <c r="I6953" s="10">
        <v>2012</v>
      </c>
      <c r="J6953" s="10" t="s">
        <v>13067</v>
      </c>
      <c r="K6953" s="10">
        <v>205</v>
      </c>
      <c r="L6953" s="10" t="s">
        <v>33434</v>
      </c>
      <c r="M6953" s="10">
        <v>1</v>
      </c>
      <c r="N6953" s="10" t="s">
        <v>33435</v>
      </c>
      <c r="O6953" s="10">
        <v>3</v>
      </c>
      <c r="P6953" s="10" t="s">
        <v>19534</v>
      </c>
      <c r="Q6953" s="10">
        <v>371.950941</v>
      </c>
      <c r="R6953" s="10" t="s">
        <v>33436</v>
      </c>
      <c r="S6953" s="10" t="s">
        <v>53</v>
      </c>
      <c r="T6953" s="10" t="s">
        <v>54</v>
      </c>
    </row>
    <row r="6954" spans="1:20" ht="14.5" x14ac:dyDescent="0.35">
      <c r="A6954" s="10" t="s">
        <v>33437</v>
      </c>
      <c r="B6954" s="10" t="str">
        <f>"9789460919770"</f>
        <v>9789460919770</v>
      </c>
      <c r="C6954" s="10" t="str">
        <f>"9789460919794"</f>
        <v>9789460919794</v>
      </c>
      <c r="D6954" s="10" t="s">
        <v>8564</v>
      </c>
      <c r="E6954" s="10" t="s">
        <v>13067</v>
      </c>
      <c r="F6954" s="10" t="s">
        <v>33250</v>
      </c>
      <c r="G6954" s="10" t="s">
        <v>9233</v>
      </c>
      <c r="H6954" s="11">
        <v>40909</v>
      </c>
      <c r="I6954" s="10">
        <v>2012</v>
      </c>
      <c r="J6954" s="10" t="s">
        <v>13067</v>
      </c>
      <c r="K6954" s="10">
        <v>204</v>
      </c>
      <c r="L6954" s="10" t="s">
        <v>33438</v>
      </c>
      <c r="M6954" s="10">
        <v>1</v>
      </c>
      <c r="N6954" s="10" t="s">
        <v>33414</v>
      </c>
      <c r="O6954" s="10">
        <v>10</v>
      </c>
      <c r="P6954" s="10" t="s">
        <v>19534</v>
      </c>
      <c r="Q6954" s="10">
        <v>306.43</v>
      </c>
      <c r="R6954" s="10" t="s">
        <v>33439</v>
      </c>
      <c r="S6954" s="10" t="s">
        <v>53</v>
      </c>
      <c r="T6954" s="10" t="s">
        <v>6472</v>
      </c>
    </row>
    <row r="6955" spans="1:20" ht="14.5" x14ac:dyDescent="0.35">
      <c r="A6955" s="10" t="s">
        <v>33440</v>
      </c>
      <c r="B6955" s="10" t="str">
        <f>"9789462091627"</f>
        <v>9789462091627</v>
      </c>
      <c r="C6955" s="10" t="str">
        <f>"9789462091641"</f>
        <v>9789462091641</v>
      </c>
      <c r="D6955" s="10" t="s">
        <v>8564</v>
      </c>
      <c r="E6955" s="10" t="s">
        <v>13067</v>
      </c>
      <c r="F6955" s="10" t="s">
        <v>33250</v>
      </c>
      <c r="G6955" s="10" t="s">
        <v>9233</v>
      </c>
      <c r="H6955" s="11">
        <v>40909</v>
      </c>
      <c r="I6955" s="10">
        <v>2012</v>
      </c>
      <c r="J6955" s="10" t="s">
        <v>13067</v>
      </c>
      <c r="K6955" s="10">
        <v>104</v>
      </c>
      <c r="L6955" s="10" t="s">
        <v>33441</v>
      </c>
      <c r="M6955" s="10">
        <v>1</v>
      </c>
      <c r="N6955" s="10"/>
      <c r="O6955" s="10"/>
      <c r="P6955" s="10" t="s">
        <v>19534</v>
      </c>
      <c r="Q6955" s="10"/>
      <c r="R6955" s="10" t="s">
        <v>33442</v>
      </c>
      <c r="S6955" s="10" t="s">
        <v>53</v>
      </c>
      <c r="T6955" s="10" t="s">
        <v>54</v>
      </c>
    </row>
    <row r="6956" spans="1:20" ht="14.5" x14ac:dyDescent="0.35">
      <c r="A6956" s="10" t="s">
        <v>33443</v>
      </c>
      <c r="B6956" s="10" t="str">
        <f>"9789462091269"</f>
        <v>9789462091269</v>
      </c>
      <c r="C6956" s="10" t="str">
        <f>"9789462091283"</f>
        <v>9789462091283</v>
      </c>
      <c r="D6956" s="10" t="s">
        <v>8564</v>
      </c>
      <c r="E6956" s="10" t="s">
        <v>13067</v>
      </c>
      <c r="F6956" s="10" t="s">
        <v>33250</v>
      </c>
      <c r="G6956" s="10" t="s">
        <v>9233</v>
      </c>
      <c r="H6956" s="11">
        <v>40909</v>
      </c>
      <c r="I6956" s="10">
        <v>2012</v>
      </c>
      <c r="J6956" s="10" t="s">
        <v>13067</v>
      </c>
      <c r="K6956" s="10">
        <v>265</v>
      </c>
      <c r="L6956" s="10" t="s">
        <v>33444</v>
      </c>
      <c r="M6956" s="10">
        <v>1</v>
      </c>
      <c r="N6956" s="10" t="s">
        <v>33445</v>
      </c>
      <c r="O6956" s="10">
        <v>6</v>
      </c>
      <c r="P6956" s="10" t="s">
        <v>19534</v>
      </c>
      <c r="Q6956" s="10"/>
      <c r="R6956" s="10" t="s">
        <v>33446</v>
      </c>
      <c r="S6956" s="10" t="s">
        <v>53</v>
      </c>
      <c r="T6956" s="10" t="s">
        <v>54</v>
      </c>
    </row>
    <row r="6957" spans="1:20" ht="14.5" x14ac:dyDescent="0.35">
      <c r="A6957" s="10" t="s">
        <v>33447</v>
      </c>
      <c r="B6957" s="10" t="str">
        <f>"9789462091863"</f>
        <v>9789462091863</v>
      </c>
      <c r="C6957" s="10" t="str">
        <f>"9789462091887"</f>
        <v>9789462091887</v>
      </c>
      <c r="D6957" s="10" t="s">
        <v>8564</v>
      </c>
      <c r="E6957" s="10" t="s">
        <v>13067</v>
      </c>
      <c r="F6957" s="10" t="s">
        <v>33250</v>
      </c>
      <c r="G6957" s="10" t="s">
        <v>9233</v>
      </c>
      <c r="H6957" s="11">
        <v>41275</v>
      </c>
      <c r="I6957" s="10">
        <v>2013</v>
      </c>
      <c r="J6957" s="10" t="s">
        <v>13067</v>
      </c>
      <c r="K6957" s="10">
        <v>316</v>
      </c>
      <c r="L6957" s="10" t="s">
        <v>33448</v>
      </c>
      <c r="M6957" s="10">
        <v>1</v>
      </c>
      <c r="N6957" s="10" t="s">
        <v>33445</v>
      </c>
      <c r="O6957" s="10">
        <v>7</v>
      </c>
      <c r="P6957" s="10" t="s">
        <v>19534</v>
      </c>
      <c r="Q6957" s="10"/>
      <c r="R6957" s="10" t="s">
        <v>33449</v>
      </c>
      <c r="S6957" s="10" t="s">
        <v>53</v>
      </c>
      <c r="T6957" s="10" t="s">
        <v>54</v>
      </c>
    </row>
    <row r="6958" spans="1:20" ht="14.5" x14ac:dyDescent="0.35">
      <c r="A6958" s="10" t="s">
        <v>33450</v>
      </c>
      <c r="B6958" s="10" t="str">
        <f>"9789462091054"</f>
        <v>9789462091054</v>
      </c>
      <c r="C6958" s="10" t="str">
        <f>"9789462091078"</f>
        <v>9789462091078</v>
      </c>
      <c r="D6958" s="10" t="s">
        <v>8564</v>
      </c>
      <c r="E6958" s="10" t="s">
        <v>13067</v>
      </c>
      <c r="F6958" s="10" t="s">
        <v>33250</v>
      </c>
      <c r="G6958" s="10" t="s">
        <v>9233</v>
      </c>
      <c r="H6958" s="11">
        <v>40909</v>
      </c>
      <c r="I6958" s="10">
        <v>2012</v>
      </c>
      <c r="J6958" s="10" t="s">
        <v>13067</v>
      </c>
      <c r="K6958" s="10">
        <v>144</v>
      </c>
      <c r="L6958" s="10" t="s">
        <v>33451</v>
      </c>
      <c r="M6958" s="10">
        <v>1</v>
      </c>
      <c r="N6958" s="10" t="s">
        <v>33325</v>
      </c>
      <c r="O6958" s="10">
        <v>89</v>
      </c>
      <c r="P6958" s="10" t="s">
        <v>19534</v>
      </c>
      <c r="Q6958" s="10"/>
      <c r="R6958" s="10" t="s">
        <v>33452</v>
      </c>
      <c r="S6958" s="10" t="s">
        <v>53</v>
      </c>
      <c r="T6958" s="10" t="s">
        <v>54</v>
      </c>
    </row>
    <row r="6959" spans="1:20" ht="14.5" x14ac:dyDescent="0.35">
      <c r="A6959" s="10" t="s">
        <v>33453</v>
      </c>
      <c r="B6959" s="10" t="str">
        <f>"9789462090750"</f>
        <v>9789462090750</v>
      </c>
      <c r="C6959" s="10" t="str">
        <f>"9789462090774"</f>
        <v>9789462090774</v>
      </c>
      <c r="D6959" s="10" t="s">
        <v>8564</v>
      </c>
      <c r="E6959" s="10" t="s">
        <v>8565</v>
      </c>
      <c r="F6959" s="10" t="s">
        <v>1420</v>
      </c>
      <c r="G6959" s="10" t="s">
        <v>6317</v>
      </c>
      <c r="H6959" s="11">
        <v>40909</v>
      </c>
      <c r="I6959" s="10">
        <v>2012</v>
      </c>
      <c r="J6959" s="10" t="s">
        <v>33259</v>
      </c>
      <c r="K6959" s="10">
        <v>179</v>
      </c>
      <c r="L6959" s="10" t="s">
        <v>33454</v>
      </c>
      <c r="M6959" s="10">
        <v>1</v>
      </c>
      <c r="N6959" s="10" t="s">
        <v>33455</v>
      </c>
      <c r="O6959" s="10">
        <v>22</v>
      </c>
      <c r="P6959" s="10" t="s">
        <v>33456</v>
      </c>
      <c r="Q6959" s="10"/>
      <c r="R6959" s="10" t="s">
        <v>33457</v>
      </c>
      <c r="S6959" s="10" t="s">
        <v>53</v>
      </c>
      <c r="T6959" s="10" t="s">
        <v>54</v>
      </c>
    </row>
    <row r="6960" spans="1:20" ht="14.5" x14ac:dyDescent="0.35">
      <c r="A6960" s="10" t="s">
        <v>33458</v>
      </c>
      <c r="B6960" s="10" t="str">
        <f>"9789462091351"</f>
        <v>9789462091351</v>
      </c>
      <c r="C6960" s="10" t="str">
        <f>"9789462091375"</f>
        <v>9789462091375</v>
      </c>
      <c r="D6960" s="10" t="s">
        <v>8564</v>
      </c>
      <c r="E6960" s="10" t="s">
        <v>13067</v>
      </c>
      <c r="F6960" s="10" t="s">
        <v>33250</v>
      </c>
      <c r="G6960" s="10" t="s">
        <v>9233</v>
      </c>
      <c r="H6960" s="11">
        <v>41275</v>
      </c>
      <c r="I6960" s="10">
        <v>2013</v>
      </c>
      <c r="J6960" s="10" t="s">
        <v>13067</v>
      </c>
      <c r="K6960" s="10">
        <v>199</v>
      </c>
      <c r="L6960" s="10" t="s">
        <v>33459</v>
      </c>
      <c r="M6960" s="10">
        <v>1</v>
      </c>
      <c r="N6960" s="10" t="s">
        <v>33264</v>
      </c>
      <c r="O6960" s="10">
        <v>23</v>
      </c>
      <c r="P6960" s="10" t="s">
        <v>19534</v>
      </c>
      <c r="Q6960" s="10"/>
      <c r="R6960" s="10" t="s">
        <v>33460</v>
      </c>
      <c r="S6960" s="10" t="s">
        <v>53</v>
      </c>
      <c r="T6960" s="10" t="s">
        <v>54</v>
      </c>
    </row>
    <row r="6961" spans="1:20" ht="14.5" x14ac:dyDescent="0.35">
      <c r="A6961" s="10" t="s">
        <v>33461</v>
      </c>
      <c r="B6961" s="10" t="str">
        <f>"9789462091658"</f>
        <v>9789462091658</v>
      </c>
      <c r="C6961" s="10" t="str">
        <f>"9789462091672"</f>
        <v>9789462091672</v>
      </c>
      <c r="D6961" s="10" t="s">
        <v>8564</v>
      </c>
      <c r="E6961" s="10" t="s">
        <v>13067</v>
      </c>
      <c r="F6961" s="10" t="s">
        <v>33250</v>
      </c>
      <c r="G6961" s="10" t="s">
        <v>9233</v>
      </c>
      <c r="H6961" s="11">
        <v>40909</v>
      </c>
      <c r="I6961" s="10">
        <v>2012</v>
      </c>
      <c r="J6961" s="10" t="s">
        <v>13067</v>
      </c>
      <c r="K6961" s="10">
        <v>156</v>
      </c>
      <c r="L6961" s="10" t="s">
        <v>33462</v>
      </c>
      <c r="M6961" s="10">
        <v>1</v>
      </c>
      <c r="N6961" s="10" t="s">
        <v>33264</v>
      </c>
      <c r="O6961" s="10">
        <v>2</v>
      </c>
      <c r="P6961" s="10" t="s">
        <v>19534</v>
      </c>
      <c r="Q6961" s="10"/>
      <c r="R6961" s="10"/>
      <c r="S6961" s="10" t="s">
        <v>53</v>
      </c>
      <c r="T6961" s="10" t="s">
        <v>54</v>
      </c>
    </row>
    <row r="6962" spans="1:20" ht="14.5" x14ac:dyDescent="0.35">
      <c r="A6962" s="10" t="s">
        <v>33463</v>
      </c>
      <c r="B6962" s="10" t="str">
        <f>"9789462091207"</f>
        <v>9789462091207</v>
      </c>
      <c r="C6962" s="10" t="str">
        <f>"9789462091221"</f>
        <v>9789462091221</v>
      </c>
      <c r="D6962" s="10" t="s">
        <v>8564</v>
      </c>
      <c r="E6962" s="10" t="s">
        <v>13067</v>
      </c>
      <c r="F6962" s="10" t="s">
        <v>33250</v>
      </c>
      <c r="G6962" s="10" t="s">
        <v>9233</v>
      </c>
      <c r="H6962" s="11">
        <v>41275</v>
      </c>
      <c r="I6962" s="10">
        <v>2013</v>
      </c>
      <c r="J6962" s="10" t="s">
        <v>13067</v>
      </c>
      <c r="K6962" s="10">
        <v>268</v>
      </c>
      <c r="L6962" s="10" t="s">
        <v>33464</v>
      </c>
      <c r="M6962" s="10">
        <v>1</v>
      </c>
      <c r="N6962" s="10" t="s">
        <v>33465</v>
      </c>
      <c r="O6962" s="10">
        <v>1</v>
      </c>
      <c r="P6962" s="10" t="s">
        <v>19534</v>
      </c>
      <c r="Q6962" s="10"/>
      <c r="R6962" s="10" t="s">
        <v>33457</v>
      </c>
      <c r="S6962" s="10" t="s">
        <v>53</v>
      </c>
      <c r="T6962" s="10" t="s">
        <v>54</v>
      </c>
    </row>
    <row r="6963" spans="1:20" ht="14.5" x14ac:dyDescent="0.35">
      <c r="A6963" s="10" t="s">
        <v>33466</v>
      </c>
      <c r="B6963" s="10" t="str">
        <f>"9789462091955"</f>
        <v>9789462091955</v>
      </c>
      <c r="C6963" s="10" t="str">
        <f>"9789462091979"</f>
        <v>9789462091979</v>
      </c>
      <c r="D6963" s="10" t="s">
        <v>8564</v>
      </c>
      <c r="E6963" s="10" t="s">
        <v>8565</v>
      </c>
      <c r="F6963" s="10" t="s">
        <v>1420</v>
      </c>
      <c r="G6963" s="10" t="s">
        <v>6317</v>
      </c>
      <c r="H6963" s="11">
        <v>41275</v>
      </c>
      <c r="I6963" s="10">
        <v>2013</v>
      </c>
      <c r="J6963" s="10" t="s">
        <v>33259</v>
      </c>
      <c r="K6963" s="10">
        <v>221</v>
      </c>
      <c r="L6963" s="10" t="s">
        <v>33467</v>
      </c>
      <c r="M6963" s="10">
        <v>1</v>
      </c>
      <c r="N6963" s="10" t="s">
        <v>33332</v>
      </c>
      <c r="O6963" s="10">
        <v>5</v>
      </c>
      <c r="P6963" s="10" t="s">
        <v>19534</v>
      </c>
      <c r="Q6963" s="10"/>
      <c r="R6963" s="10" t="s">
        <v>33468</v>
      </c>
      <c r="S6963" s="10" t="s">
        <v>53</v>
      </c>
      <c r="T6963" s="10" t="s">
        <v>54</v>
      </c>
    </row>
    <row r="6964" spans="1:20" ht="14.5" x14ac:dyDescent="0.35">
      <c r="A6964" s="10" t="s">
        <v>33469</v>
      </c>
      <c r="B6964" s="10" t="str">
        <f>"9789460919046"</f>
        <v>9789460919046</v>
      </c>
      <c r="C6964" s="10" t="str">
        <f>"9789460919060"</f>
        <v>9789460919060</v>
      </c>
      <c r="D6964" s="10" t="s">
        <v>8564</v>
      </c>
      <c r="E6964" s="10" t="s">
        <v>13067</v>
      </c>
      <c r="F6964" s="10" t="s">
        <v>33250</v>
      </c>
      <c r="G6964" s="10" t="s">
        <v>9233</v>
      </c>
      <c r="H6964" s="11">
        <v>41275</v>
      </c>
      <c r="I6964" s="10">
        <v>2013</v>
      </c>
      <c r="J6964" s="10" t="s">
        <v>13067</v>
      </c>
      <c r="K6964" s="10">
        <v>413</v>
      </c>
      <c r="L6964" s="10" t="s">
        <v>33470</v>
      </c>
      <c r="M6964" s="10">
        <v>1</v>
      </c>
      <c r="N6964" s="10" t="s">
        <v>33264</v>
      </c>
      <c r="O6964" s="10">
        <v>15</v>
      </c>
      <c r="P6964" s="10" t="s">
        <v>19534</v>
      </c>
      <c r="Q6964" s="10"/>
      <c r="R6964" s="10" t="s">
        <v>33471</v>
      </c>
      <c r="S6964" s="10" t="s">
        <v>53</v>
      </c>
      <c r="T6964" s="10" t="s">
        <v>54</v>
      </c>
    </row>
    <row r="6965" spans="1:20" ht="14.5" x14ac:dyDescent="0.35">
      <c r="A6965" s="10" t="s">
        <v>33472</v>
      </c>
      <c r="B6965" s="10" t="str">
        <f>"9789462091504"</f>
        <v>9789462091504</v>
      </c>
      <c r="C6965" s="10" t="str">
        <f>"9789462091528"</f>
        <v>9789462091528</v>
      </c>
      <c r="D6965" s="10" t="s">
        <v>8564</v>
      </c>
      <c r="E6965" s="10" t="s">
        <v>13067</v>
      </c>
      <c r="F6965" s="10" t="s">
        <v>33250</v>
      </c>
      <c r="G6965" s="10" t="s">
        <v>9233</v>
      </c>
      <c r="H6965" s="11">
        <v>41275</v>
      </c>
      <c r="I6965" s="10">
        <v>2013</v>
      </c>
      <c r="J6965" s="10" t="s">
        <v>13067</v>
      </c>
      <c r="K6965" s="10">
        <v>186</v>
      </c>
      <c r="L6965" s="10" t="s">
        <v>33473</v>
      </c>
      <c r="M6965" s="10">
        <v>1</v>
      </c>
      <c r="N6965" s="10" t="s">
        <v>33264</v>
      </c>
      <c r="O6965" s="10">
        <v>21</v>
      </c>
      <c r="P6965" s="10" t="s">
        <v>19534</v>
      </c>
      <c r="Q6965" s="10"/>
      <c r="R6965" s="10" t="s">
        <v>33474</v>
      </c>
      <c r="S6965" s="10" t="s">
        <v>53</v>
      </c>
      <c r="T6965" s="10" t="s">
        <v>54</v>
      </c>
    </row>
    <row r="6966" spans="1:20" ht="14.5" x14ac:dyDescent="0.35">
      <c r="A6966" s="10" t="s">
        <v>33475</v>
      </c>
      <c r="B6966" s="10" t="str">
        <f>"9789462090842"</f>
        <v>9789462090842</v>
      </c>
      <c r="C6966" s="10" t="str">
        <f>"9789462090866"</f>
        <v>9789462090866</v>
      </c>
      <c r="D6966" s="10" t="s">
        <v>8564</v>
      </c>
      <c r="E6966" s="10" t="s">
        <v>13067</v>
      </c>
      <c r="F6966" s="10" t="s">
        <v>33250</v>
      </c>
      <c r="G6966" s="10" t="s">
        <v>9233</v>
      </c>
      <c r="H6966" s="11">
        <v>41275</v>
      </c>
      <c r="I6966" s="10">
        <v>2013</v>
      </c>
      <c r="J6966" s="10" t="s">
        <v>13067</v>
      </c>
      <c r="K6966" s="10">
        <v>242</v>
      </c>
      <c r="L6966" s="10" t="s">
        <v>33476</v>
      </c>
      <c r="M6966" s="10">
        <v>1</v>
      </c>
      <c r="N6966" s="10"/>
      <c r="O6966" s="10"/>
      <c r="P6966" s="10" t="s">
        <v>19534</v>
      </c>
      <c r="Q6966" s="10">
        <v>371.33095957</v>
      </c>
      <c r="R6966" s="10" t="s">
        <v>33477</v>
      </c>
      <c r="S6966" s="10" t="s">
        <v>53</v>
      </c>
      <c r="T6966" s="10" t="s">
        <v>54</v>
      </c>
    </row>
    <row r="6967" spans="1:20" ht="14.5" x14ac:dyDescent="0.35">
      <c r="A6967" s="10" t="s">
        <v>33478</v>
      </c>
      <c r="B6967" s="10" t="str">
        <f>"9789462091801"</f>
        <v>9789462091801</v>
      </c>
      <c r="C6967" s="10" t="str">
        <f>"9789462091825"</f>
        <v>9789462091825</v>
      </c>
      <c r="D6967" s="10" t="s">
        <v>8564</v>
      </c>
      <c r="E6967" s="10" t="s">
        <v>13067</v>
      </c>
      <c r="F6967" s="10" t="s">
        <v>33250</v>
      </c>
      <c r="G6967" s="10" t="s">
        <v>9233</v>
      </c>
      <c r="H6967" s="11">
        <v>41275</v>
      </c>
      <c r="I6967" s="10">
        <v>2013</v>
      </c>
      <c r="J6967" s="10" t="s">
        <v>13067</v>
      </c>
      <c r="K6967" s="10">
        <v>238</v>
      </c>
      <c r="L6967" s="10" t="s">
        <v>33479</v>
      </c>
      <c r="M6967" s="10">
        <v>1</v>
      </c>
      <c r="N6967" s="10" t="s">
        <v>33307</v>
      </c>
      <c r="O6967" s="10">
        <v>20</v>
      </c>
      <c r="P6967" s="10" t="s">
        <v>19534</v>
      </c>
      <c r="Q6967" s="10">
        <v>371.54300000000001</v>
      </c>
      <c r="R6967" s="10" t="s">
        <v>33480</v>
      </c>
      <c r="S6967" s="10" t="s">
        <v>53</v>
      </c>
      <c r="T6967" s="10" t="s">
        <v>54</v>
      </c>
    </row>
    <row r="6968" spans="1:20" ht="14.5" x14ac:dyDescent="0.35">
      <c r="A6968" s="10" t="s">
        <v>33481</v>
      </c>
      <c r="B6968" s="10" t="str">
        <f>"9789462091443"</f>
        <v>9789462091443</v>
      </c>
      <c r="C6968" s="10" t="str">
        <f>"9789462091467"</f>
        <v>9789462091467</v>
      </c>
      <c r="D6968" s="10" t="s">
        <v>8564</v>
      </c>
      <c r="E6968" s="10" t="s">
        <v>13067</v>
      </c>
      <c r="F6968" s="10" t="s">
        <v>33250</v>
      </c>
      <c r="G6968" s="10" t="s">
        <v>9233</v>
      </c>
      <c r="H6968" s="11">
        <v>41275</v>
      </c>
      <c r="I6968" s="10">
        <v>2013</v>
      </c>
      <c r="J6968" s="10" t="s">
        <v>13067</v>
      </c>
      <c r="K6968" s="10">
        <v>140</v>
      </c>
      <c r="L6968" s="10" t="s">
        <v>33482</v>
      </c>
      <c r="M6968" s="10">
        <v>1</v>
      </c>
      <c r="N6968" s="10" t="s">
        <v>33414</v>
      </c>
      <c r="O6968" s="10">
        <v>11</v>
      </c>
      <c r="P6968" s="10" t="s">
        <v>19534</v>
      </c>
      <c r="Q6968" s="10"/>
      <c r="R6968" s="10" t="s">
        <v>33483</v>
      </c>
      <c r="S6968" s="10" t="s">
        <v>53</v>
      </c>
      <c r="T6968" s="10" t="s">
        <v>54</v>
      </c>
    </row>
    <row r="6969" spans="1:20" ht="14.5" x14ac:dyDescent="0.35">
      <c r="A6969" s="10" t="s">
        <v>33484</v>
      </c>
      <c r="B6969" s="10" t="str">
        <f>"9789462091474"</f>
        <v>9789462091474</v>
      </c>
      <c r="C6969" s="10" t="str">
        <f>"9789462091726"</f>
        <v>9789462091726</v>
      </c>
      <c r="D6969" s="10" t="s">
        <v>8564</v>
      </c>
      <c r="E6969" s="10" t="s">
        <v>8565</v>
      </c>
      <c r="F6969" s="10" t="s">
        <v>1420</v>
      </c>
      <c r="G6969" s="10" t="s">
        <v>6317</v>
      </c>
      <c r="H6969" s="11">
        <v>41275</v>
      </c>
      <c r="I6969" s="10">
        <v>2013</v>
      </c>
      <c r="J6969" s="10" t="s">
        <v>33259</v>
      </c>
      <c r="K6969" s="10">
        <v>178</v>
      </c>
      <c r="L6969" s="10" t="s">
        <v>33462</v>
      </c>
      <c r="M6969" s="10">
        <v>1</v>
      </c>
      <c r="N6969" s="10" t="s">
        <v>33485</v>
      </c>
      <c r="O6969" s="10">
        <v>3</v>
      </c>
      <c r="P6969" s="10" t="s">
        <v>33486</v>
      </c>
      <c r="Q6969" s="10"/>
      <c r="R6969" s="10" t="s">
        <v>33487</v>
      </c>
      <c r="S6969" s="10" t="s">
        <v>53</v>
      </c>
      <c r="T6969" s="10" t="s">
        <v>54</v>
      </c>
    </row>
    <row r="6970" spans="1:20" ht="14.5" x14ac:dyDescent="0.35">
      <c r="A6970" s="10" t="s">
        <v>33488</v>
      </c>
      <c r="B6970" s="10" t="str">
        <f>"9789462091290"</f>
        <v>9789462091290</v>
      </c>
      <c r="C6970" s="10" t="str">
        <f>"9789462091313"</f>
        <v>9789462091313</v>
      </c>
      <c r="D6970" s="10" t="s">
        <v>8564</v>
      </c>
      <c r="E6970" s="10" t="s">
        <v>13067</v>
      </c>
      <c r="F6970" s="10" t="s">
        <v>33250</v>
      </c>
      <c r="G6970" s="10" t="s">
        <v>9233</v>
      </c>
      <c r="H6970" s="11">
        <v>41275</v>
      </c>
      <c r="I6970" s="10">
        <v>2013</v>
      </c>
      <c r="J6970" s="10" t="s">
        <v>13067</v>
      </c>
      <c r="K6970" s="10">
        <v>178</v>
      </c>
      <c r="L6970" s="10" t="s">
        <v>33489</v>
      </c>
      <c r="M6970" s="10">
        <v>1</v>
      </c>
      <c r="N6970" s="10" t="s">
        <v>33307</v>
      </c>
      <c r="O6970" s="10">
        <v>17</v>
      </c>
      <c r="P6970" s="10" t="s">
        <v>19534</v>
      </c>
      <c r="Q6970" s="10"/>
      <c r="R6970" s="10" t="s">
        <v>33490</v>
      </c>
      <c r="S6970" s="10" t="s">
        <v>53</v>
      </c>
      <c r="T6970" s="10" t="s">
        <v>54</v>
      </c>
    </row>
    <row r="6971" spans="1:20" ht="14.5" x14ac:dyDescent="0.35">
      <c r="A6971" s="10" t="s">
        <v>33491</v>
      </c>
      <c r="B6971" s="10" t="str">
        <f>"9789462091177"</f>
        <v>9789462091177</v>
      </c>
      <c r="C6971" s="10" t="str">
        <f>"9789462091191"</f>
        <v>9789462091191</v>
      </c>
      <c r="D6971" s="10" t="s">
        <v>8564</v>
      </c>
      <c r="E6971" s="10" t="s">
        <v>13067</v>
      </c>
      <c r="F6971" s="10" t="s">
        <v>33250</v>
      </c>
      <c r="G6971" s="10" t="s">
        <v>9233</v>
      </c>
      <c r="H6971" s="11">
        <v>41275</v>
      </c>
      <c r="I6971" s="10">
        <v>2013</v>
      </c>
      <c r="J6971" s="10" t="s">
        <v>13067</v>
      </c>
      <c r="K6971" s="10">
        <v>150</v>
      </c>
      <c r="L6971" s="10" t="s">
        <v>33492</v>
      </c>
      <c r="M6971" s="10">
        <v>1</v>
      </c>
      <c r="N6971" s="10" t="s">
        <v>33325</v>
      </c>
      <c r="O6971" s="10">
        <v>93</v>
      </c>
      <c r="P6971" s="10" t="s">
        <v>19534</v>
      </c>
      <c r="Q6971" s="10"/>
      <c r="R6971" s="10" t="s">
        <v>33493</v>
      </c>
      <c r="S6971" s="10" t="s">
        <v>53</v>
      </c>
      <c r="T6971" s="10" t="s">
        <v>54</v>
      </c>
    </row>
    <row r="6972" spans="1:20" ht="14.5" x14ac:dyDescent="0.35">
      <c r="A6972" s="10" t="s">
        <v>33494</v>
      </c>
      <c r="B6972" s="10" t="str">
        <f>"9789462091597"</f>
        <v>9789462091597</v>
      </c>
      <c r="C6972" s="10" t="str">
        <f>"9789462091610"</f>
        <v>9789462091610</v>
      </c>
      <c r="D6972" s="10" t="s">
        <v>8564</v>
      </c>
      <c r="E6972" s="10" t="s">
        <v>13067</v>
      </c>
      <c r="F6972" s="10" t="s">
        <v>33250</v>
      </c>
      <c r="G6972" s="10" t="s">
        <v>9233</v>
      </c>
      <c r="H6972" s="11">
        <v>40909</v>
      </c>
      <c r="I6972" s="10">
        <v>2012</v>
      </c>
      <c r="J6972" s="10" t="s">
        <v>13067</v>
      </c>
      <c r="K6972" s="10">
        <v>270</v>
      </c>
      <c r="L6972" s="10" t="s">
        <v>33495</v>
      </c>
      <c r="M6972" s="10">
        <v>1</v>
      </c>
      <c r="N6972" s="10" t="s">
        <v>33496</v>
      </c>
      <c r="O6972" s="10">
        <v>10</v>
      </c>
      <c r="P6972" s="10" t="s">
        <v>19534</v>
      </c>
      <c r="Q6972" s="10"/>
      <c r="R6972" s="10" t="s">
        <v>33497</v>
      </c>
      <c r="S6972" s="10" t="s">
        <v>53</v>
      </c>
      <c r="T6972" s="10" t="s">
        <v>54</v>
      </c>
    </row>
    <row r="6973" spans="1:20" ht="14.5" x14ac:dyDescent="0.35">
      <c r="A6973" s="10" t="s">
        <v>33498</v>
      </c>
      <c r="B6973" s="10" t="str">
        <f>"9789462091238"</f>
        <v>9789462091238</v>
      </c>
      <c r="C6973" s="10" t="str">
        <f>"9789462091252"</f>
        <v>9789462091252</v>
      </c>
      <c r="D6973" s="10" t="s">
        <v>8564</v>
      </c>
      <c r="E6973" s="10" t="s">
        <v>13067</v>
      </c>
      <c r="F6973" s="10" t="s">
        <v>33250</v>
      </c>
      <c r="G6973" s="10" t="s">
        <v>9233</v>
      </c>
      <c r="H6973" s="11">
        <v>41275</v>
      </c>
      <c r="I6973" s="10">
        <v>2013</v>
      </c>
      <c r="J6973" s="10" t="s">
        <v>13067</v>
      </c>
      <c r="K6973" s="10">
        <v>253</v>
      </c>
      <c r="L6973" s="10" t="s">
        <v>33499</v>
      </c>
      <c r="M6973" s="10">
        <v>1</v>
      </c>
      <c r="N6973" s="10" t="s">
        <v>33264</v>
      </c>
      <c r="O6973" s="10">
        <v>1</v>
      </c>
      <c r="P6973" s="10" t="s">
        <v>19534</v>
      </c>
      <c r="Q6973" s="10"/>
      <c r="R6973" s="10"/>
      <c r="S6973" s="10" t="s">
        <v>53</v>
      </c>
      <c r="T6973" s="10" t="s">
        <v>54</v>
      </c>
    </row>
    <row r="6974" spans="1:20" ht="14.5" x14ac:dyDescent="0.35">
      <c r="A6974" s="10" t="s">
        <v>33500</v>
      </c>
      <c r="B6974" s="10" t="str">
        <f>"9789462091535"</f>
        <v>9789462091535</v>
      </c>
      <c r="C6974" s="10" t="str">
        <f>"9789462091559"</f>
        <v>9789462091559</v>
      </c>
      <c r="D6974" s="10" t="s">
        <v>8564</v>
      </c>
      <c r="E6974" s="10" t="s">
        <v>13067</v>
      </c>
      <c r="F6974" s="10" t="s">
        <v>33250</v>
      </c>
      <c r="G6974" s="10" t="s">
        <v>9233</v>
      </c>
      <c r="H6974" s="11">
        <v>41275</v>
      </c>
      <c r="I6974" s="10">
        <v>2013</v>
      </c>
      <c r="J6974" s="10" t="s">
        <v>13067</v>
      </c>
      <c r="K6974" s="10">
        <v>153</v>
      </c>
      <c r="L6974" s="10" t="s">
        <v>33501</v>
      </c>
      <c r="M6974" s="10">
        <v>1</v>
      </c>
      <c r="N6974" s="10" t="s">
        <v>33502</v>
      </c>
      <c r="O6974" s="10">
        <v>5</v>
      </c>
      <c r="P6974" s="10" t="s">
        <v>19534</v>
      </c>
      <c r="Q6974" s="10"/>
      <c r="R6974" s="10"/>
      <c r="S6974" s="10" t="s">
        <v>53</v>
      </c>
      <c r="T6974" s="10" t="s">
        <v>54</v>
      </c>
    </row>
    <row r="6975" spans="1:20" ht="14.5" x14ac:dyDescent="0.35">
      <c r="A6975" s="10" t="s">
        <v>33503</v>
      </c>
      <c r="B6975" s="10" t="str">
        <f>"9789462091023"</f>
        <v>9789462091023</v>
      </c>
      <c r="C6975" s="10" t="str">
        <f>"9789462091047"</f>
        <v>9789462091047</v>
      </c>
      <c r="D6975" s="10" t="s">
        <v>8564</v>
      </c>
      <c r="E6975" s="10" t="s">
        <v>8565</v>
      </c>
      <c r="F6975" s="10" t="s">
        <v>1420</v>
      </c>
      <c r="G6975" s="10" t="s">
        <v>6317</v>
      </c>
      <c r="H6975" s="11">
        <v>40909</v>
      </c>
      <c r="I6975" s="10">
        <v>2012</v>
      </c>
      <c r="J6975" s="10" t="s">
        <v>33259</v>
      </c>
      <c r="K6975" s="10">
        <v>278</v>
      </c>
      <c r="L6975" s="10" t="s">
        <v>33504</v>
      </c>
      <c r="M6975" s="10">
        <v>1</v>
      </c>
      <c r="N6975" s="10"/>
      <c r="O6975" s="10"/>
      <c r="P6975" s="10" t="s">
        <v>19534</v>
      </c>
      <c r="Q6975" s="10"/>
      <c r="R6975" s="10" t="s">
        <v>33505</v>
      </c>
      <c r="S6975" s="10" t="s">
        <v>53</v>
      </c>
      <c r="T6975" s="10" t="s">
        <v>54</v>
      </c>
    </row>
    <row r="6976" spans="1:20" ht="14.5" x14ac:dyDescent="0.35">
      <c r="A6976" s="10" t="s">
        <v>33506</v>
      </c>
      <c r="B6976" s="10" t="str">
        <f>"9789462090934"</f>
        <v>9789462090934</v>
      </c>
      <c r="C6976" s="10" t="str">
        <f>"9789462090958"</f>
        <v>9789462090958</v>
      </c>
      <c r="D6976" s="10" t="s">
        <v>8564</v>
      </c>
      <c r="E6976" s="10" t="s">
        <v>13067</v>
      </c>
      <c r="F6976" s="10" t="s">
        <v>33250</v>
      </c>
      <c r="G6976" s="10" t="s">
        <v>9233</v>
      </c>
      <c r="H6976" s="11">
        <v>40909</v>
      </c>
      <c r="I6976" s="10">
        <v>2012</v>
      </c>
      <c r="J6976" s="10" t="s">
        <v>13067</v>
      </c>
      <c r="K6976" s="10">
        <v>230</v>
      </c>
      <c r="L6976" s="10" t="s">
        <v>33507</v>
      </c>
      <c r="M6976" s="10">
        <v>1</v>
      </c>
      <c r="N6976" s="10"/>
      <c r="O6976" s="10"/>
      <c r="P6976" s="10" t="s">
        <v>19534</v>
      </c>
      <c r="Q6976" s="10"/>
      <c r="R6976" s="10" t="s">
        <v>33508</v>
      </c>
      <c r="S6976" s="10" t="s">
        <v>53</v>
      </c>
      <c r="T6976" s="10" t="s">
        <v>54</v>
      </c>
    </row>
    <row r="6977" spans="1:20" ht="14.5" x14ac:dyDescent="0.35">
      <c r="A6977" s="10" t="s">
        <v>33509</v>
      </c>
      <c r="B6977" s="10" t="str">
        <f>"9789462091771"</f>
        <v>9789462091771</v>
      </c>
      <c r="C6977" s="10" t="str">
        <f>"9789462091795"</f>
        <v>9789462091795</v>
      </c>
      <c r="D6977" s="10" t="s">
        <v>8564</v>
      </c>
      <c r="E6977" s="10" t="s">
        <v>13067</v>
      </c>
      <c r="F6977" s="10" t="s">
        <v>33250</v>
      </c>
      <c r="G6977" s="10" t="s">
        <v>9233</v>
      </c>
      <c r="H6977" s="11">
        <v>41275</v>
      </c>
      <c r="I6977" s="10">
        <v>2013</v>
      </c>
      <c r="J6977" s="10" t="s">
        <v>13067</v>
      </c>
      <c r="K6977" s="10">
        <v>119</v>
      </c>
      <c r="L6977" s="10" t="s">
        <v>33510</v>
      </c>
      <c r="M6977" s="10">
        <v>1</v>
      </c>
      <c r="N6977" s="10" t="s">
        <v>33307</v>
      </c>
      <c r="O6977" s="10">
        <v>19</v>
      </c>
      <c r="P6977" s="10" t="s">
        <v>19534</v>
      </c>
      <c r="Q6977" s="10"/>
      <c r="R6977" s="10"/>
      <c r="S6977" s="10" t="s">
        <v>53</v>
      </c>
      <c r="T6977" s="10" t="s">
        <v>54</v>
      </c>
    </row>
    <row r="6978" spans="1:20" ht="14.5" x14ac:dyDescent="0.35">
      <c r="A6978" s="10" t="s">
        <v>33511</v>
      </c>
      <c r="B6978" s="10" t="str">
        <f>"9789462090729"</f>
        <v>9789462090729</v>
      </c>
      <c r="C6978" s="10" t="str">
        <f>"9789462090743"</f>
        <v>9789462090743</v>
      </c>
      <c r="D6978" s="10" t="s">
        <v>8564</v>
      </c>
      <c r="E6978" s="10" t="s">
        <v>13067</v>
      </c>
      <c r="F6978" s="10" t="s">
        <v>33250</v>
      </c>
      <c r="G6978" s="10" t="s">
        <v>9233</v>
      </c>
      <c r="H6978" s="11">
        <v>40909</v>
      </c>
      <c r="I6978" s="10">
        <v>2012</v>
      </c>
      <c r="J6978" s="10" t="s">
        <v>13067</v>
      </c>
      <c r="K6978" s="10">
        <v>96</v>
      </c>
      <c r="L6978" s="10" t="s">
        <v>33512</v>
      </c>
      <c r="M6978" s="10">
        <v>1</v>
      </c>
      <c r="N6978" s="10" t="s">
        <v>33332</v>
      </c>
      <c r="O6978" s="10">
        <v>4</v>
      </c>
      <c r="P6978" s="10" t="s">
        <v>19534</v>
      </c>
      <c r="Q6978" s="10"/>
      <c r="R6978" s="10"/>
      <c r="S6978" s="10" t="s">
        <v>53</v>
      </c>
      <c r="T6978" s="10" t="s">
        <v>54</v>
      </c>
    </row>
    <row r="6979" spans="1:20" ht="14.5" x14ac:dyDescent="0.35">
      <c r="A6979" s="10" t="s">
        <v>33513</v>
      </c>
      <c r="B6979" s="10" t="str">
        <f>"9789462091320"</f>
        <v>9789462091320</v>
      </c>
      <c r="C6979" s="10" t="str">
        <f>"9789462091344"</f>
        <v>9789462091344</v>
      </c>
      <c r="D6979" s="10" t="s">
        <v>8564</v>
      </c>
      <c r="E6979" s="10" t="s">
        <v>13067</v>
      </c>
      <c r="F6979" s="10" t="s">
        <v>33250</v>
      </c>
      <c r="G6979" s="10" t="s">
        <v>9233</v>
      </c>
      <c r="H6979" s="11">
        <v>41275</v>
      </c>
      <c r="I6979" s="10">
        <v>2013</v>
      </c>
      <c r="J6979" s="10" t="s">
        <v>13067</v>
      </c>
      <c r="K6979" s="10">
        <v>193</v>
      </c>
      <c r="L6979" s="10" t="s">
        <v>33514</v>
      </c>
      <c r="M6979" s="10">
        <v>1</v>
      </c>
      <c r="N6979" s="10" t="s">
        <v>33307</v>
      </c>
      <c r="O6979" s="10">
        <v>18</v>
      </c>
      <c r="P6979" s="10" t="s">
        <v>19534</v>
      </c>
      <c r="Q6979" s="10"/>
      <c r="R6979" s="10"/>
      <c r="S6979" s="10" t="s">
        <v>53</v>
      </c>
      <c r="T6979" s="10" t="s">
        <v>54</v>
      </c>
    </row>
    <row r="6980" spans="1:20" ht="14.5" x14ac:dyDescent="0.35">
      <c r="A6980" s="10" t="s">
        <v>33515</v>
      </c>
      <c r="B6980" s="10" t="str">
        <f>"9789462091566"</f>
        <v>9789462091566</v>
      </c>
      <c r="C6980" s="10" t="str">
        <f>"9789462091580"</f>
        <v>9789462091580</v>
      </c>
      <c r="D6980" s="10" t="s">
        <v>8564</v>
      </c>
      <c r="E6980" s="10" t="s">
        <v>13067</v>
      </c>
      <c r="F6980" s="10" t="s">
        <v>33250</v>
      </c>
      <c r="G6980" s="10" t="s">
        <v>9233</v>
      </c>
      <c r="H6980" s="11">
        <v>41275</v>
      </c>
      <c r="I6980" s="10">
        <v>2013</v>
      </c>
      <c r="J6980" s="10" t="s">
        <v>13067</v>
      </c>
      <c r="K6980" s="10">
        <v>225</v>
      </c>
      <c r="L6980" s="10" t="s">
        <v>33516</v>
      </c>
      <c r="M6980" s="10">
        <v>1</v>
      </c>
      <c r="N6980" s="10"/>
      <c r="O6980" s="10"/>
      <c r="P6980" s="10" t="s">
        <v>19534</v>
      </c>
      <c r="Q6980" s="10"/>
      <c r="R6980" s="10" t="s">
        <v>33517</v>
      </c>
      <c r="S6980" s="10" t="s">
        <v>53</v>
      </c>
      <c r="T6980" s="10" t="s">
        <v>54</v>
      </c>
    </row>
    <row r="6981" spans="1:20" ht="14.5" x14ac:dyDescent="0.35">
      <c r="A6981" s="10" t="s">
        <v>33518</v>
      </c>
      <c r="B6981" s="10" t="str">
        <f>"9789462092136"</f>
        <v>9789462092136</v>
      </c>
      <c r="C6981" s="10" t="str">
        <f>"9789462092150"</f>
        <v>9789462092150</v>
      </c>
      <c r="D6981" s="10" t="s">
        <v>8564</v>
      </c>
      <c r="E6981" s="10" t="s">
        <v>13067</v>
      </c>
      <c r="F6981" s="10" t="s">
        <v>33250</v>
      </c>
      <c r="G6981" s="10" t="s">
        <v>9233</v>
      </c>
      <c r="H6981" s="11">
        <v>41275</v>
      </c>
      <c r="I6981" s="10">
        <v>2013</v>
      </c>
      <c r="J6981" s="10" t="s">
        <v>13067</v>
      </c>
      <c r="K6981" s="10">
        <v>119</v>
      </c>
      <c r="L6981" s="10" t="s">
        <v>33519</v>
      </c>
      <c r="M6981" s="10">
        <v>1</v>
      </c>
      <c r="N6981" s="10"/>
      <c r="O6981" s="10"/>
      <c r="P6981" s="10" t="s">
        <v>19534</v>
      </c>
      <c r="Q6981" s="10">
        <v>371.38409730000001</v>
      </c>
      <c r="R6981" s="10" t="s">
        <v>17739</v>
      </c>
      <c r="S6981" s="10" t="s">
        <v>53</v>
      </c>
      <c r="T6981" s="10" t="s">
        <v>54</v>
      </c>
    </row>
    <row r="6982" spans="1:20" ht="14.5" x14ac:dyDescent="0.35">
      <c r="A6982" s="10" t="s">
        <v>33520</v>
      </c>
      <c r="B6982" s="10" t="str">
        <f>"9789462090323"</f>
        <v>9789462090323</v>
      </c>
      <c r="C6982" s="10" t="str">
        <f>"9789462090347"</f>
        <v>9789462090347</v>
      </c>
      <c r="D6982" s="10" t="s">
        <v>8564</v>
      </c>
      <c r="E6982" s="10" t="s">
        <v>13067</v>
      </c>
      <c r="F6982" s="10" t="s">
        <v>33250</v>
      </c>
      <c r="G6982" s="10" t="s">
        <v>9233</v>
      </c>
      <c r="H6982" s="11">
        <v>40909</v>
      </c>
      <c r="I6982" s="10">
        <v>2013</v>
      </c>
      <c r="J6982" s="10" t="s">
        <v>13067</v>
      </c>
      <c r="K6982" s="10">
        <v>238</v>
      </c>
      <c r="L6982" s="10" t="s">
        <v>33521</v>
      </c>
      <c r="M6982" s="10">
        <v>1</v>
      </c>
      <c r="N6982" s="10" t="s">
        <v>33257</v>
      </c>
      <c r="O6982" s="10">
        <v>25</v>
      </c>
      <c r="P6982" s="10" t="s">
        <v>19534</v>
      </c>
      <c r="Q6982" s="10"/>
      <c r="R6982" s="10"/>
      <c r="S6982" s="10" t="s">
        <v>53</v>
      </c>
      <c r="T6982" s="10" t="s">
        <v>54</v>
      </c>
    </row>
    <row r="6983" spans="1:20" ht="14.5" x14ac:dyDescent="0.35">
      <c r="A6983" s="10" t="s">
        <v>33522</v>
      </c>
      <c r="B6983" s="10" t="str">
        <f>"9789462091986"</f>
        <v>9789462091986</v>
      </c>
      <c r="C6983" s="10" t="str">
        <f>"9789462092006"</f>
        <v>9789462092006</v>
      </c>
      <c r="D6983" s="10" t="s">
        <v>8564</v>
      </c>
      <c r="E6983" s="10" t="s">
        <v>13067</v>
      </c>
      <c r="F6983" s="10" t="s">
        <v>33250</v>
      </c>
      <c r="G6983" s="10" t="s">
        <v>9233</v>
      </c>
      <c r="H6983" s="11">
        <v>41275</v>
      </c>
      <c r="I6983" s="10">
        <v>2013</v>
      </c>
      <c r="J6983" s="10" t="s">
        <v>13067</v>
      </c>
      <c r="K6983" s="10">
        <v>226</v>
      </c>
      <c r="L6983" s="10" t="s">
        <v>33523</v>
      </c>
      <c r="M6983" s="10">
        <v>1</v>
      </c>
      <c r="N6983" s="10"/>
      <c r="O6983" s="10"/>
      <c r="P6983" s="10" t="s">
        <v>19534</v>
      </c>
      <c r="Q6983" s="10">
        <v>372.6044</v>
      </c>
      <c r="R6983" s="10" t="s">
        <v>33524</v>
      </c>
      <c r="S6983" s="10" t="s">
        <v>53</v>
      </c>
      <c r="T6983" s="10" t="s">
        <v>54</v>
      </c>
    </row>
    <row r="6984" spans="1:20" ht="14.5" x14ac:dyDescent="0.35">
      <c r="A6984" s="10" t="s">
        <v>33525</v>
      </c>
      <c r="B6984" s="10" t="str">
        <f>"9789462092013"</f>
        <v>9789462092013</v>
      </c>
      <c r="C6984" s="10" t="str">
        <f>"9789462092037"</f>
        <v>9789462092037</v>
      </c>
      <c r="D6984" s="10" t="s">
        <v>8564</v>
      </c>
      <c r="E6984" s="10" t="s">
        <v>13067</v>
      </c>
      <c r="F6984" s="10" t="s">
        <v>33250</v>
      </c>
      <c r="G6984" s="10" t="s">
        <v>9233</v>
      </c>
      <c r="H6984" s="11">
        <v>41275</v>
      </c>
      <c r="I6984" s="10">
        <v>2013</v>
      </c>
      <c r="J6984" s="10" t="s">
        <v>13067</v>
      </c>
      <c r="K6984" s="10">
        <v>217</v>
      </c>
      <c r="L6984" s="10" t="s">
        <v>33526</v>
      </c>
      <c r="M6984" s="10">
        <v>1</v>
      </c>
      <c r="N6984" s="10"/>
      <c r="O6984" s="10"/>
      <c r="P6984" s="10" t="s">
        <v>19534</v>
      </c>
      <c r="Q6984" s="10"/>
      <c r="R6984" s="10" t="s">
        <v>33248</v>
      </c>
      <c r="S6984" s="10" t="s">
        <v>53</v>
      </c>
      <c r="T6984" s="10" t="s">
        <v>54</v>
      </c>
    </row>
    <row r="6985" spans="1:20" ht="14.5" x14ac:dyDescent="0.35">
      <c r="A6985" s="10" t="s">
        <v>33527</v>
      </c>
      <c r="B6985" s="10" t="str">
        <f>"9789462092044"</f>
        <v>9789462092044</v>
      </c>
      <c r="C6985" s="10" t="str">
        <f>"9789462092068"</f>
        <v>9789462092068</v>
      </c>
      <c r="D6985" s="10" t="s">
        <v>8564</v>
      </c>
      <c r="E6985" s="10" t="s">
        <v>8565</v>
      </c>
      <c r="F6985" s="10" t="s">
        <v>33250</v>
      </c>
      <c r="G6985" s="10" t="s">
        <v>9233</v>
      </c>
      <c r="H6985" s="11">
        <v>41275</v>
      </c>
      <c r="I6985" s="10">
        <v>2013</v>
      </c>
      <c r="J6985" s="10" t="s">
        <v>33528</v>
      </c>
      <c r="K6985" s="10">
        <v>245</v>
      </c>
      <c r="L6985" s="10" t="s">
        <v>33529</v>
      </c>
      <c r="M6985" s="10">
        <v>1</v>
      </c>
      <c r="N6985" s="10"/>
      <c r="O6985" s="10"/>
      <c r="P6985" s="10" t="s">
        <v>19534</v>
      </c>
      <c r="Q6985" s="10"/>
      <c r="R6985" s="10" t="s">
        <v>33530</v>
      </c>
      <c r="S6985" s="10" t="s">
        <v>53</v>
      </c>
      <c r="T6985" s="10" t="s">
        <v>54</v>
      </c>
    </row>
    <row r="6986" spans="1:20" ht="14.5" x14ac:dyDescent="0.35">
      <c r="A6986" s="10" t="s">
        <v>33531</v>
      </c>
      <c r="B6986" s="10" t="str">
        <f>"9789462092075"</f>
        <v>9789462092075</v>
      </c>
      <c r="C6986" s="10" t="str">
        <f>"9789462092099"</f>
        <v>9789462092099</v>
      </c>
      <c r="D6986" s="10" t="s">
        <v>8564</v>
      </c>
      <c r="E6986" s="10" t="s">
        <v>8565</v>
      </c>
      <c r="F6986" s="10" t="s">
        <v>1420</v>
      </c>
      <c r="G6986" s="10" t="s">
        <v>6317</v>
      </c>
      <c r="H6986" s="11">
        <v>41275</v>
      </c>
      <c r="I6986" s="10">
        <v>2013</v>
      </c>
      <c r="J6986" s="10" t="s">
        <v>33259</v>
      </c>
      <c r="K6986" s="10">
        <v>218</v>
      </c>
      <c r="L6986" s="10" t="s">
        <v>33532</v>
      </c>
      <c r="M6986" s="10">
        <v>1</v>
      </c>
      <c r="N6986" s="10" t="s">
        <v>33533</v>
      </c>
      <c r="O6986" s="10">
        <v>5</v>
      </c>
      <c r="P6986" s="10" t="s">
        <v>19534</v>
      </c>
      <c r="Q6986" s="10"/>
      <c r="R6986" s="10"/>
      <c r="S6986" s="10" t="s">
        <v>53</v>
      </c>
      <c r="T6986" s="10" t="s">
        <v>54</v>
      </c>
    </row>
    <row r="6987" spans="1:20" ht="14.5" x14ac:dyDescent="0.35">
      <c r="A6987" s="10" t="s">
        <v>33534</v>
      </c>
      <c r="B6987" s="10" t="str">
        <f>"9789462091689"</f>
        <v>9789462091689</v>
      </c>
      <c r="C6987" s="10" t="str">
        <f>"9789462091702"</f>
        <v>9789462091702</v>
      </c>
      <c r="D6987" s="10" t="s">
        <v>8564</v>
      </c>
      <c r="E6987" s="10" t="s">
        <v>8565</v>
      </c>
      <c r="F6987" s="10" t="s">
        <v>33250</v>
      </c>
      <c r="G6987" s="10" t="s">
        <v>9233</v>
      </c>
      <c r="H6987" s="11">
        <v>41275</v>
      </c>
      <c r="I6987" s="10">
        <v>2013</v>
      </c>
      <c r="J6987" s="10" t="s">
        <v>33259</v>
      </c>
      <c r="K6987" s="10">
        <v>253</v>
      </c>
      <c r="L6987" s="10" t="s">
        <v>33535</v>
      </c>
      <c r="M6987" s="10">
        <v>1</v>
      </c>
      <c r="N6987" s="10"/>
      <c r="O6987" s="10"/>
      <c r="P6987" s="10" t="s">
        <v>19534</v>
      </c>
      <c r="Q6987" s="10"/>
      <c r="R6987" s="10" t="s">
        <v>13858</v>
      </c>
      <c r="S6987" s="10" t="s">
        <v>53</v>
      </c>
      <c r="T6987" s="10" t="s">
        <v>54</v>
      </c>
    </row>
    <row r="6988" spans="1:20" ht="14.5" x14ac:dyDescent="0.35">
      <c r="A6988" s="10" t="s">
        <v>33536</v>
      </c>
      <c r="B6988" s="10" t="str">
        <f>"9789462091832"</f>
        <v>9789462091832</v>
      </c>
      <c r="C6988" s="10" t="str">
        <f>"9789462091856"</f>
        <v>9789462091856</v>
      </c>
      <c r="D6988" s="10" t="s">
        <v>8564</v>
      </c>
      <c r="E6988" s="10" t="s">
        <v>13067</v>
      </c>
      <c r="F6988" s="10" t="s">
        <v>33250</v>
      </c>
      <c r="G6988" s="10" t="s">
        <v>9233</v>
      </c>
      <c r="H6988" s="11">
        <v>41275</v>
      </c>
      <c r="I6988" s="10">
        <v>2013</v>
      </c>
      <c r="J6988" s="10" t="s">
        <v>13067</v>
      </c>
      <c r="K6988" s="10">
        <v>229</v>
      </c>
      <c r="L6988" s="10" t="s">
        <v>33537</v>
      </c>
      <c r="M6988" s="10">
        <v>1</v>
      </c>
      <c r="N6988" s="10"/>
      <c r="O6988" s="10"/>
      <c r="P6988" s="10" t="s">
        <v>19534</v>
      </c>
      <c r="Q6988" s="10"/>
      <c r="R6988" s="10" t="s">
        <v>33538</v>
      </c>
      <c r="S6988" s="10" t="s">
        <v>53</v>
      </c>
      <c r="T6988" s="10" t="s">
        <v>54</v>
      </c>
    </row>
    <row r="6989" spans="1:20" ht="14.5" x14ac:dyDescent="0.35">
      <c r="A6989" s="10" t="s">
        <v>33539</v>
      </c>
      <c r="B6989" s="10" t="str">
        <f>"9789460918650"</f>
        <v>9789460918650</v>
      </c>
      <c r="C6989" s="10" t="str">
        <f>"9789460918674"</f>
        <v>9789460918674</v>
      </c>
      <c r="D6989" s="10" t="s">
        <v>8564</v>
      </c>
      <c r="E6989" s="10" t="s">
        <v>13067</v>
      </c>
      <c r="F6989" s="10" t="s">
        <v>33250</v>
      </c>
      <c r="G6989" s="10" t="s">
        <v>9233</v>
      </c>
      <c r="H6989" s="11">
        <v>41275</v>
      </c>
      <c r="I6989" s="10">
        <v>2013</v>
      </c>
      <c r="J6989" s="10" t="s">
        <v>13067</v>
      </c>
      <c r="K6989" s="10">
        <v>242</v>
      </c>
      <c r="L6989" s="10" t="s">
        <v>33540</v>
      </c>
      <c r="M6989" s="10">
        <v>1</v>
      </c>
      <c r="N6989" s="10" t="s">
        <v>33541</v>
      </c>
      <c r="O6989" s="10">
        <v>1</v>
      </c>
      <c r="P6989" s="10" t="s">
        <v>19534</v>
      </c>
      <c r="Q6989" s="10"/>
      <c r="R6989" s="10"/>
      <c r="S6989" s="10" t="s">
        <v>53</v>
      </c>
      <c r="T6989" s="10" t="s">
        <v>54</v>
      </c>
    </row>
    <row r="6990" spans="1:20" ht="14.5" x14ac:dyDescent="0.35">
      <c r="A6990" s="10" t="s">
        <v>33542</v>
      </c>
      <c r="B6990" s="10" t="str">
        <f>"9789462092280"</f>
        <v>9789462092280</v>
      </c>
      <c r="C6990" s="10" t="str">
        <f>"9789462092303"</f>
        <v>9789462092303</v>
      </c>
      <c r="D6990" s="10" t="s">
        <v>8564</v>
      </c>
      <c r="E6990" s="10" t="s">
        <v>8565</v>
      </c>
      <c r="F6990" s="10" t="s">
        <v>1420</v>
      </c>
      <c r="G6990" s="10" t="s">
        <v>6317</v>
      </c>
      <c r="H6990" s="11">
        <v>41275</v>
      </c>
      <c r="I6990" s="10">
        <v>2013</v>
      </c>
      <c r="J6990" s="10" t="s">
        <v>33259</v>
      </c>
      <c r="K6990" s="10">
        <v>320</v>
      </c>
      <c r="L6990" s="10" t="s">
        <v>33543</v>
      </c>
      <c r="M6990" s="10">
        <v>1</v>
      </c>
      <c r="N6990" s="10"/>
      <c r="O6990" s="10"/>
      <c r="P6990" s="10" t="s">
        <v>19534</v>
      </c>
      <c r="Q6990" s="10"/>
      <c r="R6990" s="10" t="s">
        <v>33544</v>
      </c>
      <c r="S6990" s="10" t="s">
        <v>53</v>
      </c>
      <c r="T6990" s="10" t="s">
        <v>54</v>
      </c>
    </row>
    <row r="6991" spans="1:20" ht="14.5" x14ac:dyDescent="0.35">
      <c r="A6991" s="10" t="s">
        <v>33545</v>
      </c>
      <c r="B6991" s="10" t="str">
        <f>"9789462092341"</f>
        <v>9789462092341</v>
      </c>
      <c r="C6991" s="10" t="str">
        <f>"9789462091498"</f>
        <v>9789462091498</v>
      </c>
      <c r="D6991" s="10" t="s">
        <v>8564</v>
      </c>
      <c r="E6991" s="10" t="s">
        <v>13067</v>
      </c>
      <c r="F6991" s="10" t="s">
        <v>33250</v>
      </c>
      <c r="G6991" s="10" t="s">
        <v>9233</v>
      </c>
      <c r="H6991" s="11">
        <v>41275</v>
      </c>
      <c r="I6991" s="10">
        <v>2013</v>
      </c>
      <c r="J6991" s="10" t="s">
        <v>13067</v>
      </c>
      <c r="K6991" s="10">
        <v>276</v>
      </c>
      <c r="L6991" s="10" t="s">
        <v>33546</v>
      </c>
      <c r="M6991" s="10">
        <v>1</v>
      </c>
      <c r="N6991" s="10" t="s">
        <v>33435</v>
      </c>
      <c r="O6991" s="10">
        <v>5</v>
      </c>
      <c r="P6991" s="10" t="s">
        <v>19534</v>
      </c>
      <c r="Q6991" s="10"/>
      <c r="R6991" s="10"/>
      <c r="S6991" s="10" t="s">
        <v>53</v>
      </c>
      <c r="T6991" s="10" t="s">
        <v>54</v>
      </c>
    </row>
    <row r="6992" spans="1:20" ht="14.5" x14ac:dyDescent="0.35">
      <c r="A6992" s="10" t="s">
        <v>33547</v>
      </c>
      <c r="B6992" s="10" t="str">
        <f>"9789462091382"</f>
        <v>9789462091382</v>
      </c>
      <c r="C6992" s="10" t="str">
        <f>"9789462091405"</f>
        <v>9789462091405</v>
      </c>
      <c r="D6992" s="10" t="s">
        <v>8564</v>
      </c>
      <c r="E6992" s="10" t="s">
        <v>13067</v>
      </c>
      <c r="F6992" s="10" t="s">
        <v>33250</v>
      </c>
      <c r="G6992" s="10" t="s">
        <v>9233</v>
      </c>
      <c r="H6992" s="11">
        <v>41275</v>
      </c>
      <c r="I6992" s="10">
        <v>2013</v>
      </c>
      <c r="J6992" s="10" t="s">
        <v>13067</v>
      </c>
      <c r="K6992" s="10">
        <v>350</v>
      </c>
      <c r="L6992" s="10" t="s">
        <v>33548</v>
      </c>
      <c r="M6992" s="10">
        <v>1</v>
      </c>
      <c r="N6992" s="10"/>
      <c r="O6992" s="10"/>
      <c r="P6992" s="10" t="s">
        <v>19534</v>
      </c>
      <c r="Q6992" s="10"/>
      <c r="R6992" s="10" t="s">
        <v>33549</v>
      </c>
      <c r="S6992" s="10" t="s">
        <v>53</v>
      </c>
      <c r="T6992" s="10" t="s">
        <v>54</v>
      </c>
    </row>
    <row r="6993" spans="1:20" ht="14.5" x14ac:dyDescent="0.35">
      <c r="A6993" s="10" t="s">
        <v>33550</v>
      </c>
      <c r="B6993" s="10" t="str">
        <f>"9789462091412"</f>
        <v>9789462091412</v>
      </c>
      <c r="C6993" s="10" t="str">
        <f>"9789462091436"</f>
        <v>9789462091436</v>
      </c>
      <c r="D6993" s="10" t="s">
        <v>8564</v>
      </c>
      <c r="E6993" s="10" t="s">
        <v>13067</v>
      </c>
      <c r="F6993" s="10" t="s">
        <v>33250</v>
      </c>
      <c r="G6993" s="10" t="s">
        <v>9233</v>
      </c>
      <c r="H6993" s="11">
        <v>41275</v>
      </c>
      <c r="I6993" s="10">
        <v>2013</v>
      </c>
      <c r="J6993" s="10" t="s">
        <v>13067</v>
      </c>
      <c r="K6993" s="10">
        <v>222</v>
      </c>
      <c r="L6993" s="10" t="s">
        <v>33551</v>
      </c>
      <c r="M6993" s="10">
        <v>2</v>
      </c>
      <c r="N6993" s="10"/>
      <c r="O6993" s="10"/>
      <c r="P6993" s="10" t="s">
        <v>19534</v>
      </c>
      <c r="Q6993" s="10"/>
      <c r="R6993" s="10"/>
      <c r="S6993" s="10" t="s">
        <v>53</v>
      </c>
      <c r="T6993" s="10" t="s">
        <v>54</v>
      </c>
    </row>
    <row r="6994" spans="1:20" ht="14.5" x14ac:dyDescent="0.35">
      <c r="A6994" s="10" t="s">
        <v>33552</v>
      </c>
      <c r="B6994" s="10" t="str">
        <f>"9789462092167"</f>
        <v>9789462092167</v>
      </c>
      <c r="C6994" s="10" t="str">
        <f>"9789462092181"</f>
        <v>9789462092181</v>
      </c>
      <c r="D6994" s="10" t="s">
        <v>8564</v>
      </c>
      <c r="E6994" s="10" t="s">
        <v>13067</v>
      </c>
      <c r="F6994" s="10" t="s">
        <v>33250</v>
      </c>
      <c r="G6994" s="10" t="s">
        <v>9233</v>
      </c>
      <c r="H6994" s="11">
        <v>41275</v>
      </c>
      <c r="I6994" s="10">
        <v>2013</v>
      </c>
      <c r="J6994" s="10" t="s">
        <v>13067</v>
      </c>
      <c r="K6994" s="10">
        <v>314</v>
      </c>
      <c r="L6994" s="10" t="s">
        <v>33553</v>
      </c>
      <c r="M6994" s="10">
        <v>1</v>
      </c>
      <c r="N6994" s="10" t="s">
        <v>33264</v>
      </c>
      <c r="O6994" s="10">
        <v>1</v>
      </c>
      <c r="P6994" s="10" t="s">
        <v>19534</v>
      </c>
      <c r="Q6994" s="10"/>
      <c r="R6994" s="10" t="s">
        <v>33554</v>
      </c>
      <c r="S6994" s="10" t="s">
        <v>53</v>
      </c>
      <c r="T6994" s="10" t="s">
        <v>54</v>
      </c>
    </row>
    <row r="6995" spans="1:20" ht="14.5" x14ac:dyDescent="0.35">
      <c r="A6995" s="10" t="s">
        <v>33555</v>
      </c>
      <c r="B6995" s="10" t="str">
        <f>"9789462092389"</f>
        <v>9789462092389</v>
      </c>
      <c r="C6995" s="10" t="str">
        <f>"9789462092402"</f>
        <v>9789462092402</v>
      </c>
      <c r="D6995" s="10" t="s">
        <v>8564</v>
      </c>
      <c r="E6995" s="10" t="s">
        <v>8565</v>
      </c>
      <c r="F6995" s="10" t="s">
        <v>33250</v>
      </c>
      <c r="G6995" s="10" t="s">
        <v>9233</v>
      </c>
      <c r="H6995" s="11">
        <v>41275</v>
      </c>
      <c r="I6995" s="10">
        <v>2013</v>
      </c>
      <c r="J6995" s="10" t="s">
        <v>33528</v>
      </c>
      <c r="K6995" s="10">
        <v>339</v>
      </c>
      <c r="L6995" s="10" t="s">
        <v>33556</v>
      </c>
      <c r="M6995" s="10">
        <v>1</v>
      </c>
      <c r="N6995" s="10"/>
      <c r="O6995" s="10"/>
      <c r="P6995" s="10" t="s">
        <v>19534</v>
      </c>
      <c r="Q6995" s="10"/>
      <c r="R6995" s="10" t="s">
        <v>33311</v>
      </c>
      <c r="S6995" s="10" t="s">
        <v>53</v>
      </c>
      <c r="T6995" s="10" t="s">
        <v>54</v>
      </c>
    </row>
    <row r="6996" spans="1:20" ht="14.5" x14ac:dyDescent="0.35">
      <c r="A6996" s="10" t="s">
        <v>33557</v>
      </c>
      <c r="B6996" s="10" t="str">
        <f>"9789462092525"</f>
        <v>9789462092525</v>
      </c>
      <c r="C6996" s="10" t="str">
        <f>"9789462092549"</f>
        <v>9789462092549</v>
      </c>
      <c r="D6996" s="10" t="s">
        <v>8564</v>
      </c>
      <c r="E6996" s="10" t="s">
        <v>13067</v>
      </c>
      <c r="F6996" s="10" t="s">
        <v>33250</v>
      </c>
      <c r="G6996" s="10" t="s">
        <v>9233</v>
      </c>
      <c r="H6996" s="11">
        <v>41275</v>
      </c>
      <c r="I6996" s="10">
        <v>2013</v>
      </c>
      <c r="J6996" s="10" t="s">
        <v>13067</v>
      </c>
      <c r="K6996" s="10">
        <v>194</v>
      </c>
      <c r="L6996" s="10" t="s">
        <v>33558</v>
      </c>
      <c r="M6996" s="10">
        <v>1</v>
      </c>
      <c r="N6996" s="10" t="s">
        <v>33291</v>
      </c>
      <c r="O6996" s="10">
        <v>1</v>
      </c>
      <c r="P6996" s="10" t="s">
        <v>19534</v>
      </c>
      <c r="Q6996" s="10"/>
      <c r="R6996" s="10" t="s">
        <v>33559</v>
      </c>
      <c r="S6996" s="10" t="s">
        <v>53</v>
      </c>
      <c r="T6996" s="10" t="s">
        <v>54</v>
      </c>
    </row>
    <row r="6997" spans="1:20" ht="14.5" x14ac:dyDescent="0.35">
      <c r="A6997" s="10" t="s">
        <v>33560</v>
      </c>
      <c r="B6997" s="10" t="str">
        <f>"9789462092471"</f>
        <v>9789462092471</v>
      </c>
      <c r="C6997" s="10" t="str">
        <f>"9789462092488"</f>
        <v>9789462092488</v>
      </c>
      <c r="D6997" s="10" t="s">
        <v>8564</v>
      </c>
      <c r="E6997" s="10" t="s">
        <v>13067</v>
      </c>
      <c r="F6997" s="10" t="s">
        <v>33250</v>
      </c>
      <c r="G6997" s="10" t="s">
        <v>9233</v>
      </c>
      <c r="H6997" s="11">
        <v>41275</v>
      </c>
      <c r="I6997" s="10">
        <v>2013</v>
      </c>
      <c r="J6997" s="10" t="s">
        <v>13067</v>
      </c>
      <c r="K6997" s="10">
        <v>140</v>
      </c>
      <c r="L6997" s="10" t="s">
        <v>33561</v>
      </c>
      <c r="M6997" s="10">
        <v>1</v>
      </c>
      <c r="N6997" s="10" t="s">
        <v>33381</v>
      </c>
      <c r="O6997" s="10">
        <v>1</v>
      </c>
      <c r="P6997" s="10" t="s">
        <v>19534</v>
      </c>
      <c r="Q6997" s="10"/>
      <c r="R6997" s="10" t="s">
        <v>33562</v>
      </c>
      <c r="S6997" s="10" t="s">
        <v>53</v>
      </c>
      <c r="T6997" s="10" t="s">
        <v>54</v>
      </c>
    </row>
    <row r="6998" spans="1:20" ht="14.5" x14ac:dyDescent="0.35">
      <c r="A6998" s="10" t="s">
        <v>33563</v>
      </c>
      <c r="B6998" s="10" t="str">
        <f>"9789462092617"</f>
        <v>9789462092617</v>
      </c>
      <c r="C6998" s="10" t="str">
        <f>"9789462092631"</f>
        <v>9789462092631</v>
      </c>
      <c r="D6998" s="10" t="s">
        <v>8564</v>
      </c>
      <c r="E6998" s="10" t="s">
        <v>13067</v>
      </c>
      <c r="F6998" s="10" t="s">
        <v>33250</v>
      </c>
      <c r="G6998" s="10" t="s">
        <v>9233</v>
      </c>
      <c r="H6998" s="11">
        <v>41275</v>
      </c>
      <c r="I6998" s="10">
        <v>2013</v>
      </c>
      <c r="J6998" s="10" t="s">
        <v>13067</v>
      </c>
      <c r="K6998" s="10">
        <v>196</v>
      </c>
      <c r="L6998" s="10" t="s">
        <v>33564</v>
      </c>
      <c r="M6998" s="10">
        <v>1</v>
      </c>
      <c r="N6998" s="10"/>
      <c r="O6998" s="10"/>
      <c r="P6998" s="10" t="s">
        <v>19534</v>
      </c>
      <c r="Q6998" s="10"/>
      <c r="R6998" s="10" t="s">
        <v>33565</v>
      </c>
      <c r="S6998" s="10" t="s">
        <v>53</v>
      </c>
      <c r="T6998" s="10" t="s">
        <v>54</v>
      </c>
    </row>
    <row r="6999" spans="1:20" ht="14.5" x14ac:dyDescent="0.35">
      <c r="A6999" s="10" t="s">
        <v>33566</v>
      </c>
      <c r="B6999" s="10" t="str">
        <f>"9789462092495"</f>
        <v>9789462092495</v>
      </c>
      <c r="C6999" s="10" t="str">
        <f>"9789462092518"</f>
        <v>9789462092518</v>
      </c>
      <c r="D6999" s="10" t="s">
        <v>8564</v>
      </c>
      <c r="E6999" s="10" t="s">
        <v>13067</v>
      </c>
      <c r="F6999" s="10" t="s">
        <v>33250</v>
      </c>
      <c r="G6999" s="10" t="s">
        <v>9233</v>
      </c>
      <c r="H6999" s="11">
        <v>41275</v>
      </c>
      <c r="I6999" s="10">
        <v>2013</v>
      </c>
      <c r="J6999" s="10" t="s">
        <v>13067</v>
      </c>
      <c r="K6999" s="10">
        <v>233</v>
      </c>
      <c r="L6999" s="10" t="s">
        <v>33558</v>
      </c>
      <c r="M6999" s="10">
        <v>1</v>
      </c>
      <c r="N6999" s="10" t="s">
        <v>33291</v>
      </c>
      <c r="O6999" s="10">
        <v>1</v>
      </c>
      <c r="P6999" s="10" t="s">
        <v>19534</v>
      </c>
      <c r="Q6999" s="10"/>
      <c r="R6999" s="10" t="s">
        <v>33567</v>
      </c>
      <c r="S6999" s="10" t="s">
        <v>53</v>
      </c>
      <c r="T6999" s="10" t="s">
        <v>54</v>
      </c>
    </row>
    <row r="7000" spans="1:20" ht="14.5" x14ac:dyDescent="0.35">
      <c r="A7000" s="10" t="s">
        <v>33568</v>
      </c>
      <c r="B7000" s="10" t="str">
        <f>"9789462091894"</f>
        <v>9789462091894</v>
      </c>
      <c r="C7000" s="10" t="str">
        <f>"9789462091917"</f>
        <v>9789462091917</v>
      </c>
      <c r="D7000" s="10" t="s">
        <v>8564</v>
      </c>
      <c r="E7000" s="10" t="s">
        <v>13067</v>
      </c>
      <c r="F7000" s="10" t="s">
        <v>33250</v>
      </c>
      <c r="G7000" s="10" t="s">
        <v>9233</v>
      </c>
      <c r="H7000" s="11">
        <v>41275</v>
      </c>
      <c r="I7000" s="10">
        <v>2013</v>
      </c>
      <c r="J7000" s="10" t="s">
        <v>13067</v>
      </c>
      <c r="K7000" s="10">
        <v>319</v>
      </c>
      <c r="L7000" s="10" t="s">
        <v>33569</v>
      </c>
      <c r="M7000" s="10">
        <v>1</v>
      </c>
      <c r="N7000" s="10" t="s">
        <v>33541</v>
      </c>
      <c r="O7000" s="10">
        <v>1</v>
      </c>
      <c r="P7000" s="10" t="s">
        <v>19534</v>
      </c>
      <c r="Q7000" s="10"/>
      <c r="R7000" s="10" t="s">
        <v>33570</v>
      </c>
      <c r="S7000" s="10" t="s">
        <v>53</v>
      </c>
      <c r="T7000" s="10" t="s">
        <v>54</v>
      </c>
    </row>
    <row r="7001" spans="1:20" ht="14.5" x14ac:dyDescent="0.35">
      <c r="A7001" s="10" t="s">
        <v>33571</v>
      </c>
      <c r="B7001" s="10" t="str">
        <f>"9789462092587"</f>
        <v>9789462092587</v>
      </c>
      <c r="C7001" s="10" t="str">
        <f>"9789462092600"</f>
        <v>9789462092600</v>
      </c>
      <c r="D7001" s="10" t="s">
        <v>8564</v>
      </c>
      <c r="E7001" s="10" t="s">
        <v>8565</v>
      </c>
      <c r="F7001" s="10" t="s">
        <v>33250</v>
      </c>
      <c r="G7001" s="10" t="s">
        <v>9233</v>
      </c>
      <c r="H7001" s="11">
        <v>41275</v>
      </c>
      <c r="I7001" s="10">
        <v>2013</v>
      </c>
      <c r="J7001" s="10" t="s">
        <v>33259</v>
      </c>
      <c r="K7001" s="10">
        <v>167</v>
      </c>
      <c r="L7001" s="10" t="s">
        <v>33572</v>
      </c>
      <c r="M7001" s="10">
        <v>1</v>
      </c>
      <c r="N7001" s="10"/>
      <c r="O7001" s="10"/>
      <c r="P7001" s="10" t="s">
        <v>19534</v>
      </c>
      <c r="Q7001" s="10">
        <v>370.71194000000003</v>
      </c>
      <c r="R7001" s="10" t="s">
        <v>33573</v>
      </c>
      <c r="S7001" s="10" t="s">
        <v>53</v>
      </c>
      <c r="T7001" s="10" t="s">
        <v>54</v>
      </c>
    </row>
    <row r="7002" spans="1:20" ht="14.5" x14ac:dyDescent="0.35">
      <c r="A7002" s="10" t="s">
        <v>33574</v>
      </c>
      <c r="B7002" s="10" t="str">
        <f>"9789462092228"</f>
        <v>9789462092228</v>
      </c>
      <c r="C7002" s="10" t="str">
        <f>"9789462092242"</f>
        <v>9789462092242</v>
      </c>
      <c r="D7002" s="10" t="s">
        <v>8564</v>
      </c>
      <c r="E7002" s="10" t="s">
        <v>13067</v>
      </c>
      <c r="F7002" s="10" t="s">
        <v>33250</v>
      </c>
      <c r="G7002" s="10" t="s">
        <v>9233</v>
      </c>
      <c r="H7002" s="11">
        <v>41275</v>
      </c>
      <c r="I7002" s="10">
        <v>2013</v>
      </c>
      <c r="J7002" s="10" t="s">
        <v>13067</v>
      </c>
      <c r="K7002" s="10">
        <v>220</v>
      </c>
      <c r="L7002" s="10" t="s">
        <v>33575</v>
      </c>
      <c r="M7002" s="10">
        <v>1</v>
      </c>
      <c r="N7002" s="10" t="s">
        <v>33576</v>
      </c>
      <c r="O7002" s="10">
        <v>1</v>
      </c>
      <c r="P7002" s="10" t="s">
        <v>19534</v>
      </c>
      <c r="Q7002" s="10"/>
      <c r="R7002" s="10" t="s">
        <v>33577</v>
      </c>
      <c r="S7002" s="10" t="s">
        <v>53</v>
      </c>
      <c r="T7002" s="10" t="s">
        <v>54</v>
      </c>
    </row>
    <row r="7003" spans="1:20" ht="14.5" x14ac:dyDescent="0.35">
      <c r="A7003" s="10" t="s">
        <v>33578</v>
      </c>
      <c r="B7003" s="10" t="str">
        <f>"9789462092822"</f>
        <v>9789462092822</v>
      </c>
      <c r="C7003" s="10" t="str">
        <f>"9789462092846"</f>
        <v>9789462092846</v>
      </c>
      <c r="D7003" s="10" t="s">
        <v>8564</v>
      </c>
      <c r="E7003" s="10" t="s">
        <v>13067</v>
      </c>
      <c r="F7003" s="10" t="s">
        <v>33250</v>
      </c>
      <c r="G7003" s="10" t="s">
        <v>9233</v>
      </c>
      <c r="H7003" s="11">
        <v>41275</v>
      </c>
      <c r="I7003" s="10">
        <v>2013</v>
      </c>
      <c r="J7003" s="10" t="s">
        <v>13067</v>
      </c>
      <c r="K7003" s="10">
        <v>165</v>
      </c>
      <c r="L7003" s="10" t="s">
        <v>33579</v>
      </c>
      <c r="M7003" s="10">
        <v>1</v>
      </c>
      <c r="N7003" s="10" t="s">
        <v>33580</v>
      </c>
      <c r="O7003" s="10">
        <v>1</v>
      </c>
      <c r="P7003" s="10" t="s">
        <v>19534</v>
      </c>
      <c r="Q7003" s="10"/>
      <c r="R7003" s="10" t="s">
        <v>33581</v>
      </c>
      <c r="S7003" s="10" t="s">
        <v>53</v>
      </c>
      <c r="T7003" s="10" t="s">
        <v>54</v>
      </c>
    </row>
    <row r="7004" spans="1:20" ht="14.5" x14ac:dyDescent="0.35">
      <c r="A7004" s="10" t="s">
        <v>33582</v>
      </c>
      <c r="B7004" s="10" t="str">
        <f>"9789462092761"</f>
        <v>9789462092761</v>
      </c>
      <c r="C7004" s="10" t="str">
        <f>"9789462092785"</f>
        <v>9789462092785</v>
      </c>
      <c r="D7004" s="10" t="s">
        <v>8564</v>
      </c>
      <c r="E7004" s="10" t="s">
        <v>13067</v>
      </c>
      <c r="F7004" s="10" t="s">
        <v>33250</v>
      </c>
      <c r="G7004" s="10" t="s">
        <v>9233</v>
      </c>
      <c r="H7004" s="11">
        <v>41275</v>
      </c>
      <c r="I7004" s="10">
        <v>2013</v>
      </c>
      <c r="J7004" s="10" t="s">
        <v>13067</v>
      </c>
      <c r="K7004" s="10">
        <v>154</v>
      </c>
      <c r="L7004" s="10" t="s">
        <v>33583</v>
      </c>
      <c r="M7004" s="10">
        <v>1</v>
      </c>
      <c r="N7004" s="10"/>
      <c r="O7004" s="10"/>
      <c r="P7004" s="10" t="s">
        <v>19534</v>
      </c>
      <c r="Q7004" s="10"/>
      <c r="R7004" s="10" t="s">
        <v>12345</v>
      </c>
      <c r="S7004" s="10" t="s">
        <v>53</v>
      </c>
      <c r="T7004" s="10" t="s">
        <v>54</v>
      </c>
    </row>
    <row r="7005" spans="1:20" ht="14.5" x14ac:dyDescent="0.35">
      <c r="A7005" s="10" t="s">
        <v>33584</v>
      </c>
      <c r="B7005" s="10" t="str">
        <f>"9789462092310"</f>
        <v>9789462092310</v>
      </c>
      <c r="C7005" s="10" t="str">
        <f>"9789462092334"</f>
        <v>9789462092334</v>
      </c>
      <c r="D7005" s="10" t="s">
        <v>8564</v>
      </c>
      <c r="E7005" s="10" t="s">
        <v>13067</v>
      </c>
      <c r="F7005" s="10" t="s">
        <v>33250</v>
      </c>
      <c r="G7005" s="10" t="s">
        <v>9233</v>
      </c>
      <c r="H7005" s="11">
        <v>41275</v>
      </c>
      <c r="I7005" s="10">
        <v>2013</v>
      </c>
      <c r="J7005" s="10" t="s">
        <v>13067</v>
      </c>
      <c r="K7005" s="10">
        <v>255</v>
      </c>
      <c r="L7005" s="10" t="s">
        <v>33585</v>
      </c>
      <c r="M7005" s="10">
        <v>1</v>
      </c>
      <c r="N7005" s="10" t="s">
        <v>33321</v>
      </c>
      <c r="O7005" s="10">
        <v>1</v>
      </c>
      <c r="P7005" s="10" t="s">
        <v>19534</v>
      </c>
      <c r="Q7005" s="10">
        <v>361.37</v>
      </c>
      <c r="R7005" s="10" t="s">
        <v>33586</v>
      </c>
      <c r="S7005" s="10" t="s">
        <v>53</v>
      </c>
      <c r="T7005" s="10" t="s">
        <v>6472</v>
      </c>
    </row>
    <row r="7006" spans="1:20" ht="14.5" x14ac:dyDescent="0.35">
      <c r="A7006" s="10" t="s">
        <v>33587</v>
      </c>
      <c r="B7006" s="10" t="str">
        <f>"9789462092914"</f>
        <v>9789462092914</v>
      </c>
      <c r="C7006" s="10" t="str">
        <f>"9789462092938"</f>
        <v>9789462092938</v>
      </c>
      <c r="D7006" s="10" t="s">
        <v>8564</v>
      </c>
      <c r="E7006" s="10" t="s">
        <v>8565</v>
      </c>
      <c r="F7006" s="10" t="s">
        <v>1420</v>
      </c>
      <c r="G7006" s="10" t="s">
        <v>6317</v>
      </c>
      <c r="H7006" s="11">
        <v>41275</v>
      </c>
      <c r="I7006" s="10">
        <v>2013</v>
      </c>
      <c r="J7006" s="10" t="s">
        <v>33259</v>
      </c>
      <c r="K7006" s="10">
        <v>322</v>
      </c>
      <c r="L7006" s="10" t="s">
        <v>33588</v>
      </c>
      <c r="M7006" s="10">
        <v>1</v>
      </c>
      <c r="N7006" s="10"/>
      <c r="O7006" s="10"/>
      <c r="P7006" s="10" t="s">
        <v>19534</v>
      </c>
      <c r="Q7006" s="10"/>
      <c r="R7006" s="10" t="s">
        <v>33589</v>
      </c>
      <c r="S7006" s="10" t="s">
        <v>53</v>
      </c>
      <c r="T7006" s="10" t="s">
        <v>54</v>
      </c>
    </row>
    <row r="7007" spans="1:20" ht="14.5" x14ac:dyDescent="0.35">
      <c r="A7007" s="10" t="s">
        <v>33590</v>
      </c>
      <c r="B7007" s="10" t="str">
        <f>"9789462092105"</f>
        <v>9789462092105</v>
      </c>
      <c r="C7007" s="10" t="str">
        <f>"9789462092129"</f>
        <v>9789462092129</v>
      </c>
      <c r="D7007" s="10" t="s">
        <v>8564</v>
      </c>
      <c r="E7007" s="10" t="s">
        <v>13067</v>
      </c>
      <c r="F7007" s="10" t="s">
        <v>33250</v>
      </c>
      <c r="G7007" s="10" t="s">
        <v>9233</v>
      </c>
      <c r="H7007" s="11">
        <v>41275</v>
      </c>
      <c r="I7007" s="10">
        <v>2013</v>
      </c>
      <c r="J7007" s="10" t="s">
        <v>13067</v>
      </c>
      <c r="K7007" s="10">
        <v>184</v>
      </c>
      <c r="L7007" s="10" t="s">
        <v>33591</v>
      </c>
      <c r="M7007" s="10">
        <v>1</v>
      </c>
      <c r="N7007" s="10"/>
      <c r="O7007" s="10"/>
      <c r="P7007" s="10" t="s">
        <v>19534</v>
      </c>
      <c r="Q7007" s="10"/>
      <c r="R7007" s="10" t="s">
        <v>32167</v>
      </c>
      <c r="S7007" s="10" t="s">
        <v>53</v>
      </c>
      <c r="T7007" s="10" t="s">
        <v>54</v>
      </c>
    </row>
    <row r="7008" spans="1:20" ht="14.5" x14ac:dyDescent="0.35">
      <c r="A7008" s="10" t="s">
        <v>33592</v>
      </c>
      <c r="B7008" s="10" t="str">
        <f>"9789462090545"</f>
        <v>9789462090545</v>
      </c>
      <c r="C7008" s="10" t="str">
        <f>"9789462090552"</f>
        <v>9789462090552</v>
      </c>
      <c r="D7008" s="10" t="s">
        <v>8564</v>
      </c>
      <c r="E7008" s="10" t="s">
        <v>13067</v>
      </c>
      <c r="F7008" s="10" t="s">
        <v>33250</v>
      </c>
      <c r="G7008" s="10" t="s">
        <v>9233</v>
      </c>
      <c r="H7008" s="11">
        <v>41275</v>
      </c>
      <c r="I7008" s="10">
        <v>2013</v>
      </c>
      <c r="J7008" s="10" t="s">
        <v>13067</v>
      </c>
      <c r="K7008" s="10">
        <v>363</v>
      </c>
      <c r="L7008" s="10" t="s">
        <v>33593</v>
      </c>
      <c r="M7008" s="10">
        <v>1</v>
      </c>
      <c r="N7008" s="10" t="s">
        <v>33419</v>
      </c>
      <c r="O7008" s="10">
        <v>55</v>
      </c>
      <c r="P7008" s="10" t="s">
        <v>19534</v>
      </c>
      <c r="Q7008" s="10"/>
      <c r="R7008" s="10"/>
      <c r="S7008" s="10" t="s">
        <v>53</v>
      </c>
      <c r="T7008" s="10" t="s">
        <v>54</v>
      </c>
    </row>
    <row r="7009" spans="1:20" ht="14.5" x14ac:dyDescent="0.35">
      <c r="A7009" s="10" t="s">
        <v>33594</v>
      </c>
      <c r="B7009" s="10" t="str">
        <f>"9789462091931"</f>
        <v>9789462091931</v>
      </c>
      <c r="C7009" s="10" t="str">
        <f>"9789462091948"</f>
        <v>9789462091948</v>
      </c>
      <c r="D7009" s="10" t="s">
        <v>8564</v>
      </c>
      <c r="E7009" s="10" t="s">
        <v>13067</v>
      </c>
      <c r="F7009" s="10" t="s">
        <v>33250</v>
      </c>
      <c r="G7009" s="10" t="s">
        <v>9233</v>
      </c>
      <c r="H7009" s="11">
        <v>41275</v>
      </c>
      <c r="I7009" s="10">
        <v>2013</v>
      </c>
      <c r="J7009" s="10" t="s">
        <v>13067</v>
      </c>
      <c r="K7009" s="10">
        <v>116</v>
      </c>
      <c r="L7009" s="10" t="s">
        <v>33595</v>
      </c>
      <c r="M7009" s="10">
        <v>1</v>
      </c>
      <c r="N7009" s="10" t="s">
        <v>33419</v>
      </c>
      <c r="O7009" s="10">
        <v>58</v>
      </c>
      <c r="P7009" s="10" t="s">
        <v>19534</v>
      </c>
      <c r="Q7009" s="10"/>
      <c r="R7009" s="10" t="s">
        <v>33596</v>
      </c>
      <c r="S7009" s="10" t="s">
        <v>53</v>
      </c>
      <c r="T7009" s="10" t="s">
        <v>54</v>
      </c>
    </row>
    <row r="7010" spans="1:20" ht="14.5" x14ac:dyDescent="0.35">
      <c r="A7010" s="10" t="s">
        <v>33597</v>
      </c>
      <c r="B7010" s="10" t="str">
        <f>"9789462092716"</f>
        <v>9789462092716</v>
      </c>
      <c r="C7010" s="10" t="str">
        <f>"9789462092723"</f>
        <v>9789462092723</v>
      </c>
      <c r="D7010" s="10" t="s">
        <v>8564</v>
      </c>
      <c r="E7010" s="10" t="s">
        <v>13067</v>
      </c>
      <c r="F7010" s="10" t="s">
        <v>33250</v>
      </c>
      <c r="G7010" s="10" t="s">
        <v>9233</v>
      </c>
      <c r="H7010" s="11">
        <v>41275</v>
      </c>
      <c r="I7010" s="10">
        <v>2013</v>
      </c>
      <c r="J7010" s="10" t="s">
        <v>13067</v>
      </c>
      <c r="K7010" s="10">
        <v>152</v>
      </c>
      <c r="L7010" s="10" t="s">
        <v>33598</v>
      </c>
      <c r="M7010" s="10">
        <v>1</v>
      </c>
      <c r="N7010" s="10"/>
      <c r="O7010" s="10"/>
      <c r="P7010" s="10" t="s">
        <v>19534</v>
      </c>
      <c r="Q7010" s="10"/>
      <c r="R7010" s="10" t="s">
        <v>33599</v>
      </c>
      <c r="S7010" s="10" t="s">
        <v>53</v>
      </c>
      <c r="T7010" s="10" t="s">
        <v>54</v>
      </c>
    </row>
    <row r="7011" spans="1:20" ht="14.5" x14ac:dyDescent="0.35">
      <c r="A7011" s="10" t="s">
        <v>33600</v>
      </c>
      <c r="B7011" s="10" t="str">
        <f>"9789462092563"</f>
        <v>9789462092563</v>
      </c>
      <c r="C7011" s="10" t="str">
        <f>"9789462092570"</f>
        <v>9789462092570</v>
      </c>
      <c r="D7011" s="10" t="s">
        <v>8564</v>
      </c>
      <c r="E7011" s="10" t="s">
        <v>13067</v>
      </c>
      <c r="F7011" s="10" t="s">
        <v>33250</v>
      </c>
      <c r="G7011" s="10" t="s">
        <v>9233</v>
      </c>
      <c r="H7011" s="11">
        <v>41275</v>
      </c>
      <c r="I7011" s="10">
        <v>2013</v>
      </c>
      <c r="J7011" s="10" t="s">
        <v>13067</v>
      </c>
      <c r="K7011" s="10">
        <v>302</v>
      </c>
      <c r="L7011" s="10" t="s">
        <v>33601</v>
      </c>
      <c r="M7011" s="10">
        <v>1</v>
      </c>
      <c r="N7011" s="10"/>
      <c r="O7011" s="10"/>
      <c r="P7011" s="10" t="s">
        <v>19534</v>
      </c>
      <c r="Q7011" s="10"/>
      <c r="R7011" s="10" t="s">
        <v>33602</v>
      </c>
      <c r="S7011" s="10" t="s">
        <v>53</v>
      </c>
      <c r="T7011" s="10" t="s">
        <v>54</v>
      </c>
    </row>
    <row r="7012" spans="1:20" ht="14.5" x14ac:dyDescent="0.35">
      <c r="A7012" s="10" t="s">
        <v>33603</v>
      </c>
      <c r="B7012" s="10" t="str">
        <f>"9789462092808"</f>
        <v>9789462092808</v>
      </c>
      <c r="C7012" s="10" t="str">
        <f>"9789462092815"</f>
        <v>9789462092815</v>
      </c>
      <c r="D7012" s="10" t="s">
        <v>8564</v>
      </c>
      <c r="E7012" s="10" t="s">
        <v>13067</v>
      </c>
      <c r="F7012" s="10" t="s">
        <v>33250</v>
      </c>
      <c r="G7012" s="10" t="s">
        <v>9233</v>
      </c>
      <c r="H7012" s="11">
        <v>41275</v>
      </c>
      <c r="I7012" s="10">
        <v>2013</v>
      </c>
      <c r="J7012" s="10" t="s">
        <v>13067</v>
      </c>
      <c r="K7012" s="10">
        <v>263</v>
      </c>
      <c r="L7012" s="10" t="s">
        <v>33604</v>
      </c>
      <c r="M7012" s="10">
        <v>1</v>
      </c>
      <c r="N7012" s="10"/>
      <c r="O7012" s="10"/>
      <c r="P7012" s="10" t="s">
        <v>19534</v>
      </c>
      <c r="Q7012" s="10">
        <v>510.71</v>
      </c>
      <c r="R7012" s="10" t="s">
        <v>33605</v>
      </c>
      <c r="S7012" s="10" t="s">
        <v>53</v>
      </c>
      <c r="T7012" s="10" t="s">
        <v>7425</v>
      </c>
    </row>
    <row r="7013" spans="1:20" ht="14.5" x14ac:dyDescent="0.35">
      <c r="A7013" s="10" t="s">
        <v>33606</v>
      </c>
      <c r="B7013" s="10" t="str">
        <f>"9789462092655"</f>
        <v>9789462092655</v>
      </c>
      <c r="C7013" s="10" t="str">
        <f>"9789462092662"</f>
        <v>9789462092662</v>
      </c>
      <c r="D7013" s="10" t="s">
        <v>8564</v>
      </c>
      <c r="E7013" s="10" t="s">
        <v>8565</v>
      </c>
      <c r="F7013" s="10" t="s">
        <v>1420</v>
      </c>
      <c r="G7013" s="10" t="s">
        <v>6317</v>
      </c>
      <c r="H7013" s="11">
        <v>41275</v>
      </c>
      <c r="I7013" s="10">
        <v>2013</v>
      </c>
      <c r="J7013" s="10" t="s">
        <v>8565</v>
      </c>
      <c r="K7013" s="10">
        <v>211</v>
      </c>
      <c r="L7013" s="10" t="s">
        <v>33607</v>
      </c>
      <c r="M7013" s="10">
        <v>1</v>
      </c>
      <c r="N7013" s="10" t="s">
        <v>33608</v>
      </c>
      <c r="O7013" s="10">
        <v>2</v>
      </c>
      <c r="P7013" s="10" t="s">
        <v>19534</v>
      </c>
      <c r="Q7013" s="10"/>
      <c r="R7013" s="10" t="s">
        <v>33609</v>
      </c>
      <c r="S7013" s="10" t="s">
        <v>53</v>
      </c>
      <c r="T7013" s="10" t="s">
        <v>54</v>
      </c>
    </row>
    <row r="7014" spans="1:20" ht="14.5" x14ac:dyDescent="0.35">
      <c r="A7014" s="10" t="s">
        <v>33610</v>
      </c>
      <c r="B7014" s="10" t="str">
        <f>"9789462092891"</f>
        <v>9789462092891</v>
      </c>
      <c r="C7014" s="10" t="str">
        <f>"9789462092907"</f>
        <v>9789462092907</v>
      </c>
      <c r="D7014" s="10" t="s">
        <v>8564</v>
      </c>
      <c r="E7014" s="10" t="s">
        <v>13067</v>
      </c>
      <c r="F7014" s="10" t="s">
        <v>33250</v>
      </c>
      <c r="G7014" s="10" t="s">
        <v>9233</v>
      </c>
      <c r="H7014" s="11">
        <v>41275</v>
      </c>
      <c r="I7014" s="10">
        <v>2013</v>
      </c>
      <c r="J7014" s="10" t="s">
        <v>13067</v>
      </c>
      <c r="K7014" s="10">
        <v>199</v>
      </c>
      <c r="L7014" s="10" t="s">
        <v>33611</v>
      </c>
      <c r="M7014" s="10">
        <v>1</v>
      </c>
      <c r="N7014" s="10" t="s">
        <v>33264</v>
      </c>
      <c r="O7014" s="10">
        <v>26</v>
      </c>
      <c r="P7014" s="10" t="s">
        <v>19534</v>
      </c>
      <c r="Q7014" s="10">
        <v>379</v>
      </c>
      <c r="R7014" s="10" t="s">
        <v>33612</v>
      </c>
      <c r="S7014" s="10" t="s">
        <v>53</v>
      </c>
      <c r="T7014" s="10" t="s">
        <v>54</v>
      </c>
    </row>
    <row r="7015" spans="1:20" ht="14.5" x14ac:dyDescent="0.35">
      <c r="A7015" s="10" t="s">
        <v>33613</v>
      </c>
      <c r="B7015" s="10" t="str">
        <f>"9789462093034"</f>
        <v>9789462093034</v>
      </c>
      <c r="C7015" s="10" t="str">
        <f>"9789462093058"</f>
        <v>9789462093058</v>
      </c>
      <c r="D7015" s="10" t="s">
        <v>8564</v>
      </c>
      <c r="E7015" s="10" t="s">
        <v>13067</v>
      </c>
      <c r="F7015" s="10" t="s">
        <v>33250</v>
      </c>
      <c r="G7015" s="10" t="s">
        <v>9233</v>
      </c>
      <c r="H7015" s="11">
        <v>41275</v>
      </c>
      <c r="I7015" s="10">
        <v>2013</v>
      </c>
      <c r="J7015" s="10" t="s">
        <v>13067</v>
      </c>
      <c r="K7015" s="10">
        <v>251</v>
      </c>
      <c r="L7015" s="10" t="s">
        <v>33614</v>
      </c>
      <c r="M7015" s="10">
        <v>1</v>
      </c>
      <c r="N7015" s="10" t="s">
        <v>33615</v>
      </c>
      <c r="O7015" s="10">
        <v>4</v>
      </c>
      <c r="P7015" s="10" t="s">
        <v>19534</v>
      </c>
      <c r="Q7015" s="10">
        <v>305.3</v>
      </c>
      <c r="R7015" s="10" t="s">
        <v>33616</v>
      </c>
      <c r="S7015" s="10" t="s">
        <v>53</v>
      </c>
      <c r="T7015" s="10" t="s">
        <v>6526</v>
      </c>
    </row>
    <row r="7016" spans="1:20" ht="14.5" x14ac:dyDescent="0.35">
      <c r="A7016" s="10" t="s">
        <v>33617</v>
      </c>
      <c r="B7016" s="10" t="str">
        <f>"9789462092976"</f>
        <v>9789462092976</v>
      </c>
      <c r="C7016" s="10" t="str">
        <f>"9789462092990"</f>
        <v>9789462092990</v>
      </c>
      <c r="D7016" s="10" t="s">
        <v>8564</v>
      </c>
      <c r="E7016" s="10" t="s">
        <v>13067</v>
      </c>
      <c r="F7016" s="10" t="s">
        <v>33250</v>
      </c>
      <c r="G7016" s="10" t="s">
        <v>9233</v>
      </c>
      <c r="H7016" s="11">
        <v>41275</v>
      </c>
      <c r="I7016" s="10">
        <v>2013</v>
      </c>
      <c r="J7016" s="10" t="s">
        <v>13067</v>
      </c>
      <c r="K7016" s="10">
        <v>325</v>
      </c>
      <c r="L7016" s="10" t="s">
        <v>33618</v>
      </c>
      <c r="M7016" s="10">
        <v>1</v>
      </c>
      <c r="N7016" s="10" t="s">
        <v>33619</v>
      </c>
      <c r="O7016" s="10">
        <v>1</v>
      </c>
      <c r="P7016" s="10" t="s">
        <v>19534</v>
      </c>
      <c r="Q7016" s="10"/>
      <c r="R7016" s="10" t="s">
        <v>33620</v>
      </c>
      <c r="S7016" s="10" t="s">
        <v>53</v>
      </c>
      <c r="T7016" s="10" t="s">
        <v>54</v>
      </c>
    </row>
    <row r="7017" spans="1:20" ht="14.5" x14ac:dyDescent="0.35">
      <c r="A7017" s="10" t="s">
        <v>33621</v>
      </c>
      <c r="B7017" s="10" t="str">
        <f>"9789462092686"</f>
        <v>9789462092686</v>
      </c>
      <c r="C7017" s="10" t="str">
        <f>"9789462092693"</f>
        <v>9789462092693</v>
      </c>
      <c r="D7017" s="10" t="s">
        <v>8564</v>
      </c>
      <c r="E7017" s="10" t="s">
        <v>8565</v>
      </c>
      <c r="F7017" s="10" t="s">
        <v>1420</v>
      </c>
      <c r="G7017" s="10" t="s">
        <v>6317</v>
      </c>
      <c r="H7017" s="11">
        <v>41275</v>
      </c>
      <c r="I7017" s="10">
        <v>2013</v>
      </c>
      <c r="J7017" s="10" t="s">
        <v>33259</v>
      </c>
      <c r="K7017" s="10">
        <v>460</v>
      </c>
      <c r="L7017" s="10" t="s">
        <v>33622</v>
      </c>
      <c r="M7017" s="10">
        <v>1</v>
      </c>
      <c r="N7017" s="10"/>
      <c r="O7017" s="10"/>
      <c r="P7017" s="10" t="s">
        <v>19534</v>
      </c>
      <c r="Q7017" s="10"/>
      <c r="R7017" s="10"/>
      <c r="S7017" s="10" t="s">
        <v>53</v>
      </c>
      <c r="T7017" s="10" t="s">
        <v>54</v>
      </c>
    </row>
    <row r="7018" spans="1:20" ht="14.5" x14ac:dyDescent="0.35">
      <c r="A7018" s="10" t="s">
        <v>33623</v>
      </c>
      <c r="B7018" s="10" t="str">
        <f>"9789462092266"</f>
        <v>9789462092266</v>
      </c>
      <c r="C7018" s="10" t="str">
        <f>"9789462092273"</f>
        <v>9789462092273</v>
      </c>
      <c r="D7018" s="10" t="s">
        <v>8564</v>
      </c>
      <c r="E7018" s="10" t="s">
        <v>13067</v>
      </c>
      <c r="F7018" s="10" t="s">
        <v>33250</v>
      </c>
      <c r="G7018" s="10" t="s">
        <v>9233</v>
      </c>
      <c r="H7018" s="11">
        <v>41275</v>
      </c>
      <c r="I7018" s="10">
        <v>2013</v>
      </c>
      <c r="J7018" s="10" t="s">
        <v>13067</v>
      </c>
      <c r="K7018" s="10">
        <v>116</v>
      </c>
      <c r="L7018" s="10" t="s">
        <v>33624</v>
      </c>
      <c r="M7018" s="10">
        <v>1</v>
      </c>
      <c r="N7018" s="10" t="s">
        <v>33414</v>
      </c>
      <c r="O7018" s="10">
        <v>12</v>
      </c>
      <c r="P7018" s="10" t="s">
        <v>19534</v>
      </c>
      <c r="Q7018" s="10">
        <v>370.19</v>
      </c>
      <c r="R7018" s="10" t="s">
        <v>33625</v>
      </c>
      <c r="S7018" s="10" t="s">
        <v>53</v>
      </c>
      <c r="T7018" s="10" t="s">
        <v>54</v>
      </c>
    </row>
    <row r="7019" spans="1:20" ht="14.5" x14ac:dyDescent="0.35">
      <c r="A7019" s="10" t="s">
        <v>33626</v>
      </c>
      <c r="B7019" s="10" t="str">
        <f>"9789462092365"</f>
        <v>9789462092365</v>
      </c>
      <c r="C7019" s="10" t="str">
        <f>"9789462092372"</f>
        <v>9789462092372</v>
      </c>
      <c r="D7019" s="10" t="s">
        <v>8564</v>
      </c>
      <c r="E7019" s="10" t="s">
        <v>13067</v>
      </c>
      <c r="F7019" s="10" t="s">
        <v>33250</v>
      </c>
      <c r="G7019" s="10" t="s">
        <v>9233</v>
      </c>
      <c r="H7019" s="11">
        <v>41275</v>
      </c>
      <c r="I7019" s="10">
        <v>2013</v>
      </c>
      <c r="J7019" s="10" t="s">
        <v>13067</v>
      </c>
      <c r="K7019" s="10">
        <v>227</v>
      </c>
      <c r="L7019" s="10" t="s">
        <v>33627</v>
      </c>
      <c r="M7019" s="10">
        <v>1</v>
      </c>
      <c r="N7019" s="10" t="s">
        <v>33264</v>
      </c>
      <c r="O7019" s="10">
        <v>25</v>
      </c>
      <c r="P7019" s="10" t="s">
        <v>19534</v>
      </c>
      <c r="Q7019" s="10">
        <v>371.39400000000001</v>
      </c>
      <c r="R7019" s="10" t="s">
        <v>33628</v>
      </c>
      <c r="S7019" s="10" t="s">
        <v>53</v>
      </c>
      <c r="T7019" s="10" t="s">
        <v>54</v>
      </c>
    </row>
    <row r="7020" spans="1:20" ht="14.5" x14ac:dyDescent="0.35">
      <c r="A7020" s="10" t="s">
        <v>33629</v>
      </c>
      <c r="B7020" s="10" t="str">
        <f>"9789460913167"</f>
        <v>9789460913167</v>
      </c>
      <c r="C7020" s="10" t="str">
        <f>"9789460913174"</f>
        <v>9789460913174</v>
      </c>
      <c r="D7020" s="10" t="s">
        <v>8564</v>
      </c>
      <c r="E7020" s="10" t="s">
        <v>13067</v>
      </c>
      <c r="F7020" s="10" t="s">
        <v>33250</v>
      </c>
      <c r="G7020" s="10" t="s">
        <v>9233</v>
      </c>
      <c r="H7020" s="11">
        <v>41275</v>
      </c>
      <c r="I7020" s="10">
        <v>2013</v>
      </c>
      <c r="J7020" s="10" t="s">
        <v>13067</v>
      </c>
      <c r="K7020" s="10">
        <v>259</v>
      </c>
      <c r="L7020" s="10" t="s">
        <v>33630</v>
      </c>
      <c r="M7020" s="10">
        <v>1</v>
      </c>
      <c r="N7020" s="10" t="s">
        <v>33502</v>
      </c>
      <c r="O7020" s="10">
        <v>6</v>
      </c>
      <c r="P7020" s="10" t="s">
        <v>19534</v>
      </c>
      <c r="Q7020" s="10"/>
      <c r="R7020" s="10" t="s">
        <v>33631</v>
      </c>
      <c r="S7020" s="10" t="s">
        <v>53</v>
      </c>
      <c r="T7020" s="10" t="s">
        <v>54</v>
      </c>
    </row>
    <row r="7021" spans="1:20" ht="14.5" x14ac:dyDescent="0.35">
      <c r="A7021" s="10" t="s">
        <v>33632</v>
      </c>
      <c r="B7021" s="10" t="str">
        <f>"9789462092440"</f>
        <v>9789462092440</v>
      </c>
      <c r="C7021" s="10" t="str">
        <f>"9789462092457"</f>
        <v>9789462092457</v>
      </c>
      <c r="D7021" s="10" t="s">
        <v>8564</v>
      </c>
      <c r="E7021" s="10" t="s">
        <v>13067</v>
      </c>
      <c r="F7021" s="10" t="s">
        <v>33250</v>
      </c>
      <c r="G7021" s="10" t="s">
        <v>9233</v>
      </c>
      <c r="H7021" s="11">
        <v>41275</v>
      </c>
      <c r="I7021" s="10">
        <v>2013</v>
      </c>
      <c r="J7021" s="10" t="s">
        <v>13067</v>
      </c>
      <c r="K7021" s="10">
        <v>198</v>
      </c>
      <c r="L7021" s="10" t="s">
        <v>33633</v>
      </c>
      <c r="M7021" s="10">
        <v>1</v>
      </c>
      <c r="N7021" s="10" t="s">
        <v>33634</v>
      </c>
      <c r="O7021" s="10">
        <v>1</v>
      </c>
      <c r="P7021" s="10" t="s">
        <v>19534</v>
      </c>
      <c r="Q7021" s="10"/>
      <c r="R7021" s="10"/>
      <c r="S7021" s="10" t="s">
        <v>53</v>
      </c>
      <c r="T7021" s="10" t="s">
        <v>54</v>
      </c>
    </row>
    <row r="7022" spans="1:20" ht="14.5" x14ac:dyDescent="0.35">
      <c r="A7022" s="10" t="s">
        <v>33635</v>
      </c>
      <c r="B7022" s="10" t="str">
        <f>"9789462093270"</f>
        <v>9789462093270</v>
      </c>
      <c r="C7022" s="10" t="str">
        <f>"9789462093294"</f>
        <v>9789462093294</v>
      </c>
      <c r="D7022" s="10" t="s">
        <v>8564</v>
      </c>
      <c r="E7022" s="10" t="s">
        <v>13067</v>
      </c>
      <c r="F7022" s="10" t="s">
        <v>33250</v>
      </c>
      <c r="G7022" s="10" t="s">
        <v>9233</v>
      </c>
      <c r="H7022" s="11">
        <v>41275</v>
      </c>
      <c r="I7022" s="10">
        <v>2013</v>
      </c>
      <c r="J7022" s="10" t="s">
        <v>13067</v>
      </c>
      <c r="K7022" s="10">
        <v>144</v>
      </c>
      <c r="L7022" s="10" t="s">
        <v>33636</v>
      </c>
      <c r="M7022" s="10">
        <v>1</v>
      </c>
      <c r="N7022" s="10" t="s">
        <v>33637</v>
      </c>
      <c r="O7022" s="10">
        <v>6</v>
      </c>
      <c r="P7022" s="10" t="s">
        <v>19534</v>
      </c>
      <c r="Q7022" s="10"/>
      <c r="R7022" s="10" t="s">
        <v>33638</v>
      </c>
      <c r="S7022" s="10" t="s">
        <v>53</v>
      </c>
      <c r="T7022" s="10" t="s">
        <v>54</v>
      </c>
    </row>
    <row r="7023" spans="1:20" ht="14.5" x14ac:dyDescent="0.35">
      <c r="A7023" s="10" t="s">
        <v>33639</v>
      </c>
      <c r="B7023" s="10" t="str">
        <f>"9789462093515"</f>
        <v>9789462093515</v>
      </c>
      <c r="C7023" s="10" t="str">
        <f>"9789462093539"</f>
        <v>9789462093539</v>
      </c>
      <c r="D7023" s="10" t="s">
        <v>8564</v>
      </c>
      <c r="E7023" s="10" t="s">
        <v>13067</v>
      </c>
      <c r="F7023" s="10" t="s">
        <v>33250</v>
      </c>
      <c r="G7023" s="10" t="s">
        <v>9233</v>
      </c>
      <c r="H7023" s="11">
        <v>41275</v>
      </c>
      <c r="I7023" s="10">
        <v>2013</v>
      </c>
      <c r="J7023" s="10" t="s">
        <v>13067</v>
      </c>
      <c r="K7023" s="10">
        <v>351</v>
      </c>
      <c r="L7023" s="10" t="s">
        <v>33640</v>
      </c>
      <c r="M7023" s="10">
        <v>1</v>
      </c>
      <c r="N7023" s="10" t="s">
        <v>33445</v>
      </c>
      <c r="O7023" s="10">
        <v>8</v>
      </c>
      <c r="P7023" s="10" t="s">
        <v>19534</v>
      </c>
      <c r="Q7023" s="10">
        <v>372.37</v>
      </c>
      <c r="R7023" s="10" t="s">
        <v>33641</v>
      </c>
      <c r="S7023" s="10" t="s">
        <v>53</v>
      </c>
      <c r="T7023" s="10" t="s">
        <v>54</v>
      </c>
    </row>
    <row r="7024" spans="1:20" ht="14.5" x14ac:dyDescent="0.35">
      <c r="A7024" s="10" t="s">
        <v>33642</v>
      </c>
      <c r="B7024" s="10" t="str">
        <f>"9789462093188"</f>
        <v>9789462093188</v>
      </c>
      <c r="C7024" s="10" t="str">
        <f>"9789462093201"</f>
        <v>9789462093201</v>
      </c>
      <c r="D7024" s="10" t="s">
        <v>8564</v>
      </c>
      <c r="E7024" s="10" t="s">
        <v>13067</v>
      </c>
      <c r="F7024" s="10" t="s">
        <v>33250</v>
      </c>
      <c r="G7024" s="10" t="s">
        <v>9233</v>
      </c>
      <c r="H7024" s="11">
        <v>41275</v>
      </c>
      <c r="I7024" s="10">
        <v>2013</v>
      </c>
      <c r="J7024" s="10" t="s">
        <v>13067</v>
      </c>
      <c r="K7024" s="10">
        <v>162</v>
      </c>
      <c r="L7024" s="10" t="s">
        <v>33643</v>
      </c>
      <c r="M7024" s="10">
        <v>1</v>
      </c>
      <c r="N7024" s="10"/>
      <c r="O7024" s="10"/>
      <c r="P7024" s="10" t="s">
        <v>19534</v>
      </c>
      <c r="Q7024" s="10">
        <v>371.2</v>
      </c>
      <c r="R7024" s="10" t="s">
        <v>33644</v>
      </c>
      <c r="S7024" s="10" t="s">
        <v>53</v>
      </c>
      <c r="T7024" s="10" t="s">
        <v>54</v>
      </c>
    </row>
    <row r="7025" spans="1:20" ht="14.5" x14ac:dyDescent="0.35">
      <c r="A7025" s="10" t="s">
        <v>33645</v>
      </c>
      <c r="B7025" s="10" t="str">
        <f>"9789462093485"</f>
        <v>9789462093485</v>
      </c>
      <c r="C7025" s="10" t="str">
        <f>"9789462093508"</f>
        <v>9789462093508</v>
      </c>
      <c r="D7025" s="10" t="s">
        <v>8564</v>
      </c>
      <c r="E7025" s="10" t="s">
        <v>13067</v>
      </c>
      <c r="F7025" s="10" t="s">
        <v>33250</v>
      </c>
      <c r="G7025" s="10" t="s">
        <v>9233</v>
      </c>
      <c r="H7025" s="11">
        <v>41275</v>
      </c>
      <c r="I7025" s="10">
        <v>2013</v>
      </c>
      <c r="J7025" s="10" t="s">
        <v>13067</v>
      </c>
      <c r="K7025" s="10">
        <v>260</v>
      </c>
      <c r="L7025" s="10" t="s">
        <v>33646</v>
      </c>
      <c r="M7025" s="10">
        <v>1</v>
      </c>
      <c r="N7025" s="10" t="s">
        <v>33647</v>
      </c>
      <c r="O7025" s="10">
        <v>4</v>
      </c>
      <c r="P7025" s="10" t="s">
        <v>19534</v>
      </c>
      <c r="Q7025" s="10" t="s">
        <v>33648</v>
      </c>
      <c r="R7025" s="10" t="s">
        <v>32167</v>
      </c>
      <c r="S7025" s="10" t="s">
        <v>53</v>
      </c>
      <c r="T7025" s="10" t="s">
        <v>54</v>
      </c>
    </row>
    <row r="7026" spans="1:20" ht="14.5" x14ac:dyDescent="0.35">
      <c r="A7026" s="10" t="s">
        <v>33649</v>
      </c>
      <c r="B7026" s="10" t="str">
        <f>"9789462093126"</f>
        <v>9789462093126</v>
      </c>
      <c r="C7026" s="10" t="str">
        <f>"9789462093140"</f>
        <v>9789462093140</v>
      </c>
      <c r="D7026" s="10" t="s">
        <v>8564</v>
      </c>
      <c r="E7026" s="10" t="s">
        <v>13067</v>
      </c>
      <c r="F7026" s="10" t="s">
        <v>33250</v>
      </c>
      <c r="G7026" s="10" t="s">
        <v>9233</v>
      </c>
      <c r="H7026" s="11">
        <v>41275</v>
      </c>
      <c r="I7026" s="10">
        <v>2013</v>
      </c>
      <c r="J7026" s="10" t="s">
        <v>13067</v>
      </c>
      <c r="K7026" s="10">
        <v>130</v>
      </c>
      <c r="L7026" s="10" t="s">
        <v>33650</v>
      </c>
      <c r="M7026" s="10">
        <v>1</v>
      </c>
      <c r="N7026" s="10" t="s">
        <v>33419</v>
      </c>
      <c r="O7026" s="10">
        <v>59</v>
      </c>
      <c r="P7026" s="10" t="s">
        <v>19534</v>
      </c>
      <c r="Q7026" s="10"/>
      <c r="R7026" s="10" t="s">
        <v>33651</v>
      </c>
      <c r="S7026" s="10" t="s">
        <v>53</v>
      </c>
      <c r="T7026" s="10" t="s">
        <v>54</v>
      </c>
    </row>
    <row r="7027" spans="1:20" ht="14.5" x14ac:dyDescent="0.35">
      <c r="A7027" s="10" t="s">
        <v>33652</v>
      </c>
      <c r="B7027" s="10" t="str">
        <f>"9789462093096"</f>
        <v>9789462093096</v>
      </c>
      <c r="C7027" s="10" t="str">
        <f>"9789462093119"</f>
        <v>9789462093119</v>
      </c>
      <c r="D7027" s="10" t="s">
        <v>8564</v>
      </c>
      <c r="E7027" s="10" t="s">
        <v>13067</v>
      </c>
      <c r="F7027" s="10" t="s">
        <v>33250</v>
      </c>
      <c r="G7027" s="10" t="s">
        <v>9233</v>
      </c>
      <c r="H7027" s="11">
        <v>41275</v>
      </c>
      <c r="I7027" s="10">
        <v>2013</v>
      </c>
      <c r="J7027" s="10" t="s">
        <v>13067</v>
      </c>
      <c r="K7027" s="10">
        <v>219</v>
      </c>
      <c r="L7027" s="10" t="s">
        <v>33653</v>
      </c>
      <c r="M7027" s="10">
        <v>1</v>
      </c>
      <c r="N7027" s="10" t="s">
        <v>33257</v>
      </c>
      <c r="O7027" s="10">
        <v>26</v>
      </c>
      <c r="P7027" s="10" t="s">
        <v>19534</v>
      </c>
      <c r="Q7027" s="10">
        <v>211</v>
      </c>
      <c r="R7027" s="10" t="s">
        <v>33654</v>
      </c>
      <c r="S7027" s="10" t="s">
        <v>53</v>
      </c>
      <c r="T7027" s="10" t="s">
        <v>7863</v>
      </c>
    </row>
    <row r="7028" spans="1:20" ht="14.5" x14ac:dyDescent="0.35">
      <c r="A7028" s="10" t="s">
        <v>33655</v>
      </c>
      <c r="B7028" s="10" t="str">
        <f>"9789462093454"</f>
        <v>9789462093454</v>
      </c>
      <c r="C7028" s="10" t="str">
        <f>"9789462093478"</f>
        <v>9789462093478</v>
      </c>
      <c r="D7028" s="10" t="s">
        <v>8564</v>
      </c>
      <c r="E7028" s="10" t="s">
        <v>13067</v>
      </c>
      <c r="F7028" s="10" t="s">
        <v>33250</v>
      </c>
      <c r="G7028" s="10" t="s">
        <v>9233</v>
      </c>
      <c r="H7028" s="11">
        <v>41275</v>
      </c>
      <c r="I7028" s="10">
        <v>2013</v>
      </c>
      <c r="J7028" s="10" t="s">
        <v>13067</v>
      </c>
      <c r="K7028" s="10">
        <v>275</v>
      </c>
      <c r="L7028" s="10" t="s">
        <v>33656</v>
      </c>
      <c r="M7028" s="10">
        <v>1</v>
      </c>
      <c r="N7028" s="10" t="s">
        <v>33325</v>
      </c>
      <c r="O7028" s="10">
        <v>95</v>
      </c>
      <c r="P7028" s="10" t="s">
        <v>19534</v>
      </c>
      <c r="Q7028" s="10"/>
      <c r="R7028" s="10" t="s">
        <v>33657</v>
      </c>
      <c r="S7028" s="10" t="s">
        <v>53</v>
      </c>
      <c r="T7028" s="10" t="s">
        <v>54</v>
      </c>
    </row>
    <row r="7029" spans="1:20" ht="14.5" x14ac:dyDescent="0.35">
      <c r="A7029" s="10" t="s">
        <v>33658</v>
      </c>
      <c r="B7029" s="10" t="str">
        <f>"9789462093874"</f>
        <v>9789462093874</v>
      </c>
      <c r="C7029" s="10" t="str">
        <f>"9789462093898"</f>
        <v>9789462093898</v>
      </c>
      <c r="D7029" s="10" t="s">
        <v>8564</v>
      </c>
      <c r="E7029" s="10" t="s">
        <v>13067</v>
      </c>
      <c r="F7029" s="10" t="s">
        <v>33250</v>
      </c>
      <c r="G7029" s="10" t="s">
        <v>9233</v>
      </c>
      <c r="H7029" s="11">
        <v>41275</v>
      </c>
      <c r="I7029" s="10">
        <v>2013</v>
      </c>
      <c r="J7029" s="10" t="s">
        <v>13067</v>
      </c>
      <c r="K7029" s="10">
        <v>278</v>
      </c>
      <c r="L7029" s="10" t="s">
        <v>33659</v>
      </c>
      <c r="M7029" s="10">
        <v>1</v>
      </c>
      <c r="N7029" s="10"/>
      <c r="O7029" s="10"/>
      <c r="P7029" s="10" t="s">
        <v>19534</v>
      </c>
      <c r="Q7029" s="10">
        <v>271</v>
      </c>
      <c r="R7029" s="10" t="s">
        <v>33660</v>
      </c>
      <c r="S7029" s="10" t="s">
        <v>53</v>
      </c>
      <c r="T7029" s="10" t="s">
        <v>13459</v>
      </c>
    </row>
    <row r="7030" spans="1:20" ht="14.5" x14ac:dyDescent="0.35">
      <c r="A7030" s="10" t="s">
        <v>33661</v>
      </c>
      <c r="B7030" s="10" t="str">
        <f>"9789462093546"</f>
        <v>9789462093546</v>
      </c>
      <c r="C7030" s="10" t="str">
        <f>"9789462093560"</f>
        <v>9789462093560</v>
      </c>
      <c r="D7030" s="10" t="s">
        <v>8564</v>
      </c>
      <c r="E7030" s="10" t="s">
        <v>13067</v>
      </c>
      <c r="F7030" s="10" t="s">
        <v>33250</v>
      </c>
      <c r="G7030" s="10" t="s">
        <v>9233</v>
      </c>
      <c r="H7030" s="11">
        <v>41275</v>
      </c>
      <c r="I7030" s="10">
        <v>2013</v>
      </c>
      <c r="J7030" s="10" t="s">
        <v>13067</v>
      </c>
      <c r="K7030" s="10">
        <v>121</v>
      </c>
      <c r="L7030" s="10" t="s">
        <v>33662</v>
      </c>
      <c r="M7030" s="10">
        <v>1</v>
      </c>
      <c r="N7030" s="10" t="s">
        <v>33663</v>
      </c>
      <c r="O7030" s="10">
        <v>6</v>
      </c>
      <c r="P7030" s="10" t="s">
        <v>19534</v>
      </c>
      <c r="Q7030" s="10">
        <v>119</v>
      </c>
      <c r="R7030" s="10" t="s">
        <v>33664</v>
      </c>
      <c r="S7030" s="10" t="s">
        <v>53</v>
      </c>
      <c r="T7030" s="10" t="s">
        <v>6521</v>
      </c>
    </row>
    <row r="7031" spans="1:20" ht="14.5" x14ac:dyDescent="0.35">
      <c r="A7031" s="10" t="s">
        <v>33665</v>
      </c>
      <c r="B7031" s="10" t="str">
        <f>"9789462094147"</f>
        <v>9789462094147</v>
      </c>
      <c r="C7031" s="10" t="str">
        <f>"9789462094161"</f>
        <v>9789462094161</v>
      </c>
      <c r="D7031" s="10" t="s">
        <v>8564</v>
      </c>
      <c r="E7031" s="10" t="s">
        <v>13067</v>
      </c>
      <c r="F7031" s="10" t="s">
        <v>33250</v>
      </c>
      <c r="G7031" s="10" t="s">
        <v>9233</v>
      </c>
      <c r="H7031" s="11">
        <v>41275</v>
      </c>
      <c r="I7031" s="10">
        <v>2013</v>
      </c>
      <c r="J7031" s="10" t="s">
        <v>13067</v>
      </c>
      <c r="K7031" s="10">
        <v>195</v>
      </c>
      <c r="L7031" s="10" t="s">
        <v>33666</v>
      </c>
      <c r="M7031" s="10">
        <v>1</v>
      </c>
      <c r="N7031" s="10" t="s">
        <v>33325</v>
      </c>
      <c r="O7031" s="10">
        <v>98</v>
      </c>
      <c r="P7031" s="10" t="s">
        <v>19534</v>
      </c>
      <c r="Q7031" s="10"/>
      <c r="R7031" s="10"/>
      <c r="S7031" s="10" t="s">
        <v>53</v>
      </c>
      <c r="T7031" s="10" t="s">
        <v>54</v>
      </c>
    </row>
    <row r="7032" spans="1:20" ht="14.5" x14ac:dyDescent="0.35">
      <c r="A7032" s="10" t="s">
        <v>33667</v>
      </c>
      <c r="B7032" s="10" t="str">
        <f>"9789462093393"</f>
        <v>9789462093393</v>
      </c>
      <c r="C7032" s="10" t="str">
        <f>"9789462093416"</f>
        <v>9789462093416</v>
      </c>
      <c r="D7032" s="10" t="s">
        <v>8564</v>
      </c>
      <c r="E7032" s="10" t="s">
        <v>13067</v>
      </c>
      <c r="F7032" s="10" t="s">
        <v>33250</v>
      </c>
      <c r="G7032" s="10" t="s">
        <v>9233</v>
      </c>
      <c r="H7032" s="11">
        <v>41275</v>
      </c>
      <c r="I7032" s="10">
        <v>2013</v>
      </c>
      <c r="J7032" s="10" t="s">
        <v>13067</v>
      </c>
      <c r="K7032" s="10">
        <v>224</v>
      </c>
      <c r="L7032" s="10" t="s">
        <v>33668</v>
      </c>
      <c r="M7032" s="10">
        <v>1</v>
      </c>
      <c r="N7032" s="10"/>
      <c r="O7032" s="10"/>
      <c r="P7032" s="10" t="s">
        <v>19534</v>
      </c>
      <c r="Q7032" s="10">
        <v>221</v>
      </c>
      <c r="R7032" s="10" t="s">
        <v>33669</v>
      </c>
      <c r="S7032" s="10" t="s">
        <v>53</v>
      </c>
      <c r="T7032" s="10" t="s">
        <v>7863</v>
      </c>
    </row>
    <row r="7033" spans="1:20" ht="14.5" x14ac:dyDescent="0.35">
      <c r="A7033" s="10" t="s">
        <v>33670</v>
      </c>
      <c r="B7033" s="10" t="str">
        <f>"9789462093669"</f>
        <v>9789462093669</v>
      </c>
      <c r="C7033" s="10" t="str">
        <f>"9789462093683"</f>
        <v>9789462093683</v>
      </c>
      <c r="D7033" s="10" t="s">
        <v>8564</v>
      </c>
      <c r="E7033" s="10" t="s">
        <v>8565</v>
      </c>
      <c r="F7033" s="10" t="s">
        <v>1420</v>
      </c>
      <c r="G7033" s="10" t="s">
        <v>6317</v>
      </c>
      <c r="H7033" s="11">
        <v>41275</v>
      </c>
      <c r="I7033" s="10">
        <v>2013</v>
      </c>
      <c r="J7033" s="10" t="s">
        <v>33259</v>
      </c>
      <c r="K7033" s="10">
        <v>227</v>
      </c>
      <c r="L7033" s="10" t="s">
        <v>33671</v>
      </c>
      <c r="M7033" s="10">
        <v>1</v>
      </c>
      <c r="N7033" s="10"/>
      <c r="O7033" s="10"/>
      <c r="P7033" s="10" t="s">
        <v>19534</v>
      </c>
      <c r="Q7033" s="10"/>
      <c r="R7033" s="10" t="s">
        <v>33672</v>
      </c>
      <c r="S7033" s="10" t="s">
        <v>53</v>
      </c>
      <c r="T7033" s="10" t="s">
        <v>54</v>
      </c>
    </row>
    <row r="7034" spans="1:20" ht="14.5" x14ac:dyDescent="0.35">
      <c r="A7034" s="10" t="s">
        <v>33673</v>
      </c>
      <c r="B7034" s="10" t="str">
        <f>"9789462093423"</f>
        <v>9789462093423</v>
      </c>
      <c r="C7034" s="10" t="str">
        <f>"9789462093447"</f>
        <v>9789462093447</v>
      </c>
      <c r="D7034" s="10" t="s">
        <v>8564</v>
      </c>
      <c r="E7034" s="10" t="s">
        <v>13067</v>
      </c>
      <c r="F7034" s="10" t="s">
        <v>33250</v>
      </c>
      <c r="G7034" s="10" t="s">
        <v>9233</v>
      </c>
      <c r="H7034" s="11">
        <v>41275</v>
      </c>
      <c r="I7034" s="10">
        <v>2013</v>
      </c>
      <c r="J7034" s="10" t="s">
        <v>13067</v>
      </c>
      <c r="K7034" s="10">
        <v>225</v>
      </c>
      <c r="L7034" s="10" t="s">
        <v>33674</v>
      </c>
      <c r="M7034" s="10">
        <v>1</v>
      </c>
      <c r="N7034" s="10" t="s">
        <v>33307</v>
      </c>
      <c r="O7034" s="10">
        <v>21</v>
      </c>
      <c r="P7034" s="10" t="s">
        <v>19534</v>
      </c>
      <c r="Q7034" s="10">
        <v>371.90474094289999</v>
      </c>
      <c r="R7034" s="10" t="s">
        <v>33675</v>
      </c>
      <c r="S7034" s="10" t="s">
        <v>53</v>
      </c>
      <c r="T7034" s="10" t="s">
        <v>54</v>
      </c>
    </row>
    <row r="7035" spans="1:20" ht="14.5" x14ac:dyDescent="0.35">
      <c r="A7035" s="10" t="s">
        <v>33676</v>
      </c>
      <c r="B7035" s="10" t="str">
        <f>"9789462093997"</f>
        <v>9789462093997</v>
      </c>
      <c r="C7035" s="10" t="str">
        <f>"9789462094017"</f>
        <v>9789462094017</v>
      </c>
      <c r="D7035" s="10" t="s">
        <v>8564</v>
      </c>
      <c r="E7035" s="10" t="s">
        <v>13067</v>
      </c>
      <c r="F7035" s="10" t="s">
        <v>33250</v>
      </c>
      <c r="G7035" s="10" t="s">
        <v>9233</v>
      </c>
      <c r="H7035" s="11">
        <v>41275</v>
      </c>
      <c r="I7035" s="10">
        <v>2013</v>
      </c>
      <c r="J7035" s="10" t="s">
        <v>13067</v>
      </c>
      <c r="K7035" s="10">
        <v>143</v>
      </c>
      <c r="L7035" s="10" t="s">
        <v>33677</v>
      </c>
      <c r="M7035" s="10">
        <v>1</v>
      </c>
      <c r="N7035" s="10" t="s">
        <v>33369</v>
      </c>
      <c r="O7035" s="10">
        <v>5</v>
      </c>
      <c r="P7035" s="10" t="s">
        <v>19534</v>
      </c>
      <c r="Q7035" s="10">
        <v>133</v>
      </c>
      <c r="R7035" s="10" t="s">
        <v>33678</v>
      </c>
      <c r="S7035" s="10" t="s">
        <v>53</v>
      </c>
      <c r="T7035" s="10" t="s">
        <v>6521</v>
      </c>
    </row>
    <row r="7036" spans="1:20" ht="14.5" x14ac:dyDescent="0.35">
      <c r="A7036" s="10" t="s">
        <v>33679</v>
      </c>
      <c r="B7036" s="10" t="str">
        <f>"9789462093843"</f>
        <v>9789462093843</v>
      </c>
      <c r="C7036" s="10" t="str">
        <f>"9789462093867"</f>
        <v>9789462093867</v>
      </c>
      <c r="D7036" s="10" t="s">
        <v>8564</v>
      </c>
      <c r="E7036" s="10" t="s">
        <v>13067</v>
      </c>
      <c r="F7036" s="10" t="s">
        <v>33250</v>
      </c>
      <c r="G7036" s="10" t="s">
        <v>9233</v>
      </c>
      <c r="H7036" s="11">
        <v>41275</v>
      </c>
      <c r="I7036" s="10">
        <v>2013</v>
      </c>
      <c r="J7036" s="10" t="s">
        <v>13067</v>
      </c>
      <c r="K7036" s="10">
        <v>266</v>
      </c>
      <c r="L7036" s="10" t="s">
        <v>33680</v>
      </c>
      <c r="M7036" s="10">
        <v>1</v>
      </c>
      <c r="N7036" s="10"/>
      <c r="O7036" s="10"/>
      <c r="P7036" s="10" t="s">
        <v>19534</v>
      </c>
      <c r="Q7036" s="10">
        <v>247</v>
      </c>
      <c r="R7036" s="10" t="s">
        <v>33681</v>
      </c>
      <c r="S7036" s="10" t="s">
        <v>53</v>
      </c>
      <c r="T7036" s="10" t="s">
        <v>13459</v>
      </c>
    </row>
    <row r="7037" spans="1:20" ht="14.5" x14ac:dyDescent="0.35">
      <c r="A7037" s="10" t="s">
        <v>33682</v>
      </c>
      <c r="B7037" s="10" t="str">
        <f>"9789462093720"</f>
        <v>9789462093720</v>
      </c>
      <c r="C7037" s="10" t="str">
        <f>"9789462093744"</f>
        <v>9789462093744</v>
      </c>
      <c r="D7037" s="10" t="s">
        <v>8564</v>
      </c>
      <c r="E7037" s="10" t="s">
        <v>13067</v>
      </c>
      <c r="F7037" s="10" t="s">
        <v>33250</v>
      </c>
      <c r="G7037" s="10" t="s">
        <v>9233</v>
      </c>
      <c r="H7037" s="11">
        <v>41275</v>
      </c>
      <c r="I7037" s="10">
        <v>2013</v>
      </c>
      <c r="J7037" s="10" t="s">
        <v>13067</v>
      </c>
      <c r="K7037" s="10">
        <v>170</v>
      </c>
      <c r="L7037" s="10" t="s">
        <v>33683</v>
      </c>
      <c r="M7037" s="10">
        <v>1</v>
      </c>
      <c r="N7037" s="10" t="s">
        <v>33325</v>
      </c>
      <c r="O7037" s="10">
        <v>97</v>
      </c>
      <c r="P7037" s="10" t="s">
        <v>19534</v>
      </c>
      <c r="Q7037" s="10">
        <v>370.11500000000001</v>
      </c>
      <c r="R7037" s="10" t="s">
        <v>33684</v>
      </c>
      <c r="S7037" s="10" t="s">
        <v>53</v>
      </c>
      <c r="T7037" s="10" t="s">
        <v>54</v>
      </c>
    </row>
    <row r="7038" spans="1:20" ht="14.5" x14ac:dyDescent="0.35">
      <c r="A7038" s="10" t="s">
        <v>33685</v>
      </c>
      <c r="B7038" s="10" t="str">
        <f>"9789462092198"</f>
        <v>9789462092198</v>
      </c>
      <c r="C7038" s="10" t="str">
        <f>"9789462092211"</f>
        <v>9789462092211</v>
      </c>
      <c r="D7038" s="10" t="s">
        <v>8564</v>
      </c>
      <c r="E7038" s="10" t="s">
        <v>13067</v>
      </c>
      <c r="F7038" s="10" t="s">
        <v>33250</v>
      </c>
      <c r="G7038" s="10" t="s">
        <v>9233</v>
      </c>
      <c r="H7038" s="11">
        <v>41275</v>
      </c>
      <c r="I7038" s="10">
        <v>2013</v>
      </c>
      <c r="J7038" s="10" t="s">
        <v>13067</v>
      </c>
      <c r="K7038" s="10">
        <v>131</v>
      </c>
      <c r="L7038" s="10" t="s">
        <v>33686</v>
      </c>
      <c r="M7038" s="10">
        <v>1</v>
      </c>
      <c r="N7038" s="10" t="s">
        <v>33408</v>
      </c>
      <c r="O7038" s="10">
        <v>4</v>
      </c>
      <c r="P7038" s="10" t="s">
        <v>19534</v>
      </c>
      <c r="Q7038" s="10"/>
      <c r="R7038" s="10" t="s">
        <v>33687</v>
      </c>
      <c r="S7038" s="10" t="s">
        <v>53</v>
      </c>
      <c r="T7038" s="10" t="s">
        <v>54</v>
      </c>
    </row>
    <row r="7039" spans="1:20" ht="14.5" x14ac:dyDescent="0.35">
      <c r="A7039" s="10" t="s">
        <v>33688</v>
      </c>
      <c r="B7039" s="10" t="str">
        <f>"9789462094598"</f>
        <v>9789462094598</v>
      </c>
      <c r="C7039" s="10" t="str">
        <f>"9789462094611"</f>
        <v>9789462094611</v>
      </c>
      <c r="D7039" s="10" t="s">
        <v>8564</v>
      </c>
      <c r="E7039" s="10" t="s">
        <v>13067</v>
      </c>
      <c r="F7039" s="10" t="s">
        <v>33250</v>
      </c>
      <c r="G7039" s="10" t="s">
        <v>9233</v>
      </c>
      <c r="H7039" s="11">
        <v>41275</v>
      </c>
      <c r="I7039" s="10">
        <v>2013</v>
      </c>
      <c r="J7039" s="10" t="s">
        <v>13067</v>
      </c>
      <c r="K7039" s="10">
        <v>118</v>
      </c>
      <c r="L7039" s="10" t="s">
        <v>33689</v>
      </c>
      <c r="M7039" s="10">
        <v>1</v>
      </c>
      <c r="N7039" s="10" t="s">
        <v>33264</v>
      </c>
      <c r="O7039" s="10">
        <v>30</v>
      </c>
      <c r="P7039" s="10" t="s">
        <v>19534</v>
      </c>
      <c r="Q7039" s="10"/>
      <c r="R7039" s="10" t="s">
        <v>33690</v>
      </c>
      <c r="S7039" s="10" t="s">
        <v>53</v>
      </c>
      <c r="T7039" s="10" t="s">
        <v>54</v>
      </c>
    </row>
    <row r="7040" spans="1:20" ht="14.5" x14ac:dyDescent="0.35">
      <c r="A7040" s="10" t="s">
        <v>33691</v>
      </c>
      <c r="B7040" s="10" t="str">
        <f>"9789462093690"</f>
        <v>9789462093690</v>
      </c>
      <c r="C7040" s="10" t="str">
        <f>"9789462093713"</f>
        <v>9789462093713</v>
      </c>
      <c r="D7040" s="10" t="s">
        <v>8564</v>
      </c>
      <c r="E7040" s="10" t="s">
        <v>13067</v>
      </c>
      <c r="F7040" s="10" t="s">
        <v>33250</v>
      </c>
      <c r="G7040" s="10" t="s">
        <v>9233</v>
      </c>
      <c r="H7040" s="11">
        <v>41275</v>
      </c>
      <c r="I7040" s="10">
        <v>2013</v>
      </c>
      <c r="J7040" s="10" t="s">
        <v>13067</v>
      </c>
      <c r="K7040" s="10">
        <v>174</v>
      </c>
      <c r="L7040" s="10" t="s">
        <v>33692</v>
      </c>
      <c r="M7040" s="10">
        <v>1</v>
      </c>
      <c r="N7040" s="10" t="s">
        <v>33307</v>
      </c>
      <c r="O7040" s="10">
        <v>22</v>
      </c>
      <c r="P7040" s="10" t="s">
        <v>19534</v>
      </c>
      <c r="Q7040" s="10"/>
      <c r="R7040" s="10" t="s">
        <v>33693</v>
      </c>
      <c r="S7040" s="10" t="s">
        <v>53</v>
      </c>
      <c r="T7040" s="10" t="s">
        <v>54</v>
      </c>
    </row>
    <row r="7041" spans="1:20" ht="14.5" x14ac:dyDescent="0.35">
      <c r="A7041" s="10" t="s">
        <v>33694</v>
      </c>
      <c r="B7041" s="10" t="str">
        <f>"9789462093966"</f>
        <v>9789462093966</v>
      </c>
      <c r="C7041" s="10" t="str">
        <f>"9789462093980"</f>
        <v>9789462093980</v>
      </c>
      <c r="D7041" s="10" t="s">
        <v>8564</v>
      </c>
      <c r="E7041" s="10" t="s">
        <v>8565</v>
      </c>
      <c r="F7041" s="10" t="s">
        <v>1420</v>
      </c>
      <c r="G7041" s="10" t="s">
        <v>6317</v>
      </c>
      <c r="H7041" s="11">
        <v>41275</v>
      </c>
      <c r="I7041" s="10">
        <v>2013</v>
      </c>
      <c r="J7041" s="10" t="s">
        <v>33259</v>
      </c>
      <c r="K7041" s="10">
        <v>162</v>
      </c>
      <c r="L7041" s="10" t="s">
        <v>33695</v>
      </c>
      <c r="M7041" s="10">
        <v>1</v>
      </c>
      <c r="N7041" s="10" t="s">
        <v>33696</v>
      </c>
      <c r="O7041" s="10">
        <v>4</v>
      </c>
      <c r="P7041" s="10" t="s">
        <v>33697</v>
      </c>
      <c r="Q7041" s="10"/>
      <c r="R7041" s="10" t="s">
        <v>33698</v>
      </c>
      <c r="S7041" s="10" t="s">
        <v>53</v>
      </c>
      <c r="T7041" s="10" t="s">
        <v>1166</v>
      </c>
    </row>
    <row r="7042" spans="1:20" ht="14.5" x14ac:dyDescent="0.35">
      <c r="A7042" s="10" t="s">
        <v>33699</v>
      </c>
      <c r="B7042" s="10" t="str">
        <f>"9789462094208"</f>
        <v>9789462094208</v>
      </c>
      <c r="C7042" s="10" t="str">
        <f>"9789462094222"</f>
        <v>9789462094222</v>
      </c>
      <c r="D7042" s="10" t="s">
        <v>8564</v>
      </c>
      <c r="E7042" s="10" t="s">
        <v>13067</v>
      </c>
      <c r="F7042" s="10" t="s">
        <v>33250</v>
      </c>
      <c r="G7042" s="10" t="s">
        <v>9233</v>
      </c>
      <c r="H7042" s="11">
        <v>41275</v>
      </c>
      <c r="I7042" s="10">
        <v>2013</v>
      </c>
      <c r="J7042" s="10" t="s">
        <v>13067</v>
      </c>
      <c r="K7042" s="10">
        <v>148</v>
      </c>
      <c r="L7042" s="10" t="s">
        <v>33700</v>
      </c>
      <c r="M7042" s="10">
        <v>1</v>
      </c>
      <c r="N7042" s="10" t="s">
        <v>33307</v>
      </c>
      <c r="O7042" s="10">
        <v>24</v>
      </c>
      <c r="P7042" s="10" t="s">
        <v>19534</v>
      </c>
      <c r="Q7042" s="10">
        <v>362.40719999999999</v>
      </c>
      <c r="R7042" s="10"/>
      <c r="S7042" s="10" t="s">
        <v>53</v>
      </c>
      <c r="T7042" s="10" t="s">
        <v>6526</v>
      </c>
    </row>
    <row r="7043" spans="1:20" ht="14.5" x14ac:dyDescent="0.35">
      <c r="A7043" s="10" t="s">
        <v>33701</v>
      </c>
      <c r="B7043" s="10" t="str">
        <f>"9789462093157"</f>
        <v>9789462093157</v>
      </c>
      <c r="C7043" s="10" t="str">
        <f>"9789462093171"</f>
        <v>9789462093171</v>
      </c>
      <c r="D7043" s="10" t="s">
        <v>8564</v>
      </c>
      <c r="E7043" s="10" t="s">
        <v>13067</v>
      </c>
      <c r="F7043" s="10" t="s">
        <v>33250</v>
      </c>
      <c r="G7043" s="10" t="s">
        <v>9233</v>
      </c>
      <c r="H7043" s="11">
        <v>41275</v>
      </c>
      <c r="I7043" s="10">
        <v>2013</v>
      </c>
      <c r="J7043" s="10" t="s">
        <v>13067</v>
      </c>
      <c r="K7043" s="10">
        <v>347</v>
      </c>
      <c r="L7043" s="10" t="s">
        <v>33702</v>
      </c>
      <c r="M7043" s="10">
        <v>1</v>
      </c>
      <c r="N7043" s="10"/>
      <c r="O7043" s="10"/>
      <c r="P7043" s="10" t="s">
        <v>19534</v>
      </c>
      <c r="Q7043" s="10"/>
      <c r="R7043" s="10" t="s">
        <v>33703</v>
      </c>
      <c r="S7043" s="10" t="s">
        <v>53</v>
      </c>
      <c r="T7043" s="10" t="s">
        <v>54</v>
      </c>
    </row>
    <row r="7044" spans="1:20" ht="14.5" x14ac:dyDescent="0.35">
      <c r="A7044" s="10" t="s">
        <v>33704</v>
      </c>
      <c r="B7044" s="10" t="str">
        <f>"9789462093751"</f>
        <v>9789462093751</v>
      </c>
      <c r="C7044" s="10" t="str">
        <f>"9789462093775"</f>
        <v>9789462093775</v>
      </c>
      <c r="D7044" s="10" t="s">
        <v>8564</v>
      </c>
      <c r="E7044" s="10" t="s">
        <v>13067</v>
      </c>
      <c r="F7044" s="10" t="s">
        <v>33250</v>
      </c>
      <c r="G7044" s="10" t="s">
        <v>9233</v>
      </c>
      <c r="H7044" s="11">
        <v>41275</v>
      </c>
      <c r="I7044" s="10">
        <v>2013</v>
      </c>
      <c r="J7044" s="10" t="s">
        <v>13067</v>
      </c>
      <c r="K7044" s="10">
        <v>163</v>
      </c>
      <c r="L7044" s="10" t="s">
        <v>33705</v>
      </c>
      <c r="M7044" s="10">
        <v>1</v>
      </c>
      <c r="N7044" s="10" t="s">
        <v>33332</v>
      </c>
      <c r="O7044" s="10">
        <v>6</v>
      </c>
      <c r="P7044" s="10" t="s">
        <v>19534</v>
      </c>
      <c r="Q7044" s="10"/>
      <c r="R7044" s="10" t="s">
        <v>21642</v>
      </c>
      <c r="S7044" s="10" t="s">
        <v>53</v>
      </c>
      <c r="T7044" s="10" t="s">
        <v>54</v>
      </c>
    </row>
    <row r="7045" spans="1:20" ht="14.5" x14ac:dyDescent="0.35">
      <c r="A7045" s="10" t="s">
        <v>33706</v>
      </c>
      <c r="B7045" s="10" t="str">
        <f>"9789462093935"</f>
        <v>9789462093935</v>
      </c>
      <c r="C7045" s="10" t="str">
        <f>"9789462093959"</f>
        <v>9789462093959</v>
      </c>
      <c r="D7045" s="10" t="s">
        <v>8564</v>
      </c>
      <c r="E7045" s="10" t="s">
        <v>13067</v>
      </c>
      <c r="F7045" s="10" t="s">
        <v>33250</v>
      </c>
      <c r="G7045" s="10" t="s">
        <v>9233</v>
      </c>
      <c r="H7045" s="11">
        <v>41275</v>
      </c>
      <c r="I7045" s="10">
        <v>2013</v>
      </c>
      <c r="J7045" s="10" t="s">
        <v>13067</v>
      </c>
      <c r="K7045" s="10">
        <v>187</v>
      </c>
      <c r="L7045" s="10" t="s">
        <v>33707</v>
      </c>
      <c r="M7045" s="10">
        <v>1</v>
      </c>
      <c r="N7045" s="10"/>
      <c r="O7045" s="10"/>
      <c r="P7045" s="10" t="s">
        <v>19534</v>
      </c>
      <c r="Q7045" s="10">
        <v>371.10219999999998</v>
      </c>
      <c r="R7045" s="10" t="s">
        <v>13858</v>
      </c>
      <c r="S7045" s="10" t="s">
        <v>53</v>
      </c>
      <c r="T7045" s="10" t="s">
        <v>54</v>
      </c>
    </row>
    <row r="7046" spans="1:20" ht="14.5" x14ac:dyDescent="0.35">
      <c r="A7046" s="10" t="s">
        <v>33708</v>
      </c>
      <c r="B7046" s="10" t="str">
        <f>"9789462094260"</f>
        <v>9789462094260</v>
      </c>
      <c r="C7046" s="10" t="str">
        <f>"9789462094284"</f>
        <v>9789462094284</v>
      </c>
      <c r="D7046" s="10" t="s">
        <v>8564</v>
      </c>
      <c r="E7046" s="10" t="s">
        <v>13067</v>
      </c>
      <c r="F7046" s="10" t="s">
        <v>33250</v>
      </c>
      <c r="G7046" s="10" t="s">
        <v>9233</v>
      </c>
      <c r="H7046" s="11">
        <v>41275</v>
      </c>
      <c r="I7046" s="10">
        <v>2013</v>
      </c>
      <c r="J7046" s="10" t="s">
        <v>13067</v>
      </c>
      <c r="K7046" s="10">
        <v>339</v>
      </c>
      <c r="L7046" s="10" t="s">
        <v>33709</v>
      </c>
      <c r="M7046" s="10">
        <v>1</v>
      </c>
      <c r="N7046" s="10" t="s">
        <v>33419</v>
      </c>
      <c r="O7046" s="10">
        <v>60</v>
      </c>
      <c r="P7046" s="10" t="s">
        <v>19534</v>
      </c>
      <c r="Q7046" s="10"/>
      <c r="R7046" s="10" t="s">
        <v>33710</v>
      </c>
      <c r="S7046" s="10" t="s">
        <v>53</v>
      </c>
      <c r="T7046" s="10" t="s">
        <v>54</v>
      </c>
    </row>
    <row r="7047" spans="1:20" ht="14.5" x14ac:dyDescent="0.35">
      <c r="A7047" s="10" t="s">
        <v>33711</v>
      </c>
      <c r="B7047" s="10" t="str">
        <f>"9789462094086"</f>
        <v>9789462094086</v>
      </c>
      <c r="C7047" s="10" t="str">
        <f>"9789462094109"</f>
        <v>9789462094109</v>
      </c>
      <c r="D7047" s="10" t="s">
        <v>8564</v>
      </c>
      <c r="E7047" s="10" t="s">
        <v>13067</v>
      </c>
      <c r="F7047" s="10" t="s">
        <v>33250</v>
      </c>
      <c r="G7047" s="10" t="s">
        <v>9233</v>
      </c>
      <c r="H7047" s="11">
        <v>41275</v>
      </c>
      <c r="I7047" s="10">
        <v>2013</v>
      </c>
      <c r="J7047" s="10" t="s">
        <v>13067</v>
      </c>
      <c r="K7047" s="10">
        <v>256</v>
      </c>
      <c r="L7047" s="10" t="s">
        <v>33712</v>
      </c>
      <c r="M7047" s="10">
        <v>1</v>
      </c>
      <c r="N7047" s="10" t="s">
        <v>33381</v>
      </c>
      <c r="O7047" s="10">
        <v>9</v>
      </c>
      <c r="P7047" s="10" t="s">
        <v>19534</v>
      </c>
      <c r="Q7047" s="10">
        <v>305.8</v>
      </c>
      <c r="R7047" s="10" t="s">
        <v>33713</v>
      </c>
      <c r="S7047" s="10" t="s">
        <v>53</v>
      </c>
      <c r="T7047" s="10" t="s">
        <v>6472</v>
      </c>
    </row>
    <row r="7048" spans="1:20" ht="14.5" x14ac:dyDescent="0.35">
      <c r="A7048" s="10" t="s">
        <v>33714</v>
      </c>
      <c r="B7048" s="10" t="str">
        <f>"9789462094352"</f>
        <v>9789462094352</v>
      </c>
      <c r="C7048" s="10" t="str">
        <f>"9789462094376"</f>
        <v>9789462094376</v>
      </c>
      <c r="D7048" s="10" t="s">
        <v>8564</v>
      </c>
      <c r="E7048" s="10" t="s">
        <v>8565</v>
      </c>
      <c r="F7048" s="10" t="s">
        <v>1420</v>
      </c>
      <c r="G7048" s="10" t="s">
        <v>6317</v>
      </c>
      <c r="H7048" s="11">
        <v>41275</v>
      </c>
      <c r="I7048" s="10">
        <v>2013</v>
      </c>
      <c r="J7048" s="10" t="s">
        <v>33259</v>
      </c>
      <c r="K7048" s="10">
        <v>178</v>
      </c>
      <c r="L7048" s="10" t="s">
        <v>33715</v>
      </c>
      <c r="M7048" s="10">
        <v>1</v>
      </c>
      <c r="N7048" s="10" t="s">
        <v>33716</v>
      </c>
      <c r="O7048" s="10">
        <v>11</v>
      </c>
      <c r="P7048" s="10" t="s">
        <v>33717</v>
      </c>
      <c r="Q7048" s="10"/>
      <c r="R7048" s="10" t="s">
        <v>33718</v>
      </c>
      <c r="S7048" s="10" t="s">
        <v>53</v>
      </c>
      <c r="T7048" s="10" t="s">
        <v>54</v>
      </c>
    </row>
    <row r="7049" spans="1:20" ht="14.5" x14ac:dyDescent="0.35">
      <c r="A7049" s="10" t="s">
        <v>33719</v>
      </c>
      <c r="B7049" s="10" t="str">
        <f>"9789462093812"</f>
        <v>9789462093812</v>
      </c>
      <c r="C7049" s="10" t="str">
        <f>"9789462093836"</f>
        <v>9789462093836</v>
      </c>
      <c r="D7049" s="10" t="s">
        <v>8564</v>
      </c>
      <c r="E7049" s="10" t="s">
        <v>13067</v>
      </c>
      <c r="F7049" s="10" t="s">
        <v>33250</v>
      </c>
      <c r="G7049" s="10" t="s">
        <v>9233</v>
      </c>
      <c r="H7049" s="11">
        <v>41275</v>
      </c>
      <c r="I7049" s="10">
        <v>2013</v>
      </c>
      <c r="J7049" s="10" t="s">
        <v>13067</v>
      </c>
      <c r="K7049" s="10">
        <v>149</v>
      </c>
      <c r="L7049" s="10" t="s">
        <v>33720</v>
      </c>
      <c r="M7049" s="10">
        <v>1</v>
      </c>
      <c r="N7049" s="10" t="s">
        <v>33264</v>
      </c>
      <c r="O7049" s="10">
        <v>28</v>
      </c>
      <c r="P7049" s="10" t="s">
        <v>19534</v>
      </c>
      <c r="Q7049" s="10">
        <v>379</v>
      </c>
      <c r="R7049" s="10" t="s">
        <v>33612</v>
      </c>
      <c r="S7049" s="10" t="s">
        <v>53</v>
      </c>
      <c r="T7049" s="10" t="s">
        <v>54</v>
      </c>
    </row>
    <row r="7050" spans="1:20" ht="14.5" x14ac:dyDescent="0.35">
      <c r="A7050" s="10" t="s">
        <v>33721</v>
      </c>
      <c r="B7050" s="10" t="str">
        <f>"9789462093577"</f>
        <v>9789462093577</v>
      </c>
      <c r="C7050" s="10" t="str">
        <f>"9789462093591"</f>
        <v>9789462093591</v>
      </c>
      <c r="D7050" s="10" t="s">
        <v>8564</v>
      </c>
      <c r="E7050" s="10" t="s">
        <v>13067</v>
      </c>
      <c r="F7050" s="10" t="s">
        <v>33250</v>
      </c>
      <c r="G7050" s="10" t="s">
        <v>9233</v>
      </c>
      <c r="H7050" s="11">
        <v>41275</v>
      </c>
      <c r="I7050" s="10">
        <v>2013</v>
      </c>
      <c r="J7050" s="10" t="s">
        <v>13067</v>
      </c>
      <c r="K7050" s="10">
        <v>557</v>
      </c>
      <c r="L7050" s="10" t="s">
        <v>33722</v>
      </c>
      <c r="M7050" s="10">
        <v>1</v>
      </c>
      <c r="N7050" s="10"/>
      <c r="O7050" s="10"/>
      <c r="P7050" s="10" t="s">
        <v>33723</v>
      </c>
      <c r="Q7050" s="10"/>
      <c r="R7050" s="10"/>
      <c r="S7050" s="10" t="s">
        <v>53</v>
      </c>
      <c r="T7050" s="10" t="s">
        <v>6660</v>
      </c>
    </row>
    <row r="7051" spans="1:20" ht="14.5" x14ac:dyDescent="0.35">
      <c r="A7051" s="10" t="s">
        <v>33724</v>
      </c>
      <c r="B7051" s="10" t="str">
        <f>"9789462093249"</f>
        <v>9789462093249</v>
      </c>
      <c r="C7051" s="10" t="str">
        <f>"9789462093263"</f>
        <v>9789462093263</v>
      </c>
      <c r="D7051" s="10" t="s">
        <v>8564</v>
      </c>
      <c r="E7051" s="10" t="s">
        <v>13067</v>
      </c>
      <c r="F7051" s="10" t="s">
        <v>33250</v>
      </c>
      <c r="G7051" s="10" t="s">
        <v>9233</v>
      </c>
      <c r="H7051" s="11">
        <v>41275</v>
      </c>
      <c r="I7051" s="10">
        <v>2013</v>
      </c>
      <c r="J7051" s="10" t="s">
        <v>13067</v>
      </c>
      <c r="K7051" s="10">
        <v>293</v>
      </c>
      <c r="L7051" s="10" t="s">
        <v>33725</v>
      </c>
      <c r="M7051" s="10">
        <v>1</v>
      </c>
      <c r="N7051" s="10"/>
      <c r="O7051" s="10"/>
      <c r="P7051" s="10" t="s">
        <v>19534</v>
      </c>
      <c r="Q7051" s="10">
        <v>658.31240000000003</v>
      </c>
      <c r="R7051" s="10" t="s">
        <v>33726</v>
      </c>
      <c r="S7051" s="10" t="s">
        <v>53</v>
      </c>
      <c r="T7051" s="10" t="s">
        <v>8755</v>
      </c>
    </row>
    <row r="7052" spans="1:20" ht="14.5" x14ac:dyDescent="0.35">
      <c r="A7052" s="10" t="s">
        <v>33727</v>
      </c>
      <c r="B7052" s="10" t="str">
        <f>"9789462094680"</f>
        <v>9789462094680</v>
      </c>
      <c r="C7052" s="10" t="str">
        <f>"9789462094703"</f>
        <v>9789462094703</v>
      </c>
      <c r="D7052" s="10" t="s">
        <v>8564</v>
      </c>
      <c r="E7052" s="10" t="s">
        <v>13067</v>
      </c>
      <c r="F7052" s="10" t="s">
        <v>33250</v>
      </c>
      <c r="G7052" s="10" t="s">
        <v>9233</v>
      </c>
      <c r="H7052" s="11">
        <v>41275</v>
      </c>
      <c r="I7052" s="10">
        <v>2013</v>
      </c>
      <c r="J7052" s="10" t="s">
        <v>13067</v>
      </c>
      <c r="K7052" s="10">
        <v>378</v>
      </c>
      <c r="L7052" s="10" t="s">
        <v>33728</v>
      </c>
      <c r="M7052" s="10">
        <v>1</v>
      </c>
      <c r="N7052" s="10"/>
      <c r="O7052" s="10"/>
      <c r="P7052" s="10" t="s">
        <v>19534</v>
      </c>
      <c r="Q7052" s="10">
        <v>370.1</v>
      </c>
      <c r="R7052" s="10" t="s">
        <v>33729</v>
      </c>
      <c r="S7052" s="10" t="s">
        <v>53</v>
      </c>
      <c r="T7052" s="10" t="s">
        <v>54</v>
      </c>
    </row>
    <row r="7053" spans="1:20" ht="14.5" x14ac:dyDescent="0.35">
      <c r="A7053" s="10" t="s">
        <v>33730</v>
      </c>
      <c r="B7053" s="10" t="str">
        <f>"9789462094239"</f>
        <v>9789462094239</v>
      </c>
      <c r="C7053" s="10" t="str">
        <f>"9789462094253"</f>
        <v>9789462094253</v>
      </c>
      <c r="D7053" s="10" t="s">
        <v>8564</v>
      </c>
      <c r="E7053" s="10" t="s">
        <v>13067</v>
      </c>
      <c r="F7053" s="10" t="s">
        <v>33250</v>
      </c>
      <c r="G7053" s="10" t="s">
        <v>9233</v>
      </c>
      <c r="H7053" s="11">
        <v>41275</v>
      </c>
      <c r="I7053" s="10">
        <v>2013</v>
      </c>
      <c r="J7053" s="10" t="s">
        <v>13067</v>
      </c>
      <c r="K7053" s="10">
        <v>320</v>
      </c>
      <c r="L7053" s="10" t="s">
        <v>33731</v>
      </c>
      <c r="M7053" s="10">
        <v>1</v>
      </c>
      <c r="N7053" s="10"/>
      <c r="O7053" s="10"/>
      <c r="P7053" s="10" t="s">
        <v>19534</v>
      </c>
      <c r="Q7053" s="10"/>
      <c r="R7053" s="10" t="s">
        <v>18815</v>
      </c>
      <c r="S7053" s="10" t="s">
        <v>53</v>
      </c>
      <c r="T7053" s="10" t="s">
        <v>54</v>
      </c>
    </row>
    <row r="7054" spans="1:20" ht="14.5" x14ac:dyDescent="0.35">
      <c r="A7054" s="10" t="s">
        <v>33732</v>
      </c>
      <c r="B7054" s="10" t="str">
        <f>"9789462093362"</f>
        <v>9789462093362</v>
      </c>
      <c r="C7054" s="10" t="str">
        <f>"9789462093386"</f>
        <v>9789462093386</v>
      </c>
      <c r="D7054" s="10" t="s">
        <v>8564</v>
      </c>
      <c r="E7054" s="10" t="s">
        <v>8565</v>
      </c>
      <c r="F7054" s="10" t="s">
        <v>1420</v>
      </c>
      <c r="G7054" s="10" t="s">
        <v>6317</v>
      </c>
      <c r="H7054" s="11">
        <v>41275</v>
      </c>
      <c r="I7054" s="10">
        <v>2013</v>
      </c>
      <c r="J7054" s="10" t="s">
        <v>33259</v>
      </c>
      <c r="K7054" s="10">
        <v>212</v>
      </c>
      <c r="L7054" s="10" t="s">
        <v>17899</v>
      </c>
      <c r="M7054" s="10">
        <v>1</v>
      </c>
      <c r="N7054" s="10" t="s">
        <v>33257</v>
      </c>
      <c r="O7054" s="10">
        <v>27</v>
      </c>
      <c r="P7054" s="10" t="s">
        <v>33733</v>
      </c>
      <c r="Q7054" s="10">
        <v>378.01</v>
      </c>
      <c r="R7054" s="10" t="s">
        <v>33734</v>
      </c>
      <c r="S7054" s="10" t="s">
        <v>53</v>
      </c>
      <c r="T7054" s="10" t="s">
        <v>54</v>
      </c>
    </row>
    <row r="7055" spans="1:20" ht="14.5" x14ac:dyDescent="0.35">
      <c r="A7055" s="10" t="s">
        <v>33735</v>
      </c>
      <c r="B7055" s="10" t="str">
        <f>"9789462094802"</f>
        <v>9789462094802</v>
      </c>
      <c r="C7055" s="10" t="str">
        <f>"9789462094826"</f>
        <v>9789462094826</v>
      </c>
      <c r="D7055" s="10" t="s">
        <v>8564</v>
      </c>
      <c r="E7055" s="10" t="s">
        <v>8565</v>
      </c>
      <c r="F7055" s="10" t="s">
        <v>1420</v>
      </c>
      <c r="G7055" s="10" t="s">
        <v>6317</v>
      </c>
      <c r="H7055" s="11">
        <v>41275</v>
      </c>
      <c r="I7055" s="10">
        <v>2013</v>
      </c>
      <c r="J7055" s="10" t="s">
        <v>33259</v>
      </c>
      <c r="K7055" s="10">
        <v>182</v>
      </c>
      <c r="L7055" s="10" t="s">
        <v>33736</v>
      </c>
      <c r="M7055" s="10">
        <v>1</v>
      </c>
      <c r="N7055" s="10"/>
      <c r="O7055" s="10"/>
      <c r="P7055" s="10" t="s">
        <v>19534</v>
      </c>
      <c r="Q7055" s="10"/>
      <c r="R7055" s="10" t="s">
        <v>33737</v>
      </c>
      <c r="S7055" s="10" t="s">
        <v>53</v>
      </c>
      <c r="T7055" s="10" t="s">
        <v>54</v>
      </c>
    </row>
    <row r="7056" spans="1:20" ht="14.5" x14ac:dyDescent="0.35">
      <c r="A7056" s="10" t="s">
        <v>33738</v>
      </c>
      <c r="B7056" s="10" t="str">
        <f>"9789462095281"</f>
        <v>9789462095281</v>
      </c>
      <c r="C7056" s="10" t="str">
        <f>"9789462095304"</f>
        <v>9789462095304</v>
      </c>
      <c r="D7056" s="10" t="s">
        <v>8564</v>
      </c>
      <c r="E7056" s="10" t="s">
        <v>13067</v>
      </c>
      <c r="F7056" s="10" t="s">
        <v>33250</v>
      </c>
      <c r="G7056" s="10" t="s">
        <v>9233</v>
      </c>
      <c r="H7056" s="11">
        <v>41640</v>
      </c>
      <c r="I7056" s="10">
        <v>2014</v>
      </c>
      <c r="J7056" s="10" t="s">
        <v>13067</v>
      </c>
      <c r="K7056" s="10">
        <v>346</v>
      </c>
      <c r="L7056" s="10" t="s">
        <v>33739</v>
      </c>
      <c r="M7056" s="10">
        <v>1</v>
      </c>
      <c r="N7056" s="10" t="s">
        <v>33355</v>
      </c>
      <c r="O7056" s="10">
        <v>8</v>
      </c>
      <c r="P7056" s="10" t="s">
        <v>19534</v>
      </c>
      <c r="Q7056" s="10">
        <v>371.33</v>
      </c>
      <c r="R7056" s="10" t="s">
        <v>33740</v>
      </c>
      <c r="S7056" s="10" t="s">
        <v>53</v>
      </c>
      <c r="T7056" s="10" t="s">
        <v>54</v>
      </c>
    </row>
    <row r="7057" spans="1:20" ht="14.5" x14ac:dyDescent="0.35">
      <c r="A7057" s="10" t="s">
        <v>33741</v>
      </c>
      <c r="B7057" s="10" t="str">
        <f>"9789462095700"</f>
        <v>9789462095700</v>
      </c>
      <c r="C7057" s="10" t="str">
        <f>"9789462095724"</f>
        <v>9789462095724</v>
      </c>
      <c r="D7057" s="10" t="s">
        <v>8564</v>
      </c>
      <c r="E7057" s="10" t="s">
        <v>8565</v>
      </c>
      <c r="F7057" s="10" t="s">
        <v>1420</v>
      </c>
      <c r="G7057" s="10" t="s">
        <v>6317</v>
      </c>
      <c r="H7057" s="11">
        <v>41640</v>
      </c>
      <c r="I7057" s="10">
        <v>2014</v>
      </c>
      <c r="J7057" s="10" t="s">
        <v>33259</v>
      </c>
      <c r="K7057" s="10">
        <v>214</v>
      </c>
      <c r="L7057" s="10" t="s">
        <v>33742</v>
      </c>
      <c r="M7057" s="10">
        <v>1</v>
      </c>
      <c r="N7057" s="10" t="s">
        <v>33381</v>
      </c>
      <c r="O7057" s="10">
        <v>10</v>
      </c>
      <c r="P7057" s="10" t="s">
        <v>33743</v>
      </c>
      <c r="Q7057" s="10">
        <v>370.71094099999999</v>
      </c>
      <c r="R7057" s="10" t="s">
        <v>33744</v>
      </c>
      <c r="S7057" s="10" t="s">
        <v>53</v>
      </c>
      <c r="T7057" s="10" t="s">
        <v>54</v>
      </c>
    </row>
    <row r="7058" spans="1:20" ht="14.5" x14ac:dyDescent="0.35">
      <c r="A7058" s="10" t="s">
        <v>33745</v>
      </c>
      <c r="B7058" s="10" t="str">
        <f>"9789462095311"</f>
        <v>9789462095311</v>
      </c>
      <c r="C7058" s="10" t="str">
        <f>"9789462095335"</f>
        <v>9789462095335</v>
      </c>
      <c r="D7058" s="10" t="s">
        <v>8564</v>
      </c>
      <c r="E7058" s="10" t="s">
        <v>8565</v>
      </c>
      <c r="F7058" s="10" t="s">
        <v>1420</v>
      </c>
      <c r="G7058" s="10" t="s">
        <v>6317</v>
      </c>
      <c r="H7058" s="11">
        <v>41640</v>
      </c>
      <c r="I7058" s="10">
        <v>2014</v>
      </c>
      <c r="J7058" s="10" t="s">
        <v>33259</v>
      </c>
      <c r="K7058" s="10">
        <v>234</v>
      </c>
      <c r="L7058" s="10" t="s">
        <v>33746</v>
      </c>
      <c r="M7058" s="10">
        <v>1</v>
      </c>
      <c r="N7058" s="10"/>
      <c r="O7058" s="10"/>
      <c r="P7058" s="10" t="s">
        <v>33747</v>
      </c>
      <c r="Q7058" s="10"/>
      <c r="R7058" s="10" t="s">
        <v>33748</v>
      </c>
      <c r="S7058" s="10" t="s">
        <v>53</v>
      </c>
      <c r="T7058" s="10" t="s">
        <v>54</v>
      </c>
    </row>
    <row r="7059" spans="1:20" ht="14.5" x14ac:dyDescent="0.35">
      <c r="A7059" s="10" t="s">
        <v>33749</v>
      </c>
      <c r="B7059" s="10" t="str">
        <f>"9789462096028"</f>
        <v>9789462096028</v>
      </c>
      <c r="C7059" s="10" t="str">
        <f>"9789462096042"</f>
        <v>9789462096042</v>
      </c>
      <c r="D7059" s="10" t="s">
        <v>8564</v>
      </c>
      <c r="E7059" s="10" t="s">
        <v>8565</v>
      </c>
      <c r="F7059" s="10" t="s">
        <v>1420</v>
      </c>
      <c r="G7059" s="10" t="s">
        <v>6317</v>
      </c>
      <c r="H7059" s="11">
        <v>41640</v>
      </c>
      <c r="I7059" s="10">
        <v>2014</v>
      </c>
      <c r="J7059" s="10" t="s">
        <v>33259</v>
      </c>
      <c r="K7059" s="10">
        <v>237</v>
      </c>
      <c r="L7059" s="10" t="s">
        <v>33750</v>
      </c>
      <c r="M7059" s="10">
        <v>1</v>
      </c>
      <c r="N7059" s="10" t="s">
        <v>33751</v>
      </c>
      <c r="O7059" s="10">
        <v>39</v>
      </c>
      <c r="P7059" s="10" t="s">
        <v>33752</v>
      </c>
      <c r="Q7059" s="10">
        <v>378.12</v>
      </c>
      <c r="R7059" s="10" t="s">
        <v>33753</v>
      </c>
      <c r="S7059" s="10" t="s">
        <v>53</v>
      </c>
      <c r="T7059" s="10" t="s">
        <v>54</v>
      </c>
    </row>
    <row r="7060" spans="1:20" ht="14.5" x14ac:dyDescent="0.35">
      <c r="A7060" s="10" t="s">
        <v>33754</v>
      </c>
      <c r="B7060" s="10" t="str">
        <f>"9789462097988"</f>
        <v>9789462097988</v>
      </c>
      <c r="C7060" s="10" t="str">
        <f>"9789462098008"</f>
        <v>9789462098008</v>
      </c>
      <c r="D7060" s="10" t="s">
        <v>8564</v>
      </c>
      <c r="E7060" s="10" t="s">
        <v>13067</v>
      </c>
      <c r="F7060" s="10" t="s">
        <v>33250</v>
      </c>
      <c r="G7060" s="10" t="s">
        <v>9233</v>
      </c>
      <c r="H7060" s="11">
        <v>41640</v>
      </c>
      <c r="I7060" s="10">
        <v>2014</v>
      </c>
      <c r="J7060" s="10" t="s">
        <v>13067</v>
      </c>
      <c r="K7060" s="10">
        <v>217</v>
      </c>
      <c r="L7060" s="10" t="s">
        <v>33755</v>
      </c>
      <c r="M7060" s="10">
        <v>1</v>
      </c>
      <c r="N7060" s="10" t="s">
        <v>33756</v>
      </c>
      <c r="O7060" s="10">
        <v>3</v>
      </c>
      <c r="P7060" s="10" t="s">
        <v>19534</v>
      </c>
      <c r="Q7060" s="10"/>
      <c r="R7060" s="10" t="s">
        <v>33757</v>
      </c>
      <c r="S7060" s="10" t="s">
        <v>53</v>
      </c>
      <c r="T7060" s="10" t="s">
        <v>54</v>
      </c>
    </row>
    <row r="7061" spans="1:20" ht="14.5" x14ac:dyDescent="0.35">
      <c r="A7061" s="10" t="s">
        <v>33758</v>
      </c>
      <c r="B7061" s="10" t="str">
        <f>"9789462097261"</f>
        <v>9789462097261</v>
      </c>
      <c r="C7061" s="10" t="str">
        <f>"9789462097285"</f>
        <v>9789462097285</v>
      </c>
      <c r="D7061" s="10" t="s">
        <v>8564</v>
      </c>
      <c r="E7061" s="10" t="s">
        <v>8565</v>
      </c>
      <c r="F7061" s="10" t="s">
        <v>1420</v>
      </c>
      <c r="G7061" s="10" t="s">
        <v>6317</v>
      </c>
      <c r="H7061" s="11">
        <v>41640</v>
      </c>
      <c r="I7061" s="10">
        <v>2014</v>
      </c>
      <c r="J7061" s="10" t="s">
        <v>33259</v>
      </c>
      <c r="K7061" s="10">
        <v>234</v>
      </c>
      <c r="L7061" s="10" t="s">
        <v>33759</v>
      </c>
      <c r="M7061" s="10">
        <v>1</v>
      </c>
      <c r="N7061" s="10" t="s">
        <v>33751</v>
      </c>
      <c r="O7061" s="10">
        <v>42</v>
      </c>
      <c r="P7061" s="10" t="s">
        <v>33760</v>
      </c>
      <c r="Q7061" s="10">
        <v>370.1</v>
      </c>
      <c r="R7061" s="10" t="s">
        <v>33761</v>
      </c>
      <c r="S7061" s="10" t="s">
        <v>53</v>
      </c>
      <c r="T7061" s="10" t="s">
        <v>54</v>
      </c>
    </row>
    <row r="7062" spans="1:20" ht="14.5" x14ac:dyDescent="0.35">
      <c r="A7062" s="10" t="s">
        <v>33762</v>
      </c>
      <c r="B7062" s="10" t="str">
        <f>"9789462096936"</f>
        <v>9789462096936</v>
      </c>
      <c r="C7062" s="10" t="str">
        <f>"9789462096950"</f>
        <v>9789462096950</v>
      </c>
      <c r="D7062" s="10" t="s">
        <v>8564</v>
      </c>
      <c r="E7062" s="10" t="s">
        <v>8565</v>
      </c>
      <c r="F7062" s="10" t="s">
        <v>1420</v>
      </c>
      <c r="G7062" s="10" t="s">
        <v>6317</v>
      </c>
      <c r="H7062" s="11">
        <v>41640</v>
      </c>
      <c r="I7062" s="10">
        <v>2014</v>
      </c>
      <c r="J7062" s="10" t="s">
        <v>33259</v>
      </c>
      <c r="K7062" s="10">
        <v>149</v>
      </c>
      <c r="L7062" s="10" t="s">
        <v>33763</v>
      </c>
      <c r="M7062" s="10">
        <v>1</v>
      </c>
      <c r="N7062" s="10"/>
      <c r="O7062" s="10"/>
      <c r="P7062" s="10" t="s">
        <v>19534</v>
      </c>
      <c r="Q7062" s="10"/>
      <c r="R7062" s="10" t="s">
        <v>33764</v>
      </c>
      <c r="S7062" s="10" t="s">
        <v>53</v>
      </c>
      <c r="T7062" s="10" t="s">
        <v>54</v>
      </c>
    </row>
    <row r="7063" spans="1:20" ht="14.5" x14ac:dyDescent="0.35">
      <c r="A7063" s="10" t="s">
        <v>33765</v>
      </c>
      <c r="B7063" s="10" t="str">
        <f>"9789462096486"</f>
        <v>9789462096486</v>
      </c>
      <c r="C7063" s="10" t="str">
        <f>"9789462096509"</f>
        <v>9789462096509</v>
      </c>
      <c r="D7063" s="10" t="s">
        <v>8564</v>
      </c>
      <c r="E7063" s="10" t="s">
        <v>13067</v>
      </c>
      <c r="F7063" s="10" t="s">
        <v>33250</v>
      </c>
      <c r="G7063" s="10" t="s">
        <v>9233</v>
      </c>
      <c r="H7063" s="11">
        <v>41640</v>
      </c>
      <c r="I7063" s="10">
        <v>2014</v>
      </c>
      <c r="J7063" s="10" t="s">
        <v>13067</v>
      </c>
      <c r="K7063" s="10">
        <v>215</v>
      </c>
      <c r="L7063" s="10" t="s">
        <v>33766</v>
      </c>
      <c r="M7063" s="10">
        <v>1</v>
      </c>
      <c r="N7063" s="10" t="s">
        <v>33264</v>
      </c>
      <c r="O7063" s="10">
        <v>31</v>
      </c>
      <c r="P7063" s="10" t="s">
        <v>19534</v>
      </c>
      <c r="Q7063" s="10">
        <v>371.26</v>
      </c>
      <c r="R7063" s="10" t="s">
        <v>33767</v>
      </c>
      <c r="S7063" s="10" t="s">
        <v>53</v>
      </c>
      <c r="T7063" s="10" t="s">
        <v>54</v>
      </c>
    </row>
    <row r="7064" spans="1:20" ht="14.5" x14ac:dyDescent="0.35">
      <c r="A7064" s="10" t="s">
        <v>33768</v>
      </c>
      <c r="B7064" s="10" t="str">
        <f>"9789462097148"</f>
        <v>9789462097148</v>
      </c>
      <c r="C7064" s="10" t="str">
        <f>"9789462097162"</f>
        <v>9789462097162</v>
      </c>
      <c r="D7064" s="10" t="s">
        <v>8564</v>
      </c>
      <c r="E7064" s="10" t="s">
        <v>8565</v>
      </c>
      <c r="F7064" s="10" t="s">
        <v>33250</v>
      </c>
      <c r="G7064" s="10" t="s">
        <v>9233</v>
      </c>
      <c r="H7064" s="11">
        <v>41640</v>
      </c>
      <c r="I7064" s="10">
        <v>2014</v>
      </c>
      <c r="J7064" s="10" t="s">
        <v>33259</v>
      </c>
      <c r="K7064" s="10">
        <v>145</v>
      </c>
      <c r="L7064" s="10" t="s">
        <v>33769</v>
      </c>
      <c r="M7064" s="10">
        <v>1</v>
      </c>
      <c r="N7064" s="10"/>
      <c r="O7064" s="10"/>
      <c r="P7064" s="10" t="s">
        <v>19534</v>
      </c>
      <c r="Q7064" s="10">
        <v>370.71</v>
      </c>
      <c r="R7064" s="10" t="s">
        <v>33770</v>
      </c>
      <c r="S7064" s="10" t="s">
        <v>53</v>
      </c>
      <c r="T7064" s="10" t="s">
        <v>54</v>
      </c>
    </row>
    <row r="7065" spans="1:20" ht="14.5" x14ac:dyDescent="0.35">
      <c r="A7065" s="10" t="s">
        <v>33771</v>
      </c>
      <c r="B7065" s="10" t="str">
        <f>"9789462097445"</f>
        <v>9789462097445</v>
      </c>
      <c r="C7065" s="10" t="str">
        <f>"9789462097469"</f>
        <v>9789462097469</v>
      </c>
      <c r="D7065" s="10" t="s">
        <v>8564</v>
      </c>
      <c r="E7065" s="10" t="s">
        <v>13067</v>
      </c>
      <c r="F7065" s="10" t="s">
        <v>33250</v>
      </c>
      <c r="G7065" s="10" t="s">
        <v>9233</v>
      </c>
      <c r="H7065" s="11">
        <v>41640</v>
      </c>
      <c r="I7065" s="10">
        <v>2014</v>
      </c>
      <c r="J7065" s="10" t="s">
        <v>13067</v>
      </c>
      <c r="K7065" s="10">
        <v>222</v>
      </c>
      <c r="L7065" s="10" t="s">
        <v>33772</v>
      </c>
      <c r="M7065" s="10">
        <v>1</v>
      </c>
      <c r="N7065" s="10" t="s">
        <v>33369</v>
      </c>
      <c r="O7065" s="10">
        <v>7</v>
      </c>
      <c r="P7065" s="10" t="s">
        <v>19534</v>
      </c>
      <c r="Q7065" s="10">
        <v>378.00720000000001</v>
      </c>
      <c r="R7065" s="10" t="s">
        <v>33773</v>
      </c>
      <c r="S7065" s="10" t="s">
        <v>53</v>
      </c>
      <c r="T7065" s="10" t="s">
        <v>54</v>
      </c>
    </row>
    <row r="7066" spans="1:20" ht="14.5" x14ac:dyDescent="0.35">
      <c r="A7066" s="10" t="s">
        <v>33774</v>
      </c>
      <c r="B7066" s="10" t="str">
        <f>"9789462096271"</f>
        <v>9789462096271</v>
      </c>
      <c r="C7066" s="10" t="str">
        <f>"9789462096295"</f>
        <v>9789462096295</v>
      </c>
      <c r="D7066" s="10" t="s">
        <v>8564</v>
      </c>
      <c r="E7066" s="10" t="s">
        <v>13067</v>
      </c>
      <c r="F7066" s="10" t="s">
        <v>33250</v>
      </c>
      <c r="G7066" s="10" t="s">
        <v>9233</v>
      </c>
      <c r="H7066" s="11">
        <v>41640</v>
      </c>
      <c r="I7066" s="10">
        <v>2014</v>
      </c>
      <c r="J7066" s="10" t="s">
        <v>13067</v>
      </c>
      <c r="K7066" s="10">
        <v>253</v>
      </c>
      <c r="L7066" s="10" t="s">
        <v>33775</v>
      </c>
      <c r="M7066" s="10">
        <v>1</v>
      </c>
      <c r="N7066" s="10"/>
      <c r="O7066" s="10"/>
      <c r="P7066" s="10" t="s">
        <v>19534</v>
      </c>
      <c r="Q7066" s="10">
        <v>378.2</v>
      </c>
      <c r="R7066" s="10" t="s">
        <v>33776</v>
      </c>
      <c r="S7066" s="10" t="s">
        <v>53</v>
      </c>
      <c r="T7066" s="10" t="s">
        <v>54</v>
      </c>
    </row>
    <row r="7067" spans="1:20" ht="14.5" x14ac:dyDescent="0.35">
      <c r="A7067" s="10" t="s">
        <v>33777</v>
      </c>
      <c r="B7067" s="10" t="str">
        <f>"9789462096752"</f>
        <v>9789462096752</v>
      </c>
      <c r="C7067" s="10" t="str">
        <f>"9789462096776"</f>
        <v>9789462096776</v>
      </c>
      <c r="D7067" s="10" t="s">
        <v>8564</v>
      </c>
      <c r="E7067" s="10" t="s">
        <v>13067</v>
      </c>
      <c r="F7067" s="10" t="s">
        <v>33250</v>
      </c>
      <c r="G7067" s="10" t="s">
        <v>9233</v>
      </c>
      <c r="H7067" s="11">
        <v>41640</v>
      </c>
      <c r="I7067" s="10">
        <v>2014</v>
      </c>
      <c r="J7067" s="10" t="s">
        <v>13067</v>
      </c>
      <c r="K7067" s="10">
        <v>210</v>
      </c>
      <c r="L7067" s="10" t="s">
        <v>33778</v>
      </c>
      <c r="M7067" s="10">
        <v>1</v>
      </c>
      <c r="N7067" s="10"/>
      <c r="O7067" s="10"/>
      <c r="P7067" s="10" t="s">
        <v>19534</v>
      </c>
      <c r="Q7067" s="10">
        <v>370.71194000000003</v>
      </c>
      <c r="R7067" s="10" t="s">
        <v>33779</v>
      </c>
      <c r="S7067" s="10" t="s">
        <v>53</v>
      </c>
      <c r="T7067" s="10" t="s">
        <v>54</v>
      </c>
    </row>
    <row r="7068" spans="1:20" ht="14.5" x14ac:dyDescent="0.35">
      <c r="A7068" s="10" t="s">
        <v>33780</v>
      </c>
      <c r="B7068" s="10" t="str">
        <f>"9789462096783"</f>
        <v>9789462096783</v>
      </c>
      <c r="C7068" s="10" t="str">
        <f>"9789462096806"</f>
        <v>9789462096806</v>
      </c>
      <c r="D7068" s="10" t="s">
        <v>8564</v>
      </c>
      <c r="E7068" s="10" t="s">
        <v>13067</v>
      </c>
      <c r="F7068" s="10" t="s">
        <v>33250</v>
      </c>
      <c r="G7068" s="10" t="s">
        <v>9233</v>
      </c>
      <c r="H7068" s="11">
        <v>41640</v>
      </c>
      <c r="I7068" s="10">
        <v>2014</v>
      </c>
      <c r="J7068" s="10" t="s">
        <v>13067</v>
      </c>
      <c r="K7068" s="10">
        <v>169</v>
      </c>
      <c r="L7068" s="10" t="s">
        <v>33781</v>
      </c>
      <c r="M7068" s="10">
        <v>1</v>
      </c>
      <c r="N7068" s="10"/>
      <c r="O7068" s="10"/>
      <c r="P7068" s="10" t="s">
        <v>19534</v>
      </c>
      <c r="Q7068" s="10"/>
      <c r="R7068" s="10" t="s">
        <v>33782</v>
      </c>
      <c r="S7068" s="10" t="s">
        <v>53</v>
      </c>
      <c r="T7068" s="10" t="s">
        <v>54</v>
      </c>
    </row>
    <row r="7069" spans="1:20" ht="14.5" x14ac:dyDescent="0.35">
      <c r="A7069" s="10" t="s">
        <v>33783</v>
      </c>
      <c r="B7069" s="10" t="str">
        <f>"9789462096691"</f>
        <v>9789462096691</v>
      </c>
      <c r="C7069" s="10" t="str">
        <f>"9789462096714"</f>
        <v>9789462096714</v>
      </c>
      <c r="D7069" s="10" t="s">
        <v>8564</v>
      </c>
      <c r="E7069" s="10" t="s">
        <v>13067</v>
      </c>
      <c r="F7069" s="10" t="s">
        <v>33250</v>
      </c>
      <c r="G7069" s="10" t="s">
        <v>9233</v>
      </c>
      <c r="H7069" s="11">
        <v>41640</v>
      </c>
      <c r="I7069" s="10">
        <v>2014</v>
      </c>
      <c r="J7069" s="10" t="s">
        <v>13067</v>
      </c>
      <c r="K7069" s="10">
        <v>124</v>
      </c>
      <c r="L7069" s="10" t="s">
        <v>12947</v>
      </c>
      <c r="M7069" s="10">
        <v>1</v>
      </c>
      <c r="N7069" s="10" t="s">
        <v>33751</v>
      </c>
      <c r="O7069" s="10">
        <v>41</v>
      </c>
      <c r="P7069" s="10" t="s">
        <v>19534</v>
      </c>
      <c r="Q7069" s="10">
        <v>372.35043999999999</v>
      </c>
      <c r="R7069" s="10" t="s">
        <v>33784</v>
      </c>
      <c r="S7069" s="10" t="s">
        <v>53</v>
      </c>
      <c r="T7069" s="10" t="s">
        <v>54</v>
      </c>
    </row>
    <row r="7070" spans="1:20" ht="14.5" x14ac:dyDescent="0.35">
      <c r="A7070" s="10" t="s">
        <v>33785</v>
      </c>
      <c r="B7070" s="10" t="str">
        <f>"9789462098190"</f>
        <v>9789462098190</v>
      </c>
      <c r="C7070" s="10" t="str">
        <f>"9789462098213"</f>
        <v>9789462098213</v>
      </c>
      <c r="D7070" s="10" t="s">
        <v>8564</v>
      </c>
      <c r="E7070" s="10" t="s">
        <v>13067</v>
      </c>
      <c r="F7070" s="10" t="s">
        <v>33250</v>
      </c>
      <c r="G7070" s="10" t="s">
        <v>9233</v>
      </c>
      <c r="H7070" s="11">
        <v>41640</v>
      </c>
      <c r="I7070" s="10">
        <v>2014</v>
      </c>
      <c r="J7070" s="10" t="s">
        <v>13067</v>
      </c>
      <c r="K7070" s="10">
        <v>211</v>
      </c>
      <c r="L7070" s="10" t="s">
        <v>33786</v>
      </c>
      <c r="M7070" s="10">
        <v>1</v>
      </c>
      <c r="N7070" s="10" t="s">
        <v>33257</v>
      </c>
      <c r="O7070" s="10">
        <v>26</v>
      </c>
      <c r="P7070" s="10" t="s">
        <v>19534</v>
      </c>
      <c r="Q7070" s="10">
        <v>378</v>
      </c>
      <c r="R7070" s="10" t="s">
        <v>33787</v>
      </c>
      <c r="S7070" s="10" t="s">
        <v>53</v>
      </c>
      <c r="T7070" s="10" t="s">
        <v>54</v>
      </c>
    </row>
    <row r="7071" spans="1:20" ht="14.5" x14ac:dyDescent="0.35">
      <c r="A7071" s="10" t="s">
        <v>33788</v>
      </c>
      <c r="B7071" s="10" t="str">
        <f>"9789462097056"</f>
        <v>9789462097056</v>
      </c>
      <c r="C7071" s="10" t="str">
        <f>"9789462097070"</f>
        <v>9789462097070</v>
      </c>
      <c r="D7071" s="10" t="s">
        <v>8564</v>
      </c>
      <c r="E7071" s="10" t="s">
        <v>13067</v>
      </c>
      <c r="F7071" s="10" t="s">
        <v>33250</v>
      </c>
      <c r="G7071" s="10" t="s">
        <v>9233</v>
      </c>
      <c r="H7071" s="11">
        <v>41640</v>
      </c>
      <c r="I7071" s="10">
        <v>2014</v>
      </c>
      <c r="J7071" s="10" t="s">
        <v>13067</v>
      </c>
      <c r="K7071" s="10">
        <v>272</v>
      </c>
      <c r="L7071" s="10" t="s">
        <v>33789</v>
      </c>
      <c r="M7071" s="10">
        <v>1</v>
      </c>
      <c r="N7071" s="10" t="s">
        <v>33647</v>
      </c>
      <c r="O7071" s="10">
        <v>5</v>
      </c>
      <c r="P7071" s="10" t="s">
        <v>19534</v>
      </c>
      <c r="Q7071" s="10">
        <v>372.7</v>
      </c>
      <c r="R7071" s="10" t="s">
        <v>33790</v>
      </c>
      <c r="S7071" s="10" t="s">
        <v>53</v>
      </c>
      <c r="T7071" s="10" t="s">
        <v>54</v>
      </c>
    </row>
    <row r="7072" spans="1:20" ht="14.5" x14ac:dyDescent="0.35">
      <c r="A7072" s="10" t="s">
        <v>33791</v>
      </c>
      <c r="B7072" s="10" t="str">
        <f>"9789462098251"</f>
        <v>9789462098251</v>
      </c>
      <c r="C7072" s="10" t="str">
        <f>"9789462098275"</f>
        <v>9789462098275</v>
      </c>
      <c r="D7072" s="10" t="s">
        <v>8564</v>
      </c>
      <c r="E7072" s="10" t="s">
        <v>13067</v>
      </c>
      <c r="F7072" s="10" t="s">
        <v>33250</v>
      </c>
      <c r="G7072" s="10" t="s">
        <v>9233</v>
      </c>
      <c r="H7072" s="11">
        <v>41640</v>
      </c>
      <c r="I7072" s="10">
        <v>2014</v>
      </c>
      <c r="J7072" s="10" t="s">
        <v>13067</v>
      </c>
      <c r="K7072" s="10">
        <v>139</v>
      </c>
      <c r="L7072" s="10" t="s">
        <v>33792</v>
      </c>
      <c r="M7072" s="10">
        <v>1</v>
      </c>
      <c r="N7072" s="10"/>
      <c r="O7072" s="10"/>
      <c r="P7072" s="10" t="s">
        <v>19534</v>
      </c>
      <c r="Q7072" s="10"/>
      <c r="R7072" s="10" t="s">
        <v>33589</v>
      </c>
      <c r="S7072" s="10" t="s">
        <v>53</v>
      </c>
      <c r="T7072" s="10" t="s">
        <v>54</v>
      </c>
    </row>
    <row r="7073" spans="1:20" ht="14.5" x14ac:dyDescent="0.35">
      <c r="A7073" s="10" t="s">
        <v>33793</v>
      </c>
      <c r="B7073" s="10" t="str">
        <f>"9789462097742"</f>
        <v>9789462097742</v>
      </c>
      <c r="C7073" s="10" t="str">
        <f>"9789462097766"</f>
        <v>9789462097766</v>
      </c>
      <c r="D7073" s="10" t="s">
        <v>8564</v>
      </c>
      <c r="E7073" s="10" t="s">
        <v>13067</v>
      </c>
      <c r="F7073" s="10" t="s">
        <v>33250</v>
      </c>
      <c r="G7073" s="10" t="s">
        <v>9233</v>
      </c>
      <c r="H7073" s="11">
        <v>41640</v>
      </c>
      <c r="I7073" s="10">
        <v>2014</v>
      </c>
      <c r="J7073" s="10" t="s">
        <v>13067</v>
      </c>
      <c r="K7073" s="10">
        <v>175</v>
      </c>
      <c r="L7073" s="10" t="s">
        <v>33794</v>
      </c>
      <c r="M7073" s="10">
        <v>1</v>
      </c>
      <c r="N7073" s="10" t="s">
        <v>33408</v>
      </c>
      <c r="O7073" s="10">
        <v>6</v>
      </c>
      <c r="P7073" s="10" t="s">
        <v>19534</v>
      </c>
      <c r="Q7073" s="10"/>
      <c r="R7073" s="10" t="s">
        <v>33795</v>
      </c>
      <c r="S7073" s="10" t="s">
        <v>53</v>
      </c>
      <c r="T7073" s="10" t="s">
        <v>54</v>
      </c>
    </row>
    <row r="7074" spans="1:20" ht="14.5" x14ac:dyDescent="0.35">
      <c r="A7074" s="10" t="s">
        <v>33796</v>
      </c>
      <c r="B7074" s="10" t="str">
        <f>"9789462097230"</f>
        <v>9789462097230</v>
      </c>
      <c r="C7074" s="10" t="str">
        <f>"9789462097254"</f>
        <v>9789462097254</v>
      </c>
      <c r="D7074" s="10" t="s">
        <v>8564</v>
      </c>
      <c r="E7074" s="10" t="s">
        <v>13067</v>
      </c>
      <c r="F7074" s="10" t="s">
        <v>33250</v>
      </c>
      <c r="G7074" s="10" t="s">
        <v>9233</v>
      </c>
      <c r="H7074" s="11">
        <v>41640</v>
      </c>
      <c r="I7074" s="10">
        <v>2014</v>
      </c>
      <c r="J7074" s="10" t="s">
        <v>13067</v>
      </c>
      <c r="K7074" s="10">
        <v>368</v>
      </c>
      <c r="L7074" s="10" t="s">
        <v>33797</v>
      </c>
      <c r="M7074" s="10">
        <v>1</v>
      </c>
      <c r="N7074" s="10" t="s">
        <v>33465</v>
      </c>
      <c r="O7074" s="10">
        <v>3</v>
      </c>
      <c r="P7074" s="10" t="s">
        <v>19534</v>
      </c>
      <c r="Q7074" s="10">
        <v>302.2244</v>
      </c>
      <c r="R7074" s="10" t="s">
        <v>33798</v>
      </c>
      <c r="S7074" s="10" t="s">
        <v>53</v>
      </c>
      <c r="T7074" s="10" t="s">
        <v>6472</v>
      </c>
    </row>
    <row r="7075" spans="1:20" ht="14.5" x14ac:dyDescent="0.35">
      <c r="A7075" s="10" t="s">
        <v>33799</v>
      </c>
      <c r="B7075" s="10" t="str">
        <f>"9789462097773"</f>
        <v>9789462097773</v>
      </c>
      <c r="C7075" s="10" t="str">
        <f>"9789462097797"</f>
        <v>9789462097797</v>
      </c>
      <c r="D7075" s="10" t="s">
        <v>8564</v>
      </c>
      <c r="E7075" s="10" t="s">
        <v>13067</v>
      </c>
      <c r="F7075" s="10" t="s">
        <v>33250</v>
      </c>
      <c r="G7075" s="10" t="s">
        <v>9233</v>
      </c>
      <c r="H7075" s="11">
        <v>41640</v>
      </c>
      <c r="I7075" s="10">
        <v>2014</v>
      </c>
      <c r="J7075" s="10" t="s">
        <v>13067</v>
      </c>
      <c r="K7075" s="10">
        <v>144</v>
      </c>
      <c r="L7075" s="10" t="s">
        <v>33800</v>
      </c>
      <c r="M7075" s="10">
        <v>1</v>
      </c>
      <c r="N7075" s="10"/>
      <c r="O7075" s="10"/>
      <c r="P7075" s="10" t="s">
        <v>19534</v>
      </c>
      <c r="Q7075" s="10"/>
      <c r="R7075" s="10" t="s">
        <v>26464</v>
      </c>
      <c r="S7075" s="10" t="s">
        <v>53</v>
      </c>
      <c r="T7075" s="10" t="s">
        <v>54</v>
      </c>
    </row>
    <row r="7076" spans="1:20" ht="14.5" x14ac:dyDescent="0.35">
      <c r="A7076" s="10" t="s">
        <v>33801</v>
      </c>
      <c r="B7076" s="10" t="str">
        <f>"9789462097087"</f>
        <v>9789462097087</v>
      </c>
      <c r="C7076" s="10" t="str">
        <f>"9789462097100"</f>
        <v>9789462097100</v>
      </c>
      <c r="D7076" s="10" t="s">
        <v>8564</v>
      </c>
      <c r="E7076" s="10" t="s">
        <v>13067</v>
      </c>
      <c r="F7076" s="10" t="s">
        <v>33250</v>
      </c>
      <c r="G7076" s="10" t="s">
        <v>9233</v>
      </c>
      <c r="H7076" s="11">
        <v>41640</v>
      </c>
      <c r="I7076" s="10">
        <v>2014</v>
      </c>
      <c r="J7076" s="10" t="s">
        <v>13067</v>
      </c>
      <c r="K7076" s="10">
        <v>169</v>
      </c>
      <c r="L7076" s="10" t="s">
        <v>33802</v>
      </c>
      <c r="M7076" s="10">
        <v>1</v>
      </c>
      <c r="N7076" s="10"/>
      <c r="O7076" s="10"/>
      <c r="P7076" s="10" t="s">
        <v>19534</v>
      </c>
      <c r="Q7076" s="10">
        <v>372.21094099999999</v>
      </c>
      <c r="R7076" s="10" t="s">
        <v>33803</v>
      </c>
      <c r="S7076" s="10" t="s">
        <v>53</v>
      </c>
      <c r="T7076" s="10" t="s">
        <v>54</v>
      </c>
    </row>
    <row r="7077" spans="1:20" ht="14.5" x14ac:dyDescent="0.35">
      <c r="A7077" s="10" t="s">
        <v>33804</v>
      </c>
      <c r="B7077" s="10" t="str">
        <f>"9789462097896"</f>
        <v>9789462097896</v>
      </c>
      <c r="C7077" s="10" t="str">
        <f>"9789462097919"</f>
        <v>9789462097919</v>
      </c>
      <c r="D7077" s="10" t="s">
        <v>8564</v>
      </c>
      <c r="E7077" s="10" t="s">
        <v>13067</v>
      </c>
      <c r="F7077" s="10" t="s">
        <v>33250</v>
      </c>
      <c r="G7077" s="10" t="s">
        <v>9233</v>
      </c>
      <c r="H7077" s="11">
        <v>41640</v>
      </c>
      <c r="I7077" s="10">
        <v>2014</v>
      </c>
      <c r="J7077" s="10" t="s">
        <v>13067</v>
      </c>
      <c r="K7077" s="10">
        <v>137</v>
      </c>
      <c r="L7077" s="10" t="s">
        <v>33805</v>
      </c>
      <c r="M7077" s="10">
        <v>1</v>
      </c>
      <c r="N7077" s="10" t="s">
        <v>33414</v>
      </c>
      <c r="O7077" s="10">
        <v>14</v>
      </c>
      <c r="P7077" s="10" t="s">
        <v>19534</v>
      </c>
      <c r="Q7077" s="10">
        <v>370.11500000000001</v>
      </c>
      <c r="R7077" s="10" t="s">
        <v>33806</v>
      </c>
      <c r="S7077" s="10" t="s">
        <v>53</v>
      </c>
      <c r="T7077" s="10" t="s">
        <v>54</v>
      </c>
    </row>
    <row r="7078" spans="1:20" ht="14.5" x14ac:dyDescent="0.35">
      <c r="A7078" s="10" t="s">
        <v>33807</v>
      </c>
      <c r="B7078" s="10" t="str">
        <f>"9789462098282"</f>
        <v>9789462098282</v>
      </c>
      <c r="C7078" s="10" t="str">
        <f>"9789462098305"</f>
        <v>9789462098305</v>
      </c>
      <c r="D7078" s="10" t="s">
        <v>8564</v>
      </c>
      <c r="E7078" s="10" t="s">
        <v>13067</v>
      </c>
      <c r="F7078" s="10" t="s">
        <v>33250</v>
      </c>
      <c r="G7078" s="10" t="s">
        <v>9233</v>
      </c>
      <c r="H7078" s="11">
        <v>41640</v>
      </c>
      <c r="I7078" s="10">
        <v>2014</v>
      </c>
      <c r="J7078" s="10" t="s">
        <v>13067</v>
      </c>
      <c r="K7078" s="10">
        <v>182</v>
      </c>
      <c r="L7078" s="10" t="s">
        <v>33808</v>
      </c>
      <c r="M7078" s="10">
        <v>1</v>
      </c>
      <c r="N7078" s="10"/>
      <c r="O7078" s="10"/>
      <c r="P7078" s="10" t="s">
        <v>19534</v>
      </c>
      <c r="Q7078" s="10"/>
      <c r="R7078" s="10" t="s">
        <v>33809</v>
      </c>
      <c r="S7078" s="10" t="s">
        <v>53</v>
      </c>
      <c r="T7078" s="10" t="s">
        <v>54</v>
      </c>
    </row>
    <row r="7079" spans="1:20" ht="14.5" x14ac:dyDescent="0.35">
      <c r="A7079" s="10" t="s">
        <v>33810</v>
      </c>
      <c r="B7079" s="10" t="str">
        <f>"9789462097629"</f>
        <v>9789462097629</v>
      </c>
      <c r="C7079" s="10" t="str">
        <f>"9789462097643"</f>
        <v>9789462097643</v>
      </c>
      <c r="D7079" s="10" t="s">
        <v>8564</v>
      </c>
      <c r="E7079" s="10" t="s">
        <v>13067</v>
      </c>
      <c r="F7079" s="10" t="s">
        <v>33250</v>
      </c>
      <c r="G7079" s="10" t="s">
        <v>9233</v>
      </c>
      <c r="H7079" s="11">
        <v>41640</v>
      </c>
      <c r="I7079" s="10">
        <v>2014</v>
      </c>
      <c r="J7079" s="10" t="s">
        <v>13067</v>
      </c>
      <c r="K7079" s="10">
        <v>245</v>
      </c>
      <c r="L7079" s="10" t="s">
        <v>33811</v>
      </c>
      <c r="M7079" s="10">
        <v>1</v>
      </c>
      <c r="N7079" s="10" t="s">
        <v>33615</v>
      </c>
      <c r="O7079" s="10">
        <v>7</v>
      </c>
      <c r="P7079" s="10" t="s">
        <v>19534</v>
      </c>
      <c r="Q7079" s="10">
        <v>371.2</v>
      </c>
      <c r="R7079" s="10" t="s">
        <v>33812</v>
      </c>
      <c r="S7079" s="10" t="s">
        <v>53</v>
      </c>
      <c r="T7079" s="10" t="s">
        <v>54</v>
      </c>
    </row>
    <row r="7080" spans="1:20" ht="14.5" x14ac:dyDescent="0.35">
      <c r="A7080" s="10" t="s">
        <v>33813</v>
      </c>
      <c r="B7080" s="10" t="str">
        <f>"9789462099395"</f>
        <v>9789462099395</v>
      </c>
      <c r="C7080" s="10" t="str">
        <f>"9789462099418"</f>
        <v>9789462099418</v>
      </c>
      <c r="D7080" s="10" t="s">
        <v>8564</v>
      </c>
      <c r="E7080" s="10" t="s">
        <v>13067</v>
      </c>
      <c r="F7080" s="10" t="s">
        <v>33250</v>
      </c>
      <c r="G7080" s="10" t="s">
        <v>9233</v>
      </c>
      <c r="H7080" s="11">
        <v>42005</v>
      </c>
      <c r="I7080" s="10">
        <v>2015</v>
      </c>
      <c r="J7080" s="10" t="s">
        <v>13067</v>
      </c>
      <c r="K7080" s="10">
        <v>348</v>
      </c>
      <c r="L7080" s="10" t="s">
        <v>33814</v>
      </c>
      <c r="M7080" s="10">
        <v>1</v>
      </c>
      <c r="N7080" s="10" t="s">
        <v>33268</v>
      </c>
      <c r="O7080" s="10">
        <v>8</v>
      </c>
      <c r="P7080" s="10" t="s">
        <v>33723</v>
      </c>
      <c r="Q7080" s="10"/>
      <c r="R7080" s="10" t="s">
        <v>33815</v>
      </c>
      <c r="S7080" s="10" t="s">
        <v>53</v>
      </c>
      <c r="T7080" s="10" t="s">
        <v>6660</v>
      </c>
    </row>
    <row r="7081" spans="1:20" ht="14.5" x14ac:dyDescent="0.35">
      <c r="A7081" s="10" t="s">
        <v>33816</v>
      </c>
      <c r="B7081" s="10" t="str">
        <f>"9789462099456"</f>
        <v>9789462099456</v>
      </c>
      <c r="C7081" s="10" t="str">
        <f>"9789462099470"</f>
        <v>9789462099470</v>
      </c>
      <c r="D7081" s="10" t="s">
        <v>8564</v>
      </c>
      <c r="E7081" s="10" t="s">
        <v>13067</v>
      </c>
      <c r="F7081" s="10" t="s">
        <v>33250</v>
      </c>
      <c r="G7081" s="10" t="s">
        <v>9233</v>
      </c>
      <c r="H7081" s="11">
        <v>42005</v>
      </c>
      <c r="I7081" s="10">
        <v>2015</v>
      </c>
      <c r="J7081" s="10" t="s">
        <v>13067</v>
      </c>
      <c r="K7081" s="10">
        <v>153</v>
      </c>
      <c r="L7081" s="10" t="s">
        <v>33817</v>
      </c>
      <c r="M7081" s="10">
        <v>1</v>
      </c>
      <c r="N7081" s="10" t="s">
        <v>33264</v>
      </c>
      <c r="O7081" s="10">
        <v>36</v>
      </c>
      <c r="P7081" s="10" t="s">
        <v>19534</v>
      </c>
      <c r="Q7081" s="10"/>
      <c r="R7081" s="10" t="s">
        <v>33818</v>
      </c>
      <c r="S7081" s="10" t="s">
        <v>53</v>
      </c>
      <c r="T7081" s="10" t="s">
        <v>54</v>
      </c>
    </row>
    <row r="7082" spans="1:20" ht="14.5" x14ac:dyDescent="0.35">
      <c r="A7082" s="10" t="s">
        <v>33819</v>
      </c>
      <c r="B7082" s="10" t="str">
        <f>"9789462098824"</f>
        <v>9789462098824</v>
      </c>
      <c r="C7082" s="10" t="str">
        <f>"9789462098848"</f>
        <v>9789462098848</v>
      </c>
      <c r="D7082" s="10" t="s">
        <v>8564</v>
      </c>
      <c r="E7082" s="10" t="s">
        <v>13067</v>
      </c>
      <c r="F7082" s="10" t="s">
        <v>33250</v>
      </c>
      <c r="G7082" s="10" t="s">
        <v>9233</v>
      </c>
      <c r="H7082" s="11">
        <v>42005</v>
      </c>
      <c r="I7082" s="10">
        <v>2015</v>
      </c>
      <c r="J7082" s="10" t="s">
        <v>13067</v>
      </c>
      <c r="K7082" s="10">
        <v>133</v>
      </c>
      <c r="L7082" s="10" t="s">
        <v>33820</v>
      </c>
      <c r="M7082" s="10">
        <v>1</v>
      </c>
      <c r="N7082" s="10" t="s">
        <v>33264</v>
      </c>
      <c r="O7082" s="10">
        <v>35</v>
      </c>
      <c r="P7082" s="10" t="s">
        <v>19534</v>
      </c>
      <c r="Q7082" s="10"/>
      <c r="R7082" s="10" t="s">
        <v>33821</v>
      </c>
      <c r="S7082" s="10" t="s">
        <v>53</v>
      </c>
      <c r="T7082" s="10" t="s">
        <v>54</v>
      </c>
    </row>
    <row r="7083" spans="1:20" ht="14.5" x14ac:dyDescent="0.35">
      <c r="A7083" s="10" t="s">
        <v>33822</v>
      </c>
      <c r="B7083" s="10" t="str">
        <f>"9789462098947"</f>
        <v>9789462098947</v>
      </c>
      <c r="C7083" s="10" t="str">
        <f>"9789462098961"</f>
        <v>9789462098961</v>
      </c>
      <c r="D7083" s="10" t="s">
        <v>8564</v>
      </c>
      <c r="E7083" s="10" t="s">
        <v>8565</v>
      </c>
      <c r="F7083" s="10" t="s">
        <v>1420</v>
      </c>
      <c r="G7083" s="10" t="s">
        <v>6317</v>
      </c>
      <c r="H7083" s="11">
        <v>42005</v>
      </c>
      <c r="I7083" s="10">
        <v>2015</v>
      </c>
      <c r="J7083" s="10" t="s">
        <v>33259</v>
      </c>
      <c r="K7083" s="10">
        <v>181</v>
      </c>
      <c r="L7083" s="10" t="s">
        <v>33823</v>
      </c>
      <c r="M7083" s="10">
        <v>1</v>
      </c>
      <c r="N7083" s="10"/>
      <c r="O7083" s="10"/>
      <c r="P7083" s="10" t="s">
        <v>19534</v>
      </c>
      <c r="Q7083" s="10"/>
      <c r="R7083" s="10"/>
      <c r="S7083" s="10" t="s">
        <v>53</v>
      </c>
      <c r="T7083" s="10" t="s">
        <v>54</v>
      </c>
    </row>
    <row r="7084" spans="1:20" ht="14.5" x14ac:dyDescent="0.35">
      <c r="A7084" s="10" t="s">
        <v>33824</v>
      </c>
      <c r="B7084" s="10" t="str">
        <f>"9789462099302"</f>
        <v>9789462099302</v>
      </c>
      <c r="C7084" s="10" t="str">
        <f>"9789462099326"</f>
        <v>9789462099326</v>
      </c>
      <c r="D7084" s="10" t="s">
        <v>8564</v>
      </c>
      <c r="E7084" s="10" t="s">
        <v>13067</v>
      </c>
      <c r="F7084" s="10" t="s">
        <v>33250</v>
      </c>
      <c r="G7084" s="10" t="s">
        <v>9233</v>
      </c>
      <c r="H7084" s="11">
        <v>42005</v>
      </c>
      <c r="I7084" s="10">
        <v>2015</v>
      </c>
      <c r="J7084" s="10" t="s">
        <v>13067</v>
      </c>
      <c r="K7084" s="10">
        <v>127</v>
      </c>
      <c r="L7084" s="10" t="s">
        <v>33825</v>
      </c>
      <c r="M7084" s="10">
        <v>1</v>
      </c>
      <c r="N7084" s="10"/>
      <c r="O7084" s="10"/>
      <c r="P7084" s="10" t="s">
        <v>19534</v>
      </c>
      <c r="Q7084" s="10"/>
      <c r="R7084" s="10" t="s">
        <v>33826</v>
      </c>
      <c r="S7084" s="10" t="s">
        <v>53</v>
      </c>
      <c r="T7084" s="10" t="s">
        <v>54</v>
      </c>
    </row>
    <row r="7085" spans="1:20" ht="14.5" x14ac:dyDescent="0.35">
      <c r="A7085" s="10" t="s">
        <v>33827</v>
      </c>
      <c r="B7085" s="10" t="str">
        <f>"9789462098886"</f>
        <v>9789462098886</v>
      </c>
      <c r="C7085" s="10" t="str">
        <f>"9789462098909"</f>
        <v>9789462098909</v>
      </c>
      <c r="D7085" s="10" t="s">
        <v>8564</v>
      </c>
      <c r="E7085" s="10" t="s">
        <v>8565</v>
      </c>
      <c r="F7085" s="10" t="s">
        <v>1420</v>
      </c>
      <c r="G7085" s="10" t="s">
        <v>6317</v>
      </c>
      <c r="H7085" s="11">
        <v>41640</v>
      </c>
      <c r="I7085" s="10">
        <v>2014</v>
      </c>
      <c r="J7085" s="10" t="s">
        <v>8565</v>
      </c>
      <c r="K7085" s="10">
        <v>227</v>
      </c>
      <c r="L7085" s="10" t="s">
        <v>33828</v>
      </c>
      <c r="M7085" s="10">
        <v>1</v>
      </c>
      <c r="N7085" s="10" t="s">
        <v>33751</v>
      </c>
      <c r="O7085" s="10">
        <v>44</v>
      </c>
      <c r="P7085" s="10" t="s">
        <v>19534</v>
      </c>
      <c r="Q7085" s="10"/>
      <c r="R7085" s="10" t="s">
        <v>33829</v>
      </c>
      <c r="S7085" s="10" t="s">
        <v>53</v>
      </c>
      <c r="T7085" s="10" t="s">
        <v>54</v>
      </c>
    </row>
    <row r="7086" spans="1:20" ht="14.5" x14ac:dyDescent="0.35">
      <c r="A7086" s="10" t="s">
        <v>33830</v>
      </c>
      <c r="B7086" s="10" t="str">
        <f>"9789462099210"</f>
        <v>9789462099210</v>
      </c>
      <c r="C7086" s="10" t="str">
        <f>"9789462099234"</f>
        <v>9789462099234</v>
      </c>
      <c r="D7086" s="10" t="s">
        <v>8564</v>
      </c>
      <c r="E7086" s="10" t="s">
        <v>13067</v>
      </c>
      <c r="F7086" s="10" t="s">
        <v>33250</v>
      </c>
      <c r="G7086" s="10" t="s">
        <v>9233</v>
      </c>
      <c r="H7086" s="11">
        <v>42005</v>
      </c>
      <c r="I7086" s="10">
        <v>2015</v>
      </c>
      <c r="J7086" s="10" t="s">
        <v>13067</v>
      </c>
      <c r="K7086" s="10">
        <v>217</v>
      </c>
      <c r="L7086" s="10" t="s">
        <v>33831</v>
      </c>
      <c r="M7086" s="10">
        <v>1</v>
      </c>
      <c r="N7086" s="10" t="s">
        <v>33307</v>
      </c>
      <c r="O7086" s="10">
        <v>28</v>
      </c>
      <c r="P7086" s="10" t="s">
        <v>19534</v>
      </c>
      <c r="Q7086" s="10"/>
      <c r="R7086" s="10" t="s">
        <v>33490</v>
      </c>
      <c r="S7086" s="10" t="s">
        <v>53</v>
      </c>
      <c r="T7086" s="10" t="s">
        <v>54</v>
      </c>
    </row>
    <row r="7087" spans="1:20" ht="14.5" x14ac:dyDescent="0.35">
      <c r="A7087" s="10" t="s">
        <v>33832</v>
      </c>
      <c r="B7087" s="10" t="str">
        <f>"9789462099067"</f>
        <v>9789462099067</v>
      </c>
      <c r="C7087" s="10" t="str">
        <f>"9789462099081"</f>
        <v>9789462099081</v>
      </c>
      <c r="D7087" s="10" t="s">
        <v>8564</v>
      </c>
      <c r="E7087" s="10" t="s">
        <v>13067</v>
      </c>
      <c r="F7087" s="10" t="s">
        <v>33250</v>
      </c>
      <c r="G7087" s="10" t="s">
        <v>9233</v>
      </c>
      <c r="H7087" s="11">
        <v>42005</v>
      </c>
      <c r="I7087" s="10">
        <v>2015</v>
      </c>
      <c r="J7087" s="10" t="s">
        <v>13067</v>
      </c>
      <c r="K7087" s="10">
        <v>113</v>
      </c>
      <c r="L7087" s="10" t="s">
        <v>33833</v>
      </c>
      <c r="M7087" s="10">
        <v>1</v>
      </c>
      <c r="N7087" s="10"/>
      <c r="O7087" s="10"/>
      <c r="P7087" s="10" t="s">
        <v>19534</v>
      </c>
      <c r="Q7087" s="10"/>
      <c r="R7087" s="10" t="s">
        <v>33834</v>
      </c>
      <c r="S7087" s="10" t="s">
        <v>53</v>
      </c>
      <c r="T7087" s="10" t="s">
        <v>54</v>
      </c>
    </row>
    <row r="7088" spans="1:20" ht="14.5" x14ac:dyDescent="0.35">
      <c r="A7088" s="10" t="s">
        <v>33835</v>
      </c>
      <c r="B7088" s="10" t="str">
        <f>"9789462099333"</f>
        <v>9789462099333</v>
      </c>
      <c r="C7088" s="10" t="str">
        <f>"9789462099357"</f>
        <v>9789462099357</v>
      </c>
      <c r="D7088" s="10" t="s">
        <v>8564</v>
      </c>
      <c r="E7088" s="10" t="s">
        <v>13067</v>
      </c>
      <c r="F7088" s="10" t="s">
        <v>33250</v>
      </c>
      <c r="G7088" s="10" t="s">
        <v>9233</v>
      </c>
      <c r="H7088" s="11">
        <v>42005</v>
      </c>
      <c r="I7088" s="10">
        <v>2015</v>
      </c>
      <c r="J7088" s="10" t="s">
        <v>13067</v>
      </c>
      <c r="K7088" s="10">
        <v>172</v>
      </c>
      <c r="L7088" s="10" t="s">
        <v>33836</v>
      </c>
      <c r="M7088" s="10">
        <v>1</v>
      </c>
      <c r="N7088" s="10" t="s">
        <v>33837</v>
      </c>
      <c r="O7088" s="10">
        <v>3</v>
      </c>
      <c r="P7088" s="10" t="s">
        <v>19534</v>
      </c>
      <c r="Q7088" s="10"/>
      <c r="R7088" s="10" t="s">
        <v>33838</v>
      </c>
      <c r="S7088" s="10" t="s">
        <v>53</v>
      </c>
      <c r="T7088" s="10" t="s">
        <v>54</v>
      </c>
    </row>
    <row r="7089" spans="1:20" ht="14.5" x14ac:dyDescent="0.35">
      <c r="A7089" s="10" t="s">
        <v>33839</v>
      </c>
      <c r="B7089" s="10" t="str">
        <f>"9789462099128"</f>
        <v>9789462099128</v>
      </c>
      <c r="C7089" s="10" t="str">
        <f>"9789462099142"</f>
        <v>9789462099142</v>
      </c>
      <c r="D7089" s="10" t="s">
        <v>8564</v>
      </c>
      <c r="E7089" s="10" t="s">
        <v>13067</v>
      </c>
      <c r="F7089" s="10" t="s">
        <v>33250</v>
      </c>
      <c r="G7089" s="10" t="s">
        <v>9233</v>
      </c>
      <c r="H7089" s="11">
        <v>42005</v>
      </c>
      <c r="I7089" s="10">
        <v>2015</v>
      </c>
      <c r="J7089" s="10" t="s">
        <v>13067</v>
      </c>
      <c r="K7089" s="10">
        <v>271</v>
      </c>
      <c r="L7089" s="10" t="s">
        <v>33840</v>
      </c>
      <c r="M7089" s="10">
        <v>1</v>
      </c>
      <c r="N7089" s="10"/>
      <c r="O7089" s="10"/>
      <c r="P7089" s="10" t="s">
        <v>19534</v>
      </c>
      <c r="Q7089" s="10"/>
      <c r="R7089" s="10" t="s">
        <v>33841</v>
      </c>
      <c r="S7089" s="10" t="s">
        <v>53</v>
      </c>
      <c r="T7089" s="10" t="s">
        <v>54</v>
      </c>
    </row>
    <row r="7090" spans="1:20" ht="14.5" x14ac:dyDescent="0.35">
      <c r="A7090" s="10" t="s">
        <v>33842</v>
      </c>
      <c r="B7090" s="10" t="str">
        <f>"9789462099753"</f>
        <v>9789462099753</v>
      </c>
      <c r="C7090" s="10" t="str">
        <f>"9789462099777"</f>
        <v>9789462099777</v>
      </c>
      <c r="D7090" s="10" t="s">
        <v>8564</v>
      </c>
      <c r="E7090" s="10" t="s">
        <v>13067</v>
      </c>
      <c r="F7090" s="10" t="s">
        <v>33250</v>
      </c>
      <c r="G7090" s="10" t="s">
        <v>9233</v>
      </c>
      <c r="H7090" s="11">
        <v>42005</v>
      </c>
      <c r="I7090" s="10">
        <v>2015</v>
      </c>
      <c r="J7090" s="10" t="s">
        <v>13067</v>
      </c>
      <c r="K7090" s="10">
        <v>362</v>
      </c>
      <c r="L7090" s="10" t="s">
        <v>33843</v>
      </c>
      <c r="M7090" s="10">
        <v>1</v>
      </c>
      <c r="N7090" s="10" t="s">
        <v>33751</v>
      </c>
      <c r="O7090" s="10">
        <v>45</v>
      </c>
      <c r="P7090" s="10" t="s">
        <v>19534</v>
      </c>
      <c r="Q7090" s="10">
        <v>379.73</v>
      </c>
      <c r="R7090" s="10" t="s">
        <v>33844</v>
      </c>
      <c r="S7090" s="10" t="s">
        <v>53</v>
      </c>
      <c r="T7090" s="10" t="s">
        <v>54</v>
      </c>
    </row>
    <row r="7091" spans="1:20" ht="14.5" x14ac:dyDescent="0.35">
      <c r="A7091" s="10" t="s">
        <v>33845</v>
      </c>
      <c r="B7091" s="10" t="str">
        <f>"9789462099876"</f>
        <v>9789462099876</v>
      </c>
      <c r="C7091" s="10" t="str">
        <f>"9789462099890"</f>
        <v>9789462099890</v>
      </c>
      <c r="D7091" s="10" t="s">
        <v>8564</v>
      </c>
      <c r="E7091" s="10" t="s">
        <v>13067</v>
      </c>
      <c r="F7091" s="10" t="s">
        <v>33250</v>
      </c>
      <c r="G7091" s="10" t="s">
        <v>9233</v>
      </c>
      <c r="H7091" s="11">
        <v>42005</v>
      </c>
      <c r="I7091" s="10">
        <v>2015</v>
      </c>
      <c r="J7091" s="10" t="s">
        <v>13067</v>
      </c>
      <c r="K7091" s="10">
        <v>237</v>
      </c>
      <c r="L7091" s="10" t="s">
        <v>33846</v>
      </c>
      <c r="M7091" s="10">
        <v>1</v>
      </c>
      <c r="N7091" s="10"/>
      <c r="O7091" s="10"/>
      <c r="P7091" s="10" t="s">
        <v>19534</v>
      </c>
      <c r="Q7091" s="10"/>
      <c r="R7091" s="10" t="s">
        <v>33847</v>
      </c>
      <c r="S7091" s="10" t="s">
        <v>53</v>
      </c>
      <c r="T7091" s="10" t="s">
        <v>54</v>
      </c>
    </row>
    <row r="7092" spans="1:20" ht="14.5" x14ac:dyDescent="0.35">
      <c r="A7092" s="10" t="s">
        <v>33848</v>
      </c>
      <c r="B7092" s="10" t="str">
        <f>"9789462099845"</f>
        <v>9789462099845</v>
      </c>
      <c r="C7092" s="10" t="str">
        <f>"9789462099869"</f>
        <v>9789462099869</v>
      </c>
      <c r="D7092" s="10" t="s">
        <v>8564</v>
      </c>
      <c r="E7092" s="10" t="s">
        <v>8565</v>
      </c>
      <c r="F7092" s="10" t="s">
        <v>1420</v>
      </c>
      <c r="G7092" s="10" t="s">
        <v>6317</v>
      </c>
      <c r="H7092" s="11">
        <v>42005</v>
      </c>
      <c r="I7092" s="10">
        <v>2015</v>
      </c>
      <c r="J7092" s="10" t="s">
        <v>33259</v>
      </c>
      <c r="K7092" s="10">
        <v>241</v>
      </c>
      <c r="L7092" s="10" t="s">
        <v>33849</v>
      </c>
      <c r="M7092" s="10">
        <v>1</v>
      </c>
      <c r="N7092" s="10"/>
      <c r="O7092" s="10"/>
      <c r="P7092" s="10" t="s">
        <v>19534</v>
      </c>
      <c r="Q7092" s="10"/>
      <c r="R7092" s="10" t="s">
        <v>33850</v>
      </c>
      <c r="S7092" s="10" t="s">
        <v>53</v>
      </c>
      <c r="T7092" s="10" t="s">
        <v>54</v>
      </c>
    </row>
    <row r="7093" spans="1:20" ht="14.5" x14ac:dyDescent="0.35">
      <c r="A7093" s="10" t="s">
        <v>33851</v>
      </c>
      <c r="B7093" s="10" t="str">
        <f>"9789462099722"</f>
        <v>9789462099722</v>
      </c>
      <c r="C7093" s="10" t="str">
        <f>"9789462099746"</f>
        <v>9789462099746</v>
      </c>
      <c r="D7093" s="10" t="s">
        <v>8564</v>
      </c>
      <c r="E7093" s="10" t="s">
        <v>13067</v>
      </c>
      <c r="F7093" s="10" t="s">
        <v>33250</v>
      </c>
      <c r="G7093" s="10" t="s">
        <v>9233</v>
      </c>
      <c r="H7093" s="11">
        <v>42005</v>
      </c>
      <c r="I7093" s="10">
        <v>2015</v>
      </c>
      <c r="J7093" s="10" t="s">
        <v>13067</v>
      </c>
      <c r="K7093" s="10">
        <v>114</v>
      </c>
      <c r="L7093" s="10" t="s">
        <v>33852</v>
      </c>
      <c r="M7093" s="10">
        <v>1</v>
      </c>
      <c r="N7093" s="10"/>
      <c r="O7093" s="10"/>
      <c r="P7093" s="10" t="s">
        <v>19534</v>
      </c>
      <c r="Q7093" s="10">
        <v>378.00099999999998</v>
      </c>
      <c r="R7093" s="10" t="s">
        <v>33853</v>
      </c>
      <c r="S7093" s="10" t="s">
        <v>53</v>
      </c>
      <c r="T7093" s="10" t="s">
        <v>54</v>
      </c>
    </row>
    <row r="7094" spans="1:20" ht="14.5" x14ac:dyDescent="0.35">
      <c r="A7094" s="10" t="s">
        <v>33854</v>
      </c>
      <c r="B7094" s="10" t="str">
        <f>"9789462099937"</f>
        <v>9789462099937</v>
      </c>
      <c r="C7094" s="10" t="str">
        <f>"9789462099951"</f>
        <v>9789462099951</v>
      </c>
      <c r="D7094" s="10" t="s">
        <v>8564</v>
      </c>
      <c r="E7094" s="10" t="s">
        <v>13067</v>
      </c>
      <c r="F7094" s="10" t="s">
        <v>33250</v>
      </c>
      <c r="G7094" s="10" t="s">
        <v>9233</v>
      </c>
      <c r="H7094" s="11">
        <v>42005</v>
      </c>
      <c r="I7094" s="10">
        <v>2015</v>
      </c>
      <c r="J7094" s="10" t="s">
        <v>13067</v>
      </c>
      <c r="K7094" s="10">
        <v>192</v>
      </c>
      <c r="L7094" s="10" t="s">
        <v>33855</v>
      </c>
      <c r="M7094" s="10">
        <v>1</v>
      </c>
      <c r="N7094" s="10" t="s">
        <v>33856</v>
      </c>
      <c r="O7094" s="10">
        <v>4</v>
      </c>
      <c r="P7094" s="10" t="s">
        <v>19534</v>
      </c>
      <c r="Q7094" s="10"/>
      <c r="R7094" s="10" t="s">
        <v>33857</v>
      </c>
      <c r="S7094" s="10" t="s">
        <v>53</v>
      </c>
      <c r="T7094" s="10" t="s">
        <v>54</v>
      </c>
    </row>
    <row r="7095" spans="1:20" ht="14.5" x14ac:dyDescent="0.35">
      <c r="A7095" s="10" t="s">
        <v>33858</v>
      </c>
      <c r="B7095" s="10" t="str">
        <f>"9781572484832"</f>
        <v>9781572484832</v>
      </c>
      <c r="C7095" s="10" t="str">
        <f>"9781281824912"</f>
        <v>9781281824912</v>
      </c>
      <c r="D7095" s="10" t="s">
        <v>31621</v>
      </c>
      <c r="E7095" s="10" t="s">
        <v>33859</v>
      </c>
      <c r="F7095" s="10" t="s">
        <v>31623</v>
      </c>
      <c r="G7095" s="10" t="s">
        <v>6317</v>
      </c>
      <c r="H7095" s="11">
        <v>38384</v>
      </c>
      <c r="I7095" s="10">
        <v>2005</v>
      </c>
      <c r="J7095" s="10" t="s">
        <v>33859</v>
      </c>
      <c r="K7095" s="10">
        <v>130</v>
      </c>
      <c r="L7095" s="10" t="s">
        <v>33860</v>
      </c>
      <c r="M7095" s="10">
        <v>1</v>
      </c>
      <c r="N7095" s="10"/>
      <c r="O7095" s="10"/>
      <c r="P7095" s="10" t="s">
        <v>33861</v>
      </c>
      <c r="Q7095" s="10" t="s">
        <v>19760</v>
      </c>
      <c r="R7095" s="10" t="s">
        <v>33862</v>
      </c>
      <c r="S7095" s="10" t="s">
        <v>53</v>
      </c>
      <c r="T7095" s="10" t="s">
        <v>54</v>
      </c>
    </row>
    <row r="7096" spans="1:20" ht="14.5" x14ac:dyDescent="0.35">
      <c r="A7096" s="10" t="s">
        <v>33863</v>
      </c>
      <c r="B7096" s="10" t="str">
        <f>"9780826114884"</f>
        <v>9780826114884</v>
      </c>
      <c r="C7096" s="10" t="str">
        <f>"9780826114754"</f>
        <v>9780826114754</v>
      </c>
      <c r="D7096" s="10" t="s">
        <v>3370</v>
      </c>
      <c r="E7096" s="10" t="s">
        <v>3370</v>
      </c>
      <c r="F7096" s="10" t="s">
        <v>70</v>
      </c>
      <c r="G7096" s="10" t="s">
        <v>6317</v>
      </c>
      <c r="H7096" s="11">
        <v>38961</v>
      </c>
      <c r="I7096" s="10">
        <v>2007</v>
      </c>
      <c r="J7096" s="10" t="s">
        <v>3370</v>
      </c>
      <c r="K7096" s="10">
        <v>135</v>
      </c>
      <c r="L7096" s="10" t="s">
        <v>33864</v>
      </c>
      <c r="M7096" s="10">
        <v>1</v>
      </c>
      <c r="N7096" s="10"/>
      <c r="O7096" s="10"/>
      <c r="P7096" s="10" t="s">
        <v>33865</v>
      </c>
      <c r="Q7096" s="10" t="s">
        <v>33866</v>
      </c>
      <c r="R7096" s="10" t="s">
        <v>33867</v>
      </c>
      <c r="S7096" s="10" t="s">
        <v>53</v>
      </c>
      <c r="T7096" s="10" t="s">
        <v>8510</v>
      </c>
    </row>
    <row r="7097" spans="1:20" ht="14.5" x14ac:dyDescent="0.35">
      <c r="A7097" s="10" t="s">
        <v>33868</v>
      </c>
      <c r="B7097" s="10" t="str">
        <f>"9780792363996"</f>
        <v>9780792363996</v>
      </c>
      <c r="C7097" s="10" t="str">
        <f>"9780306472206"</f>
        <v>9780306472206</v>
      </c>
      <c r="D7097" s="10" t="s">
        <v>11249</v>
      </c>
      <c r="E7097" s="10" t="s">
        <v>12215</v>
      </c>
      <c r="F7097" s="10" t="s">
        <v>206</v>
      </c>
      <c r="G7097" s="10" t="s">
        <v>9233</v>
      </c>
      <c r="H7097" s="11">
        <v>36738</v>
      </c>
      <c r="I7097" s="10">
        <v>2002</v>
      </c>
      <c r="J7097" s="10" t="s">
        <v>13067</v>
      </c>
      <c r="K7097" s="10">
        <v>456</v>
      </c>
      <c r="L7097" s="10" t="s">
        <v>33869</v>
      </c>
      <c r="M7097" s="10">
        <v>1</v>
      </c>
      <c r="N7097" s="10" t="s">
        <v>33870</v>
      </c>
      <c r="O7097" s="10">
        <v>6</v>
      </c>
      <c r="P7097" s="10" t="s">
        <v>20644</v>
      </c>
      <c r="Q7097" s="10" t="s">
        <v>6538</v>
      </c>
      <c r="R7097" s="10" t="s">
        <v>33871</v>
      </c>
      <c r="S7097" s="10" t="s">
        <v>53</v>
      </c>
      <c r="T7097" s="10" t="s">
        <v>389</v>
      </c>
    </row>
    <row r="7098" spans="1:20" ht="14.5" x14ac:dyDescent="0.35">
      <c r="A7098" s="10" t="s">
        <v>33872</v>
      </c>
      <c r="B7098" s="10" t="str">
        <f>"9780792365396"</f>
        <v>9780792365396</v>
      </c>
      <c r="C7098" s="10" t="str">
        <f>"9780306472244"</f>
        <v>9780306472244</v>
      </c>
      <c r="D7098" s="10" t="s">
        <v>11249</v>
      </c>
      <c r="E7098" s="10" t="s">
        <v>12215</v>
      </c>
      <c r="F7098" s="10" t="s">
        <v>206</v>
      </c>
      <c r="G7098" s="10" t="s">
        <v>9233</v>
      </c>
      <c r="H7098" s="11">
        <v>36799</v>
      </c>
      <c r="I7098" s="10">
        <v>2000</v>
      </c>
      <c r="J7098" s="10" t="s">
        <v>13067</v>
      </c>
      <c r="K7098" s="10">
        <v>313</v>
      </c>
      <c r="L7098" s="10" t="s">
        <v>33873</v>
      </c>
      <c r="M7098" s="10">
        <v>1</v>
      </c>
      <c r="N7098" s="10" t="s">
        <v>20643</v>
      </c>
      <c r="O7098" s="10">
        <v>23</v>
      </c>
      <c r="P7098" s="10" t="s">
        <v>20644</v>
      </c>
      <c r="Q7098" s="10">
        <v>512.5</v>
      </c>
      <c r="R7098" s="10" t="s">
        <v>33874</v>
      </c>
      <c r="S7098" s="10" t="s">
        <v>53</v>
      </c>
      <c r="T7098" s="10" t="s">
        <v>389</v>
      </c>
    </row>
    <row r="7099" spans="1:20" ht="14.5" x14ac:dyDescent="0.35">
      <c r="A7099" s="10" t="s">
        <v>33875</v>
      </c>
      <c r="B7099" s="10" t="str">
        <f>"9789027725066"</f>
        <v>9789027725066</v>
      </c>
      <c r="C7099" s="10" t="str">
        <f>"9780306472374"</f>
        <v>9780306472374</v>
      </c>
      <c r="D7099" s="10" t="s">
        <v>11249</v>
      </c>
      <c r="E7099" s="10" t="s">
        <v>12215</v>
      </c>
      <c r="F7099" s="10" t="s">
        <v>206</v>
      </c>
      <c r="G7099" s="10" t="s">
        <v>9233</v>
      </c>
      <c r="H7099" s="11">
        <v>32081</v>
      </c>
      <c r="I7099" s="10">
        <v>2002</v>
      </c>
      <c r="J7099" s="10" t="s">
        <v>13067</v>
      </c>
      <c r="K7099" s="10">
        <v>234</v>
      </c>
      <c r="L7099" s="10" t="s">
        <v>33876</v>
      </c>
      <c r="M7099" s="10">
        <v>1</v>
      </c>
      <c r="N7099" s="10" t="s">
        <v>20643</v>
      </c>
      <c r="O7099" s="10">
        <v>5</v>
      </c>
      <c r="P7099" s="10" t="s">
        <v>20644</v>
      </c>
      <c r="Q7099" s="10"/>
      <c r="R7099" s="10" t="s">
        <v>33877</v>
      </c>
      <c r="S7099" s="10" t="s">
        <v>53</v>
      </c>
      <c r="T7099" s="10" t="s">
        <v>389</v>
      </c>
    </row>
    <row r="7100" spans="1:20" ht="14.5" x14ac:dyDescent="0.35">
      <c r="A7100" s="10" t="s">
        <v>33878</v>
      </c>
      <c r="B7100" s="10" t="str">
        <f>"9780792367697"</f>
        <v>9780792367697</v>
      </c>
      <c r="C7100" s="10" t="str">
        <f>"9780306472275"</f>
        <v>9780306472275</v>
      </c>
      <c r="D7100" s="10" t="s">
        <v>11249</v>
      </c>
      <c r="E7100" s="10" t="s">
        <v>12215</v>
      </c>
      <c r="F7100" s="10" t="s">
        <v>206</v>
      </c>
      <c r="G7100" s="10" t="s">
        <v>9233</v>
      </c>
      <c r="H7100" s="11">
        <v>36891</v>
      </c>
      <c r="I7100" s="10">
        <v>2001</v>
      </c>
      <c r="J7100" s="10" t="s">
        <v>12215</v>
      </c>
      <c r="K7100" s="10">
        <v>154</v>
      </c>
      <c r="L7100" s="10" t="s">
        <v>33879</v>
      </c>
      <c r="M7100" s="10">
        <v>1</v>
      </c>
      <c r="N7100" s="10" t="s">
        <v>12217</v>
      </c>
      <c r="O7100" s="10">
        <v>12</v>
      </c>
      <c r="P7100" s="10" t="s">
        <v>12218</v>
      </c>
      <c r="Q7100" s="10"/>
      <c r="R7100" s="10" t="s">
        <v>33880</v>
      </c>
      <c r="S7100" s="10" t="s">
        <v>53</v>
      </c>
      <c r="T7100" s="10" t="s">
        <v>5557</v>
      </c>
    </row>
    <row r="7101" spans="1:20" ht="14.5" x14ac:dyDescent="0.35">
      <c r="A7101" s="10" t="s">
        <v>33881</v>
      </c>
      <c r="B7101" s="10" t="str">
        <f>"9780792345541"</f>
        <v>9780792345541</v>
      </c>
      <c r="C7101" s="10" t="str">
        <f>"9780306472138"</f>
        <v>9780306472138</v>
      </c>
      <c r="D7101" s="10" t="s">
        <v>11249</v>
      </c>
      <c r="E7101" s="10" t="s">
        <v>12215</v>
      </c>
      <c r="F7101" s="10" t="s">
        <v>206</v>
      </c>
      <c r="G7101" s="10" t="s">
        <v>9233</v>
      </c>
      <c r="H7101" s="11">
        <v>35642</v>
      </c>
      <c r="I7101" s="10">
        <v>2002</v>
      </c>
      <c r="J7101" s="10" t="s">
        <v>13067</v>
      </c>
      <c r="K7101" s="10">
        <v>281</v>
      </c>
      <c r="L7101" s="10" t="s">
        <v>7423</v>
      </c>
      <c r="M7101" s="10">
        <v>1</v>
      </c>
      <c r="N7101" s="10" t="s">
        <v>20643</v>
      </c>
      <c r="O7101" s="10">
        <v>20</v>
      </c>
      <c r="P7101" s="10" t="s">
        <v>20644</v>
      </c>
      <c r="Q7101" s="10" t="s">
        <v>6538</v>
      </c>
      <c r="R7101" s="10" t="s">
        <v>9433</v>
      </c>
      <c r="S7101" s="10" t="s">
        <v>53</v>
      </c>
      <c r="T7101" s="10" t="s">
        <v>389</v>
      </c>
    </row>
    <row r="7102" spans="1:20" ht="14.5" x14ac:dyDescent="0.35">
      <c r="A7102" s="10" t="s">
        <v>33882</v>
      </c>
      <c r="B7102" s="10" t="str">
        <f>"9780792359036"</f>
        <v>9780792359036</v>
      </c>
      <c r="C7102" s="10" t="str">
        <f>"9780306472176"</f>
        <v>9780306472176</v>
      </c>
      <c r="D7102" s="10" t="s">
        <v>11249</v>
      </c>
      <c r="E7102" s="10" t="s">
        <v>12215</v>
      </c>
      <c r="F7102" s="10" t="s">
        <v>206</v>
      </c>
      <c r="G7102" s="10" t="s">
        <v>9233</v>
      </c>
      <c r="H7102" s="11">
        <v>36433</v>
      </c>
      <c r="I7102" s="10">
        <v>1999</v>
      </c>
      <c r="J7102" s="10" t="s">
        <v>12215</v>
      </c>
      <c r="K7102" s="10">
        <v>310</v>
      </c>
      <c r="L7102" s="10" t="s">
        <v>33883</v>
      </c>
      <c r="M7102" s="10">
        <v>1</v>
      </c>
      <c r="N7102" s="10" t="s">
        <v>12217</v>
      </c>
      <c r="O7102" s="10">
        <v>6</v>
      </c>
      <c r="P7102" s="10" t="s">
        <v>12218</v>
      </c>
      <c r="Q7102" s="10">
        <v>507.12</v>
      </c>
      <c r="R7102" s="10" t="s">
        <v>33884</v>
      </c>
      <c r="S7102" s="10" t="s">
        <v>53</v>
      </c>
      <c r="T7102" s="10" t="s">
        <v>9608</v>
      </c>
    </row>
    <row r="7103" spans="1:20" ht="14.5" x14ac:dyDescent="0.35">
      <c r="A7103" s="10" t="s">
        <v>33885</v>
      </c>
      <c r="B7103" s="10" t="str">
        <f>"9780792364559"</f>
        <v>9780792364559</v>
      </c>
      <c r="C7103" s="10" t="str">
        <f>"9780306472220"</f>
        <v>9780306472220</v>
      </c>
      <c r="D7103" s="10" t="s">
        <v>11249</v>
      </c>
      <c r="E7103" s="10" t="s">
        <v>12215</v>
      </c>
      <c r="F7103" s="10" t="s">
        <v>206</v>
      </c>
      <c r="G7103" s="10" t="s">
        <v>9233</v>
      </c>
      <c r="H7103" s="11">
        <v>36738</v>
      </c>
      <c r="I7103" s="10">
        <v>2000</v>
      </c>
      <c r="J7103" s="10" t="s">
        <v>13067</v>
      </c>
      <c r="K7103" s="10">
        <v>236</v>
      </c>
      <c r="L7103" s="10" t="s">
        <v>33886</v>
      </c>
      <c r="M7103" s="10">
        <v>1</v>
      </c>
      <c r="N7103" s="10" t="s">
        <v>12217</v>
      </c>
      <c r="O7103" s="10">
        <v>10</v>
      </c>
      <c r="P7103" s="10" t="s">
        <v>12218</v>
      </c>
      <c r="Q7103" s="10" t="s">
        <v>9108</v>
      </c>
      <c r="R7103" s="10" t="s">
        <v>13072</v>
      </c>
      <c r="S7103" s="10" t="s">
        <v>53</v>
      </c>
      <c r="T7103" s="10" t="s">
        <v>9608</v>
      </c>
    </row>
    <row r="7104" spans="1:20" ht="14.5" x14ac:dyDescent="0.35">
      <c r="A7104" s="10" t="s">
        <v>33887</v>
      </c>
      <c r="B7104" s="10" t="str">
        <f>"9780792312994"</f>
        <v>9780792312994</v>
      </c>
      <c r="C7104" s="10" t="str">
        <f>"9780306472022"</f>
        <v>9780306472022</v>
      </c>
      <c r="D7104" s="10" t="s">
        <v>11249</v>
      </c>
      <c r="E7104" s="10" t="s">
        <v>12215</v>
      </c>
      <c r="F7104" s="10" t="s">
        <v>206</v>
      </c>
      <c r="G7104" s="10" t="s">
        <v>9233</v>
      </c>
      <c r="H7104" s="11">
        <v>33511</v>
      </c>
      <c r="I7104" s="10">
        <v>2002</v>
      </c>
      <c r="J7104" s="10" t="s">
        <v>13067</v>
      </c>
      <c r="K7104" s="10">
        <v>214</v>
      </c>
      <c r="L7104" s="10" t="s">
        <v>33888</v>
      </c>
      <c r="M7104" s="10">
        <v>1</v>
      </c>
      <c r="N7104" s="10" t="s">
        <v>20643</v>
      </c>
      <c r="O7104" s="10">
        <v>9</v>
      </c>
      <c r="P7104" s="10" t="s">
        <v>20644</v>
      </c>
      <c r="Q7104" s="10" t="s">
        <v>33889</v>
      </c>
      <c r="R7104" s="10" t="s">
        <v>21116</v>
      </c>
      <c r="S7104" s="10" t="s">
        <v>53</v>
      </c>
      <c r="T7104" s="10" t="s">
        <v>389</v>
      </c>
    </row>
    <row r="7105" spans="1:20" ht="14.5" x14ac:dyDescent="0.35">
      <c r="A7105" s="10" t="s">
        <v>33890</v>
      </c>
      <c r="B7105" s="10" t="str">
        <f>"9780792362593"</f>
        <v>9780792362593</v>
      </c>
      <c r="C7105" s="10" t="str">
        <f>"9780306472183"</f>
        <v>9780306472183</v>
      </c>
      <c r="D7105" s="10" t="s">
        <v>11249</v>
      </c>
      <c r="E7105" s="10" t="s">
        <v>12215</v>
      </c>
      <c r="F7105" s="10" t="s">
        <v>206</v>
      </c>
      <c r="G7105" s="10" t="s">
        <v>9233</v>
      </c>
      <c r="H7105" s="11">
        <v>36646</v>
      </c>
      <c r="I7105" s="10">
        <v>2002</v>
      </c>
      <c r="J7105" s="10" t="s">
        <v>12215</v>
      </c>
      <c r="K7105" s="10">
        <v>204</v>
      </c>
      <c r="L7105" s="10" t="s">
        <v>33891</v>
      </c>
      <c r="M7105" s="10">
        <v>1</v>
      </c>
      <c r="N7105" s="10" t="s">
        <v>12217</v>
      </c>
      <c r="O7105" s="10">
        <v>7</v>
      </c>
      <c r="P7105" s="10" t="s">
        <v>12218</v>
      </c>
      <c r="Q7105" s="10">
        <v>507.1</v>
      </c>
      <c r="R7105" s="10" t="s">
        <v>33892</v>
      </c>
      <c r="S7105" s="10" t="s">
        <v>53</v>
      </c>
      <c r="T7105" s="10" t="s">
        <v>9608</v>
      </c>
    </row>
    <row r="7106" spans="1:20" ht="14.5" x14ac:dyDescent="0.35">
      <c r="A7106" s="10" t="s">
        <v>33893</v>
      </c>
      <c r="B7106" s="10" t="str">
        <f>"9780306457296"</f>
        <v>9780306457296</v>
      </c>
      <c r="C7106" s="10" t="str">
        <f>"9780306471452"</f>
        <v>9780306471452</v>
      </c>
      <c r="D7106" s="10" t="s">
        <v>11249</v>
      </c>
      <c r="E7106" s="10" t="s">
        <v>13067</v>
      </c>
      <c r="F7106" s="10" t="s">
        <v>13068</v>
      </c>
      <c r="G7106" s="10" t="s">
        <v>6317</v>
      </c>
      <c r="H7106" s="11">
        <v>36038</v>
      </c>
      <c r="I7106" s="10">
        <v>1998</v>
      </c>
      <c r="J7106" s="10" t="s">
        <v>13067</v>
      </c>
      <c r="K7106" s="10">
        <v>448</v>
      </c>
      <c r="L7106" s="10" t="s">
        <v>33894</v>
      </c>
      <c r="M7106" s="10">
        <v>1</v>
      </c>
      <c r="N7106" s="10" t="s">
        <v>33895</v>
      </c>
      <c r="O7106" s="10"/>
      <c r="P7106" s="10" t="s">
        <v>27170</v>
      </c>
      <c r="Q7106" s="10"/>
      <c r="R7106" s="10" t="s">
        <v>33896</v>
      </c>
      <c r="S7106" s="10" t="s">
        <v>53</v>
      </c>
      <c r="T7106" s="10" t="s">
        <v>54</v>
      </c>
    </row>
    <row r="7107" spans="1:20" ht="14.5" x14ac:dyDescent="0.35">
      <c r="A7107" s="10" t="s">
        <v>33897</v>
      </c>
      <c r="B7107" s="10" t="str">
        <f>"9780792370796"</f>
        <v>9780792370796</v>
      </c>
      <c r="C7107" s="10" t="str">
        <f>"9780306472299"</f>
        <v>9780306472299</v>
      </c>
      <c r="D7107" s="10" t="s">
        <v>11249</v>
      </c>
      <c r="E7107" s="10" t="s">
        <v>12215</v>
      </c>
      <c r="F7107" s="10" t="s">
        <v>206</v>
      </c>
      <c r="G7107" s="10" t="s">
        <v>9233</v>
      </c>
      <c r="H7107" s="11">
        <v>37072</v>
      </c>
      <c r="I7107" s="10">
        <v>2002</v>
      </c>
      <c r="J7107" s="10" t="s">
        <v>13067</v>
      </c>
      <c r="K7107" s="10">
        <v>187</v>
      </c>
      <c r="L7107" s="10" t="s">
        <v>33898</v>
      </c>
      <c r="M7107" s="10">
        <v>1</v>
      </c>
      <c r="N7107" s="10" t="s">
        <v>20643</v>
      </c>
      <c r="O7107" s="10">
        <v>26</v>
      </c>
      <c r="P7107" s="10" t="s">
        <v>20644</v>
      </c>
      <c r="Q7107" s="10"/>
      <c r="R7107" s="10" t="s">
        <v>33899</v>
      </c>
      <c r="S7107" s="10" t="s">
        <v>53</v>
      </c>
      <c r="T7107" s="10" t="s">
        <v>389</v>
      </c>
    </row>
    <row r="7108" spans="1:20" ht="14.5" x14ac:dyDescent="0.35">
      <c r="A7108" s="10" t="s">
        <v>33900</v>
      </c>
      <c r="B7108" s="10" t="str">
        <f>"9780792345268"</f>
        <v>9780792345268</v>
      </c>
      <c r="C7108" s="10" t="str">
        <f>"9780306472114"</f>
        <v>9780306472114</v>
      </c>
      <c r="D7108" s="10" t="s">
        <v>11249</v>
      </c>
      <c r="E7108" s="10" t="s">
        <v>12215</v>
      </c>
      <c r="F7108" s="10" t="s">
        <v>206</v>
      </c>
      <c r="G7108" s="10" t="s">
        <v>9233</v>
      </c>
      <c r="H7108" s="11">
        <v>35703</v>
      </c>
      <c r="I7108" s="10">
        <v>2002</v>
      </c>
      <c r="J7108" s="10" t="s">
        <v>13067</v>
      </c>
      <c r="K7108" s="10">
        <v>327</v>
      </c>
      <c r="L7108" s="10" t="s">
        <v>33901</v>
      </c>
      <c r="M7108" s="10">
        <v>1</v>
      </c>
      <c r="N7108" s="10" t="s">
        <v>20643</v>
      </c>
      <c r="O7108" s="10">
        <v>19</v>
      </c>
      <c r="P7108" s="10" t="s">
        <v>20644</v>
      </c>
      <c r="Q7108" s="10" t="s">
        <v>33902</v>
      </c>
      <c r="R7108" s="10" t="s">
        <v>33903</v>
      </c>
      <c r="S7108" s="10" t="s">
        <v>53</v>
      </c>
      <c r="T7108" s="10" t="s">
        <v>389</v>
      </c>
    </row>
    <row r="7109" spans="1:20" ht="14.5" x14ac:dyDescent="0.35">
      <c r="A7109" s="10" t="s">
        <v>33904</v>
      </c>
      <c r="B7109" s="10" t="str">
        <f>"9780792339212"</f>
        <v>9780792339212</v>
      </c>
      <c r="C7109" s="10" t="str">
        <f>"9780306472053"</f>
        <v>9780306472053</v>
      </c>
      <c r="D7109" s="10" t="s">
        <v>11249</v>
      </c>
      <c r="E7109" s="10" t="s">
        <v>12215</v>
      </c>
      <c r="F7109" s="10" t="s">
        <v>206</v>
      </c>
      <c r="G7109" s="10" t="s">
        <v>9233</v>
      </c>
      <c r="H7109" s="11">
        <v>35124</v>
      </c>
      <c r="I7109" s="10">
        <v>2002</v>
      </c>
      <c r="J7109" s="10" t="s">
        <v>13067</v>
      </c>
      <c r="K7109" s="10">
        <v>318</v>
      </c>
      <c r="L7109" s="10" t="s">
        <v>33905</v>
      </c>
      <c r="M7109" s="10">
        <v>1</v>
      </c>
      <c r="N7109" s="10" t="s">
        <v>33870</v>
      </c>
      <c r="O7109" s="10">
        <v>3</v>
      </c>
      <c r="P7109" s="10" t="s">
        <v>20644</v>
      </c>
      <c r="Q7109" s="10" t="s">
        <v>33889</v>
      </c>
      <c r="R7109" s="10" t="s">
        <v>33906</v>
      </c>
      <c r="S7109" s="10" t="s">
        <v>53</v>
      </c>
      <c r="T7109" s="10" t="s">
        <v>389</v>
      </c>
    </row>
    <row r="7110" spans="1:20" ht="14.5" x14ac:dyDescent="0.35">
      <c r="A7110" s="10" t="s">
        <v>33907</v>
      </c>
      <c r="B7110" s="10" t="str">
        <f>"9780792380771"</f>
        <v>9780792380771</v>
      </c>
      <c r="C7110" s="10" t="str">
        <f>"9780306475351"</f>
        <v>9780306475351</v>
      </c>
      <c r="D7110" s="10" t="s">
        <v>11249</v>
      </c>
      <c r="E7110" s="10" t="s">
        <v>12215</v>
      </c>
      <c r="F7110" s="10" t="s">
        <v>206</v>
      </c>
      <c r="G7110" s="10" t="s">
        <v>9233</v>
      </c>
      <c r="H7110" s="11">
        <v>35795</v>
      </c>
      <c r="I7110" s="10">
        <v>1998</v>
      </c>
      <c r="J7110" s="10" t="s">
        <v>13067</v>
      </c>
      <c r="K7110" s="10">
        <v>341</v>
      </c>
      <c r="L7110" s="10" t="s">
        <v>33908</v>
      </c>
      <c r="M7110" s="10">
        <v>2</v>
      </c>
      <c r="N7110" s="10" t="s">
        <v>33909</v>
      </c>
      <c r="O7110" s="10">
        <v>47</v>
      </c>
      <c r="P7110" s="10" t="s">
        <v>33910</v>
      </c>
      <c r="Q7110" s="10" t="s">
        <v>8787</v>
      </c>
      <c r="R7110" s="10" t="s">
        <v>33911</v>
      </c>
      <c r="S7110" s="10" t="s">
        <v>53</v>
      </c>
      <c r="T7110" s="10" t="s">
        <v>54</v>
      </c>
    </row>
    <row r="7111" spans="1:20" ht="14.5" x14ac:dyDescent="0.35">
      <c r="A7111" s="10" t="s">
        <v>33912</v>
      </c>
      <c r="B7111" s="10" t="str">
        <f>"9780792371885"</f>
        <v>9780792371885</v>
      </c>
      <c r="C7111" s="10" t="str">
        <f>"9780306475337"</f>
        <v>9780306475337</v>
      </c>
      <c r="D7111" s="10" t="s">
        <v>11249</v>
      </c>
      <c r="E7111" s="10" t="s">
        <v>12215</v>
      </c>
      <c r="F7111" s="10" t="s">
        <v>206</v>
      </c>
      <c r="G7111" s="10" t="s">
        <v>9233</v>
      </c>
      <c r="H7111" s="11">
        <v>37164</v>
      </c>
      <c r="I7111" s="10">
        <v>2001</v>
      </c>
      <c r="J7111" s="10" t="s">
        <v>12215</v>
      </c>
      <c r="K7111" s="10">
        <v>359</v>
      </c>
      <c r="L7111" s="10" t="s">
        <v>33913</v>
      </c>
      <c r="M7111" s="10">
        <v>1</v>
      </c>
      <c r="N7111" s="10"/>
      <c r="O7111" s="10"/>
      <c r="P7111" s="10" t="s">
        <v>13419</v>
      </c>
      <c r="Q7111" s="10" t="s">
        <v>33914</v>
      </c>
      <c r="R7111" s="10" t="s">
        <v>33915</v>
      </c>
      <c r="S7111" s="10" t="s">
        <v>53</v>
      </c>
      <c r="T7111" s="10" t="s">
        <v>54</v>
      </c>
    </row>
    <row r="7112" spans="1:20" ht="14.5" x14ac:dyDescent="0.35">
      <c r="A7112" s="10" t="s">
        <v>33916</v>
      </c>
      <c r="B7112" s="10" t="str">
        <f>"9780792364252"</f>
        <v>9780792364252</v>
      </c>
      <c r="C7112" s="10" t="str">
        <f>"9780306475313"</f>
        <v>9780306475313</v>
      </c>
      <c r="D7112" s="10" t="s">
        <v>11249</v>
      </c>
      <c r="E7112" s="10" t="s">
        <v>12215</v>
      </c>
      <c r="F7112" s="10" t="s">
        <v>206</v>
      </c>
      <c r="G7112" s="10" t="s">
        <v>9233</v>
      </c>
      <c r="H7112" s="11">
        <v>36738</v>
      </c>
      <c r="I7112" s="10">
        <v>2000</v>
      </c>
      <c r="J7112" s="10" t="s">
        <v>12215</v>
      </c>
      <c r="K7112" s="10">
        <v>336</v>
      </c>
      <c r="L7112" s="10" t="s">
        <v>33917</v>
      </c>
      <c r="M7112" s="10">
        <v>1</v>
      </c>
      <c r="N7112" s="10"/>
      <c r="O7112" s="10"/>
      <c r="P7112" s="10" t="s">
        <v>33910</v>
      </c>
      <c r="Q7112" s="10"/>
      <c r="R7112" s="10" t="s">
        <v>33918</v>
      </c>
      <c r="S7112" s="10" t="s">
        <v>53</v>
      </c>
      <c r="T7112" s="10" t="s">
        <v>54</v>
      </c>
    </row>
    <row r="7113" spans="1:20" ht="14.5" x14ac:dyDescent="0.35">
      <c r="A7113" s="10" t="s">
        <v>33919</v>
      </c>
      <c r="B7113" s="10" t="str">
        <f>"9780792365778"</f>
        <v>9780792365778</v>
      </c>
      <c r="C7113" s="10" t="str">
        <f>"9780306475320"</f>
        <v>9780306475320</v>
      </c>
      <c r="D7113" s="10" t="s">
        <v>11249</v>
      </c>
      <c r="E7113" s="10" t="s">
        <v>12215</v>
      </c>
      <c r="F7113" s="10" t="s">
        <v>206</v>
      </c>
      <c r="G7113" s="10" t="s">
        <v>9233</v>
      </c>
      <c r="H7113" s="11">
        <v>36799</v>
      </c>
      <c r="I7113" s="10">
        <v>2000</v>
      </c>
      <c r="J7113" s="10" t="s">
        <v>12215</v>
      </c>
      <c r="K7113" s="10">
        <v>333</v>
      </c>
      <c r="L7113" s="10" t="s">
        <v>33913</v>
      </c>
      <c r="M7113" s="10">
        <v>1</v>
      </c>
      <c r="N7113" s="10"/>
      <c r="O7113" s="10"/>
      <c r="P7113" s="10" t="s">
        <v>13071</v>
      </c>
      <c r="Q7113" s="10" t="s">
        <v>11314</v>
      </c>
      <c r="R7113" s="10" t="s">
        <v>33915</v>
      </c>
      <c r="S7113" s="10" t="s">
        <v>53</v>
      </c>
      <c r="T7113" s="10" t="s">
        <v>54</v>
      </c>
    </row>
    <row r="7114" spans="1:20" ht="14.5" x14ac:dyDescent="0.35">
      <c r="A7114" s="10" t="s">
        <v>33920</v>
      </c>
      <c r="B7114" s="10" t="str">
        <f>"9780306467677"</f>
        <v>9780306467677</v>
      </c>
      <c r="C7114" s="10" t="str">
        <f>"9780306475405"</f>
        <v>9780306475405</v>
      </c>
      <c r="D7114" s="10" t="s">
        <v>11249</v>
      </c>
      <c r="E7114" s="10" t="s">
        <v>13067</v>
      </c>
      <c r="F7114" s="10" t="s">
        <v>13068</v>
      </c>
      <c r="G7114" s="10" t="s">
        <v>6317</v>
      </c>
      <c r="H7114" s="11">
        <v>37407</v>
      </c>
      <c r="I7114" s="10">
        <v>2002</v>
      </c>
      <c r="J7114" s="10" t="s">
        <v>13067</v>
      </c>
      <c r="K7114" s="10">
        <v>273</v>
      </c>
      <c r="L7114" s="10" t="s">
        <v>33921</v>
      </c>
      <c r="M7114" s="10">
        <v>1</v>
      </c>
      <c r="N7114" s="10" t="s">
        <v>33922</v>
      </c>
      <c r="O7114" s="10">
        <v>13</v>
      </c>
      <c r="P7114" s="10" t="s">
        <v>33923</v>
      </c>
      <c r="Q7114" s="10" t="s">
        <v>7335</v>
      </c>
      <c r="R7114" s="10" t="s">
        <v>33924</v>
      </c>
      <c r="S7114" s="10" t="s">
        <v>53</v>
      </c>
      <c r="T7114" s="10" t="s">
        <v>6492</v>
      </c>
    </row>
    <row r="7115" spans="1:20" ht="14.5" x14ac:dyDescent="0.35">
      <c r="A7115" s="10" t="s">
        <v>33925</v>
      </c>
      <c r="B7115" s="10" t="str">
        <f>"9781402019876"</f>
        <v>9781402019876</v>
      </c>
      <c r="C7115" s="10" t="str">
        <f>"9781402021992"</f>
        <v>9781402021992</v>
      </c>
      <c r="D7115" s="10" t="s">
        <v>11249</v>
      </c>
      <c r="E7115" s="10" t="s">
        <v>12215</v>
      </c>
      <c r="F7115" s="10" t="s">
        <v>206</v>
      </c>
      <c r="G7115" s="10" t="s">
        <v>9233</v>
      </c>
      <c r="H7115" s="11">
        <v>38107</v>
      </c>
      <c r="I7115" s="10">
        <v>2004</v>
      </c>
      <c r="J7115" s="10" t="s">
        <v>12215</v>
      </c>
      <c r="K7115" s="10">
        <v>286</v>
      </c>
      <c r="L7115" s="10" t="s">
        <v>33926</v>
      </c>
      <c r="M7115" s="10">
        <v>1</v>
      </c>
      <c r="N7115" s="10" t="s">
        <v>33927</v>
      </c>
      <c r="O7115" s="10">
        <v>3</v>
      </c>
      <c r="P7115" s="10" t="s">
        <v>19534</v>
      </c>
      <c r="Q7115" s="10">
        <v>371.2011</v>
      </c>
      <c r="R7115" s="10" t="s">
        <v>33928</v>
      </c>
      <c r="S7115" s="10" t="s">
        <v>53</v>
      </c>
      <c r="T7115" s="10" t="s">
        <v>54</v>
      </c>
    </row>
    <row r="7116" spans="1:20" ht="14.5" x14ac:dyDescent="0.35">
      <c r="A7116" s="10" t="s">
        <v>33929</v>
      </c>
      <c r="B7116" s="10" t="str">
        <f>"9781402012648"</f>
        <v>9781402012648</v>
      </c>
      <c r="C7116" s="10" t="str">
        <f>"9780306480782"</f>
        <v>9780306480782</v>
      </c>
      <c r="D7116" s="10" t="s">
        <v>11249</v>
      </c>
      <c r="E7116" s="10" t="s">
        <v>12215</v>
      </c>
      <c r="F7116" s="10" t="s">
        <v>206</v>
      </c>
      <c r="G7116" s="10" t="s">
        <v>9233</v>
      </c>
      <c r="H7116" s="11">
        <v>37741</v>
      </c>
      <c r="I7116" s="10">
        <v>2003</v>
      </c>
      <c r="J7116" s="10" t="s">
        <v>12215</v>
      </c>
      <c r="K7116" s="10">
        <v>244</v>
      </c>
      <c r="L7116" s="10" t="s">
        <v>33930</v>
      </c>
      <c r="M7116" s="10">
        <v>1</v>
      </c>
      <c r="N7116" s="10" t="s">
        <v>33931</v>
      </c>
      <c r="O7116" s="10">
        <v>2</v>
      </c>
      <c r="P7116" s="10" t="s">
        <v>19534</v>
      </c>
      <c r="Q7116" s="10" t="s">
        <v>6576</v>
      </c>
      <c r="R7116" s="10" t="s">
        <v>33932</v>
      </c>
      <c r="S7116" s="10" t="s">
        <v>53</v>
      </c>
      <c r="T7116" s="10" t="s">
        <v>54</v>
      </c>
    </row>
    <row r="7117" spans="1:20" ht="14.5" x14ac:dyDescent="0.35">
      <c r="A7117" s="10" t="s">
        <v>33933</v>
      </c>
      <c r="B7117" s="10" t="str">
        <f>"9780306472671"</f>
        <v>9780306472671</v>
      </c>
      <c r="C7117" s="10" t="str">
        <f>"9780306479342"</f>
        <v>9780306479342</v>
      </c>
      <c r="D7117" s="10" t="s">
        <v>11249</v>
      </c>
      <c r="E7117" s="10" t="s">
        <v>13067</v>
      </c>
      <c r="F7117" s="10" t="s">
        <v>13068</v>
      </c>
      <c r="G7117" s="10" t="s">
        <v>6317</v>
      </c>
      <c r="H7117" s="11">
        <v>37621</v>
      </c>
      <c r="I7117" s="10">
        <v>2003</v>
      </c>
      <c r="J7117" s="10" t="s">
        <v>13067</v>
      </c>
      <c r="K7117" s="10">
        <v>244</v>
      </c>
      <c r="L7117" s="10" t="s">
        <v>33934</v>
      </c>
      <c r="M7117" s="10">
        <v>1</v>
      </c>
      <c r="N7117" s="10" t="s">
        <v>33935</v>
      </c>
      <c r="O7117" s="10"/>
      <c r="P7117" s="10" t="s">
        <v>33936</v>
      </c>
      <c r="Q7117" s="10" t="s">
        <v>19648</v>
      </c>
      <c r="R7117" s="10" t="s">
        <v>33937</v>
      </c>
      <c r="S7117" s="10" t="s">
        <v>53</v>
      </c>
      <c r="T7117" s="10" t="s">
        <v>8510</v>
      </c>
    </row>
    <row r="7118" spans="1:20" ht="14.5" x14ac:dyDescent="0.35">
      <c r="A7118" s="10" t="s">
        <v>33938</v>
      </c>
      <c r="B7118" s="10" t="str">
        <f>"9781402010187"</f>
        <v>9781402010187</v>
      </c>
      <c r="C7118" s="10" t="str">
        <f>"9780306481963"</f>
        <v>9780306481963</v>
      </c>
      <c r="D7118" s="10" t="s">
        <v>11249</v>
      </c>
      <c r="E7118" s="10" t="s">
        <v>12215</v>
      </c>
      <c r="F7118" s="10" t="s">
        <v>206</v>
      </c>
      <c r="G7118" s="10" t="s">
        <v>9233</v>
      </c>
      <c r="H7118" s="11">
        <v>37652</v>
      </c>
      <c r="I7118" s="10">
        <v>2002</v>
      </c>
      <c r="J7118" s="10" t="s">
        <v>13067</v>
      </c>
      <c r="K7118" s="10">
        <v>280</v>
      </c>
      <c r="L7118" s="10" t="s">
        <v>33939</v>
      </c>
      <c r="M7118" s="10">
        <v>1</v>
      </c>
      <c r="N7118" s="10" t="s">
        <v>12217</v>
      </c>
      <c r="O7118" s="10">
        <v>16</v>
      </c>
      <c r="P7118" s="10" t="s">
        <v>12218</v>
      </c>
      <c r="Q7118" s="10" t="s">
        <v>9108</v>
      </c>
      <c r="R7118" s="10" t="s">
        <v>33940</v>
      </c>
      <c r="S7118" s="10" t="s">
        <v>53</v>
      </c>
      <c r="T7118" s="10" t="s">
        <v>9608</v>
      </c>
    </row>
    <row r="7119" spans="1:20" ht="14.5" x14ac:dyDescent="0.35">
      <c r="A7119" s="10" t="s">
        <v>33941</v>
      </c>
      <c r="B7119" s="10" t="str">
        <f>"9781402010576"</f>
        <v>9781402010576</v>
      </c>
      <c r="C7119" s="10" t="str">
        <f>"9780306479588"</f>
        <v>9780306479588</v>
      </c>
      <c r="D7119" s="10" t="s">
        <v>11249</v>
      </c>
      <c r="E7119" s="10" t="s">
        <v>12215</v>
      </c>
      <c r="F7119" s="10" t="s">
        <v>206</v>
      </c>
      <c r="G7119" s="10" t="s">
        <v>9233</v>
      </c>
      <c r="H7119" s="11">
        <v>37652</v>
      </c>
      <c r="I7119" s="10">
        <v>2002</v>
      </c>
      <c r="J7119" s="10" t="s">
        <v>12215</v>
      </c>
      <c r="K7119" s="10">
        <v>385</v>
      </c>
      <c r="L7119" s="10" t="s">
        <v>33942</v>
      </c>
      <c r="M7119" s="10">
        <v>1</v>
      </c>
      <c r="N7119" s="10" t="s">
        <v>20643</v>
      </c>
      <c r="O7119" s="10">
        <v>31</v>
      </c>
      <c r="P7119" s="10" t="s">
        <v>20644</v>
      </c>
      <c r="Q7119" s="10" t="s">
        <v>6538</v>
      </c>
      <c r="R7119" s="10" t="s">
        <v>33943</v>
      </c>
      <c r="S7119" s="10" t="s">
        <v>53</v>
      </c>
      <c r="T7119" s="10" t="s">
        <v>389</v>
      </c>
    </row>
    <row r="7120" spans="1:20" ht="14.5" x14ac:dyDescent="0.35">
      <c r="A7120" s="10" t="s">
        <v>33944</v>
      </c>
      <c r="B7120" s="10" t="str">
        <f>"9781402020063"</f>
        <v>9781402020063</v>
      </c>
      <c r="C7120" s="10" t="str">
        <f>"9780306485183"</f>
        <v>9780306485183</v>
      </c>
      <c r="D7120" s="10" t="s">
        <v>11249</v>
      </c>
      <c r="E7120" s="10" t="s">
        <v>12215</v>
      </c>
      <c r="F7120" s="10" t="s">
        <v>206</v>
      </c>
      <c r="G7120" s="10" t="s">
        <v>9233</v>
      </c>
      <c r="H7120" s="11">
        <v>38077</v>
      </c>
      <c r="I7120" s="10">
        <v>2004</v>
      </c>
      <c r="J7120" s="10" t="s">
        <v>13067</v>
      </c>
      <c r="K7120" s="10">
        <v>218</v>
      </c>
      <c r="L7120" s="10" t="s">
        <v>33945</v>
      </c>
      <c r="M7120" s="10">
        <v>1</v>
      </c>
      <c r="N7120" s="10"/>
      <c r="O7120" s="10"/>
      <c r="P7120" s="10" t="s">
        <v>11364</v>
      </c>
      <c r="Q7120" s="10"/>
      <c r="R7120" s="10" t="s">
        <v>33946</v>
      </c>
      <c r="S7120" s="10" t="s">
        <v>53</v>
      </c>
      <c r="T7120" s="10" t="s">
        <v>54</v>
      </c>
    </row>
    <row r="7121" spans="1:20" ht="14.5" x14ac:dyDescent="0.35">
      <c r="A7121" s="10" t="s">
        <v>33947</v>
      </c>
      <c r="B7121" s="10" t="str">
        <f>"9780804736961"</f>
        <v>9780804736961</v>
      </c>
      <c r="C7121" s="10" t="str">
        <f>"9780804780414"</f>
        <v>9780804780414</v>
      </c>
      <c r="D7121" s="10" t="s">
        <v>16213</v>
      </c>
      <c r="E7121" s="10" t="s">
        <v>16213</v>
      </c>
      <c r="F7121" s="10" t="s">
        <v>16214</v>
      </c>
      <c r="G7121" s="10" t="s">
        <v>6317</v>
      </c>
      <c r="H7121" s="11">
        <v>37347</v>
      </c>
      <c r="I7121" s="10">
        <v>2001</v>
      </c>
      <c r="J7121" s="10" t="s">
        <v>16213</v>
      </c>
      <c r="K7121" s="10">
        <v>356</v>
      </c>
      <c r="L7121" s="10" t="s">
        <v>33948</v>
      </c>
      <c r="M7121" s="10">
        <v>1</v>
      </c>
      <c r="N7121" s="10"/>
      <c r="O7121" s="10"/>
      <c r="P7121" s="10" t="s">
        <v>12453</v>
      </c>
      <c r="Q7121" s="10" t="s">
        <v>33949</v>
      </c>
      <c r="R7121" s="10" t="s">
        <v>1197</v>
      </c>
      <c r="S7121" s="10" t="s">
        <v>53</v>
      </c>
      <c r="T7121" s="10" t="s">
        <v>54</v>
      </c>
    </row>
    <row r="7122" spans="1:20" ht="14.5" x14ac:dyDescent="0.35">
      <c r="A7122" s="10" t="s">
        <v>33950</v>
      </c>
      <c r="B7122" s="10" t="str">
        <f>"9780804776479"</f>
        <v>9780804776479</v>
      </c>
      <c r="C7122" s="10" t="str">
        <f>"9780804781626"</f>
        <v>9780804781626</v>
      </c>
      <c r="D7122" s="10" t="s">
        <v>16213</v>
      </c>
      <c r="E7122" s="10" t="s">
        <v>16213</v>
      </c>
      <c r="F7122" s="10" t="s">
        <v>16214</v>
      </c>
      <c r="G7122" s="10" t="s">
        <v>6317</v>
      </c>
      <c r="H7122" s="11">
        <v>40750</v>
      </c>
      <c r="I7122" s="10">
        <v>2011</v>
      </c>
      <c r="J7122" s="10" t="s">
        <v>16213</v>
      </c>
      <c r="K7122" s="10">
        <v>367</v>
      </c>
      <c r="L7122" s="10" t="s">
        <v>33951</v>
      </c>
      <c r="M7122" s="10">
        <v>1</v>
      </c>
      <c r="N7122" s="10"/>
      <c r="O7122" s="10"/>
      <c r="P7122" s="10" t="s">
        <v>18361</v>
      </c>
      <c r="Q7122" s="10">
        <v>378.11099999999999</v>
      </c>
      <c r="R7122" s="10" t="s">
        <v>33952</v>
      </c>
      <c r="S7122" s="10" t="s">
        <v>53</v>
      </c>
      <c r="T7122" s="10" t="s">
        <v>54</v>
      </c>
    </row>
    <row r="7123" spans="1:20" ht="14.5" x14ac:dyDescent="0.35">
      <c r="A7123" s="10" t="s">
        <v>33953</v>
      </c>
      <c r="B7123" s="10" t="str">
        <f>"9780804761956"</f>
        <v>9780804761956</v>
      </c>
      <c r="C7123" s="10" t="str">
        <f>"9780804771160"</f>
        <v>9780804771160</v>
      </c>
      <c r="D7123" s="10" t="s">
        <v>16213</v>
      </c>
      <c r="E7123" s="10" t="s">
        <v>16213</v>
      </c>
      <c r="F7123" s="10" t="s">
        <v>16214</v>
      </c>
      <c r="G7123" s="10" t="s">
        <v>6317</v>
      </c>
      <c r="H7123" s="11">
        <v>39910</v>
      </c>
      <c r="I7123" s="10">
        <v>2009</v>
      </c>
      <c r="J7123" s="10" t="s">
        <v>16213</v>
      </c>
      <c r="K7123" s="10">
        <v>359</v>
      </c>
      <c r="L7123" s="10" t="s">
        <v>33954</v>
      </c>
      <c r="M7123" s="10">
        <v>1</v>
      </c>
      <c r="N7123" s="10"/>
      <c r="O7123" s="10"/>
      <c r="P7123" s="10" t="s">
        <v>33955</v>
      </c>
      <c r="Q7123" s="10">
        <v>378.68227089393599</v>
      </c>
      <c r="R7123" s="10" t="s">
        <v>33956</v>
      </c>
      <c r="S7123" s="10" t="s">
        <v>53</v>
      </c>
      <c r="T7123" s="10" t="s">
        <v>54</v>
      </c>
    </row>
    <row r="7124" spans="1:20" ht="14.5" x14ac:dyDescent="0.35">
      <c r="A7124" s="10" t="s">
        <v>33957</v>
      </c>
      <c r="B7124" s="10" t="str">
        <f>"9781579222352"</f>
        <v>9781579222352</v>
      </c>
      <c r="C7124" s="10" t="str">
        <f>"9781000976205"</f>
        <v>9781000976205</v>
      </c>
      <c r="D7124" s="10" t="s">
        <v>6350</v>
      </c>
      <c r="E7124" s="10" t="s">
        <v>6351</v>
      </c>
      <c r="F7124" s="10" t="s">
        <v>748</v>
      </c>
      <c r="G7124" s="10" t="s">
        <v>6352</v>
      </c>
      <c r="H7124" s="11">
        <v>41417</v>
      </c>
      <c r="I7124" s="10">
        <v>2013</v>
      </c>
      <c r="J7124" s="10" t="s">
        <v>6351</v>
      </c>
      <c r="K7124" s="10">
        <v>453</v>
      </c>
      <c r="L7124" s="10" t="s">
        <v>33958</v>
      </c>
      <c r="M7124" s="10">
        <v>1</v>
      </c>
      <c r="N7124" s="10"/>
      <c r="O7124" s="10"/>
      <c r="P7124" s="10" t="s">
        <v>33959</v>
      </c>
      <c r="Q7124" s="10">
        <v>378.19820972999997</v>
      </c>
      <c r="R7124" s="10" t="s">
        <v>33960</v>
      </c>
      <c r="S7124" s="10" t="s">
        <v>53</v>
      </c>
      <c r="T7124" s="10" t="s">
        <v>54</v>
      </c>
    </row>
    <row r="7125" spans="1:20" ht="14.5" x14ac:dyDescent="0.35">
      <c r="A7125" s="10" t="s">
        <v>33961</v>
      </c>
      <c r="B7125" s="10" t="str">
        <f>"9781579227340"</f>
        <v>9781579227340</v>
      </c>
      <c r="C7125" s="10" t="str">
        <f>"9781000975291"</f>
        <v>9781000975291</v>
      </c>
      <c r="D7125" s="10" t="s">
        <v>6350</v>
      </c>
      <c r="E7125" s="10" t="s">
        <v>6351</v>
      </c>
      <c r="F7125" s="10" t="s">
        <v>748</v>
      </c>
      <c r="G7125" s="10" t="s">
        <v>6352</v>
      </c>
      <c r="H7125" s="11">
        <v>41528</v>
      </c>
      <c r="I7125" s="10">
        <v>2013</v>
      </c>
      <c r="J7125" s="10" t="s">
        <v>6351</v>
      </c>
      <c r="K7125" s="10">
        <v>278</v>
      </c>
      <c r="L7125" s="10" t="s">
        <v>33962</v>
      </c>
      <c r="M7125" s="10">
        <v>1</v>
      </c>
      <c r="N7125" s="10"/>
      <c r="O7125" s="10"/>
      <c r="P7125" s="10" t="s">
        <v>33963</v>
      </c>
      <c r="Q7125" s="10">
        <v>370.72</v>
      </c>
      <c r="R7125" s="10" t="s">
        <v>33964</v>
      </c>
      <c r="S7125" s="10" t="s">
        <v>53</v>
      </c>
      <c r="T7125" s="10" t="s">
        <v>54</v>
      </c>
    </row>
    <row r="7126" spans="1:20" ht="14.5" x14ac:dyDescent="0.35">
      <c r="A7126" s="10" t="s">
        <v>33965</v>
      </c>
      <c r="B7126" s="10" t="str">
        <f>"9781579229696"</f>
        <v>9781579229696</v>
      </c>
      <c r="C7126" s="10" t="str">
        <f>"9781000974430"</f>
        <v>9781000974430</v>
      </c>
      <c r="D7126" s="10" t="s">
        <v>6350</v>
      </c>
      <c r="E7126" s="10" t="s">
        <v>6351</v>
      </c>
      <c r="F7126" s="10" t="s">
        <v>748</v>
      </c>
      <c r="G7126" s="10" t="s">
        <v>6352</v>
      </c>
      <c r="H7126" s="11">
        <v>41465</v>
      </c>
      <c r="I7126" s="10">
        <v>2013</v>
      </c>
      <c r="J7126" s="10" t="s">
        <v>6351</v>
      </c>
      <c r="K7126" s="10">
        <v>403</v>
      </c>
      <c r="L7126" s="10" t="s">
        <v>33966</v>
      </c>
      <c r="M7126" s="10">
        <v>1</v>
      </c>
      <c r="N7126" s="10"/>
      <c r="O7126" s="10"/>
      <c r="P7126" s="10" t="s">
        <v>33967</v>
      </c>
      <c r="Q7126" s="10">
        <v>378.11099999999999</v>
      </c>
      <c r="R7126" s="10" t="s">
        <v>33968</v>
      </c>
      <c r="S7126" s="10" t="s">
        <v>53</v>
      </c>
      <c r="T7126" s="10" t="s">
        <v>54</v>
      </c>
    </row>
    <row r="7127" spans="1:20" ht="14.5" x14ac:dyDescent="0.35">
      <c r="A7127" s="10" t="s">
        <v>33969</v>
      </c>
      <c r="B7127" s="10" t="str">
        <f>"9781620361115"</f>
        <v>9781620361115</v>
      </c>
      <c r="C7127" s="10" t="str">
        <f>"9781000974119"</f>
        <v>9781000974119</v>
      </c>
      <c r="D7127" s="10" t="s">
        <v>6350</v>
      </c>
      <c r="E7127" s="10" t="s">
        <v>6351</v>
      </c>
      <c r="F7127" s="10" t="s">
        <v>748</v>
      </c>
      <c r="G7127" s="10" t="s">
        <v>6352</v>
      </c>
      <c r="H7127" s="11">
        <v>41585</v>
      </c>
      <c r="I7127" s="10">
        <v>2013</v>
      </c>
      <c r="J7127" s="10" t="s">
        <v>6351</v>
      </c>
      <c r="K7127" s="10">
        <v>359</v>
      </c>
      <c r="L7127" s="10" t="s">
        <v>33970</v>
      </c>
      <c r="M7127" s="10">
        <v>1</v>
      </c>
      <c r="N7127" s="10"/>
      <c r="O7127" s="10"/>
      <c r="P7127" s="10" t="s">
        <v>33971</v>
      </c>
      <c r="Q7127" s="10" t="s">
        <v>27260</v>
      </c>
      <c r="R7127" s="10" t="s">
        <v>33972</v>
      </c>
      <c r="S7127" s="10" t="s">
        <v>53</v>
      </c>
      <c r="T7127" s="10" t="s">
        <v>54</v>
      </c>
    </row>
    <row r="7128" spans="1:20" ht="14.5" x14ac:dyDescent="0.35">
      <c r="A7128" s="10" t="s">
        <v>33973</v>
      </c>
      <c r="B7128" s="10" t="str">
        <f>"9781579228286"</f>
        <v>9781579228286</v>
      </c>
      <c r="C7128" s="10" t="str">
        <f>"9781000975826"</f>
        <v>9781000975826</v>
      </c>
      <c r="D7128" s="10" t="s">
        <v>6350</v>
      </c>
      <c r="E7128" s="10" t="s">
        <v>6351</v>
      </c>
      <c r="F7128" s="10" t="s">
        <v>748</v>
      </c>
      <c r="G7128" s="10" t="s">
        <v>6352</v>
      </c>
      <c r="H7128" s="11">
        <v>41591</v>
      </c>
      <c r="I7128" s="10">
        <v>2014</v>
      </c>
      <c r="J7128" s="10" t="s">
        <v>6351</v>
      </c>
      <c r="K7128" s="10">
        <v>198</v>
      </c>
      <c r="L7128" s="10" t="s">
        <v>33974</v>
      </c>
      <c r="M7128" s="10">
        <v>1</v>
      </c>
      <c r="N7128" s="10"/>
      <c r="O7128" s="10"/>
      <c r="P7128" s="10" t="s">
        <v>33975</v>
      </c>
      <c r="Q7128" s="10">
        <v>378.1970973</v>
      </c>
      <c r="R7128" s="10" t="s">
        <v>33976</v>
      </c>
      <c r="S7128" s="10" t="s">
        <v>53</v>
      </c>
      <c r="T7128" s="10" t="s">
        <v>54</v>
      </c>
    </row>
    <row r="7129" spans="1:20" ht="14.5" x14ac:dyDescent="0.35">
      <c r="A7129" s="10" t="s">
        <v>33977</v>
      </c>
      <c r="B7129" s="10" t="str">
        <f>"9781620360910"</f>
        <v>9781620360910</v>
      </c>
      <c r="C7129" s="10" t="str">
        <f>"9781000971477"</f>
        <v>9781000971477</v>
      </c>
      <c r="D7129" s="10" t="s">
        <v>6350</v>
      </c>
      <c r="E7129" s="10" t="s">
        <v>6351</v>
      </c>
      <c r="F7129" s="10" t="s">
        <v>748</v>
      </c>
      <c r="G7129" s="10" t="s">
        <v>6352</v>
      </c>
      <c r="H7129" s="11">
        <v>41831</v>
      </c>
      <c r="I7129" s="10">
        <v>2014</v>
      </c>
      <c r="J7129" s="10" t="s">
        <v>6351</v>
      </c>
      <c r="K7129" s="10">
        <v>130</v>
      </c>
      <c r="L7129" s="10" t="s">
        <v>33978</v>
      </c>
      <c r="M7129" s="10">
        <v>1</v>
      </c>
      <c r="N7129" s="10"/>
      <c r="O7129" s="10"/>
      <c r="P7129" s="10" t="s">
        <v>33979</v>
      </c>
      <c r="Q7129" s="10" t="s">
        <v>9298</v>
      </c>
      <c r="R7129" s="10" t="s">
        <v>33980</v>
      </c>
      <c r="S7129" s="10" t="s">
        <v>53</v>
      </c>
      <c r="T7129" s="10" t="s">
        <v>54</v>
      </c>
    </row>
    <row r="7130" spans="1:20" ht="14.5" x14ac:dyDescent="0.35">
      <c r="A7130" s="10" t="s">
        <v>33981</v>
      </c>
      <c r="B7130" s="10" t="str">
        <f>"9781579228996"</f>
        <v>9781579228996</v>
      </c>
      <c r="C7130" s="10" t="str">
        <f>"9781000972580"</f>
        <v>9781000972580</v>
      </c>
      <c r="D7130" s="10" t="s">
        <v>6350</v>
      </c>
      <c r="E7130" s="10" t="s">
        <v>6351</v>
      </c>
      <c r="F7130" s="10" t="s">
        <v>748</v>
      </c>
      <c r="G7130" s="10" t="s">
        <v>6352</v>
      </c>
      <c r="H7130" s="11">
        <v>41872</v>
      </c>
      <c r="I7130" s="10">
        <v>2014</v>
      </c>
      <c r="J7130" s="10" t="s">
        <v>6351</v>
      </c>
      <c r="K7130" s="10">
        <v>185</v>
      </c>
      <c r="L7130" s="10" t="s">
        <v>33982</v>
      </c>
      <c r="M7130" s="10">
        <v>1</v>
      </c>
      <c r="N7130" s="10"/>
      <c r="O7130" s="10"/>
      <c r="P7130" s="10" t="s">
        <v>33983</v>
      </c>
      <c r="Q7130" s="10">
        <v>371.39</v>
      </c>
      <c r="R7130" s="10" t="s">
        <v>19950</v>
      </c>
      <c r="S7130" s="10" t="s">
        <v>53</v>
      </c>
      <c r="T7130" s="10" t="s">
        <v>54</v>
      </c>
    </row>
    <row r="7131" spans="1:20" ht="14.5" x14ac:dyDescent="0.35">
      <c r="A7131" s="10" t="s">
        <v>33984</v>
      </c>
      <c r="B7131" s="10" t="str">
        <f>"9781620361955"</f>
        <v>9781620361955</v>
      </c>
      <c r="C7131" s="10" t="str">
        <f>"9781000972924"</f>
        <v>9781000972924</v>
      </c>
      <c r="D7131" s="10" t="s">
        <v>6350</v>
      </c>
      <c r="E7131" s="10" t="s">
        <v>6351</v>
      </c>
      <c r="F7131" s="10" t="s">
        <v>748</v>
      </c>
      <c r="G7131" s="10" t="s">
        <v>6352</v>
      </c>
      <c r="H7131" s="11">
        <v>41852</v>
      </c>
      <c r="I7131" s="10">
        <v>2014</v>
      </c>
      <c r="J7131" s="10" t="s">
        <v>6351</v>
      </c>
      <c r="K7131" s="10">
        <v>258</v>
      </c>
      <c r="L7131" s="10" t="s">
        <v>33985</v>
      </c>
      <c r="M7131" s="10">
        <v>1</v>
      </c>
      <c r="N7131" s="10"/>
      <c r="O7131" s="10"/>
      <c r="P7131" s="10" t="s">
        <v>33986</v>
      </c>
      <c r="Q7131" s="10" t="s">
        <v>15735</v>
      </c>
      <c r="R7131" s="10" t="s">
        <v>33987</v>
      </c>
      <c r="S7131" s="10" t="s">
        <v>53</v>
      </c>
      <c r="T7131" s="10" t="s">
        <v>54</v>
      </c>
    </row>
    <row r="7132" spans="1:20" ht="14.5" x14ac:dyDescent="0.35">
      <c r="A7132" s="10" t="s">
        <v>33988</v>
      </c>
      <c r="B7132" s="10" t="str">
        <f>"9781579223083"</f>
        <v>9781579223083</v>
      </c>
      <c r="C7132" s="10" t="str">
        <f>"9781000973693"</f>
        <v>9781000973693</v>
      </c>
      <c r="D7132" s="10" t="s">
        <v>6350</v>
      </c>
      <c r="E7132" s="10" t="s">
        <v>6351</v>
      </c>
      <c r="F7132" s="10" t="s">
        <v>748</v>
      </c>
      <c r="G7132" s="10" t="s">
        <v>6352</v>
      </c>
      <c r="H7132" s="11">
        <v>41904</v>
      </c>
      <c r="I7132" s="10">
        <v>2014</v>
      </c>
      <c r="J7132" s="10" t="s">
        <v>6351</v>
      </c>
      <c r="K7132" s="10">
        <v>182</v>
      </c>
      <c r="L7132" s="10" t="s">
        <v>33989</v>
      </c>
      <c r="M7132" s="10">
        <v>1</v>
      </c>
      <c r="N7132" s="10"/>
      <c r="O7132" s="10"/>
      <c r="P7132" s="10" t="s">
        <v>33990</v>
      </c>
      <c r="Q7132" s="10">
        <v>371.4</v>
      </c>
      <c r="R7132" s="10" t="s">
        <v>33991</v>
      </c>
      <c r="S7132" s="10" t="s">
        <v>53</v>
      </c>
      <c r="T7132" s="10" t="s">
        <v>54</v>
      </c>
    </row>
    <row r="7133" spans="1:20" ht="14.5" x14ac:dyDescent="0.35">
      <c r="A7133" s="10" t="s">
        <v>33992</v>
      </c>
      <c r="B7133" s="10" t="str">
        <f>"9781579226312"</f>
        <v>9781579226312</v>
      </c>
      <c r="C7133" s="10" t="str">
        <f>"9781000973648"</f>
        <v>9781000973648</v>
      </c>
      <c r="D7133" s="10" t="s">
        <v>6350</v>
      </c>
      <c r="E7133" s="10" t="s">
        <v>6351</v>
      </c>
      <c r="F7133" s="10" t="s">
        <v>748</v>
      </c>
      <c r="G7133" s="10" t="s">
        <v>6352</v>
      </c>
      <c r="H7133" s="11">
        <v>41304</v>
      </c>
      <c r="I7133" s="10">
        <v>2013</v>
      </c>
      <c r="J7133" s="10" t="s">
        <v>6351</v>
      </c>
      <c r="K7133" s="10">
        <v>196</v>
      </c>
      <c r="L7133" s="10" t="s">
        <v>33993</v>
      </c>
      <c r="M7133" s="10">
        <v>1</v>
      </c>
      <c r="N7133" s="10"/>
      <c r="O7133" s="10"/>
      <c r="P7133" s="10" t="s">
        <v>33994</v>
      </c>
      <c r="Q7133" s="10" t="s">
        <v>10227</v>
      </c>
      <c r="R7133" s="10" t="s">
        <v>33995</v>
      </c>
      <c r="S7133" s="10" t="s">
        <v>53</v>
      </c>
      <c r="T7133" s="10" t="s">
        <v>54</v>
      </c>
    </row>
    <row r="7134" spans="1:20" ht="14.5" x14ac:dyDescent="0.35">
      <c r="A7134" s="10" t="s">
        <v>33996</v>
      </c>
      <c r="B7134" s="10" t="str">
        <f>"9781620362037"</f>
        <v>9781620362037</v>
      </c>
      <c r="C7134" s="10" t="str">
        <f>"9781000972160"</f>
        <v>9781000972160</v>
      </c>
      <c r="D7134" s="10" t="s">
        <v>6350</v>
      </c>
      <c r="E7134" s="10" t="s">
        <v>6351</v>
      </c>
      <c r="F7134" s="10" t="s">
        <v>748</v>
      </c>
      <c r="G7134" s="10" t="s">
        <v>6352</v>
      </c>
      <c r="H7134" s="11">
        <v>41982</v>
      </c>
      <c r="I7134" s="10">
        <v>2015</v>
      </c>
      <c r="J7134" s="10" t="s">
        <v>6351</v>
      </c>
      <c r="K7134" s="10">
        <v>375</v>
      </c>
      <c r="L7134" s="10" t="s">
        <v>33997</v>
      </c>
      <c r="M7134" s="10">
        <v>1</v>
      </c>
      <c r="N7134" s="10"/>
      <c r="O7134" s="10"/>
      <c r="P7134" s="10" t="s">
        <v>33998</v>
      </c>
      <c r="Q7134" s="10">
        <v>371.4</v>
      </c>
      <c r="R7134" s="10" t="s">
        <v>33999</v>
      </c>
      <c r="S7134" s="10" t="s">
        <v>53</v>
      </c>
      <c r="T7134" s="10" t="s">
        <v>54</v>
      </c>
    </row>
    <row r="7135" spans="1:20" ht="14.5" x14ac:dyDescent="0.35">
      <c r="A7135" s="10" t="s">
        <v>34000</v>
      </c>
      <c r="B7135" s="10" t="str">
        <f>"9781620360675"</f>
        <v>9781620360675</v>
      </c>
      <c r="C7135" s="10" t="str">
        <f>"9781000972931"</f>
        <v>9781000972931</v>
      </c>
      <c r="D7135" s="10" t="s">
        <v>6350</v>
      </c>
      <c r="E7135" s="10" t="s">
        <v>6351</v>
      </c>
      <c r="F7135" s="10" t="s">
        <v>748</v>
      </c>
      <c r="G7135" s="10" t="s">
        <v>6352</v>
      </c>
      <c r="H7135" s="11">
        <v>41843</v>
      </c>
      <c r="I7135" s="10">
        <v>2014</v>
      </c>
      <c r="J7135" s="10" t="s">
        <v>6351</v>
      </c>
      <c r="K7135" s="10">
        <v>260</v>
      </c>
      <c r="L7135" s="10" t="s">
        <v>34001</v>
      </c>
      <c r="M7135" s="10">
        <v>1</v>
      </c>
      <c r="N7135" s="10"/>
      <c r="O7135" s="10"/>
      <c r="P7135" s="10"/>
      <c r="Q7135" s="10" t="s">
        <v>19760</v>
      </c>
      <c r="R7135" s="10" t="s">
        <v>34002</v>
      </c>
      <c r="S7135" s="10" t="s">
        <v>53</v>
      </c>
      <c r="T7135" s="10" t="s">
        <v>54</v>
      </c>
    </row>
    <row r="7136" spans="1:20" ht="14.5" x14ac:dyDescent="0.35">
      <c r="A7136" s="10" t="s">
        <v>34003</v>
      </c>
      <c r="B7136" s="10" t="str">
        <f>"9781579229610"</f>
        <v>9781579229610</v>
      </c>
      <c r="C7136" s="10" t="str">
        <f>"9781000973570"</f>
        <v>9781000973570</v>
      </c>
      <c r="D7136" s="10" t="s">
        <v>6350</v>
      </c>
      <c r="E7136" s="10" t="s">
        <v>6351</v>
      </c>
      <c r="F7136" s="10" t="s">
        <v>748</v>
      </c>
      <c r="G7136" s="10" t="s">
        <v>6352</v>
      </c>
      <c r="H7136" s="11">
        <v>41782</v>
      </c>
      <c r="I7136" s="10">
        <v>2014</v>
      </c>
      <c r="J7136" s="10" t="s">
        <v>6351</v>
      </c>
      <c r="K7136" s="10">
        <v>259</v>
      </c>
      <c r="L7136" s="10" t="s">
        <v>34004</v>
      </c>
      <c r="M7136" s="10">
        <v>1</v>
      </c>
      <c r="N7136" s="10"/>
      <c r="O7136" s="10"/>
      <c r="P7136" s="10" t="s">
        <v>34005</v>
      </c>
      <c r="Q7136" s="10" t="s">
        <v>14718</v>
      </c>
      <c r="R7136" s="10" t="s">
        <v>34006</v>
      </c>
      <c r="S7136" s="10" t="s">
        <v>53</v>
      </c>
      <c r="T7136" s="10" t="s">
        <v>54</v>
      </c>
    </row>
    <row r="7137" spans="1:20" ht="14.5" x14ac:dyDescent="0.35">
      <c r="A7137" s="10" t="s">
        <v>34007</v>
      </c>
      <c r="B7137" s="10" t="str">
        <f>"9781579227548"</f>
        <v>9781579227548</v>
      </c>
      <c r="C7137" s="10" t="str">
        <f>"9781000973556"</f>
        <v>9781000973556</v>
      </c>
      <c r="D7137" s="10" t="s">
        <v>6350</v>
      </c>
      <c r="E7137" s="10" t="s">
        <v>6351</v>
      </c>
      <c r="F7137" s="10" t="s">
        <v>748</v>
      </c>
      <c r="G7137" s="10" t="s">
        <v>6352</v>
      </c>
      <c r="H7137" s="11">
        <v>41878</v>
      </c>
      <c r="I7137" s="10">
        <v>2014</v>
      </c>
      <c r="J7137" s="10" t="s">
        <v>6351</v>
      </c>
      <c r="K7137" s="10">
        <v>250</v>
      </c>
      <c r="L7137" s="10" t="s">
        <v>34008</v>
      </c>
      <c r="M7137" s="10">
        <v>1</v>
      </c>
      <c r="N7137" s="10"/>
      <c r="O7137" s="10"/>
      <c r="P7137" s="10" t="s">
        <v>34009</v>
      </c>
      <c r="Q7137" s="10" t="s">
        <v>8381</v>
      </c>
      <c r="R7137" s="10" t="s">
        <v>34010</v>
      </c>
      <c r="S7137" s="10" t="s">
        <v>53</v>
      </c>
      <c r="T7137" s="10" t="s">
        <v>54</v>
      </c>
    </row>
    <row r="7138" spans="1:20" ht="14.5" x14ac:dyDescent="0.35">
      <c r="A7138" s="10" t="s">
        <v>34011</v>
      </c>
      <c r="B7138" s="10" t="str">
        <f>"9781579226190"</f>
        <v>9781579226190</v>
      </c>
      <c r="C7138" s="10" t="str">
        <f>"9781000971859"</f>
        <v>9781000971859</v>
      </c>
      <c r="D7138" s="10" t="s">
        <v>6350</v>
      </c>
      <c r="E7138" s="10" t="s">
        <v>6351</v>
      </c>
      <c r="F7138" s="10" t="s">
        <v>748</v>
      </c>
      <c r="G7138" s="10" t="s">
        <v>6352</v>
      </c>
      <c r="H7138" s="11">
        <v>41897</v>
      </c>
      <c r="I7138" s="10">
        <v>2014</v>
      </c>
      <c r="J7138" s="10" t="s">
        <v>6351</v>
      </c>
      <c r="K7138" s="10">
        <v>294</v>
      </c>
      <c r="L7138" s="10" t="s">
        <v>34012</v>
      </c>
      <c r="M7138" s="10">
        <v>1</v>
      </c>
      <c r="N7138" s="10"/>
      <c r="O7138" s="10"/>
      <c r="P7138" s="10" t="s">
        <v>34013</v>
      </c>
      <c r="Q7138" s="10">
        <v>370.11599999999999</v>
      </c>
      <c r="R7138" s="10" t="s">
        <v>8200</v>
      </c>
      <c r="S7138" s="10" t="s">
        <v>53</v>
      </c>
      <c r="T7138" s="10" t="s">
        <v>54</v>
      </c>
    </row>
    <row r="7139" spans="1:20" ht="14.5" x14ac:dyDescent="0.35">
      <c r="A7139" s="10" t="s">
        <v>34014</v>
      </c>
      <c r="B7139" s="10" t="str">
        <f>"9781579228545"</f>
        <v>9781579228545</v>
      </c>
      <c r="C7139" s="10" t="str">
        <f>"9781000973563"</f>
        <v>9781000973563</v>
      </c>
      <c r="D7139" s="10" t="s">
        <v>6350</v>
      </c>
      <c r="E7139" s="10" t="s">
        <v>6351</v>
      </c>
      <c r="F7139" s="10" t="s">
        <v>20757</v>
      </c>
      <c r="G7139" s="10" t="s">
        <v>6317</v>
      </c>
      <c r="H7139" s="11">
        <v>41899</v>
      </c>
      <c r="I7139" s="10">
        <v>2014</v>
      </c>
      <c r="J7139" s="10" t="s">
        <v>6353</v>
      </c>
      <c r="K7139" s="10">
        <v>222</v>
      </c>
      <c r="L7139" s="10" t="s">
        <v>34015</v>
      </c>
      <c r="M7139" s="10">
        <v>1</v>
      </c>
      <c r="N7139" s="10" t="s">
        <v>20888</v>
      </c>
      <c r="O7139" s="10"/>
      <c r="P7139" s="10" t="s">
        <v>34016</v>
      </c>
      <c r="Q7139" s="10" t="s">
        <v>10489</v>
      </c>
      <c r="R7139" s="10" t="s">
        <v>34017</v>
      </c>
      <c r="S7139" s="10" t="s">
        <v>53</v>
      </c>
      <c r="T7139" s="10" t="s">
        <v>54</v>
      </c>
    </row>
    <row r="7140" spans="1:20" ht="14.5" x14ac:dyDescent="0.35">
      <c r="A7140" s="10" t="s">
        <v>34018</v>
      </c>
      <c r="B7140" s="10" t="str">
        <f>"9781579224875"</f>
        <v>9781579224875</v>
      </c>
      <c r="C7140" s="10" t="str">
        <f>"9781000972559"</f>
        <v>9781000972559</v>
      </c>
      <c r="D7140" s="10" t="s">
        <v>6350</v>
      </c>
      <c r="E7140" s="10" t="s">
        <v>6351</v>
      </c>
      <c r="F7140" s="10" t="s">
        <v>748</v>
      </c>
      <c r="G7140" s="10" t="s">
        <v>6352</v>
      </c>
      <c r="H7140" s="11">
        <v>41961</v>
      </c>
      <c r="I7140" s="10">
        <v>2015</v>
      </c>
      <c r="J7140" s="10" t="s">
        <v>6351</v>
      </c>
      <c r="K7140" s="10">
        <v>248</v>
      </c>
      <c r="L7140" s="10" t="s">
        <v>34019</v>
      </c>
      <c r="M7140" s="10">
        <v>1</v>
      </c>
      <c r="N7140" s="10"/>
      <c r="O7140" s="10"/>
      <c r="P7140" s="10" t="s">
        <v>34020</v>
      </c>
      <c r="Q7140" s="10">
        <v>378.12088999999997</v>
      </c>
      <c r="R7140" s="10" t="s">
        <v>18784</v>
      </c>
      <c r="S7140" s="10" t="s">
        <v>53</v>
      </c>
      <c r="T7140" s="10" t="s">
        <v>54</v>
      </c>
    </row>
    <row r="7141" spans="1:20" ht="14.5" x14ac:dyDescent="0.35">
      <c r="A7141" s="10" t="s">
        <v>34021</v>
      </c>
      <c r="B7141" s="10" t="str">
        <f>"9780890968185"</f>
        <v>9780890968185</v>
      </c>
      <c r="C7141" s="10" t="str">
        <f>"9781603447188"</f>
        <v>9781603447188</v>
      </c>
      <c r="D7141" s="10" t="s">
        <v>23853</v>
      </c>
      <c r="E7141" s="10" t="s">
        <v>23854</v>
      </c>
      <c r="F7141" s="10" t="s">
        <v>3126</v>
      </c>
      <c r="G7141" s="10" t="s">
        <v>6317</v>
      </c>
      <c r="H7141" s="11">
        <v>36220</v>
      </c>
      <c r="I7141" s="10">
        <v>1999</v>
      </c>
      <c r="J7141" s="10" t="s">
        <v>34022</v>
      </c>
      <c r="K7141" s="10">
        <v>242</v>
      </c>
      <c r="L7141" s="10" t="s">
        <v>34023</v>
      </c>
      <c r="M7141" s="10">
        <v>1</v>
      </c>
      <c r="N7141" s="10"/>
      <c r="O7141" s="10"/>
      <c r="P7141" s="10" t="s">
        <v>34024</v>
      </c>
      <c r="Q7141" s="10" t="s">
        <v>34025</v>
      </c>
      <c r="R7141" s="10" t="s">
        <v>34026</v>
      </c>
      <c r="S7141" s="10" t="s">
        <v>53</v>
      </c>
      <c r="T7141" s="10" t="s">
        <v>54</v>
      </c>
    </row>
    <row r="7142" spans="1:20" ht="14.5" x14ac:dyDescent="0.35">
      <c r="A7142" s="10" t="s">
        <v>34027</v>
      </c>
      <c r="B7142" s="10" t="str">
        <f>"9781603442046"</f>
        <v>9781603442046</v>
      </c>
      <c r="C7142" s="10" t="str">
        <f>"9781603442534"</f>
        <v>9781603442534</v>
      </c>
      <c r="D7142" s="10" t="s">
        <v>23853</v>
      </c>
      <c r="E7142" s="10" t="s">
        <v>23854</v>
      </c>
      <c r="F7142" s="10" t="s">
        <v>3126</v>
      </c>
      <c r="G7142" s="10" t="s">
        <v>6317</v>
      </c>
      <c r="H7142" s="11">
        <v>40422</v>
      </c>
      <c r="I7142" s="10">
        <v>2010</v>
      </c>
      <c r="J7142" s="10" t="s">
        <v>23854</v>
      </c>
      <c r="K7142" s="10">
        <v>196</v>
      </c>
      <c r="L7142" s="10" t="s">
        <v>34028</v>
      </c>
      <c r="M7142" s="10">
        <v>1</v>
      </c>
      <c r="N7142" s="10" t="s">
        <v>34029</v>
      </c>
      <c r="O7142" s="10"/>
      <c r="P7142" s="10" t="s">
        <v>34030</v>
      </c>
      <c r="Q7142" s="10" t="s">
        <v>34031</v>
      </c>
      <c r="R7142" s="10" t="s">
        <v>34032</v>
      </c>
      <c r="S7142" s="10" t="s">
        <v>53</v>
      </c>
      <c r="T7142" s="10" t="s">
        <v>17165</v>
      </c>
    </row>
    <row r="7143" spans="1:20" ht="14.5" x14ac:dyDescent="0.35">
      <c r="A7143" s="10" t="s">
        <v>34033</v>
      </c>
      <c r="B7143" s="10" t="str">
        <f>"9781603440950"</f>
        <v>9781603440950</v>
      </c>
      <c r="C7143" s="10" t="str">
        <f>"9781603443289"</f>
        <v>9781603443289</v>
      </c>
      <c r="D7143" s="10" t="s">
        <v>23853</v>
      </c>
      <c r="E7143" s="10" t="s">
        <v>23854</v>
      </c>
      <c r="F7143" s="10" t="s">
        <v>3126</v>
      </c>
      <c r="G7143" s="10" t="s">
        <v>6317</v>
      </c>
      <c r="H7143" s="11">
        <v>39904</v>
      </c>
      <c r="I7143" s="10">
        <v>2009</v>
      </c>
      <c r="J7143" s="10" t="s">
        <v>23854</v>
      </c>
      <c r="K7143" s="10">
        <v>177</v>
      </c>
      <c r="L7143" s="10" t="s">
        <v>34034</v>
      </c>
      <c r="M7143" s="10">
        <v>1</v>
      </c>
      <c r="N7143" s="10" t="s">
        <v>34035</v>
      </c>
      <c r="O7143" s="10">
        <v>110</v>
      </c>
      <c r="P7143" s="10" t="s">
        <v>34036</v>
      </c>
      <c r="Q7143" s="10" t="s">
        <v>16871</v>
      </c>
      <c r="R7143" s="10" t="s">
        <v>34037</v>
      </c>
      <c r="S7143" s="10" t="s">
        <v>53</v>
      </c>
      <c r="T7143" s="10" t="s">
        <v>54</v>
      </c>
    </row>
    <row r="7144" spans="1:20" ht="14.5" x14ac:dyDescent="0.35">
      <c r="A7144" s="10" t="s">
        <v>34038</v>
      </c>
      <c r="B7144" s="10" t="str">
        <f>"9781603441117"</f>
        <v>9781603441117</v>
      </c>
      <c r="C7144" s="10" t="str">
        <f>"9781603443746"</f>
        <v>9781603443746</v>
      </c>
      <c r="D7144" s="10" t="s">
        <v>23853</v>
      </c>
      <c r="E7144" s="10" t="s">
        <v>23854</v>
      </c>
      <c r="F7144" s="10" t="s">
        <v>3126</v>
      </c>
      <c r="G7144" s="10" t="s">
        <v>6317</v>
      </c>
      <c r="H7144" s="11">
        <v>40001</v>
      </c>
      <c r="I7144" s="10">
        <v>2009</v>
      </c>
      <c r="J7144" s="10" t="s">
        <v>23854</v>
      </c>
      <c r="K7144" s="10">
        <v>153</v>
      </c>
      <c r="L7144" s="10" t="s">
        <v>34039</v>
      </c>
      <c r="M7144" s="10">
        <v>1</v>
      </c>
      <c r="N7144" s="10" t="s">
        <v>34040</v>
      </c>
      <c r="O7144" s="10"/>
      <c r="P7144" s="10" t="s">
        <v>34041</v>
      </c>
      <c r="Q7144" s="10" t="s">
        <v>34042</v>
      </c>
      <c r="R7144" s="10" t="s">
        <v>34043</v>
      </c>
      <c r="S7144" s="10" t="s">
        <v>53</v>
      </c>
      <c r="T7144" s="10" t="s">
        <v>54</v>
      </c>
    </row>
    <row r="7145" spans="1:20" ht="14.5" x14ac:dyDescent="0.35">
      <c r="A7145" s="10" t="s">
        <v>34044</v>
      </c>
      <c r="B7145" s="10" t="str">
        <f>"9781603440776"</f>
        <v>9781603440776</v>
      </c>
      <c r="C7145" s="10" t="str">
        <f>"9781603444101"</f>
        <v>9781603444101</v>
      </c>
      <c r="D7145" s="10" t="s">
        <v>23853</v>
      </c>
      <c r="E7145" s="10" t="s">
        <v>23854</v>
      </c>
      <c r="F7145" s="10" t="s">
        <v>3126</v>
      </c>
      <c r="G7145" s="10" t="s">
        <v>6317</v>
      </c>
      <c r="H7145" s="11">
        <v>39623</v>
      </c>
      <c r="I7145" s="10">
        <v>2008</v>
      </c>
      <c r="J7145" s="10" t="s">
        <v>23854</v>
      </c>
      <c r="K7145" s="10">
        <v>473</v>
      </c>
      <c r="L7145" s="10" t="s">
        <v>34045</v>
      </c>
      <c r="M7145" s="10">
        <v>1</v>
      </c>
      <c r="N7145" s="10" t="s">
        <v>34040</v>
      </c>
      <c r="O7145" s="10">
        <v>104</v>
      </c>
      <c r="P7145" s="10" t="s">
        <v>34046</v>
      </c>
      <c r="Q7145" s="10" t="s">
        <v>34047</v>
      </c>
      <c r="R7145" s="10" t="s">
        <v>34048</v>
      </c>
      <c r="S7145" s="10" t="s">
        <v>53</v>
      </c>
      <c r="T7145" s="10" t="s">
        <v>17165</v>
      </c>
    </row>
    <row r="7146" spans="1:20" ht="14.5" x14ac:dyDescent="0.35">
      <c r="A7146" s="10" t="s">
        <v>34049</v>
      </c>
      <c r="B7146" s="10" t="str">
        <f>"9781585444328"</f>
        <v>9781585444328</v>
      </c>
      <c r="C7146" s="10" t="str">
        <f>"9781603446099"</f>
        <v>9781603446099</v>
      </c>
      <c r="D7146" s="10" t="s">
        <v>23853</v>
      </c>
      <c r="E7146" s="10" t="s">
        <v>23854</v>
      </c>
      <c r="F7146" s="10" t="s">
        <v>3126</v>
      </c>
      <c r="G7146" s="10" t="s">
        <v>6317</v>
      </c>
      <c r="H7146" s="11">
        <v>38636</v>
      </c>
      <c r="I7146" s="10">
        <v>2005</v>
      </c>
      <c r="J7146" s="10" t="s">
        <v>23854</v>
      </c>
      <c r="K7146" s="10">
        <v>356</v>
      </c>
      <c r="L7146" s="10" t="s">
        <v>34050</v>
      </c>
      <c r="M7146" s="10">
        <v>1</v>
      </c>
      <c r="N7146" s="10" t="s">
        <v>34051</v>
      </c>
      <c r="O7146" s="10">
        <v>9</v>
      </c>
      <c r="P7146" s="10" t="s">
        <v>34052</v>
      </c>
      <c r="Q7146" s="10" t="s">
        <v>34053</v>
      </c>
      <c r="R7146" s="10" t="s">
        <v>34054</v>
      </c>
      <c r="S7146" s="10" t="s">
        <v>53</v>
      </c>
      <c r="T7146" s="10" t="s">
        <v>12825</v>
      </c>
    </row>
    <row r="7147" spans="1:20" ht="14.5" x14ac:dyDescent="0.35">
      <c r="A7147" s="10" t="s">
        <v>34055</v>
      </c>
      <c r="B7147" s="10" t="str">
        <f>"9780520216358"</f>
        <v>9780520216358</v>
      </c>
      <c r="C7147" s="10" t="str">
        <f>"9780520921931"</f>
        <v>9780520921931</v>
      </c>
      <c r="D7147" s="10" t="s">
        <v>8512</v>
      </c>
      <c r="E7147" s="10" t="s">
        <v>8512</v>
      </c>
      <c r="F7147" s="10" t="s">
        <v>717</v>
      </c>
      <c r="G7147" s="10" t="s">
        <v>6317</v>
      </c>
      <c r="H7147" s="11">
        <v>36601</v>
      </c>
      <c r="I7147" s="10">
        <v>2000</v>
      </c>
      <c r="J7147" s="10" t="s">
        <v>8512</v>
      </c>
      <c r="K7147" s="10">
        <v>348</v>
      </c>
      <c r="L7147" s="10" t="s">
        <v>34056</v>
      </c>
      <c r="M7147" s="10">
        <v>1</v>
      </c>
      <c r="N7147" s="10"/>
      <c r="O7147" s="10"/>
      <c r="P7147" s="10"/>
      <c r="Q7147" s="10"/>
      <c r="R7147" s="10" t="s">
        <v>34057</v>
      </c>
      <c r="S7147" s="10" t="s">
        <v>53</v>
      </c>
      <c r="T7147" s="10" t="s">
        <v>34058</v>
      </c>
    </row>
    <row r="7148" spans="1:20" ht="14.5" x14ac:dyDescent="0.35">
      <c r="A7148" s="10" t="s">
        <v>34059</v>
      </c>
      <c r="B7148" s="10" t="str">
        <f>"9780820333427"</f>
        <v>9780820333427</v>
      </c>
      <c r="C7148" s="10" t="str">
        <f>"9780820335872"</f>
        <v>9780820335872</v>
      </c>
      <c r="D7148" s="10" t="s">
        <v>34060</v>
      </c>
      <c r="E7148" s="10" t="s">
        <v>34060</v>
      </c>
      <c r="F7148" s="10" t="s">
        <v>2376</v>
      </c>
      <c r="G7148" s="10" t="s">
        <v>6317</v>
      </c>
      <c r="H7148" s="11">
        <v>39995</v>
      </c>
      <c r="I7148" s="10">
        <v>2009</v>
      </c>
      <c r="J7148" s="10" t="s">
        <v>34060</v>
      </c>
      <c r="K7148" s="10">
        <v>364</v>
      </c>
      <c r="L7148" s="10" t="s">
        <v>34061</v>
      </c>
      <c r="M7148" s="10">
        <v>1</v>
      </c>
      <c r="N7148" s="10"/>
      <c r="O7148" s="10"/>
      <c r="P7148" s="10" t="s">
        <v>34062</v>
      </c>
      <c r="Q7148" s="10" t="s">
        <v>27163</v>
      </c>
      <c r="R7148" s="10" t="s">
        <v>34063</v>
      </c>
      <c r="S7148" s="10" t="s">
        <v>53</v>
      </c>
      <c r="T7148" s="10" t="s">
        <v>54</v>
      </c>
    </row>
    <row r="7149" spans="1:20" ht="14.5" x14ac:dyDescent="0.35">
      <c r="A7149" s="10" t="s">
        <v>34064</v>
      </c>
      <c r="B7149" s="10" t="str">
        <f>"9780820323992"</f>
        <v>9780820323992</v>
      </c>
      <c r="C7149" s="10" t="str">
        <f>"9780820326320"</f>
        <v>9780820326320</v>
      </c>
      <c r="D7149" s="10" t="s">
        <v>34060</v>
      </c>
      <c r="E7149" s="10" t="s">
        <v>34060</v>
      </c>
      <c r="F7149" s="10" t="s">
        <v>2376</v>
      </c>
      <c r="G7149" s="10" t="s">
        <v>6317</v>
      </c>
      <c r="H7149" s="11">
        <v>37452</v>
      </c>
      <c r="I7149" s="10">
        <v>2002</v>
      </c>
      <c r="J7149" s="10" t="s">
        <v>34060</v>
      </c>
      <c r="K7149" s="10">
        <v>230</v>
      </c>
      <c r="L7149" s="10" t="s">
        <v>34065</v>
      </c>
      <c r="M7149" s="10">
        <v>1</v>
      </c>
      <c r="N7149" s="10"/>
      <c r="O7149" s="10"/>
      <c r="P7149" s="10" t="s">
        <v>34066</v>
      </c>
      <c r="Q7149" s="10" t="s">
        <v>34067</v>
      </c>
      <c r="R7149" s="10" t="s">
        <v>34068</v>
      </c>
      <c r="S7149" s="10" t="s">
        <v>53</v>
      </c>
      <c r="T7149" s="10" t="s">
        <v>54</v>
      </c>
    </row>
    <row r="7150" spans="1:20" ht="14.5" x14ac:dyDescent="0.35">
      <c r="A7150" s="10" t="s">
        <v>34069</v>
      </c>
      <c r="B7150" s="10" t="str">
        <f>"9780820335933"</f>
        <v>9780820335933</v>
      </c>
      <c r="C7150" s="10" t="str">
        <f>"9780820337593"</f>
        <v>9780820337593</v>
      </c>
      <c r="D7150" s="10" t="s">
        <v>34060</v>
      </c>
      <c r="E7150" s="10" t="s">
        <v>34060</v>
      </c>
      <c r="F7150" s="10" t="s">
        <v>2376</v>
      </c>
      <c r="G7150" s="10" t="s">
        <v>6317</v>
      </c>
      <c r="H7150" s="11">
        <v>40452</v>
      </c>
      <c r="I7150" s="10">
        <v>2010</v>
      </c>
      <c r="J7150" s="10" t="s">
        <v>34060</v>
      </c>
      <c r="K7150" s="10">
        <v>366</v>
      </c>
      <c r="L7150" s="10" t="s">
        <v>34070</v>
      </c>
      <c r="M7150" s="10">
        <v>1</v>
      </c>
      <c r="N7150" s="10"/>
      <c r="O7150" s="10"/>
      <c r="P7150" s="10" t="s">
        <v>34071</v>
      </c>
      <c r="Q7150" s="10" t="s">
        <v>34072</v>
      </c>
      <c r="R7150" s="10" t="s">
        <v>34073</v>
      </c>
      <c r="S7150" s="10" t="s">
        <v>53</v>
      </c>
      <c r="T7150" s="10" t="s">
        <v>54</v>
      </c>
    </row>
    <row r="7151" spans="1:20" ht="14.5" x14ac:dyDescent="0.35">
      <c r="A7151" s="10" t="s">
        <v>34074</v>
      </c>
      <c r="B7151" s="10" t="str">
        <f>"9780820337401"</f>
        <v>9780820337401</v>
      </c>
      <c r="C7151" s="10" t="str">
        <f>"9780820339665"</f>
        <v>9780820339665</v>
      </c>
      <c r="D7151" s="10" t="s">
        <v>34060</v>
      </c>
      <c r="E7151" s="10" t="s">
        <v>34060</v>
      </c>
      <c r="F7151" s="10" t="s">
        <v>2376</v>
      </c>
      <c r="G7151" s="10" t="s">
        <v>6317</v>
      </c>
      <c r="H7151" s="11">
        <v>40603</v>
      </c>
      <c r="I7151" s="10">
        <v>2011</v>
      </c>
      <c r="J7151" s="10" t="s">
        <v>34060</v>
      </c>
      <c r="K7151" s="10">
        <v>132</v>
      </c>
      <c r="L7151" s="10" t="s">
        <v>34075</v>
      </c>
      <c r="M7151" s="10">
        <v>1</v>
      </c>
      <c r="N7151" s="10" t="s">
        <v>34076</v>
      </c>
      <c r="O7151" s="10"/>
      <c r="P7151" s="10" t="s">
        <v>34077</v>
      </c>
      <c r="Q7151" s="10" t="s">
        <v>34078</v>
      </c>
      <c r="R7151" s="10" t="s">
        <v>34079</v>
      </c>
      <c r="S7151" s="10" t="s">
        <v>53</v>
      </c>
      <c r="T7151" s="10" t="s">
        <v>8346</v>
      </c>
    </row>
    <row r="7152" spans="1:20" ht="14.5" x14ac:dyDescent="0.35">
      <c r="A7152" s="10" t="s">
        <v>34080</v>
      </c>
      <c r="B7152" s="10" t="str">
        <f>"9780820327587"</f>
        <v>9780820327587</v>
      </c>
      <c r="C7152" s="10" t="str">
        <f>"9780820330792"</f>
        <v>9780820330792</v>
      </c>
      <c r="D7152" s="10" t="s">
        <v>34060</v>
      </c>
      <c r="E7152" s="10" t="s">
        <v>34060</v>
      </c>
      <c r="F7152" s="10" t="s">
        <v>2376</v>
      </c>
      <c r="G7152" s="10" t="s">
        <v>6317</v>
      </c>
      <c r="H7152" s="11">
        <v>38626</v>
      </c>
      <c r="I7152" s="10">
        <v>2005</v>
      </c>
      <c r="J7152" s="10" t="s">
        <v>34060</v>
      </c>
      <c r="K7152" s="10">
        <v>257</v>
      </c>
      <c r="L7152" s="10" t="s">
        <v>34081</v>
      </c>
      <c r="M7152" s="10">
        <v>1</v>
      </c>
      <c r="N7152" s="10"/>
      <c r="O7152" s="10"/>
      <c r="P7152" s="10" t="s">
        <v>34082</v>
      </c>
      <c r="Q7152" s="10" t="s">
        <v>34083</v>
      </c>
      <c r="R7152" s="10" t="s">
        <v>34084</v>
      </c>
      <c r="S7152" s="10" t="s">
        <v>53</v>
      </c>
      <c r="T7152" s="10" t="s">
        <v>54</v>
      </c>
    </row>
    <row r="7153" spans="1:20" ht="14.5" x14ac:dyDescent="0.35">
      <c r="A7153" s="10" t="s">
        <v>34085</v>
      </c>
      <c r="B7153" s="10" t="str">
        <f>"9780820312859"</f>
        <v>9780820312859</v>
      </c>
      <c r="C7153" s="10" t="str">
        <f>"9780820342573"</f>
        <v>9780820342573</v>
      </c>
      <c r="D7153" s="10" t="s">
        <v>34060</v>
      </c>
      <c r="E7153" s="10" t="s">
        <v>34060</v>
      </c>
      <c r="F7153" s="10" t="s">
        <v>2376</v>
      </c>
      <c r="G7153" s="10" t="s">
        <v>6317</v>
      </c>
      <c r="H7153" s="11">
        <v>33239</v>
      </c>
      <c r="I7153" s="10">
        <v>1990</v>
      </c>
      <c r="J7153" s="10" t="s">
        <v>34060</v>
      </c>
      <c r="K7153" s="10">
        <v>592</v>
      </c>
      <c r="L7153" s="10" t="s">
        <v>34086</v>
      </c>
      <c r="M7153" s="10">
        <v>1</v>
      </c>
      <c r="N7153" s="10"/>
      <c r="O7153" s="10"/>
      <c r="P7153" s="10" t="s">
        <v>34087</v>
      </c>
      <c r="Q7153" s="10">
        <v>378.73</v>
      </c>
      <c r="R7153" s="10" t="s">
        <v>34088</v>
      </c>
      <c r="S7153" s="10" t="s">
        <v>53</v>
      </c>
      <c r="T7153" s="10" t="s">
        <v>54</v>
      </c>
    </row>
    <row r="7154" spans="1:20" ht="14.5" x14ac:dyDescent="0.35">
      <c r="A7154" s="10" t="s">
        <v>34089</v>
      </c>
      <c r="B7154" s="10" t="str">
        <f>"9780820325231"</f>
        <v>9780820325231</v>
      </c>
      <c r="C7154" s="10" t="str">
        <f>"9780820342276"</f>
        <v>9780820342276</v>
      </c>
      <c r="D7154" s="10" t="s">
        <v>34060</v>
      </c>
      <c r="E7154" s="10" t="s">
        <v>34060</v>
      </c>
      <c r="F7154" s="10" t="s">
        <v>2376</v>
      </c>
      <c r="G7154" s="10" t="s">
        <v>6317</v>
      </c>
      <c r="H7154" s="11">
        <v>37712</v>
      </c>
      <c r="I7154" s="10">
        <v>2003</v>
      </c>
      <c r="J7154" s="10" t="s">
        <v>34060</v>
      </c>
      <c r="K7154" s="10">
        <v>465</v>
      </c>
      <c r="L7154" s="10" t="s">
        <v>34090</v>
      </c>
      <c r="M7154" s="10">
        <v>1</v>
      </c>
      <c r="N7154" s="10"/>
      <c r="O7154" s="10"/>
      <c r="P7154" s="10" t="s">
        <v>34091</v>
      </c>
      <c r="Q7154" s="10" t="s">
        <v>34092</v>
      </c>
      <c r="R7154" s="10" t="s">
        <v>34093</v>
      </c>
      <c r="S7154" s="10" t="s">
        <v>53</v>
      </c>
      <c r="T7154" s="10" t="s">
        <v>54</v>
      </c>
    </row>
    <row r="7155" spans="1:20" ht="14.5" x14ac:dyDescent="0.35">
      <c r="A7155" s="10" t="s">
        <v>34094</v>
      </c>
      <c r="B7155" s="10" t="str">
        <f>"9780820328287"</f>
        <v>9780820328287</v>
      </c>
      <c r="C7155" s="10" t="str">
        <f>"9780820342030"</f>
        <v>9780820342030</v>
      </c>
      <c r="D7155" s="10" t="s">
        <v>34060</v>
      </c>
      <c r="E7155" s="10" t="s">
        <v>34060</v>
      </c>
      <c r="F7155" s="10" t="s">
        <v>2376</v>
      </c>
      <c r="G7155" s="10" t="s">
        <v>6317</v>
      </c>
      <c r="H7155" s="11">
        <v>38961</v>
      </c>
      <c r="I7155" s="10">
        <v>2006</v>
      </c>
      <c r="J7155" s="10" t="s">
        <v>34060</v>
      </c>
      <c r="K7155" s="10">
        <v>231</v>
      </c>
      <c r="L7155" s="10" t="s">
        <v>34095</v>
      </c>
      <c r="M7155" s="10">
        <v>1</v>
      </c>
      <c r="N7155" s="10"/>
      <c r="O7155" s="10"/>
      <c r="P7155" s="10" t="s">
        <v>34096</v>
      </c>
      <c r="Q7155" s="10" t="s">
        <v>34097</v>
      </c>
      <c r="R7155" s="10" t="s">
        <v>13338</v>
      </c>
      <c r="S7155" s="10" t="s">
        <v>53</v>
      </c>
      <c r="T7155" s="10" t="s">
        <v>54</v>
      </c>
    </row>
    <row r="7156" spans="1:20" ht="14.5" x14ac:dyDescent="0.35">
      <c r="A7156" s="10" t="s">
        <v>34098</v>
      </c>
      <c r="B7156" s="10" t="str">
        <f>"9780803279957"</f>
        <v>9780803279957</v>
      </c>
      <c r="C7156" s="10" t="str">
        <f>"9780803219243"</f>
        <v>9780803219243</v>
      </c>
      <c r="D7156" s="10" t="s">
        <v>14517</v>
      </c>
      <c r="E7156" s="10" t="s">
        <v>287</v>
      </c>
      <c r="F7156" s="10" t="s">
        <v>288</v>
      </c>
      <c r="G7156" s="10" t="s">
        <v>6317</v>
      </c>
      <c r="H7156" s="11">
        <v>36770</v>
      </c>
      <c r="I7156" s="10">
        <v>2000</v>
      </c>
      <c r="J7156" s="10" t="s">
        <v>287</v>
      </c>
      <c r="K7156" s="10">
        <v>283</v>
      </c>
      <c r="L7156" s="10" t="s">
        <v>34099</v>
      </c>
      <c r="M7156" s="10">
        <v>1</v>
      </c>
      <c r="N7156" s="10"/>
      <c r="O7156" s="10"/>
      <c r="P7156" s="10" t="s">
        <v>34100</v>
      </c>
      <c r="Q7156" s="10">
        <v>501</v>
      </c>
      <c r="R7156" s="10" t="s">
        <v>34101</v>
      </c>
      <c r="S7156" s="10" t="s">
        <v>53</v>
      </c>
      <c r="T7156" s="10" t="s">
        <v>9608</v>
      </c>
    </row>
    <row r="7157" spans="1:20" ht="14.5" x14ac:dyDescent="0.35">
      <c r="A7157" s="10" t="s">
        <v>34102</v>
      </c>
      <c r="B7157" s="10" t="str">
        <f>"9780803214804"</f>
        <v>9780803214804</v>
      </c>
      <c r="C7157" s="10" t="str">
        <f>"9780803212305"</f>
        <v>9780803212305</v>
      </c>
      <c r="D7157" s="10" t="s">
        <v>14517</v>
      </c>
      <c r="E7157" s="10" t="s">
        <v>287</v>
      </c>
      <c r="F7157" s="10" t="s">
        <v>288</v>
      </c>
      <c r="G7157" s="10" t="s">
        <v>6317</v>
      </c>
      <c r="H7157" s="11">
        <v>36100</v>
      </c>
      <c r="I7157" s="10">
        <v>1998</v>
      </c>
      <c r="J7157" s="10" t="s">
        <v>287</v>
      </c>
      <c r="K7157" s="10">
        <v>173</v>
      </c>
      <c r="L7157" s="10" t="s">
        <v>34103</v>
      </c>
      <c r="M7157" s="10">
        <v>1</v>
      </c>
      <c r="N7157" s="10"/>
      <c r="O7157" s="10"/>
      <c r="P7157" s="10"/>
      <c r="Q7157" s="10" t="s">
        <v>34104</v>
      </c>
      <c r="R7157" s="10" t="s">
        <v>34105</v>
      </c>
      <c r="S7157" s="10" t="s">
        <v>53</v>
      </c>
      <c r="T7157" s="10" t="s">
        <v>54</v>
      </c>
    </row>
    <row r="7158" spans="1:20" ht="14.5" x14ac:dyDescent="0.35">
      <c r="A7158" s="10" t="s">
        <v>34106</v>
      </c>
      <c r="B7158" s="10" t="str">
        <f>"9780803239340"</f>
        <v>9780803239340</v>
      </c>
      <c r="C7158" s="10" t="str">
        <f>"9780803202344"</f>
        <v>9780803202344</v>
      </c>
      <c r="D7158" s="10" t="s">
        <v>14517</v>
      </c>
      <c r="E7158" s="10" t="s">
        <v>287</v>
      </c>
      <c r="F7158" s="10" t="s">
        <v>288</v>
      </c>
      <c r="G7158" s="10" t="s">
        <v>6317</v>
      </c>
      <c r="H7158" s="11">
        <v>36586</v>
      </c>
      <c r="I7158" s="10">
        <v>2000</v>
      </c>
      <c r="J7158" s="10" t="s">
        <v>287</v>
      </c>
      <c r="K7158" s="10">
        <v>276</v>
      </c>
      <c r="L7158" s="10" t="s">
        <v>34107</v>
      </c>
      <c r="M7158" s="10">
        <v>1</v>
      </c>
      <c r="N7158" s="10"/>
      <c r="O7158" s="10"/>
      <c r="P7158" s="10" t="s">
        <v>34108</v>
      </c>
      <c r="Q7158" s="10" t="s">
        <v>8223</v>
      </c>
      <c r="R7158" s="10" t="s">
        <v>34109</v>
      </c>
      <c r="S7158" s="10" t="s">
        <v>53</v>
      </c>
      <c r="T7158" s="10" t="s">
        <v>54</v>
      </c>
    </row>
    <row r="7159" spans="1:20" ht="14.5" x14ac:dyDescent="0.35">
      <c r="A7159" s="10" t="s">
        <v>34110</v>
      </c>
      <c r="B7159" s="10" t="str">
        <f>"9781607322696"</f>
        <v>9781607322696</v>
      </c>
      <c r="C7159" s="10" t="str">
        <f>"9781607322702"</f>
        <v>9781607322702</v>
      </c>
      <c r="D7159" s="10" t="s">
        <v>20156</v>
      </c>
      <c r="E7159" s="10" t="s">
        <v>34111</v>
      </c>
      <c r="F7159" s="10" t="s">
        <v>324</v>
      </c>
      <c r="G7159" s="10" t="s">
        <v>6317</v>
      </c>
      <c r="H7159" s="11">
        <v>41532</v>
      </c>
      <c r="I7159" s="10">
        <v>2013</v>
      </c>
      <c r="J7159" s="10" t="s">
        <v>34111</v>
      </c>
      <c r="K7159" s="10">
        <v>207</v>
      </c>
      <c r="L7159" s="10" t="s">
        <v>34112</v>
      </c>
      <c r="M7159" s="10">
        <v>1</v>
      </c>
      <c r="N7159" s="10"/>
      <c r="O7159" s="10"/>
      <c r="P7159" s="10" t="s">
        <v>34113</v>
      </c>
      <c r="Q7159" s="10" t="s">
        <v>34114</v>
      </c>
      <c r="R7159" s="10" t="s">
        <v>34115</v>
      </c>
      <c r="S7159" s="10" t="s">
        <v>53</v>
      </c>
      <c r="T7159" s="10" t="s">
        <v>12825</v>
      </c>
    </row>
    <row r="7160" spans="1:20" ht="14.5" x14ac:dyDescent="0.35">
      <c r="A7160" s="10" t="s">
        <v>34116</v>
      </c>
      <c r="B7160" s="10" t="str">
        <f>"9781607323020"</f>
        <v>9781607323020</v>
      </c>
      <c r="C7160" s="10" t="str">
        <f>"9781607323037"</f>
        <v>9781607323037</v>
      </c>
      <c r="D7160" s="10" t="s">
        <v>20156</v>
      </c>
      <c r="E7160" s="10" t="s">
        <v>34111</v>
      </c>
      <c r="F7160" s="10" t="s">
        <v>324</v>
      </c>
      <c r="G7160" s="10" t="s">
        <v>6317</v>
      </c>
      <c r="H7160" s="11">
        <v>41927</v>
      </c>
      <c r="I7160" s="10">
        <v>2014</v>
      </c>
      <c r="J7160" s="10" t="s">
        <v>34111</v>
      </c>
      <c r="K7160" s="10">
        <v>236</v>
      </c>
      <c r="L7160" s="10" t="s">
        <v>34117</v>
      </c>
      <c r="M7160" s="10">
        <v>1</v>
      </c>
      <c r="N7160" s="10"/>
      <c r="O7160" s="10"/>
      <c r="P7160" s="10" t="s">
        <v>20159</v>
      </c>
      <c r="Q7160" s="10" t="s">
        <v>10077</v>
      </c>
      <c r="R7160" s="10" t="s">
        <v>34118</v>
      </c>
      <c r="S7160" s="10" t="s">
        <v>53</v>
      </c>
      <c r="T7160" s="10" t="s">
        <v>54</v>
      </c>
    </row>
    <row r="7161" spans="1:20" ht="14.5" x14ac:dyDescent="0.35">
      <c r="A7161" s="10" t="s">
        <v>34119</v>
      </c>
      <c r="B7161" s="10" t="str">
        <f>"9780826519504"</f>
        <v>9780826519504</v>
      </c>
      <c r="C7161" s="10" t="str">
        <f>"9780826519528"</f>
        <v>9780826519528</v>
      </c>
      <c r="D7161" s="10" t="s">
        <v>9533</v>
      </c>
      <c r="E7161" s="10" t="s">
        <v>34120</v>
      </c>
      <c r="F7161" s="10" t="s">
        <v>403</v>
      </c>
      <c r="G7161" s="10" t="s">
        <v>6317</v>
      </c>
      <c r="H7161" s="11">
        <v>41680</v>
      </c>
      <c r="I7161" s="10">
        <v>2014</v>
      </c>
      <c r="J7161" s="10" t="s">
        <v>34120</v>
      </c>
      <c r="K7161" s="10">
        <v>265</v>
      </c>
      <c r="L7161" s="10" t="s">
        <v>34121</v>
      </c>
      <c r="M7161" s="10">
        <v>1</v>
      </c>
      <c r="N7161" s="10"/>
      <c r="O7161" s="10"/>
      <c r="P7161" s="10" t="s">
        <v>34122</v>
      </c>
      <c r="Q7161" s="10" t="s">
        <v>8223</v>
      </c>
      <c r="R7161" s="10" t="s">
        <v>34123</v>
      </c>
      <c r="S7161" s="10" t="s">
        <v>53</v>
      </c>
      <c r="T7161" s="10" t="s">
        <v>54</v>
      </c>
    </row>
    <row r="7162" spans="1:20" ht="14.5" x14ac:dyDescent="0.35">
      <c r="A7162" s="10" t="s">
        <v>34124</v>
      </c>
      <c r="B7162" s="10" t="str">
        <f>"9789027977601"</f>
        <v>9789027977601</v>
      </c>
      <c r="C7162" s="10" t="str">
        <f>"9783110804881"</f>
        <v>9783110804881</v>
      </c>
      <c r="D7162" s="10" t="s">
        <v>9995</v>
      </c>
      <c r="E7162" s="10" t="s">
        <v>9996</v>
      </c>
      <c r="F7162" s="10" t="s">
        <v>9997</v>
      </c>
      <c r="G7162" s="10" t="s">
        <v>9998</v>
      </c>
      <c r="H7162" s="11">
        <v>28915</v>
      </c>
      <c r="I7162" s="10">
        <v>1979</v>
      </c>
      <c r="J7162" s="10" t="s">
        <v>10009</v>
      </c>
      <c r="K7162" s="10">
        <v>276</v>
      </c>
      <c r="L7162" s="10" t="s">
        <v>34125</v>
      </c>
      <c r="M7162" s="10">
        <v>1</v>
      </c>
      <c r="N7162" s="10" t="s">
        <v>34126</v>
      </c>
      <c r="O7162" s="10"/>
      <c r="P7162" s="10" t="s">
        <v>34127</v>
      </c>
      <c r="Q7162" s="10"/>
      <c r="R7162" s="10" t="s">
        <v>34128</v>
      </c>
      <c r="S7162" s="10" t="s">
        <v>53</v>
      </c>
      <c r="T7162" s="10" t="s">
        <v>54</v>
      </c>
    </row>
    <row r="7163" spans="1:20" ht="14.5" x14ac:dyDescent="0.35">
      <c r="A7163" s="10" t="s">
        <v>34129</v>
      </c>
      <c r="B7163" s="10" t="str">
        <f>"9789027977694"</f>
        <v>9789027977694</v>
      </c>
      <c r="C7163" s="10" t="str">
        <f>"9783110804782"</f>
        <v>9783110804782</v>
      </c>
      <c r="D7163" s="10" t="s">
        <v>9995</v>
      </c>
      <c r="E7163" s="10" t="s">
        <v>9996</v>
      </c>
      <c r="F7163" s="10" t="s">
        <v>9997</v>
      </c>
      <c r="G7163" s="10" t="s">
        <v>9998</v>
      </c>
      <c r="H7163" s="11">
        <v>27760</v>
      </c>
      <c r="I7163" s="10">
        <v>1976</v>
      </c>
      <c r="J7163" s="10" t="s">
        <v>10009</v>
      </c>
      <c r="K7163" s="10">
        <v>372</v>
      </c>
      <c r="L7163" s="10" t="s">
        <v>34130</v>
      </c>
      <c r="M7163" s="10">
        <v>1</v>
      </c>
      <c r="N7163" s="10" t="s">
        <v>34126</v>
      </c>
      <c r="O7163" s="10"/>
      <c r="P7163" s="10" t="s">
        <v>34131</v>
      </c>
      <c r="Q7163" s="10"/>
      <c r="R7163" s="10" t="s">
        <v>34132</v>
      </c>
      <c r="S7163" s="10" t="s">
        <v>53</v>
      </c>
      <c r="T7163" s="10" t="s">
        <v>54</v>
      </c>
    </row>
    <row r="7164" spans="1:20" ht="14.5" x14ac:dyDescent="0.35">
      <c r="A7164" s="10" t="s">
        <v>34133</v>
      </c>
      <c r="B7164" s="10" t="str">
        <f>"9783110130737"</f>
        <v>9783110130737</v>
      </c>
      <c r="C7164" s="10" t="str">
        <f>"9783110849158"</f>
        <v>9783110849158</v>
      </c>
      <c r="D7164" s="10" t="s">
        <v>9995</v>
      </c>
      <c r="E7164" s="10" t="s">
        <v>9996</v>
      </c>
      <c r="F7164" s="10" t="s">
        <v>9997</v>
      </c>
      <c r="G7164" s="10" t="s">
        <v>9998</v>
      </c>
      <c r="H7164" s="11">
        <v>32143</v>
      </c>
      <c r="I7164" s="10">
        <v>1988</v>
      </c>
      <c r="J7164" s="10" t="s">
        <v>10009</v>
      </c>
      <c r="K7164" s="10">
        <v>300</v>
      </c>
      <c r="L7164" s="10" t="s">
        <v>8402</v>
      </c>
      <c r="M7164" s="10">
        <v>1</v>
      </c>
      <c r="N7164" s="10" t="s">
        <v>34134</v>
      </c>
      <c r="O7164" s="10">
        <v>4</v>
      </c>
      <c r="P7164" s="10"/>
      <c r="Q7164" s="10"/>
      <c r="R7164" s="10"/>
      <c r="S7164" s="10" t="s">
        <v>53</v>
      </c>
      <c r="T7164" s="10" t="s">
        <v>6616</v>
      </c>
    </row>
    <row r="7165" spans="1:20" ht="14.5" x14ac:dyDescent="0.35">
      <c r="A7165" s="10" t="s">
        <v>34135</v>
      </c>
      <c r="B7165" s="10" t="str">
        <f>"9783111253695"</f>
        <v>9783111253695</v>
      </c>
      <c r="C7165" s="10" t="str">
        <f>"9783111635248"</f>
        <v>9783111635248</v>
      </c>
      <c r="D7165" s="10" t="s">
        <v>9995</v>
      </c>
      <c r="E7165" s="10" t="s">
        <v>2515</v>
      </c>
      <c r="F7165" s="10" t="s">
        <v>9997</v>
      </c>
      <c r="G7165" s="10" t="s">
        <v>9998</v>
      </c>
      <c r="H7165" s="11">
        <v>30682</v>
      </c>
      <c r="I7165" s="10">
        <v>1984</v>
      </c>
      <c r="J7165" s="10" t="s">
        <v>2515</v>
      </c>
      <c r="K7165" s="10">
        <v>284</v>
      </c>
      <c r="L7165" s="10" t="s">
        <v>34136</v>
      </c>
      <c r="M7165" s="10">
        <v>1</v>
      </c>
      <c r="N7165" s="10" t="s">
        <v>13033</v>
      </c>
      <c r="O7165" s="10">
        <v>28</v>
      </c>
      <c r="P7165" s="10"/>
      <c r="Q7165" s="10"/>
      <c r="R7165" s="10" t="s">
        <v>34137</v>
      </c>
      <c r="S7165" s="10" t="s">
        <v>53</v>
      </c>
      <c r="T7165" s="10" t="s">
        <v>10302</v>
      </c>
    </row>
    <row r="7166" spans="1:20" ht="14.5" x14ac:dyDescent="0.35">
      <c r="A7166" s="10" t="s">
        <v>34138</v>
      </c>
      <c r="B7166" s="10" t="str">
        <f>"9783484391062"</f>
        <v>9783484391062</v>
      </c>
      <c r="C7166" s="10" t="str">
        <f>"9783110915013"</f>
        <v>9783110915013</v>
      </c>
      <c r="D7166" s="10" t="s">
        <v>9995</v>
      </c>
      <c r="E7166" s="10" t="s">
        <v>2515</v>
      </c>
      <c r="F7166" s="10" t="s">
        <v>13746</v>
      </c>
      <c r="G7166" s="10" t="s">
        <v>9998</v>
      </c>
      <c r="H7166" s="11">
        <v>37027</v>
      </c>
      <c r="I7166" s="10">
        <v>2001</v>
      </c>
      <c r="J7166" s="10" t="s">
        <v>2515</v>
      </c>
      <c r="K7166" s="10">
        <v>272</v>
      </c>
      <c r="L7166" s="10" t="s">
        <v>34139</v>
      </c>
      <c r="M7166" s="10">
        <v>1</v>
      </c>
      <c r="N7166" s="10" t="s">
        <v>13748</v>
      </c>
      <c r="O7166" s="10">
        <v>106</v>
      </c>
      <c r="P7166" s="10"/>
      <c r="Q7166" s="10" t="s">
        <v>6950</v>
      </c>
      <c r="R7166" s="10"/>
      <c r="S7166" s="10" t="s">
        <v>53</v>
      </c>
      <c r="T7166" s="10" t="s">
        <v>6616</v>
      </c>
    </row>
    <row r="7167" spans="1:20" ht="14.5" x14ac:dyDescent="0.35">
      <c r="A7167" s="10" t="s">
        <v>34140</v>
      </c>
      <c r="B7167" s="10" t="str">
        <f>"9783598218057"</f>
        <v>9783598218057</v>
      </c>
      <c r="C7167" s="10" t="str">
        <f>"9783110968088"</f>
        <v>9783110968088</v>
      </c>
      <c r="D7167" s="10" t="s">
        <v>9995</v>
      </c>
      <c r="E7167" s="10" t="s">
        <v>2515</v>
      </c>
      <c r="F7167" s="10" t="s">
        <v>9997</v>
      </c>
      <c r="G7167" s="10" t="s">
        <v>9998</v>
      </c>
      <c r="H7167" s="11">
        <v>35657</v>
      </c>
      <c r="I7167" s="10">
        <v>1997</v>
      </c>
      <c r="J7167" s="10" t="s">
        <v>2515</v>
      </c>
      <c r="K7167" s="10">
        <v>160</v>
      </c>
      <c r="L7167" s="10" t="s">
        <v>34141</v>
      </c>
      <c r="M7167" s="10">
        <v>1</v>
      </c>
      <c r="N7167" s="10" t="s">
        <v>13033</v>
      </c>
      <c r="O7167" s="10">
        <v>79</v>
      </c>
      <c r="P7167" s="10" t="s">
        <v>34142</v>
      </c>
      <c r="Q7167" s="10"/>
      <c r="R7167" s="10" t="s">
        <v>34143</v>
      </c>
      <c r="S7167" s="10" t="s">
        <v>5404</v>
      </c>
      <c r="T7167" s="10" t="s">
        <v>10302</v>
      </c>
    </row>
    <row r="7168" spans="1:20" ht="14.5" x14ac:dyDescent="0.35">
      <c r="A7168" s="10" t="s">
        <v>34144</v>
      </c>
      <c r="B7168" s="10" t="str">
        <f>"9789027921031"</f>
        <v>9789027921031</v>
      </c>
      <c r="C7168" s="10" t="str">
        <f>"9783110890020"</f>
        <v>9783110890020</v>
      </c>
      <c r="D7168" s="10" t="s">
        <v>9995</v>
      </c>
      <c r="E7168" s="10" t="s">
        <v>9996</v>
      </c>
      <c r="F7168" s="10" t="s">
        <v>9997</v>
      </c>
      <c r="G7168" s="10" t="s">
        <v>9998</v>
      </c>
      <c r="H7168" s="11">
        <v>29556</v>
      </c>
      <c r="I7168" s="10">
        <v>1980</v>
      </c>
      <c r="J7168" s="10" t="s">
        <v>10009</v>
      </c>
      <c r="K7168" s="10">
        <v>101</v>
      </c>
      <c r="L7168" s="10" t="s">
        <v>34145</v>
      </c>
      <c r="M7168" s="10">
        <v>1</v>
      </c>
      <c r="N7168" s="10" t="s">
        <v>34146</v>
      </c>
      <c r="O7168" s="10">
        <v>72</v>
      </c>
      <c r="P7168" s="10" t="s">
        <v>34147</v>
      </c>
      <c r="Q7168" s="10"/>
      <c r="R7168" s="10"/>
      <c r="S7168" s="10" t="s">
        <v>53</v>
      </c>
      <c r="T7168" s="10" t="s">
        <v>54</v>
      </c>
    </row>
    <row r="7169" spans="1:20" ht="14.5" x14ac:dyDescent="0.35">
      <c r="A7169" s="10" t="s">
        <v>34148</v>
      </c>
      <c r="B7169" s="10" t="str">
        <f>"9783110122893"</f>
        <v>9783110122893</v>
      </c>
      <c r="C7169" s="10" t="str">
        <f>"9783110872682"</f>
        <v>9783110872682</v>
      </c>
      <c r="D7169" s="10" t="s">
        <v>9995</v>
      </c>
      <c r="E7169" s="10" t="s">
        <v>9996</v>
      </c>
      <c r="F7169" s="10" t="s">
        <v>9997</v>
      </c>
      <c r="G7169" s="10" t="s">
        <v>9998</v>
      </c>
      <c r="H7169" s="11">
        <v>33147</v>
      </c>
      <c r="I7169" s="10">
        <v>1990</v>
      </c>
      <c r="J7169" s="10" t="s">
        <v>10009</v>
      </c>
      <c r="K7169" s="10">
        <v>284</v>
      </c>
      <c r="L7169" s="10" t="s">
        <v>34149</v>
      </c>
      <c r="M7169" s="10">
        <v>1</v>
      </c>
      <c r="N7169" s="10" t="s">
        <v>34150</v>
      </c>
      <c r="O7169" s="10">
        <v>93</v>
      </c>
      <c r="P7169" s="10" t="s">
        <v>34151</v>
      </c>
      <c r="Q7169" s="10" t="s">
        <v>22325</v>
      </c>
      <c r="R7169" s="10"/>
      <c r="S7169" s="10" t="s">
        <v>53</v>
      </c>
      <c r="T7169" s="10" t="s">
        <v>1166</v>
      </c>
    </row>
    <row r="7170" spans="1:20" ht="14.5" x14ac:dyDescent="0.35">
      <c r="A7170" s="10" t="s">
        <v>34152</v>
      </c>
      <c r="B7170" s="10" t="str">
        <f>"9783110131390"</f>
        <v>9783110131390</v>
      </c>
      <c r="C7170" s="10" t="str">
        <f>"9783110250503"</f>
        <v>9783110250503</v>
      </c>
      <c r="D7170" s="10" t="s">
        <v>9995</v>
      </c>
      <c r="E7170" s="10" t="s">
        <v>9996</v>
      </c>
      <c r="F7170" s="10" t="s">
        <v>10008</v>
      </c>
      <c r="G7170" s="10" t="s">
        <v>9998</v>
      </c>
      <c r="H7170" s="11">
        <v>31778</v>
      </c>
      <c r="I7170" s="10">
        <v>1987</v>
      </c>
      <c r="J7170" s="10" t="s">
        <v>10009</v>
      </c>
      <c r="K7170" s="10">
        <v>333</v>
      </c>
      <c r="L7170" s="10" t="s">
        <v>34153</v>
      </c>
      <c r="M7170" s="10">
        <v>1</v>
      </c>
      <c r="N7170" s="10" t="s">
        <v>11812</v>
      </c>
      <c r="O7170" s="10">
        <v>4</v>
      </c>
      <c r="P7170" s="10" t="s">
        <v>34154</v>
      </c>
      <c r="Q7170" s="10"/>
      <c r="R7170" s="10"/>
      <c r="S7170" s="10" t="s">
        <v>53</v>
      </c>
      <c r="T7170" s="10" t="s">
        <v>6616</v>
      </c>
    </row>
    <row r="7171" spans="1:20" ht="14.5" x14ac:dyDescent="0.35">
      <c r="A7171" s="10" t="s">
        <v>34155</v>
      </c>
      <c r="B7171" s="10" t="str">
        <f>"9783110028690"</f>
        <v>9783110028690</v>
      </c>
      <c r="C7171" s="10" t="str">
        <f>"9783110847833"</f>
        <v>9783110847833</v>
      </c>
      <c r="D7171" s="10" t="s">
        <v>9995</v>
      </c>
      <c r="E7171" s="10" t="s">
        <v>2515</v>
      </c>
      <c r="F7171" s="10" t="s">
        <v>9997</v>
      </c>
      <c r="G7171" s="10" t="s">
        <v>9998</v>
      </c>
      <c r="H7171" s="11">
        <v>29587</v>
      </c>
      <c r="I7171" s="10">
        <v>1962</v>
      </c>
      <c r="J7171" s="10" t="s">
        <v>2515</v>
      </c>
      <c r="K7171" s="10">
        <v>456</v>
      </c>
      <c r="L7171" s="10" t="s">
        <v>34156</v>
      </c>
      <c r="M7171" s="10">
        <v>2</v>
      </c>
      <c r="N7171" s="10"/>
      <c r="O7171" s="10"/>
      <c r="P7171" s="10" t="s">
        <v>34157</v>
      </c>
      <c r="Q7171" s="10"/>
      <c r="R7171" s="10"/>
      <c r="S7171" s="10" t="s">
        <v>1519</v>
      </c>
      <c r="T7171" s="10" t="s">
        <v>54</v>
      </c>
    </row>
    <row r="7172" spans="1:20" ht="14.5" x14ac:dyDescent="0.35">
      <c r="A7172" s="10" t="s">
        <v>34158</v>
      </c>
      <c r="B7172" s="10" t="str">
        <f>"9789027933751"</f>
        <v>9789027933751</v>
      </c>
      <c r="C7172" s="10" t="str">
        <f>"9783110819090"</f>
        <v>9783110819090</v>
      </c>
      <c r="D7172" s="10" t="s">
        <v>9995</v>
      </c>
      <c r="E7172" s="10" t="s">
        <v>9996</v>
      </c>
      <c r="F7172" s="10" t="s">
        <v>9997</v>
      </c>
      <c r="G7172" s="10" t="s">
        <v>9998</v>
      </c>
      <c r="H7172" s="11">
        <v>27760</v>
      </c>
      <c r="I7172" s="10">
        <v>1976</v>
      </c>
      <c r="J7172" s="10" t="s">
        <v>10009</v>
      </c>
      <c r="K7172" s="10">
        <v>264</v>
      </c>
      <c r="L7172" s="10" t="s">
        <v>34159</v>
      </c>
      <c r="M7172" s="10">
        <v>1</v>
      </c>
      <c r="N7172" s="10" t="s">
        <v>34146</v>
      </c>
      <c r="O7172" s="10">
        <v>154</v>
      </c>
      <c r="P7172" s="10" t="s">
        <v>34160</v>
      </c>
      <c r="Q7172" s="10"/>
      <c r="R7172" s="10"/>
      <c r="S7172" s="10" t="s">
        <v>53</v>
      </c>
      <c r="T7172" s="10" t="s">
        <v>54</v>
      </c>
    </row>
    <row r="7173" spans="1:20" ht="14.5" x14ac:dyDescent="0.35">
      <c r="A7173" s="10" t="s">
        <v>34161</v>
      </c>
      <c r="B7173" s="10" t="str">
        <f>"9780674186583"</f>
        <v>9780674186583</v>
      </c>
      <c r="C7173" s="10" t="str">
        <f>"9780674189003"</f>
        <v>9780674189003</v>
      </c>
      <c r="D7173" s="10" t="s">
        <v>9995</v>
      </c>
      <c r="E7173" s="10" t="s">
        <v>34162</v>
      </c>
      <c r="F7173" s="10" t="s">
        <v>612</v>
      </c>
      <c r="G7173" s="10" t="s">
        <v>9998</v>
      </c>
      <c r="H7173" s="11">
        <v>12785</v>
      </c>
      <c r="I7173" s="10">
        <v>1935</v>
      </c>
      <c r="J7173" s="10" t="s">
        <v>34162</v>
      </c>
      <c r="K7173" s="10">
        <v>60</v>
      </c>
      <c r="L7173" s="10" t="s">
        <v>34163</v>
      </c>
      <c r="M7173" s="10">
        <v>1</v>
      </c>
      <c r="N7173" s="10"/>
      <c r="O7173" s="10"/>
      <c r="P7173" s="10" t="s">
        <v>34164</v>
      </c>
      <c r="Q7173" s="10" t="s">
        <v>34165</v>
      </c>
      <c r="R7173" s="10" t="s">
        <v>34166</v>
      </c>
      <c r="S7173" s="10" t="s">
        <v>53</v>
      </c>
      <c r="T7173" s="10" t="s">
        <v>16298</v>
      </c>
    </row>
    <row r="7174" spans="1:20" ht="14.5" x14ac:dyDescent="0.35">
      <c r="A7174" s="10" t="s">
        <v>34167</v>
      </c>
      <c r="B7174" s="10" t="str">
        <f>"9780889200159"</f>
        <v>9780889200159</v>
      </c>
      <c r="C7174" s="10" t="str">
        <f>"9780889206854"</f>
        <v>9780889206854</v>
      </c>
      <c r="D7174" s="10" t="s">
        <v>18539</v>
      </c>
      <c r="E7174" s="10" t="s">
        <v>18540</v>
      </c>
      <c r="F7174" s="10" t="s">
        <v>18541</v>
      </c>
      <c r="G7174" s="10" t="s">
        <v>9536</v>
      </c>
      <c r="H7174" s="11">
        <v>27667</v>
      </c>
      <c r="I7174" s="10">
        <v>1975</v>
      </c>
      <c r="J7174" s="10" t="s">
        <v>18540</v>
      </c>
      <c r="K7174" s="10">
        <v>176</v>
      </c>
      <c r="L7174" s="10" t="s">
        <v>34168</v>
      </c>
      <c r="M7174" s="10">
        <v>1</v>
      </c>
      <c r="N7174" s="10"/>
      <c r="O7174" s="10"/>
      <c r="P7174" s="10" t="s">
        <v>34169</v>
      </c>
      <c r="Q7174" s="10"/>
      <c r="R7174" s="10" t="s">
        <v>29648</v>
      </c>
      <c r="S7174" s="10" t="s">
        <v>53</v>
      </c>
      <c r="T7174" s="10" t="s">
        <v>54</v>
      </c>
    </row>
    <row r="7175" spans="1:20" ht="14.5" x14ac:dyDescent="0.35">
      <c r="A7175" s="10" t="s">
        <v>34170</v>
      </c>
      <c r="B7175" s="10" t="str">
        <f>"9780889200302"</f>
        <v>9780889200302</v>
      </c>
      <c r="C7175" s="10" t="str">
        <f>"9780889206861"</f>
        <v>9780889206861</v>
      </c>
      <c r="D7175" s="10" t="s">
        <v>18539</v>
      </c>
      <c r="E7175" s="10" t="s">
        <v>18540</v>
      </c>
      <c r="F7175" s="10" t="s">
        <v>18541</v>
      </c>
      <c r="G7175" s="10" t="s">
        <v>9536</v>
      </c>
      <c r="H7175" s="11">
        <v>27941</v>
      </c>
      <c r="I7175" s="10">
        <v>1976</v>
      </c>
      <c r="J7175" s="10" t="s">
        <v>18540</v>
      </c>
      <c r="K7175" s="10">
        <v>233</v>
      </c>
      <c r="L7175" s="10" t="s">
        <v>34171</v>
      </c>
      <c r="M7175" s="10">
        <v>1</v>
      </c>
      <c r="N7175" s="10"/>
      <c r="O7175" s="10"/>
      <c r="P7175" s="10" t="s">
        <v>34172</v>
      </c>
      <c r="Q7175" s="10"/>
      <c r="R7175" s="10" t="s">
        <v>29648</v>
      </c>
      <c r="S7175" s="10" t="s">
        <v>53</v>
      </c>
      <c r="T7175" s="10" t="s">
        <v>54</v>
      </c>
    </row>
    <row r="7176" spans="1:20" ht="14.5" x14ac:dyDescent="0.35">
      <c r="A7176" s="10" t="s">
        <v>34173</v>
      </c>
      <c r="B7176" s="10" t="str">
        <f>"9780889200586"</f>
        <v>9780889200586</v>
      </c>
      <c r="C7176" s="10" t="str">
        <f>"9780889206625"</f>
        <v>9780889206625</v>
      </c>
      <c r="D7176" s="10" t="s">
        <v>18539</v>
      </c>
      <c r="E7176" s="10" t="s">
        <v>18540</v>
      </c>
      <c r="F7176" s="10" t="s">
        <v>18541</v>
      </c>
      <c r="G7176" s="10" t="s">
        <v>9536</v>
      </c>
      <c r="H7176" s="11">
        <v>28460</v>
      </c>
      <c r="I7176" s="10">
        <v>1977</v>
      </c>
      <c r="J7176" s="10" t="s">
        <v>18540</v>
      </c>
      <c r="K7176" s="10">
        <v>286</v>
      </c>
      <c r="L7176" s="10" t="s">
        <v>34174</v>
      </c>
      <c r="M7176" s="10">
        <v>1</v>
      </c>
      <c r="N7176" s="10"/>
      <c r="O7176" s="10"/>
      <c r="P7176" s="10" t="s">
        <v>34175</v>
      </c>
      <c r="Q7176" s="10"/>
      <c r="R7176" s="10" t="s">
        <v>34176</v>
      </c>
      <c r="S7176" s="10" t="s">
        <v>53</v>
      </c>
      <c r="T7176" s="10" t="s">
        <v>6363</v>
      </c>
    </row>
    <row r="7177" spans="1:20" ht="14.5" x14ac:dyDescent="0.35">
      <c r="A7177" s="10" t="s">
        <v>34177</v>
      </c>
      <c r="B7177" s="10" t="str">
        <f>"9780821348130"</f>
        <v>9780821348130</v>
      </c>
      <c r="C7177" s="10" t="str">
        <f>"9781280087509"</f>
        <v>9781280087509</v>
      </c>
      <c r="D7177" s="10" t="s">
        <v>14731</v>
      </c>
      <c r="E7177" s="10" t="s">
        <v>14732</v>
      </c>
      <c r="F7177" s="10" t="s">
        <v>88</v>
      </c>
      <c r="G7177" s="10" t="s">
        <v>6317</v>
      </c>
      <c r="H7177" s="11">
        <v>36800</v>
      </c>
      <c r="I7177" s="10">
        <v>2000</v>
      </c>
      <c r="J7177" s="10" t="s">
        <v>14732</v>
      </c>
      <c r="K7177" s="10">
        <v>148</v>
      </c>
      <c r="L7177" s="10" t="s">
        <v>34178</v>
      </c>
      <c r="M7177" s="10">
        <v>1</v>
      </c>
      <c r="N7177" s="10"/>
      <c r="O7177" s="10"/>
      <c r="P7177" s="10" t="s">
        <v>34179</v>
      </c>
      <c r="Q7177" s="10" t="s">
        <v>34180</v>
      </c>
      <c r="R7177" s="10" t="s">
        <v>34181</v>
      </c>
      <c r="S7177" s="10" t="s">
        <v>53</v>
      </c>
      <c r="T7177" s="10" t="s">
        <v>14975</v>
      </c>
    </row>
    <row r="7178" spans="1:20" ht="14.5" x14ac:dyDescent="0.35">
      <c r="A7178" s="10" t="s">
        <v>34182</v>
      </c>
      <c r="B7178" s="10" t="str">
        <f>"9780821345672"</f>
        <v>9780821345672</v>
      </c>
      <c r="C7178" s="10" t="str">
        <f>"9781280088162"</f>
        <v>9781280088162</v>
      </c>
      <c r="D7178" s="10" t="s">
        <v>14731</v>
      </c>
      <c r="E7178" s="10" t="s">
        <v>14732</v>
      </c>
      <c r="F7178" s="10" t="s">
        <v>88</v>
      </c>
      <c r="G7178" s="10" t="s">
        <v>6317</v>
      </c>
      <c r="H7178" s="11">
        <v>36739</v>
      </c>
      <c r="I7178" s="10">
        <v>2000</v>
      </c>
      <c r="J7178" s="10" t="s">
        <v>14732</v>
      </c>
      <c r="K7178" s="10">
        <v>420</v>
      </c>
      <c r="L7178" s="10" t="s">
        <v>34183</v>
      </c>
      <c r="M7178" s="10">
        <v>1</v>
      </c>
      <c r="N7178" s="10"/>
      <c r="O7178" s="10"/>
      <c r="P7178" s="10" t="s">
        <v>34184</v>
      </c>
      <c r="Q7178" s="10">
        <v>305.23099999999999</v>
      </c>
      <c r="R7178" s="10" t="s">
        <v>34185</v>
      </c>
      <c r="S7178" s="10" t="s">
        <v>53</v>
      </c>
      <c r="T7178" s="10" t="s">
        <v>6363</v>
      </c>
    </row>
    <row r="7179" spans="1:20" ht="14.5" x14ac:dyDescent="0.35">
      <c r="A7179" s="10" t="s">
        <v>34186</v>
      </c>
      <c r="B7179" s="10" t="str">
        <f>"9780821351178"</f>
        <v>9780821351178</v>
      </c>
      <c r="C7179" s="10" t="str">
        <f>"9781280088131"</f>
        <v>9781280088131</v>
      </c>
      <c r="D7179" s="10" t="s">
        <v>14731</v>
      </c>
      <c r="E7179" s="10" t="s">
        <v>14732</v>
      </c>
      <c r="F7179" s="10" t="s">
        <v>88</v>
      </c>
      <c r="G7179" s="10" t="s">
        <v>6317</v>
      </c>
      <c r="H7179" s="11">
        <v>37226</v>
      </c>
      <c r="I7179" s="10">
        <v>2002</v>
      </c>
      <c r="J7179" s="10" t="s">
        <v>14732</v>
      </c>
      <c r="K7179" s="10">
        <v>103</v>
      </c>
      <c r="L7179" s="10" t="s">
        <v>34178</v>
      </c>
      <c r="M7179" s="10">
        <v>1</v>
      </c>
      <c r="N7179" s="10"/>
      <c r="O7179" s="10"/>
      <c r="P7179" s="10" t="s">
        <v>34187</v>
      </c>
      <c r="Q7179" s="10" t="s">
        <v>34188</v>
      </c>
      <c r="R7179" s="10" t="s">
        <v>34189</v>
      </c>
      <c r="S7179" s="10" t="s">
        <v>53</v>
      </c>
      <c r="T7179" s="10" t="s">
        <v>8493</v>
      </c>
    </row>
    <row r="7180" spans="1:20" ht="14.5" x14ac:dyDescent="0.35">
      <c r="A7180" s="10" t="s">
        <v>34190</v>
      </c>
      <c r="B7180" s="10" t="str">
        <f>"9780821355169"</f>
        <v>9780821355169</v>
      </c>
      <c r="C7180" s="10" t="str">
        <f>"9781280086489"</f>
        <v>9781280086489</v>
      </c>
      <c r="D7180" s="10" t="s">
        <v>14731</v>
      </c>
      <c r="E7180" s="10" t="s">
        <v>14732</v>
      </c>
      <c r="F7180" s="10" t="s">
        <v>88</v>
      </c>
      <c r="G7180" s="10" t="s">
        <v>6317</v>
      </c>
      <c r="H7180" s="11">
        <v>37773</v>
      </c>
      <c r="I7180" s="10">
        <v>2003</v>
      </c>
      <c r="J7180" s="10" t="s">
        <v>14732</v>
      </c>
      <c r="K7180" s="10">
        <v>110</v>
      </c>
      <c r="L7180" s="10" t="s">
        <v>34191</v>
      </c>
      <c r="M7180" s="10">
        <v>1</v>
      </c>
      <c r="N7180" s="10"/>
      <c r="O7180" s="10"/>
      <c r="P7180" s="10" t="s">
        <v>34192</v>
      </c>
      <c r="Q7180" s="10" t="s">
        <v>34193</v>
      </c>
      <c r="R7180" s="10" t="s">
        <v>34194</v>
      </c>
      <c r="S7180" s="10" t="s">
        <v>53</v>
      </c>
      <c r="T7180" s="10" t="s">
        <v>54</v>
      </c>
    </row>
    <row r="7181" spans="1:20" ht="14.5" x14ac:dyDescent="0.35">
      <c r="A7181" s="10" t="s">
        <v>34195</v>
      </c>
      <c r="B7181" s="10" t="str">
        <f>"9780821354759"</f>
        <v>9780821354759</v>
      </c>
      <c r="C7181" s="10" t="str">
        <f>"9781280086458"</f>
        <v>9781280086458</v>
      </c>
      <c r="D7181" s="10" t="s">
        <v>14731</v>
      </c>
      <c r="E7181" s="10" t="s">
        <v>14732</v>
      </c>
      <c r="F7181" s="10" t="s">
        <v>88</v>
      </c>
      <c r="G7181" s="10" t="s">
        <v>6317</v>
      </c>
      <c r="H7181" s="11">
        <v>37773</v>
      </c>
      <c r="I7181" s="10">
        <v>2003</v>
      </c>
      <c r="J7181" s="10" t="s">
        <v>14732</v>
      </c>
      <c r="K7181" s="10">
        <v>163</v>
      </c>
      <c r="L7181" s="10" t="s">
        <v>34178</v>
      </c>
      <c r="M7181" s="10">
        <v>1</v>
      </c>
      <c r="N7181" s="10"/>
      <c r="O7181" s="10"/>
      <c r="P7181" s="10" t="s">
        <v>34196</v>
      </c>
      <c r="Q7181" s="10" t="s">
        <v>34197</v>
      </c>
      <c r="R7181" s="10" t="s">
        <v>34198</v>
      </c>
      <c r="S7181" s="10" t="s">
        <v>53</v>
      </c>
      <c r="T7181" s="10" t="s">
        <v>54</v>
      </c>
    </row>
    <row r="7182" spans="1:20" ht="14.5" x14ac:dyDescent="0.35">
      <c r="A7182" s="10" t="s">
        <v>34199</v>
      </c>
      <c r="B7182" s="10" t="str">
        <f>"9780821351833"</f>
        <v>9780821351833</v>
      </c>
      <c r="C7182" s="10" t="str">
        <f>"9781280086847"</f>
        <v>9781280086847</v>
      </c>
      <c r="D7182" s="10" t="s">
        <v>14731</v>
      </c>
      <c r="E7182" s="10" t="s">
        <v>14732</v>
      </c>
      <c r="F7182" s="10" t="s">
        <v>88</v>
      </c>
      <c r="G7182" s="10" t="s">
        <v>6317</v>
      </c>
      <c r="H7182" s="11">
        <v>37591</v>
      </c>
      <c r="I7182" s="10">
        <v>2003</v>
      </c>
      <c r="J7182" s="10" t="s">
        <v>14732</v>
      </c>
      <c r="K7182" s="10">
        <v>319</v>
      </c>
      <c r="L7182" s="10" t="s">
        <v>34200</v>
      </c>
      <c r="M7182" s="10">
        <v>1</v>
      </c>
      <c r="N7182" s="10"/>
      <c r="O7182" s="10"/>
      <c r="P7182" s="10" t="s">
        <v>34201</v>
      </c>
      <c r="Q7182" s="10" t="s">
        <v>34202</v>
      </c>
      <c r="R7182" s="10" t="s">
        <v>34203</v>
      </c>
      <c r="S7182" s="10" t="s">
        <v>53</v>
      </c>
      <c r="T7182" s="10" t="s">
        <v>54</v>
      </c>
    </row>
    <row r="7183" spans="1:20" ht="14.5" x14ac:dyDescent="0.35">
      <c r="A7183" s="10" t="s">
        <v>34204</v>
      </c>
      <c r="B7183" s="10" t="str">
        <f>"9780821351727"</f>
        <v>9780821351727</v>
      </c>
      <c r="C7183" s="10" t="str">
        <f>"9781280086014"</f>
        <v>9781280086014</v>
      </c>
      <c r="D7183" s="10" t="s">
        <v>14731</v>
      </c>
      <c r="E7183" s="10" t="s">
        <v>14732</v>
      </c>
      <c r="F7183" s="10" t="s">
        <v>88</v>
      </c>
      <c r="G7183" s="10" t="s">
        <v>6317</v>
      </c>
      <c r="H7183" s="11">
        <v>37681</v>
      </c>
      <c r="I7183" s="10">
        <v>2003</v>
      </c>
      <c r="J7183" s="10" t="s">
        <v>14732</v>
      </c>
      <c r="K7183" s="10">
        <v>228</v>
      </c>
      <c r="L7183" s="10" t="s">
        <v>34205</v>
      </c>
      <c r="M7183" s="10">
        <v>1</v>
      </c>
      <c r="N7183" s="10"/>
      <c r="O7183" s="10"/>
      <c r="P7183" s="10" t="s">
        <v>34206</v>
      </c>
      <c r="Q7183" s="10" t="s">
        <v>34207</v>
      </c>
      <c r="R7183" s="10" t="s">
        <v>34208</v>
      </c>
      <c r="S7183" s="10" t="s">
        <v>53</v>
      </c>
      <c r="T7183" s="10" t="s">
        <v>19483</v>
      </c>
    </row>
    <row r="7184" spans="1:20" ht="14.5" x14ac:dyDescent="0.35">
      <c r="A7184" s="10" t="s">
        <v>34209</v>
      </c>
      <c r="B7184" s="10" t="str">
        <f>"9780821354667"</f>
        <v>9780821354667</v>
      </c>
      <c r="C7184" s="10" t="str">
        <f>"9781280086762"</f>
        <v>9781280086762</v>
      </c>
      <c r="D7184" s="10" t="s">
        <v>14731</v>
      </c>
      <c r="E7184" s="10" t="s">
        <v>14732</v>
      </c>
      <c r="F7184" s="10" t="s">
        <v>88</v>
      </c>
      <c r="G7184" s="10" t="s">
        <v>6317</v>
      </c>
      <c r="H7184" s="11">
        <v>37622</v>
      </c>
      <c r="I7184" s="10">
        <v>2003</v>
      </c>
      <c r="J7184" s="10" t="s">
        <v>14732</v>
      </c>
      <c r="K7184" s="10">
        <v>227</v>
      </c>
      <c r="L7184" s="10" t="s">
        <v>34210</v>
      </c>
      <c r="M7184" s="10">
        <v>1</v>
      </c>
      <c r="N7184" s="10"/>
      <c r="O7184" s="10"/>
      <c r="P7184" s="10" t="s">
        <v>34211</v>
      </c>
      <c r="Q7184" s="10">
        <v>378.86099999999999</v>
      </c>
      <c r="R7184" s="10" t="s">
        <v>34212</v>
      </c>
      <c r="S7184" s="10" t="s">
        <v>53</v>
      </c>
      <c r="T7184" s="10" t="s">
        <v>54</v>
      </c>
    </row>
    <row r="7185" spans="1:20" ht="14.5" x14ac:dyDescent="0.35">
      <c r="A7185" s="10" t="s">
        <v>34213</v>
      </c>
      <c r="B7185" s="10" t="str">
        <f>"9780821351642"</f>
        <v>9780821351642</v>
      </c>
      <c r="C7185" s="10" t="str">
        <f>"9781280086083"</f>
        <v>9781280086083</v>
      </c>
      <c r="D7185" s="10" t="s">
        <v>14731</v>
      </c>
      <c r="E7185" s="10" t="s">
        <v>14732</v>
      </c>
      <c r="F7185" s="10" t="s">
        <v>88</v>
      </c>
      <c r="G7185" s="10" t="s">
        <v>6317</v>
      </c>
      <c r="H7185" s="11">
        <v>37408</v>
      </c>
      <c r="I7185" s="10">
        <v>2002</v>
      </c>
      <c r="J7185" s="10" t="s">
        <v>14732</v>
      </c>
      <c r="K7185" s="10">
        <v>206</v>
      </c>
      <c r="L7185" s="10" t="s">
        <v>34214</v>
      </c>
      <c r="M7185" s="10">
        <v>1</v>
      </c>
      <c r="N7185" s="10"/>
      <c r="O7185" s="10"/>
      <c r="P7185" s="10" t="s">
        <v>34215</v>
      </c>
      <c r="Q7185" s="10">
        <v>379.69099999999997</v>
      </c>
      <c r="R7185" s="10" t="s">
        <v>34216</v>
      </c>
      <c r="S7185" s="10" t="s">
        <v>53</v>
      </c>
      <c r="T7185" s="10" t="s">
        <v>54</v>
      </c>
    </row>
    <row r="7186" spans="1:20" ht="14.5" x14ac:dyDescent="0.35">
      <c r="A7186" s="10" t="s">
        <v>34217</v>
      </c>
      <c r="B7186" s="10" t="str">
        <f>"9780821354612"</f>
        <v>9780821354612</v>
      </c>
      <c r="C7186" s="10" t="str">
        <f>"9781280086144"</f>
        <v>9781280086144</v>
      </c>
      <c r="D7186" s="10" t="s">
        <v>14731</v>
      </c>
      <c r="E7186" s="10" t="s">
        <v>14732</v>
      </c>
      <c r="F7186" s="10" t="s">
        <v>88</v>
      </c>
      <c r="G7186" s="10" t="s">
        <v>6317</v>
      </c>
      <c r="H7186" s="11">
        <v>37865</v>
      </c>
      <c r="I7186" s="10">
        <v>2003</v>
      </c>
      <c r="J7186" s="10" t="s">
        <v>14732</v>
      </c>
      <c r="K7186" s="10">
        <v>209</v>
      </c>
      <c r="L7186" s="10" t="s">
        <v>34218</v>
      </c>
      <c r="M7186" s="10">
        <v>1</v>
      </c>
      <c r="N7186" s="10"/>
      <c r="O7186" s="10"/>
      <c r="P7186" s="10" t="s">
        <v>34219</v>
      </c>
      <c r="Q7186" s="10" t="s">
        <v>34220</v>
      </c>
      <c r="R7186" s="10" t="s">
        <v>34221</v>
      </c>
      <c r="S7186" s="10" t="s">
        <v>53</v>
      </c>
      <c r="T7186" s="10" t="s">
        <v>54</v>
      </c>
    </row>
    <row r="7187" spans="1:20" ht="14.5" x14ac:dyDescent="0.35">
      <c r="A7187" s="10" t="s">
        <v>34222</v>
      </c>
      <c r="B7187" s="10" t="str">
        <f>"9780821353455"</f>
        <v>9780821353455</v>
      </c>
      <c r="C7187" s="10" t="str">
        <f>"9781280084003"</f>
        <v>9781280084003</v>
      </c>
      <c r="D7187" s="10" t="s">
        <v>14731</v>
      </c>
      <c r="E7187" s="10" t="s">
        <v>14732</v>
      </c>
      <c r="F7187" s="10" t="s">
        <v>88</v>
      </c>
      <c r="G7187" s="10" t="s">
        <v>6317</v>
      </c>
      <c r="H7187" s="11">
        <v>37834</v>
      </c>
      <c r="I7187" s="10">
        <v>2003</v>
      </c>
      <c r="J7187" s="10" t="s">
        <v>14732</v>
      </c>
      <c r="K7187" s="10">
        <v>254</v>
      </c>
      <c r="L7187" s="10" t="s">
        <v>34223</v>
      </c>
      <c r="M7187" s="10">
        <v>1</v>
      </c>
      <c r="N7187" s="10"/>
      <c r="O7187" s="10"/>
      <c r="P7187" s="10" t="s">
        <v>34224</v>
      </c>
      <c r="Q7187" s="10"/>
      <c r="R7187" s="10" t="s">
        <v>34225</v>
      </c>
      <c r="S7187" s="10" t="s">
        <v>53</v>
      </c>
      <c r="T7187" s="10" t="s">
        <v>54</v>
      </c>
    </row>
    <row r="7188" spans="1:20" ht="14.5" x14ac:dyDescent="0.35">
      <c r="A7188" s="10" t="s">
        <v>34226</v>
      </c>
      <c r="B7188" s="10" t="str">
        <f>"9780821356104"</f>
        <v>9780821356104</v>
      </c>
      <c r="C7188" s="10" t="str">
        <f>"9781280086090"</f>
        <v>9781280086090</v>
      </c>
      <c r="D7188" s="10" t="s">
        <v>14731</v>
      </c>
      <c r="E7188" s="10" t="s">
        <v>14732</v>
      </c>
      <c r="F7188" s="10" t="s">
        <v>88</v>
      </c>
      <c r="G7188" s="10" t="s">
        <v>6317</v>
      </c>
      <c r="H7188" s="11">
        <v>37865</v>
      </c>
      <c r="I7188" s="10">
        <v>2004</v>
      </c>
      <c r="J7188" s="10" t="s">
        <v>14732</v>
      </c>
      <c r="K7188" s="10">
        <v>248</v>
      </c>
      <c r="L7188" s="10" t="s">
        <v>34178</v>
      </c>
      <c r="M7188" s="10">
        <v>1</v>
      </c>
      <c r="N7188" s="10"/>
      <c r="O7188" s="10"/>
      <c r="P7188" s="10" t="s">
        <v>34227</v>
      </c>
      <c r="Q7188" s="10" t="s">
        <v>34228</v>
      </c>
      <c r="R7188" s="10" t="s">
        <v>34229</v>
      </c>
      <c r="S7188" s="10" t="s">
        <v>53</v>
      </c>
      <c r="T7188" s="10" t="s">
        <v>54</v>
      </c>
    </row>
    <row r="7189" spans="1:20" ht="14.5" x14ac:dyDescent="0.35">
      <c r="A7189" s="10" t="s">
        <v>34230</v>
      </c>
      <c r="B7189" s="10" t="str">
        <f>"9780821356807"</f>
        <v>9780821356807</v>
      </c>
      <c r="C7189" s="10" t="str">
        <f>"9781280085017"</f>
        <v>9781280085017</v>
      </c>
      <c r="D7189" s="10" t="s">
        <v>14731</v>
      </c>
      <c r="E7189" s="10" t="s">
        <v>14732</v>
      </c>
      <c r="F7189" s="10" t="s">
        <v>88</v>
      </c>
      <c r="G7189" s="10" t="s">
        <v>6317</v>
      </c>
      <c r="H7189" s="11">
        <v>38047</v>
      </c>
      <c r="I7189" s="10">
        <v>2004</v>
      </c>
      <c r="J7189" s="10" t="s">
        <v>14732</v>
      </c>
      <c r="K7189" s="10">
        <v>272</v>
      </c>
      <c r="L7189" s="10" t="s">
        <v>34231</v>
      </c>
      <c r="M7189" s="10">
        <v>1</v>
      </c>
      <c r="N7189" s="10"/>
      <c r="O7189" s="10"/>
      <c r="P7189" s="10" t="s">
        <v>34232</v>
      </c>
      <c r="Q7189" s="10" t="s">
        <v>34220</v>
      </c>
      <c r="R7189" s="10" t="s">
        <v>34233</v>
      </c>
      <c r="S7189" s="10" t="s">
        <v>53</v>
      </c>
      <c r="T7189" s="10" t="s">
        <v>54</v>
      </c>
    </row>
    <row r="7190" spans="1:20" ht="14.5" x14ac:dyDescent="0.35">
      <c r="A7190" s="10" t="s">
        <v>34234</v>
      </c>
      <c r="B7190" s="10" t="str">
        <f>"9780821358498"</f>
        <v>9780821358498</v>
      </c>
      <c r="C7190" s="10" t="str">
        <f>"9781280084195"</f>
        <v>9781280084195</v>
      </c>
      <c r="D7190" s="10" t="s">
        <v>14731</v>
      </c>
      <c r="E7190" s="10" t="s">
        <v>14732</v>
      </c>
      <c r="F7190" s="10" t="s">
        <v>88</v>
      </c>
      <c r="G7190" s="10" t="s">
        <v>6317</v>
      </c>
      <c r="H7190" s="11">
        <v>38231</v>
      </c>
      <c r="I7190" s="10">
        <v>2004</v>
      </c>
      <c r="J7190" s="10" t="s">
        <v>14732</v>
      </c>
      <c r="K7190" s="10">
        <v>100</v>
      </c>
      <c r="L7190" s="10" t="s">
        <v>14828</v>
      </c>
      <c r="M7190" s="10">
        <v>1</v>
      </c>
      <c r="N7190" s="10"/>
      <c r="O7190" s="10"/>
      <c r="P7190" s="10" t="s">
        <v>34235</v>
      </c>
      <c r="Q7190" s="10" t="s">
        <v>34236</v>
      </c>
      <c r="R7190" s="10" t="s">
        <v>34237</v>
      </c>
      <c r="S7190" s="10" t="s">
        <v>53</v>
      </c>
      <c r="T7190" s="10" t="s">
        <v>54</v>
      </c>
    </row>
    <row r="7191" spans="1:20" ht="14.5" x14ac:dyDescent="0.35">
      <c r="A7191" s="10" t="s">
        <v>34238</v>
      </c>
      <c r="B7191" s="10" t="str">
        <f>"9780821358849"</f>
        <v>9780821358849</v>
      </c>
      <c r="C7191" s="10" t="str">
        <f>"9781280084256"</f>
        <v>9781280084256</v>
      </c>
      <c r="D7191" s="10" t="s">
        <v>14731</v>
      </c>
      <c r="E7191" s="10" t="s">
        <v>14732</v>
      </c>
      <c r="F7191" s="10" t="s">
        <v>88</v>
      </c>
      <c r="G7191" s="10" t="s">
        <v>6317</v>
      </c>
      <c r="H7191" s="11">
        <v>38261</v>
      </c>
      <c r="I7191" s="10">
        <v>2004</v>
      </c>
      <c r="J7191" s="10" t="s">
        <v>14732</v>
      </c>
      <c r="K7191" s="10">
        <v>254</v>
      </c>
      <c r="L7191" s="10" t="s">
        <v>34239</v>
      </c>
      <c r="M7191" s="10">
        <v>1</v>
      </c>
      <c r="N7191" s="10"/>
      <c r="O7191" s="10"/>
      <c r="P7191" s="10" t="s">
        <v>34240</v>
      </c>
      <c r="Q7191" s="10" t="s">
        <v>34241</v>
      </c>
      <c r="R7191" s="10" t="s">
        <v>34242</v>
      </c>
      <c r="S7191" s="10" t="s">
        <v>53</v>
      </c>
      <c r="T7191" s="10" t="s">
        <v>54</v>
      </c>
    </row>
    <row r="7192" spans="1:20" ht="14.5" x14ac:dyDescent="0.35">
      <c r="A7192" s="10" t="s">
        <v>34243</v>
      </c>
      <c r="B7192" s="10" t="str">
        <f>"9780821359594"</f>
        <v>9780821359594</v>
      </c>
      <c r="C7192" s="10" t="str">
        <f>"9781280084362"</f>
        <v>9781280084362</v>
      </c>
      <c r="D7192" s="10" t="s">
        <v>14731</v>
      </c>
      <c r="E7192" s="10" t="s">
        <v>14732</v>
      </c>
      <c r="F7192" s="10" t="s">
        <v>88</v>
      </c>
      <c r="G7192" s="10" t="s">
        <v>6317</v>
      </c>
      <c r="H7192" s="11">
        <v>38261</v>
      </c>
      <c r="I7192" s="10">
        <v>2005</v>
      </c>
      <c r="J7192" s="10" t="s">
        <v>14732</v>
      </c>
      <c r="K7192" s="10">
        <v>118</v>
      </c>
      <c r="L7192" s="10" t="s">
        <v>34244</v>
      </c>
      <c r="M7192" s="10">
        <v>1</v>
      </c>
      <c r="N7192" s="10"/>
      <c r="O7192" s="10"/>
      <c r="P7192" s="10" t="s">
        <v>34245</v>
      </c>
      <c r="Q7192" s="10"/>
      <c r="R7192" s="10" t="s">
        <v>34246</v>
      </c>
      <c r="S7192" s="10" t="s">
        <v>53</v>
      </c>
      <c r="T7192" s="10" t="s">
        <v>4859</v>
      </c>
    </row>
    <row r="7193" spans="1:20" ht="14.5" x14ac:dyDescent="0.35">
      <c r="A7193" s="10" t="s">
        <v>34247</v>
      </c>
      <c r="B7193" s="10" t="str">
        <f>"9780821361214"</f>
        <v>9780821361214</v>
      </c>
      <c r="C7193" s="10" t="str">
        <f>"9780821361221"</f>
        <v>9780821361221</v>
      </c>
      <c r="D7193" s="10" t="s">
        <v>14731</v>
      </c>
      <c r="E7193" s="10" t="s">
        <v>34248</v>
      </c>
      <c r="F7193" s="10" t="s">
        <v>14733</v>
      </c>
      <c r="G7193" s="10" t="s">
        <v>6317</v>
      </c>
      <c r="H7193" s="11">
        <v>38473</v>
      </c>
      <c r="I7193" s="10">
        <v>2005</v>
      </c>
      <c r="J7193" s="10" t="s">
        <v>14732</v>
      </c>
      <c r="K7193" s="10">
        <v>180</v>
      </c>
      <c r="L7193" s="10" t="s">
        <v>14731</v>
      </c>
      <c r="M7193" s="10">
        <v>1</v>
      </c>
      <c r="N7193" s="10"/>
      <c r="O7193" s="10"/>
      <c r="P7193" s="10" t="s">
        <v>34249</v>
      </c>
      <c r="Q7193" s="10">
        <v>370.96751</v>
      </c>
      <c r="R7193" s="10" t="s">
        <v>34250</v>
      </c>
      <c r="S7193" s="10" t="s">
        <v>53</v>
      </c>
      <c r="T7193" s="10" t="s">
        <v>54</v>
      </c>
    </row>
    <row r="7194" spans="1:20" ht="14.5" x14ac:dyDescent="0.35">
      <c r="A7194" s="10" t="s">
        <v>34251</v>
      </c>
      <c r="B7194" s="10" t="str">
        <f>"9780821361702"</f>
        <v>9780821361702</v>
      </c>
      <c r="C7194" s="10" t="str">
        <f>"9780821361696"</f>
        <v>9780821361696</v>
      </c>
      <c r="D7194" s="10" t="s">
        <v>14731</v>
      </c>
      <c r="E7194" s="10" t="s">
        <v>34248</v>
      </c>
      <c r="F7194" s="10" t="s">
        <v>14733</v>
      </c>
      <c r="G7194" s="10" t="s">
        <v>6317</v>
      </c>
      <c r="H7194" s="11">
        <v>38504</v>
      </c>
      <c r="I7194" s="10">
        <v>2005</v>
      </c>
      <c r="J7194" s="10" t="s">
        <v>14732</v>
      </c>
      <c r="K7194" s="10">
        <v>332</v>
      </c>
      <c r="L7194" s="10" t="s">
        <v>14731</v>
      </c>
      <c r="M7194" s="10">
        <v>1</v>
      </c>
      <c r="N7194" s="10"/>
      <c r="O7194" s="10"/>
      <c r="P7194" s="10" t="s">
        <v>34252</v>
      </c>
      <c r="Q7194" s="10">
        <v>373</v>
      </c>
      <c r="R7194" s="10" t="s">
        <v>34253</v>
      </c>
      <c r="S7194" s="10" t="s">
        <v>53</v>
      </c>
      <c r="T7194" s="10" t="s">
        <v>54</v>
      </c>
    </row>
    <row r="7195" spans="1:20" ht="14.5" x14ac:dyDescent="0.35">
      <c r="A7195" s="10" t="s">
        <v>34254</v>
      </c>
      <c r="B7195" s="10" t="str">
        <f>"9780821375280"</f>
        <v>9780821375280</v>
      </c>
      <c r="C7195" s="10" t="str">
        <f>"9780821375297"</f>
        <v>9780821375297</v>
      </c>
      <c r="D7195" s="10" t="s">
        <v>14731</v>
      </c>
      <c r="E7195" s="10" t="s">
        <v>34248</v>
      </c>
      <c r="F7195" s="10" t="s">
        <v>14733</v>
      </c>
      <c r="G7195" s="10" t="s">
        <v>6317</v>
      </c>
      <c r="H7195" s="11">
        <v>39569</v>
      </c>
      <c r="I7195" s="10">
        <v>2008</v>
      </c>
      <c r="J7195" s="10" t="s">
        <v>14732</v>
      </c>
      <c r="K7195" s="10">
        <v>122</v>
      </c>
      <c r="L7195" s="10" t="s">
        <v>34255</v>
      </c>
      <c r="M7195" s="10">
        <v>1</v>
      </c>
      <c r="N7195" s="10"/>
      <c r="O7195" s="10"/>
      <c r="P7195" s="10" t="s">
        <v>34256</v>
      </c>
      <c r="Q7195" s="10"/>
      <c r="R7195" s="10" t="s">
        <v>34257</v>
      </c>
      <c r="S7195" s="10" t="s">
        <v>53</v>
      </c>
      <c r="T7195" s="10" t="s">
        <v>54</v>
      </c>
    </row>
    <row r="7196" spans="1:20" ht="14.5" x14ac:dyDescent="0.35">
      <c r="A7196" s="10" t="s">
        <v>34258</v>
      </c>
      <c r="B7196" s="10" t="str">
        <f>"9780821375266"</f>
        <v>9780821375266</v>
      </c>
      <c r="C7196" s="10" t="str">
        <f>"9780821375273"</f>
        <v>9780821375273</v>
      </c>
      <c r="D7196" s="10" t="s">
        <v>14731</v>
      </c>
      <c r="E7196" s="10" t="s">
        <v>34248</v>
      </c>
      <c r="F7196" s="10" t="s">
        <v>14733</v>
      </c>
      <c r="G7196" s="10" t="s">
        <v>6317</v>
      </c>
      <c r="H7196" s="11">
        <v>39600</v>
      </c>
      <c r="I7196" s="10">
        <v>2008</v>
      </c>
      <c r="J7196" s="10" t="s">
        <v>14732</v>
      </c>
      <c r="K7196" s="10">
        <v>272</v>
      </c>
      <c r="L7196" s="10" t="s">
        <v>14731</v>
      </c>
      <c r="M7196" s="10">
        <v>1</v>
      </c>
      <c r="N7196" s="10"/>
      <c r="O7196" s="10"/>
      <c r="P7196" s="10" t="s">
        <v>34259</v>
      </c>
      <c r="Q7196" s="10"/>
      <c r="R7196" s="10" t="s">
        <v>34260</v>
      </c>
      <c r="S7196" s="10" t="s">
        <v>53</v>
      </c>
      <c r="T7196" s="10" t="s">
        <v>54</v>
      </c>
    </row>
    <row r="7197" spans="1:20" ht="14.5" x14ac:dyDescent="0.35">
      <c r="A7197" s="10" t="s">
        <v>34261</v>
      </c>
      <c r="B7197" s="10" t="str">
        <f>"9780821376560"</f>
        <v>9780821376560</v>
      </c>
      <c r="C7197" s="10" t="str">
        <f>"9780821377130"</f>
        <v>9780821377130</v>
      </c>
      <c r="D7197" s="10" t="s">
        <v>14731</v>
      </c>
      <c r="E7197" s="10" t="s">
        <v>34248</v>
      </c>
      <c r="F7197" s="10" t="s">
        <v>14733</v>
      </c>
      <c r="G7197" s="10" t="s">
        <v>6317</v>
      </c>
      <c r="H7197" s="11">
        <v>39661</v>
      </c>
      <c r="I7197" s="10">
        <v>2008</v>
      </c>
      <c r="J7197" s="10" t="s">
        <v>14732</v>
      </c>
      <c r="K7197" s="10">
        <v>114</v>
      </c>
      <c r="L7197" s="10" t="s">
        <v>14842</v>
      </c>
      <c r="M7197" s="10">
        <v>1</v>
      </c>
      <c r="N7197" s="10"/>
      <c r="O7197" s="10"/>
      <c r="P7197" s="10" t="s">
        <v>34262</v>
      </c>
      <c r="Q7197" s="10">
        <v>378.68</v>
      </c>
      <c r="R7197" s="10" t="s">
        <v>34263</v>
      </c>
      <c r="S7197" s="10" t="s">
        <v>5404</v>
      </c>
      <c r="T7197" s="10" t="s">
        <v>54</v>
      </c>
    </row>
    <row r="7198" spans="1:20" ht="14.5" x14ac:dyDescent="0.35">
      <c r="A7198" s="10" t="s">
        <v>34264</v>
      </c>
      <c r="B7198" s="10" t="str">
        <f>"9780821376744"</f>
        <v>9780821376744</v>
      </c>
      <c r="C7198" s="10" t="str">
        <f>"9780821376829"</f>
        <v>9780821376829</v>
      </c>
      <c r="D7198" s="10" t="s">
        <v>14731</v>
      </c>
      <c r="E7198" s="10" t="s">
        <v>34248</v>
      </c>
      <c r="F7198" s="10" t="s">
        <v>14733</v>
      </c>
      <c r="G7198" s="10" t="s">
        <v>6317</v>
      </c>
      <c r="H7198" s="11">
        <v>39692</v>
      </c>
      <c r="I7198" s="10">
        <v>2008</v>
      </c>
      <c r="J7198" s="10" t="s">
        <v>14732</v>
      </c>
      <c r="K7198" s="10">
        <v>210</v>
      </c>
      <c r="L7198" s="10" t="s">
        <v>34265</v>
      </c>
      <c r="M7198" s="10">
        <v>1</v>
      </c>
      <c r="N7198" s="10"/>
      <c r="O7198" s="10"/>
      <c r="P7198" s="10" t="s">
        <v>34266</v>
      </c>
      <c r="Q7198" s="10">
        <v>378.67</v>
      </c>
      <c r="R7198" s="10" t="s">
        <v>34267</v>
      </c>
      <c r="S7198" s="10" t="s">
        <v>5404</v>
      </c>
      <c r="T7198" s="10" t="s">
        <v>54</v>
      </c>
    </row>
    <row r="7199" spans="1:20" ht="14.5" x14ac:dyDescent="0.35">
      <c r="A7199" s="10" t="s">
        <v>34268</v>
      </c>
      <c r="B7199" s="10" t="str">
        <f>"9780821378205"</f>
        <v>9780821378205</v>
      </c>
      <c r="C7199" s="10" t="str">
        <f>"9780821378212"</f>
        <v>9780821378212</v>
      </c>
      <c r="D7199" s="10" t="s">
        <v>14731</v>
      </c>
      <c r="E7199" s="10" t="s">
        <v>34248</v>
      </c>
      <c r="F7199" s="10" t="s">
        <v>14733</v>
      </c>
      <c r="G7199" s="10" t="s">
        <v>6317</v>
      </c>
      <c r="H7199" s="11">
        <v>39783</v>
      </c>
      <c r="I7199" s="10">
        <v>2009</v>
      </c>
      <c r="J7199" s="10" t="s">
        <v>14732</v>
      </c>
      <c r="K7199" s="10">
        <v>164</v>
      </c>
      <c r="L7199" s="10" t="s">
        <v>14750</v>
      </c>
      <c r="M7199" s="10">
        <v>1</v>
      </c>
      <c r="N7199" s="10"/>
      <c r="O7199" s="10"/>
      <c r="P7199" s="10" t="s">
        <v>34269</v>
      </c>
      <c r="Q7199" s="10"/>
      <c r="R7199" s="10" t="s">
        <v>34270</v>
      </c>
      <c r="S7199" s="10" t="s">
        <v>53</v>
      </c>
      <c r="T7199" s="10" t="s">
        <v>54</v>
      </c>
    </row>
    <row r="7200" spans="1:20" ht="14.5" x14ac:dyDescent="0.35">
      <c r="A7200" s="10" t="s">
        <v>34271</v>
      </c>
      <c r="B7200" s="10" t="str">
        <f>"9780821377963"</f>
        <v>9780821377963</v>
      </c>
      <c r="C7200" s="10" t="str">
        <f>"9780821378076"</f>
        <v>9780821378076</v>
      </c>
      <c r="D7200" s="10" t="s">
        <v>14731</v>
      </c>
      <c r="E7200" s="10" t="s">
        <v>34248</v>
      </c>
      <c r="F7200" s="10" t="s">
        <v>14733</v>
      </c>
      <c r="G7200" s="10" t="s">
        <v>6317</v>
      </c>
      <c r="H7200" s="11">
        <v>39783</v>
      </c>
      <c r="I7200" s="10">
        <v>2009</v>
      </c>
      <c r="J7200" s="10" t="s">
        <v>14732</v>
      </c>
      <c r="K7200" s="10">
        <v>78</v>
      </c>
      <c r="L7200" s="10" t="s">
        <v>14761</v>
      </c>
      <c r="M7200" s="10">
        <v>1</v>
      </c>
      <c r="N7200" s="10"/>
      <c r="O7200" s="10"/>
      <c r="P7200" s="10" t="s">
        <v>34272</v>
      </c>
      <c r="Q7200" s="10"/>
      <c r="R7200" s="10" t="s">
        <v>34273</v>
      </c>
      <c r="S7200" s="10" t="s">
        <v>53</v>
      </c>
      <c r="T7200" s="10" t="s">
        <v>54</v>
      </c>
    </row>
    <row r="7201" spans="1:20" ht="14.5" x14ac:dyDescent="0.35">
      <c r="A7201" s="10" t="s">
        <v>34274</v>
      </c>
      <c r="B7201" s="10" t="str">
        <f>"9780821387832"</f>
        <v>9780821387832</v>
      </c>
      <c r="C7201" s="10" t="str">
        <f>"9780821387849"</f>
        <v>9780821387849</v>
      </c>
      <c r="D7201" s="10" t="s">
        <v>14731</v>
      </c>
      <c r="E7201" s="10" t="s">
        <v>14732</v>
      </c>
      <c r="F7201" s="10" t="s">
        <v>14733</v>
      </c>
      <c r="G7201" s="10" t="s">
        <v>6317</v>
      </c>
      <c r="H7201" s="11">
        <v>40695</v>
      </c>
      <c r="I7201" s="10">
        <v>2011</v>
      </c>
      <c r="J7201" s="10" t="s">
        <v>14732</v>
      </c>
      <c r="K7201" s="10">
        <v>332</v>
      </c>
      <c r="L7201" s="10" t="s">
        <v>34275</v>
      </c>
      <c r="M7201" s="10">
        <v>1</v>
      </c>
      <c r="N7201" s="10" t="s">
        <v>20668</v>
      </c>
      <c r="O7201" s="10"/>
      <c r="P7201" s="10" t="s">
        <v>34276</v>
      </c>
      <c r="Q7201" s="10">
        <v>379.17239999999998</v>
      </c>
      <c r="R7201" s="10" t="s">
        <v>34277</v>
      </c>
      <c r="S7201" s="10" t="s">
        <v>53</v>
      </c>
      <c r="T7201" s="10" t="s">
        <v>54</v>
      </c>
    </row>
    <row r="7202" spans="1:20" ht="14.5" x14ac:dyDescent="0.35">
      <c r="A7202" s="10" t="s">
        <v>34278</v>
      </c>
      <c r="B7202" s="10" t="str">
        <f>"9780821384589"</f>
        <v>9780821384589</v>
      </c>
      <c r="C7202" s="10" t="str">
        <f>"9780821387177"</f>
        <v>9780821387177</v>
      </c>
      <c r="D7202" s="10" t="s">
        <v>14731</v>
      </c>
      <c r="E7202" s="10" t="s">
        <v>14732</v>
      </c>
      <c r="F7202" s="10" t="s">
        <v>14733</v>
      </c>
      <c r="G7202" s="10" t="s">
        <v>6317</v>
      </c>
      <c r="H7202" s="11">
        <v>40695</v>
      </c>
      <c r="I7202" s="10">
        <v>2011</v>
      </c>
      <c r="J7202" s="10" t="s">
        <v>14732</v>
      </c>
      <c r="K7202" s="10">
        <v>214</v>
      </c>
      <c r="L7202" s="10" t="s">
        <v>34279</v>
      </c>
      <c r="M7202" s="10">
        <v>1</v>
      </c>
      <c r="N7202" s="10" t="s">
        <v>34280</v>
      </c>
      <c r="O7202" s="10"/>
      <c r="P7202" s="10" t="s">
        <v>34281</v>
      </c>
      <c r="Q7202" s="10" t="s">
        <v>34282</v>
      </c>
      <c r="R7202" s="10" t="s">
        <v>34283</v>
      </c>
      <c r="S7202" s="10" t="s">
        <v>53</v>
      </c>
      <c r="T7202" s="10" t="s">
        <v>54</v>
      </c>
    </row>
    <row r="7203" spans="1:20" ht="14.5" x14ac:dyDescent="0.35">
      <c r="A7203" s="10" t="s">
        <v>34284</v>
      </c>
      <c r="B7203" s="10" t="str">
        <f>"9780821389317"</f>
        <v>9780821389317</v>
      </c>
      <c r="C7203" s="10" t="str">
        <f>"9780821395639"</f>
        <v>9780821395639</v>
      </c>
      <c r="D7203" s="10" t="s">
        <v>14731</v>
      </c>
      <c r="E7203" s="10" t="s">
        <v>14732</v>
      </c>
      <c r="F7203" s="10" t="s">
        <v>14733</v>
      </c>
      <c r="G7203" s="10" t="s">
        <v>6317</v>
      </c>
      <c r="H7203" s="11">
        <v>41061</v>
      </c>
      <c r="I7203" s="10">
        <v>2012</v>
      </c>
      <c r="J7203" s="10" t="s">
        <v>14732</v>
      </c>
      <c r="K7203" s="10">
        <v>116</v>
      </c>
      <c r="L7203" s="10" t="s">
        <v>34285</v>
      </c>
      <c r="M7203" s="10">
        <v>1</v>
      </c>
      <c r="N7203" s="10" t="s">
        <v>20668</v>
      </c>
      <c r="O7203" s="10"/>
      <c r="P7203" s="10" t="s">
        <v>34286</v>
      </c>
      <c r="Q7203" s="10"/>
      <c r="R7203" s="10" t="s">
        <v>34287</v>
      </c>
      <c r="S7203" s="10" t="s">
        <v>53</v>
      </c>
      <c r="T7203" s="10" t="s">
        <v>54</v>
      </c>
    </row>
    <row r="7204" spans="1:20" ht="14.5" x14ac:dyDescent="0.35">
      <c r="A7204" s="10" t="s">
        <v>34288</v>
      </c>
      <c r="B7204" s="10" t="str">
        <f>"9789810241858"</f>
        <v>9789810241858</v>
      </c>
      <c r="C7204" s="10" t="str">
        <f>"9789812567512"</f>
        <v>9789812567512</v>
      </c>
      <c r="D7204" s="10" t="s">
        <v>8571</v>
      </c>
      <c r="E7204" s="10" t="s">
        <v>8572</v>
      </c>
      <c r="F7204" s="10" t="s">
        <v>549</v>
      </c>
      <c r="G7204" s="10" t="s">
        <v>8573</v>
      </c>
      <c r="H7204" s="11">
        <v>36557</v>
      </c>
      <c r="I7204" s="10">
        <v>1999</v>
      </c>
      <c r="J7204" s="10" t="s">
        <v>8574</v>
      </c>
      <c r="K7204" s="10">
        <v>371</v>
      </c>
      <c r="L7204" s="10" t="s">
        <v>34289</v>
      </c>
      <c r="M7204" s="10">
        <v>1</v>
      </c>
      <c r="N7204" s="10"/>
      <c r="O7204" s="10"/>
      <c r="P7204" s="10" t="s">
        <v>34290</v>
      </c>
      <c r="Q7204" s="10">
        <v>378.125</v>
      </c>
      <c r="R7204" s="10" t="s">
        <v>34291</v>
      </c>
      <c r="S7204" s="10" t="s">
        <v>53</v>
      </c>
      <c r="T7204" s="10" t="s">
        <v>54</v>
      </c>
    </row>
    <row r="7205" spans="1:20" ht="14.5" x14ac:dyDescent="0.35">
      <c r="A7205" s="10" t="s">
        <v>34292</v>
      </c>
      <c r="B7205" s="10" t="str">
        <f>"9781443872638"</f>
        <v>9781443872638</v>
      </c>
      <c r="C7205" s="10" t="str">
        <f>"9781443875776"</f>
        <v>9781443875776</v>
      </c>
      <c r="D7205" s="10" t="s">
        <v>23635</v>
      </c>
      <c r="E7205" s="10" t="s">
        <v>23635</v>
      </c>
      <c r="F7205" s="10" t="s">
        <v>23636</v>
      </c>
      <c r="G7205" s="10" t="s">
        <v>6352</v>
      </c>
      <c r="H7205" s="11">
        <v>42069</v>
      </c>
      <c r="I7205" s="10">
        <v>2015</v>
      </c>
      <c r="J7205" s="10" t="s">
        <v>23635</v>
      </c>
      <c r="K7205" s="10">
        <v>230</v>
      </c>
      <c r="L7205" s="10" t="s">
        <v>34293</v>
      </c>
      <c r="M7205" s="10">
        <v>1</v>
      </c>
      <c r="N7205" s="10"/>
      <c r="O7205" s="10"/>
      <c r="P7205" s="10" t="s">
        <v>34294</v>
      </c>
      <c r="Q7205" s="10">
        <v>370.71</v>
      </c>
      <c r="R7205" s="10" t="s">
        <v>34295</v>
      </c>
      <c r="S7205" s="10" t="s">
        <v>53</v>
      </c>
      <c r="T7205" s="10" t="s">
        <v>54</v>
      </c>
    </row>
    <row r="7206" spans="1:20" ht="14.5" x14ac:dyDescent="0.35">
      <c r="A7206" s="10" t="s">
        <v>34296</v>
      </c>
      <c r="B7206" s="10" t="str">
        <f>"9781443872140"</f>
        <v>9781443872140</v>
      </c>
      <c r="C7206" s="10" t="str">
        <f>"9781443875646"</f>
        <v>9781443875646</v>
      </c>
      <c r="D7206" s="10" t="s">
        <v>23635</v>
      </c>
      <c r="E7206" s="10" t="s">
        <v>23635</v>
      </c>
      <c r="F7206" s="10" t="s">
        <v>23636</v>
      </c>
      <c r="G7206" s="10" t="s">
        <v>6352</v>
      </c>
      <c r="H7206" s="11">
        <v>42040</v>
      </c>
      <c r="I7206" s="10">
        <v>2015</v>
      </c>
      <c r="J7206" s="10" t="s">
        <v>23635</v>
      </c>
      <c r="K7206" s="10">
        <v>208</v>
      </c>
      <c r="L7206" s="10" t="s">
        <v>27217</v>
      </c>
      <c r="M7206" s="10">
        <v>1</v>
      </c>
      <c r="N7206" s="10"/>
      <c r="O7206" s="10"/>
      <c r="P7206" s="10" t="s">
        <v>34297</v>
      </c>
      <c r="Q7206" s="10">
        <v>378.73</v>
      </c>
      <c r="R7206" s="10" t="s">
        <v>34298</v>
      </c>
      <c r="S7206" s="10" t="s">
        <v>53</v>
      </c>
      <c r="T7206" s="10" t="s">
        <v>54</v>
      </c>
    </row>
    <row r="7207" spans="1:20" ht="14.5" x14ac:dyDescent="0.35">
      <c r="A7207" s="10" t="s">
        <v>34299</v>
      </c>
      <c r="B7207" s="10" t="str">
        <f>"9781443872621"</f>
        <v>9781443872621</v>
      </c>
      <c r="C7207" s="10" t="str">
        <f>"9781443876698"</f>
        <v>9781443876698</v>
      </c>
      <c r="D7207" s="10" t="s">
        <v>23635</v>
      </c>
      <c r="E7207" s="10" t="s">
        <v>23635</v>
      </c>
      <c r="F7207" s="10" t="s">
        <v>23636</v>
      </c>
      <c r="G7207" s="10" t="s">
        <v>6352</v>
      </c>
      <c r="H7207" s="11">
        <v>42062</v>
      </c>
      <c r="I7207" s="10">
        <v>2015</v>
      </c>
      <c r="J7207" s="10" t="s">
        <v>23635</v>
      </c>
      <c r="K7207" s="10">
        <v>202</v>
      </c>
      <c r="L7207" s="10" t="s">
        <v>34300</v>
      </c>
      <c r="M7207" s="10">
        <v>1</v>
      </c>
      <c r="N7207" s="10" t="s">
        <v>28964</v>
      </c>
      <c r="O7207" s="10"/>
      <c r="P7207" s="10" t="s">
        <v>34301</v>
      </c>
      <c r="Q7207" s="10">
        <v>370.11709489700002</v>
      </c>
      <c r="R7207" s="10" t="s">
        <v>34302</v>
      </c>
      <c r="S7207" s="10" t="s">
        <v>53</v>
      </c>
      <c r="T7207" s="10" t="s">
        <v>54</v>
      </c>
    </row>
    <row r="7208" spans="1:20" ht="14.5" x14ac:dyDescent="0.35">
      <c r="A7208" s="10" t="s">
        <v>34303</v>
      </c>
      <c r="B7208" s="10" t="str">
        <f>"9780195053463"</f>
        <v>9780195053463</v>
      </c>
      <c r="C7208" s="10" t="str">
        <f>"9780195345315"</f>
        <v>9780195345315</v>
      </c>
      <c r="D7208" s="10" t="s">
        <v>9122</v>
      </c>
      <c r="E7208" s="10" t="s">
        <v>9133</v>
      </c>
      <c r="F7208" s="10" t="s">
        <v>330</v>
      </c>
      <c r="G7208" s="10" t="s">
        <v>6317</v>
      </c>
      <c r="H7208" s="11">
        <v>34090</v>
      </c>
      <c r="I7208" s="10">
        <v>1993</v>
      </c>
      <c r="J7208" s="10" t="s">
        <v>9133</v>
      </c>
      <c r="K7208" s="10">
        <v>428</v>
      </c>
      <c r="L7208" s="10" t="s">
        <v>34304</v>
      </c>
      <c r="M7208" s="10">
        <v>1</v>
      </c>
      <c r="N7208" s="10"/>
      <c r="O7208" s="10"/>
      <c r="P7208" s="10" t="s">
        <v>34305</v>
      </c>
      <c r="Q7208" s="10">
        <v>378.73</v>
      </c>
      <c r="R7208" s="10" t="s">
        <v>34306</v>
      </c>
      <c r="S7208" s="10" t="s">
        <v>53</v>
      </c>
      <c r="T7208" s="10" t="s">
        <v>10388</v>
      </c>
    </row>
    <row r="7209" spans="1:20" ht="14.5" x14ac:dyDescent="0.35">
      <c r="A7209" s="10" t="s">
        <v>34307</v>
      </c>
      <c r="B7209" s="10" t="str">
        <f>"9780195038033"</f>
        <v>9780195038033</v>
      </c>
      <c r="C7209" s="10" t="str">
        <f>"9780195365054"</f>
        <v>9780195365054</v>
      </c>
      <c r="D7209" s="10" t="s">
        <v>9122</v>
      </c>
      <c r="E7209" s="10" t="s">
        <v>9133</v>
      </c>
      <c r="F7209" s="10" t="s">
        <v>330</v>
      </c>
      <c r="G7209" s="10" t="s">
        <v>6317</v>
      </c>
      <c r="H7209" s="11">
        <v>31625</v>
      </c>
      <c r="I7209" s="10">
        <v>1986</v>
      </c>
      <c r="J7209" s="10" t="s">
        <v>9133</v>
      </c>
      <c r="K7209" s="10">
        <v>336</v>
      </c>
      <c r="L7209" s="10" t="s">
        <v>34304</v>
      </c>
      <c r="M7209" s="10">
        <v>1</v>
      </c>
      <c r="N7209" s="10"/>
      <c r="O7209" s="10"/>
      <c r="P7209" s="10" t="s">
        <v>34308</v>
      </c>
      <c r="Q7209" s="10" t="s">
        <v>34309</v>
      </c>
      <c r="R7209" s="10" t="s">
        <v>34310</v>
      </c>
      <c r="S7209" s="10" t="s">
        <v>53</v>
      </c>
      <c r="T7209" s="10" t="s">
        <v>12559</v>
      </c>
    </row>
    <row r="7210" spans="1:20" ht="14.5" x14ac:dyDescent="0.35">
      <c r="A7210" s="10" t="s">
        <v>34311</v>
      </c>
      <c r="B7210" s="10" t="str">
        <f>"9780195155334"</f>
        <v>9780195155334</v>
      </c>
      <c r="C7210" s="10" t="str">
        <f>"9780195155334"</f>
        <v>9780195155334</v>
      </c>
      <c r="D7210" s="10" t="s">
        <v>9122</v>
      </c>
      <c r="E7210" s="10" t="s">
        <v>9133</v>
      </c>
      <c r="F7210" s="10" t="s">
        <v>330</v>
      </c>
      <c r="G7210" s="10" t="s">
        <v>6317</v>
      </c>
      <c r="H7210" s="11">
        <v>38200</v>
      </c>
      <c r="I7210" s="10">
        <v>2005</v>
      </c>
      <c r="J7210" s="10" t="s">
        <v>9133</v>
      </c>
      <c r="K7210" s="10">
        <v>497</v>
      </c>
      <c r="L7210" s="10" t="s">
        <v>34312</v>
      </c>
      <c r="M7210" s="10">
        <v>1</v>
      </c>
      <c r="N7210" s="10"/>
      <c r="O7210" s="10"/>
      <c r="P7210" s="10" t="s">
        <v>34313</v>
      </c>
      <c r="Q7210" s="10" t="s">
        <v>34314</v>
      </c>
      <c r="R7210" s="10" t="s">
        <v>34315</v>
      </c>
      <c r="S7210" s="10" t="s">
        <v>53</v>
      </c>
      <c r="T7210" s="10" t="s">
        <v>9608</v>
      </c>
    </row>
    <row r="7211" spans="1:20" ht="14.5" x14ac:dyDescent="0.35">
      <c r="A7211" s="10" t="s">
        <v>34316</v>
      </c>
      <c r="B7211" s="10" t="str">
        <f>"9780195156782"</f>
        <v>9780195156782</v>
      </c>
      <c r="C7211" s="10" t="str">
        <f>"9780198035633"</f>
        <v>9780198035633</v>
      </c>
      <c r="D7211" s="10" t="s">
        <v>9122</v>
      </c>
      <c r="E7211" s="10" t="s">
        <v>9133</v>
      </c>
      <c r="F7211" s="10" t="s">
        <v>70</v>
      </c>
      <c r="G7211" s="10" t="s">
        <v>6317</v>
      </c>
      <c r="H7211" s="11">
        <v>38393</v>
      </c>
      <c r="I7211" s="10">
        <v>2005</v>
      </c>
      <c r="J7211" s="10" t="s">
        <v>9133</v>
      </c>
      <c r="K7211" s="10">
        <v>310</v>
      </c>
      <c r="L7211" s="10" t="s">
        <v>34317</v>
      </c>
      <c r="M7211" s="10">
        <v>1</v>
      </c>
      <c r="N7211" s="10"/>
      <c r="O7211" s="10"/>
      <c r="P7211" s="10" t="s">
        <v>34318</v>
      </c>
      <c r="Q7211" s="10">
        <v>362.76</v>
      </c>
      <c r="R7211" s="10" t="s">
        <v>34319</v>
      </c>
      <c r="S7211" s="10" t="s">
        <v>53</v>
      </c>
      <c r="T7211" s="10" t="s">
        <v>6363</v>
      </c>
    </row>
    <row r="7212" spans="1:20" ht="14.5" x14ac:dyDescent="0.35">
      <c r="A7212" s="10" t="s">
        <v>34320</v>
      </c>
      <c r="B7212" s="10" t="str">
        <f>"9780195173147"</f>
        <v>9780195173147</v>
      </c>
      <c r="C7212" s="10" t="str">
        <f>"9780198038627"</f>
        <v>9780198038627</v>
      </c>
      <c r="D7212" s="10" t="s">
        <v>9122</v>
      </c>
      <c r="E7212" s="10" t="s">
        <v>9133</v>
      </c>
      <c r="F7212" s="10" t="s">
        <v>330</v>
      </c>
      <c r="G7212" s="10" t="s">
        <v>6317</v>
      </c>
      <c r="H7212" s="11">
        <v>38200</v>
      </c>
      <c r="I7212" s="10">
        <v>2004</v>
      </c>
      <c r="J7212" s="10" t="s">
        <v>9133</v>
      </c>
      <c r="K7212" s="10">
        <v>281</v>
      </c>
      <c r="L7212" s="10" t="s">
        <v>34321</v>
      </c>
      <c r="M7212" s="10">
        <v>1</v>
      </c>
      <c r="N7212" s="10"/>
      <c r="O7212" s="10"/>
      <c r="P7212" s="10" t="s">
        <v>34322</v>
      </c>
      <c r="Q7212" s="10">
        <v>305.24200000000002</v>
      </c>
      <c r="R7212" s="10" t="s">
        <v>34323</v>
      </c>
      <c r="S7212" s="10" t="s">
        <v>53</v>
      </c>
      <c r="T7212" s="10" t="s">
        <v>6363</v>
      </c>
    </row>
    <row r="7213" spans="1:20" ht="14.5" x14ac:dyDescent="0.35">
      <c r="A7213" s="10" t="s">
        <v>34324</v>
      </c>
      <c r="B7213" s="10" t="str">
        <f>"9780198295440"</f>
        <v>9780198295440</v>
      </c>
      <c r="C7213" s="10" t="str">
        <f>"9780191522499"</f>
        <v>9780191522499</v>
      </c>
      <c r="D7213" s="10" t="s">
        <v>9122</v>
      </c>
      <c r="E7213" s="10" t="s">
        <v>9133</v>
      </c>
      <c r="F7213" s="10" t="s">
        <v>748</v>
      </c>
      <c r="G7213" s="10" t="s">
        <v>6352</v>
      </c>
      <c r="H7213" s="11">
        <v>36517</v>
      </c>
      <c r="I7213" s="10">
        <v>1999</v>
      </c>
      <c r="J7213" s="10" t="s">
        <v>9133</v>
      </c>
      <c r="K7213" s="10">
        <v>250</v>
      </c>
      <c r="L7213" s="10" t="s">
        <v>34325</v>
      </c>
      <c r="M7213" s="10">
        <v>1</v>
      </c>
      <c r="N7213" s="10"/>
      <c r="O7213" s="10"/>
      <c r="P7213" s="10" t="s">
        <v>34326</v>
      </c>
      <c r="Q7213" s="10" t="s">
        <v>10077</v>
      </c>
      <c r="R7213" s="10" t="s">
        <v>34327</v>
      </c>
      <c r="S7213" s="10" t="s">
        <v>53</v>
      </c>
      <c r="T7213" s="10" t="s">
        <v>54</v>
      </c>
    </row>
    <row r="7214" spans="1:20" ht="14.5" x14ac:dyDescent="0.35">
      <c r="A7214" s="10" t="s">
        <v>34328</v>
      </c>
      <c r="B7214" s="10" t="str">
        <f>"9780198295860"</f>
        <v>9780198295860</v>
      </c>
      <c r="C7214" s="10" t="str">
        <f>"9780191522567"</f>
        <v>9780191522567</v>
      </c>
      <c r="D7214" s="10" t="s">
        <v>9122</v>
      </c>
      <c r="E7214" s="10" t="s">
        <v>9133</v>
      </c>
      <c r="F7214" s="10" t="s">
        <v>330</v>
      </c>
      <c r="G7214" s="10" t="s">
        <v>6317</v>
      </c>
      <c r="H7214" s="11">
        <v>36557</v>
      </c>
      <c r="I7214" s="10">
        <v>2000</v>
      </c>
      <c r="J7214" s="10" t="s">
        <v>9133</v>
      </c>
      <c r="K7214" s="10">
        <v>233</v>
      </c>
      <c r="L7214" s="10" t="s">
        <v>34329</v>
      </c>
      <c r="M7214" s="10">
        <v>1</v>
      </c>
      <c r="N7214" s="10"/>
      <c r="O7214" s="10"/>
      <c r="P7214" s="10" t="s">
        <v>34330</v>
      </c>
      <c r="Q7214" s="10" t="s">
        <v>8659</v>
      </c>
      <c r="R7214" s="10" t="s">
        <v>34331</v>
      </c>
      <c r="S7214" s="10" t="s">
        <v>53</v>
      </c>
      <c r="T7214" s="10" t="s">
        <v>54</v>
      </c>
    </row>
    <row r="7215" spans="1:20" ht="14.5" x14ac:dyDescent="0.35">
      <c r="A7215" s="10" t="s">
        <v>34332</v>
      </c>
      <c r="B7215" s="10" t="str">
        <f>"9780195182934"</f>
        <v>9780195182934</v>
      </c>
      <c r="C7215" s="10" t="str">
        <f>"9780199720354"</f>
        <v>9780199720354</v>
      </c>
      <c r="D7215" s="10" t="s">
        <v>9122</v>
      </c>
      <c r="E7215" s="10" t="s">
        <v>9133</v>
      </c>
      <c r="F7215" s="10" t="s">
        <v>70</v>
      </c>
      <c r="G7215" s="10" t="s">
        <v>6317</v>
      </c>
      <c r="H7215" s="11">
        <v>40052</v>
      </c>
      <c r="I7215" s="10">
        <v>2009</v>
      </c>
      <c r="J7215" s="10" t="s">
        <v>9133</v>
      </c>
      <c r="K7215" s="10">
        <v>529</v>
      </c>
      <c r="L7215" s="10" t="s">
        <v>9134</v>
      </c>
      <c r="M7215" s="10">
        <v>1</v>
      </c>
      <c r="N7215" s="10"/>
      <c r="O7215" s="10"/>
      <c r="P7215" s="10" t="s">
        <v>34333</v>
      </c>
      <c r="Q7215" s="10">
        <v>378.19810979467002</v>
      </c>
      <c r="R7215" s="10" t="s">
        <v>34334</v>
      </c>
      <c r="S7215" s="10" t="s">
        <v>53</v>
      </c>
      <c r="T7215" s="10" t="s">
        <v>54</v>
      </c>
    </row>
    <row r="7216" spans="1:20" ht="14.5" x14ac:dyDescent="0.35">
      <c r="A7216" s="10" t="s">
        <v>34335</v>
      </c>
      <c r="B7216" s="10" t="str">
        <f>"9780199837663"</f>
        <v>9780199837663</v>
      </c>
      <c r="C7216" s="10" t="str">
        <f>"9780199996537"</f>
        <v>9780199996537</v>
      </c>
      <c r="D7216" s="10" t="s">
        <v>9122</v>
      </c>
      <c r="E7216" s="10" t="s">
        <v>9133</v>
      </c>
      <c r="F7216" s="10" t="s">
        <v>330</v>
      </c>
      <c r="G7216" s="10" t="s">
        <v>6317</v>
      </c>
      <c r="H7216" s="11">
        <v>41437</v>
      </c>
      <c r="I7216" s="10">
        <v>2013</v>
      </c>
      <c r="J7216" s="10" t="s">
        <v>9133</v>
      </c>
      <c r="K7216" s="10">
        <v>241</v>
      </c>
      <c r="L7216" s="10" t="s">
        <v>34336</v>
      </c>
      <c r="M7216" s="10">
        <v>1</v>
      </c>
      <c r="N7216" s="10"/>
      <c r="O7216" s="10"/>
      <c r="P7216" s="10" t="s">
        <v>34337</v>
      </c>
      <c r="Q7216" s="10">
        <v>780.23</v>
      </c>
      <c r="R7216" s="10" t="s">
        <v>34338</v>
      </c>
      <c r="S7216" s="10" t="s">
        <v>53</v>
      </c>
      <c r="T7216" s="10" t="s">
        <v>6384</v>
      </c>
    </row>
    <row r="7217" spans="1:20" ht="14.5" x14ac:dyDescent="0.35">
      <c r="A7217" s="10" t="s">
        <v>34339</v>
      </c>
      <c r="B7217" s="10" t="str">
        <f>"9780199896646"</f>
        <v>9780199896646</v>
      </c>
      <c r="C7217" s="10" t="str">
        <f>"9780199896653"</f>
        <v>9780199896653</v>
      </c>
      <c r="D7217" s="10" t="s">
        <v>9122</v>
      </c>
      <c r="E7217" s="10" t="s">
        <v>9133</v>
      </c>
      <c r="F7217" s="10" t="s">
        <v>748</v>
      </c>
      <c r="G7217" s="10" t="s">
        <v>6317</v>
      </c>
      <c r="H7217" s="11">
        <v>41736</v>
      </c>
      <c r="I7217" s="10">
        <v>2014</v>
      </c>
      <c r="J7217" s="10" t="s">
        <v>9133</v>
      </c>
      <c r="K7217" s="10">
        <v>386</v>
      </c>
      <c r="L7217" s="10" t="s">
        <v>34340</v>
      </c>
      <c r="M7217" s="10">
        <v>1</v>
      </c>
      <c r="N7217" s="10"/>
      <c r="O7217" s="10"/>
      <c r="P7217" s="10" t="s">
        <v>34341</v>
      </c>
      <c r="Q7217" s="10">
        <v>371.33</v>
      </c>
      <c r="R7217" s="10" t="s">
        <v>34342</v>
      </c>
      <c r="S7217" s="10" t="s">
        <v>53</v>
      </c>
      <c r="T7217" s="10" t="s">
        <v>54</v>
      </c>
    </row>
    <row r="7218" spans="1:20" ht="14.5" x14ac:dyDescent="0.35">
      <c r="A7218" s="10" t="s">
        <v>34343</v>
      </c>
      <c r="B7218" s="10" t="str">
        <f>"9780470915806"</f>
        <v>9780470915806</v>
      </c>
      <c r="C7218" s="10" t="str">
        <f>"9781118001165"</f>
        <v>9781118001165</v>
      </c>
      <c r="D7218" s="10" t="s">
        <v>6322</v>
      </c>
      <c r="E7218" s="10" t="s">
        <v>6323</v>
      </c>
      <c r="F7218" s="10" t="s">
        <v>4423</v>
      </c>
      <c r="G7218" s="10" t="s">
        <v>6317</v>
      </c>
      <c r="H7218" s="11">
        <v>40582</v>
      </c>
      <c r="I7218" s="10">
        <v>2011</v>
      </c>
      <c r="J7218" s="10" t="s">
        <v>6323</v>
      </c>
      <c r="K7218" s="10">
        <v>649</v>
      </c>
      <c r="L7218" s="10" t="s">
        <v>34344</v>
      </c>
      <c r="M7218" s="10">
        <v>1</v>
      </c>
      <c r="N7218" s="10" t="s">
        <v>34345</v>
      </c>
      <c r="O7218" s="10">
        <v>37</v>
      </c>
      <c r="P7218" s="10"/>
      <c r="Q7218" s="10">
        <v>332.6</v>
      </c>
      <c r="R7218" s="10" t="s">
        <v>34346</v>
      </c>
      <c r="S7218" s="10" t="s">
        <v>53</v>
      </c>
      <c r="T7218" s="10" t="s">
        <v>31558</v>
      </c>
    </row>
    <row r="7219" spans="1:20" ht="14.5" x14ac:dyDescent="0.35">
      <c r="A7219" s="10" t="s">
        <v>34347</v>
      </c>
      <c r="B7219" s="10" t="str">
        <f>"9781568811819"</f>
        <v>9781568811819</v>
      </c>
      <c r="C7219" s="10" t="str">
        <f>"9781439870044"</f>
        <v>9781439870044</v>
      </c>
      <c r="D7219" s="10" t="s">
        <v>6350</v>
      </c>
      <c r="E7219" s="10" t="s">
        <v>9320</v>
      </c>
      <c r="F7219" s="10" t="s">
        <v>34348</v>
      </c>
      <c r="G7219" s="10" t="s">
        <v>6317</v>
      </c>
      <c r="H7219" s="11">
        <v>37455</v>
      </c>
      <c r="I7219" s="10">
        <v>2002</v>
      </c>
      <c r="J7219" s="10" t="s">
        <v>34349</v>
      </c>
      <c r="K7219" s="10">
        <v>363</v>
      </c>
      <c r="L7219" s="10" t="s">
        <v>34350</v>
      </c>
      <c r="M7219" s="10">
        <v>1</v>
      </c>
      <c r="N7219" s="10" t="s">
        <v>34351</v>
      </c>
      <c r="O7219" s="10"/>
      <c r="P7219" s="10" t="s">
        <v>34352</v>
      </c>
      <c r="Q7219" s="10">
        <v>516.29999999999995</v>
      </c>
      <c r="R7219" s="10" t="s">
        <v>34353</v>
      </c>
      <c r="S7219" s="10" t="s">
        <v>53</v>
      </c>
      <c r="T7219" s="10" t="s">
        <v>389</v>
      </c>
    </row>
    <row r="7220" spans="1:20" ht="14.5" x14ac:dyDescent="0.35">
      <c r="A7220" s="10" t="s">
        <v>34354</v>
      </c>
      <c r="B7220" s="10" t="str">
        <f>"9780750707633"</f>
        <v>9780750707633</v>
      </c>
      <c r="C7220" s="10" t="str">
        <f>"9780203086322"</f>
        <v>9780203086322</v>
      </c>
      <c r="D7220" s="10" t="s">
        <v>6350</v>
      </c>
      <c r="E7220" s="10" t="s">
        <v>6351</v>
      </c>
      <c r="F7220" s="10" t="s">
        <v>5406</v>
      </c>
      <c r="G7220" s="10" t="s">
        <v>6317</v>
      </c>
      <c r="H7220" s="11">
        <v>36039</v>
      </c>
      <c r="I7220" s="10">
        <v>1999</v>
      </c>
      <c r="J7220" s="10" t="s">
        <v>6350</v>
      </c>
      <c r="K7220" s="10">
        <v>186</v>
      </c>
      <c r="L7220" s="10" t="s">
        <v>34355</v>
      </c>
      <c r="M7220" s="10">
        <v>1</v>
      </c>
      <c r="N7220" s="10"/>
      <c r="O7220" s="10"/>
      <c r="P7220" s="10" t="s">
        <v>34356</v>
      </c>
      <c r="Q7220" s="10">
        <v>333.70699999999999</v>
      </c>
      <c r="R7220" s="10" t="s">
        <v>34357</v>
      </c>
      <c r="S7220" s="10" t="s">
        <v>53</v>
      </c>
      <c r="T7220" s="10" t="s">
        <v>34358</v>
      </c>
    </row>
    <row r="7221" spans="1:20" ht="14.5" x14ac:dyDescent="0.35">
      <c r="A7221" s="10" t="s">
        <v>34359</v>
      </c>
      <c r="B7221" s="10" t="str">
        <f>"9780415298469"</f>
        <v>9780415298469</v>
      </c>
      <c r="C7221" s="10" t="str">
        <f>"9780203464946"</f>
        <v>9780203464946</v>
      </c>
      <c r="D7221" s="10" t="s">
        <v>6350</v>
      </c>
      <c r="E7221" s="10" t="s">
        <v>6351</v>
      </c>
      <c r="F7221" s="10" t="s">
        <v>139</v>
      </c>
      <c r="G7221" s="10" t="s">
        <v>6352</v>
      </c>
      <c r="H7221" s="11">
        <v>37889</v>
      </c>
      <c r="I7221" s="10">
        <v>2003</v>
      </c>
      <c r="J7221" s="10" t="s">
        <v>6353</v>
      </c>
      <c r="K7221" s="10">
        <v>222</v>
      </c>
      <c r="L7221" s="10" t="s">
        <v>34360</v>
      </c>
      <c r="M7221" s="10">
        <v>1</v>
      </c>
      <c r="N7221" s="10" t="s">
        <v>34361</v>
      </c>
      <c r="O7221" s="10"/>
      <c r="P7221" s="10" t="s">
        <v>34362</v>
      </c>
      <c r="Q7221" s="10">
        <v>372.21</v>
      </c>
      <c r="R7221" s="10" t="s">
        <v>34363</v>
      </c>
      <c r="S7221" s="10" t="s">
        <v>53</v>
      </c>
      <c r="T7221" s="10" t="s">
        <v>54</v>
      </c>
    </row>
    <row r="7222" spans="1:20" ht="14.5" x14ac:dyDescent="0.35">
      <c r="A7222" s="10" t="s">
        <v>34364</v>
      </c>
      <c r="B7222" s="10" t="str">
        <f>"9780415302685"</f>
        <v>9780415302685</v>
      </c>
      <c r="C7222" s="10" t="str">
        <f>"9780203465141"</f>
        <v>9780203465141</v>
      </c>
      <c r="D7222" s="10" t="s">
        <v>6350</v>
      </c>
      <c r="E7222" s="10" t="s">
        <v>6351</v>
      </c>
      <c r="F7222" s="10" t="s">
        <v>139</v>
      </c>
      <c r="G7222" s="10" t="s">
        <v>6317</v>
      </c>
      <c r="H7222" s="11">
        <v>37855</v>
      </c>
      <c r="I7222" s="10">
        <v>2003</v>
      </c>
      <c r="J7222" s="10" t="s">
        <v>6353</v>
      </c>
      <c r="K7222" s="10">
        <v>233</v>
      </c>
      <c r="L7222" s="10" t="s">
        <v>34365</v>
      </c>
      <c r="M7222" s="10">
        <v>1</v>
      </c>
      <c r="N7222" s="10"/>
      <c r="O7222" s="10"/>
      <c r="P7222" s="10" t="s">
        <v>34366</v>
      </c>
      <c r="Q7222" s="10" t="s">
        <v>34367</v>
      </c>
      <c r="R7222" s="10" t="s">
        <v>34368</v>
      </c>
      <c r="S7222" s="10" t="s">
        <v>53</v>
      </c>
      <c r="T7222" s="10" t="s">
        <v>54</v>
      </c>
    </row>
    <row r="7223" spans="1:20" ht="14.5" x14ac:dyDescent="0.35">
      <c r="A7223" s="10" t="s">
        <v>34369</v>
      </c>
      <c r="B7223" s="10" t="str">
        <f>"9780805837865"</f>
        <v>9780805837865</v>
      </c>
      <c r="C7223" s="10" t="str">
        <f>"9781410606402"</f>
        <v>9781410606402</v>
      </c>
      <c r="D7223" s="10" t="s">
        <v>6350</v>
      </c>
      <c r="E7223" s="10" t="s">
        <v>6351</v>
      </c>
      <c r="F7223" s="10" t="s">
        <v>4325</v>
      </c>
      <c r="G7223" s="10" t="s">
        <v>6317</v>
      </c>
      <c r="H7223" s="11">
        <v>37469</v>
      </c>
      <c r="I7223" s="10">
        <v>2003</v>
      </c>
      <c r="J7223" s="10" t="s">
        <v>34370</v>
      </c>
      <c r="K7223" s="10">
        <v>1127</v>
      </c>
      <c r="L7223" s="10" t="s">
        <v>34371</v>
      </c>
      <c r="M7223" s="10">
        <v>1</v>
      </c>
      <c r="N7223" s="10"/>
      <c r="O7223" s="10"/>
      <c r="P7223" s="10" t="s">
        <v>34372</v>
      </c>
      <c r="Q7223" s="10" t="s">
        <v>34373</v>
      </c>
      <c r="R7223" s="10" t="s">
        <v>8601</v>
      </c>
      <c r="S7223" s="10" t="s">
        <v>53</v>
      </c>
      <c r="T7223" s="10" t="s">
        <v>6634</v>
      </c>
    </row>
    <row r="7224" spans="1:20" ht="14.5" x14ac:dyDescent="0.35">
      <c r="A7224" s="10" t="s">
        <v>34374</v>
      </c>
      <c r="B7224" s="10" t="str">
        <f>"9780415240048"</f>
        <v>9780415240048</v>
      </c>
      <c r="C7224" s="10" t="str">
        <f>"9780203087626"</f>
        <v>9780203087626</v>
      </c>
      <c r="D7224" s="10" t="s">
        <v>6350</v>
      </c>
      <c r="E7224" s="10" t="s">
        <v>6351</v>
      </c>
      <c r="F7224" s="10" t="s">
        <v>5406</v>
      </c>
      <c r="G7224" s="10" t="s">
        <v>6317</v>
      </c>
      <c r="H7224" s="11">
        <v>38705</v>
      </c>
      <c r="I7224" s="10">
        <v>2005</v>
      </c>
      <c r="J7224" s="10" t="s">
        <v>6353</v>
      </c>
      <c r="K7224" s="10">
        <v>166</v>
      </c>
      <c r="L7224" s="10" t="s">
        <v>34375</v>
      </c>
      <c r="M7224" s="10">
        <v>1</v>
      </c>
      <c r="N7224" s="10"/>
      <c r="O7224" s="10"/>
      <c r="P7224" s="10" t="s">
        <v>34376</v>
      </c>
      <c r="Q7224" s="10">
        <v>379</v>
      </c>
      <c r="R7224" s="10" t="s">
        <v>34377</v>
      </c>
      <c r="S7224" s="10" t="s">
        <v>53</v>
      </c>
      <c r="T7224" s="10" t="s">
        <v>54</v>
      </c>
    </row>
    <row r="7225" spans="1:20" ht="14.5" x14ac:dyDescent="0.35">
      <c r="A7225" s="10" t="s">
        <v>34378</v>
      </c>
      <c r="B7225" s="10" t="str">
        <f>"9780765615596"</f>
        <v>9780765615596</v>
      </c>
      <c r="C7225" s="10" t="str">
        <f>"9780765621863"</f>
        <v>9780765621863</v>
      </c>
      <c r="D7225" s="10" t="s">
        <v>6350</v>
      </c>
      <c r="E7225" s="10" t="s">
        <v>6351</v>
      </c>
      <c r="F7225" s="10" t="s">
        <v>748</v>
      </c>
      <c r="G7225" s="10" t="s">
        <v>6352</v>
      </c>
      <c r="H7225" s="11">
        <v>38442</v>
      </c>
      <c r="I7225" s="10">
        <v>2005</v>
      </c>
      <c r="J7225" s="10" t="s">
        <v>6351</v>
      </c>
      <c r="K7225" s="10">
        <v>261</v>
      </c>
      <c r="L7225" s="10" t="s">
        <v>34379</v>
      </c>
      <c r="M7225" s="10">
        <v>1</v>
      </c>
      <c r="N7225" s="10"/>
      <c r="O7225" s="10"/>
      <c r="P7225" s="10" t="s">
        <v>34380</v>
      </c>
      <c r="Q7225" s="10" t="s">
        <v>10427</v>
      </c>
      <c r="R7225" s="10" t="s">
        <v>34381</v>
      </c>
      <c r="S7225" s="10" t="s">
        <v>53</v>
      </c>
      <c r="T7225" s="10" t="s">
        <v>54</v>
      </c>
    </row>
    <row r="7226" spans="1:20" ht="14.5" x14ac:dyDescent="0.35">
      <c r="A7226" s="10" t="s">
        <v>34382</v>
      </c>
      <c r="B7226" s="10" t="str">
        <f>"9780415303460"</f>
        <v>9780415303460</v>
      </c>
      <c r="C7226" s="10" t="str">
        <f>"9780203404973"</f>
        <v>9780203404973</v>
      </c>
      <c r="D7226" s="10" t="s">
        <v>6350</v>
      </c>
      <c r="E7226" s="10" t="s">
        <v>6351</v>
      </c>
      <c r="F7226" s="10" t="s">
        <v>748</v>
      </c>
      <c r="G7226" s="10" t="s">
        <v>6352</v>
      </c>
      <c r="H7226" s="11">
        <v>37855</v>
      </c>
      <c r="I7226" s="10">
        <v>2003</v>
      </c>
      <c r="J7226" s="10" t="s">
        <v>6351</v>
      </c>
      <c r="K7226" s="10">
        <v>289</v>
      </c>
      <c r="L7226" s="10" t="s">
        <v>34383</v>
      </c>
      <c r="M7226" s="10">
        <v>2</v>
      </c>
      <c r="N7226" s="10"/>
      <c r="O7226" s="10"/>
      <c r="P7226" s="10" t="s">
        <v>34384</v>
      </c>
      <c r="Q7226" s="10">
        <v>371.90472</v>
      </c>
      <c r="R7226" s="10" t="s">
        <v>34385</v>
      </c>
      <c r="S7226" s="10" t="s">
        <v>53</v>
      </c>
      <c r="T7226" s="10" t="s">
        <v>54</v>
      </c>
    </row>
    <row r="7227" spans="1:20" ht="14.5" x14ac:dyDescent="0.35">
      <c r="A7227" s="10" t="s">
        <v>34386</v>
      </c>
      <c r="B7227" s="10" t="str">
        <f>"9780415583565"</f>
        <v>9780415583565</v>
      </c>
      <c r="C7227" s="10" t="str">
        <f>"9781136735639"</f>
        <v>9781136735639</v>
      </c>
      <c r="D7227" s="10" t="s">
        <v>6350</v>
      </c>
      <c r="E7227" s="10" t="s">
        <v>6351</v>
      </c>
      <c r="F7227" s="10" t="s">
        <v>70</v>
      </c>
      <c r="G7227" s="10" t="s">
        <v>6317</v>
      </c>
      <c r="H7227" s="11">
        <v>40750</v>
      </c>
      <c r="I7227" s="10">
        <v>2011</v>
      </c>
      <c r="J7227" s="10" t="s">
        <v>6353</v>
      </c>
      <c r="K7227" s="10">
        <v>219</v>
      </c>
      <c r="L7227" s="10" t="s">
        <v>34387</v>
      </c>
      <c r="M7227" s="10">
        <v>2</v>
      </c>
      <c r="N7227" s="10"/>
      <c r="O7227" s="10"/>
      <c r="P7227" s="10" t="s">
        <v>34388</v>
      </c>
      <c r="Q7227" s="10">
        <v>371.10199999999998</v>
      </c>
      <c r="R7227" s="10" t="s">
        <v>34389</v>
      </c>
      <c r="S7227" s="10" t="s">
        <v>53</v>
      </c>
      <c r="T7227" s="10" t="s">
        <v>54</v>
      </c>
    </row>
    <row r="7228" spans="1:20" ht="14.5" x14ac:dyDescent="0.35">
      <c r="A7228" s="10" t="s">
        <v>34390</v>
      </c>
      <c r="B7228" s="10" t="str">
        <f>"9780415177696"</f>
        <v>9780415177696</v>
      </c>
      <c r="C7228" s="10" t="str">
        <f>"9780203709443"</f>
        <v>9780203709443</v>
      </c>
      <c r="D7228" s="10" t="s">
        <v>6350</v>
      </c>
      <c r="E7228" s="10" t="s">
        <v>6351</v>
      </c>
      <c r="F7228" s="10" t="s">
        <v>139</v>
      </c>
      <c r="G7228" s="10" t="s">
        <v>6352</v>
      </c>
      <c r="H7228" s="11">
        <v>37652</v>
      </c>
      <c r="I7228" s="10">
        <v>1965</v>
      </c>
      <c r="J7228" s="10" t="s">
        <v>6353</v>
      </c>
      <c r="K7228" s="10">
        <v>337</v>
      </c>
      <c r="L7228" s="10" t="s">
        <v>34391</v>
      </c>
      <c r="M7228" s="10">
        <v>1</v>
      </c>
      <c r="N7228" s="10" t="s">
        <v>6505</v>
      </c>
      <c r="O7228" s="10"/>
      <c r="P7228" s="10" t="s">
        <v>34392</v>
      </c>
      <c r="Q7228" s="10">
        <v>370.9</v>
      </c>
      <c r="R7228" s="10" t="s">
        <v>34393</v>
      </c>
      <c r="S7228" s="10" t="s">
        <v>53</v>
      </c>
      <c r="T7228" s="10" t="s">
        <v>54</v>
      </c>
    </row>
    <row r="7229" spans="1:20" ht="14.5" x14ac:dyDescent="0.35">
      <c r="A7229" s="10" t="s">
        <v>34394</v>
      </c>
      <c r="B7229" s="10" t="str">
        <f>"9780415622431"</f>
        <v>9780415622431</v>
      </c>
      <c r="C7229" s="10" t="str">
        <f>"9780203554401"</f>
        <v>9780203554401</v>
      </c>
      <c r="D7229" s="10" t="s">
        <v>6350</v>
      </c>
      <c r="E7229" s="10" t="s">
        <v>6351</v>
      </c>
      <c r="F7229" s="10" t="s">
        <v>748</v>
      </c>
      <c r="G7229" s="10" t="s">
        <v>6352</v>
      </c>
      <c r="H7229" s="11">
        <v>41346</v>
      </c>
      <c r="I7229" s="10">
        <v>2013</v>
      </c>
      <c r="J7229" s="10" t="s">
        <v>6351</v>
      </c>
      <c r="K7229" s="10">
        <v>177</v>
      </c>
      <c r="L7229" s="10" t="s">
        <v>34395</v>
      </c>
      <c r="M7229" s="10">
        <v>1</v>
      </c>
      <c r="N7229" s="10"/>
      <c r="O7229" s="10"/>
      <c r="P7229" s="10" t="s">
        <v>34396</v>
      </c>
      <c r="Q7229" s="10">
        <v>371.1</v>
      </c>
      <c r="R7229" s="10" t="s">
        <v>34397</v>
      </c>
      <c r="S7229" s="10" t="s">
        <v>53</v>
      </c>
      <c r="T7229" s="10" t="s">
        <v>54</v>
      </c>
    </row>
    <row r="7230" spans="1:20" ht="14.5" x14ac:dyDescent="0.35">
      <c r="A7230" s="10" t="s">
        <v>34398</v>
      </c>
      <c r="B7230" s="10" t="str">
        <f>"9780815338291"</f>
        <v>9780815338291</v>
      </c>
      <c r="C7230" s="10" t="str">
        <f>"9780203055991"</f>
        <v>9780203055991</v>
      </c>
      <c r="D7230" s="10" t="s">
        <v>6350</v>
      </c>
      <c r="E7230" s="10" t="s">
        <v>6351</v>
      </c>
      <c r="F7230" s="10" t="s">
        <v>748</v>
      </c>
      <c r="G7230" s="10" t="s">
        <v>6352</v>
      </c>
      <c r="H7230" s="11">
        <v>37582</v>
      </c>
      <c r="I7230" s="10">
        <v>2003</v>
      </c>
      <c r="J7230" s="10" t="s">
        <v>6351</v>
      </c>
      <c r="K7230" s="10">
        <v>213</v>
      </c>
      <c r="L7230" s="10" t="s">
        <v>34399</v>
      </c>
      <c r="M7230" s="10">
        <v>1</v>
      </c>
      <c r="N7230" s="10" t="s">
        <v>7358</v>
      </c>
      <c r="O7230" s="10"/>
      <c r="P7230" s="10" t="s">
        <v>34400</v>
      </c>
      <c r="Q7230" s="10" t="s">
        <v>34401</v>
      </c>
      <c r="R7230" s="10" t="s">
        <v>34402</v>
      </c>
      <c r="S7230" s="10" t="s">
        <v>53</v>
      </c>
      <c r="T7230" s="10" t="s">
        <v>54</v>
      </c>
    </row>
    <row r="7231" spans="1:20" ht="14.5" x14ac:dyDescent="0.35">
      <c r="A7231" s="10" t="s">
        <v>34403</v>
      </c>
      <c r="B7231" s="10" t="str">
        <f>"9780387941813"</f>
        <v>9780387941813</v>
      </c>
      <c r="C7231" s="10" t="str">
        <f>"9781461208617"</f>
        <v>9781461208617</v>
      </c>
      <c r="D7231" s="10" t="s">
        <v>11249</v>
      </c>
      <c r="E7231" s="10" t="s">
        <v>13067</v>
      </c>
      <c r="F7231" s="10" t="s">
        <v>13068</v>
      </c>
      <c r="G7231" s="10" t="s">
        <v>6317</v>
      </c>
      <c r="H7231" s="11">
        <v>34383</v>
      </c>
      <c r="I7231" s="10">
        <v>1994</v>
      </c>
      <c r="J7231" s="10" t="s">
        <v>13067</v>
      </c>
      <c r="K7231" s="10">
        <v>133</v>
      </c>
      <c r="L7231" s="10" t="s">
        <v>34404</v>
      </c>
      <c r="M7231" s="10">
        <v>1</v>
      </c>
      <c r="N7231" s="10"/>
      <c r="O7231" s="10"/>
      <c r="P7231" s="10" t="s">
        <v>19534</v>
      </c>
      <c r="Q7231" s="10">
        <v>516.20000000000005</v>
      </c>
      <c r="R7231" s="10" t="s">
        <v>34405</v>
      </c>
      <c r="S7231" s="10" t="s">
        <v>53</v>
      </c>
      <c r="T7231" s="10" t="s">
        <v>6448</v>
      </c>
    </row>
    <row r="7232" spans="1:20" ht="14.5" x14ac:dyDescent="0.35">
      <c r="A7232" s="10" t="s">
        <v>34406</v>
      </c>
      <c r="B7232" s="10" t="str">
        <f>"9780387976419"</f>
        <v>9780387976419</v>
      </c>
      <c r="C7232" s="10" t="str">
        <f>"9781461231943"</f>
        <v>9781461231943</v>
      </c>
      <c r="D7232" s="10" t="s">
        <v>11249</v>
      </c>
      <c r="E7232" s="10" t="s">
        <v>13067</v>
      </c>
      <c r="F7232" s="10" t="s">
        <v>13068</v>
      </c>
      <c r="G7232" s="10" t="s">
        <v>6317</v>
      </c>
      <c r="H7232" s="11">
        <v>33512</v>
      </c>
      <c r="I7232" s="10">
        <v>1991</v>
      </c>
      <c r="J7232" s="10" t="s">
        <v>13067</v>
      </c>
      <c r="K7232" s="10">
        <v>245</v>
      </c>
      <c r="L7232" s="10" t="s">
        <v>34407</v>
      </c>
      <c r="M7232" s="10">
        <v>1</v>
      </c>
      <c r="N7232" s="10" t="s">
        <v>34408</v>
      </c>
      <c r="O7232" s="10"/>
      <c r="P7232" s="10" t="s">
        <v>11394</v>
      </c>
      <c r="Q7232" s="10" t="s">
        <v>34409</v>
      </c>
      <c r="R7232" s="10" t="s">
        <v>34410</v>
      </c>
      <c r="S7232" s="10" t="s">
        <v>53</v>
      </c>
      <c r="T7232" s="10" t="s">
        <v>54</v>
      </c>
    </row>
    <row r="7233" spans="1:20" ht="14.5" x14ac:dyDescent="0.35">
      <c r="A7233" s="10" t="s">
        <v>34411</v>
      </c>
      <c r="B7233" s="10" t="str">
        <f>"9780792341680"</f>
        <v>9780792341680</v>
      </c>
      <c r="C7233" s="10" t="str">
        <f>"9789400917323"</f>
        <v>9789400917323</v>
      </c>
      <c r="D7233" s="10" t="s">
        <v>11249</v>
      </c>
      <c r="E7233" s="10" t="s">
        <v>12215</v>
      </c>
      <c r="F7233" s="10" t="s">
        <v>206</v>
      </c>
      <c r="G7233" s="10" t="s">
        <v>9233</v>
      </c>
      <c r="H7233" s="11">
        <v>35246</v>
      </c>
      <c r="I7233" s="10">
        <v>1996</v>
      </c>
      <c r="J7233" s="10" t="s">
        <v>13067</v>
      </c>
      <c r="K7233" s="10">
        <v>342</v>
      </c>
      <c r="L7233" s="10" t="s">
        <v>34412</v>
      </c>
      <c r="M7233" s="10">
        <v>1</v>
      </c>
      <c r="N7233" s="10" t="s">
        <v>20643</v>
      </c>
      <c r="O7233" s="10">
        <v>18</v>
      </c>
      <c r="P7233" s="10" t="s">
        <v>20644</v>
      </c>
      <c r="Q7233" s="10" t="s">
        <v>34413</v>
      </c>
      <c r="R7233" s="10" t="s">
        <v>34414</v>
      </c>
      <c r="S7233" s="10" t="s">
        <v>53</v>
      </c>
      <c r="T7233" s="10" t="s">
        <v>389</v>
      </c>
    </row>
    <row r="7234" spans="1:20" ht="14.5" x14ac:dyDescent="0.35">
      <c r="A7234" s="10" t="s">
        <v>34415</v>
      </c>
      <c r="B7234" s="10" t="str">
        <f>"9780792312703"</f>
        <v>9780792312703</v>
      </c>
      <c r="C7234" s="10" t="str">
        <f>"9789400926578"</f>
        <v>9789400926578</v>
      </c>
      <c r="D7234" s="10" t="s">
        <v>11249</v>
      </c>
      <c r="E7234" s="10" t="s">
        <v>12215</v>
      </c>
      <c r="F7234" s="10" t="s">
        <v>206</v>
      </c>
      <c r="G7234" s="10" t="s">
        <v>9233</v>
      </c>
      <c r="H7234" s="11">
        <v>32263</v>
      </c>
      <c r="I7234" s="10">
        <v>1991</v>
      </c>
      <c r="J7234" s="10" t="s">
        <v>12215</v>
      </c>
      <c r="K7234" s="10">
        <v>210</v>
      </c>
      <c r="L7234" s="10" t="s">
        <v>34416</v>
      </c>
      <c r="M7234" s="10">
        <v>1</v>
      </c>
      <c r="N7234" s="10" t="s">
        <v>20643</v>
      </c>
      <c r="O7234" s="10">
        <v>6</v>
      </c>
      <c r="P7234" s="10" t="s">
        <v>20644</v>
      </c>
      <c r="Q7234" s="10"/>
      <c r="R7234" s="10" t="s">
        <v>32167</v>
      </c>
      <c r="S7234" s="10" t="s">
        <v>53</v>
      </c>
      <c r="T7234" s="10" t="s">
        <v>389</v>
      </c>
    </row>
    <row r="7235" spans="1:20" ht="14.5" x14ac:dyDescent="0.35">
      <c r="A7235" s="10" t="s">
        <v>34417</v>
      </c>
      <c r="B7235" s="10" t="str">
        <f>"9780792340744"</f>
        <v>9780792340744</v>
      </c>
      <c r="C7235" s="10" t="str">
        <f>"9789400916968"</f>
        <v>9789400916968</v>
      </c>
      <c r="D7235" s="10" t="s">
        <v>11249</v>
      </c>
      <c r="E7235" s="10" t="s">
        <v>12215</v>
      </c>
      <c r="F7235" s="10" t="s">
        <v>206</v>
      </c>
      <c r="G7235" s="10" t="s">
        <v>9233</v>
      </c>
      <c r="H7235" s="11">
        <v>35246</v>
      </c>
      <c r="I7235" s="10">
        <v>1996</v>
      </c>
      <c r="J7235" s="10" t="s">
        <v>13067</v>
      </c>
      <c r="K7235" s="10">
        <v>288</v>
      </c>
      <c r="L7235" s="10" t="s">
        <v>34418</v>
      </c>
      <c r="M7235" s="10">
        <v>1</v>
      </c>
      <c r="N7235" s="10" t="s">
        <v>20643</v>
      </c>
      <c r="O7235" s="10">
        <v>17</v>
      </c>
      <c r="P7235" s="10" t="s">
        <v>20644</v>
      </c>
      <c r="Q7235" s="10" t="s">
        <v>6538</v>
      </c>
      <c r="R7235" s="10" t="s">
        <v>32167</v>
      </c>
      <c r="S7235" s="10" t="s">
        <v>53</v>
      </c>
      <c r="T7235" s="10" t="s">
        <v>389</v>
      </c>
    </row>
    <row r="7236" spans="1:20" ht="14.5" x14ac:dyDescent="0.35">
      <c r="A7236" s="10" t="s">
        <v>34419</v>
      </c>
      <c r="B7236" s="10" t="str">
        <f>"9781936235308"</f>
        <v>9781936235308</v>
      </c>
      <c r="C7236" s="10" t="str">
        <f>"9781618110824"</f>
        <v>9781618110824</v>
      </c>
      <c r="D7236" s="10" t="s">
        <v>34420</v>
      </c>
      <c r="E7236" s="10" t="s">
        <v>34420</v>
      </c>
      <c r="F7236" s="10" t="s">
        <v>34421</v>
      </c>
      <c r="G7236" s="10" t="s">
        <v>6317</v>
      </c>
      <c r="H7236" s="11">
        <v>41030</v>
      </c>
      <c r="I7236" s="10">
        <v>2012</v>
      </c>
      <c r="J7236" s="10" t="s">
        <v>34420</v>
      </c>
      <c r="K7236" s="10">
        <v>216</v>
      </c>
      <c r="L7236" s="10" t="s">
        <v>34422</v>
      </c>
      <c r="M7236" s="10">
        <v>1</v>
      </c>
      <c r="N7236" s="10" t="s">
        <v>34423</v>
      </c>
      <c r="O7236" s="10"/>
      <c r="P7236" s="10" t="s">
        <v>34424</v>
      </c>
      <c r="Q7236" s="10">
        <v>181.06</v>
      </c>
      <c r="R7236" s="10" t="s">
        <v>34425</v>
      </c>
      <c r="S7236" s="10" t="s">
        <v>53</v>
      </c>
      <c r="T7236" s="10" t="s">
        <v>6521</v>
      </c>
    </row>
    <row r="7237" spans="1:20" ht="14.5" x14ac:dyDescent="0.35">
      <c r="A7237" s="10" t="s">
        <v>34426</v>
      </c>
      <c r="B7237" s="10" t="str">
        <f>""</f>
        <v/>
      </c>
      <c r="C7237" s="10" t="str">
        <f>"9781904436072"</f>
        <v>9781904436072</v>
      </c>
      <c r="D7237" s="10" t="s">
        <v>34427</v>
      </c>
      <c r="E7237" s="10" t="s">
        <v>34428</v>
      </c>
      <c r="F7237" s="10" t="s">
        <v>34429</v>
      </c>
      <c r="G7237" s="10" t="s">
        <v>6352</v>
      </c>
      <c r="H7237" s="11">
        <v>38687</v>
      </c>
      <c r="I7237" s="10">
        <v>2006</v>
      </c>
      <c r="J7237" s="10" t="s">
        <v>34428</v>
      </c>
      <c r="K7237" s="10">
        <v>40</v>
      </c>
      <c r="L7237" s="10" t="s">
        <v>34430</v>
      </c>
      <c r="M7237" s="10">
        <v>1</v>
      </c>
      <c r="N7237" s="10"/>
      <c r="O7237" s="10"/>
      <c r="P7237" s="10" t="s">
        <v>34431</v>
      </c>
      <c r="Q7237" s="10"/>
      <c r="R7237" s="10" t="s">
        <v>34432</v>
      </c>
      <c r="S7237" s="10" t="s">
        <v>53</v>
      </c>
      <c r="T7237" s="10" t="s">
        <v>8346</v>
      </c>
    </row>
    <row r="7238" spans="1:20" ht="14.5" x14ac:dyDescent="0.35">
      <c r="A7238" s="10" t="s">
        <v>34433</v>
      </c>
      <c r="B7238" s="10" t="str">
        <f>""</f>
        <v/>
      </c>
      <c r="C7238" s="10" t="str">
        <f>"9781904436065"</f>
        <v>9781904436065</v>
      </c>
      <c r="D7238" s="10" t="s">
        <v>34427</v>
      </c>
      <c r="E7238" s="10" t="s">
        <v>34428</v>
      </c>
      <c r="F7238" s="10" t="s">
        <v>34429</v>
      </c>
      <c r="G7238" s="10" t="s">
        <v>6352</v>
      </c>
      <c r="H7238" s="11">
        <v>38687</v>
      </c>
      <c r="I7238" s="10">
        <v>2006</v>
      </c>
      <c r="J7238" s="10" t="s">
        <v>34428</v>
      </c>
      <c r="K7238" s="10">
        <v>170</v>
      </c>
      <c r="L7238" s="10" t="s">
        <v>34430</v>
      </c>
      <c r="M7238" s="10">
        <v>1</v>
      </c>
      <c r="N7238" s="10"/>
      <c r="O7238" s="10"/>
      <c r="P7238" s="10" t="s">
        <v>34434</v>
      </c>
      <c r="Q7238" s="10"/>
      <c r="R7238" s="10" t="s">
        <v>34432</v>
      </c>
      <c r="S7238" s="10" t="s">
        <v>53</v>
      </c>
      <c r="T7238" s="10" t="s">
        <v>8346</v>
      </c>
    </row>
    <row r="7239" spans="1:20" ht="14.5" x14ac:dyDescent="0.35">
      <c r="A7239" s="10" t="s">
        <v>34435</v>
      </c>
      <c r="B7239" s="10" t="str">
        <f>"9780821834800"</f>
        <v>9780821834800</v>
      </c>
      <c r="C7239" s="10" t="str">
        <f>"9780821879481"</f>
        <v>9780821879481</v>
      </c>
      <c r="D7239" s="10" t="s">
        <v>34436</v>
      </c>
      <c r="E7239" s="10" t="s">
        <v>34437</v>
      </c>
      <c r="F7239" s="10" t="s">
        <v>34438</v>
      </c>
      <c r="G7239" s="10" t="s">
        <v>6317</v>
      </c>
      <c r="H7239" s="11">
        <v>38231</v>
      </c>
      <c r="I7239" s="10">
        <v>2004</v>
      </c>
      <c r="J7239" s="10" t="s">
        <v>34437</v>
      </c>
      <c r="K7239" s="10">
        <v>234</v>
      </c>
      <c r="L7239" s="10" t="s">
        <v>34439</v>
      </c>
      <c r="M7239" s="10">
        <v>1</v>
      </c>
      <c r="N7239" s="10" t="s">
        <v>34440</v>
      </c>
      <c r="O7239" s="10">
        <v>358</v>
      </c>
      <c r="P7239" s="10" t="s">
        <v>34441</v>
      </c>
      <c r="Q7239" s="10" t="s">
        <v>34442</v>
      </c>
      <c r="R7239" s="10" t="s">
        <v>34443</v>
      </c>
      <c r="S7239" s="10" t="s">
        <v>53</v>
      </c>
      <c r="T7239" s="10" t="s">
        <v>389</v>
      </c>
    </row>
    <row r="7240" spans="1:20" ht="14.5" x14ac:dyDescent="0.35">
      <c r="A7240" s="10" t="s">
        <v>34444</v>
      </c>
      <c r="B7240" s="10" t="str">
        <f>"9789774160165"</f>
        <v>9789774160165</v>
      </c>
      <c r="C7240" s="10" t="str">
        <f>"9781617976056"</f>
        <v>9781617976056</v>
      </c>
      <c r="D7240" s="10" t="s">
        <v>9533</v>
      </c>
      <c r="E7240" s="10" t="s">
        <v>34445</v>
      </c>
      <c r="F7240" s="10" t="s">
        <v>34446</v>
      </c>
      <c r="G7240" s="10" t="s">
        <v>34447</v>
      </c>
      <c r="H7240" s="11">
        <v>36526</v>
      </c>
      <c r="I7240" s="10">
        <v>2006</v>
      </c>
      <c r="J7240" s="10" t="s">
        <v>34445</v>
      </c>
      <c r="K7240" s="10">
        <v>188</v>
      </c>
      <c r="L7240" s="10" t="s">
        <v>34448</v>
      </c>
      <c r="M7240" s="10">
        <v>1</v>
      </c>
      <c r="N7240" s="10"/>
      <c r="O7240" s="10"/>
      <c r="P7240" s="10" t="s">
        <v>34449</v>
      </c>
      <c r="Q7240" s="10">
        <v>370.96199999999999</v>
      </c>
      <c r="R7240" s="10" t="s">
        <v>34450</v>
      </c>
      <c r="S7240" s="10" t="s">
        <v>53</v>
      </c>
      <c r="T7240" s="10" t="s">
        <v>54</v>
      </c>
    </row>
    <row r="7241" spans="1:20" ht="14.5" x14ac:dyDescent="0.35">
      <c r="A7241" s="10" t="s">
        <v>34451</v>
      </c>
      <c r="B7241" s="10" t="str">
        <f>""</f>
        <v/>
      </c>
      <c r="C7241" s="10" t="str">
        <f>"9789057181306"</f>
        <v>9789057181306</v>
      </c>
      <c r="D7241" s="10" t="s">
        <v>34452</v>
      </c>
      <c r="E7241" s="10" t="s">
        <v>34453</v>
      </c>
      <c r="F7241" s="10" t="s">
        <v>34454</v>
      </c>
      <c r="G7241" s="10" t="s">
        <v>28737</v>
      </c>
      <c r="H7241" s="11">
        <v>41153</v>
      </c>
      <c r="I7241" s="10">
        <v>2012</v>
      </c>
      <c r="J7241" s="10" t="s">
        <v>34455</v>
      </c>
      <c r="K7241" s="10">
        <v>408</v>
      </c>
      <c r="L7241" s="10" t="s">
        <v>34456</v>
      </c>
      <c r="M7241" s="10">
        <v>1</v>
      </c>
      <c r="N7241" s="10"/>
      <c r="O7241" s="10"/>
      <c r="P7241" s="10" t="s">
        <v>34457</v>
      </c>
      <c r="Q7241" s="10">
        <v>378</v>
      </c>
      <c r="R7241" s="10" t="s">
        <v>34458</v>
      </c>
      <c r="S7241" s="10" t="s">
        <v>53</v>
      </c>
      <c r="T7241" s="10" t="s">
        <v>54</v>
      </c>
    </row>
    <row r="7242" spans="1:20" ht="14.5" x14ac:dyDescent="0.35">
      <c r="A7242" s="10" t="s">
        <v>34459</v>
      </c>
      <c r="B7242" s="10" t="str">
        <f>""</f>
        <v/>
      </c>
      <c r="C7242" s="10" t="str">
        <f>"9789054876137"</f>
        <v>9789054876137</v>
      </c>
      <c r="D7242" s="10" t="s">
        <v>34452</v>
      </c>
      <c r="E7242" s="10" t="s">
        <v>34453</v>
      </c>
      <c r="F7242" s="10" t="s">
        <v>34454</v>
      </c>
      <c r="G7242" s="10" t="s">
        <v>28737</v>
      </c>
      <c r="H7242" s="11">
        <v>40179</v>
      </c>
      <c r="I7242" s="10">
        <v>2009</v>
      </c>
      <c r="J7242" s="10" t="s">
        <v>34460</v>
      </c>
      <c r="K7242" s="10">
        <v>340</v>
      </c>
      <c r="L7242" s="10" t="s">
        <v>34461</v>
      </c>
      <c r="M7242" s="10">
        <v>1</v>
      </c>
      <c r="N7242" s="10"/>
      <c r="O7242" s="10"/>
      <c r="P7242" s="10" t="s">
        <v>34462</v>
      </c>
      <c r="Q7242" s="10">
        <v>658.40300000000002</v>
      </c>
      <c r="R7242" s="10" t="s">
        <v>13396</v>
      </c>
      <c r="S7242" s="10" t="s">
        <v>53</v>
      </c>
      <c r="T7242" s="10" t="s">
        <v>6660</v>
      </c>
    </row>
    <row r="7243" spans="1:20" ht="14.5" x14ac:dyDescent="0.35">
      <c r="A7243" s="10" t="s">
        <v>34463</v>
      </c>
      <c r="B7243" s="10" t="str">
        <f>"9780838757253"</f>
        <v>9780838757253</v>
      </c>
      <c r="C7243" s="10" t="str">
        <f>"9780838759554"</f>
        <v>9780838759554</v>
      </c>
      <c r="D7243" s="10" t="s">
        <v>34464</v>
      </c>
      <c r="E7243" s="10" t="s">
        <v>34465</v>
      </c>
      <c r="F7243" s="10" t="s">
        <v>34466</v>
      </c>
      <c r="G7243" s="10" t="s">
        <v>6317</v>
      </c>
      <c r="H7243" s="11">
        <v>39995</v>
      </c>
      <c r="I7243" s="10">
        <v>2009</v>
      </c>
      <c r="J7243" s="10" t="s">
        <v>34465</v>
      </c>
      <c r="K7243" s="10">
        <v>238</v>
      </c>
      <c r="L7243" s="10" t="s">
        <v>34467</v>
      </c>
      <c r="M7243" s="10">
        <v>1</v>
      </c>
      <c r="N7243" s="10"/>
      <c r="O7243" s="10"/>
      <c r="P7243" s="10" t="s">
        <v>34468</v>
      </c>
      <c r="Q7243" s="10" t="s">
        <v>34469</v>
      </c>
      <c r="R7243" s="10" t="s">
        <v>34470</v>
      </c>
      <c r="S7243" s="10" t="s">
        <v>53</v>
      </c>
      <c r="T7243" s="10" t="s">
        <v>54</v>
      </c>
    </row>
    <row r="7244" spans="1:20" ht="14.5" x14ac:dyDescent="0.35">
      <c r="A7244" s="10" t="s">
        <v>34471</v>
      </c>
      <c r="B7244" s="10" t="str">
        <f>"9781560520948"</f>
        <v>9781560520948</v>
      </c>
      <c r="C7244" s="10" t="str">
        <f>""</f>
        <v/>
      </c>
      <c r="D7244" s="10" t="s">
        <v>34472</v>
      </c>
      <c r="E7244" s="10" t="s">
        <v>34473</v>
      </c>
      <c r="F7244" s="10" t="s">
        <v>34474</v>
      </c>
      <c r="G7244" s="10" t="s">
        <v>6317</v>
      </c>
      <c r="H7244" s="11">
        <v>33482</v>
      </c>
      <c r="I7244" s="10">
        <v>1991</v>
      </c>
      <c r="J7244" s="10" t="s">
        <v>34475</v>
      </c>
      <c r="K7244" s="10">
        <v>118</v>
      </c>
      <c r="L7244" s="10" t="s">
        <v>34476</v>
      </c>
      <c r="M7244" s="10"/>
      <c r="N7244" s="10"/>
      <c r="O7244" s="10"/>
      <c r="P7244" s="10" t="s">
        <v>34477</v>
      </c>
      <c r="Q7244" s="10" t="s">
        <v>34478</v>
      </c>
      <c r="R7244" s="10" t="s">
        <v>34479</v>
      </c>
      <c r="S7244" s="10" t="s">
        <v>53</v>
      </c>
      <c r="T7244" s="10" t="s">
        <v>6660</v>
      </c>
    </row>
    <row r="7245" spans="1:20" ht="14.5" x14ac:dyDescent="0.35">
      <c r="A7245" s="10" t="s">
        <v>34480</v>
      </c>
      <c r="B7245" s="10" t="str">
        <f>"9781560522607"</f>
        <v>9781560522607</v>
      </c>
      <c r="C7245" s="10" t="str">
        <f>""</f>
        <v/>
      </c>
      <c r="D7245" s="10" t="s">
        <v>34472</v>
      </c>
      <c r="E7245" s="10" t="s">
        <v>34473</v>
      </c>
      <c r="F7245" s="10" t="s">
        <v>34474</v>
      </c>
      <c r="G7245" s="10" t="s">
        <v>6317</v>
      </c>
      <c r="H7245" s="11">
        <v>34394</v>
      </c>
      <c r="I7245" s="10">
        <v>1994</v>
      </c>
      <c r="J7245" s="10" t="s">
        <v>34475</v>
      </c>
      <c r="K7245" s="10">
        <v>102</v>
      </c>
      <c r="L7245" s="10" t="s">
        <v>34481</v>
      </c>
      <c r="M7245" s="10"/>
      <c r="N7245" s="10"/>
      <c r="O7245" s="10"/>
      <c r="P7245" s="10" t="s">
        <v>34482</v>
      </c>
      <c r="Q7245" s="10" t="s">
        <v>34483</v>
      </c>
      <c r="R7245" s="10" t="s">
        <v>34484</v>
      </c>
      <c r="S7245" s="10" t="s">
        <v>53</v>
      </c>
      <c r="T7245" s="10" t="s">
        <v>54</v>
      </c>
    </row>
    <row r="7246" spans="1:20" ht="14.5" x14ac:dyDescent="0.35">
      <c r="A7246" s="10" t="s">
        <v>34485</v>
      </c>
      <c r="B7246" s="10" t="str">
        <f>""</f>
        <v/>
      </c>
      <c r="C7246" s="10" t="str">
        <f>"9781937440336"</f>
        <v>9781937440336</v>
      </c>
      <c r="D7246" s="10" t="s">
        <v>34486</v>
      </c>
      <c r="E7246" s="10" t="s">
        <v>34486</v>
      </c>
      <c r="F7246" s="10" t="s">
        <v>34487</v>
      </c>
      <c r="G7246" s="10" t="s">
        <v>6317</v>
      </c>
      <c r="H7246" s="11">
        <v>40909</v>
      </c>
      <c r="I7246" s="10">
        <v>2012</v>
      </c>
      <c r="J7246" s="10" t="s">
        <v>34486</v>
      </c>
      <c r="K7246" s="10">
        <v>104</v>
      </c>
      <c r="L7246" s="10" t="s">
        <v>34488</v>
      </c>
      <c r="M7246" s="10">
        <v>1</v>
      </c>
      <c r="N7246" s="10"/>
      <c r="O7246" s="10"/>
      <c r="P7246" s="10" t="s">
        <v>34489</v>
      </c>
      <c r="Q7246" s="10">
        <v>616.85209999999995</v>
      </c>
      <c r="R7246" s="10" t="s">
        <v>34490</v>
      </c>
      <c r="S7246" s="10" t="s">
        <v>53</v>
      </c>
      <c r="T7246" s="10" t="s">
        <v>13739</v>
      </c>
    </row>
    <row r="7247" spans="1:20" ht="14.5" x14ac:dyDescent="0.35">
      <c r="A7247" s="10" t="s">
        <v>34491</v>
      </c>
      <c r="B7247" s="10" t="str">
        <f>"9780895032959"</f>
        <v>9780895032959</v>
      </c>
      <c r="C7247" s="10" t="str">
        <f>"9780895034403"</f>
        <v>9780895034403</v>
      </c>
      <c r="D7247" s="10" t="s">
        <v>6350</v>
      </c>
      <c r="E7247" s="10" t="s">
        <v>6351</v>
      </c>
      <c r="F7247" s="10" t="s">
        <v>34492</v>
      </c>
      <c r="G7247" s="10" t="s">
        <v>6317</v>
      </c>
      <c r="H7247" s="11">
        <v>38353</v>
      </c>
      <c r="I7247" s="10">
        <v>2005</v>
      </c>
      <c r="J7247" s="10" t="s">
        <v>6353</v>
      </c>
      <c r="K7247" s="10">
        <v>343</v>
      </c>
      <c r="L7247" s="10" t="s">
        <v>34493</v>
      </c>
      <c r="M7247" s="10">
        <v>1</v>
      </c>
      <c r="N7247" s="10" t="s">
        <v>34494</v>
      </c>
      <c r="O7247" s="10"/>
      <c r="P7247" s="10" t="s">
        <v>34495</v>
      </c>
      <c r="Q7247" s="10">
        <v>378.17579999999998</v>
      </c>
      <c r="R7247" s="10" t="s">
        <v>34496</v>
      </c>
      <c r="S7247" s="10" t="s">
        <v>53</v>
      </c>
      <c r="T7247" s="10" t="s">
        <v>54</v>
      </c>
    </row>
    <row r="7248" spans="1:20" ht="14.5" x14ac:dyDescent="0.35">
      <c r="A7248" s="10" t="s">
        <v>34497</v>
      </c>
      <c r="B7248" s="10" t="str">
        <f>"9780895038067"</f>
        <v>9780895038067</v>
      </c>
      <c r="C7248" s="10" t="str">
        <f>"9780895038081"</f>
        <v>9780895038081</v>
      </c>
      <c r="D7248" s="10" t="s">
        <v>6350</v>
      </c>
      <c r="E7248" s="10" t="s">
        <v>6351</v>
      </c>
      <c r="F7248" s="10" t="s">
        <v>34492</v>
      </c>
      <c r="G7248" s="10" t="s">
        <v>6317</v>
      </c>
      <c r="H7248" s="11">
        <v>41424</v>
      </c>
      <c r="I7248" s="10">
        <v>2013</v>
      </c>
      <c r="J7248" s="10" t="s">
        <v>6353</v>
      </c>
      <c r="K7248" s="10">
        <v>333</v>
      </c>
      <c r="L7248" s="10" t="s">
        <v>34498</v>
      </c>
      <c r="M7248" s="10">
        <v>1</v>
      </c>
      <c r="N7248" s="10" t="s">
        <v>34494</v>
      </c>
      <c r="O7248" s="10"/>
      <c r="P7248" s="10" t="s">
        <v>34499</v>
      </c>
      <c r="Q7248" s="10">
        <v>378.17340000000002</v>
      </c>
      <c r="R7248" s="10" t="s">
        <v>34500</v>
      </c>
      <c r="S7248" s="10" t="s">
        <v>53</v>
      </c>
      <c r="T7248" s="10" t="s">
        <v>54</v>
      </c>
    </row>
    <row r="7249" spans="1:20" ht="14.5" x14ac:dyDescent="0.35">
      <c r="A7249" s="10" t="s">
        <v>34501</v>
      </c>
      <c r="B7249" s="10" t="str">
        <f>"9780895037855"</f>
        <v>9780895037855</v>
      </c>
      <c r="C7249" s="10" t="str">
        <f>"9780895037879"</f>
        <v>9780895037879</v>
      </c>
      <c r="D7249" s="10" t="s">
        <v>6350</v>
      </c>
      <c r="E7249" s="10" t="s">
        <v>6351</v>
      </c>
      <c r="F7249" s="10" t="s">
        <v>34492</v>
      </c>
      <c r="G7249" s="10" t="s">
        <v>6317</v>
      </c>
      <c r="H7249" s="11">
        <v>41424</v>
      </c>
      <c r="I7249" s="10">
        <v>2013</v>
      </c>
      <c r="J7249" s="10" t="s">
        <v>6353</v>
      </c>
      <c r="K7249" s="10">
        <v>340</v>
      </c>
      <c r="L7249" s="10" t="s">
        <v>34502</v>
      </c>
      <c r="M7249" s="10">
        <v>1</v>
      </c>
      <c r="N7249" s="10"/>
      <c r="O7249" s="10"/>
      <c r="P7249" s="10" t="s">
        <v>34503</v>
      </c>
      <c r="Q7249" s="10" t="s">
        <v>34504</v>
      </c>
      <c r="R7249" s="10" t="s">
        <v>34505</v>
      </c>
      <c r="S7249" s="10" t="s">
        <v>53</v>
      </c>
      <c r="T7249" s="10" t="s">
        <v>6363</v>
      </c>
    </row>
    <row r="7250" spans="1:20" ht="14.5" x14ac:dyDescent="0.35">
      <c r="A7250" s="10" t="s">
        <v>34506</v>
      </c>
      <c r="B7250" s="10" t="str">
        <f>"9780895037978"</f>
        <v>9780895037978</v>
      </c>
      <c r="C7250" s="10" t="str">
        <f>"9780895037992"</f>
        <v>9780895037992</v>
      </c>
      <c r="D7250" s="10" t="s">
        <v>6350</v>
      </c>
      <c r="E7250" s="10" t="s">
        <v>6351</v>
      </c>
      <c r="F7250" s="10" t="s">
        <v>34492</v>
      </c>
      <c r="G7250" s="10" t="s">
        <v>6317</v>
      </c>
      <c r="H7250" s="11">
        <v>41455</v>
      </c>
      <c r="I7250" s="10">
        <v>2013</v>
      </c>
      <c r="J7250" s="10" t="s">
        <v>6353</v>
      </c>
      <c r="K7250" s="10">
        <v>257</v>
      </c>
      <c r="L7250" s="10" t="s">
        <v>34507</v>
      </c>
      <c r="M7250" s="10">
        <v>1</v>
      </c>
      <c r="N7250" s="10" t="s">
        <v>34494</v>
      </c>
      <c r="O7250" s="10"/>
      <c r="P7250" s="10" t="s">
        <v>34508</v>
      </c>
      <c r="Q7250" s="10">
        <v>371.33</v>
      </c>
      <c r="R7250" s="10" t="s">
        <v>34509</v>
      </c>
      <c r="S7250" s="10" t="s">
        <v>53</v>
      </c>
      <c r="T7250" s="10" t="s">
        <v>54</v>
      </c>
    </row>
    <row r="7251" spans="1:20" ht="14.5" x14ac:dyDescent="0.35">
      <c r="A7251" s="10" t="s">
        <v>34510</v>
      </c>
      <c r="B7251" s="10" t="str">
        <f>"9780895037893"</f>
        <v>9780895037893</v>
      </c>
      <c r="C7251" s="10" t="str">
        <f>"9780895037916"</f>
        <v>9780895037916</v>
      </c>
      <c r="D7251" s="10" t="s">
        <v>6350</v>
      </c>
      <c r="E7251" s="10" t="s">
        <v>6351</v>
      </c>
      <c r="F7251" s="10" t="s">
        <v>748</v>
      </c>
      <c r="G7251" s="10" t="s">
        <v>6352</v>
      </c>
      <c r="H7251" s="11">
        <v>38153</v>
      </c>
      <c r="I7251" s="10">
        <v>2013</v>
      </c>
      <c r="J7251" s="10" t="s">
        <v>6351</v>
      </c>
      <c r="K7251" s="10">
        <v>248</v>
      </c>
      <c r="L7251" s="10" t="s">
        <v>34511</v>
      </c>
      <c r="M7251" s="10">
        <v>1</v>
      </c>
      <c r="N7251" s="10" t="s">
        <v>34494</v>
      </c>
      <c r="O7251" s="10"/>
      <c r="P7251" s="10" t="s">
        <v>34512</v>
      </c>
      <c r="Q7251" s="10" t="s">
        <v>34513</v>
      </c>
      <c r="R7251" s="10" t="s">
        <v>34514</v>
      </c>
      <c r="S7251" s="10" t="s">
        <v>53</v>
      </c>
      <c r="T7251" s="10" t="s">
        <v>34515</v>
      </c>
    </row>
    <row r="7252" spans="1:20" ht="14.5" x14ac:dyDescent="0.35">
      <c r="A7252" s="10" t="s">
        <v>34516</v>
      </c>
      <c r="B7252" s="10" t="str">
        <f>"9780807031285"</f>
        <v>9780807031285</v>
      </c>
      <c r="C7252" s="10" t="str">
        <f>"9780807031377"</f>
        <v>9780807031377</v>
      </c>
      <c r="D7252" s="10" t="s">
        <v>34517</v>
      </c>
      <c r="E7252" s="10" t="s">
        <v>34517</v>
      </c>
      <c r="F7252" s="10" t="s">
        <v>1420</v>
      </c>
      <c r="G7252" s="10" t="s">
        <v>6317</v>
      </c>
      <c r="H7252" s="11">
        <v>37226</v>
      </c>
      <c r="I7252" s="10">
        <v>2001</v>
      </c>
      <c r="J7252" s="10" t="s">
        <v>34517</v>
      </c>
      <c r="K7252" s="10">
        <v>143</v>
      </c>
      <c r="L7252" s="10" t="s">
        <v>34518</v>
      </c>
      <c r="M7252" s="10"/>
      <c r="N7252" s="10"/>
      <c r="O7252" s="10"/>
      <c r="P7252" s="10" t="s">
        <v>34519</v>
      </c>
      <c r="Q7252" s="10" t="s">
        <v>34520</v>
      </c>
      <c r="R7252" s="10" t="s">
        <v>34521</v>
      </c>
      <c r="S7252" s="10" t="s">
        <v>53</v>
      </c>
      <c r="T7252" s="10" t="s">
        <v>6363</v>
      </c>
    </row>
    <row r="7253" spans="1:20" ht="14.5" x14ac:dyDescent="0.35">
      <c r="A7253" s="10" t="s">
        <v>34522</v>
      </c>
      <c r="B7253" s="10" t="str">
        <f>"9780807031322"</f>
        <v>9780807031322</v>
      </c>
      <c r="C7253" s="10" t="str">
        <f>"9780807031353"</f>
        <v>9780807031353</v>
      </c>
      <c r="D7253" s="10" t="s">
        <v>34517</v>
      </c>
      <c r="E7253" s="10" t="s">
        <v>34517</v>
      </c>
      <c r="F7253" s="10" t="s">
        <v>1420</v>
      </c>
      <c r="G7253" s="10" t="s">
        <v>6317</v>
      </c>
      <c r="H7253" s="11">
        <v>37104</v>
      </c>
      <c r="I7253" s="10">
        <v>2001</v>
      </c>
      <c r="J7253" s="10" t="s">
        <v>34517</v>
      </c>
      <c r="K7253" s="10">
        <v>202</v>
      </c>
      <c r="L7253" s="10" t="s">
        <v>34523</v>
      </c>
      <c r="M7253" s="10"/>
      <c r="N7253" s="10"/>
      <c r="O7253" s="10"/>
      <c r="P7253" s="10" t="s">
        <v>34524</v>
      </c>
      <c r="Q7253" s="10">
        <v>372.11020000000002</v>
      </c>
      <c r="R7253" s="10" t="s">
        <v>34525</v>
      </c>
      <c r="S7253" s="10" t="s">
        <v>53</v>
      </c>
      <c r="T7253" s="10" t="s">
        <v>54</v>
      </c>
    </row>
    <row r="7254" spans="1:20" ht="14.5" x14ac:dyDescent="0.35">
      <c r="A7254" s="10" t="s">
        <v>34526</v>
      </c>
      <c r="B7254" s="10" t="str">
        <f>"9780807031445"</f>
        <v>9780807031445</v>
      </c>
      <c r="C7254" s="10" t="str">
        <f>""</f>
        <v/>
      </c>
      <c r="D7254" s="10" t="s">
        <v>34517</v>
      </c>
      <c r="E7254" s="10" t="s">
        <v>34517</v>
      </c>
      <c r="F7254" s="10" t="s">
        <v>1420</v>
      </c>
      <c r="G7254" s="10" t="s">
        <v>6317</v>
      </c>
      <c r="H7254" s="11">
        <v>37165</v>
      </c>
      <c r="I7254" s="10">
        <v>2001</v>
      </c>
      <c r="J7254" s="10" t="s">
        <v>34517</v>
      </c>
      <c r="K7254" s="10">
        <v>312</v>
      </c>
      <c r="L7254" s="10" t="s">
        <v>34527</v>
      </c>
      <c r="M7254" s="10"/>
      <c r="N7254" s="10"/>
      <c r="O7254" s="10"/>
      <c r="P7254" s="10" t="s">
        <v>34528</v>
      </c>
      <c r="Q7254" s="10" t="s">
        <v>10213</v>
      </c>
      <c r="R7254" s="10" t="s">
        <v>34529</v>
      </c>
      <c r="S7254" s="10" t="s">
        <v>53</v>
      </c>
      <c r="T7254" s="10" t="s">
        <v>54</v>
      </c>
    </row>
    <row r="7255" spans="1:20" ht="14.5" x14ac:dyDescent="0.35">
      <c r="A7255" s="10" t="s">
        <v>34530</v>
      </c>
      <c r="B7255" s="10" t="str">
        <f>"9780807031308"</f>
        <v>9780807031308</v>
      </c>
      <c r="C7255" s="10" t="str">
        <f>"9780807031254"</f>
        <v>9780807031254</v>
      </c>
      <c r="D7255" s="10" t="s">
        <v>34517</v>
      </c>
      <c r="E7255" s="10" t="s">
        <v>34517</v>
      </c>
      <c r="F7255" s="10" t="s">
        <v>1420</v>
      </c>
      <c r="G7255" s="10" t="s">
        <v>6317</v>
      </c>
      <c r="H7255" s="11">
        <v>37064</v>
      </c>
      <c r="I7255" s="10">
        <v>2001</v>
      </c>
      <c r="J7255" s="10" t="s">
        <v>34517</v>
      </c>
      <c r="K7255" s="10">
        <v>236</v>
      </c>
      <c r="L7255" s="10" t="s">
        <v>34531</v>
      </c>
      <c r="M7255" s="10"/>
      <c r="N7255" s="10"/>
      <c r="O7255" s="10"/>
      <c r="P7255" s="10" t="s">
        <v>34532</v>
      </c>
      <c r="Q7255" s="10" t="s">
        <v>23287</v>
      </c>
      <c r="R7255" s="10" t="s">
        <v>34533</v>
      </c>
      <c r="S7255" s="10" t="s">
        <v>53</v>
      </c>
      <c r="T7255" s="10" t="s">
        <v>54</v>
      </c>
    </row>
    <row r="7256" spans="1:20" ht="14.5" x14ac:dyDescent="0.35">
      <c r="A7256" s="10" t="s">
        <v>34534</v>
      </c>
      <c r="B7256" s="10" t="str">
        <f>"9780807031261"</f>
        <v>9780807031261</v>
      </c>
      <c r="C7256" s="10" t="str">
        <f>"9780807031698"</f>
        <v>9780807031698</v>
      </c>
      <c r="D7256" s="10" t="s">
        <v>34517</v>
      </c>
      <c r="E7256" s="10" t="s">
        <v>34517</v>
      </c>
      <c r="F7256" s="10" t="s">
        <v>1420</v>
      </c>
      <c r="G7256" s="10" t="s">
        <v>6317</v>
      </c>
      <c r="H7256" s="11">
        <v>36909</v>
      </c>
      <c r="I7256" s="10">
        <v>2001</v>
      </c>
      <c r="J7256" s="10" t="s">
        <v>34517</v>
      </c>
      <c r="K7256" s="10">
        <v>249</v>
      </c>
      <c r="L7256" s="10" t="s">
        <v>34535</v>
      </c>
      <c r="M7256" s="10"/>
      <c r="N7256" s="10"/>
      <c r="O7256" s="10"/>
      <c r="P7256" s="10" t="s">
        <v>34536</v>
      </c>
      <c r="Q7256" s="10" t="s">
        <v>34537</v>
      </c>
      <c r="R7256" s="10" t="s">
        <v>34538</v>
      </c>
      <c r="S7256" s="10" t="s">
        <v>53</v>
      </c>
      <c r="T7256" s="10" t="s">
        <v>34539</v>
      </c>
    </row>
    <row r="7257" spans="1:20" ht="14.5" x14ac:dyDescent="0.35">
      <c r="A7257" s="10" t="s">
        <v>34540</v>
      </c>
      <c r="B7257" s="10" t="str">
        <f>"9780807071458"</f>
        <v>9780807071458</v>
      </c>
      <c r="C7257" s="10" t="str">
        <f>"9780807071533"</f>
        <v>9780807071533</v>
      </c>
      <c r="D7257" s="10" t="s">
        <v>34517</v>
      </c>
      <c r="E7257" s="10" t="s">
        <v>34517</v>
      </c>
      <c r="F7257" s="10" t="s">
        <v>1420</v>
      </c>
      <c r="G7257" s="10" t="s">
        <v>6317</v>
      </c>
      <c r="H7257" s="11">
        <v>38602</v>
      </c>
      <c r="I7257" s="10">
        <v>2004</v>
      </c>
      <c r="J7257" s="10" t="s">
        <v>34517</v>
      </c>
      <c r="K7257" s="10">
        <v>215</v>
      </c>
      <c r="L7257" s="10" t="s">
        <v>34541</v>
      </c>
      <c r="M7257" s="10"/>
      <c r="N7257" s="10"/>
      <c r="O7257" s="10"/>
      <c r="P7257" s="10" t="s">
        <v>34542</v>
      </c>
      <c r="Q7257" s="10" t="s">
        <v>14129</v>
      </c>
      <c r="R7257" s="10" t="s">
        <v>34543</v>
      </c>
      <c r="S7257" s="10" t="s">
        <v>53</v>
      </c>
      <c r="T7257" s="10" t="s">
        <v>6601</v>
      </c>
    </row>
    <row r="7258" spans="1:20" ht="14.5" x14ac:dyDescent="0.35">
      <c r="A7258" s="10" t="s">
        <v>34544</v>
      </c>
      <c r="B7258" s="10" t="str">
        <f>"9780807032701"</f>
        <v>9780807032701</v>
      </c>
      <c r="C7258" s="10" t="str">
        <f>""</f>
        <v/>
      </c>
      <c r="D7258" s="10" t="s">
        <v>34517</v>
      </c>
      <c r="E7258" s="10" t="s">
        <v>34517</v>
      </c>
      <c r="F7258" s="10" t="s">
        <v>1420</v>
      </c>
      <c r="G7258" s="10" t="s">
        <v>6317</v>
      </c>
      <c r="H7258" s="11">
        <v>38749</v>
      </c>
      <c r="I7258" s="10">
        <v>2006</v>
      </c>
      <c r="J7258" s="10" t="s">
        <v>34517</v>
      </c>
      <c r="K7258" s="10">
        <v>223</v>
      </c>
      <c r="L7258" s="10" t="s">
        <v>34545</v>
      </c>
      <c r="M7258" s="10"/>
      <c r="N7258" s="10"/>
      <c r="O7258" s="10"/>
      <c r="P7258" s="10" t="s">
        <v>34546</v>
      </c>
      <c r="Q7258" s="10" t="s">
        <v>34547</v>
      </c>
      <c r="R7258" s="10" t="s">
        <v>34548</v>
      </c>
      <c r="S7258" s="10" t="s">
        <v>53</v>
      </c>
      <c r="T7258" s="10" t="s">
        <v>4490</v>
      </c>
    </row>
    <row r="7259" spans="1:20" ht="14.5" x14ac:dyDescent="0.35">
      <c r="A7259" s="10" t="s">
        <v>34549</v>
      </c>
      <c r="B7259" s="10" t="str">
        <f>"9780807032695"</f>
        <v>9780807032695</v>
      </c>
      <c r="C7259" s="10" t="str">
        <f>"9780807032664"</f>
        <v>9780807032664</v>
      </c>
      <c r="D7259" s="10" t="s">
        <v>34517</v>
      </c>
      <c r="E7259" s="10" t="s">
        <v>34517</v>
      </c>
      <c r="F7259" s="10" t="s">
        <v>1420</v>
      </c>
      <c r="G7259" s="10" t="s">
        <v>6317</v>
      </c>
      <c r="H7259" s="11">
        <v>38596</v>
      </c>
      <c r="I7259" s="10">
        <v>2004</v>
      </c>
      <c r="J7259" s="10" t="s">
        <v>34517</v>
      </c>
      <c r="K7259" s="10">
        <v>184</v>
      </c>
      <c r="L7259" s="10" t="s">
        <v>34550</v>
      </c>
      <c r="M7259" s="10"/>
      <c r="N7259" s="10"/>
      <c r="O7259" s="10"/>
      <c r="P7259" s="10" t="s">
        <v>34551</v>
      </c>
      <c r="Q7259" s="10">
        <v>371.10199999999998</v>
      </c>
      <c r="R7259" s="10" t="s">
        <v>34552</v>
      </c>
      <c r="S7259" s="10" t="s">
        <v>53</v>
      </c>
      <c r="T7259" s="10" t="s">
        <v>54</v>
      </c>
    </row>
    <row r="7260" spans="1:20" ht="14.5" x14ac:dyDescent="0.35">
      <c r="A7260" s="10" t="s">
        <v>34553</v>
      </c>
      <c r="B7260" s="10" t="str">
        <f>"9780807032855"</f>
        <v>9780807032855</v>
      </c>
      <c r="C7260" s="10" t="str">
        <f>"9780807032831"</f>
        <v>9780807032831</v>
      </c>
      <c r="D7260" s="10" t="s">
        <v>34517</v>
      </c>
      <c r="E7260" s="10" t="s">
        <v>34517</v>
      </c>
      <c r="F7260" s="10" t="s">
        <v>1420</v>
      </c>
      <c r="G7260" s="10" t="s">
        <v>6317</v>
      </c>
      <c r="H7260" s="11">
        <v>39539</v>
      </c>
      <c r="I7260" s="10">
        <v>2007</v>
      </c>
      <c r="J7260" s="10" t="s">
        <v>34517</v>
      </c>
      <c r="K7260" s="10">
        <v>163</v>
      </c>
      <c r="L7260" s="10" t="s">
        <v>34554</v>
      </c>
      <c r="M7260" s="10"/>
      <c r="N7260" s="10"/>
      <c r="O7260" s="10"/>
      <c r="P7260" s="10" t="s">
        <v>34555</v>
      </c>
      <c r="Q7260" s="10" t="s">
        <v>34556</v>
      </c>
      <c r="R7260" s="10" t="s">
        <v>34557</v>
      </c>
      <c r="S7260" s="10" t="s">
        <v>53</v>
      </c>
      <c r="T7260" s="10" t="s">
        <v>54</v>
      </c>
    </row>
    <row r="7261" spans="1:20" ht="14.5" x14ac:dyDescent="0.35">
      <c r="A7261" s="10" t="s">
        <v>34558</v>
      </c>
      <c r="B7261" s="10" t="str">
        <f>"9780807032879"</f>
        <v>9780807032879</v>
      </c>
      <c r="C7261" s="10" t="str">
        <f>"9780807032947"</f>
        <v>9780807032947</v>
      </c>
      <c r="D7261" s="10" t="s">
        <v>34517</v>
      </c>
      <c r="E7261" s="10" t="s">
        <v>34517</v>
      </c>
      <c r="F7261" s="10" t="s">
        <v>1420</v>
      </c>
      <c r="G7261" s="10" t="s">
        <v>6317</v>
      </c>
      <c r="H7261" s="11">
        <v>39661</v>
      </c>
      <c r="I7261" s="10">
        <v>2007</v>
      </c>
      <c r="J7261" s="10" t="s">
        <v>34517</v>
      </c>
      <c r="K7261" s="10">
        <v>223</v>
      </c>
      <c r="L7261" s="10" t="s">
        <v>34559</v>
      </c>
      <c r="M7261" s="10"/>
      <c r="N7261" s="10"/>
      <c r="O7261" s="10"/>
      <c r="P7261" s="10" t="s">
        <v>34560</v>
      </c>
      <c r="Q7261" s="10">
        <v>649.1</v>
      </c>
      <c r="R7261" s="10" t="s">
        <v>34561</v>
      </c>
      <c r="S7261" s="10" t="s">
        <v>53</v>
      </c>
      <c r="T7261" s="10" t="s">
        <v>11762</v>
      </c>
    </row>
    <row r="7262" spans="1:20" ht="14.5" x14ac:dyDescent="0.35">
      <c r="A7262" s="10" t="s">
        <v>34562</v>
      </c>
      <c r="B7262" s="10" t="str">
        <f>"9780807011386"</f>
        <v>9780807011386</v>
      </c>
      <c r="C7262" s="10" t="str">
        <f>"9780807097496"</f>
        <v>9780807097496</v>
      </c>
      <c r="D7262" s="10" t="s">
        <v>34517</v>
      </c>
      <c r="E7262" s="10" t="s">
        <v>34517</v>
      </c>
      <c r="F7262" s="10" t="s">
        <v>1420</v>
      </c>
      <c r="G7262" s="10" t="s">
        <v>6317</v>
      </c>
      <c r="H7262" s="11">
        <v>39783</v>
      </c>
      <c r="I7262" s="10">
        <v>2008</v>
      </c>
      <c r="J7262" s="10" t="s">
        <v>34517</v>
      </c>
      <c r="K7262" s="10">
        <v>264</v>
      </c>
      <c r="L7262" s="10" t="s">
        <v>34563</v>
      </c>
      <c r="M7262" s="10"/>
      <c r="N7262" s="10"/>
      <c r="O7262" s="10"/>
      <c r="P7262" s="10" t="s">
        <v>34564</v>
      </c>
      <c r="Q7262" s="10" t="s">
        <v>34565</v>
      </c>
      <c r="R7262" s="10" t="s">
        <v>34566</v>
      </c>
      <c r="S7262" s="10" t="s">
        <v>53</v>
      </c>
      <c r="T7262" s="10" t="s">
        <v>10311</v>
      </c>
    </row>
    <row r="7263" spans="1:20" ht="14.5" x14ac:dyDescent="0.35">
      <c r="A7263" s="10" t="s">
        <v>34567</v>
      </c>
      <c r="B7263" s="10" t="str">
        <f>"9780807042298"</f>
        <v>9780807042298</v>
      </c>
      <c r="C7263" s="10" t="str">
        <f>"9780807096727"</f>
        <v>9780807096727</v>
      </c>
      <c r="D7263" s="10" t="s">
        <v>34517</v>
      </c>
      <c r="E7263" s="10" t="s">
        <v>34517</v>
      </c>
      <c r="F7263" s="10" t="s">
        <v>1420</v>
      </c>
      <c r="G7263" s="10" t="s">
        <v>6317</v>
      </c>
      <c r="H7263" s="11">
        <v>40148</v>
      </c>
      <c r="I7263" s="10">
        <v>2009</v>
      </c>
      <c r="J7263" s="10" t="s">
        <v>34517</v>
      </c>
      <c r="K7263" s="10">
        <v>183</v>
      </c>
      <c r="L7263" s="10" t="s">
        <v>34568</v>
      </c>
      <c r="M7263" s="10"/>
      <c r="N7263" s="10"/>
      <c r="O7263" s="10"/>
      <c r="P7263" s="10" t="s">
        <v>34569</v>
      </c>
      <c r="Q7263" s="10">
        <v>378.3</v>
      </c>
      <c r="R7263" s="10" t="s">
        <v>34570</v>
      </c>
      <c r="S7263" s="10" t="s">
        <v>53</v>
      </c>
      <c r="T7263" s="10" t="s">
        <v>54</v>
      </c>
    </row>
    <row r="7264" spans="1:20" ht="14.5" x14ac:dyDescent="0.35">
      <c r="A7264" s="10" t="s">
        <v>34571</v>
      </c>
      <c r="B7264" s="10" t="str">
        <f>"9780807000182"</f>
        <v>9780807000182</v>
      </c>
      <c r="C7264" s="10" t="str">
        <f>"9780807095768"</f>
        <v>9780807095768</v>
      </c>
      <c r="D7264" s="10" t="s">
        <v>34517</v>
      </c>
      <c r="E7264" s="10" t="s">
        <v>34517</v>
      </c>
      <c r="F7264" s="10" t="s">
        <v>1420</v>
      </c>
      <c r="G7264" s="10" t="s">
        <v>6317</v>
      </c>
      <c r="H7264" s="11">
        <v>39934</v>
      </c>
      <c r="I7264" s="10">
        <v>2009</v>
      </c>
      <c r="J7264" s="10" t="s">
        <v>34517</v>
      </c>
      <c r="K7264" s="10">
        <v>252</v>
      </c>
      <c r="L7264" s="10" t="s">
        <v>34572</v>
      </c>
      <c r="M7264" s="10"/>
      <c r="N7264" s="10"/>
      <c r="O7264" s="10"/>
      <c r="P7264" s="10" t="s">
        <v>34573</v>
      </c>
      <c r="Q7264" s="10">
        <v>371.82900973</v>
      </c>
      <c r="R7264" s="10" t="s">
        <v>34574</v>
      </c>
      <c r="S7264" s="10" t="s">
        <v>53</v>
      </c>
      <c r="T7264" s="10" t="s">
        <v>54</v>
      </c>
    </row>
    <row r="7265" spans="1:20" ht="14.5" x14ac:dyDescent="0.35">
      <c r="A7265" s="10" t="s">
        <v>34575</v>
      </c>
      <c r="B7265" s="10" t="str">
        <f>"9780807032916"</f>
        <v>9780807032916</v>
      </c>
      <c r="C7265" s="10" t="str">
        <f>"9780807097540"</f>
        <v>9780807097540</v>
      </c>
      <c r="D7265" s="10" t="s">
        <v>34517</v>
      </c>
      <c r="E7265" s="10" t="s">
        <v>34517</v>
      </c>
      <c r="F7265" s="10" t="s">
        <v>1420</v>
      </c>
      <c r="G7265" s="10" t="s">
        <v>6317</v>
      </c>
      <c r="H7265" s="11">
        <v>40148</v>
      </c>
      <c r="I7265" s="10">
        <v>2009</v>
      </c>
      <c r="J7265" s="10" t="s">
        <v>34517</v>
      </c>
      <c r="K7265" s="10">
        <v>239</v>
      </c>
      <c r="L7265" s="10" t="s">
        <v>34576</v>
      </c>
      <c r="M7265" s="10"/>
      <c r="N7265" s="10"/>
      <c r="O7265" s="10"/>
      <c r="P7265" s="10" t="s">
        <v>34577</v>
      </c>
      <c r="Q7265" s="10" t="s">
        <v>34578</v>
      </c>
      <c r="R7265" s="10" t="s">
        <v>34579</v>
      </c>
      <c r="S7265" s="10" t="s">
        <v>53</v>
      </c>
      <c r="T7265" s="10" t="s">
        <v>54</v>
      </c>
    </row>
    <row r="7266" spans="1:20" ht="14.5" x14ac:dyDescent="0.35">
      <c r="A7266" s="10" t="s">
        <v>34580</v>
      </c>
      <c r="B7266" s="10" t="str">
        <f>"9780807032749"</f>
        <v>9780807032749</v>
      </c>
      <c r="C7266" s="10" t="str">
        <f>"9780807032893"</f>
        <v>9780807032893</v>
      </c>
      <c r="D7266" s="10" t="s">
        <v>34517</v>
      </c>
      <c r="E7266" s="10" t="s">
        <v>34517</v>
      </c>
      <c r="F7266" s="10" t="s">
        <v>1420</v>
      </c>
      <c r="G7266" s="10" t="s">
        <v>6317</v>
      </c>
      <c r="H7266" s="11">
        <v>40148</v>
      </c>
      <c r="I7266" s="10">
        <v>2009</v>
      </c>
      <c r="J7266" s="10" t="s">
        <v>34517</v>
      </c>
      <c r="K7266" s="10">
        <v>219</v>
      </c>
      <c r="L7266" s="10" t="s">
        <v>34581</v>
      </c>
      <c r="M7266" s="10"/>
      <c r="N7266" s="10"/>
      <c r="O7266" s="10"/>
      <c r="P7266" s="10" t="s">
        <v>34582</v>
      </c>
      <c r="Q7266" s="10" t="s">
        <v>34583</v>
      </c>
      <c r="R7266" s="10" t="s">
        <v>34584</v>
      </c>
      <c r="S7266" s="10" t="s">
        <v>53</v>
      </c>
      <c r="T7266" s="10" t="s">
        <v>54</v>
      </c>
    </row>
    <row r="7267" spans="1:20" ht="14.5" x14ac:dyDescent="0.35">
      <c r="A7267" s="10" t="s">
        <v>34585</v>
      </c>
      <c r="B7267" s="10" t="str">
        <f>"9780807021675"</f>
        <v>9780807021675</v>
      </c>
      <c r="C7267" s="10" t="str">
        <f>"9780807021682"</f>
        <v>9780807021682</v>
      </c>
      <c r="D7267" s="10" t="s">
        <v>34517</v>
      </c>
      <c r="E7267" s="10" t="s">
        <v>34517</v>
      </c>
      <c r="F7267" s="10" t="s">
        <v>1420</v>
      </c>
      <c r="G7267" s="10" t="s">
        <v>6317</v>
      </c>
      <c r="H7267" s="11">
        <v>40330</v>
      </c>
      <c r="I7267" s="10">
        <v>2010</v>
      </c>
      <c r="J7267" s="10" t="s">
        <v>34517</v>
      </c>
      <c r="K7267" s="10">
        <v>239</v>
      </c>
      <c r="L7267" s="10" t="s">
        <v>34586</v>
      </c>
      <c r="M7267" s="10"/>
      <c r="N7267" s="10"/>
      <c r="O7267" s="10"/>
      <c r="P7267" s="10" t="s">
        <v>34587</v>
      </c>
      <c r="Q7267" s="10" t="s">
        <v>34588</v>
      </c>
      <c r="R7267" s="10" t="s">
        <v>34589</v>
      </c>
      <c r="S7267" s="10" t="s">
        <v>53</v>
      </c>
      <c r="T7267" s="10" t="s">
        <v>7340</v>
      </c>
    </row>
    <row r="7268" spans="1:20" ht="14.5" x14ac:dyDescent="0.35">
      <c r="A7268" s="10" t="s">
        <v>34590</v>
      </c>
      <c r="B7268" s="10" t="str">
        <f>"9780873387637"</f>
        <v>9780873387637</v>
      </c>
      <c r="C7268" s="10" t="str">
        <f>"9781612774978"</f>
        <v>9781612774978</v>
      </c>
      <c r="D7268" s="10" t="s">
        <v>27268</v>
      </c>
      <c r="E7268" s="10" t="s">
        <v>29932</v>
      </c>
      <c r="F7268" s="10" t="s">
        <v>29933</v>
      </c>
      <c r="G7268" s="10" t="s">
        <v>6317</v>
      </c>
      <c r="H7268" s="11">
        <v>41773</v>
      </c>
      <c r="I7268" s="10">
        <v>2003</v>
      </c>
      <c r="J7268" s="10" t="s">
        <v>29932</v>
      </c>
      <c r="K7268" s="10">
        <v>599</v>
      </c>
      <c r="L7268" s="10" t="s">
        <v>34591</v>
      </c>
      <c r="M7268" s="10">
        <v>1</v>
      </c>
      <c r="N7268" s="10"/>
      <c r="O7268" s="10"/>
      <c r="P7268" s="10" t="s">
        <v>34592</v>
      </c>
      <c r="Q7268" s="10" t="s">
        <v>34593</v>
      </c>
      <c r="R7268" s="10" t="s">
        <v>34594</v>
      </c>
      <c r="S7268" s="10" t="s">
        <v>53</v>
      </c>
      <c r="T7268" s="10" t="s">
        <v>54</v>
      </c>
    </row>
    <row r="7269" spans="1:20" ht="14.5" x14ac:dyDescent="0.35">
      <c r="A7269" s="10" t="s">
        <v>34595</v>
      </c>
      <c r="B7269" s="10" t="str">
        <f>"9780873388672"</f>
        <v>9780873388672</v>
      </c>
      <c r="C7269" s="10" t="str">
        <f>"9781631010675"</f>
        <v>9781631010675</v>
      </c>
      <c r="D7269" s="10" t="s">
        <v>27268</v>
      </c>
      <c r="E7269" s="10" t="s">
        <v>29932</v>
      </c>
      <c r="F7269" s="10" t="s">
        <v>34596</v>
      </c>
      <c r="G7269" s="10" t="s">
        <v>6317</v>
      </c>
      <c r="H7269" s="11">
        <v>39217</v>
      </c>
      <c r="I7269" s="10">
        <v>2014</v>
      </c>
      <c r="J7269" s="10" t="s">
        <v>29932</v>
      </c>
      <c r="K7269" s="10">
        <v>359</v>
      </c>
      <c r="L7269" s="10" t="s">
        <v>34597</v>
      </c>
      <c r="M7269" s="10">
        <v>1</v>
      </c>
      <c r="N7269" s="10" t="s">
        <v>34598</v>
      </c>
      <c r="O7269" s="10"/>
      <c r="P7269" s="10" t="s">
        <v>34599</v>
      </c>
      <c r="Q7269" s="10">
        <v>813.52</v>
      </c>
      <c r="R7269" s="10" t="s">
        <v>34600</v>
      </c>
      <c r="S7269" s="10" t="s">
        <v>53</v>
      </c>
      <c r="T7269" s="10" t="s">
        <v>1166</v>
      </c>
    </row>
    <row r="7270" spans="1:20" ht="14.5" x14ac:dyDescent="0.35">
      <c r="A7270" s="10" t="s">
        <v>34601</v>
      </c>
      <c r="B7270" s="10" t="str">
        <f>"9781557536761"</f>
        <v>9781557536761</v>
      </c>
      <c r="C7270" s="10" t="str">
        <f>"9781612493251"</f>
        <v>9781612493251</v>
      </c>
      <c r="D7270" s="10" t="s">
        <v>9533</v>
      </c>
      <c r="E7270" s="10" t="s">
        <v>4024</v>
      </c>
      <c r="F7270" s="10" t="s">
        <v>31319</v>
      </c>
      <c r="G7270" s="10" t="s">
        <v>6317</v>
      </c>
      <c r="H7270" s="11">
        <v>41728</v>
      </c>
      <c r="I7270" s="10">
        <v>2014</v>
      </c>
      <c r="J7270" s="10" t="s">
        <v>4024</v>
      </c>
      <c r="K7270" s="10">
        <v>505</v>
      </c>
      <c r="L7270" s="10" t="s">
        <v>34602</v>
      </c>
      <c r="M7270" s="10">
        <v>1</v>
      </c>
      <c r="N7270" s="10" t="s">
        <v>34603</v>
      </c>
      <c r="O7270" s="10"/>
      <c r="P7270" s="10" t="s">
        <v>34604</v>
      </c>
      <c r="Q7270" s="10">
        <v>378.77295092200001</v>
      </c>
      <c r="R7270" s="10" t="s">
        <v>34605</v>
      </c>
      <c r="S7270" s="10" t="s">
        <v>53</v>
      </c>
      <c r="T7270" s="10" t="s">
        <v>54</v>
      </c>
    </row>
    <row r="7271" spans="1:20" ht="14.5" x14ac:dyDescent="0.35">
      <c r="A7271" s="10" t="s">
        <v>34606</v>
      </c>
      <c r="B7271" s="10" t="str">
        <f>"9781557536778"</f>
        <v>9781557536778</v>
      </c>
      <c r="C7271" s="10" t="str">
        <f>"9781612493350"</f>
        <v>9781612493350</v>
      </c>
      <c r="D7271" s="10" t="s">
        <v>9533</v>
      </c>
      <c r="E7271" s="10" t="s">
        <v>4024</v>
      </c>
      <c r="F7271" s="10" t="s">
        <v>31319</v>
      </c>
      <c r="G7271" s="10" t="s">
        <v>6317</v>
      </c>
      <c r="H7271" s="11">
        <v>41958</v>
      </c>
      <c r="I7271" s="10">
        <v>2014</v>
      </c>
      <c r="J7271" s="10" t="s">
        <v>4024</v>
      </c>
      <c r="K7271" s="10">
        <v>444</v>
      </c>
      <c r="L7271" s="10" t="s">
        <v>34607</v>
      </c>
      <c r="M7271" s="10">
        <v>1</v>
      </c>
      <c r="N7271" s="10"/>
      <c r="O7271" s="10"/>
      <c r="P7271" s="10" t="s">
        <v>34608</v>
      </c>
      <c r="Q7271" s="10">
        <v>378.73</v>
      </c>
      <c r="R7271" s="10" t="s">
        <v>34609</v>
      </c>
      <c r="S7271" s="10" t="s">
        <v>53</v>
      </c>
      <c r="T7271" s="10" t="s">
        <v>54</v>
      </c>
    </row>
    <row r="7272" spans="1:20" ht="14.5" x14ac:dyDescent="0.35">
      <c r="A7272" s="10" t="s">
        <v>34610</v>
      </c>
      <c r="B7272" s="10" t="str">
        <f>"9781557536914"</f>
        <v>9781557536914</v>
      </c>
      <c r="C7272" s="10" t="str">
        <f>"9781612493572"</f>
        <v>9781612493572</v>
      </c>
      <c r="D7272" s="10" t="s">
        <v>9533</v>
      </c>
      <c r="E7272" s="10" t="s">
        <v>4024</v>
      </c>
      <c r="F7272" s="10" t="s">
        <v>31319</v>
      </c>
      <c r="G7272" s="10" t="s">
        <v>6317</v>
      </c>
      <c r="H7272" s="11">
        <v>41866</v>
      </c>
      <c r="I7272" s="10">
        <v>2014</v>
      </c>
      <c r="J7272" s="10" t="s">
        <v>4024</v>
      </c>
      <c r="K7272" s="10">
        <v>470</v>
      </c>
      <c r="L7272" s="10" t="s">
        <v>34611</v>
      </c>
      <c r="M7272" s="10">
        <v>1</v>
      </c>
      <c r="N7272" s="10"/>
      <c r="O7272" s="10"/>
      <c r="P7272" s="10" t="s">
        <v>34612</v>
      </c>
      <c r="Q7272" s="10" t="s">
        <v>34613</v>
      </c>
      <c r="R7272" s="10" t="s">
        <v>34614</v>
      </c>
      <c r="S7272" s="10" t="s">
        <v>53</v>
      </c>
      <c r="T7272" s="10" t="s">
        <v>34615</v>
      </c>
    </row>
    <row r="7273" spans="1:20" ht="14.5" x14ac:dyDescent="0.35">
      <c r="A7273" s="10" t="s">
        <v>34616</v>
      </c>
      <c r="B7273" s="10" t="str">
        <f>"9780813219738"</f>
        <v>9780813219738</v>
      </c>
      <c r="C7273" s="10" t="str">
        <f>"9780813219745"</f>
        <v>9780813219745</v>
      </c>
      <c r="D7273" s="10" t="s">
        <v>34617</v>
      </c>
      <c r="E7273" s="10" t="s">
        <v>34617</v>
      </c>
      <c r="F7273" s="10" t="s">
        <v>11765</v>
      </c>
      <c r="G7273" s="10" t="s">
        <v>6317</v>
      </c>
      <c r="H7273" s="11">
        <v>41120</v>
      </c>
      <c r="I7273" s="10">
        <v>2012</v>
      </c>
      <c r="J7273" s="10" t="s">
        <v>34617</v>
      </c>
      <c r="K7273" s="10">
        <v>265</v>
      </c>
      <c r="L7273" s="10" t="s">
        <v>34618</v>
      </c>
      <c r="M7273" s="10">
        <v>1</v>
      </c>
      <c r="N7273" s="10"/>
      <c r="O7273" s="10"/>
      <c r="P7273" s="10" t="s">
        <v>34619</v>
      </c>
      <c r="Q7273" s="10">
        <v>370.1</v>
      </c>
      <c r="R7273" s="10"/>
      <c r="S7273" s="10" t="s">
        <v>53</v>
      </c>
      <c r="T7273" s="10" t="s">
        <v>54</v>
      </c>
    </row>
    <row r="7274" spans="1:20" ht="14.5" x14ac:dyDescent="0.35">
      <c r="A7274" s="10" t="s">
        <v>34620</v>
      </c>
      <c r="B7274" s="10" t="str">
        <f>"9780813216836"</f>
        <v>9780813216836</v>
      </c>
      <c r="C7274" s="10" t="str">
        <f>"9780813217581"</f>
        <v>9780813217581</v>
      </c>
      <c r="D7274" s="10" t="s">
        <v>34617</v>
      </c>
      <c r="E7274" s="10" t="s">
        <v>34617</v>
      </c>
      <c r="F7274" s="10" t="s">
        <v>11765</v>
      </c>
      <c r="G7274" s="10" t="s">
        <v>6317</v>
      </c>
      <c r="H7274" s="11">
        <v>40237</v>
      </c>
      <c r="I7274" s="10">
        <v>2010</v>
      </c>
      <c r="J7274" s="10" t="s">
        <v>34617</v>
      </c>
      <c r="K7274" s="10">
        <v>192</v>
      </c>
      <c r="L7274" s="10" t="s">
        <v>34621</v>
      </c>
      <c r="M7274" s="10">
        <v>1</v>
      </c>
      <c r="N7274" s="10" t="s">
        <v>34622</v>
      </c>
      <c r="O7274" s="10"/>
      <c r="P7274" s="10" t="s">
        <v>20159</v>
      </c>
      <c r="Q7274" s="10">
        <v>370.11200000000002</v>
      </c>
      <c r="R7274" s="10" t="s">
        <v>34623</v>
      </c>
      <c r="S7274" s="10" t="s">
        <v>53</v>
      </c>
      <c r="T7274" s="10" t="s">
        <v>54</v>
      </c>
    </row>
    <row r="7275" spans="1:20" ht="14.5" x14ac:dyDescent="0.35">
      <c r="A7275" s="10" t="s">
        <v>34624</v>
      </c>
      <c r="B7275" s="10" t="str">
        <f>"9786155225727"</f>
        <v>9786155225727</v>
      </c>
      <c r="C7275" s="10" t="str">
        <f>"9786155225734"</f>
        <v>9786155225734</v>
      </c>
      <c r="D7275" s="10" t="s">
        <v>34625</v>
      </c>
      <c r="E7275" s="10" t="s">
        <v>34626</v>
      </c>
      <c r="F7275" s="10" t="s">
        <v>3239</v>
      </c>
      <c r="G7275" s="10" t="s">
        <v>34627</v>
      </c>
      <c r="H7275" s="11">
        <v>41649</v>
      </c>
      <c r="I7275" s="10">
        <v>2014</v>
      </c>
      <c r="J7275" s="10" t="s">
        <v>34626</v>
      </c>
      <c r="K7275" s="10">
        <v>252</v>
      </c>
      <c r="L7275" s="10" t="s">
        <v>34628</v>
      </c>
      <c r="M7275" s="10">
        <v>1</v>
      </c>
      <c r="N7275" s="10"/>
      <c r="O7275" s="10"/>
      <c r="P7275" s="10"/>
      <c r="Q7275" s="10"/>
      <c r="R7275" s="10" t="s">
        <v>34629</v>
      </c>
      <c r="S7275" s="10" t="s">
        <v>53</v>
      </c>
      <c r="T7275" s="10" t="s">
        <v>54</v>
      </c>
    </row>
    <row r="7276" spans="1:20" ht="14.5" x14ac:dyDescent="0.35">
      <c r="A7276" s="10" t="s">
        <v>34630</v>
      </c>
      <c r="B7276" s="10" t="str">
        <f>"9780876095201"</f>
        <v>9780876095201</v>
      </c>
      <c r="C7276" s="10" t="str">
        <f>"9780876095218"</f>
        <v>9780876095218</v>
      </c>
      <c r="D7276" s="10" t="s">
        <v>34631</v>
      </c>
      <c r="E7276" s="10" t="s">
        <v>34631</v>
      </c>
      <c r="F7276" s="10" t="s">
        <v>70</v>
      </c>
      <c r="G7276" s="10" t="s">
        <v>6317</v>
      </c>
      <c r="H7276" s="11">
        <v>41029</v>
      </c>
      <c r="I7276" s="10">
        <v>2012</v>
      </c>
      <c r="J7276" s="10" t="s">
        <v>34632</v>
      </c>
      <c r="K7276" s="10">
        <v>119</v>
      </c>
      <c r="L7276" s="10" t="s">
        <v>34633</v>
      </c>
      <c r="M7276" s="10">
        <v>1</v>
      </c>
      <c r="N7276" s="10" t="s">
        <v>34634</v>
      </c>
      <c r="O7276" s="10">
        <v>68</v>
      </c>
      <c r="P7276" s="10" t="s">
        <v>34635</v>
      </c>
      <c r="Q7276" s="10">
        <v>371.20097299999998</v>
      </c>
      <c r="R7276" s="10" t="s">
        <v>34636</v>
      </c>
      <c r="S7276" s="10" t="s">
        <v>53</v>
      </c>
      <c r="T7276" s="10" t="s">
        <v>54</v>
      </c>
    </row>
    <row r="7277" spans="1:20" ht="14.5" x14ac:dyDescent="0.35">
      <c r="A7277" s="10" t="s">
        <v>34637</v>
      </c>
      <c r="B7277" s="10" t="str">
        <f>"9780801447280"</f>
        <v>9780801447280</v>
      </c>
      <c r="C7277" s="10" t="str">
        <f>"9780801459856"</f>
        <v>9780801459856</v>
      </c>
      <c r="D7277" s="10" t="s">
        <v>9533</v>
      </c>
      <c r="E7277" s="10" t="s">
        <v>5258</v>
      </c>
      <c r="F7277" s="10" t="s">
        <v>2536</v>
      </c>
      <c r="G7277" s="10" t="s">
        <v>6317</v>
      </c>
      <c r="H7277" s="11">
        <v>40057</v>
      </c>
      <c r="I7277" s="10">
        <v>2011</v>
      </c>
      <c r="J7277" s="10" t="s">
        <v>5258</v>
      </c>
      <c r="K7277" s="10">
        <v>254</v>
      </c>
      <c r="L7277" s="10" t="s">
        <v>34638</v>
      </c>
      <c r="M7277" s="10">
        <v>1</v>
      </c>
      <c r="N7277" s="10"/>
      <c r="O7277" s="10"/>
      <c r="P7277" s="10" t="s">
        <v>34639</v>
      </c>
      <c r="Q7277" s="10" t="s">
        <v>34640</v>
      </c>
      <c r="R7277" s="10" t="s">
        <v>34641</v>
      </c>
      <c r="S7277" s="10" t="s">
        <v>53</v>
      </c>
      <c r="T7277" s="10" t="s">
        <v>54</v>
      </c>
    </row>
    <row r="7278" spans="1:20" ht="14.5" x14ac:dyDescent="0.35">
      <c r="A7278" s="10" t="s">
        <v>34642</v>
      </c>
      <c r="B7278" s="10" t="str">
        <f>"9780801448089"</f>
        <v>9780801448089</v>
      </c>
      <c r="C7278" s="10" t="str">
        <f>"9780801458347"</f>
        <v>9780801458347</v>
      </c>
      <c r="D7278" s="10" t="s">
        <v>9533</v>
      </c>
      <c r="E7278" s="10" t="s">
        <v>5258</v>
      </c>
      <c r="F7278" s="10" t="s">
        <v>2536</v>
      </c>
      <c r="G7278" s="10" t="s">
        <v>6317</v>
      </c>
      <c r="H7278" s="11">
        <v>40313</v>
      </c>
      <c r="I7278" s="10">
        <v>2010</v>
      </c>
      <c r="J7278" s="10" t="s">
        <v>5258</v>
      </c>
      <c r="K7278" s="10">
        <v>295</v>
      </c>
      <c r="L7278" s="10" t="s">
        <v>34643</v>
      </c>
      <c r="M7278" s="10">
        <v>1</v>
      </c>
      <c r="N7278" s="10"/>
      <c r="O7278" s="10"/>
      <c r="P7278" s="10" t="s">
        <v>31101</v>
      </c>
      <c r="Q7278" s="10" t="s">
        <v>34644</v>
      </c>
      <c r="R7278" s="10" t="s">
        <v>34645</v>
      </c>
      <c r="S7278" s="10" t="s">
        <v>53</v>
      </c>
      <c r="T7278" s="10" t="s">
        <v>54</v>
      </c>
    </row>
    <row r="7279" spans="1:20" ht="14.5" x14ac:dyDescent="0.35">
      <c r="A7279" s="10" t="s">
        <v>34646</v>
      </c>
      <c r="B7279" s="10" t="str">
        <f>"9780801447259"</f>
        <v>9780801447259</v>
      </c>
      <c r="C7279" s="10" t="str">
        <f>"9780801459337"</f>
        <v>9780801459337</v>
      </c>
      <c r="D7279" s="10" t="s">
        <v>9533</v>
      </c>
      <c r="E7279" s="10" t="s">
        <v>5258</v>
      </c>
      <c r="F7279" s="10" t="s">
        <v>2536</v>
      </c>
      <c r="G7279" s="10" t="s">
        <v>6317</v>
      </c>
      <c r="H7279" s="11">
        <v>39953</v>
      </c>
      <c r="I7279" s="10">
        <v>2011</v>
      </c>
      <c r="J7279" s="10" t="s">
        <v>5258</v>
      </c>
      <c r="K7279" s="10">
        <v>258</v>
      </c>
      <c r="L7279" s="10" t="s">
        <v>34647</v>
      </c>
      <c r="M7279" s="10">
        <v>1</v>
      </c>
      <c r="N7279" s="10"/>
      <c r="O7279" s="10"/>
      <c r="P7279" s="10" t="s">
        <v>34648</v>
      </c>
      <c r="Q7279" s="10" t="s">
        <v>16489</v>
      </c>
      <c r="R7279" s="10" t="s">
        <v>34649</v>
      </c>
      <c r="S7279" s="10" t="s">
        <v>53</v>
      </c>
      <c r="T7279" s="10" t="s">
        <v>54</v>
      </c>
    </row>
    <row r="7280" spans="1:20" ht="14.5" x14ac:dyDescent="0.35">
      <c r="A7280" s="10" t="s">
        <v>34650</v>
      </c>
      <c r="B7280" s="10" t="str">
        <f>"9780801445439"</f>
        <v>9780801445439</v>
      </c>
      <c r="C7280" s="10" t="str">
        <f>"9780801461569"</f>
        <v>9780801461569</v>
      </c>
      <c r="D7280" s="10" t="s">
        <v>9533</v>
      </c>
      <c r="E7280" s="10" t="s">
        <v>5258</v>
      </c>
      <c r="F7280" s="10" t="s">
        <v>2536</v>
      </c>
      <c r="G7280" s="10" t="s">
        <v>6317</v>
      </c>
      <c r="H7280" s="11">
        <v>39828</v>
      </c>
      <c r="I7280" s="10">
        <v>2011</v>
      </c>
      <c r="J7280" s="10" t="s">
        <v>5258</v>
      </c>
      <c r="K7280" s="10">
        <v>320</v>
      </c>
      <c r="L7280" s="10" t="s">
        <v>34651</v>
      </c>
      <c r="M7280" s="10">
        <v>1</v>
      </c>
      <c r="N7280" s="10"/>
      <c r="O7280" s="10"/>
      <c r="P7280" s="10" t="s">
        <v>34652</v>
      </c>
      <c r="Q7280" s="10">
        <v>378.2</v>
      </c>
      <c r="R7280" s="10" t="s">
        <v>34653</v>
      </c>
      <c r="S7280" s="10" t="s">
        <v>53</v>
      </c>
      <c r="T7280" s="10" t="s">
        <v>54</v>
      </c>
    </row>
    <row r="7281" spans="1:20" ht="14.5" x14ac:dyDescent="0.35">
      <c r="A7281" s="10" t="s">
        <v>34654</v>
      </c>
      <c r="B7281" s="10" t="str">
        <f>"9780801445972"</f>
        <v>9780801445972</v>
      </c>
      <c r="C7281" s="10" t="str">
        <f>"9780801463808"</f>
        <v>9780801463808</v>
      </c>
      <c r="D7281" s="10" t="s">
        <v>9533</v>
      </c>
      <c r="E7281" s="10" t="s">
        <v>5258</v>
      </c>
      <c r="F7281" s="10" t="s">
        <v>2536</v>
      </c>
      <c r="G7281" s="10" t="s">
        <v>6317</v>
      </c>
      <c r="H7281" s="11">
        <v>39157</v>
      </c>
      <c r="I7281" s="10">
        <v>2012</v>
      </c>
      <c r="J7281" s="10" t="s">
        <v>5258</v>
      </c>
      <c r="K7281" s="10">
        <v>279</v>
      </c>
      <c r="L7281" s="10" t="s">
        <v>34655</v>
      </c>
      <c r="M7281" s="10">
        <v>1</v>
      </c>
      <c r="N7281" s="10"/>
      <c r="O7281" s="10"/>
      <c r="P7281" s="10" t="s">
        <v>34656</v>
      </c>
      <c r="Q7281" s="10" t="s">
        <v>34657</v>
      </c>
      <c r="R7281" s="10" t="s">
        <v>34658</v>
      </c>
      <c r="S7281" s="10" t="s">
        <v>53</v>
      </c>
      <c r="T7281" s="10" t="s">
        <v>54</v>
      </c>
    </row>
    <row r="7282" spans="1:20" ht="14.5" x14ac:dyDescent="0.35">
      <c r="A7282" s="10" t="s">
        <v>34659</v>
      </c>
      <c r="B7282" s="10" t="str">
        <f>"9780801449710"</f>
        <v>9780801449710</v>
      </c>
      <c r="C7282" s="10" t="str">
        <f>"9780801464195"</f>
        <v>9780801464195</v>
      </c>
      <c r="D7282" s="10" t="s">
        <v>9533</v>
      </c>
      <c r="E7282" s="10" t="s">
        <v>5258</v>
      </c>
      <c r="F7282" s="10" t="s">
        <v>2536</v>
      </c>
      <c r="G7282" s="10" t="s">
        <v>6317</v>
      </c>
      <c r="H7282" s="11">
        <v>41020</v>
      </c>
      <c r="I7282" s="10">
        <v>2014</v>
      </c>
      <c r="J7282" s="10" t="s">
        <v>5258</v>
      </c>
      <c r="K7282" s="10">
        <v>263</v>
      </c>
      <c r="L7282" s="10" t="s">
        <v>34660</v>
      </c>
      <c r="M7282" s="10">
        <v>1</v>
      </c>
      <c r="N7282" s="10" t="s">
        <v>34661</v>
      </c>
      <c r="O7282" s="10"/>
      <c r="P7282" s="10" t="s">
        <v>14619</v>
      </c>
      <c r="Q7282" s="10">
        <v>379.73</v>
      </c>
      <c r="R7282" s="10" t="s">
        <v>34662</v>
      </c>
      <c r="S7282" s="10" t="s">
        <v>53</v>
      </c>
      <c r="T7282" s="10" t="s">
        <v>54</v>
      </c>
    </row>
    <row r="7283" spans="1:20" ht="14.5" x14ac:dyDescent="0.35">
      <c r="A7283" s="10" t="s">
        <v>34663</v>
      </c>
      <c r="B7283" s="10" t="str">
        <f>"9780801450525"</f>
        <v>9780801450525</v>
      </c>
      <c r="C7283" s="10" t="str">
        <f>"9780801465888"</f>
        <v>9780801465888</v>
      </c>
      <c r="D7283" s="10" t="s">
        <v>9533</v>
      </c>
      <c r="E7283" s="10" t="s">
        <v>5258</v>
      </c>
      <c r="F7283" s="10" t="s">
        <v>2536</v>
      </c>
      <c r="G7283" s="10" t="s">
        <v>6317</v>
      </c>
      <c r="H7283" s="11">
        <v>41167</v>
      </c>
      <c r="I7283" s="10">
        <v>2012</v>
      </c>
      <c r="J7283" s="10" t="s">
        <v>5258</v>
      </c>
      <c r="K7283" s="10">
        <v>249</v>
      </c>
      <c r="L7283" s="10" t="s">
        <v>34664</v>
      </c>
      <c r="M7283" s="10">
        <v>1</v>
      </c>
      <c r="N7283" s="10"/>
      <c r="O7283" s="10"/>
      <c r="P7283" s="10" t="s">
        <v>34665</v>
      </c>
      <c r="Q7283" s="10">
        <v>371.822</v>
      </c>
      <c r="R7283" s="10" t="s">
        <v>34666</v>
      </c>
      <c r="S7283" s="10" t="s">
        <v>53</v>
      </c>
      <c r="T7283" s="10" t="s">
        <v>54</v>
      </c>
    </row>
    <row r="7284" spans="1:20" ht="14.5" x14ac:dyDescent="0.35">
      <c r="A7284" s="10" t="s">
        <v>34667</v>
      </c>
      <c r="B7284" s="10" t="str">
        <f>"9780801478383"</f>
        <v>9780801478383</v>
      </c>
      <c r="C7284" s="10" t="str">
        <f>"9780801466151"</f>
        <v>9780801466151</v>
      </c>
      <c r="D7284" s="10" t="s">
        <v>9533</v>
      </c>
      <c r="E7284" s="10" t="s">
        <v>5258</v>
      </c>
      <c r="F7284" s="10" t="s">
        <v>2536</v>
      </c>
      <c r="G7284" s="10" t="s">
        <v>6317</v>
      </c>
      <c r="H7284" s="11">
        <v>36182</v>
      </c>
      <c r="I7284" s="10">
        <v>2014</v>
      </c>
      <c r="J7284" s="10" t="s">
        <v>5258</v>
      </c>
      <c r="K7284" s="10">
        <v>392</v>
      </c>
      <c r="L7284" s="10" t="s">
        <v>34668</v>
      </c>
      <c r="M7284" s="10">
        <v>1</v>
      </c>
      <c r="N7284" s="10"/>
      <c r="O7284" s="10"/>
      <c r="P7284" s="10" t="s">
        <v>34669</v>
      </c>
      <c r="Q7284" s="10" t="s">
        <v>34670</v>
      </c>
      <c r="R7284" s="10" t="s">
        <v>34671</v>
      </c>
      <c r="S7284" s="10" t="s">
        <v>53</v>
      </c>
      <c r="T7284" s="10" t="s">
        <v>54</v>
      </c>
    </row>
    <row r="7285" spans="1:20" ht="14.5" x14ac:dyDescent="0.35">
      <c r="A7285" s="10" t="s">
        <v>34672</v>
      </c>
      <c r="B7285" s="10" t="str">
        <f>"9780801479182"</f>
        <v>9780801479182</v>
      </c>
      <c r="C7285" s="10" t="str">
        <f>"9780801469022"</f>
        <v>9780801469022</v>
      </c>
      <c r="D7285" s="10" t="s">
        <v>9533</v>
      </c>
      <c r="E7285" s="10" t="s">
        <v>5258</v>
      </c>
      <c r="F7285" s="10" t="s">
        <v>2536</v>
      </c>
      <c r="G7285" s="10" t="s">
        <v>6317</v>
      </c>
      <c r="H7285" s="11">
        <v>41593</v>
      </c>
      <c r="I7285" s="10">
        <v>2013</v>
      </c>
      <c r="J7285" s="10" t="s">
        <v>5258</v>
      </c>
      <c r="K7285" s="10">
        <v>273</v>
      </c>
      <c r="L7285" s="10" t="s">
        <v>34673</v>
      </c>
      <c r="M7285" s="10">
        <v>1</v>
      </c>
      <c r="N7285" s="10" t="s">
        <v>34674</v>
      </c>
      <c r="O7285" s="10"/>
      <c r="P7285" s="10" t="s">
        <v>34675</v>
      </c>
      <c r="Q7285" s="10" t="s">
        <v>34676</v>
      </c>
      <c r="R7285" s="10" t="s">
        <v>34677</v>
      </c>
      <c r="S7285" s="10" t="s">
        <v>53</v>
      </c>
      <c r="T7285" s="10" t="s">
        <v>54</v>
      </c>
    </row>
    <row r="7286" spans="1:20" ht="14.5" x14ac:dyDescent="0.35">
      <c r="A7286" s="10" t="s">
        <v>34678</v>
      </c>
      <c r="B7286" s="10" t="str">
        <f>"9780801490156"</f>
        <v>9780801490156</v>
      </c>
      <c r="C7286" s="10" t="str">
        <f>"9780801470080"</f>
        <v>9780801470080</v>
      </c>
      <c r="D7286" s="10" t="s">
        <v>9533</v>
      </c>
      <c r="E7286" s="10" t="s">
        <v>5258</v>
      </c>
      <c r="F7286" s="10" t="s">
        <v>2536</v>
      </c>
      <c r="G7286" s="10" t="s">
        <v>6317</v>
      </c>
      <c r="H7286" s="11">
        <v>20866</v>
      </c>
      <c r="I7286" s="10">
        <v>2013</v>
      </c>
      <c r="J7286" s="10" t="s">
        <v>5258</v>
      </c>
      <c r="K7286" s="10">
        <v>121</v>
      </c>
      <c r="L7286" s="10" t="s">
        <v>34679</v>
      </c>
      <c r="M7286" s="10">
        <v>1</v>
      </c>
      <c r="N7286" s="10"/>
      <c r="O7286" s="10"/>
      <c r="P7286" s="10" t="s">
        <v>34680</v>
      </c>
      <c r="Q7286" s="10">
        <v>378.09</v>
      </c>
      <c r="R7286" s="10" t="s">
        <v>34681</v>
      </c>
      <c r="S7286" s="10" t="s">
        <v>53</v>
      </c>
      <c r="T7286" s="10" t="s">
        <v>54</v>
      </c>
    </row>
    <row r="7287" spans="1:20" ht="14.5" x14ac:dyDescent="0.35">
      <c r="A7287" s="10" t="s">
        <v>34682</v>
      </c>
      <c r="B7287" s="10" t="str">
        <f>"9780801479144"</f>
        <v>9780801479144</v>
      </c>
      <c r="C7287" s="10" t="str">
        <f>"9780801469169"</f>
        <v>9780801469169</v>
      </c>
      <c r="D7287" s="10" t="s">
        <v>9533</v>
      </c>
      <c r="E7287" s="10" t="s">
        <v>5258</v>
      </c>
      <c r="F7287" s="10" t="s">
        <v>2536</v>
      </c>
      <c r="G7287" s="10" t="s">
        <v>6317</v>
      </c>
      <c r="H7287" s="11">
        <v>41623</v>
      </c>
      <c r="I7287" s="10">
        <v>2013</v>
      </c>
      <c r="J7287" s="10" t="s">
        <v>5258</v>
      </c>
      <c r="K7287" s="10">
        <v>197</v>
      </c>
      <c r="L7287" s="10" t="s">
        <v>34655</v>
      </c>
      <c r="M7287" s="10">
        <v>1</v>
      </c>
      <c r="N7287" s="10"/>
      <c r="O7287" s="10"/>
      <c r="P7287" s="10" t="s">
        <v>34683</v>
      </c>
      <c r="Q7287" s="10" t="s">
        <v>9584</v>
      </c>
      <c r="R7287" s="10" t="s">
        <v>34684</v>
      </c>
      <c r="S7287" s="10" t="s">
        <v>53</v>
      </c>
      <c r="T7287" s="10" t="s">
        <v>54</v>
      </c>
    </row>
    <row r="7288" spans="1:20" ht="14.5" x14ac:dyDescent="0.35">
      <c r="A7288" s="10" t="s">
        <v>34685</v>
      </c>
      <c r="B7288" s="10" t="str">
        <f>"9780801479151"</f>
        <v>9780801479151</v>
      </c>
      <c r="C7288" s="10" t="str">
        <f>"9780801470530"</f>
        <v>9780801470530</v>
      </c>
      <c r="D7288" s="10" t="s">
        <v>9533</v>
      </c>
      <c r="E7288" s="10" t="s">
        <v>5258</v>
      </c>
      <c r="F7288" s="10" t="s">
        <v>2536</v>
      </c>
      <c r="G7288" s="10" t="s">
        <v>6317</v>
      </c>
      <c r="H7288" s="11">
        <v>41744</v>
      </c>
      <c r="I7288" s="10">
        <v>2014</v>
      </c>
      <c r="J7288" s="10" t="s">
        <v>5258</v>
      </c>
      <c r="K7288" s="10">
        <v>231</v>
      </c>
      <c r="L7288" s="10" t="s">
        <v>34686</v>
      </c>
      <c r="M7288" s="10">
        <v>1</v>
      </c>
      <c r="N7288" s="10"/>
      <c r="O7288" s="10"/>
      <c r="P7288" s="10" t="s">
        <v>34687</v>
      </c>
      <c r="Q7288" s="10">
        <v>378.19828296999998</v>
      </c>
      <c r="R7288" s="10" t="s">
        <v>34688</v>
      </c>
      <c r="S7288" s="10" t="s">
        <v>53</v>
      </c>
      <c r="T7288" s="10" t="s">
        <v>54</v>
      </c>
    </row>
    <row r="7289" spans="1:20" ht="14.5" x14ac:dyDescent="0.35">
      <c r="A7289" s="10" t="s">
        <v>34689</v>
      </c>
      <c r="B7289" s="10" t="str">
        <f>"9780801444258"</f>
        <v>9780801444258</v>
      </c>
      <c r="C7289" s="10" t="str">
        <f>"9780801471896"</f>
        <v>9780801471896</v>
      </c>
      <c r="D7289" s="10" t="s">
        <v>9533</v>
      </c>
      <c r="E7289" s="10" t="s">
        <v>5258</v>
      </c>
      <c r="F7289" s="10" t="s">
        <v>2536</v>
      </c>
      <c r="G7289" s="10" t="s">
        <v>6317</v>
      </c>
      <c r="H7289" s="11">
        <v>41863</v>
      </c>
      <c r="I7289" s="10">
        <v>2014</v>
      </c>
      <c r="J7289" s="10" t="s">
        <v>5258</v>
      </c>
      <c r="K7289" s="10">
        <v>544</v>
      </c>
      <c r="L7289" s="10" t="s">
        <v>34690</v>
      </c>
      <c r="M7289" s="10">
        <v>1</v>
      </c>
      <c r="N7289" s="10"/>
      <c r="O7289" s="10"/>
      <c r="P7289" s="10" t="s">
        <v>34669</v>
      </c>
      <c r="Q7289" s="10" t="s">
        <v>34691</v>
      </c>
      <c r="R7289" s="10" t="s">
        <v>34692</v>
      </c>
      <c r="S7289" s="10" t="s">
        <v>53</v>
      </c>
      <c r="T7289" s="10" t="s">
        <v>54</v>
      </c>
    </row>
    <row r="7290" spans="1:20" ht="14.5" x14ac:dyDescent="0.35">
      <c r="A7290" s="10" t="s">
        <v>34693</v>
      </c>
      <c r="B7290" s="10" t="str">
        <f>"9780801453656"</f>
        <v>9780801453656</v>
      </c>
      <c r="C7290" s="10" t="str">
        <f>"9780801456121"</f>
        <v>9780801456121</v>
      </c>
      <c r="D7290" s="10" t="s">
        <v>9533</v>
      </c>
      <c r="E7290" s="10" t="s">
        <v>5258</v>
      </c>
      <c r="F7290" s="10" t="s">
        <v>2536</v>
      </c>
      <c r="G7290" s="10" t="s">
        <v>6317</v>
      </c>
      <c r="H7290" s="11">
        <v>42145</v>
      </c>
      <c r="I7290" s="10">
        <v>2015</v>
      </c>
      <c r="J7290" s="10" t="s">
        <v>5258</v>
      </c>
      <c r="K7290" s="10">
        <v>310</v>
      </c>
      <c r="L7290" s="10" t="s">
        <v>34694</v>
      </c>
      <c r="M7290" s="10">
        <v>1</v>
      </c>
      <c r="N7290" s="10"/>
      <c r="O7290" s="10"/>
      <c r="P7290" s="10" t="s">
        <v>34695</v>
      </c>
      <c r="Q7290" s="10">
        <v>378</v>
      </c>
      <c r="R7290" s="10" t="s">
        <v>34696</v>
      </c>
      <c r="S7290" s="10" t="s">
        <v>53</v>
      </c>
      <c r="T7290" s="10" t="s">
        <v>54</v>
      </c>
    </row>
    <row r="7291" spans="1:20" ht="14.5" x14ac:dyDescent="0.35">
      <c r="A7291" s="10" t="s">
        <v>34697</v>
      </c>
      <c r="B7291" s="10" t="str">
        <f>"9789287178404"</f>
        <v>9789287178404</v>
      </c>
      <c r="C7291" s="10" t="str">
        <f>"9789287178725"</f>
        <v>9789287178725</v>
      </c>
      <c r="D7291" s="10" t="s">
        <v>34698</v>
      </c>
      <c r="E7291" s="10" t="s">
        <v>34698</v>
      </c>
      <c r="F7291" s="10" t="s">
        <v>1775</v>
      </c>
      <c r="G7291" s="10" t="s">
        <v>31597</v>
      </c>
      <c r="H7291" s="11">
        <v>41609</v>
      </c>
      <c r="I7291" s="10">
        <v>2014</v>
      </c>
      <c r="J7291" s="10" t="s">
        <v>34698</v>
      </c>
      <c r="K7291" s="10">
        <v>194</v>
      </c>
      <c r="L7291" s="10" t="s">
        <v>34698</v>
      </c>
      <c r="M7291" s="10"/>
      <c r="N7291" s="10"/>
      <c r="O7291" s="10"/>
      <c r="P7291" s="10" t="s">
        <v>34699</v>
      </c>
      <c r="Q7291" s="10">
        <v>371.58</v>
      </c>
      <c r="R7291" s="10" t="s">
        <v>34700</v>
      </c>
      <c r="S7291" s="10" t="s">
        <v>53</v>
      </c>
      <c r="T7291" s="10" t="s">
        <v>54</v>
      </c>
    </row>
    <row r="7292" spans="1:20" ht="14.5" x14ac:dyDescent="0.35">
      <c r="A7292" s="10" t="s">
        <v>34701</v>
      </c>
      <c r="B7292" s="10" t="str">
        <f>"9789287179142"</f>
        <v>9789287179142</v>
      </c>
      <c r="C7292" s="10" t="str">
        <f>"9789287179661"</f>
        <v>9789287179661</v>
      </c>
      <c r="D7292" s="10" t="s">
        <v>34698</v>
      </c>
      <c r="E7292" s="10" t="s">
        <v>34698</v>
      </c>
      <c r="F7292" s="10" t="s">
        <v>1775</v>
      </c>
      <c r="G7292" s="10" t="s">
        <v>28737</v>
      </c>
      <c r="H7292" s="11">
        <v>41896</v>
      </c>
      <c r="I7292" s="10">
        <v>2014</v>
      </c>
      <c r="J7292" s="10" t="s">
        <v>34698</v>
      </c>
      <c r="K7292" s="10">
        <v>130</v>
      </c>
      <c r="L7292" s="10" t="s">
        <v>34702</v>
      </c>
      <c r="M7292" s="10"/>
      <c r="N7292" s="10"/>
      <c r="O7292" s="10"/>
      <c r="P7292" s="10" t="s">
        <v>34703</v>
      </c>
      <c r="Q7292" s="10">
        <v>370.11709400000001</v>
      </c>
      <c r="R7292" s="10" t="s">
        <v>34704</v>
      </c>
      <c r="S7292" s="10" t="s">
        <v>53</v>
      </c>
      <c r="T7292" s="10" t="s">
        <v>54</v>
      </c>
    </row>
    <row r="7293" spans="1:20" ht="14.5" x14ac:dyDescent="0.35">
      <c r="A7293" s="10" t="s">
        <v>34705</v>
      </c>
      <c r="B7293" s="10" t="str">
        <f>"9789287176363"</f>
        <v>9789287176363</v>
      </c>
      <c r="C7293" s="10" t="str">
        <f>"9789287178336"</f>
        <v>9789287178336</v>
      </c>
      <c r="D7293" s="10" t="s">
        <v>34698</v>
      </c>
      <c r="E7293" s="10" t="s">
        <v>34698</v>
      </c>
      <c r="F7293" s="10" t="s">
        <v>1775</v>
      </c>
      <c r="G7293" s="10" t="s">
        <v>31597</v>
      </c>
      <c r="H7293" s="11">
        <v>41244</v>
      </c>
      <c r="I7293" s="10">
        <v>2013</v>
      </c>
      <c r="J7293" s="10" t="s">
        <v>34698</v>
      </c>
      <c r="K7293" s="10">
        <v>215</v>
      </c>
      <c r="L7293" s="10" t="s">
        <v>34698</v>
      </c>
      <c r="M7293" s="10"/>
      <c r="N7293" s="10"/>
      <c r="O7293" s="10"/>
      <c r="P7293" s="10" t="s">
        <v>34706</v>
      </c>
      <c r="Q7293" s="10">
        <v>370.94</v>
      </c>
      <c r="R7293" s="10" t="s">
        <v>34707</v>
      </c>
      <c r="S7293" s="10" t="s">
        <v>53</v>
      </c>
      <c r="T7293" s="10" t="s">
        <v>54</v>
      </c>
    </row>
    <row r="7294" spans="1:20" ht="14.5" x14ac:dyDescent="0.35">
      <c r="A7294" s="10" t="s">
        <v>34708</v>
      </c>
      <c r="B7294" s="10" t="str">
        <f>"9780872931473"</f>
        <v>9780872931473</v>
      </c>
      <c r="C7294" s="10" t="str">
        <f>"9780872931602"</f>
        <v>9780872931602</v>
      </c>
      <c r="D7294" s="10" t="s">
        <v>34709</v>
      </c>
      <c r="E7294" s="10" t="s">
        <v>34709</v>
      </c>
      <c r="F7294" s="10" t="s">
        <v>201</v>
      </c>
      <c r="G7294" s="10" t="s">
        <v>6317</v>
      </c>
      <c r="H7294" s="11">
        <v>41548</v>
      </c>
      <c r="I7294" s="10">
        <v>2013</v>
      </c>
      <c r="J7294" s="10" t="s">
        <v>34709</v>
      </c>
      <c r="K7294" s="10">
        <v>256</v>
      </c>
      <c r="L7294" s="10" t="s">
        <v>34710</v>
      </c>
      <c r="M7294" s="10">
        <v>1</v>
      </c>
      <c r="N7294" s="10"/>
      <c r="O7294" s="10"/>
      <c r="P7294" s="10" t="s">
        <v>34711</v>
      </c>
      <c r="Q7294" s="10"/>
      <c r="R7294" s="10" t="s">
        <v>34712</v>
      </c>
      <c r="S7294" s="10" t="s">
        <v>53</v>
      </c>
      <c r="T7294" s="10" t="s">
        <v>4859</v>
      </c>
    </row>
    <row r="7295" spans="1:20" ht="14.5" x14ac:dyDescent="0.35">
      <c r="A7295" s="10" t="s">
        <v>34713</v>
      </c>
      <c r="B7295" s="10" t="str">
        <f>"9781888570618"</f>
        <v>9781888570618</v>
      </c>
      <c r="C7295" s="10" t="str">
        <f>"9781935790396"</f>
        <v>9781935790396</v>
      </c>
      <c r="D7295" s="10" t="s">
        <v>34714</v>
      </c>
      <c r="E7295" s="10" t="s">
        <v>34714</v>
      </c>
      <c r="F7295" s="10" t="s">
        <v>299</v>
      </c>
      <c r="G7295" s="10" t="s">
        <v>6317</v>
      </c>
      <c r="H7295" s="11">
        <v>37104</v>
      </c>
      <c r="I7295" s="10">
        <v>2001</v>
      </c>
      <c r="J7295" s="10" t="s">
        <v>34714</v>
      </c>
      <c r="K7295" s="10">
        <v>226</v>
      </c>
      <c r="L7295" s="10" t="s">
        <v>34715</v>
      </c>
      <c r="M7295" s="10"/>
      <c r="N7295" s="10"/>
      <c r="O7295" s="10"/>
      <c r="P7295" s="10" t="s">
        <v>34716</v>
      </c>
      <c r="Q7295" s="10">
        <v>378.73</v>
      </c>
      <c r="R7295" s="10" t="s">
        <v>34717</v>
      </c>
      <c r="S7295" s="10" t="s">
        <v>53</v>
      </c>
      <c r="T7295" s="10" t="s">
        <v>54</v>
      </c>
    </row>
    <row r="7296" spans="1:20" ht="14.5" x14ac:dyDescent="0.35">
      <c r="A7296" s="10" t="s">
        <v>34718</v>
      </c>
      <c r="B7296" s="10" t="str">
        <f>"9789059723528"</f>
        <v>9789059723528</v>
      </c>
      <c r="C7296" s="10" t="str">
        <f>"9789059728622"</f>
        <v>9789059728622</v>
      </c>
      <c r="D7296" s="10" t="s">
        <v>34719</v>
      </c>
      <c r="E7296" s="10" t="s">
        <v>34719</v>
      </c>
      <c r="F7296" s="10" t="s">
        <v>34720</v>
      </c>
      <c r="G7296" s="10" t="s">
        <v>9233</v>
      </c>
      <c r="H7296" s="11">
        <v>40148</v>
      </c>
      <c r="I7296" s="10">
        <v>2009</v>
      </c>
      <c r="J7296" s="10" t="s">
        <v>34719</v>
      </c>
      <c r="K7296" s="10">
        <v>339</v>
      </c>
      <c r="L7296" s="10" t="s">
        <v>34721</v>
      </c>
      <c r="M7296" s="10">
        <v>1</v>
      </c>
      <c r="N7296" s="10"/>
      <c r="O7296" s="10"/>
      <c r="P7296" s="10" t="s">
        <v>34722</v>
      </c>
      <c r="Q7296" s="10">
        <v>371.33</v>
      </c>
      <c r="R7296" s="10" t="s">
        <v>29942</v>
      </c>
      <c r="S7296" s="10" t="s">
        <v>53</v>
      </c>
      <c r="T7296" s="10" t="s">
        <v>54</v>
      </c>
    </row>
    <row r="7297" spans="1:20" ht="14.5" x14ac:dyDescent="0.35">
      <c r="A7297" s="10" t="s">
        <v>34723</v>
      </c>
      <c r="B7297" s="10" t="str">
        <f>"9789059722484"</f>
        <v>9789059722484</v>
      </c>
      <c r="C7297" s="10" t="str">
        <f>"9789059728615"</f>
        <v>9789059728615</v>
      </c>
      <c r="D7297" s="10" t="s">
        <v>34719</v>
      </c>
      <c r="E7297" s="10" t="s">
        <v>34719</v>
      </c>
      <c r="F7297" s="10" t="s">
        <v>34720</v>
      </c>
      <c r="G7297" s="10" t="s">
        <v>9233</v>
      </c>
      <c r="H7297" s="11">
        <v>39600</v>
      </c>
      <c r="I7297" s="10">
        <v>2008</v>
      </c>
      <c r="J7297" s="10" t="s">
        <v>34719</v>
      </c>
      <c r="K7297" s="10">
        <v>467</v>
      </c>
      <c r="L7297" s="10" t="s">
        <v>34724</v>
      </c>
      <c r="M7297" s="10">
        <v>1</v>
      </c>
      <c r="N7297" s="10"/>
      <c r="O7297" s="10"/>
      <c r="P7297" s="10" t="s">
        <v>34725</v>
      </c>
      <c r="Q7297" s="10">
        <v>371.30779999999999</v>
      </c>
      <c r="R7297" s="10" t="s">
        <v>34726</v>
      </c>
      <c r="S7297" s="10" t="s">
        <v>53</v>
      </c>
      <c r="T7297" s="10" t="s">
        <v>54</v>
      </c>
    </row>
    <row r="7298" spans="1:20" ht="14.5" x14ac:dyDescent="0.35">
      <c r="A7298" s="10" t="s">
        <v>34727</v>
      </c>
      <c r="B7298" s="10" t="str">
        <f>""</f>
        <v/>
      </c>
      <c r="C7298" s="10" t="str">
        <f>"9781589483002"</f>
        <v>9781589483002</v>
      </c>
      <c r="D7298" s="10" t="s">
        <v>34728</v>
      </c>
      <c r="E7298" s="10" t="s">
        <v>34729</v>
      </c>
      <c r="F7298" s="10" t="s">
        <v>34730</v>
      </c>
      <c r="G7298" s="10" t="s">
        <v>6317</v>
      </c>
      <c r="H7298" s="11">
        <v>42036</v>
      </c>
      <c r="I7298" s="10">
        <v>2015</v>
      </c>
      <c r="J7298" s="10" t="s">
        <v>34729</v>
      </c>
      <c r="K7298" s="10">
        <v>307</v>
      </c>
      <c r="L7298" s="10" t="s">
        <v>34731</v>
      </c>
      <c r="M7298" s="10"/>
      <c r="N7298" s="10"/>
      <c r="O7298" s="10"/>
      <c r="P7298" s="10" t="s">
        <v>34732</v>
      </c>
      <c r="Q7298" s="10">
        <v>910.28499999999997</v>
      </c>
      <c r="R7298" s="10" t="s">
        <v>34733</v>
      </c>
      <c r="S7298" s="10" t="s">
        <v>119</v>
      </c>
      <c r="T7298" s="10" t="s">
        <v>12094</v>
      </c>
    </row>
    <row r="7299" spans="1:20" ht="14.5" x14ac:dyDescent="0.35">
      <c r="A7299" s="10" t="s">
        <v>34734</v>
      </c>
      <c r="B7299" s="10" t="str">
        <f>"9780823229772"</f>
        <v>9780823229772</v>
      </c>
      <c r="C7299" s="10" t="str">
        <f>"9780823229789"</f>
        <v>9780823229789</v>
      </c>
      <c r="D7299" s="10" t="s">
        <v>34735</v>
      </c>
      <c r="E7299" s="10" t="s">
        <v>34735</v>
      </c>
      <c r="F7299" s="10" t="s">
        <v>70</v>
      </c>
      <c r="G7299" s="10" t="s">
        <v>6317</v>
      </c>
      <c r="H7299" s="11">
        <v>39706</v>
      </c>
      <c r="I7299" s="10">
        <v>2008</v>
      </c>
      <c r="J7299" s="10" t="s">
        <v>34735</v>
      </c>
      <c r="K7299" s="10">
        <v>474</v>
      </c>
      <c r="L7299" s="10" t="s">
        <v>34736</v>
      </c>
      <c r="M7299" s="10">
        <v>2</v>
      </c>
      <c r="N7299" s="10"/>
      <c r="O7299" s="10"/>
      <c r="P7299" s="10" t="s">
        <v>34737</v>
      </c>
      <c r="Q7299" s="10" t="s">
        <v>34738</v>
      </c>
      <c r="R7299" s="10" t="s">
        <v>34739</v>
      </c>
      <c r="S7299" s="10" t="s">
        <v>53</v>
      </c>
      <c r="T7299" s="10" t="s">
        <v>54</v>
      </c>
    </row>
    <row r="7300" spans="1:20" ht="14.5" x14ac:dyDescent="0.35">
      <c r="A7300" s="10" t="s">
        <v>34740</v>
      </c>
      <c r="B7300" s="10" t="str">
        <f>"9780823224258"</f>
        <v>9780823224258</v>
      </c>
      <c r="C7300" s="10" t="str">
        <f>"9780823224272"</f>
        <v>9780823224272</v>
      </c>
      <c r="D7300" s="10" t="s">
        <v>34735</v>
      </c>
      <c r="E7300" s="10" t="s">
        <v>34735</v>
      </c>
      <c r="F7300" s="10" t="s">
        <v>70</v>
      </c>
      <c r="G7300" s="10" t="s">
        <v>6317</v>
      </c>
      <c r="H7300" s="11">
        <v>38412</v>
      </c>
      <c r="I7300" s="10">
        <v>2009</v>
      </c>
      <c r="J7300" s="10" t="s">
        <v>34735</v>
      </c>
      <c r="K7300" s="10">
        <v>234</v>
      </c>
      <c r="L7300" s="10" t="s">
        <v>34741</v>
      </c>
      <c r="M7300" s="10">
        <v>1</v>
      </c>
      <c r="N7300" s="10" t="s">
        <v>34742</v>
      </c>
      <c r="O7300" s="10"/>
      <c r="P7300" s="10" t="s">
        <v>34743</v>
      </c>
      <c r="Q7300" s="10" t="s">
        <v>32563</v>
      </c>
      <c r="R7300" s="10" t="s">
        <v>34744</v>
      </c>
      <c r="S7300" s="10" t="s">
        <v>53</v>
      </c>
      <c r="T7300" s="10" t="s">
        <v>54</v>
      </c>
    </row>
    <row r="7301" spans="1:20" ht="14.5" x14ac:dyDescent="0.35">
      <c r="A7301" s="10" t="s">
        <v>34745</v>
      </c>
      <c r="B7301" s="10" t="str">
        <f>"9780823231966"</f>
        <v>9780823231966</v>
      </c>
      <c r="C7301" s="10" t="str">
        <f>"9780823231980"</f>
        <v>9780823231980</v>
      </c>
      <c r="D7301" s="10" t="s">
        <v>34735</v>
      </c>
      <c r="E7301" s="10" t="s">
        <v>34735</v>
      </c>
      <c r="F7301" s="10" t="s">
        <v>70</v>
      </c>
      <c r="G7301" s="10" t="s">
        <v>6317</v>
      </c>
      <c r="H7301" s="11">
        <v>40305</v>
      </c>
      <c r="I7301" s="10">
        <v>2013</v>
      </c>
      <c r="J7301" s="10" t="s">
        <v>34735</v>
      </c>
      <c r="K7301" s="10">
        <v>382</v>
      </c>
      <c r="L7301" s="10" t="s">
        <v>34746</v>
      </c>
      <c r="M7301" s="10">
        <v>1</v>
      </c>
      <c r="N7301" s="10" t="s">
        <v>34747</v>
      </c>
      <c r="O7301" s="10"/>
      <c r="P7301" s="10"/>
      <c r="Q7301" s="10" t="s">
        <v>8916</v>
      </c>
      <c r="R7301" s="10" t="s">
        <v>34748</v>
      </c>
      <c r="S7301" s="10" t="s">
        <v>53</v>
      </c>
      <c r="T7301" s="10" t="s">
        <v>54</v>
      </c>
    </row>
    <row r="7302" spans="1:20" ht="14.5" x14ac:dyDescent="0.35">
      <c r="A7302" s="10" t="s">
        <v>34749</v>
      </c>
      <c r="B7302" s="10" t="str">
        <f>"9780823233106"</f>
        <v>9780823233106</v>
      </c>
      <c r="C7302" s="10" t="str">
        <f>"9780823233120"</f>
        <v>9780823233120</v>
      </c>
      <c r="D7302" s="10" t="s">
        <v>34735</v>
      </c>
      <c r="E7302" s="10" t="s">
        <v>34735</v>
      </c>
      <c r="F7302" s="10" t="s">
        <v>70</v>
      </c>
      <c r="G7302" s="10" t="s">
        <v>6317</v>
      </c>
      <c r="H7302" s="11">
        <v>40513</v>
      </c>
      <c r="I7302" s="10">
        <v>2011</v>
      </c>
      <c r="J7302" s="10" t="s">
        <v>34735</v>
      </c>
      <c r="K7302" s="10">
        <v>337</v>
      </c>
      <c r="L7302" s="10" t="s">
        <v>34750</v>
      </c>
      <c r="M7302" s="10">
        <v>1</v>
      </c>
      <c r="N7302" s="10"/>
      <c r="O7302" s="10"/>
      <c r="P7302" s="10" t="s">
        <v>34751</v>
      </c>
      <c r="Q7302" s="10" t="s">
        <v>34752</v>
      </c>
      <c r="R7302" s="10" t="s">
        <v>34753</v>
      </c>
      <c r="S7302" s="10" t="s">
        <v>53</v>
      </c>
      <c r="T7302" s="10" t="s">
        <v>54</v>
      </c>
    </row>
    <row r="7303" spans="1:20" ht="14.5" x14ac:dyDescent="0.35">
      <c r="A7303" s="10" t="s">
        <v>34754</v>
      </c>
      <c r="B7303" s="10" t="str">
        <f>"9780823234165"</f>
        <v>9780823234165</v>
      </c>
      <c r="C7303" s="10" t="str">
        <f>"9780823234189"</f>
        <v>9780823234189</v>
      </c>
      <c r="D7303" s="10" t="s">
        <v>34735</v>
      </c>
      <c r="E7303" s="10" t="s">
        <v>34735</v>
      </c>
      <c r="F7303" s="10" t="s">
        <v>70</v>
      </c>
      <c r="G7303" s="10" t="s">
        <v>6317</v>
      </c>
      <c r="H7303" s="11">
        <v>40646</v>
      </c>
      <c r="I7303" s="10">
        <v>2011</v>
      </c>
      <c r="J7303" s="10" t="s">
        <v>34735</v>
      </c>
      <c r="K7303" s="10">
        <v>187</v>
      </c>
      <c r="L7303" s="10" t="s">
        <v>34755</v>
      </c>
      <c r="M7303" s="10">
        <v>1</v>
      </c>
      <c r="N7303" s="10"/>
      <c r="O7303" s="10"/>
      <c r="P7303" s="10" t="s">
        <v>34756</v>
      </c>
      <c r="Q7303" s="10" t="s">
        <v>34757</v>
      </c>
      <c r="R7303" s="10" t="s">
        <v>34755</v>
      </c>
      <c r="S7303" s="10" t="s">
        <v>53</v>
      </c>
      <c r="T7303" s="10" t="s">
        <v>54</v>
      </c>
    </row>
    <row r="7304" spans="1:20" ht="14.5" x14ac:dyDescent="0.35">
      <c r="A7304" s="10" t="s">
        <v>34758</v>
      </c>
      <c r="B7304" s="10" t="str">
        <f>"9780823233311"</f>
        <v>9780823233311</v>
      </c>
      <c r="C7304" s="10" t="str">
        <f>"9780823269051"</f>
        <v>9780823269051</v>
      </c>
      <c r="D7304" s="10" t="s">
        <v>34735</v>
      </c>
      <c r="E7304" s="10" t="s">
        <v>34735</v>
      </c>
      <c r="F7304" s="10" t="s">
        <v>34759</v>
      </c>
      <c r="G7304" s="10" t="s">
        <v>6317</v>
      </c>
      <c r="H7304" s="11">
        <v>40892</v>
      </c>
      <c r="I7304" s="10">
        <v>2012</v>
      </c>
      <c r="J7304" s="10" t="s">
        <v>34735</v>
      </c>
      <c r="K7304" s="10">
        <v>379</v>
      </c>
      <c r="L7304" s="10" t="s">
        <v>34760</v>
      </c>
      <c r="M7304" s="10">
        <v>3</v>
      </c>
      <c r="N7304" s="10"/>
      <c r="O7304" s="10"/>
      <c r="P7304" s="10" t="s">
        <v>34761</v>
      </c>
      <c r="Q7304" s="10">
        <v>371.0712082</v>
      </c>
      <c r="R7304" s="10" t="s">
        <v>34762</v>
      </c>
      <c r="S7304" s="10" t="s">
        <v>53</v>
      </c>
      <c r="T7304" s="10" t="s">
        <v>54</v>
      </c>
    </row>
    <row r="7305" spans="1:20" ht="14.5" x14ac:dyDescent="0.35">
      <c r="A7305" s="10" t="s">
        <v>34763</v>
      </c>
      <c r="B7305" s="10" t="str">
        <f>"9780823234738"</f>
        <v>9780823234738</v>
      </c>
      <c r="C7305" s="10" t="str">
        <f>"9780823253661"</f>
        <v>9780823253661</v>
      </c>
      <c r="D7305" s="10" t="s">
        <v>34735</v>
      </c>
      <c r="E7305" s="10" t="s">
        <v>34735</v>
      </c>
      <c r="F7305" s="10" t="s">
        <v>34759</v>
      </c>
      <c r="G7305" s="10" t="s">
        <v>6317</v>
      </c>
      <c r="H7305" s="11">
        <v>41061</v>
      </c>
      <c r="I7305" s="10">
        <v>2012</v>
      </c>
      <c r="J7305" s="10" t="s">
        <v>34735</v>
      </c>
      <c r="K7305" s="10">
        <v>274</v>
      </c>
      <c r="L7305" s="10" t="s">
        <v>34764</v>
      </c>
      <c r="M7305" s="10">
        <v>1</v>
      </c>
      <c r="N7305" s="10" t="s">
        <v>34765</v>
      </c>
      <c r="O7305" s="10"/>
      <c r="P7305" s="10" t="s">
        <v>34766</v>
      </c>
      <c r="Q7305" s="10">
        <v>374</v>
      </c>
      <c r="R7305" s="10" t="s">
        <v>34767</v>
      </c>
      <c r="S7305" s="10" t="s">
        <v>53</v>
      </c>
      <c r="T7305" s="10" t="s">
        <v>12015</v>
      </c>
    </row>
    <row r="7306" spans="1:20" ht="14.5" x14ac:dyDescent="0.35">
      <c r="A7306" s="10" t="s">
        <v>34768</v>
      </c>
      <c r="B7306" s="10" t="str">
        <f>"9780823229192"</f>
        <v>9780823229192</v>
      </c>
      <c r="C7306" s="10" t="str">
        <f>"9780823247370"</f>
        <v>9780823247370</v>
      </c>
      <c r="D7306" s="10" t="s">
        <v>34735</v>
      </c>
      <c r="E7306" s="10" t="s">
        <v>34735</v>
      </c>
      <c r="F7306" s="10" t="s">
        <v>70</v>
      </c>
      <c r="G7306" s="10" t="s">
        <v>6317</v>
      </c>
      <c r="H7306" s="11">
        <v>39767</v>
      </c>
      <c r="I7306" s="10">
        <v>2009</v>
      </c>
      <c r="J7306" s="10" t="s">
        <v>34735</v>
      </c>
      <c r="K7306" s="10">
        <v>284</v>
      </c>
      <c r="L7306" s="10" t="s">
        <v>34769</v>
      </c>
      <c r="M7306" s="10">
        <v>1</v>
      </c>
      <c r="N7306" s="10"/>
      <c r="O7306" s="10"/>
      <c r="P7306" s="10" t="s">
        <v>34770</v>
      </c>
      <c r="Q7306" s="10">
        <v>1.3</v>
      </c>
      <c r="R7306" s="10" t="s">
        <v>34771</v>
      </c>
      <c r="S7306" s="10" t="s">
        <v>53</v>
      </c>
      <c r="T7306" s="10" t="s">
        <v>6601</v>
      </c>
    </row>
    <row r="7307" spans="1:20" ht="14.5" x14ac:dyDescent="0.35">
      <c r="A7307" s="10" t="s">
        <v>34772</v>
      </c>
      <c r="B7307" s="10" t="str">
        <f>"9780823226658"</f>
        <v>9780823226658</v>
      </c>
      <c r="C7307" s="10" t="str">
        <f>"9780823247622"</f>
        <v>9780823247622</v>
      </c>
      <c r="D7307" s="10" t="s">
        <v>34735</v>
      </c>
      <c r="E7307" s="10" t="s">
        <v>34735</v>
      </c>
      <c r="F7307" s="10" t="s">
        <v>34759</v>
      </c>
      <c r="G7307" s="10" t="s">
        <v>6317</v>
      </c>
      <c r="H7307" s="11">
        <v>39066</v>
      </c>
      <c r="I7307" s="10">
        <v>2007</v>
      </c>
      <c r="J7307" s="10" t="s">
        <v>34735</v>
      </c>
      <c r="K7307" s="10">
        <v>181</v>
      </c>
      <c r="L7307" s="10" t="s">
        <v>34773</v>
      </c>
      <c r="M7307" s="10">
        <v>1</v>
      </c>
      <c r="N7307" s="10" t="s">
        <v>34774</v>
      </c>
      <c r="O7307" s="10"/>
      <c r="P7307" s="10" t="s">
        <v>34775</v>
      </c>
      <c r="Q7307" s="10">
        <v>378.00099999999998</v>
      </c>
      <c r="R7307" s="10" t="s">
        <v>34776</v>
      </c>
      <c r="S7307" s="10" t="s">
        <v>53</v>
      </c>
      <c r="T7307" s="10" t="s">
        <v>12015</v>
      </c>
    </row>
    <row r="7308" spans="1:20" ht="14.5" x14ac:dyDescent="0.35">
      <c r="A7308" s="10" t="s">
        <v>34777</v>
      </c>
      <c r="B7308" s="10" t="str">
        <f>"9780823230181"</f>
        <v>9780823230181</v>
      </c>
      <c r="C7308" s="10" t="str">
        <f>"9780823246991"</f>
        <v>9780823246991</v>
      </c>
      <c r="D7308" s="10" t="s">
        <v>34735</v>
      </c>
      <c r="E7308" s="10" t="s">
        <v>34735</v>
      </c>
      <c r="F7308" s="10" t="s">
        <v>70</v>
      </c>
      <c r="G7308" s="10" t="s">
        <v>6317</v>
      </c>
      <c r="H7308" s="11">
        <v>40452</v>
      </c>
      <c r="I7308" s="10">
        <v>2009</v>
      </c>
      <c r="J7308" s="10" t="s">
        <v>34735</v>
      </c>
      <c r="K7308" s="10">
        <v>295</v>
      </c>
      <c r="L7308" s="10" t="s">
        <v>34778</v>
      </c>
      <c r="M7308" s="10">
        <v>1</v>
      </c>
      <c r="N7308" s="10" t="s">
        <v>34779</v>
      </c>
      <c r="O7308" s="10"/>
      <c r="P7308" s="10"/>
      <c r="Q7308" s="10">
        <v>191</v>
      </c>
      <c r="R7308" s="10" t="s">
        <v>34780</v>
      </c>
      <c r="S7308" s="10" t="s">
        <v>53</v>
      </c>
      <c r="T7308" s="10" t="s">
        <v>6534</v>
      </c>
    </row>
    <row r="7309" spans="1:20" ht="14.5" x14ac:dyDescent="0.35">
      <c r="A7309" s="10" t="s">
        <v>34781</v>
      </c>
      <c r="B7309" s="10" t="str">
        <f>"9780823254309"</f>
        <v>9780823254309</v>
      </c>
      <c r="C7309" s="10" t="str">
        <f>"9780823254330"</f>
        <v>9780823254330</v>
      </c>
      <c r="D7309" s="10" t="s">
        <v>34735</v>
      </c>
      <c r="E7309" s="10" t="s">
        <v>34735</v>
      </c>
      <c r="F7309" s="10" t="s">
        <v>70</v>
      </c>
      <c r="G7309" s="10" t="s">
        <v>6317</v>
      </c>
      <c r="H7309" s="11">
        <v>41519</v>
      </c>
      <c r="I7309" s="10">
        <v>2013</v>
      </c>
      <c r="J7309" s="10" t="s">
        <v>34735</v>
      </c>
      <c r="K7309" s="10">
        <v>386</v>
      </c>
      <c r="L7309" s="10" t="s">
        <v>34782</v>
      </c>
      <c r="M7309" s="10">
        <v>1</v>
      </c>
      <c r="N7309" s="10"/>
      <c r="O7309" s="10"/>
      <c r="P7309" s="10" t="s">
        <v>34783</v>
      </c>
      <c r="Q7309" s="10"/>
      <c r="R7309" s="10" t="s">
        <v>34784</v>
      </c>
      <c r="S7309" s="10" t="s">
        <v>53</v>
      </c>
      <c r="T7309" s="10" t="s">
        <v>54</v>
      </c>
    </row>
    <row r="7310" spans="1:20" ht="14.5" x14ac:dyDescent="0.35">
      <c r="A7310" s="10" t="s">
        <v>34785</v>
      </c>
      <c r="B7310" s="10" t="str">
        <f>"9780823256334"</f>
        <v>9780823256334</v>
      </c>
      <c r="C7310" s="10" t="str">
        <f>"9780823256341"</f>
        <v>9780823256341</v>
      </c>
      <c r="D7310" s="10" t="s">
        <v>34735</v>
      </c>
      <c r="E7310" s="10" t="s">
        <v>34735</v>
      </c>
      <c r="F7310" s="10" t="s">
        <v>70</v>
      </c>
      <c r="G7310" s="10" t="s">
        <v>6317</v>
      </c>
      <c r="H7310" s="11">
        <v>41701</v>
      </c>
      <c r="I7310" s="10">
        <v>2014</v>
      </c>
      <c r="J7310" s="10" t="s">
        <v>34735</v>
      </c>
      <c r="K7310" s="10">
        <v>268</v>
      </c>
      <c r="L7310" s="10" t="s">
        <v>34786</v>
      </c>
      <c r="M7310" s="10">
        <v>1</v>
      </c>
      <c r="N7310" s="10"/>
      <c r="O7310" s="10"/>
      <c r="P7310" s="10"/>
      <c r="Q7310" s="10">
        <v>371.07120974700001</v>
      </c>
      <c r="R7310" s="10" t="s">
        <v>34787</v>
      </c>
      <c r="S7310" s="10" t="s">
        <v>53</v>
      </c>
      <c r="T7310" s="10" t="s">
        <v>54</v>
      </c>
    </row>
    <row r="7311" spans="1:20" ht="14.5" x14ac:dyDescent="0.35">
      <c r="A7311" s="10" t="s">
        <v>34788</v>
      </c>
      <c r="B7311" s="10" t="str">
        <f>"9781576592229"</f>
        <v>9781576592229</v>
      </c>
      <c r="C7311" s="10" t="str">
        <f>"9781576593264"</f>
        <v>9781576593264</v>
      </c>
      <c r="D7311" s="10" t="s">
        <v>27268</v>
      </c>
      <c r="E7311" s="10" t="s">
        <v>34789</v>
      </c>
      <c r="F7311" s="10" t="s">
        <v>34790</v>
      </c>
      <c r="G7311" s="10" t="s">
        <v>6317</v>
      </c>
      <c r="H7311" s="11">
        <v>40695</v>
      </c>
      <c r="I7311" s="10">
        <v>2011</v>
      </c>
      <c r="J7311" s="10" t="s">
        <v>34789</v>
      </c>
      <c r="K7311" s="10">
        <v>159</v>
      </c>
      <c r="L7311" s="10" t="s">
        <v>34791</v>
      </c>
      <c r="M7311" s="10">
        <v>1</v>
      </c>
      <c r="N7311" s="10"/>
      <c r="O7311" s="10"/>
      <c r="P7311" s="10" t="s">
        <v>34792</v>
      </c>
      <c r="Q7311" s="10"/>
      <c r="R7311" s="10" t="s">
        <v>34793</v>
      </c>
      <c r="S7311" s="10" t="s">
        <v>53</v>
      </c>
      <c r="T7311" s="10" t="s">
        <v>54</v>
      </c>
    </row>
    <row r="7312" spans="1:20" ht="14.5" x14ac:dyDescent="0.35">
      <c r="A7312" s="10" t="s">
        <v>34794</v>
      </c>
      <c r="B7312" s="10" t="str">
        <f>"9781554583669"</f>
        <v>9781554583669</v>
      </c>
      <c r="C7312" s="10" t="str">
        <f>"9781554583867"</f>
        <v>9781554583867</v>
      </c>
      <c r="D7312" s="10" t="s">
        <v>18539</v>
      </c>
      <c r="E7312" s="10" t="s">
        <v>18540</v>
      </c>
      <c r="F7312" s="10" t="s">
        <v>18541</v>
      </c>
      <c r="G7312" s="10" t="s">
        <v>9536</v>
      </c>
      <c r="H7312" s="11">
        <v>40998</v>
      </c>
      <c r="I7312" s="10">
        <v>2012</v>
      </c>
      <c r="J7312" s="10" t="s">
        <v>18540</v>
      </c>
      <c r="K7312" s="10">
        <v>231</v>
      </c>
      <c r="L7312" s="10" t="s">
        <v>34795</v>
      </c>
      <c r="M7312" s="10">
        <v>1</v>
      </c>
      <c r="N7312" s="10"/>
      <c r="O7312" s="10"/>
      <c r="P7312" s="10" t="s">
        <v>34796</v>
      </c>
      <c r="Q7312" s="10" t="s">
        <v>34797</v>
      </c>
      <c r="R7312" s="10" t="s">
        <v>34798</v>
      </c>
      <c r="S7312" s="10" t="s">
        <v>53</v>
      </c>
      <c r="T7312" s="10" t="s">
        <v>6384</v>
      </c>
    </row>
    <row r="7313" spans="1:20" ht="14.5" x14ac:dyDescent="0.35">
      <c r="A7313" s="10" t="s">
        <v>34799</v>
      </c>
      <c r="B7313" s="10" t="str">
        <f>"9780674034945"</f>
        <v>9780674034945</v>
      </c>
      <c r="C7313" s="10" t="str">
        <f>"9780674044036"</f>
        <v>9780674044036</v>
      </c>
      <c r="D7313" s="10" t="s">
        <v>34162</v>
      </c>
      <c r="E7313" s="10" t="s">
        <v>34162</v>
      </c>
      <c r="F7313" s="10" t="s">
        <v>612</v>
      </c>
      <c r="G7313" s="10" t="s">
        <v>6317</v>
      </c>
      <c r="H7313" s="11">
        <v>39350</v>
      </c>
      <c r="I7313" s="10">
        <v>2009</v>
      </c>
      <c r="J7313" s="10" t="s">
        <v>34162</v>
      </c>
      <c r="K7313" s="10">
        <v>319</v>
      </c>
      <c r="L7313" s="10" t="s">
        <v>34800</v>
      </c>
      <c r="M7313" s="10">
        <v>1</v>
      </c>
      <c r="N7313" s="10"/>
      <c r="O7313" s="10"/>
      <c r="P7313" s="10" t="s">
        <v>34801</v>
      </c>
      <c r="Q7313" s="10">
        <v>378.16109729999999</v>
      </c>
      <c r="R7313" s="10" t="s">
        <v>34802</v>
      </c>
      <c r="S7313" s="10" t="s">
        <v>53</v>
      </c>
      <c r="T7313" s="10" t="s">
        <v>54</v>
      </c>
    </row>
    <row r="7314" spans="1:20" ht="14.5" x14ac:dyDescent="0.35">
      <c r="A7314" s="10" t="s">
        <v>34803</v>
      </c>
      <c r="B7314" s="10" t="str">
        <f>"9780674022546"</f>
        <v>9780674022546</v>
      </c>
      <c r="C7314" s="10" t="str">
        <f>"9780674042377"</f>
        <v>9780674042377</v>
      </c>
      <c r="D7314" s="10" t="s">
        <v>34162</v>
      </c>
      <c r="E7314" s="10" t="s">
        <v>34162</v>
      </c>
      <c r="F7314" s="10" t="s">
        <v>612</v>
      </c>
      <c r="G7314" s="10" t="s">
        <v>6317</v>
      </c>
      <c r="H7314" s="11">
        <v>38321</v>
      </c>
      <c r="I7314" s="10">
        <v>2004</v>
      </c>
      <c r="J7314" s="10" t="s">
        <v>34162</v>
      </c>
      <c r="K7314" s="10">
        <v>219</v>
      </c>
      <c r="L7314" s="10" t="s">
        <v>34804</v>
      </c>
      <c r="M7314" s="10">
        <v>1</v>
      </c>
      <c r="N7314" s="10"/>
      <c r="O7314" s="10"/>
      <c r="P7314" s="10" t="s">
        <v>26276</v>
      </c>
      <c r="Q7314" s="10" t="s">
        <v>9527</v>
      </c>
      <c r="R7314" s="10" t="s">
        <v>34805</v>
      </c>
      <c r="S7314" s="10" t="s">
        <v>53</v>
      </c>
      <c r="T7314" s="10" t="s">
        <v>6526</v>
      </c>
    </row>
    <row r="7315" spans="1:20" ht="14.5" x14ac:dyDescent="0.35">
      <c r="A7315" s="10" t="s">
        <v>34806</v>
      </c>
      <c r="B7315" s="10" t="str">
        <f>"9780674710016"</f>
        <v>9780674710016</v>
      </c>
      <c r="C7315" s="10" t="str">
        <f>"9780674028999"</f>
        <v>9780674028999</v>
      </c>
      <c r="D7315" s="10" t="s">
        <v>34162</v>
      </c>
      <c r="E7315" s="10" t="s">
        <v>34162</v>
      </c>
      <c r="F7315" s="10" t="s">
        <v>612</v>
      </c>
      <c r="G7315" s="10" t="s">
        <v>6317</v>
      </c>
      <c r="H7315" s="11">
        <v>22098</v>
      </c>
      <c r="I7315" s="10">
        <v>1960</v>
      </c>
      <c r="J7315" s="10" t="s">
        <v>34162</v>
      </c>
      <c r="K7315" s="10">
        <v>128</v>
      </c>
      <c r="L7315" s="10" t="s">
        <v>34807</v>
      </c>
      <c r="M7315" s="10">
        <v>2</v>
      </c>
      <c r="N7315" s="10"/>
      <c r="O7315" s="10"/>
      <c r="P7315" s="10" t="s">
        <v>34808</v>
      </c>
      <c r="Q7315" s="10">
        <v>370</v>
      </c>
      <c r="R7315" s="10" t="s">
        <v>34809</v>
      </c>
      <c r="S7315" s="10" t="s">
        <v>53</v>
      </c>
      <c r="T7315" s="10" t="s">
        <v>54</v>
      </c>
    </row>
    <row r="7316" spans="1:20" ht="14.5" x14ac:dyDescent="0.35">
      <c r="A7316" s="10" t="s">
        <v>34810</v>
      </c>
      <c r="B7316" s="10" t="str">
        <f>"9780674023079"</f>
        <v>9780674023079</v>
      </c>
      <c r="C7316" s="10" t="str">
        <f>"9780674036666"</f>
        <v>9780674036666</v>
      </c>
      <c r="D7316" s="10" t="s">
        <v>34162</v>
      </c>
      <c r="E7316" s="10" t="s">
        <v>34162</v>
      </c>
      <c r="F7316" s="10" t="s">
        <v>612</v>
      </c>
      <c r="G7316" s="10" t="s">
        <v>6317</v>
      </c>
      <c r="H7316" s="11">
        <v>39129</v>
      </c>
      <c r="I7316" s="10">
        <v>2007</v>
      </c>
      <c r="J7316" s="10" t="s">
        <v>34162</v>
      </c>
      <c r="K7316" s="10">
        <v>553</v>
      </c>
      <c r="L7316" s="10" t="s">
        <v>34811</v>
      </c>
      <c r="M7316" s="10">
        <v>1</v>
      </c>
      <c r="N7316" s="10"/>
      <c r="O7316" s="10"/>
      <c r="P7316" s="10" t="s">
        <v>20278</v>
      </c>
      <c r="Q7316" s="10" t="s">
        <v>34812</v>
      </c>
      <c r="R7316" s="10"/>
      <c r="S7316" s="10" t="s">
        <v>53</v>
      </c>
      <c r="T7316" s="10" t="s">
        <v>54</v>
      </c>
    </row>
    <row r="7317" spans="1:20" ht="14.5" x14ac:dyDescent="0.35">
      <c r="A7317" s="10" t="s">
        <v>34813</v>
      </c>
      <c r="B7317" s="10" t="str">
        <f>"9780674103115"</f>
        <v>9780674103115</v>
      </c>
      <c r="C7317" s="10" t="str">
        <f>"9780674029033"</f>
        <v>9780674029033</v>
      </c>
      <c r="D7317" s="10" t="s">
        <v>34162</v>
      </c>
      <c r="E7317" s="10" t="s">
        <v>34162</v>
      </c>
      <c r="F7317" s="10" t="s">
        <v>612</v>
      </c>
      <c r="G7317" s="10" t="s">
        <v>6317</v>
      </c>
      <c r="H7317" s="11">
        <v>33970</v>
      </c>
      <c r="I7317" s="10">
        <v>1993</v>
      </c>
      <c r="J7317" s="10" t="s">
        <v>34162</v>
      </c>
      <c r="K7317" s="10">
        <v>417</v>
      </c>
      <c r="L7317" s="10" t="s">
        <v>34814</v>
      </c>
      <c r="M7317" s="10">
        <v>1</v>
      </c>
      <c r="N7317" s="10"/>
      <c r="O7317" s="10"/>
      <c r="P7317" s="10" t="s">
        <v>34815</v>
      </c>
      <c r="Q7317" s="10">
        <v>377.82729999999998</v>
      </c>
      <c r="R7317" s="10" t="s">
        <v>34816</v>
      </c>
      <c r="S7317" s="10" t="s">
        <v>53</v>
      </c>
      <c r="T7317" s="10" t="s">
        <v>54</v>
      </c>
    </row>
    <row r="7318" spans="1:20" ht="14.5" x14ac:dyDescent="0.35">
      <c r="A7318" s="10" t="s">
        <v>34817</v>
      </c>
      <c r="B7318" s="10" t="str">
        <f>"9780674022454"</f>
        <v>9780674022454</v>
      </c>
      <c r="C7318" s="10" t="str">
        <f>"9780674039513"</f>
        <v>9780674039513</v>
      </c>
      <c r="D7318" s="10" t="s">
        <v>34162</v>
      </c>
      <c r="E7318" s="10" t="s">
        <v>34162</v>
      </c>
      <c r="F7318" s="10" t="s">
        <v>612</v>
      </c>
      <c r="G7318" s="10" t="s">
        <v>6317</v>
      </c>
      <c r="H7318" s="11">
        <v>38502</v>
      </c>
      <c r="I7318" s="10">
        <v>2006</v>
      </c>
      <c r="J7318" s="10" t="s">
        <v>34162</v>
      </c>
      <c r="K7318" s="10">
        <v>288</v>
      </c>
      <c r="L7318" s="10" t="s">
        <v>34818</v>
      </c>
      <c r="M7318" s="10">
        <v>1</v>
      </c>
      <c r="N7318" s="10"/>
      <c r="O7318" s="10"/>
      <c r="P7318" s="10" t="s">
        <v>34819</v>
      </c>
      <c r="Q7318" s="10">
        <v>371.1</v>
      </c>
      <c r="R7318" s="10" t="s">
        <v>34820</v>
      </c>
      <c r="S7318" s="10" t="s">
        <v>53</v>
      </c>
      <c r="T7318" s="10" t="s">
        <v>54</v>
      </c>
    </row>
    <row r="7319" spans="1:20" ht="14.5" x14ac:dyDescent="0.35">
      <c r="A7319" s="10" t="s">
        <v>34821</v>
      </c>
      <c r="B7319" s="10" t="str">
        <f>"9780674951853"</f>
        <v>9780674951853</v>
      </c>
      <c r="C7319" s="10" t="str">
        <f>"9780674041776"</f>
        <v>9780674041776</v>
      </c>
      <c r="D7319" s="10" t="s">
        <v>34162</v>
      </c>
      <c r="E7319" s="10" t="s">
        <v>34162</v>
      </c>
      <c r="F7319" s="10" t="s">
        <v>612</v>
      </c>
      <c r="G7319" s="10" t="s">
        <v>6317</v>
      </c>
      <c r="H7319" s="11">
        <v>28963</v>
      </c>
      <c r="I7319" s="10">
        <v>2000</v>
      </c>
      <c r="J7319" s="10" t="s">
        <v>34162</v>
      </c>
      <c r="K7319" s="10">
        <v>160</v>
      </c>
      <c r="L7319" s="10" t="s">
        <v>34822</v>
      </c>
      <c r="M7319" s="10">
        <v>1</v>
      </c>
      <c r="N7319" s="10"/>
      <c r="O7319" s="10"/>
      <c r="P7319" s="10" t="s">
        <v>34823</v>
      </c>
      <c r="Q7319" s="10" t="s">
        <v>34824</v>
      </c>
      <c r="R7319" s="10" t="s">
        <v>34825</v>
      </c>
      <c r="S7319" s="10" t="s">
        <v>53</v>
      </c>
      <c r="T7319" s="10" t="s">
        <v>54</v>
      </c>
    </row>
    <row r="7320" spans="1:20" ht="14.5" x14ac:dyDescent="0.35">
      <c r="A7320" s="10" t="s">
        <v>34826</v>
      </c>
      <c r="B7320" s="10" t="str">
        <f>"9780674068988"</f>
        <v>9780674068988</v>
      </c>
      <c r="C7320" s="10" t="str">
        <f>"9780674028463"</f>
        <v>9780674028463</v>
      </c>
      <c r="D7320" s="10" t="s">
        <v>34162</v>
      </c>
      <c r="E7320" s="10" t="s">
        <v>34162</v>
      </c>
      <c r="F7320" s="10" t="s">
        <v>612</v>
      </c>
      <c r="G7320" s="10" t="s">
        <v>6317</v>
      </c>
      <c r="H7320" s="11">
        <v>30072</v>
      </c>
      <c r="I7320" s="10">
        <v>1982</v>
      </c>
      <c r="J7320" s="10" t="s">
        <v>34162</v>
      </c>
      <c r="K7320" s="10">
        <v>329</v>
      </c>
      <c r="L7320" s="10" t="s">
        <v>34827</v>
      </c>
      <c r="M7320" s="10">
        <v>1</v>
      </c>
      <c r="N7320" s="10"/>
      <c r="O7320" s="10"/>
      <c r="P7320" s="10" t="s">
        <v>19049</v>
      </c>
      <c r="Q7320" s="10"/>
      <c r="R7320" s="10" t="s">
        <v>34828</v>
      </c>
      <c r="S7320" s="10" t="s">
        <v>53</v>
      </c>
      <c r="T7320" s="10" t="s">
        <v>54</v>
      </c>
    </row>
    <row r="7321" spans="1:20" ht="14.5" x14ac:dyDescent="0.35">
      <c r="A7321" s="10" t="s">
        <v>34829</v>
      </c>
      <c r="B7321" s="10" t="str">
        <f>"9780674354425"</f>
        <v>9780674354425</v>
      </c>
      <c r="C7321" s="10" t="str">
        <f>"9780674041837"</f>
        <v>9780674041837</v>
      </c>
      <c r="D7321" s="10" t="s">
        <v>34162</v>
      </c>
      <c r="E7321" s="10" t="s">
        <v>34162</v>
      </c>
      <c r="F7321" s="10" t="s">
        <v>612</v>
      </c>
      <c r="G7321" s="10" t="s">
        <v>6317</v>
      </c>
      <c r="H7321" s="11">
        <v>35499</v>
      </c>
      <c r="I7321" s="10">
        <v>1998</v>
      </c>
      <c r="J7321" s="10" t="s">
        <v>34162</v>
      </c>
      <c r="K7321" s="10">
        <v>112</v>
      </c>
      <c r="L7321" s="10" t="s">
        <v>34822</v>
      </c>
      <c r="M7321" s="10">
        <v>1</v>
      </c>
      <c r="N7321" s="10"/>
      <c r="O7321" s="10"/>
      <c r="P7321" s="10" t="s">
        <v>34830</v>
      </c>
      <c r="Q7321" s="10"/>
      <c r="R7321" s="10" t="s">
        <v>34831</v>
      </c>
      <c r="S7321" s="10" t="s">
        <v>53</v>
      </c>
      <c r="T7321" s="10" t="s">
        <v>54</v>
      </c>
    </row>
    <row r="7322" spans="1:20" ht="14.5" x14ac:dyDescent="0.35">
      <c r="A7322" s="10" t="s">
        <v>34832</v>
      </c>
      <c r="B7322" s="10" t="str">
        <f>"9780674080317"</f>
        <v>9780674080317</v>
      </c>
      <c r="C7322" s="10" t="str">
        <f>"9780674041868"</f>
        <v>9780674041868</v>
      </c>
      <c r="D7322" s="10" t="s">
        <v>34162</v>
      </c>
      <c r="E7322" s="10" t="s">
        <v>34162</v>
      </c>
      <c r="F7322" s="10" t="s">
        <v>612</v>
      </c>
      <c r="G7322" s="10" t="s">
        <v>6317</v>
      </c>
      <c r="H7322" s="11">
        <v>32987</v>
      </c>
      <c r="I7322" s="10">
        <v>1991</v>
      </c>
      <c r="J7322" s="10" t="s">
        <v>34162</v>
      </c>
      <c r="K7322" s="10">
        <v>176</v>
      </c>
      <c r="L7322" s="10" t="s">
        <v>34833</v>
      </c>
      <c r="M7322" s="10">
        <v>1</v>
      </c>
      <c r="N7322" s="10"/>
      <c r="O7322" s="10"/>
      <c r="P7322" s="10" t="s">
        <v>34830</v>
      </c>
      <c r="Q7322" s="10"/>
      <c r="R7322" s="10" t="s">
        <v>34834</v>
      </c>
      <c r="S7322" s="10" t="s">
        <v>53</v>
      </c>
      <c r="T7322" s="10" t="s">
        <v>54</v>
      </c>
    </row>
    <row r="7323" spans="1:20" ht="14.5" x14ac:dyDescent="0.35">
      <c r="A7323" s="10" t="s">
        <v>34835</v>
      </c>
      <c r="B7323" s="10" t="str">
        <f>"9780674025387"</f>
        <v>9780674025387</v>
      </c>
      <c r="C7323" s="10" t="str">
        <f>"9780674030091"</f>
        <v>9780674030091</v>
      </c>
      <c r="D7323" s="10" t="s">
        <v>34162</v>
      </c>
      <c r="E7323" s="10" t="s">
        <v>34162</v>
      </c>
      <c r="F7323" s="10" t="s">
        <v>612</v>
      </c>
      <c r="G7323" s="10" t="s">
        <v>6317</v>
      </c>
      <c r="H7323" s="11">
        <v>38383</v>
      </c>
      <c r="I7323" s="10">
        <v>2007</v>
      </c>
      <c r="J7323" s="10" t="s">
        <v>34162</v>
      </c>
      <c r="K7323" s="10">
        <v>266</v>
      </c>
      <c r="L7323" s="10" t="s">
        <v>34836</v>
      </c>
      <c r="M7323" s="10">
        <v>1</v>
      </c>
      <c r="N7323" s="10"/>
      <c r="O7323" s="10"/>
      <c r="P7323" s="10" t="s">
        <v>11149</v>
      </c>
      <c r="Q7323" s="10" t="s">
        <v>14878</v>
      </c>
      <c r="R7323" s="10" t="s">
        <v>34837</v>
      </c>
      <c r="S7323" s="10" t="s">
        <v>53</v>
      </c>
      <c r="T7323" s="10" t="s">
        <v>54</v>
      </c>
    </row>
    <row r="7324" spans="1:20" ht="14.5" x14ac:dyDescent="0.35">
      <c r="A7324" s="10" t="s">
        <v>34838</v>
      </c>
      <c r="B7324" s="10" t="str">
        <f>"9780674945937"</f>
        <v>9780674945937</v>
      </c>
      <c r="C7324" s="10" t="str">
        <f>"9780674041806"</f>
        <v>9780674041806</v>
      </c>
      <c r="D7324" s="10" t="s">
        <v>34162</v>
      </c>
      <c r="E7324" s="10" t="s">
        <v>34162</v>
      </c>
      <c r="F7324" s="10" t="s">
        <v>612</v>
      </c>
      <c r="G7324" s="10" t="s">
        <v>6317</v>
      </c>
      <c r="H7324" s="11">
        <v>29768</v>
      </c>
      <c r="I7324" s="10">
        <v>1981</v>
      </c>
      <c r="J7324" s="10" t="s">
        <v>34162</v>
      </c>
      <c r="K7324" s="10">
        <v>233</v>
      </c>
      <c r="L7324" s="10" t="s">
        <v>34822</v>
      </c>
      <c r="M7324" s="10">
        <v>1</v>
      </c>
      <c r="N7324" s="10"/>
      <c r="O7324" s="10"/>
      <c r="P7324" s="10" t="s">
        <v>34839</v>
      </c>
      <c r="Q7324" s="10"/>
      <c r="R7324" s="10" t="s">
        <v>34840</v>
      </c>
      <c r="S7324" s="10" t="s">
        <v>53</v>
      </c>
      <c r="T7324" s="10" t="s">
        <v>54</v>
      </c>
    </row>
    <row r="7325" spans="1:20" ht="14.5" x14ac:dyDescent="0.35">
      <c r="A7325" s="10" t="s">
        <v>34841</v>
      </c>
      <c r="B7325" s="10" t="str">
        <f>"9780674011090"</f>
        <v>9780674011090</v>
      </c>
      <c r="C7325" s="10" t="str">
        <f>"9780674030107"</f>
        <v>9780674030107</v>
      </c>
      <c r="D7325" s="10" t="s">
        <v>34162</v>
      </c>
      <c r="E7325" s="10" t="s">
        <v>34162</v>
      </c>
      <c r="F7325" s="10" t="s">
        <v>612</v>
      </c>
      <c r="G7325" s="10" t="s">
        <v>6317</v>
      </c>
      <c r="H7325" s="11">
        <v>37162</v>
      </c>
      <c r="I7325" s="10">
        <v>2001</v>
      </c>
      <c r="J7325" s="10" t="s">
        <v>34162</v>
      </c>
      <c r="K7325" s="10">
        <v>258</v>
      </c>
      <c r="L7325" s="10" t="s">
        <v>34836</v>
      </c>
      <c r="M7325" s="10">
        <v>1</v>
      </c>
      <c r="N7325" s="10"/>
      <c r="O7325" s="10"/>
      <c r="P7325" s="10" t="s">
        <v>7503</v>
      </c>
      <c r="Q7325" s="10" t="s">
        <v>29452</v>
      </c>
      <c r="R7325" s="10"/>
      <c r="S7325" s="10" t="s">
        <v>53</v>
      </c>
      <c r="T7325" s="10" t="s">
        <v>54</v>
      </c>
    </row>
    <row r="7326" spans="1:20" ht="14.5" x14ac:dyDescent="0.35">
      <c r="A7326" s="10" t="s">
        <v>34842</v>
      </c>
      <c r="B7326" s="10" t="str">
        <f>"9780674011236"</f>
        <v>9780674011236</v>
      </c>
      <c r="C7326" s="10" t="str">
        <f>"9780674040403"</f>
        <v>9780674040403</v>
      </c>
      <c r="D7326" s="10" t="s">
        <v>34162</v>
      </c>
      <c r="E7326" s="10" t="s">
        <v>34162</v>
      </c>
      <c r="F7326" s="10" t="s">
        <v>612</v>
      </c>
      <c r="G7326" s="10" t="s">
        <v>6317</v>
      </c>
      <c r="H7326" s="11">
        <v>36585</v>
      </c>
      <c r="I7326" s="10">
        <v>2003</v>
      </c>
      <c r="J7326" s="10" t="s">
        <v>34162</v>
      </c>
      <c r="K7326" s="10">
        <v>369</v>
      </c>
      <c r="L7326" s="10" t="s">
        <v>34843</v>
      </c>
      <c r="M7326" s="10">
        <v>1</v>
      </c>
      <c r="N7326" s="10"/>
      <c r="O7326" s="10"/>
      <c r="P7326" s="10" t="s">
        <v>34844</v>
      </c>
      <c r="Q7326" s="10">
        <v>320.39999999999998</v>
      </c>
      <c r="R7326" s="10" t="s">
        <v>34845</v>
      </c>
      <c r="S7326" s="10" t="s">
        <v>53</v>
      </c>
      <c r="T7326" s="10" t="s">
        <v>16922</v>
      </c>
    </row>
    <row r="7327" spans="1:20" ht="14.5" x14ac:dyDescent="0.35">
      <c r="A7327" s="10" t="s">
        <v>34846</v>
      </c>
      <c r="B7327" s="10" t="str">
        <f>"9780674892835"</f>
        <v>9780674892835</v>
      </c>
      <c r="C7327" s="10" t="str">
        <f>"9780674044524"</f>
        <v>9780674044524</v>
      </c>
      <c r="D7327" s="10" t="s">
        <v>34162</v>
      </c>
      <c r="E7327" s="10" t="s">
        <v>34162</v>
      </c>
      <c r="F7327" s="10" t="s">
        <v>612</v>
      </c>
      <c r="G7327" s="10" t="s">
        <v>6317</v>
      </c>
      <c r="H7327" s="11">
        <v>34908</v>
      </c>
      <c r="I7327" s="10">
        <v>1997</v>
      </c>
      <c r="J7327" s="10" t="s">
        <v>34162</v>
      </c>
      <c r="K7327" s="10">
        <v>193</v>
      </c>
      <c r="L7327" s="10" t="s">
        <v>34847</v>
      </c>
      <c r="M7327" s="10">
        <v>1</v>
      </c>
      <c r="N7327" s="10"/>
      <c r="O7327" s="10"/>
      <c r="P7327" s="10" t="s">
        <v>34848</v>
      </c>
      <c r="Q7327" s="10" t="s">
        <v>34849</v>
      </c>
      <c r="R7327" s="10" t="s">
        <v>34850</v>
      </c>
      <c r="S7327" s="10" t="s">
        <v>53</v>
      </c>
      <c r="T7327" s="10" t="s">
        <v>54</v>
      </c>
    </row>
    <row r="7328" spans="1:20" ht="14.5" x14ac:dyDescent="0.35">
      <c r="A7328" s="10" t="s">
        <v>34851</v>
      </c>
      <c r="B7328" s="10" t="str">
        <f>"9780674008236"</f>
        <v>9780674008236</v>
      </c>
      <c r="C7328" s="10" t="str">
        <f>"9780674037427"</f>
        <v>9780674037427</v>
      </c>
      <c r="D7328" s="10" t="s">
        <v>34162</v>
      </c>
      <c r="E7328" s="10" t="s">
        <v>34162</v>
      </c>
      <c r="F7328" s="10" t="s">
        <v>612</v>
      </c>
      <c r="G7328" s="10" t="s">
        <v>6317</v>
      </c>
      <c r="H7328" s="11">
        <v>36920</v>
      </c>
      <c r="I7328" s="10">
        <v>2000</v>
      </c>
      <c r="J7328" s="10" t="s">
        <v>34162</v>
      </c>
      <c r="K7328" s="10">
        <v>303</v>
      </c>
      <c r="L7328" s="10" t="s">
        <v>34852</v>
      </c>
      <c r="M7328" s="10">
        <v>1</v>
      </c>
      <c r="N7328" s="10"/>
      <c r="O7328" s="10"/>
      <c r="P7328" s="10" t="s">
        <v>13844</v>
      </c>
      <c r="Q7328" s="10">
        <v>371.01</v>
      </c>
      <c r="R7328" s="10" t="s">
        <v>34853</v>
      </c>
      <c r="S7328" s="10" t="s">
        <v>53</v>
      </c>
      <c r="T7328" s="10" t="s">
        <v>54</v>
      </c>
    </row>
    <row r="7329" spans="1:20" ht="14.5" x14ac:dyDescent="0.35">
      <c r="A7329" s="10" t="s">
        <v>34854</v>
      </c>
      <c r="B7329" s="10" t="str">
        <f>"9780674032064"</f>
        <v>9780674032064</v>
      </c>
      <c r="C7329" s="10" t="str">
        <f>"9780674045453"</f>
        <v>9780674045453</v>
      </c>
      <c r="D7329" s="10" t="s">
        <v>34162</v>
      </c>
      <c r="E7329" s="10" t="s">
        <v>34162</v>
      </c>
      <c r="F7329" s="10" t="s">
        <v>612</v>
      </c>
      <c r="G7329" s="10" t="s">
        <v>6317</v>
      </c>
      <c r="H7329" s="11">
        <v>39021</v>
      </c>
      <c r="I7329" s="10">
        <v>2008</v>
      </c>
      <c r="J7329" s="10" t="s">
        <v>34162</v>
      </c>
      <c r="K7329" s="10">
        <v>313</v>
      </c>
      <c r="L7329" s="10" t="s">
        <v>34855</v>
      </c>
      <c r="M7329" s="10">
        <v>1</v>
      </c>
      <c r="N7329" s="10"/>
      <c r="O7329" s="10"/>
      <c r="P7329" s="10" t="s">
        <v>34856</v>
      </c>
      <c r="Q7329" s="10" t="s">
        <v>34857</v>
      </c>
      <c r="R7329" s="10"/>
      <c r="S7329" s="10" t="s">
        <v>53</v>
      </c>
      <c r="T7329" s="10" t="s">
        <v>54</v>
      </c>
    </row>
    <row r="7330" spans="1:20" ht="14.5" x14ac:dyDescent="0.35">
      <c r="A7330" s="10" t="s">
        <v>34858</v>
      </c>
      <c r="B7330" s="10" t="str">
        <f>"9780674089310"</f>
        <v>9780674089310</v>
      </c>
      <c r="C7330" s="10" t="str">
        <f>"9780674040267"</f>
        <v>9780674040267</v>
      </c>
      <c r="D7330" s="10" t="s">
        <v>34162</v>
      </c>
      <c r="E7330" s="10" t="s">
        <v>34162</v>
      </c>
      <c r="F7330" s="10" t="s">
        <v>612</v>
      </c>
      <c r="G7330" s="10" t="s">
        <v>6317</v>
      </c>
      <c r="H7330" s="11">
        <v>32933</v>
      </c>
      <c r="I7330" s="10">
        <v>1990</v>
      </c>
      <c r="J7330" s="10" t="s">
        <v>34162</v>
      </c>
      <c r="K7330" s="10">
        <v>294</v>
      </c>
      <c r="L7330" s="10" t="s">
        <v>34859</v>
      </c>
      <c r="M7330" s="10">
        <v>1</v>
      </c>
      <c r="N7330" s="10"/>
      <c r="O7330" s="10"/>
      <c r="P7330" s="10" t="s">
        <v>34860</v>
      </c>
      <c r="Q7330" s="10" t="s">
        <v>34861</v>
      </c>
      <c r="R7330" s="10" t="s">
        <v>34862</v>
      </c>
      <c r="S7330" s="10" t="s">
        <v>53</v>
      </c>
      <c r="T7330" s="10" t="s">
        <v>54</v>
      </c>
    </row>
    <row r="7331" spans="1:20" ht="14.5" x14ac:dyDescent="0.35">
      <c r="A7331" s="10" t="s">
        <v>34863</v>
      </c>
      <c r="B7331" s="10" t="str">
        <f>"9780674016194"</f>
        <v>9780674016194</v>
      </c>
      <c r="C7331" s="10" t="str">
        <f>"9780674045040"</f>
        <v>9780674045040</v>
      </c>
      <c r="D7331" s="10" t="s">
        <v>34162</v>
      </c>
      <c r="E7331" s="10" t="s">
        <v>34162</v>
      </c>
      <c r="F7331" s="10" t="s">
        <v>612</v>
      </c>
      <c r="G7331" s="10" t="s">
        <v>6317</v>
      </c>
      <c r="H7331" s="11">
        <v>37620</v>
      </c>
      <c r="I7331" s="10">
        <v>2002</v>
      </c>
      <c r="J7331" s="10" t="s">
        <v>34162</v>
      </c>
      <c r="K7331" s="10">
        <v>358</v>
      </c>
      <c r="L7331" s="10" t="s">
        <v>34864</v>
      </c>
      <c r="M7331" s="10">
        <v>1</v>
      </c>
      <c r="N7331" s="10"/>
      <c r="O7331" s="10"/>
      <c r="P7331" s="10" t="s">
        <v>15038</v>
      </c>
      <c r="Q7331" s="10" t="s">
        <v>10213</v>
      </c>
      <c r="R7331" s="10"/>
      <c r="S7331" s="10" t="s">
        <v>53</v>
      </c>
      <c r="T7331" s="10" t="s">
        <v>54</v>
      </c>
    </row>
    <row r="7332" spans="1:20" ht="14.5" x14ac:dyDescent="0.35">
      <c r="A7332" s="10" t="s">
        <v>34865</v>
      </c>
      <c r="B7332" s="10" t="str">
        <f>"9780674027459"</f>
        <v>9780674027459</v>
      </c>
      <c r="C7332" s="10" t="str">
        <f>"9780674039797"</f>
        <v>9780674039797</v>
      </c>
      <c r="D7332" s="10" t="s">
        <v>34162</v>
      </c>
      <c r="E7332" s="10" t="s">
        <v>34162</v>
      </c>
      <c r="F7332" s="10" t="s">
        <v>612</v>
      </c>
      <c r="G7332" s="10" t="s">
        <v>6317</v>
      </c>
      <c r="H7332" s="11">
        <v>38655</v>
      </c>
      <c r="I7332" s="10">
        <v>2008</v>
      </c>
      <c r="J7332" s="10" t="s">
        <v>34162</v>
      </c>
      <c r="K7332" s="10">
        <v>219</v>
      </c>
      <c r="L7332" s="10" t="s">
        <v>34866</v>
      </c>
      <c r="M7332" s="10">
        <v>1</v>
      </c>
      <c r="N7332" s="10"/>
      <c r="O7332" s="10"/>
      <c r="P7332" s="10" t="s">
        <v>34867</v>
      </c>
      <c r="Q7332" s="10" t="s">
        <v>34868</v>
      </c>
      <c r="R7332" s="10" t="s">
        <v>34869</v>
      </c>
      <c r="S7332" s="10" t="s">
        <v>53</v>
      </c>
      <c r="T7332" s="10" t="s">
        <v>54</v>
      </c>
    </row>
    <row r="7333" spans="1:20" ht="14.5" x14ac:dyDescent="0.35">
      <c r="A7333" s="10" t="s">
        <v>34870</v>
      </c>
      <c r="B7333" s="10" t="str">
        <f>"9780674032354"</f>
        <v>9780674032354</v>
      </c>
      <c r="C7333" s="10" t="str">
        <f>"9780674039643"</f>
        <v>9780674039643</v>
      </c>
      <c r="D7333" s="10" t="s">
        <v>34162</v>
      </c>
      <c r="E7333" s="10" t="s">
        <v>34162</v>
      </c>
      <c r="F7333" s="10" t="s">
        <v>612</v>
      </c>
      <c r="G7333" s="10" t="s">
        <v>6317</v>
      </c>
      <c r="H7333" s="11">
        <v>39321</v>
      </c>
      <c r="I7333" s="10">
        <v>2007</v>
      </c>
      <c r="J7333" s="10" t="s">
        <v>34162</v>
      </c>
      <c r="K7333" s="10">
        <v>344</v>
      </c>
      <c r="L7333" s="10" t="s">
        <v>34871</v>
      </c>
      <c r="M7333" s="10">
        <v>1</v>
      </c>
      <c r="N7333" s="10"/>
      <c r="O7333" s="10"/>
      <c r="P7333" s="10" t="s">
        <v>34830</v>
      </c>
      <c r="Q7333" s="10">
        <v>372.21097300000002</v>
      </c>
      <c r="R7333" s="10" t="s">
        <v>34872</v>
      </c>
      <c r="S7333" s="10" t="s">
        <v>53</v>
      </c>
      <c r="T7333" s="10" t="s">
        <v>54</v>
      </c>
    </row>
    <row r="7334" spans="1:20" ht="14.5" x14ac:dyDescent="0.35">
      <c r="A7334" s="10" t="s">
        <v>34873</v>
      </c>
      <c r="B7334" s="10" t="str">
        <f>"9780674030466"</f>
        <v>9780674030466</v>
      </c>
      <c r="C7334" s="10" t="str">
        <f>"9780674037557"</f>
        <v>9780674037557</v>
      </c>
      <c r="D7334" s="10" t="s">
        <v>34162</v>
      </c>
      <c r="E7334" s="10" t="s">
        <v>34162</v>
      </c>
      <c r="F7334" s="10" t="s">
        <v>612</v>
      </c>
      <c r="G7334" s="10" t="s">
        <v>6317</v>
      </c>
      <c r="H7334" s="11">
        <v>39171</v>
      </c>
      <c r="I7334" s="10">
        <v>2007</v>
      </c>
      <c r="J7334" s="10" t="s">
        <v>34162</v>
      </c>
      <c r="K7334" s="10">
        <v>296</v>
      </c>
      <c r="L7334" s="10" t="s">
        <v>34874</v>
      </c>
      <c r="M7334" s="10">
        <v>1</v>
      </c>
      <c r="N7334" s="10"/>
      <c r="O7334" s="10"/>
      <c r="P7334" s="10" t="s">
        <v>13165</v>
      </c>
      <c r="Q7334" s="10" t="s">
        <v>14668</v>
      </c>
      <c r="R7334" s="10" t="s">
        <v>34875</v>
      </c>
      <c r="S7334" s="10" t="s">
        <v>53</v>
      </c>
      <c r="T7334" s="10" t="s">
        <v>54</v>
      </c>
    </row>
    <row r="7335" spans="1:20" ht="14.5" x14ac:dyDescent="0.35">
      <c r="A7335" s="10" t="s">
        <v>34876</v>
      </c>
      <c r="B7335" s="10" t="str">
        <f>"9780674009455"</f>
        <v>9780674009455</v>
      </c>
      <c r="C7335" s="10" t="str">
        <f>"9780674029699"</f>
        <v>9780674029699</v>
      </c>
      <c r="D7335" s="10" t="s">
        <v>34162</v>
      </c>
      <c r="E7335" s="10" t="s">
        <v>34162</v>
      </c>
      <c r="F7335" s="10" t="s">
        <v>612</v>
      </c>
      <c r="G7335" s="10" t="s">
        <v>6317</v>
      </c>
      <c r="H7335" s="11">
        <v>37680</v>
      </c>
      <c r="I7335" s="10">
        <v>2003</v>
      </c>
      <c r="J7335" s="10" t="s">
        <v>34162</v>
      </c>
      <c r="K7335" s="10">
        <v>385</v>
      </c>
      <c r="L7335" s="10" t="s">
        <v>34877</v>
      </c>
      <c r="M7335" s="10">
        <v>1</v>
      </c>
      <c r="N7335" s="10"/>
      <c r="O7335" s="10"/>
      <c r="P7335" s="10" t="s">
        <v>13083</v>
      </c>
      <c r="Q7335" s="10" t="s">
        <v>34878</v>
      </c>
      <c r="R7335" s="10" t="s">
        <v>34879</v>
      </c>
      <c r="S7335" s="10" t="s">
        <v>53</v>
      </c>
      <c r="T7335" s="10" t="s">
        <v>54</v>
      </c>
    </row>
    <row r="7336" spans="1:20" ht="14.5" x14ac:dyDescent="0.35">
      <c r="A7336" s="10" t="s">
        <v>34880</v>
      </c>
      <c r="B7336" s="10" t="str">
        <f>"9780674016040"</f>
        <v>9780674016040</v>
      </c>
      <c r="C7336" s="10" t="str">
        <f>"9780674029347"</f>
        <v>9780674029347</v>
      </c>
      <c r="D7336" s="10" t="s">
        <v>34162</v>
      </c>
      <c r="E7336" s="10" t="s">
        <v>34162</v>
      </c>
      <c r="F7336" s="10" t="s">
        <v>612</v>
      </c>
      <c r="G7336" s="10" t="s">
        <v>6317</v>
      </c>
      <c r="H7336" s="11">
        <v>37346</v>
      </c>
      <c r="I7336" s="10">
        <v>2004</v>
      </c>
      <c r="J7336" s="10" t="s">
        <v>34162</v>
      </c>
      <c r="K7336" s="10">
        <v>349</v>
      </c>
      <c r="L7336" s="10" t="s">
        <v>34881</v>
      </c>
      <c r="M7336" s="10">
        <v>1</v>
      </c>
      <c r="N7336" s="10"/>
      <c r="O7336" s="10"/>
      <c r="P7336" s="10" t="s">
        <v>34882</v>
      </c>
      <c r="Q7336" s="10" t="s">
        <v>15847</v>
      </c>
      <c r="R7336" s="10" t="s">
        <v>34883</v>
      </c>
      <c r="S7336" s="10" t="s">
        <v>53</v>
      </c>
      <c r="T7336" s="10" t="s">
        <v>54</v>
      </c>
    </row>
    <row r="7337" spans="1:20" ht="14.5" x14ac:dyDescent="0.35">
      <c r="A7337" s="10" t="s">
        <v>34884</v>
      </c>
      <c r="B7337" s="10" t="str">
        <f>"9780674792661"</f>
        <v>9780674792661</v>
      </c>
      <c r="C7337" s="10" t="str">
        <f>"9780674040670"</f>
        <v>9780674040670</v>
      </c>
      <c r="D7337" s="10" t="s">
        <v>34162</v>
      </c>
      <c r="E7337" s="10" t="s">
        <v>34162</v>
      </c>
      <c r="F7337" s="10" t="s">
        <v>612</v>
      </c>
      <c r="G7337" s="10" t="s">
        <v>6317</v>
      </c>
      <c r="H7337" s="11">
        <v>33725</v>
      </c>
      <c r="I7337" s="10">
        <v>1995</v>
      </c>
      <c r="J7337" s="10" t="s">
        <v>34162</v>
      </c>
      <c r="K7337" s="10">
        <v>249</v>
      </c>
      <c r="L7337" s="10" t="s">
        <v>18094</v>
      </c>
      <c r="M7337" s="10">
        <v>1</v>
      </c>
      <c r="N7337" s="10"/>
      <c r="O7337" s="10"/>
      <c r="P7337" s="10" t="s">
        <v>34885</v>
      </c>
      <c r="Q7337" s="10" t="s">
        <v>34886</v>
      </c>
      <c r="R7337" s="10" t="s">
        <v>34887</v>
      </c>
      <c r="S7337" s="10" t="s">
        <v>53</v>
      </c>
      <c r="T7337" s="10" t="s">
        <v>54</v>
      </c>
    </row>
    <row r="7338" spans="1:20" ht="14.5" x14ac:dyDescent="0.35">
      <c r="A7338" s="10" t="s">
        <v>34888</v>
      </c>
      <c r="B7338" s="10" t="str">
        <f>"9780674009882"</f>
        <v>9780674009882</v>
      </c>
      <c r="C7338" s="10" t="str">
        <f>"9780674034433"</f>
        <v>9780674034433</v>
      </c>
      <c r="D7338" s="10" t="s">
        <v>34162</v>
      </c>
      <c r="E7338" s="10" t="s">
        <v>34162</v>
      </c>
      <c r="F7338" s="10" t="s">
        <v>612</v>
      </c>
      <c r="G7338" s="10" t="s">
        <v>6317</v>
      </c>
      <c r="H7338" s="11">
        <v>36784</v>
      </c>
      <c r="I7338" s="10">
        <v>2002</v>
      </c>
      <c r="J7338" s="10" t="s">
        <v>34162</v>
      </c>
      <c r="K7338" s="10">
        <v>333</v>
      </c>
      <c r="L7338" s="10" t="s">
        <v>34889</v>
      </c>
      <c r="M7338" s="10">
        <v>1</v>
      </c>
      <c r="N7338" s="10"/>
      <c r="O7338" s="10"/>
      <c r="P7338" s="10" t="s">
        <v>15320</v>
      </c>
      <c r="Q7338" s="10"/>
      <c r="R7338" s="10" t="s">
        <v>34890</v>
      </c>
      <c r="S7338" s="10" t="s">
        <v>53</v>
      </c>
      <c r="T7338" s="10" t="s">
        <v>54</v>
      </c>
    </row>
    <row r="7339" spans="1:20" ht="14.5" x14ac:dyDescent="0.35">
      <c r="A7339" s="10" t="s">
        <v>34891</v>
      </c>
      <c r="B7339" s="10" t="str">
        <f>"9780674011793"</f>
        <v>9780674011793</v>
      </c>
      <c r="C7339" s="10" t="str">
        <f>"9780674020290"</f>
        <v>9780674020290</v>
      </c>
      <c r="D7339" s="10" t="s">
        <v>34162</v>
      </c>
      <c r="E7339" s="10" t="s">
        <v>34162</v>
      </c>
      <c r="F7339" s="10" t="s">
        <v>612</v>
      </c>
      <c r="G7339" s="10" t="s">
        <v>6317</v>
      </c>
      <c r="H7339" s="11">
        <v>37924</v>
      </c>
      <c r="I7339" s="10">
        <v>2005</v>
      </c>
      <c r="J7339" s="10" t="s">
        <v>34162</v>
      </c>
      <c r="K7339" s="10">
        <v>336</v>
      </c>
      <c r="L7339" s="10" t="s">
        <v>34892</v>
      </c>
      <c r="M7339" s="10">
        <v>1</v>
      </c>
      <c r="N7339" s="10"/>
      <c r="O7339" s="10"/>
      <c r="P7339" s="10" t="s">
        <v>34893</v>
      </c>
      <c r="Q7339" s="10" t="s">
        <v>9007</v>
      </c>
      <c r="R7339" s="10" t="s">
        <v>34894</v>
      </c>
      <c r="S7339" s="10" t="s">
        <v>53</v>
      </c>
      <c r="T7339" s="10" t="s">
        <v>54</v>
      </c>
    </row>
    <row r="7340" spans="1:20" ht="14.5" x14ac:dyDescent="0.35">
      <c r="A7340" s="10" t="s">
        <v>34895</v>
      </c>
      <c r="B7340" s="10" t="str">
        <f>"9780674015371"</f>
        <v>9780674015371</v>
      </c>
      <c r="C7340" s="10" t="str">
        <f>"9780674037984"</f>
        <v>9780674037984</v>
      </c>
      <c r="D7340" s="10" t="s">
        <v>34162</v>
      </c>
      <c r="E7340" s="10" t="s">
        <v>34162</v>
      </c>
      <c r="F7340" s="10" t="s">
        <v>612</v>
      </c>
      <c r="G7340" s="10" t="s">
        <v>6317</v>
      </c>
      <c r="H7340" s="11">
        <v>38320</v>
      </c>
      <c r="I7340" s="10">
        <v>2007</v>
      </c>
      <c r="J7340" s="10" t="s">
        <v>34162</v>
      </c>
      <c r="K7340" s="10">
        <v>335</v>
      </c>
      <c r="L7340" s="10" t="s">
        <v>34896</v>
      </c>
      <c r="M7340" s="10">
        <v>1</v>
      </c>
      <c r="N7340" s="10"/>
      <c r="O7340" s="10"/>
      <c r="P7340" s="10" t="s">
        <v>13195</v>
      </c>
      <c r="Q7340" s="10" t="s">
        <v>7767</v>
      </c>
      <c r="R7340" s="10" t="s">
        <v>34897</v>
      </c>
      <c r="S7340" s="10" t="s">
        <v>53</v>
      </c>
      <c r="T7340" s="10" t="s">
        <v>14975</v>
      </c>
    </row>
    <row r="7341" spans="1:20" ht="14.5" x14ac:dyDescent="0.35">
      <c r="A7341" s="10" t="s">
        <v>34898</v>
      </c>
      <c r="B7341" s="10" t="str">
        <f>"9780674016200"</f>
        <v>9780674016200</v>
      </c>
      <c r="C7341" s="10" t="str">
        <f>"9780674020344"</f>
        <v>9780674020344</v>
      </c>
      <c r="D7341" s="10" t="s">
        <v>34162</v>
      </c>
      <c r="E7341" s="10" t="s">
        <v>34162</v>
      </c>
      <c r="F7341" s="10" t="s">
        <v>612</v>
      </c>
      <c r="G7341" s="10" t="s">
        <v>6317</v>
      </c>
      <c r="H7341" s="11">
        <v>37711</v>
      </c>
      <c r="I7341" s="10">
        <v>2004</v>
      </c>
      <c r="J7341" s="10" t="s">
        <v>34162</v>
      </c>
      <c r="K7341" s="10">
        <v>398</v>
      </c>
      <c r="L7341" s="10" t="s">
        <v>34899</v>
      </c>
      <c r="M7341" s="10">
        <v>1</v>
      </c>
      <c r="N7341" s="10"/>
      <c r="O7341" s="10"/>
      <c r="P7341" s="10" t="s">
        <v>34801</v>
      </c>
      <c r="Q7341" s="10" t="s">
        <v>24137</v>
      </c>
      <c r="R7341" s="10"/>
      <c r="S7341" s="10" t="s">
        <v>53</v>
      </c>
      <c r="T7341" s="10" t="s">
        <v>54</v>
      </c>
    </row>
    <row r="7342" spans="1:20" ht="14.5" x14ac:dyDescent="0.35">
      <c r="A7342" s="10" t="s">
        <v>34900</v>
      </c>
      <c r="B7342" s="10" t="str">
        <f>"9780674012882"</f>
        <v>9780674012882</v>
      </c>
      <c r="C7342" s="10" t="str">
        <f>"9780674020894"</f>
        <v>9780674020894</v>
      </c>
      <c r="D7342" s="10" t="s">
        <v>34162</v>
      </c>
      <c r="E7342" s="10" t="s">
        <v>34162</v>
      </c>
      <c r="F7342" s="10" t="s">
        <v>612</v>
      </c>
      <c r="G7342" s="10" t="s">
        <v>6317</v>
      </c>
      <c r="H7342" s="11">
        <v>38107</v>
      </c>
      <c r="I7342" s="10">
        <v>2004</v>
      </c>
      <c r="J7342" s="10" t="s">
        <v>34162</v>
      </c>
      <c r="K7342" s="10">
        <v>409</v>
      </c>
      <c r="L7342" s="10" t="s">
        <v>34901</v>
      </c>
      <c r="M7342" s="10">
        <v>1</v>
      </c>
      <c r="N7342" s="10"/>
      <c r="O7342" s="10"/>
      <c r="P7342" s="10" t="s">
        <v>34902</v>
      </c>
      <c r="Q7342" s="10" t="s">
        <v>34903</v>
      </c>
      <c r="R7342" s="10"/>
      <c r="S7342" s="10" t="s">
        <v>53</v>
      </c>
      <c r="T7342" s="10" t="s">
        <v>54</v>
      </c>
    </row>
    <row r="7343" spans="1:20" ht="14.5" x14ac:dyDescent="0.35">
      <c r="A7343" s="10" t="s">
        <v>34904</v>
      </c>
      <c r="B7343" s="10" t="str">
        <f>"9780674013230"</f>
        <v>9780674013230</v>
      </c>
      <c r="C7343" s="10" t="str">
        <f>"9780674043923"</f>
        <v>9780674043923</v>
      </c>
      <c r="D7343" s="10" t="s">
        <v>34162</v>
      </c>
      <c r="E7343" s="10" t="s">
        <v>34162</v>
      </c>
      <c r="F7343" s="10" t="s">
        <v>612</v>
      </c>
      <c r="G7343" s="10" t="s">
        <v>6317</v>
      </c>
      <c r="H7343" s="11">
        <v>38107</v>
      </c>
      <c r="I7343" s="10">
        <v>2004</v>
      </c>
      <c r="J7343" s="10" t="s">
        <v>34162</v>
      </c>
      <c r="K7343" s="10">
        <v>220</v>
      </c>
      <c r="L7343" s="10" t="s">
        <v>34905</v>
      </c>
      <c r="M7343" s="10">
        <v>1</v>
      </c>
      <c r="N7343" s="10"/>
      <c r="O7343" s="10"/>
      <c r="P7343" s="10" t="s">
        <v>14619</v>
      </c>
      <c r="Q7343" s="10">
        <v>379.73</v>
      </c>
      <c r="R7343" s="10"/>
      <c r="S7343" s="10" t="s">
        <v>53</v>
      </c>
      <c r="T7343" s="10" t="s">
        <v>54</v>
      </c>
    </row>
    <row r="7344" spans="1:20" ht="14.5" x14ac:dyDescent="0.35">
      <c r="A7344" s="10" t="s">
        <v>34906</v>
      </c>
      <c r="B7344" s="10" t="str">
        <f>"9780674012493"</f>
        <v>9780674012493</v>
      </c>
      <c r="C7344" s="10" t="str">
        <f>"9780674038127"</f>
        <v>9780674038127</v>
      </c>
      <c r="D7344" s="10" t="s">
        <v>34162</v>
      </c>
      <c r="E7344" s="10" t="s">
        <v>34162</v>
      </c>
      <c r="F7344" s="10" t="s">
        <v>612</v>
      </c>
      <c r="G7344" s="10" t="s">
        <v>6317</v>
      </c>
      <c r="H7344" s="11">
        <v>37345</v>
      </c>
      <c r="I7344" s="10">
        <v>2003</v>
      </c>
      <c r="J7344" s="10" t="s">
        <v>34162</v>
      </c>
      <c r="K7344" s="10">
        <v>273</v>
      </c>
      <c r="L7344" s="10" t="s">
        <v>34907</v>
      </c>
      <c r="M7344" s="10">
        <v>1</v>
      </c>
      <c r="N7344" s="10"/>
      <c r="O7344" s="10"/>
      <c r="P7344" s="10" t="s">
        <v>14619</v>
      </c>
      <c r="Q7344" s="10"/>
      <c r="R7344" s="10"/>
      <c r="S7344" s="10" t="s">
        <v>53</v>
      </c>
      <c r="T7344" s="10" t="s">
        <v>54</v>
      </c>
    </row>
    <row r="7345" spans="1:20" ht="14.5" x14ac:dyDescent="0.35">
      <c r="A7345" s="10" t="s">
        <v>34908</v>
      </c>
      <c r="B7345" s="10" t="str">
        <f>"9780674750937"</f>
        <v>9780674750937</v>
      </c>
      <c r="C7345" s="10" t="str">
        <f>"9780674039377"</f>
        <v>9780674039377</v>
      </c>
      <c r="D7345" s="10" t="s">
        <v>34162</v>
      </c>
      <c r="E7345" s="10" t="s">
        <v>34162</v>
      </c>
      <c r="F7345" s="10" t="s">
        <v>612</v>
      </c>
      <c r="G7345" s="10" t="s">
        <v>6317</v>
      </c>
      <c r="H7345" s="11">
        <v>31959</v>
      </c>
      <c r="I7345" s="10">
        <v>1987</v>
      </c>
      <c r="J7345" s="10" t="s">
        <v>34162</v>
      </c>
      <c r="K7345" s="10">
        <v>225</v>
      </c>
      <c r="L7345" s="10" t="s">
        <v>34909</v>
      </c>
      <c r="M7345" s="10">
        <v>1</v>
      </c>
      <c r="N7345" s="10"/>
      <c r="O7345" s="10"/>
      <c r="P7345" s="10" t="s">
        <v>34910</v>
      </c>
      <c r="Q7345" s="10" t="s">
        <v>13808</v>
      </c>
      <c r="R7345" s="10"/>
      <c r="S7345" s="10" t="s">
        <v>53</v>
      </c>
      <c r="T7345" s="10" t="s">
        <v>54</v>
      </c>
    </row>
    <row r="7346" spans="1:20" ht="14.5" x14ac:dyDescent="0.35">
      <c r="A7346" s="10" t="s">
        <v>34911</v>
      </c>
      <c r="B7346" s="10" t="str">
        <f>"9780674869615"</f>
        <v>9780674869615</v>
      </c>
      <c r="C7346" s="10" t="str">
        <f>"9780674037892"</f>
        <v>9780674037892</v>
      </c>
      <c r="D7346" s="10" t="s">
        <v>34162</v>
      </c>
      <c r="E7346" s="10" t="s">
        <v>34162</v>
      </c>
      <c r="F7346" s="10" t="s">
        <v>612</v>
      </c>
      <c r="G7346" s="10" t="s">
        <v>6317</v>
      </c>
      <c r="H7346" s="11">
        <v>36229</v>
      </c>
      <c r="I7346" s="10">
        <v>1999</v>
      </c>
      <c r="J7346" s="10" t="s">
        <v>34162</v>
      </c>
      <c r="K7346" s="10">
        <v>289</v>
      </c>
      <c r="L7346" s="10" t="s">
        <v>34912</v>
      </c>
      <c r="M7346" s="10">
        <v>1</v>
      </c>
      <c r="N7346" s="10"/>
      <c r="O7346" s="10"/>
      <c r="P7346" s="10" t="s">
        <v>25263</v>
      </c>
      <c r="Q7346" s="10" t="s">
        <v>34913</v>
      </c>
      <c r="R7346" s="10"/>
      <c r="S7346" s="10" t="s">
        <v>53</v>
      </c>
      <c r="T7346" s="10" t="s">
        <v>54</v>
      </c>
    </row>
    <row r="7347" spans="1:20" ht="14.5" x14ac:dyDescent="0.35">
      <c r="A7347" s="10" t="s">
        <v>34914</v>
      </c>
      <c r="B7347" s="10" t="str">
        <f>"9780674032644"</f>
        <v>9780674032644</v>
      </c>
      <c r="C7347" s="10" t="str">
        <f>"9780674054493"</f>
        <v>9780674054493</v>
      </c>
      <c r="D7347" s="10" t="s">
        <v>34162</v>
      </c>
      <c r="E7347" s="10" t="s">
        <v>34162</v>
      </c>
      <c r="F7347" s="10" t="s">
        <v>612</v>
      </c>
      <c r="G7347" s="10" t="s">
        <v>6317</v>
      </c>
      <c r="H7347" s="11">
        <v>39895</v>
      </c>
      <c r="I7347" s="10">
        <v>2009</v>
      </c>
      <c r="J7347" s="10" t="s">
        <v>34162</v>
      </c>
      <c r="K7347" s="10">
        <v>273</v>
      </c>
      <c r="L7347" s="10" t="s">
        <v>34915</v>
      </c>
      <c r="M7347" s="10">
        <v>1</v>
      </c>
      <c r="N7347" s="10"/>
      <c r="O7347" s="10"/>
      <c r="P7347" s="10" t="s">
        <v>34916</v>
      </c>
      <c r="Q7347" s="10">
        <v>973.3</v>
      </c>
      <c r="R7347" s="10" t="s">
        <v>34917</v>
      </c>
      <c r="S7347" s="10" t="s">
        <v>53</v>
      </c>
      <c r="T7347" s="10" t="s">
        <v>4490</v>
      </c>
    </row>
    <row r="7348" spans="1:20" ht="14.5" x14ac:dyDescent="0.35">
      <c r="A7348" s="10" t="s">
        <v>34918</v>
      </c>
      <c r="B7348" s="10" t="str">
        <f>"9780674032668"</f>
        <v>9780674032668</v>
      </c>
      <c r="C7348" s="10" t="str">
        <f>"9780674054158"</f>
        <v>9780674054158</v>
      </c>
      <c r="D7348" s="10" t="s">
        <v>34162</v>
      </c>
      <c r="E7348" s="10" t="s">
        <v>34162</v>
      </c>
      <c r="F7348" s="10" t="s">
        <v>612</v>
      </c>
      <c r="G7348" s="10" t="s">
        <v>6317</v>
      </c>
      <c r="H7348" s="11">
        <v>39903</v>
      </c>
      <c r="I7348" s="10">
        <v>2009</v>
      </c>
      <c r="J7348" s="10" t="s">
        <v>34162</v>
      </c>
      <c r="K7348" s="10">
        <v>337</v>
      </c>
      <c r="L7348" s="10" t="s">
        <v>34919</v>
      </c>
      <c r="M7348" s="10">
        <v>1</v>
      </c>
      <c r="N7348" s="10"/>
      <c r="O7348" s="10"/>
      <c r="P7348" s="10" t="s">
        <v>34920</v>
      </c>
      <c r="Q7348" s="10" t="s">
        <v>8223</v>
      </c>
      <c r="R7348" s="10" t="s">
        <v>34921</v>
      </c>
      <c r="S7348" s="10" t="s">
        <v>53</v>
      </c>
      <c r="T7348" s="10" t="s">
        <v>54</v>
      </c>
    </row>
    <row r="7349" spans="1:20" ht="14.5" x14ac:dyDescent="0.35">
      <c r="A7349" s="10" t="s">
        <v>34922</v>
      </c>
      <c r="B7349" s="10" t="str">
        <f>"9780674032941"</f>
        <v>9780674032941</v>
      </c>
      <c r="C7349" s="10" t="str">
        <f>"9780674053922"</f>
        <v>9780674053922</v>
      </c>
      <c r="D7349" s="10" t="s">
        <v>34162</v>
      </c>
      <c r="E7349" s="10" t="s">
        <v>34162</v>
      </c>
      <c r="F7349" s="10" t="s">
        <v>612</v>
      </c>
      <c r="G7349" s="10" t="s">
        <v>6317</v>
      </c>
      <c r="H7349" s="11">
        <v>39963</v>
      </c>
      <c r="I7349" s="10">
        <v>2011</v>
      </c>
      <c r="J7349" s="10" t="s">
        <v>34162</v>
      </c>
      <c r="K7349" s="10">
        <v>237</v>
      </c>
      <c r="L7349" s="10" t="s">
        <v>34923</v>
      </c>
      <c r="M7349" s="10">
        <v>1</v>
      </c>
      <c r="N7349" s="10"/>
      <c r="O7349" s="10"/>
      <c r="P7349" s="10" t="s">
        <v>34924</v>
      </c>
      <c r="Q7349" s="10" t="s">
        <v>16540</v>
      </c>
      <c r="R7349" s="10" t="s">
        <v>34925</v>
      </c>
      <c r="S7349" s="10" t="s">
        <v>53</v>
      </c>
      <c r="T7349" s="10" t="s">
        <v>54</v>
      </c>
    </row>
    <row r="7350" spans="1:20" ht="14.5" x14ac:dyDescent="0.35">
      <c r="A7350" s="10" t="s">
        <v>34926</v>
      </c>
      <c r="B7350" s="10" t="str">
        <f>"9780674035683"</f>
        <v>9780674035683</v>
      </c>
      <c r="C7350" s="10" t="str">
        <f>"9780674053878"</f>
        <v>9780674053878</v>
      </c>
      <c r="D7350" s="10" t="s">
        <v>34162</v>
      </c>
      <c r="E7350" s="10" t="s">
        <v>34162</v>
      </c>
      <c r="F7350" s="10" t="s">
        <v>612</v>
      </c>
      <c r="G7350" s="10" t="s">
        <v>6317</v>
      </c>
      <c r="H7350" s="11">
        <v>40086</v>
      </c>
      <c r="I7350" s="10">
        <v>2009</v>
      </c>
      <c r="J7350" s="10" t="s">
        <v>34162</v>
      </c>
      <c r="K7350" s="10">
        <v>308</v>
      </c>
      <c r="L7350" s="10" t="s">
        <v>34927</v>
      </c>
      <c r="M7350" s="10">
        <v>1</v>
      </c>
      <c r="N7350" s="10"/>
      <c r="O7350" s="10"/>
      <c r="P7350" s="10" t="s">
        <v>34928</v>
      </c>
      <c r="Q7350" s="10" t="s">
        <v>34929</v>
      </c>
      <c r="R7350" s="10" t="s">
        <v>34930</v>
      </c>
      <c r="S7350" s="10" t="s">
        <v>53</v>
      </c>
      <c r="T7350" s="10" t="s">
        <v>54</v>
      </c>
    </row>
    <row r="7351" spans="1:20" ht="14.5" x14ac:dyDescent="0.35">
      <c r="A7351" s="10" t="s">
        <v>34931</v>
      </c>
      <c r="B7351" s="10" t="str">
        <f>"9780674035805"</f>
        <v>9780674035805</v>
      </c>
      <c r="C7351" s="10" t="str">
        <f>"9780674054028"</f>
        <v>9780674054028</v>
      </c>
      <c r="D7351" s="10" t="s">
        <v>34162</v>
      </c>
      <c r="E7351" s="10" t="s">
        <v>34162</v>
      </c>
      <c r="F7351" s="10" t="s">
        <v>612</v>
      </c>
      <c r="G7351" s="10" t="s">
        <v>6317</v>
      </c>
      <c r="H7351" s="11">
        <v>40056</v>
      </c>
      <c r="I7351" s="10">
        <v>2012</v>
      </c>
      <c r="J7351" s="10" t="s">
        <v>34162</v>
      </c>
      <c r="K7351" s="10">
        <v>321</v>
      </c>
      <c r="L7351" s="10" t="s">
        <v>34932</v>
      </c>
      <c r="M7351" s="10">
        <v>1</v>
      </c>
      <c r="N7351" s="10"/>
      <c r="O7351" s="10"/>
      <c r="P7351" s="10" t="s">
        <v>19049</v>
      </c>
      <c r="Q7351" s="10" t="s">
        <v>9298</v>
      </c>
      <c r="R7351" s="10" t="s">
        <v>34933</v>
      </c>
      <c r="S7351" s="10" t="s">
        <v>53</v>
      </c>
      <c r="T7351" s="10" t="s">
        <v>54</v>
      </c>
    </row>
    <row r="7352" spans="1:20" ht="14.5" x14ac:dyDescent="0.35">
      <c r="A7352" s="10" t="s">
        <v>34934</v>
      </c>
      <c r="B7352" s="10" t="str">
        <f>"9780674035485"</f>
        <v>9780674035485</v>
      </c>
      <c r="C7352" s="10" t="str">
        <f>"9780674053663"</f>
        <v>9780674053663</v>
      </c>
      <c r="D7352" s="10" t="s">
        <v>34162</v>
      </c>
      <c r="E7352" s="10" t="s">
        <v>34162</v>
      </c>
      <c r="F7352" s="10" t="s">
        <v>612</v>
      </c>
      <c r="G7352" s="10" t="s">
        <v>6317</v>
      </c>
      <c r="H7352" s="11">
        <v>40116</v>
      </c>
      <c r="I7352" s="10">
        <v>2011</v>
      </c>
      <c r="J7352" s="10" t="s">
        <v>34162</v>
      </c>
      <c r="K7352" s="10">
        <v>209</v>
      </c>
      <c r="L7352" s="10" t="s">
        <v>34935</v>
      </c>
      <c r="M7352" s="10">
        <v>1</v>
      </c>
      <c r="N7352" s="10"/>
      <c r="O7352" s="10"/>
      <c r="P7352" s="10" t="s">
        <v>14611</v>
      </c>
      <c r="Q7352" s="10" t="s">
        <v>34936</v>
      </c>
      <c r="R7352" s="10" t="s">
        <v>34937</v>
      </c>
      <c r="S7352" s="10" t="s">
        <v>53</v>
      </c>
      <c r="T7352" s="10" t="s">
        <v>54</v>
      </c>
    </row>
    <row r="7353" spans="1:20" ht="14.5" x14ac:dyDescent="0.35">
      <c r="A7353" s="10" t="s">
        <v>34938</v>
      </c>
      <c r="B7353" s="10" t="str">
        <f>"9780674748842"</f>
        <v>9780674748842</v>
      </c>
      <c r="C7353" s="10" t="str">
        <f>"9780674029354"</f>
        <v>9780674029354</v>
      </c>
      <c r="D7353" s="10" t="s">
        <v>34162</v>
      </c>
      <c r="E7353" s="10" t="s">
        <v>34162</v>
      </c>
      <c r="F7353" s="10" t="s">
        <v>612</v>
      </c>
      <c r="G7353" s="10" t="s">
        <v>6317</v>
      </c>
      <c r="H7353" s="11">
        <v>33018</v>
      </c>
      <c r="I7353" s="10">
        <v>1990</v>
      </c>
      <c r="J7353" s="10" t="s">
        <v>34162</v>
      </c>
      <c r="K7353" s="10">
        <v>208</v>
      </c>
      <c r="L7353" s="10" t="s">
        <v>34939</v>
      </c>
      <c r="M7353" s="10">
        <v>1</v>
      </c>
      <c r="N7353" s="10"/>
      <c r="O7353" s="10"/>
      <c r="P7353" s="10" t="s">
        <v>13952</v>
      </c>
      <c r="Q7353" s="10">
        <v>372.6</v>
      </c>
      <c r="R7353" s="10" t="s">
        <v>34940</v>
      </c>
      <c r="S7353" s="10" t="s">
        <v>53</v>
      </c>
      <c r="T7353" s="10" t="s">
        <v>54</v>
      </c>
    </row>
    <row r="7354" spans="1:20" ht="14.5" x14ac:dyDescent="0.35">
      <c r="A7354" s="10" t="s">
        <v>34941</v>
      </c>
      <c r="B7354" s="10" t="str">
        <f>"9780674050112"</f>
        <v>9780674050112</v>
      </c>
      <c r="C7354" s="10" t="str">
        <f>"9780674056763"</f>
        <v>9780674056763</v>
      </c>
      <c r="D7354" s="10" t="s">
        <v>34162</v>
      </c>
      <c r="E7354" s="10" t="s">
        <v>34162</v>
      </c>
      <c r="F7354" s="10" t="s">
        <v>612</v>
      </c>
      <c r="G7354" s="10" t="s">
        <v>6317</v>
      </c>
      <c r="H7354" s="11">
        <v>40267</v>
      </c>
      <c r="I7354" s="10">
        <v>2011</v>
      </c>
      <c r="J7354" s="10" t="s">
        <v>34162</v>
      </c>
      <c r="K7354" s="10">
        <v>335</v>
      </c>
      <c r="L7354" s="10" t="s">
        <v>32782</v>
      </c>
      <c r="M7354" s="10">
        <v>1</v>
      </c>
      <c r="N7354" s="10"/>
      <c r="O7354" s="10"/>
      <c r="P7354" s="10" t="s">
        <v>29161</v>
      </c>
      <c r="Q7354" s="10">
        <v>370.97300000000001</v>
      </c>
      <c r="R7354" s="10" t="s">
        <v>34942</v>
      </c>
      <c r="S7354" s="10" t="s">
        <v>53</v>
      </c>
      <c r="T7354" s="10" t="s">
        <v>54</v>
      </c>
    </row>
    <row r="7355" spans="1:20" ht="14.5" x14ac:dyDescent="0.35">
      <c r="A7355" s="10" t="s">
        <v>34943</v>
      </c>
      <c r="B7355" s="10" t="str">
        <f>"9780674048232"</f>
        <v>9780674048232</v>
      </c>
      <c r="C7355" s="10" t="str">
        <f>"9780674058590"</f>
        <v>9780674058590</v>
      </c>
      <c r="D7355" s="10" t="s">
        <v>34162</v>
      </c>
      <c r="E7355" s="10" t="s">
        <v>34162</v>
      </c>
      <c r="F7355" s="10" t="s">
        <v>612</v>
      </c>
      <c r="G7355" s="10" t="s">
        <v>6317</v>
      </c>
      <c r="H7355" s="11">
        <v>40452</v>
      </c>
      <c r="I7355" s="10">
        <v>2010</v>
      </c>
      <c r="J7355" s="10" t="s">
        <v>34162</v>
      </c>
      <c r="K7355" s="10">
        <v>224</v>
      </c>
      <c r="L7355" s="10" t="s">
        <v>34607</v>
      </c>
      <c r="M7355" s="10">
        <v>1</v>
      </c>
      <c r="N7355" s="10"/>
      <c r="O7355" s="10"/>
      <c r="P7355" s="10" t="s">
        <v>34801</v>
      </c>
      <c r="Q7355" s="10" t="s">
        <v>16512</v>
      </c>
      <c r="R7355" s="10" t="s">
        <v>34944</v>
      </c>
      <c r="S7355" s="10" t="s">
        <v>53</v>
      </c>
      <c r="T7355" s="10" t="s">
        <v>54</v>
      </c>
    </row>
    <row r="7356" spans="1:20" ht="14.5" x14ac:dyDescent="0.35">
      <c r="A7356" s="10" t="s">
        <v>34945</v>
      </c>
      <c r="B7356" s="10" t="str">
        <f>"9780674050686"</f>
        <v>9780674050686</v>
      </c>
      <c r="C7356" s="10" t="str">
        <f>"9780674058866"</f>
        <v>9780674058866</v>
      </c>
      <c r="D7356" s="10" t="s">
        <v>34162</v>
      </c>
      <c r="E7356" s="10" t="s">
        <v>34162</v>
      </c>
      <c r="F7356" s="10" t="s">
        <v>612</v>
      </c>
      <c r="G7356" s="10" t="s">
        <v>6317</v>
      </c>
      <c r="H7356" s="11">
        <v>40483</v>
      </c>
      <c r="I7356" s="10">
        <v>2012</v>
      </c>
      <c r="J7356" s="10" t="s">
        <v>34162</v>
      </c>
      <c r="K7356" s="10">
        <v>313</v>
      </c>
      <c r="L7356" s="10" t="s">
        <v>34946</v>
      </c>
      <c r="M7356" s="10">
        <v>1</v>
      </c>
      <c r="N7356" s="10"/>
      <c r="O7356" s="10"/>
      <c r="P7356" s="10" t="s">
        <v>34910</v>
      </c>
      <c r="Q7356" s="10">
        <v>370.97300000000001</v>
      </c>
      <c r="R7356" s="10" t="s">
        <v>34947</v>
      </c>
      <c r="S7356" s="10" t="s">
        <v>53</v>
      </c>
      <c r="T7356" s="10" t="s">
        <v>54</v>
      </c>
    </row>
    <row r="7357" spans="1:20" ht="14.5" x14ac:dyDescent="0.35">
      <c r="A7357" s="10" t="s">
        <v>34948</v>
      </c>
      <c r="B7357" s="10" t="str">
        <f>"9780674046528"</f>
        <v>9780674046528</v>
      </c>
      <c r="C7357" s="10" t="str">
        <f>"9780674056831"</f>
        <v>9780674056831</v>
      </c>
      <c r="D7357" s="10" t="s">
        <v>34162</v>
      </c>
      <c r="E7357" s="10" t="s">
        <v>34162</v>
      </c>
      <c r="F7357" s="10" t="s">
        <v>612</v>
      </c>
      <c r="G7357" s="10" t="s">
        <v>6317</v>
      </c>
      <c r="H7357" s="11">
        <v>40267</v>
      </c>
      <c r="I7357" s="10">
        <v>2010</v>
      </c>
      <c r="J7357" s="10" t="s">
        <v>34162</v>
      </c>
      <c r="K7357" s="10">
        <v>321</v>
      </c>
      <c r="L7357" s="10" t="s">
        <v>34949</v>
      </c>
      <c r="M7357" s="10">
        <v>1</v>
      </c>
      <c r="N7357" s="10"/>
      <c r="O7357" s="10"/>
      <c r="P7357" s="10" t="s">
        <v>34950</v>
      </c>
      <c r="Q7357" s="10" t="s">
        <v>34951</v>
      </c>
      <c r="R7357" s="10" t="s">
        <v>34952</v>
      </c>
      <c r="S7357" s="10" t="s">
        <v>53</v>
      </c>
      <c r="T7357" s="10" t="s">
        <v>54</v>
      </c>
    </row>
    <row r="7358" spans="1:20" ht="14.5" x14ac:dyDescent="0.35">
      <c r="A7358" s="10" t="s">
        <v>34953</v>
      </c>
      <c r="B7358" s="10" t="str">
        <f>"9780674049727"</f>
        <v>9780674049727</v>
      </c>
      <c r="C7358" s="10" t="str">
        <f>"9780674060883"</f>
        <v>9780674060883</v>
      </c>
      <c r="D7358" s="10" t="s">
        <v>34162</v>
      </c>
      <c r="E7358" s="10" t="s">
        <v>34162</v>
      </c>
      <c r="F7358" s="10" t="s">
        <v>612</v>
      </c>
      <c r="G7358" s="10" t="s">
        <v>6317</v>
      </c>
      <c r="H7358" s="11">
        <v>40617</v>
      </c>
      <c r="I7358" s="10">
        <v>2011</v>
      </c>
      <c r="J7358" s="10" t="s">
        <v>34162</v>
      </c>
      <c r="K7358" s="10">
        <v>303</v>
      </c>
      <c r="L7358" s="10" t="s">
        <v>34954</v>
      </c>
      <c r="M7358" s="10">
        <v>1</v>
      </c>
      <c r="N7358" s="10"/>
      <c r="O7358" s="10"/>
      <c r="P7358" s="10" t="s">
        <v>20159</v>
      </c>
      <c r="Q7358" s="10" t="s">
        <v>10077</v>
      </c>
      <c r="R7358" s="10"/>
      <c r="S7358" s="10" t="s">
        <v>53</v>
      </c>
      <c r="T7358" s="10" t="s">
        <v>54</v>
      </c>
    </row>
    <row r="7359" spans="1:20" ht="14.5" x14ac:dyDescent="0.35">
      <c r="A7359" s="10" t="s">
        <v>34955</v>
      </c>
      <c r="B7359" s="10" t="str">
        <f>"9780674057722"</f>
        <v>9780674057722</v>
      </c>
      <c r="C7359" s="10" t="str">
        <f>"9780674060999"</f>
        <v>9780674060999</v>
      </c>
      <c r="D7359" s="10" t="s">
        <v>34162</v>
      </c>
      <c r="E7359" s="10" t="s">
        <v>34162</v>
      </c>
      <c r="F7359" s="10" t="s">
        <v>612</v>
      </c>
      <c r="G7359" s="10" t="s">
        <v>6317</v>
      </c>
      <c r="H7359" s="11">
        <v>40707</v>
      </c>
      <c r="I7359" s="10">
        <v>2011</v>
      </c>
      <c r="J7359" s="10" t="s">
        <v>34162</v>
      </c>
      <c r="K7359" s="10">
        <v>335</v>
      </c>
      <c r="L7359" s="10" t="s">
        <v>34956</v>
      </c>
      <c r="M7359" s="10">
        <v>1</v>
      </c>
      <c r="N7359" s="10"/>
      <c r="O7359" s="10"/>
      <c r="P7359" s="10" t="s">
        <v>19549</v>
      </c>
      <c r="Q7359" s="10">
        <v>371.82996072999998</v>
      </c>
      <c r="R7359" s="10" t="s">
        <v>34957</v>
      </c>
      <c r="S7359" s="10" t="s">
        <v>53</v>
      </c>
      <c r="T7359" s="10" t="s">
        <v>54</v>
      </c>
    </row>
    <row r="7360" spans="1:20" ht="14.5" x14ac:dyDescent="0.35">
      <c r="A7360" s="10" t="s">
        <v>34958</v>
      </c>
      <c r="B7360" s="10" t="str">
        <f>"9780674062207"</f>
        <v>9780674062207</v>
      </c>
      <c r="C7360" s="10" t="str">
        <f>"9780674063167"</f>
        <v>9780674063167</v>
      </c>
      <c r="D7360" s="10" t="s">
        <v>34162</v>
      </c>
      <c r="E7360" s="10" t="s">
        <v>34162</v>
      </c>
      <c r="F7360" s="10" t="s">
        <v>612</v>
      </c>
      <c r="G7360" s="10" t="s">
        <v>6317</v>
      </c>
      <c r="H7360" s="11">
        <v>40831</v>
      </c>
      <c r="I7360" s="10">
        <v>2012</v>
      </c>
      <c r="J7360" s="10" t="s">
        <v>34162</v>
      </c>
      <c r="K7360" s="10">
        <v>395</v>
      </c>
      <c r="L7360" s="10" t="s">
        <v>34959</v>
      </c>
      <c r="M7360" s="10">
        <v>1</v>
      </c>
      <c r="N7360" s="10"/>
      <c r="O7360" s="10"/>
      <c r="P7360" s="10" t="s">
        <v>34960</v>
      </c>
      <c r="Q7360" s="10" t="s">
        <v>34961</v>
      </c>
      <c r="R7360" s="10" t="s">
        <v>34962</v>
      </c>
      <c r="S7360" s="10" t="s">
        <v>53</v>
      </c>
      <c r="T7360" s="10" t="s">
        <v>54</v>
      </c>
    </row>
    <row r="7361" spans="1:20" ht="14.5" x14ac:dyDescent="0.35">
      <c r="A7361" s="10" t="s">
        <v>34963</v>
      </c>
      <c r="B7361" s="10" t="str">
        <f>"9780674051102"</f>
        <v>9780674051102</v>
      </c>
      <c r="C7361" s="10" t="str">
        <f>"9780674062788"</f>
        <v>9780674062788</v>
      </c>
      <c r="D7361" s="10" t="s">
        <v>34162</v>
      </c>
      <c r="E7361" s="10" t="s">
        <v>34162</v>
      </c>
      <c r="F7361" s="10" t="s">
        <v>612</v>
      </c>
      <c r="G7361" s="10" t="s">
        <v>6317</v>
      </c>
      <c r="H7361" s="11">
        <v>40786</v>
      </c>
      <c r="I7361" s="10">
        <v>2011</v>
      </c>
      <c r="J7361" s="10" t="s">
        <v>34162</v>
      </c>
      <c r="K7361" s="10">
        <v>249</v>
      </c>
      <c r="L7361" s="10" t="s">
        <v>34964</v>
      </c>
      <c r="M7361" s="10">
        <v>1</v>
      </c>
      <c r="N7361" s="10"/>
      <c r="O7361" s="10"/>
      <c r="P7361" s="10" t="s">
        <v>34965</v>
      </c>
      <c r="Q7361" s="10">
        <v>371.10199999999998</v>
      </c>
      <c r="R7361" s="10" t="s">
        <v>18927</v>
      </c>
      <c r="S7361" s="10" t="s">
        <v>53</v>
      </c>
      <c r="T7361" s="10" t="s">
        <v>54</v>
      </c>
    </row>
    <row r="7362" spans="1:20" ht="14.5" x14ac:dyDescent="0.35">
      <c r="A7362" s="10" t="s">
        <v>34966</v>
      </c>
      <c r="B7362" s="10" t="str">
        <f>"9780674065789"</f>
        <v>9780674065789</v>
      </c>
      <c r="C7362" s="10" t="str">
        <f>"9780674065291"</f>
        <v>9780674065291</v>
      </c>
      <c r="D7362" s="10" t="s">
        <v>34162</v>
      </c>
      <c r="E7362" s="10" t="s">
        <v>34162</v>
      </c>
      <c r="F7362" s="10" t="s">
        <v>612</v>
      </c>
      <c r="G7362" s="10" t="s">
        <v>6317</v>
      </c>
      <c r="H7362" s="11">
        <v>41022</v>
      </c>
      <c r="I7362" s="10">
        <v>2012</v>
      </c>
      <c r="J7362" s="10" t="s">
        <v>34162</v>
      </c>
      <c r="K7362" s="10">
        <v>399</v>
      </c>
      <c r="L7362" s="10" t="s">
        <v>34325</v>
      </c>
      <c r="M7362" s="10">
        <v>1</v>
      </c>
      <c r="N7362" s="10" t="s">
        <v>34967</v>
      </c>
      <c r="O7362" s="10">
        <v>13</v>
      </c>
      <c r="P7362" s="10" t="s">
        <v>23105</v>
      </c>
      <c r="Q7362" s="10" t="s">
        <v>7335</v>
      </c>
      <c r="R7362" s="10"/>
      <c r="S7362" s="10" t="s">
        <v>53</v>
      </c>
      <c r="T7362" s="10" t="s">
        <v>54</v>
      </c>
    </row>
    <row r="7363" spans="1:20" ht="14.5" x14ac:dyDescent="0.35">
      <c r="A7363" s="10" t="s">
        <v>34968</v>
      </c>
      <c r="B7363" s="10" t="str">
        <f>"9780674065741"</f>
        <v>9780674065741</v>
      </c>
      <c r="C7363" s="10" t="str">
        <f>"9780674065222"</f>
        <v>9780674065222</v>
      </c>
      <c r="D7363" s="10" t="s">
        <v>34162</v>
      </c>
      <c r="E7363" s="10" t="s">
        <v>34162</v>
      </c>
      <c r="F7363" s="10" t="s">
        <v>612</v>
      </c>
      <c r="G7363" s="10" t="s">
        <v>6317</v>
      </c>
      <c r="H7363" s="11">
        <v>41071</v>
      </c>
      <c r="I7363" s="10">
        <v>2012</v>
      </c>
      <c r="J7363" s="10" t="s">
        <v>34162</v>
      </c>
      <c r="K7363" s="10">
        <v>321</v>
      </c>
      <c r="L7363" s="10" t="s">
        <v>34969</v>
      </c>
      <c r="M7363" s="10">
        <v>1</v>
      </c>
      <c r="N7363" s="10"/>
      <c r="O7363" s="10"/>
      <c r="P7363" s="10" t="s">
        <v>19519</v>
      </c>
      <c r="Q7363" s="10" t="s">
        <v>34970</v>
      </c>
      <c r="R7363" s="10" t="s">
        <v>34971</v>
      </c>
      <c r="S7363" s="10" t="s">
        <v>53</v>
      </c>
      <c r="T7363" s="10" t="s">
        <v>6363</v>
      </c>
    </row>
    <row r="7364" spans="1:20" ht="14.5" x14ac:dyDescent="0.35">
      <c r="A7364" s="10" t="s">
        <v>34972</v>
      </c>
      <c r="B7364" s="10" t="str">
        <f>"9780674064485"</f>
        <v>9780674064485</v>
      </c>
      <c r="C7364" s="10" t="str">
        <f>"9780674065093"</f>
        <v>9780674065093</v>
      </c>
      <c r="D7364" s="10" t="s">
        <v>34162</v>
      </c>
      <c r="E7364" s="10" t="s">
        <v>34162</v>
      </c>
      <c r="F7364" s="10" t="s">
        <v>612</v>
      </c>
      <c r="G7364" s="10" t="s">
        <v>6317</v>
      </c>
      <c r="H7364" s="11">
        <v>41001</v>
      </c>
      <c r="I7364" s="10">
        <v>2011</v>
      </c>
      <c r="J7364" s="10" t="s">
        <v>34162</v>
      </c>
      <c r="K7364" s="10">
        <v>229</v>
      </c>
      <c r="L7364" s="10" t="s">
        <v>34973</v>
      </c>
      <c r="M7364" s="10">
        <v>1</v>
      </c>
      <c r="N7364" s="10"/>
      <c r="O7364" s="10"/>
      <c r="P7364" s="10" t="s">
        <v>8212</v>
      </c>
      <c r="Q7364" s="10" t="s">
        <v>34974</v>
      </c>
      <c r="R7364" s="10" t="s">
        <v>34975</v>
      </c>
      <c r="S7364" s="10" t="s">
        <v>53</v>
      </c>
      <c r="T7364" s="10" t="s">
        <v>6568</v>
      </c>
    </row>
    <row r="7365" spans="1:20" ht="14.5" x14ac:dyDescent="0.35">
      <c r="A7365" s="10" t="s">
        <v>34976</v>
      </c>
      <c r="B7365" s="10" t="str">
        <f>"9780674066649"</f>
        <v>9780674066649</v>
      </c>
      <c r="C7365" s="10" t="str">
        <f>"9780674067479"</f>
        <v>9780674067479</v>
      </c>
      <c r="D7365" s="10" t="s">
        <v>34162</v>
      </c>
      <c r="E7365" s="10" t="s">
        <v>34162</v>
      </c>
      <c r="F7365" s="10" t="s">
        <v>612</v>
      </c>
      <c r="G7365" s="10" t="s">
        <v>6317</v>
      </c>
      <c r="H7365" s="11">
        <v>41148</v>
      </c>
      <c r="I7365" s="10">
        <v>2012</v>
      </c>
      <c r="J7365" s="10" t="s">
        <v>34162</v>
      </c>
      <c r="K7365" s="10">
        <v>299</v>
      </c>
      <c r="L7365" s="10" t="s">
        <v>34977</v>
      </c>
      <c r="M7365" s="10">
        <v>1</v>
      </c>
      <c r="N7365" s="10"/>
      <c r="O7365" s="10"/>
      <c r="P7365" s="10" t="s">
        <v>34978</v>
      </c>
      <c r="Q7365" s="10">
        <v>378.19799999999998</v>
      </c>
      <c r="R7365" s="10" t="s">
        <v>34979</v>
      </c>
      <c r="S7365" s="10" t="s">
        <v>53</v>
      </c>
      <c r="T7365" s="10" t="s">
        <v>54</v>
      </c>
    </row>
    <row r="7366" spans="1:20" ht="14.5" x14ac:dyDescent="0.35">
      <c r="A7366" s="10" t="s">
        <v>34980</v>
      </c>
      <c r="B7366" s="10" t="str">
        <f>"9780674059023"</f>
        <v>9780674059023</v>
      </c>
      <c r="C7366" s="10" t="str">
        <f>"9780674062900"</f>
        <v>9780674062900</v>
      </c>
      <c r="D7366" s="10" t="s">
        <v>34162</v>
      </c>
      <c r="E7366" s="10" t="s">
        <v>34162</v>
      </c>
      <c r="F7366" s="10" t="s">
        <v>612</v>
      </c>
      <c r="G7366" s="10" t="s">
        <v>6317</v>
      </c>
      <c r="H7366" s="11">
        <v>40831</v>
      </c>
      <c r="I7366" s="10">
        <v>2011</v>
      </c>
      <c r="J7366" s="10" t="s">
        <v>34162</v>
      </c>
      <c r="K7366" s="10">
        <v>391</v>
      </c>
      <c r="L7366" s="10" t="s">
        <v>34981</v>
      </c>
      <c r="M7366" s="10">
        <v>1</v>
      </c>
      <c r="N7366" s="10"/>
      <c r="O7366" s="10"/>
      <c r="P7366" s="10" t="s">
        <v>20159</v>
      </c>
      <c r="Q7366" s="10">
        <v>370.11200000000002</v>
      </c>
      <c r="R7366" s="10" t="s">
        <v>34982</v>
      </c>
      <c r="S7366" s="10" t="s">
        <v>53</v>
      </c>
      <c r="T7366" s="10" t="s">
        <v>54</v>
      </c>
    </row>
    <row r="7367" spans="1:20" ht="14.5" x14ac:dyDescent="0.35">
      <c r="A7367" s="10" t="s">
        <v>34983</v>
      </c>
      <c r="B7367" s="10" t="str">
        <f>"9780674073043"</f>
        <v>9780674073043</v>
      </c>
      <c r="C7367" s="10" t="str">
        <f>"9780674075672"</f>
        <v>9780674075672</v>
      </c>
      <c r="D7367" s="10" t="s">
        <v>34162</v>
      </c>
      <c r="E7367" s="10" t="s">
        <v>34162</v>
      </c>
      <c r="F7367" s="10" t="s">
        <v>612</v>
      </c>
      <c r="G7367" s="10" t="s">
        <v>6317</v>
      </c>
      <c r="H7367" s="11">
        <v>41344</v>
      </c>
      <c r="I7367" s="10">
        <v>2013</v>
      </c>
      <c r="J7367" s="10" t="s">
        <v>34162</v>
      </c>
      <c r="K7367" s="10">
        <v>309</v>
      </c>
      <c r="L7367" s="10" t="s">
        <v>34984</v>
      </c>
      <c r="M7367" s="10">
        <v>1</v>
      </c>
      <c r="N7367" s="10"/>
      <c r="O7367" s="10"/>
      <c r="P7367" s="10" t="s">
        <v>34985</v>
      </c>
      <c r="Q7367" s="10">
        <v>371.26097309033997</v>
      </c>
      <c r="R7367" s="10"/>
      <c r="S7367" s="10" t="s">
        <v>53</v>
      </c>
      <c r="T7367" s="10" t="s">
        <v>54</v>
      </c>
    </row>
    <row r="7368" spans="1:20" ht="14.5" x14ac:dyDescent="0.35">
      <c r="A7368" s="10" t="s">
        <v>34986</v>
      </c>
      <c r="B7368" s="10" t="str">
        <f>"9780674059092"</f>
        <v>9780674059092</v>
      </c>
      <c r="C7368" s="10" t="str">
        <f>"9780674074484"</f>
        <v>9780674074484</v>
      </c>
      <c r="D7368" s="10" t="s">
        <v>34162</v>
      </c>
      <c r="E7368" s="10" t="s">
        <v>34162</v>
      </c>
      <c r="F7368" s="10" t="s">
        <v>612</v>
      </c>
      <c r="G7368" s="10" t="s">
        <v>6317</v>
      </c>
      <c r="H7368" s="11">
        <v>41373</v>
      </c>
      <c r="I7368" s="10">
        <v>2013</v>
      </c>
      <c r="J7368" s="10" t="s">
        <v>34162</v>
      </c>
      <c r="K7368" s="10">
        <v>400</v>
      </c>
      <c r="L7368" s="10" t="s">
        <v>34987</v>
      </c>
      <c r="M7368" s="10">
        <v>1</v>
      </c>
      <c r="N7368" s="10"/>
      <c r="O7368" s="10"/>
      <c r="P7368" s="10" t="s">
        <v>19049</v>
      </c>
      <c r="Q7368" s="10" t="s">
        <v>8223</v>
      </c>
      <c r="R7368" s="10" t="s">
        <v>34988</v>
      </c>
      <c r="S7368" s="10" t="s">
        <v>53</v>
      </c>
      <c r="T7368" s="10" t="s">
        <v>54</v>
      </c>
    </row>
    <row r="7369" spans="1:20" ht="14.5" x14ac:dyDescent="0.35">
      <c r="A7369" s="10" t="s">
        <v>34989</v>
      </c>
      <c r="B7369" s="10" t="str">
        <f>"9780674049574"</f>
        <v>9780674049574</v>
      </c>
      <c r="C7369" s="10" t="str">
        <f>"9780674073517"</f>
        <v>9780674073517</v>
      </c>
      <c r="D7369" s="10" t="s">
        <v>34162</v>
      </c>
      <c r="E7369" s="10" t="s">
        <v>34162</v>
      </c>
      <c r="F7369" s="10" t="s">
        <v>612</v>
      </c>
      <c r="G7369" s="10" t="s">
        <v>6317</v>
      </c>
      <c r="H7369" s="11">
        <v>41372</v>
      </c>
      <c r="I7369" s="10">
        <v>2013</v>
      </c>
      <c r="J7369" s="10" t="s">
        <v>34162</v>
      </c>
      <c r="K7369" s="10">
        <v>345</v>
      </c>
      <c r="L7369" s="10" t="s">
        <v>34990</v>
      </c>
      <c r="M7369" s="10">
        <v>1</v>
      </c>
      <c r="N7369" s="10"/>
      <c r="O7369" s="10"/>
      <c r="P7369" s="10" t="s">
        <v>22173</v>
      </c>
      <c r="Q7369" s="10">
        <v>378.19821999999999</v>
      </c>
      <c r="R7369" s="10" t="s">
        <v>34991</v>
      </c>
      <c r="S7369" s="10" t="s">
        <v>53</v>
      </c>
      <c r="T7369" s="10" t="s">
        <v>54</v>
      </c>
    </row>
    <row r="7370" spans="1:20" ht="14.5" x14ac:dyDescent="0.35">
      <c r="A7370" s="10" t="s">
        <v>34992</v>
      </c>
      <c r="B7370" s="10" t="str">
        <f>"9780674724631"</f>
        <v>9780674724631</v>
      </c>
      <c r="C7370" s="10" t="str">
        <f>"9780674726239"</f>
        <v>9780674726239</v>
      </c>
      <c r="D7370" s="10" t="s">
        <v>34162</v>
      </c>
      <c r="E7370" s="10" t="s">
        <v>34162</v>
      </c>
      <c r="F7370" s="10" t="s">
        <v>612</v>
      </c>
      <c r="G7370" s="10" t="s">
        <v>6317</v>
      </c>
      <c r="H7370" s="11">
        <v>41519</v>
      </c>
      <c r="I7370" s="10">
        <v>2013</v>
      </c>
      <c r="J7370" s="10" t="s">
        <v>34162</v>
      </c>
      <c r="K7370" s="10">
        <v>267</v>
      </c>
      <c r="L7370" s="10" t="s">
        <v>34993</v>
      </c>
      <c r="M7370" s="10">
        <v>1</v>
      </c>
      <c r="N7370" s="10"/>
      <c r="O7370" s="10"/>
      <c r="P7370" s="10" t="s">
        <v>34994</v>
      </c>
      <c r="Q7370" s="10">
        <v>371.58</v>
      </c>
      <c r="R7370" s="10"/>
      <c r="S7370" s="10" t="s">
        <v>53</v>
      </c>
      <c r="T7370" s="10" t="s">
        <v>54</v>
      </c>
    </row>
    <row r="7371" spans="1:20" ht="14.5" x14ac:dyDescent="0.35">
      <c r="A7371" s="10" t="s">
        <v>34995</v>
      </c>
      <c r="B7371" s="10" t="str">
        <f>"9780674724723"</f>
        <v>9780674724723</v>
      </c>
      <c r="C7371" s="10" t="str">
        <f>"9780674728318"</f>
        <v>9780674728318</v>
      </c>
      <c r="D7371" s="10" t="s">
        <v>34162</v>
      </c>
      <c r="E7371" s="10" t="s">
        <v>34162</v>
      </c>
      <c r="F7371" s="10" t="s">
        <v>612</v>
      </c>
      <c r="G7371" s="10" t="s">
        <v>6317</v>
      </c>
      <c r="H7371" s="11">
        <v>41555</v>
      </c>
      <c r="I7371" s="10">
        <v>2013</v>
      </c>
      <c r="J7371" s="10" t="s">
        <v>34162</v>
      </c>
      <c r="K7371" s="10">
        <v>332</v>
      </c>
      <c r="L7371" s="10" t="s">
        <v>34996</v>
      </c>
      <c r="M7371" s="10">
        <v>1</v>
      </c>
      <c r="N7371" s="10"/>
      <c r="O7371" s="10"/>
      <c r="P7371" s="10" t="s">
        <v>13200</v>
      </c>
      <c r="Q7371" s="10">
        <v>372.47</v>
      </c>
      <c r="R7371" s="10" t="s">
        <v>34997</v>
      </c>
      <c r="S7371" s="10" t="s">
        <v>53</v>
      </c>
      <c r="T7371" s="10" t="s">
        <v>54</v>
      </c>
    </row>
    <row r="7372" spans="1:20" ht="14.5" x14ac:dyDescent="0.35">
      <c r="A7372" s="10" t="s">
        <v>34998</v>
      </c>
      <c r="B7372" s="10" t="str">
        <f>"9780674055360"</f>
        <v>9780674055360</v>
      </c>
      <c r="C7372" s="10" t="str">
        <f>"9780674726345"</f>
        <v>9780674726345</v>
      </c>
      <c r="D7372" s="10" t="s">
        <v>34162</v>
      </c>
      <c r="E7372" s="10" t="s">
        <v>34162</v>
      </c>
      <c r="F7372" s="10" t="s">
        <v>612</v>
      </c>
      <c r="G7372" s="10" t="s">
        <v>6317</v>
      </c>
      <c r="H7372" s="11">
        <v>41645</v>
      </c>
      <c r="I7372" s="10">
        <v>2013</v>
      </c>
      <c r="J7372" s="10" t="s">
        <v>34162</v>
      </c>
      <c r="K7372" s="10">
        <v>201</v>
      </c>
      <c r="L7372" s="10" t="s">
        <v>34999</v>
      </c>
      <c r="M7372" s="10">
        <v>1</v>
      </c>
      <c r="N7372" s="10"/>
      <c r="O7372" s="10"/>
      <c r="P7372" s="10" t="s">
        <v>35000</v>
      </c>
      <c r="Q7372" s="10" t="s">
        <v>18149</v>
      </c>
      <c r="R7372" s="10" t="s">
        <v>35001</v>
      </c>
      <c r="S7372" s="10" t="s">
        <v>53</v>
      </c>
      <c r="T7372" s="10" t="s">
        <v>54</v>
      </c>
    </row>
    <row r="7373" spans="1:20" ht="14.5" x14ac:dyDescent="0.35">
      <c r="A7373" s="10" t="s">
        <v>35002</v>
      </c>
      <c r="B7373" s="10" t="str">
        <f>"9780674725102"</f>
        <v>9780674725102</v>
      </c>
      <c r="C7373" s="10" t="str">
        <f>"9780674726291"</f>
        <v>9780674726291</v>
      </c>
      <c r="D7373" s="10" t="s">
        <v>34162</v>
      </c>
      <c r="E7373" s="10" t="s">
        <v>34162</v>
      </c>
      <c r="F7373" s="10" t="s">
        <v>612</v>
      </c>
      <c r="G7373" s="10" t="s">
        <v>6317</v>
      </c>
      <c r="H7373" s="11">
        <v>41645</v>
      </c>
      <c r="I7373" s="10">
        <v>2014</v>
      </c>
      <c r="J7373" s="10" t="s">
        <v>34162</v>
      </c>
      <c r="K7373" s="10">
        <v>323</v>
      </c>
      <c r="L7373" s="10" t="s">
        <v>35003</v>
      </c>
      <c r="M7373" s="10">
        <v>1</v>
      </c>
      <c r="N7373" s="10"/>
      <c r="O7373" s="10"/>
      <c r="P7373" s="10" t="s">
        <v>34885</v>
      </c>
      <c r="Q7373" s="10" t="s">
        <v>18116</v>
      </c>
      <c r="R7373" s="10" t="s">
        <v>35004</v>
      </c>
      <c r="S7373" s="10" t="s">
        <v>53</v>
      </c>
      <c r="T7373" s="10" t="s">
        <v>54</v>
      </c>
    </row>
    <row r="7374" spans="1:20" ht="14.5" x14ac:dyDescent="0.35">
      <c r="A7374" s="10" t="s">
        <v>35005</v>
      </c>
      <c r="B7374" s="10" t="str">
        <f>"9780674049024"</f>
        <v>9780674049024</v>
      </c>
      <c r="C7374" s="10" t="str">
        <f>"9780674726093"</f>
        <v>9780674726093</v>
      </c>
      <c r="D7374" s="10" t="s">
        <v>34162</v>
      </c>
      <c r="E7374" s="10" t="s">
        <v>34162</v>
      </c>
      <c r="F7374" s="10" t="s">
        <v>612</v>
      </c>
      <c r="G7374" s="10" t="s">
        <v>6317</v>
      </c>
      <c r="H7374" s="11">
        <v>41687</v>
      </c>
      <c r="I7374" s="10">
        <v>2013</v>
      </c>
      <c r="J7374" s="10" t="s">
        <v>34162</v>
      </c>
      <c r="K7374" s="10">
        <v>219</v>
      </c>
      <c r="L7374" s="10" t="s">
        <v>35006</v>
      </c>
      <c r="M7374" s="10">
        <v>1</v>
      </c>
      <c r="N7374" s="10"/>
      <c r="O7374" s="10"/>
      <c r="P7374" s="10" t="s">
        <v>34978</v>
      </c>
      <c r="Q7374" s="10">
        <v>378</v>
      </c>
      <c r="R7374" s="10" t="s">
        <v>35007</v>
      </c>
      <c r="S7374" s="10" t="s">
        <v>53</v>
      </c>
      <c r="T7374" s="10" t="s">
        <v>54</v>
      </c>
    </row>
    <row r="7375" spans="1:20" ht="14.5" x14ac:dyDescent="0.35">
      <c r="A7375" s="10" t="s">
        <v>35008</v>
      </c>
      <c r="B7375" s="10" t="str">
        <f>"9780674724914"</f>
        <v>9780674724914</v>
      </c>
      <c r="C7375" s="10" t="str">
        <f>"9780674419346"</f>
        <v>9780674419346</v>
      </c>
      <c r="D7375" s="10" t="s">
        <v>34162</v>
      </c>
      <c r="E7375" s="10" t="s">
        <v>34162</v>
      </c>
      <c r="F7375" s="10" t="s">
        <v>612</v>
      </c>
      <c r="G7375" s="10" t="s">
        <v>6317</v>
      </c>
      <c r="H7375" s="11">
        <v>41697</v>
      </c>
      <c r="I7375" s="10">
        <v>2014</v>
      </c>
      <c r="J7375" s="10" t="s">
        <v>34162</v>
      </c>
      <c r="K7375" s="10">
        <v>238</v>
      </c>
      <c r="L7375" s="10" t="s">
        <v>35009</v>
      </c>
      <c r="M7375" s="10">
        <v>1</v>
      </c>
      <c r="N7375" s="10" t="s">
        <v>35010</v>
      </c>
      <c r="O7375" s="10">
        <v>14</v>
      </c>
      <c r="P7375" s="10" t="s">
        <v>11133</v>
      </c>
      <c r="Q7375" s="10"/>
      <c r="R7375" s="10" t="s">
        <v>35011</v>
      </c>
      <c r="S7375" s="10" t="s">
        <v>53</v>
      </c>
      <c r="T7375" s="10" t="s">
        <v>54</v>
      </c>
    </row>
    <row r="7376" spans="1:20" ht="14.5" x14ac:dyDescent="0.35">
      <c r="A7376" s="10" t="s">
        <v>35012</v>
      </c>
      <c r="B7376" s="10" t="str">
        <f>"9780817910143"</f>
        <v>9780817910143</v>
      </c>
      <c r="C7376" s="10" t="str">
        <f>"9780817910136"</f>
        <v>9780817910136</v>
      </c>
      <c r="D7376" s="10" t="s">
        <v>9215</v>
      </c>
      <c r="E7376" s="10" t="s">
        <v>26180</v>
      </c>
      <c r="F7376" s="10" t="s">
        <v>26185</v>
      </c>
      <c r="G7376" s="10" t="s">
        <v>6317</v>
      </c>
      <c r="H7376" s="11">
        <v>40210</v>
      </c>
      <c r="I7376" s="10">
        <v>2010</v>
      </c>
      <c r="J7376" s="10" t="s">
        <v>26180</v>
      </c>
      <c r="K7376" s="10">
        <v>153</v>
      </c>
      <c r="L7376" s="10" t="s">
        <v>26194</v>
      </c>
      <c r="M7376" s="10">
        <v>1</v>
      </c>
      <c r="N7376" s="10" t="s">
        <v>35013</v>
      </c>
      <c r="O7376" s="10"/>
      <c r="P7376" s="10" t="s">
        <v>35014</v>
      </c>
      <c r="Q7376" s="10">
        <v>371.2</v>
      </c>
      <c r="R7376" s="10" t="s">
        <v>35015</v>
      </c>
      <c r="S7376" s="10" t="s">
        <v>53</v>
      </c>
      <c r="T7376" s="10" t="s">
        <v>54</v>
      </c>
    </row>
    <row r="7377" spans="1:20" ht="14.5" x14ac:dyDescent="0.35">
      <c r="A7377" s="10" t="s">
        <v>35016</v>
      </c>
      <c r="B7377" s="10" t="str">
        <f>"9780817945220"</f>
        <v>9780817945220</v>
      </c>
      <c r="C7377" s="10" t="str">
        <f>"9780817945237"</f>
        <v>9780817945237</v>
      </c>
      <c r="D7377" s="10" t="s">
        <v>9215</v>
      </c>
      <c r="E7377" s="10" t="s">
        <v>26180</v>
      </c>
      <c r="F7377" s="10" t="s">
        <v>26185</v>
      </c>
      <c r="G7377" s="10" t="s">
        <v>6317</v>
      </c>
      <c r="H7377" s="11">
        <v>38108</v>
      </c>
      <c r="I7377" s="10">
        <v>2004</v>
      </c>
      <c r="J7377" s="10" t="s">
        <v>26180</v>
      </c>
      <c r="K7377" s="10">
        <v>220</v>
      </c>
      <c r="L7377" s="10" t="s">
        <v>35017</v>
      </c>
      <c r="M7377" s="10"/>
      <c r="N7377" s="10" t="s">
        <v>35018</v>
      </c>
      <c r="O7377" s="10"/>
      <c r="P7377" s="10" t="s">
        <v>35019</v>
      </c>
      <c r="Q7377" s="10" t="s">
        <v>35020</v>
      </c>
      <c r="R7377" s="10" t="s">
        <v>35021</v>
      </c>
      <c r="S7377" s="10" t="s">
        <v>53</v>
      </c>
      <c r="T7377" s="10" t="s">
        <v>5396</v>
      </c>
    </row>
    <row r="7378" spans="1:20" ht="14.5" x14ac:dyDescent="0.35">
      <c r="A7378" s="10" t="s">
        <v>35022</v>
      </c>
      <c r="B7378" s="10" t="str">
        <f>"9780817913540"</f>
        <v>9780817913540</v>
      </c>
      <c r="C7378" s="10" t="str">
        <f>"9780817913564"</f>
        <v>9780817913564</v>
      </c>
      <c r="D7378" s="10" t="s">
        <v>9215</v>
      </c>
      <c r="E7378" s="10" t="s">
        <v>26180</v>
      </c>
      <c r="F7378" s="10" t="s">
        <v>26185</v>
      </c>
      <c r="G7378" s="10" t="s">
        <v>6317</v>
      </c>
      <c r="H7378" s="11">
        <v>40664</v>
      </c>
      <c r="I7378" s="10">
        <v>2011</v>
      </c>
      <c r="J7378" s="10" t="s">
        <v>26180</v>
      </c>
      <c r="K7378" s="10">
        <v>119</v>
      </c>
      <c r="L7378" s="10" t="s">
        <v>35023</v>
      </c>
      <c r="M7378" s="10">
        <v>1</v>
      </c>
      <c r="N7378" s="10" t="s">
        <v>35013</v>
      </c>
      <c r="O7378" s="10"/>
      <c r="P7378" s="10" t="s">
        <v>35024</v>
      </c>
      <c r="Q7378" s="10">
        <v>371.26097299999998</v>
      </c>
      <c r="R7378" s="10" t="s">
        <v>35025</v>
      </c>
      <c r="S7378" s="10" t="s">
        <v>53</v>
      </c>
      <c r="T7378" s="10" t="s">
        <v>54</v>
      </c>
    </row>
    <row r="7379" spans="1:20" ht="14.5" x14ac:dyDescent="0.35">
      <c r="A7379" s="10" t="s">
        <v>35026</v>
      </c>
      <c r="B7379" s="10" t="str">
        <f>"9780817949518"</f>
        <v>9780817949518</v>
      </c>
      <c r="C7379" s="10" t="str">
        <f>"9780817949532"</f>
        <v>9780817949532</v>
      </c>
      <c r="D7379" s="10" t="s">
        <v>9215</v>
      </c>
      <c r="E7379" s="10" t="s">
        <v>26180</v>
      </c>
      <c r="F7379" s="10" t="s">
        <v>26185</v>
      </c>
      <c r="G7379" s="10" t="s">
        <v>6317</v>
      </c>
      <c r="H7379" s="11">
        <v>40238</v>
      </c>
      <c r="I7379" s="10">
        <v>2010</v>
      </c>
      <c r="J7379" s="10" t="s">
        <v>26180</v>
      </c>
      <c r="K7379" s="10">
        <v>130</v>
      </c>
      <c r="L7379" s="10" t="s">
        <v>35023</v>
      </c>
      <c r="M7379" s="10">
        <v>1</v>
      </c>
      <c r="N7379" s="10" t="s">
        <v>35013</v>
      </c>
      <c r="O7379" s="10"/>
      <c r="P7379" s="10" t="s">
        <v>35027</v>
      </c>
      <c r="Q7379" s="10" t="s">
        <v>17621</v>
      </c>
      <c r="R7379" s="10" t="s">
        <v>35028</v>
      </c>
      <c r="S7379" s="10" t="s">
        <v>53</v>
      </c>
      <c r="T7379" s="10" t="s">
        <v>54</v>
      </c>
    </row>
    <row r="7380" spans="1:20" ht="14.5" x14ac:dyDescent="0.35">
      <c r="A7380" s="10" t="s">
        <v>35029</v>
      </c>
      <c r="B7380" s="10" t="str">
        <f>"9780817915643"</f>
        <v>9780817915643</v>
      </c>
      <c r="C7380" s="10" t="str">
        <f>"9780817915667"</f>
        <v>9780817915667</v>
      </c>
      <c r="D7380" s="10" t="s">
        <v>9215</v>
      </c>
      <c r="E7380" s="10" t="s">
        <v>26180</v>
      </c>
      <c r="F7380" s="10" t="s">
        <v>26185</v>
      </c>
      <c r="G7380" s="10" t="s">
        <v>6317</v>
      </c>
      <c r="H7380" s="11">
        <v>41214</v>
      </c>
      <c r="I7380" s="10">
        <v>2012</v>
      </c>
      <c r="J7380" s="10" t="s">
        <v>26180</v>
      </c>
      <c r="K7380" s="10">
        <v>193</v>
      </c>
      <c r="L7380" s="10" t="s">
        <v>35030</v>
      </c>
      <c r="M7380" s="10"/>
      <c r="N7380" s="10"/>
      <c r="O7380" s="10"/>
      <c r="P7380" s="10" t="s">
        <v>35031</v>
      </c>
      <c r="Q7380" s="10">
        <v>371.1</v>
      </c>
      <c r="R7380" s="10" t="s">
        <v>35032</v>
      </c>
      <c r="S7380" s="10" t="s">
        <v>53</v>
      </c>
      <c r="T7380" s="10" t="s">
        <v>54</v>
      </c>
    </row>
    <row r="7381" spans="1:20" ht="14.5" x14ac:dyDescent="0.35">
      <c r="A7381" s="10" t="s">
        <v>35033</v>
      </c>
      <c r="B7381" s="10" t="str">
        <f>"9780817949822"</f>
        <v>9780817949822</v>
      </c>
      <c r="C7381" s="10" t="str">
        <f>"9780817949839"</f>
        <v>9780817949839</v>
      </c>
      <c r="D7381" s="10" t="s">
        <v>9215</v>
      </c>
      <c r="E7381" s="10" t="s">
        <v>26180</v>
      </c>
      <c r="F7381" s="10" t="s">
        <v>26185</v>
      </c>
      <c r="G7381" s="10" t="s">
        <v>6317</v>
      </c>
      <c r="H7381" s="11">
        <v>39904</v>
      </c>
      <c r="I7381" s="10">
        <v>2009</v>
      </c>
      <c r="J7381" s="10" t="s">
        <v>26180</v>
      </c>
      <c r="K7381" s="10">
        <v>98</v>
      </c>
      <c r="L7381" s="10" t="s">
        <v>35034</v>
      </c>
      <c r="M7381" s="10">
        <v>1</v>
      </c>
      <c r="N7381" s="10" t="s">
        <v>35013</v>
      </c>
      <c r="O7381" s="10"/>
      <c r="P7381" s="10" t="s">
        <v>35035</v>
      </c>
      <c r="Q7381" s="10" t="s">
        <v>11803</v>
      </c>
      <c r="R7381" s="10" t="s">
        <v>35036</v>
      </c>
      <c r="S7381" s="10" t="s">
        <v>53</v>
      </c>
      <c r="T7381" s="10" t="s">
        <v>54</v>
      </c>
    </row>
    <row r="7382" spans="1:20" ht="14.5" x14ac:dyDescent="0.35">
      <c r="A7382" s="10" t="s">
        <v>35037</v>
      </c>
      <c r="B7382" s="10" t="str">
        <f>"9780817949914"</f>
        <v>9780817949914</v>
      </c>
      <c r="C7382" s="10" t="str">
        <f>"9780817949938"</f>
        <v>9780817949938</v>
      </c>
      <c r="D7382" s="10" t="s">
        <v>9215</v>
      </c>
      <c r="E7382" s="10" t="s">
        <v>26180</v>
      </c>
      <c r="F7382" s="10" t="s">
        <v>26185</v>
      </c>
      <c r="G7382" s="10" t="s">
        <v>6317</v>
      </c>
      <c r="H7382" s="11">
        <v>39965</v>
      </c>
      <c r="I7382" s="10">
        <v>2009</v>
      </c>
      <c r="J7382" s="10" t="s">
        <v>26180</v>
      </c>
      <c r="K7382" s="10">
        <v>136</v>
      </c>
      <c r="L7382" s="10" t="s">
        <v>35038</v>
      </c>
      <c r="M7382" s="10">
        <v>1</v>
      </c>
      <c r="N7382" s="10" t="s">
        <v>35039</v>
      </c>
      <c r="O7382" s="10"/>
      <c r="P7382" s="10" t="s">
        <v>35040</v>
      </c>
      <c r="Q7382" s="10">
        <v>372.21097300000002</v>
      </c>
      <c r="R7382" s="10" t="s">
        <v>35041</v>
      </c>
      <c r="S7382" s="10" t="s">
        <v>53</v>
      </c>
      <c r="T7382" s="10" t="s">
        <v>54</v>
      </c>
    </row>
    <row r="7383" spans="1:20" ht="14.5" x14ac:dyDescent="0.35">
      <c r="A7383" s="10" t="s">
        <v>35042</v>
      </c>
      <c r="B7383" s="10" t="str">
        <f>"9780817929626"</f>
        <v>9780817929626</v>
      </c>
      <c r="C7383" s="10" t="str">
        <f>"9780817929633"</f>
        <v>9780817929633</v>
      </c>
      <c r="D7383" s="10" t="s">
        <v>9215</v>
      </c>
      <c r="E7383" s="10" t="s">
        <v>26180</v>
      </c>
      <c r="F7383" s="10" t="s">
        <v>26185</v>
      </c>
      <c r="G7383" s="10" t="s">
        <v>6317</v>
      </c>
      <c r="H7383" s="11">
        <v>37316</v>
      </c>
      <c r="I7383" s="10">
        <v>2002</v>
      </c>
      <c r="J7383" s="10" t="s">
        <v>26180</v>
      </c>
      <c r="K7383" s="10">
        <v>217</v>
      </c>
      <c r="L7383" s="10" t="s">
        <v>35043</v>
      </c>
      <c r="M7383" s="10">
        <v>1</v>
      </c>
      <c r="N7383" s="10" t="s">
        <v>35018</v>
      </c>
      <c r="O7383" s="10">
        <v>508</v>
      </c>
      <c r="P7383" s="10" t="s">
        <v>35044</v>
      </c>
      <c r="Q7383" s="10" t="s">
        <v>8266</v>
      </c>
      <c r="R7383" s="10" t="s">
        <v>35045</v>
      </c>
      <c r="S7383" s="10" t="s">
        <v>53</v>
      </c>
      <c r="T7383" s="10" t="s">
        <v>54</v>
      </c>
    </row>
    <row r="7384" spans="1:20" ht="14.5" x14ac:dyDescent="0.35">
      <c r="A7384" s="10" t="s">
        <v>35046</v>
      </c>
      <c r="B7384" s="10" t="str">
        <f>"9781931003704"</f>
        <v>9781931003704</v>
      </c>
      <c r="C7384" s="10" t="str">
        <f>""</f>
        <v/>
      </c>
      <c r="D7384" s="10" t="s">
        <v>35047</v>
      </c>
      <c r="E7384" s="10" t="s">
        <v>35047</v>
      </c>
      <c r="F7384" s="10" t="s">
        <v>88</v>
      </c>
      <c r="G7384" s="10" t="s">
        <v>6317</v>
      </c>
      <c r="H7384" s="11">
        <v>37987</v>
      </c>
      <c r="I7384" s="10">
        <v>2004</v>
      </c>
      <c r="J7384" s="10" t="s">
        <v>35047</v>
      </c>
      <c r="K7384" s="10">
        <v>240</v>
      </c>
      <c r="L7384" s="10" t="s">
        <v>35048</v>
      </c>
      <c r="M7384" s="10"/>
      <c r="N7384" s="10"/>
      <c r="O7384" s="10"/>
      <c r="P7384" s="10" t="s">
        <v>35049</v>
      </c>
      <c r="Q7384" s="10"/>
      <c r="R7384" s="10" t="s">
        <v>35050</v>
      </c>
      <c r="S7384" s="10" t="s">
        <v>119</v>
      </c>
      <c r="T7384" s="10" t="s">
        <v>54</v>
      </c>
    </row>
    <row r="7385" spans="1:20" ht="14.5" x14ac:dyDescent="0.35">
      <c r="A7385" s="10" t="s">
        <v>35051</v>
      </c>
      <c r="B7385" s="10" t="str">
        <f>"9781931003995"</f>
        <v>9781931003995</v>
      </c>
      <c r="C7385" s="10" t="str">
        <f>""</f>
        <v/>
      </c>
      <c r="D7385" s="10" t="s">
        <v>35047</v>
      </c>
      <c r="E7385" s="10" t="s">
        <v>35047</v>
      </c>
      <c r="F7385" s="10" t="s">
        <v>88</v>
      </c>
      <c r="G7385" s="10" t="s">
        <v>6317</v>
      </c>
      <c r="H7385" s="11">
        <v>38353</v>
      </c>
      <c r="I7385" s="10">
        <v>2005</v>
      </c>
      <c r="J7385" s="10" t="s">
        <v>35047</v>
      </c>
      <c r="K7385" s="10">
        <v>292</v>
      </c>
      <c r="L7385" s="10" t="s">
        <v>35052</v>
      </c>
      <c r="M7385" s="10"/>
      <c r="N7385" s="10"/>
      <c r="O7385" s="10"/>
      <c r="P7385" s="10" t="s">
        <v>35053</v>
      </c>
      <c r="Q7385" s="10"/>
      <c r="R7385" s="10" t="s">
        <v>35054</v>
      </c>
      <c r="S7385" s="10" t="s">
        <v>53</v>
      </c>
      <c r="T7385" s="10" t="s">
        <v>4859</v>
      </c>
    </row>
    <row r="7386" spans="1:20" ht="14.5" x14ac:dyDescent="0.35">
      <c r="A7386" s="10" t="s">
        <v>35055</v>
      </c>
      <c r="B7386" s="10" t="str">
        <f>"9781931003339"</f>
        <v>9781931003339</v>
      </c>
      <c r="C7386" s="10" t="str">
        <f>""</f>
        <v/>
      </c>
      <c r="D7386" s="10" t="s">
        <v>35047</v>
      </c>
      <c r="E7386" s="10" t="s">
        <v>35047</v>
      </c>
      <c r="F7386" s="10" t="s">
        <v>88</v>
      </c>
      <c r="G7386" s="10" t="s">
        <v>6317</v>
      </c>
      <c r="H7386" s="11">
        <v>37257</v>
      </c>
      <c r="I7386" s="10">
        <v>2002</v>
      </c>
      <c r="J7386" s="10" t="s">
        <v>35047</v>
      </c>
      <c r="K7386" s="10">
        <v>216</v>
      </c>
      <c r="L7386" s="10" t="s">
        <v>35056</v>
      </c>
      <c r="M7386" s="10"/>
      <c r="N7386" s="10"/>
      <c r="O7386" s="10"/>
      <c r="P7386" s="10" t="s">
        <v>35057</v>
      </c>
      <c r="Q7386" s="10">
        <v>370.98</v>
      </c>
      <c r="R7386" s="10" t="s">
        <v>35058</v>
      </c>
      <c r="S7386" s="10" t="s">
        <v>53</v>
      </c>
      <c r="T7386" s="10" t="s">
        <v>54</v>
      </c>
    </row>
    <row r="7387" spans="1:20" ht="14.5" x14ac:dyDescent="0.35">
      <c r="A7387" s="10" t="s">
        <v>35059</v>
      </c>
      <c r="B7387" s="10" t="str">
        <f>"9780970213075"</f>
        <v>9780970213075</v>
      </c>
      <c r="C7387" s="10" t="str">
        <f>"9781932716856"</f>
        <v>9781932716856</v>
      </c>
      <c r="D7387" s="10" t="s">
        <v>35060</v>
      </c>
      <c r="E7387" s="10" t="s">
        <v>35061</v>
      </c>
      <c r="F7387" s="10" t="s">
        <v>70</v>
      </c>
      <c r="G7387" s="10" t="s">
        <v>6317</v>
      </c>
      <c r="H7387" s="11">
        <v>37347</v>
      </c>
      <c r="I7387" s="10">
        <v>2002</v>
      </c>
      <c r="J7387" s="10" t="s">
        <v>35061</v>
      </c>
      <c r="K7387" s="10">
        <v>383</v>
      </c>
      <c r="L7387" s="10" t="s">
        <v>35062</v>
      </c>
      <c r="M7387" s="10"/>
      <c r="N7387" s="10"/>
      <c r="O7387" s="10"/>
      <c r="P7387" s="10" t="s">
        <v>35063</v>
      </c>
      <c r="Q7387" s="10"/>
      <c r="R7387" s="10" t="s">
        <v>35064</v>
      </c>
      <c r="S7387" s="10" t="s">
        <v>53</v>
      </c>
      <c r="T7387" s="10" t="s">
        <v>1166</v>
      </c>
    </row>
    <row r="7388" spans="1:20" ht="14.5" x14ac:dyDescent="0.35">
      <c r="A7388" s="10" t="s">
        <v>35065</v>
      </c>
      <c r="B7388" s="10" t="str">
        <f>"9780970213051"</f>
        <v>9780970213051</v>
      </c>
      <c r="C7388" s="10" t="str">
        <f>"9781617700354"</f>
        <v>9781617700354</v>
      </c>
      <c r="D7388" s="10" t="s">
        <v>35060</v>
      </c>
      <c r="E7388" s="10" t="s">
        <v>35061</v>
      </c>
      <c r="F7388" s="10" t="s">
        <v>70</v>
      </c>
      <c r="G7388" s="10" t="s">
        <v>6317</v>
      </c>
      <c r="H7388" s="11">
        <v>37316</v>
      </c>
      <c r="I7388" s="10">
        <v>2002</v>
      </c>
      <c r="J7388" s="10" t="s">
        <v>35061</v>
      </c>
      <c r="K7388" s="10">
        <v>326</v>
      </c>
      <c r="L7388" s="10" t="s">
        <v>35066</v>
      </c>
      <c r="M7388" s="10"/>
      <c r="N7388" s="10"/>
      <c r="O7388" s="10"/>
      <c r="P7388" s="10" t="s">
        <v>35067</v>
      </c>
      <c r="Q7388" s="10"/>
      <c r="R7388" s="10" t="s">
        <v>35064</v>
      </c>
      <c r="S7388" s="10" t="s">
        <v>53</v>
      </c>
      <c r="T7388" s="10" t="s">
        <v>1166</v>
      </c>
    </row>
    <row r="7389" spans="1:20" ht="14.5" x14ac:dyDescent="0.35">
      <c r="A7389" s="10" t="s">
        <v>35068</v>
      </c>
      <c r="B7389" s="10" t="str">
        <f>"9780970213044"</f>
        <v>9780970213044</v>
      </c>
      <c r="C7389" s="10" t="str">
        <f>"9781932716948"</f>
        <v>9781932716948</v>
      </c>
      <c r="D7389" s="10" t="s">
        <v>35060</v>
      </c>
      <c r="E7389" s="10" t="s">
        <v>35061</v>
      </c>
      <c r="F7389" s="10" t="s">
        <v>70</v>
      </c>
      <c r="G7389" s="10" t="s">
        <v>6317</v>
      </c>
      <c r="H7389" s="11">
        <v>37226</v>
      </c>
      <c r="I7389" s="10">
        <v>2002</v>
      </c>
      <c r="J7389" s="10" t="s">
        <v>35061</v>
      </c>
      <c r="K7389" s="10">
        <v>281</v>
      </c>
      <c r="L7389" s="10" t="s">
        <v>35069</v>
      </c>
      <c r="M7389" s="10"/>
      <c r="N7389" s="10"/>
      <c r="O7389" s="10"/>
      <c r="P7389" s="10" t="s">
        <v>35070</v>
      </c>
      <c r="Q7389" s="10">
        <v>808.53</v>
      </c>
      <c r="R7389" s="10" t="s">
        <v>35064</v>
      </c>
      <c r="S7389" s="10" t="s">
        <v>53</v>
      </c>
      <c r="T7389" s="10" t="s">
        <v>1166</v>
      </c>
    </row>
    <row r="7390" spans="1:20" ht="14.5" x14ac:dyDescent="0.35">
      <c r="A7390" s="10" t="s">
        <v>35071</v>
      </c>
      <c r="B7390" s="10" t="str">
        <f>"9780972054195"</f>
        <v>9780972054195</v>
      </c>
      <c r="C7390" s="10" t="str">
        <f>"9781617700026"</f>
        <v>9781617700026</v>
      </c>
      <c r="D7390" s="10" t="s">
        <v>35060</v>
      </c>
      <c r="E7390" s="10" t="s">
        <v>35061</v>
      </c>
      <c r="F7390" s="10" t="s">
        <v>70</v>
      </c>
      <c r="G7390" s="10" t="s">
        <v>6317</v>
      </c>
      <c r="H7390" s="11">
        <v>37987</v>
      </c>
      <c r="I7390" s="10">
        <v>2004</v>
      </c>
      <c r="J7390" s="10" t="s">
        <v>35061</v>
      </c>
      <c r="K7390" s="10">
        <v>307</v>
      </c>
      <c r="L7390" s="10" t="s">
        <v>35072</v>
      </c>
      <c r="M7390" s="10"/>
      <c r="N7390" s="10"/>
      <c r="O7390" s="10"/>
      <c r="P7390" s="10" t="s">
        <v>35073</v>
      </c>
      <c r="Q7390" s="10" t="s">
        <v>35074</v>
      </c>
      <c r="R7390" s="10" t="s">
        <v>35075</v>
      </c>
      <c r="S7390" s="10" t="s">
        <v>53</v>
      </c>
      <c r="T7390" s="10" t="s">
        <v>6363</v>
      </c>
    </row>
    <row r="7391" spans="1:20" ht="14.5" x14ac:dyDescent="0.35">
      <c r="A7391" s="10" t="s">
        <v>35076</v>
      </c>
      <c r="B7391" s="10" t="str">
        <f>"9781932716009"</f>
        <v>9781932716009</v>
      </c>
      <c r="C7391" s="10" t="str">
        <f>"9781617700088"</f>
        <v>9781617700088</v>
      </c>
      <c r="D7391" s="10" t="s">
        <v>35060</v>
      </c>
      <c r="E7391" s="10" t="s">
        <v>35061</v>
      </c>
      <c r="F7391" s="10" t="s">
        <v>70</v>
      </c>
      <c r="G7391" s="10" t="s">
        <v>6317</v>
      </c>
      <c r="H7391" s="11">
        <v>37987</v>
      </c>
      <c r="I7391" s="10">
        <v>2004</v>
      </c>
      <c r="J7391" s="10" t="s">
        <v>35061</v>
      </c>
      <c r="K7391" s="10">
        <v>264</v>
      </c>
      <c r="L7391" s="10" t="s">
        <v>35077</v>
      </c>
      <c r="M7391" s="10"/>
      <c r="N7391" s="10"/>
      <c r="O7391" s="10"/>
      <c r="P7391" s="10" t="s">
        <v>35078</v>
      </c>
      <c r="Q7391" s="10" t="s">
        <v>27770</v>
      </c>
      <c r="R7391" s="10" t="s">
        <v>35079</v>
      </c>
      <c r="S7391" s="10" t="s">
        <v>53</v>
      </c>
      <c r="T7391" s="10" t="s">
        <v>1166</v>
      </c>
    </row>
    <row r="7392" spans="1:20" ht="14.5" x14ac:dyDescent="0.35">
      <c r="A7392" s="10" t="s">
        <v>35080</v>
      </c>
      <c r="B7392" s="10" t="str">
        <f>"9780972054133"</f>
        <v>9780972054133</v>
      </c>
      <c r="C7392" s="10" t="str">
        <f>"9781932716849"</f>
        <v>9781932716849</v>
      </c>
      <c r="D7392" s="10" t="s">
        <v>35060</v>
      </c>
      <c r="E7392" s="10" t="s">
        <v>35061</v>
      </c>
      <c r="F7392" s="10" t="s">
        <v>70</v>
      </c>
      <c r="G7392" s="10" t="s">
        <v>6317</v>
      </c>
      <c r="H7392" s="11">
        <v>38108</v>
      </c>
      <c r="I7392" s="10">
        <v>2004</v>
      </c>
      <c r="J7392" s="10" t="s">
        <v>35061</v>
      </c>
      <c r="K7392" s="10">
        <v>376</v>
      </c>
      <c r="L7392" s="10" t="s">
        <v>35081</v>
      </c>
      <c r="M7392" s="10"/>
      <c r="N7392" s="10"/>
      <c r="O7392" s="10"/>
      <c r="P7392" s="10" t="s">
        <v>35082</v>
      </c>
      <c r="Q7392" s="10" t="s">
        <v>35083</v>
      </c>
      <c r="R7392" s="10" t="s">
        <v>35064</v>
      </c>
      <c r="S7392" s="10" t="s">
        <v>53</v>
      </c>
      <c r="T7392" s="10" t="s">
        <v>1166</v>
      </c>
    </row>
    <row r="7393" spans="1:20" ht="14.5" x14ac:dyDescent="0.35">
      <c r="A7393" s="10" t="s">
        <v>35084</v>
      </c>
      <c r="B7393" s="10" t="str">
        <f>"9781932716030"</f>
        <v>9781932716030</v>
      </c>
      <c r="C7393" s="10" t="str">
        <f>"9781617700347"</f>
        <v>9781617700347</v>
      </c>
      <c r="D7393" s="10" t="s">
        <v>35060</v>
      </c>
      <c r="E7393" s="10" t="s">
        <v>35061</v>
      </c>
      <c r="F7393" s="10" t="s">
        <v>70</v>
      </c>
      <c r="G7393" s="10" t="s">
        <v>6317</v>
      </c>
      <c r="H7393" s="11">
        <v>37987</v>
      </c>
      <c r="I7393" s="10">
        <v>2004</v>
      </c>
      <c r="J7393" s="10" t="s">
        <v>35061</v>
      </c>
      <c r="K7393" s="10">
        <v>312</v>
      </c>
      <c r="L7393" s="10" t="s">
        <v>35085</v>
      </c>
      <c r="M7393" s="10"/>
      <c r="N7393" s="10"/>
      <c r="O7393" s="10"/>
      <c r="P7393" s="10" t="s">
        <v>35086</v>
      </c>
      <c r="Q7393" s="10" t="s">
        <v>35087</v>
      </c>
      <c r="R7393" s="10" t="s">
        <v>35088</v>
      </c>
      <c r="S7393" s="10" t="s">
        <v>53</v>
      </c>
      <c r="T7393" s="10" t="s">
        <v>54</v>
      </c>
    </row>
    <row r="7394" spans="1:20" ht="14.5" x14ac:dyDescent="0.35">
      <c r="A7394" s="10" t="s">
        <v>35089</v>
      </c>
      <c r="B7394" s="10" t="str">
        <f>"9781932716122"</f>
        <v>9781932716122</v>
      </c>
      <c r="C7394" s="10" t="str">
        <f>"9781617700033"</f>
        <v>9781617700033</v>
      </c>
      <c r="D7394" s="10" t="s">
        <v>35060</v>
      </c>
      <c r="E7394" s="10" t="s">
        <v>35061</v>
      </c>
      <c r="F7394" s="10" t="s">
        <v>70</v>
      </c>
      <c r="G7394" s="10" t="s">
        <v>6317</v>
      </c>
      <c r="H7394" s="11">
        <v>38353</v>
      </c>
      <c r="I7394" s="10">
        <v>2006</v>
      </c>
      <c r="J7394" s="10" t="s">
        <v>35061</v>
      </c>
      <c r="K7394" s="10">
        <v>263</v>
      </c>
      <c r="L7394" s="10" t="s">
        <v>35090</v>
      </c>
      <c r="M7394" s="10"/>
      <c r="N7394" s="10"/>
      <c r="O7394" s="10"/>
      <c r="P7394" s="10" t="s">
        <v>35091</v>
      </c>
      <c r="Q7394" s="10">
        <v>333.7</v>
      </c>
      <c r="R7394" s="10" t="s">
        <v>35092</v>
      </c>
      <c r="S7394" s="10" t="s">
        <v>53</v>
      </c>
      <c r="T7394" s="10" t="s">
        <v>15960</v>
      </c>
    </row>
    <row r="7395" spans="1:20" ht="14.5" x14ac:dyDescent="0.35">
      <c r="A7395" s="10" t="s">
        <v>35093</v>
      </c>
      <c r="B7395" s="10" t="str">
        <f>"9781932716078"</f>
        <v>9781932716078</v>
      </c>
      <c r="C7395" s="10" t="str">
        <f>"9781932716696"</f>
        <v>9781932716696</v>
      </c>
      <c r="D7395" s="10" t="s">
        <v>35060</v>
      </c>
      <c r="E7395" s="10" t="s">
        <v>35061</v>
      </c>
      <c r="F7395" s="10" t="s">
        <v>70</v>
      </c>
      <c r="G7395" s="10" t="s">
        <v>6317</v>
      </c>
      <c r="H7395" s="11">
        <v>38353</v>
      </c>
      <c r="I7395" s="10">
        <v>2005</v>
      </c>
      <c r="J7395" s="10" t="s">
        <v>35061</v>
      </c>
      <c r="K7395" s="10">
        <v>229</v>
      </c>
      <c r="L7395" s="10" t="s">
        <v>35094</v>
      </c>
      <c r="M7395" s="10"/>
      <c r="N7395" s="10"/>
      <c r="O7395" s="10"/>
      <c r="P7395" s="10" t="s">
        <v>35095</v>
      </c>
      <c r="Q7395" s="10">
        <v>808</v>
      </c>
      <c r="R7395" s="10" t="s">
        <v>35096</v>
      </c>
      <c r="S7395" s="10" t="s">
        <v>53</v>
      </c>
      <c r="T7395" s="10" t="s">
        <v>1166</v>
      </c>
    </row>
    <row r="7396" spans="1:20" ht="14.5" x14ac:dyDescent="0.35">
      <c r="A7396" s="10" t="s">
        <v>35097</v>
      </c>
      <c r="B7396" s="10" t="str">
        <f>"9781932716023"</f>
        <v>9781932716023</v>
      </c>
      <c r="C7396" s="10" t="str">
        <f>"9781617700002"</f>
        <v>9781617700002</v>
      </c>
      <c r="D7396" s="10" t="s">
        <v>35060</v>
      </c>
      <c r="E7396" s="10" t="s">
        <v>35061</v>
      </c>
      <c r="F7396" s="10" t="s">
        <v>70</v>
      </c>
      <c r="G7396" s="10" t="s">
        <v>6317</v>
      </c>
      <c r="H7396" s="11">
        <v>37987</v>
      </c>
      <c r="I7396" s="10">
        <v>2005</v>
      </c>
      <c r="J7396" s="10" t="s">
        <v>35061</v>
      </c>
      <c r="K7396" s="10">
        <v>191</v>
      </c>
      <c r="L7396" s="10" t="s">
        <v>35062</v>
      </c>
      <c r="M7396" s="10"/>
      <c r="N7396" s="10"/>
      <c r="O7396" s="10"/>
      <c r="P7396" s="10" t="s">
        <v>35098</v>
      </c>
      <c r="Q7396" s="10" t="s">
        <v>35083</v>
      </c>
      <c r="R7396" s="10" t="s">
        <v>35099</v>
      </c>
      <c r="S7396" s="10" t="s">
        <v>53</v>
      </c>
      <c r="T7396" s="10" t="s">
        <v>1166</v>
      </c>
    </row>
    <row r="7397" spans="1:20" ht="14.5" x14ac:dyDescent="0.35">
      <c r="A7397" s="10" t="s">
        <v>35100</v>
      </c>
      <c r="B7397" s="10" t="str">
        <f>"9781932716092"</f>
        <v>9781932716092</v>
      </c>
      <c r="C7397" s="10" t="str">
        <f>"9781617700323"</f>
        <v>9781617700323</v>
      </c>
      <c r="D7397" s="10" t="s">
        <v>35060</v>
      </c>
      <c r="E7397" s="10" t="s">
        <v>35061</v>
      </c>
      <c r="F7397" s="10" t="s">
        <v>70</v>
      </c>
      <c r="G7397" s="10" t="s">
        <v>6317</v>
      </c>
      <c r="H7397" s="11">
        <v>38353</v>
      </c>
      <c r="I7397" s="10">
        <v>2005</v>
      </c>
      <c r="J7397" s="10" t="s">
        <v>35061</v>
      </c>
      <c r="K7397" s="10">
        <v>190</v>
      </c>
      <c r="L7397" s="10" t="s">
        <v>35101</v>
      </c>
      <c r="M7397" s="10"/>
      <c r="N7397" s="10"/>
      <c r="O7397" s="10"/>
      <c r="P7397" s="10" t="s">
        <v>35102</v>
      </c>
      <c r="Q7397" s="10" t="s">
        <v>35083</v>
      </c>
      <c r="R7397" s="10" t="s">
        <v>35103</v>
      </c>
      <c r="S7397" s="10" t="s">
        <v>53</v>
      </c>
      <c r="T7397" s="10" t="s">
        <v>1166</v>
      </c>
    </row>
    <row r="7398" spans="1:20" ht="14.5" x14ac:dyDescent="0.35">
      <c r="A7398" s="10" t="s">
        <v>35104</v>
      </c>
      <c r="B7398" s="10" t="str">
        <f>"9781932716061"</f>
        <v>9781932716061</v>
      </c>
      <c r="C7398" s="10" t="str">
        <f>"9781932716900"</f>
        <v>9781932716900</v>
      </c>
      <c r="D7398" s="10" t="s">
        <v>35060</v>
      </c>
      <c r="E7398" s="10" t="s">
        <v>35061</v>
      </c>
      <c r="F7398" s="10" t="s">
        <v>70</v>
      </c>
      <c r="G7398" s="10" t="s">
        <v>6317</v>
      </c>
      <c r="H7398" s="11">
        <v>38353</v>
      </c>
      <c r="I7398" s="10">
        <v>2005</v>
      </c>
      <c r="J7398" s="10" t="s">
        <v>35061</v>
      </c>
      <c r="K7398" s="10">
        <v>272</v>
      </c>
      <c r="L7398" s="10" t="s">
        <v>35105</v>
      </c>
      <c r="M7398" s="10">
        <v>3</v>
      </c>
      <c r="N7398" s="10"/>
      <c r="O7398" s="10"/>
      <c r="P7398" s="10" t="s">
        <v>35106</v>
      </c>
      <c r="Q7398" s="10" t="s">
        <v>35083</v>
      </c>
      <c r="R7398" s="10" t="s">
        <v>35107</v>
      </c>
      <c r="S7398" s="10" t="s">
        <v>53</v>
      </c>
      <c r="T7398" s="10" t="s">
        <v>1166</v>
      </c>
    </row>
    <row r="7399" spans="1:20" ht="14.5" x14ac:dyDescent="0.35">
      <c r="A7399" s="10" t="s">
        <v>35108</v>
      </c>
      <c r="B7399" s="10" t="str">
        <f>"9781932716115"</f>
        <v>9781932716115</v>
      </c>
      <c r="C7399" s="10" t="str">
        <f>"9781617700095"</f>
        <v>9781617700095</v>
      </c>
      <c r="D7399" s="10" t="s">
        <v>35060</v>
      </c>
      <c r="E7399" s="10" t="s">
        <v>35061</v>
      </c>
      <c r="F7399" s="10" t="s">
        <v>70</v>
      </c>
      <c r="G7399" s="10" t="s">
        <v>6317</v>
      </c>
      <c r="H7399" s="11">
        <v>38353</v>
      </c>
      <c r="I7399" s="10">
        <v>2005</v>
      </c>
      <c r="J7399" s="10" t="s">
        <v>35061</v>
      </c>
      <c r="K7399" s="10">
        <v>254</v>
      </c>
      <c r="L7399" s="10" t="s">
        <v>35109</v>
      </c>
      <c r="M7399" s="10"/>
      <c r="N7399" s="10"/>
      <c r="O7399" s="10"/>
      <c r="P7399" s="10" t="s">
        <v>35110</v>
      </c>
      <c r="Q7399" s="10">
        <v>371.10199999999998</v>
      </c>
      <c r="R7399" s="10" t="s">
        <v>35111</v>
      </c>
      <c r="S7399" s="10" t="s">
        <v>53</v>
      </c>
      <c r="T7399" s="10" t="s">
        <v>54</v>
      </c>
    </row>
    <row r="7400" spans="1:20" ht="14.5" x14ac:dyDescent="0.35">
      <c r="A7400" s="10" t="s">
        <v>35112</v>
      </c>
      <c r="B7400" s="10" t="str">
        <f>"9781932716146"</f>
        <v>9781932716146</v>
      </c>
      <c r="C7400" s="10" t="str">
        <f>"9781617700040"</f>
        <v>9781617700040</v>
      </c>
      <c r="D7400" s="10" t="s">
        <v>35060</v>
      </c>
      <c r="E7400" s="10" t="s">
        <v>35061</v>
      </c>
      <c r="F7400" s="10" t="s">
        <v>70</v>
      </c>
      <c r="G7400" s="10" t="s">
        <v>6317</v>
      </c>
      <c r="H7400" s="11">
        <v>38687</v>
      </c>
      <c r="I7400" s="10">
        <v>2005</v>
      </c>
      <c r="J7400" s="10" t="s">
        <v>35061</v>
      </c>
      <c r="K7400" s="10">
        <v>193</v>
      </c>
      <c r="L7400" s="10" t="s">
        <v>35113</v>
      </c>
      <c r="M7400" s="10"/>
      <c r="N7400" s="10"/>
      <c r="O7400" s="10"/>
      <c r="P7400" s="10" t="s">
        <v>35114</v>
      </c>
      <c r="Q7400" s="10" t="s">
        <v>15893</v>
      </c>
      <c r="R7400" s="10" t="s">
        <v>35115</v>
      </c>
      <c r="S7400" s="10" t="s">
        <v>53</v>
      </c>
      <c r="T7400" s="10" t="s">
        <v>54</v>
      </c>
    </row>
    <row r="7401" spans="1:20" ht="14.5" x14ac:dyDescent="0.35">
      <c r="A7401" s="10" t="s">
        <v>35116</v>
      </c>
      <c r="B7401" s="10" t="str">
        <f>"9781932716139"</f>
        <v>9781932716139</v>
      </c>
      <c r="C7401" s="10" t="str">
        <f>"9781617700057"</f>
        <v>9781617700057</v>
      </c>
      <c r="D7401" s="10" t="s">
        <v>35060</v>
      </c>
      <c r="E7401" s="10" t="s">
        <v>35061</v>
      </c>
      <c r="F7401" s="10" t="s">
        <v>70</v>
      </c>
      <c r="G7401" s="10" t="s">
        <v>6317</v>
      </c>
      <c r="H7401" s="11">
        <v>38687</v>
      </c>
      <c r="I7401" s="10">
        <v>2005</v>
      </c>
      <c r="J7401" s="10" t="s">
        <v>35061</v>
      </c>
      <c r="K7401" s="10">
        <v>195</v>
      </c>
      <c r="L7401" s="10" t="s">
        <v>35117</v>
      </c>
      <c r="M7401" s="10"/>
      <c r="N7401" s="10"/>
      <c r="O7401" s="10"/>
      <c r="P7401" s="10" t="s">
        <v>35118</v>
      </c>
      <c r="Q7401" s="10" t="s">
        <v>15893</v>
      </c>
      <c r="R7401" s="10" t="s">
        <v>35119</v>
      </c>
      <c r="S7401" s="10" t="s">
        <v>53</v>
      </c>
      <c r="T7401" s="10" t="s">
        <v>54</v>
      </c>
    </row>
    <row r="7402" spans="1:20" ht="14.5" x14ac:dyDescent="0.35">
      <c r="A7402" s="10" t="s">
        <v>35120</v>
      </c>
      <c r="B7402" s="10" t="str">
        <f>"9781932716269"</f>
        <v>9781932716269</v>
      </c>
      <c r="C7402" s="10" t="str">
        <f>"9781617700132"</f>
        <v>9781617700132</v>
      </c>
      <c r="D7402" s="10" t="s">
        <v>35060</v>
      </c>
      <c r="E7402" s="10" t="s">
        <v>35061</v>
      </c>
      <c r="F7402" s="10" t="s">
        <v>70</v>
      </c>
      <c r="G7402" s="10" t="s">
        <v>6317</v>
      </c>
      <c r="H7402" s="11">
        <v>38687</v>
      </c>
      <c r="I7402" s="10">
        <v>2006</v>
      </c>
      <c r="J7402" s="10" t="s">
        <v>35061</v>
      </c>
      <c r="K7402" s="10">
        <v>112</v>
      </c>
      <c r="L7402" s="10" t="s">
        <v>35121</v>
      </c>
      <c r="M7402" s="10"/>
      <c r="N7402" s="10"/>
      <c r="O7402" s="10"/>
      <c r="P7402" s="10" t="s">
        <v>35122</v>
      </c>
      <c r="Q7402" s="10" t="s">
        <v>35083</v>
      </c>
      <c r="R7402" s="10" t="s">
        <v>35064</v>
      </c>
      <c r="S7402" s="10" t="s">
        <v>53</v>
      </c>
      <c r="T7402" s="10" t="s">
        <v>1166</v>
      </c>
    </row>
    <row r="7403" spans="1:20" ht="14.5" x14ac:dyDescent="0.35">
      <c r="A7403" s="10" t="s">
        <v>35123</v>
      </c>
      <c r="B7403" s="10" t="str">
        <f>"9781932716207"</f>
        <v>9781932716207</v>
      </c>
      <c r="C7403" s="10" t="str">
        <f>"9781932716962"</f>
        <v>9781932716962</v>
      </c>
      <c r="D7403" s="10" t="s">
        <v>35060</v>
      </c>
      <c r="E7403" s="10" t="s">
        <v>35061</v>
      </c>
      <c r="F7403" s="10" t="s">
        <v>70</v>
      </c>
      <c r="G7403" s="10" t="s">
        <v>6317</v>
      </c>
      <c r="H7403" s="11">
        <v>39052</v>
      </c>
      <c r="I7403" s="10">
        <v>2007</v>
      </c>
      <c r="J7403" s="10" t="s">
        <v>35061</v>
      </c>
      <c r="K7403" s="10">
        <v>216</v>
      </c>
      <c r="L7403" s="10" t="s">
        <v>35124</v>
      </c>
      <c r="M7403" s="10"/>
      <c r="N7403" s="10"/>
      <c r="O7403" s="10"/>
      <c r="P7403" s="10" t="s">
        <v>35125</v>
      </c>
      <c r="Q7403" s="10" t="s">
        <v>35126</v>
      </c>
      <c r="R7403" s="10" t="s">
        <v>35127</v>
      </c>
      <c r="S7403" s="10" t="s">
        <v>53</v>
      </c>
      <c r="T7403" s="10" t="s">
        <v>35128</v>
      </c>
    </row>
    <row r="7404" spans="1:20" ht="14.5" x14ac:dyDescent="0.35">
      <c r="A7404" s="10" t="s">
        <v>35129</v>
      </c>
      <c r="B7404" s="10" t="str">
        <f>"9781932716290"</f>
        <v>9781932716290</v>
      </c>
      <c r="C7404" s="10" t="str">
        <f>"9781617700125"</f>
        <v>9781617700125</v>
      </c>
      <c r="D7404" s="10" t="s">
        <v>35060</v>
      </c>
      <c r="E7404" s="10" t="s">
        <v>35061</v>
      </c>
      <c r="F7404" s="10" t="s">
        <v>70</v>
      </c>
      <c r="G7404" s="10" t="s">
        <v>6317</v>
      </c>
      <c r="H7404" s="11">
        <v>39417</v>
      </c>
      <c r="I7404" s="10">
        <v>2008</v>
      </c>
      <c r="J7404" s="10" t="s">
        <v>35061</v>
      </c>
      <c r="K7404" s="10">
        <v>185</v>
      </c>
      <c r="L7404" s="10" t="s">
        <v>35121</v>
      </c>
      <c r="M7404" s="10"/>
      <c r="N7404" s="10"/>
      <c r="O7404" s="10"/>
      <c r="P7404" s="10" t="s">
        <v>35130</v>
      </c>
      <c r="Q7404" s="10">
        <v>428.00709999999998</v>
      </c>
      <c r="R7404" s="10" t="s">
        <v>35131</v>
      </c>
      <c r="S7404" s="10" t="s">
        <v>53</v>
      </c>
      <c r="T7404" s="10" t="s">
        <v>6616</v>
      </c>
    </row>
    <row r="7405" spans="1:20" ht="14.5" x14ac:dyDescent="0.35">
      <c r="A7405" s="10" t="s">
        <v>35132</v>
      </c>
      <c r="B7405" s="10" t="str">
        <f>"9781932716368"</f>
        <v>9781932716368</v>
      </c>
      <c r="C7405" s="10" t="str">
        <f>"9781617700316"</f>
        <v>9781617700316</v>
      </c>
      <c r="D7405" s="10" t="s">
        <v>35060</v>
      </c>
      <c r="E7405" s="10" t="s">
        <v>35061</v>
      </c>
      <c r="F7405" s="10" t="s">
        <v>70</v>
      </c>
      <c r="G7405" s="10" t="s">
        <v>6317</v>
      </c>
      <c r="H7405" s="11">
        <v>39417</v>
      </c>
      <c r="I7405" s="10">
        <v>2007</v>
      </c>
      <c r="J7405" s="10" t="s">
        <v>35061</v>
      </c>
      <c r="K7405" s="10">
        <v>300</v>
      </c>
      <c r="L7405" s="10" t="s">
        <v>35133</v>
      </c>
      <c r="M7405" s="10"/>
      <c r="N7405" s="10"/>
      <c r="O7405" s="10"/>
      <c r="P7405" s="10" t="s">
        <v>35134</v>
      </c>
      <c r="Q7405" s="10"/>
      <c r="R7405" s="10" t="s">
        <v>35135</v>
      </c>
      <c r="S7405" s="10" t="s">
        <v>53</v>
      </c>
      <c r="T7405" s="10" t="s">
        <v>6660</v>
      </c>
    </row>
    <row r="7406" spans="1:20" ht="14.5" x14ac:dyDescent="0.35">
      <c r="A7406" s="10" t="s">
        <v>35136</v>
      </c>
      <c r="B7406" s="10" t="str">
        <f>"9781932716450"</f>
        <v>9781932716450</v>
      </c>
      <c r="C7406" s="10" t="str">
        <f>"9781617700064"</f>
        <v>9781617700064</v>
      </c>
      <c r="D7406" s="10" t="s">
        <v>35060</v>
      </c>
      <c r="E7406" s="10" t="s">
        <v>35061</v>
      </c>
      <c r="F7406" s="10" t="s">
        <v>70</v>
      </c>
      <c r="G7406" s="10" t="s">
        <v>6317</v>
      </c>
      <c r="H7406" s="11">
        <v>39417</v>
      </c>
      <c r="I7406" s="10">
        <v>2009</v>
      </c>
      <c r="J7406" s="10" t="s">
        <v>35061</v>
      </c>
      <c r="K7406" s="10">
        <v>271</v>
      </c>
      <c r="L7406" s="10" t="s">
        <v>35137</v>
      </c>
      <c r="M7406" s="10"/>
      <c r="N7406" s="10"/>
      <c r="O7406" s="10"/>
      <c r="P7406" s="10" t="s">
        <v>35138</v>
      </c>
      <c r="Q7406" s="10" t="s">
        <v>13111</v>
      </c>
      <c r="R7406" s="10" t="s">
        <v>35139</v>
      </c>
      <c r="S7406" s="10" t="s">
        <v>53</v>
      </c>
      <c r="T7406" s="10" t="s">
        <v>10454</v>
      </c>
    </row>
    <row r="7407" spans="1:20" ht="14.5" x14ac:dyDescent="0.35">
      <c r="A7407" s="10" t="s">
        <v>35140</v>
      </c>
      <c r="B7407" s="10" t="str">
        <f>"9781932716375"</f>
        <v>9781932716375</v>
      </c>
      <c r="C7407" s="10" t="str">
        <f>"9781932716986"</f>
        <v>9781932716986</v>
      </c>
      <c r="D7407" s="10" t="s">
        <v>35060</v>
      </c>
      <c r="E7407" s="10" t="s">
        <v>35061</v>
      </c>
      <c r="F7407" s="10" t="s">
        <v>70</v>
      </c>
      <c r="G7407" s="10" t="s">
        <v>6317</v>
      </c>
      <c r="H7407" s="11">
        <v>39417</v>
      </c>
      <c r="I7407" s="10">
        <v>2008</v>
      </c>
      <c r="J7407" s="10" t="s">
        <v>35061</v>
      </c>
      <c r="K7407" s="10">
        <v>128</v>
      </c>
      <c r="L7407" s="10" t="s">
        <v>35141</v>
      </c>
      <c r="M7407" s="10"/>
      <c r="N7407" s="10"/>
      <c r="O7407" s="10"/>
      <c r="P7407" s="10" t="s">
        <v>35142</v>
      </c>
      <c r="Q7407" s="10" t="s">
        <v>15779</v>
      </c>
      <c r="R7407" s="10" t="s">
        <v>35143</v>
      </c>
      <c r="S7407" s="10" t="s">
        <v>53</v>
      </c>
      <c r="T7407" s="10" t="s">
        <v>54</v>
      </c>
    </row>
    <row r="7408" spans="1:20" ht="14.5" x14ac:dyDescent="0.35">
      <c r="A7408" s="10" t="s">
        <v>35144</v>
      </c>
      <c r="B7408" s="10" t="str">
        <f>"9781932716481"</f>
        <v>9781932716481</v>
      </c>
      <c r="C7408" s="10" t="str">
        <f>"9781617700361"</f>
        <v>9781617700361</v>
      </c>
      <c r="D7408" s="10" t="s">
        <v>35060</v>
      </c>
      <c r="E7408" s="10" t="s">
        <v>35061</v>
      </c>
      <c r="F7408" s="10" t="s">
        <v>70</v>
      </c>
      <c r="G7408" s="10" t="s">
        <v>6317</v>
      </c>
      <c r="H7408" s="11">
        <v>39783</v>
      </c>
      <c r="I7408" s="10">
        <v>2009</v>
      </c>
      <c r="J7408" s="10" t="s">
        <v>35061</v>
      </c>
      <c r="K7408" s="10">
        <v>294</v>
      </c>
      <c r="L7408" s="10" t="s">
        <v>35145</v>
      </c>
      <c r="M7408" s="10"/>
      <c r="N7408" s="10"/>
      <c r="O7408" s="10"/>
      <c r="P7408" s="10" t="s">
        <v>35146</v>
      </c>
      <c r="Q7408" s="10">
        <v>808.53</v>
      </c>
      <c r="R7408" s="10" t="s">
        <v>35147</v>
      </c>
      <c r="S7408" s="10" t="s">
        <v>53</v>
      </c>
      <c r="T7408" s="10" t="s">
        <v>1166</v>
      </c>
    </row>
    <row r="7409" spans="1:20" ht="14.5" x14ac:dyDescent="0.35">
      <c r="A7409" s="10" t="s">
        <v>35148</v>
      </c>
      <c r="B7409" s="10" t="str">
        <f>"9781932716511"</f>
        <v>9781932716511</v>
      </c>
      <c r="C7409" s="10" t="str">
        <f>""</f>
        <v/>
      </c>
      <c r="D7409" s="10" t="s">
        <v>35060</v>
      </c>
      <c r="E7409" s="10" t="s">
        <v>35061</v>
      </c>
      <c r="F7409" s="10" t="s">
        <v>70</v>
      </c>
      <c r="G7409" s="10" t="s">
        <v>6317</v>
      </c>
      <c r="H7409" s="11">
        <v>39783</v>
      </c>
      <c r="I7409" s="10">
        <v>2009</v>
      </c>
      <c r="J7409" s="10" t="s">
        <v>35061</v>
      </c>
      <c r="K7409" s="10">
        <v>271</v>
      </c>
      <c r="L7409" s="10" t="s">
        <v>35149</v>
      </c>
      <c r="M7409" s="10"/>
      <c r="N7409" s="10"/>
      <c r="O7409" s="10"/>
      <c r="P7409" s="10" t="s">
        <v>35150</v>
      </c>
      <c r="Q7409" s="10">
        <v>808.53</v>
      </c>
      <c r="R7409" s="10" t="s">
        <v>35064</v>
      </c>
      <c r="S7409" s="10" t="s">
        <v>53</v>
      </c>
      <c r="T7409" s="10" t="s">
        <v>1166</v>
      </c>
    </row>
    <row r="7410" spans="1:20" ht="14.5" x14ac:dyDescent="0.35">
      <c r="A7410" s="10" t="s">
        <v>35151</v>
      </c>
      <c r="B7410" s="10" t="str">
        <f>"9781932716559"</f>
        <v>9781932716559</v>
      </c>
      <c r="C7410" s="10" t="str">
        <f>"9781932716665"</f>
        <v>9781932716665</v>
      </c>
      <c r="D7410" s="10" t="s">
        <v>35060</v>
      </c>
      <c r="E7410" s="10" t="s">
        <v>35061</v>
      </c>
      <c r="F7410" s="10" t="s">
        <v>70</v>
      </c>
      <c r="G7410" s="10" t="s">
        <v>6317</v>
      </c>
      <c r="H7410" s="11">
        <v>39783</v>
      </c>
      <c r="I7410" s="10">
        <v>2009</v>
      </c>
      <c r="J7410" s="10" t="s">
        <v>35061</v>
      </c>
      <c r="K7410" s="10">
        <v>272</v>
      </c>
      <c r="L7410" s="10" t="s">
        <v>35152</v>
      </c>
      <c r="M7410" s="10"/>
      <c r="N7410" s="10"/>
      <c r="O7410" s="10"/>
      <c r="P7410" s="10" t="s">
        <v>35153</v>
      </c>
      <c r="Q7410" s="10">
        <v>808</v>
      </c>
      <c r="R7410" s="10" t="s">
        <v>35099</v>
      </c>
      <c r="S7410" s="10" t="s">
        <v>53</v>
      </c>
      <c r="T7410" s="10" t="s">
        <v>1166</v>
      </c>
    </row>
    <row r="7411" spans="1:20" ht="14.5" x14ac:dyDescent="0.35">
      <c r="A7411" s="10" t="s">
        <v>35154</v>
      </c>
      <c r="B7411" s="10" t="str">
        <f>"9781932716498"</f>
        <v>9781932716498</v>
      </c>
      <c r="C7411" s="10" t="str">
        <f>""</f>
        <v/>
      </c>
      <c r="D7411" s="10" t="s">
        <v>35060</v>
      </c>
      <c r="E7411" s="10" t="s">
        <v>35061</v>
      </c>
      <c r="F7411" s="10" t="s">
        <v>70</v>
      </c>
      <c r="G7411" s="10" t="s">
        <v>6317</v>
      </c>
      <c r="H7411" s="11">
        <v>39783</v>
      </c>
      <c r="I7411" s="10">
        <v>2009</v>
      </c>
      <c r="J7411" s="10" t="s">
        <v>35061</v>
      </c>
      <c r="K7411" s="10">
        <v>246</v>
      </c>
      <c r="L7411" s="10" t="s">
        <v>35155</v>
      </c>
      <c r="M7411" s="10">
        <v>4</v>
      </c>
      <c r="N7411" s="10"/>
      <c r="O7411" s="10"/>
      <c r="P7411" s="10" t="s">
        <v>35156</v>
      </c>
      <c r="Q7411" s="10" t="s">
        <v>35083</v>
      </c>
      <c r="R7411" s="10" t="s">
        <v>35064</v>
      </c>
      <c r="S7411" s="10" t="s">
        <v>53</v>
      </c>
      <c r="T7411" s="10" t="s">
        <v>1166</v>
      </c>
    </row>
    <row r="7412" spans="1:20" ht="14.5" x14ac:dyDescent="0.35">
      <c r="A7412" s="10" t="s">
        <v>35157</v>
      </c>
      <c r="B7412" s="10" t="str">
        <f>"9781617700163"</f>
        <v>9781617700163</v>
      </c>
      <c r="C7412" s="10" t="str">
        <f>"9781617700286"</f>
        <v>9781617700286</v>
      </c>
      <c r="D7412" s="10" t="s">
        <v>35060</v>
      </c>
      <c r="E7412" s="10" t="s">
        <v>35061</v>
      </c>
      <c r="F7412" s="10" t="s">
        <v>70</v>
      </c>
      <c r="G7412" s="10" t="s">
        <v>6317</v>
      </c>
      <c r="H7412" s="11">
        <v>40634</v>
      </c>
      <c r="I7412" s="10">
        <v>2011</v>
      </c>
      <c r="J7412" s="10" t="s">
        <v>35061</v>
      </c>
      <c r="K7412" s="10">
        <v>198</v>
      </c>
      <c r="L7412" s="10" t="s">
        <v>35158</v>
      </c>
      <c r="M7412" s="10"/>
      <c r="N7412" s="10"/>
      <c r="O7412" s="10"/>
      <c r="P7412" s="10" t="s">
        <v>35159</v>
      </c>
      <c r="Q7412" s="10">
        <v>808.53</v>
      </c>
      <c r="R7412" s="10" t="s">
        <v>35160</v>
      </c>
      <c r="S7412" s="10" t="s">
        <v>53</v>
      </c>
      <c r="T7412" s="10" t="s">
        <v>35161</v>
      </c>
    </row>
    <row r="7413" spans="1:20" ht="14.5" x14ac:dyDescent="0.35">
      <c r="A7413" s="10" t="s">
        <v>35162</v>
      </c>
      <c r="B7413" s="10" t="str">
        <f>""</f>
        <v/>
      </c>
      <c r="C7413" s="10" t="str">
        <f>""</f>
        <v/>
      </c>
      <c r="D7413" s="10" t="s">
        <v>35163</v>
      </c>
      <c r="E7413" s="10" t="s">
        <v>35164</v>
      </c>
      <c r="F7413" s="10" t="s">
        <v>35165</v>
      </c>
      <c r="G7413" s="10" t="s">
        <v>6317</v>
      </c>
      <c r="H7413" s="11">
        <v>36861</v>
      </c>
      <c r="I7413" s="10">
        <v>2001</v>
      </c>
      <c r="J7413" s="10" t="s">
        <v>35164</v>
      </c>
      <c r="K7413" s="10">
        <v>13</v>
      </c>
      <c r="L7413" s="10" t="s">
        <v>35166</v>
      </c>
      <c r="M7413" s="10"/>
      <c r="N7413" s="10"/>
      <c r="O7413" s="10"/>
      <c r="P7413" s="10" t="s">
        <v>35167</v>
      </c>
      <c r="Q7413" s="10"/>
      <c r="R7413" s="10" t="s">
        <v>35168</v>
      </c>
      <c r="S7413" s="10" t="s">
        <v>53</v>
      </c>
      <c r="T7413" s="10" t="s">
        <v>54</v>
      </c>
    </row>
    <row r="7414" spans="1:20" ht="14.5" x14ac:dyDescent="0.35">
      <c r="A7414" s="10" t="s">
        <v>35169</v>
      </c>
      <c r="B7414" s="10" t="str">
        <f>"9781617353451"</f>
        <v>9781617353451</v>
      </c>
      <c r="C7414" s="10" t="str">
        <f>"9781617353475"</f>
        <v>9781617353475</v>
      </c>
      <c r="D7414" s="10" t="s">
        <v>274</v>
      </c>
      <c r="E7414" s="10" t="s">
        <v>35170</v>
      </c>
      <c r="F7414" s="10" t="s">
        <v>35171</v>
      </c>
      <c r="G7414" s="10" t="s">
        <v>6317</v>
      </c>
      <c r="H7414" s="11">
        <v>40544</v>
      </c>
      <c r="I7414" s="10">
        <v>2011</v>
      </c>
      <c r="J7414" s="10" t="s">
        <v>35170</v>
      </c>
      <c r="K7414" s="10">
        <v>312</v>
      </c>
      <c r="L7414" s="10" t="s">
        <v>35172</v>
      </c>
      <c r="M7414" s="10">
        <v>1</v>
      </c>
      <c r="N7414" s="10"/>
      <c r="O7414" s="10"/>
      <c r="P7414" s="10" t="s">
        <v>35173</v>
      </c>
      <c r="Q7414" s="10">
        <v>370.1</v>
      </c>
      <c r="R7414" s="10" t="s">
        <v>35174</v>
      </c>
      <c r="S7414" s="10" t="s">
        <v>53</v>
      </c>
      <c r="T7414" s="10" t="s">
        <v>54</v>
      </c>
    </row>
    <row r="7415" spans="1:20" ht="14.5" x14ac:dyDescent="0.35">
      <c r="A7415" s="10" t="s">
        <v>35175</v>
      </c>
      <c r="B7415" s="10" t="str">
        <f>"9781617354052"</f>
        <v>9781617354052</v>
      </c>
      <c r="C7415" s="10" t="str">
        <f>"9781617354076"</f>
        <v>9781617354076</v>
      </c>
      <c r="D7415" s="10" t="s">
        <v>274</v>
      </c>
      <c r="E7415" s="10" t="s">
        <v>35170</v>
      </c>
      <c r="F7415" s="10" t="s">
        <v>35171</v>
      </c>
      <c r="G7415" s="10" t="s">
        <v>6317</v>
      </c>
      <c r="H7415" s="11">
        <v>40603</v>
      </c>
      <c r="I7415" s="10">
        <v>2011</v>
      </c>
      <c r="J7415" s="10" t="s">
        <v>35170</v>
      </c>
      <c r="K7415" s="10">
        <v>249</v>
      </c>
      <c r="L7415" s="10" t="s">
        <v>35176</v>
      </c>
      <c r="M7415" s="10">
        <v>1</v>
      </c>
      <c r="N7415" s="10" t="s">
        <v>35177</v>
      </c>
      <c r="O7415" s="10"/>
      <c r="P7415" s="10" t="s">
        <v>35178</v>
      </c>
      <c r="Q7415" s="10" t="s">
        <v>13111</v>
      </c>
      <c r="R7415" s="10" t="s">
        <v>35179</v>
      </c>
      <c r="S7415" s="10" t="s">
        <v>53</v>
      </c>
      <c r="T7415" s="10" t="s">
        <v>10454</v>
      </c>
    </row>
    <row r="7416" spans="1:20" ht="14.5" x14ac:dyDescent="0.35">
      <c r="A7416" s="10" t="s">
        <v>35180</v>
      </c>
      <c r="B7416" s="10" t="str">
        <f>"9781617352300"</f>
        <v>9781617352300</v>
      </c>
      <c r="C7416" s="10" t="str">
        <f>"9781617352324"</f>
        <v>9781617352324</v>
      </c>
      <c r="D7416" s="10" t="s">
        <v>274</v>
      </c>
      <c r="E7416" s="10" t="s">
        <v>35170</v>
      </c>
      <c r="F7416" s="10" t="s">
        <v>35171</v>
      </c>
      <c r="G7416" s="10" t="s">
        <v>6317</v>
      </c>
      <c r="H7416" s="11">
        <v>40544</v>
      </c>
      <c r="I7416" s="10">
        <v>2011</v>
      </c>
      <c r="J7416" s="10" t="s">
        <v>35170</v>
      </c>
      <c r="K7416" s="10">
        <v>186</v>
      </c>
      <c r="L7416" s="10" t="s">
        <v>35181</v>
      </c>
      <c r="M7416" s="10">
        <v>1</v>
      </c>
      <c r="N7416" s="10" t="s">
        <v>35182</v>
      </c>
      <c r="O7416" s="10"/>
      <c r="P7416" s="10" t="s">
        <v>35183</v>
      </c>
      <c r="Q7416" s="10">
        <v>378.58429999999998</v>
      </c>
      <c r="R7416" s="10"/>
      <c r="S7416" s="10" t="s">
        <v>53</v>
      </c>
      <c r="T7416" s="10" t="s">
        <v>54</v>
      </c>
    </row>
    <row r="7417" spans="1:20" ht="14.5" x14ac:dyDescent="0.35">
      <c r="A7417" s="10" t="s">
        <v>35184</v>
      </c>
      <c r="B7417" s="10" t="str">
        <f>"9781617353840"</f>
        <v>9781617353840</v>
      </c>
      <c r="C7417" s="10" t="str">
        <f>"9781617353864"</f>
        <v>9781617353864</v>
      </c>
      <c r="D7417" s="10" t="s">
        <v>274</v>
      </c>
      <c r="E7417" s="10" t="s">
        <v>35170</v>
      </c>
      <c r="F7417" s="10" t="s">
        <v>35171</v>
      </c>
      <c r="G7417" s="10" t="s">
        <v>6317</v>
      </c>
      <c r="H7417" s="11">
        <v>40603</v>
      </c>
      <c r="I7417" s="10">
        <v>2011</v>
      </c>
      <c r="J7417" s="10" t="s">
        <v>35170</v>
      </c>
      <c r="K7417" s="10">
        <v>452</v>
      </c>
      <c r="L7417" s="10" t="s">
        <v>35185</v>
      </c>
      <c r="M7417" s="10">
        <v>1</v>
      </c>
      <c r="N7417" s="10" t="s">
        <v>31845</v>
      </c>
      <c r="O7417" s="10"/>
      <c r="P7417" s="10" t="s">
        <v>35186</v>
      </c>
      <c r="Q7417" s="10" t="s">
        <v>10162</v>
      </c>
      <c r="R7417" s="10" t="s">
        <v>35187</v>
      </c>
      <c r="S7417" s="10" t="s">
        <v>53</v>
      </c>
      <c r="T7417" s="10" t="s">
        <v>6616</v>
      </c>
    </row>
    <row r="7418" spans="1:20" ht="14.5" x14ac:dyDescent="0.35">
      <c r="A7418" s="10" t="s">
        <v>35188</v>
      </c>
      <c r="B7418" s="10" t="str">
        <f>"9781617354441"</f>
        <v>9781617354441</v>
      </c>
      <c r="C7418" s="10" t="str">
        <f>"9781617354465"</f>
        <v>9781617354465</v>
      </c>
      <c r="D7418" s="10" t="s">
        <v>274</v>
      </c>
      <c r="E7418" s="10" t="s">
        <v>35170</v>
      </c>
      <c r="F7418" s="10" t="s">
        <v>35171</v>
      </c>
      <c r="G7418" s="10" t="s">
        <v>6317</v>
      </c>
      <c r="H7418" s="11">
        <v>40664</v>
      </c>
      <c r="I7418" s="10">
        <v>2011</v>
      </c>
      <c r="J7418" s="10" t="s">
        <v>35170</v>
      </c>
      <c r="K7418" s="10">
        <v>275</v>
      </c>
      <c r="L7418" s="10" t="s">
        <v>35189</v>
      </c>
      <c r="M7418" s="10">
        <v>1</v>
      </c>
      <c r="N7418" s="10" t="s">
        <v>35190</v>
      </c>
      <c r="O7418" s="10"/>
      <c r="P7418" s="10" t="s">
        <v>35191</v>
      </c>
      <c r="Q7418" s="10">
        <v>371.2</v>
      </c>
      <c r="R7418" s="10" t="s">
        <v>35192</v>
      </c>
      <c r="S7418" s="10" t="s">
        <v>53</v>
      </c>
      <c r="T7418" s="10" t="s">
        <v>54</v>
      </c>
    </row>
    <row r="7419" spans="1:20" ht="14.5" x14ac:dyDescent="0.35">
      <c r="A7419" s="10" t="s">
        <v>35193</v>
      </c>
      <c r="B7419" s="10" t="str">
        <f>"9781617353994"</f>
        <v>9781617353994</v>
      </c>
      <c r="C7419" s="10" t="str">
        <f>"9781617354014"</f>
        <v>9781617354014</v>
      </c>
      <c r="D7419" s="10" t="s">
        <v>274</v>
      </c>
      <c r="E7419" s="10" t="s">
        <v>35170</v>
      </c>
      <c r="F7419" s="10" t="s">
        <v>35171</v>
      </c>
      <c r="G7419" s="10" t="s">
        <v>6317</v>
      </c>
      <c r="H7419" s="11">
        <v>40603</v>
      </c>
      <c r="I7419" s="10">
        <v>2011</v>
      </c>
      <c r="J7419" s="10" t="s">
        <v>35170</v>
      </c>
      <c r="K7419" s="10">
        <v>330</v>
      </c>
      <c r="L7419" s="10" t="s">
        <v>35194</v>
      </c>
      <c r="M7419" s="10">
        <v>1</v>
      </c>
      <c r="N7419" s="10" t="s">
        <v>35195</v>
      </c>
      <c r="O7419" s="10"/>
      <c r="P7419" s="10" t="s">
        <v>35196</v>
      </c>
      <c r="Q7419" s="10" t="s">
        <v>8916</v>
      </c>
      <c r="R7419" s="10" t="s">
        <v>35197</v>
      </c>
      <c r="S7419" s="10" t="s">
        <v>53</v>
      </c>
      <c r="T7419" s="10" t="s">
        <v>54</v>
      </c>
    </row>
    <row r="7420" spans="1:20" ht="14.5" x14ac:dyDescent="0.35">
      <c r="A7420" s="10" t="s">
        <v>35198</v>
      </c>
      <c r="B7420" s="10" t="str">
        <f>"9781617353871"</f>
        <v>9781617353871</v>
      </c>
      <c r="C7420" s="10" t="str">
        <f>"9781617353895"</f>
        <v>9781617353895</v>
      </c>
      <c r="D7420" s="10" t="s">
        <v>274</v>
      </c>
      <c r="E7420" s="10" t="s">
        <v>35170</v>
      </c>
      <c r="F7420" s="10" t="s">
        <v>35171</v>
      </c>
      <c r="G7420" s="10" t="s">
        <v>6317</v>
      </c>
      <c r="H7420" s="11">
        <v>40603</v>
      </c>
      <c r="I7420" s="10">
        <v>2011</v>
      </c>
      <c r="J7420" s="10" t="s">
        <v>35170</v>
      </c>
      <c r="K7420" s="10">
        <v>283</v>
      </c>
      <c r="L7420" s="10" t="s">
        <v>35199</v>
      </c>
      <c r="M7420" s="10">
        <v>1</v>
      </c>
      <c r="N7420" s="10" t="s">
        <v>35200</v>
      </c>
      <c r="O7420" s="10"/>
      <c r="P7420" s="10" t="s">
        <v>35201</v>
      </c>
      <c r="Q7420" s="10">
        <v>374</v>
      </c>
      <c r="R7420" s="10" t="s">
        <v>35202</v>
      </c>
      <c r="S7420" s="10" t="s">
        <v>53</v>
      </c>
      <c r="T7420" s="10" t="s">
        <v>54</v>
      </c>
    </row>
    <row r="7421" spans="1:20" ht="14.5" x14ac:dyDescent="0.35">
      <c r="A7421" s="10" t="s">
        <v>35203</v>
      </c>
      <c r="B7421" s="10" t="str">
        <f>"9781617353482"</f>
        <v>9781617353482</v>
      </c>
      <c r="C7421" s="10" t="str">
        <f>"9781617353505"</f>
        <v>9781617353505</v>
      </c>
      <c r="D7421" s="10" t="s">
        <v>274</v>
      </c>
      <c r="E7421" s="10" t="s">
        <v>35170</v>
      </c>
      <c r="F7421" s="10" t="s">
        <v>35171</v>
      </c>
      <c r="G7421" s="10" t="s">
        <v>6317</v>
      </c>
      <c r="H7421" s="11">
        <v>40544</v>
      </c>
      <c r="I7421" s="10">
        <v>2011</v>
      </c>
      <c r="J7421" s="10" t="s">
        <v>35170</v>
      </c>
      <c r="K7421" s="10">
        <v>158</v>
      </c>
      <c r="L7421" s="10" t="s">
        <v>35204</v>
      </c>
      <c r="M7421" s="10">
        <v>1</v>
      </c>
      <c r="N7421" s="10"/>
      <c r="O7421" s="10"/>
      <c r="P7421" s="10" t="s">
        <v>35205</v>
      </c>
      <c r="Q7421" s="10" t="s">
        <v>6942</v>
      </c>
      <c r="R7421" s="10" t="s">
        <v>35206</v>
      </c>
      <c r="S7421" s="10" t="s">
        <v>53</v>
      </c>
      <c r="T7421" s="10" t="s">
        <v>54</v>
      </c>
    </row>
    <row r="7422" spans="1:20" ht="14.5" x14ac:dyDescent="0.35">
      <c r="A7422" s="10" t="s">
        <v>35207</v>
      </c>
      <c r="B7422" s="10" t="str">
        <f>"9781617353369"</f>
        <v>9781617353369</v>
      </c>
      <c r="C7422" s="10" t="str">
        <f>"9781617353383"</f>
        <v>9781617353383</v>
      </c>
      <c r="D7422" s="10" t="s">
        <v>274</v>
      </c>
      <c r="E7422" s="10" t="s">
        <v>35170</v>
      </c>
      <c r="F7422" s="10" t="s">
        <v>35171</v>
      </c>
      <c r="G7422" s="10" t="s">
        <v>6317</v>
      </c>
      <c r="H7422" s="11">
        <v>40544</v>
      </c>
      <c r="I7422" s="10">
        <v>2011</v>
      </c>
      <c r="J7422" s="10" t="s">
        <v>35170</v>
      </c>
      <c r="K7422" s="10">
        <v>171</v>
      </c>
      <c r="L7422" s="10" t="s">
        <v>35208</v>
      </c>
      <c r="M7422" s="10">
        <v>1</v>
      </c>
      <c r="N7422" s="10"/>
      <c r="O7422" s="10"/>
      <c r="P7422" s="10" t="s">
        <v>35209</v>
      </c>
      <c r="Q7422" s="10">
        <v>428.00709999999998</v>
      </c>
      <c r="R7422" s="10" t="s">
        <v>35210</v>
      </c>
      <c r="S7422" s="10" t="s">
        <v>53</v>
      </c>
      <c r="T7422" s="10" t="s">
        <v>6498</v>
      </c>
    </row>
    <row r="7423" spans="1:20" ht="14.5" x14ac:dyDescent="0.35">
      <c r="A7423" s="10" t="s">
        <v>35211</v>
      </c>
      <c r="B7423" s="10" t="str">
        <f>"9781617354380"</f>
        <v>9781617354380</v>
      </c>
      <c r="C7423" s="10" t="str">
        <f>"9781617354403"</f>
        <v>9781617354403</v>
      </c>
      <c r="D7423" s="10" t="s">
        <v>274</v>
      </c>
      <c r="E7423" s="10" t="s">
        <v>35170</v>
      </c>
      <c r="F7423" s="10" t="s">
        <v>35171</v>
      </c>
      <c r="G7423" s="10" t="s">
        <v>6317</v>
      </c>
      <c r="H7423" s="11">
        <v>40664</v>
      </c>
      <c r="I7423" s="10">
        <v>2011</v>
      </c>
      <c r="J7423" s="10" t="s">
        <v>35170</v>
      </c>
      <c r="K7423" s="10">
        <v>325</v>
      </c>
      <c r="L7423" s="10" t="s">
        <v>35212</v>
      </c>
      <c r="M7423" s="10">
        <v>1</v>
      </c>
      <c r="N7423" s="10" t="s">
        <v>35213</v>
      </c>
      <c r="O7423" s="10"/>
      <c r="P7423" s="10" t="s">
        <v>35214</v>
      </c>
      <c r="Q7423" s="10" t="s">
        <v>10213</v>
      </c>
      <c r="R7423" s="10" t="s">
        <v>35215</v>
      </c>
      <c r="S7423" s="10" t="s">
        <v>53</v>
      </c>
      <c r="T7423" s="10" t="s">
        <v>54</v>
      </c>
    </row>
    <row r="7424" spans="1:20" ht="14.5" x14ac:dyDescent="0.35">
      <c r="A7424" s="10" t="s">
        <v>35216</v>
      </c>
      <c r="B7424" s="10" t="str">
        <f>"9781617354021"</f>
        <v>9781617354021</v>
      </c>
      <c r="C7424" s="10" t="str">
        <f>"9781617354045"</f>
        <v>9781617354045</v>
      </c>
      <c r="D7424" s="10" t="s">
        <v>274</v>
      </c>
      <c r="E7424" s="10" t="s">
        <v>35170</v>
      </c>
      <c r="F7424" s="10" t="s">
        <v>35171</v>
      </c>
      <c r="G7424" s="10" t="s">
        <v>6317</v>
      </c>
      <c r="H7424" s="11">
        <v>40603</v>
      </c>
      <c r="I7424" s="10">
        <v>2011</v>
      </c>
      <c r="J7424" s="10" t="s">
        <v>35170</v>
      </c>
      <c r="K7424" s="10">
        <v>246</v>
      </c>
      <c r="L7424" s="10" t="s">
        <v>35217</v>
      </c>
      <c r="M7424" s="10">
        <v>1</v>
      </c>
      <c r="N7424" s="10"/>
      <c r="O7424" s="10"/>
      <c r="P7424" s="10" t="s">
        <v>35218</v>
      </c>
      <c r="Q7424" s="10" t="s">
        <v>8460</v>
      </c>
      <c r="R7424" s="10" t="s">
        <v>35219</v>
      </c>
      <c r="S7424" s="10" t="s">
        <v>53</v>
      </c>
      <c r="T7424" s="10" t="s">
        <v>54</v>
      </c>
    </row>
    <row r="7425" spans="1:20" ht="14.5" x14ac:dyDescent="0.35">
      <c r="A7425" s="10" t="s">
        <v>35220</v>
      </c>
      <c r="B7425" s="10" t="str">
        <f>"9781617353727"</f>
        <v>9781617353727</v>
      </c>
      <c r="C7425" s="10" t="str">
        <f>"9781617353741"</f>
        <v>9781617353741</v>
      </c>
      <c r="D7425" s="10" t="s">
        <v>274</v>
      </c>
      <c r="E7425" s="10" t="s">
        <v>35170</v>
      </c>
      <c r="F7425" s="10" t="s">
        <v>35171</v>
      </c>
      <c r="G7425" s="10" t="s">
        <v>6317</v>
      </c>
      <c r="H7425" s="11">
        <v>40575</v>
      </c>
      <c r="I7425" s="10">
        <v>2011</v>
      </c>
      <c r="J7425" s="10" t="s">
        <v>35170</v>
      </c>
      <c r="K7425" s="10">
        <v>514</v>
      </c>
      <c r="L7425" s="10" t="s">
        <v>35221</v>
      </c>
      <c r="M7425" s="10">
        <v>1</v>
      </c>
      <c r="N7425" s="10"/>
      <c r="O7425" s="10"/>
      <c r="P7425" s="10" t="s">
        <v>35222</v>
      </c>
      <c r="Q7425" s="10" t="s">
        <v>7299</v>
      </c>
      <c r="R7425" s="10"/>
      <c r="S7425" s="10" t="s">
        <v>53</v>
      </c>
      <c r="T7425" s="10" t="s">
        <v>54</v>
      </c>
    </row>
    <row r="7426" spans="1:20" ht="14.5" x14ac:dyDescent="0.35">
      <c r="A7426" s="10" t="s">
        <v>35223</v>
      </c>
      <c r="B7426" s="10" t="str">
        <f>"9781617353963"</f>
        <v>9781617353963</v>
      </c>
      <c r="C7426" s="10" t="str">
        <f>"9781617353987"</f>
        <v>9781617353987</v>
      </c>
      <c r="D7426" s="10" t="s">
        <v>274</v>
      </c>
      <c r="E7426" s="10" t="s">
        <v>35170</v>
      </c>
      <c r="F7426" s="10" t="s">
        <v>35171</v>
      </c>
      <c r="G7426" s="10" t="s">
        <v>6317</v>
      </c>
      <c r="H7426" s="11">
        <v>40603</v>
      </c>
      <c r="I7426" s="10">
        <v>2011</v>
      </c>
      <c r="J7426" s="10" t="s">
        <v>35170</v>
      </c>
      <c r="K7426" s="10">
        <v>261</v>
      </c>
      <c r="L7426" s="10" t="s">
        <v>35224</v>
      </c>
      <c r="M7426" s="10">
        <v>1</v>
      </c>
      <c r="N7426" s="10" t="s">
        <v>35225</v>
      </c>
      <c r="O7426" s="10"/>
      <c r="P7426" s="10" t="s">
        <v>35226</v>
      </c>
      <c r="Q7426" s="10" t="s">
        <v>35227</v>
      </c>
      <c r="R7426" s="10" t="s">
        <v>35228</v>
      </c>
      <c r="S7426" s="10" t="s">
        <v>53</v>
      </c>
      <c r="T7426" s="10" t="s">
        <v>8346</v>
      </c>
    </row>
    <row r="7427" spans="1:20" ht="14.5" x14ac:dyDescent="0.35">
      <c r="A7427" s="10" t="s">
        <v>35229</v>
      </c>
      <c r="B7427" s="10" t="str">
        <f>"9781617354786"</f>
        <v>9781617354786</v>
      </c>
      <c r="C7427" s="10" t="str">
        <f>"9781617354809"</f>
        <v>9781617354809</v>
      </c>
      <c r="D7427" s="10" t="s">
        <v>274</v>
      </c>
      <c r="E7427" s="10" t="s">
        <v>35170</v>
      </c>
      <c r="F7427" s="10" t="s">
        <v>35171</v>
      </c>
      <c r="G7427" s="10" t="s">
        <v>6317</v>
      </c>
      <c r="H7427" s="11">
        <v>40664</v>
      </c>
      <c r="I7427" s="10">
        <v>2011</v>
      </c>
      <c r="J7427" s="10" t="s">
        <v>35170</v>
      </c>
      <c r="K7427" s="10">
        <v>373</v>
      </c>
      <c r="L7427" s="10" t="s">
        <v>35230</v>
      </c>
      <c r="M7427" s="10">
        <v>1</v>
      </c>
      <c r="N7427" s="10" t="s">
        <v>35231</v>
      </c>
      <c r="O7427" s="10"/>
      <c r="P7427" s="10" t="s">
        <v>35232</v>
      </c>
      <c r="Q7427" s="10" t="s">
        <v>12010</v>
      </c>
      <c r="R7427" s="10" t="s">
        <v>35233</v>
      </c>
      <c r="S7427" s="10" t="s">
        <v>53</v>
      </c>
      <c r="T7427" s="10" t="s">
        <v>54</v>
      </c>
    </row>
    <row r="7428" spans="1:20" ht="14.5" x14ac:dyDescent="0.35">
      <c r="A7428" s="10" t="s">
        <v>35234</v>
      </c>
      <c r="B7428" s="10" t="str">
        <f>"9781617354502"</f>
        <v>9781617354502</v>
      </c>
      <c r="C7428" s="10" t="str">
        <f>"9781617354526"</f>
        <v>9781617354526</v>
      </c>
      <c r="D7428" s="10" t="s">
        <v>274</v>
      </c>
      <c r="E7428" s="10" t="s">
        <v>35170</v>
      </c>
      <c r="F7428" s="10" t="s">
        <v>35171</v>
      </c>
      <c r="G7428" s="10" t="s">
        <v>6317</v>
      </c>
      <c r="H7428" s="11">
        <v>40664</v>
      </c>
      <c r="I7428" s="10">
        <v>2011</v>
      </c>
      <c r="J7428" s="10" t="s">
        <v>35170</v>
      </c>
      <c r="K7428" s="10">
        <v>357</v>
      </c>
      <c r="L7428" s="10" t="s">
        <v>35235</v>
      </c>
      <c r="M7428" s="10">
        <v>1</v>
      </c>
      <c r="N7428" s="10" t="s">
        <v>35177</v>
      </c>
      <c r="O7428" s="10"/>
      <c r="P7428" s="10" t="s">
        <v>35236</v>
      </c>
      <c r="Q7428" s="10" t="s">
        <v>19865</v>
      </c>
      <c r="R7428" s="10" t="s">
        <v>35237</v>
      </c>
      <c r="S7428" s="10" t="s">
        <v>53</v>
      </c>
      <c r="T7428" s="10" t="s">
        <v>54</v>
      </c>
    </row>
    <row r="7429" spans="1:20" ht="14.5" x14ac:dyDescent="0.35">
      <c r="A7429" s="10" t="s">
        <v>35238</v>
      </c>
      <c r="B7429" s="10" t="str">
        <f>"9781617354359"</f>
        <v>9781617354359</v>
      </c>
      <c r="C7429" s="10" t="str">
        <f>"9781617354373"</f>
        <v>9781617354373</v>
      </c>
      <c r="D7429" s="10" t="s">
        <v>274</v>
      </c>
      <c r="E7429" s="10" t="s">
        <v>35170</v>
      </c>
      <c r="F7429" s="10" t="s">
        <v>35171</v>
      </c>
      <c r="G7429" s="10" t="s">
        <v>6317</v>
      </c>
      <c r="H7429" s="11">
        <v>40664</v>
      </c>
      <c r="I7429" s="10">
        <v>2011</v>
      </c>
      <c r="J7429" s="10" t="s">
        <v>35170</v>
      </c>
      <c r="K7429" s="10">
        <v>358</v>
      </c>
      <c r="L7429" s="10" t="s">
        <v>35239</v>
      </c>
      <c r="M7429" s="10">
        <v>1</v>
      </c>
      <c r="N7429" s="10"/>
      <c r="O7429" s="10"/>
      <c r="P7429" s="10" t="s">
        <v>35240</v>
      </c>
      <c r="Q7429" s="10">
        <v>371.33</v>
      </c>
      <c r="R7429" s="10" t="s">
        <v>35241</v>
      </c>
      <c r="S7429" s="10" t="s">
        <v>53</v>
      </c>
      <c r="T7429" s="10" t="s">
        <v>54</v>
      </c>
    </row>
    <row r="7430" spans="1:20" ht="14.5" x14ac:dyDescent="0.35">
      <c r="A7430" s="10" t="s">
        <v>35242</v>
      </c>
      <c r="B7430" s="10" t="str">
        <f>"9781617354205"</f>
        <v>9781617354205</v>
      </c>
      <c r="C7430" s="10" t="str">
        <f>"9781617354229"</f>
        <v>9781617354229</v>
      </c>
      <c r="D7430" s="10" t="s">
        <v>274</v>
      </c>
      <c r="E7430" s="10" t="s">
        <v>35170</v>
      </c>
      <c r="F7430" s="10" t="s">
        <v>35171</v>
      </c>
      <c r="G7430" s="10" t="s">
        <v>6317</v>
      </c>
      <c r="H7430" s="11">
        <v>40664</v>
      </c>
      <c r="I7430" s="10">
        <v>2011</v>
      </c>
      <c r="J7430" s="10" t="s">
        <v>35170</v>
      </c>
      <c r="K7430" s="10">
        <v>361</v>
      </c>
      <c r="L7430" s="10" t="s">
        <v>35243</v>
      </c>
      <c r="M7430" s="10">
        <v>1</v>
      </c>
      <c r="N7430" s="10" t="s">
        <v>35244</v>
      </c>
      <c r="O7430" s="10"/>
      <c r="P7430" s="10" t="s">
        <v>35245</v>
      </c>
      <c r="Q7430" s="10">
        <v>510.71</v>
      </c>
      <c r="R7430" s="10" t="s">
        <v>35246</v>
      </c>
      <c r="S7430" s="10" t="s">
        <v>53</v>
      </c>
      <c r="T7430" s="10" t="s">
        <v>389</v>
      </c>
    </row>
    <row r="7431" spans="1:20" ht="14.5" x14ac:dyDescent="0.35">
      <c r="A7431" s="10" t="s">
        <v>35247</v>
      </c>
      <c r="B7431" s="10" t="str">
        <f>"9781617353277"</f>
        <v>9781617353277</v>
      </c>
      <c r="C7431" s="10" t="str">
        <f>"9781617353291"</f>
        <v>9781617353291</v>
      </c>
      <c r="D7431" s="10" t="s">
        <v>274</v>
      </c>
      <c r="E7431" s="10" t="s">
        <v>35170</v>
      </c>
      <c r="F7431" s="10" t="s">
        <v>35171</v>
      </c>
      <c r="G7431" s="10" t="s">
        <v>6317</v>
      </c>
      <c r="H7431" s="11">
        <v>40544</v>
      </c>
      <c r="I7431" s="10">
        <v>2011</v>
      </c>
      <c r="J7431" s="10" t="s">
        <v>35170</v>
      </c>
      <c r="K7431" s="10">
        <v>195</v>
      </c>
      <c r="L7431" s="10" t="s">
        <v>35248</v>
      </c>
      <c r="M7431" s="10">
        <v>1</v>
      </c>
      <c r="N7431" s="10" t="s">
        <v>35249</v>
      </c>
      <c r="O7431" s="10"/>
      <c r="P7431" s="10" t="s">
        <v>35250</v>
      </c>
      <c r="Q7431" s="10">
        <v>372.18220000000002</v>
      </c>
      <c r="R7431" s="10" t="s">
        <v>35251</v>
      </c>
      <c r="S7431" s="10" t="s">
        <v>53</v>
      </c>
      <c r="T7431" s="10" t="s">
        <v>54</v>
      </c>
    </row>
    <row r="7432" spans="1:20" ht="14.5" x14ac:dyDescent="0.35">
      <c r="A7432" s="10" t="s">
        <v>35252</v>
      </c>
      <c r="B7432" s="10" t="str">
        <f>"9781617354236"</f>
        <v>9781617354236</v>
      </c>
      <c r="C7432" s="10" t="str">
        <f>"9781617354250"</f>
        <v>9781617354250</v>
      </c>
      <c r="D7432" s="10" t="s">
        <v>274</v>
      </c>
      <c r="E7432" s="10" t="s">
        <v>35170</v>
      </c>
      <c r="F7432" s="10" t="s">
        <v>35171</v>
      </c>
      <c r="G7432" s="10" t="s">
        <v>6317</v>
      </c>
      <c r="H7432" s="11">
        <v>40664</v>
      </c>
      <c r="I7432" s="10">
        <v>2011</v>
      </c>
      <c r="J7432" s="10" t="s">
        <v>35170</v>
      </c>
      <c r="K7432" s="10">
        <v>182</v>
      </c>
      <c r="L7432" s="10" t="s">
        <v>35253</v>
      </c>
      <c r="M7432" s="10">
        <v>1</v>
      </c>
      <c r="N7432" s="10" t="s">
        <v>35254</v>
      </c>
      <c r="O7432" s="10"/>
      <c r="P7432" s="10" t="s">
        <v>35255</v>
      </c>
      <c r="Q7432" s="10" t="s">
        <v>7299</v>
      </c>
      <c r="R7432" s="10" t="s">
        <v>35256</v>
      </c>
      <c r="S7432" s="10" t="s">
        <v>53</v>
      </c>
      <c r="T7432" s="10" t="s">
        <v>54</v>
      </c>
    </row>
    <row r="7433" spans="1:20" ht="14.5" x14ac:dyDescent="0.35">
      <c r="A7433" s="10" t="s">
        <v>35257</v>
      </c>
      <c r="B7433" s="10" t="str">
        <f>"9781617354472"</f>
        <v>9781617354472</v>
      </c>
      <c r="C7433" s="10" t="str">
        <f>"9781617354496"</f>
        <v>9781617354496</v>
      </c>
      <c r="D7433" s="10" t="s">
        <v>274</v>
      </c>
      <c r="E7433" s="10" t="s">
        <v>35170</v>
      </c>
      <c r="F7433" s="10" t="s">
        <v>35171</v>
      </c>
      <c r="G7433" s="10" t="s">
        <v>6317</v>
      </c>
      <c r="H7433" s="11">
        <v>40664</v>
      </c>
      <c r="I7433" s="10">
        <v>2011</v>
      </c>
      <c r="J7433" s="10" t="s">
        <v>35170</v>
      </c>
      <c r="K7433" s="10">
        <v>164</v>
      </c>
      <c r="L7433" s="10" t="s">
        <v>35258</v>
      </c>
      <c r="M7433" s="10">
        <v>1</v>
      </c>
      <c r="N7433" s="10" t="s">
        <v>35259</v>
      </c>
      <c r="O7433" s="10"/>
      <c r="P7433" s="10" t="s">
        <v>35260</v>
      </c>
      <c r="Q7433" s="10" t="s">
        <v>18116</v>
      </c>
      <c r="R7433" s="10"/>
      <c r="S7433" s="10" t="s">
        <v>53</v>
      </c>
      <c r="T7433" s="10" t="s">
        <v>54</v>
      </c>
    </row>
    <row r="7434" spans="1:20" ht="14.5" x14ac:dyDescent="0.35">
      <c r="A7434" s="10" t="s">
        <v>35261</v>
      </c>
      <c r="B7434" s="10" t="str">
        <f>"9781617353574"</f>
        <v>9781617353574</v>
      </c>
      <c r="C7434" s="10" t="str">
        <f>"9781617353598"</f>
        <v>9781617353598</v>
      </c>
      <c r="D7434" s="10" t="s">
        <v>274</v>
      </c>
      <c r="E7434" s="10" t="s">
        <v>35170</v>
      </c>
      <c r="F7434" s="10" t="s">
        <v>35171</v>
      </c>
      <c r="G7434" s="10" t="s">
        <v>6317</v>
      </c>
      <c r="H7434" s="11">
        <v>40575</v>
      </c>
      <c r="I7434" s="10">
        <v>2011</v>
      </c>
      <c r="J7434" s="10" t="s">
        <v>35170</v>
      </c>
      <c r="K7434" s="10">
        <v>303</v>
      </c>
      <c r="L7434" s="10" t="s">
        <v>35262</v>
      </c>
      <c r="M7434" s="10">
        <v>1</v>
      </c>
      <c r="N7434" s="10"/>
      <c r="O7434" s="10"/>
      <c r="P7434" s="10" t="s">
        <v>35263</v>
      </c>
      <c r="Q7434" s="10" t="s">
        <v>7335</v>
      </c>
      <c r="R7434" s="10" t="s">
        <v>35264</v>
      </c>
      <c r="S7434" s="10" t="s">
        <v>53</v>
      </c>
      <c r="T7434" s="10" t="s">
        <v>54</v>
      </c>
    </row>
    <row r="7435" spans="1:20" ht="14.5" x14ac:dyDescent="0.35">
      <c r="A7435" s="10" t="s">
        <v>35265</v>
      </c>
      <c r="B7435" s="10" t="str">
        <f>"9781617354724"</f>
        <v>9781617354724</v>
      </c>
      <c r="C7435" s="10" t="str">
        <f>"9781617354748"</f>
        <v>9781617354748</v>
      </c>
      <c r="D7435" s="10" t="s">
        <v>274</v>
      </c>
      <c r="E7435" s="10" t="s">
        <v>35170</v>
      </c>
      <c r="F7435" s="10" t="s">
        <v>35171</v>
      </c>
      <c r="G7435" s="10" t="s">
        <v>6317</v>
      </c>
      <c r="H7435" s="11">
        <v>40664</v>
      </c>
      <c r="I7435" s="10">
        <v>2011</v>
      </c>
      <c r="J7435" s="10" t="s">
        <v>35170</v>
      </c>
      <c r="K7435" s="10">
        <v>439</v>
      </c>
      <c r="L7435" s="10" t="s">
        <v>35266</v>
      </c>
      <c r="M7435" s="10">
        <v>1</v>
      </c>
      <c r="N7435" s="10" t="s">
        <v>35267</v>
      </c>
      <c r="O7435" s="10"/>
      <c r="P7435" s="10" t="s">
        <v>35268</v>
      </c>
      <c r="Q7435" s="10">
        <v>373.23599999999999</v>
      </c>
      <c r="R7435" s="10" t="s">
        <v>35269</v>
      </c>
      <c r="S7435" s="10" t="s">
        <v>53</v>
      </c>
      <c r="T7435" s="10" t="s">
        <v>54</v>
      </c>
    </row>
    <row r="7436" spans="1:20" ht="14.5" x14ac:dyDescent="0.35">
      <c r="A7436" s="10" t="s">
        <v>35270</v>
      </c>
      <c r="B7436" s="10" t="str">
        <f>"9781617354533"</f>
        <v>9781617354533</v>
      </c>
      <c r="C7436" s="10" t="str">
        <f>"9781617354557"</f>
        <v>9781617354557</v>
      </c>
      <c r="D7436" s="10" t="s">
        <v>274</v>
      </c>
      <c r="E7436" s="10" t="s">
        <v>35170</v>
      </c>
      <c r="F7436" s="10" t="s">
        <v>35171</v>
      </c>
      <c r="G7436" s="10" t="s">
        <v>6317</v>
      </c>
      <c r="H7436" s="11">
        <v>40634</v>
      </c>
      <c r="I7436" s="10">
        <v>2011</v>
      </c>
      <c r="J7436" s="10" t="s">
        <v>35170</v>
      </c>
      <c r="K7436" s="10">
        <v>224</v>
      </c>
      <c r="L7436" s="10" t="s">
        <v>35271</v>
      </c>
      <c r="M7436" s="10">
        <v>1</v>
      </c>
      <c r="N7436" s="10"/>
      <c r="O7436" s="10"/>
      <c r="P7436" s="10" t="s">
        <v>35272</v>
      </c>
      <c r="Q7436" s="10">
        <v>371.35099400000001</v>
      </c>
      <c r="R7436" s="10" t="s">
        <v>35273</v>
      </c>
      <c r="S7436" s="10" t="s">
        <v>53</v>
      </c>
      <c r="T7436" s="10" t="s">
        <v>54</v>
      </c>
    </row>
    <row r="7437" spans="1:20" ht="14.5" x14ac:dyDescent="0.35">
      <c r="A7437" s="10" t="s">
        <v>35274</v>
      </c>
      <c r="B7437" s="10" t="str">
        <f>"9781617354847"</f>
        <v>9781617354847</v>
      </c>
      <c r="C7437" s="10" t="str">
        <f>"9781617354861"</f>
        <v>9781617354861</v>
      </c>
      <c r="D7437" s="10" t="s">
        <v>274</v>
      </c>
      <c r="E7437" s="10" t="s">
        <v>35170</v>
      </c>
      <c r="F7437" s="10" t="s">
        <v>35171</v>
      </c>
      <c r="G7437" s="10" t="s">
        <v>6317</v>
      </c>
      <c r="H7437" s="11">
        <v>40695</v>
      </c>
      <c r="I7437" s="10">
        <v>2011</v>
      </c>
      <c r="J7437" s="10" t="s">
        <v>35170</v>
      </c>
      <c r="K7437" s="10">
        <v>421</v>
      </c>
      <c r="L7437" s="10" t="s">
        <v>35275</v>
      </c>
      <c r="M7437" s="10">
        <v>1</v>
      </c>
      <c r="N7437" s="10"/>
      <c r="O7437" s="10"/>
      <c r="P7437" s="10" t="s">
        <v>35276</v>
      </c>
      <c r="Q7437" s="10" t="s">
        <v>35277</v>
      </c>
      <c r="R7437" s="10" t="s">
        <v>35278</v>
      </c>
      <c r="S7437" s="10" t="s">
        <v>53</v>
      </c>
      <c r="T7437" s="10" t="s">
        <v>54</v>
      </c>
    </row>
    <row r="7438" spans="1:20" ht="14.5" x14ac:dyDescent="0.35">
      <c r="A7438" s="10" t="s">
        <v>35279</v>
      </c>
      <c r="B7438" s="10" t="str">
        <f>"9781617354410"</f>
        <v>9781617354410</v>
      </c>
      <c r="C7438" s="10" t="str">
        <f>"9781617354434"</f>
        <v>9781617354434</v>
      </c>
      <c r="D7438" s="10" t="s">
        <v>274</v>
      </c>
      <c r="E7438" s="10" t="s">
        <v>35170</v>
      </c>
      <c r="F7438" s="10" t="s">
        <v>35171</v>
      </c>
      <c r="G7438" s="10" t="s">
        <v>6317</v>
      </c>
      <c r="H7438" s="11">
        <v>40664</v>
      </c>
      <c r="I7438" s="10">
        <v>2011</v>
      </c>
      <c r="J7438" s="10" t="s">
        <v>35170</v>
      </c>
      <c r="K7438" s="10">
        <v>177</v>
      </c>
      <c r="L7438" s="10" t="s">
        <v>35280</v>
      </c>
      <c r="M7438" s="10">
        <v>1</v>
      </c>
      <c r="N7438" s="10" t="s">
        <v>35281</v>
      </c>
      <c r="O7438" s="10"/>
      <c r="P7438" s="10" t="s">
        <v>35282</v>
      </c>
      <c r="Q7438" s="10">
        <v>371.26097299999998</v>
      </c>
      <c r="R7438" s="10" t="s">
        <v>35283</v>
      </c>
      <c r="S7438" s="10" t="s">
        <v>53</v>
      </c>
      <c r="T7438" s="10" t="s">
        <v>54</v>
      </c>
    </row>
    <row r="7439" spans="1:20" ht="14.5" x14ac:dyDescent="0.35">
      <c r="A7439" s="10" t="s">
        <v>35284</v>
      </c>
      <c r="B7439" s="10" t="str">
        <f>"9781617355202"</f>
        <v>9781617355202</v>
      </c>
      <c r="C7439" s="10" t="str">
        <f>"9781617355226"</f>
        <v>9781617355226</v>
      </c>
      <c r="D7439" s="10" t="s">
        <v>274</v>
      </c>
      <c r="E7439" s="10" t="s">
        <v>35170</v>
      </c>
      <c r="F7439" s="10" t="s">
        <v>35171</v>
      </c>
      <c r="G7439" s="10" t="s">
        <v>6317</v>
      </c>
      <c r="H7439" s="11">
        <v>40756</v>
      </c>
      <c r="I7439" s="10">
        <v>2011</v>
      </c>
      <c r="J7439" s="10" t="s">
        <v>35170</v>
      </c>
      <c r="K7439" s="10">
        <v>286</v>
      </c>
      <c r="L7439" s="10" t="s">
        <v>35285</v>
      </c>
      <c r="M7439" s="10">
        <v>1</v>
      </c>
      <c r="N7439" s="10" t="s">
        <v>35286</v>
      </c>
      <c r="O7439" s="10"/>
      <c r="P7439" s="10" t="s">
        <v>35287</v>
      </c>
      <c r="Q7439" s="10" t="s">
        <v>7335</v>
      </c>
      <c r="R7439" s="10" t="s">
        <v>35288</v>
      </c>
      <c r="S7439" s="10" t="s">
        <v>53</v>
      </c>
      <c r="T7439" s="10" t="s">
        <v>54</v>
      </c>
    </row>
    <row r="7440" spans="1:20" ht="14.5" x14ac:dyDescent="0.35">
      <c r="A7440" s="10" t="s">
        <v>35289</v>
      </c>
      <c r="B7440" s="10" t="str">
        <f>"9781617354267"</f>
        <v>9781617354267</v>
      </c>
      <c r="C7440" s="10" t="str">
        <f>"9781617354281"</f>
        <v>9781617354281</v>
      </c>
      <c r="D7440" s="10" t="s">
        <v>274</v>
      </c>
      <c r="E7440" s="10" t="s">
        <v>35170</v>
      </c>
      <c r="F7440" s="10" t="s">
        <v>35171</v>
      </c>
      <c r="G7440" s="10" t="s">
        <v>6317</v>
      </c>
      <c r="H7440" s="11">
        <v>40725</v>
      </c>
      <c r="I7440" s="10">
        <v>2011</v>
      </c>
      <c r="J7440" s="10" t="s">
        <v>35170</v>
      </c>
      <c r="K7440" s="10">
        <v>247</v>
      </c>
      <c r="L7440" s="10" t="s">
        <v>35290</v>
      </c>
      <c r="M7440" s="10">
        <v>1</v>
      </c>
      <c r="N7440" s="10" t="s">
        <v>35291</v>
      </c>
      <c r="O7440" s="10"/>
      <c r="P7440" s="10" t="s">
        <v>35292</v>
      </c>
      <c r="Q7440" s="10" t="s">
        <v>30047</v>
      </c>
      <c r="R7440" s="10" t="s">
        <v>35293</v>
      </c>
      <c r="S7440" s="10" t="s">
        <v>53</v>
      </c>
      <c r="T7440" s="10" t="s">
        <v>13527</v>
      </c>
    </row>
    <row r="7441" spans="1:20" ht="14.5" x14ac:dyDescent="0.35">
      <c r="A7441" s="10" t="s">
        <v>35294</v>
      </c>
      <c r="B7441" s="10" t="str">
        <f>"9781617355417"</f>
        <v>9781617355417</v>
      </c>
      <c r="C7441" s="10" t="str">
        <f>"9781617355431"</f>
        <v>9781617355431</v>
      </c>
      <c r="D7441" s="10" t="s">
        <v>274</v>
      </c>
      <c r="E7441" s="10" t="s">
        <v>35170</v>
      </c>
      <c r="F7441" s="10" t="s">
        <v>35171</v>
      </c>
      <c r="G7441" s="10" t="s">
        <v>6317</v>
      </c>
      <c r="H7441" s="11">
        <v>40787</v>
      </c>
      <c r="I7441" s="10">
        <v>2011</v>
      </c>
      <c r="J7441" s="10" t="s">
        <v>35170</v>
      </c>
      <c r="K7441" s="10">
        <v>301</v>
      </c>
      <c r="L7441" s="10" t="s">
        <v>35295</v>
      </c>
      <c r="M7441" s="10">
        <v>1</v>
      </c>
      <c r="N7441" s="10"/>
      <c r="O7441" s="10"/>
      <c r="P7441" s="10" t="s">
        <v>35296</v>
      </c>
      <c r="Q7441" s="10">
        <v>378.00967000000003</v>
      </c>
      <c r="R7441" s="10"/>
      <c r="S7441" s="10" t="s">
        <v>53</v>
      </c>
      <c r="T7441" s="10" t="s">
        <v>54</v>
      </c>
    </row>
    <row r="7442" spans="1:20" ht="14.5" x14ac:dyDescent="0.35">
      <c r="A7442" s="10" t="s">
        <v>35297</v>
      </c>
      <c r="B7442" s="10" t="str">
        <f>"9781617355233"</f>
        <v>9781617355233</v>
      </c>
      <c r="C7442" s="10" t="str">
        <f>"9781617355257"</f>
        <v>9781617355257</v>
      </c>
      <c r="D7442" s="10" t="s">
        <v>274</v>
      </c>
      <c r="E7442" s="10" t="s">
        <v>35170</v>
      </c>
      <c r="F7442" s="10" t="s">
        <v>35171</v>
      </c>
      <c r="G7442" s="10" t="s">
        <v>6317</v>
      </c>
      <c r="H7442" s="11">
        <v>40756</v>
      </c>
      <c r="I7442" s="10">
        <v>2011</v>
      </c>
      <c r="J7442" s="10" t="s">
        <v>35170</v>
      </c>
      <c r="K7442" s="10">
        <v>339</v>
      </c>
      <c r="L7442" s="10" t="s">
        <v>35298</v>
      </c>
      <c r="M7442" s="10">
        <v>1</v>
      </c>
      <c r="N7442" s="10" t="s">
        <v>35299</v>
      </c>
      <c r="O7442" s="10"/>
      <c r="P7442" s="10" t="s">
        <v>35300</v>
      </c>
      <c r="Q7442" s="10">
        <v>370.15</v>
      </c>
      <c r="R7442" s="10"/>
      <c r="S7442" s="10" t="s">
        <v>53</v>
      </c>
      <c r="T7442" s="10" t="s">
        <v>54</v>
      </c>
    </row>
    <row r="7443" spans="1:20" ht="14.5" x14ac:dyDescent="0.35">
      <c r="A7443" s="10" t="s">
        <v>35301</v>
      </c>
      <c r="B7443" s="10" t="str">
        <f>"9781617355448"</f>
        <v>9781617355448</v>
      </c>
      <c r="C7443" s="10" t="str">
        <f>"9781617355462"</f>
        <v>9781617355462</v>
      </c>
      <c r="D7443" s="10" t="s">
        <v>274</v>
      </c>
      <c r="E7443" s="10" t="s">
        <v>35170</v>
      </c>
      <c r="F7443" s="10" t="s">
        <v>35171</v>
      </c>
      <c r="G7443" s="10" t="s">
        <v>6317</v>
      </c>
      <c r="H7443" s="11">
        <v>40787</v>
      </c>
      <c r="I7443" s="10">
        <v>2011</v>
      </c>
      <c r="J7443" s="10" t="s">
        <v>35170</v>
      </c>
      <c r="K7443" s="10">
        <v>206</v>
      </c>
      <c r="L7443" s="10" t="s">
        <v>35302</v>
      </c>
      <c r="M7443" s="10">
        <v>1</v>
      </c>
      <c r="N7443" s="10"/>
      <c r="O7443" s="10"/>
      <c r="P7443" s="10" t="s">
        <v>35303</v>
      </c>
      <c r="Q7443" s="10" t="s">
        <v>35304</v>
      </c>
      <c r="R7443" s="10"/>
      <c r="S7443" s="10" t="s">
        <v>53</v>
      </c>
      <c r="T7443" s="10" t="s">
        <v>6634</v>
      </c>
    </row>
    <row r="7444" spans="1:20" ht="14.5" x14ac:dyDescent="0.35">
      <c r="A7444" s="10" t="s">
        <v>35305</v>
      </c>
      <c r="B7444" s="10" t="str">
        <f>"9781617355325"</f>
        <v>9781617355325</v>
      </c>
      <c r="C7444" s="10" t="str">
        <f>"9781617355349"</f>
        <v>9781617355349</v>
      </c>
      <c r="D7444" s="10" t="s">
        <v>274</v>
      </c>
      <c r="E7444" s="10" t="s">
        <v>35170</v>
      </c>
      <c r="F7444" s="10" t="s">
        <v>35171</v>
      </c>
      <c r="G7444" s="10" t="s">
        <v>6317</v>
      </c>
      <c r="H7444" s="11">
        <v>40787</v>
      </c>
      <c r="I7444" s="10">
        <v>2011</v>
      </c>
      <c r="J7444" s="10" t="s">
        <v>35170</v>
      </c>
      <c r="K7444" s="10">
        <v>155</v>
      </c>
      <c r="L7444" s="10" t="s">
        <v>35306</v>
      </c>
      <c r="M7444" s="10">
        <v>1</v>
      </c>
      <c r="N7444" s="10"/>
      <c r="O7444" s="10"/>
      <c r="P7444" s="10" t="s">
        <v>35307</v>
      </c>
      <c r="Q7444" s="10" t="s">
        <v>35308</v>
      </c>
      <c r="R7444" s="10"/>
      <c r="S7444" s="10" t="s">
        <v>53</v>
      </c>
      <c r="T7444" s="10" t="s">
        <v>54</v>
      </c>
    </row>
    <row r="7445" spans="1:20" ht="14.5" x14ac:dyDescent="0.35">
      <c r="A7445" s="10" t="s">
        <v>35309</v>
      </c>
      <c r="B7445" s="10" t="str">
        <f>"9781617355509"</f>
        <v>9781617355509</v>
      </c>
      <c r="C7445" s="10" t="str">
        <f>"9781617355523"</f>
        <v>9781617355523</v>
      </c>
      <c r="D7445" s="10" t="s">
        <v>274</v>
      </c>
      <c r="E7445" s="10" t="s">
        <v>35170</v>
      </c>
      <c r="F7445" s="10" t="s">
        <v>35171</v>
      </c>
      <c r="G7445" s="10" t="s">
        <v>6317</v>
      </c>
      <c r="H7445" s="11">
        <v>40787</v>
      </c>
      <c r="I7445" s="10">
        <v>2011</v>
      </c>
      <c r="J7445" s="10" t="s">
        <v>35170</v>
      </c>
      <c r="K7445" s="10">
        <v>326</v>
      </c>
      <c r="L7445" s="10" t="s">
        <v>35310</v>
      </c>
      <c r="M7445" s="10">
        <v>1</v>
      </c>
      <c r="N7445" s="10" t="s">
        <v>35311</v>
      </c>
      <c r="O7445" s="10"/>
      <c r="P7445" s="10" t="s">
        <v>35312</v>
      </c>
      <c r="Q7445" s="10">
        <v>371.10199999999998</v>
      </c>
      <c r="R7445" s="10"/>
      <c r="S7445" s="10" t="s">
        <v>53</v>
      </c>
      <c r="T7445" s="10" t="s">
        <v>54</v>
      </c>
    </row>
    <row r="7446" spans="1:20" ht="14.5" x14ac:dyDescent="0.35">
      <c r="A7446" s="10" t="s">
        <v>35313</v>
      </c>
      <c r="B7446" s="10" t="str">
        <f>"9781617355639"</f>
        <v>9781617355639</v>
      </c>
      <c r="C7446" s="10" t="str">
        <f>"9781617355653"</f>
        <v>9781617355653</v>
      </c>
      <c r="D7446" s="10" t="s">
        <v>274</v>
      </c>
      <c r="E7446" s="10" t="s">
        <v>35170</v>
      </c>
      <c r="F7446" s="10" t="s">
        <v>35171</v>
      </c>
      <c r="G7446" s="10" t="s">
        <v>6317</v>
      </c>
      <c r="H7446" s="11">
        <v>40909</v>
      </c>
      <c r="I7446" s="10">
        <v>2011</v>
      </c>
      <c r="J7446" s="10" t="s">
        <v>35170</v>
      </c>
      <c r="K7446" s="10">
        <v>144</v>
      </c>
      <c r="L7446" s="10" t="s">
        <v>35314</v>
      </c>
      <c r="M7446" s="10">
        <v>1</v>
      </c>
      <c r="N7446" s="10"/>
      <c r="O7446" s="10"/>
      <c r="P7446" s="10" t="s">
        <v>35315</v>
      </c>
      <c r="Q7446" s="10" t="s">
        <v>35316</v>
      </c>
      <c r="R7446" s="10"/>
      <c r="S7446" s="10" t="s">
        <v>53</v>
      </c>
      <c r="T7446" s="10" t="s">
        <v>6384</v>
      </c>
    </row>
    <row r="7447" spans="1:20" ht="14.5" x14ac:dyDescent="0.35">
      <c r="A7447" s="10" t="s">
        <v>35317</v>
      </c>
      <c r="B7447" s="10" t="str">
        <f>"9781617355660"</f>
        <v>9781617355660</v>
      </c>
      <c r="C7447" s="10" t="str">
        <f>"9781617355684"</f>
        <v>9781617355684</v>
      </c>
      <c r="D7447" s="10" t="s">
        <v>274</v>
      </c>
      <c r="E7447" s="10" t="s">
        <v>35170</v>
      </c>
      <c r="F7447" s="10" t="s">
        <v>35171</v>
      </c>
      <c r="G7447" s="10" t="s">
        <v>6317</v>
      </c>
      <c r="H7447" s="11">
        <v>40909</v>
      </c>
      <c r="I7447" s="10">
        <v>2011</v>
      </c>
      <c r="J7447" s="10" t="s">
        <v>35170</v>
      </c>
      <c r="K7447" s="10">
        <v>349</v>
      </c>
      <c r="L7447" s="10" t="s">
        <v>35318</v>
      </c>
      <c r="M7447" s="10">
        <v>1</v>
      </c>
      <c r="N7447" s="10" t="s">
        <v>35319</v>
      </c>
      <c r="O7447" s="10"/>
      <c r="P7447" s="10" t="s">
        <v>35320</v>
      </c>
      <c r="Q7447" s="10">
        <v>371.82</v>
      </c>
      <c r="R7447" s="10" t="s">
        <v>35321</v>
      </c>
      <c r="S7447" s="10" t="s">
        <v>53</v>
      </c>
      <c r="T7447" s="10" t="s">
        <v>54</v>
      </c>
    </row>
    <row r="7448" spans="1:20" ht="14.5" x14ac:dyDescent="0.35">
      <c r="A7448" s="10" t="s">
        <v>35322</v>
      </c>
      <c r="B7448" s="10" t="str">
        <f>"9781617356506"</f>
        <v>9781617356506</v>
      </c>
      <c r="C7448" s="10" t="str">
        <f>"9781617356520"</f>
        <v>9781617356520</v>
      </c>
      <c r="D7448" s="10" t="s">
        <v>274</v>
      </c>
      <c r="E7448" s="10" t="s">
        <v>35170</v>
      </c>
      <c r="F7448" s="10" t="s">
        <v>35171</v>
      </c>
      <c r="G7448" s="10" t="s">
        <v>6317</v>
      </c>
      <c r="H7448" s="11">
        <v>40909</v>
      </c>
      <c r="I7448" s="10">
        <v>2012</v>
      </c>
      <c r="J7448" s="10" t="s">
        <v>35170</v>
      </c>
      <c r="K7448" s="10">
        <v>293</v>
      </c>
      <c r="L7448" s="10" t="s">
        <v>35323</v>
      </c>
      <c r="M7448" s="10">
        <v>1</v>
      </c>
      <c r="N7448" s="10" t="s">
        <v>35195</v>
      </c>
      <c r="O7448" s="10"/>
      <c r="P7448" s="10" t="s">
        <v>35324</v>
      </c>
      <c r="Q7448" s="10" t="s">
        <v>8460</v>
      </c>
      <c r="R7448" s="10" t="s">
        <v>35325</v>
      </c>
      <c r="S7448" s="10" t="s">
        <v>53</v>
      </c>
      <c r="T7448" s="10" t="s">
        <v>54</v>
      </c>
    </row>
    <row r="7449" spans="1:20" ht="14.5" x14ac:dyDescent="0.35">
      <c r="A7449" s="10" t="s">
        <v>35326</v>
      </c>
      <c r="B7449" s="10" t="str">
        <f>"9781617356117"</f>
        <v>9781617356117</v>
      </c>
      <c r="C7449" s="10" t="str">
        <f>"9781617356131"</f>
        <v>9781617356131</v>
      </c>
      <c r="D7449" s="10" t="s">
        <v>274</v>
      </c>
      <c r="E7449" s="10" t="s">
        <v>35170</v>
      </c>
      <c r="F7449" s="10" t="s">
        <v>35171</v>
      </c>
      <c r="G7449" s="10" t="s">
        <v>6317</v>
      </c>
      <c r="H7449" s="11">
        <v>40909</v>
      </c>
      <c r="I7449" s="10">
        <v>2012</v>
      </c>
      <c r="J7449" s="10" t="s">
        <v>35170</v>
      </c>
      <c r="K7449" s="10">
        <v>268</v>
      </c>
      <c r="L7449" s="10" t="s">
        <v>35327</v>
      </c>
      <c r="M7449" s="10">
        <v>1</v>
      </c>
      <c r="N7449" s="10"/>
      <c r="O7449" s="10"/>
      <c r="P7449" s="10" t="s">
        <v>35328</v>
      </c>
      <c r="Q7449" s="10" t="s">
        <v>9360</v>
      </c>
      <c r="R7449" s="10" t="s">
        <v>35329</v>
      </c>
      <c r="S7449" s="10" t="s">
        <v>53</v>
      </c>
      <c r="T7449" s="10" t="s">
        <v>54</v>
      </c>
    </row>
    <row r="7450" spans="1:20" ht="14.5" x14ac:dyDescent="0.35">
      <c r="A7450" s="10" t="s">
        <v>35330</v>
      </c>
      <c r="B7450" s="10" t="str">
        <f>"9781617356742"</f>
        <v>9781617356742</v>
      </c>
      <c r="C7450" s="10" t="str">
        <f>"9781617356766"</f>
        <v>9781617356766</v>
      </c>
      <c r="D7450" s="10" t="s">
        <v>274</v>
      </c>
      <c r="E7450" s="10" t="s">
        <v>35170</v>
      </c>
      <c r="F7450" s="10" t="s">
        <v>35171</v>
      </c>
      <c r="G7450" s="10" t="s">
        <v>6317</v>
      </c>
      <c r="H7450" s="11">
        <v>40909</v>
      </c>
      <c r="I7450" s="10">
        <v>2012</v>
      </c>
      <c r="J7450" s="10" t="s">
        <v>35170</v>
      </c>
      <c r="K7450" s="10">
        <v>175</v>
      </c>
      <c r="L7450" s="10" t="s">
        <v>35331</v>
      </c>
      <c r="M7450" s="10">
        <v>1</v>
      </c>
      <c r="N7450" s="10"/>
      <c r="O7450" s="10"/>
      <c r="P7450" s="10" t="s">
        <v>35332</v>
      </c>
      <c r="Q7450" s="10" t="s">
        <v>9870</v>
      </c>
      <c r="R7450" s="10" t="s">
        <v>35333</v>
      </c>
      <c r="S7450" s="10" t="s">
        <v>53</v>
      </c>
      <c r="T7450" s="10" t="s">
        <v>54</v>
      </c>
    </row>
    <row r="7451" spans="1:20" ht="14.5" x14ac:dyDescent="0.35">
      <c r="A7451" s="10" t="s">
        <v>35334</v>
      </c>
      <c r="B7451" s="10" t="str">
        <f>"9781617355936"</f>
        <v>9781617355936</v>
      </c>
      <c r="C7451" s="10" t="str">
        <f>"9781617355950"</f>
        <v>9781617355950</v>
      </c>
      <c r="D7451" s="10" t="s">
        <v>274</v>
      </c>
      <c r="E7451" s="10" t="s">
        <v>35170</v>
      </c>
      <c r="F7451" s="10" t="s">
        <v>35171</v>
      </c>
      <c r="G7451" s="10" t="s">
        <v>6317</v>
      </c>
      <c r="H7451" s="11">
        <v>40909</v>
      </c>
      <c r="I7451" s="10">
        <v>2012</v>
      </c>
      <c r="J7451" s="10" t="s">
        <v>35170</v>
      </c>
      <c r="K7451" s="10">
        <v>153</v>
      </c>
      <c r="L7451" s="10" t="s">
        <v>35335</v>
      </c>
      <c r="M7451" s="10">
        <v>1</v>
      </c>
      <c r="N7451" s="10"/>
      <c r="O7451" s="10"/>
      <c r="P7451" s="10" t="s">
        <v>35336</v>
      </c>
      <c r="Q7451" s="10" t="s">
        <v>14582</v>
      </c>
      <c r="R7451" s="10" t="s">
        <v>35337</v>
      </c>
      <c r="S7451" s="10" t="s">
        <v>53</v>
      </c>
      <c r="T7451" s="10" t="s">
        <v>54</v>
      </c>
    </row>
    <row r="7452" spans="1:20" ht="14.5" x14ac:dyDescent="0.35">
      <c r="A7452" s="10" t="s">
        <v>35338</v>
      </c>
      <c r="B7452" s="10" t="str">
        <f>"9781617355844"</f>
        <v>9781617355844</v>
      </c>
      <c r="C7452" s="10" t="str">
        <f>"9781617355868"</f>
        <v>9781617355868</v>
      </c>
      <c r="D7452" s="10" t="s">
        <v>274</v>
      </c>
      <c r="E7452" s="10" t="s">
        <v>35170</v>
      </c>
      <c r="F7452" s="10" t="s">
        <v>35171</v>
      </c>
      <c r="G7452" s="10" t="s">
        <v>6317</v>
      </c>
      <c r="H7452" s="11">
        <v>40909</v>
      </c>
      <c r="I7452" s="10">
        <v>2012</v>
      </c>
      <c r="J7452" s="10" t="s">
        <v>35170</v>
      </c>
      <c r="K7452" s="10">
        <v>154</v>
      </c>
      <c r="L7452" s="10" t="s">
        <v>27794</v>
      </c>
      <c r="M7452" s="10">
        <v>1</v>
      </c>
      <c r="N7452" s="10" t="s">
        <v>35339</v>
      </c>
      <c r="O7452" s="10"/>
      <c r="P7452" s="10" t="s">
        <v>35340</v>
      </c>
      <c r="Q7452" s="10" t="s">
        <v>6942</v>
      </c>
      <c r="R7452" s="10" t="s">
        <v>35341</v>
      </c>
      <c r="S7452" s="10" t="s">
        <v>53</v>
      </c>
      <c r="T7452" s="10" t="s">
        <v>54</v>
      </c>
    </row>
    <row r="7453" spans="1:20" ht="14.5" x14ac:dyDescent="0.35">
      <c r="A7453" s="10" t="s">
        <v>35342</v>
      </c>
      <c r="B7453" s="10" t="str">
        <f>"9781617355875"</f>
        <v>9781617355875</v>
      </c>
      <c r="C7453" s="10" t="str">
        <f>"9781617355899"</f>
        <v>9781617355899</v>
      </c>
      <c r="D7453" s="10" t="s">
        <v>274</v>
      </c>
      <c r="E7453" s="10" t="s">
        <v>35170</v>
      </c>
      <c r="F7453" s="10" t="s">
        <v>35171</v>
      </c>
      <c r="G7453" s="10" t="s">
        <v>6317</v>
      </c>
      <c r="H7453" s="11">
        <v>40909</v>
      </c>
      <c r="I7453" s="10">
        <v>2011</v>
      </c>
      <c r="J7453" s="10" t="s">
        <v>35170</v>
      </c>
      <c r="K7453" s="10">
        <v>111</v>
      </c>
      <c r="L7453" s="10" t="s">
        <v>35343</v>
      </c>
      <c r="M7453" s="10">
        <v>1</v>
      </c>
      <c r="N7453" s="10" t="s">
        <v>35225</v>
      </c>
      <c r="O7453" s="10"/>
      <c r="P7453" s="10" t="s">
        <v>35344</v>
      </c>
      <c r="Q7453" s="10" t="s">
        <v>21870</v>
      </c>
      <c r="R7453" s="10" t="s">
        <v>35345</v>
      </c>
      <c r="S7453" s="10" t="s">
        <v>53</v>
      </c>
      <c r="T7453" s="10" t="s">
        <v>54</v>
      </c>
    </row>
    <row r="7454" spans="1:20" ht="14.5" x14ac:dyDescent="0.35">
      <c r="A7454" s="10" t="s">
        <v>35346</v>
      </c>
      <c r="B7454" s="10" t="str">
        <f>"9781617357381"</f>
        <v>9781617357381</v>
      </c>
      <c r="C7454" s="10" t="str">
        <f>"9781617357398"</f>
        <v>9781617357398</v>
      </c>
      <c r="D7454" s="10" t="s">
        <v>274</v>
      </c>
      <c r="E7454" s="10" t="s">
        <v>35170</v>
      </c>
      <c r="F7454" s="10" t="s">
        <v>35171</v>
      </c>
      <c r="G7454" s="10" t="s">
        <v>6317</v>
      </c>
      <c r="H7454" s="11">
        <v>40940</v>
      </c>
      <c r="I7454" s="10">
        <v>2012</v>
      </c>
      <c r="J7454" s="10" t="s">
        <v>35170</v>
      </c>
      <c r="K7454" s="10">
        <v>332</v>
      </c>
      <c r="L7454" s="10" t="s">
        <v>35347</v>
      </c>
      <c r="M7454" s="10">
        <v>1</v>
      </c>
      <c r="N7454" s="10" t="s">
        <v>35348</v>
      </c>
      <c r="O7454" s="10"/>
      <c r="P7454" s="10" t="s">
        <v>35349</v>
      </c>
      <c r="Q7454" s="10" t="s">
        <v>18499</v>
      </c>
      <c r="R7454" s="10" t="s">
        <v>35350</v>
      </c>
      <c r="S7454" s="10" t="s">
        <v>53</v>
      </c>
      <c r="T7454" s="10" t="s">
        <v>54</v>
      </c>
    </row>
    <row r="7455" spans="1:20" ht="14.5" x14ac:dyDescent="0.35">
      <c r="A7455" s="10" t="s">
        <v>35351</v>
      </c>
      <c r="B7455" s="10" t="str">
        <f>"9781617357848"</f>
        <v>9781617357848</v>
      </c>
      <c r="C7455" s="10" t="str">
        <f>"9781617357855"</f>
        <v>9781617357855</v>
      </c>
      <c r="D7455" s="10" t="s">
        <v>274</v>
      </c>
      <c r="E7455" s="10" t="s">
        <v>35170</v>
      </c>
      <c r="F7455" s="10" t="s">
        <v>35171</v>
      </c>
      <c r="G7455" s="10" t="s">
        <v>6317</v>
      </c>
      <c r="H7455" s="11">
        <v>40969</v>
      </c>
      <c r="I7455" s="10">
        <v>2012</v>
      </c>
      <c r="J7455" s="10" t="s">
        <v>35170</v>
      </c>
      <c r="K7455" s="10">
        <v>290</v>
      </c>
      <c r="L7455" s="10" t="s">
        <v>35352</v>
      </c>
      <c r="M7455" s="10">
        <v>1</v>
      </c>
      <c r="N7455" s="10"/>
      <c r="O7455" s="10"/>
      <c r="P7455" s="10" t="s">
        <v>35353</v>
      </c>
      <c r="Q7455" s="10" t="s">
        <v>8659</v>
      </c>
      <c r="R7455" s="10" t="s">
        <v>35354</v>
      </c>
      <c r="S7455" s="10" t="s">
        <v>53</v>
      </c>
      <c r="T7455" s="10" t="s">
        <v>54</v>
      </c>
    </row>
    <row r="7456" spans="1:20" ht="14.5" x14ac:dyDescent="0.35">
      <c r="A7456" s="10" t="s">
        <v>35355</v>
      </c>
      <c r="B7456" s="10" t="str">
        <f>"9781617357992"</f>
        <v>9781617357992</v>
      </c>
      <c r="C7456" s="10" t="str">
        <f>"9781617358005"</f>
        <v>9781617358005</v>
      </c>
      <c r="D7456" s="10" t="s">
        <v>274</v>
      </c>
      <c r="E7456" s="10" t="s">
        <v>35170</v>
      </c>
      <c r="F7456" s="10" t="s">
        <v>35171</v>
      </c>
      <c r="G7456" s="10" t="s">
        <v>6317</v>
      </c>
      <c r="H7456" s="11">
        <v>40969</v>
      </c>
      <c r="I7456" s="10">
        <v>2012</v>
      </c>
      <c r="J7456" s="10" t="s">
        <v>35170</v>
      </c>
      <c r="K7456" s="10">
        <v>225</v>
      </c>
      <c r="L7456" s="10" t="s">
        <v>35356</v>
      </c>
      <c r="M7456" s="10">
        <v>1</v>
      </c>
      <c r="N7456" s="10" t="s">
        <v>35357</v>
      </c>
      <c r="O7456" s="10"/>
      <c r="P7456" s="10" t="s">
        <v>35358</v>
      </c>
      <c r="Q7456" s="10">
        <v>370.11700000000002</v>
      </c>
      <c r="R7456" s="10" t="s">
        <v>35359</v>
      </c>
      <c r="S7456" s="10" t="s">
        <v>53</v>
      </c>
      <c r="T7456" s="10" t="s">
        <v>54</v>
      </c>
    </row>
    <row r="7457" spans="1:20" ht="14.5" x14ac:dyDescent="0.35">
      <c r="A7457" s="10" t="s">
        <v>35360</v>
      </c>
      <c r="B7457" s="10" t="str">
        <f>"9781617357718"</f>
        <v>9781617357718</v>
      </c>
      <c r="C7457" s="10" t="str">
        <f>"9781617357732"</f>
        <v>9781617357732</v>
      </c>
      <c r="D7457" s="10" t="s">
        <v>274</v>
      </c>
      <c r="E7457" s="10" t="s">
        <v>35170</v>
      </c>
      <c r="F7457" s="10" t="s">
        <v>35171</v>
      </c>
      <c r="G7457" s="10" t="s">
        <v>6317</v>
      </c>
      <c r="H7457" s="11">
        <v>40969</v>
      </c>
      <c r="I7457" s="10">
        <v>2012</v>
      </c>
      <c r="J7457" s="10" t="s">
        <v>35170</v>
      </c>
      <c r="K7457" s="10">
        <v>245</v>
      </c>
      <c r="L7457" s="10" t="s">
        <v>35361</v>
      </c>
      <c r="M7457" s="10">
        <v>1</v>
      </c>
      <c r="N7457" s="10" t="s">
        <v>35362</v>
      </c>
      <c r="O7457" s="10"/>
      <c r="P7457" s="10" t="s">
        <v>35363</v>
      </c>
      <c r="Q7457" s="10">
        <v>371.90967999999998</v>
      </c>
      <c r="R7457" s="10" t="s">
        <v>35364</v>
      </c>
      <c r="S7457" s="10" t="s">
        <v>53</v>
      </c>
      <c r="T7457" s="10" t="s">
        <v>54</v>
      </c>
    </row>
    <row r="7458" spans="1:20" ht="14.5" x14ac:dyDescent="0.35">
      <c r="A7458" s="10" t="s">
        <v>35365</v>
      </c>
      <c r="B7458" s="10" t="str">
        <f>"9781617358081"</f>
        <v>9781617358081</v>
      </c>
      <c r="C7458" s="10" t="str">
        <f>"9781617358098"</f>
        <v>9781617358098</v>
      </c>
      <c r="D7458" s="10" t="s">
        <v>274</v>
      </c>
      <c r="E7458" s="10" t="s">
        <v>35170</v>
      </c>
      <c r="F7458" s="10" t="s">
        <v>35171</v>
      </c>
      <c r="G7458" s="10" t="s">
        <v>6317</v>
      </c>
      <c r="H7458" s="11">
        <v>40969</v>
      </c>
      <c r="I7458" s="10">
        <v>2012</v>
      </c>
      <c r="J7458" s="10" t="s">
        <v>35170</v>
      </c>
      <c r="K7458" s="10">
        <v>316</v>
      </c>
      <c r="L7458" s="10" t="s">
        <v>35366</v>
      </c>
      <c r="M7458" s="10">
        <v>1</v>
      </c>
      <c r="N7458" s="10" t="s">
        <v>35367</v>
      </c>
      <c r="O7458" s="10"/>
      <c r="P7458" s="10" t="s">
        <v>35368</v>
      </c>
      <c r="Q7458" s="10">
        <v>371.93</v>
      </c>
      <c r="R7458" s="10" t="s">
        <v>35369</v>
      </c>
      <c r="S7458" s="10" t="s">
        <v>53</v>
      </c>
      <c r="T7458" s="10" t="s">
        <v>54</v>
      </c>
    </row>
    <row r="7459" spans="1:20" ht="14.5" x14ac:dyDescent="0.35">
      <c r="A7459" s="10" t="s">
        <v>35370</v>
      </c>
      <c r="B7459" s="10" t="str">
        <f>"9781617358142"</f>
        <v>9781617358142</v>
      </c>
      <c r="C7459" s="10" t="str">
        <f>"9781617358159"</f>
        <v>9781617358159</v>
      </c>
      <c r="D7459" s="10" t="s">
        <v>274</v>
      </c>
      <c r="E7459" s="10" t="s">
        <v>35170</v>
      </c>
      <c r="F7459" s="10" t="s">
        <v>35171</v>
      </c>
      <c r="G7459" s="10" t="s">
        <v>6317</v>
      </c>
      <c r="H7459" s="11">
        <v>41030</v>
      </c>
      <c r="I7459" s="10">
        <v>2012</v>
      </c>
      <c r="J7459" s="10" t="s">
        <v>35170</v>
      </c>
      <c r="K7459" s="10">
        <v>279</v>
      </c>
      <c r="L7459" s="10" t="s">
        <v>35371</v>
      </c>
      <c r="M7459" s="10">
        <v>1</v>
      </c>
      <c r="N7459" s="10" t="s">
        <v>35177</v>
      </c>
      <c r="O7459" s="10"/>
      <c r="P7459" s="10" t="s">
        <v>35372</v>
      </c>
      <c r="Q7459" s="10" t="s">
        <v>7335</v>
      </c>
      <c r="R7459" s="10"/>
      <c r="S7459" s="10" t="s">
        <v>53</v>
      </c>
      <c r="T7459" s="10" t="s">
        <v>54</v>
      </c>
    </row>
    <row r="7460" spans="1:20" ht="14.5" x14ac:dyDescent="0.35">
      <c r="A7460" s="10" t="s">
        <v>35373</v>
      </c>
      <c r="B7460" s="10" t="str">
        <f>"9781617358296"</f>
        <v>9781617358296</v>
      </c>
      <c r="C7460" s="10" t="str">
        <f>"9781617358302"</f>
        <v>9781617358302</v>
      </c>
      <c r="D7460" s="10" t="s">
        <v>274</v>
      </c>
      <c r="E7460" s="10" t="s">
        <v>35170</v>
      </c>
      <c r="F7460" s="10" t="s">
        <v>35171</v>
      </c>
      <c r="G7460" s="10" t="s">
        <v>6317</v>
      </c>
      <c r="H7460" s="11">
        <v>41030</v>
      </c>
      <c r="I7460" s="10">
        <v>2012</v>
      </c>
      <c r="J7460" s="10" t="s">
        <v>35170</v>
      </c>
      <c r="K7460" s="10">
        <v>356</v>
      </c>
      <c r="L7460" s="10" t="s">
        <v>35374</v>
      </c>
      <c r="M7460" s="10">
        <v>2</v>
      </c>
      <c r="N7460" s="10" t="s">
        <v>35375</v>
      </c>
      <c r="O7460" s="10"/>
      <c r="P7460" s="10" t="s">
        <v>35376</v>
      </c>
      <c r="Q7460" s="10">
        <v>371.35</v>
      </c>
      <c r="R7460" s="10" t="s">
        <v>32754</v>
      </c>
      <c r="S7460" s="10" t="s">
        <v>53</v>
      </c>
      <c r="T7460" s="10" t="s">
        <v>54</v>
      </c>
    </row>
    <row r="7461" spans="1:20" ht="14.5" x14ac:dyDescent="0.35">
      <c r="A7461" s="10" t="s">
        <v>35377</v>
      </c>
      <c r="B7461" s="10" t="str">
        <f>"9781617357145"</f>
        <v>9781617357145</v>
      </c>
      <c r="C7461" s="10" t="str">
        <f>"9781617357152"</f>
        <v>9781617357152</v>
      </c>
      <c r="D7461" s="10" t="s">
        <v>274</v>
      </c>
      <c r="E7461" s="10" t="s">
        <v>35170</v>
      </c>
      <c r="F7461" s="10" t="s">
        <v>35171</v>
      </c>
      <c r="G7461" s="10" t="s">
        <v>6317</v>
      </c>
      <c r="H7461" s="11">
        <v>40909</v>
      </c>
      <c r="I7461" s="10">
        <v>2012</v>
      </c>
      <c r="J7461" s="10" t="s">
        <v>35170</v>
      </c>
      <c r="K7461" s="10">
        <v>79</v>
      </c>
      <c r="L7461" s="10" t="s">
        <v>35378</v>
      </c>
      <c r="M7461" s="10">
        <v>1</v>
      </c>
      <c r="N7461" s="10"/>
      <c r="O7461" s="10"/>
      <c r="P7461" s="10" t="s">
        <v>35379</v>
      </c>
      <c r="Q7461" s="10" t="s">
        <v>10213</v>
      </c>
      <c r="R7461" s="10" t="s">
        <v>35380</v>
      </c>
      <c r="S7461" s="10" t="s">
        <v>53</v>
      </c>
      <c r="T7461" s="10" t="s">
        <v>54</v>
      </c>
    </row>
    <row r="7462" spans="1:20" ht="14.5" x14ac:dyDescent="0.35">
      <c r="A7462" s="10" t="s">
        <v>35381</v>
      </c>
      <c r="B7462" s="10" t="str">
        <f>"9781617357787"</f>
        <v>9781617357787</v>
      </c>
      <c r="C7462" s="10" t="str">
        <f>"9781617357794"</f>
        <v>9781617357794</v>
      </c>
      <c r="D7462" s="10" t="s">
        <v>274</v>
      </c>
      <c r="E7462" s="10" t="s">
        <v>35170</v>
      </c>
      <c r="F7462" s="10" t="s">
        <v>35171</v>
      </c>
      <c r="G7462" s="10" t="s">
        <v>6317</v>
      </c>
      <c r="H7462" s="11">
        <v>41030</v>
      </c>
      <c r="I7462" s="10">
        <v>2012</v>
      </c>
      <c r="J7462" s="10" t="s">
        <v>35170</v>
      </c>
      <c r="K7462" s="10">
        <v>127</v>
      </c>
      <c r="L7462" s="10" t="s">
        <v>35382</v>
      </c>
      <c r="M7462" s="10">
        <v>1</v>
      </c>
      <c r="N7462" s="10"/>
      <c r="O7462" s="10"/>
      <c r="P7462" s="10" t="s">
        <v>35383</v>
      </c>
      <c r="Q7462" s="10">
        <v>372.4</v>
      </c>
      <c r="R7462" s="10" t="s">
        <v>35384</v>
      </c>
      <c r="S7462" s="10" t="s">
        <v>53</v>
      </c>
      <c r="T7462" s="10" t="s">
        <v>54</v>
      </c>
    </row>
    <row r="7463" spans="1:20" ht="14.5" x14ac:dyDescent="0.35">
      <c r="A7463" s="10" t="s">
        <v>35385</v>
      </c>
      <c r="B7463" s="10" t="str">
        <f>"9781617358845"</f>
        <v>9781617358845</v>
      </c>
      <c r="C7463" s="10" t="str">
        <f>"9781617358852"</f>
        <v>9781617358852</v>
      </c>
      <c r="D7463" s="10" t="s">
        <v>274</v>
      </c>
      <c r="E7463" s="10" t="s">
        <v>35170</v>
      </c>
      <c r="F7463" s="10" t="s">
        <v>35171</v>
      </c>
      <c r="G7463" s="10" t="s">
        <v>6317</v>
      </c>
      <c r="H7463" s="11">
        <v>41091</v>
      </c>
      <c r="I7463" s="10">
        <v>2012</v>
      </c>
      <c r="J7463" s="10" t="s">
        <v>35170</v>
      </c>
      <c r="K7463" s="10">
        <v>140</v>
      </c>
      <c r="L7463" s="10" t="s">
        <v>35386</v>
      </c>
      <c r="M7463" s="10">
        <v>1</v>
      </c>
      <c r="N7463" s="10" t="s">
        <v>31845</v>
      </c>
      <c r="O7463" s="10"/>
      <c r="P7463" s="10" t="s">
        <v>35387</v>
      </c>
      <c r="Q7463" s="10">
        <v>480.07100000000003</v>
      </c>
      <c r="R7463" s="10" t="s">
        <v>35388</v>
      </c>
      <c r="S7463" s="10" t="s">
        <v>53</v>
      </c>
      <c r="T7463" s="10" t="s">
        <v>6616</v>
      </c>
    </row>
    <row r="7464" spans="1:20" ht="14.5" x14ac:dyDescent="0.35">
      <c r="A7464" s="10" t="s">
        <v>35389</v>
      </c>
      <c r="B7464" s="10" t="str">
        <f>"9781617358487"</f>
        <v>9781617358487</v>
      </c>
      <c r="C7464" s="10" t="str">
        <f>"9781617358494"</f>
        <v>9781617358494</v>
      </c>
      <c r="D7464" s="10" t="s">
        <v>274</v>
      </c>
      <c r="E7464" s="10" t="s">
        <v>35170</v>
      </c>
      <c r="F7464" s="10" t="s">
        <v>35171</v>
      </c>
      <c r="G7464" s="10" t="s">
        <v>6317</v>
      </c>
      <c r="H7464" s="11">
        <v>41061</v>
      </c>
      <c r="I7464" s="10">
        <v>2012</v>
      </c>
      <c r="J7464" s="10" t="s">
        <v>35170</v>
      </c>
      <c r="K7464" s="10">
        <v>304</v>
      </c>
      <c r="L7464" s="10" t="s">
        <v>35390</v>
      </c>
      <c r="M7464" s="10">
        <v>1</v>
      </c>
      <c r="N7464" s="10" t="s">
        <v>35391</v>
      </c>
      <c r="O7464" s="10"/>
      <c r="P7464" s="10" t="s">
        <v>35392</v>
      </c>
      <c r="Q7464" s="10">
        <v>428.00709999999998</v>
      </c>
      <c r="R7464" s="10" t="s">
        <v>35393</v>
      </c>
      <c r="S7464" s="10" t="s">
        <v>53</v>
      </c>
      <c r="T7464" s="10" t="s">
        <v>6616</v>
      </c>
    </row>
    <row r="7465" spans="1:20" ht="14.5" x14ac:dyDescent="0.35">
      <c r="A7465" s="10" t="s">
        <v>35394</v>
      </c>
      <c r="B7465" s="10" t="str">
        <f>"9781617357930"</f>
        <v>9781617357930</v>
      </c>
      <c r="C7465" s="10" t="str">
        <f>"9781617357947"</f>
        <v>9781617357947</v>
      </c>
      <c r="D7465" s="10" t="s">
        <v>274</v>
      </c>
      <c r="E7465" s="10" t="s">
        <v>35170</v>
      </c>
      <c r="F7465" s="10" t="s">
        <v>35171</v>
      </c>
      <c r="G7465" s="10" t="s">
        <v>6317</v>
      </c>
      <c r="H7465" s="11">
        <v>41061</v>
      </c>
      <c r="I7465" s="10">
        <v>2012</v>
      </c>
      <c r="J7465" s="10" t="s">
        <v>35170</v>
      </c>
      <c r="K7465" s="10">
        <v>193</v>
      </c>
      <c r="L7465" s="10" t="s">
        <v>35395</v>
      </c>
      <c r="M7465" s="10">
        <v>1</v>
      </c>
      <c r="N7465" s="10" t="s">
        <v>35396</v>
      </c>
      <c r="O7465" s="10"/>
      <c r="P7465" s="10" t="s">
        <v>35397</v>
      </c>
      <c r="Q7465" s="10">
        <v>780.71</v>
      </c>
      <c r="R7465" s="10" t="s">
        <v>35398</v>
      </c>
      <c r="S7465" s="10" t="s">
        <v>53</v>
      </c>
      <c r="T7465" s="10" t="s">
        <v>6384</v>
      </c>
    </row>
    <row r="7466" spans="1:20" ht="14.5" x14ac:dyDescent="0.35">
      <c r="A7466" s="10" t="s">
        <v>35399</v>
      </c>
      <c r="B7466" s="10" t="str">
        <f>"9781617358722"</f>
        <v>9781617358722</v>
      </c>
      <c r="C7466" s="10" t="str">
        <f>"9781617358739"</f>
        <v>9781617358739</v>
      </c>
      <c r="D7466" s="10" t="s">
        <v>274</v>
      </c>
      <c r="E7466" s="10" t="s">
        <v>35170</v>
      </c>
      <c r="F7466" s="10" t="s">
        <v>35171</v>
      </c>
      <c r="G7466" s="10" t="s">
        <v>6317</v>
      </c>
      <c r="H7466" s="11">
        <v>41061</v>
      </c>
      <c r="I7466" s="10">
        <v>2012</v>
      </c>
      <c r="J7466" s="10" t="s">
        <v>35170</v>
      </c>
      <c r="K7466" s="10">
        <v>104</v>
      </c>
      <c r="L7466" s="10" t="s">
        <v>35327</v>
      </c>
      <c r="M7466" s="10">
        <v>1</v>
      </c>
      <c r="N7466" s="10"/>
      <c r="O7466" s="10"/>
      <c r="P7466" s="10" t="s">
        <v>35400</v>
      </c>
      <c r="Q7466" s="10">
        <v>373.11020000000002</v>
      </c>
      <c r="R7466" s="10" t="s">
        <v>35401</v>
      </c>
      <c r="S7466" s="10" t="s">
        <v>53</v>
      </c>
      <c r="T7466" s="10" t="s">
        <v>54</v>
      </c>
    </row>
    <row r="7467" spans="1:20" ht="14.5" x14ac:dyDescent="0.35">
      <c r="A7467" s="10" t="s">
        <v>35402</v>
      </c>
      <c r="B7467" s="10" t="str">
        <f>"9781617355967"</f>
        <v>9781617355967</v>
      </c>
      <c r="C7467" s="10" t="str">
        <f>"9781617355981"</f>
        <v>9781617355981</v>
      </c>
      <c r="D7467" s="10" t="s">
        <v>274</v>
      </c>
      <c r="E7467" s="10" t="s">
        <v>35170</v>
      </c>
      <c r="F7467" s="10" t="s">
        <v>35171</v>
      </c>
      <c r="G7467" s="10" t="s">
        <v>6317</v>
      </c>
      <c r="H7467" s="11">
        <v>40909</v>
      </c>
      <c r="I7467" s="10">
        <v>2012</v>
      </c>
      <c r="J7467" s="10" t="s">
        <v>35170</v>
      </c>
      <c r="K7467" s="10">
        <v>243</v>
      </c>
      <c r="L7467" s="10" t="s">
        <v>35403</v>
      </c>
      <c r="M7467" s="10">
        <v>1</v>
      </c>
      <c r="N7467" s="10" t="s">
        <v>35404</v>
      </c>
      <c r="O7467" s="10"/>
      <c r="P7467" s="10" t="s">
        <v>35405</v>
      </c>
      <c r="Q7467" s="10">
        <v>373</v>
      </c>
      <c r="R7467" s="10"/>
      <c r="S7467" s="10" t="s">
        <v>53</v>
      </c>
      <c r="T7467" s="10" t="s">
        <v>54</v>
      </c>
    </row>
    <row r="7468" spans="1:20" ht="14.5" x14ac:dyDescent="0.35">
      <c r="A7468" s="10" t="s">
        <v>35406</v>
      </c>
      <c r="B7468" s="10" t="str">
        <f>"9781617358326"</f>
        <v>9781617358326</v>
      </c>
      <c r="C7468" s="10" t="str">
        <f>"9781617358333"</f>
        <v>9781617358333</v>
      </c>
      <c r="D7468" s="10" t="s">
        <v>274</v>
      </c>
      <c r="E7468" s="10" t="s">
        <v>35170</v>
      </c>
      <c r="F7468" s="10" t="s">
        <v>35171</v>
      </c>
      <c r="G7468" s="10" t="s">
        <v>6317</v>
      </c>
      <c r="H7468" s="11">
        <v>41030</v>
      </c>
      <c r="I7468" s="10">
        <v>2012</v>
      </c>
      <c r="J7468" s="10" t="s">
        <v>35170</v>
      </c>
      <c r="K7468" s="10">
        <v>240</v>
      </c>
      <c r="L7468" s="10" t="s">
        <v>35407</v>
      </c>
      <c r="M7468" s="10">
        <v>1</v>
      </c>
      <c r="N7468" s="10"/>
      <c r="O7468" s="10"/>
      <c r="P7468" s="10" t="s">
        <v>35408</v>
      </c>
      <c r="Q7468" s="10">
        <v>370.11700000000002</v>
      </c>
      <c r="R7468" s="10" t="s">
        <v>35409</v>
      </c>
      <c r="S7468" s="10" t="s">
        <v>53</v>
      </c>
      <c r="T7468" s="10" t="s">
        <v>54</v>
      </c>
    </row>
    <row r="7469" spans="1:20" ht="14.5" x14ac:dyDescent="0.35">
      <c r="A7469" s="10" t="s">
        <v>35410</v>
      </c>
      <c r="B7469" s="10" t="str">
        <f>"9781617357312"</f>
        <v>9781617357312</v>
      </c>
      <c r="C7469" s="10" t="str">
        <f>"9781617357336"</f>
        <v>9781617357336</v>
      </c>
      <c r="D7469" s="10" t="s">
        <v>274</v>
      </c>
      <c r="E7469" s="10" t="s">
        <v>35170</v>
      </c>
      <c r="F7469" s="10" t="s">
        <v>35171</v>
      </c>
      <c r="G7469" s="10" t="s">
        <v>6317</v>
      </c>
      <c r="H7469" s="11">
        <v>40909</v>
      </c>
      <c r="I7469" s="10">
        <v>2012</v>
      </c>
      <c r="J7469" s="10" t="s">
        <v>35170</v>
      </c>
      <c r="K7469" s="10">
        <v>212</v>
      </c>
      <c r="L7469" s="10" t="s">
        <v>35411</v>
      </c>
      <c r="M7469" s="10">
        <v>1</v>
      </c>
      <c r="N7469" s="10" t="s">
        <v>35195</v>
      </c>
      <c r="O7469" s="10"/>
      <c r="P7469" s="10" t="s">
        <v>35412</v>
      </c>
      <c r="Q7469" s="10" t="s">
        <v>18149</v>
      </c>
      <c r="R7469" s="10" t="s">
        <v>35413</v>
      </c>
      <c r="S7469" s="10" t="s">
        <v>53</v>
      </c>
      <c r="T7469" s="10" t="s">
        <v>54</v>
      </c>
    </row>
    <row r="7470" spans="1:20" ht="14.5" x14ac:dyDescent="0.35">
      <c r="A7470" s="10" t="s">
        <v>35414</v>
      </c>
      <c r="B7470" s="10" t="str">
        <f>"9781617356414"</f>
        <v>9781617356414</v>
      </c>
      <c r="C7470" s="10" t="str">
        <f>"9781617356438"</f>
        <v>9781617356438</v>
      </c>
      <c r="D7470" s="10" t="s">
        <v>274</v>
      </c>
      <c r="E7470" s="10" t="s">
        <v>35170</v>
      </c>
      <c r="F7470" s="10" t="s">
        <v>35171</v>
      </c>
      <c r="G7470" s="10" t="s">
        <v>6317</v>
      </c>
      <c r="H7470" s="11">
        <v>40909</v>
      </c>
      <c r="I7470" s="10">
        <v>2012</v>
      </c>
      <c r="J7470" s="10" t="s">
        <v>35170</v>
      </c>
      <c r="K7470" s="10">
        <v>226</v>
      </c>
      <c r="L7470" s="10" t="s">
        <v>35415</v>
      </c>
      <c r="M7470" s="10">
        <v>1</v>
      </c>
      <c r="N7470" s="10" t="s">
        <v>35249</v>
      </c>
      <c r="O7470" s="10"/>
      <c r="P7470" s="10" t="s">
        <v>35416</v>
      </c>
      <c r="Q7470" s="10">
        <v>371.20082000000002</v>
      </c>
      <c r="R7470" s="10" t="s">
        <v>35417</v>
      </c>
      <c r="S7470" s="10" t="s">
        <v>53</v>
      </c>
      <c r="T7470" s="10" t="s">
        <v>54</v>
      </c>
    </row>
    <row r="7471" spans="1:20" ht="14.5" x14ac:dyDescent="0.35">
      <c r="A7471" s="10" t="s">
        <v>35418</v>
      </c>
      <c r="B7471" s="10" t="str">
        <f>"9781617358517"</f>
        <v>9781617358517</v>
      </c>
      <c r="C7471" s="10" t="str">
        <f>"9781617358524"</f>
        <v>9781617358524</v>
      </c>
      <c r="D7471" s="10" t="s">
        <v>274</v>
      </c>
      <c r="E7471" s="10" t="s">
        <v>35170</v>
      </c>
      <c r="F7471" s="10" t="s">
        <v>35171</v>
      </c>
      <c r="G7471" s="10" t="s">
        <v>6317</v>
      </c>
      <c r="H7471" s="11">
        <v>41061</v>
      </c>
      <c r="I7471" s="10">
        <v>2012</v>
      </c>
      <c r="J7471" s="10" t="s">
        <v>35170</v>
      </c>
      <c r="K7471" s="10">
        <v>284</v>
      </c>
      <c r="L7471" s="10" t="s">
        <v>35419</v>
      </c>
      <c r="M7471" s="10">
        <v>1</v>
      </c>
      <c r="N7471" s="10"/>
      <c r="O7471" s="10"/>
      <c r="P7471" s="10" t="s">
        <v>35420</v>
      </c>
      <c r="Q7471" s="10" t="s">
        <v>27260</v>
      </c>
      <c r="R7471" s="10" t="s">
        <v>35421</v>
      </c>
      <c r="S7471" s="10" t="s">
        <v>53</v>
      </c>
      <c r="T7471" s="10" t="s">
        <v>54</v>
      </c>
    </row>
    <row r="7472" spans="1:20" ht="14.5" x14ac:dyDescent="0.35">
      <c r="A7472" s="10" t="s">
        <v>35422</v>
      </c>
      <c r="B7472" s="10" t="str">
        <f>"9781617356094"</f>
        <v>9781617356094</v>
      </c>
      <c r="C7472" s="10" t="str">
        <f>"9781617356100"</f>
        <v>9781617356100</v>
      </c>
      <c r="D7472" s="10" t="s">
        <v>274</v>
      </c>
      <c r="E7472" s="10" t="s">
        <v>35170</v>
      </c>
      <c r="F7472" s="10" t="s">
        <v>35171</v>
      </c>
      <c r="G7472" s="10" t="s">
        <v>6317</v>
      </c>
      <c r="H7472" s="11">
        <v>40909</v>
      </c>
      <c r="I7472" s="10">
        <v>2012</v>
      </c>
      <c r="J7472" s="10" t="s">
        <v>35170</v>
      </c>
      <c r="K7472" s="10">
        <v>237</v>
      </c>
      <c r="L7472" s="10" t="s">
        <v>35423</v>
      </c>
      <c r="M7472" s="10">
        <v>1</v>
      </c>
      <c r="N7472" s="10"/>
      <c r="O7472" s="10"/>
      <c r="P7472" s="10" t="s">
        <v>35424</v>
      </c>
      <c r="Q7472" s="10" t="s">
        <v>27896</v>
      </c>
      <c r="R7472" s="10" t="s">
        <v>35425</v>
      </c>
      <c r="S7472" s="10" t="s">
        <v>53</v>
      </c>
      <c r="T7472" s="10" t="s">
        <v>9608</v>
      </c>
    </row>
    <row r="7473" spans="1:20" ht="14.5" x14ac:dyDescent="0.35">
      <c r="A7473" s="10" t="s">
        <v>35426</v>
      </c>
      <c r="B7473" s="10" t="str">
        <f>"9781617358418"</f>
        <v>9781617358418</v>
      </c>
      <c r="C7473" s="10" t="str">
        <f>"9781617358425"</f>
        <v>9781617358425</v>
      </c>
      <c r="D7473" s="10" t="s">
        <v>274</v>
      </c>
      <c r="E7473" s="10" t="s">
        <v>35170</v>
      </c>
      <c r="F7473" s="10" t="s">
        <v>35171</v>
      </c>
      <c r="G7473" s="10" t="s">
        <v>6317</v>
      </c>
      <c r="H7473" s="11">
        <v>41061</v>
      </c>
      <c r="I7473" s="10">
        <v>2012</v>
      </c>
      <c r="J7473" s="10" t="s">
        <v>35170</v>
      </c>
      <c r="K7473" s="10">
        <v>258</v>
      </c>
      <c r="L7473" s="10" t="s">
        <v>35427</v>
      </c>
      <c r="M7473" s="10">
        <v>1</v>
      </c>
      <c r="N7473" s="10" t="s">
        <v>35319</v>
      </c>
      <c r="O7473" s="10"/>
      <c r="P7473" s="10" t="s">
        <v>35428</v>
      </c>
      <c r="Q7473" s="10" t="s">
        <v>30386</v>
      </c>
      <c r="R7473" s="10" t="s">
        <v>35429</v>
      </c>
      <c r="S7473" s="10" t="s">
        <v>53</v>
      </c>
      <c r="T7473" s="10" t="s">
        <v>54</v>
      </c>
    </row>
    <row r="7474" spans="1:20" ht="14.5" x14ac:dyDescent="0.35">
      <c r="A7474" s="10" t="s">
        <v>35430</v>
      </c>
      <c r="B7474" s="10" t="str">
        <f>"9781617358456"</f>
        <v>9781617358456</v>
      </c>
      <c r="C7474" s="10" t="str">
        <f>"9781617358463"</f>
        <v>9781617358463</v>
      </c>
      <c r="D7474" s="10" t="s">
        <v>274</v>
      </c>
      <c r="E7474" s="10" t="s">
        <v>35170</v>
      </c>
      <c r="F7474" s="10" t="s">
        <v>35171</v>
      </c>
      <c r="G7474" s="10" t="s">
        <v>6317</v>
      </c>
      <c r="H7474" s="11">
        <v>41061</v>
      </c>
      <c r="I7474" s="10">
        <v>2012</v>
      </c>
      <c r="J7474" s="10" t="s">
        <v>35170</v>
      </c>
      <c r="K7474" s="10">
        <v>266</v>
      </c>
      <c r="L7474" s="10" t="s">
        <v>35431</v>
      </c>
      <c r="M7474" s="10">
        <v>1</v>
      </c>
      <c r="N7474" s="10"/>
      <c r="O7474" s="10"/>
      <c r="P7474" s="10" t="s">
        <v>35432</v>
      </c>
      <c r="Q7474" s="10" t="s">
        <v>9360</v>
      </c>
      <c r="R7474" s="10" t="s">
        <v>35433</v>
      </c>
      <c r="S7474" s="10" t="s">
        <v>53</v>
      </c>
      <c r="T7474" s="10" t="s">
        <v>54</v>
      </c>
    </row>
    <row r="7475" spans="1:20" ht="14.5" x14ac:dyDescent="0.35">
      <c r="A7475" s="10" t="s">
        <v>35434</v>
      </c>
      <c r="B7475" s="10" t="str">
        <f>"9781617356179"</f>
        <v>9781617356179</v>
      </c>
      <c r="C7475" s="10" t="str">
        <f>"9781617356193"</f>
        <v>9781617356193</v>
      </c>
      <c r="D7475" s="10" t="s">
        <v>274</v>
      </c>
      <c r="E7475" s="10" t="s">
        <v>35170</v>
      </c>
      <c r="F7475" s="10" t="s">
        <v>35171</v>
      </c>
      <c r="G7475" s="10" t="s">
        <v>6317</v>
      </c>
      <c r="H7475" s="11">
        <v>40909</v>
      </c>
      <c r="I7475" s="10">
        <v>2011</v>
      </c>
      <c r="J7475" s="10" t="s">
        <v>35170</v>
      </c>
      <c r="K7475" s="10">
        <v>197</v>
      </c>
      <c r="L7475" s="10" t="s">
        <v>35435</v>
      </c>
      <c r="M7475" s="10">
        <v>1</v>
      </c>
      <c r="N7475" s="10" t="s">
        <v>35436</v>
      </c>
      <c r="O7475" s="10"/>
      <c r="P7475" s="10" t="s">
        <v>35437</v>
      </c>
      <c r="Q7475" s="10" t="s">
        <v>11202</v>
      </c>
      <c r="R7475" s="10" t="s">
        <v>35438</v>
      </c>
      <c r="S7475" s="10" t="s">
        <v>53</v>
      </c>
      <c r="T7475" s="10" t="s">
        <v>54</v>
      </c>
    </row>
    <row r="7476" spans="1:20" ht="14.5" x14ac:dyDescent="0.35">
      <c r="A7476" s="10" t="s">
        <v>35439</v>
      </c>
      <c r="B7476" s="10" t="str">
        <f>"9781617357695"</f>
        <v>9781617357695</v>
      </c>
      <c r="C7476" s="10" t="str">
        <f>"9781617357701"</f>
        <v>9781617357701</v>
      </c>
      <c r="D7476" s="10" t="s">
        <v>274</v>
      </c>
      <c r="E7476" s="10" t="s">
        <v>35170</v>
      </c>
      <c r="F7476" s="10" t="s">
        <v>35171</v>
      </c>
      <c r="G7476" s="10" t="s">
        <v>6317</v>
      </c>
      <c r="H7476" s="11">
        <v>40940</v>
      </c>
      <c r="I7476" s="10">
        <v>2012</v>
      </c>
      <c r="J7476" s="10" t="s">
        <v>35170</v>
      </c>
      <c r="K7476" s="10">
        <v>208</v>
      </c>
      <c r="L7476" s="10" t="s">
        <v>35440</v>
      </c>
      <c r="M7476" s="10">
        <v>1</v>
      </c>
      <c r="N7476" s="10"/>
      <c r="O7476" s="10"/>
      <c r="P7476" s="10" t="s">
        <v>35441</v>
      </c>
      <c r="Q7476" s="10" t="s">
        <v>35442</v>
      </c>
      <c r="R7476" s="10" t="s">
        <v>35443</v>
      </c>
      <c r="S7476" s="10" t="s">
        <v>53</v>
      </c>
      <c r="T7476" s="10" t="s">
        <v>54</v>
      </c>
    </row>
    <row r="7477" spans="1:20" ht="14.5" x14ac:dyDescent="0.35">
      <c r="A7477" s="10" t="s">
        <v>35444</v>
      </c>
      <c r="B7477" s="10" t="str">
        <f>"9781617357268"</f>
        <v>9781617357268</v>
      </c>
      <c r="C7477" s="10" t="str">
        <f>"9781617357275"</f>
        <v>9781617357275</v>
      </c>
      <c r="D7477" s="10" t="s">
        <v>274</v>
      </c>
      <c r="E7477" s="10" t="s">
        <v>35170</v>
      </c>
      <c r="F7477" s="10" t="s">
        <v>35171</v>
      </c>
      <c r="G7477" s="10" t="s">
        <v>6317</v>
      </c>
      <c r="H7477" s="11">
        <v>40909</v>
      </c>
      <c r="I7477" s="10">
        <v>2012</v>
      </c>
      <c r="J7477" s="10" t="s">
        <v>35170</v>
      </c>
      <c r="K7477" s="10">
        <v>325</v>
      </c>
      <c r="L7477" s="10" t="s">
        <v>35445</v>
      </c>
      <c r="M7477" s="10">
        <v>1</v>
      </c>
      <c r="N7477" s="10" t="s">
        <v>35446</v>
      </c>
      <c r="O7477" s="10"/>
      <c r="P7477" s="10" t="s">
        <v>35447</v>
      </c>
      <c r="Q7477" s="10">
        <v>371.26</v>
      </c>
      <c r="R7477" s="10" t="s">
        <v>35448</v>
      </c>
      <c r="S7477" s="10" t="s">
        <v>53</v>
      </c>
      <c r="T7477" s="10" t="s">
        <v>54</v>
      </c>
    </row>
    <row r="7478" spans="1:20" ht="14.5" x14ac:dyDescent="0.35">
      <c r="A7478" s="10" t="s">
        <v>35449</v>
      </c>
      <c r="B7478" s="10" t="str">
        <f>"9781617358234"</f>
        <v>9781617358234</v>
      </c>
      <c r="C7478" s="10" t="str">
        <f>"9781617358241"</f>
        <v>9781617358241</v>
      </c>
      <c r="D7478" s="10" t="s">
        <v>274</v>
      </c>
      <c r="E7478" s="10" t="s">
        <v>35170</v>
      </c>
      <c r="F7478" s="10" t="s">
        <v>35171</v>
      </c>
      <c r="G7478" s="10" t="s">
        <v>6317</v>
      </c>
      <c r="H7478" s="11">
        <v>41061</v>
      </c>
      <c r="I7478" s="10">
        <v>2012</v>
      </c>
      <c r="J7478" s="10" t="s">
        <v>35170</v>
      </c>
      <c r="K7478" s="10">
        <v>313</v>
      </c>
      <c r="L7478" s="10" t="s">
        <v>35450</v>
      </c>
      <c r="M7478" s="10">
        <v>1</v>
      </c>
      <c r="N7478" s="10" t="s">
        <v>35451</v>
      </c>
      <c r="O7478" s="10"/>
      <c r="P7478" s="10" t="s">
        <v>35452</v>
      </c>
      <c r="Q7478" s="10" t="s">
        <v>35453</v>
      </c>
      <c r="R7478" s="10" t="s">
        <v>35454</v>
      </c>
      <c r="S7478" s="10" t="s">
        <v>53</v>
      </c>
      <c r="T7478" s="10" t="s">
        <v>8895</v>
      </c>
    </row>
    <row r="7479" spans="1:20" ht="14.5" x14ac:dyDescent="0.35">
      <c r="A7479" s="10" t="s">
        <v>35455</v>
      </c>
      <c r="B7479" s="10" t="str">
        <f>"9781617357879"</f>
        <v>9781617357879</v>
      </c>
      <c r="C7479" s="10" t="str">
        <f>"9781617357886"</f>
        <v>9781617357886</v>
      </c>
      <c r="D7479" s="10" t="s">
        <v>274</v>
      </c>
      <c r="E7479" s="10" t="s">
        <v>35170</v>
      </c>
      <c r="F7479" s="10" t="s">
        <v>35171</v>
      </c>
      <c r="G7479" s="10" t="s">
        <v>6317</v>
      </c>
      <c r="H7479" s="11">
        <v>41030</v>
      </c>
      <c r="I7479" s="10">
        <v>2012</v>
      </c>
      <c r="J7479" s="10" t="s">
        <v>35170</v>
      </c>
      <c r="K7479" s="10">
        <v>177</v>
      </c>
      <c r="L7479" s="10" t="s">
        <v>35456</v>
      </c>
      <c r="M7479" s="10">
        <v>1</v>
      </c>
      <c r="N7479" s="10"/>
      <c r="O7479" s="10"/>
      <c r="P7479" s="10" t="s">
        <v>35457</v>
      </c>
      <c r="Q7479" s="10">
        <v>372.43</v>
      </c>
      <c r="R7479" s="10"/>
      <c r="S7479" s="10" t="s">
        <v>53</v>
      </c>
      <c r="T7479" s="10" t="s">
        <v>54</v>
      </c>
    </row>
    <row r="7480" spans="1:20" ht="14.5" x14ac:dyDescent="0.35">
      <c r="A7480" s="10" t="s">
        <v>35458</v>
      </c>
      <c r="B7480" s="10" t="str">
        <f>"9781617358784"</f>
        <v>9781617358784</v>
      </c>
      <c r="C7480" s="10" t="str">
        <f>"9781617358791"</f>
        <v>9781617358791</v>
      </c>
      <c r="D7480" s="10" t="s">
        <v>274</v>
      </c>
      <c r="E7480" s="10" t="s">
        <v>35170</v>
      </c>
      <c r="F7480" s="10" t="s">
        <v>35171</v>
      </c>
      <c r="G7480" s="10" t="s">
        <v>6317</v>
      </c>
      <c r="H7480" s="11">
        <v>41091</v>
      </c>
      <c r="I7480" s="10">
        <v>2012</v>
      </c>
      <c r="J7480" s="10" t="s">
        <v>35170</v>
      </c>
      <c r="K7480" s="10">
        <v>217</v>
      </c>
      <c r="L7480" s="10" t="s">
        <v>35459</v>
      </c>
      <c r="M7480" s="10">
        <v>1</v>
      </c>
      <c r="N7480" s="10" t="s">
        <v>35460</v>
      </c>
      <c r="O7480" s="10"/>
      <c r="P7480" s="10" t="s">
        <v>35461</v>
      </c>
      <c r="Q7480" s="10">
        <v>510.71</v>
      </c>
      <c r="R7480" s="10" t="s">
        <v>35462</v>
      </c>
      <c r="S7480" s="10" t="s">
        <v>53</v>
      </c>
      <c r="T7480" s="10" t="s">
        <v>389</v>
      </c>
    </row>
    <row r="7481" spans="1:20" ht="14.5" x14ac:dyDescent="0.35">
      <c r="A7481" s="10" t="s">
        <v>35463</v>
      </c>
      <c r="B7481" s="10" t="str">
        <f>"9781617358906"</f>
        <v>9781617358906</v>
      </c>
      <c r="C7481" s="10" t="str">
        <f>"9781617358913"</f>
        <v>9781617358913</v>
      </c>
      <c r="D7481" s="10" t="s">
        <v>274</v>
      </c>
      <c r="E7481" s="10" t="s">
        <v>35170</v>
      </c>
      <c r="F7481" s="10" t="s">
        <v>35171</v>
      </c>
      <c r="G7481" s="10" t="s">
        <v>6317</v>
      </c>
      <c r="H7481" s="11">
        <v>41091</v>
      </c>
      <c r="I7481" s="10">
        <v>2012</v>
      </c>
      <c r="J7481" s="10" t="s">
        <v>35170</v>
      </c>
      <c r="K7481" s="10">
        <v>354</v>
      </c>
      <c r="L7481" s="10" t="s">
        <v>35464</v>
      </c>
      <c r="M7481" s="10">
        <v>1</v>
      </c>
      <c r="N7481" s="10" t="s">
        <v>35465</v>
      </c>
      <c r="O7481" s="10"/>
      <c r="P7481" s="10" t="s">
        <v>35466</v>
      </c>
      <c r="Q7481" s="10" t="s">
        <v>35467</v>
      </c>
      <c r="R7481" s="10" t="s">
        <v>35468</v>
      </c>
      <c r="S7481" s="10" t="s">
        <v>53</v>
      </c>
      <c r="T7481" s="10" t="s">
        <v>6363</v>
      </c>
    </row>
    <row r="7482" spans="1:20" ht="14.5" x14ac:dyDescent="0.35">
      <c r="A7482" s="10" t="s">
        <v>35469</v>
      </c>
      <c r="B7482" s="10" t="str">
        <f>"9781617358548"</f>
        <v>9781617358548</v>
      </c>
      <c r="C7482" s="10" t="str">
        <f>"9781617358555"</f>
        <v>9781617358555</v>
      </c>
      <c r="D7482" s="10" t="s">
        <v>274</v>
      </c>
      <c r="E7482" s="10" t="s">
        <v>35170</v>
      </c>
      <c r="F7482" s="10" t="s">
        <v>35171</v>
      </c>
      <c r="G7482" s="10" t="s">
        <v>6317</v>
      </c>
      <c r="H7482" s="11">
        <v>41122</v>
      </c>
      <c r="I7482" s="10">
        <v>2012</v>
      </c>
      <c r="J7482" s="10" t="s">
        <v>35170</v>
      </c>
      <c r="K7482" s="10">
        <v>92</v>
      </c>
      <c r="L7482" s="10" t="s">
        <v>35470</v>
      </c>
      <c r="M7482" s="10">
        <v>1</v>
      </c>
      <c r="N7482" s="10"/>
      <c r="O7482" s="10"/>
      <c r="P7482" s="10" t="s">
        <v>35471</v>
      </c>
      <c r="Q7482" s="10" t="s">
        <v>18116</v>
      </c>
      <c r="R7482" s="10" t="s">
        <v>35472</v>
      </c>
      <c r="S7482" s="10" t="s">
        <v>53</v>
      </c>
      <c r="T7482" s="10" t="s">
        <v>54</v>
      </c>
    </row>
    <row r="7483" spans="1:20" ht="14.5" x14ac:dyDescent="0.35">
      <c r="A7483" s="10" t="s">
        <v>35473</v>
      </c>
      <c r="B7483" s="10" t="str">
        <f>"9781617358609"</f>
        <v>9781617358609</v>
      </c>
      <c r="C7483" s="10" t="str">
        <f>"9781617358616"</f>
        <v>9781617358616</v>
      </c>
      <c r="D7483" s="10" t="s">
        <v>274</v>
      </c>
      <c r="E7483" s="10" t="s">
        <v>35170</v>
      </c>
      <c r="F7483" s="10" t="s">
        <v>35171</v>
      </c>
      <c r="G7483" s="10" t="s">
        <v>6317</v>
      </c>
      <c r="H7483" s="11">
        <v>41091</v>
      </c>
      <c r="I7483" s="10">
        <v>2012</v>
      </c>
      <c r="J7483" s="10" t="s">
        <v>35170</v>
      </c>
      <c r="K7483" s="10">
        <v>249</v>
      </c>
      <c r="L7483" s="10" t="s">
        <v>35474</v>
      </c>
      <c r="M7483" s="10">
        <v>1</v>
      </c>
      <c r="N7483" s="10"/>
      <c r="O7483" s="10"/>
      <c r="P7483" s="10" t="s">
        <v>35475</v>
      </c>
      <c r="Q7483" s="10" t="s">
        <v>35476</v>
      </c>
      <c r="R7483" s="10" t="s">
        <v>35477</v>
      </c>
      <c r="S7483" s="10" t="s">
        <v>53</v>
      </c>
      <c r="T7483" s="10" t="s">
        <v>5396</v>
      </c>
    </row>
    <row r="7484" spans="1:20" ht="14.5" x14ac:dyDescent="0.35">
      <c r="A7484" s="10" t="s">
        <v>35478</v>
      </c>
      <c r="B7484" s="10" t="str">
        <f>"9781617359781"</f>
        <v>9781617359781</v>
      </c>
      <c r="C7484" s="10" t="str">
        <f>"9781617359798"</f>
        <v>9781617359798</v>
      </c>
      <c r="D7484" s="10" t="s">
        <v>274</v>
      </c>
      <c r="E7484" s="10" t="s">
        <v>35170</v>
      </c>
      <c r="F7484" s="10" t="s">
        <v>35171</v>
      </c>
      <c r="G7484" s="10" t="s">
        <v>6317</v>
      </c>
      <c r="H7484" s="11">
        <v>41153</v>
      </c>
      <c r="I7484" s="10">
        <v>2013</v>
      </c>
      <c r="J7484" s="10" t="s">
        <v>35170</v>
      </c>
      <c r="K7484" s="10">
        <v>154</v>
      </c>
      <c r="L7484" s="10" t="s">
        <v>35479</v>
      </c>
      <c r="M7484" s="10">
        <v>1</v>
      </c>
      <c r="N7484" s="10" t="s">
        <v>35480</v>
      </c>
      <c r="O7484" s="10"/>
      <c r="P7484" s="10" t="s">
        <v>35481</v>
      </c>
      <c r="Q7484" s="10" t="s">
        <v>17158</v>
      </c>
      <c r="R7484" s="10" t="s">
        <v>35482</v>
      </c>
      <c r="S7484" s="10" t="s">
        <v>53</v>
      </c>
      <c r="T7484" s="10" t="s">
        <v>6634</v>
      </c>
    </row>
    <row r="7485" spans="1:20" ht="14.5" x14ac:dyDescent="0.35">
      <c r="A7485" s="10" t="s">
        <v>35483</v>
      </c>
      <c r="B7485" s="10" t="str">
        <f>"9781617359606"</f>
        <v>9781617359606</v>
      </c>
      <c r="C7485" s="10" t="str">
        <f>"9781617359613"</f>
        <v>9781617359613</v>
      </c>
      <c r="D7485" s="10" t="s">
        <v>274</v>
      </c>
      <c r="E7485" s="10" t="s">
        <v>35170</v>
      </c>
      <c r="F7485" s="10" t="s">
        <v>35171</v>
      </c>
      <c r="G7485" s="10" t="s">
        <v>6317</v>
      </c>
      <c r="H7485" s="11">
        <v>41183</v>
      </c>
      <c r="I7485" s="10">
        <v>2013</v>
      </c>
      <c r="J7485" s="10" t="s">
        <v>35170</v>
      </c>
      <c r="K7485" s="10">
        <v>227</v>
      </c>
      <c r="L7485" s="10" t="s">
        <v>35484</v>
      </c>
      <c r="M7485" s="10">
        <v>1</v>
      </c>
      <c r="N7485" s="10" t="s">
        <v>35485</v>
      </c>
      <c r="O7485" s="10"/>
      <c r="P7485" s="10" t="s">
        <v>35486</v>
      </c>
      <c r="Q7485" s="10">
        <v>613.71</v>
      </c>
      <c r="R7485" s="10" t="s">
        <v>35487</v>
      </c>
      <c r="S7485" s="10" t="s">
        <v>53</v>
      </c>
      <c r="T7485" s="10" t="s">
        <v>7023</v>
      </c>
    </row>
    <row r="7486" spans="1:20" ht="14.5" x14ac:dyDescent="0.35">
      <c r="A7486" s="10" t="s">
        <v>35488</v>
      </c>
      <c r="B7486" s="10" t="str">
        <f>"9781623960353"</f>
        <v>9781623960353</v>
      </c>
      <c r="C7486" s="10" t="str">
        <f>"9781623960360"</f>
        <v>9781623960360</v>
      </c>
      <c r="D7486" s="10" t="s">
        <v>274</v>
      </c>
      <c r="E7486" s="10" t="s">
        <v>35170</v>
      </c>
      <c r="F7486" s="10" t="s">
        <v>35171</v>
      </c>
      <c r="G7486" s="10" t="s">
        <v>6317</v>
      </c>
      <c r="H7486" s="11">
        <v>41183</v>
      </c>
      <c r="I7486" s="10">
        <v>2013</v>
      </c>
      <c r="J7486" s="10" t="s">
        <v>35170</v>
      </c>
      <c r="K7486" s="10">
        <v>238</v>
      </c>
      <c r="L7486" s="10" t="s">
        <v>35489</v>
      </c>
      <c r="M7486" s="10">
        <v>1</v>
      </c>
      <c r="N7486" s="10" t="s">
        <v>31845</v>
      </c>
      <c r="O7486" s="10"/>
      <c r="P7486" s="10" t="s">
        <v>35490</v>
      </c>
      <c r="Q7486" s="10" t="s">
        <v>13877</v>
      </c>
      <c r="R7486" s="10" t="s">
        <v>35491</v>
      </c>
      <c r="S7486" s="10" t="s">
        <v>53</v>
      </c>
      <c r="T7486" s="10" t="s">
        <v>6616</v>
      </c>
    </row>
    <row r="7487" spans="1:20" ht="14.5" x14ac:dyDescent="0.35">
      <c r="A7487" s="10" t="s">
        <v>35492</v>
      </c>
      <c r="B7487" s="10" t="str">
        <f>"9781623960261"</f>
        <v>9781623960261</v>
      </c>
      <c r="C7487" s="10" t="str">
        <f>"9781623960278"</f>
        <v>9781623960278</v>
      </c>
      <c r="D7487" s="10" t="s">
        <v>274</v>
      </c>
      <c r="E7487" s="10" t="s">
        <v>35170</v>
      </c>
      <c r="F7487" s="10" t="s">
        <v>35171</v>
      </c>
      <c r="G7487" s="10" t="s">
        <v>6317</v>
      </c>
      <c r="H7487" s="11">
        <v>41183</v>
      </c>
      <c r="I7487" s="10">
        <v>2013</v>
      </c>
      <c r="J7487" s="10" t="s">
        <v>35170</v>
      </c>
      <c r="K7487" s="10">
        <v>273</v>
      </c>
      <c r="L7487" s="10" t="s">
        <v>35493</v>
      </c>
      <c r="M7487" s="10">
        <v>1</v>
      </c>
      <c r="N7487" s="10" t="s">
        <v>35494</v>
      </c>
      <c r="O7487" s="10"/>
      <c r="P7487" s="10" t="s">
        <v>35495</v>
      </c>
      <c r="Q7487" s="10">
        <v>150.72</v>
      </c>
      <c r="R7487" s="10"/>
      <c r="S7487" s="10" t="s">
        <v>53</v>
      </c>
      <c r="T7487" s="10" t="s">
        <v>483</v>
      </c>
    </row>
    <row r="7488" spans="1:20" ht="14.5" x14ac:dyDescent="0.35">
      <c r="A7488" s="10" t="s">
        <v>35496</v>
      </c>
      <c r="B7488" s="10" t="str">
        <f>"9781623960384"</f>
        <v>9781623960384</v>
      </c>
      <c r="C7488" s="10" t="str">
        <f>"9781623960391"</f>
        <v>9781623960391</v>
      </c>
      <c r="D7488" s="10" t="s">
        <v>274</v>
      </c>
      <c r="E7488" s="10" t="s">
        <v>35170</v>
      </c>
      <c r="F7488" s="10" t="s">
        <v>35171</v>
      </c>
      <c r="G7488" s="10" t="s">
        <v>6317</v>
      </c>
      <c r="H7488" s="11">
        <v>41153</v>
      </c>
      <c r="I7488" s="10">
        <v>2013</v>
      </c>
      <c r="J7488" s="10" t="s">
        <v>35170</v>
      </c>
      <c r="K7488" s="10">
        <v>359</v>
      </c>
      <c r="L7488" s="10" t="s">
        <v>35497</v>
      </c>
      <c r="M7488" s="10">
        <v>1</v>
      </c>
      <c r="N7488" s="10" t="s">
        <v>35451</v>
      </c>
      <c r="O7488" s="10"/>
      <c r="P7488" s="10" t="s">
        <v>35498</v>
      </c>
      <c r="Q7488" s="10">
        <v>155.19999999999999</v>
      </c>
      <c r="R7488" s="10" t="s">
        <v>35499</v>
      </c>
      <c r="S7488" s="10" t="s">
        <v>53</v>
      </c>
      <c r="T7488" s="10" t="s">
        <v>483</v>
      </c>
    </row>
    <row r="7489" spans="1:20" ht="14.5" x14ac:dyDescent="0.35">
      <c r="A7489" s="10" t="s">
        <v>35500</v>
      </c>
      <c r="B7489" s="10" t="str">
        <f>"9781617359651"</f>
        <v>9781617359651</v>
      </c>
      <c r="C7489" s="10" t="str">
        <f>"9781617359675"</f>
        <v>9781617359675</v>
      </c>
      <c r="D7489" s="10" t="s">
        <v>274</v>
      </c>
      <c r="E7489" s="10" t="s">
        <v>35170</v>
      </c>
      <c r="F7489" s="10" t="s">
        <v>35171</v>
      </c>
      <c r="G7489" s="10" t="s">
        <v>6317</v>
      </c>
      <c r="H7489" s="11">
        <v>41214</v>
      </c>
      <c r="I7489" s="10">
        <v>2013</v>
      </c>
      <c r="J7489" s="10" t="s">
        <v>35170</v>
      </c>
      <c r="K7489" s="10">
        <v>135</v>
      </c>
      <c r="L7489" s="10" t="s">
        <v>35501</v>
      </c>
      <c r="M7489" s="10">
        <v>1</v>
      </c>
      <c r="N7489" s="10" t="s">
        <v>35502</v>
      </c>
      <c r="O7489" s="10"/>
      <c r="P7489" s="10" t="s">
        <v>35503</v>
      </c>
      <c r="Q7489" s="10">
        <v>372.21</v>
      </c>
      <c r="R7489" s="10" t="s">
        <v>35504</v>
      </c>
      <c r="S7489" s="10" t="s">
        <v>53</v>
      </c>
      <c r="T7489" s="10" t="s">
        <v>54</v>
      </c>
    </row>
    <row r="7490" spans="1:20" ht="14.5" x14ac:dyDescent="0.35">
      <c r="A7490" s="10" t="s">
        <v>35505</v>
      </c>
      <c r="B7490" s="10" t="str">
        <f>"9781623960643"</f>
        <v>9781623960643</v>
      </c>
      <c r="C7490" s="10" t="str">
        <f>"9781623960667"</f>
        <v>9781623960667</v>
      </c>
      <c r="D7490" s="10" t="s">
        <v>274</v>
      </c>
      <c r="E7490" s="10" t="s">
        <v>35170</v>
      </c>
      <c r="F7490" s="10" t="s">
        <v>35171</v>
      </c>
      <c r="G7490" s="10" t="s">
        <v>6317</v>
      </c>
      <c r="H7490" s="11">
        <v>41214</v>
      </c>
      <c r="I7490" s="10">
        <v>2013</v>
      </c>
      <c r="J7490" s="10" t="s">
        <v>35170</v>
      </c>
      <c r="K7490" s="10">
        <v>511</v>
      </c>
      <c r="L7490" s="10" t="s">
        <v>35506</v>
      </c>
      <c r="M7490" s="10">
        <v>1</v>
      </c>
      <c r="N7490" s="10" t="s">
        <v>35451</v>
      </c>
      <c r="O7490" s="10"/>
      <c r="P7490" s="10" t="s">
        <v>35507</v>
      </c>
      <c r="Q7490" s="10">
        <v>306.43</v>
      </c>
      <c r="R7490" s="10" t="s">
        <v>35508</v>
      </c>
      <c r="S7490" s="10" t="s">
        <v>53</v>
      </c>
      <c r="T7490" s="10" t="s">
        <v>6472</v>
      </c>
    </row>
    <row r="7491" spans="1:20" ht="14.5" x14ac:dyDescent="0.35">
      <c r="A7491" s="10" t="s">
        <v>35509</v>
      </c>
      <c r="B7491" s="10" t="str">
        <f>"9781623960490"</f>
        <v>9781623960490</v>
      </c>
      <c r="C7491" s="10" t="str">
        <f>"9781623960513"</f>
        <v>9781623960513</v>
      </c>
      <c r="D7491" s="10" t="s">
        <v>274</v>
      </c>
      <c r="E7491" s="10" t="s">
        <v>35170</v>
      </c>
      <c r="F7491" s="10" t="s">
        <v>35171</v>
      </c>
      <c r="G7491" s="10" t="s">
        <v>6317</v>
      </c>
      <c r="H7491" s="11">
        <v>41183</v>
      </c>
      <c r="I7491" s="10">
        <v>2013</v>
      </c>
      <c r="J7491" s="10" t="s">
        <v>35170</v>
      </c>
      <c r="K7491" s="10">
        <v>245</v>
      </c>
      <c r="L7491" s="10" t="s">
        <v>35510</v>
      </c>
      <c r="M7491" s="10">
        <v>1</v>
      </c>
      <c r="N7491" s="10" t="s">
        <v>35177</v>
      </c>
      <c r="O7491" s="10"/>
      <c r="P7491" s="10" t="s">
        <v>35511</v>
      </c>
      <c r="Q7491" s="10">
        <v>370.72</v>
      </c>
      <c r="R7491" s="10" t="s">
        <v>35512</v>
      </c>
      <c r="S7491" s="10" t="s">
        <v>53</v>
      </c>
      <c r="T7491" s="10" t="s">
        <v>54</v>
      </c>
    </row>
    <row r="7492" spans="1:20" ht="14.5" x14ac:dyDescent="0.35">
      <c r="A7492" s="10" t="s">
        <v>35513</v>
      </c>
      <c r="B7492" s="10" t="str">
        <f>"9781623962302"</f>
        <v>9781623962302</v>
      </c>
      <c r="C7492" s="10" t="str">
        <f>"9781623962326"</f>
        <v>9781623962326</v>
      </c>
      <c r="D7492" s="10" t="s">
        <v>274</v>
      </c>
      <c r="E7492" s="10" t="s">
        <v>35170</v>
      </c>
      <c r="F7492" s="10" t="s">
        <v>35171</v>
      </c>
      <c r="G7492" s="10" t="s">
        <v>6317</v>
      </c>
      <c r="H7492" s="11">
        <v>41365</v>
      </c>
      <c r="I7492" s="10">
        <v>2013</v>
      </c>
      <c r="J7492" s="10" t="s">
        <v>35170</v>
      </c>
      <c r="K7492" s="10">
        <v>208</v>
      </c>
      <c r="L7492" s="10" t="s">
        <v>35514</v>
      </c>
      <c r="M7492" s="10">
        <v>1</v>
      </c>
      <c r="N7492" s="10" t="s">
        <v>35515</v>
      </c>
      <c r="O7492" s="10"/>
      <c r="P7492" s="10" t="s">
        <v>35516</v>
      </c>
      <c r="Q7492" s="10" t="s">
        <v>18149</v>
      </c>
      <c r="R7492" s="10" t="s">
        <v>35517</v>
      </c>
      <c r="S7492" s="10" t="s">
        <v>53</v>
      </c>
      <c r="T7492" s="10" t="s">
        <v>54</v>
      </c>
    </row>
    <row r="7493" spans="1:20" ht="14.5" x14ac:dyDescent="0.35">
      <c r="A7493" s="10" t="s">
        <v>35518</v>
      </c>
      <c r="B7493" s="10" t="str">
        <f>"9781623962043"</f>
        <v>9781623962043</v>
      </c>
      <c r="C7493" s="10" t="str">
        <f>"9781623962067"</f>
        <v>9781623962067</v>
      </c>
      <c r="D7493" s="10" t="s">
        <v>274</v>
      </c>
      <c r="E7493" s="10" t="s">
        <v>35170</v>
      </c>
      <c r="F7493" s="10" t="s">
        <v>35171</v>
      </c>
      <c r="G7493" s="10" t="s">
        <v>6317</v>
      </c>
      <c r="H7493" s="11">
        <v>41365</v>
      </c>
      <c r="I7493" s="10">
        <v>2013</v>
      </c>
      <c r="J7493" s="10" t="s">
        <v>35170</v>
      </c>
      <c r="K7493" s="10">
        <v>349</v>
      </c>
      <c r="L7493" s="10" t="s">
        <v>35519</v>
      </c>
      <c r="M7493" s="10">
        <v>1</v>
      </c>
      <c r="N7493" s="10"/>
      <c r="O7493" s="10"/>
      <c r="P7493" s="10" t="s">
        <v>35520</v>
      </c>
      <c r="Q7493" s="10" t="s">
        <v>19565</v>
      </c>
      <c r="R7493" s="10" t="s">
        <v>35521</v>
      </c>
      <c r="S7493" s="10" t="s">
        <v>53</v>
      </c>
      <c r="T7493" s="10" t="s">
        <v>54</v>
      </c>
    </row>
    <row r="7494" spans="1:20" ht="14.5" x14ac:dyDescent="0.35">
      <c r="A7494" s="10" t="s">
        <v>35522</v>
      </c>
      <c r="B7494" s="10" t="str">
        <f>"9781623961176"</f>
        <v>9781623961176</v>
      </c>
      <c r="C7494" s="10" t="str">
        <f>"9781623961190"</f>
        <v>9781623961190</v>
      </c>
      <c r="D7494" s="10" t="s">
        <v>274</v>
      </c>
      <c r="E7494" s="10" t="s">
        <v>35170</v>
      </c>
      <c r="F7494" s="10" t="s">
        <v>35171</v>
      </c>
      <c r="G7494" s="10" t="s">
        <v>6317</v>
      </c>
      <c r="H7494" s="11">
        <v>41334</v>
      </c>
      <c r="I7494" s="10">
        <v>2013</v>
      </c>
      <c r="J7494" s="10" t="s">
        <v>35170</v>
      </c>
      <c r="K7494" s="10">
        <v>205</v>
      </c>
      <c r="L7494" s="10" t="s">
        <v>35523</v>
      </c>
      <c r="M7494" s="10">
        <v>1</v>
      </c>
      <c r="N7494" s="10"/>
      <c r="O7494" s="10"/>
      <c r="P7494" s="10" t="s">
        <v>35524</v>
      </c>
      <c r="Q7494" s="10" t="s">
        <v>7307</v>
      </c>
      <c r="R7494" s="10" t="s">
        <v>35525</v>
      </c>
      <c r="S7494" s="10" t="s">
        <v>53</v>
      </c>
      <c r="T7494" s="10" t="s">
        <v>54</v>
      </c>
    </row>
    <row r="7495" spans="1:20" ht="14.5" x14ac:dyDescent="0.35">
      <c r="A7495" s="10" t="s">
        <v>35526</v>
      </c>
      <c r="B7495" s="10" t="str">
        <f>"9781623962838"</f>
        <v>9781623962838</v>
      </c>
      <c r="C7495" s="10" t="str">
        <f>"9781623962852"</f>
        <v>9781623962852</v>
      </c>
      <c r="D7495" s="10" t="s">
        <v>274</v>
      </c>
      <c r="E7495" s="10" t="s">
        <v>35170</v>
      </c>
      <c r="F7495" s="10" t="s">
        <v>35171</v>
      </c>
      <c r="G7495" s="10" t="s">
        <v>6317</v>
      </c>
      <c r="H7495" s="11">
        <v>41365</v>
      </c>
      <c r="I7495" s="10">
        <v>2013</v>
      </c>
      <c r="J7495" s="10" t="s">
        <v>35170</v>
      </c>
      <c r="K7495" s="10">
        <v>299</v>
      </c>
      <c r="L7495" s="10" t="s">
        <v>35527</v>
      </c>
      <c r="M7495" s="10">
        <v>1</v>
      </c>
      <c r="N7495" s="10" t="s">
        <v>35528</v>
      </c>
      <c r="O7495" s="10"/>
      <c r="P7495" s="10"/>
      <c r="Q7495" s="10"/>
      <c r="R7495" s="10"/>
      <c r="S7495" s="10" t="s">
        <v>53</v>
      </c>
      <c r="T7495" s="10" t="s">
        <v>54</v>
      </c>
    </row>
    <row r="7496" spans="1:20" ht="14.5" x14ac:dyDescent="0.35">
      <c r="A7496" s="10" t="s">
        <v>35529</v>
      </c>
      <c r="B7496" s="10" t="str">
        <f>"9781623962531"</f>
        <v>9781623962531</v>
      </c>
      <c r="C7496" s="10" t="str">
        <f>"9781623962555"</f>
        <v>9781623962555</v>
      </c>
      <c r="D7496" s="10" t="s">
        <v>274</v>
      </c>
      <c r="E7496" s="10" t="s">
        <v>35170</v>
      </c>
      <c r="F7496" s="10" t="s">
        <v>35171</v>
      </c>
      <c r="G7496" s="10" t="s">
        <v>6317</v>
      </c>
      <c r="H7496" s="11">
        <v>41365</v>
      </c>
      <c r="I7496" s="10">
        <v>2013</v>
      </c>
      <c r="J7496" s="10" t="s">
        <v>35170</v>
      </c>
      <c r="K7496" s="10">
        <v>403</v>
      </c>
      <c r="L7496" s="10" t="s">
        <v>35530</v>
      </c>
      <c r="M7496" s="10">
        <v>1</v>
      </c>
      <c r="N7496" s="10" t="s">
        <v>35531</v>
      </c>
      <c r="O7496" s="10"/>
      <c r="P7496" s="10" t="s">
        <v>35532</v>
      </c>
      <c r="Q7496" s="10"/>
      <c r="R7496" s="10" t="s">
        <v>33559</v>
      </c>
      <c r="S7496" s="10" t="s">
        <v>53</v>
      </c>
      <c r="T7496" s="10" t="s">
        <v>5557</v>
      </c>
    </row>
    <row r="7497" spans="1:20" ht="14.5" x14ac:dyDescent="0.35">
      <c r="A7497" s="10" t="s">
        <v>35533</v>
      </c>
      <c r="B7497" s="10" t="str">
        <f>"9781623961084"</f>
        <v>9781623961084</v>
      </c>
      <c r="C7497" s="10" t="str">
        <f>"9781623961107"</f>
        <v>9781623961107</v>
      </c>
      <c r="D7497" s="10" t="s">
        <v>274</v>
      </c>
      <c r="E7497" s="10" t="s">
        <v>35170</v>
      </c>
      <c r="F7497" s="10" t="s">
        <v>35171</v>
      </c>
      <c r="G7497" s="10" t="s">
        <v>6317</v>
      </c>
      <c r="H7497" s="11">
        <v>41365</v>
      </c>
      <c r="I7497" s="10">
        <v>2013</v>
      </c>
      <c r="J7497" s="10" t="s">
        <v>35170</v>
      </c>
      <c r="K7497" s="10">
        <v>163</v>
      </c>
      <c r="L7497" s="10" t="s">
        <v>35208</v>
      </c>
      <c r="M7497" s="10">
        <v>1</v>
      </c>
      <c r="N7497" s="10"/>
      <c r="O7497" s="10"/>
      <c r="P7497" s="10" t="s">
        <v>35534</v>
      </c>
      <c r="Q7497" s="10" t="s">
        <v>7335</v>
      </c>
      <c r="R7497" s="10" t="s">
        <v>35535</v>
      </c>
      <c r="S7497" s="10" t="s">
        <v>53</v>
      </c>
      <c r="T7497" s="10" t="s">
        <v>54</v>
      </c>
    </row>
    <row r="7498" spans="1:20" ht="14.5" x14ac:dyDescent="0.35">
      <c r="A7498" s="10" t="s">
        <v>35536</v>
      </c>
      <c r="B7498" s="10" t="str">
        <f>"9781623962685"</f>
        <v>9781623962685</v>
      </c>
      <c r="C7498" s="10" t="str">
        <f>"9781623962708"</f>
        <v>9781623962708</v>
      </c>
      <c r="D7498" s="10" t="s">
        <v>274</v>
      </c>
      <c r="E7498" s="10" t="s">
        <v>35170</v>
      </c>
      <c r="F7498" s="10" t="s">
        <v>35171</v>
      </c>
      <c r="G7498" s="10" t="s">
        <v>6317</v>
      </c>
      <c r="H7498" s="11">
        <v>41334</v>
      </c>
      <c r="I7498" s="10">
        <v>2013</v>
      </c>
      <c r="J7498" s="10" t="s">
        <v>35170</v>
      </c>
      <c r="K7498" s="10">
        <v>123</v>
      </c>
      <c r="L7498" s="10" t="s">
        <v>35537</v>
      </c>
      <c r="M7498" s="10">
        <v>1</v>
      </c>
      <c r="N7498" s="10"/>
      <c r="O7498" s="10"/>
      <c r="P7498" s="10" t="s">
        <v>35538</v>
      </c>
      <c r="Q7498" s="10">
        <v>371.10199999999998</v>
      </c>
      <c r="R7498" s="10" t="s">
        <v>35539</v>
      </c>
      <c r="S7498" s="10" t="s">
        <v>53</v>
      </c>
      <c r="T7498" s="10" t="s">
        <v>54</v>
      </c>
    </row>
    <row r="7499" spans="1:20" ht="14.5" x14ac:dyDescent="0.35">
      <c r="A7499" s="10" t="s">
        <v>35540</v>
      </c>
      <c r="B7499" s="10" t="str">
        <f>"9781623962562"</f>
        <v>9781623962562</v>
      </c>
      <c r="C7499" s="10" t="str">
        <f>"9781623962586"</f>
        <v>9781623962586</v>
      </c>
      <c r="D7499" s="10" t="s">
        <v>274</v>
      </c>
      <c r="E7499" s="10" t="s">
        <v>35170</v>
      </c>
      <c r="F7499" s="10" t="s">
        <v>35171</v>
      </c>
      <c r="G7499" s="10" t="s">
        <v>6317</v>
      </c>
      <c r="H7499" s="11">
        <v>41334</v>
      </c>
      <c r="I7499" s="10">
        <v>2013</v>
      </c>
      <c r="J7499" s="10" t="s">
        <v>35170</v>
      </c>
      <c r="K7499" s="10">
        <v>174</v>
      </c>
      <c r="L7499" s="10" t="s">
        <v>35541</v>
      </c>
      <c r="M7499" s="10">
        <v>1</v>
      </c>
      <c r="N7499" s="10"/>
      <c r="O7499" s="10"/>
      <c r="P7499" s="10" t="s">
        <v>35542</v>
      </c>
      <c r="Q7499" s="10" t="s">
        <v>17825</v>
      </c>
      <c r="R7499" s="10" t="s">
        <v>35543</v>
      </c>
      <c r="S7499" s="10" t="s">
        <v>53</v>
      </c>
      <c r="T7499" s="10" t="s">
        <v>54</v>
      </c>
    </row>
    <row r="7500" spans="1:20" ht="14.5" x14ac:dyDescent="0.35">
      <c r="A7500" s="10" t="s">
        <v>35544</v>
      </c>
      <c r="B7500" s="10" t="str">
        <f>"9781617355479"</f>
        <v>9781617355479</v>
      </c>
      <c r="C7500" s="10" t="str">
        <f>"9781617355493"</f>
        <v>9781617355493</v>
      </c>
      <c r="D7500" s="10" t="s">
        <v>274</v>
      </c>
      <c r="E7500" s="10" t="s">
        <v>35170</v>
      </c>
      <c r="F7500" s="10" t="s">
        <v>35171</v>
      </c>
      <c r="G7500" s="10" t="s">
        <v>6317</v>
      </c>
      <c r="H7500" s="11">
        <v>41306</v>
      </c>
      <c r="I7500" s="10">
        <v>2013</v>
      </c>
      <c r="J7500" s="10" t="s">
        <v>35170</v>
      </c>
      <c r="K7500" s="10">
        <v>194</v>
      </c>
      <c r="L7500" s="10" t="s">
        <v>35545</v>
      </c>
      <c r="M7500" s="10">
        <v>1</v>
      </c>
      <c r="N7500" s="10" t="s">
        <v>35291</v>
      </c>
      <c r="O7500" s="10"/>
      <c r="P7500" s="10" t="s">
        <v>35546</v>
      </c>
      <c r="Q7500" s="10">
        <v>370.11599999999999</v>
      </c>
      <c r="R7500" s="10" t="s">
        <v>35547</v>
      </c>
      <c r="S7500" s="10" t="s">
        <v>53</v>
      </c>
      <c r="T7500" s="10" t="s">
        <v>54</v>
      </c>
    </row>
    <row r="7501" spans="1:20" ht="14.5" x14ac:dyDescent="0.35">
      <c r="A7501" s="10" t="s">
        <v>35548</v>
      </c>
      <c r="B7501" s="10" t="str">
        <f>"9781623962418"</f>
        <v>9781623962418</v>
      </c>
      <c r="C7501" s="10" t="str">
        <f>"9781623962432"</f>
        <v>9781623962432</v>
      </c>
      <c r="D7501" s="10" t="s">
        <v>274</v>
      </c>
      <c r="E7501" s="10" t="s">
        <v>35170</v>
      </c>
      <c r="F7501" s="10" t="s">
        <v>35171</v>
      </c>
      <c r="G7501" s="10" t="s">
        <v>6317</v>
      </c>
      <c r="H7501" s="11">
        <v>41365</v>
      </c>
      <c r="I7501" s="10">
        <v>2013</v>
      </c>
      <c r="J7501" s="10" t="s">
        <v>35170</v>
      </c>
      <c r="K7501" s="10">
        <v>204</v>
      </c>
      <c r="L7501" s="10" t="s">
        <v>35549</v>
      </c>
      <c r="M7501" s="10">
        <v>1</v>
      </c>
      <c r="N7501" s="10"/>
      <c r="O7501" s="10"/>
      <c r="P7501" s="10" t="s">
        <v>35550</v>
      </c>
      <c r="Q7501" s="10" t="s">
        <v>10427</v>
      </c>
      <c r="R7501" s="10" t="s">
        <v>35551</v>
      </c>
      <c r="S7501" s="10" t="s">
        <v>53</v>
      </c>
      <c r="T7501" s="10" t="s">
        <v>54</v>
      </c>
    </row>
    <row r="7502" spans="1:20" ht="14.5" x14ac:dyDescent="0.35">
      <c r="A7502" s="10" t="s">
        <v>35552</v>
      </c>
      <c r="B7502" s="10" t="str">
        <f>"9781623962210"</f>
        <v>9781623962210</v>
      </c>
      <c r="C7502" s="10" t="str">
        <f>"9781623962234"</f>
        <v>9781623962234</v>
      </c>
      <c r="D7502" s="10" t="s">
        <v>274</v>
      </c>
      <c r="E7502" s="10" t="s">
        <v>35170</v>
      </c>
      <c r="F7502" s="10" t="s">
        <v>35171</v>
      </c>
      <c r="G7502" s="10" t="s">
        <v>6317</v>
      </c>
      <c r="H7502" s="11">
        <v>41334</v>
      </c>
      <c r="I7502" s="10">
        <v>2013</v>
      </c>
      <c r="J7502" s="10" t="s">
        <v>35170</v>
      </c>
      <c r="K7502" s="10">
        <v>234</v>
      </c>
      <c r="L7502" s="10" t="s">
        <v>35553</v>
      </c>
      <c r="M7502" s="10">
        <v>1</v>
      </c>
      <c r="N7502" s="10" t="s">
        <v>35554</v>
      </c>
      <c r="O7502" s="10"/>
      <c r="P7502" s="10"/>
      <c r="Q7502" s="10"/>
      <c r="R7502" s="10"/>
      <c r="S7502" s="10" t="s">
        <v>53</v>
      </c>
      <c r="T7502" s="10" t="s">
        <v>6526</v>
      </c>
    </row>
    <row r="7503" spans="1:20" ht="14.5" x14ac:dyDescent="0.35">
      <c r="A7503" s="10" t="s">
        <v>35555</v>
      </c>
      <c r="B7503" s="10" t="str">
        <f>"9781623960919"</f>
        <v>9781623960919</v>
      </c>
      <c r="C7503" s="10" t="str">
        <f>"9781623960933"</f>
        <v>9781623960933</v>
      </c>
      <c r="D7503" s="10" t="s">
        <v>274</v>
      </c>
      <c r="E7503" s="10" t="s">
        <v>35170</v>
      </c>
      <c r="F7503" s="10" t="s">
        <v>35171</v>
      </c>
      <c r="G7503" s="10" t="s">
        <v>6317</v>
      </c>
      <c r="H7503" s="11">
        <v>41365</v>
      </c>
      <c r="I7503" s="10">
        <v>2013</v>
      </c>
      <c r="J7503" s="10" t="s">
        <v>35170</v>
      </c>
      <c r="K7503" s="10">
        <v>161</v>
      </c>
      <c r="L7503" s="10" t="s">
        <v>35556</v>
      </c>
      <c r="M7503" s="10">
        <v>1</v>
      </c>
      <c r="N7503" s="10" t="s">
        <v>35554</v>
      </c>
      <c r="O7503" s="10"/>
      <c r="P7503" s="10" t="s">
        <v>35557</v>
      </c>
      <c r="Q7503" s="10">
        <v>371.90973000000002</v>
      </c>
      <c r="R7503" s="10" t="s">
        <v>35558</v>
      </c>
      <c r="S7503" s="10" t="s">
        <v>53</v>
      </c>
      <c r="T7503" s="10" t="s">
        <v>54</v>
      </c>
    </row>
    <row r="7504" spans="1:20" ht="14.5" x14ac:dyDescent="0.35">
      <c r="A7504" s="10" t="s">
        <v>35559</v>
      </c>
      <c r="B7504" s="10" t="str">
        <f>"9781623960674"</f>
        <v>9781623960674</v>
      </c>
      <c r="C7504" s="10" t="str">
        <f>"9781623960698"</f>
        <v>9781623960698</v>
      </c>
      <c r="D7504" s="10" t="s">
        <v>274</v>
      </c>
      <c r="E7504" s="10" t="s">
        <v>35170</v>
      </c>
      <c r="F7504" s="10" t="s">
        <v>35171</v>
      </c>
      <c r="G7504" s="10" t="s">
        <v>6317</v>
      </c>
      <c r="H7504" s="11">
        <v>41306</v>
      </c>
      <c r="I7504" s="10">
        <v>2013</v>
      </c>
      <c r="J7504" s="10" t="s">
        <v>35170</v>
      </c>
      <c r="K7504" s="10">
        <v>159</v>
      </c>
      <c r="L7504" s="10" t="s">
        <v>35560</v>
      </c>
      <c r="M7504" s="10">
        <v>1</v>
      </c>
      <c r="N7504" s="10" t="s">
        <v>35177</v>
      </c>
      <c r="O7504" s="10"/>
      <c r="P7504" s="10" t="s">
        <v>35561</v>
      </c>
      <c r="Q7504" s="10">
        <v>507.1</v>
      </c>
      <c r="R7504" s="10" t="s">
        <v>35562</v>
      </c>
      <c r="S7504" s="10" t="s">
        <v>53</v>
      </c>
      <c r="T7504" s="10" t="s">
        <v>9608</v>
      </c>
    </row>
    <row r="7505" spans="1:20" ht="14.5" x14ac:dyDescent="0.35">
      <c r="A7505" s="10" t="s">
        <v>35563</v>
      </c>
      <c r="B7505" s="10" t="str">
        <f>"9781623961022"</f>
        <v>9781623961022</v>
      </c>
      <c r="C7505" s="10" t="str">
        <f>"9781623961046"</f>
        <v>9781623961046</v>
      </c>
      <c r="D7505" s="10" t="s">
        <v>274</v>
      </c>
      <c r="E7505" s="10" t="s">
        <v>35170</v>
      </c>
      <c r="F7505" s="10" t="s">
        <v>35171</v>
      </c>
      <c r="G7505" s="10" t="s">
        <v>6317</v>
      </c>
      <c r="H7505" s="11">
        <v>41183</v>
      </c>
      <c r="I7505" s="10">
        <v>2013</v>
      </c>
      <c r="J7505" s="10" t="s">
        <v>35170</v>
      </c>
      <c r="K7505" s="10">
        <v>375</v>
      </c>
      <c r="L7505" s="10" t="s">
        <v>35564</v>
      </c>
      <c r="M7505" s="10">
        <v>1</v>
      </c>
      <c r="N7505" s="10" t="s">
        <v>35565</v>
      </c>
      <c r="O7505" s="10"/>
      <c r="P7505" s="10" t="s">
        <v>35566</v>
      </c>
      <c r="Q7505" s="10">
        <v>373.23599999999999</v>
      </c>
      <c r="R7505" s="10" t="s">
        <v>35567</v>
      </c>
      <c r="S7505" s="10" t="s">
        <v>53</v>
      </c>
      <c r="T7505" s="10" t="s">
        <v>54</v>
      </c>
    </row>
    <row r="7506" spans="1:20" ht="14.5" x14ac:dyDescent="0.35">
      <c r="A7506" s="10" t="s">
        <v>35568</v>
      </c>
      <c r="B7506" s="10" t="str">
        <f>"9781623962593"</f>
        <v>9781623962593</v>
      </c>
      <c r="C7506" s="10" t="str">
        <f>"9781623962616"</f>
        <v>9781623962616</v>
      </c>
      <c r="D7506" s="10" t="s">
        <v>274</v>
      </c>
      <c r="E7506" s="10" t="s">
        <v>35170</v>
      </c>
      <c r="F7506" s="10" t="s">
        <v>35171</v>
      </c>
      <c r="G7506" s="10" t="s">
        <v>6317</v>
      </c>
      <c r="H7506" s="11">
        <v>41395</v>
      </c>
      <c r="I7506" s="10">
        <v>2013</v>
      </c>
      <c r="J7506" s="10" t="s">
        <v>35170</v>
      </c>
      <c r="K7506" s="10">
        <v>113</v>
      </c>
      <c r="L7506" s="10" t="s">
        <v>35569</v>
      </c>
      <c r="M7506" s="10">
        <v>1</v>
      </c>
      <c r="N7506" s="10"/>
      <c r="O7506" s="10"/>
      <c r="P7506" s="10" t="s">
        <v>35570</v>
      </c>
      <c r="Q7506" s="10" t="s">
        <v>35571</v>
      </c>
      <c r="R7506" s="10" t="s">
        <v>35572</v>
      </c>
      <c r="S7506" s="10" t="s">
        <v>53</v>
      </c>
      <c r="T7506" s="10" t="s">
        <v>6363</v>
      </c>
    </row>
    <row r="7507" spans="1:20" ht="14.5" x14ac:dyDescent="0.35">
      <c r="A7507" s="10" t="s">
        <v>35573</v>
      </c>
      <c r="B7507" s="10" t="str">
        <f>"9781623962623"</f>
        <v>9781623962623</v>
      </c>
      <c r="C7507" s="10" t="str">
        <f>"9781623962647"</f>
        <v>9781623962647</v>
      </c>
      <c r="D7507" s="10" t="s">
        <v>274</v>
      </c>
      <c r="E7507" s="10" t="s">
        <v>35170</v>
      </c>
      <c r="F7507" s="10" t="s">
        <v>35171</v>
      </c>
      <c r="G7507" s="10" t="s">
        <v>6317</v>
      </c>
      <c r="H7507" s="11">
        <v>41395</v>
      </c>
      <c r="I7507" s="10">
        <v>2013</v>
      </c>
      <c r="J7507" s="10" t="s">
        <v>35170</v>
      </c>
      <c r="K7507" s="10">
        <v>234</v>
      </c>
      <c r="L7507" s="10" t="s">
        <v>35574</v>
      </c>
      <c r="M7507" s="10">
        <v>1</v>
      </c>
      <c r="N7507" s="10"/>
      <c r="O7507" s="10"/>
      <c r="P7507" s="10" t="s">
        <v>35575</v>
      </c>
      <c r="Q7507" s="10" t="s">
        <v>35576</v>
      </c>
      <c r="R7507" s="10" t="s">
        <v>35577</v>
      </c>
      <c r="S7507" s="10" t="s">
        <v>53</v>
      </c>
      <c r="T7507" s="10" t="s">
        <v>1166</v>
      </c>
    </row>
    <row r="7508" spans="1:20" ht="14.5" x14ac:dyDescent="0.35">
      <c r="A7508" s="10" t="s">
        <v>35578</v>
      </c>
      <c r="B7508" s="10" t="str">
        <f>"9781623963040"</f>
        <v>9781623963040</v>
      </c>
      <c r="C7508" s="10" t="str">
        <f>"9781623963064"</f>
        <v>9781623963064</v>
      </c>
      <c r="D7508" s="10" t="s">
        <v>274</v>
      </c>
      <c r="E7508" s="10" t="s">
        <v>35170</v>
      </c>
      <c r="F7508" s="10" t="s">
        <v>35171</v>
      </c>
      <c r="G7508" s="10" t="s">
        <v>6317</v>
      </c>
      <c r="H7508" s="11">
        <v>41395</v>
      </c>
      <c r="I7508" s="10">
        <v>2013</v>
      </c>
      <c r="J7508" s="10" t="s">
        <v>35170</v>
      </c>
      <c r="K7508" s="10">
        <v>400</v>
      </c>
      <c r="L7508" s="10" t="s">
        <v>35579</v>
      </c>
      <c r="M7508" s="10">
        <v>1</v>
      </c>
      <c r="N7508" s="10"/>
      <c r="O7508" s="10"/>
      <c r="P7508" s="10" t="s">
        <v>35580</v>
      </c>
      <c r="Q7508" s="10" t="s">
        <v>35581</v>
      </c>
      <c r="R7508" s="10" t="s">
        <v>35582</v>
      </c>
      <c r="S7508" s="10" t="s">
        <v>53</v>
      </c>
      <c r="T7508" s="10" t="s">
        <v>54</v>
      </c>
    </row>
    <row r="7509" spans="1:20" ht="14.5" x14ac:dyDescent="0.35">
      <c r="A7509" s="10" t="s">
        <v>35583</v>
      </c>
      <c r="B7509" s="10" t="str">
        <f>"9781623962500"</f>
        <v>9781623962500</v>
      </c>
      <c r="C7509" s="10" t="str">
        <f>"9781623962524"</f>
        <v>9781623962524</v>
      </c>
      <c r="D7509" s="10" t="s">
        <v>274</v>
      </c>
      <c r="E7509" s="10" t="s">
        <v>35170</v>
      </c>
      <c r="F7509" s="10" t="s">
        <v>35171</v>
      </c>
      <c r="G7509" s="10" t="s">
        <v>6317</v>
      </c>
      <c r="H7509" s="11">
        <v>41456</v>
      </c>
      <c r="I7509" s="10">
        <v>2013</v>
      </c>
      <c r="J7509" s="10" t="s">
        <v>35170</v>
      </c>
      <c r="K7509" s="10">
        <v>261</v>
      </c>
      <c r="L7509" s="10" t="s">
        <v>35584</v>
      </c>
      <c r="M7509" s="10">
        <v>1</v>
      </c>
      <c r="N7509" s="10" t="s">
        <v>35362</v>
      </c>
      <c r="O7509" s="10"/>
      <c r="P7509" s="10" t="s">
        <v>35585</v>
      </c>
      <c r="Q7509" s="10">
        <v>379.6</v>
      </c>
      <c r="R7509" s="10" t="s">
        <v>35586</v>
      </c>
      <c r="S7509" s="10" t="s">
        <v>53</v>
      </c>
      <c r="T7509" s="10" t="s">
        <v>54</v>
      </c>
    </row>
    <row r="7510" spans="1:20" ht="14.5" x14ac:dyDescent="0.35">
      <c r="A7510" s="10" t="s">
        <v>35587</v>
      </c>
      <c r="B7510" s="10" t="str">
        <f>"9781623962333"</f>
        <v>9781623962333</v>
      </c>
      <c r="C7510" s="10" t="str">
        <f>"9781623962357"</f>
        <v>9781623962357</v>
      </c>
      <c r="D7510" s="10" t="s">
        <v>274</v>
      </c>
      <c r="E7510" s="10" t="s">
        <v>35170</v>
      </c>
      <c r="F7510" s="10" t="s">
        <v>35171</v>
      </c>
      <c r="G7510" s="10" t="s">
        <v>6317</v>
      </c>
      <c r="H7510" s="11">
        <v>41456</v>
      </c>
      <c r="I7510" s="10">
        <v>2013</v>
      </c>
      <c r="J7510" s="10" t="s">
        <v>35170</v>
      </c>
      <c r="K7510" s="10">
        <v>460</v>
      </c>
      <c r="L7510" s="10" t="s">
        <v>35588</v>
      </c>
      <c r="M7510" s="10">
        <v>1</v>
      </c>
      <c r="N7510" s="10" t="s">
        <v>35589</v>
      </c>
      <c r="O7510" s="10"/>
      <c r="P7510" s="10" t="s">
        <v>35590</v>
      </c>
      <c r="Q7510" s="10" t="s">
        <v>32098</v>
      </c>
      <c r="R7510" s="10" t="s">
        <v>35591</v>
      </c>
      <c r="S7510" s="10" t="s">
        <v>53</v>
      </c>
      <c r="T7510" s="10" t="s">
        <v>54</v>
      </c>
    </row>
    <row r="7511" spans="1:20" ht="14.5" x14ac:dyDescent="0.35">
      <c r="A7511" s="10" t="s">
        <v>35592</v>
      </c>
      <c r="B7511" s="10" t="str">
        <f>"9781623961749"</f>
        <v>9781623961749</v>
      </c>
      <c r="C7511" s="10" t="str">
        <f>"9781623961763"</f>
        <v>9781623961763</v>
      </c>
      <c r="D7511" s="10" t="s">
        <v>274</v>
      </c>
      <c r="E7511" s="10" t="s">
        <v>35170</v>
      </c>
      <c r="F7511" s="10" t="s">
        <v>35171</v>
      </c>
      <c r="G7511" s="10" t="s">
        <v>6317</v>
      </c>
      <c r="H7511" s="11">
        <v>41306</v>
      </c>
      <c r="I7511" s="10">
        <v>2013</v>
      </c>
      <c r="J7511" s="10" t="s">
        <v>35170</v>
      </c>
      <c r="K7511" s="10">
        <v>195</v>
      </c>
      <c r="L7511" s="10" t="s">
        <v>35593</v>
      </c>
      <c r="M7511" s="10">
        <v>1</v>
      </c>
      <c r="N7511" s="10" t="s">
        <v>35485</v>
      </c>
      <c r="O7511" s="10"/>
      <c r="P7511" s="10" t="s">
        <v>35594</v>
      </c>
      <c r="Q7511" s="10"/>
      <c r="R7511" s="10"/>
      <c r="S7511" s="10" t="s">
        <v>53</v>
      </c>
      <c r="T7511" s="10" t="s">
        <v>54</v>
      </c>
    </row>
    <row r="7512" spans="1:20" ht="14.5" x14ac:dyDescent="0.35">
      <c r="A7512" s="10" t="s">
        <v>35595</v>
      </c>
      <c r="B7512" s="10" t="str">
        <f>"9781623966591"</f>
        <v>9781623966591</v>
      </c>
      <c r="C7512" s="10" t="str">
        <f>"9781623966607"</f>
        <v>9781623966607</v>
      </c>
      <c r="D7512" s="10" t="s">
        <v>274</v>
      </c>
      <c r="E7512" s="10" t="s">
        <v>35170</v>
      </c>
      <c r="F7512" s="10" t="s">
        <v>35171</v>
      </c>
      <c r="G7512" s="10" t="s">
        <v>6317</v>
      </c>
      <c r="H7512" s="11">
        <v>41821</v>
      </c>
      <c r="I7512" s="10">
        <v>2014</v>
      </c>
      <c r="J7512" s="10" t="s">
        <v>35170</v>
      </c>
      <c r="K7512" s="10">
        <v>234</v>
      </c>
      <c r="L7512" s="10" t="s">
        <v>35596</v>
      </c>
      <c r="M7512" s="10">
        <v>1</v>
      </c>
      <c r="N7512" s="10"/>
      <c r="O7512" s="10"/>
      <c r="P7512" s="10" t="s">
        <v>35597</v>
      </c>
      <c r="Q7512" s="10" t="s">
        <v>20476</v>
      </c>
      <c r="R7512" s="10"/>
      <c r="S7512" s="10" t="s">
        <v>53</v>
      </c>
      <c r="T7512" s="10" t="s">
        <v>54</v>
      </c>
    </row>
    <row r="7513" spans="1:20" ht="14.5" x14ac:dyDescent="0.35">
      <c r="A7513" s="10" t="s">
        <v>35598</v>
      </c>
      <c r="B7513" s="10" t="str">
        <f>"9781623964825"</f>
        <v>9781623964825</v>
      </c>
      <c r="C7513" s="10" t="str">
        <f>"9781623964832"</f>
        <v>9781623964832</v>
      </c>
      <c r="D7513" s="10" t="s">
        <v>274</v>
      </c>
      <c r="E7513" s="10" t="s">
        <v>35170</v>
      </c>
      <c r="F7513" s="10" t="s">
        <v>35171</v>
      </c>
      <c r="G7513" s="10" t="s">
        <v>6317</v>
      </c>
      <c r="H7513" s="11">
        <v>41671</v>
      </c>
      <c r="I7513" s="10">
        <v>2014</v>
      </c>
      <c r="J7513" s="10" t="s">
        <v>35170</v>
      </c>
      <c r="K7513" s="10">
        <v>299</v>
      </c>
      <c r="L7513" s="10" t="s">
        <v>35599</v>
      </c>
      <c r="M7513" s="10">
        <v>1</v>
      </c>
      <c r="N7513" s="10" t="s">
        <v>35281</v>
      </c>
      <c r="O7513" s="10"/>
      <c r="P7513" s="10" t="s">
        <v>35600</v>
      </c>
      <c r="Q7513" s="10"/>
      <c r="R7513" s="10"/>
      <c r="S7513" s="10" t="s">
        <v>53</v>
      </c>
      <c r="T7513" s="10" t="s">
        <v>5557</v>
      </c>
    </row>
    <row r="7514" spans="1:20" ht="14.5" x14ac:dyDescent="0.35">
      <c r="A7514" s="10" t="s">
        <v>35601</v>
      </c>
      <c r="B7514" s="10" t="str">
        <f>"9781623965068"</f>
        <v>9781623965068</v>
      </c>
      <c r="C7514" s="10" t="str">
        <f>"9781623965075"</f>
        <v>9781623965075</v>
      </c>
      <c r="D7514" s="10" t="s">
        <v>274</v>
      </c>
      <c r="E7514" s="10" t="s">
        <v>35170</v>
      </c>
      <c r="F7514" s="10" t="s">
        <v>35171</v>
      </c>
      <c r="G7514" s="10" t="s">
        <v>6317</v>
      </c>
      <c r="H7514" s="11">
        <v>41699</v>
      </c>
      <c r="I7514" s="10">
        <v>2014</v>
      </c>
      <c r="J7514" s="10" t="s">
        <v>35170</v>
      </c>
      <c r="K7514" s="10">
        <v>361</v>
      </c>
      <c r="L7514" s="10" t="s">
        <v>35602</v>
      </c>
      <c r="M7514" s="10">
        <v>1</v>
      </c>
      <c r="N7514" s="10" t="s">
        <v>35291</v>
      </c>
      <c r="O7514" s="10"/>
      <c r="P7514" s="10" t="s">
        <v>35603</v>
      </c>
      <c r="Q7514" s="10"/>
      <c r="R7514" s="10"/>
      <c r="S7514" s="10" t="s">
        <v>53</v>
      </c>
      <c r="T7514" s="10" t="s">
        <v>4859</v>
      </c>
    </row>
    <row r="7515" spans="1:20" ht="14.5" x14ac:dyDescent="0.35">
      <c r="A7515" s="10" t="s">
        <v>35604</v>
      </c>
      <c r="B7515" s="10" t="str">
        <f>"9781623965723"</f>
        <v>9781623965723</v>
      </c>
      <c r="C7515" s="10" t="str">
        <f>"9781623965730"</f>
        <v>9781623965730</v>
      </c>
      <c r="D7515" s="10" t="s">
        <v>274</v>
      </c>
      <c r="E7515" s="10" t="s">
        <v>35170</v>
      </c>
      <c r="F7515" s="10" t="s">
        <v>35171</v>
      </c>
      <c r="G7515" s="10" t="s">
        <v>6317</v>
      </c>
      <c r="H7515" s="11">
        <v>41730</v>
      </c>
      <c r="I7515" s="10">
        <v>2014</v>
      </c>
      <c r="J7515" s="10" t="s">
        <v>35170</v>
      </c>
      <c r="K7515" s="10">
        <v>192</v>
      </c>
      <c r="L7515" s="10" t="s">
        <v>35605</v>
      </c>
      <c r="M7515" s="10">
        <v>1</v>
      </c>
      <c r="N7515" s="10"/>
      <c r="O7515" s="10"/>
      <c r="P7515" s="10" t="s">
        <v>35606</v>
      </c>
      <c r="Q7515" s="10">
        <v>371.2</v>
      </c>
      <c r="R7515" s="10"/>
      <c r="S7515" s="10" t="s">
        <v>53</v>
      </c>
      <c r="T7515" s="10" t="s">
        <v>54</v>
      </c>
    </row>
    <row r="7516" spans="1:20" ht="14.5" x14ac:dyDescent="0.35">
      <c r="A7516" s="10" t="s">
        <v>35607</v>
      </c>
      <c r="B7516" s="10" t="str">
        <f>"9781623964993"</f>
        <v>9781623964993</v>
      </c>
      <c r="C7516" s="10" t="str">
        <f>"9781623965013"</f>
        <v>9781623965013</v>
      </c>
      <c r="D7516" s="10" t="s">
        <v>274</v>
      </c>
      <c r="E7516" s="10" t="s">
        <v>35170</v>
      </c>
      <c r="F7516" s="10" t="s">
        <v>35171</v>
      </c>
      <c r="G7516" s="10" t="s">
        <v>6317</v>
      </c>
      <c r="H7516" s="11">
        <v>41640</v>
      </c>
      <c r="I7516" s="10">
        <v>2014</v>
      </c>
      <c r="J7516" s="10" t="s">
        <v>35170</v>
      </c>
      <c r="K7516" s="10">
        <v>274</v>
      </c>
      <c r="L7516" s="10" t="s">
        <v>35608</v>
      </c>
      <c r="M7516" s="10">
        <v>1</v>
      </c>
      <c r="N7516" s="10"/>
      <c r="O7516" s="10"/>
      <c r="P7516" s="10" t="s">
        <v>35609</v>
      </c>
      <c r="Q7516" s="10" t="s">
        <v>8800</v>
      </c>
      <c r="R7516" s="10"/>
      <c r="S7516" s="10" t="s">
        <v>53</v>
      </c>
      <c r="T7516" s="10" t="s">
        <v>6526</v>
      </c>
    </row>
    <row r="7517" spans="1:20" ht="14.5" x14ac:dyDescent="0.35">
      <c r="A7517" s="10" t="s">
        <v>35610</v>
      </c>
      <c r="B7517" s="10" t="str">
        <f>"9781623964948"</f>
        <v>9781623964948</v>
      </c>
      <c r="C7517" s="10" t="str">
        <f>"9781623964955"</f>
        <v>9781623964955</v>
      </c>
      <c r="D7517" s="10" t="s">
        <v>274</v>
      </c>
      <c r="E7517" s="10" t="s">
        <v>35170</v>
      </c>
      <c r="F7517" s="10" t="s">
        <v>35171</v>
      </c>
      <c r="G7517" s="10" t="s">
        <v>6317</v>
      </c>
      <c r="H7517" s="11">
        <v>41671</v>
      </c>
      <c r="I7517" s="10">
        <v>2014</v>
      </c>
      <c r="J7517" s="10" t="s">
        <v>35170</v>
      </c>
      <c r="K7517" s="10">
        <v>394</v>
      </c>
      <c r="L7517" s="10" t="s">
        <v>35611</v>
      </c>
      <c r="M7517" s="10">
        <v>1</v>
      </c>
      <c r="N7517" s="10" t="s">
        <v>35612</v>
      </c>
      <c r="O7517" s="10"/>
      <c r="P7517" s="10" t="s">
        <v>35613</v>
      </c>
      <c r="Q7517" s="10" t="s">
        <v>8381</v>
      </c>
      <c r="R7517" s="10" t="s">
        <v>35614</v>
      </c>
      <c r="S7517" s="10" t="s">
        <v>53</v>
      </c>
      <c r="T7517" s="10" t="s">
        <v>54</v>
      </c>
    </row>
    <row r="7518" spans="1:20" ht="14.5" x14ac:dyDescent="0.35">
      <c r="A7518" s="10" t="s">
        <v>35615</v>
      </c>
      <c r="B7518" s="10" t="str">
        <f>"9781623965907"</f>
        <v>9781623965907</v>
      </c>
      <c r="C7518" s="10" t="str">
        <f>"9781623965914"</f>
        <v>9781623965914</v>
      </c>
      <c r="D7518" s="10" t="s">
        <v>274</v>
      </c>
      <c r="E7518" s="10" t="s">
        <v>35170</v>
      </c>
      <c r="F7518" s="10" t="s">
        <v>35171</v>
      </c>
      <c r="G7518" s="10" t="s">
        <v>6317</v>
      </c>
      <c r="H7518" s="11">
        <v>41760</v>
      </c>
      <c r="I7518" s="10">
        <v>2014</v>
      </c>
      <c r="J7518" s="10" t="s">
        <v>35170</v>
      </c>
      <c r="K7518" s="10">
        <v>269</v>
      </c>
      <c r="L7518" s="10" t="s">
        <v>35616</v>
      </c>
      <c r="M7518" s="10">
        <v>1</v>
      </c>
      <c r="N7518" s="10" t="s">
        <v>35480</v>
      </c>
      <c r="O7518" s="10"/>
      <c r="P7518" s="10" t="s">
        <v>35617</v>
      </c>
      <c r="Q7518" s="10">
        <v>378.19829951073001</v>
      </c>
      <c r="R7518" s="10" t="s">
        <v>35618</v>
      </c>
      <c r="S7518" s="10" t="s">
        <v>53</v>
      </c>
      <c r="T7518" s="10" t="s">
        <v>54</v>
      </c>
    </row>
    <row r="7519" spans="1:20" ht="14.5" x14ac:dyDescent="0.35">
      <c r="A7519" s="10" t="s">
        <v>35619</v>
      </c>
      <c r="B7519" s="10" t="str">
        <f>"9781623965266"</f>
        <v>9781623965266</v>
      </c>
      <c r="C7519" s="10" t="str">
        <f>"9781623965280"</f>
        <v>9781623965280</v>
      </c>
      <c r="D7519" s="10" t="s">
        <v>274</v>
      </c>
      <c r="E7519" s="10" t="s">
        <v>35170</v>
      </c>
      <c r="F7519" s="10" t="s">
        <v>35171</v>
      </c>
      <c r="G7519" s="10" t="s">
        <v>6317</v>
      </c>
      <c r="H7519" s="11">
        <v>41730</v>
      </c>
      <c r="I7519" s="10">
        <v>2014</v>
      </c>
      <c r="J7519" s="10" t="s">
        <v>35170</v>
      </c>
      <c r="K7519" s="10">
        <v>464</v>
      </c>
      <c r="L7519" s="10" t="s">
        <v>35620</v>
      </c>
      <c r="M7519" s="10">
        <v>1</v>
      </c>
      <c r="N7519" s="10" t="s">
        <v>35375</v>
      </c>
      <c r="O7519" s="10"/>
      <c r="P7519" s="10" t="s">
        <v>35621</v>
      </c>
      <c r="Q7519" s="10">
        <v>371.33</v>
      </c>
      <c r="R7519" s="10" t="s">
        <v>35622</v>
      </c>
      <c r="S7519" s="10" t="s">
        <v>53</v>
      </c>
      <c r="T7519" s="10" t="s">
        <v>54</v>
      </c>
    </row>
    <row r="7520" spans="1:20" ht="14.5" x14ac:dyDescent="0.35">
      <c r="A7520" s="10" t="s">
        <v>35623</v>
      </c>
      <c r="B7520" s="10" t="str">
        <f>"9781623966522"</f>
        <v>9781623966522</v>
      </c>
      <c r="C7520" s="10" t="str">
        <f>"9781623966546"</f>
        <v>9781623966546</v>
      </c>
      <c r="D7520" s="10" t="s">
        <v>274</v>
      </c>
      <c r="E7520" s="10" t="s">
        <v>35170</v>
      </c>
      <c r="F7520" s="10" t="s">
        <v>35171</v>
      </c>
      <c r="G7520" s="10" t="s">
        <v>6317</v>
      </c>
      <c r="H7520" s="11">
        <v>41821</v>
      </c>
      <c r="I7520" s="10">
        <v>2014</v>
      </c>
      <c r="J7520" s="10" t="s">
        <v>35170</v>
      </c>
      <c r="K7520" s="10">
        <v>122</v>
      </c>
      <c r="L7520" s="10" t="s">
        <v>35624</v>
      </c>
      <c r="M7520" s="10">
        <v>1</v>
      </c>
      <c r="N7520" s="10"/>
      <c r="O7520" s="10"/>
      <c r="P7520" s="10" t="s">
        <v>35625</v>
      </c>
      <c r="Q7520" s="10" t="s">
        <v>13135</v>
      </c>
      <c r="R7520" s="10" t="s">
        <v>35626</v>
      </c>
      <c r="S7520" s="10" t="s">
        <v>53</v>
      </c>
      <c r="T7520" s="10" t="s">
        <v>8424</v>
      </c>
    </row>
    <row r="7521" spans="1:20" ht="14.5" x14ac:dyDescent="0.35">
      <c r="A7521" s="10" t="s">
        <v>35627</v>
      </c>
      <c r="B7521" s="10" t="str">
        <f>"9781623965983"</f>
        <v>9781623965983</v>
      </c>
      <c r="C7521" s="10" t="str">
        <f>"9781623966003"</f>
        <v>9781623966003</v>
      </c>
      <c r="D7521" s="10" t="s">
        <v>274</v>
      </c>
      <c r="E7521" s="10" t="s">
        <v>35170</v>
      </c>
      <c r="F7521" s="10" t="s">
        <v>35171</v>
      </c>
      <c r="G7521" s="10" t="s">
        <v>6317</v>
      </c>
      <c r="H7521" s="11">
        <v>41730</v>
      </c>
      <c r="I7521" s="10">
        <v>2014</v>
      </c>
      <c r="J7521" s="10" t="s">
        <v>35170</v>
      </c>
      <c r="K7521" s="10">
        <v>170</v>
      </c>
      <c r="L7521" s="10" t="s">
        <v>35628</v>
      </c>
      <c r="M7521" s="10">
        <v>1</v>
      </c>
      <c r="N7521" s="10" t="s">
        <v>35629</v>
      </c>
      <c r="O7521" s="10"/>
      <c r="P7521" s="10" t="s">
        <v>35630</v>
      </c>
      <c r="Q7521" s="10">
        <v>372.83</v>
      </c>
      <c r="R7521" s="10" t="s">
        <v>35631</v>
      </c>
      <c r="S7521" s="10" t="s">
        <v>53</v>
      </c>
      <c r="T7521" s="10" t="s">
        <v>54</v>
      </c>
    </row>
    <row r="7522" spans="1:20" ht="14.5" x14ac:dyDescent="0.35">
      <c r="A7522" s="10" t="s">
        <v>35632</v>
      </c>
      <c r="B7522" s="10" t="str">
        <f>"9781623965778"</f>
        <v>9781623965778</v>
      </c>
      <c r="C7522" s="10" t="str">
        <f>"9781623965792"</f>
        <v>9781623965792</v>
      </c>
      <c r="D7522" s="10" t="s">
        <v>274</v>
      </c>
      <c r="E7522" s="10" t="s">
        <v>35170</v>
      </c>
      <c r="F7522" s="10" t="s">
        <v>35171</v>
      </c>
      <c r="G7522" s="10" t="s">
        <v>6317</v>
      </c>
      <c r="H7522" s="11">
        <v>41730</v>
      </c>
      <c r="I7522" s="10">
        <v>2014</v>
      </c>
      <c r="J7522" s="10" t="s">
        <v>35170</v>
      </c>
      <c r="K7522" s="10">
        <v>207</v>
      </c>
      <c r="L7522" s="10" t="s">
        <v>35633</v>
      </c>
      <c r="M7522" s="10">
        <v>1</v>
      </c>
      <c r="N7522" s="10" t="s">
        <v>35254</v>
      </c>
      <c r="O7522" s="10"/>
      <c r="P7522" s="10" t="s">
        <v>35634</v>
      </c>
      <c r="Q7522" s="10">
        <v>373.19097299999999</v>
      </c>
      <c r="R7522" s="10" t="s">
        <v>35635</v>
      </c>
      <c r="S7522" s="10" t="s">
        <v>53</v>
      </c>
      <c r="T7522" s="10" t="s">
        <v>54</v>
      </c>
    </row>
    <row r="7523" spans="1:20" ht="14.5" x14ac:dyDescent="0.35">
      <c r="A7523" s="10" t="s">
        <v>35636</v>
      </c>
      <c r="B7523" s="10" t="str">
        <f>"9781623966973"</f>
        <v>9781623966973</v>
      </c>
      <c r="C7523" s="10" t="str">
        <f>"9781623966997"</f>
        <v>9781623966997</v>
      </c>
      <c r="D7523" s="10" t="s">
        <v>274</v>
      </c>
      <c r="E7523" s="10" t="s">
        <v>35170</v>
      </c>
      <c r="F7523" s="10" t="s">
        <v>35171</v>
      </c>
      <c r="G7523" s="10" t="s">
        <v>6317</v>
      </c>
      <c r="H7523" s="11">
        <v>41852</v>
      </c>
      <c r="I7523" s="10">
        <v>2014</v>
      </c>
      <c r="J7523" s="10" t="s">
        <v>35170</v>
      </c>
      <c r="K7523" s="10">
        <v>351</v>
      </c>
      <c r="L7523" s="10" t="s">
        <v>35637</v>
      </c>
      <c r="M7523" s="10">
        <v>1</v>
      </c>
      <c r="N7523" s="10" t="s">
        <v>35515</v>
      </c>
      <c r="O7523" s="10"/>
      <c r="P7523" s="10" t="s">
        <v>35638</v>
      </c>
      <c r="Q7523" s="10">
        <v>370</v>
      </c>
      <c r="R7523" s="10" t="s">
        <v>35639</v>
      </c>
      <c r="S7523" s="10" t="s">
        <v>53</v>
      </c>
      <c r="T7523" s="10" t="s">
        <v>54</v>
      </c>
    </row>
    <row r="7524" spans="1:20" ht="14.5" x14ac:dyDescent="0.35">
      <c r="A7524" s="10" t="s">
        <v>35640</v>
      </c>
      <c r="B7524" s="10" t="str">
        <f>"9781623966850"</f>
        <v>9781623966850</v>
      </c>
      <c r="C7524" s="10" t="str">
        <f>"9781623966874"</f>
        <v>9781623966874</v>
      </c>
      <c r="D7524" s="10" t="s">
        <v>274</v>
      </c>
      <c r="E7524" s="10" t="s">
        <v>35170</v>
      </c>
      <c r="F7524" s="10" t="s">
        <v>35171</v>
      </c>
      <c r="G7524" s="10" t="s">
        <v>6317</v>
      </c>
      <c r="H7524" s="11">
        <v>41821</v>
      </c>
      <c r="I7524" s="10">
        <v>2014</v>
      </c>
      <c r="J7524" s="10" t="s">
        <v>35170</v>
      </c>
      <c r="K7524" s="10">
        <v>333</v>
      </c>
      <c r="L7524" s="10" t="s">
        <v>35641</v>
      </c>
      <c r="M7524" s="10">
        <v>1</v>
      </c>
      <c r="N7524" s="10"/>
      <c r="O7524" s="10"/>
      <c r="P7524" s="10" t="s">
        <v>35642</v>
      </c>
      <c r="Q7524" s="10" t="s">
        <v>35643</v>
      </c>
      <c r="R7524" s="10" t="s">
        <v>35644</v>
      </c>
      <c r="S7524" s="10" t="s">
        <v>53</v>
      </c>
      <c r="T7524" s="10" t="s">
        <v>35645</v>
      </c>
    </row>
    <row r="7525" spans="1:20" ht="14.5" x14ac:dyDescent="0.35">
      <c r="A7525" s="10" t="s">
        <v>35646</v>
      </c>
      <c r="B7525" s="10" t="str">
        <f>"9781623966911"</f>
        <v>9781623966911</v>
      </c>
      <c r="C7525" s="10" t="str">
        <f>"9781623966935"</f>
        <v>9781623966935</v>
      </c>
      <c r="D7525" s="10" t="s">
        <v>274</v>
      </c>
      <c r="E7525" s="10" t="s">
        <v>35170</v>
      </c>
      <c r="F7525" s="10" t="s">
        <v>35171</v>
      </c>
      <c r="G7525" s="10" t="s">
        <v>6317</v>
      </c>
      <c r="H7525" s="11">
        <v>41852</v>
      </c>
      <c r="I7525" s="10">
        <v>2014</v>
      </c>
      <c r="J7525" s="10" t="s">
        <v>35170</v>
      </c>
      <c r="K7525" s="10">
        <v>227</v>
      </c>
      <c r="L7525" s="10" t="s">
        <v>35647</v>
      </c>
      <c r="M7525" s="10">
        <v>1</v>
      </c>
      <c r="N7525" s="10" t="s">
        <v>35291</v>
      </c>
      <c r="O7525" s="10"/>
      <c r="P7525" s="10"/>
      <c r="Q7525" s="10" t="s">
        <v>35648</v>
      </c>
      <c r="R7525" s="10"/>
      <c r="S7525" s="10" t="s">
        <v>53</v>
      </c>
      <c r="T7525" s="10" t="s">
        <v>6363</v>
      </c>
    </row>
    <row r="7526" spans="1:20" ht="14.5" x14ac:dyDescent="0.35">
      <c r="A7526" s="10" t="s">
        <v>35649</v>
      </c>
      <c r="B7526" s="10" t="str">
        <f>"9781623966379"</f>
        <v>9781623966379</v>
      </c>
      <c r="C7526" s="10" t="str">
        <f>"9781623966393"</f>
        <v>9781623966393</v>
      </c>
      <c r="D7526" s="10" t="s">
        <v>274</v>
      </c>
      <c r="E7526" s="10" t="s">
        <v>35170</v>
      </c>
      <c r="F7526" s="10" t="s">
        <v>35171</v>
      </c>
      <c r="G7526" s="10" t="s">
        <v>6317</v>
      </c>
      <c r="H7526" s="11">
        <v>41760</v>
      </c>
      <c r="I7526" s="10">
        <v>2014</v>
      </c>
      <c r="J7526" s="10" t="s">
        <v>35170</v>
      </c>
      <c r="K7526" s="10">
        <v>125</v>
      </c>
      <c r="L7526" s="10" t="s">
        <v>35650</v>
      </c>
      <c r="M7526" s="10">
        <v>1</v>
      </c>
      <c r="N7526" s="10"/>
      <c r="O7526" s="10"/>
      <c r="P7526" s="10" t="s">
        <v>35651</v>
      </c>
      <c r="Q7526" s="10" t="s">
        <v>18149</v>
      </c>
      <c r="R7526" s="10" t="s">
        <v>35652</v>
      </c>
      <c r="S7526" s="10" t="s">
        <v>53</v>
      </c>
      <c r="T7526" s="10" t="s">
        <v>54</v>
      </c>
    </row>
    <row r="7527" spans="1:20" ht="14.5" x14ac:dyDescent="0.35">
      <c r="A7527" s="10" t="s">
        <v>35653</v>
      </c>
      <c r="B7527" s="10" t="str">
        <f>"9781623966195"</f>
        <v>9781623966195</v>
      </c>
      <c r="C7527" s="10" t="str">
        <f>"9781623966218"</f>
        <v>9781623966218</v>
      </c>
      <c r="D7527" s="10" t="s">
        <v>274</v>
      </c>
      <c r="E7527" s="10" t="s">
        <v>35170</v>
      </c>
      <c r="F7527" s="10" t="s">
        <v>35171</v>
      </c>
      <c r="G7527" s="10" t="s">
        <v>6317</v>
      </c>
      <c r="H7527" s="11">
        <v>41730</v>
      </c>
      <c r="I7527" s="10">
        <v>2014</v>
      </c>
      <c r="J7527" s="10" t="s">
        <v>35170</v>
      </c>
      <c r="K7527" s="10">
        <v>374</v>
      </c>
      <c r="L7527" s="10" t="s">
        <v>35654</v>
      </c>
      <c r="M7527" s="10">
        <v>1</v>
      </c>
      <c r="N7527" s="10" t="s">
        <v>35655</v>
      </c>
      <c r="O7527" s="10"/>
      <c r="P7527" s="10" t="s">
        <v>35656</v>
      </c>
      <c r="Q7527" s="10" t="s">
        <v>35657</v>
      </c>
      <c r="R7527" s="10" t="s">
        <v>35658</v>
      </c>
      <c r="S7527" s="10" t="s">
        <v>53</v>
      </c>
      <c r="T7527" s="10" t="s">
        <v>35659</v>
      </c>
    </row>
    <row r="7528" spans="1:20" ht="14.5" x14ac:dyDescent="0.35">
      <c r="A7528" s="10" t="s">
        <v>35660</v>
      </c>
      <c r="B7528" s="10" t="str">
        <f>"9781623965020"</f>
        <v>9781623965020</v>
      </c>
      <c r="C7528" s="10" t="str">
        <f>"9781623965044"</f>
        <v>9781623965044</v>
      </c>
      <c r="D7528" s="10" t="s">
        <v>274</v>
      </c>
      <c r="E7528" s="10" t="s">
        <v>35170</v>
      </c>
      <c r="F7528" s="10" t="s">
        <v>35171</v>
      </c>
      <c r="G7528" s="10" t="s">
        <v>6317</v>
      </c>
      <c r="H7528" s="11">
        <v>41640</v>
      </c>
      <c r="I7528" s="10">
        <v>2014</v>
      </c>
      <c r="J7528" s="10" t="s">
        <v>35170</v>
      </c>
      <c r="K7528" s="10">
        <v>179</v>
      </c>
      <c r="L7528" s="10" t="s">
        <v>35661</v>
      </c>
      <c r="M7528" s="10">
        <v>1</v>
      </c>
      <c r="N7528" s="10" t="s">
        <v>35249</v>
      </c>
      <c r="O7528" s="10"/>
      <c r="P7528" s="10" t="s">
        <v>35662</v>
      </c>
      <c r="Q7528" s="10">
        <v>378.00819999999999</v>
      </c>
      <c r="R7528" s="10" t="s">
        <v>35663</v>
      </c>
      <c r="S7528" s="10" t="s">
        <v>53</v>
      </c>
      <c r="T7528" s="10" t="s">
        <v>54</v>
      </c>
    </row>
    <row r="7529" spans="1:20" ht="14.5" x14ac:dyDescent="0.35">
      <c r="A7529" s="10" t="s">
        <v>35664</v>
      </c>
      <c r="B7529" s="10" t="str">
        <f>"9781623967062"</f>
        <v>9781623967062</v>
      </c>
      <c r="C7529" s="10" t="str">
        <f>"9781623967086"</f>
        <v>9781623967086</v>
      </c>
      <c r="D7529" s="10" t="s">
        <v>274</v>
      </c>
      <c r="E7529" s="10" t="s">
        <v>35170</v>
      </c>
      <c r="F7529" s="10" t="s">
        <v>35171</v>
      </c>
      <c r="G7529" s="10" t="s">
        <v>6317</v>
      </c>
      <c r="H7529" s="11">
        <v>41852</v>
      </c>
      <c r="I7529" s="10">
        <v>2014</v>
      </c>
      <c r="J7529" s="10" t="s">
        <v>35170</v>
      </c>
      <c r="K7529" s="10">
        <v>81</v>
      </c>
      <c r="L7529" s="10" t="s">
        <v>35665</v>
      </c>
      <c r="M7529" s="10">
        <v>1</v>
      </c>
      <c r="N7529" s="10"/>
      <c r="O7529" s="10"/>
      <c r="P7529" s="10" t="s">
        <v>35666</v>
      </c>
      <c r="Q7529" s="10">
        <v>371.2011</v>
      </c>
      <c r="R7529" s="10" t="s">
        <v>35667</v>
      </c>
      <c r="S7529" s="10" t="s">
        <v>53</v>
      </c>
      <c r="T7529" s="10" t="s">
        <v>54</v>
      </c>
    </row>
    <row r="7530" spans="1:20" ht="14.5" x14ac:dyDescent="0.35">
      <c r="A7530" s="10" t="s">
        <v>35668</v>
      </c>
      <c r="B7530" s="10" t="str">
        <f>"9781623967000"</f>
        <v>9781623967000</v>
      </c>
      <c r="C7530" s="10" t="str">
        <f>"9781623967024"</f>
        <v>9781623967024</v>
      </c>
      <c r="D7530" s="10" t="s">
        <v>274</v>
      </c>
      <c r="E7530" s="10" t="s">
        <v>35170</v>
      </c>
      <c r="F7530" s="10" t="s">
        <v>35171</v>
      </c>
      <c r="G7530" s="10" t="s">
        <v>6317</v>
      </c>
      <c r="H7530" s="11">
        <v>41793</v>
      </c>
      <c r="I7530" s="10">
        <v>2014</v>
      </c>
      <c r="J7530" s="10" t="s">
        <v>35170</v>
      </c>
      <c r="K7530" s="10">
        <v>501</v>
      </c>
      <c r="L7530" s="10" t="s">
        <v>35669</v>
      </c>
      <c r="M7530" s="10">
        <v>1</v>
      </c>
      <c r="N7530" s="10" t="s">
        <v>35670</v>
      </c>
      <c r="O7530" s="10"/>
      <c r="P7530" s="10" t="s">
        <v>35671</v>
      </c>
      <c r="Q7530" s="10">
        <v>510.71</v>
      </c>
      <c r="R7530" s="10" t="s">
        <v>35672</v>
      </c>
      <c r="S7530" s="10" t="s">
        <v>53</v>
      </c>
      <c r="T7530" s="10" t="s">
        <v>389</v>
      </c>
    </row>
    <row r="7531" spans="1:20" ht="14.5" x14ac:dyDescent="0.35">
      <c r="A7531" s="10" t="s">
        <v>35673</v>
      </c>
      <c r="B7531" s="10" t="str">
        <f>"9781623966645"</f>
        <v>9781623966645</v>
      </c>
      <c r="C7531" s="10" t="str">
        <f>"9781623966669"</f>
        <v>9781623966669</v>
      </c>
      <c r="D7531" s="10" t="s">
        <v>274</v>
      </c>
      <c r="E7531" s="10" t="s">
        <v>35170</v>
      </c>
      <c r="F7531" s="10" t="s">
        <v>35171</v>
      </c>
      <c r="G7531" s="10" t="s">
        <v>6317</v>
      </c>
      <c r="H7531" s="11">
        <v>41821</v>
      </c>
      <c r="I7531" s="10">
        <v>2014</v>
      </c>
      <c r="J7531" s="10" t="s">
        <v>35170</v>
      </c>
      <c r="K7531" s="10">
        <v>268</v>
      </c>
      <c r="L7531" s="10" t="s">
        <v>35674</v>
      </c>
      <c r="M7531" s="10">
        <v>1</v>
      </c>
      <c r="N7531" s="10" t="s">
        <v>35213</v>
      </c>
      <c r="O7531" s="10"/>
      <c r="P7531" s="10" t="s">
        <v>35675</v>
      </c>
      <c r="Q7531" s="10">
        <v>616.85519999999997</v>
      </c>
      <c r="R7531" s="10" t="s">
        <v>35676</v>
      </c>
      <c r="S7531" s="10" t="s">
        <v>53</v>
      </c>
      <c r="T7531" s="10" t="s">
        <v>8625</v>
      </c>
    </row>
    <row r="7532" spans="1:20" ht="14.5" x14ac:dyDescent="0.35">
      <c r="A7532" s="10" t="s">
        <v>35677</v>
      </c>
      <c r="B7532" s="10" t="str">
        <f>"9781623967475"</f>
        <v>9781623967475</v>
      </c>
      <c r="C7532" s="10" t="str">
        <f>"9781623967499"</f>
        <v>9781623967499</v>
      </c>
      <c r="D7532" s="10" t="s">
        <v>274</v>
      </c>
      <c r="E7532" s="10" t="s">
        <v>35170</v>
      </c>
      <c r="F7532" s="10" t="s">
        <v>35171</v>
      </c>
      <c r="G7532" s="10" t="s">
        <v>6317</v>
      </c>
      <c r="H7532" s="11">
        <v>41974</v>
      </c>
      <c r="I7532" s="10">
        <v>2014</v>
      </c>
      <c r="J7532" s="10" t="s">
        <v>35170</v>
      </c>
      <c r="K7532" s="10">
        <v>290</v>
      </c>
      <c r="L7532" s="10" t="s">
        <v>35678</v>
      </c>
      <c r="M7532" s="10">
        <v>1</v>
      </c>
      <c r="N7532" s="10" t="s">
        <v>35679</v>
      </c>
      <c r="O7532" s="10"/>
      <c r="P7532" s="10" t="s">
        <v>35680</v>
      </c>
      <c r="Q7532" s="10"/>
      <c r="R7532" s="10"/>
      <c r="S7532" s="10" t="s">
        <v>53</v>
      </c>
      <c r="T7532" s="10" t="s">
        <v>54</v>
      </c>
    </row>
    <row r="7533" spans="1:20" ht="14.5" x14ac:dyDescent="0.35">
      <c r="A7533" s="10" t="s">
        <v>35681</v>
      </c>
      <c r="B7533" s="10" t="str">
        <f>"9781623965686"</f>
        <v>9781623965686</v>
      </c>
      <c r="C7533" s="10" t="str">
        <f>"9781623965709"</f>
        <v>9781623965709</v>
      </c>
      <c r="D7533" s="10" t="s">
        <v>274</v>
      </c>
      <c r="E7533" s="10" t="s">
        <v>35170</v>
      </c>
      <c r="F7533" s="10" t="s">
        <v>35171</v>
      </c>
      <c r="G7533" s="10" t="s">
        <v>6317</v>
      </c>
      <c r="H7533" s="11">
        <v>41730</v>
      </c>
      <c r="I7533" s="10">
        <v>2014</v>
      </c>
      <c r="J7533" s="10" t="s">
        <v>35170</v>
      </c>
      <c r="K7533" s="10">
        <v>287</v>
      </c>
      <c r="L7533" s="10" t="s">
        <v>35682</v>
      </c>
      <c r="M7533" s="10">
        <v>1</v>
      </c>
      <c r="N7533" s="10"/>
      <c r="O7533" s="10"/>
      <c r="P7533" s="10" t="s">
        <v>35683</v>
      </c>
      <c r="Q7533" s="10">
        <v>372.7</v>
      </c>
      <c r="R7533" s="10" t="s">
        <v>35684</v>
      </c>
      <c r="S7533" s="10" t="s">
        <v>53</v>
      </c>
      <c r="T7533" s="10" t="s">
        <v>7425</v>
      </c>
    </row>
    <row r="7534" spans="1:20" ht="14.5" x14ac:dyDescent="0.35">
      <c r="A7534" s="10" t="s">
        <v>35685</v>
      </c>
      <c r="B7534" s="10" t="str">
        <f>"9781623967628"</f>
        <v>9781623967628</v>
      </c>
      <c r="C7534" s="10" t="str">
        <f>"9781623967642"</f>
        <v>9781623967642</v>
      </c>
      <c r="D7534" s="10" t="s">
        <v>274</v>
      </c>
      <c r="E7534" s="10" t="s">
        <v>35170</v>
      </c>
      <c r="F7534" s="10" t="s">
        <v>35171</v>
      </c>
      <c r="G7534" s="10" t="s">
        <v>6317</v>
      </c>
      <c r="H7534" s="11">
        <v>41974</v>
      </c>
      <c r="I7534" s="10">
        <v>2014</v>
      </c>
      <c r="J7534" s="10" t="s">
        <v>35170</v>
      </c>
      <c r="K7534" s="10">
        <v>467</v>
      </c>
      <c r="L7534" s="10" t="s">
        <v>35686</v>
      </c>
      <c r="M7534" s="10">
        <v>1</v>
      </c>
      <c r="N7534" s="10" t="s">
        <v>35200</v>
      </c>
      <c r="O7534" s="10"/>
      <c r="P7534" s="10" t="s">
        <v>35687</v>
      </c>
      <c r="Q7534" s="10" t="s">
        <v>8748</v>
      </c>
      <c r="R7534" s="10" t="s">
        <v>35688</v>
      </c>
      <c r="S7534" s="10" t="s">
        <v>53</v>
      </c>
      <c r="T7534" s="10" t="s">
        <v>54</v>
      </c>
    </row>
    <row r="7535" spans="1:20" ht="14.5" x14ac:dyDescent="0.35">
      <c r="A7535" s="10" t="s">
        <v>35689</v>
      </c>
      <c r="B7535" s="10" t="str">
        <f>"9781623967413"</f>
        <v>9781623967413</v>
      </c>
      <c r="C7535" s="10" t="str">
        <f>"9781623967437"</f>
        <v>9781623967437</v>
      </c>
      <c r="D7535" s="10" t="s">
        <v>274</v>
      </c>
      <c r="E7535" s="10" t="s">
        <v>35170</v>
      </c>
      <c r="F7535" s="10" t="s">
        <v>35171</v>
      </c>
      <c r="G7535" s="10" t="s">
        <v>6317</v>
      </c>
      <c r="H7535" s="11">
        <v>41974</v>
      </c>
      <c r="I7535" s="10">
        <v>2014</v>
      </c>
      <c r="J7535" s="10" t="s">
        <v>35170</v>
      </c>
      <c r="K7535" s="10">
        <v>223</v>
      </c>
      <c r="L7535" s="10" t="s">
        <v>35690</v>
      </c>
      <c r="M7535" s="10">
        <v>1</v>
      </c>
      <c r="N7535" s="10" t="s">
        <v>35691</v>
      </c>
      <c r="O7535" s="10"/>
      <c r="P7535" s="10" t="s">
        <v>35692</v>
      </c>
      <c r="Q7535" s="10">
        <v>379.6</v>
      </c>
      <c r="R7535" s="10" t="s">
        <v>35693</v>
      </c>
      <c r="S7535" s="10" t="s">
        <v>53</v>
      </c>
      <c r="T7535" s="10" t="s">
        <v>54</v>
      </c>
    </row>
    <row r="7536" spans="1:20" ht="14.5" x14ac:dyDescent="0.35">
      <c r="A7536" s="10" t="s">
        <v>35694</v>
      </c>
      <c r="B7536" s="10" t="str">
        <f>"9781623966942"</f>
        <v>9781623966942</v>
      </c>
      <c r="C7536" s="10" t="str">
        <f>"9781623966966"</f>
        <v>9781623966966</v>
      </c>
      <c r="D7536" s="10" t="s">
        <v>274</v>
      </c>
      <c r="E7536" s="10" t="s">
        <v>35170</v>
      </c>
      <c r="F7536" s="10" t="s">
        <v>35171</v>
      </c>
      <c r="G7536" s="10" t="s">
        <v>6317</v>
      </c>
      <c r="H7536" s="11">
        <v>41852</v>
      </c>
      <c r="I7536" s="10">
        <v>2014</v>
      </c>
      <c r="J7536" s="10" t="s">
        <v>35170</v>
      </c>
      <c r="K7536" s="10">
        <v>279</v>
      </c>
      <c r="L7536" s="10" t="s">
        <v>35695</v>
      </c>
      <c r="M7536" s="10">
        <v>1</v>
      </c>
      <c r="N7536" s="10"/>
      <c r="O7536" s="10"/>
      <c r="P7536" s="10" t="s">
        <v>35696</v>
      </c>
      <c r="Q7536" s="10">
        <v>519.50285536900003</v>
      </c>
      <c r="R7536" s="10" t="s">
        <v>35697</v>
      </c>
      <c r="S7536" s="10" t="s">
        <v>53</v>
      </c>
      <c r="T7536" s="10" t="s">
        <v>389</v>
      </c>
    </row>
    <row r="7537" spans="1:20" ht="14.5" x14ac:dyDescent="0.35">
      <c r="A7537" s="10" t="s">
        <v>35698</v>
      </c>
      <c r="B7537" s="10" t="str">
        <f>"9781623967505"</f>
        <v>9781623967505</v>
      </c>
      <c r="C7537" s="10" t="str">
        <f>"9781623967529"</f>
        <v>9781623967529</v>
      </c>
      <c r="D7537" s="10" t="s">
        <v>274</v>
      </c>
      <c r="E7537" s="10" t="s">
        <v>35170</v>
      </c>
      <c r="F7537" s="10" t="s">
        <v>35171</v>
      </c>
      <c r="G7537" s="10" t="s">
        <v>6317</v>
      </c>
      <c r="H7537" s="11">
        <v>41974</v>
      </c>
      <c r="I7537" s="10">
        <v>2014</v>
      </c>
      <c r="J7537" s="10" t="s">
        <v>35170</v>
      </c>
      <c r="K7537" s="10">
        <v>542</v>
      </c>
      <c r="L7537" s="10" t="s">
        <v>35699</v>
      </c>
      <c r="M7537" s="10">
        <v>1</v>
      </c>
      <c r="N7537" s="10" t="s">
        <v>35700</v>
      </c>
      <c r="O7537" s="10"/>
      <c r="P7537" s="10" t="s">
        <v>35701</v>
      </c>
      <c r="Q7537" s="10">
        <v>507.1</v>
      </c>
      <c r="R7537" s="10" t="s">
        <v>33559</v>
      </c>
      <c r="S7537" s="10" t="s">
        <v>53</v>
      </c>
      <c r="T7537" s="10" t="s">
        <v>9608</v>
      </c>
    </row>
    <row r="7538" spans="1:20" ht="14.5" x14ac:dyDescent="0.35">
      <c r="A7538" s="10" t="s">
        <v>35702</v>
      </c>
      <c r="B7538" s="10" t="str">
        <f>"9781623967031"</f>
        <v>9781623967031</v>
      </c>
      <c r="C7538" s="10" t="str">
        <f>"9781623967055"</f>
        <v>9781623967055</v>
      </c>
      <c r="D7538" s="10" t="s">
        <v>274</v>
      </c>
      <c r="E7538" s="10" t="s">
        <v>35170</v>
      </c>
      <c r="F7538" s="10" t="s">
        <v>35171</v>
      </c>
      <c r="G7538" s="10" t="s">
        <v>6317</v>
      </c>
      <c r="H7538" s="11">
        <v>41793</v>
      </c>
      <c r="I7538" s="10">
        <v>2014</v>
      </c>
      <c r="J7538" s="10" t="s">
        <v>35170</v>
      </c>
      <c r="K7538" s="10">
        <v>358</v>
      </c>
      <c r="L7538" s="10" t="s">
        <v>35703</v>
      </c>
      <c r="M7538" s="10">
        <v>1</v>
      </c>
      <c r="N7538" s="10" t="s">
        <v>35554</v>
      </c>
      <c r="O7538" s="10"/>
      <c r="P7538" s="10" t="s">
        <v>35704</v>
      </c>
      <c r="Q7538" s="10">
        <v>376.65</v>
      </c>
      <c r="R7538" s="10" t="s">
        <v>35705</v>
      </c>
      <c r="S7538" s="10" t="s">
        <v>53</v>
      </c>
      <c r="T7538" s="10" t="s">
        <v>54</v>
      </c>
    </row>
    <row r="7539" spans="1:20" ht="14.5" x14ac:dyDescent="0.35">
      <c r="A7539" s="10" t="s">
        <v>35706</v>
      </c>
      <c r="B7539" s="10" t="str">
        <f>"9781623965532"</f>
        <v>9781623965532</v>
      </c>
      <c r="C7539" s="10" t="str">
        <f>"9781623965556"</f>
        <v>9781623965556</v>
      </c>
      <c r="D7539" s="10" t="s">
        <v>274</v>
      </c>
      <c r="E7539" s="10" t="s">
        <v>35170</v>
      </c>
      <c r="F7539" s="10" t="s">
        <v>35171</v>
      </c>
      <c r="G7539" s="10" t="s">
        <v>6317</v>
      </c>
      <c r="H7539" s="11">
        <v>41730</v>
      </c>
      <c r="I7539" s="10">
        <v>2014</v>
      </c>
      <c r="J7539" s="10" t="s">
        <v>35170</v>
      </c>
      <c r="K7539" s="10">
        <v>284</v>
      </c>
      <c r="L7539" s="10" t="s">
        <v>35707</v>
      </c>
      <c r="M7539" s="10">
        <v>1</v>
      </c>
      <c r="N7539" s="10" t="s">
        <v>35708</v>
      </c>
      <c r="O7539" s="10"/>
      <c r="P7539" s="10" t="s">
        <v>35709</v>
      </c>
      <c r="Q7539" s="10">
        <v>510.71</v>
      </c>
      <c r="R7539" s="10" t="s">
        <v>35710</v>
      </c>
      <c r="S7539" s="10" t="s">
        <v>53</v>
      </c>
      <c r="T7539" s="10" t="s">
        <v>389</v>
      </c>
    </row>
    <row r="7540" spans="1:20" ht="14.5" x14ac:dyDescent="0.35">
      <c r="A7540" s="10" t="s">
        <v>35711</v>
      </c>
      <c r="B7540" s="10" t="str">
        <f>"9781623967291"</f>
        <v>9781623967291</v>
      </c>
      <c r="C7540" s="10" t="str">
        <f>"9781623967314"</f>
        <v>9781623967314</v>
      </c>
      <c r="D7540" s="10" t="s">
        <v>274</v>
      </c>
      <c r="E7540" s="10" t="s">
        <v>35170</v>
      </c>
      <c r="F7540" s="10" t="s">
        <v>35171</v>
      </c>
      <c r="G7540" s="10" t="s">
        <v>6317</v>
      </c>
      <c r="H7540" s="11">
        <v>41883</v>
      </c>
      <c r="I7540" s="10">
        <v>2014</v>
      </c>
      <c r="J7540" s="10" t="s">
        <v>35170</v>
      </c>
      <c r="K7540" s="10">
        <v>304</v>
      </c>
      <c r="L7540" s="10" t="s">
        <v>35712</v>
      </c>
      <c r="M7540" s="10">
        <v>1</v>
      </c>
      <c r="N7540" s="10" t="s">
        <v>35554</v>
      </c>
      <c r="O7540" s="10"/>
      <c r="P7540" s="10" t="s">
        <v>35713</v>
      </c>
      <c r="Q7540" s="10">
        <v>338.47370000000001</v>
      </c>
      <c r="R7540" s="10" t="s">
        <v>35714</v>
      </c>
      <c r="S7540" s="10" t="s">
        <v>53</v>
      </c>
      <c r="T7540" s="10" t="s">
        <v>14975</v>
      </c>
    </row>
    <row r="7541" spans="1:20" ht="14.5" x14ac:dyDescent="0.35">
      <c r="A7541" s="10" t="s">
        <v>35715</v>
      </c>
      <c r="B7541" s="10" t="str">
        <f>"9781623967772"</f>
        <v>9781623967772</v>
      </c>
      <c r="C7541" s="10" t="str">
        <f>"9781623967796"</f>
        <v>9781623967796</v>
      </c>
      <c r="D7541" s="10" t="s">
        <v>274</v>
      </c>
      <c r="E7541" s="10" t="s">
        <v>35170</v>
      </c>
      <c r="F7541" s="10" t="s">
        <v>35171</v>
      </c>
      <c r="G7541" s="10" t="s">
        <v>6317</v>
      </c>
      <c r="H7541" s="11">
        <v>42005</v>
      </c>
      <c r="I7541" s="10">
        <v>2014</v>
      </c>
      <c r="J7541" s="10" t="s">
        <v>35170</v>
      </c>
      <c r="K7541" s="10">
        <v>267</v>
      </c>
      <c r="L7541" s="10" t="s">
        <v>35716</v>
      </c>
      <c r="M7541" s="10">
        <v>1</v>
      </c>
      <c r="N7541" s="10" t="s">
        <v>35286</v>
      </c>
      <c r="O7541" s="10"/>
      <c r="P7541" s="10"/>
      <c r="Q7541" s="10"/>
      <c r="R7541" s="10"/>
      <c r="S7541" s="10" t="s">
        <v>53</v>
      </c>
      <c r="T7541" s="10" t="s">
        <v>54</v>
      </c>
    </row>
    <row r="7542" spans="1:20" ht="14.5" x14ac:dyDescent="0.35">
      <c r="A7542" s="10" t="s">
        <v>35717</v>
      </c>
      <c r="B7542" s="10" t="str">
        <f>"9781623967833"</f>
        <v>9781623967833</v>
      </c>
      <c r="C7542" s="10" t="str">
        <f>"9781623967857"</f>
        <v>9781623967857</v>
      </c>
      <c r="D7542" s="10" t="s">
        <v>274</v>
      </c>
      <c r="E7542" s="10" t="s">
        <v>35170</v>
      </c>
      <c r="F7542" s="10" t="s">
        <v>35171</v>
      </c>
      <c r="G7542" s="10" t="s">
        <v>6317</v>
      </c>
      <c r="H7542" s="11">
        <v>42005</v>
      </c>
      <c r="I7542" s="10">
        <v>2014</v>
      </c>
      <c r="J7542" s="10" t="s">
        <v>35170</v>
      </c>
      <c r="K7542" s="10">
        <v>307</v>
      </c>
      <c r="L7542" s="10" t="s">
        <v>35718</v>
      </c>
      <c r="M7542" s="10">
        <v>1</v>
      </c>
      <c r="N7542" s="10" t="s">
        <v>35231</v>
      </c>
      <c r="O7542" s="10"/>
      <c r="P7542" s="10" t="s">
        <v>35719</v>
      </c>
      <c r="Q7542" s="10">
        <v>371.2</v>
      </c>
      <c r="R7542" s="10" t="s">
        <v>18815</v>
      </c>
      <c r="S7542" s="10" t="s">
        <v>53</v>
      </c>
      <c r="T7542" s="10" t="s">
        <v>54</v>
      </c>
    </row>
    <row r="7543" spans="1:20" ht="14.5" x14ac:dyDescent="0.35">
      <c r="A7543" s="10" t="s">
        <v>35720</v>
      </c>
      <c r="B7543" s="10" t="str">
        <f>"9781623967321"</f>
        <v>9781623967321</v>
      </c>
      <c r="C7543" s="10" t="str">
        <f>"9781623967345"</f>
        <v>9781623967345</v>
      </c>
      <c r="D7543" s="10" t="s">
        <v>274</v>
      </c>
      <c r="E7543" s="10" t="s">
        <v>35170</v>
      </c>
      <c r="F7543" s="10" t="s">
        <v>35171</v>
      </c>
      <c r="G7543" s="10" t="s">
        <v>6317</v>
      </c>
      <c r="H7543" s="11">
        <v>41883</v>
      </c>
      <c r="I7543" s="10">
        <v>2014</v>
      </c>
      <c r="J7543" s="10" t="s">
        <v>35170</v>
      </c>
      <c r="K7543" s="10">
        <v>331</v>
      </c>
      <c r="L7543" s="10" t="s">
        <v>35721</v>
      </c>
      <c r="M7543" s="10">
        <v>1</v>
      </c>
      <c r="N7543" s="10" t="s">
        <v>35722</v>
      </c>
      <c r="O7543" s="10"/>
      <c r="P7543" s="10" t="s">
        <v>35723</v>
      </c>
      <c r="Q7543" s="10">
        <v>305.30889999999999</v>
      </c>
      <c r="R7543" s="10" t="s">
        <v>35724</v>
      </c>
      <c r="S7543" s="10" t="s">
        <v>53</v>
      </c>
      <c r="T7543" s="10" t="s">
        <v>6363</v>
      </c>
    </row>
    <row r="7544" spans="1:20" ht="14.5" x14ac:dyDescent="0.35">
      <c r="A7544" s="10" t="s">
        <v>35725</v>
      </c>
      <c r="B7544" s="10" t="str">
        <f>"9781623967567"</f>
        <v>9781623967567</v>
      </c>
      <c r="C7544" s="10" t="str">
        <f>"9781623967581"</f>
        <v>9781623967581</v>
      </c>
      <c r="D7544" s="10" t="s">
        <v>274</v>
      </c>
      <c r="E7544" s="10" t="s">
        <v>35170</v>
      </c>
      <c r="F7544" s="10" t="s">
        <v>35171</v>
      </c>
      <c r="G7544" s="10" t="s">
        <v>6317</v>
      </c>
      <c r="H7544" s="11">
        <v>41974</v>
      </c>
      <c r="I7544" s="10">
        <v>2014</v>
      </c>
      <c r="J7544" s="10" t="s">
        <v>35170</v>
      </c>
      <c r="K7544" s="10">
        <v>220</v>
      </c>
      <c r="L7544" s="10" t="s">
        <v>35726</v>
      </c>
      <c r="M7544" s="10">
        <v>1</v>
      </c>
      <c r="N7544" s="10" t="s">
        <v>35727</v>
      </c>
      <c r="O7544" s="10"/>
      <c r="P7544" s="10" t="s">
        <v>35728</v>
      </c>
      <c r="Q7544" s="10">
        <v>362.5</v>
      </c>
      <c r="R7544" s="10" t="s">
        <v>35729</v>
      </c>
      <c r="S7544" s="10" t="s">
        <v>53</v>
      </c>
      <c r="T7544" s="10" t="s">
        <v>6363</v>
      </c>
    </row>
    <row r="7545" spans="1:20" ht="14.5" x14ac:dyDescent="0.35">
      <c r="A7545" s="10" t="s">
        <v>35730</v>
      </c>
      <c r="B7545" s="10" t="str">
        <f>"9781623967147"</f>
        <v>9781623967147</v>
      </c>
      <c r="C7545" s="10" t="str">
        <f>"9781623967161"</f>
        <v>9781623967161</v>
      </c>
      <c r="D7545" s="10" t="s">
        <v>274</v>
      </c>
      <c r="E7545" s="10" t="s">
        <v>35170</v>
      </c>
      <c r="F7545" s="10" t="s">
        <v>35171</v>
      </c>
      <c r="G7545" s="10" t="s">
        <v>6317</v>
      </c>
      <c r="H7545" s="11">
        <v>41883</v>
      </c>
      <c r="I7545" s="10">
        <v>2014</v>
      </c>
      <c r="J7545" s="10" t="s">
        <v>35170</v>
      </c>
      <c r="K7545" s="10">
        <v>319</v>
      </c>
      <c r="L7545" s="10" t="s">
        <v>35731</v>
      </c>
      <c r="M7545" s="10">
        <v>1</v>
      </c>
      <c r="N7545" s="10" t="s">
        <v>35732</v>
      </c>
      <c r="O7545" s="10"/>
      <c r="P7545" s="10" t="s">
        <v>35733</v>
      </c>
      <c r="Q7545" s="10">
        <v>507.1</v>
      </c>
      <c r="R7545" s="10" t="s">
        <v>35734</v>
      </c>
      <c r="S7545" s="10" t="s">
        <v>53</v>
      </c>
      <c r="T7545" s="10" t="s">
        <v>7193</v>
      </c>
    </row>
    <row r="7546" spans="1:20" ht="14.5" x14ac:dyDescent="0.35">
      <c r="A7546" s="10" t="s">
        <v>35735</v>
      </c>
      <c r="B7546" s="10" t="str">
        <f>"9781623966799"</f>
        <v>9781623966799</v>
      </c>
      <c r="C7546" s="10" t="str">
        <f>"9781623966812"</f>
        <v>9781623966812</v>
      </c>
      <c r="D7546" s="10" t="s">
        <v>274</v>
      </c>
      <c r="E7546" s="10" t="s">
        <v>35170</v>
      </c>
      <c r="F7546" s="10" t="s">
        <v>35171</v>
      </c>
      <c r="G7546" s="10" t="s">
        <v>6317</v>
      </c>
      <c r="H7546" s="11">
        <v>41821</v>
      </c>
      <c r="I7546" s="10">
        <v>2014</v>
      </c>
      <c r="J7546" s="10" t="s">
        <v>35170</v>
      </c>
      <c r="K7546" s="10">
        <v>189</v>
      </c>
      <c r="L7546" s="10" t="s">
        <v>35736</v>
      </c>
      <c r="M7546" s="10">
        <v>1</v>
      </c>
      <c r="N7546" s="10"/>
      <c r="O7546" s="10"/>
      <c r="P7546" s="10" t="s">
        <v>35737</v>
      </c>
      <c r="Q7546" s="10">
        <v>370.94</v>
      </c>
      <c r="R7546" s="10" t="s">
        <v>35738</v>
      </c>
      <c r="S7546" s="10" t="s">
        <v>53</v>
      </c>
      <c r="T7546" s="10" t="s">
        <v>54</v>
      </c>
    </row>
    <row r="7547" spans="1:20" ht="14.5" x14ac:dyDescent="0.35">
      <c r="A7547" s="10" t="s">
        <v>35739</v>
      </c>
      <c r="B7547" s="10" t="str">
        <f>"9781623968199"</f>
        <v>9781623968199</v>
      </c>
      <c r="C7547" s="10" t="str">
        <f>"9781623968212"</f>
        <v>9781623968212</v>
      </c>
      <c r="D7547" s="10" t="s">
        <v>274</v>
      </c>
      <c r="E7547" s="10" t="s">
        <v>35170</v>
      </c>
      <c r="F7547" s="10" t="s">
        <v>35171</v>
      </c>
      <c r="G7547" s="10" t="s">
        <v>6317</v>
      </c>
      <c r="H7547" s="11">
        <v>42036</v>
      </c>
      <c r="I7547" s="10">
        <v>2014</v>
      </c>
      <c r="J7547" s="10" t="s">
        <v>35170</v>
      </c>
      <c r="K7547" s="10">
        <v>254</v>
      </c>
      <c r="L7547" s="10" t="s">
        <v>35740</v>
      </c>
      <c r="M7547" s="10">
        <v>1</v>
      </c>
      <c r="N7547" s="10" t="s">
        <v>35741</v>
      </c>
      <c r="O7547" s="10"/>
      <c r="P7547" s="10" t="s">
        <v>35704</v>
      </c>
      <c r="Q7547" s="10">
        <v>378.00819999999999</v>
      </c>
      <c r="R7547" s="10" t="s">
        <v>35742</v>
      </c>
      <c r="S7547" s="10" t="s">
        <v>53</v>
      </c>
      <c r="T7547" s="10" t="s">
        <v>54</v>
      </c>
    </row>
    <row r="7548" spans="1:20" ht="14.5" x14ac:dyDescent="0.35">
      <c r="A7548" s="10" t="s">
        <v>35743</v>
      </c>
      <c r="B7548" s="10" t="str">
        <f>"9781623968014"</f>
        <v>9781623968014</v>
      </c>
      <c r="C7548" s="10" t="str">
        <f>"9781623968038"</f>
        <v>9781623968038</v>
      </c>
      <c r="D7548" s="10" t="s">
        <v>274</v>
      </c>
      <c r="E7548" s="10" t="s">
        <v>35170</v>
      </c>
      <c r="F7548" s="10" t="s">
        <v>35171</v>
      </c>
      <c r="G7548" s="10" t="s">
        <v>6317</v>
      </c>
      <c r="H7548" s="11">
        <v>42005</v>
      </c>
      <c r="I7548" s="10">
        <v>2014</v>
      </c>
      <c r="J7548" s="10" t="s">
        <v>35170</v>
      </c>
      <c r="K7548" s="10">
        <v>203</v>
      </c>
      <c r="L7548" s="10" t="s">
        <v>35744</v>
      </c>
      <c r="M7548" s="10">
        <v>1</v>
      </c>
      <c r="N7548" s="10" t="s">
        <v>35745</v>
      </c>
      <c r="O7548" s="10"/>
      <c r="P7548" s="10" t="s">
        <v>35746</v>
      </c>
      <c r="Q7548" s="10">
        <v>378.19829960729999</v>
      </c>
      <c r="R7548" s="10" t="s">
        <v>35747</v>
      </c>
      <c r="S7548" s="10" t="s">
        <v>53</v>
      </c>
      <c r="T7548" s="10" t="s">
        <v>54</v>
      </c>
    </row>
    <row r="7549" spans="1:20" ht="14.5" x14ac:dyDescent="0.35">
      <c r="A7549" s="10" t="s">
        <v>35748</v>
      </c>
      <c r="B7549" s="10" t="str">
        <f>"9781623967925"</f>
        <v>9781623967925</v>
      </c>
      <c r="C7549" s="10" t="str">
        <f>"9781623967949"</f>
        <v>9781623967949</v>
      </c>
      <c r="D7549" s="10" t="s">
        <v>274</v>
      </c>
      <c r="E7549" s="10" t="s">
        <v>35170</v>
      </c>
      <c r="F7549" s="10" t="s">
        <v>35171</v>
      </c>
      <c r="G7549" s="10" t="s">
        <v>6317</v>
      </c>
      <c r="H7549" s="11">
        <v>42005</v>
      </c>
      <c r="I7549" s="10">
        <v>2014</v>
      </c>
      <c r="J7549" s="10" t="s">
        <v>35170</v>
      </c>
      <c r="K7549" s="10">
        <v>178</v>
      </c>
      <c r="L7549" s="10" t="s">
        <v>35749</v>
      </c>
      <c r="M7549" s="10">
        <v>1</v>
      </c>
      <c r="N7549" s="10" t="s">
        <v>35528</v>
      </c>
      <c r="O7549" s="10"/>
      <c r="P7549" s="10" t="s">
        <v>35750</v>
      </c>
      <c r="Q7549" s="10">
        <v>323.04202854677999</v>
      </c>
      <c r="R7549" s="10" t="s">
        <v>35751</v>
      </c>
      <c r="S7549" s="10" t="s">
        <v>53</v>
      </c>
      <c r="T7549" s="10" t="s">
        <v>4859</v>
      </c>
    </row>
    <row r="7550" spans="1:20" ht="14.5" x14ac:dyDescent="0.35">
      <c r="A7550" s="10" t="s">
        <v>35752</v>
      </c>
      <c r="B7550" s="10" t="str">
        <f>"9781623966553"</f>
        <v>9781623966553</v>
      </c>
      <c r="C7550" s="10" t="str">
        <f>"9781623966577"</f>
        <v>9781623966577</v>
      </c>
      <c r="D7550" s="10" t="s">
        <v>274</v>
      </c>
      <c r="E7550" s="10" t="s">
        <v>35170</v>
      </c>
      <c r="F7550" s="10" t="s">
        <v>35171</v>
      </c>
      <c r="G7550" s="10" t="s">
        <v>6317</v>
      </c>
      <c r="H7550" s="11">
        <v>41821</v>
      </c>
      <c r="I7550" s="10">
        <v>2014</v>
      </c>
      <c r="J7550" s="10" t="s">
        <v>35170</v>
      </c>
      <c r="K7550" s="10">
        <v>343</v>
      </c>
      <c r="L7550" s="10" t="s">
        <v>35753</v>
      </c>
      <c r="M7550" s="10">
        <v>1</v>
      </c>
      <c r="N7550" s="10" t="s">
        <v>35754</v>
      </c>
      <c r="O7550" s="10"/>
      <c r="P7550" s="10"/>
      <c r="Q7550" s="10" t="s">
        <v>35453</v>
      </c>
      <c r="R7550" s="10"/>
      <c r="S7550" s="10" t="s">
        <v>53</v>
      </c>
      <c r="T7550" s="10" t="s">
        <v>6363</v>
      </c>
    </row>
    <row r="7551" spans="1:20" ht="14.5" x14ac:dyDescent="0.35">
      <c r="A7551" s="10" t="s">
        <v>35755</v>
      </c>
      <c r="B7551" s="10" t="str">
        <f>"9781623967536"</f>
        <v>9781623967536</v>
      </c>
      <c r="C7551" s="10" t="str">
        <f>"9781623967550"</f>
        <v>9781623967550</v>
      </c>
      <c r="D7551" s="10" t="s">
        <v>274</v>
      </c>
      <c r="E7551" s="10" t="s">
        <v>35170</v>
      </c>
      <c r="F7551" s="10" t="s">
        <v>35171</v>
      </c>
      <c r="G7551" s="10" t="s">
        <v>6317</v>
      </c>
      <c r="H7551" s="11">
        <v>41974</v>
      </c>
      <c r="I7551" s="10">
        <v>2014</v>
      </c>
      <c r="J7551" s="10" t="s">
        <v>35170</v>
      </c>
      <c r="K7551" s="10">
        <v>391</v>
      </c>
      <c r="L7551" s="10" t="s">
        <v>35756</v>
      </c>
      <c r="M7551" s="10">
        <v>1</v>
      </c>
      <c r="N7551" s="10" t="s">
        <v>35670</v>
      </c>
      <c r="O7551" s="10"/>
      <c r="P7551" s="10" t="s">
        <v>35757</v>
      </c>
      <c r="Q7551" s="10">
        <v>510.71</v>
      </c>
      <c r="R7551" s="10" t="s">
        <v>35758</v>
      </c>
      <c r="S7551" s="10" t="s">
        <v>53</v>
      </c>
      <c r="T7551" s="10" t="s">
        <v>389</v>
      </c>
    </row>
    <row r="7552" spans="1:20" ht="14.5" x14ac:dyDescent="0.35">
      <c r="A7552" s="10" t="s">
        <v>35759</v>
      </c>
      <c r="B7552" s="10" t="str">
        <f>"9781623968090"</f>
        <v>9781623968090</v>
      </c>
      <c r="C7552" s="10" t="str">
        <f>"9781623968113"</f>
        <v>9781623968113</v>
      </c>
      <c r="D7552" s="10" t="s">
        <v>274</v>
      </c>
      <c r="E7552" s="10" t="s">
        <v>35170</v>
      </c>
      <c r="F7552" s="10" t="s">
        <v>35171</v>
      </c>
      <c r="G7552" s="10" t="s">
        <v>6317</v>
      </c>
      <c r="H7552" s="11">
        <v>42036</v>
      </c>
      <c r="I7552" s="10">
        <v>2014</v>
      </c>
      <c r="J7552" s="10" t="s">
        <v>35170</v>
      </c>
      <c r="K7552" s="10">
        <v>201</v>
      </c>
      <c r="L7552" s="10" t="s">
        <v>35760</v>
      </c>
      <c r="M7552" s="10">
        <v>1</v>
      </c>
      <c r="N7552" s="10" t="s">
        <v>35761</v>
      </c>
      <c r="O7552" s="10"/>
      <c r="P7552" s="10" t="s">
        <v>35762</v>
      </c>
      <c r="Q7552" s="10">
        <v>371.2011</v>
      </c>
      <c r="R7552" s="10" t="s">
        <v>35763</v>
      </c>
      <c r="S7552" s="10" t="s">
        <v>53</v>
      </c>
      <c r="T7552" s="10" t="s">
        <v>54</v>
      </c>
    </row>
    <row r="7553" spans="1:20" ht="14.5" x14ac:dyDescent="0.35">
      <c r="A7553" s="10" t="s">
        <v>35764</v>
      </c>
      <c r="B7553" s="10" t="str">
        <f>"9781623968571"</f>
        <v>9781623968571</v>
      </c>
      <c r="C7553" s="10" t="str">
        <f>"9781623968595"</f>
        <v>9781623968595</v>
      </c>
      <c r="D7553" s="10" t="s">
        <v>274</v>
      </c>
      <c r="E7553" s="10" t="s">
        <v>35170</v>
      </c>
      <c r="F7553" s="10" t="s">
        <v>35171</v>
      </c>
      <c r="G7553" s="10" t="s">
        <v>6317</v>
      </c>
      <c r="H7553" s="11">
        <v>42064</v>
      </c>
      <c r="I7553" s="10">
        <v>2014</v>
      </c>
      <c r="J7553" s="10" t="s">
        <v>35170</v>
      </c>
      <c r="K7553" s="10">
        <v>257</v>
      </c>
      <c r="L7553" s="10" t="s">
        <v>35765</v>
      </c>
      <c r="M7553" s="10">
        <v>1</v>
      </c>
      <c r="N7553" s="10" t="s">
        <v>35357</v>
      </c>
      <c r="O7553" s="10"/>
      <c r="P7553" s="10" t="s">
        <v>35766</v>
      </c>
      <c r="Q7553" s="10">
        <v>428.00709999999998</v>
      </c>
      <c r="R7553" s="10" t="s">
        <v>35767</v>
      </c>
      <c r="S7553" s="10" t="s">
        <v>53</v>
      </c>
      <c r="T7553" s="10" t="s">
        <v>6616</v>
      </c>
    </row>
    <row r="7554" spans="1:20" ht="14.5" x14ac:dyDescent="0.35">
      <c r="A7554" s="10" t="s">
        <v>35768</v>
      </c>
      <c r="B7554" s="10" t="str">
        <f>"9781623968632"</f>
        <v>9781623968632</v>
      </c>
      <c r="C7554" s="10" t="str">
        <f>"9781623968656"</f>
        <v>9781623968656</v>
      </c>
      <c r="D7554" s="10" t="s">
        <v>274</v>
      </c>
      <c r="E7554" s="10" t="s">
        <v>35170</v>
      </c>
      <c r="F7554" s="10" t="s">
        <v>35171</v>
      </c>
      <c r="G7554" s="10" t="s">
        <v>6317</v>
      </c>
      <c r="H7554" s="11">
        <v>42064</v>
      </c>
      <c r="I7554" s="10">
        <v>2014</v>
      </c>
      <c r="J7554" s="10" t="s">
        <v>35170</v>
      </c>
      <c r="K7554" s="10">
        <v>299</v>
      </c>
      <c r="L7554" s="10" t="s">
        <v>35769</v>
      </c>
      <c r="M7554" s="10">
        <v>1</v>
      </c>
      <c r="N7554" s="10"/>
      <c r="O7554" s="10"/>
      <c r="P7554" s="10" t="s">
        <v>35770</v>
      </c>
      <c r="Q7554" s="10" t="s">
        <v>35771</v>
      </c>
      <c r="R7554" s="10" t="s">
        <v>35772</v>
      </c>
      <c r="S7554" s="10" t="s">
        <v>53</v>
      </c>
      <c r="T7554" s="10" t="s">
        <v>35773</v>
      </c>
    </row>
    <row r="7555" spans="1:20" ht="14.5" x14ac:dyDescent="0.35">
      <c r="A7555" s="10" t="s">
        <v>35774</v>
      </c>
      <c r="B7555" s="10" t="str">
        <f>"9781623968717"</f>
        <v>9781623968717</v>
      </c>
      <c r="C7555" s="10" t="str">
        <f>"9781623968731"</f>
        <v>9781623968731</v>
      </c>
      <c r="D7555" s="10" t="s">
        <v>274</v>
      </c>
      <c r="E7555" s="10" t="s">
        <v>35170</v>
      </c>
      <c r="F7555" s="10" t="s">
        <v>35171</v>
      </c>
      <c r="G7555" s="10" t="s">
        <v>6317</v>
      </c>
      <c r="H7555" s="11">
        <v>42064</v>
      </c>
      <c r="I7555" s="10">
        <v>2014</v>
      </c>
      <c r="J7555" s="10" t="s">
        <v>35170</v>
      </c>
      <c r="K7555" s="10">
        <v>684</v>
      </c>
      <c r="L7555" s="10" t="s">
        <v>35775</v>
      </c>
      <c r="M7555" s="10">
        <v>1</v>
      </c>
      <c r="N7555" s="10" t="s">
        <v>35776</v>
      </c>
      <c r="O7555" s="10"/>
      <c r="P7555" s="10" t="s">
        <v>35777</v>
      </c>
      <c r="Q7555" s="10">
        <v>374</v>
      </c>
      <c r="R7555" s="10" t="s">
        <v>11901</v>
      </c>
      <c r="S7555" s="10" t="s">
        <v>53</v>
      </c>
      <c r="T7555" s="10" t="s">
        <v>54</v>
      </c>
    </row>
    <row r="7556" spans="1:20" ht="14.5" x14ac:dyDescent="0.35">
      <c r="A7556" s="10" t="s">
        <v>35778</v>
      </c>
      <c r="B7556" s="10" t="str">
        <f>"9781623968120"</f>
        <v>9781623968120</v>
      </c>
      <c r="C7556" s="10" t="str">
        <f>"9781623968144"</f>
        <v>9781623968144</v>
      </c>
      <c r="D7556" s="10" t="s">
        <v>274</v>
      </c>
      <c r="E7556" s="10" t="s">
        <v>35170</v>
      </c>
      <c r="F7556" s="10" t="s">
        <v>35171</v>
      </c>
      <c r="G7556" s="10" t="s">
        <v>6317</v>
      </c>
      <c r="H7556" s="11">
        <v>42036</v>
      </c>
      <c r="I7556" s="10">
        <v>2014</v>
      </c>
      <c r="J7556" s="10" t="s">
        <v>35170</v>
      </c>
      <c r="K7556" s="10">
        <v>456</v>
      </c>
      <c r="L7556" s="10" t="s">
        <v>35779</v>
      </c>
      <c r="M7556" s="10">
        <v>1</v>
      </c>
      <c r="N7556" s="10"/>
      <c r="O7556" s="10"/>
      <c r="P7556" s="10" t="s">
        <v>35780</v>
      </c>
      <c r="Q7556" s="10" t="s">
        <v>10085</v>
      </c>
      <c r="R7556" s="10" t="s">
        <v>35781</v>
      </c>
      <c r="S7556" s="10" t="s">
        <v>53</v>
      </c>
      <c r="T7556" s="10" t="s">
        <v>389</v>
      </c>
    </row>
    <row r="7557" spans="1:20" ht="14.5" x14ac:dyDescent="0.35">
      <c r="A7557" s="10" t="s">
        <v>35782</v>
      </c>
      <c r="B7557" s="10" t="str">
        <f>"9781623967680"</f>
        <v>9781623967680</v>
      </c>
      <c r="C7557" s="10" t="str">
        <f>"9781623967703"</f>
        <v>9781623967703</v>
      </c>
      <c r="D7557" s="10" t="s">
        <v>274</v>
      </c>
      <c r="E7557" s="10" t="s">
        <v>35170</v>
      </c>
      <c r="F7557" s="10" t="s">
        <v>35171</v>
      </c>
      <c r="G7557" s="10" t="s">
        <v>6317</v>
      </c>
      <c r="H7557" s="11">
        <v>41974</v>
      </c>
      <c r="I7557" s="10">
        <v>2015</v>
      </c>
      <c r="J7557" s="10" t="s">
        <v>35170</v>
      </c>
      <c r="K7557" s="10">
        <v>261</v>
      </c>
      <c r="L7557" s="10" t="s">
        <v>35783</v>
      </c>
      <c r="M7557" s="10">
        <v>1</v>
      </c>
      <c r="N7557" s="10" t="s">
        <v>35480</v>
      </c>
      <c r="O7557" s="10"/>
      <c r="P7557" s="10" t="s">
        <v>35784</v>
      </c>
      <c r="Q7557" s="10">
        <v>370.11599999999999</v>
      </c>
      <c r="R7557" s="10" t="s">
        <v>35785</v>
      </c>
      <c r="S7557" s="10" t="s">
        <v>53</v>
      </c>
      <c r="T7557" s="10" t="s">
        <v>54</v>
      </c>
    </row>
    <row r="7558" spans="1:20" ht="14.5" x14ac:dyDescent="0.35">
      <c r="A7558" s="10" t="s">
        <v>35786</v>
      </c>
      <c r="B7558" s="10" t="str">
        <f>"9781623968519"</f>
        <v>9781623968519</v>
      </c>
      <c r="C7558" s="10" t="str">
        <f>"9781623968533"</f>
        <v>9781623968533</v>
      </c>
      <c r="D7558" s="10" t="s">
        <v>274</v>
      </c>
      <c r="E7558" s="10" t="s">
        <v>35170</v>
      </c>
      <c r="F7558" s="10" t="s">
        <v>35171</v>
      </c>
      <c r="G7558" s="10" t="s">
        <v>6317</v>
      </c>
      <c r="H7558" s="11">
        <v>41989</v>
      </c>
      <c r="I7558" s="10">
        <v>2014</v>
      </c>
      <c r="J7558" s="10" t="s">
        <v>35170</v>
      </c>
      <c r="K7558" s="10">
        <v>367</v>
      </c>
      <c r="L7558" s="10" t="s">
        <v>35787</v>
      </c>
      <c r="M7558" s="10">
        <v>1</v>
      </c>
      <c r="N7558" s="10" t="s">
        <v>35788</v>
      </c>
      <c r="O7558" s="10"/>
      <c r="P7558" s="10" t="s">
        <v>35789</v>
      </c>
      <c r="Q7558" s="10">
        <v>371.10199999999998</v>
      </c>
      <c r="R7558" s="10" t="s">
        <v>35790</v>
      </c>
      <c r="S7558" s="10" t="s">
        <v>53</v>
      </c>
      <c r="T7558" s="10" t="s">
        <v>54</v>
      </c>
    </row>
    <row r="7559" spans="1:20" ht="14.5" x14ac:dyDescent="0.35">
      <c r="A7559" s="10" t="s">
        <v>35791</v>
      </c>
      <c r="B7559" s="10" t="str">
        <f>"9781573873628"</f>
        <v>9781573873628</v>
      </c>
      <c r="C7559" s="10" t="str">
        <f>"9781573879026"</f>
        <v>9781573879026</v>
      </c>
      <c r="D7559" s="10" t="s">
        <v>35792</v>
      </c>
      <c r="E7559" s="10" t="s">
        <v>1365</v>
      </c>
      <c r="F7559" s="10" t="s">
        <v>3034</v>
      </c>
      <c r="G7559" s="10" t="s">
        <v>6317</v>
      </c>
      <c r="H7559" s="11">
        <v>39845</v>
      </c>
      <c r="I7559" s="10">
        <v>2009</v>
      </c>
      <c r="J7559" s="10" t="s">
        <v>1365</v>
      </c>
      <c r="K7559" s="10">
        <v>224</v>
      </c>
      <c r="L7559" s="10" t="s">
        <v>35793</v>
      </c>
      <c r="M7559" s="10">
        <v>1</v>
      </c>
      <c r="N7559" s="10"/>
      <c r="O7559" s="10"/>
      <c r="P7559" s="10" t="s">
        <v>35794</v>
      </c>
      <c r="Q7559" s="10" t="s">
        <v>35795</v>
      </c>
      <c r="R7559" s="10" t="s">
        <v>35796</v>
      </c>
      <c r="S7559" s="10" t="s">
        <v>53</v>
      </c>
      <c r="T7559" s="10" t="s">
        <v>10302</v>
      </c>
    </row>
    <row r="7560" spans="1:20" ht="14.5" x14ac:dyDescent="0.35">
      <c r="A7560" s="10" t="s">
        <v>35797</v>
      </c>
      <c r="B7560" s="10" t="str">
        <f>"9781573874816"</f>
        <v>9781573874816</v>
      </c>
      <c r="C7560" s="10" t="str">
        <f>"9781573877206"</f>
        <v>9781573877206</v>
      </c>
      <c r="D7560" s="10" t="s">
        <v>35792</v>
      </c>
      <c r="E7560" s="10" t="s">
        <v>1365</v>
      </c>
      <c r="F7560" s="10" t="s">
        <v>3034</v>
      </c>
      <c r="G7560" s="10" t="s">
        <v>6317</v>
      </c>
      <c r="H7560" s="11">
        <v>41716</v>
      </c>
      <c r="I7560" s="10">
        <v>2014</v>
      </c>
      <c r="J7560" s="10" t="s">
        <v>1365</v>
      </c>
      <c r="K7560" s="10">
        <v>217</v>
      </c>
      <c r="L7560" s="10" t="s">
        <v>35798</v>
      </c>
      <c r="M7560" s="10">
        <v>1</v>
      </c>
      <c r="N7560" s="10"/>
      <c r="O7560" s="10"/>
      <c r="P7560" s="10" t="s">
        <v>35799</v>
      </c>
      <c r="Q7560" s="10">
        <v>371.33</v>
      </c>
      <c r="R7560" s="10" t="s">
        <v>35800</v>
      </c>
      <c r="S7560" s="10" t="s">
        <v>53</v>
      </c>
      <c r="T7560" s="10" t="s">
        <v>54</v>
      </c>
    </row>
    <row r="7561" spans="1:20" ht="14.5" x14ac:dyDescent="0.35">
      <c r="A7561" s="10" t="s">
        <v>35801</v>
      </c>
      <c r="B7561" s="10" t="str">
        <f>"9789004403321"</f>
        <v>9789004403321</v>
      </c>
      <c r="C7561" s="10" t="str">
        <f>"9781848881075"</f>
        <v>9781848881075</v>
      </c>
      <c r="D7561" s="10" t="s">
        <v>8564</v>
      </c>
      <c r="E7561" s="10" t="s">
        <v>8565</v>
      </c>
      <c r="F7561" s="10" t="s">
        <v>1420</v>
      </c>
      <c r="G7561" s="10" t="s">
        <v>6317</v>
      </c>
      <c r="H7561" s="11">
        <v>43957</v>
      </c>
      <c r="I7561" s="10">
        <v>2012</v>
      </c>
      <c r="J7561" s="10" t="s">
        <v>8565</v>
      </c>
      <c r="K7561" s="10">
        <v>174</v>
      </c>
      <c r="L7561" s="10" t="s">
        <v>35802</v>
      </c>
      <c r="M7561" s="10">
        <v>1</v>
      </c>
      <c r="N7561" s="10"/>
      <c r="O7561" s="10"/>
      <c r="P7561" s="10"/>
      <c r="Q7561" s="10"/>
      <c r="R7561" s="10"/>
      <c r="S7561" s="10" t="s">
        <v>53</v>
      </c>
      <c r="T7561" s="10" t="s">
        <v>12015</v>
      </c>
    </row>
    <row r="7562" spans="1:20" ht="14.5" x14ac:dyDescent="0.35">
      <c r="A7562" s="10" t="s">
        <v>35803</v>
      </c>
      <c r="B7562" s="10" t="str">
        <f>"9789004403932"</f>
        <v>9789004403932</v>
      </c>
      <c r="C7562" s="10" t="str">
        <f>"9781848880078"</f>
        <v>9781848880078</v>
      </c>
      <c r="D7562" s="10" t="s">
        <v>8564</v>
      </c>
      <c r="E7562" s="10" t="s">
        <v>8565</v>
      </c>
      <c r="F7562" s="10" t="s">
        <v>1420</v>
      </c>
      <c r="G7562" s="10" t="s">
        <v>6317</v>
      </c>
      <c r="H7562" s="11">
        <v>44099</v>
      </c>
      <c r="I7562" s="10">
        <v>2011</v>
      </c>
      <c r="J7562" s="10" t="s">
        <v>8565</v>
      </c>
      <c r="K7562" s="10">
        <v>314</v>
      </c>
      <c r="L7562" s="10" t="s">
        <v>35804</v>
      </c>
      <c r="M7562" s="10">
        <v>1</v>
      </c>
      <c r="N7562" s="10"/>
      <c r="O7562" s="10"/>
      <c r="P7562" s="10" t="s">
        <v>35805</v>
      </c>
      <c r="Q7562" s="10">
        <v>370.15499999999997</v>
      </c>
      <c r="R7562" s="10" t="s">
        <v>35806</v>
      </c>
      <c r="S7562" s="10" t="s">
        <v>53</v>
      </c>
      <c r="T7562" s="10" t="s">
        <v>54</v>
      </c>
    </row>
    <row r="7563" spans="1:20" ht="14.5" x14ac:dyDescent="0.35">
      <c r="A7563" s="10" t="s">
        <v>35807</v>
      </c>
      <c r="B7563" s="10" t="str">
        <f>"9781559634212"</f>
        <v>9781559634212</v>
      </c>
      <c r="C7563" s="10" t="str">
        <f>"9781610910804"</f>
        <v>9781610910804</v>
      </c>
      <c r="D7563" s="10" t="s">
        <v>35808</v>
      </c>
      <c r="E7563" s="10" t="s">
        <v>35808</v>
      </c>
      <c r="F7563" s="10" t="s">
        <v>11765</v>
      </c>
      <c r="G7563" s="10" t="s">
        <v>6317</v>
      </c>
      <c r="H7563" s="11">
        <v>35034</v>
      </c>
      <c r="I7563" s="10">
        <v>1996</v>
      </c>
      <c r="J7563" s="10" t="s">
        <v>35808</v>
      </c>
      <c r="K7563" s="10">
        <v>342</v>
      </c>
      <c r="L7563" s="10" t="s">
        <v>35809</v>
      </c>
      <c r="M7563" s="10">
        <v>1</v>
      </c>
      <c r="N7563" s="10"/>
      <c r="O7563" s="10"/>
      <c r="P7563" s="10" t="s">
        <v>35810</v>
      </c>
      <c r="Q7563" s="10" t="s">
        <v>35811</v>
      </c>
      <c r="R7563" s="10" t="s">
        <v>35812</v>
      </c>
      <c r="S7563" s="10" t="s">
        <v>53</v>
      </c>
      <c r="T7563" s="10" t="s">
        <v>35813</v>
      </c>
    </row>
    <row r="7564" spans="1:20" ht="14.5" x14ac:dyDescent="0.35">
      <c r="A7564" s="10" t="s">
        <v>35814</v>
      </c>
      <c r="B7564" s="10" t="str">
        <f>""</f>
        <v/>
      </c>
      <c r="C7564" s="10" t="str">
        <f>"9786079361358"</f>
        <v>9786079361358</v>
      </c>
      <c r="D7564" s="10" t="s">
        <v>35815</v>
      </c>
      <c r="E7564" s="10" t="s">
        <v>35815</v>
      </c>
      <c r="F7564" s="10" t="s">
        <v>35816</v>
      </c>
      <c r="G7564" s="10" t="s">
        <v>35817</v>
      </c>
      <c r="H7564" s="11">
        <v>41609</v>
      </c>
      <c r="I7564" s="10">
        <v>2014</v>
      </c>
      <c r="J7564" s="10" t="s">
        <v>35815</v>
      </c>
      <c r="K7564" s="10">
        <v>29</v>
      </c>
      <c r="L7564" s="10" t="s">
        <v>35818</v>
      </c>
      <c r="M7564" s="10">
        <v>1</v>
      </c>
      <c r="N7564" s="10"/>
      <c r="O7564" s="10"/>
      <c r="P7564" s="10" t="s">
        <v>35819</v>
      </c>
      <c r="Q7564" s="10">
        <v>378.07100000000003</v>
      </c>
      <c r="R7564" s="10" t="s">
        <v>35820</v>
      </c>
      <c r="S7564" s="10" t="s">
        <v>119</v>
      </c>
      <c r="T7564" s="10" t="s">
        <v>54</v>
      </c>
    </row>
    <row r="7565" spans="1:20" ht="14.5" x14ac:dyDescent="0.35">
      <c r="A7565" s="10" t="s">
        <v>35821</v>
      </c>
      <c r="B7565" s="10" t="str">
        <f>""</f>
        <v/>
      </c>
      <c r="C7565" s="10" t="str">
        <f>"9786079361242"</f>
        <v>9786079361242</v>
      </c>
      <c r="D7565" s="10" t="s">
        <v>35815</v>
      </c>
      <c r="E7565" s="10" t="s">
        <v>35815</v>
      </c>
      <c r="F7565" s="10" t="s">
        <v>35816</v>
      </c>
      <c r="G7565" s="10" t="s">
        <v>35817</v>
      </c>
      <c r="H7565" s="11">
        <v>41609</v>
      </c>
      <c r="I7565" s="10">
        <v>2014</v>
      </c>
      <c r="J7565" s="10" t="s">
        <v>35815</v>
      </c>
      <c r="K7565" s="10">
        <v>24</v>
      </c>
      <c r="L7565" s="10" t="s">
        <v>35822</v>
      </c>
      <c r="M7565" s="10">
        <v>1</v>
      </c>
      <c r="N7565" s="10"/>
      <c r="O7565" s="10"/>
      <c r="P7565" s="10" t="s">
        <v>35823</v>
      </c>
      <c r="Q7565" s="10">
        <v>378.07100000000003</v>
      </c>
      <c r="R7565" s="10" t="s">
        <v>35824</v>
      </c>
      <c r="S7565" s="10" t="s">
        <v>119</v>
      </c>
      <c r="T7565" s="10" t="s">
        <v>54</v>
      </c>
    </row>
    <row r="7566" spans="1:20" ht="14.5" x14ac:dyDescent="0.35">
      <c r="A7566" s="10" t="s">
        <v>35825</v>
      </c>
      <c r="B7566" s="10" t="str">
        <f>"9780801863424"</f>
        <v>9780801863424</v>
      </c>
      <c r="C7566" s="10" t="str">
        <f>"9780801876714"</f>
        <v>9780801876714</v>
      </c>
      <c r="D7566" s="10" t="s">
        <v>884</v>
      </c>
      <c r="E7566" s="10" t="s">
        <v>884</v>
      </c>
      <c r="F7566" s="10" t="s">
        <v>885</v>
      </c>
      <c r="G7566" s="10" t="s">
        <v>6317</v>
      </c>
      <c r="H7566" s="11">
        <v>36669</v>
      </c>
      <c r="I7566" s="10">
        <v>2000</v>
      </c>
      <c r="J7566" s="10" t="s">
        <v>884</v>
      </c>
      <c r="K7566" s="10">
        <v>422</v>
      </c>
      <c r="L7566" s="10" t="s">
        <v>35826</v>
      </c>
      <c r="M7566" s="10">
        <v>1</v>
      </c>
      <c r="N7566" s="10"/>
      <c r="O7566" s="10"/>
      <c r="P7566" s="10" t="s">
        <v>35827</v>
      </c>
      <c r="Q7566" s="10" t="s">
        <v>35828</v>
      </c>
      <c r="R7566" s="10"/>
      <c r="S7566" s="10" t="s">
        <v>53</v>
      </c>
      <c r="T7566" s="10" t="s">
        <v>54</v>
      </c>
    </row>
    <row r="7567" spans="1:20" ht="14.5" x14ac:dyDescent="0.35">
      <c r="A7567" s="10" t="s">
        <v>35829</v>
      </c>
      <c r="B7567" s="10" t="str">
        <f>"9780801871238"</f>
        <v>9780801871238</v>
      </c>
      <c r="C7567" s="10" t="str">
        <f>"9780801877599"</f>
        <v>9780801877599</v>
      </c>
      <c r="D7567" s="10" t="s">
        <v>884</v>
      </c>
      <c r="E7567" s="10" t="s">
        <v>884</v>
      </c>
      <c r="F7567" s="10" t="s">
        <v>885</v>
      </c>
      <c r="G7567" s="10" t="s">
        <v>6317</v>
      </c>
      <c r="H7567" s="11">
        <v>37603</v>
      </c>
      <c r="I7567" s="10">
        <v>2002</v>
      </c>
      <c r="J7567" s="10" t="s">
        <v>884</v>
      </c>
      <c r="K7567" s="10">
        <v>255</v>
      </c>
      <c r="L7567" s="10" t="s">
        <v>35830</v>
      </c>
      <c r="M7567" s="10">
        <v>1</v>
      </c>
      <c r="N7567" s="10"/>
      <c r="O7567" s="10"/>
      <c r="P7567" s="10" t="s">
        <v>35831</v>
      </c>
      <c r="Q7567" s="10" t="s">
        <v>13166</v>
      </c>
      <c r="R7567" s="10"/>
      <c r="S7567" s="10" t="s">
        <v>53</v>
      </c>
      <c r="T7567" s="10" t="s">
        <v>54</v>
      </c>
    </row>
    <row r="7568" spans="1:20" ht="14.5" x14ac:dyDescent="0.35">
      <c r="A7568" s="10" t="s">
        <v>35832</v>
      </c>
      <c r="B7568" s="10" t="str">
        <f>"9780801874475"</f>
        <v>9780801874475</v>
      </c>
      <c r="C7568" s="10" t="str">
        <f>"9780801876806"</f>
        <v>9780801876806</v>
      </c>
      <c r="D7568" s="10" t="s">
        <v>884</v>
      </c>
      <c r="E7568" s="10" t="s">
        <v>884</v>
      </c>
      <c r="F7568" s="10" t="s">
        <v>885</v>
      </c>
      <c r="G7568" s="10" t="s">
        <v>6317</v>
      </c>
      <c r="H7568" s="11">
        <v>37844</v>
      </c>
      <c r="I7568" s="10">
        <v>2001</v>
      </c>
      <c r="J7568" s="10" t="s">
        <v>884</v>
      </c>
      <c r="K7568" s="10">
        <v>199</v>
      </c>
      <c r="L7568" s="10" t="s">
        <v>35833</v>
      </c>
      <c r="M7568" s="10">
        <v>1</v>
      </c>
      <c r="N7568" s="10"/>
      <c r="O7568" s="10"/>
      <c r="P7568" s="10" t="s">
        <v>35834</v>
      </c>
      <c r="Q7568" s="10">
        <v>378.73</v>
      </c>
      <c r="R7568" s="10" t="s">
        <v>35835</v>
      </c>
      <c r="S7568" s="10" t="s">
        <v>53</v>
      </c>
      <c r="T7568" s="10" t="s">
        <v>54</v>
      </c>
    </row>
    <row r="7569" spans="1:20" ht="14.5" x14ac:dyDescent="0.35">
      <c r="A7569" s="10" t="s">
        <v>35836</v>
      </c>
      <c r="B7569" s="10" t="str">
        <f>"9780801870989"</f>
        <v>9780801870989</v>
      </c>
      <c r="C7569" s="10" t="str">
        <f>"9780801870132"</f>
        <v>9780801870132</v>
      </c>
      <c r="D7569" s="10" t="s">
        <v>884</v>
      </c>
      <c r="E7569" s="10" t="s">
        <v>884</v>
      </c>
      <c r="F7569" s="10" t="s">
        <v>885</v>
      </c>
      <c r="G7569" s="10" t="s">
        <v>6317</v>
      </c>
      <c r="H7569" s="11">
        <v>36916</v>
      </c>
      <c r="I7569" s="10">
        <v>2000</v>
      </c>
      <c r="J7569" s="10" t="s">
        <v>884</v>
      </c>
      <c r="K7569" s="10">
        <v>239</v>
      </c>
      <c r="L7569" s="10" t="s">
        <v>35837</v>
      </c>
      <c r="M7569" s="10">
        <v>1</v>
      </c>
      <c r="N7569" s="10"/>
      <c r="O7569" s="10"/>
      <c r="P7569" s="10" t="s">
        <v>35838</v>
      </c>
      <c r="Q7569" s="10" t="s">
        <v>15847</v>
      </c>
      <c r="R7569" s="10"/>
      <c r="S7569" s="10" t="s">
        <v>53</v>
      </c>
      <c r="T7569" s="10" t="s">
        <v>54</v>
      </c>
    </row>
    <row r="7570" spans="1:20" ht="14.5" x14ac:dyDescent="0.35">
      <c r="A7570" s="10" t="s">
        <v>35839</v>
      </c>
      <c r="B7570" s="10" t="str">
        <f>"9780801867491"</f>
        <v>9780801867491</v>
      </c>
      <c r="C7570" s="10" t="str">
        <f>"9780801876691"</f>
        <v>9780801876691</v>
      </c>
      <c r="D7570" s="10" t="s">
        <v>884</v>
      </c>
      <c r="E7570" s="10" t="s">
        <v>884</v>
      </c>
      <c r="F7570" s="10" t="s">
        <v>885</v>
      </c>
      <c r="G7570" s="10" t="s">
        <v>6317</v>
      </c>
      <c r="H7570" s="11">
        <v>37277</v>
      </c>
      <c r="I7570" s="10">
        <v>2002</v>
      </c>
      <c r="J7570" s="10" t="s">
        <v>884</v>
      </c>
      <c r="K7570" s="10">
        <v>367</v>
      </c>
      <c r="L7570" s="10" t="s">
        <v>35840</v>
      </c>
      <c r="M7570" s="10">
        <v>1</v>
      </c>
      <c r="N7570" s="10"/>
      <c r="O7570" s="10"/>
      <c r="P7570" s="10" t="s">
        <v>35841</v>
      </c>
      <c r="Q7570" s="10" t="s">
        <v>35842</v>
      </c>
      <c r="R7570" s="10" t="s">
        <v>35843</v>
      </c>
      <c r="S7570" s="10" t="s">
        <v>53</v>
      </c>
      <c r="T7570" s="10" t="s">
        <v>5396</v>
      </c>
    </row>
    <row r="7571" spans="1:20" ht="14.5" x14ac:dyDescent="0.35">
      <c r="A7571" s="10" t="s">
        <v>35844</v>
      </c>
      <c r="B7571" s="10" t="str">
        <f>"9780801870965"</f>
        <v>9780801870965</v>
      </c>
      <c r="C7571" s="10" t="str">
        <f>"9780801874741"</f>
        <v>9780801874741</v>
      </c>
      <c r="D7571" s="10" t="s">
        <v>884</v>
      </c>
      <c r="E7571" s="10" t="s">
        <v>884</v>
      </c>
      <c r="F7571" s="10" t="s">
        <v>885</v>
      </c>
      <c r="G7571" s="10" t="s">
        <v>6317</v>
      </c>
      <c r="H7571" s="11">
        <v>36410</v>
      </c>
      <c r="I7571" s="10">
        <v>1999</v>
      </c>
      <c r="J7571" s="10" t="s">
        <v>884</v>
      </c>
      <c r="K7571" s="10">
        <v>241</v>
      </c>
      <c r="L7571" s="10" t="s">
        <v>35845</v>
      </c>
      <c r="M7571" s="10">
        <v>1</v>
      </c>
      <c r="N7571" s="10"/>
      <c r="O7571" s="10"/>
      <c r="P7571" s="10" t="s">
        <v>35846</v>
      </c>
      <c r="Q7571" s="10" t="s">
        <v>9298</v>
      </c>
      <c r="R7571" s="10" t="s">
        <v>35847</v>
      </c>
      <c r="S7571" s="10" t="s">
        <v>53</v>
      </c>
      <c r="T7571" s="10" t="s">
        <v>54</v>
      </c>
    </row>
    <row r="7572" spans="1:20" ht="14.5" x14ac:dyDescent="0.35">
      <c r="A7572" s="10" t="s">
        <v>35848</v>
      </c>
      <c r="B7572" s="10" t="str">
        <f>"9780801868054"</f>
        <v>9780801868054</v>
      </c>
      <c r="C7572" s="10" t="str">
        <f>"9780801877667"</f>
        <v>9780801877667</v>
      </c>
      <c r="D7572" s="10" t="s">
        <v>884</v>
      </c>
      <c r="E7572" s="10" t="s">
        <v>884</v>
      </c>
      <c r="F7572" s="10" t="s">
        <v>885</v>
      </c>
      <c r="G7572" s="10" t="s">
        <v>6317</v>
      </c>
      <c r="H7572" s="11">
        <v>37351</v>
      </c>
      <c r="I7572" s="10">
        <v>2002</v>
      </c>
      <c r="J7572" s="10" t="s">
        <v>884</v>
      </c>
      <c r="K7572" s="10">
        <v>462</v>
      </c>
      <c r="L7572" s="10" t="s">
        <v>35849</v>
      </c>
      <c r="M7572" s="10">
        <v>1</v>
      </c>
      <c r="N7572" s="10"/>
      <c r="O7572" s="10"/>
      <c r="P7572" s="10" t="s">
        <v>35850</v>
      </c>
      <c r="Q7572" s="10" t="s">
        <v>35851</v>
      </c>
      <c r="R7572" s="10" t="s">
        <v>35852</v>
      </c>
      <c r="S7572" s="10" t="s">
        <v>53</v>
      </c>
      <c r="T7572" s="10" t="s">
        <v>54</v>
      </c>
    </row>
    <row r="7573" spans="1:20" ht="14.5" x14ac:dyDescent="0.35">
      <c r="A7573" s="10" t="s">
        <v>35853</v>
      </c>
      <c r="B7573" s="10" t="str">
        <f>"9780801870996"</f>
        <v>9780801870996</v>
      </c>
      <c r="C7573" s="10" t="str">
        <f>"9780801877209"</f>
        <v>9780801877209</v>
      </c>
      <c r="D7573" s="10" t="s">
        <v>884</v>
      </c>
      <c r="E7573" s="10" t="s">
        <v>884</v>
      </c>
      <c r="F7573" s="10" t="s">
        <v>885</v>
      </c>
      <c r="G7573" s="10" t="s">
        <v>6317</v>
      </c>
      <c r="H7573" s="11">
        <v>37613</v>
      </c>
      <c r="I7573" s="10">
        <v>2002</v>
      </c>
      <c r="J7573" s="10" t="s">
        <v>884</v>
      </c>
      <c r="K7573" s="10">
        <v>212</v>
      </c>
      <c r="L7573" s="10" t="s">
        <v>35854</v>
      </c>
      <c r="M7573" s="10">
        <v>1</v>
      </c>
      <c r="N7573" s="10"/>
      <c r="O7573" s="10"/>
      <c r="P7573" s="10" t="s">
        <v>35855</v>
      </c>
      <c r="Q7573" s="10">
        <v>370.11700000000002</v>
      </c>
      <c r="R7573" s="10" t="s">
        <v>35856</v>
      </c>
      <c r="S7573" s="10" t="s">
        <v>53</v>
      </c>
      <c r="T7573" s="10" t="s">
        <v>54</v>
      </c>
    </row>
    <row r="7574" spans="1:20" ht="14.5" x14ac:dyDescent="0.35">
      <c r="A7574" s="10" t="s">
        <v>35857</v>
      </c>
      <c r="B7574" s="10" t="str">
        <f>"9780801866555"</f>
        <v>9780801866555</v>
      </c>
      <c r="C7574" s="10" t="str">
        <f>"9780801874567"</f>
        <v>9780801874567</v>
      </c>
      <c r="D7574" s="10" t="s">
        <v>884</v>
      </c>
      <c r="E7574" s="10" t="s">
        <v>884</v>
      </c>
      <c r="F7574" s="10" t="s">
        <v>885</v>
      </c>
      <c r="G7574" s="10" t="s">
        <v>6317</v>
      </c>
      <c r="H7574" s="11">
        <v>37139</v>
      </c>
      <c r="I7574" s="10">
        <v>2002</v>
      </c>
      <c r="J7574" s="10" t="s">
        <v>884</v>
      </c>
      <c r="K7574" s="10">
        <v>373</v>
      </c>
      <c r="L7574" s="10" t="s">
        <v>35858</v>
      </c>
      <c r="M7574" s="10">
        <v>1</v>
      </c>
      <c r="N7574" s="10"/>
      <c r="O7574" s="10"/>
      <c r="P7574" s="10" t="s">
        <v>35859</v>
      </c>
      <c r="Q7574" s="10">
        <v>378.73</v>
      </c>
      <c r="R7574" s="10" t="s">
        <v>35860</v>
      </c>
      <c r="S7574" s="10" t="s">
        <v>53</v>
      </c>
      <c r="T7574" s="10" t="s">
        <v>54</v>
      </c>
    </row>
    <row r="7575" spans="1:20" ht="14.5" x14ac:dyDescent="0.35">
      <c r="A7575" s="10" t="s">
        <v>35861</v>
      </c>
      <c r="B7575" s="10" t="str">
        <f>"9780801873409"</f>
        <v>9780801873409</v>
      </c>
      <c r="C7575" s="10" t="str">
        <f>"9780801881350"</f>
        <v>9780801881350</v>
      </c>
      <c r="D7575" s="10" t="s">
        <v>884</v>
      </c>
      <c r="E7575" s="10" t="s">
        <v>884</v>
      </c>
      <c r="F7575" s="10" t="s">
        <v>885</v>
      </c>
      <c r="G7575" s="10" t="s">
        <v>6317</v>
      </c>
      <c r="H7575" s="11">
        <v>37904</v>
      </c>
      <c r="I7575" s="10">
        <v>2003</v>
      </c>
      <c r="J7575" s="10" t="s">
        <v>884</v>
      </c>
      <c r="K7575" s="10">
        <v>359</v>
      </c>
      <c r="L7575" s="10" t="s">
        <v>35862</v>
      </c>
      <c r="M7575" s="10">
        <v>1</v>
      </c>
      <c r="N7575" s="10"/>
      <c r="O7575" s="10"/>
      <c r="P7575" s="10" t="s">
        <v>35863</v>
      </c>
      <c r="Q7575" s="10" t="s">
        <v>35864</v>
      </c>
      <c r="R7575" s="10" t="s">
        <v>35865</v>
      </c>
      <c r="S7575" s="10" t="s">
        <v>53</v>
      </c>
      <c r="T7575" s="10" t="s">
        <v>54</v>
      </c>
    </row>
    <row r="7576" spans="1:20" ht="14.5" x14ac:dyDescent="0.35">
      <c r="A7576" s="10" t="s">
        <v>35866</v>
      </c>
      <c r="B7576" s="10" t="str">
        <f>"9780801874512"</f>
        <v>9780801874512</v>
      </c>
      <c r="C7576" s="10" t="str">
        <f>"9780801881497"</f>
        <v>9780801881497</v>
      </c>
      <c r="D7576" s="10" t="s">
        <v>884</v>
      </c>
      <c r="E7576" s="10" t="s">
        <v>884</v>
      </c>
      <c r="F7576" s="10" t="s">
        <v>885</v>
      </c>
      <c r="G7576" s="10" t="s">
        <v>6317</v>
      </c>
      <c r="H7576" s="11">
        <v>38026</v>
      </c>
      <c r="I7576" s="10">
        <v>2004</v>
      </c>
      <c r="J7576" s="10" t="s">
        <v>884</v>
      </c>
      <c r="K7576" s="10">
        <v>202</v>
      </c>
      <c r="L7576" s="10" t="s">
        <v>35867</v>
      </c>
      <c r="M7576" s="10">
        <v>1</v>
      </c>
      <c r="N7576" s="10"/>
      <c r="O7576" s="10"/>
      <c r="P7576" s="10" t="s">
        <v>35868</v>
      </c>
      <c r="Q7576" s="10" t="s">
        <v>8223</v>
      </c>
      <c r="R7576" s="10" t="s">
        <v>35869</v>
      </c>
      <c r="S7576" s="10" t="s">
        <v>53</v>
      </c>
      <c r="T7576" s="10" t="s">
        <v>54</v>
      </c>
    </row>
    <row r="7577" spans="1:20" ht="14.5" x14ac:dyDescent="0.35">
      <c r="A7577" s="10" t="s">
        <v>35870</v>
      </c>
      <c r="B7577" s="10" t="str">
        <f>"9780801884474"</f>
        <v>9780801884474</v>
      </c>
      <c r="C7577" s="10" t="str">
        <f>"9780801889592"</f>
        <v>9780801889592</v>
      </c>
      <c r="D7577" s="10" t="s">
        <v>884</v>
      </c>
      <c r="E7577" s="10" t="s">
        <v>884</v>
      </c>
      <c r="F7577" s="10" t="s">
        <v>885</v>
      </c>
      <c r="G7577" s="10" t="s">
        <v>6317</v>
      </c>
      <c r="H7577" s="11">
        <v>39077</v>
      </c>
      <c r="I7577" s="10">
        <v>2007</v>
      </c>
      <c r="J7577" s="10" t="s">
        <v>884</v>
      </c>
      <c r="K7577" s="10">
        <v>322</v>
      </c>
      <c r="L7577" s="10" t="s">
        <v>35871</v>
      </c>
      <c r="M7577" s="10">
        <v>1</v>
      </c>
      <c r="N7577" s="10"/>
      <c r="O7577" s="10"/>
      <c r="P7577" s="10" t="s">
        <v>35872</v>
      </c>
      <c r="Q7577" s="10" t="s">
        <v>7307</v>
      </c>
      <c r="R7577" s="10" t="s">
        <v>35873</v>
      </c>
      <c r="S7577" s="10" t="s">
        <v>53</v>
      </c>
      <c r="T7577" s="10" t="s">
        <v>54</v>
      </c>
    </row>
    <row r="7578" spans="1:20" ht="14.5" x14ac:dyDescent="0.35">
      <c r="A7578" s="10" t="s">
        <v>35874</v>
      </c>
      <c r="B7578" s="10" t="str">
        <f>"9780801883903"</f>
        <v>9780801883903</v>
      </c>
      <c r="C7578" s="10" t="str">
        <f>"9780801889424"</f>
        <v>9780801889424</v>
      </c>
      <c r="D7578" s="10" t="s">
        <v>884</v>
      </c>
      <c r="E7578" s="10" t="s">
        <v>884</v>
      </c>
      <c r="F7578" s="10" t="s">
        <v>885</v>
      </c>
      <c r="G7578" s="10" t="s">
        <v>6317</v>
      </c>
      <c r="H7578" s="11">
        <v>38821</v>
      </c>
      <c r="I7578" s="10">
        <v>2006</v>
      </c>
      <c r="J7578" s="10" t="s">
        <v>884</v>
      </c>
      <c r="K7578" s="10">
        <v>430</v>
      </c>
      <c r="L7578" s="10" t="s">
        <v>35875</v>
      </c>
      <c r="M7578" s="10">
        <v>1</v>
      </c>
      <c r="N7578" s="10"/>
      <c r="O7578" s="10"/>
      <c r="P7578" s="10" t="s">
        <v>35876</v>
      </c>
      <c r="Q7578" s="10" t="s">
        <v>35877</v>
      </c>
      <c r="R7578" s="10" t="s">
        <v>35878</v>
      </c>
      <c r="S7578" s="10" t="s">
        <v>53</v>
      </c>
      <c r="T7578" s="10" t="s">
        <v>6601</v>
      </c>
    </row>
    <row r="7579" spans="1:20" ht="14.5" x14ac:dyDescent="0.35">
      <c r="A7579" s="10" t="s">
        <v>35879</v>
      </c>
      <c r="B7579" s="10" t="str">
        <f>"9780801892165"</f>
        <v>9780801892165</v>
      </c>
      <c r="C7579" s="10" t="str">
        <f>"9780801888861"</f>
        <v>9780801888861</v>
      </c>
      <c r="D7579" s="10" t="s">
        <v>884</v>
      </c>
      <c r="E7579" s="10" t="s">
        <v>884</v>
      </c>
      <c r="F7579" s="10" t="s">
        <v>885</v>
      </c>
      <c r="G7579" s="10" t="s">
        <v>6317</v>
      </c>
      <c r="H7579" s="11">
        <v>39045</v>
      </c>
      <c r="I7579" s="10">
        <v>2007</v>
      </c>
      <c r="J7579" s="10" t="s">
        <v>884</v>
      </c>
      <c r="K7579" s="10">
        <v>269</v>
      </c>
      <c r="L7579" s="10" t="s">
        <v>35880</v>
      </c>
      <c r="M7579" s="10">
        <v>1</v>
      </c>
      <c r="N7579" s="10"/>
      <c r="O7579" s="10"/>
      <c r="P7579" s="10" t="s">
        <v>35881</v>
      </c>
      <c r="Q7579" s="10" t="s">
        <v>22115</v>
      </c>
      <c r="R7579" s="10" t="s">
        <v>35882</v>
      </c>
      <c r="S7579" s="10" t="s">
        <v>53</v>
      </c>
      <c r="T7579" s="10" t="s">
        <v>54</v>
      </c>
    </row>
    <row r="7580" spans="1:20" ht="14.5" x14ac:dyDescent="0.35">
      <c r="A7580" s="10" t="s">
        <v>35883</v>
      </c>
      <c r="B7580" s="10" t="str">
        <f>"9780801886157"</f>
        <v>9780801886157</v>
      </c>
      <c r="C7580" s="10" t="str">
        <f>"9780801892158"</f>
        <v>9780801892158</v>
      </c>
      <c r="D7580" s="10" t="s">
        <v>6358</v>
      </c>
      <c r="E7580" s="10" t="s">
        <v>884</v>
      </c>
      <c r="F7580" s="10" t="s">
        <v>70</v>
      </c>
      <c r="G7580" s="10" t="s">
        <v>6317</v>
      </c>
      <c r="H7580" s="11">
        <v>39279</v>
      </c>
      <c r="I7580" s="10">
        <v>2007</v>
      </c>
      <c r="J7580" s="10" t="s">
        <v>884</v>
      </c>
      <c r="K7580" s="10">
        <v>395</v>
      </c>
      <c r="L7580" s="10" t="s">
        <v>31850</v>
      </c>
      <c r="M7580" s="10">
        <v>1</v>
      </c>
      <c r="N7580" s="10"/>
      <c r="O7580" s="10"/>
      <c r="P7580" s="10" t="s">
        <v>35884</v>
      </c>
      <c r="Q7580" s="10">
        <v>306.43200000000002</v>
      </c>
      <c r="R7580" s="10" t="s">
        <v>35885</v>
      </c>
      <c r="S7580" s="10" t="s">
        <v>53</v>
      </c>
      <c r="T7580" s="10" t="s">
        <v>6472</v>
      </c>
    </row>
    <row r="7581" spans="1:20" ht="14.5" x14ac:dyDescent="0.35">
      <c r="A7581" s="10" t="s">
        <v>35886</v>
      </c>
      <c r="B7581" s="10" t="str">
        <f>"9780801884955"</f>
        <v>9780801884955</v>
      </c>
      <c r="C7581" s="10" t="str">
        <f>"9780801892400"</f>
        <v>9780801892400</v>
      </c>
      <c r="D7581" s="10" t="s">
        <v>884</v>
      </c>
      <c r="E7581" s="10" t="s">
        <v>884</v>
      </c>
      <c r="F7581" s="10" t="s">
        <v>885</v>
      </c>
      <c r="G7581" s="10" t="s">
        <v>6317</v>
      </c>
      <c r="H7581" s="11">
        <v>39066</v>
      </c>
      <c r="I7581" s="10">
        <v>2007</v>
      </c>
      <c r="J7581" s="10" t="s">
        <v>884</v>
      </c>
      <c r="K7581" s="10">
        <v>305</v>
      </c>
      <c r="L7581" s="10" t="s">
        <v>35887</v>
      </c>
      <c r="M7581" s="10">
        <v>1</v>
      </c>
      <c r="N7581" s="10" t="s">
        <v>35888</v>
      </c>
      <c r="O7581" s="10"/>
      <c r="P7581" s="10"/>
      <c r="Q7581" s="10" t="s">
        <v>35889</v>
      </c>
      <c r="R7581" s="10"/>
      <c r="S7581" s="10" t="s">
        <v>53</v>
      </c>
      <c r="T7581" s="10" t="s">
        <v>54</v>
      </c>
    </row>
    <row r="7582" spans="1:20" ht="14.5" x14ac:dyDescent="0.35">
      <c r="A7582" s="10" t="s">
        <v>35890</v>
      </c>
      <c r="B7582" s="10" t="str">
        <f>"9780801886041"</f>
        <v>9780801886041</v>
      </c>
      <c r="C7582" s="10" t="str">
        <f>"9780801891854"</f>
        <v>9780801891854</v>
      </c>
      <c r="D7582" s="10" t="s">
        <v>884</v>
      </c>
      <c r="E7582" s="10" t="s">
        <v>884</v>
      </c>
      <c r="F7582" s="10" t="s">
        <v>885</v>
      </c>
      <c r="G7582" s="10" t="s">
        <v>6317</v>
      </c>
      <c r="H7582" s="11">
        <v>39262</v>
      </c>
      <c r="I7582" s="10">
        <v>2007</v>
      </c>
      <c r="J7582" s="10" t="s">
        <v>884</v>
      </c>
      <c r="K7582" s="10">
        <v>288</v>
      </c>
      <c r="L7582" s="10" t="s">
        <v>35891</v>
      </c>
      <c r="M7582" s="10">
        <v>1</v>
      </c>
      <c r="N7582" s="10"/>
      <c r="O7582" s="10"/>
      <c r="P7582" s="10" t="s">
        <v>35892</v>
      </c>
      <c r="Q7582" s="10" t="s">
        <v>32999</v>
      </c>
      <c r="R7582" s="10" t="s">
        <v>35893</v>
      </c>
      <c r="S7582" s="10" t="s">
        <v>53</v>
      </c>
      <c r="T7582" s="10" t="s">
        <v>54</v>
      </c>
    </row>
    <row r="7583" spans="1:20" ht="14.5" x14ac:dyDescent="0.35">
      <c r="A7583" s="10" t="s">
        <v>35894</v>
      </c>
      <c r="B7583" s="10" t="str">
        <f>"9780801891717"</f>
        <v>9780801891717</v>
      </c>
      <c r="C7583" s="10" t="str">
        <f>"9780801897832"</f>
        <v>9780801897832</v>
      </c>
      <c r="D7583" s="10" t="s">
        <v>884</v>
      </c>
      <c r="E7583" s="10" t="s">
        <v>884</v>
      </c>
      <c r="F7583" s="10" t="s">
        <v>885</v>
      </c>
      <c r="G7583" s="10" t="s">
        <v>6317</v>
      </c>
      <c r="H7583" s="11">
        <v>40021</v>
      </c>
      <c r="I7583" s="10">
        <v>2009</v>
      </c>
      <c r="J7583" s="10" t="s">
        <v>884</v>
      </c>
      <c r="K7583" s="10">
        <v>312</v>
      </c>
      <c r="L7583" s="10" t="s">
        <v>35895</v>
      </c>
      <c r="M7583" s="10">
        <v>1</v>
      </c>
      <c r="N7583" s="10"/>
      <c r="O7583" s="10"/>
      <c r="P7583" s="10" t="s">
        <v>35896</v>
      </c>
      <c r="Q7583" s="10" t="s">
        <v>35897</v>
      </c>
      <c r="R7583" s="10" t="s">
        <v>35898</v>
      </c>
      <c r="S7583" s="10" t="s">
        <v>53</v>
      </c>
      <c r="T7583" s="10" t="s">
        <v>54</v>
      </c>
    </row>
    <row r="7584" spans="1:20" ht="14.5" x14ac:dyDescent="0.35">
      <c r="A7584" s="10" t="s">
        <v>35899</v>
      </c>
      <c r="B7584" s="10" t="str">
        <f>"9780801890536"</f>
        <v>9780801890536</v>
      </c>
      <c r="C7584" s="10" t="str">
        <f>"9780801896781"</f>
        <v>9780801896781</v>
      </c>
      <c r="D7584" s="10" t="s">
        <v>884</v>
      </c>
      <c r="E7584" s="10" t="s">
        <v>884</v>
      </c>
      <c r="F7584" s="10" t="s">
        <v>885</v>
      </c>
      <c r="G7584" s="10" t="s">
        <v>6317</v>
      </c>
      <c r="H7584" s="11">
        <v>39890</v>
      </c>
      <c r="I7584" s="10">
        <v>2009</v>
      </c>
      <c r="J7584" s="10" t="s">
        <v>884</v>
      </c>
      <c r="K7584" s="10">
        <v>432</v>
      </c>
      <c r="L7584" s="10" t="s">
        <v>35900</v>
      </c>
      <c r="M7584" s="10">
        <v>1</v>
      </c>
      <c r="N7584" s="10"/>
      <c r="O7584" s="10"/>
      <c r="P7584" s="10" t="s">
        <v>35901</v>
      </c>
      <c r="Q7584" s="10">
        <v>378</v>
      </c>
      <c r="R7584" s="10" t="s">
        <v>35902</v>
      </c>
      <c r="S7584" s="10" t="s">
        <v>53</v>
      </c>
      <c r="T7584" s="10" t="s">
        <v>54</v>
      </c>
    </row>
    <row r="7585" spans="1:20" ht="14.5" x14ac:dyDescent="0.35">
      <c r="A7585" s="10" t="s">
        <v>35903</v>
      </c>
      <c r="B7585" s="10" t="str">
        <f>"9780801890314"</f>
        <v>9780801890314</v>
      </c>
      <c r="C7585" s="10" t="str">
        <f>"9780801895180"</f>
        <v>9780801895180</v>
      </c>
      <c r="D7585" s="10" t="s">
        <v>884</v>
      </c>
      <c r="E7585" s="10" t="s">
        <v>884</v>
      </c>
      <c r="F7585" s="10" t="s">
        <v>885</v>
      </c>
      <c r="G7585" s="10" t="s">
        <v>6317</v>
      </c>
      <c r="H7585" s="11">
        <v>39753</v>
      </c>
      <c r="I7585" s="10">
        <v>2009</v>
      </c>
      <c r="J7585" s="10" t="s">
        <v>884</v>
      </c>
      <c r="K7585" s="10">
        <v>206</v>
      </c>
      <c r="L7585" s="10" t="s">
        <v>35904</v>
      </c>
      <c r="M7585" s="10">
        <v>1</v>
      </c>
      <c r="N7585" s="10"/>
      <c r="O7585" s="10"/>
      <c r="P7585" s="10" t="s">
        <v>35905</v>
      </c>
      <c r="Q7585" s="10">
        <v>379.73</v>
      </c>
      <c r="R7585" s="10" t="s">
        <v>35906</v>
      </c>
      <c r="S7585" s="10" t="s">
        <v>53</v>
      </c>
      <c r="T7585" s="10" t="s">
        <v>54</v>
      </c>
    </row>
    <row r="7586" spans="1:20" ht="14.5" x14ac:dyDescent="0.35">
      <c r="A7586" s="10" t="s">
        <v>35907</v>
      </c>
      <c r="B7586" s="10" t="str">
        <f>"9780801891311"</f>
        <v>9780801891311</v>
      </c>
      <c r="C7586" s="10" t="str">
        <f>"9780801896408"</f>
        <v>9780801896408</v>
      </c>
      <c r="D7586" s="10" t="s">
        <v>884</v>
      </c>
      <c r="E7586" s="10" t="s">
        <v>884</v>
      </c>
      <c r="F7586" s="10" t="s">
        <v>885</v>
      </c>
      <c r="G7586" s="10" t="s">
        <v>6317</v>
      </c>
      <c r="H7586" s="11">
        <v>39965</v>
      </c>
      <c r="I7586" s="10">
        <v>2009</v>
      </c>
      <c r="J7586" s="10" t="s">
        <v>884</v>
      </c>
      <c r="K7586" s="10">
        <v>319</v>
      </c>
      <c r="L7586" s="10" t="s">
        <v>35908</v>
      </c>
      <c r="M7586" s="10">
        <v>1</v>
      </c>
      <c r="N7586" s="10"/>
      <c r="O7586" s="10"/>
      <c r="P7586" s="10" t="s">
        <v>35909</v>
      </c>
      <c r="Q7586" s="10" t="s">
        <v>8223</v>
      </c>
      <c r="R7586" s="10" t="s">
        <v>35910</v>
      </c>
      <c r="S7586" s="10" t="s">
        <v>53</v>
      </c>
      <c r="T7586" s="10" t="s">
        <v>54</v>
      </c>
    </row>
    <row r="7587" spans="1:20" ht="14.5" x14ac:dyDescent="0.35">
      <c r="A7587" s="10" t="s">
        <v>35911</v>
      </c>
      <c r="B7587" s="10" t="str">
        <f>"9780801891618"</f>
        <v>9780801891618</v>
      </c>
      <c r="C7587" s="10" t="str">
        <f>"9780801896514"</f>
        <v>9780801896514</v>
      </c>
      <c r="D7587" s="10" t="s">
        <v>884</v>
      </c>
      <c r="E7587" s="10" t="s">
        <v>884</v>
      </c>
      <c r="F7587" s="10" t="s">
        <v>885</v>
      </c>
      <c r="G7587" s="10" t="s">
        <v>6317</v>
      </c>
      <c r="H7587" s="11">
        <v>39979</v>
      </c>
      <c r="I7587" s="10">
        <v>2009</v>
      </c>
      <c r="J7587" s="10" t="s">
        <v>884</v>
      </c>
      <c r="K7587" s="10">
        <v>281</v>
      </c>
      <c r="L7587" s="10" t="s">
        <v>35912</v>
      </c>
      <c r="M7587" s="10">
        <v>1</v>
      </c>
      <c r="N7587" s="10"/>
      <c r="O7587" s="10"/>
      <c r="P7587" s="10" t="s">
        <v>35913</v>
      </c>
      <c r="Q7587" s="10">
        <v>378.73</v>
      </c>
      <c r="R7587" s="10" t="s">
        <v>35914</v>
      </c>
      <c r="S7587" s="10" t="s">
        <v>53</v>
      </c>
      <c r="T7587" s="10" t="s">
        <v>54</v>
      </c>
    </row>
    <row r="7588" spans="1:20" ht="14.5" x14ac:dyDescent="0.35">
      <c r="A7588" s="10" t="s">
        <v>35915</v>
      </c>
      <c r="B7588" s="10" t="str">
        <f>"9780801887451"</f>
        <v>9780801887451</v>
      </c>
      <c r="C7588" s="10" t="str">
        <f>"9780801888892"</f>
        <v>9780801888892</v>
      </c>
      <c r="D7588" s="10" t="s">
        <v>884</v>
      </c>
      <c r="E7588" s="10" t="s">
        <v>884</v>
      </c>
      <c r="F7588" s="10" t="s">
        <v>885</v>
      </c>
      <c r="G7588" s="10" t="s">
        <v>6317</v>
      </c>
      <c r="H7588" s="11">
        <v>38736</v>
      </c>
      <c r="I7588" s="10">
        <v>2006</v>
      </c>
      <c r="J7588" s="10" t="s">
        <v>884</v>
      </c>
      <c r="K7588" s="10">
        <v>291</v>
      </c>
      <c r="L7588" s="10" t="s">
        <v>35916</v>
      </c>
      <c r="M7588" s="10">
        <v>1</v>
      </c>
      <c r="N7588" s="10"/>
      <c r="O7588" s="10"/>
      <c r="P7588" s="10" t="s">
        <v>35917</v>
      </c>
      <c r="Q7588" s="10" t="s">
        <v>35918</v>
      </c>
      <c r="R7588" s="10" t="s">
        <v>35919</v>
      </c>
      <c r="S7588" s="10" t="s">
        <v>53</v>
      </c>
      <c r="T7588" s="10" t="s">
        <v>54</v>
      </c>
    </row>
    <row r="7589" spans="1:20" ht="14.5" x14ac:dyDescent="0.35">
      <c r="A7589" s="10" t="s">
        <v>35920</v>
      </c>
      <c r="B7589" s="10" t="str">
        <f>"9780801888113"</f>
        <v>9780801888113</v>
      </c>
      <c r="C7589" s="10" t="str">
        <f>"9780801897092"</f>
        <v>9780801897092</v>
      </c>
      <c r="D7589" s="10" t="s">
        <v>884</v>
      </c>
      <c r="E7589" s="10" t="s">
        <v>884</v>
      </c>
      <c r="F7589" s="10" t="s">
        <v>885</v>
      </c>
      <c r="G7589" s="10" t="s">
        <v>6317</v>
      </c>
      <c r="H7589" s="11">
        <v>39644</v>
      </c>
      <c r="I7589" s="10">
        <v>2008</v>
      </c>
      <c r="J7589" s="10" t="s">
        <v>884</v>
      </c>
      <c r="K7589" s="10">
        <v>281</v>
      </c>
      <c r="L7589" s="10" t="s">
        <v>35921</v>
      </c>
      <c r="M7589" s="10">
        <v>1</v>
      </c>
      <c r="N7589" s="10"/>
      <c r="O7589" s="10"/>
      <c r="P7589" s="10" t="s">
        <v>35922</v>
      </c>
      <c r="Q7589" s="10">
        <v>362.11097530000001</v>
      </c>
      <c r="R7589" s="10" t="s">
        <v>35923</v>
      </c>
      <c r="S7589" s="10" t="s">
        <v>53</v>
      </c>
      <c r="T7589" s="10" t="s">
        <v>8368</v>
      </c>
    </row>
    <row r="7590" spans="1:20" ht="14.5" x14ac:dyDescent="0.35">
      <c r="A7590" s="10" t="s">
        <v>35924</v>
      </c>
      <c r="B7590" s="10" t="str">
        <f>"9780801893728"</f>
        <v>9780801893728</v>
      </c>
      <c r="C7590" s="10" t="str">
        <f>"9780801896088"</f>
        <v>9780801896088</v>
      </c>
      <c r="D7590" s="10" t="s">
        <v>884</v>
      </c>
      <c r="E7590" s="10" t="s">
        <v>884</v>
      </c>
      <c r="F7590" s="10" t="s">
        <v>885</v>
      </c>
      <c r="G7590" s="10" t="s">
        <v>6317</v>
      </c>
      <c r="H7590" s="11">
        <v>40196</v>
      </c>
      <c r="I7590" s="10">
        <v>2010</v>
      </c>
      <c r="J7590" s="10" t="s">
        <v>884</v>
      </c>
      <c r="K7590" s="10">
        <v>337</v>
      </c>
      <c r="L7590" s="10" t="s">
        <v>35925</v>
      </c>
      <c r="M7590" s="10">
        <v>1</v>
      </c>
      <c r="N7590" s="10"/>
      <c r="O7590" s="10"/>
      <c r="P7590" s="10" t="s">
        <v>35926</v>
      </c>
      <c r="Q7590" s="10" t="s">
        <v>35927</v>
      </c>
      <c r="R7590" s="10" t="s">
        <v>35928</v>
      </c>
      <c r="S7590" s="10" t="s">
        <v>53</v>
      </c>
      <c r="T7590" s="10" t="s">
        <v>54</v>
      </c>
    </row>
    <row r="7591" spans="1:20" ht="14.5" x14ac:dyDescent="0.35">
      <c r="A7591" s="10" t="s">
        <v>35929</v>
      </c>
      <c r="B7591" s="10" t="str">
        <f>"9780801881039"</f>
        <v>9780801881039</v>
      </c>
      <c r="C7591" s="10" t="str">
        <f>"9780801895999"</f>
        <v>9780801895999</v>
      </c>
      <c r="D7591" s="10" t="s">
        <v>884</v>
      </c>
      <c r="E7591" s="10" t="s">
        <v>884</v>
      </c>
      <c r="F7591" s="10" t="s">
        <v>885</v>
      </c>
      <c r="G7591" s="10" t="s">
        <v>6317</v>
      </c>
      <c r="H7591" s="11">
        <v>38484</v>
      </c>
      <c r="I7591" s="10">
        <v>2005</v>
      </c>
      <c r="J7591" s="10" t="s">
        <v>884</v>
      </c>
      <c r="K7591" s="10">
        <v>203</v>
      </c>
      <c r="L7591" s="10" t="s">
        <v>34993</v>
      </c>
      <c r="M7591" s="10">
        <v>1</v>
      </c>
      <c r="N7591" s="10"/>
      <c r="O7591" s="10"/>
      <c r="P7591" s="10" t="s">
        <v>35930</v>
      </c>
      <c r="Q7591" s="10" t="s">
        <v>16014</v>
      </c>
      <c r="R7591" s="10" t="s">
        <v>35931</v>
      </c>
      <c r="S7591" s="10" t="s">
        <v>53</v>
      </c>
      <c r="T7591" s="10" t="s">
        <v>54</v>
      </c>
    </row>
    <row r="7592" spans="1:20" ht="14.5" x14ac:dyDescent="0.35">
      <c r="A7592" s="10" t="s">
        <v>35932</v>
      </c>
      <c r="B7592" s="10" t="str">
        <f>"9780801893223"</f>
        <v>9780801893223</v>
      </c>
      <c r="C7592" s="10" t="str">
        <f>"9780801897931"</f>
        <v>9780801897931</v>
      </c>
      <c r="D7592" s="10" t="s">
        <v>6358</v>
      </c>
      <c r="E7592" s="10" t="s">
        <v>884</v>
      </c>
      <c r="F7592" s="10" t="s">
        <v>70</v>
      </c>
      <c r="G7592" s="10" t="s">
        <v>6317</v>
      </c>
      <c r="H7592" s="11">
        <v>40179</v>
      </c>
      <c r="I7592" s="10">
        <v>2010</v>
      </c>
      <c r="J7592" s="10" t="s">
        <v>884</v>
      </c>
      <c r="K7592" s="10">
        <v>229</v>
      </c>
      <c r="L7592" s="10" t="s">
        <v>35933</v>
      </c>
      <c r="M7592" s="10">
        <v>1</v>
      </c>
      <c r="N7592" s="10"/>
      <c r="O7592" s="10"/>
      <c r="P7592" s="10" t="s">
        <v>35934</v>
      </c>
      <c r="Q7592" s="10">
        <v>796.01530000000002</v>
      </c>
      <c r="R7592" s="10" t="s">
        <v>15630</v>
      </c>
      <c r="S7592" s="10" t="s">
        <v>53</v>
      </c>
      <c r="T7592" s="10" t="s">
        <v>7340</v>
      </c>
    </row>
    <row r="7593" spans="1:20" ht="14.5" x14ac:dyDescent="0.35">
      <c r="A7593" s="10" t="s">
        <v>35935</v>
      </c>
      <c r="B7593" s="10" t="str">
        <f>"9780801890680"</f>
        <v>9780801890680</v>
      </c>
      <c r="C7593" s="10" t="str">
        <f>"9780801898822"</f>
        <v>9780801898822</v>
      </c>
      <c r="D7593" s="10" t="s">
        <v>884</v>
      </c>
      <c r="E7593" s="10" t="s">
        <v>884</v>
      </c>
      <c r="F7593" s="10" t="s">
        <v>885</v>
      </c>
      <c r="G7593" s="10" t="s">
        <v>6317</v>
      </c>
      <c r="H7593" s="11">
        <v>39814</v>
      </c>
      <c r="I7593" s="10">
        <v>2009</v>
      </c>
      <c r="J7593" s="10" t="s">
        <v>884</v>
      </c>
      <c r="K7593" s="10">
        <v>324</v>
      </c>
      <c r="L7593" s="10" t="s">
        <v>35936</v>
      </c>
      <c r="M7593" s="10">
        <v>1</v>
      </c>
      <c r="N7593" s="10"/>
      <c r="O7593" s="10"/>
      <c r="P7593" s="10" t="s">
        <v>35937</v>
      </c>
      <c r="Q7593" s="10" t="s">
        <v>35938</v>
      </c>
      <c r="R7593" s="10" t="s">
        <v>35939</v>
      </c>
      <c r="S7593" s="10" t="s">
        <v>53</v>
      </c>
      <c r="T7593" s="10" t="s">
        <v>54</v>
      </c>
    </row>
    <row r="7594" spans="1:20" ht="14.5" x14ac:dyDescent="0.35">
      <c r="A7594" s="10" t="s">
        <v>35940</v>
      </c>
      <c r="B7594" s="10" t="str">
        <f>"9780801867767"</f>
        <v>9780801867767</v>
      </c>
      <c r="C7594" s="10" t="str">
        <f>"9780801898082"</f>
        <v>9780801898082</v>
      </c>
      <c r="D7594" s="10" t="s">
        <v>884</v>
      </c>
      <c r="E7594" s="10" t="s">
        <v>884</v>
      </c>
      <c r="F7594" s="10" t="s">
        <v>885</v>
      </c>
      <c r="G7594" s="10" t="s">
        <v>6317</v>
      </c>
      <c r="H7594" s="11">
        <v>37229</v>
      </c>
      <c r="I7594" s="10">
        <v>2002</v>
      </c>
      <c r="J7594" s="10" t="s">
        <v>884</v>
      </c>
      <c r="K7594" s="10">
        <v>253</v>
      </c>
      <c r="L7594" s="10" t="s">
        <v>35941</v>
      </c>
      <c r="M7594" s="10">
        <v>1</v>
      </c>
      <c r="N7594" s="10"/>
      <c r="O7594" s="10"/>
      <c r="P7594" s="10" t="s">
        <v>35942</v>
      </c>
      <c r="Q7594" s="10" t="s">
        <v>14718</v>
      </c>
      <c r="R7594" s="10" t="s">
        <v>35943</v>
      </c>
      <c r="S7594" s="10" t="s">
        <v>53</v>
      </c>
      <c r="T7594" s="10" t="s">
        <v>54</v>
      </c>
    </row>
    <row r="7595" spans="1:20" ht="14.5" x14ac:dyDescent="0.35">
      <c r="A7595" s="10" t="s">
        <v>35944</v>
      </c>
      <c r="B7595" s="10" t="str">
        <f>"9781421406220"</f>
        <v>9781421406220</v>
      </c>
      <c r="C7595" s="10" t="str">
        <f>"9781421406930"</f>
        <v>9781421406930</v>
      </c>
      <c r="D7595" s="10" t="s">
        <v>884</v>
      </c>
      <c r="E7595" s="10" t="s">
        <v>884</v>
      </c>
      <c r="F7595" s="10" t="s">
        <v>885</v>
      </c>
      <c r="G7595" s="10" t="s">
        <v>6317</v>
      </c>
      <c r="H7595" s="11">
        <v>41153</v>
      </c>
      <c r="I7595" s="10">
        <v>2012</v>
      </c>
      <c r="J7595" s="10" t="s">
        <v>884</v>
      </c>
      <c r="K7595" s="10">
        <v>344</v>
      </c>
      <c r="L7595" s="10" t="s">
        <v>35945</v>
      </c>
      <c r="M7595" s="10">
        <v>1</v>
      </c>
      <c r="N7595" s="10"/>
      <c r="O7595" s="10"/>
      <c r="P7595" s="10" t="s">
        <v>35946</v>
      </c>
      <c r="Q7595" s="10">
        <v>378.73</v>
      </c>
      <c r="R7595" s="10" t="s">
        <v>35947</v>
      </c>
      <c r="S7595" s="10" t="s">
        <v>53</v>
      </c>
      <c r="T7595" s="10" t="s">
        <v>54</v>
      </c>
    </row>
    <row r="7596" spans="1:20" ht="14.5" x14ac:dyDescent="0.35">
      <c r="A7596" s="10" t="s">
        <v>35948</v>
      </c>
      <c r="B7596" s="10" t="str">
        <f>"9781421404608"</f>
        <v>9781421404608</v>
      </c>
      <c r="C7596" s="10" t="str">
        <f>"9781421404820"</f>
        <v>9781421404820</v>
      </c>
      <c r="D7596" s="10" t="s">
        <v>884</v>
      </c>
      <c r="E7596" s="10" t="s">
        <v>884</v>
      </c>
      <c r="F7596" s="10" t="s">
        <v>885</v>
      </c>
      <c r="G7596" s="10" t="s">
        <v>6317</v>
      </c>
      <c r="H7596" s="11">
        <v>40969</v>
      </c>
      <c r="I7596" s="10">
        <v>2012</v>
      </c>
      <c r="J7596" s="10" t="s">
        <v>884</v>
      </c>
      <c r="K7596" s="10">
        <v>184</v>
      </c>
      <c r="L7596" s="10" t="s">
        <v>35949</v>
      </c>
      <c r="M7596" s="10">
        <v>1</v>
      </c>
      <c r="N7596" s="10"/>
      <c r="O7596" s="10"/>
      <c r="P7596" s="10" t="s">
        <v>35950</v>
      </c>
      <c r="Q7596" s="10" t="s">
        <v>27260</v>
      </c>
      <c r="R7596" s="10" t="s">
        <v>35951</v>
      </c>
      <c r="S7596" s="10" t="s">
        <v>53</v>
      </c>
      <c r="T7596" s="10" t="s">
        <v>54</v>
      </c>
    </row>
    <row r="7597" spans="1:20" ht="14.5" x14ac:dyDescent="0.35">
      <c r="A7597" s="10" t="s">
        <v>35952</v>
      </c>
      <c r="B7597" s="10" t="str">
        <f>"9781421405971"</f>
        <v>9781421405971</v>
      </c>
      <c r="C7597" s="10" t="str">
        <f>"9781421406497"</f>
        <v>9781421406497</v>
      </c>
      <c r="D7597" s="10" t="s">
        <v>884</v>
      </c>
      <c r="E7597" s="10" t="s">
        <v>884</v>
      </c>
      <c r="F7597" s="10" t="s">
        <v>885</v>
      </c>
      <c r="G7597" s="10" t="s">
        <v>6317</v>
      </c>
      <c r="H7597" s="11">
        <v>41136</v>
      </c>
      <c r="I7597" s="10">
        <v>2013</v>
      </c>
      <c r="J7597" s="10" t="s">
        <v>884</v>
      </c>
      <c r="K7597" s="10">
        <v>285</v>
      </c>
      <c r="L7597" s="10" t="s">
        <v>35953</v>
      </c>
      <c r="M7597" s="10">
        <v>1</v>
      </c>
      <c r="N7597" s="10"/>
      <c r="O7597" s="10"/>
      <c r="P7597" s="10" t="s">
        <v>35954</v>
      </c>
      <c r="Q7597" s="10" t="s">
        <v>35955</v>
      </c>
      <c r="R7597" s="10" t="s">
        <v>35956</v>
      </c>
      <c r="S7597" s="10" t="s">
        <v>53</v>
      </c>
      <c r="T7597" s="10" t="s">
        <v>54</v>
      </c>
    </row>
    <row r="7598" spans="1:20" ht="14.5" x14ac:dyDescent="0.35">
      <c r="A7598" s="10" t="s">
        <v>35957</v>
      </c>
      <c r="B7598" s="10" t="str">
        <f>"9781421407166"</f>
        <v>9781421407166</v>
      </c>
      <c r="C7598" s="10" t="str">
        <f>"9781421407562"</f>
        <v>9781421407562</v>
      </c>
      <c r="D7598" s="10" t="s">
        <v>884</v>
      </c>
      <c r="E7598" s="10" t="s">
        <v>884</v>
      </c>
      <c r="F7598" s="10" t="s">
        <v>885</v>
      </c>
      <c r="G7598" s="10" t="s">
        <v>6317</v>
      </c>
      <c r="H7598" s="11">
        <v>41214</v>
      </c>
      <c r="I7598" s="10">
        <v>2012</v>
      </c>
      <c r="J7598" s="10" t="s">
        <v>884</v>
      </c>
      <c r="K7598" s="10">
        <v>234</v>
      </c>
      <c r="L7598" s="10" t="s">
        <v>35958</v>
      </c>
      <c r="M7598" s="10">
        <v>1</v>
      </c>
      <c r="N7598" s="10"/>
      <c r="O7598" s="10"/>
      <c r="P7598" s="10" t="s">
        <v>35959</v>
      </c>
      <c r="Q7598" s="10">
        <v>378.00099999999998</v>
      </c>
      <c r="R7598" s="10" t="s">
        <v>35960</v>
      </c>
      <c r="S7598" s="10" t="s">
        <v>53</v>
      </c>
      <c r="T7598" s="10" t="s">
        <v>54</v>
      </c>
    </row>
    <row r="7599" spans="1:20" ht="14.5" x14ac:dyDescent="0.35">
      <c r="A7599" s="10" t="s">
        <v>35961</v>
      </c>
      <c r="B7599" s="10" t="str">
        <f>"9781421404592"</f>
        <v>9781421404592</v>
      </c>
      <c r="C7599" s="10" t="str">
        <f>"9781421406282"</f>
        <v>9781421406282</v>
      </c>
      <c r="D7599" s="10" t="s">
        <v>884</v>
      </c>
      <c r="E7599" s="10" t="s">
        <v>884</v>
      </c>
      <c r="F7599" s="10" t="s">
        <v>885</v>
      </c>
      <c r="G7599" s="10" t="s">
        <v>6317</v>
      </c>
      <c r="H7599" s="11">
        <v>41030</v>
      </c>
      <c r="I7599" s="10">
        <v>2012</v>
      </c>
      <c r="J7599" s="10" t="s">
        <v>884</v>
      </c>
      <c r="K7599" s="10">
        <v>352</v>
      </c>
      <c r="L7599" s="10" t="s">
        <v>35936</v>
      </c>
      <c r="M7599" s="10">
        <v>1</v>
      </c>
      <c r="N7599" s="10"/>
      <c r="O7599" s="10"/>
      <c r="P7599" s="10" t="s">
        <v>35962</v>
      </c>
      <c r="Q7599" s="10" t="s">
        <v>35963</v>
      </c>
      <c r="R7599" s="10" t="s">
        <v>35964</v>
      </c>
      <c r="S7599" s="10" t="s">
        <v>53</v>
      </c>
      <c r="T7599" s="10" t="s">
        <v>54</v>
      </c>
    </row>
    <row r="7600" spans="1:20" ht="14.5" x14ac:dyDescent="0.35">
      <c r="A7600" s="10" t="s">
        <v>35965</v>
      </c>
      <c r="B7600" s="10" t="str">
        <f>"9781421410241"</f>
        <v>9781421410241</v>
      </c>
      <c r="C7600" s="10" t="str">
        <f>"9781421410258"</f>
        <v>9781421410258</v>
      </c>
      <c r="D7600" s="10" t="s">
        <v>884</v>
      </c>
      <c r="E7600" s="10" t="s">
        <v>884</v>
      </c>
      <c r="F7600" s="10" t="s">
        <v>885</v>
      </c>
      <c r="G7600" s="10" t="s">
        <v>6317</v>
      </c>
      <c r="H7600" s="11">
        <v>41501</v>
      </c>
      <c r="I7600" s="10">
        <v>2013</v>
      </c>
      <c r="J7600" s="10" t="s">
        <v>884</v>
      </c>
      <c r="K7600" s="10">
        <v>180</v>
      </c>
      <c r="L7600" s="10" t="s">
        <v>35966</v>
      </c>
      <c r="M7600" s="10">
        <v>1</v>
      </c>
      <c r="N7600" s="10"/>
      <c r="O7600" s="10"/>
      <c r="P7600" s="10" t="s">
        <v>35967</v>
      </c>
      <c r="Q7600" s="10" t="s">
        <v>10227</v>
      </c>
      <c r="R7600" s="10" t="s">
        <v>35968</v>
      </c>
      <c r="S7600" s="10" t="s">
        <v>53</v>
      </c>
      <c r="T7600" s="10" t="s">
        <v>54</v>
      </c>
    </row>
    <row r="7601" spans="1:20" ht="14.5" x14ac:dyDescent="0.35">
      <c r="A7601" s="10" t="s">
        <v>35969</v>
      </c>
      <c r="B7601" s="10" t="str">
        <f>"9781421411347"</f>
        <v>9781421411347</v>
      </c>
      <c r="C7601" s="10" t="str">
        <f>"9781421411354"</f>
        <v>9781421411354</v>
      </c>
      <c r="D7601" s="10" t="s">
        <v>884</v>
      </c>
      <c r="E7601" s="10" t="s">
        <v>884</v>
      </c>
      <c r="F7601" s="10" t="s">
        <v>885</v>
      </c>
      <c r="G7601" s="10" t="s">
        <v>6317</v>
      </c>
      <c r="H7601" s="11">
        <v>41628</v>
      </c>
      <c r="I7601" s="10">
        <v>2013</v>
      </c>
      <c r="J7601" s="10" t="s">
        <v>884</v>
      </c>
      <c r="K7601" s="10">
        <v>227</v>
      </c>
      <c r="L7601" s="10" t="s">
        <v>35970</v>
      </c>
      <c r="M7601" s="10">
        <v>1</v>
      </c>
      <c r="N7601" s="10"/>
      <c r="O7601" s="10"/>
      <c r="P7601" s="10" t="s">
        <v>35971</v>
      </c>
      <c r="Q7601" s="10" t="s">
        <v>10077</v>
      </c>
      <c r="R7601" s="10" t="s">
        <v>35972</v>
      </c>
      <c r="S7601" s="10" t="s">
        <v>53</v>
      </c>
      <c r="T7601" s="10" t="s">
        <v>54</v>
      </c>
    </row>
    <row r="7602" spans="1:20" ht="14.5" x14ac:dyDescent="0.35">
      <c r="A7602" s="10" t="s">
        <v>35973</v>
      </c>
      <c r="B7602" s="10" t="str">
        <f>"9781421410364"</f>
        <v>9781421410364</v>
      </c>
      <c r="C7602" s="10" t="str">
        <f>"9781421410371"</f>
        <v>9781421410371</v>
      </c>
      <c r="D7602" s="10" t="s">
        <v>884</v>
      </c>
      <c r="E7602" s="10" t="s">
        <v>884</v>
      </c>
      <c r="F7602" s="10" t="s">
        <v>885</v>
      </c>
      <c r="G7602" s="10" t="s">
        <v>6317</v>
      </c>
      <c r="H7602" s="11">
        <v>41609</v>
      </c>
      <c r="I7602" s="10">
        <v>2014</v>
      </c>
      <c r="J7602" s="10" t="s">
        <v>884</v>
      </c>
      <c r="K7602" s="10">
        <v>198</v>
      </c>
      <c r="L7602" s="10" t="s">
        <v>35974</v>
      </c>
      <c r="M7602" s="10">
        <v>1</v>
      </c>
      <c r="N7602" s="10"/>
      <c r="O7602" s="10"/>
      <c r="P7602" s="10" t="s">
        <v>35975</v>
      </c>
      <c r="Q7602" s="10" t="s">
        <v>14668</v>
      </c>
      <c r="R7602" s="10" t="s">
        <v>35976</v>
      </c>
      <c r="S7602" s="10" t="s">
        <v>53</v>
      </c>
      <c r="T7602" s="10" t="s">
        <v>54</v>
      </c>
    </row>
    <row r="7603" spans="1:20" ht="14.5" x14ac:dyDescent="0.35">
      <c r="A7603" s="10" t="s">
        <v>35977</v>
      </c>
      <c r="B7603" s="10" t="str">
        <f>"9781421411224"</f>
        <v>9781421411224</v>
      </c>
      <c r="C7603" s="10" t="str">
        <f>"9781421411231"</f>
        <v>9781421411231</v>
      </c>
      <c r="D7603" s="10" t="s">
        <v>884</v>
      </c>
      <c r="E7603" s="10" t="s">
        <v>884</v>
      </c>
      <c r="F7603" s="10" t="s">
        <v>885</v>
      </c>
      <c r="G7603" s="10" t="s">
        <v>6317</v>
      </c>
      <c r="H7603" s="11">
        <v>41593</v>
      </c>
      <c r="I7603" s="10">
        <v>2013</v>
      </c>
      <c r="J7603" s="10" t="s">
        <v>884</v>
      </c>
      <c r="K7603" s="10">
        <v>241</v>
      </c>
      <c r="L7603" s="10" t="s">
        <v>35978</v>
      </c>
      <c r="M7603" s="10">
        <v>1</v>
      </c>
      <c r="N7603" s="10" t="s">
        <v>35979</v>
      </c>
      <c r="O7603" s="10"/>
      <c r="P7603" s="10" t="s">
        <v>35980</v>
      </c>
      <c r="Q7603" s="10">
        <v>378</v>
      </c>
      <c r="R7603" s="10" t="s">
        <v>35981</v>
      </c>
      <c r="S7603" s="10" t="s">
        <v>53</v>
      </c>
      <c r="T7603" s="10" t="s">
        <v>54</v>
      </c>
    </row>
    <row r="7604" spans="1:20" ht="14.5" x14ac:dyDescent="0.35">
      <c r="A7604" s="10" t="s">
        <v>35982</v>
      </c>
      <c r="B7604" s="10" t="str">
        <f>"9781421402192"</f>
        <v>9781421402192</v>
      </c>
      <c r="C7604" s="10" t="str">
        <f>"9781421403397"</f>
        <v>9781421403397</v>
      </c>
      <c r="D7604" s="10" t="s">
        <v>884</v>
      </c>
      <c r="E7604" s="10" t="s">
        <v>884</v>
      </c>
      <c r="F7604" s="10" t="s">
        <v>885</v>
      </c>
      <c r="G7604" s="10" t="s">
        <v>6317</v>
      </c>
      <c r="H7604" s="11">
        <v>40878</v>
      </c>
      <c r="I7604" s="10">
        <v>2012</v>
      </c>
      <c r="J7604" s="10" t="s">
        <v>884</v>
      </c>
      <c r="K7604" s="10">
        <v>239</v>
      </c>
      <c r="L7604" s="10" t="s">
        <v>35983</v>
      </c>
      <c r="M7604" s="10">
        <v>1</v>
      </c>
      <c r="N7604" s="10"/>
      <c r="O7604" s="10"/>
      <c r="P7604" s="10" t="s">
        <v>35984</v>
      </c>
      <c r="Q7604" s="10" t="s">
        <v>22947</v>
      </c>
      <c r="R7604" s="10" t="s">
        <v>35985</v>
      </c>
      <c r="S7604" s="10" t="s">
        <v>53</v>
      </c>
      <c r="T7604" s="10" t="s">
        <v>54</v>
      </c>
    </row>
    <row r="7605" spans="1:20" ht="14.5" x14ac:dyDescent="0.35">
      <c r="A7605" s="10" t="s">
        <v>35986</v>
      </c>
      <c r="B7605" s="10" t="str">
        <f>"9781421412597"</f>
        <v>9781421412597</v>
      </c>
      <c r="C7605" s="10" t="str">
        <f>"9781421412603"</f>
        <v>9781421412603</v>
      </c>
      <c r="D7605" s="10" t="s">
        <v>884</v>
      </c>
      <c r="E7605" s="10" t="s">
        <v>884</v>
      </c>
      <c r="F7605" s="10" t="s">
        <v>885</v>
      </c>
      <c r="G7605" s="10" t="s">
        <v>6317</v>
      </c>
      <c r="H7605" s="11">
        <v>41713</v>
      </c>
      <c r="I7605" s="10">
        <v>2014</v>
      </c>
      <c r="J7605" s="10" t="s">
        <v>884</v>
      </c>
      <c r="K7605" s="10">
        <v>240</v>
      </c>
      <c r="L7605" s="10" t="s">
        <v>35987</v>
      </c>
      <c r="M7605" s="10">
        <v>1</v>
      </c>
      <c r="N7605" s="10"/>
      <c r="O7605" s="10"/>
      <c r="P7605" s="10" t="s">
        <v>35988</v>
      </c>
      <c r="Q7605" s="10">
        <v>371.8211</v>
      </c>
      <c r="R7605" s="10" t="s">
        <v>35989</v>
      </c>
      <c r="S7605" s="10" t="s">
        <v>53</v>
      </c>
      <c r="T7605" s="10" t="s">
        <v>54</v>
      </c>
    </row>
    <row r="7606" spans="1:20" ht="14.5" x14ac:dyDescent="0.35">
      <c r="A7606" s="10" t="s">
        <v>35990</v>
      </c>
      <c r="B7606" s="10" t="str">
        <f>"9781421414379"</f>
        <v>9781421414379</v>
      </c>
      <c r="C7606" s="10" t="str">
        <f>"9781421414386"</f>
        <v>9781421414386</v>
      </c>
      <c r="D7606" s="10" t="s">
        <v>884</v>
      </c>
      <c r="E7606" s="10" t="s">
        <v>884</v>
      </c>
      <c r="F7606" s="10" t="s">
        <v>885</v>
      </c>
      <c r="G7606" s="10" t="s">
        <v>6317</v>
      </c>
      <c r="H7606" s="11">
        <v>41709</v>
      </c>
      <c r="I7606" s="10">
        <v>2014</v>
      </c>
      <c r="J7606" s="10" t="s">
        <v>884</v>
      </c>
      <c r="K7606" s="10">
        <v>125</v>
      </c>
      <c r="L7606" s="10" t="s">
        <v>35991</v>
      </c>
      <c r="M7606" s="10">
        <v>1</v>
      </c>
      <c r="N7606" s="10"/>
      <c r="O7606" s="10"/>
      <c r="P7606" s="10"/>
      <c r="Q7606" s="10" t="s">
        <v>7335</v>
      </c>
      <c r="R7606" s="10"/>
      <c r="S7606" s="10" t="s">
        <v>53</v>
      </c>
      <c r="T7606" s="10" t="s">
        <v>54</v>
      </c>
    </row>
    <row r="7607" spans="1:20" ht="14.5" x14ac:dyDescent="0.35">
      <c r="A7607" s="10" t="s">
        <v>35992</v>
      </c>
      <c r="B7607" s="10" t="str">
        <f>"9781421414065"</f>
        <v>9781421414065</v>
      </c>
      <c r="C7607" s="10" t="str">
        <f>"9781421414072"</f>
        <v>9781421414072</v>
      </c>
      <c r="D7607" s="10" t="s">
        <v>884</v>
      </c>
      <c r="E7607" s="10" t="s">
        <v>884</v>
      </c>
      <c r="F7607" s="10" t="s">
        <v>885</v>
      </c>
      <c r="G7607" s="10" t="s">
        <v>6317</v>
      </c>
      <c r="H7607" s="11">
        <v>41760</v>
      </c>
      <c r="I7607" s="10">
        <v>2014</v>
      </c>
      <c r="J7607" s="10" t="s">
        <v>884</v>
      </c>
      <c r="K7607" s="10">
        <v>324</v>
      </c>
      <c r="L7607" s="10" t="s">
        <v>35993</v>
      </c>
      <c r="M7607" s="10">
        <v>1</v>
      </c>
      <c r="N7607" s="10"/>
      <c r="O7607" s="10"/>
      <c r="P7607" s="10" t="s">
        <v>35994</v>
      </c>
      <c r="Q7607" s="10">
        <v>378.73</v>
      </c>
      <c r="R7607" s="10" t="s">
        <v>35995</v>
      </c>
      <c r="S7607" s="10" t="s">
        <v>53</v>
      </c>
      <c r="T7607" s="10" t="s">
        <v>54</v>
      </c>
    </row>
    <row r="7608" spans="1:20" ht="14.5" x14ac:dyDescent="0.35">
      <c r="A7608" s="10" t="s">
        <v>35996</v>
      </c>
      <c r="B7608" s="10" t="str">
        <f>"9781421413068"</f>
        <v>9781421413068</v>
      </c>
      <c r="C7608" s="10" t="str">
        <f>"9781421413075"</f>
        <v>9781421413075</v>
      </c>
      <c r="D7608" s="10" t="s">
        <v>884</v>
      </c>
      <c r="E7608" s="10" t="s">
        <v>884</v>
      </c>
      <c r="F7608" s="10" t="s">
        <v>885</v>
      </c>
      <c r="G7608" s="10" t="s">
        <v>6317</v>
      </c>
      <c r="H7608" s="11">
        <v>41791</v>
      </c>
      <c r="I7608" s="10">
        <v>2014</v>
      </c>
      <c r="J7608" s="10" t="s">
        <v>884</v>
      </c>
      <c r="K7608" s="10">
        <v>347</v>
      </c>
      <c r="L7608" s="10" t="s">
        <v>35997</v>
      </c>
      <c r="M7608" s="10">
        <v>1</v>
      </c>
      <c r="N7608" s="10" t="s">
        <v>35998</v>
      </c>
      <c r="O7608" s="10"/>
      <c r="P7608" s="10" t="s">
        <v>35999</v>
      </c>
      <c r="Q7608" s="10">
        <v>378.17340000000002</v>
      </c>
      <c r="R7608" s="10" t="s">
        <v>36000</v>
      </c>
      <c r="S7608" s="10" t="s">
        <v>53</v>
      </c>
      <c r="T7608" s="10" t="s">
        <v>54</v>
      </c>
    </row>
    <row r="7609" spans="1:20" ht="14.5" x14ac:dyDescent="0.35">
      <c r="A7609" s="10" t="s">
        <v>36001</v>
      </c>
      <c r="B7609" s="10" t="str">
        <f>"9781421413341"</f>
        <v>9781421413341</v>
      </c>
      <c r="C7609" s="10" t="str">
        <f>"9781421413358"</f>
        <v>9781421413358</v>
      </c>
      <c r="D7609" s="10" t="s">
        <v>884</v>
      </c>
      <c r="E7609" s="10" t="s">
        <v>884</v>
      </c>
      <c r="F7609" s="10" t="s">
        <v>885</v>
      </c>
      <c r="G7609" s="10" t="s">
        <v>6317</v>
      </c>
      <c r="H7609" s="11">
        <v>41835</v>
      </c>
      <c r="I7609" s="10">
        <v>2014</v>
      </c>
      <c r="J7609" s="10" t="s">
        <v>884</v>
      </c>
      <c r="K7609" s="10">
        <v>374</v>
      </c>
      <c r="L7609" s="10" t="s">
        <v>36002</v>
      </c>
      <c r="M7609" s="10">
        <v>1</v>
      </c>
      <c r="N7609" s="10"/>
      <c r="O7609" s="10"/>
      <c r="P7609" s="10" t="s">
        <v>36003</v>
      </c>
      <c r="Q7609" s="10" t="s">
        <v>8223</v>
      </c>
      <c r="R7609" s="10" t="s">
        <v>36004</v>
      </c>
      <c r="S7609" s="10" t="s">
        <v>53</v>
      </c>
      <c r="T7609" s="10" t="s">
        <v>54</v>
      </c>
    </row>
    <row r="7610" spans="1:20" ht="14.5" x14ac:dyDescent="0.35">
      <c r="A7610" s="10" t="s">
        <v>36005</v>
      </c>
      <c r="B7610" s="10" t="str">
        <f>"9781421414539"</f>
        <v>9781421414539</v>
      </c>
      <c r="C7610" s="10" t="str">
        <f>"9781421414546"</f>
        <v>9781421414546</v>
      </c>
      <c r="D7610" s="10" t="s">
        <v>884</v>
      </c>
      <c r="E7610" s="10" t="s">
        <v>884</v>
      </c>
      <c r="F7610" s="10" t="s">
        <v>885</v>
      </c>
      <c r="G7610" s="10" t="s">
        <v>6317</v>
      </c>
      <c r="H7610" s="11">
        <v>41904</v>
      </c>
      <c r="I7610" s="10">
        <v>2014</v>
      </c>
      <c r="J7610" s="10" t="s">
        <v>884</v>
      </c>
      <c r="K7610" s="10">
        <v>223</v>
      </c>
      <c r="L7610" s="10" t="s">
        <v>36006</v>
      </c>
      <c r="M7610" s="10">
        <v>1</v>
      </c>
      <c r="N7610" s="10"/>
      <c r="O7610" s="10"/>
      <c r="P7610" s="10" t="s">
        <v>36007</v>
      </c>
      <c r="Q7610" s="10">
        <v>378.51</v>
      </c>
      <c r="R7610" s="10" t="s">
        <v>36008</v>
      </c>
      <c r="S7610" s="10" t="s">
        <v>53</v>
      </c>
      <c r="T7610" s="10" t="s">
        <v>54</v>
      </c>
    </row>
    <row r="7611" spans="1:20" ht="14.5" x14ac:dyDescent="0.35">
      <c r="A7611" s="10" t="s">
        <v>36009</v>
      </c>
      <c r="B7611" s="10" t="str">
        <f>"9781421415789"</f>
        <v>9781421415789</v>
      </c>
      <c r="C7611" s="10" t="str">
        <f>"9781421415840"</f>
        <v>9781421415840</v>
      </c>
      <c r="D7611" s="10" t="s">
        <v>884</v>
      </c>
      <c r="E7611" s="10" t="s">
        <v>884</v>
      </c>
      <c r="F7611" s="10" t="s">
        <v>885</v>
      </c>
      <c r="G7611" s="10" t="s">
        <v>6317</v>
      </c>
      <c r="H7611" s="11">
        <v>37853</v>
      </c>
      <c r="I7611" s="10">
        <v>2003</v>
      </c>
      <c r="J7611" s="10" t="s">
        <v>884</v>
      </c>
      <c r="K7611" s="10">
        <v>274</v>
      </c>
      <c r="L7611" s="10" t="s">
        <v>36010</v>
      </c>
      <c r="M7611" s="10">
        <v>1</v>
      </c>
      <c r="N7611" s="10"/>
      <c r="O7611" s="10"/>
      <c r="P7611" s="10" t="s">
        <v>36011</v>
      </c>
      <c r="Q7611" s="10" t="s">
        <v>36012</v>
      </c>
      <c r="R7611" s="10" t="s">
        <v>36013</v>
      </c>
      <c r="S7611" s="10" t="s">
        <v>53</v>
      </c>
      <c r="T7611" s="10" t="s">
        <v>54</v>
      </c>
    </row>
    <row r="7612" spans="1:20" ht="14.5" x14ac:dyDescent="0.35">
      <c r="A7612" s="10" t="s">
        <v>36014</v>
      </c>
      <c r="B7612" s="10" t="str">
        <f>"9781421414331"</f>
        <v>9781421414331</v>
      </c>
      <c r="C7612" s="10" t="str">
        <f>"9781421414348"</f>
        <v>9781421414348</v>
      </c>
      <c r="D7612" s="10" t="s">
        <v>884</v>
      </c>
      <c r="E7612" s="10" t="s">
        <v>884</v>
      </c>
      <c r="F7612" s="10" t="s">
        <v>885</v>
      </c>
      <c r="G7612" s="10" t="s">
        <v>6317</v>
      </c>
      <c r="H7612" s="11">
        <v>41945</v>
      </c>
      <c r="I7612" s="10">
        <v>2014</v>
      </c>
      <c r="J7612" s="10" t="s">
        <v>884</v>
      </c>
      <c r="K7612" s="10">
        <v>493</v>
      </c>
      <c r="L7612" s="10" t="s">
        <v>36015</v>
      </c>
      <c r="M7612" s="10">
        <v>1</v>
      </c>
      <c r="N7612" s="10"/>
      <c r="O7612" s="10"/>
      <c r="P7612" s="10"/>
      <c r="Q7612" s="10">
        <v>371.100820973</v>
      </c>
      <c r="R7612" s="10"/>
      <c r="S7612" s="10" t="s">
        <v>53</v>
      </c>
      <c r="T7612" s="10" t="s">
        <v>54</v>
      </c>
    </row>
    <row r="7613" spans="1:20" ht="14.5" x14ac:dyDescent="0.35">
      <c r="A7613" s="10" t="s">
        <v>36016</v>
      </c>
      <c r="B7613" s="10" t="str">
        <f>"9781421415352"</f>
        <v>9781421415352</v>
      </c>
      <c r="C7613" s="10" t="str">
        <f>"9781421415505"</f>
        <v>9781421415505</v>
      </c>
      <c r="D7613" s="10" t="s">
        <v>884</v>
      </c>
      <c r="E7613" s="10" t="s">
        <v>884</v>
      </c>
      <c r="F7613" s="10" t="s">
        <v>885</v>
      </c>
      <c r="G7613" s="10" t="s">
        <v>6317</v>
      </c>
      <c r="H7613" s="11">
        <v>41944</v>
      </c>
      <c r="I7613" s="10">
        <v>2014</v>
      </c>
      <c r="J7613" s="10" t="s">
        <v>884</v>
      </c>
      <c r="K7613" s="10">
        <v>177</v>
      </c>
      <c r="L7613" s="10" t="s">
        <v>36017</v>
      </c>
      <c r="M7613" s="10">
        <v>1</v>
      </c>
      <c r="N7613" s="10" t="s">
        <v>35998</v>
      </c>
      <c r="O7613" s="10"/>
      <c r="P7613" s="10" t="s">
        <v>36018</v>
      </c>
      <c r="Q7613" s="10" t="s">
        <v>10077</v>
      </c>
      <c r="R7613" s="10" t="s">
        <v>36019</v>
      </c>
      <c r="S7613" s="10" t="s">
        <v>53</v>
      </c>
      <c r="T7613" s="10" t="s">
        <v>54</v>
      </c>
    </row>
    <row r="7614" spans="1:20" ht="14.5" x14ac:dyDescent="0.35">
      <c r="A7614" s="10" t="s">
        <v>36020</v>
      </c>
      <c r="B7614" s="10" t="str">
        <f>"9781421414775"</f>
        <v>9781421414775</v>
      </c>
      <c r="C7614" s="10" t="str">
        <f>"9781421414782"</f>
        <v>9781421414782</v>
      </c>
      <c r="D7614" s="10" t="s">
        <v>884</v>
      </c>
      <c r="E7614" s="10" t="s">
        <v>884</v>
      </c>
      <c r="F7614" s="10" t="s">
        <v>885</v>
      </c>
      <c r="G7614" s="10" t="s">
        <v>6317</v>
      </c>
      <c r="H7614" s="11">
        <v>41925</v>
      </c>
      <c r="I7614" s="10">
        <v>2014</v>
      </c>
      <c r="J7614" s="10" t="s">
        <v>884</v>
      </c>
      <c r="K7614" s="10">
        <v>190</v>
      </c>
      <c r="L7614" s="10" t="s">
        <v>36021</v>
      </c>
      <c r="M7614" s="10">
        <v>1</v>
      </c>
      <c r="N7614" s="10"/>
      <c r="O7614" s="10"/>
      <c r="P7614" s="10" t="s">
        <v>36022</v>
      </c>
      <c r="Q7614" s="10">
        <v>378.00819999999999</v>
      </c>
      <c r="R7614" s="10" t="s">
        <v>36023</v>
      </c>
      <c r="S7614" s="10" t="s">
        <v>53</v>
      </c>
      <c r="T7614" s="10" t="s">
        <v>54</v>
      </c>
    </row>
    <row r="7615" spans="1:20" ht="14.5" x14ac:dyDescent="0.35">
      <c r="A7615" s="10" t="s">
        <v>36024</v>
      </c>
      <c r="B7615" s="10" t="str">
        <f>"9781421415406"</f>
        <v>9781421415406</v>
      </c>
      <c r="C7615" s="10" t="str">
        <f>"9781421415413"</f>
        <v>9781421415413</v>
      </c>
      <c r="D7615" s="10" t="s">
        <v>884</v>
      </c>
      <c r="E7615" s="10" t="s">
        <v>884</v>
      </c>
      <c r="F7615" s="10" t="s">
        <v>885</v>
      </c>
      <c r="G7615" s="10" t="s">
        <v>6317</v>
      </c>
      <c r="H7615" s="11">
        <v>41960</v>
      </c>
      <c r="I7615" s="10">
        <v>2014</v>
      </c>
      <c r="J7615" s="10" t="s">
        <v>884</v>
      </c>
      <c r="K7615" s="10">
        <v>216</v>
      </c>
      <c r="L7615" s="10" t="s">
        <v>36025</v>
      </c>
      <c r="M7615" s="10">
        <v>1</v>
      </c>
      <c r="N7615" s="10" t="s">
        <v>35998</v>
      </c>
      <c r="O7615" s="10"/>
      <c r="P7615" s="10" t="s">
        <v>36026</v>
      </c>
      <c r="Q7615" s="10">
        <v>371.33</v>
      </c>
      <c r="R7615" s="10" t="s">
        <v>29942</v>
      </c>
      <c r="S7615" s="10" t="s">
        <v>53</v>
      </c>
      <c r="T7615" s="10" t="s">
        <v>54</v>
      </c>
    </row>
    <row r="7616" spans="1:20" ht="14.5" x14ac:dyDescent="0.35">
      <c r="A7616" s="10" t="s">
        <v>36027</v>
      </c>
      <c r="B7616" s="10" t="str">
        <f>"9781421417233"</f>
        <v>9781421417233</v>
      </c>
      <c r="C7616" s="10" t="str">
        <f>"9781421417240"</f>
        <v>9781421417240</v>
      </c>
      <c r="D7616" s="10" t="s">
        <v>884</v>
      </c>
      <c r="E7616" s="10" t="s">
        <v>884</v>
      </c>
      <c r="F7616" s="10" t="s">
        <v>885</v>
      </c>
      <c r="G7616" s="10" t="s">
        <v>6317</v>
      </c>
      <c r="H7616" s="11">
        <v>42078</v>
      </c>
      <c r="I7616" s="10">
        <v>2015</v>
      </c>
      <c r="J7616" s="10" t="s">
        <v>884</v>
      </c>
      <c r="K7616" s="10">
        <v>361</v>
      </c>
      <c r="L7616" s="10" t="s">
        <v>36028</v>
      </c>
      <c r="M7616" s="10">
        <v>1</v>
      </c>
      <c r="N7616" s="10"/>
      <c r="O7616" s="10"/>
      <c r="P7616" s="10" t="s">
        <v>36029</v>
      </c>
      <c r="Q7616" s="10">
        <v>378.73</v>
      </c>
      <c r="R7616" s="10" t="s">
        <v>36030</v>
      </c>
      <c r="S7616" s="10" t="s">
        <v>53</v>
      </c>
      <c r="T7616" s="10" t="s">
        <v>54</v>
      </c>
    </row>
    <row r="7617" spans="1:20" ht="14.5" x14ac:dyDescent="0.35">
      <c r="A7617" s="10" t="s">
        <v>36031</v>
      </c>
      <c r="B7617" s="10" t="str">
        <f>"9781421416335"</f>
        <v>9781421416335</v>
      </c>
      <c r="C7617" s="10" t="str">
        <f>"9781421416243"</f>
        <v>9781421416243</v>
      </c>
      <c r="D7617" s="10" t="s">
        <v>884</v>
      </c>
      <c r="E7617" s="10" t="s">
        <v>884</v>
      </c>
      <c r="F7617" s="10" t="s">
        <v>885</v>
      </c>
      <c r="G7617" s="10" t="s">
        <v>6317</v>
      </c>
      <c r="H7617" s="11">
        <v>42078</v>
      </c>
      <c r="I7617" s="10">
        <v>2015</v>
      </c>
      <c r="J7617" s="10" t="s">
        <v>884</v>
      </c>
      <c r="K7617" s="10">
        <v>331</v>
      </c>
      <c r="L7617" s="10" t="s">
        <v>884</v>
      </c>
      <c r="M7617" s="10">
        <v>1</v>
      </c>
      <c r="N7617" s="10" t="s">
        <v>35998</v>
      </c>
      <c r="O7617" s="10"/>
      <c r="P7617" s="10" t="s">
        <v>36032</v>
      </c>
      <c r="Q7617" s="10" t="s">
        <v>8748</v>
      </c>
      <c r="R7617" s="10" t="s">
        <v>36033</v>
      </c>
      <c r="S7617" s="10" t="s">
        <v>53</v>
      </c>
      <c r="T7617" s="10" t="s">
        <v>54</v>
      </c>
    </row>
    <row r="7618" spans="1:20" ht="14.5" x14ac:dyDescent="0.35">
      <c r="A7618" s="10" t="s">
        <v>36034</v>
      </c>
      <c r="B7618" s="10" t="str">
        <f>"9781421416250"</f>
        <v>9781421416250</v>
      </c>
      <c r="C7618" s="10" t="str">
        <f>"9781421416274"</f>
        <v>9781421416274</v>
      </c>
      <c r="D7618" s="10" t="s">
        <v>884</v>
      </c>
      <c r="E7618" s="10" t="s">
        <v>884</v>
      </c>
      <c r="F7618" s="10" t="s">
        <v>885</v>
      </c>
      <c r="G7618" s="10" t="s">
        <v>6317</v>
      </c>
      <c r="H7618" s="11">
        <v>42109</v>
      </c>
      <c r="I7618" s="10">
        <v>2015</v>
      </c>
      <c r="J7618" s="10" t="s">
        <v>884</v>
      </c>
      <c r="K7618" s="10">
        <v>247</v>
      </c>
      <c r="L7618" s="10" t="s">
        <v>35936</v>
      </c>
      <c r="M7618" s="10">
        <v>1</v>
      </c>
      <c r="N7618" s="10"/>
      <c r="O7618" s="10"/>
      <c r="P7618" s="10" t="s">
        <v>36035</v>
      </c>
      <c r="Q7618" s="10" t="s">
        <v>7307</v>
      </c>
      <c r="R7618" s="10" t="s">
        <v>36036</v>
      </c>
      <c r="S7618" s="10" t="s">
        <v>53</v>
      </c>
      <c r="T7618" s="10" t="s">
        <v>54</v>
      </c>
    </row>
    <row r="7619" spans="1:20" ht="14.5" x14ac:dyDescent="0.35">
      <c r="A7619" s="10" t="s">
        <v>36037</v>
      </c>
      <c r="B7619" s="10" t="str">
        <f>"9781421416151"</f>
        <v>9781421416151</v>
      </c>
      <c r="C7619" s="10" t="str">
        <f>"9781421416168"</f>
        <v>9781421416168</v>
      </c>
      <c r="D7619" s="10" t="s">
        <v>884</v>
      </c>
      <c r="E7619" s="10" t="s">
        <v>884</v>
      </c>
      <c r="F7619" s="10" t="s">
        <v>885</v>
      </c>
      <c r="G7619" s="10" t="s">
        <v>6317</v>
      </c>
      <c r="H7619" s="11">
        <v>42114</v>
      </c>
      <c r="I7619" s="10">
        <v>2015</v>
      </c>
      <c r="J7619" s="10" t="s">
        <v>884</v>
      </c>
      <c r="K7619" s="10">
        <v>366</v>
      </c>
      <c r="L7619" s="10" t="s">
        <v>36038</v>
      </c>
      <c r="M7619" s="10">
        <v>1</v>
      </c>
      <c r="N7619" s="10"/>
      <c r="O7619" s="10"/>
      <c r="P7619" s="10" t="s">
        <v>36039</v>
      </c>
      <c r="Q7619" s="10">
        <v>378.43</v>
      </c>
      <c r="R7619" s="10" t="s">
        <v>36040</v>
      </c>
      <c r="S7619" s="10" t="s">
        <v>53</v>
      </c>
      <c r="T7619" s="10" t="s">
        <v>54</v>
      </c>
    </row>
    <row r="7620" spans="1:20" ht="14.5" x14ac:dyDescent="0.35">
      <c r="A7620" s="10" t="s">
        <v>36041</v>
      </c>
      <c r="B7620" s="10" t="str">
        <f>"9781421416908"</f>
        <v>9781421416908</v>
      </c>
      <c r="C7620" s="10" t="str">
        <f>"9781421416915"</f>
        <v>9781421416915</v>
      </c>
      <c r="D7620" s="10" t="s">
        <v>884</v>
      </c>
      <c r="E7620" s="10" t="s">
        <v>884</v>
      </c>
      <c r="F7620" s="10" t="s">
        <v>885</v>
      </c>
      <c r="G7620" s="10" t="s">
        <v>6317</v>
      </c>
      <c r="H7620" s="11">
        <v>42139</v>
      </c>
      <c r="I7620" s="10">
        <v>2015</v>
      </c>
      <c r="J7620" s="10" t="s">
        <v>884</v>
      </c>
      <c r="K7620" s="10">
        <v>271</v>
      </c>
      <c r="L7620" s="10" t="s">
        <v>36042</v>
      </c>
      <c r="M7620" s="10">
        <v>1</v>
      </c>
      <c r="N7620" s="10"/>
      <c r="O7620" s="10"/>
      <c r="P7620" s="10" t="s">
        <v>36043</v>
      </c>
      <c r="Q7620" s="10" t="s">
        <v>36044</v>
      </c>
      <c r="R7620" s="10" t="s">
        <v>36045</v>
      </c>
      <c r="S7620" s="10" t="s">
        <v>53</v>
      </c>
      <c r="T7620" s="10" t="s">
        <v>54</v>
      </c>
    </row>
    <row r="7621" spans="1:20" ht="14.5" x14ac:dyDescent="0.35">
      <c r="A7621" s="10" t="s">
        <v>36046</v>
      </c>
      <c r="B7621" s="10" t="str">
        <f>"9781421416786"</f>
        <v>9781421416786</v>
      </c>
      <c r="C7621" s="10" t="str">
        <f>"9781421416793"</f>
        <v>9781421416793</v>
      </c>
      <c r="D7621" s="10" t="s">
        <v>884</v>
      </c>
      <c r="E7621" s="10" t="s">
        <v>884</v>
      </c>
      <c r="F7621" s="10" t="s">
        <v>885</v>
      </c>
      <c r="G7621" s="10" t="s">
        <v>6317</v>
      </c>
      <c r="H7621" s="11">
        <v>42156</v>
      </c>
      <c r="I7621" s="10">
        <v>2015</v>
      </c>
      <c r="J7621" s="10" t="s">
        <v>884</v>
      </c>
      <c r="K7621" s="10">
        <v>261</v>
      </c>
      <c r="L7621" s="10" t="s">
        <v>36047</v>
      </c>
      <c r="M7621" s="10">
        <v>1</v>
      </c>
      <c r="N7621" s="10"/>
      <c r="O7621" s="10"/>
      <c r="P7621" s="10" t="s">
        <v>36048</v>
      </c>
      <c r="Q7621" s="10">
        <v>378</v>
      </c>
      <c r="R7621" s="10" t="s">
        <v>36049</v>
      </c>
      <c r="S7621" s="10" t="s">
        <v>53</v>
      </c>
      <c r="T7621" s="10" t="s">
        <v>54</v>
      </c>
    </row>
    <row r="7622" spans="1:20" ht="14.5" x14ac:dyDescent="0.35">
      <c r="A7622" s="10" t="s">
        <v>36050</v>
      </c>
      <c r="B7622" s="10" t="str">
        <f>"9788024622989"</f>
        <v>9788024622989</v>
      </c>
      <c r="C7622" s="10" t="str">
        <f>"9788024623009"</f>
        <v>9788024623009</v>
      </c>
      <c r="D7622" s="10" t="s">
        <v>30935</v>
      </c>
      <c r="E7622" s="10" t="s">
        <v>30935</v>
      </c>
      <c r="F7622" s="10" t="s">
        <v>1796</v>
      </c>
      <c r="G7622" s="10" t="s">
        <v>30936</v>
      </c>
      <c r="H7622" s="11">
        <v>41487</v>
      </c>
      <c r="I7622" s="10">
        <v>2010</v>
      </c>
      <c r="J7622" s="10" t="s">
        <v>30935</v>
      </c>
      <c r="K7622" s="10">
        <v>185</v>
      </c>
      <c r="L7622" s="10" t="s">
        <v>36051</v>
      </c>
      <c r="M7622" s="10">
        <v>1</v>
      </c>
      <c r="N7622" s="10"/>
      <c r="O7622" s="10"/>
      <c r="P7622" s="10" t="s">
        <v>36052</v>
      </c>
      <c r="Q7622" s="10">
        <v>372.11020000000002</v>
      </c>
      <c r="R7622" s="10" t="s">
        <v>36053</v>
      </c>
      <c r="S7622" s="10" t="s">
        <v>4212</v>
      </c>
      <c r="T7622" s="10" t="s">
        <v>54</v>
      </c>
    </row>
    <row r="7623" spans="1:20" ht="14.5" x14ac:dyDescent="0.35">
      <c r="A7623" s="10" t="s">
        <v>36054</v>
      </c>
      <c r="B7623" s="10" t="str">
        <f>"9788024622590"</f>
        <v>9788024622590</v>
      </c>
      <c r="C7623" s="10" t="str">
        <f>"9788024624938"</f>
        <v>9788024624938</v>
      </c>
      <c r="D7623" s="10" t="s">
        <v>30935</v>
      </c>
      <c r="E7623" s="10" t="s">
        <v>30935</v>
      </c>
      <c r="F7623" s="10" t="s">
        <v>1796</v>
      </c>
      <c r="G7623" s="10" t="s">
        <v>30936</v>
      </c>
      <c r="H7623" s="11">
        <v>41640</v>
      </c>
      <c r="I7623" s="10">
        <v>2013</v>
      </c>
      <c r="J7623" s="10" t="s">
        <v>30935</v>
      </c>
      <c r="K7623" s="10">
        <v>211</v>
      </c>
      <c r="L7623" s="10" t="s">
        <v>36055</v>
      </c>
      <c r="M7623" s="10">
        <v>1</v>
      </c>
      <c r="N7623" s="10"/>
      <c r="O7623" s="10"/>
      <c r="P7623" s="10" t="s">
        <v>36056</v>
      </c>
      <c r="Q7623" s="10">
        <v>613.71</v>
      </c>
      <c r="R7623" s="10" t="s">
        <v>36057</v>
      </c>
      <c r="S7623" s="10" t="s">
        <v>4212</v>
      </c>
      <c r="T7623" s="10" t="s">
        <v>7023</v>
      </c>
    </row>
    <row r="7624" spans="1:20" ht="14.5" x14ac:dyDescent="0.35">
      <c r="A7624" s="10" t="s">
        <v>36058</v>
      </c>
      <c r="B7624" s="10" t="str">
        <f>"9788024623252"</f>
        <v>9788024623252</v>
      </c>
      <c r="C7624" s="10" t="str">
        <f>"9788024623528"</f>
        <v>9788024623528</v>
      </c>
      <c r="D7624" s="10" t="s">
        <v>30935</v>
      </c>
      <c r="E7624" s="10" t="s">
        <v>30935</v>
      </c>
      <c r="F7624" s="10" t="s">
        <v>1796</v>
      </c>
      <c r="G7624" s="10" t="s">
        <v>30936</v>
      </c>
      <c r="H7624" s="11">
        <v>41791</v>
      </c>
      <c r="I7624" s="10">
        <v>2014</v>
      </c>
      <c r="J7624" s="10" t="s">
        <v>30935</v>
      </c>
      <c r="K7624" s="10">
        <v>261</v>
      </c>
      <c r="L7624" s="10" t="s">
        <v>36059</v>
      </c>
      <c r="M7624" s="10">
        <v>1</v>
      </c>
      <c r="N7624" s="10"/>
      <c r="O7624" s="10"/>
      <c r="P7624" s="10" t="s">
        <v>36060</v>
      </c>
      <c r="Q7624" s="10">
        <v>155.25</v>
      </c>
      <c r="R7624" s="10" t="s">
        <v>36061</v>
      </c>
      <c r="S7624" s="10" t="s">
        <v>4212</v>
      </c>
      <c r="T7624" s="10" t="s">
        <v>483</v>
      </c>
    </row>
    <row r="7625" spans="1:20" ht="14.5" x14ac:dyDescent="0.35">
      <c r="A7625" s="10" t="s">
        <v>36062</v>
      </c>
      <c r="B7625" s="10" t="str">
        <f>"9788024626871"</f>
        <v>9788024626871</v>
      </c>
      <c r="C7625" s="10" t="str">
        <f>"9788024627069"</f>
        <v>9788024627069</v>
      </c>
      <c r="D7625" s="10" t="s">
        <v>30935</v>
      </c>
      <c r="E7625" s="10" t="s">
        <v>30935</v>
      </c>
      <c r="F7625" s="10" t="s">
        <v>1796</v>
      </c>
      <c r="G7625" s="10" t="s">
        <v>30936</v>
      </c>
      <c r="H7625" s="11">
        <v>41974</v>
      </c>
      <c r="I7625" s="10">
        <v>2014</v>
      </c>
      <c r="J7625" s="10" t="s">
        <v>30935</v>
      </c>
      <c r="K7625" s="10">
        <v>145</v>
      </c>
      <c r="L7625" s="10" t="s">
        <v>36063</v>
      </c>
      <c r="M7625" s="10">
        <v>1</v>
      </c>
      <c r="N7625" s="10"/>
      <c r="O7625" s="10"/>
      <c r="P7625" s="10" t="s">
        <v>36064</v>
      </c>
      <c r="Q7625" s="10">
        <v>370.94740999999999</v>
      </c>
      <c r="R7625" s="10" t="s">
        <v>36065</v>
      </c>
      <c r="S7625" s="10" t="s">
        <v>4212</v>
      </c>
      <c r="T7625" s="10" t="s">
        <v>54</v>
      </c>
    </row>
    <row r="7626" spans="1:20" ht="14.5" x14ac:dyDescent="0.35">
      <c r="A7626" s="10" t="s">
        <v>36066</v>
      </c>
      <c r="B7626" s="10" t="str">
        <f>"9789087280307"</f>
        <v>9789087280307</v>
      </c>
      <c r="C7626" s="10" t="str">
        <f>"9789048502165"</f>
        <v>9789048502165</v>
      </c>
      <c r="D7626" s="10" t="s">
        <v>13287</v>
      </c>
      <c r="E7626" s="10" t="s">
        <v>36067</v>
      </c>
      <c r="F7626" s="10" t="s">
        <v>1818</v>
      </c>
      <c r="G7626" s="10" t="s">
        <v>9233</v>
      </c>
      <c r="H7626" s="11">
        <v>39689</v>
      </c>
      <c r="I7626" s="10">
        <v>2008</v>
      </c>
      <c r="J7626" s="10" t="s">
        <v>36067</v>
      </c>
      <c r="K7626" s="10">
        <v>158</v>
      </c>
      <c r="L7626" s="10" t="s">
        <v>36068</v>
      </c>
      <c r="M7626" s="10">
        <v>1</v>
      </c>
      <c r="N7626" s="10"/>
      <c r="O7626" s="10"/>
      <c r="P7626" s="10" t="s">
        <v>36069</v>
      </c>
      <c r="Q7626" s="10">
        <v>900</v>
      </c>
      <c r="R7626" s="10" t="s">
        <v>36070</v>
      </c>
      <c r="S7626" s="10" t="s">
        <v>53</v>
      </c>
      <c r="T7626" s="10" t="s">
        <v>28660</v>
      </c>
    </row>
    <row r="7627" spans="1:20" ht="14.5" x14ac:dyDescent="0.35">
      <c r="A7627" s="10" t="s">
        <v>36071</v>
      </c>
      <c r="B7627" s="10" t="str">
        <f>"9789087280710"</f>
        <v>9789087280710</v>
      </c>
      <c r="C7627" s="10" t="str">
        <f>"9789048511648"</f>
        <v>9789048511648</v>
      </c>
      <c r="D7627" s="10" t="s">
        <v>13287</v>
      </c>
      <c r="E7627" s="10" t="s">
        <v>36067</v>
      </c>
      <c r="F7627" s="10" t="s">
        <v>1818</v>
      </c>
      <c r="G7627" s="10" t="s">
        <v>9233</v>
      </c>
      <c r="H7627" s="11">
        <v>40113</v>
      </c>
      <c r="I7627" s="10">
        <v>2009</v>
      </c>
      <c r="J7627" s="10" t="s">
        <v>36067</v>
      </c>
      <c r="K7627" s="10">
        <v>311</v>
      </c>
      <c r="L7627" s="10" t="s">
        <v>36072</v>
      </c>
      <c r="M7627" s="10">
        <v>1</v>
      </c>
      <c r="N7627" s="10" t="s">
        <v>36073</v>
      </c>
      <c r="O7627" s="10"/>
      <c r="P7627" s="10" t="s">
        <v>36074</v>
      </c>
      <c r="Q7627" s="10" t="s">
        <v>36075</v>
      </c>
      <c r="R7627" s="10" t="s">
        <v>36076</v>
      </c>
      <c r="S7627" s="10" t="s">
        <v>53</v>
      </c>
      <c r="T7627" s="10" t="s">
        <v>5396</v>
      </c>
    </row>
    <row r="7628" spans="1:20" ht="14.5" x14ac:dyDescent="0.35">
      <c r="A7628" s="10" t="s">
        <v>36077</v>
      </c>
      <c r="B7628" s="10" t="str">
        <f>"9780865974128"</f>
        <v>9780865974128</v>
      </c>
      <c r="C7628" s="10" t="str">
        <f>"9781614878704"</f>
        <v>9781614878704</v>
      </c>
      <c r="D7628" s="10" t="s">
        <v>36078</v>
      </c>
      <c r="E7628" s="10" t="s">
        <v>36079</v>
      </c>
      <c r="F7628" s="10" t="s">
        <v>36080</v>
      </c>
      <c r="G7628" s="10" t="s">
        <v>6317</v>
      </c>
      <c r="H7628" s="11">
        <v>37622</v>
      </c>
      <c r="I7628" s="10">
        <v>2003</v>
      </c>
      <c r="J7628" s="10" t="s">
        <v>36079</v>
      </c>
      <c r="K7628" s="10">
        <v>473</v>
      </c>
      <c r="L7628" s="10" t="s">
        <v>36081</v>
      </c>
      <c r="M7628" s="10">
        <v>1</v>
      </c>
      <c r="N7628" s="10" t="s">
        <v>36082</v>
      </c>
      <c r="O7628" s="10"/>
      <c r="P7628" s="10" t="s">
        <v>36083</v>
      </c>
      <c r="Q7628" s="10" t="s">
        <v>10077</v>
      </c>
      <c r="R7628" s="10" t="s">
        <v>36084</v>
      </c>
      <c r="S7628" s="10" t="s">
        <v>53</v>
      </c>
      <c r="T7628" s="10" t="s">
        <v>54</v>
      </c>
    </row>
    <row r="7629" spans="1:20" ht="14.5" x14ac:dyDescent="0.35">
      <c r="A7629" s="10" t="s">
        <v>36085</v>
      </c>
      <c r="B7629" s="10" t="str">
        <f>"9781558442894"</f>
        <v>9781558442894</v>
      </c>
      <c r="C7629" s="10" t="str">
        <f>"9781558443075"</f>
        <v>9781558443075</v>
      </c>
      <c r="D7629" s="10" t="s">
        <v>36086</v>
      </c>
      <c r="E7629" s="10" t="s">
        <v>36086</v>
      </c>
      <c r="F7629" s="10" t="s">
        <v>36087</v>
      </c>
      <c r="G7629" s="10" t="s">
        <v>6317</v>
      </c>
      <c r="H7629" s="11">
        <v>41760</v>
      </c>
      <c r="I7629" s="10">
        <v>2014</v>
      </c>
      <c r="J7629" s="10" t="s">
        <v>36086</v>
      </c>
      <c r="K7629" s="10">
        <v>465</v>
      </c>
      <c r="L7629" s="10" t="s">
        <v>36088</v>
      </c>
      <c r="M7629" s="10">
        <v>1</v>
      </c>
      <c r="N7629" s="10"/>
      <c r="O7629" s="10"/>
      <c r="P7629" s="10" t="s">
        <v>36089</v>
      </c>
      <c r="Q7629" s="10" t="s">
        <v>36090</v>
      </c>
      <c r="R7629" s="10" t="s">
        <v>36091</v>
      </c>
      <c r="S7629" s="10" t="s">
        <v>53</v>
      </c>
      <c r="T7629" s="10" t="s">
        <v>54</v>
      </c>
    </row>
    <row r="7630" spans="1:20" ht="14.5" x14ac:dyDescent="0.35">
      <c r="A7630" s="10" t="s">
        <v>36092</v>
      </c>
      <c r="B7630" s="10" t="str">
        <f>""</f>
        <v/>
      </c>
      <c r="C7630" s="10" t="str">
        <f>"9789175195650"</f>
        <v>9789175195650</v>
      </c>
      <c r="D7630" s="10" t="s">
        <v>36093</v>
      </c>
      <c r="E7630" s="10" t="s">
        <v>36094</v>
      </c>
      <c r="F7630" s="10" t="s">
        <v>36095</v>
      </c>
      <c r="G7630" s="10" t="s">
        <v>36096</v>
      </c>
      <c r="H7630" s="11">
        <v>41513</v>
      </c>
      <c r="I7630" s="10">
        <v>2013</v>
      </c>
      <c r="J7630" s="10" t="s">
        <v>36094</v>
      </c>
      <c r="K7630" s="10">
        <v>59</v>
      </c>
      <c r="L7630" s="10" t="s">
        <v>36097</v>
      </c>
      <c r="M7630" s="10">
        <v>1</v>
      </c>
      <c r="N7630" s="10" t="s">
        <v>36098</v>
      </c>
      <c r="O7630" s="10">
        <v>584</v>
      </c>
      <c r="P7630" s="10"/>
      <c r="Q7630" s="10"/>
      <c r="R7630" s="10"/>
      <c r="S7630" s="10" t="s">
        <v>53</v>
      </c>
      <c r="T7630" s="10"/>
    </row>
    <row r="7631" spans="1:20" ht="14.5" x14ac:dyDescent="0.35">
      <c r="A7631" s="10" t="s">
        <v>36099</v>
      </c>
      <c r="B7631" s="10" t="str">
        <f>""</f>
        <v/>
      </c>
      <c r="C7631" s="10" t="str">
        <f>"9789175191232"</f>
        <v>9789175191232</v>
      </c>
      <c r="D7631" s="10" t="s">
        <v>36093</v>
      </c>
      <c r="E7631" s="10" t="s">
        <v>36094</v>
      </c>
      <c r="F7631" s="10" t="s">
        <v>36095</v>
      </c>
      <c r="G7631" s="10" t="s">
        <v>36096</v>
      </c>
      <c r="H7631" s="11">
        <v>42115</v>
      </c>
      <c r="I7631" s="10">
        <v>2015</v>
      </c>
      <c r="J7631" s="10" t="s">
        <v>36094</v>
      </c>
      <c r="K7631" s="10">
        <v>126</v>
      </c>
      <c r="L7631" s="10" t="s">
        <v>36100</v>
      </c>
      <c r="M7631" s="10">
        <v>1</v>
      </c>
      <c r="N7631" s="10" t="s">
        <v>36101</v>
      </c>
      <c r="O7631" s="10">
        <v>190</v>
      </c>
      <c r="P7631" s="10"/>
      <c r="Q7631" s="10"/>
      <c r="R7631" s="10"/>
      <c r="S7631" s="10" t="s">
        <v>53</v>
      </c>
      <c r="T7631" s="10"/>
    </row>
    <row r="7632" spans="1:20" ht="14.5" x14ac:dyDescent="0.35">
      <c r="A7632" s="10" t="s">
        <v>36102</v>
      </c>
      <c r="B7632" s="10" t="str">
        <f>"9781936117062"</f>
        <v>9781936117062</v>
      </c>
      <c r="C7632" s="10" t="str">
        <f>"9781936117390"</f>
        <v>9781936117390</v>
      </c>
      <c r="D7632" s="10" t="s">
        <v>36103</v>
      </c>
      <c r="E7632" s="10" t="s">
        <v>36103</v>
      </c>
      <c r="F7632" s="10" t="s">
        <v>4724</v>
      </c>
      <c r="G7632" s="10" t="s">
        <v>6317</v>
      </c>
      <c r="H7632" s="11">
        <v>40148</v>
      </c>
      <c r="I7632" s="10">
        <v>2009</v>
      </c>
      <c r="J7632" s="10" t="s">
        <v>36104</v>
      </c>
      <c r="K7632" s="10">
        <v>195</v>
      </c>
      <c r="L7632" s="10" t="s">
        <v>36105</v>
      </c>
      <c r="M7632" s="10">
        <v>1</v>
      </c>
      <c r="N7632" s="10"/>
      <c r="O7632" s="10"/>
      <c r="P7632" s="10" t="s">
        <v>36106</v>
      </c>
      <c r="Q7632" s="10">
        <v>379</v>
      </c>
      <c r="R7632" s="10" t="s">
        <v>36107</v>
      </c>
      <c r="S7632" s="10" t="s">
        <v>53</v>
      </c>
      <c r="T7632" s="10" t="s">
        <v>54</v>
      </c>
    </row>
    <row r="7633" spans="1:20" ht="14.5" x14ac:dyDescent="0.35">
      <c r="A7633" s="10" t="s">
        <v>36108</v>
      </c>
      <c r="B7633" s="10" t="str">
        <f>"9781936117567"</f>
        <v>9781936117567</v>
      </c>
      <c r="C7633" s="10" t="str">
        <f>"9781634000055"</f>
        <v>9781634000055</v>
      </c>
      <c r="D7633" s="10" t="s">
        <v>36103</v>
      </c>
      <c r="E7633" s="10" t="s">
        <v>36109</v>
      </c>
      <c r="F7633" s="10" t="s">
        <v>4369</v>
      </c>
      <c r="G7633" s="10" t="s">
        <v>6317</v>
      </c>
      <c r="H7633" s="11">
        <v>41518</v>
      </c>
      <c r="I7633" s="10">
        <v>2013</v>
      </c>
      <c r="J7633" s="10" t="s">
        <v>36109</v>
      </c>
      <c r="K7633" s="10">
        <v>320</v>
      </c>
      <c r="L7633" s="10" t="s">
        <v>36110</v>
      </c>
      <c r="M7633" s="10">
        <v>1</v>
      </c>
      <c r="N7633" s="10"/>
      <c r="O7633" s="10"/>
      <c r="P7633" s="10" t="s">
        <v>36111</v>
      </c>
      <c r="Q7633" s="10">
        <v>28.7</v>
      </c>
      <c r="R7633" s="10" t="s">
        <v>36112</v>
      </c>
      <c r="S7633" s="10" t="s">
        <v>53</v>
      </c>
      <c r="T7633" s="10" t="s">
        <v>16990</v>
      </c>
    </row>
    <row r="7634" spans="1:20" ht="14.5" x14ac:dyDescent="0.35">
      <c r="A7634" s="10" t="s">
        <v>36113</v>
      </c>
      <c r="B7634" s="10" t="str">
        <f>"9781588262165"</f>
        <v>9781588262165</v>
      </c>
      <c r="C7634" s="10" t="str">
        <f>"9781588269218"</f>
        <v>9781588269218</v>
      </c>
      <c r="D7634" s="10" t="s">
        <v>36114</v>
      </c>
      <c r="E7634" s="10" t="s">
        <v>36114</v>
      </c>
      <c r="F7634" s="10" t="s">
        <v>36115</v>
      </c>
      <c r="G7634" s="10" t="s">
        <v>6317</v>
      </c>
      <c r="H7634" s="11">
        <v>37925</v>
      </c>
      <c r="I7634" s="10">
        <v>2004</v>
      </c>
      <c r="J7634" s="10" t="s">
        <v>36114</v>
      </c>
      <c r="K7634" s="10">
        <v>175</v>
      </c>
      <c r="L7634" s="10" t="s">
        <v>36116</v>
      </c>
      <c r="M7634" s="10">
        <v>1</v>
      </c>
      <c r="N7634" s="10"/>
      <c r="O7634" s="10"/>
      <c r="P7634" s="10" t="s">
        <v>36117</v>
      </c>
      <c r="Q7634" s="10" t="s">
        <v>36118</v>
      </c>
      <c r="R7634" s="10" t="s">
        <v>36119</v>
      </c>
      <c r="S7634" s="10" t="s">
        <v>53</v>
      </c>
      <c r="T7634" s="10" t="s">
        <v>54</v>
      </c>
    </row>
    <row r="7635" spans="1:20" ht="14.5" x14ac:dyDescent="0.35">
      <c r="A7635" s="10" t="s">
        <v>36120</v>
      </c>
      <c r="B7635" s="10" t="str">
        <f>"9780883857748"</f>
        <v>9780883857748</v>
      </c>
      <c r="C7635" s="10" t="str">
        <f>"9780883859612"</f>
        <v>9780883859612</v>
      </c>
      <c r="D7635" s="10" t="s">
        <v>34436</v>
      </c>
      <c r="E7635" s="10" t="s">
        <v>34437</v>
      </c>
      <c r="F7635" s="10" t="s">
        <v>88</v>
      </c>
      <c r="G7635" s="10" t="s">
        <v>6317</v>
      </c>
      <c r="H7635" s="11">
        <v>40731</v>
      </c>
      <c r="I7635" s="10">
        <v>2011</v>
      </c>
      <c r="J7635" s="10" t="s">
        <v>36121</v>
      </c>
      <c r="K7635" s="10">
        <v>142</v>
      </c>
      <c r="L7635" s="10" t="s">
        <v>36122</v>
      </c>
      <c r="M7635" s="10">
        <v>1</v>
      </c>
      <c r="N7635" s="10" t="s">
        <v>36123</v>
      </c>
      <c r="O7635" s="10"/>
      <c r="P7635" s="10" t="s">
        <v>36124</v>
      </c>
      <c r="Q7635" s="10">
        <v>510.71</v>
      </c>
      <c r="R7635" s="10" t="s">
        <v>36125</v>
      </c>
      <c r="S7635" s="10" t="s">
        <v>53</v>
      </c>
      <c r="T7635" s="10" t="s">
        <v>6448</v>
      </c>
    </row>
    <row r="7636" spans="1:20" ht="14.5" x14ac:dyDescent="0.35">
      <c r="A7636" s="10" t="s">
        <v>36126</v>
      </c>
      <c r="B7636" s="10" t="str">
        <f>"9780883857830"</f>
        <v>9780883857830</v>
      </c>
      <c r="C7636" s="10" t="str">
        <f>"9781614441120"</f>
        <v>9781614441120</v>
      </c>
      <c r="D7636" s="10" t="s">
        <v>34436</v>
      </c>
      <c r="E7636" s="10" t="s">
        <v>34437</v>
      </c>
      <c r="F7636" s="10" t="s">
        <v>88</v>
      </c>
      <c r="G7636" s="10" t="s">
        <v>6317</v>
      </c>
      <c r="H7636" s="11">
        <v>41456</v>
      </c>
      <c r="I7636" s="10">
        <v>2013</v>
      </c>
      <c r="J7636" s="10" t="s">
        <v>36121</v>
      </c>
      <c r="K7636" s="10">
        <v>245</v>
      </c>
      <c r="L7636" s="10" t="s">
        <v>36127</v>
      </c>
      <c r="M7636" s="10">
        <v>1</v>
      </c>
      <c r="N7636" s="10" t="s">
        <v>36123</v>
      </c>
      <c r="O7636" s="10"/>
      <c r="P7636" s="10" t="s">
        <v>36128</v>
      </c>
      <c r="Q7636" s="10">
        <v>512</v>
      </c>
      <c r="R7636" s="10" t="s">
        <v>36129</v>
      </c>
      <c r="S7636" s="10" t="s">
        <v>53</v>
      </c>
      <c r="T7636" s="10" t="s">
        <v>389</v>
      </c>
    </row>
    <row r="7637" spans="1:20" ht="14.5" x14ac:dyDescent="0.35">
      <c r="A7637" s="10" t="s">
        <v>36130</v>
      </c>
      <c r="B7637" s="10" t="str">
        <f>"9780883857793"</f>
        <v>9780883857793</v>
      </c>
      <c r="C7637" s="10" t="str">
        <f>"9781614446064"</f>
        <v>9781614446064</v>
      </c>
      <c r="D7637" s="10" t="s">
        <v>34436</v>
      </c>
      <c r="E7637" s="10" t="s">
        <v>34437</v>
      </c>
      <c r="F7637" s="10" t="s">
        <v>88</v>
      </c>
      <c r="G7637" s="10" t="s">
        <v>6317</v>
      </c>
      <c r="H7637" s="11">
        <v>32143</v>
      </c>
      <c r="I7637" s="10">
        <v>2012</v>
      </c>
      <c r="J7637" s="10" t="s">
        <v>36121</v>
      </c>
      <c r="K7637" s="10">
        <v>253</v>
      </c>
      <c r="L7637" s="10" t="s">
        <v>36131</v>
      </c>
      <c r="M7637" s="10">
        <v>1</v>
      </c>
      <c r="N7637" s="10" t="s">
        <v>36132</v>
      </c>
      <c r="O7637" s="10"/>
      <c r="P7637" s="10" t="s">
        <v>36133</v>
      </c>
      <c r="Q7637" s="10">
        <v>511.3</v>
      </c>
      <c r="R7637" s="10" t="s">
        <v>36134</v>
      </c>
      <c r="S7637" s="10" t="s">
        <v>53</v>
      </c>
      <c r="T7637" s="10" t="s">
        <v>389</v>
      </c>
    </row>
    <row r="7638" spans="1:20" ht="14.5" x14ac:dyDescent="0.35">
      <c r="A7638" s="10" t="s">
        <v>36135</v>
      </c>
      <c r="B7638" s="10" t="str">
        <f>"9780883857670"</f>
        <v>9780883857670</v>
      </c>
      <c r="C7638" s="10" t="str">
        <f>"9781614446095"</f>
        <v>9781614446095</v>
      </c>
      <c r="D7638" s="10" t="s">
        <v>34436</v>
      </c>
      <c r="E7638" s="10" t="s">
        <v>34437</v>
      </c>
      <c r="F7638" s="10" t="s">
        <v>88</v>
      </c>
      <c r="G7638" s="10" t="s">
        <v>6317</v>
      </c>
      <c r="H7638" s="11">
        <v>40210</v>
      </c>
      <c r="I7638" s="10">
        <v>2010</v>
      </c>
      <c r="J7638" s="10" t="s">
        <v>36121</v>
      </c>
      <c r="K7638" s="10">
        <v>509</v>
      </c>
      <c r="L7638" s="10" t="s">
        <v>36136</v>
      </c>
      <c r="M7638" s="10">
        <v>1</v>
      </c>
      <c r="N7638" s="10" t="s">
        <v>36132</v>
      </c>
      <c r="O7638" s="10"/>
      <c r="P7638" s="10" t="s">
        <v>36137</v>
      </c>
      <c r="Q7638" s="10">
        <v>512.9</v>
      </c>
      <c r="R7638" s="10" t="s">
        <v>36138</v>
      </c>
      <c r="S7638" s="10" t="s">
        <v>53</v>
      </c>
      <c r="T7638" s="10" t="s">
        <v>389</v>
      </c>
    </row>
    <row r="7639" spans="1:20" ht="14.5" x14ac:dyDescent="0.35">
      <c r="A7639" s="10" t="s">
        <v>36139</v>
      </c>
      <c r="B7639" s="10" t="str">
        <f>"9780883857731"</f>
        <v>9780883857731</v>
      </c>
      <c r="C7639" s="10" t="str">
        <f>"9780883859803"</f>
        <v>9780883859803</v>
      </c>
      <c r="D7639" s="10" t="s">
        <v>34436</v>
      </c>
      <c r="E7639" s="10" t="s">
        <v>34437</v>
      </c>
      <c r="F7639" s="10" t="s">
        <v>88</v>
      </c>
      <c r="G7639" s="10" t="s">
        <v>6317</v>
      </c>
      <c r="H7639" s="11">
        <v>26665</v>
      </c>
      <c r="I7639" s="10">
        <v>2011</v>
      </c>
      <c r="J7639" s="10" t="s">
        <v>36121</v>
      </c>
      <c r="K7639" s="10">
        <v>442</v>
      </c>
      <c r="L7639" s="10" t="s">
        <v>36140</v>
      </c>
      <c r="M7639" s="10">
        <v>1</v>
      </c>
      <c r="N7639" s="10" t="s">
        <v>36132</v>
      </c>
      <c r="O7639" s="10"/>
      <c r="P7639" s="10" t="s">
        <v>36141</v>
      </c>
      <c r="Q7639" s="10">
        <v>510.71</v>
      </c>
      <c r="R7639" s="10" t="s">
        <v>36142</v>
      </c>
      <c r="S7639" s="10" t="s">
        <v>53</v>
      </c>
      <c r="T7639" s="10" t="s">
        <v>389</v>
      </c>
    </row>
    <row r="7640" spans="1:20" ht="14.5" x14ac:dyDescent="0.35">
      <c r="A7640" s="10" t="s">
        <v>36143</v>
      </c>
      <c r="B7640" s="10" t="str">
        <f>"9780883857625"</f>
        <v>9780883857625</v>
      </c>
      <c r="C7640" s="10" t="str">
        <f>"9781614446071"</f>
        <v>9781614446071</v>
      </c>
      <c r="D7640" s="10" t="s">
        <v>34436</v>
      </c>
      <c r="E7640" s="10" t="s">
        <v>34437</v>
      </c>
      <c r="F7640" s="10" t="s">
        <v>88</v>
      </c>
      <c r="G7640" s="10" t="s">
        <v>6317</v>
      </c>
      <c r="H7640" s="11">
        <v>40118</v>
      </c>
      <c r="I7640" s="10">
        <v>2010</v>
      </c>
      <c r="J7640" s="10" t="s">
        <v>36121</v>
      </c>
      <c r="K7640" s="10">
        <v>410</v>
      </c>
      <c r="L7640" s="10" t="s">
        <v>36144</v>
      </c>
      <c r="M7640" s="10">
        <v>1</v>
      </c>
      <c r="N7640" s="10" t="s">
        <v>36132</v>
      </c>
      <c r="O7640" s="10"/>
      <c r="P7640" s="10" t="s">
        <v>36145</v>
      </c>
      <c r="Q7640" s="10">
        <v>511.6</v>
      </c>
      <c r="R7640" s="10" t="s">
        <v>36146</v>
      </c>
      <c r="S7640" s="10" t="s">
        <v>53</v>
      </c>
      <c r="T7640" s="10" t="s">
        <v>389</v>
      </c>
    </row>
    <row r="7641" spans="1:20" ht="14.5" x14ac:dyDescent="0.35">
      <c r="A7641" s="10" t="s">
        <v>36147</v>
      </c>
      <c r="B7641" s="10" t="str">
        <f>"9780883857663"</f>
        <v>9780883857663</v>
      </c>
      <c r="C7641" s="10" t="str">
        <f>"9781614446057"</f>
        <v>9781614446057</v>
      </c>
      <c r="D7641" s="10" t="s">
        <v>34436</v>
      </c>
      <c r="E7641" s="10" t="s">
        <v>34437</v>
      </c>
      <c r="F7641" s="10" t="s">
        <v>88</v>
      </c>
      <c r="G7641" s="10" t="s">
        <v>6317</v>
      </c>
      <c r="H7641" s="11">
        <v>40259</v>
      </c>
      <c r="I7641" s="10">
        <v>2010</v>
      </c>
      <c r="J7641" s="10" t="s">
        <v>36121</v>
      </c>
      <c r="K7641" s="10">
        <v>396</v>
      </c>
      <c r="L7641" s="10" t="s">
        <v>36148</v>
      </c>
      <c r="M7641" s="10">
        <v>1</v>
      </c>
      <c r="N7641" s="10" t="s">
        <v>36132</v>
      </c>
      <c r="O7641" s="10"/>
      <c r="P7641" s="10" t="s">
        <v>36149</v>
      </c>
      <c r="Q7641" s="10">
        <v>510.9</v>
      </c>
      <c r="R7641" s="10" t="s">
        <v>36150</v>
      </c>
      <c r="S7641" s="10" t="s">
        <v>53</v>
      </c>
      <c r="T7641" s="10" t="s">
        <v>389</v>
      </c>
    </row>
    <row r="7642" spans="1:20" ht="14.5" x14ac:dyDescent="0.35">
      <c r="A7642" s="10" t="s">
        <v>36151</v>
      </c>
      <c r="B7642" s="10" t="str">
        <f>"9780883857564"</f>
        <v>9780883857564</v>
      </c>
      <c r="C7642" s="10" t="str">
        <f>"9781614446026"</f>
        <v>9781614446026</v>
      </c>
      <c r="D7642" s="10" t="s">
        <v>34436</v>
      </c>
      <c r="E7642" s="10" t="s">
        <v>34437</v>
      </c>
      <c r="F7642" s="10" t="s">
        <v>34438</v>
      </c>
      <c r="G7642" s="10" t="s">
        <v>6317</v>
      </c>
      <c r="H7642" s="11">
        <v>39994</v>
      </c>
      <c r="I7642" s="10">
        <v>2009</v>
      </c>
      <c r="J7642" s="10" t="s">
        <v>36121</v>
      </c>
      <c r="K7642" s="10">
        <v>509</v>
      </c>
      <c r="L7642" s="10" t="s">
        <v>36152</v>
      </c>
      <c r="M7642" s="10">
        <v>1</v>
      </c>
      <c r="N7642" s="10" t="s">
        <v>36153</v>
      </c>
      <c r="O7642" s="10">
        <v>16</v>
      </c>
      <c r="P7642" s="10" t="s">
        <v>36154</v>
      </c>
      <c r="Q7642" s="10">
        <v>515</v>
      </c>
      <c r="R7642" s="10" t="s">
        <v>36155</v>
      </c>
      <c r="S7642" s="10" t="s">
        <v>53</v>
      </c>
      <c r="T7642" s="10" t="s">
        <v>389</v>
      </c>
    </row>
    <row r="7643" spans="1:20" ht="14.5" x14ac:dyDescent="0.35">
      <c r="A7643" s="10" t="s">
        <v>36156</v>
      </c>
      <c r="B7643" s="10" t="str">
        <f>"9780883857298"</f>
        <v>9780883857298</v>
      </c>
      <c r="C7643" s="10" t="str">
        <f>"9780883859827"</f>
        <v>9780883859827</v>
      </c>
      <c r="D7643" s="10" t="s">
        <v>34436</v>
      </c>
      <c r="E7643" s="10" t="s">
        <v>34437</v>
      </c>
      <c r="F7643" s="10" t="s">
        <v>88</v>
      </c>
      <c r="G7643" s="10" t="s">
        <v>6317</v>
      </c>
      <c r="H7643" s="11">
        <v>37956</v>
      </c>
      <c r="I7643" s="10">
        <v>2003</v>
      </c>
      <c r="J7643" s="10" t="s">
        <v>36121</v>
      </c>
      <c r="K7643" s="10">
        <v>199</v>
      </c>
      <c r="L7643" s="10" t="s">
        <v>36157</v>
      </c>
      <c r="M7643" s="10">
        <v>1</v>
      </c>
      <c r="N7643" s="10" t="s">
        <v>36132</v>
      </c>
      <c r="O7643" s="10"/>
      <c r="P7643" s="10" t="s">
        <v>36158</v>
      </c>
      <c r="Q7643" s="10">
        <v>510</v>
      </c>
      <c r="R7643" s="10" t="s">
        <v>36134</v>
      </c>
      <c r="S7643" s="10" t="s">
        <v>53</v>
      </c>
      <c r="T7643" s="10" t="s">
        <v>389</v>
      </c>
    </row>
    <row r="7644" spans="1:20" ht="14.5" x14ac:dyDescent="0.35">
      <c r="A7644" s="10" t="s">
        <v>36159</v>
      </c>
      <c r="B7644" s="10" t="str">
        <f>"9781939512031"</f>
        <v>9781939512031</v>
      </c>
      <c r="C7644" s="10" t="str">
        <f>"9781614446132"</f>
        <v>9781614446132</v>
      </c>
      <c r="D7644" s="10" t="s">
        <v>34436</v>
      </c>
      <c r="E7644" s="10" t="s">
        <v>34437</v>
      </c>
      <c r="F7644" s="10" t="s">
        <v>34438</v>
      </c>
      <c r="G7644" s="10" t="s">
        <v>6317</v>
      </c>
      <c r="H7644" s="11">
        <v>41638</v>
      </c>
      <c r="I7644" s="10">
        <v>2013</v>
      </c>
      <c r="J7644" s="10" t="s">
        <v>36121</v>
      </c>
      <c r="K7644" s="10">
        <v>189</v>
      </c>
      <c r="L7644" s="10" t="s">
        <v>36160</v>
      </c>
      <c r="M7644" s="10">
        <v>1</v>
      </c>
      <c r="N7644" s="10" t="s">
        <v>36153</v>
      </c>
      <c r="O7644" s="10">
        <v>24</v>
      </c>
      <c r="P7644" s="10" t="s">
        <v>36161</v>
      </c>
      <c r="Q7644" s="10">
        <v>510.1</v>
      </c>
      <c r="R7644" s="10" t="s">
        <v>36162</v>
      </c>
      <c r="S7644" s="10" t="s">
        <v>53</v>
      </c>
      <c r="T7644" s="10" t="s">
        <v>389</v>
      </c>
    </row>
    <row r="7645" spans="1:20" ht="14.5" x14ac:dyDescent="0.35">
      <c r="A7645" s="10" t="s">
        <v>36163</v>
      </c>
      <c r="B7645" s="10" t="str">
        <f>"9780773522749"</f>
        <v>9780773522749</v>
      </c>
      <c r="C7645" s="10" t="str">
        <f>"9780773569713"</f>
        <v>9780773569713</v>
      </c>
      <c r="D7645" s="10" t="s">
        <v>36164</v>
      </c>
      <c r="E7645" s="10" t="s">
        <v>36165</v>
      </c>
      <c r="F7645" s="10" t="s">
        <v>4536</v>
      </c>
      <c r="G7645" s="10" t="s">
        <v>9536</v>
      </c>
      <c r="H7645" s="11">
        <v>37385</v>
      </c>
      <c r="I7645" s="10">
        <v>2002</v>
      </c>
      <c r="J7645" s="10" t="s">
        <v>36165</v>
      </c>
      <c r="K7645" s="10">
        <v>288</v>
      </c>
      <c r="L7645" s="10" t="s">
        <v>36166</v>
      </c>
      <c r="M7645" s="10">
        <v>1</v>
      </c>
      <c r="N7645" s="10"/>
      <c r="O7645" s="10"/>
      <c r="P7645" s="10" t="s">
        <v>36167</v>
      </c>
      <c r="Q7645" s="10" t="s">
        <v>36168</v>
      </c>
      <c r="R7645" s="10" t="s">
        <v>36169</v>
      </c>
      <c r="S7645" s="10" t="s">
        <v>53</v>
      </c>
      <c r="T7645" s="10" t="s">
        <v>54</v>
      </c>
    </row>
    <row r="7646" spans="1:20" ht="14.5" x14ac:dyDescent="0.35">
      <c r="A7646" s="10" t="s">
        <v>36170</v>
      </c>
      <c r="B7646" s="10" t="str">
        <f>"9780773520998"</f>
        <v>9780773520998</v>
      </c>
      <c r="C7646" s="10" t="str">
        <f>"9780773568723"</f>
        <v>9780773568723</v>
      </c>
      <c r="D7646" s="10" t="s">
        <v>36164</v>
      </c>
      <c r="E7646" s="10" t="s">
        <v>36165</v>
      </c>
      <c r="F7646" s="10" t="s">
        <v>4536</v>
      </c>
      <c r="G7646" s="10" t="s">
        <v>9536</v>
      </c>
      <c r="H7646" s="11">
        <v>36831</v>
      </c>
      <c r="I7646" s="10">
        <v>2000</v>
      </c>
      <c r="J7646" s="10" t="s">
        <v>36165</v>
      </c>
      <c r="K7646" s="10">
        <v>310</v>
      </c>
      <c r="L7646" s="10" t="s">
        <v>36171</v>
      </c>
      <c r="M7646" s="10">
        <v>1</v>
      </c>
      <c r="N7646" s="10"/>
      <c r="O7646" s="10"/>
      <c r="P7646" s="10" t="s">
        <v>36172</v>
      </c>
      <c r="Q7646" s="10"/>
      <c r="R7646" s="10"/>
      <c r="S7646" s="10" t="s">
        <v>53</v>
      </c>
      <c r="T7646" s="10" t="s">
        <v>54</v>
      </c>
    </row>
    <row r="7647" spans="1:20" ht="14.5" x14ac:dyDescent="0.35">
      <c r="A7647" s="10" t="s">
        <v>36173</v>
      </c>
      <c r="B7647" s="10" t="str">
        <f>"9780773522480"</f>
        <v>9780773522480</v>
      </c>
      <c r="C7647" s="10" t="str">
        <f>"9780773569546"</f>
        <v>9780773569546</v>
      </c>
      <c r="D7647" s="10" t="s">
        <v>36164</v>
      </c>
      <c r="E7647" s="10" t="s">
        <v>36165</v>
      </c>
      <c r="F7647" s="10" t="s">
        <v>4536</v>
      </c>
      <c r="G7647" s="10" t="s">
        <v>9536</v>
      </c>
      <c r="H7647" s="11">
        <v>37578</v>
      </c>
      <c r="I7647" s="10">
        <v>2002</v>
      </c>
      <c r="J7647" s="10" t="s">
        <v>36165</v>
      </c>
      <c r="K7647" s="10">
        <v>152</v>
      </c>
      <c r="L7647" s="10" t="s">
        <v>36174</v>
      </c>
      <c r="M7647" s="10">
        <v>1</v>
      </c>
      <c r="N7647" s="10"/>
      <c r="O7647" s="10"/>
      <c r="P7647" s="10" t="s">
        <v>36175</v>
      </c>
      <c r="Q7647" s="10"/>
      <c r="R7647" s="10"/>
      <c r="S7647" s="10" t="s">
        <v>53</v>
      </c>
      <c r="T7647" s="10" t="s">
        <v>54</v>
      </c>
    </row>
    <row r="7648" spans="1:20" ht="14.5" x14ac:dyDescent="0.35">
      <c r="A7648" s="10" t="s">
        <v>36176</v>
      </c>
      <c r="B7648" s="10" t="str">
        <f>"9780773521704"</f>
        <v>9780773521704</v>
      </c>
      <c r="C7648" s="10" t="str">
        <f>"9780773569102"</f>
        <v>9780773569102</v>
      </c>
      <c r="D7648" s="10" t="s">
        <v>36164</v>
      </c>
      <c r="E7648" s="10" t="s">
        <v>36165</v>
      </c>
      <c r="F7648" s="10" t="s">
        <v>4536</v>
      </c>
      <c r="G7648" s="10" t="s">
        <v>9536</v>
      </c>
      <c r="H7648" s="11">
        <v>37154</v>
      </c>
      <c r="I7648" s="10">
        <v>2001</v>
      </c>
      <c r="J7648" s="10" t="s">
        <v>36165</v>
      </c>
      <c r="K7648" s="10">
        <v>192</v>
      </c>
      <c r="L7648" s="10" t="s">
        <v>36177</v>
      </c>
      <c r="M7648" s="10">
        <v>1</v>
      </c>
      <c r="N7648" s="10"/>
      <c r="O7648" s="10"/>
      <c r="P7648" s="10" t="s">
        <v>36178</v>
      </c>
      <c r="Q7648" s="10" t="s">
        <v>10256</v>
      </c>
      <c r="R7648" s="10" t="s">
        <v>36179</v>
      </c>
      <c r="S7648" s="10" t="s">
        <v>53</v>
      </c>
      <c r="T7648" s="10" t="s">
        <v>54</v>
      </c>
    </row>
    <row r="7649" spans="1:20" ht="14.5" x14ac:dyDescent="0.35">
      <c r="A7649" s="10" t="s">
        <v>36180</v>
      </c>
      <c r="B7649" s="10" t="str">
        <f>"9780773521773"</f>
        <v>9780773521773</v>
      </c>
      <c r="C7649" s="10" t="str">
        <f>"9780773569164"</f>
        <v>9780773569164</v>
      </c>
      <c r="D7649" s="10" t="s">
        <v>36164</v>
      </c>
      <c r="E7649" s="10" t="s">
        <v>36165</v>
      </c>
      <c r="F7649" s="10" t="s">
        <v>4536</v>
      </c>
      <c r="G7649" s="10" t="s">
        <v>9536</v>
      </c>
      <c r="H7649" s="11">
        <v>37091</v>
      </c>
      <c r="I7649" s="10">
        <v>2001</v>
      </c>
      <c r="J7649" s="10" t="s">
        <v>36165</v>
      </c>
      <c r="K7649" s="10">
        <v>376</v>
      </c>
      <c r="L7649" s="10" t="s">
        <v>36181</v>
      </c>
      <c r="M7649" s="10">
        <v>1</v>
      </c>
      <c r="N7649" s="10"/>
      <c r="O7649" s="10"/>
      <c r="P7649" s="10" t="s">
        <v>36182</v>
      </c>
      <c r="Q7649" s="10" t="s">
        <v>36183</v>
      </c>
      <c r="R7649" s="10" t="s">
        <v>36184</v>
      </c>
      <c r="S7649" s="10" t="s">
        <v>53</v>
      </c>
      <c r="T7649" s="10" t="s">
        <v>54</v>
      </c>
    </row>
    <row r="7650" spans="1:20" ht="14.5" x14ac:dyDescent="0.35">
      <c r="A7650" s="10" t="s">
        <v>36185</v>
      </c>
      <c r="B7650" s="10" t="str">
        <f>"9780773521865"</f>
        <v>9780773521865</v>
      </c>
      <c r="C7650" s="10" t="str">
        <f>"9780773569232"</f>
        <v>9780773569232</v>
      </c>
      <c r="D7650" s="10" t="s">
        <v>36164</v>
      </c>
      <c r="E7650" s="10" t="s">
        <v>36165</v>
      </c>
      <c r="F7650" s="10" t="s">
        <v>4536</v>
      </c>
      <c r="G7650" s="10" t="s">
        <v>9536</v>
      </c>
      <c r="H7650" s="11">
        <v>37005</v>
      </c>
      <c r="I7650" s="10">
        <v>2001</v>
      </c>
      <c r="J7650" s="10" t="s">
        <v>36165</v>
      </c>
      <c r="K7650" s="10">
        <v>127</v>
      </c>
      <c r="L7650" s="10" t="s">
        <v>36186</v>
      </c>
      <c r="M7650" s="10">
        <v>1</v>
      </c>
      <c r="N7650" s="10"/>
      <c r="O7650" s="10"/>
      <c r="P7650" s="10" t="s">
        <v>36187</v>
      </c>
      <c r="Q7650" s="10"/>
      <c r="R7650" s="10" t="s">
        <v>36188</v>
      </c>
      <c r="S7650" s="10" t="s">
        <v>53</v>
      </c>
      <c r="T7650" s="10" t="s">
        <v>54</v>
      </c>
    </row>
    <row r="7651" spans="1:20" ht="14.5" x14ac:dyDescent="0.35">
      <c r="A7651" s="10" t="s">
        <v>36189</v>
      </c>
      <c r="B7651" s="10" t="str">
        <f>"9780773523470"</f>
        <v>9780773523470</v>
      </c>
      <c r="C7651" s="10" t="str">
        <f>"9780773570108"</f>
        <v>9780773570108</v>
      </c>
      <c r="D7651" s="10" t="s">
        <v>36164</v>
      </c>
      <c r="E7651" s="10" t="s">
        <v>36165</v>
      </c>
      <c r="F7651" s="10" t="s">
        <v>4536</v>
      </c>
      <c r="G7651" s="10" t="s">
        <v>9536</v>
      </c>
      <c r="H7651" s="11">
        <v>37441</v>
      </c>
      <c r="I7651" s="10">
        <v>2002</v>
      </c>
      <c r="J7651" s="10" t="s">
        <v>36165</v>
      </c>
      <c r="K7651" s="10">
        <v>182</v>
      </c>
      <c r="L7651" s="10" t="s">
        <v>36190</v>
      </c>
      <c r="M7651" s="10">
        <v>1</v>
      </c>
      <c r="N7651" s="10" t="s">
        <v>36191</v>
      </c>
      <c r="O7651" s="10">
        <v>47</v>
      </c>
      <c r="P7651" s="10" t="s">
        <v>36192</v>
      </c>
      <c r="Q7651" s="10" t="s">
        <v>36193</v>
      </c>
      <c r="R7651" s="10" t="s">
        <v>36194</v>
      </c>
      <c r="S7651" s="10" t="s">
        <v>53</v>
      </c>
      <c r="T7651" s="10" t="s">
        <v>54</v>
      </c>
    </row>
    <row r="7652" spans="1:20" ht="14.5" x14ac:dyDescent="0.35">
      <c r="A7652" s="10" t="s">
        <v>36195</v>
      </c>
      <c r="B7652" s="10" t="str">
        <f>"9780773524538"</f>
        <v>9780773524538</v>
      </c>
      <c r="C7652" s="10" t="str">
        <f>"9780773570689"</f>
        <v>9780773570689</v>
      </c>
      <c r="D7652" s="10" t="s">
        <v>36164</v>
      </c>
      <c r="E7652" s="10" t="s">
        <v>36165</v>
      </c>
      <c r="F7652" s="10" t="s">
        <v>4536</v>
      </c>
      <c r="G7652" s="10" t="s">
        <v>9536</v>
      </c>
      <c r="H7652" s="11">
        <v>37676</v>
      </c>
      <c r="I7652" s="10">
        <v>2003</v>
      </c>
      <c r="J7652" s="10" t="s">
        <v>36165</v>
      </c>
      <c r="K7652" s="10">
        <v>302</v>
      </c>
      <c r="L7652" s="10" t="s">
        <v>36196</v>
      </c>
      <c r="M7652" s="10">
        <v>1</v>
      </c>
      <c r="N7652" s="10"/>
      <c r="O7652" s="10"/>
      <c r="P7652" s="10"/>
      <c r="Q7652" s="10" t="s">
        <v>15893</v>
      </c>
      <c r="R7652" s="10"/>
      <c r="S7652" s="10" t="s">
        <v>53</v>
      </c>
      <c r="T7652" s="10" t="s">
        <v>54</v>
      </c>
    </row>
    <row r="7653" spans="1:20" ht="14.5" x14ac:dyDescent="0.35">
      <c r="A7653" s="10" t="s">
        <v>36197</v>
      </c>
      <c r="B7653" s="10" t="str">
        <f>"9780773524866"</f>
        <v>9780773524866</v>
      </c>
      <c r="C7653" s="10" t="str">
        <f>"9780773570757"</f>
        <v>9780773570757</v>
      </c>
      <c r="D7653" s="10" t="s">
        <v>36164</v>
      </c>
      <c r="E7653" s="10" t="s">
        <v>36165</v>
      </c>
      <c r="F7653" s="10" t="s">
        <v>4536</v>
      </c>
      <c r="G7653" s="10" t="s">
        <v>9536</v>
      </c>
      <c r="H7653" s="11">
        <v>37530</v>
      </c>
      <c r="I7653" s="10">
        <v>2002</v>
      </c>
      <c r="J7653" s="10" t="s">
        <v>36165</v>
      </c>
      <c r="K7653" s="10">
        <v>252</v>
      </c>
      <c r="L7653" s="10" t="s">
        <v>36198</v>
      </c>
      <c r="M7653" s="10">
        <v>1</v>
      </c>
      <c r="N7653" s="10"/>
      <c r="O7653" s="10"/>
      <c r="P7653" s="10"/>
      <c r="Q7653" s="10" t="s">
        <v>36199</v>
      </c>
      <c r="R7653" s="10" t="s">
        <v>36200</v>
      </c>
      <c r="S7653" s="10" t="s">
        <v>53</v>
      </c>
      <c r="T7653" s="10" t="s">
        <v>54</v>
      </c>
    </row>
    <row r="7654" spans="1:20" ht="14.5" x14ac:dyDescent="0.35">
      <c r="A7654" s="10" t="s">
        <v>36201</v>
      </c>
      <c r="B7654" s="10" t="str">
        <f>"9780773524422"</f>
        <v>9780773524422</v>
      </c>
      <c r="C7654" s="10" t="str">
        <f>"9780773570634"</f>
        <v>9780773570634</v>
      </c>
      <c r="D7654" s="10" t="s">
        <v>36164</v>
      </c>
      <c r="E7654" s="10" t="s">
        <v>36165</v>
      </c>
      <c r="F7654" s="10" t="s">
        <v>4536</v>
      </c>
      <c r="G7654" s="10" t="s">
        <v>9536</v>
      </c>
      <c r="H7654" s="11">
        <v>37670</v>
      </c>
      <c r="I7654" s="10">
        <v>2003</v>
      </c>
      <c r="J7654" s="10" t="s">
        <v>36165</v>
      </c>
      <c r="K7654" s="10">
        <v>184</v>
      </c>
      <c r="L7654" s="10" t="s">
        <v>36202</v>
      </c>
      <c r="M7654" s="10">
        <v>1</v>
      </c>
      <c r="N7654" s="10"/>
      <c r="O7654" s="10"/>
      <c r="P7654" s="10" t="s">
        <v>36203</v>
      </c>
      <c r="Q7654" s="10" t="s">
        <v>36204</v>
      </c>
      <c r="R7654" s="10" t="s">
        <v>36205</v>
      </c>
      <c r="S7654" s="10" t="s">
        <v>53</v>
      </c>
      <c r="T7654" s="10" t="s">
        <v>54</v>
      </c>
    </row>
    <row r="7655" spans="1:20" ht="14.5" x14ac:dyDescent="0.35">
      <c r="A7655" s="10" t="s">
        <v>36206</v>
      </c>
      <c r="B7655" s="10" t="str">
        <f>"9780773528055"</f>
        <v>9780773528055</v>
      </c>
      <c r="C7655" s="10" t="str">
        <f>"9780773572324"</f>
        <v>9780773572324</v>
      </c>
      <c r="D7655" s="10" t="s">
        <v>36164</v>
      </c>
      <c r="E7655" s="10" t="s">
        <v>36165</v>
      </c>
      <c r="F7655" s="10" t="s">
        <v>4536</v>
      </c>
      <c r="G7655" s="10" t="s">
        <v>9536</v>
      </c>
      <c r="H7655" s="11">
        <v>38300</v>
      </c>
      <c r="I7655" s="10">
        <v>2004</v>
      </c>
      <c r="J7655" s="10" t="s">
        <v>36165</v>
      </c>
      <c r="K7655" s="10">
        <v>266</v>
      </c>
      <c r="L7655" s="10" t="s">
        <v>36207</v>
      </c>
      <c r="M7655" s="10">
        <v>1</v>
      </c>
      <c r="N7655" s="10" t="s">
        <v>36191</v>
      </c>
      <c r="O7655" s="10">
        <v>32</v>
      </c>
      <c r="P7655" s="10" t="s">
        <v>36208</v>
      </c>
      <c r="Q7655" s="10">
        <v>378.71</v>
      </c>
      <c r="R7655" s="10" t="s">
        <v>36209</v>
      </c>
      <c r="S7655" s="10" t="s">
        <v>53</v>
      </c>
      <c r="T7655" s="10" t="s">
        <v>54</v>
      </c>
    </row>
    <row r="7656" spans="1:20" ht="14.5" x14ac:dyDescent="0.35">
      <c r="A7656" s="10" t="s">
        <v>36210</v>
      </c>
      <c r="B7656" s="10" t="str">
        <f>"9780773521476"</f>
        <v>9780773521476</v>
      </c>
      <c r="C7656" s="10" t="str">
        <f>"9780773568952"</f>
        <v>9780773568952</v>
      </c>
      <c r="D7656" s="10" t="s">
        <v>36164</v>
      </c>
      <c r="E7656" s="10" t="s">
        <v>36165</v>
      </c>
      <c r="F7656" s="10" t="s">
        <v>4536</v>
      </c>
      <c r="G7656" s="10" t="s">
        <v>9536</v>
      </c>
      <c r="H7656" s="11">
        <v>37005</v>
      </c>
      <c r="I7656" s="10">
        <v>2001</v>
      </c>
      <c r="J7656" s="10" t="s">
        <v>36165</v>
      </c>
      <c r="K7656" s="10">
        <v>248</v>
      </c>
      <c r="L7656" s="10" t="s">
        <v>36211</v>
      </c>
      <c r="M7656" s="10">
        <v>1</v>
      </c>
      <c r="N7656" s="10"/>
      <c r="O7656" s="10"/>
      <c r="P7656" s="10" t="s">
        <v>36212</v>
      </c>
      <c r="Q7656" s="10" t="s">
        <v>36213</v>
      </c>
      <c r="R7656" s="10" t="s">
        <v>36214</v>
      </c>
      <c r="S7656" s="10" t="s">
        <v>53</v>
      </c>
      <c r="T7656" s="10" t="s">
        <v>11508</v>
      </c>
    </row>
    <row r="7657" spans="1:20" ht="14.5" x14ac:dyDescent="0.35">
      <c r="A7657" s="10" t="s">
        <v>36215</v>
      </c>
      <c r="B7657" s="10" t="str">
        <f>"9780773515352"</f>
        <v>9780773515352</v>
      </c>
      <c r="C7657" s="10" t="str">
        <f>"9780773566422"</f>
        <v>9780773566422</v>
      </c>
      <c r="D7657" s="10" t="s">
        <v>36164</v>
      </c>
      <c r="E7657" s="10" t="s">
        <v>36165</v>
      </c>
      <c r="F7657" s="10" t="s">
        <v>4536</v>
      </c>
      <c r="G7657" s="10" t="s">
        <v>9536</v>
      </c>
      <c r="H7657" s="11">
        <v>35473</v>
      </c>
      <c r="I7657" s="10">
        <v>1997</v>
      </c>
      <c r="J7657" s="10" t="s">
        <v>36165</v>
      </c>
      <c r="K7657" s="10">
        <v>332</v>
      </c>
      <c r="L7657" s="10" t="s">
        <v>36216</v>
      </c>
      <c r="M7657" s="10">
        <v>1</v>
      </c>
      <c r="N7657" s="10"/>
      <c r="O7657" s="10"/>
      <c r="P7657" s="10" t="s">
        <v>36217</v>
      </c>
      <c r="Q7657" s="10">
        <v>370.19</v>
      </c>
      <c r="R7657" s="10"/>
      <c r="S7657" s="10" t="s">
        <v>53</v>
      </c>
      <c r="T7657" s="10" t="s">
        <v>54</v>
      </c>
    </row>
    <row r="7658" spans="1:20" ht="14.5" x14ac:dyDescent="0.35">
      <c r="A7658" s="10" t="s">
        <v>36218</v>
      </c>
      <c r="B7658" s="10" t="str">
        <f>"9780773506473"</f>
        <v>9780773506473</v>
      </c>
      <c r="C7658" s="10" t="str">
        <f>"9780773561625"</f>
        <v>9780773561625</v>
      </c>
      <c r="D7658" s="10" t="s">
        <v>36164</v>
      </c>
      <c r="E7658" s="10" t="s">
        <v>36165</v>
      </c>
      <c r="F7658" s="10" t="s">
        <v>4536</v>
      </c>
      <c r="G7658" s="10" t="s">
        <v>9536</v>
      </c>
      <c r="H7658" s="11">
        <v>32387</v>
      </c>
      <c r="I7658" s="10">
        <v>1988</v>
      </c>
      <c r="J7658" s="10" t="s">
        <v>36165</v>
      </c>
      <c r="K7658" s="10">
        <v>175</v>
      </c>
      <c r="L7658" s="10" t="s">
        <v>36219</v>
      </c>
      <c r="M7658" s="10">
        <v>1</v>
      </c>
      <c r="N7658" s="10"/>
      <c r="O7658" s="10"/>
      <c r="P7658" s="10"/>
      <c r="Q7658" s="10"/>
      <c r="R7658" s="10"/>
      <c r="S7658" s="10" t="s">
        <v>53</v>
      </c>
      <c r="T7658" s="10" t="s">
        <v>54</v>
      </c>
    </row>
    <row r="7659" spans="1:20" ht="14.5" x14ac:dyDescent="0.35">
      <c r="A7659" s="10" t="s">
        <v>36220</v>
      </c>
      <c r="B7659" s="10" t="str">
        <f>"9780773506343"</f>
        <v>9780773506343</v>
      </c>
      <c r="C7659" s="10" t="str">
        <f>"9780773561526"</f>
        <v>9780773561526</v>
      </c>
      <c r="D7659" s="10" t="s">
        <v>36164</v>
      </c>
      <c r="E7659" s="10" t="s">
        <v>36165</v>
      </c>
      <c r="F7659" s="10" t="s">
        <v>4536</v>
      </c>
      <c r="G7659" s="10" t="s">
        <v>9536</v>
      </c>
      <c r="H7659" s="11">
        <v>32874</v>
      </c>
      <c r="I7659" s="10">
        <v>1990</v>
      </c>
      <c r="J7659" s="10" t="s">
        <v>36165</v>
      </c>
      <c r="K7659" s="10">
        <v>376</v>
      </c>
      <c r="L7659" s="10" t="s">
        <v>36221</v>
      </c>
      <c r="M7659" s="10">
        <v>1</v>
      </c>
      <c r="N7659" s="10"/>
      <c r="O7659" s="10"/>
      <c r="P7659" s="10"/>
      <c r="Q7659" s="10"/>
      <c r="R7659" s="10"/>
      <c r="S7659" s="10" t="s">
        <v>53</v>
      </c>
      <c r="T7659" s="10" t="s">
        <v>54</v>
      </c>
    </row>
    <row r="7660" spans="1:20" ht="14.5" x14ac:dyDescent="0.35">
      <c r="A7660" s="10" t="s">
        <v>36222</v>
      </c>
      <c r="B7660" s="10" t="str">
        <f>"9780773514386"</f>
        <v>9780773514386</v>
      </c>
      <c r="C7660" s="10" t="str">
        <f>"9780773566217"</f>
        <v>9780773566217</v>
      </c>
      <c r="D7660" s="10" t="s">
        <v>36164</v>
      </c>
      <c r="E7660" s="10" t="s">
        <v>36165</v>
      </c>
      <c r="F7660" s="10" t="s">
        <v>4536</v>
      </c>
      <c r="G7660" s="10" t="s">
        <v>9536</v>
      </c>
      <c r="H7660" s="11">
        <v>35446</v>
      </c>
      <c r="I7660" s="10">
        <v>1997</v>
      </c>
      <c r="J7660" s="10" t="s">
        <v>36165</v>
      </c>
      <c r="K7660" s="10">
        <v>221</v>
      </c>
      <c r="L7660" s="10" t="s">
        <v>36223</v>
      </c>
      <c r="M7660" s="10">
        <v>1</v>
      </c>
      <c r="N7660" s="10"/>
      <c r="O7660" s="10"/>
      <c r="P7660" s="10" t="s">
        <v>36224</v>
      </c>
      <c r="Q7660" s="10">
        <v>1.4</v>
      </c>
      <c r="R7660" s="10" t="s">
        <v>36225</v>
      </c>
      <c r="S7660" s="10" t="s">
        <v>53</v>
      </c>
      <c r="T7660" s="10" t="s">
        <v>36226</v>
      </c>
    </row>
    <row r="7661" spans="1:20" ht="14.5" x14ac:dyDescent="0.35">
      <c r="A7661" s="10" t="s">
        <v>36227</v>
      </c>
      <c r="B7661" s="10" t="str">
        <f>"9780773513365"</f>
        <v>9780773513365</v>
      </c>
      <c r="C7661" s="10" t="str">
        <f>"9780773565579"</f>
        <v>9780773565579</v>
      </c>
      <c r="D7661" s="10" t="s">
        <v>36164</v>
      </c>
      <c r="E7661" s="10" t="s">
        <v>36165</v>
      </c>
      <c r="F7661" s="10" t="s">
        <v>4536</v>
      </c>
      <c r="G7661" s="10" t="s">
        <v>9536</v>
      </c>
      <c r="H7661" s="11">
        <v>35033</v>
      </c>
      <c r="I7661" s="10">
        <v>1995</v>
      </c>
      <c r="J7661" s="10" t="s">
        <v>36165</v>
      </c>
      <c r="K7661" s="10">
        <v>155</v>
      </c>
      <c r="L7661" s="10" t="s">
        <v>36228</v>
      </c>
      <c r="M7661" s="10">
        <v>1</v>
      </c>
      <c r="N7661" s="10" t="s">
        <v>36229</v>
      </c>
      <c r="O7661" s="10">
        <v>11</v>
      </c>
      <c r="P7661" s="10" t="s">
        <v>36230</v>
      </c>
      <c r="Q7661" s="10" t="s">
        <v>36231</v>
      </c>
      <c r="R7661" s="10" t="s">
        <v>36232</v>
      </c>
      <c r="S7661" s="10" t="s">
        <v>53</v>
      </c>
      <c r="T7661" s="10" t="s">
        <v>54</v>
      </c>
    </row>
    <row r="7662" spans="1:20" ht="14.5" x14ac:dyDescent="0.35">
      <c r="A7662" s="10" t="s">
        <v>36233</v>
      </c>
      <c r="B7662" s="10" t="str">
        <f>"9780773521056"</f>
        <v>9780773521056</v>
      </c>
      <c r="C7662" s="10" t="str">
        <f>"9780773568785"</f>
        <v>9780773568785</v>
      </c>
      <c r="D7662" s="10" t="s">
        <v>36164</v>
      </c>
      <c r="E7662" s="10" t="s">
        <v>36165</v>
      </c>
      <c r="F7662" s="10" t="s">
        <v>4536</v>
      </c>
      <c r="G7662" s="10" t="s">
        <v>9536</v>
      </c>
      <c r="H7662" s="11">
        <v>36851</v>
      </c>
      <c r="I7662" s="10">
        <v>2000</v>
      </c>
      <c r="J7662" s="10" t="s">
        <v>36165</v>
      </c>
      <c r="K7662" s="10">
        <v>203</v>
      </c>
      <c r="L7662" s="10" t="s">
        <v>36216</v>
      </c>
      <c r="M7662" s="10">
        <v>1</v>
      </c>
      <c r="N7662" s="10"/>
      <c r="O7662" s="10"/>
      <c r="P7662" s="10" t="s">
        <v>36234</v>
      </c>
      <c r="Q7662" s="10" t="s">
        <v>7600</v>
      </c>
      <c r="R7662" s="10" t="s">
        <v>36235</v>
      </c>
      <c r="S7662" s="10" t="s">
        <v>53</v>
      </c>
      <c r="T7662" s="10" t="s">
        <v>54</v>
      </c>
    </row>
    <row r="7663" spans="1:20" ht="14.5" x14ac:dyDescent="0.35">
      <c r="A7663" s="10" t="s">
        <v>36236</v>
      </c>
      <c r="B7663" s="10" t="str">
        <f>"9780773518810"</f>
        <v>9780773518810</v>
      </c>
      <c r="C7663" s="10" t="str">
        <f>"9780773567979"</f>
        <v>9780773567979</v>
      </c>
      <c r="D7663" s="10" t="s">
        <v>36164</v>
      </c>
      <c r="E7663" s="10" t="s">
        <v>36165</v>
      </c>
      <c r="F7663" s="10" t="s">
        <v>4536</v>
      </c>
      <c r="G7663" s="10" t="s">
        <v>9536</v>
      </c>
      <c r="H7663" s="11">
        <v>36452</v>
      </c>
      <c r="I7663" s="10">
        <v>1999</v>
      </c>
      <c r="J7663" s="10" t="s">
        <v>36165</v>
      </c>
      <c r="K7663" s="10">
        <v>375</v>
      </c>
      <c r="L7663" s="10" t="s">
        <v>36237</v>
      </c>
      <c r="M7663" s="10">
        <v>1</v>
      </c>
      <c r="N7663" s="10"/>
      <c r="O7663" s="10"/>
      <c r="P7663" s="10" t="s">
        <v>36238</v>
      </c>
      <c r="Q7663" s="10"/>
      <c r="R7663" s="10" t="s">
        <v>36239</v>
      </c>
      <c r="S7663" s="10" t="s">
        <v>53</v>
      </c>
      <c r="T7663" s="10" t="s">
        <v>54</v>
      </c>
    </row>
    <row r="7664" spans="1:20" ht="14.5" x14ac:dyDescent="0.35">
      <c r="A7664" s="10" t="s">
        <v>36240</v>
      </c>
      <c r="B7664" s="10" t="str">
        <f>"9780773507289"</f>
        <v>9780773507289</v>
      </c>
      <c r="C7664" s="10" t="str">
        <f>"9780773562257"</f>
        <v>9780773562257</v>
      </c>
      <c r="D7664" s="10" t="s">
        <v>36164</v>
      </c>
      <c r="E7664" s="10" t="s">
        <v>36165</v>
      </c>
      <c r="F7664" s="10" t="s">
        <v>4536</v>
      </c>
      <c r="G7664" s="10" t="s">
        <v>9536</v>
      </c>
      <c r="H7664" s="11">
        <v>32964</v>
      </c>
      <c r="I7664" s="10">
        <v>1990</v>
      </c>
      <c r="J7664" s="10" t="s">
        <v>36165</v>
      </c>
      <c r="K7664" s="10">
        <v>221</v>
      </c>
      <c r="L7664" s="10" t="s">
        <v>36241</v>
      </c>
      <c r="M7664" s="10">
        <v>1</v>
      </c>
      <c r="N7664" s="10"/>
      <c r="O7664" s="10"/>
      <c r="P7664" s="10" t="s">
        <v>36242</v>
      </c>
      <c r="Q7664" s="10" t="s">
        <v>36243</v>
      </c>
      <c r="R7664" s="10" t="s">
        <v>36244</v>
      </c>
      <c r="S7664" s="10" t="s">
        <v>53</v>
      </c>
      <c r="T7664" s="10" t="s">
        <v>12094</v>
      </c>
    </row>
    <row r="7665" spans="1:20" ht="14.5" x14ac:dyDescent="0.35">
      <c r="A7665" s="10" t="s">
        <v>36245</v>
      </c>
      <c r="B7665" s="10" t="str">
        <f>"9780773509986"</f>
        <v>9780773509986</v>
      </c>
      <c r="C7665" s="10" t="str">
        <f>"9780773563957"</f>
        <v>9780773563957</v>
      </c>
      <c r="D7665" s="10" t="s">
        <v>36164</v>
      </c>
      <c r="E7665" s="10" t="s">
        <v>36165</v>
      </c>
      <c r="F7665" s="10" t="s">
        <v>4536</v>
      </c>
      <c r="G7665" s="10" t="s">
        <v>9536</v>
      </c>
      <c r="H7665" s="11">
        <v>34247</v>
      </c>
      <c r="I7665" s="10">
        <v>1993</v>
      </c>
      <c r="J7665" s="10" t="s">
        <v>36165</v>
      </c>
      <c r="K7665" s="10">
        <v>347</v>
      </c>
      <c r="L7665" s="10" t="s">
        <v>36181</v>
      </c>
      <c r="M7665" s="10">
        <v>1</v>
      </c>
      <c r="N7665" s="10"/>
      <c r="O7665" s="10"/>
      <c r="P7665" s="10" t="s">
        <v>36246</v>
      </c>
      <c r="Q7665" s="10"/>
      <c r="R7665" s="10"/>
      <c r="S7665" s="10" t="s">
        <v>53</v>
      </c>
      <c r="T7665" s="10" t="s">
        <v>8346</v>
      </c>
    </row>
    <row r="7666" spans="1:20" ht="14.5" x14ac:dyDescent="0.35">
      <c r="A7666" s="10" t="s">
        <v>36247</v>
      </c>
      <c r="B7666" s="10" t="str">
        <f>"9780773521964"</f>
        <v>9780773521964</v>
      </c>
      <c r="C7666" s="10" t="str">
        <f>"9780773569287"</f>
        <v>9780773569287</v>
      </c>
      <c r="D7666" s="10" t="s">
        <v>36164</v>
      </c>
      <c r="E7666" s="10" t="s">
        <v>36165</v>
      </c>
      <c r="F7666" s="10" t="s">
        <v>4536</v>
      </c>
      <c r="G7666" s="10" t="s">
        <v>9536</v>
      </c>
      <c r="H7666" s="11">
        <v>37130</v>
      </c>
      <c r="I7666" s="10">
        <v>2001</v>
      </c>
      <c r="J7666" s="10" t="s">
        <v>36165</v>
      </c>
      <c r="K7666" s="10">
        <v>285</v>
      </c>
      <c r="L7666" s="10" t="s">
        <v>36248</v>
      </c>
      <c r="M7666" s="10">
        <v>1</v>
      </c>
      <c r="N7666" s="10"/>
      <c r="O7666" s="10"/>
      <c r="P7666" s="10" t="s">
        <v>36249</v>
      </c>
      <c r="Q7666" s="10">
        <v>301</v>
      </c>
      <c r="R7666" s="10" t="s">
        <v>36250</v>
      </c>
      <c r="S7666" s="10" t="s">
        <v>53</v>
      </c>
      <c r="T7666" s="10" t="s">
        <v>6363</v>
      </c>
    </row>
    <row r="7667" spans="1:20" ht="14.5" x14ac:dyDescent="0.35">
      <c r="A7667" s="10" t="s">
        <v>36251</v>
      </c>
      <c r="B7667" s="10" t="str">
        <f>"9780773509931"</f>
        <v>9780773509931</v>
      </c>
      <c r="C7667" s="10" t="str">
        <f>"9780773563902"</f>
        <v>9780773563902</v>
      </c>
      <c r="D7667" s="10" t="s">
        <v>36164</v>
      </c>
      <c r="E7667" s="10" t="s">
        <v>36165</v>
      </c>
      <c r="F7667" s="10" t="s">
        <v>4536</v>
      </c>
      <c r="G7667" s="10" t="s">
        <v>9536</v>
      </c>
      <c r="H7667" s="11">
        <v>34248</v>
      </c>
      <c r="I7667" s="10">
        <v>1993</v>
      </c>
      <c r="J7667" s="10" t="s">
        <v>36165</v>
      </c>
      <c r="K7667" s="10">
        <v>121</v>
      </c>
      <c r="L7667" s="10" t="s">
        <v>36252</v>
      </c>
      <c r="M7667" s="10">
        <v>1</v>
      </c>
      <c r="N7667" s="10"/>
      <c r="O7667" s="10"/>
      <c r="P7667" s="10" t="s">
        <v>36253</v>
      </c>
      <c r="Q7667" s="10">
        <v>741.01900000000001</v>
      </c>
      <c r="R7667" s="10"/>
      <c r="S7667" s="10" t="s">
        <v>53</v>
      </c>
      <c r="T7667" s="10" t="s">
        <v>6384</v>
      </c>
    </row>
    <row r="7668" spans="1:20" ht="14.5" x14ac:dyDescent="0.35">
      <c r="A7668" s="10" t="s">
        <v>36254</v>
      </c>
      <c r="B7668" s="10" t="str">
        <f>"9780773501621"</f>
        <v>9780773501621</v>
      </c>
      <c r="C7668" s="10" t="str">
        <f>"9780773560642"</f>
        <v>9780773560642</v>
      </c>
      <c r="D7668" s="10" t="s">
        <v>36164</v>
      </c>
      <c r="E7668" s="10" t="s">
        <v>36165</v>
      </c>
      <c r="F7668" s="10" t="s">
        <v>4536</v>
      </c>
      <c r="G7668" s="10" t="s">
        <v>9536</v>
      </c>
      <c r="H7668" s="11">
        <v>26785</v>
      </c>
      <c r="I7668" s="10">
        <v>1973</v>
      </c>
      <c r="J7668" s="10" t="s">
        <v>36165</v>
      </c>
      <c r="K7668" s="10">
        <v>260</v>
      </c>
      <c r="L7668" s="10" t="s">
        <v>36255</v>
      </c>
      <c r="M7668" s="10">
        <v>1</v>
      </c>
      <c r="N7668" s="10"/>
      <c r="O7668" s="10"/>
      <c r="P7668" s="10"/>
      <c r="Q7668" s="10"/>
      <c r="R7668" s="10" t="s">
        <v>36256</v>
      </c>
      <c r="S7668" s="10" t="s">
        <v>53</v>
      </c>
      <c r="T7668" s="10" t="s">
        <v>54</v>
      </c>
    </row>
    <row r="7669" spans="1:20" ht="14.5" x14ac:dyDescent="0.35">
      <c r="A7669" s="10" t="s">
        <v>36257</v>
      </c>
      <c r="B7669" s="10" t="str">
        <f>"9780771097881"</f>
        <v>9780771097881</v>
      </c>
      <c r="C7669" s="10" t="str">
        <f>"9780773560574"</f>
        <v>9780773560574</v>
      </c>
      <c r="D7669" s="10" t="s">
        <v>36164</v>
      </c>
      <c r="E7669" s="10" t="s">
        <v>36165</v>
      </c>
      <c r="F7669" s="10" t="s">
        <v>4536</v>
      </c>
      <c r="G7669" s="10" t="s">
        <v>9536</v>
      </c>
      <c r="H7669" s="11">
        <v>27409</v>
      </c>
      <c r="I7669" s="10">
        <v>1975</v>
      </c>
      <c r="J7669" s="10" t="s">
        <v>36165</v>
      </c>
      <c r="K7669" s="10">
        <v>145</v>
      </c>
      <c r="L7669" s="10" t="s">
        <v>36258</v>
      </c>
      <c r="M7669" s="10">
        <v>1</v>
      </c>
      <c r="N7669" s="10" t="s">
        <v>36259</v>
      </c>
      <c r="O7669" s="10">
        <v>88</v>
      </c>
      <c r="P7669" s="10"/>
      <c r="Q7669" s="10"/>
      <c r="R7669" s="10" t="s">
        <v>36260</v>
      </c>
      <c r="S7669" s="10" t="s">
        <v>53</v>
      </c>
      <c r="T7669" s="10" t="s">
        <v>6634</v>
      </c>
    </row>
    <row r="7670" spans="1:20" ht="14.5" x14ac:dyDescent="0.35">
      <c r="A7670" s="10" t="s">
        <v>36261</v>
      </c>
      <c r="B7670" s="10" t="str">
        <f>"9780773504110"</f>
        <v>9780773504110</v>
      </c>
      <c r="C7670" s="10" t="str">
        <f>"9780773560895"</f>
        <v>9780773560895</v>
      </c>
      <c r="D7670" s="10" t="s">
        <v>36164</v>
      </c>
      <c r="E7670" s="10" t="s">
        <v>36165</v>
      </c>
      <c r="F7670" s="10" t="s">
        <v>4536</v>
      </c>
      <c r="G7670" s="10" t="s">
        <v>9536</v>
      </c>
      <c r="H7670" s="11">
        <v>34187</v>
      </c>
      <c r="I7670" s="10">
        <v>1993</v>
      </c>
      <c r="J7670" s="10" t="s">
        <v>36165</v>
      </c>
      <c r="K7670" s="10">
        <v>179</v>
      </c>
      <c r="L7670" s="10" t="s">
        <v>36262</v>
      </c>
      <c r="M7670" s="10">
        <v>1</v>
      </c>
      <c r="N7670" s="10"/>
      <c r="O7670" s="10"/>
      <c r="P7670" s="10" t="s">
        <v>36263</v>
      </c>
      <c r="Q7670" s="10"/>
      <c r="R7670" s="10" t="s">
        <v>36264</v>
      </c>
      <c r="S7670" s="10" t="s">
        <v>53</v>
      </c>
      <c r="T7670" s="10" t="s">
        <v>54</v>
      </c>
    </row>
    <row r="7671" spans="1:20" ht="14.5" x14ac:dyDescent="0.35">
      <c r="A7671" s="10" t="s">
        <v>36265</v>
      </c>
      <c r="B7671" s="10" t="str">
        <f>"9780773529632"</f>
        <v>9780773529632</v>
      </c>
      <c r="C7671" s="10" t="str">
        <f>"9780773573178"</f>
        <v>9780773573178</v>
      </c>
      <c r="D7671" s="10" t="s">
        <v>36164</v>
      </c>
      <c r="E7671" s="10" t="s">
        <v>36165</v>
      </c>
      <c r="F7671" s="10" t="s">
        <v>4536</v>
      </c>
      <c r="G7671" s="10" t="s">
        <v>9536</v>
      </c>
      <c r="H7671" s="11">
        <v>38621</v>
      </c>
      <c r="I7671" s="10">
        <v>2005</v>
      </c>
      <c r="J7671" s="10" t="s">
        <v>36165</v>
      </c>
      <c r="K7671" s="10">
        <v>317</v>
      </c>
      <c r="L7671" s="10" t="s">
        <v>36266</v>
      </c>
      <c r="M7671" s="10">
        <v>1</v>
      </c>
      <c r="N7671" s="10"/>
      <c r="O7671" s="10"/>
      <c r="P7671" s="10" t="s">
        <v>36267</v>
      </c>
      <c r="Q7671" s="10" t="s">
        <v>36268</v>
      </c>
      <c r="R7671" s="10" t="s">
        <v>36269</v>
      </c>
      <c r="S7671" s="10" t="s">
        <v>53</v>
      </c>
      <c r="T7671" s="10" t="s">
        <v>54</v>
      </c>
    </row>
    <row r="7672" spans="1:20" ht="14.5" x14ac:dyDescent="0.35">
      <c r="A7672" s="10" t="s">
        <v>36270</v>
      </c>
      <c r="B7672" s="10" t="str">
        <f>"9780773528529"</f>
        <v>9780773528529</v>
      </c>
      <c r="C7672" s="10" t="str">
        <f>"9780773572584"</f>
        <v>9780773572584</v>
      </c>
      <c r="D7672" s="10" t="s">
        <v>36164</v>
      </c>
      <c r="E7672" s="10" t="s">
        <v>36165</v>
      </c>
      <c r="F7672" s="10" t="s">
        <v>4536</v>
      </c>
      <c r="G7672" s="10" t="s">
        <v>9536</v>
      </c>
      <c r="H7672" s="11">
        <v>38390</v>
      </c>
      <c r="I7672" s="10">
        <v>2005</v>
      </c>
      <c r="J7672" s="10" t="s">
        <v>36165</v>
      </c>
      <c r="K7672" s="10">
        <v>293</v>
      </c>
      <c r="L7672" s="10" t="s">
        <v>36271</v>
      </c>
      <c r="M7672" s="10">
        <v>1</v>
      </c>
      <c r="N7672" s="10"/>
      <c r="O7672" s="10"/>
      <c r="P7672" s="10" t="s">
        <v>36272</v>
      </c>
      <c r="Q7672" s="10" t="s">
        <v>36273</v>
      </c>
      <c r="R7672" s="10" t="s">
        <v>36274</v>
      </c>
      <c r="S7672" s="10" t="s">
        <v>53</v>
      </c>
      <c r="T7672" s="10" t="s">
        <v>54</v>
      </c>
    </row>
    <row r="7673" spans="1:20" ht="14.5" x14ac:dyDescent="0.35">
      <c r="A7673" s="10" t="s">
        <v>36275</v>
      </c>
      <c r="B7673" s="10" t="str">
        <f>"9780773505810"</f>
        <v>9780773505810</v>
      </c>
      <c r="C7673" s="10" t="str">
        <f>"9780773561243"</f>
        <v>9780773561243</v>
      </c>
      <c r="D7673" s="10" t="s">
        <v>36164</v>
      </c>
      <c r="E7673" s="10" t="s">
        <v>36165</v>
      </c>
      <c r="F7673" s="10" t="s">
        <v>4536</v>
      </c>
      <c r="G7673" s="10" t="s">
        <v>9536</v>
      </c>
      <c r="H7673" s="11">
        <v>31199</v>
      </c>
      <c r="I7673" s="10">
        <v>1985</v>
      </c>
      <c r="J7673" s="10" t="s">
        <v>36165</v>
      </c>
      <c r="K7673" s="10">
        <v>136</v>
      </c>
      <c r="L7673" s="10" t="s">
        <v>36262</v>
      </c>
      <c r="M7673" s="10">
        <v>1</v>
      </c>
      <c r="N7673" s="10"/>
      <c r="O7673" s="10"/>
      <c r="P7673" s="10" t="s">
        <v>36276</v>
      </c>
      <c r="Q7673" s="10"/>
      <c r="R7673" s="10" t="s">
        <v>36277</v>
      </c>
      <c r="S7673" s="10" t="s">
        <v>53</v>
      </c>
      <c r="T7673" s="10" t="s">
        <v>54</v>
      </c>
    </row>
    <row r="7674" spans="1:20" ht="14.5" x14ac:dyDescent="0.35">
      <c r="A7674" s="10" t="s">
        <v>36278</v>
      </c>
      <c r="B7674" s="10" t="str">
        <f>"9780773527591"</f>
        <v>9780773527591</v>
      </c>
      <c r="C7674" s="10" t="str">
        <f>"9780773572171"</f>
        <v>9780773572171</v>
      </c>
      <c r="D7674" s="10" t="s">
        <v>36164</v>
      </c>
      <c r="E7674" s="10" t="s">
        <v>36165</v>
      </c>
      <c r="F7674" s="10" t="s">
        <v>4536</v>
      </c>
      <c r="G7674" s="10" t="s">
        <v>9536</v>
      </c>
      <c r="H7674" s="11">
        <v>38380</v>
      </c>
      <c r="I7674" s="10">
        <v>2005</v>
      </c>
      <c r="J7674" s="10" t="s">
        <v>36165</v>
      </c>
      <c r="K7674" s="10">
        <v>390</v>
      </c>
      <c r="L7674" s="10" t="s">
        <v>36279</v>
      </c>
      <c r="M7674" s="10">
        <v>1</v>
      </c>
      <c r="N7674" s="10" t="s">
        <v>36191</v>
      </c>
      <c r="O7674" s="10">
        <v>30</v>
      </c>
      <c r="P7674" s="10" t="s">
        <v>36280</v>
      </c>
      <c r="Q7674" s="10" t="s">
        <v>36281</v>
      </c>
      <c r="R7674" s="10" t="s">
        <v>36282</v>
      </c>
      <c r="S7674" s="10" t="s">
        <v>53</v>
      </c>
      <c r="T7674" s="10" t="s">
        <v>54</v>
      </c>
    </row>
    <row r="7675" spans="1:20" ht="14.5" x14ac:dyDescent="0.35">
      <c r="A7675" s="10" t="s">
        <v>36283</v>
      </c>
      <c r="B7675" s="10" t="str">
        <f>"9780773528079"</f>
        <v>9780773528079</v>
      </c>
      <c r="C7675" s="10" t="str">
        <f>"9780773572348"</f>
        <v>9780773572348</v>
      </c>
      <c r="D7675" s="10" t="s">
        <v>36164</v>
      </c>
      <c r="E7675" s="10" t="s">
        <v>36165</v>
      </c>
      <c r="F7675" s="10" t="s">
        <v>4536</v>
      </c>
      <c r="G7675" s="10" t="s">
        <v>9536</v>
      </c>
      <c r="H7675" s="11">
        <v>38622</v>
      </c>
      <c r="I7675" s="10">
        <v>2005</v>
      </c>
      <c r="J7675" s="10" t="s">
        <v>36165</v>
      </c>
      <c r="K7675" s="10">
        <v>316</v>
      </c>
      <c r="L7675" s="10" t="s">
        <v>36284</v>
      </c>
      <c r="M7675" s="10">
        <v>1</v>
      </c>
      <c r="N7675" s="10"/>
      <c r="O7675" s="10"/>
      <c r="P7675" s="10" t="s">
        <v>36175</v>
      </c>
      <c r="Q7675" s="10">
        <v>304.20715000000001</v>
      </c>
      <c r="R7675" s="10"/>
      <c r="S7675" s="10" t="s">
        <v>53</v>
      </c>
      <c r="T7675" s="10" t="s">
        <v>6526</v>
      </c>
    </row>
    <row r="7676" spans="1:20" ht="14.5" x14ac:dyDescent="0.35">
      <c r="A7676" s="10" t="s">
        <v>36285</v>
      </c>
      <c r="B7676" s="10" t="str">
        <f>"9780773522220"</f>
        <v>9780773522220</v>
      </c>
      <c r="C7676" s="10" t="str">
        <f>"9780773569416"</f>
        <v>9780773569416</v>
      </c>
      <c r="D7676" s="10" t="s">
        <v>36164</v>
      </c>
      <c r="E7676" s="10" t="s">
        <v>36165</v>
      </c>
      <c r="F7676" s="10" t="s">
        <v>4536</v>
      </c>
      <c r="G7676" s="10" t="s">
        <v>9536</v>
      </c>
      <c r="H7676" s="11">
        <v>36901</v>
      </c>
      <c r="I7676" s="10">
        <v>2001</v>
      </c>
      <c r="J7676" s="10" t="s">
        <v>36165</v>
      </c>
      <c r="K7676" s="10">
        <v>395</v>
      </c>
      <c r="L7676" s="10" t="s">
        <v>36286</v>
      </c>
      <c r="M7676" s="10">
        <v>1</v>
      </c>
      <c r="N7676" s="10" t="s">
        <v>36191</v>
      </c>
      <c r="O7676" s="10">
        <v>43</v>
      </c>
      <c r="P7676" s="10"/>
      <c r="Q7676" s="10" t="s">
        <v>36287</v>
      </c>
      <c r="R7676" s="10" t="s">
        <v>36288</v>
      </c>
      <c r="S7676" s="10" t="s">
        <v>53</v>
      </c>
      <c r="T7676" s="10" t="s">
        <v>8346</v>
      </c>
    </row>
    <row r="7677" spans="1:20" ht="14.5" x14ac:dyDescent="0.35">
      <c r="A7677" s="10" t="s">
        <v>36289</v>
      </c>
      <c r="B7677" s="10" t="str">
        <f>"9780773528192"</f>
        <v>9780773528192</v>
      </c>
      <c r="C7677" s="10" t="str">
        <f>"9780773576056"</f>
        <v>9780773576056</v>
      </c>
      <c r="D7677" s="10" t="s">
        <v>36164</v>
      </c>
      <c r="E7677" s="10" t="s">
        <v>36165</v>
      </c>
      <c r="F7677" s="10" t="s">
        <v>4536</v>
      </c>
      <c r="G7677" s="10" t="s">
        <v>9536</v>
      </c>
      <c r="H7677" s="11">
        <v>38734</v>
      </c>
      <c r="I7677" s="10">
        <v>2006</v>
      </c>
      <c r="J7677" s="10" t="s">
        <v>36165</v>
      </c>
      <c r="K7677" s="10">
        <v>358</v>
      </c>
      <c r="L7677" s="10" t="s">
        <v>36290</v>
      </c>
      <c r="M7677" s="10">
        <v>1</v>
      </c>
      <c r="N7677" s="10" t="s">
        <v>36229</v>
      </c>
      <c r="O7677" s="10">
        <v>42</v>
      </c>
      <c r="P7677" s="10" t="s">
        <v>36291</v>
      </c>
      <c r="Q7677" s="10">
        <v>371.82997071</v>
      </c>
      <c r="R7677" s="10" t="s">
        <v>36292</v>
      </c>
      <c r="S7677" s="10" t="s">
        <v>53</v>
      </c>
      <c r="T7677" s="10" t="s">
        <v>16298</v>
      </c>
    </row>
    <row r="7678" spans="1:20" ht="14.5" x14ac:dyDescent="0.35">
      <c r="A7678" s="10" t="s">
        <v>36293</v>
      </c>
      <c r="B7678" s="10" t="str">
        <f>"9780773532809"</f>
        <v>9780773532809</v>
      </c>
      <c r="C7678" s="10" t="str">
        <f>"9780773575608"</f>
        <v>9780773575608</v>
      </c>
      <c r="D7678" s="10" t="s">
        <v>36164</v>
      </c>
      <c r="E7678" s="10" t="s">
        <v>36165</v>
      </c>
      <c r="F7678" s="10" t="s">
        <v>4536</v>
      </c>
      <c r="G7678" s="10" t="s">
        <v>9536</v>
      </c>
      <c r="H7678" s="11">
        <v>39300</v>
      </c>
      <c r="I7678" s="10">
        <v>2007</v>
      </c>
      <c r="J7678" s="10" t="s">
        <v>36165</v>
      </c>
      <c r="K7678" s="10">
        <v>232</v>
      </c>
      <c r="L7678" s="10" t="s">
        <v>36294</v>
      </c>
      <c r="M7678" s="10">
        <v>1</v>
      </c>
      <c r="N7678" s="10"/>
      <c r="O7678" s="10"/>
      <c r="P7678" s="10" t="s">
        <v>36295</v>
      </c>
      <c r="Q7678" s="10" t="s">
        <v>36296</v>
      </c>
      <c r="R7678" s="10" t="s">
        <v>36297</v>
      </c>
      <c r="S7678" s="10" t="s">
        <v>53</v>
      </c>
      <c r="T7678" s="10" t="s">
        <v>8723</v>
      </c>
    </row>
    <row r="7679" spans="1:20" ht="14.5" x14ac:dyDescent="0.35">
      <c r="A7679" s="10" t="s">
        <v>36298</v>
      </c>
      <c r="B7679" s="10" t="str">
        <f>"9780773535800"</f>
        <v>9780773535800</v>
      </c>
      <c r="C7679" s="10" t="str">
        <f>"9780773576889"</f>
        <v>9780773576889</v>
      </c>
      <c r="D7679" s="10" t="s">
        <v>36164</v>
      </c>
      <c r="E7679" s="10" t="s">
        <v>36165</v>
      </c>
      <c r="F7679" s="10" t="s">
        <v>4536</v>
      </c>
      <c r="G7679" s="10" t="s">
        <v>9536</v>
      </c>
      <c r="H7679" s="11">
        <v>40057</v>
      </c>
      <c r="I7679" s="10">
        <v>2009</v>
      </c>
      <c r="J7679" s="10" t="s">
        <v>36165</v>
      </c>
      <c r="K7679" s="10">
        <v>361</v>
      </c>
      <c r="L7679" s="10" t="s">
        <v>36299</v>
      </c>
      <c r="M7679" s="10">
        <v>1</v>
      </c>
      <c r="N7679" s="10"/>
      <c r="O7679" s="10"/>
      <c r="P7679" s="10" t="s">
        <v>36300</v>
      </c>
      <c r="Q7679" s="10">
        <v>378.12130970999999</v>
      </c>
      <c r="R7679" s="10" t="s">
        <v>36301</v>
      </c>
      <c r="S7679" s="10" t="s">
        <v>53</v>
      </c>
      <c r="T7679" s="10" t="s">
        <v>54</v>
      </c>
    </row>
    <row r="7680" spans="1:20" ht="14.5" x14ac:dyDescent="0.35">
      <c r="A7680" s="10" t="s">
        <v>36302</v>
      </c>
      <c r="B7680" s="10" t="str">
        <f>"9780773536227"</f>
        <v>9780773536227</v>
      </c>
      <c r="C7680" s="10" t="str">
        <f>"9780773575721"</f>
        <v>9780773575721</v>
      </c>
      <c r="D7680" s="10" t="s">
        <v>36164</v>
      </c>
      <c r="E7680" s="10" t="s">
        <v>36165</v>
      </c>
      <c r="F7680" s="10" t="s">
        <v>4536</v>
      </c>
      <c r="G7680" s="10" t="s">
        <v>9536</v>
      </c>
      <c r="H7680" s="11">
        <v>40189</v>
      </c>
      <c r="I7680" s="10">
        <v>2010</v>
      </c>
      <c r="J7680" s="10" t="s">
        <v>36165</v>
      </c>
      <c r="K7680" s="10">
        <v>312</v>
      </c>
      <c r="L7680" s="10" t="s">
        <v>36303</v>
      </c>
      <c r="M7680" s="10">
        <v>1</v>
      </c>
      <c r="N7680" s="10"/>
      <c r="O7680" s="10"/>
      <c r="P7680" s="10" t="s">
        <v>36304</v>
      </c>
      <c r="Q7680" s="10" t="s">
        <v>36305</v>
      </c>
      <c r="R7680" s="10" t="s">
        <v>36306</v>
      </c>
      <c r="S7680" s="10" t="s">
        <v>53</v>
      </c>
      <c r="T7680" s="10" t="s">
        <v>54</v>
      </c>
    </row>
    <row r="7681" spans="1:20" ht="14.5" x14ac:dyDescent="0.35">
      <c r="A7681" s="10" t="s">
        <v>36307</v>
      </c>
      <c r="B7681" s="10" t="str">
        <f>"9780773530553"</f>
        <v>9780773530553</v>
      </c>
      <c r="C7681" s="10" t="str">
        <f>"9780773575790"</f>
        <v>9780773575790</v>
      </c>
      <c r="D7681" s="10" t="s">
        <v>36164</v>
      </c>
      <c r="E7681" s="10" t="s">
        <v>36165</v>
      </c>
      <c r="F7681" s="10" t="s">
        <v>4536</v>
      </c>
      <c r="G7681" s="10" t="s">
        <v>9536</v>
      </c>
      <c r="H7681" s="11">
        <v>38811</v>
      </c>
      <c r="I7681" s="10">
        <v>2006</v>
      </c>
      <c r="J7681" s="10" t="s">
        <v>36165</v>
      </c>
      <c r="K7681" s="10">
        <v>513</v>
      </c>
      <c r="L7681" s="10" t="s">
        <v>36308</v>
      </c>
      <c r="M7681" s="10">
        <v>1</v>
      </c>
      <c r="N7681" s="10"/>
      <c r="O7681" s="10"/>
      <c r="P7681" s="10" t="s">
        <v>36309</v>
      </c>
      <c r="Q7681" s="10"/>
      <c r="R7681" s="10" t="s">
        <v>36310</v>
      </c>
      <c r="S7681" s="10" t="s">
        <v>53</v>
      </c>
      <c r="T7681" s="10" t="s">
        <v>54</v>
      </c>
    </row>
    <row r="7682" spans="1:20" ht="14.5" x14ac:dyDescent="0.35">
      <c r="A7682" s="10" t="s">
        <v>36311</v>
      </c>
      <c r="B7682" s="10" t="str">
        <f>"9780773534162"</f>
        <v>9780773534162</v>
      </c>
      <c r="C7682" s="10" t="str">
        <f>"9780773577244"</f>
        <v>9780773577244</v>
      </c>
      <c r="D7682" s="10" t="s">
        <v>36164</v>
      </c>
      <c r="E7682" s="10" t="s">
        <v>36165</v>
      </c>
      <c r="F7682" s="10" t="s">
        <v>4536</v>
      </c>
      <c r="G7682" s="10" t="s">
        <v>9536</v>
      </c>
      <c r="H7682" s="11">
        <v>39793</v>
      </c>
      <c r="I7682" s="10">
        <v>2008</v>
      </c>
      <c r="J7682" s="10" t="s">
        <v>36165</v>
      </c>
      <c r="K7682" s="10">
        <v>329</v>
      </c>
      <c r="L7682" s="10" t="s">
        <v>36312</v>
      </c>
      <c r="M7682" s="10">
        <v>1</v>
      </c>
      <c r="N7682" s="10"/>
      <c r="O7682" s="10"/>
      <c r="P7682" s="10" t="s">
        <v>36313</v>
      </c>
      <c r="Q7682" s="10" t="s">
        <v>36314</v>
      </c>
      <c r="R7682" s="10" t="s">
        <v>36315</v>
      </c>
      <c r="S7682" s="10" t="s">
        <v>53</v>
      </c>
      <c r="T7682" s="10" t="s">
        <v>54</v>
      </c>
    </row>
    <row r="7683" spans="1:20" ht="14.5" x14ac:dyDescent="0.35">
      <c r="A7683" s="10" t="s">
        <v>36316</v>
      </c>
      <c r="B7683" s="10" t="str">
        <f>"9780773503946"</f>
        <v>9780773503946</v>
      </c>
      <c r="C7683" s="10" t="str">
        <f>"9780773585034"</f>
        <v>9780773585034</v>
      </c>
      <c r="D7683" s="10" t="s">
        <v>36164</v>
      </c>
      <c r="E7683" s="10" t="s">
        <v>36165</v>
      </c>
      <c r="F7683" s="10" t="s">
        <v>4536</v>
      </c>
      <c r="G7683" s="10" t="s">
        <v>9536</v>
      </c>
      <c r="H7683" s="11">
        <v>30376</v>
      </c>
      <c r="I7683" s="10">
        <v>1983</v>
      </c>
      <c r="J7683" s="10" t="s">
        <v>36165</v>
      </c>
      <c r="K7683" s="10">
        <v>225</v>
      </c>
      <c r="L7683" s="10" t="s">
        <v>36317</v>
      </c>
      <c r="M7683" s="10">
        <v>1</v>
      </c>
      <c r="N7683" s="10"/>
      <c r="O7683" s="10"/>
      <c r="P7683" s="10" t="s">
        <v>36318</v>
      </c>
      <c r="Q7683" s="10" t="s">
        <v>36319</v>
      </c>
      <c r="R7683" s="10" t="s">
        <v>36320</v>
      </c>
      <c r="S7683" s="10" t="s">
        <v>53</v>
      </c>
      <c r="T7683" s="10" t="s">
        <v>54</v>
      </c>
    </row>
    <row r="7684" spans="1:20" ht="14.5" x14ac:dyDescent="0.35">
      <c r="A7684" s="10" t="s">
        <v>36321</v>
      </c>
      <c r="B7684" s="10" t="str">
        <f>"9780886290078"</f>
        <v>9780886290078</v>
      </c>
      <c r="C7684" s="10" t="str">
        <f>"9780773583160"</f>
        <v>9780773583160</v>
      </c>
      <c r="D7684" s="10" t="s">
        <v>36164</v>
      </c>
      <c r="E7684" s="10" t="s">
        <v>36165</v>
      </c>
      <c r="F7684" s="10" t="s">
        <v>4536</v>
      </c>
      <c r="G7684" s="10" t="s">
        <v>9536</v>
      </c>
      <c r="H7684" s="11">
        <v>30787</v>
      </c>
      <c r="I7684" s="10">
        <v>1984</v>
      </c>
      <c r="J7684" s="10" t="s">
        <v>36165</v>
      </c>
      <c r="K7684" s="10">
        <v>566</v>
      </c>
      <c r="L7684" s="10" t="s">
        <v>36322</v>
      </c>
      <c r="M7684" s="10">
        <v>1</v>
      </c>
      <c r="N7684" s="10" t="s">
        <v>36259</v>
      </c>
      <c r="O7684" s="10">
        <v>130</v>
      </c>
      <c r="P7684" s="10" t="s">
        <v>36323</v>
      </c>
      <c r="Q7684" s="10" t="s">
        <v>36324</v>
      </c>
      <c r="R7684" s="10" t="s">
        <v>36325</v>
      </c>
      <c r="S7684" s="10" t="s">
        <v>53</v>
      </c>
      <c r="T7684" s="10" t="s">
        <v>54</v>
      </c>
    </row>
    <row r="7685" spans="1:20" ht="14.5" x14ac:dyDescent="0.35">
      <c r="A7685" s="10" t="s">
        <v>36326</v>
      </c>
      <c r="B7685" s="10" t="str">
        <f>"9780773504417"</f>
        <v>9780773504417</v>
      </c>
      <c r="C7685" s="10" t="str">
        <f>"9780773585386"</f>
        <v>9780773585386</v>
      </c>
      <c r="D7685" s="10" t="s">
        <v>36164</v>
      </c>
      <c r="E7685" s="10" t="s">
        <v>36165</v>
      </c>
      <c r="F7685" s="10" t="s">
        <v>4536</v>
      </c>
      <c r="G7685" s="10" t="s">
        <v>9536</v>
      </c>
      <c r="H7685" s="11">
        <v>31260</v>
      </c>
      <c r="I7685" s="10">
        <v>1985</v>
      </c>
      <c r="J7685" s="10" t="s">
        <v>36165</v>
      </c>
      <c r="K7685" s="10">
        <v>249</v>
      </c>
      <c r="L7685" s="10" t="s">
        <v>36327</v>
      </c>
      <c r="M7685" s="10">
        <v>1</v>
      </c>
      <c r="N7685" s="10"/>
      <c r="O7685" s="10"/>
      <c r="P7685" s="10" t="s">
        <v>36328</v>
      </c>
      <c r="Q7685" s="10" t="s">
        <v>36329</v>
      </c>
      <c r="R7685" s="10" t="s">
        <v>36330</v>
      </c>
      <c r="S7685" s="10" t="s">
        <v>53</v>
      </c>
      <c r="T7685" s="10" t="s">
        <v>54</v>
      </c>
    </row>
    <row r="7686" spans="1:20" ht="14.5" x14ac:dyDescent="0.35">
      <c r="A7686" s="10" t="s">
        <v>36331</v>
      </c>
      <c r="B7686" s="10" t="str">
        <f>"9780773503410"</f>
        <v>9780773503410</v>
      </c>
      <c r="C7686" s="10" t="str">
        <f>"9780773582873"</f>
        <v>9780773582873</v>
      </c>
      <c r="D7686" s="10" t="s">
        <v>36164</v>
      </c>
      <c r="E7686" s="10" t="s">
        <v>36165</v>
      </c>
      <c r="F7686" s="10" t="s">
        <v>4536</v>
      </c>
      <c r="G7686" s="10" t="s">
        <v>9536</v>
      </c>
      <c r="H7686" s="11">
        <v>29099</v>
      </c>
      <c r="I7686" s="10">
        <v>1979</v>
      </c>
      <c r="J7686" s="10" t="s">
        <v>36165</v>
      </c>
      <c r="K7686" s="10">
        <v>220</v>
      </c>
      <c r="L7686" s="10" t="s">
        <v>36332</v>
      </c>
      <c r="M7686" s="10">
        <v>1</v>
      </c>
      <c r="N7686" s="10"/>
      <c r="O7686" s="10"/>
      <c r="P7686" s="10"/>
      <c r="Q7686" s="10"/>
      <c r="R7686" s="10"/>
      <c r="S7686" s="10" t="s">
        <v>53</v>
      </c>
      <c r="T7686" s="10" t="s">
        <v>54</v>
      </c>
    </row>
    <row r="7687" spans="1:20" ht="14.5" x14ac:dyDescent="0.35">
      <c r="A7687" s="10" t="s">
        <v>36333</v>
      </c>
      <c r="B7687" s="10" t="str">
        <f>"9780773516205"</f>
        <v>9780773516205</v>
      </c>
      <c r="C7687" s="10" t="str">
        <f>"9780773580558"</f>
        <v>9780773580558</v>
      </c>
      <c r="D7687" s="10" t="s">
        <v>36164</v>
      </c>
      <c r="E7687" s="10" t="s">
        <v>36165</v>
      </c>
      <c r="F7687" s="10" t="s">
        <v>4536</v>
      </c>
      <c r="G7687" s="10" t="s">
        <v>9536</v>
      </c>
      <c r="H7687" s="11">
        <v>35582</v>
      </c>
      <c r="I7687" s="10">
        <v>1997</v>
      </c>
      <c r="J7687" s="10" t="s">
        <v>36165</v>
      </c>
      <c r="K7687" s="10">
        <v>89</v>
      </c>
      <c r="L7687" s="10" t="s">
        <v>36334</v>
      </c>
      <c r="M7687" s="10">
        <v>1</v>
      </c>
      <c r="N7687" s="10" t="s">
        <v>36335</v>
      </c>
      <c r="O7687" s="10"/>
      <c r="P7687" s="10"/>
      <c r="Q7687" s="10"/>
      <c r="R7687" s="10"/>
      <c r="S7687" s="10" t="s">
        <v>53</v>
      </c>
      <c r="T7687" s="10" t="s">
        <v>54</v>
      </c>
    </row>
    <row r="7688" spans="1:20" ht="14.5" x14ac:dyDescent="0.35">
      <c r="A7688" s="10" t="s">
        <v>36336</v>
      </c>
      <c r="B7688" s="10" t="str">
        <f>"9780773516212"</f>
        <v>9780773516212</v>
      </c>
      <c r="C7688" s="10" t="str">
        <f>"9780773580565"</f>
        <v>9780773580565</v>
      </c>
      <c r="D7688" s="10" t="s">
        <v>36164</v>
      </c>
      <c r="E7688" s="10" t="s">
        <v>36165</v>
      </c>
      <c r="F7688" s="10" t="s">
        <v>4536</v>
      </c>
      <c r="G7688" s="10" t="s">
        <v>9536</v>
      </c>
      <c r="H7688" s="11">
        <v>35582</v>
      </c>
      <c r="I7688" s="10">
        <v>1997</v>
      </c>
      <c r="J7688" s="10" t="s">
        <v>36165</v>
      </c>
      <c r="K7688" s="10">
        <v>75</v>
      </c>
      <c r="L7688" s="10" t="s">
        <v>36334</v>
      </c>
      <c r="M7688" s="10">
        <v>1</v>
      </c>
      <c r="N7688" s="10" t="s">
        <v>36335</v>
      </c>
      <c r="O7688" s="10"/>
      <c r="P7688" s="10" t="s">
        <v>36337</v>
      </c>
      <c r="Q7688" s="10"/>
      <c r="R7688" s="10" t="s">
        <v>36338</v>
      </c>
      <c r="S7688" s="10" t="s">
        <v>53</v>
      </c>
      <c r="T7688" s="10" t="s">
        <v>6616</v>
      </c>
    </row>
    <row r="7689" spans="1:20" ht="14.5" x14ac:dyDescent="0.35">
      <c r="A7689" s="10" t="s">
        <v>36339</v>
      </c>
      <c r="B7689" s="10" t="str">
        <f>"9780773516236"</f>
        <v>9780773516236</v>
      </c>
      <c r="C7689" s="10" t="str">
        <f>"9780773580572"</f>
        <v>9780773580572</v>
      </c>
      <c r="D7689" s="10" t="s">
        <v>36164</v>
      </c>
      <c r="E7689" s="10" t="s">
        <v>36165</v>
      </c>
      <c r="F7689" s="10" t="s">
        <v>4536</v>
      </c>
      <c r="G7689" s="10" t="s">
        <v>9536</v>
      </c>
      <c r="H7689" s="11">
        <v>35582</v>
      </c>
      <c r="I7689" s="10">
        <v>1997</v>
      </c>
      <c r="J7689" s="10" t="s">
        <v>36165</v>
      </c>
      <c r="K7689" s="10">
        <v>100</v>
      </c>
      <c r="L7689" s="10" t="s">
        <v>36334</v>
      </c>
      <c r="M7689" s="10">
        <v>1</v>
      </c>
      <c r="N7689" s="10" t="s">
        <v>36335</v>
      </c>
      <c r="O7689" s="10"/>
      <c r="P7689" s="10" t="s">
        <v>36340</v>
      </c>
      <c r="Q7689" s="10"/>
      <c r="R7689" s="10" t="s">
        <v>36338</v>
      </c>
      <c r="S7689" s="10" t="s">
        <v>53</v>
      </c>
      <c r="T7689" s="10" t="s">
        <v>6616</v>
      </c>
    </row>
    <row r="7690" spans="1:20" ht="14.5" x14ac:dyDescent="0.35">
      <c r="A7690" s="10" t="s">
        <v>36341</v>
      </c>
      <c r="B7690" s="10" t="str">
        <f>"9780773537842"</f>
        <v>9780773537842</v>
      </c>
      <c r="C7690" s="10" t="str">
        <f>"9780773580688"</f>
        <v>9780773580688</v>
      </c>
      <c r="D7690" s="10" t="s">
        <v>36164</v>
      </c>
      <c r="E7690" s="10" t="s">
        <v>36165</v>
      </c>
      <c r="F7690" s="10" t="s">
        <v>4536</v>
      </c>
      <c r="G7690" s="10" t="s">
        <v>9536</v>
      </c>
      <c r="H7690" s="11">
        <v>40491</v>
      </c>
      <c r="I7690" s="10">
        <v>2010</v>
      </c>
      <c r="J7690" s="10" t="s">
        <v>36165</v>
      </c>
      <c r="K7690" s="10">
        <v>183</v>
      </c>
      <c r="L7690" s="10" t="s">
        <v>36342</v>
      </c>
      <c r="M7690" s="10">
        <v>1</v>
      </c>
      <c r="N7690" s="10"/>
      <c r="O7690" s="10"/>
      <c r="P7690" s="10" t="s">
        <v>36343</v>
      </c>
      <c r="Q7690" s="10" t="s">
        <v>7335</v>
      </c>
      <c r="R7690" s="10" t="s">
        <v>36344</v>
      </c>
      <c r="S7690" s="10" t="s">
        <v>53</v>
      </c>
      <c r="T7690" s="10" t="s">
        <v>54</v>
      </c>
    </row>
    <row r="7691" spans="1:20" ht="14.5" x14ac:dyDescent="0.35">
      <c r="A7691" s="10" t="s">
        <v>36345</v>
      </c>
      <c r="B7691" s="10" t="str">
        <f>"9780773539488"</f>
        <v>9780773539488</v>
      </c>
      <c r="C7691" s="10" t="str">
        <f>"9780773587441"</f>
        <v>9780773587441</v>
      </c>
      <c r="D7691" s="10" t="s">
        <v>36164</v>
      </c>
      <c r="E7691" s="10" t="s">
        <v>36165</v>
      </c>
      <c r="F7691" s="10" t="s">
        <v>4536</v>
      </c>
      <c r="G7691" s="10" t="s">
        <v>9536</v>
      </c>
      <c r="H7691" s="11">
        <v>41091</v>
      </c>
      <c r="I7691" s="10">
        <v>2012</v>
      </c>
      <c r="J7691" s="10" t="s">
        <v>36165</v>
      </c>
      <c r="K7691" s="10">
        <v>249</v>
      </c>
      <c r="L7691" s="10" t="s">
        <v>36346</v>
      </c>
      <c r="M7691" s="10">
        <v>1</v>
      </c>
      <c r="N7691" s="10" t="s">
        <v>36347</v>
      </c>
      <c r="O7691" s="10">
        <v>2</v>
      </c>
      <c r="P7691" s="10"/>
      <c r="Q7691" s="10" t="s">
        <v>36348</v>
      </c>
      <c r="R7691" s="10" t="s">
        <v>36349</v>
      </c>
      <c r="S7691" s="10" t="s">
        <v>53</v>
      </c>
      <c r="T7691" s="10" t="s">
        <v>6363</v>
      </c>
    </row>
    <row r="7692" spans="1:20" ht="14.5" x14ac:dyDescent="0.35">
      <c r="A7692" s="10" t="s">
        <v>36350</v>
      </c>
      <c r="B7692" s="10" t="str">
        <f>"9780773539761"</f>
        <v>9780773539761</v>
      </c>
      <c r="C7692" s="10" t="str">
        <f>"9780773587182"</f>
        <v>9780773587182</v>
      </c>
      <c r="D7692" s="10" t="s">
        <v>36164</v>
      </c>
      <c r="E7692" s="10" t="s">
        <v>36165</v>
      </c>
      <c r="F7692" s="10" t="s">
        <v>4536</v>
      </c>
      <c r="G7692" s="10" t="s">
        <v>9536</v>
      </c>
      <c r="H7692" s="11">
        <v>40995</v>
      </c>
      <c r="I7692" s="10">
        <v>2012</v>
      </c>
      <c r="J7692" s="10" t="s">
        <v>36165</v>
      </c>
      <c r="K7692" s="10">
        <v>262</v>
      </c>
      <c r="L7692" s="10" t="s">
        <v>36351</v>
      </c>
      <c r="M7692" s="10">
        <v>1</v>
      </c>
      <c r="N7692" s="10" t="s">
        <v>36352</v>
      </c>
      <c r="O7692" s="10">
        <v>16</v>
      </c>
      <c r="P7692" s="10" t="s">
        <v>36353</v>
      </c>
      <c r="Q7692" s="10" t="s">
        <v>36354</v>
      </c>
      <c r="R7692" s="10" t="s">
        <v>36355</v>
      </c>
      <c r="S7692" s="10" t="s">
        <v>53</v>
      </c>
      <c r="T7692" s="10" t="s">
        <v>54</v>
      </c>
    </row>
    <row r="7693" spans="1:20" ht="14.5" x14ac:dyDescent="0.35">
      <c r="A7693" s="10" t="s">
        <v>36356</v>
      </c>
      <c r="B7693" s="10" t="str">
        <f>"9780773540903"</f>
        <v>9780773540903</v>
      </c>
      <c r="C7693" s="10" t="str">
        <f>"9780773588066"</f>
        <v>9780773588066</v>
      </c>
      <c r="D7693" s="10" t="s">
        <v>36164</v>
      </c>
      <c r="E7693" s="10" t="s">
        <v>36165</v>
      </c>
      <c r="F7693" s="10" t="s">
        <v>4536</v>
      </c>
      <c r="G7693" s="10" t="s">
        <v>9536</v>
      </c>
      <c r="H7693" s="11">
        <v>41331</v>
      </c>
      <c r="I7693" s="10">
        <v>2012</v>
      </c>
      <c r="J7693" s="10" t="s">
        <v>36165</v>
      </c>
      <c r="K7693" s="10">
        <v>289</v>
      </c>
      <c r="L7693" s="10" t="s">
        <v>36357</v>
      </c>
      <c r="M7693" s="10">
        <v>1</v>
      </c>
      <c r="N7693" s="10"/>
      <c r="O7693" s="10"/>
      <c r="P7693" s="10"/>
      <c r="Q7693" s="10">
        <v>370.11700000000002</v>
      </c>
      <c r="R7693" s="10" t="s">
        <v>36358</v>
      </c>
      <c r="S7693" s="10" t="s">
        <v>53</v>
      </c>
      <c r="T7693" s="10" t="s">
        <v>54</v>
      </c>
    </row>
    <row r="7694" spans="1:20" ht="14.5" x14ac:dyDescent="0.35">
      <c r="A7694" s="10" t="s">
        <v>36359</v>
      </c>
      <c r="B7694" s="10" t="str">
        <f>"9780773541467"</f>
        <v>9780773541467</v>
      </c>
      <c r="C7694" s="10" t="str">
        <f>"9780773588929"</f>
        <v>9780773588929</v>
      </c>
      <c r="D7694" s="10" t="s">
        <v>36164</v>
      </c>
      <c r="E7694" s="10" t="s">
        <v>36165</v>
      </c>
      <c r="F7694" s="10" t="s">
        <v>4536</v>
      </c>
      <c r="G7694" s="10" t="s">
        <v>9536</v>
      </c>
      <c r="H7694" s="11">
        <v>41456</v>
      </c>
      <c r="I7694" s="10">
        <v>2013</v>
      </c>
      <c r="J7694" s="10" t="s">
        <v>36165</v>
      </c>
      <c r="K7694" s="10">
        <v>405</v>
      </c>
      <c r="L7694" s="10" t="s">
        <v>36360</v>
      </c>
      <c r="M7694" s="10">
        <v>1</v>
      </c>
      <c r="N7694" s="10"/>
      <c r="O7694" s="10"/>
      <c r="P7694" s="10" t="s">
        <v>36361</v>
      </c>
      <c r="Q7694" s="10" t="s">
        <v>36362</v>
      </c>
      <c r="R7694" s="10" t="s">
        <v>36363</v>
      </c>
      <c r="S7694" s="10" t="s">
        <v>53</v>
      </c>
      <c r="T7694" s="10" t="s">
        <v>54</v>
      </c>
    </row>
    <row r="7695" spans="1:20" ht="14.5" x14ac:dyDescent="0.35">
      <c r="A7695" s="10" t="s">
        <v>36364</v>
      </c>
      <c r="B7695" s="10" t="str">
        <f>"9780773544772"</f>
        <v>9780773544772</v>
      </c>
      <c r="C7695" s="10" t="str">
        <f>"9780773584839"</f>
        <v>9780773584839</v>
      </c>
      <c r="D7695" s="10" t="s">
        <v>36164</v>
      </c>
      <c r="E7695" s="10" t="s">
        <v>36165</v>
      </c>
      <c r="F7695" s="10" t="s">
        <v>4536</v>
      </c>
      <c r="G7695" s="10" t="s">
        <v>9536</v>
      </c>
      <c r="H7695" s="11">
        <v>42048</v>
      </c>
      <c r="I7695" s="10">
        <v>2015</v>
      </c>
      <c r="J7695" s="10" t="s">
        <v>36165</v>
      </c>
      <c r="K7695" s="10">
        <v>299</v>
      </c>
      <c r="L7695" s="10" t="s">
        <v>36365</v>
      </c>
      <c r="M7695" s="10">
        <v>1</v>
      </c>
      <c r="N7695" s="10"/>
      <c r="O7695" s="10"/>
      <c r="P7695" s="10" t="s">
        <v>36366</v>
      </c>
      <c r="Q7695" s="10">
        <v>378</v>
      </c>
      <c r="R7695" s="10"/>
      <c r="S7695" s="10" t="s">
        <v>53</v>
      </c>
      <c r="T7695" s="10" t="s">
        <v>54</v>
      </c>
    </row>
    <row r="7696" spans="1:20" ht="14.5" x14ac:dyDescent="0.35">
      <c r="A7696" s="10" t="s">
        <v>36367</v>
      </c>
      <c r="B7696" s="10" t="str">
        <f>"9780773544055"</f>
        <v>9780773544055</v>
      </c>
      <c r="C7696" s="10" t="str">
        <f>"9780773596313"</f>
        <v>9780773596313</v>
      </c>
      <c r="D7696" s="10" t="s">
        <v>36164</v>
      </c>
      <c r="E7696" s="10" t="s">
        <v>36165</v>
      </c>
      <c r="F7696" s="10" t="s">
        <v>4536</v>
      </c>
      <c r="G7696" s="10" t="s">
        <v>9536</v>
      </c>
      <c r="H7696" s="11">
        <v>42083</v>
      </c>
      <c r="I7696" s="10">
        <v>2014</v>
      </c>
      <c r="J7696" s="10" t="s">
        <v>36165</v>
      </c>
      <c r="K7696" s="10">
        <v>464</v>
      </c>
      <c r="L7696" s="10" t="s">
        <v>36368</v>
      </c>
      <c r="M7696" s="10">
        <v>1</v>
      </c>
      <c r="N7696" s="10"/>
      <c r="O7696" s="10"/>
      <c r="P7696" s="10"/>
      <c r="Q7696" s="10" t="s">
        <v>36369</v>
      </c>
      <c r="R7696" s="10"/>
      <c r="S7696" s="10" t="s">
        <v>53</v>
      </c>
      <c r="T7696" s="10" t="s">
        <v>4490</v>
      </c>
    </row>
    <row r="7697" spans="1:20" ht="14.5" x14ac:dyDescent="0.35">
      <c r="A7697" s="10" t="s">
        <v>36370</v>
      </c>
      <c r="B7697" s="10" t="str">
        <f>"9780881462647"</f>
        <v>9780881462647</v>
      </c>
      <c r="C7697" s="10" t="str">
        <f>"9780881463538"</f>
        <v>9780881463538</v>
      </c>
      <c r="D7697" s="10" t="s">
        <v>36371</v>
      </c>
      <c r="E7697" s="10" t="s">
        <v>36371</v>
      </c>
      <c r="F7697" s="10" t="s">
        <v>36372</v>
      </c>
      <c r="G7697" s="10" t="s">
        <v>6317</v>
      </c>
      <c r="H7697" s="11">
        <v>40801</v>
      </c>
      <c r="I7697" s="10">
        <v>2011</v>
      </c>
      <c r="J7697" s="10" t="s">
        <v>36371</v>
      </c>
      <c r="K7697" s="10">
        <v>365</v>
      </c>
      <c r="L7697" s="10" t="s">
        <v>36373</v>
      </c>
      <c r="M7697" s="10"/>
      <c r="N7697" s="10"/>
      <c r="O7697" s="10"/>
      <c r="P7697" s="10" t="s">
        <v>36374</v>
      </c>
      <c r="Q7697" s="10" t="s">
        <v>36375</v>
      </c>
      <c r="R7697" s="10" t="s">
        <v>36376</v>
      </c>
      <c r="S7697" s="10" t="s">
        <v>53</v>
      </c>
      <c r="T7697" s="10" t="s">
        <v>54</v>
      </c>
    </row>
    <row r="7698" spans="1:20" ht="14.5" x14ac:dyDescent="0.35">
      <c r="A7698" s="10" t="s">
        <v>36377</v>
      </c>
      <c r="B7698" s="10" t="str">
        <f>""</f>
        <v/>
      </c>
      <c r="C7698" s="10" t="str">
        <f>"9781841266756"</f>
        <v>9781841266756</v>
      </c>
      <c r="D7698" s="10" t="s">
        <v>36378</v>
      </c>
      <c r="E7698" s="10" t="s">
        <v>36379</v>
      </c>
      <c r="F7698" s="10" t="s">
        <v>10344</v>
      </c>
      <c r="G7698" s="10" t="s">
        <v>6352</v>
      </c>
      <c r="H7698" s="11">
        <v>37987</v>
      </c>
      <c r="I7698" s="10">
        <v>2004</v>
      </c>
      <c r="J7698" s="10" t="s">
        <v>36379</v>
      </c>
      <c r="K7698" s="10">
        <v>322</v>
      </c>
      <c r="L7698" s="10" t="s">
        <v>36380</v>
      </c>
      <c r="M7698" s="10"/>
      <c r="N7698" s="10"/>
      <c r="O7698" s="10"/>
      <c r="P7698" s="10" t="s">
        <v>36381</v>
      </c>
      <c r="Q7698" s="10">
        <v>378.24200000000002</v>
      </c>
      <c r="R7698" s="10" t="s">
        <v>36382</v>
      </c>
      <c r="S7698" s="10" t="s">
        <v>53</v>
      </c>
      <c r="T7698" s="10" t="s">
        <v>54</v>
      </c>
    </row>
    <row r="7699" spans="1:20" ht="14.5" x14ac:dyDescent="0.35">
      <c r="A7699" s="10" t="s">
        <v>36383</v>
      </c>
      <c r="B7699" s="10" t="str">
        <f>"9780870139765"</f>
        <v>9780870139765</v>
      </c>
      <c r="C7699" s="10" t="str">
        <f>"9781609172169"</f>
        <v>9781609172169</v>
      </c>
      <c r="D7699" s="10" t="s">
        <v>36384</v>
      </c>
      <c r="E7699" s="10" t="s">
        <v>36384</v>
      </c>
      <c r="F7699" s="10" t="s">
        <v>36385</v>
      </c>
      <c r="G7699" s="10" t="s">
        <v>6317</v>
      </c>
      <c r="H7699" s="11">
        <v>40422</v>
      </c>
      <c r="I7699" s="10">
        <v>2010</v>
      </c>
      <c r="J7699" s="10" t="s">
        <v>36384</v>
      </c>
      <c r="K7699" s="10">
        <v>417</v>
      </c>
      <c r="L7699" s="10" t="s">
        <v>36386</v>
      </c>
      <c r="M7699" s="10">
        <v>1</v>
      </c>
      <c r="N7699" s="10" t="s">
        <v>36387</v>
      </c>
      <c r="O7699" s="10"/>
      <c r="P7699" s="10" t="s">
        <v>11133</v>
      </c>
      <c r="Q7699" s="10" t="s">
        <v>15907</v>
      </c>
      <c r="R7699" s="10" t="s">
        <v>36388</v>
      </c>
      <c r="S7699" s="10" t="s">
        <v>53</v>
      </c>
      <c r="T7699" s="10" t="s">
        <v>54</v>
      </c>
    </row>
    <row r="7700" spans="1:20" ht="14.5" x14ac:dyDescent="0.35">
      <c r="A7700" s="10" t="s">
        <v>36389</v>
      </c>
      <c r="B7700" s="10" t="str">
        <f>"9780870139840"</f>
        <v>9780870139840</v>
      </c>
      <c r="C7700" s="10" t="str">
        <f>"9781609172213"</f>
        <v>9781609172213</v>
      </c>
      <c r="D7700" s="10" t="s">
        <v>36384</v>
      </c>
      <c r="E7700" s="10" t="s">
        <v>36384</v>
      </c>
      <c r="F7700" s="10" t="s">
        <v>36385</v>
      </c>
      <c r="G7700" s="10" t="s">
        <v>6317</v>
      </c>
      <c r="H7700" s="11">
        <v>40391</v>
      </c>
      <c r="I7700" s="10">
        <v>2010</v>
      </c>
      <c r="J7700" s="10" t="s">
        <v>36384</v>
      </c>
      <c r="K7700" s="10">
        <v>452</v>
      </c>
      <c r="L7700" s="10" t="s">
        <v>36390</v>
      </c>
      <c r="M7700" s="10">
        <v>1</v>
      </c>
      <c r="N7700" s="10"/>
      <c r="O7700" s="10"/>
      <c r="P7700" s="10" t="s">
        <v>36391</v>
      </c>
      <c r="Q7700" s="10">
        <v>370.11599999999999</v>
      </c>
      <c r="R7700" s="10"/>
      <c r="S7700" s="10" t="s">
        <v>53</v>
      </c>
      <c r="T7700" s="10" t="s">
        <v>54</v>
      </c>
    </row>
    <row r="7701" spans="1:20" ht="14.5" x14ac:dyDescent="0.35">
      <c r="A7701" s="10" t="s">
        <v>36392</v>
      </c>
      <c r="B7701" s="10" t="str">
        <f>"9780870139741"</f>
        <v>9780870139741</v>
      </c>
      <c r="C7701" s="10" t="str">
        <f>"9781609171957"</f>
        <v>9781609171957</v>
      </c>
      <c r="D7701" s="10" t="s">
        <v>36384</v>
      </c>
      <c r="E7701" s="10" t="s">
        <v>36384</v>
      </c>
      <c r="F7701" s="10" t="s">
        <v>36385</v>
      </c>
      <c r="G7701" s="10" t="s">
        <v>6317</v>
      </c>
      <c r="H7701" s="11">
        <v>40452</v>
      </c>
      <c r="I7701" s="10">
        <v>2010</v>
      </c>
      <c r="J7701" s="10" t="s">
        <v>36384</v>
      </c>
      <c r="K7701" s="10">
        <v>477</v>
      </c>
      <c r="L7701" s="10" t="s">
        <v>36393</v>
      </c>
      <c r="M7701" s="10">
        <v>1</v>
      </c>
      <c r="N7701" s="10" t="s">
        <v>36387</v>
      </c>
      <c r="O7701" s="10">
        <v>1</v>
      </c>
      <c r="P7701" s="10" t="s">
        <v>36394</v>
      </c>
      <c r="Q7701" s="10"/>
      <c r="R7701" s="10"/>
      <c r="S7701" s="10" t="s">
        <v>53</v>
      </c>
      <c r="T7701" s="10" t="s">
        <v>54</v>
      </c>
    </row>
    <row r="7702" spans="1:20" ht="14.5" x14ac:dyDescent="0.35">
      <c r="A7702" s="10" t="s">
        <v>36395</v>
      </c>
      <c r="B7702" s="10" t="str">
        <f>"9780870139758"</f>
        <v>9780870139758</v>
      </c>
      <c r="C7702" s="10" t="str">
        <f>"9781609171940"</f>
        <v>9781609171940</v>
      </c>
      <c r="D7702" s="10" t="s">
        <v>36384</v>
      </c>
      <c r="E7702" s="10" t="s">
        <v>36384</v>
      </c>
      <c r="F7702" s="10" t="s">
        <v>36385</v>
      </c>
      <c r="G7702" s="10" t="s">
        <v>6317</v>
      </c>
      <c r="H7702" s="11">
        <v>40452</v>
      </c>
      <c r="I7702" s="10">
        <v>2010</v>
      </c>
      <c r="J7702" s="10" t="s">
        <v>36384</v>
      </c>
      <c r="K7702" s="10">
        <v>537</v>
      </c>
      <c r="L7702" s="10" t="s">
        <v>36393</v>
      </c>
      <c r="M7702" s="10">
        <v>1</v>
      </c>
      <c r="N7702" s="10" t="s">
        <v>36387</v>
      </c>
      <c r="O7702" s="10">
        <v>2</v>
      </c>
      <c r="P7702" s="10" t="s">
        <v>36394</v>
      </c>
      <c r="Q7702" s="10"/>
      <c r="R7702" s="10" t="s">
        <v>36396</v>
      </c>
      <c r="S7702" s="10" t="s">
        <v>53</v>
      </c>
      <c r="T7702" s="10" t="s">
        <v>54</v>
      </c>
    </row>
    <row r="7703" spans="1:20" ht="14.5" x14ac:dyDescent="0.35">
      <c r="A7703" s="10" t="s">
        <v>36397</v>
      </c>
      <c r="B7703" s="10" t="str">
        <f>"9781611860139"</f>
        <v>9781611860139</v>
      </c>
      <c r="C7703" s="10" t="str">
        <f>"9781609172329"</f>
        <v>9781609172329</v>
      </c>
      <c r="D7703" s="10" t="s">
        <v>36384</v>
      </c>
      <c r="E7703" s="10" t="s">
        <v>36384</v>
      </c>
      <c r="F7703" s="10" t="s">
        <v>36385</v>
      </c>
      <c r="G7703" s="10" t="s">
        <v>6317</v>
      </c>
      <c r="H7703" s="11">
        <v>40878</v>
      </c>
      <c r="I7703" s="10">
        <v>2012</v>
      </c>
      <c r="J7703" s="10" t="s">
        <v>36384</v>
      </c>
      <c r="K7703" s="10">
        <v>258</v>
      </c>
      <c r="L7703" s="10" t="s">
        <v>36398</v>
      </c>
      <c r="M7703" s="10">
        <v>1</v>
      </c>
      <c r="N7703" s="10"/>
      <c r="O7703" s="10"/>
      <c r="P7703" s="10" t="s">
        <v>36399</v>
      </c>
      <c r="Q7703" s="10" t="s">
        <v>36400</v>
      </c>
      <c r="R7703" s="10"/>
      <c r="S7703" s="10" t="s">
        <v>53</v>
      </c>
      <c r="T7703" s="10" t="s">
        <v>54</v>
      </c>
    </row>
    <row r="7704" spans="1:20" ht="14.5" x14ac:dyDescent="0.35">
      <c r="A7704" s="10" t="s">
        <v>36401</v>
      </c>
      <c r="B7704" s="10" t="str">
        <f>"9780870136481"</f>
        <v>9780870136481</v>
      </c>
      <c r="C7704" s="10" t="str">
        <f>"9781609171186"</f>
        <v>9781609171186</v>
      </c>
      <c r="D7704" s="10" t="s">
        <v>36384</v>
      </c>
      <c r="E7704" s="10" t="s">
        <v>36384</v>
      </c>
      <c r="F7704" s="10" t="s">
        <v>36385</v>
      </c>
      <c r="G7704" s="10" t="s">
        <v>6317</v>
      </c>
      <c r="H7704" s="11">
        <v>37680</v>
      </c>
      <c r="I7704" s="10">
        <v>2003</v>
      </c>
      <c r="J7704" s="10" t="s">
        <v>36384</v>
      </c>
      <c r="K7704" s="10">
        <v>243</v>
      </c>
      <c r="L7704" s="10" t="s">
        <v>36402</v>
      </c>
      <c r="M7704" s="10">
        <v>1</v>
      </c>
      <c r="N7704" s="10"/>
      <c r="O7704" s="10"/>
      <c r="P7704" s="10" t="s">
        <v>36403</v>
      </c>
      <c r="Q7704" s="10" t="s">
        <v>36404</v>
      </c>
      <c r="R7704" s="10"/>
      <c r="S7704" s="10" t="s">
        <v>53</v>
      </c>
      <c r="T7704" s="10" t="s">
        <v>54</v>
      </c>
    </row>
    <row r="7705" spans="1:20" ht="14.5" x14ac:dyDescent="0.35">
      <c r="A7705" s="10" t="s">
        <v>36405</v>
      </c>
      <c r="B7705" s="10" t="str">
        <f>"9781611860467"</f>
        <v>9781611860467</v>
      </c>
      <c r="C7705" s="10" t="str">
        <f>"9781609173401"</f>
        <v>9781609173401</v>
      </c>
      <c r="D7705" s="10" t="s">
        <v>36384</v>
      </c>
      <c r="E7705" s="10" t="s">
        <v>36384</v>
      </c>
      <c r="F7705" s="10" t="s">
        <v>36385</v>
      </c>
      <c r="G7705" s="10" t="s">
        <v>6317</v>
      </c>
      <c r="H7705" s="11">
        <v>41214</v>
      </c>
      <c r="I7705" s="10">
        <v>2012</v>
      </c>
      <c r="J7705" s="10" t="s">
        <v>36384</v>
      </c>
      <c r="K7705" s="10">
        <v>266</v>
      </c>
      <c r="L7705" s="10" t="s">
        <v>36406</v>
      </c>
      <c r="M7705" s="10">
        <v>1</v>
      </c>
      <c r="N7705" s="10" t="s">
        <v>36387</v>
      </c>
      <c r="O7705" s="10"/>
      <c r="P7705" s="10" t="s">
        <v>36394</v>
      </c>
      <c r="Q7705" s="10" t="s">
        <v>36407</v>
      </c>
      <c r="R7705" s="10"/>
      <c r="S7705" s="10" t="s">
        <v>53</v>
      </c>
      <c r="T7705" s="10" t="s">
        <v>54</v>
      </c>
    </row>
    <row r="7706" spans="1:20" ht="14.5" x14ac:dyDescent="0.35">
      <c r="A7706" s="10" t="s">
        <v>36408</v>
      </c>
      <c r="B7706" s="10" t="str">
        <f>"9781611860894"</f>
        <v>9781611860894</v>
      </c>
      <c r="C7706" s="10" t="str">
        <f>"9781609173791"</f>
        <v>9781609173791</v>
      </c>
      <c r="D7706" s="10" t="s">
        <v>36384</v>
      </c>
      <c r="E7706" s="10" t="s">
        <v>36384</v>
      </c>
      <c r="F7706" s="10" t="s">
        <v>36385</v>
      </c>
      <c r="G7706" s="10" t="s">
        <v>6317</v>
      </c>
      <c r="H7706" s="11">
        <v>41518</v>
      </c>
      <c r="I7706" s="10">
        <v>2013</v>
      </c>
      <c r="J7706" s="10" t="s">
        <v>36384</v>
      </c>
      <c r="K7706" s="10">
        <v>340</v>
      </c>
      <c r="L7706" s="10" t="s">
        <v>36409</v>
      </c>
      <c r="M7706" s="10">
        <v>1</v>
      </c>
      <c r="N7706" s="10" t="s">
        <v>36387</v>
      </c>
      <c r="O7706" s="10"/>
      <c r="P7706" s="10" t="s">
        <v>18444</v>
      </c>
      <c r="Q7706" s="10"/>
      <c r="R7706" s="10"/>
      <c r="S7706" s="10" t="s">
        <v>53</v>
      </c>
      <c r="T7706" s="10" t="s">
        <v>54</v>
      </c>
    </row>
    <row r="7707" spans="1:20" ht="14.5" x14ac:dyDescent="0.35">
      <c r="A7707" s="10" t="s">
        <v>36410</v>
      </c>
      <c r="B7707" s="10" t="str">
        <f>"9781611861549"</f>
        <v>9781611861549</v>
      </c>
      <c r="C7707" s="10" t="str">
        <f>"9781609174408"</f>
        <v>9781609174408</v>
      </c>
      <c r="D7707" s="10" t="s">
        <v>36384</v>
      </c>
      <c r="E7707" s="10" t="s">
        <v>36384</v>
      </c>
      <c r="F7707" s="10" t="s">
        <v>36385</v>
      </c>
      <c r="G7707" s="10" t="s">
        <v>6317</v>
      </c>
      <c r="H7707" s="11">
        <v>42036</v>
      </c>
      <c r="I7707" s="10">
        <v>2014</v>
      </c>
      <c r="J7707" s="10" t="s">
        <v>36384</v>
      </c>
      <c r="K7707" s="10">
        <v>160</v>
      </c>
      <c r="L7707" s="10" t="s">
        <v>36411</v>
      </c>
      <c r="M7707" s="10">
        <v>1</v>
      </c>
      <c r="N7707" s="10" t="s">
        <v>36387</v>
      </c>
      <c r="O7707" s="10"/>
      <c r="P7707" s="10" t="s">
        <v>36412</v>
      </c>
      <c r="Q7707" s="10"/>
      <c r="R7707" s="10" t="s">
        <v>36413</v>
      </c>
      <c r="S7707" s="10" t="s">
        <v>53</v>
      </c>
      <c r="T7707" s="10" t="s">
        <v>54</v>
      </c>
    </row>
    <row r="7708" spans="1:20" ht="14.5" x14ac:dyDescent="0.35">
      <c r="A7708" s="10" t="s">
        <v>36414</v>
      </c>
      <c r="B7708" s="10" t="str">
        <f>"9780262100793"</f>
        <v>9780262100793</v>
      </c>
      <c r="C7708" s="10" t="str">
        <f>"9780262276313"</f>
        <v>9780262276313</v>
      </c>
      <c r="D7708" s="10" t="s">
        <v>36415</v>
      </c>
      <c r="E7708" s="10" t="s">
        <v>36415</v>
      </c>
      <c r="F7708" s="10" t="s">
        <v>612</v>
      </c>
      <c r="G7708" s="10" t="s">
        <v>6317</v>
      </c>
      <c r="H7708" s="11">
        <v>36322</v>
      </c>
      <c r="I7708" s="10">
        <v>1999</v>
      </c>
      <c r="J7708" s="10" t="s">
        <v>36415</v>
      </c>
      <c r="K7708" s="10">
        <v>355</v>
      </c>
      <c r="L7708" s="10" t="s">
        <v>36416</v>
      </c>
      <c r="M7708" s="10">
        <v>1</v>
      </c>
      <c r="N7708" s="10" t="s">
        <v>36417</v>
      </c>
      <c r="O7708" s="10"/>
      <c r="P7708" s="10" t="s">
        <v>36418</v>
      </c>
      <c r="Q7708" s="10" t="s">
        <v>36419</v>
      </c>
      <c r="R7708" s="10" t="s">
        <v>36420</v>
      </c>
      <c r="S7708" s="10" t="s">
        <v>53</v>
      </c>
      <c r="T7708" s="10" t="s">
        <v>22084</v>
      </c>
    </row>
    <row r="7709" spans="1:20" ht="14.5" x14ac:dyDescent="0.35">
      <c r="A7709" s="10" t="s">
        <v>36421</v>
      </c>
      <c r="B7709" s="10" t="str">
        <f>"9780262033589"</f>
        <v>9780262033589</v>
      </c>
      <c r="C7709" s="10" t="str">
        <f>"9780262255899"</f>
        <v>9780262255899</v>
      </c>
      <c r="D7709" s="10" t="s">
        <v>36415</v>
      </c>
      <c r="E7709" s="10" t="s">
        <v>36415</v>
      </c>
      <c r="F7709" s="10" t="s">
        <v>612</v>
      </c>
      <c r="G7709" s="10" t="s">
        <v>6317</v>
      </c>
      <c r="H7709" s="11">
        <v>38982</v>
      </c>
      <c r="I7709" s="10">
        <v>2006</v>
      </c>
      <c r="J7709" s="10" t="s">
        <v>36415</v>
      </c>
      <c r="K7709" s="10">
        <v>524</v>
      </c>
      <c r="L7709" s="10" t="s">
        <v>36422</v>
      </c>
      <c r="M7709" s="10">
        <v>1</v>
      </c>
      <c r="N7709" s="10" t="s">
        <v>36423</v>
      </c>
      <c r="O7709" s="10"/>
      <c r="P7709" s="10" t="s">
        <v>36424</v>
      </c>
      <c r="Q7709" s="10" t="s">
        <v>9732</v>
      </c>
      <c r="R7709" s="10"/>
      <c r="S7709" s="10" t="s">
        <v>53</v>
      </c>
      <c r="T7709" s="10" t="s">
        <v>9734</v>
      </c>
    </row>
    <row r="7710" spans="1:20" ht="14.5" x14ac:dyDescent="0.35">
      <c r="A7710" s="10" t="s">
        <v>36425</v>
      </c>
      <c r="B7710" s="10" t="str">
        <f>"9780262033671"</f>
        <v>9780262033671</v>
      </c>
      <c r="C7710" s="10" t="str">
        <f>"9780262270526"</f>
        <v>9780262270526</v>
      </c>
      <c r="D7710" s="10" t="s">
        <v>36415</v>
      </c>
      <c r="E7710" s="10" t="s">
        <v>36415</v>
      </c>
      <c r="F7710" s="10" t="s">
        <v>612</v>
      </c>
      <c r="G7710" s="10" t="s">
        <v>6317</v>
      </c>
      <c r="H7710" s="11">
        <v>39073</v>
      </c>
      <c r="I7710" s="10">
        <v>2006</v>
      </c>
      <c r="J7710" s="10" t="s">
        <v>36415</v>
      </c>
      <c r="K7710" s="10">
        <v>616</v>
      </c>
      <c r="L7710" s="10" t="s">
        <v>36426</v>
      </c>
      <c r="M7710" s="10">
        <v>1</v>
      </c>
      <c r="N7710" s="10" t="s">
        <v>36417</v>
      </c>
      <c r="O7710" s="10"/>
      <c r="P7710" s="10" t="s">
        <v>36427</v>
      </c>
      <c r="Q7710" s="10">
        <v>379.26091724000003</v>
      </c>
      <c r="R7710" s="10" t="s">
        <v>36428</v>
      </c>
      <c r="S7710" s="10" t="s">
        <v>53</v>
      </c>
      <c r="T7710" s="10" t="s">
        <v>54</v>
      </c>
    </row>
    <row r="7711" spans="1:20" ht="14.5" x14ac:dyDescent="0.35">
      <c r="A7711" s="10" t="s">
        <v>36429</v>
      </c>
      <c r="B7711" s="10" t="str">
        <f>"9780262151177"</f>
        <v>9780262151177</v>
      </c>
      <c r="C7711" s="10" t="str">
        <f>"9780262281065"</f>
        <v>9780262281065</v>
      </c>
      <c r="D7711" s="10" t="s">
        <v>36415</v>
      </c>
      <c r="E7711" s="10" t="s">
        <v>36415</v>
      </c>
      <c r="F7711" s="10" t="s">
        <v>612</v>
      </c>
      <c r="G7711" s="10" t="s">
        <v>6317</v>
      </c>
      <c r="H7711" s="11">
        <v>38954</v>
      </c>
      <c r="I7711" s="10">
        <v>2006</v>
      </c>
      <c r="J7711" s="10" t="s">
        <v>36415</v>
      </c>
      <c r="K7711" s="10">
        <v>293</v>
      </c>
      <c r="L7711" s="10" t="s">
        <v>36430</v>
      </c>
      <c r="M7711" s="10">
        <v>1</v>
      </c>
      <c r="N7711" s="10" t="s">
        <v>36417</v>
      </c>
      <c r="O7711" s="10"/>
      <c r="P7711" s="10" t="s">
        <v>36431</v>
      </c>
      <c r="Q7711" s="10" t="s">
        <v>36432</v>
      </c>
      <c r="R7711" s="10" t="s">
        <v>36433</v>
      </c>
      <c r="S7711" s="10" t="s">
        <v>53</v>
      </c>
      <c r="T7711" s="10" t="s">
        <v>9824</v>
      </c>
    </row>
    <row r="7712" spans="1:20" ht="14.5" x14ac:dyDescent="0.35">
      <c r="A7712" s="10" t="s">
        <v>36434</v>
      </c>
      <c r="B7712" s="10" t="str">
        <f>"9780262195393"</f>
        <v>9780262195393</v>
      </c>
      <c r="C7712" s="10" t="str">
        <f>"9780262257022"</f>
        <v>9780262257022</v>
      </c>
      <c r="D7712" s="10" t="s">
        <v>36415</v>
      </c>
      <c r="E7712" s="10" t="s">
        <v>36415</v>
      </c>
      <c r="F7712" s="10" t="s">
        <v>612</v>
      </c>
      <c r="G7712" s="10" t="s">
        <v>6317</v>
      </c>
      <c r="H7712" s="11">
        <v>38800</v>
      </c>
      <c r="I7712" s="10">
        <v>2006</v>
      </c>
      <c r="J7712" s="10" t="s">
        <v>36415</v>
      </c>
      <c r="K7712" s="10">
        <v>521</v>
      </c>
      <c r="L7712" s="10" t="s">
        <v>36435</v>
      </c>
      <c r="M7712" s="10">
        <v>1</v>
      </c>
      <c r="N7712" s="10" t="s">
        <v>36436</v>
      </c>
      <c r="O7712" s="10"/>
      <c r="P7712" s="10" t="s">
        <v>36437</v>
      </c>
      <c r="Q7712" s="10" t="s">
        <v>11314</v>
      </c>
      <c r="R7712" s="10" t="s">
        <v>12939</v>
      </c>
      <c r="S7712" s="10" t="s">
        <v>53</v>
      </c>
      <c r="T7712" s="10" t="s">
        <v>54</v>
      </c>
    </row>
    <row r="7713" spans="1:20" ht="14.5" x14ac:dyDescent="0.35">
      <c r="A7713" s="10" t="s">
        <v>36438</v>
      </c>
      <c r="B7713" s="10" t="str">
        <f>"9780262195249"</f>
        <v>9780262195249</v>
      </c>
      <c r="C7713" s="10" t="str">
        <f>"9780262284486"</f>
        <v>9780262284486</v>
      </c>
      <c r="D7713" s="10" t="s">
        <v>36415</v>
      </c>
      <c r="E7713" s="10" t="s">
        <v>36415</v>
      </c>
      <c r="F7713" s="10" t="s">
        <v>612</v>
      </c>
      <c r="G7713" s="10" t="s">
        <v>6317</v>
      </c>
      <c r="H7713" s="11">
        <v>38477</v>
      </c>
      <c r="I7713" s="10">
        <v>2005</v>
      </c>
      <c r="J7713" s="10" t="s">
        <v>36415</v>
      </c>
      <c r="K7713" s="10">
        <v>802</v>
      </c>
      <c r="L7713" s="10" t="s">
        <v>36439</v>
      </c>
      <c r="M7713" s="10">
        <v>1</v>
      </c>
      <c r="N7713" s="10" t="s">
        <v>36417</v>
      </c>
      <c r="O7713" s="10"/>
      <c r="P7713" s="10" t="s">
        <v>36440</v>
      </c>
      <c r="Q7713" s="10" t="s">
        <v>34903</v>
      </c>
      <c r="R7713" s="10" t="s">
        <v>36441</v>
      </c>
      <c r="S7713" s="10" t="s">
        <v>53</v>
      </c>
      <c r="T7713" s="10" t="s">
        <v>36442</v>
      </c>
    </row>
    <row r="7714" spans="1:20" ht="14.5" x14ac:dyDescent="0.35">
      <c r="A7714" s="10" t="s">
        <v>36443</v>
      </c>
      <c r="B7714" s="10" t="str">
        <f>"9780262134798"</f>
        <v>9780262134798</v>
      </c>
      <c r="C7714" s="10" t="str">
        <f>"9780262279994"</f>
        <v>9780262279994</v>
      </c>
      <c r="D7714" s="10" t="s">
        <v>36415</v>
      </c>
      <c r="E7714" s="10" t="s">
        <v>36415</v>
      </c>
      <c r="F7714" s="10" t="s">
        <v>612</v>
      </c>
      <c r="G7714" s="10" t="s">
        <v>6317</v>
      </c>
      <c r="H7714" s="11">
        <v>39150</v>
      </c>
      <c r="I7714" s="10">
        <v>2007</v>
      </c>
      <c r="J7714" s="10" t="s">
        <v>36415</v>
      </c>
      <c r="K7714" s="10">
        <v>153</v>
      </c>
      <c r="L7714" s="10" t="s">
        <v>36444</v>
      </c>
      <c r="M7714" s="10">
        <v>1</v>
      </c>
      <c r="N7714" s="10" t="s">
        <v>36417</v>
      </c>
      <c r="O7714" s="10"/>
      <c r="P7714" s="10" t="s">
        <v>36445</v>
      </c>
      <c r="Q7714" s="10" t="s">
        <v>34903</v>
      </c>
      <c r="R7714" s="10" t="s">
        <v>36446</v>
      </c>
      <c r="S7714" s="10" t="s">
        <v>53</v>
      </c>
      <c r="T7714" s="10" t="s">
        <v>36442</v>
      </c>
    </row>
    <row r="7715" spans="1:20" ht="14.5" x14ac:dyDescent="0.35">
      <c r="A7715" s="10" t="s">
        <v>36447</v>
      </c>
      <c r="B7715" s="10" t="str">
        <f>"9780262195591"</f>
        <v>9780262195591</v>
      </c>
      <c r="C7715" s="10" t="str">
        <f>"9780262283588"</f>
        <v>9780262283588</v>
      </c>
      <c r="D7715" s="10" t="s">
        <v>36415</v>
      </c>
      <c r="E7715" s="10" t="s">
        <v>36415</v>
      </c>
      <c r="F7715" s="10" t="s">
        <v>612</v>
      </c>
      <c r="G7715" s="10" t="s">
        <v>6317</v>
      </c>
      <c r="H7715" s="11">
        <v>39220</v>
      </c>
      <c r="I7715" s="10">
        <v>2007</v>
      </c>
      <c r="J7715" s="10" t="s">
        <v>36415</v>
      </c>
      <c r="K7715" s="10">
        <v>295</v>
      </c>
      <c r="L7715" s="10" t="s">
        <v>36448</v>
      </c>
      <c r="M7715" s="10">
        <v>1</v>
      </c>
      <c r="N7715" s="10" t="s">
        <v>36449</v>
      </c>
      <c r="O7715" s="10"/>
      <c r="P7715" s="10" t="s">
        <v>36450</v>
      </c>
      <c r="Q7715" s="10">
        <v>530</v>
      </c>
      <c r="R7715" s="10" t="s">
        <v>15723</v>
      </c>
      <c r="S7715" s="10" t="s">
        <v>53</v>
      </c>
      <c r="T7715" s="10" t="s">
        <v>11578</v>
      </c>
    </row>
    <row r="7716" spans="1:20" ht="14.5" x14ac:dyDescent="0.35">
      <c r="A7716" s="10" t="s">
        <v>36451</v>
      </c>
      <c r="B7716" s="10" t="str">
        <f>"9780262232579"</f>
        <v>9780262232579</v>
      </c>
      <c r="C7716" s="10" t="str">
        <f>"9780262286381"</f>
        <v>9780262286381</v>
      </c>
      <c r="D7716" s="10" t="s">
        <v>36415</v>
      </c>
      <c r="E7716" s="10" t="s">
        <v>36415</v>
      </c>
      <c r="F7716" s="10" t="s">
        <v>612</v>
      </c>
      <c r="G7716" s="10" t="s">
        <v>6317</v>
      </c>
      <c r="H7716" s="11">
        <v>39227</v>
      </c>
      <c r="I7716" s="10">
        <v>2007</v>
      </c>
      <c r="J7716" s="10" t="s">
        <v>36415</v>
      </c>
      <c r="K7716" s="10">
        <v>338</v>
      </c>
      <c r="L7716" s="10" t="s">
        <v>36452</v>
      </c>
      <c r="M7716" s="10">
        <v>1</v>
      </c>
      <c r="N7716" s="10" t="s">
        <v>36453</v>
      </c>
      <c r="O7716" s="10"/>
      <c r="P7716" s="10" t="s">
        <v>36454</v>
      </c>
      <c r="Q7716" s="10">
        <v>839.63</v>
      </c>
      <c r="R7716" s="10" t="s">
        <v>36455</v>
      </c>
      <c r="S7716" s="10" t="s">
        <v>53</v>
      </c>
      <c r="T7716" s="10" t="s">
        <v>10454</v>
      </c>
    </row>
    <row r="7717" spans="1:20" ht="14.5" x14ac:dyDescent="0.35">
      <c r="A7717" s="10" t="s">
        <v>36456</v>
      </c>
      <c r="B7717" s="10" t="str">
        <f>"9780262026192"</f>
        <v>9780262026192</v>
      </c>
      <c r="C7717" s="10" t="str">
        <f>"9780262255783"</f>
        <v>9780262255783</v>
      </c>
      <c r="D7717" s="10" t="s">
        <v>36415</v>
      </c>
      <c r="E7717" s="10" t="s">
        <v>36415</v>
      </c>
      <c r="F7717" s="10" t="s">
        <v>612</v>
      </c>
      <c r="G7717" s="10" t="s">
        <v>6317</v>
      </c>
      <c r="H7717" s="11">
        <v>39367</v>
      </c>
      <c r="I7717" s="10">
        <v>2007</v>
      </c>
      <c r="J7717" s="10" t="s">
        <v>36415</v>
      </c>
      <c r="K7717" s="10">
        <v>363</v>
      </c>
      <c r="L7717" s="10" t="s">
        <v>36457</v>
      </c>
      <c r="M7717" s="10">
        <v>1</v>
      </c>
      <c r="N7717" s="10"/>
      <c r="O7717" s="10"/>
      <c r="P7717" s="10"/>
      <c r="Q7717" s="10">
        <v>1.2</v>
      </c>
      <c r="R7717" s="10" t="s">
        <v>36458</v>
      </c>
      <c r="S7717" s="10" t="s">
        <v>53</v>
      </c>
      <c r="T7717" s="10" t="s">
        <v>6601</v>
      </c>
    </row>
    <row r="7718" spans="1:20" ht="14.5" x14ac:dyDescent="0.35">
      <c r="A7718" s="10" t="s">
        <v>36459</v>
      </c>
      <c r="B7718" s="10" t="str">
        <f>"9780262062664"</f>
        <v>9780262062664</v>
      </c>
      <c r="C7718" s="10" t="str">
        <f>"9780262273138"</f>
        <v>9780262273138</v>
      </c>
      <c r="D7718" s="10" t="s">
        <v>36415</v>
      </c>
      <c r="E7718" s="10" t="s">
        <v>36415</v>
      </c>
      <c r="F7718" s="10" t="s">
        <v>612</v>
      </c>
      <c r="G7718" s="10" t="s">
        <v>6317</v>
      </c>
      <c r="H7718" s="11">
        <v>39325</v>
      </c>
      <c r="I7718" s="10">
        <v>2011</v>
      </c>
      <c r="J7718" s="10" t="s">
        <v>36415</v>
      </c>
      <c r="K7718" s="10">
        <v>213</v>
      </c>
      <c r="L7718" s="10" t="s">
        <v>36460</v>
      </c>
      <c r="M7718" s="10">
        <v>1</v>
      </c>
      <c r="N7718" s="10"/>
      <c r="O7718" s="10"/>
      <c r="P7718" s="10" t="s">
        <v>36461</v>
      </c>
      <c r="Q7718" s="10">
        <v>720</v>
      </c>
      <c r="R7718" s="10" t="s">
        <v>36462</v>
      </c>
      <c r="S7718" s="10" t="s">
        <v>53</v>
      </c>
      <c r="T7718" s="10" t="s">
        <v>2769</v>
      </c>
    </row>
    <row r="7719" spans="1:20" ht="14.5" x14ac:dyDescent="0.35">
      <c r="A7719" s="10" t="s">
        <v>36463</v>
      </c>
      <c r="B7719" s="10" t="str">
        <f>"9780262113151"</f>
        <v>9780262113151</v>
      </c>
      <c r="C7719" s="10" t="str">
        <f>"9780262277297"</f>
        <v>9780262277297</v>
      </c>
      <c r="D7719" s="10" t="s">
        <v>36415</v>
      </c>
      <c r="E7719" s="10" t="s">
        <v>36415</v>
      </c>
      <c r="F7719" s="10" t="s">
        <v>612</v>
      </c>
      <c r="G7719" s="10" t="s">
        <v>6317</v>
      </c>
      <c r="H7719" s="11">
        <v>39556</v>
      </c>
      <c r="I7719" s="10">
        <v>2008</v>
      </c>
      <c r="J7719" s="10" t="s">
        <v>36415</v>
      </c>
      <c r="K7719" s="10">
        <v>272</v>
      </c>
      <c r="L7719" s="10" t="s">
        <v>36464</v>
      </c>
      <c r="M7719" s="10">
        <v>1</v>
      </c>
      <c r="N7719" s="10" t="s">
        <v>36417</v>
      </c>
      <c r="O7719" s="10"/>
      <c r="P7719" s="10" t="s">
        <v>36465</v>
      </c>
      <c r="Q7719" s="10" t="s">
        <v>22010</v>
      </c>
      <c r="R7719" s="10" t="s">
        <v>36466</v>
      </c>
      <c r="S7719" s="10" t="s">
        <v>53</v>
      </c>
      <c r="T7719" s="10" t="s">
        <v>54</v>
      </c>
    </row>
    <row r="7720" spans="1:20" ht="14.5" x14ac:dyDescent="0.35">
      <c r="A7720" s="10" t="s">
        <v>36467</v>
      </c>
      <c r="B7720" s="10" t="str">
        <f>"9780262240468"</f>
        <v>9780262240468</v>
      </c>
      <c r="C7720" s="10" t="str">
        <f>"9780262286534"</f>
        <v>9780262286534</v>
      </c>
      <c r="D7720" s="10" t="s">
        <v>36415</v>
      </c>
      <c r="E7720" s="10" t="s">
        <v>36415</v>
      </c>
      <c r="F7720" s="10" t="s">
        <v>612</v>
      </c>
      <c r="G7720" s="10" t="s">
        <v>6317</v>
      </c>
      <c r="H7720" s="11">
        <v>38135</v>
      </c>
      <c r="I7720" s="10">
        <v>2004</v>
      </c>
      <c r="J7720" s="10" t="s">
        <v>36415</v>
      </c>
      <c r="K7720" s="10">
        <v>415</v>
      </c>
      <c r="L7720" s="10" t="s">
        <v>36468</v>
      </c>
      <c r="M7720" s="10">
        <v>1</v>
      </c>
      <c r="N7720" s="10" t="s">
        <v>36417</v>
      </c>
      <c r="O7720" s="10"/>
      <c r="P7720" s="10" t="s">
        <v>36469</v>
      </c>
      <c r="Q7720" s="10" t="s">
        <v>8916</v>
      </c>
      <c r="R7720" s="10" t="s">
        <v>36470</v>
      </c>
      <c r="S7720" s="10" t="s">
        <v>53</v>
      </c>
      <c r="T7720" s="10" t="s">
        <v>54</v>
      </c>
    </row>
    <row r="7721" spans="1:20" ht="14.5" x14ac:dyDescent="0.35">
      <c r="A7721" s="10" t="s">
        <v>36471</v>
      </c>
      <c r="B7721" s="10" t="str">
        <f>"9780262201728"</f>
        <v>9780262201728</v>
      </c>
      <c r="C7721" s="10" t="str">
        <f>"9780262285230"</f>
        <v>9780262285230</v>
      </c>
      <c r="D7721" s="10" t="s">
        <v>36415</v>
      </c>
      <c r="E7721" s="10" t="s">
        <v>36415</v>
      </c>
      <c r="F7721" s="10" t="s">
        <v>612</v>
      </c>
      <c r="G7721" s="10" t="s">
        <v>6317</v>
      </c>
      <c r="H7721" s="11">
        <v>39542</v>
      </c>
      <c r="I7721" s="10">
        <v>2008</v>
      </c>
      <c r="J7721" s="10" t="s">
        <v>36415</v>
      </c>
      <c r="K7721" s="10">
        <v>331</v>
      </c>
      <c r="L7721" s="10" t="s">
        <v>36472</v>
      </c>
      <c r="M7721" s="10">
        <v>1</v>
      </c>
      <c r="N7721" s="10" t="s">
        <v>36417</v>
      </c>
      <c r="O7721" s="10"/>
      <c r="P7721" s="10" t="s">
        <v>36473</v>
      </c>
      <c r="Q7721" s="10">
        <v>500</v>
      </c>
      <c r="R7721" s="10" t="s">
        <v>36474</v>
      </c>
      <c r="S7721" s="10" t="s">
        <v>53</v>
      </c>
      <c r="T7721" s="10" t="s">
        <v>9608</v>
      </c>
    </row>
    <row r="7722" spans="1:20" ht="14.5" x14ac:dyDescent="0.35">
      <c r="A7722" s="10" t="s">
        <v>36475</v>
      </c>
      <c r="B7722" s="10" t="str">
        <f>"9780262042017"</f>
        <v>9780262042017</v>
      </c>
      <c r="C7722" s="10" t="str">
        <f>"9780262271370"</f>
        <v>9780262271370</v>
      </c>
      <c r="D7722" s="10" t="s">
        <v>36415</v>
      </c>
      <c r="E7722" s="10" t="s">
        <v>36415</v>
      </c>
      <c r="F7722" s="10" t="s">
        <v>612</v>
      </c>
      <c r="G7722" s="10" t="s">
        <v>6317</v>
      </c>
      <c r="H7722" s="11">
        <v>37246</v>
      </c>
      <c r="I7722" s="10">
        <v>2001</v>
      </c>
      <c r="J7722" s="10" t="s">
        <v>36476</v>
      </c>
      <c r="K7722" s="10">
        <v>280</v>
      </c>
      <c r="L7722" s="10" t="s">
        <v>36477</v>
      </c>
      <c r="M7722" s="10">
        <v>1</v>
      </c>
      <c r="N7722" s="10" t="s">
        <v>36478</v>
      </c>
      <c r="O7722" s="10"/>
      <c r="P7722" s="10" t="s">
        <v>36479</v>
      </c>
      <c r="Q7722" s="10" t="s">
        <v>13672</v>
      </c>
      <c r="R7722" s="10" t="s">
        <v>36480</v>
      </c>
      <c r="S7722" s="10" t="s">
        <v>53</v>
      </c>
      <c r="T7722" s="10" t="s">
        <v>54</v>
      </c>
    </row>
    <row r="7723" spans="1:20" ht="14.5" x14ac:dyDescent="0.35">
      <c r="A7723" s="10" t="s">
        <v>36481</v>
      </c>
      <c r="B7723" s="10" t="str">
        <f>"9780262514040"</f>
        <v>9780262514040</v>
      </c>
      <c r="C7723" s="10" t="str">
        <f>"9780262279109"</f>
        <v>9780262279109</v>
      </c>
      <c r="D7723" s="10" t="s">
        <v>36415</v>
      </c>
      <c r="E7723" s="10" t="s">
        <v>36415</v>
      </c>
      <c r="F7723" s="10" t="s">
        <v>612</v>
      </c>
      <c r="G7723" s="10" t="s">
        <v>6317</v>
      </c>
      <c r="H7723" s="11">
        <v>39721</v>
      </c>
      <c r="I7723" s="10">
        <v>2008</v>
      </c>
      <c r="J7723" s="10" t="s">
        <v>36415</v>
      </c>
      <c r="K7723" s="10">
        <v>216</v>
      </c>
      <c r="L7723" s="10" t="s">
        <v>36482</v>
      </c>
      <c r="M7723" s="10">
        <v>1</v>
      </c>
      <c r="N7723" s="10"/>
      <c r="O7723" s="10"/>
      <c r="P7723" s="10"/>
      <c r="Q7723" s="10" t="s">
        <v>36483</v>
      </c>
      <c r="R7723" s="10" t="s">
        <v>36484</v>
      </c>
      <c r="S7723" s="10" t="s">
        <v>53</v>
      </c>
      <c r="T7723" s="10" t="s">
        <v>19959</v>
      </c>
    </row>
    <row r="7724" spans="1:20" ht="14.5" x14ac:dyDescent="0.35">
      <c r="A7724" s="10" t="s">
        <v>36485</v>
      </c>
      <c r="B7724" s="10" t="str">
        <f>"9780262033763"</f>
        <v>9780262033763</v>
      </c>
      <c r="C7724" s="10" t="str">
        <f>"9780262270113"</f>
        <v>9780262270113</v>
      </c>
      <c r="D7724" s="10" t="s">
        <v>36415</v>
      </c>
      <c r="E7724" s="10" t="s">
        <v>36415</v>
      </c>
      <c r="F7724" s="10" t="s">
        <v>612</v>
      </c>
      <c r="G7724" s="10" t="s">
        <v>6317</v>
      </c>
      <c r="H7724" s="11">
        <v>39787</v>
      </c>
      <c r="I7724" s="10">
        <v>2009</v>
      </c>
      <c r="J7724" s="10" t="s">
        <v>36415</v>
      </c>
      <c r="K7724" s="10">
        <v>281</v>
      </c>
      <c r="L7724" s="10" t="s">
        <v>36486</v>
      </c>
      <c r="M7724" s="10">
        <v>1</v>
      </c>
      <c r="N7724" s="10" t="s">
        <v>36417</v>
      </c>
      <c r="O7724" s="10"/>
      <c r="P7724" s="10" t="s">
        <v>36487</v>
      </c>
      <c r="Q7724" s="10" t="s">
        <v>8659</v>
      </c>
      <c r="R7724" s="10" t="s">
        <v>36488</v>
      </c>
      <c r="S7724" s="10" t="s">
        <v>53</v>
      </c>
      <c r="T7724" s="10" t="s">
        <v>54</v>
      </c>
    </row>
    <row r="7725" spans="1:20" ht="14.5" x14ac:dyDescent="0.35">
      <c r="A7725" s="10" t="s">
        <v>36489</v>
      </c>
      <c r="B7725" s="10" t="str">
        <f>"9780262012911"</f>
        <v>9780262012911</v>
      </c>
      <c r="C7725" s="10" t="str">
        <f>"9780262255417"</f>
        <v>9780262255417</v>
      </c>
      <c r="D7725" s="10" t="s">
        <v>36415</v>
      </c>
      <c r="E7725" s="10" t="s">
        <v>36415</v>
      </c>
      <c r="F7725" s="10" t="s">
        <v>612</v>
      </c>
      <c r="G7725" s="10" t="s">
        <v>6317</v>
      </c>
      <c r="H7725" s="11">
        <v>39934</v>
      </c>
      <c r="I7725" s="10">
        <v>2009</v>
      </c>
      <c r="J7725" s="10" t="s">
        <v>36415</v>
      </c>
      <c r="K7725" s="10">
        <v>211</v>
      </c>
      <c r="L7725" s="10" t="s">
        <v>36490</v>
      </c>
      <c r="M7725" s="10">
        <v>1</v>
      </c>
      <c r="N7725" s="10" t="s">
        <v>36417</v>
      </c>
      <c r="O7725" s="10"/>
      <c r="P7725" s="10" t="s">
        <v>36491</v>
      </c>
      <c r="Q7725" s="10"/>
      <c r="R7725" s="10" t="s">
        <v>36492</v>
      </c>
      <c r="S7725" s="10" t="s">
        <v>53</v>
      </c>
      <c r="T7725" s="10" t="s">
        <v>54</v>
      </c>
    </row>
    <row r="7726" spans="1:20" ht="14.5" x14ac:dyDescent="0.35">
      <c r="A7726" s="10" t="s">
        <v>36493</v>
      </c>
      <c r="B7726" s="10" t="str">
        <f>"9780262013390"</f>
        <v>9780262013390</v>
      </c>
      <c r="C7726" s="10" t="str">
        <f>"9780262259019"</f>
        <v>9780262259019</v>
      </c>
      <c r="D7726" s="10" t="s">
        <v>36415</v>
      </c>
      <c r="E7726" s="10" t="s">
        <v>36415</v>
      </c>
      <c r="F7726" s="10" t="s">
        <v>612</v>
      </c>
      <c r="G7726" s="10" t="s">
        <v>6317</v>
      </c>
      <c r="H7726" s="11">
        <v>40060</v>
      </c>
      <c r="I7726" s="10">
        <v>2009</v>
      </c>
      <c r="J7726" s="10" t="s">
        <v>36476</v>
      </c>
      <c r="K7726" s="10">
        <v>354</v>
      </c>
      <c r="L7726" s="10" t="s">
        <v>36494</v>
      </c>
      <c r="M7726" s="10">
        <v>1</v>
      </c>
      <c r="N7726" s="10"/>
      <c r="O7726" s="10"/>
      <c r="P7726" s="10" t="s">
        <v>36495</v>
      </c>
      <c r="Q7726" s="10" t="s">
        <v>20036</v>
      </c>
      <c r="R7726" s="10"/>
      <c r="S7726" s="10" t="s">
        <v>53</v>
      </c>
      <c r="T7726" s="10" t="s">
        <v>483</v>
      </c>
    </row>
    <row r="7727" spans="1:20" ht="14.5" x14ac:dyDescent="0.35">
      <c r="A7727" s="10" t="s">
        <v>36496</v>
      </c>
      <c r="B7727" s="10" t="str">
        <f>"9780262013352"</f>
        <v>9780262013352</v>
      </c>
      <c r="C7727" s="10" t="str">
        <f>"9780262258913"</f>
        <v>9780262258913</v>
      </c>
      <c r="D7727" s="10" t="s">
        <v>36415</v>
      </c>
      <c r="E7727" s="10" t="s">
        <v>36415</v>
      </c>
      <c r="F7727" s="10" t="s">
        <v>612</v>
      </c>
      <c r="G7727" s="10" t="s">
        <v>6317</v>
      </c>
      <c r="H7727" s="11">
        <v>40081</v>
      </c>
      <c r="I7727" s="10">
        <v>2009</v>
      </c>
      <c r="J7727" s="10" t="s">
        <v>36415</v>
      </c>
      <c r="K7727" s="10">
        <v>247</v>
      </c>
      <c r="L7727" s="10" t="s">
        <v>36497</v>
      </c>
      <c r="M7727" s="10">
        <v>1</v>
      </c>
      <c r="N7727" s="10" t="s">
        <v>36498</v>
      </c>
      <c r="O7727" s="10"/>
      <c r="P7727" s="10" t="s">
        <v>36499</v>
      </c>
      <c r="Q7727" s="10">
        <v>790.20285000000001</v>
      </c>
      <c r="R7727" s="10" t="s">
        <v>36500</v>
      </c>
      <c r="S7727" s="10" t="s">
        <v>53</v>
      </c>
      <c r="T7727" s="10" t="s">
        <v>36501</v>
      </c>
    </row>
    <row r="7728" spans="1:20" ht="14.5" x14ac:dyDescent="0.35">
      <c r="A7728" s="10" t="s">
        <v>36502</v>
      </c>
      <c r="B7728" s="10" t="str">
        <f>"9780262013949"</f>
        <v>9780262013949</v>
      </c>
      <c r="C7728" s="10" t="str">
        <f>"9780262289634"</f>
        <v>9780262289634</v>
      </c>
      <c r="D7728" s="10" t="s">
        <v>36415</v>
      </c>
      <c r="E7728" s="10" t="s">
        <v>36415</v>
      </c>
      <c r="F7728" s="10" t="s">
        <v>612</v>
      </c>
      <c r="G7728" s="10" t="s">
        <v>6317</v>
      </c>
      <c r="H7728" s="11">
        <v>40396</v>
      </c>
      <c r="I7728" s="10">
        <v>2010</v>
      </c>
      <c r="J7728" s="10" t="s">
        <v>36415</v>
      </c>
      <c r="K7728" s="10">
        <v>515</v>
      </c>
      <c r="L7728" s="10" t="s">
        <v>36503</v>
      </c>
      <c r="M7728" s="10">
        <v>1</v>
      </c>
      <c r="N7728" s="10" t="s">
        <v>36417</v>
      </c>
      <c r="O7728" s="10"/>
      <c r="P7728" s="10" t="s">
        <v>36504</v>
      </c>
      <c r="Q7728" s="10" t="s">
        <v>11314</v>
      </c>
      <c r="R7728" s="10" t="s">
        <v>36505</v>
      </c>
      <c r="S7728" s="10" t="s">
        <v>53</v>
      </c>
      <c r="T7728" s="10" t="s">
        <v>54</v>
      </c>
    </row>
    <row r="7729" spans="1:20" ht="14.5" x14ac:dyDescent="0.35">
      <c r="A7729" s="10" t="s">
        <v>36506</v>
      </c>
      <c r="B7729" s="10" t="str">
        <f>"9780262515849"</f>
        <v>9780262515849</v>
      </c>
      <c r="C7729" s="10" t="str">
        <f>"9780262295758"</f>
        <v>9780262295758</v>
      </c>
      <c r="D7729" s="10" t="s">
        <v>36415</v>
      </c>
      <c r="E7729" s="10" t="s">
        <v>36415</v>
      </c>
      <c r="F7729" s="10" t="s">
        <v>612</v>
      </c>
      <c r="G7729" s="10" t="s">
        <v>6317</v>
      </c>
      <c r="H7729" s="11">
        <v>40613</v>
      </c>
      <c r="I7729" s="10">
        <v>2011</v>
      </c>
      <c r="J7729" s="10" t="s">
        <v>36415</v>
      </c>
      <c r="K7729" s="10">
        <v>243</v>
      </c>
      <c r="L7729" s="10" t="s">
        <v>36507</v>
      </c>
      <c r="M7729" s="10">
        <v>1</v>
      </c>
      <c r="N7729" s="10" t="s">
        <v>36417</v>
      </c>
      <c r="O7729" s="10"/>
      <c r="P7729" s="10" t="s">
        <v>36508</v>
      </c>
      <c r="Q7729" s="10" t="s">
        <v>34903</v>
      </c>
      <c r="R7729" s="10" t="s">
        <v>36509</v>
      </c>
      <c r="S7729" s="10" t="s">
        <v>53</v>
      </c>
      <c r="T7729" s="10" t="s">
        <v>22084</v>
      </c>
    </row>
    <row r="7730" spans="1:20" ht="14.5" x14ac:dyDescent="0.35">
      <c r="A7730" s="10" t="s">
        <v>36510</v>
      </c>
      <c r="B7730" s="10" t="str">
        <f>"9780262015639"</f>
        <v>9780262015639</v>
      </c>
      <c r="C7730" s="10" t="str">
        <f>"9780262295406"</f>
        <v>9780262295406</v>
      </c>
      <c r="D7730" s="10" t="s">
        <v>36415</v>
      </c>
      <c r="E7730" s="10" t="s">
        <v>36415</v>
      </c>
      <c r="F7730" s="10" t="s">
        <v>612</v>
      </c>
      <c r="G7730" s="10" t="s">
        <v>6317</v>
      </c>
      <c r="H7730" s="11">
        <v>40599</v>
      </c>
      <c r="I7730" s="10">
        <v>2011</v>
      </c>
      <c r="J7730" s="10" t="s">
        <v>36415</v>
      </c>
      <c r="K7730" s="10">
        <v>536</v>
      </c>
      <c r="L7730" s="10" t="s">
        <v>36511</v>
      </c>
      <c r="M7730" s="10">
        <v>1</v>
      </c>
      <c r="N7730" s="10" t="s">
        <v>36417</v>
      </c>
      <c r="O7730" s="10"/>
      <c r="P7730" s="10"/>
      <c r="Q7730" s="10" t="s">
        <v>36512</v>
      </c>
      <c r="R7730" s="10" t="s">
        <v>36513</v>
      </c>
      <c r="S7730" s="10" t="s">
        <v>53</v>
      </c>
      <c r="T7730" s="10" t="s">
        <v>36514</v>
      </c>
    </row>
    <row r="7731" spans="1:20" ht="14.5" x14ac:dyDescent="0.35">
      <c r="A7731" s="10" t="s">
        <v>36515</v>
      </c>
      <c r="B7731" s="10" t="str">
        <f>"9780262015806"</f>
        <v>9780262015806</v>
      </c>
      <c r="C7731" s="10" t="str">
        <f>"9780262298506"</f>
        <v>9780262298506</v>
      </c>
      <c r="D7731" s="10" t="s">
        <v>36415</v>
      </c>
      <c r="E7731" s="10" t="s">
        <v>36415</v>
      </c>
      <c r="F7731" s="10" t="s">
        <v>612</v>
      </c>
      <c r="G7731" s="10" t="s">
        <v>6317</v>
      </c>
      <c r="H7731" s="11">
        <v>40781</v>
      </c>
      <c r="I7731" s="10">
        <v>2011</v>
      </c>
      <c r="J7731" s="10" t="s">
        <v>36415</v>
      </c>
      <c r="K7731" s="10">
        <v>339</v>
      </c>
      <c r="L7731" s="10" t="s">
        <v>36516</v>
      </c>
      <c r="M7731" s="10">
        <v>1</v>
      </c>
      <c r="N7731" s="10"/>
      <c r="O7731" s="10"/>
      <c r="P7731" s="10"/>
      <c r="Q7731" s="10">
        <v>378.73</v>
      </c>
      <c r="R7731" s="10" t="s">
        <v>36517</v>
      </c>
      <c r="S7731" s="10" t="s">
        <v>53</v>
      </c>
      <c r="T7731" s="10" t="s">
        <v>54</v>
      </c>
    </row>
    <row r="7732" spans="1:20" ht="14.5" x14ac:dyDescent="0.35">
      <c r="A7732" s="10" t="s">
        <v>36518</v>
      </c>
      <c r="B7732" s="10" t="str">
        <f>"9780262016216"</f>
        <v>9780262016216</v>
      </c>
      <c r="C7732" s="10" t="str">
        <f>"9780262300148"</f>
        <v>9780262300148</v>
      </c>
      <c r="D7732" s="10" t="s">
        <v>36415</v>
      </c>
      <c r="E7732" s="10" t="s">
        <v>36415</v>
      </c>
      <c r="F7732" s="10" t="s">
        <v>612</v>
      </c>
      <c r="G7732" s="10" t="s">
        <v>6317</v>
      </c>
      <c r="H7732" s="11">
        <v>40774</v>
      </c>
      <c r="I7732" s="10">
        <v>2011</v>
      </c>
      <c r="J7732" s="10" t="s">
        <v>36415</v>
      </c>
      <c r="K7732" s="10">
        <v>224</v>
      </c>
      <c r="L7732" s="10" t="s">
        <v>36519</v>
      </c>
      <c r="M7732" s="10">
        <v>1</v>
      </c>
      <c r="N7732" s="10"/>
      <c r="O7732" s="10"/>
      <c r="P7732" s="10" t="s">
        <v>36520</v>
      </c>
      <c r="Q7732" s="10">
        <v>707.1</v>
      </c>
      <c r="R7732" s="10"/>
      <c r="S7732" s="10" t="s">
        <v>53</v>
      </c>
      <c r="T7732" s="10" t="s">
        <v>6384</v>
      </c>
    </row>
    <row r="7733" spans="1:20" ht="14.5" x14ac:dyDescent="0.35">
      <c r="A7733" s="10" t="s">
        <v>36521</v>
      </c>
      <c r="B7733" s="10" t="str">
        <f>"9780262017947"</f>
        <v>9780262017947</v>
      </c>
      <c r="C7733" s="10" t="str">
        <f>"9780262305624"</f>
        <v>9780262305624</v>
      </c>
      <c r="D7733" s="10" t="s">
        <v>36415</v>
      </c>
      <c r="E7733" s="10" t="s">
        <v>36415</v>
      </c>
      <c r="F7733" s="10" t="s">
        <v>612</v>
      </c>
      <c r="G7733" s="10" t="s">
        <v>6317</v>
      </c>
      <c r="H7733" s="11">
        <v>41166</v>
      </c>
      <c r="I7733" s="10">
        <v>2012</v>
      </c>
      <c r="J7733" s="10" t="s">
        <v>36415</v>
      </c>
      <c r="K7733" s="10">
        <v>226</v>
      </c>
      <c r="L7733" s="10" t="s">
        <v>36522</v>
      </c>
      <c r="M7733" s="10">
        <v>1</v>
      </c>
      <c r="N7733" s="10"/>
      <c r="O7733" s="10"/>
      <c r="P7733" s="10"/>
      <c r="Q7733" s="10">
        <v>507.1</v>
      </c>
      <c r="R7733" s="10" t="s">
        <v>36523</v>
      </c>
      <c r="S7733" s="10" t="s">
        <v>53</v>
      </c>
      <c r="T7733" s="10" t="s">
        <v>21206</v>
      </c>
    </row>
    <row r="7734" spans="1:20" ht="14.5" x14ac:dyDescent="0.35">
      <c r="A7734" s="10" t="s">
        <v>36524</v>
      </c>
      <c r="B7734" s="10" t="str">
        <f>"9780262018395"</f>
        <v>9780262018395</v>
      </c>
      <c r="C7734" s="10" t="str">
        <f>"9780262305754"</f>
        <v>9780262305754</v>
      </c>
      <c r="D7734" s="10" t="s">
        <v>36415</v>
      </c>
      <c r="E7734" s="10" t="s">
        <v>36415</v>
      </c>
      <c r="F7734" s="10" t="s">
        <v>612</v>
      </c>
      <c r="G7734" s="10" t="s">
        <v>6317</v>
      </c>
      <c r="H7734" s="11">
        <v>41201</v>
      </c>
      <c r="I7734" s="10">
        <v>2012</v>
      </c>
      <c r="J7734" s="10" t="s">
        <v>36415</v>
      </c>
      <c r="K7734" s="10">
        <v>273</v>
      </c>
      <c r="L7734" s="10" t="s">
        <v>36525</v>
      </c>
      <c r="M7734" s="10">
        <v>1</v>
      </c>
      <c r="N7734" s="10" t="s">
        <v>36417</v>
      </c>
      <c r="O7734" s="10"/>
      <c r="P7734" s="10" t="s">
        <v>36526</v>
      </c>
      <c r="Q7734" s="10">
        <v>1.2</v>
      </c>
      <c r="R7734" s="10" t="s">
        <v>36527</v>
      </c>
      <c r="S7734" s="10" t="s">
        <v>53</v>
      </c>
      <c r="T7734" s="10" t="s">
        <v>6601</v>
      </c>
    </row>
    <row r="7735" spans="1:20" ht="14.5" x14ac:dyDescent="0.35">
      <c r="A7735" s="10" t="s">
        <v>36528</v>
      </c>
      <c r="B7735" s="10" t="str">
        <f>"9780262113236"</f>
        <v>9780262113236</v>
      </c>
      <c r="C7735" s="10" t="str">
        <f>"9780262289535"</f>
        <v>9780262289535</v>
      </c>
      <c r="D7735" s="10" t="s">
        <v>36415</v>
      </c>
      <c r="E7735" s="10" t="s">
        <v>36415</v>
      </c>
      <c r="F7735" s="10" t="s">
        <v>612</v>
      </c>
      <c r="G7735" s="10" t="s">
        <v>6317</v>
      </c>
      <c r="H7735" s="11">
        <v>40403</v>
      </c>
      <c r="I7735" s="10">
        <v>2010</v>
      </c>
      <c r="J7735" s="10" t="s">
        <v>36415</v>
      </c>
      <c r="K7735" s="10">
        <v>218</v>
      </c>
      <c r="L7735" s="10" t="s">
        <v>36529</v>
      </c>
      <c r="M7735" s="10">
        <v>1</v>
      </c>
      <c r="N7735" s="10" t="s">
        <v>36417</v>
      </c>
      <c r="O7735" s="10"/>
      <c r="P7735" s="10" t="s">
        <v>36530</v>
      </c>
      <c r="Q7735" s="10" t="s">
        <v>34903</v>
      </c>
      <c r="R7735" s="10" t="s">
        <v>36531</v>
      </c>
      <c r="S7735" s="10" t="s">
        <v>53</v>
      </c>
      <c r="T7735" s="10" t="s">
        <v>22084</v>
      </c>
    </row>
    <row r="7736" spans="1:20" ht="14.5" x14ac:dyDescent="0.35">
      <c r="A7736" s="10" t="s">
        <v>36532</v>
      </c>
      <c r="B7736" s="10" t="str">
        <f>"9780262019132"</f>
        <v>9780262019132</v>
      </c>
      <c r="C7736" s="10" t="str">
        <f>"9780262314367"</f>
        <v>9780262314367</v>
      </c>
      <c r="D7736" s="10" t="s">
        <v>36415</v>
      </c>
      <c r="E7736" s="10" t="s">
        <v>36415</v>
      </c>
      <c r="F7736" s="10" t="s">
        <v>612</v>
      </c>
      <c r="G7736" s="10" t="s">
        <v>6317</v>
      </c>
      <c r="H7736" s="11">
        <v>41355</v>
      </c>
      <c r="I7736" s="10">
        <v>2013</v>
      </c>
      <c r="J7736" s="10" t="s">
        <v>36415</v>
      </c>
      <c r="K7736" s="10">
        <v>148</v>
      </c>
      <c r="L7736" s="10" t="s">
        <v>36533</v>
      </c>
      <c r="M7736" s="10">
        <v>1</v>
      </c>
      <c r="N7736" s="10" t="s">
        <v>36534</v>
      </c>
      <c r="O7736" s="10"/>
      <c r="P7736" s="10"/>
      <c r="Q7736" s="10">
        <v>372.21097300000002</v>
      </c>
      <c r="R7736" s="10" t="s">
        <v>36535</v>
      </c>
      <c r="S7736" s="10" t="s">
        <v>53</v>
      </c>
      <c r="T7736" s="10" t="s">
        <v>54</v>
      </c>
    </row>
    <row r="7737" spans="1:20" ht="14.5" x14ac:dyDescent="0.35">
      <c r="A7737" s="10" t="s">
        <v>36536</v>
      </c>
      <c r="B7737" s="10" t="str">
        <f>"9780262019934"</f>
        <v>9780262019934</v>
      </c>
      <c r="C7737" s="10" t="str">
        <f>"9780262317849"</f>
        <v>9780262317849</v>
      </c>
      <c r="D7737" s="10" t="s">
        <v>36415</v>
      </c>
      <c r="E7737" s="10" t="s">
        <v>36415</v>
      </c>
      <c r="F7737" s="10" t="s">
        <v>612</v>
      </c>
      <c r="G7737" s="10" t="s">
        <v>6317</v>
      </c>
      <c r="H7737" s="11">
        <v>41558</v>
      </c>
      <c r="I7737" s="10">
        <v>2013</v>
      </c>
      <c r="J7737" s="10" t="s">
        <v>36415</v>
      </c>
      <c r="K7737" s="10">
        <v>210</v>
      </c>
      <c r="L7737" s="10" t="s">
        <v>36537</v>
      </c>
      <c r="M7737" s="10">
        <v>1</v>
      </c>
      <c r="N7737" s="10" t="s">
        <v>36498</v>
      </c>
      <c r="O7737" s="10"/>
      <c r="P7737" s="10"/>
      <c r="Q7737" s="10">
        <v>794.8</v>
      </c>
      <c r="R7737" s="10" t="s">
        <v>36538</v>
      </c>
      <c r="S7737" s="10" t="s">
        <v>53</v>
      </c>
      <c r="T7737" s="10" t="s">
        <v>7340</v>
      </c>
    </row>
    <row r="7738" spans="1:20" ht="14.5" x14ac:dyDescent="0.35">
      <c r="A7738" s="10" t="s">
        <v>36539</v>
      </c>
      <c r="B7738" s="10" t="str">
        <f>"9780262027113"</f>
        <v>9780262027113</v>
      </c>
      <c r="C7738" s="10" t="str">
        <f>"9780262321570"</f>
        <v>9780262321570</v>
      </c>
      <c r="D7738" s="10" t="s">
        <v>36415</v>
      </c>
      <c r="E7738" s="10" t="s">
        <v>36415</v>
      </c>
      <c r="F7738" s="10" t="s">
        <v>612</v>
      </c>
      <c r="G7738" s="10" t="s">
        <v>6317</v>
      </c>
      <c r="H7738" s="11">
        <v>41698</v>
      </c>
      <c r="I7738" s="10">
        <v>2014</v>
      </c>
      <c r="J7738" s="10" t="s">
        <v>36415</v>
      </c>
      <c r="K7738" s="10">
        <v>249</v>
      </c>
      <c r="L7738" s="10" t="s">
        <v>36540</v>
      </c>
      <c r="M7738" s="10">
        <v>1</v>
      </c>
      <c r="N7738" s="10"/>
      <c r="O7738" s="10"/>
      <c r="P7738" s="10"/>
      <c r="Q7738" s="10">
        <v>727.30972999999994</v>
      </c>
      <c r="R7738" s="10"/>
      <c r="S7738" s="10" t="s">
        <v>53</v>
      </c>
      <c r="T7738" s="10" t="s">
        <v>2769</v>
      </c>
    </row>
    <row r="7739" spans="1:20" ht="14.5" x14ac:dyDescent="0.35">
      <c r="A7739" s="10" t="s">
        <v>36541</v>
      </c>
      <c r="B7739" s="10" t="str">
        <f>"9780262027380"</f>
        <v>9780262027380</v>
      </c>
      <c r="C7739" s="10" t="str">
        <f>"9780262323253"</f>
        <v>9780262323253</v>
      </c>
      <c r="D7739" s="10" t="s">
        <v>36415</v>
      </c>
      <c r="E7739" s="10" t="s">
        <v>36415</v>
      </c>
      <c r="F7739" s="10" t="s">
        <v>612</v>
      </c>
      <c r="G7739" s="10" t="s">
        <v>6317</v>
      </c>
      <c r="H7739" s="11">
        <v>41754</v>
      </c>
      <c r="I7739" s="10">
        <v>2014</v>
      </c>
      <c r="J7739" s="10" t="s">
        <v>36415</v>
      </c>
      <c r="K7739" s="10">
        <v>315</v>
      </c>
      <c r="L7739" s="10" t="s">
        <v>36542</v>
      </c>
      <c r="M7739" s="10">
        <v>1</v>
      </c>
      <c r="N7739" s="10"/>
      <c r="O7739" s="10"/>
      <c r="P7739" s="10"/>
      <c r="Q7739" s="10" t="s">
        <v>14582</v>
      </c>
      <c r="R7739" s="10" t="s">
        <v>36543</v>
      </c>
      <c r="S7739" s="10" t="s">
        <v>53</v>
      </c>
      <c r="T7739" s="10" t="s">
        <v>54</v>
      </c>
    </row>
    <row r="7740" spans="1:20" ht="14.5" x14ac:dyDescent="0.35">
      <c r="A7740" s="10" t="s">
        <v>36544</v>
      </c>
      <c r="B7740" s="10" t="str">
        <f>"9780262527132"</f>
        <v>9780262527132</v>
      </c>
      <c r="C7740" s="10" t="str">
        <f>"9780262328753"</f>
        <v>9780262328753</v>
      </c>
      <c r="D7740" s="10" t="s">
        <v>36415</v>
      </c>
      <c r="E7740" s="10" t="s">
        <v>36415</v>
      </c>
      <c r="F7740" s="10" t="s">
        <v>612</v>
      </c>
      <c r="G7740" s="10" t="s">
        <v>6317</v>
      </c>
      <c r="H7740" s="11">
        <v>42069</v>
      </c>
      <c r="I7740" s="10">
        <v>2015</v>
      </c>
      <c r="J7740" s="10" t="s">
        <v>36415</v>
      </c>
      <c r="K7740" s="10">
        <v>257</v>
      </c>
      <c r="L7740" s="10" t="s">
        <v>36545</v>
      </c>
      <c r="M7740" s="10">
        <v>1</v>
      </c>
      <c r="N7740" s="10" t="s">
        <v>36417</v>
      </c>
      <c r="O7740" s="10"/>
      <c r="P7740" s="10"/>
      <c r="Q7740" s="10" t="s">
        <v>17825</v>
      </c>
      <c r="R7740" s="10" t="s">
        <v>33252</v>
      </c>
      <c r="S7740" s="10" t="s">
        <v>53</v>
      </c>
      <c r="T7740" s="10" t="s">
        <v>54</v>
      </c>
    </row>
    <row r="7741" spans="1:20" ht="14.5" x14ac:dyDescent="0.35">
      <c r="A7741" s="10" t="s">
        <v>36546</v>
      </c>
      <c r="B7741" s="10" t="str">
        <f>"9780309082785"</f>
        <v>9780309082785</v>
      </c>
      <c r="C7741" s="10" t="str">
        <f>"9780309508780"</f>
        <v>9780309508780</v>
      </c>
      <c r="D7741" s="10" t="s">
        <v>36547</v>
      </c>
      <c r="E7741" s="10" t="s">
        <v>36547</v>
      </c>
      <c r="F7741" s="10" t="s">
        <v>36548</v>
      </c>
      <c r="G7741" s="10" t="s">
        <v>6317</v>
      </c>
      <c r="H7741" s="11">
        <v>37296</v>
      </c>
      <c r="I7741" s="10">
        <v>2002</v>
      </c>
      <c r="J7741" s="10" t="s">
        <v>36547</v>
      </c>
      <c r="K7741" s="10">
        <v>110</v>
      </c>
      <c r="L7741" s="10" t="s">
        <v>36549</v>
      </c>
      <c r="M7741" s="10">
        <v>1</v>
      </c>
      <c r="N7741" s="10"/>
      <c r="O7741" s="10"/>
      <c r="P7741" s="10" t="s">
        <v>36550</v>
      </c>
      <c r="Q7741" s="10">
        <v>378.00285000000002</v>
      </c>
      <c r="R7741" s="10" t="s">
        <v>36551</v>
      </c>
      <c r="S7741" s="10" t="s">
        <v>53</v>
      </c>
      <c r="T7741" s="10" t="s">
        <v>54</v>
      </c>
    </row>
    <row r="7742" spans="1:20" ht="14.5" x14ac:dyDescent="0.35">
      <c r="A7742" s="10" t="s">
        <v>36552</v>
      </c>
      <c r="B7742" s="10" t="str">
        <f>"9780309082914"</f>
        <v>9780309082914</v>
      </c>
      <c r="C7742" s="10" t="str">
        <f>"9780309509534"</f>
        <v>9780309509534</v>
      </c>
      <c r="D7742" s="10" t="s">
        <v>36547</v>
      </c>
      <c r="E7742" s="10" t="s">
        <v>36547</v>
      </c>
      <c r="F7742" s="10" t="s">
        <v>36548</v>
      </c>
      <c r="G7742" s="10" t="s">
        <v>6317</v>
      </c>
      <c r="H7742" s="11">
        <v>37374</v>
      </c>
      <c r="I7742" s="10">
        <v>2002</v>
      </c>
      <c r="J7742" s="10" t="s">
        <v>36547</v>
      </c>
      <c r="K7742" s="10">
        <v>204</v>
      </c>
      <c r="L7742" s="10" t="s">
        <v>36553</v>
      </c>
      <c r="M7742" s="10">
        <v>1</v>
      </c>
      <c r="N7742" s="10"/>
      <c r="O7742" s="10"/>
      <c r="P7742" s="10" t="s">
        <v>36554</v>
      </c>
      <c r="Q7742" s="10" t="s">
        <v>7147</v>
      </c>
      <c r="R7742" s="10" t="s">
        <v>36555</v>
      </c>
      <c r="S7742" s="10" t="s">
        <v>53</v>
      </c>
      <c r="T7742" s="10" t="s">
        <v>54</v>
      </c>
    </row>
    <row r="7743" spans="1:20" ht="14.5" x14ac:dyDescent="0.35">
      <c r="A7743" s="10" t="s">
        <v>36556</v>
      </c>
      <c r="B7743" s="10" t="str">
        <f>"9780309074391"</f>
        <v>9780309074391</v>
      </c>
      <c r="C7743" s="10" t="str">
        <f>"9780309512237"</f>
        <v>9780309512237</v>
      </c>
      <c r="D7743" s="10" t="s">
        <v>36547</v>
      </c>
      <c r="E7743" s="10" t="s">
        <v>36547</v>
      </c>
      <c r="F7743" s="10" t="s">
        <v>36548</v>
      </c>
      <c r="G7743" s="10" t="s">
        <v>6317</v>
      </c>
      <c r="H7743" s="11">
        <v>37529</v>
      </c>
      <c r="I7743" s="10">
        <v>2002</v>
      </c>
      <c r="J7743" s="10" t="s">
        <v>36547</v>
      </c>
      <c r="K7743" s="10">
        <v>496</v>
      </c>
      <c r="L7743" s="10" t="s">
        <v>36557</v>
      </c>
      <c r="M7743" s="10">
        <v>1</v>
      </c>
      <c r="N7743" s="10"/>
      <c r="O7743" s="10"/>
      <c r="P7743" s="10" t="s">
        <v>36558</v>
      </c>
      <c r="Q7743" s="10" t="s">
        <v>30189</v>
      </c>
      <c r="R7743" s="10" t="s">
        <v>36559</v>
      </c>
      <c r="S7743" s="10" t="s">
        <v>53</v>
      </c>
      <c r="T7743" s="10" t="s">
        <v>54</v>
      </c>
    </row>
    <row r="7744" spans="1:20" ht="14.5" x14ac:dyDescent="0.35">
      <c r="A7744" s="10" t="s">
        <v>36560</v>
      </c>
      <c r="B7744" s="10" t="str">
        <f>"9780309083331"</f>
        <v>9780309083331</v>
      </c>
      <c r="C7744" s="10" t="str">
        <f>"9780309506885"</f>
        <v>9780309506885</v>
      </c>
      <c r="D7744" s="10" t="s">
        <v>36547</v>
      </c>
      <c r="E7744" s="10" t="s">
        <v>36547</v>
      </c>
      <c r="F7744" s="10" t="s">
        <v>36548</v>
      </c>
      <c r="G7744" s="10" t="s">
        <v>6317</v>
      </c>
      <c r="H7744" s="11">
        <v>37421</v>
      </c>
      <c r="I7744" s="10">
        <v>2002</v>
      </c>
      <c r="J7744" s="10" t="s">
        <v>36547</v>
      </c>
      <c r="K7744" s="10">
        <v>384</v>
      </c>
      <c r="L7744" s="10" t="s">
        <v>36561</v>
      </c>
      <c r="M7744" s="10">
        <v>1</v>
      </c>
      <c r="N7744" s="10"/>
      <c r="O7744" s="10"/>
      <c r="P7744" s="10" t="s">
        <v>36562</v>
      </c>
      <c r="Q7744" s="10" t="s">
        <v>7147</v>
      </c>
      <c r="R7744" s="10" t="s">
        <v>36563</v>
      </c>
      <c r="S7744" s="10" t="s">
        <v>53</v>
      </c>
      <c r="T7744" s="10" t="s">
        <v>54</v>
      </c>
    </row>
    <row r="7745" spans="1:20" ht="14.5" x14ac:dyDescent="0.35">
      <c r="A7745" s="10" t="s">
        <v>36564</v>
      </c>
      <c r="B7745" s="10" t="str">
        <f>"9780309074407"</f>
        <v>9780309074407</v>
      </c>
      <c r="C7745" s="10" t="str">
        <f>"9780309512206"</f>
        <v>9780309512206</v>
      </c>
      <c r="D7745" s="10" t="s">
        <v>36547</v>
      </c>
      <c r="E7745" s="10" t="s">
        <v>36547</v>
      </c>
      <c r="F7745" s="10" t="s">
        <v>36548</v>
      </c>
      <c r="G7745" s="10" t="s">
        <v>6317</v>
      </c>
      <c r="H7745" s="11">
        <v>37505</v>
      </c>
      <c r="I7745" s="10">
        <v>2002</v>
      </c>
      <c r="J7745" s="10" t="s">
        <v>36547</v>
      </c>
      <c r="K7745" s="10">
        <v>587</v>
      </c>
      <c r="L7745" s="10" t="s">
        <v>36565</v>
      </c>
      <c r="M7745" s="10">
        <v>1</v>
      </c>
      <c r="N7745" s="10"/>
      <c r="O7745" s="10"/>
      <c r="P7745" s="10" t="s">
        <v>36566</v>
      </c>
      <c r="Q7745" s="10" t="s">
        <v>36567</v>
      </c>
      <c r="R7745" s="10" t="s">
        <v>36568</v>
      </c>
      <c r="S7745" s="10" t="s">
        <v>53</v>
      </c>
      <c r="T7745" s="10" t="s">
        <v>36569</v>
      </c>
    </row>
    <row r="7746" spans="1:20" ht="14.5" x14ac:dyDescent="0.35">
      <c r="A7746" s="10" t="s">
        <v>36570</v>
      </c>
      <c r="B7746" s="10" t="str">
        <f>"9780309083034"</f>
        <v>9780309083034</v>
      </c>
      <c r="C7746" s="10" t="str">
        <f>"9780309509503"</f>
        <v>9780309509503</v>
      </c>
      <c r="D7746" s="10" t="s">
        <v>36547</v>
      </c>
      <c r="E7746" s="10" t="s">
        <v>36547</v>
      </c>
      <c r="F7746" s="10" t="s">
        <v>36548</v>
      </c>
      <c r="G7746" s="10" t="s">
        <v>6317</v>
      </c>
      <c r="H7746" s="11">
        <v>37387</v>
      </c>
      <c r="I7746" s="10">
        <v>2002</v>
      </c>
      <c r="J7746" s="10" t="s">
        <v>36547</v>
      </c>
      <c r="K7746" s="10">
        <v>299</v>
      </c>
      <c r="L7746" s="10" t="s">
        <v>36571</v>
      </c>
      <c r="M7746" s="10">
        <v>1</v>
      </c>
      <c r="N7746" s="10"/>
      <c r="O7746" s="10"/>
      <c r="P7746" s="10" t="s">
        <v>36572</v>
      </c>
      <c r="Q7746" s="10" t="s">
        <v>31872</v>
      </c>
      <c r="R7746" s="10" t="s">
        <v>36573</v>
      </c>
      <c r="S7746" s="10" t="s">
        <v>53</v>
      </c>
      <c r="T7746" s="10" t="s">
        <v>54</v>
      </c>
    </row>
    <row r="7747" spans="1:20" ht="14.5" x14ac:dyDescent="0.35">
      <c r="A7747" s="10" t="s">
        <v>36574</v>
      </c>
      <c r="B7747" s="10" t="str">
        <f>"9780309082525"</f>
        <v>9780309082525</v>
      </c>
      <c r="C7747" s="10" t="str">
        <f>"9780309510318"</f>
        <v>9780309510318</v>
      </c>
      <c r="D7747" s="10" t="s">
        <v>36547</v>
      </c>
      <c r="E7747" s="10" t="s">
        <v>36547</v>
      </c>
      <c r="F7747" s="10" t="s">
        <v>36548</v>
      </c>
      <c r="G7747" s="10" t="s">
        <v>6317</v>
      </c>
      <c r="H7747" s="11">
        <v>37477</v>
      </c>
      <c r="I7747" s="10">
        <v>2002</v>
      </c>
      <c r="J7747" s="10" t="s">
        <v>36547</v>
      </c>
      <c r="K7747" s="10">
        <v>272</v>
      </c>
      <c r="L7747" s="10" t="s">
        <v>36575</v>
      </c>
      <c r="M7747" s="10">
        <v>1</v>
      </c>
      <c r="N7747" s="10"/>
      <c r="O7747" s="10"/>
      <c r="P7747" s="10" t="s">
        <v>36576</v>
      </c>
      <c r="Q7747" s="10" t="s">
        <v>36577</v>
      </c>
      <c r="R7747" s="10" t="s">
        <v>36578</v>
      </c>
      <c r="S7747" s="10" t="s">
        <v>53</v>
      </c>
      <c r="T7747" s="10" t="s">
        <v>6448</v>
      </c>
    </row>
    <row r="7748" spans="1:20" ht="14.5" x14ac:dyDescent="0.35">
      <c r="A7748" s="10" t="s">
        <v>36579</v>
      </c>
      <c r="B7748" s="10" t="str">
        <f>"9780309072724"</f>
        <v>9780309072724</v>
      </c>
      <c r="C7748" s="10" t="str">
        <f>"9780309512381"</f>
        <v>9780309512381</v>
      </c>
      <c r="D7748" s="10" t="s">
        <v>36547</v>
      </c>
      <c r="E7748" s="10" t="s">
        <v>36547</v>
      </c>
      <c r="F7748" s="10" t="s">
        <v>36548</v>
      </c>
      <c r="G7748" s="10" t="s">
        <v>6317</v>
      </c>
      <c r="H7748" s="11">
        <v>37191</v>
      </c>
      <c r="I7748" s="10">
        <v>2001</v>
      </c>
      <c r="J7748" s="10" t="s">
        <v>36547</v>
      </c>
      <c r="K7748" s="10">
        <v>382</v>
      </c>
      <c r="L7748" s="10" t="s">
        <v>36580</v>
      </c>
      <c r="M7748" s="10">
        <v>1</v>
      </c>
      <c r="N7748" s="10"/>
      <c r="O7748" s="10"/>
      <c r="P7748" s="10" t="s">
        <v>36581</v>
      </c>
      <c r="Q7748" s="10" t="s">
        <v>8787</v>
      </c>
      <c r="R7748" s="10" t="s">
        <v>36582</v>
      </c>
      <c r="S7748" s="10" t="s">
        <v>53</v>
      </c>
      <c r="T7748" s="10" t="s">
        <v>54</v>
      </c>
    </row>
    <row r="7749" spans="1:20" ht="14.5" x14ac:dyDescent="0.35">
      <c r="A7749" s="10" t="s">
        <v>36583</v>
      </c>
      <c r="B7749" s="10" t="str">
        <f>"9780309074209"</f>
        <v>9780309074209</v>
      </c>
      <c r="C7749" s="10" t="str">
        <f>"9780309512961"</f>
        <v>9780309512961</v>
      </c>
      <c r="D7749" s="10" t="s">
        <v>36547</v>
      </c>
      <c r="E7749" s="10" t="s">
        <v>36547</v>
      </c>
      <c r="F7749" s="10" t="s">
        <v>36548</v>
      </c>
      <c r="G7749" s="10" t="s">
        <v>6317</v>
      </c>
      <c r="H7749" s="11">
        <v>37214</v>
      </c>
      <c r="I7749" s="10">
        <v>2001</v>
      </c>
      <c r="J7749" s="10" t="s">
        <v>36547</v>
      </c>
      <c r="K7749" s="10">
        <v>471</v>
      </c>
      <c r="L7749" s="10" t="s">
        <v>36584</v>
      </c>
      <c r="M7749" s="10">
        <v>1</v>
      </c>
      <c r="N7749" s="10"/>
      <c r="O7749" s="10"/>
      <c r="P7749" s="10" t="s">
        <v>36585</v>
      </c>
      <c r="Q7749" s="10">
        <v>371.12</v>
      </c>
      <c r="R7749" s="10" t="s">
        <v>36586</v>
      </c>
      <c r="S7749" s="10" t="s">
        <v>53</v>
      </c>
      <c r="T7749" s="10" t="s">
        <v>54</v>
      </c>
    </row>
    <row r="7750" spans="1:20" ht="14.5" x14ac:dyDescent="0.35">
      <c r="A7750" s="10" t="s">
        <v>36587</v>
      </c>
      <c r="B7750" s="10" t="str">
        <f>"9780309082921"</f>
        <v>9780309082921</v>
      </c>
      <c r="C7750" s="10" t="str">
        <f>"9780309506854"</f>
        <v>9780309506854</v>
      </c>
      <c r="D7750" s="10" t="s">
        <v>36547</v>
      </c>
      <c r="E7750" s="10" t="s">
        <v>36547</v>
      </c>
      <c r="F7750" s="10" t="s">
        <v>36548</v>
      </c>
      <c r="G7750" s="10" t="s">
        <v>6317</v>
      </c>
      <c r="H7750" s="11">
        <v>37387</v>
      </c>
      <c r="I7750" s="10">
        <v>2002</v>
      </c>
      <c r="J7750" s="10" t="s">
        <v>36547</v>
      </c>
      <c r="K7750" s="10">
        <v>216</v>
      </c>
      <c r="L7750" s="10" t="s">
        <v>36588</v>
      </c>
      <c r="M7750" s="10">
        <v>1</v>
      </c>
      <c r="N7750" s="10"/>
      <c r="O7750" s="10"/>
      <c r="P7750" s="10" t="s">
        <v>36589</v>
      </c>
      <c r="Q7750" s="10" t="s">
        <v>16754</v>
      </c>
      <c r="R7750" s="10" t="s">
        <v>36590</v>
      </c>
      <c r="S7750" s="10" t="s">
        <v>53</v>
      </c>
      <c r="T7750" s="10" t="s">
        <v>14975</v>
      </c>
    </row>
    <row r="7751" spans="1:20" ht="14.5" x14ac:dyDescent="0.35">
      <c r="A7751" s="10" t="s">
        <v>36591</v>
      </c>
      <c r="B7751" s="10" t="str">
        <f>"9780309072694"</f>
        <v>9780309072694</v>
      </c>
      <c r="C7751" s="10" t="str">
        <f>"9780309512787"</f>
        <v>9780309512787</v>
      </c>
      <c r="D7751" s="10" t="s">
        <v>36547</v>
      </c>
      <c r="E7751" s="10" t="s">
        <v>36547</v>
      </c>
      <c r="F7751" s="10" t="s">
        <v>36548</v>
      </c>
      <c r="G7751" s="10" t="s">
        <v>6317</v>
      </c>
      <c r="H7751" s="11">
        <v>37175</v>
      </c>
      <c r="I7751" s="10">
        <v>2001</v>
      </c>
      <c r="J7751" s="10" t="s">
        <v>36547</v>
      </c>
      <c r="K7751" s="10">
        <v>324</v>
      </c>
      <c r="L7751" s="10" t="s">
        <v>36592</v>
      </c>
      <c r="M7751" s="10">
        <v>1</v>
      </c>
      <c r="N7751" s="10"/>
      <c r="O7751" s="10"/>
      <c r="P7751" s="10" t="s">
        <v>36593</v>
      </c>
      <c r="Q7751" s="10">
        <v>371.94</v>
      </c>
      <c r="R7751" s="10" t="s">
        <v>36594</v>
      </c>
      <c r="S7751" s="10" t="s">
        <v>53</v>
      </c>
      <c r="T7751" s="10" t="s">
        <v>54</v>
      </c>
    </row>
    <row r="7752" spans="1:20" ht="14.5" x14ac:dyDescent="0.35">
      <c r="A7752" s="10" t="s">
        <v>36595</v>
      </c>
      <c r="B7752" s="10" t="str">
        <f>"9780309084727"</f>
        <v>9780309084727</v>
      </c>
      <c r="C7752" s="10" t="str">
        <f>"9780309500067"</f>
        <v>9780309500067</v>
      </c>
      <c r="D7752" s="10" t="s">
        <v>36547</v>
      </c>
      <c r="E7752" s="10" t="s">
        <v>36547</v>
      </c>
      <c r="F7752" s="10" t="s">
        <v>36548</v>
      </c>
      <c r="G7752" s="10" t="s">
        <v>6317</v>
      </c>
      <c r="H7752" s="11">
        <v>37535</v>
      </c>
      <c r="I7752" s="10">
        <v>2002</v>
      </c>
      <c r="J7752" s="10" t="s">
        <v>36547</v>
      </c>
      <c r="K7752" s="10">
        <v>102</v>
      </c>
      <c r="L7752" s="10" t="s">
        <v>36596</v>
      </c>
      <c r="M7752" s="10">
        <v>1</v>
      </c>
      <c r="N7752" s="10"/>
      <c r="O7752" s="10"/>
      <c r="P7752" s="10" t="s">
        <v>36597</v>
      </c>
      <c r="Q7752" s="10"/>
      <c r="R7752" s="10" t="s">
        <v>36598</v>
      </c>
      <c r="S7752" s="10" t="s">
        <v>53</v>
      </c>
      <c r="T7752" s="10" t="s">
        <v>54</v>
      </c>
    </row>
    <row r="7753" spans="1:20" ht="14.5" x14ac:dyDescent="0.35">
      <c r="A7753" s="10" t="s">
        <v>36599</v>
      </c>
      <c r="B7753" s="10" t="str">
        <f>"9780309067843"</f>
        <v>9780309067843</v>
      </c>
      <c r="C7753" s="10" t="str">
        <f>"9780309514057"</f>
        <v>9780309514057</v>
      </c>
      <c r="D7753" s="10" t="s">
        <v>36547</v>
      </c>
      <c r="E7753" s="10" t="s">
        <v>36547</v>
      </c>
      <c r="F7753" s="10" t="s">
        <v>36548</v>
      </c>
      <c r="G7753" s="10" t="s">
        <v>6317</v>
      </c>
      <c r="H7753" s="11">
        <v>36511</v>
      </c>
      <c r="I7753" s="10">
        <v>1999</v>
      </c>
      <c r="J7753" s="10" t="s">
        <v>36547</v>
      </c>
      <c r="K7753" s="10">
        <v>60</v>
      </c>
      <c r="L7753" s="10"/>
      <c r="M7753" s="10">
        <v>1</v>
      </c>
      <c r="N7753" s="10"/>
      <c r="O7753" s="10"/>
      <c r="P7753" s="10" t="s">
        <v>36600</v>
      </c>
      <c r="Q7753" s="10" t="s">
        <v>34309</v>
      </c>
      <c r="R7753" s="10" t="s">
        <v>36601</v>
      </c>
      <c r="S7753" s="10" t="s">
        <v>53</v>
      </c>
      <c r="T7753" s="10" t="s">
        <v>36602</v>
      </c>
    </row>
    <row r="7754" spans="1:20" ht="14.5" x14ac:dyDescent="0.35">
      <c r="A7754" s="10" t="s">
        <v>36603</v>
      </c>
      <c r="B7754" s="10" t="str">
        <f>"9780309084130"</f>
        <v>9780309084130</v>
      </c>
      <c r="C7754" s="10" t="str">
        <f>"9780309504850"</f>
        <v>9780309504850</v>
      </c>
      <c r="D7754" s="10" t="s">
        <v>36547</v>
      </c>
      <c r="E7754" s="10" t="s">
        <v>36547</v>
      </c>
      <c r="F7754" s="10" t="s">
        <v>36548</v>
      </c>
      <c r="G7754" s="10" t="s">
        <v>6317</v>
      </c>
      <c r="H7754" s="11">
        <v>37410</v>
      </c>
      <c r="I7754" s="10">
        <v>2002</v>
      </c>
      <c r="J7754" s="10" t="s">
        <v>36547</v>
      </c>
      <c r="K7754" s="10">
        <v>83</v>
      </c>
      <c r="L7754" s="10" t="s">
        <v>36604</v>
      </c>
      <c r="M7754" s="10">
        <v>1</v>
      </c>
      <c r="N7754" s="10"/>
      <c r="O7754" s="10"/>
      <c r="P7754" s="10" t="s">
        <v>36605</v>
      </c>
      <c r="Q7754" s="10"/>
      <c r="R7754" s="10" t="s">
        <v>36606</v>
      </c>
      <c r="S7754" s="10" t="s">
        <v>53</v>
      </c>
      <c r="T7754" s="10" t="s">
        <v>54</v>
      </c>
    </row>
    <row r="7755" spans="1:20" ht="14.5" x14ac:dyDescent="0.35">
      <c r="A7755" s="10" t="s">
        <v>36607</v>
      </c>
      <c r="B7755" s="10" t="str">
        <f>"9780309067805"</f>
        <v>9780309067805</v>
      </c>
      <c r="C7755" s="10" t="str">
        <f>"9780309514200"</f>
        <v>9780309514200</v>
      </c>
      <c r="D7755" s="10" t="s">
        <v>36547</v>
      </c>
      <c r="E7755" s="10" t="s">
        <v>36547</v>
      </c>
      <c r="F7755" s="10" t="s">
        <v>36548</v>
      </c>
      <c r="G7755" s="10" t="s">
        <v>6317</v>
      </c>
      <c r="H7755" s="11">
        <v>36192</v>
      </c>
      <c r="I7755" s="10">
        <v>1999</v>
      </c>
      <c r="J7755" s="10" t="s">
        <v>36547</v>
      </c>
      <c r="K7755" s="10">
        <v>456</v>
      </c>
      <c r="L7755" s="10"/>
      <c r="M7755" s="10">
        <v>1</v>
      </c>
      <c r="N7755" s="10"/>
      <c r="O7755" s="10"/>
      <c r="P7755" s="10" t="s">
        <v>36608</v>
      </c>
      <c r="Q7755" s="10" t="s">
        <v>8391</v>
      </c>
      <c r="R7755" s="10" t="s">
        <v>36609</v>
      </c>
      <c r="S7755" s="10" t="s">
        <v>53</v>
      </c>
      <c r="T7755" s="10" t="s">
        <v>389</v>
      </c>
    </row>
    <row r="7756" spans="1:20" ht="14.5" x14ac:dyDescent="0.35">
      <c r="A7756" s="10" t="s">
        <v>36610</v>
      </c>
      <c r="B7756" s="10" t="str">
        <f>"9780309084277"</f>
        <v>9780309084277</v>
      </c>
      <c r="C7756" s="10" t="str">
        <f>"9780309504911"</f>
        <v>9780309504911</v>
      </c>
      <c r="D7756" s="10" t="s">
        <v>36547</v>
      </c>
      <c r="E7756" s="10" t="s">
        <v>36547</v>
      </c>
      <c r="F7756" s="10" t="s">
        <v>36548</v>
      </c>
      <c r="G7756" s="10" t="s">
        <v>6317</v>
      </c>
      <c r="H7756" s="11">
        <v>37500</v>
      </c>
      <c r="I7756" s="10">
        <v>2002</v>
      </c>
      <c r="J7756" s="10" t="s">
        <v>36547</v>
      </c>
      <c r="K7756" s="10">
        <v>108</v>
      </c>
      <c r="L7756" s="10"/>
      <c r="M7756" s="10">
        <v>1</v>
      </c>
      <c r="N7756" s="10"/>
      <c r="O7756" s="10"/>
      <c r="P7756" s="10" t="s">
        <v>36611</v>
      </c>
      <c r="Q7756" s="10"/>
      <c r="R7756" s="10" t="s">
        <v>36612</v>
      </c>
      <c r="S7756" s="10" t="s">
        <v>53</v>
      </c>
      <c r="T7756" s="10" t="s">
        <v>5557</v>
      </c>
    </row>
    <row r="7757" spans="1:20" ht="14.5" x14ac:dyDescent="0.35">
      <c r="A7757" s="10" t="s">
        <v>36613</v>
      </c>
      <c r="B7757" s="10" t="str">
        <f>"9780309068369"</f>
        <v>9780309068369</v>
      </c>
      <c r="C7757" s="10" t="str">
        <f>"9780309503891"</f>
        <v>9780309503891</v>
      </c>
      <c r="D7757" s="10" t="s">
        <v>36547</v>
      </c>
      <c r="E7757" s="10" t="s">
        <v>36547</v>
      </c>
      <c r="F7757" s="10" t="s">
        <v>36548</v>
      </c>
      <c r="G7757" s="10" t="s">
        <v>6317</v>
      </c>
      <c r="H7757" s="11">
        <v>36913</v>
      </c>
      <c r="I7757" s="10">
        <v>2001</v>
      </c>
      <c r="J7757" s="10" t="s">
        <v>36547</v>
      </c>
      <c r="K7757" s="10">
        <v>464</v>
      </c>
      <c r="L7757" s="10" t="s">
        <v>36614</v>
      </c>
      <c r="M7757" s="10">
        <v>1</v>
      </c>
      <c r="N7757" s="10"/>
      <c r="O7757" s="10"/>
      <c r="P7757" s="10" t="s">
        <v>36615</v>
      </c>
      <c r="Q7757" s="10" t="s">
        <v>13853</v>
      </c>
      <c r="R7757" s="10" t="s">
        <v>36616</v>
      </c>
      <c r="S7757" s="10" t="s">
        <v>53</v>
      </c>
      <c r="T7757" s="10" t="s">
        <v>54</v>
      </c>
    </row>
    <row r="7758" spans="1:20" ht="14.5" x14ac:dyDescent="0.35">
      <c r="A7758" s="10" t="s">
        <v>36617</v>
      </c>
      <c r="B7758" s="10" t="str">
        <f>"9780309084536"</f>
        <v>9780309084536</v>
      </c>
      <c r="C7758" s="10" t="str">
        <f>"9780309502306"</f>
        <v>9780309502306</v>
      </c>
      <c r="D7758" s="10" t="s">
        <v>36547</v>
      </c>
      <c r="E7758" s="10" t="s">
        <v>36547</v>
      </c>
      <c r="F7758" s="10" t="s">
        <v>36548</v>
      </c>
      <c r="G7758" s="10" t="s">
        <v>6317</v>
      </c>
      <c r="H7758" s="11">
        <v>37469</v>
      </c>
      <c r="I7758" s="10">
        <v>2002</v>
      </c>
      <c r="J7758" s="10" t="s">
        <v>36547</v>
      </c>
      <c r="K7758" s="10">
        <v>132</v>
      </c>
      <c r="L7758" s="10" t="s">
        <v>36618</v>
      </c>
      <c r="M7758" s="10">
        <v>1</v>
      </c>
      <c r="N7758" s="10"/>
      <c r="O7758" s="10"/>
      <c r="P7758" s="10" t="s">
        <v>36619</v>
      </c>
      <c r="Q7758" s="10">
        <v>374</v>
      </c>
      <c r="R7758" s="10" t="s">
        <v>36620</v>
      </c>
      <c r="S7758" s="10" t="s">
        <v>53</v>
      </c>
      <c r="T7758" s="10" t="s">
        <v>54</v>
      </c>
    </row>
    <row r="7759" spans="1:20" ht="14.5" x14ac:dyDescent="0.35">
      <c r="A7759" s="10" t="s">
        <v>36621</v>
      </c>
      <c r="B7759" s="10" t="str">
        <f>"9780309067881"</f>
        <v>9780309067881</v>
      </c>
      <c r="C7759" s="10" t="str">
        <f>"9780309513999"</f>
        <v>9780309513999</v>
      </c>
      <c r="D7759" s="10" t="s">
        <v>36547</v>
      </c>
      <c r="E7759" s="10" t="s">
        <v>36547</v>
      </c>
      <c r="F7759" s="10" t="s">
        <v>36548</v>
      </c>
      <c r="G7759" s="10" t="s">
        <v>6317</v>
      </c>
      <c r="H7759" s="11">
        <v>36511</v>
      </c>
      <c r="I7759" s="10">
        <v>1999</v>
      </c>
      <c r="J7759" s="10" t="s">
        <v>36547</v>
      </c>
      <c r="K7759" s="10">
        <v>109</v>
      </c>
      <c r="L7759" s="10" t="s">
        <v>36622</v>
      </c>
      <c r="M7759" s="10">
        <v>1</v>
      </c>
      <c r="N7759" s="10"/>
      <c r="O7759" s="10"/>
      <c r="P7759" s="10" t="s">
        <v>36623</v>
      </c>
      <c r="Q7759" s="10" t="s">
        <v>36624</v>
      </c>
      <c r="R7759" s="10" t="s">
        <v>36625</v>
      </c>
      <c r="S7759" s="10" t="s">
        <v>53</v>
      </c>
      <c r="T7759" s="10" t="s">
        <v>54</v>
      </c>
    </row>
    <row r="7760" spans="1:20" ht="14.5" x14ac:dyDescent="0.35">
      <c r="A7760" s="10" t="s">
        <v>36626</v>
      </c>
      <c r="B7760" s="10" t="str">
        <f>"9780309068444"</f>
        <v>9780309068444</v>
      </c>
      <c r="C7760" s="10" t="str">
        <f>"9780309515573"</f>
        <v>9780309515573</v>
      </c>
      <c r="D7760" s="10" t="s">
        <v>36547</v>
      </c>
      <c r="E7760" s="10" t="s">
        <v>36547</v>
      </c>
      <c r="F7760" s="10" t="s">
        <v>36548</v>
      </c>
      <c r="G7760" s="10" t="s">
        <v>6317</v>
      </c>
      <c r="H7760" s="11">
        <v>36639</v>
      </c>
      <c r="I7760" s="10">
        <v>2000</v>
      </c>
      <c r="J7760" s="10" t="s">
        <v>36547</v>
      </c>
      <c r="K7760" s="10">
        <v>276</v>
      </c>
      <c r="L7760" s="10" t="s">
        <v>36627</v>
      </c>
      <c r="M7760" s="10">
        <v>1</v>
      </c>
      <c r="N7760" s="10"/>
      <c r="O7760" s="10"/>
      <c r="P7760" s="10" t="s">
        <v>36628</v>
      </c>
      <c r="Q7760" s="10" t="s">
        <v>15417</v>
      </c>
      <c r="R7760" s="10" t="s">
        <v>36629</v>
      </c>
      <c r="S7760" s="10" t="s">
        <v>53</v>
      </c>
      <c r="T7760" s="10" t="s">
        <v>54</v>
      </c>
    </row>
    <row r="7761" spans="1:20" ht="14.5" x14ac:dyDescent="0.35">
      <c r="A7761" s="10" t="s">
        <v>36630</v>
      </c>
      <c r="B7761" s="10" t="str">
        <f>"9780309069465"</f>
        <v>9780309069465</v>
      </c>
      <c r="C7761" s="10" t="str">
        <f>"9780309516181"</f>
        <v>9780309516181</v>
      </c>
      <c r="D7761" s="10" t="s">
        <v>36547</v>
      </c>
      <c r="E7761" s="10" t="s">
        <v>36547</v>
      </c>
      <c r="F7761" s="10" t="s">
        <v>36548</v>
      </c>
      <c r="G7761" s="10" t="s">
        <v>6317</v>
      </c>
      <c r="H7761" s="11">
        <v>36660</v>
      </c>
      <c r="I7761" s="10">
        <v>2000</v>
      </c>
      <c r="J7761" s="10" t="s">
        <v>36547</v>
      </c>
      <c r="K7761" s="10">
        <v>50</v>
      </c>
      <c r="L7761" s="10"/>
      <c r="M7761" s="10">
        <v>1</v>
      </c>
      <c r="N7761" s="10"/>
      <c r="O7761" s="10"/>
      <c r="P7761" s="10" t="s">
        <v>36631</v>
      </c>
      <c r="Q7761" s="10">
        <v>371.12</v>
      </c>
      <c r="R7761" s="10" t="s">
        <v>36586</v>
      </c>
      <c r="S7761" s="10" t="s">
        <v>53</v>
      </c>
      <c r="T7761" s="10" t="s">
        <v>54</v>
      </c>
    </row>
    <row r="7762" spans="1:20" ht="14.5" x14ac:dyDescent="0.35">
      <c r="A7762" s="10" t="s">
        <v>36632</v>
      </c>
      <c r="B7762" s="10" t="str">
        <f>"9780309084314"</f>
        <v>9780309084314</v>
      </c>
      <c r="C7762" s="10" t="str">
        <f>"9780309512633"</f>
        <v>9780309512633</v>
      </c>
      <c r="D7762" s="10" t="s">
        <v>36547</v>
      </c>
      <c r="E7762" s="10" t="s">
        <v>36547</v>
      </c>
      <c r="F7762" s="10" t="s">
        <v>36548</v>
      </c>
      <c r="G7762" s="10" t="s">
        <v>6317</v>
      </c>
      <c r="H7762" s="11">
        <v>37499</v>
      </c>
      <c r="I7762" s="10">
        <v>2002</v>
      </c>
      <c r="J7762" s="10" t="s">
        <v>36547</v>
      </c>
      <c r="K7762" s="10">
        <v>52</v>
      </c>
      <c r="L7762" s="10" t="s">
        <v>36633</v>
      </c>
      <c r="M7762" s="10">
        <v>1</v>
      </c>
      <c r="N7762" s="10"/>
      <c r="O7762" s="10"/>
      <c r="P7762" s="10" t="s">
        <v>36634</v>
      </c>
      <c r="Q7762" s="10">
        <v>372.7</v>
      </c>
      <c r="R7762" s="10" t="s">
        <v>36635</v>
      </c>
      <c r="S7762" s="10" t="s">
        <v>53</v>
      </c>
      <c r="T7762" s="10" t="s">
        <v>6448</v>
      </c>
    </row>
    <row r="7763" spans="1:20" ht="14.5" x14ac:dyDescent="0.35">
      <c r="A7763" s="10" t="s">
        <v>36636</v>
      </c>
      <c r="B7763" s="10" t="str">
        <f>"9780309086400"</f>
        <v>9780309086400</v>
      </c>
      <c r="C7763" s="10" t="str">
        <f>"9780309505277"</f>
        <v>9780309505277</v>
      </c>
      <c r="D7763" s="10" t="s">
        <v>36547</v>
      </c>
      <c r="E7763" s="10" t="s">
        <v>36547</v>
      </c>
      <c r="F7763" s="10" t="s">
        <v>36548</v>
      </c>
      <c r="G7763" s="10" t="s">
        <v>6317</v>
      </c>
      <c r="H7763" s="11">
        <v>37597</v>
      </c>
      <c r="I7763" s="10">
        <v>2002</v>
      </c>
      <c r="J7763" s="10" t="s">
        <v>36547</v>
      </c>
      <c r="K7763" s="10">
        <v>92</v>
      </c>
      <c r="L7763" s="10"/>
      <c r="M7763" s="10">
        <v>1</v>
      </c>
      <c r="N7763" s="10"/>
      <c r="O7763" s="10"/>
      <c r="P7763" s="10" t="s">
        <v>36637</v>
      </c>
      <c r="Q7763" s="10"/>
      <c r="R7763" s="10" t="s">
        <v>36638</v>
      </c>
      <c r="S7763" s="10" t="s">
        <v>53</v>
      </c>
      <c r="T7763" s="10" t="s">
        <v>54</v>
      </c>
    </row>
    <row r="7764" spans="1:20" ht="14.5" x14ac:dyDescent="0.35">
      <c r="A7764" s="10" t="s">
        <v>36639</v>
      </c>
      <c r="B7764" s="10" t="str">
        <f>"9780309068932"</f>
        <v>9780309068932</v>
      </c>
      <c r="C7764" s="10" t="str">
        <f>"9780309515122"</f>
        <v>9780309515122</v>
      </c>
      <c r="D7764" s="10" t="s">
        <v>36547</v>
      </c>
      <c r="E7764" s="10" t="s">
        <v>36547</v>
      </c>
      <c r="F7764" s="10" t="s">
        <v>36548</v>
      </c>
      <c r="G7764" s="10" t="s">
        <v>6317</v>
      </c>
      <c r="H7764" s="11">
        <v>36584</v>
      </c>
      <c r="I7764" s="10">
        <v>2000</v>
      </c>
      <c r="J7764" s="10" t="s">
        <v>36547</v>
      </c>
      <c r="K7764" s="10">
        <v>65</v>
      </c>
      <c r="L7764" s="10" t="s">
        <v>36640</v>
      </c>
      <c r="M7764" s="10">
        <v>1</v>
      </c>
      <c r="N7764" s="10"/>
      <c r="O7764" s="10"/>
      <c r="P7764" s="10" t="s">
        <v>36641</v>
      </c>
      <c r="Q7764" s="10" t="s">
        <v>15417</v>
      </c>
      <c r="R7764" s="10" t="s">
        <v>36642</v>
      </c>
      <c r="S7764" s="10" t="s">
        <v>53</v>
      </c>
      <c r="T7764" s="10" t="s">
        <v>54</v>
      </c>
    </row>
    <row r="7765" spans="1:20" ht="14.5" x14ac:dyDescent="0.35">
      <c r="A7765" s="10" t="s">
        <v>36643</v>
      </c>
      <c r="B7765" s="10" t="str">
        <f>"9780309076029"</f>
        <v>9780309076029</v>
      </c>
      <c r="C7765" s="10" t="str">
        <f>"9780309510646"</f>
        <v>9780309510646</v>
      </c>
      <c r="D7765" s="10" t="s">
        <v>36547</v>
      </c>
      <c r="E7765" s="10" t="s">
        <v>36547</v>
      </c>
      <c r="F7765" s="10" t="s">
        <v>36548</v>
      </c>
      <c r="G7765" s="10" t="s">
        <v>6317</v>
      </c>
      <c r="H7765" s="11">
        <v>37163</v>
      </c>
      <c r="I7765" s="10">
        <v>2001</v>
      </c>
      <c r="J7765" s="10" t="s">
        <v>36547</v>
      </c>
      <c r="K7765" s="10">
        <v>66</v>
      </c>
      <c r="L7765" s="10" t="s">
        <v>36644</v>
      </c>
      <c r="M7765" s="10">
        <v>1</v>
      </c>
      <c r="N7765" s="10"/>
      <c r="O7765" s="10"/>
      <c r="P7765" s="10" t="s">
        <v>36645</v>
      </c>
      <c r="Q7765" s="10"/>
      <c r="R7765" s="10"/>
      <c r="S7765" s="10" t="s">
        <v>53</v>
      </c>
      <c r="T7765" s="10" t="s">
        <v>54</v>
      </c>
    </row>
    <row r="7766" spans="1:20" ht="14.5" x14ac:dyDescent="0.35">
      <c r="A7766" s="10" t="s">
        <v>36646</v>
      </c>
      <c r="B7766" s="10" t="str">
        <f>"9780309069953"</f>
        <v>9780309069953</v>
      </c>
      <c r="C7766" s="10" t="str">
        <f>"9780309505246"</f>
        <v>9780309505246</v>
      </c>
      <c r="D7766" s="10" t="s">
        <v>36547</v>
      </c>
      <c r="E7766" s="10" t="s">
        <v>36547</v>
      </c>
      <c r="F7766" s="10" t="s">
        <v>36548</v>
      </c>
      <c r="G7766" s="10" t="s">
        <v>6317</v>
      </c>
      <c r="H7766" s="11">
        <v>37204</v>
      </c>
      <c r="I7766" s="10">
        <v>2001</v>
      </c>
      <c r="J7766" s="10" t="s">
        <v>36547</v>
      </c>
      <c r="K7766" s="10">
        <v>461</v>
      </c>
      <c r="L7766" s="10" t="s">
        <v>36647</v>
      </c>
      <c r="M7766" s="10">
        <v>1</v>
      </c>
      <c r="N7766" s="10"/>
      <c r="O7766" s="10"/>
      <c r="P7766" s="10" t="s">
        <v>36648</v>
      </c>
      <c r="Q7766" s="10">
        <v>372.7</v>
      </c>
      <c r="R7766" s="10" t="s">
        <v>36649</v>
      </c>
      <c r="S7766" s="10" t="s">
        <v>53</v>
      </c>
      <c r="T7766" s="10" t="s">
        <v>7425</v>
      </c>
    </row>
    <row r="7767" spans="1:20" ht="14.5" x14ac:dyDescent="0.35">
      <c r="A7767" s="10" t="s">
        <v>36650</v>
      </c>
      <c r="B7767" s="10" t="str">
        <f>"9780309070331"</f>
        <v>9780309070331</v>
      </c>
      <c r="C7767" s="10" t="str">
        <f>"9780309501422"</f>
        <v>9780309501422</v>
      </c>
      <c r="D7767" s="10" t="s">
        <v>36547</v>
      </c>
      <c r="E7767" s="10" t="s">
        <v>36547</v>
      </c>
      <c r="F7767" s="10" t="s">
        <v>36548</v>
      </c>
      <c r="G7767" s="10" t="s">
        <v>6317</v>
      </c>
      <c r="H7767" s="11">
        <v>36909</v>
      </c>
      <c r="I7767" s="10">
        <v>2001</v>
      </c>
      <c r="J7767" s="10" t="s">
        <v>36547</v>
      </c>
      <c r="K7767" s="10">
        <v>232</v>
      </c>
      <c r="L7767" s="10"/>
      <c r="M7767" s="10">
        <v>1</v>
      </c>
      <c r="N7767" s="10"/>
      <c r="O7767" s="10"/>
      <c r="P7767" s="10" t="s">
        <v>36651</v>
      </c>
      <c r="Q7767" s="10" t="s">
        <v>12702</v>
      </c>
      <c r="R7767" s="10" t="s">
        <v>36652</v>
      </c>
      <c r="S7767" s="10" t="s">
        <v>53</v>
      </c>
      <c r="T7767" s="10" t="s">
        <v>9608</v>
      </c>
    </row>
    <row r="7768" spans="1:20" ht="14.5" x14ac:dyDescent="0.35">
      <c r="A7768" s="10" t="s">
        <v>36653</v>
      </c>
      <c r="B7768" s="10" t="str">
        <f>"9780309069885"</f>
        <v>9780309069885</v>
      </c>
      <c r="C7768" s="10" t="str">
        <f>"9780309504881"</f>
        <v>9780309504881</v>
      </c>
      <c r="D7768" s="10" t="s">
        <v>36547</v>
      </c>
      <c r="E7768" s="10" t="s">
        <v>36547</v>
      </c>
      <c r="F7768" s="10" t="s">
        <v>36548</v>
      </c>
      <c r="G7768" s="10" t="s">
        <v>6317</v>
      </c>
      <c r="H7768" s="11">
        <v>36873</v>
      </c>
      <c r="I7768" s="10">
        <v>2000</v>
      </c>
      <c r="J7768" s="10" t="s">
        <v>36547</v>
      </c>
      <c r="K7768" s="10">
        <v>609</v>
      </c>
      <c r="L7768" s="10" t="s">
        <v>36654</v>
      </c>
      <c r="M7768" s="10">
        <v>1</v>
      </c>
      <c r="N7768" s="10"/>
      <c r="O7768" s="10"/>
      <c r="P7768" s="10" t="s">
        <v>36655</v>
      </c>
      <c r="Q7768" s="10">
        <v>305.23099999999999</v>
      </c>
      <c r="R7768" s="10" t="s">
        <v>36656</v>
      </c>
      <c r="S7768" s="10" t="s">
        <v>53</v>
      </c>
      <c r="T7768" s="10" t="s">
        <v>6363</v>
      </c>
    </row>
    <row r="7769" spans="1:20" ht="14.5" x14ac:dyDescent="0.35">
      <c r="A7769" s="10" t="s">
        <v>36657</v>
      </c>
      <c r="B7769" s="10" t="str">
        <f>"9780309069960"</f>
        <v>9780309069960</v>
      </c>
      <c r="C7769" s="10" t="str">
        <f>"9780309501248"</f>
        <v>9780309501248</v>
      </c>
      <c r="D7769" s="10" t="s">
        <v>36547</v>
      </c>
      <c r="E7769" s="10" t="s">
        <v>36547</v>
      </c>
      <c r="F7769" s="10" t="s">
        <v>36548</v>
      </c>
      <c r="G7769" s="10" t="s">
        <v>6317</v>
      </c>
      <c r="H7769" s="11">
        <v>36807</v>
      </c>
      <c r="I7769" s="10">
        <v>2000</v>
      </c>
      <c r="J7769" s="10" t="s">
        <v>36547</v>
      </c>
      <c r="K7769" s="10">
        <v>211</v>
      </c>
      <c r="L7769" s="10"/>
      <c r="M7769" s="10">
        <v>1</v>
      </c>
      <c r="N7769" s="10"/>
      <c r="O7769" s="10"/>
      <c r="P7769" s="10" t="s">
        <v>36658</v>
      </c>
      <c r="Q7769" s="10">
        <v>507.1173</v>
      </c>
      <c r="R7769" s="10" t="s">
        <v>36659</v>
      </c>
      <c r="S7769" s="10" t="s">
        <v>53</v>
      </c>
      <c r="T7769" s="10" t="s">
        <v>9608</v>
      </c>
    </row>
    <row r="7770" spans="1:20" ht="14.5" x14ac:dyDescent="0.35">
      <c r="A7770" s="10" t="s">
        <v>36660</v>
      </c>
      <c r="B7770" s="10" t="str">
        <f>"9780309088718"</f>
        <v>9780309088718</v>
      </c>
      <c r="C7770" s="10" t="str">
        <f>"9780309506229"</f>
        <v>9780309506229</v>
      </c>
      <c r="D7770" s="10" t="s">
        <v>36547</v>
      </c>
      <c r="E7770" s="10" t="s">
        <v>36547</v>
      </c>
      <c r="F7770" s="10" t="s">
        <v>36548</v>
      </c>
      <c r="G7770" s="10" t="s">
        <v>6317</v>
      </c>
      <c r="H7770" s="11">
        <v>37774</v>
      </c>
      <c r="I7770" s="10">
        <v>2003</v>
      </c>
      <c r="J7770" s="10" t="s">
        <v>36547</v>
      </c>
      <c r="K7770" s="10">
        <v>89</v>
      </c>
      <c r="L7770" s="10" t="s">
        <v>36661</v>
      </c>
      <c r="M7770" s="10">
        <v>1</v>
      </c>
      <c r="N7770" s="10"/>
      <c r="O7770" s="10"/>
      <c r="P7770" s="10" t="s">
        <v>36662</v>
      </c>
      <c r="Q7770" s="10"/>
      <c r="R7770" s="10" t="s">
        <v>36663</v>
      </c>
      <c r="S7770" s="10" t="s">
        <v>53</v>
      </c>
      <c r="T7770" s="10" t="s">
        <v>12662</v>
      </c>
    </row>
    <row r="7771" spans="1:20" ht="14.5" x14ac:dyDescent="0.35">
      <c r="A7771" s="10" t="s">
        <v>36664</v>
      </c>
      <c r="B7771" s="10" t="str">
        <f>"9780309069984"</f>
        <v>9780309069984</v>
      </c>
      <c r="C7771" s="10" t="str">
        <f>"9780309504645"</f>
        <v>9780309504645</v>
      </c>
      <c r="D7771" s="10" t="s">
        <v>36547</v>
      </c>
      <c r="E7771" s="10" t="s">
        <v>36547</v>
      </c>
      <c r="F7771" s="10" t="s">
        <v>36548</v>
      </c>
      <c r="G7771" s="10" t="s">
        <v>6317</v>
      </c>
      <c r="H7771" s="11">
        <v>37115</v>
      </c>
      <c r="I7771" s="10">
        <v>2001</v>
      </c>
      <c r="J7771" s="10" t="s">
        <v>36547</v>
      </c>
      <c r="K7771" s="10">
        <v>128</v>
      </c>
      <c r="L7771" s="10" t="s">
        <v>36665</v>
      </c>
      <c r="M7771" s="10">
        <v>1</v>
      </c>
      <c r="N7771" s="10"/>
      <c r="O7771" s="10"/>
      <c r="P7771" s="10" t="s">
        <v>36666</v>
      </c>
      <c r="Q7771" s="10">
        <v>371.27</v>
      </c>
      <c r="R7771" s="10" t="s">
        <v>36667</v>
      </c>
      <c r="S7771" s="10" t="s">
        <v>53</v>
      </c>
      <c r="T7771" s="10" t="s">
        <v>54</v>
      </c>
    </row>
    <row r="7772" spans="1:20" ht="14.5" x14ac:dyDescent="0.35">
      <c r="A7772" s="10" t="s">
        <v>36668</v>
      </c>
      <c r="B7772" s="10" t="str">
        <f>"9780309075701"</f>
        <v>9780309075701</v>
      </c>
      <c r="C7772" s="10" t="str">
        <f>"9780309557900"</f>
        <v>9780309557900</v>
      </c>
      <c r="D7772" s="10" t="s">
        <v>36547</v>
      </c>
      <c r="E7772" s="10" t="s">
        <v>36547</v>
      </c>
      <c r="F7772" s="10" t="s">
        <v>36548</v>
      </c>
      <c r="G7772" s="10" t="s">
        <v>6317</v>
      </c>
      <c r="H7772" s="11">
        <v>37065</v>
      </c>
      <c r="I7772" s="10">
        <v>2001</v>
      </c>
      <c r="J7772" s="10" t="s">
        <v>36547</v>
      </c>
      <c r="K7772" s="10">
        <v>45</v>
      </c>
      <c r="L7772" s="10" t="s">
        <v>36669</v>
      </c>
      <c r="M7772" s="10">
        <v>1</v>
      </c>
      <c r="N7772" s="10"/>
      <c r="O7772" s="10"/>
      <c r="P7772" s="10" t="s">
        <v>36670</v>
      </c>
      <c r="Q7772" s="10" t="s">
        <v>36567</v>
      </c>
      <c r="R7772" s="10" t="s">
        <v>36671</v>
      </c>
      <c r="S7772" s="10" t="s">
        <v>53</v>
      </c>
      <c r="T7772" s="10" t="s">
        <v>9608</v>
      </c>
    </row>
    <row r="7773" spans="1:20" ht="14.5" x14ac:dyDescent="0.35">
      <c r="A7773" s="10" t="s">
        <v>36672</v>
      </c>
      <c r="B7773" s="10" t="str">
        <f>"9780309075671"</f>
        <v>9780309075671</v>
      </c>
      <c r="C7773" s="10" t="str">
        <f>"9780309511094"</f>
        <v>9780309511094</v>
      </c>
      <c r="D7773" s="10" t="s">
        <v>36547</v>
      </c>
      <c r="E7773" s="10" t="s">
        <v>36547</v>
      </c>
      <c r="F7773" s="10" t="s">
        <v>36548</v>
      </c>
      <c r="G7773" s="10" t="s">
        <v>6317</v>
      </c>
      <c r="H7773" s="11">
        <v>37092</v>
      </c>
      <c r="I7773" s="10">
        <v>2001</v>
      </c>
      <c r="J7773" s="10" t="s">
        <v>36547</v>
      </c>
      <c r="K7773" s="10">
        <v>43</v>
      </c>
      <c r="L7773" s="10" t="s">
        <v>36673</v>
      </c>
      <c r="M7773" s="10">
        <v>1</v>
      </c>
      <c r="N7773" s="10"/>
      <c r="O7773" s="10"/>
      <c r="P7773" s="10" t="s">
        <v>36674</v>
      </c>
      <c r="Q7773" s="10"/>
      <c r="R7773" s="10"/>
      <c r="S7773" s="10" t="s">
        <v>53</v>
      </c>
      <c r="T7773" s="10" t="s">
        <v>54</v>
      </c>
    </row>
    <row r="7774" spans="1:20" ht="14.5" x14ac:dyDescent="0.35">
      <c r="A7774" s="10" t="s">
        <v>36675</v>
      </c>
      <c r="B7774" s="10" t="str">
        <f>"9780309071307"</f>
        <v>9780309071307</v>
      </c>
      <c r="C7774" s="10" t="str">
        <f>"9780309514705"</f>
        <v>9780309514705</v>
      </c>
      <c r="D7774" s="10" t="s">
        <v>36547</v>
      </c>
      <c r="E7774" s="10" t="s">
        <v>36547</v>
      </c>
      <c r="F7774" s="10" t="s">
        <v>36548</v>
      </c>
      <c r="G7774" s="10" t="s">
        <v>6317</v>
      </c>
      <c r="H7774" s="11">
        <v>36769</v>
      </c>
      <c r="I7774" s="10">
        <v>2000</v>
      </c>
      <c r="J7774" s="10" t="s">
        <v>36547</v>
      </c>
      <c r="K7774" s="10">
        <v>185</v>
      </c>
      <c r="L7774" s="10"/>
      <c r="M7774" s="10">
        <v>1</v>
      </c>
      <c r="N7774" s="10"/>
      <c r="O7774" s="10"/>
      <c r="P7774" s="10" t="s">
        <v>36676</v>
      </c>
      <c r="Q7774" s="10" t="s">
        <v>36677</v>
      </c>
      <c r="R7774" s="10" t="s">
        <v>36678</v>
      </c>
      <c r="S7774" s="10" t="s">
        <v>53</v>
      </c>
      <c r="T7774" s="10" t="s">
        <v>11332</v>
      </c>
    </row>
    <row r="7775" spans="1:20" ht="14.5" x14ac:dyDescent="0.35">
      <c r="A7775" s="10" t="s">
        <v>36679</v>
      </c>
      <c r="B7775" s="10" t="str">
        <f>"9780309070362"</f>
        <v>9780309070362</v>
      </c>
      <c r="C7775" s="10" t="str">
        <f>"9780309131971"</f>
        <v>9780309131971</v>
      </c>
      <c r="D7775" s="10" t="s">
        <v>36547</v>
      </c>
      <c r="E7775" s="10" t="s">
        <v>36547</v>
      </c>
      <c r="F7775" s="10" t="s">
        <v>36548</v>
      </c>
      <c r="G7775" s="10" t="s">
        <v>6317</v>
      </c>
      <c r="H7775" s="11">
        <v>36780</v>
      </c>
      <c r="I7775" s="10">
        <v>2000</v>
      </c>
      <c r="J7775" s="10" t="s">
        <v>36547</v>
      </c>
      <c r="K7775" s="10">
        <v>385</v>
      </c>
      <c r="L7775" s="10"/>
      <c r="M7775" s="10">
        <v>2</v>
      </c>
      <c r="N7775" s="10"/>
      <c r="O7775" s="10"/>
      <c r="P7775" s="10" t="s">
        <v>36680</v>
      </c>
      <c r="Q7775" s="10" t="s">
        <v>6942</v>
      </c>
      <c r="R7775" s="10" t="s">
        <v>36681</v>
      </c>
      <c r="S7775" s="10" t="s">
        <v>53</v>
      </c>
      <c r="T7775" s="10" t="s">
        <v>54</v>
      </c>
    </row>
    <row r="7776" spans="1:20" ht="14.5" x14ac:dyDescent="0.35">
      <c r="A7776" s="10" t="s">
        <v>36682</v>
      </c>
      <c r="B7776" s="10" t="str">
        <f>"9780309084123"</f>
        <v>9780309084123</v>
      </c>
      <c r="C7776" s="10" t="str">
        <f>"9780309500821"</f>
        <v>9780309500821</v>
      </c>
      <c r="D7776" s="10" t="s">
        <v>36547</v>
      </c>
      <c r="E7776" s="10" t="s">
        <v>36547</v>
      </c>
      <c r="F7776" s="10" t="s">
        <v>36548</v>
      </c>
      <c r="G7776" s="10" t="s">
        <v>6317</v>
      </c>
      <c r="H7776" s="11">
        <v>37603</v>
      </c>
      <c r="I7776" s="10">
        <v>2003</v>
      </c>
      <c r="J7776" s="10" t="s">
        <v>36547</v>
      </c>
      <c r="K7776" s="10">
        <v>400</v>
      </c>
      <c r="L7776" s="10" t="s">
        <v>36683</v>
      </c>
      <c r="M7776" s="10">
        <v>1</v>
      </c>
      <c r="N7776" s="10"/>
      <c r="O7776" s="10"/>
      <c r="P7776" s="10" t="s">
        <v>36684</v>
      </c>
      <c r="Q7776" s="10" t="s">
        <v>36685</v>
      </c>
      <c r="R7776" s="10"/>
      <c r="S7776" s="10" t="s">
        <v>53</v>
      </c>
      <c r="T7776" s="10" t="s">
        <v>54</v>
      </c>
    </row>
    <row r="7777" spans="1:20" ht="14.5" x14ac:dyDescent="0.35">
      <c r="A7777" s="10" t="s">
        <v>36686</v>
      </c>
      <c r="B7777" s="10" t="str">
        <f>"9780309087438"</f>
        <v>9780309087438</v>
      </c>
      <c r="C7777" s="10" t="str">
        <f>"9780309507493"</f>
        <v>9780309507493</v>
      </c>
      <c r="D7777" s="10" t="s">
        <v>36547</v>
      </c>
      <c r="E7777" s="10" t="s">
        <v>36547</v>
      </c>
      <c r="F7777" s="10" t="s">
        <v>36548</v>
      </c>
      <c r="G7777" s="10" t="s">
        <v>6317</v>
      </c>
      <c r="H7777" s="11">
        <v>37595</v>
      </c>
      <c r="I7777" s="10">
        <v>2003</v>
      </c>
      <c r="J7777" s="10" t="s">
        <v>36547</v>
      </c>
      <c r="K7777" s="10">
        <v>222</v>
      </c>
      <c r="L7777" s="10" t="s">
        <v>36687</v>
      </c>
      <c r="M7777" s="10">
        <v>1</v>
      </c>
      <c r="N7777" s="10"/>
      <c r="O7777" s="10"/>
      <c r="P7777" s="10" t="s">
        <v>36688</v>
      </c>
      <c r="Q7777" s="10"/>
      <c r="R7777" s="10" t="s">
        <v>36689</v>
      </c>
      <c r="S7777" s="10" t="s">
        <v>53</v>
      </c>
      <c r="T7777" s="10" t="s">
        <v>5557</v>
      </c>
    </row>
    <row r="7778" spans="1:20" ht="14.5" x14ac:dyDescent="0.35">
      <c r="A7778" s="10" t="s">
        <v>36690</v>
      </c>
      <c r="B7778" s="10" t="str">
        <f>"9780309071284"</f>
        <v>9780309071284</v>
      </c>
      <c r="C7778" s="10" t="str">
        <f>"9780309514736"</f>
        <v>9780309514736</v>
      </c>
      <c r="D7778" s="10" t="s">
        <v>36547</v>
      </c>
      <c r="E7778" s="10" t="s">
        <v>36547</v>
      </c>
      <c r="F7778" s="10" t="s">
        <v>36548</v>
      </c>
      <c r="G7778" s="10" t="s">
        <v>6317</v>
      </c>
      <c r="H7778" s="11">
        <v>36755</v>
      </c>
      <c r="I7778" s="10">
        <v>2000</v>
      </c>
      <c r="J7778" s="10" t="s">
        <v>36547</v>
      </c>
      <c r="K7778" s="10">
        <v>81</v>
      </c>
      <c r="L7778" s="10" t="s">
        <v>36640</v>
      </c>
      <c r="M7778" s="10">
        <v>1</v>
      </c>
      <c r="N7778" s="10"/>
      <c r="O7778" s="10"/>
      <c r="P7778" s="10" t="s">
        <v>36691</v>
      </c>
      <c r="Q7778" s="10" t="s">
        <v>7069</v>
      </c>
      <c r="R7778" s="10" t="s">
        <v>36692</v>
      </c>
      <c r="S7778" s="10" t="s">
        <v>53</v>
      </c>
      <c r="T7778" s="10" t="s">
        <v>54</v>
      </c>
    </row>
    <row r="7779" spans="1:20" ht="14.5" x14ac:dyDescent="0.35">
      <c r="A7779" s="10" t="s">
        <v>36693</v>
      </c>
      <c r="B7779" s="10" t="str">
        <f>"9780309064187"</f>
        <v>9780309064187</v>
      </c>
      <c r="C7779" s="10" t="str">
        <f>"9780309517744"</f>
        <v>9780309517744</v>
      </c>
      <c r="D7779" s="10" t="s">
        <v>36547</v>
      </c>
      <c r="E7779" s="10" t="s">
        <v>36547</v>
      </c>
      <c r="F7779" s="10" t="s">
        <v>36548</v>
      </c>
      <c r="G7779" s="10" t="s">
        <v>6317</v>
      </c>
      <c r="H7779" s="11">
        <v>35998</v>
      </c>
      <c r="I7779" s="10">
        <v>1998</v>
      </c>
      <c r="J7779" s="10" t="s">
        <v>36547</v>
      </c>
      <c r="K7779" s="10">
        <v>448</v>
      </c>
      <c r="L7779" s="10" t="s">
        <v>36694</v>
      </c>
      <c r="M7779" s="10">
        <v>1</v>
      </c>
      <c r="N7779" s="10"/>
      <c r="O7779" s="10"/>
      <c r="P7779" s="10" t="s">
        <v>36695</v>
      </c>
      <c r="Q7779" s="10">
        <v>372.4</v>
      </c>
      <c r="R7779" s="10" t="s">
        <v>36696</v>
      </c>
      <c r="S7779" s="10" t="s">
        <v>53</v>
      </c>
      <c r="T7779" s="10" t="s">
        <v>54</v>
      </c>
    </row>
    <row r="7780" spans="1:20" ht="14.5" x14ac:dyDescent="0.35">
      <c r="A7780" s="10" t="s">
        <v>36697</v>
      </c>
      <c r="B7780" s="10" t="str">
        <f>"9780309065634"</f>
        <v>9780309065634</v>
      </c>
      <c r="C7780" s="10" t="str">
        <f>"9780309520669"</f>
        <v>9780309520669</v>
      </c>
      <c r="D7780" s="10" t="s">
        <v>36547</v>
      </c>
      <c r="E7780" s="10" t="s">
        <v>36547</v>
      </c>
      <c r="F7780" s="10" t="s">
        <v>36548</v>
      </c>
      <c r="G7780" s="10" t="s">
        <v>6317</v>
      </c>
      <c r="H7780" s="11">
        <v>36231</v>
      </c>
      <c r="I7780" s="10">
        <v>1999</v>
      </c>
      <c r="J7780" s="10" t="s">
        <v>36547</v>
      </c>
      <c r="K7780" s="10">
        <v>328</v>
      </c>
      <c r="L7780" s="10" t="s">
        <v>36698</v>
      </c>
      <c r="M7780" s="10">
        <v>1</v>
      </c>
      <c r="N7780" s="10"/>
      <c r="O7780" s="10"/>
      <c r="P7780" s="10" t="s">
        <v>36699</v>
      </c>
      <c r="Q7780" s="10" t="s">
        <v>36700</v>
      </c>
      <c r="R7780" s="10" t="s">
        <v>36701</v>
      </c>
      <c r="S7780" s="10" t="s">
        <v>53</v>
      </c>
      <c r="T7780" s="10" t="s">
        <v>54</v>
      </c>
    </row>
    <row r="7781" spans="1:20" ht="14.5" x14ac:dyDescent="0.35">
      <c r="A7781" s="10" t="s">
        <v>36702</v>
      </c>
      <c r="B7781" s="10" t="str">
        <f>"9780309063951"</f>
        <v>9780309063951</v>
      </c>
      <c r="C7781" s="10" t="str">
        <f>"9780309517478"</f>
        <v>9780309517478</v>
      </c>
      <c r="D7781" s="10" t="s">
        <v>36547</v>
      </c>
      <c r="E7781" s="10" t="s">
        <v>36547</v>
      </c>
      <c r="F7781" s="10" t="s">
        <v>36548</v>
      </c>
      <c r="G7781" s="10" t="s">
        <v>6317</v>
      </c>
      <c r="H7781" s="11">
        <v>36237</v>
      </c>
      <c r="I7781" s="10">
        <v>1999</v>
      </c>
      <c r="J7781" s="10" t="s">
        <v>36547</v>
      </c>
      <c r="K7781" s="10">
        <v>134</v>
      </c>
      <c r="L7781" s="10" t="s">
        <v>36703</v>
      </c>
      <c r="M7781" s="10">
        <v>1</v>
      </c>
      <c r="N7781" s="10"/>
      <c r="O7781" s="10"/>
      <c r="P7781" s="10"/>
      <c r="Q7781" s="10"/>
      <c r="R7781" s="10"/>
      <c r="S7781" s="10" t="s">
        <v>53</v>
      </c>
      <c r="T7781" s="10" t="s">
        <v>6363</v>
      </c>
    </row>
    <row r="7782" spans="1:20" ht="14.5" x14ac:dyDescent="0.35">
      <c r="A7782" s="10" t="s">
        <v>36704</v>
      </c>
      <c r="B7782" s="10" t="str">
        <f>"9780309063531"</f>
        <v>9780309063531</v>
      </c>
      <c r="C7782" s="10" t="str">
        <f>"9780309521338"</f>
        <v>9780309521338</v>
      </c>
      <c r="D7782" s="10" t="s">
        <v>36547</v>
      </c>
      <c r="E7782" s="10" t="s">
        <v>36547</v>
      </c>
      <c r="F7782" s="10" t="s">
        <v>36548</v>
      </c>
      <c r="G7782" s="10" t="s">
        <v>6317</v>
      </c>
      <c r="H7782" s="11">
        <v>35973</v>
      </c>
      <c r="I7782" s="10">
        <v>1998</v>
      </c>
      <c r="J7782" s="10" t="s">
        <v>36547</v>
      </c>
      <c r="K7782" s="10">
        <v>191</v>
      </c>
      <c r="L7782" s="10"/>
      <c r="M7782" s="10">
        <v>1</v>
      </c>
      <c r="N7782" s="10"/>
      <c r="O7782" s="10"/>
      <c r="P7782" s="10" t="s">
        <v>36705</v>
      </c>
      <c r="Q7782" s="10" t="s">
        <v>10110</v>
      </c>
      <c r="R7782" s="10" t="s">
        <v>36706</v>
      </c>
      <c r="S7782" s="10" t="s">
        <v>53</v>
      </c>
      <c r="T7782" s="10" t="s">
        <v>389</v>
      </c>
    </row>
    <row r="7783" spans="1:20" ht="14.5" x14ac:dyDescent="0.35">
      <c r="A7783" s="10" t="s">
        <v>36707</v>
      </c>
      <c r="B7783" s="10" t="str">
        <f>"9780309065344"</f>
        <v>9780309065344</v>
      </c>
      <c r="C7783" s="10" t="str">
        <f>"9780309519373"</f>
        <v>9780309519373</v>
      </c>
      <c r="D7783" s="10" t="s">
        <v>36547</v>
      </c>
      <c r="E7783" s="10" t="s">
        <v>36547</v>
      </c>
      <c r="F7783" s="10" t="s">
        <v>36548</v>
      </c>
      <c r="G7783" s="10" t="s">
        <v>6317</v>
      </c>
      <c r="H7783" s="11">
        <v>36470</v>
      </c>
      <c r="I7783" s="10">
        <v>1999</v>
      </c>
      <c r="J7783" s="10" t="s">
        <v>36547</v>
      </c>
      <c r="K7783" s="10">
        <v>136</v>
      </c>
      <c r="L7783" s="10" t="s">
        <v>36708</v>
      </c>
      <c r="M7783" s="10">
        <v>1</v>
      </c>
      <c r="N7783" s="10"/>
      <c r="O7783" s="10"/>
      <c r="P7783" s="10" t="s">
        <v>36709</v>
      </c>
      <c r="Q7783" s="10" t="s">
        <v>7737</v>
      </c>
      <c r="R7783" s="10" t="s">
        <v>36710</v>
      </c>
      <c r="S7783" s="10" t="s">
        <v>53</v>
      </c>
      <c r="T7783" s="10" t="s">
        <v>54</v>
      </c>
    </row>
    <row r="7784" spans="1:20" ht="14.5" x14ac:dyDescent="0.35">
      <c r="A7784" s="10" t="s">
        <v>36711</v>
      </c>
      <c r="B7784" s="10" t="str">
        <f>"9780309062800"</f>
        <v>9780309062800</v>
      </c>
      <c r="C7784" s="10" t="str">
        <f>"9780309524957"</f>
        <v>9780309524957</v>
      </c>
      <c r="D7784" s="10" t="s">
        <v>36547</v>
      </c>
      <c r="E7784" s="10" t="s">
        <v>36547</v>
      </c>
      <c r="F7784" s="10" t="s">
        <v>36548</v>
      </c>
      <c r="G7784" s="10" t="s">
        <v>6317</v>
      </c>
      <c r="H7784" s="11">
        <v>36176</v>
      </c>
      <c r="I7784" s="10">
        <v>1999</v>
      </c>
      <c r="J7784" s="10" t="s">
        <v>36547</v>
      </c>
      <c r="K7784" s="10">
        <v>350</v>
      </c>
      <c r="L7784" s="10" t="s">
        <v>36712</v>
      </c>
      <c r="M7784" s="10">
        <v>1</v>
      </c>
      <c r="N7784" s="10"/>
      <c r="O7784" s="10"/>
      <c r="P7784" s="10" t="s">
        <v>36713</v>
      </c>
      <c r="Q7784" s="10" t="s">
        <v>15417</v>
      </c>
      <c r="R7784" s="10" t="s">
        <v>36714</v>
      </c>
      <c r="S7784" s="10" t="s">
        <v>53</v>
      </c>
      <c r="T7784" s="10" t="s">
        <v>54</v>
      </c>
    </row>
    <row r="7785" spans="1:20" ht="14.5" x14ac:dyDescent="0.35">
      <c r="A7785" s="10" t="s">
        <v>36715</v>
      </c>
      <c r="B7785" s="10" t="str">
        <f>"9780309065306"</f>
        <v>9780309065306</v>
      </c>
      <c r="C7785" s="10" t="str">
        <f>"9780309519281"</f>
        <v>9780309519281</v>
      </c>
      <c r="D7785" s="10" t="s">
        <v>36547</v>
      </c>
      <c r="E7785" s="10" t="s">
        <v>36547</v>
      </c>
      <c r="F7785" s="10" t="s">
        <v>36548</v>
      </c>
      <c r="G7785" s="10" t="s">
        <v>6317</v>
      </c>
      <c r="H7785" s="11">
        <v>36490</v>
      </c>
      <c r="I7785" s="10">
        <v>1999</v>
      </c>
      <c r="J7785" s="10" t="s">
        <v>36547</v>
      </c>
      <c r="K7785" s="10">
        <v>104</v>
      </c>
      <c r="L7785" s="10"/>
      <c r="M7785" s="10">
        <v>1</v>
      </c>
      <c r="N7785" s="10"/>
      <c r="O7785" s="10"/>
      <c r="P7785" s="10" t="s">
        <v>36716</v>
      </c>
      <c r="Q7785" s="10"/>
      <c r="R7785" s="10"/>
      <c r="S7785" s="10" t="s">
        <v>53</v>
      </c>
      <c r="T7785" s="10" t="s">
        <v>389</v>
      </c>
    </row>
    <row r="7786" spans="1:20" ht="14.5" x14ac:dyDescent="0.35">
      <c r="A7786" s="10" t="s">
        <v>36717</v>
      </c>
      <c r="B7786" s="10" t="str">
        <f>"9780309064149"</f>
        <v>9780309064149</v>
      </c>
      <c r="C7786" s="10" t="str">
        <f>"9780309517621"</f>
        <v>9780309517621</v>
      </c>
      <c r="D7786" s="10" t="s">
        <v>36547</v>
      </c>
      <c r="E7786" s="10" t="s">
        <v>36547</v>
      </c>
      <c r="F7786" s="10" t="s">
        <v>36548</v>
      </c>
      <c r="G7786" s="10" t="s">
        <v>6317</v>
      </c>
      <c r="H7786" s="11">
        <v>35873</v>
      </c>
      <c r="I7786" s="10">
        <v>1998</v>
      </c>
      <c r="J7786" s="10" t="s">
        <v>36547</v>
      </c>
      <c r="K7786" s="10">
        <v>128</v>
      </c>
      <c r="L7786" s="10" t="s">
        <v>36718</v>
      </c>
      <c r="M7786" s="10">
        <v>1</v>
      </c>
      <c r="N7786" s="10"/>
      <c r="O7786" s="10"/>
      <c r="P7786" s="10" t="s">
        <v>36719</v>
      </c>
      <c r="Q7786" s="10" t="s">
        <v>36720</v>
      </c>
      <c r="R7786" s="10" t="s">
        <v>36721</v>
      </c>
      <c r="S7786" s="10" t="s">
        <v>53</v>
      </c>
      <c r="T7786" s="10" t="s">
        <v>54</v>
      </c>
    </row>
    <row r="7787" spans="1:20" ht="14.5" x14ac:dyDescent="0.35">
      <c r="A7787" s="10" t="s">
        <v>36722</v>
      </c>
      <c r="B7787" s="10" t="str">
        <f>""</f>
        <v/>
      </c>
      <c r="C7787" s="10" t="str">
        <f>"9780309558679"</f>
        <v>9780309558679</v>
      </c>
      <c r="D7787" s="10" t="s">
        <v>36547</v>
      </c>
      <c r="E7787" s="10" t="s">
        <v>36547</v>
      </c>
      <c r="F7787" s="10" t="s">
        <v>88</v>
      </c>
      <c r="G7787" s="10" t="s">
        <v>6317</v>
      </c>
      <c r="H7787" s="11">
        <v>35034</v>
      </c>
      <c r="I7787" s="10">
        <v>1996</v>
      </c>
      <c r="J7787" s="10" t="s">
        <v>36547</v>
      </c>
      <c r="K7787" s="10">
        <v>43</v>
      </c>
      <c r="L7787" s="10" t="s">
        <v>36723</v>
      </c>
      <c r="M7787" s="10">
        <v>1</v>
      </c>
      <c r="N7787" s="10"/>
      <c r="O7787" s="10"/>
      <c r="P7787" s="10" t="s">
        <v>36724</v>
      </c>
      <c r="Q7787" s="10"/>
      <c r="R7787" s="10" t="s">
        <v>36725</v>
      </c>
      <c r="S7787" s="10" t="s">
        <v>53</v>
      </c>
      <c r="T7787" s="10" t="s">
        <v>5557</v>
      </c>
    </row>
    <row r="7788" spans="1:20" ht="14.5" x14ac:dyDescent="0.35">
      <c r="A7788" s="10" t="s">
        <v>36726</v>
      </c>
      <c r="B7788" s="10" t="str">
        <f>"9780309062855"</f>
        <v>9780309062855</v>
      </c>
      <c r="C7788" s="10" t="str">
        <f>"9780309524834"</f>
        <v>9780309524834</v>
      </c>
      <c r="D7788" s="10" t="s">
        <v>36547</v>
      </c>
      <c r="E7788" s="10" t="s">
        <v>36547</v>
      </c>
      <c r="F7788" s="10" t="s">
        <v>36548</v>
      </c>
      <c r="G7788" s="10" t="s">
        <v>6317</v>
      </c>
      <c r="H7788" s="11">
        <v>36183</v>
      </c>
      <c r="I7788" s="10">
        <v>1999</v>
      </c>
      <c r="J7788" s="10" t="s">
        <v>36547</v>
      </c>
      <c r="K7788" s="10">
        <v>296</v>
      </c>
      <c r="L7788" s="10" t="s">
        <v>36727</v>
      </c>
      <c r="M7788" s="10">
        <v>1</v>
      </c>
      <c r="N7788" s="10"/>
      <c r="O7788" s="10"/>
      <c r="P7788" s="10"/>
      <c r="Q7788" s="10" t="s">
        <v>13808</v>
      </c>
      <c r="R7788" s="10"/>
      <c r="S7788" s="10" t="s">
        <v>53</v>
      </c>
      <c r="T7788" s="10" t="s">
        <v>54</v>
      </c>
    </row>
    <row r="7789" spans="1:20" ht="14.5" x14ac:dyDescent="0.35">
      <c r="A7789" s="10" t="s">
        <v>36728</v>
      </c>
      <c r="B7789" s="10" t="str">
        <f>"9780309064767"</f>
        <v>9780309064767</v>
      </c>
      <c r="C7789" s="10" t="str">
        <f>"9780309518956"</f>
        <v>9780309518956</v>
      </c>
      <c r="D7789" s="10" t="s">
        <v>36547</v>
      </c>
      <c r="E7789" s="10" t="s">
        <v>36547</v>
      </c>
      <c r="F7789" s="10" t="s">
        <v>36548</v>
      </c>
      <c r="G7789" s="10" t="s">
        <v>6317</v>
      </c>
      <c r="H7789" s="11">
        <v>36649</v>
      </c>
      <c r="I7789" s="10">
        <v>2000</v>
      </c>
      <c r="J7789" s="10" t="s">
        <v>36547</v>
      </c>
      <c r="K7789" s="10">
        <v>222</v>
      </c>
      <c r="L7789" s="10"/>
      <c r="M7789" s="10">
        <v>1</v>
      </c>
      <c r="N7789" s="10"/>
      <c r="O7789" s="10"/>
      <c r="P7789" s="10"/>
      <c r="Q7789" s="10" t="s">
        <v>36567</v>
      </c>
      <c r="R7789" s="10"/>
      <c r="S7789" s="10" t="s">
        <v>53</v>
      </c>
      <c r="T7789" s="10" t="s">
        <v>21206</v>
      </c>
    </row>
    <row r="7790" spans="1:20" ht="14.5" x14ac:dyDescent="0.35">
      <c r="A7790" s="10" t="s">
        <v>36729</v>
      </c>
      <c r="B7790" s="10" t="str">
        <f>"9780309064101"</f>
        <v>9780309064101</v>
      </c>
      <c r="C7790" s="10" t="str">
        <f>"9780309517539"</f>
        <v>9780309517539</v>
      </c>
      <c r="D7790" s="10" t="s">
        <v>36547</v>
      </c>
      <c r="E7790" s="10" t="s">
        <v>36547</v>
      </c>
      <c r="F7790" s="10" t="s">
        <v>36548</v>
      </c>
      <c r="G7790" s="10" t="s">
        <v>6317</v>
      </c>
      <c r="H7790" s="11">
        <v>36553</v>
      </c>
      <c r="I7790" s="10">
        <v>1999</v>
      </c>
      <c r="J7790" s="10" t="s">
        <v>36547</v>
      </c>
      <c r="K7790" s="10">
        <v>192</v>
      </c>
      <c r="L7790" s="10" t="s">
        <v>36730</v>
      </c>
      <c r="M7790" s="10">
        <v>1</v>
      </c>
      <c r="N7790" s="10"/>
      <c r="O7790" s="10"/>
      <c r="P7790" s="10"/>
      <c r="Q7790" s="10"/>
      <c r="R7790" s="10"/>
      <c r="S7790" s="10" t="s">
        <v>53</v>
      </c>
      <c r="T7790" s="10" t="s">
        <v>54</v>
      </c>
    </row>
    <row r="7791" spans="1:20" ht="14.5" x14ac:dyDescent="0.35">
      <c r="A7791" s="10" t="s">
        <v>36731</v>
      </c>
      <c r="B7791" s="10" t="str">
        <f>"9780309065467"</f>
        <v>9780309065467</v>
      </c>
      <c r="C7791" s="10" t="str">
        <f>"9780309519588"</f>
        <v>9780309519588</v>
      </c>
      <c r="D7791" s="10" t="s">
        <v>36547</v>
      </c>
      <c r="E7791" s="10" t="s">
        <v>36547</v>
      </c>
      <c r="F7791" s="10" t="s">
        <v>36548</v>
      </c>
      <c r="G7791" s="10" t="s">
        <v>6317</v>
      </c>
      <c r="H7791" s="11">
        <v>36357</v>
      </c>
      <c r="I7791" s="10">
        <v>1999</v>
      </c>
      <c r="J7791" s="10" t="s">
        <v>36547</v>
      </c>
      <c r="K7791" s="10">
        <v>48</v>
      </c>
      <c r="L7791" s="10"/>
      <c r="M7791" s="10">
        <v>1</v>
      </c>
      <c r="N7791" s="10"/>
      <c r="O7791" s="10"/>
      <c r="P7791" s="10"/>
      <c r="Q7791" s="10"/>
      <c r="R7791" s="10"/>
      <c r="S7791" s="10" t="s">
        <v>53</v>
      </c>
      <c r="T7791" s="10" t="s">
        <v>54</v>
      </c>
    </row>
    <row r="7792" spans="1:20" ht="14.5" x14ac:dyDescent="0.35">
      <c r="A7792" s="10" t="s">
        <v>36732</v>
      </c>
      <c r="B7792" s="10" t="str">
        <f>"9780309064286"</f>
        <v>9780309064286</v>
      </c>
      <c r="C7792" s="10" t="str">
        <f>"9780309517928"</f>
        <v>9780309517928</v>
      </c>
      <c r="D7792" s="10" t="s">
        <v>36547</v>
      </c>
      <c r="E7792" s="10" t="s">
        <v>36547</v>
      </c>
      <c r="F7792" s="10" t="s">
        <v>36548</v>
      </c>
      <c r="G7792" s="10" t="s">
        <v>6317</v>
      </c>
      <c r="H7792" s="11">
        <v>36192</v>
      </c>
      <c r="I7792" s="10">
        <v>1999</v>
      </c>
      <c r="J7792" s="10" t="s">
        <v>36547</v>
      </c>
      <c r="K7792" s="10">
        <v>63</v>
      </c>
      <c r="L7792" s="10" t="s">
        <v>36733</v>
      </c>
      <c r="M7792" s="10">
        <v>1</v>
      </c>
      <c r="N7792" s="10"/>
      <c r="O7792" s="10"/>
      <c r="P7792" s="10" t="s">
        <v>36734</v>
      </c>
      <c r="Q7792" s="10"/>
      <c r="R7792" s="10"/>
      <c r="S7792" s="10" t="s">
        <v>53</v>
      </c>
      <c r="T7792" s="10" t="s">
        <v>389</v>
      </c>
    </row>
    <row r="7793" spans="1:20" ht="14.5" x14ac:dyDescent="0.35">
      <c r="A7793" s="10" t="s">
        <v>36735</v>
      </c>
      <c r="B7793" s="10" t="str">
        <f>"9780309064798"</f>
        <v>9780309064798</v>
      </c>
      <c r="C7793" s="10" t="str">
        <f>"9780309518857"</f>
        <v>9780309518857</v>
      </c>
      <c r="D7793" s="10" t="s">
        <v>36547</v>
      </c>
      <c r="E7793" s="10" t="s">
        <v>36547</v>
      </c>
      <c r="F7793" s="10" t="s">
        <v>36548</v>
      </c>
      <c r="G7793" s="10" t="s">
        <v>6317</v>
      </c>
      <c r="H7793" s="11">
        <v>36325</v>
      </c>
      <c r="I7793" s="10">
        <v>1999</v>
      </c>
      <c r="J7793" s="10" t="s">
        <v>36547</v>
      </c>
      <c r="K7793" s="10">
        <v>40</v>
      </c>
      <c r="L7793" s="10" t="s">
        <v>36736</v>
      </c>
      <c r="M7793" s="10">
        <v>1</v>
      </c>
      <c r="N7793" s="10"/>
      <c r="O7793" s="10"/>
      <c r="P7793" s="10" t="s">
        <v>36737</v>
      </c>
      <c r="Q7793" s="10"/>
      <c r="R7793" s="10" t="s">
        <v>36738</v>
      </c>
      <c r="S7793" s="10" t="s">
        <v>53</v>
      </c>
      <c r="T7793" s="10" t="s">
        <v>483</v>
      </c>
    </row>
    <row r="7794" spans="1:20" ht="14.5" x14ac:dyDescent="0.35">
      <c r="A7794" s="10" t="s">
        <v>36739</v>
      </c>
      <c r="B7794" s="10" t="str">
        <f>"9780309065368"</f>
        <v>9780309065368</v>
      </c>
      <c r="C7794" s="10" t="str">
        <f>"9780309519465"</f>
        <v>9780309519465</v>
      </c>
      <c r="D7794" s="10" t="s">
        <v>36547</v>
      </c>
      <c r="E7794" s="10" t="s">
        <v>36547</v>
      </c>
      <c r="F7794" s="10" t="s">
        <v>36548</v>
      </c>
      <c r="G7794" s="10" t="s">
        <v>6317</v>
      </c>
      <c r="H7794" s="11">
        <v>36342</v>
      </c>
      <c r="I7794" s="10">
        <v>1999</v>
      </c>
      <c r="J7794" s="10" t="s">
        <v>36547</v>
      </c>
      <c r="K7794" s="10">
        <v>88</v>
      </c>
      <c r="L7794" s="10" t="s">
        <v>36740</v>
      </c>
      <c r="M7794" s="10">
        <v>1</v>
      </c>
      <c r="N7794" s="10"/>
      <c r="O7794" s="10"/>
      <c r="P7794" s="10" t="s">
        <v>36741</v>
      </c>
      <c r="Q7794" s="10" t="s">
        <v>6942</v>
      </c>
      <c r="R7794" s="10" t="s">
        <v>36742</v>
      </c>
      <c r="S7794" s="10" t="s">
        <v>53</v>
      </c>
      <c r="T7794" s="10" t="s">
        <v>54</v>
      </c>
    </row>
    <row r="7795" spans="1:20" ht="14.5" x14ac:dyDescent="0.35">
      <c r="A7795" s="10" t="s">
        <v>36743</v>
      </c>
      <c r="B7795" s="10" t="str">
        <f>"9780309065283"</f>
        <v>9780309065283</v>
      </c>
      <c r="C7795" s="10" t="str">
        <f>"9780309519250"</f>
        <v>9780309519250</v>
      </c>
      <c r="D7795" s="10" t="s">
        <v>36547</v>
      </c>
      <c r="E7795" s="10" t="s">
        <v>36547</v>
      </c>
      <c r="F7795" s="10" t="s">
        <v>36548</v>
      </c>
      <c r="G7795" s="10" t="s">
        <v>6317</v>
      </c>
      <c r="H7795" s="11">
        <v>36524</v>
      </c>
      <c r="I7795" s="10">
        <v>1999</v>
      </c>
      <c r="J7795" s="10" t="s">
        <v>36547</v>
      </c>
      <c r="K7795" s="10">
        <v>368</v>
      </c>
      <c r="L7795" s="10" t="s">
        <v>36744</v>
      </c>
      <c r="M7795" s="10">
        <v>1</v>
      </c>
      <c r="N7795" s="10"/>
      <c r="O7795" s="10"/>
      <c r="P7795" s="10" t="s">
        <v>36745</v>
      </c>
      <c r="Q7795" s="10" t="s">
        <v>36700</v>
      </c>
      <c r="R7795" s="10" t="s">
        <v>36746</v>
      </c>
      <c r="S7795" s="10" t="s">
        <v>53</v>
      </c>
      <c r="T7795" s="10" t="s">
        <v>54</v>
      </c>
    </row>
    <row r="7796" spans="1:20" ht="14.5" x14ac:dyDescent="0.35">
      <c r="A7796" s="10" t="s">
        <v>36747</v>
      </c>
      <c r="B7796" s="10" t="str">
        <f>"9780309065979"</f>
        <v>9780309065979</v>
      </c>
      <c r="C7796" s="10" t="str">
        <f>"9780309520300"</f>
        <v>9780309520300</v>
      </c>
      <c r="D7796" s="10" t="s">
        <v>36547</v>
      </c>
      <c r="E7796" s="10" t="s">
        <v>36547</v>
      </c>
      <c r="F7796" s="10" t="s">
        <v>36548</v>
      </c>
      <c r="G7796" s="10" t="s">
        <v>6317</v>
      </c>
      <c r="H7796" s="11">
        <v>36398</v>
      </c>
      <c r="I7796" s="10">
        <v>1999</v>
      </c>
      <c r="J7796" s="10" t="s">
        <v>36547</v>
      </c>
      <c r="K7796" s="10">
        <v>58</v>
      </c>
      <c r="L7796" s="10" t="s">
        <v>36748</v>
      </c>
      <c r="M7796" s="10">
        <v>1</v>
      </c>
      <c r="N7796" s="10"/>
      <c r="O7796" s="10"/>
      <c r="P7796" s="10" t="s">
        <v>36749</v>
      </c>
      <c r="Q7796" s="10" t="s">
        <v>19167</v>
      </c>
      <c r="R7796" s="10" t="s">
        <v>36750</v>
      </c>
      <c r="S7796" s="10" t="s">
        <v>53</v>
      </c>
      <c r="T7796" s="10" t="s">
        <v>54</v>
      </c>
    </row>
    <row r="7797" spans="1:20" ht="14.5" x14ac:dyDescent="0.35">
      <c r="A7797" s="10" t="s">
        <v>36751</v>
      </c>
      <c r="B7797" s="10" t="str">
        <f>"9780309065573"</f>
        <v>9780309065573</v>
      </c>
      <c r="C7797" s="10" t="str">
        <f>"9780309558402"</f>
        <v>9780309558402</v>
      </c>
      <c r="D7797" s="10" t="s">
        <v>36547</v>
      </c>
      <c r="E7797" s="10" t="s">
        <v>36547</v>
      </c>
      <c r="F7797" s="10" t="s">
        <v>88</v>
      </c>
      <c r="G7797" s="10" t="s">
        <v>6317</v>
      </c>
      <c r="H7797" s="11">
        <v>36251</v>
      </c>
      <c r="I7797" s="10">
        <v>1999</v>
      </c>
      <c r="J7797" s="10" t="s">
        <v>36547</v>
      </c>
      <c r="K7797" s="10">
        <v>345</v>
      </c>
      <c r="L7797" s="10" t="s">
        <v>36752</v>
      </c>
      <c r="M7797" s="10">
        <v>1</v>
      </c>
      <c r="N7797" s="10"/>
      <c r="O7797" s="10"/>
      <c r="P7797" s="10" t="s">
        <v>36753</v>
      </c>
      <c r="Q7797" s="10" t="s">
        <v>6942</v>
      </c>
      <c r="R7797" s="10" t="s">
        <v>36754</v>
      </c>
      <c r="S7797" s="10" t="s">
        <v>53</v>
      </c>
      <c r="T7797" s="10" t="s">
        <v>54</v>
      </c>
    </row>
    <row r="7798" spans="1:20" ht="14.5" x14ac:dyDescent="0.35">
      <c r="A7798" s="10" t="s">
        <v>36755</v>
      </c>
      <c r="B7798" s="10" t="str">
        <f>"9780309062794"</f>
        <v>9780309062794</v>
      </c>
      <c r="C7798" s="10" t="str">
        <f>"9780309524988"</f>
        <v>9780309524988</v>
      </c>
      <c r="D7798" s="10" t="s">
        <v>36547</v>
      </c>
      <c r="E7798" s="10" t="s">
        <v>36547</v>
      </c>
      <c r="F7798" s="10" t="s">
        <v>36548</v>
      </c>
      <c r="G7798" s="10" t="s">
        <v>6317</v>
      </c>
      <c r="H7798" s="11">
        <v>36159</v>
      </c>
      <c r="I7798" s="10">
        <v>1999</v>
      </c>
      <c r="J7798" s="10" t="s">
        <v>36547</v>
      </c>
      <c r="K7798" s="10">
        <v>139</v>
      </c>
      <c r="L7798" s="10" t="s">
        <v>36756</v>
      </c>
      <c r="M7798" s="10">
        <v>1</v>
      </c>
      <c r="N7798" s="10"/>
      <c r="O7798" s="10"/>
      <c r="P7798" s="10" t="s">
        <v>36757</v>
      </c>
      <c r="Q7798" s="10" t="s">
        <v>15417</v>
      </c>
      <c r="R7798" s="10" t="s">
        <v>36758</v>
      </c>
      <c r="S7798" s="10" t="s">
        <v>53</v>
      </c>
      <c r="T7798" s="10" t="s">
        <v>54</v>
      </c>
    </row>
    <row r="7799" spans="1:20" ht="14.5" x14ac:dyDescent="0.35">
      <c r="A7799" s="10" t="s">
        <v>36759</v>
      </c>
      <c r="B7799" s="10" t="str">
        <f>"9780309064309"</f>
        <v>9780309064309</v>
      </c>
      <c r="C7799" s="10" t="str">
        <f>"9780309517980"</f>
        <v>9780309517980</v>
      </c>
      <c r="D7799" s="10" t="s">
        <v>36547</v>
      </c>
      <c r="E7799" s="10" t="s">
        <v>36547</v>
      </c>
      <c r="F7799" s="10" t="s">
        <v>36548</v>
      </c>
      <c r="G7799" s="10" t="s">
        <v>6317</v>
      </c>
      <c r="H7799" s="11">
        <v>36229</v>
      </c>
      <c r="I7799" s="10">
        <v>1999</v>
      </c>
      <c r="J7799" s="10" t="s">
        <v>36547</v>
      </c>
      <c r="K7799" s="10">
        <v>94</v>
      </c>
      <c r="L7799" s="10"/>
      <c r="M7799" s="10">
        <v>1</v>
      </c>
      <c r="N7799" s="10"/>
      <c r="O7799" s="10"/>
      <c r="P7799" s="10" t="s">
        <v>36760</v>
      </c>
      <c r="Q7799" s="10" t="s">
        <v>33154</v>
      </c>
      <c r="R7799" s="10" t="s">
        <v>36761</v>
      </c>
      <c r="S7799" s="10" t="s">
        <v>53</v>
      </c>
      <c r="T7799" s="10" t="s">
        <v>9608</v>
      </c>
    </row>
    <row r="7800" spans="1:20" ht="14.5" x14ac:dyDescent="0.35">
      <c r="A7800" s="10" t="s">
        <v>36762</v>
      </c>
      <c r="B7800" s="10" t="str">
        <f>"9780309065337"</f>
        <v>9780309065337</v>
      </c>
      <c r="C7800" s="10" t="str">
        <f>"9780309519342"</f>
        <v>9780309519342</v>
      </c>
      <c r="D7800" s="10" t="s">
        <v>36547</v>
      </c>
      <c r="E7800" s="10" t="s">
        <v>36547</v>
      </c>
      <c r="F7800" s="10" t="s">
        <v>36548</v>
      </c>
      <c r="G7800" s="10" t="s">
        <v>6317</v>
      </c>
      <c r="H7800" s="11">
        <v>36511</v>
      </c>
      <c r="I7800" s="10">
        <v>1999</v>
      </c>
      <c r="J7800" s="10" t="s">
        <v>36547</v>
      </c>
      <c r="K7800" s="10">
        <v>135</v>
      </c>
      <c r="L7800" s="10" t="s">
        <v>36763</v>
      </c>
      <c r="M7800" s="10">
        <v>1</v>
      </c>
      <c r="N7800" s="10"/>
      <c r="O7800" s="10"/>
      <c r="P7800" s="10" t="s">
        <v>36764</v>
      </c>
      <c r="Q7800" s="10">
        <v>507.8</v>
      </c>
      <c r="R7800" s="10" t="s">
        <v>36765</v>
      </c>
      <c r="S7800" s="10" t="s">
        <v>53</v>
      </c>
      <c r="T7800" s="10" t="s">
        <v>10979</v>
      </c>
    </row>
    <row r="7801" spans="1:20" ht="14.5" x14ac:dyDescent="0.35">
      <c r="A7801" s="10" t="s">
        <v>36766</v>
      </c>
      <c r="B7801" s="10" t="str">
        <f>"9780309065276"</f>
        <v>9780309065276</v>
      </c>
      <c r="C7801" s="10" t="str">
        <f>"9780309519229"</f>
        <v>9780309519229</v>
      </c>
      <c r="D7801" s="10" t="s">
        <v>36547</v>
      </c>
      <c r="E7801" s="10" t="s">
        <v>36547</v>
      </c>
      <c r="F7801" s="10" t="s">
        <v>36548</v>
      </c>
      <c r="G7801" s="10" t="s">
        <v>6317</v>
      </c>
      <c r="H7801" s="11">
        <v>36509</v>
      </c>
      <c r="I7801" s="10">
        <v>1999</v>
      </c>
      <c r="J7801" s="10" t="s">
        <v>36547</v>
      </c>
      <c r="K7801" s="10">
        <v>70</v>
      </c>
      <c r="L7801" s="10"/>
      <c r="M7801" s="10">
        <v>1</v>
      </c>
      <c r="N7801" s="10"/>
      <c r="O7801" s="10"/>
      <c r="P7801" s="10" t="s">
        <v>36767</v>
      </c>
      <c r="Q7801" s="10" t="s">
        <v>12702</v>
      </c>
      <c r="R7801" s="10" t="s">
        <v>36768</v>
      </c>
      <c r="S7801" s="10" t="s">
        <v>53</v>
      </c>
      <c r="T7801" s="10" t="s">
        <v>7193</v>
      </c>
    </row>
    <row r="7802" spans="1:20" ht="14.5" x14ac:dyDescent="0.35">
      <c r="A7802" s="10" t="s">
        <v>36769</v>
      </c>
      <c r="B7802" s="10" t="str">
        <f>"9780309063654"</f>
        <v>9780309063654</v>
      </c>
      <c r="C7802" s="10" t="str">
        <f>"9780309518406"</f>
        <v>9780309518406</v>
      </c>
      <c r="D7802" s="10" t="s">
        <v>36547</v>
      </c>
      <c r="E7802" s="10" t="s">
        <v>36547</v>
      </c>
      <c r="F7802" s="10" t="s">
        <v>36548</v>
      </c>
      <c r="G7802" s="10" t="s">
        <v>6317</v>
      </c>
      <c r="H7802" s="11">
        <v>35708</v>
      </c>
      <c r="I7802" s="10">
        <v>1997</v>
      </c>
      <c r="J7802" s="10" t="s">
        <v>36547</v>
      </c>
      <c r="K7802" s="10">
        <v>293</v>
      </c>
      <c r="L7802" s="10" t="s">
        <v>36770</v>
      </c>
      <c r="M7802" s="10">
        <v>1</v>
      </c>
      <c r="N7802" s="10"/>
      <c r="O7802" s="10"/>
      <c r="P7802" s="10" t="s">
        <v>36771</v>
      </c>
      <c r="Q7802" s="10" t="s">
        <v>8266</v>
      </c>
      <c r="R7802" s="10" t="s">
        <v>36772</v>
      </c>
      <c r="S7802" s="10" t="s">
        <v>53</v>
      </c>
      <c r="T7802" s="10" t="s">
        <v>54</v>
      </c>
    </row>
    <row r="7803" spans="1:20" ht="14.5" x14ac:dyDescent="0.35">
      <c r="A7803" s="10" t="s">
        <v>36773</v>
      </c>
      <c r="B7803" s="10" t="str">
        <f>"9780309060486"</f>
        <v>9780309060486</v>
      </c>
      <c r="C7803" s="10" t="str">
        <f>"9780309522090"</f>
        <v>9780309522090</v>
      </c>
      <c r="D7803" s="10" t="s">
        <v>36547</v>
      </c>
      <c r="E7803" s="10" t="s">
        <v>36547</v>
      </c>
      <c r="F7803" s="10" t="s">
        <v>36548</v>
      </c>
      <c r="G7803" s="10" t="s">
        <v>6317</v>
      </c>
      <c r="H7803" s="11">
        <v>35968</v>
      </c>
      <c r="I7803" s="10">
        <v>1998</v>
      </c>
      <c r="J7803" s="10" t="s">
        <v>36547</v>
      </c>
      <c r="K7803" s="10">
        <v>55</v>
      </c>
      <c r="L7803" s="10"/>
      <c r="M7803" s="10">
        <v>1</v>
      </c>
      <c r="N7803" s="10"/>
      <c r="O7803" s="10"/>
      <c r="P7803" s="10" t="s">
        <v>36774</v>
      </c>
      <c r="Q7803" s="10"/>
      <c r="R7803" s="10" t="s">
        <v>36775</v>
      </c>
      <c r="S7803" s="10" t="s">
        <v>53</v>
      </c>
      <c r="T7803" s="10" t="s">
        <v>54</v>
      </c>
    </row>
    <row r="7804" spans="1:20" ht="14.5" x14ac:dyDescent="0.35">
      <c r="A7804" s="10" t="s">
        <v>36776</v>
      </c>
      <c r="B7804" s="10" t="str">
        <f>"9780309061476"</f>
        <v>9780309061476</v>
      </c>
      <c r="C7804" s="10" t="str">
        <f>"9780309522458"</f>
        <v>9780309522458</v>
      </c>
      <c r="D7804" s="10" t="s">
        <v>36547</v>
      </c>
      <c r="E7804" s="10" t="s">
        <v>36547</v>
      </c>
      <c r="F7804" s="10" t="s">
        <v>36548</v>
      </c>
      <c r="G7804" s="10" t="s">
        <v>6317</v>
      </c>
      <c r="H7804" s="11">
        <v>36091</v>
      </c>
      <c r="I7804" s="10">
        <v>1998</v>
      </c>
      <c r="J7804" s="10" t="s">
        <v>36547</v>
      </c>
      <c r="K7804" s="10">
        <v>206</v>
      </c>
      <c r="L7804" s="10"/>
      <c r="M7804" s="10">
        <v>1</v>
      </c>
      <c r="N7804" s="10"/>
      <c r="O7804" s="10"/>
      <c r="P7804" s="10" t="s">
        <v>36777</v>
      </c>
      <c r="Q7804" s="10" t="s">
        <v>34537</v>
      </c>
      <c r="R7804" s="10" t="s">
        <v>36778</v>
      </c>
      <c r="S7804" s="10" t="s">
        <v>53</v>
      </c>
      <c r="T7804" s="10" t="s">
        <v>389</v>
      </c>
    </row>
    <row r="7805" spans="1:20" ht="14.5" x14ac:dyDescent="0.35">
      <c r="A7805" s="10" t="s">
        <v>36779</v>
      </c>
      <c r="B7805" s="10" t="str">
        <f>"9780309061919"</f>
        <v>9780309061919</v>
      </c>
      <c r="C7805" s="10" t="str">
        <f>"9780309523059"</f>
        <v>9780309523059</v>
      </c>
      <c r="D7805" s="10" t="s">
        <v>36547</v>
      </c>
      <c r="E7805" s="10" t="s">
        <v>36547</v>
      </c>
      <c r="F7805" s="10" t="s">
        <v>36548</v>
      </c>
      <c r="G7805" s="10" t="s">
        <v>6317</v>
      </c>
      <c r="H7805" s="11">
        <v>36171</v>
      </c>
      <c r="I7805" s="10">
        <v>1999</v>
      </c>
      <c r="J7805" s="10" t="s">
        <v>36547</v>
      </c>
      <c r="K7805" s="10">
        <v>332</v>
      </c>
      <c r="L7805" s="10" t="s">
        <v>36780</v>
      </c>
      <c r="M7805" s="10">
        <v>1</v>
      </c>
      <c r="N7805" s="10"/>
      <c r="O7805" s="10"/>
      <c r="P7805" s="10"/>
      <c r="Q7805" s="10" t="s">
        <v>36781</v>
      </c>
      <c r="R7805" s="10"/>
      <c r="S7805" s="10" t="s">
        <v>53</v>
      </c>
      <c r="T7805" s="10" t="s">
        <v>6363</v>
      </c>
    </row>
    <row r="7806" spans="1:20" ht="14.5" x14ac:dyDescent="0.35">
      <c r="A7806" s="10" t="s">
        <v>36782</v>
      </c>
      <c r="B7806" s="10" t="str">
        <f>"9780309054362"</f>
        <v>9780309054362</v>
      </c>
      <c r="C7806" s="10" t="str">
        <f>"9780309521970"</f>
        <v>9780309521970</v>
      </c>
      <c r="D7806" s="10" t="s">
        <v>36547</v>
      </c>
      <c r="E7806" s="10" t="s">
        <v>36547</v>
      </c>
      <c r="F7806" s="10" t="s">
        <v>88</v>
      </c>
      <c r="G7806" s="10" t="s">
        <v>6317</v>
      </c>
      <c r="H7806" s="11">
        <v>35370</v>
      </c>
      <c r="I7806" s="10">
        <v>1996</v>
      </c>
      <c r="J7806" s="10" t="s">
        <v>36547</v>
      </c>
      <c r="K7806" s="10">
        <v>278</v>
      </c>
      <c r="L7806" s="10" t="s">
        <v>36783</v>
      </c>
      <c r="M7806" s="10">
        <v>1</v>
      </c>
      <c r="N7806" s="10"/>
      <c r="O7806" s="10"/>
      <c r="P7806" s="10" t="s">
        <v>36784</v>
      </c>
      <c r="Q7806" s="10" t="s">
        <v>8587</v>
      </c>
      <c r="R7806" s="10" t="s">
        <v>36785</v>
      </c>
      <c r="S7806" s="10" t="s">
        <v>53</v>
      </c>
      <c r="T7806" s="10" t="s">
        <v>54</v>
      </c>
    </row>
    <row r="7807" spans="1:20" ht="14.5" x14ac:dyDescent="0.35">
      <c r="A7807" s="10" t="s">
        <v>36786</v>
      </c>
      <c r="B7807" s="10" t="str">
        <f>"9780309061773"</f>
        <v>9780309061773</v>
      </c>
      <c r="C7807" s="10" t="str">
        <f>"9780309522601"</f>
        <v>9780309522601</v>
      </c>
      <c r="D7807" s="10" t="s">
        <v>36547</v>
      </c>
      <c r="E7807" s="10" t="s">
        <v>36547</v>
      </c>
      <c r="F7807" s="10" t="s">
        <v>36548</v>
      </c>
      <c r="G7807" s="10" t="s">
        <v>6317</v>
      </c>
      <c r="H7807" s="11">
        <v>36016</v>
      </c>
      <c r="I7807" s="10">
        <v>1998</v>
      </c>
      <c r="J7807" s="10" t="s">
        <v>36547</v>
      </c>
      <c r="K7807" s="10">
        <v>46</v>
      </c>
      <c r="L7807" s="10" t="s">
        <v>36787</v>
      </c>
      <c r="M7807" s="10">
        <v>1</v>
      </c>
      <c r="N7807" s="10"/>
      <c r="O7807" s="10"/>
      <c r="P7807" s="10" t="s">
        <v>36788</v>
      </c>
      <c r="Q7807" s="10">
        <v>371.26</v>
      </c>
      <c r="R7807" s="10" t="s">
        <v>36789</v>
      </c>
      <c r="S7807" s="10" t="s">
        <v>53</v>
      </c>
      <c r="T7807" s="10" t="s">
        <v>54</v>
      </c>
    </row>
    <row r="7808" spans="1:20" ht="14.5" x14ac:dyDescent="0.35">
      <c r="A7808" s="10" t="s">
        <v>36790</v>
      </c>
      <c r="B7808" s="10" t="str">
        <f>"9780309056762"</f>
        <v>9780309056762</v>
      </c>
      <c r="C7808" s="10" t="str">
        <f>"9780309523806"</f>
        <v>9780309523806</v>
      </c>
      <c r="D7808" s="10" t="s">
        <v>36547</v>
      </c>
      <c r="E7808" s="10" t="s">
        <v>36547</v>
      </c>
      <c r="F7808" s="10" t="s">
        <v>36548</v>
      </c>
      <c r="G7808" s="10" t="s">
        <v>6317</v>
      </c>
      <c r="H7808" s="11">
        <v>35503</v>
      </c>
      <c r="I7808" s="10">
        <v>1997</v>
      </c>
      <c r="J7808" s="10" t="s">
        <v>36547</v>
      </c>
      <c r="K7808" s="10">
        <v>187</v>
      </c>
      <c r="L7808" s="10" t="s">
        <v>36791</v>
      </c>
      <c r="M7808" s="10">
        <v>1</v>
      </c>
      <c r="N7808" s="10"/>
      <c r="O7808" s="10"/>
      <c r="P7808" s="10" t="s">
        <v>36792</v>
      </c>
      <c r="Q7808" s="10" t="s">
        <v>36793</v>
      </c>
      <c r="R7808" s="10" t="s">
        <v>36794</v>
      </c>
      <c r="S7808" s="10" t="s">
        <v>53</v>
      </c>
      <c r="T7808" s="10" t="s">
        <v>36795</v>
      </c>
    </row>
    <row r="7809" spans="1:20" ht="14.5" x14ac:dyDescent="0.35">
      <c r="A7809" s="10" t="s">
        <v>36796</v>
      </c>
      <c r="B7809" s="10" t="str">
        <f>"9780309054973"</f>
        <v>9780309054973</v>
      </c>
      <c r="C7809" s="10" t="str">
        <f>"9780309522724"</f>
        <v>9780309522724</v>
      </c>
      <c r="D7809" s="10" t="s">
        <v>36547</v>
      </c>
      <c r="E7809" s="10" t="s">
        <v>36547</v>
      </c>
      <c r="F7809" s="10" t="s">
        <v>36548</v>
      </c>
      <c r="G7809" s="10" t="s">
        <v>6317</v>
      </c>
      <c r="H7809" s="11">
        <v>35566</v>
      </c>
      <c r="I7809" s="10">
        <v>1997</v>
      </c>
      <c r="J7809" s="10" t="s">
        <v>36547</v>
      </c>
      <c r="K7809" s="10">
        <v>499</v>
      </c>
      <c r="L7809" s="10" t="s">
        <v>36718</v>
      </c>
      <c r="M7809" s="10">
        <v>1</v>
      </c>
      <c r="N7809" s="10"/>
      <c r="O7809" s="10"/>
      <c r="P7809" s="10"/>
      <c r="Q7809" s="10"/>
      <c r="R7809" s="10"/>
      <c r="S7809" s="10" t="s">
        <v>53</v>
      </c>
      <c r="T7809" s="10" t="s">
        <v>54</v>
      </c>
    </row>
    <row r="7810" spans="1:20" ht="14.5" x14ac:dyDescent="0.35">
      <c r="A7810" s="10" t="s">
        <v>36797</v>
      </c>
      <c r="B7810" s="10" t="str">
        <f>"9780309054980"</f>
        <v>9780309054980</v>
      </c>
      <c r="C7810" s="10" t="str">
        <f>"9780309522755"</f>
        <v>9780309522755</v>
      </c>
      <c r="D7810" s="10" t="s">
        <v>36547</v>
      </c>
      <c r="E7810" s="10" t="s">
        <v>36547</v>
      </c>
      <c r="F7810" s="10" t="s">
        <v>36548</v>
      </c>
      <c r="G7810" s="10" t="s">
        <v>6317</v>
      </c>
      <c r="H7810" s="11">
        <v>35532</v>
      </c>
      <c r="I7810" s="10">
        <v>1997</v>
      </c>
      <c r="J7810" s="10" t="s">
        <v>36547</v>
      </c>
      <c r="K7810" s="10">
        <v>102</v>
      </c>
      <c r="L7810" s="10"/>
      <c r="M7810" s="10">
        <v>1</v>
      </c>
      <c r="N7810" s="10"/>
      <c r="O7810" s="10"/>
      <c r="P7810" s="10" t="s">
        <v>36798</v>
      </c>
      <c r="Q7810" s="10" t="s">
        <v>12647</v>
      </c>
      <c r="R7810" s="10" t="s">
        <v>36799</v>
      </c>
      <c r="S7810" s="10" t="s">
        <v>53</v>
      </c>
      <c r="T7810" s="10" t="s">
        <v>9608</v>
      </c>
    </row>
    <row r="7811" spans="1:20" ht="14.5" x14ac:dyDescent="0.35">
      <c r="A7811" s="10" t="s">
        <v>36800</v>
      </c>
      <c r="B7811" s="10" t="str">
        <f>"9780309062770"</f>
        <v>9780309062770</v>
      </c>
      <c r="C7811" s="10" t="str">
        <f>"9780309525046"</f>
        <v>9780309525046</v>
      </c>
      <c r="D7811" s="10" t="s">
        <v>36547</v>
      </c>
      <c r="E7811" s="10" t="s">
        <v>36547</v>
      </c>
      <c r="F7811" s="10" t="s">
        <v>36548</v>
      </c>
      <c r="G7811" s="10" t="s">
        <v>6317</v>
      </c>
      <c r="H7811" s="11">
        <v>36069</v>
      </c>
      <c r="I7811" s="10">
        <v>1999</v>
      </c>
      <c r="J7811" s="10" t="s">
        <v>36547</v>
      </c>
      <c r="K7811" s="10">
        <v>85</v>
      </c>
      <c r="L7811" s="10" t="s">
        <v>36801</v>
      </c>
      <c r="M7811" s="10">
        <v>1</v>
      </c>
      <c r="N7811" s="10"/>
      <c r="O7811" s="10"/>
      <c r="P7811" s="10" t="s">
        <v>36802</v>
      </c>
      <c r="Q7811" s="10"/>
      <c r="R7811" s="10" t="s">
        <v>36803</v>
      </c>
      <c r="S7811" s="10" t="s">
        <v>53</v>
      </c>
      <c r="T7811" s="10" t="s">
        <v>54</v>
      </c>
    </row>
    <row r="7812" spans="1:20" ht="14.5" x14ac:dyDescent="0.35">
      <c r="A7812" s="10" t="s">
        <v>36804</v>
      </c>
      <c r="B7812" s="10" t="str">
        <f>"9780309053938"</f>
        <v>9780309053938</v>
      </c>
      <c r="C7812" s="10" t="str">
        <f>"9780309521918"</f>
        <v>9780309521918</v>
      </c>
      <c r="D7812" s="10" t="s">
        <v>36547</v>
      </c>
      <c r="E7812" s="10" t="s">
        <v>36547</v>
      </c>
      <c r="F7812" s="10" t="s">
        <v>36548</v>
      </c>
      <c r="G7812" s="10" t="s">
        <v>6317</v>
      </c>
      <c r="H7812" s="11">
        <v>35183</v>
      </c>
      <c r="I7812" s="10">
        <v>1996</v>
      </c>
      <c r="J7812" s="10" t="s">
        <v>36547</v>
      </c>
      <c r="K7812" s="10">
        <v>158</v>
      </c>
      <c r="L7812" s="10"/>
      <c r="M7812" s="10">
        <v>1</v>
      </c>
      <c r="N7812" s="10"/>
      <c r="O7812" s="10"/>
      <c r="P7812" s="10" t="s">
        <v>36805</v>
      </c>
      <c r="Q7812" s="10" t="s">
        <v>36806</v>
      </c>
      <c r="R7812" s="10" t="s">
        <v>36807</v>
      </c>
      <c r="S7812" s="10" t="s">
        <v>53</v>
      </c>
      <c r="T7812" s="10" t="s">
        <v>36808</v>
      </c>
    </row>
    <row r="7813" spans="1:20" ht="14.5" x14ac:dyDescent="0.35">
      <c r="A7813" s="10" t="s">
        <v>36809</v>
      </c>
      <c r="B7813" s="10" t="str">
        <f>"9780309089784"</f>
        <v>9780309089784</v>
      </c>
      <c r="C7813" s="10" t="str">
        <f>"9780309526166"</f>
        <v>9780309526166</v>
      </c>
      <c r="D7813" s="10" t="s">
        <v>36547</v>
      </c>
      <c r="E7813" s="10" t="s">
        <v>36547</v>
      </c>
      <c r="F7813" s="10" t="s">
        <v>36548</v>
      </c>
      <c r="G7813" s="10" t="s">
        <v>6317</v>
      </c>
      <c r="H7813" s="11">
        <v>37911</v>
      </c>
      <c r="I7813" s="10">
        <v>2003</v>
      </c>
      <c r="J7813" s="10" t="s">
        <v>36547</v>
      </c>
      <c r="K7813" s="10">
        <v>75</v>
      </c>
      <c r="L7813" s="10"/>
      <c r="M7813" s="10">
        <v>1</v>
      </c>
      <c r="N7813" s="10"/>
      <c r="O7813" s="10"/>
      <c r="P7813" s="10" t="s">
        <v>36810</v>
      </c>
      <c r="Q7813" s="10">
        <v>379.15809730000001</v>
      </c>
      <c r="R7813" s="10" t="s">
        <v>36811</v>
      </c>
      <c r="S7813" s="10" t="s">
        <v>53</v>
      </c>
      <c r="T7813" s="10" t="s">
        <v>54</v>
      </c>
    </row>
    <row r="7814" spans="1:20" ht="14.5" x14ac:dyDescent="0.35">
      <c r="A7814" s="10" t="s">
        <v>36812</v>
      </c>
      <c r="B7814" s="10" t="str">
        <f>"9780309089296"</f>
        <v>9780309089296</v>
      </c>
      <c r="C7814" s="10" t="str">
        <f>"9780309509688"</f>
        <v>9780309509688</v>
      </c>
      <c r="D7814" s="10" t="s">
        <v>36547</v>
      </c>
      <c r="E7814" s="10" t="s">
        <v>36547</v>
      </c>
      <c r="F7814" s="10" t="s">
        <v>36548</v>
      </c>
      <c r="G7814" s="10" t="s">
        <v>6317</v>
      </c>
      <c r="H7814" s="11">
        <v>37800</v>
      </c>
      <c r="I7814" s="10">
        <v>2003</v>
      </c>
      <c r="J7814" s="10" t="s">
        <v>36547</v>
      </c>
      <c r="K7814" s="10">
        <v>176</v>
      </c>
      <c r="L7814" s="10" t="s">
        <v>36813</v>
      </c>
      <c r="M7814" s="10">
        <v>1</v>
      </c>
      <c r="N7814" s="10"/>
      <c r="O7814" s="10"/>
      <c r="P7814" s="10" t="s">
        <v>36814</v>
      </c>
      <c r="Q7814" s="10" t="s">
        <v>12647</v>
      </c>
      <c r="R7814" s="10" t="s">
        <v>36815</v>
      </c>
      <c r="S7814" s="10" t="s">
        <v>53</v>
      </c>
      <c r="T7814" s="10" t="s">
        <v>7193</v>
      </c>
    </row>
    <row r="7815" spans="1:20" ht="14.5" x14ac:dyDescent="0.35">
      <c r="A7815" s="10" t="s">
        <v>36816</v>
      </c>
      <c r="B7815" s="10" t="str">
        <f>"9780309089548"</f>
        <v>9780309089548</v>
      </c>
      <c r="C7815" s="10" t="str">
        <f>"9780309519403"</f>
        <v>9780309519403</v>
      </c>
      <c r="D7815" s="10" t="s">
        <v>36547</v>
      </c>
      <c r="E7815" s="10" t="s">
        <v>36547</v>
      </c>
      <c r="F7815" s="10" t="s">
        <v>36548</v>
      </c>
      <c r="G7815" s="10" t="s">
        <v>6317</v>
      </c>
      <c r="H7815" s="11">
        <v>37879</v>
      </c>
      <c r="I7815" s="10">
        <v>2003</v>
      </c>
      <c r="J7815" s="10" t="s">
        <v>36547</v>
      </c>
      <c r="K7815" s="10">
        <v>144</v>
      </c>
      <c r="L7815" s="10" t="s">
        <v>36817</v>
      </c>
      <c r="M7815" s="10">
        <v>1</v>
      </c>
      <c r="N7815" s="10"/>
      <c r="O7815" s="10"/>
      <c r="P7815" s="10" t="s">
        <v>36818</v>
      </c>
      <c r="Q7815" s="10" t="s">
        <v>11314</v>
      </c>
      <c r="R7815" s="10" t="s">
        <v>36819</v>
      </c>
      <c r="S7815" s="10" t="s">
        <v>53</v>
      </c>
      <c r="T7815" s="10" t="s">
        <v>54</v>
      </c>
    </row>
    <row r="7816" spans="1:20" ht="14.5" x14ac:dyDescent="0.35">
      <c r="A7816" s="10" t="s">
        <v>36820</v>
      </c>
      <c r="B7816" s="10" t="str">
        <f>"9780309089746"</f>
        <v>9780309089746</v>
      </c>
      <c r="C7816" s="10" t="str">
        <f>"9780309558990"</f>
        <v>9780309558990</v>
      </c>
      <c r="D7816" s="10" t="s">
        <v>36547</v>
      </c>
      <c r="E7816" s="10" t="s">
        <v>36547</v>
      </c>
      <c r="F7816" s="10" t="s">
        <v>36548</v>
      </c>
      <c r="G7816" s="10" t="s">
        <v>6317</v>
      </c>
      <c r="H7816" s="11">
        <v>37902</v>
      </c>
      <c r="I7816" s="10">
        <v>2003</v>
      </c>
      <c r="J7816" s="10" t="s">
        <v>36547</v>
      </c>
      <c r="K7816" s="10">
        <v>58</v>
      </c>
      <c r="L7816" s="10"/>
      <c r="M7816" s="10">
        <v>1</v>
      </c>
      <c r="N7816" s="10"/>
      <c r="O7816" s="10"/>
      <c r="P7816" s="10" t="s">
        <v>36821</v>
      </c>
      <c r="Q7816" s="10"/>
      <c r="R7816" s="10" t="s">
        <v>36606</v>
      </c>
      <c r="S7816" s="10" t="s">
        <v>53</v>
      </c>
      <c r="T7816" s="10" t="s">
        <v>54</v>
      </c>
    </row>
    <row r="7817" spans="1:20" ht="14.5" x14ac:dyDescent="0.35">
      <c r="A7817" s="10" t="s">
        <v>36822</v>
      </c>
      <c r="B7817" s="10" t="str">
        <f>"9780309088794"</f>
        <v>9780309088794</v>
      </c>
      <c r="C7817" s="10" t="str">
        <f>"9780309507271"</f>
        <v>9780309507271</v>
      </c>
      <c r="D7817" s="10" t="s">
        <v>36547</v>
      </c>
      <c r="E7817" s="10" t="s">
        <v>36547</v>
      </c>
      <c r="F7817" s="10" t="s">
        <v>36548</v>
      </c>
      <c r="G7817" s="10" t="s">
        <v>6317</v>
      </c>
      <c r="H7817" s="11">
        <v>37827</v>
      </c>
      <c r="I7817" s="10">
        <v>2003</v>
      </c>
      <c r="J7817" s="10" t="s">
        <v>36547</v>
      </c>
      <c r="K7817" s="10">
        <v>159</v>
      </c>
      <c r="L7817" s="10" t="s">
        <v>36823</v>
      </c>
      <c r="M7817" s="10">
        <v>1</v>
      </c>
      <c r="N7817" s="10"/>
      <c r="O7817" s="10"/>
      <c r="P7817" s="10" t="s">
        <v>36824</v>
      </c>
      <c r="Q7817" s="10" t="s">
        <v>7147</v>
      </c>
      <c r="R7817" s="10" t="s">
        <v>15936</v>
      </c>
      <c r="S7817" s="10" t="s">
        <v>53</v>
      </c>
      <c r="T7817" s="10" t="s">
        <v>54</v>
      </c>
    </row>
    <row r="7818" spans="1:20" ht="14.5" x14ac:dyDescent="0.35">
      <c r="A7818" s="10" t="s">
        <v>36825</v>
      </c>
      <c r="B7818" s="10" t="str">
        <f>"9780309090582"</f>
        <v>9780309090582</v>
      </c>
      <c r="C7818" s="10" t="str">
        <f>"9780309527088"</f>
        <v>9780309527088</v>
      </c>
      <c r="D7818" s="10" t="s">
        <v>36547</v>
      </c>
      <c r="E7818" s="10" t="s">
        <v>36547</v>
      </c>
      <c r="F7818" s="10" t="s">
        <v>36548</v>
      </c>
      <c r="G7818" s="10" t="s">
        <v>6317</v>
      </c>
      <c r="H7818" s="11">
        <v>37974</v>
      </c>
      <c r="I7818" s="10">
        <v>2003</v>
      </c>
      <c r="J7818" s="10" t="s">
        <v>36547</v>
      </c>
      <c r="K7818" s="10">
        <v>165</v>
      </c>
      <c r="L7818" s="10" t="s">
        <v>36826</v>
      </c>
      <c r="M7818" s="10">
        <v>1</v>
      </c>
      <c r="N7818" s="10"/>
      <c r="O7818" s="10"/>
      <c r="P7818" s="10" t="s">
        <v>36827</v>
      </c>
      <c r="Q7818" s="10" t="s">
        <v>36828</v>
      </c>
      <c r="R7818" s="10"/>
      <c r="S7818" s="10" t="s">
        <v>53</v>
      </c>
      <c r="T7818" s="10" t="s">
        <v>9608</v>
      </c>
    </row>
    <row r="7819" spans="1:20" ht="14.5" x14ac:dyDescent="0.35">
      <c r="A7819" s="10" t="s">
        <v>36829</v>
      </c>
      <c r="B7819" s="10" t="str">
        <f>"9780309090810"</f>
        <v>9780309090810</v>
      </c>
      <c r="C7819" s="10" t="str">
        <f>"9780309527620"</f>
        <v>9780309527620</v>
      </c>
      <c r="D7819" s="10" t="s">
        <v>36547</v>
      </c>
      <c r="E7819" s="10" t="s">
        <v>36547</v>
      </c>
      <c r="F7819" s="10" t="s">
        <v>36548</v>
      </c>
      <c r="G7819" s="10" t="s">
        <v>6317</v>
      </c>
      <c r="H7819" s="11">
        <v>37990</v>
      </c>
      <c r="I7819" s="10">
        <v>2004</v>
      </c>
      <c r="J7819" s="10" t="s">
        <v>36547</v>
      </c>
      <c r="K7819" s="10">
        <v>206</v>
      </c>
      <c r="L7819" s="10" t="s">
        <v>36830</v>
      </c>
      <c r="M7819" s="10">
        <v>1</v>
      </c>
      <c r="N7819" s="10"/>
      <c r="O7819" s="10"/>
      <c r="P7819" s="10" t="s">
        <v>36831</v>
      </c>
      <c r="Q7819" s="10" t="s">
        <v>7147</v>
      </c>
      <c r="R7819" s="10" t="s">
        <v>36832</v>
      </c>
      <c r="S7819" s="10" t="s">
        <v>53</v>
      </c>
      <c r="T7819" s="10" t="s">
        <v>54</v>
      </c>
    </row>
    <row r="7820" spans="1:20" ht="14.5" x14ac:dyDescent="0.35">
      <c r="A7820" s="10" t="s">
        <v>36833</v>
      </c>
      <c r="B7820" s="10" t="str">
        <f>"9780309084352"</f>
        <v>9780309084352</v>
      </c>
      <c r="C7820" s="10" t="str">
        <f>"9780309526906"</f>
        <v>9780309526906</v>
      </c>
      <c r="D7820" s="10" t="s">
        <v>36547</v>
      </c>
      <c r="E7820" s="10" t="s">
        <v>36547</v>
      </c>
      <c r="F7820" s="10" t="s">
        <v>36548</v>
      </c>
      <c r="G7820" s="10" t="s">
        <v>6317</v>
      </c>
      <c r="H7820" s="11">
        <v>37976</v>
      </c>
      <c r="I7820" s="10">
        <v>2004</v>
      </c>
      <c r="J7820" s="10" t="s">
        <v>36547</v>
      </c>
      <c r="K7820" s="10">
        <v>302</v>
      </c>
      <c r="L7820" s="10"/>
      <c r="M7820" s="10">
        <v>1</v>
      </c>
      <c r="N7820" s="10"/>
      <c r="O7820" s="10"/>
      <c r="P7820" s="10" t="s">
        <v>36834</v>
      </c>
      <c r="Q7820" s="10" t="s">
        <v>36835</v>
      </c>
      <c r="R7820" s="10" t="s">
        <v>36836</v>
      </c>
      <c r="S7820" s="10" t="s">
        <v>53</v>
      </c>
      <c r="T7820" s="10" t="s">
        <v>54</v>
      </c>
    </row>
    <row r="7821" spans="1:20" ht="14.5" x14ac:dyDescent="0.35">
      <c r="A7821" s="10" t="s">
        <v>36837</v>
      </c>
      <c r="B7821" s="10" t="str">
        <f>"9780309067898"</f>
        <v>9780309067898</v>
      </c>
      <c r="C7821" s="10" t="str">
        <f>"9780309513968"</f>
        <v>9780309513968</v>
      </c>
      <c r="D7821" s="10" t="s">
        <v>36547</v>
      </c>
      <c r="E7821" s="10" t="s">
        <v>36547</v>
      </c>
      <c r="F7821" s="10" t="s">
        <v>36548</v>
      </c>
      <c r="G7821" s="10" t="s">
        <v>6317</v>
      </c>
      <c r="H7821" s="11">
        <v>36511</v>
      </c>
      <c r="I7821" s="10">
        <v>1999</v>
      </c>
      <c r="J7821" s="10" t="s">
        <v>36547</v>
      </c>
      <c r="K7821" s="10">
        <v>96</v>
      </c>
      <c r="L7821" s="10" t="s">
        <v>36838</v>
      </c>
      <c r="M7821" s="10">
        <v>1</v>
      </c>
      <c r="N7821" s="10"/>
      <c r="O7821" s="10"/>
      <c r="P7821" s="10" t="s">
        <v>36839</v>
      </c>
      <c r="Q7821" s="10"/>
      <c r="R7821" s="10"/>
      <c r="S7821" s="10" t="s">
        <v>53</v>
      </c>
      <c r="T7821" s="10" t="s">
        <v>54</v>
      </c>
    </row>
    <row r="7822" spans="1:20" ht="14.5" x14ac:dyDescent="0.35">
      <c r="A7822" s="10" t="s">
        <v>36840</v>
      </c>
      <c r="B7822" s="10" t="str">
        <f>"9780309071932"</f>
        <v>9780309071932</v>
      </c>
      <c r="C7822" s="10" t="str">
        <f>"9780309513548"</f>
        <v>9780309513548</v>
      </c>
      <c r="D7822" s="10" t="s">
        <v>36547</v>
      </c>
      <c r="E7822" s="10" t="s">
        <v>36547</v>
      </c>
      <c r="F7822" s="10" t="s">
        <v>36548</v>
      </c>
      <c r="G7822" s="10" t="s">
        <v>6317</v>
      </c>
      <c r="H7822" s="11">
        <v>36834</v>
      </c>
      <c r="I7822" s="10">
        <v>2000</v>
      </c>
      <c r="J7822" s="10" t="s">
        <v>36547</v>
      </c>
      <c r="K7822" s="10">
        <v>58</v>
      </c>
      <c r="L7822" s="10" t="s">
        <v>36841</v>
      </c>
      <c r="M7822" s="10">
        <v>1</v>
      </c>
      <c r="N7822" s="10"/>
      <c r="O7822" s="10"/>
      <c r="P7822" s="10" t="s">
        <v>36842</v>
      </c>
      <c r="Q7822" s="10"/>
      <c r="R7822" s="10"/>
      <c r="S7822" s="10" t="s">
        <v>53</v>
      </c>
      <c r="T7822" s="10" t="s">
        <v>6363</v>
      </c>
    </row>
    <row r="7823" spans="1:20" ht="14.5" x14ac:dyDescent="0.35">
      <c r="A7823" s="10" t="s">
        <v>36843</v>
      </c>
      <c r="B7823" s="10" t="str">
        <f>"9780309073134"</f>
        <v>9780309073134</v>
      </c>
      <c r="C7823" s="10" t="str">
        <f>"9780309502573"</f>
        <v>9780309502573</v>
      </c>
      <c r="D7823" s="10" t="s">
        <v>36547</v>
      </c>
      <c r="E7823" s="10" t="s">
        <v>36547</v>
      </c>
      <c r="F7823" s="10" t="s">
        <v>36548</v>
      </c>
      <c r="G7823" s="10" t="s">
        <v>6317</v>
      </c>
      <c r="H7823" s="11">
        <v>36971</v>
      </c>
      <c r="I7823" s="10">
        <v>2001</v>
      </c>
      <c r="J7823" s="10" t="s">
        <v>36547</v>
      </c>
      <c r="K7823" s="10">
        <v>152</v>
      </c>
      <c r="L7823" s="10" t="s">
        <v>36640</v>
      </c>
      <c r="M7823" s="10">
        <v>1</v>
      </c>
      <c r="N7823" s="10"/>
      <c r="O7823" s="10"/>
      <c r="P7823" s="10" t="s">
        <v>36844</v>
      </c>
      <c r="Q7823" s="10"/>
      <c r="R7823" s="10"/>
      <c r="S7823" s="10" t="s">
        <v>53</v>
      </c>
      <c r="T7823" s="10" t="s">
        <v>54</v>
      </c>
    </row>
    <row r="7824" spans="1:20" ht="14.5" x14ac:dyDescent="0.35">
      <c r="A7824" s="10" t="s">
        <v>36845</v>
      </c>
      <c r="B7824" s="10" t="str">
        <f>"9780309070393"</f>
        <v>9780309070393</v>
      </c>
      <c r="C7824" s="10" t="str">
        <f>"9780309514972"</f>
        <v>9780309514972</v>
      </c>
      <c r="D7824" s="10" t="s">
        <v>36547</v>
      </c>
      <c r="E7824" s="10" t="s">
        <v>36547</v>
      </c>
      <c r="F7824" s="10" t="s">
        <v>36548</v>
      </c>
      <c r="G7824" s="10" t="s">
        <v>6317</v>
      </c>
      <c r="H7824" s="11">
        <v>36699</v>
      </c>
      <c r="I7824" s="10">
        <v>2000</v>
      </c>
      <c r="J7824" s="10" t="s">
        <v>36547</v>
      </c>
      <c r="K7824" s="10">
        <v>60</v>
      </c>
      <c r="L7824" s="10" t="s">
        <v>36846</v>
      </c>
      <c r="M7824" s="10">
        <v>1</v>
      </c>
      <c r="N7824" s="10"/>
      <c r="O7824" s="10"/>
      <c r="P7824" s="10" t="s">
        <v>36847</v>
      </c>
      <c r="Q7824" s="10"/>
      <c r="R7824" s="10"/>
      <c r="S7824" s="10" t="s">
        <v>53</v>
      </c>
      <c r="T7824" s="10" t="s">
        <v>6363</v>
      </c>
    </row>
    <row r="7825" spans="1:20" ht="14.5" x14ac:dyDescent="0.35">
      <c r="A7825" s="10" t="s">
        <v>36848</v>
      </c>
      <c r="B7825" s="10" t="str">
        <f>"9780309089913"</f>
        <v>9780309089913</v>
      </c>
      <c r="C7825" s="10" t="str">
        <f>"9780309526579"</f>
        <v>9780309526579</v>
      </c>
      <c r="D7825" s="10" t="s">
        <v>36547</v>
      </c>
      <c r="E7825" s="10" t="s">
        <v>36547</v>
      </c>
      <c r="F7825" s="10" t="s">
        <v>36548</v>
      </c>
      <c r="G7825" s="10" t="s">
        <v>6317</v>
      </c>
      <c r="H7825" s="11">
        <v>38056</v>
      </c>
      <c r="I7825" s="10">
        <v>2004</v>
      </c>
      <c r="J7825" s="10" t="s">
        <v>36547</v>
      </c>
      <c r="K7825" s="10">
        <v>56</v>
      </c>
      <c r="L7825" s="10" t="s">
        <v>36849</v>
      </c>
      <c r="M7825" s="10">
        <v>1</v>
      </c>
      <c r="N7825" s="10"/>
      <c r="O7825" s="10"/>
      <c r="P7825" s="10" t="s">
        <v>36850</v>
      </c>
      <c r="Q7825" s="10"/>
      <c r="R7825" s="10"/>
      <c r="S7825" s="10" t="s">
        <v>53</v>
      </c>
      <c r="T7825" s="10" t="s">
        <v>13819</v>
      </c>
    </row>
    <row r="7826" spans="1:20" ht="14.5" x14ac:dyDescent="0.35">
      <c r="A7826" s="10" t="s">
        <v>36851</v>
      </c>
      <c r="B7826" s="10" t="str">
        <f>"9780309083201"</f>
        <v>9780309083201</v>
      </c>
      <c r="C7826" s="10" t="str">
        <f>"9780309508872"</f>
        <v>9780309508872</v>
      </c>
      <c r="D7826" s="10" t="s">
        <v>36547</v>
      </c>
      <c r="E7826" s="10" t="s">
        <v>36547</v>
      </c>
      <c r="F7826" s="10" t="s">
        <v>36548</v>
      </c>
      <c r="G7826" s="10" t="s">
        <v>6317</v>
      </c>
      <c r="H7826" s="11">
        <v>37372</v>
      </c>
      <c r="I7826" s="10">
        <v>2002</v>
      </c>
      <c r="J7826" s="10" t="s">
        <v>36547</v>
      </c>
      <c r="K7826" s="10">
        <v>104</v>
      </c>
      <c r="L7826" s="10"/>
      <c r="M7826" s="10">
        <v>1</v>
      </c>
      <c r="N7826" s="10"/>
      <c r="O7826" s="10"/>
      <c r="P7826" s="10" t="s">
        <v>36852</v>
      </c>
      <c r="Q7826" s="10"/>
      <c r="R7826" s="10"/>
      <c r="S7826" s="10" t="s">
        <v>53</v>
      </c>
      <c r="T7826" s="10" t="s">
        <v>54</v>
      </c>
    </row>
    <row r="7827" spans="1:20" ht="14.5" x14ac:dyDescent="0.35">
      <c r="A7827" s="10" t="s">
        <v>36853</v>
      </c>
      <c r="B7827" s="10" t="str">
        <f>"9780309067973"</f>
        <v>9780309067973</v>
      </c>
      <c r="C7827" s="10" t="str">
        <f>"9780309516051"</f>
        <v>9780309516051</v>
      </c>
      <c r="D7827" s="10" t="s">
        <v>36547</v>
      </c>
      <c r="E7827" s="10" t="s">
        <v>36547</v>
      </c>
      <c r="F7827" s="10" t="s">
        <v>36548</v>
      </c>
      <c r="G7827" s="10" t="s">
        <v>6317</v>
      </c>
      <c r="H7827" s="11">
        <v>36596</v>
      </c>
      <c r="I7827" s="10">
        <v>2000</v>
      </c>
      <c r="J7827" s="10" t="s">
        <v>36547</v>
      </c>
      <c r="K7827" s="10">
        <v>269</v>
      </c>
      <c r="L7827" s="10"/>
      <c r="M7827" s="10">
        <v>1</v>
      </c>
      <c r="N7827" s="10"/>
      <c r="O7827" s="10"/>
      <c r="P7827" s="10" t="s">
        <v>36854</v>
      </c>
      <c r="Q7827" s="10"/>
      <c r="R7827" s="10"/>
      <c r="S7827" s="10" t="s">
        <v>53</v>
      </c>
      <c r="T7827" s="10" t="s">
        <v>389</v>
      </c>
    </row>
    <row r="7828" spans="1:20" ht="14.5" x14ac:dyDescent="0.35">
      <c r="A7828" s="10" t="s">
        <v>36855</v>
      </c>
      <c r="B7828" s="10" t="str">
        <f>"9780309072977"</f>
        <v>9780309072977</v>
      </c>
      <c r="C7828" s="10" t="str">
        <f>"9780309511339"</f>
        <v>9780309511339</v>
      </c>
      <c r="D7828" s="10" t="s">
        <v>36547</v>
      </c>
      <c r="E7828" s="10" t="s">
        <v>36547</v>
      </c>
      <c r="F7828" s="10" t="s">
        <v>36548</v>
      </c>
      <c r="G7828" s="10" t="s">
        <v>6317</v>
      </c>
      <c r="H7828" s="11">
        <v>36903</v>
      </c>
      <c r="I7828" s="10">
        <v>2000</v>
      </c>
      <c r="J7828" s="10" t="s">
        <v>36547</v>
      </c>
      <c r="K7828" s="10">
        <v>57</v>
      </c>
      <c r="L7828" s="10" t="s">
        <v>36856</v>
      </c>
      <c r="M7828" s="10">
        <v>1</v>
      </c>
      <c r="N7828" s="10"/>
      <c r="O7828" s="10"/>
      <c r="P7828" s="10" t="s">
        <v>36857</v>
      </c>
      <c r="Q7828" s="10"/>
      <c r="R7828" s="10"/>
      <c r="S7828" s="10" t="s">
        <v>53</v>
      </c>
      <c r="T7828" s="10" t="s">
        <v>6616</v>
      </c>
    </row>
    <row r="7829" spans="1:20" ht="14.5" x14ac:dyDescent="0.35">
      <c r="A7829" s="10" t="s">
        <v>36858</v>
      </c>
      <c r="B7829" s="10" t="str">
        <f>"9780309071796"</f>
        <v>9780309071796</v>
      </c>
      <c r="C7829" s="10" t="str">
        <f>"9780309513876"</f>
        <v>9780309513876</v>
      </c>
      <c r="D7829" s="10" t="s">
        <v>36547</v>
      </c>
      <c r="E7829" s="10" t="s">
        <v>36547</v>
      </c>
      <c r="F7829" s="10" t="s">
        <v>36548</v>
      </c>
      <c r="G7829" s="10" t="s">
        <v>6317</v>
      </c>
      <c r="H7829" s="11">
        <v>36811</v>
      </c>
      <c r="I7829" s="10">
        <v>2000</v>
      </c>
      <c r="J7829" s="10" t="s">
        <v>36547</v>
      </c>
      <c r="K7829" s="10">
        <v>72</v>
      </c>
      <c r="L7829" s="10" t="s">
        <v>36859</v>
      </c>
      <c r="M7829" s="10">
        <v>1</v>
      </c>
      <c r="N7829" s="10"/>
      <c r="O7829" s="10"/>
      <c r="P7829" s="10" t="s">
        <v>36860</v>
      </c>
      <c r="Q7829" s="10"/>
      <c r="R7829" s="10"/>
      <c r="S7829" s="10" t="s">
        <v>53</v>
      </c>
      <c r="T7829" s="10" t="s">
        <v>6363</v>
      </c>
    </row>
    <row r="7830" spans="1:20" ht="14.5" x14ac:dyDescent="0.35">
      <c r="A7830" s="10" t="s">
        <v>36861</v>
      </c>
      <c r="B7830" s="10" t="str">
        <f>"9780309075763"</f>
        <v>9780309075763</v>
      </c>
      <c r="C7830" s="10" t="str">
        <f>"9780309511032"</f>
        <v>9780309511032</v>
      </c>
      <c r="D7830" s="10" t="s">
        <v>36547</v>
      </c>
      <c r="E7830" s="10" t="s">
        <v>36547</v>
      </c>
      <c r="F7830" s="10" t="s">
        <v>36548</v>
      </c>
      <c r="G7830" s="10" t="s">
        <v>6317</v>
      </c>
      <c r="H7830" s="11">
        <v>37115</v>
      </c>
      <c r="I7830" s="10">
        <v>2001</v>
      </c>
      <c r="J7830" s="10" t="s">
        <v>36547</v>
      </c>
      <c r="K7830" s="10">
        <v>67</v>
      </c>
      <c r="L7830" s="10"/>
      <c r="M7830" s="10">
        <v>1</v>
      </c>
      <c r="N7830" s="10"/>
      <c r="O7830" s="10"/>
      <c r="P7830" s="10" t="s">
        <v>36862</v>
      </c>
      <c r="Q7830" s="10"/>
      <c r="R7830" s="10"/>
      <c r="S7830" s="10" t="s">
        <v>53</v>
      </c>
      <c r="T7830" s="10" t="s">
        <v>6363</v>
      </c>
    </row>
    <row r="7831" spans="1:20" ht="14.5" x14ac:dyDescent="0.35">
      <c r="A7831" s="10" t="s">
        <v>36863</v>
      </c>
      <c r="B7831" s="10" t="str">
        <f>"9780309088978"</f>
        <v>9780309088978</v>
      </c>
      <c r="C7831" s="10" t="str">
        <f>"9780309505390"</f>
        <v>9780309505390</v>
      </c>
      <c r="D7831" s="10" t="s">
        <v>36547</v>
      </c>
      <c r="E7831" s="10" t="s">
        <v>36547</v>
      </c>
      <c r="F7831" s="10" t="s">
        <v>36548</v>
      </c>
      <c r="G7831" s="10" t="s">
        <v>6317</v>
      </c>
      <c r="H7831" s="11">
        <v>37800</v>
      </c>
      <c r="I7831" s="10">
        <v>2003</v>
      </c>
      <c r="J7831" s="10" t="s">
        <v>36547</v>
      </c>
      <c r="K7831" s="10">
        <v>143</v>
      </c>
      <c r="L7831" s="10" t="s">
        <v>36864</v>
      </c>
      <c r="M7831" s="10">
        <v>1</v>
      </c>
      <c r="N7831" s="10"/>
      <c r="O7831" s="10"/>
      <c r="P7831" s="10" t="s">
        <v>36865</v>
      </c>
      <c r="Q7831" s="10"/>
      <c r="R7831" s="10"/>
      <c r="S7831" s="10" t="s">
        <v>53</v>
      </c>
      <c r="T7831" s="10" t="s">
        <v>54</v>
      </c>
    </row>
    <row r="7832" spans="1:20" ht="14.5" x14ac:dyDescent="0.35">
      <c r="A7832" s="10" t="s">
        <v>36866</v>
      </c>
      <c r="B7832" s="10" t="str">
        <f>"9780309056311"</f>
        <v>9780309056311</v>
      </c>
      <c r="C7832" s="10" t="str">
        <f>"9780309589925"</f>
        <v>9780309589925</v>
      </c>
      <c r="D7832" s="10" t="s">
        <v>36547</v>
      </c>
      <c r="E7832" s="10" t="s">
        <v>36547</v>
      </c>
      <c r="F7832" s="10" t="s">
        <v>36548</v>
      </c>
      <c r="G7832" s="10" t="s">
        <v>6317</v>
      </c>
      <c r="H7832" s="11">
        <v>35387</v>
      </c>
      <c r="I7832" s="10">
        <v>1996</v>
      </c>
      <c r="J7832" s="10" t="s">
        <v>36547</v>
      </c>
      <c r="K7832" s="10">
        <v>31</v>
      </c>
      <c r="L7832" s="10"/>
      <c r="M7832" s="10">
        <v>1</v>
      </c>
      <c r="N7832" s="10"/>
      <c r="O7832" s="10"/>
      <c r="P7832" s="10"/>
      <c r="Q7832" s="10"/>
      <c r="R7832" s="10"/>
      <c r="S7832" s="10" t="s">
        <v>53</v>
      </c>
      <c r="T7832" s="10" t="s">
        <v>54</v>
      </c>
    </row>
    <row r="7833" spans="1:20" ht="14.5" x14ac:dyDescent="0.35">
      <c r="A7833" s="10" t="s">
        <v>36867</v>
      </c>
      <c r="B7833" s="10" t="str">
        <f>"9780309052344"</f>
        <v>9780309052344</v>
      </c>
      <c r="C7833" s="10" t="str">
        <f>"9780309587822"</f>
        <v>9780309587822</v>
      </c>
      <c r="D7833" s="10" t="s">
        <v>36547</v>
      </c>
      <c r="E7833" s="10" t="s">
        <v>36547</v>
      </c>
      <c r="F7833" s="10" t="s">
        <v>36548</v>
      </c>
      <c r="G7833" s="10" t="s">
        <v>6317</v>
      </c>
      <c r="H7833" s="11">
        <v>34731</v>
      </c>
      <c r="I7833" s="10">
        <v>1993</v>
      </c>
      <c r="J7833" s="10" t="s">
        <v>36547</v>
      </c>
      <c r="K7833" s="10">
        <v>287</v>
      </c>
      <c r="L7833" s="10"/>
      <c r="M7833" s="10">
        <v>1</v>
      </c>
      <c r="N7833" s="10"/>
      <c r="O7833" s="10"/>
      <c r="P7833" s="10" t="s">
        <v>36868</v>
      </c>
      <c r="Q7833" s="10" t="s">
        <v>36869</v>
      </c>
      <c r="R7833" s="10" t="s">
        <v>36870</v>
      </c>
      <c r="S7833" s="10" t="s">
        <v>53</v>
      </c>
      <c r="T7833" s="10" t="s">
        <v>6363</v>
      </c>
    </row>
    <row r="7834" spans="1:20" ht="14.5" x14ac:dyDescent="0.35">
      <c r="A7834" s="10" t="s">
        <v>36871</v>
      </c>
      <c r="B7834" s="10" t="str">
        <f>"9780309091923"</f>
        <v>9780309091923</v>
      </c>
      <c r="C7834" s="10" t="str">
        <f>"9780309531559"</f>
        <v>9780309531559</v>
      </c>
      <c r="D7834" s="10" t="s">
        <v>36547</v>
      </c>
      <c r="E7834" s="10" t="s">
        <v>36547</v>
      </c>
      <c r="F7834" s="10" t="s">
        <v>36548</v>
      </c>
      <c r="G7834" s="10" t="s">
        <v>6317</v>
      </c>
      <c r="H7834" s="11">
        <v>38128</v>
      </c>
      <c r="I7834" s="10">
        <v>2004</v>
      </c>
      <c r="J7834" s="10" t="s">
        <v>36547</v>
      </c>
      <c r="K7834" s="10">
        <v>62</v>
      </c>
      <c r="L7834" s="10" t="s">
        <v>36872</v>
      </c>
      <c r="M7834" s="10">
        <v>1</v>
      </c>
      <c r="N7834" s="10"/>
      <c r="O7834" s="10"/>
      <c r="P7834" s="10" t="s">
        <v>36873</v>
      </c>
      <c r="Q7834" s="10"/>
      <c r="R7834" s="10" t="s">
        <v>36874</v>
      </c>
      <c r="S7834" s="10" t="s">
        <v>53</v>
      </c>
      <c r="T7834" s="10" t="s">
        <v>54</v>
      </c>
    </row>
    <row r="7835" spans="1:20" ht="14.5" x14ac:dyDescent="0.35">
      <c r="A7835" s="10" t="s">
        <v>36875</v>
      </c>
      <c r="B7835" s="10" t="str">
        <f>"9780309049993"</f>
        <v>9780309049993</v>
      </c>
      <c r="C7835" s="10" t="str">
        <f>"9780309586276"</f>
        <v>9780309586276</v>
      </c>
      <c r="D7835" s="10" t="s">
        <v>36547</v>
      </c>
      <c r="E7835" s="10" t="s">
        <v>36547</v>
      </c>
      <c r="F7835" s="10" t="s">
        <v>36548</v>
      </c>
      <c r="G7835" s="10" t="s">
        <v>6317</v>
      </c>
      <c r="H7835" s="11">
        <v>35214</v>
      </c>
      <c r="I7835" s="10">
        <v>1996</v>
      </c>
      <c r="J7835" s="10" t="s">
        <v>36547</v>
      </c>
      <c r="K7835" s="10">
        <v>250</v>
      </c>
      <c r="L7835" s="10"/>
      <c r="M7835" s="10">
        <v>1</v>
      </c>
      <c r="N7835" s="10"/>
      <c r="O7835" s="10"/>
      <c r="P7835" s="10" t="s">
        <v>36876</v>
      </c>
      <c r="Q7835" s="10" t="s">
        <v>36877</v>
      </c>
      <c r="R7835" s="10" t="s">
        <v>36878</v>
      </c>
      <c r="S7835" s="10" t="s">
        <v>53</v>
      </c>
      <c r="T7835" s="10" t="s">
        <v>13819</v>
      </c>
    </row>
    <row r="7836" spans="1:20" ht="14.5" x14ac:dyDescent="0.35">
      <c r="A7836" s="10" t="s">
        <v>36879</v>
      </c>
      <c r="B7836" s="10" t="str">
        <f>"9780309046435"</f>
        <v>9780309046435</v>
      </c>
      <c r="C7836" s="10" t="str">
        <f>"9780309584012"</f>
        <v>9780309584012</v>
      </c>
      <c r="D7836" s="10" t="s">
        <v>36547</v>
      </c>
      <c r="E7836" s="10" t="s">
        <v>36547</v>
      </c>
      <c r="F7836" s="10" t="s">
        <v>36548</v>
      </c>
      <c r="G7836" s="10" t="s">
        <v>6317</v>
      </c>
      <c r="H7836" s="11">
        <v>33635</v>
      </c>
      <c r="I7836" s="10">
        <v>1992</v>
      </c>
      <c r="J7836" s="10" t="s">
        <v>36547</v>
      </c>
      <c r="K7836" s="10">
        <v>70</v>
      </c>
      <c r="L7836" s="10"/>
      <c r="M7836" s="10">
        <v>1</v>
      </c>
      <c r="N7836" s="10"/>
      <c r="O7836" s="10"/>
      <c r="P7836" s="10" t="s">
        <v>36880</v>
      </c>
      <c r="Q7836" s="10" t="s">
        <v>36881</v>
      </c>
      <c r="R7836" s="10" t="s">
        <v>36882</v>
      </c>
      <c r="S7836" s="10" t="s">
        <v>53</v>
      </c>
      <c r="T7836" s="10" t="s">
        <v>54</v>
      </c>
    </row>
    <row r="7837" spans="1:20" ht="14.5" x14ac:dyDescent="0.35">
      <c r="A7837" s="10" t="s">
        <v>36883</v>
      </c>
      <c r="B7837" s="10" t="str">
        <f>"9780309058834"</f>
        <v>9780309058834</v>
      </c>
      <c r="C7837" s="10" t="str">
        <f>"9780309591034"</f>
        <v>9780309591034</v>
      </c>
      <c r="D7837" s="10" t="s">
        <v>36547</v>
      </c>
      <c r="E7837" s="10" t="s">
        <v>36547</v>
      </c>
      <c r="F7837" s="10" t="s">
        <v>36548</v>
      </c>
      <c r="G7837" s="10" t="s">
        <v>6317</v>
      </c>
      <c r="H7837" s="11">
        <v>35667</v>
      </c>
      <c r="I7837" s="10">
        <v>1997</v>
      </c>
      <c r="J7837" s="10" t="s">
        <v>36547</v>
      </c>
      <c r="K7837" s="10">
        <v>92</v>
      </c>
      <c r="L7837" s="10"/>
      <c r="M7837" s="10">
        <v>1</v>
      </c>
      <c r="N7837" s="10"/>
      <c r="O7837" s="10"/>
      <c r="P7837" s="10" t="s">
        <v>36884</v>
      </c>
      <c r="Q7837" s="10"/>
      <c r="R7837" s="10" t="s">
        <v>36885</v>
      </c>
      <c r="S7837" s="10" t="s">
        <v>53</v>
      </c>
      <c r="T7837" s="10" t="s">
        <v>389</v>
      </c>
    </row>
    <row r="7838" spans="1:20" ht="14.5" x14ac:dyDescent="0.35">
      <c r="A7838" s="10" t="s">
        <v>36886</v>
      </c>
      <c r="B7838" s="10" t="str">
        <f>"9780309047784"</f>
        <v>9780309047784</v>
      </c>
      <c r="C7838" s="10" t="str">
        <f>"9780309584753"</f>
        <v>9780309584753</v>
      </c>
      <c r="D7838" s="10" t="s">
        <v>36547</v>
      </c>
      <c r="E7838" s="10" t="s">
        <v>36547</v>
      </c>
      <c r="F7838" s="10" t="s">
        <v>36548</v>
      </c>
      <c r="G7838" s="10" t="s">
        <v>6317</v>
      </c>
      <c r="H7838" s="11">
        <v>33635</v>
      </c>
      <c r="I7838" s="10">
        <v>1992</v>
      </c>
      <c r="J7838" s="10" t="s">
        <v>36547</v>
      </c>
      <c r="K7838" s="10">
        <v>238</v>
      </c>
      <c r="L7838" s="10" t="s">
        <v>36887</v>
      </c>
      <c r="M7838" s="10">
        <v>1</v>
      </c>
      <c r="N7838" s="10"/>
      <c r="O7838" s="10"/>
      <c r="P7838" s="10" t="s">
        <v>36888</v>
      </c>
      <c r="Q7838" s="10" t="s">
        <v>9817</v>
      </c>
      <c r="R7838" s="10" t="s">
        <v>36889</v>
      </c>
      <c r="S7838" s="10" t="s">
        <v>53</v>
      </c>
      <c r="T7838" s="10" t="s">
        <v>36890</v>
      </c>
    </row>
    <row r="7839" spans="1:20" ht="14.5" x14ac:dyDescent="0.35">
      <c r="A7839" s="10" t="s">
        <v>36891</v>
      </c>
      <c r="B7839" s="10" t="str">
        <f>"9780309049818"</f>
        <v>9780309049818</v>
      </c>
      <c r="C7839" s="10" t="str">
        <f>"9780309586030"</f>
        <v>9780309586030</v>
      </c>
      <c r="D7839" s="10" t="s">
        <v>36547</v>
      </c>
      <c r="E7839" s="10" t="s">
        <v>36547</v>
      </c>
      <c r="F7839" s="10" t="s">
        <v>36548</v>
      </c>
      <c r="G7839" s="10" t="s">
        <v>6317</v>
      </c>
      <c r="H7839" s="11">
        <v>34001</v>
      </c>
      <c r="I7839" s="10">
        <v>1993</v>
      </c>
      <c r="J7839" s="10" t="s">
        <v>36547</v>
      </c>
      <c r="K7839" s="10">
        <v>239</v>
      </c>
      <c r="L7839" s="10"/>
      <c r="M7839" s="10">
        <v>1</v>
      </c>
      <c r="N7839" s="10"/>
      <c r="O7839" s="10"/>
      <c r="P7839" s="10" t="s">
        <v>36892</v>
      </c>
      <c r="Q7839" s="10" t="s">
        <v>36893</v>
      </c>
      <c r="R7839" s="10" t="s">
        <v>36894</v>
      </c>
      <c r="S7839" s="10" t="s">
        <v>53</v>
      </c>
      <c r="T7839" s="10" t="s">
        <v>389</v>
      </c>
    </row>
    <row r="7840" spans="1:20" ht="14.5" x14ac:dyDescent="0.35">
      <c r="A7840" s="10" t="s">
        <v>36895</v>
      </c>
      <c r="B7840" s="10" t="str">
        <f>"9780309048453"</f>
        <v>9780309048453</v>
      </c>
      <c r="C7840" s="10" t="str">
        <f>"9780309585293"</f>
        <v>9780309585293</v>
      </c>
      <c r="D7840" s="10" t="s">
        <v>36547</v>
      </c>
      <c r="E7840" s="10" t="s">
        <v>36547</v>
      </c>
      <c r="F7840" s="10" t="s">
        <v>36548</v>
      </c>
      <c r="G7840" s="10" t="s">
        <v>6317</v>
      </c>
      <c r="H7840" s="11">
        <v>34001</v>
      </c>
      <c r="I7840" s="10">
        <v>1993</v>
      </c>
      <c r="J7840" s="10" t="s">
        <v>36547</v>
      </c>
      <c r="K7840" s="10">
        <v>176</v>
      </c>
      <c r="L7840" s="10"/>
      <c r="M7840" s="10">
        <v>1</v>
      </c>
      <c r="N7840" s="10"/>
      <c r="O7840" s="10"/>
      <c r="P7840" s="10" t="s">
        <v>36896</v>
      </c>
      <c r="Q7840" s="10" t="s">
        <v>36897</v>
      </c>
      <c r="R7840" s="10" t="s">
        <v>36898</v>
      </c>
      <c r="S7840" s="10" t="s">
        <v>53</v>
      </c>
      <c r="T7840" s="10" t="s">
        <v>7425</v>
      </c>
    </row>
    <row r="7841" spans="1:20" ht="14.5" x14ac:dyDescent="0.35">
      <c r="A7841" s="10" t="s">
        <v>36899</v>
      </c>
      <c r="B7841" s="10" t="str">
        <f>"9780309056991"</f>
        <v>9780309056991</v>
      </c>
      <c r="C7841" s="10" t="str">
        <f>"9780309590228"</f>
        <v>9780309590228</v>
      </c>
      <c r="D7841" s="10" t="s">
        <v>36547</v>
      </c>
      <c r="E7841" s="10" t="s">
        <v>36547</v>
      </c>
      <c r="F7841" s="10" t="s">
        <v>36548</v>
      </c>
      <c r="G7841" s="10" t="s">
        <v>6317</v>
      </c>
      <c r="H7841" s="11">
        <v>35492</v>
      </c>
      <c r="I7841" s="10">
        <v>1997</v>
      </c>
      <c r="J7841" s="10" t="s">
        <v>36547</v>
      </c>
      <c r="K7841" s="10">
        <v>36</v>
      </c>
      <c r="L7841" s="10"/>
      <c r="M7841" s="10">
        <v>1</v>
      </c>
      <c r="N7841" s="10"/>
      <c r="O7841" s="10"/>
      <c r="P7841" s="10" t="s">
        <v>36900</v>
      </c>
      <c r="Q7841" s="10" t="s">
        <v>36901</v>
      </c>
      <c r="R7841" s="10" t="s">
        <v>36902</v>
      </c>
      <c r="S7841" s="10" t="s">
        <v>53</v>
      </c>
      <c r="T7841" s="10" t="s">
        <v>36903</v>
      </c>
    </row>
    <row r="7842" spans="1:20" ht="14.5" x14ac:dyDescent="0.35">
      <c r="A7842" s="10" t="s">
        <v>36904</v>
      </c>
      <c r="B7842" s="10" t="str">
        <f>"9780309044981"</f>
        <v>9780309044981</v>
      </c>
      <c r="C7842" s="10" t="str">
        <f>"9780309583459"</f>
        <v>9780309583459</v>
      </c>
      <c r="D7842" s="10" t="s">
        <v>36547</v>
      </c>
      <c r="E7842" s="10" t="s">
        <v>36547</v>
      </c>
      <c r="F7842" s="10" t="s">
        <v>36548</v>
      </c>
      <c r="G7842" s="10" t="s">
        <v>6317</v>
      </c>
      <c r="H7842" s="11">
        <v>33270</v>
      </c>
      <c r="I7842" s="10">
        <v>1991</v>
      </c>
      <c r="J7842" s="10" t="s">
        <v>36547</v>
      </c>
      <c r="K7842" s="10">
        <v>167</v>
      </c>
      <c r="L7842" s="10" t="s">
        <v>36905</v>
      </c>
      <c r="M7842" s="10">
        <v>1</v>
      </c>
      <c r="N7842" s="10"/>
      <c r="O7842" s="10"/>
      <c r="P7842" s="10" t="s">
        <v>36906</v>
      </c>
      <c r="Q7842" s="10" t="s">
        <v>36907</v>
      </c>
      <c r="R7842" s="10" t="s">
        <v>36908</v>
      </c>
      <c r="S7842" s="10" t="s">
        <v>53</v>
      </c>
      <c r="T7842" s="10" t="s">
        <v>8003</v>
      </c>
    </row>
    <row r="7843" spans="1:20" ht="14.5" x14ac:dyDescent="0.35">
      <c r="A7843" s="10" t="s">
        <v>36909</v>
      </c>
      <c r="B7843" s="10" t="str">
        <f>"9780309041492"</f>
        <v>9780309041492</v>
      </c>
      <c r="C7843" s="10" t="str">
        <f>"9780309582292"</f>
        <v>9780309582292</v>
      </c>
      <c r="D7843" s="10" t="s">
        <v>36547</v>
      </c>
      <c r="E7843" s="10" t="s">
        <v>36547</v>
      </c>
      <c r="F7843" s="10" t="s">
        <v>36548</v>
      </c>
      <c r="G7843" s="10" t="s">
        <v>6317</v>
      </c>
      <c r="H7843" s="11">
        <v>32905</v>
      </c>
      <c r="I7843" s="10">
        <v>1990</v>
      </c>
      <c r="J7843" s="10" t="s">
        <v>36547</v>
      </c>
      <c r="K7843" s="10">
        <v>159</v>
      </c>
      <c r="L7843" s="10"/>
      <c r="M7843" s="10">
        <v>1</v>
      </c>
      <c r="N7843" s="10"/>
      <c r="O7843" s="10"/>
      <c r="P7843" s="10" t="s">
        <v>8561</v>
      </c>
      <c r="Q7843" s="10" t="s">
        <v>36910</v>
      </c>
      <c r="R7843" s="10" t="s">
        <v>36911</v>
      </c>
      <c r="S7843" s="10" t="s">
        <v>53</v>
      </c>
      <c r="T7843" s="10" t="s">
        <v>54</v>
      </c>
    </row>
    <row r="7844" spans="1:20" ht="14.5" x14ac:dyDescent="0.35">
      <c r="A7844" s="10" t="s">
        <v>36912</v>
      </c>
      <c r="B7844" s="10" t="str">
        <f>"9780309049351"</f>
        <v>9780309049351</v>
      </c>
      <c r="C7844" s="10" t="str">
        <f>"9780309585743"</f>
        <v>9780309585743</v>
      </c>
      <c r="D7844" s="10" t="s">
        <v>36547</v>
      </c>
      <c r="E7844" s="10" t="s">
        <v>36547</v>
      </c>
      <c r="F7844" s="10" t="s">
        <v>36548</v>
      </c>
      <c r="G7844" s="10" t="s">
        <v>6317</v>
      </c>
      <c r="H7844" s="11">
        <v>34366</v>
      </c>
      <c r="I7844" s="10">
        <v>1994</v>
      </c>
      <c r="J7844" s="10" t="s">
        <v>36547</v>
      </c>
      <c r="K7844" s="10">
        <v>222</v>
      </c>
      <c r="L7844" s="10" t="s">
        <v>36913</v>
      </c>
      <c r="M7844" s="10">
        <v>1</v>
      </c>
      <c r="N7844" s="10"/>
      <c r="O7844" s="10"/>
      <c r="P7844" s="10" t="s">
        <v>36914</v>
      </c>
      <c r="Q7844" s="10" t="s">
        <v>36915</v>
      </c>
      <c r="R7844" s="10" t="s">
        <v>36916</v>
      </c>
      <c r="S7844" s="10" t="s">
        <v>53</v>
      </c>
      <c r="T7844" s="10" t="s">
        <v>54</v>
      </c>
    </row>
    <row r="7845" spans="1:20" ht="14.5" x14ac:dyDescent="0.35">
      <c r="A7845" s="10" t="s">
        <v>36917</v>
      </c>
      <c r="B7845" s="10" t="str">
        <f>"9780309044899"</f>
        <v>9780309044899</v>
      </c>
      <c r="C7845" s="10" t="str">
        <f>"9780309583336"</f>
        <v>9780309583336</v>
      </c>
      <c r="D7845" s="10" t="s">
        <v>36547</v>
      </c>
      <c r="E7845" s="10" t="s">
        <v>36547</v>
      </c>
      <c r="F7845" s="10" t="s">
        <v>36548</v>
      </c>
      <c r="G7845" s="10" t="s">
        <v>6317</v>
      </c>
      <c r="H7845" s="11">
        <v>33270</v>
      </c>
      <c r="I7845" s="10">
        <v>1991</v>
      </c>
      <c r="J7845" s="10" t="s">
        <v>36547</v>
      </c>
      <c r="K7845" s="10">
        <v>74</v>
      </c>
      <c r="L7845" s="10"/>
      <c r="M7845" s="10">
        <v>1</v>
      </c>
      <c r="N7845" s="10"/>
      <c r="O7845" s="10"/>
      <c r="P7845" s="10" t="s">
        <v>36918</v>
      </c>
      <c r="Q7845" s="10" t="s">
        <v>36919</v>
      </c>
      <c r="R7845" s="10" t="s">
        <v>36920</v>
      </c>
      <c r="S7845" s="10" t="s">
        <v>53</v>
      </c>
      <c r="T7845" s="10" t="s">
        <v>389</v>
      </c>
    </row>
    <row r="7846" spans="1:20" ht="14.5" x14ac:dyDescent="0.35">
      <c r="A7846" s="10" t="s">
        <v>36921</v>
      </c>
      <c r="B7846" s="10" t="str">
        <f>"9780309062947"</f>
        <v>9780309062947</v>
      </c>
      <c r="C7846" s="10" t="str">
        <f>"9780309592581"</f>
        <v>9780309592581</v>
      </c>
      <c r="D7846" s="10" t="s">
        <v>36547</v>
      </c>
      <c r="E7846" s="10" t="s">
        <v>36547</v>
      </c>
      <c r="F7846" s="10" t="s">
        <v>36548</v>
      </c>
      <c r="G7846" s="10" t="s">
        <v>6317</v>
      </c>
      <c r="H7846" s="11">
        <v>36275</v>
      </c>
      <c r="I7846" s="10">
        <v>1999</v>
      </c>
      <c r="J7846" s="10" t="s">
        <v>36547</v>
      </c>
      <c r="K7846" s="10">
        <v>127</v>
      </c>
      <c r="L7846" s="10"/>
      <c r="M7846" s="10">
        <v>1</v>
      </c>
      <c r="N7846" s="10"/>
      <c r="O7846" s="10"/>
      <c r="P7846" s="10" t="s">
        <v>36922</v>
      </c>
      <c r="Q7846" s="10" t="s">
        <v>9606</v>
      </c>
      <c r="R7846" s="10" t="s">
        <v>36923</v>
      </c>
      <c r="S7846" s="10" t="s">
        <v>53</v>
      </c>
      <c r="T7846" s="10" t="s">
        <v>9608</v>
      </c>
    </row>
    <row r="7847" spans="1:20" ht="14.5" x14ac:dyDescent="0.35">
      <c r="A7847" s="10" t="s">
        <v>36924</v>
      </c>
      <c r="B7847" s="10" t="str">
        <f>"9780309042499"</f>
        <v>9780309042499</v>
      </c>
      <c r="C7847" s="10" t="str">
        <f>"9780309582643"</f>
        <v>9780309582643</v>
      </c>
      <c r="D7847" s="10" t="s">
        <v>36547</v>
      </c>
      <c r="E7847" s="10" t="s">
        <v>36547</v>
      </c>
      <c r="F7847" s="10" t="s">
        <v>36548</v>
      </c>
      <c r="G7847" s="10" t="s">
        <v>6317</v>
      </c>
      <c r="H7847" s="11">
        <v>32905</v>
      </c>
      <c r="I7847" s="10">
        <v>1990</v>
      </c>
      <c r="J7847" s="10" t="s">
        <v>36547</v>
      </c>
      <c r="K7847" s="10">
        <v>123</v>
      </c>
      <c r="L7847" s="10"/>
      <c r="M7847" s="10">
        <v>1</v>
      </c>
      <c r="N7847" s="10"/>
      <c r="O7847" s="10"/>
      <c r="P7847" s="10" t="s">
        <v>36925</v>
      </c>
      <c r="Q7847" s="10" t="s">
        <v>36926</v>
      </c>
      <c r="R7847" s="10" t="s">
        <v>36927</v>
      </c>
      <c r="S7847" s="10" t="s">
        <v>53</v>
      </c>
      <c r="T7847" s="10" t="s">
        <v>36928</v>
      </c>
    </row>
    <row r="7848" spans="1:20" ht="14.5" x14ac:dyDescent="0.35">
      <c r="A7848" s="10" t="s">
        <v>36929</v>
      </c>
      <c r="B7848" s="10" t="str">
        <f>"9780309047920"</f>
        <v>9780309047920</v>
      </c>
      <c r="C7848" s="10" t="str">
        <f>"9780309584968"</f>
        <v>9780309584968</v>
      </c>
      <c r="D7848" s="10" t="s">
        <v>36547</v>
      </c>
      <c r="E7848" s="10" t="s">
        <v>36547</v>
      </c>
      <c r="F7848" s="10" t="s">
        <v>36548</v>
      </c>
      <c r="G7848" s="10" t="s">
        <v>6317</v>
      </c>
      <c r="H7848" s="11">
        <v>33635</v>
      </c>
      <c r="I7848" s="10">
        <v>1992</v>
      </c>
      <c r="J7848" s="10" t="s">
        <v>36547</v>
      </c>
      <c r="K7848" s="10">
        <v>343</v>
      </c>
      <c r="L7848" s="10" t="s">
        <v>36930</v>
      </c>
      <c r="M7848" s="10">
        <v>1</v>
      </c>
      <c r="N7848" s="10"/>
      <c r="O7848" s="10"/>
      <c r="P7848" s="10" t="s">
        <v>36931</v>
      </c>
      <c r="Q7848" s="10" t="s">
        <v>36932</v>
      </c>
      <c r="R7848" s="10" t="s">
        <v>36933</v>
      </c>
      <c r="S7848" s="10" t="s">
        <v>53</v>
      </c>
      <c r="T7848" s="10" t="s">
        <v>8723</v>
      </c>
    </row>
    <row r="7849" spans="1:20" ht="14.5" x14ac:dyDescent="0.35">
      <c r="A7849" s="10" t="s">
        <v>36934</v>
      </c>
      <c r="B7849" s="10" t="str">
        <f>"9780309063630"</f>
        <v>9780309063630</v>
      </c>
      <c r="C7849" s="10" t="str">
        <f>"9780309592765"</f>
        <v>9780309592765</v>
      </c>
      <c r="D7849" s="10" t="s">
        <v>36547</v>
      </c>
      <c r="E7849" s="10" t="s">
        <v>36547</v>
      </c>
      <c r="F7849" s="10" t="s">
        <v>36548</v>
      </c>
      <c r="G7849" s="10" t="s">
        <v>6317</v>
      </c>
      <c r="H7849" s="11">
        <v>35672</v>
      </c>
      <c r="I7849" s="10">
        <v>1997</v>
      </c>
      <c r="J7849" s="10" t="s">
        <v>36547</v>
      </c>
      <c r="K7849" s="10">
        <v>96</v>
      </c>
      <c r="L7849" s="10"/>
      <c r="M7849" s="10">
        <v>1</v>
      </c>
      <c r="N7849" s="10"/>
      <c r="O7849" s="10"/>
      <c r="P7849" s="10" t="s">
        <v>36935</v>
      </c>
      <c r="Q7849" s="10"/>
      <c r="R7849" s="10" t="s">
        <v>36936</v>
      </c>
      <c r="S7849" s="10" t="s">
        <v>53</v>
      </c>
      <c r="T7849" s="10" t="s">
        <v>5557</v>
      </c>
    </row>
    <row r="7850" spans="1:20" ht="14.5" x14ac:dyDescent="0.35">
      <c r="A7850" s="10" t="s">
        <v>36937</v>
      </c>
      <c r="B7850" s="10" t="str">
        <f>"9780309050333"</f>
        <v>9780309050333</v>
      </c>
      <c r="C7850" s="10" t="str">
        <f>"9780309586382"</f>
        <v>9780309586382</v>
      </c>
      <c r="D7850" s="10" t="s">
        <v>36547</v>
      </c>
      <c r="E7850" s="10" t="s">
        <v>36547</v>
      </c>
      <c r="F7850" s="10" t="s">
        <v>36548</v>
      </c>
      <c r="G7850" s="10" t="s">
        <v>6317</v>
      </c>
      <c r="H7850" s="11">
        <v>34366</v>
      </c>
      <c r="I7850" s="10">
        <v>1994</v>
      </c>
      <c r="J7850" s="10" t="s">
        <v>36547</v>
      </c>
      <c r="K7850" s="10">
        <v>149</v>
      </c>
      <c r="L7850" s="10"/>
      <c r="M7850" s="10">
        <v>1</v>
      </c>
      <c r="N7850" s="10"/>
      <c r="O7850" s="10"/>
      <c r="P7850" s="10" t="s">
        <v>36938</v>
      </c>
      <c r="Q7850" s="10" t="s">
        <v>36939</v>
      </c>
      <c r="R7850" s="10" t="s">
        <v>36940</v>
      </c>
      <c r="S7850" s="10" t="s">
        <v>53</v>
      </c>
      <c r="T7850" s="10" t="s">
        <v>389</v>
      </c>
    </row>
    <row r="7851" spans="1:20" ht="14.5" x14ac:dyDescent="0.35">
      <c r="A7851" s="10" t="s">
        <v>36941</v>
      </c>
      <c r="B7851" s="10" t="str">
        <f>"9780309058889"</f>
        <v>9780309058889</v>
      </c>
      <c r="C7851" s="10" t="str">
        <f>"9780309591096"</f>
        <v>9780309591096</v>
      </c>
      <c r="D7851" s="10" t="s">
        <v>36547</v>
      </c>
      <c r="E7851" s="10" t="s">
        <v>36547</v>
      </c>
      <c r="F7851" s="10" t="s">
        <v>36548</v>
      </c>
      <c r="G7851" s="10" t="s">
        <v>6317</v>
      </c>
      <c r="H7851" s="11">
        <v>35666</v>
      </c>
      <c r="I7851" s="10">
        <v>1997</v>
      </c>
      <c r="J7851" s="10" t="s">
        <v>36547</v>
      </c>
      <c r="K7851" s="10">
        <v>56</v>
      </c>
      <c r="L7851" s="10"/>
      <c r="M7851" s="10">
        <v>1</v>
      </c>
      <c r="N7851" s="10"/>
      <c r="O7851" s="10"/>
      <c r="P7851" s="10" t="s">
        <v>36942</v>
      </c>
      <c r="Q7851" s="10"/>
      <c r="R7851" s="10" t="s">
        <v>36943</v>
      </c>
      <c r="S7851" s="10" t="s">
        <v>53</v>
      </c>
      <c r="T7851" s="10" t="s">
        <v>389</v>
      </c>
    </row>
    <row r="7852" spans="1:20" ht="14.5" x14ac:dyDescent="0.35">
      <c r="A7852" s="10" t="s">
        <v>36944</v>
      </c>
      <c r="B7852" s="10" t="str">
        <f>"9780309059862"</f>
        <v>9780309059862</v>
      </c>
      <c r="C7852" s="10" t="str">
        <f>"9780309591560"</f>
        <v>9780309591560</v>
      </c>
      <c r="D7852" s="10" t="s">
        <v>36547</v>
      </c>
      <c r="E7852" s="10" t="s">
        <v>36547</v>
      </c>
      <c r="F7852" s="10" t="s">
        <v>36548</v>
      </c>
      <c r="G7852" s="10" t="s">
        <v>6317</v>
      </c>
      <c r="H7852" s="11">
        <v>35814</v>
      </c>
      <c r="I7852" s="10">
        <v>1998</v>
      </c>
      <c r="J7852" s="10" t="s">
        <v>36547</v>
      </c>
      <c r="K7852" s="10">
        <v>32</v>
      </c>
      <c r="L7852" s="10"/>
      <c r="M7852" s="10">
        <v>1</v>
      </c>
      <c r="N7852" s="10"/>
      <c r="O7852" s="10"/>
      <c r="P7852" s="10" t="s">
        <v>36945</v>
      </c>
      <c r="Q7852" s="10" t="s">
        <v>36946</v>
      </c>
      <c r="R7852" s="10" t="s">
        <v>36947</v>
      </c>
      <c r="S7852" s="10" t="s">
        <v>53</v>
      </c>
      <c r="T7852" s="10" t="s">
        <v>6800</v>
      </c>
    </row>
    <row r="7853" spans="1:20" ht="14.5" x14ac:dyDescent="0.35">
      <c r="A7853" s="10" t="s">
        <v>36948</v>
      </c>
      <c r="B7853" s="10" t="str">
        <f>"9780309054829"</f>
        <v>9780309054829</v>
      </c>
      <c r="C7853" s="10" t="str">
        <f>"9780309589116"</f>
        <v>9780309589116</v>
      </c>
      <c r="D7853" s="10" t="s">
        <v>36547</v>
      </c>
      <c r="E7853" s="10" t="s">
        <v>36547</v>
      </c>
      <c r="F7853" s="10" t="s">
        <v>36548</v>
      </c>
      <c r="G7853" s="10" t="s">
        <v>6317</v>
      </c>
      <c r="H7853" s="11">
        <v>35464</v>
      </c>
      <c r="I7853" s="10">
        <v>1996</v>
      </c>
      <c r="J7853" s="10" t="s">
        <v>36547</v>
      </c>
      <c r="K7853" s="10">
        <v>90</v>
      </c>
      <c r="L7853" s="10"/>
      <c r="M7853" s="10">
        <v>1</v>
      </c>
      <c r="N7853" s="10"/>
      <c r="O7853" s="10"/>
      <c r="P7853" s="10"/>
      <c r="Q7853" s="10"/>
      <c r="R7853" s="10"/>
      <c r="S7853" s="10" t="s">
        <v>53</v>
      </c>
      <c r="T7853" s="10" t="s">
        <v>54</v>
      </c>
    </row>
    <row r="7854" spans="1:20" ht="14.5" x14ac:dyDescent="0.35">
      <c r="A7854" s="10" t="s">
        <v>36949</v>
      </c>
      <c r="B7854" s="10" t="str">
        <f>"9780309054850"</f>
        <v>9780309054850</v>
      </c>
      <c r="C7854" s="10" t="str">
        <f>"9780309589147"</f>
        <v>9780309589147</v>
      </c>
      <c r="D7854" s="10" t="s">
        <v>36547</v>
      </c>
      <c r="E7854" s="10" t="s">
        <v>36547</v>
      </c>
      <c r="F7854" s="10" t="s">
        <v>36548</v>
      </c>
      <c r="G7854" s="10" t="s">
        <v>6317</v>
      </c>
      <c r="H7854" s="11">
        <v>35197</v>
      </c>
      <c r="I7854" s="10">
        <v>1996</v>
      </c>
      <c r="J7854" s="10" t="s">
        <v>36547</v>
      </c>
      <c r="K7854" s="10">
        <v>103</v>
      </c>
      <c r="L7854" s="10" t="s">
        <v>36950</v>
      </c>
      <c r="M7854" s="10">
        <v>1</v>
      </c>
      <c r="N7854" s="10"/>
      <c r="O7854" s="10"/>
      <c r="P7854" s="10" t="s">
        <v>36951</v>
      </c>
      <c r="Q7854" s="10" t="s">
        <v>36952</v>
      </c>
      <c r="R7854" s="10" t="s">
        <v>36953</v>
      </c>
      <c r="S7854" s="10" t="s">
        <v>53</v>
      </c>
      <c r="T7854" s="10" t="s">
        <v>6526</v>
      </c>
    </row>
    <row r="7855" spans="1:20" ht="14.5" x14ac:dyDescent="0.35">
      <c r="A7855" s="10" t="s">
        <v>36954</v>
      </c>
      <c r="B7855" s="10" t="str">
        <f>"9780309058445"</f>
        <v>9780309058445</v>
      </c>
      <c r="C7855" s="10" t="str">
        <f>"9780309590914"</f>
        <v>9780309590914</v>
      </c>
      <c r="D7855" s="10" t="s">
        <v>36547</v>
      </c>
      <c r="E7855" s="10" t="s">
        <v>36547</v>
      </c>
      <c r="F7855" s="10" t="s">
        <v>36548</v>
      </c>
      <c r="G7855" s="10" t="s">
        <v>6317</v>
      </c>
      <c r="H7855" s="11">
        <v>35679</v>
      </c>
      <c r="I7855" s="10">
        <v>1997</v>
      </c>
      <c r="J7855" s="10" t="s">
        <v>36547</v>
      </c>
      <c r="K7855" s="10">
        <v>98</v>
      </c>
      <c r="L7855" s="10"/>
      <c r="M7855" s="10">
        <v>1</v>
      </c>
      <c r="N7855" s="10"/>
      <c r="O7855" s="10"/>
      <c r="P7855" s="10" t="s">
        <v>36955</v>
      </c>
      <c r="Q7855" s="10">
        <v>1.3071173</v>
      </c>
      <c r="R7855" s="10" t="s">
        <v>36956</v>
      </c>
      <c r="S7855" s="10" t="s">
        <v>53</v>
      </c>
      <c r="T7855" s="10" t="s">
        <v>6601</v>
      </c>
    </row>
    <row r="7856" spans="1:20" ht="14.5" x14ac:dyDescent="0.35">
      <c r="A7856" s="10" t="s">
        <v>36957</v>
      </c>
      <c r="B7856" s="10" t="str">
        <f>"9780309064897"</f>
        <v>9780309064897</v>
      </c>
      <c r="C7856" s="10" t="str">
        <f>"9780309593281"</f>
        <v>9780309593281</v>
      </c>
      <c r="D7856" s="10" t="s">
        <v>36547</v>
      </c>
      <c r="E7856" s="10" t="s">
        <v>36547</v>
      </c>
      <c r="F7856" s="10" t="s">
        <v>36548</v>
      </c>
      <c r="G7856" s="10" t="s">
        <v>6317</v>
      </c>
      <c r="H7856" s="11">
        <v>36414</v>
      </c>
      <c r="I7856" s="10">
        <v>1999</v>
      </c>
      <c r="J7856" s="10" t="s">
        <v>36547</v>
      </c>
      <c r="K7856" s="10">
        <v>86</v>
      </c>
      <c r="L7856" s="10"/>
      <c r="M7856" s="10">
        <v>1</v>
      </c>
      <c r="N7856" s="10"/>
      <c r="O7856" s="10"/>
      <c r="P7856" s="10" t="s">
        <v>36958</v>
      </c>
      <c r="Q7856" s="10" t="s">
        <v>36959</v>
      </c>
      <c r="R7856" s="10" t="s">
        <v>36960</v>
      </c>
      <c r="S7856" s="10" t="s">
        <v>53</v>
      </c>
      <c r="T7856" s="10" t="s">
        <v>54</v>
      </c>
    </row>
    <row r="7857" spans="1:20" ht="14.5" x14ac:dyDescent="0.35">
      <c r="A7857" s="10" t="s">
        <v>36961</v>
      </c>
      <c r="B7857" s="10" t="str">
        <f>"9780309064927"</f>
        <v>9780309064927</v>
      </c>
      <c r="C7857" s="10" t="str">
        <f>"9780309593311"</f>
        <v>9780309593311</v>
      </c>
      <c r="D7857" s="10" t="s">
        <v>36547</v>
      </c>
      <c r="E7857" s="10" t="s">
        <v>36547</v>
      </c>
      <c r="F7857" s="10" t="s">
        <v>36548</v>
      </c>
      <c r="G7857" s="10" t="s">
        <v>6317</v>
      </c>
      <c r="H7857" s="11">
        <v>36342</v>
      </c>
      <c r="I7857" s="10">
        <v>1999</v>
      </c>
      <c r="J7857" s="10" t="s">
        <v>36547</v>
      </c>
      <c r="K7857" s="10">
        <v>41</v>
      </c>
      <c r="L7857" s="10"/>
      <c r="M7857" s="10">
        <v>1</v>
      </c>
      <c r="N7857" s="10"/>
      <c r="O7857" s="10"/>
      <c r="P7857" s="10" t="s">
        <v>36962</v>
      </c>
      <c r="Q7857" s="10"/>
      <c r="R7857" s="10"/>
      <c r="S7857" s="10" t="s">
        <v>53</v>
      </c>
      <c r="T7857" s="10" t="s">
        <v>389</v>
      </c>
    </row>
    <row r="7858" spans="1:20" ht="14.5" x14ac:dyDescent="0.35">
      <c r="A7858" s="10" t="s">
        <v>36963</v>
      </c>
      <c r="B7858" s="10" t="str">
        <f>"9780309039772"</f>
        <v>9780309039772</v>
      </c>
      <c r="C7858" s="10" t="str">
        <f>"9780309595841"</f>
        <v>9780309595841</v>
      </c>
      <c r="D7858" s="10" t="s">
        <v>36547</v>
      </c>
      <c r="E7858" s="10" t="s">
        <v>36547</v>
      </c>
      <c r="F7858" s="10" t="s">
        <v>36548</v>
      </c>
      <c r="G7858" s="10" t="s">
        <v>6317</v>
      </c>
      <c r="H7858" s="11">
        <v>32540</v>
      </c>
      <c r="I7858" s="10">
        <v>1989</v>
      </c>
      <c r="J7858" s="10" t="s">
        <v>36547</v>
      </c>
      <c r="K7858" s="10">
        <v>128</v>
      </c>
      <c r="L7858" s="10"/>
      <c r="M7858" s="10">
        <v>1</v>
      </c>
      <c r="N7858" s="10"/>
      <c r="O7858" s="10"/>
      <c r="P7858" s="10" t="s">
        <v>36964</v>
      </c>
      <c r="Q7858" s="10">
        <v>510.7</v>
      </c>
      <c r="R7858" s="10" t="s">
        <v>36965</v>
      </c>
      <c r="S7858" s="10" t="s">
        <v>53</v>
      </c>
      <c r="T7858" s="10" t="s">
        <v>389</v>
      </c>
    </row>
    <row r="7859" spans="1:20" ht="14.5" x14ac:dyDescent="0.35">
      <c r="A7859" s="10" t="s">
        <v>36966</v>
      </c>
      <c r="B7859" s="10" t="str">
        <f>"9780309046909"</f>
        <v>9780309046909</v>
      </c>
      <c r="C7859" s="10" t="str">
        <f>"9780309566025"</f>
        <v>9780309566025</v>
      </c>
      <c r="D7859" s="10" t="s">
        <v>36547</v>
      </c>
      <c r="E7859" s="10" t="s">
        <v>36547</v>
      </c>
      <c r="F7859" s="10" t="s">
        <v>36548</v>
      </c>
      <c r="G7859" s="10" t="s">
        <v>6317</v>
      </c>
      <c r="H7859" s="11">
        <v>33635</v>
      </c>
      <c r="I7859" s="10">
        <v>1992</v>
      </c>
      <c r="J7859" s="10" t="s">
        <v>36547</v>
      </c>
      <c r="K7859" s="10">
        <v>76</v>
      </c>
      <c r="L7859" s="10"/>
      <c r="M7859" s="10">
        <v>1</v>
      </c>
      <c r="N7859" s="10"/>
      <c r="O7859" s="10"/>
      <c r="P7859" s="10" t="s">
        <v>36967</v>
      </c>
      <c r="Q7859" s="10" t="s">
        <v>36919</v>
      </c>
      <c r="R7859" s="10" t="s">
        <v>36968</v>
      </c>
      <c r="S7859" s="10" t="s">
        <v>53</v>
      </c>
      <c r="T7859" s="10" t="s">
        <v>389</v>
      </c>
    </row>
    <row r="7860" spans="1:20" ht="14.5" x14ac:dyDescent="0.35">
      <c r="A7860" s="10" t="s">
        <v>36969</v>
      </c>
      <c r="B7860" s="10" t="str">
        <f>"9780309036320"</f>
        <v>9780309036320</v>
      </c>
      <c r="C7860" s="10" t="str">
        <f>"9780309569439"</f>
        <v>9780309569439</v>
      </c>
      <c r="D7860" s="10" t="s">
        <v>36547</v>
      </c>
      <c r="E7860" s="10" t="s">
        <v>36547</v>
      </c>
      <c r="F7860" s="10" t="s">
        <v>36548</v>
      </c>
      <c r="G7860" s="10" t="s">
        <v>6317</v>
      </c>
      <c r="H7860" s="11">
        <v>31079</v>
      </c>
      <c r="I7860" s="10">
        <v>1985</v>
      </c>
      <c r="J7860" s="10" t="s">
        <v>36547</v>
      </c>
      <c r="K7860" s="10">
        <v>58</v>
      </c>
      <c r="L7860" s="10"/>
      <c r="M7860" s="10">
        <v>1</v>
      </c>
      <c r="N7860" s="10"/>
      <c r="O7860" s="10"/>
      <c r="P7860" s="10" t="s">
        <v>36970</v>
      </c>
      <c r="Q7860" s="10" t="s">
        <v>36971</v>
      </c>
      <c r="R7860" s="10" t="s">
        <v>36972</v>
      </c>
      <c r="S7860" s="10" t="s">
        <v>53</v>
      </c>
      <c r="T7860" s="10" t="s">
        <v>12410</v>
      </c>
    </row>
    <row r="7861" spans="1:20" ht="14.5" x14ac:dyDescent="0.35">
      <c r="A7861" s="10" t="s">
        <v>36973</v>
      </c>
      <c r="B7861" s="10" t="str">
        <f>"9780309035491"</f>
        <v>9780309035491</v>
      </c>
      <c r="C7861" s="10" t="str">
        <f>"9780309595506"</f>
        <v>9780309595506</v>
      </c>
      <c r="D7861" s="10" t="s">
        <v>36547</v>
      </c>
      <c r="E7861" s="10" t="s">
        <v>36547</v>
      </c>
      <c r="F7861" s="10" t="s">
        <v>36548</v>
      </c>
      <c r="G7861" s="10" t="s">
        <v>6317</v>
      </c>
      <c r="H7861" s="11">
        <v>31062</v>
      </c>
      <c r="I7861" s="10">
        <v>1985</v>
      </c>
      <c r="J7861" s="10" t="s">
        <v>36547</v>
      </c>
      <c r="K7861" s="10">
        <v>131</v>
      </c>
      <c r="L7861" s="10"/>
      <c r="M7861" s="10">
        <v>1</v>
      </c>
      <c r="N7861" s="10"/>
      <c r="O7861" s="10"/>
      <c r="P7861" s="10" t="s">
        <v>36974</v>
      </c>
      <c r="Q7861" s="10" t="s">
        <v>36971</v>
      </c>
      <c r="R7861" s="10" t="s">
        <v>36975</v>
      </c>
      <c r="S7861" s="10" t="s">
        <v>53</v>
      </c>
      <c r="T7861" s="10" t="s">
        <v>12410</v>
      </c>
    </row>
    <row r="7862" spans="1:20" ht="14.5" x14ac:dyDescent="0.35">
      <c r="A7862" s="10" t="s">
        <v>36976</v>
      </c>
      <c r="B7862" s="10" t="str">
        <f>"9780309037426"</f>
        <v>9780309037426</v>
      </c>
      <c r="C7862" s="10" t="str">
        <f>"9780309594684"</f>
        <v>9780309594684</v>
      </c>
      <c r="D7862" s="10" t="s">
        <v>36547</v>
      </c>
      <c r="E7862" s="10" t="s">
        <v>36547</v>
      </c>
      <c r="F7862" s="10" t="s">
        <v>36548</v>
      </c>
      <c r="G7862" s="10" t="s">
        <v>6317</v>
      </c>
      <c r="H7862" s="11">
        <v>31809</v>
      </c>
      <c r="I7862" s="10">
        <v>1987</v>
      </c>
      <c r="J7862" s="10" t="s">
        <v>36547</v>
      </c>
      <c r="K7862" s="10">
        <v>254</v>
      </c>
      <c r="L7862" s="10" t="s">
        <v>36977</v>
      </c>
      <c r="M7862" s="10">
        <v>1</v>
      </c>
      <c r="N7862" s="10"/>
      <c r="O7862" s="10"/>
      <c r="P7862" s="10" t="s">
        <v>36978</v>
      </c>
      <c r="Q7862" s="10">
        <v>540.72073</v>
      </c>
      <c r="R7862" s="10" t="s">
        <v>36979</v>
      </c>
      <c r="S7862" s="10" t="s">
        <v>53</v>
      </c>
      <c r="T7862" s="10" t="s">
        <v>11332</v>
      </c>
    </row>
    <row r="7863" spans="1:20" ht="14.5" x14ac:dyDescent="0.35">
      <c r="A7863" s="10" t="s">
        <v>36980</v>
      </c>
      <c r="B7863" s="10" t="str">
        <f>"9780309047296"</f>
        <v>9780309047296</v>
      </c>
      <c r="C7863" s="10" t="str">
        <f>"9780309565844"</f>
        <v>9780309565844</v>
      </c>
      <c r="D7863" s="10" t="s">
        <v>36547</v>
      </c>
      <c r="E7863" s="10" t="s">
        <v>36547</v>
      </c>
      <c r="F7863" s="10" t="s">
        <v>36548</v>
      </c>
      <c r="G7863" s="10" t="s">
        <v>6317</v>
      </c>
      <c r="H7863" s="11">
        <v>33635</v>
      </c>
      <c r="I7863" s="10">
        <v>1992</v>
      </c>
      <c r="J7863" s="10" t="s">
        <v>36547</v>
      </c>
      <c r="K7863" s="10">
        <v>203</v>
      </c>
      <c r="L7863" s="10" t="s">
        <v>36981</v>
      </c>
      <c r="M7863" s="10">
        <v>1</v>
      </c>
      <c r="N7863" s="10"/>
      <c r="O7863" s="10"/>
      <c r="P7863" s="10" t="s">
        <v>36982</v>
      </c>
      <c r="Q7863" s="10" t="s">
        <v>36881</v>
      </c>
      <c r="R7863" s="10" t="s">
        <v>36983</v>
      </c>
      <c r="S7863" s="10" t="s">
        <v>53</v>
      </c>
      <c r="T7863" s="10" t="s">
        <v>54</v>
      </c>
    </row>
    <row r="7864" spans="1:20" ht="14.5" x14ac:dyDescent="0.35">
      <c r="A7864" s="10" t="s">
        <v>36984</v>
      </c>
      <c r="B7864" s="10" t="str">
        <f>"9780309037402"</f>
        <v>9780309037402</v>
      </c>
      <c r="C7864" s="10" t="str">
        <f>"9780309595704"</f>
        <v>9780309595704</v>
      </c>
      <c r="D7864" s="10" t="s">
        <v>36547</v>
      </c>
      <c r="E7864" s="10" t="s">
        <v>36547</v>
      </c>
      <c r="F7864" s="10" t="s">
        <v>36548</v>
      </c>
      <c r="G7864" s="10" t="s">
        <v>6317</v>
      </c>
      <c r="H7864" s="11">
        <v>32174</v>
      </c>
      <c r="I7864" s="10">
        <v>1988</v>
      </c>
      <c r="J7864" s="10" t="s">
        <v>36547</v>
      </c>
      <c r="K7864" s="10">
        <v>230</v>
      </c>
      <c r="L7864" s="10"/>
      <c r="M7864" s="10">
        <v>1</v>
      </c>
      <c r="N7864" s="10"/>
      <c r="O7864" s="10"/>
      <c r="P7864" s="10" t="s">
        <v>36985</v>
      </c>
      <c r="Q7864" s="10"/>
      <c r="R7864" s="10" t="s">
        <v>36986</v>
      </c>
      <c r="S7864" s="10" t="s">
        <v>53</v>
      </c>
      <c r="T7864" s="10" t="s">
        <v>5557</v>
      </c>
    </row>
    <row r="7865" spans="1:20" ht="14.5" x14ac:dyDescent="0.35">
      <c r="A7865" s="10" t="s">
        <v>36987</v>
      </c>
      <c r="B7865" s="10" t="str">
        <f>"9780309038867"</f>
        <v>9780309038867</v>
      </c>
      <c r="C7865" s="10" t="str">
        <f>"9780309595810"</f>
        <v>9780309595810</v>
      </c>
      <c r="D7865" s="10" t="s">
        <v>36547</v>
      </c>
      <c r="E7865" s="10" t="s">
        <v>36547</v>
      </c>
      <c r="F7865" s="10" t="s">
        <v>36548</v>
      </c>
      <c r="G7865" s="10" t="s">
        <v>6317</v>
      </c>
      <c r="H7865" s="11">
        <v>32174</v>
      </c>
      <c r="I7865" s="10">
        <v>1988</v>
      </c>
      <c r="J7865" s="10" t="s">
        <v>36547</v>
      </c>
      <c r="K7865" s="10">
        <v>152</v>
      </c>
      <c r="L7865" s="10" t="s">
        <v>36988</v>
      </c>
      <c r="M7865" s="10">
        <v>1</v>
      </c>
      <c r="N7865" s="10"/>
      <c r="O7865" s="10"/>
      <c r="P7865" s="10" t="s">
        <v>36989</v>
      </c>
      <c r="Q7865" s="10">
        <v>371.82995107300002</v>
      </c>
      <c r="R7865" s="10" t="s">
        <v>36990</v>
      </c>
      <c r="S7865" s="10" t="s">
        <v>53</v>
      </c>
      <c r="T7865" s="10" t="s">
        <v>54</v>
      </c>
    </row>
    <row r="7866" spans="1:20" ht="14.5" x14ac:dyDescent="0.35">
      <c r="A7866" s="10" t="s">
        <v>36991</v>
      </c>
      <c r="B7866" s="10" t="str">
        <f>"9780309033923"</f>
        <v>9780309033923</v>
      </c>
      <c r="C7866" s="10" t="str">
        <f>"9780309594509"</f>
        <v>9780309594509</v>
      </c>
      <c r="D7866" s="10" t="s">
        <v>36547</v>
      </c>
      <c r="E7866" s="10" t="s">
        <v>36547</v>
      </c>
      <c r="F7866" s="10" t="s">
        <v>36548</v>
      </c>
      <c r="G7866" s="10" t="s">
        <v>6317</v>
      </c>
      <c r="H7866" s="11">
        <v>30348</v>
      </c>
      <c r="I7866" s="10">
        <v>1983</v>
      </c>
      <c r="J7866" s="10" t="s">
        <v>36547</v>
      </c>
      <c r="K7866" s="10">
        <v>128</v>
      </c>
      <c r="L7866" s="10" t="s">
        <v>36992</v>
      </c>
      <c r="M7866" s="10">
        <v>1</v>
      </c>
      <c r="N7866" s="10"/>
      <c r="O7866" s="10"/>
      <c r="P7866" s="10" t="s">
        <v>36993</v>
      </c>
      <c r="Q7866" s="10" t="s">
        <v>26671</v>
      </c>
      <c r="R7866" s="10" t="s">
        <v>36994</v>
      </c>
      <c r="S7866" s="10" t="s">
        <v>53</v>
      </c>
      <c r="T7866" s="10" t="s">
        <v>54</v>
      </c>
    </row>
    <row r="7867" spans="1:20" ht="14.5" x14ac:dyDescent="0.35">
      <c r="A7867" s="10" t="s">
        <v>36995</v>
      </c>
      <c r="B7867" s="10" t="str">
        <f>"9780309042284"</f>
        <v>9780309042284</v>
      </c>
      <c r="C7867" s="10" t="str">
        <f>"9780309594929"</f>
        <v>9780309594929</v>
      </c>
      <c r="D7867" s="10" t="s">
        <v>36547</v>
      </c>
      <c r="E7867" s="10" t="s">
        <v>36547</v>
      </c>
      <c r="F7867" s="10" t="s">
        <v>36548</v>
      </c>
      <c r="G7867" s="10" t="s">
        <v>6317</v>
      </c>
      <c r="H7867" s="11">
        <v>32905</v>
      </c>
      <c r="I7867" s="10">
        <v>1990</v>
      </c>
      <c r="J7867" s="10" t="s">
        <v>36547</v>
      </c>
      <c r="K7867" s="10">
        <v>147</v>
      </c>
      <c r="L7867" s="10"/>
      <c r="M7867" s="10">
        <v>1</v>
      </c>
      <c r="N7867" s="10"/>
      <c r="O7867" s="10"/>
      <c r="P7867" s="10" t="s">
        <v>36996</v>
      </c>
      <c r="Q7867" s="10"/>
      <c r="R7867" s="10" t="s">
        <v>36997</v>
      </c>
      <c r="S7867" s="10" t="s">
        <v>53</v>
      </c>
      <c r="T7867" s="10" t="s">
        <v>389</v>
      </c>
    </row>
    <row r="7868" spans="1:20" ht="14.5" x14ac:dyDescent="0.35">
      <c r="A7868" s="10" t="s">
        <v>36998</v>
      </c>
      <c r="B7868" s="10" t="str">
        <f>"9780309040853"</f>
        <v>9780309040853</v>
      </c>
      <c r="C7868" s="10" t="str">
        <f>"9780309595902"</f>
        <v>9780309595902</v>
      </c>
      <c r="D7868" s="10" t="s">
        <v>36547</v>
      </c>
      <c r="E7868" s="10" t="s">
        <v>36547</v>
      </c>
      <c r="F7868" s="10" t="s">
        <v>36548</v>
      </c>
      <c r="G7868" s="10" t="s">
        <v>6317</v>
      </c>
      <c r="H7868" s="11">
        <v>32905</v>
      </c>
      <c r="I7868" s="10">
        <v>1990</v>
      </c>
      <c r="J7868" s="10" t="s">
        <v>36547</v>
      </c>
      <c r="K7868" s="10">
        <v>187</v>
      </c>
      <c r="L7868" s="10"/>
      <c r="M7868" s="10">
        <v>1</v>
      </c>
      <c r="N7868" s="10"/>
      <c r="O7868" s="10"/>
      <c r="P7868" s="10" t="s">
        <v>36999</v>
      </c>
      <c r="Q7868" s="10">
        <v>507.1173</v>
      </c>
      <c r="R7868" s="10" t="s">
        <v>37000</v>
      </c>
      <c r="S7868" s="10" t="s">
        <v>53</v>
      </c>
      <c r="T7868" s="10" t="s">
        <v>7193</v>
      </c>
    </row>
    <row r="7869" spans="1:20" ht="14.5" x14ac:dyDescent="0.35">
      <c r="A7869" s="10" t="s">
        <v>37001</v>
      </c>
      <c r="B7869" s="10" t="str">
        <f>"9780309035361"</f>
        <v>9780309035361</v>
      </c>
      <c r="C7869" s="10" t="str">
        <f>"9780309595483"</f>
        <v>9780309595483</v>
      </c>
      <c r="D7869" s="10" t="s">
        <v>36547</v>
      </c>
      <c r="E7869" s="10" t="s">
        <v>36547</v>
      </c>
      <c r="F7869" s="10" t="s">
        <v>36548</v>
      </c>
      <c r="G7869" s="10" t="s">
        <v>6317</v>
      </c>
      <c r="H7869" s="11">
        <v>31079</v>
      </c>
      <c r="I7869" s="10">
        <v>1985</v>
      </c>
      <c r="J7869" s="10" t="s">
        <v>36547</v>
      </c>
      <c r="K7869" s="10">
        <v>211</v>
      </c>
      <c r="L7869" s="10"/>
      <c r="M7869" s="10">
        <v>1</v>
      </c>
      <c r="N7869" s="10"/>
      <c r="O7869" s="10"/>
      <c r="P7869" s="10" t="s">
        <v>37002</v>
      </c>
      <c r="Q7869" s="10"/>
      <c r="R7869" s="10" t="s">
        <v>37003</v>
      </c>
      <c r="S7869" s="10" t="s">
        <v>53</v>
      </c>
      <c r="T7869" s="10" t="s">
        <v>5557</v>
      </c>
    </row>
    <row r="7870" spans="1:20" ht="14.5" x14ac:dyDescent="0.35">
      <c r="A7870" s="10" t="s">
        <v>37004</v>
      </c>
      <c r="B7870" s="10" t="str">
        <f>"9780309056922"</f>
        <v>9780309056922</v>
      </c>
      <c r="C7870" s="10" t="str">
        <f>"9780309596800"</f>
        <v>9780309596800</v>
      </c>
      <c r="D7870" s="10" t="s">
        <v>36547</v>
      </c>
      <c r="E7870" s="10" t="s">
        <v>36547</v>
      </c>
      <c r="F7870" s="10" t="s">
        <v>36548</v>
      </c>
      <c r="G7870" s="10" t="s">
        <v>6317</v>
      </c>
      <c r="H7870" s="11">
        <v>35513</v>
      </c>
      <c r="I7870" s="10">
        <v>1997</v>
      </c>
      <c r="J7870" s="10" t="s">
        <v>36547</v>
      </c>
      <c r="K7870" s="10">
        <v>90</v>
      </c>
      <c r="L7870" s="10" t="s">
        <v>37005</v>
      </c>
      <c r="M7870" s="10">
        <v>1</v>
      </c>
      <c r="N7870" s="10"/>
      <c r="O7870" s="10"/>
      <c r="P7870" s="10" t="s">
        <v>37006</v>
      </c>
      <c r="Q7870" s="10" t="s">
        <v>36567</v>
      </c>
      <c r="R7870" s="10" t="s">
        <v>37007</v>
      </c>
      <c r="S7870" s="10" t="s">
        <v>53</v>
      </c>
      <c r="T7870" s="10" t="s">
        <v>9608</v>
      </c>
    </row>
    <row r="7871" spans="1:20" ht="14.5" x14ac:dyDescent="0.35">
      <c r="A7871" s="10" t="s">
        <v>37008</v>
      </c>
      <c r="B7871" s="10" t="str">
        <f>"9780309054355"</f>
        <v>9780309054355</v>
      </c>
      <c r="C7871" s="10" t="str">
        <f>"9780309578585"</f>
        <v>9780309578585</v>
      </c>
      <c r="D7871" s="10" t="s">
        <v>36547</v>
      </c>
      <c r="E7871" s="10" t="s">
        <v>36547</v>
      </c>
      <c r="F7871" s="10" t="s">
        <v>36548</v>
      </c>
      <c r="G7871" s="10" t="s">
        <v>6317</v>
      </c>
      <c r="H7871" s="11">
        <v>35789</v>
      </c>
      <c r="I7871" s="10">
        <v>1997</v>
      </c>
      <c r="J7871" s="10" t="s">
        <v>36547</v>
      </c>
      <c r="K7871" s="10">
        <v>512</v>
      </c>
      <c r="L7871" s="10" t="s">
        <v>37009</v>
      </c>
      <c r="M7871" s="10">
        <v>1</v>
      </c>
      <c r="N7871" s="10"/>
      <c r="O7871" s="10"/>
      <c r="P7871" s="10" t="s">
        <v>37010</v>
      </c>
      <c r="Q7871" s="10" t="s">
        <v>37011</v>
      </c>
      <c r="R7871" s="10" t="s">
        <v>37012</v>
      </c>
      <c r="S7871" s="10" t="s">
        <v>53</v>
      </c>
      <c r="T7871" s="10" t="s">
        <v>54</v>
      </c>
    </row>
    <row r="7872" spans="1:20" ht="14.5" x14ac:dyDescent="0.35">
      <c r="A7872" s="10" t="s">
        <v>37013</v>
      </c>
      <c r="B7872" s="10" t="str">
        <f>""</f>
        <v/>
      </c>
      <c r="C7872" s="10" t="str">
        <f>"9780309541930"</f>
        <v>9780309541930</v>
      </c>
      <c r="D7872" s="10" t="s">
        <v>36547</v>
      </c>
      <c r="E7872" s="10" t="s">
        <v>36547</v>
      </c>
      <c r="F7872" s="10" t="s">
        <v>88</v>
      </c>
      <c r="G7872" s="10" t="s">
        <v>6317</v>
      </c>
      <c r="H7872" s="11">
        <v>37226</v>
      </c>
      <c r="I7872" s="10">
        <v>2002</v>
      </c>
      <c r="J7872" s="10" t="s">
        <v>36547</v>
      </c>
      <c r="K7872" s="10">
        <v>57</v>
      </c>
      <c r="L7872" s="10" t="s">
        <v>37014</v>
      </c>
      <c r="M7872" s="10">
        <v>1</v>
      </c>
      <c r="N7872" s="10"/>
      <c r="O7872" s="10"/>
      <c r="P7872" s="10" t="s">
        <v>37015</v>
      </c>
      <c r="Q7872" s="10"/>
      <c r="R7872" s="10" t="s">
        <v>36568</v>
      </c>
      <c r="S7872" s="10" t="s">
        <v>53</v>
      </c>
      <c r="T7872" s="10" t="s">
        <v>389</v>
      </c>
    </row>
    <row r="7873" spans="1:20" ht="14.5" x14ac:dyDescent="0.35">
      <c r="A7873" s="10" t="s">
        <v>37016</v>
      </c>
      <c r="B7873" s="10" t="str">
        <f>""</f>
        <v/>
      </c>
      <c r="C7873" s="10" t="str">
        <f>"9780309541978"</f>
        <v>9780309541978</v>
      </c>
      <c r="D7873" s="10" t="s">
        <v>36547</v>
      </c>
      <c r="E7873" s="10" t="s">
        <v>36547</v>
      </c>
      <c r="F7873" s="10" t="s">
        <v>88</v>
      </c>
      <c r="G7873" s="10" t="s">
        <v>6317</v>
      </c>
      <c r="H7873" s="11">
        <v>37226</v>
      </c>
      <c r="I7873" s="10">
        <v>2002</v>
      </c>
      <c r="J7873" s="10" t="s">
        <v>36547</v>
      </c>
      <c r="K7873" s="10">
        <v>68</v>
      </c>
      <c r="L7873" s="10" t="s">
        <v>37014</v>
      </c>
      <c r="M7873" s="10">
        <v>1</v>
      </c>
      <c r="N7873" s="10"/>
      <c r="O7873" s="10"/>
      <c r="P7873" s="10" t="s">
        <v>37017</v>
      </c>
      <c r="Q7873" s="10"/>
      <c r="R7873" s="10" t="s">
        <v>36568</v>
      </c>
      <c r="S7873" s="10" t="s">
        <v>53</v>
      </c>
      <c r="T7873" s="10" t="s">
        <v>389</v>
      </c>
    </row>
    <row r="7874" spans="1:20" ht="14.5" x14ac:dyDescent="0.35">
      <c r="A7874" s="10" t="s">
        <v>37018</v>
      </c>
      <c r="B7874" s="10" t="str">
        <f>"9780309049863"</f>
        <v>9780309049863</v>
      </c>
      <c r="C7874" s="10" t="str">
        <f>"9780309598446"</f>
        <v>9780309598446</v>
      </c>
      <c r="D7874" s="10" t="s">
        <v>36547</v>
      </c>
      <c r="E7874" s="10" t="s">
        <v>36547</v>
      </c>
      <c r="F7874" s="10" t="s">
        <v>36548</v>
      </c>
      <c r="G7874" s="10" t="s">
        <v>6317</v>
      </c>
      <c r="H7874" s="11">
        <v>34001</v>
      </c>
      <c r="I7874" s="10">
        <v>1993</v>
      </c>
      <c r="J7874" s="10" t="s">
        <v>36547</v>
      </c>
      <c r="K7874" s="10">
        <v>31</v>
      </c>
      <c r="L7874" s="10"/>
      <c r="M7874" s="10">
        <v>1</v>
      </c>
      <c r="N7874" s="10"/>
      <c r="O7874" s="10"/>
      <c r="P7874" s="10" t="s">
        <v>37019</v>
      </c>
      <c r="Q7874" s="10" t="s">
        <v>10110</v>
      </c>
      <c r="R7874" s="10" t="s">
        <v>36894</v>
      </c>
      <c r="S7874" s="10" t="s">
        <v>53</v>
      </c>
      <c r="T7874" s="10" t="s">
        <v>389</v>
      </c>
    </row>
    <row r="7875" spans="1:20" ht="14.5" x14ac:dyDescent="0.35">
      <c r="A7875" s="10" t="s">
        <v>37020</v>
      </c>
      <c r="B7875" s="10" t="str">
        <f>""</f>
        <v/>
      </c>
      <c r="C7875" s="10" t="str">
        <f>"9780309541954"</f>
        <v>9780309541954</v>
      </c>
      <c r="D7875" s="10" t="s">
        <v>36547</v>
      </c>
      <c r="E7875" s="10" t="s">
        <v>36547</v>
      </c>
      <c r="F7875" s="10" t="s">
        <v>88</v>
      </c>
      <c r="G7875" s="10" t="s">
        <v>6317</v>
      </c>
      <c r="H7875" s="11">
        <v>37226</v>
      </c>
      <c r="I7875" s="10">
        <v>2002</v>
      </c>
      <c r="J7875" s="10" t="s">
        <v>36547</v>
      </c>
      <c r="K7875" s="10">
        <v>58</v>
      </c>
      <c r="L7875" s="10" t="s">
        <v>37014</v>
      </c>
      <c r="M7875" s="10">
        <v>1</v>
      </c>
      <c r="N7875" s="10"/>
      <c r="O7875" s="10"/>
      <c r="P7875" s="10" t="s">
        <v>37021</v>
      </c>
      <c r="Q7875" s="10"/>
      <c r="R7875" s="10" t="s">
        <v>36568</v>
      </c>
      <c r="S7875" s="10" t="s">
        <v>53</v>
      </c>
      <c r="T7875" s="10" t="s">
        <v>389</v>
      </c>
    </row>
    <row r="7876" spans="1:20" ht="14.5" x14ac:dyDescent="0.35">
      <c r="A7876" s="10" t="s">
        <v>37022</v>
      </c>
      <c r="B7876" s="10" t="str">
        <f>"9780309042345"</f>
        <v>9780309042345</v>
      </c>
      <c r="C7876" s="10" t="str">
        <f>"9780309537049"</f>
        <v>9780309537049</v>
      </c>
      <c r="D7876" s="10" t="s">
        <v>36547</v>
      </c>
      <c r="E7876" s="10" t="s">
        <v>36547</v>
      </c>
      <c r="F7876" s="10" t="s">
        <v>36548</v>
      </c>
      <c r="G7876" s="10" t="s">
        <v>6317</v>
      </c>
      <c r="H7876" s="11">
        <v>32905</v>
      </c>
      <c r="I7876" s="10">
        <v>1990</v>
      </c>
      <c r="J7876" s="10" t="s">
        <v>36547</v>
      </c>
      <c r="K7876" s="10">
        <v>240</v>
      </c>
      <c r="L7876" s="10" t="s">
        <v>37023</v>
      </c>
      <c r="M7876" s="10">
        <v>1</v>
      </c>
      <c r="N7876" s="10"/>
      <c r="O7876" s="10"/>
      <c r="P7876" s="10" t="s">
        <v>37024</v>
      </c>
      <c r="Q7876" s="10" t="s">
        <v>37025</v>
      </c>
      <c r="R7876" s="10" t="s">
        <v>37026</v>
      </c>
      <c r="S7876" s="10" t="s">
        <v>53</v>
      </c>
      <c r="T7876" s="10" t="s">
        <v>389</v>
      </c>
    </row>
    <row r="7877" spans="1:20" ht="14.5" x14ac:dyDescent="0.35">
      <c r="A7877" s="10" t="s">
        <v>37027</v>
      </c>
      <c r="B7877" s="10" t="str">
        <f>"9780309052955"</f>
        <v>9780309052955</v>
      </c>
      <c r="C7877" s="10" t="str">
        <f>"9780309538305"</f>
        <v>9780309538305</v>
      </c>
      <c r="D7877" s="10" t="s">
        <v>36547</v>
      </c>
      <c r="E7877" s="10" t="s">
        <v>36547</v>
      </c>
      <c r="F7877" s="10" t="s">
        <v>36548</v>
      </c>
      <c r="G7877" s="10" t="s">
        <v>6317</v>
      </c>
      <c r="H7877" s="11">
        <v>34999</v>
      </c>
      <c r="I7877" s="10">
        <v>1995</v>
      </c>
      <c r="J7877" s="10" t="s">
        <v>36547</v>
      </c>
      <c r="K7877" s="10">
        <v>165</v>
      </c>
      <c r="L7877" s="10"/>
      <c r="M7877" s="10">
        <v>1</v>
      </c>
      <c r="N7877" s="10"/>
      <c r="O7877" s="10"/>
      <c r="P7877" s="10" t="s">
        <v>37028</v>
      </c>
      <c r="Q7877" s="10" t="s">
        <v>37029</v>
      </c>
      <c r="R7877" s="10" t="s">
        <v>37030</v>
      </c>
      <c r="S7877" s="10" t="s">
        <v>53</v>
      </c>
      <c r="T7877" s="10" t="s">
        <v>12653</v>
      </c>
    </row>
    <row r="7878" spans="1:20" ht="14.5" x14ac:dyDescent="0.35">
      <c r="A7878" s="10" t="s">
        <v>37031</v>
      </c>
      <c r="B7878" s="10" t="str">
        <f>"9780309048774"</f>
        <v>9780309048774</v>
      </c>
      <c r="C7878" s="10" t="str">
        <f>"9780309544276"</f>
        <v>9780309544276</v>
      </c>
      <c r="D7878" s="10" t="s">
        <v>36547</v>
      </c>
      <c r="E7878" s="10" t="s">
        <v>36547</v>
      </c>
      <c r="F7878" s="10" t="s">
        <v>36548</v>
      </c>
      <c r="G7878" s="10" t="s">
        <v>6317</v>
      </c>
      <c r="H7878" s="11">
        <v>34001</v>
      </c>
      <c r="I7878" s="10">
        <v>1993</v>
      </c>
      <c r="J7878" s="10" t="s">
        <v>36547</v>
      </c>
      <c r="K7878" s="10">
        <v>261</v>
      </c>
      <c r="L7878" s="10" t="s">
        <v>37032</v>
      </c>
      <c r="M7878" s="10">
        <v>1</v>
      </c>
      <c r="N7878" s="10"/>
      <c r="O7878" s="10"/>
      <c r="P7878" s="10" t="s">
        <v>37033</v>
      </c>
      <c r="Q7878" s="10" t="s">
        <v>13166</v>
      </c>
      <c r="R7878" s="10" t="s">
        <v>37034</v>
      </c>
      <c r="S7878" s="10" t="s">
        <v>53</v>
      </c>
      <c r="T7878" s="10" t="s">
        <v>54</v>
      </c>
    </row>
    <row r="7879" spans="1:20" ht="14.5" x14ac:dyDescent="0.35">
      <c r="A7879" s="10" t="s">
        <v>37035</v>
      </c>
      <c r="B7879" s="10" t="str">
        <f>"9780309051477"</f>
        <v>9780309051477</v>
      </c>
      <c r="C7879" s="10" t="str">
        <f>"9780309556347"</f>
        <v>9780309556347</v>
      </c>
      <c r="D7879" s="10" t="s">
        <v>36547</v>
      </c>
      <c r="E7879" s="10" t="s">
        <v>36547</v>
      </c>
      <c r="F7879" s="10" t="s">
        <v>36548</v>
      </c>
      <c r="G7879" s="10" t="s">
        <v>6317</v>
      </c>
      <c r="H7879" s="11">
        <v>32905</v>
      </c>
      <c r="I7879" s="10">
        <v>1990</v>
      </c>
      <c r="J7879" s="10" t="s">
        <v>36547</v>
      </c>
      <c r="K7879" s="10">
        <v>168</v>
      </c>
      <c r="L7879" s="10"/>
      <c r="M7879" s="10">
        <v>1</v>
      </c>
      <c r="N7879" s="10"/>
      <c r="O7879" s="10"/>
      <c r="P7879" s="10" t="s">
        <v>37036</v>
      </c>
      <c r="Q7879" s="10" t="s">
        <v>37037</v>
      </c>
      <c r="R7879" s="10" t="s">
        <v>37038</v>
      </c>
      <c r="S7879" s="10" t="s">
        <v>53</v>
      </c>
      <c r="T7879" s="10" t="s">
        <v>12662</v>
      </c>
    </row>
    <row r="7880" spans="1:20" ht="14.5" x14ac:dyDescent="0.35">
      <c r="A7880" s="10" t="s">
        <v>37039</v>
      </c>
      <c r="B7880" s="10" t="str">
        <f>"9780309032322"</f>
        <v>9780309032322</v>
      </c>
      <c r="C7880" s="10" t="str">
        <f>"9780309540605"</f>
        <v>9780309540605</v>
      </c>
      <c r="D7880" s="10" t="s">
        <v>36547</v>
      </c>
      <c r="E7880" s="10" t="s">
        <v>36547</v>
      </c>
      <c r="F7880" s="10" t="s">
        <v>36548</v>
      </c>
      <c r="G7880" s="10" t="s">
        <v>6317</v>
      </c>
      <c r="H7880" s="11">
        <v>29983</v>
      </c>
      <c r="I7880" s="10">
        <v>1982</v>
      </c>
      <c r="J7880" s="10" t="s">
        <v>36547</v>
      </c>
      <c r="K7880" s="10">
        <v>284</v>
      </c>
      <c r="L7880" s="10" t="s">
        <v>37040</v>
      </c>
      <c r="M7880" s="10">
        <v>1</v>
      </c>
      <c r="N7880" s="10"/>
      <c r="O7880" s="10"/>
      <c r="P7880" s="10" t="s">
        <v>37041</v>
      </c>
      <c r="Q7880" s="10">
        <v>370.15199999999999</v>
      </c>
      <c r="R7880" s="10" t="s">
        <v>37042</v>
      </c>
      <c r="S7880" s="10" t="s">
        <v>53</v>
      </c>
      <c r="T7880" s="10" t="s">
        <v>54</v>
      </c>
    </row>
    <row r="7881" spans="1:20" ht="14.5" x14ac:dyDescent="0.35">
      <c r="A7881" s="10" t="s">
        <v>37043</v>
      </c>
      <c r="B7881" s="10" t="str">
        <f>"9780309041973"</f>
        <v>9780309041973</v>
      </c>
      <c r="C7881" s="10" t="str">
        <f>"9780309543323"</f>
        <v>9780309543323</v>
      </c>
      <c r="D7881" s="10" t="s">
        <v>36547</v>
      </c>
      <c r="E7881" s="10" t="s">
        <v>36547</v>
      </c>
      <c r="F7881" s="10" t="s">
        <v>36548</v>
      </c>
      <c r="G7881" s="10" t="s">
        <v>6317</v>
      </c>
      <c r="H7881" s="11">
        <v>32905</v>
      </c>
      <c r="I7881" s="10">
        <v>1990</v>
      </c>
      <c r="J7881" s="10" t="s">
        <v>36547</v>
      </c>
      <c r="K7881" s="10">
        <v>266</v>
      </c>
      <c r="L7881" s="10"/>
      <c r="M7881" s="10">
        <v>1</v>
      </c>
      <c r="N7881" s="10"/>
      <c r="O7881" s="10"/>
      <c r="P7881" s="10" t="s">
        <v>37044</v>
      </c>
      <c r="Q7881" s="10">
        <v>507.1</v>
      </c>
      <c r="R7881" s="10" t="s">
        <v>37045</v>
      </c>
      <c r="S7881" s="10" t="s">
        <v>53</v>
      </c>
      <c r="T7881" s="10" t="s">
        <v>9608</v>
      </c>
    </row>
    <row r="7882" spans="1:20" ht="14.5" x14ac:dyDescent="0.35">
      <c r="A7882" s="10" t="s">
        <v>37046</v>
      </c>
      <c r="B7882" s="10" t="str">
        <f>"9780309032476"</f>
        <v>9780309032476</v>
      </c>
      <c r="C7882" s="10" t="str">
        <f>"9780309554275"</f>
        <v>9780309554275</v>
      </c>
      <c r="D7882" s="10" t="s">
        <v>36547</v>
      </c>
      <c r="E7882" s="10" t="s">
        <v>36547</v>
      </c>
      <c r="F7882" s="10" t="s">
        <v>36548</v>
      </c>
      <c r="G7882" s="10" t="s">
        <v>6317</v>
      </c>
      <c r="H7882" s="11">
        <v>29983</v>
      </c>
      <c r="I7882" s="10">
        <v>1982</v>
      </c>
      <c r="J7882" s="10" t="s">
        <v>36547</v>
      </c>
      <c r="K7882" s="10">
        <v>394</v>
      </c>
      <c r="L7882" s="10"/>
      <c r="M7882" s="10">
        <v>1</v>
      </c>
      <c r="N7882" s="10"/>
      <c r="O7882" s="10"/>
      <c r="P7882" s="10" t="s">
        <v>37047</v>
      </c>
      <c r="Q7882" s="10" t="s">
        <v>37048</v>
      </c>
      <c r="R7882" s="10" t="s">
        <v>37049</v>
      </c>
      <c r="S7882" s="10" t="s">
        <v>53</v>
      </c>
      <c r="T7882" s="10" t="s">
        <v>54</v>
      </c>
    </row>
    <row r="7883" spans="1:20" ht="14.5" x14ac:dyDescent="0.35">
      <c r="A7883" s="10" t="s">
        <v>37050</v>
      </c>
      <c r="B7883" s="10" t="str">
        <f>"9780309052979"</f>
        <v>9780309052979</v>
      </c>
      <c r="C7883" s="10" t="str">
        <f>"9780309552813"</f>
        <v>9780309552813</v>
      </c>
      <c r="D7883" s="10" t="s">
        <v>36547</v>
      </c>
      <c r="E7883" s="10" t="s">
        <v>36547</v>
      </c>
      <c r="F7883" s="10" t="s">
        <v>36548</v>
      </c>
      <c r="G7883" s="10" t="s">
        <v>6317</v>
      </c>
      <c r="H7883" s="11">
        <v>35469</v>
      </c>
      <c r="I7883" s="10">
        <v>1997</v>
      </c>
      <c r="J7883" s="10" t="s">
        <v>36547</v>
      </c>
      <c r="K7883" s="10">
        <v>240</v>
      </c>
      <c r="L7883" s="10"/>
      <c r="M7883" s="10">
        <v>1</v>
      </c>
      <c r="N7883" s="10"/>
      <c r="O7883" s="10"/>
      <c r="P7883" s="10" t="s">
        <v>37051</v>
      </c>
      <c r="Q7883" s="10" t="s">
        <v>12685</v>
      </c>
      <c r="R7883" s="10" t="s">
        <v>37052</v>
      </c>
      <c r="S7883" s="10" t="s">
        <v>53</v>
      </c>
      <c r="T7883" s="10" t="s">
        <v>54</v>
      </c>
    </row>
    <row r="7884" spans="1:20" ht="14.5" x14ac:dyDescent="0.35">
      <c r="A7884" s="10" t="s">
        <v>37053</v>
      </c>
      <c r="B7884" s="10" t="str">
        <f>"9780309033428"</f>
        <v>9780309033428</v>
      </c>
      <c r="C7884" s="10" t="str">
        <f>"9780309540964"</f>
        <v>9780309540964</v>
      </c>
      <c r="D7884" s="10" t="s">
        <v>36547</v>
      </c>
      <c r="E7884" s="10" t="s">
        <v>36547</v>
      </c>
      <c r="F7884" s="10" t="s">
        <v>36548</v>
      </c>
      <c r="G7884" s="10" t="s">
        <v>6317</v>
      </c>
      <c r="H7884" s="11">
        <v>29983</v>
      </c>
      <c r="I7884" s="10">
        <v>1982</v>
      </c>
      <c r="J7884" s="10" t="s">
        <v>36547</v>
      </c>
      <c r="K7884" s="10">
        <v>261</v>
      </c>
      <c r="L7884" s="10" t="s">
        <v>37054</v>
      </c>
      <c r="M7884" s="10">
        <v>1</v>
      </c>
      <c r="N7884" s="10"/>
      <c r="O7884" s="10"/>
      <c r="P7884" s="10" t="s">
        <v>37055</v>
      </c>
      <c r="Q7884" s="10" t="s">
        <v>37056</v>
      </c>
      <c r="R7884" s="10" t="s">
        <v>37057</v>
      </c>
      <c r="S7884" s="10" t="s">
        <v>53</v>
      </c>
      <c r="T7884" s="10" t="s">
        <v>6363</v>
      </c>
    </row>
    <row r="7885" spans="1:20" ht="14.5" x14ac:dyDescent="0.35">
      <c r="A7885" s="10" t="s">
        <v>37058</v>
      </c>
      <c r="B7885" s="10" t="str">
        <f>"9780309047289"</f>
        <v>9780309047289</v>
      </c>
      <c r="C7885" s="10" t="str">
        <f>"9780309544061"</f>
        <v>9780309544061</v>
      </c>
      <c r="D7885" s="10" t="s">
        <v>36547</v>
      </c>
      <c r="E7885" s="10" t="s">
        <v>36547</v>
      </c>
      <c r="F7885" s="10" t="s">
        <v>36548</v>
      </c>
      <c r="G7885" s="10" t="s">
        <v>6317</v>
      </c>
      <c r="H7885" s="11">
        <v>33635</v>
      </c>
      <c r="I7885" s="10">
        <v>1992</v>
      </c>
      <c r="J7885" s="10" t="s">
        <v>36547</v>
      </c>
      <c r="K7885" s="10">
        <v>138</v>
      </c>
      <c r="L7885" s="10" t="s">
        <v>37059</v>
      </c>
      <c r="M7885" s="10">
        <v>1</v>
      </c>
      <c r="N7885" s="10"/>
      <c r="O7885" s="10"/>
      <c r="P7885" s="10" t="s">
        <v>37060</v>
      </c>
      <c r="Q7885" s="10" t="s">
        <v>37061</v>
      </c>
      <c r="R7885" s="10" t="s">
        <v>37062</v>
      </c>
      <c r="S7885" s="10" t="s">
        <v>53</v>
      </c>
      <c r="T7885" s="10" t="s">
        <v>54</v>
      </c>
    </row>
    <row r="7886" spans="1:20" ht="14.5" x14ac:dyDescent="0.35">
      <c r="A7886" s="10" t="s">
        <v>37063</v>
      </c>
      <c r="B7886" s="10" t="str">
        <f>"9780309032995"</f>
        <v>9780309032995</v>
      </c>
      <c r="C7886" s="10" t="str">
        <f>"9780309563840"</f>
        <v>9780309563840</v>
      </c>
      <c r="D7886" s="10" t="s">
        <v>36547</v>
      </c>
      <c r="E7886" s="10" t="s">
        <v>36547</v>
      </c>
      <c r="F7886" s="10" t="s">
        <v>36548</v>
      </c>
      <c r="G7886" s="10" t="s">
        <v>6317</v>
      </c>
      <c r="H7886" s="11">
        <v>29983</v>
      </c>
      <c r="I7886" s="10">
        <v>1982</v>
      </c>
      <c r="J7886" s="10" t="s">
        <v>36547</v>
      </c>
      <c r="K7886" s="10">
        <v>255</v>
      </c>
      <c r="L7886" s="10"/>
      <c r="M7886" s="10">
        <v>1</v>
      </c>
      <c r="N7886" s="10"/>
      <c r="O7886" s="10"/>
      <c r="P7886" s="10" t="s">
        <v>37064</v>
      </c>
      <c r="Q7886" s="10" t="s">
        <v>37065</v>
      </c>
      <c r="R7886" s="10" t="s">
        <v>37066</v>
      </c>
      <c r="S7886" s="10" t="s">
        <v>53</v>
      </c>
      <c r="T7886" s="10" t="s">
        <v>7193</v>
      </c>
    </row>
    <row r="7887" spans="1:20" ht="14.5" x14ac:dyDescent="0.35">
      <c r="A7887" s="10" t="s">
        <v>37067</v>
      </c>
      <c r="B7887" s="10" t="str">
        <f>"9780309049320"</f>
        <v>9780309049320</v>
      </c>
      <c r="C7887" s="10" t="str">
        <f>"9780309562768"</f>
        <v>9780309562768</v>
      </c>
      <c r="D7887" s="10" t="s">
        <v>36547</v>
      </c>
      <c r="E7887" s="10" t="s">
        <v>36547</v>
      </c>
      <c r="F7887" s="10" t="s">
        <v>36548</v>
      </c>
      <c r="G7887" s="10" t="s">
        <v>6317</v>
      </c>
      <c r="H7887" s="11">
        <v>34366</v>
      </c>
      <c r="I7887" s="10">
        <v>1994</v>
      </c>
      <c r="J7887" s="10" t="s">
        <v>36547</v>
      </c>
      <c r="K7887" s="10">
        <v>268</v>
      </c>
      <c r="L7887" s="10" t="s">
        <v>37068</v>
      </c>
      <c r="M7887" s="10">
        <v>2</v>
      </c>
      <c r="N7887" s="10"/>
      <c r="O7887" s="10"/>
      <c r="P7887" s="10" t="s">
        <v>37069</v>
      </c>
      <c r="Q7887" s="10" t="s">
        <v>37070</v>
      </c>
      <c r="R7887" s="10" t="s">
        <v>37071</v>
      </c>
      <c r="S7887" s="10" t="s">
        <v>53</v>
      </c>
      <c r="T7887" s="10" t="s">
        <v>54</v>
      </c>
    </row>
    <row r="7888" spans="1:20" ht="14.5" x14ac:dyDescent="0.35">
      <c r="A7888" s="10" t="s">
        <v>37072</v>
      </c>
      <c r="B7888" s="10" t="str">
        <f>"9780309071765"</f>
        <v>9780309071765</v>
      </c>
      <c r="C7888" s="10" t="str">
        <f>"9780309563031"</f>
        <v>9780309563031</v>
      </c>
      <c r="D7888" s="10" t="s">
        <v>36547</v>
      </c>
      <c r="E7888" s="10" t="s">
        <v>36547</v>
      </c>
      <c r="F7888" s="10" t="s">
        <v>36548</v>
      </c>
      <c r="G7888" s="10" t="s">
        <v>6317</v>
      </c>
      <c r="H7888" s="11">
        <v>36785</v>
      </c>
      <c r="I7888" s="10">
        <v>2000</v>
      </c>
      <c r="J7888" s="10" t="s">
        <v>36547</v>
      </c>
      <c r="K7888" s="10">
        <v>175</v>
      </c>
      <c r="L7888" s="10"/>
      <c r="M7888" s="10">
        <v>1</v>
      </c>
      <c r="N7888" s="10"/>
      <c r="O7888" s="10"/>
      <c r="P7888" s="10" t="s">
        <v>37073</v>
      </c>
      <c r="Q7888" s="10" t="s">
        <v>12712</v>
      </c>
      <c r="R7888" s="10" t="s">
        <v>36612</v>
      </c>
      <c r="S7888" s="10" t="s">
        <v>53</v>
      </c>
      <c r="T7888" s="10" t="s">
        <v>7193</v>
      </c>
    </row>
    <row r="7889" spans="1:20" ht="14.5" x14ac:dyDescent="0.35">
      <c r="A7889" s="10" t="s">
        <v>37074</v>
      </c>
      <c r="B7889" s="10" t="str">
        <f>"9780309090995"</f>
        <v>9780309090995</v>
      </c>
      <c r="C7889" s="10" t="str">
        <f>"9780309528146"</f>
        <v>9780309528146</v>
      </c>
      <c r="D7889" s="10" t="s">
        <v>36547</v>
      </c>
      <c r="E7889" s="10" t="s">
        <v>36547</v>
      </c>
      <c r="F7889" s="10" t="s">
        <v>36548</v>
      </c>
      <c r="G7889" s="10" t="s">
        <v>6317</v>
      </c>
      <c r="H7889" s="11">
        <v>38248</v>
      </c>
      <c r="I7889" s="10">
        <v>2004</v>
      </c>
      <c r="J7889" s="10" t="s">
        <v>36547</v>
      </c>
      <c r="K7889" s="10">
        <v>106</v>
      </c>
      <c r="L7889" s="10" t="s">
        <v>37075</v>
      </c>
      <c r="M7889" s="10">
        <v>1</v>
      </c>
      <c r="N7889" s="10"/>
      <c r="O7889" s="10"/>
      <c r="P7889" s="10" t="s">
        <v>37076</v>
      </c>
      <c r="Q7889" s="10">
        <v>507.2</v>
      </c>
      <c r="R7889" s="10" t="s">
        <v>37077</v>
      </c>
      <c r="S7889" s="10" t="s">
        <v>53</v>
      </c>
      <c r="T7889" s="10" t="s">
        <v>7193</v>
      </c>
    </row>
    <row r="7890" spans="1:20" ht="14.5" x14ac:dyDescent="0.35">
      <c r="A7890" s="10" t="s">
        <v>37078</v>
      </c>
      <c r="B7890" s="10" t="str">
        <f>"9780309033404"</f>
        <v>9780309033404</v>
      </c>
      <c r="C7890" s="10" t="str">
        <f>"9780309569491"</f>
        <v>9780309569491</v>
      </c>
      <c r="D7890" s="10" t="s">
        <v>36547</v>
      </c>
      <c r="E7890" s="10" t="s">
        <v>36547</v>
      </c>
      <c r="F7890" s="10" t="s">
        <v>36548</v>
      </c>
      <c r="G7890" s="10" t="s">
        <v>6317</v>
      </c>
      <c r="H7890" s="11">
        <v>29983</v>
      </c>
      <c r="I7890" s="10">
        <v>1982</v>
      </c>
      <c r="J7890" s="10" t="s">
        <v>36547</v>
      </c>
      <c r="K7890" s="10">
        <v>262</v>
      </c>
      <c r="L7890" s="10" t="s">
        <v>37054</v>
      </c>
      <c r="M7890" s="10">
        <v>1</v>
      </c>
      <c r="N7890" s="10"/>
      <c r="O7890" s="10"/>
      <c r="P7890" s="10" t="s">
        <v>37079</v>
      </c>
      <c r="Q7890" s="10" t="s">
        <v>37080</v>
      </c>
      <c r="R7890" s="10" t="s">
        <v>37081</v>
      </c>
      <c r="S7890" s="10" t="s">
        <v>53</v>
      </c>
      <c r="T7890" s="10" t="s">
        <v>13819</v>
      </c>
    </row>
    <row r="7891" spans="1:20" ht="14.5" x14ac:dyDescent="0.35">
      <c r="A7891" s="10" t="s">
        <v>37082</v>
      </c>
      <c r="B7891" s="10" t="str">
        <f>"9780309036788"</f>
        <v>9780309036788</v>
      </c>
      <c r="C7891" s="10" t="str">
        <f>"9780309568173"</f>
        <v>9780309568173</v>
      </c>
      <c r="D7891" s="10" t="s">
        <v>36547</v>
      </c>
      <c r="E7891" s="10" t="s">
        <v>36547</v>
      </c>
      <c r="F7891" s="10" t="s">
        <v>36548</v>
      </c>
      <c r="G7891" s="10" t="s">
        <v>6317</v>
      </c>
      <c r="H7891" s="11">
        <v>31444</v>
      </c>
      <c r="I7891" s="10">
        <v>1986</v>
      </c>
      <c r="J7891" s="10" t="s">
        <v>36547</v>
      </c>
      <c r="K7891" s="10">
        <v>286</v>
      </c>
      <c r="L7891" s="10"/>
      <c r="M7891" s="10">
        <v>1</v>
      </c>
      <c r="N7891" s="10"/>
      <c r="O7891" s="10"/>
      <c r="P7891" s="10" t="s">
        <v>37083</v>
      </c>
      <c r="Q7891" s="10">
        <v>370.11619999999999</v>
      </c>
      <c r="R7891" s="10" t="s">
        <v>37084</v>
      </c>
      <c r="S7891" s="10" t="s">
        <v>53</v>
      </c>
      <c r="T7891" s="10" t="s">
        <v>54</v>
      </c>
    </row>
    <row r="7892" spans="1:20" ht="14.5" x14ac:dyDescent="0.35">
      <c r="A7892" s="10" t="s">
        <v>37085</v>
      </c>
      <c r="B7892" s="10" t="str">
        <f>"9780309055994"</f>
        <v>9780309055994</v>
      </c>
      <c r="C7892" s="10" t="str">
        <f>"9780309570480"</f>
        <v>9780309570480</v>
      </c>
      <c r="D7892" s="10" t="s">
        <v>36547</v>
      </c>
      <c r="E7892" s="10" t="s">
        <v>36547</v>
      </c>
      <c r="F7892" s="10" t="s">
        <v>88</v>
      </c>
      <c r="G7892" s="10" t="s">
        <v>6317</v>
      </c>
      <c r="H7892" s="11">
        <v>35034</v>
      </c>
      <c r="I7892" s="10">
        <v>1996</v>
      </c>
      <c r="J7892" s="10" t="s">
        <v>36547</v>
      </c>
      <c r="K7892" s="10">
        <v>45</v>
      </c>
      <c r="L7892" s="10" t="s">
        <v>37086</v>
      </c>
      <c r="M7892" s="10">
        <v>1</v>
      </c>
      <c r="N7892" s="10"/>
      <c r="O7892" s="10"/>
      <c r="P7892" s="10" t="s">
        <v>37087</v>
      </c>
      <c r="Q7892" s="10"/>
      <c r="R7892" s="10" t="s">
        <v>37088</v>
      </c>
      <c r="S7892" s="10" t="s">
        <v>53</v>
      </c>
      <c r="T7892" s="10" t="s">
        <v>54</v>
      </c>
    </row>
    <row r="7893" spans="1:20" ht="14.5" x14ac:dyDescent="0.35">
      <c r="A7893" s="10" t="s">
        <v>37089</v>
      </c>
      <c r="B7893" s="10" t="str">
        <f>"9780309083003"</f>
        <v>9780309083003</v>
      </c>
      <c r="C7893" s="10" t="str">
        <f>"9780309570244"</f>
        <v>9780309570244</v>
      </c>
      <c r="D7893" s="10" t="s">
        <v>36547</v>
      </c>
      <c r="E7893" s="10" t="s">
        <v>36547</v>
      </c>
      <c r="F7893" s="10" t="s">
        <v>36548</v>
      </c>
      <c r="G7893" s="10" t="s">
        <v>6317</v>
      </c>
      <c r="H7893" s="11">
        <v>37284</v>
      </c>
      <c r="I7893" s="10">
        <v>2001</v>
      </c>
      <c r="J7893" s="10" t="s">
        <v>36547</v>
      </c>
      <c r="K7893" s="10">
        <v>59</v>
      </c>
      <c r="L7893" s="10" t="s">
        <v>37090</v>
      </c>
      <c r="M7893" s="10">
        <v>1</v>
      </c>
      <c r="N7893" s="10"/>
      <c r="O7893" s="10"/>
      <c r="P7893" s="10" t="s">
        <v>37091</v>
      </c>
      <c r="Q7893" s="10" t="s">
        <v>6538</v>
      </c>
      <c r="R7893" s="10" t="s">
        <v>37092</v>
      </c>
      <c r="S7893" s="10" t="s">
        <v>53</v>
      </c>
      <c r="T7893" s="10" t="s">
        <v>389</v>
      </c>
    </row>
    <row r="7894" spans="1:20" ht="14.5" x14ac:dyDescent="0.35">
      <c r="A7894" s="10" t="s">
        <v>37093</v>
      </c>
      <c r="B7894" s="10" t="str">
        <f>"9780309033367"</f>
        <v>9780309033367</v>
      </c>
      <c r="C7894" s="10" t="str">
        <f>"9780309569521"</f>
        <v>9780309569521</v>
      </c>
      <c r="D7894" s="10" t="s">
        <v>36547</v>
      </c>
      <c r="E7894" s="10" t="s">
        <v>36547</v>
      </c>
      <c r="F7894" s="10" t="s">
        <v>36548</v>
      </c>
      <c r="G7894" s="10" t="s">
        <v>6317</v>
      </c>
      <c r="H7894" s="11">
        <v>29983</v>
      </c>
      <c r="I7894" s="10">
        <v>1982</v>
      </c>
      <c r="J7894" s="10" t="s">
        <v>36547</v>
      </c>
      <c r="K7894" s="10">
        <v>205</v>
      </c>
      <c r="L7894" s="10" t="s">
        <v>37054</v>
      </c>
      <c r="M7894" s="10">
        <v>1</v>
      </c>
      <c r="N7894" s="10"/>
      <c r="O7894" s="10"/>
      <c r="P7894" s="10" t="s">
        <v>37094</v>
      </c>
      <c r="Q7894" s="10" t="s">
        <v>37095</v>
      </c>
      <c r="R7894" s="10" t="s">
        <v>37096</v>
      </c>
      <c r="S7894" s="10" t="s">
        <v>53</v>
      </c>
      <c r="T7894" s="10" t="s">
        <v>37097</v>
      </c>
    </row>
    <row r="7895" spans="1:20" ht="14.5" x14ac:dyDescent="0.35">
      <c r="A7895" s="10" t="s">
        <v>37098</v>
      </c>
      <c r="B7895" s="10" t="str">
        <f>"9780309033336"</f>
        <v>9780309033336</v>
      </c>
      <c r="C7895" s="10" t="str">
        <f>"9780309569460"</f>
        <v>9780309569460</v>
      </c>
      <c r="D7895" s="10" t="s">
        <v>36547</v>
      </c>
      <c r="E7895" s="10" t="s">
        <v>36547</v>
      </c>
      <c r="F7895" s="10" t="s">
        <v>36548</v>
      </c>
      <c r="G7895" s="10" t="s">
        <v>6317</v>
      </c>
      <c r="H7895" s="11">
        <v>29983</v>
      </c>
      <c r="I7895" s="10">
        <v>1982</v>
      </c>
      <c r="J7895" s="10" t="s">
        <v>36547</v>
      </c>
      <c r="K7895" s="10">
        <v>258</v>
      </c>
      <c r="L7895" s="10" t="s">
        <v>37054</v>
      </c>
      <c r="M7895" s="10">
        <v>1</v>
      </c>
      <c r="N7895" s="10"/>
      <c r="O7895" s="10"/>
      <c r="P7895" s="10" t="s">
        <v>37099</v>
      </c>
      <c r="Q7895" s="10" t="s">
        <v>37100</v>
      </c>
      <c r="R7895" s="10" t="s">
        <v>37101</v>
      </c>
      <c r="S7895" s="10" t="s">
        <v>53</v>
      </c>
      <c r="T7895" s="10" t="s">
        <v>9590</v>
      </c>
    </row>
    <row r="7896" spans="1:20" ht="14.5" x14ac:dyDescent="0.35">
      <c r="A7896" s="10" t="s">
        <v>37102</v>
      </c>
      <c r="B7896" s="10" t="str">
        <f>""</f>
        <v/>
      </c>
      <c r="C7896" s="10" t="str">
        <f>"9780309572378"</f>
        <v>9780309572378</v>
      </c>
      <c r="D7896" s="10" t="s">
        <v>36547</v>
      </c>
      <c r="E7896" s="10" t="s">
        <v>36547</v>
      </c>
      <c r="F7896" s="10" t="s">
        <v>88</v>
      </c>
      <c r="G7896" s="10" t="s">
        <v>6317</v>
      </c>
      <c r="H7896" s="11">
        <v>34669</v>
      </c>
      <c r="I7896" s="10">
        <v>1995</v>
      </c>
      <c r="J7896" s="10" t="s">
        <v>36547</v>
      </c>
      <c r="K7896" s="10">
        <v>189</v>
      </c>
      <c r="L7896" s="10" t="s">
        <v>37103</v>
      </c>
      <c r="M7896" s="10">
        <v>1</v>
      </c>
      <c r="N7896" s="10"/>
      <c r="O7896" s="10"/>
      <c r="P7896" s="10" t="s">
        <v>37104</v>
      </c>
      <c r="Q7896" s="10"/>
      <c r="R7896" s="10" t="s">
        <v>37105</v>
      </c>
      <c r="S7896" s="10" t="s">
        <v>53</v>
      </c>
      <c r="T7896" s="10" t="s">
        <v>54</v>
      </c>
    </row>
    <row r="7897" spans="1:20" ht="14.5" x14ac:dyDescent="0.35">
      <c r="A7897" s="10" t="s">
        <v>37106</v>
      </c>
      <c r="B7897" s="10" t="str">
        <f>"9780309052856"</f>
        <v>9780309052856</v>
      </c>
      <c r="C7897" s="10" t="str">
        <f>"9780309568784"</f>
        <v>9780309568784</v>
      </c>
      <c r="D7897" s="10" t="s">
        <v>36547</v>
      </c>
      <c r="E7897" s="10" t="s">
        <v>36547</v>
      </c>
      <c r="F7897" s="10" t="s">
        <v>36548</v>
      </c>
      <c r="G7897" s="10" t="s">
        <v>6317</v>
      </c>
      <c r="H7897" s="11">
        <v>34875</v>
      </c>
      <c r="I7897" s="10">
        <v>1995</v>
      </c>
      <c r="J7897" s="10" t="s">
        <v>36547</v>
      </c>
      <c r="K7897" s="10">
        <v>220</v>
      </c>
      <c r="L7897" s="10"/>
      <c r="M7897" s="10">
        <v>1</v>
      </c>
      <c r="N7897" s="10"/>
      <c r="O7897" s="10"/>
      <c r="P7897" s="10" t="s">
        <v>37107</v>
      </c>
      <c r="Q7897" s="10"/>
      <c r="R7897" s="10" t="s">
        <v>37108</v>
      </c>
      <c r="S7897" s="10" t="s">
        <v>53</v>
      </c>
      <c r="T7897" s="10" t="s">
        <v>5557</v>
      </c>
    </row>
    <row r="7898" spans="1:20" ht="14.5" x14ac:dyDescent="0.35">
      <c r="A7898" s="10" t="s">
        <v>37109</v>
      </c>
      <c r="B7898" s="10" t="str">
        <f>""</f>
        <v/>
      </c>
      <c r="C7898" s="10" t="str">
        <f>"9780309572859"</f>
        <v>9780309572859</v>
      </c>
      <c r="D7898" s="10" t="s">
        <v>36547</v>
      </c>
      <c r="E7898" s="10" t="s">
        <v>36547</v>
      </c>
      <c r="F7898" s="10" t="s">
        <v>88</v>
      </c>
      <c r="G7898" s="10" t="s">
        <v>6317</v>
      </c>
      <c r="H7898" s="11">
        <v>35400</v>
      </c>
      <c r="I7898" s="10">
        <v>1996</v>
      </c>
      <c r="J7898" s="10" t="s">
        <v>36547</v>
      </c>
      <c r="K7898" s="10">
        <v>128</v>
      </c>
      <c r="L7898" s="10" t="s">
        <v>37086</v>
      </c>
      <c r="M7898" s="10">
        <v>1</v>
      </c>
      <c r="N7898" s="10"/>
      <c r="O7898" s="10"/>
      <c r="P7898" s="10" t="s">
        <v>37110</v>
      </c>
      <c r="Q7898" s="10">
        <v>371.97</v>
      </c>
      <c r="R7898" s="10" t="s">
        <v>37111</v>
      </c>
      <c r="S7898" s="10" t="s">
        <v>53</v>
      </c>
      <c r="T7898" s="10" t="s">
        <v>54</v>
      </c>
    </row>
    <row r="7899" spans="1:20" ht="14.5" x14ac:dyDescent="0.35">
      <c r="A7899" s="10" t="s">
        <v>37112</v>
      </c>
      <c r="B7899" s="10" t="str">
        <f>""</f>
        <v/>
      </c>
      <c r="C7899" s="10" t="str">
        <f>"9780309571654"</f>
        <v>9780309571654</v>
      </c>
      <c r="D7899" s="10" t="s">
        <v>36547</v>
      </c>
      <c r="E7899" s="10" t="s">
        <v>36547</v>
      </c>
      <c r="F7899" s="10" t="s">
        <v>88</v>
      </c>
      <c r="G7899" s="10" t="s">
        <v>6317</v>
      </c>
      <c r="H7899" s="11">
        <v>35034</v>
      </c>
      <c r="I7899" s="10">
        <v>1995</v>
      </c>
      <c r="J7899" s="10" t="s">
        <v>36547</v>
      </c>
      <c r="K7899" s="10">
        <v>131</v>
      </c>
      <c r="L7899" s="10" t="s">
        <v>37113</v>
      </c>
      <c r="M7899" s="10">
        <v>1</v>
      </c>
      <c r="N7899" s="10"/>
      <c r="O7899" s="10"/>
      <c r="P7899" s="10" t="s">
        <v>37114</v>
      </c>
      <c r="Q7899" s="10">
        <v>370.15</v>
      </c>
      <c r="R7899" s="10" t="s">
        <v>37115</v>
      </c>
      <c r="S7899" s="10" t="s">
        <v>53</v>
      </c>
      <c r="T7899" s="10" t="s">
        <v>54</v>
      </c>
    </row>
    <row r="7900" spans="1:20" ht="14.5" x14ac:dyDescent="0.35">
      <c r="A7900" s="10" t="s">
        <v>37116</v>
      </c>
      <c r="B7900" s="10" t="str">
        <f>""</f>
        <v/>
      </c>
      <c r="C7900" s="10" t="str">
        <f>"9780309578943"</f>
        <v>9780309578943</v>
      </c>
      <c r="D7900" s="10" t="s">
        <v>36547</v>
      </c>
      <c r="E7900" s="10" t="s">
        <v>36547</v>
      </c>
      <c r="F7900" s="10" t="s">
        <v>88</v>
      </c>
      <c r="G7900" s="10" t="s">
        <v>6317</v>
      </c>
      <c r="H7900" s="11">
        <v>36861</v>
      </c>
      <c r="I7900" s="10">
        <v>2000</v>
      </c>
      <c r="J7900" s="10" t="s">
        <v>36547</v>
      </c>
      <c r="K7900" s="10">
        <v>36</v>
      </c>
      <c r="L7900" s="10" t="s">
        <v>37117</v>
      </c>
      <c r="M7900" s="10">
        <v>1</v>
      </c>
      <c r="N7900" s="10"/>
      <c r="O7900" s="10"/>
      <c r="P7900" s="10" t="s">
        <v>37118</v>
      </c>
      <c r="Q7900" s="10">
        <v>307.76071100000001</v>
      </c>
      <c r="R7900" s="10" t="s">
        <v>37119</v>
      </c>
      <c r="S7900" s="10" t="s">
        <v>53</v>
      </c>
      <c r="T7900" s="10" t="s">
        <v>6363</v>
      </c>
    </row>
    <row r="7901" spans="1:20" ht="14.5" x14ac:dyDescent="0.35">
      <c r="A7901" s="10" t="s">
        <v>37120</v>
      </c>
      <c r="B7901" s="10" t="str">
        <f>""</f>
        <v/>
      </c>
      <c r="C7901" s="10" t="str">
        <f>"9780309583701"</f>
        <v>9780309583701</v>
      </c>
      <c r="D7901" s="10" t="s">
        <v>36547</v>
      </c>
      <c r="E7901" s="10" t="s">
        <v>36547</v>
      </c>
      <c r="F7901" s="10" t="s">
        <v>88</v>
      </c>
      <c r="G7901" s="10" t="s">
        <v>6317</v>
      </c>
      <c r="H7901" s="11">
        <v>36495</v>
      </c>
      <c r="I7901" s="10">
        <v>1999</v>
      </c>
      <c r="J7901" s="10" t="s">
        <v>36547</v>
      </c>
      <c r="K7901" s="10">
        <v>44</v>
      </c>
      <c r="L7901" s="10" t="s">
        <v>37121</v>
      </c>
      <c r="M7901" s="10">
        <v>1</v>
      </c>
      <c r="N7901" s="10"/>
      <c r="O7901" s="10"/>
      <c r="P7901" s="10" t="s">
        <v>37122</v>
      </c>
      <c r="Q7901" s="10">
        <v>25.002850097300001</v>
      </c>
      <c r="R7901" s="10" t="s">
        <v>37123</v>
      </c>
      <c r="S7901" s="10" t="s">
        <v>53</v>
      </c>
      <c r="T7901" s="10" t="s">
        <v>37124</v>
      </c>
    </row>
    <row r="7902" spans="1:20" ht="14.5" x14ac:dyDescent="0.35">
      <c r="A7902" s="10" t="s">
        <v>37125</v>
      </c>
      <c r="B7902" s="10" t="str">
        <f>""</f>
        <v/>
      </c>
      <c r="C7902" s="10" t="str">
        <f>"9780309579452"</f>
        <v>9780309579452</v>
      </c>
      <c r="D7902" s="10" t="s">
        <v>36547</v>
      </c>
      <c r="E7902" s="10" t="s">
        <v>36547</v>
      </c>
      <c r="F7902" s="10" t="s">
        <v>88</v>
      </c>
      <c r="G7902" s="10" t="s">
        <v>6317</v>
      </c>
      <c r="H7902" s="11">
        <v>37226</v>
      </c>
      <c r="I7902" s="10">
        <v>2001</v>
      </c>
      <c r="J7902" s="10" t="s">
        <v>36547</v>
      </c>
      <c r="K7902" s="10">
        <v>121</v>
      </c>
      <c r="L7902" s="10" t="s">
        <v>37126</v>
      </c>
      <c r="M7902" s="10">
        <v>1</v>
      </c>
      <c r="N7902" s="10"/>
      <c r="O7902" s="10"/>
      <c r="P7902" s="10" t="s">
        <v>37127</v>
      </c>
      <c r="Q7902" s="10">
        <v>372.21</v>
      </c>
      <c r="R7902" s="10" t="s">
        <v>37128</v>
      </c>
      <c r="S7902" s="10" t="s">
        <v>53</v>
      </c>
      <c r="T7902" s="10" t="s">
        <v>54</v>
      </c>
    </row>
    <row r="7903" spans="1:20" ht="14.5" x14ac:dyDescent="0.35">
      <c r="A7903" s="10" t="s">
        <v>37129</v>
      </c>
      <c r="B7903" s="10" t="str">
        <f>""</f>
        <v/>
      </c>
      <c r="C7903" s="10" t="str">
        <f>"9780309571135"</f>
        <v>9780309571135</v>
      </c>
      <c r="D7903" s="10" t="s">
        <v>36547</v>
      </c>
      <c r="E7903" s="10" t="s">
        <v>36547</v>
      </c>
      <c r="F7903" s="10" t="s">
        <v>88</v>
      </c>
      <c r="G7903" s="10" t="s">
        <v>6317</v>
      </c>
      <c r="H7903" s="11">
        <v>28095</v>
      </c>
      <c r="I7903" s="10">
        <v>1976</v>
      </c>
      <c r="J7903" s="10" t="s">
        <v>36547</v>
      </c>
      <c r="K7903" s="10">
        <v>143</v>
      </c>
      <c r="L7903" s="10" t="s">
        <v>37130</v>
      </c>
      <c r="M7903" s="10">
        <v>1</v>
      </c>
      <c r="N7903" s="10"/>
      <c r="O7903" s="10"/>
      <c r="P7903" s="10" t="s">
        <v>37131</v>
      </c>
      <c r="Q7903" s="10">
        <v>370.113</v>
      </c>
      <c r="R7903" s="10" t="s">
        <v>37132</v>
      </c>
      <c r="S7903" s="10" t="s">
        <v>53</v>
      </c>
      <c r="T7903" s="10" t="s">
        <v>54</v>
      </c>
    </row>
    <row r="7904" spans="1:20" ht="14.5" x14ac:dyDescent="0.35">
      <c r="A7904" s="10" t="s">
        <v>37133</v>
      </c>
      <c r="B7904" s="10" t="str">
        <f>""</f>
        <v/>
      </c>
      <c r="C7904" s="10" t="str">
        <f>"9780309584289"</f>
        <v>9780309584289</v>
      </c>
      <c r="D7904" s="10" t="s">
        <v>36547</v>
      </c>
      <c r="E7904" s="10" t="s">
        <v>36547</v>
      </c>
      <c r="F7904" s="10" t="s">
        <v>88</v>
      </c>
      <c r="G7904" s="10" t="s">
        <v>6317</v>
      </c>
      <c r="H7904" s="11">
        <v>36130</v>
      </c>
      <c r="I7904" s="10">
        <v>1998</v>
      </c>
      <c r="J7904" s="10" t="s">
        <v>36547</v>
      </c>
      <c r="K7904" s="10">
        <v>131</v>
      </c>
      <c r="L7904" s="10" t="s">
        <v>37134</v>
      </c>
      <c r="M7904" s="10">
        <v>1</v>
      </c>
      <c r="N7904" s="10"/>
      <c r="O7904" s="10"/>
      <c r="P7904" s="10" t="s">
        <v>37135</v>
      </c>
      <c r="Q7904" s="10">
        <v>378</v>
      </c>
      <c r="R7904" s="10" t="s">
        <v>37136</v>
      </c>
      <c r="S7904" s="10" t="s">
        <v>53</v>
      </c>
      <c r="T7904" s="10" t="s">
        <v>54</v>
      </c>
    </row>
    <row r="7905" spans="1:20" ht="14.5" x14ac:dyDescent="0.35">
      <c r="A7905" s="10" t="s">
        <v>37137</v>
      </c>
      <c r="B7905" s="10" t="str">
        <f>""</f>
        <v/>
      </c>
      <c r="C7905" s="10" t="str">
        <f>"9780309585842"</f>
        <v>9780309585842</v>
      </c>
      <c r="D7905" s="10" t="s">
        <v>36547</v>
      </c>
      <c r="E7905" s="10" t="s">
        <v>36547</v>
      </c>
      <c r="F7905" s="10" t="s">
        <v>88</v>
      </c>
      <c r="G7905" s="10" t="s">
        <v>6317</v>
      </c>
      <c r="H7905" s="11">
        <v>35034</v>
      </c>
      <c r="I7905" s="10">
        <v>1995</v>
      </c>
      <c r="J7905" s="10" t="s">
        <v>36547</v>
      </c>
      <c r="K7905" s="10">
        <v>87</v>
      </c>
      <c r="L7905" s="10" t="s">
        <v>37138</v>
      </c>
      <c r="M7905" s="10">
        <v>1</v>
      </c>
      <c r="N7905" s="10"/>
      <c r="O7905" s="10"/>
      <c r="P7905" s="10" t="s">
        <v>37139</v>
      </c>
      <c r="Q7905" s="10">
        <v>371.26</v>
      </c>
      <c r="R7905" s="10" t="s">
        <v>37140</v>
      </c>
      <c r="S7905" s="10" t="s">
        <v>53</v>
      </c>
      <c r="T7905" s="10" t="s">
        <v>54</v>
      </c>
    </row>
    <row r="7906" spans="1:20" ht="14.5" x14ac:dyDescent="0.35">
      <c r="A7906" s="10" t="s">
        <v>37141</v>
      </c>
      <c r="B7906" s="10" t="str">
        <f>""</f>
        <v/>
      </c>
      <c r="C7906" s="10" t="str">
        <f>"9780309583855"</f>
        <v>9780309583855</v>
      </c>
      <c r="D7906" s="10" t="s">
        <v>36547</v>
      </c>
      <c r="E7906" s="10" t="s">
        <v>36547</v>
      </c>
      <c r="F7906" s="10" t="s">
        <v>88</v>
      </c>
      <c r="G7906" s="10" t="s">
        <v>6317</v>
      </c>
      <c r="H7906" s="11">
        <v>36495</v>
      </c>
      <c r="I7906" s="10">
        <v>1999</v>
      </c>
      <c r="J7906" s="10" t="s">
        <v>36547</v>
      </c>
      <c r="K7906" s="10">
        <v>60</v>
      </c>
      <c r="L7906" s="10" t="s">
        <v>37142</v>
      </c>
      <c r="M7906" s="10">
        <v>1</v>
      </c>
      <c r="N7906" s="10"/>
      <c r="O7906" s="10"/>
      <c r="P7906" s="10" t="s">
        <v>37143</v>
      </c>
      <c r="Q7906" s="10">
        <v>372.12599999999998</v>
      </c>
      <c r="R7906" s="10" t="s">
        <v>37144</v>
      </c>
      <c r="S7906" s="10" t="s">
        <v>53</v>
      </c>
      <c r="T7906" s="10" t="s">
        <v>54</v>
      </c>
    </row>
    <row r="7907" spans="1:20" ht="14.5" x14ac:dyDescent="0.35">
      <c r="A7907" s="10" t="s">
        <v>37145</v>
      </c>
      <c r="B7907" s="10" t="str">
        <f>""</f>
        <v/>
      </c>
      <c r="C7907" s="10" t="str">
        <f>"9780309584555"</f>
        <v>9780309584555</v>
      </c>
      <c r="D7907" s="10" t="s">
        <v>36547</v>
      </c>
      <c r="E7907" s="10" t="s">
        <v>36547</v>
      </c>
      <c r="F7907" s="10" t="s">
        <v>88</v>
      </c>
      <c r="G7907" s="10" t="s">
        <v>6317</v>
      </c>
      <c r="H7907" s="11">
        <v>36495</v>
      </c>
      <c r="I7907" s="10">
        <v>1999</v>
      </c>
      <c r="J7907" s="10" t="s">
        <v>36547</v>
      </c>
      <c r="K7907" s="10">
        <v>89</v>
      </c>
      <c r="L7907" s="10" t="s">
        <v>37146</v>
      </c>
      <c r="M7907" s="10">
        <v>1</v>
      </c>
      <c r="N7907" s="10"/>
      <c r="O7907" s="10"/>
      <c r="P7907" s="10" t="s">
        <v>37147</v>
      </c>
      <c r="Q7907" s="10">
        <v>370.711794</v>
      </c>
      <c r="R7907" s="10" t="s">
        <v>37148</v>
      </c>
      <c r="S7907" s="10" t="s">
        <v>53</v>
      </c>
      <c r="T7907" s="10" t="s">
        <v>54</v>
      </c>
    </row>
    <row r="7908" spans="1:20" ht="14.5" x14ac:dyDescent="0.35">
      <c r="A7908" s="10" t="s">
        <v>37149</v>
      </c>
      <c r="B7908" s="10" t="str">
        <f>""</f>
        <v/>
      </c>
      <c r="C7908" s="10" t="str">
        <f>"9780309584678"</f>
        <v>9780309584678</v>
      </c>
      <c r="D7908" s="10" t="s">
        <v>36547</v>
      </c>
      <c r="E7908" s="10" t="s">
        <v>36547</v>
      </c>
      <c r="F7908" s="10" t="s">
        <v>88</v>
      </c>
      <c r="G7908" s="10" t="s">
        <v>6317</v>
      </c>
      <c r="H7908" s="11">
        <v>35765</v>
      </c>
      <c r="I7908" s="10">
        <v>1997</v>
      </c>
      <c r="J7908" s="10" t="s">
        <v>36547</v>
      </c>
      <c r="K7908" s="10">
        <v>12</v>
      </c>
      <c r="L7908" s="10" t="s">
        <v>37126</v>
      </c>
      <c r="M7908" s="10">
        <v>1</v>
      </c>
      <c r="N7908" s="10"/>
      <c r="O7908" s="10"/>
      <c r="P7908" s="10" t="s">
        <v>37150</v>
      </c>
      <c r="Q7908" s="10">
        <v>507.12729999999999</v>
      </c>
      <c r="R7908" s="10" t="s">
        <v>37151</v>
      </c>
      <c r="S7908" s="10" t="s">
        <v>53</v>
      </c>
      <c r="T7908" s="10" t="s">
        <v>7193</v>
      </c>
    </row>
    <row r="7909" spans="1:20" ht="14.5" x14ac:dyDescent="0.35">
      <c r="A7909" s="10" t="s">
        <v>37152</v>
      </c>
      <c r="B7909" s="10" t="str">
        <f>""</f>
        <v/>
      </c>
      <c r="C7909" s="10" t="str">
        <f>"9780309591584"</f>
        <v>9780309591584</v>
      </c>
      <c r="D7909" s="10" t="s">
        <v>36547</v>
      </c>
      <c r="E7909" s="10" t="s">
        <v>36547</v>
      </c>
      <c r="F7909" s="10" t="s">
        <v>88</v>
      </c>
      <c r="G7909" s="10" t="s">
        <v>6317</v>
      </c>
      <c r="H7909" s="11">
        <v>34669</v>
      </c>
      <c r="I7909" s="10">
        <v>1995</v>
      </c>
      <c r="J7909" s="10" t="s">
        <v>36547</v>
      </c>
      <c r="K7909" s="10">
        <v>107</v>
      </c>
      <c r="L7909" s="10" t="s">
        <v>37126</v>
      </c>
      <c r="M7909" s="10">
        <v>1</v>
      </c>
      <c r="N7909" s="10"/>
      <c r="O7909" s="10"/>
      <c r="P7909" s="10" t="s">
        <v>37153</v>
      </c>
      <c r="Q7909" s="10"/>
      <c r="R7909" s="10" t="s">
        <v>37136</v>
      </c>
      <c r="S7909" s="10" t="s">
        <v>53</v>
      </c>
      <c r="T7909" s="10" t="s">
        <v>54</v>
      </c>
    </row>
    <row r="7910" spans="1:20" ht="14.5" x14ac:dyDescent="0.35">
      <c r="A7910" s="10" t="s">
        <v>37154</v>
      </c>
      <c r="B7910" s="10" t="str">
        <f>""</f>
        <v/>
      </c>
      <c r="C7910" s="10" t="str">
        <f>"9780309583732"</f>
        <v>9780309583732</v>
      </c>
      <c r="D7910" s="10" t="s">
        <v>36547</v>
      </c>
      <c r="E7910" s="10" t="s">
        <v>36547</v>
      </c>
      <c r="F7910" s="10" t="s">
        <v>88</v>
      </c>
      <c r="G7910" s="10" t="s">
        <v>6317</v>
      </c>
      <c r="H7910" s="11">
        <v>35765</v>
      </c>
      <c r="I7910" s="10">
        <v>1997</v>
      </c>
      <c r="J7910" s="10" t="s">
        <v>36547</v>
      </c>
      <c r="K7910" s="10">
        <v>29</v>
      </c>
      <c r="L7910" s="10" t="s">
        <v>37155</v>
      </c>
      <c r="M7910" s="10">
        <v>1</v>
      </c>
      <c r="N7910" s="10"/>
      <c r="O7910" s="10"/>
      <c r="P7910" s="10" t="s">
        <v>37156</v>
      </c>
      <c r="Q7910" s="10">
        <v>507.10730000000001</v>
      </c>
      <c r="R7910" s="10" t="s">
        <v>37157</v>
      </c>
      <c r="S7910" s="10" t="s">
        <v>53</v>
      </c>
      <c r="T7910" s="10" t="s">
        <v>7193</v>
      </c>
    </row>
    <row r="7911" spans="1:20" ht="14.5" x14ac:dyDescent="0.35">
      <c r="A7911" s="10" t="s">
        <v>37158</v>
      </c>
      <c r="B7911" s="10" t="str">
        <f>"9780309093149"</f>
        <v>9780309093149</v>
      </c>
      <c r="C7911" s="10" t="str">
        <f>"9780309545747"</f>
        <v>9780309545747</v>
      </c>
      <c r="D7911" s="10" t="s">
        <v>36547</v>
      </c>
      <c r="E7911" s="10" t="s">
        <v>36547</v>
      </c>
      <c r="F7911" s="10" t="s">
        <v>36548</v>
      </c>
      <c r="G7911" s="10" t="s">
        <v>6317</v>
      </c>
      <c r="H7911" s="11">
        <v>38387</v>
      </c>
      <c r="I7911" s="10">
        <v>2005</v>
      </c>
      <c r="J7911" s="10" t="s">
        <v>36547</v>
      </c>
      <c r="K7911" s="10">
        <v>68</v>
      </c>
      <c r="L7911" s="10"/>
      <c r="M7911" s="10">
        <v>1</v>
      </c>
      <c r="N7911" s="10"/>
      <c r="O7911" s="10"/>
      <c r="P7911" s="10" t="s">
        <v>37159</v>
      </c>
      <c r="Q7911" s="10" t="s">
        <v>34309</v>
      </c>
      <c r="R7911" s="10" t="s">
        <v>37160</v>
      </c>
      <c r="S7911" s="10" t="s">
        <v>53</v>
      </c>
      <c r="T7911" s="10" t="s">
        <v>12559</v>
      </c>
    </row>
    <row r="7912" spans="1:20" ht="14.5" x14ac:dyDescent="0.35">
      <c r="A7912" s="10" t="s">
        <v>37161</v>
      </c>
      <c r="B7912" s="10" t="str">
        <f>"9780309074339"</f>
        <v>9780309074339</v>
      </c>
      <c r="C7912" s="10" t="str">
        <f>"9780309547963"</f>
        <v>9780309547963</v>
      </c>
      <c r="D7912" s="10" t="s">
        <v>36547</v>
      </c>
      <c r="E7912" s="10" t="s">
        <v>36547</v>
      </c>
      <c r="F7912" s="10" t="s">
        <v>36548</v>
      </c>
      <c r="G7912" s="10" t="s">
        <v>6317</v>
      </c>
      <c r="H7912" s="11">
        <v>38375</v>
      </c>
      <c r="I7912" s="10">
        <v>2005</v>
      </c>
      <c r="J7912" s="10" t="s">
        <v>36547</v>
      </c>
      <c r="K7912" s="10">
        <v>632</v>
      </c>
      <c r="L7912" s="10" t="s">
        <v>37162</v>
      </c>
      <c r="M7912" s="10">
        <v>1</v>
      </c>
      <c r="N7912" s="10"/>
      <c r="O7912" s="10"/>
      <c r="P7912" s="10" t="s">
        <v>37163</v>
      </c>
      <c r="Q7912" s="10" t="s">
        <v>6942</v>
      </c>
      <c r="R7912" s="10" t="s">
        <v>37164</v>
      </c>
      <c r="S7912" s="10" t="s">
        <v>53</v>
      </c>
      <c r="T7912" s="10" t="s">
        <v>54</v>
      </c>
    </row>
    <row r="7913" spans="1:20" ht="14.5" x14ac:dyDescent="0.35">
      <c r="A7913" s="10" t="s">
        <v>37165</v>
      </c>
      <c r="B7913" s="10" t="str">
        <f>"9780309093217"</f>
        <v>9780309093217</v>
      </c>
      <c r="C7913" s="10" t="str">
        <f>"9780309545983"</f>
        <v>9780309545983</v>
      </c>
      <c r="D7913" s="10" t="s">
        <v>36547</v>
      </c>
      <c r="E7913" s="10" t="s">
        <v>36547</v>
      </c>
      <c r="F7913" s="10" t="s">
        <v>36548</v>
      </c>
      <c r="G7913" s="10" t="s">
        <v>6317</v>
      </c>
      <c r="H7913" s="11">
        <v>38374</v>
      </c>
      <c r="I7913" s="10">
        <v>2005</v>
      </c>
      <c r="J7913" s="10" t="s">
        <v>36547</v>
      </c>
      <c r="K7913" s="10">
        <v>136</v>
      </c>
      <c r="L7913" s="10" t="s">
        <v>37166</v>
      </c>
      <c r="M7913" s="10">
        <v>1</v>
      </c>
      <c r="N7913" s="10"/>
      <c r="O7913" s="10"/>
      <c r="P7913" s="10" t="s">
        <v>37167</v>
      </c>
      <c r="Q7913" s="10" t="s">
        <v>7147</v>
      </c>
      <c r="R7913" s="10" t="s">
        <v>37168</v>
      </c>
      <c r="S7913" s="10" t="s">
        <v>53</v>
      </c>
      <c r="T7913" s="10" t="s">
        <v>54</v>
      </c>
    </row>
    <row r="7914" spans="1:20" ht="14.5" x14ac:dyDescent="0.35">
      <c r="A7914" s="10" t="s">
        <v>37169</v>
      </c>
      <c r="B7914" s="10" t="str">
        <f>"9780309095037"</f>
        <v>9780309095037</v>
      </c>
      <c r="C7914" s="10" t="str">
        <f>"9780309546829"</f>
        <v>9780309546829</v>
      </c>
      <c r="D7914" s="10" t="s">
        <v>36547</v>
      </c>
      <c r="E7914" s="10" t="s">
        <v>36547</v>
      </c>
      <c r="F7914" s="10" t="s">
        <v>36548</v>
      </c>
      <c r="G7914" s="10" t="s">
        <v>6317</v>
      </c>
      <c r="H7914" s="11">
        <v>38375</v>
      </c>
      <c r="I7914" s="10">
        <v>2005</v>
      </c>
      <c r="J7914" s="10" t="s">
        <v>36547</v>
      </c>
      <c r="K7914" s="10">
        <v>54</v>
      </c>
      <c r="L7914" s="10" t="s">
        <v>37170</v>
      </c>
      <c r="M7914" s="10">
        <v>1</v>
      </c>
      <c r="N7914" s="10"/>
      <c r="O7914" s="10"/>
      <c r="P7914" s="10" t="s">
        <v>37171</v>
      </c>
      <c r="Q7914" s="10"/>
      <c r="R7914" s="10"/>
      <c r="S7914" s="10" t="s">
        <v>53</v>
      </c>
      <c r="T7914" s="10" t="s">
        <v>389</v>
      </c>
    </row>
    <row r="7915" spans="1:20" ht="14.5" x14ac:dyDescent="0.35">
      <c r="A7915" s="10" t="s">
        <v>37172</v>
      </c>
      <c r="B7915" s="10" t="str">
        <f>"9780309089500"</f>
        <v>9780309089500</v>
      </c>
      <c r="C7915" s="10" t="str">
        <f>"9780309548052"</f>
        <v>9780309548052</v>
      </c>
      <c r="D7915" s="10" t="s">
        <v>36547</v>
      </c>
      <c r="E7915" s="10" t="s">
        <v>36547</v>
      </c>
      <c r="F7915" s="10" t="s">
        <v>36548</v>
      </c>
      <c r="G7915" s="10" t="s">
        <v>6317</v>
      </c>
      <c r="H7915" s="11">
        <v>38380</v>
      </c>
      <c r="I7915" s="10">
        <v>2005</v>
      </c>
      <c r="J7915" s="10" t="s">
        <v>36547</v>
      </c>
      <c r="K7915" s="10">
        <v>263</v>
      </c>
      <c r="L7915" s="10" t="s">
        <v>37162</v>
      </c>
      <c r="M7915" s="10">
        <v>1</v>
      </c>
      <c r="N7915" s="10"/>
      <c r="O7915" s="10"/>
      <c r="P7915" s="10" t="s">
        <v>37173</v>
      </c>
      <c r="Q7915" s="10"/>
      <c r="R7915" s="10" t="s">
        <v>37174</v>
      </c>
      <c r="S7915" s="10" t="s">
        <v>53</v>
      </c>
      <c r="T7915" s="10" t="s">
        <v>54</v>
      </c>
    </row>
    <row r="7916" spans="1:20" ht="14.5" x14ac:dyDescent="0.35">
      <c r="A7916" s="10" t="s">
        <v>37175</v>
      </c>
      <c r="B7916" s="10" t="str">
        <f>"9780309089494"</f>
        <v>9780309089494</v>
      </c>
      <c r="C7916" s="10" t="str">
        <f>"9780309548021"</f>
        <v>9780309548021</v>
      </c>
      <c r="D7916" s="10" t="s">
        <v>36547</v>
      </c>
      <c r="E7916" s="10" t="s">
        <v>36547</v>
      </c>
      <c r="F7916" s="10" t="s">
        <v>36548</v>
      </c>
      <c r="G7916" s="10" t="s">
        <v>6317</v>
      </c>
      <c r="H7916" s="11">
        <v>38380</v>
      </c>
      <c r="I7916" s="10">
        <v>2005</v>
      </c>
      <c r="J7916" s="10" t="s">
        <v>36547</v>
      </c>
      <c r="K7916" s="10">
        <v>271</v>
      </c>
      <c r="L7916" s="10" t="s">
        <v>37162</v>
      </c>
      <c r="M7916" s="10">
        <v>1</v>
      </c>
      <c r="N7916" s="10"/>
      <c r="O7916" s="10"/>
      <c r="P7916" s="10"/>
      <c r="Q7916" s="10"/>
      <c r="R7916" s="10"/>
      <c r="S7916" s="10" t="s">
        <v>53</v>
      </c>
      <c r="T7916" s="10" t="s">
        <v>54</v>
      </c>
    </row>
    <row r="7917" spans="1:20" ht="14.5" x14ac:dyDescent="0.35">
      <c r="A7917" s="10" t="s">
        <v>37176</v>
      </c>
      <c r="B7917" s="10" t="str">
        <f>"9780309089487"</f>
        <v>9780309089487</v>
      </c>
      <c r="C7917" s="10" t="str">
        <f>"9780309547994"</f>
        <v>9780309547994</v>
      </c>
      <c r="D7917" s="10" t="s">
        <v>36547</v>
      </c>
      <c r="E7917" s="10" t="s">
        <v>36547</v>
      </c>
      <c r="F7917" s="10" t="s">
        <v>36548</v>
      </c>
      <c r="G7917" s="10" t="s">
        <v>6317</v>
      </c>
      <c r="H7917" s="11">
        <v>38380</v>
      </c>
      <c r="I7917" s="10">
        <v>2005</v>
      </c>
      <c r="J7917" s="10" t="s">
        <v>36547</v>
      </c>
      <c r="K7917" s="10">
        <v>279</v>
      </c>
      <c r="L7917" s="10" t="s">
        <v>37162</v>
      </c>
      <c r="M7917" s="10">
        <v>1</v>
      </c>
      <c r="N7917" s="10"/>
      <c r="O7917" s="10"/>
      <c r="P7917" s="10" t="s">
        <v>37177</v>
      </c>
      <c r="Q7917" s="10"/>
      <c r="R7917" s="10" t="s">
        <v>37178</v>
      </c>
      <c r="S7917" s="10" t="s">
        <v>53</v>
      </c>
      <c r="T7917" s="10" t="s">
        <v>54</v>
      </c>
    </row>
    <row r="7918" spans="1:20" ht="14.5" x14ac:dyDescent="0.35">
      <c r="A7918" s="10" t="s">
        <v>37179</v>
      </c>
      <c r="B7918" s="10" t="str">
        <f>""</f>
        <v/>
      </c>
      <c r="C7918" s="10" t="str">
        <f>"9780309550697"</f>
        <v>9780309550697</v>
      </c>
      <c r="D7918" s="10" t="s">
        <v>36547</v>
      </c>
      <c r="E7918" s="10" t="s">
        <v>36547</v>
      </c>
      <c r="F7918" s="10" t="s">
        <v>88</v>
      </c>
      <c r="G7918" s="10" t="s">
        <v>6317</v>
      </c>
      <c r="H7918" s="11">
        <v>37226</v>
      </c>
      <c r="I7918" s="10">
        <v>2002</v>
      </c>
      <c r="J7918" s="10" t="s">
        <v>36547</v>
      </c>
      <c r="K7918" s="10">
        <v>93</v>
      </c>
      <c r="L7918" s="10" t="s">
        <v>37180</v>
      </c>
      <c r="M7918" s="10">
        <v>1</v>
      </c>
      <c r="N7918" s="10"/>
      <c r="O7918" s="10"/>
      <c r="P7918" s="10" t="s">
        <v>36566</v>
      </c>
      <c r="Q7918" s="10"/>
      <c r="R7918" s="10" t="s">
        <v>36568</v>
      </c>
      <c r="S7918" s="10" t="s">
        <v>53</v>
      </c>
      <c r="T7918" s="10" t="s">
        <v>389</v>
      </c>
    </row>
    <row r="7919" spans="1:20" ht="14.5" x14ac:dyDescent="0.35">
      <c r="A7919" s="10" t="s">
        <v>37181</v>
      </c>
      <c r="B7919" s="10" t="str">
        <f>"9780309077033"</f>
        <v>9780309077033</v>
      </c>
      <c r="C7919" s="10" t="str">
        <f>"9780309550840"</f>
        <v>9780309550840</v>
      </c>
      <c r="D7919" s="10" t="s">
        <v>36547</v>
      </c>
      <c r="E7919" s="10" t="s">
        <v>36547</v>
      </c>
      <c r="F7919" s="10" t="s">
        <v>88</v>
      </c>
      <c r="G7919" s="10" t="s">
        <v>6317</v>
      </c>
      <c r="H7919" s="11">
        <v>37591</v>
      </c>
      <c r="I7919" s="10">
        <v>2002</v>
      </c>
      <c r="J7919" s="10" t="s">
        <v>36547</v>
      </c>
      <c r="K7919" s="10">
        <v>181</v>
      </c>
      <c r="L7919" s="10" t="s">
        <v>37182</v>
      </c>
      <c r="M7919" s="10">
        <v>1</v>
      </c>
      <c r="N7919" s="10"/>
      <c r="O7919" s="10"/>
      <c r="P7919" s="10" t="s">
        <v>37183</v>
      </c>
      <c r="Q7919" s="10">
        <v>371.8</v>
      </c>
      <c r="R7919" s="10" t="s">
        <v>37184</v>
      </c>
      <c r="S7919" s="10" t="s">
        <v>53</v>
      </c>
      <c r="T7919" s="10" t="s">
        <v>54</v>
      </c>
    </row>
    <row r="7920" spans="1:20" ht="14.5" x14ac:dyDescent="0.35">
      <c r="A7920" s="10" t="s">
        <v>37185</v>
      </c>
      <c r="B7920" s="10" t="str">
        <f>"9780309092951"</f>
        <v>9780309092951</v>
      </c>
      <c r="C7920" s="10" t="str">
        <f>"9780309545112"</f>
        <v>9780309545112</v>
      </c>
      <c r="D7920" s="10" t="s">
        <v>36547</v>
      </c>
      <c r="E7920" s="10" t="s">
        <v>36547</v>
      </c>
      <c r="F7920" s="10" t="s">
        <v>36548</v>
      </c>
      <c r="G7920" s="10" t="s">
        <v>6317</v>
      </c>
      <c r="H7920" s="11">
        <v>38582</v>
      </c>
      <c r="I7920" s="10">
        <v>2005</v>
      </c>
      <c r="J7920" s="10" t="s">
        <v>36547</v>
      </c>
      <c r="K7920" s="10">
        <v>77</v>
      </c>
      <c r="L7920" s="10"/>
      <c r="M7920" s="10">
        <v>1</v>
      </c>
      <c r="N7920" s="10"/>
      <c r="O7920" s="10"/>
      <c r="P7920" s="10" t="s">
        <v>37186</v>
      </c>
      <c r="Q7920" s="10">
        <v>327.73</v>
      </c>
      <c r="R7920" s="10" t="s">
        <v>37187</v>
      </c>
      <c r="S7920" s="10" t="s">
        <v>53</v>
      </c>
      <c r="T7920" s="10" t="s">
        <v>16922</v>
      </c>
    </row>
    <row r="7921" spans="1:20" ht="14.5" x14ac:dyDescent="0.35">
      <c r="A7921" s="10" t="s">
        <v>37188</v>
      </c>
      <c r="B7921" s="10" t="str">
        <f>"9780309095754"</f>
        <v>9780309095754</v>
      </c>
      <c r="C7921" s="10" t="str">
        <f>"9780309551847"</f>
        <v>9780309551847</v>
      </c>
      <c r="D7921" s="10" t="s">
        <v>36547</v>
      </c>
      <c r="E7921" s="10" t="s">
        <v>36547</v>
      </c>
      <c r="F7921" s="10" t="s">
        <v>36548</v>
      </c>
      <c r="G7921" s="10" t="s">
        <v>6317</v>
      </c>
      <c r="H7921" s="11">
        <v>38619</v>
      </c>
      <c r="I7921" s="10">
        <v>2005</v>
      </c>
      <c r="J7921" s="10" t="s">
        <v>36547</v>
      </c>
      <c r="K7921" s="10">
        <v>239</v>
      </c>
      <c r="L7921" s="10"/>
      <c r="M7921" s="10">
        <v>1</v>
      </c>
      <c r="N7921" s="10"/>
      <c r="O7921" s="10"/>
      <c r="P7921" s="10" t="s">
        <v>37189</v>
      </c>
      <c r="Q7921" s="10"/>
      <c r="R7921" s="10" t="s">
        <v>37190</v>
      </c>
      <c r="S7921" s="10" t="s">
        <v>53</v>
      </c>
      <c r="T7921" s="10" t="s">
        <v>8625</v>
      </c>
    </row>
    <row r="7922" spans="1:20" ht="14.5" x14ac:dyDescent="0.35">
      <c r="A7922" s="10" t="s">
        <v>37191</v>
      </c>
      <c r="B7922" s="10" t="str">
        <f>"9780309096713"</f>
        <v>9780309096713</v>
      </c>
      <c r="C7922" s="10" t="str">
        <f>"9780309652865"</f>
        <v>9780309652865</v>
      </c>
      <c r="D7922" s="10" t="s">
        <v>36547</v>
      </c>
      <c r="E7922" s="10" t="s">
        <v>36547</v>
      </c>
      <c r="F7922" s="10" t="s">
        <v>36548</v>
      </c>
      <c r="G7922" s="10" t="s">
        <v>6317</v>
      </c>
      <c r="H7922" s="11">
        <v>38687</v>
      </c>
      <c r="I7922" s="10">
        <v>2006</v>
      </c>
      <c r="J7922" s="10" t="s">
        <v>36547</v>
      </c>
      <c r="K7922" s="10">
        <v>253</v>
      </c>
      <c r="L7922" s="10" t="s">
        <v>37192</v>
      </c>
      <c r="M7922" s="10">
        <v>1</v>
      </c>
      <c r="N7922" s="10"/>
      <c r="O7922" s="10"/>
      <c r="P7922" s="10" t="s">
        <v>37193</v>
      </c>
      <c r="Q7922" s="10" t="s">
        <v>12690</v>
      </c>
      <c r="R7922" s="10"/>
      <c r="S7922" s="10" t="s">
        <v>53</v>
      </c>
      <c r="T7922" s="10" t="s">
        <v>7193</v>
      </c>
    </row>
    <row r="7923" spans="1:20" ht="14.5" x14ac:dyDescent="0.35">
      <c r="A7923" s="10" t="s">
        <v>37194</v>
      </c>
      <c r="B7923" s="10" t="str">
        <f>"9780309095341"</f>
        <v>9780309095341</v>
      </c>
      <c r="C7923" s="10" t="str">
        <f>"9780309547574"</f>
        <v>9780309547574</v>
      </c>
      <c r="D7923" s="10" t="s">
        <v>36547</v>
      </c>
      <c r="E7923" s="10" t="s">
        <v>36547</v>
      </c>
      <c r="F7923" s="10" t="s">
        <v>36548</v>
      </c>
      <c r="G7923" s="10" t="s">
        <v>6317</v>
      </c>
      <c r="H7923" s="11">
        <v>38718</v>
      </c>
      <c r="I7923" s="10">
        <v>2005</v>
      </c>
      <c r="J7923" s="10" t="s">
        <v>36547</v>
      </c>
      <c r="K7923" s="10">
        <v>118</v>
      </c>
      <c r="L7923" s="10" t="s">
        <v>37195</v>
      </c>
      <c r="M7923" s="10">
        <v>1</v>
      </c>
      <c r="N7923" s="10"/>
      <c r="O7923" s="10"/>
      <c r="P7923" s="10" t="s">
        <v>37196</v>
      </c>
      <c r="Q7923" s="10" t="s">
        <v>37197</v>
      </c>
      <c r="R7923" s="10" t="s">
        <v>37198</v>
      </c>
      <c r="S7923" s="10" t="s">
        <v>53</v>
      </c>
      <c r="T7923" s="10" t="s">
        <v>11508</v>
      </c>
    </row>
    <row r="7924" spans="1:20" ht="14.5" x14ac:dyDescent="0.35">
      <c r="A7924" s="10" t="s">
        <v>37199</v>
      </c>
      <c r="B7924" s="10" t="str">
        <f>"9780309096522"</f>
        <v>9780309096522</v>
      </c>
      <c r="C7924" s="10" t="str">
        <f>"9780309550154"</f>
        <v>9780309550154</v>
      </c>
      <c r="D7924" s="10" t="s">
        <v>36547</v>
      </c>
      <c r="E7924" s="10" t="s">
        <v>36547</v>
      </c>
      <c r="F7924" s="10" t="s">
        <v>36548</v>
      </c>
      <c r="G7924" s="10" t="s">
        <v>6317</v>
      </c>
      <c r="H7924" s="11">
        <v>38730</v>
      </c>
      <c r="I7924" s="10">
        <v>2005</v>
      </c>
      <c r="J7924" s="10" t="s">
        <v>36547</v>
      </c>
      <c r="K7924" s="10">
        <v>351</v>
      </c>
      <c r="L7924" s="10" t="s">
        <v>37200</v>
      </c>
      <c r="M7924" s="10">
        <v>1</v>
      </c>
      <c r="N7924" s="10"/>
      <c r="O7924" s="10"/>
      <c r="P7924" s="10" t="s">
        <v>37201</v>
      </c>
      <c r="Q7924" s="10" t="s">
        <v>9527</v>
      </c>
      <c r="R7924" s="10" t="s">
        <v>37202</v>
      </c>
      <c r="S7924" s="10" t="s">
        <v>53</v>
      </c>
      <c r="T7924" s="10" t="s">
        <v>6472</v>
      </c>
    </row>
    <row r="7925" spans="1:20" ht="14.5" x14ac:dyDescent="0.35">
      <c r="A7925" s="10" t="s">
        <v>37203</v>
      </c>
      <c r="B7925" s="10" t="str">
        <f>"9780309101172"</f>
        <v>9780309101172</v>
      </c>
      <c r="C7925" s="10" t="str">
        <f>"9780309657457"</f>
        <v>9780309657457</v>
      </c>
      <c r="D7925" s="10" t="s">
        <v>36547</v>
      </c>
      <c r="E7925" s="10" t="s">
        <v>36547</v>
      </c>
      <c r="F7925" s="10" t="s">
        <v>36548</v>
      </c>
      <c r="G7925" s="10" t="s">
        <v>6317</v>
      </c>
      <c r="H7925" s="11">
        <v>38767</v>
      </c>
      <c r="I7925" s="10">
        <v>2005</v>
      </c>
      <c r="J7925" s="10" t="s">
        <v>36547</v>
      </c>
      <c r="K7925" s="10">
        <v>23</v>
      </c>
      <c r="L7925" s="10"/>
      <c r="M7925" s="10">
        <v>1</v>
      </c>
      <c r="N7925" s="10"/>
      <c r="O7925" s="10"/>
      <c r="P7925" s="10" t="s">
        <v>37204</v>
      </c>
      <c r="Q7925" s="10"/>
      <c r="R7925" s="10" t="s">
        <v>37205</v>
      </c>
      <c r="S7925" s="10" t="s">
        <v>53</v>
      </c>
      <c r="T7925" s="10" t="s">
        <v>8625</v>
      </c>
    </row>
    <row r="7926" spans="1:20" ht="14.5" x14ac:dyDescent="0.35">
      <c r="A7926" s="10" t="s">
        <v>37206</v>
      </c>
      <c r="B7926" s="10" t="str">
        <f>"9780309092081"</f>
        <v>9780309092081</v>
      </c>
      <c r="C7926" s="10" t="str">
        <f>"9780309531917"</f>
        <v>9780309531917</v>
      </c>
      <c r="D7926" s="10" t="s">
        <v>36547</v>
      </c>
      <c r="E7926" s="10" t="s">
        <v>36547</v>
      </c>
      <c r="F7926" s="10" t="s">
        <v>36548</v>
      </c>
      <c r="G7926" s="10" t="s">
        <v>6317</v>
      </c>
      <c r="H7926" s="11">
        <v>38386</v>
      </c>
      <c r="I7926" s="10">
        <v>2006</v>
      </c>
      <c r="J7926" s="10" t="s">
        <v>36547</v>
      </c>
      <c r="K7926" s="10">
        <v>331</v>
      </c>
      <c r="L7926" s="10"/>
      <c r="M7926" s="10">
        <v>1</v>
      </c>
      <c r="N7926" s="10"/>
      <c r="O7926" s="10"/>
      <c r="P7926" s="10" t="s">
        <v>37207</v>
      </c>
      <c r="Q7926" s="10" t="s">
        <v>9870</v>
      </c>
      <c r="R7926" s="10" t="s">
        <v>37208</v>
      </c>
      <c r="S7926" s="10" t="s">
        <v>53</v>
      </c>
      <c r="T7926" s="10" t="s">
        <v>6492</v>
      </c>
    </row>
    <row r="7927" spans="1:20" ht="14.5" x14ac:dyDescent="0.35">
      <c r="A7927" s="10" t="s">
        <v>37209</v>
      </c>
      <c r="B7927" s="10" t="str">
        <f>"9780309096621"</f>
        <v>9780309096621</v>
      </c>
      <c r="C7927" s="10" t="str">
        <f>"9780309550604"</f>
        <v>9780309550604</v>
      </c>
      <c r="D7927" s="10" t="s">
        <v>36547</v>
      </c>
      <c r="E7927" s="10" t="s">
        <v>36547</v>
      </c>
      <c r="F7927" s="10" t="s">
        <v>36548</v>
      </c>
      <c r="G7927" s="10" t="s">
        <v>6317</v>
      </c>
      <c r="H7927" s="11">
        <v>38745</v>
      </c>
      <c r="I7927" s="10">
        <v>2006</v>
      </c>
      <c r="J7927" s="10" t="s">
        <v>36547</v>
      </c>
      <c r="K7927" s="10">
        <v>247</v>
      </c>
      <c r="L7927" s="10" t="s">
        <v>37210</v>
      </c>
      <c r="M7927" s="10">
        <v>1</v>
      </c>
      <c r="N7927" s="10"/>
      <c r="O7927" s="10"/>
      <c r="P7927" s="10" t="s">
        <v>37211</v>
      </c>
      <c r="Q7927" s="10" t="s">
        <v>36567</v>
      </c>
      <c r="R7927" s="10" t="s">
        <v>37212</v>
      </c>
      <c r="S7927" s="10" t="s">
        <v>53</v>
      </c>
      <c r="T7927" s="10" t="s">
        <v>6800</v>
      </c>
    </row>
    <row r="7928" spans="1:20" ht="14.5" x14ac:dyDescent="0.35">
      <c r="A7928" s="10" t="s">
        <v>37213</v>
      </c>
      <c r="B7928" s="10" t="str">
        <f>"9780309101653"</f>
        <v>9780309101653</v>
      </c>
      <c r="C7928" s="10" t="str">
        <f>"9780309659376"</f>
        <v>9780309659376</v>
      </c>
      <c r="D7928" s="10" t="s">
        <v>36547</v>
      </c>
      <c r="E7928" s="10" t="s">
        <v>36547</v>
      </c>
      <c r="F7928" s="10" t="s">
        <v>36548</v>
      </c>
      <c r="G7928" s="10" t="s">
        <v>6317</v>
      </c>
      <c r="H7928" s="11">
        <v>38862</v>
      </c>
      <c r="I7928" s="10">
        <v>2006</v>
      </c>
      <c r="J7928" s="10" t="s">
        <v>36547</v>
      </c>
      <c r="K7928" s="10">
        <v>66</v>
      </c>
      <c r="L7928" s="10" t="s">
        <v>37214</v>
      </c>
      <c r="M7928" s="10">
        <v>1</v>
      </c>
      <c r="N7928" s="10"/>
      <c r="O7928" s="10"/>
      <c r="P7928" s="10" t="s">
        <v>37215</v>
      </c>
      <c r="Q7928" s="10"/>
      <c r="R7928" s="10" t="s">
        <v>37216</v>
      </c>
      <c r="S7928" s="10" t="s">
        <v>53</v>
      </c>
      <c r="T7928" s="10" t="s">
        <v>6363</v>
      </c>
    </row>
    <row r="7929" spans="1:20" ht="14.5" x14ac:dyDescent="0.35">
      <c r="A7929" s="10" t="s">
        <v>37217</v>
      </c>
      <c r="B7929" s="10" t="str">
        <f>"9780309101837"</f>
        <v>9780309101837</v>
      </c>
      <c r="C7929" s="10" t="str">
        <f>"9780309660037"</f>
        <v>9780309660037</v>
      </c>
      <c r="D7929" s="10" t="s">
        <v>36547</v>
      </c>
      <c r="E7929" s="10" t="s">
        <v>36547</v>
      </c>
      <c r="F7929" s="10" t="s">
        <v>36548</v>
      </c>
      <c r="G7929" s="10" t="s">
        <v>6317</v>
      </c>
      <c r="H7929" s="11">
        <v>38956</v>
      </c>
      <c r="I7929" s="10">
        <v>2006</v>
      </c>
      <c r="J7929" s="10" t="s">
        <v>36547</v>
      </c>
      <c r="K7929" s="10">
        <v>378</v>
      </c>
      <c r="L7929" s="10" t="s">
        <v>37218</v>
      </c>
      <c r="M7929" s="10">
        <v>1</v>
      </c>
      <c r="N7929" s="10"/>
      <c r="O7929" s="10"/>
      <c r="P7929" s="10" t="s">
        <v>37219</v>
      </c>
      <c r="Q7929" s="10">
        <v>609.73</v>
      </c>
      <c r="R7929" s="10" t="s">
        <v>37220</v>
      </c>
      <c r="S7929" s="10" t="s">
        <v>53</v>
      </c>
      <c r="T7929" s="10" t="s">
        <v>12410</v>
      </c>
    </row>
    <row r="7930" spans="1:20" ht="14.5" x14ac:dyDescent="0.35">
      <c r="A7930" s="10" t="s">
        <v>37221</v>
      </c>
      <c r="B7930" s="10" t="str">
        <f>"9780309102469"</f>
        <v>9780309102469</v>
      </c>
      <c r="C7930" s="10" t="str">
        <f>"9780309662406"</f>
        <v>9780309662406</v>
      </c>
      <c r="D7930" s="10" t="s">
        <v>36547</v>
      </c>
      <c r="E7930" s="10" t="s">
        <v>36547</v>
      </c>
      <c r="F7930" s="10" t="s">
        <v>36548</v>
      </c>
      <c r="G7930" s="10" t="s">
        <v>6317</v>
      </c>
      <c r="H7930" s="11">
        <v>38955</v>
      </c>
      <c r="I7930" s="10">
        <v>2006</v>
      </c>
      <c r="J7930" s="10" t="s">
        <v>36547</v>
      </c>
      <c r="K7930" s="10">
        <v>101</v>
      </c>
      <c r="L7930" s="10" t="s">
        <v>37222</v>
      </c>
      <c r="M7930" s="10">
        <v>1</v>
      </c>
      <c r="N7930" s="10"/>
      <c r="O7930" s="10"/>
      <c r="P7930" s="10" t="s">
        <v>37223</v>
      </c>
      <c r="Q7930" s="10"/>
      <c r="R7930" s="10" t="s">
        <v>37224</v>
      </c>
      <c r="S7930" s="10" t="s">
        <v>53</v>
      </c>
      <c r="T7930" s="10" t="s">
        <v>37225</v>
      </c>
    </row>
    <row r="7931" spans="1:20" ht="14.5" x14ac:dyDescent="0.35">
      <c r="A7931" s="10" t="s">
        <v>37226</v>
      </c>
      <c r="B7931" s="10" t="str">
        <f>"9780309100410"</f>
        <v>9780309100410</v>
      </c>
      <c r="C7931" s="10" t="str">
        <f>"9780309654517"</f>
        <v>9780309654517</v>
      </c>
      <c r="D7931" s="10" t="s">
        <v>36547</v>
      </c>
      <c r="E7931" s="10" t="s">
        <v>36547</v>
      </c>
      <c r="F7931" s="10" t="s">
        <v>36548</v>
      </c>
      <c r="G7931" s="10" t="s">
        <v>6317</v>
      </c>
      <c r="H7931" s="11">
        <v>39059</v>
      </c>
      <c r="I7931" s="10">
        <v>2006</v>
      </c>
      <c r="J7931" s="10" t="s">
        <v>36547</v>
      </c>
      <c r="K7931" s="10">
        <v>243</v>
      </c>
      <c r="L7931" s="10"/>
      <c r="M7931" s="10">
        <v>1</v>
      </c>
      <c r="N7931" s="10"/>
      <c r="O7931" s="10"/>
      <c r="P7931" s="10" t="s">
        <v>37227</v>
      </c>
      <c r="Q7931" s="10"/>
      <c r="R7931" s="10" t="s">
        <v>37228</v>
      </c>
      <c r="S7931" s="10" t="s">
        <v>53</v>
      </c>
      <c r="T7931" s="10" t="s">
        <v>5557</v>
      </c>
    </row>
    <row r="7932" spans="1:20" ht="14.5" x14ac:dyDescent="0.35">
      <c r="A7932" s="10" t="s">
        <v>37229</v>
      </c>
      <c r="B7932" s="10" t="str">
        <f>"9780309102742"</f>
        <v>9780309102742</v>
      </c>
      <c r="C7932" s="10" t="str">
        <f>"9780309663212"</f>
        <v>9780309663212</v>
      </c>
      <c r="D7932" s="10" t="s">
        <v>36547</v>
      </c>
      <c r="E7932" s="10" t="s">
        <v>36547</v>
      </c>
      <c r="F7932" s="10" t="s">
        <v>36548</v>
      </c>
      <c r="G7932" s="10" t="s">
        <v>6317</v>
      </c>
      <c r="H7932" s="11">
        <v>39065</v>
      </c>
      <c r="I7932" s="10">
        <v>2006</v>
      </c>
      <c r="J7932" s="10" t="s">
        <v>36547</v>
      </c>
      <c r="K7932" s="10">
        <v>223</v>
      </c>
      <c r="L7932" s="10"/>
      <c r="M7932" s="10">
        <v>1</v>
      </c>
      <c r="N7932" s="10"/>
      <c r="O7932" s="10"/>
      <c r="P7932" s="10" t="s">
        <v>37230</v>
      </c>
      <c r="Q7932" s="10"/>
      <c r="R7932" s="10" t="s">
        <v>37231</v>
      </c>
      <c r="S7932" s="10" t="s">
        <v>53</v>
      </c>
      <c r="T7932" s="10" t="s">
        <v>8625</v>
      </c>
    </row>
    <row r="7933" spans="1:20" ht="14.5" x14ac:dyDescent="0.35">
      <c r="A7933" s="10" t="s">
        <v>37232</v>
      </c>
      <c r="B7933" s="10" t="str">
        <f>"9780309096133"</f>
        <v>9780309096133</v>
      </c>
      <c r="C7933" s="10" t="str">
        <f>"9780309549400"</f>
        <v>9780309549400</v>
      </c>
      <c r="D7933" s="10" t="s">
        <v>36547</v>
      </c>
      <c r="E7933" s="10" t="s">
        <v>36547</v>
      </c>
      <c r="F7933" s="10" t="s">
        <v>36548</v>
      </c>
      <c r="G7933" s="10" t="s">
        <v>6317</v>
      </c>
      <c r="H7933" s="11">
        <v>38637</v>
      </c>
      <c r="I7933" s="10">
        <v>2005</v>
      </c>
      <c r="J7933" s="10" t="s">
        <v>36547</v>
      </c>
      <c r="K7933" s="10">
        <v>196</v>
      </c>
      <c r="L7933" s="10"/>
      <c r="M7933" s="10">
        <v>1</v>
      </c>
      <c r="N7933" s="10"/>
      <c r="O7933" s="10"/>
      <c r="P7933" s="10" t="s">
        <v>37233</v>
      </c>
      <c r="Q7933" s="10"/>
      <c r="R7933" s="10" t="s">
        <v>37234</v>
      </c>
      <c r="S7933" s="10" t="s">
        <v>53</v>
      </c>
      <c r="T7933" s="10" t="s">
        <v>54</v>
      </c>
    </row>
    <row r="7934" spans="1:20" ht="14.5" x14ac:dyDescent="0.35">
      <c r="A7934" s="10" t="s">
        <v>37235</v>
      </c>
      <c r="B7934" s="10" t="str">
        <f>"9780309102056"</f>
        <v>9780309102056</v>
      </c>
      <c r="C7934" s="10" t="str">
        <f>"9780309660693"</f>
        <v>9780309660693</v>
      </c>
      <c r="D7934" s="10" t="s">
        <v>36547</v>
      </c>
      <c r="E7934" s="10" t="s">
        <v>36547</v>
      </c>
      <c r="F7934" s="10" t="s">
        <v>36548</v>
      </c>
      <c r="G7934" s="10" t="s">
        <v>6317</v>
      </c>
      <c r="H7934" s="11">
        <v>39218</v>
      </c>
      <c r="I7934" s="10">
        <v>2007</v>
      </c>
      <c r="J7934" s="10" t="s">
        <v>36547</v>
      </c>
      <c r="K7934" s="10">
        <v>403</v>
      </c>
      <c r="L7934" s="10" t="s">
        <v>37236</v>
      </c>
      <c r="M7934" s="10">
        <v>1</v>
      </c>
      <c r="N7934" s="10"/>
      <c r="O7934" s="10"/>
      <c r="P7934" s="10" t="s">
        <v>37237</v>
      </c>
      <c r="Q7934" s="10" t="s">
        <v>9441</v>
      </c>
      <c r="R7934" s="10" t="s">
        <v>37238</v>
      </c>
      <c r="S7934" s="10" t="s">
        <v>53</v>
      </c>
      <c r="T7934" s="10" t="s">
        <v>54</v>
      </c>
    </row>
    <row r="7935" spans="1:20" ht="14.5" x14ac:dyDescent="0.35">
      <c r="A7935" s="10" t="s">
        <v>37239</v>
      </c>
      <c r="B7935" s="10" t="str">
        <f>"9780309103978"</f>
        <v>9780309103978</v>
      </c>
      <c r="C7935" s="10" t="str">
        <f>"9780309667593"</f>
        <v>9780309667593</v>
      </c>
      <c r="D7935" s="10" t="s">
        <v>36547</v>
      </c>
      <c r="E7935" s="10" t="s">
        <v>36547</v>
      </c>
      <c r="F7935" s="10" t="s">
        <v>36548</v>
      </c>
      <c r="G7935" s="10" t="s">
        <v>6317</v>
      </c>
      <c r="H7935" s="11">
        <v>39162</v>
      </c>
      <c r="I7935" s="10">
        <v>2007</v>
      </c>
      <c r="J7935" s="10" t="s">
        <v>36547</v>
      </c>
      <c r="K7935" s="10">
        <v>176</v>
      </c>
      <c r="L7935" s="10" t="s">
        <v>37240</v>
      </c>
      <c r="M7935" s="10">
        <v>1</v>
      </c>
      <c r="N7935" s="10"/>
      <c r="O7935" s="10"/>
      <c r="P7935" s="10" t="s">
        <v>37241</v>
      </c>
      <c r="Q7935" s="10">
        <v>305.26097299999998</v>
      </c>
      <c r="R7935" s="10" t="s">
        <v>37242</v>
      </c>
      <c r="S7935" s="10" t="s">
        <v>53</v>
      </c>
      <c r="T7935" s="10" t="s">
        <v>6363</v>
      </c>
    </row>
    <row r="7936" spans="1:20" ht="14.5" x14ac:dyDescent="0.35">
      <c r="A7936" s="10" t="s">
        <v>37243</v>
      </c>
      <c r="B7936" s="10" t="str">
        <f>"9780309100427"</f>
        <v>9780309100427</v>
      </c>
      <c r="C7936" s="10" t="str">
        <f>"9780309654548"</f>
        <v>9780309654548</v>
      </c>
      <c r="D7936" s="10" t="s">
        <v>36547</v>
      </c>
      <c r="E7936" s="10" t="s">
        <v>36547</v>
      </c>
      <c r="F7936" s="10" t="s">
        <v>36548</v>
      </c>
      <c r="G7936" s="10" t="s">
        <v>6317</v>
      </c>
      <c r="H7936" s="11">
        <v>39237</v>
      </c>
      <c r="I7936" s="10">
        <v>2007</v>
      </c>
      <c r="J7936" s="10" t="s">
        <v>36547</v>
      </c>
      <c r="K7936" s="10">
        <v>345</v>
      </c>
      <c r="L7936" s="10"/>
      <c r="M7936" s="10">
        <v>1</v>
      </c>
      <c r="N7936" s="10"/>
      <c r="O7936" s="10"/>
      <c r="P7936" s="10" t="s">
        <v>37244</v>
      </c>
      <c r="Q7936" s="10" t="s">
        <v>37245</v>
      </c>
      <c r="R7936" s="10" t="s">
        <v>37246</v>
      </c>
      <c r="S7936" s="10" t="s">
        <v>53</v>
      </c>
      <c r="T7936" s="10" t="s">
        <v>7193</v>
      </c>
    </row>
    <row r="7937" spans="1:20" ht="14.5" x14ac:dyDescent="0.35">
      <c r="A7937" s="10" t="s">
        <v>37247</v>
      </c>
      <c r="B7937" s="10" t="str">
        <f>"9780309111119"</f>
        <v>9780309111119</v>
      </c>
      <c r="C7937" s="10" t="str">
        <f>"9780309111126"</f>
        <v>9780309111126</v>
      </c>
      <c r="D7937" s="10" t="s">
        <v>36547</v>
      </c>
      <c r="E7937" s="10" t="s">
        <v>36547</v>
      </c>
      <c r="F7937" s="10" t="s">
        <v>36548</v>
      </c>
      <c r="G7937" s="10" t="s">
        <v>6317</v>
      </c>
      <c r="H7937" s="11">
        <v>39359</v>
      </c>
      <c r="I7937" s="10">
        <v>2007</v>
      </c>
      <c r="J7937" s="10" t="s">
        <v>36547</v>
      </c>
      <c r="K7937" s="10">
        <v>87</v>
      </c>
      <c r="L7937" s="10"/>
      <c r="M7937" s="10">
        <v>1</v>
      </c>
      <c r="N7937" s="10"/>
      <c r="O7937" s="10"/>
      <c r="P7937" s="10" t="s">
        <v>37248</v>
      </c>
      <c r="Q7937" s="10"/>
      <c r="R7937" s="10"/>
      <c r="S7937" s="10" t="s">
        <v>53</v>
      </c>
      <c r="T7937" s="10" t="s">
        <v>54</v>
      </c>
    </row>
    <row r="7938" spans="1:20" ht="14.5" x14ac:dyDescent="0.35">
      <c r="A7938" s="10" t="s">
        <v>37249</v>
      </c>
      <c r="B7938" s="10" t="str">
        <f>"9780309103831"</f>
        <v>9780309103831</v>
      </c>
      <c r="C7938" s="10" t="str">
        <f>"9780309108027"</f>
        <v>9780309108027</v>
      </c>
      <c r="D7938" s="10" t="s">
        <v>36547</v>
      </c>
      <c r="E7938" s="10" t="s">
        <v>36547</v>
      </c>
      <c r="F7938" s="10" t="s">
        <v>36548</v>
      </c>
      <c r="G7938" s="10" t="s">
        <v>6317</v>
      </c>
      <c r="H7938" s="11">
        <v>39339</v>
      </c>
      <c r="I7938" s="10">
        <v>2007</v>
      </c>
      <c r="J7938" s="10" t="s">
        <v>36547</v>
      </c>
      <c r="K7938" s="10">
        <v>296</v>
      </c>
      <c r="L7938" s="10" t="s">
        <v>37250</v>
      </c>
      <c r="M7938" s="10">
        <v>1</v>
      </c>
      <c r="N7938" s="10"/>
      <c r="O7938" s="10"/>
      <c r="P7938" s="10" t="s">
        <v>37251</v>
      </c>
      <c r="Q7938" s="10"/>
      <c r="R7938" s="10"/>
      <c r="S7938" s="10" t="s">
        <v>53</v>
      </c>
      <c r="T7938" s="10" t="s">
        <v>54</v>
      </c>
    </row>
    <row r="7939" spans="1:20" ht="14.5" x14ac:dyDescent="0.35">
      <c r="A7939" s="10" t="s">
        <v>37252</v>
      </c>
      <c r="B7939" s="10" t="str">
        <f>"9780309106146"</f>
        <v>9780309106146</v>
      </c>
      <c r="C7939" s="10" t="str">
        <f>"9780309106153"</f>
        <v>9780309106153</v>
      </c>
      <c r="D7939" s="10" t="s">
        <v>36547</v>
      </c>
      <c r="E7939" s="10" t="s">
        <v>36547</v>
      </c>
      <c r="F7939" s="10" t="s">
        <v>36548</v>
      </c>
      <c r="G7939" s="10" t="s">
        <v>6317</v>
      </c>
      <c r="H7939" s="11">
        <v>39416</v>
      </c>
      <c r="I7939" s="10">
        <v>2008</v>
      </c>
      <c r="J7939" s="10" t="s">
        <v>36547</v>
      </c>
      <c r="K7939" s="10">
        <v>218</v>
      </c>
      <c r="L7939" s="10" t="s">
        <v>37253</v>
      </c>
      <c r="M7939" s="10">
        <v>1</v>
      </c>
      <c r="N7939" s="10"/>
      <c r="O7939" s="10"/>
      <c r="P7939" s="10" t="s">
        <v>37254</v>
      </c>
      <c r="Q7939" s="10" t="s">
        <v>19565</v>
      </c>
      <c r="R7939" s="10" t="s">
        <v>37255</v>
      </c>
      <c r="S7939" s="10" t="s">
        <v>53</v>
      </c>
      <c r="T7939" s="10" t="s">
        <v>54</v>
      </c>
    </row>
    <row r="7940" spans="1:20" ht="14.5" x14ac:dyDescent="0.35">
      <c r="A7940" s="10" t="s">
        <v>37256</v>
      </c>
      <c r="B7940" s="10" t="str">
        <f>"9780309112260"</f>
        <v>9780309112260</v>
      </c>
      <c r="C7940" s="10" t="str">
        <f>"9780309112277"</f>
        <v>9780309112277</v>
      </c>
      <c r="D7940" s="10" t="s">
        <v>36547</v>
      </c>
      <c r="E7940" s="10" t="s">
        <v>36547</v>
      </c>
      <c r="F7940" s="10" t="s">
        <v>36548</v>
      </c>
      <c r="G7940" s="10" t="s">
        <v>6317</v>
      </c>
      <c r="H7940" s="11">
        <v>39428</v>
      </c>
      <c r="I7940" s="10">
        <v>2007</v>
      </c>
      <c r="J7940" s="10" t="s">
        <v>36547</v>
      </c>
      <c r="K7940" s="10">
        <v>100</v>
      </c>
      <c r="L7940" s="10" t="s">
        <v>37257</v>
      </c>
      <c r="M7940" s="10">
        <v>1</v>
      </c>
      <c r="N7940" s="10"/>
      <c r="O7940" s="10"/>
      <c r="P7940" s="10" t="s">
        <v>37258</v>
      </c>
      <c r="Q7940" s="10" t="s">
        <v>9584</v>
      </c>
      <c r="R7940" s="10"/>
      <c r="S7940" s="10" t="s">
        <v>53</v>
      </c>
      <c r="T7940" s="10" t="s">
        <v>9291</v>
      </c>
    </row>
    <row r="7941" spans="1:20" ht="14.5" x14ac:dyDescent="0.35">
      <c r="A7941" s="10" t="s">
        <v>37259</v>
      </c>
      <c r="B7941" s="10" t="str">
        <f>"9780309115513"</f>
        <v>9780309115513</v>
      </c>
      <c r="C7941" s="10" t="str">
        <f>"9780309115520"</f>
        <v>9780309115520</v>
      </c>
      <c r="D7941" s="10" t="s">
        <v>36547</v>
      </c>
      <c r="E7941" s="10" t="s">
        <v>36547</v>
      </c>
      <c r="F7941" s="10" t="s">
        <v>36548</v>
      </c>
      <c r="G7941" s="10" t="s">
        <v>6317</v>
      </c>
      <c r="H7941" s="11">
        <v>39562</v>
      </c>
      <c r="I7941" s="10">
        <v>2008</v>
      </c>
      <c r="J7941" s="10" t="s">
        <v>36547</v>
      </c>
      <c r="K7941" s="10">
        <v>162</v>
      </c>
      <c r="L7941" s="10" t="s">
        <v>37260</v>
      </c>
      <c r="M7941" s="10">
        <v>1</v>
      </c>
      <c r="N7941" s="10"/>
      <c r="O7941" s="10"/>
      <c r="P7941" s="10" t="s">
        <v>37261</v>
      </c>
      <c r="Q7941" s="10"/>
      <c r="R7941" s="10"/>
      <c r="S7941" s="10" t="s">
        <v>53</v>
      </c>
      <c r="T7941" s="10" t="s">
        <v>37262</v>
      </c>
    </row>
    <row r="7942" spans="1:20" ht="14.5" x14ac:dyDescent="0.35">
      <c r="A7942" s="10" t="s">
        <v>37263</v>
      </c>
      <c r="B7942" s="10" t="str">
        <f>"9780309120357"</f>
        <v>9780309120357</v>
      </c>
      <c r="C7942" s="10" t="str">
        <f>"9780309120364"</f>
        <v>9780309120364</v>
      </c>
      <c r="D7942" s="10" t="s">
        <v>36547</v>
      </c>
      <c r="E7942" s="10" t="s">
        <v>36547</v>
      </c>
      <c r="F7942" s="10" t="s">
        <v>36548</v>
      </c>
      <c r="G7942" s="10" t="s">
        <v>6317</v>
      </c>
      <c r="H7942" s="11">
        <v>39615</v>
      </c>
      <c r="I7942" s="10">
        <v>2008</v>
      </c>
      <c r="J7942" s="10" t="s">
        <v>36547</v>
      </c>
      <c r="K7942" s="10">
        <v>58</v>
      </c>
      <c r="L7942" s="10" t="s">
        <v>37264</v>
      </c>
      <c r="M7942" s="10">
        <v>1</v>
      </c>
      <c r="N7942" s="10"/>
      <c r="O7942" s="10"/>
      <c r="P7942" s="10" t="s">
        <v>37265</v>
      </c>
      <c r="Q7942" s="10" t="s">
        <v>7069</v>
      </c>
      <c r="R7942" s="10"/>
      <c r="S7942" s="10" t="s">
        <v>53</v>
      </c>
      <c r="T7942" s="10" t="s">
        <v>54</v>
      </c>
    </row>
    <row r="7943" spans="1:20" ht="14.5" x14ac:dyDescent="0.35">
      <c r="A7943" s="10" t="s">
        <v>37266</v>
      </c>
      <c r="B7943" s="10" t="str">
        <f>"9780309121187"</f>
        <v>9780309121187</v>
      </c>
      <c r="C7943" s="10" t="str">
        <f>"9780309121194"</f>
        <v>9780309121194</v>
      </c>
      <c r="D7943" s="10" t="s">
        <v>36547</v>
      </c>
      <c r="E7943" s="10" t="s">
        <v>36547</v>
      </c>
      <c r="F7943" s="10" t="s">
        <v>36548</v>
      </c>
      <c r="G7943" s="10" t="s">
        <v>6317</v>
      </c>
      <c r="H7943" s="11">
        <v>39725</v>
      </c>
      <c r="I7943" s="10">
        <v>2008</v>
      </c>
      <c r="J7943" s="10" t="s">
        <v>36547</v>
      </c>
      <c r="K7943" s="10">
        <v>337</v>
      </c>
      <c r="L7943" s="10" t="s">
        <v>37267</v>
      </c>
      <c r="M7943" s="10">
        <v>1</v>
      </c>
      <c r="N7943" s="10"/>
      <c r="O7943" s="10"/>
      <c r="P7943" s="10" t="s">
        <v>37268</v>
      </c>
      <c r="Q7943" s="10"/>
      <c r="R7943" s="10" t="s">
        <v>37269</v>
      </c>
      <c r="S7943" s="10" t="s">
        <v>53</v>
      </c>
      <c r="T7943" s="10" t="s">
        <v>54</v>
      </c>
    </row>
    <row r="7944" spans="1:20" ht="14.5" x14ac:dyDescent="0.35">
      <c r="A7944" s="10" t="s">
        <v>37270</v>
      </c>
      <c r="B7944" s="10" t="str">
        <f>"9780309125246"</f>
        <v>9780309125246</v>
      </c>
      <c r="C7944" s="10" t="str">
        <f>"9780309125253"</f>
        <v>9780309125253</v>
      </c>
      <c r="D7944" s="10" t="s">
        <v>36547</v>
      </c>
      <c r="E7944" s="10" t="s">
        <v>36547</v>
      </c>
      <c r="F7944" s="10" t="s">
        <v>36548</v>
      </c>
      <c r="G7944" s="10" t="s">
        <v>6317</v>
      </c>
      <c r="H7944" s="11">
        <v>39717</v>
      </c>
      <c r="I7944" s="10">
        <v>2008</v>
      </c>
      <c r="J7944" s="10" t="s">
        <v>36547</v>
      </c>
      <c r="K7944" s="10">
        <v>103</v>
      </c>
      <c r="L7944" s="10" t="s">
        <v>37264</v>
      </c>
      <c r="M7944" s="10">
        <v>1</v>
      </c>
      <c r="N7944" s="10"/>
      <c r="O7944" s="10"/>
      <c r="P7944" s="10" t="s">
        <v>37271</v>
      </c>
      <c r="Q7944" s="10"/>
      <c r="R7944" s="10"/>
      <c r="S7944" s="10" t="s">
        <v>53</v>
      </c>
      <c r="T7944" s="10" t="s">
        <v>54</v>
      </c>
    </row>
    <row r="7945" spans="1:20" ht="14.5" x14ac:dyDescent="0.35">
      <c r="A7945" s="10" t="s">
        <v>37272</v>
      </c>
      <c r="B7945" s="10" t="str">
        <f>"9780309114714"</f>
        <v>9780309114714</v>
      </c>
      <c r="C7945" s="10" t="str">
        <f>"9780309114721"</f>
        <v>9780309114721</v>
      </c>
      <c r="D7945" s="10" t="s">
        <v>36547</v>
      </c>
      <c r="E7945" s="10" t="s">
        <v>36547</v>
      </c>
      <c r="F7945" s="10" t="s">
        <v>36548</v>
      </c>
      <c r="G7945" s="10" t="s">
        <v>6317</v>
      </c>
      <c r="H7945" s="11">
        <v>39747</v>
      </c>
      <c r="I7945" s="10">
        <v>2008</v>
      </c>
      <c r="J7945" s="10" t="s">
        <v>36547</v>
      </c>
      <c r="K7945" s="10">
        <v>145</v>
      </c>
      <c r="L7945" s="10"/>
      <c r="M7945" s="10">
        <v>1</v>
      </c>
      <c r="N7945" s="10"/>
      <c r="O7945" s="10"/>
      <c r="P7945" s="10" t="s">
        <v>37273</v>
      </c>
      <c r="Q7945" s="10"/>
      <c r="R7945" s="10"/>
      <c r="S7945" s="10" t="s">
        <v>53</v>
      </c>
      <c r="T7945" s="10" t="s">
        <v>5557</v>
      </c>
    </row>
    <row r="7946" spans="1:20" ht="14.5" x14ac:dyDescent="0.35">
      <c r="A7946" s="10" t="s">
        <v>37274</v>
      </c>
      <c r="B7946" s="10" t="str">
        <f>"9780309127998"</f>
        <v>9780309127998</v>
      </c>
      <c r="C7946" s="10" t="str">
        <f>"9780309128001"</f>
        <v>9780309128001</v>
      </c>
      <c r="D7946" s="10" t="s">
        <v>36547</v>
      </c>
      <c r="E7946" s="10" t="s">
        <v>36547</v>
      </c>
      <c r="F7946" s="10" t="s">
        <v>36548</v>
      </c>
      <c r="G7946" s="10" t="s">
        <v>6317</v>
      </c>
      <c r="H7946" s="11">
        <v>39831</v>
      </c>
      <c r="I7946" s="10">
        <v>2009</v>
      </c>
      <c r="J7946" s="10" t="s">
        <v>36547</v>
      </c>
      <c r="K7946" s="10">
        <v>105</v>
      </c>
      <c r="L7946" s="10" t="s">
        <v>36549</v>
      </c>
      <c r="M7946" s="10">
        <v>1</v>
      </c>
      <c r="N7946" s="10"/>
      <c r="O7946" s="10"/>
      <c r="P7946" s="10" t="s">
        <v>37275</v>
      </c>
      <c r="Q7946" s="10"/>
      <c r="R7946" s="10"/>
      <c r="S7946" s="10" t="s">
        <v>53</v>
      </c>
      <c r="T7946" s="10" t="s">
        <v>54</v>
      </c>
    </row>
    <row r="7947" spans="1:20" ht="14.5" x14ac:dyDescent="0.35">
      <c r="A7947" s="10" t="s">
        <v>37276</v>
      </c>
      <c r="B7947" s="10" t="str">
        <f>"9780309127950"</f>
        <v>9780309127950</v>
      </c>
      <c r="C7947" s="10" t="str">
        <f>"9780309121330"</f>
        <v>9780309121330</v>
      </c>
      <c r="D7947" s="10" t="s">
        <v>36547</v>
      </c>
      <c r="E7947" s="10" t="s">
        <v>36547</v>
      </c>
      <c r="F7947" s="10" t="s">
        <v>36548</v>
      </c>
      <c r="G7947" s="10" t="s">
        <v>6317</v>
      </c>
      <c r="H7947" s="11">
        <v>39828</v>
      </c>
      <c r="I7947" s="10">
        <v>2008</v>
      </c>
      <c r="J7947" s="10" t="s">
        <v>36547</v>
      </c>
      <c r="K7947" s="10">
        <v>191</v>
      </c>
      <c r="L7947" s="10" t="s">
        <v>37277</v>
      </c>
      <c r="M7947" s="10">
        <v>1</v>
      </c>
      <c r="N7947" s="10"/>
      <c r="O7947" s="10"/>
      <c r="P7947" s="10" t="s">
        <v>37278</v>
      </c>
      <c r="Q7947" s="10"/>
      <c r="R7947" s="10"/>
      <c r="S7947" s="10" t="s">
        <v>53</v>
      </c>
      <c r="T7947" s="10" t="s">
        <v>54</v>
      </c>
    </row>
    <row r="7948" spans="1:20" ht="14.5" x14ac:dyDescent="0.35">
      <c r="A7948" s="10" t="s">
        <v>37279</v>
      </c>
      <c r="B7948" s="10" t="str">
        <f>"9780309130837"</f>
        <v>9780309130837</v>
      </c>
      <c r="C7948" s="10" t="str">
        <f>"9780309130844"</f>
        <v>9780309130844</v>
      </c>
      <c r="D7948" s="10" t="s">
        <v>36547</v>
      </c>
      <c r="E7948" s="10" t="s">
        <v>36547</v>
      </c>
      <c r="F7948" s="10" t="s">
        <v>36548</v>
      </c>
      <c r="G7948" s="10" t="s">
        <v>6317</v>
      </c>
      <c r="H7948" s="11">
        <v>39922</v>
      </c>
      <c r="I7948" s="10">
        <v>2009</v>
      </c>
      <c r="J7948" s="10" t="s">
        <v>36547</v>
      </c>
      <c r="K7948" s="10">
        <v>78</v>
      </c>
      <c r="L7948" s="10"/>
      <c r="M7948" s="10">
        <v>1</v>
      </c>
      <c r="N7948" s="10"/>
      <c r="O7948" s="10"/>
      <c r="P7948" s="10" t="s">
        <v>37280</v>
      </c>
      <c r="Q7948" s="10"/>
      <c r="R7948" s="10"/>
      <c r="S7948" s="10" t="s">
        <v>53</v>
      </c>
      <c r="T7948" s="10" t="s">
        <v>54</v>
      </c>
    </row>
    <row r="7949" spans="1:20" ht="14.5" x14ac:dyDescent="0.35">
      <c r="A7949" s="10" t="s">
        <v>37281</v>
      </c>
      <c r="B7949" s="10" t="str">
        <f>"9780309124652"</f>
        <v>9780309124652</v>
      </c>
      <c r="C7949" s="10" t="str">
        <f>"9780309124669"</f>
        <v>9780309124669</v>
      </c>
      <c r="D7949" s="10" t="s">
        <v>36547</v>
      </c>
      <c r="E7949" s="10" t="s">
        <v>36547</v>
      </c>
      <c r="F7949" s="10" t="s">
        <v>36548</v>
      </c>
      <c r="G7949" s="10" t="s">
        <v>6317</v>
      </c>
      <c r="H7949" s="11">
        <v>39803</v>
      </c>
      <c r="I7949" s="10">
        <v>2008</v>
      </c>
      <c r="J7949" s="10" t="s">
        <v>36547</v>
      </c>
      <c r="K7949" s="10">
        <v>500</v>
      </c>
      <c r="L7949" s="10" t="s">
        <v>37282</v>
      </c>
      <c r="M7949" s="10">
        <v>1</v>
      </c>
      <c r="N7949" s="10"/>
      <c r="O7949" s="10"/>
      <c r="P7949" s="10" t="s">
        <v>37283</v>
      </c>
      <c r="Q7949" s="10">
        <v>372.12599999999998</v>
      </c>
      <c r="R7949" s="10" t="s">
        <v>37284</v>
      </c>
      <c r="S7949" s="10" t="s">
        <v>53</v>
      </c>
      <c r="T7949" s="10" t="s">
        <v>54</v>
      </c>
    </row>
    <row r="7950" spans="1:20" ht="14.5" x14ac:dyDescent="0.35">
      <c r="A7950" s="10" t="s">
        <v>37285</v>
      </c>
      <c r="B7950" s="10" t="str">
        <f>"9780309128599"</f>
        <v>9780309128599</v>
      </c>
      <c r="C7950" s="10" t="str">
        <f>"9780309128605"</f>
        <v>9780309128605</v>
      </c>
      <c r="D7950" s="10" t="s">
        <v>36547</v>
      </c>
      <c r="E7950" s="10" t="s">
        <v>36547</v>
      </c>
      <c r="F7950" s="10" t="s">
        <v>36548</v>
      </c>
      <c r="G7950" s="10" t="s">
        <v>6317</v>
      </c>
      <c r="H7950" s="11">
        <v>39979</v>
      </c>
      <c r="I7950" s="10">
        <v>2009</v>
      </c>
      <c r="J7950" s="10" t="s">
        <v>36547</v>
      </c>
      <c r="K7950" s="10">
        <v>70</v>
      </c>
      <c r="L7950" s="10" t="s">
        <v>36849</v>
      </c>
      <c r="M7950" s="10">
        <v>1</v>
      </c>
      <c r="N7950" s="10"/>
      <c r="O7950" s="10"/>
      <c r="P7950" s="10" t="s">
        <v>37286</v>
      </c>
      <c r="Q7950" s="10"/>
      <c r="R7950" s="10"/>
      <c r="S7950" s="10" t="s">
        <v>53</v>
      </c>
      <c r="T7950" s="10" t="s">
        <v>11332</v>
      </c>
    </row>
    <row r="7951" spans="1:20" ht="14.5" x14ac:dyDescent="0.35">
      <c r="A7951" s="10" t="s">
        <v>37287</v>
      </c>
      <c r="B7951" s="10" t="str">
        <f>"9780309119559"</f>
        <v>9780309119559</v>
      </c>
      <c r="C7951" s="10" t="str">
        <f>"9780309119566"</f>
        <v>9780309119566</v>
      </c>
      <c r="D7951" s="10" t="s">
        <v>36547</v>
      </c>
      <c r="E7951" s="10" t="s">
        <v>36547</v>
      </c>
      <c r="F7951" s="10" t="s">
        <v>36548</v>
      </c>
      <c r="G7951" s="10" t="s">
        <v>6317</v>
      </c>
      <c r="H7951" s="11">
        <v>39991</v>
      </c>
      <c r="I7951" s="10">
        <v>2009</v>
      </c>
      <c r="J7951" s="10" t="s">
        <v>36547</v>
      </c>
      <c r="K7951" s="10">
        <v>348</v>
      </c>
      <c r="L7951" s="10" t="s">
        <v>37288</v>
      </c>
      <c r="M7951" s="10">
        <v>1</v>
      </c>
      <c r="N7951" s="10"/>
      <c r="O7951" s="10"/>
      <c r="P7951" s="10" t="s">
        <v>37289</v>
      </c>
      <c r="Q7951" s="10">
        <v>507.1</v>
      </c>
      <c r="R7951" s="10" t="s">
        <v>37290</v>
      </c>
      <c r="S7951" s="10" t="s">
        <v>53</v>
      </c>
      <c r="T7951" s="10" t="s">
        <v>7193</v>
      </c>
    </row>
    <row r="7952" spans="1:20" ht="14.5" x14ac:dyDescent="0.35">
      <c r="A7952" s="10" t="s">
        <v>37291</v>
      </c>
      <c r="B7952" s="10" t="str">
        <f>"9780309140010"</f>
        <v>9780309140010</v>
      </c>
      <c r="C7952" s="10" t="str">
        <f>"9780309140027"</f>
        <v>9780309140027</v>
      </c>
      <c r="D7952" s="10" t="s">
        <v>36547</v>
      </c>
      <c r="E7952" s="10" t="s">
        <v>36547</v>
      </c>
      <c r="F7952" s="10" t="s">
        <v>36548</v>
      </c>
      <c r="G7952" s="10" t="s">
        <v>6317</v>
      </c>
      <c r="H7952" s="11">
        <v>40047</v>
      </c>
      <c r="I7952" s="10">
        <v>2009</v>
      </c>
      <c r="J7952" s="10" t="s">
        <v>36547</v>
      </c>
      <c r="K7952" s="10">
        <v>57</v>
      </c>
      <c r="L7952" s="10" t="s">
        <v>37292</v>
      </c>
      <c r="M7952" s="10">
        <v>1</v>
      </c>
      <c r="N7952" s="10"/>
      <c r="O7952" s="10"/>
      <c r="P7952" s="10" t="s">
        <v>37293</v>
      </c>
      <c r="Q7952" s="10"/>
      <c r="R7952" s="10"/>
      <c r="S7952" s="10" t="s">
        <v>53</v>
      </c>
      <c r="T7952" s="10" t="s">
        <v>5557</v>
      </c>
    </row>
    <row r="7953" spans="1:20" ht="14.5" x14ac:dyDescent="0.35">
      <c r="A7953" s="10" t="s">
        <v>37294</v>
      </c>
      <c r="B7953" s="10" t="str">
        <f>"9780309132213"</f>
        <v>9780309132213</v>
      </c>
      <c r="C7953" s="10" t="str">
        <f>"9780309132220"</f>
        <v>9780309132220</v>
      </c>
      <c r="D7953" s="10" t="s">
        <v>36547</v>
      </c>
      <c r="E7953" s="10" t="s">
        <v>36547</v>
      </c>
      <c r="F7953" s="10" t="s">
        <v>36548</v>
      </c>
      <c r="G7953" s="10" t="s">
        <v>6317</v>
      </c>
      <c r="H7953" s="11">
        <v>40133</v>
      </c>
      <c r="I7953" s="10">
        <v>2009</v>
      </c>
      <c r="J7953" s="10" t="s">
        <v>36547</v>
      </c>
      <c r="K7953" s="10">
        <v>220</v>
      </c>
      <c r="L7953" s="10"/>
      <c r="M7953" s="10">
        <v>1</v>
      </c>
      <c r="N7953" s="10"/>
      <c r="O7953" s="10"/>
      <c r="P7953" s="10" t="s">
        <v>37295</v>
      </c>
      <c r="Q7953" s="10"/>
      <c r="R7953" s="10" t="s">
        <v>37296</v>
      </c>
      <c r="S7953" s="10" t="s">
        <v>53</v>
      </c>
      <c r="T7953" s="10" t="s">
        <v>12653</v>
      </c>
    </row>
    <row r="7954" spans="1:20" ht="14.5" x14ac:dyDescent="0.35">
      <c r="A7954" s="10" t="s">
        <v>37297</v>
      </c>
      <c r="B7954" s="10" t="str">
        <f>"9780309144421"</f>
        <v>9780309144421</v>
      </c>
      <c r="C7954" s="10" t="str">
        <f>"9780309144438"</f>
        <v>9780309144438</v>
      </c>
      <c r="D7954" s="10" t="s">
        <v>36547</v>
      </c>
      <c r="E7954" s="10" t="s">
        <v>36547</v>
      </c>
      <c r="F7954" s="10" t="s">
        <v>36548</v>
      </c>
      <c r="G7954" s="10" t="s">
        <v>6317</v>
      </c>
      <c r="H7954" s="11">
        <v>40149</v>
      </c>
      <c r="I7954" s="10">
        <v>2009</v>
      </c>
      <c r="J7954" s="10" t="s">
        <v>36547</v>
      </c>
      <c r="K7954" s="10">
        <v>80</v>
      </c>
      <c r="L7954" s="10" t="s">
        <v>37298</v>
      </c>
      <c r="M7954" s="10">
        <v>1</v>
      </c>
      <c r="N7954" s="10"/>
      <c r="O7954" s="10"/>
      <c r="P7954" s="10" t="s">
        <v>37299</v>
      </c>
      <c r="Q7954" s="10"/>
      <c r="R7954" s="10"/>
      <c r="S7954" s="10" t="s">
        <v>53</v>
      </c>
      <c r="T7954" s="10" t="s">
        <v>5557</v>
      </c>
    </row>
    <row r="7955" spans="1:20" ht="14.5" x14ac:dyDescent="0.35">
      <c r="A7955" s="10" t="s">
        <v>37300</v>
      </c>
      <c r="B7955" s="10" t="str">
        <f>"9780309128063"</f>
        <v>9780309128063</v>
      </c>
      <c r="C7955" s="10" t="str">
        <f>"9780309128070"</f>
        <v>9780309128070</v>
      </c>
      <c r="D7955" s="10" t="s">
        <v>36547</v>
      </c>
      <c r="E7955" s="10" t="s">
        <v>36547</v>
      </c>
      <c r="F7955" s="10" t="s">
        <v>36548</v>
      </c>
      <c r="G7955" s="10" t="s">
        <v>6317</v>
      </c>
      <c r="H7955" s="11">
        <v>40160</v>
      </c>
      <c r="I7955" s="10">
        <v>2009</v>
      </c>
      <c r="J7955" s="10" t="s">
        <v>36547</v>
      </c>
      <c r="K7955" s="10">
        <v>398</v>
      </c>
      <c r="L7955" s="10" t="s">
        <v>37301</v>
      </c>
      <c r="M7955" s="10">
        <v>1</v>
      </c>
      <c r="N7955" s="10"/>
      <c r="O7955" s="10"/>
      <c r="P7955" s="10" t="s">
        <v>37302</v>
      </c>
      <c r="Q7955" s="10">
        <v>372.7</v>
      </c>
      <c r="R7955" s="10" t="s">
        <v>37303</v>
      </c>
      <c r="S7955" s="10" t="s">
        <v>53</v>
      </c>
      <c r="T7955" s="10" t="s">
        <v>6448</v>
      </c>
    </row>
    <row r="7956" spans="1:20" ht="14.5" x14ac:dyDescent="0.35">
      <c r="A7956" s="10" t="s">
        <v>37304</v>
      </c>
      <c r="B7956" s="10" t="str">
        <f>"9780309143660"</f>
        <v>9780309143660</v>
      </c>
      <c r="C7956" s="10" t="str">
        <f>"9780309143677"</f>
        <v>9780309143677</v>
      </c>
      <c r="D7956" s="10" t="s">
        <v>36547</v>
      </c>
      <c r="E7956" s="10" t="s">
        <v>36547</v>
      </c>
      <c r="F7956" s="10" t="s">
        <v>36548</v>
      </c>
      <c r="G7956" s="10" t="s">
        <v>6317</v>
      </c>
      <c r="H7956" s="11">
        <v>40150</v>
      </c>
      <c r="I7956" s="10">
        <v>2009</v>
      </c>
      <c r="J7956" s="10" t="s">
        <v>36547</v>
      </c>
      <c r="K7956" s="10">
        <v>154</v>
      </c>
      <c r="L7956" s="10" t="s">
        <v>37305</v>
      </c>
      <c r="M7956" s="10">
        <v>1</v>
      </c>
      <c r="N7956" s="10"/>
      <c r="O7956" s="10"/>
      <c r="P7956" s="10" t="s">
        <v>37306</v>
      </c>
      <c r="Q7956" s="10"/>
      <c r="R7956" s="10"/>
      <c r="S7956" s="10" t="s">
        <v>53</v>
      </c>
      <c r="T7956" s="10" t="s">
        <v>54</v>
      </c>
    </row>
    <row r="7957" spans="1:20" ht="14.5" x14ac:dyDescent="0.35">
      <c r="A7957" s="10" t="s">
        <v>37307</v>
      </c>
      <c r="B7957" s="10" t="str">
        <f>"9780309146678"</f>
        <v>9780309146678</v>
      </c>
      <c r="C7957" s="10" t="str">
        <f>"9780309146685"</f>
        <v>9780309146685</v>
      </c>
      <c r="D7957" s="10" t="s">
        <v>36547</v>
      </c>
      <c r="E7957" s="10" t="s">
        <v>36547</v>
      </c>
      <c r="F7957" s="10" t="s">
        <v>36548</v>
      </c>
      <c r="G7957" s="10" t="s">
        <v>6317</v>
      </c>
      <c r="H7957" s="11">
        <v>40234</v>
      </c>
      <c r="I7957" s="10">
        <v>2010</v>
      </c>
      <c r="J7957" s="10" t="s">
        <v>36547</v>
      </c>
      <c r="K7957" s="10">
        <v>69</v>
      </c>
      <c r="L7957" s="10" t="s">
        <v>37308</v>
      </c>
      <c r="M7957" s="10">
        <v>1</v>
      </c>
      <c r="N7957" s="10"/>
      <c r="O7957" s="10"/>
      <c r="P7957" s="10" t="s">
        <v>37309</v>
      </c>
      <c r="Q7957" s="10"/>
      <c r="R7957" s="10"/>
      <c r="S7957" s="10" t="s">
        <v>53</v>
      </c>
      <c r="T7957" s="10" t="s">
        <v>54</v>
      </c>
    </row>
    <row r="7958" spans="1:20" ht="14.5" x14ac:dyDescent="0.35">
      <c r="A7958" s="10" t="s">
        <v>37310</v>
      </c>
      <c r="B7958" s="10" t="str">
        <f>"9780309145183"</f>
        <v>9780309145183</v>
      </c>
      <c r="C7958" s="10" t="str">
        <f>"9780309145190"</f>
        <v>9780309145190</v>
      </c>
      <c r="D7958" s="10" t="s">
        <v>36547</v>
      </c>
      <c r="E7958" s="10" t="s">
        <v>36547</v>
      </c>
      <c r="F7958" s="10" t="s">
        <v>36548</v>
      </c>
      <c r="G7958" s="10" t="s">
        <v>6317</v>
      </c>
      <c r="H7958" s="11">
        <v>40235</v>
      </c>
      <c r="I7958" s="10">
        <v>2010</v>
      </c>
      <c r="J7958" s="10" t="s">
        <v>36547</v>
      </c>
      <c r="K7958" s="10">
        <v>144</v>
      </c>
      <c r="L7958" s="10" t="s">
        <v>36549</v>
      </c>
      <c r="M7958" s="10">
        <v>1</v>
      </c>
      <c r="N7958" s="10"/>
      <c r="O7958" s="10"/>
      <c r="P7958" s="10" t="s">
        <v>37311</v>
      </c>
      <c r="Q7958" s="10"/>
      <c r="R7958" s="10"/>
      <c r="S7958" s="10" t="s">
        <v>53</v>
      </c>
      <c r="T7958" s="10" t="s">
        <v>5557</v>
      </c>
    </row>
    <row r="7959" spans="1:20" ht="14.5" x14ac:dyDescent="0.35">
      <c r="A7959" s="10" t="s">
        <v>37312</v>
      </c>
      <c r="B7959" s="10" t="str">
        <f>"9780309140782"</f>
        <v>9780309140782</v>
      </c>
      <c r="C7959" s="10" t="str">
        <f>"9780309140799"</f>
        <v>9780309140799</v>
      </c>
      <c r="D7959" s="10" t="s">
        <v>36547</v>
      </c>
      <c r="E7959" s="10" t="s">
        <v>36547</v>
      </c>
      <c r="F7959" s="10" t="s">
        <v>36548</v>
      </c>
      <c r="G7959" s="10" t="s">
        <v>6317</v>
      </c>
      <c r="H7959" s="11">
        <v>40249</v>
      </c>
      <c r="I7959" s="10">
        <v>2010</v>
      </c>
      <c r="J7959" s="10" t="s">
        <v>36547</v>
      </c>
      <c r="K7959" s="10">
        <v>296</v>
      </c>
      <c r="L7959" s="10"/>
      <c r="M7959" s="10">
        <v>1</v>
      </c>
      <c r="N7959" s="10"/>
      <c r="O7959" s="10"/>
      <c r="P7959" s="10" t="s">
        <v>37313</v>
      </c>
      <c r="Q7959" s="10"/>
      <c r="R7959" s="10"/>
      <c r="S7959" s="10" t="s">
        <v>53</v>
      </c>
      <c r="T7959" s="10" t="s">
        <v>8625</v>
      </c>
    </row>
    <row r="7960" spans="1:20" ht="14.5" x14ac:dyDescent="0.35">
      <c r="A7960" s="10" t="s">
        <v>37314</v>
      </c>
      <c r="B7960" s="10" t="str">
        <f>"9780309148139"</f>
        <v>9780309148139</v>
      </c>
      <c r="C7960" s="10" t="str">
        <f>"9780309148146"</f>
        <v>9780309148146</v>
      </c>
      <c r="D7960" s="10" t="s">
        <v>36547</v>
      </c>
      <c r="E7960" s="10" t="s">
        <v>36547</v>
      </c>
      <c r="F7960" s="10" t="s">
        <v>36548</v>
      </c>
      <c r="G7960" s="10" t="s">
        <v>6317</v>
      </c>
      <c r="H7960" s="11">
        <v>40234</v>
      </c>
      <c r="I7960" s="10">
        <v>2010</v>
      </c>
      <c r="J7960" s="10" t="s">
        <v>36547</v>
      </c>
      <c r="K7960" s="10">
        <v>96</v>
      </c>
      <c r="L7960" s="10" t="s">
        <v>37315</v>
      </c>
      <c r="M7960" s="10">
        <v>1</v>
      </c>
      <c r="N7960" s="10"/>
      <c r="O7960" s="10"/>
      <c r="P7960" s="10" t="s">
        <v>37316</v>
      </c>
      <c r="Q7960" s="10"/>
      <c r="R7960" s="10"/>
      <c r="S7960" s="10" t="s">
        <v>53</v>
      </c>
      <c r="T7960" s="10" t="s">
        <v>54</v>
      </c>
    </row>
    <row r="7961" spans="1:20" ht="14.5" x14ac:dyDescent="0.35">
      <c r="A7961" s="10" t="s">
        <v>37317</v>
      </c>
      <c r="B7961" s="10" t="str">
        <f>"9780309136747"</f>
        <v>9780309136747</v>
      </c>
      <c r="C7961" s="10" t="str">
        <f>"9780309136754"</f>
        <v>9780309136754</v>
      </c>
      <c r="D7961" s="10" t="s">
        <v>36547</v>
      </c>
      <c r="E7961" s="10" t="s">
        <v>36547</v>
      </c>
      <c r="F7961" s="10" t="s">
        <v>36548</v>
      </c>
      <c r="G7961" s="10" t="s">
        <v>6317</v>
      </c>
      <c r="H7961" s="11">
        <v>40271</v>
      </c>
      <c r="I7961" s="10">
        <v>2010</v>
      </c>
      <c r="J7961" s="10" t="s">
        <v>36547</v>
      </c>
      <c r="K7961" s="10">
        <v>241</v>
      </c>
      <c r="L7961" s="10" t="s">
        <v>37318</v>
      </c>
      <c r="M7961" s="10">
        <v>1</v>
      </c>
      <c r="N7961" s="10"/>
      <c r="O7961" s="10"/>
      <c r="P7961" s="10" t="s">
        <v>37319</v>
      </c>
      <c r="Q7961" s="10">
        <v>507.1</v>
      </c>
      <c r="R7961" s="10" t="s">
        <v>37320</v>
      </c>
      <c r="S7961" s="10" t="s">
        <v>53</v>
      </c>
      <c r="T7961" s="10" t="s">
        <v>7193</v>
      </c>
    </row>
    <row r="7962" spans="1:20" ht="14.5" x14ac:dyDescent="0.35">
      <c r="A7962" s="10" t="s">
        <v>37321</v>
      </c>
      <c r="B7962" s="10" t="str">
        <f>"9780309147699"</f>
        <v>9780309147699</v>
      </c>
      <c r="C7962" s="10" t="str">
        <f>"9780309147705"</f>
        <v>9780309147705</v>
      </c>
      <c r="D7962" s="10" t="s">
        <v>36547</v>
      </c>
      <c r="E7962" s="10" t="s">
        <v>36547</v>
      </c>
      <c r="F7962" s="10" t="s">
        <v>36548</v>
      </c>
      <c r="G7962" s="10" t="s">
        <v>6317</v>
      </c>
      <c r="H7962" s="11">
        <v>40340</v>
      </c>
      <c r="I7962" s="10">
        <v>2010</v>
      </c>
      <c r="J7962" s="10" t="s">
        <v>36547</v>
      </c>
      <c r="K7962" s="10">
        <v>230</v>
      </c>
      <c r="L7962" s="10" t="s">
        <v>37322</v>
      </c>
      <c r="M7962" s="10">
        <v>1</v>
      </c>
      <c r="N7962" s="10"/>
      <c r="O7962" s="10"/>
      <c r="P7962" s="10" t="s">
        <v>37323</v>
      </c>
      <c r="Q7962" s="10"/>
      <c r="R7962" s="10"/>
      <c r="S7962" s="10" t="s">
        <v>53</v>
      </c>
      <c r="T7962" s="10" t="s">
        <v>6660</v>
      </c>
    </row>
    <row r="7963" spans="1:20" ht="14.5" x14ac:dyDescent="0.35">
      <c r="A7963" s="10" t="s">
        <v>37324</v>
      </c>
      <c r="B7963" s="10" t="str">
        <f>"9780309128056"</f>
        <v>9780309128056</v>
      </c>
      <c r="C7963" s="10" t="str">
        <f>"9780309129961"</f>
        <v>9780309129961</v>
      </c>
      <c r="D7963" s="10" t="s">
        <v>36547</v>
      </c>
      <c r="E7963" s="10" t="s">
        <v>36547</v>
      </c>
      <c r="F7963" s="10" t="s">
        <v>36548</v>
      </c>
      <c r="G7963" s="10" t="s">
        <v>6317</v>
      </c>
      <c r="H7963" s="11">
        <v>40384</v>
      </c>
      <c r="I7963" s="10">
        <v>2010</v>
      </c>
      <c r="J7963" s="10" t="s">
        <v>36547</v>
      </c>
      <c r="K7963" s="10">
        <v>233</v>
      </c>
      <c r="L7963" s="10"/>
      <c r="M7963" s="10">
        <v>1</v>
      </c>
      <c r="N7963" s="10"/>
      <c r="O7963" s="10"/>
      <c r="P7963" s="10" t="s">
        <v>37325</v>
      </c>
      <c r="Q7963" s="10" t="s">
        <v>18499</v>
      </c>
      <c r="R7963" s="10" t="s">
        <v>37326</v>
      </c>
      <c r="S7963" s="10" t="s">
        <v>53</v>
      </c>
      <c r="T7963" s="10" t="s">
        <v>54</v>
      </c>
    </row>
    <row r="7964" spans="1:20" ht="14.5" x14ac:dyDescent="0.35">
      <c r="A7964" s="10" t="s">
        <v>37327</v>
      </c>
      <c r="B7964" s="10" t="str">
        <f>"9780309153867"</f>
        <v>9780309153867</v>
      </c>
      <c r="C7964" s="10" t="str">
        <f>"9780309153874"</f>
        <v>9780309153874</v>
      </c>
      <c r="D7964" s="10" t="s">
        <v>36547</v>
      </c>
      <c r="E7964" s="10" t="s">
        <v>36547</v>
      </c>
      <c r="F7964" s="10" t="s">
        <v>36548</v>
      </c>
      <c r="G7964" s="10" t="s">
        <v>6317</v>
      </c>
      <c r="H7964" s="11">
        <v>40416</v>
      </c>
      <c r="I7964" s="10">
        <v>2010</v>
      </c>
      <c r="J7964" s="10" t="s">
        <v>36547</v>
      </c>
      <c r="K7964" s="10">
        <v>115</v>
      </c>
      <c r="L7964" s="10" t="s">
        <v>37328</v>
      </c>
      <c r="M7964" s="10">
        <v>1</v>
      </c>
      <c r="N7964" s="10"/>
      <c r="O7964" s="10"/>
      <c r="P7964" s="10"/>
      <c r="Q7964" s="10"/>
      <c r="R7964" s="10"/>
      <c r="S7964" s="10" t="s">
        <v>53</v>
      </c>
      <c r="T7964" s="10" t="s">
        <v>6634</v>
      </c>
    </row>
    <row r="7965" spans="1:20" ht="14.5" x14ac:dyDescent="0.35">
      <c r="A7965" s="10" t="s">
        <v>37329</v>
      </c>
      <c r="B7965" s="10" t="str">
        <f>"9780309154529"</f>
        <v>9780309154529</v>
      </c>
      <c r="C7965" s="10" t="str">
        <f>"9780309154536"</f>
        <v>9780309154536</v>
      </c>
      <c r="D7965" s="10" t="s">
        <v>36547</v>
      </c>
      <c r="E7965" s="10" t="s">
        <v>36547</v>
      </c>
      <c r="F7965" s="10" t="s">
        <v>36548</v>
      </c>
      <c r="G7965" s="10" t="s">
        <v>6317</v>
      </c>
      <c r="H7965" s="11">
        <v>40461</v>
      </c>
      <c r="I7965" s="10">
        <v>2010</v>
      </c>
      <c r="J7965" s="10" t="s">
        <v>36547</v>
      </c>
      <c r="K7965" s="10">
        <v>139</v>
      </c>
      <c r="L7965" s="10" t="s">
        <v>37330</v>
      </c>
      <c r="M7965" s="10">
        <v>1</v>
      </c>
      <c r="N7965" s="10"/>
      <c r="O7965" s="10"/>
      <c r="P7965" s="10" t="s">
        <v>37331</v>
      </c>
      <c r="Q7965" s="10"/>
      <c r="R7965" s="10"/>
      <c r="S7965" s="10" t="s">
        <v>53</v>
      </c>
      <c r="T7965" s="10" t="s">
        <v>8625</v>
      </c>
    </row>
    <row r="7966" spans="1:20" ht="14.5" x14ac:dyDescent="0.35">
      <c r="A7966" s="10" t="s">
        <v>37332</v>
      </c>
      <c r="B7966" s="10" t="str">
        <f>"9780309160155"</f>
        <v>9780309160155</v>
      </c>
      <c r="C7966" s="10" t="str">
        <f>"9780309160162"</f>
        <v>9780309160162</v>
      </c>
      <c r="D7966" s="10" t="s">
        <v>36547</v>
      </c>
      <c r="E7966" s="10" t="s">
        <v>36547</v>
      </c>
      <c r="F7966" s="10" t="s">
        <v>36548</v>
      </c>
      <c r="G7966" s="10" t="s">
        <v>6317</v>
      </c>
      <c r="H7966" s="11">
        <v>40479</v>
      </c>
      <c r="I7966" s="10">
        <v>2010</v>
      </c>
      <c r="J7966" s="10" t="s">
        <v>36547</v>
      </c>
      <c r="K7966" s="10">
        <v>160</v>
      </c>
      <c r="L7966" s="10"/>
      <c r="M7966" s="10">
        <v>1</v>
      </c>
      <c r="N7966" s="10"/>
      <c r="O7966" s="10"/>
      <c r="P7966" s="10"/>
      <c r="Q7966" s="10"/>
      <c r="R7966" s="10"/>
      <c r="S7966" s="10" t="s">
        <v>53</v>
      </c>
      <c r="T7966" s="10" t="s">
        <v>37333</v>
      </c>
    </row>
    <row r="7967" spans="1:20" ht="14.5" x14ac:dyDescent="0.35">
      <c r="A7967" s="10" t="s">
        <v>37334</v>
      </c>
      <c r="B7967" s="10" t="str">
        <f>"9780309151634"</f>
        <v>9780309151634</v>
      </c>
      <c r="C7967" s="10" t="str">
        <f>"9780309151641"</f>
        <v>9780309151641</v>
      </c>
      <c r="D7967" s="10" t="s">
        <v>36547</v>
      </c>
      <c r="E7967" s="10" t="s">
        <v>36547</v>
      </c>
      <c r="F7967" s="10" t="s">
        <v>36548</v>
      </c>
      <c r="G7967" s="10" t="s">
        <v>6317</v>
      </c>
      <c r="H7967" s="11">
        <v>40510</v>
      </c>
      <c r="I7967" s="10">
        <v>2010</v>
      </c>
      <c r="J7967" s="10" t="s">
        <v>36547</v>
      </c>
      <c r="K7967" s="10">
        <v>68</v>
      </c>
      <c r="L7967" s="10" t="s">
        <v>37335</v>
      </c>
      <c r="M7967" s="10">
        <v>1</v>
      </c>
      <c r="N7967" s="10"/>
      <c r="O7967" s="10"/>
      <c r="P7967" s="10" t="s">
        <v>37336</v>
      </c>
      <c r="Q7967" s="10">
        <v>510.71</v>
      </c>
      <c r="R7967" s="10"/>
      <c r="S7967" s="10" t="s">
        <v>53</v>
      </c>
      <c r="T7967" s="10" t="s">
        <v>389</v>
      </c>
    </row>
    <row r="7968" spans="1:20" ht="14.5" x14ac:dyDescent="0.35">
      <c r="A7968" s="10" t="s">
        <v>37337</v>
      </c>
      <c r="B7968" s="10" t="str">
        <f>"9780309161763"</f>
        <v>9780309161763</v>
      </c>
      <c r="C7968" s="10" t="str">
        <f>"9780309161770"</f>
        <v>9780309161770</v>
      </c>
      <c r="D7968" s="10" t="s">
        <v>36547</v>
      </c>
      <c r="E7968" s="10" t="s">
        <v>36547</v>
      </c>
      <c r="F7968" s="10" t="s">
        <v>36548</v>
      </c>
      <c r="G7968" s="10" t="s">
        <v>6317</v>
      </c>
      <c r="H7968" s="11">
        <v>40545</v>
      </c>
      <c r="I7968" s="10">
        <v>2010</v>
      </c>
      <c r="J7968" s="10" t="s">
        <v>36547</v>
      </c>
      <c r="K7968" s="10">
        <v>156</v>
      </c>
      <c r="L7968" s="10" t="s">
        <v>37264</v>
      </c>
      <c r="M7968" s="10">
        <v>1</v>
      </c>
      <c r="N7968" s="10"/>
      <c r="O7968" s="10"/>
      <c r="P7968" s="10" t="s">
        <v>37338</v>
      </c>
      <c r="Q7968" s="10">
        <v>379.15800000000002</v>
      </c>
      <c r="R7968" s="10" t="s">
        <v>37339</v>
      </c>
      <c r="S7968" s="10" t="s">
        <v>53</v>
      </c>
      <c r="T7968" s="10" t="s">
        <v>54</v>
      </c>
    </row>
    <row r="7969" spans="1:20" ht="14.5" x14ac:dyDescent="0.35">
      <c r="A7969" s="10" t="s">
        <v>37340</v>
      </c>
      <c r="B7969" s="10" t="str">
        <f>"9780309163071"</f>
        <v>9780309163071</v>
      </c>
      <c r="C7969" s="10" t="str">
        <f>"9780309163088"</f>
        <v>9780309163088</v>
      </c>
      <c r="D7969" s="10" t="s">
        <v>36547</v>
      </c>
      <c r="E7969" s="10" t="s">
        <v>36547</v>
      </c>
      <c r="F7969" s="10" t="s">
        <v>36548</v>
      </c>
      <c r="G7969" s="10" t="s">
        <v>6317</v>
      </c>
      <c r="H7969" s="11">
        <v>40650</v>
      </c>
      <c r="I7969" s="10">
        <v>2011</v>
      </c>
      <c r="J7969" s="10" t="s">
        <v>36547</v>
      </c>
      <c r="K7969" s="10">
        <v>154</v>
      </c>
      <c r="L7969" s="10" t="s">
        <v>37341</v>
      </c>
      <c r="M7969" s="10">
        <v>1</v>
      </c>
      <c r="N7969" s="10"/>
      <c r="O7969" s="10"/>
      <c r="P7969" s="10"/>
      <c r="Q7969" s="10"/>
      <c r="R7969" s="10"/>
      <c r="S7969" s="10" t="s">
        <v>53</v>
      </c>
      <c r="T7969" s="10" t="s">
        <v>54</v>
      </c>
    </row>
    <row r="7970" spans="1:20" ht="14.5" x14ac:dyDescent="0.35">
      <c r="A7970" s="10" t="s">
        <v>37342</v>
      </c>
      <c r="B7970" s="10" t="str">
        <f>"9780309187237"</f>
        <v>9780309187237</v>
      </c>
      <c r="C7970" s="10" t="str">
        <f>"9780309187244"</f>
        <v>9780309187244</v>
      </c>
      <c r="D7970" s="10" t="s">
        <v>36547</v>
      </c>
      <c r="E7970" s="10" t="s">
        <v>36547</v>
      </c>
      <c r="F7970" s="10" t="s">
        <v>36548</v>
      </c>
      <c r="G7970" s="10" t="s">
        <v>6317</v>
      </c>
      <c r="H7970" s="11">
        <v>40682</v>
      </c>
      <c r="I7970" s="10">
        <v>2011</v>
      </c>
      <c r="J7970" s="10" t="s">
        <v>36547</v>
      </c>
      <c r="K7970" s="10">
        <v>95</v>
      </c>
      <c r="L7970" s="10" t="s">
        <v>37343</v>
      </c>
      <c r="M7970" s="10">
        <v>1</v>
      </c>
      <c r="N7970" s="10"/>
      <c r="O7970" s="10"/>
      <c r="P7970" s="10"/>
      <c r="Q7970" s="10"/>
      <c r="R7970" s="10"/>
      <c r="S7970" s="10" t="s">
        <v>53</v>
      </c>
      <c r="T7970" s="10" t="s">
        <v>54</v>
      </c>
    </row>
    <row r="7971" spans="1:20" ht="14.5" x14ac:dyDescent="0.35">
      <c r="A7971" s="10" t="s">
        <v>37344</v>
      </c>
      <c r="B7971" s="10" t="str">
        <f>"9780309212960"</f>
        <v>9780309212960</v>
      </c>
      <c r="C7971" s="10" t="str">
        <f>"9780309212977"</f>
        <v>9780309212977</v>
      </c>
      <c r="D7971" s="10" t="s">
        <v>36547</v>
      </c>
      <c r="E7971" s="10" t="s">
        <v>36547</v>
      </c>
      <c r="F7971" s="10" t="s">
        <v>36548</v>
      </c>
      <c r="G7971" s="10" t="s">
        <v>6317</v>
      </c>
      <c r="H7971" s="11">
        <v>40746</v>
      </c>
      <c r="I7971" s="10">
        <v>2011</v>
      </c>
      <c r="J7971" s="10" t="s">
        <v>36547</v>
      </c>
      <c r="K7971" s="10">
        <v>44</v>
      </c>
      <c r="L7971" s="10"/>
      <c r="M7971" s="10">
        <v>1</v>
      </c>
      <c r="N7971" s="10"/>
      <c r="O7971" s="10"/>
      <c r="P7971" s="10"/>
      <c r="Q7971" s="10"/>
      <c r="R7971" s="10"/>
      <c r="S7971" s="10" t="s">
        <v>53</v>
      </c>
      <c r="T7971" s="10" t="s">
        <v>10979</v>
      </c>
    </row>
    <row r="7972" spans="1:20" ht="14.5" x14ac:dyDescent="0.35">
      <c r="A7972" s="10" t="s">
        <v>37345</v>
      </c>
      <c r="B7972" s="10" t="str">
        <f>"9780309144360"</f>
        <v>9780309144360</v>
      </c>
      <c r="C7972" s="10" t="str">
        <f>"9780309144377"</f>
        <v>9780309144377</v>
      </c>
      <c r="D7972" s="10" t="s">
        <v>36547</v>
      </c>
      <c r="E7972" s="10" t="s">
        <v>36547</v>
      </c>
      <c r="F7972" s="10" t="s">
        <v>36548</v>
      </c>
      <c r="G7972" s="10" t="s">
        <v>6317</v>
      </c>
      <c r="H7972" s="11">
        <v>40253</v>
      </c>
      <c r="I7972" s="10">
        <v>2010</v>
      </c>
      <c r="J7972" s="10" t="s">
        <v>36547</v>
      </c>
      <c r="K7972" s="10">
        <v>394</v>
      </c>
      <c r="L7972" s="10" t="s">
        <v>37346</v>
      </c>
      <c r="M7972" s="10">
        <v>1</v>
      </c>
      <c r="N7972" s="10"/>
      <c r="O7972" s="10"/>
      <c r="P7972" s="10"/>
      <c r="Q7972" s="10" t="s">
        <v>19872</v>
      </c>
      <c r="R7972" s="10"/>
      <c r="S7972" s="10" t="s">
        <v>53</v>
      </c>
      <c r="T7972" s="10" t="s">
        <v>54</v>
      </c>
    </row>
    <row r="7973" spans="1:20" ht="14.5" x14ac:dyDescent="0.35">
      <c r="A7973" s="10" t="s">
        <v>37347</v>
      </c>
      <c r="B7973" s="10" t="str">
        <f>"9780309078436"</f>
        <v>9780309078436</v>
      </c>
      <c r="C7973" s="10" t="str">
        <f>"9780309567398"</f>
        <v>9780309567398</v>
      </c>
      <c r="D7973" s="10" t="s">
        <v>36547</v>
      </c>
      <c r="E7973" s="10" t="s">
        <v>36547</v>
      </c>
      <c r="F7973" s="10" t="s">
        <v>36548</v>
      </c>
      <c r="G7973" s="10" t="s">
        <v>6317</v>
      </c>
      <c r="H7973" s="11">
        <v>31809</v>
      </c>
      <c r="I7973" s="10">
        <v>1987</v>
      </c>
      <c r="J7973" s="10" t="s">
        <v>36547</v>
      </c>
      <c r="K7973" s="10">
        <v>240</v>
      </c>
      <c r="L7973" s="10" t="s">
        <v>37348</v>
      </c>
      <c r="M7973" s="10">
        <v>1</v>
      </c>
      <c r="N7973" s="10"/>
      <c r="O7973" s="10"/>
      <c r="P7973" s="10" t="s">
        <v>37349</v>
      </c>
      <c r="Q7973" s="10" t="s">
        <v>37070</v>
      </c>
      <c r="R7973" s="10" t="s">
        <v>37071</v>
      </c>
      <c r="S7973" s="10" t="s">
        <v>53</v>
      </c>
      <c r="T7973" s="10" t="s">
        <v>54</v>
      </c>
    </row>
    <row r="7974" spans="1:20" ht="14.5" x14ac:dyDescent="0.35">
      <c r="A7974" s="10" t="s">
        <v>37350</v>
      </c>
      <c r="B7974" s="10" t="str">
        <f>"9780309137782"</f>
        <v>9780309137782</v>
      </c>
      <c r="C7974" s="10" t="str">
        <f>"9780309137799"</f>
        <v>9780309137799</v>
      </c>
      <c r="D7974" s="10" t="s">
        <v>36547</v>
      </c>
      <c r="E7974" s="10" t="s">
        <v>36547</v>
      </c>
      <c r="F7974" s="10" t="s">
        <v>36548</v>
      </c>
      <c r="G7974" s="10" t="s">
        <v>6317</v>
      </c>
      <c r="H7974" s="11">
        <v>40094</v>
      </c>
      <c r="I7974" s="10">
        <v>2009</v>
      </c>
      <c r="J7974" s="10" t="s">
        <v>36547</v>
      </c>
      <c r="K7974" s="10">
        <v>594</v>
      </c>
      <c r="L7974" s="10" t="s">
        <v>37351</v>
      </c>
      <c r="M7974" s="10">
        <v>1</v>
      </c>
      <c r="N7974" s="10"/>
      <c r="O7974" s="10"/>
      <c r="P7974" s="10" t="s">
        <v>37352</v>
      </c>
      <c r="Q7974" s="10">
        <v>620.00710000000004</v>
      </c>
      <c r="R7974" s="10" t="s">
        <v>37353</v>
      </c>
      <c r="S7974" s="10" t="s">
        <v>53</v>
      </c>
      <c r="T7974" s="10" t="s">
        <v>37354</v>
      </c>
    </row>
    <row r="7975" spans="1:20" ht="14.5" x14ac:dyDescent="0.35">
      <c r="A7975" s="10" t="s">
        <v>37355</v>
      </c>
      <c r="B7975" s="10" t="str">
        <f>"9780309090193"</f>
        <v>9780309090193</v>
      </c>
      <c r="C7975" s="10" t="str">
        <f>"9780309667173"</f>
        <v>9780309667173</v>
      </c>
      <c r="D7975" s="10" t="s">
        <v>36547</v>
      </c>
      <c r="E7975" s="10" t="s">
        <v>36547</v>
      </c>
      <c r="F7975" s="10" t="s">
        <v>36548</v>
      </c>
      <c r="G7975" s="10" t="s">
        <v>6317</v>
      </c>
      <c r="H7975" s="11">
        <v>35638</v>
      </c>
      <c r="I7975" s="10">
        <v>1997</v>
      </c>
      <c r="J7975" s="10" t="s">
        <v>36547</v>
      </c>
      <c r="K7975" s="10">
        <v>304</v>
      </c>
      <c r="L7975" s="10" t="s">
        <v>37356</v>
      </c>
      <c r="M7975" s="10">
        <v>1</v>
      </c>
      <c r="N7975" s="10"/>
      <c r="O7975" s="10"/>
      <c r="P7975" s="10"/>
      <c r="Q7975" s="10">
        <v>371.91</v>
      </c>
      <c r="R7975" s="10"/>
      <c r="S7975" s="10" t="s">
        <v>53</v>
      </c>
      <c r="T7975" s="10" t="s">
        <v>54</v>
      </c>
    </row>
    <row r="7976" spans="1:20" ht="14.5" x14ac:dyDescent="0.35">
      <c r="A7976" s="10" t="s">
        <v>37357</v>
      </c>
      <c r="B7976" s="10" t="str">
        <f>"9780309217903"</f>
        <v>9780309217903</v>
      </c>
      <c r="C7976" s="10" t="str">
        <f>"9780309217910"</f>
        <v>9780309217910</v>
      </c>
      <c r="D7976" s="10" t="s">
        <v>36547</v>
      </c>
      <c r="E7976" s="10" t="s">
        <v>36547</v>
      </c>
      <c r="F7976" s="10" t="s">
        <v>36548</v>
      </c>
      <c r="G7976" s="10" t="s">
        <v>6317</v>
      </c>
      <c r="H7976" s="11">
        <v>40832</v>
      </c>
      <c r="I7976" s="10">
        <v>2011</v>
      </c>
      <c r="J7976" s="10" t="s">
        <v>36547</v>
      </c>
      <c r="K7976" s="10">
        <v>154</v>
      </c>
      <c r="L7976" s="10" t="s">
        <v>36596</v>
      </c>
      <c r="M7976" s="10">
        <v>1</v>
      </c>
      <c r="N7976" s="10"/>
      <c r="O7976" s="10"/>
      <c r="P7976" s="10"/>
      <c r="Q7976" s="10"/>
      <c r="R7976" s="10"/>
      <c r="S7976" s="10" t="s">
        <v>53</v>
      </c>
      <c r="T7976" s="10" t="s">
        <v>54</v>
      </c>
    </row>
    <row r="7977" spans="1:20" ht="14.5" x14ac:dyDescent="0.35">
      <c r="A7977" s="10" t="s">
        <v>37358</v>
      </c>
      <c r="B7977" s="10" t="str">
        <f>"9780309128148"</f>
        <v>9780309128148</v>
      </c>
      <c r="C7977" s="10" t="str">
        <f>"9780309128155"</f>
        <v>9780309128155</v>
      </c>
      <c r="D7977" s="10" t="s">
        <v>36547</v>
      </c>
      <c r="E7977" s="10" t="s">
        <v>36547</v>
      </c>
      <c r="F7977" s="10" t="s">
        <v>36548</v>
      </c>
      <c r="G7977" s="10" t="s">
        <v>6317</v>
      </c>
      <c r="H7977" s="11">
        <v>40865</v>
      </c>
      <c r="I7977" s="10">
        <v>2011</v>
      </c>
      <c r="J7977" s="10" t="s">
        <v>36547</v>
      </c>
      <c r="K7977" s="10">
        <v>129</v>
      </c>
      <c r="L7977" s="10" t="s">
        <v>37359</v>
      </c>
      <c r="M7977" s="10">
        <v>1</v>
      </c>
      <c r="N7977" s="10"/>
      <c r="O7977" s="10"/>
      <c r="P7977" s="10"/>
      <c r="Q7977" s="10"/>
      <c r="R7977" s="10"/>
      <c r="S7977" s="10" t="s">
        <v>53</v>
      </c>
      <c r="T7977" s="10" t="s">
        <v>54</v>
      </c>
    </row>
    <row r="7978" spans="1:20" ht="14.5" x14ac:dyDescent="0.35">
      <c r="A7978" s="10" t="s">
        <v>37360</v>
      </c>
      <c r="B7978" s="10" t="str">
        <f>"9780309219341"</f>
        <v>9780309219341</v>
      </c>
      <c r="C7978" s="10" t="str">
        <f>"9780309219358"</f>
        <v>9780309219358</v>
      </c>
      <c r="D7978" s="10" t="s">
        <v>36547</v>
      </c>
      <c r="E7978" s="10" t="s">
        <v>36547</v>
      </c>
      <c r="F7978" s="10" t="s">
        <v>36548</v>
      </c>
      <c r="G7978" s="10" t="s">
        <v>6317</v>
      </c>
      <c r="H7978" s="11">
        <v>40978</v>
      </c>
      <c r="I7978" s="10">
        <v>2012</v>
      </c>
      <c r="J7978" s="10" t="s">
        <v>36547</v>
      </c>
      <c r="K7978" s="10">
        <v>224</v>
      </c>
      <c r="L7978" s="10"/>
      <c r="M7978" s="10">
        <v>1</v>
      </c>
      <c r="N7978" s="10"/>
      <c r="O7978" s="10"/>
      <c r="P7978" s="10"/>
      <c r="Q7978" s="10"/>
      <c r="R7978" s="10"/>
      <c r="S7978" s="10" t="s">
        <v>53</v>
      </c>
      <c r="T7978" s="10" t="s">
        <v>10789</v>
      </c>
    </row>
    <row r="7979" spans="1:20" ht="14.5" x14ac:dyDescent="0.35">
      <c r="A7979" s="10" t="s">
        <v>37361</v>
      </c>
      <c r="B7979" s="10" t="str">
        <f>"9780309219594"</f>
        <v>9780309219594</v>
      </c>
      <c r="C7979" s="10" t="str">
        <f>"9780309219600"</f>
        <v>9780309219600</v>
      </c>
      <c r="D7979" s="10" t="s">
        <v>36547</v>
      </c>
      <c r="E7979" s="10" t="s">
        <v>36547</v>
      </c>
      <c r="F7979" s="10" t="s">
        <v>36548</v>
      </c>
      <c r="G7979" s="10" t="s">
        <v>6317</v>
      </c>
      <c r="H7979" s="11">
        <v>41025</v>
      </c>
      <c r="I7979" s="10">
        <v>2012</v>
      </c>
      <c r="J7979" s="10" t="s">
        <v>36547</v>
      </c>
      <c r="K7979" s="10">
        <v>504</v>
      </c>
      <c r="L7979" s="10" t="s">
        <v>37362</v>
      </c>
      <c r="M7979" s="10">
        <v>1</v>
      </c>
      <c r="N7979" s="10"/>
      <c r="O7979" s="10"/>
      <c r="P7979" s="10"/>
      <c r="Q7979" s="10" t="s">
        <v>37363</v>
      </c>
      <c r="R7979" s="10"/>
      <c r="S7979" s="10" t="s">
        <v>53</v>
      </c>
      <c r="T7979" s="10" t="s">
        <v>6363</v>
      </c>
    </row>
    <row r="7980" spans="1:20" ht="14.5" x14ac:dyDescent="0.35">
      <c r="A7980" s="10" t="s">
        <v>37364</v>
      </c>
      <c r="B7980" s="10" t="str">
        <f>"9780309217422"</f>
        <v>9780309217422</v>
      </c>
      <c r="C7980" s="10" t="str">
        <f>"9780309214421"</f>
        <v>9780309214421</v>
      </c>
      <c r="D7980" s="10" t="s">
        <v>36547</v>
      </c>
      <c r="E7980" s="10" t="s">
        <v>36547</v>
      </c>
      <c r="F7980" s="10" t="s">
        <v>36548</v>
      </c>
      <c r="G7980" s="10" t="s">
        <v>6317</v>
      </c>
      <c r="H7980" s="11">
        <v>40996</v>
      </c>
      <c r="I7980" s="10">
        <v>2012</v>
      </c>
      <c r="J7980" s="10" t="s">
        <v>36547</v>
      </c>
      <c r="K7980" s="10">
        <v>398</v>
      </c>
      <c r="L7980" s="10"/>
      <c r="M7980" s="10">
        <v>1</v>
      </c>
      <c r="N7980" s="10"/>
      <c r="O7980" s="10"/>
      <c r="P7980" s="10" t="s">
        <v>37365</v>
      </c>
      <c r="Q7980" s="10">
        <v>507.1</v>
      </c>
      <c r="R7980" s="10" t="s">
        <v>37366</v>
      </c>
      <c r="S7980" s="10" t="s">
        <v>53</v>
      </c>
      <c r="T7980" s="10" t="s">
        <v>10979</v>
      </c>
    </row>
    <row r="7981" spans="1:20" ht="14.5" x14ac:dyDescent="0.35">
      <c r="A7981" s="10" t="s">
        <v>37367</v>
      </c>
      <c r="B7981" s="10" t="str">
        <f>"9780309262231"</f>
        <v>9780309262231</v>
      </c>
      <c r="C7981" s="10" t="str">
        <f>"9780309262248"</f>
        <v>9780309262248</v>
      </c>
      <c r="D7981" s="10" t="s">
        <v>36547</v>
      </c>
      <c r="E7981" s="10" t="s">
        <v>36547</v>
      </c>
      <c r="F7981" s="10" t="s">
        <v>88</v>
      </c>
      <c r="G7981" s="10" t="s">
        <v>6317</v>
      </c>
      <c r="H7981" s="11">
        <v>41122</v>
      </c>
      <c r="I7981" s="10">
        <v>2012</v>
      </c>
      <c r="J7981" s="10" t="s">
        <v>36547</v>
      </c>
      <c r="K7981" s="10">
        <v>35</v>
      </c>
      <c r="L7981" s="10" t="s">
        <v>37368</v>
      </c>
      <c r="M7981" s="10">
        <v>1</v>
      </c>
      <c r="N7981" s="10"/>
      <c r="O7981" s="10"/>
      <c r="P7981" s="10" t="s">
        <v>37369</v>
      </c>
      <c r="Q7981" s="10"/>
      <c r="R7981" s="10" t="s">
        <v>37370</v>
      </c>
      <c r="S7981" s="10" t="s">
        <v>53</v>
      </c>
      <c r="T7981" s="10" t="s">
        <v>54</v>
      </c>
    </row>
    <row r="7982" spans="1:20" ht="14.5" x14ac:dyDescent="0.35">
      <c r="A7982" s="10" t="s">
        <v>37371</v>
      </c>
      <c r="B7982" s="10" t="str">
        <f>"9780309261210"</f>
        <v>9780309261210</v>
      </c>
      <c r="C7982" s="10" t="str">
        <f>"9780309261227"</f>
        <v>9780309261227</v>
      </c>
      <c r="D7982" s="10" t="s">
        <v>36547</v>
      </c>
      <c r="E7982" s="10" t="s">
        <v>36547</v>
      </c>
      <c r="F7982" s="10" t="s">
        <v>36548</v>
      </c>
      <c r="G7982" s="10" t="s">
        <v>6317</v>
      </c>
      <c r="H7982" s="11">
        <v>41162</v>
      </c>
      <c r="I7982" s="10">
        <v>2012</v>
      </c>
      <c r="J7982" s="10" t="s">
        <v>36547</v>
      </c>
      <c r="K7982" s="10">
        <v>105</v>
      </c>
      <c r="L7982" s="10" t="s">
        <v>37372</v>
      </c>
      <c r="M7982" s="10">
        <v>1</v>
      </c>
      <c r="N7982" s="10"/>
      <c r="O7982" s="10"/>
      <c r="P7982" s="10" t="s">
        <v>37373</v>
      </c>
      <c r="Q7982" s="10"/>
      <c r="R7982" s="10"/>
      <c r="S7982" s="10" t="s">
        <v>53</v>
      </c>
      <c r="T7982" s="10" t="s">
        <v>54</v>
      </c>
    </row>
    <row r="7983" spans="1:20" ht="14.5" x14ac:dyDescent="0.35">
      <c r="A7983" s="10" t="s">
        <v>37374</v>
      </c>
      <c r="B7983" s="10" t="str">
        <f>"9780309262187"</f>
        <v>9780309262187</v>
      </c>
      <c r="C7983" s="10" t="str">
        <f>"9780309262194"</f>
        <v>9780309262194</v>
      </c>
      <c r="D7983" s="10" t="s">
        <v>36547</v>
      </c>
      <c r="E7983" s="10" t="s">
        <v>36547</v>
      </c>
      <c r="F7983" s="10" t="s">
        <v>88</v>
      </c>
      <c r="G7983" s="10" t="s">
        <v>6317</v>
      </c>
      <c r="H7983" s="11">
        <v>41122</v>
      </c>
      <c r="I7983" s="10">
        <v>2012</v>
      </c>
      <c r="J7983" s="10" t="s">
        <v>36547</v>
      </c>
      <c r="K7983" s="10">
        <v>28</v>
      </c>
      <c r="L7983" s="10" t="s">
        <v>37375</v>
      </c>
      <c r="M7983" s="10">
        <v>1</v>
      </c>
      <c r="N7983" s="10"/>
      <c r="O7983" s="10"/>
      <c r="P7983" s="10" t="s">
        <v>37376</v>
      </c>
      <c r="Q7983" s="10"/>
      <c r="R7983" s="10" t="s">
        <v>37370</v>
      </c>
      <c r="S7983" s="10" t="s">
        <v>53</v>
      </c>
      <c r="T7983" s="10" t="s">
        <v>54</v>
      </c>
    </row>
    <row r="7984" spans="1:20" ht="14.5" x14ac:dyDescent="0.35">
      <c r="A7984" s="10" t="s">
        <v>37377</v>
      </c>
      <c r="B7984" s="10" t="str">
        <f>"9780309254113"</f>
        <v>9780309254113</v>
      </c>
      <c r="C7984" s="10" t="str">
        <f>"9780309254120"</f>
        <v>9780309254120</v>
      </c>
      <c r="D7984" s="10" t="s">
        <v>36547</v>
      </c>
      <c r="E7984" s="10" t="s">
        <v>36547</v>
      </c>
      <c r="F7984" s="10" t="s">
        <v>36548</v>
      </c>
      <c r="G7984" s="10" t="s">
        <v>6317</v>
      </c>
      <c r="H7984" s="11">
        <v>41179</v>
      </c>
      <c r="I7984" s="10">
        <v>2012</v>
      </c>
      <c r="J7984" s="10" t="s">
        <v>36547</v>
      </c>
      <c r="K7984" s="10">
        <v>281</v>
      </c>
      <c r="L7984" s="10" t="s">
        <v>37378</v>
      </c>
      <c r="M7984" s="10">
        <v>1</v>
      </c>
      <c r="N7984" s="10"/>
      <c r="O7984" s="10"/>
      <c r="P7984" s="10"/>
      <c r="Q7984" s="10"/>
      <c r="R7984" s="10"/>
      <c r="S7984" s="10" t="s">
        <v>53</v>
      </c>
      <c r="T7984" s="10" t="s">
        <v>54</v>
      </c>
    </row>
    <row r="7985" spans="1:20" ht="14.5" x14ac:dyDescent="0.35">
      <c r="A7985" s="10" t="s">
        <v>37379</v>
      </c>
      <c r="B7985" s="10" t="str">
        <f>"9780309272278"</f>
        <v>9780309272278</v>
      </c>
      <c r="C7985" s="10" t="str">
        <f>"9780309272285"</f>
        <v>9780309272285</v>
      </c>
      <c r="D7985" s="10" t="s">
        <v>36547</v>
      </c>
      <c r="E7985" s="10" t="s">
        <v>36547</v>
      </c>
      <c r="F7985" s="10" t="s">
        <v>36548</v>
      </c>
      <c r="G7985" s="10" t="s">
        <v>6317</v>
      </c>
      <c r="H7985" s="11">
        <v>41532</v>
      </c>
      <c r="I7985" s="10">
        <v>2013</v>
      </c>
      <c r="J7985" s="10" t="s">
        <v>36547</v>
      </c>
      <c r="K7985" s="10">
        <v>533</v>
      </c>
      <c r="L7985" s="10"/>
      <c r="M7985" s="10">
        <v>1</v>
      </c>
      <c r="N7985" s="10"/>
      <c r="O7985" s="10"/>
      <c r="P7985" s="10" t="s">
        <v>37380</v>
      </c>
      <c r="Q7985" s="10"/>
      <c r="R7985" s="10"/>
      <c r="S7985" s="10" t="s">
        <v>53</v>
      </c>
      <c r="T7985" s="10" t="s">
        <v>54</v>
      </c>
    </row>
    <row r="7986" spans="1:20" ht="14.5" x14ac:dyDescent="0.35">
      <c r="A7986" s="10" t="s">
        <v>37381</v>
      </c>
      <c r="B7986" s="10" t="str">
        <f>"9780309256490"</f>
        <v>9780309256490</v>
      </c>
      <c r="C7986" s="10" t="str">
        <f>"9780309256506"</f>
        <v>9780309256506</v>
      </c>
      <c r="D7986" s="10" t="s">
        <v>36547</v>
      </c>
      <c r="E7986" s="10" t="s">
        <v>36547</v>
      </c>
      <c r="F7986" s="10" t="s">
        <v>36548</v>
      </c>
      <c r="G7986" s="10" t="s">
        <v>6317</v>
      </c>
      <c r="H7986" s="11">
        <v>41292</v>
      </c>
      <c r="I7986" s="10">
        <v>2012</v>
      </c>
      <c r="J7986" s="10" t="s">
        <v>36547</v>
      </c>
      <c r="K7986" s="10">
        <v>257</v>
      </c>
      <c r="L7986" s="10" t="s">
        <v>37382</v>
      </c>
      <c r="M7986" s="10">
        <v>1</v>
      </c>
      <c r="N7986" s="10"/>
      <c r="O7986" s="10"/>
      <c r="P7986" s="10" t="s">
        <v>37383</v>
      </c>
      <c r="Q7986" s="10"/>
      <c r="R7986" s="10" t="s">
        <v>37384</v>
      </c>
      <c r="S7986" s="10" t="s">
        <v>53</v>
      </c>
      <c r="T7986" s="10" t="s">
        <v>54</v>
      </c>
    </row>
    <row r="7987" spans="1:20" ht="14.5" x14ac:dyDescent="0.35">
      <c r="A7987" s="10" t="s">
        <v>37385</v>
      </c>
      <c r="B7987" s="10" t="str">
        <f>"9780309264815"</f>
        <v>9780309264815</v>
      </c>
      <c r="C7987" s="10" t="str">
        <f>"9780309264822"</f>
        <v>9780309264822</v>
      </c>
      <c r="D7987" s="10" t="s">
        <v>36547</v>
      </c>
      <c r="E7987" s="10" t="s">
        <v>36547</v>
      </c>
      <c r="F7987" s="10" t="s">
        <v>36548</v>
      </c>
      <c r="G7987" s="10" t="s">
        <v>6317</v>
      </c>
      <c r="H7987" s="11">
        <v>41389</v>
      </c>
      <c r="I7987" s="10">
        <v>2013</v>
      </c>
      <c r="J7987" s="10" t="s">
        <v>36547</v>
      </c>
      <c r="K7987" s="10">
        <v>65</v>
      </c>
      <c r="L7987" s="10"/>
      <c r="M7987" s="10">
        <v>1</v>
      </c>
      <c r="N7987" s="10"/>
      <c r="O7987" s="10"/>
      <c r="P7987" s="10" t="s">
        <v>37386</v>
      </c>
      <c r="Q7987" s="10"/>
      <c r="R7987" s="10"/>
      <c r="S7987" s="10" t="s">
        <v>53</v>
      </c>
      <c r="T7987" s="10" t="s">
        <v>54</v>
      </c>
    </row>
    <row r="7988" spans="1:20" ht="14.5" x14ac:dyDescent="0.35">
      <c r="A7988" s="10" t="s">
        <v>37387</v>
      </c>
      <c r="B7988" s="10" t="str">
        <f>"9780309257749"</f>
        <v>9780309257749</v>
      </c>
      <c r="C7988" s="10" t="str">
        <f>"9780309257756"</f>
        <v>9780309257756</v>
      </c>
      <c r="D7988" s="10" t="s">
        <v>36547</v>
      </c>
      <c r="E7988" s="10" t="s">
        <v>36547</v>
      </c>
      <c r="F7988" s="10" t="s">
        <v>36548</v>
      </c>
      <c r="G7988" s="10" t="s">
        <v>6317</v>
      </c>
      <c r="H7988" s="11">
        <v>41292</v>
      </c>
      <c r="I7988" s="10">
        <v>2012</v>
      </c>
      <c r="J7988" s="10" t="s">
        <v>36547</v>
      </c>
      <c r="K7988" s="10">
        <v>231</v>
      </c>
      <c r="L7988" s="10" t="s">
        <v>37388</v>
      </c>
      <c r="M7988" s="10">
        <v>1</v>
      </c>
      <c r="N7988" s="10"/>
      <c r="O7988" s="10"/>
      <c r="P7988" s="10" t="s">
        <v>37389</v>
      </c>
      <c r="Q7988" s="10"/>
      <c r="R7988" s="10"/>
      <c r="S7988" s="10" t="s">
        <v>53</v>
      </c>
      <c r="T7988" s="10" t="s">
        <v>54</v>
      </c>
    </row>
    <row r="7989" spans="1:20" ht="14.5" x14ac:dyDescent="0.35">
      <c r="A7989" s="10" t="s">
        <v>37390</v>
      </c>
      <c r="B7989" s="10" t="str">
        <f>"9780309264389"</f>
        <v>9780309264389</v>
      </c>
      <c r="C7989" s="10" t="str">
        <f>"9780309264396"</f>
        <v>9780309264396</v>
      </c>
      <c r="D7989" s="10" t="s">
        <v>36547</v>
      </c>
      <c r="E7989" s="10" t="s">
        <v>36547</v>
      </c>
      <c r="F7989" s="10" t="s">
        <v>36548</v>
      </c>
      <c r="G7989" s="10" t="s">
        <v>6317</v>
      </c>
      <c r="H7989" s="11">
        <v>41305</v>
      </c>
      <c r="I7989" s="10">
        <v>2012</v>
      </c>
      <c r="J7989" s="10" t="s">
        <v>36547</v>
      </c>
      <c r="K7989" s="10">
        <v>41</v>
      </c>
      <c r="L7989" s="10" t="s">
        <v>37391</v>
      </c>
      <c r="M7989" s="10">
        <v>1</v>
      </c>
      <c r="N7989" s="10"/>
      <c r="O7989" s="10"/>
      <c r="P7989" s="10" t="s">
        <v>37392</v>
      </c>
      <c r="Q7989" s="10" t="s">
        <v>36567</v>
      </c>
      <c r="R7989" s="10"/>
      <c r="S7989" s="10" t="s">
        <v>53</v>
      </c>
      <c r="T7989" s="10" t="s">
        <v>9608</v>
      </c>
    </row>
    <row r="7990" spans="1:20" ht="14.5" x14ac:dyDescent="0.35">
      <c r="A7990" s="10" t="s">
        <v>37393</v>
      </c>
      <c r="B7990" s="10" t="str">
        <f>"9780309257206"</f>
        <v>9780309257206</v>
      </c>
      <c r="C7990" s="10" t="str">
        <f>"9780309257213"</f>
        <v>9780309257213</v>
      </c>
      <c r="D7990" s="10" t="s">
        <v>36547</v>
      </c>
      <c r="E7990" s="10" t="s">
        <v>36547</v>
      </c>
      <c r="F7990" s="10" t="s">
        <v>36548</v>
      </c>
      <c r="G7990" s="10" t="s">
        <v>6317</v>
      </c>
      <c r="H7990" s="11">
        <v>41231</v>
      </c>
      <c r="I7990" s="10">
        <v>2012</v>
      </c>
      <c r="J7990" s="10" t="s">
        <v>36547</v>
      </c>
      <c r="K7990" s="10">
        <v>384</v>
      </c>
      <c r="L7990" s="10" t="s">
        <v>37330</v>
      </c>
      <c r="M7990" s="10">
        <v>1</v>
      </c>
      <c r="N7990" s="10"/>
      <c r="O7990" s="10"/>
      <c r="P7990" s="10" t="s">
        <v>37394</v>
      </c>
      <c r="Q7990" s="10"/>
      <c r="R7990" s="10"/>
      <c r="S7990" s="10" t="s">
        <v>53</v>
      </c>
      <c r="T7990" s="10" t="s">
        <v>54</v>
      </c>
    </row>
    <row r="7991" spans="1:20" ht="14.5" x14ac:dyDescent="0.35">
      <c r="A7991" s="10" t="s">
        <v>37395</v>
      </c>
      <c r="B7991" s="10" t="str">
        <f>"9780309305228"</f>
        <v>9780309305228</v>
      </c>
      <c r="C7991" s="10" t="str">
        <f>"9780309305235"</f>
        <v>9780309305235</v>
      </c>
      <c r="D7991" s="10" t="s">
        <v>36547</v>
      </c>
      <c r="E7991" s="10" t="s">
        <v>36547</v>
      </c>
      <c r="F7991" s="10" t="s">
        <v>36548</v>
      </c>
      <c r="G7991" s="10" t="s">
        <v>6317</v>
      </c>
      <c r="H7991" s="11">
        <v>41971</v>
      </c>
      <c r="I7991" s="10">
        <v>2014</v>
      </c>
      <c r="J7991" s="10" t="s">
        <v>36547</v>
      </c>
      <c r="K7991" s="10">
        <v>217</v>
      </c>
      <c r="L7991" s="10" t="s">
        <v>37396</v>
      </c>
      <c r="M7991" s="10">
        <v>1</v>
      </c>
      <c r="N7991" s="10"/>
      <c r="O7991" s="10"/>
      <c r="P7991" s="10" t="s">
        <v>37397</v>
      </c>
      <c r="Q7991" s="10">
        <v>507</v>
      </c>
      <c r="R7991" s="10" t="s">
        <v>37398</v>
      </c>
      <c r="S7991" s="10" t="s">
        <v>53</v>
      </c>
      <c r="T7991" s="10" t="s">
        <v>10979</v>
      </c>
    </row>
    <row r="7992" spans="1:20" ht="14.5" x14ac:dyDescent="0.35">
      <c r="A7992" s="10" t="s">
        <v>37399</v>
      </c>
      <c r="B7992" s="10" t="str">
        <f>"9780309314466"</f>
        <v>9780309314466</v>
      </c>
      <c r="C7992" s="10" t="str">
        <f>"9780309314473"</f>
        <v>9780309314473</v>
      </c>
      <c r="D7992" s="10" t="s">
        <v>36547</v>
      </c>
      <c r="E7992" s="10" t="s">
        <v>36547</v>
      </c>
      <c r="F7992" s="10" t="s">
        <v>36548</v>
      </c>
      <c r="G7992" s="10" t="s">
        <v>6317</v>
      </c>
      <c r="H7992" s="11">
        <v>42013</v>
      </c>
      <c r="I7992" s="10">
        <v>2014</v>
      </c>
      <c r="J7992" s="10" t="s">
        <v>36547</v>
      </c>
      <c r="K7992" s="10">
        <v>123</v>
      </c>
      <c r="L7992" s="10"/>
      <c r="M7992" s="10">
        <v>1</v>
      </c>
      <c r="N7992" s="10"/>
      <c r="O7992" s="10"/>
      <c r="P7992" s="10" t="s">
        <v>37400</v>
      </c>
      <c r="Q7992" s="10">
        <v>378.15499999999997</v>
      </c>
      <c r="R7992" s="10" t="s">
        <v>37401</v>
      </c>
      <c r="S7992" s="10" t="s">
        <v>53</v>
      </c>
      <c r="T7992" s="10" t="s">
        <v>54</v>
      </c>
    </row>
    <row r="7993" spans="1:20" ht="14.5" x14ac:dyDescent="0.35">
      <c r="A7993" s="10" t="s">
        <v>37402</v>
      </c>
      <c r="B7993" s="10" t="str">
        <f>"9789289318457"</f>
        <v>9789289318457</v>
      </c>
      <c r="C7993" s="10" t="str">
        <f>"9789289318457"</f>
        <v>9789289318457</v>
      </c>
      <c r="D7993" s="10" t="s">
        <v>37403</v>
      </c>
      <c r="E7993" s="10" t="s">
        <v>37403</v>
      </c>
      <c r="F7993" s="10" t="s">
        <v>37404</v>
      </c>
      <c r="G7993" s="10" t="s">
        <v>37405</v>
      </c>
      <c r="H7993" s="11">
        <v>39904</v>
      </c>
      <c r="I7993" s="10">
        <v>2009</v>
      </c>
      <c r="J7993" s="10" t="s">
        <v>37406</v>
      </c>
      <c r="K7993" s="10">
        <v>110</v>
      </c>
      <c r="L7993" s="10" t="s">
        <v>37407</v>
      </c>
      <c r="M7993" s="10">
        <v>1</v>
      </c>
      <c r="N7993" s="10"/>
      <c r="O7993" s="10"/>
      <c r="P7993" s="10" t="s">
        <v>37408</v>
      </c>
      <c r="Q7993" s="10"/>
      <c r="R7993" s="10" t="s">
        <v>37409</v>
      </c>
      <c r="S7993" s="10" t="s">
        <v>53</v>
      </c>
      <c r="T7993" s="10" t="s">
        <v>54</v>
      </c>
    </row>
    <row r="7994" spans="1:20" ht="14.5" x14ac:dyDescent="0.35">
      <c r="A7994" s="10" t="s">
        <v>37410</v>
      </c>
      <c r="B7994" s="10" t="str">
        <f>"9780780812598"</f>
        <v>9780780812598</v>
      </c>
      <c r="C7994" s="10" t="str">
        <f>"9780780812604"</f>
        <v>9780780812604</v>
      </c>
      <c r="D7994" s="10" t="s">
        <v>37411</v>
      </c>
      <c r="E7994" s="10" t="s">
        <v>37412</v>
      </c>
      <c r="F7994" s="10" t="s">
        <v>1564</v>
      </c>
      <c r="G7994" s="10" t="s">
        <v>6317</v>
      </c>
      <c r="H7994" s="11">
        <v>41086</v>
      </c>
      <c r="I7994" s="10">
        <v>2012</v>
      </c>
      <c r="J7994" s="10" t="s">
        <v>37413</v>
      </c>
      <c r="K7994" s="10">
        <v>629</v>
      </c>
      <c r="L7994" s="10" t="s">
        <v>37414</v>
      </c>
      <c r="M7994" s="10">
        <v>4</v>
      </c>
      <c r="N7994" s="10" t="s">
        <v>37415</v>
      </c>
      <c r="O7994" s="10"/>
      <c r="P7994" s="10" t="s">
        <v>37416</v>
      </c>
      <c r="Q7994" s="10">
        <v>371.9</v>
      </c>
      <c r="R7994" s="10" t="s">
        <v>37417</v>
      </c>
      <c r="S7994" s="10" t="s">
        <v>53</v>
      </c>
      <c r="T7994" s="10" t="s">
        <v>54</v>
      </c>
    </row>
    <row r="7995" spans="1:20" ht="14.5" x14ac:dyDescent="0.35">
      <c r="A7995" s="10" t="s">
        <v>37418</v>
      </c>
      <c r="B7995" s="10" t="str">
        <f>"9781909254268"</f>
        <v>9781909254268</v>
      </c>
      <c r="C7995" s="10" t="str">
        <f>"9781909254275"</f>
        <v>9781909254275</v>
      </c>
      <c r="D7995" s="10" t="s">
        <v>37419</v>
      </c>
      <c r="E7995" s="10" t="s">
        <v>37419</v>
      </c>
      <c r="F7995" s="10" t="s">
        <v>37420</v>
      </c>
      <c r="G7995" s="10" t="s">
        <v>6352</v>
      </c>
      <c r="H7995" s="11">
        <v>41091</v>
      </c>
      <c r="I7995" s="10">
        <v>2012</v>
      </c>
      <c r="J7995" s="10" t="s">
        <v>37419</v>
      </c>
      <c r="K7995" s="10">
        <v>450</v>
      </c>
      <c r="L7995" s="10" t="s">
        <v>37421</v>
      </c>
      <c r="M7995" s="10">
        <v>1</v>
      </c>
      <c r="N7995" s="10" t="s">
        <v>37422</v>
      </c>
      <c r="O7995" s="10">
        <v>3</v>
      </c>
      <c r="P7995" s="10"/>
      <c r="Q7995" s="10">
        <v>1.3028500000000001</v>
      </c>
      <c r="R7995" s="10"/>
      <c r="S7995" s="10" t="s">
        <v>53</v>
      </c>
      <c r="T7995" s="10" t="s">
        <v>6601</v>
      </c>
    </row>
    <row r="7996" spans="1:20" ht="14.5" x14ac:dyDescent="0.35">
      <c r="A7996" s="10" t="s">
        <v>37423</v>
      </c>
      <c r="B7996" s="10" t="str">
        <f>"9789627707509"</f>
        <v>9789627707509</v>
      </c>
      <c r="C7996" s="10" t="str">
        <f>"9789627707776"</f>
        <v>9789627707776</v>
      </c>
      <c r="D7996" s="10" t="s">
        <v>37424</v>
      </c>
      <c r="E7996" s="10" t="s">
        <v>37424</v>
      </c>
      <c r="F7996" s="10" t="s">
        <v>535</v>
      </c>
      <c r="G7996" s="10" t="s">
        <v>37425</v>
      </c>
      <c r="H7996" s="11">
        <v>38961</v>
      </c>
      <c r="I7996" s="10">
        <v>2006</v>
      </c>
      <c r="J7996" s="10" t="s">
        <v>37424</v>
      </c>
      <c r="K7996" s="10">
        <v>85</v>
      </c>
      <c r="L7996" s="10" t="s">
        <v>37426</v>
      </c>
      <c r="M7996" s="10"/>
      <c r="N7996" s="10"/>
      <c r="O7996" s="10"/>
      <c r="P7996" s="10" t="s">
        <v>37427</v>
      </c>
      <c r="Q7996" s="10"/>
      <c r="R7996" s="10" t="s">
        <v>37428</v>
      </c>
      <c r="S7996" s="10" t="s">
        <v>53</v>
      </c>
      <c r="T7996" s="10" t="s">
        <v>54</v>
      </c>
    </row>
    <row r="7997" spans="1:20" ht="14.5" x14ac:dyDescent="0.35">
      <c r="A7997" s="10" t="s">
        <v>37429</v>
      </c>
      <c r="B7997" s="10" t="str">
        <f>"9781594519253"</f>
        <v>9781594519253</v>
      </c>
      <c r="C7997" s="10" t="str">
        <f>"9781612054049"</f>
        <v>9781612054049</v>
      </c>
      <c r="D7997" s="10" t="s">
        <v>6350</v>
      </c>
      <c r="E7997" s="10" t="s">
        <v>6351</v>
      </c>
      <c r="F7997" s="10" t="s">
        <v>1614</v>
      </c>
      <c r="G7997" s="10" t="s">
        <v>6317</v>
      </c>
      <c r="H7997" s="11">
        <v>40360</v>
      </c>
      <c r="I7997" s="10">
        <v>2011</v>
      </c>
      <c r="J7997" s="10" t="s">
        <v>6353</v>
      </c>
      <c r="K7997" s="10">
        <v>215</v>
      </c>
      <c r="L7997" s="10" t="s">
        <v>37430</v>
      </c>
      <c r="M7997" s="10">
        <v>1</v>
      </c>
      <c r="N7997" s="10"/>
      <c r="O7997" s="10"/>
      <c r="P7997" s="10" t="s">
        <v>37431</v>
      </c>
      <c r="Q7997" s="10">
        <v>371.10199999999998</v>
      </c>
      <c r="R7997" s="10" t="s">
        <v>37432</v>
      </c>
      <c r="S7997" s="10" t="s">
        <v>53</v>
      </c>
      <c r="T7997" s="10" t="s">
        <v>54</v>
      </c>
    </row>
    <row r="7998" spans="1:20" ht="14.5" x14ac:dyDescent="0.35">
      <c r="A7998" s="10" t="s">
        <v>37433</v>
      </c>
      <c r="B7998" s="10" t="str">
        <f>"9781594510502"</f>
        <v>9781594510502</v>
      </c>
      <c r="C7998" s="10" t="str">
        <f>"9781612053509"</f>
        <v>9781612053509</v>
      </c>
      <c r="D7998" s="10" t="s">
        <v>6350</v>
      </c>
      <c r="E7998" s="10" t="s">
        <v>6351</v>
      </c>
      <c r="F7998" s="10" t="s">
        <v>1614</v>
      </c>
      <c r="G7998" s="10" t="s">
        <v>6317</v>
      </c>
      <c r="H7998" s="11">
        <v>38380</v>
      </c>
      <c r="I7998" s="10">
        <v>2005</v>
      </c>
      <c r="J7998" s="10" t="s">
        <v>6353</v>
      </c>
      <c r="K7998" s="10">
        <v>176</v>
      </c>
      <c r="L7998" s="10" t="s">
        <v>8453</v>
      </c>
      <c r="M7998" s="10">
        <v>1</v>
      </c>
      <c r="N7998" s="10" t="s">
        <v>37434</v>
      </c>
      <c r="O7998" s="10"/>
      <c r="P7998" s="10" t="s">
        <v>37435</v>
      </c>
      <c r="Q7998" s="10" t="s">
        <v>7335</v>
      </c>
      <c r="R7998" s="10" t="s">
        <v>37436</v>
      </c>
      <c r="S7998" s="10" t="s">
        <v>53</v>
      </c>
      <c r="T7998" s="10" t="s">
        <v>54</v>
      </c>
    </row>
    <row r="7999" spans="1:20" ht="14.5" x14ac:dyDescent="0.35">
      <c r="A7999" s="10" t="s">
        <v>37437</v>
      </c>
      <c r="B7999" s="10" t="str">
        <f>"9781612050492"</f>
        <v>9781612050492</v>
      </c>
      <c r="C7999" s="10" t="str">
        <f>"9781612055749"</f>
        <v>9781612055749</v>
      </c>
      <c r="D7999" s="10" t="s">
        <v>6350</v>
      </c>
      <c r="E7999" s="10" t="s">
        <v>6351</v>
      </c>
      <c r="F7999" s="10" t="s">
        <v>1614</v>
      </c>
      <c r="G7999" s="10" t="s">
        <v>6317</v>
      </c>
      <c r="H7999" s="11">
        <v>41516</v>
      </c>
      <c r="I7999" s="10">
        <v>2013</v>
      </c>
      <c r="J7999" s="10" t="s">
        <v>6353</v>
      </c>
      <c r="K7999" s="10">
        <v>147</v>
      </c>
      <c r="L7999" s="10" t="s">
        <v>37438</v>
      </c>
      <c r="M7999" s="10">
        <v>1</v>
      </c>
      <c r="N7999" s="10"/>
      <c r="O7999" s="10"/>
      <c r="P7999" s="10" t="s">
        <v>37439</v>
      </c>
      <c r="Q7999" s="10">
        <v>305.48896072999997</v>
      </c>
      <c r="R7999" s="10" t="s">
        <v>37440</v>
      </c>
      <c r="S7999" s="10" t="s">
        <v>53</v>
      </c>
      <c r="T7999" s="10" t="s">
        <v>13244</v>
      </c>
    </row>
    <row r="8000" spans="1:20" ht="14.5" x14ac:dyDescent="0.35">
      <c r="A8000" s="10" t="s">
        <v>37441</v>
      </c>
      <c r="B8000" s="10" t="str">
        <f>"9781932111453"</f>
        <v>9781932111453</v>
      </c>
      <c r="C8000" s="10" t="str">
        <f>""</f>
        <v/>
      </c>
      <c r="D8000" s="10" t="s">
        <v>37442</v>
      </c>
      <c r="E8000" s="10" t="s">
        <v>37442</v>
      </c>
      <c r="F8000" s="10" t="s">
        <v>2564</v>
      </c>
      <c r="G8000" s="10" t="s">
        <v>6317</v>
      </c>
      <c r="H8000" s="11">
        <v>37073</v>
      </c>
      <c r="I8000" s="10">
        <v>2001</v>
      </c>
      <c r="J8000" s="10" t="s">
        <v>37442</v>
      </c>
      <c r="K8000" s="10">
        <v>408</v>
      </c>
      <c r="L8000" s="10" t="s">
        <v>37443</v>
      </c>
      <c r="M8000" s="10"/>
      <c r="N8000" s="10"/>
      <c r="O8000" s="10"/>
      <c r="P8000" s="10" t="s">
        <v>37444</v>
      </c>
      <c r="Q8000" s="10" t="s">
        <v>11314</v>
      </c>
      <c r="R8000" s="10" t="s">
        <v>37445</v>
      </c>
      <c r="S8000" s="10" t="s">
        <v>53</v>
      </c>
      <c r="T8000" s="10" t="s">
        <v>54</v>
      </c>
    </row>
    <row r="8001" spans="1:20" ht="14.5" x14ac:dyDescent="0.35">
      <c r="A8001" s="10" t="s">
        <v>37446</v>
      </c>
      <c r="B8001" s="10" t="str">
        <f>"9781909810938"</f>
        <v>9781909810938</v>
      </c>
      <c r="C8001" s="10" t="str">
        <f>"9781909810952"</f>
        <v>9781909810952</v>
      </c>
      <c r="D8001" s="10" t="s">
        <v>37447</v>
      </c>
      <c r="E8001" s="10" t="s">
        <v>37448</v>
      </c>
      <c r="F8001" s="10" t="s">
        <v>211</v>
      </c>
      <c r="G8001" s="10" t="s">
        <v>6352</v>
      </c>
      <c r="H8001" s="11">
        <v>41365</v>
      </c>
      <c r="I8001" s="10">
        <v>2014</v>
      </c>
      <c r="J8001" s="10" t="s">
        <v>37448</v>
      </c>
      <c r="K8001" s="10">
        <v>91</v>
      </c>
      <c r="L8001" s="10" t="s">
        <v>37449</v>
      </c>
      <c r="M8001" s="10">
        <v>1</v>
      </c>
      <c r="N8001" s="10"/>
      <c r="O8001" s="10"/>
      <c r="P8001" s="10" t="s">
        <v>37450</v>
      </c>
      <c r="Q8001" s="10">
        <v>371.90474999999998</v>
      </c>
      <c r="R8001" s="10" t="s">
        <v>37451</v>
      </c>
      <c r="S8001" s="10" t="s">
        <v>53</v>
      </c>
      <c r="T8001" s="10" t="s">
        <v>54</v>
      </c>
    </row>
    <row r="8002" spans="1:20" ht="14.5" x14ac:dyDescent="0.35">
      <c r="A8002" s="10" t="s">
        <v>37452</v>
      </c>
      <c r="B8002" s="10" t="str">
        <f>"9780887510854"</f>
        <v>9780887510854</v>
      </c>
      <c r="C8002" s="10" t="str">
        <f>"9780887510854"</f>
        <v>9780887510854</v>
      </c>
      <c r="D8002" s="10" t="s">
        <v>37453</v>
      </c>
      <c r="E8002" s="10" t="s">
        <v>37454</v>
      </c>
      <c r="F8002" s="10" t="s">
        <v>37455</v>
      </c>
      <c r="G8002" s="10" t="s">
        <v>9536</v>
      </c>
      <c r="H8002" s="11">
        <v>36861</v>
      </c>
      <c r="I8002" s="10">
        <v>2000</v>
      </c>
      <c r="J8002" s="10" t="s">
        <v>37454</v>
      </c>
      <c r="K8002" s="10">
        <v>260</v>
      </c>
      <c r="L8002" s="10" t="s">
        <v>37456</v>
      </c>
      <c r="M8002" s="10">
        <v>1</v>
      </c>
      <c r="N8002" s="10"/>
      <c r="O8002" s="10"/>
      <c r="P8002" s="10" t="s">
        <v>37457</v>
      </c>
      <c r="Q8002" s="10">
        <v>371.3</v>
      </c>
      <c r="R8002" s="10" t="s">
        <v>37458</v>
      </c>
      <c r="S8002" s="10" t="s">
        <v>53</v>
      </c>
      <c r="T8002" s="10" t="s">
        <v>54</v>
      </c>
    </row>
    <row r="8003" spans="1:20" ht="14.5" x14ac:dyDescent="0.35">
      <c r="A8003" s="10" t="s">
        <v>37459</v>
      </c>
      <c r="B8003" s="10" t="str">
        <f>"9780887511004"</f>
        <v>9780887511004</v>
      </c>
      <c r="C8003" s="10" t="str">
        <f>"9780887511004"</f>
        <v>9780887511004</v>
      </c>
      <c r="D8003" s="10" t="s">
        <v>37453</v>
      </c>
      <c r="E8003" s="10" t="s">
        <v>37454</v>
      </c>
      <c r="F8003" s="10" t="s">
        <v>37455</v>
      </c>
      <c r="G8003" s="10" t="s">
        <v>9536</v>
      </c>
      <c r="H8003" s="11">
        <v>36861</v>
      </c>
      <c r="I8003" s="10">
        <v>2001</v>
      </c>
      <c r="J8003" s="10" t="s">
        <v>37454</v>
      </c>
      <c r="K8003" s="10">
        <v>128</v>
      </c>
      <c r="L8003" s="10" t="s">
        <v>37460</v>
      </c>
      <c r="M8003" s="10">
        <v>1</v>
      </c>
      <c r="N8003" s="10"/>
      <c r="O8003" s="10"/>
      <c r="P8003" s="10" t="s">
        <v>37461</v>
      </c>
      <c r="Q8003" s="10" t="s">
        <v>23524</v>
      </c>
      <c r="R8003" s="10" t="s">
        <v>37462</v>
      </c>
      <c r="S8003" s="10" t="s">
        <v>53</v>
      </c>
      <c r="T8003" s="10" t="s">
        <v>6634</v>
      </c>
    </row>
    <row r="8004" spans="1:20" ht="14.5" x14ac:dyDescent="0.35">
      <c r="A8004" s="10" t="s">
        <v>37463</v>
      </c>
      <c r="B8004" s="10" t="str">
        <f>"9780887510946"</f>
        <v>9780887510946</v>
      </c>
      <c r="C8004" s="10" t="str">
        <f>"9780887510946"</f>
        <v>9780887510946</v>
      </c>
      <c r="D8004" s="10" t="s">
        <v>37453</v>
      </c>
      <c r="E8004" s="10" t="s">
        <v>37454</v>
      </c>
      <c r="F8004" s="10" t="s">
        <v>37455</v>
      </c>
      <c r="G8004" s="10" t="s">
        <v>9536</v>
      </c>
      <c r="H8004" s="11">
        <v>37226</v>
      </c>
      <c r="I8004" s="10">
        <v>2002</v>
      </c>
      <c r="J8004" s="10" t="s">
        <v>37454</v>
      </c>
      <c r="K8004" s="10">
        <v>144</v>
      </c>
      <c r="L8004" s="10" t="s">
        <v>37464</v>
      </c>
      <c r="M8004" s="10">
        <v>1</v>
      </c>
      <c r="N8004" s="10"/>
      <c r="O8004" s="10"/>
      <c r="P8004" s="10" t="s">
        <v>37465</v>
      </c>
      <c r="Q8004" s="10" t="s">
        <v>9870</v>
      </c>
      <c r="R8004" s="10" t="s">
        <v>37466</v>
      </c>
      <c r="S8004" s="10" t="s">
        <v>53</v>
      </c>
      <c r="T8004" s="10" t="s">
        <v>54</v>
      </c>
    </row>
    <row r="8005" spans="1:20" ht="14.5" x14ac:dyDescent="0.35">
      <c r="A8005" s="10" t="s">
        <v>37467</v>
      </c>
      <c r="B8005" s="10" t="str">
        <f>"9780887510960"</f>
        <v>9780887510960</v>
      </c>
      <c r="C8005" s="10" t="str">
        <f>"9780887510960"</f>
        <v>9780887510960</v>
      </c>
      <c r="D8005" s="10" t="s">
        <v>37453</v>
      </c>
      <c r="E8005" s="10" t="s">
        <v>37454</v>
      </c>
      <c r="F8005" s="10" t="s">
        <v>37455</v>
      </c>
      <c r="G8005" s="10" t="s">
        <v>9536</v>
      </c>
      <c r="H8005" s="11">
        <v>35765</v>
      </c>
      <c r="I8005" s="10">
        <v>1998</v>
      </c>
      <c r="J8005" s="10" t="s">
        <v>37454</v>
      </c>
      <c r="K8005" s="10">
        <v>93</v>
      </c>
      <c r="L8005" s="10" t="s">
        <v>37468</v>
      </c>
      <c r="M8005" s="10">
        <v>1</v>
      </c>
      <c r="N8005" s="10"/>
      <c r="O8005" s="10"/>
      <c r="P8005" s="10" t="s">
        <v>37469</v>
      </c>
      <c r="Q8005" s="10" t="s">
        <v>14484</v>
      </c>
      <c r="R8005" s="10" t="s">
        <v>37470</v>
      </c>
      <c r="S8005" s="10" t="s">
        <v>53</v>
      </c>
      <c r="T8005" s="10" t="s">
        <v>54</v>
      </c>
    </row>
    <row r="8006" spans="1:20" ht="14.5" x14ac:dyDescent="0.35">
      <c r="A8006" s="10" t="s">
        <v>37471</v>
      </c>
      <c r="B8006" s="10" t="str">
        <f>"9780887510816"</f>
        <v>9780887510816</v>
      </c>
      <c r="C8006" s="10" t="str">
        <f>"9780887510816"</f>
        <v>9780887510816</v>
      </c>
      <c r="D8006" s="10" t="s">
        <v>37453</v>
      </c>
      <c r="E8006" s="10" t="s">
        <v>37454</v>
      </c>
      <c r="F8006" s="10" t="s">
        <v>37455</v>
      </c>
      <c r="G8006" s="10" t="s">
        <v>9536</v>
      </c>
      <c r="H8006" s="11">
        <v>36861</v>
      </c>
      <c r="I8006" s="10">
        <v>2000</v>
      </c>
      <c r="J8006" s="10" t="s">
        <v>37454</v>
      </c>
      <c r="K8006" s="10">
        <v>255</v>
      </c>
      <c r="L8006" s="10" t="s">
        <v>37456</v>
      </c>
      <c r="M8006" s="10">
        <v>1</v>
      </c>
      <c r="N8006" s="10"/>
      <c r="O8006" s="10"/>
      <c r="P8006" s="10" t="s">
        <v>37472</v>
      </c>
      <c r="Q8006" s="10">
        <v>371.3</v>
      </c>
      <c r="R8006" s="10" t="s">
        <v>37458</v>
      </c>
      <c r="S8006" s="10" t="s">
        <v>53</v>
      </c>
      <c r="T8006" s="10" t="s">
        <v>54</v>
      </c>
    </row>
    <row r="8007" spans="1:20" ht="14.5" x14ac:dyDescent="0.35">
      <c r="A8007" s="10" t="s">
        <v>37473</v>
      </c>
      <c r="B8007" s="10" t="str">
        <f>"9780887510878"</f>
        <v>9780887510878</v>
      </c>
      <c r="C8007" s="10" t="str">
        <f>"9780887510878"</f>
        <v>9780887510878</v>
      </c>
      <c r="D8007" s="10" t="s">
        <v>37453</v>
      </c>
      <c r="E8007" s="10" t="s">
        <v>37454</v>
      </c>
      <c r="F8007" s="10" t="s">
        <v>37455</v>
      </c>
      <c r="G8007" s="10" t="s">
        <v>9536</v>
      </c>
      <c r="H8007" s="11">
        <v>36495</v>
      </c>
      <c r="I8007" s="10">
        <v>2000</v>
      </c>
      <c r="J8007" s="10" t="s">
        <v>37454</v>
      </c>
      <c r="K8007" s="10">
        <v>265</v>
      </c>
      <c r="L8007" s="10" t="s">
        <v>37474</v>
      </c>
      <c r="M8007" s="10">
        <v>1</v>
      </c>
      <c r="N8007" s="10"/>
      <c r="O8007" s="10"/>
      <c r="P8007" s="10" t="s">
        <v>37475</v>
      </c>
      <c r="Q8007" s="10" t="s">
        <v>24601</v>
      </c>
      <c r="R8007" s="10" t="s">
        <v>37476</v>
      </c>
      <c r="S8007" s="10" t="s">
        <v>53</v>
      </c>
      <c r="T8007" s="10" t="s">
        <v>54</v>
      </c>
    </row>
    <row r="8008" spans="1:20" ht="14.5" x14ac:dyDescent="0.35">
      <c r="A8008" s="10" t="s">
        <v>37477</v>
      </c>
      <c r="B8008" s="10" t="str">
        <f>"9780887510861"</f>
        <v>9780887510861</v>
      </c>
      <c r="C8008" s="10" t="str">
        <f>"9780887510861"</f>
        <v>9780887510861</v>
      </c>
      <c r="D8008" s="10" t="s">
        <v>37453</v>
      </c>
      <c r="E8008" s="10" t="s">
        <v>37454</v>
      </c>
      <c r="F8008" s="10" t="s">
        <v>37455</v>
      </c>
      <c r="G8008" s="10" t="s">
        <v>9536</v>
      </c>
      <c r="H8008" s="11">
        <v>37591</v>
      </c>
      <c r="I8008" s="10">
        <v>2003</v>
      </c>
      <c r="J8008" s="10" t="s">
        <v>37454</v>
      </c>
      <c r="K8008" s="10">
        <v>126</v>
      </c>
      <c r="L8008" s="10" t="s">
        <v>37478</v>
      </c>
      <c r="M8008" s="10">
        <v>1</v>
      </c>
      <c r="N8008" s="10"/>
      <c r="O8008" s="10"/>
      <c r="P8008" s="10" t="s">
        <v>37479</v>
      </c>
      <c r="Q8008" s="10">
        <v>372.43</v>
      </c>
      <c r="R8008" s="10" t="s">
        <v>37480</v>
      </c>
      <c r="S8008" s="10" t="s">
        <v>53</v>
      </c>
      <c r="T8008" s="10" t="s">
        <v>54</v>
      </c>
    </row>
    <row r="8009" spans="1:20" ht="14.5" x14ac:dyDescent="0.35">
      <c r="A8009" s="10" t="s">
        <v>37481</v>
      </c>
      <c r="B8009" s="10" t="str">
        <f>"9780887511080"</f>
        <v>9780887511080</v>
      </c>
      <c r="C8009" s="10" t="str">
        <f>"9780887511080"</f>
        <v>9780887511080</v>
      </c>
      <c r="D8009" s="10" t="s">
        <v>37453</v>
      </c>
      <c r="E8009" s="10" t="s">
        <v>37454</v>
      </c>
      <c r="F8009" s="10" t="s">
        <v>37455</v>
      </c>
      <c r="G8009" s="10" t="s">
        <v>9536</v>
      </c>
      <c r="H8009" s="11">
        <v>37591</v>
      </c>
      <c r="I8009" s="10">
        <v>2003</v>
      </c>
      <c r="J8009" s="10" t="s">
        <v>37454</v>
      </c>
      <c r="K8009" s="10">
        <v>112</v>
      </c>
      <c r="L8009" s="10" t="s">
        <v>37482</v>
      </c>
      <c r="M8009" s="10">
        <v>1</v>
      </c>
      <c r="N8009" s="10"/>
      <c r="O8009" s="10"/>
      <c r="P8009" s="10" t="s">
        <v>37483</v>
      </c>
      <c r="Q8009" s="10" t="s">
        <v>37484</v>
      </c>
      <c r="R8009" s="10" t="s">
        <v>37485</v>
      </c>
      <c r="S8009" s="10" t="s">
        <v>53</v>
      </c>
      <c r="T8009" s="10" t="s">
        <v>6616</v>
      </c>
    </row>
    <row r="8010" spans="1:20" ht="14.5" x14ac:dyDescent="0.35">
      <c r="A8010" s="10" t="s">
        <v>37486</v>
      </c>
      <c r="B8010" s="10" t="str">
        <f>"9780887510953"</f>
        <v>9780887510953</v>
      </c>
      <c r="C8010" s="10" t="str">
        <f>"9780887510953"</f>
        <v>9780887510953</v>
      </c>
      <c r="D8010" s="10" t="s">
        <v>37453</v>
      </c>
      <c r="E8010" s="10" t="s">
        <v>37454</v>
      </c>
      <c r="F8010" s="10" t="s">
        <v>901</v>
      </c>
      <c r="G8010" s="10" t="s">
        <v>9536</v>
      </c>
      <c r="H8010" s="11">
        <v>38047</v>
      </c>
      <c r="I8010" s="10">
        <v>2004</v>
      </c>
      <c r="J8010" s="10" t="s">
        <v>37454</v>
      </c>
      <c r="K8010" s="10">
        <v>301</v>
      </c>
      <c r="L8010" s="10" t="s">
        <v>21854</v>
      </c>
      <c r="M8010" s="10">
        <v>1</v>
      </c>
      <c r="N8010" s="10"/>
      <c r="O8010" s="10"/>
      <c r="P8010" s="10" t="s">
        <v>37487</v>
      </c>
      <c r="Q8010" s="10" t="s">
        <v>12123</v>
      </c>
      <c r="R8010" s="10" t="s">
        <v>37488</v>
      </c>
      <c r="S8010" s="10" t="s">
        <v>53</v>
      </c>
      <c r="T8010" s="10" t="s">
        <v>6634</v>
      </c>
    </row>
    <row r="8011" spans="1:20" ht="14.5" x14ac:dyDescent="0.35">
      <c r="A8011" s="10" t="s">
        <v>37489</v>
      </c>
      <c r="B8011" s="10" t="str">
        <f>"9780887511066"</f>
        <v>9780887511066</v>
      </c>
      <c r="C8011" s="10" t="str">
        <f>"9780887511066"</f>
        <v>9780887511066</v>
      </c>
      <c r="D8011" s="10" t="s">
        <v>37453</v>
      </c>
      <c r="E8011" s="10" t="s">
        <v>37454</v>
      </c>
      <c r="F8011" s="10" t="s">
        <v>901</v>
      </c>
      <c r="G8011" s="10" t="s">
        <v>9536</v>
      </c>
      <c r="H8011" s="11">
        <v>38078</v>
      </c>
      <c r="I8011" s="10">
        <v>2004</v>
      </c>
      <c r="J8011" s="10" t="s">
        <v>37454</v>
      </c>
      <c r="K8011" s="10">
        <v>95</v>
      </c>
      <c r="L8011" s="10" t="s">
        <v>37490</v>
      </c>
      <c r="M8011" s="10">
        <v>1</v>
      </c>
      <c r="N8011" s="10"/>
      <c r="O8011" s="10"/>
      <c r="P8011" s="10" t="s">
        <v>37491</v>
      </c>
      <c r="Q8011" s="10" t="s">
        <v>14402</v>
      </c>
      <c r="R8011" s="10" t="s">
        <v>37492</v>
      </c>
      <c r="S8011" s="10" t="s">
        <v>53</v>
      </c>
      <c r="T8011" s="10" t="s">
        <v>1166</v>
      </c>
    </row>
    <row r="8012" spans="1:20" ht="14.5" x14ac:dyDescent="0.35">
      <c r="A8012" s="10" t="s">
        <v>37493</v>
      </c>
      <c r="B8012" s="10" t="str">
        <f>"9780887510762"</f>
        <v>9780887510762</v>
      </c>
      <c r="C8012" s="10" t="str">
        <f>"9780887510762"</f>
        <v>9780887510762</v>
      </c>
      <c r="D8012" s="10" t="s">
        <v>37453</v>
      </c>
      <c r="E8012" s="10" t="s">
        <v>37454</v>
      </c>
      <c r="F8012" s="10" t="s">
        <v>901</v>
      </c>
      <c r="G8012" s="10" t="s">
        <v>9536</v>
      </c>
      <c r="H8012" s="11">
        <v>38047</v>
      </c>
      <c r="I8012" s="10">
        <v>2004</v>
      </c>
      <c r="J8012" s="10" t="s">
        <v>37454</v>
      </c>
      <c r="K8012" s="10">
        <v>162</v>
      </c>
      <c r="L8012" s="10" t="s">
        <v>37494</v>
      </c>
      <c r="M8012" s="10">
        <v>1</v>
      </c>
      <c r="N8012" s="10"/>
      <c r="O8012" s="10"/>
      <c r="P8012" s="10" t="s">
        <v>37495</v>
      </c>
      <c r="Q8012" s="10" t="s">
        <v>8668</v>
      </c>
      <c r="R8012" s="10" t="s">
        <v>37496</v>
      </c>
      <c r="S8012" s="10" t="s">
        <v>53</v>
      </c>
      <c r="T8012" s="10" t="s">
        <v>6634</v>
      </c>
    </row>
    <row r="8013" spans="1:20" ht="14.5" x14ac:dyDescent="0.35">
      <c r="A8013" s="10" t="s">
        <v>37497</v>
      </c>
      <c r="B8013" s="10" t="str">
        <f>"9780887511158"</f>
        <v>9780887511158</v>
      </c>
      <c r="C8013" s="10" t="str">
        <f>"9780887511158"</f>
        <v>9780887511158</v>
      </c>
      <c r="D8013" s="10" t="s">
        <v>37453</v>
      </c>
      <c r="E8013" s="10" t="s">
        <v>37454</v>
      </c>
      <c r="F8013" s="10" t="s">
        <v>901</v>
      </c>
      <c r="G8013" s="10" t="s">
        <v>9536</v>
      </c>
      <c r="H8013" s="11">
        <v>38504</v>
      </c>
      <c r="I8013" s="10">
        <v>2005</v>
      </c>
      <c r="J8013" s="10" t="s">
        <v>37454</v>
      </c>
      <c r="K8013" s="10">
        <v>256</v>
      </c>
      <c r="L8013" s="10" t="s">
        <v>37498</v>
      </c>
      <c r="M8013" s="10">
        <v>1</v>
      </c>
      <c r="N8013" s="10"/>
      <c r="O8013" s="10"/>
      <c r="P8013" s="10" t="s">
        <v>37499</v>
      </c>
      <c r="Q8013" s="10">
        <v>428.1</v>
      </c>
      <c r="R8013" s="10" t="s">
        <v>37500</v>
      </c>
      <c r="S8013" s="10" t="s">
        <v>53</v>
      </c>
      <c r="T8013" s="10" t="s">
        <v>6616</v>
      </c>
    </row>
    <row r="8014" spans="1:20" ht="14.5" x14ac:dyDescent="0.35">
      <c r="A8014" s="10" t="s">
        <v>37501</v>
      </c>
      <c r="B8014" s="10" t="str">
        <f>"9780887511134"</f>
        <v>9780887511134</v>
      </c>
      <c r="C8014" s="10" t="str">
        <f>"9780887511134"</f>
        <v>9780887511134</v>
      </c>
      <c r="D8014" s="10" t="s">
        <v>37453</v>
      </c>
      <c r="E8014" s="10" t="s">
        <v>37454</v>
      </c>
      <c r="F8014" s="10" t="s">
        <v>901</v>
      </c>
      <c r="G8014" s="10" t="s">
        <v>9536</v>
      </c>
      <c r="H8014" s="11">
        <v>38504</v>
      </c>
      <c r="I8014" s="10">
        <v>2005</v>
      </c>
      <c r="J8014" s="10" t="s">
        <v>37454</v>
      </c>
      <c r="K8014" s="10">
        <v>335</v>
      </c>
      <c r="L8014" s="10" t="s">
        <v>37498</v>
      </c>
      <c r="M8014" s="10">
        <v>1</v>
      </c>
      <c r="N8014" s="10"/>
      <c r="O8014" s="10"/>
      <c r="P8014" s="10" t="s">
        <v>37502</v>
      </c>
      <c r="Q8014" s="10">
        <v>428.1</v>
      </c>
      <c r="R8014" s="10" t="s">
        <v>37500</v>
      </c>
      <c r="S8014" s="10" t="s">
        <v>53</v>
      </c>
      <c r="T8014" s="10" t="s">
        <v>6616</v>
      </c>
    </row>
    <row r="8015" spans="1:20" ht="14.5" x14ac:dyDescent="0.35">
      <c r="A8015" s="10" t="s">
        <v>37503</v>
      </c>
      <c r="B8015" s="10" t="str">
        <f>"9780887511110"</f>
        <v>9780887511110</v>
      </c>
      <c r="C8015" s="10" t="str">
        <f>"9780887511110"</f>
        <v>9780887511110</v>
      </c>
      <c r="D8015" s="10" t="s">
        <v>37453</v>
      </c>
      <c r="E8015" s="10" t="s">
        <v>37454</v>
      </c>
      <c r="F8015" s="10" t="s">
        <v>901</v>
      </c>
      <c r="G8015" s="10" t="s">
        <v>9536</v>
      </c>
      <c r="H8015" s="11">
        <v>38504</v>
      </c>
      <c r="I8015" s="10">
        <v>2005</v>
      </c>
      <c r="J8015" s="10" t="s">
        <v>37454</v>
      </c>
      <c r="K8015" s="10">
        <v>272</v>
      </c>
      <c r="L8015" s="10" t="s">
        <v>37498</v>
      </c>
      <c r="M8015" s="10">
        <v>1</v>
      </c>
      <c r="N8015" s="10"/>
      <c r="O8015" s="10"/>
      <c r="P8015" s="10" t="s">
        <v>37504</v>
      </c>
      <c r="Q8015" s="10">
        <v>428.1</v>
      </c>
      <c r="R8015" s="10" t="s">
        <v>37500</v>
      </c>
      <c r="S8015" s="10" t="s">
        <v>53</v>
      </c>
      <c r="T8015" s="10" t="s">
        <v>6616</v>
      </c>
    </row>
    <row r="8016" spans="1:20" ht="14.5" x14ac:dyDescent="0.35">
      <c r="A8016" s="10" t="s">
        <v>37505</v>
      </c>
      <c r="B8016" s="10" t="str">
        <f>"9780887510939"</f>
        <v>9780887510939</v>
      </c>
      <c r="C8016" s="10" t="str">
        <f>"9780887510939"</f>
        <v>9780887510939</v>
      </c>
      <c r="D8016" s="10" t="s">
        <v>37453</v>
      </c>
      <c r="E8016" s="10" t="s">
        <v>37454</v>
      </c>
      <c r="F8016" s="10" t="s">
        <v>901</v>
      </c>
      <c r="G8016" s="10" t="s">
        <v>9536</v>
      </c>
      <c r="H8016" s="11">
        <v>37956</v>
      </c>
      <c r="I8016" s="10">
        <v>2004</v>
      </c>
      <c r="J8016" s="10" t="s">
        <v>37454</v>
      </c>
      <c r="K8016" s="10">
        <v>208</v>
      </c>
      <c r="L8016" s="10" t="s">
        <v>37506</v>
      </c>
      <c r="M8016" s="10">
        <v>2</v>
      </c>
      <c r="N8016" s="10"/>
      <c r="O8016" s="10"/>
      <c r="P8016" s="10" t="s">
        <v>37507</v>
      </c>
      <c r="Q8016" s="10" t="s">
        <v>12123</v>
      </c>
      <c r="R8016" s="10" t="s">
        <v>37508</v>
      </c>
      <c r="S8016" s="10" t="s">
        <v>53</v>
      </c>
      <c r="T8016" s="10" t="s">
        <v>6616</v>
      </c>
    </row>
    <row r="8017" spans="1:20" ht="14.5" x14ac:dyDescent="0.35">
      <c r="A8017" s="10" t="s">
        <v>37509</v>
      </c>
      <c r="B8017" s="10" t="str">
        <f>"9780887511165"</f>
        <v>9780887511165</v>
      </c>
      <c r="C8017" s="10" t="str">
        <f>"9780887511165"</f>
        <v>9780887511165</v>
      </c>
      <c r="D8017" s="10" t="s">
        <v>37453</v>
      </c>
      <c r="E8017" s="10" t="s">
        <v>37453</v>
      </c>
      <c r="F8017" s="10" t="s">
        <v>901</v>
      </c>
      <c r="G8017" s="10" t="s">
        <v>9536</v>
      </c>
      <c r="H8017" s="11">
        <v>39387</v>
      </c>
      <c r="I8017" s="10">
        <v>2008</v>
      </c>
      <c r="J8017" s="10" t="s">
        <v>37453</v>
      </c>
      <c r="K8017" s="10">
        <v>126</v>
      </c>
      <c r="L8017" s="10" t="s">
        <v>37510</v>
      </c>
      <c r="M8017" s="10">
        <v>1</v>
      </c>
      <c r="N8017" s="10"/>
      <c r="O8017" s="10"/>
      <c r="P8017" s="10" t="s">
        <v>37511</v>
      </c>
      <c r="Q8017" s="10"/>
      <c r="R8017" s="10" t="s">
        <v>34128</v>
      </c>
      <c r="S8017" s="10" t="s">
        <v>53</v>
      </c>
      <c r="T8017" s="10" t="s">
        <v>6616</v>
      </c>
    </row>
    <row r="8018" spans="1:20" ht="14.5" x14ac:dyDescent="0.35">
      <c r="A8018" s="10" t="s">
        <v>37512</v>
      </c>
      <c r="B8018" s="10" t="str">
        <f>"9780887511103"</f>
        <v>9780887511103</v>
      </c>
      <c r="C8018" s="10" t="str">
        <f>"9780887511103"</f>
        <v>9780887511103</v>
      </c>
      <c r="D8018" s="10" t="s">
        <v>37453</v>
      </c>
      <c r="E8018" s="10" t="s">
        <v>37454</v>
      </c>
      <c r="F8018" s="10" t="s">
        <v>901</v>
      </c>
      <c r="G8018" s="10" t="s">
        <v>9536</v>
      </c>
      <c r="H8018" s="11">
        <v>37591</v>
      </c>
      <c r="I8018" s="10">
        <v>2003</v>
      </c>
      <c r="J8018" s="10" t="s">
        <v>37454</v>
      </c>
      <c r="K8018" s="10">
        <v>95</v>
      </c>
      <c r="L8018" s="10" t="s">
        <v>37513</v>
      </c>
      <c r="M8018" s="10">
        <v>2</v>
      </c>
      <c r="N8018" s="10"/>
      <c r="O8018" s="10"/>
      <c r="P8018" s="10" t="s">
        <v>37514</v>
      </c>
      <c r="Q8018" s="10" t="s">
        <v>9646</v>
      </c>
      <c r="R8018" s="10" t="s">
        <v>37515</v>
      </c>
      <c r="S8018" s="10" t="s">
        <v>53</v>
      </c>
      <c r="T8018" s="10" t="s">
        <v>54</v>
      </c>
    </row>
    <row r="8019" spans="1:20" ht="14.5" x14ac:dyDescent="0.35">
      <c r="A8019" s="10" t="s">
        <v>37516</v>
      </c>
      <c r="B8019" s="10" t="str">
        <f>"9780887511189"</f>
        <v>9780887511189</v>
      </c>
      <c r="C8019" s="10" t="str">
        <f>"9780887511189"</f>
        <v>9780887511189</v>
      </c>
      <c r="D8019" s="10" t="s">
        <v>37453</v>
      </c>
      <c r="E8019" s="10" t="s">
        <v>37454</v>
      </c>
      <c r="F8019" s="10" t="s">
        <v>901</v>
      </c>
      <c r="G8019" s="10" t="s">
        <v>9536</v>
      </c>
      <c r="H8019" s="11">
        <v>39417</v>
      </c>
      <c r="I8019" s="10">
        <v>2008</v>
      </c>
      <c r="J8019" s="10" t="s">
        <v>37454</v>
      </c>
      <c r="K8019" s="10">
        <v>144</v>
      </c>
      <c r="L8019" s="10" t="s">
        <v>37517</v>
      </c>
      <c r="M8019" s="10">
        <v>2</v>
      </c>
      <c r="N8019" s="10"/>
      <c r="O8019" s="10"/>
      <c r="P8019" s="10" t="s">
        <v>37518</v>
      </c>
      <c r="Q8019" s="10"/>
      <c r="R8019" s="10" t="s">
        <v>37519</v>
      </c>
      <c r="S8019" s="10" t="s">
        <v>53</v>
      </c>
      <c r="T8019" s="10" t="s">
        <v>54</v>
      </c>
    </row>
    <row r="8020" spans="1:20" ht="14.5" x14ac:dyDescent="0.35">
      <c r="A8020" s="10" t="s">
        <v>37520</v>
      </c>
      <c r="B8020" s="10" t="str">
        <f>"9780887511127"</f>
        <v>9780887511127</v>
      </c>
      <c r="C8020" s="10" t="str">
        <f>"9780887511127"</f>
        <v>9780887511127</v>
      </c>
      <c r="D8020" s="10" t="s">
        <v>37453</v>
      </c>
      <c r="E8020" s="10" t="s">
        <v>37454</v>
      </c>
      <c r="F8020" s="10" t="s">
        <v>901</v>
      </c>
      <c r="G8020" s="10" t="s">
        <v>9536</v>
      </c>
      <c r="H8020" s="11">
        <v>37956</v>
      </c>
      <c r="I8020" s="10">
        <v>2004</v>
      </c>
      <c r="J8020" s="10" t="s">
        <v>37454</v>
      </c>
      <c r="K8020" s="10">
        <v>102</v>
      </c>
      <c r="L8020" s="10" t="s">
        <v>37521</v>
      </c>
      <c r="M8020" s="10">
        <v>2</v>
      </c>
      <c r="N8020" s="10"/>
      <c r="O8020" s="10"/>
      <c r="P8020" s="10" t="s">
        <v>37522</v>
      </c>
      <c r="Q8020" s="10" t="s">
        <v>37523</v>
      </c>
      <c r="R8020" s="10" t="s">
        <v>37524</v>
      </c>
      <c r="S8020" s="10" t="s">
        <v>53</v>
      </c>
      <c r="T8020" s="10" t="s">
        <v>6498</v>
      </c>
    </row>
    <row r="8021" spans="1:20" ht="14.5" x14ac:dyDescent="0.35">
      <c r="A8021" s="10" t="s">
        <v>37525</v>
      </c>
      <c r="B8021" s="10" t="str">
        <f>"9780887511141"</f>
        <v>9780887511141</v>
      </c>
      <c r="C8021" s="10" t="str">
        <f>"9780887511141"</f>
        <v>9780887511141</v>
      </c>
      <c r="D8021" s="10" t="s">
        <v>37453</v>
      </c>
      <c r="E8021" s="10" t="s">
        <v>37454</v>
      </c>
      <c r="F8021" s="10" t="s">
        <v>901</v>
      </c>
      <c r="G8021" s="10" t="s">
        <v>9536</v>
      </c>
      <c r="H8021" s="11">
        <v>37956</v>
      </c>
      <c r="I8021" s="10">
        <v>2004</v>
      </c>
      <c r="J8021" s="10" t="s">
        <v>37454</v>
      </c>
      <c r="K8021" s="10">
        <v>144</v>
      </c>
      <c r="L8021" s="10" t="s">
        <v>37526</v>
      </c>
      <c r="M8021" s="10">
        <v>2</v>
      </c>
      <c r="N8021" s="10"/>
      <c r="O8021" s="10"/>
      <c r="P8021" s="10" t="s">
        <v>37527</v>
      </c>
      <c r="Q8021" s="10" t="s">
        <v>37528</v>
      </c>
      <c r="R8021" s="10" t="s">
        <v>37529</v>
      </c>
      <c r="S8021" s="10" t="s">
        <v>53</v>
      </c>
      <c r="T8021" s="10" t="s">
        <v>6526</v>
      </c>
    </row>
    <row r="8022" spans="1:20" ht="14.5" x14ac:dyDescent="0.35">
      <c r="A8022" s="10" t="s">
        <v>37530</v>
      </c>
      <c r="B8022" s="10" t="str">
        <f>"9780887511295"</f>
        <v>9780887511295</v>
      </c>
      <c r="C8022" s="10" t="str">
        <f>"9780887511295"</f>
        <v>9780887511295</v>
      </c>
      <c r="D8022" s="10" t="s">
        <v>37453</v>
      </c>
      <c r="E8022" s="10" t="s">
        <v>37453</v>
      </c>
      <c r="F8022" s="10" t="s">
        <v>901</v>
      </c>
      <c r="G8022" s="10" t="s">
        <v>9536</v>
      </c>
      <c r="H8022" s="11">
        <v>39934</v>
      </c>
      <c r="I8022" s="10">
        <v>2009</v>
      </c>
      <c r="J8022" s="10" t="s">
        <v>37453</v>
      </c>
      <c r="K8022" s="10">
        <v>190</v>
      </c>
      <c r="L8022" s="10" t="s">
        <v>37531</v>
      </c>
      <c r="M8022" s="10">
        <v>1</v>
      </c>
      <c r="N8022" s="10"/>
      <c r="O8022" s="10"/>
      <c r="P8022" s="10" t="s">
        <v>37532</v>
      </c>
      <c r="Q8022" s="10"/>
      <c r="R8022" s="10" t="s">
        <v>37533</v>
      </c>
      <c r="S8022" s="10" t="s">
        <v>53</v>
      </c>
      <c r="T8022" s="10" t="s">
        <v>7340</v>
      </c>
    </row>
    <row r="8023" spans="1:20" ht="14.5" x14ac:dyDescent="0.35">
      <c r="A8023" s="10" t="s">
        <v>37534</v>
      </c>
      <c r="B8023" s="10" t="str">
        <f>"9780745329321"</f>
        <v>9780745329321</v>
      </c>
      <c r="C8023" s="10" t="str">
        <f>"9781849644310"</f>
        <v>9781849644310</v>
      </c>
      <c r="D8023" s="10" t="s">
        <v>9533</v>
      </c>
      <c r="E8023" s="10" t="s">
        <v>37535</v>
      </c>
      <c r="F8023" s="10" t="s">
        <v>139</v>
      </c>
      <c r="G8023" s="10" t="s">
        <v>6352</v>
      </c>
      <c r="H8023" s="11">
        <v>40095</v>
      </c>
      <c r="I8023" s="10">
        <v>2010</v>
      </c>
      <c r="J8023" s="10" t="s">
        <v>37535</v>
      </c>
      <c r="K8023" s="10">
        <v>233</v>
      </c>
      <c r="L8023" s="10" t="s">
        <v>37536</v>
      </c>
      <c r="M8023" s="10">
        <v>1</v>
      </c>
      <c r="N8023" s="10"/>
      <c r="O8023" s="10"/>
      <c r="P8023" s="10" t="s">
        <v>37537</v>
      </c>
      <c r="Q8023" s="10" t="s">
        <v>37538</v>
      </c>
      <c r="R8023" s="10" t="s">
        <v>37539</v>
      </c>
      <c r="S8023" s="10" t="s">
        <v>53</v>
      </c>
      <c r="T8023" s="10" t="s">
        <v>54</v>
      </c>
    </row>
    <row r="8024" spans="1:20" ht="14.5" x14ac:dyDescent="0.35">
      <c r="A8024" s="10" t="s">
        <v>37540</v>
      </c>
      <c r="B8024" s="10" t="str">
        <f>"9780745327266"</f>
        <v>9780745327266</v>
      </c>
      <c r="C8024" s="10" t="str">
        <f>"9781849645423"</f>
        <v>9781849645423</v>
      </c>
      <c r="D8024" s="10" t="s">
        <v>9533</v>
      </c>
      <c r="E8024" s="10" t="s">
        <v>37535</v>
      </c>
      <c r="F8024" s="10" t="s">
        <v>139</v>
      </c>
      <c r="G8024" s="10" t="s">
        <v>6352</v>
      </c>
      <c r="H8024" s="11">
        <v>40471</v>
      </c>
      <c r="I8024" s="10">
        <v>2010</v>
      </c>
      <c r="J8024" s="10" t="s">
        <v>37535</v>
      </c>
      <c r="K8024" s="10">
        <v>257</v>
      </c>
      <c r="L8024" s="10" t="s">
        <v>37541</v>
      </c>
      <c r="M8024" s="10">
        <v>1</v>
      </c>
      <c r="N8024" s="10"/>
      <c r="O8024" s="10"/>
      <c r="P8024" s="10" t="s">
        <v>37542</v>
      </c>
      <c r="Q8024" s="10">
        <v>956.94050919999995</v>
      </c>
      <c r="R8024" s="10" t="s">
        <v>37543</v>
      </c>
      <c r="S8024" s="10" t="s">
        <v>53</v>
      </c>
      <c r="T8024" s="10" t="s">
        <v>16298</v>
      </c>
    </row>
    <row r="8025" spans="1:20" ht="14.5" x14ac:dyDescent="0.35">
      <c r="A8025" s="10" t="s">
        <v>37544</v>
      </c>
      <c r="B8025" s="10" t="str">
        <f>"9781557532916"</f>
        <v>9781557532916</v>
      </c>
      <c r="C8025" s="10" t="str">
        <f>""</f>
        <v/>
      </c>
      <c r="D8025" s="10" t="s">
        <v>9533</v>
      </c>
      <c r="E8025" s="10" t="s">
        <v>4024</v>
      </c>
      <c r="F8025" s="10" t="s">
        <v>1303</v>
      </c>
      <c r="G8025" s="10" t="s">
        <v>6317</v>
      </c>
      <c r="H8025" s="11">
        <v>37530</v>
      </c>
      <c r="I8025" s="10">
        <v>2002</v>
      </c>
      <c r="J8025" s="10" t="s">
        <v>4024</v>
      </c>
      <c r="K8025" s="10">
        <v>125</v>
      </c>
      <c r="L8025" s="10" t="s">
        <v>37545</v>
      </c>
      <c r="M8025" s="10"/>
      <c r="N8025" s="10"/>
      <c r="O8025" s="10"/>
      <c r="P8025" s="10" t="s">
        <v>37546</v>
      </c>
      <c r="Q8025" s="10" t="s">
        <v>37547</v>
      </c>
      <c r="R8025" s="10" t="s">
        <v>37548</v>
      </c>
      <c r="S8025" s="10" t="s">
        <v>53</v>
      </c>
      <c r="T8025" s="10" t="s">
        <v>37549</v>
      </c>
    </row>
    <row r="8026" spans="1:20" ht="14.5" x14ac:dyDescent="0.35">
      <c r="A8026" s="10" t="s">
        <v>37550</v>
      </c>
      <c r="B8026" s="10" t="str">
        <f>"9782759219681"</f>
        <v>9782759219681</v>
      </c>
      <c r="C8026" s="10" t="str">
        <f>"9782759219698"</f>
        <v>9782759219698</v>
      </c>
      <c r="D8026" s="10" t="s">
        <v>37551</v>
      </c>
      <c r="E8026" s="10" t="s">
        <v>37552</v>
      </c>
      <c r="F8026" s="10" t="s">
        <v>37553</v>
      </c>
      <c r="G8026" s="10" t="s">
        <v>31597</v>
      </c>
      <c r="H8026" s="11">
        <v>41425</v>
      </c>
      <c r="I8026" s="10">
        <v>2023</v>
      </c>
      <c r="J8026" s="10" t="s">
        <v>37552</v>
      </c>
      <c r="K8026" s="10">
        <v>267</v>
      </c>
      <c r="L8026" s="10" t="s">
        <v>37554</v>
      </c>
      <c r="M8026" s="10">
        <v>1</v>
      </c>
      <c r="N8026" s="10" t="s">
        <v>37555</v>
      </c>
      <c r="O8026" s="10"/>
      <c r="P8026" s="10" t="s">
        <v>37556</v>
      </c>
      <c r="Q8026" s="10">
        <v>616.91849999999897</v>
      </c>
      <c r="R8026" s="10" t="s">
        <v>37557</v>
      </c>
      <c r="S8026" s="10" t="s">
        <v>5404</v>
      </c>
      <c r="T8026" s="10" t="s">
        <v>37558</v>
      </c>
    </row>
    <row r="8027" spans="1:20" ht="14.5" x14ac:dyDescent="0.35">
      <c r="A8027" s="10" t="s">
        <v>37559</v>
      </c>
      <c r="B8027" s="10" t="str">
        <f>"9788792982551"</f>
        <v>9788792982551</v>
      </c>
      <c r="C8027" s="10" t="str">
        <f>"9788792982568"</f>
        <v>9788792982568</v>
      </c>
      <c r="D8027" s="10" t="s">
        <v>37560</v>
      </c>
      <c r="E8027" s="10" t="s">
        <v>37560</v>
      </c>
      <c r="F8027" s="10" t="s">
        <v>37561</v>
      </c>
      <c r="G8027" s="10" t="s">
        <v>37405</v>
      </c>
      <c r="H8027" s="11">
        <v>41479</v>
      </c>
      <c r="I8027" s="10">
        <v>2013</v>
      </c>
      <c r="J8027" s="10" t="s">
        <v>37560</v>
      </c>
      <c r="K8027" s="10">
        <v>195</v>
      </c>
      <c r="L8027" s="10" t="s">
        <v>37562</v>
      </c>
      <c r="M8027" s="10">
        <v>1</v>
      </c>
      <c r="N8027" s="10" t="s">
        <v>37563</v>
      </c>
      <c r="O8027" s="10"/>
      <c r="P8027" s="10"/>
      <c r="Q8027" s="10"/>
      <c r="R8027" s="10"/>
      <c r="S8027" s="10" t="s">
        <v>53</v>
      </c>
      <c r="T8027" s="10" t="s">
        <v>54</v>
      </c>
    </row>
    <row r="8028" spans="1:20" ht="14.5" x14ac:dyDescent="0.35">
      <c r="A8028" s="10" t="s">
        <v>37564</v>
      </c>
      <c r="B8028" s="10" t="str">
        <f>"9788792329844"</f>
        <v>9788792329844</v>
      </c>
      <c r="C8028" s="10" t="str">
        <f>"9788792982834"</f>
        <v>9788792982834</v>
      </c>
      <c r="D8028" s="10" t="s">
        <v>37560</v>
      </c>
      <c r="E8028" s="10" t="s">
        <v>37560</v>
      </c>
      <c r="F8028" s="10" t="s">
        <v>37561</v>
      </c>
      <c r="G8028" s="10" t="s">
        <v>37405</v>
      </c>
      <c r="H8028" s="11">
        <v>41050</v>
      </c>
      <c r="I8028" s="10">
        <v>2012</v>
      </c>
      <c r="J8028" s="10" t="s">
        <v>37560</v>
      </c>
      <c r="K8028" s="10">
        <v>327</v>
      </c>
      <c r="L8028" s="10" t="s">
        <v>37565</v>
      </c>
      <c r="M8028" s="10">
        <v>1</v>
      </c>
      <c r="N8028" s="10" t="s">
        <v>37563</v>
      </c>
      <c r="O8028" s="10"/>
      <c r="P8028" s="10"/>
      <c r="Q8028" s="10"/>
      <c r="R8028" s="10"/>
      <c r="S8028" s="10" t="s">
        <v>53</v>
      </c>
      <c r="T8028" s="10" t="s">
        <v>54</v>
      </c>
    </row>
    <row r="8029" spans="1:20" ht="14.5" x14ac:dyDescent="0.35">
      <c r="A8029" s="10" t="s">
        <v>37566</v>
      </c>
      <c r="B8029" s="10" t="str">
        <f>"9788763002325"</f>
        <v>9788763002325</v>
      </c>
      <c r="C8029" s="10" t="str">
        <f>"9788763099448"</f>
        <v>9788763099448</v>
      </c>
      <c r="D8029" s="10" t="s">
        <v>37567</v>
      </c>
      <c r="E8029" s="10" t="s">
        <v>37567</v>
      </c>
      <c r="F8029" s="10" t="s">
        <v>37568</v>
      </c>
      <c r="G8029" s="10" t="s">
        <v>37405</v>
      </c>
      <c r="H8029" s="11">
        <v>40057</v>
      </c>
      <c r="I8029" s="10">
        <v>2009</v>
      </c>
      <c r="J8029" s="10" t="s">
        <v>37569</v>
      </c>
      <c r="K8029" s="10">
        <v>335</v>
      </c>
      <c r="L8029" s="10" t="s">
        <v>37570</v>
      </c>
      <c r="M8029" s="10">
        <v>1</v>
      </c>
      <c r="N8029" s="10"/>
      <c r="O8029" s="10"/>
      <c r="P8029" s="10" t="s">
        <v>37571</v>
      </c>
      <c r="Q8029" s="10"/>
      <c r="R8029" s="10" t="s">
        <v>37572</v>
      </c>
      <c r="S8029" s="10" t="s">
        <v>53</v>
      </c>
      <c r="T8029" s="10" t="s">
        <v>54</v>
      </c>
    </row>
    <row r="8030" spans="1:20" ht="14.5" x14ac:dyDescent="0.35">
      <c r="A8030" s="10" t="s">
        <v>37573</v>
      </c>
      <c r="B8030" s="10" t="str">
        <f>"9780983447207"</f>
        <v>9780983447207</v>
      </c>
      <c r="C8030" s="10" t="str">
        <f>"9780983447238"</f>
        <v>9780983447238</v>
      </c>
      <c r="D8030" s="10" t="s">
        <v>37574</v>
      </c>
      <c r="E8030" s="10" t="s">
        <v>37574</v>
      </c>
      <c r="F8030" s="10" t="s">
        <v>37575</v>
      </c>
      <c r="G8030" s="10" t="s">
        <v>6317</v>
      </c>
      <c r="H8030" s="11">
        <v>40848</v>
      </c>
      <c r="I8030" s="10">
        <v>2011</v>
      </c>
      <c r="J8030" s="10" t="s">
        <v>37574</v>
      </c>
      <c r="K8030" s="10">
        <v>205</v>
      </c>
      <c r="L8030" s="10" t="s">
        <v>37576</v>
      </c>
      <c r="M8030" s="10"/>
      <c r="N8030" s="10"/>
      <c r="O8030" s="10"/>
      <c r="P8030" s="10" t="s">
        <v>37577</v>
      </c>
      <c r="Q8030" s="10"/>
      <c r="R8030" s="10" t="s">
        <v>37578</v>
      </c>
      <c r="S8030" s="10" t="s">
        <v>53</v>
      </c>
      <c r="T8030" s="10" t="s">
        <v>6384</v>
      </c>
    </row>
    <row r="8031" spans="1:20" ht="14.5" x14ac:dyDescent="0.35">
      <c r="A8031" s="10" t="s">
        <v>37579</v>
      </c>
      <c r="B8031" s="10" t="str">
        <f>"9781936764747"</f>
        <v>9781936764747</v>
      </c>
      <c r="C8031" s="10" t="str">
        <f>"9781936764754"</f>
        <v>9781936764754</v>
      </c>
      <c r="D8031" s="10" t="s">
        <v>37580</v>
      </c>
      <c r="E8031" s="10" t="s">
        <v>37581</v>
      </c>
      <c r="F8031" s="10" t="s">
        <v>3101</v>
      </c>
      <c r="G8031" s="10" t="s">
        <v>6317</v>
      </c>
      <c r="H8031" s="11">
        <v>41089</v>
      </c>
      <c r="I8031" s="10">
        <v>2013</v>
      </c>
      <c r="J8031" s="10" t="s">
        <v>37581</v>
      </c>
      <c r="K8031" s="10">
        <v>104</v>
      </c>
      <c r="L8031" s="10" t="s">
        <v>37582</v>
      </c>
      <c r="M8031" s="10">
        <v>1</v>
      </c>
      <c r="N8031" s="10"/>
      <c r="O8031" s="10"/>
      <c r="P8031" s="10"/>
      <c r="Q8031" s="10"/>
      <c r="R8031" s="10" t="s">
        <v>37583</v>
      </c>
      <c r="S8031" s="10" t="s">
        <v>53</v>
      </c>
      <c r="T8031" s="10" t="s">
        <v>54</v>
      </c>
    </row>
    <row r="8032" spans="1:20" ht="14.5" x14ac:dyDescent="0.35">
      <c r="A8032" s="10" t="s">
        <v>37584</v>
      </c>
      <c r="B8032" s="10" t="str">
        <f>"9781879639898"</f>
        <v>9781879639898</v>
      </c>
      <c r="C8032" s="10" t="str">
        <f>"9781934009871"</f>
        <v>9781934009871</v>
      </c>
      <c r="D8032" s="10" t="s">
        <v>37580</v>
      </c>
      <c r="E8032" s="10" t="s">
        <v>37581</v>
      </c>
      <c r="F8032" s="10" t="s">
        <v>3101</v>
      </c>
      <c r="G8032" s="10" t="s">
        <v>6317</v>
      </c>
      <c r="H8032" s="11">
        <v>42136</v>
      </c>
      <c r="I8032" s="10">
        <v>2010</v>
      </c>
      <c r="J8032" s="10" t="s">
        <v>37581</v>
      </c>
      <c r="K8032" s="10">
        <v>200</v>
      </c>
      <c r="L8032" s="10" t="s">
        <v>37585</v>
      </c>
      <c r="M8032" s="10">
        <v>1</v>
      </c>
      <c r="N8032" s="10" t="s">
        <v>37586</v>
      </c>
      <c r="O8032" s="10"/>
      <c r="P8032" s="10" t="s">
        <v>37587</v>
      </c>
      <c r="Q8032" s="10"/>
      <c r="R8032" s="10" t="s">
        <v>37588</v>
      </c>
      <c r="S8032" s="10" t="s">
        <v>53</v>
      </c>
      <c r="T8032" s="10" t="s">
        <v>54</v>
      </c>
    </row>
    <row r="8033" spans="1:20" ht="14.5" x14ac:dyDescent="0.35">
      <c r="A8033" s="10" t="s">
        <v>37589</v>
      </c>
      <c r="B8033" s="10" t="str">
        <f>"9781936764280"</f>
        <v>9781936764280</v>
      </c>
      <c r="C8033" s="10" t="str">
        <f>"9781936764303"</f>
        <v>9781936764303</v>
      </c>
      <c r="D8033" s="10" t="s">
        <v>37580</v>
      </c>
      <c r="E8033" s="10" t="s">
        <v>37581</v>
      </c>
      <c r="F8033" s="10" t="s">
        <v>3101</v>
      </c>
      <c r="G8033" s="10" t="s">
        <v>6317</v>
      </c>
      <c r="H8033" s="11">
        <v>40833</v>
      </c>
      <c r="I8033" s="10">
        <v>2013</v>
      </c>
      <c r="J8033" s="10" t="s">
        <v>37581</v>
      </c>
      <c r="K8033" s="10">
        <v>328</v>
      </c>
      <c r="L8033" s="10" t="s">
        <v>37590</v>
      </c>
      <c r="M8033" s="10">
        <v>1</v>
      </c>
      <c r="N8033" s="10"/>
      <c r="O8033" s="10"/>
      <c r="P8033" s="10" t="s">
        <v>37591</v>
      </c>
      <c r="Q8033" s="10" t="s">
        <v>18744</v>
      </c>
      <c r="R8033" s="10" t="s">
        <v>37592</v>
      </c>
      <c r="S8033" s="10" t="s">
        <v>53</v>
      </c>
      <c r="T8033" s="10" t="s">
        <v>6498</v>
      </c>
    </row>
    <row r="8034" spans="1:20" ht="14.5" x14ac:dyDescent="0.35">
      <c r="A8034" s="10" t="s">
        <v>37593</v>
      </c>
      <c r="B8034" s="10" t="str">
        <f>"9780985890223"</f>
        <v>9780985890223</v>
      </c>
      <c r="C8034" s="10" t="str">
        <f>"9780985890230"</f>
        <v>9780985890230</v>
      </c>
      <c r="D8034" s="10" t="s">
        <v>37594</v>
      </c>
      <c r="E8034" s="10" t="s">
        <v>37594</v>
      </c>
      <c r="F8034" s="10" t="s">
        <v>3101</v>
      </c>
      <c r="G8034" s="10" t="s">
        <v>6317</v>
      </c>
      <c r="H8034" s="11">
        <v>40581</v>
      </c>
      <c r="I8034" s="10">
        <v>2011</v>
      </c>
      <c r="J8034" s="10" t="s">
        <v>37594</v>
      </c>
      <c r="K8034" s="10">
        <v>280</v>
      </c>
      <c r="L8034" s="10" t="s">
        <v>37595</v>
      </c>
      <c r="M8034" s="10">
        <v>1</v>
      </c>
      <c r="N8034" s="10"/>
      <c r="O8034" s="10"/>
      <c r="P8034" s="10" t="s">
        <v>37596</v>
      </c>
      <c r="Q8034" s="10">
        <v>428.00712729999998</v>
      </c>
      <c r="R8034" s="10" t="s">
        <v>37597</v>
      </c>
      <c r="S8034" s="10" t="s">
        <v>53</v>
      </c>
      <c r="T8034" s="10" t="s">
        <v>6634</v>
      </c>
    </row>
    <row r="8035" spans="1:20" ht="14.5" x14ac:dyDescent="0.35">
      <c r="A8035" s="10" t="s">
        <v>37598</v>
      </c>
      <c r="B8035" s="10" t="str">
        <f>"9781936765508"</f>
        <v>9781936765508</v>
      </c>
      <c r="C8035" s="10" t="str">
        <f>"9781936765522"</f>
        <v>9781936765522</v>
      </c>
      <c r="D8035" s="10" t="s">
        <v>37580</v>
      </c>
      <c r="E8035" s="10" t="s">
        <v>37581</v>
      </c>
      <c r="F8035" s="10" t="s">
        <v>3101</v>
      </c>
      <c r="G8035" s="10" t="s">
        <v>6317</v>
      </c>
      <c r="H8035" s="11">
        <v>41983</v>
      </c>
      <c r="I8035" s="10">
        <v>2012</v>
      </c>
      <c r="J8035" s="10" t="s">
        <v>37581</v>
      </c>
      <c r="K8035" s="10">
        <v>224</v>
      </c>
      <c r="L8035" s="10" t="s">
        <v>37599</v>
      </c>
      <c r="M8035" s="10">
        <v>1</v>
      </c>
      <c r="N8035" s="10"/>
      <c r="O8035" s="10"/>
      <c r="P8035" s="10" t="s">
        <v>37600</v>
      </c>
      <c r="Q8035" s="10" t="s">
        <v>20039</v>
      </c>
      <c r="R8035" s="10" t="s">
        <v>37601</v>
      </c>
      <c r="S8035" s="10" t="s">
        <v>53</v>
      </c>
      <c r="T8035" s="10" t="s">
        <v>389</v>
      </c>
    </row>
    <row r="8036" spans="1:20" ht="14.5" x14ac:dyDescent="0.35">
      <c r="A8036" s="10" t="s">
        <v>37602</v>
      </c>
      <c r="B8036" s="10" t="str">
        <f>"9781935542575"</f>
        <v>9781935542575</v>
      </c>
      <c r="C8036" s="10" t="str">
        <f>"9781935542599"</f>
        <v>9781935542599</v>
      </c>
      <c r="D8036" s="10" t="s">
        <v>37580</v>
      </c>
      <c r="E8036" s="10" t="s">
        <v>37581</v>
      </c>
      <c r="F8036" s="10" t="s">
        <v>3101</v>
      </c>
      <c r="G8036" s="10" t="s">
        <v>6317</v>
      </c>
      <c r="H8036" s="11">
        <v>41054</v>
      </c>
      <c r="I8036" s="10">
        <v>2012</v>
      </c>
      <c r="J8036" s="10" t="s">
        <v>37581</v>
      </c>
      <c r="K8036" s="10">
        <v>104</v>
      </c>
      <c r="L8036" s="10" t="s">
        <v>37603</v>
      </c>
      <c r="M8036" s="10">
        <v>2</v>
      </c>
      <c r="N8036" s="10" t="s">
        <v>37604</v>
      </c>
      <c r="O8036" s="10"/>
      <c r="P8036" s="10"/>
      <c r="Q8036" s="10">
        <v>371.39</v>
      </c>
      <c r="R8036" s="10" t="s">
        <v>37605</v>
      </c>
      <c r="S8036" s="10" t="s">
        <v>53</v>
      </c>
      <c r="T8036" s="10" t="s">
        <v>54</v>
      </c>
    </row>
    <row r="8037" spans="1:20" ht="14.5" x14ac:dyDescent="0.35">
      <c r="A8037" s="10" t="s">
        <v>37606</v>
      </c>
      <c r="B8037" s="10" t="str">
        <f>"9781934009529"</f>
        <v>9781934009529</v>
      </c>
      <c r="C8037" s="10" t="str">
        <f>"9781935543053"</f>
        <v>9781935543053</v>
      </c>
      <c r="D8037" s="10" t="s">
        <v>37580</v>
      </c>
      <c r="E8037" s="10" t="s">
        <v>37581</v>
      </c>
      <c r="F8037" s="10" t="s">
        <v>3101</v>
      </c>
      <c r="G8037" s="10" t="s">
        <v>6317</v>
      </c>
      <c r="H8037" s="11">
        <v>41957</v>
      </c>
      <c r="I8037" s="10">
        <v>2010</v>
      </c>
      <c r="J8037" s="10" t="s">
        <v>37581</v>
      </c>
      <c r="K8037" s="10">
        <v>176</v>
      </c>
      <c r="L8037" s="10" t="s">
        <v>37607</v>
      </c>
      <c r="M8037" s="10">
        <v>1</v>
      </c>
      <c r="N8037" s="10" t="s">
        <v>37608</v>
      </c>
      <c r="O8037" s="10"/>
      <c r="P8037" s="10"/>
      <c r="Q8037" s="10">
        <v>371.26</v>
      </c>
      <c r="R8037" s="10" t="s">
        <v>37609</v>
      </c>
      <c r="S8037" s="10" t="s">
        <v>53</v>
      </c>
      <c r="T8037" s="10" t="s">
        <v>54</v>
      </c>
    </row>
    <row r="8038" spans="1:20" ht="14.5" x14ac:dyDescent="0.35">
      <c r="A8038" s="10" t="s">
        <v>37610</v>
      </c>
      <c r="B8038" s="10" t="str">
        <f>"9781936765171"</f>
        <v>9781936765171</v>
      </c>
      <c r="C8038" s="10" t="str">
        <f>"9781936765195"</f>
        <v>9781936765195</v>
      </c>
      <c r="D8038" s="10" t="s">
        <v>37580</v>
      </c>
      <c r="E8038" s="10" t="s">
        <v>37581</v>
      </c>
      <c r="F8038" s="10" t="s">
        <v>3101</v>
      </c>
      <c r="G8038" s="10" t="s">
        <v>6317</v>
      </c>
      <c r="H8038" s="11">
        <v>40784</v>
      </c>
      <c r="I8038" s="10">
        <v>2012</v>
      </c>
      <c r="J8038" s="10" t="s">
        <v>37581</v>
      </c>
      <c r="K8038" s="10">
        <v>96</v>
      </c>
      <c r="L8038" s="10" t="s">
        <v>16543</v>
      </c>
      <c r="M8038" s="10">
        <v>1</v>
      </c>
      <c r="N8038" s="10" t="s">
        <v>37604</v>
      </c>
      <c r="O8038" s="10"/>
      <c r="P8038" s="10" t="s">
        <v>37611</v>
      </c>
      <c r="Q8038" s="10" t="s">
        <v>37612</v>
      </c>
      <c r="R8038" s="10" t="s">
        <v>37613</v>
      </c>
      <c r="S8038" s="10" t="s">
        <v>53</v>
      </c>
      <c r="T8038" s="10" t="s">
        <v>6616</v>
      </c>
    </row>
    <row r="8039" spans="1:20" ht="14.5" x14ac:dyDescent="0.35">
      <c r="A8039" s="10" t="s">
        <v>37614</v>
      </c>
      <c r="B8039" s="10" t="str">
        <f>"9781935542292"</f>
        <v>9781935542292</v>
      </c>
      <c r="C8039" s="10" t="str">
        <f>"9781935542315"</f>
        <v>9781935542315</v>
      </c>
      <c r="D8039" s="10" t="s">
        <v>37580</v>
      </c>
      <c r="E8039" s="10" t="s">
        <v>37581</v>
      </c>
      <c r="F8039" s="10" t="s">
        <v>3101</v>
      </c>
      <c r="G8039" s="10" t="s">
        <v>6317</v>
      </c>
      <c r="H8039" s="11">
        <v>40466</v>
      </c>
      <c r="I8039" s="10">
        <v>2012</v>
      </c>
      <c r="J8039" s="10" t="s">
        <v>37581</v>
      </c>
      <c r="K8039" s="10">
        <v>216</v>
      </c>
      <c r="L8039" s="10" t="s">
        <v>37615</v>
      </c>
      <c r="M8039" s="10">
        <v>1</v>
      </c>
      <c r="N8039" s="10" t="s">
        <v>37586</v>
      </c>
      <c r="O8039" s="10"/>
      <c r="P8039" s="10"/>
      <c r="Q8039" s="10" t="s">
        <v>9491</v>
      </c>
      <c r="R8039" s="10" t="s">
        <v>37616</v>
      </c>
      <c r="S8039" s="10" t="s">
        <v>53</v>
      </c>
      <c r="T8039" s="10" t="s">
        <v>54</v>
      </c>
    </row>
    <row r="8040" spans="1:20" ht="14.5" x14ac:dyDescent="0.35">
      <c r="A8040" s="10" t="s">
        <v>37617</v>
      </c>
      <c r="B8040" s="10" t="str">
        <f>"9781935542629"</f>
        <v>9781935542629</v>
      </c>
      <c r="C8040" s="10" t="str">
        <f>"9781935543596"</f>
        <v>9781935543596</v>
      </c>
      <c r="D8040" s="10" t="s">
        <v>37580</v>
      </c>
      <c r="E8040" s="10" t="s">
        <v>37618</v>
      </c>
      <c r="F8040" s="10" t="s">
        <v>3101</v>
      </c>
      <c r="G8040" s="10" t="s">
        <v>6317</v>
      </c>
      <c r="H8040" s="11">
        <v>40787</v>
      </c>
      <c r="I8040" s="10">
        <v>2012</v>
      </c>
      <c r="J8040" s="10" t="s">
        <v>37618</v>
      </c>
      <c r="K8040" s="10">
        <v>160</v>
      </c>
      <c r="L8040" s="10" t="s">
        <v>37619</v>
      </c>
      <c r="M8040" s="10">
        <v>1</v>
      </c>
      <c r="N8040" s="10"/>
      <c r="O8040" s="10"/>
      <c r="P8040" s="10" t="s">
        <v>37620</v>
      </c>
      <c r="Q8040" s="10" t="s">
        <v>10213</v>
      </c>
      <c r="R8040" s="10" t="s">
        <v>37621</v>
      </c>
      <c r="S8040" s="10" t="s">
        <v>53</v>
      </c>
      <c r="T8040" s="10" t="s">
        <v>54</v>
      </c>
    </row>
    <row r="8041" spans="1:20" ht="14.5" x14ac:dyDescent="0.35">
      <c r="A8041" s="10" t="s">
        <v>37622</v>
      </c>
      <c r="B8041" s="10" t="str">
        <f>"9781935249672"</f>
        <v>9781935249672</v>
      </c>
      <c r="C8041" s="10" t="str">
        <f>"9781934009888"</f>
        <v>9781934009888</v>
      </c>
      <c r="D8041" s="10" t="s">
        <v>37580</v>
      </c>
      <c r="E8041" s="10" t="s">
        <v>37581</v>
      </c>
      <c r="F8041" s="10" t="s">
        <v>37623</v>
      </c>
      <c r="G8041" s="10" t="s">
        <v>6317</v>
      </c>
      <c r="H8041" s="11">
        <v>40778</v>
      </c>
      <c r="I8041" s="10">
        <v>2009</v>
      </c>
      <c r="J8041" s="10" t="s">
        <v>37581</v>
      </c>
      <c r="K8041" s="10">
        <v>80</v>
      </c>
      <c r="L8041" s="10" t="s">
        <v>37624</v>
      </c>
      <c r="M8041" s="10">
        <v>1</v>
      </c>
      <c r="N8041" s="10" t="s">
        <v>37608</v>
      </c>
      <c r="O8041" s="10"/>
      <c r="P8041" s="10" t="s">
        <v>37625</v>
      </c>
      <c r="Q8041" s="10">
        <v>370.154</v>
      </c>
      <c r="R8041" s="10" t="s">
        <v>37626</v>
      </c>
      <c r="S8041" s="10" t="s">
        <v>53</v>
      </c>
      <c r="T8041" s="10" t="s">
        <v>54</v>
      </c>
    </row>
    <row r="8042" spans="1:20" ht="14.5" x14ac:dyDescent="0.35">
      <c r="A8042" s="10" t="s">
        <v>37627</v>
      </c>
      <c r="B8042" s="10" t="str">
        <f>"9781935543695"</f>
        <v>9781935543695</v>
      </c>
      <c r="C8042" s="10" t="str">
        <f>"9781935543701"</f>
        <v>9781935543701</v>
      </c>
      <c r="D8042" s="10" t="s">
        <v>37580</v>
      </c>
      <c r="E8042" s="10" t="s">
        <v>37581</v>
      </c>
      <c r="F8042" s="10" t="s">
        <v>37623</v>
      </c>
      <c r="G8042" s="10" t="s">
        <v>6317</v>
      </c>
      <c r="H8042" s="11">
        <v>41719</v>
      </c>
      <c r="I8042" s="10">
        <v>2013</v>
      </c>
      <c r="J8042" s="10" t="s">
        <v>37581</v>
      </c>
      <c r="K8042" s="10">
        <v>128</v>
      </c>
      <c r="L8042" s="10" t="s">
        <v>37628</v>
      </c>
      <c r="M8042" s="10">
        <v>1</v>
      </c>
      <c r="N8042" s="10" t="s">
        <v>37629</v>
      </c>
      <c r="O8042" s="10"/>
      <c r="P8042" s="10" t="s">
        <v>37630</v>
      </c>
      <c r="Q8042" s="10">
        <v>370.11599999999999</v>
      </c>
      <c r="R8042" s="10" t="s">
        <v>37631</v>
      </c>
      <c r="S8042" s="10" t="s">
        <v>53</v>
      </c>
      <c r="T8042" s="10" t="s">
        <v>54</v>
      </c>
    </row>
    <row r="8043" spans="1:20" ht="14.5" x14ac:dyDescent="0.35">
      <c r="A8043" s="10" t="s">
        <v>37632</v>
      </c>
      <c r="B8043" s="10" t="str">
        <f>"9781936765034"</f>
        <v>9781936765034</v>
      </c>
      <c r="C8043" s="10" t="str">
        <f>"9781936765058"</f>
        <v>9781936765058</v>
      </c>
      <c r="D8043" s="10" t="s">
        <v>37580</v>
      </c>
      <c r="E8043" s="10" t="s">
        <v>37581</v>
      </c>
      <c r="F8043" s="10" t="s">
        <v>3101</v>
      </c>
      <c r="G8043" s="10" t="s">
        <v>6317</v>
      </c>
      <c r="H8043" s="11">
        <v>40954</v>
      </c>
      <c r="I8043" s="10">
        <v>2012</v>
      </c>
      <c r="J8043" s="10" t="s">
        <v>37581</v>
      </c>
      <c r="K8043" s="10">
        <v>144</v>
      </c>
      <c r="L8043" s="10" t="s">
        <v>37633</v>
      </c>
      <c r="M8043" s="10">
        <v>2</v>
      </c>
      <c r="N8043" s="10"/>
      <c r="O8043" s="10"/>
      <c r="P8043" s="10"/>
      <c r="Q8043" s="10">
        <v>370.21</v>
      </c>
      <c r="R8043" s="10" t="s">
        <v>37634</v>
      </c>
      <c r="S8043" s="10" t="s">
        <v>53</v>
      </c>
      <c r="T8043" s="10" t="s">
        <v>54</v>
      </c>
    </row>
    <row r="8044" spans="1:20" ht="14.5" x14ac:dyDescent="0.35">
      <c r="A8044" s="10" t="s">
        <v>37635</v>
      </c>
      <c r="B8044" s="10" t="str">
        <f>"9780983351245"</f>
        <v>9780983351245</v>
      </c>
      <c r="C8044" s="10" t="str">
        <f>"9780983351252"</f>
        <v>9780983351252</v>
      </c>
      <c r="D8044" s="10" t="s">
        <v>37594</v>
      </c>
      <c r="E8044" s="10" t="s">
        <v>37594</v>
      </c>
      <c r="F8044" s="10" t="s">
        <v>37623</v>
      </c>
      <c r="G8044" s="10" t="s">
        <v>6317</v>
      </c>
      <c r="H8044" s="11">
        <v>40148</v>
      </c>
      <c r="I8044" s="10">
        <v>2012</v>
      </c>
      <c r="J8044" s="10" t="s">
        <v>37594</v>
      </c>
      <c r="K8044" s="10">
        <v>256</v>
      </c>
      <c r="L8044" s="10" t="s">
        <v>37636</v>
      </c>
      <c r="M8044" s="10">
        <v>1</v>
      </c>
      <c r="N8044" s="10" t="s">
        <v>37637</v>
      </c>
      <c r="O8044" s="10"/>
      <c r="P8044" s="10" t="s">
        <v>37638</v>
      </c>
      <c r="Q8044" s="10" t="s">
        <v>22010</v>
      </c>
      <c r="R8044" s="10" t="s">
        <v>31566</v>
      </c>
      <c r="S8044" s="10" t="s">
        <v>53</v>
      </c>
      <c r="T8044" s="10" t="s">
        <v>54</v>
      </c>
    </row>
    <row r="8045" spans="1:20" ht="14.5" x14ac:dyDescent="0.35">
      <c r="A8045" s="10" t="s">
        <v>37639</v>
      </c>
      <c r="B8045" s="10" t="str">
        <f>"9781936764624"</f>
        <v>9781936764624</v>
      </c>
      <c r="C8045" s="10" t="str">
        <f>"9781936764631"</f>
        <v>9781936764631</v>
      </c>
      <c r="D8045" s="10" t="s">
        <v>37580</v>
      </c>
      <c r="E8045" s="10" t="s">
        <v>37581</v>
      </c>
      <c r="F8045" s="10" t="s">
        <v>3101</v>
      </c>
      <c r="G8045" s="10" t="s">
        <v>6317</v>
      </c>
      <c r="H8045" s="11">
        <v>40269</v>
      </c>
      <c r="I8045" s="10">
        <v>2013</v>
      </c>
      <c r="J8045" s="10" t="s">
        <v>37581</v>
      </c>
      <c r="K8045" s="10">
        <v>288</v>
      </c>
      <c r="L8045" s="10" t="s">
        <v>37640</v>
      </c>
      <c r="M8045" s="10">
        <v>1</v>
      </c>
      <c r="N8045" s="10"/>
      <c r="O8045" s="10"/>
      <c r="P8045" s="10"/>
      <c r="Q8045" s="10"/>
      <c r="R8045" s="10"/>
      <c r="S8045" s="10" t="s">
        <v>53</v>
      </c>
      <c r="T8045" s="10" t="s">
        <v>24220</v>
      </c>
    </row>
    <row r="8046" spans="1:20" ht="14.5" x14ac:dyDescent="0.35">
      <c r="A8046" s="10" t="s">
        <v>37641</v>
      </c>
      <c r="B8046" s="10" t="str">
        <f>"9781936764457"</f>
        <v>9781936764457</v>
      </c>
      <c r="C8046" s="10" t="str">
        <f>"9781936764471"</f>
        <v>9781936764471</v>
      </c>
      <c r="D8046" s="10" t="s">
        <v>37580</v>
      </c>
      <c r="E8046" s="10" t="s">
        <v>37581</v>
      </c>
      <c r="F8046" s="10" t="s">
        <v>3101</v>
      </c>
      <c r="G8046" s="10" t="s">
        <v>6317</v>
      </c>
      <c r="H8046" s="11">
        <v>41837</v>
      </c>
      <c r="I8046" s="10">
        <v>2014</v>
      </c>
      <c r="J8046" s="10" t="s">
        <v>37581</v>
      </c>
      <c r="K8046" s="10">
        <v>176</v>
      </c>
      <c r="L8046" s="10" t="s">
        <v>37642</v>
      </c>
      <c r="M8046" s="10">
        <v>1</v>
      </c>
      <c r="N8046" s="10" t="s">
        <v>37586</v>
      </c>
      <c r="O8046" s="10"/>
      <c r="P8046" s="10" t="s">
        <v>37643</v>
      </c>
      <c r="Q8046" s="10" t="s">
        <v>7069</v>
      </c>
      <c r="R8046" s="10" t="s">
        <v>37644</v>
      </c>
      <c r="S8046" s="10" t="s">
        <v>53</v>
      </c>
      <c r="T8046" s="10" t="s">
        <v>54</v>
      </c>
    </row>
    <row r="8047" spans="1:20" ht="14.5" x14ac:dyDescent="0.35">
      <c r="A8047" s="10" t="s">
        <v>37645</v>
      </c>
      <c r="B8047" s="10" t="str">
        <f>"9781935543367"</f>
        <v>9781935543367</v>
      </c>
      <c r="C8047" s="10" t="str">
        <f>"9781935543381"</f>
        <v>9781935543381</v>
      </c>
      <c r="D8047" s="10" t="s">
        <v>37580</v>
      </c>
      <c r="E8047" s="10" t="s">
        <v>37581</v>
      </c>
      <c r="F8047" s="10" t="s">
        <v>3101</v>
      </c>
      <c r="G8047" s="10" t="s">
        <v>6317</v>
      </c>
      <c r="H8047" s="11">
        <v>40906</v>
      </c>
      <c r="I8047" s="10">
        <v>2012</v>
      </c>
      <c r="J8047" s="10" t="s">
        <v>37581</v>
      </c>
      <c r="K8047" s="10">
        <v>112</v>
      </c>
      <c r="L8047" s="10" t="s">
        <v>37646</v>
      </c>
      <c r="M8047" s="10">
        <v>1</v>
      </c>
      <c r="N8047" s="10" t="s">
        <v>37604</v>
      </c>
      <c r="O8047" s="10"/>
      <c r="P8047" s="10" t="s">
        <v>37647</v>
      </c>
      <c r="Q8047" s="10" t="s">
        <v>7299</v>
      </c>
      <c r="R8047" s="10" t="s">
        <v>37648</v>
      </c>
      <c r="S8047" s="10" t="s">
        <v>53</v>
      </c>
      <c r="T8047" s="10" t="s">
        <v>54</v>
      </c>
    </row>
    <row r="8048" spans="1:20" ht="14.5" x14ac:dyDescent="0.35">
      <c r="A8048" s="10" t="s">
        <v>37649</v>
      </c>
      <c r="B8048" s="10" t="str">
        <f>"9781936765362"</f>
        <v>9781936765362</v>
      </c>
      <c r="C8048" s="10" t="str">
        <f>"9781936765379"</f>
        <v>9781936765379</v>
      </c>
      <c r="D8048" s="10" t="s">
        <v>37580</v>
      </c>
      <c r="E8048" s="10" t="s">
        <v>37581</v>
      </c>
      <c r="F8048" s="10" t="s">
        <v>3101</v>
      </c>
      <c r="G8048" s="10" t="s">
        <v>6317</v>
      </c>
      <c r="H8048" s="11">
        <v>39600</v>
      </c>
      <c r="I8048" s="10">
        <v>2012</v>
      </c>
      <c r="J8048" s="10" t="s">
        <v>37581</v>
      </c>
      <c r="K8048" s="10">
        <v>288</v>
      </c>
      <c r="L8048" s="10" t="s">
        <v>37650</v>
      </c>
      <c r="M8048" s="10">
        <v>1</v>
      </c>
      <c r="N8048" s="10" t="s">
        <v>37608</v>
      </c>
      <c r="O8048" s="10"/>
      <c r="P8048" s="10"/>
      <c r="Q8048" s="10"/>
      <c r="R8048" s="10" t="s">
        <v>37651</v>
      </c>
      <c r="S8048" s="10" t="s">
        <v>53</v>
      </c>
      <c r="T8048" s="10" t="s">
        <v>54</v>
      </c>
    </row>
    <row r="8049" spans="1:20" ht="14.5" x14ac:dyDescent="0.35">
      <c r="A8049" s="10" t="s">
        <v>37652</v>
      </c>
      <c r="B8049" s="10" t="str">
        <f>"9781936764006"</f>
        <v>9781936764006</v>
      </c>
      <c r="C8049" s="10" t="str">
        <f>"9781936764020"</f>
        <v>9781936764020</v>
      </c>
      <c r="D8049" s="10" t="s">
        <v>37580</v>
      </c>
      <c r="E8049" s="10" t="s">
        <v>37581</v>
      </c>
      <c r="F8049" s="10" t="s">
        <v>3101</v>
      </c>
      <c r="G8049" s="10" t="s">
        <v>6317</v>
      </c>
      <c r="H8049" s="11">
        <v>39508</v>
      </c>
      <c r="I8049" s="10">
        <v>2012</v>
      </c>
      <c r="J8049" s="10" t="s">
        <v>37581</v>
      </c>
      <c r="K8049" s="10">
        <v>224</v>
      </c>
      <c r="L8049" s="10" t="s">
        <v>37653</v>
      </c>
      <c r="M8049" s="10">
        <v>1</v>
      </c>
      <c r="N8049" s="10"/>
      <c r="O8049" s="10"/>
      <c r="P8049" s="10" t="s">
        <v>37654</v>
      </c>
      <c r="Q8049" s="10" t="s">
        <v>37655</v>
      </c>
      <c r="R8049" s="10" t="s">
        <v>37656</v>
      </c>
      <c r="S8049" s="10" t="s">
        <v>53</v>
      </c>
      <c r="T8049" s="10" t="s">
        <v>7425</v>
      </c>
    </row>
    <row r="8050" spans="1:20" ht="14.5" x14ac:dyDescent="0.35">
      <c r="A8050" s="10" t="s">
        <v>37657</v>
      </c>
      <c r="B8050" s="10" t="str">
        <f>"9781936764723"</f>
        <v>9781936764723</v>
      </c>
      <c r="C8050" s="10" t="str">
        <f>"9781936764730"</f>
        <v>9781936764730</v>
      </c>
      <c r="D8050" s="10" t="s">
        <v>37580</v>
      </c>
      <c r="E8050" s="10" t="s">
        <v>37581</v>
      </c>
      <c r="F8050" s="10" t="s">
        <v>3101</v>
      </c>
      <c r="G8050" s="10" t="s">
        <v>6317</v>
      </c>
      <c r="H8050" s="11">
        <v>33239</v>
      </c>
      <c r="I8050" s="10">
        <v>2014</v>
      </c>
      <c r="J8050" s="10" t="s">
        <v>37581</v>
      </c>
      <c r="K8050" s="10">
        <v>232</v>
      </c>
      <c r="L8050" s="10" t="s">
        <v>37658</v>
      </c>
      <c r="M8050" s="10">
        <v>2</v>
      </c>
      <c r="N8050" s="10"/>
      <c r="O8050" s="10"/>
      <c r="P8050" s="10" t="s">
        <v>37659</v>
      </c>
      <c r="Q8050" s="10" t="s">
        <v>11803</v>
      </c>
      <c r="R8050" s="10" t="s">
        <v>37660</v>
      </c>
      <c r="S8050" s="10" t="s">
        <v>53</v>
      </c>
      <c r="T8050" s="10" t="s">
        <v>54</v>
      </c>
    </row>
    <row r="8051" spans="1:20" ht="14.5" x14ac:dyDescent="0.35">
      <c r="A8051" s="10" t="s">
        <v>37661</v>
      </c>
      <c r="B8051" s="10" t="str">
        <f>"9781936764167"</f>
        <v>9781936764167</v>
      </c>
      <c r="C8051" s="10" t="str">
        <f>"9781936764181"</f>
        <v>9781936764181</v>
      </c>
      <c r="D8051" s="10" t="s">
        <v>37580</v>
      </c>
      <c r="E8051" s="10" t="s">
        <v>37581</v>
      </c>
      <c r="F8051" s="10" t="s">
        <v>3101</v>
      </c>
      <c r="G8051" s="10" t="s">
        <v>6317</v>
      </c>
      <c r="H8051" s="11">
        <v>39753</v>
      </c>
      <c r="I8051" s="10">
        <v>2013</v>
      </c>
      <c r="J8051" s="10" t="s">
        <v>37581</v>
      </c>
      <c r="K8051" s="10">
        <v>184</v>
      </c>
      <c r="L8051" s="10" t="s">
        <v>16543</v>
      </c>
      <c r="M8051" s="10">
        <v>1</v>
      </c>
      <c r="N8051" s="10"/>
      <c r="O8051" s="10"/>
      <c r="P8051" s="10" t="s">
        <v>37662</v>
      </c>
      <c r="Q8051" s="10" t="s">
        <v>9646</v>
      </c>
      <c r="R8051" s="10" t="s">
        <v>37663</v>
      </c>
      <c r="S8051" s="10" t="s">
        <v>53</v>
      </c>
      <c r="T8051" s="10" t="s">
        <v>54</v>
      </c>
    </row>
    <row r="8052" spans="1:20" ht="14.5" x14ac:dyDescent="0.35">
      <c r="A8052" s="10" t="s">
        <v>37664</v>
      </c>
      <c r="B8052" s="10" t="str">
        <f>"9781935543589"</f>
        <v>9781935543589</v>
      </c>
      <c r="C8052" s="10" t="str">
        <f>"9781935543961"</f>
        <v>9781935543961</v>
      </c>
      <c r="D8052" s="10" t="s">
        <v>37580</v>
      </c>
      <c r="E8052" s="10" t="s">
        <v>37618</v>
      </c>
      <c r="F8052" s="10" t="s">
        <v>3101</v>
      </c>
      <c r="G8052" s="10" t="s">
        <v>6317</v>
      </c>
      <c r="H8052" s="11">
        <v>40026</v>
      </c>
      <c r="I8052" s="10">
        <v>2013</v>
      </c>
      <c r="J8052" s="10" t="s">
        <v>37618</v>
      </c>
      <c r="K8052" s="10">
        <v>136</v>
      </c>
      <c r="L8052" s="10" t="s">
        <v>37665</v>
      </c>
      <c r="M8052" s="10">
        <v>2</v>
      </c>
      <c r="N8052" s="10" t="s">
        <v>37666</v>
      </c>
      <c r="O8052" s="10"/>
      <c r="P8052" s="10" t="s">
        <v>37667</v>
      </c>
      <c r="Q8052" s="10" t="s">
        <v>19565</v>
      </c>
      <c r="R8052" s="10" t="s">
        <v>37668</v>
      </c>
      <c r="S8052" s="10" t="s">
        <v>53</v>
      </c>
      <c r="T8052" s="10" t="s">
        <v>54</v>
      </c>
    </row>
    <row r="8053" spans="1:20" ht="14.5" x14ac:dyDescent="0.35">
      <c r="A8053" s="10" t="s">
        <v>37669</v>
      </c>
      <c r="B8053" s="10" t="str">
        <f>"9781879639720"</f>
        <v>9781879639720</v>
      </c>
      <c r="C8053" s="10" t="str">
        <f>"9781936765959"</f>
        <v>9781936765959</v>
      </c>
      <c r="D8053" s="10" t="s">
        <v>37580</v>
      </c>
      <c r="E8053" s="10" t="s">
        <v>37618</v>
      </c>
      <c r="F8053" s="10" t="s">
        <v>3101</v>
      </c>
      <c r="G8053" s="10" t="s">
        <v>6317</v>
      </c>
      <c r="H8053" s="11">
        <v>36647</v>
      </c>
      <c r="I8053" s="10">
        <v>2002</v>
      </c>
      <c r="J8053" s="10" t="s">
        <v>37618</v>
      </c>
      <c r="K8053" s="10">
        <v>168</v>
      </c>
      <c r="L8053" s="10" t="s">
        <v>37670</v>
      </c>
      <c r="M8053" s="10">
        <v>2</v>
      </c>
      <c r="N8053" s="10"/>
      <c r="O8053" s="10"/>
      <c r="P8053" s="10" t="s">
        <v>37671</v>
      </c>
      <c r="Q8053" s="10"/>
      <c r="R8053" s="10" t="s">
        <v>37672</v>
      </c>
      <c r="S8053" s="10" t="s">
        <v>53</v>
      </c>
      <c r="T8053" s="10" t="s">
        <v>54</v>
      </c>
    </row>
    <row r="8054" spans="1:20" ht="14.5" x14ac:dyDescent="0.35">
      <c r="A8054" s="10" t="s">
        <v>37673</v>
      </c>
      <c r="B8054" s="10" t="str">
        <f>"9781936763351"</f>
        <v>9781936763351</v>
      </c>
      <c r="C8054" s="10" t="str">
        <f>"9781936763368"</f>
        <v>9781936763368</v>
      </c>
      <c r="D8054" s="10" t="s">
        <v>37580</v>
      </c>
      <c r="E8054" s="10" t="s">
        <v>37581</v>
      </c>
      <c r="F8054" s="10" t="s">
        <v>3101</v>
      </c>
      <c r="G8054" s="10" t="s">
        <v>6317</v>
      </c>
      <c r="H8054" s="11">
        <v>40962</v>
      </c>
      <c r="I8054" s="10">
        <v>2015</v>
      </c>
      <c r="J8054" s="10" t="s">
        <v>37581</v>
      </c>
      <c r="K8054" s="10">
        <v>416</v>
      </c>
      <c r="L8054" s="10" t="s">
        <v>26266</v>
      </c>
      <c r="M8054" s="10">
        <v>1</v>
      </c>
      <c r="N8054" s="10" t="s">
        <v>37586</v>
      </c>
      <c r="O8054" s="10"/>
      <c r="P8054" s="10"/>
      <c r="Q8054" s="10" t="s">
        <v>6942</v>
      </c>
      <c r="R8054" s="10" t="s">
        <v>37674</v>
      </c>
      <c r="S8054" s="10" t="s">
        <v>53</v>
      </c>
      <c r="T8054" s="10" t="s">
        <v>54</v>
      </c>
    </row>
    <row r="8055" spans="1:20" ht="14.5" x14ac:dyDescent="0.35">
      <c r="A8055" s="10" t="s">
        <v>37675</v>
      </c>
      <c r="B8055" s="10" t="str">
        <f>"9780791405208"</f>
        <v>9780791405208</v>
      </c>
      <c r="C8055" s="10" t="str">
        <f>"9780791494646"</f>
        <v>9780791494646</v>
      </c>
      <c r="D8055" s="10" t="s">
        <v>37676</v>
      </c>
      <c r="E8055" s="10" t="s">
        <v>37677</v>
      </c>
      <c r="F8055" s="10" t="s">
        <v>5707</v>
      </c>
      <c r="G8055" s="10" t="s">
        <v>6317</v>
      </c>
      <c r="H8055" s="11">
        <v>33260</v>
      </c>
      <c r="I8055" s="10">
        <v>1991</v>
      </c>
      <c r="J8055" s="10" t="s">
        <v>37678</v>
      </c>
      <c r="K8055" s="10">
        <v>127</v>
      </c>
      <c r="L8055" s="10" t="s">
        <v>37679</v>
      </c>
      <c r="M8055" s="10">
        <v>1</v>
      </c>
      <c r="N8055" s="10" t="s">
        <v>37680</v>
      </c>
      <c r="O8055" s="10"/>
      <c r="P8055" s="10" t="s">
        <v>37681</v>
      </c>
      <c r="Q8055" s="10" t="s">
        <v>9584</v>
      </c>
      <c r="R8055" s="10" t="s">
        <v>37682</v>
      </c>
      <c r="S8055" s="10" t="s">
        <v>53</v>
      </c>
      <c r="T8055" s="10" t="s">
        <v>54</v>
      </c>
    </row>
    <row r="8056" spans="1:20" ht="14.5" x14ac:dyDescent="0.35">
      <c r="A8056" s="10" t="s">
        <v>37683</v>
      </c>
      <c r="B8056" s="10" t="str">
        <f>"9780791410325"</f>
        <v>9780791410325</v>
      </c>
      <c r="C8056" s="10" t="str">
        <f>"9780791495315"</f>
        <v>9780791495315</v>
      </c>
      <c r="D8056" s="10" t="s">
        <v>37676</v>
      </c>
      <c r="E8056" s="10" t="s">
        <v>37677</v>
      </c>
      <c r="F8056" s="10" t="s">
        <v>5707</v>
      </c>
      <c r="G8056" s="10" t="s">
        <v>6317</v>
      </c>
      <c r="H8056" s="11">
        <v>33786</v>
      </c>
      <c r="I8056" s="10">
        <v>1992</v>
      </c>
      <c r="J8056" s="10" t="s">
        <v>37678</v>
      </c>
      <c r="K8056" s="10">
        <v>182</v>
      </c>
      <c r="L8056" s="10" t="s">
        <v>37684</v>
      </c>
      <c r="M8056" s="10">
        <v>1</v>
      </c>
      <c r="N8056" s="10" t="s">
        <v>37680</v>
      </c>
      <c r="O8056" s="10"/>
      <c r="P8056" s="10" t="s">
        <v>37685</v>
      </c>
      <c r="Q8056" s="10" t="s">
        <v>37686</v>
      </c>
      <c r="R8056" s="10" t="s">
        <v>37687</v>
      </c>
      <c r="S8056" s="10" t="s">
        <v>53</v>
      </c>
      <c r="T8056" s="10" t="s">
        <v>54</v>
      </c>
    </row>
    <row r="8057" spans="1:20" ht="14.5" x14ac:dyDescent="0.35">
      <c r="A8057" s="10" t="s">
        <v>37688</v>
      </c>
      <c r="B8057" s="10" t="str">
        <f>"9780791436202"</f>
        <v>9780791436202</v>
      </c>
      <c r="C8057" s="10" t="str">
        <f>"9780791495810"</f>
        <v>9780791495810</v>
      </c>
      <c r="D8057" s="10" t="s">
        <v>37676</v>
      </c>
      <c r="E8057" s="10" t="s">
        <v>37677</v>
      </c>
      <c r="F8057" s="10" t="s">
        <v>5707</v>
      </c>
      <c r="G8057" s="10" t="s">
        <v>6317</v>
      </c>
      <c r="H8057" s="11">
        <v>35873</v>
      </c>
      <c r="I8057" s="10">
        <v>1998</v>
      </c>
      <c r="J8057" s="10" t="s">
        <v>37678</v>
      </c>
      <c r="K8057" s="10">
        <v>194</v>
      </c>
      <c r="L8057" s="10" t="s">
        <v>37689</v>
      </c>
      <c r="M8057" s="10">
        <v>1</v>
      </c>
      <c r="N8057" s="10" t="s">
        <v>37690</v>
      </c>
      <c r="O8057" s="10"/>
      <c r="P8057" s="10" t="s">
        <v>37691</v>
      </c>
      <c r="Q8057" s="10" t="s">
        <v>37692</v>
      </c>
      <c r="R8057" s="10" t="s">
        <v>37693</v>
      </c>
      <c r="S8057" s="10" t="s">
        <v>53</v>
      </c>
      <c r="T8057" s="10" t="s">
        <v>54</v>
      </c>
    </row>
    <row r="8058" spans="1:20" ht="14.5" x14ac:dyDescent="0.35">
      <c r="A8058" s="10" t="s">
        <v>37694</v>
      </c>
      <c r="B8058" s="10" t="str">
        <f>"9780791402337"</f>
        <v>9780791402337</v>
      </c>
      <c r="C8058" s="10" t="str">
        <f>"9780791495001"</f>
        <v>9780791495001</v>
      </c>
      <c r="D8058" s="10" t="s">
        <v>37676</v>
      </c>
      <c r="E8058" s="10" t="s">
        <v>37677</v>
      </c>
      <c r="F8058" s="10" t="s">
        <v>5707</v>
      </c>
      <c r="G8058" s="10" t="s">
        <v>6317</v>
      </c>
      <c r="H8058" s="11">
        <v>33059</v>
      </c>
      <c r="I8058" s="10">
        <v>1990</v>
      </c>
      <c r="J8058" s="10" t="s">
        <v>37678</v>
      </c>
      <c r="K8058" s="10">
        <v>241</v>
      </c>
      <c r="L8058" s="10" t="s">
        <v>37695</v>
      </c>
      <c r="M8058" s="10">
        <v>1</v>
      </c>
      <c r="N8058" s="10" t="s">
        <v>37696</v>
      </c>
      <c r="O8058" s="10"/>
      <c r="P8058" s="10" t="s">
        <v>37697</v>
      </c>
      <c r="Q8058" s="10" t="s">
        <v>37698</v>
      </c>
      <c r="R8058" s="10" t="s">
        <v>37699</v>
      </c>
      <c r="S8058" s="10" t="s">
        <v>53</v>
      </c>
      <c r="T8058" s="10" t="s">
        <v>54</v>
      </c>
    </row>
    <row r="8059" spans="1:20" ht="14.5" x14ac:dyDescent="0.35">
      <c r="A8059" s="10" t="s">
        <v>37700</v>
      </c>
      <c r="B8059" s="10" t="str">
        <f>"9780791438497"</f>
        <v>9780791438497</v>
      </c>
      <c r="C8059" s="10" t="str">
        <f>"9780791497647"</f>
        <v>9780791497647</v>
      </c>
      <c r="D8059" s="10" t="s">
        <v>37676</v>
      </c>
      <c r="E8059" s="10" t="s">
        <v>37677</v>
      </c>
      <c r="F8059" s="10" t="s">
        <v>5707</v>
      </c>
      <c r="G8059" s="10" t="s">
        <v>6317</v>
      </c>
      <c r="H8059" s="11">
        <v>35986</v>
      </c>
      <c r="I8059" s="10">
        <v>1998</v>
      </c>
      <c r="J8059" s="10" t="s">
        <v>37678</v>
      </c>
      <c r="K8059" s="10">
        <v>152</v>
      </c>
      <c r="L8059" s="10" t="s">
        <v>37701</v>
      </c>
      <c r="M8059" s="10">
        <v>1</v>
      </c>
      <c r="N8059" s="10"/>
      <c r="O8059" s="10"/>
      <c r="P8059" s="10" t="s">
        <v>37702</v>
      </c>
      <c r="Q8059" s="10" t="s">
        <v>22489</v>
      </c>
      <c r="R8059" s="10" t="s">
        <v>37703</v>
      </c>
      <c r="S8059" s="10" t="s">
        <v>53</v>
      </c>
      <c r="T8059" s="10" t="s">
        <v>54</v>
      </c>
    </row>
    <row r="8060" spans="1:20" ht="14.5" x14ac:dyDescent="0.35">
      <c r="A8060" s="10" t="s">
        <v>37704</v>
      </c>
      <c r="B8060" s="10" t="str">
        <f>"9780791403990"</f>
        <v>9780791403990</v>
      </c>
      <c r="C8060" s="10" t="str">
        <f>"9780791497388"</f>
        <v>9780791497388</v>
      </c>
      <c r="D8060" s="10" t="s">
        <v>37676</v>
      </c>
      <c r="E8060" s="10" t="s">
        <v>37677</v>
      </c>
      <c r="F8060" s="10" t="s">
        <v>5707</v>
      </c>
      <c r="G8060" s="10" t="s">
        <v>6317</v>
      </c>
      <c r="H8060" s="11">
        <v>33112</v>
      </c>
      <c r="I8060" s="10">
        <v>1990</v>
      </c>
      <c r="J8060" s="10" t="s">
        <v>37678</v>
      </c>
      <c r="K8060" s="10">
        <v>195</v>
      </c>
      <c r="L8060" s="10" t="s">
        <v>37705</v>
      </c>
      <c r="M8060" s="10">
        <v>1</v>
      </c>
      <c r="N8060" s="10" t="s">
        <v>37706</v>
      </c>
      <c r="O8060" s="10"/>
      <c r="P8060" s="10" t="s">
        <v>37707</v>
      </c>
      <c r="Q8060" s="10" t="s">
        <v>30617</v>
      </c>
      <c r="R8060" s="10" t="s">
        <v>37708</v>
      </c>
      <c r="S8060" s="10" t="s">
        <v>53</v>
      </c>
      <c r="T8060" s="10" t="s">
        <v>8003</v>
      </c>
    </row>
    <row r="8061" spans="1:20" ht="14.5" x14ac:dyDescent="0.35">
      <c r="A8061" s="10" t="s">
        <v>37709</v>
      </c>
      <c r="B8061" s="10" t="str">
        <f>"9780791437292"</f>
        <v>9780791437292</v>
      </c>
      <c r="C8061" s="10" t="str">
        <f>"9780791496916"</f>
        <v>9780791496916</v>
      </c>
      <c r="D8061" s="10" t="s">
        <v>37676</v>
      </c>
      <c r="E8061" s="10" t="s">
        <v>37677</v>
      </c>
      <c r="F8061" s="10" t="s">
        <v>5707</v>
      </c>
      <c r="G8061" s="10" t="s">
        <v>6317</v>
      </c>
      <c r="H8061" s="11">
        <v>35873</v>
      </c>
      <c r="I8061" s="10">
        <v>1998</v>
      </c>
      <c r="J8061" s="10" t="s">
        <v>37678</v>
      </c>
      <c r="K8061" s="10">
        <v>194</v>
      </c>
      <c r="L8061" s="10" t="s">
        <v>37710</v>
      </c>
      <c r="M8061" s="10">
        <v>1</v>
      </c>
      <c r="N8061" s="10" t="s">
        <v>37706</v>
      </c>
      <c r="O8061" s="10"/>
      <c r="P8061" s="10" t="s">
        <v>37711</v>
      </c>
      <c r="Q8061" s="10" t="s">
        <v>12010</v>
      </c>
      <c r="R8061" s="10" t="s">
        <v>37712</v>
      </c>
      <c r="S8061" s="10" t="s">
        <v>53</v>
      </c>
      <c r="T8061" s="10" t="s">
        <v>54</v>
      </c>
    </row>
    <row r="8062" spans="1:20" ht="14.5" x14ac:dyDescent="0.35">
      <c r="A8062" s="10" t="s">
        <v>37713</v>
      </c>
      <c r="B8062" s="10" t="str">
        <f>"9780791416594"</f>
        <v>9780791416594</v>
      </c>
      <c r="C8062" s="10" t="str">
        <f>"9780791497159"</f>
        <v>9780791497159</v>
      </c>
      <c r="D8062" s="10" t="s">
        <v>37676</v>
      </c>
      <c r="E8062" s="10" t="s">
        <v>37677</v>
      </c>
      <c r="F8062" s="10" t="s">
        <v>5707</v>
      </c>
      <c r="G8062" s="10" t="s">
        <v>6317</v>
      </c>
      <c r="H8062" s="11">
        <v>34436</v>
      </c>
      <c r="I8062" s="10">
        <v>1994</v>
      </c>
      <c r="J8062" s="10" t="s">
        <v>37678</v>
      </c>
      <c r="K8062" s="10">
        <v>355</v>
      </c>
      <c r="L8062" s="10" t="s">
        <v>37714</v>
      </c>
      <c r="M8062" s="10">
        <v>1</v>
      </c>
      <c r="N8062" s="10" t="s">
        <v>37715</v>
      </c>
      <c r="O8062" s="10"/>
      <c r="P8062" s="10" t="s">
        <v>37716</v>
      </c>
      <c r="Q8062" s="10" t="s">
        <v>8587</v>
      </c>
      <c r="R8062" s="10" t="s">
        <v>37717</v>
      </c>
      <c r="S8062" s="10" t="s">
        <v>53</v>
      </c>
      <c r="T8062" s="10" t="s">
        <v>54</v>
      </c>
    </row>
    <row r="8063" spans="1:20" ht="14.5" x14ac:dyDescent="0.35">
      <c r="A8063" s="10" t="s">
        <v>37718</v>
      </c>
      <c r="B8063" s="10" t="str">
        <f>"9780791403761"</f>
        <v>9780791403761</v>
      </c>
      <c r="C8063" s="10" t="str">
        <f>"9780791496343"</f>
        <v>9780791496343</v>
      </c>
      <c r="D8063" s="10" t="s">
        <v>37676</v>
      </c>
      <c r="E8063" s="10" t="s">
        <v>37677</v>
      </c>
      <c r="F8063" s="10" t="s">
        <v>5707</v>
      </c>
      <c r="G8063" s="10" t="s">
        <v>6317</v>
      </c>
      <c r="H8063" s="11">
        <v>33211</v>
      </c>
      <c r="I8063" s="10">
        <v>1990</v>
      </c>
      <c r="J8063" s="10" t="s">
        <v>37678</v>
      </c>
      <c r="K8063" s="10">
        <v>82</v>
      </c>
      <c r="L8063" s="10" t="s">
        <v>37719</v>
      </c>
      <c r="M8063" s="10">
        <v>1</v>
      </c>
      <c r="N8063" s="10" t="s">
        <v>37720</v>
      </c>
      <c r="O8063" s="10"/>
      <c r="P8063" s="10" t="s">
        <v>37721</v>
      </c>
      <c r="Q8063" s="10" t="s">
        <v>9360</v>
      </c>
      <c r="R8063" s="10" t="s">
        <v>37722</v>
      </c>
      <c r="S8063" s="10" t="s">
        <v>53</v>
      </c>
      <c r="T8063" s="10" t="s">
        <v>54</v>
      </c>
    </row>
    <row r="8064" spans="1:20" ht="14.5" x14ac:dyDescent="0.35">
      <c r="A8064" s="10" t="s">
        <v>37723</v>
      </c>
      <c r="B8064" s="10" t="str">
        <f>"9780873958226"</f>
        <v>9780873958226</v>
      </c>
      <c r="C8064" s="10" t="str">
        <f>"9780791496800"</f>
        <v>9780791496800</v>
      </c>
      <c r="D8064" s="10" t="s">
        <v>37676</v>
      </c>
      <c r="E8064" s="10" t="s">
        <v>37677</v>
      </c>
      <c r="F8064" s="10" t="s">
        <v>5707</v>
      </c>
      <c r="G8064" s="10" t="s">
        <v>6317</v>
      </c>
      <c r="H8064" s="11">
        <v>31228</v>
      </c>
      <c r="I8064" s="10">
        <v>2012</v>
      </c>
      <c r="J8064" s="10" t="s">
        <v>37677</v>
      </c>
      <c r="K8064" s="10">
        <v>229</v>
      </c>
      <c r="L8064" s="10" t="s">
        <v>37724</v>
      </c>
      <c r="M8064" s="10">
        <v>1</v>
      </c>
      <c r="N8064" s="10"/>
      <c r="O8064" s="10"/>
      <c r="P8064" s="10"/>
      <c r="Q8064" s="10"/>
      <c r="R8064" s="10"/>
      <c r="S8064" s="10" t="s">
        <v>53</v>
      </c>
      <c r="T8064" s="10" t="s">
        <v>4490</v>
      </c>
    </row>
    <row r="8065" spans="1:20" ht="14.5" x14ac:dyDescent="0.35">
      <c r="A8065" s="10" t="s">
        <v>37725</v>
      </c>
      <c r="B8065" s="10" t="str">
        <f>"9780791412558"</f>
        <v>9780791412558</v>
      </c>
      <c r="C8065" s="10" t="str">
        <f>"9780791497296"</f>
        <v>9780791497296</v>
      </c>
      <c r="D8065" s="10" t="s">
        <v>37676</v>
      </c>
      <c r="E8065" s="10" t="s">
        <v>37677</v>
      </c>
      <c r="F8065" s="10" t="s">
        <v>5707</v>
      </c>
      <c r="G8065" s="10" t="s">
        <v>6317</v>
      </c>
      <c r="H8065" s="11">
        <v>33946</v>
      </c>
      <c r="I8065" s="10">
        <v>1993</v>
      </c>
      <c r="J8065" s="10" t="s">
        <v>37678</v>
      </c>
      <c r="K8065" s="10">
        <v>143</v>
      </c>
      <c r="L8065" s="10" t="s">
        <v>37726</v>
      </c>
      <c r="M8065" s="10">
        <v>1</v>
      </c>
      <c r="N8065" s="10" t="s">
        <v>37727</v>
      </c>
      <c r="O8065" s="10"/>
      <c r="P8065" s="10" t="s">
        <v>37728</v>
      </c>
      <c r="Q8065" s="10" t="s">
        <v>37729</v>
      </c>
      <c r="R8065" s="10" t="s">
        <v>37730</v>
      </c>
      <c r="S8065" s="10" t="s">
        <v>53</v>
      </c>
      <c r="T8065" s="10" t="s">
        <v>37731</v>
      </c>
    </row>
    <row r="8066" spans="1:20" ht="14.5" x14ac:dyDescent="0.35">
      <c r="A8066" s="10" t="s">
        <v>37732</v>
      </c>
      <c r="B8066" s="10" t="str">
        <f>"9780791444481"</f>
        <v>9780791444481</v>
      </c>
      <c r="C8066" s="10" t="str">
        <f>"9780791493175"</f>
        <v>9780791493175</v>
      </c>
      <c r="D8066" s="10" t="s">
        <v>37676</v>
      </c>
      <c r="E8066" s="10" t="s">
        <v>37677</v>
      </c>
      <c r="F8066" s="10" t="s">
        <v>5707</v>
      </c>
      <c r="G8066" s="10" t="s">
        <v>6317</v>
      </c>
      <c r="H8066" s="11">
        <v>36559</v>
      </c>
      <c r="I8066" s="10">
        <v>2000</v>
      </c>
      <c r="J8066" s="10" t="s">
        <v>37678</v>
      </c>
      <c r="K8066" s="10">
        <v>77</v>
      </c>
      <c r="L8066" s="10" t="s">
        <v>37733</v>
      </c>
      <c r="M8066" s="10">
        <v>1</v>
      </c>
      <c r="N8066" s="10"/>
      <c r="O8066" s="10"/>
      <c r="P8066" s="10" t="s">
        <v>37734</v>
      </c>
      <c r="Q8066" s="10" t="s">
        <v>9491</v>
      </c>
      <c r="R8066" s="10" t="s">
        <v>37735</v>
      </c>
      <c r="S8066" s="10" t="s">
        <v>53</v>
      </c>
      <c r="T8066" s="10" t="s">
        <v>54</v>
      </c>
    </row>
    <row r="8067" spans="1:20" ht="14.5" x14ac:dyDescent="0.35">
      <c r="A8067" s="10" t="s">
        <v>37736</v>
      </c>
      <c r="B8067" s="10" t="str">
        <f>"9780791425015"</f>
        <v>9780791425015</v>
      </c>
      <c r="C8067" s="10" t="str">
        <f>"9780791497357"</f>
        <v>9780791497357</v>
      </c>
      <c r="D8067" s="10" t="s">
        <v>37676</v>
      </c>
      <c r="E8067" s="10" t="s">
        <v>37677</v>
      </c>
      <c r="F8067" s="10" t="s">
        <v>5707</v>
      </c>
      <c r="G8067" s="10" t="s">
        <v>6317</v>
      </c>
      <c r="H8067" s="11">
        <v>34914</v>
      </c>
      <c r="I8067" s="10">
        <v>1995</v>
      </c>
      <c r="J8067" s="10" t="s">
        <v>37678</v>
      </c>
      <c r="K8067" s="10">
        <v>66</v>
      </c>
      <c r="L8067" s="10" t="s">
        <v>37737</v>
      </c>
      <c r="M8067" s="10">
        <v>1</v>
      </c>
      <c r="N8067" s="10"/>
      <c r="O8067" s="10"/>
      <c r="P8067" s="10" t="s">
        <v>37738</v>
      </c>
      <c r="Q8067" s="10" t="s">
        <v>37739</v>
      </c>
      <c r="R8067" s="10" t="s">
        <v>37740</v>
      </c>
      <c r="S8067" s="10" t="s">
        <v>53</v>
      </c>
      <c r="T8067" s="10" t="s">
        <v>54</v>
      </c>
    </row>
    <row r="8068" spans="1:20" ht="14.5" x14ac:dyDescent="0.35">
      <c r="A8068" s="10" t="s">
        <v>37741</v>
      </c>
      <c r="B8068" s="10" t="str">
        <f>"9780791413975"</f>
        <v>9780791413975</v>
      </c>
      <c r="C8068" s="10" t="str">
        <f>"9780791496534"</f>
        <v>9780791496534</v>
      </c>
      <c r="D8068" s="10" t="s">
        <v>37676</v>
      </c>
      <c r="E8068" s="10" t="s">
        <v>37677</v>
      </c>
      <c r="F8068" s="10" t="s">
        <v>5707</v>
      </c>
      <c r="G8068" s="10" t="s">
        <v>6317</v>
      </c>
      <c r="H8068" s="11">
        <v>34151</v>
      </c>
      <c r="I8068" s="10">
        <v>1993</v>
      </c>
      <c r="J8068" s="10" t="s">
        <v>37678</v>
      </c>
      <c r="K8068" s="10">
        <v>216</v>
      </c>
      <c r="L8068" s="10" t="s">
        <v>37742</v>
      </c>
      <c r="M8068" s="10">
        <v>1</v>
      </c>
      <c r="N8068" s="10" t="s">
        <v>37743</v>
      </c>
      <c r="O8068" s="10"/>
      <c r="P8068" s="10" t="s">
        <v>37744</v>
      </c>
      <c r="Q8068" s="10">
        <v>372.83</v>
      </c>
      <c r="R8068" s="10" t="s">
        <v>37745</v>
      </c>
      <c r="S8068" s="10" t="s">
        <v>53</v>
      </c>
      <c r="T8068" s="10" t="s">
        <v>54</v>
      </c>
    </row>
    <row r="8069" spans="1:20" ht="14.5" x14ac:dyDescent="0.35">
      <c r="A8069" s="10" t="s">
        <v>37746</v>
      </c>
      <c r="B8069" s="10" t="str">
        <f>"9780791430262"</f>
        <v>9780791430262</v>
      </c>
      <c r="C8069" s="10" t="str">
        <f>"9780791497579"</f>
        <v>9780791497579</v>
      </c>
      <c r="D8069" s="10" t="s">
        <v>37676</v>
      </c>
      <c r="E8069" s="10" t="s">
        <v>37677</v>
      </c>
      <c r="F8069" s="10" t="s">
        <v>5707</v>
      </c>
      <c r="G8069" s="10" t="s">
        <v>6317</v>
      </c>
      <c r="H8069" s="11">
        <v>35249</v>
      </c>
      <c r="I8069" s="10">
        <v>1996</v>
      </c>
      <c r="J8069" s="10" t="s">
        <v>37678</v>
      </c>
      <c r="K8069" s="10">
        <v>162</v>
      </c>
      <c r="L8069" s="10" t="s">
        <v>37747</v>
      </c>
      <c r="M8069" s="10">
        <v>1</v>
      </c>
      <c r="N8069" s="10" t="s">
        <v>37748</v>
      </c>
      <c r="O8069" s="10"/>
      <c r="P8069" s="10" t="s">
        <v>37749</v>
      </c>
      <c r="Q8069" s="10" t="s">
        <v>32327</v>
      </c>
      <c r="R8069" s="10" t="s">
        <v>37750</v>
      </c>
      <c r="S8069" s="10" t="s">
        <v>53</v>
      </c>
      <c r="T8069" s="10" t="s">
        <v>54</v>
      </c>
    </row>
    <row r="8070" spans="1:20" ht="14.5" x14ac:dyDescent="0.35">
      <c r="A8070" s="10" t="s">
        <v>37751</v>
      </c>
      <c r="B8070" s="10" t="str">
        <f>"9780791438077"</f>
        <v>9780791438077</v>
      </c>
      <c r="C8070" s="10" t="str">
        <f>"9780791497586"</f>
        <v>9780791497586</v>
      </c>
      <c r="D8070" s="10" t="s">
        <v>37676</v>
      </c>
      <c r="E8070" s="10" t="s">
        <v>37677</v>
      </c>
      <c r="F8070" s="10" t="s">
        <v>5707</v>
      </c>
      <c r="G8070" s="10" t="s">
        <v>6317</v>
      </c>
      <c r="H8070" s="11">
        <v>35873</v>
      </c>
      <c r="I8070" s="10">
        <v>1998</v>
      </c>
      <c r="J8070" s="10" t="s">
        <v>37678</v>
      </c>
      <c r="K8070" s="10">
        <v>178</v>
      </c>
      <c r="L8070" s="10" t="s">
        <v>37752</v>
      </c>
      <c r="M8070" s="10">
        <v>1</v>
      </c>
      <c r="N8070" s="10"/>
      <c r="O8070" s="10"/>
      <c r="P8070" s="10" t="s">
        <v>37753</v>
      </c>
      <c r="Q8070" s="10" t="s">
        <v>6942</v>
      </c>
      <c r="R8070" s="10" t="s">
        <v>37754</v>
      </c>
      <c r="S8070" s="10" t="s">
        <v>53</v>
      </c>
      <c r="T8070" s="10" t="s">
        <v>54</v>
      </c>
    </row>
    <row r="8071" spans="1:20" ht="14.5" x14ac:dyDescent="0.35">
      <c r="A8071" s="10" t="s">
        <v>37755</v>
      </c>
      <c r="B8071" s="10" t="str">
        <f>"9780791445686"</f>
        <v>9780791445686</v>
      </c>
      <c r="C8071" s="10" t="str">
        <f>"9780791492642"</f>
        <v>9780791492642</v>
      </c>
      <c r="D8071" s="10" t="s">
        <v>37676</v>
      </c>
      <c r="E8071" s="10" t="s">
        <v>37677</v>
      </c>
      <c r="F8071" s="10" t="s">
        <v>5707</v>
      </c>
      <c r="G8071" s="10" t="s">
        <v>6317</v>
      </c>
      <c r="H8071" s="11">
        <v>36672</v>
      </c>
      <c r="I8071" s="10">
        <v>2000</v>
      </c>
      <c r="J8071" s="10" t="s">
        <v>37678</v>
      </c>
      <c r="K8071" s="10">
        <v>182</v>
      </c>
      <c r="L8071" s="10" t="s">
        <v>37756</v>
      </c>
      <c r="M8071" s="10">
        <v>1</v>
      </c>
      <c r="N8071" s="10" t="s">
        <v>37757</v>
      </c>
      <c r="O8071" s="10"/>
      <c r="P8071" s="10" t="s">
        <v>37758</v>
      </c>
      <c r="Q8071" s="10" t="s">
        <v>37759</v>
      </c>
      <c r="R8071" s="10" t="s">
        <v>37760</v>
      </c>
      <c r="S8071" s="10" t="s">
        <v>53</v>
      </c>
      <c r="T8071" s="10" t="s">
        <v>54</v>
      </c>
    </row>
    <row r="8072" spans="1:20" ht="14.5" x14ac:dyDescent="0.35">
      <c r="A8072" s="10" t="s">
        <v>37761</v>
      </c>
      <c r="B8072" s="10" t="str">
        <f>"9780791405864"</f>
        <v>9780791405864</v>
      </c>
      <c r="C8072" s="10" t="str">
        <f>"9780791498163"</f>
        <v>9780791498163</v>
      </c>
      <c r="D8072" s="10" t="s">
        <v>37676</v>
      </c>
      <c r="E8072" s="10" t="s">
        <v>37677</v>
      </c>
      <c r="F8072" s="10" t="s">
        <v>5707</v>
      </c>
      <c r="G8072" s="10" t="s">
        <v>6317</v>
      </c>
      <c r="H8072" s="11">
        <v>33508</v>
      </c>
      <c r="I8072" s="10">
        <v>1991</v>
      </c>
      <c r="J8072" s="10" t="s">
        <v>37678</v>
      </c>
      <c r="K8072" s="10">
        <v>256</v>
      </c>
      <c r="L8072" s="10" t="s">
        <v>37762</v>
      </c>
      <c r="M8072" s="10">
        <v>1</v>
      </c>
      <c r="N8072" s="10"/>
      <c r="O8072" s="10"/>
      <c r="P8072" s="10" t="s">
        <v>37763</v>
      </c>
      <c r="Q8072" s="10" t="s">
        <v>37764</v>
      </c>
      <c r="R8072" s="10" t="s">
        <v>37765</v>
      </c>
      <c r="S8072" s="10" t="s">
        <v>53</v>
      </c>
      <c r="T8072" s="10" t="s">
        <v>6363</v>
      </c>
    </row>
    <row r="8073" spans="1:20" ht="14.5" x14ac:dyDescent="0.35">
      <c r="A8073" s="10" t="s">
        <v>37766</v>
      </c>
      <c r="B8073" s="10" t="str">
        <f>"9780791429907"</f>
        <v>9780791429907</v>
      </c>
      <c r="C8073" s="10" t="str">
        <f>"9780791497715"</f>
        <v>9780791497715</v>
      </c>
      <c r="D8073" s="10" t="s">
        <v>37676</v>
      </c>
      <c r="E8073" s="10" t="s">
        <v>37677</v>
      </c>
      <c r="F8073" s="10" t="s">
        <v>2536</v>
      </c>
      <c r="G8073" s="10" t="s">
        <v>6317</v>
      </c>
      <c r="H8073" s="11">
        <v>35249</v>
      </c>
      <c r="I8073" s="10">
        <v>1996</v>
      </c>
      <c r="J8073" s="10" t="s">
        <v>37678</v>
      </c>
      <c r="K8073" s="10">
        <v>165</v>
      </c>
      <c r="L8073" s="10" t="s">
        <v>8783</v>
      </c>
      <c r="M8073" s="10">
        <v>1</v>
      </c>
      <c r="N8073" s="10" t="s">
        <v>37767</v>
      </c>
      <c r="O8073" s="10"/>
      <c r="P8073" s="10" t="s">
        <v>37768</v>
      </c>
      <c r="Q8073" s="10" t="s">
        <v>8587</v>
      </c>
      <c r="R8073" s="10" t="s">
        <v>37769</v>
      </c>
      <c r="S8073" s="10" t="s">
        <v>53</v>
      </c>
      <c r="T8073" s="10" t="s">
        <v>54</v>
      </c>
    </row>
    <row r="8074" spans="1:20" ht="14.5" x14ac:dyDescent="0.35">
      <c r="A8074" s="10" t="s">
        <v>37770</v>
      </c>
      <c r="B8074" s="10" t="str">
        <f>"9780791406755"</f>
        <v>9780791406755</v>
      </c>
      <c r="C8074" s="10" t="str">
        <f>"9780791499078"</f>
        <v>9780791499078</v>
      </c>
      <c r="D8074" s="10" t="s">
        <v>37676</v>
      </c>
      <c r="E8074" s="10" t="s">
        <v>37677</v>
      </c>
      <c r="F8074" s="10" t="s">
        <v>5707</v>
      </c>
      <c r="G8074" s="10" t="s">
        <v>6317</v>
      </c>
      <c r="H8074" s="11">
        <v>33484</v>
      </c>
      <c r="I8074" s="10">
        <v>1991</v>
      </c>
      <c r="J8074" s="10" t="s">
        <v>37678</v>
      </c>
      <c r="K8074" s="10">
        <v>124</v>
      </c>
      <c r="L8074" s="10" t="s">
        <v>37771</v>
      </c>
      <c r="M8074" s="10">
        <v>1</v>
      </c>
      <c r="N8074" s="10" t="s">
        <v>37772</v>
      </c>
      <c r="O8074" s="10"/>
      <c r="P8074" s="10" t="s">
        <v>37773</v>
      </c>
      <c r="Q8074" s="10">
        <v>372.6</v>
      </c>
      <c r="R8074" s="10" t="s">
        <v>37774</v>
      </c>
      <c r="S8074" s="10" t="s">
        <v>53</v>
      </c>
      <c r="T8074" s="10" t="s">
        <v>54</v>
      </c>
    </row>
    <row r="8075" spans="1:20" ht="14.5" x14ac:dyDescent="0.35">
      <c r="A8075" s="10" t="s">
        <v>37775</v>
      </c>
      <c r="B8075" s="10" t="str">
        <f>"9780887064630"</f>
        <v>9780887064630</v>
      </c>
      <c r="C8075" s="10" t="str">
        <f>"9780791498705"</f>
        <v>9780791498705</v>
      </c>
      <c r="D8075" s="10" t="s">
        <v>37676</v>
      </c>
      <c r="E8075" s="10" t="s">
        <v>37677</v>
      </c>
      <c r="F8075" s="10" t="s">
        <v>5707</v>
      </c>
      <c r="G8075" s="10" t="s">
        <v>6317</v>
      </c>
      <c r="H8075" s="11">
        <v>31959</v>
      </c>
      <c r="I8075" s="10">
        <v>1987</v>
      </c>
      <c r="J8075" s="10" t="s">
        <v>37678</v>
      </c>
      <c r="K8075" s="10">
        <v>145</v>
      </c>
      <c r="L8075" s="10" t="s">
        <v>37776</v>
      </c>
      <c r="M8075" s="10">
        <v>1</v>
      </c>
      <c r="N8075" s="10"/>
      <c r="O8075" s="10"/>
      <c r="P8075" s="10" t="s">
        <v>37777</v>
      </c>
      <c r="Q8075" s="10" t="s">
        <v>7600</v>
      </c>
      <c r="R8075" s="10" t="s">
        <v>37778</v>
      </c>
      <c r="S8075" s="10" t="s">
        <v>53</v>
      </c>
      <c r="T8075" s="10" t="s">
        <v>54</v>
      </c>
    </row>
    <row r="8076" spans="1:20" ht="14.5" x14ac:dyDescent="0.35">
      <c r="A8076" s="10" t="s">
        <v>37779</v>
      </c>
      <c r="B8076" s="10" t="str">
        <f>"9780791432839"</f>
        <v>9780791432839</v>
      </c>
      <c r="C8076" s="10" t="str">
        <f>"9781438400181"</f>
        <v>9781438400181</v>
      </c>
      <c r="D8076" s="10" t="s">
        <v>37676</v>
      </c>
      <c r="E8076" s="10" t="s">
        <v>37677</v>
      </c>
      <c r="F8076" s="10" t="s">
        <v>5707</v>
      </c>
      <c r="G8076" s="10" t="s">
        <v>6317</v>
      </c>
      <c r="H8076" s="11">
        <v>35495</v>
      </c>
      <c r="I8076" s="10">
        <v>1997</v>
      </c>
      <c r="J8076" s="10" t="s">
        <v>37678</v>
      </c>
      <c r="K8076" s="10">
        <v>216</v>
      </c>
      <c r="L8076" s="10" t="s">
        <v>37780</v>
      </c>
      <c r="M8076" s="10">
        <v>1</v>
      </c>
      <c r="N8076" s="10" t="s">
        <v>37680</v>
      </c>
      <c r="O8076" s="10"/>
      <c r="P8076" s="10" t="s">
        <v>37781</v>
      </c>
      <c r="Q8076" s="10" t="s">
        <v>37782</v>
      </c>
      <c r="R8076" s="10" t="s">
        <v>37783</v>
      </c>
      <c r="S8076" s="10" t="s">
        <v>53</v>
      </c>
      <c r="T8076" s="10" t="s">
        <v>54</v>
      </c>
    </row>
    <row r="8077" spans="1:20" ht="14.5" x14ac:dyDescent="0.35">
      <c r="A8077" s="10" t="s">
        <v>37784</v>
      </c>
      <c r="B8077" s="10" t="str">
        <f>"9780791429488"</f>
        <v>9780791429488</v>
      </c>
      <c r="C8077" s="10" t="str">
        <f>"9780791498095"</f>
        <v>9780791498095</v>
      </c>
      <c r="D8077" s="10" t="s">
        <v>37676</v>
      </c>
      <c r="E8077" s="10" t="s">
        <v>37677</v>
      </c>
      <c r="F8077" s="10" t="s">
        <v>5707</v>
      </c>
      <c r="G8077" s="10" t="s">
        <v>6317</v>
      </c>
      <c r="H8077" s="11">
        <v>35249</v>
      </c>
      <c r="I8077" s="10">
        <v>1996</v>
      </c>
      <c r="J8077" s="10" t="s">
        <v>37678</v>
      </c>
      <c r="K8077" s="10">
        <v>155</v>
      </c>
      <c r="L8077" s="10" t="s">
        <v>37785</v>
      </c>
      <c r="M8077" s="10">
        <v>1</v>
      </c>
      <c r="N8077" s="10"/>
      <c r="O8077" s="10"/>
      <c r="P8077" s="10" t="s">
        <v>37786</v>
      </c>
      <c r="Q8077" s="10" t="s">
        <v>37787</v>
      </c>
      <c r="R8077" s="10" t="s">
        <v>37788</v>
      </c>
      <c r="S8077" s="10" t="s">
        <v>53</v>
      </c>
      <c r="T8077" s="10" t="s">
        <v>4859</v>
      </c>
    </row>
    <row r="8078" spans="1:20" ht="14.5" x14ac:dyDescent="0.35">
      <c r="A8078" s="10" t="s">
        <v>37789</v>
      </c>
      <c r="B8078" s="10" t="str">
        <f>"9780791419151"</f>
        <v>9780791419151</v>
      </c>
      <c r="C8078" s="10" t="str">
        <f>"9780791497654"</f>
        <v>9780791497654</v>
      </c>
      <c r="D8078" s="10" t="s">
        <v>37676</v>
      </c>
      <c r="E8078" s="10" t="s">
        <v>37677</v>
      </c>
      <c r="F8078" s="10" t="s">
        <v>2536</v>
      </c>
      <c r="G8078" s="10" t="s">
        <v>6317</v>
      </c>
      <c r="H8078" s="11">
        <v>34516</v>
      </c>
      <c r="I8078" s="10">
        <v>1994</v>
      </c>
      <c r="J8078" s="10" t="s">
        <v>37678</v>
      </c>
      <c r="K8078" s="10">
        <v>200</v>
      </c>
      <c r="L8078" s="10" t="s">
        <v>37790</v>
      </c>
      <c r="M8078" s="10">
        <v>1</v>
      </c>
      <c r="N8078" s="10"/>
      <c r="O8078" s="10"/>
      <c r="P8078" s="10" t="s">
        <v>37791</v>
      </c>
      <c r="Q8078" s="10" t="s">
        <v>36915</v>
      </c>
      <c r="R8078" s="10" t="s">
        <v>37792</v>
      </c>
      <c r="S8078" s="10" t="s">
        <v>53</v>
      </c>
      <c r="T8078" s="10" t="s">
        <v>54</v>
      </c>
    </row>
    <row r="8079" spans="1:20" ht="14.5" x14ac:dyDescent="0.35">
      <c r="A8079" s="10" t="s">
        <v>37793</v>
      </c>
      <c r="B8079" s="10" t="str">
        <f>"9780887063527"</f>
        <v>9780887063527</v>
      </c>
      <c r="C8079" s="10" t="str">
        <f>"9780791498620"</f>
        <v>9780791498620</v>
      </c>
      <c r="D8079" s="10" t="s">
        <v>37676</v>
      </c>
      <c r="E8079" s="10" t="s">
        <v>37677</v>
      </c>
      <c r="F8079" s="10" t="s">
        <v>5707</v>
      </c>
      <c r="G8079" s="10" t="s">
        <v>6317</v>
      </c>
      <c r="H8079" s="11">
        <v>31716</v>
      </c>
      <c r="I8079" s="10">
        <v>1987</v>
      </c>
      <c r="J8079" s="10" t="s">
        <v>37678</v>
      </c>
      <c r="K8079" s="10">
        <v>178</v>
      </c>
      <c r="L8079" s="10" t="s">
        <v>37794</v>
      </c>
      <c r="M8079" s="10">
        <v>1</v>
      </c>
      <c r="N8079" s="10"/>
      <c r="O8079" s="10"/>
      <c r="P8079" s="10" t="s">
        <v>37795</v>
      </c>
      <c r="Q8079" s="10" t="s">
        <v>9141</v>
      </c>
      <c r="R8079" s="10" t="s">
        <v>37796</v>
      </c>
      <c r="S8079" s="10" t="s">
        <v>53</v>
      </c>
      <c r="T8079" s="10" t="s">
        <v>8424</v>
      </c>
    </row>
    <row r="8080" spans="1:20" ht="14.5" x14ac:dyDescent="0.35">
      <c r="A8080" s="10" t="s">
        <v>37797</v>
      </c>
      <c r="B8080" s="10" t="str">
        <f>"9780791430828"</f>
        <v>9780791430828</v>
      </c>
      <c r="C8080" s="10" t="str">
        <f>"9781438400532"</f>
        <v>9781438400532</v>
      </c>
      <c r="D8080" s="10" t="s">
        <v>37676</v>
      </c>
      <c r="E8080" s="10" t="s">
        <v>37677</v>
      </c>
      <c r="F8080" s="10" t="s">
        <v>5707</v>
      </c>
      <c r="G8080" s="10" t="s">
        <v>6317</v>
      </c>
      <c r="H8080" s="11">
        <v>35278</v>
      </c>
      <c r="I8080" s="10">
        <v>1996</v>
      </c>
      <c r="J8080" s="10" t="s">
        <v>37677</v>
      </c>
      <c r="K8080" s="10">
        <v>180</v>
      </c>
      <c r="L8080" s="10" t="s">
        <v>37798</v>
      </c>
      <c r="M8080" s="10">
        <v>1</v>
      </c>
      <c r="N8080" s="10"/>
      <c r="O8080" s="10"/>
      <c r="P8080" s="10" t="s">
        <v>37799</v>
      </c>
      <c r="Q8080" s="10" t="s">
        <v>37800</v>
      </c>
      <c r="R8080" s="10" t="s">
        <v>37801</v>
      </c>
      <c r="S8080" s="10" t="s">
        <v>53</v>
      </c>
      <c r="T8080" s="10" t="s">
        <v>54</v>
      </c>
    </row>
    <row r="8081" spans="1:20" ht="14.5" x14ac:dyDescent="0.35">
      <c r="A8081" s="10" t="s">
        <v>37802</v>
      </c>
      <c r="B8081" s="10" t="str">
        <f>"9780791445693"</f>
        <v>9780791445693</v>
      </c>
      <c r="C8081" s="10" t="str">
        <f>"9780791492666"</f>
        <v>9780791492666</v>
      </c>
      <c r="D8081" s="10" t="s">
        <v>37676</v>
      </c>
      <c r="E8081" s="10" t="s">
        <v>37677</v>
      </c>
      <c r="F8081" s="10" t="s">
        <v>5707</v>
      </c>
      <c r="G8081" s="10" t="s">
        <v>6317</v>
      </c>
      <c r="H8081" s="11">
        <v>36636</v>
      </c>
      <c r="I8081" s="10">
        <v>2012</v>
      </c>
      <c r="J8081" s="10" t="s">
        <v>37677</v>
      </c>
      <c r="K8081" s="10">
        <v>223</v>
      </c>
      <c r="L8081" s="10" t="s">
        <v>37803</v>
      </c>
      <c r="M8081" s="10">
        <v>1</v>
      </c>
      <c r="N8081" s="10" t="s">
        <v>37804</v>
      </c>
      <c r="O8081" s="10"/>
      <c r="P8081" s="10"/>
      <c r="Q8081" s="10" t="s">
        <v>33170</v>
      </c>
      <c r="R8081" s="10"/>
      <c r="S8081" s="10" t="s">
        <v>53</v>
      </c>
      <c r="T8081" s="10" t="s">
        <v>10302</v>
      </c>
    </row>
    <row r="8082" spans="1:20" ht="14.5" x14ac:dyDescent="0.35">
      <c r="A8082" s="10" t="s">
        <v>37805</v>
      </c>
      <c r="B8082" s="10" t="str">
        <f>"9780887065934"</f>
        <v>9780887065934</v>
      </c>
      <c r="C8082" s="10" t="str">
        <f>"9781438400136"</f>
        <v>9781438400136</v>
      </c>
      <c r="D8082" s="10" t="s">
        <v>37676</v>
      </c>
      <c r="E8082" s="10" t="s">
        <v>37677</v>
      </c>
      <c r="F8082" s="10" t="s">
        <v>5707</v>
      </c>
      <c r="G8082" s="10" t="s">
        <v>6317</v>
      </c>
      <c r="H8082" s="11">
        <v>32157</v>
      </c>
      <c r="I8082" s="10">
        <v>1988</v>
      </c>
      <c r="J8082" s="10" t="s">
        <v>37678</v>
      </c>
      <c r="K8082" s="10">
        <v>124</v>
      </c>
      <c r="L8082" s="10" t="s">
        <v>34836</v>
      </c>
      <c r="M8082" s="10">
        <v>1</v>
      </c>
      <c r="N8082" s="10" t="s">
        <v>37706</v>
      </c>
      <c r="O8082" s="10"/>
      <c r="P8082" s="10" t="s">
        <v>37806</v>
      </c>
      <c r="Q8082" s="10">
        <v>371.2</v>
      </c>
      <c r="R8082" s="10" t="s">
        <v>37807</v>
      </c>
      <c r="S8082" s="10" t="s">
        <v>53</v>
      </c>
      <c r="T8082" s="10" t="s">
        <v>54</v>
      </c>
    </row>
    <row r="8083" spans="1:20" ht="14.5" x14ac:dyDescent="0.35">
      <c r="A8083" s="10" t="s">
        <v>37808</v>
      </c>
      <c r="B8083" s="10" t="str">
        <f>"9780791437971"</f>
        <v>9780791437971</v>
      </c>
      <c r="C8083" s="10" t="str">
        <f>"9780791497678"</f>
        <v>9780791497678</v>
      </c>
      <c r="D8083" s="10" t="s">
        <v>37676</v>
      </c>
      <c r="E8083" s="10" t="s">
        <v>37677</v>
      </c>
      <c r="F8083" s="10" t="s">
        <v>2536</v>
      </c>
      <c r="G8083" s="10" t="s">
        <v>6317</v>
      </c>
      <c r="H8083" s="11">
        <v>35986</v>
      </c>
      <c r="I8083" s="10">
        <v>1998</v>
      </c>
      <c r="J8083" s="10" t="s">
        <v>37678</v>
      </c>
      <c r="K8083" s="10">
        <v>199</v>
      </c>
      <c r="L8083" s="10" t="s">
        <v>37809</v>
      </c>
      <c r="M8083" s="10">
        <v>1</v>
      </c>
      <c r="N8083" s="10" t="s">
        <v>37680</v>
      </c>
      <c r="O8083" s="10"/>
      <c r="P8083" s="10" t="s">
        <v>37810</v>
      </c>
      <c r="Q8083" s="10" t="s">
        <v>11314</v>
      </c>
      <c r="R8083" s="10" t="s">
        <v>37811</v>
      </c>
      <c r="S8083" s="10" t="s">
        <v>53</v>
      </c>
      <c r="T8083" s="10" t="s">
        <v>54</v>
      </c>
    </row>
    <row r="8084" spans="1:20" ht="14.5" x14ac:dyDescent="0.35">
      <c r="A8084" s="10" t="s">
        <v>37812</v>
      </c>
      <c r="B8084" s="10" t="str">
        <f>"9780791436189"</f>
        <v>9780791436189</v>
      </c>
      <c r="C8084" s="10" t="str">
        <f>"9780791498149"</f>
        <v>9780791498149</v>
      </c>
      <c r="D8084" s="10" t="s">
        <v>37676</v>
      </c>
      <c r="E8084" s="10" t="s">
        <v>37677</v>
      </c>
      <c r="F8084" s="10" t="s">
        <v>5707</v>
      </c>
      <c r="G8084" s="10" t="s">
        <v>6317</v>
      </c>
      <c r="H8084" s="11">
        <v>35782</v>
      </c>
      <c r="I8084" s="10">
        <v>1998</v>
      </c>
      <c r="J8084" s="10" t="s">
        <v>37678</v>
      </c>
      <c r="K8084" s="10">
        <v>151</v>
      </c>
      <c r="L8084" s="10" t="s">
        <v>37813</v>
      </c>
      <c r="M8084" s="10">
        <v>1</v>
      </c>
      <c r="N8084" s="10"/>
      <c r="O8084" s="10"/>
      <c r="P8084" s="10" t="s">
        <v>37814</v>
      </c>
      <c r="Q8084" s="10" t="s">
        <v>37815</v>
      </c>
      <c r="R8084" s="10" t="s">
        <v>37816</v>
      </c>
      <c r="S8084" s="10" t="s">
        <v>53</v>
      </c>
      <c r="T8084" s="10" t="s">
        <v>54</v>
      </c>
    </row>
    <row r="8085" spans="1:20" ht="14.5" x14ac:dyDescent="0.35">
      <c r="A8085" s="10" t="s">
        <v>37817</v>
      </c>
      <c r="B8085" s="10" t="str">
        <f>"9780887065569"</f>
        <v>9780887065569</v>
      </c>
      <c r="C8085" s="10" t="str">
        <f>"9781438401867"</f>
        <v>9781438401867</v>
      </c>
      <c r="D8085" s="10" t="s">
        <v>37676</v>
      </c>
      <c r="E8085" s="10" t="s">
        <v>37677</v>
      </c>
      <c r="F8085" s="10" t="s">
        <v>5707</v>
      </c>
      <c r="G8085" s="10" t="s">
        <v>6317</v>
      </c>
      <c r="H8085" s="11">
        <v>32172</v>
      </c>
      <c r="I8085" s="10">
        <v>1988</v>
      </c>
      <c r="J8085" s="10" t="s">
        <v>37678</v>
      </c>
      <c r="K8085" s="10">
        <v>209</v>
      </c>
      <c r="L8085" s="10" t="s">
        <v>37818</v>
      </c>
      <c r="M8085" s="10">
        <v>1</v>
      </c>
      <c r="N8085" s="10" t="s">
        <v>37706</v>
      </c>
      <c r="O8085" s="10"/>
      <c r="P8085" s="10" t="s">
        <v>37819</v>
      </c>
      <c r="Q8085" s="10" t="s">
        <v>37820</v>
      </c>
      <c r="R8085" s="10" t="s">
        <v>37821</v>
      </c>
      <c r="S8085" s="10" t="s">
        <v>53</v>
      </c>
      <c r="T8085" s="10" t="s">
        <v>54</v>
      </c>
    </row>
    <row r="8086" spans="1:20" ht="14.5" x14ac:dyDescent="0.35">
      <c r="A8086" s="10" t="s">
        <v>37822</v>
      </c>
      <c r="B8086" s="10" t="str">
        <f>"9780791423318"</f>
        <v>9780791423318</v>
      </c>
      <c r="C8086" s="10" t="str">
        <f>"9781438401607"</f>
        <v>9781438401607</v>
      </c>
      <c r="D8086" s="10" t="s">
        <v>37676</v>
      </c>
      <c r="E8086" s="10" t="s">
        <v>37677</v>
      </c>
      <c r="F8086" s="10" t="s">
        <v>5707</v>
      </c>
      <c r="G8086" s="10" t="s">
        <v>6317</v>
      </c>
      <c r="H8086" s="11">
        <v>34691</v>
      </c>
      <c r="I8086" s="10">
        <v>1995</v>
      </c>
      <c r="J8086" s="10" t="s">
        <v>37678</v>
      </c>
      <c r="K8086" s="10">
        <v>113</v>
      </c>
      <c r="L8086" s="10" t="s">
        <v>15901</v>
      </c>
      <c r="M8086" s="10">
        <v>1</v>
      </c>
      <c r="N8086" s="10" t="s">
        <v>37706</v>
      </c>
      <c r="O8086" s="10"/>
      <c r="P8086" s="10" t="s">
        <v>37823</v>
      </c>
      <c r="Q8086" s="10" t="s">
        <v>37824</v>
      </c>
      <c r="R8086" s="10" t="s">
        <v>37825</v>
      </c>
      <c r="S8086" s="10" t="s">
        <v>53</v>
      </c>
      <c r="T8086" s="10" t="s">
        <v>54</v>
      </c>
    </row>
    <row r="8087" spans="1:20" ht="14.5" x14ac:dyDescent="0.35">
      <c r="A8087" s="10" t="s">
        <v>37826</v>
      </c>
      <c r="B8087" s="10" t="str">
        <f>"9780791432952"</f>
        <v>9780791432952</v>
      </c>
      <c r="C8087" s="10" t="str">
        <f>"9781438402093"</f>
        <v>9781438402093</v>
      </c>
      <c r="D8087" s="10" t="s">
        <v>37676</v>
      </c>
      <c r="E8087" s="10" t="s">
        <v>37677</v>
      </c>
      <c r="F8087" s="10" t="s">
        <v>5707</v>
      </c>
      <c r="G8087" s="10" t="s">
        <v>6317</v>
      </c>
      <c r="H8087" s="11">
        <v>35545</v>
      </c>
      <c r="I8087" s="10">
        <v>1997</v>
      </c>
      <c r="J8087" s="10" t="s">
        <v>37678</v>
      </c>
      <c r="K8087" s="10">
        <v>160</v>
      </c>
      <c r="L8087" s="10" t="s">
        <v>37827</v>
      </c>
      <c r="M8087" s="10">
        <v>1</v>
      </c>
      <c r="N8087" s="10" t="s">
        <v>37828</v>
      </c>
      <c r="O8087" s="10"/>
      <c r="P8087" s="10" t="s">
        <v>37829</v>
      </c>
      <c r="Q8087" s="10">
        <v>371.78</v>
      </c>
      <c r="R8087" s="10" t="s">
        <v>37830</v>
      </c>
      <c r="S8087" s="10" t="s">
        <v>53</v>
      </c>
      <c r="T8087" s="10" t="s">
        <v>54</v>
      </c>
    </row>
    <row r="8088" spans="1:20" ht="14.5" x14ac:dyDescent="0.35">
      <c r="A8088" s="10" t="s">
        <v>37831</v>
      </c>
      <c r="B8088" s="10" t="str">
        <f>"9780791416730"</f>
        <v>9780791416730</v>
      </c>
      <c r="C8088" s="10" t="str">
        <f>"9781438401065"</f>
        <v>9781438401065</v>
      </c>
      <c r="D8088" s="10" t="s">
        <v>37676</v>
      </c>
      <c r="E8088" s="10" t="s">
        <v>37677</v>
      </c>
      <c r="F8088" s="10" t="s">
        <v>5707</v>
      </c>
      <c r="G8088" s="10" t="s">
        <v>6317</v>
      </c>
      <c r="H8088" s="11">
        <v>34478</v>
      </c>
      <c r="I8088" s="10">
        <v>1994</v>
      </c>
      <c r="J8088" s="10" t="s">
        <v>37678</v>
      </c>
      <c r="K8088" s="10">
        <v>187</v>
      </c>
      <c r="L8088" s="10" t="s">
        <v>37832</v>
      </c>
      <c r="M8088" s="10">
        <v>1</v>
      </c>
      <c r="N8088" s="10"/>
      <c r="O8088" s="10"/>
      <c r="P8088" s="10" t="s">
        <v>37833</v>
      </c>
      <c r="Q8088" s="10" t="s">
        <v>11440</v>
      </c>
      <c r="R8088" s="10" t="s">
        <v>37834</v>
      </c>
      <c r="S8088" s="10" t="s">
        <v>53</v>
      </c>
      <c r="T8088" s="10" t="s">
        <v>54</v>
      </c>
    </row>
    <row r="8089" spans="1:20" ht="14.5" x14ac:dyDescent="0.35">
      <c r="A8089" s="10" t="s">
        <v>37835</v>
      </c>
      <c r="B8089" s="10" t="str">
        <f>"9780873957885"</f>
        <v>9780873957885</v>
      </c>
      <c r="C8089" s="10" t="str">
        <f>"9781438401621"</f>
        <v>9781438401621</v>
      </c>
      <c r="D8089" s="10" t="s">
        <v>37676</v>
      </c>
      <c r="E8089" s="10" t="s">
        <v>37677</v>
      </c>
      <c r="F8089" s="10" t="s">
        <v>5707</v>
      </c>
      <c r="G8089" s="10" t="s">
        <v>6317</v>
      </c>
      <c r="H8089" s="11">
        <v>30863</v>
      </c>
      <c r="I8089" s="10">
        <v>1984</v>
      </c>
      <c r="J8089" s="10" t="s">
        <v>37678</v>
      </c>
      <c r="K8089" s="10">
        <v>159</v>
      </c>
      <c r="L8089" s="10" t="s">
        <v>15901</v>
      </c>
      <c r="M8089" s="10">
        <v>1</v>
      </c>
      <c r="N8089" s="10"/>
      <c r="O8089" s="10"/>
      <c r="P8089" s="10" t="s">
        <v>37836</v>
      </c>
      <c r="Q8089" s="10"/>
      <c r="R8089" s="10" t="s">
        <v>37837</v>
      </c>
      <c r="S8089" s="10" t="s">
        <v>53</v>
      </c>
      <c r="T8089" s="10" t="s">
        <v>54</v>
      </c>
    </row>
    <row r="8090" spans="1:20" ht="14.5" x14ac:dyDescent="0.35">
      <c r="A8090" s="10" t="s">
        <v>37838</v>
      </c>
      <c r="B8090" s="10" t="str">
        <f>"9780791419564"</f>
        <v>9780791419564</v>
      </c>
      <c r="C8090" s="10" t="str">
        <f>"9781438401447"</f>
        <v>9781438401447</v>
      </c>
      <c r="D8090" s="10" t="s">
        <v>37676</v>
      </c>
      <c r="E8090" s="10" t="s">
        <v>37677</v>
      </c>
      <c r="F8090" s="10" t="s">
        <v>5707</v>
      </c>
      <c r="G8090" s="10" t="s">
        <v>6317</v>
      </c>
      <c r="H8090" s="11">
        <v>34516</v>
      </c>
      <c r="I8090" s="10">
        <v>1994</v>
      </c>
      <c r="J8090" s="10" t="s">
        <v>37678</v>
      </c>
      <c r="K8090" s="10">
        <v>287</v>
      </c>
      <c r="L8090" s="10" t="s">
        <v>37839</v>
      </c>
      <c r="M8090" s="10">
        <v>1</v>
      </c>
      <c r="N8090" s="10" t="s">
        <v>37680</v>
      </c>
      <c r="O8090" s="10"/>
      <c r="P8090" s="10" t="s">
        <v>37840</v>
      </c>
      <c r="Q8090" s="10" t="s">
        <v>37841</v>
      </c>
      <c r="R8090" s="10" t="s">
        <v>37842</v>
      </c>
      <c r="S8090" s="10" t="s">
        <v>53</v>
      </c>
      <c r="T8090" s="10" t="s">
        <v>54</v>
      </c>
    </row>
    <row r="8091" spans="1:20" ht="14.5" x14ac:dyDescent="0.35">
      <c r="A8091" s="10" t="s">
        <v>37843</v>
      </c>
      <c r="B8091" s="10" t="str">
        <f>"9780791435205"</f>
        <v>9780791435205</v>
      </c>
      <c r="C8091" s="10" t="str">
        <f>"9781438401355"</f>
        <v>9781438401355</v>
      </c>
      <c r="D8091" s="10" t="s">
        <v>37676</v>
      </c>
      <c r="E8091" s="10" t="s">
        <v>37677</v>
      </c>
      <c r="F8091" s="10" t="s">
        <v>5707</v>
      </c>
      <c r="G8091" s="10" t="s">
        <v>6317</v>
      </c>
      <c r="H8091" s="11">
        <v>35705</v>
      </c>
      <c r="I8091" s="10">
        <v>1997</v>
      </c>
      <c r="J8091" s="10" t="s">
        <v>37678</v>
      </c>
      <c r="K8091" s="10">
        <v>194</v>
      </c>
      <c r="L8091" s="10" t="s">
        <v>37844</v>
      </c>
      <c r="M8091" s="10">
        <v>1</v>
      </c>
      <c r="N8091" s="10" t="s">
        <v>37845</v>
      </c>
      <c r="O8091" s="10"/>
      <c r="P8091" s="10" t="s">
        <v>37846</v>
      </c>
      <c r="Q8091" s="10" t="s">
        <v>37847</v>
      </c>
      <c r="R8091" s="10" t="s">
        <v>37848</v>
      </c>
      <c r="S8091" s="10" t="s">
        <v>53</v>
      </c>
      <c r="T8091" s="10" t="s">
        <v>54</v>
      </c>
    </row>
    <row r="8092" spans="1:20" ht="14.5" x14ac:dyDescent="0.35">
      <c r="A8092" s="10" t="s">
        <v>37849</v>
      </c>
      <c r="B8092" s="10" t="str">
        <f>"9780791423868"</f>
        <v>9780791423868</v>
      </c>
      <c r="C8092" s="10" t="str">
        <f>"9781438401379"</f>
        <v>9781438401379</v>
      </c>
      <c r="D8092" s="10" t="s">
        <v>37676</v>
      </c>
      <c r="E8092" s="10" t="s">
        <v>37677</v>
      </c>
      <c r="F8092" s="10" t="s">
        <v>5707</v>
      </c>
      <c r="G8092" s="10" t="s">
        <v>6317</v>
      </c>
      <c r="H8092" s="11">
        <v>34881</v>
      </c>
      <c r="I8092" s="10">
        <v>1995</v>
      </c>
      <c r="J8092" s="10" t="s">
        <v>37678</v>
      </c>
      <c r="K8092" s="10">
        <v>175</v>
      </c>
      <c r="L8092" s="10" t="s">
        <v>37850</v>
      </c>
      <c r="M8092" s="10">
        <v>1</v>
      </c>
      <c r="N8092" s="10" t="s">
        <v>37706</v>
      </c>
      <c r="O8092" s="10"/>
      <c r="P8092" s="10" t="s">
        <v>37851</v>
      </c>
      <c r="Q8092" s="10" t="s">
        <v>9044</v>
      </c>
      <c r="R8092" s="10" t="s">
        <v>37852</v>
      </c>
      <c r="S8092" s="10" t="s">
        <v>53</v>
      </c>
      <c r="T8092" s="10" t="s">
        <v>54</v>
      </c>
    </row>
    <row r="8093" spans="1:20" ht="14.5" x14ac:dyDescent="0.35">
      <c r="A8093" s="10" t="s">
        <v>37853</v>
      </c>
      <c r="B8093" s="10" t="str">
        <f>"9780791418734"</f>
        <v>9780791418734</v>
      </c>
      <c r="C8093" s="10" t="str">
        <f>"9781438402147"</f>
        <v>9781438402147</v>
      </c>
      <c r="D8093" s="10" t="s">
        <v>37676</v>
      </c>
      <c r="E8093" s="10" t="s">
        <v>37677</v>
      </c>
      <c r="F8093" s="10" t="s">
        <v>5707</v>
      </c>
      <c r="G8093" s="10" t="s">
        <v>6317</v>
      </c>
      <c r="H8093" s="11">
        <v>34516</v>
      </c>
      <c r="I8093" s="10">
        <v>1994</v>
      </c>
      <c r="J8093" s="10" t="s">
        <v>37678</v>
      </c>
      <c r="K8093" s="10">
        <v>98</v>
      </c>
      <c r="L8093" s="10" t="s">
        <v>37854</v>
      </c>
      <c r="M8093" s="10">
        <v>1</v>
      </c>
      <c r="N8093" s="10" t="s">
        <v>37748</v>
      </c>
      <c r="O8093" s="10"/>
      <c r="P8093" s="10" t="s">
        <v>37855</v>
      </c>
      <c r="Q8093" s="10" t="s">
        <v>13186</v>
      </c>
      <c r="R8093" s="10" t="s">
        <v>37856</v>
      </c>
      <c r="S8093" s="10" t="s">
        <v>53</v>
      </c>
      <c r="T8093" s="10" t="s">
        <v>54</v>
      </c>
    </row>
    <row r="8094" spans="1:20" ht="14.5" x14ac:dyDescent="0.35">
      <c r="A8094" s="10" t="s">
        <v>37857</v>
      </c>
      <c r="B8094" s="10" t="str">
        <f>"9780791429938"</f>
        <v>9780791429938</v>
      </c>
      <c r="C8094" s="10" t="str">
        <f>"9781438401072"</f>
        <v>9781438401072</v>
      </c>
      <c r="D8094" s="10" t="s">
        <v>37676</v>
      </c>
      <c r="E8094" s="10" t="s">
        <v>37677</v>
      </c>
      <c r="F8094" s="10" t="s">
        <v>5707</v>
      </c>
      <c r="G8094" s="10" t="s">
        <v>6317</v>
      </c>
      <c r="H8094" s="11">
        <v>35249</v>
      </c>
      <c r="I8094" s="10">
        <v>1996</v>
      </c>
      <c r="J8094" s="10" t="s">
        <v>37678</v>
      </c>
      <c r="K8094" s="10">
        <v>200</v>
      </c>
      <c r="L8094" s="10" t="s">
        <v>37858</v>
      </c>
      <c r="M8094" s="10">
        <v>1</v>
      </c>
      <c r="N8094" s="10" t="s">
        <v>37828</v>
      </c>
      <c r="O8094" s="10"/>
      <c r="P8094" s="10" t="s">
        <v>37859</v>
      </c>
      <c r="Q8094" s="10" t="s">
        <v>37860</v>
      </c>
      <c r="R8094" s="10" t="s">
        <v>37861</v>
      </c>
      <c r="S8094" s="10" t="s">
        <v>53</v>
      </c>
      <c r="T8094" s="10" t="s">
        <v>6534</v>
      </c>
    </row>
    <row r="8095" spans="1:20" ht="14.5" x14ac:dyDescent="0.35">
      <c r="A8095" s="10" t="s">
        <v>37862</v>
      </c>
      <c r="B8095" s="10" t="str">
        <f>"9780791411360"</f>
        <v>9780791411360</v>
      </c>
      <c r="C8095" s="10" t="str">
        <f>"9781438400716"</f>
        <v>9781438400716</v>
      </c>
      <c r="D8095" s="10" t="s">
        <v>37676</v>
      </c>
      <c r="E8095" s="10" t="s">
        <v>37677</v>
      </c>
      <c r="F8095" s="10" t="s">
        <v>5707</v>
      </c>
      <c r="G8095" s="10" t="s">
        <v>6317</v>
      </c>
      <c r="H8095" s="11">
        <v>33911</v>
      </c>
      <c r="I8095" s="10">
        <v>1992</v>
      </c>
      <c r="J8095" s="10" t="s">
        <v>37678</v>
      </c>
      <c r="K8095" s="10">
        <v>91</v>
      </c>
      <c r="L8095" s="10" t="s">
        <v>37863</v>
      </c>
      <c r="M8095" s="10">
        <v>1</v>
      </c>
      <c r="N8095" s="10" t="s">
        <v>37706</v>
      </c>
      <c r="O8095" s="10"/>
      <c r="P8095" s="10" t="s">
        <v>37864</v>
      </c>
      <c r="Q8095" s="10">
        <v>371.1</v>
      </c>
      <c r="R8095" s="10" t="s">
        <v>37865</v>
      </c>
      <c r="S8095" s="10" t="s">
        <v>53</v>
      </c>
      <c r="T8095" s="10" t="s">
        <v>54</v>
      </c>
    </row>
    <row r="8096" spans="1:20" ht="14.5" x14ac:dyDescent="0.35">
      <c r="A8096" s="10" t="s">
        <v>37866</v>
      </c>
      <c r="B8096" s="10" t="str">
        <f>"9780791413944"</f>
        <v>9780791413944</v>
      </c>
      <c r="C8096" s="10" t="str">
        <f>"9781438401386"</f>
        <v>9781438401386</v>
      </c>
      <c r="D8096" s="10" t="s">
        <v>37676</v>
      </c>
      <c r="E8096" s="10" t="s">
        <v>37677</v>
      </c>
      <c r="F8096" s="10" t="s">
        <v>5707</v>
      </c>
      <c r="G8096" s="10" t="s">
        <v>6317</v>
      </c>
      <c r="H8096" s="11">
        <v>34151</v>
      </c>
      <c r="I8096" s="10">
        <v>1993</v>
      </c>
      <c r="J8096" s="10" t="s">
        <v>37678</v>
      </c>
      <c r="K8096" s="10">
        <v>243</v>
      </c>
      <c r="L8096" s="10" t="s">
        <v>37867</v>
      </c>
      <c r="M8096" s="10">
        <v>1</v>
      </c>
      <c r="N8096" s="10" t="s">
        <v>37690</v>
      </c>
      <c r="O8096" s="10"/>
      <c r="P8096" s="10" t="s">
        <v>37868</v>
      </c>
      <c r="Q8096" s="10" t="s">
        <v>37869</v>
      </c>
      <c r="R8096" s="10" t="s">
        <v>37870</v>
      </c>
      <c r="S8096" s="10" t="s">
        <v>53</v>
      </c>
      <c r="T8096" s="10" t="s">
        <v>54</v>
      </c>
    </row>
    <row r="8097" spans="1:20" ht="14.5" x14ac:dyDescent="0.35">
      <c r="A8097" s="10" t="s">
        <v>37871</v>
      </c>
      <c r="B8097" s="10" t="str">
        <f>"9780887063480"</f>
        <v>9780887063480</v>
      </c>
      <c r="C8097" s="10" t="str">
        <f>"9781438401720"</f>
        <v>9781438401720</v>
      </c>
      <c r="D8097" s="10" t="s">
        <v>37676</v>
      </c>
      <c r="E8097" s="10" t="s">
        <v>37677</v>
      </c>
      <c r="F8097" s="10" t="s">
        <v>5707</v>
      </c>
      <c r="G8097" s="10" t="s">
        <v>6317</v>
      </c>
      <c r="H8097" s="11">
        <v>31746</v>
      </c>
      <c r="I8097" s="10">
        <v>1987</v>
      </c>
      <c r="J8097" s="10" t="s">
        <v>37678</v>
      </c>
      <c r="K8097" s="10">
        <v>128</v>
      </c>
      <c r="L8097" s="10" t="s">
        <v>37872</v>
      </c>
      <c r="M8097" s="10">
        <v>1</v>
      </c>
      <c r="N8097" s="10" t="s">
        <v>37706</v>
      </c>
      <c r="O8097" s="10"/>
      <c r="P8097" s="10" t="s">
        <v>37873</v>
      </c>
      <c r="Q8097" s="10"/>
      <c r="R8097" s="10" t="s">
        <v>37874</v>
      </c>
      <c r="S8097" s="10" t="s">
        <v>53</v>
      </c>
      <c r="T8097" s="10" t="s">
        <v>54</v>
      </c>
    </row>
    <row r="8098" spans="1:20" ht="14.5" x14ac:dyDescent="0.35">
      <c r="A8098" s="10" t="s">
        <v>37875</v>
      </c>
      <c r="B8098" s="10" t="str">
        <f>"9780791435977"</f>
        <v>9780791435977</v>
      </c>
      <c r="C8098" s="10" t="str">
        <f>"9781438401430"</f>
        <v>9781438401430</v>
      </c>
      <c r="D8098" s="10" t="s">
        <v>37676</v>
      </c>
      <c r="E8098" s="10" t="s">
        <v>37677</v>
      </c>
      <c r="F8098" s="10" t="s">
        <v>5707</v>
      </c>
      <c r="G8098" s="10" t="s">
        <v>6317</v>
      </c>
      <c r="H8098" s="11">
        <v>35787</v>
      </c>
      <c r="I8098" s="10">
        <v>1998</v>
      </c>
      <c r="J8098" s="10" t="s">
        <v>37678</v>
      </c>
      <c r="K8098" s="10">
        <v>134</v>
      </c>
      <c r="L8098" s="10" t="s">
        <v>37876</v>
      </c>
      <c r="M8098" s="10">
        <v>1</v>
      </c>
      <c r="N8098" s="10" t="s">
        <v>37767</v>
      </c>
      <c r="O8098" s="10"/>
      <c r="P8098" s="10" t="s">
        <v>37877</v>
      </c>
      <c r="Q8098" s="10" t="s">
        <v>8587</v>
      </c>
      <c r="R8098" s="10" t="s">
        <v>37878</v>
      </c>
      <c r="S8098" s="10" t="s">
        <v>53</v>
      </c>
      <c r="T8098" s="10" t="s">
        <v>54</v>
      </c>
    </row>
    <row r="8099" spans="1:20" ht="14.5" x14ac:dyDescent="0.35">
      <c r="A8099" s="10" t="s">
        <v>37879</v>
      </c>
      <c r="B8099" s="10" t="str">
        <f>"9780791435151"</f>
        <v>9780791435151</v>
      </c>
      <c r="C8099" s="10" t="str">
        <f>"9781438402635"</f>
        <v>9781438402635</v>
      </c>
      <c r="D8099" s="10" t="s">
        <v>37676</v>
      </c>
      <c r="E8099" s="10" t="s">
        <v>37677</v>
      </c>
      <c r="F8099" s="10" t="s">
        <v>5707</v>
      </c>
      <c r="G8099" s="10" t="s">
        <v>6317</v>
      </c>
      <c r="H8099" s="11">
        <v>35705</v>
      </c>
      <c r="I8099" s="10">
        <v>1997</v>
      </c>
      <c r="J8099" s="10" t="s">
        <v>37678</v>
      </c>
      <c r="K8099" s="10">
        <v>179</v>
      </c>
      <c r="L8099" s="10" t="s">
        <v>37880</v>
      </c>
      <c r="M8099" s="10">
        <v>1</v>
      </c>
      <c r="N8099" s="10" t="s">
        <v>37881</v>
      </c>
      <c r="O8099" s="10"/>
      <c r="P8099" s="10" t="s">
        <v>37882</v>
      </c>
      <c r="Q8099" s="10" t="s">
        <v>37883</v>
      </c>
      <c r="R8099" s="10" t="s">
        <v>37884</v>
      </c>
      <c r="S8099" s="10" t="s">
        <v>53</v>
      </c>
      <c r="T8099" s="10" t="s">
        <v>22958</v>
      </c>
    </row>
    <row r="8100" spans="1:20" ht="14.5" x14ac:dyDescent="0.35">
      <c r="A8100" s="10" t="s">
        <v>37885</v>
      </c>
      <c r="B8100" s="10" t="str">
        <f>"9780791429358"</f>
        <v>9780791429358</v>
      </c>
      <c r="C8100" s="10" t="str">
        <f>"9781438403601"</f>
        <v>9781438403601</v>
      </c>
      <c r="D8100" s="10" t="s">
        <v>37676</v>
      </c>
      <c r="E8100" s="10" t="s">
        <v>37677</v>
      </c>
      <c r="F8100" s="10" t="s">
        <v>5707</v>
      </c>
      <c r="G8100" s="10" t="s">
        <v>6317</v>
      </c>
      <c r="H8100" s="11">
        <v>35249</v>
      </c>
      <c r="I8100" s="10">
        <v>1996</v>
      </c>
      <c r="J8100" s="10" t="s">
        <v>37678</v>
      </c>
      <c r="K8100" s="10">
        <v>187</v>
      </c>
      <c r="L8100" s="10" t="s">
        <v>37886</v>
      </c>
      <c r="M8100" s="10">
        <v>1</v>
      </c>
      <c r="N8100" s="10" t="s">
        <v>37748</v>
      </c>
      <c r="O8100" s="10"/>
      <c r="P8100" s="10" t="s">
        <v>37887</v>
      </c>
      <c r="Q8100" s="10"/>
      <c r="R8100" s="10" t="s">
        <v>37888</v>
      </c>
      <c r="S8100" s="10" t="s">
        <v>53</v>
      </c>
      <c r="T8100" s="10" t="s">
        <v>54</v>
      </c>
    </row>
    <row r="8101" spans="1:20" ht="14.5" x14ac:dyDescent="0.35">
      <c r="A8101" s="10" t="s">
        <v>37889</v>
      </c>
      <c r="B8101" s="10" t="str">
        <f>"9780791418727"</f>
        <v>9780791418727</v>
      </c>
      <c r="C8101" s="10" t="str">
        <f>"9781438402314"</f>
        <v>9781438402314</v>
      </c>
      <c r="D8101" s="10" t="s">
        <v>37676</v>
      </c>
      <c r="E8101" s="10" t="s">
        <v>37677</v>
      </c>
      <c r="F8101" s="10" t="s">
        <v>5707</v>
      </c>
      <c r="G8101" s="10" t="s">
        <v>6317</v>
      </c>
      <c r="H8101" s="11">
        <v>34513</v>
      </c>
      <c r="I8101" s="10">
        <v>1994</v>
      </c>
      <c r="J8101" s="10" t="s">
        <v>37678</v>
      </c>
      <c r="K8101" s="10">
        <v>189</v>
      </c>
      <c r="L8101" s="10" t="s">
        <v>37890</v>
      </c>
      <c r="M8101" s="10">
        <v>1</v>
      </c>
      <c r="N8101" s="10" t="s">
        <v>37828</v>
      </c>
      <c r="O8101" s="10"/>
      <c r="P8101" s="10" t="s">
        <v>37891</v>
      </c>
      <c r="Q8101" s="10" t="s">
        <v>7420</v>
      </c>
      <c r="R8101" s="10" t="s">
        <v>37892</v>
      </c>
      <c r="S8101" s="10" t="s">
        <v>53</v>
      </c>
      <c r="T8101" s="10" t="s">
        <v>54</v>
      </c>
    </row>
    <row r="8102" spans="1:20" ht="14.5" x14ac:dyDescent="0.35">
      <c r="A8102" s="10" t="s">
        <v>37893</v>
      </c>
      <c r="B8102" s="10" t="str">
        <f>"9780791419243"</f>
        <v>9780791419243</v>
      </c>
      <c r="C8102" s="10" t="str">
        <f>"9781438403595"</f>
        <v>9781438403595</v>
      </c>
      <c r="D8102" s="10" t="s">
        <v>37676</v>
      </c>
      <c r="E8102" s="10" t="s">
        <v>37677</v>
      </c>
      <c r="F8102" s="10" t="s">
        <v>5707</v>
      </c>
      <c r="G8102" s="10" t="s">
        <v>6317</v>
      </c>
      <c r="H8102" s="11">
        <v>34516</v>
      </c>
      <c r="I8102" s="10">
        <v>1994</v>
      </c>
      <c r="J8102" s="10" t="s">
        <v>37678</v>
      </c>
      <c r="K8102" s="10">
        <v>137</v>
      </c>
      <c r="L8102" s="10" t="s">
        <v>37894</v>
      </c>
      <c r="M8102" s="10">
        <v>1</v>
      </c>
      <c r="N8102" s="10" t="s">
        <v>37748</v>
      </c>
      <c r="O8102" s="10"/>
      <c r="P8102" s="10" t="s">
        <v>37895</v>
      </c>
      <c r="Q8102" s="10" t="s">
        <v>7600</v>
      </c>
      <c r="R8102" s="10" t="s">
        <v>37896</v>
      </c>
      <c r="S8102" s="10" t="s">
        <v>53</v>
      </c>
      <c r="T8102" s="10" t="s">
        <v>54</v>
      </c>
    </row>
    <row r="8103" spans="1:20" ht="14.5" x14ac:dyDescent="0.35">
      <c r="A8103" s="10" t="s">
        <v>37897</v>
      </c>
      <c r="B8103" s="10" t="str">
        <f>"9780791411230"</f>
        <v>9780791411230</v>
      </c>
      <c r="C8103" s="10" t="str">
        <f>"9781438402857"</f>
        <v>9781438402857</v>
      </c>
      <c r="D8103" s="10" t="s">
        <v>37676</v>
      </c>
      <c r="E8103" s="10" t="s">
        <v>37677</v>
      </c>
      <c r="F8103" s="10" t="s">
        <v>5707</v>
      </c>
      <c r="G8103" s="10" t="s">
        <v>6317</v>
      </c>
      <c r="H8103" s="11">
        <v>33878</v>
      </c>
      <c r="I8103" s="10">
        <v>1992</v>
      </c>
      <c r="J8103" s="10" t="s">
        <v>37678</v>
      </c>
      <c r="K8103" s="10">
        <v>185</v>
      </c>
      <c r="L8103" s="10" t="s">
        <v>37898</v>
      </c>
      <c r="M8103" s="10">
        <v>1</v>
      </c>
      <c r="N8103" s="10" t="s">
        <v>37715</v>
      </c>
      <c r="O8103" s="10"/>
      <c r="P8103" s="10" t="s">
        <v>37899</v>
      </c>
      <c r="Q8103" s="10" t="s">
        <v>37900</v>
      </c>
      <c r="R8103" s="10" t="s">
        <v>37901</v>
      </c>
      <c r="S8103" s="10" t="s">
        <v>53</v>
      </c>
      <c r="T8103" s="10" t="s">
        <v>54</v>
      </c>
    </row>
    <row r="8104" spans="1:20" ht="14.5" x14ac:dyDescent="0.35">
      <c r="A8104" s="10" t="s">
        <v>37902</v>
      </c>
      <c r="B8104" s="10" t="str">
        <f>"9780791418451"</f>
        <v>9780791418451</v>
      </c>
      <c r="C8104" s="10" t="str">
        <f>"9781438402338"</f>
        <v>9781438402338</v>
      </c>
      <c r="D8104" s="10" t="s">
        <v>37676</v>
      </c>
      <c r="E8104" s="10" t="s">
        <v>37677</v>
      </c>
      <c r="F8104" s="10" t="s">
        <v>5707</v>
      </c>
      <c r="G8104" s="10" t="s">
        <v>6317</v>
      </c>
      <c r="H8104" s="11">
        <v>34424</v>
      </c>
      <c r="I8104" s="10">
        <v>1994</v>
      </c>
      <c r="J8104" s="10" t="s">
        <v>37678</v>
      </c>
      <c r="K8104" s="10">
        <v>144</v>
      </c>
      <c r="L8104" s="10" t="s">
        <v>37903</v>
      </c>
      <c r="M8104" s="10">
        <v>1</v>
      </c>
      <c r="N8104" s="10" t="s">
        <v>37904</v>
      </c>
      <c r="O8104" s="10"/>
      <c r="P8104" s="10" t="s">
        <v>37905</v>
      </c>
      <c r="Q8104" s="10" t="s">
        <v>37906</v>
      </c>
      <c r="R8104" s="10" t="s">
        <v>37907</v>
      </c>
      <c r="S8104" s="10" t="s">
        <v>53</v>
      </c>
      <c r="T8104" s="10" t="s">
        <v>54</v>
      </c>
    </row>
    <row r="8105" spans="1:20" ht="14.5" x14ac:dyDescent="0.35">
      <c r="A8105" s="10" t="s">
        <v>37908</v>
      </c>
      <c r="B8105" s="10" t="str">
        <f>"9780791419083"</f>
        <v>9780791419083</v>
      </c>
      <c r="C8105" s="10" t="str">
        <f>"9781438403236"</f>
        <v>9781438403236</v>
      </c>
      <c r="D8105" s="10" t="s">
        <v>37676</v>
      </c>
      <c r="E8105" s="10" t="s">
        <v>37677</v>
      </c>
      <c r="F8105" s="10" t="s">
        <v>5707</v>
      </c>
      <c r="G8105" s="10" t="s">
        <v>6317</v>
      </c>
      <c r="H8105" s="11">
        <v>34516</v>
      </c>
      <c r="I8105" s="10">
        <v>1994</v>
      </c>
      <c r="J8105" s="10" t="s">
        <v>37678</v>
      </c>
      <c r="K8105" s="10">
        <v>176</v>
      </c>
      <c r="L8105" s="10" t="s">
        <v>37909</v>
      </c>
      <c r="M8105" s="10">
        <v>1</v>
      </c>
      <c r="N8105" s="10" t="s">
        <v>37690</v>
      </c>
      <c r="O8105" s="10"/>
      <c r="P8105" s="10" t="s">
        <v>37910</v>
      </c>
      <c r="Q8105" s="10">
        <v>371.91</v>
      </c>
      <c r="R8105" s="10" t="s">
        <v>37911</v>
      </c>
      <c r="S8105" s="10" t="s">
        <v>53</v>
      </c>
      <c r="T8105" s="10" t="s">
        <v>54</v>
      </c>
    </row>
    <row r="8106" spans="1:20" ht="14.5" x14ac:dyDescent="0.35">
      <c r="A8106" s="10" t="s">
        <v>37912</v>
      </c>
      <c r="B8106" s="10" t="str">
        <f>"9780791441213"</f>
        <v>9780791441213</v>
      </c>
      <c r="C8106" s="10" t="str">
        <f>"9781438403649"</f>
        <v>9781438403649</v>
      </c>
      <c r="D8106" s="10" t="s">
        <v>37676</v>
      </c>
      <c r="E8106" s="10" t="s">
        <v>37677</v>
      </c>
      <c r="F8106" s="10" t="s">
        <v>5707</v>
      </c>
      <c r="G8106" s="10" t="s">
        <v>6317</v>
      </c>
      <c r="H8106" s="11">
        <v>36273</v>
      </c>
      <c r="I8106" s="10">
        <v>1999</v>
      </c>
      <c r="J8106" s="10" t="s">
        <v>37678</v>
      </c>
      <c r="K8106" s="10">
        <v>167</v>
      </c>
      <c r="L8106" s="10" t="s">
        <v>37913</v>
      </c>
      <c r="M8106" s="10">
        <v>1</v>
      </c>
      <c r="N8106" s="10"/>
      <c r="O8106" s="10"/>
      <c r="P8106" s="10" t="s">
        <v>37914</v>
      </c>
      <c r="Q8106" s="10" t="s">
        <v>9505</v>
      </c>
      <c r="R8106" s="10" t="s">
        <v>37915</v>
      </c>
      <c r="S8106" s="10" t="s">
        <v>53</v>
      </c>
      <c r="T8106" s="10" t="s">
        <v>9143</v>
      </c>
    </row>
    <row r="8107" spans="1:20" ht="14.5" x14ac:dyDescent="0.35">
      <c r="A8107" s="10" t="s">
        <v>37916</v>
      </c>
      <c r="B8107" s="10" t="str">
        <f>"9780791427651"</f>
        <v>9780791427651</v>
      </c>
      <c r="C8107" s="10" t="str">
        <f>"9781438403632"</f>
        <v>9781438403632</v>
      </c>
      <c r="D8107" s="10" t="s">
        <v>37676</v>
      </c>
      <c r="E8107" s="10" t="s">
        <v>37677</v>
      </c>
      <c r="F8107" s="10" t="s">
        <v>5707</v>
      </c>
      <c r="G8107" s="10" t="s">
        <v>6317</v>
      </c>
      <c r="H8107" s="11">
        <v>35068</v>
      </c>
      <c r="I8107" s="10">
        <v>1996</v>
      </c>
      <c r="J8107" s="10" t="s">
        <v>37678</v>
      </c>
      <c r="K8107" s="10">
        <v>140</v>
      </c>
      <c r="L8107" s="10" t="s">
        <v>37917</v>
      </c>
      <c r="M8107" s="10">
        <v>1</v>
      </c>
      <c r="N8107" s="10"/>
      <c r="O8107" s="10"/>
      <c r="P8107" s="10" t="s">
        <v>37918</v>
      </c>
      <c r="Q8107" s="10" t="s">
        <v>9141</v>
      </c>
      <c r="R8107" s="10" t="s">
        <v>37919</v>
      </c>
      <c r="S8107" s="10" t="s">
        <v>53</v>
      </c>
      <c r="T8107" s="10" t="s">
        <v>9143</v>
      </c>
    </row>
    <row r="8108" spans="1:20" ht="14.5" x14ac:dyDescent="0.35">
      <c r="A8108" s="10" t="s">
        <v>37920</v>
      </c>
      <c r="B8108" s="10" t="str">
        <f>"9780791434147"</f>
        <v>9780791434147</v>
      </c>
      <c r="C8108" s="10" t="str">
        <f>"9781438403830"</f>
        <v>9781438403830</v>
      </c>
      <c r="D8108" s="10" t="s">
        <v>37676</v>
      </c>
      <c r="E8108" s="10" t="s">
        <v>37677</v>
      </c>
      <c r="F8108" s="10" t="s">
        <v>2536</v>
      </c>
      <c r="G8108" s="10" t="s">
        <v>6317</v>
      </c>
      <c r="H8108" s="11">
        <v>35635</v>
      </c>
      <c r="I8108" s="10">
        <v>1997</v>
      </c>
      <c r="J8108" s="10" t="s">
        <v>37678</v>
      </c>
      <c r="K8108" s="10">
        <v>188</v>
      </c>
      <c r="L8108" s="10" t="s">
        <v>37921</v>
      </c>
      <c r="M8108" s="10">
        <v>1</v>
      </c>
      <c r="N8108" s="10"/>
      <c r="O8108" s="10"/>
      <c r="P8108" s="10" t="s">
        <v>37922</v>
      </c>
      <c r="Q8108" s="10" t="s">
        <v>8916</v>
      </c>
      <c r="R8108" s="10" t="s">
        <v>37923</v>
      </c>
      <c r="S8108" s="10" t="s">
        <v>53</v>
      </c>
      <c r="T8108" s="10" t="s">
        <v>54</v>
      </c>
    </row>
    <row r="8109" spans="1:20" ht="14.5" x14ac:dyDescent="0.35">
      <c r="A8109" s="10" t="s">
        <v>37924</v>
      </c>
      <c r="B8109" s="10" t="str">
        <f>"9780791443583"</f>
        <v>9780791443583</v>
      </c>
      <c r="C8109" s="10" t="str">
        <f>"9781438403762"</f>
        <v>9781438403762</v>
      </c>
      <c r="D8109" s="10" t="s">
        <v>37676</v>
      </c>
      <c r="E8109" s="10" t="s">
        <v>37677</v>
      </c>
      <c r="F8109" s="10" t="s">
        <v>2536</v>
      </c>
      <c r="G8109" s="10" t="s">
        <v>6317</v>
      </c>
      <c r="H8109" s="11">
        <v>36454</v>
      </c>
      <c r="I8109" s="10">
        <v>2000</v>
      </c>
      <c r="J8109" s="10" t="s">
        <v>37678</v>
      </c>
      <c r="K8109" s="10">
        <v>109</v>
      </c>
      <c r="L8109" s="10" t="s">
        <v>37925</v>
      </c>
      <c r="M8109" s="10">
        <v>1</v>
      </c>
      <c r="N8109" s="10" t="s">
        <v>37767</v>
      </c>
      <c r="O8109" s="10"/>
      <c r="P8109" s="10" t="s">
        <v>37926</v>
      </c>
      <c r="Q8109" s="10" t="s">
        <v>22259</v>
      </c>
      <c r="R8109" s="10" t="s">
        <v>37927</v>
      </c>
      <c r="S8109" s="10" t="s">
        <v>53</v>
      </c>
      <c r="T8109" s="10" t="s">
        <v>54</v>
      </c>
    </row>
    <row r="8110" spans="1:20" ht="14.5" x14ac:dyDescent="0.35">
      <c r="A8110" s="10" t="s">
        <v>37928</v>
      </c>
      <c r="B8110" s="10" t="str">
        <f>"9780791445822"</f>
        <v>9780791445822</v>
      </c>
      <c r="C8110" s="10" t="str">
        <f>"9780791492567"</f>
        <v>9780791492567</v>
      </c>
      <c r="D8110" s="10" t="s">
        <v>37676</v>
      </c>
      <c r="E8110" s="10" t="s">
        <v>37677</v>
      </c>
      <c r="F8110" s="10" t="s">
        <v>2536</v>
      </c>
      <c r="G8110" s="10" t="s">
        <v>6317</v>
      </c>
      <c r="H8110" s="11">
        <v>36672</v>
      </c>
      <c r="I8110" s="10">
        <v>2000</v>
      </c>
      <c r="J8110" s="10" t="s">
        <v>37678</v>
      </c>
      <c r="K8110" s="10">
        <v>196</v>
      </c>
      <c r="L8110" s="10" t="s">
        <v>37929</v>
      </c>
      <c r="M8110" s="10">
        <v>1</v>
      </c>
      <c r="N8110" s="10" t="s">
        <v>37804</v>
      </c>
      <c r="O8110" s="10"/>
      <c r="P8110" s="10" t="s">
        <v>37930</v>
      </c>
      <c r="Q8110" s="10" t="s">
        <v>37931</v>
      </c>
      <c r="R8110" s="10" t="s">
        <v>37932</v>
      </c>
      <c r="S8110" s="10" t="s">
        <v>53</v>
      </c>
      <c r="T8110" s="10" t="s">
        <v>54</v>
      </c>
    </row>
    <row r="8111" spans="1:20" ht="14.5" x14ac:dyDescent="0.35">
      <c r="A8111" s="10" t="s">
        <v>37933</v>
      </c>
      <c r="B8111" s="10" t="str">
        <f>"9780791426104"</f>
        <v>9780791426104</v>
      </c>
      <c r="C8111" s="10" t="str">
        <f>"9781438403779"</f>
        <v>9781438403779</v>
      </c>
      <c r="D8111" s="10" t="s">
        <v>37676</v>
      </c>
      <c r="E8111" s="10" t="s">
        <v>37677</v>
      </c>
      <c r="F8111" s="10" t="s">
        <v>2536</v>
      </c>
      <c r="G8111" s="10" t="s">
        <v>6317</v>
      </c>
      <c r="H8111" s="11">
        <v>34942</v>
      </c>
      <c r="I8111" s="10">
        <v>1995</v>
      </c>
      <c r="J8111" s="10" t="s">
        <v>37678</v>
      </c>
      <c r="K8111" s="10">
        <v>166</v>
      </c>
      <c r="L8111" s="10" t="s">
        <v>37934</v>
      </c>
      <c r="M8111" s="10">
        <v>1</v>
      </c>
      <c r="N8111" s="10" t="s">
        <v>37845</v>
      </c>
      <c r="O8111" s="10"/>
      <c r="P8111" s="10" t="s">
        <v>37935</v>
      </c>
      <c r="Q8111" s="10" t="s">
        <v>37936</v>
      </c>
      <c r="R8111" s="10" t="s">
        <v>37937</v>
      </c>
      <c r="S8111" s="10" t="s">
        <v>53</v>
      </c>
      <c r="T8111" s="10" t="s">
        <v>54</v>
      </c>
    </row>
    <row r="8112" spans="1:20" ht="14.5" x14ac:dyDescent="0.35">
      <c r="A8112" s="10" t="s">
        <v>37938</v>
      </c>
      <c r="B8112" s="10" t="str">
        <f>"9780791417645"</f>
        <v>9780791417645</v>
      </c>
      <c r="C8112" s="10" t="str">
        <f>"9781438405803"</f>
        <v>9781438405803</v>
      </c>
      <c r="D8112" s="10" t="s">
        <v>37676</v>
      </c>
      <c r="E8112" s="10" t="s">
        <v>37677</v>
      </c>
      <c r="F8112" s="10" t="s">
        <v>2536</v>
      </c>
      <c r="G8112" s="10" t="s">
        <v>6317</v>
      </c>
      <c r="H8112" s="11">
        <v>34513</v>
      </c>
      <c r="I8112" s="10">
        <v>1994</v>
      </c>
      <c r="J8112" s="10" t="s">
        <v>37678</v>
      </c>
      <c r="K8112" s="10">
        <v>197</v>
      </c>
      <c r="L8112" s="10" t="s">
        <v>37939</v>
      </c>
      <c r="M8112" s="10">
        <v>1</v>
      </c>
      <c r="N8112" s="10" t="s">
        <v>37940</v>
      </c>
      <c r="O8112" s="10"/>
      <c r="P8112" s="10" t="s">
        <v>37941</v>
      </c>
      <c r="Q8112" s="10" t="s">
        <v>37942</v>
      </c>
      <c r="R8112" s="10" t="s">
        <v>37943</v>
      </c>
      <c r="S8112" s="10" t="s">
        <v>53</v>
      </c>
      <c r="T8112" s="10" t="s">
        <v>6448</v>
      </c>
    </row>
    <row r="8113" spans="1:20" ht="14.5" x14ac:dyDescent="0.35">
      <c r="A8113" s="10" t="s">
        <v>37944</v>
      </c>
      <c r="B8113" s="10" t="str">
        <f>"9780791412923"</f>
        <v>9780791412923</v>
      </c>
      <c r="C8113" s="10" t="str">
        <f>"9781438405957"</f>
        <v>9781438405957</v>
      </c>
      <c r="D8113" s="10" t="s">
        <v>37676</v>
      </c>
      <c r="E8113" s="10" t="s">
        <v>37677</v>
      </c>
      <c r="F8113" s="10" t="s">
        <v>2536</v>
      </c>
      <c r="G8113" s="10" t="s">
        <v>6317</v>
      </c>
      <c r="H8113" s="11">
        <v>33962</v>
      </c>
      <c r="I8113" s="10">
        <v>1993</v>
      </c>
      <c r="J8113" s="10" t="s">
        <v>37678</v>
      </c>
      <c r="K8113" s="10">
        <v>341</v>
      </c>
      <c r="L8113" s="10" t="s">
        <v>37945</v>
      </c>
      <c r="M8113" s="10">
        <v>1</v>
      </c>
      <c r="N8113" s="10" t="s">
        <v>37706</v>
      </c>
      <c r="O8113" s="10"/>
      <c r="P8113" s="10" t="s">
        <v>37946</v>
      </c>
      <c r="Q8113" s="10" t="s">
        <v>11202</v>
      </c>
      <c r="R8113" s="10" t="s">
        <v>37947</v>
      </c>
      <c r="S8113" s="10" t="s">
        <v>53</v>
      </c>
      <c r="T8113" s="10" t="s">
        <v>54</v>
      </c>
    </row>
    <row r="8114" spans="1:20" ht="14.5" x14ac:dyDescent="0.35">
      <c r="A8114" s="10" t="s">
        <v>37948</v>
      </c>
      <c r="B8114" s="10" t="str">
        <f>"9780791433607"</f>
        <v>9780791433607</v>
      </c>
      <c r="C8114" s="10" t="str">
        <f>"9781438405964"</f>
        <v>9781438405964</v>
      </c>
      <c r="D8114" s="10" t="s">
        <v>37676</v>
      </c>
      <c r="E8114" s="10" t="s">
        <v>37677</v>
      </c>
      <c r="F8114" s="10" t="s">
        <v>2536</v>
      </c>
      <c r="G8114" s="10" t="s">
        <v>6317</v>
      </c>
      <c r="H8114" s="11">
        <v>35621</v>
      </c>
      <c r="I8114" s="10">
        <v>1997</v>
      </c>
      <c r="J8114" s="10" t="s">
        <v>37678</v>
      </c>
      <c r="K8114" s="10">
        <v>458</v>
      </c>
      <c r="L8114" s="10" t="s">
        <v>37949</v>
      </c>
      <c r="M8114" s="10">
        <v>1</v>
      </c>
      <c r="N8114" s="10" t="s">
        <v>37950</v>
      </c>
      <c r="O8114" s="10"/>
      <c r="P8114" s="10" t="s">
        <v>37951</v>
      </c>
      <c r="Q8114" s="10">
        <v>372.21</v>
      </c>
      <c r="R8114" s="10" t="s">
        <v>37952</v>
      </c>
      <c r="S8114" s="10" t="s">
        <v>53</v>
      </c>
      <c r="T8114" s="10" t="s">
        <v>54</v>
      </c>
    </row>
    <row r="8115" spans="1:20" ht="14.5" x14ac:dyDescent="0.35">
      <c r="A8115" s="10" t="s">
        <v>37953</v>
      </c>
      <c r="B8115" s="10" t="str">
        <f>"9780887063473"</f>
        <v>9780887063473</v>
      </c>
      <c r="C8115" s="10" t="str">
        <f>"9781438405544"</f>
        <v>9781438405544</v>
      </c>
      <c r="D8115" s="10" t="s">
        <v>37676</v>
      </c>
      <c r="E8115" s="10" t="s">
        <v>37677</v>
      </c>
      <c r="F8115" s="10" t="s">
        <v>2536</v>
      </c>
      <c r="G8115" s="10" t="s">
        <v>6317</v>
      </c>
      <c r="H8115" s="11">
        <v>31842</v>
      </c>
      <c r="I8115" s="10">
        <v>1987</v>
      </c>
      <c r="J8115" s="10" t="s">
        <v>37678</v>
      </c>
      <c r="K8115" s="10">
        <v>186</v>
      </c>
      <c r="L8115" s="10" t="s">
        <v>37954</v>
      </c>
      <c r="M8115" s="10">
        <v>1</v>
      </c>
      <c r="N8115" s="10" t="s">
        <v>37706</v>
      </c>
      <c r="O8115" s="10"/>
      <c r="P8115" s="10" t="s">
        <v>37955</v>
      </c>
      <c r="Q8115" s="10" t="s">
        <v>8460</v>
      </c>
      <c r="R8115" s="10" t="s">
        <v>37956</v>
      </c>
      <c r="S8115" s="10" t="s">
        <v>53</v>
      </c>
      <c r="T8115" s="10" t="s">
        <v>54</v>
      </c>
    </row>
    <row r="8116" spans="1:20" ht="14.5" x14ac:dyDescent="0.35">
      <c r="A8116" s="10" t="s">
        <v>37957</v>
      </c>
      <c r="B8116" s="10" t="str">
        <f>"9780791402665"</f>
        <v>9780791402665</v>
      </c>
      <c r="C8116" s="10" t="str">
        <f>"9781438406145"</f>
        <v>9781438406145</v>
      </c>
      <c r="D8116" s="10" t="s">
        <v>37676</v>
      </c>
      <c r="E8116" s="10" t="s">
        <v>37677</v>
      </c>
      <c r="F8116" s="10" t="s">
        <v>2536</v>
      </c>
      <c r="G8116" s="10" t="s">
        <v>6317</v>
      </c>
      <c r="H8116" s="11">
        <v>33059</v>
      </c>
      <c r="I8116" s="10">
        <v>1990</v>
      </c>
      <c r="J8116" s="10" t="s">
        <v>37678</v>
      </c>
      <c r="K8116" s="10">
        <v>309</v>
      </c>
      <c r="L8116" s="10" t="s">
        <v>37958</v>
      </c>
      <c r="M8116" s="10">
        <v>1</v>
      </c>
      <c r="N8116" s="10" t="s">
        <v>37959</v>
      </c>
      <c r="O8116" s="10"/>
      <c r="P8116" s="10" t="s">
        <v>37960</v>
      </c>
      <c r="Q8116" s="10" t="s">
        <v>15400</v>
      </c>
      <c r="R8116" s="10" t="s">
        <v>37961</v>
      </c>
      <c r="S8116" s="10" t="s">
        <v>53</v>
      </c>
      <c r="T8116" s="10" t="s">
        <v>6498</v>
      </c>
    </row>
    <row r="8117" spans="1:20" ht="14.5" x14ac:dyDescent="0.35">
      <c r="A8117" s="10" t="s">
        <v>37962</v>
      </c>
      <c r="B8117" s="10" t="str">
        <f>"9780791403723"</f>
        <v>9780791403723</v>
      </c>
      <c r="C8117" s="10" t="str">
        <f>"9781438404417"</f>
        <v>9781438404417</v>
      </c>
      <c r="D8117" s="10" t="s">
        <v>37676</v>
      </c>
      <c r="E8117" s="10" t="s">
        <v>37677</v>
      </c>
      <c r="F8117" s="10" t="s">
        <v>2536</v>
      </c>
      <c r="G8117" s="10" t="s">
        <v>6317</v>
      </c>
      <c r="H8117" s="11">
        <v>33148</v>
      </c>
      <c r="I8117" s="10">
        <v>1990</v>
      </c>
      <c r="J8117" s="10" t="s">
        <v>37678</v>
      </c>
      <c r="K8117" s="10">
        <v>207</v>
      </c>
      <c r="L8117" s="10" t="s">
        <v>37963</v>
      </c>
      <c r="M8117" s="10">
        <v>1</v>
      </c>
      <c r="N8117" s="10" t="s">
        <v>37964</v>
      </c>
      <c r="O8117" s="10"/>
      <c r="P8117" s="10" t="s">
        <v>37965</v>
      </c>
      <c r="Q8117" s="10">
        <v>371.9</v>
      </c>
      <c r="R8117" s="10" t="s">
        <v>37966</v>
      </c>
      <c r="S8117" s="10" t="s">
        <v>53</v>
      </c>
      <c r="T8117" s="10" t="s">
        <v>54</v>
      </c>
    </row>
    <row r="8118" spans="1:20" ht="14.5" x14ac:dyDescent="0.35">
      <c r="A8118" s="10" t="s">
        <v>37967</v>
      </c>
      <c r="B8118" s="10" t="str">
        <f>"9780791435069"</f>
        <v>9780791435069</v>
      </c>
      <c r="C8118" s="10" t="str">
        <f>"9781438403915"</f>
        <v>9781438403915</v>
      </c>
      <c r="D8118" s="10" t="s">
        <v>37676</v>
      </c>
      <c r="E8118" s="10" t="s">
        <v>37677</v>
      </c>
      <c r="F8118" s="10" t="s">
        <v>2536</v>
      </c>
      <c r="G8118" s="10" t="s">
        <v>6317</v>
      </c>
      <c r="H8118" s="11">
        <v>35705</v>
      </c>
      <c r="I8118" s="10">
        <v>1997</v>
      </c>
      <c r="J8118" s="10" t="s">
        <v>37678</v>
      </c>
      <c r="K8118" s="10">
        <v>278</v>
      </c>
      <c r="L8118" s="10" t="s">
        <v>37968</v>
      </c>
      <c r="M8118" s="10">
        <v>1</v>
      </c>
      <c r="N8118" s="10" t="s">
        <v>37767</v>
      </c>
      <c r="O8118" s="10"/>
      <c r="P8118" s="10" t="s">
        <v>37969</v>
      </c>
      <c r="Q8118" s="10" t="s">
        <v>13808</v>
      </c>
      <c r="R8118" s="10" t="s">
        <v>37970</v>
      </c>
      <c r="S8118" s="10" t="s">
        <v>53</v>
      </c>
      <c r="T8118" s="10" t="s">
        <v>54</v>
      </c>
    </row>
    <row r="8119" spans="1:20" ht="14.5" x14ac:dyDescent="0.35">
      <c r="A8119" s="10" t="s">
        <v>37971</v>
      </c>
      <c r="B8119" s="10" t="str">
        <f>"9780791429402"</f>
        <v>9780791429402</v>
      </c>
      <c r="C8119" s="10" t="str">
        <f>"9781438405117"</f>
        <v>9781438405117</v>
      </c>
      <c r="D8119" s="10" t="s">
        <v>37676</v>
      </c>
      <c r="E8119" s="10" t="s">
        <v>37677</v>
      </c>
      <c r="F8119" s="10" t="s">
        <v>2536</v>
      </c>
      <c r="G8119" s="10" t="s">
        <v>6317</v>
      </c>
      <c r="H8119" s="11">
        <v>35159</v>
      </c>
      <c r="I8119" s="10">
        <v>1996</v>
      </c>
      <c r="J8119" s="10" t="s">
        <v>37678</v>
      </c>
      <c r="K8119" s="10">
        <v>129</v>
      </c>
      <c r="L8119" s="10" t="s">
        <v>37972</v>
      </c>
      <c r="M8119" s="10">
        <v>1</v>
      </c>
      <c r="N8119" s="10" t="s">
        <v>37706</v>
      </c>
      <c r="O8119" s="10"/>
      <c r="P8119" s="10" t="s">
        <v>37973</v>
      </c>
      <c r="Q8119" s="10" t="s">
        <v>12010</v>
      </c>
      <c r="R8119" s="10" t="s">
        <v>37974</v>
      </c>
      <c r="S8119" s="10" t="s">
        <v>53</v>
      </c>
      <c r="T8119" s="10" t="s">
        <v>54</v>
      </c>
    </row>
    <row r="8120" spans="1:20" ht="14.5" x14ac:dyDescent="0.35">
      <c r="A8120" s="10" t="s">
        <v>37975</v>
      </c>
      <c r="B8120" s="10" t="str">
        <f>"9780791410561"</f>
        <v>9780791410561</v>
      </c>
      <c r="C8120" s="10" t="str">
        <f>"9781438404035"</f>
        <v>9781438404035</v>
      </c>
      <c r="D8120" s="10" t="s">
        <v>37676</v>
      </c>
      <c r="E8120" s="10" t="s">
        <v>37677</v>
      </c>
      <c r="F8120" s="10" t="s">
        <v>2536</v>
      </c>
      <c r="G8120" s="10" t="s">
        <v>6317</v>
      </c>
      <c r="H8120" s="11">
        <v>33833</v>
      </c>
      <c r="I8120" s="10">
        <v>1992</v>
      </c>
      <c r="J8120" s="10" t="s">
        <v>37678</v>
      </c>
      <c r="K8120" s="10">
        <v>300</v>
      </c>
      <c r="L8120" s="10" t="s">
        <v>37976</v>
      </c>
      <c r="M8120" s="10">
        <v>1</v>
      </c>
      <c r="N8120" s="10" t="s">
        <v>37680</v>
      </c>
      <c r="O8120" s="10"/>
      <c r="P8120" s="10" t="s">
        <v>37977</v>
      </c>
      <c r="Q8120" s="10" t="s">
        <v>37978</v>
      </c>
      <c r="R8120" s="10" t="s">
        <v>37979</v>
      </c>
      <c r="S8120" s="10" t="s">
        <v>53</v>
      </c>
      <c r="T8120" s="10" t="s">
        <v>54</v>
      </c>
    </row>
    <row r="8121" spans="1:20" ht="14.5" x14ac:dyDescent="0.35">
      <c r="A8121" s="10" t="s">
        <v>37980</v>
      </c>
      <c r="B8121" s="10" t="str">
        <f>"9780791431580"</f>
        <v>9780791431580</v>
      </c>
      <c r="C8121" s="10" t="str">
        <f>"9781438407043"</f>
        <v>9781438407043</v>
      </c>
      <c r="D8121" s="10" t="s">
        <v>37676</v>
      </c>
      <c r="E8121" s="10" t="s">
        <v>37677</v>
      </c>
      <c r="F8121" s="10" t="s">
        <v>5707</v>
      </c>
      <c r="G8121" s="10" t="s">
        <v>6317</v>
      </c>
      <c r="H8121" s="11">
        <v>35439</v>
      </c>
      <c r="I8121" s="10">
        <v>1997</v>
      </c>
      <c r="J8121" s="10" t="s">
        <v>37678</v>
      </c>
      <c r="K8121" s="10">
        <v>95</v>
      </c>
      <c r="L8121" s="10" t="s">
        <v>37981</v>
      </c>
      <c r="M8121" s="10">
        <v>1</v>
      </c>
      <c r="N8121" s="10" t="s">
        <v>37982</v>
      </c>
      <c r="O8121" s="10"/>
      <c r="P8121" s="10" t="s">
        <v>37983</v>
      </c>
      <c r="Q8121" s="10" t="s">
        <v>24789</v>
      </c>
      <c r="R8121" s="10" t="s">
        <v>37984</v>
      </c>
      <c r="S8121" s="10" t="s">
        <v>53</v>
      </c>
      <c r="T8121" s="10" t="s">
        <v>54</v>
      </c>
    </row>
    <row r="8122" spans="1:20" ht="14.5" x14ac:dyDescent="0.35">
      <c r="A8122" s="10" t="s">
        <v>37985</v>
      </c>
      <c r="B8122" s="10" t="str">
        <f>"9780791428566"</f>
        <v>9780791428566</v>
      </c>
      <c r="C8122" s="10" t="str">
        <f>"9781438403847"</f>
        <v>9781438403847</v>
      </c>
      <c r="D8122" s="10" t="s">
        <v>37676</v>
      </c>
      <c r="E8122" s="10" t="s">
        <v>37677</v>
      </c>
      <c r="F8122" s="10" t="s">
        <v>5707</v>
      </c>
      <c r="G8122" s="10" t="s">
        <v>6317</v>
      </c>
      <c r="H8122" s="11">
        <v>35096</v>
      </c>
      <c r="I8122" s="10">
        <v>1996</v>
      </c>
      <c r="J8122" s="10" t="s">
        <v>37678</v>
      </c>
      <c r="K8122" s="10">
        <v>183</v>
      </c>
      <c r="L8122" s="10" t="s">
        <v>37986</v>
      </c>
      <c r="M8122" s="10">
        <v>1</v>
      </c>
      <c r="N8122" s="10" t="s">
        <v>37845</v>
      </c>
      <c r="O8122" s="10"/>
      <c r="P8122" s="10" t="s">
        <v>37987</v>
      </c>
      <c r="Q8122" s="10" t="s">
        <v>37988</v>
      </c>
      <c r="R8122" s="10" t="s">
        <v>37989</v>
      </c>
      <c r="S8122" s="10" t="s">
        <v>53</v>
      </c>
      <c r="T8122" s="10" t="s">
        <v>54</v>
      </c>
    </row>
    <row r="8123" spans="1:20" ht="14.5" x14ac:dyDescent="0.35">
      <c r="A8123" s="10" t="s">
        <v>37990</v>
      </c>
      <c r="B8123" s="10" t="str">
        <f>"9780791420706"</f>
        <v>9780791420706</v>
      </c>
      <c r="C8123" s="10" t="str">
        <f>"9781438407128"</f>
        <v>9781438407128</v>
      </c>
      <c r="D8123" s="10" t="s">
        <v>37676</v>
      </c>
      <c r="E8123" s="10" t="s">
        <v>37677</v>
      </c>
      <c r="F8123" s="10" t="s">
        <v>5707</v>
      </c>
      <c r="G8123" s="10" t="s">
        <v>6317</v>
      </c>
      <c r="H8123" s="11">
        <v>34604</v>
      </c>
      <c r="I8123" s="10">
        <v>1994</v>
      </c>
      <c r="J8123" s="10" t="s">
        <v>37678</v>
      </c>
      <c r="K8123" s="10">
        <v>101</v>
      </c>
      <c r="L8123" s="10" t="s">
        <v>37991</v>
      </c>
      <c r="M8123" s="10">
        <v>1</v>
      </c>
      <c r="N8123" s="10" t="s">
        <v>37959</v>
      </c>
      <c r="O8123" s="10"/>
      <c r="P8123" s="10" t="s">
        <v>37992</v>
      </c>
      <c r="Q8123" s="10" t="s">
        <v>37993</v>
      </c>
      <c r="R8123" s="10" t="s">
        <v>37994</v>
      </c>
      <c r="S8123" s="10" t="s">
        <v>53</v>
      </c>
      <c r="T8123" s="10" t="s">
        <v>54</v>
      </c>
    </row>
    <row r="8124" spans="1:20" ht="14.5" x14ac:dyDescent="0.35">
      <c r="A8124" s="10" t="s">
        <v>37995</v>
      </c>
      <c r="B8124" s="10" t="str">
        <f>"9780791431047"</f>
        <v>9780791431047</v>
      </c>
      <c r="C8124" s="10" t="str">
        <f>"9781438407593"</f>
        <v>9781438407593</v>
      </c>
      <c r="D8124" s="10" t="s">
        <v>37676</v>
      </c>
      <c r="E8124" s="10" t="s">
        <v>37677</v>
      </c>
      <c r="F8124" s="10" t="s">
        <v>5707</v>
      </c>
      <c r="G8124" s="10" t="s">
        <v>6317</v>
      </c>
      <c r="H8124" s="11">
        <v>35309</v>
      </c>
      <c r="I8124" s="10">
        <v>1996</v>
      </c>
      <c r="J8124" s="10" t="s">
        <v>37677</v>
      </c>
      <c r="K8124" s="10">
        <v>251</v>
      </c>
      <c r="L8124" s="10" t="s">
        <v>37996</v>
      </c>
      <c r="M8124" s="10">
        <v>1</v>
      </c>
      <c r="N8124" s="10"/>
      <c r="O8124" s="10"/>
      <c r="P8124" s="10" t="s">
        <v>37997</v>
      </c>
      <c r="Q8124" s="10" t="s">
        <v>8587</v>
      </c>
      <c r="R8124" s="10" t="s">
        <v>37998</v>
      </c>
      <c r="S8124" s="10" t="s">
        <v>53</v>
      </c>
      <c r="T8124" s="10" t="s">
        <v>54</v>
      </c>
    </row>
    <row r="8125" spans="1:20" ht="14.5" x14ac:dyDescent="0.35">
      <c r="A8125" s="10" t="s">
        <v>37999</v>
      </c>
      <c r="B8125" s="10" t="str">
        <f>"9780791442425"</f>
        <v>9780791442425</v>
      </c>
      <c r="C8125" s="10" t="str">
        <f>"9781438407692"</f>
        <v>9781438407692</v>
      </c>
      <c r="D8125" s="10" t="s">
        <v>37676</v>
      </c>
      <c r="E8125" s="10" t="s">
        <v>37677</v>
      </c>
      <c r="F8125" s="10" t="s">
        <v>5707</v>
      </c>
      <c r="G8125" s="10" t="s">
        <v>6317</v>
      </c>
      <c r="H8125" s="11">
        <v>36342</v>
      </c>
      <c r="I8125" s="10">
        <v>1999</v>
      </c>
      <c r="J8125" s="10" t="s">
        <v>37678</v>
      </c>
      <c r="K8125" s="10">
        <v>168</v>
      </c>
      <c r="L8125" s="10" t="s">
        <v>38000</v>
      </c>
      <c r="M8125" s="10">
        <v>1</v>
      </c>
      <c r="N8125" s="10" t="s">
        <v>37845</v>
      </c>
      <c r="O8125" s="10"/>
      <c r="P8125" s="10" t="s">
        <v>38001</v>
      </c>
      <c r="Q8125" s="10" t="s">
        <v>9491</v>
      </c>
      <c r="R8125" s="10" t="s">
        <v>38002</v>
      </c>
      <c r="S8125" s="10" t="s">
        <v>53</v>
      </c>
      <c r="T8125" s="10" t="s">
        <v>54</v>
      </c>
    </row>
    <row r="8126" spans="1:20" ht="14.5" x14ac:dyDescent="0.35">
      <c r="A8126" s="10" t="s">
        <v>38003</v>
      </c>
      <c r="B8126" s="10" t="str">
        <f>"9780791420980"</f>
        <v>9780791420980</v>
      </c>
      <c r="C8126" s="10" t="str">
        <f>"9781438407746"</f>
        <v>9781438407746</v>
      </c>
      <c r="D8126" s="10" t="s">
        <v>37676</v>
      </c>
      <c r="E8126" s="10" t="s">
        <v>37677</v>
      </c>
      <c r="F8126" s="10" t="s">
        <v>5707</v>
      </c>
      <c r="G8126" s="10" t="s">
        <v>6317</v>
      </c>
      <c r="H8126" s="11">
        <v>34592</v>
      </c>
      <c r="I8126" s="10">
        <v>1994</v>
      </c>
      <c r="J8126" s="10" t="s">
        <v>37678</v>
      </c>
      <c r="K8126" s="10">
        <v>150</v>
      </c>
      <c r="L8126" s="10" t="s">
        <v>38004</v>
      </c>
      <c r="M8126" s="10">
        <v>1</v>
      </c>
      <c r="N8126" s="10" t="s">
        <v>37715</v>
      </c>
      <c r="O8126" s="10"/>
      <c r="P8126" s="10" t="s">
        <v>38005</v>
      </c>
      <c r="Q8126" s="10">
        <v>371.1</v>
      </c>
      <c r="R8126" s="10" t="s">
        <v>38006</v>
      </c>
      <c r="S8126" s="10" t="s">
        <v>53</v>
      </c>
      <c r="T8126" s="10" t="s">
        <v>54</v>
      </c>
    </row>
    <row r="8127" spans="1:20" ht="14.5" x14ac:dyDescent="0.35">
      <c r="A8127" s="10" t="s">
        <v>38007</v>
      </c>
      <c r="B8127" s="10" t="str">
        <f>"9780791444665"</f>
        <v>9780791444665</v>
      </c>
      <c r="C8127" s="10" t="str">
        <f>"9780791493083"</f>
        <v>9780791493083</v>
      </c>
      <c r="D8127" s="10" t="s">
        <v>37676</v>
      </c>
      <c r="E8127" s="10" t="s">
        <v>37677</v>
      </c>
      <c r="F8127" s="10" t="s">
        <v>5707</v>
      </c>
      <c r="G8127" s="10" t="s">
        <v>6317</v>
      </c>
      <c r="H8127" s="11">
        <v>36573</v>
      </c>
      <c r="I8127" s="10">
        <v>2000</v>
      </c>
      <c r="J8127" s="10" t="s">
        <v>37678</v>
      </c>
      <c r="K8127" s="10">
        <v>271</v>
      </c>
      <c r="L8127" s="10" t="s">
        <v>38008</v>
      </c>
      <c r="M8127" s="10">
        <v>1</v>
      </c>
      <c r="N8127" s="10" t="s">
        <v>37715</v>
      </c>
      <c r="O8127" s="10"/>
      <c r="P8127" s="10" t="s">
        <v>38009</v>
      </c>
      <c r="Q8127" s="10" t="s">
        <v>8993</v>
      </c>
      <c r="R8127" s="10" t="s">
        <v>38010</v>
      </c>
      <c r="S8127" s="10" t="s">
        <v>53</v>
      </c>
      <c r="T8127" s="10" t="s">
        <v>54</v>
      </c>
    </row>
    <row r="8128" spans="1:20" ht="14.5" x14ac:dyDescent="0.35">
      <c r="A8128" s="10" t="s">
        <v>38011</v>
      </c>
      <c r="B8128" s="10" t="str">
        <f>"9780873956208"</f>
        <v>9780873956208</v>
      </c>
      <c r="C8128" s="10" t="str">
        <f>"9781438408705"</f>
        <v>9781438408705</v>
      </c>
      <c r="D8128" s="10" t="s">
        <v>37676</v>
      </c>
      <c r="E8128" s="10" t="s">
        <v>37677</v>
      </c>
      <c r="F8128" s="10" t="s">
        <v>5707</v>
      </c>
      <c r="G8128" s="10" t="s">
        <v>6317</v>
      </c>
      <c r="H8128" s="11">
        <v>30497</v>
      </c>
      <c r="I8128" s="10">
        <v>1982</v>
      </c>
      <c r="J8128" s="10" t="s">
        <v>37678</v>
      </c>
      <c r="K8128" s="10">
        <v>262</v>
      </c>
      <c r="L8128" s="10" t="s">
        <v>38012</v>
      </c>
      <c r="M8128" s="10">
        <v>1</v>
      </c>
      <c r="N8128" s="10"/>
      <c r="O8128" s="10"/>
      <c r="P8128" s="10" t="s">
        <v>38013</v>
      </c>
      <c r="Q8128" s="10" t="s">
        <v>17133</v>
      </c>
      <c r="R8128" s="10" t="s">
        <v>38014</v>
      </c>
      <c r="S8128" s="10" t="s">
        <v>53</v>
      </c>
      <c r="T8128" s="10" t="s">
        <v>54</v>
      </c>
    </row>
    <row r="8129" spans="1:20" ht="14.5" x14ac:dyDescent="0.35">
      <c r="A8129" s="10" t="s">
        <v>38015</v>
      </c>
      <c r="B8129" s="10" t="str">
        <f>"9780791400111"</f>
        <v>9780791400111</v>
      </c>
      <c r="C8129" s="10" t="str">
        <f>"9781438409122"</f>
        <v>9781438409122</v>
      </c>
      <c r="D8129" s="10" t="s">
        <v>37676</v>
      </c>
      <c r="E8129" s="10" t="s">
        <v>37677</v>
      </c>
      <c r="F8129" s="10" t="s">
        <v>5707</v>
      </c>
      <c r="G8129" s="10" t="s">
        <v>6317</v>
      </c>
      <c r="H8129" s="11">
        <v>32959</v>
      </c>
      <c r="I8129" s="10">
        <v>1990</v>
      </c>
      <c r="J8129" s="10" t="s">
        <v>37678</v>
      </c>
      <c r="K8129" s="10">
        <v>173</v>
      </c>
      <c r="L8129" s="10" t="s">
        <v>38016</v>
      </c>
      <c r="M8129" s="10">
        <v>1</v>
      </c>
      <c r="N8129" s="10" t="s">
        <v>37680</v>
      </c>
      <c r="O8129" s="10"/>
      <c r="P8129" s="10" t="s">
        <v>38017</v>
      </c>
      <c r="Q8129" s="10" t="s">
        <v>38018</v>
      </c>
      <c r="R8129" s="10" t="s">
        <v>38019</v>
      </c>
      <c r="S8129" s="10" t="s">
        <v>53</v>
      </c>
      <c r="T8129" s="10" t="s">
        <v>54</v>
      </c>
    </row>
    <row r="8130" spans="1:20" ht="14.5" x14ac:dyDescent="0.35">
      <c r="A8130" s="10" t="s">
        <v>38020</v>
      </c>
      <c r="B8130" s="10" t="str">
        <f>"9780791416563"</f>
        <v>9780791416563</v>
      </c>
      <c r="C8130" s="10" t="str">
        <f>"9781438408156"</f>
        <v>9781438408156</v>
      </c>
      <c r="D8130" s="10" t="s">
        <v>37676</v>
      </c>
      <c r="E8130" s="10" t="s">
        <v>37677</v>
      </c>
      <c r="F8130" s="10" t="s">
        <v>5707</v>
      </c>
      <c r="G8130" s="10" t="s">
        <v>6317</v>
      </c>
      <c r="H8130" s="11">
        <v>34275</v>
      </c>
      <c r="I8130" s="10">
        <v>1993</v>
      </c>
      <c r="J8130" s="10" t="s">
        <v>37678</v>
      </c>
      <c r="K8130" s="10">
        <v>107</v>
      </c>
      <c r="L8130" s="10" t="s">
        <v>38021</v>
      </c>
      <c r="M8130" s="10">
        <v>1</v>
      </c>
      <c r="N8130" s="10"/>
      <c r="O8130" s="10"/>
      <c r="P8130" s="10" t="s">
        <v>38022</v>
      </c>
      <c r="Q8130" s="10" t="s">
        <v>38023</v>
      </c>
      <c r="R8130" s="10" t="s">
        <v>38024</v>
      </c>
      <c r="S8130" s="10" t="s">
        <v>53</v>
      </c>
      <c r="T8130" s="10" t="s">
        <v>54</v>
      </c>
    </row>
    <row r="8131" spans="1:20" ht="14.5" x14ac:dyDescent="0.35">
      <c r="A8131" s="10" t="s">
        <v>38025</v>
      </c>
      <c r="B8131" s="10" t="str">
        <f>"9780791417065"</f>
        <v>9780791417065</v>
      </c>
      <c r="C8131" s="10" t="str">
        <f>"9781438408835"</f>
        <v>9781438408835</v>
      </c>
      <c r="D8131" s="10" t="s">
        <v>37676</v>
      </c>
      <c r="E8131" s="10" t="s">
        <v>37677</v>
      </c>
      <c r="F8131" s="10" t="s">
        <v>5707</v>
      </c>
      <c r="G8131" s="10" t="s">
        <v>6317</v>
      </c>
      <c r="H8131" s="11">
        <v>34310</v>
      </c>
      <c r="I8131" s="10">
        <v>1994</v>
      </c>
      <c r="J8131" s="10" t="s">
        <v>37678</v>
      </c>
      <c r="K8131" s="10">
        <v>179</v>
      </c>
      <c r="L8131" s="10" t="s">
        <v>8531</v>
      </c>
      <c r="M8131" s="10">
        <v>1</v>
      </c>
      <c r="N8131" s="10" t="s">
        <v>37680</v>
      </c>
      <c r="O8131" s="10"/>
      <c r="P8131" s="10" t="s">
        <v>38026</v>
      </c>
      <c r="Q8131" s="10">
        <v>378.73</v>
      </c>
      <c r="R8131" s="10" t="s">
        <v>38027</v>
      </c>
      <c r="S8131" s="10" t="s">
        <v>53</v>
      </c>
      <c r="T8131" s="10" t="s">
        <v>54</v>
      </c>
    </row>
    <row r="8132" spans="1:20" ht="14.5" x14ac:dyDescent="0.35">
      <c r="A8132" s="10" t="s">
        <v>38028</v>
      </c>
      <c r="B8132" s="10" t="str">
        <f>"9780791404713"</f>
        <v>9780791404713</v>
      </c>
      <c r="C8132" s="10" t="str">
        <f>"9781438409528"</f>
        <v>9781438409528</v>
      </c>
      <c r="D8132" s="10" t="s">
        <v>37676</v>
      </c>
      <c r="E8132" s="10" t="s">
        <v>37677</v>
      </c>
      <c r="F8132" s="10" t="s">
        <v>5707</v>
      </c>
      <c r="G8132" s="10" t="s">
        <v>6317</v>
      </c>
      <c r="H8132" s="11">
        <v>33260</v>
      </c>
      <c r="I8132" s="10">
        <v>1991</v>
      </c>
      <c r="J8132" s="10" t="s">
        <v>37678</v>
      </c>
      <c r="K8132" s="10">
        <v>96</v>
      </c>
      <c r="L8132" s="10" t="s">
        <v>38029</v>
      </c>
      <c r="M8132" s="10">
        <v>1</v>
      </c>
      <c r="N8132" s="10"/>
      <c r="O8132" s="10"/>
      <c r="P8132" s="10" t="s">
        <v>38030</v>
      </c>
      <c r="Q8132" s="10" t="s">
        <v>38031</v>
      </c>
      <c r="R8132" s="10" t="s">
        <v>38032</v>
      </c>
      <c r="S8132" s="10" t="s">
        <v>53</v>
      </c>
      <c r="T8132" s="10" t="s">
        <v>54</v>
      </c>
    </row>
    <row r="8133" spans="1:20" ht="14.5" x14ac:dyDescent="0.35">
      <c r="A8133" s="10" t="s">
        <v>38033</v>
      </c>
      <c r="B8133" s="10" t="str">
        <f>"9780791433508"</f>
        <v>9780791433508</v>
      </c>
      <c r="C8133" s="10" t="str">
        <f>"9781438409917"</f>
        <v>9781438409917</v>
      </c>
      <c r="D8133" s="10" t="s">
        <v>37676</v>
      </c>
      <c r="E8133" s="10" t="s">
        <v>37677</v>
      </c>
      <c r="F8133" s="10" t="s">
        <v>5707</v>
      </c>
      <c r="G8133" s="10" t="s">
        <v>6317</v>
      </c>
      <c r="H8133" s="11">
        <v>35502</v>
      </c>
      <c r="I8133" s="10">
        <v>1996</v>
      </c>
      <c r="J8133" s="10" t="s">
        <v>37678</v>
      </c>
      <c r="K8133" s="10">
        <v>175</v>
      </c>
      <c r="L8133" s="10" t="s">
        <v>38034</v>
      </c>
      <c r="M8133" s="10">
        <v>1</v>
      </c>
      <c r="N8133" s="10" t="s">
        <v>37743</v>
      </c>
      <c r="O8133" s="10"/>
      <c r="P8133" s="10" t="s">
        <v>38035</v>
      </c>
      <c r="Q8133" s="10" t="s">
        <v>7335</v>
      </c>
      <c r="R8133" s="10" t="s">
        <v>38036</v>
      </c>
      <c r="S8133" s="10" t="s">
        <v>53</v>
      </c>
      <c r="T8133" s="10" t="s">
        <v>54</v>
      </c>
    </row>
    <row r="8134" spans="1:20" ht="14.5" x14ac:dyDescent="0.35">
      <c r="A8134" s="10" t="s">
        <v>38037</v>
      </c>
      <c r="B8134" s="10" t="str">
        <f>"9780791428603"</f>
        <v>9780791428603</v>
      </c>
      <c r="C8134" s="10" t="str">
        <f>"9781438410654"</f>
        <v>9781438410654</v>
      </c>
      <c r="D8134" s="10" t="s">
        <v>37676</v>
      </c>
      <c r="E8134" s="10" t="s">
        <v>37677</v>
      </c>
      <c r="F8134" s="10" t="s">
        <v>5707</v>
      </c>
      <c r="G8134" s="10" t="s">
        <v>6317</v>
      </c>
      <c r="H8134" s="11">
        <v>35131</v>
      </c>
      <c r="I8134" s="10">
        <v>1996</v>
      </c>
      <c r="J8134" s="10" t="s">
        <v>37678</v>
      </c>
      <c r="K8134" s="10">
        <v>312</v>
      </c>
      <c r="L8134" s="10" t="s">
        <v>38038</v>
      </c>
      <c r="M8134" s="10">
        <v>1</v>
      </c>
      <c r="N8134" s="10" t="s">
        <v>38039</v>
      </c>
      <c r="O8134" s="10"/>
      <c r="P8134" s="10" t="s">
        <v>38040</v>
      </c>
      <c r="Q8134" s="10" t="s">
        <v>38041</v>
      </c>
      <c r="R8134" s="10" t="s">
        <v>38042</v>
      </c>
      <c r="S8134" s="10" t="s">
        <v>53</v>
      </c>
      <c r="T8134" s="10" t="s">
        <v>54</v>
      </c>
    </row>
    <row r="8135" spans="1:20" ht="14.5" x14ac:dyDescent="0.35">
      <c r="A8135" s="10" t="s">
        <v>38043</v>
      </c>
      <c r="B8135" s="10" t="str">
        <f>"9780791422540"</f>
        <v>9780791422540</v>
      </c>
      <c r="C8135" s="10" t="str">
        <f>"9781438410456"</f>
        <v>9781438410456</v>
      </c>
      <c r="D8135" s="10" t="s">
        <v>37676</v>
      </c>
      <c r="E8135" s="10" t="s">
        <v>37677</v>
      </c>
      <c r="F8135" s="10" t="s">
        <v>5707</v>
      </c>
      <c r="G8135" s="10" t="s">
        <v>6317</v>
      </c>
      <c r="H8135" s="11">
        <v>34746</v>
      </c>
      <c r="I8135" s="10">
        <v>1995</v>
      </c>
      <c r="J8135" s="10" t="s">
        <v>37678</v>
      </c>
      <c r="K8135" s="10">
        <v>288</v>
      </c>
      <c r="L8135" s="10" t="s">
        <v>38044</v>
      </c>
      <c r="M8135" s="10">
        <v>1</v>
      </c>
      <c r="N8135" s="10" t="s">
        <v>37706</v>
      </c>
      <c r="O8135" s="10"/>
      <c r="P8135" s="10" t="s">
        <v>38045</v>
      </c>
      <c r="Q8135" s="10" t="s">
        <v>38046</v>
      </c>
      <c r="R8135" s="10" t="s">
        <v>38047</v>
      </c>
      <c r="S8135" s="10" t="s">
        <v>53</v>
      </c>
      <c r="T8135" s="10" t="s">
        <v>54</v>
      </c>
    </row>
    <row r="8136" spans="1:20" ht="14.5" x14ac:dyDescent="0.35">
      <c r="A8136" s="10" t="s">
        <v>38048</v>
      </c>
      <c r="B8136" s="10" t="str">
        <f>"9780791440162"</f>
        <v>9780791440162</v>
      </c>
      <c r="C8136" s="10" t="str">
        <f>"9781438411002"</f>
        <v>9781438411002</v>
      </c>
      <c r="D8136" s="10" t="s">
        <v>37676</v>
      </c>
      <c r="E8136" s="10" t="s">
        <v>37677</v>
      </c>
      <c r="F8136" s="10" t="s">
        <v>5707</v>
      </c>
      <c r="G8136" s="10" t="s">
        <v>6317</v>
      </c>
      <c r="H8136" s="11">
        <v>36132</v>
      </c>
      <c r="I8136" s="10">
        <v>1999</v>
      </c>
      <c r="J8136" s="10" t="s">
        <v>37678</v>
      </c>
      <c r="K8136" s="10">
        <v>258</v>
      </c>
      <c r="L8136" s="10" t="s">
        <v>38049</v>
      </c>
      <c r="M8136" s="10">
        <v>1</v>
      </c>
      <c r="N8136" s="10" t="s">
        <v>37904</v>
      </c>
      <c r="O8136" s="10"/>
      <c r="P8136" s="10" t="s">
        <v>38050</v>
      </c>
      <c r="Q8136" s="10" t="s">
        <v>38051</v>
      </c>
      <c r="R8136" s="10" t="s">
        <v>38052</v>
      </c>
      <c r="S8136" s="10" t="s">
        <v>53</v>
      </c>
      <c r="T8136" s="10" t="s">
        <v>54</v>
      </c>
    </row>
    <row r="8137" spans="1:20" ht="14.5" x14ac:dyDescent="0.35">
      <c r="A8137" s="10" t="s">
        <v>38053</v>
      </c>
      <c r="B8137" s="10" t="str">
        <f>"9780791432884"</f>
        <v>9780791432884</v>
      </c>
      <c r="C8137" s="10" t="str">
        <f>"9781438411101"</f>
        <v>9781438411101</v>
      </c>
      <c r="D8137" s="10" t="s">
        <v>37676</v>
      </c>
      <c r="E8137" s="10" t="s">
        <v>37677</v>
      </c>
      <c r="F8137" s="10" t="s">
        <v>5707</v>
      </c>
      <c r="G8137" s="10" t="s">
        <v>6317</v>
      </c>
      <c r="H8137" s="11">
        <v>35502</v>
      </c>
      <c r="I8137" s="10">
        <v>1997</v>
      </c>
      <c r="J8137" s="10" t="s">
        <v>37678</v>
      </c>
      <c r="K8137" s="10">
        <v>249</v>
      </c>
      <c r="L8137" s="10" t="s">
        <v>27519</v>
      </c>
      <c r="M8137" s="10">
        <v>1</v>
      </c>
      <c r="N8137" s="10" t="s">
        <v>37680</v>
      </c>
      <c r="O8137" s="10"/>
      <c r="P8137" s="10" t="s">
        <v>38054</v>
      </c>
      <c r="Q8137" s="10" t="s">
        <v>7420</v>
      </c>
      <c r="R8137" s="10" t="s">
        <v>38055</v>
      </c>
      <c r="S8137" s="10" t="s">
        <v>53</v>
      </c>
      <c r="T8137" s="10" t="s">
        <v>54</v>
      </c>
    </row>
    <row r="8138" spans="1:20" ht="14.5" x14ac:dyDescent="0.35">
      <c r="A8138" s="10" t="s">
        <v>38056</v>
      </c>
      <c r="B8138" s="10" t="str">
        <f>"9780791403181"</f>
        <v>9780791403181</v>
      </c>
      <c r="C8138" s="10" t="str">
        <f>"9781438411194"</f>
        <v>9781438411194</v>
      </c>
      <c r="D8138" s="10" t="s">
        <v>37676</v>
      </c>
      <c r="E8138" s="10" t="s">
        <v>37677</v>
      </c>
      <c r="F8138" s="10" t="s">
        <v>5707</v>
      </c>
      <c r="G8138" s="10" t="s">
        <v>6317</v>
      </c>
      <c r="H8138" s="11">
        <v>33112</v>
      </c>
      <c r="I8138" s="10">
        <v>1990</v>
      </c>
      <c r="J8138" s="10" t="s">
        <v>37678</v>
      </c>
      <c r="K8138" s="10">
        <v>183</v>
      </c>
      <c r="L8138" s="10" t="s">
        <v>38057</v>
      </c>
      <c r="M8138" s="10">
        <v>1</v>
      </c>
      <c r="N8138" s="10" t="s">
        <v>37680</v>
      </c>
      <c r="O8138" s="10"/>
      <c r="P8138" s="10" t="s">
        <v>38058</v>
      </c>
      <c r="Q8138" s="10" t="s">
        <v>38059</v>
      </c>
      <c r="R8138" s="10" t="s">
        <v>38060</v>
      </c>
      <c r="S8138" s="10" t="s">
        <v>53</v>
      </c>
      <c r="T8138" s="10" t="s">
        <v>54</v>
      </c>
    </row>
    <row r="8139" spans="1:20" ht="14.5" x14ac:dyDescent="0.35">
      <c r="A8139" s="10" t="s">
        <v>38061</v>
      </c>
      <c r="B8139" s="10" t="str">
        <f>"9780791400036"</f>
        <v>9780791400036</v>
      </c>
      <c r="C8139" s="10" t="str">
        <f>"9781438411439"</f>
        <v>9781438411439</v>
      </c>
      <c r="D8139" s="10" t="s">
        <v>37676</v>
      </c>
      <c r="E8139" s="10" t="s">
        <v>37677</v>
      </c>
      <c r="F8139" s="10" t="s">
        <v>5707</v>
      </c>
      <c r="G8139" s="10" t="s">
        <v>6317</v>
      </c>
      <c r="H8139" s="11">
        <v>32690</v>
      </c>
      <c r="I8139" s="10">
        <v>1989</v>
      </c>
      <c r="J8139" s="10" t="s">
        <v>37678</v>
      </c>
      <c r="K8139" s="10">
        <v>171</v>
      </c>
      <c r="L8139" s="10" t="s">
        <v>38062</v>
      </c>
      <c r="M8139" s="10">
        <v>1</v>
      </c>
      <c r="N8139" s="10" t="s">
        <v>37727</v>
      </c>
      <c r="O8139" s="10"/>
      <c r="P8139" s="10" t="s">
        <v>38063</v>
      </c>
      <c r="Q8139" s="10" t="s">
        <v>38064</v>
      </c>
      <c r="R8139" s="10" t="s">
        <v>38065</v>
      </c>
      <c r="S8139" s="10" t="s">
        <v>53</v>
      </c>
      <c r="T8139" s="10" t="s">
        <v>54</v>
      </c>
    </row>
    <row r="8140" spans="1:20" ht="14.5" x14ac:dyDescent="0.35">
      <c r="A8140" s="10" t="s">
        <v>38066</v>
      </c>
      <c r="B8140" s="10" t="str">
        <f>"9780791431405"</f>
        <v>9780791431405</v>
      </c>
      <c r="C8140" s="10" t="str">
        <f>"9781438412146"</f>
        <v>9781438412146</v>
      </c>
      <c r="D8140" s="10" t="s">
        <v>37676</v>
      </c>
      <c r="E8140" s="10" t="s">
        <v>37677</v>
      </c>
      <c r="F8140" s="10" t="s">
        <v>5707</v>
      </c>
      <c r="G8140" s="10" t="s">
        <v>6317</v>
      </c>
      <c r="H8140" s="11">
        <v>35370</v>
      </c>
      <c r="I8140" s="10">
        <v>1997</v>
      </c>
      <c r="J8140" s="10" t="s">
        <v>37678</v>
      </c>
      <c r="K8140" s="10">
        <v>118</v>
      </c>
      <c r="L8140" s="10" t="s">
        <v>38067</v>
      </c>
      <c r="M8140" s="10">
        <v>1</v>
      </c>
      <c r="N8140" s="10" t="s">
        <v>38068</v>
      </c>
      <c r="O8140" s="10"/>
      <c r="P8140" s="10" t="s">
        <v>38069</v>
      </c>
      <c r="Q8140" s="10" t="s">
        <v>38070</v>
      </c>
      <c r="R8140" s="10" t="s">
        <v>38071</v>
      </c>
      <c r="S8140" s="10" t="s">
        <v>53</v>
      </c>
      <c r="T8140" s="10" t="s">
        <v>6363</v>
      </c>
    </row>
    <row r="8141" spans="1:20" ht="14.5" x14ac:dyDescent="0.35">
      <c r="A8141" s="10" t="s">
        <v>38072</v>
      </c>
      <c r="B8141" s="10" t="str">
        <f>"9780791422526"</f>
        <v>9780791422526</v>
      </c>
      <c r="C8141" s="10" t="str">
        <f>"9781438413723"</f>
        <v>9781438413723</v>
      </c>
      <c r="D8141" s="10" t="s">
        <v>37676</v>
      </c>
      <c r="E8141" s="10" t="s">
        <v>37677</v>
      </c>
      <c r="F8141" s="10" t="s">
        <v>5707</v>
      </c>
      <c r="G8141" s="10" t="s">
        <v>6317</v>
      </c>
      <c r="H8141" s="11">
        <v>34767</v>
      </c>
      <c r="I8141" s="10">
        <v>1995</v>
      </c>
      <c r="J8141" s="10" t="s">
        <v>37678</v>
      </c>
      <c r="K8141" s="10">
        <v>377</v>
      </c>
      <c r="L8141" s="10" t="s">
        <v>38073</v>
      </c>
      <c r="M8141" s="10">
        <v>1</v>
      </c>
      <c r="N8141" s="10" t="s">
        <v>37748</v>
      </c>
      <c r="O8141" s="10"/>
      <c r="P8141" s="10" t="s">
        <v>38074</v>
      </c>
      <c r="Q8141" s="10">
        <v>370.19</v>
      </c>
      <c r="R8141" s="10" t="s">
        <v>38075</v>
      </c>
      <c r="S8141" s="10" t="s">
        <v>53</v>
      </c>
      <c r="T8141" s="10" t="s">
        <v>54</v>
      </c>
    </row>
    <row r="8142" spans="1:20" ht="14.5" x14ac:dyDescent="0.35">
      <c r="A8142" s="10" t="s">
        <v>38076</v>
      </c>
      <c r="B8142" s="10" t="str">
        <f>"9780791403365"</f>
        <v>9780791403365</v>
      </c>
      <c r="C8142" s="10" t="str">
        <f>"9781438413457"</f>
        <v>9781438413457</v>
      </c>
      <c r="D8142" s="10" t="s">
        <v>37676</v>
      </c>
      <c r="E8142" s="10" t="s">
        <v>37677</v>
      </c>
      <c r="F8142" s="10" t="s">
        <v>5707</v>
      </c>
      <c r="G8142" s="10" t="s">
        <v>6317</v>
      </c>
      <c r="H8142" s="11">
        <v>33094</v>
      </c>
      <c r="I8142" s="10">
        <v>1990</v>
      </c>
      <c r="J8142" s="10" t="s">
        <v>37678</v>
      </c>
      <c r="K8142" s="10">
        <v>167</v>
      </c>
      <c r="L8142" s="10" t="s">
        <v>38077</v>
      </c>
      <c r="M8142" s="10">
        <v>1</v>
      </c>
      <c r="N8142" s="10" t="s">
        <v>38078</v>
      </c>
      <c r="O8142" s="10"/>
      <c r="P8142" s="10" t="s">
        <v>38079</v>
      </c>
      <c r="Q8142" s="10" t="s">
        <v>38080</v>
      </c>
      <c r="R8142" s="10" t="s">
        <v>38081</v>
      </c>
      <c r="S8142" s="10" t="s">
        <v>53</v>
      </c>
      <c r="T8142" s="10" t="s">
        <v>6634</v>
      </c>
    </row>
    <row r="8143" spans="1:20" ht="14.5" x14ac:dyDescent="0.35">
      <c r="A8143" s="10" t="s">
        <v>38082</v>
      </c>
      <c r="B8143" s="10" t="str">
        <f>"9780791427040"</f>
        <v>9780791427040</v>
      </c>
      <c r="C8143" s="10" t="str">
        <f>"9781438413884"</f>
        <v>9781438413884</v>
      </c>
      <c r="D8143" s="10" t="s">
        <v>37676</v>
      </c>
      <c r="E8143" s="10" t="s">
        <v>37677</v>
      </c>
      <c r="F8143" s="10" t="s">
        <v>5707</v>
      </c>
      <c r="G8143" s="10" t="s">
        <v>6317</v>
      </c>
      <c r="H8143" s="11">
        <v>34991</v>
      </c>
      <c r="I8143" s="10">
        <v>1996</v>
      </c>
      <c r="J8143" s="10" t="s">
        <v>37678</v>
      </c>
      <c r="K8143" s="10">
        <v>257</v>
      </c>
      <c r="L8143" s="10" t="s">
        <v>38083</v>
      </c>
      <c r="M8143" s="10">
        <v>1</v>
      </c>
      <c r="N8143" s="10" t="s">
        <v>37845</v>
      </c>
      <c r="O8143" s="10"/>
      <c r="P8143" s="10" t="s">
        <v>38084</v>
      </c>
      <c r="Q8143" s="10" t="s">
        <v>38085</v>
      </c>
      <c r="R8143" s="10" t="s">
        <v>38086</v>
      </c>
      <c r="S8143" s="10" t="s">
        <v>53</v>
      </c>
      <c r="T8143" s="10" t="s">
        <v>54</v>
      </c>
    </row>
    <row r="8144" spans="1:20" ht="14.5" x14ac:dyDescent="0.35">
      <c r="A8144" s="10" t="s">
        <v>38087</v>
      </c>
      <c r="B8144" s="10" t="str">
        <f>"9780791429662"</f>
        <v>9780791429662</v>
      </c>
      <c r="C8144" s="10" t="str">
        <f>"9781438411422"</f>
        <v>9781438411422</v>
      </c>
      <c r="D8144" s="10" t="s">
        <v>37676</v>
      </c>
      <c r="E8144" s="10" t="s">
        <v>37677</v>
      </c>
      <c r="F8144" s="10" t="s">
        <v>5707</v>
      </c>
      <c r="G8144" s="10" t="s">
        <v>6317</v>
      </c>
      <c r="H8144" s="11">
        <v>35249</v>
      </c>
      <c r="I8144" s="10">
        <v>1996</v>
      </c>
      <c r="J8144" s="10" t="s">
        <v>37678</v>
      </c>
      <c r="K8144" s="10">
        <v>253</v>
      </c>
      <c r="L8144" s="10" t="s">
        <v>38062</v>
      </c>
      <c r="M8144" s="10">
        <v>1</v>
      </c>
      <c r="N8144" s="10"/>
      <c r="O8144" s="10"/>
      <c r="P8144" s="10" t="s">
        <v>38088</v>
      </c>
      <c r="Q8144" s="10" t="s">
        <v>37739</v>
      </c>
      <c r="R8144" s="10" t="s">
        <v>38089</v>
      </c>
      <c r="S8144" s="10" t="s">
        <v>53</v>
      </c>
      <c r="T8144" s="10" t="s">
        <v>54</v>
      </c>
    </row>
    <row r="8145" spans="1:20" ht="14.5" x14ac:dyDescent="0.35">
      <c r="A8145" s="10" t="s">
        <v>38090</v>
      </c>
      <c r="B8145" s="10" t="str">
        <f>"9780791443422"</f>
        <v>9780791443422</v>
      </c>
      <c r="C8145" s="10" t="str">
        <f>"9781438413136"</f>
        <v>9781438413136</v>
      </c>
      <c r="D8145" s="10" t="s">
        <v>37676</v>
      </c>
      <c r="E8145" s="10" t="s">
        <v>37677</v>
      </c>
      <c r="F8145" s="10" t="s">
        <v>5707</v>
      </c>
      <c r="G8145" s="10" t="s">
        <v>6317</v>
      </c>
      <c r="H8145" s="11">
        <v>36454</v>
      </c>
      <c r="I8145" s="10">
        <v>2000</v>
      </c>
      <c r="J8145" s="10" t="s">
        <v>37678</v>
      </c>
      <c r="K8145" s="10">
        <v>175</v>
      </c>
      <c r="L8145" s="10" t="s">
        <v>38091</v>
      </c>
      <c r="M8145" s="10">
        <v>1</v>
      </c>
      <c r="N8145" s="10"/>
      <c r="O8145" s="10"/>
      <c r="P8145" s="10" t="s">
        <v>38092</v>
      </c>
      <c r="Q8145" s="10" t="s">
        <v>9007</v>
      </c>
      <c r="R8145" s="10" t="s">
        <v>38093</v>
      </c>
      <c r="S8145" s="10" t="s">
        <v>53</v>
      </c>
      <c r="T8145" s="10" t="s">
        <v>54</v>
      </c>
    </row>
    <row r="8146" spans="1:20" ht="14.5" x14ac:dyDescent="0.35">
      <c r="A8146" s="10" t="s">
        <v>38094</v>
      </c>
      <c r="B8146" s="10" t="str">
        <f>"9780791435342"</f>
        <v>9780791435342</v>
      </c>
      <c r="C8146" s="10" t="str">
        <f>"9781438412672"</f>
        <v>9781438412672</v>
      </c>
      <c r="D8146" s="10" t="s">
        <v>37676</v>
      </c>
      <c r="E8146" s="10" t="s">
        <v>37677</v>
      </c>
      <c r="F8146" s="10" t="s">
        <v>5707</v>
      </c>
      <c r="G8146" s="10" t="s">
        <v>6317</v>
      </c>
      <c r="H8146" s="11">
        <v>35734</v>
      </c>
      <c r="I8146" s="10">
        <v>1997</v>
      </c>
      <c r="J8146" s="10" t="s">
        <v>37678</v>
      </c>
      <c r="K8146" s="10">
        <v>234</v>
      </c>
      <c r="L8146" s="10" t="s">
        <v>38095</v>
      </c>
      <c r="M8146" s="10">
        <v>1</v>
      </c>
      <c r="N8146" s="10" t="s">
        <v>37715</v>
      </c>
      <c r="O8146" s="10"/>
      <c r="P8146" s="10" t="s">
        <v>38096</v>
      </c>
      <c r="Q8146" s="10" t="s">
        <v>8275</v>
      </c>
      <c r="R8146" s="10" t="s">
        <v>38097</v>
      </c>
      <c r="S8146" s="10" t="s">
        <v>53</v>
      </c>
      <c r="T8146" s="10" t="s">
        <v>54</v>
      </c>
    </row>
    <row r="8147" spans="1:20" ht="14.5" x14ac:dyDescent="0.35">
      <c r="A8147" s="10" t="s">
        <v>38098</v>
      </c>
      <c r="B8147" s="10" t="str">
        <f>"9780791438848"</f>
        <v>9780791438848</v>
      </c>
      <c r="C8147" s="10" t="str">
        <f>"9781438412610"</f>
        <v>9781438412610</v>
      </c>
      <c r="D8147" s="10" t="s">
        <v>37676</v>
      </c>
      <c r="E8147" s="10" t="s">
        <v>37677</v>
      </c>
      <c r="F8147" s="10" t="s">
        <v>5707</v>
      </c>
      <c r="G8147" s="10" t="s">
        <v>6317</v>
      </c>
      <c r="H8147" s="11">
        <v>36020</v>
      </c>
      <c r="I8147" s="10">
        <v>1998</v>
      </c>
      <c r="J8147" s="10" t="s">
        <v>37678</v>
      </c>
      <c r="K8147" s="10">
        <v>232</v>
      </c>
      <c r="L8147" s="10" t="s">
        <v>26436</v>
      </c>
      <c r="M8147" s="10">
        <v>1</v>
      </c>
      <c r="N8147" s="10" t="s">
        <v>37690</v>
      </c>
      <c r="O8147" s="10"/>
      <c r="P8147" s="10" t="s">
        <v>38099</v>
      </c>
      <c r="Q8147" s="10" t="s">
        <v>30189</v>
      </c>
      <c r="R8147" s="10" t="s">
        <v>38100</v>
      </c>
      <c r="S8147" s="10" t="s">
        <v>53</v>
      </c>
      <c r="T8147" s="10" t="s">
        <v>54</v>
      </c>
    </row>
    <row r="8148" spans="1:20" ht="14.5" x14ac:dyDescent="0.35">
      <c r="A8148" s="10" t="s">
        <v>38101</v>
      </c>
      <c r="B8148" s="10" t="str">
        <f>"9780791411964"</f>
        <v>9780791411964</v>
      </c>
      <c r="C8148" s="10" t="str">
        <f>"9781438412443"</f>
        <v>9781438412443</v>
      </c>
      <c r="D8148" s="10" t="s">
        <v>37676</v>
      </c>
      <c r="E8148" s="10" t="s">
        <v>37677</v>
      </c>
      <c r="F8148" s="10" t="s">
        <v>5707</v>
      </c>
      <c r="G8148" s="10" t="s">
        <v>6317</v>
      </c>
      <c r="H8148" s="11">
        <v>33946</v>
      </c>
      <c r="I8148" s="10">
        <v>1993</v>
      </c>
      <c r="J8148" s="10" t="s">
        <v>37678</v>
      </c>
      <c r="K8148" s="10">
        <v>165</v>
      </c>
      <c r="L8148" s="10" t="s">
        <v>38102</v>
      </c>
      <c r="M8148" s="10">
        <v>1</v>
      </c>
      <c r="N8148" s="10" t="s">
        <v>37959</v>
      </c>
      <c r="O8148" s="10"/>
      <c r="P8148" s="10" t="s">
        <v>38103</v>
      </c>
      <c r="Q8148" s="10" t="s">
        <v>13853</v>
      </c>
      <c r="R8148" s="10" t="s">
        <v>38104</v>
      </c>
      <c r="S8148" s="10" t="s">
        <v>53</v>
      </c>
      <c r="T8148" s="10" t="s">
        <v>54</v>
      </c>
    </row>
    <row r="8149" spans="1:20" ht="14.5" x14ac:dyDescent="0.35">
      <c r="A8149" s="10" t="s">
        <v>38105</v>
      </c>
      <c r="B8149" s="10" t="str">
        <f>"9780887064340"</f>
        <v>9780887064340</v>
      </c>
      <c r="C8149" s="10" t="str">
        <f>"9781438414003"</f>
        <v>9781438414003</v>
      </c>
      <c r="D8149" s="10" t="s">
        <v>37676</v>
      </c>
      <c r="E8149" s="10" t="s">
        <v>37677</v>
      </c>
      <c r="F8149" s="10" t="s">
        <v>5707</v>
      </c>
      <c r="G8149" s="10" t="s">
        <v>6317</v>
      </c>
      <c r="H8149" s="11">
        <v>31959</v>
      </c>
      <c r="I8149" s="10">
        <v>1987</v>
      </c>
      <c r="J8149" s="10" t="s">
        <v>37678</v>
      </c>
      <c r="K8149" s="10">
        <v>174</v>
      </c>
      <c r="L8149" s="10" t="s">
        <v>38106</v>
      </c>
      <c r="M8149" s="10">
        <v>1</v>
      </c>
      <c r="N8149" s="10" t="s">
        <v>37706</v>
      </c>
      <c r="O8149" s="10"/>
      <c r="P8149" s="10" t="s">
        <v>38107</v>
      </c>
      <c r="Q8149" s="10" t="s">
        <v>8587</v>
      </c>
      <c r="R8149" s="10" t="s">
        <v>38108</v>
      </c>
      <c r="S8149" s="10" t="s">
        <v>53</v>
      </c>
      <c r="T8149" s="10" t="s">
        <v>54</v>
      </c>
    </row>
    <row r="8150" spans="1:20" ht="14.5" x14ac:dyDescent="0.35">
      <c r="A8150" s="10" t="s">
        <v>38109</v>
      </c>
      <c r="B8150" s="10" t="str">
        <f>"9780791419281"</f>
        <v>9780791419281</v>
      </c>
      <c r="C8150" s="10" t="str">
        <f>"9781438414836"</f>
        <v>9781438414836</v>
      </c>
      <c r="D8150" s="10" t="s">
        <v>37676</v>
      </c>
      <c r="E8150" s="10" t="s">
        <v>37677</v>
      </c>
      <c r="F8150" s="10" t="s">
        <v>5707</v>
      </c>
      <c r="G8150" s="10" t="s">
        <v>6317</v>
      </c>
      <c r="H8150" s="11">
        <v>34516</v>
      </c>
      <c r="I8150" s="10">
        <v>1994</v>
      </c>
      <c r="J8150" s="10" t="s">
        <v>37678</v>
      </c>
      <c r="K8150" s="10">
        <v>202</v>
      </c>
      <c r="L8150" s="10" t="s">
        <v>38110</v>
      </c>
      <c r="M8150" s="10">
        <v>1</v>
      </c>
      <c r="N8150" s="10" t="s">
        <v>37743</v>
      </c>
      <c r="O8150" s="10"/>
      <c r="P8150" s="10" t="s">
        <v>38111</v>
      </c>
      <c r="Q8150" s="10" t="s">
        <v>38112</v>
      </c>
      <c r="R8150" s="10" t="s">
        <v>38113</v>
      </c>
      <c r="S8150" s="10" t="s">
        <v>53</v>
      </c>
      <c r="T8150" s="10" t="s">
        <v>54</v>
      </c>
    </row>
    <row r="8151" spans="1:20" ht="14.5" x14ac:dyDescent="0.35">
      <c r="A8151" s="10" t="s">
        <v>38114</v>
      </c>
      <c r="B8151" s="10" t="str">
        <f>"9780887069420"</f>
        <v>9780887069420</v>
      </c>
      <c r="C8151" s="10" t="str">
        <f>"9781438415000"</f>
        <v>9781438415000</v>
      </c>
      <c r="D8151" s="10" t="s">
        <v>37676</v>
      </c>
      <c r="E8151" s="10" t="s">
        <v>37677</v>
      </c>
      <c r="F8151" s="10" t="s">
        <v>5707</v>
      </c>
      <c r="G8151" s="10" t="s">
        <v>6317</v>
      </c>
      <c r="H8151" s="11">
        <v>32707</v>
      </c>
      <c r="I8151" s="10">
        <v>1989</v>
      </c>
      <c r="J8151" s="10" t="s">
        <v>37678</v>
      </c>
      <c r="K8151" s="10">
        <v>203</v>
      </c>
      <c r="L8151" s="10" t="s">
        <v>38115</v>
      </c>
      <c r="M8151" s="10">
        <v>1</v>
      </c>
      <c r="N8151" s="10" t="s">
        <v>38116</v>
      </c>
      <c r="O8151" s="10"/>
      <c r="P8151" s="10" t="s">
        <v>38117</v>
      </c>
      <c r="Q8151" s="10" t="s">
        <v>7600</v>
      </c>
      <c r="R8151" s="10" t="s">
        <v>38118</v>
      </c>
      <c r="S8151" s="10" t="s">
        <v>53</v>
      </c>
      <c r="T8151" s="10" t="s">
        <v>54</v>
      </c>
    </row>
    <row r="8152" spans="1:20" ht="14.5" x14ac:dyDescent="0.35">
      <c r="A8152" s="10" t="s">
        <v>38119</v>
      </c>
      <c r="B8152" s="10" t="str">
        <f>"9780791435908"</f>
        <v>9780791435908</v>
      </c>
      <c r="C8152" s="10" t="str">
        <f>"9781438414379"</f>
        <v>9781438414379</v>
      </c>
      <c r="D8152" s="10" t="s">
        <v>37676</v>
      </c>
      <c r="E8152" s="10" t="s">
        <v>37677</v>
      </c>
      <c r="F8152" s="10" t="s">
        <v>5707</v>
      </c>
      <c r="G8152" s="10" t="s">
        <v>6317</v>
      </c>
      <c r="H8152" s="11">
        <v>35831</v>
      </c>
      <c r="I8152" s="10">
        <v>1998</v>
      </c>
      <c r="J8152" s="10" t="s">
        <v>37678</v>
      </c>
      <c r="K8152" s="10">
        <v>153</v>
      </c>
      <c r="L8152" s="10" t="s">
        <v>38120</v>
      </c>
      <c r="M8152" s="10">
        <v>1</v>
      </c>
      <c r="N8152" s="10" t="s">
        <v>37743</v>
      </c>
      <c r="O8152" s="10"/>
      <c r="P8152" s="10" t="s">
        <v>38121</v>
      </c>
      <c r="Q8152" s="10" t="s">
        <v>38122</v>
      </c>
      <c r="R8152" s="10" t="s">
        <v>38123</v>
      </c>
      <c r="S8152" s="10" t="s">
        <v>53</v>
      </c>
      <c r="T8152" s="10" t="s">
        <v>54</v>
      </c>
    </row>
    <row r="8153" spans="1:20" ht="14.5" x14ac:dyDescent="0.35">
      <c r="A8153" s="10" t="s">
        <v>38124</v>
      </c>
      <c r="B8153" s="10" t="str">
        <f>"9780791408308"</f>
        <v>9780791408308</v>
      </c>
      <c r="C8153" s="10" t="str">
        <f>"9781438415420"</f>
        <v>9781438415420</v>
      </c>
      <c r="D8153" s="10" t="s">
        <v>37676</v>
      </c>
      <c r="E8153" s="10" t="s">
        <v>37677</v>
      </c>
      <c r="F8153" s="10" t="s">
        <v>5707</v>
      </c>
      <c r="G8153" s="10" t="s">
        <v>6317</v>
      </c>
      <c r="H8153" s="11">
        <v>33543</v>
      </c>
      <c r="I8153" s="10">
        <v>1991</v>
      </c>
      <c r="J8153" s="10" t="s">
        <v>37678</v>
      </c>
      <c r="K8153" s="10">
        <v>156</v>
      </c>
      <c r="L8153" s="10" t="s">
        <v>38125</v>
      </c>
      <c r="M8153" s="10">
        <v>1</v>
      </c>
      <c r="N8153" s="10" t="s">
        <v>38126</v>
      </c>
      <c r="O8153" s="10"/>
      <c r="P8153" s="10" t="s">
        <v>38127</v>
      </c>
      <c r="Q8153" s="10" t="s">
        <v>38128</v>
      </c>
      <c r="R8153" s="10" t="s">
        <v>38129</v>
      </c>
      <c r="S8153" s="10" t="s">
        <v>53</v>
      </c>
      <c r="T8153" s="10" t="s">
        <v>8003</v>
      </c>
    </row>
    <row r="8154" spans="1:20" ht="14.5" x14ac:dyDescent="0.35">
      <c r="A8154" s="10" t="s">
        <v>38130</v>
      </c>
      <c r="B8154" s="10" t="str">
        <f>"9780791424827"</f>
        <v>9780791424827</v>
      </c>
      <c r="C8154" s="10" t="str">
        <f>"9781438416526"</f>
        <v>9781438416526</v>
      </c>
      <c r="D8154" s="10" t="s">
        <v>37676</v>
      </c>
      <c r="E8154" s="10" t="s">
        <v>37677</v>
      </c>
      <c r="F8154" s="10" t="s">
        <v>5707</v>
      </c>
      <c r="G8154" s="10" t="s">
        <v>6317</v>
      </c>
      <c r="H8154" s="11">
        <v>34881</v>
      </c>
      <c r="I8154" s="10">
        <v>1995</v>
      </c>
      <c r="J8154" s="10" t="s">
        <v>37678</v>
      </c>
      <c r="K8154" s="10">
        <v>119</v>
      </c>
      <c r="L8154" s="10" t="s">
        <v>38131</v>
      </c>
      <c r="M8154" s="10">
        <v>1</v>
      </c>
      <c r="N8154" s="10" t="s">
        <v>37828</v>
      </c>
      <c r="O8154" s="10"/>
      <c r="P8154" s="10" t="s">
        <v>38132</v>
      </c>
      <c r="Q8154" s="10" t="s">
        <v>38133</v>
      </c>
      <c r="R8154" s="10" t="s">
        <v>38134</v>
      </c>
      <c r="S8154" s="10" t="s">
        <v>53</v>
      </c>
      <c r="T8154" s="10" t="s">
        <v>54</v>
      </c>
    </row>
    <row r="8155" spans="1:20" ht="14.5" x14ac:dyDescent="0.35">
      <c r="A8155" s="10" t="s">
        <v>38135</v>
      </c>
      <c r="B8155" s="10" t="str">
        <f>"9780791402542"</f>
        <v>9780791402542</v>
      </c>
      <c r="C8155" s="10" t="str">
        <f>"9781438415505"</f>
        <v>9781438415505</v>
      </c>
      <c r="D8155" s="10" t="s">
        <v>37676</v>
      </c>
      <c r="E8155" s="10" t="s">
        <v>37677</v>
      </c>
      <c r="F8155" s="10" t="s">
        <v>5707</v>
      </c>
      <c r="G8155" s="10" t="s">
        <v>6317</v>
      </c>
      <c r="H8155" s="11">
        <v>33059</v>
      </c>
      <c r="I8155" s="10">
        <v>1990</v>
      </c>
      <c r="J8155" s="10" t="s">
        <v>37678</v>
      </c>
      <c r="K8155" s="10">
        <v>165</v>
      </c>
      <c r="L8155" s="10" t="s">
        <v>38136</v>
      </c>
      <c r="M8155" s="10">
        <v>1</v>
      </c>
      <c r="N8155" s="10" t="s">
        <v>38137</v>
      </c>
      <c r="O8155" s="10"/>
      <c r="P8155" s="10" t="s">
        <v>38138</v>
      </c>
      <c r="Q8155" s="10" t="s">
        <v>38139</v>
      </c>
      <c r="R8155" s="10" t="s">
        <v>38140</v>
      </c>
      <c r="S8155" s="10" t="s">
        <v>53</v>
      </c>
      <c r="T8155" s="10" t="s">
        <v>54</v>
      </c>
    </row>
    <row r="8156" spans="1:20" ht="14.5" x14ac:dyDescent="0.35">
      <c r="A8156" s="10" t="s">
        <v>38141</v>
      </c>
      <c r="B8156" s="10" t="str">
        <f>"9780791406175"</f>
        <v>9780791406175</v>
      </c>
      <c r="C8156" s="10" t="str">
        <f>"9781438418353"</f>
        <v>9781438418353</v>
      </c>
      <c r="D8156" s="10" t="s">
        <v>37676</v>
      </c>
      <c r="E8156" s="10" t="s">
        <v>37677</v>
      </c>
      <c r="F8156" s="10" t="s">
        <v>5707</v>
      </c>
      <c r="G8156" s="10" t="s">
        <v>6317</v>
      </c>
      <c r="H8156" s="11">
        <v>33470</v>
      </c>
      <c r="I8156" s="10">
        <v>1991</v>
      </c>
      <c r="J8156" s="10" t="s">
        <v>37678</v>
      </c>
      <c r="K8156" s="10">
        <v>235</v>
      </c>
      <c r="L8156" s="10" t="s">
        <v>38142</v>
      </c>
      <c r="M8156" s="10">
        <v>1</v>
      </c>
      <c r="N8156" s="10" t="s">
        <v>38143</v>
      </c>
      <c r="O8156" s="10"/>
      <c r="P8156" s="10" t="s">
        <v>38144</v>
      </c>
      <c r="Q8156" s="10" t="s">
        <v>38145</v>
      </c>
      <c r="R8156" s="10" t="s">
        <v>38146</v>
      </c>
      <c r="S8156" s="10" t="s">
        <v>53</v>
      </c>
      <c r="T8156" s="10" t="s">
        <v>54</v>
      </c>
    </row>
    <row r="8157" spans="1:20" ht="14.5" x14ac:dyDescent="0.35">
      <c r="A8157" s="10" t="s">
        <v>38147</v>
      </c>
      <c r="B8157" s="10" t="str">
        <f>"9780791434864"</f>
        <v>9780791434864</v>
      </c>
      <c r="C8157" s="10" t="str">
        <f>"9781438418308"</f>
        <v>9781438418308</v>
      </c>
      <c r="D8157" s="10" t="s">
        <v>37676</v>
      </c>
      <c r="E8157" s="10" t="s">
        <v>37677</v>
      </c>
      <c r="F8157" s="10" t="s">
        <v>5707</v>
      </c>
      <c r="G8157" s="10" t="s">
        <v>6317</v>
      </c>
      <c r="H8157" s="11">
        <v>35670</v>
      </c>
      <c r="I8157" s="10">
        <v>1997</v>
      </c>
      <c r="J8157" s="10" t="s">
        <v>37678</v>
      </c>
      <c r="K8157" s="10">
        <v>175</v>
      </c>
      <c r="L8157" s="10" t="s">
        <v>38148</v>
      </c>
      <c r="M8157" s="10">
        <v>1</v>
      </c>
      <c r="N8157" s="10" t="s">
        <v>37982</v>
      </c>
      <c r="O8157" s="10"/>
      <c r="P8157" s="10" t="s">
        <v>38149</v>
      </c>
      <c r="Q8157" s="10" t="s">
        <v>38150</v>
      </c>
      <c r="R8157" s="10" t="s">
        <v>38151</v>
      </c>
      <c r="S8157" s="10" t="s">
        <v>53</v>
      </c>
      <c r="T8157" s="10" t="s">
        <v>54</v>
      </c>
    </row>
    <row r="8158" spans="1:20" ht="14.5" x14ac:dyDescent="0.35">
      <c r="A8158" s="10" t="s">
        <v>38152</v>
      </c>
      <c r="B8158" s="10" t="str">
        <f>"9780791435229"</f>
        <v>9780791435229</v>
      </c>
      <c r="C8158" s="10" t="str">
        <f>"9781438417202"</f>
        <v>9781438417202</v>
      </c>
      <c r="D8158" s="10" t="s">
        <v>37676</v>
      </c>
      <c r="E8158" s="10" t="s">
        <v>37677</v>
      </c>
      <c r="F8158" s="10" t="s">
        <v>5707</v>
      </c>
      <c r="G8158" s="10" t="s">
        <v>6317</v>
      </c>
      <c r="H8158" s="11">
        <v>35635</v>
      </c>
      <c r="I8158" s="10">
        <v>1997</v>
      </c>
      <c r="J8158" s="10" t="s">
        <v>37678</v>
      </c>
      <c r="K8158" s="10">
        <v>253</v>
      </c>
      <c r="L8158" s="10" t="s">
        <v>38153</v>
      </c>
      <c r="M8158" s="10">
        <v>1</v>
      </c>
      <c r="N8158" s="10"/>
      <c r="O8158" s="10"/>
      <c r="P8158" s="10" t="s">
        <v>38154</v>
      </c>
      <c r="Q8158" s="10" t="s">
        <v>7335</v>
      </c>
      <c r="R8158" s="10" t="s">
        <v>38155</v>
      </c>
      <c r="S8158" s="10" t="s">
        <v>53</v>
      </c>
      <c r="T8158" s="10" t="s">
        <v>54</v>
      </c>
    </row>
    <row r="8159" spans="1:20" ht="14.5" x14ac:dyDescent="0.35">
      <c r="A8159" s="10" t="s">
        <v>38156</v>
      </c>
      <c r="B8159" s="10" t="str">
        <f>"9780791409220"</f>
        <v>9780791409220</v>
      </c>
      <c r="C8159" s="10" t="str">
        <f>"9781438416847"</f>
        <v>9781438416847</v>
      </c>
      <c r="D8159" s="10" t="s">
        <v>37676</v>
      </c>
      <c r="E8159" s="10" t="s">
        <v>37677</v>
      </c>
      <c r="F8159" s="10" t="s">
        <v>5707</v>
      </c>
      <c r="G8159" s="10" t="s">
        <v>6317</v>
      </c>
      <c r="H8159" s="11">
        <v>33786</v>
      </c>
      <c r="I8159" s="10">
        <v>1992</v>
      </c>
      <c r="J8159" s="10" t="s">
        <v>37678</v>
      </c>
      <c r="K8159" s="10">
        <v>137</v>
      </c>
      <c r="L8159" s="10" t="s">
        <v>38157</v>
      </c>
      <c r="M8159" s="10">
        <v>1</v>
      </c>
      <c r="N8159" s="10"/>
      <c r="O8159" s="10"/>
      <c r="P8159" s="10" t="s">
        <v>38158</v>
      </c>
      <c r="Q8159" s="10" t="s">
        <v>6942</v>
      </c>
      <c r="R8159" s="10" t="s">
        <v>38159</v>
      </c>
      <c r="S8159" s="10" t="s">
        <v>53</v>
      </c>
      <c r="T8159" s="10" t="s">
        <v>54</v>
      </c>
    </row>
    <row r="8160" spans="1:20" ht="14.5" x14ac:dyDescent="0.35">
      <c r="A8160" s="10" t="s">
        <v>38160</v>
      </c>
      <c r="B8160" s="10" t="str">
        <f>"9780791433522"</f>
        <v>9780791433522</v>
      </c>
      <c r="C8160" s="10" t="str">
        <f>"9781438416410"</f>
        <v>9781438416410</v>
      </c>
      <c r="D8160" s="10" t="s">
        <v>37676</v>
      </c>
      <c r="E8160" s="10" t="s">
        <v>37677</v>
      </c>
      <c r="F8160" s="10" t="s">
        <v>5707</v>
      </c>
      <c r="G8160" s="10" t="s">
        <v>6317</v>
      </c>
      <c r="H8160" s="11">
        <v>35537</v>
      </c>
      <c r="I8160" s="10">
        <v>1997</v>
      </c>
      <c r="J8160" s="10" t="s">
        <v>37678</v>
      </c>
      <c r="K8160" s="10">
        <v>479</v>
      </c>
      <c r="L8160" s="10" t="s">
        <v>38161</v>
      </c>
      <c r="M8160" s="10">
        <v>1</v>
      </c>
      <c r="N8160" s="10" t="s">
        <v>37940</v>
      </c>
      <c r="O8160" s="10"/>
      <c r="P8160" s="10" t="s">
        <v>38162</v>
      </c>
      <c r="Q8160" s="10" t="s">
        <v>33889</v>
      </c>
      <c r="R8160" s="10" t="s">
        <v>38163</v>
      </c>
      <c r="S8160" s="10" t="s">
        <v>53</v>
      </c>
      <c r="T8160" s="10" t="s">
        <v>38164</v>
      </c>
    </row>
    <row r="8161" spans="1:20" ht="14.5" x14ac:dyDescent="0.35">
      <c r="A8161" s="10" t="s">
        <v>38165</v>
      </c>
      <c r="B8161" s="10" t="str">
        <f>"9780791421628"</f>
        <v>9780791421628</v>
      </c>
      <c r="C8161" s="10" t="str">
        <f>"9781438417653"</f>
        <v>9781438417653</v>
      </c>
      <c r="D8161" s="10" t="s">
        <v>37676</v>
      </c>
      <c r="E8161" s="10" t="s">
        <v>37677</v>
      </c>
      <c r="F8161" s="10" t="s">
        <v>5707</v>
      </c>
      <c r="G8161" s="10" t="s">
        <v>6317</v>
      </c>
      <c r="H8161" s="11">
        <v>34788</v>
      </c>
      <c r="I8161" s="10">
        <v>1995</v>
      </c>
      <c r="J8161" s="10" t="s">
        <v>37678</v>
      </c>
      <c r="K8161" s="10">
        <v>270</v>
      </c>
      <c r="L8161" s="10" t="s">
        <v>38166</v>
      </c>
      <c r="M8161" s="10">
        <v>1</v>
      </c>
      <c r="N8161" s="10" t="s">
        <v>37940</v>
      </c>
      <c r="O8161" s="10"/>
      <c r="P8161" s="10" t="s">
        <v>38167</v>
      </c>
      <c r="Q8161" s="10" t="s">
        <v>38168</v>
      </c>
      <c r="R8161" s="10" t="s">
        <v>36894</v>
      </c>
      <c r="S8161" s="10" t="s">
        <v>53</v>
      </c>
      <c r="T8161" s="10" t="s">
        <v>389</v>
      </c>
    </row>
    <row r="8162" spans="1:20" ht="14.5" x14ac:dyDescent="0.35">
      <c r="A8162" s="10" t="s">
        <v>38169</v>
      </c>
      <c r="B8162" s="10" t="str">
        <f>"9780791436165"</f>
        <v>9780791436165</v>
      </c>
      <c r="C8162" s="10" t="str">
        <f>"9781438418681"</f>
        <v>9781438418681</v>
      </c>
      <c r="D8162" s="10" t="s">
        <v>37676</v>
      </c>
      <c r="E8162" s="10" t="s">
        <v>37677</v>
      </c>
      <c r="F8162" s="10" t="s">
        <v>5707</v>
      </c>
      <c r="G8162" s="10" t="s">
        <v>6317</v>
      </c>
      <c r="H8162" s="11">
        <v>35810</v>
      </c>
      <c r="I8162" s="10">
        <v>1998</v>
      </c>
      <c r="J8162" s="10" t="s">
        <v>37678</v>
      </c>
      <c r="K8162" s="10">
        <v>266</v>
      </c>
      <c r="L8162" s="10" t="s">
        <v>38170</v>
      </c>
      <c r="M8162" s="10">
        <v>1</v>
      </c>
      <c r="N8162" s="10" t="s">
        <v>37950</v>
      </c>
      <c r="O8162" s="10"/>
      <c r="P8162" s="10" t="s">
        <v>38171</v>
      </c>
      <c r="Q8162" s="10" t="s">
        <v>7931</v>
      </c>
      <c r="R8162" s="10" t="s">
        <v>17698</v>
      </c>
      <c r="S8162" s="10" t="s">
        <v>53</v>
      </c>
      <c r="T8162" s="10" t="s">
        <v>6492</v>
      </c>
    </row>
    <row r="8163" spans="1:20" ht="14.5" x14ac:dyDescent="0.35">
      <c r="A8163" s="10" t="s">
        <v>38172</v>
      </c>
      <c r="B8163" s="10" t="str">
        <f>"9780791402184"</f>
        <v>9780791402184</v>
      </c>
      <c r="C8163" s="10" t="str">
        <f>"9781438416519"</f>
        <v>9781438416519</v>
      </c>
      <c r="D8163" s="10" t="s">
        <v>37676</v>
      </c>
      <c r="E8163" s="10" t="s">
        <v>37677</v>
      </c>
      <c r="F8163" s="10" t="s">
        <v>5707</v>
      </c>
      <c r="G8163" s="10" t="s">
        <v>6317</v>
      </c>
      <c r="H8163" s="11">
        <v>32968</v>
      </c>
      <c r="I8163" s="10">
        <v>1990</v>
      </c>
      <c r="J8163" s="10" t="s">
        <v>37678</v>
      </c>
      <c r="K8163" s="10">
        <v>127</v>
      </c>
      <c r="L8163" s="10" t="s">
        <v>38173</v>
      </c>
      <c r="M8163" s="10">
        <v>1</v>
      </c>
      <c r="N8163" s="10" t="s">
        <v>37727</v>
      </c>
      <c r="O8163" s="10"/>
      <c r="P8163" s="10" t="s">
        <v>38174</v>
      </c>
      <c r="Q8163" s="10" t="s">
        <v>38175</v>
      </c>
      <c r="R8163" s="10" t="s">
        <v>38176</v>
      </c>
      <c r="S8163" s="10" t="s">
        <v>53</v>
      </c>
      <c r="T8163" s="10" t="s">
        <v>54</v>
      </c>
    </row>
    <row r="8164" spans="1:20" ht="14.5" x14ac:dyDescent="0.35">
      <c r="A8164" s="10" t="s">
        <v>38177</v>
      </c>
      <c r="B8164" s="10" t="str">
        <f>"9780873958929"</f>
        <v>9780873958929</v>
      </c>
      <c r="C8164" s="10" t="str">
        <f>"9781438416823"</f>
        <v>9781438416823</v>
      </c>
      <c r="D8164" s="10" t="s">
        <v>37676</v>
      </c>
      <c r="E8164" s="10" t="s">
        <v>37677</v>
      </c>
      <c r="F8164" s="10" t="s">
        <v>5707</v>
      </c>
      <c r="G8164" s="10" t="s">
        <v>6317</v>
      </c>
      <c r="H8164" s="11">
        <v>31228</v>
      </c>
      <c r="I8164" s="10">
        <v>1985</v>
      </c>
      <c r="J8164" s="10" t="s">
        <v>37678</v>
      </c>
      <c r="K8164" s="10">
        <v>166</v>
      </c>
      <c r="L8164" s="10" t="s">
        <v>38178</v>
      </c>
      <c r="M8164" s="10">
        <v>1</v>
      </c>
      <c r="N8164" s="10"/>
      <c r="O8164" s="10"/>
      <c r="P8164" s="10" t="s">
        <v>38179</v>
      </c>
      <c r="Q8164" s="10">
        <v>371.97</v>
      </c>
      <c r="R8164" s="10" t="s">
        <v>38180</v>
      </c>
      <c r="S8164" s="10" t="s">
        <v>53</v>
      </c>
      <c r="T8164" s="10" t="s">
        <v>54</v>
      </c>
    </row>
    <row r="8165" spans="1:20" ht="14.5" x14ac:dyDescent="0.35">
      <c r="A8165" s="10" t="s">
        <v>38181</v>
      </c>
      <c r="B8165" s="10" t="str">
        <f>"9780791406113"</f>
        <v>9780791406113</v>
      </c>
      <c r="C8165" s="10" t="str">
        <f>"9781438416427"</f>
        <v>9781438416427</v>
      </c>
      <c r="D8165" s="10" t="s">
        <v>37676</v>
      </c>
      <c r="E8165" s="10" t="s">
        <v>37677</v>
      </c>
      <c r="F8165" s="10" t="s">
        <v>5707</v>
      </c>
      <c r="G8165" s="10" t="s">
        <v>6317</v>
      </c>
      <c r="H8165" s="11">
        <v>33422</v>
      </c>
      <c r="I8165" s="10">
        <v>1991</v>
      </c>
      <c r="J8165" s="10" t="s">
        <v>37678</v>
      </c>
      <c r="K8165" s="10">
        <v>434</v>
      </c>
      <c r="L8165" s="10" t="s">
        <v>38182</v>
      </c>
      <c r="M8165" s="10">
        <v>1</v>
      </c>
      <c r="N8165" s="10" t="s">
        <v>37727</v>
      </c>
      <c r="O8165" s="10"/>
      <c r="P8165" s="10" t="s">
        <v>38183</v>
      </c>
      <c r="Q8165" s="10" t="s">
        <v>38184</v>
      </c>
      <c r="R8165" s="10" t="s">
        <v>38185</v>
      </c>
      <c r="S8165" s="10" t="s">
        <v>53</v>
      </c>
      <c r="T8165" s="10" t="s">
        <v>54</v>
      </c>
    </row>
    <row r="8166" spans="1:20" ht="14.5" x14ac:dyDescent="0.35">
      <c r="A8166" s="10" t="s">
        <v>38186</v>
      </c>
      <c r="B8166" s="10" t="str">
        <f>"9780791437469"</f>
        <v>9780791437469</v>
      </c>
      <c r="C8166" s="10" t="str">
        <f>"9781438416403"</f>
        <v>9781438416403</v>
      </c>
      <c r="D8166" s="10" t="s">
        <v>37676</v>
      </c>
      <c r="E8166" s="10" t="s">
        <v>37677</v>
      </c>
      <c r="F8166" s="10" t="s">
        <v>5707</v>
      </c>
      <c r="G8166" s="10" t="s">
        <v>6317</v>
      </c>
      <c r="H8166" s="11">
        <v>35873</v>
      </c>
      <c r="I8166" s="10">
        <v>1998</v>
      </c>
      <c r="J8166" s="10" t="s">
        <v>37678</v>
      </c>
      <c r="K8166" s="10">
        <v>147</v>
      </c>
      <c r="L8166" s="10" t="s">
        <v>38187</v>
      </c>
      <c r="M8166" s="10">
        <v>1</v>
      </c>
      <c r="N8166" s="10" t="s">
        <v>37706</v>
      </c>
      <c r="O8166" s="10"/>
      <c r="P8166" s="10" t="s">
        <v>38188</v>
      </c>
      <c r="Q8166" s="10" t="s">
        <v>8587</v>
      </c>
      <c r="R8166" s="10" t="s">
        <v>38189</v>
      </c>
      <c r="S8166" s="10" t="s">
        <v>53</v>
      </c>
      <c r="T8166" s="10" t="s">
        <v>54</v>
      </c>
    </row>
    <row r="8167" spans="1:20" ht="14.5" x14ac:dyDescent="0.35">
      <c r="A8167" s="10" t="s">
        <v>38190</v>
      </c>
      <c r="B8167" s="10" t="str">
        <f>"9780791407752"</f>
        <v>9780791407752</v>
      </c>
      <c r="C8167" s="10" t="str">
        <f>"9781438418759"</f>
        <v>9781438418759</v>
      </c>
      <c r="D8167" s="10" t="s">
        <v>37676</v>
      </c>
      <c r="E8167" s="10" t="s">
        <v>37677</v>
      </c>
      <c r="F8167" s="10" t="s">
        <v>5707</v>
      </c>
      <c r="G8167" s="10" t="s">
        <v>6317</v>
      </c>
      <c r="H8167" s="11">
        <v>33599</v>
      </c>
      <c r="I8167" s="10">
        <v>1991</v>
      </c>
      <c r="J8167" s="10" t="s">
        <v>37678</v>
      </c>
      <c r="K8167" s="10">
        <v>328</v>
      </c>
      <c r="L8167" s="10" t="s">
        <v>38191</v>
      </c>
      <c r="M8167" s="10">
        <v>1</v>
      </c>
      <c r="N8167" s="10" t="s">
        <v>38068</v>
      </c>
      <c r="O8167" s="10"/>
      <c r="P8167" s="10"/>
      <c r="Q8167" s="10" t="s">
        <v>38192</v>
      </c>
      <c r="R8167" s="10" t="s">
        <v>38193</v>
      </c>
      <c r="S8167" s="10" t="s">
        <v>53</v>
      </c>
      <c r="T8167" s="10" t="s">
        <v>6363</v>
      </c>
    </row>
    <row r="8168" spans="1:20" ht="14.5" x14ac:dyDescent="0.35">
      <c r="A8168" s="10" t="s">
        <v>38194</v>
      </c>
      <c r="B8168" s="10" t="str">
        <f>"9780791421840"</f>
        <v>9780791421840</v>
      </c>
      <c r="C8168" s="10" t="str">
        <f>"9781438415789"</f>
        <v>9781438415789</v>
      </c>
      <c r="D8168" s="10" t="s">
        <v>37676</v>
      </c>
      <c r="E8168" s="10" t="s">
        <v>37677</v>
      </c>
      <c r="F8168" s="10" t="s">
        <v>5707</v>
      </c>
      <c r="G8168" s="10" t="s">
        <v>6317</v>
      </c>
      <c r="H8168" s="11">
        <v>34673</v>
      </c>
      <c r="I8168" s="10">
        <v>1995</v>
      </c>
      <c r="J8168" s="10" t="s">
        <v>37678</v>
      </c>
      <c r="K8168" s="10">
        <v>96</v>
      </c>
      <c r="L8168" s="10" t="s">
        <v>11890</v>
      </c>
      <c r="M8168" s="10">
        <v>1</v>
      </c>
      <c r="N8168" s="10" t="s">
        <v>37772</v>
      </c>
      <c r="O8168" s="10"/>
      <c r="P8168" s="10" t="s">
        <v>38195</v>
      </c>
      <c r="Q8168" s="10" t="s">
        <v>11891</v>
      </c>
      <c r="R8168" s="10" t="s">
        <v>38196</v>
      </c>
      <c r="S8168" s="10" t="s">
        <v>53</v>
      </c>
      <c r="T8168" s="10" t="s">
        <v>54</v>
      </c>
    </row>
    <row r="8169" spans="1:20" ht="14.5" x14ac:dyDescent="0.35">
      <c r="A8169" s="10" t="s">
        <v>38197</v>
      </c>
      <c r="B8169" s="10" t="str">
        <f>"9781438441870"</f>
        <v>9781438441870</v>
      </c>
      <c r="C8169" s="10" t="str">
        <f>"9781438441894"</f>
        <v>9781438441894</v>
      </c>
      <c r="D8169" s="10" t="s">
        <v>37676</v>
      </c>
      <c r="E8169" s="10" t="s">
        <v>37677</v>
      </c>
      <c r="F8169" s="10" t="s">
        <v>5707</v>
      </c>
      <c r="G8169" s="10" t="s">
        <v>6317</v>
      </c>
      <c r="H8169" s="11">
        <v>41061</v>
      </c>
      <c r="I8169" s="10">
        <v>2012</v>
      </c>
      <c r="J8169" s="10" t="s">
        <v>37677</v>
      </c>
      <c r="K8169" s="10">
        <v>240</v>
      </c>
      <c r="L8169" s="10" t="s">
        <v>38198</v>
      </c>
      <c r="M8169" s="10">
        <v>1</v>
      </c>
      <c r="N8169" s="10"/>
      <c r="O8169" s="10"/>
      <c r="P8169" s="10"/>
      <c r="Q8169" s="10">
        <v>370.1</v>
      </c>
      <c r="R8169" s="10"/>
      <c r="S8169" s="10" t="s">
        <v>53</v>
      </c>
      <c r="T8169" s="10" t="s">
        <v>54</v>
      </c>
    </row>
    <row r="8170" spans="1:20" ht="14.5" x14ac:dyDescent="0.35">
      <c r="A8170" s="10" t="s">
        <v>38199</v>
      </c>
      <c r="B8170" s="10" t="str">
        <f>"9781438433035"</f>
        <v>9781438433035</v>
      </c>
      <c r="C8170" s="10" t="str">
        <f>"9781438433042"</f>
        <v>9781438433042</v>
      </c>
      <c r="D8170" s="10" t="s">
        <v>37676</v>
      </c>
      <c r="E8170" s="10" t="s">
        <v>37677</v>
      </c>
      <c r="F8170" s="10" t="s">
        <v>5707</v>
      </c>
      <c r="G8170" s="10" t="s">
        <v>6317</v>
      </c>
      <c r="H8170" s="11">
        <v>40210</v>
      </c>
      <c r="I8170" s="10">
        <v>2010</v>
      </c>
      <c r="J8170" s="10" t="s">
        <v>37677</v>
      </c>
      <c r="K8170" s="10">
        <v>391</v>
      </c>
      <c r="L8170" s="10" t="s">
        <v>38200</v>
      </c>
      <c r="M8170" s="10">
        <v>1</v>
      </c>
      <c r="N8170" s="10"/>
      <c r="O8170" s="10"/>
      <c r="P8170" s="10"/>
      <c r="Q8170" s="10"/>
      <c r="R8170" s="10"/>
      <c r="S8170" s="10" t="s">
        <v>53</v>
      </c>
      <c r="T8170" s="10" t="s">
        <v>54</v>
      </c>
    </row>
    <row r="8171" spans="1:20" ht="14.5" x14ac:dyDescent="0.35">
      <c r="A8171" s="10" t="s">
        <v>38201</v>
      </c>
      <c r="B8171" s="10" t="str">
        <f>"9781438431352"</f>
        <v>9781438431352</v>
      </c>
      <c r="C8171" s="10" t="str">
        <f>"9781438431376"</f>
        <v>9781438431376</v>
      </c>
      <c r="D8171" s="10" t="s">
        <v>37676</v>
      </c>
      <c r="E8171" s="10" t="s">
        <v>37677</v>
      </c>
      <c r="F8171" s="10" t="s">
        <v>5707</v>
      </c>
      <c r="G8171" s="10" t="s">
        <v>6317</v>
      </c>
      <c r="H8171" s="11">
        <v>40297</v>
      </c>
      <c r="I8171" s="10">
        <v>2012</v>
      </c>
      <c r="J8171" s="10" t="s">
        <v>37677</v>
      </c>
      <c r="K8171" s="10">
        <v>386</v>
      </c>
      <c r="L8171" s="10" t="s">
        <v>38202</v>
      </c>
      <c r="M8171" s="10">
        <v>1</v>
      </c>
      <c r="N8171" s="10" t="s">
        <v>38203</v>
      </c>
      <c r="O8171" s="10"/>
      <c r="P8171" s="10"/>
      <c r="Q8171" s="10"/>
      <c r="R8171" s="10"/>
      <c r="S8171" s="10" t="s">
        <v>53</v>
      </c>
      <c r="T8171" s="10" t="s">
        <v>6363</v>
      </c>
    </row>
    <row r="8172" spans="1:20" ht="14.5" x14ac:dyDescent="0.35">
      <c r="A8172" s="10" t="s">
        <v>38204</v>
      </c>
      <c r="B8172" s="10" t="str">
        <f>"9781438429618"</f>
        <v>9781438429618</v>
      </c>
      <c r="C8172" s="10" t="str">
        <f>"9781438429632"</f>
        <v>9781438429632</v>
      </c>
      <c r="D8172" s="10" t="s">
        <v>37676</v>
      </c>
      <c r="E8172" s="10" t="s">
        <v>37677</v>
      </c>
      <c r="F8172" s="10" t="s">
        <v>5707</v>
      </c>
      <c r="G8172" s="10" t="s">
        <v>6317</v>
      </c>
      <c r="H8172" s="11">
        <v>40169</v>
      </c>
      <c r="I8172" s="10">
        <v>2010</v>
      </c>
      <c r="J8172" s="10" t="s">
        <v>37677</v>
      </c>
      <c r="K8172" s="10">
        <v>235</v>
      </c>
      <c r="L8172" s="10" t="s">
        <v>38205</v>
      </c>
      <c r="M8172" s="10">
        <v>1</v>
      </c>
      <c r="N8172" s="10"/>
      <c r="O8172" s="10"/>
      <c r="P8172" s="10"/>
      <c r="Q8172" s="10">
        <v>320.97300000000001</v>
      </c>
      <c r="R8172" s="10"/>
      <c r="S8172" s="10" t="s">
        <v>53</v>
      </c>
      <c r="T8172" s="10" t="s">
        <v>4859</v>
      </c>
    </row>
    <row r="8173" spans="1:20" ht="14.5" x14ac:dyDescent="0.35">
      <c r="A8173" s="10" t="s">
        <v>38206</v>
      </c>
      <c r="B8173" s="10" t="str">
        <f>"9781438429151"</f>
        <v>9781438429151</v>
      </c>
      <c r="C8173" s="10" t="str">
        <f>"9781438429175"</f>
        <v>9781438429175</v>
      </c>
      <c r="D8173" s="10" t="s">
        <v>37676</v>
      </c>
      <c r="E8173" s="10" t="s">
        <v>37677</v>
      </c>
      <c r="F8173" s="10" t="s">
        <v>5707</v>
      </c>
      <c r="G8173" s="10" t="s">
        <v>6317</v>
      </c>
      <c r="H8173" s="11">
        <v>40186</v>
      </c>
      <c r="I8173" s="10">
        <v>2012</v>
      </c>
      <c r="J8173" s="10" t="s">
        <v>37677</v>
      </c>
      <c r="K8173" s="10">
        <v>259</v>
      </c>
      <c r="L8173" s="10" t="s">
        <v>38207</v>
      </c>
      <c r="M8173" s="10">
        <v>1</v>
      </c>
      <c r="N8173" s="10" t="s">
        <v>37706</v>
      </c>
      <c r="O8173" s="10"/>
      <c r="P8173" s="10"/>
      <c r="Q8173" s="10"/>
      <c r="R8173" s="10"/>
      <c r="S8173" s="10" t="s">
        <v>53</v>
      </c>
      <c r="T8173" s="10" t="s">
        <v>54</v>
      </c>
    </row>
    <row r="8174" spans="1:20" ht="14.5" x14ac:dyDescent="0.35">
      <c r="A8174" s="10" t="s">
        <v>38208</v>
      </c>
      <c r="B8174" s="10" t="str">
        <f>"9781438428055"</f>
        <v>9781438428055</v>
      </c>
      <c r="C8174" s="10" t="str">
        <f>"9781438428048"</f>
        <v>9781438428048</v>
      </c>
      <c r="D8174" s="10" t="s">
        <v>37676</v>
      </c>
      <c r="E8174" s="10" t="s">
        <v>37677</v>
      </c>
      <c r="F8174" s="10" t="s">
        <v>5707</v>
      </c>
      <c r="G8174" s="10" t="s">
        <v>6317</v>
      </c>
      <c r="H8174" s="11">
        <v>39912</v>
      </c>
      <c r="I8174" s="10">
        <v>2010</v>
      </c>
      <c r="J8174" s="10" t="s">
        <v>37677</v>
      </c>
      <c r="K8174" s="10">
        <v>335</v>
      </c>
      <c r="L8174" s="10" t="s">
        <v>38209</v>
      </c>
      <c r="M8174" s="10">
        <v>1</v>
      </c>
      <c r="N8174" s="10"/>
      <c r="O8174" s="10"/>
      <c r="P8174" s="10"/>
      <c r="Q8174" s="10"/>
      <c r="R8174" s="10"/>
      <c r="S8174" s="10" t="s">
        <v>53</v>
      </c>
      <c r="T8174" s="10" t="s">
        <v>54</v>
      </c>
    </row>
    <row r="8175" spans="1:20" ht="14.5" x14ac:dyDescent="0.35">
      <c r="A8175" s="10" t="s">
        <v>38210</v>
      </c>
      <c r="B8175" s="10" t="str">
        <f>"9781438430577"</f>
        <v>9781438430577</v>
      </c>
      <c r="C8175" s="10" t="str">
        <f>"9781438430591"</f>
        <v>9781438430591</v>
      </c>
      <c r="D8175" s="10" t="s">
        <v>37676</v>
      </c>
      <c r="E8175" s="10" t="s">
        <v>37677</v>
      </c>
      <c r="F8175" s="10" t="s">
        <v>5707</v>
      </c>
      <c r="G8175" s="10" t="s">
        <v>6317</v>
      </c>
      <c r="H8175" s="11">
        <v>40267</v>
      </c>
      <c r="I8175" s="10">
        <v>2012</v>
      </c>
      <c r="J8175" s="10" t="s">
        <v>37677</v>
      </c>
      <c r="K8175" s="10">
        <v>163</v>
      </c>
      <c r="L8175" s="10" t="s">
        <v>38211</v>
      </c>
      <c r="M8175" s="10">
        <v>1</v>
      </c>
      <c r="N8175" s="10" t="s">
        <v>38212</v>
      </c>
      <c r="O8175" s="10"/>
      <c r="P8175" s="10"/>
      <c r="Q8175" s="10" t="s">
        <v>23357</v>
      </c>
      <c r="R8175" s="10"/>
      <c r="S8175" s="10" t="s">
        <v>53</v>
      </c>
      <c r="T8175" s="10" t="s">
        <v>54</v>
      </c>
    </row>
    <row r="8176" spans="1:20" ht="14.5" x14ac:dyDescent="0.35">
      <c r="A8176" s="10" t="s">
        <v>38213</v>
      </c>
      <c r="B8176" s="10" t="str">
        <f>"9781438429250"</f>
        <v>9781438429250</v>
      </c>
      <c r="C8176" s="10" t="str">
        <f>"9781438429274"</f>
        <v>9781438429274</v>
      </c>
      <c r="D8176" s="10" t="s">
        <v>37676</v>
      </c>
      <c r="E8176" s="10" t="s">
        <v>37677</v>
      </c>
      <c r="F8176" s="10" t="s">
        <v>5707</v>
      </c>
      <c r="G8176" s="10" t="s">
        <v>6317</v>
      </c>
      <c r="H8176" s="11">
        <v>40175</v>
      </c>
      <c r="I8176" s="10">
        <v>2011</v>
      </c>
      <c r="J8176" s="10" t="s">
        <v>37677</v>
      </c>
      <c r="K8176" s="10">
        <v>133</v>
      </c>
      <c r="L8176" s="10" t="s">
        <v>38214</v>
      </c>
      <c r="M8176" s="10">
        <v>1</v>
      </c>
      <c r="N8176" s="10"/>
      <c r="O8176" s="10"/>
      <c r="P8176" s="10"/>
      <c r="Q8176" s="10"/>
      <c r="R8176" s="10"/>
      <c r="S8176" s="10" t="s">
        <v>53</v>
      </c>
      <c r="T8176" s="10" t="s">
        <v>54</v>
      </c>
    </row>
    <row r="8177" spans="1:20" ht="14.5" x14ac:dyDescent="0.35">
      <c r="A8177" s="10" t="s">
        <v>38215</v>
      </c>
      <c r="B8177" s="10" t="str">
        <f>"9781438430614"</f>
        <v>9781438430614</v>
      </c>
      <c r="C8177" s="10" t="str">
        <f>"9781438430621"</f>
        <v>9781438430621</v>
      </c>
      <c r="D8177" s="10" t="s">
        <v>37676</v>
      </c>
      <c r="E8177" s="10" t="s">
        <v>37677</v>
      </c>
      <c r="F8177" s="10" t="s">
        <v>5707</v>
      </c>
      <c r="G8177" s="10" t="s">
        <v>6317</v>
      </c>
      <c r="H8177" s="11">
        <v>40267</v>
      </c>
      <c r="I8177" s="10">
        <v>2012</v>
      </c>
      <c r="J8177" s="10" t="s">
        <v>37677</v>
      </c>
      <c r="K8177" s="10">
        <v>211</v>
      </c>
      <c r="L8177" s="10" t="s">
        <v>38216</v>
      </c>
      <c r="M8177" s="10">
        <v>1</v>
      </c>
      <c r="N8177" s="10" t="s">
        <v>37767</v>
      </c>
      <c r="O8177" s="10"/>
      <c r="P8177" s="10"/>
      <c r="Q8177" s="10" t="s">
        <v>15602</v>
      </c>
      <c r="R8177" s="10"/>
      <c r="S8177" s="10" t="s">
        <v>53</v>
      </c>
      <c r="T8177" s="10" t="s">
        <v>54</v>
      </c>
    </row>
    <row r="8178" spans="1:20" ht="14.5" x14ac:dyDescent="0.35">
      <c r="A8178" s="10" t="s">
        <v>38217</v>
      </c>
      <c r="B8178" s="10" t="str">
        <f>"9781438435695"</f>
        <v>9781438435695</v>
      </c>
      <c r="C8178" s="10" t="str">
        <f>"9781438435701"</f>
        <v>9781438435701</v>
      </c>
      <c r="D8178" s="10" t="s">
        <v>37676</v>
      </c>
      <c r="E8178" s="10" t="s">
        <v>37677</v>
      </c>
      <c r="F8178" s="10" t="s">
        <v>5707</v>
      </c>
      <c r="G8178" s="10" t="s">
        <v>6317</v>
      </c>
      <c r="H8178" s="11">
        <v>40664</v>
      </c>
      <c r="I8178" s="10">
        <v>2011</v>
      </c>
      <c r="J8178" s="10" t="s">
        <v>37677</v>
      </c>
      <c r="K8178" s="10">
        <v>467</v>
      </c>
      <c r="L8178" s="10" t="s">
        <v>38218</v>
      </c>
      <c r="M8178" s="10">
        <v>1</v>
      </c>
      <c r="N8178" s="10"/>
      <c r="O8178" s="10"/>
      <c r="P8178" s="10"/>
      <c r="Q8178" s="10">
        <v>378</v>
      </c>
      <c r="R8178" s="10"/>
      <c r="S8178" s="10" t="s">
        <v>53</v>
      </c>
      <c r="T8178" s="10" t="s">
        <v>54</v>
      </c>
    </row>
    <row r="8179" spans="1:20" ht="14.5" x14ac:dyDescent="0.35">
      <c r="A8179" s="10" t="s">
        <v>38219</v>
      </c>
      <c r="B8179" s="10" t="str">
        <f>"9781438434674"</f>
        <v>9781438434674</v>
      </c>
      <c r="C8179" s="10" t="str">
        <f>"9781438434698"</f>
        <v>9781438434698</v>
      </c>
      <c r="D8179" s="10" t="s">
        <v>37676</v>
      </c>
      <c r="E8179" s="10" t="s">
        <v>37677</v>
      </c>
      <c r="F8179" s="10" t="s">
        <v>5707</v>
      </c>
      <c r="G8179" s="10" t="s">
        <v>6317</v>
      </c>
      <c r="H8179" s="11">
        <v>40655</v>
      </c>
      <c r="I8179" s="10">
        <v>2011</v>
      </c>
      <c r="J8179" s="10" t="s">
        <v>37677</v>
      </c>
      <c r="K8179" s="10">
        <v>259</v>
      </c>
      <c r="L8179" s="10" t="s">
        <v>38220</v>
      </c>
      <c r="M8179" s="10">
        <v>1</v>
      </c>
      <c r="N8179" s="10"/>
      <c r="O8179" s="10"/>
      <c r="P8179" s="10"/>
      <c r="Q8179" s="10">
        <v>379.26</v>
      </c>
      <c r="R8179" s="10"/>
      <c r="S8179" s="10" t="s">
        <v>53</v>
      </c>
      <c r="T8179" s="10" t="s">
        <v>54</v>
      </c>
    </row>
    <row r="8180" spans="1:20" ht="14.5" x14ac:dyDescent="0.35">
      <c r="A8180" s="10" t="s">
        <v>38221</v>
      </c>
      <c r="B8180" s="10" t="str">
        <f>"9781438432731"</f>
        <v>9781438432731</v>
      </c>
      <c r="C8180" s="10" t="str">
        <f>"9781438432748"</f>
        <v>9781438432748</v>
      </c>
      <c r="D8180" s="10" t="s">
        <v>37676</v>
      </c>
      <c r="E8180" s="10" t="s">
        <v>37677</v>
      </c>
      <c r="F8180" s="10" t="s">
        <v>5707</v>
      </c>
      <c r="G8180" s="10" t="s">
        <v>6317</v>
      </c>
      <c r="H8180" s="11">
        <v>40422</v>
      </c>
      <c r="I8180" s="10">
        <v>2010</v>
      </c>
      <c r="J8180" s="10" t="s">
        <v>37677</v>
      </c>
      <c r="K8180" s="10">
        <v>226</v>
      </c>
      <c r="L8180" s="10" t="s">
        <v>38222</v>
      </c>
      <c r="M8180" s="10">
        <v>1</v>
      </c>
      <c r="N8180" s="10"/>
      <c r="O8180" s="10"/>
      <c r="P8180" s="10" t="s">
        <v>38223</v>
      </c>
      <c r="Q8180" s="10">
        <v>369.08199999999999</v>
      </c>
      <c r="R8180" s="10"/>
      <c r="S8180" s="10" t="s">
        <v>53</v>
      </c>
      <c r="T8180" s="10" t="s">
        <v>6526</v>
      </c>
    </row>
    <row r="8181" spans="1:20" ht="14.5" x14ac:dyDescent="0.35">
      <c r="A8181" s="10" t="s">
        <v>38224</v>
      </c>
      <c r="B8181" s="10" t="str">
        <f>"9781438432038"</f>
        <v>9781438432038</v>
      </c>
      <c r="C8181" s="10" t="str">
        <f>"9781438432045"</f>
        <v>9781438432045</v>
      </c>
      <c r="D8181" s="10" t="s">
        <v>37676</v>
      </c>
      <c r="E8181" s="10" t="s">
        <v>37677</v>
      </c>
      <c r="F8181" s="10" t="s">
        <v>5707</v>
      </c>
      <c r="G8181" s="10" t="s">
        <v>6317</v>
      </c>
      <c r="H8181" s="11">
        <v>40391</v>
      </c>
      <c r="I8181" s="10">
        <v>2012</v>
      </c>
      <c r="J8181" s="10" t="s">
        <v>37677</v>
      </c>
      <c r="K8181" s="10">
        <v>314</v>
      </c>
      <c r="L8181" s="10" t="s">
        <v>38225</v>
      </c>
      <c r="M8181" s="10">
        <v>1</v>
      </c>
      <c r="N8181" s="10" t="s">
        <v>38226</v>
      </c>
      <c r="O8181" s="10"/>
      <c r="P8181" s="10"/>
      <c r="Q8181" s="10"/>
      <c r="R8181" s="10"/>
      <c r="S8181" s="10" t="s">
        <v>53</v>
      </c>
      <c r="T8181" s="10" t="s">
        <v>6363</v>
      </c>
    </row>
    <row r="8182" spans="1:20" ht="14.5" x14ac:dyDescent="0.35">
      <c r="A8182" s="10" t="s">
        <v>38227</v>
      </c>
      <c r="B8182" s="10" t="str">
        <f>"9781438433493"</f>
        <v>9781438433493</v>
      </c>
      <c r="C8182" s="10" t="str">
        <f>"9781438433509"</f>
        <v>9781438433509</v>
      </c>
      <c r="D8182" s="10" t="s">
        <v>37676</v>
      </c>
      <c r="E8182" s="10" t="s">
        <v>37677</v>
      </c>
      <c r="F8182" s="10" t="s">
        <v>5707</v>
      </c>
      <c r="G8182" s="10" t="s">
        <v>6317</v>
      </c>
      <c r="H8182" s="11">
        <v>40391</v>
      </c>
      <c r="I8182" s="10">
        <v>2010</v>
      </c>
      <c r="J8182" s="10" t="s">
        <v>37677</v>
      </c>
      <c r="K8182" s="10">
        <v>403</v>
      </c>
      <c r="L8182" s="10" t="s">
        <v>38228</v>
      </c>
      <c r="M8182" s="10">
        <v>1</v>
      </c>
      <c r="N8182" s="10" t="s">
        <v>38229</v>
      </c>
      <c r="O8182" s="10"/>
      <c r="P8182" s="10"/>
      <c r="Q8182" s="10"/>
      <c r="R8182" s="10"/>
      <c r="S8182" s="10" t="s">
        <v>53</v>
      </c>
      <c r="T8182" s="10" t="s">
        <v>54</v>
      </c>
    </row>
    <row r="8183" spans="1:20" ht="14.5" x14ac:dyDescent="0.35">
      <c r="A8183" s="10" t="s">
        <v>38230</v>
      </c>
      <c r="B8183" s="10" t="str">
        <f>"9781438429137"</f>
        <v>9781438429137</v>
      </c>
      <c r="C8183" s="10" t="str">
        <f>"9781438429144"</f>
        <v>9781438429144</v>
      </c>
      <c r="D8183" s="10" t="s">
        <v>37676</v>
      </c>
      <c r="E8183" s="10" t="s">
        <v>37677</v>
      </c>
      <c r="F8183" s="10" t="s">
        <v>5707</v>
      </c>
      <c r="G8183" s="10" t="s">
        <v>6317</v>
      </c>
      <c r="H8183" s="11">
        <v>40115</v>
      </c>
      <c r="I8183" s="10">
        <v>2010</v>
      </c>
      <c r="J8183" s="10" t="s">
        <v>37677</v>
      </c>
      <c r="K8183" s="10">
        <v>329</v>
      </c>
      <c r="L8183" s="10" t="s">
        <v>38231</v>
      </c>
      <c r="M8183" s="10">
        <v>1</v>
      </c>
      <c r="N8183" s="10"/>
      <c r="O8183" s="10"/>
      <c r="P8183" s="10"/>
      <c r="Q8183" s="10" t="s">
        <v>38232</v>
      </c>
      <c r="R8183" s="10"/>
      <c r="S8183" s="10" t="s">
        <v>53</v>
      </c>
      <c r="T8183" s="10" t="s">
        <v>54</v>
      </c>
    </row>
    <row r="8184" spans="1:20" ht="14.5" x14ac:dyDescent="0.35">
      <c r="A8184" s="10" t="s">
        <v>38233</v>
      </c>
      <c r="B8184" s="10" t="str">
        <f>"9781438430751"</f>
        <v>9781438430751</v>
      </c>
      <c r="C8184" s="10" t="str">
        <f>"9781438430775"</f>
        <v>9781438430775</v>
      </c>
      <c r="D8184" s="10" t="s">
        <v>37676</v>
      </c>
      <c r="E8184" s="10" t="s">
        <v>37677</v>
      </c>
      <c r="F8184" s="10" t="s">
        <v>5707</v>
      </c>
      <c r="G8184" s="10" t="s">
        <v>6317</v>
      </c>
      <c r="H8184" s="11">
        <v>40281</v>
      </c>
      <c r="I8184" s="10">
        <v>2010</v>
      </c>
      <c r="J8184" s="10" t="s">
        <v>37677</v>
      </c>
      <c r="K8184" s="10">
        <v>315</v>
      </c>
      <c r="L8184" s="10" t="s">
        <v>38234</v>
      </c>
      <c r="M8184" s="10">
        <v>1</v>
      </c>
      <c r="N8184" s="10" t="s">
        <v>38235</v>
      </c>
      <c r="O8184" s="10"/>
      <c r="P8184" s="10"/>
      <c r="Q8184" s="10" t="s">
        <v>38236</v>
      </c>
      <c r="R8184" s="10"/>
      <c r="S8184" s="10" t="s">
        <v>53</v>
      </c>
      <c r="T8184" s="10" t="s">
        <v>54</v>
      </c>
    </row>
    <row r="8185" spans="1:20" ht="14.5" x14ac:dyDescent="0.35">
      <c r="A8185" s="10" t="s">
        <v>38237</v>
      </c>
      <c r="B8185" s="10" t="str">
        <f>"9780791475713"</f>
        <v>9780791475713</v>
      </c>
      <c r="C8185" s="10" t="str">
        <f>"9780791477717"</f>
        <v>9780791477717</v>
      </c>
      <c r="D8185" s="10" t="s">
        <v>37676</v>
      </c>
      <c r="E8185" s="10" t="s">
        <v>37677</v>
      </c>
      <c r="F8185" s="10" t="s">
        <v>5707</v>
      </c>
      <c r="G8185" s="10" t="s">
        <v>6317</v>
      </c>
      <c r="H8185" s="11">
        <v>39744</v>
      </c>
      <c r="I8185" s="10">
        <v>2008</v>
      </c>
      <c r="J8185" s="10" t="s">
        <v>37677</v>
      </c>
      <c r="K8185" s="10">
        <v>253</v>
      </c>
      <c r="L8185" s="10" t="s">
        <v>38238</v>
      </c>
      <c r="M8185" s="10">
        <v>1</v>
      </c>
      <c r="N8185" s="10"/>
      <c r="O8185" s="10"/>
      <c r="P8185" s="10"/>
      <c r="Q8185" s="10" t="s">
        <v>10291</v>
      </c>
      <c r="R8185" s="10"/>
      <c r="S8185" s="10" t="s">
        <v>53</v>
      </c>
      <c r="T8185" s="10" t="s">
        <v>54</v>
      </c>
    </row>
    <row r="8186" spans="1:20" ht="14.5" x14ac:dyDescent="0.35">
      <c r="A8186" s="10" t="s">
        <v>38239</v>
      </c>
      <c r="B8186" s="10" t="str">
        <f>"9780791474976"</f>
        <v>9780791474976</v>
      </c>
      <c r="C8186" s="10" t="str">
        <f>"9780791478004"</f>
        <v>9780791478004</v>
      </c>
      <c r="D8186" s="10" t="s">
        <v>37676</v>
      </c>
      <c r="E8186" s="10" t="s">
        <v>37677</v>
      </c>
      <c r="F8186" s="10" t="s">
        <v>5707</v>
      </c>
      <c r="G8186" s="10" t="s">
        <v>6317</v>
      </c>
      <c r="H8186" s="11">
        <v>39653</v>
      </c>
      <c r="I8186" s="10">
        <v>2008</v>
      </c>
      <c r="J8186" s="10" t="s">
        <v>37677</v>
      </c>
      <c r="K8186" s="10">
        <v>252</v>
      </c>
      <c r="L8186" s="10" t="s">
        <v>38240</v>
      </c>
      <c r="M8186" s="10">
        <v>1</v>
      </c>
      <c r="N8186" s="10"/>
      <c r="O8186" s="10"/>
      <c r="P8186" s="10"/>
      <c r="Q8186" s="10" t="s">
        <v>38241</v>
      </c>
      <c r="R8186" s="10"/>
      <c r="S8186" s="10" t="s">
        <v>53</v>
      </c>
      <c r="T8186" s="10" t="s">
        <v>54</v>
      </c>
    </row>
    <row r="8187" spans="1:20" ht="14.5" x14ac:dyDescent="0.35">
      <c r="A8187" s="10" t="s">
        <v>38242</v>
      </c>
      <c r="B8187" s="10" t="str">
        <f>"9780791471913"</f>
        <v>9780791471913</v>
      </c>
      <c r="C8187" s="10" t="str">
        <f>"9780791479599"</f>
        <v>9780791479599</v>
      </c>
      <c r="D8187" s="10" t="s">
        <v>37676</v>
      </c>
      <c r="E8187" s="10" t="s">
        <v>37677</v>
      </c>
      <c r="F8187" s="10" t="s">
        <v>5707</v>
      </c>
      <c r="G8187" s="10" t="s">
        <v>6317</v>
      </c>
      <c r="H8187" s="11">
        <v>39191</v>
      </c>
      <c r="I8187" s="10">
        <v>2012</v>
      </c>
      <c r="J8187" s="10" t="s">
        <v>37677</v>
      </c>
      <c r="K8187" s="10">
        <v>296</v>
      </c>
      <c r="L8187" s="10" t="s">
        <v>38243</v>
      </c>
      <c r="M8187" s="10">
        <v>1</v>
      </c>
      <c r="N8187" s="10"/>
      <c r="O8187" s="10"/>
      <c r="P8187" s="10"/>
      <c r="Q8187" s="10" t="s">
        <v>38244</v>
      </c>
      <c r="R8187" s="10"/>
      <c r="S8187" s="10" t="s">
        <v>53</v>
      </c>
      <c r="T8187" s="10" t="s">
        <v>31558</v>
      </c>
    </row>
    <row r="8188" spans="1:20" ht="14.5" x14ac:dyDescent="0.35">
      <c r="A8188" s="10" t="s">
        <v>38245</v>
      </c>
      <c r="B8188" s="10" t="str">
        <f>"9780791471272"</f>
        <v>9780791471272</v>
      </c>
      <c r="C8188" s="10" t="str">
        <f>"9780791479933"</f>
        <v>9780791479933</v>
      </c>
      <c r="D8188" s="10" t="s">
        <v>37676</v>
      </c>
      <c r="E8188" s="10" t="s">
        <v>37677</v>
      </c>
      <c r="F8188" s="10" t="s">
        <v>5707</v>
      </c>
      <c r="G8188" s="10" t="s">
        <v>6317</v>
      </c>
      <c r="H8188" s="11">
        <v>39212</v>
      </c>
      <c r="I8188" s="10">
        <v>2012</v>
      </c>
      <c r="J8188" s="10" t="s">
        <v>37677</v>
      </c>
      <c r="K8188" s="10">
        <v>244</v>
      </c>
      <c r="L8188" s="10" t="s">
        <v>38246</v>
      </c>
      <c r="M8188" s="10">
        <v>1</v>
      </c>
      <c r="N8188" s="10" t="s">
        <v>38247</v>
      </c>
      <c r="O8188" s="10"/>
      <c r="P8188" s="10" t="s">
        <v>38248</v>
      </c>
      <c r="Q8188" s="10">
        <v>379.79399999999998</v>
      </c>
      <c r="R8188" s="10"/>
      <c r="S8188" s="10" t="s">
        <v>53</v>
      </c>
      <c r="T8188" s="10" t="s">
        <v>54</v>
      </c>
    </row>
    <row r="8189" spans="1:20" ht="14.5" x14ac:dyDescent="0.35">
      <c r="A8189" s="10" t="s">
        <v>38249</v>
      </c>
      <c r="B8189" s="10" t="str">
        <f>"9780791469675"</f>
        <v>9780791469675</v>
      </c>
      <c r="C8189" s="10" t="str">
        <f>"9780791480694"</f>
        <v>9780791480694</v>
      </c>
      <c r="D8189" s="10" t="s">
        <v>37676</v>
      </c>
      <c r="E8189" s="10" t="s">
        <v>37677</v>
      </c>
      <c r="F8189" s="10" t="s">
        <v>5707</v>
      </c>
      <c r="G8189" s="10" t="s">
        <v>6317</v>
      </c>
      <c r="H8189" s="11">
        <v>39086</v>
      </c>
      <c r="I8189" s="10">
        <v>2012</v>
      </c>
      <c r="J8189" s="10" t="s">
        <v>37677</v>
      </c>
      <c r="K8189" s="10">
        <v>192</v>
      </c>
      <c r="L8189" s="10" t="s">
        <v>37844</v>
      </c>
      <c r="M8189" s="10">
        <v>1</v>
      </c>
      <c r="N8189" s="10"/>
      <c r="O8189" s="10"/>
      <c r="P8189" s="10"/>
      <c r="Q8189" s="10"/>
      <c r="R8189" s="10"/>
      <c r="S8189" s="10" t="s">
        <v>53</v>
      </c>
      <c r="T8189" s="10" t="s">
        <v>54</v>
      </c>
    </row>
    <row r="8190" spans="1:20" ht="14.5" x14ac:dyDescent="0.35">
      <c r="A8190" s="10" t="s">
        <v>38250</v>
      </c>
      <c r="B8190" s="10" t="str">
        <f>"9780791470312"</f>
        <v>9780791470312</v>
      </c>
      <c r="C8190" s="10" t="str">
        <f>"9780791480403"</f>
        <v>9780791480403</v>
      </c>
      <c r="D8190" s="10" t="s">
        <v>37676</v>
      </c>
      <c r="E8190" s="10" t="s">
        <v>37677</v>
      </c>
      <c r="F8190" s="10" t="s">
        <v>5707</v>
      </c>
      <c r="G8190" s="10" t="s">
        <v>6317</v>
      </c>
      <c r="H8190" s="11">
        <v>39149</v>
      </c>
      <c r="I8190" s="10">
        <v>2012</v>
      </c>
      <c r="J8190" s="10" t="s">
        <v>37677</v>
      </c>
      <c r="K8190" s="10">
        <v>325</v>
      </c>
      <c r="L8190" s="10" t="s">
        <v>38251</v>
      </c>
      <c r="M8190" s="10">
        <v>1</v>
      </c>
      <c r="N8190" s="10" t="s">
        <v>37804</v>
      </c>
      <c r="O8190" s="10"/>
      <c r="P8190" s="10"/>
      <c r="Q8190" s="10">
        <v>371.20082000000002</v>
      </c>
      <c r="R8190" s="10"/>
      <c r="S8190" s="10" t="s">
        <v>53</v>
      </c>
      <c r="T8190" s="10" t="s">
        <v>54</v>
      </c>
    </row>
    <row r="8191" spans="1:20" ht="14.5" x14ac:dyDescent="0.35">
      <c r="A8191" s="10" t="s">
        <v>38252</v>
      </c>
      <c r="B8191" s="10" t="str">
        <f>"9780791474037"</f>
        <v>9780791474037</v>
      </c>
      <c r="C8191" s="10" t="str">
        <f>"9780791478387"</f>
        <v>9780791478387</v>
      </c>
      <c r="D8191" s="10" t="s">
        <v>37676</v>
      </c>
      <c r="E8191" s="10" t="s">
        <v>37677</v>
      </c>
      <c r="F8191" s="10" t="s">
        <v>5707</v>
      </c>
      <c r="G8191" s="10" t="s">
        <v>6317</v>
      </c>
      <c r="H8191" s="11">
        <v>39597</v>
      </c>
      <c r="I8191" s="10">
        <v>2009</v>
      </c>
      <c r="J8191" s="10" t="s">
        <v>37677</v>
      </c>
      <c r="K8191" s="10">
        <v>181</v>
      </c>
      <c r="L8191" s="10" t="s">
        <v>38253</v>
      </c>
      <c r="M8191" s="10">
        <v>1</v>
      </c>
      <c r="N8191" s="10"/>
      <c r="O8191" s="10"/>
      <c r="P8191" s="10" t="s">
        <v>38254</v>
      </c>
      <c r="Q8191" s="10" t="s">
        <v>7335</v>
      </c>
      <c r="R8191" s="10"/>
      <c r="S8191" s="10" t="s">
        <v>53</v>
      </c>
      <c r="T8191" s="10" t="s">
        <v>54</v>
      </c>
    </row>
    <row r="8192" spans="1:20" ht="14.5" x14ac:dyDescent="0.35">
      <c r="A8192" s="10" t="s">
        <v>38255</v>
      </c>
      <c r="B8192" s="10" t="str">
        <f>"9780791476932"</f>
        <v>9780791476932</v>
      </c>
      <c r="C8192" s="10" t="str">
        <f>"9780791477113"</f>
        <v>9780791477113</v>
      </c>
      <c r="D8192" s="10" t="s">
        <v>37676</v>
      </c>
      <c r="E8192" s="10" t="s">
        <v>37677</v>
      </c>
      <c r="F8192" s="10" t="s">
        <v>5707</v>
      </c>
      <c r="G8192" s="10" t="s">
        <v>6317</v>
      </c>
      <c r="H8192" s="11">
        <v>39877</v>
      </c>
      <c r="I8192" s="10">
        <v>2009</v>
      </c>
      <c r="J8192" s="10" t="s">
        <v>37677</v>
      </c>
      <c r="K8192" s="10">
        <v>291</v>
      </c>
      <c r="L8192" s="10" t="s">
        <v>38256</v>
      </c>
      <c r="M8192" s="10">
        <v>1</v>
      </c>
      <c r="N8192" s="10"/>
      <c r="O8192" s="10"/>
      <c r="P8192" s="10" t="s">
        <v>38257</v>
      </c>
      <c r="Q8192" s="10">
        <v>379.73</v>
      </c>
      <c r="R8192" s="10"/>
      <c r="S8192" s="10" t="s">
        <v>53</v>
      </c>
      <c r="T8192" s="10" t="s">
        <v>54</v>
      </c>
    </row>
    <row r="8193" spans="1:20" ht="14.5" x14ac:dyDescent="0.35">
      <c r="A8193" s="10" t="s">
        <v>38258</v>
      </c>
      <c r="B8193" s="10" t="str">
        <f>"9780791469217"</f>
        <v>9780791469217</v>
      </c>
      <c r="C8193" s="10" t="str">
        <f>"9780791480946"</f>
        <v>9780791480946</v>
      </c>
      <c r="D8193" s="10" t="s">
        <v>37676</v>
      </c>
      <c r="E8193" s="10" t="s">
        <v>37677</v>
      </c>
      <c r="F8193" s="10" t="s">
        <v>5707</v>
      </c>
      <c r="G8193" s="10" t="s">
        <v>6317</v>
      </c>
      <c r="H8193" s="11">
        <v>39043</v>
      </c>
      <c r="I8193" s="10">
        <v>2012</v>
      </c>
      <c r="J8193" s="10" t="s">
        <v>37677</v>
      </c>
      <c r="K8193" s="10">
        <v>208</v>
      </c>
      <c r="L8193" s="10" t="s">
        <v>38259</v>
      </c>
      <c r="M8193" s="10">
        <v>1</v>
      </c>
      <c r="N8193" s="10"/>
      <c r="O8193" s="10"/>
      <c r="P8193" s="10"/>
      <c r="Q8193" s="10">
        <v>370.1</v>
      </c>
      <c r="R8193" s="10"/>
      <c r="S8193" s="10" t="s">
        <v>53</v>
      </c>
      <c r="T8193" s="10" t="s">
        <v>54</v>
      </c>
    </row>
    <row r="8194" spans="1:20" ht="14.5" x14ac:dyDescent="0.35">
      <c r="A8194" s="10" t="s">
        <v>38260</v>
      </c>
      <c r="B8194" s="10" t="str">
        <f>"9780791470978"</f>
        <v>9780791470978</v>
      </c>
      <c r="C8194" s="10" t="str">
        <f>"9780791480083"</f>
        <v>9780791480083</v>
      </c>
      <c r="D8194" s="10" t="s">
        <v>37676</v>
      </c>
      <c r="E8194" s="10" t="s">
        <v>37677</v>
      </c>
      <c r="F8194" s="10" t="s">
        <v>5707</v>
      </c>
      <c r="G8194" s="10" t="s">
        <v>6317</v>
      </c>
      <c r="H8194" s="11">
        <v>39177</v>
      </c>
      <c r="I8194" s="10">
        <v>2012</v>
      </c>
      <c r="J8194" s="10" t="s">
        <v>37677</v>
      </c>
      <c r="K8194" s="10">
        <v>170</v>
      </c>
      <c r="L8194" s="10" t="s">
        <v>38261</v>
      </c>
      <c r="M8194" s="10">
        <v>1</v>
      </c>
      <c r="N8194" s="10" t="s">
        <v>37696</v>
      </c>
      <c r="O8194" s="10"/>
      <c r="P8194" s="10"/>
      <c r="Q8194" s="10" t="s">
        <v>38262</v>
      </c>
      <c r="R8194" s="10"/>
      <c r="S8194" s="10" t="s">
        <v>53</v>
      </c>
      <c r="T8194" s="10" t="s">
        <v>1166</v>
      </c>
    </row>
    <row r="8195" spans="1:20" ht="14.5" x14ac:dyDescent="0.35">
      <c r="A8195" s="10" t="s">
        <v>38263</v>
      </c>
      <c r="B8195" s="10" t="str">
        <f>"9780791470534"</f>
        <v>9780791470534</v>
      </c>
      <c r="C8195" s="10" t="str">
        <f>"9780791480250"</f>
        <v>9780791480250</v>
      </c>
      <c r="D8195" s="10" t="s">
        <v>37676</v>
      </c>
      <c r="E8195" s="10" t="s">
        <v>37677</v>
      </c>
      <c r="F8195" s="10" t="s">
        <v>5707</v>
      </c>
      <c r="G8195" s="10" t="s">
        <v>6317</v>
      </c>
      <c r="H8195" s="11">
        <v>39156</v>
      </c>
      <c r="I8195" s="10">
        <v>2012</v>
      </c>
      <c r="J8195" s="10" t="s">
        <v>37677</v>
      </c>
      <c r="K8195" s="10">
        <v>314</v>
      </c>
      <c r="L8195" s="10" t="s">
        <v>38264</v>
      </c>
      <c r="M8195" s="10">
        <v>1</v>
      </c>
      <c r="N8195" s="10"/>
      <c r="O8195" s="10"/>
      <c r="P8195" s="10" t="s">
        <v>38265</v>
      </c>
      <c r="Q8195" s="10"/>
      <c r="R8195" s="10"/>
      <c r="S8195" s="10" t="s">
        <v>53</v>
      </c>
      <c r="T8195" s="10" t="s">
        <v>54</v>
      </c>
    </row>
    <row r="8196" spans="1:20" ht="14.5" x14ac:dyDescent="0.35">
      <c r="A8196" s="10" t="s">
        <v>38266</v>
      </c>
      <c r="B8196" s="10" t="str">
        <f>"9780791470350"</f>
        <v>9780791470350</v>
      </c>
      <c r="C8196" s="10" t="str">
        <f>"9780791480397"</f>
        <v>9780791480397</v>
      </c>
      <c r="D8196" s="10" t="s">
        <v>37676</v>
      </c>
      <c r="E8196" s="10" t="s">
        <v>37677</v>
      </c>
      <c r="F8196" s="10" t="s">
        <v>5707</v>
      </c>
      <c r="G8196" s="10" t="s">
        <v>6317</v>
      </c>
      <c r="H8196" s="11">
        <v>39156</v>
      </c>
      <c r="I8196" s="10">
        <v>2012</v>
      </c>
      <c r="J8196" s="10" t="s">
        <v>37677</v>
      </c>
      <c r="K8196" s="10">
        <v>268</v>
      </c>
      <c r="L8196" s="10" t="s">
        <v>38267</v>
      </c>
      <c r="M8196" s="10">
        <v>1</v>
      </c>
      <c r="N8196" s="10"/>
      <c r="O8196" s="10"/>
      <c r="P8196" s="10"/>
      <c r="Q8196" s="10" t="s">
        <v>18499</v>
      </c>
      <c r="R8196" s="10"/>
      <c r="S8196" s="10" t="s">
        <v>53</v>
      </c>
      <c r="T8196" s="10" t="s">
        <v>54</v>
      </c>
    </row>
    <row r="8197" spans="1:20" ht="14.5" x14ac:dyDescent="0.35">
      <c r="A8197" s="10" t="s">
        <v>38268</v>
      </c>
      <c r="B8197" s="10" t="str">
        <f>"9780791475294"</f>
        <v>9780791475294</v>
      </c>
      <c r="C8197" s="10" t="str">
        <f>"9780791477908"</f>
        <v>9780791477908</v>
      </c>
      <c r="D8197" s="10" t="s">
        <v>37676</v>
      </c>
      <c r="E8197" s="10" t="s">
        <v>37677</v>
      </c>
      <c r="F8197" s="10" t="s">
        <v>5707</v>
      </c>
      <c r="G8197" s="10" t="s">
        <v>6317</v>
      </c>
      <c r="H8197" s="11">
        <v>39681</v>
      </c>
      <c r="I8197" s="10">
        <v>2008</v>
      </c>
      <c r="J8197" s="10" t="s">
        <v>37677</v>
      </c>
      <c r="K8197" s="10">
        <v>202</v>
      </c>
      <c r="L8197" s="10" t="s">
        <v>38269</v>
      </c>
      <c r="M8197" s="10">
        <v>1</v>
      </c>
      <c r="N8197" s="10"/>
      <c r="O8197" s="10"/>
      <c r="P8197" s="10"/>
      <c r="Q8197" s="10" t="s">
        <v>10940</v>
      </c>
      <c r="R8197" s="10"/>
      <c r="S8197" s="10" t="s">
        <v>53</v>
      </c>
      <c r="T8197" s="10" t="s">
        <v>54</v>
      </c>
    </row>
    <row r="8198" spans="1:20" ht="14.5" x14ac:dyDescent="0.35">
      <c r="A8198" s="10" t="s">
        <v>38270</v>
      </c>
      <c r="B8198" s="10" t="str">
        <f>"9780791469057"</f>
        <v>9780791469057</v>
      </c>
      <c r="C8198" s="10" t="str">
        <f>"9780791481080"</f>
        <v>9780791481080</v>
      </c>
      <c r="D8198" s="10" t="s">
        <v>37676</v>
      </c>
      <c r="E8198" s="10" t="s">
        <v>37677</v>
      </c>
      <c r="F8198" s="10" t="s">
        <v>5707</v>
      </c>
      <c r="G8198" s="10" t="s">
        <v>6317</v>
      </c>
      <c r="H8198" s="11">
        <v>39023</v>
      </c>
      <c r="I8198" s="10">
        <v>2012</v>
      </c>
      <c r="J8198" s="10" t="s">
        <v>37677</v>
      </c>
      <c r="K8198" s="10">
        <v>246</v>
      </c>
      <c r="L8198" s="10" t="s">
        <v>38271</v>
      </c>
      <c r="M8198" s="10">
        <v>1</v>
      </c>
      <c r="N8198" s="10"/>
      <c r="O8198" s="10"/>
      <c r="P8198" s="10"/>
      <c r="Q8198" s="10"/>
      <c r="R8198" s="10"/>
      <c r="S8198" s="10" t="s">
        <v>53</v>
      </c>
      <c r="T8198" s="10" t="s">
        <v>6363</v>
      </c>
    </row>
    <row r="8199" spans="1:20" ht="14.5" x14ac:dyDescent="0.35">
      <c r="A8199" s="10" t="s">
        <v>38272</v>
      </c>
      <c r="B8199" s="10" t="str">
        <f>"9780791474273"</f>
        <v>9780791474273</v>
      </c>
      <c r="C8199" s="10" t="str">
        <f>"9780791478486"</f>
        <v>9780791478486</v>
      </c>
      <c r="D8199" s="10" t="s">
        <v>37676</v>
      </c>
      <c r="E8199" s="10" t="s">
        <v>37677</v>
      </c>
      <c r="F8199" s="10" t="s">
        <v>5707</v>
      </c>
      <c r="G8199" s="10" t="s">
        <v>6317</v>
      </c>
      <c r="H8199" s="11">
        <v>39555</v>
      </c>
      <c r="I8199" s="10">
        <v>2009</v>
      </c>
      <c r="J8199" s="10" t="s">
        <v>37677</v>
      </c>
      <c r="K8199" s="10">
        <v>180</v>
      </c>
      <c r="L8199" s="10" t="s">
        <v>38273</v>
      </c>
      <c r="M8199" s="10">
        <v>1</v>
      </c>
      <c r="N8199" s="10" t="s">
        <v>37727</v>
      </c>
      <c r="O8199" s="10"/>
      <c r="P8199" s="10"/>
      <c r="Q8199" s="10">
        <v>370.1</v>
      </c>
      <c r="R8199" s="10"/>
      <c r="S8199" s="10" t="s">
        <v>53</v>
      </c>
      <c r="T8199" s="10" t="s">
        <v>54</v>
      </c>
    </row>
    <row r="8200" spans="1:20" ht="14.5" x14ac:dyDescent="0.35">
      <c r="A8200" s="10" t="s">
        <v>38274</v>
      </c>
      <c r="B8200" s="10" t="str">
        <f>"9780791469873"</f>
        <v>9780791469873</v>
      </c>
      <c r="C8200" s="10" t="str">
        <f>"9780791480649"</f>
        <v>9780791480649</v>
      </c>
      <c r="D8200" s="10" t="s">
        <v>37676</v>
      </c>
      <c r="E8200" s="10" t="s">
        <v>37677</v>
      </c>
      <c r="F8200" s="10" t="s">
        <v>5707</v>
      </c>
      <c r="G8200" s="10" t="s">
        <v>6317</v>
      </c>
      <c r="H8200" s="11">
        <v>39142</v>
      </c>
      <c r="I8200" s="10">
        <v>2012</v>
      </c>
      <c r="J8200" s="10" t="s">
        <v>37677</v>
      </c>
      <c r="K8200" s="10">
        <v>240</v>
      </c>
      <c r="L8200" s="10" t="s">
        <v>38275</v>
      </c>
      <c r="M8200" s="10">
        <v>1</v>
      </c>
      <c r="N8200" s="10"/>
      <c r="O8200" s="10"/>
      <c r="P8200" s="10"/>
      <c r="Q8200" s="10" t="s">
        <v>20959</v>
      </c>
      <c r="R8200" s="10"/>
      <c r="S8200" s="10" t="s">
        <v>53</v>
      </c>
      <c r="T8200" s="10" t="s">
        <v>54</v>
      </c>
    </row>
    <row r="8201" spans="1:20" ht="14.5" x14ac:dyDescent="0.35">
      <c r="A8201" s="10" t="s">
        <v>38276</v>
      </c>
      <c r="B8201" s="10" t="str">
        <f>"9780791473818"</f>
        <v>9780791473818</v>
      </c>
      <c r="C8201" s="10" t="str">
        <f>"9780791478660"</f>
        <v>9780791478660</v>
      </c>
      <c r="D8201" s="10" t="s">
        <v>37676</v>
      </c>
      <c r="E8201" s="10" t="s">
        <v>37677</v>
      </c>
      <c r="F8201" s="10" t="s">
        <v>5707</v>
      </c>
      <c r="G8201" s="10" t="s">
        <v>6317</v>
      </c>
      <c r="H8201" s="11">
        <v>39520</v>
      </c>
      <c r="I8201" s="10">
        <v>2009</v>
      </c>
      <c r="J8201" s="10" t="s">
        <v>37677</v>
      </c>
      <c r="K8201" s="10">
        <v>238</v>
      </c>
      <c r="L8201" s="10" t="s">
        <v>38277</v>
      </c>
      <c r="M8201" s="10">
        <v>1</v>
      </c>
      <c r="N8201" s="10"/>
      <c r="O8201" s="10"/>
      <c r="P8201" s="10"/>
      <c r="Q8201" s="10" t="s">
        <v>34974</v>
      </c>
      <c r="R8201" s="10"/>
      <c r="S8201" s="10" t="s">
        <v>53</v>
      </c>
      <c r="T8201" s="10" t="s">
        <v>1166</v>
      </c>
    </row>
    <row r="8202" spans="1:20" ht="14.5" x14ac:dyDescent="0.35">
      <c r="A8202" s="10" t="s">
        <v>38278</v>
      </c>
      <c r="B8202" s="10" t="str">
        <f>"9780791471470"</f>
        <v>9780791471470</v>
      </c>
      <c r="C8202" s="10" t="str">
        <f>"9780791479872"</f>
        <v>9780791479872</v>
      </c>
      <c r="D8202" s="10" t="s">
        <v>37676</v>
      </c>
      <c r="E8202" s="10" t="s">
        <v>37677</v>
      </c>
      <c r="F8202" s="10" t="s">
        <v>5707</v>
      </c>
      <c r="G8202" s="10" t="s">
        <v>6317</v>
      </c>
      <c r="H8202" s="11">
        <v>39240</v>
      </c>
      <c r="I8202" s="10">
        <v>2012</v>
      </c>
      <c r="J8202" s="10" t="s">
        <v>37677</v>
      </c>
      <c r="K8202" s="10">
        <v>198</v>
      </c>
      <c r="L8202" s="10" t="s">
        <v>38279</v>
      </c>
      <c r="M8202" s="10">
        <v>1</v>
      </c>
      <c r="N8202" s="10"/>
      <c r="O8202" s="10"/>
      <c r="P8202" s="10"/>
      <c r="Q8202" s="10"/>
      <c r="R8202" s="10"/>
      <c r="S8202" s="10" t="s">
        <v>53</v>
      </c>
      <c r="T8202" s="10" t="s">
        <v>54</v>
      </c>
    </row>
    <row r="8203" spans="1:20" ht="14.5" x14ac:dyDescent="0.35">
      <c r="A8203" s="10" t="s">
        <v>38280</v>
      </c>
      <c r="B8203" s="10" t="str">
        <f>"9780791469835"</f>
        <v>9780791469835</v>
      </c>
      <c r="C8203" s="10" t="str">
        <f>"9780791480656"</f>
        <v>9780791480656</v>
      </c>
      <c r="D8203" s="10" t="s">
        <v>37676</v>
      </c>
      <c r="E8203" s="10" t="s">
        <v>37677</v>
      </c>
      <c r="F8203" s="10" t="s">
        <v>5707</v>
      </c>
      <c r="G8203" s="10" t="s">
        <v>6317</v>
      </c>
      <c r="H8203" s="11">
        <v>39142</v>
      </c>
      <c r="I8203" s="10">
        <v>2012</v>
      </c>
      <c r="J8203" s="10" t="s">
        <v>37677</v>
      </c>
      <c r="K8203" s="10">
        <v>304</v>
      </c>
      <c r="L8203" s="10" t="s">
        <v>38281</v>
      </c>
      <c r="M8203" s="10">
        <v>1</v>
      </c>
      <c r="N8203" s="10"/>
      <c r="O8203" s="10"/>
      <c r="P8203" s="10"/>
      <c r="Q8203" s="10">
        <v>379.75900000000001</v>
      </c>
      <c r="R8203" s="10"/>
      <c r="S8203" s="10" t="s">
        <v>53</v>
      </c>
      <c r="T8203" s="10" t="s">
        <v>54</v>
      </c>
    </row>
    <row r="8204" spans="1:20" ht="14.5" x14ac:dyDescent="0.35">
      <c r="A8204" s="10" t="s">
        <v>38282</v>
      </c>
      <c r="B8204" s="10" t="str">
        <f>"9780791473559"</f>
        <v>9780791473559</v>
      </c>
      <c r="C8204" s="10" t="str">
        <f>"9780791478745"</f>
        <v>9780791478745</v>
      </c>
      <c r="D8204" s="10" t="s">
        <v>37676</v>
      </c>
      <c r="E8204" s="10" t="s">
        <v>37677</v>
      </c>
      <c r="F8204" s="10" t="s">
        <v>5707</v>
      </c>
      <c r="G8204" s="10" t="s">
        <v>6317</v>
      </c>
      <c r="H8204" s="11">
        <v>39534</v>
      </c>
      <c r="I8204" s="10">
        <v>2009</v>
      </c>
      <c r="J8204" s="10" t="s">
        <v>37677</v>
      </c>
      <c r="K8204" s="10">
        <v>208</v>
      </c>
      <c r="L8204" s="10" t="s">
        <v>38283</v>
      </c>
      <c r="M8204" s="10">
        <v>1</v>
      </c>
      <c r="N8204" s="10"/>
      <c r="O8204" s="10"/>
      <c r="P8204" s="10"/>
      <c r="Q8204" s="10" t="s">
        <v>13135</v>
      </c>
      <c r="R8204" s="10"/>
      <c r="S8204" s="10" t="s">
        <v>53</v>
      </c>
      <c r="T8204" s="10" t="s">
        <v>1166</v>
      </c>
    </row>
    <row r="8205" spans="1:20" ht="14.5" x14ac:dyDescent="0.35">
      <c r="A8205" s="10" t="s">
        <v>38284</v>
      </c>
      <c r="B8205" s="10" t="str">
        <f>"9780791475058"</f>
        <v>9780791475058</v>
      </c>
      <c r="C8205" s="10" t="str">
        <f>"9780791478042"</f>
        <v>9780791478042</v>
      </c>
      <c r="D8205" s="10" t="s">
        <v>37676</v>
      </c>
      <c r="E8205" s="10" t="s">
        <v>37677</v>
      </c>
      <c r="F8205" s="10" t="s">
        <v>5707</v>
      </c>
      <c r="G8205" s="10" t="s">
        <v>6317</v>
      </c>
      <c r="H8205" s="11">
        <v>39639</v>
      </c>
      <c r="I8205" s="10">
        <v>2008</v>
      </c>
      <c r="J8205" s="10" t="s">
        <v>37677</v>
      </c>
      <c r="K8205" s="10">
        <v>230</v>
      </c>
      <c r="L8205" s="10" t="s">
        <v>38285</v>
      </c>
      <c r="M8205" s="10">
        <v>1</v>
      </c>
      <c r="N8205" s="10" t="s">
        <v>38286</v>
      </c>
      <c r="O8205" s="10"/>
      <c r="P8205" s="10" t="s">
        <v>38287</v>
      </c>
      <c r="Q8205" s="10"/>
      <c r="R8205" s="10"/>
      <c r="S8205" s="10" t="s">
        <v>53</v>
      </c>
      <c r="T8205" s="10" t="s">
        <v>54</v>
      </c>
    </row>
    <row r="8206" spans="1:20" ht="14.5" x14ac:dyDescent="0.35">
      <c r="A8206" s="10" t="s">
        <v>38288</v>
      </c>
      <c r="B8206" s="10" t="str">
        <f>"9780791469316"</f>
        <v>9780791469316</v>
      </c>
      <c r="C8206" s="10" t="str">
        <f>"9780791480892"</f>
        <v>9780791480892</v>
      </c>
      <c r="D8206" s="10" t="s">
        <v>37676</v>
      </c>
      <c r="E8206" s="10" t="s">
        <v>37677</v>
      </c>
      <c r="F8206" s="10" t="s">
        <v>5707</v>
      </c>
      <c r="G8206" s="10" t="s">
        <v>6317</v>
      </c>
      <c r="H8206" s="11">
        <v>39072</v>
      </c>
      <c r="I8206" s="10">
        <v>2012</v>
      </c>
      <c r="J8206" s="10" t="s">
        <v>37677</v>
      </c>
      <c r="K8206" s="10">
        <v>369</v>
      </c>
      <c r="L8206" s="10" t="s">
        <v>38289</v>
      </c>
      <c r="M8206" s="10">
        <v>1</v>
      </c>
      <c r="N8206" s="10"/>
      <c r="O8206" s="10"/>
      <c r="P8206" s="10"/>
      <c r="Q8206" s="10" t="s">
        <v>38290</v>
      </c>
      <c r="R8206" s="10"/>
      <c r="S8206" s="10" t="s">
        <v>53</v>
      </c>
      <c r="T8206" s="10" t="s">
        <v>54</v>
      </c>
    </row>
    <row r="8207" spans="1:20" ht="14.5" x14ac:dyDescent="0.35">
      <c r="A8207" s="10" t="s">
        <v>38291</v>
      </c>
      <c r="B8207" s="10" t="str">
        <f>"9780791473733"</f>
        <v>9780791473733</v>
      </c>
      <c r="C8207" s="10" t="str">
        <f>"9780791478608"</f>
        <v>9780791478608</v>
      </c>
      <c r="D8207" s="10" t="s">
        <v>37676</v>
      </c>
      <c r="E8207" s="10" t="s">
        <v>37677</v>
      </c>
      <c r="F8207" s="10" t="s">
        <v>5707</v>
      </c>
      <c r="G8207" s="10" t="s">
        <v>6317</v>
      </c>
      <c r="H8207" s="11">
        <v>39520</v>
      </c>
      <c r="I8207" s="10">
        <v>2009</v>
      </c>
      <c r="J8207" s="10" t="s">
        <v>37677</v>
      </c>
      <c r="K8207" s="10">
        <v>266</v>
      </c>
      <c r="L8207" s="10" t="s">
        <v>38292</v>
      </c>
      <c r="M8207" s="10">
        <v>1</v>
      </c>
      <c r="N8207" s="10"/>
      <c r="O8207" s="10"/>
      <c r="P8207" s="10"/>
      <c r="Q8207" s="10">
        <v>370.11599999999999</v>
      </c>
      <c r="R8207" s="10"/>
      <c r="S8207" s="10" t="s">
        <v>53</v>
      </c>
      <c r="T8207" s="10" t="s">
        <v>54</v>
      </c>
    </row>
    <row r="8208" spans="1:20" ht="14.5" x14ac:dyDescent="0.35">
      <c r="A8208" s="10" t="s">
        <v>38293</v>
      </c>
      <c r="B8208" s="10" t="str">
        <f>"9780791476871"</f>
        <v>9780791476871</v>
      </c>
      <c r="C8208" s="10" t="str">
        <f>"9780791477069"</f>
        <v>9780791477069</v>
      </c>
      <c r="D8208" s="10" t="s">
        <v>37676</v>
      </c>
      <c r="E8208" s="10" t="s">
        <v>37677</v>
      </c>
      <c r="F8208" s="10" t="s">
        <v>5707</v>
      </c>
      <c r="G8208" s="10" t="s">
        <v>6317</v>
      </c>
      <c r="H8208" s="11">
        <v>39828</v>
      </c>
      <c r="I8208" s="10">
        <v>2009</v>
      </c>
      <c r="J8208" s="10" t="s">
        <v>37677</v>
      </c>
      <c r="K8208" s="10">
        <v>253</v>
      </c>
      <c r="L8208" s="10" t="s">
        <v>38294</v>
      </c>
      <c r="M8208" s="10">
        <v>1</v>
      </c>
      <c r="N8208" s="10"/>
      <c r="O8208" s="10"/>
      <c r="P8208" s="10"/>
      <c r="Q8208" s="10">
        <v>370.72</v>
      </c>
      <c r="R8208" s="10"/>
      <c r="S8208" s="10" t="s">
        <v>53</v>
      </c>
      <c r="T8208" s="10" t="s">
        <v>54</v>
      </c>
    </row>
    <row r="8209" spans="1:20" ht="14.5" x14ac:dyDescent="0.35">
      <c r="A8209" s="10" t="s">
        <v>38295</v>
      </c>
      <c r="B8209" s="10" t="str">
        <f>"9780791469095"</f>
        <v>9780791469095</v>
      </c>
      <c r="C8209" s="10" t="str">
        <f>"9780791481042"</f>
        <v>9780791481042</v>
      </c>
      <c r="D8209" s="10" t="s">
        <v>37676</v>
      </c>
      <c r="E8209" s="10" t="s">
        <v>37677</v>
      </c>
      <c r="F8209" s="10" t="s">
        <v>5707</v>
      </c>
      <c r="G8209" s="10" t="s">
        <v>6317</v>
      </c>
      <c r="H8209" s="11">
        <v>39016</v>
      </c>
      <c r="I8209" s="10">
        <v>2012</v>
      </c>
      <c r="J8209" s="10" t="s">
        <v>37677</v>
      </c>
      <c r="K8209" s="10">
        <v>370</v>
      </c>
      <c r="L8209" s="10" t="s">
        <v>38296</v>
      </c>
      <c r="M8209" s="10">
        <v>1</v>
      </c>
      <c r="N8209" s="10"/>
      <c r="O8209" s="10"/>
      <c r="P8209" s="10" t="s">
        <v>38297</v>
      </c>
      <c r="Q8209" s="10" t="s">
        <v>38298</v>
      </c>
      <c r="R8209" s="10" t="s">
        <v>38299</v>
      </c>
      <c r="S8209" s="10" t="s">
        <v>53</v>
      </c>
      <c r="T8209" s="10" t="s">
        <v>54</v>
      </c>
    </row>
    <row r="8210" spans="1:20" ht="14.5" x14ac:dyDescent="0.35">
      <c r="A8210" s="10" t="s">
        <v>38300</v>
      </c>
      <c r="B8210" s="10" t="str">
        <f>"9780791471975"</f>
        <v>9780791471975</v>
      </c>
      <c r="C8210" s="10" t="str">
        <f>"9780791479605"</f>
        <v>9780791479605</v>
      </c>
      <c r="D8210" s="10" t="s">
        <v>37676</v>
      </c>
      <c r="E8210" s="10" t="s">
        <v>37677</v>
      </c>
      <c r="F8210" s="10" t="s">
        <v>5707</v>
      </c>
      <c r="G8210" s="10" t="s">
        <v>6317</v>
      </c>
      <c r="H8210" s="11">
        <v>39303</v>
      </c>
      <c r="I8210" s="10">
        <v>2012</v>
      </c>
      <c r="J8210" s="10" t="s">
        <v>37677</v>
      </c>
      <c r="K8210" s="10">
        <v>194</v>
      </c>
      <c r="L8210" s="10" t="s">
        <v>38301</v>
      </c>
      <c r="M8210" s="10">
        <v>1</v>
      </c>
      <c r="N8210" s="10"/>
      <c r="O8210" s="10"/>
      <c r="P8210" s="10" t="s">
        <v>38302</v>
      </c>
      <c r="Q8210" s="10" t="s">
        <v>7335</v>
      </c>
      <c r="R8210" s="10"/>
      <c r="S8210" s="10" t="s">
        <v>53</v>
      </c>
      <c r="T8210" s="10" t="s">
        <v>54</v>
      </c>
    </row>
    <row r="8211" spans="1:20" ht="14.5" x14ac:dyDescent="0.35">
      <c r="A8211" s="10" t="s">
        <v>38303</v>
      </c>
      <c r="B8211" s="10" t="str">
        <f>"9780791470374"</f>
        <v>9780791470374</v>
      </c>
      <c r="C8211" s="10" t="str">
        <f>"9780791480373"</f>
        <v>9780791480373</v>
      </c>
      <c r="D8211" s="10" t="s">
        <v>37676</v>
      </c>
      <c r="E8211" s="10" t="s">
        <v>37677</v>
      </c>
      <c r="F8211" s="10" t="s">
        <v>5707</v>
      </c>
      <c r="G8211" s="10" t="s">
        <v>6317</v>
      </c>
      <c r="H8211" s="11">
        <v>39163</v>
      </c>
      <c r="I8211" s="10">
        <v>2012</v>
      </c>
      <c r="J8211" s="10" t="s">
        <v>37677</v>
      </c>
      <c r="K8211" s="10">
        <v>190</v>
      </c>
      <c r="L8211" s="10" t="s">
        <v>38304</v>
      </c>
      <c r="M8211" s="10">
        <v>1</v>
      </c>
      <c r="N8211" s="10"/>
      <c r="O8211" s="10"/>
      <c r="P8211" s="10"/>
      <c r="Q8211" s="10">
        <v>808</v>
      </c>
      <c r="R8211" s="10"/>
      <c r="S8211" s="10" t="s">
        <v>53</v>
      </c>
      <c r="T8211" s="10" t="s">
        <v>1166</v>
      </c>
    </row>
    <row r="8212" spans="1:20" ht="14.5" x14ac:dyDescent="0.35">
      <c r="A8212" s="10" t="s">
        <v>38305</v>
      </c>
      <c r="B8212" s="10" t="str">
        <f>"9780791470930"</f>
        <v>9780791470930</v>
      </c>
      <c r="C8212" s="10" t="str">
        <f>"9780791480144"</f>
        <v>9780791480144</v>
      </c>
      <c r="D8212" s="10" t="s">
        <v>37676</v>
      </c>
      <c r="E8212" s="10" t="s">
        <v>37677</v>
      </c>
      <c r="F8212" s="10" t="s">
        <v>5707</v>
      </c>
      <c r="G8212" s="10" t="s">
        <v>6317</v>
      </c>
      <c r="H8212" s="11">
        <v>39177</v>
      </c>
      <c r="I8212" s="10">
        <v>2012</v>
      </c>
      <c r="J8212" s="10" t="s">
        <v>37677</v>
      </c>
      <c r="K8212" s="10">
        <v>378</v>
      </c>
      <c r="L8212" s="10" t="s">
        <v>38306</v>
      </c>
      <c r="M8212" s="10">
        <v>1</v>
      </c>
      <c r="N8212" s="10" t="s">
        <v>38039</v>
      </c>
      <c r="O8212" s="10"/>
      <c r="P8212" s="10"/>
      <c r="Q8212" s="10" t="s">
        <v>8011</v>
      </c>
      <c r="R8212" s="10"/>
      <c r="S8212" s="10" t="s">
        <v>53</v>
      </c>
      <c r="T8212" s="10" t="s">
        <v>6363</v>
      </c>
    </row>
    <row r="8213" spans="1:20" ht="14.5" x14ac:dyDescent="0.35">
      <c r="A8213" s="10" t="s">
        <v>38307</v>
      </c>
      <c r="B8213" s="10" t="str">
        <f>"9780791463970"</f>
        <v>9780791463970</v>
      </c>
      <c r="C8213" s="10" t="str">
        <f>"9780791483541"</f>
        <v>9780791483541</v>
      </c>
      <c r="D8213" s="10" t="s">
        <v>37676</v>
      </c>
      <c r="E8213" s="10" t="s">
        <v>37677</v>
      </c>
      <c r="F8213" s="10" t="s">
        <v>5707</v>
      </c>
      <c r="G8213" s="10" t="s">
        <v>6317</v>
      </c>
      <c r="H8213" s="11">
        <v>38538</v>
      </c>
      <c r="I8213" s="10">
        <v>2012</v>
      </c>
      <c r="J8213" s="10" t="s">
        <v>37677</v>
      </c>
      <c r="K8213" s="10">
        <v>260</v>
      </c>
      <c r="L8213" s="10" t="s">
        <v>38308</v>
      </c>
      <c r="M8213" s="10">
        <v>1</v>
      </c>
      <c r="N8213" s="10"/>
      <c r="O8213" s="10"/>
      <c r="P8213" s="10"/>
      <c r="Q8213" s="10" t="s">
        <v>37782</v>
      </c>
      <c r="R8213" s="10"/>
      <c r="S8213" s="10" t="s">
        <v>53</v>
      </c>
      <c r="T8213" s="10" t="s">
        <v>54</v>
      </c>
    </row>
    <row r="8214" spans="1:20" ht="14.5" x14ac:dyDescent="0.35">
      <c r="A8214" s="10" t="s">
        <v>38309</v>
      </c>
      <c r="B8214" s="10" t="str">
        <f>"9780791467213"</f>
        <v>9780791467213</v>
      </c>
      <c r="C8214" s="10" t="str">
        <f>"9780791481882"</f>
        <v>9780791481882</v>
      </c>
      <c r="D8214" s="10" t="s">
        <v>37676</v>
      </c>
      <c r="E8214" s="10" t="s">
        <v>37677</v>
      </c>
      <c r="F8214" s="10" t="s">
        <v>5707</v>
      </c>
      <c r="G8214" s="10" t="s">
        <v>6317</v>
      </c>
      <c r="H8214" s="11">
        <v>38901</v>
      </c>
      <c r="I8214" s="10">
        <v>2012</v>
      </c>
      <c r="J8214" s="10" t="s">
        <v>37677</v>
      </c>
      <c r="K8214" s="10">
        <v>220</v>
      </c>
      <c r="L8214" s="10" t="s">
        <v>38310</v>
      </c>
      <c r="M8214" s="10">
        <v>1</v>
      </c>
      <c r="N8214" s="10"/>
      <c r="O8214" s="10"/>
      <c r="P8214" s="10"/>
      <c r="Q8214" s="10" t="s">
        <v>38311</v>
      </c>
      <c r="R8214" s="10"/>
      <c r="S8214" s="10" t="s">
        <v>53</v>
      </c>
      <c r="T8214" s="10" t="s">
        <v>54</v>
      </c>
    </row>
    <row r="8215" spans="1:20" ht="14.5" x14ac:dyDescent="0.35">
      <c r="A8215" s="10" t="s">
        <v>38312</v>
      </c>
      <c r="B8215" s="10" t="str">
        <f>"9780791468753"</f>
        <v>9780791468753</v>
      </c>
      <c r="C8215" s="10" t="str">
        <f>"9780791481264"</f>
        <v>9780791481264</v>
      </c>
      <c r="D8215" s="10" t="s">
        <v>37676</v>
      </c>
      <c r="E8215" s="10" t="s">
        <v>37677</v>
      </c>
      <c r="F8215" s="10" t="s">
        <v>5707</v>
      </c>
      <c r="G8215" s="10" t="s">
        <v>6317</v>
      </c>
      <c r="H8215" s="11">
        <v>38988</v>
      </c>
      <c r="I8215" s="10">
        <v>2012</v>
      </c>
      <c r="J8215" s="10" t="s">
        <v>37677</v>
      </c>
      <c r="K8215" s="10">
        <v>226</v>
      </c>
      <c r="L8215" s="10" t="s">
        <v>22388</v>
      </c>
      <c r="M8215" s="10">
        <v>1</v>
      </c>
      <c r="N8215" s="10" t="s">
        <v>37680</v>
      </c>
      <c r="O8215" s="10"/>
      <c r="P8215" s="10"/>
      <c r="Q8215" s="10" t="s">
        <v>14612</v>
      </c>
      <c r="R8215" s="10"/>
      <c r="S8215" s="10" t="s">
        <v>53</v>
      </c>
      <c r="T8215" s="10" t="s">
        <v>54</v>
      </c>
    </row>
    <row r="8216" spans="1:20" ht="14.5" x14ac:dyDescent="0.35">
      <c r="A8216" s="10" t="s">
        <v>38313</v>
      </c>
      <c r="B8216" s="10" t="str">
        <f>"9780791468395"</f>
        <v>9780791468395</v>
      </c>
      <c r="C8216" s="10" t="str">
        <f>"9780791481349"</f>
        <v>9780791481349</v>
      </c>
      <c r="D8216" s="10" t="s">
        <v>37676</v>
      </c>
      <c r="E8216" s="10" t="s">
        <v>37677</v>
      </c>
      <c r="F8216" s="10" t="s">
        <v>5707</v>
      </c>
      <c r="G8216" s="10" t="s">
        <v>6317</v>
      </c>
      <c r="H8216" s="11">
        <v>39002</v>
      </c>
      <c r="I8216" s="10">
        <v>2012</v>
      </c>
      <c r="J8216" s="10" t="s">
        <v>37677</v>
      </c>
      <c r="K8216" s="10">
        <v>230</v>
      </c>
      <c r="L8216" s="10" t="s">
        <v>38314</v>
      </c>
      <c r="M8216" s="10">
        <v>1</v>
      </c>
      <c r="N8216" s="10" t="s">
        <v>37680</v>
      </c>
      <c r="O8216" s="10"/>
      <c r="P8216" s="10"/>
      <c r="Q8216" s="10" t="s">
        <v>16754</v>
      </c>
      <c r="R8216" s="10"/>
      <c r="S8216" s="10" t="s">
        <v>53</v>
      </c>
      <c r="T8216" s="10" t="s">
        <v>10311</v>
      </c>
    </row>
    <row r="8217" spans="1:20" ht="14.5" x14ac:dyDescent="0.35">
      <c r="A8217" s="10" t="s">
        <v>38315</v>
      </c>
      <c r="B8217" s="10" t="str">
        <f>"9780791467671"</f>
        <v>9780791467671</v>
      </c>
      <c r="C8217" s="10" t="str">
        <f>"9780791481745"</f>
        <v>9780791481745</v>
      </c>
      <c r="D8217" s="10" t="s">
        <v>37676</v>
      </c>
      <c r="E8217" s="10" t="s">
        <v>37677</v>
      </c>
      <c r="F8217" s="10" t="s">
        <v>5707</v>
      </c>
      <c r="G8217" s="10" t="s">
        <v>6317</v>
      </c>
      <c r="H8217" s="11">
        <v>38855</v>
      </c>
      <c r="I8217" s="10">
        <v>2012</v>
      </c>
      <c r="J8217" s="10" t="s">
        <v>37677</v>
      </c>
      <c r="K8217" s="10">
        <v>290</v>
      </c>
      <c r="L8217" s="10" t="s">
        <v>38316</v>
      </c>
      <c r="M8217" s="10">
        <v>1</v>
      </c>
      <c r="N8217" s="10" t="s">
        <v>38039</v>
      </c>
      <c r="O8217" s="10"/>
      <c r="P8217" s="10"/>
      <c r="Q8217" s="10" t="s">
        <v>38317</v>
      </c>
      <c r="R8217" s="10"/>
      <c r="S8217" s="10" t="s">
        <v>53</v>
      </c>
      <c r="T8217" s="10" t="s">
        <v>6363</v>
      </c>
    </row>
    <row r="8218" spans="1:20" ht="14.5" x14ac:dyDescent="0.35">
      <c r="A8218" s="10" t="s">
        <v>38318</v>
      </c>
      <c r="B8218" s="10" t="str">
        <f>"9780791462478"</f>
        <v>9780791462478</v>
      </c>
      <c r="C8218" s="10" t="str">
        <f>"9780791484296"</f>
        <v>9780791484296</v>
      </c>
      <c r="D8218" s="10" t="s">
        <v>37676</v>
      </c>
      <c r="E8218" s="10" t="s">
        <v>37677</v>
      </c>
      <c r="F8218" s="10" t="s">
        <v>2536</v>
      </c>
      <c r="G8218" s="10" t="s">
        <v>6317</v>
      </c>
      <c r="H8218" s="11">
        <v>38274</v>
      </c>
      <c r="I8218" s="10">
        <v>2004</v>
      </c>
      <c r="J8218" s="10" t="s">
        <v>37678</v>
      </c>
      <c r="K8218" s="10">
        <v>181</v>
      </c>
      <c r="L8218" s="10" t="s">
        <v>38319</v>
      </c>
      <c r="M8218" s="10">
        <v>1</v>
      </c>
      <c r="N8218" s="10"/>
      <c r="O8218" s="10"/>
      <c r="P8218" s="10" t="s">
        <v>38320</v>
      </c>
      <c r="Q8218" s="10" t="s">
        <v>13186</v>
      </c>
      <c r="R8218" s="10" t="s">
        <v>38321</v>
      </c>
      <c r="S8218" s="10" t="s">
        <v>53</v>
      </c>
      <c r="T8218" s="10" t="s">
        <v>54</v>
      </c>
    </row>
    <row r="8219" spans="1:20" ht="14.5" x14ac:dyDescent="0.35">
      <c r="A8219" s="10" t="s">
        <v>38322</v>
      </c>
      <c r="B8219" s="10" t="str">
        <f>"9780791462119"</f>
        <v>9780791462119</v>
      </c>
      <c r="C8219" s="10" t="str">
        <f>"9780791484463"</f>
        <v>9780791484463</v>
      </c>
      <c r="D8219" s="10" t="s">
        <v>37676</v>
      </c>
      <c r="E8219" s="10" t="s">
        <v>37677</v>
      </c>
      <c r="F8219" s="10" t="s">
        <v>5707</v>
      </c>
      <c r="G8219" s="10" t="s">
        <v>6317</v>
      </c>
      <c r="H8219" s="11">
        <v>38393</v>
      </c>
      <c r="I8219" s="10">
        <v>2012</v>
      </c>
      <c r="J8219" s="10" t="s">
        <v>37677</v>
      </c>
      <c r="K8219" s="10">
        <v>303</v>
      </c>
      <c r="L8219" s="10" t="s">
        <v>38323</v>
      </c>
      <c r="M8219" s="10">
        <v>1</v>
      </c>
      <c r="N8219" s="10"/>
      <c r="O8219" s="10"/>
      <c r="P8219" s="10"/>
      <c r="Q8219" s="10" t="s">
        <v>38324</v>
      </c>
      <c r="R8219" s="10"/>
      <c r="S8219" s="10" t="s">
        <v>53</v>
      </c>
      <c r="T8219" s="10" t="s">
        <v>54</v>
      </c>
    </row>
    <row r="8220" spans="1:20" ht="14.5" x14ac:dyDescent="0.35">
      <c r="A8220" s="10" t="s">
        <v>38325</v>
      </c>
      <c r="B8220" s="10" t="str">
        <f>"9780791462355"</f>
        <v>9780791462355</v>
      </c>
      <c r="C8220" s="10" t="str">
        <f>"9780791484326"</f>
        <v>9780791484326</v>
      </c>
      <c r="D8220" s="10" t="s">
        <v>37676</v>
      </c>
      <c r="E8220" s="10" t="s">
        <v>37677</v>
      </c>
      <c r="F8220" s="10" t="s">
        <v>5707</v>
      </c>
      <c r="G8220" s="10" t="s">
        <v>6317</v>
      </c>
      <c r="H8220" s="11">
        <v>38274</v>
      </c>
      <c r="I8220" s="10">
        <v>2012</v>
      </c>
      <c r="J8220" s="10" t="s">
        <v>37677</v>
      </c>
      <c r="K8220" s="10">
        <v>330</v>
      </c>
      <c r="L8220" s="10" t="s">
        <v>38326</v>
      </c>
      <c r="M8220" s="10">
        <v>1</v>
      </c>
      <c r="N8220" s="10"/>
      <c r="O8220" s="10"/>
      <c r="P8220" s="10"/>
      <c r="Q8220" s="10"/>
      <c r="R8220" s="10"/>
      <c r="S8220" s="10" t="s">
        <v>53</v>
      </c>
      <c r="T8220" s="10" t="s">
        <v>4859</v>
      </c>
    </row>
    <row r="8221" spans="1:20" ht="14.5" x14ac:dyDescent="0.35">
      <c r="A8221" s="10" t="s">
        <v>38327</v>
      </c>
      <c r="B8221" s="10" t="str">
        <f>"9780791467411"</f>
        <v>9780791467411</v>
      </c>
      <c r="C8221" s="10" t="str">
        <f>"9780791481837"</f>
        <v>9780791481837</v>
      </c>
      <c r="D8221" s="10" t="s">
        <v>37676</v>
      </c>
      <c r="E8221" s="10" t="s">
        <v>37677</v>
      </c>
      <c r="F8221" s="10" t="s">
        <v>5707</v>
      </c>
      <c r="G8221" s="10" t="s">
        <v>6317</v>
      </c>
      <c r="H8221" s="11">
        <v>38883</v>
      </c>
      <c r="I8221" s="10">
        <v>2012</v>
      </c>
      <c r="J8221" s="10" t="s">
        <v>37677</v>
      </c>
      <c r="K8221" s="10">
        <v>250</v>
      </c>
      <c r="L8221" s="10" t="s">
        <v>38328</v>
      </c>
      <c r="M8221" s="10">
        <v>1</v>
      </c>
      <c r="N8221" s="10"/>
      <c r="O8221" s="10"/>
      <c r="P8221" s="10"/>
      <c r="Q8221" s="10"/>
      <c r="R8221" s="10"/>
      <c r="S8221" s="10" t="s">
        <v>53</v>
      </c>
      <c r="T8221" s="10" t="s">
        <v>54</v>
      </c>
    </row>
    <row r="8222" spans="1:20" ht="14.5" x14ac:dyDescent="0.35">
      <c r="A8222" s="10" t="s">
        <v>38329</v>
      </c>
      <c r="B8222" s="10" t="str">
        <f>"9780791467954"</f>
        <v>9780791467954</v>
      </c>
      <c r="C8222" s="10" t="str">
        <f>"9780791481530"</f>
        <v>9780791481530</v>
      </c>
      <c r="D8222" s="10" t="s">
        <v>37676</v>
      </c>
      <c r="E8222" s="10" t="s">
        <v>37677</v>
      </c>
      <c r="F8222" s="10" t="s">
        <v>5707</v>
      </c>
      <c r="G8222" s="10" t="s">
        <v>6317</v>
      </c>
      <c r="H8222" s="11">
        <v>38904</v>
      </c>
      <c r="I8222" s="10">
        <v>2012</v>
      </c>
      <c r="J8222" s="10" t="s">
        <v>37677</v>
      </c>
      <c r="K8222" s="10">
        <v>172</v>
      </c>
      <c r="L8222" s="10" t="s">
        <v>38330</v>
      </c>
      <c r="M8222" s="10">
        <v>1</v>
      </c>
      <c r="N8222" s="10"/>
      <c r="O8222" s="10"/>
      <c r="P8222" s="10"/>
      <c r="Q8222" s="10"/>
      <c r="R8222" s="10"/>
      <c r="S8222" s="10" t="s">
        <v>53</v>
      </c>
      <c r="T8222" s="10" t="s">
        <v>54</v>
      </c>
    </row>
    <row r="8223" spans="1:20" ht="14.5" x14ac:dyDescent="0.35">
      <c r="A8223" s="10" t="s">
        <v>38331</v>
      </c>
      <c r="B8223" s="10" t="str">
        <f>"9780791463291"</f>
        <v>9780791463291</v>
      </c>
      <c r="C8223" s="10" t="str">
        <f>"9780791483879"</f>
        <v>9780791483879</v>
      </c>
      <c r="D8223" s="10" t="s">
        <v>37676</v>
      </c>
      <c r="E8223" s="10" t="s">
        <v>37677</v>
      </c>
      <c r="F8223" s="10" t="s">
        <v>5707</v>
      </c>
      <c r="G8223" s="10" t="s">
        <v>6317</v>
      </c>
      <c r="H8223" s="11">
        <v>38407</v>
      </c>
      <c r="I8223" s="10">
        <v>2012</v>
      </c>
      <c r="J8223" s="10" t="s">
        <v>37677</v>
      </c>
      <c r="K8223" s="10">
        <v>304</v>
      </c>
      <c r="L8223" s="10" t="s">
        <v>38332</v>
      </c>
      <c r="M8223" s="10">
        <v>1</v>
      </c>
      <c r="N8223" s="10" t="s">
        <v>38039</v>
      </c>
      <c r="O8223" s="10"/>
      <c r="P8223" s="10" t="s">
        <v>38333</v>
      </c>
      <c r="Q8223" s="10" t="s">
        <v>8391</v>
      </c>
      <c r="R8223" s="10"/>
      <c r="S8223" s="10" t="s">
        <v>53</v>
      </c>
      <c r="T8223" s="10" t="s">
        <v>389</v>
      </c>
    </row>
    <row r="8224" spans="1:20" ht="14.5" x14ac:dyDescent="0.35">
      <c r="A8224" s="10" t="s">
        <v>38334</v>
      </c>
      <c r="B8224" s="10" t="str">
        <f>"9780791461914"</f>
        <v>9780791461914</v>
      </c>
      <c r="C8224" s="10" t="str">
        <f>"9780791484500"</f>
        <v>9780791484500</v>
      </c>
      <c r="D8224" s="10" t="s">
        <v>37676</v>
      </c>
      <c r="E8224" s="10" t="s">
        <v>37677</v>
      </c>
      <c r="F8224" s="10" t="s">
        <v>5707</v>
      </c>
      <c r="G8224" s="10" t="s">
        <v>6317</v>
      </c>
      <c r="H8224" s="11">
        <v>38323</v>
      </c>
      <c r="I8224" s="10">
        <v>2012</v>
      </c>
      <c r="J8224" s="10" t="s">
        <v>37677</v>
      </c>
      <c r="K8224" s="10">
        <v>160</v>
      </c>
      <c r="L8224" s="10" t="s">
        <v>38335</v>
      </c>
      <c r="M8224" s="10">
        <v>1</v>
      </c>
      <c r="N8224" s="10"/>
      <c r="O8224" s="10"/>
      <c r="P8224" s="10"/>
      <c r="Q8224" s="10" t="s">
        <v>13332</v>
      </c>
      <c r="R8224" s="10"/>
      <c r="S8224" s="10" t="s">
        <v>53</v>
      </c>
      <c r="T8224" s="10" t="s">
        <v>54</v>
      </c>
    </row>
    <row r="8225" spans="1:20" ht="14.5" x14ac:dyDescent="0.35">
      <c r="A8225" s="10" t="s">
        <v>38336</v>
      </c>
      <c r="B8225" s="10" t="str">
        <f>"9780791467176"</f>
        <v>9780791467176</v>
      </c>
      <c r="C8225" s="10" t="str">
        <f>"9780791481844"</f>
        <v>9780791481844</v>
      </c>
      <c r="D8225" s="10" t="s">
        <v>37676</v>
      </c>
      <c r="E8225" s="10" t="s">
        <v>37677</v>
      </c>
      <c r="F8225" s="10" t="s">
        <v>5707</v>
      </c>
      <c r="G8225" s="10" t="s">
        <v>6317</v>
      </c>
      <c r="H8225" s="11">
        <v>38799</v>
      </c>
      <c r="I8225" s="10">
        <v>2012</v>
      </c>
      <c r="J8225" s="10" t="s">
        <v>37677</v>
      </c>
      <c r="K8225" s="10">
        <v>170</v>
      </c>
      <c r="L8225" s="10" t="s">
        <v>38337</v>
      </c>
      <c r="M8225" s="10">
        <v>1</v>
      </c>
      <c r="N8225" s="10" t="s">
        <v>37715</v>
      </c>
      <c r="O8225" s="10"/>
      <c r="P8225" s="10"/>
      <c r="Q8225" s="10">
        <v>370.71100000000001</v>
      </c>
      <c r="R8225" s="10"/>
      <c r="S8225" s="10" t="s">
        <v>53</v>
      </c>
      <c r="T8225" s="10" t="s">
        <v>54</v>
      </c>
    </row>
    <row r="8226" spans="1:20" ht="14.5" x14ac:dyDescent="0.35">
      <c r="A8226" s="10" t="s">
        <v>38338</v>
      </c>
      <c r="B8226" s="10" t="str">
        <f>"9780791468258"</f>
        <v>9780791468258</v>
      </c>
      <c r="C8226" s="10" t="str">
        <f>"9780791481462"</f>
        <v>9780791481462</v>
      </c>
      <c r="D8226" s="10" t="s">
        <v>37676</v>
      </c>
      <c r="E8226" s="10" t="s">
        <v>37677</v>
      </c>
      <c r="F8226" s="10" t="s">
        <v>5707</v>
      </c>
      <c r="G8226" s="10" t="s">
        <v>6317</v>
      </c>
      <c r="H8226" s="11">
        <v>38911</v>
      </c>
      <c r="I8226" s="10">
        <v>2012</v>
      </c>
      <c r="J8226" s="10" t="s">
        <v>37677</v>
      </c>
      <c r="K8226" s="10">
        <v>250</v>
      </c>
      <c r="L8226" s="10" t="s">
        <v>38339</v>
      </c>
      <c r="M8226" s="10">
        <v>1</v>
      </c>
      <c r="N8226" s="10" t="s">
        <v>37950</v>
      </c>
      <c r="O8226" s="10"/>
      <c r="P8226" s="10"/>
      <c r="Q8226" s="10">
        <v>305.23</v>
      </c>
      <c r="R8226" s="10"/>
      <c r="S8226" s="10" t="s">
        <v>53</v>
      </c>
      <c r="T8226" s="10" t="s">
        <v>6363</v>
      </c>
    </row>
    <row r="8227" spans="1:20" ht="14.5" x14ac:dyDescent="0.35">
      <c r="A8227" s="10" t="s">
        <v>38340</v>
      </c>
      <c r="B8227" s="10" t="str">
        <f>"9780791464939"</f>
        <v>9780791464939</v>
      </c>
      <c r="C8227" s="10" t="str">
        <f>"9780791482988"</f>
        <v>9780791482988</v>
      </c>
      <c r="D8227" s="10" t="s">
        <v>37676</v>
      </c>
      <c r="E8227" s="10" t="s">
        <v>37677</v>
      </c>
      <c r="F8227" s="10" t="s">
        <v>5707</v>
      </c>
      <c r="G8227" s="10" t="s">
        <v>6317</v>
      </c>
      <c r="H8227" s="11">
        <v>38538</v>
      </c>
      <c r="I8227" s="10">
        <v>2012</v>
      </c>
      <c r="J8227" s="10" t="s">
        <v>37677</v>
      </c>
      <c r="K8227" s="10">
        <v>217</v>
      </c>
      <c r="L8227" s="10" t="s">
        <v>15901</v>
      </c>
      <c r="M8227" s="10">
        <v>1</v>
      </c>
      <c r="N8227" s="10" t="s">
        <v>37706</v>
      </c>
      <c r="O8227" s="10"/>
      <c r="P8227" s="10"/>
      <c r="Q8227" s="10" t="s">
        <v>38341</v>
      </c>
      <c r="R8227" s="10"/>
      <c r="S8227" s="10" t="s">
        <v>53</v>
      </c>
      <c r="T8227" s="10" t="s">
        <v>54</v>
      </c>
    </row>
    <row r="8228" spans="1:20" ht="14.5" x14ac:dyDescent="0.35">
      <c r="A8228" s="10" t="s">
        <v>38342</v>
      </c>
      <c r="B8228" s="10" t="str">
        <f>"9780791468630"</f>
        <v>9780791468630</v>
      </c>
      <c r="C8228" s="10" t="str">
        <f>"9780791481233"</f>
        <v>9780791481233</v>
      </c>
      <c r="D8228" s="10" t="s">
        <v>37676</v>
      </c>
      <c r="E8228" s="10" t="s">
        <v>37677</v>
      </c>
      <c r="F8228" s="10" t="s">
        <v>5707</v>
      </c>
      <c r="G8228" s="10" t="s">
        <v>6317</v>
      </c>
      <c r="H8228" s="11">
        <v>38974</v>
      </c>
      <c r="I8228" s="10">
        <v>2012</v>
      </c>
      <c r="J8228" s="10" t="s">
        <v>37677</v>
      </c>
      <c r="K8228" s="10">
        <v>316</v>
      </c>
      <c r="L8228" s="10" t="s">
        <v>38343</v>
      </c>
      <c r="M8228" s="10">
        <v>1</v>
      </c>
      <c r="N8228" s="10" t="s">
        <v>37680</v>
      </c>
      <c r="O8228" s="10"/>
      <c r="P8228" s="10"/>
      <c r="Q8228" s="10"/>
      <c r="R8228" s="10"/>
      <c r="S8228" s="10" t="s">
        <v>53</v>
      </c>
      <c r="T8228" s="10" t="s">
        <v>54</v>
      </c>
    </row>
    <row r="8229" spans="1:20" ht="14.5" x14ac:dyDescent="0.35">
      <c r="A8229" s="10" t="s">
        <v>38344</v>
      </c>
      <c r="B8229" s="10" t="str">
        <f>"9780791466858"</f>
        <v>9780791466858</v>
      </c>
      <c r="C8229" s="10" t="str">
        <f>"9780791482056"</f>
        <v>9780791482056</v>
      </c>
      <c r="D8229" s="10" t="s">
        <v>37676</v>
      </c>
      <c r="E8229" s="10" t="s">
        <v>37677</v>
      </c>
      <c r="F8229" s="10" t="s">
        <v>5707</v>
      </c>
      <c r="G8229" s="10" t="s">
        <v>6317</v>
      </c>
      <c r="H8229" s="11">
        <v>38764</v>
      </c>
      <c r="I8229" s="10">
        <v>2012</v>
      </c>
      <c r="J8229" s="10" t="s">
        <v>37677</v>
      </c>
      <c r="K8229" s="10">
        <v>184</v>
      </c>
      <c r="L8229" s="10" t="s">
        <v>34576</v>
      </c>
      <c r="M8229" s="10">
        <v>1</v>
      </c>
      <c r="N8229" s="10" t="s">
        <v>37727</v>
      </c>
      <c r="O8229" s="10"/>
      <c r="P8229" s="10" t="s">
        <v>38345</v>
      </c>
      <c r="Q8229" s="10" t="s">
        <v>9007</v>
      </c>
      <c r="R8229" s="10"/>
      <c r="S8229" s="10" t="s">
        <v>53</v>
      </c>
      <c r="T8229" s="10" t="s">
        <v>54</v>
      </c>
    </row>
    <row r="8230" spans="1:20" ht="14.5" x14ac:dyDescent="0.35">
      <c r="A8230" s="10" t="s">
        <v>38346</v>
      </c>
      <c r="B8230" s="10" t="str">
        <f>"9780791463574"</f>
        <v>9780791463574</v>
      </c>
      <c r="C8230" s="10" t="str">
        <f>"9780791483749"</f>
        <v>9780791483749</v>
      </c>
      <c r="D8230" s="10" t="s">
        <v>37676</v>
      </c>
      <c r="E8230" s="10" t="s">
        <v>37677</v>
      </c>
      <c r="F8230" s="10" t="s">
        <v>5707</v>
      </c>
      <c r="G8230" s="10" t="s">
        <v>6317</v>
      </c>
      <c r="H8230" s="11">
        <v>38393</v>
      </c>
      <c r="I8230" s="10">
        <v>2012</v>
      </c>
      <c r="J8230" s="10" t="s">
        <v>37677</v>
      </c>
      <c r="K8230" s="10">
        <v>334</v>
      </c>
      <c r="L8230" s="10" t="s">
        <v>38347</v>
      </c>
      <c r="M8230" s="10">
        <v>1</v>
      </c>
      <c r="N8230" s="10" t="s">
        <v>37715</v>
      </c>
      <c r="O8230" s="10"/>
      <c r="P8230" s="10"/>
      <c r="Q8230" s="10" t="s">
        <v>8993</v>
      </c>
      <c r="R8230" s="10"/>
      <c r="S8230" s="10" t="s">
        <v>53</v>
      </c>
      <c r="T8230" s="10" t="s">
        <v>54</v>
      </c>
    </row>
    <row r="8231" spans="1:20" ht="14.5" x14ac:dyDescent="0.35">
      <c r="A8231" s="10" t="s">
        <v>38348</v>
      </c>
      <c r="B8231" s="10" t="str">
        <f>"9780791463796"</f>
        <v>9780791463796</v>
      </c>
      <c r="C8231" s="10" t="str">
        <f>"9780791483589"</f>
        <v>9780791483589</v>
      </c>
      <c r="D8231" s="10" t="s">
        <v>37676</v>
      </c>
      <c r="E8231" s="10" t="s">
        <v>37677</v>
      </c>
      <c r="F8231" s="10" t="s">
        <v>5707</v>
      </c>
      <c r="G8231" s="10" t="s">
        <v>6317</v>
      </c>
      <c r="H8231" s="11">
        <v>38428</v>
      </c>
      <c r="I8231" s="10">
        <v>2012</v>
      </c>
      <c r="J8231" s="10" t="s">
        <v>37677</v>
      </c>
      <c r="K8231" s="10">
        <v>236</v>
      </c>
      <c r="L8231" s="10" t="s">
        <v>38349</v>
      </c>
      <c r="M8231" s="10">
        <v>1</v>
      </c>
      <c r="N8231" s="10"/>
      <c r="O8231" s="10"/>
      <c r="P8231" s="10"/>
      <c r="Q8231" s="10" t="s">
        <v>38350</v>
      </c>
      <c r="R8231" s="10"/>
      <c r="S8231" s="10" t="s">
        <v>53</v>
      </c>
      <c r="T8231" s="10" t="s">
        <v>54</v>
      </c>
    </row>
    <row r="8232" spans="1:20" ht="14.5" x14ac:dyDescent="0.35">
      <c r="A8232" s="10" t="s">
        <v>38351</v>
      </c>
      <c r="B8232" s="10" t="str">
        <f>"9780791463215"</f>
        <v>9780791463215</v>
      </c>
      <c r="C8232" s="10" t="str">
        <f>"9780791483916"</f>
        <v>9780791483916</v>
      </c>
      <c r="D8232" s="10" t="s">
        <v>37676</v>
      </c>
      <c r="E8232" s="10" t="s">
        <v>37677</v>
      </c>
      <c r="F8232" s="10" t="s">
        <v>5707</v>
      </c>
      <c r="G8232" s="10" t="s">
        <v>6317</v>
      </c>
      <c r="H8232" s="11">
        <v>38351</v>
      </c>
      <c r="I8232" s="10">
        <v>2012</v>
      </c>
      <c r="J8232" s="10" t="s">
        <v>37677</v>
      </c>
      <c r="K8232" s="10">
        <v>262</v>
      </c>
      <c r="L8232" s="10" t="s">
        <v>38352</v>
      </c>
      <c r="M8232" s="10">
        <v>1</v>
      </c>
      <c r="N8232" s="10" t="s">
        <v>38353</v>
      </c>
      <c r="O8232" s="10"/>
      <c r="P8232" s="10"/>
      <c r="Q8232" s="10" t="s">
        <v>20790</v>
      </c>
      <c r="R8232" s="10"/>
      <c r="S8232" s="10" t="s">
        <v>53</v>
      </c>
      <c r="T8232" s="10" t="s">
        <v>54</v>
      </c>
    </row>
    <row r="8233" spans="1:20" ht="14.5" x14ac:dyDescent="0.35">
      <c r="A8233" s="10" t="s">
        <v>38354</v>
      </c>
      <c r="B8233" s="10" t="str">
        <f>"9780791467718"</f>
        <v>9780791467718</v>
      </c>
      <c r="C8233" s="10" t="str">
        <f>"9780791481721"</f>
        <v>9780791481721</v>
      </c>
      <c r="D8233" s="10" t="s">
        <v>37676</v>
      </c>
      <c r="E8233" s="10" t="s">
        <v>37677</v>
      </c>
      <c r="F8233" s="10" t="s">
        <v>5707</v>
      </c>
      <c r="G8233" s="10" t="s">
        <v>6317</v>
      </c>
      <c r="H8233" s="11">
        <v>38841</v>
      </c>
      <c r="I8233" s="10">
        <v>2012</v>
      </c>
      <c r="J8233" s="10" t="s">
        <v>37677</v>
      </c>
      <c r="K8233" s="10">
        <v>156</v>
      </c>
      <c r="L8233" s="10" t="s">
        <v>38355</v>
      </c>
      <c r="M8233" s="10">
        <v>1</v>
      </c>
      <c r="N8233" s="10"/>
      <c r="O8233" s="10"/>
      <c r="P8233" s="10"/>
      <c r="Q8233" s="10" t="s">
        <v>7147</v>
      </c>
      <c r="R8233" s="10"/>
      <c r="S8233" s="10" t="s">
        <v>53</v>
      </c>
      <c r="T8233" s="10" t="s">
        <v>54</v>
      </c>
    </row>
    <row r="8234" spans="1:20" ht="14.5" x14ac:dyDescent="0.35">
      <c r="A8234" s="10" t="s">
        <v>38356</v>
      </c>
      <c r="B8234" s="10" t="str">
        <f>"9780791465936"</f>
        <v>9780791465936</v>
      </c>
      <c r="C8234" s="10" t="str">
        <f>"9780791482544"</f>
        <v>9780791482544</v>
      </c>
      <c r="D8234" s="10" t="s">
        <v>37676</v>
      </c>
      <c r="E8234" s="10" t="s">
        <v>37677</v>
      </c>
      <c r="F8234" s="10" t="s">
        <v>5707</v>
      </c>
      <c r="G8234" s="10" t="s">
        <v>6317</v>
      </c>
      <c r="H8234" s="11">
        <v>38659</v>
      </c>
      <c r="I8234" s="10">
        <v>2012</v>
      </c>
      <c r="J8234" s="10" t="s">
        <v>37677</v>
      </c>
      <c r="K8234" s="10">
        <v>283</v>
      </c>
      <c r="L8234" s="10" t="s">
        <v>38357</v>
      </c>
      <c r="M8234" s="10">
        <v>1</v>
      </c>
      <c r="N8234" s="10" t="s">
        <v>38039</v>
      </c>
      <c r="O8234" s="10"/>
      <c r="P8234" s="10"/>
      <c r="Q8234" s="10" t="s">
        <v>38358</v>
      </c>
      <c r="R8234" s="10"/>
      <c r="S8234" s="10" t="s">
        <v>53</v>
      </c>
      <c r="T8234" s="10" t="s">
        <v>54</v>
      </c>
    </row>
    <row r="8235" spans="1:20" ht="14.5" x14ac:dyDescent="0.35">
      <c r="A8235" s="10" t="s">
        <v>38359</v>
      </c>
      <c r="B8235" s="10" t="str">
        <f>"9780791468111"</f>
        <v>9780791468111</v>
      </c>
      <c r="C8235" s="10" t="str">
        <f>"9780791481479"</f>
        <v>9780791481479</v>
      </c>
      <c r="D8235" s="10" t="s">
        <v>37676</v>
      </c>
      <c r="E8235" s="10" t="s">
        <v>37677</v>
      </c>
      <c r="F8235" s="10" t="s">
        <v>5707</v>
      </c>
      <c r="G8235" s="10" t="s">
        <v>6317</v>
      </c>
      <c r="H8235" s="11">
        <v>38890</v>
      </c>
      <c r="I8235" s="10">
        <v>2012</v>
      </c>
      <c r="J8235" s="10" t="s">
        <v>37677</v>
      </c>
      <c r="K8235" s="10">
        <v>156</v>
      </c>
      <c r="L8235" s="10" t="s">
        <v>38360</v>
      </c>
      <c r="M8235" s="10">
        <v>1</v>
      </c>
      <c r="N8235" s="10" t="s">
        <v>37804</v>
      </c>
      <c r="O8235" s="10"/>
      <c r="P8235" s="10"/>
      <c r="Q8235" s="10" t="s">
        <v>7867</v>
      </c>
      <c r="R8235" s="10"/>
      <c r="S8235" s="10" t="s">
        <v>53</v>
      </c>
      <c r="T8235" s="10" t="s">
        <v>54</v>
      </c>
    </row>
    <row r="8236" spans="1:20" ht="14.5" x14ac:dyDescent="0.35">
      <c r="A8236" s="10" t="s">
        <v>38361</v>
      </c>
      <c r="B8236" s="10" t="str">
        <f>"9780791454398"</f>
        <v>9780791454398</v>
      </c>
      <c r="C8236" s="10" t="str">
        <f>"9780791488317"</f>
        <v>9780791488317</v>
      </c>
      <c r="D8236" s="10" t="s">
        <v>37676</v>
      </c>
      <c r="E8236" s="10" t="s">
        <v>37677</v>
      </c>
      <c r="F8236" s="10" t="s">
        <v>5707</v>
      </c>
      <c r="G8236" s="10" t="s">
        <v>6317</v>
      </c>
      <c r="H8236" s="11">
        <v>37469</v>
      </c>
      <c r="I8236" s="10">
        <v>2012</v>
      </c>
      <c r="J8236" s="10" t="s">
        <v>37677</v>
      </c>
      <c r="K8236" s="10">
        <v>232</v>
      </c>
      <c r="L8236" s="10" t="s">
        <v>38362</v>
      </c>
      <c r="M8236" s="10">
        <v>1</v>
      </c>
      <c r="N8236" s="10" t="s">
        <v>37715</v>
      </c>
      <c r="O8236" s="10"/>
      <c r="P8236" s="10"/>
      <c r="Q8236" s="10" t="s">
        <v>8993</v>
      </c>
      <c r="R8236" s="10"/>
      <c r="S8236" s="10" t="s">
        <v>53</v>
      </c>
      <c r="T8236" s="10" t="s">
        <v>54</v>
      </c>
    </row>
    <row r="8237" spans="1:20" ht="14.5" x14ac:dyDescent="0.35">
      <c r="A8237" s="10" t="s">
        <v>38363</v>
      </c>
      <c r="B8237" s="10" t="str">
        <f>"9780791452356"</f>
        <v>9780791452356</v>
      </c>
      <c r="C8237" s="10" t="str">
        <f>"9780791489376"</f>
        <v>9780791489376</v>
      </c>
      <c r="D8237" s="10" t="s">
        <v>37676</v>
      </c>
      <c r="E8237" s="10" t="s">
        <v>37677</v>
      </c>
      <c r="F8237" s="10" t="s">
        <v>5707</v>
      </c>
      <c r="G8237" s="10" t="s">
        <v>6317</v>
      </c>
      <c r="H8237" s="11">
        <v>37273</v>
      </c>
      <c r="I8237" s="10">
        <v>2012</v>
      </c>
      <c r="J8237" s="10" t="s">
        <v>37677</v>
      </c>
      <c r="K8237" s="10">
        <v>335</v>
      </c>
      <c r="L8237" s="10" t="s">
        <v>38364</v>
      </c>
      <c r="M8237" s="10">
        <v>1</v>
      </c>
      <c r="N8237" s="10" t="s">
        <v>37680</v>
      </c>
      <c r="O8237" s="10"/>
      <c r="P8237" s="10"/>
      <c r="Q8237" s="10"/>
      <c r="R8237" s="10"/>
      <c r="S8237" s="10" t="s">
        <v>53</v>
      </c>
      <c r="T8237" s="10" t="s">
        <v>54</v>
      </c>
    </row>
    <row r="8238" spans="1:20" ht="14.5" x14ac:dyDescent="0.35">
      <c r="A8238" s="10" t="s">
        <v>38365</v>
      </c>
      <c r="B8238" s="10" t="str">
        <f>"9780791451212"</f>
        <v>9780791451212</v>
      </c>
      <c r="C8238" s="10" t="str">
        <f>"9780791489864"</f>
        <v>9780791489864</v>
      </c>
      <c r="D8238" s="10" t="s">
        <v>37676</v>
      </c>
      <c r="E8238" s="10" t="s">
        <v>37677</v>
      </c>
      <c r="F8238" s="10" t="s">
        <v>5707</v>
      </c>
      <c r="G8238" s="10" t="s">
        <v>6317</v>
      </c>
      <c r="H8238" s="11">
        <v>37224</v>
      </c>
      <c r="I8238" s="10">
        <v>2012</v>
      </c>
      <c r="J8238" s="10" t="s">
        <v>37677</v>
      </c>
      <c r="K8238" s="10">
        <v>261</v>
      </c>
      <c r="L8238" s="10" t="s">
        <v>38366</v>
      </c>
      <c r="M8238" s="10">
        <v>1</v>
      </c>
      <c r="N8238" s="10" t="s">
        <v>37715</v>
      </c>
      <c r="O8238" s="10"/>
      <c r="P8238" s="10"/>
      <c r="Q8238" s="10" t="s">
        <v>8993</v>
      </c>
      <c r="R8238" s="10"/>
      <c r="S8238" s="10" t="s">
        <v>53</v>
      </c>
      <c r="T8238" s="10" t="s">
        <v>54</v>
      </c>
    </row>
    <row r="8239" spans="1:20" ht="14.5" x14ac:dyDescent="0.35">
      <c r="A8239" s="10" t="s">
        <v>38367</v>
      </c>
      <c r="B8239" s="10" t="str">
        <f>"9780791453636"</f>
        <v>9780791453636</v>
      </c>
      <c r="C8239" s="10" t="str">
        <f>"9780791488652"</f>
        <v>9780791488652</v>
      </c>
      <c r="D8239" s="10" t="s">
        <v>37676</v>
      </c>
      <c r="E8239" s="10" t="s">
        <v>37677</v>
      </c>
      <c r="F8239" s="10" t="s">
        <v>5707</v>
      </c>
      <c r="G8239" s="10" t="s">
        <v>6317</v>
      </c>
      <c r="H8239" s="11">
        <v>37336</v>
      </c>
      <c r="I8239" s="10">
        <v>2012</v>
      </c>
      <c r="J8239" s="10" t="s">
        <v>37677</v>
      </c>
      <c r="K8239" s="10">
        <v>257</v>
      </c>
      <c r="L8239" s="10" t="s">
        <v>38368</v>
      </c>
      <c r="M8239" s="10">
        <v>1</v>
      </c>
      <c r="N8239" s="10" t="s">
        <v>37680</v>
      </c>
      <c r="O8239" s="10"/>
      <c r="P8239" s="10"/>
      <c r="Q8239" s="10" t="s">
        <v>16512</v>
      </c>
      <c r="R8239" s="10"/>
      <c r="S8239" s="10" t="s">
        <v>53</v>
      </c>
      <c r="T8239" s="10" t="s">
        <v>54</v>
      </c>
    </row>
    <row r="8240" spans="1:20" ht="14.5" x14ac:dyDescent="0.35">
      <c r="A8240" s="10" t="s">
        <v>38369</v>
      </c>
      <c r="B8240" s="10" t="str">
        <f>"9780791493878"</f>
        <v>9780791493878</v>
      </c>
      <c r="C8240" s="10" t="str">
        <f>"9780791493991"</f>
        <v>9780791493991</v>
      </c>
      <c r="D8240" s="10" t="s">
        <v>37676</v>
      </c>
      <c r="E8240" s="10" t="s">
        <v>37677</v>
      </c>
      <c r="F8240" s="10" t="s">
        <v>5707</v>
      </c>
      <c r="G8240" s="10" t="s">
        <v>6317</v>
      </c>
      <c r="H8240" s="11">
        <v>39877</v>
      </c>
      <c r="I8240" s="10">
        <v>2009</v>
      </c>
      <c r="J8240" s="10" t="s">
        <v>37677</v>
      </c>
      <c r="K8240" s="10">
        <v>229</v>
      </c>
      <c r="L8240" s="10" t="s">
        <v>38370</v>
      </c>
      <c r="M8240" s="10">
        <v>1</v>
      </c>
      <c r="N8240" s="10" t="s">
        <v>38235</v>
      </c>
      <c r="O8240" s="10"/>
      <c r="P8240" s="10"/>
      <c r="Q8240" s="10">
        <v>372.97300000000001</v>
      </c>
      <c r="R8240" s="10"/>
      <c r="S8240" s="10" t="s">
        <v>53</v>
      </c>
      <c r="T8240" s="10" t="s">
        <v>54</v>
      </c>
    </row>
    <row r="8241" spans="1:20" ht="14.5" x14ac:dyDescent="0.35">
      <c r="A8241" s="10" t="s">
        <v>38371</v>
      </c>
      <c r="B8241" s="10" t="str">
        <f>"9780791452912"</f>
        <v>9780791452912</v>
      </c>
      <c r="C8241" s="10" t="str">
        <f>"9780791489024"</f>
        <v>9780791489024</v>
      </c>
      <c r="D8241" s="10" t="s">
        <v>37676</v>
      </c>
      <c r="E8241" s="10" t="s">
        <v>37677</v>
      </c>
      <c r="F8241" s="10" t="s">
        <v>5707</v>
      </c>
      <c r="G8241" s="10" t="s">
        <v>6317</v>
      </c>
      <c r="H8241" s="11">
        <v>37306</v>
      </c>
      <c r="I8241" s="10">
        <v>2012</v>
      </c>
      <c r="J8241" s="10" t="s">
        <v>37677</v>
      </c>
      <c r="K8241" s="10">
        <v>237</v>
      </c>
      <c r="L8241" s="10" t="s">
        <v>38372</v>
      </c>
      <c r="M8241" s="10">
        <v>1</v>
      </c>
      <c r="N8241" s="10" t="s">
        <v>37845</v>
      </c>
      <c r="O8241" s="10"/>
      <c r="P8241" s="10"/>
      <c r="Q8241" s="10"/>
      <c r="R8241" s="10"/>
      <c r="S8241" s="10" t="s">
        <v>53</v>
      </c>
      <c r="T8241" s="10" t="s">
        <v>54</v>
      </c>
    </row>
    <row r="8242" spans="1:20" ht="14.5" x14ac:dyDescent="0.35">
      <c r="A8242" s="10" t="s">
        <v>38373</v>
      </c>
      <c r="B8242" s="10" t="str">
        <f>"9780791455074"</f>
        <v>9780791455074</v>
      </c>
      <c r="C8242" s="10" t="str">
        <f>"9780791487983"</f>
        <v>9780791487983</v>
      </c>
      <c r="D8242" s="10" t="s">
        <v>37676</v>
      </c>
      <c r="E8242" s="10" t="s">
        <v>37677</v>
      </c>
      <c r="F8242" s="10" t="s">
        <v>5707</v>
      </c>
      <c r="G8242" s="10" t="s">
        <v>6317</v>
      </c>
      <c r="H8242" s="11">
        <v>37567</v>
      </c>
      <c r="I8242" s="10">
        <v>2012</v>
      </c>
      <c r="J8242" s="10" t="s">
        <v>37677</v>
      </c>
      <c r="K8242" s="10">
        <v>350</v>
      </c>
      <c r="L8242" s="10" t="s">
        <v>38374</v>
      </c>
      <c r="M8242" s="10">
        <v>1</v>
      </c>
      <c r="N8242" s="10" t="s">
        <v>37845</v>
      </c>
      <c r="O8242" s="10"/>
      <c r="P8242" s="10"/>
      <c r="Q8242" s="10">
        <v>370.11700000000002</v>
      </c>
      <c r="R8242" s="10"/>
      <c r="S8242" s="10" t="s">
        <v>53</v>
      </c>
      <c r="T8242" s="10" t="s">
        <v>54</v>
      </c>
    </row>
    <row r="8243" spans="1:20" ht="14.5" x14ac:dyDescent="0.35">
      <c r="A8243" s="10" t="s">
        <v>38375</v>
      </c>
      <c r="B8243" s="10" t="str">
        <f>"9780791493557"</f>
        <v>9780791493557</v>
      </c>
      <c r="C8243" s="10" t="str">
        <f>"9780791493687"</f>
        <v>9780791493687</v>
      </c>
      <c r="D8243" s="10" t="s">
        <v>37676</v>
      </c>
      <c r="E8243" s="10" t="s">
        <v>37677</v>
      </c>
      <c r="F8243" s="10" t="s">
        <v>5707</v>
      </c>
      <c r="G8243" s="10" t="s">
        <v>6317</v>
      </c>
      <c r="H8243" s="11">
        <v>39934</v>
      </c>
      <c r="I8243" s="10">
        <v>2009</v>
      </c>
      <c r="J8243" s="10" t="s">
        <v>37677</v>
      </c>
      <c r="K8243" s="10">
        <v>111</v>
      </c>
      <c r="L8243" s="10" t="s">
        <v>38376</v>
      </c>
      <c r="M8243" s="10">
        <v>1</v>
      </c>
      <c r="N8243" s="10"/>
      <c r="O8243" s="10"/>
      <c r="P8243" s="10"/>
      <c r="Q8243" s="10">
        <v>370.1</v>
      </c>
      <c r="R8243" s="10"/>
      <c r="S8243" s="10" t="s">
        <v>53</v>
      </c>
      <c r="T8243" s="10" t="s">
        <v>54</v>
      </c>
    </row>
    <row r="8244" spans="1:20" ht="14.5" x14ac:dyDescent="0.35">
      <c r="A8244" s="10" t="s">
        <v>38377</v>
      </c>
      <c r="B8244" s="10" t="str">
        <f>"9780791453117"</f>
        <v>9780791453117</v>
      </c>
      <c r="C8244" s="10" t="str">
        <f>"9780791488911"</f>
        <v>9780791488911</v>
      </c>
      <c r="D8244" s="10" t="s">
        <v>37676</v>
      </c>
      <c r="E8244" s="10" t="s">
        <v>37677</v>
      </c>
      <c r="F8244" s="10" t="s">
        <v>5707</v>
      </c>
      <c r="G8244" s="10" t="s">
        <v>6317</v>
      </c>
      <c r="H8244" s="11">
        <v>37306</v>
      </c>
      <c r="I8244" s="10">
        <v>2012</v>
      </c>
      <c r="J8244" s="10" t="s">
        <v>37677</v>
      </c>
      <c r="K8244" s="10">
        <v>175</v>
      </c>
      <c r="L8244" s="10" t="s">
        <v>38378</v>
      </c>
      <c r="M8244" s="10">
        <v>1</v>
      </c>
      <c r="N8244" s="10" t="s">
        <v>37804</v>
      </c>
      <c r="O8244" s="10"/>
      <c r="P8244" s="10"/>
      <c r="Q8244" s="10" t="s">
        <v>38379</v>
      </c>
      <c r="R8244" s="10"/>
      <c r="S8244" s="10" t="s">
        <v>53</v>
      </c>
      <c r="T8244" s="10" t="s">
        <v>54</v>
      </c>
    </row>
    <row r="8245" spans="1:20" ht="14.5" x14ac:dyDescent="0.35">
      <c r="A8245" s="10" t="s">
        <v>38380</v>
      </c>
      <c r="B8245" s="10" t="str">
        <f>"9780791454152"</f>
        <v>9780791454152</v>
      </c>
      <c r="C8245" s="10" t="str">
        <f>"9780791488355"</f>
        <v>9780791488355</v>
      </c>
      <c r="D8245" s="10" t="s">
        <v>37676</v>
      </c>
      <c r="E8245" s="10" t="s">
        <v>37677</v>
      </c>
      <c r="F8245" s="10" t="s">
        <v>5707</v>
      </c>
      <c r="G8245" s="10" t="s">
        <v>6317</v>
      </c>
      <c r="H8245" s="11">
        <v>37497</v>
      </c>
      <c r="I8245" s="10">
        <v>2012</v>
      </c>
      <c r="J8245" s="10" t="s">
        <v>37677</v>
      </c>
      <c r="K8245" s="10">
        <v>316</v>
      </c>
      <c r="L8245" s="10" t="s">
        <v>38381</v>
      </c>
      <c r="M8245" s="10">
        <v>1</v>
      </c>
      <c r="N8245" s="10" t="s">
        <v>37706</v>
      </c>
      <c r="O8245" s="10"/>
      <c r="P8245" s="10"/>
      <c r="Q8245" s="10" t="s">
        <v>11356</v>
      </c>
      <c r="R8245" s="10"/>
      <c r="S8245" s="10" t="s">
        <v>53</v>
      </c>
      <c r="T8245" s="10" t="s">
        <v>54</v>
      </c>
    </row>
    <row r="8246" spans="1:20" ht="14.5" x14ac:dyDescent="0.35">
      <c r="A8246" s="10" t="s">
        <v>38382</v>
      </c>
      <c r="B8246" s="10" t="str">
        <f>"9780791493618"</f>
        <v>9780791493618</v>
      </c>
      <c r="C8246" s="10" t="str">
        <f>"9780791493717"</f>
        <v>9780791493717</v>
      </c>
      <c r="D8246" s="10" t="s">
        <v>37676</v>
      </c>
      <c r="E8246" s="10" t="s">
        <v>37677</v>
      </c>
      <c r="F8246" s="10" t="s">
        <v>5707</v>
      </c>
      <c r="G8246" s="10" t="s">
        <v>6317</v>
      </c>
      <c r="H8246" s="11">
        <v>39849</v>
      </c>
      <c r="I8246" s="10">
        <v>2009</v>
      </c>
      <c r="J8246" s="10" t="s">
        <v>37677</v>
      </c>
      <c r="K8246" s="10">
        <v>231</v>
      </c>
      <c r="L8246" s="10" t="s">
        <v>38383</v>
      </c>
      <c r="M8246" s="10">
        <v>1</v>
      </c>
      <c r="N8246" s="10"/>
      <c r="O8246" s="10"/>
      <c r="P8246" s="10"/>
      <c r="Q8246" s="10" t="s">
        <v>9298</v>
      </c>
      <c r="R8246" s="10"/>
      <c r="S8246" s="10" t="s">
        <v>53</v>
      </c>
      <c r="T8246" s="10" t="s">
        <v>54</v>
      </c>
    </row>
    <row r="8247" spans="1:20" ht="14.5" x14ac:dyDescent="0.35">
      <c r="A8247" s="10" t="s">
        <v>38384</v>
      </c>
      <c r="B8247" s="10" t="str">
        <f>"9780791453599"</f>
        <v>9780791453599</v>
      </c>
      <c r="C8247" s="10" t="str">
        <f>"9780791488683"</f>
        <v>9780791488683</v>
      </c>
      <c r="D8247" s="10" t="s">
        <v>37676</v>
      </c>
      <c r="E8247" s="10" t="s">
        <v>37677</v>
      </c>
      <c r="F8247" s="10" t="s">
        <v>5707</v>
      </c>
      <c r="G8247" s="10" t="s">
        <v>6317</v>
      </c>
      <c r="H8247" s="11">
        <v>37322</v>
      </c>
      <c r="I8247" s="10">
        <v>2012</v>
      </c>
      <c r="J8247" s="10" t="s">
        <v>37677</v>
      </c>
      <c r="K8247" s="10">
        <v>281</v>
      </c>
      <c r="L8247" s="10" t="s">
        <v>38385</v>
      </c>
      <c r="M8247" s="10">
        <v>1</v>
      </c>
      <c r="N8247" s="10" t="s">
        <v>37845</v>
      </c>
      <c r="O8247" s="10"/>
      <c r="P8247" s="10"/>
      <c r="Q8247" s="10">
        <v>306.43</v>
      </c>
      <c r="R8247" s="10"/>
      <c r="S8247" s="10" t="s">
        <v>53</v>
      </c>
      <c r="T8247" s="10" t="s">
        <v>6363</v>
      </c>
    </row>
    <row r="8248" spans="1:20" ht="14.5" x14ac:dyDescent="0.35">
      <c r="A8248" s="10" t="s">
        <v>38386</v>
      </c>
      <c r="B8248" s="10" t="str">
        <f>"9780791455036"</f>
        <v>9780791455036</v>
      </c>
      <c r="C8248" s="10" t="str">
        <f>"9780791487945"</f>
        <v>9780791487945</v>
      </c>
      <c r="D8248" s="10" t="s">
        <v>37676</v>
      </c>
      <c r="E8248" s="10" t="s">
        <v>37677</v>
      </c>
      <c r="F8248" s="10" t="s">
        <v>5707</v>
      </c>
      <c r="G8248" s="10" t="s">
        <v>6317</v>
      </c>
      <c r="H8248" s="11">
        <v>37454</v>
      </c>
      <c r="I8248" s="10">
        <v>2010</v>
      </c>
      <c r="J8248" s="10" t="s">
        <v>37677</v>
      </c>
      <c r="K8248" s="10">
        <v>313</v>
      </c>
      <c r="L8248" s="10" t="s">
        <v>29844</v>
      </c>
      <c r="M8248" s="10">
        <v>1</v>
      </c>
      <c r="N8248" s="10"/>
      <c r="O8248" s="10"/>
      <c r="P8248" s="10"/>
      <c r="Q8248" s="10" t="s">
        <v>7147</v>
      </c>
      <c r="R8248" s="10"/>
      <c r="S8248" s="10" t="s">
        <v>53</v>
      </c>
      <c r="T8248" s="10" t="s">
        <v>54</v>
      </c>
    </row>
    <row r="8249" spans="1:20" ht="14.5" x14ac:dyDescent="0.35">
      <c r="A8249" s="10" t="s">
        <v>38387</v>
      </c>
      <c r="B8249" s="10" t="str">
        <f>"9780791453551"</f>
        <v>9780791453551</v>
      </c>
      <c r="C8249" s="10" t="str">
        <f>"9780791488690"</f>
        <v>9780791488690</v>
      </c>
      <c r="D8249" s="10" t="s">
        <v>37676</v>
      </c>
      <c r="E8249" s="10" t="s">
        <v>37677</v>
      </c>
      <c r="F8249" s="10" t="s">
        <v>5707</v>
      </c>
      <c r="G8249" s="10" t="s">
        <v>6317</v>
      </c>
      <c r="H8249" s="11">
        <v>37306</v>
      </c>
      <c r="I8249" s="10">
        <v>2012</v>
      </c>
      <c r="J8249" s="10" t="s">
        <v>37677</v>
      </c>
      <c r="K8249" s="10">
        <v>209</v>
      </c>
      <c r="L8249" s="10" t="s">
        <v>38388</v>
      </c>
      <c r="M8249" s="10">
        <v>1</v>
      </c>
      <c r="N8249" s="10"/>
      <c r="O8249" s="10"/>
      <c r="P8249" s="10"/>
      <c r="Q8249" s="10" t="s">
        <v>38389</v>
      </c>
      <c r="R8249" s="10"/>
      <c r="S8249" s="10" t="s">
        <v>53</v>
      </c>
      <c r="T8249" s="10" t="s">
        <v>1166</v>
      </c>
    </row>
    <row r="8250" spans="1:20" ht="14.5" x14ac:dyDescent="0.35">
      <c r="A8250" s="10" t="s">
        <v>38390</v>
      </c>
      <c r="B8250" s="10" t="str">
        <f>"9780791452554"</f>
        <v>9780791452554</v>
      </c>
      <c r="C8250" s="10" t="str">
        <f>"9780791489222"</f>
        <v>9780791489222</v>
      </c>
      <c r="D8250" s="10" t="s">
        <v>37676</v>
      </c>
      <c r="E8250" s="10" t="s">
        <v>37677</v>
      </c>
      <c r="F8250" s="10" t="s">
        <v>5707</v>
      </c>
      <c r="G8250" s="10" t="s">
        <v>6317</v>
      </c>
      <c r="H8250" s="11">
        <v>37336</v>
      </c>
      <c r="I8250" s="10">
        <v>2012</v>
      </c>
      <c r="J8250" s="10" t="s">
        <v>37677</v>
      </c>
      <c r="K8250" s="10">
        <v>352</v>
      </c>
      <c r="L8250" s="10" t="s">
        <v>38391</v>
      </c>
      <c r="M8250" s="10">
        <v>1</v>
      </c>
      <c r="N8250" s="10" t="s">
        <v>38392</v>
      </c>
      <c r="O8250" s="10"/>
      <c r="P8250" s="10"/>
      <c r="Q8250" s="10" t="s">
        <v>38393</v>
      </c>
      <c r="R8250" s="10"/>
      <c r="S8250" s="10" t="s">
        <v>53</v>
      </c>
      <c r="T8250" s="10" t="s">
        <v>6363</v>
      </c>
    </row>
    <row r="8251" spans="1:20" ht="14.5" x14ac:dyDescent="0.35">
      <c r="A8251" s="10" t="s">
        <v>38394</v>
      </c>
      <c r="B8251" s="10" t="str">
        <f>"9781438425931"</f>
        <v>9781438425931</v>
      </c>
      <c r="C8251" s="10" t="str">
        <f>"9781438426006"</f>
        <v>9781438426006</v>
      </c>
      <c r="D8251" s="10" t="s">
        <v>37676</v>
      </c>
      <c r="E8251" s="10" t="s">
        <v>37677</v>
      </c>
      <c r="F8251" s="10" t="s">
        <v>5707</v>
      </c>
      <c r="G8251" s="10" t="s">
        <v>6317</v>
      </c>
      <c r="H8251" s="11">
        <v>39912</v>
      </c>
      <c r="I8251" s="10">
        <v>2009</v>
      </c>
      <c r="J8251" s="10" t="s">
        <v>37677</v>
      </c>
      <c r="K8251" s="10">
        <v>287</v>
      </c>
      <c r="L8251" s="10" t="s">
        <v>38395</v>
      </c>
      <c r="M8251" s="10">
        <v>1</v>
      </c>
      <c r="N8251" s="10"/>
      <c r="O8251" s="10"/>
      <c r="P8251" s="10"/>
      <c r="Q8251" s="10">
        <v>371.04</v>
      </c>
      <c r="R8251" s="10"/>
      <c r="S8251" s="10" t="s">
        <v>53</v>
      </c>
      <c r="T8251" s="10" t="s">
        <v>54</v>
      </c>
    </row>
    <row r="8252" spans="1:20" ht="14.5" x14ac:dyDescent="0.35">
      <c r="A8252" s="10" t="s">
        <v>38396</v>
      </c>
      <c r="B8252" s="10" t="str">
        <f>"9781438426457"</f>
        <v>9781438426457</v>
      </c>
      <c r="C8252" s="10" t="str">
        <f>"9781438426556"</f>
        <v>9781438426556</v>
      </c>
      <c r="D8252" s="10" t="s">
        <v>37676</v>
      </c>
      <c r="E8252" s="10" t="s">
        <v>37677</v>
      </c>
      <c r="F8252" s="10" t="s">
        <v>5707</v>
      </c>
      <c r="G8252" s="10" t="s">
        <v>6317</v>
      </c>
      <c r="H8252" s="11">
        <v>39968</v>
      </c>
      <c r="I8252" s="10">
        <v>2009</v>
      </c>
      <c r="J8252" s="10" t="s">
        <v>37677</v>
      </c>
      <c r="K8252" s="10">
        <v>183</v>
      </c>
      <c r="L8252" s="10" t="s">
        <v>37752</v>
      </c>
      <c r="M8252" s="10">
        <v>1</v>
      </c>
      <c r="N8252" s="10"/>
      <c r="O8252" s="10"/>
      <c r="P8252" s="10"/>
      <c r="Q8252" s="10">
        <v>370.15</v>
      </c>
      <c r="R8252" s="10"/>
      <c r="S8252" s="10" t="s">
        <v>53</v>
      </c>
      <c r="T8252" s="10" t="s">
        <v>54</v>
      </c>
    </row>
    <row r="8253" spans="1:20" ht="14.5" x14ac:dyDescent="0.35">
      <c r="A8253" s="10" t="s">
        <v>38397</v>
      </c>
      <c r="B8253" s="10" t="str">
        <f>"9780791404256"</f>
        <v>9780791404256</v>
      </c>
      <c r="C8253" s="10" t="str">
        <f>"9781438422695"</f>
        <v>9781438422695</v>
      </c>
      <c r="D8253" s="10" t="s">
        <v>37676</v>
      </c>
      <c r="E8253" s="10" t="s">
        <v>37677</v>
      </c>
      <c r="F8253" s="10" t="s">
        <v>5707</v>
      </c>
      <c r="G8253" s="10" t="s">
        <v>6317</v>
      </c>
      <c r="H8253" s="11">
        <v>33059</v>
      </c>
      <c r="I8253" s="10">
        <v>1990</v>
      </c>
      <c r="J8253" s="10" t="s">
        <v>37678</v>
      </c>
      <c r="K8253" s="10">
        <v>219</v>
      </c>
      <c r="L8253" s="10" t="s">
        <v>31710</v>
      </c>
      <c r="M8253" s="10">
        <v>1</v>
      </c>
      <c r="N8253" s="10" t="s">
        <v>37727</v>
      </c>
      <c r="O8253" s="10"/>
      <c r="P8253" s="10" t="s">
        <v>38398</v>
      </c>
      <c r="Q8253" s="10">
        <v>370.72</v>
      </c>
      <c r="R8253" s="10" t="s">
        <v>38399</v>
      </c>
      <c r="S8253" s="10" t="s">
        <v>53</v>
      </c>
      <c r="T8253" s="10" t="s">
        <v>54</v>
      </c>
    </row>
    <row r="8254" spans="1:20" ht="14.5" x14ac:dyDescent="0.35">
      <c r="A8254" s="10" t="s">
        <v>38400</v>
      </c>
      <c r="B8254" s="10" t="str">
        <f>"9781438426617"</f>
        <v>9781438426617</v>
      </c>
      <c r="C8254" s="10" t="str">
        <f>"9781438426877"</f>
        <v>9781438426877</v>
      </c>
      <c r="D8254" s="10" t="s">
        <v>37676</v>
      </c>
      <c r="E8254" s="10" t="s">
        <v>37677</v>
      </c>
      <c r="F8254" s="10" t="s">
        <v>5707</v>
      </c>
      <c r="G8254" s="10" t="s">
        <v>6317</v>
      </c>
      <c r="H8254" s="11">
        <v>40010</v>
      </c>
      <c r="I8254" s="10">
        <v>2010</v>
      </c>
      <c r="J8254" s="10" t="s">
        <v>37677</v>
      </c>
      <c r="K8254" s="10">
        <v>159</v>
      </c>
      <c r="L8254" s="10" t="s">
        <v>38401</v>
      </c>
      <c r="M8254" s="10">
        <v>1</v>
      </c>
      <c r="N8254" s="10"/>
      <c r="O8254" s="10"/>
      <c r="P8254" s="10"/>
      <c r="Q8254" s="10" t="s">
        <v>7299</v>
      </c>
      <c r="R8254" s="10"/>
      <c r="S8254" s="10" t="s">
        <v>53</v>
      </c>
      <c r="T8254" s="10" t="s">
        <v>54</v>
      </c>
    </row>
    <row r="8255" spans="1:20" ht="14.5" x14ac:dyDescent="0.35">
      <c r="A8255" s="10" t="s">
        <v>38402</v>
      </c>
      <c r="B8255" s="10" t="str">
        <f>"9781438426259"</f>
        <v>9781438426259</v>
      </c>
      <c r="C8255" s="10" t="str">
        <f>"9781438426426"</f>
        <v>9781438426426</v>
      </c>
      <c r="D8255" s="10" t="s">
        <v>37676</v>
      </c>
      <c r="E8255" s="10" t="s">
        <v>37677</v>
      </c>
      <c r="F8255" s="10" t="s">
        <v>5707</v>
      </c>
      <c r="G8255" s="10" t="s">
        <v>6317</v>
      </c>
      <c r="H8255" s="11">
        <v>40003</v>
      </c>
      <c r="I8255" s="10">
        <v>2010</v>
      </c>
      <c r="J8255" s="10" t="s">
        <v>37677</v>
      </c>
      <c r="K8255" s="10">
        <v>233</v>
      </c>
      <c r="L8255" s="10" t="s">
        <v>38403</v>
      </c>
      <c r="M8255" s="10">
        <v>1</v>
      </c>
      <c r="N8255" s="10"/>
      <c r="O8255" s="10"/>
      <c r="P8255" s="10" t="s">
        <v>38404</v>
      </c>
      <c r="Q8255" s="10" t="s">
        <v>38405</v>
      </c>
      <c r="R8255" s="10"/>
      <c r="S8255" s="10" t="s">
        <v>53</v>
      </c>
      <c r="T8255" s="10" t="s">
        <v>6640</v>
      </c>
    </row>
    <row r="8256" spans="1:20" ht="14.5" x14ac:dyDescent="0.35">
      <c r="A8256" s="10" t="s">
        <v>38406</v>
      </c>
      <c r="B8256" s="10" t="str">
        <f>"9780791422014"</f>
        <v>9780791422014</v>
      </c>
      <c r="C8256" s="10" t="str">
        <f>"9780791494455"</f>
        <v>9780791494455</v>
      </c>
      <c r="D8256" s="10" t="s">
        <v>37676</v>
      </c>
      <c r="E8256" s="10" t="s">
        <v>37677</v>
      </c>
      <c r="F8256" s="10" t="s">
        <v>5707</v>
      </c>
      <c r="G8256" s="10" t="s">
        <v>6317</v>
      </c>
      <c r="H8256" s="11">
        <v>34731</v>
      </c>
      <c r="I8256" s="10">
        <v>1995</v>
      </c>
      <c r="J8256" s="10" t="s">
        <v>37678</v>
      </c>
      <c r="K8256" s="10">
        <v>281</v>
      </c>
      <c r="L8256" s="10" t="s">
        <v>38407</v>
      </c>
      <c r="M8256" s="10">
        <v>1</v>
      </c>
      <c r="N8256" s="10" t="s">
        <v>38392</v>
      </c>
      <c r="O8256" s="10"/>
      <c r="P8256" s="10"/>
      <c r="Q8256" s="10" t="s">
        <v>38408</v>
      </c>
      <c r="R8256" s="10"/>
      <c r="S8256" s="10" t="s">
        <v>53</v>
      </c>
      <c r="T8256" s="10" t="s">
        <v>54</v>
      </c>
    </row>
    <row r="8257" spans="1:20" ht="14.5" x14ac:dyDescent="0.35">
      <c r="A8257" s="10" t="s">
        <v>38409</v>
      </c>
      <c r="B8257" s="10" t="str">
        <f>"9780791457719"</f>
        <v>9780791457719</v>
      </c>
      <c r="C8257" s="10" t="str">
        <f>"9780791486610"</f>
        <v>9780791486610</v>
      </c>
      <c r="D8257" s="10" t="s">
        <v>37676</v>
      </c>
      <c r="E8257" s="10" t="s">
        <v>37677</v>
      </c>
      <c r="F8257" s="10" t="s">
        <v>5707</v>
      </c>
      <c r="G8257" s="10" t="s">
        <v>6317</v>
      </c>
      <c r="H8257" s="11">
        <v>37834</v>
      </c>
      <c r="I8257" s="10">
        <v>2012</v>
      </c>
      <c r="J8257" s="10" t="s">
        <v>37677</v>
      </c>
      <c r="K8257" s="10">
        <v>316</v>
      </c>
      <c r="L8257" s="10" t="s">
        <v>38410</v>
      </c>
      <c r="M8257" s="10">
        <v>1</v>
      </c>
      <c r="N8257" s="10" t="s">
        <v>37804</v>
      </c>
      <c r="O8257" s="10"/>
      <c r="P8257" s="10"/>
      <c r="Q8257" s="10" t="s">
        <v>38411</v>
      </c>
      <c r="R8257" s="10"/>
      <c r="S8257" s="10" t="s">
        <v>53</v>
      </c>
      <c r="T8257" s="10" t="s">
        <v>54</v>
      </c>
    </row>
    <row r="8258" spans="1:20" ht="14.5" x14ac:dyDescent="0.35">
      <c r="A8258" s="10" t="s">
        <v>38412</v>
      </c>
      <c r="B8258" s="10" t="str">
        <f>"9780791457078"</f>
        <v>9780791457078</v>
      </c>
      <c r="C8258" s="10" t="str">
        <f>"9780791486924"</f>
        <v>9780791486924</v>
      </c>
      <c r="D8258" s="10" t="s">
        <v>37676</v>
      </c>
      <c r="E8258" s="10" t="s">
        <v>37677</v>
      </c>
      <c r="F8258" s="10" t="s">
        <v>5707</v>
      </c>
      <c r="G8258" s="10" t="s">
        <v>6317</v>
      </c>
      <c r="H8258" s="11">
        <v>37720</v>
      </c>
      <c r="I8258" s="10">
        <v>2012</v>
      </c>
      <c r="J8258" s="10" t="s">
        <v>37677</v>
      </c>
      <c r="K8258" s="10">
        <v>336</v>
      </c>
      <c r="L8258" s="10" t="s">
        <v>38413</v>
      </c>
      <c r="M8258" s="10">
        <v>1</v>
      </c>
      <c r="N8258" s="10"/>
      <c r="O8258" s="10"/>
      <c r="P8258" s="10"/>
      <c r="Q8258" s="10" t="s">
        <v>38414</v>
      </c>
      <c r="R8258" s="10"/>
      <c r="S8258" s="10" t="s">
        <v>53</v>
      </c>
      <c r="T8258" s="10" t="s">
        <v>54</v>
      </c>
    </row>
    <row r="8259" spans="1:20" ht="14.5" x14ac:dyDescent="0.35">
      <c r="A8259" s="10" t="s">
        <v>38415</v>
      </c>
      <c r="B8259" s="10" t="str">
        <f>"9780791458495"</f>
        <v>9780791458495</v>
      </c>
      <c r="C8259" s="10" t="str">
        <f>"9780791486221"</f>
        <v>9780791486221</v>
      </c>
      <c r="D8259" s="10" t="s">
        <v>37676</v>
      </c>
      <c r="E8259" s="10" t="s">
        <v>37677</v>
      </c>
      <c r="F8259" s="10" t="s">
        <v>5707</v>
      </c>
      <c r="G8259" s="10" t="s">
        <v>6317</v>
      </c>
      <c r="H8259" s="11">
        <v>37720</v>
      </c>
      <c r="I8259" s="10">
        <v>2012</v>
      </c>
      <c r="J8259" s="10" t="s">
        <v>37677</v>
      </c>
      <c r="K8259" s="10">
        <v>304</v>
      </c>
      <c r="L8259" s="10" t="s">
        <v>38416</v>
      </c>
      <c r="M8259" s="10">
        <v>1</v>
      </c>
      <c r="N8259" s="10" t="s">
        <v>37748</v>
      </c>
      <c r="O8259" s="10"/>
      <c r="P8259" s="10"/>
      <c r="Q8259" s="10">
        <v>373.11020000000002</v>
      </c>
      <c r="R8259" s="10"/>
      <c r="S8259" s="10" t="s">
        <v>53</v>
      </c>
      <c r="T8259" s="10" t="s">
        <v>54</v>
      </c>
    </row>
    <row r="8260" spans="1:20" ht="14.5" x14ac:dyDescent="0.35">
      <c r="A8260" s="10" t="s">
        <v>38417</v>
      </c>
      <c r="B8260" s="10" t="str">
        <f>"9780791456477"</f>
        <v>9780791456477</v>
      </c>
      <c r="C8260" s="10" t="str">
        <f>"9780791487211"</f>
        <v>9780791487211</v>
      </c>
      <c r="D8260" s="10" t="s">
        <v>37676</v>
      </c>
      <c r="E8260" s="10" t="s">
        <v>37677</v>
      </c>
      <c r="F8260" s="10" t="s">
        <v>5707</v>
      </c>
      <c r="G8260" s="10" t="s">
        <v>6317</v>
      </c>
      <c r="H8260" s="11">
        <v>37679</v>
      </c>
      <c r="I8260" s="10">
        <v>2012</v>
      </c>
      <c r="J8260" s="10" t="s">
        <v>37677</v>
      </c>
      <c r="K8260" s="10">
        <v>321</v>
      </c>
      <c r="L8260" s="10" t="s">
        <v>38418</v>
      </c>
      <c r="M8260" s="10">
        <v>1</v>
      </c>
      <c r="N8260" s="10"/>
      <c r="O8260" s="10"/>
      <c r="P8260" s="10"/>
      <c r="Q8260" s="10" t="s">
        <v>38419</v>
      </c>
      <c r="R8260" s="10"/>
      <c r="S8260" s="10" t="s">
        <v>53</v>
      </c>
      <c r="T8260" s="10" t="s">
        <v>6601</v>
      </c>
    </row>
    <row r="8261" spans="1:20" ht="14.5" x14ac:dyDescent="0.35">
      <c r="A8261" s="10" t="s">
        <v>38420</v>
      </c>
      <c r="B8261" s="10" t="str">
        <f>"9780791459898"</f>
        <v>9780791459898</v>
      </c>
      <c r="C8261" s="10" t="str">
        <f>"9780791485552"</f>
        <v>9780791485552</v>
      </c>
      <c r="D8261" s="10" t="s">
        <v>37676</v>
      </c>
      <c r="E8261" s="10" t="s">
        <v>37677</v>
      </c>
      <c r="F8261" s="10" t="s">
        <v>5707</v>
      </c>
      <c r="G8261" s="10" t="s">
        <v>6317</v>
      </c>
      <c r="H8261" s="11">
        <v>38043</v>
      </c>
      <c r="I8261" s="10">
        <v>2012</v>
      </c>
      <c r="J8261" s="10" t="s">
        <v>37677</v>
      </c>
      <c r="K8261" s="10">
        <v>263</v>
      </c>
      <c r="L8261" s="10" t="s">
        <v>38198</v>
      </c>
      <c r="M8261" s="10">
        <v>1</v>
      </c>
      <c r="N8261" s="10" t="s">
        <v>38421</v>
      </c>
      <c r="O8261" s="10"/>
      <c r="P8261" s="10"/>
      <c r="Q8261" s="10" t="s">
        <v>38422</v>
      </c>
      <c r="R8261" s="10"/>
      <c r="S8261" s="10" t="s">
        <v>53</v>
      </c>
      <c r="T8261" s="10" t="s">
        <v>54</v>
      </c>
    </row>
    <row r="8262" spans="1:20" ht="14.5" x14ac:dyDescent="0.35">
      <c r="A8262" s="10" t="s">
        <v>38423</v>
      </c>
      <c r="B8262" s="10" t="str">
        <f>"9780791456972"</f>
        <v>9780791456972</v>
      </c>
      <c r="C8262" s="10" t="str">
        <f>"9780791486993"</f>
        <v>9780791486993</v>
      </c>
      <c r="D8262" s="10" t="s">
        <v>37676</v>
      </c>
      <c r="E8262" s="10" t="s">
        <v>37677</v>
      </c>
      <c r="F8262" s="10" t="s">
        <v>5707</v>
      </c>
      <c r="G8262" s="10" t="s">
        <v>6317</v>
      </c>
      <c r="H8262" s="11">
        <v>37679</v>
      </c>
      <c r="I8262" s="10">
        <v>2012</v>
      </c>
      <c r="J8262" s="10" t="s">
        <v>37677</v>
      </c>
      <c r="K8262" s="10">
        <v>217</v>
      </c>
      <c r="L8262" s="10" t="s">
        <v>38424</v>
      </c>
      <c r="M8262" s="10">
        <v>1</v>
      </c>
      <c r="N8262" s="10"/>
      <c r="O8262" s="10"/>
      <c r="P8262" s="10"/>
      <c r="Q8262" s="10" t="s">
        <v>6347</v>
      </c>
      <c r="R8262" s="10"/>
      <c r="S8262" s="10" t="s">
        <v>53</v>
      </c>
      <c r="T8262" s="10" t="s">
        <v>54</v>
      </c>
    </row>
    <row r="8263" spans="1:20" ht="14.5" x14ac:dyDescent="0.35">
      <c r="A8263" s="10" t="s">
        <v>38425</v>
      </c>
      <c r="B8263" s="10" t="str">
        <f>"9780791458358"</f>
        <v>9780791458358</v>
      </c>
      <c r="C8263" s="10" t="str">
        <f>"9780791486290"</f>
        <v>9780791486290</v>
      </c>
      <c r="D8263" s="10" t="s">
        <v>37676</v>
      </c>
      <c r="E8263" s="10" t="s">
        <v>37677</v>
      </c>
      <c r="F8263" s="10" t="s">
        <v>5707</v>
      </c>
      <c r="G8263" s="10" t="s">
        <v>6317</v>
      </c>
      <c r="H8263" s="11">
        <v>37917</v>
      </c>
      <c r="I8263" s="10">
        <v>2012</v>
      </c>
      <c r="J8263" s="10" t="s">
        <v>37677</v>
      </c>
      <c r="K8263" s="10">
        <v>189</v>
      </c>
      <c r="L8263" s="10" t="s">
        <v>38426</v>
      </c>
      <c r="M8263" s="10">
        <v>1</v>
      </c>
      <c r="N8263" s="10" t="s">
        <v>38212</v>
      </c>
      <c r="O8263" s="10"/>
      <c r="P8263" s="10" t="s">
        <v>38427</v>
      </c>
      <c r="Q8263" s="10" t="s">
        <v>9007</v>
      </c>
      <c r="R8263" s="10"/>
      <c r="S8263" s="10" t="s">
        <v>53</v>
      </c>
      <c r="T8263" s="10" t="s">
        <v>54</v>
      </c>
    </row>
    <row r="8264" spans="1:20" ht="14.5" x14ac:dyDescent="0.35">
      <c r="A8264" s="10" t="s">
        <v>38428</v>
      </c>
      <c r="B8264" s="10" t="str">
        <f>"9780791455913"</f>
        <v>9780791455913</v>
      </c>
      <c r="C8264" s="10" t="str">
        <f>"9780791487525"</f>
        <v>9780791487525</v>
      </c>
      <c r="D8264" s="10" t="s">
        <v>37676</v>
      </c>
      <c r="E8264" s="10" t="s">
        <v>37677</v>
      </c>
      <c r="F8264" s="10" t="s">
        <v>5707</v>
      </c>
      <c r="G8264" s="10" t="s">
        <v>6317</v>
      </c>
      <c r="H8264" s="11">
        <v>37581</v>
      </c>
      <c r="I8264" s="10">
        <v>2012</v>
      </c>
      <c r="J8264" s="10" t="s">
        <v>37677</v>
      </c>
      <c r="K8264" s="10">
        <v>258</v>
      </c>
      <c r="L8264" s="10" t="s">
        <v>38429</v>
      </c>
      <c r="M8264" s="10">
        <v>1</v>
      </c>
      <c r="N8264" s="10"/>
      <c r="O8264" s="10"/>
      <c r="P8264" s="10"/>
      <c r="Q8264" s="10" t="s">
        <v>10077</v>
      </c>
      <c r="R8264" s="10"/>
      <c r="S8264" s="10" t="s">
        <v>53</v>
      </c>
      <c r="T8264" s="10" t="s">
        <v>54</v>
      </c>
    </row>
    <row r="8265" spans="1:20" ht="14.5" x14ac:dyDescent="0.35">
      <c r="A8265" s="10" t="s">
        <v>38430</v>
      </c>
      <c r="B8265" s="10" t="str">
        <f>"9780791456750"</f>
        <v>9780791456750</v>
      </c>
      <c r="C8265" s="10" t="str">
        <f>"9780791487136"</f>
        <v>9780791487136</v>
      </c>
      <c r="D8265" s="10" t="s">
        <v>37676</v>
      </c>
      <c r="E8265" s="10" t="s">
        <v>37677</v>
      </c>
      <c r="F8265" s="10" t="s">
        <v>5707</v>
      </c>
      <c r="G8265" s="10" t="s">
        <v>6317</v>
      </c>
      <c r="H8265" s="11">
        <v>37679</v>
      </c>
      <c r="I8265" s="10">
        <v>2012</v>
      </c>
      <c r="J8265" s="10" t="s">
        <v>37677</v>
      </c>
      <c r="K8265" s="10">
        <v>228</v>
      </c>
      <c r="L8265" s="10" t="s">
        <v>38431</v>
      </c>
      <c r="M8265" s="10">
        <v>1</v>
      </c>
      <c r="N8265" s="10" t="s">
        <v>37706</v>
      </c>
      <c r="O8265" s="10"/>
      <c r="P8265" s="10"/>
      <c r="Q8265" s="10" t="s">
        <v>38432</v>
      </c>
      <c r="R8265" s="10"/>
      <c r="S8265" s="10" t="s">
        <v>53</v>
      </c>
      <c r="T8265" s="10" t="s">
        <v>54</v>
      </c>
    </row>
    <row r="8266" spans="1:20" ht="14.5" x14ac:dyDescent="0.35">
      <c r="A8266" s="10" t="s">
        <v>38433</v>
      </c>
      <c r="B8266" s="10" t="str">
        <f>"9780791457412"</f>
        <v>9780791457412</v>
      </c>
      <c r="C8266" s="10" t="str">
        <f>"9780791486771"</f>
        <v>9780791486771</v>
      </c>
      <c r="D8266" s="10" t="s">
        <v>37676</v>
      </c>
      <c r="E8266" s="10" t="s">
        <v>37677</v>
      </c>
      <c r="F8266" s="10" t="s">
        <v>5707</v>
      </c>
      <c r="G8266" s="10" t="s">
        <v>6317</v>
      </c>
      <c r="H8266" s="11">
        <v>37749</v>
      </c>
      <c r="I8266" s="10">
        <v>2012</v>
      </c>
      <c r="J8266" s="10" t="s">
        <v>37677</v>
      </c>
      <c r="K8266" s="10">
        <v>201</v>
      </c>
      <c r="L8266" s="10" t="s">
        <v>38434</v>
      </c>
      <c r="M8266" s="10">
        <v>1</v>
      </c>
      <c r="N8266" s="10"/>
      <c r="O8266" s="10"/>
      <c r="P8266" s="10"/>
      <c r="Q8266" s="10">
        <v>378.73</v>
      </c>
      <c r="R8266" s="10"/>
      <c r="S8266" s="10" t="s">
        <v>53</v>
      </c>
      <c r="T8266" s="10" t="s">
        <v>54</v>
      </c>
    </row>
    <row r="8267" spans="1:20" ht="14.5" x14ac:dyDescent="0.35">
      <c r="A8267" s="10" t="s">
        <v>38435</v>
      </c>
      <c r="B8267" s="10" t="str">
        <f>"9780791459690"</f>
        <v>9780791459690</v>
      </c>
      <c r="C8267" s="10" t="str">
        <f>"9780791485644"</f>
        <v>9780791485644</v>
      </c>
      <c r="D8267" s="10" t="s">
        <v>37676</v>
      </c>
      <c r="E8267" s="10" t="s">
        <v>37677</v>
      </c>
      <c r="F8267" s="10" t="s">
        <v>5707</v>
      </c>
      <c r="G8267" s="10" t="s">
        <v>6317</v>
      </c>
      <c r="H8267" s="11">
        <v>38002</v>
      </c>
      <c r="I8267" s="10">
        <v>2012</v>
      </c>
      <c r="J8267" s="10" t="s">
        <v>37677</v>
      </c>
      <c r="K8267" s="10">
        <v>249</v>
      </c>
      <c r="L8267" s="10" t="s">
        <v>38436</v>
      </c>
      <c r="M8267" s="10">
        <v>1</v>
      </c>
      <c r="N8267" s="10" t="s">
        <v>37715</v>
      </c>
      <c r="O8267" s="10"/>
      <c r="P8267" s="10"/>
      <c r="Q8267" s="10" t="s">
        <v>22489</v>
      </c>
      <c r="R8267" s="10"/>
      <c r="S8267" s="10" t="s">
        <v>53</v>
      </c>
      <c r="T8267" s="10" t="s">
        <v>54</v>
      </c>
    </row>
    <row r="8268" spans="1:20" ht="14.5" x14ac:dyDescent="0.35">
      <c r="A8268" s="10" t="s">
        <v>38437</v>
      </c>
      <c r="B8268" s="10" t="str">
        <f>"9780791456736"</f>
        <v>9780791456736</v>
      </c>
      <c r="C8268" s="10" t="str">
        <f>"9780791487150"</f>
        <v>9780791487150</v>
      </c>
      <c r="D8268" s="10" t="s">
        <v>37676</v>
      </c>
      <c r="E8268" s="10" t="s">
        <v>37677</v>
      </c>
      <c r="F8268" s="10" t="s">
        <v>5707</v>
      </c>
      <c r="G8268" s="10" t="s">
        <v>6317</v>
      </c>
      <c r="H8268" s="11">
        <v>37679</v>
      </c>
      <c r="I8268" s="10">
        <v>2012</v>
      </c>
      <c r="J8268" s="10" t="s">
        <v>37677</v>
      </c>
      <c r="K8268" s="10">
        <v>223</v>
      </c>
      <c r="L8268" s="10" t="s">
        <v>37752</v>
      </c>
      <c r="M8268" s="10">
        <v>1</v>
      </c>
      <c r="N8268" s="10"/>
      <c r="O8268" s="10"/>
      <c r="P8268" s="10"/>
      <c r="Q8268" s="10" t="s">
        <v>38438</v>
      </c>
      <c r="R8268" s="10"/>
      <c r="S8268" s="10" t="s">
        <v>53</v>
      </c>
      <c r="T8268" s="10" t="s">
        <v>54</v>
      </c>
    </row>
    <row r="8269" spans="1:20" ht="14.5" x14ac:dyDescent="0.35">
      <c r="A8269" s="10" t="s">
        <v>38439</v>
      </c>
      <c r="B8269" s="10" t="str">
        <f>"9780791460573"</f>
        <v>9780791460573</v>
      </c>
      <c r="C8269" s="10" t="str">
        <f>"9780791485262"</f>
        <v>9780791485262</v>
      </c>
      <c r="D8269" s="10" t="s">
        <v>37676</v>
      </c>
      <c r="E8269" s="10" t="s">
        <v>37677</v>
      </c>
      <c r="F8269" s="10" t="s">
        <v>5707</v>
      </c>
      <c r="G8269" s="10" t="s">
        <v>6317</v>
      </c>
      <c r="H8269" s="11">
        <v>38085</v>
      </c>
      <c r="I8269" s="10">
        <v>2012</v>
      </c>
      <c r="J8269" s="10" t="s">
        <v>37677</v>
      </c>
      <c r="K8269" s="10">
        <v>294</v>
      </c>
      <c r="L8269" s="10" t="s">
        <v>38440</v>
      </c>
      <c r="M8269" s="10">
        <v>1</v>
      </c>
      <c r="N8269" s="10" t="s">
        <v>37680</v>
      </c>
      <c r="O8269" s="10"/>
      <c r="P8269" s="10"/>
      <c r="Q8269" s="10" t="s">
        <v>38441</v>
      </c>
      <c r="R8269" s="10"/>
      <c r="S8269" s="10" t="s">
        <v>53</v>
      </c>
      <c r="T8269" s="10" t="s">
        <v>54</v>
      </c>
    </row>
    <row r="8270" spans="1:20" ht="14.5" x14ac:dyDescent="0.35">
      <c r="A8270" s="10" t="s">
        <v>38442</v>
      </c>
      <c r="B8270" s="10" t="str">
        <f>"9780791459034"</f>
        <v>9780791459034</v>
      </c>
      <c r="C8270" s="10" t="str">
        <f>"9780791486016"</f>
        <v>9780791486016</v>
      </c>
      <c r="D8270" s="10" t="s">
        <v>37676</v>
      </c>
      <c r="E8270" s="10" t="s">
        <v>37677</v>
      </c>
      <c r="F8270" s="10" t="s">
        <v>5707</v>
      </c>
      <c r="G8270" s="10" t="s">
        <v>6317</v>
      </c>
      <c r="H8270" s="11">
        <v>37931</v>
      </c>
      <c r="I8270" s="10">
        <v>2012</v>
      </c>
      <c r="J8270" s="10" t="s">
        <v>37677</v>
      </c>
      <c r="K8270" s="10">
        <v>258</v>
      </c>
      <c r="L8270" s="10" t="s">
        <v>38443</v>
      </c>
      <c r="M8270" s="10">
        <v>1</v>
      </c>
      <c r="N8270" s="10" t="s">
        <v>38444</v>
      </c>
      <c r="O8270" s="10"/>
      <c r="P8270" s="10" t="s">
        <v>38445</v>
      </c>
      <c r="Q8270" s="10" t="s">
        <v>9584</v>
      </c>
      <c r="R8270" s="10"/>
      <c r="S8270" s="10" t="s">
        <v>53</v>
      </c>
      <c r="T8270" s="10" t="s">
        <v>54</v>
      </c>
    </row>
    <row r="8271" spans="1:20" ht="14.5" x14ac:dyDescent="0.35">
      <c r="A8271" s="10" t="s">
        <v>38446</v>
      </c>
      <c r="B8271" s="10" t="str">
        <f>"9780791457658"</f>
        <v>9780791457658</v>
      </c>
      <c r="C8271" s="10" t="str">
        <f>"9780791486641"</f>
        <v>9780791486641</v>
      </c>
      <c r="D8271" s="10" t="s">
        <v>37676</v>
      </c>
      <c r="E8271" s="10" t="s">
        <v>37677</v>
      </c>
      <c r="F8271" s="10" t="s">
        <v>5707</v>
      </c>
      <c r="G8271" s="10" t="s">
        <v>6317</v>
      </c>
      <c r="H8271" s="11">
        <v>37819</v>
      </c>
      <c r="I8271" s="10">
        <v>2012</v>
      </c>
      <c r="J8271" s="10" t="s">
        <v>37677</v>
      </c>
      <c r="K8271" s="10">
        <v>294</v>
      </c>
      <c r="L8271" s="10" t="s">
        <v>38447</v>
      </c>
      <c r="M8271" s="10">
        <v>1</v>
      </c>
      <c r="N8271" s="10"/>
      <c r="O8271" s="10"/>
      <c r="P8271" s="10"/>
      <c r="Q8271" s="10" t="s">
        <v>8223</v>
      </c>
      <c r="R8271" s="10"/>
      <c r="S8271" s="10" t="s">
        <v>53</v>
      </c>
      <c r="T8271" s="10" t="s">
        <v>54</v>
      </c>
    </row>
    <row r="8272" spans="1:20" ht="14.5" x14ac:dyDescent="0.35">
      <c r="A8272" s="10" t="s">
        <v>38448</v>
      </c>
      <c r="B8272" s="10" t="str">
        <f>"9780791460351"</f>
        <v>9780791460351</v>
      </c>
      <c r="C8272" s="10" t="str">
        <f>"9780791485347"</f>
        <v>9780791485347</v>
      </c>
      <c r="D8272" s="10" t="s">
        <v>37676</v>
      </c>
      <c r="E8272" s="10" t="s">
        <v>37677</v>
      </c>
      <c r="F8272" s="10" t="s">
        <v>5707</v>
      </c>
      <c r="G8272" s="10" t="s">
        <v>6317</v>
      </c>
      <c r="H8272" s="11">
        <v>38133</v>
      </c>
      <c r="I8272" s="10">
        <v>2012</v>
      </c>
      <c r="J8272" s="10" t="s">
        <v>37677</v>
      </c>
      <c r="K8272" s="10">
        <v>345</v>
      </c>
      <c r="L8272" s="10" t="s">
        <v>38449</v>
      </c>
      <c r="M8272" s="10">
        <v>1</v>
      </c>
      <c r="N8272" s="10"/>
      <c r="O8272" s="10"/>
      <c r="P8272" s="10"/>
      <c r="Q8272" s="10"/>
      <c r="R8272" s="10"/>
      <c r="S8272" s="10" t="s">
        <v>53</v>
      </c>
      <c r="T8272" s="10" t="s">
        <v>54</v>
      </c>
    </row>
    <row r="8273" spans="1:20" ht="14.5" x14ac:dyDescent="0.35">
      <c r="A8273" s="10" t="s">
        <v>38450</v>
      </c>
      <c r="B8273" s="10" t="str">
        <f>"9780791459850"</f>
        <v>9780791459850</v>
      </c>
      <c r="C8273" s="10" t="str">
        <f>"9780791485583"</f>
        <v>9780791485583</v>
      </c>
      <c r="D8273" s="10" t="s">
        <v>37676</v>
      </c>
      <c r="E8273" s="10" t="s">
        <v>37677</v>
      </c>
      <c r="F8273" s="10" t="s">
        <v>5707</v>
      </c>
      <c r="G8273" s="10" t="s">
        <v>6317</v>
      </c>
      <c r="H8273" s="11">
        <v>38161</v>
      </c>
      <c r="I8273" s="10">
        <v>2004</v>
      </c>
      <c r="J8273" s="10" t="s">
        <v>37678</v>
      </c>
      <c r="K8273" s="10">
        <v>348</v>
      </c>
      <c r="L8273" s="10" t="s">
        <v>38451</v>
      </c>
      <c r="M8273" s="10">
        <v>1</v>
      </c>
      <c r="N8273" s="10"/>
      <c r="O8273" s="10"/>
      <c r="P8273" s="10" t="s">
        <v>38452</v>
      </c>
      <c r="Q8273" s="10" t="s">
        <v>38453</v>
      </c>
      <c r="R8273" s="10" t="s">
        <v>38454</v>
      </c>
      <c r="S8273" s="10" t="s">
        <v>53</v>
      </c>
      <c r="T8273" s="10" t="s">
        <v>54</v>
      </c>
    </row>
    <row r="8274" spans="1:20" ht="14.5" x14ac:dyDescent="0.35">
      <c r="A8274" s="10" t="s">
        <v>38455</v>
      </c>
      <c r="B8274" s="10" t="str">
        <f>"9780791458914"</f>
        <v>9780791458914</v>
      </c>
      <c r="C8274" s="10" t="str">
        <f>"9780791486030"</f>
        <v>9780791486030</v>
      </c>
      <c r="D8274" s="10" t="s">
        <v>37676</v>
      </c>
      <c r="E8274" s="10" t="s">
        <v>37677</v>
      </c>
      <c r="F8274" s="10" t="s">
        <v>5707</v>
      </c>
      <c r="G8274" s="10" t="s">
        <v>6317</v>
      </c>
      <c r="H8274" s="11">
        <v>38043</v>
      </c>
      <c r="I8274" s="10">
        <v>2012</v>
      </c>
      <c r="J8274" s="10" t="s">
        <v>37677</v>
      </c>
      <c r="K8274" s="10">
        <v>185</v>
      </c>
      <c r="L8274" s="10" t="s">
        <v>38456</v>
      </c>
      <c r="M8274" s="10">
        <v>1</v>
      </c>
      <c r="N8274" s="10"/>
      <c r="O8274" s="10"/>
      <c r="P8274" s="10"/>
      <c r="Q8274" s="10" t="s">
        <v>38457</v>
      </c>
      <c r="R8274" s="10"/>
      <c r="S8274" s="10" t="s">
        <v>53</v>
      </c>
      <c r="T8274" s="10" t="s">
        <v>54</v>
      </c>
    </row>
    <row r="8275" spans="1:20" ht="14.5" x14ac:dyDescent="0.35">
      <c r="A8275" s="10" t="s">
        <v>38458</v>
      </c>
      <c r="B8275" s="10" t="str">
        <f>"9780791456453"</f>
        <v>9780791456453</v>
      </c>
      <c r="C8275" s="10" t="str">
        <f>"9780791487327"</f>
        <v>9780791487327</v>
      </c>
      <c r="D8275" s="10" t="s">
        <v>37676</v>
      </c>
      <c r="E8275" s="10" t="s">
        <v>37677</v>
      </c>
      <c r="F8275" s="10" t="s">
        <v>5707</v>
      </c>
      <c r="G8275" s="10" t="s">
        <v>6317</v>
      </c>
      <c r="H8275" s="11">
        <v>37651</v>
      </c>
      <c r="I8275" s="10">
        <v>2012</v>
      </c>
      <c r="J8275" s="10" t="s">
        <v>37677</v>
      </c>
      <c r="K8275" s="10">
        <v>213</v>
      </c>
      <c r="L8275" s="10" t="s">
        <v>38459</v>
      </c>
      <c r="M8275" s="10">
        <v>1</v>
      </c>
      <c r="N8275" s="10"/>
      <c r="O8275" s="10"/>
      <c r="P8275" s="10"/>
      <c r="Q8275" s="10" t="s">
        <v>8659</v>
      </c>
      <c r="R8275" s="10"/>
      <c r="S8275" s="10" t="s">
        <v>53</v>
      </c>
      <c r="T8275" s="10" t="s">
        <v>54</v>
      </c>
    </row>
    <row r="8276" spans="1:20" ht="14.5" x14ac:dyDescent="0.35">
      <c r="A8276" s="10" t="s">
        <v>38460</v>
      </c>
      <c r="B8276" s="10" t="str">
        <f>"9780791460191"</f>
        <v>9780791460191</v>
      </c>
      <c r="C8276" s="10" t="str">
        <f>"9780791485439"</f>
        <v>9780791485439</v>
      </c>
      <c r="D8276" s="10" t="s">
        <v>37676</v>
      </c>
      <c r="E8276" s="10" t="s">
        <v>37677</v>
      </c>
      <c r="F8276" s="10" t="s">
        <v>5707</v>
      </c>
      <c r="G8276" s="10" t="s">
        <v>6317</v>
      </c>
      <c r="H8276" s="11">
        <v>38057</v>
      </c>
      <c r="I8276" s="10">
        <v>2012</v>
      </c>
      <c r="J8276" s="10" t="s">
        <v>37677</v>
      </c>
      <c r="K8276" s="10">
        <v>185</v>
      </c>
      <c r="L8276" s="10" t="s">
        <v>38461</v>
      </c>
      <c r="M8276" s="10">
        <v>1</v>
      </c>
      <c r="N8276" s="10" t="s">
        <v>37715</v>
      </c>
      <c r="O8276" s="10"/>
      <c r="P8276" s="10"/>
      <c r="Q8276" s="10" t="s">
        <v>8587</v>
      </c>
      <c r="R8276" s="10"/>
      <c r="S8276" s="10" t="s">
        <v>53</v>
      </c>
      <c r="T8276" s="10" t="s">
        <v>54</v>
      </c>
    </row>
    <row r="8277" spans="1:20" ht="14.5" x14ac:dyDescent="0.35">
      <c r="A8277" s="10" t="s">
        <v>38462</v>
      </c>
      <c r="B8277" s="10" t="str">
        <f>"9780791460559"</f>
        <v>9780791460559</v>
      </c>
      <c r="C8277" s="10" t="str">
        <f>"9780791485279"</f>
        <v>9780791485279</v>
      </c>
      <c r="D8277" s="10" t="s">
        <v>37676</v>
      </c>
      <c r="E8277" s="10" t="s">
        <v>37677</v>
      </c>
      <c r="F8277" s="10" t="s">
        <v>5707</v>
      </c>
      <c r="G8277" s="10" t="s">
        <v>6317</v>
      </c>
      <c r="H8277" s="11">
        <v>38057</v>
      </c>
      <c r="I8277" s="10">
        <v>2012</v>
      </c>
      <c r="J8277" s="10" t="s">
        <v>37677</v>
      </c>
      <c r="K8277" s="10">
        <v>257</v>
      </c>
      <c r="L8277" s="10" t="s">
        <v>38463</v>
      </c>
      <c r="M8277" s="10">
        <v>1</v>
      </c>
      <c r="N8277" s="10" t="s">
        <v>38235</v>
      </c>
      <c r="O8277" s="10"/>
      <c r="P8277" s="10"/>
      <c r="Q8277" s="10" t="s">
        <v>7335</v>
      </c>
      <c r="R8277" s="10"/>
      <c r="S8277" s="10" t="s">
        <v>53</v>
      </c>
      <c r="T8277" s="10" t="s">
        <v>54</v>
      </c>
    </row>
    <row r="8278" spans="1:20" ht="14.5" x14ac:dyDescent="0.35">
      <c r="A8278" s="10" t="s">
        <v>38464</v>
      </c>
      <c r="B8278" s="10" t="str">
        <f>"9780791461631"</f>
        <v>9780791461631</v>
      </c>
      <c r="C8278" s="10" t="str">
        <f>"9780791484708"</f>
        <v>9780791484708</v>
      </c>
      <c r="D8278" s="10" t="s">
        <v>37676</v>
      </c>
      <c r="E8278" s="10" t="s">
        <v>37677</v>
      </c>
      <c r="F8278" s="10" t="s">
        <v>5707</v>
      </c>
      <c r="G8278" s="10" t="s">
        <v>6317</v>
      </c>
      <c r="H8278" s="11">
        <v>38183</v>
      </c>
      <c r="I8278" s="10">
        <v>2004</v>
      </c>
      <c r="J8278" s="10" t="s">
        <v>37678</v>
      </c>
      <c r="K8278" s="10">
        <v>310</v>
      </c>
      <c r="L8278" s="10" t="s">
        <v>36021</v>
      </c>
      <c r="M8278" s="10">
        <v>1</v>
      </c>
      <c r="N8278" s="10" t="s">
        <v>37680</v>
      </c>
      <c r="O8278" s="10"/>
      <c r="P8278" s="10" t="s">
        <v>38465</v>
      </c>
      <c r="Q8278" s="10" t="s">
        <v>38466</v>
      </c>
      <c r="R8278" s="10" t="s">
        <v>38467</v>
      </c>
      <c r="S8278" s="10" t="s">
        <v>53</v>
      </c>
      <c r="T8278" s="10" t="s">
        <v>54</v>
      </c>
    </row>
    <row r="8279" spans="1:20" ht="14.5" x14ac:dyDescent="0.35">
      <c r="A8279" s="10" t="s">
        <v>38468</v>
      </c>
      <c r="B8279" s="10" t="str">
        <f>"9780791457597"</f>
        <v>9780791457597</v>
      </c>
      <c r="C8279" s="10" t="str">
        <f>"9780791486672"</f>
        <v>9780791486672</v>
      </c>
      <c r="D8279" s="10" t="s">
        <v>37676</v>
      </c>
      <c r="E8279" s="10" t="s">
        <v>37677</v>
      </c>
      <c r="F8279" s="10" t="s">
        <v>5707</v>
      </c>
      <c r="G8279" s="10" t="s">
        <v>6317</v>
      </c>
      <c r="H8279" s="11">
        <v>37847</v>
      </c>
      <c r="I8279" s="10">
        <v>2012</v>
      </c>
      <c r="J8279" s="10" t="s">
        <v>37677</v>
      </c>
      <c r="K8279" s="10">
        <v>312</v>
      </c>
      <c r="L8279" s="10" t="s">
        <v>34643</v>
      </c>
      <c r="M8279" s="10">
        <v>1</v>
      </c>
      <c r="N8279" s="10"/>
      <c r="O8279" s="10"/>
      <c r="P8279" s="10"/>
      <c r="Q8279" s="10" t="s">
        <v>38469</v>
      </c>
      <c r="R8279" s="10"/>
      <c r="S8279" s="10" t="s">
        <v>53</v>
      </c>
      <c r="T8279" s="10" t="s">
        <v>54</v>
      </c>
    </row>
    <row r="8280" spans="1:20" ht="14.5" x14ac:dyDescent="0.35">
      <c r="A8280" s="10" t="s">
        <v>38470</v>
      </c>
      <c r="B8280" s="10" t="str">
        <f>"9781438445038"</f>
        <v>9781438445038</v>
      </c>
      <c r="C8280" s="10" t="str">
        <f>"9781438445052"</f>
        <v>9781438445052</v>
      </c>
      <c r="D8280" s="10" t="s">
        <v>37676</v>
      </c>
      <c r="E8280" s="10" t="s">
        <v>37677</v>
      </c>
      <c r="F8280" s="10" t="s">
        <v>5707</v>
      </c>
      <c r="G8280" s="10" t="s">
        <v>6317</v>
      </c>
      <c r="H8280" s="11">
        <v>41244</v>
      </c>
      <c r="I8280" s="10">
        <v>2012</v>
      </c>
      <c r="J8280" s="10" t="s">
        <v>37677</v>
      </c>
      <c r="K8280" s="10">
        <v>270</v>
      </c>
      <c r="L8280" s="10" t="s">
        <v>38471</v>
      </c>
      <c r="M8280" s="10">
        <v>1</v>
      </c>
      <c r="N8280" s="10" t="s">
        <v>38353</v>
      </c>
      <c r="O8280" s="10"/>
      <c r="P8280" s="10"/>
      <c r="Q8280" s="10" t="s">
        <v>38472</v>
      </c>
      <c r="R8280" s="10"/>
      <c r="S8280" s="10" t="s">
        <v>53</v>
      </c>
      <c r="T8280" s="10" t="s">
        <v>54</v>
      </c>
    </row>
    <row r="8281" spans="1:20" ht="14.5" x14ac:dyDescent="0.35">
      <c r="A8281" s="10" t="s">
        <v>38473</v>
      </c>
      <c r="B8281" s="10" t="str">
        <f>"9781438443676"</f>
        <v>9781438443676</v>
      </c>
      <c r="C8281" s="10" t="str">
        <f>"9781438443683"</f>
        <v>9781438443683</v>
      </c>
      <c r="D8281" s="10" t="s">
        <v>37676</v>
      </c>
      <c r="E8281" s="10" t="s">
        <v>37677</v>
      </c>
      <c r="F8281" s="10" t="s">
        <v>5707</v>
      </c>
      <c r="G8281" s="10" t="s">
        <v>6317</v>
      </c>
      <c r="H8281" s="11">
        <v>41122</v>
      </c>
      <c r="I8281" s="10">
        <v>2012</v>
      </c>
      <c r="J8281" s="10" t="s">
        <v>37677</v>
      </c>
      <c r="K8281" s="10">
        <v>318</v>
      </c>
      <c r="L8281" s="10" t="s">
        <v>38474</v>
      </c>
      <c r="M8281" s="10">
        <v>1</v>
      </c>
      <c r="N8281" s="10" t="s">
        <v>38475</v>
      </c>
      <c r="O8281" s="10"/>
      <c r="P8281" s="10"/>
      <c r="Q8281" s="10" t="s">
        <v>38476</v>
      </c>
      <c r="R8281" s="10"/>
      <c r="S8281" s="10" t="s">
        <v>53</v>
      </c>
      <c r="T8281" s="10" t="s">
        <v>11508</v>
      </c>
    </row>
    <row r="8282" spans="1:20" ht="14.5" x14ac:dyDescent="0.35">
      <c r="A8282" s="10" t="s">
        <v>38477</v>
      </c>
      <c r="B8282" s="10" t="str">
        <f>"9781438445014"</f>
        <v>9781438445014</v>
      </c>
      <c r="C8282" s="10" t="str">
        <f>"9781438445021"</f>
        <v>9781438445021</v>
      </c>
      <c r="D8282" s="10" t="s">
        <v>37676</v>
      </c>
      <c r="E8282" s="10" t="s">
        <v>37677</v>
      </c>
      <c r="F8282" s="10" t="s">
        <v>5707</v>
      </c>
      <c r="G8282" s="10" t="s">
        <v>6317</v>
      </c>
      <c r="H8282" s="11">
        <v>41228</v>
      </c>
      <c r="I8282" s="10">
        <v>2012</v>
      </c>
      <c r="J8282" s="10" t="s">
        <v>37677</v>
      </c>
      <c r="K8282" s="10">
        <v>348</v>
      </c>
      <c r="L8282" s="10" t="s">
        <v>38478</v>
      </c>
      <c r="M8282" s="10">
        <v>1</v>
      </c>
      <c r="N8282" s="10" t="s">
        <v>38479</v>
      </c>
      <c r="O8282" s="10"/>
      <c r="P8282" s="10"/>
      <c r="Q8282" s="10" t="s">
        <v>16754</v>
      </c>
      <c r="R8282" s="10"/>
      <c r="S8282" s="10" t="s">
        <v>53</v>
      </c>
      <c r="T8282" s="10" t="s">
        <v>10311</v>
      </c>
    </row>
    <row r="8283" spans="1:20" ht="14.5" x14ac:dyDescent="0.35">
      <c r="A8283" s="10" t="s">
        <v>38480</v>
      </c>
      <c r="B8283" s="10" t="str">
        <f>"9781438446059"</f>
        <v>9781438446059</v>
      </c>
      <c r="C8283" s="10" t="str">
        <f>"9781438446066"</f>
        <v>9781438446066</v>
      </c>
      <c r="D8283" s="10" t="s">
        <v>37676</v>
      </c>
      <c r="E8283" s="10" t="s">
        <v>37677</v>
      </c>
      <c r="F8283" s="10" t="s">
        <v>5707</v>
      </c>
      <c r="G8283" s="10" t="s">
        <v>6317</v>
      </c>
      <c r="H8283" s="11">
        <v>41275</v>
      </c>
      <c r="I8283" s="10">
        <v>2012</v>
      </c>
      <c r="J8283" s="10" t="s">
        <v>37677</v>
      </c>
      <c r="K8283" s="10">
        <v>270</v>
      </c>
      <c r="L8283" s="10" t="s">
        <v>38481</v>
      </c>
      <c r="M8283" s="10">
        <v>1</v>
      </c>
      <c r="N8283" s="10"/>
      <c r="O8283" s="10"/>
      <c r="P8283" s="10" t="s">
        <v>38482</v>
      </c>
      <c r="Q8283" s="10">
        <v>378.79777200000001</v>
      </c>
      <c r="R8283" s="10"/>
      <c r="S8283" s="10" t="s">
        <v>53</v>
      </c>
      <c r="T8283" s="10" t="s">
        <v>54</v>
      </c>
    </row>
    <row r="8284" spans="1:20" ht="14.5" x14ac:dyDescent="0.35">
      <c r="A8284" s="10" t="s">
        <v>38483</v>
      </c>
      <c r="B8284" s="10" t="str">
        <f>"9781438445779"</f>
        <v>9781438445779</v>
      </c>
      <c r="C8284" s="10" t="str">
        <f>"9781438445793"</f>
        <v>9781438445793</v>
      </c>
      <c r="D8284" s="10" t="s">
        <v>37676</v>
      </c>
      <c r="E8284" s="10" t="s">
        <v>37677</v>
      </c>
      <c r="F8284" s="10" t="s">
        <v>5707</v>
      </c>
      <c r="G8284" s="10" t="s">
        <v>6317</v>
      </c>
      <c r="H8284" s="11">
        <v>41275</v>
      </c>
      <c r="I8284" s="10">
        <v>2013</v>
      </c>
      <c r="J8284" s="10" t="s">
        <v>37677</v>
      </c>
      <c r="K8284" s="10">
        <v>210</v>
      </c>
      <c r="L8284" s="10" t="s">
        <v>38484</v>
      </c>
      <c r="M8284" s="10">
        <v>1</v>
      </c>
      <c r="N8284" s="10"/>
      <c r="O8284" s="10"/>
      <c r="P8284" s="10" t="s">
        <v>38485</v>
      </c>
      <c r="Q8284" s="10">
        <v>378.73</v>
      </c>
      <c r="R8284" s="10"/>
      <c r="S8284" s="10" t="s">
        <v>53</v>
      </c>
      <c r="T8284" s="10" t="s">
        <v>54</v>
      </c>
    </row>
    <row r="8285" spans="1:20" ht="14.5" x14ac:dyDescent="0.35">
      <c r="A8285" s="10" t="s">
        <v>38486</v>
      </c>
      <c r="B8285" s="10" t="str">
        <f>"9781438446356"</f>
        <v>9781438446356</v>
      </c>
      <c r="C8285" s="10" t="str">
        <f>"9781438446370"</f>
        <v>9781438446370</v>
      </c>
      <c r="D8285" s="10" t="s">
        <v>37676</v>
      </c>
      <c r="E8285" s="10" t="s">
        <v>37677</v>
      </c>
      <c r="F8285" s="10" t="s">
        <v>5707</v>
      </c>
      <c r="G8285" s="10" t="s">
        <v>6317</v>
      </c>
      <c r="H8285" s="11">
        <v>41365</v>
      </c>
      <c r="I8285" s="10">
        <v>2013</v>
      </c>
      <c r="J8285" s="10" t="s">
        <v>37677</v>
      </c>
      <c r="K8285" s="10">
        <v>340</v>
      </c>
      <c r="L8285" s="10" t="s">
        <v>38487</v>
      </c>
      <c r="M8285" s="10">
        <v>1</v>
      </c>
      <c r="N8285" s="10"/>
      <c r="O8285" s="10"/>
      <c r="P8285" s="10" t="s">
        <v>38488</v>
      </c>
      <c r="Q8285" s="10">
        <v>371.82996072999998</v>
      </c>
      <c r="R8285" s="10"/>
      <c r="S8285" s="10" t="s">
        <v>53</v>
      </c>
      <c r="T8285" s="10" t="s">
        <v>54</v>
      </c>
    </row>
    <row r="8286" spans="1:20" ht="14.5" x14ac:dyDescent="0.35">
      <c r="A8286" s="10" t="s">
        <v>38489</v>
      </c>
      <c r="B8286" s="10" t="str">
        <f>"9781438447094"</f>
        <v>9781438447094</v>
      </c>
      <c r="C8286" s="10" t="str">
        <f>"9781438447100"</f>
        <v>9781438447100</v>
      </c>
      <c r="D8286" s="10" t="s">
        <v>37676</v>
      </c>
      <c r="E8286" s="10" t="s">
        <v>37677</v>
      </c>
      <c r="F8286" s="10" t="s">
        <v>5707</v>
      </c>
      <c r="G8286" s="10" t="s">
        <v>6317</v>
      </c>
      <c r="H8286" s="11">
        <v>41426</v>
      </c>
      <c r="I8286" s="10">
        <v>2013</v>
      </c>
      <c r="J8286" s="10" t="s">
        <v>37677</v>
      </c>
      <c r="K8286" s="10">
        <v>281</v>
      </c>
      <c r="L8286" s="10" t="s">
        <v>38490</v>
      </c>
      <c r="M8286" s="10">
        <v>1</v>
      </c>
      <c r="N8286" s="10" t="s">
        <v>38475</v>
      </c>
      <c r="O8286" s="10"/>
      <c r="P8286" s="10" t="s">
        <v>38491</v>
      </c>
      <c r="Q8286" s="10">
        <v>378.00920000000002</v>
      </c>
      <c r="R8286" s="10"/>
      <c r="S8286" s="10" t="s">
        <v>53</v>
      </c>
      <c r="T8286" s="10" t="s">
        <v>54</v>
      </c>
    </row>
    <row r="8287" spans="1:20" ht="14.5" x14ac:dyDescent="0.35">
      <c r="A8287" s="10" t="s">
        <v>38492</v>
      </c>
      <c r="B8287" s="10" t="str">
        <f>"9781438446974"</f>
        <v>9781438446974</v>
      </c>
      <c r="C8287" s="10" t="str">
        <f>"9781438446981"</f>
        <v>9781438446981</v>
      </c>
      <c r="D8287" s="10" t="s">
        <v>37676</v>
      </c>
      <c r="E8287" s="10" t="s">
        <v>37677</v>
      </c>
      <c r="F8287" s="10" t="s">
        <v>5707</v>
      </c>
      <c r="G8287" s="10" t="s">
        <v>6317</v>
      </c>
      <c r="H8287" s="11">
        <v>41426</v>
      </c>
      <c r="I8287" s="10">
        <v>2013</v>
      </c>
      <c r="J8287" s="10" t="s">
        <v>37677</v>
      </c>
      <c r="K8287" s="10">
        <v>346</v>
      </c>
      <c r="L8287" s="10" t="s">
        <v>38493</v>
      </c>
      <c r="M8287" s="10">
        <v>1</v>
      </c>
      <c r="N8287" s="10" t="s">
        <v>38475</v>
      </c>
      <c r="O8287" s="10"/>
      <c r="P8287" s="10" t="s">
        <v>38494</v>
      </c>
      <c r="Q8287" s="10">
        <v>378.74725000000001</v>
      </c>
      <c r="R8287" s="10"/>
      <c r="S8287" s="10" t="s">
        <v>53</v>
      </c>
      <c r="T8287" s="10" t="s">
        <v>54</v>
      </c>
    </row>
    <row r="8288" spans="1:20" ht="14.5" x14ac:dyDescent="0.35">
      <c r="A8288" s="10" t="s">
        <v>38495</v>
      </c>
      <c r="B8288" s="10" t="str">
        <f>"9781438449777"</f>
        <v>9781438449777</v>
      </c>
      <c r="C8288" s="10" t="str">
        <f>"9781438449791"</f>
        <v>9781438449791</v>
      </c>
      <c r="D8288" s="10" t="s">
        <v>37676</v>
      </c>
      <c r="E8288" s="10" t="s">
        <v>37677</v>
      </c>
      <c r="F8288" s="10" t="s">
        <v>5707</v>
      </c>
      <c r="G8288" s="10" t="s">
        <v>6317</v>
      </c>
      <c r="H8288" s="11">
        <v>41548</v>
      </c>
      <c r="I8288" s="10">
        <v>2013</v>
      </c>
      <c r="J8288" s="10" t="s">
        <v>37677</v>
      </c>
      <c r="K8288" s="10">
        <v>337</v>
      </c>
      <c r="L8288" s="10" t="s">
        <v>38496</v>
      </c>
      <c r="M8288" s="10">
        <v>1</v>
      </c>
      <c r="N8288" s="10" t="s">
        <v>38479</v>
      </c>
      <c r="O8288" s="10"/>
      <c r="P8288" s="10" t="s">
        <v>38497</v>
      </c>
      <c r="Q8288" s="10">
        <v>379.12099999999998</v>
      </c>
      <c r="R8288" s="10"/>
      <c r="S8288" s="10" t="s">
        <v>53</v>
      </c>
      <c r="T8288" s="10" t="s">
        <v>54</v>
      </c>
    </row>
    <row r="8289" spans="1:20" ht="14.5" x14ac:dyDescent="0.35">
      <c r="A8289" s="10" t="s">
        <v>38498</v>
      </c>
      <c r="B8289" s="10" t="str">
        <f>"9781438448237"</f>
        <v>9781438448237</v>
      </c>
      <c r="C8289" s="10" t="str">
        <f>"9781438448251"</f>
        <v>9781438448251</v>
      </c>
      <c r="D8289" s="10" t="s">
        <v>37676</v>
      </c>
      <c r="E8289" s="10" t="s">
        <v>37677</v>
      </c>
      <c r="F8289" s="10" t="s">
        <v>5707</v>
      </c>
      <c r="G8289" s="10" t="s">
        <v>6317</v>
      </c>
      <c r="H8289" s="11">
        <v>41579</v>
      </c>
      <c r="I8289" s="10">
        <v>2013</v>
      </c>
      <c r="J8289" s="10" t="s">
        <v>37677</v>
      </c>
      <c r="K8289" s="10">
        <v>209</v>
      </c>
      <c r="L8289" s="10" t="s">
        <v>38499</v>
      </c>
      <c r="M8289" s="10">
        <v>1</v>
      </c>
      <c r="N8289" s="10"/>
      <c r="O8289" s="10"/>
      <c r="P8289" s="10" t="s">
        <v>38500</v>
      </c>
      <c r="Q8289" s="10">
        <v>371.20119999999997</v>
      </c>
      <c r="R8289" s="10"/>
      <c r="S8289" s="10" t="s">
        <v>53</v>
      </c>
      <c r="T8289" s="10" t="s">
        <v>54</v>
      </c>
    </row>
    <row r="8290" spans="1:20" ht="14.5" x14ac:dyDescent="0.35">
      <c r="A8290" s="10" t="s">
        <v>38501</v>
      </c>
      <c r="B8290" s="10" t="str">
        <f>"9781438448954"</f>
        <v>9781438448954</v>
      </c>
      <c r="C8290" s="10" t="str">
        <f>"9781438448978"</f>
        <v>9781438448978</v>
      </c>
      <c r="D8290" s="10" t="s">
        <v>37676</v>
      </c>
      <c r="E8290" s="10" t="s">
        <v>37677</v>
      </c>
      <c r="F8290" s="10" t="s">
        <v>5707</v>
      </c>
      <c r="G8290" s="10" t="s">
        <v>6317</v>
      </c>
      <c r="H8290" s="11">
        <v>41623</v>
      </c>
      <c r="I8290" s="10">
        <v>2013</v>
      </c>
      <c r="J8290" s="10" t="s">
        <v>37677</v>
      </c>
      <c r="K8290" s="10">
        <v>500</v>
      </c>
      <c r="L8290" s="10" t="s">
        <v>38502</v>
      </c>
      <c r="M8290" s="10">
        <v>1</v>
      </c>
      <c r="N8290" s="10"/>
      <c r="O8290" s="10"/>
      <c r="P8290" s="10" t="s">
        <v>38503</v>
      </c>
      <c r="Q8290" s="10"/>
      <c r="R8290" s="10"/>
      <c r="S8290" s="10" t="s">
        <v>53</v>
      </c>
      <c r="T8290" s="10" t="s">
        <v>54</v>
      </c>
    </row>
    <row r="8291" spans="1:20" ht="14.5" x14ac:dyDescent="0.35">
      <c r="A8291" s="10" t="s">
        <v>38504</v>
      </c>
      <c r="B8291" s="10" t="str">
        <f>"9780791443224"</f>
        <v>9780791443224</v>
      </c>
      <c r="C8291" s="10" t="str">
        <f>"9781438422626"</f>
        <v>9781438422626</v>
      </c>
      <c r="D8291" s="10" t="s">
        <v>37676</v>
      </c>
      <c r="E8291" s="10" t="s">
        <v>37677</v>
      </c>
      <c r="F8291" s="10" t="s">
        <v>5707</v>
      </c>
      <c r="G8291" s="10" t="s">
        <v>6317</v>
      </c>
      <c r="H8291" s="11">
        <v>36454</v>
      </c>
      <c r="I8291" s="10">
        <v>1999</v>
      </c>
      <c r="J8291" s="10" t="s">
        <v>37678</v>
      </c>
      <c r="K8291" s="10">
        <v>350</v>
      </c>
      <c r="L8291" s="10" t="s">
        <v>38505</v>
      </c>
      <c r="M8291" s="10">
        <v>1</v>
      </c>
      <c r="N8291" s="10" t="s">
        <v>37845</v>
      </c>
      <c r="O8291" s="10"/>
      <c r="P8291" s="10" t="s">
        <v>38506</v>
      </c>
      <c r="Q8291" s="10" t="s">
        <v>38507</v>
      </c>
      <c r="R8291" s="10" t="s">
        <v>38508</v>
      </c>
      <c r="S8291" s="10" t="s">
        <v>53</v>
      </c>
      <c r="T8291" s="10" t="s">
        <v>54</v>
      </c>
    </row>
    <row r="8292" spans="1:20" ht="14.5" x14ac:dyDescent="0.35">
      <c r="A8292" s="10" t="s">
        <v>38509</v>
      </c>
      <c r="B8292" s="10" t="str">
        <f>"9781438452968"</f>
        <v>9781438452968</v>
      </c>
      <c r="C8292" s="10" t="str">
        <f>"9781438452975"</f>
        <v>9781438452975</v>
      </c>
      <c r="D8292" s="10" t="s">
        <v>37676</v>
      </c>
      <c r="E8292" s="10" t="s">
        <v>37677</v>
      </c>
      <c r="F8292" s="10" t="s">
        <v>5707</v>
      </c>
      <c r="G8292" s="10" t="s">
        <v>6317</v>
      </c>
      <c r="H8292" s="11">
        <v>41852</v>
      </c>
      <c r="I8292" s="10">
        <v>2014</v>
      </c>
      <c r="J8292" s="10" t="s">
        <v>38510</v>
      </c>
      <c r="K8292" s="10">
        <v>368</v>
      </c>
      <c r="L8292" s="10" t="s">
        <v>38511</v>
      </c>
      <c r="M8292" s="10">
        <v>1</v>
      </c>
      <c r="N8292" s="10" t="s">
        <v>38475</v>
      </c>
      <c r="O8292" s="10"/>
      <c r="P8292" s="10"/>
      <c r="Q8292" s="10"/>
      <c r="R8292" s="10"/>
      <c r="S8292" s="10" t="s">
        <v>53</v>
      </c>
      <c r="T8292" s="10" t="s">
        <v>38512</v>
      </c>
    </row>
    <row r="8293" spans="1:20" ht="14.5" x14ac:dyDescent="0.35">
      <c r="A8293" s="10" t="s">
        <v>38513</v>
      </c>
      <c r="B8293" s="10" t="str">
        <f>"9781438452135"</f>
        <v>9781438452135</v>
      </c>
      <c r="C8293" s="10" t="str">
        <f>"9781438452142"</f>
        <v>9781438452142</v>
      </c>
      <c r="D8293" s="10" t="s">
        <v>37676</v>
      </c>
      <c r="E8293" s="10" t="s">
        <v>37677</v>
      </c>
      <c r="F8293" s="10" t="s">
        <v>5707</v>
      </c>
      <c r="G8293" s="10" t="s">
        <v>6317</v>
      </c>
      <c r="H8293" s="11">
        <v>41791</v>
      </c>
      <c r="I8293" s="10">
        <v>2014</v>
      </c>
      <c r="J8293" s="10" t="s">
        <v>37677</v>
      </c>
      <c r="K8293" s="10">
        <v>364</v>
      </c>
      <c r="L8293" s="10" t="s">
        <v>38514</v>
      </c>
      <c r="M8293" s="10">
        <v>1</v>
      </c>
      <c r="N8293" s="10"/>
      <c r="O8293" s="10"/>
      <c r="P8293" s="10"/>
      <c r="Q8293" s="10">
        <v>370.1</v>
      </c>
      <c r="R8293" s="10" t="s">
        <v>38515</v>
      </c>
      <c r="S8293" s="10" t="s">
        <v>53</v>
      </c>
      <c r="T8293" s="10" t="s">
        <v>54</v>
      </c>
    </row>
    <row r="8294" spans="1:20" ht="14.5" x14ac:dyDescent="0.35">
      <c r="A8294" s="10" t="s">
        <v>38516</v>
      </c>
      <c r="B8294" s="10" t="str">
        <f>"9781438452395"</f>
        <v>9781438452395</v>
      </c>
      <c r="C8294" s="10" t="str">
        <f>"9781438452418"</f>
        <v>9781438452418</v>
      </c>
      <c r="D8294" s="10" t="s">
        <v>37676</v>
      </c>
      <c r="E8294" s="10" t="s">
        <v>37677</v>
      </c>
      <c r="F8294" s="10" t="s">
        <v>5707</v>
      </c>
      <c r="G8294" s="10" t="s">
        <v>6317</v>
      </c>
      <c r="H8294" s="11">
        <v>41852</v>
      </c>
      <c r="I8294" s="10">
        <v>2014</v>
      </c>
      <c r="J8294" s="10" t="s">
        <v>37677</v>
      </c>
      <c r="K8294" s="10">
        <v>426</v>
      </c>
      <c r="L8294" s="10" t="s">
        <v>38517</v>
      </c>
      <c r="M8294" s="10">
        <v>1</v>
      </c>
      <c r="N8294" s="10"/>
      <c r="O8294" s="10"/>
      <c r="P8294" s="10" t="s">
        <v>38518</v>
      </c>
      <c r="Q8294" s="10">
        <v>370.11399999999998</v>
      </c>
      <c r="R8294" s="10"/>
      <c r="S8294" s="10" t="s">
        <v>53</v>
      </c>
      <c r="T8294" s="10" t="s">
        <v>54</v>
      </c>
    </row>
    <row r="8295" spans="1:20" ht="14.5" x14ac:dyDescent="0.35">
      <c r="A8295" s="10" t="s">
        <v>38519</v>
      </c>
      <c r="B8295" s="10" t="str">
        <f>"9781438454535"</f>
        <v>9781438454535</v>
      </c>
      <c r="C8295" s="10" t="str">
        <f>"9781438454542"</f>
        <v>9781438454542</v>
      </c>
      <c r="D8295" s="10" t="s">
        <v>37676</v>
      </c>
      <c r="E8295" s="10" t="s">
        <v>37677</v>
      </c>
      <c r="F8295" s="10" t="s">
        <v>5707</v>
      </c>
      <c r="G8295" s="10" t="s">
        <v>6317</v>
      </c>
      <c r="H8295" s="11">
        <v>41913</v>
      </c>
      <c r="I8295" s="10">
        <v>2014</v>
      </c>
      <c r="J8295" s="10" t="s">
        <v>37677</v>
      </c>
      <c r="K8295" s="10">
        <v>344</v>
      </c>
      <c r="L8295" s="10" t="s">
        <v>38520</v>
      </c>
      <c r="M8295" s="10">
        <v>1</v>
      </c>
      <c r="N8295" s="10" t="s">
        <v>38479</v>
      </c>
      <c r="O8295" s="10"/>
      <c r="P8295" s="10" t="s">
        <v>38521</v>
      </c>
      <c r="Q8295" s="10">
        <v>378.00285000000002</v>
      </c>
      <c r="R8295" s="10" t="s">
        <v>38522</v>
      </c>
      <c r="S8295" s="10" t="s">
        <v>53</v>
      </c>
      <c r="T8295" s="10" t="s">
        <v>54</v>
      </c>
    </row>
    <row r="8296" spans="1:20" ht="14.5" x14ac:dyDescent="0.35">
      <c r="A8296" s="10" t="s">
        <v>38523</v>
      </c>
      <c r="B8296" s="10" t="str">
        <f>"9781438453897"</f>
        <v>9781438453897</v>
      </c>
      <c r="C8296" s="10" t="str">
        <f>"9781438453910"</f>
        <v>9781438453910</v>
      </c>
      <c r="D8296" s="10" t="s">
        <v>37676</v>
      </c>
      <c r="E8296" s="10" t="s">
        <v>37677</v>
      </c>
      <c r="F8296" s="10" t="s">
        <v>5707</v>
      </c>
      <c r="G8296" s="10" t="s">
        <v>6317</v>
      </c>
      <c r="H8296" s="11">
        <v>41944</v>
      </c>
      <c r="I8296" s="10">
        <v>2014</v>
      </c>
      <c r="J8296" s="10" t="s">
        <v>37677</v>
      </c>
      <c r="K8296" s="10">
        <v>256</v>
      </c>
      <c r="L8296" s="10" t="s">
        <v>38524</v>
      </c>
      <c r="M8296" s="10">
        <v>1</v>
      </c>
      <c r="N8296" s="10"/>
      <c r="O8296" s="10"/>
      <c r="P8296" s="10"/>
      <c r="Q8296" s="10">
        <v>378.12099999999998</v>
      </c>
      <c r="R8296" s="10" t="s">
        <v>38525</v>
      </c>
      <c r="S8296" s="10" t="s">
        <v>53</v>
      </c>
      <c r="T8296" s="10" t="s">
        <v>54</v>
      </c>
    </row>
    <row r="8297" spans="1:20" ht="14.5" x14ac:dyDescent="0.35">
      <c r="A8297" s="10" t="s">
        <v>38526</v>
      </c>
      <c r="B8297" s="10" t="str">
        <f>"9781590959497"</f>
        <v>9781590959497</v>
      </c>
      <c r="C8297" s="10" t="str">
        <f>"9781590959503"</f>
        <v>9781590959503</v>
      </c>
      <c r="D8297" s="10" t="s">
        <v>38527</v>
      </c>
      <c r="E8297" s="10" t="s">
        <v>38528</v>
      </c>
      <c r="F8297" s="10" t="s">
        <v>38529</v>
      </c>
      <c r="G8297" s="10" t="s">
        <v>6317</v>
      </c>
      <c r="H8297" s="11">
        <v>39448</v>
      </c>
      <c r="I8297" s="10">
        <v>2008</v>
      </c>
      <c r="J8297" s="10" t="s">
        <v>38528</v>
      </c>
      <c r="K8297" s="10">
        <v>562</v>
      </c>
      <c r="L8297" s="10" t="s">
        <v>38530</v>
      </c>
      <c r="M8297" s="10">
        <v>1</v>
      </c>
      <c r="N8297" s="10"/>
      <c r="O8297" s="10"/>
      <c r="P8297" s="10" t="s">
        <v>38531</v>
      </c>
      <c r="Q8297" s="10"/>
      <c r="R8297" s="10" t="s">
        <v>38532</v>
      </c>
      <c r="S8297" s="10" t="s">
        <v>53</v>
      </c>
      <c r="T8297" s="10" t="s">
        <v>6660</v>
      </c>
    </row>
    <row r="8298" spans="1:20" ht="14.5" x14ac:dyDescent="0.35">
      <c r="A8298" s="10" t="s">
        <v>38533</v>
      </c>
      <c r="B8298" s="10" t="str">
        <f>"9781590959459"</f>
        <v>9781590959459</v>
      </c>
      <c r="C8298" s="10" t="str">
        <f>"9781590959480"</f>
        <v>9781590959480</v>
      </c>
      <c r="D8298" s="10" t="s">
        <v>38527</v>
      </c>
      <c r="E8298" s="10" t="s">
        <v>38528</v>
      </c>
      <c r="F8298" s="10" t="s">
        <v>38529</v>
      </c>
      <c r="G8298" s="10" t="s">
        <v>6317</v>
      </c>
      <c r="H8298" s="11">
        <v>39448</v>
      </c>
      <c r="I8298" s="10">
        <v>2008</v>
      </c>
      <c r="J8298" s="10" t="s">
        <v>38528</v>
      </c>
      <c r="K8298" s="10">
        <v>542</v>
      </c>
      <c r="L8298" s="10" t="s">
        <v>38530</v>
      </c>
      <c r="M8298" s="10">
        <v>1</v>
      </c>
      <c r="N8298" s="10"/>
      <c r="O8298" s="10"/>
      <c r="P8298" s="10" t="s">
        <v>38534</v>
      </c>
      <c r="Q8298" s="10"/>
      <c r="R8298" s="10" t="s">
        <v>38532</v>
      </c>
      <c r="S8298" s="10" t="s">
        <v>53</v>
      </c>
      <c r="T8298" s="10" t="s">
        <v>6660</v>
      </c>
    </row>
    <row r="8299" spans="1:20" ht="14.5" x14ac:dyDescent="0.35">
      <c r="A8299" s="10" t="s">
        <v>38535</v>
      </c>
      <c r="B8299" s="10" t="str">
        <f>"9780816521265"</f>
        <v>9780816521265</v>
      </c>
      <c r="C8299" s="10" t="str">
        <f>"9780816599806"</f>
        <v>9780816599806</v>
      </c>
      <c r="D8299" s="10" t="s">
        <v>38536</v>
      </c>
      <c r="E8299" s="10" t="s">
        <v>38536</v>
      </c>
      <c r="F8299" s="10" t="s">
        <v>38537</v>
      </c>
      <c r="G8299" s="10" t="s">
        <v>6317</v>
      </c>
      <c r="H8299" s="11">
        <v>41333</v>
      </c>
      <c r="I8299" s="10">
        <v>2013</v>
      </c>
      <c r="J8299" s="10" t="s">
        <v>38536</v>
      </c>
      <c r="K8299" s="10">
        <v>225</v>
      </c>
      <c r="L8299" s="10" t="s">
        <v>38538</v>
      </c>
      <c r="M8299" s="10">
        <v>1</v>
      </c>
      <c r="N8299" s="10"/>
      <c r="O8299" s="10"/>
      <c r="P8299" s="10" t="s">
        <v>38539</v>
      </c>
      <c r="Q8299" s="10" t="s">
        <v>9797</v>
      </c>
      <c r="R8299" s="10" t="s">
        <v>38540</v>
      </c>
      <c r="S8299" s="10" t="s">
        <v>53</v>
      </c>
      <c r="T8299" s="10" t="s">
        <v>54</v>
      </c>
    </row>
    <row r="8300" spans="1:20" ht="14.5" x14ac:dyDescent="0.35">
      <c r="A8300" s="10" t="s">
        <v>38541</v>
      </c>
      <c r="B8300" s="10" t="str">
        <f>"9780816530793"</f>
        <v>9780816530793</v>
      </c>
      <c r="C8300" s="10" t="str">
        <f>"9780816598830"</f>
        <v>9780816598830</v>
      </c>
      <c r="D8300" s="10" t="s">
        <v>38536</v>
      </c>
      <c r="E8300" s="10" t="s">
        <v>38536</v>
      </c>
      <c r="F8300" s="10" t="s">
        <v>38537</v>
      </c>
      <c r="G8300" s="10" t="s">
        <v>6317</v>
      </c>
      <c r="H8300" s="11">
        <v>41697</v>
      </c>
      <c r="I8300" s="10">
        <v>2014</v>
      </c>
      <c r="J8300" s="10" t="s">
        <v>38536</v>
      </c>
      <c r="K8300" s="10">
        <v>225</v>
      </c>
      <c r="L8300" s="10" t="s">
        <v>38542</v>
      </c>
      <c r="M8300" s="10">
        <v>1</v>
      </c>
      <c r="N8300" s="10"/>
      <c r="O8300" s="10"/>
      <c r="P8300" s="10" t="s">
        <v>38543</v>
      </c>
      <c r="Q8300" s="10">
        <v>371.82968079177601</v>
      </c>
      <c r="R8300" s="10" t="s">
        <v>38544</v>
      </c>
      <c r="S8300" s="10" t="s">
        <v>53</v>
      </c>
      <c r="T8300" s="10" t="s">
        <v>54</v>
      </c>
    </row>
    <row r="8301" spans="1:20" ht="14.5" x14ac:dyDescent="0.35">
      <c r="A8301" s="10" t="s">
        <v>38545</v>
      </c>
      <c r="B8301" s="10" t="str">
        <f>"9780816529841"</f>
        <v>9780816529841</v>
      </c>
      <c r="C8301" s="10" t="str">
        <f>"9780816598977"</f>
        <v>9780816598977</v>
      </c>
      <c r="D8301" s="10" t="s">
        <v>38536</v>
      </c>
      <c r="E8301" s="10" t="s">
        <v>38536</v>
      </c>
      <c r="F8301" s="10" t="s">
        <v>38537</v>
      </c>
      <c r="G8301" s="10" t="s">
        <v>6317</v>
      </c>
      <c r="H8301" s="11">
        <v>41725</v>
      </c>
      <c r="I8301" s="10">
        <v>2014</v>
      </c>
      <c r="J8301" s="10" t="s">
        <v>38536</v>
      </c>
      <c r="K8301" s="10">
        <v>198</v>
      </c>
      <c r="L8301" s="10" t="s">
        <v>38546</v>
      </c>
      <c r="M8301" s="10">
        <v>1</v>
      </c>
      <c r="N8301" s="10"/>
      <c r="O8301" s="10"/>
      <c r="P8301" s="10" t="s">
        <v>38547</v>
      </c>
      <c r="Q8301" s="10">
        <v>371.82968073000001</v>
      </c>
      <c r="R8301" s="10"/>
      <c r="S8301" s="10" t="s">
        <v>53</v>
      </c>
      <c r="T8301" s="10" t="s">
        <v>54</v>
      </c>
    </row>
    <row r="8302" spans="1:20" ht="14.5" x14ac:dyDescent="0.35">
      <c r="A8302" s="10" t="s">
        <v>38548</v>
      </c>
      <c r="B8302" s="10" t="str">
        <f>"9780774808071"</f>
        <v>9780774808071</v>
      </c>
      <c r="C8302" s="10" t="str">
        <f>"9780774850605"</f>
        <v>9780774850605</v>
      </c>
      <c r="D8302" s="10" t="s">
        <v>38549</v>
      </c>
      <c r="E8302" s="10" t="s">
        <v>38550</v>
      </c>
      <c r="F8302" s="10" t="s">
        <v>686</v>
      </c>
      <c r="G8302" s="10" t="s">
        <v>9536</v>
      </c>
      <c r="H8302" s="11">
        <v>36753</v>
      </c>
      <c r="I8302" s="10">
        <v>2000</v>
      </c>
      <c r="J8302" s="10" t="s">
        <v>38550</v>
      </c>
      <c r="K8302" s="10">
        <v>191</v>
      </c>
      <c r="L8302" s="10" t="s">
        <v>38551</v>
      </c>
      <c r="M8302" s="10">
        <v>1</v>
      </c>
      <c r="N8302" s="10"/>
      <c r="O8302" s="10"/>
      <c r="P8302" s="10" t="s">
        <v>38552</v>
      </c>
      <c r="Q8302" s="10">
        <v>378</v>
      </c>
      <c r="R8302" s="10" t="s">
        <v>38553</v>
      </c>
      <c r="S8302" s="10" t="s">
        <v>53</v>
      </c>
      <c r="T8302" s="10" t="s">
        <v>54</v>
      </c>
    </row>
    <row r="8303" spans="1:20" ht="14.5" x14ac:dyDescent="0.35">
      <c r="A8303" s="10" t="s">
        <v>38554</v>
      </c>
      <c r="B8303" s="10" t="str">
        <f>"9780774810234"</f>
        <v>9780774810234</v>
      </c>
      <c r="C8303" s="10" t="str">
        <f>"9780774850506"</f>
        <v>9780774850506</v>
      </c>
      <c r="D8303" s="10" t="s">
        <v>38549</v>
      </c>
      <c r="E8303" s="10" t="s">
        <v>38550</v>
      </c>
      <c r="F8303" s="10" t="s">
        <v>686</v>
      </c>
      <c r="G8303" s="10" t="s">
        <v>9536</v>
      </c>
      <c r="H8303" s="11">
        <v>37742</v>
      </c>
      <c r="I8303" s="10">
        <v>2004</v>
      </c>
      <c r="J8303" s="10" t="s">
        <v>38550</v>
      </c>
      <c r="K8303" s="10">
        <v>240</v>
      </c>
      <c r="L8303" s="10" t="s">
        <v>38555</v>
      </c>
      <c r="M8303" s="10">
        <v>1</v>
      </c>
      <c r="N8303" s="10"/>
      <c r="O8303" s="10"/>
      <c r="P8303" s="10" t="s">
        <v>38556</v>
      </c>
      <c r="Q8303" s="10">
        <v>378.71</v>
      </c>
      <c r="R8303" s="10" t="s">
        <v>38557</v>
      </c>
      <c r="S8303" s="10" t="s">
        <v>53</v>
      </c>
      <c r="T8303" s="10" t="s">
        <v>54</v>
      </c>
    </row>
    <row r="8304" spans="1:20" ht="14.5" x14ac:dyDescent="0.35">
      <c r="A8304" s="10" t="s">
        <v>38558</v>
      </c>
      <c r="B8304" s="10" t="str">
        <f>"9780774811149"</f>
        <v>9780774811149</v>
      </c>
      <c r="C8304" s="10" t="str">
        <f>"9780774851312"</f>
        <v>9780774851312</v>
      </c>
      <c r="D8304" s="10" t="s">
        <v>38549</v>
      </c>
      <c r="E8304" s="10" t="s">
        <v>38550</v>
      </c>
      <c r="F8304" s="10" t="s">
        <v>686</v>
      </c>
      <c r="G8304" s="10" t="s">
        <v>9536</v>
      </c>
      <c r="H8304" s="11">
        <v>37956</v>
      </c>
      <c r="I8304" s="10">
        <v>2004</v>
      </c>
      <c r="J8304" s="10" t="s">
        <v>38550</v>
      </c>
      <c r="K8304" s="10">
        <v>285</v>
      </c>
      <c r="L8304" s="10" t="s">
        <v>38559</v>
      </c>
      <c r="M8304" s="10">
        <v>1</v>
      </c>
      <c r="N8304" s="10"/>
      <c r="O8304" s="10"/>
      <c r="P8304" s="10" t="s">
        <v>38560</v>
      </c>
      <c r="Q8304" s="10" t="s">
        <v>38561</v>
      </c>
      <c r="R8304" s="10" t="s">
        <v>38562</v>
      </c>
      <c r="S8304" s="10" t="s">
        <v>53</v>
      </c>
      <c r="T8304" s="10" t="s">
        <v>54</v>
      </c>
    </row>
    <row r="8305" spans="1:20" ht="14.5" x14ac:dyDescent="0.35">
      <c r="A8305" s="10" t="s">
        <v>38563</v>
      </c>
      <c r="B8305" s="10" t="str">
        <f>"9780774807715"</f>
        <v>9780774807715</v>
      </c>
      <c r="C8305" s="10" t="str">
        <f>"9780774852050"</f>
        <v>9780774852050</v>
      </c>
      <c r="D8305" s="10" t="s">
        <v>38549</v>
      </c>
      <c r="E8305" s="10" t="s">
        <v>38550</v>
      </c>
      <c r="F8305" s="10" t="s">
        <v>686</v>
      </c>
      <c r="G8305" s="10" t="s">
        <v>9536</v>
      </c>
      <c r="H8305" s="11">
        <v>36861</v>
      </c>
      <c r="I8305" s="10">
        <v>2000</v>
      </c>
      <c r="J8305" s="10" t="s">
        <v>38550</v>
      </c>
      <c r="K8305" s="10">
        <v>336</v>
      </c>
      <c r="L8305" s="10" t="s">
        <v>38564</v>
      </c>
      <c r="M8305" s="10">
        <v>1</v>
      </c>
      <c r="N8305" s="10"/>
      <c r="O8305" s="10"/>
      <c r="P8305" s="10" t="s">
        <v>38565</v>
      </c>
      <c r="Q8305" s="10" t="s">
        <v>38566</v>
      </c>
      <c r="R8305" s="10" t="s">
        <v>38567</v>
      </c>
      <c r="S8305" s="10" t="s">
        <v>53</v>
      </c>
      <c r="T8305" s="10" t="s">
        <v>54</v>
      </c>
    </row>
    <row r="8306" spans="1:20" ht="14.5" x14ac:dyDescent="0.35">
      <c r="A8306" s="10" t="s">
        <v>38568</v>
      </c>
      <c r="B8306" s="10" t="str">
        <f>"9780774808781"</f>
        <v>9780774808781</v>
      </c>
      <c r="C8306" s="10" t="str">
        <f>"9780774850193"</f>
        <v>9780774850193</v>
      </c>
      <c r="D8306" s="10" t="s">
        <v>38549</v>
      </c>
      <c r="E8306" s="10" t="s">
        <v>38550</v>
      </c>
      <c r="F8306" s="10" t="s">
        <v>686</v>
      </c>
      <c r="G8306" s="10" t="s">
        <v>9536</v>
      </c>
      <c r="H8306" s="11">
        <v>37377</v>
      </c>
      <c r="I8306" s="10">
        <v>2002</v>
      </c>
      <c r="J8306" s="10" t="s">
        <v>38550</v>
      </c>
      <c r="K8306" s="10">
        <v>225</v>
      </c>
      <c r="L8306" s="10" t="s">
        <v>38569</v>
      </c>
      <c r="M8306" s="10">
        <v>1</v>
      </c>
      <c r="N8306" s="10"/>
      <c r="O8306" s="10"/>
      <c r="P8306" s="10" t="s">
        <v>38570</v>
      </c>
      <c r="Q8306" s="10">
        <v>378.71</v>
      </c>
      <c r="R8306" s="10" t="s">
        <v>38571</v>
      </c>
      <c r="S8306" s="10" t="s">
        <v>53</v>
      </c>
      <c r="T8306" s="10" t="s">
        <v>54</v>
      </c>
    </row>
    <row r="8307" spans="1:20" ht="14.5" x14ac:dyDescent="0.35">
      <c r="A8307" s="10" t="s">
        <v>38572</v>
      </c>
      <c r="B8307" s="10" t="str">
        <f>"9780774803816"</f>
        <v>9780774803816</v>
      </c>
      <c r="C8307" s="10" t="str">
        <f>"9780774853620"</f>
        <v>9780774853620</v>
      </c>
      <c r="D8307" s="10" t="s">
        <v>38549</v>
      </c>
      <c r="E8307" s="10" t="s">
        <v>38550</v>
      </c>
      <c r="F8307" s="10" t="s">
        <v>686</v>
      </c>
      <c r="G8307" s="10" t="s">
        <v>9536</v>
      </c>
      <c r="H8307" s="11">
        <v>33239</v>
      </c>
      <c r="I8307" s="10">
        <v>1991</v>
      </c>
      <c r="J8307" s="10" t="s">
        <v>38550</v>
      </c>
      <c r="K8307" s="10">
        <v>215</v>
      </c>
      <c r="L8307" s="10" t="s">
        <v>38573</v>
      </c>
      <c r="M8307" s="10">
        <v>1</v>
      </c>
      <c r="N8307" s="10" t="s">
        <v>38574</v>
      </c>
      <c r="O8307" s="10"/>
      <c r="P8307" s="10" t="s">
        <v>38575</v>
      </c>
      <c r="Q8307" s="10" t="s">
        <v>38576</v>
      </c>
      <c r="R8307" s="10" t="s">
        <v>38577</v>
      </c>
      <c r="S8307" s="10" t="s">
        <v>53</v>
      </c>
      <c r="T8307" s="10" t="s">
        <v>8717</v>
      </c>
    </row>
    <row r="8308" spans="1:20" ht="14.5" x14ac:dyDescent="0.35">
      <c r="A8308" s="10" t="s">
        <v>38578</v>
      </c>
      <c r="B8308" s="10" t="str">
        <f>"9780774806114"</f>
        <v>9780774806114</v>
      </c>
      <c r="C8308" s="10" t="str">
        <f>"9780774854535"</f>
        <v>9780774854535</v>
      </c>
      <c r="D8308" s="10" t="s">
        <v>38549</v>
      </c>
      <c r="E8308" s="10" t="s">
        <v>38550</v>
      </c>
      <c r="F8308" s="10" t="s">
        <v>686</v>
      </c>
      <c r="G8308" s="10" t="s">
        <v>9536</v>
      </c>
      <c r="H8308" s="11">
        <v>35601</v>
      </c>
      <c r="I8308" s="10">
        <v>1998</v>
      </c>
      <c r="J8308" s="10" t="s">
        <v>38550</v>
      </c>
      <c r="K8308" s="10">
        <v>264</v>
      </c>
      <c r="L8308" s="10" t="s">
        <v>38579</v>
      </c>
      <c r="M8308" s="10">
        <v>1</v>
      </c>
      <c r="N8308" s="10"/>
      <c r="O8308" s="10"/>
      <c r="P8308" s="10" t="s">
        <v>38580</v>
      </c>
      <c r="Q8308" s="10" t="s">
        <v>38581</v>
      </c>
      <c r="R8308" s="10" t="s">
        <v>38582</v>
      </c>
      <c r="S8308" s="10" t="s">
        <v>53</v>
      </c>
      <c r="T8308" s="10" t="s">
        <v>6472</v>
      </c>
    </row>
    <row r="8309" spans="1:20" ht="14.5" x14ac:dyDescent="0.35">
      <c r="A8309" s="10" t="s">
        <v>38583</v>
      </c>
      <c r="B8309" s="10" t="str">
        <f>"9780774805162"</f>
        <v>9780774805162</v>
      </c>
      <c r="C8309" s="10" t="str">
        <f>"9780774853798"</f>
        <v>9780774853798</v>
      </c>
      <c r="D8309" s="10" t="s">
        <v>38549</v>
      </c>
      <c r="E8309" s="10" t="s">
        <v>38550</v>
      </c>
      <c r="F8309" s="10" t="s">
        <v>686</v>
      </c>
      <c r="G8309" s="10" t="s">
        <v>9536</v>
      </c>
      <c r="H8309" s="11">
        <v>34700</v>
      </c>
      <c r="I8309" s="10">
        <v>1995</v>
      </c>
      <c r="J8309" s="10" t="s">
        <v>38550</v>
      </c>
      <c r="K8309" s="10">
        <v>297</v>
      </c>
      <c r="L8309" s="10" t="s">
        <v>38584</v>
      </c>
      <c r="M8309" s="10">
        <v>1</v>
      </c>
      <c r="N8309" s="10"/>
      <c r="O8309" s="10"/>
      <c r="P8309" s="10" t="s">
        <v>38585</v>
      </c>
      <c r="Q8309" s="10" t="s">
        <v>38586</v>
      </c>
      <c r="R8309" s="10" t="s">
        <v>38587</v>
      </c>
      <c r="S8309" s="10" t="s">
        <v>53</v>
      </c>
      <c r="T8309" s="10" t="s">
        <v>54</v>
      </c>
    </row>
    <row r="8310" spans="1:20" ht="14.5" x14ac:dyDescent="0.35">
      <c r="A8310" s="10" t="s">
        <v>38588</v>
      </c>
      <c r="B8310" s="10" t="str">
        <f>"9780774804660"</f>
        <v>9780774804660</v>
      </c>
      <c r="C8310" s="10" t="str">
        <f>"9780774854054"</f>
        <v>9780774854054</v>
      </c>
      <c r="D8310" s="10" t="s">
        <v>38549</v>
      </c>
      <c r="E8310" s="10" t="s">
        <v>38550</v>
      </c>
      <c r="F8310" s="10" t="s">
        <v>686</v>
      </c>
      <c r="G8310" s="10" t="s">
        <v>9536</v>
      </c>
      <c r="H8310" s="11">
        <v>34700</v>
      </c>
      <c r="I8310" s="10">
        <v>1995</v>
      </c>
      <c r="J8310" s="10" t="s">
        <v>38550</v>
      </c>
      <c r="K8310" s="10">
        <v>305</v>
      </c>
      <c r="L8310" s="10" t="s">
        <v>38589</v>
      </c>
      <c r="M8310" s="10">
        <v>1</v>
      </c>
      <c r="N8310" s="10"/>
      <c r="O8310" s="10"/>
      <c r="P8310" s="10" t="s">
        <v>38590</v>
      </c>
      <c r="Q8310" s="10" t="s">
        <v>38591</v>
      </c>
      <c r="R8310" s="10" t="s">
        <v>38592</v>
      </c>
      <c r="S8310" s="10" t="s">
        <v>53</v>
      </c>
      <c r="T8310" s="10" t="s">
        <v>16298</v>
      </c>
    </row>
    <row r="8311" spans="1:20" ht="14.5" x14ac:dyDescent="0.35">
      <c r="A8311" s="10" t="s">
        <v>38593</v>
      </c>
      <c r="B8311" s="10" t="str">
        <f>"9780774813747"</f>
        <v>9780774813747</v>
      </c>
      <c r="C8311" s="10" t="str">
        <f>"9780774855716"</f>
        <v>9780774855716</v>
      </c>
      <c r="D8311" s="10" t="s">
        <v>38549</v>
      </c>
      <c r="E8311" s="10" t="s">
        <v>38550</v>
      </c>
      <c r="F8311" s="10" t="s">
        <v>686</v>
      </c>
      <c r="G8311" s="10" t="s">
        <v>9536</v>
      </c>
      <c r="H8311" s="11">
        <v>39212</v>
      </c>
      <c r="I8311" s="10">
        <v>2007</v>
      </c>
      <c r="J8311" s="10" t="s">
        <v>38550</v>
      </c>
      <c r="K8311" s="10">
        <v>241</v>
      </c>
      <c r="L8311" s="10" t="s">
        <v>38594</v>
      </c>
      <c r="M8311" s="10">
        <v>1</v>
      </c>
      <c r="N8311" s="10" t="s">
        <v>38595</v>
      </c>
      <c r="O8311" s="10"/>
      <c r="P8311" s="10" t="s">
        <v>38596</v>
      </c>
      <c r="Q8311" s="10">
        <v>371.78199999999998</v>
      </c>
      <c r="R8311" s="10" t="s">
        <v>38597</v>
      </c>
      <c r="S8311" s="10" t="s">
        <v>53</v>
      </c>
      <c r="T8311" s="10" t="s">
        <v>54</v>
      </c>
    </row>
    <row r="8312" spans="1:20" ht="14.5" x14ac:dyDescent="0.35">
      <c r="A8312" s="10" t="s">
        <v>38598</v>
      </c>
      <c r="B8312" s="10" t="str">
        <f>"9780774813563"</f>
        <v>9780774813563</v>
      </c>
      <c r="C8312" s="10" t="str">
        <f>"9780774855693"</f>
        <v>9780774855693</v>
      </c>
      <c r="D8312" s="10" t="s">
        <v>38549</v>
      </c>
      <c r="E8312" s="10" t="s">
        <v>38550</v>
      </c>
      <c r="F8312" s="10" t="s">
        <v>686</v>
      </c>
      <c r="G8312" s="10" t="s">
        <v>9536</v>
      </c>
      <c r="H8312" s="11">
        <v>39223</v>
      </c>
      <c r="I8312" s="10">
        <v>2007</v>
      </c>
      <c r="J8312" s="10" t="s">
        <v>38550</v>
      </c>
      <c r="K8312" s="10">
        <v>248</v>
      </c>
      <c r="L8312" s="10" t="s">
        <v>38599</v>
      </c>
      <c r="M8312" s="10">
        <v>1</v>
      </c>
      <c r="N8312" s="10"/>
      <c r="O8312" s="10"/>
      <c r="P8312" s="10" t="s">
        <v>38600</v>
      </c>
      <c r="Q8312" s="10" t="s">
        <v>18070</v>
      </c>
      <c r="R8312" s="10" t="s">
        <v>38601</v>
      </c>
      <c r="S8312" s="10" t="s">
        <v>53</v>
      </c>
      <c r="T8312" s="10" t="s">
        <v>54</v>
      </c>
    </row>
    <row r="8313" spans="1:20" ht="14.5" x14ac:dyDescent="0.35">
      <c r="A8313" s="10" t="s">
        <v>38602</v>
      </c>
      <c r="B8313" s="10" t="str">
        <f>"9780774813259"</f>
        <v>9780774813259</v>
      </c>
      <c r="C8313" s="10" t="str">
        <f>"9780774855648"</f>
        <v>9780774855648</v>
      </c>
      <c r="D8313" s="10" t="s">
        <v>38549</v>
      </c>
      <c r="E8313" s="10" t="s">
        <v>38550</v>
      </c>
      <c r="F8313" s="10" t="s">
        <v>686</v>
      </c>
      <c r="G8313" s="10" t="s">
        <v>9536</v>
      </c>
      <c r="H8313" s="11">
        <v>39181</v>
      </c>
      <c r="I8313" s="10">
        <v>2007</v>
      </c>
      <c r="J8313" s="10" t="s">
        <v>38550</v>
      </c>
      <c r="K8313" s="10">
        <v>272</v>
      </c>
      <c r="L8313" s="10" t="s">
        <v>38603</v>
      </c>
      <c r="M8313" s="10">
        <v>1</v>
      </c>
      <c r="N8313" s="10"/>
      <c r="O8313" s="10"/>
      <c r="P8313" s="10" t="s">
        <v>38604</v>
      </c>
      <c r="Q8313" s="10">
        <v>370.11709710000002</v>
      </c>
      <c r="R8313" s="10" t="s">
        <v>38605</v>
      </c>
      <c r="S8313" s="10" t="s">
        <v>53</v>
      </c>
      <c r="T8313" s="10" t="s">
        <v>54</v>
      </c>
    </row>
    <row r="8314" spans="1:20" ht="14.5" x14ac:dyDescent="0.35">
      <c r="A8314" s="10" t="s">
        <v>38606</v>
      </c>
      <c r="B8314" s="10" t="str">
        <f>"9780774802499"</f>
        <v>9780774802499</v>
      </c>
      <c r="C8314" s="10" t="str">
        <f>"9780774856966"</f>
        <v>9780774856966</v>
      </c>
      <c r="D8314" s="10" t="s">
        <v>38549</v>
      </c>
      <c r="E8314" s="10" t="s">
        <v>38550</v>
      </c>
      <c r="F8314" s="10" t="s">
        <v>686</v>
      </c>
      <c r="G8314" s="10" t="s">
        <v>9536</v>
      </c>
      <c r="H8314" s="11">
        <v>31413</v>
      </c>
      <c r="I8314" s="10">
        <v>1986</v>
      </c>
      <c r="J8314" s="10" t="s">
        <v>38550</v>
      </c>
      <c r="K8314" s="10">
        <v>371</v>
      </c>
      <c r="L8314" s="10" t="s">
        <v>38607</v>
      </c>
      <c r="M8314" s="10">
        <v>1</v>
      </c>
      <c r="N8314" s="10"/>
      <c r="O8314" s="10"/>
      <c r="P8314" s="10" t="s">
        <v>38608</v>
      </c>
      <c r="Q8314" s="10">
        <v>378.15429999999998</v>
      </c>
      <c r="R8314" s="10" t="s">
        <v>38609</v>
      </c>
      <c r="S8314" s="10" t="s">
        <v>53</v>
      </c>
      <c r="T8314" s="10" t="s">
        <v>54</v>
      </c>
    </row>
    <row r="8315" spans="1:20" ht="14.5" x14ac:dyDescent="0.35">
      <c r="A8315" s="10" t="s">
        <v>38610</v>
      </c>
      <c r="B8315" s="10" t="str">
        <f>"9780774802857"</f>
        <v>9780774802857</v>
      </c>
      <c r="C8315" s="10" t="str">
        <f>"9780774856898"</f>
        <v>9780774856898</v>
      </c>
      <c r="D8315" s="10" t="s">
        <v>38549</v>
      </c>
      <c r="E8315" s="10" t="s">
        <v>38550</v>
      </c>
      <c r="F8315" s="10" t="s">
        <v>686</v>
      </c>
      <c r="G8315" s="10" t="s">
        <v>9536</v>
      </c>
      <c r="H8315" s="11">
        <v>31778</v>
      </c>
      <c r="I8315" s="10">
        <v>1987</v>
      </c>
      <c r="J8315" s="10" t="s">
        <v>38550</v>
      </c>
      <c r="K8315" s="10">
        <v>277</v>
      </c>
      <c r="L8315" s="10" t="s">
        <v>38611</v>
      </c>
      <c r="M8315" s="10">
        <v>1</v>
      </c>
      <c r="N8315" s="10"/>
      <c r="O8315" s="10"/>
      <c r="P8315" s="10" t="s">
        <v>38612</v>
      </c>
      <c r="Q8315" s="10">
        <v>378.11099999999999</v>
      </c>
      <c r="R8315" s="10" t="s">
        <v>38613</v>
      </c>
      <c r="S8315" s="10" t="s">
        <v>53</v>
      </c>
      <c r="T8315" s="10" t="s">
        <v>54</v>
      </c>
    </row>
    <row r="8316" spans="1:20" ht="14.5" x14ac:dyDescent="0.35">
      <c r="A8316" s="10" t="s">
        <v>38614</v>
      </c>
      <c r="B8316" s="10" t="str">
        <f>"9780774803533"</f>
        <v>9780774803533</v>
      </c>
      <c r="C8316" s="10" t="str">
        <f>"9780774856683"</f>
        <v>9780774856683</v>
      </c>
      <c r="D8316" s="10" t="s">
        <v>38549</v>
      </c>
      <c r="E8316" s="10" t="s">
        <v>38550</v>
      </c>
      <c r="F8316" s="10" t="s">
        <v>686</v>
      </c>
      <c r="G8316" s="10" t="s">
        <v>9536</v>
      </c>
      <c r="H8316" s="11">
        <v>32874</v>
      </c>
      <c r="I8316" s="10">
        <v>1990</v>
      </c>
      <c r="J8316" s="10" t="s">
        <v>38550</v>
      </c>
      <c r="K8316" s="10">
        <v>205</v>
      </c>
      <c r="L8316" s="10" t="s">
        <v>38615</v>
      </c>
      <c r="M8316" s="10">
        <v>1</v>
      </c>
      <c r="N8316" s="10"/>
      <c r="O8316" s="10"/>
      <c r="P8316" s="10" t="s">
        <v>38616</v>
      </c>
      <c r="Q8316" s="10">
        <v>378.71132999999998</v>
      </c>
      <c r="R8316" s="10" t="s">
        <v>38617</v>
      </c>
      <c r="S8316" s="10" t="s">
        <v>53</v>
      </c>
      <c r="T8316" s="10" t="s">
        <v>54</v>
      </c>
    </row>
    <row r="8317" spans="1:20" ht="14.5" x14ac:dyDescent="0.35">
      <c r="A8317" s="10" t="s">
        <v>38618</v>
      </c>
      <c r="B8317" s="10" t="str">
        <f>"9780774802307"</f>
        <v>9780774802307</v>
      </c>
      <c r="C8317" s="10" t="str">
        <f>"9780774856980"</f>
        <v>9780774856980</v>
      </c>
      <c r="D8317" s="10" t="s">
        <v>38549</v>
      </c>
      <c r="E8317" s="10" t="s">
        <v>38550</v>
      </c>
      <c r="F8317" s="10" t="s">
        <v>686</v>
      </c>
      <c r="G8317" s="10" t="s">
        <v>9536</v>
      </c>
      <c r="H8317" s="11">
        <v>31413</v>
      </c>
      <c r="I8317" s="10">
        <v>1986</v>
      </c>
      <c r="J8317" s="10" t="s">
        <v>38550</v>
      </c>
      <c r="K8317" s="10">
        <v>187</v>
      </c>
      <c r="L8317" s="10" t="s">
        <v>38619</v>
      </c>
      <c r="M8317" s="10">
        <v>1</v>
      </c>
      <c r="N8317" s="10"/>
      <c r="O8317" s="10"/>
      <c r="P8317" s="10" t="s">
        <v>38620</v>
      </c>
      <c r="Q8317" s="10">
        <v>370</v>
      </c>
      <c r="R8317" s="10" t="s">
        <v>38621</v>
      </c>
      <c r="S8317" s="10" t="s">
        <v>53</v>
      </c>
      <c r="T8317" s="10" t="s">
        <v>54</v>
      </c>
    </row>
    <row r="8318" spans="1:20" ht="14.5" x14ac:dyDescent="0.35">
      <c r="A8318" s="10" t="s">
        <v>38622</v>
      </c>
      <c r="B8318" s="10" t="str">
        <f>"9780774802024"</f>
        <v>9780774802024</v>
      </c>
      <c r="C8318" s="10" t="str">
        <f>"9780774857581"</f>
        <v>9780774857581</v>
      </c>
      <c r="D8318" s="10" t="s">
        <v>38549</v>
      </c>
      <c r="E8318" s="10" t="s">
        <v>38550</v>
      </c>
      <c r="F8318" s="10" t="s">
        <v>686</v>
      </c>
      <c r="G8318" s="10" t="s">
        <v>9536</v>
      </c>
      <c r="H8318" s="11">
        <v>30682</v>
      </c>
      <c r="I8318" s="10">
        <v>1984</v>
      </c>
      <c r="J8318" s="10" t="s">
        <v>38550</v>
      </c>
      <c r="K8318" s="10">
        <v>284</v>
      </c>
      <c r="L8318" s="10" t="s">
        <v>38623</v>
      </c>
      <c r="M8318" s="10">
        <v>1</v>
      </c>
      <c r="N8318" s="10"/>
      <c r="O8318" s="10"/>
      <c r="P8318" s="10" t="s">
        <v>38624</v>
      </c>
      <c r="Q8318" s="10">
        <v>371.02</v>
      </c>
      <c r="R8318" s="10" t="s">
        <v>38625</v>
      </c>
      <c r="S8318" s="10" t="s">
        <v>53</v>
      </c>
      <c r="T8318" s="10" t="s">
        <v>54</v>
      </c>
    </row>
    <row r="8319" spans="1:20" ht="14.5" x14ac:dyDescent="0.35">
      <c r="A8319" s="10" t="s">
        <v>38626</v>
      </c>
      <c r="B8319" s="10" t="str">
        <f>"9780774815697"</f>
        <v>9780774815697</v>
      </c>
      <c r="C8319" s="10" t="str">
        <f>"9780774815710"</f>
        <v>9780774815710</v>
      </c>
      <c r="D8319" s="10" t="s">
        <v>38549</v>
      </c>
      <c r="E8319" s="10" t="s">
        <v>38550</v>
      </c>
      <c r="F8319" s="10" t="s">
        <v>686</v>
      </c>
      <c r="G8319" s="10" t="s">
        <v>9536</v>
      </c>
      <c r="H8319" s="11">
        <v>39752</v>
      </c>
      <c r="I8319" s="10">
        <v>2008</v>
      </c>
      <c r="J8319" s="10" t="s">
        <v>38550</v>
      </c>
      <c r="K8319" s="10">
        <v>243</v>
      </c>
      <c r="L8319" s="10" t="s">
        <v>38627</v>
      </c>
      <c r="M8319" s="10">
        <v>1</v>
      </c>
      <c r="N8319" s="10"/>
      <c r="O8319" s="10"/>
      <c r="P8319" s="10" t="s">
        <v>38628</v>
      </c>
      <c r="Q8319" s="10" t="s">
        <v>38629</v>
      </c>
      <c r="R8319" s="10" t="s">
        <v>38630</v>
      </c>
      <c r="S8319" s="10" t="s">
        <v>53</v>
      </c>
      <c r="T8319" s="10" t="s">
        <v>11186</v>
      </c>
    </row>
    <row r="8320" spans="1:20" ht="14.5" x14ac:dyDescent="0.35">
      <c r="A8320" s="10" t="s">
        <v>38631</v>
      </c>
      <c r="B8320" s="10" t="str">
        <f>"9780774816595"</f>
        <v>9780774816595</v>
      </c>
      <c r="C8320" s="10" t="str">
        <f>"9780774816618"</f>
        <v>9780774816618</v>
      </c>
      <c r="D8320" s="10" t="s">
        <v>38549</v>
      </c>
      <c r="E8320" s="10" t="s">
        <v>38550</v>
      </c>
      <c r="F8320" s="10" t="s">
        <v>686</v>
      </c>
      <c r="G8320" s="10" t="s">
        <v>9536</v>
      </c>
      <c r="H8320" s="11">
        <v>39969</v>
      </c>
      <c r="I8320" s="10">
        <v>2009</v>
      </c>
      <c r="J8320" s="10" t="s">
        <v>38550</v>
      </c>
      <c r="K8320" s="10">
        <v>352</v>
      </c>
      <c r="L8320" s="10" t="s">
        <v>38632</v>
      </c>
      <c r="M8320" s="10">
        <v>1</v>
      </c>
      <c r="N8320" s="10"/>
      <c r="O8320" s="10"/>
      <c r="P8320" s="10" t="s">
        <v>38633</v>
      </c>
      <c r="Q8320" s="10">
        <v>372.21</v>
      </c>
      <c r="R8320" s="10" t="s">
        <v>38634</v>
      </c>
      <c r="S8320" s="10" t="s">
        <v>53</v>
      </c>
      <c r="T8320" s="10" t="s">
        <v>54</v>
      </c>
    </row>
    <row r="8321" spans="1:20" ht="14.5" x14ac:dyDescent="0.35">
      <c r="A8321" s="10" t="s">
        <v>38635</v>
      </c>
      <c r="B8321" s="10" t="str">
        <f>"9780774820585"</f>
        <v>9780774820585</v>
      </c>
      <c r="C8321" s="10" t="str">
        <f>"9780774820608"</f>
        <v>9780774820608</v>
      </c>
      <c r="D8321" s="10" t="s">
        <v>38549</v>
      </c>
      <c r="E8321" s="10" t="s">
        <v>38550</v>
      </c>
      <c r="F8321" s="10" t="s">
        <v>686</v>
      </c>
      <c r="G8321" s="10" t="s">
        <v>9536</v>
      </c>
      <c r="H8321" s="11">
        <v>40756</v>
      </c>
      <c r="I8321" s="10">
        <v>2011</v>
      </c>
      <c r="J8321" s="10" t="s">
        <v>38550</v>
      </c>
      <c r="K8321" s="10">
        <v>408</v>
      </c>
      <c r="L8321" s="10" t="s">
        <v>38636</v>
      </c>
      <c r="M8321" s="10">
        <v>1</v>
      </c>
      <c r="N8321" s="10"/>
      <c r="O8321" s="10"/>
      <c r="P8321" s="10" t="s">
        <v>38637</v>
      </c>
      <c r="Q8321" s="10">
        <v>971.00710000000004</v>
      </c>
      <c r="R8321" s="10" t="s">
        <v>38638</v>
      </c>
      <c r="S8321" s="10" t="s">
        <v>53</v>
      </c>
      <c r="T8321" s="10" t="s">
        <v>4490</v>
      </c>
    </row>
    <row r="8322" spans="1:20" ht="14.5" x14ac:dyDescent="0.35">
      <c r="A8322" s="10" t="s">
        <v>38639</v>
      </c>
      <c r="B8322" s="10" t="str">
        <f>"9780774823968"</f>
        <v>9780774823968</v>
      </c>
      <c r="C8322" s="10" t="str">
        <f>"9780774823982"</f>
        <v>9780774823982</v>
      </c>
      <c r="D8322" s="10" t="s">
        <v>38549</v>
      </c>
      <c r="E8322" s="10" t="s">
        <v>38550</v>
      </c>
      <c r="F8322" s="10" t="s">
        <v>686</v>
      </c>
      <c r="G8322" s="10" t="s">
        <v>9536</v>
      </c>
      <c r="H8322" s="11">
        <v>41152</v>
      </c>
      <c r="I8322" s="10">
        <v>2012</v>
      </c>
      <c r="J8322" s="10" t="s">
        <v>38550</v>
      </c>
      <c r="K8322" s="10">
        <v>220</v>
      </c>
      <c r="L8322" s="10" t="s">
        <v>38640</v>
      </c>
      <c r="M8322" s="10">
        <v>1</v>
      </c>
      <c r="N8322" s="10"/>
      <c r="O8322" s="10"/>
      <c r="P8322" s="10" t="s">
        <v>38641</v>
      </c>
      <c r="Q8322" s="10" t="s">
        <v>26632</v>
      </c>
      <c r="R8322" s="10" t="s">
        <v>38642</v>
      </c>
      <c r="S8322" s="10" t="s">
        <v>53</v>
      </c>
      <c r="T8322" s="10" t="s">
        <v>54</v>
      </c>
    </row>
    <row r="8323" spans="1:20" ht="14.5" x14ac:dyDescent="0.35">
      <c r="A8323" s="10" t="s">
        <v>38643</v>
      </c>
      <c r="B8323" s="10" t="str">
        <f>"9780774813471"</f>
        <v>9780774813471</v>
      </c>
      <c r="C8323" s="10" t="str">
        <f>"9780774855723"</f>
        <v>9780774855723</v>
      </c>
      <c r="D8323" s="10" t="s">
        <v>38549</v>
      </c>
      <c r="E8323" s="10" t="s">
        <v>38550</v>
      </c>
      <c r="F8323" s="10" t="s">
        <v>686</v>
      </c>
      <c r="G8323" s="10" t="s">
        <v>9536</v>
      </c>
      <c r="H8323" s="11">
        <v>39141</v>
      </c>
      <c r="I8323" s="10">
        <v>2007</v>
      </c>
      <c r="J8323" s="10" t="s">
        <v>38550</v>
      </c>
      <c r="K8323" s="10">
        <v>317</v>
      </c>
      <c r="L8323" s="10" t="s">
        <v>38644</v>
      </c>
      <c r="M8323" s="10">
        <v>1</v>
      </c>
      <c r="N8323" s="10" t="s">
        <v>38645</v>
      </c>
      <c r="O8323" s="10"/>
      <c r="P8323" s="10" t="s">
        <v>38646</v>
      </c>
      <c r="Q8323" s="10">
        <v>317</v>
      </c>
      <c r="R8323" s="10" t="s">
        <v>38647</v>
      </c>
      <c r="S8323" s="10" t="s">
        <v>53</v>
      </c>
      <c r="T8323" s="10" t="s">
        <v>6526</v>
      </c>
    </row>
    <row r="8324" spans="1:20" ht="14.5" x14ac:dyDescent="0.35">
      <c r="A8324" s="10" t="s">
        <v>38648</v>
      </c>
      <c r="B8324" s="10" t="str">
        <f>"9780252035876"</f>
        <v>9780252035876</v>
      </c>
      <c r="C8324" s="10" t="str">
        <f>"9780252090288"</f>
        <v>9780252090288</v>
      </c>
      <c r="D8324" s="10" t="s">
        <v>3194</v>
      </c>
      <c r="E8324" s="10" t="s">
        <v>3194</v>
      </c>
      <c r="F8324" s="10" t="s">
        <v>2200</v>
      </c>
      <c r="G8324" s="10" t="s">
        <v>6317</v>
      </c>
      <c r="H8324" s="11">
        <v>40513</v>
      </c>
      <c r="I8324" s="10">
        <v>2011</v>
      </c>
      <c r="J8324" s="10" t="s">
        <v>3194</v>
      </c>
      <c r="K8324" s="10">
        <v>361</v>
      </c>
      <c r="L8324" s="10" t="s">
        <v>38649</v>
      </c>
      <c r="M8324" s="10">
        <v>1</v>
      </c>
      <c r="N8324" s="10"/>
      <c r="O8324" s="10"/>
      <c r="P8324" s="10" t="s">
        <v>38650</v>
      </c>
      <c r="Q8324" s="10" t="s">
        <v>17332</v>
      </c>
      <c r="R8324" s="10" t="s">
        <v>38651</v>
      </c>
      <c r="S8324" s="10" t="s">
        <v>53</v>
      </c>
      <c r="T8324" s="10" t="s">
        <v>7340</v>
      </c>
    </row>
    <row r="8325" spans="1:20" ht="14.5" x14ac:dyDescent="0.35">
      <c r="A8325" s="10" t="s">
        <v>38652</v>
      </c>
      <c r="B8325" s="10" t="str">
        <f>"9780252035739"</f>
        <v>9780252035739</v>
      </c>
      <c r="C8325" s="10" t="str">
        <f>"9780252090172"</f>
        <v>9780252090172</v>
      </c>
      <c r="D8325" s="10" t="s">
        <v>3194</v>
      </c>
      <c r="E8325" s="10" t="s">
        <v>3194</v>
      </c>
      <c r="F8325" s="10" t="s">
        <v>2200</v>
      </c>
      <c r="G8325" s="10" t="s">
        <v>6317</v>
      </c>
      <c r="H8325" s="11">
        <v>40483</v>
      </c>
      <c r="I8325" s="10">
        <v>2010</v>
      </c>
      <c r="J8325" s="10" t="s">
        <v>3194</v>
      </c>
      <c r="K8325" s="10">
        <v>233</v>
      </c>
      <c r="L8325" s="10" t="s">
        <v>38653</v>
      </c>
      <c r="M8325" s="10">
        <v>1</v>
      </c>
      <c r="N8325" s="10"/>
      <c r="O8325" s="10"/>
      <c r="P8325" s="10" t="s">
        <v>38654</v>
      </c>
      <c r="Q8325" s="10" t="s">
        <v>38655</v>
      </c>
      <c r="R8325" s="10" t="s">
        <v>38656</v>
      </c>
      <c r="S8325" s="10" t="s">
        <v>53</v>
      </c>
      <c r="T8325" s="10" t="s">
        <v>8368</v>
      </c>
    </row>
    <row r="8326" spans="1:20" ht="14.5" x14ac:dyDescent="0.35">
      <c r="A8326" s="10" t="s">
        <v>38657</v>
      </c>
      <c r="B8326" s="10" t="str">
        <f>"9780252034527"</f>
        <v>9780252034527</v>
      </c>
      <c r="C8326" s="10" t="str">
        <f>"9780252090585"</f>
        <v>9780252090585</v>
      </c>
      <c r="D8326" s="10" t="s">
        <v>3194</v>
      </c>
      <c r="E8326" s="10" t="s">
        <v>3194</v>
      </c>
      <c r="F8326" s="10" t="s">
        <v>2200</v>
      </c>
      <c r="G8326" s="10" t="s">
        <v>6317</v>
      </c>
      <c r="H8326" s="11">
        <v>40009</v>
      </c>
      <c r="I8326" s="10">
        <v>2012</v>
      </c>
      <c r="J8326" s="10" t="s">
        <v>3194</v>
      </c>
      <c r="K8326" s="10">
        <v>273</v>
      </c>
      <c r="L8326" s="10" t="s">
        <v>38658</v>
      </c>
      <c r="M8326" s="10">
        <v>1</v>
      </c>
      <c r="N8326" s="10"/>
      <c r="O8326" s="10"/>
      <c r="P8326" s="10" t="s">
        <v>38659</v>
      </c>
      <c r="Q8326" s="10" t="s">
        <v>15316</v>
      </c>
      <c r="R8326" s="10" t="s">
        <v>38660</v>
      </c>
      <c r="S8326" s="10" t="s">
        <v>53</v>
      </c>
      <c r="T8326" s="10" t="s">
        <v>54</v>
      </c>
    </row>
    <row r="8327" spans="1:20" ht="14.5" x14ac:dyDescent="0.35">
      <c r="A8327" s="10" t="s">
        <v>38661</v>
      </c>
      <c r="B8327" s="10" t="str">
        <f>"9780252034848"</f>
        <v>9780252034848</v>
      </c>
      <c r="C8327" s="10" t="str">
        <f>"9780252090646"</f>
        <v>9780252090646</v>
      </c>
      <c r="D8327" s="10" t="s">
        <v>3194</v>
      </c>
      <c r="E8327" s="10" t="s">
        <v>3194</v>
      </c>
      <c r="F8327" s="10" t="s">
        <v>2200</v>
      </c>
      <c r="G8327" s="10" t="s">
        <v>6317</v>
      </c>
      <c r="H8327" s="11">
        <v>40081</v>
      </c>
      <c r="I8327" s="10">
        <v>2009</v>
      </c>
      <c r="J8327" s="10" t="s">
        <v>3194</v>
      </c>
      <c r="K8327" s="10">
        <v>129</v>
      </c>
      <c r="L8327" s="10" t="s">
        <v>38662</v>
      </c>
      <c r="M8327" s="10">
        <v>1</v>
      </c>
      <c r="N8327" s="10"/>
      <c r="O8327" s="10"/>
      <c r="P8327" s="10" t="s">
        <v>13305</v>
      </c>
      <c r="Q8327" s="10" t="s">
        <v>38663</v>
      </c>
      <c r="R8327" s="10" t="s">
        <v>38664</v>
      </c>
      <c r="S8327" s="10" t="s">
        <v>53</v>
      </c>
      <c r="T8327" s="10" t="s">
        <v>9608</v>
      </c>
    </row>
    <row r="8328" spans="1:20" ht="14.5" x14ac:dyDescent="0.35">
      <c r="A8328" s="10" t="s">
        <v>6114</v>
      </c>
      <c r="B8328" s="10" t="str">
        <f>"9780252034961"</f>
        <v>9780252034961</v>
      </c>
      <c r="C8328" s="10" t="str">
        <f>"9780252090882"</f>
        <v>9780252090882</v>
      </c>
      <c r="D8328" s="10" t="s">
        <v>3194</v>
      </c>
      <c r="E8328" s="10" t="s">
        <v>3194</v>
      </c>
      <c r="F8328" s="10" t="s">
        <v>2200</v>
      </c>
      <c r="G8328" s="10" t="s">
        <v>6317</v>
      </c>
      <c r="H8328" s="11">
        <v>40154</v>
      </c>
      <c r="I8328" s="10">
        <v>2009</v>
      </c>
      <c r="J8328" s="10" t="s">
        <v>3194</v>
      </c>
      <c r="K8328" s="10">
        <v>297</v>
      </c>
      <c r="L8328" s="10" t="s">
        <v>38665</v>
      </c>
      <c r="M8328" s="10">
        <v>1</v>
      </c>
      <c r="N8328" s="10"/>
      <c r="O8328" s="10"/>
      <c r="P8328" s="10" t="s">
        <v>38666</v>
      </c>
      <c r="Q8328" s="10" t="s">
        <v>11314</v>
      </c>
      <c r="R8328" s="10" t="s">
        <v>38667</v>
      </c>
      <c r="S8328" s="10" t="s">
        <v>53</v>
      </c>
      <c r="T8328" s="10" t="s">
        <v>54</v>
      </c>
    </row>
    <row r="8329" spans="1:20" ht="14.5" x14ac:dyDescent="0.35">
      <c r="A8329" s="10" t="s">
        <v>38668</v>
      </c>
      <c r="B8329" s="10" t="str">
        <f>"9780252029486"</f>
        <v>9780252029486</v>
      </c>
      <c r="C8329" s="10" t="str">
        <f>"9780252090486"</f>
        <v>9780252090486</v>
      </c>
      <c r="D8329" s="10" t="s">
        <v>3194</v>
      </c>
      <c r="E8329" s="10" t="s">
        <v>3194</v>
      </c>
      <c r="F8329" s="10" t="s">
        <v>2200</v>
      </c>
      <c r="G8329" s="10" t="s">
        <v>6317</v>
      </c>
      <c r="H8329" s="11">
        <v>38229</v>
      </c>
      <c r="I8329" s="10">
        <v>2004</v>
      </c>
      <c r="J8329" s="10" t="s">
        <v>3194</v>
      </c>
      <c r="K8329" s="10">
        <v>293</v>
      </c>
      <c r="L8329" s="10" t="s">
        <v>38669</v>
      </c>
      <c r="M8329" s="10">
        <v>1</v>
      </c>
      <c r="N8329" s="10"/>
      <c r="O8329" s="10"/>
      <c r="P8329" s="10" t="s">
        <v>21904</v>
      </c>
      <c r="Q8329" s="10" t="s">
        <v>38670</v>
      </c>
      <c r="R8329" s="10" t="s">
        <v>38671</v>
      </c>
      <c r="S8329" s="10" t="s">
        <v>53</v>
      </c>
      <c r="T8329" s="10" t="s">
        <v>7340</v>
      </c>
    </row>
    <row r="8330" spans="1:20" ht="14.5" x14ac:dyDescent="0.35">
      <c r="A8330" s="10" t="s">
        <v>38672</v>
      </c>
      <c r="B8330" s="10" t="str">
        <f>"9780252030802"</f>
        <v>9780252030802</v>
      </c>
      <c r="C8330" s="10" t="str">
        <f>"9780252091858"</f>
        <v>9780252091858</v>
      </c>
      <c r="D8330" s="10" t="s">
        <v>3194</v>
      </c>
      <c r="E8330" s="10" t="s">
        <v>3194</v>
      </c>
      <c r="F8330" s="10" t="s">
        <v>2200</v>
      </c>
      <c r="G8330" s="10" t="s">
        <v>6317</v>
      </c>
      <c r="H8330" s="11">
        <v>38821</v>
      </c>
      <c r="I8330" s="10">
        <v>2005</v>
      </c>
      <c r="J8330" s="10" t="s">
        <v>3194</v>
      </c>
      <c r="K8330" s="10">
        <v>319</v>
      </c>
      <c r="L8330" s="10" t="s">
        <v>21657</v>
      </c>
      <c r="M8330" s="10">
        <v>1</v>
      </c>
      <c r="N8330" s="10"/>
      <c r="O8330" s="10"/>
      <c r="P8330" s="10" t="s">
        <v>34844</v>
      </c>
      <c r="Q8330" s="10">
        <v>379.73</v>
      </c>
      <c r="R8330" s="10" t="s">
        <v>38673</v>
      </c>
      <c r="S8330" s="10" t="s">
        <v>53</v>
      </c>
      <c r="T8330" s="10" t="s">
        <v>54</v>
      </c>
    </row>
    <row r="8331" spans="1:20" ht="14.5" x14ac:dyDescent="0.35">
      <c r="A8331" s="10" t="s">
        <v>38674</v>
      </c>
      <c r="B8331" s="10" t="str">
        <f>"9780252035524"</f>
        <v>9780252035524</v>
      </c>
      <c r="C8331" s="10" t="str">
        <f>"9780252090233"</f>
        <v>9780252090233</v>
      </c>
      <c r="D8331" s="10" t="s">
        <v>3194</v>
      </c>
      <c r="E8331" s="10" t="s">
        <v>3194</v>
      </c>
      <c r="F8331" s="10" t="s">
        <v>2200</v>
      </c>
      <c r="G8331" s="10" t="s">
        <v>6317</v>
      </c>
      <c r="H8331" s="11">
        <v>40401</v>
      </c>
      <c r="I8331" s="10">
        <v>2010</v>
      </c>
      <c r="J8331" s="10" t="s">
        <v>3194</v>
      </c>
      <c r="K8331" s="10">
        <v>289</v>
      </c>
      <c r="L8331" s="10" t="s">
        <v>38675</v>
      </c>
      <c r="M8331" s="10">
        <v>1</v>
      </c>
      <c r="N8331" s="10"/>
      <c r="O8331" s="10"/>
      <c r="P8331" s="10" t="s">
        <v>38676</v>
      </c>
      <c r="Q8331" s="10">
        <v>780.89</v>
      </c>
      <c r="R8331" s="10" t="s">
        <v>38677</v>
      </c>
      <c r="S8331" s="10" t="s">
        <v>53</v>
      </c>
      <c r="T8331" s="10" t="s">
        <v>6384</v>
      </c>
    </row>
    <row r="8332" spans="1:20" ht="14.5" x14ac:dyDescent="0.35">
      <c r="A8332" s="10" t="s">
        <v>38678</v>
      </c>
      <c r="B8332" s="10" t="str">
        <f>"9780252028298"</f>
        <v>9780252028298</v>
      </c>
      <c r="C8332" s="10" t="str">
        <f>"9780252095801"</f>
        <v>9780252095801</v>
      </c>
      <c r="D8332" s="10" t="s">
        <v>3194</v>
      </c>
      <c r="E8332" s="10" t="s">
        <v>3194</v>
      </c>
      <c r="F8332" s="10" t="s">
        <v>2200</v>
      </c>
      <c r="G8332" s="10" t="s">
        <v>6317</v>
      </c>
      <c r="H8332" s="11">
        <v>37789</v>
      </c>
      <c r="I8332" s="10">
        <v>2003</v>
      </c>
      <c r="J8332" s="10" t="s">
        <v>3194</v>
      </c>
      <c r="K8332" s="10">
        <v>217</v>
      </c>
      <c r="L8332" s="10" t="s">
        <v>38679</v>
      </c>
      <c r="M8332" s="10">
        <v>1</v>
      </c>
      <c r="N8332" s="10"/>
      <c r="O8332" s="10"/>
      <c r="P8332" s="10" t="s">
        <v>38680</v>
      </c>
      <c r="Q8332" s="10"/>
      <c r="R8332" s="10"/>
      <c r="S8332" s="10" t="s">
        <v>53</v>
      </c>
      <c r="T8332" s="10" t="s">
        <v>54</v>
      </c>
    </row>
    <row r="8333" spans="1:20" ht="14.5" x14ac:dyDescent="0.35">
      <c r="A8333" s="10" t="s">
        <v>38681</v>
      </c>
      <c r="B8333" s="10" t="str">
        <f>"9780252037719"</f>
        <v>9780252037719</v>
      </c>
      <c r="C8333" s="10" t="str">
        <f>"9780252094989"</f>
        <v>9780252094989</v>
      </c>
      <c r="D8333" s="10" t="s">
        <v>3194</v>
      </c>
      <c r="E8333" s="10" t="s">
        <v>3194</v>
      </c>
      <c r="F8333" s="10" t="s">
        <v>2200</v>
      </c>
      <c r="G8333" s="10" t="s">
        <v>6317</v>
      </c>
      <c r="H8333" s="11">
        <v>41493</v>
      </c>
      <c r="I8333" s="10">
        <v>2013</v>
      </c>
      <c r="J8333" s="10" t="s">
        <v>3194</v>
      </c>
      <c r="K8333" s="10">
        <v>225</v>
      </c>
      <c r="L8333" s="10" t="s">
        <v>38682</v>
      </c>
      <c r="M8333" s="10">
        <v>1</v>
      </c>
      <c r="N8333" s="10" t="s">
        <v>38683</v>
      </c>
      <c r="O8333" s="10"/>
      <c r="P8333" s="10" t="s">
        <v>38684</v>
      </c>
      <c r="Q8333" s="10" t="s">
        <v>38685</v>
      </c>
      <c r="R8333" s="10" t="s">
        <v>38686</v>
      </c>
      <c r="S8333" s="10" t="s">
        <v>53</v>
      </c>
      <c r="T8333" s="10" t="s">
        <v>6384</v>
      </c>
    </row>
    <row r="8334" spans="1:20" ht="14.5" x14ac:dyDescent="0.35">
      <c r="A8334" s="10" t="s">
        <v>38687</v>
      </c>
      <c r="B8334" s="10" t="str">
        <f>"9780252037917"</f>
        <v>9780252037917</v>
      </c>
      <c r="C8334" s="10" t="str">
        <f>"9780252095177"</f>
        <v>9780252095177</v>
      </c>
      <c r="D8334" s="10" t="s">
        <v>3194</v>
      </c>
      <c r="E8334" s="10" t="s">
        <v>3194</v>
      </c>
      <c r="F8334" s="10" t="s">
        <v>2200</v>
      </c>
      <c r="G8334" s="10" t="s">
        <v>6317</v>
      </c>
      <c r="H8334" s="11">
        <v>41509</v>
      </c>
      <c r="I8334" s="10">
        <v>2013</v>
      </c>
      <c r="J8334" s="10" t="s">
        <v>3194</v>
      </c>
      <c r="K8334" s="10">
        <v>225</v>
      </c>
      <c r="L8334" s="10" t="s">
        <v>38688</v>
      </c>
      <c r="M8334" s="10">
        <v>1</v>
      </c>
      <c r="N8334" s="10" t="s">
        <v>38683</v>
      </c>
      <c r="O8334" s="10"/>
      <c r="P8334" s="10" t="s">
        <v>38689</v>
      </c>
      <c r="Q8334" s="10">
        <v>788.73165091999999</v>
      </c>
      <c r="R8334" s="10" t="s">
        <v>38690</v>
      </c>
      <c r="S8334" s="10" t="s">
        <v>53</v>
      </c>
      <c r="T8334" s="10" t="s">
        <v>6384</v>
      </c>
    </row>
    <row r="8335" spans="1:20" ht="14.5" x14ac:dyDescent="0.35">
      <c r="A8335" s="10" t="s">
        <v>38691</v>
      </c>
      <c r="B8335" s="10" t="str">
        <f>"9780252037887"</f>
        <v>9780252037887</v>
      </c>
      <c r="C8335" s="10" t="str">
        <f>"9780252095146"</f>
        <v>9780252095146</v>
      </c>
      <c r="D8335" s="10" t="s">
        <v>3194</v>
      </c>
      <c r="E8335" s="10" t="s">
        <v>3194</v>
      </c>
      <c r="F8335" s="10" t="s">
        <v>2200</v>
      </c>
      <c r="G8335" s="10" t="s">
        <v>6317</v>
      </c>
      <c r="H8335" s="11">
        <v>41614</v>
      </c>
      <c r="I8335" s="10">
        <v>2013</v>
      </c>
      <c r="J8335" s="10" t="s">
        <v>3194</v>
      </c>
      <c r="K8335" s="10">
        <v>265</v>
      </c>
      <c r="L8335" s="10" t="s">
        <v>38692</v>
      </c>
      <c r="M8335" s="10">
        <v>1</v>
      </c>
      <c r="N8335" s="10"/>
      <c r="O8335" s="10"/>
      <c r="P8335" s="10" t="s">
        <v>38693</v>
      </c>
      <c r="Q8335" s="10" t="s">
        <v>38694</v>
      </c>
      <c r="R8335" s="10" t="s">
        <v>38695</v>
      </c>
      <c r="S8335" s="10" t="s">
        <v>53</v>
      </c>
      <c r="T8335" s="10" t="s">
        <v>6384</v>
      </c>
    </row>
    <row r="8336" spans="1:20" ht="14.5" x14ac:dyDescent="0.35">
      <c r="A8336" s="10" t="s">
        <v>38696</v>
      </c>
      <c r="B8336" s="10" t="str">
        <f>"9780252038648"</f>
        <v>9780252038648</v>
      </c>
      <c r="C8336" s="10" t="str">
        <f>"9780252096570"</f>
        <v>9780252096570</v>
      </c>
      <c r="D8336" s="10" t="s">
        <v>3194</v>
      </c>
      <c r="E8336" s="10" t="s">
        <v>3194</v>
      </c>
      <c r="F8336" s="10" t="s">
        <v>2200</v>
      </c>
      <c r="G8336" s="10" t="s">
        <v>6317</v>
      </c>
      <c r="H8336" s="11">
        <v>41878</v>
      </c>
      <c r="I8336" s="10">
        <v>2014</v>
      </c>
      <c r="J8336" s="10" t="s">
        <v>3194</v>
      </c>
      <c r="K8336" s="10">
        <v>145</v>
      </c>
      <c r="L8336" s="10" t="s">
        <v>38697</v>
      </c>
      <c r="M8336" s="10">
        <v>1</v>
      </c>
      <c r="N8336" s="10"/>
      <c r="O8336" s="10"/>
      <c r="P8336" s="10" t="s">
        <v>19049</v>
      </c>
      <c r="Q8336" s="10">
        <v>378.77366000000001</v>
      </c>
      <c r="R8336" s="10" t="s">
        <v>38698</v>
      </c>
      <c r="S8336" s="10" t="s">
        <v>53</v>
      </c>
      <c r="T8336" s="10" t="s">
        <v>54</v>
      </c>
    </row>
    <row r="8337" spans="1:20" ht="14.5" x14ac:dyDescent="0.35">
      <c r="A8337" s="10" t="s">
        <v>38699</v>
      </c>
      <c r="B8337" s="10" t="str">
        <f>"9780252038662"</f>
        <v>9780252038662</v>
      </c>
      <c r="C8337" s="10" t="str">
        <f>"9780252096600"</f>
        <v>9780252096600</v>
      </c>
      <c r="D8337" s="10" t="s">
        <v>3194</v>
      </c>
      <c r="E8337" s="10" t="s">
        <v>3194</v>
      </c>
      <c r="F8337" s="10" t="s">
        <v>2200</v>
      </c>
      <c r="G8337" s="10" t="s">
        <v>6317</v>
      </c>
      <c r="H8337" s="11">
        <v>41911</v>
      </c>
      <c r="I8337" s="10">
        <v>2014</v>
      </c>
      <c r="J8337" s="10" t="s">
        <v>3194</v>
      </c>
      <c r="K8337" s="10">
        <v>233</v>
      </c>
      <c r="L8337" s="10" t="s">
        <v>38700</v>
      </c>
      <c r="M8337" s="10">
        <v>1</v>
      </c>
      <c r="N8337" s="10"/>
      <c r="O8337" s="10"/>
      <c r="P8337" s="10" t="s">
        <v>11133</v>
      </c>
      <c r="Q8337" s="10" t="s">
        <v>8011</v>
      </c>
      <c r="R8337" s="10"/>
      <c r="S8337" s="10" t="s">
        <v>53</v>
      </c>
      <c r="T8337" s="10" t="s">
        <v>6472</v>
      </c>
    </row>
    <row r="8338" spans="1:20" ht="14.5" x14ac:dyDescent="0.35">
      <c r="A8338" s="10" t="s">
        <v>38701</v>
      </c>
      <c r="B8338" s="10" t="str">
        <f>"9780472069798"</f>
        <v>9780472069798</v>
      </c>
      <c r="C8338" s="10" t="str">
        <f>"9780472021512"</f>
        <v>9780472021512</v>
      </c>
      <c r="D8338" s="10" t="s">
        <v>38702</v>
      </c>
      <c r="E8338" s="10" t="s">
        <v>38702</v>
      </c>
      <c r="F8338" s="10" t="s">
        <v>1103</v>
      </c>
      <c r="G8338" s="10" t="s">
        <v>6317</v>
      </c>
      <c r="H8338" s="11">
        <v>39149</v>
      </c>
      <c r="I8338" s="10">
        <v>2007</v>
      </c>
      <c r="J8338" s="10" t="s">
        <v>38702</v>
      </c>
      <c r="K8338" s="10">
        <v>217</v>
      </c>
      <c r="L8338" s="10" t="s">
        <v>38703</v>
      </c>
      <c r="M8338" s="10">
        <v>1</v>
      </c>
      <c r="N8338" s="10"/>
      <c r="O8338" s="10"/>
      <c r="P8338" s="10" t="s">
        <v>13844</v>
      </c>
      <c r="Q8338" s="10"/>
      <c r="R8338" s="10" t="s">
        <v>15031</v>
      </c>
      <c r="S8338" s="10" t="s">
        <v>53</v>
      </c>
      <c r="T8338" s="10" t="s">
        <v>54</v>
      </c>
    </row>
    <row r="8339" spans="1:20" ht="14.5" x14ac:dyDescent="0.35">
      <c r="A8339" s="10" t="s">
        <v>38704</v>
      </c>
      <c r="B8339" s="10" t="str">
        <f>"9780472069057"</f>
        <v>9780472069057</v>
      </c>
      <c r="C8339" s="10" t="str">
        <f>"9780472021741"</f>
        <v>9780472021741</v>
      </c>
      <c r="D8339" s="10" t="s">
        <v>38702</v>
      </c>
      <c r="E8339" s="10" t="s">
        <v>38702</v>
      </c>
      <c r="F8339" s="10" t="s">
        <v>1103</v>
      </c>
      <c r="G8339" s="10" t="s">
        <v>6317</v>
      </c>
      <c r="H8339" s="11">
        <v>38784</v>
      </c>
      <c r="I8339" s="10">
        <v>2006</v>
      </c>
      <c r="J8339" s="10" t="s">
        <v>38702</v>
      </c>
      <c r="K8339" s="10">
        <v>264</v>
      </c>
      <c r="L8339" s="10" t="s">
        <v>38705</v>
      </c>
      <c r="M8339" s="10">
        <v>1</v>
      </c>
      <c r="N8339" s="10" t="s">
        <v>38706</v>
      </c>
      <c r="O8339" s="10"/>
      <c r="P8339" s="10" t="s">
        <v>38707</v>
      </c>
      <c r="Q8339" s="10"/>
      <c r="R8339" s="10" t="s">
        <v>38708</v>
      </c>
      <c r="S8339" s="10" t="s">
        <v>53</v>
      </c>
      <c r="T8339" s="10" t="s">
        <v>54</v>
      </c>
    </row>
    <row r="8340" spans="1:20" ht="14.5" x14ac:dyDescent="0.35">
      <c r="A8340" s="10" t="s">
        <v>38709</v>
      </c>
      <c r="B8340" s="10" t="str">
        <f>"9780472115907"</f>
        <v>9780472115907</v>
      </c>
      <c r="C8340" s="10" t="str">
        <f>"9780472021888"</f>
        <v>9780472021888</v>
      </c>
      <c r="D8340" s="10" t="s">
        <v>38702</v>
      </c>
      <c r="E8340" s="10" t="s">
        <v>38702</v>
      </c>
      <c r="F8340" s="10" t="s">
        <v>1103</v>
      </c>
      <c r="G8340" s="10" t="s">
        <v>6317</v>
      </c>
      <c r="H8340" s="11">
        <v>39197</v>
      </c>
      <c r="I8340" s="10">
        <v>2007</v>
      </c>
      <c r="J8340" s="10" t="s">
        <v>38702</v>
      </c>
      <c r="K8340" s="10">
        <v>421</v>
      </c>
      <c r="L8340" s="10" t="s">
        <v>38710</v>
      </c>
      <c r="M8340" s="10">
        <v>1</v>
      </c>
      <c r="N8340" s="10"/>
      <c r="O8340" s="10"/>
      <c r="P8340" s="10" t="s">
        <v>18361</v>
      </c>
      <c r="Q8340" s="10"/>
      <c r="R8340" s="10" t="s">
        <v>38710</v>
      </c>
      <c r="S8340" s="10" t="s">
        <v>53</v>
      </c>
      <c r="T8340" s="10" t="s">
        <v>54</v>
      </c>
    </row>
    <row r="8341" spans="1:20" ht="14.5" x14ac:dyDescent="0.35">
      <c r="A8341" s="10" t="s">
        <v>38711</v>
      </c>
      <c r="B8341" s="10" t="str">
        <f>"9780472089437"</f>
        <v>9780472089437</v>
      </c>
      <c r="C8341" s="10" t="str">
        <f>"9780472021918"</f>
        <v>9780472021918</v>
      </c>
      <c r="D8341" s="10" t="s">
        <v>38702</v>
      </c>
      <c r="E8341" s="10" t="s">
        <v>38702</v>
      </c>
      <c r="F8341" s="10" t="s">
        <v>1103</v>
      </c>
      <c r="G8341" s="10" t="s">
        <v>6317</v>
      </c>
      <c r="H8341" s="11">
        <v>36812</v>
      </c>
      <c r="I8341" s="10">
        <v>2003</v>
      </c>
      <c r="J8341" s="10" t="s">
        <v>38702</v>
      </c>
      <c r="K8341" s="10">
        <v>358</v>
      </c>
      <c r="L8341" s="10" t="s">
        <v>38710</v>
      </c>
      <c r="M8341" s="10">
        <v>1</v>
      </c>
      <c r="N8341" s="10"/>
      <c r="O8341" s="10"/>
      <c r="P8341" s="10" t="s">
        <v>38712</v>
      </c>
      <c r="Q8341" s="10" t="s">
        <v>18998</v>
      </c>
      <c r="R8341" s="10" t="s">
        <v>38713</v>
      </c>
      <c r="S8341" s="10" t="s">
        <v>53</v>
      </c>
      <c r="T8341" s="10" t="s">
        <v>7340</v>
      </c>
    </row>
    <row r="8342" spans="1:20" ht="14.5" x14ac:dyDescent="0.35">
      <c r="A8342" s="10" t="s">
        <v>38714</v>
      </c>
      <c r="B8342" s="10" t="str">
        <f>"9780472110919"</f>
        <v>9780472110919</v>
      </c>
      <c r="C8342" s="10" t="str">
        <f>"9780472021901"</f>
        <v>9780472021901</v>
      </c>
      <c r="D8342" s="10" t="s">
        <v>38702</v>
      </c>
      <c r="E8342" s="10" t="s">
        <v>38702</v>
      </c>
      <c r="F8342" s="10" t="s">
        <v>1103</v>
      </c>
      <c r="G8342" s="10" t="s">
        <v>6317</v>
      </c>
      <c r="H8342" s="11">
        <v>36593</v>
      </c>
      <c r="I8342" s="10">
        <v>2000</v>
      </c>
      <c r="J8342" s="10" t="s">
        <v>38702</v>
      </c>
      <c r="K8342" s="10">
        <v>373</v>
      </c>
      <c r="L8342" s="10" t="s">
        <v>38710</v>
      </c>
      <c r="M8342" s="10">
        <v>1</v>
      </c>
      <c r="N8342" s="10"/>
      <c r="O8342" s="10"/>
      <c r="P8342" s="10" t="s">
        <v>38715</v>
      </c>
      <c r="Q8342" s="10">
        <v>378.77435000000003</v>
      </c>
      <c r="R8342" s="10" t="s">
        <v>6543</v>
      </c>
      <c r="S8342" s="10" t="s">
        <v>53</v>
      </c>
      <c r="T8342" s="10" t="s">
        <v>54</v>
      </c>
    </row>
    <row r="8343" spans="1:20" ht="14.5" x14ac:dyDescent="0.35">
      <c r="A8343" s="10" t="s">
        <v>38716</v>
      </c>
      <c r="B8343" s="10" t="str">
        <f>"9780472069019"</f>
        <v>9780472069019</v>
      </c>
      <c r="C8343" s="10" t="str">
        <f>"9780472022229"</f>
        <v>9780472022229</v>
      </c>
      <c r="D8343" s="10" t="s">
        <v>38702</v>
      </c>
      <c r="E8343" s="10" t="s">
        <v>38702</v>
      </c>
      <c r="F8343" s="10" t="s">
        <v>1103</v>
      </c>
      <c r="G8343" s="10" t="s">
        <v>6317</v>
      </c>
      <c r="H8343" s="11">
        <v>38707</v>
      </c>
      <c r="I8343" s="10">
        <v>2005</v>
      </c>
      <c r="J8343" s="10" t="s">
        <v>38702</v>
      </c>
      <c r="K8343" s="10">
        <v>169</v>
      </c>
      <c r="L8343" s="10" t="s">
        <v>38703</v>
      </c>
      <c r="M8343" s="10">
        <v>1</v>
      </c>
      <c r="N8343" s="10"/>
      <c r="O8343" s="10"/>
      <c r="P8343" s="10" t="s">
        <v>13226</v>
      </c>
      <c r="Q8343" s="10" t="s">
        <v>32577</v>
      </c>
      <c r="R8343" s="10" t="s">
        <v>38717</v>
      </c>
      <c r="S8343" s="10" t="s">
        <v>53</v>
      </c>
      <c r="T8343" s="10" t="s">
        <v>54</v>
      </c>
    </row>
    <row r="8344" spans="1:20" ht="14.5" x14ac:dyDescent="0.35">
      <c r="A8344" s="10" t="s">
        <v>38718</v>
      </c>
      <c r="B8344" s="10" t="str">
        <f>"9780472117055"</f>
        <v>9780472117055</v>
      </c>
      <c r="C8344" s="10" t="str">
        <f>"9780472021550"</f>
        <v>9780472021550</v>
      </c>
      <c r="D8344" s="10" t="s">
        <v>38702</v>
      </c>
      <c r="E8344" s="10" t="s">
        <v>38702</v>
      </c>
      <c r="F8344" s="10" t="s">
        <v>1103</v>
      </c>
      <c r="G8344" s="10" t="s">
        <v>6317</v>
      </c>
      <c r="H8344" s="11">
        <v>40155</v>
      </c>
      <c r="I8344" s="10">
        <v>2009</v>
      </c>
      <c r="J8344" s="10" t="s">
        <v>38702</v>
      </c>
      <c r="K8344" s="10">
        <v>416</v>
      </c>
      <c r="L8344" s="10" t="s">
        <v>38719</v>
      </c>
      <c r="M8344" s="10">
        <v>1</v>
      </c>
      <c r="N8344" s="10"/>
      <c r="O8344" s="10"/>
      <c r="P8344" s="10" t="s">
        <v>16695</v>
      </c>
      <c r="Q8344" s="10" t="s">
        <v>10940</v>
      </c>
      <c r="R8344" s="10" t="s">
        <v>38720</v>
      </c>
      <c r="S8344" s="10" t="s">
        <v>53</v>
      </c>
      <c r="T8344" s="10" t="s">
        <v>54</v>
      </c>
    </row>
    <row r="8345" spans="1:20" ht="14.5" x14ac:dyDescent="0.35">
      <c r="A8345" s="10" t="s">
        <v>38721</v>
      </c>
      <c r="B8345" s="10" t="str">
        <f>"9780472030538"</f>
        <v>9780472030538</v>
      </c>
      <c r="C8345" s="10" t="str">
        <f>"9780472026029"</f>
        <v>9780472026029</v>
      </c>
      <c r="D8345" s="10" t="s">
        <v>38702</v>
      </c>
      <c r="E8345" s="10" t="s">
        <v>38702</v>
      </c>
      <c r="F8345" s="10" t="s">
        <v>1103</v>
      </c>
      <c r="G8345" s="10" t="s">
        <v>6317</v>
      </c>
      <c r="H8345" s="11">
        <v>37907</v>
      </c>
      <c r="I8345" s="10">
        <v>2004</v>
      </c>
      <c r="J8345" s="10" t="s">
        <v>38702</v>
      </c>
      <c r="K8345" s="10">
        <v>416</v>
      </c>
      <c r="L8345" s="10" t="s">
        <v>38722</v>
      </c>
      <c r="M8345" s="10">
        <v>1</v>
      </c>
      <c r="N8345" s="10"/>
      <c r="O8345" s="10"/>
      <c r="P8345" s="10" t="s">
        <v>25254</v>
      </c>
      <c r="Q8345" s="10" t="s">
        <v>38723</v>
      </c>
      <c r="R8345" s="10" t="s">
        <v>38724</v>
      </c>
      <c r="S8345" s="10" t="s">
        <v>53</v>
      </c>
      <c r="T8345" s="10" t="s">
        <v>4490</v>
      </c>
    </row>
    <row r="8346" spans="1:20" ht="14.5" x14ac:dyDescent="0.35">
      <c r="A8346" s="10" t="s">
        <v>38725</v>
      </c>
      <c r="B8346" s="10" t="str">
        <f>"9780472113071"</f>
        <v>9780472113071</v>
      </c>
      <c r="C8346" s="10" t="str">
        <f>"9780472026494"</f>
        <v>9780472026494</v>
      </c>
      <c r="D8346" s="10" t="s">
        <v>38702</v>
      </c>
      <c r="E8346" s="10" t="s">
        <v>38702</v>
      </c>
      <c r="F8346" s="10" t="s">
        <v>1103</v>
      </c>
      <c r="G8346" s="10" t="s">
        <v>6317</v>
      </c>
      <c r="H8346" s="11">
        <v>38044</v>
      </c>
      <c r="I8346" s="10">
        <v>2004</v>
      </c>
      <c r="J8346" s="10" t="s">
        <v>38702</v>
      </c>
      <c r="K8346" s="10">
        <v>225</v>
      </c>
      <c r="L8346" s="10" t="s">
        <v>38726</v>
      </c>
      <c r="M8346" s="10">
        <v>1</v>
      </c>
      <c r="N8346" s="10"/>
      <c r="O8346" s="10"/>
      <c r="P8346" s="10" t="s">
        <v>34801</v>
      </c>
      <c r="Q8346" s="10" t="s">
        <v>31872</v>
      </c>
      <c r="R8346" s="10" t="s">
        <v>38727</v>
      </c>
      <c r="S8346" s="10" t="s">
        <v>53</v>
      </c>
      <c r="T8346" s="10" t="s">
        <v>54</v>
      </c>
    </row>
    <row r="8347" spans="1:20" ht="14.5" x14ac:dyDescent="0.35">
      <c r="A8347" s="10" t="s">
        <v>38728</v>
      </c>
      <c r="B8347" s="10" t="str">
        <f>"9780472086702"</f>
        <v>9780472086702</v>
      </c>
      <c r="C8347" s="10" t="str">
        <f>"9780472023837"</f>
        <v>9780472023837</v>
      </c>
      <c r="D8347" s="10" t="s">
        <v>38702</v>
      </c>
      <c r="E8347" s="10" t="s">
        <v>38702</v>
      </c>
      <c r="F8347" s="10" t="s">
        <v>1103</v>
      </c>
      <c r="G8347" s="10" t="s">
        <v>6317</v>
      </c>
      <c r="H8347" s="11">
        <v>35073</v>
      </c>
      <c r="I8347" s="10">
        <v>2001</v>
      </c>
      <c r="J8347" s="10" t="s">
        <v>38702</v>
      </c>
      <c r="K8347" s="10">
        <v>195</v>
      </c>
      <c r="L8347" s="10" t="s">
        <v>20158</v>
      </c>
      <c r="M8347" s="10">
        <v>1</v>
      </c>
      <c r="N8347" s="10"/>
      <c r="O8347" s="10"/>
      <c r="P8347" s="10" t="s">
        <v>20159</v>
      </c>
      <c r="Q8347" s="10">
        <v>370.11209730000002</v>
      </c>
      <c r="R8347" s="10" t="s">
        <v>38729</v>
      </c>
      <c r="S8347" s="10" t="s">
        <v>53</v>
      </c>
      <c r="T8347" s="10" t="s">
        <v>54</v>
      </c>
    </row>
    <row r="8348" spans="1:20" ht="14.5" x14ac:dyDescent="0.35">
      <c r="A8348" s="10" t="s">
        <v>38730</v>
      </c>
      <c r="B8348" s="10" t="str">
        <f>"9780472110872"</f>
        <v>9780472110872</v>
      </c>
      <c r="C8348" s="10" t="str">
        <f>"9780472023226"</f>
        <v>9780472023226</v>
      </c>
      <c r="D8348" s="10" t="s">
        <v>38702</v>
      </c>
      <c r="E8348" s="10" t="s">
        <v>38702</v>
      </c>
      <c r="F8348" s="10" t="s">
        <v>1103</v>
      </c>
      <c r="G8348" s="10" t="s">
        <v>6317</v>
      </c>
      <c r="H8348" s="11">
        <v>36720</v>
      </c>
      <c r="I8348" s="10">
        <v>2000</v>
      </c>
      <c r="J8348" s="10" t="s">
        <v>38702</v>
      </c>
      <c r="K8348" s="10">
        <v>185</v>
      </c>
      <c r="L8348" s="10" t="s">
        <v>38731</v>
      </c>
      <c r="M8348" s="10">
        <v>1</v>
      </c>
      <c r="N8348" s="10" t="s">
        <v>38732</v>
      </c>
      <c r="O8348" s="10"/>
      <c r="P8348" s="10" t="s">
        <v>8923</v>
      </c>
      <c r="Q8348" s="10">
        <v>370.1</v>
      </c>
      <c r="R8348" s="10" t="s">
        <v>38733</v>
      </c>
      <c r="S8348" s="10" t="s">
        <v>53</v>
      </c>
      <c r="T8348" s="10" t="s">
        <v>54</v>
      </c>
    </row>
    <row r="8349" spans="1:20" ht="14.5" x14ac:dyDescent="0.35">
      <c r="A8349" s="10" t="s">
        <v>38734</v>
      </c>
      <c r="B8349" s="10" t="str">
        <f>"9780472068326"</f>
        <v>9780472068326</v>
      </c>
      <c r="C8349" s="10" t="str">
        <f>"9780472023875"</f>
        <v>9780472023875</v>
      </c>
      <c r="D8349" s="10" t="s">
        <v>38702</v>
      </c>
      <c r="E8349" s="10" t="s">
        <v>38702</v>
      </c>
      <c r="F8349" s="10" t="s">
        <v>1103</v>
      </c>
      <c r="G8349" s="10" t="s">
        <v>6317</v>
      </c>
      <c r="H8349" s="11">
        <v>37753</v>
      </c>
      <c r="I8349" s="10">
        <v>2003</v>
      </c>
      <c r="J8349" s="10" t="s">
        <v>38702</v>
      </c>
      <c r="K8349" s="10">
        <v>236</v>
      </c>
      <c r="L8349" s="10" t="s">
        <v>38735</v>
      </c>
      <c r="M8349" s="10">
        <v>1</v>
      </c>
      <c r="N8349" s="10"/>
      <c r="O8349" s="10"/>
      <c r="P8349" s="10" t="s">
        <v>38736</v>
      </c>
      <c r="Q8349" s="10">
        <v>361</v>
      </c>
      <c r="R8349" s="10" t="s">
        <v>38737</v>
      </c>
      <c r="S8349" s="10" t="s">
        <v>53</v>
      </c>
      <c r="T8349" s="10" t="s">
        <v>6363</v>
      </c>
    </row>
    <row r="8350" spans="1:20" ht="14.5" x14ac:dyDescent="0.35">
      <c r="A8350" s="10" t="s">
        <v>38738</v>
      </c>
      <c r="B8350" s="10" t="str">
        <f>"9780472107698"</f>
        <v>9780472107698</v>
      </c>
      <c r="C8350" s="10" t="str">
        <f>"9780472027361"</f>
        <v>9780472027361</v>
      </c>
      <c r="D8350" s="10" t="s">
        <v>38702</v>
      </c>
      <c r="E8350" s="10" t="s">
        <v>38702</v>
      </c>
      <c r="F8350" s="10" t="s">
        <v>1103</v>
      </c>
      <c r="G8350" s="10" t="s">
        <v>6317</v>
      </c>
      <c r="H8350" s="11">
        <v>35450</v>
      </c>
      <c r="I8350" s="10">
        <v>1997</v>
      </c>
      <c r="J8350" s="10" t="s">
        <v>38702</v>
      </c>
      <c r="K8350" s="10">
        <v>275</v>
      </c>
      <c r="L8350" s="10" t="s">
        <v>38739</v>
      </c>
      <c r="M8350" s="10">
        <v>1</v>
      </c>
      <c r="N8350" s="10" t="s">
        <v>38740</v>
      </c>
      <c r="O8350" s="10"/>
      <c r="P8350" s="10" t="s">
        <v>38741</v>
      </c>
      <c r="Q8350" s="10" t="s">
        <v>7420</v>
      </c>
      <c r="R8350" s="10"/>
      <c r="S8350" s="10" t="s">
        <v>53</v>
      </c>
      <c r="T8350" s="10" t="s">
        <v>54</v>
      </c>
    </row>
    <row r="8351" spans="1:20" ht="14.5" x14ac:dyDescent="0.35">
      <c r="A8351" s="10" t="s">
        <v>38742</v>
      </c>
      <c r="B8351" s="10" t="str">
        <f>"9780472117659"</f>
        <v>9780472117659</v>
      </c>
      <c r="C8351" s="10" t="str">
        <f>"9780472026739"</f>
        <v>9780472026739</v>
      </c>
      <c r="D8351" s="10" t="s">
        <v>38702</v>
      </c>
      <c r="E8351" s="10" t="s">
        <v>38702</v>
      </c>
      <c r="F8351" s="10" t="s">
        <v>1103</v>
      </c>
      <c r="G8351" s="10" t="s">
        <v>6317</v>
      </c>
      <c r="H8351" s="11">
        <v>40732</v>
      </c>
      <c r="I8351" s="10">
        <v>2013</v>
      </c>
      <c r="J8351" s="10" t="s">
        <v>38702</v>
      </c>
      <c r="K8351" s="10">
        <v>209</v>
      </c>
      <c r="L8351" s="10" t="s">
        <v>38743</v>
      </c>
      <c r="M8351" s="10">
        <v>1</v>
      </c>
      <c r="N8351" s="10"/>
      <c r="O8351" s="10"/>
      <c r="P8351" s="10" t="s">
        <v>38744</v>
      </c>
      <c r="Q8351" s="10">
        <v>379.73</v>
      </c>
      <c r="R8351" s="10" t="s">
        <v>38745</v>
      </c>
      <c r="S8351" s="10" t="s">
        <v>53</v>
      </c>
      <c r="T8351" s="10" t="s">
        <v>54</v>
      </c>
    </row>
    <row r="8352" spans="1:20" ht="14.5" x14ac:dyDescent="0.35">
      <c r="A8352" s="10" t="s">
        <v>38746</v>
      </c>
      <c r="B8352" s="10" t="str">
        <f>"9781904380788"</f>
        <v>9781904380788</v>
      </c>
      <c r="C8352" s="10" t="str">
        <f>"9781908162120"</f>
        <v>9781908162120</v>
      </c>
      <c r="D8352" s="10" t="s">
        <v>38747</v>
      </c>
      <c r="E8352" s="10" t="s">
        <v>38748</v>
      </c>
      <c r="F8352" s="10" t="s">
        <v>38749</v>
      </c>
      <c r="G8352" s="10" t="s">
        <v>6352</v>
      </c>
      <c r="H8352" s="11">
        <v>41030</v>
      </c>
      <c r="I8352" s="10">
        <v>2012</v>
      </c>
      <c r="J8352" s="10" t="s">
        <v>38748</v>
      </c>
      <c r="K8352" s="10">
        <v>260</v>
      </c>
      <c r="L8352" s="10" t="s">
        <v>38750</v>
      </c>
      <c r="M8352" s="10">
        <v>1</v>
      </c>
      <c r="N8352" s="10"/>
      <c r="O8352" s="10"/>
      <c r="P8352" s="10"/>
      <c r="Q8352" s="10">
        <v>808.04200000000003</v>
      </c>
      <c r="R8352" s="10"/>
      <c r="S8352" s="10" t="s">
        <v>53</v>
      </c>
      <c r="T8352" s="10" t="s">
        <v>1166</v>
      </c>
    </row>
    <row r="8353" spans="1:20" ht="14.5" x14ac:dyDescent="0.35">
      <c r="A8353" s="10" t="s">
        <v>38751</v>
      </c>
      <c r="B8353" s="10" t="str">
        <f>"9780814333839"</f>
        <v>9780814333839</v>
      </c>
      <c r="C8353" s="10" t="str">
        <f>"9780814335475"</f>
        <v>9780814335475</v>
      </c>
      <c r="D8353" s="10" t="s">
        <v>1563</v>
      </c>
      <c r="E8353" s="10" t="s">
        <v>1563</v>
      </c>
      <c r="F8353" s="10" t="s">
        <v>1564</v>
      </c>
      <c r="G8353" s="10" t="s">
        <v>6317</v>
      </c>
      <c r="H8353" s="11">
        <v>39508</v>
      </c>
      <c r="I8353" s="10">
        <v>2008</v>
      </c>
      <c r="J8353" s="10" t="s">
        <v>1563</v>
      </c>
      <c r="K8353" s="10">
        <v>198</v>
      </c>
      <c r="L8353" s="10" t="s">
        <v>38752</v>
      </c>
      <c r="M8353" s="10">
        <v>1</v>
      </c>
      <c r="N8353" s="10"/>
      <c r="O8353" s="10"/>
      <c r="P8353" s="10" t="s">
        <v>38753</v>
      </c>
      <c r="Q8353" s="10">
        <v>371.07600000000002</v>
      </c>
      <c r="R8353" s="10" t="s">
        <v>38754</v>
      </c>
      <c r="S8353" s="10" t="s">
        <v>53</v>
      </c>
      <c r="T8353" s="10" t="s">
        <v>54</v>
      </c>
    </row>
    <row r="8354" spans="1:20" ht="14.5" x14ac:dyDescent="0.35">
      <c r="A8354" s="10" t="s">
        <v>38755</v>
      </c>
      <c r="B8354" s="10" t="str">
        <f>"9780814334928"</f>
        <v>9780814334928</v>
      </c>
      <c r="C8354" s="10" t="str">
        <f>"9780814336854"</f>
        <v>9780814336854</v>
      </c>
      <c r="D8354" s="10" t="s">
        <v>1563</v>
      </c>
      <c r="E8354" s="10" t="s">
        <v>1563</v>
      </c>
      <c r="F8354" s="10" t="s">
        <v>1564</v>
      </c>
      <c r="G8354" s="10" t="s">
        <v>6317</v>
      </c>
      <c r="H8354" s="11">
        <v>40513</v>
      </c>
      <c r="I8354" s="10">
        <v>2011</v>
      </c>
      <c r="J8354" s="10" t="s">
        <v>1563</v>
      </c>
      <c r="K8354" s="10">
        <v>216</v>
      </c>
      <c r="L8354" s="10" t="s">
        <v>38756</v>
      </c>
      <c r="M8354" s="10">
        <v>1</v>
      </c>
      <c r="N8354" s="10"/>
      <c r="O8354" s="10"/>
      <c r="P8354" s="10" t="s">
        <v>38757</v>
      </c>
      <c r="Q8354" s="10">
        <v>371.07608199999999</v>
      </c>
      <c r="R8354" s="10" t="s">
        <v>38758</v>
      </c>
      <c r="S8354" s="10" t="s">
        <v>53</v>
      </c>
      <c r="T8354" s="10" t="s">
        <v>54</v>
      </c>
    </row>
    <row r="8355" spans="1:20" ht="14.5" x14ac:dyDescent="0.35">
      <c r="A8355" s="10" t="s">
        <v>38759</v>
      </c>
      <c r="B8355" s="10" t="str">
        <f>"9781935978541"</f>
        <v>9781935978541</v>
      </c>
      <c r="C8355" s="10" t="str">
        <f>"9781935978565"</f>
        <v>9781935978565</v>
      </c>
      <c r="D8355" s="10" t="s">
        <v>38760</v>
      </c>
      <c r="E8355" s="10" t="s">
        <v>38760</v>
      </c>
      <c r="F8355" s="10" t="s">
        <v>5426</v>
      </c>
      <c r="G8355" s="10" t="s">
        <v>6317</v>
      </c>
      <c r="H8355" s="11">
        <v>40940</v>
      </c>
      <c r="I8355" s="10">
        <v>2012</v>
      </c>
      <c r="J8355" s="10" t="s">
        <v>38760</v>
      </c>
      <c r="K8355" s="10">
        <v>245</v>
      </c>
      <c r="L8355" s="10" t="s">
        <v>38761</v>
      </c>
      <c r="M8355" s="10">
        <v>1</v>
      </c>
      <c r="N8355" s="10"/>
      <c r="O8355" s="10"/>
      <c r="P8355" s="10" t="s">
        <v>23105</v>
      </c>
      <c r="Q8355" s="10"/>
      <c r="R8355" s="10"/>
      <c r="S8355" s="10" t="s">
        <v>53</v>
      </c>
      <c r="T8355" s="10" t="s">
        <v>54</v>
      </c>
    </row>
    <row r="8356" spans="1:20" ht="14.5" x14ac:dyDescent="0.35">
      <c r="A8356" s="10" t="s">
        <v>38762</v>
      </c>
      <c r="B8356" s="10" t="str">
        <f>"9781938228377"</f>
        <v>9781938228377</v>
      </c>
      <c r="C8356" s="10" t="str">
        <f>"9781938228391"</f>
        <v>9781938228391</v>
      </c>
      <c r="D8356" s="10" t="s">
        <v>38760</v>
      </c>
      <c r="E8356" s="10" t="s">
        <v>38760</v>
      </c>
      <c r="F8356" s="10" t="s">
        <v>5426</v>
      </c>
      <c r="G8356" s="10" t="s">
        <v>6317</v>
      </c>
      <c r="H8356" s="11">
        <v>41518</v>
      </c>
      <c r="I8356" s="10">
        <v>2013</v>
      </c>
      <c r="J8356" s="10" t="s">
        <v>38760</v>
      </c>
      <c r="K8356" s="10">
        <v>404</v>
      </c>
      <c r="L8356" s="10" t="s">
        <v>38763</v>
      </c>
      <c r="M8356" s="10">
        <v>1</v>
      </c>
      <c r="N8356" s="10" t="s">
        <v>38764</v>
      </c>
      <c r="O8356" s="10"/>
      <c r="P8356" s="10" t="s">
        <v>38765</v>
      </c>
      <c r="Q8356" s="10"/>
      <c r="R8356" s="10"/>
      <c r="S8356" s="10" t="s">
        <v>53</v>
      </c>
      <c r="T8356" s="10" t="s">
        <v>54</v>
      </c>
    </row>
    <row r="8357" spans="1:20" ht="14.5" x14ac:dyDescent="0.35">
      <c r="A8357" s="10" t="s">
        <v>38766</v>
      </c>
      <c r="B8357" s="10" t="str">
        <f>"9780300090062"</f>
        <v>9780300090062</v>
      </c>
      <c r="C8357" s="10" t="str">
        <f>"9780300133813"</f>
        <v>9780300133813</v>
      </c>
      <c r="D8357" s="10" t="s">
        <v>38767</v>
      </c>
      <c r="E8357" s="10" t="s">
        <v>38767</v>
      </c>
      <c r="F8357" s="10" t="s">
        <v>38768</v>
      </c>
      <c r="G8357" s="10" t="s">
        <v>6317</v>
      </c>
      <c r="H8357" s="11">
        <v>37144</v>
      </c>
      <c r="I8357" s="10">
        <v>2008</v>
      </c>
      <c r="J8357" s="10" t="s">
        <v>38767</v>
      </c>
      <c r="K8357" s="10">
        <v>160</v>
      </c>
      <c r="L8357" s="10" t="s">
        <v>38769</v>
      </c>
      <c r="M8357" s="10">
        <v>1</v>
      </c>
      <c r="N8357" s="10"/>
      <c r="O8357" s="10"/>
      <c r="P8357" s="10" t="s">
        <v>38770</v>
      </c>
      <c r="Q8357" s="10" t="s">
        <v>38771</v>
      </c>
      <c r="R8357" s="10" t="s">
        <v>38772</v>
      </c>
      <c r="S8357" s="10" t="s">
        <v>53</v>
      </c>
      <c r="T8357" s="10" t="s">
        <v>6616</v>
      </c>
    </row>
    <row r="8358" spans="1:20" ht="14.5" x14ac:dyDescent="0.35">
      <c r="A8358" s="10" t="s">
        <v>38773</v>
      </c>
      <c r="B8358" s="10" t="str">
        <f>"9780300103946"</f>
        <v>9780300103946</v>
      </c>
      <c r="C8358" s="10" t="str">
        <f>"9780300133325"</f>
        <v>9780300133325</v>
      </c>
      <c r="D8358" s="10" t="s">
        <v>38767</v>
      </c>
      <c r="E8358" s="10" t="s">
        <v>38767</v>
      </c>
      <c r="F8358" s="10" t="s">
        <v>38768</v>
      </c>
      <c r="G8358" s="10" t="s">
        <v>6317</v>
      </c>
      <c r="H8358" s="11">
        <v>38483</v>
      </c>
      <c r="I8358" s="10">
        <v>2008</v>
      </c>
      <c r="J8358" s="10" t="s">
        <v>38767</v>
      </c>
      <c r="K8358" s="10">
        <v>252</v>
      </c>
      <c r="L8358" s="10" t="s">
        <v>38774</v>
      </c>
      <c r="M8358" s="10">
        <v>1</v>
      </c>
      <c r="N8358" s="10"/>
      <c r="O8358" s="10"/>
      <c r="P8358" s="10" t="s">
        <v>38775</v>
      </c>
      <c r="Q8358" s="10">
        <v>378.17344680000002</v>
      </c>
      <c r="R8358" s="10" t="s">
        <v>38776</v>
      </c>
      <c r="S8358" s="10" t="s">
        <v>53</v>
      </c>
      <c r="T8358" s="10" t="s">
        <v>54</v>
      </c>
    </row>
    <row r="8359" spans="1:20" ht="14.5" x14ac:dyDescent="0.35">
      <c r="A8359" s="10" t="s">
        <v>38777</v>
      </c>
      <c r="B8359" s="10" t="str">
        <f>"9780300113235"</f>
        <v>9780300113235</v>
      </c>
      <c r="C8359" s="10" t="str">
        <f>"9780300133790"</f>
        <v>9780300133790</v>
      </c>
      <c r="D8359" s="10" t="s">
        <v>38767</v>
      </c>
      <c r="E8359" s="10" t="s">
        <v>38767</v>
      </c>
      <c r="F8359" s="10" t="s">
        <v>38768</v>
      </c>
      <c r="G8359" s="10" t="s">
        <v>6317</v>
      </c>
      <c r="H8359" s="11">
        <v>38786</v>
      </c>
      <c r="I8359" s="10">
        <v>2008</v>
      </c>
      <c r="J8359" s="10" t="s">
        <v>38767</v>
      </c>
      <c r="K8359" s="10">
        <v>295</v>
      </c>
      <c r="L8359" s="10" t="s">
        <v>38778</v>
      </c>
      <c r="M8359" s="10">
        <v>1</v>
      </c>
      <c r="N8359" s="10"/>
      <c r="O8359" s="10"/>
      <c r="P8359" s="10" t="s">
        <v>38779</v>
      </c>
      <c r="Q8359" s="10" t="s">
        <v>9817</v>
      </c>
      <c r="R8359" s="10" t="s">
        <v>38780</v>
      </c>
      <c r="S8359" s="10" t="s">
        <v>53</v>
      </c>
      <c r="T8359" s="10" t="s">
        <v>36890</v>
      </c>
    </row>
    <row r="8360" spans="1:20" ht="14.5" x14ac:dyDescent="0.35">
      <c r="A8360" s="10" t="s">
        <v>38781</v>
      </c>
      <c r="B8360" s="10" t="str">
        <f>"9780300090130"</f>
        <v>9780300090130</v>
      </c>
      <c r="C8360" s="10" t="str">
        <f>"9780300130584"</f>
        <v>9780300130584</v>
      </c>
      <c r="D8360" s="10" t="s">
        <v>38767</v>
      </c>
      <c r="E8360" s="10" t="s">
        <v>38767</v>
      </c>
      <c r="F8360" s="10" t="s">
        <v>38768</v>
      </c>
      <c r="G8360" s="10" t="s">
        <v>6317</v>
      </c>
      <c r="H8360" s="11">
        <v>37114</v>
      </c>
      <c r="I8360" s="10">
        <v>2008</v>
      </c>
      <c r="J8360" s="10" t="s">
        <v>38767</v>
      </c>
      <c r="K8360" s="10">
        <v>231</v>
      </c>
      <c r="L8360" s="10" t="s">
        <v>38782</v>
      </c>
      <c r="M8360" s="10">
        <v>1</v>
      </c>
      <c r="N8360" s="10"/>
      <c r="O8360" s="10"/>
      <c r="P8360" s="10" t="s">
        <v>38783</v>
      </c>
      <c r="Q8360" s="10">
        <v>373.18</v>
      </c>
      <c r="R8360" s="10" t="s">
        <v>29876</v>
      </c>
      <c r="S8360" s="10" t="s">
        <v>53</v>
      </c>
      <c r="T8360" s="10" t="s">
        <v>54</v>
      </c>
    </row>
    <row r="8361" spans="1:20" ht="14.5" x14ac:dyDescent="0.35">
      <c r="A8361" s="10" t="s">
        <v>38784</v>
      </c>
      <c r="B8361" s="10" t="str">
        <f>"9780300092073"</f>
        <v>9780300092073</v>
      </c>
      <c r="C8361" s="10" t="str">
        <f>"9780300132885"</f>
        <v>9780300132885</v>
      </c>
      <c r="D8361" s="10" t="s">
        <v>38767</v>
      </c>
      <c r="E8361" s="10" t="s">
        <v>38767</v>
      </c>
      <c r="F8361" s="10" t="s">
        <v>38768</v>
      </c>
      <c r="G8361" s="10" t="s">
        <v>6317</v>
      </c>
      <c r="H8361" s="11">
        <v>37509</v>
      </c>
      <c r="I8361" s="10">
        <v>2008</v>
      </c>
      <c r="J8361" s="10" t="s">
        <v>38767</v>
      </c>
      <c r="K8361" s="10">
        <v>385</v>
      </c>
      <c r="L8361" s="10" t="s">
        <v>38785</v>
      </c>
      <c r="M8361" s="10">
        <v>1</v>
      </c>
      <c r="N8361" s="10"/>
      <c r="O8361" s="10"/>
      <c r="P8361" s="10" t="s">
        <v>38786</v>
      </c>
      <c r="Q8361" s="10" t="s">
        <v>38787</v>
      </c>
      <c r="R8361" s="10" t="s">
        <v>38788</v>
      </c>
      <c r="S8361" s="10" t="s">
        <v>53</v>
      </c>
      <c r="T8361" s="10" t="s">
        <v>8625</v>
      </c>
    </row>
    <row r="8362" spans="1:20" ht="14.5" x14ac:dyDescent="0.35">
      <c r="A8362" s="10" t="s">
        <v>38789</v>
      </c>
      <c r="B8362" s="10" t="str">
        <f>"9780300089479"</f>
        <v>9780300089479</v>
      </c>
      <c r="C8362" s="10" t="str">
        <f>"9780300133349"</f>
        <v>9780300133349</v>
      </c>
      <c r="D8362" s="10" t="s">
        <v>38767</v>
      </c>
      <c r="E8362" s="10" t="s">
        <v>38767</v>
      </c>
      <c r="F8362" s="10" t="s">
        <v>38768</v>
      </c>
      <c r="G8362" s="10" t="s">
        <v>6317</v>
      </c>
      <c r="H8362" s="11">
        <v>37205</v>
      </c>
      <c r="I8362" s="10">
        <v>2008</v>
      </c>
      <c r="J8362" s="10" t="s">
        <v>38767</v>
      </c>
      <c r="K8362" s="10">
        <v>239</v>
      </c>
      <c r="L8362" s="10" t="s">
        <v>38790</v>
      </c>
      <c r="M8362" s="10">
        <v>1</v>
      </c>
      <c r="N8362" s="10"/>
      <c r="O8362" s="10"/>
      <c r="P8362" s="10" t="s">
        <v>38791</v>
      </c>
      <c r="Q8362" s="10">
        <v>379.79399999999998</v>
      </c>
      <c r="R8362" s="10" t="s">
        <v>38792</v>
      </c>
      <c r="S8362" s="10" t="s">
        <v>53</v>
      </c>
      <c r="T8362" s="10" t="s">
        <v>54</v>
      </c>
    </row>
    <row r="8363" spans="1:20" ht="14.5" x14ac:dyDescent="0.35">
      <c r="A8363" s="10" t="s">
        <v>38793</v>
      </c>
      <c r="B8363" s="10" t="str">
        <f>"9780300105148"</f>
        <v>9780300105148</v>
      </c>
      <c r="C8363" s="10" t="str">
        <f>"9780300132014"</f>
        <v>9780300132014</v>
      </c>
      <c r="D8363" s="10" t="s">
        <v>38767</v>
      </c>
      <c r="E8363" s="10" t="s">
        <v>38767</v>
      </c>
      <c r="F8363" s="10" t="s">
        <v>38768</v>
      </c>
      <c r="G8363" s="10" t="s">
        <v>6317</v>
      </c>
      <c r="H8363" s="11">
        <v>37721</v>
      </c>
      <c r="I8363" s="10">
        <v>2008</v>
      </c>
      <c r="J8363" s="10" t="s">
        <v>38767</v>
      </c>
      <c r="K8363" s="10">
        <v>320</v>
      </c>
      <c r="L8363" s="10" t="s">
        <v>38794</v>
      </c>
      <c r="M8363" s="10">
        <v>1</v>
      </c>
      <c r="N8363" s="10"/>
      <c r="O8363" s="10"/>
      <c r="P8363" s="10" t="s">
        <v>38795</v>
      </c>
      <c r="Q8363" s="10">
        <v>306.43</v>
      </c>
      <c r="R8363" s="10" t="s">
        <v>38796</v>
      </c>
      <c r="S8363" s="10" t="s">
        <v>53</v>
      </c>
      <c r="T8363" s="10" t="s">
        <v>6526</v>
      </c>
    </row>
    <row r="8364" spans="1:20" ht="14.5" x14ac:dyDescent="0.35">
      <c r="A8364" s="10" t="s">
        <v>38797</v>
      </c>
      <c r="B8364" s="10" t="str">
        <f>"9780300106411"</f>
        <v>9780300106411</v>
      </c>
      <c r="C8364" s="10" t="str">
        <f>"9780300127881"</f>
        <v>9780300127881</v>
      </c>
      <c r="D8364" s="10" t="s">
        <v>38767</v>
      </c>
      <c r="E8364" s="10" t="s">
        <v>38767</v>
      </c>
      <c r="F8364" s="10" t="s">
        <v>38768</v>
      </c>
      <c r="G8364" s="10" t="s">
        <v>6317</v>
      </c>
      <c r="H8364" s="11">
        <v>38617</v>
      </c>
      <c r="I8364" s="10">
        <v>2005</v>
      </c>
      <c r="J8364" s="10" t="s">
        <v>38767</v>
      </c>
      <c r="K8364" s="10">
        <v>383</v>
      </c>
      <c r="L8364" s="10" t="s">
        <v>38798</v>
      </c>
      <c r="M8364" s="10">
        <v>1</v>
      </c>
      <c r="N8364" s="10" t="s">
        <v>38799</v>
      </c>
      <c r="O8364" s="10"/>
      <c r="P8364" s="10" t="s">
        <v>38800</v>
      </c>
      <c r="Q8364" s="10" t="s">
        <v>38801</v>
      </c>
      <c r="R8364" s="10" t="s">
        <v>38802</v>
      </c>
      <c r="S8364" s="10" t="s">
        <v>53</v>
      </c>
      <c r="T8364" s="10" t="s">
        <v>8510</v>
      </c>
    </row>
    <row r="8365" spans="1:20" ht="14.5" x14ac:dyDescent="0.35">
      <c r="A8365" s="10" t="s">
        <v>38803</v>
      </c>
      <c r="B8365" s="10" t="str">
        <f>"9780300073966"</f>
        <v>9780300073966</v>
      </c>
      <c r="C8365" s="10" t="str">
        <f>"9780300128901"</f>
        <v>9780300128901</v>
      </c>
      <c r="D8365" s="10" t="s">
        <v>38767</v>
      </c>
      <c r="E8365" s="10" t="s">
        <v>38767</v>
      </c>
      <c r="F8365" s="10" t="s">
        <v>38768</v>
      </c>
      <c r="G8365" s="10" t="s">
        <v>6317</v>
      </c>
      <c r="H8365" s="11">
        <v>38482</v>
      </c>
      <c r="I8365" s="10">
        <v>2008</v>
      </c>
      <c r="J8365" s="10" t="s">
        <v>38767</v>
      </c>
      <c r="K8365" s="10">
        <v>318</v>
      </c>
      <c r="L8365" s="10" t="s">
        <v>38804</v>
      </c>
      <c r="M8365" s="10">
        <v>1</v>
      </c>
      <c r="N8365" s="10"/>
      <c r="O8365" s="10"/>
      <c r="P8365" s="10" t="s">
        <v>38805</v>
      </c>
      <c r="Q8365" s="10" t="s">
        <v>38806</v>
      </c>
      <c r="R8365" s="10" t="s">
        <v>38807</v>
      </c>
      <c r="S8365" s="10" t="s">
        <v>53</v>
      </c>
      <c r="T8365" s="10" t="s">
        <v>54</v>
      </c>
    </row>
    <row r="8366" spans="1:20" ht="14.5" x14ac:dyDescent="0.35">
      <c r="A8366" s="10" t="s">
        <v>38808</v>
      </c>
      <c r="B8366" s="10" t="str">
        <f>"9780300095647"</f>
        <v>9780300095647</v>
      </c>
      <c r="C8366" s="10" t="str">
        <f>"9780300128765"</f>
        <v>9780300128765</v>
      </c>
      <c r="D8366" s="10" t="s">
        <v>38767</v>
      </c>
      <c r="E8366" s="10" t="s">
        <v>38767</v>
      </c>
      <c r="F8366" s="10" t="s">
        <v>38768</v>
      </c>
      <c r="G8366" s="10" t="s">
        <v>6317</v>
      </c>
      <c r="H8366" s="11">
        <v>38087</v>
      </c>
      <c r="I8366" s="10">
        <v>2008</v>
      </c>
      <c r="J8366" s="10" t="s">
        <v>38767</v>
      </c>
      <c r="K8366" s="10">
        <v>270</v>
      </c>
      <c r="L8366" s="10" t="s">
        <v>38809</v>
      </c>
      <c r="M8366" s="10">
        <v>1</v>
      </c>
      <c r="N8366" s="10"/>
      <c r="O8366" s="10"/>
      <c r="P8366" s="10" t="s">
        <v>38810</v>
      </c>
      <c r="Q8366" s="10">
        <v>340.07468</v>
      </c>
      <c r="R8366" s="10" t="s">
        <v>38811</v>
      </c>
      <c r="S8366" s="10" t="s">
        <v>53</v>
      </c>
      <c r="T8366" s="10" t="s">
        <v>5396</v>
      </c>
    </row>
    <row r="8367" spans="1:20" ht="14.5" x14ac:dyDescent="0.35">
      <c r="A8367" s="10" t="s">
        <v>38812</v>
      </c>
      <c r="B8367" s="10" t="str">
        <f>"9780300110807"</f>
        <v>9780300110807</v>
      </c>
      <c r="C8367" s="10" t="str">
        <f>"9780300127447"</f>
        <v>9780300127447</v>
      </c>
      <c r="D8367" s="10" t="s">
        <v>38767</v>
      </c>
      <c r="E8367" s="10" t="s">
        <v>38767</v>
      </c>
      <c r="F8367" s="10" t="s">
        <v>38768</v>
      </c>
      <c r="G8367" s="10" t="s">
        <v>6317</v>
      </c>
      <c r="H8367" s="11">
        <v>38865</v>
      </c>
      <c r="I8367" s="10">
        <v>2008</v>
      </c>
      <c r="J8367" s="10" t="s">
        <v>38767</v>
      </c>
      <c r="K8367" s="10">
        <v>293</v>
      </c>
      <c r="L8367" s="10" t="s">
        <v>38813</v>
      </c>
      <c r="M8367" s="10">
        <v>1</v>
      </c>
      <c r="N8367" s="10" t="s">
        <v>38814</v>
      </c>
      <c r="O8367" s="10"/>
      <c r="P8367" s="10" t="s">
        <v>38815</v>
      </c>
      <c r="Q8367" s="10" t="s">
        <v>7931</v>
      </c>
      <c r="R8367" s="10" t="s">
        <v>38816</v>
      </c>
      <c r="S8367" s="10" t="s">
        <v>53</v>
      </c>
      <c r="T8367" s="10" t="s">
        <v>8681</v>
      </c>
    </row>
    <row r="8368" spans="1:20" ht="14.5" x14ac:dyDescent="0.35">
      <c r="A8368" s="10" t="s">
        <v>38817</v>
      </c>
      <c r="B8368" s="10" t="str">
        <f>"9780300103502"</f>
        <v>9780300103502</v>
      </c>
      <c r="C8368" s="10" t="str">
        <f>"9780300128819"</f>
        <v>9780300128819</v>
      </c>
      <c r="D8368" s="10" t="s">
        <v>38767</v>
      </c>
      <c r="E8368" s="10" t="s">
        <v>38767</v>
      </c>
      <c r="F8368" s="10" t="s">
        <v>38768</v>
      </c>
      <c r="G8368" s="10" t="s">
        <v>6317</v>
      </c>
      <c r="H8368" s="11">
        <v>38210</v>
      </c>
      <c r="I8368" s="10">
        <v>2008</v>
      </c>
      <c r="J8368" s="10" t="s">
        <v>38767</v>
      </c>
      <c r="K8368" s="10">
        <v>256</v>
      </c>
      <c r="L8368" s="10" t="s">
        <v>34946</v>
      </c>
      <c r="M8368" s="10">
        <v>1</v>
      </c>
      <c r="N8368" s="10"/>
      <c r="O8368" s="10"/>
      <c r="P8368" s="10" t="s">
        <v>38818</v>
      </c>
      <c r="Q8368" s="10">
        <v>370.71100000000001</v>
      </c>
      <c r="R8368" s="10" t="s">
        <v>38819</v>
      </c>
      <c r="S8368" s="10" t="s">
        <v>53</v>
      </c>
      <c r="T8368" s="10" t="s">
        <v>54</v>
      </c>
    </row>
    <row r="8369" spans="1:20" ht="14.5" x14ac:dyDescent="0.35">
      <c r="A8369" s="10" t="s">
        <v>38820</v>
      </c>
      <c r="B8369" s="10" t="str">
        <f>"9780300099423"</f>
        <v>9780300099423</v>
      </c>
      <c r="C8369" s="10" t="str">
        <f>"9780300127973"</f>
        <v>9780300127973</v>
      </c>
      <c r="D8369" s="10" t="s">
        <v>38767</v>
      </c>
      <c r="E8369" s="10" t="s">
        <v>38767</v>
      </c>
      <c r="F8369" s="10" t="s">
        <v>38768</v>
      </c>
      <c r="G8369" s="10" t="s">
        <v>6317</v>
      </c>
      <c r="H8369" s="11">
        <v>37966</v>
      </c>
      <c r="I8369" s="10">
        <v>2008</v>
      </c>
      <c r="J8369" s="10" t="s">
        <v>38767</v>
      </c>
      <c r="K8369" s="10">
        <v>234</v>
      </c>
      <c r="L8369" s="10" t="s">
        <v>38821</v>
      </c>
      <c r="M8369" s="10">
        <v>1</v>
      </c>
      <c r="N8369" s="10"/>
      <c r="O8369" s="10"/>
      <c r="P8369" s="10" t="s">
        <v>38822</v>
      </c>
      <c r="Q8369" s="10" t="s">
        <v>38823</v>
      </c>
      <c r="R8369" s="10" t="s">
        <v>38824</v>
      </c>
      <c r="S8369" s="10" t="s">
        <v>53</v>
      </c>
      <c r="T8369" s="10" t="s">
        <v>54</v>
      </c>
    </row>
    <row r="8370" spans="1:20" ht="14.5" x14ac:dyDescent="0.35">
      <c r="A8370" s="10" t="s">
        <v>38825</v>
      </c>
      <c r="B8370" s="10" t="str">
        <f>"9780300104585"</f>
        <v>9780300104585</v>
      </c>
      <c r="C8370" s="10" t="str">
        <f>"9780300128512"</f>
        <v>9780300128512</v>
      </c>
      <c r="D8370" s="10" t="s">
        <v>38767</v>
      </c>
      <c r="E8370" s="10" t="s">
        <v>38767</v>
      </c>
      <c r="F8370" s="10" t="s">
        <v>38768</v>
      </c>
      <c r="G8370" s="10" t="s">
        <v>6317</v>
      </c>
      <c r="H8370" s="11">
        <v>38210</v>
      </c>
      <c r="I8370" s="10">
        <v>2008</v>
      </c>
      <c r="J8370" s="10" t="s">
        <v>38767</v>
      </c>
      <c r="K8370" s="10">
        <v>152</v>
      </c>
      <c r="L8370" s="10" t="s">
        <v>38826</v>
      </c>
      <c r="M8370" s="10">
        <v>1</v>
      </c>
      <c r="N8370" s="10"/>
      <c r="O8370" s="10"/>
      <c r="P8370" s="10" t="s">
        <v>38827</v>
      </c>
      <c r="Q8370" s="10">
        <v>373.73</v>
      </c>
      <c r="R8370" s="10" t="s">
        <v>38828</v>
      </c>
      <c r="S8370" s="10" t="s">
        <v>53</v>
      </c>
      <c r="T8370" s="10" t="s">
        <v>54</v>
      </c>
    </row>
    <row r="8371" spans="1:20" ht="14.5" x14ac:dyDescent="0.35">
      <c r="A8371" s="10" t="s">
        <v>38829</v>
      </c>
      <c r="B8371" s="10" t="str">
        <f>"9780300106008"</f>
        <v>9780300106008</v>
      </c>
      <c r="C8371" s="10" t="str">
        <f>"9780300127812"</f>
        <v>9780300127812</v>
      </c>
      <c r="D8371" s="10" t="s">
        <v>38767</v>
      </c>
      <c r="E8371" s="10" t="s">
        <v>38767</v>
      </c>
      <c r="F8371" s="10" t="s">
        <v>38768</v>
      </c>
      <c r="G8371" s="10" t="s">
        <v>6317</v>
      </c>
      <c r="H8371" s="11">
        <v>38118</v>
      </c>
      <c r="I8371" s="10">
        <v>2008</v>
      </c>
      <c r="J8371" s="10" t="s">
        <v>38767</v>
      </c>
      <c r="K8371" s="10">
        <v>237</v>
      </c>
      <c r="L8371" s="10" t="s">
        <v>38830</v>
      </c>
      <c r="M8371" s="10">
        <v>1</v>
      </c>
      <c r="N8371" s="10"/>
      <c r="O8371" s="10"/>
      <c r="P8371" s="10" t="s">
        <v>38831</v>
      </c>
      <c r="Q8371" s="10">
        <v>378.73</v>
      </c>
      <c r="R8371" s="10" t="s">
        <v>38832</v>
      </c>
      <c r="S8371" s="10" t="s">
        <v>53</v>
      </c>
      <c r="T8371" s="10" t="s">
        <v>54</v>
      </c>
    </row>
    <row r="8372" spans="1:20" ht="14.5" x14ac:dyDescent="0.35">
      <c r="A8372" s="10" t="s">
        <v>38833</v>
      </c>
      <c r="B8372" s="10" t="str">
        <f>"9780300087048"</f>
        <v>9780300087048</v>
      </c>
      <c r="C8372" s="10" t="str">
        <f>"9780300130522"</f>
        <v>9780300130522</v>
      </c>
      <c r="D8372" s="10" t="s">
        <v>38767</v>
      </c>
      <c r="E8372" s="10" t="s">
        <v>38767</v>
      </c>
      <c r="F8372" s="10" t="s">
        <v>38768</v>
      </c>
      <c r="G8372" s="10" t="s">
        <v>6317</v>
      </c>
      <c r="H8372" s="11">
        <v>37114</v>
      </c>
      <c r="I8372" s="10">
        <v>2008</v>
      </c>
      <c r="J8372" s="10" t="s">
        <v>38767</v>
      </c>
      <c r="K8372" s="10">
        <v>286</v>
      </c>
      <c r="L8372" s="10" t="s">
        <v>38834</v>
      </c>
      <c r="M8372" s="10">
        <v>1</v>
      </c>
      <c r="N8372" s="10"/>
      <c r="O8372" s="10"/>
      <c r="P8372" s="10" t="s">
        <v>38835</v>
      </c>
      <c r="Q8372" s="10" t="s">
        <v>10077</v>
      </c>
      <c r="R8372" s="10" t="s">
        <v>13239</v>
      </c>
      <c r="S8372" s="10" t="s">
        <v>53</v>
      </c>
      <c r="T8372" s="10" t="s">
        <v>54</v>
      </c>
    </row>
    <row r="8373" spans="1:20" ht="14.5" x14ac:dyDescent="0.35">
      <c r="A8373" s="10" t="s">
        <v>38836</v>
      </c>
      <c r="B8373" s="10" t="str">
        <f>"9780300094329"</f>
        <v>9780300094329</v>
      </c>
      <c r="C8373" s="10" t="str">
        <f>"9780300127539"</f>
        <v>9780300127539</v>
      </c>
      <c r="D8373" s="10" t="s">
        <v>38767</v>
      </c>
      <c r="E8373" s="10" t="s">
        <v>38767</v>
      </c>
      <c r="F8373" s="10" t="s">
        <v>38768</v>
      </c>
      <c r="G8373" s="10" t="s">
        <v>6317</v>
      </c>
      <c r="H8373" s="11">
        <v>37540</v>
      </c>
      <c r="I8373" s="10">
        <v>2008</v>
      </c>
      <c r="J8373" s="10" t="s">
        <v>38767</v>
      </c>
      <c r="K8373" s="10">
        <v>320</v>
      </c>
      <c r="L8373" s="10" t="s">
        <v>38837</v>
      </c>
      <c r="M8373" s="10">
        <v>1</v>
      </c>
      <c r="N8373" s="10"/>
      <c r="O8373" s="10"/>
      <c r="P8373" s="10" t="s">
        <v>38838</v>
      </c>
      <c r="Q8373" s="10" t="s">
        <v>38839</v>
      </c>
      <c r="R8373" s="10" t="s">
        <v>38840</v>
      </c>
      <c r="S8373" s="10" t="s">
        <v>53</v>
      </c>
      <c r="T8373" s="10" t="s">
        <v>389</v>
      </c>
    </row>
    <row r="8374" spans="1:20" ht="14.5" x14ac:dyDescent="0.35">
      <c r="A8374" s="10" t="s">
        <v>38841</v>
      </c>
      <c r="B8374" s="10" t="str">
        <f>"9780300093643"</f>
        <v>9780300093643</v>
      </c>
      <c r="C8374" s="10" t="str">
        <f>"9780300127393"</f>
        <v>9780300127393</v>
      </c>
      <c r="D8374" s="10" t="s">
        <v>38767</v>
      </c>
      <c r="E8374" s="10" t="s">
        <v>38767</v>
      </c>
      <c r="F8374" s="10" t="s">
        <v>38768</v>
      </c>
      <c r="G8374" s="10" t="s">
        <v>6317</v>
      </c>
      <c r="H8374" s="11">
        <v>37601</v>
      </c>
      <c r="I8374" s="10">
        <v>2008</v>
      </c>
      <c r="J8374" s="10" t="s">
        <v>38767</v>
      </c>
      <c r="K8374" s="10">
        <v>272</v>
      </c>
      <c r="L8374" s="10" t="s">
        <v>38842</v>
      </c>
      <c r="M8374" s="10">
        <v>1</v>
      </c>
      <c r="N8374" s="10" t="s">
        <v>38814</v>
      </c>
      <c r="O8374" s="10"/>
      <c r="P8374" s="10" t="s">
        <v>38843</v>
      </c>
      <c r="Q8374" s="10">
        <v>305.23099999999999</v>
      </c>
      <c r="R8374" s="10" t="s">
        <v>38844</v>
      </c>
      <c r="S8374" s="10" t="s">
        <v>53</v>
      </c>
      <c r="T8374" s="10" t="s">
        <v>6363</v>
      </c>
    </row>
    <row r="8375" spans="1:20" ht="14.5" x14ac:dyDescent="0.35">
      <c r="A8375" s="10" t="s">
        <v>38845</v>
      </c>
      <c r="B8375" s="10" t="str">
        <f>"9780300095739"</f>
        <v>9780300095739</v>
      </c>
      <c r="C8375" s="10" t="str">
        <f>"9780300128796"</f>
        <v>9780300128796</v>
      </c>
      <c r="D8375" s="10" t="s">
        <v>38767</v>
      </c>
      <c r="E8375" s="10" t="s">
        <v>38767</v>
      </c>
      <c r="F8375" s="10" t="s">
        <v>38768</v>
      </c>
      <c r="G8375" s="10" t="s">
        <v>6317</v>
      </c>
      <c r="H8375" s="11">
        <v>37608</v>
      </c>
      <c r="I8375" s="10">
        <v>2008</v>
      </c>
      <c r="J8375" s="10" t="s">
        <v>38767</v>
      </c>
      <c r="K8375" s="10">
        <v>352</v>
      </c>
      <c r="L8375" s="10" t="s">
        <v>38846</v>
      </c>
      <c r="M8375" s="10">
        <v>1</v>
      </c>
      <c r="N8375" s="10" t="s">
        <v>38847</v>
      </c>
      <c r="O8375" s="10"/>
      <c r="P8375" s="10" t="s">
        <v>38848</v>
      </c>
      <c r="Q8375" s="10" t="s">
        <v>6950</v>
      </c>
      <c r="R8375" s="10" t="s">
        <v>7288</v>
      </c>
      <c r="S8375" s="10" t="s">
        <v>53</v>
      </c>
      <c r="T8375" s="10" t="s">
        <v>6616</v>
      </c>
    </row>
    <row r="8376" spans="1:20" ht="14.5" x14ac:dyDescent="0.35">
      <c r="A8376" s="10" t="s">
        <v>38849</v>
      </c>
      <c r="B8376" s="10" t="str">
        <f>"9780300091564"</f>
        <v>9780300091564</v>
      </c>
      <c r="C8376" s="10" t="str">
        <f>"9780300129076"</f>
        <v>9780300129076</v>
      </c>
      <c r="D8376" s="10" t="s">
        <v>38767</v>
      </c>
      <c r="E8376" s="10" t="s">
        <v>38767</v>
      </c>
      <c r="F8376" s="10" t="s">
        <v>38768</v>
      </c>
      <c r="G8376" s="10" t="s">
        <v>6317</v>
      </c>
      <c r="H8376" s="11">
        <v>37356</v>
      </c>
      <c r="I8376" s="10">
        <v>2008</v>
      </c>
      <c r="J8376" s="10" t="s">
        <v>38767</v>
      </c>
      <c r="K8376" s="10">
        <v>255</v>
      </c>
      <c r="L8376" s="10" t="s">
        <v>38850</v>
      </c>
      <c r="M8376" s="10">
        <v>1</v>
      </c>
      <c r="N8376" s="10" t="s">
        <v>38847</v>
      </c>
      <c r="O8376" s="10"/>
      <c r="P8376" s="10" t="s">
        <v>38851</v>
      </c>
      <c r="Q8376" s="10" t="s">
        <v>6950</v>
      </c>
      <c r="R8376" s="10" t="s">
        <v>38852</v>
      </c>
      <c r="S8376" s="10" t="s">
        <v>53</v>
      </c>
      <c r="T8376" s="10" t="s">
        <v>6634</v>
      </c>
    </row>
    <row r="8377" spans="1:20" ht="14.5" x14ac:dyDescent="0.35">
      <c r="A8377" s="10" t="s">
        <v>38853</v>
      </c>
      <c r="B8377" s="10" t="str">
        <f>"9780300081190"</f>
        <v>9780300081190</v>
      </c>
      <c r="C8377" s="10" t="str">
        <f>"9780300129151"</f>
        <v>9780300129151</v>
      </c>
      <c r="D8377" s="10" t="s">
        <v>38767</v>
      </c>
      <c r="E8377" s="10" t="s">
        <v>38767</v>
      </c>
      <c r="F8377" s="10" t="s">
        <v>38768</v>
      </c>
      <c r="G8377" s="10" t="s">
        <v>6317</v>
      </c>
      <c r="H8377" s="11">
        <v>36626</v>
      </c>
      <c r="I8377" s="10">
        <v>2008</v>
      </c>
      <c r="J8377" s="10" t="s">
        <v>38767</v>
      </c>
      <c r="K8377" s="10">
        <v>346</v>
      </c>
      <c r="L8377" s="10" t="s">
        <v>34949</v>
      </c>
      <c r="M8377" s="10">
        <v>1</v>
      </c>
      <c r="N8377" s="10"/>
      <c r="O8377" s="10"/>
      <c r="P8377" s="10" t="s">
        <v>38854</v>
      </c>
      <c r="Q8377" s="10" t="s">
        <v>11356</v>
      </c>
      <c r="R8377" s="10" t="s">
        <v>8592</v>
      </c>
      <c r="S8377" s="10" t="s">
        <v>53</v>
      </c>
      <c r="T8377" s="10" t="s">
        <v>54</v>
      </c>
    </row>
    <row r="8378" spans="1:20" ht="14.5" x14ac:dyDescent="0.35">
      <c r="A8378" s="10" t="s">
        <v>38855</v>
      </c>
      <c r="B8378" s="10" t="str">
        <f>"9780300098754"</f>
        <v>9780300098754</v>
      </c>
      <c r="C8378" s="10" t="str">
        <f>"9780300129144"</f>
        <v>9780300129144</v>
      </c>
      <c r="D8378" s="10" t="s">
        <v>38767</v>
      </c>
      <c r="E8378" s="10" t="s">
        <v>38767</v>
      </c>
      <c r="F8378" s="10" t="s">
        <v>38768</v>
      </c>
      <c r="G8378" s="10" t="s">
        <v>6317</v>
      </c>
      <c r="H8378" s="11">
        <v>37752</v>
      </c>
      <c r="I8378" s="10">
        <v>2008</v>
      </c>
      <c r="J8378" s="10" t="s">
        <v>38767</v>
      </c>
      <c r="K8378" s="10">
        <v>305</v>
      </c>
      <c r="L8378" s="10" t="s">
        <v>34949</v>
      </c>
      <c r="M8378" s="10">
        <v>1</v>
      </c>
      <c r="N8378" s="10"/>
      <c r="O8378" s="10"/>
      <c r="P8378" s="10" t="s">
        <v>38856</v>
      </c>
      <c r="Q8378" s="10">
        <v>371.822</v>
      </c>
      <c r="R8378" s="10" t="s">
        <v>38857</v>
      </c>
      <c r="S8378" s="10" t="s">
        <v>53</v>
      </c>
      <c r="T8378" s="10" t="s">
        <v>54</v>
      </c>
    </row>
    <row r="8379" spans="1:20" ht="14.5" x14ac:dyDescent="0.35">
      <c r="A8379" s="10" t="s">
        <v>38858</v>
      </c>
      <c r="B8379" s="10" t="str">
        <f>"9780300081220"</f>
        <v>9780300081220</v>
      </c>
      <c r="C8379" s="10" t="str">
        <f>"9780300130706"</f>
        <v>9780300130706</v>
      </c>
      <c r="D8379" s="10" t="s">
        <v>6358</v>
      </c>
      <c r="E8379" s="10" t="s">
        <v>38767</v>
      </c>
      <c r="F8379" s="10" t="s">
        <v>38768</v>
      </c>
      <c r="G8379" s="10" t="s">
        <v>6317</v>
      </c>
      <c r="H8379" s="11">
        <v>37540</v>
      </c>
      <c r="I8379" s="10">
        <v>2008</v>
      </c>
      <c r="J8379" s="10" t="s">
        <v>38767</v>
      </c>
      <c r="K8379" s="10">
        <v>288</v>
      </c>
      <c r="L8379" s="10" t="s">
        <v>38859</v>
      </c>
      <c r="M8379" s="10">
        <v>1</v>
      </c>
      <c r="N8379" s="10"/>
      <c r="O8379" s="10"/>
      <c r="P8379" s="10" t="s">
        <v>38860</v>
      </c>
      <c r="Q8379" s="10" t="s">
        <v>13939</v>
      </c>
      <c r="R8379" s="10" t="s">
        <v>38861</v>
      </c>
      <c r="S8379" s="10" t="s">
        <v>53</v>
      </c>
      <c r="T8379" s="10" t="s">
        <v>8003</v>
      </c>
    </row>
    <row r="8380" spans="1:20" ht="14.5" x14ac:dyDescent="0.35">
      <c r="A8380" s="10" t="s">
        <v>38862</v>
      </c>
      <c r="B8380" s="10" t="str">
        <f>"9780300103915"</f>
        <v>9780300103915</v>
      </c>
      <c r="C8380" s="10" t="str">
        <f>"9780300133424"</f>
        <v>9780300133424</v>
      </c>
      <c r="D8380" s="10" t="s">
        <v>38767</v>
      </c>
      <c r="E8380" s="10" t="s">
        <v>38767</v>
      </c>
      <c r="F8380" s="10" t="s">
        <v>38768</v>
      </c>
      <c r="G8380" s="10" t="s">
        <v>6317</v>
      </c>
      <c r="H8380" s="11">
        <v>38210</v>
      </c>
      <c r="I8380" s="10">
        <v>2008</v>
      </c>
      <c r="J8380" s="10" t="s">
        <v>38767</v>
      </c>
      <c r="K8380" s="10">
        <v>349</v>
      </c>
      <c r="L8380" s="10" t="s">
        <v>38863</v>
      </c>
      <c r="M8380" s="10">
        <v>1</v>
      </c>
      <c r="N8380" s="10"/>
      <c r="O8380" s="10"/>
      <c r="P8380" s="10" t="s">
        <v>38864</v>
      </c>
      <c r="Q8380" s="10" t="s">
        <v>38865</v>
      </c>
      <c r="R8380" s="10" t="s">
        <v>8651</v>
      </c>
      <c r="S8380" s="10" t="s">
        <v>53</v>
      </c>
      <c r="T8380" s="10" t="s">
        <v>54</v>
      </c>
    </row>
    <row r="8381" spans="1:20" ht="14.5" x14ac:dyDescent="0.35">
      <c r="A8381" s="10" t="s">
        <v>38866</v>
      </c>
      <c r="B8381" s="10" t="str">
        <f>"9780300100716"</f>
        <v>9780300100716</v>
      </c>
      <c r="C8381" s="10" t="str">
        <f>"9780300129489"</f>
        <v>9780300129489</v>
      </c>
      <c r="D8381" s="10" t="s">
        <v>38767</v>
      </c>
      <c r="E8381" s="10" t="s">
        <v>38767</v>
      </c>
      <c r="F8381" s="10" t="s">
        <v>38768</v>
      </c>
      <c r="G8381" s="10" t="s">
        <v>6317</v>
      </c>
      <c r="H8381" s="11">
        <v>38791</v>
      </c>
      <c r="I8381" s="10">
        <v>2008</v>
      </c>
      <c r="J8381" s="10" t="s">
        <v>38767</v>
      </c>
      <c r="K8381" s="10">
        <v>225</v>
      </c>
      <c r="L8381" s="10" t="s">
        <v>38867</v>
      </c>
      <c r="M8381" s="10">
        <v>1</v>
      </c>
      <c r="N8381" s="10"/>
      <c r="O8381" s="10"/>
      <c r="P8381" s="10" t="s">
        <v>38868</v>
      </c>
      <c r="Q8381" s="10" t="s">
        <v>38869</v>
      </c>
      <c r="R8381" s="10" t="s">
        <v>38870</v>
      </c>
      <c r="S8381" s="10" t="s">
        <v>53</v>
      </c>
      <c r="T8381" s="10" t="s">
        <v>1166</v>
      </c>
    </row>
    <row r="8382" spans="1:20" ht="14.5" x14ac:dyDescent="0.35">
      <c r="A8382" s="10" t="s">
        <v>38871</v>
      </c>
      <c r="B8382" s="10" t="str">
        <f>"9780300097818"</f>
        <v>9780300097818</v>
      </c>
      <c r="C8382" s="10" t="str">
        <f>"9780300130836"</f>
        <v>9780300130836</v>
      </c>
      <c r="D8382" s="10" t="s">
        <v>38767</v>
      </c>
      <c r="E8382" s="10" t="s">
        <v>38767</v>
      </c>
      <c r="F8382" s="10" t="s">
        <v>38768</v>
      </c>
      <c r="G8382" s="10" t="s">
        <v>6317</v>
      </c>
      <c r="H8382" s="11">
        <v>37691</v>
      </c>
      <c r="I8382" s="10">
        <v>2008</v>
      </c>
      <c r="J8382" s="10" t="s">
        <v>38767</v>
      </c>
      <c r="K8382" s="10">
        <v>189</v>
      </c>
      <c r="L8382" s="10" t="s">
        <v>38872</v>
      </c>
      <c r="M8382" s="10">
        <v>1</v>
      </c>
      <c r="N8382" s="10" t="s">
        <v>38847</v>
      </c>
      <c r="O8382" s="10"/>
      <c r="P8382" s="10" t="s">
        <v>38873</v>
      </c>
      <c r="Q8382" s="10" t="s">
        <v>6950</v>
      </c>
      <c r="R8382" s="10" t="s">
        <v>7288</v>
      </c>
      <c r="S8382" s="10" t="s">
        <v>53</v>
      </c>
      <c r="T8382" s="10" t="s">
        <v>6616</v>
      </c>
    </row>
    <row r="8383" spans="1:20" ht="14.5" x14ac:dyDescent="0.35">
      <c r="A8383" s="10" t="s">
        <v>38874</v>
      </c>
      <c r="B8383" s="10" t="str">
        <f>"9780300106459"</f>
        <v>9780300106459</v>
      </c>
      <c r="C8383" s="10" t="str">
        <f>"9780300130256"</f>
        <v>9780300130256</v>
      </c>
      <c r="D8383" s="10" t="s">
        <v>38767</v>
      </c>
      <c r="E8383" s="10" t="s">
        <v>38767</v>
      </c>
      <c r="F8383" s="10" t="s">
        <v>38768</v>
      </c>
      <c r="G8383" s="10" t="s">
        <v>6317</v>
      </c>
      <c r="H8383" s="11">
        <v>38482</v>
      </c>
      <c r="I8383" s="10">
        <v>2008</v>
      </c>
      <c r="J8383" s="10" t="s">
        <v>38767</v>
      </c>
      <c r="K8383" s="10">
        <v>241</v>
      </c>
      <c r="L8383" s="10" t="s">
        <v>38875</v>
      </c>
      <c r="M8383" s="10">
        <v>1</v>
      </c>
      <c r="N8383" s="10" t="s">
        <v>38814</v>
      </c>
      <c r="O8383" s="10"/>
      <c r="P8383" s="10" t="s">
        <v>38876</v>
      </c>
      <c r="Q8383" s="10" t="s">
        <v>38877</v>
      </c>
      <c r="R8383" s="10" t="s">
        <v>38878</v>
      </c>
      <c r="S8383" s="10" t="s">
        <v>53</v>
      </c>
      <c r="T8383" s="10" t="s">
        <v>54</v>
      </c>
    </row>
    <row r="8384" spans="1:20" ht="14.5" x14ac:dyDescent="0.35">
      <c r="A8384" s="10" t="s">
        <v>38879</v>
      </c>
      <c r="B8384" s="10" t="str">
        <f>"9780300100013"</f>
        <v>9780300100013</v>
      </c>
      <c r="C8384" s="10" t="str">
        <f>"9780300135350"</f>
        <v>9780300135350</v>
      </c>
      <c r="D8384" s="10" t="s">
        <v>38767</v>
      </c>
      <c r="E8384" s="10" t="s">
        <v>38767</v>
      </c>
      <c r="F8384" s="10" t="s">
        <v>38768</v>
      </c>
      <c r="G8384" s="10" t="s">
        <v>6317</v>
      </c>
      <c r="H8384" s="11">
        <v>37691</v>
      </c>
      <c r="I8384" s="10">
        <v>2008</v>
      </c>
      <c r="J8384" s="10" t="s">
        <v>38767</v>
      </c>
      <c r="K8384" s="10">
        <v>262</v>
      </c>
      <c r="L8384" s="10" t="s">
        <v>38880</v>
      </c>
      <c r="M8384" s="10">
        <v>1</v>
      </c>
      <c r="N8384" s="10"/>
      <c r="O8384" s="10"/>
      <c r="P8384" s="10" t="s">
        <v>38881</v>
      </c>
      <c r="Q8384" s="10">
        <v>378</v>
      </c>
      <c r="R8384" s="10" t="s">
        <v>38882</v>
      </c>
      <c r="S8384" s="10" t="s">
        <v>53</v>
      </c>
      <c r="T8384" s="10" t="s">
        <v>54</v>
      </c>
    </row>
    <row r="8385" spans="1:20" ht="14.5" x14ac:dyDescent="0.35">
      <c r="A8385" s="10" t="s">
        <v>38883</v>
      </c>
      <c r="B8385" s="10" t="str">
        <f>"9780300097412"</f>
        <v>9780300097412</v>
      </c>
      <c r="C8385" s="10" t="str">
        <f>"9780300134629"</f>
        <v>9780300134629</v>
      </c>
      <c r="D8385" s="10" t="s">
        <v>38767</v>
      </c>
      <c r="E8385" s="10" t="s">
        <v>38767</v>
      </c>
      <c r="F8385" s="10" t="s">
        <v>38768</v>
      </c>
      <c r="G8385" s="10" t="s">
        <v>6317</v>
      </c>
      <c r="H8385" s="11">
        <v>37660</v>
      </c>
      <c r="I8385" s="10">
        <v>2008</v>
      </c>
      <c r="J8385" s="10" t="s">
        <v>38767</v>
      </c>
      <c r="K8385" s="10">
        <v>241</v>
      </c>
      <c r="L8385" s="10" t="s">
        <v>38884</v>
      </c>
      <c r="M8385" s="10">
        <v>1</v>
      </c>
      <c r="N8385" s="10"/>
      <c r="O8385" s="10"/>
      <c r="P8385" s="10" t="s">
        <v>38885</v>
      </c>
      <c r="Q8385" s="10" t="s">
        <v>38886</v>
      </c>
      <c r="R8385" s="10" t="s">
        <v>38887</v>
      </c>
      <c r="S8385" s="10" t="s">
        <v>53</v>
      </c>
      <c r="T8385" s="10" t="s">
        <v>54</v>
      </c>
    </row>
    <row r="8386" spans="1:20" ht="14.5" x14ac:dyDescent="0.35">
      <c r="A8386" s="10" t="s">
        <v>38888</v>
      </c>
      <c r="B8386" s="10" t="str">
        <f>"9780300089608"</f>
        <v>9780300089608</v>
      </c>
      <c r="C8386" s="10" t="str">
        <f>"9780300130492"</f>
        <v>9780300130492</v>
      </c>
      <c r="D8386" s="10" t="s">
        <v>38767</v>
      </c>
      <c r="E8386" s="10" t="s">
        <v>38767</v>
      </c>
      <c r="F8386" s="10" t="s">
        <v>38768</v>
      </c>
      <c r="G8386" s="10" t="s">
        <v>6317</v>
      </c>
      <c r="H8386" s="11">
        <v>37114</v>
      </c>
      <c r="I8386" s="10">
        <v>2008</v>
      </c>
      <c r="J8386" s="10" t="s">
        <v>38767</v>
      </c>
      <c r="K8386" s="10">
        <v>199</v>
      </c>
      <c r="L8386" s="10" t="s">
        <v>38889</v>
      </c>
      <c r="M8386" s="10">
        <v>1</v>
      </c>
      <c r="N8386" s="10" t="s">
        <v>38847</v>
      </c>
      <c r="O8386" s="10"/>
      <c r="P8386" s="10" t="s">
        <v>38890</v>
      </c>
      <c r="Q8386" s="10" t="s">
        <v>8646</v>
      </c>
      <c r="R8386" s="10" t="s">
        <v>38891</v>
      </c>
      <c r="S8386" s="10" t="s">
        <v>53</v>
      </c>
      <c r="T8386" s="10" t="s">
        <v>6616</v>
      </c>
    </row>
    <row r="8387" spans="1:20" ht="14.5" x14ac:dyDescent="0.35">
      <c r="A8387" s="10" t="s">
        <v>38892</v>
      </c>
      <c r="B8387" s="10" t="str">
        <f>"9780300084528"</f>
        <v>9780300084528</v>
      </c>
      <c r="C8387" s="10" t="str">
        <f>"9780300127157"</f>
        <v>9780300127157</v>
      </c>
      <c r="D8387" s="10" t="s">
        <v>38767</v>
      </c>
      <c r="E8387" s="10" t="s">
        <v>38767</v>
      </c>
      <c r="F8387" s="10" t="s">
        <v>38768</v>
      </c>
      <c r="G8387" s="10" t="s">
        <v>6317</v>
      </c>
      <c r="H8387" s="11">
        <v>36413</v>
      </c>
      <c r="I8387" s="10">
        <v>2008</v>
      </c>
      <c r="J8387" s="10" t="s">
        <v>38767</v>
      </c>
      <c r="K8387" s="10">
        <v>198</v>
      </c>
      <c r="L8387" s="10" t="s">
        <v>38893</v>
      </c>
      <c r="M8387" s="10">
        <v>1</v>
      </c>
      <c r="N8387" s="10"/>
      <c r="O8387" s="10"/>
      <c r="P8387" s="10" t="s">
        <v>38894</v>
      </c>
      <c r="Q8387" s="10">
        <v>378.1</v>
      </c>
      <c r="R8387" s="10" t="s">
        <v>12272</v>
      </c>
      <c r="S8387" s="10" t="s">
        <v>53</v>
      </c>
      <c r="T8387" s="10" t="s">
        <v>54</v>
      </c>
    </row>
    <row r="8388" spans="1:20" ht="14.5" x14ac:dyDescent="0.35">
      <c r="A8388" s="10" t="s">
        <v>38895</v>
      </c>
      <c r="B8388" s="10" t="str">
        <f>"9780300122886"</f>
        <v>9780300122886</v>
      </c>
      <c r="C8388" s="10" t="str">
        <f>"9780300138160"</f>
        <v>9780300138160</v>
      </c>
      <c r="D8388" s="10" t="s">
        <v>38767</v>
      </c>
      <c r="E8388" s="10" t="s">
        <v>38767</v>
      </c>
      <c r="F8388" s="10" t="s">
        <v>38768</v>
      </c>
      <c r="G8388" s="10" t="s">
        <v>6317</v>
      </c>
      <c r="H8388" s="11">
        <v>39350</v>
      </c>
      <c r="I8388" s="10">
        <v>2008</v>
      </c>
      <c r="J8388" s="10" t="s">
        <v>38767</v>
      </c>
      <c r="K8388" s="10">
        <v>321</v>
      </c>
      <c r="L8388" s="10" t="s">
        <v>38809</v>
      </c>
      <c r="M8388" s="10">
        <v>1</v>
      </c>
      <c r="N8388" s="10"/>
      <c r="O8388" s="10"/>
      <c r="P8388" s="10" t="s">
        <v>38896</v>
      </c>
      <c r="Q8388" s="10" t="s">
        <v>38897</v>
      </c>
      <c r="R8388" s="10" t="s">
        <v>38898</v>
      </c>
      <c r="S8388" s="10" t="s">
        <v>53</v>
      </c>
      <c r="T8388" s="10" t="s">
        <v>6601</v>
      </c>
    </row>
    <row r="8389" spans="1:20" ht="14.5" x14ac:dyDescent="0.35">
      <c r="A8389" s="10" t="s">
        <v>38899</v>
      </c>
      <c r="B8389" s="10" t="str">
        <f>"9780300121872"</f>
        <v>9780300121872</v>
      </c>
      <c r="C8389" s="10" t="str">
        <f>"9780300137729"</f>
        <v>9780300137729</v>
      </c>
      <c r="D8389" s="10" t="s">
        <v>38767</v>
      </c>
      <c r="E8389" s="10" t="s">
        <v>38767</v>
      </c>
      <c r="F8389" s="10" t="s">
        <v>38768</v>
      </c>
      <c r="G8389" s="10" t="s">
        <v>6317</v>
      </c>
      <c r="H8389" s="11">
        <v>39176</v>
      </c>
      <c r="I8389" s="10">
        <v>2008</v>
      </c>
      <c r="J8389" s="10" t="s">
        <v>38767</v>
      </c>
      <c r="K8389" s="10">
        <v>252</v>
      </c>
      <c r="L8389" s="10" t="s">
        <v>38900</v>
      </c>
      <c r="M8389" s="10">
        <v>1</v>
      </c>
      <c r="N8389" s="10"/>
      <c r="O8389" s="10"/>
      <c r="P8389" s="10" t="s">
        <v>38901</v>
      </c>
      <c r="Q8389" s="10" t="s">
        <v>8706</v>
      </c>
      <c r="R8389" s="10" t="s">
        <v>38902</v>
      </c>
      <c r="S8389" s="10" t="s">
        <v>53</v>
      </c>
      <c r="T8389" s="10" t="s">
        <v>54</v>
      </c>
    </row>
    <row r="8390" spans="1:20" ht="14.5" x14ac:dyDescent="0.35">
      <c r="A8390" s="10" t="s">
        <v>38903</v>
      </c>
      <c r="B8390" s="10" t="str">
        <f>"9780300080841"</f>
        <v>9780300080841</v>
      </c>
      <c r="C8390" s="10" t="str">
        <f>"9780300128895"</f>
        <v>9780300128895</v>
      </c>
      <c r="D8390" s="10" t="s">
        <v>38767</v>
      </c>
      <c r="E8390" s="10" t="s">
        <v>38767</v>
      </c>
      <c r="F8390" s="10" t="s">
        <v>38768</v>
      </c>
      <c r="G8390" s="10" t="s">
        <v>6317</v>
      </c>
      <c r="H8390" s="11">
        <v>35843</v>
      </c>
      <c r="I8390" s="10">
        <v>2008</v>
      </c>
      <c r="J8390" s="10" t="s">
        <v>38767</v>
      </c>
      <c r="K8390" s="10">
        <v>220</v>
      </c>
      <c r="L8390" s="10" t="s">
        <v>38904</v>
      </c>
      <c r="M8390" s="10">
        <v>1</v>
      </c>
      <c r="N8390" s="10"/>
      <c r="O8390" s="10"/>
      <c r="P8390" s="10" t="s">
        <v>38905</v>
      </c>
      <c r="Q8390" s="10" t="s">
        <v>38906</v>
      </c>
      <c r="R8390" s="10" t="s">
        <v>38907</v>
      </c>
      <c r="S8390" s="10" t="s">
        <v>53</v>
      </c>
      <c r="T8390" s="10" t="s">
        <v>6616</v>
      </c>
    </row>
    <row r="8391" spans="1:20" ht="14.5" x14ac:dyDescent="0.35">
      <c r="A8391" s="10" t="s">
        <v>38908</v>
      </c>
      <c r="B8391" s="10" t="str">
        <f>"9780300078558"</f>
        <v>9780300078558</v>
      </c>
      <c r="C8391" s="10" t="str">
        <f>"9780300127140"</f>
        <v>9780300127140</v>
      </c>
      <c r="D8391" s="10" t="s">
        <v>38767</v>
      </c>
      <c r="E8391" s="10" t="s">
        <v>38767</v>
      </c>
      <c r="F8391" s="10" t="s">
        <v>38768</v>
      </c>
      <c r="G8391" s="10" t="s">
        <v>6317</v>
      </c>
      <c r="H8391" s="11">
        <v>35516</v>
      </c>
      <c r="I8391" s="10">
        <v>2008</v>
      </c>
      <c r="J8391" s="10" t="s">
        <v>38767</v>
      </c>
      <c r="K8391" s="10">
        <v>155</v>
      </c>
      <c r="L8391" s="10" t="s">
        <v>38909</v>
      </c>
      <c r="M8391" s="10">
        <v>1</v>
      </c>
      <c r="N8391" s="10"/>
      <c r="O8391" s="10"/>
      <c r="P8391" s="10" t="s">
        <v>38910</v>
      </c>
      <c r="Q8391" s="10">
        <v>371.10199999999998</v>
      </c>
      <c r="R8391" s="10" t="s">
        <v>25215</v>
      </c>
      <c r="S8391" s="10" t="s">
        <v>53</v>
      </c>
      <c r="T8391" s="10" t="s">
        <v>54</v>
      </c>
    </row>
    <row r="8392" spans="1:20" ht="14.5" x14ac:dyDescent="0.35">
      <c r="A8392" s="10" t="s">
        <v>38911</v>
      </c>
      <c r="B8392" s="10" t="str">
        <f>"9780300088786"</f>
        <v>9780300088786</v>
      </c>
      <c r="C8392" s="10" t="str">
        <f>"9780300129786"</f>
        <v>9780300129786</v>
      </c>
      <c r="D8392" s="10" t="s">
        <v>38767</v>
      </c>
      <c r="E8392" s="10" t="s">
        <v>38767</v>
      </c>
      <c r="F8392" s="10" t="s">
        <v>38768</v>
      </c>
      <c r="G8392" s="10" t="s">
        <v>6317</v>
      </c>
      <c r="H8392" s="11">
        <v>37144</v>
      </c>
      <c r="I8392" s="10">
        <v>2008</v>
      </c>
      <c r="J8392" s="10" t="s">
        <v>38767</v>
      </c>
      <c r="K8392" s="10">
        <v>367</v>
      </c>
      <c r="L8392" s="10" t="s">
        <v>35826</v>
      </c>
      <c r="M8392" s="10">
        <v>1</v>
      </c>
      <c r="N8392" s="10"/>
      <c r="O8392" s="10"/>
      <c r="P8392" s="10" t="s">
        <v>38912</v>
      </c>
      <c r="Q8392" s="10" t="s">
        <v>38913</v>
      </c>
      <c r="R8392" s="10" t="s">
        <v>38914</v>
      </c>
      <c r="S8392" s="10" t="s">
        <v>53</v>
      </c>
      <c r="T8392" s="10" t="s">
        <v>54</v>
      </c>
    </row>
    <row r="8393" spans="1:20" ht="14.5" x14ac:dyDescent="0.35">
      <c r="A8393" s="10" t="s">
        <v>38915</v>
      </c>
      <c r="B8393" s="10" t="str">
        <f>"9780300126594"</f>
        <v>9780300126594</v>
      </c>
      <c r="C8393" s="10" t="str">
        <f>"9780300145199"</f>
        <v>9780300145199</v>
      </c>
      <c r="D8393" s="10" t="s">
        <v>38767</v>
      </c>
      <c r="E8393" s="10" t="s">
        <v>38767</v>
      </c>
      <c r="F8393" s="10" t="s">
        <v>38768</v>
      </c>
      <c r="G8393" s="10" t="s">
        <v>6317</v>
      </c>
      <c r="H8393" s="11">
        <v>39566</v>
      </c>
      <c r="I8393" s="10">
        <v>2008</v>
      </c>
      <c r="J8393" s="10" t="s">
        <v>38767</v>
      </c>
      <c r="K8393" s="10">
        <v>209</v>
      </c>
      <c r="L8393" s="10" t="s">
        <v>38916</v>
      </c>
      <c r="M8393" s="10">
        <v>1</v>
      </c>
      <c r="N8393" s="10"/>
      <c r="O8393" s="10"/>
      <c r="P8393" s="10" t="s">
        <v>38917</v>
      </c>
      <c r="Q8393" s="10" t="s">
        <v>38918</v>
      </c>
      <c r="R8393" s="10" t="s">
        <v>38919</v>
      </c>
      <c r="S8393" s="10" t="s">
        <v>53</v>
      </c>
      <c r="T8393" s="10" t="s">
        <v>7711</v>
      </c>
    </row>
    <row r="8394" spans="1:20" ht="14.5" x14ac:dyDescent="0.35">
      <c r="A8394" s="10" t="s">
        <v>38920</v>
      </c>
      <c r="B8394" s="10" t="str">
        <f>"9780300115994"</f>
        <v>9780300115994</v>
      </c>
      <c r="C8394" s="10" t="str">
        <f>"9780300144956"</f>
        <v>9780300144956</v>
      </c>
      <c r="D8394" s="10" t="s">
        <v>38767</v>
      </c>
      <c r="E8394" s="10" t="s">
        <v>38767</v>
      </c>
      <c r="F8394" s="10" t="s">
        <v>38768</v>
      </c>
      <c r="G8394" s="10" t="s">
        <v>6317</v>
      </c>
      <c r="H8394" s="11">
        <v>39476</v>
      </c>
      <c r="I8394" s="10">
        <v>2008</v>
      </c>
      <c r="J8394" s="10" t="s">
        <v>38767</v>
      </c>
      <c r="K8394" s="10">
        <v>365</v>
      </c>
      <c r="L8394" s="10" t="s">
        <v>38921</v>
      </c>
      <c r="M8394" s="10">
        <v>1</v>
      </c>
      <c r="N8394" s="10"/>
      <c r="O8394" s="10"/>
      <c r="P8394" s="10" t="s">
        <v>38922</v>
      </c>
      <c r="Q8394" s="10" t="s">
        <v>38923</v>
      </c>
      <c r="R8394" s="10" t="s">
        <v>38924</v>
      </c>
      <c r="S8394" s="10" t="s">
        <v>53</v>
      </c>
      <c r="T8394" s="10" t="s">
        <v>6660</v>
      </c>
    </row>
    <row r="8395" spans="1:20" ht="14.5" x14ac:dyDescent="0.35">
      <c r="A8395" s="10" t="s">
        <v>38925</v>
      </c>
      <c r="B8395" s="10" t="str">
        <f>"9780300110463"</f>
        <v>9780300110463</v>
      </c>
      <c r="C8395" s="10" t="str">
        <f>"9780300142525"</f>
        <v>9780300142525</v>
      </c>
      <c r="D8395" s="10" t="s">
        <v>38767</v>
      </c>
      <c r="E8395" s="10" t="s">
        <v>38767</v>
      </c>
      <c r="F8395" s="10" t="s">
        <v>38768</v>
      </c>
      <c r="G8395" s="10" t="s">
        <v>6317</v>
      </c>
      <c r="H8395" s="11">
        <v>39714</v>
      </c>
      <c r="I8395" s="10">
        <v>2008</v>
      </c>
      <c r="J8395" s="10" t="s">
        <v>38767</v>
      </c>
      <c r="K8395" s="10">
        <v>204</v>
      </c>
      <c r="L8395" s="10" t="s">
        <v>13229</v>
      </c>
      <c r="M8395" s="10">
        <v>1</v>
      </c>
      <c r="N8395" s="10"/>
      <c r="O8395" s="10"/>
      <c r="P8395" s="10" t="s">
        <v>38926</v>
      </c>
      <c r="Q8395" s="10">
        <v>370.1</v>
      </c>
      <c r="R8395" s="10" t="s">
        <v>38927</v>
      </c>
      <c r="S8395" s="10" t="s">
        <v>53</v>
      </c>
      <c r="T8395" s="10" t="s">
        <v>54</v>
      </c>
    </row>
    <row r="8396" spans="1:20" ht="14.5" x14ac:dyDescent="0.35">
      <c r="A8396" s="10" t="s">
        <v>38928</v>
      </c>
      <c r="B8396" s="10" t="str">
        <f>"9780300123265"</f>
        <v>9780300123265</v>
      </c>
      <c r="C8396" s="10" t="str">
        <f>"9780300156270"</f>
        <v>9780300156270</v>
      </c>
      <c r="D8396" s="10" t="s">
        <v>38767</v>
      </c>
      <c r="E8396" s="10" t="s">
        <v>38767</v>
      </c>
      <c r="F8396" s="10" t="s">
        <v>38768</v>
      </c>
      <c r="G8396" s="10" t="s">
        <v>6317</v>
      </c>
      <c r="H8396" s="11">
        <v>40008</v>
      </c>
      <c r="I8396" s="10">
        <v>2009</v>
      </c>
      <c r="J8396" s="10" t="s">
        <v>38767</v>
      </c>
      <c r="K8396" s="10">
        <v>255</v>
      </c>
      <c r="L8396" s="10" t="s">
        <v>34855</v>
      </c>
      <c r="M8396" s="10">
        <v>1</v>
      </c>
      <c r="N8396" s="10" t="s">
        <v>38929</v>
      </c>
      <c r="O8396" s="10"/>
      <c r="P8396" s="10" t="s">
        <v>38930</v>
      </c>
      <c r="Q8396" s="10" t="s">
        <v>38931</v>
      </c>
      <c r="R8396" s="10" t="s">
        <v>38932</v>
      </c>
      <c r="S8396" s="10" t="s">
        <v>53</v>
      </c>
      <c r="T8396" s="10" t="s">
        <v>54</v>
      </c>
    </row>
    <row r="8397" spans="1:20" ht="14.5" x14ac:dyDescent="0.35">
      <c r="A8397" s="10" t="s">
        <v>38933</v>
      </c>
      <c r="B8397" s="10" t="str">
        <f>"9780300105797"</f>
        <v>9780300105797</v>
      </c>
      <c r="C8397" s="10" t="str">
        <f>"9780300153279"</f>
        <v>9780300153279</v>
      </c>
      <c r="D8397" s="10" t="s">
        <v>38767</v>
      </c>
      <c r="E8397" s="10" t="s">
        <v>38767</v>
      </c>
      <c r="F8397" s="10" t="s">
        <v>38768</v>
      </c>
      <c r="G8397" s="10" t="s">
        <v>6317</v>
      </c>
      <c r="H8397" s="11">
        <v>39868</v>
      </c>
      <c r="I8397" s="10">
        <v>2009</v>
      </c>
      <c r="J8397" s="10" t="s">
        <v>38767</v>
      </c>
      <c r="K8397" s="10">
        <v>223</v>
      </c>
      <c r="L8397" s="10" t="s">
        <v>38934</v>
      </c>
      <c r="M8397" s="10">
        <v>1</v>
      </c>
      <c r="N8397" s="10"/>
      <c r="O8397" s="10"/>
      <c r="P8397" s="10" t="s">
        <v>38935</v>
      </c>
      <c r="Q8397" s="10" t="s">
        <v>34556</v>
      </c>
      <c r="R8397" s="10" t="s">
        <v>38936</v>
      </c>
      <c r="S8397" s="10" t="s">
        <v>53</v>
      </c>
      <c r="T8397" s="10" t="s">
        <v>54</v>
      </c>
    </row>
    <row r="8398" spans="1:20" ht="14.5" x14ac:dyDescent="0.35">
      <c r="A8398" s="10" t="s">
        <v>38937</v>
      </c>
      <c r="B8398" s="10" t="str">
        <f>"9780300120004"</f>
        <v>9780300120004</v>
      </c>
      <c r="C8398" s="10" t="str">
        <f>"9780300155822"</f>
        <v>9780300155822</v>
      </c>
      <c r="D8398" s="10" t="s">
        <v>38767</v>
      </c>
      <c r="E8398" s="10" t="s">
        <v>38767</v>
      </c>
      <c r="F8398" s="10" t="s">
        <v>38768</v>
      </c>
      <c r="G8398" s="10" t="s">
        <v>6317</v>
      </c>
      <c r="H8398" s="11">
        <v>40043</v>
      </c>
      <c r="I8398" s="10">
        <v>2009</v>
      </c>
      <c r="J8398" s="10" t="s">
        <v>38767</v>
      </c>
      <c r="K8398" s="10">
        <v>236</v>
      </c>
      <c r="L8398" s="10" t="s">
        <v>38938</v>
      </c>
      <c r="M8398" s="10">
        <v>1</v>
      </c>
      <c r="N8398" s="10"/>
      <c r="O8398" s="10"/>
      <c r="P8398" s="10" t="s">
        <v>38939</v>
      </c>
      <c r="Q8398" s="10" t="s">
        <v>22300</v>
      </c>
      <c r="R8398" s="10" t="s">
        <v>28549</v>
      </c>
      <c r="S8398" s="10" t="s">
        <v>53</v>
      </c>
      <c r="T8398" s="10" t="s">
        <v>54</v>
      </c>
    </row>
    <row r="8399" spans="1:20" ht="14.5" x14ac:dyDescent="0.35">
      <c r="A8399" s="10" t="s">
        <v>38940</v>
      </c>
      <c r="B8399" s="10" t="str">
        <f>"9780300152814"</f>
        <v>9780300152814</v>
      </c>
      <c r="C8399" s="10" t="str">
        <f>"9780300155853"</f>
        <v>9780300155853</v>
      </c>
      <c r="D8399" s="10" t="s">
        <v>6358</v>
      </c>
      <c r="E8399" s="10" t="s">
        <v>38767</v>
      </c>
      <c r="F8399" s="10" t="s">
        <v>70</v>
      </c>
      <c r="G8399" s="10" t="s">
        <v>6317</v>
      </c>
      <c r="H8399" s="11">
        <v>40071</v>
      </c>
      <c r="I8399" s="10">
        <v>2009</v>
      </c>
      <c r="J8399" s="10" t="s">
        <v>38767</v>
      </c>
      <c r="K8399" s="10">
        <v>273</v>
      </c>
      <c r="L8399" s="10" t="s">
        <v>38941</v>
      </c>
      <c r="M8399" s="10">
        <v>1</v>
      </c>
      <c r="N8399" s="10"/>
      <c r="O8399" s="10"/>
      <c r="P8399" s="10" t="s">
        <v>38942</v>
      </c>
      <c r="Q8399" s="10">
        <v>371.01097299999998</v>
      </c>
      <c r="R8399" s="10" t="s">
        <v>38943</v>
      </c>
      <c r="S8399" s="10" t="s">
        <v>53</v>
      </c>
      <c r="T8399" s="10" t="s">
        <v>54</v>
      </c>
    </row>
    <row r="8400" spans="1:20" ht="14.5" x14ac:dyDescent="0.35">
      <c r="A8400" s="10" t="s">
        <v>38944</v>
      </c>
      <c r="B8400" s="10" t="str">
        <f>"9780300143546"</f>
        <v>9780300143546</v>
      </c>
      <c r="C8400" s="10" t="str">
        <f>"9780300155549"</f>
        <v>9780300155549</v>
      </c>
      <c r="D8400" s="10" t="s">
        <v>38767</v>
      </c>
      <c r="E8400" s="10" t="s">
        <v>38767</v>
      </c>
      <c r="F8400" s="10" t="s">
        <v>38768</v>
      </c>
      <c r="G8400" s="10" t="s">
        <v>6317</v>
      </c>
      <c r="H8400" s="11">
        <v>39924</v>
      </c>
      <c r="I8400" s="10">
        <v>2009</v>
      </c>
      <c r="J8400" s="10" t="s">
        <v>38767</v>
      </c>
      <c r="K8400" s="10">
        <v>272</v>
      </c>
      <c r="L8400" s="10" t="s">
        <v>38945</v>
      </c>
      <c r="M8400" s="10">
        <v>1</v>
      </c>
      <c r="N8400" s="10"/>
      <c r="O8400" s="10"/>
      <c r="P8400" s="10"/>
      <c r="Q8400" s="10" t="s">
        <v>23213</v>
      </c>
      <c r="R8400" s="10" t="s">
        <v>38946</v>
      </c>
      <c r="S8400" s="10" t="s">
        <v>53</v>
      </c>
      <c r="T8400" s="10" t="s">
        <v>5396</v>
      </c>
    </row>
    <row r="8401" spans="1:20" ht="14.5" x14ac:dyDescent="0.35">
      <c r="A8401" s="10" t="s">
        <v>38947</v>
      </c>
      <c r="B8401" s="10" t="str">
        <f>"9780300123913"</f>
        <v>9780300123913</v>
      </c>
      <c r="C8401" s="10" t="str">
        <f>"9780300163131"</f>
        <v>9780300163131</v>
      </c>
      <c r="D8401" s="10" t="s">
        <v>38767</v>
      </c>
      <c r="E8401" s="10" t="s">
        <v>38767</v>
      </c>
      <c r="F8401" s="10" t="s">
        <v>38768</v>
      </c>
      <c r="G8401" s="10" t="s">
        <v>6317</v>
      </c>
      <c r="H8401" s="11">
        <v>40323</v>
      </c>
      <c r="I8401" s="10">
        <v>2010</v>
      </c>
      <c r="J8401" s="10" t="s">
        <v>38767</v>
      </c>
      <c r="K8401" s="10">
        <v>270</v>
      </c>
      <c r="L8401" s="10" t="s">
        <v>38948</v>
      </c>
      <c r="M8401" s="10">
        <v>1</v>
      </c>
      <c r="N8401" s="10"/>
      <c r="O8401" s="10"/>
      <c r="P8401" s="10"/>
      <c r="Q8401" s="10" t="s">
        <v>14718</v>
      </c>
      <c r="R8401" s="10" t="s">
        <v>31864</v>
      </c>
      <c r="S8401" s="10" t="s">
        <v>53</v>
      </c>
      <c r="T8401" s="10" t="s">
        <v>54</v>
      </c>
    </row>
    <row r="8402" spans="1:20" ht="14.5" x14ac:dyDescent="0.35">
      <c r="A8402" s="10" t="s">
        <v>38949</v>
      </c>
      <c r="B8402" s="10" t="str">
        <f>"9780300064056"</f>
        <v>9780300064056</v>
      </c>
      <c r="C8402" s="10" t="str">
        <f>"9780300153460"</f>
        <v>9780300153460</v>
      </c>
      <c r="D8402" s="10" t="s">
        <v>38767</v>
      </c>
      <c r="E8402" s="10" t="s">
        <v>38767</v>
      </c>
      <c r="F8402" s="10" t="s">
        <v>38768</v>
      </c>
      <c r="G8402" s="10" t="s">
        <v>6317</v>
      </c>
      <c r="H8402" s="11">
        <v>35214</v>
      </c>
      <c r="I8402" s="10">
        <v>2008</v>
      </c>
      <c r="J8402" s="10" t="s">
        <v>38767</v>
      </c>
      <c r="K8402" s="10">
        <v>404</v>
      </c>
      <c r="L8402" s="10" t="s">
        <v>38950</v>
      </c>
      <c r="M8402" s="10">
        <v>1</v>
      </c>
      <c r="N8402" s="10" t="s">
        <v>38951</v>
      </c>
      <c r="O8402" s="10"/>
      <c r="P8402" s="10" t="s">
        <v>38952</v>
      </c>
      <c r="Q8402" s="10" t="s">
        <v>18070</v>
      </c>
      <c r="R8402" s="10" t="s">
        <v>13219</v>
      </c>
      <c r="S8402" s="10" t="s">
        <v>53</v>
      </c>
      <c r="T8402" s="10" t="s">
        <v>54</v>
      </c>
    </row>
    <row r="8403" spans="1:20" ht="14.5" x14ac:dyDescent="0.35">
      <c r="A8403" s="10" t="s">
        <v>38953</v>
      </c>
      <c r="B8403" s="10" t="str">
        <f>"9780300069686"</f>
        <v>9780300069686</v>
      </c>
      <c r="C8403" s="10" t="str">
        <f>"9780300146493"</f>
        <v>9780300146493</v>
      </c>
      <c r="D8403" s="10" t="s">
        <v>38767</v>
      </c>
      <c r="E8403" s="10" t="s">
        <v>38767</v>
      </c>
      <c r="F8403" s="10" t="s">
        <v>38768</v>
      </c>
      <c r="G8403" s="10" t="s">
        <v>6317</v>
      </c>
      <c r="H8403" s="11">
        <v>35544</v>
      </c>
      <c r="I8403" s="10">
        <v>2008</v>
      </c>
      <c r="J8403" s="10" t="s">
        <v>38767</v>
      </c>
      <c r="K8403" s="10">
        <v>265</v>
      </c>
      <c r="L8403" s="10" t="s">
        <v>38954</v>
      </c>
      <c r="M8403" s="10">
        <v>1</v>
      </c>
      <c r="N8403" s="10"/>
      <c r="O8403" s="10"/>
      <c r="P8403" s="10" t="s">
        <v>38955</v>
      </c>
      <c r="Q8403" s="10" t="s">
        <v>23452</v>
      </c>
      <c r="R8403" s="10" t="s">
        <v>38956</v>
      </c>
      <c r="S8403" s="10" t="s">
        <v>53</v>
      </c>
      <c r="T8403" s="10" t="s">
        <v>54</v>
      </c>
    </row>
    <row r="8404" spans="1:20" ht="14.5" x14ac:dyDescent="0.35">
      <c r="A8404" s="10" t="s">
        <v>38957</v>
      </c>
      <c r="B8404" s="10" t="str">
        <f>"9780300197259"</f>
        <v>9780300197259</v>
      </c>
      <c r="C8404" s="10" t="str">
        <f>"9780300198515"</f>
        <v>9780300198515</v>
      </c>
      <c r="D8404" s="10" t="s">
        <v>38767</v>
      </c>
      <c r="E8404" s="10" t="s">
        <v>38767</v>
      </c>
      <c r="F8404" s="10" t="s">
        <v>38768</v>
      </c>
      <c r="G8404" s="10" t="s">
        <v>6317</v>
      </c>
      <c r="H8404" s="11">
        <v>41408</v>
      </c>
      <c r="I8404" s="10">
        <v>2013</v>
      </c>
      <c r="J8404" s="10" t="s">
        <v>38767</v>
      </c>
      <c r="K8404" s="10">
        <v>301</v>
      </c>
      <c r="L8404" s="10" t="s">
        <v>38880</v>
      </c>
      <c r="M8404" s="10">
        <v>1</v>
      </c>
      <c r="N8404" s="10"/>
      <c r="O8404" s="10"/>
      <c r="P8404" s="10" t="s">
        <v>38958</v>
      </c>
      <c r="Q8404" s="10">
        <v>378.00099999999998</v>
      </c>
      <c r="R8404" s="10" t="s">
        <v>22738</v>
      </c>
      <c r="S8404" s="10" t="s">
        <v>53</v>
      </c>
      <c r="T8404" s="10" t="s">
        <v>54</v>
      </c>
    </row>
    <row r="8405" spans="1:20" ht="14.5" x14ac:dyDescent="0.35">
      <c r="A8405" s="10" t="s">
        <v>38959</v>
      </c>
      <c r="B8405" s="10" t="str">
        <f>"9780300111811"</f>
        <v>9780300111811</v>
      </c>
      <c r="C8405" s="10" t="str">
        <f>"9780300168518"</f>
        <v>9780300168518</v>
      </c>
      <c r="D8405" s="10" t="s">
        <v>38767</v>
      </c>
      <c r="E8405" s="10" t="s">
        <v>38767</v>
      </c>
      <c r="F8405" s="10" t="s">
        <v>38768</v>
      </c>
      <c r="G8405" s="10" t="s">
        <v>6317</v>
      </c>
      <c r="H8405" s="11">
        <v>40477</v>
      </c>
      <c r="I8405" s="10">
        <v>2010</v>
      </c>
      <c r="J8405" s="10" t="s">
        <v>38767</v>
      </c>
      <c r="K8405" s="10">
        <v>321</v>
      </c>
      <c r="L8405" s="10" t="s">
        <v>38960</v>
      </c>
      <c r="M8405" s="10">
        <v>1</v>
      </c>
      <c r="N8405" s="10"/>
      <c r="O8405" s="10"/>
      <c r="P8405" s="10" t="s">
        <v>38961</v>
      </c>
      <c r="Q8405" s="10">
        <v>344.73077999999998</v>
      </c>
      <c r="R8405" s="10" t="s">
        <v>31000</v>
      </c>
      <c r="S8405" s="10" t="s">
        <v>53</v>
      </c>
      <c r="T8405" s="10" t="s">
        <v>5396</v>
      </c>
    </row>
    <row r="8406" spans="1:20" ht="14.5" x14ac:dyDescent="0.35">
      <c r="A8406" s="10" t="s">
        <v>38962</v>
      </c>
      <c r="B8406" s="10" t="str">
        <f>"9780300196917"</f>
        <v>9780300196917</v>
      </c>
      <c r="C8406" s="10" t="str">
        <f>"9780300207064"</f>
        <v>9780300207064</v>
      </c>
      <c r="D8406" s="10" t="s">
        <v>38767</v>
      </c>
      <c r="E8406" s="10" t="s">
        <v>38767</v>
      </c>
      <c r="F8406" s="10" t="s">
        <v>38768</v>
      </c>
      <c r="G8406" s="10" t="s">
        <v>6317</v>
      </c>
      <c r="H8406" s="11">
        <v>41695</v>
      </c>
      <c r="I8406" s="10">
        <v>2014</v>
      </c>
      <c r="J8406" s="10" t="s">
        <v>38767</v>
      </c>
      <c r="K8406" s="10">
        <v>246</v>
      </c>
      <c r="L8406" s="10" t="s">
        <v>38963</v>
      </c>
      <c r="M8406" s="10">
        <v>1</v>
      </c>
      <c r="N8406" s="10"/>
      <c r="O8406" s="10"/>
      <c r="P8406" s="10"/>
      <c r="Q8406" s="10">
        <v>378.00099999999998</v>
      </c>
      <c r="R8406" s="10" t="s">
        <v>38964</v>
      </c>
      <c r="S8406" s="10" t="s">
        <v>53</v>
      </c>
      <c r="T8406" s="10" t="s">
        <v>54</v>
      </c>
    </row>
    <row r="8407" spans="1:20" ht="14.5" x14ac:dyDescent="0.35">
      <c r="A8407" s="10" t="s">
        <v>38965</v>
      </c>
      <c r="B8407" s="10" t="str">
        <f>"9789287180698"</f>
        <v>9789287180698</v>
      </c>
      <c r="C8407" s="10" t="str">
        <f>"9789287180926"</f>
        <v>9789287180926</v>
      </c>
      <c r="D8407" s="10" t="s">
        <v>34698</v>
      </c>
      <c r="E8407" s="10" t="s">
        <v>34698</v>
      </c>
      <c r="F8407" s="10" t="s">
        <v>1775</v>
      </c>
      <c r="G8407" s="10" t="s">
        <v>31597</v>
      </c>
      <c r="H8407" s="11">
        <v>42101</v>
      </c>
      <c r="I8407" s="10">
        <v>2015</v>
      </c>
      <c r="J8407" s="10" t="s">
        <v>34698</v>
      </c>
      <c r="K8407" s="10">
        <v>144</v>
      </c>
      <c r="L8407" s="10" t="s">
        <v>34698</v>
      </c>
      <c r="M8407" s="10"/>
      <c r="N8407" s="10"/>
      <c r="O8407" s="10"/>
      <c r="P8407" s="10" t="s">
        <v>38966</v>
      </c>
      <c r="Q8407" s="10">
        <v>373</v>
      </c>
      <c r="R8407" s="10" t="s">
        <v>38967</v>
      </c>
      <c r="S8407" s="10" t="s">
        <v>53</v>
      </c>
      <c r="T8407" s="10" t="s">
        <v>54</v>
      </c>
    </row>
    <row r="8408" spans="1:20" ht="14.5" x14ac:dyDescent="0.35">
      <c r="A8408" s="10" t="s">
        <v>38968</v>
      </c>
      <c r="B8408" s="10" t="str">
        <f>"9781617700866"</f>
        <v>9781617700866</v>
      </c>
      <c r="C8408" s="10" t="str">
        <f>"9781617701061"</f>
        <v>9781617701061</v>
      </c>
      <c r="D8408" s="10" t="s">
        <v>35060</v>
      </c>
      <c r="E8408" s="10" t="s">
        <v>38969</v>
      </c>
      <c r="F8408" s="10" t="s">
        <v>70</v>
      </c>
      <c r="G8408" s="10" t="s">
        <v>6317</v>
      </c>
      <c r="H8408" s="11">
        <v>41598</v>
      </c>
      <c r="I8408" s="10">
        <v>2014</v>
      </c>
      <c r="J8408" s="10" t="s">
        <v>38970</v>
      </c>
      <c r="K8408" s="10">
        <v>288</v>
      </c>
      <c r="L8408" s="10" t="s">
        <v>38971</v>
      </c>
      <c r="M8408" s="10"/>
      <c r="N8408" s="10"/>
      <c r="O8408" s="10"/>
      <c r="P8408" s="10" t="s">
        <v>38972</v>
      </c>
      <c r="Q8408" s="10">
        <v>808.53</v>
      </c>
      <c r="R8408" s="10" t="s">
        <v>35064</v>
      </c>
      <c r="S8408" s="10" t="s">
        <v>53</v>
      </c>
      <c r="T8408" s="10" t="s">
        <v>1166</v>
      </c>
    </row>
    <row r="8409" spans="1:20" ht="14.5" x14ac:dyDescent="0.35">
      <c r="A8409" s="10" t="s">
        <v>38973</v>
      </c>
      <c r="B8409" s="10" t="str">
        <f>"9781617700774"</f>
        <v>9781617700774</v>
      </c>
      <c r="C8409" s="10" t="str">
        <f>"9781617701023"</f>
        <v>9781617701023</v>
      </c>
      <c r="D8409" s="10" t="s">
        <v>35060</v>
      </c>
      <c r="E8409" s="10" t="s">
        <v>38969</v>
      </c>
      <c r="F8409" s="10" t="s">
        <v>70</v>
      </c>
      <c r="G8409" s="10" t="s">
        <v>6317</v>
      </c>
      <c r="H8409" s="11">
        <v>41537</v>
      </c>
      <c r="I8409" s="10">
        <v>2013</v>
      </c>
      <c r="J8409" s="10" t="s">
        <v>38970</v>
      </c>
      <c r="K8409" s="10">
        <v>236</v>
      </c>
      <c r="L8409" s="10" t="s">
        <v>38974</v>
      </c>
      <c r="M8409" s="10">
        <v>6</v>
      </c>
      <c r="N8409" s="10"/>
      <c r="O8409" s="10"/>
      <c r="P8409" s="10" t="s">
        <v>38975</v>
      </c>
      <c r="Q8409" s="10">
        <v>808.53</v>
      </c>
      <c r="R8409" s="10" t="s">
        <v>35064</v>
      </c>
      <c r="S8409" s="10" t="s">
        <v>53</v>
      </c>
      <c r="T8409" s="10" t="s">
        <v>1166</v>
      </c>
    </row>
    <row r="8410" spans="1:20" ht="14.5" x14ac:dyDescent="0.35">
      <c r="A8410" s="10" t="s">
        <v>38976</v>
      </c>
      <c r="B8410" s="10" t="str">
        <f>"9781932716573"</f>
        <v>9781932716573</v>
      </c>
      <c r="C8410" s="10" t="str">
        <f>"9781617700767"</f>
        <v>9781617700767</v>
      </c>
      <c r="D8410" s="10" t="s">
        <v>35060</v>
      </c>
      <c r="E8410" s="10" t="s">
        <v>38969</v>
      </c>
      <c r="F8410" s="10" t="s">
        <v>70</v>
      </c>
      <c r="G8410" s="10" t="s">
        <v>6317</v>
      </c>
      <c r="H8410" s="11">
        <v>40137</v>
      </c>
      <c r="I8410" s="10">
        <v>2009</v>
      </c>
      <c r="J8410" s="10" t="s">
        <v>38970</v>
      </c>
      <c r="K8410" s="10">
        <v>290</v>
      </c>
      <c r="L8410" s="10" t="s">
        <v>38977</v>
      </c>
      <c r="M8410" s="10"/>
      <c r="N8410" s="10"/>
      <c r="O8410" s="10"/>
      <c r="P8410" s="10" t="s">
        <v>38978</v>
      </c>
      <c r="Q8410" s="10">
        <v>808.53</v>
      </c>
      <c r="R8410" s="10" t="s">
        <v>38979</v>
      </c>
      <c r="S8410" s="10" t="s">
        <v>53</v>
      </c>
      <c r="T8410" s="10" t="s">
        <v>10454</v>
      </c>
    </row>
    <row r="8411" spans="1:20" ht="14.5" x14ac:dyDescent="0.35">
      <c r="A8411" s="10" t="s">
        <v>38980</v>
      </c>
      <c r="B8411" s="10" t="str">
        <f>"9781617700897"</f>
        <v>9781617700897</v>
      </c>
      <c r="C8411" s="10" t="str">
        <f>"9781617701030"</f>
        <v>9781617701030</v>
      </c>
      <c r="D8411" s="10" t="s">
        <v>35060</v>
      </c>
      <c r="E8411" s="10" t="s">
        <v>38969</v>
      </c>
      <c r="F8411" s="10" t="s">
        <v>70</v>
      </c>
      <c r="G8411" s="10" t="s">
        <v>6317</v>
      </c>
      <c r="H8411" s="11">
        <v>41760</v>
      </c>
      <c r="I8411" s="10">
        <v>2014</v>
      </c>
      <c r="J8411" s="10" t="s">
        <v>38970</v>
      </c>
      <c r="K8411" s="10">
        <v>236</v>
      </c>
      <c r="L8411" s="10" t="s">
        <v>38981</v>
      </c>
      <c r="M8411" s="10">
        <v>4</v>
      </c>
      <c r="N8411" s="10"/>
      <c r="O8411" s="10"/>
      <c r="P8411" s="10" t="s">
        <v>38982</v>
      </c>
      <c r="Q8411" s="10" t="s">
        <v>35083</v>
      </c>
      <c r="R8411" s="10" t="s">
        <v>35064</v>
      </c>
      <c r="S8411" s="10" t="s">
        <v>53</v>
      </c>
      <c r="T8411" s="10" t="s">
        <v>1166</v>
      </c>
    </row>
    <row r="8412" spans="1:20" ht="14.5" x14ac:dyDescent="0.35">
      <c r="A8412" s="10" t="s">
        <v>38983</v>
      </c>
      <c r="B8412" s="10" t="str">
        <f>"9781617700682"</f>
        <v>9781617700682</v>
      </c>
      <c r="C8412" s="10" t="str">
        <f>"9781617701047"</f>
        <v>9781617701047</v>
      </c>
      <c r="D8412" s="10" t="s">
        <v>35060</v>
      </c>
      <c r="E8412" s="10" t="s">
        <v>38969</v>
      </c>
      <c r="F8412" s="10" t="s">
        <v>70</v>
      </c>
      <c r="G8412" s="10" t="s">
        <v>6317</v>
      </c>
      <c r="H8412" s="11">
        <v>41913</v>
      </c>
      <c r="I8412" s="10">
        <v>2014</v>
      </c>
      <c r="J8412" s="10" t="s">
        <v>38970</v>
      </c>
      <c r="K8412" s="10">
        <v>224</v>
      </c>
      <c r="L8412" s="10" t="s">
        <v>38984</v>
      </c>
      <c r="M8412" s="10"/>
      <c r="N8412" s="10"/>
      <c r="O8412" s="10"/>
      <c r="P8412" s="10" t="s">
        <v>38985</v>
      </c>
      <c r="Q8412" s="10" t="s">
        <v>7335</v>
      </c>
      <c r="R8412" s="10" t="s">
        <v>38986</v>
      </c>
      <c r="S8412" s="10" t="s">
        <v>53</v>
      </c>
      <c r="T8412" s="10" t="s">
        <v>54</v>
      </c>
    </row>
    <row r="8413" spans="1:20" ht="14.5" x14ac:dyDescent="0.35">
      <c r="A8413" s="10" t="s">
        <v>38987</v>
      </c>
      <c r="B8413" s="10" t="str">
        <f>"9781617700811"</f>
        <v>9781617700811</v>
      </c>
      <c r="C8413" s="10" t="str">
        <f>"9781617701092"</f>
        <v>9781617701092</v>
      </c>
      <c r="D8413" s="10" t="s">
        <v>35060</v>
      </c>
      <c r="E8413" s="10" t="s">
        <v>38969</v>
      </c>
      <c r="F8413" s="10" t="s">
        <v>70</v>
      </c>
      <c r="G8413" s="10" t="s">
        <v>6317</v>
      </c>
      <c r="H8413" s="11">
        <v>41506</v>
      </c>
      <c r="I8413" s="10">
        <v>2013</v>
      </c>
      <c r="J8413" s="10" t="s">
        <v>38970</v>
      </c>
      <c r="K8413" s="10">
        <v>156</v>
      </c>
      <c r="L8413" s="10" t="s">
        <v>38988</v>
      </c>
      <c r="M8413" s="10"/>
      <c r="N8413" s="10"/>
      <c r="O8413" s="10"/>
      <c r="P8413" s="10" t="s">
        <v>38989</v>
      </c>
      <c r="Q8413" s="10">
        <v>808.53</v>
      </c>
      <c r="R8413" s="10" t="s">
        <v>38990</v>
      </c>
      <c r="S8413" s="10" t="s">
        <v>53</v>
      </c>
      <c r="T8413" s="10" t="s">
        <v>1166</v>
      </c>
    </row>
    <row r="8414" spans="1:20" ht="14.5" x14ac:dyDescent="0.35">
      <c r="A8414" s="10" t="s">
        <v>38991</v>
      </c>
      <c r="B8414" s="10" t="str">
        <f>"9781681231433"</f>
        <v>9781681231433</v>
      </c>
      <c r="C8414" s="10" t="str">
        <f>"9781681231457"</f>
        <v>9781681231457</v>
      </c>
      <c r="D8414" s="10" t="s">
        <v>274</v>
      </c>
      <c r="E8414" s="10" t="s">
        <v>35170</v>
      </c>
      <c r="F8414" s="10" t="s">
        <v>35171</v>
      </c>
      <c r="G8414" s="10" t="s">
        <v>6317</v>
      </c>
      <c r="H8414" s="11">
        <v>42309</v>
      </c>
      <c r="I8414" s="10">
        <v>2015</v>
      </c>
      <c r="J8414" s="10" t="s">
        <v>35170</v>
      </c>
      <c r="K8414" s="10">
        <v>283</v>
      </c>
      <c r="L8414" s="10" t="s">
        <v>38992</v>
      </c>
      <c r="M8414" s="10">
        <v>1</v>
      </c>
      <c r="N8414" s="10" t="s">
        <v>38993</v>
      </c>
      <c r="O8414" s="10"/>
      <c r="P8414" s="10" t="s">
        <v>38994</v>
      </c>
      <c r="Q8414" s="10" t="s">
        <v>38995</v>
      </c>
      <c r="R8414" s="10" t="s">
        <v>38996</v>
      </c>
      <c r="S8414" s="10" t="s">
        <v>53</v>
      </c>
      <c r="T8414" s="10" t="s">
        <v>483</v>
      </c>
    </row>
    <row r="8415" spans="1:20" ht="14.5" x14ac:dyDescent="0.35">
      <c r="A8415" s="10" t="s">
        <v>38997</v>
      </c>
      <c r="B8415" s="10" t="str">
        <f>"9781421417455"</f>
        <v>9781421417455</v>
      </c>
      <c r="C8415" s="10" t="str">
        <f>"9781421417462"</f>
        <v>9781421417462</v>
      </c>
      <c r="D8415" s="10" t="s">
        <v>884</v>
      </c>
      <c r="E8415" s="10" t="s">
        <v>884</v>
      </c>
      <c r="F8415" s="10" t="s">
        <v>885</v>
      </c>
      <c r="G8415" s="10" t="s">
        <v>6317</v>
      </c>
      <c r="H8415" s="11">
        <v>42217</v>
      </c>
      <c r="I8415" s="10">
        <v>2015</v>
      </c>
      <c r="J8415" s="10" t="s">
        <v>884</v>
      </c>
      <c r="K8415" s="10">
        <v>343</v>
      </c>
      <c r="L8415" s="10" t="s">
        <v>38998</v>
      </c>
      <c r="M8415" s="10">
        <v>1</v>
      </c>
      <c r="N8415" s="10"/>
      <c r="O8415" s="10"/>
      <c r="P8415" s="10"/>
      <c r="Q8415" s="10">
        <v>378.00972999999999</v>
      </c>
      <c r="R8415" s="10"/>
      <c r="S8415" s="10" t="s">
        <v>53</v>
      </c>
      <c r="T8415" s="10" t="s">
        <v>54</v>
      </c>
    </row>
    <row r="8416" spans="1:20" ht="14.5" x14ac:dyDescent="0.35">
      <c r="A8416" s="10" t="s">
        <v>38999</v>
      </c>
      <c r="B8416" s="10" t="str">
        <f>"9781421417813"</f>
        <v>9781421417813</v>
      </c>
      <c r="C8416" s="10" t="str">
        <f>"9781421417820"</f>
        <v>9781421417820</v>
      </c>
      <c r="D8416" s="10" t="s">
        <v>884</v>
      </c>
      <c r="E8416" s="10" t="s">
        <v>884</v>
      </c>
      <c r="F8416" s="10" t="s">
        <v>885</v>
      </c>
      <c r="G8416" s="10" t="s">
        <v>6317</v>
      </c>
      <c r="H8416" s="11">
        <v>42278</v>
      </c>
      <c r="I8416" s="10">
        <v>2015</v>
      </c>
      <c r="J8416" s="10" t="s">
        <v>884</v>
      </c>
      <c r="K8416" s="10">
        <v>226</v>
      </c>
      <c r="L8416" s="10" t="s">
        <v>39000</v>
      </c>
      <c r="M8416" s="10">
        <v>1</v>
      </c>
      <c r="N8416" s="10"/>
      <c r="O8416" s="10"/>
      <c r="P8416" s="10"/>
      <c r="Q8416" s="10">
        <v>379.66230000000002</v>
      </c>
      <c r="R8416" s="10"/>
      <c r="S8416" s="10" t="s">
        <v>53</v>
      </c>
      <c r="T8416" s="10" t="s">
        <v>54</v>
      </c>
    </row>
    <row r="8417" spans="1:20" ht="14.5" x14ac:dyDescent="0.35">
      <c r="A8417" s="10" t="s">
        <v>39001</v>
      </c>
      <c r="B8417" s="10" t="str">
        <f>"9780309305174"</f>
        <v>9780309305174</v>
      </c>
      <c r="C8417" s="10" t="str">
        <f>"9780309305181"</f>
        <v>9780309305181</v>
      </c>
      <c r="D8417" s="10" t="s">
        <v>36547</v>
      </c>
      <c r="E8417" s="10" t="s">
        <v>36547</v>
      </c>
      <c r="F8417" s="10" t="s">
        <v>36548</v>
      </c>
      <c r="G8417" s="10" t="s">
        <v>6317</v>
      </c>
      <c r="H8417" s="11">
        <v>41942</v>
      </c>
      <c r="I8417" s="10">
        <v>2014</v>
      </c>
      <c r="J8417" s="10" t="s">
        <v>36547</v>
      </c>
      <c r="K8417" s="10">
        <v>125</v>
      </c>
      <c r="L8417" s="10" t="s">
        <v>39002</v>
      </c>
      <c r="M8417" s="10">
        <v>1</v>
      </c>
      <c r="N8417" s="10"/>
      <c r="O8417" s="10"/>
      <c r="P8417" s="10" t="s">
        <v>39003</v>
      </c>
      <c r="Q8417" s="10">
        <v>507.10730000000001</v>
      </c>
      <c r="R8417" s="10" t="s">
        <v>39004</v>
      </c>
      <c r="S8417" s="10" t="s">
        <v>53</v>
      </c>
      <c r="T8417" s="10" t="s">
        <v>7193</v>
      </c>
    </row>
    <row r="8418" spans="1:20" ht="14.5" x14ac:dyDescent="0.35">
      <c r="A8418" s="10" t="s">
        <v>39005</v>
      </c>
      <c r="B8418" s="10" t="str">
        <f>"9780309307192"</f>
        <v>9780309307192</v>
      </c>
      <c r="C8418" s="10" t="str">
        <f>"9780309307208"</f>
        <v>9780309307208</v>
      </c>
      <c r="D8418" s="10" t="s">
        <v>36547</v>
      </c>
      <c r="E8418" s="10" t="s">
        <v>36547</v>
      </c>
      <c r="F8418" s="10" t="s">
        <v>88</v>
      </c>
      <c r="G8418" s="10" t="s">
        <v>6317</v>
      </c>
      <c r="H8418" s="11">
        <v>41214</v>
      </c>
      <c r="I8418" s="10">
        <v>2012</v>
      </c>
      <c r="J8418" s="10" t="s">
        <v>36547</v>
      </c>
      <c r="K8418" s="10">
        <v>40</v>
      </c>
      <c r="L8418" s="10" t="s">
        <v>39006</v>
      </c>
      <c r="M8418" s="10">
        <v>1</v>
      </c>
      <c r="N8418" s="10"/>
      <c r="O8418" s="10"/>
      <c r="P8418" s="10" t="s">
        <v>39007</v>
      </c>
      <c r="Q8418" s="10">
        <v>620.0071173</v>
      </c>
      <c r="R8418" s="10" t="s">
        <v>39008</v>
      </c>
      <c r="S8418" s="10" t="s">
        <v>53</v>
      </c>
      <c r="T8418" s="10" t="s">
        <v>11508</v>
      </c>
    </row>
    <row r="8419" spans="1:20" ht="14.5" x14ac:dyDescent="0.35">
      <c r="A8419" s="10" t="s">
        <v>39009</v>
      </c>
      <c r="B8419" s="10" t="str">
        <f>"9780826216694"</f>
        <v>9780826216694</v>
      </c>
      <c r="C8419" s="10" t="str">
        <f>"9780826265661"</f>
        <v>9780826265661</v>
      </c>
      <c r="D8419" s="10" t="s">
        <v>39010</v>
      </c>
      <c r="E8419" s="10" t="s">
        <v>39011</v>
      </c>
      <c r="F8419" s="10" t="s">
        <v>3189</v>
      </c>
      <c r="G8419" s="10" t="s">
        <v>6317</v>
      </c>
      <c r="H8419" s="11">
        <v>38930</v>
      </c>
      <c r="I8419" s="10">
        <v>2006</v>
      </c>
      <c r="J8419" s="10" t="s">
        <v>39011</v>
      </c>
      <c r="K8419" s="10">
        <v>158</v>
      </c>
      <c r="L8419" s="10" t="s">
        <v>39012</v>
      </c>
      <c r="M8419" s="10">
        <v>1</v>
      </c>
      <c r="N8419" s="10" t="s">
        <v>39013</v>
      </c>
      <c r="O8419" s="10">
        <v>1</v>
      </c>
      <c r="P8419" s="10" t="s">
        <v>39014</v>
      </c>
      <c r="Q8419" s="10" t="s">
        <v>39015</v>
      </c>
      <c r="R8419" s="10" t="s">
        <v>39016</v>
      </c>
      <c r="S8419" s="10" t="s">
        <v>53</v>
      </c>
      <c r="T8419" s="10" t="s">
        <v>54</v>
      </c>
    </row>
    <row r="8420" spans="1:20" ht="14.5" x14ac:dyDescent="0.35">
      <c r="A8420" s="10" t="s">
        <v>39017</v>
      </c>
      <c r="B8420" s="10" t="str">
        <f>"9780826218629"</f>
        <v>9780826218629</v>
      </c>
      <c r="C8420" s="10" t="str">
        <f>"9780826272041"</f>
        <v>9780826272041</v>
      </c>
      <c r="D8420" s="10" t="s">
        <v>39010</v>
      </c>
      <c r="E8420" s="10" t="s">
        <v>39011</v>
      </c>
      <c r="F8420" s="10" t="s">
        <v>3189</v>
      </c>
      <c r="G8420" s="10" t="s">
        <v>6317</v>
      </c>
      <c r="H8420" s="11">
        <v>40207</v>
      </c>
      <c r="I8420" s="10">
        <v>2009</v>
      </c>
      <c r="J8420" s="10" t="s">
        <v>39011</v>
      </c>
      <c r="K8420" s="10">
        <v>266</v>
      </c>
      <c r="L8420" s="10" t="s">
        <v>39018</v>
      </c>
      <c r="M8420" s="10">
        <v>1</v>
      </c>
      <c r="N8420" s="10"/>
      <c r="O8420" s="10"/>
      <c r="P8420" s="10" t="s">
        <v>11140</v>
      </c>
      <c r="Q8420" s="10">
        <v>378.75299999999999</v>
      </c>
      <c r="R8420" s="10" t="s">
        <v>39019</v>
      </c>
      <c r="S8420" s="10" t="s">
        <v>53</v>
      </c>
      <c r="T8420" s="10" t="s">
        <v>54</v>
      </c>
    </row>
    <row r="8421" spans="1:20" ht="14.5" x14ac:dyDescent="0.35">
      <c r="A8421" s="10" t="s">
        <v>39020</v>
      </c>
      <c r="B8421" s="10" t="str">
        <f>"9780812240986"</f>
        <v>9780812240986</v>
      </c>
      <c r="C8421" s="10" t="str">
        <f>"9780812205411"</f>
        <v>9780812205411</v>
      </c>
      <c r="D8421" s="10" t="s">
        <v>2495</v>
      </c>
      <c r="E8421" s="10" t="s">
        <v>2495</v>
      </c>
      <c r="F8421" s="10" t="s">
        <v>319</v>
      </c>
      <c r="G8421" s="10" t="s">
        <v>6317</v>
      </c>
      <c r="H8421" s="11">
        <v>39624</v>
      </c>
      <c r="I8421" s="10">
        <v>2008</v>
      </c>
      <c r="J8421" s="10" t="s">
        <v>2495</v>
      </c>
      <c r="K8421" s="10">
        <v>192</v>
      </c>
      <c r="L8421" s="10" t="s">
        <v>39021</v>
      </c>
      <c r="M8421" s="10">
        <v>1</v>
      </c>
      <c r="N8421" s="10"/>
      <c r="O8421" s="10"/>
      <c r="P8421" s="10"/>
      <c r="Q8421" s="10" t="s">
        <v>39022</v>
      </c>
      <c r="R8421" s="10" t="s">
        <v>39023</v>
      </c>
      <c r="S8421" s="10" t="s">
        <v>53</v>
      </c>
      <c r="T8421" s="10" t="s">
        <v>39024</v>
      </c>
    </row>
    <row r="8422" spans="1:20" ht="14.5" x14ac:dyDescent="0.35">
      <c r="A8422" s="10" t="s">
        <v>39025</v>
      </c>
      <c r="B8422" s="10" t="str">
        <f>"9780812217452"</f>
        <v>9780812217452</v>
      </c>
      <c r="C8422" s="10" t="str">
        <f>"9780812200300"</f>
        <v>9780812200300</v>
      </c>
      <c r="D8422" s="10" t="s">
        <v>2495</v>
      </c>
      <c r="E8422" s="10" t="s">
        <v>2495</v>
      </c>
      <c r="F8422" s="10" t="s">
        <v>319</v>
      </c>
      <c r="G8422" s="10" t="s">
        <v>6317</v>
      </c>
      <c r="H8422" s="11">
        <v>36749</v>
      </c>
      <c r="I8422" s="10">
        <v>1995</v>
      </c>
      <c r="J8422" s="10" t="s">
        <v>2495</v>
      </c>
      <c r="K8422" s="10">
        <v>532</v>
      </c>
      <c r="L8422" s="10" t="s">
        <v>39026</v>
      </c>
      <c r="M8422" s="10">
        <v>1</v>
      </c>
      <c r="N8422" s="10" t="s">
        <v>39027</v>
      </c>
      <c r="O8422" s="10"/>
      <c r="P8422" s="10" t="s">
        <v>39028</v>
      </c>
      <c r="Q8422" s="10">
        <v>370.94090199999999</v>
      </c>
      <c r="R8422" s="10"/>
      <c r="S8422" s="10" t="s">
        <v>53</v>
      </c>
      <c r="T8422" s="10" t="s">
        <v>54</v>
      </c>
    </row>
    <row r="8423" spans="1:20" ht="14.5" x14ac:dyDescent="0.35">
      <c r="A8423" s="10" t="s">
        <v>39029</v>
      </c>
      <c r="B8423" s="10" t="str">
        <f>"9780812244434"</f>
        <v>9780812244434</v>
      </c>
      <c r="C8423" s="10" t="str">
        <f>"9780812207972"</f>
        <v>9780812207972</v>
      </c>
      <c r="D8423" s="10" t="s">
        <v>2495</v>
      </c>
      <c r="E8423" s="10" t="s">
        <v>2495</v>
      </c>
      <c r="F8423" s="10" t="s">
        <v>319</v>
      </c>
      <c r="G8423" s="10" t="s">
        <v>6317</v>
      </c>
      <c r="H8423" s="11">
        <v>41235</v>
      </c>
      <c r="I8423" s="10">
        <v>2013</v>
      </c>
      <c r="J8423" s="10" t="s">
        <v>2495</v>
      </c>
      <c r="K8423" s="10">
        <v>327</v>
      </c>
      <c r="L8423" s="10" t="s">
        <v>39030</v>
      </c>
      <c r="M8423" s="10">
        <v>1</v>
      </c>
      <c r="N8423" s="10" t="s">
        <v>39031</v>
      </c>
      <c r="O8423" s="10"/>
      <c r="P8423" s="10"/>
      <c r="Q8423" s="10" t="s">
        <v>39032</v>
      </c>
      <c r="R8423" s="10"/>
      <c r="S8423" s="10" t="s">
        <v>53</v>
      </c>
      <c r="T8423" s="10" t="s">
        <v>54</v>
      </c>
    </row>
    <row r="8424" spans="1:20" ht="14.5" x14ac:dyDescent="0.35">
      <c r="A8424" s="10" t="s">
        <v>39033</v>
      </c>
      <c r="B8424" s="10" t="str">
        <f>"9780812233186"</f>
        <v>9780812233186</v>
      </c>
      <c r="C8424" s="10" t="str">
        <f>"9780812206722"</f>
        <v>9780812206722</v>
      </c>
      <c r="D8424" s="10" t="s">
        <v>2495</v>
      </c>
      <c r="E8424" s="10" t="s">
        <v>2495</v>
      </c>
      <c r="F8424" s="10" t="s">
        <v>319</v>
      </c>
      <c r="G8424" s="10" t="s">
        <v>6317</v>
      </c>
      <c r="H8424" s="11">
        <v>35824</v>
      </c>
      <c r="I8424" s="10">
        <v>1998</v>
      </c>
      <c r="J8424" s="10" t="s">
        <v>2495</v>
      </c>
      <c r="K8424" s="10">
        <v>205</v>
      </c>
      <c r="L8424" s="10" t="s">
        <v>39034</v>
      </c>
      <c r="M8424" s="10">
        <v>1</v>
      </c>
      <c r="N8424" s="10" t="s">
        <v>39027</v>
      </c>
      <c r="O8424" s="10"/>
      <c r="P8424" s="10"/>
      <c r="Q8424" s="10"/>
      <c r="R8424" s="10"/>
      <c r="S8424" s="10" t="s">
        <v>53</v>
      </c>
      <c r="T8424" s="10" t="s">
        <v>39035</v>
      </c>
    </row>
    <row r="8425" spans="1:20" ht="14.5" x14ac:dyDescent="0.35">
      <c r="A8425" s="10" t="s">
        <v>39036</v>
      </c>
      <c r="B8425" s="10" t="str">
        <f>"9780812244359"</f>
        <v>9780812244359</v>
      </c>
      <c r="C8425" s="10" t="str">
        <f>"9780812207668"</f>
        <v>9780812207668</v>
      </c>
      <c r="D8425" s="10" t="s">
        <v>2495</v>
      </c>
      <c r="E8425" s="10" t="s">
        <v>2495</v>
      </c>
      <c r="F8425" s="10" t="s">
        <v>319</v>
      </c>
      <c r="G8425" s="10" t="s">
        <v>6317</v>
      </c>
      <c r="H8425" s="11">
        <v>41163</v>
      </c>
      <c r="I8425" s="10">
        <v>2012</v>
      </c>
      <c r="J8425" s="10" t="s">
        <v>2495</v>
      </c>
      <c r="K8425" s="10">
        <v>313</v>
      </c>
      <c r="L8425" s="10" t="s">
        <v>39037</v>
      </c>
      <c r="M8425" s="10">
        <v>1</v>
      </c>
      <c r="N8425" s="10" t="s">
        <v>39031</v>
      </c>
      <c r="O8425" s="10"/>
      <c r="P8425" s="10"/>
      <c r="Q8425" s="10">
        <v>370.92</v>
      </c>
      <c r="R8425" s="10"/>
      <c r="S8425" s="10" t="s">
        <v>53</v>
      </c>
      <c r="T8425" s="10" t="s">
        <v>54</v>
      </c>
    </row>
    <row r="8426" spans="1:20" ht="14.5" x14ac:dyDescent="0.35">
      <c r="A8426" s="10" t="s">
        <v>39038</v>
      </c>
      <c r="B8426" s="10" t="str">
        <f>"9780812215663"</f>
        <v>9780812215663</v>
      </c>
      <c r="C8426" s="10" t="str">
        <f>"9780812208115"</f>
        <v>9780812208115</v>
      </c>
      <c r="D8426" s="10" t="s">
        <v>2495</v>
      </c>
      <c r="E8426" s="10" t="s">
        <v>2495</v>
      </c>
      <c r="F8426" s="10" t="s">
        <v>319</v>
      </c>
      <c r="G8426" s="10" t="s">
        <v>6317</v>
      </c>
      <c r="H8426" s="11">
        <v>35579</v>
      </c>
      <c r="I8426" s="10">
        <v>1997</v>
      </c>
      <c r="J8426" s="10" t="s">
        <v>2495</v>
      </c>
      <c r="K8426" s="10">
        <v>241</v>
      </c>
      <c r="L8426" s="10" t="s">
        <v>39039</v>
      </c>
      <c r="M8426" s="10">
        <v>1</v>
      </c>
      <c r="N8426" s="10"/>
      <c r="O8426" s="10"/>
      <c r="P8426" s="10"/>
      <c r="Q8426" s="10" t="s">
        <v>39040</v>
      </c>
      <c r="R8426" s="10"/>
      <c r="S8426" s="10" t="s">
        <v>53</v>
      </c>
      <c r="T8426" s="10" t="s">
        <v>54</v>
      </c>
    </row>
    <row r="8427" spans="1:20" ht="14.5" x14ac:dyDescent="0.35">
      <c r="A8427" s="10" t="s">
        <v>39041</v>
      </c>
      <c r="B8427" s="10" t="str">
        <f>"9780812245271"</f>
        <v>9780812245271</v>
      </c>
      <c r="C8427" s="10" t="str">
        <f>"9780812208320"</f>
        <v>9780812208320</v>
      </c>
      <c r="D8427" s="10" t="s">
        <v>2495</v>
      </c>
      <c r="E8427" s="10" t="s">
        <v>2495</v>
      </c>
      <c r="F8427" s="10" t="s">
        <v>319</v>
      </c>
      <c r="G8427" s="10" t="s">
        <v>6317</v>
      </c>
      <c r="H8427" s="11">
        <v>41446</v>
      </c>
      <c r="I8427" s="10">
        <v>2013</v>
      </c>
      <c r="J8427" s="10" t="s">
        <v>2495</v>
      </c>
      <c r="K8427" s="10">
        <v>256</v>
      </c>
      <c r="L8427" s="10" t="s">
        <v>39042</v>
      </c>
      <c r="M8427" s="10">
        <v>1</v>
      </c>
      <c r="N8427" s="10"/>
      <c r="O8427" s="10"/>
      <c r="P8427" s="10" t="s">
        <v>39043</v>
      </c>
      <c r="Q8427" s="10">
        <v>371.01097299999998</v>
      </c>
      <c r="R8427" s="10" t="s">
        <v>39044</v>
      </c>
      <c r="S8427" s="10" t="s">
        <v>53</v>
      </c>
      <c r="T8427" s="10" t="s">
        <v>54</v>
      </c>
    </row>
    <row r="8428" spans="1:20" ht="14.5" x14ac:dyDescent="0.35">
      <c r="A8428" s="10" t="s">
        <v>39045</v>
      </c>
      <c r="B8428" s="10" t="str">
        <f>"9780812237207"</f>
        <v>9780812237207</v>
      </c>
      <c r="C8428" s="10" t="str">
        <f>"9780812201680"</f>
        <v>9780812201680</v>
      </c>
      <c r="D8428" s="10" t="s">
        <v>2495</v>
      </c>
      <c r="E8428" s="10" t="s">
        <v>2495</v>
      </c>
      <c r="F8428" s="10" t="s">
        <v>319</v>
      </c>
      <c r="G8428" s="10" t="s">
        <v>6317</v>
      </c>
      <c r="H8428" s="11">
        <v>37762</v>
      </c>
      <c r="I8428" s="10">
        <v>2003</v>
      </c>
      <c r="J8428" s="10" t="s">
        <v>2495</v>
      </c>
      <c r="K8428" s="10">
        <v>256</v>
      </c>
      <c r="L8428" s="10" t="s">
        <v>39046</v>
      </c>
      <c r="M8428" s="10">
        <v>1</v>
      </c>
      <c r="N8428" s="10"/>
      <c r="O8428" s="10"/>
      <c r="P8428" s="10"/>
      <c r="Q8428" s="10" t="s">
        <v>7600</v>
      </c>
      <c r="R8428" s="10" t="s">
        <v>39047</v>
      </c>
      <c r="S8428" s="10" t="s">
        <v>53</v>
      </c>
      <c r="T8428" s="10" t="s">
        <v>54</v>
      </c>
    </row>
    <row r="8429" spans="1:20" ht="14.5" x14ac:dyDescent="0.35">
      <c r="A8429" s="10" t="s">
        <v>39048</v>
      </c>
      <c r="B8429" s="10" t="str">
        <f>"9780812220391"</f>
        <v>9780812220391</v>
      </c>
      <c r="C8429" s="10" t="str">
        <f>"9780812208122"</f>
        <v>9780812208122</v>
      </c>
      <c r="D8429" s="10" t="s">
        <v>2495</v>
      </c>
      <c r="E8429" s="10" t="s">
        <v>2495</v>
      </c>
      <c r="F8429" s="10" t="s">
        <v>319</v>
      </c>
      <c r="G8429" s="10" t="s">
        <v>6317</v>
      </c>
      <c r="H8429" s="11">
        <v>39797</v>
      </c>
      <c r="I8429" s="10">
        <v>2009</v>
      </c>
      <c r="J8429" s="10" t="s">
        <v>2495</v>
      </c>
      <c r="K8429" s="10">
        <v>282</v>
      </c>
      <c r="L8429" s="10" t="s">
        <v>39039</v>
      </c>
      <c r="M8429" s="10">
        <v>1</v>
      </c>
      <c r="N8429" s="10"/>
      <c r="O8429" s="10"/>
      <c r="P8429" s="10"/>
      <c r="Q8429" s="10" t="s">
        <v>26632</v>
      </c>
      <c r="R8429" s="10" t="s">
        <v>39049</v>
      </c>
      <c r="S8429" s="10" t="s">
        <v>53</v>
      </c>
      <c r="T8429" s="10" t="s">
        <v>54</v>
      </c>
    </row>
    <row r="8430" spans="1:20" ht="14.5" x14ac:dyDescent="0.35">
      <c r="A8430" s="10" t="s">
        <v>39050</v>
      </c>
      <c r="B8430" s="10" t="str">
        <f>"9780812246346"</f>
        <v>9780812246346</v>
      </c>
      <c r="C8430" s="10" t="str">
        <f>"9780812290103"</f>
        <v>9780812290103</v>
      </c>
      <c r="D8430" s="10" t="s">
        <v>2495</v>
      </c>
      <c r="E8430" s="10" t="s">
        <v>2495</v>
      </c>
      <c r="F8430" s="10" t="s">
        <v>319</v>
      </c>
      <c r="G8430" s="10" t="s">
        <v>6317</v>
      </c>
      <c r="H8430" s="11">
        <v>41928</v>
      </c>
      <c r="I8430" s="10">
        <v>2015</v>
      </c>
      <c r="J8430" s="10" t="s">
        <v>2495</v>
      </c>
      <c r="K8430" s="10">
        <v>289</v>
      </c>
      <c r="L8430" s="10" t="s">
        <v>39051</v>
      </c>
      <c r="M8430" s="10">
        <v>1</v>
      </c>
      <c r="N8430" s="10" t="s">
        <v>39052</v>
      </c>
      <c r="O8430" s="10"/>
      <c r="P8430" s="10"/>
      <c r="Q8430" s="10" t="s">
        <v>8916</v>
      </c>
      <c r="R8430" s="10" t="s">
        <v>39053</v>
      </c>
      <c r="S8430" s="10" t="s">
        <v>53</v>
      </c>
      <c r="T8430" s="10" t="s">
        <v>54</v>
      </c>
    </row>
    <row r="8431" spans="1:20" ht="14.5" x14ac:dyDescent="0.35">
      <c r="A8431" s="10" t="s">
        <v>39054</v>
      </c>
      <c r="B8431" s="10" t="str">
        <f>"9780812246926"</f>
        <v>9780812246926</v>
      </c>
      <c r="C8431" s="10" t="str">
        <f>"9780812290998"</f>
        <v>9780812290998</v>
      </c>
      <c r="D8431" s="10" t="s">
        <v>2495</v>
      </c>
      <c r="E8431" s="10" t="s">
        <v>2495</v>
      </c>
      <c r="F8431" s="10" t="s">
        <v>319</v>
      </c>
      <c r="G8431" s="10" t="s">
        <v>6317</v>
      </c>
      <c r="H8431" s="11">
        <v>42066</v>
      </c>
      <c r="I8431" s="10">
        <v>2015</v>
      </c>
      <c r="J8431" s="10" t="s">
        <v>2495</v>
      </c>
      <c r="K8431" s="10">
        <v>340</v>
      </c>
      <c r="L8431" s="10" t="s">
        <v>39055</v>
      </c>
      <c r="M8431" s="10">
        <v>1</v>
      </c>
      <c r="N8431" s="10" t="s">
        <v>39031</v>
      </c>
      <c r="O8431" s="10"/>
      <c r="P8431" s="10" t="s">
        <v>39056</v>
      </c>
      <c r="Q8431" s="10">
        <v>320.50972999999999</v>
      </c>
      <c r="R8431" s="10"/>
      <c r="S8431" s="10" t="s">
        <v>53</v>
      </c>
      <c r="T8431" s="10" t="s">
        <v>7807</v>
      </c>
    </row>
    <row r="8432" spans="1:20" ht="14.5" x14ac:dyDescent="0.35">
      <c r="A8432" s="10" t="s">
        <v>39057</v>
      </c>
      <c r="B8432" s="10" t="str">
        <f>"9780812246803"</f>
        <v>9780812246803</v>
      </c>
      <c r="C8432" s="10" t="str">
        <f>"9780812291087"</f>
        <v>9780812291087</v>
      </c>
      <c r="D8432" s="10" t="s">
        <v>2495</v>
      </c>
      <c r="E8432" s="10" t="s">
        <v>2495</v>
      </c>
      <c r="F8432" s="10" t="s">
        <v>319</v>
      </c>
      <c r="G8432" s="10" t="s">
        <v>6317</v>
      </c>
      <c r="H8432" s="11">
        <v>42146</v>
      </c>
      <c r="I8432" s="10">
        <v>2015</v>
      </c>
      <c r="J8432" s="10" t="s">
        <v>2495</v>
      </c>
      <c r="K8432" s="10">
        <v>462</v>
      </c>
      <c r="L8432" s="10" t="s">
        <v>39058</v>
      </c>
      <c r="M8432" s="10">
        <v>1</v>
      </c>
      <c r="N8432" s="10"/>
      <c r="O8432" s="10"/>
      <c r="P8432" s="10"/>
      <c r="Q8432" s="10" t="s">
        <v>14492</v>
      </c>
      <c r="R8432" s="10" t="s">
        <v>39059</v>
      </c>
      <c r="S8432" s="10" t="s">
        <v>53</v>
      </c>
      <c r="T8432" s="10" t="s">
        <v>54</v>
      </c>
    </row>
    <row r="8433" spans="1:20" ht="14.5" x14ac:dyDescent="0.35">
      <c r="A8433" s="10" t="s">
        <v>39060</v>
      </c>
      <c r="B8433" s="10" t="str">
        <f>"9780874217032"</f>
        <v>9780874217032</v>
      </c>
      <c r="C8433" s="10" t="str">
        <f>"9780874217049"</f>
        <v>9780874217049</v>
      </c>
      <c r="D8433" s="10" t="s">
        <v>20156</v>
      </c>
      <c r="E8433" s="10" t="s">
        <v>34111</v>
      </c>
      <c r="F8433" s="10" t="s">
        <v>324</v>
      </c>
      <c r="G8433" s="10" t="s">
        <v>6317</v>
      </c>
      <c r="H8433" s="11">
        <v>39538</v>
      </c>
      <c r="I8433" s="10">
        <v>2008</v>
      </c>
      <c r="J8433" s="10" t="s">
        <v>39061</v>
      </c>
      <c r="K8433" s="10">
        <v>307</v>
      </c>
      <c r="L8433" s="10" t="s">
        <v>39062</v>
      </c>
      <c r="M8433" s="10">
        <v>1</v>
      </c>
      <c r="N8433" s="10"/>
      <c r="O8433" s="10"/>
      <c r="P8433" s="10" t="s">
        <v>31227</v>
      </c>
      <c r="Q8433" s="10" t="s">
        <v>34974</v>
      </c>
      <c r="R8433" s="10" t="s">
        <v>39063</v>
      </c>
      <c r="S8433" s="10" t="s">
        <v>53</v>
      </c>
      <c r="T8433" s="10" t="s">
        <v>8424</v>
      </c>
    </row>
    <row r="8434" spans="1:20" ht="14.5" x14ac:dyDescent="0.35">
      <c r="A8434" s="10" t="s">
        <v>39064</v>
      </c>
      <c r="B8434" s="10" t="str">
        <f>"9780874218060"</f>
        <v>9780874218060</v>
      </c>
      <c r="C8434" s="10" t="str">
        <f>"9780874218077"</f>
        <v>9780874218077</v>
      </c>
      <c r="D8434" s="10" t="s">
        <v>20156</v>
      </c>
      <c r="E8434" s="10" t="s">
        <v>34111</v>
      </c>
      <c r="F8434" s="10" t="s">
        <v>324</v>
      </c>
      <c r="G8434" s="10" t="s">
        <v>6317</v>
      </c>
      <c r="H8434" s="11">
        <v>40497</v>
      </c>
      <c r="I8434" s="10">
        <v>2011</v>
      </c>
      <c r="J8434" s="10" t="s">
        <v>39061</v>
      </c>
      <c r="K8434" s="10">
        <v>268</v>
      </c>
      <c r="L8434" s="10" t="s">
        <v>39065</v>
      </c>
      <c r="M8434" s="10">
        <v>1</v>
      </c>
      <c r="N8434" s="10"/>
      <c r="O8434" s="10"/>
      <c r="P8434" s="10" t="s">
        <v>39066</v>
      </c>
      <c r="Q8434" s="10" t="s">
        <v>34974</v>
      </c>
      <c r="R8434" s="10" t="s">
        <v>39067</v>
      </c>
      <c r="S8434" s="10" t="s">
        <v>53</v>
      </c>
      <c r="T8434" s="10" t="s">
        <v>10454</v>
      </c>
    </row>
    <row r="8435" spans="1:20" ht="14.5" x14ac:dyDescent="0.35">
      <c r="A8435" s="10" t="s">
        <v>39068</v>
      </c>
      <c r="B8435" s="10" t="str">
        <f>"9780874212204"</f>
        <v>9780874212204</v>
      </c>
      <c r="C8435" s="10" t="str">
        <f>"9780874213393"</f>
        <v>9780874213393</v>
      </c>
      <c r="D8435" s="10" t="s">
        <v>20156</v>
      </c>
      <c r="E8435" s="10" t="s">
        <v>34111</v>
      </c>
      <c r="F8435" s="10" t="s">
        <v>324</v>
      </c>
      <c r="G8435" s="10" t="s">
        <v>6317</v>
      </c>
      <c r="H8435" s="11">
        <v>35462</v>
      </c>
      <c r="I8435" s="10">
        <v>1997</v>
      </c>
      <c r="J8435" s="10" t="s">
        <v>39061</v>
      </c>
      <c r="K8435" s="10">
        <v>416</v>
      </c>
      <c r="L8435" s="10" t="s">
        <v>39069</v>
      </c>
      <c r="M8435" s="10">
        <v>1</v>
      </c>
      <c r="N8435" s="10"/>
      <c r="O8435" s="10"/>
      <c r="P8435" s="10" t="s">
        <v>39070</v>
      </c>
      <c r="Q8435" s="10" t="s">
        <v>39071</v>
      </c>
      <c r="R8435" s="10" t="s">
        <v>39072</v>
      </c>
      <c r="S8435" s="10" t="s">
        <v>53</v>
      </c>
      <c r="T8435" s="10" t="s">
        <v>54</v>
      </c>
    </row>
    <row r="8436" spans="1:20" ht="14.5" x14ac:dyDescent="0.35">
      <c r="A8436" s="10" t="s">
        <v>39073</v>
      </c>
      <c r="B8436" s="10" t="str">
        <f>"9780874218596"</f>
        <v>9780874218596</v>
      </c>
      <c r="C8436" s="10" t="str">
        <f>"9780874218602"</f>
        <v>9780874218602</v>
      </c>
      <c r="D8436" s="10" t="s">
        <v>20156</v>
      </c>
      <c r="E8436" s="10" t="s">
        <v>34111</v>
      </c>
      <c r="F8436" s="10" t="s">
        <v>324</v>
      </c>
      <c r="G8436" s="10" t="s">
        <v>6317</v>
      </c>
      <c r="H8436" s="11">
        <v>40832</v>
      </c>
      <c r="I8436" s="10">
        <v>2011</v>
      </c>
      <c r="J8436" s="10" t="s">
        <v>39061</v>
      </c>
      <c r="K8436" s="10">
        <v>266</v>
      </c>
      <c r="L8436" s="10" t="s">
        <v>39074</v>
      </c>
      <c r="M8436" s="10">
        <v>1</v>
      </c>
      <c r="N8436" s="10"/>
      <c r="O8436" s="10"/>
      <c r="P8436" s="10" t="s">
        <v>39075</v>
      </c>
      <c r="Q8436" s="10">
        <v>398.07</v>
      </c>
      <c r="R8436" s="10" t="s">
        <v>39076</v>
      </c>
      <c r="S8436" s="10" t="s">
        <v>53</v>
      </c>
      <c r="T8436" s="10" t="s">
        <v>6526</v>
      </c>
    </row>
    <row r="8437" spans="1:20" ht="14.5" x14ac:dyDescent="0.35">
      <c r="A8437" s="10" t="s">
        <v>39077</v>
      </c>
      <c r="B8437" s="10" t="str">
        <f>"9780874218695"</f>
        <v>9780874218695</v>
      </c>
      <c r="C8437" s="10" t="str">
        <f>"9780874218701"</f>
        <v>9780874218701</v>
      </c>
      <c r="D8437" s="10" t="s">
        <v>20156</v>
      </c>
      <c r="E8437" s="10" t="s">
        <v>34111</v>
      </c>
      <c r="F8437" s="10" t="s">
        <v>324</v>
      </c>
      <c r="G8437" s="10" t="s">
        <v>6317</v>
      </c>
      <c r="H8437" s="11">
        <v>41173</v>
      </c>
      <c r="I8437" s="10">
        <v>2012</v>
      </c>
      <c r="J8437" s="10" t="s">
        <v>39061</v>
      </c>
      <c r="K8437" s="10">
        <v>586</v>
      </c>
      <c r="L8437" s="10" t="s">
        <v>39078</v>
      </c>
      <c r="M8437" s="10">
        <v>1</v>
      </c>
      <c r="N8437" s="10"/>
      <c r="O8437" s="10"/>
      <c r="P8437" s="10" t="s">
        <v>13083</v>
      </c>
      <c r="Q8437" s="10" t="s">
        <v>8223</v>
      </c>
      <c r="R8437" s="10" t="s">
        <v>39079</v>
      </c>
      <c r="S8437" s="10" t="s">
        <v>53</v>
      </c>
      <c r="T8437" s="10" t="s">
        <v>54</v>
      </c>
    </row>
    <row r="8438" spans="1:20" ht="14.5" x14ac:dyDescent="0.35">
      <c r="A8438" s="10" t="s">
        <v>39080</v>
      </c>
      <c r="B8438" s="10" t="str">
        <f>"9780874219302"</f>
        <v>9780874219302</v>
      </c>
      <c r="C8438" s="10" t="str">
        <f>"9780874219319"</f>
        <v>9780874219319</v>
      </c>
      <c r="D8438" s="10" t="s">
        <v>20156</v>
      </c>
      <c r="E8438" s="10" t="s">
        <v>34111</v>
      </c>
      <c r="F8438" s="10" t="s">
        <v>324</v>
      </c>
      <c r="G8438" s="10" t="s">
        <v>6317</v>
      </c>
      <c r="H8438" s="11">
        <v>41685</v>
      </c>
      <c r="I8438" s="10">
        <v>2014</v>
      </c>
      <c r="J8438" s="10" t="s">
        <v>39061</v>
      </c>
      <c r="K8438" s="10">
        <v>157</v>
      </c>
      <c r="L8438" s="10" t="s">
        <v>39081</v>
      </c>
      <c r="M8438" s="10">
        <v>1</v>
      </c>
      <c r="N8438" s="10"/>
      <c r="O8438" s="10"/>
      <c r="P8438" s="10" t="s">
        <v>39082</v>
      </c>
      <c r="Q8438" s="10">
        <v>378.16913</v>
      </c>
      <c r="R8438" s="10" t="s">
        <v>39083</v>
      </c>
      <c r="S8438" s="10" t="s">
        <v>53</v>
      </c>
      <c r="T8438" s="10" t="s">
        <v>54</v>
      </c>
    </row>
    <row r="8439" spans="1:20" ht="14.5" x14ac:dyDescent="0.35">
      <c r="A8439" s="10" t="s">
        <v>39084</v>
      </c>
      <c r="B8439" s="10" t="str">
        <f>"9780874219326"</f>
        <v>9780874219326</v>
      </c>
      <c r="C8439" s="10" t="str">
        <f>"9780874219333"</f>
        <v>9780874219333</v>
      </c>
      <c r="D8439" s="10" t="s">
        <v>20156</v>
      </c>
      <c r="E8439" s="10" t="s">
        <v>34111</v>
      </c>
      <c r="F8439" s="10" t="s">
        <v>324</v>
      </c>
      <c r="G8439" s="10" t="s">
        <v>6317</v>
      </c>
      <c r="H8439" s="11">
        <v>41685</v>
      </c>
      <c r="I8439" s="10">
        <v>2013</v>
      </c>
      <c r="J8439" s="10" t="s">
        <v>39061</v>
      </c>
      <c r="K8439" s="10">
        <v>204</v>
      </c>
      <c r="L8439" s="10" t="s">
        <v>39085</v>
      </c>
      <c r="M8439" s="10">
        <v>1</v>
      </c>
      <c r="N8439" s="10"/>
      <c r="O8439" s="10"/>
      <c r="P8439" s="10" t="s">
        <v>13200</v>
      </c>
      <c r="Q8439" s="10">
        <v>428.4</v>
      </c>
      <c r="R8439" s="10" t="s">
        <v>39086</v>
      </c>
      <c r="S8439" s="10" t="s">
        <v>53</v>
      </c>
      <c r="T8439" s="10" t="s">
        <v>6498</v>
      </c>
    </row>
    <row r="8440" spans="1:20" ht="14.5" x14ac:dyDescent="0.35">
      <c r="A8440" s="10" t="s">
        <v>39087</v>
      </c>
      <c r="B8440" s="10" t="str">
        <f>"9780874219593"</f>
        <v>9780874219593</v>
      </c>
      <c r="C8440" s="10" t="str">
        <f>"9780874219609"</f>
        <v>9780874219609</v>
      </c>
      <c r="D8440" s="10" t="s">
        <v>20156</v>
      </c>
      <c r="E8440" s="10" t="s">
        <v>34111</v>
      </c>
      <c r="F8440" s="10" t="s">
        <v>324</v>
      </c>
      <c r="G8440" s="10" t="s">
        <v>6317</v>
      </c>
      <c r="H8440" s="11">
        <v>41927</v>
      </c>
      <c r="I8440" s="10">
        <v>2014</v>
      </c>
      <c r="J8440" s="10" t="s">
        <v>39061</v>
      </c>
      <c r="K8440" s="10">
        <v>210</v>
      </c>
      <c r="L8440" s="10" t="s">
        <v>39088</v>
      </c>
      <c r="M8440" s="10">
        <v>1</v>
      </c>
      <c r="N8440" s="10"/>
      <c r="O8440" s="10"/>
      <c r="P8440" s="10" t="s">
        <v>39089</v>
      </c>
      <c r="Q8440" s="10">
        <v>372.47</v>
      </c>
      <c r="R8440" s="10" t="s">
        <v>39090</v>
      </c>
      <c r="S8440" s="10" t="s">
        <v>53</v>
      </c>
      <c r="T8440" s="10" t="s">
        <v>54</v>
      </c>
    </row>
    <row r="8441" spans="1:20" ht="14.5" x14ac:dyDescent="0.35">
      <c r="A8441" s="10" t="s">
        <v>39091</v>
      </c>
      <c r="B8441" s="10" t="str">
        <f>"9780292724945"</f>
        <v>9780292724945</v>
      </c>
      <c r="C8441" s="10" t="str">
        <f>"9780292792593"</f>
        <v>9780292792593</v>
      </c>
      <c r="D8441" s="10" t="s">
        <v>39092</v>
      </c>
      <c r="E8441" s="10" t="s">
        <v>39092</v>
      </c>
      <c r="F8441" s="10" t="s">
        <v>597</v>
      </c>
      <c r="G8441" s="10" t="s">
        <v>6317</v>
      </c>
      <c r="H8441" s="11">
        <v>34700</v>
      </c>
      <c r="I8441" s="10">
        <v>1996</v>
      </c>
      <c r="J8441" s="10" t="s">
        <v>39092</v>
      </c>
      <c r="K8441" s="10">
        <v>340</v>
      </c>
      <c r="L8441" s="10" t="s">
        <v>39093</v>
      </c>
      <c r="M8441" s="10">
        <v>1</v>
      </c>
      <c r="N8441" s="10" t="s">
        <v>39094</v>
      </c>
      <c r="O8441" s="10"/>
      <c r="P8441" s="10" t="s">
        <v>39095</v>
      </c>
      <c r="Q8441" s="10" t="s">
        <v>37936</v>
      </c>
      <c r="R8441" s="10" t="s">
        <v>39096</v>
      </c>
      <c r="S8441" s="10" t="s">
        <v>53</v>
      </c>
      <c r="T8441" s="10" t="s">
        <v>54</v>
      </c>
    </row>
    <row r="8442" spans="1:20" ht="14.5" x14ac:dyDescent="0.35">
      <c r="A8442" s="10" t="s">
        <v>39097</v>
      </c>
      <c r="B8442" s="10" t="str">
        <f>"9780292705791"</f>
        <v>9780292705791</v>
      </c>
      <c r="C8442" s="10" t="str">
        <f>"9780292797369"</f>
        <v>9780292797369</v>
      </c>
      <c r="D8442" s="10" t="s">
        <v>39092</v>
      </c>
      <c r="E8442" s="10" t="s">
        <v>39092</v>
      </c>
      <c r="F8442" s="10" t="s">
        <v>597</v>
      </c>
      <c r="G8442" s="10" t="s">
        <v>6317</v>
      </c>
      <c r="H8442" s="11">
        <v>38292</v>
      </c>
      <c r="I8442" s="10">
        <v>2004</v>
      </c>
      <c r="J8442" s="10" t="s">
        <v>39092</v>
      </c>
      <c r="K8442" s="10">
        <v>222</v>
      </c>
      <c r="L8442" s="10" t="s">
        <v>39098</v>
      </c>
      <c r="M8442" s="10">
        <v>1</v>
      </c>
      <c r="N8442" s="10"/>
      <c r="O8442" s="10"/>
      <c r="P8442" s="10" t="s">
        <v>13200</v>
      </c>
      <c r="Q8442" s="10" t="s">
        <v>39099</v>
      </c>
      <c r="R8442" s="10" t="s">
        <v>39100</v>
      </c>
      <c r="S8442" s="10" t="s">
        <v>53</v>
      </c>
      <c r="T8442" s="10" t="s">
        <v>6472</v>
      </c>
    </row>
    <row r="8443" spans="1:20" ht="14.5" x14ac:dyDescent="0.35">
      <c r="A8443" s="10" t="s">
        <v>39101</v>
      </c>
      <c r="B8443" s="10" t="str">
        <f>"9780292709348"</f>
        <v>9780292709348</v>
      </c>
      <c r="C8443" s="10" t="str">
        <f>"9780292796430"</f>
        <v>9780292796430</v>
      </c>
      <c r="D8443" s="10" t="s">
        <v>39092</v>
      </c>
      <c r="E8443" s="10" t="s">
        <v>39092</v>
      </c>
      <c r="F8443" s="10" t="s">
        <v>597</v>
      </c>
      <c r="G8443" s="10" t="s">
        <v>6317</v>
      </c>
      <c r="H8443" s="11">
        <v>38719</v>
      </c>
      <c r="I8443" s="10">
        <v>2006</v>
      </c>
      <c r="J8443" s="10" t="s">
        <v>39092</v>
      </c>
      <c r="K8443" s="10">
        <v>244</v>
      </c>
      <c r="L8443" s="10" t="s">
        <v>39102</v>
      </c>
      <c r="M8443" s="10">
        <v>1</v>
      </c>
      <c r="N8443" s="10" t="s">
        <v>39103</v>
      </c>
      <c r="O8443" s="10"/>
      <c r="P8443" s="10" t="s">
        <v>39104</v>
      </c>
      <c r="Q8443" s="10" t="s">
        <v>39105</v>
      </c>
      <c r="R8443" s="10" t="s">
        <v>39106</v>
      </c>
      <c r="S8443" s="10" t="s">
        <v>53</v>
      </c>
      <c r="T8443" s="10" t="s">
        <v>54</v>
      </c>
    </row>
    <row r="8444" spans="1:20" ht="14.5" x14ac:dyDescent="0.35">
      <c r="A8444" s="10" t="s">
        <v>39107</v>
      </c>
      <c r="B8444" s="10" t="str">
        <f>"9780292725218"</f>
        <v>9780292725218</v>
      </c>
      <c r="C8444" s="10" t="str">
        <f>"9780292798250"</f>
        <v>9780292798250</v>
      </c>
      <c r="D8444" s="10" t="s">
        <v>39092</v>
      </c>
      <c r="E8444" s="10" t="s">
        <v>39092</v>
      </c>
      <c r="F8444" s="10" t="s">
        <v>597</v>
      </c>
      <c r="G8444" s="10" t="s">
        <v>6317</v>
      </c>
      <c r="H8444" s="11">
        <v>37104</v>
      </c>
      <c r="I8444" s="10">
        <v>2001</v>
      </c>
      <c r="J8444" s="10" t="s">
        <v>39092</v>
      </c>
      <c r="K8444" s="10">
        <v>237</v>
      </c>
      <c r="L8444" s="10" t="s">
        <v>39108</v>
      </c>
      <c r="M8444" s="10">
        <v>1</v>
      </c>
      <c r="N8444" s="10"/>
      <c r="O8444" s="10"/>
      <c r="P8444" s="10" t="s">
        <v>26276</v>
      </c>
      <c r="Q8444" s="10" t="s">
        <v>9527</v>
      </c>
      <c r="R8444" s="10" t="s">
        <v>39109</v>
      </c>
      <c r="S8444" s="10" t="s">
        <v>53</v>
      </c>
      <c r="T8444" s="10" t="s">
        <v>6526</v>
      </c>
    </row>
    <row r="8445" spans="1:20" ht="14.5" x14ac:dyDescent="0.35">
      <c r="A8445" s="10" t="s">
        <v>39110</v>
      </c>
      <c r="B8445" s="10" t="str">
        <f>"9780292728424"</f>
        <v>9780292728424</v>
      </c>
      <c r="C8445" s="10" t="str">
        <f>"9780292798625"</f>
        <v>9780292798625</v>
      </c>
      <c r="D8445" s="10" t="s">
        <v>39092</v>
      </c>
      <c r="E8445" s="10" t="s">
        <v>39092</v>
      </c>
      <c r="F8445" s="10" t="s">
        <v>597</v>
      </c>
      <c r="G8445" s="10" t="s">
        <v>6317</v>
      </c>
      <c r="H8445" s="11">
        <v>37377</v>
      </c>
      <c r="I8445" s="10">
        <v>2002</v>
      </c>
      <c r="J8445" s="10" t="s">
        <v>39092</v>
      </c>
      <c r="K8445" s="10">
        <v>336</v>
      </c>
      <c r="L8445" s="10" t="s">
        <v>39111</v>
      </c>
      <c r="M8445" s="10">
        <v>1</v>
      </c>
      <c r="N8445" s="10"/>
      <c r="O8445" s="10"/>
      <c r="P8445" s="10" t="s">
        <v>13226</v>
      </c>
      <c r="Q8445" s="10" t="s">
        <v>32577</v>
      </c>
      <c r="R8445" s="10" t="s">
        <v>39112</v>
      </c>
      <c r="S8445" s="10" t="s">
        <v>53</v>
      </c>
      <c r="T8445" s="10" t="s">
        <v>54</v>
      </c>
    </row>
    <row r="8446" spans="1:20" ht="14.5" x14ac:dyDescent="0.35">
      <c r="A8446" s="10" t="s">
        <v>39113</v>
      </c>
      <c r="B8446" s="10" t="str">
        <f>"9780292777644"</f>
        <v>9780292777644</v>
      </c>
      <c r="C8446" s="10" t="str">
        <f>"9780292796348"</f>
        <v>9780292796348</v>
      </c>
      <c r="D8446" s="10" t="s">
        <v>39092</v>
      </c>
      <c r="E8446" s="10" t="s">
        <v>39092</v>
      </c>
      <c r="F8446" s="10" t="s">
        <v>597</v>
      </c>
      <c r="G8446" s="10" t="s">
        <v>6317</v>
      </c>
      <c r="H8446" s="11">
        <v>37288</v>
      </c>
      <c r="I8446" s="10">
        <v>2002</v>
      </c>
      <c r="J8446" s="10" t="s">
        <v>39092</v>
      </c>
      <c r="K8446" s="10">
        <v>176</v>
      </c>
      <c r="L8446" s="10" t="s">
        <v>39114</v>
      </c>
      <c r="M8446" s="10">
        <v>1</v>
      </c>
      <c r="N8446" s="10" t="s">
        <v>39115</v>
      </c>
      <c r="O8446" s="10"/>
      <c r="P8446" s="10" t="s">
        <v>39116</v>
      </c>
      <c r="Q8446" s="10" t="s">
        <v>39117</v>
      </c>
      <c r="R8446" s="10" t="s">
        <v>39118</v>
      </c>
      <c r="S8446" s="10" t="s">
        <v>53</v>
      </c>
      <c r="T8446" s="10" t="s">
        <v>54</v>
      </c>
    </row>
    <row r="8447" spans="1:20" ht="14.5" x14ac:dyDescent="0.35">
      <c r="A8447" s="10" t="s">
        <v>39119</v>
      </c>
      <c r="B8447" s="10" t="str">
        <f>"9780292706330"</f>
        <v>9780292706330</v>
      </c>
      <c r="C8447" s="10" t="str">
        <f>"9780292797093"</f>
        <v>9780292797093</v>
      </c>
      <c r="D8447" s="10" t="s">
        <v>39092</v>
      </c>
      <c r="E8447" s="10" t="s">
        <v>39092</v>
      </c>
      <c r="F8447" s="10" t="s">
        <v>597</v>
      </c>
      <c r="G8447" s="10" t="s">
        <v>6317</v>
      </c>
      <c r="H8447" s="11">
        <v>38504</v>
      </c>
      <c r="I8447" s="10">
        <v>2005</v>
      </c>
      <c r="J8447" s="10" t="s">
        <v>39092</v>
      </c>
      <c r="K8447" s="10">
        <v>240</v>
      </c>
      <c r="L8447" s="10" t="s">
        <v>39120</v>
      </c>
      <c r="M8447" s="10">
        <v>1</v>
      </c>
      <c r="N8447" s="10" t="s">
        <v>39115</v>
      </c>
      <c r="O8447" s="10"/>
      <c r="P8447" s="10" t="s">
        <v>34656</v>
      </c>
      <c r="Q8447" s="10" t="s">
        <v>39121</v>
      </c>
      <c r="R8447" s="10"/>
      <c r="S8447" s="10" t="s">
        <v>53</v>
      </c>
      <c r="T8447" s="10" t="s">
        <v>54</v>
      </c>
    </row>
    <row r="8448" spans="1:20" ht="14.5" x14ac:dyDescent="0.35">
      <c r="A8448" s="10" t="s">
        <v>39122</v>
      </c>
      <c r="B8448" s="10" t="str">
        <f>"9780292702196"</f>
        <v>9780292702196</v>
      </c>
      <c r="C8448" s="10" t="str">
        <f>"9780292797482"</f>
        <v>9780292797482</v>
      </c>
      <c r="D8448" s="10" t="s">
        <v>39092</v>
      </c>
      <c r="E8448" s="10" t="s">
        <v>39092</v>
      </c>
      <c r="F8448" s="10" t="s">
        <v>597</v>
      </c>
      <c r="G8448" s="10" t="s">
        <v>6317</v>
      </c>
      <c r="H8448" s="11">
        <v>38169</v>
      </c>
      <c r="I8448" s="10">
        <v>2004</v>
      </c>
      <c r="J8448" s="10" t="s">
        <v>39092</v>
      </c>
      <c r="K8448" s="10">
        <v>288</v>
      </c>
      <c r="L8448" s="10" t="s">
        <v>39123</v>
      </c>
      <c r="M8448" s="10">
        <v>1</v>
      </c>
      <c r="N8448" s="10"/>
      <c r="O8448" s="10"/>
      <c r="P8448" s="10" t="s">
        <v>39124</v>
      </c>
      <c r="Q8448" s="10" t="s">
        <v>39125</v>
      </c>
      <c r="R8448" s="10" t="s">
        <v>39126</v>
      </c>
      <c r="S8448" s="10" t="s">
        <v>53</v>
      </c>
      <c r="T8448" s="10" t="s">
        <v>1166</v>
      </c>
    </row>
    <row r="8449" spans="1:20" ht="14.5" x14ac:dyDescent="0.35">
      <c r="A8449" s="10" t="s">
        <v>39127</v>
      </c>
      <c r="B8449" s="10" t="str">
        <f>"9780292706361"</f>
        <v>9780292706361</v>
      </c>
      <c r="C8449" s="10" t="str">
        <f>"9780292797086"</f>
        <v>9780292797086</v>
      </c>
      <c r="D8449" s="10" t="s">
        <v>39092</v>
      </c>
      <c r="E8449" s="10" t="s">
        <v>39092</v>
      </c>
      <c r="F8449" s="10" t="s">
        <v>597</v>
      </c>
      <c r="G8449" s="10" t="s">
        <v>6317</v>
      </c>
      <c r="H8449" s="11">
        <v>38487</v>
      </c>
      <c r="I8449" s="10">
        <v>2005</v>
      </c>
      <c r="J8449" s="10" t="s">
        <v>39092</v>
      </c>
      <c r="K8449" s="10">
        <v>302</v>
      </c>
      <c r="L8449" s="10" t="s">
        <v>39128</v>
      </c>
      <c r="M8449" s="10">
        <v>1</v>
      </c>
      <c r="N8449" s="10" t="s">
        <v>39103</v>
      </c>
      <c r="O8449" s="10"/>
      <c r="P8449" s="10" t="s">
        <v>38543</v>
      </c>
      <c r="Q8449" s="10" t="s">
        <v>39129</v>
      </c>
      <c r="R8449" s="10" t="s">
        <v>39130</v>
      </c>
      <c r="S8449" s="10" t="s">
        <v>53</v>
      </c>
      <c r="T8449" s="10" t="s">
        <v>54</v>
      </c>
    </row>
    <row r="8450" spans="1:20" ht="14.5" x14ac:dyDescent="0.35">
      <c r="A8450" s="10" t="s">
        <v>39131</v>
      </c>
      <c r="B8450" s="10" t="str">
        <f>"9780292717046"</f>
        <v>9780292717046</v>
      </c>
      <c r="C8450" s="10" t="str">
        <f>"9780292794122"</f>
        <v>9780292794122</v>
      </c>
      <c r="D8450" s="10" t="s">
        <v>39092</v>
      </c>
      <c r="E8450" s="10" t="s">
        <v>39092</v>
      </c>
      <c r="F8450" s="10" t="s">
        <v>597</v>
      </c>
      <c r="G8450" s="10" t="s">
        <v>6317</v>
      </c>
      <c r="H8450" s="11">
        <v>39753</v>
      </c>
      <c r="I8450" s="10">
        <v>2008</v>
      </c>
      <c r="J8450" s="10" t="s">
        <v>39092</v>
      </c>
      <c r="K8450" s="10">
        <v>379</v>
      </c>
      <c r="L8450" s="10" t="s">
        <v>39132</v>
      </c>
      <c r="M8450" s="10">
        <v>1</v>
      </c>
      <c r="N8450" s="10"/>
      <c r="O8450" s="10"/>
      <c r="P8450" s="10" t="s">
        <v>20305</v>
      </c>
      <c r="Q8450" s="10" t="s">
        <v>8706</v>
      </c>
      <c r="R8450" s="10" t="s">
        <v>39133</v>
      </c>
      <c r="S8450" s="10" t="s">
        <v>53</v>
      </c>
      <c r="T8450" s="10" t="s">
        <v>54</v>
      </c>
    </row>
    <row r="8451" spans="1:20" ht="14.5" x14ac:dyDescent="0.35">
      <c r="A8451" s="10" t="s">
        <v>39134</v>
      </c>
      <c r="B8451" s="10" t="str">
        <f>"9780292717466"</f>
        <v>9780292717466</v>
      </c>
      <c r="C8451" s="10" t="str">
        <f>"9780292794177"</f>
        <v>9780292794177</v>
      </c>
      <c r="D8451" s="10" t="s">
        <v>39092</v>
      </c>
      <c r="E8451" s="10" t="s">
        <v>39092</v>
      </c>
      <c r="F8451" s="10" t="s">
        <v>597</v>
      </c>
      <c r="G8451" s="10" t="s">
        <v>6317</v>
      </c>
      <c r="H8451" s="11">
        <v>39630</v>
      </c>
      <c r="I8451" s="10">
        <v>2008</v>
      </c>
      <c r="J8451" s="10" t="s">
        <v>39092</v>
      </c>
      <c r="K8451" s="10">
        <v>212</v>
      </c>
      <c r="L8451" s="10" t="s">
        <v>39135</v>
      </c>
      <c r="M8451" s="10">
        <v>1</v>
      </c>
      <c r="N8451" s="10"/>
      <c r="O8451" s="10"/>
      <c r="P8451" s="10" t="s">
        <v>39136</v>
      </c>
      <c r="Q8451" s="10" t="s">
        <v>39137</v>
      </c>
      <c r="R8451" s="10"/>
      <c r="S8451" s="10" t="s">
        <v>53</v>
      </c>
      <c r="T8451" s="10" t="s">
        <v>39138</v>
      </c>
    </row>
    <row r="8452" spans="1:20" ht="14.5" x14ac:dyDescent="0.35">
      <c r="A8452" s="10" t="s">
        <v>39139</v>
      </c>
      <c r="B8452" s="10" t="str">
        <f>"9780292721197"</f>
        <v>9780292721197</v>
      </c>
      <c r="C8452" s="10" t="str">
        <f>"9780292793514"</f>
        <v>9780292793514</v>
      </c>
      <c r="D8452" s="10" t="s">
        <v>39092</v>
      </c>
      <c r="E8452" s="10" t="s">
        <v>39092</v>
      </c>
      <c r="F8452" s="10" t="s">
        <v>597</v>
      </c>
      <c r="G8452" s="10" t="s">
        <v>6317</v>
      </c>
      <c r="H8452" s="11">
        <v>40154</v>
      </c>
      <c r="I8452" s="10">
        <v>2009</v>
      </c>
      <c r="J8452" s="10" t="s">
        <v>39092</v>
      </c>
      <c r="K8452" s="10">
        <v>294</v>
      </c>
      <c r="L8452" s="10" t="s">
        <v>39140</v>
      </c>
      <c r="M8452" s="10">
        <v>1</v>
      </c>
      <c r="N8452" s="10"/>
      <c r="O8452" s="10"/>
      <c r="P8452" s="10" t="s">
        <v>39141</v>
      </c>
      <c r="Q8452" s="10">
        <v>371.82799999999997</v>
      </c>
      <c r="R8452" s="10"/>
      <c r="S8452" s="10" t="s">
        <v>53</v>
      </c>
      <c r="T8452" s="10" t="s">
        <v>54</v>
      </c>
    </row>
    <row r="8453" spans="1:20" ht="14.5" x14ac:dyDescent="0.35">
      <c r="A8453" s="10" t="s">
        <v>39142</v>
      </c>
      <c r="B8453" s="10" t="str">
        <f>"9780292722002"</f>
        <v>9780292722002</v>
      </c>
      <c r="C8453" s="10" t="str">
        <f>"9780292784895"</f>
        <v>9780292784895</v>
      </c>
      <c r="D8453" s="10" t="s">
        <v>39092</v>
      </c>
      <c r="E8453" s="10" t="s">
        <v>39092</v>
      </c>
      <c r="F8453" s="10" t="s">
        <v>597</v>
      </c>
      <c r="G8453" s="10" t="s">
        <v>6317</v>
      </c>
      <c r="H8453" s="11">
        <v>40422</v>
      </c>
      <c r="I8453" s="10">
        <v>2010</v>
      </c>
      <c r="J8453" s="10" t="s">
        <v>39092</v>
      </c>
      <c r="K8453" s="10">
        <v>379</v>
      </c>
      <c r="L8453" s="10" t="s">
        <v>39143</v>
      </c>
      <c r="M8453" s="10">
        <v>1</v>
      </c>
      <c r="N8453" s="10" t="s">
        <v>39144</v>
      </c>
      <c r="O8453" s="10"/>
      <c r="P8453" s="10" t="s">
        <v>13948</v>
      </c>
      <c r="Q8453" s="10" t="s">
        <v>39145</v>
      </c>
      <c r="R8453" s="10" t="s">
        <v>39146</v>
      </c>
      <c r="S8453" s="10" t="s">
        <v>53</v>
      </c>
      <c r="T8453" s="10" t="s">
        <v>32619</v>
      </c>
    </row>
    <row r="8454" spans="1:20" ht="14.5" x14ac:dyDescent="0.35">
      <c r="A8454" s="10" t="s">
        <v>39147</v>
      </c>
      <c r="B8454" s="10" t="str">
        <f>"9780292722606"</f>
        <v>9780292722606</v>
      </c>
      <c r="C8454" s="10" t="str">
        <f>"9780292784833"</f>
        <v>9780292784833</v>
      </c>
      <c r="D8454" s="10" t="s">
        <v>39092</v>
      </c>
      <c r="E8454" s="10" t="s">
        <v>39092</v>
      </c>
      <c r="F8454" s="10" t="s">
        <v>597</v>
      </c>
      <c r="G8454" s="10" t="s">
        <v>6317</v>
      </c>
      <c r="H8454" s="11">
        <v>40558</v>
      </c>
      <c r="I8454" s="10">
        <v>2011</v>
      </c>
      <c r="J8454" s="10" t="s">
        <v>39092</v>
      </c>
      <c r="K8454" s="10">
        <v>287</v>
      </c>
      <c r="L8454" s="10" t="s">
        <v>39148</v>
      </c>
      <c r="M8454" s="10">
        <v>1</v>
      </c>
      <c r="N8454" s="10"/>
      <c r="O8454" s="10"/>
      <c r="P8454" s="10" t="s">
        <v>39149</v>
      </c>
      <c r="Q8454" s="10">
        <v>370.97291000000001</v>
      </c>
      <c r="R8454" s="10" t="s">
        <v>39150</v>
      </c>
      <c r="S8454" s="10" t="s">
        <v>53</v>
      </c>
      <c r="T8454" s="10" t="s">
        <v>54</v>
      </c>
    </row>
    <row r="8455" spans="1:20" ht="14.5" x14ac:dyDescent="0.35">
      <c r="A8455" s="10" t="s">
        <v>39151</v>
      </c>
      <c r="B8455" s="10" t="str">
        <f>"9780292726918"</f>
        <v>9780292726918</v>
      </c>
      <c r="C8455" s="10" t="str">
        <f>"9780292734982"</f>
        <v>9780292734982</v>
      </c>
      <c r="D8455" s="10" t="s">
        <v>39092</v>
      </c>
      <c r="E8455" s="10" t="s">
        <v>39092</v>
      </c>
      <c r="F8455" s="10" t="s">
        <v>597</v>
      </c>
      <c r="G8455" s="10" t="s">
        <v>6317</v>
      </c>
      <c r="H8455" s="11">
        <v>40848</v>
      </c>
      <c r="I8455" s="10">
        <v>2011</v>
      </c>
      <c r="J8455" s="10" t="s">
        <v>39092</v>
      </c>
      <c r="K8455" s="10">
        <v>281</v>
      </c>
      <c r="L8455" s="10" t="s">
        <v>39152</v>
      </c>
      <c r="M8455" s="10">
        <v>1</v>
      </c>
      <c r="N8455" s="10"/>
      <c r="O8455" s="10"/>
      <c r="P8455" s="10" t="s">
        <v>39153</v>
      </c>
      <c r="Q8455" s="10" t="s">
        <v>39154</v>
      </c>
      <c r="R8455" s="10" t="s">
        <v>39155</v>
      </c>
      <c r="S8455" s="10" t="s">
        <v>53</v>
      </c>
      <c r="T8455" s="10" t="s">
        <v>54</v>
      </c>
    </row>
    <row r="8456" spans="1:20" ht="14.5" x14ac:dyDescent="0.35">
      <c r="A8456" s="10" t="s">
        <v>39156</v>
      </c>
      <c r="B8456" s="10" t="str">
        <f>"9780292728745"</f>
        <v>9780292728745</v>
      </c>
      <c r="C8456" s="10" t="str">
        <f>"9780292737136"</f>
        <v>9780292737136</v>
      </c>
      <c r="D8456" s="10" t="s">
        <v>39092</v>
      </c>
      <c r="E8456" s="10" t="s">
        <v>39092</v>
      </c>
      <c r="F8456" s="10" t="s">
        <v>597</v>
      </c>
      <c r="G8456" s="10" t="s">
        <v>6317</v>
      </c>
      <c r="H8456" s="11">
        <v>40969</v>
      </c>
      <c r="I8456" s="10">
        <v>2012</v>
      </c>
      <c r="J8456" s="10" t="s">
        <v>39092</v>
      </c>
      <c r="K8456" s="10">
        <v>310</v>
      </c>
      <c r="L8456" s="10" t="s">
        <v>39157</v>
      </c>
      <c r="M8456" s="10">
        <v>1</v>
      </c>
      <c r="N8456" s="10" t="s">
        <v>39158</v>
      </c>
      <c r="O8456" s="10"/>
      <c r="P8456" s="10" t="s">
        <v>39159</v>
      </c>
      <c r="Q8456" s="10" t="s">
        <v>39160</v>
      </c>
      <c r="R8456" s="10" t="s">
        <v>39161</v>
      </c>
      <c r="S8456" s="10" t="s">
        <v>53</v>
      </c>
      <c r="T8456" s="10" t="s">
        <v>54</v>
      </c>
    </row>
    <row r="8457" spans="1:20" ht="14.5" x14ac:dyDescent="0.35">
      <c r="A8457" s="10" t="s">
        <v>39162</v>
      </c>
      <c r="B8457" s="10" t="str">
        <f>"9780292744264"</f>
        <v>9780292744264</v>
      </c>
      <c r="C8457" s="10" t="str">
        <f>"9780292744288"</f>
        <v>9780292744288</v>
      </c>
      <c r="D8457" s="10" t="s">
        <v>39092</v>
      </c>
      <c r="E8457" s="10" t="s">
        <v>39092</v>
      </c>
      <c r="F8457" s="10" t="s">
        <v>597</v>
      </c>
      <c r="G8457" s="10" t="s">
        <v>6317</v>
      </c>
      <c r="H8457" s="11">
        <v>41395</v>
      </c>
      <c r="I8457" s="10">
        <v>2013</v>
      </c>
      <c r="J8457" s="10" t="s">
        <v>39092</v>
      </c>
      <c r="K8457" s="10">
        <v>182</v>
      </c>
      <c r="L8457" s="10" t="s">
        <v>39163</v>
      </c>
      <c r="M8457" s="10">
        <v>1</v>
      </c>
      <c r="N8457" s="10"/>
      <c r="O8457" s="10"/>
      <c r="P8457" s="10" t="s">
        <v>39164</v>
      </c>
      <c r="Q8457" s="10">
        <v>305.42097200000001</v>
      </c>
      <c r="R8457" s="10" t="s">
        <v>39165</v>
      </c>
      <c r="S8457" s="10" t="s">
        <v>53</v>
      </c>
      <c r="T8457" s="10" t="s">
        <v>6526</v>
      </c>
    </row>
    <row r="8458" spans="1:20" ht="14.5" x14ac:dyDescent="0.35">
      <c r="A8458" s="10" t="s">
        <v>39166</v>
      </c>
      <c r="B8458" s="10" t="str">
        <f>"9781477303702"</f>
        <v>9781477303702</v>
      </c>
      <c r="C8458" s="10" t="str">
        <f>"9781477307267"</f>
        <v>9781477307267</v>
      </c>
      <c r="D8458" s="10" t="s">
        <v>39092</v>
      </c>
      <c r="E8458" s="10" t="s">
        <v>39092</v>
      </c>
      <c r="F8458" s="10" t="s">
        <v>597</v>
      </c>
      <c r="G8458" s="10" t="s">
        <v>6317</v>
      </c>
      <c r="H8458" s="11">
        <v>42292</v>
      </c>
      <c r="I8458" s="10">
        <v>2015</v>
      </c>
      <c r="J8458" s="10" t="s">
        <v>39092</v>
      </c>
      <c r="K8458" s="10">
        <v>328</v>
      </c>
      <c r="L8458" s="10" t="s">
        <v>39167</v>
      </c>
      <c r="M8458" s="10">
        <v>1</v>
      </c>
      <c r="N8458" s="10" t="s">
        <v>39103</v>
      </c>
      <c r="O8458" s="10"/>
      <c r="P8458" s="10" t="s">
        <v>38539</v>
      </c>
      <c r="Q8458" s="10" t="s">
        <v>9797</v>
      </c>
      <c r="R8458" s="10" t="s">
        <v>39168</v>
      </c>
      <c r="S8458" s="10" t="s">
        <v>53</v>
      </c>
      <c r="T8458" s="10" t="s">
        <v>54</v>
      </c>
    </row>
    <row r="8459" spans="1:20" ht="14.5" x14ac:dyDescent="0.35">
      <c r="A8459" s="10" t="s">
        <v>39169</v>
      </c>
      <c r="B8459" s="10" t="str">
        <f>"9780813928159"</f>
        <v>9780813928159</v>
      </c>
      <c r="C8459" s="10" t="str">
        <f>"9780813928326"</f>
        <v>9780813928326</v>
      </c>
      <c r="D8459" s="10" t="s">
        <v>9533</v>
      </c>
      <c r="E8459" s="10" t="s">
        <v>39170</v>
      </c>
      <c r="F8459" s="10" t="s">
        <v>3798</v>
      </c>
      <c r="G8459" s="10" t="s">
        <v>6317</v>
      </c>
      <c r="H8459" s="11">
        <v>40038</v>
      </c>
      <c r="I8459" s="10">
        <v>2009</v>
      </c>
      <c r="J8459" s="10" t="s">
        <v>39170</v>
      </c>
      <c r="K8459" s="10">
        <v>176</v>
      </c>
      <c r="L8459" s="10" t="s">
        <v>39171</v>
      </c>
      <c r="M8459" s="10">
        <v>1</v>
      </c>
      <c r="N8459" s="10"/>
      <c r="O8459" s="10"/>
      <c r="P8459" s="10" t="s">
        <v>39172</v>
      </c>
      <c r="Q8459" s="10" t="s">
        <v>20825</v>
      </c>
      <c r="R8459" s="10" t="s">
        <v>39173</v>
      </c>
      <c r="S8459" s="10" t="s">
        <v>53</v>
      </c>
      <c r="T8459" s="10" t="s">
        <v>54</v>
      </c>
    </row>
    <row r="8460" spans="1:20" ht="14.5" x14ac:dyDescent="0.35">
      <c r="A8460" s="10" t="s">
        <v>39174</v>
      </c>
      <c r="B8460" s="10" t="str">
        <f>"9780813922324"</f>
        <v>9780813922324</v>
      </c>
      <c r="C8460" s="10" t="str">
        <f>"9780813923918"</f>
        <v>9780813923918</v>
      </c>
      <c r="D8460" s="10" t="s">
        <v>9533</v>
      </c>
      <c r="E8460" s="10" t="s">
        <v>39170</v>
      </c>
      <c r="F8460" s="10" t="s">
        <v>3798</v>
      </c>
      <c r="G8460" s="10" t="s">
        <v>6317</v>
      </c>
      <c r="H8460" s="11">
        <v>38049</v>
      </c>
      <c r="I8460" s="10">
        <v>2006</v>
      </c>
      <c r="J8460" s="10" t="s">
        <v>39170</v>
      </c>
      <c r="K8460" s="10">
        <v>621</v>
      </c>
      <c r="L8460" s="10" t="s">
        <v>39175</v>
      </c>
      <c r="M8460" s="10">
        <v>1</v>
      </c>
      <c r="N8460" s="10" t="s">
        <v>39176</v>
      </c>
      <c r="O8460" s="10"/>
      <c r="P8460" s="10" t="s">
        <v>39177</v>
      </c>
      <c r="Q8460" s="10">
        <v>370.92</v>
      </c>
      <c r="R8460" s="10" t="s">
        <v>39178</v>
      </c>
      <c r="S8460" s="10" t="s">
        <v>53</v>
      </c>
      <c r="T8460" s="10" t="s">
        <v>54</v>
      </c>
    </row>
    <row r="8461" spans="1:20" ht="14.5" x14ac:dyDescent="0.35">
      <c r="A8461" s="10" t="s">
        <v>39179</v>
      </c>
      <c r="B8461" s="10" t="str">
        <f>"9780813932880"</f>
        <v>9780813932880</v>
      </c>
      <c r="C8461" s="10" t="str">
        <f>"9780813932897"</f>
        <v>9780813932897</v>
      </c>
      <c r="D8461" s="10" t="s">
        <v>9533</v>
      </c>
      <c r="E8461" s="10" t="s">
        <v>39170</v>
      </c>
      <c r="F8461" s="10" t="s">
        <v>3798</v>
      </c>
      <c r="G8461" s="10" t="s">
        <v>6317</v>
      </c>
      <c r="H8461" s="11">
        <v>41141</v>
      </c>
      <c r="I8461" s="10">
        <v>2012</v>
      </c>
      <c r="J8461" s="10" t="s">
        <v>39170</v>
      </c>
      <c r="K8461" s="10">
        <v>320</v>
      </c>
      <c r="L8461" s="10" t="s">
        <v>39180</v>
      </c>
      <c r="M8461" s="10">
        <v>1</v>
      </c>
      <c r="N8461" s="10"/>
      <c r="O8461" s="10"/>
      <c r="P8461" s="10" t="s">
        <v>39181</v>
      </c>
      <c r="Q8461" s="10" t="s">
        <v>39182</v>
      </c>
      <c r="R8461" s="10" t="s">
        <v>39183</v>
      </c>
      <c r="S8461" s="10" t="s">
        <v>53</v>
      </c>
      <c r="T8461" s="10" t="s">
        <v>54</v>
      </c>
    </row>
    <row r="8462" spans="1:20" ht="14.5" x14ac:dyDescent="0.35">
      <c r="A8462" s="10" t="s">
        <v>39184</v>
      </c>
      <c r="B8462" s="10" t="str">
        <f>"9780813934709"</f>
        <v>9780813934709</v>
      </c>
      <c r="C8462" s="10" t="str">
        <f>"9780813934716"</f>
        <v>9780813934716</v>
      </c>
      <c r="D8462" s="10" t="s">
        <v>9533</v>
      </c>
      <c r="E8462" s="10" t="s">
        <v>39170</v>
      </c>
      <c r="F8462" s="10" t="s">
        <v>3798</v>
      </c>
      <c r="G8462" s="10" t="s">
        <v>6317</v>
      </c>
      <c r="H8462" s="11">
        <v>41499</v>
      </c>
      <c r="I8462" s="10">
        <v>2013</v>
      </c>
      <c r="J8462" s="10" t="s">
        <v>39170</v>
      </c>
      <c r="K8462" s="10">
        <v>200</v>
      </c>
      <c r="L8462" s="10" t="s">
        <v>39185</v>
      </c>
      <c r="M8462" s="10">
        <v>1</v>
      </c>
      <c r="N8462" s="10"/>
      <c r="O8462" s="10"/>
      <c r="P8462" s="10" t="s">
        <v>39186</v>
      </c>
      <c r="Q8462" s="10">
        <v>378.75548099999997</v>
      </c>
      <c r="R8462" s="10" t="s">
        <v>39187</v>
      </c>
      <c r="S8462" s="10" t="s">
        <v>53</v>
      </c>
      <c r="T8462" s="10" t="s">
        <v>54</v>
      </c>
    </row>
    <row r="8463" spans="1:20" ht="14.5" x14ac:dyDescent="0.35">
      <c r="A8463" s="10" t="s">
        <v>39188</v>
      </c>
      <c r="B8463" s="10" t="str">
        <f>"9780813935676"</f>
        <v>9780813935676</v>
      </c>
      <c r="C8463" s="10" t="str">
        <f>"9780813935683"</f>
        <v>9780813935683</v>
      </c>
      <c r="D8463" s="10" t="s">
        <v>9533</v>
      </c>
      <c r="E8463" s="10" t="s">
        <v>39170</v>
      </c>
      <c r="F8463" s="10" t="s">
        <v>3798</v>
      </c>
      <c r="G8463" s="10" t="s">
        <v>6317</v>
      </c>
      <c r="H8463" s="11">
        <v>41800</v>
      </c>
      <c r="I8463" s="10">
        <v>2014</v>
      </c>
      <c r="J8463" s="10" t="s">
        <v>39170</v>
      </c>
      <c r="K8463" s="10">
        <v>272</v>
      </c>
      <c r="L8463" s="10" t="s">
        <v>39189</v>
      </c>
      <c r="M8463" s="10">
        <v>1</v>
      </c>
      <c r="N8463" s="10" t="s">
        <v>39190</v>
      </c>
      <c r="O8463" s="10"/>
      <c r="P8463" s="10" t="s">
        <v>39191</v>
      </c>
      <c r="Q8463" s="10">
        <v>378.73</v>
      </c>
      <c r="R8463" s="10" t="s">
        <v>39192</v>
      </c>
      <c r="S8463" s="10" t="s">
        <v>53</v>
      </c>
      <c r="T8463" s="10" t="s">
        <v>54</v>
      </c>
    </row>
    <row r="8464" spans="1:20" ht="14.5" x14ac:dyDescent="0.35">
      <c r="A8464" s="10" t="s">
        <v>39193</v>
      </c>
      <c r="B8464" s="10" t="str">
        <f>"9780813936147"</f>
        <v>9780813936147</v>
      </c>
      <c r="C8464" s="10" t="str">
        <f>"9780813936154"</f>
        <v>9780813936154</v>
      </c>
      <c r="D8464" s="10" t="s">
        <v>9533</v>
      </c>
      <c r="E8464" s="10" t="s">
        <v>39170</v>
      </c>
      <c r="F8464" s="10" t="s">
        <v>3798</v>
      </c>
      <c r="G8464" s="10" t="s">
        <v>6317</v>
      </c>
      <c r="H8464" s="11">
        <v>41976</v>
      </c>
      <c r="I8464" s="10">
        <v>2017</v>
      </c>
      <c r="J8464" s="10" t="s">
        <v>39170</v>
      </c>
      <c r="K8464" s="10">
        <v>320</v>
      </c>
      <c r="L8464" s="10" t="s">
        <v>39194</v>
      </c>
      <c r="M8464" s="10">
        <v>1</v>
      </c>
      <c r="N8464" s="10" t="s">
        <v>39195</v>
      </c>
      <c r="O8464" s="10"/>
      <c r="P8464" s="10" t="s">
        <v>39196</v>
      </c>
      <c r="Q8464" s="10" t="s">
        <v>39197</v>
      </c>
      <c r="R8464" s="10" t="s">
        <v>39198</v>
      </c>
      <c r="S8464" s="10" t="s">
        <v>53</v>
      </c>
      <c r="T8464" s="10" t="s">
        <v>54</v>
      </c>
    </row>
    <row r="8465" spans="1:20" ht="14.5" x14ac:dyDescent="0.35">
      <c r="A8465" s="10" t="s">
        <v>39199</v>
      </c>
      <c r="B8465" s="10" t="str">
        <f>"9780295989976"</f>
        <v>9780295989976</v>
      </c>
      <c r="C8465" s="10" t="str">
        <f>"9780295800219"</f>
        <v>9780295800219</v>
      </c>
      <c r="D8465" s="10" t="s">
        <v>9533</v>
      </c>
      <c r="E8465" s="10" t="s">
        <v>39200</v>
      </c>
      <c r="F8465" s="10" t="s">
        <v>39201</v>
      </c>
      <c r="G8465" s="10" t="s">
        <v>6317</v>
      </c>
      <c r="H8465" s="11">
        <v>40238</v>
      </c>
      <c r="I8465" s="10">
        <v>2010</v>
      </c>
      <c r="J8465" s="10" t="s">
        <v>39200</v>
      </c>
      <c r="K8465" s="10">
        <v>343</v>
      </c>
      <c r="L8465" s="10" t="s">
        <v>39202</v>
      </c>
      <c r="M8465" s="10">
        <v>1</v>
      </c>
      <c r="N8465" s="10" t="s">
        <v>39203</v>
      </c>
      <c r="O8465" s="10"/>
      <c r="P8465" s="10" t="s">
        <v>39204</v>
      </c>
      <c r="Q8465" s="10" t="s">
        <v>39205</v>
      </c>
      <c r="R8465" s="10" t="s">
        <v>39206</v>
      </c>
      <c r="S8465" s="10" t="s">
        <v>53</v>
      </c>
      <c r="T8465" s="10" t="s">
        <v>39207</v>
      </c>
    </row>
    <row r="8466" spans="1:20" ht="14.5" x14ac:dyDescent="0.35">
      <c r="A8466" s="10" t="s">
        <v>39208</v>
      </c>
      <c r="B8466" s="10" t="str">
        <f>"9780295989679"</f>
        <v>9780295989679</v>
      </c>
      <c r="C8466" s="10" t="str">
        <f>"9780295800691"</f>
        <v>9780295800691</v>
      </c>
      <c r="D8466" s="10" t="s">
        <v>9533</v>
      </c>
      <c r="E8466" s="10" t="s">
        <v>39200</v>
      </c>
      <c r="F8466" s="10" t="s">
        <v>39201</v>
      </c>
      <c r="G8466" s="10" t="s">
        <v>6317</v>
      </c>
      <c r="H8466" s="11">
        <v>40073</v>
      </c>
      <c r="I8466" s="10">
        <v>2009</v>
      </c>
      <c r="J8466" s="10" t="s">
        <v>39200</v>
      </c>
      <c r="K8466" s="10">
        <v>166</v>
      </c>
      <c r="L8466" s="10" t="s">
        <v>39209</v>
      </c>
      <c r="M8466" s="10">
        <v>1</v>
      </c>
      <c r="N8466" s="10"/>
      <c r="O8466" s="10"/>
      <c r="P8466" s="10" t="s">
        <v>39210</v>
      </c>
      <c r="Q8466" s="10" t="s">
        <v>39211</v>
      </c>
      <c r="R8466" s="10" t="s">
        <v>39212</v>
      </c>
      <c r="S8466" s="10" t="s">
        <v>53</v>
      </c>
      <c r="T8466" s="10" t="s">
        <v>389</v>
      </c>
    </row>
    <row r="8467" spans="1:20" ht="14.5" x14ac:dyDescent="0.35">
      <c r="A8467" s="10" t="s">
        <v>39213</v>
      </c>
      <c r="B8467" s="10" t="str">
        <f>"9780295990613"</f>
        <v>9780295990613</v>
      </c>
      <c r="C8467" s="10" t="str">
        <f>"9780295800813"</f>
        <v>9780295800813</v>
      </c>
      <c r="D8467" s="10" t="s">
        <v>9533</v>
      </c>
      <c r="E8467" s="10" t="s">
        <v>39200</v>
      </c>
      <c r="F8467" s="10" t="s">
        <v>39201</v>
      </c>
      <c r="G8467" s="10" t="s">
        <v>6317</v>
      </c>
      <c r="H8467" s="11">
        <v>40878</v>
      </c>
      <c r="I8467" s="10">
        <v>2011</v>
      </c>
      <c r="J8467" s="10" t="s">
        <v>39200</v>
      </c>
      <c r="K8467" s="10">
        <v>263</v>
      </c>
      <c r="L8467" s="10" t="s">
        <v>39214</v>
      </c>
      <c r="M8467" s="10">
        <v>1</v>
      </c>
      <c r="N8467" s="10"/>
      <c r="O8467" s="10"/>
      <c r="P8467" s="10" t="s">
        <v>39215</v>
      </c>
      <c r="Q8467" s="10" t="s">
        <v>39216</v>
      </c>
      <c r="R8467" s="10" t="s">
        <v>39217</v>
      </c>
      <c r="S8467" s="10" t="s">
        <v>53</v>
      </c>
      <c r="T8467" s="10" t="s">
        <v>54</v>
      </c>
    </row>
    <row r="8468" spans="1:20" ht="14.5" x14ac:dyDescent="0.35">
      <c r="A8468" s="10" t="s">
        <v>39218</v>
      </c>
      <c r="B8468" s="10" t="str">
        <f>"9780295988023"</f>
        <v>9780295988023</v>
      </c>
      <c r="C8468" s="10" t="str">
        <f>"9780295800486"</f>
        <v>9780295800486</v>
      </c>
      <c r="D8468" s="10" t="s">
        <v>9533</v>
      </c>
      <c r="E8468" s="10" t="s">
        <v>39200</v>
      </c>
      <c r="F8468" s="10" t="s">
        <v>39201</v>
      </c>
      <c r="G8468" s="10" t="s">
        <v>6317</v>
      </c>
      <c r="H8468" s="11">
        <v>39538</v>
      </c>
      <c r="I8468" s="10">
        <v>2008</v>
      </c>
      <c r="J8468" s="10" t="s">
        <v>39200</v>
      </c>
      <c r="K8468" s="10">
        <v>353</v>
      </c>
      <c r="L8468" s="10" t="s">
        <v>39219</v>
      </c>
      <c r="M8468" s="10">
        <v>1</v>
      </c>
      <c r="N8468" s="10"/>
      <c r="O8468" s="10"/>
      <c r="P8468" s="10" t="s">
        <v>39220</v>
      </c>
      <c r="Q8468" s="10" t="s">
        <v>8734</v>
      </c>
      <c r="R8468" s="10" t="s">
        <v>20401</v>
      </c>
      <c r="S8468" s="10" t="s">
        <v>53</v>
      </c>
      <c r="T8468" s="10" t="s">
        <v>54</v>
      </c>
    </row>
    <row r="8469" spans="1:20" ht="14.5" x14ac:dyDescent="0.35">
      <c r="A8469" s="10" t="s">
        <v>39221</v>
      </c>
      <c r="B8469" s="10" t="str">
        <f>"9780295994086"</f>
        <v>9780295994086</v>
      </c>
      <c r="C8469" s="10" t="str">
        <f>"9780295805436"</f>
        <v>9780295805436</v>
      </c>
      <c r="D8469" s="10" t="s">
        <v>9533</v>
      </c>
      <c r="E8469" s="10" t="s">
        <v>39200</v>
      </c>
      <c r="F8469" s="10" t="s">
        <v>39201</v>
      </c>
      <c r="G8469" s="10" t="s">
        <v>6317</v>
      </c>
      <c r="H8469" s="11">
        <v>42005</v>
      </c>
      <c r="I8469" s="10">
        <v>2014</v>
      </c>
      <c r="J8469" s="10" t="s">
        <v>39200</v>
      </c>
      <c r="K8469" s="10">
        <v>233</v>
      </c>
      <c r="L8469" s="10" t="s">
        <v>39222</v>
      </c>
      <c r="M8469" s="10">
        <v>1</v>
      </c>
      <c r="N8469" s="10"/>
      <c r="O8469" s="10"/>
      <c r="P8469" s="10" t="s">
        <v>39223</v>
      </c>
      <c r="Q8469" s="10" t="s">
        <v>39224</v>
      </c>
      <c r="R8469" s="10" t="s">
        <v>39225</v>
      </c>
      <c r="S8469" s="10" t="s">
        <v>53</v>
      </c>
      <c r="T8469" s="10" t="s">
        <v>54</v>
      </c>
    </row>
    <row r="8470" spans="1:20" ht="14.5" x14ac:dyDescent="0.35">
      <c r="A8470" s="10" t="s">
        <v>39226</v>
      </c>
      <c r="B8470" s="10" t="str">
        <f>"9780299224806"</f>
        <v>9780299224806</v>
      </c>
      <c r="C8470" s="10" t="str">
        <f>"9780299224837"</f>
        <v>9780299224837</v>
      </c>
      <c r="D8470" s="10" t="s">
        <v>3757</v>
      </c>
      <c r="E8470" s="10" t="s">
        <v>3757</v>
      </c>
      <c r="F8470" s="10" t="s">
        <v>3095</v>
      </c>
      <c r="G8470" s="10" t="s">
        <v>6317</v>
      </c>
      <c r="H8470" s="11">
        <v>39338</v>
      </c>
      <c r="I8470" s="10">
        <v>2007</v>
      </c>
      <c r="J8470" s="10" t="s">
        <v>3757</v>
      </c>
      <c r="K8470" s="10">
        <v>317</v>
      </c>
      <c r="L8470" s="10" t="s">
        <v>39227</v>
      </c>
      <c r="M8470" s="10">
        <v>1</v>
      </c>
      <c r="N8470" s="10" t="s">
        <v>39228</v>
      </c>
      <c r="O8470" s="10"/>
      <c r="P8470" s="10" t="s">
        <v>13305</v>
      </c>
      <c r="Q8470" s="10" t="s">
        <v>39229</v>
      </c>
      <c r="R8470" s="10" t="s">
        <v>39230</v>
      </c>
      <c r="S8470" s="10" t="s">
        <v>53</v>
      </c>
      <c r="T8470" s="10" t="s">
        <v>7193</v>
      </c>
    </row>
    <row r="8471" spans="1:20" ht="14.5" x14ac:dyDescent="0.35">
      <c r="A8471" s="10" t="s">
        <v>39231</v>
      </c>
      <c r="B8471" s="10" t="str">
        <f>"9780299192341"</f>
        <v>9780299192341</v>
      </c>
      <c r="C8471" s="10" t="str">
        <f>"9780299192334"</f>
        <v>9780299192334</v>
      </c>
      <c r="D8471" s="10" t="s">
        <v>3757</v>
      </c>
      <c r="E8471" s="10" t="s">
        <v>3757</v>
      </c>
      <c r="F8471" s="10" t="s">
        <v>3095</v>
      </c>
      <c r="G8471" s="10" t="s">
        <v>6317</v>
      </c>
      <c r="H8471" s="11">
        <v>37881</v>
      </c>
      <c r="I8471" s="10">
        <v>2003</v>
      </c>
      <c r="J8471" s="10" t="s">
        <v>3757</v>
      </c>
      <c r="K8471" s="10">
        <v>223</v>
      </c>
      <c r="L8471" s="10" t="s">
        <v>39232</v>
      </c>
      <c r="M8471" s="10">
        <v>1</v>
      </c>
      <c r="N8471" s="10" t="s">
        <v>39228</v>
      </c>
      <c r="O8471" s="10"/>
      <c r="P8471" s="10" t="s">
        <v>39233</v>
      </c>
      <c r="Q8471" s="10" t="s">
        <v>39234</v>
      </c>
      <c r="R8471" s="10" t="s">
        <v>39235</v>
      </c>
      <c r="S8471" s="10" t="s">
        <v>53</v>
      </c>
      <c r="T8471" s="10" t="s">
        <v>13819</v>
      </c>
    </row>
    <row r="8472" spans="1:20" ht="14.5" x14ac:dyDescent="0.35">
      <c r="A8472" s="10" t="s">
        <v>39236</v>
      </c>
      <c r="B8472" s="10" t="str">
        <f>"9780299216603"</f>
        <v>9780299216603</v>
      </c>
      <c r="C8472" s="10" t="str">
        <f>"9780299216634"</f>
        <v>9780299216634</v>
      </c>
      <c r="D8472" s="10" t="s">
        <v>3757</v>
      </c>
      <c r="E8472" s="10" t="s">
        <v>3757</v>
      </c>
      <c r="F8472" s="10" t="s">
        <v>3095</v>
      </c>
      <c r="G8472" s="10" t="s">
        <v>6317</v>
      </c>
      <c r="H8472" s="11">
        <v>38751</v>
      </c>
      <c r="I8472" s="10">
        <v>2006</v>
      </c>
      <c r="J8472" s="10" t="s">
        <v>3757</v>
      </c>
      <c r="K8472" s="10">
        <v>240</v>
      </c>
      <c r="L8472" s="10" t="s">
        <v>35875</v>
      </c>
      <c r="M8472" s="10">
        <v>1</v>
      </c>
      <c r="N8472" s="10" t="s">
        <v>39237</v>
      </c>
      <c r="O8472" s="10"/>
      <c r="P8472" s="10" t="s">
        <v>21783</v>
      </c>
      <c r="Q8472" s="10">
        <v>305.800973</v>
      </c>
      <c r="R8472" s="10" t="s">
        <v>39238</v>
      </c>
      <c r="S8472" s="10" t="s">
        <v>53</v>
      </c>
      <c r="T8472" s="10" t="s">
        <v>9993</v>
      </c>
    </row>
    <row r="8473" spans="1:20" ht="14.5" x14ac:dyDescent="0.35">
      <c r="A8473" s="10" t="s">
        <v>39239</v>
      </c>
      <c r="B8473" s="10" t="str">
        <f>"9780299171407"</f>
        <v>9780299171407</v>
      </c>
      <c r="C8473" s="10" t="str">
        <f>"9780299171438"</f>
        <v>9780299171438</v>
      </c>
      <c r="D8473" s="10" t="s">
        <v>3757</v>
      </c>
      <c r="E8473" s="10" t="s">
        <v>3757</v>
      </c>
      <c r="F8473" s="10" t="s">
        <v>3095</v>
      </c>
      <c r="G8473" s="10" t="s">
        <v>6317</v>
      </c>
      <c r="H8473" s="11">
        <v>36998</v>
      </c>
      <c r="I8473" s="10">
        <v>2001</v>
      </c>
      <c r="J8473" s="10" t="s">
        <v>3757</v>
      </c>
      <c r="K8473" s="10">
        <v>438</v>
      </c>
      <c r="L8473" s="10" t="s">
        <v>39240</v>
      </c>
      <c r="M8473" s="10">
        <v>1</v>
      </c>
      <c r="N8473" s="10"/>
      <c r="O8473" s="10"/>
      <c r="P8473" s="10" t="s">
        <v>11133</v>
      </c>
      <c r="Q8473" s="10" t="s">
        <v>39241</v>
      </c>
      <c r="R8473" s="10" t="s">
        <v>39242</v>
      </c>
      <c r="S8473" s="10" t="s">
        <v>53</v>
      </c>
      <c r="T8473" s="10" t="s">
        <v>54</v>
      </c>
    </row>
    <row r="8474" spans="1:20" ht="14.5" x14ac:dyDescent="0.35">
      <c r="A8474" s="10" t="s">
        <v>39243</v>
      </c>
      <c r="B8474" s="10" t="str">
        <f>"9780299191443"</f>
        <v>9780299191443</v>
      </c>
      <c r="C8474" s="10" t="str">
        <f>"9780299191436"</f>
        <v>9780299191436</v>
      </c>
      <c r="D8474" s="10" t="s">
        <v>3757</v>
      </c>
      <c r="E8474" s="10" t="s">
        <v>3757</v>
      </c>
      <c r="F8474" s="10" t="s">
        <v>3095</v>
      </c>
      <c r="G8474" s="10" t="s">
        <v>6317</v>
      </c>
      <c r="H8474" s="11">
        <v>37889</v>
      </c>
      <c r="I8474" s="10">
        <v>2003</v>
      </c>
      <c r="J8474" s="10" t="s">
        <v>3757</v>
      </c>
      <c r="K8474" s="10">
        <v>92</v>
      </c>
      <c r="L8474" s="10" t="s">
        <v>39244</v>
      </c>
      <c r="M8474" s="10">
        <v>1</v>
      </c>
      <c r="N8474" s="10"/>
      <c r="O8474" s="10"/>
      <c r="P8474" s="10" t="s">
        <v>39245</v>
      </c>
      <c r="Q8474" s="10" t="s">
        <v>12315</v>
      </c>
      <c r="R8474" s="10" t="s">
        <v>39246</v>
      </c>
      <c r="S8474" s="10" t="s">
        <v>53</v>
      </c>
      <c r="T8474" s="10" t="s">
        <v>8424</v>
      </c>
    </row>
    <row r="8475" spans="1:20" ht="14.5" x14ac:dyDescent="0.35">
      <c r="A8475" s="10" t="s">
        <v>39247</v>
      </c>
      <c r="B8475" s="10" t="str">
        <f>"9780299085605"</f>
        <v>9780299085605</v>
      </c>
      <c r="C8475" s="10" t="str">
        <f>"9780299085636"</f>
        <v>9780299085636</v>
      </c>
      <c r="D8475" s="10" t="s">
        <v>3757</v>
      </c>
      <c r="E8475" s="10" t="s">
        <v>3757</v>
      </c>
      <c r="F8475" s="10" t="s">
        <v>3095</v>
      </c>
      <c r="G8475" s="10" t="s">
        <v>6317</v>
      </c>
      <c r="H8475" s="11">
        <v>29874</v>
      </c>
      <c r="I8475" s="10">
        <v>1981</v>
      </c>
      <c r="J8475" s="10" t="s">
        <v>3757</v>
      </c>
      <c r="K8475" s="10">
        <v>290</v>
      </c>
      <c r="L8475" s="10" t="s">
        <v>39248</v>
      </c>
      <c r="M8475" s="10">
        <v>1</v>
      </c>
      <c r="N8475" s="10"/>
      <c r="O8475" s="10"/>
      <c r="P8475" s="10" t="s">
        <v>39249</v>
      </c>
      <c r="Q8475" s="10">
        <v>374</v>
      </c>
      <c r="R8475" s="10"/>
      <c r="S8475" s="10" t="s">
        <v>53</v>
      </c>
      <c r="T8475" s="10" t="s">
        <v>54</v>
      </c>
    </row>
    <row r="8476" spans="1:20" ht="14.5" x14ac:dyDescent="0.35">
      <c r="A8476" s="10" t="s">
        <v>39250</v>
      </c>
      <c r="B8476" s="10" t="str">
        <f>"9780299191641"</f>
        <v>9780299191641</v>
      </c>
      <c r="C8476" s="10" t="str">
        <f>"9780299191634"</f>
        <v>9780299191634</v>
      </c>
      <c r="D8476" s="10" t="s">
        <v>3757</v>
      </c>
      <c r="E8476" s="10" t="s">
        <v>3757</v>
      </c>
      <c r="F8476" s="10" t="s">
        <v>3095</v>
      </c>
      <c r="G8476" s="10" t="s">
        <v>6317</v>
      </c>
      <c r="H8476" s="11">
        <v>37914</v>
      </c>
      <c r="I8476" s="10">
        <v>2003</v>
      </c>
      <c r="J8476" s="10" t="s">
        <v>3757</v>
      </c>
      <c r="K8476" s="10">
        <v>118</v>
      </c>
      <c r="L8476" s="10" t="s">
        <v>39244</v>
      </c>
      <c r="M8476" s="10">
        <v>1</v>
      </c>
      <c r="N8476" s="10"/>
      <c r="O8476" s="10"/>
      <c r="P8476" s="10" t="s">
        <v>8212</v>
      </c>
      <c r="Q8476" s="10" t="s">
        <v>8213</v>
      </c>
      <c r="R8476" s="10" t="s">
        <v>39251</v>
      </c>
      <c r="S8476" s="10" t="s">
        <v>53</v>
      </c>
      <c r="T8476" s="10" t="s">
        <v>6568</v>
      </c>
    </row>
    <row r="8477" spans="1:20" ht="14.5" x14ac:dyDescent="0.35">
      <c r="A8477" s="10" t="s">
        <v>39252</v>
      </c>
      <c r="B8477" s="10" t="str">
        <f>"9780299191948"</f>
        <v>9780299191948</v>
      </c>
      <c r="C8477" s="10" t="str">
        <f>"9780299191931"</f>
        <v>9780299191931</v>
      </c>
      <c r="D8477" s="10" t="s">
        <v>3757</v>
      </c>
      <c r="E8477" s="10" t="s">
        <v>3757</v>
      </c>
      <c r="F8477" s="10" t="s">
        <v>3095</v>
      </c>
      <c r="G8477" s="10" t="s">
        <v>6317</v>
      </c>
      <c r="H8477" s="11">
        <v>38071</v>
      </c>
      <c r="I8477" s="10">
        <v>2004</v>
      </c>
      <c r="J8477" s="10" t="s">
        <v>3757</v>
      </c>
      <c r="K8477" s="10">
        <v>131</v>
      </c>
      <c r="L8477" s="10" t="s">
        <v>39244</v>
      </c>
      <c r="M8477" s="10">
        <v>1</v>
      </c>
      <c r="N8477" s="10"/>
      <c r="O8477" s="10"/>
      <c r="P8477" s="10" t="s">
        <v>39253</v>
      </c>
      <c r="Q8477" s="10">
        <v>371.26</v>
      </c>
      <c r="R8477" s="10" t="s">
        <v>39254</v>
      </c>
      <c r="S8477" s="10" t="s">
        <v>53</v>
      </c>
      <c r="T8477" s="10" t="s">
        <v>54</v>
      </c>
    </row>
    <row r="8478" spans="1:20" ht="14.5" x14ac:dyDescent="0.35">
      <c r="A8478" s="10" t="s">
        <v>39255</v>
      </c>
      <c r="B8478" s="10" t="str">
        <f>"9780299191849"</f>
        <v>9780299191849</v>
      </c>
      <c r="C8478" s="10" t="str">
        <f>"9780299191832"</f>
        <v>9780299191832</v>
      </c>
      <c r="D8478" s="10" t="s">
        <v>3757</v>
      </c>
      <c r="E8478" s="10" t="s">
        <v>3757</v>
      </c>
      <c r="F8478" s="10" t="s">
        <v>3095</v>
      </c>
      <c r="G8478" s="10" t="s">
        <v>6317</v>
      </c>
      <c r="H8478" s="11">
        <v>38071</v>
      </c>
      <c r="I8478" s="10">
        <v>2004</v>
      </c>
      <c r="J8478" s="10" t="s">
        <v>3757</v>
      </c>
      <c r="K8478" s="10">
        <v>97</v>
      </c>
      <c r="L8478" s="10" t="s">
        <v>39244</v>
      </c>
      <c r="M8478" s="10">
        <v>1</v>
      </c>
      <c r="N8478" s="10" t="s">
        <v>39256</v>
      </c>
      <c r="O8478" s="10"/>
      <c r="P8478" s="10" t="s">
        <v>12271</v>
      </c>
      <c r="Q8478" s="10" t="s">
        <v>11124</v>
      </c>
      <c r="R8478" s="10" t="s">
        <v>39257</v>
      </c>
      <c r="S8478" s="10" t="s">
        <v>53</v>
      </c>
      <c r="T8478" s="10" t="s">
        <v>54</v>
      </c>
    </row>
    <row r="8479" spans="1:20" ht="14.5" x14ac:dyDescent="0.35">
      <c r="A8479" s="10" t="s">
        <v>39258</v>
      </c>
      <c r="B8479" s="10" t="str">
        <f>"9780299235345"</f>
        <v>9780299235345</v>
      </c>
      <c r="C8479" s="10" t="str">
        <f>"9780299235338"</f>
        <v>9780299235338</v>
      </c>
      <c r="D8479" s="10" t="s">
        <v>3757</v>
      </c>
      <c r="E8479" s="10" t="s">
        <v>3757</v>
      </c>
      <c r="F8479" s="10" t="s">
        <v>3095</v>
      </c>
      <c r="G8479" s="10" t="s">
        <v>6317</v>
      </c>
      <c r="H8479" s="11">
        <v>40323</v>
      </c>
      <c r="I8479" s="10">
        <v>2010</v>
      </c>
      <c r="J8479" s="10" t="s">
        <v>3757</v>
      </c>
      <c r="K8479" s="10">
        <v>267</v>
      </c>
      <c r="L8479" s="10" t="s">
        <v>39259</v>
      </c>
      <c r="M8479" s="10">
        <v>1</v>
      </c>
      <c r="N8479" s="10" t="s">
        <v>39237</v>
      </c>
      <c r="O8479" s="10"/>
      <c r="P8479" s="10" t="s">
        <v>16695</v>
      </c>
      <c r="Q8479" s="10" t="s">
        <v>39260</v>
      </c>
      <c r="R8479" s="10" t="s">
        <v>39261</v>
      </c>
      <c r="S8479" s="10" t="s">
        <v>53</v>
      </c>
      <c r="T8479" s="10" t="s">
        <v>54</v>
      </c>
    </row>
    <row r="8480" spans="1:20" ht="14.5" x14ac:dyDescent="0.35">
      <c r="A8480" s="10" t="s">
        <v>39262</v>
      </c>
      <c r="B8480" s="10" t="str">
        <f>"9780299236144"</f>
        <v>9780299236144</v>
      </c>
      <c r="C8480" s="10" t="str">
        <f>"9780299236137"</f>
        <v>9780299236137</v>
      </c>
      <c r="D8480" s="10" t="s">
        <v>3757</v>
      </c>
      <c r="E8480" s="10" t="s">
        <v>3757</v>
      </c>
      <c r="F8480" s="10" t="s">
        <v>3095</v>
      </c>
      <c r="G8480" s="10" t="s">
        <v>6317</v>
      </c>
      <c r="H8480" s="11">
        <v>40324</v>
      </c>
      <c r="I8480" s="10">
        <v>2010</v>
      </c>
      <c r="J8480" s="10" t="s">
        <v>3757</v>
      </c>
      <c r="K8480" s="10">
        <v>235</v>
      </c>
      <c r="L8480" s="10" t="s">
        <v>39263</v>
      </c>
      <c r="M8480" s="10">
        <v>1</v>
      </c>
      <c r="N8480" s="10" t="s">
        <v>39264</v>
      </c>
      <c r="O8480" s="10"/>
      <c r="P8480" s="10" t="s">
        <v>39265</v>
      </c>
      <c r="Q8480" s="10">
        <v>302.23</v>
      </c>
      <c r="R8480" s="10" t="s">
        <v>39266</v>
      </c>
      <c r="S8480" s="10" t="s">
        <v>53</v>
      </c>
      <c r="T8480" s="10" t="s">
        <v>6363</v>
      </c>
    </row>
    <row r="8481" spans="1:20" ht="14.5" x14ac:dyDescent="0.35">
      <c r="A8481" s="10" t="s">
        <v>39267</v>
      </c>
      <c r="B8481" s="10" t="str">
        <f>"9780299229702"</f>
        <v>9780299229702</v>
      </c>
      <c r="C8481" s="10" t="str">
        <f>"9780299229733"</f>
        <v>9780299229733</v>
      </c>
      <c r="D8481" s="10" t="s">
        <v>3757</v>
      </c>
      <c r="E8481" s="10" t="s">
        <v>3757</v>
      </c>
      <c r="F8481" s="10" t="s">
        <v>3095</v>
      </c>
      <c r="G8481" s="10" t="s">
        <v>6317</v>
      </c>
      <c r="H8481" s="11">
        <v>39790</v>
      </c>
      <c r="I8481" s="10">
        <v>2008</v>
      </c>
      <c r="J8481" s="10" t="s">
        <v>3757</v>
      </c>
      <c r="K8481" s="10">
        <v>329</v>
      </c>
      <c r="L8481" s="10" t="s">
        <v>39268</v>
      </c>
      <c r="M8481" s="10">
        <v>1</v>
      </c>
      <c r="N8481" s="10" t="s">
        <v>39269</v>
      </c>
      <c r="O8481" s="10"/>
      <c r="P8481" s="10" t="s">
        <v>39270</v>
      </c>
      <c r="Q8481" s="10">
        <v>878.01</v>
      </c>
      <c r="R8481" s="10" t="s">
        <v>39271</v>
      </c>
      <c r="S8481" s="10" t="s">
        <v>53</v>
      </c>
      <c r="T8481" s="10" t="s">
        <v>1166</v>
      </c>
    </row>
    <row r="8482" spans="1:20" ht="14.5" x14ac:dyDescent="0.35">
      <c r="A8482" s="10" t="s">
        <v>39272</v>
      </c>
      <c r="B8482" s="10" t="str">
        <f>"9780299194703"</f>
        <v>9780299194703</v>
      </c>
      <c r="C8482" s="10" t="str">
        <f>"9780299194734"</f>
        <v>9780299194734</v>
      </c>
      <c r="D8482" s="10" t="s">
        <v>3757</v>
      </c>
      <c r="E8482" s="10" t="s">
        <v>3757</v>
      </c>
      <c r="F8482" s="10" t="s">
        <v>3095</v>
      </c>
      <c r="G8482" s="10" t="s">
        <v>6317</v>
      </c>
      <c r="H8482" s="11">
        <v>38071</v>
      </c>
      <c r="I8482" s="10">
        <v>2004</v>
      </c>
      <c r="J8482" s="10" t="s">
        <v>3757</v>
      </c>
      <c r="K8482" s="10">
        <v>306</v>
      </c>
      <c r="L8482" s="10" t="s">
        <v>39273</v>
      </c>
      <c r="M8482" s="10">
        <v>1</v>
      </c>
      <c r="N8482" s="10" t="s">
        <v>39274</v>
      </c>
      <c r="O8482" s="10">
        <v>10</v>
      </c>
      <c r="P8482" s="10" t="s">
        <v>39275</v>
      </c>
      <c r="Q8482" s="10">
        <v>306</v>
      </c>
      <c r="R8482" s="10" t="s">
        <v>39276</v>
      </c>
      <c r="S8482" s="10" t="s">
        <v>53</v>
      </c>
      <c r="T8482" s="10" t="s">
        <v>6363</v>
      </c>
    </row>
    <row r="8483" spans="1:20" ht="14.5" x14ac:dyDescent="0.35">
      <c r="A8483" s="10" t="s">
        <v>39277</v>
      </c>
      <c r="B8483" s="10" t="str">
        <f>"9780299153946"</f>
        <v>9780299153946</v>
      </c>
      <c r="C8483" s="10" t="str">
        <f>"9780299153939"</f>
        <v>9780299153939</v>
      </c>
      <c r="D8483" s="10" t="s">
        <v>3757</v>
      </c>
      <c r="E8483" s="10" t="s">
        <v>3757</v>
      </c>
      <c r="F8483" s="10" t="s">
        <v>3095</v>
      </c>
      <c r="G8483" s="10" t="s">
        <v>6317</v>
      </c>
      <c r="H8483" s="11">
        <v>35414</v>
      </c>
      <c r="I8483" s="10">
        <v>1996</v>
      </c>
      <c r="J8483" s="10" t="s">
        <v>3757</v>
      </c>
      <c r="K8483" s="10">
        <v>330</v>
      </c>
      <c r="L8483" s="10" t="s">
        <v>39278</v>
      </c>
      <c r="M8483" s="10">
        <v>1</v>
      </c>
      <c r="N8483" s="10"/>
      <c r="O8483" s="10"/>
      <c r="P8483" s="10" t="s">
        <v>8026</v>
      </c>
      <c r="Q8483" s="10" t="s">
        <v>39279</v>
      </c>
      <c r="R8483" s="10" t="s">
        <v>39280</v>
      </c>
      <c r="S8483" s="10" t="s">
        <v>53</v>
      </c>
      <c r="T8483" s="10" t="s">
        <v>54</v>
      </c>
    </row>
    <row r="8484" spans="1:20" ht="14.5" x14ac:dyDescent="0.35">
      <c r="A8484" s="10" t="s">
        <v>39281</v>
      </c>
      <c r="B8484" s="10" t="str">
        <f>"9780299284640"</f>
        <v>9780299284640</v>
      </c>
      <c r="C8484" s="10" t="str">
        <f>"9780299284633"</f>
        <v>9780299284633</v>
      </c>
      <c r="D8484" s="10" t="s">
        <v>3757</v>
      </c>
      <c r="E8484" s="10" t="s">
        <v>3757</v>
      </c>
      <c r="F8484" s="10" t="s">
        <v>3095</v>
      </c>
      <c r="G8484" s="10" t="s">
        <v>6317</v>
      </c>
      <c r="H8484" s="11">
        <v>40814</v>
      </c>
      <c r="I8484" s="10">
        <v>2011</v>
      </c>
      <c r="J8484" s="10" t="s">
        <v>3757</v>
      </c>
      <c r="K8484" s="10">
        <v>282</v>
      </c>
      <c r="L8484" s="10" t="s">
        <v>39282</v>
      </c>
      <c r="M8484" s="10">
        <v>1</v>
      </c>
      <c r="N8484" s="10" t="s">
        <v>39237</v>
      </c>
      <c r="O8484" s="10"/>
      <c r="P8484" s="10" t="s">
        <v>14611</v>
      </c>
      <c r="Q8484" s="10" t="s">
        <v>14612</v>
      </c>
      <c r="R8484" s="10" t="s">
        <v>39283</v>
      </c>
      <c r="S8484" s="10" t="s">
        <v>53</v>
      </c>
      <c r="T8484" s="10" t="s">
        <v>54</v>
      </c>
    </row>
    <row r="8485" spans="1:20" ht="14.5" x14ac:dyDescent="0.35">
      <c r="A8485" s="10" t="s">
        <v>39284</v>
      </c>
      <c r="B8485" s="10" t="str">
        <f>"9780299293147"</f>
        <v>9780299293147</v>
      </c>
      <c r="C8485" s="10" t="str">
        <f>"9780299293130"</f>
        <v>9780299293130</v>
      </c>
      <c r="D8485" s="10" t="s">
        <v>3757</v>
      </c>
      <c r="E8485" s="10" t="s">
        <v>3757</v>
      </c>
      <c r="F8485" s="10" t="s">
        <v>3095</v>
      </c>
      <c r="G8485" s="10" t="s">
        <v>6317</v>
      </c>
      <c r="H8485" s="11">
        <v>41425</v>
      </c>
      <c r="I8485" s="10">
        <v>2013</v>
      </c>
      <c r="J8485" s="10" t="s">
        <v>3757</v>
      </c>
      <c r="K8485" s="10">
        <v>147</v>
      </c>
      <c r="L8485" s="10" t="s">
        <v>39285</v>
      </c>
      <c r="M8485" s="10">
        <v>1</v>
      </c>
      <c r="N8485" s="10"/>
      <c r="O8485" s="10"/>
      <c r="P8485" s="10" t="s">
        <v>39286</v>
      </c>
      <c r="Q8485" s="10" t="s">
        <v>39287</v>
      </c>
      <c r="R8485" s="10" t="s">
        <v>39288</v>
      </c>
      <c r="S8485" s="10" t="s">
        <v>53</v>
      </c>
      <c r="T8485" s="10" t="s">
        <v>13322</v>
      </c>
    </row>
    <row r="8486" spans="1:20" ht="14.5" x14ac:dyDescent="0.35">
      <c r="A8486" s="10" t="s">
        <v>39289</v>
      </c>
      <c r="B8486" s="10" t="str">
        <f>"9780299191542"</f>
        <v>9780299191542</v>
      </c>
      <c r="C8486" s="10" t="str">
        <f>"9780299191535"</f>
        <v>9780299191535</v>
      </c>
      <c r="D8486" s="10" t="s">
        <v>3757</v>
      </c>
      <c r="E8486" s="10" t="s">
        <v>3757</v>
      </c>
      <c r="F8486" s="10" t="s">
        <v>3095</v>
      </c>
      <c r="G8486" s="10" t="s">
        <v>6317</v>
      </c>
      <c r="H8486" s="11">
        <v>37889</v>
      </c>
      <c r="I8486" s="10">
        <v>2003</v>
      </c>
      <c r="J8486" s="10" t="s">
        <v>3757</v>
      </c>
      <c r="K8486" s="10">
        <v>109</v>
      </c>
      <c r="L8486" s="10" t="s">
        <v>39244</v>
      </c>
      <c r="M8486" s="10">
        <v>1</v>
      </c>
      <c r="N8486" s="10"/>
      <c r="O8486" s="10"/>
      <c r="P8486" s="10" t="s">
        <v>12271</v>
      </c>
      <c r="Q8486" s="10" t="s">
        <v>39290</v>
      </c>
      <c r="R8486" s="10" t="s">
        <v>39291</v>
      </c>
      <c r="S8486" s="10" t="s">
        <v>53</v>
      </c>
      <c r="T8486" s="10" t="s">
        <v>54</v>
      </c>
    </row>
    <row r="8487" spans="1:20" ht="14.5" x14ac:dyDescent="0.35">
      <c r="A8487" s="10" t="s">
        <v>39292</v>
      </c>
      <c r="B8487" s="10" t="str">
        <f>"9780299294144"</f>
        <v>9780299294144</v>
      </c>
      <c r="C8487" s="10" t="str">
        <f>"9780299294137"</f>
        <v>9780299294137</v>
      </c>
      <c r="D8487" s="10" t="s">
        <v>3757</v>
      </c>
      <c r="E8487" s="10" t="s">
        <v>3757</v>
      </c>
      <c r="F8487" s="10" t="s">
        <v>3095</v>
      </c>
      <c r="G8487" s="10" t="s">
        <v>6317</v>
      </c>
      <c r="H8487" s="11">
        <v>41554</v>
      </c>
      <c r="I8487" s="10">
        <v>2013</v>
      </c>
      <c r="J8487" s="10" t="s">
        <v>3757</v>
      </c>
      <c r="K8487" s="10">
        <v>367</v>
      </c>
      <c r="L8487" s="10" t="s">
        <v>39293</v>
      </c>
      <c r="M8487" s="10">
        <v>1</v>
      </c>
      <c r="N8487" s="10" t="s">
        <v>39294</v>
      </c>
      <c r="O8487" s="10"/>
      <c r="P8487" s="10" t="s">
        <v>39295</v>
      </c>
      <c r="Q8487" s="10" t="s">
        <v>39296</v>
      </c>
      <c r="R8487" s="10" t="s">
        <v>39297</v>
      </c>
      <c r="S8487" s="10" t="s">
        <v>53</v>
      </c>
      <c r="T8487" s="10" t="s">
        <v>4490</v>
      </c>
    </row>
    <row r="8488" spans="1:20" ht="14.5" x14ac:dyDescent="0.35">
      <c r="A8488" s="10" t="s">
        <v>39298</v>
      </c>
      <c r="B8488" s="10" t="str">
        <f>"9781940425580"</f>
        <v>9781940425580</v>
      </c>
      <c r="C8488" s="10" t="str">
        <f>"9781940425603"</f>
        <v>9781940425603</v>
      </c>
      <c r="D8488" s="10" t="s">
        <v>38760</v>
      </c>
      <c r="E8488" s="10" t="s">
        <v>38760</v>
      </c>
      <c r="F8488" s="10" t="s">
        <v>5426</v>
      </c>
      <c r="G8488" s="10" t="s">
        <v>6317</v>
      </c>
      <c r="H8488" s="11">
        <v>42036</v>
      </c>
      <c r="I8488" s="10">
        <v>2015</v>
      </c>
      <c r="J8488" s="10" t="s">
        <v>38760</v>
      </c>
      <c r="K8488" s="10">
        <v>254</v>
      </c>
      <c r="L8488" s="10" t="s">
        <v>39299</v>
      </c>
      <c r="M8488" s="10">
        <v>1</v>
      </c>
      <c r="N8488" s="10" t="s">
        <v>39300</v>
      </c>
      <c r="O8488" s="10"/>
      <c r="P8488" s="10" t="s">
        <v>39301</v>
      </c>
      <c r="Q8488" s="10">
        <v>307.7</v>
      </c>
      <c r="R8488" s="10"/>
      <c r="S8488" s="10" t="s">
        <v>53</v>
      </c>
      <c r="T8488" s="10" t="s">
        <v>9546</v>
      </c>
    </row>
    <row r="8489" spans="1:20" ht="14.5" x14ac:dyDescent="0.35">
      <c r="A8489" s="10" t="s">
        <v>39302</v>
      </c>
      <c r="B8489" s="10" t="str">
        <f>"9781925022131"</f>
        <v>9781925022131</v>
      </c>
      <c r="C8489" s="10" t="str">
        <f>"9781925022148"</f>
        <v>9781925022148</v>
      </c>
      <c r="D8489" s="10" t="s">
        <v>39303</v>
      </c>
      <c r="E8489" s="10" t="s">
        <v>39304</v>
      </c>
      <c r="F8489" s="10" t="s">
        <v>643</v>
      </c>
      <c r="G8489" s="10" t="s">
        <v>12975</v>
      </c>
      <c r="H8489" s="11">
        <v>42278</v>
      </c>
      <c r="I8489" s="10">
        <v>2014</v>
      </c>
      <c r="J8489" s="10" t="s">
        <v>39304</v>
      </c>
      <c r="K8489" s="10">
        <v>356</v>
      </c>
      <c r="L8489" s="10" t="s">
        <v>39305</v>
      </c>
      <c r="M8489" s="10">
        <v>1</v>
      </c>
      <c r="N8489" s="10"/>
      <c r="O8489" s="10"/>
      <c r="P8489" s="10" t="s">
        <v>39306</v>
      </c>
      <c r="Q8489" s="10">
        <v>378.94</v>
      </c>
      <c r="R8489" s="10" t="s">
        <v>39307</v>
      </c>
      <c r="S8489" s="10" t="s">
        <v>53</v>
      </c>
      <c r="T8489" s="10" t="s">
        <v>54</v>
      </c>
    </row>
    <row r="8490" spans="1:20" ht="14.5" x14ac:dyDescent="0.35">
      <c r="A8490" s="10" t="s">
        <v>39308</v>
      </c>
      <c r="B8490" s="10" t="str">
        <f>"9781925022117"</f>
        <v>9781925022117</v>
      </c>
      <c r="C8490" s="10" t="str">
        <f>"9781925022124"</f>
        <v>9781925022124</v>
      </c>
      <c r="D8490" s="10" t="s">
        <v>39303</v>
      </c>
      <c r="E8490" s="10" t="s">
        <v>39304</v>
      </c>
      <c r="F8490" s="10" t="s">
        <v>643</v>
      </c>
      <c r="G8490" s="10" t="s">
        <v>12975</v>
      </c>
      <c r="H8490" s="11">
        <v>41944</v>
      </c>
      <c r="I8490" s="10">
        <v>2014</v>
      </c>
      <c r="J8490" s="10" t="s">
        <v>39304</v>
      </c>
      <c r="K8490" s="10">
        <v>156</v>
      </c>
      <c r="L8490" s="10" t="s">
        <v>39309</v>
      </c>
      <c r="M8490" s="10">
        <v>1</v>
      </c>
      <c r="N8490" s="10"/>
      <c r="O8490" s="10"/>
      <c r="P8490" s="10" t="s">
        <v>39310</v>
      </c>
      <c r="Q8490" s="10">
        <v>378.12</v>
      </c>
      <c r="R8490" s="10" t="s">
        <v>39311</v>
      </c>
      <c r="S8490" s="10" t="s">
        <v>53</v>
      </c>
      <c r="T8490" s="10" t="s">
        <v>54</v>
      </c>
    </row>
    <row r="8491" spans="1:20" ht="14.5" x14ac:dyDescent="0.35">
      <c r="A8491" s="10" t="s">
        <v>39312</v>
      </c>
      <c r="B8491" s="10" t="str">
        <f>"9781869225216"</f>
        <v>9781869225216</v>
      </c>
      <c r="C8491" s="10" t="str">
        <f>"9781869225223"</f>
        <v>9781869225223</v>
      </c>
      <c r="D8491" s="10" t="s">
        <v>39313</v>
      </c>
      <c r="E8491" s="10" t="s">
        <v>39314</v>
      </c>
      <c r="F8491" s="10" t="s">
        <v>39315</v>
      </c>
      <c r="G8491" s="10" t="s">
        <v>24826</v>
      </c>
      <c r="H8491" s="11">
        <v>42005</v>
      </c>
      <c r="I8491" s="10">
        <v>2015</v>
      </c>
      <c r="J8491" s="10" t="s">
        <v>39314</v>
      </c>
      <c r="K8491" s="10">
        <v>296</v>
      </c>
      <c r="L8491" s="10" t="s">
        <v>39316</v>
      </c>
      <c r="M8491" s="10">
        <v>1</v>
      </c>
      <c r="N8491" s="10"/>
      <c r="O8491" s="10"/>
      <c r="P8491" s="10" t="s">
        <v>39317</v>
      </c>
      <c r="Q8491" s="10">
        <v>371.20096799999999</v>
      </c>
      <c r="R8491" s="10" t="s">
        <v>39318</v>
      </c>
      <c r="S8491" s="10" t="s">
        <v>53</v>
      </c>
      <c r="T8491" s="10" t="s">
        <v>54</v>
      </c>
    </row>
    <row r="8492" spans="1:20" ht="14.5" x14ac:dyDescent="0.35">
      <c r="A8492" s="10" t="s">
        <v>39319</v>
      </c>
      <c r="B8492" s="10" t="str">
        <f>""</f>
        <v/>
      </c>
      <c r="C8492" s="10" t="str">
        <f>"9781937724207"</f>
        <v>9781937724207</v>
      </c>
      <c r="D8492" s="10" t="s">
        <v>39320</v>
      </c>
      <c r="E8492" s="10" t="s">
        <v>5008</v>
      </c>
      <c r="F8492" s="10" t="s">
        <v>1103</v>
      </c>
      <c r="G8492" s="10" t="s">
        <v>6317</v>
      </c>
      <c r="H8492" s="11">
        <v>39387</v>
      </c>
      <c r="I8492" s="10">
        <v>2007</v>
      </c>
      <c r="J8492" s="10" t="s">
        <v>5008</v>
      </c>
      <c r="K8492" s="10">
        <v>96</v>
      </c>
      <c r="L8492" s="10" t="s">
        <v>39321</v>
      </c>
      <c r="M8492" s="10">
        <v>1</v>
      </c>
      <c r="N8492" s="10"/>
      <c r="O8492" s="10"/>
      <c r="P8492" s="10" t="s">
        <v>39322</v>
      </c>
      <c r="Q8492" s="10">
        <v>378.6</v>
      </c>
      <c r="R8492" s="10" t="s">
        <v>39323</v>
      </c>
      <c r="S8492" s="10" t="s">
        <v>53</v>
      </c>
      <c r="T8492" s="10" t="s">
        <v>54</v>
      </c>
    </row>
    <row r="8493" spans="1:20" ht="14.5" x14ac:dyDescent="0.35">
      <c r="A8493" s="10" t="s">
        <v>39324</v>
      </c>
      <c r="B8493" s="10" t="str">
        <f>""</f>
        <v/>
      </c>
      <c r="C8493" s="10" t="str">
        <f>"9781937724429"</f>
        <v>9781937724429</v>
      </c>
      <c r="D8493" s="10" t="s">
        <v>39320</v>
      </c>
      <c r="E8493" s="10" t="s">
        <v>5008</v>
      </c>
      <c r="F8493" s="10" t="s">
        <v>1103</v>
      </c>
      <c r="G8493" s="10" t="s">
        <v>6317</v>
      </c>
      <c r="H8493" s="11">
        <v>38625</v>
      </c>
      <c r="I8493" s="10">
        <v>2005</v>
      </c>
      <c r="J8493" s="10" t="s">
        <v>5008</v>
      </c>
      <c r="K8493" s="10">
        <v>55</v>
      </c>
      <c r="L8493" s="10" t="s">
        <v>39325</v>
      </c>
      <c r="M8493" s="10">
        <v>1</v>
      </c>
      <c r="N8493" s="10"/>
      <c r="O8493" s="10"/>
      <c r="P8493" s="10" t="s">
        <v>39326</v>
      </c>
      <c r="Q8493" s="10">
        <v>690.7</v>
      </c>
      <c r="R8493" s="10" t="s">
        <v>39327</v>
      </c>
      <c r="S8493" s="10" t="s">
        <v>53</v>
      </c>
      <c r="T8493" s="10" t="s">
        <v>39328</v>
      </c>
    </row>
    <row r="8494" spans="1:20" ht="14.5" x14ac:dyDescent="0.35">
      <c r="A8494" s="10" t="s">
        <v>39329</v>
      </c>
      <c r="B8494" s="10" t="str">
        <f>""</f>
        <v/>
      </c>
      <c r="C8494" s="10" t="str">
        <f>"9781937724269"</f>
        <v>9781937724269</v>
      </c>
      <c r="D8494" s="10" t="s">
        <v>39320</v>
      </c>
      <c r="E8494" s="10" t="s">
        <v>5008</v>
      </c>
      <c r="F8494" s="10" t="s">
        <v>1103</v>
      </c>
      <c r="G8494" s="10" t="s">
        <v>6317</v>
      </c>
      <c r="H8494" s="11">
        <v>41456</v>
      </c>
      <c r="I8494" s="10">
        <v>2013</v>
      </c>
      <c r="J8494" s="10" t="s">
        <v>5008</v>
      </c>
      <c r="K8494" s="10">
        <v>116</v>
      </c>
      <c r="L8494" s="10" t="s">
        <v>39330</v>
      </c>
      <c r="M8494" s="10">
        <v>1</v>
      </c>
      <c r="N8494" s="10"/>
      <c r="O8494" s="10"/>
      <c r="P8494" s="10" t="s">
        <v>39331</v>
      </c>
      <c r="Q8494" s="10">
        <v>378.101</v>
      </c>
      <c r="R8494" s="10" t="s">
        <v>39332</v>
      </c>
      <c r="S8494" s="10" t="s">
        <v>53</v>
      </c>
      <c r="T8494" s="10" t="s">
        <v>54</v>
      </c>
    </row>
    <row r="8495" spans="1:20" ht="14.5" x14ac:dyDescent="0.35">
      <c r="A8495" s="10" t="s">
        <v>39333</v>
      </c>
      <c r="B8495" s="10" t="str">
        <f>""</f>
        <v/>
      </c>
      <c r="C8495" s="10" t="str">
        <f>"9781937724016"</f>
        <v>9781937724016</v>
      </c>
      <c r="D8495" s="10" t="s">
        <v>39320</v>
      </c>
      <c r="E8495" s="10" t="s">
        <v>5008</v>
      </c>
      <c r="F8495" s="10" t="s">
        <v>1103</v>
      </c>
      <c r="G8495" s="10" t="s">
        <v>6317</v>
      </c>
      <c r="H8495" s="11">
        <v>40817</v>
      </c>
      <c r="I8495" s="10">
        <v>2011</v>
      </c>
      <c r="J8495" s="10" t="s">
        <v>5008</v>
      </c>
      <c r="K8495" s="10">
        <v>159</v>
      </c>
      <c r="L8495" s="10" t="s">
        <v>39334</v>
      </c>
      <c r="M8495" s="10">
        <v>1</v>
      </c>
      <c r="N8495" s="10"/>
      <c r="O8495" s="10"/>
      <c r="P8495" s="10" t="s">
        <v>39335</v>
      </c>
      <c r="Q8495" s="10">
        <v>378.10700000000003</v>
      </c>
      <c r="R8495" s="10" t="s">
        <v>39336</v>
      </c>
      <c r="S8495" s="10" t="s">
        <v>53</v>
      </c>
      <c r="T8495" s="10" t="s">
        <v>54</v>
      </c>
    </row>
    <row r="8496" spans="1:20" ht="14.5" x14ac:dyDescent="0.35">
      <c r="A8496" s="10" t="s">
        <v>39337</v>
      </c>
      <c r="B8496" s="10" t="str">
        <f>"9781443874625"</f>
        <v>9781443874625</v>
      </c>
      <c r="C8496" s="10" t="str">
        <f>"9781443877824"</f>
        <v>9781443877824</v>
      </c>
      <c r="D8496" s="10" t="s">
        <v>23635</v>
      </c>
      <c r="E8496" s="10" t="s">
        <v>23635</v>
      </c>
      <c r="F8496" s="10" t="s">
        <v>23636</v>
      </c>
      <c r="G8496" s="10" t="s">
        <v>6352</v>
      </c>
      <c r="H8496" s="11">
        <v>42135</v>
      </c>
      <c r="I8496" s="10">
        <v>2015</v>
      </c>
      <c r="J8496" s="10" t="s">
        <v>23635</v>
      </c>
      <c r="K8496" s="10">
        <v>164</v>
      </c>
      <c r="L8496" s="10" t="s">
        <v>39338</v>
      </c>
      <c r="M8496" s="10">
        <v>1</v>
      </c>
      <c r="N8496" s="10"/>
      <c r="O8496" s="10"/>
      <c r="P8496" s="10" t="s">
        <v>39339</v>
      </c>
      <c r="Q8496" s="10">
        <v>378.00819999999999</v>
      </c>
      <c r="R8496" s="10" t="s">
        <v>39340</v>
      </c>
      <c r="S8496" s="10" t="s">
        <v>53</v>
      </c>
      <c r="T8496" s="10" t="s">
        <v>54</v>
      </c>
    </row>
    <row r="8497" spans="1:20" ht="14.5" x14ac:dyDescent="0.35">
      <c r="A8497" s="10" t="s">
        <v>39341</v>
      </c>
      <c r="B8497" s="10" t="str">
        <f>"9780309072779"</f>
        <v>9780309072779</v>
      </c>
      <c r="C8497" s="10" t="str">
        <f>"9780309512114"</f>
        <v>9780309512114</v>
      </c>
      <c r="D8497" s="10" t="s">
        <v>36547</v>
      </c>
      <c r="E8497" s="10" t="s">
        <v>36547</v>
      </c>
      <c r="F8497" s="10" t="s">
        <v>36548</v>
      </c>
      <c r="G8497" s="10" t="s">
        <v>6317</v>
      </c>
      <c r="H8497" s="11">
        <v>37640</v>
      </c>
      <c r="I8497" s="10">
        <v>2003</v>
      </c>
      <c r="J8497" s="10" t="s">
        <v>36547</v>
      </c>
      <c r="K8497" s="10">
        <v>231</v>
      </c>
      <c r="L8497" s="10" t="s">
        <v>39342</v>
      </c>
      <c r="M8497" s="10">
        <v>1</v>
      </c>
      <c r="N8497" s="10"/>
      <c r="O8497" s="10"/>
      <c r="P8497" s="10" t="s">
        <v>39343</v>
      </c>
      <c r="Q8497" s="10">
        <v>507.1</v>
      </c>
      <c r="R8497" s="10"/>
      <c r="S8497" s="10" t="s">
        <v>53</v>
      </c>
      <c r="T8497" s="10" t="s">
        <v>7193</v>
      </c>
    </row>
    <row r="8498" spans="1:20" ht="14.5" x14ac:dyDescent="0.35">
      <c r="A8498" s="10" t="s">
        <v>39344</v>
      </c>
      <c r="B8498" s="10" t="str">
        <f>"9780309088558"</f>
        <v>9780309088558</v>
      </c>
      <c r="C8498" s="10" t="str">
        <f>"9780309513173"</f>
        <v>9780309513173</v>
      </c>
      <c r="D8498" s="10" t="s">
        <v>36547</v>
      </c>
      <c r="E8498" s="10" t="s">
        <v>36547</v>
      </c>
      <c r="F8498" s="10" t="s">
        <v>36548</v>
      </c>
      <c r="G8498" s="10" t="s">
        <v>6317</v>
      </c>
      <c r="H8498" s="11">
        <v>37763</v>
      </c>
      <c r="I8498" s="10">
        <v>2003</v>
      </c>
      <c r="J8498" s="10" t="s">
        <v>36547</v>
      </c>
      <c r="K8498" s="10">
        <v>99</v>
      </c>
      <c r="L8498" s="10" t="s">
        <v>39345</v>
      </c>
      <c r="M8498" s="10">
        <v>1</v>
      </c>
      <c r="N8498" s="10"/>
      <c r="O8498" s="10"/>
      <c r="P8498" s="10" t="s">
        <v>39346</v>
      </c>
      <c r="Q8498" s="10"/>
      <c r="R8498" s="10"/>
      <c r="S8498" s="10" t="s">
        <v>53</v>
      </c>
      <c r="T8498" s="10" t="s">
        <v>54</v>
      </c>
    </row>
    <row r="8499" spans="1:20" ht="14.5" x14ac:dyDescent="0.35">
      <c r="A8499" s="10" t="s">
        <v>39347</v>
      </c>
      <c r="B8499" s="10" t="str">
        <f>"9780309085359"</f>
        <v>9780309085359</v>
      </c>
      <c r="C8499" s="10" t="str">
        <f>"9780309503389"</f>
        <v>9780309503389</v>
      </c>
      <c r="D8499" s="10" t="s">
        <v>36547</v>
      </c>
      <c r="E8499" s="10" t="s">
        <v>36547</v>
      </c>
      <c r="F8499" s="10" t="s">
        <v>36548</v>
      </c>
      <c r="G8499" s="10" t="s">
        <v>6317</v>
      </c>
      <c r="H8499" s="11">
        <v>37665</v>
      </c>
      <c r="I8499" s="10">
        <v>2003</v>
      </c>
      <c r="J8499" s="10" t="s">
        <v>36547</v>
      </c>
      <c r="K8499" s="10">
        <v>207</v>
      </c>
      <c r="L8499" s="10"/>
      <c r="M8499" s="10">
        <v>1</v>
      </c>
      <c r="N8499" s="10"/>
      <c r="O8499" s="10"/>
      <c r="P8499" s="10" t="s">
        <v>39348</v>
      </c>
      <c r="Q8499" s="10"/>
      <c r="R8499" s="10"/>
      <c r="S8499" s="10" t="s">
        <v>53</v>
      </c>
      <c r="T8499" s="10" t="s">
        <v>12662</v>
      </c>
    </row>
    <row r="8500" spans="1:20" ht="14.5" x14ac:dyDescent="0.35">
      <c r="A8500" s="10" t="s">
        <v>39349</v>
      </c>
      <c r="B8500" s="10" t="str">
        <f>"9780309092425"</f>
        <v>9780309092425</v>
      </c>
      <c r="C8500" s="10" t="str">
        <f>"9780309532877"</f>
        <v>9780309532877</v>
      </c>
      <c r="D8500" s="10" t="s">
        <v>36547</v>
      </c>
      <c r="E8500" s="10" t="s">
        <v>36547</v>
      </c>
      <c r="F8500" s="10" t="s">
        <v>36548</v>
      </c>
      <c r="G8500" s="10" t="s">
        <v>6317</v>
      </c>
      <c r="H8500" s="11">
        <v>38303</v>
      </c>
      <c r="I8500" s="10">
        <v>2004</v>
      </c>
      <c r="J8500" s="10" t="s">
        <v>36547</v>
      </c>
      <c r="K8500" s="10">
        <v>288</v>
      </c>
      <c r="L8500" s="10" t="s">
        <v>39350</v>
      </c>
      <c r="M8500" s="10">
        <v>1</v>
      </c>
      <c r="N8500" s="10"/>
      <c r="O8500" s="10"/>
      <c r="P8500" s="10" t="s">
        <v>39351</v>
      </c>
      <c r="Q8500" s="10" t="s">
        <v>6538</v>
      </c>
      <c r="R8500" s="10" t="s">
        <v>39352</v>
      </c>
      <c r="S8500" s="10" t="s">
        <v>53</v>
      </c>
      <c r="T8500" s="10" t="s">
        <v>389</v>
      </c>
    </row>
    <row r="8501" spans="1:20" ht="14.5" x14ac:dyDescent="0.35">
      <c r="A8501" s="10" t="s">
        <v>39353</v>
      </c>
      <c r="B8501" s="10" t="str">
        <f>"9780309092531"</f>
        <v>9780309092531</v>
      </c>
      <c r="C8501" s="10" t="str">
        <f>"9780309533171"</f>
        <v>9780309533171</v>
      </c>
      <c r="D8501" s="10" t="s">
        <v>36547</v>
      </c>
      <c r="E8501" s="10" t="s">
        <v>36547</v>
      </c>
      <c r="F8501" s="10" t="s">
        <v>36548</v>
      </c>
      <c r="G8501" s="10" t="s">
        <v>6317</v>
      </c>
      <c r="H8501" s="11">
        <v>38262</v>
      </c>
      <c r="I8501" s="10">
        <v>2004</v>
      </c>
      <c r="J8501" s="10" t="s">
        <v>36547</v>
      </c>
      <c r="K8501" s="10">
        <v>150</v>
      </c>
      <c r="L8501" s="10" t="s">
        <v>39354</v>
      </c>
      <c r="M8501" s="10">
        <v>1</v>
      </c>
      <c r="N8501" s="10"/>
      <c r="O8501" s="10"/>
      <c r="P8501" s="10" t="s">
        <v>39355</v>
      </c>
      <c r="Q8501" s="10" t="s">
        <v>8376</v>
      </c>
      <c r="R8501" s="10" t="s">
        <v>39356</v>
      </c>
      <c r="S8501" s="10" t="s">
        <v>53</v>
      </c>
      <c r="T8501" s="10" t="s">
        <v>54</v>
      </c>
    </row>
    <row r="8502" spans="1:20" ht="14.5" x14ac:dyDescent="0.35">
      <c r="A8502" s="10" t="s">
        <v>39357</v>
      </c>
      <c r="B8502" s="10" t="str">
        <f>"9780309102926"</f>
        <v>9780309102926</v>
      </c>
      <c r="C8502" s="10" t="str">
        <f>"9780309663939"</f>
        <v>9780309663939</v>
      </c>
      <c r="D8502" s="10" t="s">
        <v>36547</v>
      </c>
      <c r="E8502" s="10" t="s">
        <v>36547</v>
      </c>
      <c r="F8502" s="10" t="s">
        <v>36548</v>
      </c>
      <c r="G8502" s="10" t="s">
        <v>6317</v>
      </c>
      <c r="H8502" s="11">
        <v>39016</v>
      </c>
      <c r="I8502" s="10">
        <v>2006</v>
      </c>
      <c r="J8502" s="10" t="s">
        <v>36547</v>
      </c>
      <c r="K8502" s="10">
        <v>126</v>
      </c>
      <c r="L8502" s="10"/>
      <c r="M8502" s="10">
        <v>1</v>
      </c>
      <c r="N8502" s="10"/>
      <c r="O8502" s="10"/>
      <c r="P8502" s="10" t="s">
        <v>39358</v>
      </c>
      <c r="Q8502" s="10"/>
      <c r="R8502" s="10" t="s">
        <v>39359</v>
      </c>
      <c r="S8502" s="10" t="s">
        <v>53</v>
      </c>
      <c r="T8502" s="10" t="s">
        <v>8625</v>
      </c>
    </row>
    <row r="8503" spans="1:20" ht="14.5" x14ac:dyDescent="0.35">
      <c r="A8503" s="10" t="s">
        <v>39360</v>
      </c>
      <c r="B8503" s="10" t="str">
        <f>"9780309102865"</f>
        <v>9780309102865</v>
      </c>
      <c r="C8503" s="10" t="str">
        <f>"9780309663724"</f>
        <v>9780309663724</v>
      </c>
      <c r="D8503" s="10" t="s">
        <v>36547</v>
      </c>
      <c r="E8503" s="10" t="s">
        <v>36547</v>
      </c>
      <c r="F8503" s="10" t="s">
        <v>36548</v>
      </c>
      <c r="G8503" s="10" t="s">
        <v>6317</v>
      </c>
      <c r="H8503" s="11">
        <v>39138</v>
      </c>
      <c r="I8503" s="10">
        <v>2007</v>
      </c>
      <c r="J8503" s="10" t="s">
        <v>36547</v>
      </c>
      <c r="K8503" s="10">
        <v>192</v>
      </c>
      <c r="L8503" s="10"/>
      <c r="M8503" s="10">
        <v>1</v>
      </c>
      <c r="N8503" s="10"/>
      <c r="O8503" s="10"/>
      <c r="P8503" s="10" t="s">
        <v>39361</v>
      </c>
      <c r="Q8503" s="10"/>
      <c r="R8503" s="10" t="s">
        <v>39362</v>
      </c>
      <c r="S8503" s="10" t="s">
        <v>53</v>
      </c>
      <c r="T8503" s="10" t="s">
        <v>54</v>
      </c>
    </row>
    <row r="8504" spans="1:20" ht="14.5" x14ac:dyDescent="0.35">
      <c r="A8504" s="10" t="s">
        <v>39363</v>
      </c>
      <c r="B8504" s="10" t="str">
        <f>"9780309104944"</f>
        <v>9780309104944</v>
      </c>
      <c r="C8504" s="10" t="str">
        <f>"9780309669399"</f>
        <v>9780309669399</v>
      </c>
      <c r="D8504" s="10" t="s">
        <v>36547</v>
      </c>
      <c r="E8504" s="10" t="s">
        <v>36547</v>
      </c>
      <c r="F8504" s="10" t="s">
        <v>36548</v>
      </c>
      <c r="G8504" s="10" t="s">
        <v>6317</v>
      </c>
      <c r="H8504" s="11">
        <v>39312</v>
      </c>
      <c r="I8504" s="10">
        <v>2007</v>
      </c>
      <c r="J8504" s="10" t="s">
        <v>36547</v>
      </c>
      <c r="K8504" s="10">
        <v>413</v>
      </c>
      <c r="L8504" s="10" t="s">
        <v>39364</v>
      </c>
      <c r="M8504" s="10">
        <v>1</v>
      </c>
      <c r="N8504" s="10"/>
      <c r="O8504" s="10"/>
      <c r="P8504" s="10" t="s">
        <v>39365</v>
      </c>
      <c r="Q8504" s="10" t="s">
        <v>39366</v>
      </c>
      <c r="R8504" s="10" t="s">
        <v>39367</v>
      </c>
      <c r="S8504" s="10" t="s">
        <v>53</v>
      </c>
      <c r="T8504" s="10" t="s">
        <v>6616</v>
      </c>
    </row>
    <row r="8505" spans="1:20" ht="14.5" x14ac:dyDescent="0.35">
      <c r="A8505" s="10" t="s">
        <v>39368</v>
      </c>
      <c r="B8505" s="10" t="str">
        <f>"9780309141864"</f>
        <v>9780309141864</v>
      </c>
      <c r="C8505" s="10" t="str">
        <f>"9780309141871"</f>
        <v>9780309141871</v>
      </c>
      <c r="D8505" s="10" t="s">
        <v>36547</v>
      </c>
      <c r="E8505" s="10" t="s">
        <v>36547</v>
      </c>
      <c r="F8505" s="10" t="s">
        <v>36548</v>
      </c>
      <c r="G8505" s="10" t="s">
        <v>6317</v>
      </c>
      <c r="H8505" s="11">
        <v>40200</v>
      </c>
      <c r="I8505" s="10">
        <v>2009</v>
      </c>
      <c r="J8505" s="10" t="s">
        <v>36547</v>
      </c>
      <c r="K8505" s="10">
        <v>130</v>
      </c>
      <c r="L8505" s="10"/>
      <c r="M8505" s="10">
        <v>1</v>
      </c>
      <c r="N8505" s="10"/>
      <c r="O8505" s="10"/>
      <c r="P8505" s="10" t="s">
        <v>39369</v>
      </c>
      <c r="Q8505" s="10"/>
      <c r="R8505" s="10" t="s">
        <v>39370</v>
      </c>
      <c r="S8505" s="10" t="s">
        <v>53</v>
      </c>
      <c r="T8505" s="10" t="s">
        <v>389</v>
      </c>
    </row>
    <row r="8506" spans="1:20" ht="14.5" x14ac:dyDescent="0.35">
      <c r="A8506" s="10" t="s">
        <v>39371</v>
      </c>
      <c r="B8506" s="10" t="str">
        <f>"9780309150132"</f>
        <v>9780309150132</v>
      </c>
      <c r="C8506" s="10" t="str">
        <f>"9780309150149"</f>
        <v>9780309150149</v>
      </c>
      <c r="D8506" s="10" t="s">
        <v>36547</v>
      </c>
      <c r="E8506" s="10" t="s">
        <v>36547</v>
      </c>
      <c r="F8506" s="10" t="s">
        <v>36548</v>
      </c>
      <c r="G8506" s="10" t="s">
        <v>6317</v>
      </c>
      <c r="H8506" s="11">
        <v>40307</v>
      </c>
      <c r="I8506" s="10">
        <v>2010</v>
      </c>
      <c r="J8506" s="10" t="s">
        <v>36547</v>
      </c>
      <c r="K8506" s="10">
        <v>92</v>
      </c>
      <c r="L8506" s="10" t="s">
        <v>37264</v>
      </c>
      <c r="M8506" s="10">
        <v>1</v>
      </c>
      <c r="N8506" s="10"/>
      <c r="O8506" s="10"/>
      <c r="P8506" s="10" t="s">
        <v>39372</v>
      </c>
      <c r="Q8506" s="10"/>
      <c r="R8506" s="10" t="s">
        <v>39373</v>
      </c>
      <c r="S8506" s="10" t="s">
        <v>53</v>
      </c>
      <c r="T8506" s="10" t="s">
        <v>54</v>
      </c>
    </row>
    <row r="8507" spans="1:20" ht="14.5" x14ac:dyDescent="0.35">
      <c r="A8507" s="10" t="s">
        <v>39374</v>
      </c>
      <c r="B8507" s="10" t="str">
        <f>"9780309153812"</f>
        <v>9780309153812</v>
      </c>
      <c r="C8507" s="10" t="str">
        <f>"9780309153829"</f>
        <v>9780309153829</v>
      </c>
      <c r="D8507" s="10" t="s">
        <v>36547</v>
      </c>
      <c r="E8507" s="10" t="s">
        <v>36547</v>
      </c>
      <c r="F8507" s="10" t="s">
        <v>36548</v>
      </c>
      <c r="G8507" s="10" t="s">
        <v>6317</v>
      </c>
      <c r="H8507" s="11">
        <v>40418</v>
      </c>
      <c r="I8507" s="10">
        <v>2010</v>
      </c>
      <c r="J8507" s="10" t="s">
        <v>36547</v>
      </c>
      <c r="K8507" s="10">
        <v>93</v>
      </c>
      <c r="L8507" s="10" t="s">
        <v>37264</v>
      </c>
      <c r="M8507" s="10">
        <v>1</v>
      </c>
      <c r="N8507" s="10"/>
      <c r="O8507" s="10"/>
      <c r="P8507" s="10" t="s">
        <v>39375</v>
      </c>
      <c r="Q8507" s="10"/>
      <c r="R8507" s="10"/>
      <c r="S8507" s="10" t="s">
        <v>53</v>
      </c>
      <c r="T8507" s="10" t="s">
        <v>54</v>
      </c>
    </row>
    <row r="8508" spans="1:20" ht="14.5" x14ac:dyDescent="0.35">
      <c r="A8508" s="10" t="s">
        <v>39376</v>
      </c>
      <c r="B8508" s="10" t="str">
        <f>"9780309161114"</f>
        <v>9780309161114</v>
      </c>
      <c r="C8508" s="10" t="str">
        <f>"9780309161121"</f>
        <v>9780309161121</v>
      </c>
      <c r="D8508" s="10" t="s">
        <v>36547</v>
      </c>
      <c r="E8508" s="10" t="s">
        <v>36547</v>
      </c>
      <c r="F8508" s="10" t="s">
        <v>36548</v>
      </c>
      <c r="G8508" s="10" t="s">
        <v>6317</v>
      </c>
      <c r="H8508" s="11">
        <v>40630</v>
      </c>
      <c r="I8508" s="10">
        <v>2011</v>
      </c>
      <c r="J8508" s="10" t="s">
        <v>36547</v>
      </c>
      <c r="K8508" s="10">
        <v>118</v>
      </c>
      <c r="L8508" s="10" t="s">
        <v>39377</v>
      </c>
      <c r="M8508" s="10">
        <v>1</v>
      </c>
      <c r="N8508" s="10"/>
      <c r="O8508" s="10"/>
      <c r="P8508" s="10" t="s">
        <v>39378</v>
      </c>
      <c r="Q8508" s="10"/>
      <c r="R8508" s="10" t="s">
        <v>39379</v>
      </c>
      <c r="S8508" s="10" t="s">
        <v>53</v>
      </c>
      <c r="T8508" s="10" t="s">
        <v>11508</v>
      </c>
    </row>
    <row r="8509" spans="1:20" ht="14.5" x14ac:dyDescent="0.35">
      <c r="A8509" s="10" t="s">
        <v>39380</v>
      </c>
      <c r="B8509" s="10" t="str">
        <f>"9780309220545"</f>
        <v>9780309220545</v>
      </c>
      <c r="C8509" s="10" t="str">
        <f>"9780309220552"</f>
        <v>9780309220552</v>
      </c>
      <c r="D8509" s="10" t="s">
        <v>36547</v>
      </c>
      <c r="E8509" s="10" t="s">
        <v>36547</v>
      </c>
      <c r="F8509" s="10" t="s">
        <v>36548</v>
      </c>
      <c r="G8509" s="10" t="s">
        <v>6317</v>
      </c>
      <c r="H8509" s="11">
        <v>40861</v>
      </c>
      <c r="I8509" s="10">
        <v>2011</v>
      </c>
      <c r="J8509" s="10" t="s">
        <v>36547</v>
      </c>
      <c r="K8509" s="10">
        <v>46</v>
      </c>
      <c r="L8509" s="10"/>
      <c r="M8509" s="10">
        <v>1</v>
      </c>
      <c r="N8509" s="10"/>
      <c r="O8509" s="10"/>
      <c r="P8509" s="10" t="s">
        <v>39381</v>
      </c>
      <c r="Q8509" s="10"/>
      <c r="R8509" s="10" t="s">
        <v>39382</v>
      </c>
      <c r="S8509" s="10" t="s">
        <v>53</v>
      </c>
      <c r="T8509" s="10" t="s">
        <v>54</v>
      </c>
    </row>
    <row r="8510" spans="1:20" ht="14.5" x14ac:dyDescent="0.35">
      <c r="A8510" s="10" t="s">
        <v>39383</v>
      </c>
      <c r="B8510" s="10" t="str">
        <f>"9780309256391"</f>
        <v>9780309256391</v>
      </c>
      <c r="C8510" s="10" t="str">
        <f>"9780309256407"</f>
        <v>9780309256407</v>
      </c>
      <c r="D8510" s="10" t="s">
        <v>36547</v>
      </c>
      <c r="E8510" s="10" t="s">
        <v>36547</v>
      </c>
      <c r="F8510" s="10" t="s">
        <v>36548</v>
      </c>
      <c r="G8510" s="10" t="s">
        <v>6317</v>
      </c>
      <c r="H8510" s="11">
        <v>41098</v>
      </c>
      <c r="I8510" s="10">
        <v>2012</v>
      </c>
      <c r="J8510" s="10" t="s">
        <v>36547</v>
      </c>
      <c r="K8510" s="10">
        <v>249</v>
      </c>
      <c r="L8510" s="10"/>
      <c r="M8510" s="10">
        <v>1</v>
      </c>
      <c r="N8510" s="10"/>
      <c r="O8510" s="10"/>
      <c r="P8510" s="10" t="s">
        <v>39384</v>
      </c>
      <c r="Q8510" s="10"/>
      <c r="R8510" s="10" t="s">
        <v>39385</v>
      </c>
      <c r="S8510" s="10" t="s">
        <v>53</v>
      </c>
      <c r="T8510" s="10" t="s">
        <v>54</v>
      </c>
    </row>
    <row r="8511" spans="1:20" ht="14.5" x14ac:dyDescent="0.35">
      <c r="A8511" s="10" t="s">
        <v>39386</v>
      </c>
      <c r="B8511" s="10" t="str">
        <f>"9780309256544"</f>
        <v>9780309256544</v>
      </c>
      <c r="C8511" s="10" t="str">
        <f>"9780309256551"</f>
        <v>9780309256551</v>
      </c>
      <c r="D8511" s="10" t="s">
        <v>36547</v>
      </c>
      <c r="E8511" s="10" t="s">
        <v>36547</v>
      </c>
      <c r="F8511" s="10" t="s">
        <v>36548</v>
      </c>
      <c r="G8511" s="10" t="s">
        <v>6317</v>
      </c>
      <c r="H8511" s="11">
        <v>41145</v>
      </c>
      <c r="I8511" s="10">
        <v>2012</v>
      </c>
      <c r="J8511" s="10" t="s">
        <v>36547</v>
      </c>
      <c r="K8511" s="10">
        <v>155</v>
      </c>
      <c r="L8511" s="10" t="s">
        <v>39387</v>
      </c>
      <c r="M8511" s="10">
        <v>1</v>
      </c>
      <c r="N8511" s="10"/>
      <c r="O8511" s="10"/>
      <c r="P8511" s="10" t="s">
        <v>39388</v>
      </c>
      <c r="Q8511" s="10"/>
      <c r="R8511" s="10" t="s">
        <v>39389</v>
      </c>
      <c r="S8511" s="10" t="s">
        <v>53</v>
      </c>
      <c r="T8511" s="10" t="s">
        <v>5557</v>
      </c>
    </row>
    <row r="8512" spans="1:20" ht="14.5" x14ac:dyDescent="0.35">
      <c r="A8512" s="10" t="s">
        <v>39390</v>
      </c>
      <c r="B8512" s="10" t="str">
        <f>"9781412957359"</f>
        <v>9781412957359</v>
      </c>
      <c r="C8512" s="10" t="str">
        <f>"9781452209876"</f>
        <v>9781452209876</v>
      </c>
      <c r="D8512" s="10" t="s">
        <v>22210</v>
      </c>
      <c r="E8512" s="10" t="s">
        <v>22211</v>
      </c>
      <c r="F8512" s="10" t="s">
        <v>333</v>
      </c>
      <c r="G8512" s="10" t="s">
        <v>6317</v>
      </c>
      <c r="H8512" s="11">
        <v>39675</v>
      </c>
      <c r="I8512" s="10">
        <v>2009</v>
      </c>
      <c r="J8512" s="10" t="s">
        <v>22211</v>
      </c>
      <c r="K8512" s="10">
        <v>121</v>
      </c>
      <c r="L8512" s="10" t="s">
        <v>29955</v>
      </c>
      <c r="M8512" s="10">
        <v>1</v>
      </c>
      <c r="N8512" s="10"/>
      <c r="O8512" s="10"/>
      <c r="P8512" s="10"/>
      <c r="Q8512" s="10">
        <v>428.00709999999998</v>
      </c>
      <c r="R8512" s="10"/>
      <c r="S8512" s="10" t="s">
        <v>53</v>
      </c>
      <c r="T8512" s="10" t="s">
        <v>6616</v>
      </c>
    </row>
    <row r="8513" spans="1:20" ht="14.5" x14ac:dyDescent="0.35">
      <c r="A8513" s="10" t="s">
        <v>39391</v>
      </c>
      <c r="B8513" s="10" t="str">
        <f>"9780792349358"</f>
        <v>9780792349358</v>
      </c>
      <c r="C8513" s="10" t="str">
        <f>"9789401145350"</f>
        <v>9789401145350</v>
      </c>
      <c r="D8513" s="10" t="s">
        <v>11249</v>
      </c>
      <c r="E8513" s="10" t="s">
        <v>12215</v>
      </c>
      <c r="F8513" s="10" t="s">
        <v>206</v>
      </c>
      <c r="G8513" s="10" t="s">
        <v>9233</v>
      </c>
      <c r="H8513" s="11">
        <v>36311</v>
      </c>
      <c r="I8513" s="10">
        <v>1997</v>
      </c>
      <c r="J8513" s="10" t="s">
        <v>12215</v>
      </c>
      <c r="K8513" s="10">
        <v>392</v>
      </c>
      <c r="L8513" s="10" t="s">
        <v>39392</v>
      </c>
      <c r="M8513" s="10">
        <v>1</v>
      </c>
      <c r="N8513" s="10" t="s">
        <v>39393</v>
      </c>
      <c r="O8513" s="10">
        <v>8</v>
      </c>
      <c r="P8513" s="10" t="s">
        <v>19534</v>
      </c>
      <c r="Q8513" s="10">
        <v>370.11750000000001</v>
      </c>
      <c r="R8513" s="10" t="s">
        <v>39394</v>
      </c>
      <c r="S8513" s="10" t="s">
        <v>53</v>
      </c>
      <c r="T8513" s="10" t="s">
        <v>54</v>
      </c>
    </row>
    <row r="8514" spans="1:20" ht="14.5" x14ac:dyDescent="0.35">
      <c r="A8514" s="10" t="s">
        <v>39395</v>
      </c>
      <c r="B8514" s="10" t="str">
        <f>"9781138899469"</f>
        <v>9781138899469</v>
      </c>
      <c r="C8514" s="10" t="str">
        <f>"9781315707853"</f>
        <v>9781315707853</v>
      </c>
      <c r="D8514" s="10" t="s">
        <v>6350</v>
      </c>
      <c r="E8514" s="10" t="s">
        <v>6351</v>
      </c>
      <c r="F8514" s="10" t="s">
        <v>139</v>
      </c>
      <c r="G8514" s="10" t="s">
        <v>6352</v>
      </c>
      <c r="H8514" s="11">
        <v>42151</v>
      </c>
      <c r="I8514" s="10">
        <v>2015</v>
      </c>
      <c r="J8514" s="10" t="s">
        <v>6353</v>
      </c>
      <c r="K8514" s="10">
        <v>101</v>
      </c>
      <c r="L8514" s="10" t="s">
        <v>39396</v>
      </c>
      <c r="M8514" s="10">
        <v>1</v>
      </c>
      <c r="N8514" s="10" t="s">
        <v>39397</v>
      </c>
      <c r="O8514" s="10"/>
      <c r="P8514" s="10" t="s">
        <v>39398</v>
      </c>
      <c r="Q8514" s="10">
        <v>155.41392999999999</v>
      </c>
      <c r="R8514" s="10" t="s">
        <v>39399</v>
      </c>
      <c r="S8514" s="10" t="s">
        <v>53</v>
      </c>
      <c r="T8514" s="10" t="s">
        <v>6492</v>
      </c>
    </row>
    <row r="8515" spans="1:20" ht="14.5" x14ac:dyDescent="0.35">
      <c r="A8515" s="10" t="s">
        <v>39400</v>
      </c>
      <c r="B8515" s="10" t="str">
        <f>"9781138899681"</f>
        <v>9781138899681</v>
      </c>
      <c r="C8515" s="10" t="str">
        <f>"9781315707686"</f>
        <v>9781315707686</v>
      </c>
      <c r="D8515" s="10" t="s">
        <v>6350</v>
      </c>
      <c r="E8515" s="10" t="s">
        <v>6351</v>
      </c>
      <c r="F8515" s="10" t="s">
        <v>139</v>
      </c>
      <c r="G8515" s="10" t="s">
        <v>6352</v>
      </c>
      <c r="H8515" s="11">
        <v>42151</v>
      </c>
      <c r="I8515" s="10">
        <v>2015</v>
      </c>
      <c r="J8515" s="10" t="s">
        <v>6353</v>
      </c>
      <c r="K8515" s="10">
        <v>672</v>
      </c>
      <c r="L8515" s="10" t="s">
        <v>39401</v>
      </c>
      <c r="M8515" s="10">
        <v>1</v>
      </c>
      <c r="N8515" s="10" t="s">
        <v>39397</v>
      </c>
      <c r="O8515" s="10"/>
      <c r="P8515" s="10" t="s">
        <v>39402</v>
      </c>
      <c r="Q8515" s="10">
        <v>370.15</v>
      </c>
      <c r="R8515" s="10" t="s">
        <v>19020</v>
      </c>
      <c r="S8515" s="10" t="s">
        <v>53</v>
      </c>
      <c r="T8515" s="10" t="s">
        <v>54</v>
      </c>
    </row>
    <row r="8516" spans="1:20" ht="14.5" x14ac:dyDescent="0.35">
      <c r="A8516" s="10" t="s">
        <v>39403</v>
      </c>
      <c r="B8516" s="10" t="str">
        <f>"9781138925779"</f>
        <v>9781138925779</v>
      </c>
      <c r="C8516" s="10" t="str">
        <f>"9781315683577"</f>
        <v>9781315683577</v>
      </c>
      <c r="D8516" s="10" t="s">
        <v>6350</v>
      </c>
      <c r="E8516" s="10" t="s">
        <v>6351</v>
      </c>
      <c r="F8516" s="10" t="s">
        <v>748</v>
      </c>
      <c r="G8516" s="10" t="s">
        <v>6352</v>
      </c>
      <c r="H8516" s="11">
        <v>42131</v>
      </c>
      <c r="I8516" s="10">
        <v>1981</v>
      </c>
      <c r="J8516" s="10" t="s">
        <v>6351</v>
      </c>
      <c r="K8516" s="10">
        <v>224</v>
      </c>
      <c r="L8516" s="10" t="s">
        <v>39404</v>
      </c>
      <c r="M8516" s="10">
        <v>1</v>
      </c>
      <c r="N8516" s="10" t="s">
        <v>16856</v>
      </c>
      <c r="O8516" s="10"/>
      <c r="P8516" s="10" t="s">
        <v>39405</v>
      </c>
      <c r="Q8516" s="10" t="s">
        <v>7600</v>
      </c>
      <c r="R8516" s="10" t="s">
        <v>39406</v>
      </c>
      <c r="S8516" s="10" t="s">
        <v>53</v>
      </c>
      <c r="T8516" s="10" t="s">
        <v>54</v>
      </c>
    </row>
    <row r="8517" spans="1:20" ht="14.5" x14ac:dyDescent="0.35">
      <c r="A8517" s="10" t="s">
        <v>39407</v>
      </c>
      <c r="B8517" s="10" t="str">
        <f>"9781930556980"</f>
        <v>9781930556980</v>
      </c>
      <c r="C8517" s="10" t="str">
        <f>"9781315852591"</f>
        <v>9781315852591</v>
      </c>
      <c r="D8517" s="10" t="s">
        <v>6350</v>
      </c>
      <c r="E8517" s="10" t="s">
        <v>6351</v>
      </c>
      <c r="F8517" s="10" t="s">
        <v>5406</v>
      </c>
      <c r="G8517" s="10" t="s">
        <v>6317</v>
      </c>
      <c r="H8517" s="11">
        <v>38526</v>
      </c>
      <c r="I8517" s="10">
        <v>2005</v>
      </c>
      <c r="J8517" s="10" t="s">
        <v>6353</v>
      </c>
      <c r="K8517" s="10">
        <v>136</v>
      </c>
      <c r="L8517" s="10" t="s">
        <v>39408</v>
      </c>
      <c r="M8517" s="10">
        <v>1</v>
      </c>
      <c r="N8517" s="10"/>
      <c r="O8517" s="10"/>
      <c r="P8517" s="10" t="s">
        <v>39409</v>
      </c>
      <c r="Q8517" s="10">
        <v>373.23599999999999</v>
      </c>
      <c r="R8517" s="10" t="s">
        <v>39410</v>
      </c>
      <c r="S8517" s="10" t="s">
        <v>53</v>
      </c>
      <c r="T8517" s="10" t="s">
        <v>54</v>
      </c>
    </row>
    <row r="8518" spans="1:20" ht="14.5" x14ac:dyDescent="0.35">
      <c r="A8518" s="10" t="s">
        <v>39411</v>
      </c>
      <c r="B8518" s="10" t="str">
        <f>"9781138857858"</f>
        <v>9781138857858</v>
      </c>
      <c r="C8518" s="10" t="str">
        <f>"9781315718385"</f>
        <v>9781315718385</v>
      </c>
      <c r="D8518" s="10" t="s">
        <v>6350</v>
      </c>
      <c r="E8518" s="10" t="s">
        <v>6351</v>
      </c>
      <c r="F8518" s="10" t="s">
        <v>139</v>
      </c>
      <c r="G8518" s="10" t="s">
        <v>6352</v>
      </c>
      <c r="H8518" s="11">
        <v>42046</v>
      </c>
      <c r="I8518" s="10">
        <v>1980</v>
      </c>
      <c r="J8518" s="10" t="s">
        <v>6353</v>
      </c>
      <c r="K8518" s="10">
        <v>291</v>
      </c>
      <c r="L8518" s="10" t="s">
        <v>39412</v>
      </c>
      <c r="M8518" s="10">
        <v>1</v>
      </c>
      <c r="N8518" s="10" t="s">
        <v>16856</v>
      </c>
      <c r="O8518" s="10"/>
      <c r="P8518" s="10" t="s">
        <v>39413</v>
      </c>
      <c r="Q8518" s="10">
        <v>379.41</v>
      </c>
      <c r="R8518" s="10" t="s">
        <v>39414</v>
      </c>
      <c r="S8518" s="10" t="s">
        <v>53</v>
      </c>
      <c r="T8518" s="10" t="s">
        <v>54</v>
      </c>
    </row>
    <row r="8519" spans="1:20" ht="14.5" x14ac:dyDescent="0.35">
      <c r="A8519" s="10" t="s">
        <v>39415</v>
      </c>
      <c r="B8519" s="10" t="str">
        <f>"9781138933965"</f>
        <v>9781138933965</v>
      </c>
      <c r="C8519" s="10" t="str">
        <f>"9781315678276"</f>
        <v>9781315678276</v>
      </c>
      <c r="D8519" s="10" t="s">
        <v>6350</v>
      </c>
      <c r="E8519" s="10" t="s">
        <v>6351</v>
      </c>
      <c r="F8519" s="10" t="s">
        <v>748</v>
      </c>
      <c r="G8519" s="10" t="s">
        <v>6352</v>
      </c>
      <c r="H8519" s="11">
        <v>42153</v>
      </c>
      <c r="I8519" s="10">
        <v>1990</v>
      </c>
      <c r="J8519" s="10" t="s">
        <v>6351</v>
      </c>
      <c r="K8519" s="10">
        <v>214</v>
      </c>
      <c r="L8519" s="10" t="s">
        <v>39404</v>
      </c>
      <c r="M8519" s="10">
        <v>1</v>
      </c>
      <c r="N8519" s="10" t="s">
        <v>16856</v>
      </c>
      <c r="O8519" s="10"/>
      <c r="P8519" s="10" t="s">
        <v>39416</v>
      </c>
      <c r="Q8519" s="10">
        <v>370.1</v>
      </c>
      <c r="R8519" s="10" t="s">
        <v>39406</v>
      </c>
      <c r="S8519" s="10" t="s">
        <v>53</v>
      </c>
      <c r="T8519" s="10" t="s">
        <v>54</v>
      </c>
    </row>
    <row r="8520" spans="1:20" ht="14.5" x14ac:dyDescent="0.35">
      <c r="A8520" s="10" t="s">
        <v>39417</v>
      </c>
      <c r="B8520" s="10" t="str">
        <f>"9780765614926"</f>
        <v>9780765614926</v>
      </c>
      <c r="C8520" s="10" t="str">
        <f>"9781315698625"</f>
        <v>9781315698625</v>
      </c>
      <c r="D8520" s="10" t="s">
        <v>6350</v>
      </c>
      <c r="E8520" s="10" t="s">
        <v>6351</v>
      </c>
      <c r="F8520" s="10" t="s">
        <v>11161</v>
      </c>
      <c r="G8520" s="10" t="s">
        <v>6317</v>
      </c>
      <c r="H8520" s="11">
        <v>38472</v>
      </c>
      <c r="I8520" s="10">
        <v>2005</v>
      </c>
      <c r="J8520" s="10" t="s">
        <v>6353</v>
      </c>
      <c r="K8520" s="10">
        <v>229</v>
      </c>
      <c r="L8520" s="10" t="s">
        <v>39418</v>
      </c>
      <c r="M8520" s="10">
        <v>1</v>
      </c>
      <c r="N8520" s="10"/>
      <c r="O8520" s="10"/>
      <c r="P8520" s="10" t="s">
        <v>39419</v>
      </c>
      <c r="Q8520" s="10">
        <v>658.31240917239995</v>
      </c>
      <c r="R8520" s="10" t="s">
        <v>39420</v>
      </c>
      <c r="S8520" s="10" t="s">
        <v>53</v>
      </c>
      <c r="T8520" s="10" t="s">
        <v>8755</v>
      </c>
    </row>
    <row r="8521" spans="1:20" ht="14.5" x14ac:dyDescent="0.35">
      <c r="A8521" s="10" t="s">
        <v>39421</v>
      </c>
      <c r="B8521" s="10" t="str">
        <f>"9780472034307"</f>
        <v>9780472034307</v>
      </c>
      <c r="C8521" s="10" t="str">
        <f>"9780472120154"</f>
        <v>9780472120154</v>
      </c>
      <c r="D8521" s="10" t="s">
        <v>38702</v>
      </c>
      <c r="E8521" s="10" t="s">
        <v>38702</v>
      </c>
      <c r="F8521" s="10" t="s">
        <v>1103</v>
      </c>
      <c r="G8521" s="10" t="s">
        <v>6317</v>
      </c>
      <c r="H8521" s="11">
        <v>40360</v>
      </c>
      <c r="I8521" s="10">
        <v>2010</v>
      </c>
      <c r="J8521" s="10" t="s">
        <v>38702</v>
      </c>
      <c r="K8521" s="10">
        <v>251</v>
      </c>
      <c r="L8521" s="10" t="s">
        <v>39422</v>
      </c>
      <c r="M8521" s="10">
        <v>1</v>
      </c>
      <c r="N8521" s="10"/>
      <c r="O8521" s="10"/>
      <c r="P8521" s="10" t="s">
        <v>39423</v>
      </c>
      <c r="Q8521" s="10" t="s">
        <v>39424</v>
      </c>
      <c r="R8521" s="10"/>
      <c r="S8521" s="10" t="s">
        <v>53</v>
      </c>
      <c r="T8521" s="10" t="s">
        <v>54</v>
      </c>
    </row>
    <row r="8522" spans="1:20" ht="14.5" x14ac:dyDescent="0.35">
      <c r="A8522" s="10" t="s">
        <v>39425</v>
      </c>
      <c r="B8522" s="10" t="str">
        <f>"9780826212894"</f>
        <v>9780826212894</v>
      </c>
      <c r="C8522" s="10" t="str">
        <f>"9780826262226"</f>
        <v>9780826262226</v>
      </c>
      <c r="D8522" s="10" t="s">
        <v>39010</v>
      </c>
      <c r="E8522" s="10" t="s">
        <v>39011</v>
      </c>
      <c r="F8522" s="10" t="s">
        <v>3189</v>
      </c>
      <c r="G8522" s="10" t="s">
        <v>6317</v>
      </c>
      <c r="H8522" s="11">
        <v>36861</v>
      </c>
      <c r="I8522" s="10">
        <v>2000</v>
      </c>
      <c r="J8522" s="10" t="s">
        <v>39011</v>
      </c>
      <c r="K8522" s="10">
        <v>223</v>
      </c>
      <c r="L8522" s="10" t="s">
        <v>39426</v>
      </c>
      <c r="M8522" s="10">
        <v>1</v>
      </c>
      <c r="N8522" s="10"/>
      <c r="O8522" s="10"/>
      <c r="P8522" s="10" t="s">
        <v>39427</v>
      </c>
      <c r="Q8522" s="10" t="s">
        <v>39428</v>
      </c>
      <c r="R8522" s="10" t="s">
        <v>39429</v>
      </c>
      <c r="S8522" s="10" t="s">
        <v>53</v>
      </c>
      <c r="T8522" s="10" t="s">
        <v>6363</v>
      </c>
    </row>
    <row r="8523" spans="1:20" ht="14.5" x14ac:dyDescent="0.35">
      <c r="A8523" s="10" t="s">
        <v>39430</v>
      </c>
      <c r="B8523" s="10" t="str">
        <f>"9780826212269"</f>
        <v>9780826212269</v>
      </c>
      <c r="C8523" s="10" t="str">
        <f>"9780826264169"</f>
        <v>9780826264169</v>
      </c>
      <c r="D8523" s="10" t="s">
        <v>39010</v>
      </c>
      <c r="E8523" s="10" t="s">
        <v>39011</v>
      </c>
      <c r="F8523" s="10" t="s">
        <v>3189</v>
      </c>
      <c r="G8523" s="10" t="s">
        <v>6317</v>
      </c>
      <c r="H8523" s="11">
        <v>36495</v>
      </c>
      <c r="I8523" s="10">
        <v>1999</v>
      </c>
      <c r="J8523" s="10" t="s">
        <v>39011</v>
      </c>
      <c r="K8523" s="10">
        <v>263</v>
      </c>
      <c r="L8523" s="10" t="s">
        <v>39431</v>
      </c>
      <c r="M8523" s="10">
        <v>1</v>
      </c>
      <c r="N8523" s="10"/>
      <c r="O8523" s="10"/>
      <c r="P8523" s="10" t="s">
        <v>39432</v>
      </c>
      <c r="Q8523" s="10" t="s">
        <v>39433</v>
      </c>
      <c r="R8523" s="10" t="s">
        <v>39434</v>
      </c>
      <c r="S8523" s="10" t="s">
        <v>53</v>
      </c>
      <c r="T8523" s="10" t="s">
        <v>54</v>
      </c>
    </row>
    <row r="8524" spans="1:20" ht="14.5" x14ac:dyDescent="0.35">
      <c r="A8524" s="10" t="s">
        <v>39435</v>
      </c>
      <c r="B8524" s="10" t="str">
        <f>"9780826215222"</f>
        <v>9780826215222</v>
      </c>
      <c r="C8524" s="10" t="str">
        <f>"9780826262561"</f>
        <v>9780826262561</v>
      </c>
      <c r="D8524" s="10" t="s">
        <v>39010</v>
      </c>
      <c r="E8524" s="10" t="s">
        <v>39011</v>
      </c>
      <c r="F8524" s="10" t="s">
        <v>3189</v>
      </c>
      <c r="G8524" s="10" t="s">
        <v>6317</v>
      </c>
      <c r="H8524" s="11">
        <v>38117</v>
      </c>
      <c r="I8524" s="10">
        <v>2004</v>
      </c>
      <c r="J8524" s="10" t="s">
        <v>39011</v>
      </c>
      <c r="K8524" s="10">
        <v>283</v>
      </c>
      <c r="L8524" s="10" t="s">
        <v>39436</v>
      </c>
      <c r="M8524" s="10">
        <v>1</v>
      </c>
      <c r="N8524" s="10"/>
      <c r="O8524" s="10"/>
      <c r="P8524" s="10" t="s">
        <v>39437</v>
      </c>
      <c r="Q8524" s="10" t="s">
        <v>39438</v>
      </c>
      <c r="R8524" s="10" t="s">
        <v>39439</v>
      </c>
      <c r="S8524" s="10" t="s">
        <v>53</v>
      </c>
      <c r="T8524" s="10" t="s">
        <v>54</v>
      </c>
    </row>
    <row r="8525" spans="1:20" ht="14.5" x14ac:dyDescent="0.35">
      <c r="A8525" s="10" t="s">
        <v>39440</v>
      </c>
      <c r="B8525" s="10" t="str">
        <f>"9780826216434"</f>
        <v>9780826216434</v>
      </c>
      <c r="C8525" s="10" t="str">
        <f>"9780826265258"</f>
        <v>9780826265258</v>
      </c>
      <c r="D8525" s="10" t="s">
        <v>39010</v>
      </c>
      <c r="E8525" s="10" t="s">
        <v>39011</v>
      </c>
      <c r="F8525" s="10" t="s">
        <v>3189</v>
      </c>
      <c r="G8525" s="10" t="s">
        <v>6317</v>
      </c>
      <c r="H8525" s="11">
        <v>38777</v>
      </c>
      <c r="I8525" s="10">
        <v>2006</v>
      </c>
      <c r="J8525" s="10" t="s">
        <v>39011</v>
      </c>
      <c r="K8525" s="10">
        <v>260</v>
      </c>
      <c r="L8525" s="10" t="s">
        <v>39441</v>
      </c>
      <c r="M8525" s="10">
        <v>1</v>
      </c>
      <c r="N8525" s="10" t="s">
        <v>39442</v>
      </c>
      <c r="O8525" s="10">
        <v>1</v>
      </c>
      <c r="P8525" s="10" t="s">
        <v>21904</v>
      </c>
      <c r="Q8525" s="10" t="s">
        <v>39443</v>
      </c>
      <c r="R8525" s="10" t="s">
        <v>39444</v>
      </c>
      <c r="S8525" s="10" t="s">
        <v>53</v>
      </c>
      <c r="T8525" s="10" t="s">
        <v>7340</v>
      </c>
    </row>
    <row r="8526" spans="1:20" ht="14.5" x14ac:dyDescent="0.35">
      <c r="A8526" s="10" t="s">
        <v>39445</v>
      </c>
      <c r="B8526" s="10" t="str">
        <f>"9780826216311"</f>
        <v>9780826216311</v>
      </c>
      <c r="C8526" s="10" t="str">
        <f>"9780826265364"</f>
        <v>9780826265364</v>
      </c>
      <c r="D8526" s="10" t="s">
        <v>39010</v>
      </c>
      <c r="E8526" s="10" t="s">
        <v>39011</v>
      </c>
      <c r="F8526" s="10" t="s">
        <v>3189</v>
      </c>
      <c r="G8526" s="10" t="s">
        <v>6317</v>
      </c>
      <c r="H8526" s="11">
        <v>39052</v>
      </c>
      <c r="I8526" s="10">
        <v>2006</v>
      </c>
      <c r="J8526" s="10" t="s">
        <v>39011</v>
      </c>
      <c r="K8526" s="10">
        <v>209</v>
      </c>
      <c r="L8526" s="10" t="s">
        <v>39446</v>
      </c>
      <c r="M8526" s="10">
        <v>1</v>
      </c>
      <c r="N8526" s="10"/>
      <c r="O8526" s="10"/>
      <c r="P8526" s="10" t="s">
        <v>39447</v>
      </c>
      <c r="Q8526" s="10" t="s">
        <v>39448</v>
      </c>
      <c r="R8526" s="10" t="s">
        <v>39449</v>
      </c>
      <c r="S8526" s="10" t="s">
        <v>53</v>
      </c>
      <c r="T8526" s="10" t="s">
        <v>1166</v>
      </c>
    </row>
    <row r="8527" spans="1:20" ht="14.5" x14ac:dyDescent="0.35">
      <c r="A8527" s="10" t="s">
        <v>39450</v>
      </c>
      <c r="B8527" s="10" t="str">
        <f>"9780826216793"</f>
        <v>9780826216793</v>
      </c>
      <c r="C8527" s="10" t="str">
        <f>"9780826265500"</f>
        <v>9780826265500</v>
      </c>
      <c r="D8527" s="10" t="s">
        <v>39010</v>
      </c>
      <c r="E8527" s="10" t="s">
        <v>39011</v>
      </c>
      <c r="F8527" s="10" t="s">
        <v>3189</v>
      </c>
      <c r="G8527" s="10" t="s">
        <v>6317</v>
      </c>
      <c r="H8527" s="11">
        <v>39052</v>
      </c>
      <c r="I8527" s="10">
        <v>2006</v>
      </c>
      <c r="J8527" s="10" t="s">
        <v>39011</v>
      </c>
      <c r="K8527" s="10">
        <v>249</v>
      </c>
      <c r="L8527" s="10" t="s">
        <v>39451</v>
      </c>
      <c r="M8527" s="10">
        <v>1</v>
      </c>
      <c r="N8527" s="10"/>
      <c r="O8527" s="10"/>
      <c r="P8527" s="10" t="s">
        <v>39452</v>
      </c>
      <c r="Q8527" s="10" t="s">
        <v>39453</v>
      </c>
      <c r="R8527" s="10" t="s">
        <v>39454</v>
      </c>
      <c r="S8527" s="10" t="s">
        <v>53</v>
      </c>
      <c r="T8527" s="10" t="s">
        <v>54</v>
      </c>
    </row>
    <row r="8528" spans="1:20" ht="14.5" x14ac:dyDescent="0.35">
      <c r="A8528" s="10" t="s">
        <v>39455</v>
      </c>
      <c r="B8528" s="10" t="str">
        <f>"9780826217769"</f>
        <v>9780826217769</v>
      </c>
      <c r="C8528" s="10" t="str">
        <f>"9780826266149"</f>
        <v>9780826266149</v>
      </c>
      <c r="D8528" s="10" t="s">
        <v>39010</v>
      </c>
      <c r="E8528" s="10" t="s">
        <v>39011</v>
      </c>
      <c r="F8528" s="10" t="s">
        <v>3189</v>
      </c>
      <c r="G8528" s="10" t="s">
        <v>6317</v>
      </c>
      <c r="H8528" s="11">
        <v>39052</v>
      </c>
      <c r="I8528" s="10">
        <v>2007</v>
      </c>
      <c r="J8528" s="10" t="s">
        <v>39011</v>
      </c>
      <c r="K8528" s="10">
        <v>168</v>
      </c>
      <c r="L8528" s="10" t="s">
        <v>39456</v>
      </c>
      <c r="M8528" s="10">
        <v>1</v>
      </c>
      <c r="N8528" s="10"/>
      <c r="O8528" s="10"/>
      <c r="P8528" s="10" t="s">
        <v>39457</v>
      </c>
      <c r="Q8528" s="10" t="s">
        <v>39458</v>
      </c>
      <c r="R8528" s="10" t="s">
        <v>39459</v>
      </c>
      <c r="S8528" s="10" t="s">
        <v>53</v>
      </c>
      <c r="T8528" s="10" t="s">
        <v>54</v>
      </c>
    </row>
    <row r="8529" spans="1:20" ht="14.5" x14ac:dyDescent="0.35">
      <c r="A8529" s="10" t="s">
        <v>39460</v>
      </c>
      <c r="B8529" s="10" t="str">
        <f>"9780826217967"</f>
        <v>9780826217967</v>
      </c>
      <c r="C8529" s="10" t="str">
        <f>"9780826266460"</f>
        <v>9780826266460</v>
      </c>
      <c r="D8529" s="10" t="s">
        <v>39010</v>
      </c>
      <c r="E8529" s="10" t="s">
        <v>39011</v>
      </c>
      <c r="F8529" s="10" t="s">
        <v>3189</v>
      </c>
      <c r="G8529" s="10" t="s">
        <v>6317</v>
      </c>
      <c r="H8529" s="11">
        <v>39783</v>
      </c>
      <c r="I8529" s="10">
        <v>2008</v>
      </c>
      <c r="J8529" s="10" t="s">
        <v>39011</v>
      </c>
      <c r="K8529" s="10">
        <v>298</v>
      </c>
      <c r="L8529" s="10" t="s">
        <v>39461</v>
      </c>
      <c r="M8529" s="10">
        <v>1</v>
      </c>
      <c r="N8529" s="10"/>
      <c r="O8529" s="10"/>
      <c r="P8529" s="10" t="s">
        <v>39462</v>
      </c>
      <c r="Q8529" s="10" t="s">
        <v>39463</v>
      </c>
      <c r="R8529" s="10" t="s">
        <v>39464</v>
      </c>
      <c r="S8529" s="10" t="s">
        <v>53</v>
      </c>
      <c r="T8529" s="10" t="s">
        <v>5920</v>
      </c>
    </row>
    <row r="8530" spans="1:20" ht="14.5" x14ac:dyDescent="0.35">
      <c r="A8530" s="10" t="s">
        <v>39465</v>
      </c>
      <c r="B8530" s="10" t="str">
        <f>"9780826218056"</f>
        <v>9780826218056</v>
      </c>
      <c r="C8530" s="10" t="str">
        <f>"9780826266705"</f>
        <v>9780826266705</v>
      </c>
      <c r="D8530" s="10" t="s">
        <v>39010</v>
      </c>
      <c r="E8530" s="10" t="s">
        <v>39011</v>
      </c>
      <c r="F8530" s="10" t="s">
        <v>3189</v>
      </c>
      <c r="G8530" s="10" t="s">
        <v>6317</v>
      </c>
      <c r="H8530" s="11">
        <v>39783</v>
      </c>
      <c r="I8530" s="10">
        <v>2008</v>
      </c>
      <c r="J8530" s="10" t="s">
        <v>39011</v>
      </c>
      <c r="K8530" s="10">
        <v>176</v>
      </c>
      <c r="L8530" s="10" t="s">
        <v>39466</v>
      </c>
      <c r="M8530" s="10">
        <v>1</v>
      </c>
      <c r="N8530" s="10" t="s">
        <v>39467</v>
      </c>
      <c r="O8530" s="10"/>
      <c r="P8530" s="10" t="s">
        <v>39468</v>
      </c>
      <c r="Q8530" s="10" t="s">
        <v>39469</v>
      </c>
      <c r="R8530" s="10" t="s">
        <v>39470</v>
      </c>
      <c r="S8530" s="10" t="s">
        <v>53</v>
      </c>
      <c r="T8530" s="10" t="s">
        <v>54</v>
      </c>
    </row>
    <row r="8531" spans="1:20" ht="14.5" x14ac:dyDescent="0.35">
      <c r="A8531" s="10" t="s">
        <v>39471</v>
      </c>
      <c r="B8531" s="10" t="str">
        <f>"9780268040321"</f>
        <v>9780268040321</v>
      </c>
      <c r="C8531" s="10" t="str">
        <f>"9780268091743"</f>
        <v>9780268091743</v>
      </c>
      <c r="D8531" s="10" t="s">
        <v>39472</v>
      </c>
      <c r="E8531" s="10" t="s">
        <v>39472</v>
      </c>
      <c r="F8531" s="10" t="s">
        <v>39473</v>
      </c>
      <c r="G8531" s="10" t="s">
        <v>6317</v>
      </c>
      <c r="H8531" s="11">
        <v>40410</v>
      </c>
      <c r="I8531" s="10">
        <v>2010</v>
      </c>
      <c r="J8531" s="10" t="s">
        <v>39472</v>
      </c>
      <c r="K8531" s="10">
        <v>209</v>
      </c>
      <c r="L8531" s="10" t="s">
        <v>39474</v>
      </c>
      <c r="M8531" s="10">
        <v>1</v>
      </c>
      <c r="N8531" s="10"/>
      <c r="O8531" s="10"/>
      <c r="P8531" s="10" t="s">
        <v>39475</v>
      </c>
      <c r="Q8531" s="10" t="s">
        <v>20160</v>
      </c>
      <c r="R8531" s="10" t="s">
        <v>39476</v>
      </c>
      <c r="S8531" s="10" t="s">
        <v>53</v>
      </c>
      <c r="T8531" s="10" t="s">
        <v>54</v>
      </c>
    </row>
    <row r="8532" spans="1:20" ht="14.5" x14ac:dyDescent="0.35">
      <c r="A8532" s="10" t="s">
        <v>39477</v>
      </c>
      <c r="B8532" s="10" t="str">
        <f>"9780268023041"</f>
        <v>9780268023041</v>
      </c>
      <c r="C8532" s="10" t="str">
        <f>"9780268076900"</f>
        <v>9780268076900</v>
      </c>
      <c r="D8532" s="10" t="s">
        <v>39472</v>
      </c>
      <c r="E8532" s="10" t="s">
        <v>39472</v>
      </c>
      <c r="F8532" s="10" t="s">
        <v>39473</v>
      </c>
      <c r="G8532" s="10" t="s">
        <v>6317</v>
      </c>
      <c r="H8532" s="11">
        <v>40558</v>
      </c>
      <c r="I8532" s="10">
        <v>2010</v>
      </c>
      <c r="J8532" s="10" t="s">
        <v>39472</v>
      </c>
      <c r="K8532" s="10">
        <v>330</v>
      </c>
      <c r="L8532" s="10" t="s">
        <v>39478</v>
      </c>
      <c r="M8532" s="10">
        <v>1</v>
      </c>
      <c r="N8532" s="10"/>
      <c r="O8532" s="10"/>
      <c r="P8532" s="10" t="s">
        <v>39479</v>
      </c>
      <c r="Q8532" s="10" t="s">
        <v>39480</v>
      </c>
      <c r="R8532" s="10" t="s">
        <v>39481</v>
      </c>
      <c r="S8532" s="10" t="s">
        <v>53</v>
      </c>
      <c r="T8532" s="10" t="s">
        <v>13459</v>
      </c>
    </row>
    <row r="8533" spans="1:20" ht="14.5" x14ac:dyDescent="0.35">
      <c r="A8533" s="10" t="s">
        <v>39482</v>
      </c>
      <c r="B8533" s="10" t="str">
        <f>"9789728025632"</f>
        <v>9789728025632</v>
      </c>
      <c r="C8533" s="10" t="str">
        <f>"9789728025960"</f>
        <v>9789728025960</v>
      </c>
      <c r="D8533" s="10" t="s">
        <v>39483</v>
      </c>
      <c r="E8533" s="10" t="s">
        <v>39484</v>
      </c>
      <c r="F8533" s="10" t="s">
        <v>2258</v>
      </c>
      <c r="G8533" s="10" t="s">
        <v>39485</v>
      </c>
      <c r="H8533" s="11">
        <v>39356</v>
      </c>
      <c r="I8533" s="10">
        <v>2007</v>
      </c>
      <c r="J8533" s="10" t="s">
        <v>39484</v>
      </c>
      <c r="K8533" s="10">
        <v>214</v>
      </c>
      <c r="L8533" s="10" t="s">
        <v>39486</v>
      </c>
      <c r="M8533" s="10"/>
      <c r="N8533" s="10"/>
      <c r="O8533" s="10"/>
      <c r="P8533" s="10" t="s">
        <v>39487</v>
      </c>
      <c r="Q8533" s="10"/>
      <c r="R8533" s="10" t="s">
        <v>39488</v>
      </c>
      <c r="S8533" s="10" t="s">
        <v>922</v>
      </c>
      <c r="T8533" s="10" t="s">
        <v>54</v>
      </c>
    </row>
    <row r="8534" spans="1:20" ht="14.5" x14ac:dyDescent="0.35">
      <c r="A8534" s="10" t="s">
        <v>39489</v>
      </c>
      <c r="B8534" s="10" t="str">
        <f>"9789898265159"</f>
        <v>9789898265159</v>
      </c>
      <c r="C8534" s="10" t="str">
        <f>"9789898265166"</f>
        <v>9789898265166</v>
      </c>
      <c r="D8534" s="10" t="s">
        <v>39483</v>
      </c>
      <c r="E8534" s="10" t="s">
        <v>39484</v>
      </c>
      <c r="F8534" s="10" t="s">
        <v>2258</v>
      </c>
      <c r="G8534" s="10" t="s">
        <v>39485</v>
      </c>
      <c r="H8534" s="11">
        <v>40179</v>
      </c>
      <c r="I8534" s="10">
        <v>2010</v>
      </c>
      <c r="J8534" s="10" t="s">
        <v>39484</v>
      </c>
      <c r="K8534" s="10">
        <v>348</v>
      </c>
      <c r="L8534" s="10" t="s">
        <v>39490</v>
      </c>
      <c r="M8534" s="10"/>
      <c r="N8534" s="10"/>
      <c r="O8534" s="10"/>
      <c r="P8534" s="10" t="s">
        <v>39491</v>
      </c>
      <c r="Q8534" s="10"/>
      <c r="R8534" s="10" t="s">
        <v>39492</v>
      </c>
      <c r="S8534" s="10" t="s">
        <v>922</v>
      </c>
      <c r="T8534" s="10" t="s">
        <v>54</v>
      </c>
    </row>
    <row r="8535" spans="1:20" ht="14.5" x14ac:dyDescent="0.35">
      <c r="A8535" s="10" t="s">
        <v>39493</v>
      </c>
      <c r="B8535" s="10" t="str">
        <f>"9789898265388"</f>
        <v>9789898265388</v>
      </c>
      <c r="C8535" s="10" t="str">
        <f>"9789898265395"</f>
        <v>9789898265395</v>
      </c>
      <c r="D8535" s="10" t="s">
        <v>39483</v>
      </c>
      <c r="E8535" s="10" t="s">
        <v>39484</v>
      </c>
      <c r="F8535" s="10" t="s">
        <v>2258</v>
      </c>
      <c r="G8535" s="10" t="s">
        <v>39485</v>
      </c>
      <c r="H8535" s="11">
        <v>40360</v>
      </c>
      <c r="I8535" s="10">
        <v>2010</v>
      </c>
      <c r="J8535" s="10" t="s">
        <v>39484</v>
      </c>
      <c r="K8535" s="10">
        <v>300</v>
      </c>
      <c r="L8535" s="10" t="s">
        <v>39494</v>
      </c>
      <c r="M8535" s="10"/>
      <c r="N8535" s="10"/>
      <c r="O8535" s="10"/>
      <c r="P8535" s="10" t="s">
        <v>39495</v>
      </c>
      <c r="Q8535" s="10"/>
      <c r="R8535" s="10" t="s">
        <v>22655</v>
      </c>
      <c r="S8535" s="10" t="s">
        <v>922</v>
      </c>
      <c r="T8535" s="10" t="s">
        <v>54</v>
      </c>
    </row>
    <row r="8536" spans="1:20" ht="14.5" x14ac:dyDescent="0.35">
      <c r="A8536" s="10" t="s">
        <v>39496</v>
      </c>
      <c r="B8536" s="10" t="str">
        <f>"9789898265722"</f>
        <v>9789898265722</v>
      </c>
      <c r="C8536" s="10" t="str">
        <f>"9789898265739"</f>
        <v>9789898265739</v>
      </c>
      <c r="D8536" s="10" t="s">
        <v>39483</v>
      </c>
      <c r="E8536" s="10" t="s">
        <v>39484</v>
      </c>
      <c r="F8536" s="10" t="s">
        <v>2258</v>
      </c>
      <c r="G8536" s="10" t="s">
        <v>39485</v>
      </c>
      <c r="H8536" s="11">
        <v>40848</v>
      </c>
      <c r="I8536" s="10">
        <v>2011</v>
      </c>
      <c r="J8536" s="10" t="s">
        <v>39484</v>
      </c>
      <c r="K8536" s="10">
        <v>434</v>
      </c>
      <c r="L8536" s="10" t="s">
        <v>39497</v>
      </c>
      <c r="M8536" s="10"/>
      <c r="N8536" s="10"/>
      <c r="O8536" s="10"/>
      <c r="P8536" s="10" t="s">
        <v>39498</v>
      </c>
      <c r="Q8536" s="10"/>
      <c r="R8536" s="10" t="s">
        <v>39499</v>
      </c>
      <c r="S8536" s="10" t="s">
        <v>922</v>
      </c>
      <c r="T8536" s="10" t="s">
        <v>6616</v>
      </c>
    </row>
    <row r="8537" spans="1:20" ht="14.5" x14ac:dyDescent="0.35">
      <c r="A8537" s="10" t="s">
        <v>39500</v>
      </c>
      <c r="B8537" s="10" t="str">
        <f>"9789897460463"</f>
        <v>9789897460463</v>
      </c>
      <c r="C8537" s="10" t="str">
        <f>"9789897460470"</f>
        <v>9789897460470</v>
      </c>
      <c r="D8537" s="10" t="s">
        <v>39483</v>
      </c>
      <c r="E8537" s="10" t="s">
        <v>39484</v>
      </c>
      <c r="F8537" s="10" t="s">
        <v>2258</v>
      </c>
      <c r="G8537" s="10" t="s">
        <v>39485</v>
      </c>
      <c r="H8537" s="11">
        <v>41275</v>
      </c>
      <c r="I8537" s="10">
        <v>2014</v>
      </c>
      <c r="J8537" s="10" t="s">
        <v>39484</v>
      </c>
      <c r="K8537" s="10">
        <v>276</v>
      </c>
      <c r="L8537" s="10" t="s">
        <v>39501</v>
      </c>
      <c r="M8537" s="10"/>
      <c r="N8537" s="10"/>
      <c r="O8537" s="10"/>
      <c r="P8537" s="10" t="s">
        <v>39502</v>
      </c>
      <c r="Q8537" s="10">
        <v>507.12</v>
      </c>
      <c r="R8537" s="10" t="s">
        <v>39503</v>
      </c>
      <c r="S8537" s="10" t="s">
        <v>922</v>
      </c>
      <c r="T8537" s="10" t="s">
        <v>9608</v>
      </c>
    </row>
    <row r="8538" spans="1:20" ht="14.5" x14ac:dyDescent="0.35">
      <c r="A8538" s="10" t="s">
        <v>39504</v>
      </c>
      <c r="B8538" s="10" t="str">
        <f>"9789897460388"</f>
        <v>9789897460388</v>
      </c>
      <c r="C8538" s="10" t="str">
        <f>"9789897460395"</f>
        <v>9789897460395</v>
      </c>
      <c r="D8538" s="10" t="s">
        <v>39483</v>
      </c>
      <c r="E8538" s="10" t="s">
        <v>39484</v>
      </c>
      <c r="F8538" s="10" t="s">
        <v>2258</v>
      </c>
      <c r="G8538" s="10" t="s">
        <v>39485</v>
      </c>
      <c r="H8538" s="11">
        <v>40513</v>
      </c>
      <c r="I8538" s="10">
        <v>2010</v>
      </c>
      <c r="J8538" s="10" t="s">
        <v>39484</v>
      </c>
      <c r="K8538" s="10">
        <v>440</v>
      </c>
      <c r="L8538" s="10" t="s">
        <v>39505</v>
      </c>
      <c r="M8538" s="10"/>
      <c r="N8538" s="10"/>
      <c r="O8538" s="10"/>
      <c r="P8538" s="10" t="s">
        <v>39506</v>
      </c>
      <c r="Q8538" s="10">
        <v>371.20699999999999</v>
      </c>
      <c r="R8538" s="10" t="s">
        <v>33311</v>
      </c>
      <c r="S8538" s="10" t="s">
        <v>922</v>
      </c>
      <c r="T8538" s="10" t="s">
        <v>54</v>
      </c>
    </row>
    <row r="8539" spans="1:20" ht="14.5" x14ac:dyDescent="0.35">
      <c r="A8539" s="10" t="s">
        <v>39507</v>
      </c>
      <c r="B8539" s="10" t="str">
        <f>"9781932653748"</f>
        <v>9781932653748</v>
      </c>
      <c r="C8539" s="10" t="str">
        <f>"9781932653069"</f>
        <v>9781932653069</v>
      </c>
      <c r="D8539" s="10" t="s">
        <v>39508</v>
      </c>
      <c r="E8539" s="10" t="s">
        <v>39509</v>
      </c>
      <c r="F8539" s="10" t="s">
        <v>39510</v>
      </c>
      <c r="G8539" s="10" t="s">
        <v>6317</v>
      </c>
      <c r="H8539" s="11">
        <v>39063</v>
      </c>
      <c r="I8539" s="10">
        <v>2006</v>
      </c>
      <c r="J8539" s="10" t="s">
        <v>39509</v>
      </c>
      <c r="K8539" s="10">
        <v>85</v>
      </c>
      <c r="L8539" s="10" t="s">
        <v>39511</v>
      </c>
      <c r="M8539" s="10"/>
      <c r="N8539" s="10"/>
      <c r="O8539" s="10"/>
      <c r="P8539" s="10" t="s">
        <v>39512</v>
      </c>
      <c r="Q8539" s="10" t="s">
        <v>39513</v>
      </c>
      <c r="R8539" s="10" t="s">
        <v>39514</v>
      </c>
      <c r="S8539" s="10" t="s">
        <v>53</v>
      </c>
      <c r="T8539" s="10" t="s">
        <v>6616</v>
      </c>
    </row>
    <row r="8540" spans="1:20" ht="14.5" x14ac:dyDescent="0.35">
      <c r="A8540" s="10" t="s">
        <v>39515</v>
      </c>
      <c r="B8540" s="10" t="str">
        <f>"9781932653601"</f>
        <v>9781932653601</v>
      </c>
      <c r="C8540" s="10" t="str">
        <f>"9781932653052"</f>
        <v>9781932653052</v>
      </c>
      <c r="D8540" s="10" t="s">
        <v>39508</v>
      </c>
      <c r="E8540" s="10" t="s">
        <v>39509</v>
      </c>
      <c r="F8540" s="10" t="s">
        <v>39510</v>
      </c>
      <c r="G8540" s="10" t="s">
        <v>6317</v>
      </c>
      <c r="H8540" s="11">
        <v>38687</v>
      </c>
      <c r="I8540" s="10">
        <v>2006</v>
      </c>
      <c r="J8540" s="10" t="s">
        <v>39509</v>
      </c>
      <c r="K8540" s="10">
        <v>59</v>
      </c>
      <c r="L8540" s="10" t="s">
        <v>39516</v>
      </c>
      <c r="M8540" s="10"/>
      <c r="N8540" s="10"/>
      <c r="O8540" s="10"/>
      <c r="P8540" s="10" t="s">
        <v>39517</v>
      </c>
      <c r="Q8540" s="10"/>
      <c r="R8540" s="10" t="s">
        <v>39518</v>
      </c>
      <c r="S8540" s="10" t="s">
        <v>53</v>
      </c>
      <c r="T8540" s="10" t="s">
        <v>6616</v>
      </c>
    </row>
    <row r="8541" spans="1:20" ht="14.5" x14ac:dyDescent="0.35">
      <c r="A8541" s="10" t="s">
        <v>39519</v>
      </c>
      <c r="B8541" s="10" t="str">
        <f>"9781932653137"</f>
        <v>9781932653137</v>
      </c>
      <c r="C8541" s="10" t="str">
        <f>"9781932653021"</f>
        <v>9781932653021</v>
      </c>
      <c r="D8541" s="10" t="s">
        <v>39508</v>
      </c>
      <c r="E8541" s="10" t="s">
        <v>39509</v>
      </c>
      <c r="F8541" s="10" t="s">
        <v>39510</v>
      </c>
      <c r="G8541" s="10" t="s">
        <v>6317</v>
      </c>
      <c r="H8541" s="11">
        <v>37956</v>
      </c>
      <c r="I8541" s="10">
        <v>2004</v>
      </c>
      <c r="J8541" s="10" t="s">
        <v>39509</v>
      </c>
      <c r="K8541" s="10">
        <v>274</v>
      </c>
      <c r="L8541" s="10" t="s">
        <v>39520</v>
      </c>
      <c r="M8541" s="10"/>
      <c r="N8541" s="10"/>
      <c r="O8541" s="10"/>
      <c r="P8541" s="10" t="s">
        <v>39521</v>
      </c>
      <c r="Q8541" s="10" t="s">
        <v>8646</v>
      </c>
      <c r="R8541" s="10" t="s">
        <v>39522</v>
      </c>
      <c r="S8541" s="10" t="s">
        <v>53</v>
      </c>
      <c r="T8541" s="10" t="s">
        <v>6616</v>
      </c>
    </row>
    <row r="8542" spans="1:20" ht="14.5" x14ac:dyDescent="0.35">
      <c r="A8542" s="10" t="s">
        <v>39523</v>
      </c>
      <c r="B8542" s="10" t="str">
        <f>"9780966574395"</f>
        <v>9780966574395</v>
      </c>
      <c r="C8542" s="10" t="str">
        <f>"9781932653045"</f>
        <v>9781932653045</v>
      </c>
      <c r="D8542" s="10" t="s">
        <v>39508</v>
      </c>
      <c r="E8542" s="10" t="s">
        <v>39509</v>
      </c>
      <c r="F8542" s="10" t="s">
        <v>39510</v>
      </c>
      <c r="G8542" s="10" t="s">
        <v>6317</v>
      </c>
      <c r="H8542" s="11">
        <v>37043</v>
      </c>
      <c r="I8542" s="10">
        <v>2001</v>
      </c>
      <c r="J8542" s="10" t="s">
        <v>39509</v>
      </c>
      <c r="K8542" s="10">
        <v>136</v>
      </c>
      <c r="L8542" s="10" t="s">
        <v>39524</v>
      </c>
      <c r="M8542" s="10"/>
      <c r="N8542" s="10"/>
      <c r="O8542" s="10"/>
      <c r="P8542" s="10" t="s">
        <v>39525</v>
      </c>
      <c r="Q8542" s="10" t="s">
        <v>8646</v>
      </c>
      <c r="R8542" s="10" t="s">
        <v>39526</v>
      </c>
      <c r="S8542" s="10" t="s">
        <v>53</v>
      </c>
      <c r="T8542" s="10" t="s">
        <v>6616</v>
      </c>
    </row>
    <row r="8543" spans="1:20" ht="14.5" x14ac:dyDescent="0.35">
      <c r="A8543" s="10" t="s">
        <v>39527</v>
      </c>
      <c r="B8543" s="10" t="str">
        <f>"9780970994806"</f>
        <v>9780970994806</v>
      </c>
      <c r="C8543" s="10" t="str">
        <f>"9781932653007"</f>
        <v>9781932653007</v>
      </c>
      <c r="D8543" s="10" t="s">
        <v>39508</v>
      </c>
      <c r="E8543" s="10" t="s">
        <v>39509</v>
      </c>
      <c r="F8543" s="10" t="s">
        <v>39510</v>
      </c>
      <c r="G8543" s="10" t="s">
        <v>6317</v>
      </c>
      <c r="H8543" s="11">
        <v>37043</v>
      </c>
      <c r="I8543" s="10">
        <v>2001</v>
      </c>
      <c r="J8543" s="10" t="s">
        <v>39509</v>
      </c>
      <c r="K8543" s="10">
        <v>113</v>
      </c>
      <c r="L8543" s="10" t="s">
        <v>39524</v>
      </c>
      <c r="M8543" s="10"/>
      <c r="N8543" s="10"/>
      <c r="O8543" s="10"/>
      <c r="P8543" s="10" t="s">
        <v>39528</v>
      </c>
      <c r="Q8543" s="10"/>
      <c r="R8543" s="10" t="s">
        <v>39518</v>
      </c>
      <c r="S8543" s="10" t="s">
        <v>53</v>
      </c>
      <c r="T8543" s="10" t="s">
        <v>6616</v>
      </c>
    </row>
    <row r="8544" spans="1:20" ht="14.5" x14ac:dyDescent="0.35">
      <c r="A8544" s="10" t="s">
        <v>39529</v>
      </c>
      <c r="B8544" s="10" t="str">
        <f>"9781557537003"</f>
        <v>9781557537003</v>
      </c>
      <c r="C8544" s="10" t="str">
        <f>"9781612493626"</f>
        <v>9781612493626</v>
      </c>
      <c r="D8544" s="10" t="s">
        <v>9533</v>
      </c>
      <c r="E8544" s="10" t="s">
        <v>4024</v>
      </c>
      <c r="F8544" s="10" t="s">
        <v>31319</v>
      </c>
      <c r="G8544" s="10" t="s">
        <v>6317</v>
      </c>
      <c r="H8544" s="11">
        <v>42019</v>
      </c>
      <c r="I8544" s="10">
        <v>2015</v>
      </c>
      <c r="J8544" s="10" t="s">
        <v>4024</v>
      </c>
      <c r="K8544" s="10">
        <v>495</v>
      </c>
      <c r="L8544" s="10" t="s">
        <v>39530</v>
      </c>
      <c r="M8544" s="10">
        <v>2</v>
      </c>
      <c r="N8544" s="10"/>
      <c r="O8544" s="10"/>
      <c r="P8544" s="10" t="s">
        <v>39531</v>
      </c>
      <c r="Q8544" s="10" t="s">
        <v>37197</v>
      </c>
      <c r="R8544" s="10" t="s">
        <v>39532</v>
      </c>
      <c r="S8544" s="10" t="s">
        <v>53</v>
      </c>
      <c r="T8544" s="10" t="s">
        <v>11508</v>
      </c>
    </row>
    <row r="8545" spans="1:20" ht="14.5" x14ac:dyDescent="0.35">
      <c r="A8545" s="10" t="s">
        <v>39533</v>
      </c>
      <c r="B8545" s="10" t="str">
        <f>"9781598576535"</f>
        <v>9781598576535</v>
      </c>
      <c r="C8545" s="10" t="str">
        <f>"9781598578461"</f>
        <v>9781598578461</v>
      </c>
      <c r="D8545" s="10" t="s">
        <v>28876</v>
      </c>
      <c r="E8545" s="10" t="s">
        <v>28877</v>
      </c>
      <c r="F8545" s="10" t="s">
        <v>39534</v>
      </c>
      <c r="G8545" s="10" t="s">
        <v>6317</v>
      </c>
      <c r="H8545" s="11">
        <v>42170</v>
      </c>
      <c r="I8545" s="10">
        <v>2015</v>
      </c>
      <c r="J8545" s="10" t="s">
        <v>28877</v>
      </c>
      <c r="K8545" s="10">
        <v>272</v>
      </c>
      <c r="L8545" s="10" t="s">
        <v>39535</v>
      </c>
      <c r="M8545" s="10">
        <v>1</v>
      </c>
      <c r="N8545" s="10"/>
      <c r="O8545" s="10"/>
      <c r="P8545" s="10" t="s">
        <v>39536</v>
      </c>
      <c r="Q8545" s="10">
        <v>507.1</v>
      </c>
      <c r="R8545" s="10" t="s">
        <v>39537</v>
      </c>
      <c r="S8545" s="10" t="s">
        <v>53</v>
      </c>
      <c r="T8545" s="10" t="s">
        <v>6800</v>
      </c>
    </row>
    <row r="8546" spans="1:20" ht="14.5" x14ac:dyDescent="0.35">
      <c r="A8546" s="10" t="s">
        <v>39538</v>
      </c>
      <c r="B8546" s="10" t="str">
        <f>"9781462523481"</f>
        <v>9781462523481</v>
      </c>
      <c r="C8546" s="10" t="str">
        <f>"9781462523573"</f>
        <v>9781462523573</v>
      </c>
      <c r="D8546" s="10" t="s">
        <v>11213</v>
      </c>
      <c r="E8546" s="10" t="s">
        <v>11214</v>
      </c>
      <c r="F8546" s="10" t="s">
        <v>70</v>
      </c>
      <c r="G8546" s="10" t="s">
        <v>6317</v>
      </c>
      <c r="H8546" s="11">
        <v>42339</v>
      </c>
      <c r="I8546" s="10">
        <v>2016</v>
      </c>
      <c r="J8546" s="10" t="s">
        <v>11215</v>
      </c>
      <c r="K8546" s="10">
        <v>187</v>
      </c>
      <c r="L8546" s="10" t="s">
        <v>39539</v>
      </c>
      <c r="M8546" s="10">
        <v>1</v>
      </c>
      <c r="N8546" s="10" t="s">
        <v>39540</v>
      </c>
      <c r="O8546" s="10"/>
      <c r="P8546" s="10" t="s">
        <v>39541</v>
      </c>
      <c r="Q8546" s="10">
        <v>372.41</v>
      </c>
      <c r="R8546" s="10" t="s">
        <v>12886</v>
      </c>
      <c r="S8546" s="10" t="s">
        <v>53</v>
      </c>
      <c r="T8546" s="10" t="s">
        <v>54</v>
      </c>
    </row>
    <row r="8547" spans="1:20" ht="14.5" x14ac:dyDescent="0.35">
      <c r="A8547" s="10" t="s">
        <v>39542</v>
      </c>
      <c r="B8547" s="10" t="str">
        <f>"9781462524389"</f>
        <v>9781462524389</v>
      </c>
      <c r="C8547" s="10" t="str">
        <f>"9781462524419"</f>
        <v>9781462524419</v>
      </c>
      <c r="D8547" s="10" t="s">
        <v>11213</v>
      </c>
      <c r="E8547" s="10" t="s">
        <v>11214</v>
      </c>
      <c r="F8547" s="10" t="s">
        <v>70</v>
      </c>
      <c r="G8547" s="10" t="s">
        <v>6317</v>
      </c>
      <c r="H8547" s="11">
        <v>42412</v>
      </c>
      <c r="I8547" s="10">
        <v>2016</v>
      </c>
      <c r="J8547" s="10" t="s">
        <v>11214</v>
      </c>
      <c r="K8547" s="10">
        <v>241</v>
      </c>
      <c r="L8547" s="10" t="s">
        <v>39543</v>
      </c>
      <c r="M8547" s="10">
        <v>1</v>
      </c>
      <c r="N8547" s="10"/>
      <c r="O8547" s="10"/>
      <c r="P8547" s="10" t="s">
        <v>39544</v>
      </c>
      <c r="Q8547" s="10" t="s">
        <v>18744</v>
      </c>
      <c r="R8547" s="10" t="s">
        <v>39545</v>
      </c>
      <c r="S8547" s="10" t="s">
        <v>53</v>
      </c>
      <c r="T8547" s="10" t="s">
        <v>6634</v>
      </c>
    </row>
    <row r="8548" spans="1:20" ht="14.5" x14ac:dyDescent="0.35">
      <c r="A8548" s="10" t="s">
        <v>39546</v>
      </c>
      <c r="B8548" s="10" t="str">
        <f>"9781137428486"</f>
        <v>9781137428486</v>
      </c>
      <c r="C8548" s="10" t="str">
        <f>"9781137428493"</f>
        <v>9781137428493</v>
      </c>
      <c r="D8548" s="10" t="s">
        <v>11249</v>
      </c>
      <c r="E8548" s="10" t="s">
        <v>13407</v>
      </c>
      <c r="F8548" s="10" t="s">
        <v>139</v>
      </c>
      <c r="G8548" s="10" t="s">
        <v>6352</v>
      </c>
      <c r="H8548" s="11">
        <v>41991</v>
      </c>
      <c r="I8548" s="10">
        <v>2015</v>
      </c>
      <c r="J8548" s="10" t="s">
        <v>16380</v>
      </c>
      <c r="K8548" s="10">
        <v>153</v>
      </c>
      <c r="L8548" s="10" t="s">
        <v>39547</v>
      </c>
      <c r="M8548" s="10">
        <v>1</v>
      </c>
      <c r="N8548" s="10" t="s">
        <v>39548</v>
      </c>
      <c r="O8548" s="10"/>
      <c r="P8548" s="10" t="s">
        <v>39549</v>
      </c>
      <c r="Q8548" s="10"/>
      <c r="R8548" s="10" t="s">
        <v>39550</v>
      </c>
      <c r="S8548" s="10" t="s">
        <v>53</v>
      </c>
      <c r="T8548" s="10" t="s">
        <v>6363</v>
      </c>
    </row>
    <row r="8549" spans="1:20" ht="14.5" x14ac:dyDescent="0.35">
      <c r="A8549" s="10" t="s">
        <v>39551</v>
      </c>
      <c r="B8549" s="10" t="str">
        <f>"9781137456052"</f>
        <v>9781137456052</v>
      </c>
      <c r="C8549" s="10" t="str">
        <f>"9781137456069"</f>
        <v>9781137456069</v>
      </c>
      <c r="D8549" s="10" t="s">
        <v>11249</v>
      </c>
      <c r="E8549" s="10" t="s">
        <v>2400</v>
      </c>
      <c r="F8549" s="10" t="s">
        <v>70</v>
      </c>
      <c r="G8549" s="10" t="s">
        <v>6317</v>
      </c>
      <c r="H8549" s="11">
        <v>41935</v>
      </c>
      <c r="I8549" s="10">
        <v>2014</v>
      </c>
      <c r="J8549" s="10" t="s">
        <v>2400</v>
      </c>
      <c r="K8549" s="10">
        <v>307</v>
      </c>
      <c r="L8549" s="10" t="s">
        <v>39552</v>
      </c>
      <c r="M8549" s="10">
        <v>1</v>
      </c>
      <c r="N8549" s="10" t="s">
        <v>17470</v>
      </c>
      <c r="O8549" s="10"/>
      <c r="P8549" s="10" t="s">
        <v>11251</v>
      </c>
      <c r="Q8549" s="10">
        <v>300</v>
      </c>
      <c r="R8549" s="10" t="s">
        <v>21393</v>
      </c>
      <c r="S8549" s="10" t="s">
        <v>53</v>
      </c>
      <c r="T8549" s="10" t="s">
        <v>6472</v>
      </c>
    </row>
    <row r="8550" spans="1:20" ht="14.5" x14ac:dyDescent="0.35">
      <c r="A8550" s="10" t="s">
        <v>39553</v>
      </c>
      <c r="B8550" s="10" t="str">
        <f>"9781849056175"</f>
        <v>9781849056175</v>
      </c>
      <c r="C8550" s="10" t="str">
        <f>"9781784501747"</f>
        <v>9781784501747</v>
      </c>
      <c r="D8550" s="10" t="s">
        <v>10516</v>
      </c>
      <c r="E8550" s="10" t="s">
        <v>10516</v>
      </c>
      <c r="F8550" s="10" t="s">
        <v>139</v>
      </c>
      <c r="G8550" s="10" t="s">
        <v>6352</v>
      </c>
      <c r="H8550" s="11">
        <v>42298</v>
      </c>
      <c r="I8550" s="10">
        <v>2015</v>
      </c>
      <c r="J8550" s="10" t="s">
        <v>10516</v>
      </c>
      <c r="K8550" s="10">
        <v>242</v>
      </c>
      <c r="L8550" s="10" t="s">
        <v>39554</v>
      </c>
      <c r="M8550" s="10">
        <v>1</v>
      </c>
      <c r="N8550" s="10"/>
      <c r="O8550" s="10"/>
      <c r="P8550" s="10"/>
      <c r="Q8550" s="10">
        <v>371.94</v>
      </c>
      <c r="R8550" s="10"/>
      <c r="S8550" s="10" t="s">
        <v>53</v>
      </c>
      <c r="T8550" s="10" t="s">
        <v>54</v>
      </c>
    </row>
    <row r="8551" spans="1:20" ht="14.5" x14ac:dyDescent="0.35">
      <c r="A8551" s="10" t="s">
        <v>39555</v>
      </c>
      <c r="B8551" s="10" t="str">
        <f>"9780874517903"</f>
        <v>9780874517903</v>
      </c>
      <c r="C8551" s="10" t="str">
        <f>"9781611688764"</f>
        <v>9781611688764</v>
      </c>
      <c r="D8551" s="10" t="s">
        <v>20156</v>
      </c>
      <c r="E8551" s="10" t="s">
        <v>23671</v>
      </c>
      <c r="F8551" s="10" t="s">
        <v>324</v>
      </c>
      <c r="G8551" s="10" t="s">
        <v>6317</v>
      </c>
      <c r="H8551" s="11">
        <v>35339</v>
      </c>
      <c r="I8551" s="10">
        <v>1996</v>
      </c>
      <c r="J8551" s="10" t="s">
        <v>23671</v>
      </c>
      <c r="K8551" s="10">
        <v>186</v>
      </c>
      <c r="L8551" s="10" t="s">
        <v>39556</v>
      </c>
      <c r="M8551" s="10">
        <v>1</v>
      </c>
      <c r="N8551" s="10"/>
      <c r="O8551" s="10"/>
      <c r="P8551" s="10" t="s">
        <v>20305</v>
      </c>
      <c r="Q8551" s="10" t="s">
        <v>39557</v>
      </c>
      <c r="R8551" s="10" t="s">
        <v>39556</v>
      </c>
      <c r="S8551" s="10" t="s">
        <v>53</v>
      </c>
      <c r="T8551" s="10" t="s">
        <v>54</v>
      </c>
    </row>
    <row r="8552" spans="1:20" ht="14.5" x14ac:dyDescent="0.35">
      <c r="A8552" s="10" t="s">
        <v>39558</v>
      </c>
      <c r="B8552" s="10" t="str">
        <f>"9781920677893"</f>
        <v>9781920677893</v>
      </c>
      <c r="C8552" s="10" t="str">
        <f>"9781920677909"</f>
        <v>9781920677909</v>
      </c>
      <c r="D8552" s="10" t="s">
        <v>24820</v>
      </c>
      <c r="E8552" s="10" t="s">
        <v>24825</v>
      </c>
      <c r="F8552" s="10" t="s">
        <v>748</v>
      </c>
      <c r="G8552" s="10" t="s">
        <v>24826</v>
      </c>
      <c r="H8552" s="11">
        <v>42223</v>
      </c>
      <c r="I8552" s="10">
        <v>2015</v>
      </c>
      <c r="J8552" s="10" t="s">
        <v>24825</v>
      </c>
      <c r="K8552" s="10">
        <v>142</v>
      </c>
      <c r="L8552" s="10" t="s">
        <v>39559</v>
      </c>
      <c r="M8552" s="10">
        <v>1</v>
      </c>
      <c r="N8552" s="10"/>
      <c r="O8552" s="10"/>
      <c r="P8552" s="10" t="s">
        <v>39560</v>
      </c>
      <c r="Q8552" s="10">
        <v>378.6</v>
      </c>
      <c r="R8552" s="10" t="s">
        <v>39561</v>
      </c>
      <c r="S8552" s="10" t="s">
        <v>53</v>
      </c>
      <c r="T8552" s="10" t="s">
        <v>54</v>
      </c>
    </row>
    <row r="8553" spans="1:20" ht="14.5" x14ac:dyDescent="0.35">
      <c r="A8553" s="10" t="s">
        <v>39562</v>
      </c>
      <c r="B8553" s="10" t="str">
        <f>"9789004282308"</f>
        <v>9789004282308</v>
      </c>
      <c r="C8553" s="10" t="str">
        <f>"9789004282315"</f>
        <v>9789004282315</v>
      </c>
      <c r="D8553" s="10" t="s">
        <v>8564</v>
      </c>
      <c r="E8553" s="10" t="s">
        <v>8565</v>
      </c>
      <c r="F8553" s="10" t="s">
        <v>1420</v>
      </c>
      <c r="G8553" s="10" t="s">
        <v>6317</v>
      </c>
      <c r="H8553" s="11">
        <v>41890</v>
      </c>
      <c r="I8553" s="10">
        <v>2015</v>
      </c>
      <c r="J8553" s="10" t="s">
        <v>8565</v>
      </c>
      <c r="K8553" s="10">
        <v>313</v>
      </c>
      <c r="L8553" s="10" t="s">
        <v>39563</v>
      </c>
      <c r="M8553" s="10">
        <v>1</v>
      </c>
      <c r="N8553" s="10"/>
      <c r="O8553" s="10"/>
      <c r="P8553" s="10"/>
      <c r="Q8553" s="10">
        <v>370.11209509999998</v>
      </c>
      <c r="R8553" s="10"/>
      <c r="S8553" s="10" t="s">
        <v>53</v>
      </c>
      <c r="T8553" s="10" t="s">
        <v>54</v>
      </c>
    </row>
    <row r="8554" spans="1:20" ht="14.5" x14ac:dyDescent="0.35">
      <c r="A8554" s="10" t="s">
        <v>39564</v>
      </c>
      <c r="B8554" s="10" t="str">
        <f>"9781479861316"</f>
        <v>9781479861316</v>
      </c>
      <c r="C8554" s="10" t="str">
        <f>"9781479805563"</f>
        <v>9781479805563</v>
      </c>
      <c r="D8554" s="10" t="s">
        <v>20429</v>
      </c>
      <c r="E8554" s="10" t="s">
        <v>20430</v>
      </c>
      <c r="F8554" s="10" t="s">
        <v>70</v>
      </c>
      <c r="G8554" s="10" t="s">
        <v>6317</v>
      </c>
      <c r="H8554" s="11">
        <v>42160</v>
      </c>
      <c r="I8554" s="10">
        <v>2015</v>
      </c>
      <c r="J8554" s="10" t="s">
        <v>20430</v>
      </c>
      <c r="K8554" s="10">
        <v>250</v>
      </c>
      <c r="L8554" s="10" t="s">
        <v>39565</v>
      </c>
      <c r="M8554" s="10">
        <v>1</v>
      </c>
      <c r="N8554" s="10" t="s">
        <v>20465</v>
      </c>
      <c r="O8554" s="10">
        <v>2</v>
      </c>
      <c r="P8554" s="10" t="s">
        <v>39566</v>
      </c>
      <c r="Q8554" s="10" t="s">
        <v>39567</v>
      </c>
      <c r="R8554" s="10" t="s">
        <v>39568</v>
      </c>
      <c r="S8554" s="10" t="s">
        <v>53</v>
      </c>
      <c r="T8554" s="10" t="s">
        <v>54</v>
      </c>
    </row>
    <row r="8555" spans="1:20" ht="14.5" x14ac:dyDescent="0.35">
      <c r="A8555" s="10" t="s">
        <v>39569</v>
      </c>
      <c r="B8555" s="10" t="str">
        <f>"9781771672498"</f>
        <v>9781771672498</v>
      </c>
      <c r="C8555" s="10" t="str">
        <f>"9781771673969"</f>
        <v>9781771673969</v>
      </c>
      <c r="D8555" s="10" t="s">
        <v>29364</v>
      </c>
      <c r="E8555" s="10" t="s">
        <v>31200</v>
      </c>
      <c r="F8555" s="10" t="s">
        <v>1232</v>
      </c>
      <c r="G8555" s="10" t="s">
        <v>6317</v>
      </c>
      <c r="H8555" s="11">
        <v>42234</v>
      </c>
      <c r="I8555" s="10">
        <v>2016</v>
      </c>
      <c r="J8555" s="10" t="s">
        <v>29364</v>
      </c>
      <c r="K8555" s="10">
        <v>56</v>
      </c>
      <c r="L8555" s="10" t="s">
        <v>39570</v>
      </c>
      <c r="M8555" s="10">
        <v>1</v>
      </c>
      <c r="N8555" s="10" t="s">
        <v>39571</v>
      </c>
      <c r="O8555" s="10">
        <v>31</v>
      </c>
      <c r="P8555" s="10" t="s">
        <v>39572</v>
      </c>
      <c r="Q8555" s="10">
        <v>813.54</v>
      </c>
      <c r="R8555" s="10" t="s">
        <v>39573</v>
      </c>
      <c r="S8555" s="10" t="s">
        <v>53</v>
      </c>
      <c r="T8555" s="10" t="s">
        <v>1166</v>
      </c>
    </row>
    <row r="8556" spans="1:20" ht="14.5" x14ac:dyDescent="0.35">
      <c r="A8556" s="10" t="s">
        <v>39574</v>
      </c>
      <c r="B8556" s="10" t="str">
        <f>"9781771672467"</f>
        <v>9781771672467</v>
      </c>
      <c r="C8556" s="10" t="str">
        <f>"9781771673952"</f>
        <v>9781771673952</v>
      </c>
      <c r="D8556" s="10" t="s">
        <v>29364</v>
      </c>
      <c r="E8556" s="10" t="s">
        <v>31200</v>
      </c>
      <c r="F8556" s="10" t="s">
        <v>1232</v>
      </c>
      <c r="G8556" s="10" t="s">
        <v>6317</v>
      </c>
      <c r="H8556" s="11">
        <v>42241</v>
      </c>
      <c r="I8556" s="10">
        <v>2016</v>
      </c>
      <c r="J8556" s="10" t="s">
        <v>29364</v>
      </c>
      <c r="K8556" s="10">
        <v>56</v>
      </c>
      <c r="L8556" s="10" t="s">
        <v>39575</v>
      </c>
      <c r="M8556" s="10">
        <v>1</v>
      </c>
      <c r="N8556" s="10" t="s">
        <v>39576</v>
      </c>
      <c r="O8556" s="10">
        <v>19</v>
      </c>
      <c r="P8556" s="10" t="s">
        <v>39577</v>
      </c>
      <c r="Q8556" s="10">
        <v>809.89282000000003</v>
      </c>
      <c r="R8556" s="10" t="s">
        <v>39578</v>
      </c>
      <c r="S8556" s="10" t="s">
        <v>53</v>
      </c>
      <c r="T8556" s="10" t="s">
        <v>1166</v>
      </c>
    </row>
    <row r="8557" spans="1:20" ht="14.5" x14ac:dyDescent="0.35">
      <c r="A8557" s="10" t="s">
        <v>39579</v>
      </c>
      <c r="B8557" s="10" t="str">
        <f>""</f>
        <v/>
      </c>
      <c r="C8557" s="10" t="str">
        <f>"9781771674010"</f>
        <v>9781771674010</v>
      </c>
      <c r="D8557" s="10" t="s">
        <v>29364</v>
      </c>
      <c r="E8557" s="10" t="s">
        <v>31200</v>
      </c>
      <c r="F8557" s="10" t="s">
        <v>1232</v>
      </c>
      <c r="G8557" s="10" t="s">
        <v>6317</v>
      </c>
      <c r="H8557" s="11">
        <v>41640</v>
      </c>
      <c r="I8557" s="10">
        <v>2014</v>
      </c>
      <c r="J8557" s="10" t="s">
        <v>29364</v>
      </c>
      <c r="K8557" s="10">
        <v>56</v>
      </c>
      <c r="L8557" s="10" t="s">
        <v>39580</v>
      </c>
      <c r="M8557" s="10">
        <v>1</v>
      </c>
      <c r="N8557" s="10" t="s">
        <v>39581</v>
      </c>
      <c r="O8557" s="10">
        <v>14</v>
      </c>
      <c r="P8557" s="10" t="s">
        <v>39582</v>
      </c>
      <c r="Q8557" s="10">
        <v>813.6</v>
      </c>
      <c r="R8557" s="10" t="s">
        <v>39583</v>
      </c>
      <c r="S8557" s="10" t="s">
        <v>53</v>
      </c>
      <c r="T8557" s="10" t="s">
        <v>1166</v>
      </c>
    </row>
    <row r="8558" spans="1:20" ht="14.5" x14ac:dyDescent="0.35">
      <c r="A8558" s="10" t="s">
        <v>39584</v>
      </c>
      <c r="B8558" s="10" t="str">
        <f>""</f>
        <v/>
      </c>
      <c r="C8558" s="10" t="str">
        <f>"9781771673976"</f>
        <v>9781771673976</v>
      </c>
      <c r="D8558" s="10" t="s">
        <v>29364</v>
      </c>
      <c r="E8558" s="10" t="s">
        <v>31200</v>
      </c>
      <c r="F8558" s="10" t="s">
        <v>1232</v>
      </c>
      <c r="G8558" s="10" t="s">
        <v>6317</v>
      </c>
      <c r="H8558" s="11">
        <v>42269</v>
      </c>
      <c r="I8558" s="10">
        <v>2016</v>
      </c>
      <c r="J8558" s="10" t="s">
        <v>29364</v>
      </c>
      <c r="K8558" s="10">
        <v>56</v>
      </c>
      <c r="L8558" s="10" t="s">
        <v>39570</v>
      </c>
      <c r="M8558" s="10">
        <v>1</v>
      </c>
      <c r="N8558" s="10" t="s">
        <v>39571</v>
      </c>
      <c r="O8558" s="10">
        <v>32</v>
      </c>
      <c r="P8558" s="10" t="s">
        <v>39585</v>
      </c>
      <c r="Q8558" s="10">
        <v>809.89282000000003</v>
      </c>
      <c r="R8558" s="10" t="s">
        <v>39578</v>
      </c>
      <c r="S8558" s="10" t="s">
        <v>53</v>
      </c>
      <c r="T8558" s="10" t="s">
        <v>1166</v>
      </c>
    </row>
    <row r="8559" spans="1:20" ht="14.5" x14ac:dyDescent="0.35">
      <c r="A8559" s="10" t="s">
        <v>39586</v>
      </c>
      <c r="B8559" s="10" t="str">
        <f>"9782806266590"</f>
        <v>9782806266590</v>
      </c>
      <c r="C8559" s="10" t="str">
        <f>"9782806266583"</f>
        <v>9782806266583</v>
      </c>
      <c r="D8559" s="10" t="s">
        <v>29172</v>
      </c>
      <c r="E8559" s="10" t="s">
        <v>29173</v>
      </c>
      <c r="F8559" s="10" t="s">
        <v>29181</v>
      </c>
      <c r="G8559" s="10" t="s">
        <v>28737</v>
      </c>
      <c r="H8559" s="11">
        <v>42216</v>
      </c>
      <c r="I8559" s="10">
        <v>2015</v>
      </c>
      <c r="J8559" s="10" t="s">
        <v>29175</v>
      </c>
      <c r="K8559" s="10">
        <v>14</v>
      </c>
      <c r="L8559" s="10" t="s">
        <v>31419</v>
      </c>
      <c r="M8559" s="10">
        <v>1</v>
      </c>
      <c r="N8559" s="10" t="s">
        <v>29177</v>
      </c>
      <c r="O8559" s="10"/>
      <c r="P8559" s="10"/>
      <c r="Q8559" s="10"/>
      <c r="R8559" s="10" t="s">
        <v>39587</v>
      </c>
      <c r="S8559" s="10" t="s">
        <v>5404</v>
      </c>
      <c r="T8559" s="10" t="s">
        <v>10454</v>
      </c>
    </row>
    <row r="8560" spans="1:20" ht="14.5" x14ac:dyDescent="0.35">
      <c r="A8560" s="10" t="s">
        <v>39588</v>
      </c>
      <c r="B8560" s="10" t="str">
        <f>"9782806266453"</f>
        <v>9782806266453</v>
      </c>
      <c r="C8560" s="10" t="str">
        <f>"9782806266446"</f>
        <v>9782806266446</v>
      </c>
      <c r="D8560" s="10" t="s">
        <v>29172</v>
      </c>
      <c r="E8560" s="10" t="s">
        <v>29173</v>
      </c>
      <c r="F8560" s="10" t="s">
        <v>29181</v>
      </c>
      <c r="G8560" s="10" t="s">
        <v>28737</v>
      </c>
      <c r="H8560" s="11">
        <v>42216</v>
      </c>
      <c r="I8560" s="10">
        <v>2015</v>
      </c>
      <c r="J8560" s="10" t="s">
        <v>29175</v>
      </c>
      <c r="K8560" s="10">
        <v>15</v>
      </c>
      <c r="L8560" s="10" t="s">
        <v>39589</v>
      </c>
      <c r="M8560" s="10">
        <v>1</v>
      </c>
      <c r="N8560" s="10" t="s">
        <v>29177</v>
      </c>
      <c r="O8560" s="10"/>
      <c r="P8560" s="10"/>
      <c r="Q8560" s="10"/>
      <c r="R8560" s="10" t="s">
        <v>39590</v>
      </c>
      <c r="S8560" s="10" t="s">
        <v>5404</v>
      </c>
      <c r="T8560" s="10" t="s">
        <v>10454</v>
      </c>
    </row>
    <row r="8561" spans="1:20" ht="14.5" x14ac:dyDescent="0.35">
      <c r="A8561" s="10" t="s">
        <v>39591</v>
      </c>
      <c r="B8561" s="10" t="str">
        <f>"9782806265715"</f>
        <v>9782806265715</v>
      </c>
      <c r="C8561" s="10" t="str">
        <f>"9782806265708"</f>
        <v>9782806265708</v>
      </c>
      <c r="D8561" s="10" t="s">
        <v>29172</v>
      </c>
      <c r="E8561" s="10" t="s">
        <v>29173</v>
      </c>
      <c r="F8561" s="10" t="s">
        <v>29181</v>
      </c>
      <c r="G8561" s="10" t="s">
        <v>28737</v>
      </c>
      <c r="H8561" s="11">
        <v>42249</v>
      </c>
      <c r="I8561" s="10">
        <v>2015</v>
      </c>
      <c r="J8561" s="10" t="s">
        <v>29175</v>
      </c>
      <c r="K8561" s="10">
        <v>12</v>
      </c>
      <c r="L8561" s="10" t="s">
        <v>39592</v>
      </c>
      <c r="M8561" s="10">
        <v>1</v>
      </c>
      <c r="N8561" s="10" t="s">
        <v>29177</v>
      </c>
      <c r="O8561" s="10"/>
      <c r="P8561" s="10"/>
      <c r="Q8561" s="10"/>
      <c r="R8561" s="10" t="s">
        <v>39593</v>
      </c>
      <c r="S8561" s="10" t="s">
        <v>5404</v>
      </c>
      <c r="T8561" s="10" t="s">
        <v>10454</v>
      </c>
    </row>
    <row r="8562" spans="1:20" ht="14.5" x14ac:dyDescent="0.35">
      <c r="A8562" s="10" t="s">
        <v>39594</v>
      </c>
      <c r="B8562" s="10" t="str">
        <f>"9782806265692"</f>
        <v>9782806265692</v>
      </c>
      <c r="C8562" s="10" t="str">
        <f>"9782806265685"</f>
        <v>9782806265685</v>
      </c>
      <c r="D8562" s="10" t="s">
        <v>29172</v>
      </c>
      <c r="E8562" s="10" t="s">
        <v>29173</v>
      </c>
      <c r="F8562" s="10" t="s">
        <v>29181</v>
      </c>
      <c r="G8562" s="10" t="s">
        <v>28737</v>
      </c>
      <c r="H8562" s="11">
        <v>42249</v>
      </c>
      <c r="I8562" s="10">
        <v>2015</v>
      </c>
      <c r="J8562" s="10" t="s">
        <v>29175</v>
      </c>
      <c r="K8562" s="10">
        <v>74</v>
      </c>
      <c r="L8562" s="10" t="s">
        <v>39595</v>
      </c>
      <c r="M8562" s="10">
        <v>1</v>
      </c>
      <c r="N8562" s="10" t="s">
        <v>29177</v>
      </c>
      <c r="O8562" s="10"/>
      <c r="P8562" s="10"/>
      <c r="Q8562" s="10"/>
      <c r="R8562" s="10"/>
      <c r="S8562" s="10" t="s">
        <v>5404</v>
      </c>
      <c r="T8562" s="10" t="s">
        <v>6568</v>
      </c>
    </row>
    <row r="8563" spans="1:20" ht="14.5" x14ac:dyDescent="0.35">
      <c r="A8563" s="10" t="s">
        <v>39596</v>
      </c>
      <c r="B8563" s="10" t="str">
        <f>"9782806263902"</f>
        <v>9782806263902</v>
      </c>
      <c r="C8563" s="10" t="str">
        <f>"9782806263896"</f>
        <v>9782806263896</v>
      </c>
      <c r="D8563" s="10" t="s">
        <v>29172</v>
      </c>
      <c r="E8563" s="10" t="s">
        <v>29173</v>
      </c>
      <c r="F8563" s="10" t="s">
        <v>29181</v>
      </c>
      <c r="G8563" s="10" t="s">
        <v>28737</v>
      </c>
      <c r="H8563" s="11">
        <v>42216</v>
      </c>
      <c r="I8563" s="10">
        <v>2015</v>
      </c>
      <c r="J8563" s="10" t="s">
        <v>29175</v>
      </c>
      <c r="K8563" s="10">
        <v>14</v>
      </c>
      <c r="L8563" s="10" t="s">
        <v>39589</v>
      </c>
      <c r="M8563" s="10">
        <v>1</v>
      </c>
      <c r="N8563" s="10" t="s">
        <v>29177</v>
      </c>
      <c r="O8563" s="10"/>
      <c r="P8563" s="10"/>
      <c r="Q8563" s="10"/>
      <c r="R8563" s="10" t="s">
        <v>39597</v>
      </c>
      <c r="S8563" s="10" t="s">
        <v>5404</v>
      </c>
      <c r="T8563" s="10" t="s">
        <v>10454</v>
      </c>
    </row>
    <row r="8564" spans="1:20" ht="14.5" x14ac:dyDescent="0.35">
      <c r="A8564" s="10" t="s">
        <v>39598</v>
      </c>
      <c r="B8564" s="10" t="str">
        <f>"9782806265678"</f>
        <v>9782806265678</v>
      </c>
      <c r="C8564" s="10" t="str">
        <f>"9782806265661"</f>
        <v>9782806265661</v>
      </c>
      <c r="D8564" s="10" t="s">
        <v>29172</v>
      </c>
      <c r="E8564" s="10" t="s">
        <v>29173</v>
      </c>
      <c r="F8564" s="10" t="s">
        <v>29181</v>
      </c>
      <c r="G8564" s="10" t="s">
        <v>28737</v>
      </c>
      <c r="H8564" s="11">
        <v>42249</v>
      </c>
      <c r="I8564" s="10">
        <v>2015</v>
      </c>
      <c r="J8564" s="10" t="s">
        <v>29175</v>
      </c>
      <c r="K8564" s="10">
        <v>15</v>
      </c>
      <c r="L8564" s="10" t="s">
        <v>31393</v>
      </c>
      <c r="M8564" s="10">
        <v>1</v>
      </c>
      <c r="N8564" s="10" t="s">
        <v>29177</v>
      </c>
      <c r="O8564" s="10"/>
      <c r="P8564" s="10"/>
      <c r="Q8564" s="10"/>
      <c r="R8564" s="10" t="s">
        <v>39599</v>
      </c>
      <c r="S8564" s="10" t="s">
        <v>5404</v>
      </c>
      <c r="T8564" s="10" t="s">
        <v>6568</v>
      </c>
    </row>
    <row r="8565" spans="1:20" ht="14.5" x14ac:dyDescent="0.35">
      <c r="A8565" s="10" t="s">
        <v>39600</v>
      </c>
      <c r="B8565" s="10" t="str">
        <f>"9782806266477"</f>
        <v>9782806266477</v>
      </c>
      <c r="C8565" s="10" t="str">
        <f>"9782806266460"</f>
        <v>9782806266460</v>
      </c>
      <c r="D8565" s="10" t="s">
        <v>29172</v>
      </c>
      <c r="E8565" s="10" t="s">
        <v>29173</v>
      </c>
      <c r="F8565" s="10" t="s">
        <v>29181</v>
      </c>
      <c r="G8565" s="10" t="s">
        <v>28737</v>
      </c>
      <c r="H8565" s="11">
        <v>42216</v>
      </c>
      <c r="I8565" s="10">
        <v>2015</v>
      </c>
      <c r="J8565" s="10" t="s">
        <v>29175</v>
      </c>
      <c r="K8565" s="10">
        <v>35</v>
      </c>
      <c r="L8565" s="10" t="s">
        <v>39601</v>
      </c>
      <c r="M8565" s="10">
        <v>1</v>
      </c>
      <c r="N8565" s="10" t="s">
        <v>29177</v>
      </c>
      <c r="O8565" s="10"/>
      <c r="P8565" s="10"/>
      <c r="Q8565" s="10"/>
      <c r="R8565" s="10" t="s">
        <v>39602</v>
      </c>
      <c r="S8565" s="10" t="s">
        <v>5404</v>
      </c>
      <c r="T8565" s="10" t="s">
        <v>6568</v>
      </c>
    </row>
    <row r="8566" spans="1:20" ht="14.5" x14ac:dyDescent="0.35">
      <c r="A8566" s="10" t="s">
        <v>39603</v>
      </c>
      <c r="B8566" s="10" t="str">
        <f>"9782806265616"</f>
        <v>9782806265616</v>
      </c>
      <c r="C8566" s="10" t="str">
        <f>"9782806265609"</f>
        <v>9782806265609</v>
      </c>
      <c r="D8566" s="10" t="s">
        <v>29172</v>
      </c>
      <c r="E8566" s="10" t="s">
        <v>29173</v>
      </c>
      <c r="F8566" s="10" t="s">
        <v>29181</v>
      </c>
      <c r="G8566" s="10" t="s">
        <v>28737</v>
      </c>
      <c r="H8566" s="11">
        <v>42249</v>
      </c>
      <c r="I8566" s="10">
        <v>2015</v>
      </c>
      <c r="J8566" s="10" t="s">
        <v>29175</v>
      </c>
      <c r="K8566" s="10">
        <v>69</v>
      </c>
      <c r="L8566" s="10" t="s">
        <v>39604</v>
      </c>
      <c r="M8566" s="10">
        <v>1</v>
      </c>
      <c r="N8566" s="10" t="s">
        <v>29177</v>
      </c>
      <c r="O8566" s="10"/>
      <c r="P8566" s="10" t="s">
        <v>39605</v>
      </c>
      <c r="Q8566" s="10">
        <v>813.54</v>
      </c>
      <c r="R8566" s="10" t="s">
        <v>39606</v>
      </c>
      <c r="S8566" s="10" t="s">
        <v>5404</v>
      </c>
      <c r="T8566" s="10" t="s">
        <v>1166</v>
      </c>
    </row>
    <row r="8567" spans="1:20" ht="14.5" x14ac:dyDescent="0.35">
      <c r="A8567" s="10" t="s">
        <v>39607</v>
      </c>
      <c r="B8567" s="10" t="str">
        <f>"9782806265593"</f>
        <v>9782806265593</v>
      </c>
      <c r="C8567" s="10" t="str">
        <f>"9782806265586"</f>
        <v>9782806265586</v>
      </c>
      <c r="D8567" s="10" t="s">
        <v>29172</v>
      </c>
      <c r="E8567" s="10" t="s">
        <v>29173</v>
      </c>
      <c r="F8567" s="10" t="s">
        <v>29181</v>
      </c>
      <c r="G8567" s="10" t="s">
        <v>28737</v>
      </c>
      <c r="H8567" s="11">
        <v>42249</v>
      </c>
      <c r="I8567" s="10">
        <v>2015</v>
      </c>
      <c r="J8567" s="10" t="s">
        <v>29175</v>
      </c>
      <c r="K8567" s="10">
        <v>16</v>
      </c>
      <c r="L8567" s="10" t="s">
        <v>39608</v>
      </c>
      <c r="M8567" s="10">
        <v>1</v>
      </c>
      <c r="N8567" s="10" t="s">
        <v>29177</v>
      </c>
      <c r="O8567" s="10"/>
      <c r="P8567" s="10"/>
      <c r="Q8567" s="10"/>
      <c r="R8567" s="10" t="s">
        <v>31446</v>
      </c>
      <c r="S8567" s="10" t="s">
        <v>5404</v>
      </c>
      <c r="T8567" s="10" t="s">
        <v>6568</v>
      </c>
    </row>
    <row r="8568" spans="1:20" ht="14.5" x14ac:dyDescent="0.35">
      <c r="A8568" s="10" t="s">
        <v>39609</v>
      </c>
      <c r="B8568" s="10" t="str">
        <f>"9781849054683"</f>
        <v>9781849054683</v>
      </c>
      <c r="C8568" s="10" t="str">
        <f>"9780857008473"</f>
        <v>9780857008473</v>
      </c>
      <c r="D8568" s="10" t="s">
        <v>10516</v>
      </c>
      <c r="E8568" s="10" t="s">
        <v>10516</v>
      </c>
      <c r="F8568" s="10" t="s">
        <v>139</v>
      </c>
      <c r="G8568" s="10" t="s">
        <v>6352</v>
      </c>
      <c r="H8568" s="11">
        <v>42298</v>
      </c>
      <c r="I8568" s="10">
        <v>2015</v>
      </c>
      <c r="J8568" s="10" t="s">
        <v>10516</v>
      </c>
      <c r="K8568" s="10">
        <v>250</v>
      </c>
      <c r="L8568" s="10" t="s">
        <v>39610</v>
      </c>
      <c r="M8568" s="10">
        <v>1</v>
      </c>
      <c r="N8568" s="10"/>
      <c r="O8568" s="10"/>
      <c r="P8568" s="10" t="s">
        <v>39611</v>
      </c>
      <c r="Q8568" s="10" t="s">
        <v>39612</v>
      </c>
      <c r="R8568" s="10" t="s">
        <v>39613</v>
      </c>
      <c r="S8568" s="10" t="s">
        <v>53</v>
      </c>
      <c r="T8568" s="10" t="s">
        <v>6363</v>
      </c>
    </row>
    <row r="8569" spans="1:20" ht="14.5" x14ac:dyDescent="0.35">
      <c r="A8569" s="10" t="s">
        <v>39614</v>
      </c>
      <c r="B8569" s="10" t="str">
        <f>"9781472578983"</f>
        <v>9781472578983</v>
      </c>
      <c r="C8569" s="10" t="str">
        <f>"9781472579003"</f>
        <v>9781472579003</v>
      </c>
      <c r="D8569" s="10" t="s">
        <v>13959</v>
      </c>
      <c r="E8569" s="10" t="s">
        <v>13960</v>
      </c>
      <c r="F8569" s="10" t="s">
        <v>139</v>
      </c>
      <c r="G8569" s="10" t="s">
        <v>6352</v>
      </c>
      <c r="H8569" s="11">
        <v>42397</v>
      </c>
      <c r="I8569" s="10">
        <v>2016</v>
      </c>
      <c r="J8569" s="10" t="s">
        <v>14057</v>
      </c>
      <c r="K8569" s="10">
        <v>241</v>
      </c>
      <c r="L8569" s="10" t="s">
        <v>17810</v>
      </c>
      <c r="M8569" s="10">
        <v>1</v>
      </c>
      <c r="N8569" s="10"/>
      <c r="O8569" s="10"/>
      <c r="P8569" s="10" t="s">
        <v>39615</v>
      </c>
      <c r="Q8569" s="10" t="s">
        <v>12010</v>
      </c>
      <c r="R8569" s="10" t="s">
        <v>39616</v>
      </c>
      <c r="S8569" s="10" t="s">
        <v>53</v>
      </c>
      <c r="T8569" s="10" t="s">
        <v>54</v>
      </c>
    </row>
    <row r="8570" spans="1:20" ht="14.5" x14ac:dyDescent="0.35">
      <c r="A8570" s="10" t="s">
        <v>39617</v>
      </c>
      <c r="B8570" s="10" t="str">
        <f>"9781137396662"</f>
        <v>9781137396662</v>
      </c>
      <c r="C8570" s="10" t="str">
        <f>"9781137396679"</f>
        <v>9781137396679</v>
      </c>
      <c r="D8570" s="10" t="s">
        <v>13959</v>
      </c>
      <c r="E8570" s="10" t="s">
        <v>13960</v>
      </c>
      <c r="F8570" s="10" t="s">
        <v>139</v>
      </c>
      <c r="G8570" s="10" t="s">
        <v>6352</v>
      </c>
      <c r="H8570" s="11">
        <v>41963</v>
      </c>
      <c r="I8570" s="10">
        <v>2015</v>
      </c>
      <c r="J8570" s="10" t="s">
        <v>39618</v>
      </c>
      <c r="K8570" s="10">
        <v>233</v>
      </c>
      <c r="L8570" s="10" t="s">
        <v>39619</v>
      </c>
      <c r="M8570" s="10">
        <v>1</v>
      </c>
      <c r="N8570" s="10" t="s">
        <v>39620</v>
      </c>
      <c r="O8570" s="10"/>
      <c r="P8570" s="10" t="s">
        <v>11360</v>
      </c>
      <c r="Q8570" s="10" t="s">
        <v>9298</v>
      </c>
      <c r="R8570" s="10" t="s">
        <v>39621</v>
      </c>
      <c r="S8570" s="10" t="s">
        <v>53</v>
      </c>
      <c r="T8570" s="10" t="s">
        <v>54</v>
      </c>
    </row>
    <row r="8571" spans="1:20" ht="14.5" x14ac:dyDescent="0.35">
      <c r="A8571" s="10" t="s">
        <v>39622</v>
      </c>
      <c r="B8571" s="10" t="str">
        <f>"9781137441744"</f>
        <v>9781137441744</v>
      </c>
      <c r="C8571" s="10" t="str">
        <f>"9781137441751"</f>
        <v>9781137441751</v>
      </c>
      <c r="D8571" s="10" t="s">
        <v>11249</v>
      </c>
      <c r="E8571" s="10" t="s">
        <v>13407</v>
      </c>
      <c r="F8571" s="10" t="s">
        <v>139</v>
      </c>
      <c r="G8571" s="10" t="s">
        <v>6352</v>
      </c>
      <c r="H8571" s="11">
        <v>42268</v>
      </c>
      <c r="I8571" s="10">
        <v>2015</v>
      </c>
      <c r="J8571" s="10" t="s">
        <v>16380</v>
      </c>
      <c r="K8571" s="10">
        <v>221</v>
      </c>
      <c r="L8571" s="10" t="s">
        <v>39623</v>
      </c>
      <c r="M8571" s="10">
        <v>1</v>
      </c>
      <c r="N8571" s="10" t="s">
        <v>39548</v>
      </c>
      <c r="O8571" s="10"/>
      <c r="P8571" s="10" t="s">
        <v>39549</v>
      </c>
      <c r="Q8571" s="10">
        <v>370.94290000000001</v>
      </c>
      <c r="R8571" s="10" t="s">
        <v>6765</v>
      </c>
      <c r="S8571" s="10" t="s">
        <v>53</v>
      </c>
      <c r="T8571" s="10" t="s">
        <v>6526</v>
      </c>
    </row>
    <row r="8572" spans="1:20" ht="14.5" x14ac:dyDescent="0.35">
      <c r="A8572" s="10" t="s">
        <v>39624</v>
      </c>
      <c r="B8572" s="10" t="str">
        <f>"9780253018342"</f>
        <v>9780253018342</v>
      </c>
      <c r="C8572" s="10" t="str">
        <f>"9780253018403"</f>
        <v>9780253018403</v>
      </c>
      <c r="D8572" s="10" t="s">
        <v>6358</v>
      </c>
      <c r="E8572" s="10" t="s">
        <v>2455</v>
      </c>
      <c r="F8572" s="10" t="s">
        <v>3101</v>
      </c>
      <c r="G8572" s="10" t="s">
        <v>6317</v>
      </c>
      <c r="H8572" s="11">
        <v>42292</v>
      </c>
      <c r="I8572" s="10">
        <v>2015</v>
      </c>
      <c r="J8572" s="10" t="s">
        <v>2455</v>
      </c>
      <c r="K8572" s="10">
        <v>131</v>
      </c>
      <c r="L8572" s="10" t="s">
        <v>39625</v>
      </c>
      <c r="M8572" s="10">
        <v>1</v>
      </c>
      <c r="N8572" s="10"/>
      <c r="O8572" s="10"/>
      <c r="P8572" s="10"/>
      <c r="Q8572" s="10" t="s">
        <v>9298</v>
      </c>
      <c r="R8572" s="10" t="s">
        <v>39626</v>
      </c>
      <c r="S8572" s="10" t="s">
        <v>53</v>
      </c>
      <c r="T8572" s="10" t="s">
        <v>54</v>
      </c>
    </row>
    <row r="8573" spans="1:20" ht="14.5" x14ac:dyDescent="0.35">
      <c r="A8573" s="10" t="s">
        <v>39627</v>
      </c>
      <c r="B8573" s="10" t="str">
        <f>"9780128018569"</f>
        <v>9780128018569</v>
      </c>
      <c r="C8573" s="10" t="str">
        <f>"9780128018811"</f>
        <v>9780128018811</v>
      </c>
      <c r="D8573" s="10" t="s">
        <v>8547</v>
      </c>
      <c r="E8573" s="10" t="s">
        <v>8548</v>
      </c>
      <c r="F8573" s="10" t="s">
        <v>1232</v>
      </c>
      <c r="G8573" s="10" t="s">
        <v>6317</v>
      </c>
      <c r="H8573" s="11">
        <v>42292</v>
      </c>
      <c r="I8573" s="10">
        <v>2016</v>
      </c>
      <c r="J8573" s="10" t="s">
        <v>1231</v>
      </c>
      <c r="K8573" s="10">
        <v>329</v>
      </c>
      <c r="L8573" s="10" t="s">
        <v>39628</v>
      </c>
      <c r="M8573" s="10">
        <v>1</v>
      </c>
      <c r="N8573" s="10" t="s">
        <v>8550</v>
      </c>
      <c r="O8573" s="10"/>
      <c r="P8573" s="10"/>
      <c r="Q8573" s="10">
        <v>371.33</v>
      </c>
      <c r="R8573" s="10" t="s">
        <v>39629</v>
      </c>
      <c r="S8573" s="10" t="s">
        <v>53</v>
      </c>
      <c r="T8573" s="10" t="s">
        <v>54</v>
      </c>
    </row>
    <row r="8574" spans="1:20" ht="14.5" x14ac:dyDescent="0.35">
      <c r="A8574" s="10" t="s">
        <v>39630</v>
      </c>
      <c r="B8574" s="10" t="str">
        <f>"9781909682733"</f>
        <v>9781909682733</v>
      </c>
      <c r="C8574" s="10" t="str">
        <f>"9781909682757"</f>
        <v>9781909682757</v>
      </c>
      <c r="D8574" s="10" t="s">
        <v>9533</v>
      </c>
      <c r="E8574" s="10" t="s">
        <v>26840</v>
      </c>
      <c r="F8574" s="10" t="s">
        <v>26841</v>
      </c>
      <c r="G8574" s="10" t="s">
        <v>6352</v>
      </c>
      <c r="H8574" s="11">
        <v>42296</v>
      </c>
      <c r="I8574" s="10">
        <v>2015</v>
      </c>
      <c r="J8574" s="10" t="s">
        <v>26840</v>
      </c>
      <c r="K8574" s="10">
        <v>138</v>
      </c>
      <c r="L8574" s="10" t="s">
        <v>26898</v>
      </c>
      <c r="M8574" s="10">
        <v>1</v>
      </c>
      <c r="N8574" s="10" t="s">
        <v>26899</v>
      </c>
      <c r="O8574" s="10"/>
      <c r="P8574" s="10" t="s">
        <v>39631</v>
      </c>
      <c r="Q8574" s="10" t="s">
        <v>39632</v>
      </c>
      <c r="R8574" s="10" t="s">
        <v>7456</v>
      </c>
      <c r="S8574" s="10" t="s">
        <v>53</v>
      </c>
      <c r="T8574" s="10" t="s">
        <v>54</v>
      </c>
    </row>
    <row r="8575" spans="1:20" ht="14.5" x14ac:dyDescent="0.35">
      <c r="A8575" s="10" t="s">
        <v>39633</v>
      </c>
      <c r="B8575" s="10" t="str">
        <f>"9781118076828"</f>
        <v>9781118076828</v>
      </c>
      <c r="C8575" s="10" t="str">
        <f>"9781118236543"</f>
        <v>9781118236543</v>
      </c>
      <c r="D8575" s="10" t="s">
        <v>6322</v>
      </c>
      <c r="E8575" s="10" t="s">
        <v>6323</v>
      </c>
      <c r="F8575" s="10" t="s">
        <v>4423</v>
      </c>
      <c r="G8575" s="10" t="s">
        <v>6317</v>
      </c>
      <c r="H8575" s="11">
        <v>42255</v>
      </c>
      <c r="I8575" s="10">
        <v>2014</v>
      </c>
      <c r="J8575" s="10" t="s">
        <v>6324</v>
      </c>
      <c r="K8575" s="10">
        <v>194</v>
      </c>
      <c r="L8575" s="10" t="s">
        <v>39634</v>
      </c>
      <c r="M8575" s="10">
        <v>1</v>
      </c>
      <c r="N8575" s="10"/>
      <c r="O8575" s="10"/>
      <c r="P8575" s="10"/>
      <c r="Q8575" s="10"/>
      <c r="R8575" s="10" t="s">
        <v>22642</v>
      </c>
      <c r="S8575" s="10" t="s">
        <v>53</v>
      </c>
      <c r="T8575" s="10" t="s">
        <v>54</v>
      </c>
    </row>
    <row r="8576" spans="1:20" ht="14.5" x14ac:dyDescent="0.35">
      <c r="A8576" s="10" t="s">
        <v>39635</v>
      </c>
      <c r="B8576" s="10" t="str">
        <f>"9781118823521"</f>
        <v>9781118823521</v>
      </c>
      <c r="C8576" s="10" t="str">
        <f>"9781118823507"</f>
        <v>9781118823507</v>
      </c>
      <c r="D8576" s="10" t="s">
        <v>6322</v>
      </c>
      <c r="E8576" s="10" t="s">
        <v>6323</v>
      </c>
      <c r="F8576" s="10" t="s">
        <v>4423</v>
      </c>
      <c r="G8576" s="10" t="s">
        <v>6317</v>
      </c>
      <c r="H8576" s="11">
        <v>42212</v>
      </c>
      <c r="I8576" s="10">
        <v>2015</v>
      </c>
      <c r="J8576" s="10" t="s">
        <v>6324</v>
      </c>
      <c r="K8576" s="10">
        <v>370</v>
      </c>
      <c r="L8576" s="10" t="s">
        <v>39636</v>
      </c>
      <c r="M8576" s="10">
        <v>2</v>
      </c>
      <c r="N8576" s="10"/>
      <c r="O8576" s="10"/>
      <c r="P8576" s="10" t="s">
        <v>39637</v>
      </c>
      <c r="Q8576" s="10" t="s">
        <v>39638</v>
      </c>
      <c r="R8576" s="10" t="s">
        <v>39639</v>
      </c>
      <c r="S8576" s="10" t="s">
        <v>53</v>
      </c>
      <c r="T8576" s="10" t="s">
        <v>54</v>
      </c>
    </row>
    <row r="8577" spans="1:20" ht="14.5" x14ac:dyDescent="0.35">
      <c r="A8577" s="10" t="s">
        <v>39640</v>
      </c>
      <c r="B8577" s="10" t="str">
        <f>"9781118823415"</f>
        <v>9781118823415</v>
      </c>
      <c r="C8577" s="10" t="str">
        <f>"9781118823606"</f>
        <v>9781118823606</v>
      </c>
      <c r="D8577" s="10" t="s">
        <v>6322</v>
      </c>
      <c r="E8577" s="10" t="s">
        <v>6323</v>
      </c>
      <c r="F8577" s="10" t="s">
        <v>4423</v>
      </c>
      <c r="G8577" s="10" t="s">
        <v>6317</v>
      </c>
      <c r="H8577" s="11">
        <v>42268</v>
      </c>
      <c r="I8577" s="10">
        <v>2015</v>
      </c>
      <c r="J8577" s="10" t="s">
        <v>6324</v>
      </c>
      <c r="K8577" s="10">
        <v>394</v>
      </c>
      <c r="L8577" s="10" t="s">
        <v>39641</v>
      </c>
      <c r="M8577" s="10">
        <v>2</v>
      </c>
      <c r="N8577" s="10"/>
      <c r="O8577" s="10"/>
      <c r="P8577" s="10"/>
      <c r="Q8577" s="10">
        <v>378.19400000000002</v>
      </c>
      <c r="R8577" s="10" t="s">
        <v>39642</v>
      </c>
      <c r="S8577" s="10" t="s">
        <v>53</v>
      </c>
      <c r="T8577" s="10" t="s">
        <v>54</v>
      </c>
    </row>
    <row r="8578" spans="1:20" ht="14.5" x14ac:dyDescent="0.35">
      <c r="A8578" s="10" t="s">
        <v>39643</v>
      </c>
      <c r="B8578" s="10" t="str">
        <f>"9781118922439"</f>
        <v>9781118922439</v>
      </c>
      <c r="C8578" s="10" t="str">
        <f>"9781118922446"</f>
        <v>9781118922446</v>
      </c>
      <c r="D8578" s="10" t="s">
        <v>6322</v>
      </c>
      <c r="E8578" s="10" t="s">
        <v>6323</v>
      </c>
      <c r="F8578" s="10" t="s">
        <v>4423</v>
      </c>
      <c r="G8578" s="10" t="s">
        <v>6317</v>
      </c>
      <c r="H8578" s="11">
        <v>42282</v>
      </c>
      <c r="I8578" s="10">
        <v>2015</v>
      </c>
      <c r="J8578" s="10" t="s">
        <v>6324</v>
      </c>
      <c r="K8578" s="10">
        <v>210</v>
      </c>
      <c r="L8578" s="10" t="s">
        <v>39644</v>
      </c>
      <c r="M8578" s="10">
        <v>1</v>
      </c>
      <c r="N8578" s="10" t="s">
        <v>16630</v>
      </c>
      <c r="O8578" s="10"/>
      <c r="P8578" s="10" t="s">
        <v>39645</v>
      </c>
      <c r="Q8578" s="10"/>
      <c r="R8578" s="10" t="s">
        <v>39646</v>
      </c>
      <c r="S8578" s="10" t="s">
        <v>53</v>
      </c>
      <c r="T8578" s="10" t="s">
        <v>54</v>
      </c>
    </row>
    <row r="8579" spans="1:20" ht="14.5" x14ac:dyDescent="0.35">
      <c r="A8579" s="10" t="s">
        <v>39647</v>
      </c>
      <c r="B8579" s="10" t="str">
        <f>"9781119169499"</f>
        <v>9781119169499</v>
      </c>
      <c r="C8579" s="10" t="str">
        <f>"9781119169512"</f>
        <v>9781119169512</v>
      </c>
      <c r="D8579" s="10" t="s">
        <v>6322</v>
      </c>
      <c r="E8579" s="10" t="s">
        <v>6323</v>
      </c>
      <c r="F8579" s="10" t="s">
        <v>1168</v>
      </c>
      <c r="G8579" s="10" t="s">
        <v>6317</v>
      </c>
      <c r="H8579" s="11">
        <v>42275</v>
      </c>
      <c r="I8579" s="10">
        <v>2015</v>
      </c>
      <c r="J8579" s="10" t="s">
        <v>6324</v>
      </c>
      <c r="K8579" s="10">
        <v>121</v>
      </c>
      <c r="L8579" s="10" t="s">
        <v>39648</v>
      </c>
      <c r="M8579" s="10">
        <v>1</v>
      </c>
      <c r="N8579" s="10" t="s">
        <v>20712</v>
      </c>
      <c r="O8579" s="10"/>
      <c r="P8579" s="10" t="s">
        <v>39649</v>
      </c>
      <c r="Q8579" s="10">
        <v>371.39499999999998</v>
      </c>
      <c r="R8579" s="10" t="s">
        <v>39650</v>
      </c>
      <c r="S8579" s="10" t="s">
        <v>53</v>
      </c>
      <c r="T8579" s="10" t="s">
        <v>54</v>
      </c>
    </row>
    <row r="8580" spans="1:20" ht="14.5" x14ac:dyDescent="0.35">
      <c r="A8580" s="10" t="s">
        <v>39651</v>
      </c>
      <c r="B8580" s="10" t="str">
        <f>"9780081002131"</f>
        <v>9780081002131</v>
      </c>
      <c r="C8580" s="10" t="str">
        <f>"9780081002469"</f>
        <v>9780081002469</v>
      </c>
      <c r="D8580" s="10" t="s">
        <v>8547</v>
      </c>
      <c r="E8580" s="10" t="s">
        <v>8548</v>
      </c>
      <c r="F8580" s="10" t="s">
        <v>31644</v>
      </c>
      <c r="G8580" s="10" t="s">
        <v>6352</v>
      </c>
      <c r="H8580" s="11">
        <v>42297</v>
      </c>
      <c r="I8580" s="10">
        <v>2016</v>
      </c>
      <c r="J8580" s="10" t="s">
        <v>27024</v>
      </c>
      <c r="K8580" s="10">
        <v>294</v>
      </c>
      <c r="L8580" s="10" t="s">
        <v>39652</v>
      </c>
      <c r="M8580" s="10">
        <v>1</v>
      </c>
      <c r="N8580" s="10"/>
      <c r="O8580" s="10"/>
      <c r="P8580" s="10" t="s">
        <v>39653</v>
      </c>
      <c r="Q8580" s="10">
        <v>378</v>
      </c>
      <c r="R8580" s="10" t="s">
        <v>12345</v>
      </c>
      <c r="S8580" s="10" t="s">
        <v>53</v>
      </c>
      <c r="T8580" s="10" t="s">
        <v>54</v>
      </c>
    </row>
    <row r="8581" spans="1:20" ht="14.5" x14ac:dyDescent="0.35">
      <c r="A8581" s="10" t="s">
        <v>39654</v>
      </c>
      <c r="B8581" s="10" t="str">
        <f>""</f>
        <v/>
      </c>
      <c r="C8581" s="10" t="str">
        <f>"9781771675079"</f>
        <v>9781771675079</v>
      </c>
      <c r="D8581" s="10" t="s">
        <v>29364</v>
      </c>
      <c r="E8581" s="10" t="s">
        <v>31200</v>
      </c>
      <c r="F8581" s="10" t="s">
        <v>1232</v>
      </c>
      <c r="G8581" s="10" t="s">
        <v>6317</v>
      </c>
      <c r="H8581" s="11">
        <v>42290</v>
      </c>
      <c r="I8581" s="10">
        <v>2015</v>
      </c>
      <c r="J8581" s="10" t="s">
        <v>29364</v>
      </c>
      <c r="K8581" s="10">
        <v>20</v>
      </c>
      <c r="L8581" s="10" t="s">
        <v>39655</v>
      </c>
      <c r="M8581" s="10">
        <v>1</v>
      </c>
      <c r="N8581" s="10" t="s">
        <v>39656</v>
      </c>
      <c r="O8581" s="10">
        <v>5</v>
      </c>
      <c r="P8581" s="10" t="s">
        <v>39657</v>
      </c>
      <c r="Q8581" s="10">
        <v>516.16</v>
      </c>
      <c r="R8581" s="10" t="s">
        <v>39658</v>
      </c>
      <c r="S8581" s="10" t="s">
        <v>119</v>
      </c>
      <c r="T8581" s="10" t="s">
        <v>389</v>
      </c>
    </row>
    <row r="8582" spans="1:20" ht="14.5" x14ac:dyDescent="0.35">
      <c r="A8582" s="10" t="s">
        <v>39659</v>
      </c>
      <c r="B8582" s="10" t="str">
        <f>""</f>
        <v/>
      </c>
      <c r="C8582" s="10" t="str">
        <f>"9781771675055"</f>
        <v>9781771675055</v>
      </c>
      <c r="D8582" s="10" t="s">
        <v>29364</v>
      </c>
      <c r="E8582" s="10" t="s">
        <v>31200</v>
      </c>
      <c r="F8582" s="10" t="s">
        <v>1232</v>
      </c>
      <c r="G8582" s="10" t="s">
        <v>6317</v>
      </c>
      <c r="H8582" s="11">
        <v>42290</v>
      </c>
      <c r="I8582" s="10">
        <v>2015</v>
      </c>
      <c r="J8582" s="10" t="s">
        <v>29364</v>
      </c>
      <c r="K8582" s="10">
        <v>20</v>
      </c>
      <c r="L8582" s="10" t="s">
        <v>39655</v>
      </c>
      <c r="M8582" s="10">
        <v>1</v>
      </c>
      <c r="N8582" s="10" t="s">
        <v>39656</v>
      </c>
      <c r="O8582" s="10">
        <v>4</v>
      </c>
      <c r="P8582" s="10" t="s">
        <v>39660</v>
      </c>
      <c r="Q8582" s="10">
        <v>511.5</v>
      </c>
      <c r="R8582" s="10" t="s">
        <v>39661</v>
      </c>
      <c r="S8582" s="10" t="s">
        <v>119</v>
      </c>
      <c r="T8582" s="10" t="s">
        <v>389</v>
      </c>
    </row>
    <row r="8583" spans="1:20" ht="14.5" x14ac:dyDescent="0.35">
      <c r="A8583" s="10" t="s">
        <v>39662</v>
      </c>
      <c r="B8583" s="10" t="str">
        <f>""</f>
        <v/>
      </c>
      <c r="C8583" s="10" t="str">
        <f>"9781771675000"</f>
        <v>9781771675000</v>
      </c>
      <c r="D8583" s="10" t="s">
        <v>29364</v>
      </c>
      <c r="E8583" s="10" t="s">
        <v>31200</v>
      </c>
      <c r="F8583" s="10" t="s">
        <v>1232</v>
      </c>
      <c r="G8583" s="10" t="s">
        <v>6317</v>
      </c>
      <c r="H8583" s="11">
        <v>42290</v>
      </c>
      <c r="I8583" s="10">
        <v>2015</v>
      </c>
      <c r="J8583" s="10" t="s">
        <v>29364</v>
      </c>
      <c r="K8583" s="10">
        <v>20</v>
      </c>
      <c r="L8583" s="10" t="s">
        <v>39655</v>
      </c>
      <c r="M8583" s="10">
        <v>1</v>
      </c>
      <c r="N8583" s="10" t="s">
        <v>39663</v>
      </c>
      <c r="O8583" s="10">
        <v>4</v>
      </c>
      <c r="P8583" s="10" t="s">
        <v>39664</v>
      </c>
      <c r="Q8583" s="10">
        <v>3.74</v>
      </c>
      <c r="R8583" s="10" t="s">
        <v>39665</v>
      </c>
      <c r="S8583" s="10" t="s">
        <v>119</v>
      </c>
      <c r="T8583" s="10" t="s">
        <v>39666</v>
      </c>
    </row>
    <row r="8584" spans="1:20" ht="14.5" x14ac:dyDescent="0.35">
      <c r="A8584" s="10" t="s">
        <v>39667</v>
      </c>
      <c r="B8584" s="10" t="str">
        <f>""</f>
        <v/>
      </c>
      <c r="C8584" s="10" t="str">
        <f>"9781771674966"</f>
        <v>9781771674966</v>
      </c>
      <c r="D8584" s="10" t="s">
        <v>29364</v>
      </c>
      <c r="E8584" s="10" t="s">
        <v>31200</v>
      </c>
      <c r="F8584" s="10" t="s">
        <v>1232</v>
      </c>
      <c r="G8584" s="10" t="s">
        <v>6317</v>
      </c>
      <c r="H8584" s="11">
        <v>42290</v>
      </c>
      <c r="I8584" s="10">
        <v>2015</v>
      </c>
      <c r="J8584" s="10" t="s">
        <v>29364</v>
      </c>
      <c r="K8584" s="10">
        <v>20</v>
      </c>
      <c r="L8584" s="10" t="s">
        <v>39655</v>
      </c>
      <c r="M8584" s="10">
        <v>1</v>
      </c>
      <c r="N8584" s="10" t="s">
        <v>39663</v>
      </c>
      <c r="O8584" s="10">
        <v>2</v>
      </c>
      <c r="P8584" s="10" t="s">
        <v>39660</v>
      </c>
      <c r="Q8584" s="10">
        <v>511.5</v>
      </c>
      <c r="R8584" s="10" t="s">
        <v>39661</v>
      </c>
      <c r="S8584" s="10" t="s">
        <v>119</v>
      </c>
      <c r="T8584" s="10" t="s">
        <v>389</v>
      </c>
    </row>
    <row r="8585" spans="1:20" ht="14.5" x14ac:dyDescent="0.35">
      <c r="A8585" s="10" t="s">
        <v>39668</v>
      </c>
      <c r="B8585" s="10" t="str">
        <f>""</f>
        <v/>
      </c>
      <c r="C8585" s="10" t="str">
        <f>"9781771674997"</f>
        <v>9781771674997</v>
      </c>
      <c r="D8585" s="10" t="s">
        <v>29364</v>
      </c>
      <c r="E8585" s="10" t="s">
        <v>31200</v>
      </c>
      <c r="F8585" s="10" t="s">
        <v>1232</v>
      </c>
      <c r="G8585" s="10" t="s">
        <v>6317</v>
      </c>
      <c r="H8585" s="11">
        <v>42290</v>
      </c>
      <c r="I8585" s="10">
        <v>2015</v>
      </c>
      <c r="J8585" s="10" t="s">
        <v>29364</v>
      </c>
      <c r="K8585" s="10">
        <v>20</v>
      </c>
      <c r="L8585" s="10" t="s">
        <v>39655</v>
      </c>
      <c r="M8585" s="10">
        <v>1</v>
      </c>
      <c r="N8585" s="10" t="s">
        <v>39656</v>
      </c>
      <c r="O8585" s="10">
        <v>1</v>
      </c>
      <c r="P8585" s="10" t="s">
        <v>39669</v>
      </c>
      <c r="Q8585" s="10">
        <v>519.20000000000005</v>
      </c>
      <c r="R8585" s="10" t="s">
        <v>39670</v>
      </c>
      <c r="S8585" s="10" t="s">
        <v>119</v>
      </c>
      <c r="T8585" s="10" t="s">
        <v>389</v>
      </c>
    </row>
    <row r="8586" spans="1:20" ht="14.5" x14ac:dyDescent="0.35">
      <c r="A8586" s="10" t="s">
        <v>39671</v>
      </c>
      <c r="B8586" s="10" t="str">
        <f>""</f>
        <v/>
      </c>
      <c r="C8586" s="10" t="str">
        <f>"9781771675031"</f>
        <v>9781771675031</v>
      </c>
      <c r="D8586" s="10" t="s">
        <v>29364</v>
      </c>
      <c r="E8586" s="10" t="s">
        <v>31200</v>
      </c>
      <c r="F8586" s="10" t="s">
        <v>1232</v>
      </c>
      <c r="G8586" s="10" t="s">
        <v>6317</v>
      </c>
      <c r="H8586" s="11">
        <v>42290</v>
      </c>
      <c r="I8586" s="10">
        <v>2015</v>
      </c>
      <c r="J8586" s="10" t="s">
        <v>29364</v>
      </c>
      <c r="K8586" s="10">
        <v>20</v>
      </c>
      <c r="L8586" s="10" t="s">
        <v>39655</v>
      </c>
      <c r="M8586" s="10">
        <v>1</v>
      </c>
      <c r="N8586" s="10" t="s">
        <v>39656</v>
      </c>
      <c r="O8586" s="10">
        <v>3</v>
      </c>
      <c r="P8586" s="10" t="s">
        <v>39672</v>
      </c>
      <c r="Q8586" s="10">
        <v>1.4226000000000001</v>
      </c>
      <c r="R8586" s="10" t="s">
        <v>39673</v>
      </c>
      <c r="S8586" s="10" t="s">
        <v>119</v>
      </c>
      <c r="T8586" s="10" t="s">
        <v>39674</v>
      </c>
    </row>
    <row r="8587" spans="1:20" ht="14.5" x14ac:dyDescent="0.35">
      <c r="A8587" s="10" t="s">
        <v>39675</v>
      </c>
      <c r="B8587" s="10" t="str">
        <f>""</f>
        <v/>
      </c>
      <c r="C8587" s="10" t="str">
        <f>"9781771675017"</f>
        <v>9781771675017</v>
      </c>
      <c r="D8587" s="10" t="s">
        <v>29364</v>
      </c>
      <c r="E8587" s="10" t="s">
        <v>31200</v>
      </c>
      <c r="F8587" s="10" t="s">
        <v>1232</v>
      </c>
      <c r="G8587" s="10" t="s">
        <v>6317</v>
      </c>
      <c r="H8587" s="11">
        <v>42290</v>
      </c>
      <c r="I8587" s="10">
        <v>2015</v>
      </c>
      <c r="J8587" s="10" t="s">
        <v>29364</v>
      </c>
      <c r="K8587" s="10">
        <v>20</v>
      </c>
      <c r="L8587" s="10" t="s">
        <v>39655</v>
      </c>
      <c r="M8587" s="10">
        <v>1</v>
      </c>
      <c r="N8587" s="10" t="s">
        <v>39656</v>
      </c>
      <c r="O8587" s="10">
        <v>2</v>
      </c>
      <c r="P8587" s="10" t="s">
        <v>39676</v>
      </c>
      <c r="Q8587" s="10">
        <v>530.15949999999998</v>
      </c>
      <c r="R8587" s="10" t="s">
        <v>39677</v>
      </c>
      <c r="S8587" s="10" t="s">
        <v>119</v>
      </c>
      <c r="T8587" s="10" t="s">
        <v>11108</v>
      </c>
    </row>
    <row r="8588" spans="1:20" ht="14.5" x14ac:dyDescent="0.35">
      <c r="A8588" s="10" t="s">
        <v>39678</v>
      </c>
      <c r="B8588" s="10" t="str">
        <f>""</f>
        <v/>
      </c>
      <c r="C8588" s="10" t="str">
        <f>"9781771674973"</f>
        <v>9781771674973</v>
      </c>
      <c r="D8588" s="10" t="s">
        <v>29364</v>
      </c>
      <c r="E8588" s="10" t="s">
        <v>31200</v>
      </c>
      <c r="F8588" s="10" t="s">
        <v>1232</v>
      </c>
      <c r="G8588" s="10" t="s">
        <v>6317</v>
      </c>
      <c r="H8588" s="11">
        <v>42290</v>
      </c>
      <c r="I8588" s="10">
        <v>2015</v>
      </c>
      <c r="J8588" s="10" t="s">
        <v>29364</v>
      </c>
      <c r="K8588" s="10">
        <v>20</v>
      </c>
      <c r="L8588" s="10" t="s">
        <v>39679</v>
      </c>
      <c r="M8588" s="10">
        <v>1</v>
      </c>
      <c r="N8588" s="10" t="s">
        <v>39680</v>
      </c>
      <c r="O8588" s="10">
        <v>5</v>
      </c>
      <c r="P8588" s="10" t="s">
        <v>39681</v>
      </c>
      <c r="Q8588" s="10">
        <v>516</v>
      </c>
      <c r="R8588" s="10" t="s">
        <v>39682</v>
      </c>
      <c r="S8588" s="10" t="s">
        <v>119</v>
      </c>
      <c r="T8588" s="10" t="s">
        <v>389</v>
      </c>
    </row>
    <row r="8589" spans="1:20" ht="14.5" x14ac:dyDescent="0.35">
      <c r="A8589" s="10" t="s">
        <v>39683</v>
      </c>
      <c r="B8589" s="10" t="str">
        <f>""</f>
        <v/>
      </c>
      <c r="C8589" s="10" t="str">
        <f>"9781771674959"</f>
        <v>9781771674959</v>
      </c>
      <c r="D8589" s="10" t="s">
        <v>29364</v>
      </c>
      <c r="E8589" s="10" t="s">
        <v>31200</v>
      </c>
      <c r="F8589" s="10" t="s">
        <v>1232</v>
      </c>
      <c r="G8589" s="10" t="s">
        <v>6317</v>
      </c>
      <c r="H8589" s="11">
        <v>42290</v>
      </c>
      <c r="I8589" s="10">
        <v>2015</v>
      </c>
      <c r="J8589" s="10" t="s">
        <v>29364</v>
      </c>
      <c r="K8589" s="10">
        <v>20</v>
      </c>
      <c r="L8589" s="10" t="s">
        <v>39679</v>
      </c>
      <c r="M8589" s="10">
        <v>1</v>
      </c>
      <c r="N8589" s="10" t="s">
        <v>39680</v>
      </c>
      <c r="O8589" s="10">
        <v>4</v>
      </c>
      <c r="P8589" s="10" t="s">
        <v>39684</v>
      </c>
      <c r="Q8589" s="10">
        <v>516</v>
      </c>
      <c r="R8589" s="10" t="s">
        <v>36129</v>
      </c>
      <c r="S8589" s="10" t="s">
        <v>119</v>
      </c>
      <c r="T8589" s="10" t="s">
        <v>389</v>
      </c>
    </row>
    <row r="8590" spans="1:20" ht="14.5" x14ac:dyDescent="0.35">
      <c r="A8590" s="10" t="s">
        <v>39685</v>
      </c>
      <c r="B8590" s="10" t="str">
        <f>""</f>
        <v/>
      </c>
      <c r="C8590" s="10" t="str">
        <f>"9781771674911"</f>
        <v>9781771674911</v>
      </c>
      <c r="D8590" s="10" t="s">
        <v>29364</v>
      </c>
      <c r="E8590" s="10" t="s">
        <v>31200</v>
      </c>
      <c r="F8590" s="10" t="s">
        <v>1232</v>
      </c>
      <c r="G8590" s="10" t="s">
        <v>6317</v>
      </c>
      <c r="H8590" s="11">
        <v>42290</v>
      </c>
      <c r="I8590" s="10">
        <v>2015</v>
      </c>
      <c r="J8590" s="10" t="s">
        <v>29364</v>
      </c>
      <c r="K8590" s="10">
        <v>20</v>
      </c>
      <c r="L8590" s="10" t="s">
        <v>39679</v>
      </c>
      <c r="M8590" s="10">
        <v>1</v>
      </c>
      <c r="N8590" s="10" t="s">
        <v>39680</v>
      </c>
      <c r="O8590" s="10">
        <v>2</v>
      </c>
      <c r="P8590" s="10" t="s">
        <v>39686</v>
      </c>
      <c r="Q8590" s="10">
        <v>536.5</v>
      </c>
      <c r="R8590" s="10" t="s">
        <v>39687</v>
      </c>
      <c r="S8590" s="10" t="s">
        <v>119</v>
      </c>
      <c r="T8590" s="10" t="s">
        <v>11578</v>
      </c>
    </row>
    <row r="8591" spans="1:20" ht="14.5" x14ac:dyDescent="0.35">
      <c r="A8591" s="10" t="s">
        <v>39688</v>
      </c>
      <c r="B8591" s="10" t="str">
        <f>""</f>
        <v/>
      </c>
      <c r="C8591" s="10" t="str">
        <f>"9781771674935"</f>
        <v>9781771674935</v>
      </c>
      <c r="D8591" s="10" t="s">
        <v>29364</v>
      </c>
      <c r="E8591" s="10" t="s">
        <v>31200</v>
      </c>
      <c r="F8591" s="10" t="s">
        <v>1232</v>
      </c>
      <c r="G8591" s="10" t="s">
        <v>6317</v>
      </c>
      <c r="H8591" s="11">
        <v>42290</v>
      </c>
      <c r="I8591" s="10">
        <v>2015</v>
      </c>
      <c r="J8591" s="10" t="s">
        <v>29364</v>
      </c>
      <c r="K8591" s="10">
        <v>20</v>
      </c>
      <c r="L8591" s="10" t="s">
        <v>39679</v>
      </c>
      <c r="M8591" s="10">
        <v>1</v>
      </c>
      <c r="N8591" s="10" t="s">
        <v>39680</v>
      </c>
      <c r="O8591" s="10">
        <v>3</v>
      </c>
      <c r="P8591" s="10" t="s">
        <v>39689</v>
      </c>
      <c r="Q8591" s="10">
        <v>516.15</v>
      </c>
      <c r="R8591" s="10" t="s">
        <v>39690</v>
      </c>
      <c r="S8591" s="10" t="s">
        <v>119</v>
      </c>
      <c r="T8591" s="10" t="s">
        <v>389</v>
      </c>
    </row>
    <row r="8592" spans="1:20" ht="14.5" x14ac:dyDescent="0.35">
      <c r="A8592" s="10" t="s">
        <v>39691</v>
      </c>
      <c r="B8592" s="10" t="str">
        <f>""</f>
        <v/>
      </c>
      <c r="C8592" s="10" t="str">
        <f>"9781771674607"</f>
        <v>9781771674607</v>
      </c>
      <c r="D8592" s="10" t="s">
        <v>29364</v>
      </c>
      <c r="E8592" s="10" t="s">
        <v>31200</v>
      </c>
      <c r="F8592" s="10" t="s">
        <v>1232</v>
      </c>
      <c r="G8592" s="10" t="s">
        <v>6317</v>
      </c>
      <c r="H8592" s="11">
        <v>42290</v>
      </c>
      <c r="I8592" s="10">
        <v>2015</v>
      </c>
      <c r="J8592" s="10" t="s">
        <v>29364</v>
      </c>
      <c r="K8592" s="10">
        <v>20</v>
      </c>
      <c r="L8592" s="10" t="s">
        <v>39692</v>
      </c>
      <c r="M8592" s="10">
        <v>1</v>
      </c>
      <c r="N8592" s="10" t="s">
        <v>39693</v>
      </c>
      <c r="O8592" s="10">
        <v>4</v>
      </c>
      <c r="P8592" s="10" t="s">
        <v>39694</v>
      </c>
      <c r="Q8592" s="10">
        <v>513</v>
      </c>
      <c r="R8592" s="10" t="s">
        <v>39695</v>
      </c>
      <c r="S8592" s="10" t="s">
        <v>119</v>
      </c>
      <c r="T8592" s="10" t="s">
        <v>21126</v>
      </c>
    </row>
    <row r="8593" spans="1:20" ht="14.5" x14ac:dyDescent="0.35">
      <c r="A8593" s="10" t="s">
        <v>39696</v>
      </c>
      <c r="B8593" s="10" t="str">
        <f>""</f>
        <v/>
      </c>
      <c r="C8593" s="10" t="str">
        <f>"9781771674829"</f>
        <v>9781771674829</v>
      </c>
      <c r="D8593" s="10" t="s">
        <v>29364</v>
      </c>
      <c r="E8593" s="10" t="s">
        <v>31200</v>
      </c>
      <c r="F8593" s="10" t="s">
        <v>1232</v>
      </c>
      <c r="G8593" s="10" t="s">
        <v>6317</v>
      </c>
      <c r="H8593" s="11">
        <v>42290</v>
      </c>
      <c r="I8593" s="10">
        <v>2015</v>
      </c>
      <c r="J8593" s="10" t="s">
        <v>29364</v>
      </c>
      <c r="K8593" s="10">
        <v>20</v>
      </c>
      <c r="L8593" s="10" t="s">
        <v>39697</v>
      </c>
      <c r="M8593" s="10">
        <v>1</v>
      </c>
      <c r="N8593" s="10" t="s">
        <v>39698</v>
      </c>
      <c r="O8593" s="10">
        <v>5</v>
      </c>
      <c r="P8593" s="10" t="s">
        <v>39699</v>
      </c>
      <c r="Q8593" s="10">
        <v>513</v>
      </c>
      <c r="R8593" s="10" t="s">
        <v>39700</v>
      </c>
      <c r="S8593" s="10" t="s">
        <v>119</v>
      </c>
      <c r="T8593" s="10" t="s">
        <v>39701</v>
      </c>
    </row>
    <row r="8594" spans="1:20" ht="14.5" x14ac:dyDescent="0.35">
      <c r="A8594" s="10" t="s">
        <v>39702</v>
      </c>
      <c r="B8594" s="10" t="str">
        <f>""</f>
        <v/>
      </c>
      <c r="C8594" s="10" t="str">
        <f>"9781771674898"</f>
        <v>9781771674898</v>
      </c>
      <c r="D8594" s="10" t="s">
        <v>29364</v>
      </c>
      <c r="E8594" s="10" t="s">
        <v>31200</v>
      </c>
      <c r="F8594" s="10" t="s">
        <v>1232</v>
      </c>
      <c r="G8594" s="10" t="s">
        <v>6317</v>
      </c>
      <c r="H8594" s="11">
        <v>42290</v>
      </c>
      <c r="I8594" s="10">
        <v>2015</v>
      </c>
      <c r="J8594" s="10" t="s">
        <v>29364</v>
      </c>
      <c r="K8594" s="10">
        <v>20</v>
      </c>
      <c r="L8594" s="10" t="s">
        <v>39679</v>
      </c>
      <c r="M8594" s="10">
        <v>1</v>
      </c>
      <c r="N8594" s="10" t="s">
        <v>39680</v>
      </c>
      <c r="O8594" s="10">
        <v>1</v>
      </c>
      <c r="P8594" s="10" t="s">
        <v>39703</v>
      </c>
      <c r="Q8594" s="10">
        <v>530.79999999999995</v>
      </c>
      <c r="R8594" s="10" t="s">
        <v>39704</v>
      </c>
      <c r="S8594" s="10" t="s">
        <v>119</v>
      </c>
      <c r="T8594" s="10" t="s">
        <v>11548</v>
      </c>
    </row>
    <row r="8595" spans="1:20" ht="14.5" x14ac:dyDescent="0.35">
      <c r="A8595" s="10" t="s">
        <v>39705</v>
      </c>
      <c r="B8595" s="10" t="str">
        <f>""</f>
        <v/>
      </c>
      <c r="C8595" s="10" t="str">
        <f>"9781771674874"</f>
        <v>9781771674874</v>
      </c>
      <c r="D8595" s="10" t="s">
        <v>29364</v>
      </c>
      <c r="E8595" s="10" t="s">
        <v>31200</v>
      </c>
      <c r="F8595" s="10" t="s">
        <v>1232</v>
      </c>
      <c r="G8595" s="10" t="s">
        <v>6317</v>
      </c>
      <c r="H8595" s="11">
        <v>42290</v>
      </c>
      <c r="I8595" s="10">
        <v>2015</v>
      </c>
      <c r="J8595" s="10" t="s">
        <v>29364</v>
      </c>
      <c r="K8595" s="10">
        <v>20</v>
      </c>
      <c r="L8595" s="10" t="s">
        <v>39697</v>
      </c>
      <c r="M8595" s="10">
        <v>1</v>
      </c>
      <c r="N8595" s="10" t="s">
        <v>39706</v>
      </c>
      <c r="O8595" s="10">
        <v>5</v>
      </c>
      <c r="P8595" s="10" t="s">
        <v>39699</v>
      </c>
      <c r="Q8595" s="10">
        <v>513</v>
      </c>
      <c r="R8595" s="10" t="s">
        <v>39700</v>
      </c>
      <c r="S8595" s="10" t="s">
        <v>119</v>
      </c>
      <c r="T8595" s="10" t="s">
        <v>39707</v>
      </c>
    </row>
    <row r="8596" spans="1:20" ht="14.5" x14ac:dyDescent="0.35">
      <c r="A8596" s="10" t="s">
        <v>39708</v>
      </c>
      <c r="B8596" s="10" t="str">
        <f>""</f>
        <v/>
      </c>
      <c r="C8596" s="10" t="str">
        <f>"9781771674713"</f>
        <v>9781771674713</v>
      </c>
      <c r="D8596" s="10" t="s">
        <v>29364</v>
      </c>
      <c r="E8596" s="10" t="s">
        <v>31200</v>
      </c>
      <c r="F8596" s="10" t="s">
        <v>1232</v>
      </c>
      <c r="G8596" s="10" t="s">
        <v>6317</v>
      </c>
      <c r="H8596" s="11">
        <v>42290</v>
      </c>
      <c r="I8596" s="10">
        <v>2015</v>
      </c>
      <c r="J8596" s="10" t="s">
        <v>29364</v>
      </c>
      <c r="K8596" s="10">
        <v>20</v>
      </c>
      <c r="L8596" s="10" t="s">
        <v>39692</v>
      </c>
      <c r="M8596" s="10">
        <v>1</v>
      </c>
      <c r="N8596" s="10" t="s">
        <v>39709</v>
      </c>
      <c r="O8596" s="10">
        <v>2</v>
      </c>
      <c r="P8596" s="10" t="s">
        <v>39710</v>
      </c>
      <c r="Q8596" s="10">
        <v>701.17</v>
      </c>
      <c r="R8596" s="10" t="s">
        <v>39711</v>
      </c>
      <c r="S8596" s="10" t="s">
        <v>119</v>
      </c>
      <c r="T8596" s="10" t="s">
        <v>6384</v>
      </c>
    </row>
    <row r="8597" spans="1:20" ht="14.5" x14ac:dyDescent="0.35">
      <c r="A8597" s="10" t="s">
        <v>39712</v>
      </c>
      <c r="B8597" s="10" t="str">
        <f>""</f>
        <v/>
      </c>
      <c r="C8597" s="10" t="str">
        <f>"9781771674850"</f>
        <v>9781771674850</v>
      </c>
      <c r="D8597" s="10" t="s">
        <v>29364</v>
      </c>
      <c r="E8597" s="10" t="s">
        <v>31200</v>
      </c>
      <c r="F8597" s="10" t="s">
        <v>1232</v>
      </c>
      <c r="G8597" s="10" t="s">
        <v>6317</v>
      </c>
      <c r="H8597" s="11">
        <v>42290</v>
      </c>
      <c r="I8597" s="10">
        <v>2015</v>
      </c>
      <c r="J8597" s="10" t="s">
        <v>29364</v>
      </c>
      <c r="K8597" s="10">
        <v>20</v>
      </c>
      <c r="L8597" s="10" t="s">
        <v>39697</v>
      </c>
      <c r="M8597" s="10">
        <v>1</v>
      </c>
      <c r="N8597" s="10" t="s">
        <v>39706</v>
      </c>
      <c r="O8597" s="10">
        <v>4</v>
      </c>
      <c r="P8597" s="10" t="s">
        <v>39713</v>
      </c>
      <c r="Q8597" s="10">
        <v>530.79999999999995</v>
      </c>
      <c r="R8597" s="10" t="s">
        <v>39714</v>
      </c>
      <c r="S8597" s="10" t="s">
        <v>119</v>
      </c>
      <c r="T8597" s="10" t="s">
        <v>39715</v>
      </c>
    </row>
    <row r="8598" spans="1:20" ht="14.5" x14ac:dyDescent="0.35">
      <c r="A8598" s="10" t="s">
        <v>39716</v>
      </c>
      <c r="B8598" s="10" t="str">
        <f>""</f>
        <v/>
      </c>
      <c r="C8598" s="10" t="str">
        <f>"9781771674836"</f>
        <v>9781771674836</v>
      </c>
      <c r="D8598" s="10" t="s">
        <v>29364</v>
      </c>
      <c r="E8598" s="10" t="s">
        <v>31200</v>
      </c>
      <c r="F8598" s="10" t="s">
        <v>1232</v>
      </c>
      <c r="G8598" s="10" t="s">
        <v>6317</v>
      </c>
      <c r="H8598" s="11">
        <v>42290</v>
      </c>
      <c r="I8598" s="10">
        <v>2015</v>
      </c>
      <c r="J8598" s="10" t="s">
        <v>29364</v>
      </c>
      <c r="K8598" s="10">
        <v>20</v>
      </c>
      <c r="L8598" s="10" t="s">
        <v>39697</v>
      </c>
      <c r="M8598" s="10">
        <v>1</v>
      </c>
      <c r="N8598" s="10" t="s">
        <v>39706</v>
      </c>
      <c r="O8598" s="10">
        <v>3</v>
      </c>
      <c r="P8598" s="10" t="s">
        <v>39717</v>
      </c>
      <c r="Q8598" s="10">
        <v>516</v>
      </c>
      <c r="R8598" s="10" t="s">
        <v>36129</v>
      </c>
      <c r="S8598" s="10" t="s">
        <v>119</v>
      </c>
      <c r="T8598" s="10" t="s">
        <v>389</v>
      </c>
    </row>
    <row r="8599" spans="1:20" ht="14.5" x14ac:dyDescent="0.35">
      <c r="A8599" s="10" t="s">
        <v>39718</v>
      </c>
      <c r="B8599" s="10" t="str">
        <f>""</f>
        <v/>
      </c>
      <c r="C8599" s="10" t="str">
        <f>"9781771674737"</f>
        <v>9781771674737</v>
      </c>
      <c r="D8599" s="10" t="s">
        <v>29364</v>
      </c>
      <c r="E8599" s="10" t="s">
        <v>31200</v>
      </c>
      <c r="F8599" s="10" t="s">
        <v>1232</v>
      </c>
      <c r="G8599" s="10" t="s">
        <v>6317</v>
      </c>
      <c r="H8599" s="11">
        <v>42290</v>
      </c>
      <c r="I8599" s="10">
        <v>2015</v>
      </c>
      <c r="J8599" s="10" t="s">
        <v>29364</v>
      </c>
      <c r="K8599" s="10">
        <v>20</v>
      </c>
      <c r="L8599" s="10" t="s">
        <v>39692</v>
      </c>
      <c r="M8599" s="10">
        <v>1</v>
      </c>
      <c r="N8599" s="10" t="s">
        <v>39709</v>
      </c>
      <c r="O8599" s="10">
        <v>3</v>
      </c>
      <c r="P8599" s="10" t="s">
        <v>39719</v>
      </c>
      <c r="Q8599" s="10">
        <v>512.9</v>
      </c>
      <c r="R8599" s="10" t="s">
        <v>39720</v>
      </c>
      <c r="S8599" s="10" t="s">
        <v>119</v>
      </c>
      <c r="T8599" s="10" t="s">
        <v>389</v>
      </c>
    </row>
    <row r="8600" spans="1:20" ht="14.5" x14ac:dyDescent="0.35">
      <c r="A8600" s="10" t="s">
        <v>39721</v>
      </c>
      <c r="B8600" s="10" t="str">
        <f>""</f>
        <v/>
      </c>
      <c r="C8600" s="10" t="str">
        <f>"9781771674812"</f>
        <v>9781771674812</v>
      </c>
      <c r="D8600" s="10" t="s">
        <v>29364</v>
      </c>
      <c r="E8600" s="10" t="s">
        <v>31200</v>
      </c>
      <c r="F8600" s="10" t="s">
        <v>1232</v>
      </c>
      <c r="G8600" s="10" t="s">
        <v>6317</v>
      </c>
      <c r="H8600" s="11">
        <v>42290</v>
      </c>
      <c r="I8600" s="10">
        <v>2015</v>
      </c>
      <c r="J8600" s="10" t="s">
        <v>29364</v>
      </c>
      <c r="K8600" s="10">
        <v>20</v>
      </c>
      <c r="L8600" s="10" t="s">
        <v>39697</v>
      </c>
      <c r="M8600" s="10">
        <v>1</v>
      </c>
      <c r="N8600" s="10" t="s">
        <v>39706</v>
      </c>
      <c r="O8600" s="10">
        <v>2</v>
      </c>
      <c r="P8600" s="10" t="s">
        <v>39722</v>
      </c>
      <c r="Q8600" s="10">
        <v>516</v>
      </c>
      <c r="R8600" s="10" t="s">
        <v>39723</v>
      </c>
      <c r="S8600" s="10" t="s">
        <v>119</v>
      </c>
      <c r="T8600" s="10" t="s">
        <v>389</v>
      </c>
    </row>
    <row r="8601" spans="1:20" ht="14.5" x14ac:dyDescent="0.35">
      <c r="A8601" s="10" t="s">
        <v>39724</v>
      </c>
      <c r="B8601" s="10" t="str">
        <f>""</f>
        <v/>
      </c>
      <c r="C8601" s="10" t="str">
        <f>"9781771674799"</f>
        <v>9781771674799</v>
      </c>
      <c r="D8601" s="10" t="s">
        <v>29364</v>
      </c>
      <c r="E8601" s="10" t="s">
        <v>31200</v>
      </c>
      <c r="F8601" s="10" t="s">
        <v>1232</v>
      </c>
      <c r="G8601" s="10" t="s">
        <v>6317</v>
      </c>
      <c r="H8601" s="11">
        <v>42290</v>
      </c>
      <c r="I8601" s="10">
        <v>2015</v>
      </c>
      <c r="J8601" s="10" t="s">
        <v>29364</v>
      </c>
      <c r="K8601" s="10">
        <v>20</v>
      </c>
      <c r="L8601" s="10" t="s">
        <v>39697</v>
      </c>
      <c r="M8601" s="10">
        <v>1</v>
      </c>
      <c r="N8601" s="10" t="s">
        <v>39706</v>
      </c>
      <c r="O8601" s="10">
        <v>1</v>
      </c>
      <c r="P8601" s="10" t="s">
        <v>39689</v>
      </c>
      <c r="Q8601" s="10">
        <v>516.15</v>
      </c>
      <c r="R8601" s="10" t="s">
        <v>39690</v>
      </c>
      <c r="S8601" s="10" t="s">
        <v>119</v>
      </c>
      <c r="T8601" s="10" t="s">
        <v>389</v>
      </c>
    </row>
    <row r="8602" spans="1:20" ht="14.5" x14ac:dyDescent="0.35">
      <c r="A8602" s="10" t="s">
        <v>39725</v>
      </c>
      <c r="B8602" s="10" t="str">
        <f>""</f>
        <v/>
      </c>
      <c r="C8602" s="10" t="str">
        <f>"9781771674638"</f>
        <v>9781771674638</v>
      </c>
      <c r="D8602" s="10" t="s">
        <v>29364</v>
      </c>
      <c r="E8602" s="10" t="s">
        <v>31200</v>
      </c>
      <c r="F8602" s="10" t="s">
        <v>1232</v>
      </c>
      <c r="G8602" s="10" t="s">
        <v>6317</v>
      </c>
      <c r="H8602" s="11">
        <v>42290</v>
      </c>
      <c r="I8602" s="10">
        <v>2015</v>
      </c>
      <c r="J8602" s="10" t="s">
        <v>29364</v>
      </c>
      <c r="K8602" s="10">
        <v>20</v>
      </c>
      <c r="L8602" s="10" t="s">
        <v>39692</v>
      </c>
      <c r="M8602" s="10">
        <v>1</v>
      </c>
      <c r="N8602" s="10" t="s">
        <v>39726</v>
      </c>
      <c r="O8602" s="10">
        <v>3</v>
      </c>
      <c r="P8602" s="10" t="s">
        <v>39710</v>
      </c>
      <c r="Q8602" s="10">
        <v>701.17</v>
      </c>
      <c r="R8602" s="10" t="s">
        <v>39711</v>
      </c>
      <c r="S8602" s="10" t="s">
        <v>119</v>
      </c>
      <c r="T8602" s="10" t="s">
        <v>6384</v>
      </c>
    </row>
    <row r="8603" spans="1:20" ht="14.5" x14ac:dyDescent="0.35">
      <c r="A8603" s="10" t="s">
        <v>39727</v>
      </c>
      <c r="B8603" s="10" t="str">
        <f>""</f>
        <v/>
      </c>
      <c r="C8603" s="10" t="str">
        <f>"9781771674621"</f>
        <v>9781771674621</v>
      </c>
      <c r="D8603" s="10" t="s">
        <v>29364</v>
      </c>
      <c r="E8603" s="10" t="s">
        <v>31200</v>
      </c>
      <c r="F8603" s="10" t="s">
        <v>1232</v>
      </c>
      <c r="G8603" s="10" t="s">
        <v>6317</v>
      </c>
      <c r="H8603" s="11">
        <v>42290</v>
      </c>
      <c r="I8603" s="10">
        <v>2015</v>
      </c>
      <c r="J8603" s="10" t="s">
        <v>29364</v>
      </c>
      <c r="K8603" s="10">
        <v>20</v>
      </c>
      <c r="L8603" s="10" t="s">
        <v>39692</v>
      </c>
      <c r="M8603" s="10">
        <v>1</v>
      </c>
      <c r="N8603" s="10" t="s">
        <v>39693</v>
      </c>
      <c r="O8603" s="10">
        <v>5</v>
      </c>
      <c r="P8603" s="10" t="s">
        <v>39728</v>
      </c>
      <c r="Q8603" s="10">
        <v>513</v>
      </c>
      <c r="R8603" s="10" t="s">
        <v>39729</v>
      </c>
      <c r="S8603" s="10" t="s">
        <v>119</v>
      </c>
      <c r="T8603" s="10" t="s">
        <v>39730</v>
      </c>
    </row>
    <row r="8604" spans="1:20" ht="14.5" x14ac:dyDescent="0.35">
      <c r="A8604" s="10" t="s">
        <v>39731</v>
      </c>
      <c r="B8604" s="10" t="str">
        <f>""</f>
        <v/>
      </c>
      <c r="C8604" s="10" t="str">
        <f>"9781771674775"</f>
        <v>9781771674775</v>
      </c>
      <c r="D8604" s="10" t="s">
        <v>29364</v>
      </c>
      <c r="E8604" s="10" t="s">
        <v>31200</v>
      </c>
      <c r="F8604" s="10" t="s">
        <v>1232</v>
      </c>
      <c r="G8604" s="10" t="s">
        <v>6317</v>
      </c>
      <c r="H8604" s="11">
        <v>42290</v>
      </c>
      <c r="I8604" s="10">
        <v>2015</v>
      </c>
      <c r="J8604" s="10" t="s">
        <v>29364</v>
      </c>
      <c r="K8604" s="10">
        <v>20</v>
      </c>
      <c r="L8604" s="10" t="s">
        <v>39692</v>
      </c>
      <c r="M8604" s="10">
        <v>1</v>
      </c>
      <c r="N8604" s="10" t="s">
        <v>39709</v>
      </c>
      <c r="O8604" s="10">
        <v>5</v>
      </c>
      <c r="P8604" s="10" t="s">
        <v>39732</v>
      </c>
      <c r="Q8604" s="10">
        <v>511.5</v>
      </c>
      <c r="R8604" s="10" t="s">
        <v>39661</v>
      </c>
      <c r="S8604" s="10" t="s">
        <v>119</v>
      </c>
      <c r="T8604" s="10" t="s">
        <v>389</v>
      </c>
    </row>
    <row r="8605" spans="1:20" ht="14.5" x14ac:dyDescent="0.35">
      <c r="A8605" s="10" t="s">
        <v>39733</v>
      </c>
      <c r="B8605" s="10" t="str">
        <f>""</f>
        <v/>
      </c>
      <c r="C8605" s="10" t="str">
        <f>"9781771674560"</f>
        <v>9781771674560</v>
      </c>
      <c r="D8605" s="10" t="s">
        <v>29364</v>
      </c>
      <c r="E8605" s="10" t="s">
        <v>31200</v>
      </c>
      <c r="F8605" s="10" t="s">
        <v>1232</v>
      </c>
      <c r="G8605" s="10" t="s">
        <v>6317</v>
      </c>
      <c r="H8605" s="11">
        <v>42290</v>
      </c>
      <c r="I8605" s="10">
        <v>2015</v>
      </c>
      <c r="J8605" s="10" t="s">
        <v>29364</v>
      </c>
      <c r="K8605" s="10">
        <v>20</v>
      </c>
      <c r="L8605" s="10" t="s">
        <v>39692</v>
      </c>
      <c r="M8605" s="10">
        <v>1</v>
      </c>
      <c r="N8605" s="10" t="s">
        <v>39693</v>
      </c>
      <c r="O8605" s="10">
        <v>2</v>
      </c>
      <c r="P8605" s="10" t="s">
        <v>39734</v>
      </c>
      <c r="Q8605" s="10">
        <v>513</v>
      </c>
      <c r="R8605" s="10" t="s">
        <v>39735</v>
      </c>
      <c r="S8605" s="10" t="s">
        <v>119</v>
      </c>
      <c r="T8605" s="10" t="s">
        <v>389</v>
      </c>
    </row>
    <row r="8606" spans="1:20" ht="14.5" x14ac:dyDescent="0.35">
      <c r="A8606" s="10" t="s">
        <v>39736</v>
      </c>
      <c r="B8606" s="10" t="str">
        <f>""</f>
        <v/>
      </c>
      <c r="C8606" s="10" t="str">
        <f>"9781771675024"</f>
        <v>9781771675024</v>
      </c>
      <c r="D8606" s="10" t="s">
        <v>29364</v>
      </c>
      <c r="E8606" s="10" t="s">
        <v>31200</v>
      </c>
      <c r="F8606" s="10" t="s">
        <v>1232</v>
      </c>
      <c r="G8606" s="10" t="s">
        <v>6317</v>
      </c>
      <c r="H8606" s="11">
        <v>42290</v>
      </c>
      <c r="I8606" s="10">
        <v>2015</v>
      </c>
      <c r="J8606" s="10" t="s">
        <v>29364</v>
      </c>
      <c r="K8606" s="10">
        <v>20</v>
      </c>
      <c r="L8606" s="10" t="s">
        <v>39655</v>
      </c>
      <c r="M8606" s="10">
        <v>1</v>
      </c>
      <c r="N8606" s="10" t="s">
        <v>39663</v>
      </c>
      <c r="O8606" s="10">
        <v>5</v>
      </c>
      <c r="P8606" s="10" t="s">
        <v>39737</v>
      </c>
      <c r="Q8606" s="10">
        <v>519.5</v>
      </c>
      <c r="R8606" s="10" t="s">
        <v>39738</v>
      </c>
      <c r="S8606" s="10" t="s">
        <v>119</v>
      </c>
      <c r="T8606" s="10" t="s">
        <v>389</v>
      </c>
    </row>
    <row r="8607" spans="1:20" ht="14.5" x14ac:dyDescent="0.35">
      <c r="A8607" s="10" t="s">
        <v>39739</v>
      </c>
      <c r="B8607" s="10" t="str">
        <f>""</f>
        <v/>
      </c>
      <c r="C8607" s="10" t="str">
        <f>"9781771674751"</f>
        <v>9781771674751</v>
      </c>
      <c r="D8607" s="10" t="s">
        <v>29364</v>
      </c>
      <c r="E8607" s="10" t="s">
        <v>31200</v>
      </c>
      <c r="F8607" s="10" t="s">
        <v>1232</v>
      </c>
      <c r="G8607" s="10" t="s">
        <v>6317</v>
      </c>
      <c r="H8607" s="11">
        <v>42290</v>
      </c>
      <c r="I8607" s="10">
        <v>2015</v>
      </c>
      <c r="J8607" s="10" t="s">
        <v>29364</v>
      </c>
      <c r="K8607" s="10">
        <v>20</v>
      </c>
      <c r="L8607" s="10" t="s">
        <v>39692</v>
      </c>
      <c r="M8607" s="10">
        <v>1</v>
      </c>
      <c r="N8607" s="10" t="s">
        <v>39709</v>
      </c>
      <c r="O8607" s="10">
        <v>4</v>
      </c>
      <c r="P8607" s="10" t="s">
        <v>39740</v>
      </c>
      <c r="Q8607" s="10">
        <v>512.5</v>
      </c>
      <c r="R8607" s="10" t="s">
        <v>39741</v>
      </c>
      <c r="S8607" s="10" t="s">
        <v>119</v>
      </c>
      <c r="T8607" s="10" t="s">
        <v>389</v>
      </c>
    </row>
    <row r="8608" spans="1:20" ht="14.5" x14ac:dyDescent="0.35">
      <c r="A8608" s="10" t="s">
        <v>39742</v>
      </c>
      <c r="B8608" s="10" t="str">
        <f>""</f>
        <v/>
      </c>
      <c r="C8608" s="10" t="str">
        <f>"9781771674690"</f>
        <v>9781771674690</v>
      </c>
      <c r="D8608" s="10" t="s">
        <v>29364</v>
      </c>
      <c r="E8608" s="10" t="s">
        <v>31200</v>
      </c>
      <c r="F8608" s="10" t="s">
        <v>1232</v>
      </c>
      <c r="G8608" s="10" t="s">
        <v>6317</v>
      </c>
      <c r="H8608" s="11">
        <v>42290</v>
      </c>
      <c r="I8608" s="10">
        <v>2015</v>
      </c>
      <c r="J8608" s="10" t="s">
        <v>29364</v>
      </c>
      <c r="K8608" s="10">
        <v>20</v>
      </c>
      <c r="L8608" s="10" t="s">
        <v>39692</v>
      </c>
      <c r="M8608" s="10">
        <v>1</v>
      </c>
      <c r="N8608" s="10" t="s">
        <v>39709</v>
      </c>
      <c r="O8608" s="10">
        <v>1</v>
      </c>
      <c r="P8608" s="10" t="s">
        <v>39743</v>
      </c>
      <c r="Q8608" s="10">
        <v>512.9</v>
      </c>
      <c r="R8608" s="10" t="s">
        <v>39744</v>
      </c>
      <c r="S8608" s="10" t="s">
        <v>119</v>
      </c>
      <c r="T8608" s="10" t="s">
        <v>389</v>
      </c>
    </row>
    <row r="8609" spans="1:20" ht="14.5" x14ac:dyDescent="0.35">
      <c r="A8609" s="10" t="s">
        <v>39745</v>
      </c>
      <c r="B8609" s="10" t="str">
        <f>""</f>
        <v/>
      </c>
      <c r="C8609" s="10" t="str">
        <f>"9781771674942"</f>
        <v>9781771674942</v>
      </c>
      <c r="D8609" s="10" t="s">
        <v>29364</v>
      </c>
      <c r="E8609" s="10" t="s">
        <v>31200</v>
      </c>
      <c r="F8609" s="10" t="s">
        <v>1232</v>
      </c>
      <c r="G8609" s="10" t="s">
        <v>6317</v>
      </c>
      <c r="H8609" s="11">
        <v>42290</v>
      </c>
      <c r="I8609" s="10">
        <v>2015</v>
      </c>
      <c r="J8609" s="10" t="s">
        <v>29364</v>
      </c>
      <c r="K8609" s="10">
        <v>20</v>
      </c>
      <c r="L8609" s="10" t="s">
        <v>39655</v>
      </c>
      <c r="M8609" s="10">
        <v>1</v>
      </c>
      <c r="N8609" s="10" t="s">
        <v>39663</v>
      </c>
      <c r="O8609" s="10">
        <v>1</v>
      </c>
      <c r="P8609" s="10" t="s">
        <v>39737</v>
      </c>
      <c r="Q8609" s="10">
        <v>519.5</v>
      </c>
      <c r="R8609" s="10" t="s">
        <v>39738</v>
      </c>
      <c r="S8609" s="10" t="s">
        <v>119</v>
      </c>
      <c r="T8609" s="10" t="s">
        <v>389</v>
      </c>
    </row>
    <row r="8610" spans="1:20" ht="14.5" x14ac:dyDescent="0.35">
      <c r="A8610" s="10" t="s">
        <v>39746</v>
      </c>
      <c r="B8610" s="10" t="str">
        <f>""</f>
        <v/>
      </c>
      <c r="C8610" s="10" t="str">
        <f>"9781771674676"</f>
        <v>9781771674676</v>
      </c>
      <c r="D8610" s="10" t="s">
        <v>29364</v>
      </c>
      <c r="E8610" s="10" t="s">
        <v>31200</v>
      </c>
      <c r="F8610" s="10" t="s">
        <v>1232</v>
      </c>
      <c r="G8610" s="10" t="s">
        <v>6317</v>
      </c>
      <c r="H8610" s="11">
        <v>42290</v>
      </c>
      <c r="I8610" s="10">
        <v>2015</v>
      </c>
      <c r="J8610" s="10" t="s">
        <v>29364</v>
      </c>
      <c r="K8610" s="10">
        <v>20</v>
      </c>
      <c r="L8610" s="10" t="s">
        <v>39692</v>
      </c>
      <c r="M8610" s="10">
        <v>1</v>
      </c>
      <c r="N8610" s="10" t="s">
        <v>39726</v>
      </c>
      <c r="O8610" s="10">
        <v>5</v>
      </c>
      <c r="P8610" s="10" t="s">
        <v>39747</v>
      </c>
      <c r="Q8610" s="10">
        <v>510.76</v>
      </c>
      <c r="R8610" s="10" t="s">
        <v>39738</v>
      </c>
      <c r="S8610" s="10" t="s">
        <v>119</v>
      </c>
      <c r="T8610" s="10" t="s">
        <v>389</v>
      </c>
    </row>
    <row r="8611" spans="1:20" ht="14.5" x14ac:dyDescent="0.35">
      <c r="A8611" s="10" t="s">
        <v>39748</v>
      </c>
      <c r="B8611" s="10" t="str">
        <f>""</f>
        <v/>
      </c>
      <c r="C8611" s="10" t="str">
        <f>"9781771674614"</f>
        <v>9781771674614</v>
      </c>
      <c r="D8611" s="10" t="s">
        <v>29364</v>
      </c>
      <c r="E8611" s="10" t="s">
        <v>31200</v>
      </c>
      <c r="F8611" s="10" t="s">
        <v>1232</v>
      </c>
      <c r="G8611" s="10" t="s">
        <v>6317</v>
      </c>
      <c r="H8611" s="11">
        <v>42290</v>
      </c>
      <c r="I8611" s="10">
        <v>2015</v>
      </c>
      <c r="J8611" s="10" t="s">
        <v>29364</v>
      </c>
      <c r="K8611" s="10">
        <v>20</v>
      </c>
      <c r="L8611" s="10" t="s">
        <v>39692</v>
      </c>
      <c r="M8611" s="10">
        <v>1</v>
      </c>
      <c r="N8611" s="10" t="s">
        <v>39726</v>
      </c>
      <c r="O8611" s="10">
        <v>2</v>
      </c>
      <c r="P8611" s="10" t="s">
        <v>39747</v>
      </c>
      <c r="Q8611" s="10">
        <v>510.76</v>
      </c>
      <c r="R8611" s="10" t="s">
        <v>39749</v>
      </c>
      <c r="S8611" s="10" t="s">
        <v>119</v>
      </c>
      <c r="T8611" s="10" t="s">
        <v>389</v>
      </c>
    </row>
    <row r="8612" spans="1:20" ht="14.5" x14ac:dyDescent="0.35">
      <c r="A8612" s="10" t="s">
        <v>39750</v>
      </c>
      <c r="B8612" s="10" t="str">
        <f>""</f>
        <v/>
      </c>
      <c r="C8612" s="10" t="str">
        <f>"9781771674805"</f>
        <v>9781771674805</v>
      </c>
      <c r="D8612" s="10" t="s">
        <v>29364</v>
      </c>
      <c r="E8612" s="10" t="s">
        <v>31200</v>
      </c>
      <c r="F8612" s="10" t="s">
        <v>1232</v>
      </c>
      <c r="G8612" s="10" t="s">
        <v>6317</v>
      </c>
      <c r="H8612" s="11">
        <v>42290</v>
      </c>
      <c r="I8612" s="10">
        <v>2015</v>
      </c>
      <c r="J8612" s="10" t="s">
        <v>29364</v>
      </c>
      <c r="K8612" s="10">
        <v>20</v>
      </c>
      <c r="L8612" s="10" t="s">
        <v>39697</v>
      </c>
      <c r="M8612" s="10">
        <v>1</v>
      </c>
      <c r="N8612" s="10" t="s">
        <v>39698</v>
      </c>
      <c r="O8612" s="10">
        <v>4</v>
      </c>
      <c r="P8612" s="10" t="s">
        <v>39751</v>
      </c>
      <c r="Q8612" s="10">
        <v>516</v>
      </c>
      <c r="R8612" s="10" t="s">
        <v>36129</v>
      </c>
      <c r="S8612" s="10" t="s">
        <v>119</v>
      </c>
      <c r="T8612" s="10" t="s">
        <v>389</v>
      </c>
    </row>
    <row r="8613" spans="1:20" ht="14.5" x14ac:dyDescent="0.35">
      <c r="A8613" s="10" t="s">
        <v>39752</v>
      </c>
      <c r="B8613" s="10" t="str">
        <f>""</f>
        <v/>
      </c>
      <c r="C8613" s="10" t="str">
        <f>"9781771674591"</f>
        <v>9781771674591</v>
      </c>
      <c r="D8613" s="10" t="s">
        <v>29364</v>
      </c>
      <c r="E8613" s="10" t="s">
        <v>31200</v>
      </c>
      <c r="F8613" s="10" t="s">
        <v>1232</v>
      </c>
      <c r="G8613" s="10" t="s">
        <v>6317</v>
      </c>
      <c r="H8613" s="11">
        <v>42290</v>
      </c>
      <c r="I8613" s="10">
        <v>2015</v>
      </c>
      <c r="J8613" s="10" t="s">
        <v>29364</v>
      </c>
      <c r="K8613" s="10">
        <v>20</v>
      </c>
      <c r="L8613" s="10" t="s">
        <v>39692</v>
      </c>
      <c r="M8613" s="10">
        <v>1</v>
      </c>
      <c r="N8613" s="10" t="s">
        <v>39726</v>
      </c>
      <c r="O8613" s="10">
        <v>1</v>
      </c>
      <c r="P8613" s="10" t="s">
        <v>39747</v>
      </c>
      <c r="Q8613" s="10">
        <v>510.76</v>
      </c>
      <c r="R8613" s="10" t="s">
        <v>39749</v>
      </c>
      <c r="S8613" s="10" t="s">
        <v>119</v>
      </c>
      <c r="T8613" s="10" t="s">
        <v>389</v>
      </c>
    </row>
    <row r="8614" spans="1:20" ht="14.5" x14ac:dyDescent="0.35">
      <c r="A8614" s="10" t="s">
        <v>39753</v>
      </c>
      <c r="B8614" s="10" t="str">
        <f>""</f>
        <v/>
      </c>
      <c r="C8614" s="10" t="str">
        <f>"9781771674652"</f>
        <v>9781771674652</v>
      </c>
      <c r="D8614" s="10" t="s">
        <v>29364</v>
      </c>
      <c r="E8614" s="10" t="s">
        <v>31200</v>
      </c>
      <c r="F8614" s="10" t="s">
        <v>1232</v>
      </c>
      <c r="G8614" s="10" t="s">
        <v>6317</v>
      </c>
      <c r="H8614" s="11">
        <v>42290</v>
      </c>
      <c r="I8614" s="10">
        <v>2015</v>
      </c>
      <c r="J8614" s="10" t="s">
        <v>29364</v>
      </c>
      <c r="K8614" s="10">
        <v>20</v>
      </c>
      <c r="L8614" s="10" t="s">
        <v>39692</v>
      </c>
      <c r="M8614" s="10">
        <v>1</v>
      </c>
      <c r="N8614" s="10" t="s">
        <v>39726</v>
      </c>
      <c r="O8614" s="10">
        <v>4</v>
      </c>
      <c r="P8614" s="10" t="s">
        <v>39747</v>
      </c>
      <c r="Q8614" s="10">
        <v>510.76</v>
      </c>
      <c r="R8614" s="10" t="s">
        <v>39738</v>
      </c>
      <c r="S8614" s="10" t="s">
        <v>119</v>
      </c>
      <c r="T8614" s="10" t="s">
        <v>389</v>
      </c>
    </row>
    <row r="8615" spans="1:20" ht="14.5" x14ac:dyDescent="0.35">
      <c r="A8615" s="10" t="s">
        <v>39754</v>
      </c>
      <c r="B8615" s="10" t="str">
        <f>""</f>
        <v/>
      </c>
      <c r="C8615" s="10" t="str">
        <f>"9781771674928"</f>
        <v>9781771674928</v>
      </c>
      <c r="D8615" s="10" t="s">
        <v>29364</v>
      </c>
      <c r="E8615" s="10" t="s">
        <v>31200</v>
      </c>
      <c r="F8615" s="10" t="s">
        <v>1232</v>
      </c>
      <c r="G8615" s="10" t="s">
        <v>6317</v>
      </c>
      <c r="H8615" s="11">
        <v>42290</v>
      </c>
      <c r="I8615" s="10">
        <v>2015</v>
      </c>
      <c r="J8615" s="10" t="s">
        <v>29364</v>
      </c>
      <c r="K8615" s="10">
        <v>20</v>
      </c>
      <c r="L8615" s="10" t="s">
        <v>39679</v>
      </c>
      <c r="M8615" s="10">
        <v>1</v>
      </c>
      <c r="N8615" s="10" t="s">
        <v>39755</v>
      </c>
      <c r="O8615" s="10">
        <v>5</v>
      </c>
      <c r="P8615" s="10" t="s">
        <v>39756</v>
      </c>
      <c r="Q8615" s="10">
        <v>516</v>
      </c>
      <c r="R8615" s="10" t="s">
        <v>36129</v>
      </c>
      <c r="S8615" s="10" t="s">
        <v>119</v>
      </c>
      <c r="T8615" s="10" t="s">
        <v>389</v>
      </c>
    </row>
    <row r="8616" spans="1:20" ht="14.5" x14ac:dyDescent="0.35">
      <c r="A8616" s="10" t="s">
        <v>39757</v>
      </c>
      <c r="B8616" s="10" t="str">
        <f>"9781119161066"</f>
        <v>9781119161066</v>
      </c>
      <c r="C8616" s="10" t="str">
        <f>"9781119161073"</f>
        <v>9781119161073</v>
      </c>
      <c r="D8616" s="10" t="s">
        <v>6322</v>
      </c>
      <c r="E8616" s="10" t="s">
        <v>6323</v>
      </c>
      <c r="F8616" s="10" t="s">
        <v>1168</v>
      </c>
      <c r="G8616" s="10" t="s">
        <v>6317</v>
      </c>
      <c r="H8616" s="11">
        <v>42268</v>
      </c>
      <c r="I8616" s="10">
        <v>2015</v>
      </c>
      <c r="J8616" s="10" t="s">
        <v>6324</v>
      </c>
      <c r="K8616" s="10">
        <v>129</v>
      </c>
      <c r="L8616" s="10" t="s">
        <v>39758</v>
      </c>
      <c r="M8616" s="10">
        <v>1</v>
      </c>
      <c r="N8616" s="10" t="s">
        <v>25112</v>
      </c>
      <c r="O8616" s="10"/>
      <c r="P8616" s="10" t="s">
        <v>39759</v>
      </c>
      <c r="Q8616" s="10">
        <v>371.10199999999998</v>
      </c>
      <c r="R8616" s="10" t="s">
        <v>39760</v>
      </c>
      <c r="S8616" s="10" t="s">
        <v>53</v>
      </c>
      <c r="T8616" s="10" t="s">
        <v>54</v>
      </c>
    </row>
    <row r="8617" spans="1:20" ht="14.5" x14ac:dyDescent="0.35">
      <c r="A8617" s="10" t="s">
        <v>39761</v>
      </c>
      <c r="B8617" s="10" t="str">
        <f>"9781119170242"</f>
        <v>9781119170242</v>
      </c>
      <c r="C8617" s="10" t="str">
        <f>"9781119170259"</f>
        <v>9781119170259</v>
      </c>
      <c r="D8617" s="10" t="s">
        <v>6322</v>
      </c>
      <c r="E8617" s="10" t="s">
        <v>6323</v>
      </c>
      <c r="F8617" s="10" t="s">
        <v>1168</v>
      </c>
      <c r="G8617" s="10" t="s">
        <v>6317</v>
      </c>
      <c r="H8617" s="11">
        <v>42282</v>
      </c>
      <c r="I8617" s="10">
        <v>2015</v>
      </c>
      <c r="J8617" s="10" t="s">
        <v>6324</v>
      </c>
      <c r="K8617" s="10">
        <v>119</v>
      </c>
      <c r="L8617" s="10" t="s">
        <v>39762</v>
      </c>
      <c r="M8617" s="10">
        <v>1</v>
      </c>
      <c r="N8617" s="10" t="s">
        <v>21283</v>
      </c>
      <c r="O8617" s="10"/>
      <c r="P8617" s="10" t="s">
        <v>39763</v>
      </c>
      <c r="Q8617" s="10">
        <v>378.19799999999998</v>
      </c>
      <c r="R8617" s="10" t="s">
        <v>39764</v>
      </c>
      <c r="S8617" s="10" t="s">
        <v>53</v>
      </c>
      <c r="T8617" s="10" t="s">
        <v>54</v>
      </c>
    </row>
    <row r="8618" spans="1:20" ht="14.5" x14ac:dyDescent="0.35">
      <c r="A8618" s="10" t="s">
        <v>39765</v>
      </c>
      <c r="B8618" s="10" t="str">
        <f>"9781119172826"</f>
        <v>9781119172826</v>
      </c>
      <c r="C8618" s="10" t="str">
        <f>"9781119172864"</f>
        <v>9781119172864</v>
      </c>
      <c r="D8618" s="10" t="s">
        <v>6322</v>
      </c>
      <c r="E8618" s="10" t="s">
        <v>6323</v>
      </c>
      <c r="F8618" s="10" t="s">
        <v>1168</v>
      </c>
      <c r="G8618" s="10" t="s">
        <v>6317</v>
      </c>
      <c r="H8618" s="11">
        <v>42282</v>
      </c>
      <c r="I8618" s="10">
        <v>2015</v>
      </c>
      <c r="J8618" s="10" t="s">
        <v>6324</v>
      </c>
      <c r="K8618" s="10">
        <v>113</v>
      </c>
      <c r="L8618" s="10" t="s">
        <v>39766</v>
      </c>
      <c r="M8618" s="10">
        <v>1</v>
      </c>
      <c r="N8618" s="10" t="s">
        <v>20707</v>
      </c>
      <c r="O8618" s="10"/>
      <c r="P8618" s="10" t="s">
        <v>39767</v>
      </c>
      <c r="Q8618" s="10">
        <v>374</v>
      </c>
      <c r="R8618" s="10" t="s">
        <v>39768</v>
      </c>
      <c r="S8618" s="10" t="s">
        <v>53</v>
      </c>
      <c r="T8618" s="10" t="s">
        <v>54</v>
      </c>
    </row>
    <row r="8619" spans="1:20" ht="14.5" x14ac:dyDescent="0.35">
      <c r="A8619" s="10" t="s">
        <v>39769</v>
      </c>
      <c r="B8619" s="10" t="str">
        <f>""</f>
        <v/>
      </c>
      <c r="C8619" s="10" t="str">
        <f>"9781771674546"</f>
        <v>9781771674546</v>
      </c>
      <c r="D8619" s="10" t="s">
        <v>29364</v>
      </c>
      <c r="E8619" s="10" t="s">
        <v>31200</v>
      </c>
      <c r="F8619" s="10" t="s">
        <v>1232</v>
      </c>
      <c r="G8619" s="10" t="s">
        <v>6317</v>
      </c>
      <c r="H8619" s="11">
        <v>42290</v>
      </c>
      <c r="I8619" s="10">
        <v>2015</v>
      </c>
      <c r="J8619" s="10" t="s">
        <v>29364</v>
      </c>
      <c r="K8619" s="10">
        <v>20</v>
      </c>
      <c r="L8619" s="10" t="s">
        <v>39692</v>
      </c>
      <c r="M8619" s="10">
        <v>1</v>
      </c>
      <c r="N8619" s="10" t="s">
        <v>39693</v>
      </c>
      <c r="O8619" s="10">
        <v>1</v>
      </c>
      <c r="P8619" s="10" t="s">
        <v>39734</v>
      </c>
      <c r="Q8619" s="10">
        <v>513</v>
      </c>
      <c r="R8619" s="10" t="s">
        <v>39735</v>
      </c>
      <c r="S8619" s="10" t="s">
        <v>119</v>
      </c>
      <c r="T8619" s="10" t="s">
        <v>389</v>
      </c>
    </row>
    <row r="8620" spans="1:20" ht="14.5" x14ac:dyDescent="0.35">
      <c r="A8620" s="10" t="s">
        <v>39770</v>
      </c>
      <c r="B8620" s="10" t="str">
        <f>""</f>
        <v/>
      </c>
      <c r="C8620" s="10" t="str">
        <f>"9781771674584"</f>
        <v>9781771674584</v>
      </c>
      <c r="D8620" s="10" t="s">
        <v>29364</v>
      </c>
      <c r="E8620" s="10" t="s">
        <v>31200</v>
      </c>
      <c r="F8620" s="10" t="s">
        <v>1232</v>
      </c>
      <c r="G8620" s="10" t="s">
        <v>6317</v>
      </c>
      <c r="H8620" s="11">
        <v>42290</v>
      </c>
      <c r="I8620" s="10">
        <v>2015</v>
      </c>
      <c r="J8620" s="10" t="s">
        <v>29364</v>
      </c>
      <c r="K8620" s="10">
        <v>20</v>
      </c>
      <c r="L8620" s="10" t="s">
        <v>39692</v>
      </c>
      <c r="M8620" s="10">
        <v>1</v>
      </c>
      <c r="N8620" s="10" t="s">
        <v>39693</v>
      </c>
      <c r="O8620" s="10">
        <v>3</v>
      </c>
      <c r="P8620" s="10" t="s">
        <v>39734</v>
      </c>
      <c r="Q8620" s="10">
        <v>513</v>
      </c>
      <c r="R8620" s="10" t="s">
        <v>39735</v>
      </c>
      <c r="S8620" s="10" t="s">
        <v>119</v>
      </c>
      <c r="T8620" s="10" t="s">
        <v>389</v>
      </c>
    </row>
    <row r="8621" spans="1:20" ht="14.5" x14ac:dyDescent="0.35">
      <c r="A8621" s="10" t="s">
        <v>39771</v>
      </c>
      <c r="B8621" s="10" t="str">
        <f>""</f>
        <v/>
      </c>
      <c r="C8621" s="10" t="str">
        <f>"9781771674645"</f>
        <v>9781771674645</v>
      </c>
      <c r="D8621" s="10" t="s">
        <v>29364</v>
      </c>
      <c r="E8621" s="10" t="s">
        <v>31200</v>
      </c>
      <c r="F8621" s="10" t="s">
        <v>1232</v>
      </c>
      <c r="G8621" s="10" t="s">
        <v>6317</v>
      </c>
      <c r="H8621" s="11">
        <v>42290</v>
      </c>
      <c r="I8621" s="10">
        <v>2015</v>
      </c>
      <c r="J8621" s="10" t="s">
        <v>29364</v>
      </c>
      <c r="K8621" s="10">
        <v>20</v>
      </c>
      <c r="L8621" s="10" t="s">
        <v>39692</v>
      </c>
      <c r="M8621" s="10">
        <v>1</v>
      </c>
      <c r="N8621" s="10" t="s">
        <v>39772</v>
      </c>
      <c r="O8621" s="10">
        <v>1</v>
      </c>
      <c r="P8621" s="10" t="s">
        <v>39743</v>
      </c>
      <c r="Q8621" s="10">
        <v>512.9</v>
      </c>
      <c r="R8621" s="10" t="s">
        <v>39744</v>
      </c>
      <c r="S8621" s="10" t="s">
        <v>119</v>
      </c>
      <c r="T8621" s="10" t="s">
        <v>389</v>
      </c>
    </row>
    <row r="8622" spans="1:20" ht="14.5" x14ac:dyDescent="0.35">
      <c r="A8622" s="10" t="s">
        <v>39773</v>
      </c>
      <c r="B8622" s="10" t="str">
        <f>""</f>
        <v/>
      </c>
      <c r="C8622" s="10" t="str">
        <f>"9781771674669"</f>
        <v>9781771674669</v>
      </c>
      <c r="D8622" s="10" t="s">
        <v>29364</v>
      </c>
      <c r="E8622" s="10" t="s">
        <v>31200</v>
      </c>
      <c r="F8622" s="10" t="s">
        <v>1232</v>
      </c>
      <c r="G8622" s="10" t="s">
        <v>6317</v>
      </c>
      <c r="H8622" s="11">
        <v>42290</v>
      </c>
      <c r="I8622" s="10">
        <v>2015</v>
      </c>
      <c r="J8622" s="10" t="s">
        <v>29364</v>
      </c>
      <c r="K8622" s="10">
        <v>20</v>
      </c>
      <c r="L8622" s="10" t="s">
        <v>39692</v>
      </c>
      <c r="M8622" s="10">
        <v>1</v>
      </c>
      <c r="N8622" s="10" t="s">
        <v>39772</v>
      </c>
      <c r="O8622" s="10">
        <v>2</v>
      </c>
      <c r="P8622" s="10" t="s">
        <v>39743</v>
      </c>
      <c r="Q8622" s="10">
        <v>512.9</v>
      </c>
      <c r="R8622" s="10" t="s">
        <v>39744</v>
      </c>
      <c r="S8622" s="10" t="s">
        <v>119</v>
      </c>
      <c r="T8622" s="10" t="s">
        <v>389</v>
      </c>
    </row>
    <row r="8623" spans="1:20" ht="14.5" x14ac:dyDescent="0.35">
      <c r="A8623" s="10" t="s">
        <v>39774</v>
      </c>
      <c r="B8623" s="10" t="str">
        <f>""</f>
        <v/>
      </c>
      <c r="C8623" s="10" t="str">
        <f>"9781771674683"</f>
        <v>9781771674683</v>
      </c>
      <c r="D8623" s="10" t="s">
        <v>29364</v>
      </c>
      <c r="E8623" s="10" t="s">
        <v>31200</v>
      </c>
      <c r="F8623" s="10" t="s">
        <v>1232</v>
      </c>
      <c r="G8623" s="10" t="s">
        <v>6317</v>
      </c>
      <c r="H8623" s="11">
        <v>42290</v>
      </c>
      <c r="I8623" s="10">
        <v>2015</v>
      </c>
      <c r="J8623" s="10" t="s">
        <v>29364</v>
      </c>
      <c r="K8623" s="10">
        <v>20</v>
      </c>
      <c r="L8623" s="10" t="s">
        <v>39692</v>
      </c>
      <c r="M8623" s="10">
        <v>1</v>
      </c>
      <c r="N8623" s="10" t="s">
        <v>39772</v>
      </c>
      <c r="O8623" s="10">
        <v>3</v>
      </c>
      <c r="P8623" s="10" t="s">
        <v>39743</v>
      </c>
      <c r="Q8623" s="10">
        <v>512.9</v>
      </c>
      <c r="R8623" s="10" t="s">
        <v>39744</v>
      </c>
      <c r="S8623" s="10" t="s">
        <v>119</v>
      </c>
      <c r="T8623" s="10" t="s">
        <v>389</v>
      </c>
    </row>
    <row r="8624" spans="1:20" ht="14.5" x14ac:dyDescent="0.35">
      <c r="A8624" s="10" t="s">
        <v>39775</v>
      </c>
      <c r="B8624" s="10" t="str">
        <f>""</f>
        <v/>
      </c>
      <c r="C8624" s="10" t="str">
        <f>"9781771674706"</f>
        <v>9781771674706</v>
      </c>
      <c r="D8624" s="10" t="s">
        <v>29364</v>
      </c>
      <c r="E8624" s="10" t="s">
        <v>31200</v>
      </c>
      <c r="F8624" s="10" t="s">
        <v>1232</v>
      </c>
      <c r="G8624" s="10" t="s">
        <v>6317</v>
      </c>
      <c r="H8624" s="11">
        <v>42290</v>
      </c>
      <c r="I8624" s="10">
        <v>2015</v>
      </c>
      <c r="J8624" s="10" t="s">
        <v>29364</v>
      </c>
      <c r="K8624" s="10">
        <v>20</v>
      </c>
      <c r="L8624" s="10" t="s">
        <v>39692</v>
      </c>
      <c r="M8624" s="10">
        <v>1</v>
      </c>
      <c r="N8624" s="10" t="s">
        <v>39772</v>
      </c>
      <c r="O8624" s="10">
        <v>4</v>
      </c>
      <c r="P8624" s="10" t="s">
        <v>39743</v>
      </c>
      <c r="Q8624" s="10">
        <v>512.9</v>
      </c>
      <c r="R8624" s="10" t="s">
        <v>39744</v>
      </c>
      <c r="S8624" s="10" t="s">
        <v>119</v>
      </c>
      <c r="T8624" s="10" t="s">
        <v>389</v>
      </c>
    </row>
    <row r="8625" spans="1:20" ht="14.5" x14ac:dyDescent="0.35">
      <c r="A8625" s="10" t="s">
        <v>39776</v>
      </c>
      <c r="B8625" s="10" t="str">
        <f>""</f>
        <v/>
      </c>
      <c r="C8625" s="10" t="str">
        <f>"9781771674720"</f>
        <v>9781771674720</v>
      </c>
      <c r="D8625" s="10" t="s">
        <v>29364</v>
      </c>
      <c r="E8625" s="10" t="s">
        <v>31200</v>
      </c>
      <c r="F8625" s="10" t="s">
        <v>1232</v>
      </c>
      <c r="G8625" s="10" t="s">
        <v>6317</v>
      </c>
      <c r="H8625" s="11">
        <v>42290</v>
      </c>
      <c r="I8625" s="10">
        <v>2015</v>
      </c>
      <c r="J8625" s="10" t="s">
        <v>29364</v>
      </c>
      <c r="K8625" s="10">
        <v>20</v>
      </c>
      <c r="L8625" s="10" t="s">
        <v>39692</v>
      </c>
      <c r="M8625" s="10">
        <v>1</v>
      </c>
      <c r="N8625" s="10" t="s">
        <v>39772</v>
      </c>
      <c r="O8625" s="10">
        <v>5</v>
      </c>
      <c r="P8625" s="10" t="s">
        <v>39743</v>
      </c>
      <c r="Q8625" s="10">
        <v>512.9</v>
      </c>
      <c r="R8625" s="10" t="s">
        <v>39744</v>
      </c>
      <c r="S8625" s="10" t="s">
        <v>119</v>
      </c>
      <c r="T8625" s="10" t="s">
        <v>389</v>
      </c>
    </row>
    <row r="8626" spans="1:20" ht="14.5" x14ac:dyDescent="0.35">
      <c r="A8626" s="10" t="s">
        <v>39777</v>
      </c>
      <c r="B8626" s="10" t="str">
        <f>""</f>
        <v/>
      </c>
      <c r="C8626" s="10" t="str">
        <f>"9781771674744"</f>
        <v>9781771674744</v>
      </c>
      <c r="D8626" s="10" t="s">
        <v>29364</v>
      </c>
      <c r="E8626" s="10" t="s">
        <v>31200</v>
      </c>
      <c r="F8626" s="10" t="s">
        <v>1232</v>
      </c>
      <c r="G8626" s="10" t="s">
        <v>6317</v>
      </c>
      <c r="H8626" s="11">
        <v>42290</v>
      </c>
      <c r="I8626" s="10">
        <v>2015</v>
      </c>
      <c r="J8626" s="10" t="s">
        <v>29364</v>
      </c>
      <c r="K8626" s="10">
        <v>20</v>
      </c>
      <c r="L8626" s="10" t="s">
        <v>39697</v>
      </c>
      <c r="M8626" s="10">
        <v>1</v>
      </c>
      <c r="N8626" s="10" t="s">
        <v>39698</v>
      </c>
      <c r="O8626" s="10">
        <v>1</v>
      </c>
      <c r="P8626" s="10" t="s">
        <v>39751</v>
      </c>
      <c r="Q8626" s="10">
        <v>516</v>
      </c>
      <c r="R8626" s="10" t="s">
        <v>36129</v>
      </c>
      <c r="S8626" s="10" t="s">
        <v>119</v>
      </c>
      <c r="T8626" s="10" t="s">
        <v>389</v>
      </c>
    </row>
    <row r="8627" spans="1:20" ht="14.5" x14ac:dyDescent="0.35">
      <c r="A8627" s="10" t="s">
        <v>39778</v>
      </c>
      <c r="B8627" s="10" t="str">
        <f>""</f>
        <v/>
      </c>
      <c r="C8627" s="10" t="str">
        <f>"9781771674768"</f>
        <v>9781771674768</v>
      </c>
      <c r="D8627" s="10" t="s">
        <v>29364</v>
      </c>
      <c r="E8627" s="10" t="s">
        <v>31200</v>
      </c>
      <c r="F8627" s="10" t="s">
        <v>1232</v>
      </c>
      <c r="G8627" s="10" t="s">
        <v>6317</v>
      </c>
      <c r="H8627" s="11">
        <v>42290</v>
      </c>
      <c r="I8627" s="10">
        <v>2015</v>
      </c>
      <c r="J8627" s="10" t="s">
        <v>29364</v>
      </c>
      <c r="K8627" s="10">
        <v>20</v>
      </c>
      <c r="L8627" s="10" t="s">
        <v>39697</v>
      </c>
      <c r="M8627" s="10">
        <v>1</v>
      </c>
      <c r="N8627" s="10" t="s">
        <v>39698</v>
      </c>
      <c r="O8627" s="10">
        <v>2</v>
      </c>
      <c r="P8627" s="10" t="s">
        <v>39779</v>
      </c>
      <c r="Q8627" s="10">
        <v>299.31349999999998</v>
      </c>
      <c r="R8627" s="10" t="s">
        <v>39780</v>
      </c>
      <c r="S8627" s="10" t="s">
        <v>119</v>
      </c>
      <c r="T8627" s="10" t="s">
        <v>39781</v>
      </c>
    </row>
    <row r="8628" spans="1:20" ht="14.5" x14ac:dyDescent="0.35">
      <c r="A8628" s="10" t="s">
        <v>39782</v>
      </c>
      <c r="B8628" s="10" t="str">
        <f>""</f>
        <v/>
      </c>
      <c r="C8628" s="10" t="str">
        <f>"9781771674782"</f>
        <v>9781771674782</v>
      </c>
      <c r="D8628" s="10" t="s">
        <v>29364</v>
      </c>
      <c r="E8628" s="10" t="s">
        <v>31200</v>
      </c>
      <c r="F8628" s="10" t="s">
        <v>1232</v>
      </c>
      <c r="G8628" s="10" t="s">
        <v>6317</v>
      </c>
      <c r="H8628" s="11">
        <v>42290</v>
      </c>
      <c r="I8628" s="10">
        <v>2015</v>
      </c>
      <c r="J8628" s="10" t="s">
        <v>29364</v>
      </c>
      <c r="K8628" s="10">
        <v>20</v>
      </c>
      <c r="L8628" s="10" t="s">
        <v>39697</v>
      </c>
      <c r="M8628" s="10">
        <v>1</v>
      </c>
      <c r="N8628" s="10" t="s">
        <v>39698</v>
      </c>
      <c r="O8628" s="10">
        <v>3</v>
      </c>
      <c r="P8628" s="10" t="s">
        <v>39783</v>
      </c>
      <c r="Q8628" s="10">
        <v>516.1</v>
      </c>
      <c r="R8628" s="10" t="s">
        <v>39784</v>
      </c>
      <c r="S8628" s="10" t="s">
        <v>119</v>
      </c>
      <c r="T8628" s="10" t="s">
        <v>389</v>
      </c>
    </row>
    <row r="8629" spans="1:20" ht="14.5" x14ac:dyDescent="0.35">
      <c r="A8629" s="10" t="s">
        <v>39785</v>
      </c>
      <c r="B8629" s="10" t="str">
        <f>""</f>
        <v/>
      </c>
      <c r="C8629" s="10" t="str">
        <f>"9781771674843"</f>
        <v>9781771674843</v>
      </c>
      <c r="D8629" s="10" t="s">
        <v>29364</v>
      </c>
      <c r="E8629" s="10" t="s">
        <v>31200</v>
      </c>
      <c r="F8629" s="10" t="s">
        <v>1232</v>
      </c>
      <c r="G8629" s="10" t="s">
        <v>6317</v>
      </c>
      <c r="H8629" s="11">
        <v>42290</v>
      </c>
      <c r="I8629" s="10">
        <v>2015</v>
      </c>
      <c r="J8629" s="10" t="s">
        <v>29364</v>
      </c>
      <c r="K8629" s="10">
        <v>20</v>
      </c>
      <c r="L8629" s="10" t="s">
        <v>39679</v>
      </c>
      <c r="M8629" s="10">
        <v>1</v>
      </c>
      <c r="N8629" s="10" t="s">
        <v>39755</v>
      </c>
      <c r="O8629" s="10">
        <v>1</v>
      </c>
      <c r="P8629" s="10" t="s">
        <v>39786</v>
      </c>
      <c r="Q8629" s="10">
        <v>530.79999999999995</v>
      </c>
      <c r="R8629" s="10" t="s">
        <v>39787</v>
      </c>
      <c r="S8629" s="10" t="s">
        <v>119</v>
      </c>
      <c r="T8629" s="10" t="s">
        <v>11578</v>
      </c>
    </row>
    <row r="8630" spans="1:20" ht="14.5" x14ac:dyDescent="0.35">
      <c r="A8630" s="10" t="s">
        <v>39788</v>
      </c>
      <c r="B8630" s="10" t="str">
        <f>""</f>
        <v/>
      </c>
      <c r="C8630" s="10" t="str">
        <f>"9781771674867"</f>
        <v>9781771674867</v>
      </c>
      <c r="D8630" s="10" t="s">
        <v>29364</v>
      </c>
      <c r="E8630" s="10" t="s">
        <v>31200</v>
      </c>
      <c r="F8630" s="10" t="s">
        <v>1232</v>
      </c>
      <c r="G8630" s="10" t="s">
        <v>6317</v>
      </c>
      <c r="H8630" s="11">
        <v>42290</v>
      </c>
      <c r="I8630" s="10">
        <v>2015</v>
      </c>
      <c r="J8630" s="10" t="s">
        <v>29364</v>
      </c>
      <c r="K8630" s="10">
        <v>20</v>
      </c>
      <c r="L8630" s="10" t="s">
        <v>39679</v>
      </c>
      <c r="M8630" s="10">
        <v>1</v>
      </c>
      <c r="N8630" s="10" t="s">
        <v>39755</v>
      </c>
      <c r="O8630" s="10">
        <v>2</v>
      </c>
      <c r="P8630" s="10" t="s">
        <v>39789</v>
      </c>
      <c r="Q8630" s="10">
        <v>536.5</v>
      </c>
      <c r="R8630" s="10" t="s">
        <v>39790</v>
      </c>
      <c r="S8630" s="10" t="s">
        <v>119</v>
      </c>
      <c r="T8630" s="10" t="s">
        <v>11108</v>
      </c>
    </row>
    <row r="8631" spans="1:20" ht="14.5" x14ac:dyDescent="0.35">
      <c r="A8631" s="10" t="s">
        <v>39791</v>
      </c>
      <c r="B8631" s="10" t="str">
        <f>""</f>
        <v/>
      </c>
      <c r="C8631" s="10" t="str">
        <f>"9781771674881"</f>
        <v>9781771674881</v>
      </c>
      <c r="D8631" s="10" t="s">
        <v>29364</v>
      </c>
      <c r="E8631" s="10" t="s">
        <v>31200</v>
      </c>
      <c r="F8631" s="10" t="s">
        <v>1232</v>
      </c>
      <c r="G8631" s="10" t="s">
        <v>6317</v>
      </c>
      <c r="H8631" s="11">
        <v>42290</v>
      </c>
      <c r="I8631" s="10">
        <v>2015</v>
      </c>
      <c r="J8631" s="10" t="s">
        <v>29364</v>
      </c>
      <c r="K8631" s="10">
        <v>20</v>
      </c>
      <c r="L8631" s="10" t="s">
        <v>39679</v>
      </c>
      <c r="M8631" s="10">
        <v>1</v>
      </c>
      <c r="N8631" s="10" t="s">
        <v>39755</v>
      </c>
      <c r="O8631" s="10">
        <v>3</v>
      </c>
      <c r="P8631" s="10" t="s">
        <v>39792</v>
      </c>
      <c r="Q8631" s="10">
        <v>516.15</v>
      </c>
      <c r="R8631" s="10" t="s">
        <v>39690</v>
      </c>
      <c r="S8631" s="10" t="s">
        <v>119</v>
      </c>
      <c r="T8631" s="10" t="s">
        <v>389</v>
      </c>
    </row>
    <row r="8632" spans="1:20" ht="14.5" x14ac:dyDescent="0.35">
      <c r="A8632" s="10" t="s">
        <v>39683</v>
      </c>
      <c r="B8632" s="10" t="str">
        <f>""</f>
        <v/>
      </c>
      <c r="C8632" s="10" t="str">
        <f>"9781771674904"</f>
        <v>9781771674904</v>
      </c>
      <c r="D8632" s="10" t="s">
        <v>29364</v>
      </c>
      <c r="E8632" s="10" t="s">
        <v>31200</v>
      </c>
      <c r="F8632" s="10" t="s">
        <v>1232</v>
      </c>
      <c r="G8632" s="10" t="s">
        <v>6317</v>
      </c>
      <c r="H8632" s="11">
        <v>42290</v>
      </c>
      <c r="I8632" s="10">
        <v>2015</v>
      </c>
      <c r="J8632" s="10" t="s">
        <v>29364</v>
      </c>
      <c r="K8632" s="10">
        <v>20</v>
      </c>
      <c r="L8632" s="10" t="s">
        <v>39679</v>
      </c>
      <c r="M8632" s="10">
        <v>1</v>
      </c>
      <c r="N8632" s="10" t="s">
        <v>39755</v>
      </c>
      <c r="O8632" s="10">
        <v>4</v>
      </c>
      <c r="P8632" s="10" t="s">
        <v>39793</v>
      </c>
      <c r="Q8632" s="10">
        <v>513</v>
      </c>
      <c r="R8632" s="10" t="s">
        <v>39700</v>
      </c>
      <c r="S8632" s="10" t="s">
        <v>119</v>
      </c>
      <c r="T8632" s="10" t="s">
        <v>39701</v>
      </c>
    </row>
    <row r="8633" spans="1:20" ht="14.5" x14ac:dyDescent="0.35">
      <c r="A8633" s="10" t="s">
        <v>39794</v>
      </c>
      <c r="B8633" s="10" t="str">
        <f>"9781479815029"</f>
        <v>9781479815029</v>
      </c>
      <c r="C8633" s="10" t="str">
        <f>"9781479879878"</f>
        <v>9781479879878</v>
      </c>
      <c r="D8633" s="10" t="s">
        <v>20429</v>
      </c>
      <c r="E8633" s="10" t="s">
        <v>20430</v>
      </c>
      <c r="F8633" s="10" t="s">
        <v>70</v>
      </c>
      <c r="G8633" s="10" t="s">
        <v>6317</v>
      </c>
      <c r="H8633" s="11">
        <v>42384</v>
      </c>
      <c r="I8633" s="10">
        <v>2016</v>
      </c>
      <c r="J8633" s="10" t="s">
        <v>20430</v>
      </c>
      <c r="K8633" s="10">
        <v>240</v>
      </c>
      <c r="L8633" s="10" t="s">
        <v>39795</v>
      </c>
      <c r="M8633" s="10">
        <v>1</v>
      </c>
      <c r="N8633" s="10"/>
      <c r="O8633" s="10"/>
      <c r="P8633" s="10"/>
      <c r="Q8633" s="10">
        <v>378.12097299999999</v>
      </c>
      <c r="R8633" s="10" t="s">
        <v>39796</v>
      </c>
      <c r="S8633" s="10" t="s">
        <v>53</v>
      </c>
      <c r="T8633" s="10" t="s">
        <v>54</v>
      </c>
    </row>
    <row r="8634" spans="1:20" ht="14.5" x14ac:dyDescent="0.35">
      <c r="A8634" s="10" t="s">
        <v>39797</v>
      </c>
      <c r="B8634" s="10" t="str">
        <f>"9781441167743"</f>
        <v>9781441167743</v>
      </c>
      <c r="C8634" s="10" t="str">
        <f>"9781441172112"</f>
        <v>9781441172112</v>
      </c>
      <c r="D8634" s="10" t="s">
        <v>13959</v>
      </c>
      <c r="E8634" s="10" t="s">
        <v>13960</v>
      </c>
      <c r="F8634" s="10" t="s">
        <v>139</v>
      </c>
      <c r="G8634" s="10" t="s">
        <v>6352</v>
      </c>
      <c r="H8634" s="11">
        <v>41179</v>
      </c>
      <c r="I8634" s="10">
        <v>2012</v>
      </c>
      <c r="J8634" s="10" t="s">
        <v>16948</v>
      </c>
      <c r="K8634" s="10">
        <v>192</v>
      </c>
      <c r="L8634" s="10" t="s">
        <v>17045</v>
      </c>
      <c r="M8634" s="10">
        <v>1</v>
      </c>
      <c r="N8634" s="10"/>
      <c r="O8634" s="10"/>
      <c r="P8634" s="10" t="s">
        <v>39798</v>
      </c>
      <c r="Q8634" s="10">
        <v>371.2</v>
      </c>
      <c r="R8634" s="10" t="s">
        <v>18955</v>
      </c>
      <c r="S8634" s="10" t="s">
        <v>53</v>
      </c>
      <c r="T8634" s="10" t="s">
        <v>54</v>
      </c>
    </row>
    <row r="8635" spans="1:20" ht="14.5" x14ac:dyDescent="0.35">
      <c r="A8635" s="10" t="s">
        <v>39799</v>
      </c>
      <c r="B8635" s="10" t="str">
        <f>"9780691623344"</f>
        <v>9780691623344</v>
      </c>
      <c r="C8635" s="10" t="str">
        <f>"9781400875382"</f>
        <v>9781400875382</v>
      </c>
      <c r="D8635" s="10" t="s">
        <v>14335</v>
      </c>
      <c r="E8635" s="10" t="s">
        <v>14336</v>
      </c>
      <c r="F8635" s="10" t="s">
        <v>2246</v>
      </c>
      <c r="G8635" s="10" t="s">
        <v>6317</v>
      </c>
      <c r="H8635" s="11">
        <v>24159</v>
      </c>
      <c r="I8635" s="10">
        <v>1966</v>
      </c>
      <c r="J8635" s="10" t="s">
        <v>14336</v>
      </c>
      <c r="K8635" s="10">
        <v>100</v>
      </c>
      <c r="L8635" s="10" t="s">
        <v>39800</v>
      </c>
      <c r="M8635" s="10">
        <v>1</v>
      </c>
      <c r="N8635" s="10" t="s">
        <v>39801</v>
      </c>
      <c r="O8635" s="10">
        <v>1857</v>
      </c>
      <c r="P8635" s="10" t="s">
        <v>39802</v>
      </c>
      <c r="Q8635" s="10"/>
      <c r="R8635" s="10" t="s">
        <v>12345</v>
      </c>
      <c r="S8635" s="10" t="s">
        <v>53</v>
      </c>
      <c r="T8635" s="10" t="s">
        <v>54</v>
      </c>
    </row>
    <row r="8636" spans="1:20" ht="14.5" x14ac:dyDescent="0.35">
      <c r="A8636" s="10" t="s">
        <v>39803</v>
      </c>
      <c r="B8636" s="10" t="str">
        <f>"9780813165592"</f>
        <v>9780813165592</v>
      </c>
      <c r="C8636" s="10" t="str">
        <f>"9780813165608"</f>
        <v>9780813165608</v>
      </c>
      <c r="D8636" s="10" t="s">
        <v>19768</v>
      </c>
      <c r="E8636" s="10" t="s">
        <v>19768</v>
      </c>
      <c r="F8636" s="10" t="s">
        <v>19774</v>
      </c>
      <c r="G8636" s="10" t="s">
        <v>6317</v>
      </c>
      <c r="H8636" s="11">
        <v>42356</v>
      </c>
      <c r="I8636" s="10">
        <v>2021</v>
      </c>
      <c r="J8636" s="10" t="s">
        <v>19768</v>
      </c>
      <c r="K8636" s="10">
        <v>239</v>
      </c>
      <c r="L8636" s="10" t="s">
        <v>39804</v>
      </c>
      <c r="M8636" s="10">
        <v>1</v>
      </c>
      <c r="N8636" s="10" t="s">
        <v>39805</v>
      </c>
      <c r="O8636" s="10"/>
      <c r="P8636" s="10" t="s">
        <v>39806</v>
      </c>
      <c r="Q8636" s="10" t="s">
        <v>39807</v>
      </c>
      <c r="R8636" s="10" t="s">
        <v>39808</v>
      </c>
      <c r="S8636" s="10" t="s">
        <v>53</v>
      </c>
      <c r="T8636" s="10" t="s">
        <v>6472</v>
      </c>
    </row>
    <row r="8637" spans="1:20" ht="14.5" x14ac:dyDescent="0.35">
      <c r="A8637" s="10" t="s">
        <v>39809</v>
      </c>
      <c r="B8637" s="10" t="str">
        <f>"9789004264823"</f>
        <v>9789004264823</v>
      </c>
      <c r="C8637" s="10" t="str">
        <f>"9789004264830"</f>
        <v>9789004264830</v>
      </c>
      <c r="D8637" s="10" t="s">
        <v>8564</v>
      </c>
      <c r="E8637" s="10" t="s">
        <v>8565</v>
      </c>
      <c r="F8637" s="10" t="s">
        <v>1420</v>
      </c>
      <c r="G8637" s="10" t="s">
        <v>6317</v>
      </c>
      <c r="H8637" s="11">
        <v>42299</v>
      </c>
      <c r="I8637" s="10">
        <v>2016</v>
      </c>
      <c r="J8637" s="10" t="s">
        <v>8565</v>
      </c>
      <c r="K8637" s="10">
        <v>392</v>
      </c>
      <c r="L8637" s="10" t="s">
        <v>39810</v>
      </c>
      <c r="M8637" s="10">
        <v>1</v>
      </c>
      <c r="N8637" s="10" t="s">
        <v>29084</v>
      </c>
      <c r="O8637" s="10">
        <v>32</v>
      </c>
      <c r="P8637" s="10" t="s">
        <v>39811</v>
      </c>
      <c r="Q8637" s="10">
        <v>808.02022999999997</v>
      </c>
      <c r="R8637" s="10" t="s">
        <v>39812</v>
      </c>
      <c r="S8637" s="10" t="s">
        <v>53</v>
      </c>
      <c r="T8637" s="10" t="s">
        <v>1166</v>
      </c>
    </row>
    <row r="8638" spans="1:20" ht="14.5" x14ac:dyDescent="0.35">
      <c r="A8638" s="10" t="s">
        <v>39813</v>
      </c>
      <c r="B8638" s="10" t="str">
        <f>"9781137408563"</f>
        <v>9781137408563</v>
      </c>
      <c r="C8638" s="10" t="str">
        <f>"9781137408570"</f>
        <v>9781137408570</v>
      </c>
      <c r="D8638" s="10" t="s">
        <v>11249</v>
      </c>
      <c r="E8638" s="10" t="s">
        <v>13407</v>
      </c>
      <c r="F8638" s="10" t="s">
        <v>139</v>
      </c>
      <c r="G8638" s="10" t="s">
        <v>6352</v>
      </c>
      <c r="H8638" s="11">
        <v>42282</v>
      </c>
      <c r="I8638" s="10">
        <v>2015</v>
      </c>
      <c r="J8638" s="10" t="s">
        <v>2400</v>
      </c>
      <c r="K8638" s="10">
        <v>198</v>
      </c>
      <c r="L8638" s="10" t="s">
        <v>39814</v>
      </c>
      <c r="M8638" s="10">
        <v>1</v>
      </c>
      <c r="N8638" s="10" t="s">
        <v>39548</v>
      </c>
      <c r="O8638" s="10"/>
      <c r="P8638" s="10" t="s">
        <v>39549</v>
      </c>
      <c r="Q8638" s="10">
        <v>371.822</v>
      </c>
      <c r="R8638" s="10" t="s">
        <v>17722</v>
      </c>
      <c r="S8638" s="10" t="s">
        <v>53</v>
      </c>
      <c r="T8638" s="10" t="s">
        <v>6472</v>
      </c>
    </row>
    <row r="8639" spans="1:20" ht="14.5" x14ac:dyDescent="0.35">
      <c r="A8639" s="10" t="s">
        <v>39815</v>
      </c>
      <c r="B8639" s="10" t="str">
        <f>"9780719099304"</f>
        <v>9780719099304</v>
      </c>
      <c r="C8639" s="10" t="str">
        <f>"9781784991760"</f>
        <v>9781784991760</v>
      </c>
      <c r="D8639" s="10" t="s">
        <v>16780</v>
      </c>
      <c r="E8639" s="10" t="s">
        <v>16780</v>
      </c>
      <c r="F8639" s="10" t="s">
        <v>2829</v>
      </c>
      <c r="G8639" s="10" t="s">
        <v>6352</v>
      </c>
      <c r="H8639" s="11">
        <v>41425</v>
      </c>
      <c r="I8639" s="10">
        <v>2013</v>
      </c>
      <c r="J8639" s="10" t="s">
        <v>16780</v>
      </c>
      <c r="K8639" s="10">
        <v>257</v>
      </c>
      <c r="L8639" s="10" t="s">
        <v>39816</v>
      </c>
      <c r="M8639" s="10">
        <v>1</v>
      </c>
      <c r="N8639" s="10" t="s">
        <v>39817</v>
      </c>
      <c r="O8639" s="10"/>
      <c r="P8639" s="10"/>
      <c r="Q8639" s="10">
        <v>370</v>
      </c>
      <c r="R8639" s="10"/>
      <c r="S8639" s="10" t="s">
        <v>53</v>
      </c>
      <c r="T8639" s="10" t="s">
        <v>54</v>
      </c>
    </row>
    <row r="8640" spans="1:20" ht="14.5" x14ac:dyDescent="0.35">
      <c r="A8640" s="10" t="s">
        <v>39818</v>
      </c>
      <c r="B8640" s="10" t="str">
        <f>"9782806265791"</f>
        <v>9782806265791</v>
      </c>
      <c r="C8640" s="10" t="str">
        <f>"9782806265784"</f>
        <v>9782806265784</v>
      </c>
      <c r="D8640" s="10" t="s">
        <v>29172</v>
      </c>
      <c r="E8640" s="10" t="s">
        <v>29173</v>
      </c>
      <c r="F8640" s="10" t="s">
        <v>29181</v>
      </c>
      <c r="G8640" s="10" t="s">
        <v>28737</v>
      </c>
      <c r="H8640" s="11">
        <v>42314</v>
      </c>
      <c r="I8640" s="10">
        <v>2015</v>
      </c>
      <c r="J8640" s="10" t="s">
        <v>29175</v>
      </c>
      <c r="K8640" s="10">
        <v>26</v>
      </c>
      <c r="L8640" s="10" t="s">
        <v>39819</v>
      </c>
      <c r="M8640" s="10">
        <v>1</v>
      </c>
      <c r="N8640" s="10" t="s">
        <v>29177</v>
      </c>
      <c r="O8640" s="10"/>
      <c r="P8640" s="10"/>
      <c r="Q8640" s="10"/>
      <c r="R8640" s="10" t="s">
        <v>39820</v>
      </c>
      <c r="S8640" s="10" t="s">
        <v>5404</v>
      </c>
      <c r="T8640" s="10" t="s">
        <v>6568</v>
      </c>
    </row>
    <row r="8641" spans="1:20" ht="14.5" x14ac:dyDescent="0.35">
      <c r="A8641" s="10" t="s">
        <v>39821</v>
      </c>
      <c r="B8641" s="10" t="str">
        <f>"9782806265777"</f>
        <v>9782806265777</v>
      </c>
      <c r="C8641" s="10" t="str">
        <f>"9782806265760"</f>
        <v>9782806265760</v>
      </c>
      <c r="D8641" s="10" t="s">
        <v>29172</v>
      </c>
      <c r="E8641" s="10" t="s">
        <v>29173</v>
      </c>
      <c r="F8641" s="10" t="s">
        <v>29181</v>
      </c>
      <c r="G8641" s="10" t="s">
        <v>28737</v>
      </c>
      <c r="H8641" s="11">
        <v>42314</v>
      </c>
      <c r="I8641" s="10">
        <v>2015</v>
      </c>
      <c r="J8641" s="10" t="s">
        <v>29175</v>
      </c>
      <c r="K8641" s="10">
        <v>25</v>
      </c>
      <c r="L8641" s="10" t="s">
        <v>39822</v>
      </c>
      <c r="M8641" s="10">
        <v>1</v>
      </c>
      <c r="N8641" s="10" t="s">
        <v>29177</v>
      </c>
      <c r="O8641" s="10"/>
      <c r="P8641" s="10"/>
      <c r="Q8641" s="10"/>
      <c r="R8641" s="10" t="s">
        <v>39820</v>
      </c>
      <c r="S8641" s="10" t="s">
        <v>5404</v>
      </c>
      <c r="T8641" s="10" t="s">
        <v>29264</v>
      </c>
    </row>
    <row r="8642" spans="1:20" ht="14.5" x14ac:dyDescent="0.35">
      <c r="A8642" s="10" t="s">
        <v>39823</v>
      </c>
      <c r="B8642" s="10" t="str">
        <f>"9782806265753"</f>
        <v>9782806265753</v>
      </c>
      <c r="C8642" s="10" t="str">
        <f>"9782806265746"</f>
        <v>9782806265746</v>
      </c>
      <c r="D8642" s="10" t="s">
        <v>29172</v>
      </c>
      <c r="E8642" s="10" t="s">
        <v>29173</v>
      </c>
      <c r="F8642" s="10" t="s">
        <v>29181</v>
      </c>
      <c r="G8642" s="10" t="s">
        <v>28737</v>
      </c>
      <c r="H8642" s="11">
        <v>42314</v>
      </c>
      <c r="I8642" s="10">
        <v>2015</v>
      </c>
      <c r="J8642" s="10" t="s">
        <v>29175</v>
      </c>
      <c r="K8642" s="10">
        <v>23</v>
      </c>
      <c r="L8642" s="10" t="s">
        <v>39824</v>
      </c>
      <c r="M8642" s="10">
        <v>1</v>
      </c>
      <c r="N8642" s="10" t="s">
        <v>29177</v>
      </c>
      <c r="O8642" s="10"/>
      <c r="P8642" s="10"/>
      <c r="Q8642" s="10"/>
      <c r="R8642" s="10" t="s">
        <v>39820</v>
      </c>
      <c r="S8642" s="10" t="s">
        <v>5404</v>
      </c>
      <c r="T8642" s="10" t="s">
        <v>6568</v>
      </c>
    </row>
    <row r="8643" spans="1:20" ht="14.5" x14ac:dyDescent="0.35">
      <c r="A8643" s="10" t="s">
        <v>39825</v>
      </c>
      <c r="B8643" s="10" t="str">
        <f>"9782806265739"</f>
        <v>9782806265739</v>
      </c>
      <c r="C8643" s="10" t="str">
        <f>"9782806265722"</f>
        <v>9782806265722</v>
      </c>
      <c r="D8643" s="10" t="s">
        <v>29172</v>
      </c>
      <c r="E8643" s="10" t="s">
        <v>29173</v>
      </c>
      <c r="F8643" s="10" t="s">
        <v>29181</v>
      </c>
      <c r="G8643" s="10" t="s">
        <v>28737</v>
      </c>
      <c r="H8643" s="11">
        <v>42314</v>
      </c>
      <c r="I8643" s="10">
        <v>2015</v>
      </c>
      <c r="J8643" s="10" t="s">
        <v>29175</v>
      </c>
      <c r="K8643" s="10">
        <v>26</v>
      </c>
      <c r="L8643" s="10" t="s">
        <v>39608</v>
      </c>
      <c r="M8643" s="10">
        <v>1</v>
      </c>
      <c r="N8643" s="10" t="s">
        <v>29177</v>
      </c>
      <c r="O8643" s="10"/>
      <c r="P8643" s="10"/>
      <c r="Q8643" s="10"/>
      <c r="R8643" s="10" t="s">
        <v>39820</v>
      </c>
      <c r="S8643" s="10" t="s">
        <v>5404</v>
      </c>
      <c r="T8643" s="10" t="s">
        <v>29264</v>
      </c>
    </row>
    <row r="8644" spans="1:20" ht="14.5" x14ac:dyDescent="0.35">
      <c r="A8644" s="10" t="s">
        <v>39826</v>
      </c>
      <c r="B8644" s="10" t="str">
        <f>"9782806265517"</f>
        <v>9782806265517</v>
      </c>
      <c r="C8644" s="10" t="str">
        <f>"9782806265500"</f>
        <v>9782806265500</v>
      </c>
      <c r="D8644" s="10" t="s">
        <v>29172</v>
      </c>
      <c r="E8644" s="10" t="s">
        <v>29173</v>
      </c>
      <c r="F8644" s="10" t="s">
        <v>29181</v>
      </c>
      <c r="G8644" s="10" t="s">
        <v>28737</v>
      </c>
      <c r="H8644" s="11">
        <v>42314</v>
      </c>
      <c r="I8644" s="10">
        <v>2015</v>
      </c>
      <c r="J8644" s="10" t="s">
        <v>29175</v>
      </c>
      <c r="K8644" s="10">
        <v>23</v>
      </c>
      <c r="L8644" s="10" t="s">
        <v>39827</v>
      </c>
      <c r="M8644" s="10">
        <v>1</v>
      </c>
      <c r="N8644" s="10" t="s">
        <v>29177</v>
      </c>
      <c r="O8644" s="10"/>
      <c r="P8644" s="10"/>
      <c r="Q8644" s="10"/>
      <c r="R8644" s="10" t="s">
        <v>39820</v>
      </c>
      <c r="S8644" s="10" t="s">
        <v>5404</v>
      </c>
      <c r="T8644" s="10" t="s">
        <v>10454</v>
      </c>
    </row>
    <row r="8645" spans="1:20" ht="14.5" x14ac:dyDescent="0.35">
      <c r="A8645" s="10" t="s">
        <v>39828</v>
      </c>
      <c r="B8645" s="10" t="str">
        <f>"9782806265654"</f>
        <v>9782806265654</v>
      </c>
      <c r="C8645" s="10" t="str">
        <f>"9782806265647"</f>
        <v>9782806265647</v>
      </c>
      <c r="D8645" s="10" t="s">
        <v>29172</v>
      </c>
      <c r="E8645" s="10" t="s">
        <v>29173</v>
      </c>
      <c r="F8645" s="10" t="s">
        <v>29181</v>
      </c>
      <c r="G8645" s="10" t="s">
        <v>28737</v>
      </c>
      <c r="H8645" s="11">
        <v>42314</v>
      </c>
      <c r="I8645" s="10">
        <v>2015</v>
      </c>
      <c r="J8645" s="10" t="s">
        <v>29175</v>
      </c>
      <c r="K8645" s="10">
        <v>22</v>
      </c>
      <c r="L8645" s="10" t="s">
        <v>39822</v>
      </c>
      <c r="M8645" s="10">
        <v>1</v>
      </c>
      <c r="N8645" s="10" t="s">
        <v>29177</v>
      </c>
      <c r="O8645" s="10"/>
      <c r="P8645" s="10"/>
      <c r="Q8645" s="10"/>
      <c r="R8645" s="10" t="s">
        <v>39820</v>
      </c>
      <c r="S8645" s="10" t="s">
        <v>5404</v>
      </c>
      <c r="T8645" s="10" t="s">
        <v>29264</v>
      </c>
    </row>
    <row r="8646" spans="1:20" ht="14.5" x14ac:dyDescent="0.35">
      <c r="A8646" s="10" t="s">
        <v>39829</v>
      </c>
      <c r="B8646" s="10" t="str">
        <f>"9782806267849"</f>
        <v>9782806267849</v>
      </c>
      <c r="C8646" s="10" t="str">
        <f>"9782806267832"</f>
        <v>9782806267832</v>
      </c>
      <c r="D8646" s="10" t="s">
        <v>29172</v>
      </c>
      <c r="E8646" s="10" t="s">
        <v>29173</v>
      </c>
      <c r="F8646" s="10" t="s">
        <v>29181</v>
      </c>
      <c r="G8646" s="10" t="s">
        <v>28737</v>
      </c>
      <c r="H8646" s="11">
        <v>42314</v>
      </c>
      <c r="I8646" s="10">
        <v>2015</v>
      </c>
      <c r="J8646" s="10" t="s">
        <v>29175</v>
      </c>
      <c r="K8646" s="10">
        <v>29</v>
      </c>
      <c r="L8646" s="10" t="s">
        <v>39830</v>
      </c>
      <c r="M8646" s="10">
        <v>1</v>
      </c>
      <c r="N8646" s="10" t="s">
        <v>29177</v>
      </c>
      <c r="O8646" s="10"/>
      <c r="P8646" s="10"/>
      <c r="Q8646" s="10"/>
      <c r="R8646" s="10" t="s">
        <v>39820</v>
      </c>
      <c r="S8646" s="10" t="s">
        <v>5404</v>
      </c>
      <c r="T8646" s="10" t="s">
        <v>6568</v>
      </c>
    </row>
    <row r="8647" spans="1:20" ht="14.5" x14ac:dyDescent="0.35">
      <c r="A8647" s="10" t="s">
        <v>39831</v>
      </c>
      <c r="B8647" s="10" t="str">
        <f>"9780739192665"</f>
        <v>9780739192665</v>
      </c>
      <c r="C8647" s="10" t="str">
        <f>"9780739192672"</f>
        <v>9780739192672</v>
      </c>
      <c r="D8647" s="10" t="s">
        <v>9752</v>
      </c>
      <c r="E8647" s="10" t="s">
        <v>15182</v>
      </c>
      <c r="F8647" s="10" t="s">
        <v>3460</v>
      </c>
      <c r="G8647" s="10" t="s">
        <v>6317</v>
      </c>
      <c r="H8647" s="11">
        <v>42341</v>
      </c>
      <c r="I8647" s="10">
        <v>2015</v>
      </c>
      <c r="J8647" s="10" t="s">
        <v>15182</v>
      </c>
      <c r="K8647" s="10">
        <v>173</v>
      </c>
      <c r="L8647" s="10" t="s">
        <v>39832</v>
      </c>
      <c r="M8647" s="10">
        <v>1</v>
      </c>
      <c r="N8647" s="10"/>
      <c r="O8647" s="10"/>
      <c r="P8647" s="10" t="s">
        <v>39833</v>
      </c>
      <c r="Q8647" s="10">
        <v>362.87095192999999</v>
      </c>
      <c r="R8647" s="10" t="s">
        <v>39834</v>
      </c>
      <c r="S8647" s="10" t="s">
        <v>53</v>
      </c>
      <c r="T8647" s="10" t="s">
        <v>6363</v>
      </c>
    </row>
    <row r="8648" spans="1:20" ht="14.5" x14ac:dyDescent="0.35">
      <c r="A8648" s="10" t="s">
        <v>39835</v>
      </c>
      <c r="B8648" s="10" t="str">
        <f>"9780761866190"</f>
        <v>9780761866190</v>
      </c>
      <c r="C8648" s="10" t="str">
        <f>"9780761866206"</f>
        <v>9780761866206</v>
      </c>
      <c r="D8648" s="10" t="s">
        <v>9752</v>
      </c>
      <c r="E8648" s="10" t="s">
        <v>17167</v>
      </c>
      <c r="F8648" s="10" t="s">
        <v>9754</v>
      </c>
      <c r="G8648" s="10" t="s">
        <v>6317</v>
      </c>
      <c r="H8648" s="11">
        <v>42328</v>
      </c>
      <c r="I8648" s="10">
        <v>2015</v>
      </c>
      <c r="J8648" s="10" t="s">
        <v>17167</v>
      </c>
      <c r="K8648" s="10">
        <v>118</v>
      </c>
      <c r="L8648" s="10" t="s">
        <v>39836</v>
      </c>
      <c r="M8648" s="10">
        <v>1</v>
      </c>
      <c r="N8648" s="10"/>
      <c r="O8648" s="10"/>
      <c r="P8648" s="10" t="s">
        <v>39837</v>
      </c>
      <c r="Q8648" s="10" t="s">
        <v>39838</v>
      </c>
      <c r="R8648" s="10" t="s">
        <v>39839</v>
      </c>
      <c r="S8648" s="10" t="s">
        <v>53</v>
      </c>
      <c r="T8648" s="10" t="s">
        <v>54</v>
      </c>
    </row>
    <row r="8649" spans="1:20" ht="14.5" x14ac:dyDescent="0.35">
      <c r="A8649" s="10" t="s">
        <v>39840</v>
      </c>
      <c r="B8649" s="10" t="str">
        <f>"9780761866343"</f>
        <v>9780761866343</v>
      </c>
      <c r="C8649" s="10" t="str">
        <f>"9780761866350"</f>
        <v>9780761866350</v>
      </c>
      <c r="D8649" s="10" t="s">
        <v>9752</v>
      </c>
      <c r="E8649" s="10" t="s">
        <v>17167</v>
      </c>
      <c r="F8649" s="10" t="s">
        <v>9754</v>
      </c>
      <c r="G8649" s="10" t="s">
        <v>6317</v>
      </c>
      <c r="H8649" s="11">
        <v>42215</v>
      </c>
      <c r="I8649" s="10">
        <v>2015</v>
      </c>
      <c r="J8649" s="10" t="s">
        <v>17167</v>
      </c>
      <c r="K8649" s="10">
        <v>200</v>
      </c>
      <c r="L8649" s="10" t="s">
        <v>39841</v>
      </c>
      <c r="M8649" s="10">
        <v>1</v>
      </c>
      <c r="N8649" s="10"/>
      <c r="O8649" s="10"/>
      <c r="P8649" s="10" t="s">
        <v>39842</v>
      </c>
      <c r="Q8649" s="10">
        <v>126</v>
      </c>
      <c r="R8649" s="10" t="s">
        <v>39843</v>
      </c>
      <c r="S8649" s="10" t="s">
        <v>53</v>
      </c>
      <c r="T8649" s="10" t="s">
        <v>6534</v>
      </c>
    </row>
    <row r="8650" spans="1:20" ht="14.5" x14ac:dyDescent="0.35">
      <c r="A8650" s="10" t="s">
        <v>39844</v>
      </c>
      <c r="B8650" s="10" t="str">
        <f>"9780761866701"</f>
        <v>9780761866701</v>
      </c>
      <c r="C8650" s="10" t="str">
        <f>"9780761866718"</f>
        <v>9780761866718</v>
      </c>
      <c r="D8650" s="10" t="s">
        <v>9752</v>
      </c>
      <c r="E8650" s="10" t="s">
        <v>17176</v>
      </c>
      <c r="F8650" s="10" t="s">
        <v>9754</v>
      </c>
      <c r="G8650" s="10" t="s">
        <v>6317</v>
      </c>
      <c r="H8650" s="11">
        <v>42311</v>
      </c>
      <c r="I8650" s="10">
        <v>2015</v>
      </c>
      <c r="J8650" s="10" t="s">
        <v>17176</v>
      </c>
      <c r="K8650" s="10">
        <v>187</v>
      </c>
      <c r="L8650" s="10" t="s">
        <v>39845</v>
      </c>
      <c r="M8650" s="10">
        <v>1</v>
      </c>
      <c r="N8650" s="10"/>
      <c r="O8650" s="10"/>
      <c r="P8650" s="10" t="s">
        <v>39846</v>
      </c>
      <c r="Q8650" s="10" t="s">
        <v>10449</v>
      </c>
      <c r="R8650" s="10" t="s">
        <v>39847</v>
      </c>
      <c r="S8650" s="10" t="s">
        <v>53</v>
      </c>
      <c r="T8650" s="10" t="s">
        <v>54</v>
      </c>
    </row>
    <row r="8651" spans="1:20" ht="14.5" x14ac:dyDescent="0.35">
      <c r="A8651" s="10" t="s">
        <v>39848</v>
      </c>
      <c r="B8651" s="10" t="str">
        <f>"9781442248069"</f>
        <v>9781442248069</v>
      </c>
      <c r="C8651" s="10" t="str">
        <f>"9781442248076"</f>
        <v>9781442248076</v>
      </c>
      <c r="D8651" s="10" t="s">
        <v>9752</v>
      </c>
      <c r="E8651" s="10" t="s">
        <v>15187</v>
      </c>
      <c r="F8651" s="10" t="s">
        <v>9754</v>
      </c>
      <c r="G8651" s="10" t="s">
        <v>6317</v>
      </c>
      <c r="H8651" s="11">
        <v>42275</v>
      </c>
      <c r="I8651" s="10">
        <v>2015</v>
      </c>
      <c r="J8651" s="10" t="s">
        <v>15187</v>
      </c>
      <c r="K8651" s="10">
        <v>261</v>
      </c>
      <c r="L8651" s="10" t="s">
        <v>39849</v>
      </c>
      <c r="M8651" s="10">
        <v>1</v>
      </c>
      <c r="N8651" s="10"/>
      <c r="O8651" s="10"/>
      <c r="P8651" s="10" t="s">
        <v>39850</v>
      </c>
      <c r="Q8651" s="10" t="s">
        <v>39851</v>
      </c>
      <c r="R8651" s="10" t="s">
        <v>39852</v>
      </c>
      <c r="S8651" s="10" t="s">
        <v>53</v>
      </c>
      <c r="T8651" s="10" t="s">
        <v>39853</v>
      </c>
    </row>
    <row r="8652" spans="1:20" ht="14.5" x14ac:dyDescent="0.35">
      <c r="A8652" s="10" t="s">
        <v>39854</v>
      </c>
      <c r="B8652" s="10" t="str">
        <f>"9781475807127"</f>
        <v>9781475807127</v>
      </c>
      <c r="C8652" s="10" t="str">
        <f>"9781475807141"</f>
        <v>9781475807141</v>
      </c>
      <c r="D8652" s="10" t="s">
        <v>9752</v>
      </c>
      <c r="E8652" s="10" t="s">
        <v>15187</v>
      </c>
      <c r="F8652" s="10" t="s">
        <v>9754</v>
      </c>
      <c r="G8652" s="10" t="s">
        <v>6317</v>
      </c>
      <c r="H8652" s="11">
        <v>42236</v>
      </c>
      <c r="I8652" s="10">
        <v>2015</v>
      </c>
      <c r="J8652" s="10" t="s">
        <v>15187</v>
      </c>
      <c r="K8652" s="10">
        <v>223</v>
      </c>
      <c r="L8652" s="10" t="s">
        <v>39855</v>
      </c>
      <c r="M8652" s="10">
        <v>1</v>
      </c>
      <c r="N8652" s="10"/>
      <c r="O8652" s="10"/>
      <c r="P8652" s="10" t="s">
        <v>39856</v>
      </c>
      <c r="Q8652" s="10">
        <v>379.26</v>
      </c>
      <c r="R8652" s="10" t="s">
        <v>39857</v>
      </c>
      <c r="S8652" s="10" t="s">
        <v>53</v>
      </c>
      <c r="T8652" s="10" t="s">
        <v>54</v>
      </c>
    </row>
    <row r="8653" spans="1:20" ht="14.5" x14ac:dyDescent="0.35">
      <c r="A8653" s="10" t="s">
        <v>39858</v>
      </c>
      <c r="B8653" s="10" t="str">
        <f>"9781475807721"</f>
        <v>9781475807721</v>
      </c>
      <c r="C8653" s="10" t="str">
        <f>"9781475807745"</f>
        <v>9781475807745</v>
      </c>
      <c r="D8653" s="10" t="s">
        <v>9752</v>
      </c>
      <c r="E8653" s="10" t="s">
        <v>15187</v>
      </c>
      <c r="F8653" s="10" t="s">
        <v>9754</v>
      </c>
      <c r="G8653" s="10" t="s">
        <v>6317</v>
      </c>
      <c r="H8653" s="11">
        <v>42236</v>
      </c>
      <c r="I8653" s="10">
        <v>2015</v>
      </c>
      <c r="J8653" s="10" t="s">
        <v>15187</v>
      </c>
      <c r="K8653" s="10">
        <v>253</v>
      </c>
      <c r="L8653" s="10" t="s">
        <v>39859</v>
      </c>
      <c r="M8653" s="10">
        <v>1</v>
      </c>
      <c r="N8653" s="10" t="s">
        <v>39860</v>
      </c>
      <c r="O8653" s="10"/>
      <c r="P8653" s="10"/>
      <c r="Q8653" s="10" t="s">
        <v>39861</v>
      </c>
      <c r="R8653" s="10" t="s">
        <v>39862</v>
      </c>
      <c r="S8653" s="10" t="s">
        <v>53</v>
      </c>
      <c r="T8653" s="10" t="s">
        <v>8625</v>
      </c>
    </row>
    <row r="8654" spans="1:20" ht="14.5" x14ac:dyDescent="0.35">
      <c r="A8654" s="10" t="s">
        <v>39863</v>
      </c>
      <c r="B8654" s="10" t="str">
        <f>"9781475807783"</f>
        <v>9781475807783</v>
      </c>
      <c r="C8654" s="10" t="str">
        <f>"9781475807806"</f>
        <v>9781475807806</v>
      </c>
      <c r="D8654" s="10" t="s">
        <v>9752</v>
      </c>
      <c r="E8654" s="10" t="s">
        <v>15187</v>
      </c>
      <c r="F8654" s="10" t="s">
        <v>9754</v>
      </c>
      <c r="G8654" s="10" t="s">
        <v>6317</v>
      </c>
      <c r="H8654" s="11">
        <v>42229</v>
      </c>
      <c r="I8654" s="10">
        <v>2015</v>
      </c>
      <c r="J8654" s="10" t="s">
        <v>15187</v>
      </c>
      <c r="K8654" s="10">
        <v>258</v>
      </c>
      <c r="L8654" s="10" t="s">
        <v>39864</v>
      </c>
      <c r="M8654" s="10">
        <v>1</v>
      </c>
      <c r="N8654" s="10"/>
      <c r="O8654" s="10"/>
      <c r="P8654" s="10"/>
      <c r="Q8654" s="10">
        <v>371.1</v>
      </c>
      <c r="R8654" s="10" t="s">
        <v>39865</v>
      </c>
      <c r="S8654" s="10" t="s">
        <v>53</v>
      </c>
      <c r="T8654" s="10" t="s">
        <v>54</v>
      </c>
    </row>
    <row r="8655" spans="1:20" ht="14.5" x14ac:dyDescent="0.35">
      <c r="A8655" s="10" t="s">
        <v>39866</v>
      </c>
      <c r="B8655" s="10" t="str">
        <f>"9781475808315"</f>
        <v>9781475808315</v>
      </c>
      <c r="C8655" s="10" t="str">
        <f>"9781475808339"</f>
        <v>9781475808339</v>
      </c>
      <c r="D8655" s="10" t="s">
        <v>9752</v>
      </c>
      <c r="E8655" s="10" t="s">
        <v>15187</v>
      </c>
      <c r="F8655" s="10" t="s">
        <v>9754</v>
      </c>
      <c r="G8655" s="10" t="s">
        <v>6317</v>
      </c>
      <c r="H8655" s="11">
        <v>42047</v>
      </c>
      <c r="I8655" s="10">
        <v>2015</v>
      </c>
      <c r="J8655" s="10" t="s">
        <v>15187</v>
      </c>
      <c r="K8655" s="10">
        <v>239</v>
      </c>
      <c r="L8655" s="10" t="s">
        <v>39867</v>
      </c>
      <c r="M8655" s="10">
        <v>2</v>
      </c>
      <c r="N8655" s="10"/>
      <c r="O8655" s="10"/>
      <c r="P8655" s="10" t="s">
        <v>39868</v>
      </c>
      <c r="Q8655" s="10">
        <v>371.20972999999998</v>
      </c>
      <c r="R8655" s="10" t="s">
        <v>9758</v>
      </c>
      <c r="S8655" s="10" t="s">
        <v>53</v>
      </c>
      <c r="T8655" s="10" t="s">
        <v>54</v>
      </c>
    </row>
    <row r="8656" spans="1:20" ht="14.5" x14ac:dyDescent="0.35">
      <c r="A8656" s="10" t="s">
        <v>39869</v>
      </c>
      <c r="B8656" s="10" t="str">
        <f>"9781475808728"</f>
        <v>9781475808728</v>
      </c>
      <c r="C8656" s="10" t="str">
        <f>"9781475808742"</f>
        <v>9781475808742</v>
      </c>
      <c r="D8656" s="10" t="s">
        <v>9752</v>
      </c>
      <c r="E8656" s="10" t="s">
        <v>15187</v>
      </c>
      <c r="F8656" s="10" t="s">
        <v>9754</v>
      </c>
      <c r="G8656" s="10" t="s">
        <v>6317</v>
      </c>
      <c r="H8656" s="11">
        <v>42293</v>
      </c>
      <c r="I8656" s="10">
        <v>2015</v>
      </c>
      <c r="J8656" s="10" t="s">
        <v>15187</v>
      </c>
      <c r="K8656" s="10">
        <v>153</v>
      </c>
      <c r="L8656" s="10" t="s">
        <v>39870</v>
      </c>
      <c r="M8656" s="10">
        <v>1</v>
      </c>
      <c r="N8656" s="10"/>
      <c r="O8656" s="10"/>
      <c r="P8656" s="10" t="s">
        <v>39871</v>
      </c>
      <c r="Q8656" s="10">
        <v>371.01097299999998</v>
      </c>
      <c r="R8656" s="10" t="s">
        <v>39872</v>
      </c>
      <c r="S8656" s="10" t="s">
        <v>53</v>
      </c>
      <c r="T8656" s="10" t="s">
        <v>54</v>
      </c>
    </row>
    <row r="8657" spans="1:20" ht="14.5" x14ac:dyDescent="0.35">
      <c r="A8657" s="10" t="s">
        <v>39873</v>
      </c>
      <c r="B8657" s="10" t="str">
        <f>"9781475808841"</f>
        <v>9781475808841</v>
      </c>
      <c r="C8657" s="10" t="str">
        <f>"9781475808865"</f>
        <v>9781475808865</v>
      </c>
      <c r="D8657" s="10" t="s">
        <v>9752</v>
      </c>
      <c r="E8657" s="10" t="s">
        <v>15187</v>
      </c>
      <c r="F8657" s="10" t="s">
        <v>9754</v>
      </c>
      <c r="G8657" s="10" t="s">
        <v>6317</v>
      </c>
      <c r="H8657" s="11">
        <v>42236</v>
      </c>
      <c r="I8657" s="10">
        <v>2015</v>
      </c>
      <c r="J8657" s="10" t="s">
        <v>15187</v>
      </c>
      <c r="K8657" s="10">
        <v>225</v>
      </c>
      <c r="L8657" s="10" t="s">
        <v>16291</v>
      </c>
      <c r="M8657" s="10">
        <v>2</v>
      </c>
      <c r="N8657" s="10"/>
      <c r="O8657" s="10"/>
      <c r="P8657" s="10"/>
      <c r="Q8657" s="10" t="s">
        <v>12010</v>
      </c>
      <c r="R8657" s="10" t="s">
        <v>39874</v>
      </c>
      <c r="S8657" s="10" t="s">
        <v>53</v>
      </c>
      <c r="T8657" s="10" t="s">
        <v>54</v>
      </c>
    </row>
    <row r="8658" spans="1:20" ht="14.5" x14ac:dyDescent="0.35">
      <c r="A8658" s="10" t="s">
        <v>39875</v>
      </c>
      <c r="B8658" s="10" t="str">
        <f>"9781475809169"</f>
        <v>9781475809169</v>
      </c>
      <c r="C8658" s="10" t="str">
        <f>"9781475809176"</f>
        <v>9781475809176</v>
      </c>
      <c r="D8658" s="10" t="s">
        <v>9752</v>
      </c>
      <c r="E8658" s="10" t="s">
        <v>15187</v>
      </c>
      <c r="F8658" s="10" t="s">
        <v>9754</v>
      </c>
      <c r="G8658" s="10" t="s">
        <v>6317</v>
      </c>
      <c r="H8658" s="11">
        <v>42071</v>
      </c>
      <c r="I8658" s="10">
        <v>2015</v>
      </c>
      <c r="J8658" s="10" t="s">
        <v>15187</v>
      </c>
      <c r="K8658" s="10">
        <v>197</v>
      </c>
      <c r="L8658" s="10" t="s">
        <v>39876</v>
      </c>
      <c r="M8658" s="10">
        <v>1</v>
      </c>
      <c r="N8658" s="10"/>
      <c r="O8658" s="10"/>
      <c r="P8658" s="10" t="s">
        <v>39877</v>
      </c>
      <c r="Q8658" s="10" t="s">
        <v>16337</v>
      </c>
      <c r="R8658" s="10" t="s">
        <v>39878</v>
      </c>
      <c r="S8658" s="10" t="s">
        <v>53</v>
      </c>
      <c r="T8658" s="10" t="s">
        <v>54</v>
      </c>
    </row>
    <row r="8659" spans="1:20" ht="14.5" x14ac:dyDescent="0.35">
      <c r="A8659" s="10" t="s">
        <v>39879</v>
      </c>
      <c r="B8659" s="10" t="str">
        <f>"9781475809282"</f>
        <v>9781475809282</v>
      </c>
      <c r="C8659" s="10" t="str">
        <f>"9781475809299"</f>
        <v>9781475809299</v>
      </c>
      <c r="D8659" s="10" t="s">
        <v>9752</v>
      </c>
      <c r="E8659" s="10" t="s">
        <v>15187</v>
      </c>
      <c r="F8659" s="10" t="s">
        <v>9754</v>
      </c>
      <c r="G8659" s="10" t="s">
        <v>6317</v>
      </c>
      <c r="H8659" s="11">
        <v>42163</v>
      </c>
      <c r="I8659" s="10">
        <v>2015</v>
      </c>
      <c r="J8659" s="10" t="s">
        <v>15187</v>
      </c>
      <c r="K8659" s="10">
        <v>161</v>
      </c>
      <c r="L8659" s="10" t="s">
        <v>39880</v>
      </c>
      <c r="M8659" s="10">
        <v>1</v>
      </c>
      <c r="N8659" s="10"/>
      <c r="O8659" s="10"/>
      <c r="P8659" s="10" t="s">
        <v>39881</v>
      </c>
      <c r="Q8659" s="10">
        <v>371.33</v>
      </c>
      <c r="R8659" s="10" t="s">
        <v>10257</v>
      </c>
      <c r="S8659" s="10" t="s">
        <v>53</v>
      </c>
      <c r="T8659" s="10" t="s">
        <v>54</v>
      </c>
    </row>
    <row r="8660" spans="1:20" ht="14.5" x14ac:dyDescent="0.35">
      <c r="A8660" s="10" t="s">
        <v>39882</v>
      </c>
      <c r="B8660" s="10" t="str">
        <f>"9781475809336"</f>
        <v>9781475809336</v>
      </c>
      <c r="C8660" s="10" t="str">
        <f>"9781475809350"</f>
        <v>9781475809350</v>
      </c>
      <c r="D8660" s="10" t="s">
        <v>9752</v>
      </c>
      <c r="E8660" s="10" t="s">
        <v>15187</v>
      </c>
      <c r="F8660" s="10" t="s">
        <v>9754</v>
      </c>
      <c r="G8660" s="10" t="s">
        <v>6317</v>
      </c>
      <c r="H8660" s="11">
        <v>42193</v>
      </c>
      <c r="I8660" s="10">
        <v>2015</v>
      </c>
      <c r="J8660" s="10" t="s">
        <v>15187</v>
      </c>
      <c r="K8660" s="10">
        <v>168</v>
      </c>
      <c r="L8660" s="10" t="s">
        <v>39883</v>
      </c>
      <c r="M8660" s="10">
        <v>1</v>
      </c>
      <c r="N8660" s="10"/>
      <c r="O8660" s="10"/>
      <c r="P8660" s="10" t="s">
        <v>39884</v>
      </c>
      <c r="Q8660" s="10" t="s">
        <v>39885</v>
      </c>
      <c r="R8660" s="10" t="s">
        <v>39886</v>
      </c>
      <c r="S8660" s="10" t="s">
        <v>53</v>
      </c>
      <c r="T8660" s="10" t="s">
        <v>5396</v>
      </c>
    </row>
    <row r="8661" spans="1:20" ht="14.5" x14ac:dyDescent="0.35">
      <c r="A8661" s="10" t="s">
        <v>39887</v>
      </c>
      <c r="B8661" s="10" t="str">
        <f>"9781475810103"</f>
        <v>9781475810103</v>
      </c>
      <c r="C8661" s="10" t="str">
        <f>"9781475810110"</f>
        <v>9781475810110</v>
      </c>
      <c r="D8661" s="10" t="s">
        <v>9752</v>
      </c>
      <c r="E8661" s="10" t="s">
        <v>15187</v>
      </c>
      <c r="F8661" s="10" t="s">
        <v>9754</v>
      </c>
      <c r="G8661" s="10" t="s">
        <v>6317</v>
      </c>
      <c r="H8661" s="11">
        <v>42080</v>
      </c>
      <c r="I8661" s="10">
        <v>2015</v>
      </c>
      <c r="J8661" s="10" t="s">
        <v>15187</v>
      </c>
      <c r="K8661" s="10">
        <v>395</v>
      </c>
      <c r="L8661" s="10" t="s">
        <v>39888</v>
      </c>
      <c r="M8661" s="10">
        <v>8</v>
      </c>
      <c r="N8661" s="10"/>
      <c r="O8661" s="10"/>
      <c r="P8661" s="10" t="s">
        <v>39889</v>
      </c>
      <c r="Q8661" s="10">
        <v>378.33</v>
      </c>
      <c r="R8661" s="10" t="s">
        <v>39890</v>
      </c>
      <c r="S8661" s="10" t="s">
        <v>53</v>
      </c>
      <c r="T8661" s="10" t="s">
        <v>8755</v>
      </c>
    </row>
    <row r="8662" spans="1:20" ht="14.5" x14ac:dyDescent="0.35">
      <c r="A8662" s="10" t="s">
        <v>39891</v>
      </c>
      <c r="B8662" s="10" t="str">
        <f>"9781475810240"</f>
        <v>9781475810240</v>
      </c>
      <c r="C8662" s="10" t="str">
        <f>"9781475810264"</f>
        <v>9781475810264</v>
      </c>
      <c r="D8662" s="10" t="s">
        <v>9752</v>
      </c>
      <c r="E8662" s="10" t="s">
        <v>15187</v>
      </c>
      <c r="F8662" s="10" t="s">
        <v>9754</v>
      </c>
      <c r="G8662" s="10" t="s">
        <v>6317</v>
      </c>
      <c r="H8662" s="11">
        <v>42019</v>
      </c>
      <c r="I8662" s="10">
        <v>2015</v>
      </c>
      <c r="J8662" s="10" t="s">
        <v>15187</v>
      </c>
      <c r="K8662" s="10">
        <v>227</v>
      </c>
      <c r="L8662" s="10" t="s">
        <v>15901</v>
      </c>
      <c r="M8662" s="10">
        <v>1</v>
      </c>
      <c r="N8662" s="10"/>
      <c r="O8662" s="10"/>
      <c r="P8662" s="10" t="s">
        <v>39892</v>
      </c>
      <c r="Q8662" s="10" t="s">
        <v>8460</v>
      </c>
      <c r="R8662" s="10" t="s">
        <v>39893</v>
      </c>
      <c r="S8662" s="10" t="s">
        <v>53</v>
      </c>
      <c r="T8662" s="10" t="s">
        <v>54</v>
      </c>
    </row>
    <row r="8663" spans="1:20" ht="14.5" x14ac:dyDescent="0.35">
      <c r="A8663" s="10" t="s">
        <v>39894</v>
      </c>
      <c r="B8663" s="10" t="str">
        <f>"9781475810974"</f>
        <v>9781475810974</v>
      </c>
      <c r="C8663" s="10" t="str">
        <f>"9781475810998"</f>
        <v>9781475810998</v>
      </c>
      <c r="D8663" s="10" t="s">
        <v>9752</v>
      </c>
      <c r="E8663" s="10" t="s">
        <v>15187</v>
      </c>
      <c r="F8663" s="10" t="s">
        <v>9754</v>
      </c>
      <c r="G8663" s="10" t="s">
        <v>6317</v>
      </c>
      <c r="H8663" s="11">
        <v>42222</v>
      </c>
      <c r="I8663" s="10">
        <v>2015</v>
      </c>
      <c r="J8663" s="10" t="s">
        <v>15187</v>
      </c>
      <c r="K8663" s="10">
        <v>182</v>
      </c>
      <c r="L8663" s="10" t="s">
        <v>39895</v>
      </c>
      <c r="M8663" s="10">
        <v>1</v>
      </c>
      <c r="N8663" s="10"/>
      <c r="O8663" s="10"/>
      <c r="P8663" s="10" t="s">
        <v>39896</v>
      </c>
      <c r="Q8663" s="10" t="s">
        <v>39897</v>
      </c>
      <c r="R8663" s="10" t="s">
        <v>39898</v>
      </c>
      <c r="S8663" s="10" t="s">
        <v>53</v>
      </c>
      <c r="T8663" s="10" t="s">
        <v>54</v>
      </c>
    </row>
    <row r="8664" spans="1:20" ht="14.5" x14ac:dyDescent="0.35">
      <c r="A8664" s="10" t="s">
        <v>39899</v>
      </c>
      <c r="B8664" s="10" t="str">
        <f>"9781475811094"</f>
        <v>9781475811094</v>
      </c>
      <c r="C8664" s="10" t="str">
        <f>"9781475811100"</f>
        <v>9781475811100</v>
      </c>
      <c r="D8664" s="10" t="s">
        <v>9752</v>
      </c>
      <c r="E8664" s="10" t="s">
        <v>15187</v>
      </c>
      <c r="F8664" s="10" t="s">
        <v>9754</v>
      </c>
      <c r="G8664" s="10" t="s">
        <v>6317</v>
      </c>
      <c r="H8664" s="11">
        <v>42164</v>
      </c>
      <c r="I8664" s="10">
        <v>2015</v>
      </c>
      <c r="J8664" s="10" t="s">
        <v>15187</v>
      </c>
      <c r="K8664" s="10">
        <v>125</v>
      </c>
      <c r="L8664" s="10" t="s">
        <v>39900</v>
      </c>
      <c r="M8664" s="10">
        <v>1</v>
      </c>
      <c r="N8664" s="10"/>
      <c r="O8664" s="10"/>
      <c r="P8664" s="10"/>
      <c r="Q8664" s="10" t="s">
        <v>12854</v>
      </c>
      <c r="R8664" s="10" t="s">
        <v>39901</v>
      </c>
      <c r="S8664" s="10" t="s">
        <v>53</v>
      </c>
      <c r="T8664" s="10" t="s">
        <v>54</v>
      </c>
    </row>
    <row r="8665" spans="1:20" ht="14.5" x14ac:dyDescent="0.35">
      <c r="A8665" s="10" t="s">
        <v>39902</v>
      </c>
      <c r="B8665" s="10" t="str">
        <f>"9781475811148"</f>
        <v>9781475811148</v>
      </c>
      <c r="C8665" s="10" t="str">
        <f>"9781475811162"</f>
        <v>9781475811162</v>
      </c>
      <c r="D8665" s="10" t="s">
        <v>9752</v>
      </c>
      <c r="E8665" s="10" t="s">
        <v>15187</v>
      </c>
      <c r="F8665" s="10" t="s">
        <v>9754</v>
      </c>
      <c r="G8665" s="10" t="s">
        <v>6317</v>
      </c>
      <c r="H8665" s="11">
        <v>42293</v>
      </c>
      <c r="I8665" s="10">
        <v>2015</v>
      </c>
      <c r="J8665" s="10" t="s">
        <v>15187</v>
      </c>
      <c r="K8665" s="10">
        <v>132</v>
      </c>
      <c r="L8665" s="10" t="s">
        <v>39903</v>
      </c>
      <c r="M8665" s="10">
        <v>1</v>
      </c>
      <c r="N8665" s="10"/>
      <c r="O8665" s="10"/>
      <c r="P8665" s="10" t="s">
        <v>39904</v>
      </c>
      <c r="Q8665" s="10">
        <v>372.4</v>
      </c>
      <c r="R8665" s="10" t="s">
        <v>39905</v>
      </c>
      <c r="S8665" s="10" t="s">
        <v>53</v>
      </c>
      <c r="T8665" s="10" t="s">
        <v>54</v>
      </c>
    </row>
    <row r="8666" spans="1:20" ht="14.5" x14ac:dyDescent="0.35">
      <c r="A8666" s="10" t="s">
        <v>39906</v>
      </c>
      <c r="B8666" s="10" t="str">
        <f>"9781475812541"</f>
        <v>9781475812541</v>
      </c>
      <c r="C8666" s="10" t="str">
        <f>"9781475812565"</f>
        <v>9781475812565</v>
      </c>
      <c r="D8666" s="10" t="s">
        <v>9752</v>
      </c>
      <c r="E8666" s="10" t="s">
        <v>15187</v>
      </c>
      <c r="F8666" s="10" t="s">
        <v>9754</v>
      </c>
      <c r="G8666" s="10" t="s">
        <v>6317</v>
      </c>
      <c r="H8666" s="11">
        <v>42026</v>
      </c>
      <c r="I8666" s="10">
        <v>2015</v>
      </c>
      <c r="J8666" s="10" t="s">
        <v>15187</v>
      </c>
      <c r="K8666" s="10">
        <v>155</v>
      </c>
      <c r="L8666" s="10" t="s">
        <v>39907</v>
      </c>
      <c r="M8666" s="10">
        <v>1</v>
      </c>
      <c r="N8666" s="10"/>
      <c r="O8666" s="10"/>
      <c r="P8666" s="10"/>
      <c r="Q8666" s="10" t="s">
        <v>39908</v>
      </c>
      <c r="R8666" s="10" t="s">
        <v>39909</v>
      </c>
      <c r="S8666" s="10" t="s">
        <v>53</v>
      </c>
      <c r="T8666" s="10" t="s">
        <v>54</v>
      </c>
    </row>
    <row r="8667" spans="1:20" ht="14.5" x14ac:dyDescent="0.35">
      <c r="A8667" s="10" t="s">
        <v>39910</v>
      </c>
      <c r="B8667" s="10" t="str">
        <f>"9781475812572"</f>
        <v>9781475812572</v>
      </c>
      <c r="C8667" s="10" t="str">
        <f>"9781475812596"</f>
        <v>9781475812596</v>
      </c>
      <c r="D8667" s="10" t="s">
        <v>9752</v>
      </c>
      <c r="E8667" s="10" t="s">
        <v>15187</v>
      </c>
      <c r="F8667" s="10" t="s">
        <v>9754</v>
      </c>
      <c r="G8667" s="10" t="s">
        <v>6317</v>
      </c>
      <c r="H8667" s="11">
        <v>42081</v>
      </c>
      <c r="I8667" s="10">
        <v>2015</v>
      </c>
      <c r="J8667" s="10" t="s">
        <v>15187</v>
      </c>
      <c r="K8667" s="10">
        <v>95</v>
      </c>
      <c r="L8667" s="10" t="s">
        <v>39911</v>
      </c>
      <c r="M8667" s="10">
        <v>1</v>
      </c>
      <c r="N8667" s="10"/>
      <c r="O8667" s="10"/>
      <c r="P8667" s="10"/>
      <c r="Q8667" s="10">
        <v>510.71</v>
      </c>
      <c r="R8667" s="10" t="s">
        <v>7105</v>
      </c>
      <c r="S8667" s="10" t="s">
        <v>53</v>
      </c>
      <c r="T8667" s="10" t="s">
        <v>389</v>
      </c>
    </row>
    <row r="8668" spans="1:20" ht="14.5" x14ac:dyDescent="0.35">
      <c r="A8668" s="10" t="s">
        <v>39912</v>
      </c>
      <c r="B8668" s="10" t="str">
        <f>"9781475812619"</f>
        <v>9781475812619</v>
      </c>
      <c r="C8668" s="10" t="str">
        <f>"9781475812626"</f>
        <v>9781475812626</v>
      </c>
      <c r="D8668" s="10" t="s">
        <v>9752</v>
      </c>
      <c r="E8668" s="10" t="s">
        <v>15187</v>
      </c>
      <c r="F8668" s="10" t="s">
        <v>9754</v>
      </c>
      <c r="G8668" s="10" t="s">
        <v>6317</v>
      </c>
      <c r="H8668" s="11">
        <v>42069</v>
      </c>
      <c r="I8668" s="10">
        <v>2015</v>
      </c>
      <c r="J8668" s="10" t="s">
        <v>15187</v>
      </c>
      <c r="K8668" s="10">
        <v>173</v>
      </c>
      <c r="L8668" s="10" t="s">
        <v>21786</v>
      </c>
      <c r="M8668" s="10">
        <v>1</v>
      </c>
      <c r="N8668" s="10"/>
      <c r="O8668" s="10"/>
      <c r="P8668" s="10" t="s">
        <v>39913</v>
      </c>
      <c r="Q8668" s="10">
        <v>371.2</v>
      </c>
      <c r="R8668" s="10" t="s">
        <v>6932</v>
      </c>
      <c r="S8668" s="10" t="s">
        <v>53</v>
      </c>
      <c r="T8668" s="10" t="s">
        <v>54</v>
      </c>
    </row>
    <row r="8669" spans="1:20" ht="14.5" x14ac:dyDescent="0.35">
      <c r="A8669" s="10" t="s">
        <v>39914</v>
      </c>
      <c r="B8669" s="10" t="str">
        <f>"9781475812817"</f>
        <v>9781475812817</v>
      </c>
      <c r="C8669" s="10" t="str">
        <f>"9781475812824"</f>
        <v>9781475812824</v>
      </c>
      <c r="D8669" s="10" t="s">
        <v>9752</v>
      </c>
      <c r="E8669" s="10" t="s">
        <v>15187</v>
      </c>
      <c r="F8669" s="10" t="s">
        <v>9754</v>
      </c>
      <c r="G8669" s="10" t="s">
        <v>6317</v>
      </c>
      <c r="H8669" s="11">
        <v>42082</v>
      </c>
      <c r="I8669" s="10">
        <v>2015</v>
      </c>
      <c r="J8669" s="10" t="s">
        <v>15187</v>
      </c>
      <c r="K8669" s="10">
        <v>109</v>
      </c>
      <c r="L8669" s="10" t="s">
        <v>39915</v>
      </c>
      <c r="M8669" s="10">
        <v>1</v>
      </c>
      <c r="N8669" s="10"/>
      <c r="O8669" s="10"/>
      <c r="P8669" s="10"/>
      <c r="Q8669" s="10">
        <v>371.33</v>
      </c>
      <c r="R8669" s="10" t="s">
        <v>20006</v>
      </c>
      <c r="S8669" s="10" t="s">
        <v>53</v>
      </c>
      <c r="T8669" s="10" t="s">
        <v>54</v>
      </c>
    </row>
    <row r="8670" spans="1:20" ht="14.5" x14ac:dyDescent="0.35">
      <c r="A8670" s="10" t="s">
        <v>39916</v>
      </c>
      <c r="B8670" s="10" t="str">
        <f>"9781475813647"</f>
        <v>9781475813647</v>
      </c>
      <c r="C8670" s="10" t="str">
        <f>"9781475813654"</f>
        <v>9781475813654</v>
      </c>
      <c r="D8670" s="10" t="s">
        <v>9752</v>
      </c>
      <c r="E8670" s="10" t="s">
        <v>15187</v>
      </c>
      <c r="F8670" s="10" t="s">
        <v>9754</v>
      </c>
      <c r="G8670" s="10" t="s">
        <v>6317</v>
      </c>
      <c r="H8670" s="11">
        <v>42187</v>
      </c>
      <c r="I8670" s="10">
        <v>2015</v>
      </c>
      <c r="J8670" s="10" t="s">
        <v>15187</v>
      </c>
      <c r="K8670" s="10">
        <v>83</v>
      </c>
      <c r="L8670" s="10" t="s">
        <v>39917</v>
      </c>
      <c r="M8670" s="10">
        <v>1</v>
      </c>
      <c r="N8670" s="10"/>
      <c r="O8670" s="10"/>
      <c r="P8670" s="10"/>
      <c r="Q8670" s="10">
        <v>371.82109730000002</v>
      </c>
      <c r="R8670" s="10" t="s">
        <v>39918</v>
      </c>
      <c r="S8670" s="10" t="s">
        <v>53</v>
      </c>
      <c r="T8670" s="10" t="s">
        <v>54</v>
      </c>
    </row>
    <row r="8671" spans="1:20" ht="14.5" x14ac:dyDescent="0.35">
      <c r="A8671" s="10" t="s">
        <v>39919</v>
      </c>
      <c r="B8671" s="10" t="str">
        <f>"9781475813944"</f>
        <v>9781475813944</v>
      </c>
      <c r="C8671" s="10" t="str">
        <f>"9781475813968"</f>
        <v>9781475813968</v>
      </c>
      <c r="D8671" s="10" t="s">
        <v>9752</v>
      </c>
      <c r="E8671" s="10" t="s">
        <v>15187</v>
      </c>
      <c r="F8671" s="10" t="s">
        <v>9754</v>
      </c>
      <c r="G8671" s="10" t="s">
        <v>6317</v>
      </c>
      <c r="H8671" s="11">
        <v>42228</v>
      </c>
      <c r="I8671" s="10">
        <v>2015</v>
      </c>
      <c r="J8671" s="10" t="s">
        <v>15187</v>
      </c>
      <c r="K8671" s="10">
        <v>121</v>
      </c>
      <c r="L8671" s="10" t="s">
        <v>39920</v>
      </c>
      <c r="M8671" s="10">
        <v>1</v>
      </c>
      <c r="N8671" s="10"/>
      <c r="O8671" s="10"/>
      <c r="P8671" s="10"/>
      <c r="Q8671" s="10">
        <v>371.10209730000003</v>
      </c>
      <c r="R8671" s="10" t="s">
        <v>39921</v>
      </c>
      <c r="S8671" s="10" t="s">
        <v>53</v>
      </c>
      <c r="T8671" s="10" t="s">
        <v>54</v>
      </c>
    </row>
    <row r="8672" spans="1:20" ht="14.5" x14ac:dyDescent="0.35">
      <c r="A8672" s="10" t="s">
        <v>39922</v>
      </c>
      <c r="B8672" s="10" t="str">
        <f>"9781475814187"</f>
        <v>9781475814187</v>
      </c>
      <c r="C8672" s="10" t="str">
        <f>"9781475814200"</f>
        <v>9781475814200</v>
      </c>
      <c r="D8672" s="10" t="s">
        <v>9752</v>
      </c>
      <c r="E8672" s="10" t="s">
        <v>15187</v>
      </c>
      <c r="F8672" s="10" t="s">
        <v>9754</v>
      </c>
      <c r="G8672" s="10" t="s">
        <v>6317</v>
      </c>
      <c r="H8672" s="11">
        <v>42065</v>
      </c>
      <c r="I8672" s="10">
        <v>2015</v>
      </c>
      <c r="J8672" s="10" t="s">
        <v>15187</v>
      </c>
      <c r="K8672" s="10">
        <v>149</v>
      </c>
      <c r="L8672" s="10" t="s">
        <v>39923</v>
      </c>
      <c r="M8672" s="10">
        <v>1</v>
      </c>
      <c r="N8672" s="10"/>
      <c r="O8672" s="10"/>
      <c r="P8672" s="10" t="s">
        <v>39924</v>
      </c>
      <c r="Q8672" s="10" t="s">
        <v>10227</v>
      </c>
      <c r="R8672" s="10" t="s">
        <v>39925</v>
      </c>
      <c r="S8672" s="10" t="s">
        <v>53</v>
      </c>
      <c r="T8672" s="10" t="s">
        <v>54</v>
      </c>
    </row>
    <row r="8673" spans="1:20" ht="14.5" x14ac:dyDescent="0.35">
      <c r="A8673" s="10" t="s">
        <v>39926</v>
      </c>
      <c r="B8673" s="10" t="str">
        <f>"9781475814514"</f>
        <v>9781475814514</v>
      </c>
      <c r="C8673" s="10" t="str">
        <f>"9781475814521"</f>
        <v>9781475814521</v>
      </c>
      <c r="D8673" s="10" t="s">
        <v>9752</v>
      </c>
      <c r="E8673" s="10" t="s">
        <v>15187</v>
      </c>
      <c r="F8673" s="10" t="s">
        <v>9754</v>
      </c>
      <c r="G8673" s="10" t="s">
        <v>6317</v>
      </c>
      <c r="H8673" s="11">
        <v>42256</v>
      </c>
      <c r="I8673" s="10">
        <v>2015</v>
      </c>
      <c r="J8673" s="10" t="s">
        <v>15187</v>
      </c>
      <c r="K8673" s="10">
        <v>151</v>
      </c>
      <c r="L8673" s="10" t="s">
        <v>39927</v>
      </c>
      <c r="M8673" s="10">
        <v>1</v>
      </c>
      <c r="N8673" s="10" t="s">
        <v>31474</v>
      </c>
      <c r="O8673" s="10"/>
      <c r="P8673" s="10" t="s">
        <v>39928</v>
      </c>
      <c r="Q8673" s="10" t="s">
        <v>20834</v>
      </c>
      <c r="R8673" s="10" t="s">
        <v>39929</v>
      </c>
      <c r="S8673" s="10" t="s">
        <v>53</v>
      </c>
      <c r="T8673" s="10" t="s">
        <v>54</v>
      </c>
    </row>
    <row r="8674" spans="1:20" ht="14.5" x14ac:dyDescent="0.35">
      <c r="A8674" s="10" t="s">
        <v>39930</v>
      </c>
      <c r="B8674" s="10" t="str">
        <f>"9781475814576"</f>
        <v>9781475814576</v>
      </c>
      <c r="C8674" s="10" t="str">
        <f>"9781475814583"</f>
        <v>9781475814583</v>
      </c>
      <c r="D8674" s="10" t="s">
        <v>9752</v>
      </c>
      <c r="E8674" s="10" t="s">
        <v>15187</v>
      </c>
      <c r="F8674" s="10" t="s">
        <v>9754</v>
      </c>
      <c r="G8674" s="10" t="s">
        <v>6317</v>
      </c>
      <c r="H8674" s="11">
        <v>42068</v>
      </c>
      <c r="I8674" s="10">
        <v>2015</v>
      </c>
      <c r="J8674" s="10" t="s">
        <v>15187</v>
      </c>
      <c r="K8674" s="10">
        <v>191</v>
      </c>
      <c r="L8674" s="10" t="s">
        <v>39931</v>
      </c>
      <c r="M8674" s="10">
        <v>1</v>
      </c>
      <c r="N8674" s="10"/>
      <c r="O8674" s="10"/>
      <c r="P8674" s="10" t="s">
        <v>39932</v>
      </c>
      <c r="Q8674" s="10" t="s">
        <v>39933</v>
      </c>
      <c r="R8674" s="10" t="s">
        <v>39934</v>
      </c>
      <c r="S8674" s="10" t="s">
        <v>53</v>
      </c>
      <c r="T8674" s="10" t="s">
        <v>6634</v>
      </c>
    </row>
    <row r="8675" spans="1:20" ht="14.5" x14ac:dyDescent="0.35">
      <c r="A8675" s="10" t="s">
        <v>39935</v>
      </c>
      <c r="B8675" s="10" t="str">
        <f>"9781475814743"</f>
        <v>9781475814743</v>
      </c>
      <c r="C8675" s="10" t="str">
        <f>"9781475814750"</f>
        <v>9781475814750</v>
      </c>
      <c r="D8675" s="10" t="s">
        <v>9752</v>
      </c>
      <c r="E8675" s="10" t="s">
        <v>15187</v>
      </c>
      <c r="F8675" s="10" t="s">
        <v>9754</v>
      </c>
      <c r="G8675" s="10" t="s">
        <v>6317</v>
      </c>
      <c r="H8675" s="11">
        <v>42202</v>
      </c>
      <c r="I8675" s="10">
        <v>2015</v>
      </c>
      <c r="J8675" s="10" t="s">
        <v>15187</v>
      </c>
      <c r="K8675" s="10">
        <v>253</v>
      </c>
      <c r="L8675" s="10" t="s">
        <v>39936</v>
      </c>
      <c r="M8675" s="10">
        <v>1</v>
      </c>
      <c r="N8675" s="10"/>
      <c r="O8675" s="10"/>
      <c r="P8675" s="10"/>
      <c r="Q8675" s="10">
        <v>372.6</v>
      </c>
      <c r="R8675" s="10" t="s">
        <v>39937</v>
      </c>
      <c r="S8675" s="10" t="s">
        <v>53</v>
      </c>
      <c r="T8675" s="10" t="s">
        <v>54</v>
      </c>
    </row>
    <row r="8676" spans="1:20" ht="14.5" x14ac:dyDescent="0.35">
      <c r="A8676" s="10" t="s">
        <v>39938</v>
      </c>
      <c r="B8676" s="10" t="str">
        <f>"9781475815030"</f>
        <v>9781475815030</v>
      </c>
      <c r="C8676" s="10" t="str">
        <f>"9781475815054"</f>
        <v>9781475815054</v>
      </c>
      <c r="D8676" s="10" t="s">
        <v>9752</v>
      </c>
      <c r="E8676" s="10" t="s">
        <v>15187</v>
      </c>
      <c r="F8676" s="10" t="s">
        <v>9754</v>
      </c>
      <c r="G8676" s="10" t="s">
        <v>6317</v>
      </c>
      <c r="H8676" s="11">
        <v>42256</v>
      </c>
      <c r="I8676" s="10">
        <v>2015</v>
      </c>
      <c r="J8676" s="10" t="s">
        <v>15187</v>
      </c>
      <c r="K8676" s="10">
        <v>227</v>
      </c>
      <c r="L8676" s="10" t="s">
        <v>39939</v>
      </c>
      <c r="M8676" s="10">
        <v>1</v>
      </c>
      <c r="N8676" s="10"/>
      <c r="O8676" s="10"/>
      <c r="P8676" s="10"/>
      <c r="Q8676" s="10">
        <v>808.02</v>
      </c>
      <c r="R8676" s="10" t="s">
        <v>39940</v>
      </c>
      <c r="S8676" s="10" t="s">
        <v>53</v>
      </c>
      <c r="T8676" s="10" t="s">
        <v>1166</v>
      </c>
    </row>
    <row r="8677" spans="1:20" ht="14.5" x14ac:dyDescent="0.35">
      <c r="A8677" s="10" t="s">
        <v>39941</v>
      </c>
      <c r="B8677" s="10" t="str">
        <f>"9781475815153"</f>
        <v>9781475815153</v>
      </c>
      <c r="C8677" s="10" t="str">
        <f>"9781475815177"</f>
        <v>9781475815177</v>
      </c>
      <c r="D8677" s="10" t="s">
        <v>9752</v>
      </c>
      <c r="E8677" s="10" t="s">
        <v>15187</v>
      </c>
      <c r="F8677" s="10" t="s">
        <v>9754</v>
      </c>
      <c r="G8677" s="10" t="s">
        <v>6317</v>
      </c>
      <c r="H8677" s="11">
        <v>42341</v>
      </c>
      <c r="I8677" s="10">
        <v>2015</v>
      </c>
      <c r="J8677" s="10" t="s">
        <v>15187</v>
      </c>
      <c r="K8677" s="10">
        <v>301</v>
      </c>
      <c r="L8677" s="10" t="s">
        <v>39942</v>
      </c>
      <c r="M8677" s="10">
        <v>1</v>
      </c>
      <c r="N8677" s="10"/>
      <c r="O8677" s="10"/>
      <c r="P8677" s="10" t="s">
        <v>39943</v>
      </c>
      <c r="Q8677" s="10" t="s">
        <v>18744</v>
      </c>
      <c r="R8677" s="10" t="s">
        <v>31356</v>
      </c>
      <c r="S8677" s="10" t="s">
        <v>53</v>
      </c>
      <c r="T8677" s="10" t="s">
        <v>6634</v>
      </c>
    </row>
    <row r="8678" spans="1:20" ht="14.5" x14ac:dyDescent="0.35">
      <c r="A8678" s="10" t="s">
        <v>39944</v>
      </c>
      <c r="B8678" s="10" t="str">
        <f>"9781475815221"</f>
        <v>9781475815221</v>
      </c>
      <c r="C8678" s="10" t="str">
        <f>"9781475815245"</f>
        <v>9781475815245</v>
      </c>
      <c r="D8678" s="10" t="s">
        <v>9752</v>
      </c>
      <c r="E8678" s="10" t="s">
        <v>15187</v>
      </c>
      <c r="F8678" s="10" t="s">
        <v>9754</v>
      </c>
      <c r="G8678" s="10" t="s">
        <v>6317</v>
      </c>
      <c r="H8678" s="11">
        <v>42081</v>
      </c>
      <c r="I8678" s="10">
        <v>2015</v>
      </c>
      <c r="J8678" s="10" t="s">
        <v>15187</v>
      </c>
      <c r="K8678" s="10">
        <v>101</v>
      </c>
      <c r="L8678" s="10" t="s">
        <v>39945</v>
      </c>
      <c r="M8678" s="10">
        <v>1</v>
      </c>
      <c r="N8678" s="10"/>
      <c r="O8678" s="10"/>
      <c r="P8678" s="10"/>
      <c r="Q8678" s="10">
        <v>371.3</v>
      </c>
      <c r="R8678" s="10" t="s">
        <v>19954</v>
      </c>
      <c r="S8678" s="10" t="s">
        <v>53</v>
      </c>
      <c r="T8678" s="10" t="s">
        <v>54</v>
      </c>
    </row>
    <row r="8679" spans="1:20" ht="14.5" x14ac:dyDescent="0.35">
      <c r="A8679" s="10" t="s">
        <v>39946</v>
      </c>
      <c r="B8679" s="10" t="str">
        <f>"9781475815252"</f>
        <v>9781475815252</v>
      </c>
      <c r="C8679" s="10" t="str">
        <f>"9781475815276"</f>
        <v>9781475815276</v>
      </c>
      <c r="D8679" s="10" t="s">
        <v>9752</v>
      </c>
      <c r="E8679" s="10" t="s">
        <v>15187</v>
      </c>
      <c r="F8679" s="10" t="s">
        <v>9754</v>
      </c>
      <c r="G8679" s="10" t="s">
        <v>6317</v>
      </c>
      <c r="H8679" s="11">
        <v>42297</v>
      </c>
      <c r="I8679" s="10">
        <v>2015</v>
      </c>
      <c r="J8679" s="10" t="s">
        <v>15187</v>
      </c>
      <c r="K8679" s="10">
        <v>127</v>
      </c>
      <c r="L8679" s="10" t="s">
        <v>39947</v>
      </c>
      <c r="M8679" s="10">
        <v>1</v>
      </c>
      <c r="N8679" s="10"/>
      <c r="O8679" s="10"/>
      <c r="P8679" s="10" t="s">
        <v>39948</v>
      </c>
      <c r="Q8679" s="10">
        <v>371.20974710000002</v>
      </c>
      <c r="R8679" s="10" t="s">
        <v>39949</v>
      </c>
      <c r="S8679" s="10" t="s">
        <v>53</v>
      </c>
      <c r="T8679" s="10" t="s">
        <v>54</v>
      </c>
    </row>
    <row r="8680" spans="1:20" ht="14.5" x14ac:dyDescent="0.35">
      <c r="A8680" s="10" t="s">
        <v>39950</v>
      </c>
      <c r="B8680" s="10" t="str">
        <f>"9781475815436"</f>
        <v>9781475815436</v>
      </c>
      <c r="C8680" s="10" t="str">
        <f>"9781475815450"</f>
        <v>9781475815450</v>
      </c>
      <c r="D8680" s="10" t="s">
        <v>9752</v>
      </c>
      <c r="E8680" s="10" t="s">
        <v>15187</v>
      </c>
      <c r="F8680" s="10" t="s">
        <v>9754</v>
      </c>
      <c r="G8680" s="10" t="s">
        <v>6317</v>
      </c>
      <c r="H8680" s="11">
        <v>42265</v>
      </c>
      <c r="I8680" s="10">
        <v>2015</v>
      </c>
      <c r="J8680" s="10" t="s">
        <v>15187</v>
      </c>
      <c r="K8680" s="10">
        <v>207</v>
      </c>
      <c r="L8680" s="10" t="s">
        <v>39951</v>
      </c>
      <c r="M8680" s="10">
        <v>1</v>
      </c>
      <c r="N8680" s="10" t="s">
        <v>15952</v>
      </c>
      <c r="O8680" s="10"/>
      <c r="P8680" s="10" t="s">
        <v>39952</v>
      </c>
      <c r="Q8680" s="10">
        <v>371.33</v>
      </c>
      <c r="R8680" s="10" t="s">
        <v>12939</v>
      </c>
      <c r="S8680" s="10" t="s">
        <v>53</v>
      </c>
      <c r="T8680" s="10" t="s">
        <v>54</v>
      </c>
    </row>
    <row r="8681" spans="1:20" ht="14.5" x14ac:dyDescent="0.35">
      <c r="A8681" s="10" t="s">
        <v>39953</v>
      </c>
      <c r="B8681" s="10" t="str">
        <f>"9781475815504"</f>
        <v>9781475815504</v>
      </c>
      <c r="C8681" s="10" t="str">
        <f>"9781475815511"</f>
        <v>9781475815511</v>
      </c>
      <c r="D8681" s="10" t="s">
        <v>9752</v>
      </c>
      <c r="E8681" s="10" t="s">
        <v>15187</v>
      </c>
      <c r="F8681" s="10" t="s">
        <v>9754</v>
      </c>
      <c r="G8681" s="10" t="s">
        <v>6317</v>
      </c>
      <c r="H8681" s="11">
        <v>42257</v>
      </c>
      <c r="I8681" s="10">
        <v>2015</v>
      </c>
      <c r="J8681" s="10" t="s">
        <v>15187</v>
      </c>
      <c r="K8681" s="10">
        <v>155</v>
      </c>
      <c r="L8681" s="10" t="s">
        <v>39954</v>
      </c>
      <c r="M8681" s="10">
        <v>1</v>
      </c>
      <c r="N8681" s="10"/>
      <c r="O8681" s="10"/>
      <c r="P8681" s="10" t="s">
        <v>39955</v>
      </c>
      <c r="Q8681" s="10">
        <v>371.2011</v>
      </c>
      <c r="R8681" s="10" t="s">
        <v>39956</v>
      </c>
      <c r="S8681" s="10" t="s">
        <v>53</v>
      </c>
      <c r="T8681" s="10" t="s">
        <v>54</v>
      </c>
    </row>
    <row r="8682" spans="1:20" ht="14.5" x14ac:dyDescent="0.35">
      <c r="A8682" s="10" t="s">
        <v>39957</v>
      </c>
      <c r="B8682" s="10" t="str">
        <f>"9781475815610"</f>
        <v>9781475815610</v>
      </c>
      <c r="C8682" s="10" t="str">
        <f>"9781475815627"</f>
        <v>9781475815627</v>
      </c>
      <c r="D8682" s="10" t="s">
        <v>9752</v>
      </c>
      <c r="E8682" s="10" t="s">
        <v>15187</v>
      </c>
      <c r="F8682" s="10" t="s">
        <v>9754</v>
      </c>
      <c r="G8682" s="10" t="s">
        <v>6317</v>
      </c>
      <c r="H8682" s="11">
        <v>42299</v>
      </c>
      <c r="I8682" s="10">
        <v>2015</v>
      </c>
      <c r="J8682" s="10" t="s">
        <v>15187</v>
      </c>
      <c r="K8682" s="10">
        <v>257</v>
      </c>
      <c r="L8682" s="10" t="s">
        <v>39958</v>
      </c>
      <c r="M8682" s="10">
        <v>2</v>
      </c>
      <c r="N8682" s="10"/>
      <c r="O8682" s="10"/>
      <c r="P8682" s="10" t="s">
        <v>21221</v>
      </c>
      <c r="Q8682" s="10" t="s">
        <v>8460</v>
      </c>
      <c r="R8682" s="10" t="s">
        <v>21222</v>
      </c>
      <c r="S8682" s="10" t="s">
        <v>53</v>
      </c>
      <c r="T8682" s="10" t="s">
        <v>54</v>
      </c>
    </row>
    <row r="8683" spans="1:20" ht="14.5" x14ac:dyDescent="0.35">
      <c r="A8683" s="10" t="s">
        <v>39959</v>
      </c>
      <c r="B8683" s="10" t="str">
        <f>"9781475815733"</f>
        <v>9781475815733</v>
      </c>
      <c r="C8683" s="10" t="str">
        <f>"9781475815740"</f>
        <v>9781475815740</v>
      </c>
      <c r="D8683" s="10" t="s">
        <v>9752</v>
      </c>
      <c r="E8683" s="10" t="s">
        <v>15187</v>
      </c>
      <c r="F8683" s="10" t="s">
        <v>9754</v>
      </c>
      <c r="G8683" s="10" t="s">
        <v>6317</v>
      </c>
      <c r="H8683" s="11">
        <v>42163</v>
      </c>
      <c r="I8683" s="10">
        <v>2015</v>
      </c>
      <c r="J8683" s="10" t="s">
        <v>15187</v>
      </c>
      <c r="K8683" s="10">
        <v>163</v>
      </c>
      <c r="L8683" s="10" t="s">
        <v>17645</v>
      </c>
      <c r="M8683" s="10">
        <v>1</v>
      </c>
      <c r="N8683" s="10"/>
      <c r="O8683" s="10"/>
      <c r="P8683" s="10" t="s">
        <v>39960</v>
      </c>
      <c r="Q8683" s="10">
        <v>370.71</v>
      </c>
      <c r="R8683" s="10" t="s">
        <v>39961</v>
      </c>
      <c r="S8683" s="10" t="s">
        <v>53</v>
      </c>
      <c r="T8683" s="10" t="s">
        <v>54</v>
      </c>
    </row>
    <row r="8684" spans="1:20" ht="14.5" x14ac:dyDescent="0.35">
      <c r="A8684" s="10" t="s">
        <v>39962</v>
      </c>
      <c r="B8684" s="10" t="str">
        <f>"9781475815795"</f>
        <v>9781475815795</v>
      </c>
      <c r="C8684" s="10" t="str">
        <f>"9781475815801"</f>
        <v>9781475815801</v>
      </c>
      <c r="D8684" s="10" t="s">
        <v>9752</v>
      </c>
      <c r="E8684" s="10" t="s">
        <v>15187</v>
      </c>
      <c r="F8684" s="10" t="s">
        <v>9754</v>
      </c>
      <c r="G8684" s="10" t="s">
        <v>6317</v>
      </c>
      <c r="H8684" s="11">
        <v>42108</v>
      </c>
      <c r="I8684" s="10">
        <v>2015</v>
      </c>
      <c r="J8684" s="10" t="s">
        <v>15187</v>
      </c>
      <c r="K8684" s="10">
        <v>251</v>
      </c>
      <c r="L8684" s="10" t="s">
        <v>39963</v>
      </c>
      <c r="M8684" s="10">
        <v>1</v>
      </c>
      <c r="N8684" s="10"/>
      <c r="O8684" s="10"/>
      <c r="P8684" s="10" t="s">
        <v>39964</v>
      </c>
      <c r="Q8684" s="10" t="s">
        <v>39965</v>
      </c>
      <c r="R8684" s="10" t="s">
        <v>39966</v>
      </c>
      <c r="S8684" s="10" t="s">
        <v>53</v>
      </c>
      <c r="T8684" s="10" t="s">
        <v>54</v>
      </c>
    </row>
    <row r="8685" spans="1:20" ht="14.5" x14ac:dyDescent="0.35">
      <c r="A8685" s="10" t="s">
        <v>39967</v>
      </c>
      <c r="B8685" s="10" t="str">
        <f>"9781475817003"</f>
        <v>9781475817003</v>
      </c>
      <c r="C8685" s="10" t="str">
        <f>"9781475817027"</f>
        <v>9781475817027</v>
      </c>
      <c r="D8685" s="10" t="s">
        <v>9752</v>
      </c>
      <c r="E8685" s="10" t="s">
        <v>15187</v>
      </c>
      <c r="F8685" s="10" t="s">
        <v>9754</v>
      </c>
      <c r="G8685" s="10" t="s">
        <v>6317</v>
      </c>
      <c r="H8685" s="11">
        <v>42164</v>
      </c>
      <c r="I8685" s="10">
        <v>2015</v>
      </c>
      <c r="J8685" s="10" t="s">
        <v>15187</v>
      </c>
      <c r="K8685" s="10">
        <v>159</v>
      </c>
      <c r="L8685" s="10" t="s">
        <v>39968</v>
      </c>
      <c r="M8685" s="10">
        <v>1</v>
      </c>
      <c r="N8685" s="10"/>
      <c r="O8685" s="10"/>
      <c r="P8685" s="10" t="s">
        <v>39969</v>
      </c>
      <c r="Q8685" s="10">
        <v>370.97300000000001</v>
      </c>
      <c r="R8685" s="10" t="s">
        <v>8063</v>
      </c>
      <c r="S8685" s="10" t="s">
        <v>53</v>
      </c>
      <c r="T8685" s="10" t="s">
        <v>54</v>
      </c>
    </row>
    <row r="8686" spans="1:20" ht="14.5" x14ac:dyDescent="0.35">
      <c r="A8686" s="10" t="s">
        <v>39970</v>
      </c>
      <c r="B8686" s="10" t="str">
        <f>"9781475817034"</f>
        <v>9781475817034</v>
      </c>
      <c r="C8686" s="10" t="str">
        <f>"9781475817058"</f>
        <v>9781475817058</v>
      </c>
      <c r="D8686" s="10" t="s">
        <v>9752</v>
      </c>
      <c r="E8686" s="10" t="s">
        <v>15187</v>
      </c>
      <c r="F8686" s="10" t="s">
        <v>9754</v>
      </c>
      <c r="G8686" s="10" t="s">
        <v>6317</v>
      </c>
      <c r="H8686" s="11">
        <v>42068</v>
      </c>
      <c r="I8686" s="10">
        <v>2015</v>
      </c>
      <c r="J8686" s="10" t="s">
        <v>15187</v>
      </c>
      <c r="K8686" s="10">
        <v>129</v>
      </c>
      <c r="L8686" s="10" t="s">
        <v>39971</v>
      </c>
      <c r="M8686" s="10">
        <v>1</v>
      </c>
      <c r="N8686" s="10"/>
      <c r="O8686" s="10"/>
      <c r="P8686" s="10"/>
      <c r="Q8686" s="10" t="s">
        <v>39972</v>
      </c>
      <c r="R8686" s="10" t="s">
        <v>39973</v>
      </c>
      <c r="S8686" s="10" t="s">
        <v>53</v>
      </c>
      <c r="T8686" s="10" t="s">
        <v>4490</v>
      </c>
    </row>
    <row r="8687" spans="1:20" ht="14.5" x14ac:dyDescent="0.35">
      <c r="A8687" s="10" t="s">
        <v>39974</v>
      </c>
      <c r="B8687" s="10" t="str">
        <f>"9781475817614"</f>
        <v>9781475817614</v>
      </c>
      <c r="C8687" s="10" t="str">
        <f>"9781475817638"</f>
        <v>9781475817638</v>
      </c>
      <c r="D8687" s="10" t="s">
        <v>9752</v>
      </c>
      <c r="E8687" s="10" t="s">
        <v>15187</v>
      </c>
      <c r="F8687" s="10" t="s">
        <v>9754</v>
      </c>
      <c r="G8687" s="10" t="s">
        <v>6317</v>
      </c>
      <c r="H8687" s="11">
        <v>42132</v>
      </c>
      <c r="I8687" s="10">
        <v>2015</v>
      </c>
      <c r="J8687" s="10" t="s">
        <v>15187</v>
      </c>
      <c r="K8687" s="10">
        <v>165</v>
      </c>
      <c r="L8687" s="10" t="s">
        <v>25168</v>
      </c>
      <c r="M8687" s="10">
        <v>1</v>
      </c>
      <c r="N8687" s="10"/>
      <c r="O8687" s="10"/>
      <c r="P8687" s="10" t="s">
        <v>39975</v>
      </c>
      <c r="Q8687" s="10">
        <v>371.10973000000001</v>
      </c>
      <c r="R8687" s="10" t="s">
        <v>39976</v>
      </c>
      <c r="S8687" s="10" t="s">
        <v>53</v>
      </c>
      <c r="T8687" s="10" t="s">
        <v>54</v>
      </c>
    </row>
    <row r="8688" spans="1:20" ht="14.5" x14ac:dyDescent="0.35">
      <c r="A8688" s="10" t="s">
        <v>39977</v>
      </c>
      <c r="B8688" s="10" t="str">
        <f>"9781475817966"</f>
        <v>9781475817966</v>
      </c>
      <c r="C8688" s="10" t="str">
        <f>"9781475817980"</f>
        <v>9781475817980</v>
      </c>
      <c r="D8688" s="10" t="s">
        <v>9752</v>
      </c>
      <c r="E8688" s="10" t="s">
        <v>15187</v>
      </c>
      <c r="F8688" s="10" t="s">
        <v>9754</v>
      </c>
      <c r="G8688" s="10" t="s">
        <v>6317</v>
      </c>
      <c r="H8688" s="11">
        <v>42237</v>
      </c>
      <c r="I8688" s="10">
        <v>2015</v>
      </c>
      <c r="J8688" s="10" t="s">
        <v>15187</v>
      </c>
      <c r="K8688" s="10">
        <v>193</v>
      </c>
      <c r="L8688" s="10" t="s">
        <v>39978</v>
      </c>
      <c r="M8688" s="10">
        <v>1</v>
      </c>
      <c r="N8688" s="10"/>
      <c r="O8688" s="10"/>
      <c r="P8688" s="10" t="s">
        <v>39979</v>
      </c>
      <c r="Q8688" s="10">
        <v>371.10199999999998</v>
      </c>
      <c r="R8688" s="10" t="s">
        <v>7101</v>
      </c>
      <c r="S8688" s="10" t="s">
        <v>53</v>
      </c>
      <c r="T8688" s="10" t="s">
        <v>54</v>
      </c>
    </row>
    <row r="8689" spans="1:20" ht="14.5" x14ac:dyDescent="0.35">
      <c r="A8689" s="10" t="s">
        <v>39980</v>
      </c>
      <c r="B8689" s="10" t="str">
        <f>"9781475818147"</f>
        <v>9781475818147</v>
      </c>
      <c r="C8689" s="10" t="str">
        <f>"9781475818161"</f>
        <v>9781475818161</v>
      </c>
      <c r="D8689" s="10" t="s">
        <v>9752</v>
      </c>
      <c r="E8689" s="10" t="s">
        <v>15187</v>
      </c>
      <c r="F8689" s="10" t="s">
        <v>9754</v>
      </c>
      <c r="G8689" s="10" t="s">
        <v>6317</v>
      </c>
      <c r="H8689" s="11">
        <v>42310</v>
      </c>
      <c r="I8689" s="10">
        <v>2015</v>
      </c>
      <c r="J8689" s="10" t="s">
        <v>15187</v>
      </c>
      <c r="K8689" s="10">
        <v>149</v>
      </c>
      <c r="L8689" s="10" t="s">
        <v>39981</v>
      </c>
      <c r="M8689" s="10">
        <v>1</v>
      </c>
      <c r="N8689" s="10"/>
      <c r="O8689" s="10"/>
      <c r="P8689" s="10" t="s">
        <v>39982</v>
      </c>
      <c r="Q8689" s="10" t="s">
        <v>9356</v>
      </c>
      <c r="R8689" s="10" t="s">
        <v>39983</v>
      </c>
      <c r="S8689" s="10" t="s">
        <v>53</v>
      </c>
      <c r="T8689" s="10" t="s">
        <v>54</v>
      </c>
    </row>
    <row r="8690" spans="1:20" ht="14.5" x14ac:dyDescent="0.35">
      <c r="A8690" s="10" t="s">
        <v>39984</v>
      </c>
      <c r="B8690" s="10" t="str">
        <f>"9781475818383"</f>
        <v>9781475818383</v>
      </c>
      <c r="C8690" s="10" t="str">
        <f>"9781475818390"</f>
        <v>9781475818390</v>
      </c>
      <c r="D8690" s="10" t="s">
        <v>9752</v>
      </c>
      <c r="E8690" s="10" t="s">
        <v>15187</v>
      </c>
      <c r="F8690" s="10" t="s">
        <v>9754</v>
      </c>
      <c r="G8690" s="10" t="s">
        <v>6317</v>
      </c>
      <c r="H8690" s="11">
        <v>42201</v>
      </c>
      <c r="I8690" s="10">
        <v>2015</v>
      </c>
      <c r="J8690" s="10" t="s">
        <v>15187</v>
      </c>
      <c r="K8690" s="10">
        <v>181</v>
      </c>
      <c r="L8690" s="10" t="s">
        <v>39985</v>
      </c>
      <c r="M8690" s="10">
        <v>1</v>
      </c>
      <c r="N8690" s="10" t="s">
        <v>39986</v>
      </c>
      <c r="O8690" s="10"/>
      <c r="P8690" s="10" t="s">
        <v>39987</v>
      </c>
      <c r="Q8690" s="10" t="s">
        <v>9356</v>
      </c>
      <c r="R8690" s="10" t="s">
        <v>39988</v>
      </c>
      <c r="S8690" s="10" t="s">
        <v>53</v>
      </c>
      <c r="T8690" s="10" t="s">
        <v>54</v>
      </c>
    </row>
    <row r="8691" spans="1:20" ht="14.5" x14ac:dyDescent="0.35">
      <c r="A8691" s="10" t="s">
        <v>39989</v>
      </c>
      <c r="B8691" s="10" t="str">
        <f>"9781475818406"</f>
        <v>9781475818406</v>
      </c>
      <c r="C8691" s="10" t="str">
        <f>"9781475818413"</f>
        <v>9781475818413</v>
      </c>
      <c r="D8691" s="10" t="s">
        <v>9752</v>
      </c>
      <c r="E8691" s="10" t="s">
        <v>15187</v>
      </c>
      <c r="F8691" s="10" t="s">
        <v>9754</v>
      </c>
      <c r="G8691" s="10" t="s">
        <v>6317</v>
      </c>
      <c r="H8691" s="11">
        <v>42248</v>
      </c>
      <c r="I8691" s="10">
        <v>2015</v>
      </c>
      <c r="J8691" s="10" t="s">
        <v>15187</v>
      </c>
      <c r="K8691" s="10">
        <v>155</v>
      </c>
      <c r="L8691" s="10" t="s">
        <v>39985</v>
      </c>
      <c r="M8691" s="10">
        <v>1</v>
      </c>
      <c r="N8691" s="10" t="s">
        <v>39986</v>
      </c>
      <c r="O8691" s="10"/>
      <c r="P8691" s="10" t="s">
        <v>39990</v>
      </c>
      <c r="Q8691" s="10" t="s">
        <v>22132</v>
      </c>
      <c r="R8691" s="10" t="s">
        <v>39991</v>
      </c>
      <c r="S8691" s="10" t="s">
        <v>53</v>
      </c>
      <c r="T8691" s="10" t="s">
        <v>54</v>
      </c>
    </row>
    <row r="8692" spans="1:20" ht="14.5" x14ac:dyDescent="0.35">
      <c r="A8692" s="10" t="s">
        <v>39992</v>
      </c>
      <c r="B8692" s="10" t="str">
        <f>"9781475818451"</f>
        <v>9781475818451</v>
      </c>
      <c r="C8692" s="10" t="str">
        <f>"9781475818468"</f>
        <v>9781475818468</v>
      </c>
      <c r="D8692" s="10" t="s">
        <v>9752</v>
      </c>
      <c r="E8692" s="10" t="s">
        <v>15187</v>
      </c>
      <c r="F8692" s="10" t="s">
        <v>9754</v>
      </c>
      <c r="G8692" s="10" t="s">
        <v>6317</v>
      </c>
      <c r="H8692" s="11">
        <v>42261</v>
      </c>
      <c r="I8692" s="10">
        <v>2015</v>
      </c>
      <c r="J8692" s="10" t="s">
        <v>15187</v>
      </c>
      <c r="K8692" s="10">
        <v>205</v>
      </c>
      <c r="L8692" s="10" t="s">
        <v>39993</v>
      </c>
      <c r="M8692" s="10">
        <v>1</v>
      </c>
      <c r="N8692" s="10"/>
      <c r="O8692" s="10"/>
      <c r="P8692" s="10"/>
      <c r="Q8692" s="10" t="s">
        <v>7307</v>
      </c>
      <c r="R8692" s="10" t="s">
        <v>39994</v>
      </c>
      <c r="S8692" s="10" t="s">
        <v>53</v>
      </c>
      <c r="T8692" s="10" t="s">
        <v>54</v>
      </c>
    </row>
    <row r="8693" spans="1:20" ht="14.5" x14ac:dyDescent="0.35">
      <c r="A8693" s="10" t="s">
        <v>39995</v>
      </c>
      <c r="B8693" s="10" t="str">
        <f>"9781475818482"</f>
        <v>9781475818482</v>
      </c>
      <c r="C8693" s="10" t="str">
        <f>"9781475818499"</f>
        <v>9781475818499</v>
      </c>
      <c r="D8693" s="10" t="s">
        <v>9752</v>
      </c>
      <c r="E8693" s="10" t="s">
        <v>15187</v>
      </c>
      <c r="F8693" s="10" t="s">
        <v>9754</v>
      </c>
      <c r="G8693" s="10" t="s">
        <v>6317</v>
      </c>
      <c r="H8693" s="11">
        <v>42222</v>
      </c>
      <c r="I8693" s="10">
        <v>2015</v>
      </c>
      <c r="J8693" s="10" t="s">
        <v>15187</v>
      </c>
      <c r="K8693" s="10">
        <v>219</v>
      </c>
      <c r="L8693" s="10" t="s">
        <v>39996</v>
      </c>
      <c r="M8693" s="10">
        <v>1</v>
      </c>
      <c r="N8693" s="10"/>
      <c r="O8693" s="10"/>
      <c r="P8693" s="10" t="s">
        <v>39997</v>
      </c>
      <c r="Q8693" s="10">
        <v>501</v>
      </c>
      <c r="R8693" s="10" t="s">
        <v>39998</v>
      </c>
      <c r="S8693" s="10" t="s">
        <v>53</v>
      </c>
      <c r="T8693" s="10" t="s">
        <v>7193</v>
      </c>
    </row>
    <row r="8694" spans="1:20" ht="14.5" x14ac:dyDescent="0.35">
      <c r="A8694" s="10" t="s">
        <v>39999</v>
      </c>
      <c r="B8694" s="10" t="str">
        <f>"9781475818956"</f>
        <v>9781475818956</v>
      </c>
      <c r="C8694" s="10" t="str">
        <f>"9781475818970"</f>
        <v>9781475818970</v>
      </c>
      <c r="D8694" s="10" t="s">
        <v>9752</v>
      </c>
      <c r="E8694" s="10" t="s">
        <v>15187</v>
      </c>
      <c r="F8694" s="10" t="s">
        <v>9754</v>
      </c>
      <c r="G8694" s="10" t="s">
        <v>6317</v>
      </c>
      <c r="H8694" s="11">
        <v>42346</v>
      </c>
      <c r="I8694" s="10">
        <v>2015</v>
      </c>
      <c r="J8694" s="10" t="s">
        <v>15187</v>
      </c>
      <c r="K8694" s="10">
        <v>161</v>
      </c>
      <c r="L8694" s="10" t="s">
        <v>40000</v>
      </c>
      <c r="M8694" s="10">
        <v>1</v>
      </c>
      <c r="N8694" s="10"/>
      <c r="O8694" s="10"/>
      <c r="P8694" s="10"/>
      <c r="Q8694" s="10">
        <v>378.73089960729999</v>
      </c>
      <c r="R8694" s="10" t="s">
        <v>40001</v>
      </c>
      <c r="S8694" s="10" t="s">
        <v>53</v>
      </c>
      <c r="T8694" s="10" t="s">
        <v>54</v>
      </c>
    </row>
    <row r="8695" spans="1:20" ht="14.5" x14ac:dyDescent="0.35">
      <c r="A8695" s="10" t="s">
        <v>40002</v>
      </c>
      <c r="B8695" s="10" t="str">
        <f>"9781475820119"</f>
        <v>9781475820119</v>
      </c>
      <c r="C8695" s="10" t="str">
        <f>"9781475820133"</f>
        <v>9781475820133</v>
      </c>
      <c r="D8695" s="10" t="s">
        <v>9752</v>
      </c>
      <c r="E8695" s="10" t="s">
        <v>15187</v>
      </c>
      <c r="F8695" s="10" t="s">
        <v>9754</v>
      </c>
      <c r="G8695" s="10" t="s">
        <v>6317</v>
      </c>
      <c r="H8695" s="11">
        <v>42307</v>
      </c>
      <c r="I8695" s="10">
        <v>2015</v>
      </c>
      <c r="J8695" s="10" t="s">
        <v>15187</v>
      </c>
      <c r="K8695" s="10">
        <v>79</v>
      </c>
      <c r="L8695" s="10" t="s">
        <v>31591</v>
      </c>
      <c r="M8695" s="10">
        <v>1</v>
      </c>
      <c r="N8695" s="10"/>
      <c r="O8695" s="10"/>
      <c r="P8695" s="10"/>
      <c r="Q8695" s="10">
        <v>306.43</v>
      </c>
      <c r="R8695" s="10" t="s">
        <v>40003</v>
      </c>
      <c r="S8695" s="10" t="s">
        <v>53</v>
      </c>
      <c r="T8695" s="10" t="s">
        <v>6363</v>
      </c>
    </row>
    <row r="8696" spans="1:20" ht="14.5" x14ac:dyDescent="0.35">
      <c r="A8696" s="10" t="s">
        <v>40004</v>
      </c>
      <c r="B8696" s="10" t="str">
        <f>"9781475820188"</f>
        <v>9781475820188</v>
      </c>
      <c r="C8696" s="10" t="str">
        <f>"9781475820201"</f>
        <v>9781475820201</v>
      </c>
      <c r="D8696" s="10" t="s">
        <v>9752</v>
      </c>
      <c r="E8696" s="10" t="s">
        <v>15187</v>
      </c>
      <c r="F8696" s="10" t="s">
        <v>9754</v>
      </c>
      <c r="G8696" s="10" t="s">
        <v>6317</v>
      </c>
      <c r="H8696" s="11">
        <v>42223</v>
      </c>
      <c r="I8696" s="10">
        <v>2015</v>
      </c>
      <c r="J8696" s="10" t="s">
        <v>15187</v>
      </c>
      <c r="K8696" s="10">
        <v>97</v>
      </c>
      <c r="L8696" s="10" t="s">
        <v>26723</v>
      </c>
      <c r="M8696" s="10">
        <v>1</v>
      </c>
      <c r="N8696" s="10"/>
      <c r="O8696" s="10"/>
      <c r="P8696" s="10"/>
      <c r="Q8696" s="10">
        <v>370.11599999999999</v>
      </c>
      <c r="R8696" s="10" t="s">
        <v>8028</v>
      </c>
      <c r="S8696" s="10" t="s">
        <v>53</v>
      </c>
      <c r="T8696" s="10" t="s">
        <v>54</v>
      </c>
    </row>
    <row r="8697" spans="1:20" ht="14.5" x14ac:dyDescent="0.35">
      <c r="A8697" s="10" t="s">
        <v>40005</v>
      </c>
      <c r="B8697" s="10" t="str">
        <f>"9781475820300"</f>
        <v>9781475820300</v>
      </c>
      <c r="C8697" s="10" t="str">
        <f>"9781475820324"</f>
        <v>9781475820324</v>
      </c>
      <c r="D8697" s="10" t="s">
        <v>9752</v>
      </c>
      <c r="E8697" s="10" t="s">
        <v>15187</v>
      </c>
      <c r="F8697" s="10" t="s">
        <v>9754</v>
      </c>
      <c r="G8697" s="10" t="s">
        <v>6317</v>
      </c>
      <c r="H8697" s="11">
        <v>42214</v>
      </c>
      <c r="I8697" s="10">
        <v>2015</v>
      </c>
      <c r="J8697" s="10" t="s">
        <v>15187</v>
      </c>
      <c r="K8697" s="10">
        <v>107</v>
      </c>
      <c r="L8697" s="10" t="s">
        <v>40006</v>
      </c>
      <c r="M8697" s="10">
        <v>1</v>
      </c>
      <c r="N8697" s="10"/>
      <c r="O8697" s="10"/>
      <c r="P8697" s="10" t="s">
        <v>40007</v>
      </c>
      <c r="Q8697" s="10" t="s">
        <v>7299</v>
      </c>
      <c r="R8697" s="10" t="s">
        <v>40008</v>
      </c>
      <c r="S8697" s="10" t="s">
        <v>53</v>
      </c>
      <c r="T8697" s="10" t="s">
        <v>54</v>
      </c>
    </row>
    <row r="8698" spans="1:20" ht="14.5" x14ac:dyDescent="0.35">
      <c r="A8698" s="10" t="s">
        <v>40009</v>
      </c>
      <c r="B8698" s="10" t="str">
        <f>"9781475820355"</f>
        <v>9781475820355</v>
      </c>
      <c r="C8698" s="10" t="str">
        <f>"9781475820379"</f>
        <v>9781475820379</v>
      </c>
      <c r="D8698" s="10" t="s">
        <v>9752</v>
      </c>
      <c r="E8698" s="10" t="s">
        <v>15187</v>
      </c>
      <c r="F8698" s="10" t="s">
        <v>9754</v>
      </c>
      <c r="G8698" s="10" t="s">
        <v>6317</v>
      </c>
      <c r="H8698" s="11">
        <v>42264</v>
      </c>
      <c r="I8698" s="10">
        <v>2015</v>
      </c>
      <c r="J8698" s="10" t="s">
        <v>15187</v>
      </c>
      <c r="K8698" s="10">
        <v>221</v>
      </c>
      <c r="L8698" s="10" t="s">
        <v>38120</v>
      </c>
      <c r="M8698" s="10">
        <v>1</v>
      </c>
      <c r="N8698" s="10"/>
      <c r="O8698" s="10"/>
      <c r="P8698" s="10" t="s">
        <v>40010</v>
      </c>
      <c r="Q8698" s="10">
        <v>371.10091999999997</v>
      </c>
      <c r="R8698" s="10" t="s">
        <v>38120</v>
      </c>
      <c r="S8698" s="10" t="s">
        <v>53</v>
      </c>
      <c r="T8698" s="10" t="s">
        <v>54</v>
      </c>
    </row>
    <row r="8699" spans="1:20" ht="14.5" x14ac:dyDescent="0.35">
      <c r="A8699" s="10" t="s">
        <v>40011</v>
      </c>
      <c r="B8699" s="10" t="str">
        <f>"9781475820669"</f>
        <v>9781475820669</v>
      </c>
      <c r="C8699" s="10" t="str">
        <f>"9781475820676"</f>
        <v>9781475820676</v>
      </c>
      <c r="D8699" s="10" t="s">
        <v>9752</v>
      </c>
      <c r="E8699" s="10" t="s">
        <v>15187</v>
      </c>
      <c r="F8699" s="10" t="s">
        <v>9754</v>
      </c>
      <c r="G8699" s="10" t="s">
        <v>6317</v>
      </c>
      <c r="H8699" s="11">
        <v>42242</v>
      </c>
      <c r="I8699" s="10">
        <v>2015</v>
      </c>
      <c r="J8699" s="10" t="s">
        <v>15187</v>
      </c>
      <c r="K8699" s="10">
        <v>79</v>
      </c>
      <c r="L8699" s="10" t="s">
        <v>40012</v>
      </c>
      <c r="M8699" s="10">
        <v>1</v>
      </c>
      <c r="N8699" s="10"/>
      <c r="O8699" s="10"/>
      <c r="P8699" s="10" t="s">
        <v>40013</v>
      </c>
      <c r="Q8699" s="10">
        <v>370.97300000000001</v>
      </c>
      <c r="R8699" s="10" t="s">
        <v>40014</v>
      </c>
      <c r="S8699" s="10" t="s">
        <v>53</v>
      </c>
      <c r="T8699" s="10" t="s">
        <v>54</v>
      </c>
    </row>
    <row r="8700" spans="1:20" ht="14.5" x14ac:dyDescent="0.35">
      <c r="A8700" s="10" t="s">
        <v>40015</v>
      </c>
      <c r="B8700" s="10" t="str">
        <f>"9781475821222"</f>
        <v>9781475821222</v>
      </c>
      <c r="C8700" s="10" t="str">
        <f>"9781475821246"</f>
        <v>9781475821246</v>
      </c>
      <c r="D8700" s="10" t="s">
        <v>9752</v>
      </c>
      <c r="E8700" s="10" t="s">
        <v>15187</v>
      </c>
      <c r="F8700" s="10" t="s">
        <v>9754</v>
      </c>
      <c r="G8700" s="10" t="s">
        <v>6317</v>
      </c>
      <c r="H8700" s="11">
        <v>42297</v>
      </c>
      <c r="I8700" s="10">
        <v>2015</v>
      </c>
      <c r="J8700" s="10" t="s">
        <v>15187</v>
      </c>
      <c r="K8700" s="10">
        <v>213</v>
      </c>
      <c r="L8700" s="10" t="s">
        <v>40016</v>
      </c>
      <c r="M8700" s="10">
        <v>1</v>
      </c>
      <c r="N8700" s="10"/>
      <c r="O8700" s="10"/>
      <c r="P8700" s="10"/>
      <c r="Q8700" s="10"/>
      <c r="R8700" s="10" t="s">
        <v>40017</v>
      </c>
      <c r="S8700" s="10" t="s">
        <v>53</v>
      </c>
      <c r="T8700" s="10" t="s">
        <v>54</v>
      </c>
    </row>
    <row r="8701" spans="1:20" ht="14.5" x14ac:dyDescent="0.35">
      <c r="A8701" s="10" t="s">
        <v>40018</v>
      </c>
      <c r="B8701" s="10" t="str">
        <f>"9781475821444"</f>
        <v>9781475821444</v>
      </c>
      <c r="C8701" s="10" t="str">
        <f>"9781475821468"</f>
        <v>9781475821468</v>
      </c>
      <c r="D8701" s="10" t="s">
        <v>9752</v>
      </c>
      <c r="E8701" s="10" t="s">
        <v>15187</v>
      </c>
      <c r="F8701" s="10" t="s">
        <v>9754</v>
      </c>
      <c r="G8701" s="10" t="s">
        <v>6317</v>
      </c>
      <c r="H8701" s="11">
        <v>42293</v>
      </c>
      <c r="I8701" s="10">
        <v>2015</v>
      </c>
      <c r="J8701" s="10" t="s">
        <v>15187</v>
      </c>
      <c r="K8701" s="10">
        <v>169</v>
      </c>
      <c r="L8701" s="10" t="s">
        <v>40019</v>
      </c>
      <c r="M8701" s="10">
        <v>1</v>
      </c>
      <c r="N8701" s="10" t="s">
        <v>40020</v>
      </c>
      <c r="O8701" s="10" t="s">
        <v>40021</v>
      </c>
      <c r="P8701" s="10" t="s">
        <v>40022</v>
      </c>
      <c r="Q8701" s="10">
        <v>375.00099999999998</v>
      </c>
      <c r="R8701" s="10" t="s">
        <v>40023</v>
      </c>
      <c r="S8701" s="10" t="s">
        <v>53</v>
      </c>
      <c r="T8701" s="10" t="s">
        <v>16298</v>
      </c>
    </row>
    <row r="8702" spans="1:20" ht="14.5" x14ac:dyDescent="0.35">
      <c r="A8702" s="10" t="s">
        <v>40024</v>
      </c>
      <c r="B8702" s="10" t="str">
        <f>"9781475821772"</f>
        <v>9781475821772</v>
      </c>
      <c r="C8702" s="10" t="str">
        <f>"9781475821789"</f>
        <v>9781475821789</v>
      </c>
      <c r="D8702" s="10" t="s">
        <v>9752</v>
      </c>
      <c r="E8702" s="10" t="s">
        <v>15187</v>
      </c>
      <c r="F8702" s="10" t="s">
        <v>9754</v>
      </c>
      <c r="G8702" s="10" t="s">
        <v>6317</v>
      </c>
      <c r="H8702" s="11">
        <v>42306</v>
      </c>
      <c r="I8702" s="10">
        <v>2015</v>
      </c>
      <c r="J8702" s="10" t="s">
        <v>15187</v>
      </c>
      <c r="K8702" s="10">
        <v>213</v>
      </c>
      <c r="L8702" s="10" t="s">
        <v>40025</v>
      </c>
      <c r="M8702" s="10">
        <v>2</v>
      </c>
      <c r="N8702" s="10"/>
      <c r="O8702" s="10"/>
      <c r="P8702" s="10" t="s">
        <v>40026</v>
      </c>
      <c r="Q8702" s="10" t="s">
        <v>27896</v>
      </c>
      <c r="R8702" s="10" t="s">
        <v>40027</v>
      </c>
      <c r="S8702" s="10" t="s">
        <v>53</v>
      </c>
      <c r="T8702" s="10" t="s">
        <v>7193</v>
      </c>
    </row>
    <row r="8703" spans="1:20" ht="14.5" x14ac:dyDescent="0.35">
      <c r="A8703" s="10" t="s">
        <v>40028</v>
      </c>
      <c r="B8703" s="10" t="str">
        <f>"9781475822359"</f>
        <v>9781475822359</v>
      </c>
      <c r="C8703" s="10" t="str">
        <f>"9781475822366"</f>
        <v>9781475822366</v>
      </c>
      <c r="D8703" s="10" t="s">
        <v>9752</v>
      </c>
      <c r="E8703" s="10" t="s">
        <v>15187</v>
      </c>
      <c r="F8703" s="10" t="s">
        <v>9754</v>
      </c>
      <c r="G8703" s="10" t="s">
        <v>6317</v>
      </c>
      <c r="H8703" s="11">
        <v>42346</v>
      </c>
      <c r="I8703" s="10">
        <v>2015</v>
      </c>
      <c r="J8703" s="10" t="s">
        <v>15187</v>
      </c>
      <c r="K8703" s="10">
        <v>105</v>
      </c>
      <c r="L8703" s="10" t="s">
        <v>40029</v>
      </c>
      <c r="M8703" s="10">
        <v>1</v>
      </c>
      <c r="N8703" s="10" t="s">
        <v>40030</v>
      </c>
      <c r="O8703" s="10"/>
      <c r="P8703" s="10"/>
      <c r="Q8703" s="10">
        <v>371.2</v>
      </c>
      <c r="R8703" s="10" t="s">
        <v>6543</v>
      </c>
      <c r="S8703" s="10" t="s">
        <v>53</v>
      </c>
      <c r="T8703" s="10" t="s">
        <v>54</v>
      </c>
    </row>
    <row r="8704" spans="1:20" ht="14.5" x14ac:dyDescent="0.35">
      <c r="A8704" s="10" t="s">
        <v>40031</v>
      </c>
      <c r="B8704" s="10" t="str">
        <f>"9781475822403"</f>
        <v>9781475822403</v>
      </c>
      <c r="C8704" s="10" t="str">
        <f>"9781475822427"</f>
        <v>9781475822427</v>
      </c>
      <c r="D8704" s="10" t="s">
        <v>9752</v>
      </c>
      <c r="E8704" s="10" t="s">
        <v>15187</v>
      </c>
      <c r="F8704" s="10" t="s">
        <v>9754</v>
      </c>
      <c r="G8704" s="10" t="s">
        <v>6317</v>
      </c>
      <c r="H8704" s="11">
        <v>42285</v>
      </c>
      <c r="I8704" s="10">
        <v>2015</v>
      </c>
      <c r="J8704" s="10" t="s">
        <v>15187</v>
      </c>
      <c r="K8704" s="10">
        <v>227</v>
      </c>
      <c r="L8704" s="10" t="s">
        <v>40032</v>
      </c>
      <c r="M8704" s="10">
        <v>1</v>
      </c>
      <c r="N8704" s="10"/>
      <c r="O8704" s="10"/>
      <c r="P8704" s="10" t="s">
        <v>40033</v>
      </c>
      <c r="Q8704" s="10">
        <v>371.01</v>
      </c>
      <c r="R8704" s="10" t="s">
        <v>39872</v>
      </c>
      <c r="S8704" s="10" t="s">
        <v>53</v>
      </c>
      <c r="T8704" s="10" t="s">
        <v>54</v>
      </c>
    </row>
    <row r="8705" spans="1:20" ht="14.5" x14ac:dyDescent="0.35">
      <c r="A8705" s="10" t="s">
        <v>40034</v>
      </c>
      <c r="B8705" s="10" t="str">
        <f>"9781475823141"</f>
        <v>9781475823141</v>
      </c>
      <c r="C8705" s="10" t="str">
        <f>"9781475823165"</f>
        <v>9781475823165</v>
      </c>
      <c r="D8705" s="10" t="s">
        <v>9752</v>
      </c>
      <c r="E8705" s="10" t="s">
        <v>15187</v>
      </c>
      <c r="F8705" s="10" t="s">
        <v>9754</v>
      </c>
      <c r="G8705" s="10" t="s">
        <v>6317</v>
      </c>
      <c r="H8705" s="11">
        <v>42293</v>
      </c>
      <c r="I8705" s="10">
        <v>2015</v>
      </c>
      <c r="J8705" s="10" t="s">
        <v>15187</v>
      </c>
      <c r="K8705" s="10">
        <v>181</v>
      </c>
      <c r="L8705" s="10" t="s">
        <v>40019</v>
      </c>
      <c r="M8705" s="10">
        <v>1</v>
      </c>
      <c r="N8705" s="10" t="s">
        <v>40020</v>
      </c>
      <c r="O8705" s="10" t="s">
        <v>40035</v>
      </c>
      <c r="P8705" s="10" t="s">
        <v>40036</v>
      </c>
      <c r="Q8705" s="10">
        <v>907.1</v>
      </c>
      <c r="R8705" s="10" t="s">
        <v>40023</v>
      </c>
      <c r="S8705" s="10" t="s">
        <v>53</v>
      </c>
      <c r="T8705" s="10" t="s">
        <v>9857</v>
      </c>
    </row>
    <row r="8706" spans="1:20" ht="14.5" x14ac:dyDescent="0.35">
      <c r="A8706" s="10" t="s">
        <v>40037</v>
      </c>
      <c r="B8706" s="10" t="str">
        <f>"9781475823189"</f>
        <v>9781475823189</v>
      </c>
      <c r="C8706" s="10" t="str">
        <f>"9781475823196"</f>
        <v>9781475823196</v>
      </c>
      <c r="D8706" s="10" t="s">
        <v>9752</v>
      </c>
      <c r="E8706" s="10" t="s">
        <v>15187</v>
      </c>
      <c r="F8706" s="10" t="s">
        <v>9754</v>
      </c>
      <c r="G8706" s="10" t="s">
        <v>6317</v>
      </c>
      <c r="H8706" s="11">
        <v>42293</v>
      </c>
      <c r="I8706" s="10">
        <v>2015</v>
      </c>
      <c r="J8706" s="10" t="s">
        <v>15187</v>
      </c>
      <c r="K8706" s="10">
        <v>185</v>
      </c>
      <c r="L8706" s="10" t="s">
        <v>40019</v>
      </c>
      <c r="M8706" s="10">
        <v>1</v>
      </c>
      <c r="N8706" s="10" t="s">
        <v>40020</v>
      </c>
      <c r="O8706" s="10" t="s">
        <v>40038</v>
      </c>
      <c r="P8706" s="10" t="s">
        <v>40036</v>
      </c>
      <c r="Q8706" s="10">
        <v>907.1</v>
      </c>
      <c r="R8706" s="10" t="s">
        <v>40023</v>
      </c>
      <c r="S8706" s="10" t="s">
        <v>53</v>
      </c>
      <c r="T8706" s="10" t="s">
        <v>9857</v>
      </c>
    </row>
    <row r="8707" spans="1:20" ht="14.5" x14ac:dyDescent="0.35">
      <c r="A8707" s="10" t="s">
        <v>40039</v>
      </c>
      <c r="B8707" s="10" t="str">
        <f>"9781475823325"</f>
        <v>9781475823325</v>
      </c>
      <c r="C8707" s="10" t="str">
        <f>"9781475823349"</f>
        <v>9781475823349</v>
      </c>
      <c r="D8707" s="10" t="s">
        <v>9752</v>
      </c>
      <c r="E8707" s="10" t="s">
        <v>15187</v>
      </c>
      <c r="F8707" s="10" t="s">
        <v>9754</v>
      </c>
      <c r="G8707" s="10" t="s">
        <v>6317</v>
      </c>
      <c r="H8707" s="11">
        <v>42279</v>
      </c>
      <c r="I8707" s="10">
        <v>2015</v>
      </c>
      <c r="J8707" s="10" t="s">
        <v>15187</v>
      </c>
      <c r="K8707" s="10">
        <v>119</v>
      </c>
      <c r="L8707" s="10" t="s">
        <v>40040</v>
      </c>
      <c r="M8707" s="10">
        <v>1</v>
      </c>
      <c r="N8707" s="10"/>
      <c r="O8707" s="10"/>
      <c r="P8707" s="10"/>
      <c r="Q8707" s="10"/>
      <c r="R8707" s="10" t="s">
        <v>40041</v>
      </c>
      <c r="S8707" s="10" t="s">
        <v>53</v>
      </c>
      <c r="T8707" s="10" t="s">
        <v>54</v>
      </c>
    </row>
    <row r="8708" spans="1:20" ht="14.5" x14ac:dyDescent="0.35">
      <c r="A8708" s="10" t="s">
        <v>40042</v>
      </c>
      <c r="B8708" s="10" t="str">
        <f>"9781475823424"</f>
        <v>9781475823424</v>
      </c>
      <c r="C8708" s="10" t="str">
        <f>"9781475823431"</f>
        <v>9781475823431</v>
      </c>
      <c r="D8708" s="10" t="s">
        <v>9752</v>
      </c>
      <c r="E8708" s="10" t="s">
        <v>15187</v>
      </c>
      <c r="F8708" s="10" t="s">
        <v>9754</v>
      </c>
      <c r="G8708" s="10" t="s">
        <v>6317</v>
      </c>
      <c r="H8708" s="11">
        <v>42293</v>
      </c>
      <c r="I8708" s="10">
        <v>2015</v>
      </c>
      <c r="J8708" s="10" t="s">
        <v>15187</v>
      </c>
      <c r="K8708" s="10">
        <v>187</v>
      </c>
      <c r="L8708" s="10" t="s">
        <v>40019</v>
      </c>
      <c r="M8708" s="10">
        <v>1</v>
      </c>
      <c r="N8708" s="10" t="s">
        <v>40020</v>
      </c>
      <c r="O8708" s="10" t="s">
        <v>40043</v>
      </c>
      <c r="P8708" s="10" t="s">
        <v>40044</v>
      </c>
      <c r="Q8708" s="10">
        <v>907.1</v>
      </c>
      <c r="R8708" s="10" t="s">
        <v>40023</v>
      </c>
      <c r="S8708" s="10" t="s">
        <v>53</v>
      </c>
      <c r="T8708" s="10" t="s">
        <v>7711</v>
      </c>
    </row>
    <row r="8709" spans="1:20" ht="14.5" x14ac:dyDescent="0.35">
      <c r="A8709" s="10" t="s">
        <v>40045</v>
      </c>
      <c r="B8709" s="10" t="str">
        <f>"9781475820706"</f>
        <v>9781475820706</v>
      </c>
      <c r="C8709" s="10" t="str">
        <f>"9781475820713"</f>
        <v>9781475820713</v>
      </c>
      <c r="D8709" s="10" t="s">
        <v>9752</v>
      </c>
      <c r="E8709" s="10" t="s">
        <v>15187</v>
      </c>
      <c r="F8709" s="10" t="s">
        <v>9754</v>
      </c>
      <c r="G8709" s="10" t="s">
        <v>6317</v>
      </c>
      <c r="H8709" s="11">
        <v>42263</v>
      </c>
      <c r="I8709" s="10">
        <v>2015</v>
      </c>
      <c r="J8709" s="10" t="s">
        <v>15187</v>
      </c>
      <c r="K8709" s="10">
        <v>205</v>
      </c>
      <c r="L8709" s="10" t="s">
        <v>40046</v>
      </c>
      <c r="M8709" s="10">
        <v>1</v>
      </c>
      <c r="N8709" s="10"/>
      <c r="O8709" s="10"/>
      <c r="P8709" s="10" t="s">
        <v>40047</v>
      </c>
      <c r="Q8709" s="10">
        <v>370.11599999999999</v>
      </c>
      <c r="R8709" s="10" t="s">
        <v>40048</v>
      </c>
      <c r="S8709" s="10" t="s">
        <v>53</v>
      </c>
      <c r="T8709" s="10" t="s">
        <v>54</v>
      </c>
    </row>
    <row r="8710" spans="1:20" ht="14.5" x14ac:dyDescent="0.35">
      <c r="A8710" s="10" t="s">
        <v>40049</v>
      </c>
      <c r="B8710" s="10" t="str">
        <f>"9781498502498"</f>
        <v>9781498502498</v>
      </c>
      <c r="C8710" s="10" t="str">
        <f>"9781498502504"</f>
        <v>9781498502504</v>
      </c>
      <c r="D8710" s="10" t="s">
        <v>9752</v>
      </c>
      <c r="E8710" s="10" t="s">
        <v>15182</v>
      </c>
      <c r="F8710" s="10" t="s">
        <v>3460</v>
      </c>
      <c r="G8710" s="10" t="s">
        <v>6317</v>
      </c>
      <c r="H8710" s="11">
        <v>42201</v>
      </c>
      <c r="I8710" s="10">
        <v>2015</v>
      </c>
      <c r="J8710" s="10" t="s">
        <v>15182</v>
      </c>
      <c r="K8710" s="10">
        <v>195</v>
      </c>
      <c r="L8710" s="10" t="s">
        <v>40050</v>
      </c>
      <c r="M8710" s="10">
        <v>1</v>
      </c>
      <c r="N8710" s="10"/>
      <c r="O8710" s="10"/>
      <c r="P8710" s="10"/>
      <c r="Q8710" s="10" t="s">
        <v>40051</v>
      </c>
      <c r="R8710" s="10" t="s">
        <v>40052</v>
      </c>
      <c r="S8710" s="10" t="s">
        <v>53</v>
      </c>
      <c r="T8710" s="10" t="s">
        <v>6660</v>
      </c>
    </row>
    <row r="8711" spans="1:20" ht="14.5" x14ac:dyDescent="0.35">
      <c r="A8711" s="10" t="s">
        <v>40053</v>
      </c>
      <c r="B8711" s="10" t="str">
        <f>"9781498510417"</f>
        <v>9781498510417</v>
      </c>
      <c r="C8711" s="10" t="str">
        <f>"9781498510424"</f>
        <v>9781498510424</v>
      </c>
      <c r="D8711" s="10" t="s">
        <v>9752</v>
      </c>
      <c r="E8711" s="10" t="s">
        <v>15182</v>
      </c>
      <c r="F8711" s="10" t="s">
        <v>9754</v>
      </c>
      <c r="G8711" s="10" t="s">
        <v>6317</v>
      </c>
      <c r="H8711" s="11">
        <v>42115</v>
      </c>
      <c r="I8711" s="10">
        <v>2015</v>
      </c>
      <c r="J8711" s="10" t="s">
        <v>15182</v>
      </c>
      <c r="K8711" s="10">
        <v>187</v>
      </c>
      <c r="L8711" s="10" t="s">
        <v>40054</v>
      </c>
      <c r="M8711" s="10">
        <v>1</v>
      </c>
      <c r="N8711" s="10" t="s">
        <v>40055</v>
      </c>
      <c r="O8711" s="10"/>
      <c r="P8711" s="10" t="s">
        <v>40056</v>
      </c>
      <c r="Q8711" s="10" t="s">
        <v>14718</v>
      </c>
      <c r="R8711" s="10" t="s">
        <v>40057</v>
      </c>
      <c r="S8711" s="10" t="s">
        <v>53</v>
      </c>
      <c r="T8711" s="10" t="s">
        <v>54</v>
      </c>
    </row>
    <row r="8712" spans="1:20" ht="14.5" x14ac:dyDescent="0.35">
      <c r="A8712" s="10" t="s">
        <v>40058</v>
      </c>
      <c r="B8712" s="10" t="str">
        <f>"9781498518611"</f>
        <v>9781498518611</v>
      </c>
      <c r="C8712" s="10" t="str">
        <f>"9781498518628"</f>
        <v>9781498518628</v>
      </c>
      <c r="D8712" s="10" t="s">
        <v>9752</v>
      </c>
      <c r="E8712" s="10" t="s">
        <v>15182</v>
      </c>
      <c r="F8712" s="10" t="s">
        <v>9754</v>
      </c>
      <c r="G8712" s="10" t="s">
        <v>6317</v>
      </c>
      <c r="H8712" s="11">
        <v>42306</v>
      </c>
      <c r="I8712" s="10">
        <v>2015</v>
      </c>
      <c r="J8712" s="10" t="s">
        <v>15182</v>
      </c>
      <c r="K8712" s="10">
        <v>319</v>
      </c>
      <c r="L8712" s="10" t="s">
        <v>40059</v>
      </c>
      <c r="M8712" s="10">
        <v>1</v>
      </c>
      <c r="N8712" s="10"/>
      <c r="O8712" s="10"/>
      <c r="P8712" s="10" t="s">
        <v>40060</v>
      </c>
      <c r="Q8712" s="10">
        <v>371.1</v>
      </c>
      <c r="R8712" s="10" t="s">
        <v>40061</v>
      </c>
      <c r="S8712" s="10" t="s">
        <v>53</v>
      </c>
      <c r="T8712" s="10" t="s">
        <v>54</v>
      </c>
    </row>
    <row r="8713" spans="1:20" ht="14.5" x14ac:dyDescent="0.35">
      <c r="A8713" s="10" t="s">
        <v>40062</v>
      </c>
      <c r="B8713" s="10" t="str">
        <f>"9781498520225"</f>
        <v>9781498520225</v>
      </c>
      <c r="C8713" s="10" t="str">
        <f>"9781498520232"</f>
        <v>9781498520232</v>
      </c>
      <c r="D8713" s="10" t="s">
        <v>9752</v>
      </c>
      <c r="E8713" s="10" t="s">
        <v>15182</v>
      </c>
      <c r="F8713" s="10" t="s">
        <v>3460</v>
      </c>
      <c r="G8713" s="10" t="s">
        <v>6317</v>
      </c>
      <c r="H8713" s="11">
        <v>42341</v>
      </c>
      <c r="I8713" s="10">
        <v>2015</v>
      </c>
      <c r="J8713" s="10" t="s">
        <v>15182</v>
      </c>
      <c r="K8713" s="10">
        <v>230</v>
      </c>
      <c r="L8713" s="10" t="s">
        <v>40063</v>
      </c>
      <c r="M8713" s="10">
        <v>1</v>
      </c>
      <c r="N8713" s="10"/>
      <c r="O8713" s="10"/>
      <c r="P8713" s="10" t="s">
        <v>40064</v>
      </c>
      <c r="Q8713" s="10">
        <v>378.8</v>
      </c>
      <c r="R8713" s="10" t="s">
        <v>40065</v>
      </c>
      <c r="S8713" s="10" t="s">
        <v>53</v>
      </c>
      <c r="T8713" s="10" t="s">
        <v>54</v>
      </c>
    </row>
    <row r="8714" spans="1:20" ht="14.5" x14ac:dyDescent="0.35">
      <c r="A8714" s="10" t="s">
        <v>40066</v>
      </c>
      <c r="B8714" s="10" t="str">
        <f>"9781610482929"</f>
        <v>9781610482929</v>
      </c>
      <c r="C8714" s="10" t="str">
        <f>"9781610482936"</f>
        <v>9781610482936</v>
      </c>
      <c r="D8714" s="10" t="s">
        <v>9752</v>
      </c>
      <c r="E8714" s="10" t="s">
        <v>15187</v>
      </c>
      <c r="F8714" s="10" t="s">
        <v>9754</v>
      </c>
      <c r="G8714" s="10" t="s">
        <v>6317</v>
      </c>
      <c r="H8714" s="11">
        <v>42306</v>
      </c>
      <c r="I8714" s="10">
        <v>2015</v>
      </c>
      <c r="J8714" s="10" t="s">
        <v>15187</v>
      </c>
      <c r="K8714" s="10">
        <v>169</v>
      </c>
      <c r="L8714" s="10" t="s">
        <v>29914</v>
      </c>
      <c r="M8714" s="10">
        <v>1</v>
      </c>
      <c r="N8714" s="10"/>
      <c r="O8714" s="10"/>
      <c r="P8714" s="10"/>
      <c r="Q8714" s="10" t="s">
        <v>8460</v>
      </c>
      <c r="R8714" s="10" t="s">
        <v>28179</v>
      </c>
      <c r="S8714" s="10" t="s">
        <v>53</v>
      </c>
      <c r="T8714" s="10" t="s">
        <v>54</v>
      </c>
    </row>
    <row r="8715" spans="1:20" ht="14.5" x14ac:dyDescent="0.35">
      <c r="A8715" s="10" t="s">
        <v>40067</v>
      </c>
      <c r="B8715" s="10" t="str">
        <f>"9781610486750"</f>
        <v>9781610486750</v>
      </c>
      <c r="C8715" s="10" t="str">
        <f>"9781610486774"</f>
        <v>9781610486774</v>
      </c>
      <c r="D8715" s="10" t="s">
        <v>9752</v>
      </c>
      <c r="E8715" s="10" t="s">
        <v>15187</v>
      </c>
      <c r="F8715" s="10" t="s">
        <v>9754</v>
      </c>
      <c r="G8715" s="10" t="s">
        <v>6317</v>
      </c>
      <c r="H8715" s="11">
        <v>42088</v>
      </c>
      <c r="I8715" s="10">
        <v>2015</v>
      </c>
      <c r="J8715" s="10" t="s">
        <v>15187</v>
      </c>
      <c r="K8715" s="10">
        <v>221</v>
      </c>
      <c r="L8715" s="10" t="s">
        <v>40068</v>
      </c>
      <c r="M8715" s="10">
        <v>1</v>
      </c>
      <c r="N8715" s="10"/>
      <c r="O8715" s="10"/>
      <c r="P8715" s="10" t="s">
        <v>40069</v>
      </c>
      <c r="Q8715" s="10">
        <v>428.00709999999998</v>
      </c>
      <c r="R8715" s="10" t="s">
        <v>40070</v>
      </c>
      <c r="S8715" s="10" t="s">
        <v>53</v>
      </c>
      <c r="T8715" s="10" t="s">
        <v>6634</v>
      </c>
    </row>
    <row r="8716" spans="1:20" ht="14.5" x14ac:dyDescent="0.35">
      <c r="A8716" s="10" t="s">
        <v>40071</v>
      </c>
      <c r="B8716" s="10" t="str">
        <f>"9781610489881"</f>
        <v>9781610489881</v>
      </c>
      <c r="C8716" s="10" t="str">
        <f>"9781610489904"</f>
        <v>9781610489904</v>
      </c>
      <c r="D8716" s="10" t="s">
        <v>9752</v>
      </c>
      <c r="E8716" s="10" t="s">
        <v>15187</v>
      </c>
      <c r="F8716" s="10" t="s">
        <v>9754</v>
      </c>
      <c r="G8716" s="10" t="s">
        <v>6317</v>
      </c>
      <c r="H8716" s="11">
        <v>42275</v>
      </c>
      <c r="I8716" s="10">
        <v>2015</v>
      </c>
      <c r="J8716" s="10" t="s">
        <v>15187</v>
      </c>
      <c r="K8716" s="10">
        <v>348</v>
      </c>
      <c r="L8716" s="10" t="s">
        <v>40072</v>
      </c>
      <c r="M8716" s="10">
        <v>10</v>
      </c>
      <c r="N8716" s="10"/>
      <c r="O8716" s="10"/>
      <c r="P8716" s="10" t="s">
        <v>40073</v>
      </c>
      <c r="Q8716" s="10" t="s">
        <v>40074</v>
      </c>
      <c r="R8716" s="10" t="s">
        <v>40075</v>
      </c>
      <c r="S8716" s="10" t="s">
        <v>53</v>
      </c>
      <c r="T8716" s="10" t="s">
        <v>16135</v>
      </c>
    </row>
    <row r="8717" spans="1:20" ht="14.5" x14ac:dyDescent="0.35">
      <c r="A8717" s="10" t="s">
        <v>40076</v>
      </c>
      <c r="B8717" s="10" t="str">
        <f>"9780253018786"</f>
        <v>9780253018786</v>
      </c>
      <c r="C8717" s="10" t="str">
        <f>"9780253018861"</f>
        <v>9780253018861</v>
      </c>
      <c r="D8717" s="10" t="s">
        <v>2455</v>
      </c>
      <c r="E8717" s="10" t="s">
        <v>2455</v>
      </c>
      <c r="F8717" s="10" t="s">
        <v>3101</v>
      </c>
      <c r="G8717" s="10" t="s">
        <v>6317</v>
      </c>
      <c r="H8717" s="11">
        <v>42415</v>
      </c>
      <c r="I8717" s="10">
        <v>2015</v>
      </c>
      <c r="J8717" s="10" t="s">
        <v>2455</v>
      </c>
      <c r="K8717" s="10">
        <v>172</v>
      </c>
      <c r="L8717" s="10" t="s">
        <v>40077</v>
      </c>
      <c r="M8717" s="10">
        <v>1</v>
      </c>
      <c r="N8717" s="10" t="s">
        <v>23849</v>
      </c>
      <c r="O8717" s="10"/>
      <c r="P8717" s="10" t="s">
        <v>40078</v>
      </c>
      <c r="Q8717" s="10" t="s">
        <v>9298</v>
      </c>
      <c r="R8717" s="10" t="s">
        <v>40079</v>
      </c>
      <c r="S8717" s="10" t="s">
        <v>53</v>
      </c>
      <c r="T8717" s="10" t="s">
        <v>54</v>
      </c>
    </row>
    <row r="8718" spans="1:20" ht="14.5" x14ac:dyDescent="0.35">
      <c r="A8718" s="10" t="s">
        <v>40080</v>
      </c>
      <c r="B8718" s="10" t="str">
        <f>"9781598578065"</f>
        <v>9781598578065</v>
      </c>
      <c r="C8718" s="10" t="str">
        <f>"9781681251233"</f>
        <v>9781681251233</v>
      </c>
      <c r="D8718" s="10" t="s">
        <v>28876</v>
      </c>
      <c r="E8718" s="10" t="s">
        <v>28877</v>
      </c>
      <c r="F8718" s="10" t="s">
        <v>885</v>
      </c>
      <c r="G8718" s="10" t="s">
        <v>6317</v>
      </c>
      <c r="H8718" s="11">
        <v>42705</v>
      </c>
      <c r="I8718" s="10">
        <v>2016</v>
      </c>
      <c r="J8718" s="10" t="s">
        <v>28877</v>
      </c>
      <c r="K8718" s="10">
        <v>305</v>
      </c>
      <c r="L8718" s="10" t="s">
        <v>40081</v>
      </c>
      <c r="M8718" s="10">
        <v>1</v>
      </c>
      <c r="N8718" s="10"/>
      <c r="O8718" s="10"/>
      <c r="P8718" s="10" t="s">
        <v>40082</v>
      </c>
      <c r="Q8718" s="10">
        <v>371.94</v>
      </c>
      <c r="R8718" s="10" t="s">
        <v>40083</v>
      </c>
      <c r="S8718" s="10" t="s">
        <v>53</v>
      </c>
      <c r="T8718" s="10" t="s">
        <v>54</v>
      </c>
    </row>
    <row r="8719" spans="1:20" ht="14.5" x14ac:dyDescent="0.35">
      <c r="A8719" s="10" t="s">
        <v>40084</v>
      </c>
      <c r="B8719" s="10" t="str">
        <f>"9780253018830"</f>
        <v>9780253018830</v>
      </c>
      <c r="C8719" s="10" t="str">
        <f>"9780253018984"</f>
        <v>9780253018984</v>
      </c>
      <c r="D8719" s="10" t="s">
        <v>2455</v>
      </c>
      <c r="E8719" s="10" t="s">
        <v>2455</v>
      </c>
      <c r="F8719" s="10" t="s">
        <v>3101</v>
      </c>
      <c r="G8719" s="10" t="s">
        <v>6317</v>
      </c>
      <c r="H8719" s="11">
        <v>42353</v>
      </c>
      <c r="I8719" s="10">
        <v>2015</v>
      </c>
      <c r="J8719" s="10" t="s">
        <v>2455</v>
      </c>
      <c r="K8719" s="10">
        <v>184</v>
      </c>
      <c r="L8719" s="10" t="s">
        <v>40085</v>
      </c>
      <c r="M8719" s="10">
        <v>1</v>
      </c>
      <c r="N8719" s="10" t="s">
        <v>23849</v>
      </c>
      <c r="O8719" s="10"/>
      <c r="P8719" s="10" t="s">
        <v>40086</v>
      </c>
      <c r="Q8719" s="10">
        <v>428.40710999999999</v>
      </c>
      <c r="R8719" s="10" t="s">
        <v>39934</v>
      </c>
      <c r="S8719" s="10" t="s">
        <v>53</v>
      </c>
      <c r="T8719" s="10" t="s">
        <v>6634</v>
      </c>
    </row>
    <row r="8720" spans="1:20" ht="14.5" x14ac:dyDescent="0.35">
      <c r="A8720" s="10" t="s">
        <v>40087</v>
      </c>
      <c r="B8720" s="10" t="str">
        <f>"9781475819755"</f>
        <v>9781475819755</v>
      </c>
      <c r="C8720" s="10" t="str">
        <f>"9781475819779"</f>
        <v>9781475819779</v>
      </c>
      <c r="D8720" s="10" t="s">
        <v>9752</v>
      </c>
      <c r="E8720" s="10" t="s">
        <v>15187</v>
      </c>
      <c r="F8720" s="10" t="s">
        <v>9754</v>
      </c>
      <c r="G8720" s="10" t="s">
        <v>6317</v>
      </c>
      <c r="H8720" s="11">
        <v>42346</v>
      </c>
      <c r="I8720" s="10">
        <v>2015</v>
      </c>
      <c r="J8720" s="10" t="s">
        <v>15187</v>
      </c>
      <c r="K8720" s="10">
        <v>275</v>
      </c>
      <c r="L8720" s="10" t="s">
        <v>40088</v>
      </c>
      <c r="M8720" s="10">
        <v>1</v>
      </c>
      <c r="N8720" s="10"/>
      <c r="O8720" s="10"/>
      <c r="P8720" s="10" t="s">
        <v>17791</v>
      </c>
      <c r="Q8720" s="10">
        <v>371.20699999999999</v>
      </c>
      <c r="R8720" s="10" t="s">
        <v>40089</v>
      </c>
      <c r="S8720" s="10" t="s">
        <v>53</v>
      </c>
      <c r="T8720" s="10" t="s">
        <v>54</v>
      </c>
    </row>
    <row r="8721" spans="1:20" ht="14.5" x14ac:dyDescent="0.35">
      <c r="A8721" s="10" t="s">
        <v>40090</v>
      </c>
      <c r="B8721" s="10" t="str">
        <f>"9781598578942"</f>
        <v>9781598578942</v>
      </c>
      <c r="C8721" s="10" t="str">
        <f>"9781681250090"</f>
        <v>9781681250090</v>
      </c>
      <c r="D8721" s="10" t="s">
        <v>28876</v>
      </c>
      <c r="E8721" s="10" t="s">
        <v>28877</v>
      </c>
      <c r="F8721" s="10" t="s">
        <v>885</v>
      </c>
      <c r="G8721" s="10" t="s">
        <v>6317</v>
      </c>
      <c r="H8721" s="11">
        <v>42309</v>
      </c>
      <c r="I8721" s="10">
        <v>2016</v>
      </c>
      <c r="J8721" s="10" t="s">
        <v>28877</v>
      </c>
      <c r="K8721" s="10">
        <v>296</v>
      </c>
      <c r="L8721" s="10" t="s">
        <v>40091</v>
      </c>
      <c r="M8721" s="10">
        <v>2</v>
      </c>
      <c r="N8721" s="10"/>
      <c r="O8721" s="10"/>
      <c r="P8721" s="10" t="s">
        <v>40092</v>
      </c>
      <c r="Q8721" s="10">
        <v>371.9</v>
      </c>
      <c r="R8721" s="10" t="s">
        <v>40093</v>
      </c>
      <c r="S8721" s="10" t="s">
        <v>53</v>
      </c>
      <c r="T8721" s="10" t="s">
        <v>54</v>
      </c>
    </row>
    <row r="8722" spans="1:20" ht="14.5" x14ac:dyDescent="0.35">
      <c r="A8722" s="10" t="s">
        <v>40094</v>
      </c>
      <c r="B8722" s="10" t="str">
        <f>"9781598579215"</f>
        <v>9781598579215</v>
      </c>
      <c r="C8722" s="10" t="str">
        <f>"9781681250502"</f>
        <v>9781681250502</v>
      </c>
      <c r="D8722" s="10" t="s">
        <v>28876</v>
      </c>
      <c r="E8722" s="10" t="s">
        <v>28877</v>
      </c>
      <c r="F8722" s="10" t="s">
        <v>885</v>
      </c>
      <c r="G8722" s="10" t="s">
        <v>6317</v>
      </c>
      <c r="H8722" s="11">
        <v>42248</v>
      </c>
      <c r="I8722" s="10">
        <v>2016</v>
      </c>
      <c r="J8722" s="10" t="s">
        <v>28877</v>
      </c>
      <c r="K8722" s="10">
        <v>151</v>
      </c>
      <c r="L8722" s="10" t="s">
        <v>40095</v>
      </c>
      <c r="M8722" s="10">
        <v>1</v>
      </c>
      <c r="N8722" s="10"/>
      <c r="O8722" s="10"/>
      <c r="P8722" s="10" t="s">
        <v>40096</v>
      </c>
      <c r="Q8722" s="10" t="s">
        <v>6576</v>
      </c>
      <c r="R8722" s="10" t="s">
        <v>40097</v>
      </c>
      <c r="S8722" s="10" t="s">
        <v>53</v>
      </c>
      <c r="T8722" s="10" t="s">
        <v>54</v>
      </c>
    </row>
    <row r="8723" spans="1:20" ht="14.5" x14ac:dyDescent="0.35">
      <c r="A8723" s="10" t="s">
        <v>40098</v>
      </c>
      <c r="B8723" s="10" t="str">
        <f>"9781475822847"</f>
        <v>9781475822847</v>
      </c>
      <c r="C8723" s="10" t="str">
        <f>"9781475822854"</f>
        <v>9781475822854</v>
      </c>
      <c r="D8723" s="10" t="s">
        <v>9752</v>
      </c>
      <c r="E8723" s="10" t="s">
        <v>15187</v>
      </c>
      <c r="F8723" s="10" t="s">
        <v>9754</v>
      </c>
      <c r="G8723" s="10" t="s">
        <v>6317</v>
      </c>
      <c r="H8723" s="11">
        <v>42369</v>
      </c>
      <c r="I8723" s="10">
        <v>2015</v>
      </c>
      <c r="J8723" s="10" t="s">
        <v>15187</v>
      </c>
      <c r="K8723" s="10">
        <v>261</v>
      </c>
      <c r="L8723" s="10" t="s">
        <v>40099</v>
      </c>
      <c r="M8723" s="10">
        <v>1</v>
      </c>
      <c r="N8723" s="10"/>
      <c r="O8723" s="10"/>
      <c r="P8723" s="10" t="s">
        <v>40100</v>
      </c>
      <c r="Q8723" s="10">
        <v>371.10199999999998</v>
      </c>
      <c r="R8723" s="10" t="s">
        <v>25244</v>
      </c>
      <c r="S8723" s="10" t="s">
        <v>53</v>
      </c>
      <c r="T8723" s="10" t="s">
        <v>54</v>
      </c>
    </row>
    <row r="8724" spans="1:20" ht="14.5" x14ac:dyDescent="0.35">
      <c r="A8724" s="10" t="s">
        <v>40101</v>
      </c>
      <c r="B8724" s="10" t="str">
        <f>"9781475820553"</f>
        <v>9781475820553</v>
      </c>
      <c r="C8724" s="10" t="str">
        <f>"9781475820577"</f>
        <v>9781475820577</v>
      </c>
      <c r="D8724" s="10" t="s">
        <v>9752</v>
      </c>
      <c r="E8724" s="10" t="s">
        <v>15187</v>
      </c>
      <c r="F8724" s="10" t="s">
        <v>9754</v>
      </c>
      <c r="G8724" s="10" t="s">
        <v>6317</v>
      </c>
      <c r="H8724" s="11">
        <v>42341</v>
      </c>
      <c r="I8724" s="10">
        <v>2015</v>
      </c>
      <c r="J8724" s="10" t="s">
        <v>15187</v>
      </c>
      <c r="K8724" s="10">
        <v>99</v>
      </c>
      <c r="L8724" s="10" t="s">
        <v>40102</v>
      </c>
      <c r="M8724" s="10">
        <v>1</v>
      </c>
      <c r="N8724" s="10"/>
      <c r="O8724" s="10"/>
      <c r="P8724" s="10"/>
      <c r="Q8724" s="10" t="s">
        <v>11202</v>
      </c>
      <c r="R8724" s="10" t="s">
        <v>40103</v>
      </c>
      <c r="S8724" s="10" t="s">
        <v>53</v>
      </c>
      <c r="T8724" s="10" t="s">
        <v>54</v>
      </c>
    </row>
    <row r="8725" spans="1:20" ht="14.5" x14ac:dyDescent="0.35">
      <c r="A8725" s="10" t="s">
        <v>40104</v>
      </c>
      <c r="B8725" s="10" t="str">
        <f>"9781475822236"</f>
        <v>9781475822236</v>
      </c>
      <c r="C8725" s="10" t="str">
        <f>"9781475822243"</f>
        <v>9781475822243</v>
      </c>
      <c r="D8725" s="10" t="s">
        <v>9752</v>
      </c>
      <c r="E8725" s="10" t="s">
        <v>15187</v>
      </c>
      <c r="F8725" s="10" t="s">
        <v>9754</v>
      </c>
      <c r="G8725" s="10" t="s">
        <v>6317</v>
      </c>
      <c r="H8725" s="11">
        <v>42341</v>
      </c>
      <c r="I8725" s="10">
        <v>2015</v>
      </c>
      <c r="J8725" s="10" t="s">
        <v>15187</v>
      </c>
      <c r="K8725" s="10">
        <v>55</v>
      </c>
      <c r="L8725" s="10" t="s">
        <v>39931</v>
      </c>
      <c r="M8725" s="10">
        <v>1</v>
      </c>
      <c r="N8725" s="10"/>
      <c r="O8725" s="10"/>
      <c r="P8725" s="10"/>
      <c r="Q8725" s="10">
        <v>372.40973000000002</v>
      </c>
      <c r="R8725" s="10"/>
      <c r="S8725" s="10" t="s">
        <v>53</v>
      </c>
      <c r="T8725" s="10" t="s">
        <v>54</v>
      </c>
    </row>
    <row r="8726" spans="1:20" ht="14.5" x14ac:dyDescent="0.35">
      <c r="A8726" s="10" t="s">
        <v>40105</v>
      </c>
      <c r="B8726" s="10" t="str">
        <f>"9781475822571"</f>
        <v>9781475822571</v>
      </c>
      <c r="C8726" s="10" t="str">
        <f>"9781475822588"</f>
        <v>9781475822588</v>
      </c>
      <c r="D8726" s="10" t="s">
        <v>9752</v>
      </c>
      <c r="E8726" s="10" t="s">
        <v>15187</v>
      </c>
      <c r="F8726" s="10" t="s">
        <v>9754</v>
      </c>
      <c r="G8726" s="10" t="s">
        <v>6317</v>
      </c>
      <c r="H8726" s="11">
        <v>42361</v>
      </c>
      <c r="I8726" s="10">
        <v>2015</v>
      </c>
      <c r="J8726" s="10" t="s">
        <v>15187</v>
      </c>
      <c r="K8726" s="10">
        <v>134</v>
      </c>
      <c r="L8726" s="10" t="s">
        <v>40106</v>
      </c>
      <c r="M8726" s="10">
        <v>1</v>
      </c>
      <c r="N8726" s="10"/>
      <c r="O8726" s="10"/>
      <c r="P8726" s="10" t="s">
        <v>40107</v>
      </c>
      <c r="Q8726" s="10" t="s">
        <v>40108</v>
      </c>
      <c r="R8726" s="10" t="s">
        <v>40109</v>
      </c>
      <c r="S8726" s="10" t="s">
        <v>53</v>
      </c>
      <c r="T8726" s="10" t="s">
        <v>40110</v>
      </c>
    </row>
    <row r="8727" spans="1:20" ht="14.5" x14ac:dyDescent="0.35">
      <c r="A8727" s="10" t="s">
        <v>40111</v>
      </c>
      <c r="B8727" s="10" t="str">
        <f>"9781489976260"</f>
        <v>9781489976260</v>
      </c>
      <c r="C8727" s="10" t="str">
        <f>"9781489976277"</f>
        <v>9781489976277</v>
      </c>
      <c r="D8727" s="10" t="s">
        <v>11249</v>
      </c>
      <c r="E8727" s="10" t="s">
        <v>13067</v>
      </c>
      <c r="F8727" s="10" t="s">
        <v>13068</v>
      </c>
      <c r="G8727" s="10" t="s">
        <v>6317</v>
      </c>
      <c r="H8727" s="11">
        <v>42322</v>
      </c>
      <c r="I8727" s="10">
        <v>2016</v>
      </c>
      <c r="J8727" s="10" t="s">
        <v>13067</v>
      </c>
      <c r="K8727" s="10">
        <v>712</v>
      </c>
      <c r="L8727" s="10" t="s">
        <v>40112</v>
      </c>
      <c r="M8727" s="10">
        <v>1</v>
      </c>
      <c r="N8727" s="10" t="s">
        <v>40113</v>
      </c>
      <c r="O8727" s="10">
        <v>1</v>
      </c>
      <c r="P8727" s="10" t="s">
        <v>40114</v>
      </c>
      <c r="Q8727" s="10">
        <v>613.62</v>
      </c>
      <c r="R8727" s="10" t="s">
        <v>40115</v>
      </c>
      <c r="S8727" s="10" t="s">
        <v>53</v>
      </c>
      <c r="T8727" s="10" t="s">
        <v>40116</v>
      </c>
    </row>
    <row r="8728" spans="1:20" ht="14.5" x14ac:dyDescent="0.35">
      <c r="A8728" s="10" t="s">
        <v>40117</v>
      </c>
      <c r="B8728" s="10" t="str">
        <f>"9780739195567"</f>
        <v>9780739195567</v>
      </c>
      <c r="C8728" s="10" t="str">
        <f>"9780739195574"</f>
        <v>9780739195574</v>
      </c>
      <c r="D8728" s="10" t="s">
        <v>9752</v>
      </c>
      <c r="E8728" s="10" t="s">
        <v>15182</v>
      </c>
      <c r="F8728" s="10" t="s">
        <v>3460</v>
      </c>
      <c r="G8728" s="10" t="s">
        <v>6317</v>
      </c>
      <c r="H8728" s="11">
        <v>42354</v>
      </c>
      <c r="I8728" s="10">
        <v>2016</v>
      </c>
      <c r="J8728" s="10" t="s">
        <v>15182</v>
      </c>
      <c r="K8728" s="10">
        <v>173</v>
      </c>
      <c r="L8728" s="10" t="s">
        <v>40118</v>
      </c>
      <c r="M8728" s="10">
        <v>1</v>
      </c>
      <c r="N8728" s="10"/>
      <c r="O8728" s="10"/>
      <c r="P8728" s="10" t="s">
        <v>40119</v>
      </c>
      <c r="Q8728" s="10">
        <v>371.95</v>
      </c>
      <c r="R8728" s="10" t="s">
        <v>40120</v>
      </c>
      <c r="S8728" s="10" t="s">
        <v>53</v>
      </c>
      <c r="T8728" s="10" t="s">
        <v>54</v>
      </c>
    </row>
    <row r="8729" spans="1:20" ht="14.5" x14ac:dyDescent="0.35">
      <c r="A8729" s="10" t="s">
        <v>40121</v>
      </c>
      <c r="B8729" s="10" t="str">
        <f>"9781475823455"</f>
        <v>9781475823455</v>
      </c>
      <c r="C8729" s="10" t="str">
        <f>"9781475823462"</f>
        <v>9781475823462</v>
      </c>
      <c r="D8729" s="10" t="s">
        <v>9752</v>
      </c>
      <c r="E8729" s="10" t="s">
        <v>15187</v>
      </c>
      <c r="F8729" s="10" t="s">
        <v>9754</v>
      </c>
      <c r="G8729" s="10" t="s">
        <v>6317</v>
      </c>
      <c r="H8729" s="11">
        <v>42293</v>
      </c>
      <c r="I8729" s="10">
        <v>2015</v>
      </c>
      <c r="J8729" s="10" t="s">
        <v>15187</v>
      </c>
      <c r="K8729" s="10">
        <v>233</v>
      </c>
      <c r="L8729" s="10" t="s">
        <v>40019</v>
      </c>
      <c r="M8729" s="10">
        <v>1</v>
      </c>
      <c r="N8729" s="10" t="s">
        <v>40020</v>
      </c>
      <c r="O8729" s="10" t="s">
        <v>40122</v>
      </c>
      <c r="P8729" s="10" t="s">
        <v>40036</v>
      </c>
      <c r="Q8729" s="10">
        <v>907.1</v>
      </c>
      <c r="R8729" s="10" t="s">
        <v>40023</v>
      </c>
      <c r="S8729" s="10" t="s">
        <v>53</v>
      </c>
      <c r="T8729" s="10" t="s">
        <v>7711</v>
      </c>
    </row>
    <row r="8730" spans="1:20" ht="14.5" x14ac:dyDescent="0.35">
      <c r="A8730" s="10" t="s">
        <v>40123</v>
      </c>
      <c r="B8730" s="10" t="str">
        <f>"9780262029643"</f>
        <v>9780262029643</v>
      </c>
      <c r="C8730" s="10" t="str">
        <f>"9780262331289"</f>
        <v>9780262331289</v>
      </c>
      <c r="D8730" s="10" t="s">
        <v>36415</v>
      </c>
      <c r="E8730" s="10" t="s">
        <v>36415</v>
      </c>
      <c r="F8730" s="10" t="s">
        <v>612</v>
      </c>
      <c r="G8730" s="10" t="s">
        <v>6317</v>
      </c>
      <c r="H8730" s="11">
        <v>42244</v>
      </c>
      <c r="I8730" s="10">
        <v>2017</v>
      </c>
      <c r="J8730" s="10" t="s">
        <v>36415</v>
      </c>
      <c r="K8730" s="10">
        <v>357</v>
      </c>
      <c r="L8730" s="10" t="s">
        <v>40124</v>
      </c>
      <c r="M8730" s="10">
        <v>1</v>
      </c>
      <c r="N8730" s="10" t="s">
        <v>36417</v>
      </c>
      <c r="O8730" s="10"/>
      <c r="P8730" s="10" t="s">
        <v>40125</v>
      </c>
      <c r="Q8730" s="10">
        <v>378.00972999999999</v>
      </c>
      <c r="R8730" s="10"/>
      <c r="S8730" s="10" t="s">
        <v>53</v>
      </c>
      <c r="T8730" s="10" t="s">
        <v>54</v>
      </c>
    </row>
    <row r="8731" spans="1:20" ht="14.5" x14ac:dyDescent="0.35">
      <c r="A8731" s="10" t="s">
        <v>40126</v>
      </c>
      <c r="B8731" s="10" t="str">
        <f>"9781446249123"</f>
        <v>9781446249123</v>
      </c>
      <c r="C8731" s="10" t="str">
        <f>"9781446271193"</f>
        <v>9781446271193</v>
      </c>
      <c r="D8731" s="10" t="s">
        <v>9325</v>
      </c>
      <c r="E8731" s="10" t="s">
        <v>9326</v>
      </c>
      <c r="F8731" s="10" t="s">
        <v>139</v>
      </c>
      <c r="G8731" s="10" t="s">
        <v>6352</v>
      </c>
      <c r="H8731" s="11">
        <v>41411</v>
      </c>
      <c r="I8731" s="10">
        <v>2013</v>
      </c>
      <c r="J8731" s="10" t="s">
        <v>9326</v>
      </c>
      <c r="K8731" s="10">
        <v>193</v>
      </c>
      <c r="L8731" s="10" t="s">
        <v>13629</v>
      </c>
      <c r="M8731" s="10">
        <v>2</v>
      </c>
      <c r="N8731" s="10" t="s">
        <v>11973</v>
      </c>
      <c r="O8731" s="10"/>
      <c r="P8731" s="10" t="s">
        <v>40127</v>
      </c>
      <c r="Q8731" s="10">
        <v>372.37</v>
      </c>
      <c r="R8731" s="10" t="s">
        <v>40128</v>
      </c>
      <c r="S8731" s="10" t="s">
        <v>53</v>
      </c>
      <c r="T8731" s="10" t="s">
        <v>54</v>
      </c>
    </row>
    <row r="8732" spans="1:20" ht="14.5" x14ac:dyDescent="0.35">
      <c r="A8732" s="10" t="s">
        <v>40129</v>
      </c>
      <c r="B8732" s="10" t="str">
        <f>"9781475822878"</f>
        <v>9781475822878</v>
      </c>
      <c r="C8732" s="10" t="str">
        <f>"9781475822885"</f>
        <v>9781475822885</v>
      </c>
      <c r="D8732" s="10" t="s">
        <v>9752</v>
      </c>
      <c r="E8732" s="10" t="s">
        <v>15187</v>
      </c>
      <c r="F8732" s="10" t="s">
        <v>9754</v>
      </c>
      <c r="G8732" s="10" t="s">
        <v>6317</v>
      </c>
      <c r="H8732" s="11">
        <v>42367</v>
      </c>
      <c r="I8732" s="10">
        <v>2015</v>
      </c>
      <c r="J8732" s="10" t="s">
        <v>15187</v>
      </c>
      <c r="K8732" s="10">
        <v>147</v>
      </c>
      <c r="L8732" s="10" t="s">
        <v>40099</v>
      </c>
      <c r="M8732" s="10">
        <v>1</v>
      </c>
      <c r="N8732" s="10"/>
      <c r="O8732" s="10"/>
      <c r="P8732" s="10" t="s">
        <v>40130</v>
      </c>
      <c r="Q8732" s="10">
        <v>371.10199999999998</v>
      </c>
      <c r="R8732" s="10" t="s">
        <v>25244</v>
      </c>
      <c r="S8732" s="10" t="s">
        <v>53</v>
      </c>
      <c r="T8732" s="10" t="s">
        <v>54</v>
      </c>
    </row>
    <row r="8733" spans="1:20" ht="14.5" x14ac:dyDescent="0.35">
      <c r="A8733" s="10" t="s">
        <v>40131</v>
      </c>
      <c r="B8733" s="10" t="str">
        <f>"9781137552303"</f>
        <v>9781137552303</v>
      </c>
      <c r="C8733" s="10" t="str">
        <f>"9781137552310"</f>
        <v>9781137552310</v>
      </c>
      <c r="D8733" s="10" t="s">
        <v>11249</v>
      </c>
      <c r="E8733" s="10" t="s">
        <v>2400</v>
      </c>
      <c r="F8733" s="10" t="s">
        <v>70</v>
      </c>
      <c r="G8733" s="10" t="s">
        <v>6317</v>
      </c>
      <c r="H8733" s="11">
        <v>42312</v>
      </c>
      <c r="I8733" s="10">
        <v>2016</v>
      </c>
      <c r="J8733" s="10" t="s">
        <v>2400</v>
      </c>
      <c r="K8733" s="10">
        <v>297</v>
      </c>
      <c r="L8733" s="10" t="s">
        <v>40132</v>
      </c>
      <c r="M8733" s="10">
        <v>1</v>
      </c>
      <c r="N8733" s="10"/>
      <c r="O8733" s="10"/>
      <c r="P8733" s="10" t="s">
        <v>11270</v>
      </c>
      <c r="Q8733" s="10">
        <v>428.4</v>
      </c>
      <c r="R8733" s="10" t="s">
        <v>11371</v>
      </c>
      <c r="S8733" s="10" t="s">
        <v>53</v>
      </c>
      <c r="T8733" s="10" t="s">
        <v>6634</v>
      </c>
    </row>
    <row r="8734" spans="1:20" ht="14.5" x14ac:dyDescent="0.35">
      <c r="A8734" s="10" t="s">
        <v>40133</v>
      </c>
      <c r="B8734" s="10" t="str">
        <f>"9781498508605"</f>
        <v>9781498508605</v>
      </c>
      <c r="C8734" s="10" t="str">
        <f>"9781498508612"</f>
        <v>9781498508612</v>
      </c>
      <c r="D8734" s="10" t="s">
        <v>9752</v>
      </c>
      <c r="E8734" s="10" t="s">
        <v>15182</v>
      </c>
      <c r="F8734" s="10" t="s">
        <v>3460</v>
      </c>
      <c r="G8734" s="10" t="s">
        <v>6317</v>
      </c>
      <c r="H8734" s="11">
        <v>42352</v>
      </c>
      <c r="I8734" s="10">
        <v>2015</v>
      </c>
      <c r="J8734" s="10" t="s">
        <v>15182</v>
      </c>
      <c r="K8734" s="10">
        <v>159</v>
      </c>
      <c r="L8734" s="10" t="s">
        <v>40134</v>
      </c>
      <c r="M8734" s="10">
        <v>1</v>
      </c>
      <c r="N8734" s="10"/>
      <c r="O8734" s="10"/>
      <c r="P8734" s="10" t="s">
        <v>40135</v>
      </c>
      <c r="Q8734" s="10" t="s">
        <v>40136</v>
      </c>
      <c r="R8734" s="10" t="s">
        <v>40137</v>
      </c>
      <c r="S8734" s="10" t="s">
        <v>53</v>
      </c>
      <c r="T8734" s="10" t="s">
        <v>54</v>
      </c>
    </row>
    <row r="8735" spans="1:20" ht="14.5" x14ac:dyDescent="0.35">
      <c r="A8735" s="10" t="s">
        <v>40138</v>
      </c>
      <c r="B8735" s="10" t="str">
        <f>"9780761867005"</f>
        <v>9780761867005</v>
      </c>
      <c r="C8735" s="10" t="str">
        <f>"9780761867012"</f>
        <v>9780761867012</v>
      </c>
      <c r="D8735" s="10" t="s">
        <v>9752</v>
      </c>
      <c r="E8735" s="10" t="s">
        <v>17176</v>
      </c>
      <c r="F8735" s="10" t="s">
        <v>9754</v>
      </c>
      <c r="G8735" s="10" t="s">
        <v>6317</v>
      </c>
      <c r="H8735" s="11">
        <v>42341</v>
      </c>
      <c r="I8735" s="10">
        <v>2015</v>
      </c>
      <c r="J8735" s="10" t="s">
        <v>17176</v>
      </c>
      <c r="K8735" s="10">
        <v>110</v>
      </c>
      <c r="L8735" s="10" t="s">
        <v>40139</v>
      </c>
      <c r="M8735" s="10">
        <v>1</v>
      </c>
      <c r="N8735" s="10"/>
      <c r="O8735" s="10"/>
      <c r="P8735" s="10" t="s">
        <v>40140</v>
      </c>
      <c r="Q8735" s="10" t="s">
        <v>40141</v>
      </c>
      <c r="R8735" s="10" t="s">
        <v>40142</v>
      </c>
      <c r="S8735" s="10" t="s">
        <v>53</v>
      </c>
      <c r="T8735" s="10" t="s">
        <v>6363</v>
      </c>
    </row>
    <row r="8736" spans="1:20" ht="14.5" x14ac:dyDescent="0.35">
      <c r="A8736" s="10" t="s">
        <v>40143</v>
      </c>
      <c r="B8736" s="10" t="str">
        <f>"9781557537348"</f>
        <v>9781557537348</v>
      </c>
      <c r="C8736" s="10" t="str">
        <f>"9781612494418"</f>
        <v>9781612494418</v>
      </c>
      <c r="D8736" s="10" t="s">
        <v>9533</v>
      </c>
      <c r="E8736" s="10" t="s">
        <v>4024</v>
      </c>
      <c r="F8736" s="10" t="s">
        <v>31319</v>
      </c>
      <c r="G8736" s="10" t="s">
        <v>6317</v>
      </c>
      <c r="H8736" s="11">
        <v>42323</v>
      </c>
      <c r="I8736" s="10">
        <v>2015</v>
      </c>
      <c r="J8736" s="10" t="s">
        <v>4024</v>
      </c>
      <c r="K8736" s="10">
        <v>219</v>
      </c>
      <c r="L8736" s="10" t="s">
        <v>40144</v>
      </c>
      <c r="M8736" s="10">
        <v>1</v>
      </c>
      <c r="N8736" s="10" t="s">
        <v>40145</v>
      </c>
      <c r="O8736" s="10"/>
      <c r="P8736" s="10" t="s">
        <v>40146</v>
      </c>
      <c r="Q8736" s="10" t="s">
        <v>40147</v>
      </c>
      <c r="R8736" s="10" t="s">
        <v>40148</v>
      </c>
      <c r="S8736" s="10" t="s">
        <v>53</v>
      </c>
      <c r="T8736" s="10" t="s">
        <v>6384</v>
      </c>
    </row>
    <row r="8737" spans="1:20" ht="14.5" x14ac:dyDescent="0.35">
      <c r="A8737" s="10" t="s">
        <v>40149</v>
      </c>
      <c r="B8737" s="10" t="str">
        <f>"9781475823530"</f>
        <v>9781475823530</v>
      </c>
      <c r="C8737" s="10" t="str">
        <f>"9781475823547"</f>
        <v>9781475823547</v>
      </c>
      <c r="D8737" s="10" t="s">
        <v>9752</v>
      </c>
      <c r="E8737" s="10" t="s">
        <v>15187</v>
      </c>
      <c r="F8737" s="10" t="s">
        <v>9754</v>
      </c>
      <c r="G8737" s="10" t="s">
        <v>6317</v>
      </c>
      <c r="H8737" s="11">
        <v>42349</v>
      </c>
      <c r="I8737" s="10">
        <v>2015</v>
      </c>
      <c r="J8737" s="10" t="s">
        <v>15187</v>
      </c>
      <c r="K8737" s="10">
        <v>53</v>
      </c>
      <c r="L8737" s="10" t="s">
        <v>40150</v>
      </c>
      <c r="M8737" s="10">
        <v>1</v>
      </c>
      <c r="N8737" s="10" t="s">
        <v>40151</v>
      </c>
      <c r="O8737" s="10"/>
      <c r="P8737" s="10" t="s">
        <v>40152</v>
      </c>
      <c r="Q8737" s="10" t="s">
        <v>7299</v>
      </c>
      <c r="R8737" s="10" t="s">
        <v>40153</v>
      </c>
      <c r="S8737" s="10" t="s">
        <v>53</v>
      </c>
      <c r="T8737" s="10" t="s">
        <v>54</v>
      </c>
    </row>
    <row r="8738" spans="1:20" ht="14.5" x14ac:dyDescent="0.35">
      <c r="A8738" s="10" t="s">
        <v>40154</v>
      </c>
      <c r="B8738" s="10" t="str">
        <f>"9781610483094"</f>
        <v>9781610483094</v>
      </c>
      <c r="C8738" s="10" t="str">
        <f>"9781610483117"</f>
        <v>9781610483117</v>
      </c>
      <c r="D8738" s="10" t="s">
        <v>9752</v>
      </c>
      <c r="E8738" s="10" t="s">
        <v>15187</v>
      </c>
      <c r="F8738" s="10" t="s">
        <v>9754</v>
      </c>
      <c r="G8738" s="10" t="s">
        <v>6317</v>
      </c>
      <c r="H8738" s="11">
        <v>42352</v>
      </c>
      <c r="I8738" s="10">
        <v>2015</v>
      </c>
      <c r="J8738" s="10" t="s">
        <v>15187</v>
      </c>
      <c r="K8738" s="10">
        <v>125</v>
      </c>
      <c r="L8738" s="10" t="s">
        <v>40155</v>
      </c>
      <c r="M8738" s="10">
        <v>1</v>
      </c>
      <c r="N8738" s="10"/>
      <c r="O8738" s="10"/>
      <c r="P8738" s="10" t="s">
        <v>40156</v>
      </c>
      <c r="Q8738" s="10">
        <v>373.11020000000002</v>
      </c>
      <c r="R8738" s="10" t="s">
        <v>23722</v>
      </c>
      <c r="S8738" s="10" t="s">
        <v>53</v>
      </c>
      <c r="T8738" s="10" t="s">
        <v>54</v>
      </c>
    </row>
    <row r="8739" spans="1:20" ht="14.5" x14ac:dyDescent="0.35">
      <c r="A8739" s="10" t="s">
        <v>40157</v>
      </c>
      <c r="B8739" s="10" t="str">
        <f>"9781475821567"</f>
        <v>9781475821567</v>
      </c>
      <c r="C8739" s="10" t="str">
        <f>"9781475814729"</f>
        <v>9781475814729</v>
      </c>
      <c r="D8739" s="10" t="s">
        <v>9752</v>
      </c>
      <c r="E8739" s="10" t="s">
        <v>15187</v>
      </c>
      <c r="F8739" s="10" t="s">
        <v>9754</v>
      </c>
      <c r="G8739" s="10" t="s">
        <v>6317</v>
      </c>
      <c r="H8739" s="11">
        <v>42285</v>
      </c>
      <c r="I8739" s="10">
        <v>2015</v>
      </c>
      <c r="J8739" s="10" t="s">
        <v>15187</v>
      </c>
      <c r="K8739" s="10">
        <v>145</v>
      </c>
      <c r="L8739" s="10" t="s">
        <v>31372</v>
      </c>
      <c r="M8739" s="10">
        <v>1</v>
      </c>
      <c r="N8739" s="10"/>
      <c r="O8739" s="10"/>
      <c r="P8739" s="10" t="s">
        <v>40158</v>
      </c>
      <c r="Q8739" s="10">
        <v>306.87400000000002</v>
      </c>
      <c r="R8739" s="10" t="s">
        <v>8982</v>
      </c>
      <c r="S8739" s="10" t="s">
        <v>53</v>
      </c>
      <c r="T8739" s="10" t="s">
        <v>6363</v>
      </c>
    </row>
    <row r="8740" spans="1:20" ht="14.5" x14ac:dyDescent="0.35">
      <c r="A8740" s="10" t="s">
        <v>40159</v>
      </c>
      <c r="B8740" s="10" t="str">
        <f>"9789400778078"</f>
        <v>9789400778078</v>
      </c>
      <c r="C8740" s="10" t="str">
        <f>"9789400778085"</f>
        <v>9789400778085</v>
      </c>
      <c r="D8740" s="10" t="s">
        <v>11249</v>
      </c>
      <c r="E8740" s="10" t="s">
        <v>12215</v>
      </c>
      <c r="F8740" s="10" t="s">
        <v>206</v>
      </c>
      <c r="G8740" s="10" t="s">
        <v>9233</v>
      </c>
      <c r="H8740" s="11">
        <v>42339</v>
      </c>
      <c r="I8740" s="10">
        <v>2016</v>
      </c>
      <c r="J8740" s="10" t="s">
        <v>13067</v>
      </c>
      <c r="K8740" s="10">
        <v>379</v>
      </c>
      <c r="L8740" s="10" t="s">
        <v>40160</v>
      </c>
      <c r="M8740" s="10">
        <v>1</v>
      </c>
      <c r="N8740" s="10"/>
      <c r="O8740" s="10"/>
      <c r="P8740" s="10" t="s">
        <v>12218</v>
      </c>
      <c r="Q8740" s="10">
        <v>507.10399999999998</v>
      </c>
      <c r="R8740" s="10" t="s">
        <v>40161</v>
      </c>
      <c r="S8740" s="10" t="s">
        <v>53</v>
      </c>
      <c r="T8740" s="10" t="s">
        <v>7193</v>
      </c>
    </row>
    <row r="8741" spans="1:20" ht="14.5" x14ac:dyDescent="0.35">
      <c r="A8741" s="10" t="s">
        <v>40162</v>
      </c>
      <c r="B8741" s="10" t="str">
        <f>"9780826194640"</f>
        <v>9780826194640</v>
      </c>
      <c r="C8741" s="10" t="str">
        <f>"9780826194664"</f>
        <v>9780826194664</v>
      </c>
      <c r="D8741" s="10" t="s">
        <v>3370</v>
      </c>
      <c r="E8741" s="10" t="s">
        <v>10927</v>
      </c>
      <c r="F8741" s="10" t="s">
        <v>70</v>
      </c>
      <c r="G8741" s="10" t="s">
        <v>6317</v>
      </c>
      <c r="H8741" s="11">
        <v>42300</v>
      </c>
      <c r="I8741" s="10">
        <v>2015</v>
      </c>
      <c r="J8741" s="10" t="s">
        <v>10927</v>
      </c>
      <c r="K8741" s="10">
        <v>220</v>
      </c>
      <c r="L8741" s="10" t="s">
        <v>40163</v>
      </c>
      <c r="M8741" s="10">
        <v>1</v>
      </c>
      <c r="N8741" s="10"/>
      <c r="O8741" s="10"/>
      <c r="P8741" s="10" t="s">
        <v>40164</v>
      </c>
      <c r="Q8741" s="10">
        <v>378.19781999999901</v>
      </c>
      <c r="R8741" s="10" t="s">
        <v>40165</v>
      </c>
      <c r="S8741" s="10" t="s">
        <v>53</v>
      </c>
      <c r="T8741" s="10" t="s">
        <v>54</v>
      </c>
    </row>
    <row r="8742" spans="1:20" ht="14.5" x14ac:dyDescent="0.35">
      <c r="A8742" s="10" t="s">
        <v>40166</v>
      </c>
      <c r="B8742" s="10" t="str">
        <f>"9783319220581"</f>
        <v>9783319220581</v>
      </c>
      <c r="C8742" s="10" t="str">
        <f>"9783319220598"</f>
        <v>9783319220598</v>
      </c>
      <c r="D8742" s="10" t="s">
        <v>11249</v>
      </c>
      <c r="E8742" s="10" t="s">
        <v>26623</v>
      </c>
      <c r="F8742" s="10" t="s">
        <v>26624</v>
      </c>
      <c r="G8742" s="10" t="s">
        <v>16676</v>
      </c>
      <c r="H8742" s="11">
        <v>42304</v>
      </c>
      <c r="I8742" s="10">
        <v>2016</v>
      </c>
      <c r="J8742" s="10" t="s">
        <v>13067</v>
      </c>
      <c r="K8742" s="10">
        <v>257</v>
      </c>
      <c r="L8742" s="10" t="s">
        <v>40167</v>
      </c>
      <c r="M8742" s="10">
        <v>1</v>
      </c>
      <c r="N8742" s="10" t="s">
        <v>40168</v>
      </c>
      <c r="O8742" s="10">
        <v>2</v>
      </c>
      <c r="P8742" s="10" t="s">
        <v>11364</v>
      </c>
      <c r="Q8742" s="10">
        <v>379.26</v>
      </c>
      <c r="R8742" s="10" t="s">
        <v>54</v>
      </c>
      <c r="S8742" s="10" t="s">
        <v>53</v>
      </c>
      <c r="T8742" s="10" t="s">
        <v>54</v>
      </c>
    </row>
    <row r="8743" spans="1:20" ht="14.5" x14ac:dyDescent="0.35">
      <c r="A8743" s="10" t="s">
        <v>40169</v>
      </c>
      <c r="B8743" s="10" t="str">
        <f>"9781475817799"</f>
        <v>9781475817799</v>
      </c>
      <c r="C8743" s="10" t="str">
        <f>"9781475817805"</f>
        <v>9781475817805</v>
      </c>
      <c r="D8743" s="10" t="s">
        <v>9752</v>
      </c>
      <c r="E8743" s="10" t="s">
        <v>15187</v>
      </c>
      <c r="F8743" s="10" t="s">
        <v>9754</v>
      </c>
      <c r="G8743" s="10" t="s">
        <v>6317</v>
      </c>
      <c r="H8743" s="11">
        <v>42349</v>
      </c>
      <c r="I8743" s="10">
        <v>2015</v>
      </c>
      <c r="J8743" s="10" t="s">
        <v>15187</v>
      </c>
      <c r="K8743" s="10">
        <v>167</v>
      </c>
      <c r="L8743" s="10" t="s">
        <v>40170</v>
      </c>
      <c r="M8743" s="10">
        <v>1</v>
      </c>
      <c r="N8743" s="10"/>
      <c r="O8743" s="10"/>
      <c r="P8743" s="10" t="s">
        <v>40171</v>
      </c>
      <c r="Q8743" s="10" t="s">
        <v>10077</v>
      </c>
      <c r="R8743" s="10" t="s">
        <v>40172</v>
      </c>
      <c r="S8743" s="10" t="s">
        <v>53</v>
      </c>
      <c r="T8743" s="10" t="s">
        <v>54</v>
      </c>
    </row>
    <row r="8744" spans="1:20" ht="14.5" x14ac:dyDescent="0.35">
      <c r="A8744" s="10" t="s">
        <v>40173</v>
      </c>
      <c r="B8744" s="10" t="str">
        <f>"9781412997836"</f>
        <v>9781412997836</v>
      </c>
      <c r="C8744" s="10" t="str">
        <f>"9781452283708"</f>
        <v>9781452283708</v>
      </c>
      <c r="D8744" s="10" t="s">
        <v>22210</v>
      </c>
      <c r="E8744" s="10" t="s">
        <v>22211</v>
      </c>
      <c r="F8744" s="10" t="s">
        <v>333</v>
      </c>
      <c r="G8744" s="10" t="s">
        <v>6317</v>
      </c>
      <c r="H8744" s="11">
        <v>41009</v>
      </c>
      <c r="I8744" s="10">
        <v>2012</v>
      </c>
      <c r="J8744" s="10" t="s">
        <v>22211</v>
      </c>
      <c r="K8744" s="10">
        <v>217</v>
      </c>
      <c r="L8744" s="10" t="s">
        <v>40174</v>
      </c>
      <c r="M8744" s="10">
        <v>1</v>
      </c>
      <c r="N8744" s="10"/>
      <c r="O8744" s="10"/>
      <c r="P8744" s="10" t="s">
        <v>40175</v>
      </c>
      <c r="Q8744" s="10" t="s">
        <v>6920</v>
      </c>
      <c r="R8744" s="10"/>
      <c r="S8744" s="10" t="s">
        <v>53</v>
      </c>
      <c r="T8744" s="10" t="s">
        <v>54</v>
      </c>
    </row>
    <row r="8745" spans="1:20" ht="14.5" x14ac:dyDescent="0.35">
      <c r="A8745" s="10" t="s">
        <v>40176</v>
      </c>
      <c r="B8745" s="10" t="str">
        <f>"9783110450545"</f>
        <v>9783110450545</v>
      </c>
      <c r="C8745" s="10" t="str">
        <f>"9783110450552"</f>
        <v>9783110450552</v>
      </c>
      <c r="D8745" s="10" t="s">
        <v>9995</v>
      </c>
      <c r="E8745" s="10" t="s">
        <v>2515</v>
      </c>
      <c r="F8745" s="10" t="s">
        <v>28448</v>
      </c>
      <c r="G8745" s="10" t="s">
        <v>9998</v>
      </c>
      <c r="H8745" s="11">
        <v>42384</v>
      </c>
      <c r="I8745" s="10">
        <v>2015</v>
      </c>
      <c r="J8745" s="10" t="s">
        <v>28449</v>
      </c>
      <c r="K8745" s="10">
        <v>168</v>
      </c>
      <c r="L8745" s="10" t="s">
        <v>40177</v>
      </c>
      <c r="M8745" s="10">
        <v>1</v>
      </c>
      <c r="N8745" s="10"/>
      <c r="O8745" s="10"/>
      <c r="P8745" s="10" t="s">
        <v>40178</v>
      </c>
      <c r="Q8745" s="10">
        <v>378.17340000000002</v>
      </c>
      <c r="R8745" s="10" t="s">
        <v>40179</v>
      </c>
      <c r="S8745" s="10" t="s">
        <v>53</v>
      </c>
      <c r="T8745" s="10" t="s">
        <v>54</v>
      </c>
    </row>
    <row r="8746" spans="1:20" ht="14.5" x14ac:dyDescent="0.35">
      <c r="A8746" s="10" t="s">
        <v>40180</v>
      </c>
      <c r="B8746" s="10" t="str">
        <f>"9781118438190"</f>
        <v>9781118438190</v>
      </c>
      <c r="C8746" s="10" t="str">
        <f>"9781119039440"</f>
        <v>9781119039440</v>
      </c>
      <c r="D8746" s="10" t="s">
        <v>6322</v>
      </c>
      <c r="E8746" s="10" t="s">
        <v>6323</v>
      </c>
      <c r="F8746" s="10" t="s">
        <v>4423</v>
      </c>
      <c r="G8746" s="10" t="s">
        <v>6317</v>
      </c>
      <c r="H8746" s="11">
        <v>42121</v>
      </c>
      <c r="I8746" s="10">
        <v>2015</v>
      </c>
      <c r="J8746" s="10" t="s">
        <v>6324</v>
      </c>
      <c r="K8746" s="10">
        <v>275</v>
      </c>
      <c r="L8746" s="10" t="s">
        <v>40181</v>
      </c>
      <c r="M8746" s="10">
        <v>1</v>
      </c>
      <c r="N8746" s="10"/>
      <c r="O8746" s="10"/>
      <c r="P8746" s="10" t="s">
        <v>40182</v>
      </c>
      <c r="Q8746" s="10" t="s">
        <v>16512</v>
      </c>
      <c r="R8746" s="10" t="s">
        <v>40183</v>
      </c>
      <c r="S8746" s="10" t="s">
        <v>53</v>
      </c>
      <c r="T8746" s="10" t="s">
        <v>54</v>
      </c>
    </row>
    <row r="8747" spans="1:20" ht="14.5" x14ac:dyDescent="0.35">
      <c r="A8747" s="10" t="s">
        <v>40184</v>
      </c>
      <c r="B8747" s="10" t="str">
        <f>"9781118825686"</f>
        <v>9781118825686</v>
      </c>
      <c r="C8747" s="10" t="str">
        <f>"9781118825730"</f>
        <v>9781118825730</v>
      </c>
      <c r="D8747" s="10" t="s">
        <v>6322</v>
      </c>
      <c r="E8747" s="10" t="s">
        <v>6323</v>
      </c>
      <c r="F8747" s="10" t="s">
        <v>4423</v>
      </c>
      <c r="G8747" s="10" t="s">
        <v>6317</v>
      </c>
      <c r="H8747" s="11">
        <v>42150</v>
      </c>
      <c r="I8747" s="10">
        <v>2014</v>
      </c>
      <c r="J8747" s="10" t="s">
        <v>6323</v>
      </c>
      <c r="K8747" s="10">
        <v>483</v>
      </c>
      <c r="L8747" s="10"/>
      <c r="M8747" s="10">
        <v>1</v>
      </c>
      <c r="N8747" s="10"/>
      <c r="O8747" s="10"/>
      <c r="P8747" s="10" t="s">
        <v>40185</v>
      </c>
      <c r="Q8747" s="10"/>
      <c r="R8747" s="10" t="s">
        <v>40186</v>
      </c>
      <c r="S8747" s="10" t="s">
        <v>53</v>
      </c>
      <c r="T8747" s="10" t="s">
        <v>54</v>
      </c>
    </row>
    <row r="8748" spans="1:20" ht="14.5" x14ac:dyDescent="0.35">
      <c r="A8748" s="10" t="s">
        <v>40187</v>
      </c>
      <c r="B8748" s="10" t="str">
        <f>"9781119022442"</f>
        <v>9781119022442</v>
      </c>
      <c r="C8748" s="10" t="str">
        <f>"9781119022565"</f>
        <v>9781119022565</v>
      </c>
      <c r="D8748" s="10" t="s">
        <v>6322</v>
      </c>
      <c r="E8748" s="10" t="s">
        <v>6323</v>
      </c>
      <c r="F8748" s="10" t="s">
        <v>4423</v>
      </c>
      <c r="G8748" s="10" t="s">
        <v>6317</v>
      </c>
      <c r="H8748" s="11">
        <v>42212</v>
      </c>
      <c r="I8748" s="10">
        <v>2015</v>
      </c>
      <c r="J8748" s="10" t="s">
        <v>6324</v>
      </c>
      <c r="K8748" s="10">
        <v>237</v>
      </c>
      <c r="L8748" s="10" t="s">
        <v>40188</v>
      </c>
      <c r="M8748" s="10">
        <v>1</v>
      </c>
      <c r="N8748" s="10"/>
      <c r="O8748" s="10"/>
      <c r="P8748" s="10" t="s">
        <v>40189</v>
      </c>
      <c r="Q8748" s="10"/>
      <c r="R8748" s="10" t="s">
        <v>40190</v>
      </c>
      <c r="S8748" s="10" t="s">
        <v>53</v>
      </c>
      <c r="T8748" s="10" t="s">
        <v>54</v>
      </c>
    </row>
    <row r="8749" spans="1:20" ht="14.5" x14ac:dyDescent="0.35">
      <c r="A8749" s="10" t="s">
        <v>40191</v>
      </c>
      <c r="B8749" s="10" t="str">
        <f>"9781498521680"</f>
        <v>9781498521680</v>
      </c>
      <c r="C8749" s="10" t="str">
        <f>"9781498521697"</f>
        <v>9781498521697</v>
      </c>
      <c r="D8749" s="10" t="s">
        <v>9752</v>
      </c>
      <c r="E8749" s="10" t="s">
        <v>15182</v>
      </c>
      <c r="F8749" s="10" t="s">
        <v>3460</v>
      </c>
      <c r="G8749" s="10" t="s">
        <v>6317</v>
      </c>
      <c r="H8749" s="11">
        <v>42362</v>
      </c>
      <c r="I8749" s="10">
        <v>2015</v>
      </c>
      <c r="J8749" s="10" t="s">
        <v>15182</v>
      </c>
      <c r="K8749" s="10">
        <v>175</v>
      </c>
      <c r="L8749" s="10" t="s">
        <v>40192</v>
      </c>
      <c r="M8749" s="10">
        <v>1</v>
      </c>
      <c r="N8749" s="10"/>
      <c r="O8749" s="10"/>
      <c r="P8749" s="10" t="s">
        <v>40193</v>
      </c>
      <c r="Q8749" s="10" t="s">
        <v>33949</v>
      </c>
      <c r="R8749" s="10" t="s">
        <v>40194</v>
      </c>
      <c r="S8749" s="10" t="s">
        <v>53</v>
      </c>
      <c r="T8749" s="10" t="s">
        <v>54</v>
      </c>
    </row>
    <row r="8750" spans="1:20" ht="14.5" x14ac:dyDescent="0.35">
      <c r="A8750" s="10" t="s">
        <v>40195</v>
      </c>
      <c r="B8750" s="10" t="str">
        <f>"9781475821147"</f>
        <v>9781475821147</v>
      </c>
      <c r="C8750" s="10" t="str">
        <f>"9781475821178"</f>
        <v>9781475821178</v>
      </c>
      <c r="D8750" s="10" t="s">
        <v>9752</v>
      </c>
      <c r="E8750" s="10" t="s">
        <v>15187</v>
      </c>
      <c r="F8750" s="10" t="s">
        <v>9754</v>
      </c>
      <c r="G8750" s="10" t="s">
        <v>6317</v>
      </c>
      <c r="H8750" s="11">
        <v>42352</v>
      </c>
      <c r="I8750" s="10">
        <v>2015</v>
      </c>
      <c r="J8750" s="10" t="s">
        <v>15187</v>
      </c>
      <c r="K8750" s="10">
        <v>151</v>
      </c>
      <c r="L8750" s="10" t="s">
        <v>40196</v>
      </c>
      <c r="M8750" s="10">
        <v>1</v>
      </c>
      <c r="N8750" s="10"/>
      <c r="O8750" s="10"/>
      <c r="P8750" s="10" t="s">
        <v>40197</v>
      </c>
      <c r="Q8750" s="10" t="s">
        <v>37759</v>
      </c>
      <c r="R8750" s="10" t="s">
        <v>40198</v>
      </c>
      <c r="S8750" s="10" t="s">
        <v>53</v>
      </c>
      <c r="T8750" s="10" t="s">
        <v>54</v>
      </c>
    </row>
    <row r="8751" spans="1:20" ht="14.5" x14ac:dyDescent="0.35">
      <c r="A8751" s="10" t="s">
        <v>40199</v>
      </c>
      <c r="B8751" s="10" t="str">
        <f>"9781475824568"</f>
        <v>9781475824568</v>
      </c>
      <c r="C8751" s="10" t="str">
        <f>"9781475824582"</f>
        <v>9781475824582</v>
      </c>
      <c r="D8751" s="10" t="s">
        <v>9752</v>
      </c>
      <c r="E8751" s="10" t="s">
        <v>15187</v>
      </c>
      <c r="F8751" s="10" t="s">
        <v>9754</v>
      </c>
      <c r="G8751" s="10" t="s">
        <v>6317</v>
      </c>
      <c r="H8751" s="11">
        <v>42355</v>
      </c>
      <c r="I8751" s="10">
        <v>2015</v>
      </c>
      <c r="J8751" s="10" t="s">
        <v>15187</v>
      </c>
      <c r="K8751" s="10">
        <v>293</v>
      </c>
      <c r="L8751" s="10" t="s">
        <v>40200</v>
      </c>
      <c r="M8751" s="10">
        <v>1</v>
      </c>
      <c r="N8751" s="10"/>
      <c r="O8751" s="10"/>
      <c r="P8751" s="10" t="s">
        <v>19301</v>
      </c>
      <c r="Q8751" s="10">
        <v>371.10199999999998</v>
      </c>
      <c r="R8751" s="10" t="s">
        <v>40201</v>
      </c>
      <c r="S8751" s="10" t="s">
        <v>53</v>
      </c>
      <c r="T8751" s="10" t="s">
        <v>54</v>
      </c>
    </row>
    <row r="8752" spans="1:20" ht="14.5" x14ac:dyDescent="0.35">
      <c r="A8752" s="10" t="s">
        <v>40202</v>
      </c>
      <c r="B8752" s="10" t="str">
        <f>"9781612052090"</f>
        <v>9781612052090</v>
      </c>
      <c r="C8752" s="10" t="str">
        <f>"9781315634678"</f>
        <v>9781315634678</v>
      </c>
      <c r="D8752" s="10" t="s">
        <v>6350</v>
      </c>
      <c r="E8752" s="10" t="s">
        <v>6351</v>
      </c>
      <c r="F8752" s="10" t="s">
        <v>5406</v>
      </c>
      <c r="G8752" s="10" t="s">
        <v>6317</v>
      </c>
      <c r="H8752" s="11">
        <v>41090</v>
      </c>
      <c r="I8752" s="10">
        <v>2013</v>
      </c>
      <c r="J8752" s="10" t="s">
        <v>6353</v>
      </c>
      <c r="K8752" s="10">
        <v>166</v>
      </c>
      <c r="L8752" s="10" t="s">
        <v>24885</v>
      </c>
      <c r="M8752" s="10">
        <v>1</v>
      </c>
      <c r="N8752" s="10" t="s">
        <v>40203</v>
      </c>
      <c r="O8752" s="10"/>
      <c r="P8752" s="10" t="s">
        <v>40204</v>
      </c>
      <c r="Q8752" s="10">
        <v>371.01097299999998</v>
      </c>
      <c r="R8752" s="10" t="s">
        <v>40205</v>
      </c>
      <c r="S8752" s="10" t="s">
        <v>53</v>
      </c>
      <c r="T8752" s="10" t="s">
        <v>54</v>
      </c>
    </row>
    <row r="8753" spans="1:20" ht="14.5" x14ac:dyDescent="0.35">
      <c r="A8753" s="10" t="s">
        <v>40206</v>
      </c>
      <c r="B8753" s="10" t="str">
        <f>"9781612051604"</f>
        <v>9781612051604</v>
      </c>
      <c r="C8753" s="10" t="str">
        <f>"9781315632582"</f>
        <v>9781315632582</v>
      </c>
      <c r="D8753" s="10" t="s">
        <v>6350</v>
      </c>
      <c r="E8753" s="10" t="s">
        <v>6351</v>
      </c>
      <c r="F8753" s="10" t="s">
        <v>748</v>
      </c>
      <c r="G8753" s="10" t="s">
        <v>6352</v>
      </c>
      <c r="H8753" s="11">
        <v>41424</v>
      </c>
      <c r="I8753" s="10">
        <v>2013</v>
      </c>
      <c r="J8753" s="10" t="s">
        <v>6351</v>
      </c>
      <c r="K8753" s="10">
        <v>265</v>
      </c>
      <c r="L8753" s="10" t="s">
        <v>40207</v>
      </c>
      <c r="M8753" s="10">
        <v>1</v>
      </c>
      <c r="N8753" s="10"/>
      <c r="O8753" s="10"/>
      <c r="P8753" s="10" t="s">
        <v>40208</v>
      </c>
      <c r="Q8753" s="10">
        <v>973.09900000000005</v>
      </c>
      <c r="R8753" s="10" t="s">
        <v>40209</v>
      </c>
      <c r="S8753" s="10" t="s">
        <v>53</v>
      </c>
      <c r="T8753" s="10" t="s">
        <v>4490</v>
      </c>
    </row>
    <row r="8754" spans="1:20" ht="14.5" x14ac:dyDescent="0.35">
      <c r="A8754" s="10" t="s">
        <v>40210</v>
      </c>
      <c r="B8754" s="10" t="str">
        <f>"9781612050263"</f>
        <v>9781612050263</v>
      </c>
      <c r="C8754" s="10" t="str">
        <f>"9781315635866"</f>
        <v>9781315635866</v>
      </c>
      <c r="D8754" s="10" t="s">
        <v>6350</v>
      </c>
      <c r="E8754" s="10" t="s">
        <v>6351</v>
      </c>
      <c r="F8754" s="10" t="s">
        <v>139</v>
      </c>
      <c r="G8754" s="10" t="s">
        <v>6352</v>
      </c>
      <c r="H8754" s="11">
        <v>41516</v>
      </c>
      <c r="I8754" s="10">
        <v>2013</v>
      </c>
      <c r="J8754" s="10" t="s">
        <v>6353</v>
      </c>
      <c r="K8754" s="10">
        <v>178</v>
      </c>
      <c r="L8754" s="10" t="s">
        <v>40211</v>
      </c>
      <c r="M8754" s="10">
        <v>1</v>
      </c>
      <c r="N8754" s="10" t="s">
        <v>40212</v>
      </c>
      <c r="O8754" s="10"/>
      <c r="P8754" s="10" t="s">
        <v>16415</v>
      </c>
      <c r="Q8754" s="10">
        <v>370.1</v>
      </c>
      <c r="R8754" s="10" t="s">
        <v>17998</v>
      </c>
      <c r="S8754" s="10" t="s">
        <v>53</v>
      </c>
      <c r="T8754" s="10" t="s">
        <v>54</v>
      </c>
    </row>
    <row r="8755" spans="1:20" ht="14.5" x14ac:dyDescent="0.35">
      <c r="A8755" s="10" t="s">
        <v>40213</v>
      </c>
      <c r="B8755" s="10" t="str">
        <f>"9781594511042"</f>
        <v>9781594511042</v>
      </c>
      <c r="C8755" s="10" t="str">
        <f>"9781315634111"</f>
        <v>9781315634111</v>
      </c>
      <c r="D8755" s="10" t="s">
        <v>6350</v>
      </c>
      <c r="E8755" s="10" t="s">
        <v>6351</v>
      </c>
      <c r="F8755" s="10" t="s">
        <v>748</v>
      </c>
      <c r="G8755" s="10" t="s">
        <v>6352</v>
      </c>
      <c r="H8755" s="11">
        <v>38473</v>
      </c>
      <c r="I8755" s="10">
        <v>2005</v>
      </c>
      <c r="J8755" s="10" t="s">
        <v>6351</v>
      </c>
      <c r="K8755" s="10">
        <v>226</v>
      </c>
      <c r="L8755" s="10" t="s">
        <v>40214</v>
      </c>
      <c r="M8755" s="10">
        <v>1</v>
      </c>
      <c r="N8755" s="10" t="s">
        <v>37434</v>
      </c>
      <c r="O8755" s="10"/>
      <c r="P8755" s="10" t="s">
        <v>40215</v>
      </c>
      <c r="Q8755" s="10">
        <v>372.18290000000002</v>
      </c>
      <c r="R8755" s="10" t="s">
        <v>40216</v>
      </c>
      <c r="S8755" s="10" t="s">
        <v>53</v>
      </c>
      <c r="T8755" s="10" t="s">
        <v>54</v>
      </c>
    </row>
    <row r="8756" spans="1:20" ht="14.5" x14ac:dyDescent="0.35">
      <c r="A8756" s="10" t="s">
        <v>40217</v>
      </c>
      <c r="B8756" s="10" t="str">
        <f>"9781594510649"</f>
        <v>9781594510649</v>
      </c>
      <c r="C8756" s="10" t="str">
        <f>"9781315635033"</f>
        <v>9781315635033</v>
      </c>
      <c r="D8756" s="10" t="s">
        <v>6350</v>
      </c>
      <c r="E8756" s="10" t="s">
        <v>6351</v>
      </c>
      <c r="F8756" s="10" t="s">
        <v>139</v>
      </c>
      <c r="G8756" s="10" t="s">
        <v>6352</v>
      </c>
      <c r="H8756" s="11">
        <v>38247</v>
      </c>
      <c r="I8756" s="10">
        <v>2006</v>
      </c>
      <c r="J8756" s="10" t="s">
        <v>6353</v>
      </c>
      <c r="K8756" s="10">
        <v>270</v>
      </c>
      <c r="L8756" s="10" t="s">
        <v>40218</v>
      </c>
      <c r="M8756" s="10">
        <v>1</v>
      </c>
      <c r="N8756" s="10"/>
      <c r="O8756" s="10"/>
      <c r="P8756" s="10" t="s">
        <v>40219</v>
      </c>
      <c r="Q8756" s="10">
        <v>370.15</v>
      </c>
      <c r="R8756" s="10" t="s">
        <v>39476</v>
      </c>
      <c r="S8756" s="10" t="s">
        <v>53</v>
      </c>
      <c r="T8756" s="10" t="s">
        <v>54</v>
      </c>
    </row>
    <row r="8757" spans="1:20" ht="14.5" x14ac:dyDescent="0.35">
      <c r="A8757" s="10" t="s">
        <v>40220</v>
      </c>
      <c r="B8757" s="10" t="str">
        <f>"9781594516436"</f>
        <v>9781594516436</v>
      </c>
      <c r="C8757" s="10" t="str">
        <f>"9781315633497"</f>
        <v>9781315633497</v>
      </c>
      <c r="D8757" s="10" t="s">
        <v>6350</v>
      </c>
      <c r="E8757" s="10" t="s">
        <v>6351</v>
      </c>
      <c r="F8757" s="10" t="s">
        <v>139</v>
      </c>
      <c r="G8757" s="10" t="s">
        <v>6352</v>
      </c>
      <c r="H8757" s="11">
        <v>40481</v>
      </c>
      <c r="I8757" s="10">
        <v>2010</v>
      </c>
      <c r="J8757" s="10" t="s">
        <v>6353</v>
      </c>
      <c r="K8757" s="10">
        <v>193</v>
      </c>
      <c r="L8757" s="10" t="s">
        <v>40221</v>
      </c>
      <c r="M8757" s="10">
        <v>1</v>
      </c>
      <c r="N8757" s="10" t="s">
        <v>40222</v>
      </c>
      <c r="O8757" s="10"/>
      <c r="P8757" s="10" t="s">
        <v>40223</v>
      </c>
      <c r="Q8757" s="10">
        <v>302.23</v>
      </c>
      <c r="R8757" s="10" t="s">
        <v>40224</v>
      </c>
      <c r="S8757" s="10" t="s">
        <v>53</v>
      </c>
      <c r="T8757" s="10" t="s">
        <v>40225</v>
      </c>
    </row>
    <row r="8758" spans="1:20" ht="14.5" x14ac:dyDescent="0.35">
      <c r="A8758" s="10" t="s">
        <v>40226</v>
      </c>
      <c r="B8758" s="10" t="str">
        <f>"9781612052434"</f>
        <v>9781612052434</v>
      </c>
      <c r="C8758" s="10" t="str">
        <f>"9781315632520"</f>
        <v>9781315632520</v>
      </c>
      <c r="D8758" s="10" t="s">
        <v>6350</v>
      </c>
      <c r="E8758" s="10" t="s">
        <v>6351</v>
      </c>
      <c r="F8758" s="10" t="s">
        <v>748</v>
      </c>
      <c r="G8758" s="10" t="s">
        <v>6352</v>
      </c>
      <c r="H8758" s="11">
        <v>41333</v>
      </c>
      <c r="I8758" s="10">
        <v>2013</v>
      </c>
      <c r="J8758" s="10" t="s">
        <v>6351</v>
      </c>
      <c r="K8758" s="10">
        <v>224</v>
      </c>
      <c r="L8758" s="10" t="s">
        <v>40227</v>
      </c>
      <c r="M8758" s="10">
        <v>1</v>
      </c>
      <c r="N8758" s="10"/>
      <c r="O8758" s="10"/>
      <c r="P8758" s="10" t="s">
        <v>40228</v>
      </c>
      <c r="Q8758" s="10">
        <v>371.01097299999998</v>
      </c>
      <c r="R8758" s="10" t="s">
        <v>40229</v>
      </c>
      <c r="S8758" s="10" t="s">
        <v>53</v>
      </c>
      <c r="T8758" s="10" t="s">
        <v>54</v>
      </c>
    </row>
    <row r="8759" spans="1:20" ht="14.5" x14ac:dyDescent="0.35">
      <c r="A8759" s="10" t="s">
        <v>40230</v>
      </c>
      <c r="B8759" s="10" t="str">
        <f>"9781594516290"</f>
        <v>9781594516290</v>
      </c>
      <c r="C8759" s="10" t="str">
        <f>"9781315631035"</f>
        <v>9781315631035</v>
      </c>
      <c r="D8759" s="10" t="s">
        <v>6350</v>
      </c>
      <c r="E8759" s="10" t="s">
        <v>6351</v>
      </c>
      <c r="F8759" s="10" t="s">
        <v>139</v>
      </c>
      <c r="G8759" s="10" t="s">
        <v>6352</v>
      </c>
      <c r="H8759" s="11">
        <v>40086</v>
      </c>
      <c r="I8759" s="10">
        <v>2010</v>
      </c>
      <c r="J8759" s="10" t="s">
        <v>6353</v>
      </c>
      <c r="K8759" s="10">
        <v>234</v>
      </c>
      <c r="L8759" s="10" t="s">
        <v>40231</v>
      </c>
      <c r="M8759" s="10">
        <v>1</v>
      </c>
      <c r="N8759" s="10" t="s">
        <v>40232</v>
      </c>
      <c r="O8759" s="10"/>
      <c r="P8759" s="10" t="s">
        <v>40233</v>
      </c>
      <c r="Q8759" s="10">
        <v>301.09199999999998</v>
      </c>
      <c r="R8759" s="10" t="s">
        <v>9542</v>
      </c>
      <c r="S8759" s="10" t="s">
        <v>53</v>
      </c>
      <c r="T8759" s="10" t="s">
        <v>6363</v>
      </c>
    </row>
    <row r="8760" spans="1:20" ht="14.5" x14ac:dyDescent="0.35">
      <c r="A8760" s="10" t="s">
        <v>40234</v>
      </c>
      <c r="B8760" s="10" t="str">
        <f>"9781594516856"</f>
        <v>9781594516856</v>
      </c>
      <c r="C8760" s="10" t="str">
        <f>"9781315631271"</f>
        <v>9781315631271</v>
      </c>
      <c r="D8760" s="10" t="s">
        <v>6350</v>
      </c>
      <c r="E8760" s="10" t="s">
        <v>6351</v>
      </c>
      <c r="F8760" s="10" t="s">
        <v>139</v>
      </c>
      <c r="G8760" s="10" t="s">
        <v>6352</v>
      </c>
      <c r="H8760" s="11">
        <v>40816</v>
      </c>
      <c r="I8760" s="10">
        <v>2012</v>
      </c>
      <c r="J8760" s="10" t="s">
        <v>6353</v>
      </c>
      <c r="K8760" s="10">
        <v>179</v>
      </c>
      <c r="L8760" s="10" t="s">
        <v>40235</v>
      </c>
      <c r="M8760" s="10">
        <v>1</v>
      </c>
      <c r="N8760" s="10" t="s">
        <v>40212</v>
      </c>
      <c r="O8760" s="10"/>
      <c r="P8760" s="10" t="s">
        <v>40236</v>
      </c>
      <c r="Q8760" s="10">
        <v>370.28500000000003</v>
      </c>
      <c r="R8760" s="10" t="s">
        <v>40237</v>
      </c>
      <c r="S8760" s="10" t="s">
        <v>53</v>
      </c>
      <c r="T8760" s="10" t="s">
        <v>54</v>
      </c>
    </row>
    <row r="8761" spans="1:20" ht="14.5" x14ac:dyDescent="0.35">
      <c r="A8761" s="10" t="s">
        <v>40238</v>
      </c>
      <c r="B8761" s="10" t="str">
        <f>"9781594519284"</f>
        <v>9781594519284</v>
      </c>
      <c r="C8761" s="10" t="str">
        <f>"9781315631691"</f>
        <v>9781315631691</v>
      </c>
      <c r="D8761" s="10" t="s">
        <v>6350</v>
      </c>
      <c r="E8761" s="10" t="s">
        <v>6351</v>
      </c>
      <c r="F8761" s="10" t="s">
        <v>3967</v>
      </c>
      <c r="G8761" s="10" t="s">
        <v>6352</v>
      </c>
      <c r="H8761" s="11">
        <v>40360</v>
      </c>
      <c r="I8761" s="10">
        <v>2011</v>
      </c>
      <c r="J8761" s="10" t="s">
        <v>6353</v>
      </c>
      <c r="K8761" s="10">
        <v>169</v>
      </c>
      <c r="L8761" s="10" t="s">
        <v>40239</v>
      </c>
      <c r="M8761" s="10">
        <v>1</v>
      </c>
      <c r="N8761" s="10"/>
      <c r="O8761" s="10"/>
      <c r="P8761" s="10"/>
      <c r="Q8761" s="10"/>
      <c r="R8761" s="10" t="s">
        <v>40229</v>
      </c>
      <c r="S8761" s="10" t="s">
        <v>53</v>
      </c>
      <c r="T8761" s="10" t="s">
        <v>54</v>
      </c>
    </row>
    <row r="8762" spans="1:20" ht="14.5" x14ac:dyDescent="0.35">
      <c r="A8762" s="10" t="s">
        <v>40240</v>
      </c>
      <c r="B8762" s="10" t="str">
        <f>"9781594516931"</f>
        <v>9781594516931</v>
      </c>
      <c r="C8762" s="10" t="str">
        <f>"9781315633671"</f>
        <v>9781315633671</v>
      </c>
      <c r="D8762" s="10" t="s">
        <v>6350</v>
      </c>
      <c r="E8762" s="10" t="s">
        <v>6351</v>
      </c>
      <c r="F8762" s="10" t="s">
        <v>139</v>
      </c>
      <c r="G8762" s="10" t="s">
        <v>6352</v>
      </c>
      <c r="H8762" s="11">
        <v>40288</v>
      </c>
      <c r="I8762" s="10">
        <v>2010</v>
      </c>
      <c r="J8762" s="10" t="s">
        <v>6353</v>
      </c>
      <c r="K8762" s="10">
        <v>270</v>
      </c>
      <c r="L8762" s="10" t="s">
        <v>40241</v>
      </c>
      <c r="M8762" s="10">
        <v>1</v>
      </c>
      <c r="N8762" s="10"/>
      <c r="O8762" s="10"/>
      <c r="P8762" s="10" t="s">
        <v>40242</v>
      </c>
      <c r="Q8762" s="10">
        <v>373.11020000000002</v>
      </c>
      <c r="R8762" s="10" t="s">
        <v>40243</v>
      </c>
      <c r="S8762" s="10" t="s">
        <v>53</v>
      </c>
      <c r="T8762" s="10" t="s">
        <v>54</v>
      </c>
    </row>
    <row r="8763" spans="1:20" ht="14.5" x14ac:dyDescent="0.35">
      <c r="A8763" s="10" t="s">
        <v>40244</v>
      </c>
      <c r="B8763" s="10" t="str">
        <f>"9781612052281"</f>
        <v>9781612052281</v>
      </c>
      <c r="C8763" s="10" t="str">
        <f>"9781315631738"</f>
        <v>9781315631738</v>
      </c>
      <c r="D8763" s="10" t="s">
        <v>6350</v>
      </c>
      <c r="E8763" s="10" t="s">
        <v>6351</v>
      </c>
      <c r="F8763" s="10" t="s">
        <v>139</v>
      </c>
      <c r="G8763" s="10" t="s">
        <v>6352</v>
      </c>
      <c r="H8763" s="11">
        <v>41182</v>
      </c>
      <c r="I8763" s="10">
        <v>2013</v>
      </c>
      <c r="J8763" s="10" t="s">
        <v>6353</v>
      </c>
      <c r="K8763" s="10">
        <v>252</v>
      </c>
      <c r="L8763" s="10" t="s">
        <v>40245</v>
      </c>
      <c r="M8763" s="10">
        <v>1</v>
      </c>
      <c r="N8763" s="10"/>
      <c r="O8763" s="10"/>
      <c r="P8763" s="10" t="s">
        <v>40246</v>
      </c>
      <c r="Q8763" s="10" t="s">
        <v>7335</v>
      </c>
      <c r="R8763" s="10" t="s">
        <v>40247</v>
      </c>
      <c r="S8763" s="10" t="s">
        <v>53</v>
      </c>
      <c r="T8763" s="10" t="s">
        <v>54</v>
      </c>
    </row>
    <row r="8764" spans="1:20" ht="14.5" x14ac:dyDescent="0.35">
      <c r="A8764" s="10" t="s">
        <v>40248</v>
      </c>
      <c r="B8764" s="10" t="str">
        <f>"9781594511066"</f>
        <v>9781594511066</v>
      </c>
      <c r="C8764" s="10" t="str">
        <f>"9781315635644"</f>
        <v>9781315635644</v>
      </c>
      <c r="D8764" s="10" t="s">
        <v>6350</v>
      </c>
      <c r="E8764" s="10" t="s">
        <v>6351</v>
      </c>
      <c r="F8764" s="10" t="s">
        <v>139</v>
      </c>
      <c r="G8764" s="10" t="s">
        <v>6352</v>
      </c>
      <c r="H8764" s="11">
        <v>38533</v>
      </c>
      <c r="I8764" s="10">
        <v>2005</v>
      </c>
      <c r="J8764" s="10" t="s">
        <v>6353</v>
      </c>
      <c r="K8764" s="10">
        <v>182</v>
      </c>
      <c r="L8764" s="10" t="s">
        <v>40249</v>
      </c>
      <c r="M8764" s="10">
        <v>1</v>
      </c>
      <c r="N8764" s="10"/>
      <c r="O8764" s="10"/>
      <c r="P8764" s="10" t="s">
        <v>40250</v>
      </c>
      <c r="Q8764" s="10" t="s">
        <v>31863</v>
      </c>
      <c r="R8764" s="10" t="s">
        <v>40251</v>
      </c>
      <c r="S8764" s="10" t="s">
        <v>53</v>
      </c>
      <c r="T8764" s="10" t="s">
        <v>54</v>
      </c>
    </row>
    <row r="8765" spans="1:20" ht="14.5" x14ac:dyDescent="0.35">
      <c r="A8765" s="10" t="s">
        <v>40252</v>
      </c>
      <c r="B8765" s="10" t="str">
        <f>"9781594519642"</f>
        <v>9781594519642</v>
      </c>
      <c r="C8765" s="10" t="str">
        <f>"9781315635132"</f>
        <v>9781315635132</v>
      </c>
      <c r="D8765" s="10" t="s">
        <v>6350</v>
      </c>
      <c r="E8765" s="10" t="s">
        <v>6351</v>
      </c>
      <c r="F8765" s="10" t="s">
        <v>139</v>
      </c>
      <c r="G8765" s="10" t="s">
        <v>6352</v>
      </c>
      <c r="H8765" s="11">
        <v>40907</v>
      </c>
      <c r="I8765" s="10">
        <v>2012</v>
      </c>
      <c r="J8765" s="10" t="s">
        <v>6353</v>
      </c>
      <c r="K8765" s="10">
        <v>172</v>
      </c>
      <c r="L8765" s="10" t="s">
        <v>40253</v>
      </c>
      <c r="M8765" s="10">
        <v>1</v>
      </c>
      <c r="N8765" s="10"/>
      <c r="O8765" s="10"/>
      <c r="P8765" s="10" t="s">
        <v>40254</v>
      </c>
      <c r="Q8765" s="10" t="s">
        <v>40255</v>
      </c>
      <c r="R8765" s="10" t="s">
        <v>40256</v>
      </c>
      <c r="S8765" s="10" t="s">
        <v>53</v>
      </c>
      <c r="T8765" s="10" t="s">
        <v>54</v>
      </c>
    </row>
    <row r="8766" spans="1:20" ht="14.5" x14ac:dyDescent="0.35">
      <c r="A8766" s="10" t="s">
        <v>40257</v>
      </c>
      <c r="B8766" s="10" t="str">
        <f>"9781853466496"</f>
        <v>9781853466496</v>
      </c>
      <c r="C8766" s="10" t="str">
        <f>"9781315068756"</f>
        <v>9781315068756</v>
      </c>
      <c r="D8766" s="10" t="s">
        <v>6350</v>
      </c>
      <c r="E8766" s="10" t="s">
        <v>6351</v>
      </c>
      <c r="F8766" s="10" t="s">
        <v>748</v>
      </c>
      <c r="G8766" s="10" t="s">
        <v>6352</v>
      </c>
      <c r="H8766" s="11">
        <v>37463</v>
      </c>
      <c r="I8766" s="10">
        <v>2002</v>
      </c>
      <c r="J8766" s="10" t="s">
        <v>6351</v>
      </c>
      <c r="K8766" s="10">
        <v>145</v>
      </c>
      <c r="L8766" s="10" t="s">
        <v>40258</v>
      </c>
      <c r="M8766" s="10">
        <v>1</v>
      </c>
      <c r="N8766" s="10"/>
      <c r="O8766" s="10"/>
      <c r="P8766" s="10" t="s">
        <v>40259</v>
      </c>
      <c r="Q8766" s="10">
        <v>371.2</v>
      </c>
      <c r="R8766" s="10" t="s">
        <v>25215</v>
      </c>
      <c r="S8766" s="10" t="s">
        <v>53</v>
      </c>
      <c r="T8766" s="10" t="s">
        <v>54</v>
      </c>
    </row>
    <row r="8767" spans="1:20" ht="14.5" x14ac:dyDescent="0.35">
      <c r="A8767" s="10" t="s">
        <v>40260</v>
      </c>
      <c r="B8767" s="10" t="str">
        <f>"9781594518881"</f>
        <v>9781594518881</v>
      </c>
      <c r="C8767" s="10" t="str">
        <f>"9781315636184"</f>
        <v>9781315636184</v>
      </c>
      <c r="D8767" s="10" t="s">
        <v>6350</v>
      </c>
      <c r="E8767" s="10" t="s">
        <v>6351</v>
      </c>
      <c r="F8767" s="10" t="s">
        <v>139</v>
      </c>
      <c r="G8767" s="10" t="s">
        <v>6352</v>
      </c>
      <c r="H8767" s="11">
        <v>40512</v>
      </c>
      <c r="I8767" s="10">
        <v>2011</v>
      </c>
      <c r="J8767" s="10" t="s">
        <v>6353</v>
      </c>
      <c r="K8767" s="10">
        <v>165</v>
      </c>
      <c r="L8767" s="10" t="s">
        <v>40261</v>
      </c>
      <c r="M8767" s="10">
        <v>1</v>
      </c>
      <c r="N8767" s="10" t="s">
        <v>40262</v>
      </c>
      <c r="O8767" s="10"/>
      <c r="P8767" s="10" t="s">
        <v>40263</v>
      </c>
      <c r="Q8767" s="10">
        <v>378.73</v>
      </c>
      <c r="R8767" s="10" t="s">
        <v>15331</v>
      </c>
      <c r="S8767" s="10" t="s">
        <v>53</v>
      </c>
      <c r="T8767" s="10" t="s">
        <v>54</v>
      </c>
    </row>
    <row r="8768" spans="1:20" ht="14.5" x14ac:dyDescent="0.35">
      <c r="A8768" s="10" t="s">
        <v>40264</v>
      </c>
      <c r="B8768" s="10" t="str">
        <f>"9781594512087"</f>
        <v>9781594512087</v>
      </c>
      <c r="C8768" s="10" t="str">
        <f>"9781315635880"</f>
        <v>9781315635880</v>
      </c>
      <c r="D8768" s="10" t="s">
        <v>6350</v>
      </c>
      <c r="E8768" s="10" t="s">
        <v>6351</v>
      </c>
      <c r="F8768" s="10" t="s">
        <v>139</v>
      </c>
      <c r="G8768" s="10" t="s">
        <v>6352</v>
      </c>
      <c r="H8768" s="11">
        <v>40573</v>
      </c>
      <c r="I8768" s="10">
        <v>2011</v>
      </c>
      <c r="J8768" s="10" t="s">
        <v>6353</v>
      </c>
      <c r="K8768" s="10">
        <v>344</v>
      </c>
      <c r="L8768" s="10" t="s">
        <v>40265</v>
      </c>
      <c r="M8768" s="10">
        <v>1</v>
      </c>
      <c r="N8768" s="10"/>
      <c r="O8768" s="10"/>
      <c r="P8768" s="10" t="s">
        <v>40266</v>
      </c>
      <c r="Q8768" s="10">
        <v>371.90973000000002</v>
      </c>
      <c r="R8768" s="10" t="s">
        <v>40267</v>
      </c>
      <c r="S8768" s="10" t="s">
        <v>53</v>
      </c>
      <c r="T8768" s="10" t="s">
        <v>54</v>
      </c>
    </row>
    <row r="8769" spans="1:20" ht="14.5" x14ac:dyDescent="0.35">
      <c r="A8769" s="10" t="s">
        <v>40268</v>
      </c>
      <c r="B8769" s="10" t="str">
        <f>"9781594516993"</f>
        <v>9781594516993</v>
      </c>
      <c r="C8769" s="10" t="str">
        <f>"9781315634593"</f>
        <v>9781315634593</v>
      </c>
      <c r="D8769" s="10" t="s">
        <v>6350</v>
      </c>
      <c r="E8769" s="10" t="s">
        <v>6351</v>
      </c>
      <c r="F8769" s="10" t="s">
        <v>139</v>
      </c>
      <c r="G8769" s="10" t="s">
        <v>6352</v>
      </c>
      <c r="H8769" s="11">
        <v>40024</v>
      </c>
      <c r="I8769" s="10">
        <v>2010</v>
      </c>
      <c r="J8769" s="10" t="s">
        <v>6353</v>
      </c>
      <c r="K8769" s="10">
        <v>203</v>
      </c>
      <c r="L8769" s="10" t="s">
        <v>40269</v>
      </c>
      <c r="M8769" s="10">
        <v>1</v>
      </c>
      <c r="N8769" s="10" t="s">
        <v>37434</v>
      </c>
      <c r="O8769" s="10"/>
      <c r="P8769" s="10" t="s">
        <v>40270</v>
      </c>
      <c r="Q8769" s="10" t="s">
        <v>15602</v>
      </c>
      <c r="R8769" s="10" t="s">
        <v>40271</v>
      </c>
      <c r="S8769" s="10" t="s">
        <v>53</v>
      </c>
      <c r="T8769" s="10" t="s">
        <v>54</v>
      </c>
    </row>
    <row r="8770" spans="1:20" ht="14.5" x14ac:dyDescent="0.35">
      <c r="A8770" s="10" t="s">
        <v>40272</v>
      </c>
      <c r="B8770" s="10" t="str">
        <f>"9781594519062"</f>
        <v>9781594519062</v>
      </c>
      <c r="C8770" s="10" t="str">
        <f>"9781315634975"</f>
        <v>9781315634975</v>
      </c>
      <c r="D8770" s="10" t="s">
        <v>6350</v>
      </c>
      <c r="E8770" s="10" t="s">
        <v>6351</v>
      </c>
      <c r="F8770" s="10" t="s">
        <v>139</v>
      </c>
      <c r="G8770" s="10" t="s">
        <v>6352</v>
      </c>
      <c r="H8770" s="11">
        <v>40512</v>
      </c>
      <c r="I8770" s="10">
        <v>2011</v>
      </c>
      <c r="J8770" s="10" t="s">
        <v>6353</v>
      </c>
      <c r="K8770" s="10">
        <v>233</v>
      </c>
      <c r="L8770" s="10" t="s">
        <v>40273</v>
      </c>
      <c r="M8770" s="10">
        <v>1</v>
      </c>
      <c r="N8770" s="10" t="s">
        <v>40274</v>
      </c>
      <c r="O8770" s="10"/>
      <c r="P8770" s="10" t="s">
        <v>40275</v>
      </c>
      <c r="Q8770" s="10">
        <v>362.61</v>
      </c>
      <c r="R8770" s="10" t="s">
        <v>40276</v>
      </c>
      <c r="S8770" s="10" t="s">
        <v>53</v>
      </c>
      <c r="T8770" s="10" t="s">
        <v>8493</v>
      </c>
    </row>
    <row r="8771" spans="1:20" ht="14.5" x14ac:dyDescent="0.35">
      <c r="A8771" s="10" t="s">
        <v>40277</v>
      </c>
      <c r="B8771" s="10" t="str">
        <f>"9781594511141"</f>
        <v>9781594511141</v>
      </c>
      <c r="C8771" s="10" t="str">
        <f>"9781315632575"</f>
        <v>9781315632575</v>
      </c>
      <c r="D8771" s="10" t="s">
        <v>6350</v>
      </c>
      <c r="E8771" s="10" t="s">
        <v>6351</v>
      </c>
      <c r="F8771" s="10" t="s">
        <v>139</v>
      </c>
      <c r="G8771" s="10" t="s">
        <v>6352</v>
      </c>
      <c r="H8771" s="11">
        <v>38518</v>
      </c>
      <c r="I8771" s="10">
        <v>2005</v>
      </c>
      <c r="J8771" s="10" t="s">
        <v>6353</v>
      </c>
      <c r="K8771" s="10">
        <v>236</v>
      </c>
      <c r="L8771" s="10" t="s">
        <v>40278</v>
      </c>
      <c r="M8771" s="10">
        <v>1</v>
      </c>
      <c r="N8771" s="10"/>
      <c r="O8771" s="10"/>
      <c r="P8771" s="10" t="s">
        <v>40279</v>
      </c>
      <c r="Q8771" s="10" t="s">
        <v>32577</v>
      </c>
      <c r="R8771" s="10" t="s">
        <v>40205</v>
      </c>
      <c r="S8771" s="10" t="s">
        <v>53</v>
      </c>
      <c r="T8771" s="10" t="s">
        <v>54</v>
      </c>
    </row>
    <row r="8772" spans="1:20" ht="14.5" x14ac:dyDescent="0.35">
      <c r="A8772" s="10" t="s">
        <v>40280</v>
      </c>
      <c r="B8772" s="10" t="str">
        <f>"9781594512599"</f>
        <v>9781594512599</v>
      </c>
      <c r="C8772" s="10" t="str">
        <f>"9781315634067"</f>
        <v>9781315634067</v>
      </c>
      <c r="D8772" s="10" t="s">
        <v>6350</v>
      </c>
      <c r="E8772" s="10" t="s">
        <v>6351</v>
      </c>
      <c r="F8772" s="10" t="s">
        <v>3967</v>
      </c>
      <c r="G8772" s="10" t="s">
        <v>6352</v>
      </c>
      <c r="H8772" s="11">
        <v>38791</v>
      </c>
      <c r="I8772" s="10">
        <v>2006</v>
      </c>
      <c r="J8772" s="10" t="s">
        <v>6353</v>
      </c>
      <c r="K8772" s="10">
        <v>405</v>
      </c>
      <c r="L8772" s="10" t="s">
        <v>40281</v>
      </c>
      <c r="M8772" s="10">
        <v>1</v>
      </c>
      <c r="N8772" s="10"/>
      <c r="O8772" s="10"/>
      <c r="P8772" s="10"/>
      <c r="Q8772" s="10"/>
      <c r="R8772" s="10" t="s">
        <v>40282</v>
      </c>
      <c r="S8772" s="10" t="s">
        <v>53</v>
      </c>
      <c r="T8772" s="10" t="s">
        <v>54</v>
      </c>
    </row>
    <row r="8773" spans="1:20" ht="14.5" x14ac:dyDescent="0.35">
      <c r="A8773" s="10" t="s">
        <v>40283</v>
      </c>
      <c r="B8773" s="10" t="str">
        <f>"9781594510724"</f>
        <v>9781594510724</v>
      </c>
      <c r="C8773" s="10" t="str">
        <f>"9781315634982"</f>
        <v>9781315634982</v>
      </c>
      <c r="D8773" s="10" t="s">
        <v>6350</v>
      </c>
      <c r="E8773" s="10" t="s">
        <v>6351</v>
      </c>
      <c r="F8773" s="10" t="s">
        <v>139</v>
      </c>
      <c r="G8773" s="10" t="s">
        <v>6352</v>
      </c>
      <c r="H8773" s="11">
        <v>38321</v>
      </c>
      <c r="I8773" s="10">
        <v>2007</v>
      </c>
      <c r="J8773" s="10" t="s">
        <v>6353</v>
      </c>
      <c r="K8773" s="10">
        <v>292</v>
      </c>
      <c r="L8773" s="10" t="s">
        <v>21887</v>
      </c>
      <c r="M8773" s="10">
        <v>1</v>
      </c>
      <c r="N8773" s="10"/>
      <c r="O8773" s="10"/>
      <c r="P8773" s="10" t="s">
        <v>40284</v>
      </c>
      <c r="Q8773" s="10">
        <v>370.11500000000001</v>
      </c>
      <c r="R8773" s="10" t="s">
        <v>40285</v>
      </c>
      <c r="S8773" s="10" t="s">
        <v>53</v>
      </c>
      <c r="T8773" s="10" t="s">
        <v>54</v>
      </c>
    </row>
    <row r="8774" spans="1:20" ht="14.5" x14ac:dyDescent="0.35">
      <c r="A8774" s="10" t="s">
        <v>40286</v>
      </c>
      <c r="B8774" s="10" t="str">
        <f>"9781594510441"</f>
        <v>9781594510441</v>
      </c>
      <c r="C8774" s="10" t="str">
        <f>"9781315632391"</f>
        <v>9781315632391</v>
      </c>
      <c r="D8774" s="10" t="s">
        <v>6350</v>
      </c>
      <c r="E8774" s="10" t="s">
        <v>6351</v>
      </c>
      <c r="F8774" s="10" t="s">
        <v>139</v>
      </c>
      <c r="G8774" s="10" t="s">
        <v>6352</v>
      </c>
      <c r="H8774" s="11">
        <v>38126</v>
      </c>
      <c r="I8774" s="10">
        <v>2004</v>
      </c>
      <c r="J8774" s="10" t="s">
        <v>6353</v>
      </c>
      <c r="K8774" s="10">
        <v>188</v>
      </c>
      <c r="L8774" s="10" t="s">
        <v>40287</v>
      </c>
      <c r="M8774" s="10">
        <v>1</v>
      </c>
      <c r="N8774" s="10"/>
      <c r="O8774" s="10"/>
      <c r="P8774" s="10" t="s">
        <v>40288</v>
      </c>
      <c r="Q8774" s="10" t="s">
        <v>40289</v>
      </c>
      <c r="R8774" s="10" t="s">
        <v>40290</v>
      </c>
      <c r="S8774" s="10" t="s">
        <v>53</v>
      </c>
      <c r="T8774" s="10" t="s">
        <v>54</v>
      </c>
    </row>
    <row r="8775" spans="1:20" ht="14.5" x14ac:dyDescent="0.35">
      <c r="A8775" s="10" t="s">
        <v>40291</v>
      </c>
      <c r="B8775" s="10" t="str">
        <f>"9781475818369"</f>
        <v>9781475818369</v>
      </c>
      <c r="C8775" s="10" t="str">
        <f>"9781475818376"</f>
        <v>9781475818376</v>
      </c>
      <c r="D8775" s="10" t="s">
        <v>9752</v>
      </c>
      <c r="E8775" s="10" t="s">
        <v>15187</v>
      </c>
      <c r="F8775" s="10" t="s">
        <v>9754</v>
      </c>
      <c r="G8775" s="10" t="s">
        <v>6317</v>
      </c>
      <c r="H8775" s="11">
        <v>42352</v>
      </c>
      <c r="I8775" s="10">
        <v>2015</v>
      </c>
      <c r="J8775" s="10" t="s">
        <v>15187</v>
      </c>
      <c r="K8775" s="10">
        <v>169</v>
      </c>
      <c r="L8775" s="10" t="s">
        <v>40292</v>
      </c>
      <c r="M8775" s="10">
        <v>1</v>
      </c>
      <c r="N8775" s="10"/>
      <c r="O8775" s="10"/>
      <c r="P8775" s="10" t="s">
        <v>40293</v>
      </c>
      <c r="Q8775" s="10">
        <v>821.3</v>
      </c>
      <c r="R8775" s="10" t="s">
        <v>40294</v>
      </c>
      <c r="S8775" s="10" t="s">
        <v>53</v>
      </c>
      <c r="T8775" s="10" t="s">
        <v>1166</v>
      </c>
    </row>
    <row r="8776" spans="1:20" ht="14.5" x14ac:dyDescent="0.35">
      <c r="A8776" s="10" t="s">
        <v>40295</v>
      </c>
      <c r="B8776" s="10" t="str">
        <f>"9781475824605"</f>
        <v>9781475824605</v>
      </c>
      <c r="C8776" s="10" t="str">
        <f>"9781475824612"</f>
        <v>9781475824612</v>
      </c>
      <c r="D8776" s="10" t="s">
        <v>9752</v>
      </c>
      <c r="E8776" s="10" t="s">
        <v>15187</v>
      </c>
      <c r="F8776" s="10" t="s">
        <v>9754</v>
      </c>
      <c r="G8776" s="10" t="s">
        <v>6317</v>
      </c>
      <c r="H8776" s="11">
        <v>42352</v>
      </c>
      <c r="I8776" s="10">
        <v>2015</v>
      </c>
      <c r="J8776" s="10" t="s">
        <v>15187</v>
      </c>
      <c r="K8776" s="10">
        <v>177</v>
      </c>
      <c r="L8776" s="10" t="s">
        <v>40296</v>
      </c>
      <c r="M8776" s="10">
        <v>1</v>
      </c>
      <c r="N8776" s="10"/>
      <c r="O8776" s="10"/>
      <c r="P8776" s="10" t="s">
        <v>40297</v>
      </c>
      <c r="Q8776" s="10" t="s">
        <v>15735</v>
      </c>
      <c r="R8776" s="10" t="s">
        <v>40298</v>
      </c>
      <c r="S8776" s="10" t="s">
        <v>53</v>
      </c>
      <c r="T8776" s="10" t="s">
        <v>54</v>
      </c>
    </row>
    <row r="8777" spans="1:20" ht="14.5" x14ac:dyDescent="0.35">
      <c r="A8777" s="10" t="s">
        <v>40299</v>
      </c>
      <c r="B8777" s="10" t="str">
        <f>"9788759317907"</f>
        <v>9788759317907</v>
      </c>
      <c r="C8777" s="10" t="str">
        <f>"9788759321676"</f>
        <v>9788759321676</v>
      </c>
      <c r="D8777" s="10" t="s">
        <v>37567</v>
      </c>
      <c r="E8777" s="10" t="s">
        <v>37567</v>
      </c>
      <c r="F8777" s="10" t="s">
        <v>37568</v>
      </c>
      <c r="G8777" s="10" t="s">
        <v>37405</v>
      </c>
      <c r="H8777" s="11">
        <v>41470</v>
      </c>
      <c r="I8777" s="10">
        <v>2013</v>
      </c>
      <c r="J8777" s="10" t="s">
        <v>37567</v>
      </c>
      <c r="K8777" s="10">
        <v>385</v>
      </c>
      <c r="L8777" s="10" t="s">
        <v>40300</v>
      </c>
      <c r="M8777" s="10">
        <v>1</v>
      </c>
      <c r="N8777" s="10"/>
      <c r="O8777" s="10"/>
      <c r="P8777" s="10" t="s">
        <v>40301</v>
      </c>
      <c r="Q8777" s="10">
        <v>808.06</v>
      </c>
      <c r="R8777" s="10" t="s">
        <v>40302</v>
      </c>
      <c r="S8777" s="10" t="s">
        <v>53</v>
      </c>
      <c r="T8777" s="10" t="s">
        <v>6568</v>
      </c>
    </row>
    <row r="8778" spans="1:20" ht="14.5" x14ac:dyDescent="0.35">
      <c r="A8778" s="10" t="s">
        <v>40303</v>
      </c>
      <c r="B8778" s="10" t="str">
        <f>"9781472586377"</f>
        <v>9781472586377</v>
      </c>
      <c r="C8778" s="10" t="str">
        <f>"9781472586391"</f>
        <v>9781472586391</v>
      </c>
      <c r="D8778" s="10" t="s">
        <v>13959</v>
      </c>
      <c r="E8778" s="10" t="s">
        <v>13960</v>
      </c>
      <c r="F8778" s="10" t="s">
        <v>139</v>
      </c>
      <c r="G8778" s="10" t="s">
        <v>6352</v>
      </c>
      <c r="H8778" s="11">
        <v>42425</v>
      </c>
      <c r="I8778" s="10">
        <v>2016</v>
      </c>
      <c r="J8778" s="10" t="s">
        <v>14057</v>
      </c>
      <c r="K8778" s="10">
        <v>265</v>
      </c>
      <c r="L8778" s="10" t="s">
        <v>40304</v>
      </c>
      <c r="M8778" s="10">
        <v>1</v>
      </c>
      <c r="N8778" s="10"/>
      <c r="O8778" s="10"/>
      <c r="P8778" s="10" t="s">
        <v>13844</v>
      </c>
      <c r="Q8778" s="10">
        <v>371.2</v>
      </c>
      <c r="R8778" s="10" t="s">
        <v>6543</v>
      </c>
      <c r="S8778" s="10" t="s">
        <v>53</v>
      </c>
      <c r="T8778" s="10" t="s">
        <v>54</v>
      </c>
    </row>
    <row r="8779" spans="1:20" ht="14.5" x14ac:dyDescent="0.35">
      <c r="A8779" s="10" t="s">
        <v>40305</v>
      </c>
      <c r="B8779" s="10" t="str">
        <f>"9781118988305"</f>
        <v>9781118988305</v>
      </c>
      <c r="C8779" s="10" t="str">
        <f>"9781119005865"</f>
        <v>9781119005865</v>
      </c>
      <c r="D8779" s="10" t="s">
        <v>6322</v>
      </c>
      <c r="E8779" s="10" t="s">
        <v>6323</v>
      </c>
      <c r="F8779" s="10" t="s">
        <v>4423</v>
      </c>
      <c r="G8779" s="10" t="s">
        <v>6317</v>
      </c>
      <c r="H8779" s="11">
        <v>42303</v>
      </c>
      <c r="I8779" s="10">
        <v>2016</v>
      </c>
      <c r="J8779" s="10" t="s">
        <v>6324</v>
      </c>
      <c r="K8779" s="10">
        <v>205</v>
      </c>
      <c r="L8779" s="10" t="s">
        <v>40306</v>
      </c>
      <c r="M8779" s="10">
        <v>2</v>
      </c>
      <c r="N8779" s="10"/>
      <c r="O8779" s="10"/>
      <c r="P8779" s="10"/>
      <c r="Q8779" s="10">
        <v>378.73</v>
      </c>
      <c r="R8779" s="10" t="s">
        <v>40307</v>
      </c>
      <c r="S8779" s="10" t="s">
        <v>53</v>
      </c>
      <c r="T8779" s="10" t="s">
        <v>54</v>
      </c>
    </row>
    <row r="8780" spans="1:20" ht="14.5" x14ac:dyDescent="0.35">
      <c r="A8780" s="10" t="s">
        <v>40308</v>
      </c>
      <c r="B8780" s="10" t="str">
        <f>"9781119205586"</f>
        <v>9781119205586</v>
      </c>
      <c r="C8780" s="10" t="str">
        <f>"9781119205678"</f>
        <v>9781119205678</v>
      </c>
      <c r="D8780" s="10" t="s">
        <v>6322</v>
      </c>
      <c r="E8780" s="10" t="s">
        <v>6323</v>
      </c>
      <c r="F8780" s="10" t="s">
        <v>1168</v>
      </c>
      <c r="G8780" s="10" t="s">
        <v>6317</v>
      </c>
      <c r="H8780" s="11">
        <v>42289</v>
      </c>
      <c r="I8780" s="10">
        <v>2015</v>
      </c>
      <c r="J8780" s="10" t="s">
        <v>6324</v>
      </c>
      <c r="K8780" s="10">
        <v>106</v>
      </c>
      <c r="L8780" s="10" t="s">
        <v>40309</v>
      </c>
      <c r="M8780" s="10">
        <v>1</v>
      </c>
      <c r="N8780" s="10" t="s">
        <v>23322</v>
      </c>
      <c r="O8780" s="10"/>
      <c r="P8780" s="10" t="s">
        <v>40310</v>
      </c>
      <c r="Q8780" s="10">
        <v>378.19799999999998</v>
      </c>
      <c r="R8780" s="10" t="s">
        <v>40311</v>
      </c>
      <c r="S8780" s="10" t="s">
        <v>53</v>
      </c>
      <c r="T8780" s="10" t="s">
        <v>54</v>
      </c>
    </row>
    <row r="8781" spans="1:20" ht="14.5" x14ac:dyDescent="0.35">
      <c r="A8781" s="10" t="s">
        <v>40312</v>
      </c>
      <c r="B8781" s="10" t="str">
        <f>"9781119215080"</f>
        <v>9781119215080</v>
      </c>
      <c r="C8781" s="10" t="str">
        <f>"9781119215172"</f>
        <v>9781119215172</v>
      </c>
      <c r="D8781" s="10" t="s">
        <v>6322</v>
      </c>
      <c r="E8781" s="10" t="s">
        <v>6323</v>
      </c>
      <c r="F8781" s="10" t="s">
        <v>1168</v>
      </c>
      <c r="G8781" s="10" t="s">
        <v>6317</v>
      </c>
      <c r="H8781" s="11">
        <v>42359</v>
      </c>
      <c r="I8781" s="10">
        <v>2015</v>
      </c>
      <c r="J8781" s="10" t="s">
        <v>6324</v>
      </c>
      <c r="K8781" s="10">
        <v>107</v>
      </c>
      <c r="L8781" s="10" t="s">
        <v>27448</v>
      </c>
      <c r="M8781" s="10">
        <v>1</v>
      </c>
      <c r="N8781" s="10" t="s">
        <v>20707</v>
      </c>
      <c r="O8781" s="10"/>
      <c r="P8781" s="10" t="s">
        <v>40313</v>
      </c>
      <c r="Q8781" s="10">
        <v>374.97300000000001</v>
      </c>
      <c r="R8781" s="10" t="s">
        <v>40314</v>
      </c>
      <c r="S8781" s="10" t="s">
        <v>53</v>
      </c>
      <c r="T8781" s="10" t="s">
        <v>54</v>
      </c>
    </row>
    <row r="8782" spans="1:20" ht="14.5" x14ac:dyDescent="0.35">
      <c r="A8782" s="10" t="s">
        <v>40315</v>
      </c>
      <c r="B8782" s="10" t="str">
        <f>"9781119216018"</f>
        <v>9781119216018</v>
      </c>
      <c r="C8782" s="10" t="str">
        <f>"9781119216025"</f>
        <v>9781119216025</v>
      </c>
      <c r="D8782" s="10" t="s">
        <v>6322</v>
      </c>
      <c r="E8782" s="10" t="s">
        <v>6323</v>
      </c>
      <c r="F8782" s="10" t="s">
        <v>4423</v>
      </c>
      <c r="G8782" s="10" t="s">
        <v>6317</v>
      </c>
      <c r="H8782" s="11">
        <v>42359</v>
      </c>
      <c r="I8782" s="10">
        <v>2015</v>
      </c>
      <c r="J8782" s="10" t="s">
        <v>6324</v>
      </c>
      <c r="K8782" s="10">
        <v>122</v>
      </c>
      <c r="L8782" s="10" t="s">
        <v>40316</v>
      </c>
      <c r="M8782" s="10">
        <v>1</v>
      </c>
      <c r="N8782" s="10" t="s">
        <v>22922</v>
      </c>
      <c r="O8782" s="10"/>
      <c r="P8782" s="10"/>
      <c r="Q8782" s="10"/>
      <c r="R8782" s="10" t="s">
        <v>12199</v>
      </c>
      <c r="S8782" s="10" t="s">
        <v>53</v>
      </c>
      <c r="T8782" s="10" t="s">
        <v>54</v>
      </c>
    </row>
    <row r="8783" spans="1:20" ht="14.5" x14ac:dyDescent="0.35">
      <c r="A8783" s="10" t="s">
        <v>40317</v>
      </c>
      <c r="B8783" s="10" t="str">
        <f>"9781119193821"</f>
        <v>9781119193821</v>
      </c>
      <c r="C8783" s="10" t="str">
        <f>"9781119193753"</f>
        <v>9781119193753</v>
      </c>
      <c r="D8783" s="10" t="s">
        <v>6322</v>
      </c>
      <c r="E8783" s="10" t="s">
        <v>6323</v>
      </c>
      <c r="F8783" s="10" t="s">
        <v>4423</v>
      </c>
      <c r="G8783" s="10" t="s">
        <v>6317</v>
      </c>
      <c r="H8783" s="11">
        <v>42359</v>
      </c>
      <c r="I8783" s="10">
        <v>2015</v>
      </c>
      <c r="J8783" s="10" t="s">
        <v>6324</v>
      </c>
      <c r="K8783" s="10">
        <v>134</v>
      </c>
      <c r="L8783" s="10" t="s">
        <v>40318</v>
      </c>
      <c r="M8783" s="10">
        <v>1</v>
      </c>
      <c r="N8783" s="10" t="s">
        <v>25112</v>
      </c>
      <c r="O8783" s="10"/>
      <c r="P8783" s="10"/>
      <c r="Q8783" s="10"/>
      <c r="R8783" s="10" t="s">
        <v>40319</v>
      </c>
      <c r="S8783" s="10" t="s">
        <v>53</v>
      </c>
      <c r="T8783" s="10" t="s">
        <v>6526</v>
      </c>
    </row>
    <row r="8784" spans="1:20" ht="14.5" x14ac:dyDescent="0.35">
      <c r="A8784" s="10" t="s">
        <v>40320</v>
      </c>
      <c r="B8784" s="10" t="str">
        <f>"9781849057943"</f>
        <v>9781849057943</v>
      </c>
      <c r="C8784" s="10" t="str">
        <f>"9781784500740"</f>
        <v>9781784500740</v>
      </c>
      <c r="D8784" s="10" t="s">
        <v>10516</v>
      </c>
      <c r="E8784" s="10" t="s">
        <v>10516</v>
      </c>
      <c r="F8784" s="10" t="s">
        <v>139</v>
      </c>
      <c r="G8784" s="10" t="s">
        <v>6352</v>
      </c>
      <c r="H8784" s="11">
        <v>42329</v>
      </c>
      <c r="I8784" s="10">
        <v>2015</v>
      </c>
      <c r="J8784" s="10" t="s">
        <v>10516</v>
      </c>
      <c r="K8784" s="10">
        <v>546</v>
      </c>
      <c r="L8784" s="10" t="s">
        <v>40321</v>
      </c>
      <c r="M8784" s="10">
        <v>1</v>
      </c>
      <c r="N8784" s="10"/>
      <c r="O8784" s="10"/>
      <c r="P8784" s="10" t="s">
        <v>40322</v>
      </c>
      <c r="Q8784" s="10">
        <v>371.94</v>
      </c>
      <c r="R8784" s="10"/>
      <c r="S8784" s="10" t="s">
        <v>53</v>
      </c>
      <c r="T8784" s="10" t="s">
        <v>54</v>
      </c>
    </row>
    <row r="8785" spans="1:20" ht="14.5" x14ac:dyDescent="0.35">
      <c r="A8785" s="10" t="s">
        <v>40323</v>
      </c>
      <c r="B8785" s="10" t="str">
        <f>"9781849057493"</f>
        <v>9781849057493</v>
      </c>
      <c r="C8785" s="10" t="str">
        <f>"9781784501969"</f>
        <v>9781784501969</v>
      </c>
      <c r="D8785" s="10" t="s">
        <v>10516</v>
      </c>
      <c r="E8785" s="10" t="s">
        <v>10516</v>
      </c>
      <c r="F8785" s="10" t="s">
        <v>139</v>
      </c>
      <c r="G8785" s="10" t="s">
        <v>6352</v>
      </c>
      <c r="H8785" s="11">
        <v>42329</v>
      </c>
      <c r="I8785" s="10">
        <v>2015</v>
      </c>
      <c r="J8785" s="10" t="s">
        <v>10516</v>
      </c>
      <c r="K8785" s="10">
        <v>266</v>
      </c>
      <c r="L8785" s="10" t="s">
        <v>40324</v>
      </c>
      <c r="M8785" s="10">
        <v>1</v>
      </c>
      <c r="N8785" s="10"/>
      <c r="O8785" s="10"/>
      <c r="P8785" s="10" t="s">
        <v>40325</v>
      </c>
      <c r="Q8785" s="10">
        <v>618.9</v>
      </c>
      <c r="R8785" s="10"/>
      <c r="S8785" s="10" t="s">
        <v>53</v>
      </c>
      <c r="T8785" s="10" t="s">
        <v>8681</v>
      </c>
    </row>
    <row r="8786" spans="1:20" ht="14.5" x14ac:dyDescent="0.35">
      <c r="A8786" s="10" t="s">
        <v>40326</v>
      </c>
      <c r="B8786" s="10" t="str">
        <f>"9780128008553"</f>
        <v>9780128008553</v>
      </c>
      <c r="C8786" s="10" t="str">
        <f>"9780128011287"</f>
        <v>9780128011287</v>
      </c>
      <c r="D8786" s="10" t="s">
        <v>8547</v>
      </c>
      <c r="E8786" s="10" t="s">
        <v>8548</v>
      </c>
      <c r="F8786" s="10" t="s">
        <v>1232</v>
      </c>
      <c r="G8786" s="10" t="s">
        <v>6317</v>
      </c>
      <c r="H8786" s="11">
        <v>42355</v>
      </c>
      <c r="I8786" s="10">
        <v>2016</v>
      </c>
      <c r="J8786" s="10" t="s">
        <v>1231</v>
      </c>
      <c r="K8786" s="10">
        <v>439</v>
      </c>
      <c r="L8786" s="10" t="s">
        <v>40327</v>
      </c>
      <c r="M8786" s="10">
        <v>1</v>
      </c>
      <c r="N8786" s="10"/>
      <c r="O8786" s="10"/>
      <c r="P8786" s="10"/>
      <c r="Q8786" s="10">
        <v>378.12099999999998</v>
      </c>
      <c r="R8786" s="10" t="s">
        <v>40328</v>
      </c>
      <c r="S8786" s="10" t="s">
        <v>53</v>
      </c>
      <c r="T8786" s="10" t="s">
        <v>54</v>
      </c>
    </row>
    <row r="8787" spans="1:20" ht="14.5" x14ac:dyDescent="0.35">
      <c r="A8787" s="10" t="s">
        <v>40329</v>
      </c>
      <c r="B8787" s="10" t="str">
        <f>"9782806268082"</f>
        <v>9782806268082</v>
      </c>
      <c r="C8787" s="10" t="str">
        <f>"9782806268075"</f>
        <v>9782806268075</v>
      </c>
      <c r="D8787" s="10" t="s">
        <v>29172</v>
      </c>
      <c r="E8787" s="10" t="s">
        <v>29173</v>
      </c>
      <c r="F8787" s="10" t="s">
        <v>29181</v>
      </c>
      <c r="G8787" s="10" t="s">
        <v>28737</v>
      </c>
      <c r="H8787" s="11">
        <v>42340</v>
      </c>
      <c r="I8787" s="10">
        <v>2015</v>
      </c>
      <c r="J8787" s="10" t="s">
        <v>29175</v>
      </c>
      <c r="K8787" s="10">
        <v>14</v>
      </c>
      <c r="L8787" s="10" t="s">
        <v>39824</v>
      </c>
      <c r="M8787" s="10">
        <v>1</v>
      </c>
      <c r="N8787" s="10" t="s">
        <v>29177</v>
      </c>
      <c r="O8787" s="10"/>
      <c r="P8787" s="10"/>
      <c r="Q8787" s="10"/>
      <c r="R8787" s="10" t="s">
        <v>40330</v>
      </c>
      <c r="S8787" s="10" t="s">
        <v>5404</v>
      </c>
      <c r="T8787" s="10" t="s">
        <v>29186</v>
      </c>
    </row>
    <row r="8788" spans="1:20" ht="14.5" x14ac:dyDescent="0.35">
      <c r="A8788" s="10" t="s">
        <v>40331</v>
      </c>
      <c r="B8788" s="10" t="str">
        <f>"9782806270986"</f>
        <v>9782806270986</v>
      </c>
      <c r="C8788" s="10" t="str">
        <f>"9782806270979"</f>
        <v>9782806270979</v>
      </c>
      <c r="D8788" s="10" t="s">
        <v>29172</v>
      </c>
      <c r="E8788" s="10" t="s">
        <v>29173</v>
      </c>
      <c r="F8788" s="10" t="s">
        <v>29181</v>
      </c>
      <c r="G8788" s="10" t="s">
        <v>28737</v>
      </c>
      <c r="H8788" s="11">
        <v>42340</v>
      </c>
      <c r="I8788" s="10">
        <v>2015</v>
      </c>
      <c r="J8788" s="10" t="s">
        <v>29175</v>
      </c>
      <c r="K8788" s="10">
        <v>16</v>
      </c>
      <c r="L8788" s="10" t="s">
        <v>40332</v>
      </c>
      <c r="M8788" s="10">
        <v>1</v>
      </c>
      <c r="N8788" s="10" t="s">
        <v>29177</v>
      </c>
      <c r="O8788" s="10"/>
      <c r="P8788" s="10"/>
      <c r="Q8788" s="10"/>
      <c r="R8788" s="10" t="s">
        <v>40333</v>
      </c>
      <c r="S8788" s="10" t="s">
        <v>5404</v>
      </c>
      <c r="T8788" s="10" t="s">
        <v>29186</v>
      </c>
    </row>
    <row r="8789" spans="1:20" ht="14.5" x14ac:dyDescent="0.35">
      <c r="A8789" s="10" t="s">
        <v>40334</v>
      </c>
      <c r="B8789" s="10" t="str">
        <f>"9782806267986"</f>
        <v>9782806267986</v>
      </c>
      <c r="C8789" s="10" t="str">
        <f>"9782806267979"</f>
        <v>9782806267979</v>
      </c>
      <c r="D8789" s="10" t="s">
        <v>29172</v>
      </c>
      <c r="E8789" s="10" t="s">
        <v>29173</v>
      </c>
      <c r="F8789" s="10" t="s">
        <v>29181</v>
      </c>
      <c r="G8789" s="10" t="s">
        <v>28737</v>
      </c>
      <c r="H8789" s="11">
        <v>42340</v>
      </c>
      <c r="I8789" s="10">
        <v>2015</v>
      </c>
      <c r="J8789" s="10" t="s">
        <v>29175</v>
      </c>
      <c r="K8789" s="10">
        <v>15</v>
      </c>
      <c r="L8789" s="10" t="s">
        <v>39822</v>
      </c>
      <c r="M8789" s="10">
        <v>1</v>
      </c>
      <c r="N8789" s="10" t="s">
        <v>29177</v>
      </c>
      <c r="O8789" s="10"/>
      <c r="P8789" s="10"/>
      <c r="Q8789" s="10"/>
      <c r="R8789" s="10" t="s">
        <v>13858</v>
      </c>
      <c r="S8789" s="10" t="s">
        <v>5404</v>
      </c>
      <c r="T8789" s="10" t="s">
        <v>29186</v>
      </c>
    </row>
    <row r="8790" spans="1:20" ht="14.5" x14ac:dyDescent="0.35">
      <c r="A8790" s="10" t="s">
        <v>40335</v>
      </c>
      <c r="B8790" s="10" t="str">
        <f>"9781475820843"</f>
        <v>9781475820843</v>
      </c>
      <c r="C8790" s="10" t="str">
        <f>"9781475820867"</f>
        <v>9781475820867</v>
      </c>
      <c r="D8790" s="10" t="s">
        <v>9752</v>
      </c>
      <c r="E8790" s="10" t="s">
        <v>15187</v>
      </c>
      <c r="F8790" s="10" t="s">
        <v>9754</v>
      </c>
      <c r="G8790" s="10" t="s">
        <v>6317</v>
      </c>
      <c r="H8790" s="11">
        <v>42353</v>
      </c>
      <c r="I8790" s="10">
        <v>2015</v>
      </c>
      <c r="J8790" s="10" t="s">
        <v>15187</v>
      </c>
      <c r="K8790" s="10">
        <v>195</v>
      </c>
      <c r="L8790" s="10" t="s">
        <v>40336</v>
      </c>
      <c r="M8790" s="10">
        <v>1</v>
      </c>
      <c r="N8790" s="10"/>
      <c r="O8790" s="10"/>
      <c r="P8790" s="10" t="s">
        <v>40337</v>
      </c>
      <c r="Q8790" s="10" t="s">
        <v>9298</v>
      </c>
      <c r="R8790" s="10" t="s">
        <v>14413</v>
      </c>
      <c r="S8790" s="10" t="s">
        <v>53</v>
      </c>
      <c r="T8790" s="10" t="s">
        <v>54</v>
      </c>
    </row>
    <row r="8791" spans="1:20" ht="14.5" x14ac:dyDescent="0.35">
      <c r="A8791" s="10" t="s">
        <v>40338</v>
      </c>
      <c r="B8791" s="10" t="str">
        <f>"9781475823363"</f>
        <v>9781475823363</v>
      </c>
      <c r="C8791" s="10" t="str">
        <f>"9781475823370"</f>
        <v>9781475823370</v>
      </c>
      <c r="D8791" s="10" t="s">
        <v>9752</v>
      </c>
      <c r="E8791" s="10" t="s">
        <v>15187</v>
      </c>
      <c r="F8791" s="10" t="s">
        <v>9754</v>
      </c>
      <c r="G8791" s="10" t="s">
        <v>6317</v>
      </c>
      <c r="H8791" s="11">
        <v>42325</v>
      </c>
      <c r="I8791" s="10">
        <v>2015</v>
      </c>
      <c r="J8791" s="10" t="s">
        <v>15187</v>
      </c>
      <c r="K8791" s="10">
        <v>151</v>
      </c>
      <c r="L8791" s="10" t="s">
        <v>40339</v>
      </c>
      <c r="M8791" s="10">
        <v>1</v>
      </c>
      <c r="N8791" s="10"/>
      <c r="O8791" s="10"/>
      <c r="P8791" s="10"/>
      <c r="Q8791" s="10">
        <v>371.01097299999998</v>
      </c>
      <c r="R8791" s="10" t="s">
        <v>39872</v>
      </c>
      <c r="S8791" s="10" t="s">
        <v>53</v>
      </c>
      <c r="T8791" s="10" t="s">
        <v>54</v>
      </c>
    </row>
    <row r="8792" spans="1:20" ht="14.5" x14ac:dyDescent="0.35">
      <c r="A8792" s="10" t="s">
        <v>40340</v>
      </c>
      <c r="B8792" s="10" t="str">
        <f>"9781498525046"</f>
        <v>9781498525046</v>
      </c>
      <c r="C8792" s="10" t="str">
        <f>"9781498525053"</f>
        <v>9781498525053</v>
      </c>
      <c r="D8792" s="10" t="s">
        <v>9752</v>
      </c>
      <c r="E8792" s="10" t="s">
        <v>15182</v>
      </c>
      <c r="F8792" s="10" t="s">
        <v>3460</v>
      </c>
      <c r="G8792" s="10" t="s">
        <v>6317</v>
      </c>
      <c r="H8792" s="11">
        <v>42368</v>
      </c>
      <c r="I8792" s="10">
        <v>2015</v>
      </c>
      <c r="J8792" s="10" t="s">
        <v>15182</v>
      </c>
      <c r="K8792" s="10">
        <v>165</v>
      </c>
      <c r="L8792" s="10" t="s">
        <v>40341</v>
      </c>
      <c r="M8792" s="10">
        <v>1</v>
      </c>
      <c r="N8792" s="10"/>
      <c r="O8792" s="10"/>
      <c r="P8792" s="10" t="s">
        <v>40342</v>
      </c>
      <c r="Q8792" s="10">
        <v>378.00972999999999</v>
      </c>
      <c r="R8792" s="10" t="s">
        <v>40343</v>
      </c>
      <c r="S8792" s="10" t="s">
        <v>53</v>
      </c>
      <c r="T8792" s="10" t="s">
        <v>54</v>
      </c>
    </row>
    <row r="8793" spans="1:20" ht="14.5" x14ac:dyDescent="0.35">
      <c r="A8793" s="10" t="s">
        <v>40344</v>
      </c>
      <c r="B8793" s="10" t="str">
        <f>"9780826491015"</f>
        <v>9780826491015</v>
      </c>
      <c r="C8793" s="10" t="str">
        <f>"9781441100375"</f>
        <v>9781441100375</v>
      </c>
      <c r="D8793" s="10" t="s">
        <v>13959</v>
      </c>
      <c r="E8793" s="10" t="s">
        <v>13960</v>
      </c>
      <c r="F8793" s="10" t="s">
        <v>139</v>
      </c>
      <c r="G8793" s="10" t="s">
        <v>6352</v>
      </c>
      <c r="H8793" s="11">
        <v>39060</v>
      </c>
      <c r="I8793" s="10">
        <v>2006</v>
      </c>
      <c r="J8793" s="10" t="s">
        <v>13961</v>
      </c>
      <c r="K8793" s="10">
        <v>161</v>
      </c>
      <c r="L8793" s="10" t="s">
        <v>6403</v>
      </c>
      <c r="M8793" s="10">
        <v>1</v>
      </c>
      <c r="N8793" s="10" t="s">
        <v>17023</v>
      </c>
      <c r="O8793" s="10"/>
      <c r="P8793" s="10" t="s">
        <v>40345</v>
      </c>
      <c r="Q8793" s="10">
        <v>372.18950000000001</v>
      </c>
      <c r="R8793" s="10" t="s">
        <v>40346</v>
      </c>
      <c r="S8793" s="10" t="s">
        <v>53</v>
      </c>
      <c r="T8793" s="10" t="s">
        <v>54</v>
      </c>
    </row>
    <row r="8794" spans="1:20" ht="14.5" x14ac:dyDescent="0.35">
      <c r="A8794" s="10" t="s">
        <v>40347</v>
      </c>
      <c r="B8794" s="10" t="str">
        <f>"9780826449207"</f>
        <v>9780826449207</v>
      </c>
      <c r="C8794" s="10" t="str">
        <f>"9781441161208"</f>
        <v>9781441161208</v>
      </c>
      <c r="D8794" s="10" t="s">
        <v>13959</v>
      </c>
      <c r="E8794" s="10" t="s">
        <v>13960</v>
      </c>
      <c r="F8794" s="10" t="s">
        <v>139</v>
      </c>
      <c r="G8794" s="10" t="s">
        <v>6352</v>
      </c>
      <c r="H8794" s="11">
        <v>36922</v>
      </c>
      <c r="I8794" s="10">
        <v>2001</v>
      </c>
      <c r="J8794" s="10" t="s">
        <v>13961</v>
      </c>
      <c r="K8794" s="10">
        <v>241</v>
      </c>
      <c r="L8794" s="10" t="s">
        <v>40348</v>
      </c>
      <c r="M8794" s="10">
        <v>1</v>
      </c>
      <c r="N8794" s="10"/>
      <c r="O8794" s="10"/>
      <c r="P8794" s="10" t="s">
        <v>40349</v>
      </c>
      <c r="Q8794" s="10" t="s">
        <v>40350</v>
      </c>
      <c r="R8794" s="10" t="s">
        <v>40351</v>
      </c>
      <c r="S8794" s="10" t="s">
        <v>53</v>
      </c>
      <c r="T8794" s="10" t="s">
        <v>483</v>
      </c>
    </row>
    <row r="8795" spans="1:20" ht="14.5" x14ac:dyDescent="0.35">
      <c r="A8795" s="10" t="s">
        <v>40352</v>
      </c>
      <c r="B8795" s="10" t="str">
        <f>"9780826488657"</f>
        <v>9780826488657</v>
      </c>
      <c r="C8795" s="10" t="str">
        <f>"9781441165206"</f>
        <v>9781441165206</v>
      </c>
      <c r="D8795" s="10" t="s">
        <v>13959</v>
      </c>
      <c r="E8795" s="10" t="s">
        <v>13960</v>
      </c>
      <c r="F8795" s="10" t="s">
        <v>139</v>
      </c>
      <c r="G8795" s="10" t="s">
        <v>6352</v>
      </c>
      <c r="H8795" s="11">
        <v>38831</v>
      </c>
      <c r="I8795" s="10">
        <v>2006</v>
      </c>
      <c r="J8795" s="10" t="s">
        <v>13961</v>
      </c>
      <c r="K8795" s="10">
        <v>141</v>
      </c>
      <c r="L8795" s="10" t="s">
        <v>40353</v>
      </c>
      <c r="M8795" s="10">
        <v>1</v>
      </c>
      <c r="N8795" s="10" t="s">
        <v>16569</v>
      </c>
      <c r="O8795" s="10"/>
      <c r="P8795" s="10" t="s">
        <v>40354</v>
      </c>
      <c r="Q8795" s="10">
        <v>371.9</v>
      </c>
      <c r="R8795" s="10" t="s">
        <v>17317</v>
      </c>
      <c r="S8795" s="10" t="s">
        <v>53</v>
      </c>
      <c r="T8795" s="10" t="s">
        <v>54</v>
      </c>
    </row>
    <row r="8796" spans="1:20" ht="14.5" x14ac:dyDescent="0.35">
      <c r="A8796" s="10" t="s">
        <v>40355</v>
      </c>
      <c r="B8796" s="10" t="str">
        <f>"9780826487544"</f>
        <v>9780826487544</v>
      </c>
      <c r="C8796" s="10" t="str">
        <f>"9781441171177"</f>
        <v>9781441171177</v>
      </c>
      <c r="D8796" s="10" t="s">
        <v>13959</v>
      </c>
      <c r="E8796" s="10" t="s">
        <v>13960</v>
      </c>
      <c r="F8796" s="10" t="s">
        <v>139</v>
      </c>
      <c r="G8796" s="10" t="s">
        <v>6352</v>
      </c>
      <c r="H8796" s="11">
        <v>38642</v>
      </c>
      <c r="I8796" s="10">
        <v>2005</v>
      </c>
      <c r="J8796" s="10" t="s">
        <v>13961</v>
      </c>
      <c r="K8796" s="10">
        <v>287</v>
      </c>
      <c r="L8796" s="10" t="s">
        <v>40356</v>
      </c>
      <c r="M8796" s="10">
        <v>1</v>
      </c>
      <c r="N8796" s="10"/>
      <c r="O8796" s="10"/>
      <c r="P8796" s="10" t="s">
        <v>40357</v>
      </c>
      <c r="Q8796" s="10">
        <v>370.1</v>
      </c>
      <c r="R8796" s="10" t="s">
        <v>17321</v>
      </c>
      <c r="S8796" s="10" t="s">
        <v>53</v>
      </c>
      <c r="T8796" s="10" t="s">
        <v>54</v>
      </c>
    </row>
    <row r="8797" spans="1:20" ht="14.5" x14ac:dyDescent="0.35">
      <c r="A8797" s="10" t="s">
        <v>40358</v>
      </c>
      <c r="B8797" s="10" t="str">
        <f>"9780826470690"</f>
        <v>9780826470690</v>
      </c>
      <c r="C8797" s="10" t="str">
        <f>"9781441198655"</f>
        <v>9781441198655</v>
      </c>
      <c r="D8797" s="10" t="s">
        <v>13959</v>
      </c>
      <c r="E8797" s="10" t="s">
        <v>13960</v>
      </c>
      <c r="F8797" s="10" t="s">
        <v>139</v>
      </c>
      <c r="G8797" s="10" t="s">
        <v>6352</v>
      </c>
      <c r="H8797" s="11">
        <v>37926</v>
      </c>
      <c r="I8797" s="10">
        <v>2003</v>
      </c>
      <c r="J8797" s="10" t="s">
        <v>13961</v>
      </c>
      <c r="K8797" s="10">
        <v>113</v>
      </c>
      <c r="L8797" s="10" t="s">
        <v>40359</v>
      </c>
      <c r="M8797" s="10">
        <v>1</v>
      </c>
      <c r="N8797" s="10" t="s">
        <v>14223</v>
      </c>
      <c r="O8797" s="10"/>
      <c r="P8797" s="10">
        <v>2004298434</v>
      </c>
      <c r="Q8797" s="10">
        <v>371.10019</v>
      </c>
      <c r="R8797" s="10" t="s">
        <v>40360</v>
      </c>
      <c r="S8797" s="10" t="s">
        <v>53</v>
      </c>
      <c r="T8797" s="10" t="s">
        <v>54</v>
      </c>
    </row>
    <row r="8798" spans="1:20" ht="14.5" x14ac:dyDescent="0.35">
      <c r="A8798" s="10" t="s">
        <v>40361</v>
      </c>
      <c r="B8798" s="10" t="str">
        <f>"9781855391239"</f>
        <v>9781855391239</v>
      </c>
      <c r="C8798" s="10" t="str">
        <f>"9781855395312"</f>
        <v>9781855395312</v>
      </c>
      <c r="D8798" s="10" t="s">
        <v>13959</v>
      </c>
      <c r="E8798" s="10" t="s">
        <v>13960</v>
      </c>
      <c r="F8798" s="10" t="s">
        <v>139</v>
      </c>
      <c r="G8798" s="10" t="s">
        <v>6352</v>
      </c>
      <c r="H8798" s="11">
        <v>37500</v>
      </c>
      <c r="I8798" s="10">
        <v>2002</v>
      </c>
      <c r="J8798" s="10" t="s">
        <v>14120</v>
      </c>
      <c r="K8798" s="10">
        <v>81</v>
      </c>
      <c r="L8798" s="10" t="s">
        <v>40362</v>
      </c>
      <c r="M8798" s="10">
        <v>1</v>
      </c>
      <c r="N8798" s="10"/>
      <c r="O8798" s="10"/>
      <c r="P8798" s="10" t="s">
        <v>40363</v>
      </c>
      <c r="Q8798" s="10">
        <v>372.86799999999999</v>
      </c>
      <c r="R8798" s="10" t="s">
        <v>40364</v>
      </c>
      <c r="S8798" s="10" t="s">
        <v>53</v>
      </c>
      <c r="T8798" s="10" t="s">
        <v>6752</v>
      </c>
    </row>
    <row r="8799" spans="1:20" ht="14.5" x14ac:dyDescent="0.35">
      <c r="A8799" s="10" t="s">
        <v>40365</v>
      </c>
      <c r="B8799" s="10" t="str">
        <f>"9781472568250"</f>
        <v>9781472568250</v>
      </c>
      <c r="C8799" s="10" t="str">
        <f>"9781472568274"</f>
        <v>9781472568274</v>
      </c>
      <c r="D8799" s="10" t="s">
        <v>13959</v>
      </c>
      <c r="E8799" s="10" t="s">
        <v>13960</v>
      </c>
      <c r="F8799" s="10" t="s">
        <v>139</v>
      </c>
      <c r="G8799" s="10" t="s">
        <v>6352</v>
      </c>
      <c r="H8799" s="11">
        <v>42425</v>
      </c>
      <c r="I8799" s="10">
        <v>2016</v>
      </c>
      <c r="J8799" s="10" t="s">
        <v>14057</v>
      </c>
      <c r="K8799" s="10">
        <v>241</v>
      </c>
      <c r="L8799" s="10" t="s">
        <v>14101</v>
      </c>
      <c r="M8799" s="10">
        <v>1</v>
      </c>
      <c r="N8799" s="10"/>
      <c r="O8799" s="10"/>
      <c r="P8799" s="10" t="s">
        <v>40366</v>
      </c>
      <c r="Q8799" s="10">
        <v>371.2</v>
      </c>
      <c r="R8799" s="10" t="s">
        <v>18815</v>
      </c>
      <c r="S8799" s="10" t="s">
        <v>53</v>
      </c>
      <c r="T8799" s="10" t="s">
        <v>54</v>
      </c>
    </row>
    <row r="8800" spans="1:20" ht="14.5" x14ac:dyDescent="0.35">
      <c r="A8800" s="10" t="s">
        <v>40367</v>
      </c>
      <c r="B8800" s="10" t="str">
        <f>"9781598577549"</f>
        <v>9781598577549</v>
      </c>
      <c r="C8800" s="10" t="str">
        <f>"9781598578034"</f>
        <v>9781598578034</v>
      </c>
      <c r="D8800" s="10" t="s">
        <v>28876</v>
      </c>
      <c r="E8800" s="10" t="s">
        <v>28877</v>
      </c>
      <c r="F8800" s="10" t="s">
        <v>885</v>
      </c>
      <c r="G8800" s="10" t="s">
        <v>6317</v>
      </c>
      <c r="H8800" s="11">
        <v>42370</v>
      </c>
      <c r="I8800" s="10">
        <v>2016</v>
      </c>
      <c r="J8800" s="10" t="s">
        <v>28877</v>
      </c>
      <c r="K8800" s="10">
        <v>243</v>
      </c>
      <c r="L8800" s="10" t="s">
        <v>40368</v>
      </c>
      <c r="M8800" s="10">
        <v>1</v>
      </c>
      <c r="N8800" s="10"/>
      <c r="O8800" s="10"/>
      <c r="P8800" s="10" t="s">
        <v>40369</v>
      </c>
      <c r="Q8800" s="10">
        <v>372.21</v>
      </c>
      <c r="R8800" s="10" t="s">
        <v>40370</v>
      </c>
      <c r="S8800" s="10" t="s">
        <v>53</v>
      </c>
      <c r="T8800" s="10" t="s">
        <v>54</v>
      </c>
    </row>
    <row r="8801" spans="1:20" ht="14.5" x14ac:dyDescent="0.35">
      <c r="A8801" s="10" t="s">
        <v>40371</v>
      </c>
      <c r="B8801" s="10" t="str">
        <f>"9781118974803"</f>
        <v>9781118974803</v>
      </c>
      <c r="C8801" s="10" t="str">
        <f>"9781118974827"</f>
        <v>9781118974827</v>
      </c>
      <c r="D8801" s="10" t="s">
        <v>6322</v>
      </c>
      <c r="E8801" s="10" t="s">
        <v>6323</v>
      </c>
      <c r="F8801" s="10" t="s">
        <v>1168</v>
      </c>
      <c r="G8801" s="10" t="s">
        <v>6352</v>
      </c>
      <c r="H8801" s="11">
        <v>42416</v>
      </c>
      <c r="I8801" s="10">
        <v>2016</v>
      </c>
      <c r="J8801" s="10" t="s">
        <v>8436</v>
      </c>
      <c r="K8801" s="10">
        <v>209</v>
      </c>
      <c r="L8801" s="10" t="s">
        <v>40372</v>
      </c>
      <c r="M8801" s="10">
        <v>1</v>
      </c>
      <c r="N8801" s="10"/>
      <c r="O8801" s="10"/>
      <c r="P8801" s="10" t="s">
        <v>40373</v>
      </c>
      <c r="Q8801" s="10" t="s">
        <v>14668</v>
      </c>
      <c r="R8801" s="10" t="s">
        <v>40374</v>
      </c>
      <c r="S8801" s="10" t="s">
        <v>53</v>
      </c>
      <c r="T8801" s="10" t="s">
        <v>54</v>
      </c>
    </row>
    <row r="8802" spans="1:20" ht="14.5" x14ac:dyDescent="0.35">
      <c r="A8802" s="10" t="s">
        <v>40375</v>
      </c>
      <c r="B8802" s="10" t="str">
        <f>"9781119050896"</f>
        <v>9781119050896</v>
      </c>
      <c r="C8802" s="10" t="str">
        <f>"9781119050926"</f>
        <v>9781119050926</v>
      </c>
      <c r="D8802" s="10" t="s">
        <v>6322</v>
      </c>
      <c r="E8802" s="10" t="s">
        <v>6323</v>
      </c>
      <c r="F8802" s="10" t="s">
        <v>4423</v>
      </c>
      <c r="G8802" s="10" t="s">
        <v>6317</v>
      </c>
      <c r="H8802" s="11">
        <v>42388</v>
      </c>
      <c r="I8802" s="10">
        <v>2016</v>
      </c>
      <c r="J8802" s="10" t="s">
        <v>6324</v>
      </c>
      <c r="K8802" s="10">
        <v>483</v>
      </c>
      <c r="L8802" s="10" t="s">
        <v>40376</v>
      </c>
      <c r="M8802" s="10">
        <v>1</v>
      </c>
      <c r="N8802" s="10"/>
      <c r="O8802" s="10"/>
      <c r="P8802" s="10"/>
      <c r="Q8802" s="10"/>
      <c r="R8802" s="10" t="s">
        <v>40377</v>
      </c>
      <c r="S8802" s="10" t="s">
        <v>53</v>
      </c>
      <c r="T8802" s="10" t="s">
        <v>54</v>
      </c>
    </row>
    <row r="8803" spans="1:20" ht="14.5" x14ac:dyDescent="0.35">
      <c r="A8803" s="10" t="s">
        <v>40378</v>
      </c>
      <c r="B8803" s="10" t="str">
        <f>""</f>
        <v/>
      </c>
      <c r="C8803" s="10" t="str">
        <f>"9781119129578"</f>
        <v>9781119129578</v>
      </c>
      <c r="D8803" s="10" t="s">
        <v>6322</v>
      </c>
      <c r="E8803" s="10" t="s">
        <v>6323</v>
      </c>
      <c r="F8803" s="10" t="s">
        <v>4423</v>
      </c>
      <c r="G8803" s="10" t="s">
        <v>6352</v>
      </c>
      <c r="H8803" s="11">
        <v>42416</v>
      </c>
      <c r="I8803" s="10">
        <v>2016</v>
      </c>
      <c r="J8803" s="10" t="s">
        <v>8436</v>
      </c>
      <c r="K8803" s="10">
        <v>274</v>
      </c>
      <c r="L8803" s="10" t="s">
        <v>40379</v>
      </c>
      <c r="M8803" s="10">
        <v>1</v>
      </c>
      <c r="N8803" s="10" t="s">
        <v>18839</v>
      </c>
      <c r="O8803" s="10"/>
      <c r="P8803" s="10"/>
      <c r="Q8803" s="10" t="s">
        <v>9870</v>
      </c>
      <c r="R8803" s="10" t="s">
        <v>33098</v>
      </c>
      <c r="S8803" s="10" t="s">
        <v>53</v>
      </c>
      <c r="T8803" s="10" t="s">
        <v>54</v>
      </c>
    </row>
    <row r="8804" spans="1:20" ht="14.5" x14ac:dyDescent="0.35">
      <c r="A8804" s="10" t="s">
        <v>40380</v>
      </c>
      <c r="B8804" s="10" t="str">
        <f>"9781783484867"</f>
        <v>9781783484867</v>
      </c>
      <c r="C8804" s="10" t="str">
        <f>"9781783484881"</f>
        <v>9781783484881</v>
      </c>
      <c r="D8804" s="10" t="s">
        <v>9752</v>
      </c>
      <c r="E8804" s="10" t="s">
        <v>15187</v>
      </c>
      <c r="F8804" s="10" t="s">
        <v>9754</v>
      </c>
      <c r="G8804" s="10" t="s">
        <v>6352</v>
      </c>
      <c r="H8804" s="11">
        <v>42319</v>
      </c>
      <c r="I8804" s="10">
        <v>2015</v>
      </c>
      <c r="J8804" s="10" t="s">
        <v>15187</v>
      </c>
      <c r="K8804" s="10">
        <v>239</v>
      </c>
      <c r="L8804" s="10" t="s">
        <v>40381</v>
      </c>
      <c r="M8804" s="10">
        <v>1</v>
      </c>
      <c r="N8804" s="10"/>
      <c r="O8804" s="10"/>
      <c r="P8804" s="10" t="s">
        <v>40382</v>
      </c>
      <c r="Q8804" s="10">
        <v>700.71</v>
      </c>
      <c r="R8804" s="10" t="s">
        <v>40383</v>
      </c>
      <c r="S8804" s="10" t="s">
        <v>53</v>
      </c>
      <c r="T8804" s="10" t="s">
        <v>6384</v>
      </c>
    </row>
    <row r="8805" spans="1:20" ht="14.5" x14ac:dyDescent="0.35">
      <c r="A8805" s="10" t="s">
        <v>40384</v>
      </c>
      <c r="B8805" s="10" t="str">
        <f>"9780739197226"</f>
        <v>9780739197226</v>
      </c>
      <c r="C8805" s="10" t="str">
        <f>"9780739197233"</f>
        <v>9780739197233</v>
      </c>
      <c r="D8805" s="10" t="s">
        <v>9752</v>
      </c>
      <c r="E8805" s="10" t="s">
        <v>15182</v>
      </c>
      <c r="F8805" s="10" t="s">
        <v>3460</v>
      </c>
      <c r="G8805" s="10" t="s">
        <v>6317</v>
      </c>
      <c r="H8805" s="11">
        <v>42333</v>
      </c>
      <c r="I8805" s="10">
        <v>2015</v>
      </c>
      <c r="J8805" s="10" t="s">
        <v>15182</v>
      </c>
      <c r="K8805" s="10">
        <v>151</v>
      </c>
      <c r="L8805" s="10" t="s">
        <v>40385</v>
      </c>
      <c r="M8805" s="10">
        <v>1</v>
      </c>
      <c r="N8805" s="10"/>
      <c r="O8805" s="10"/>
      <c r="P8805" s="10" t="s">
        <v>40386</v>
      </c>
      <c r="Q8805" s="10">
        <v>371.58</v>
      </c>
      <c r="R8805" s="10" t="s">
        <v>12288</v>
      </c>
      <c r="S8805" s="10" t="s">
        <v>53</v>
      </c>
      <c r="T8805" s="10" t="s">
        <v>54</v>
      </c>
    </row>
    <row r="8806" spans="1:20" ht="14.5" x14ac:dyDescent="0.35">
      <c r="A8806" s="10" t="s">
        <v>40387</v>
      </c>
      <c r="B8806" s="10" t="str">
        <f>"9781119216148"</f>
        <v>9781119216148</v>
      </c>
      <c r="C8806" s="10" t="str">
        <f>"9781119216216"</f>
        <v>9781119216216</v>
      </c>
      <c r="D8806" s="10" t="s">
        <v>6322</v>
      </c>
      <c r="E8806" s="10" t="s">
        <v>6323</v>
      </c>
      <c r="F8806" s="10" t="s">
        <v>70</v>
      </c>
      <c r="G8806" s="10" t="s">
        <v>6317</v>
      </c>
      <c r="H8806" s="11">
        <v>42374</v>
      </c>
      <c r="I8806" s="10">
        <v>2015</v>
      </c>
      <c r="J8806" s="10" t="s">
        <v>6324</v>
      </c>
      <c r="K8806" s="10">
        <v>153</v>
      </c>
      <c r="L8806" s="10" t="s">
        <v>40388</v>
      </c>
      <c r="M8806" s="10">
        <v>1</v>
      </c>
      <c r="N8806" s="10" t="s">
        <v>20712</v>
      </c>
      <c r="O8806" s="10"/>
      <c r="P8806" s="10" t="s">
        <v>20058</v>
      </c>
      <c r="Q8806" s="10">
        <v>371.33467539999998</v>
      </c>
      <c r="R8806" s="10" t="s">
        <v>40389</v>
      </c>
      <c r="S8806" s="10" t="s">
        <v>53</v>
      </c>
      <c r="T8806" s="10" t="s">
        <v>54</v>
      </c>
    </row>
    <row r="8807" spans="1:20" ht="14.5" x14ac:dyDescent="0.35">
      <c r="A8807" s="10" t="s">
        <v>40390</v>
      </c>
      <c r="B8807" s="10" t="str">
        <f>"9781475819014"</f>
        <v>9781475819014</v>
      </c>
      <c r="C8807" s="10" t="str">
        <f>"9781475819038"</f>
        <v>9781475819038</v>
      </c>
      <c r="D8807" s="10" t="s">
        <v>9752</v>
      </c>
      <c r="E8807" s="10" t="s">
        <v>15187</v>
      </c>
      <c r="F8807" s="10" t="s">
        <v>9754</v>
      </c>
      <c r="G8807" s="10" t="s">
        <v>6317</v>
      </c>
      <c r="H8807" s="11">
        <v>42186</v>
      </c>
      <c r="I8807" s="10">
        <v>2015</v>
      </c>
      <c r="J8807" s="10" t="s">
        <v>15187</v>
      </c>
      <c r="K8807" s="10">
        <v>125</v>
      </c>
      <c r="L8807" s="10" t="s">
        <v>40391</v>
      </c>
      <c r="M8807" s="10">
        <v>1</v>
      </c>
      <c r="N8807" s="10"/>
      <c r="O8807" s="10"/>
      <c r="P8807" s="10" t="s">
        <v>40392</v>
      </c>
      <c r="Q8807" s="10" t="s">
        <v>14668</v>
      </c>
      <c r="R8807" s="10" t="s">
        <v>40393</v>
      </c>
      <c r="S8807" s="10" t="s">
        <v>53</v>
      </c>
      <c r="T8807" s="10" t="s">
        <v>54</v>
      </c>
    </row>
    <row r="8808" spans="1:20" ht="14.5" x14ac:dyDescent="0.35">
      <c r="A8808" s="10" t="s">
        <v>40394</v>
      </c>
      <c r="B8808" s="10" t="str">
        <f>"9781475821031"</f>
        <v>9781475821031</v>
      </c>
      <c r="C8808" s="10" t="str">
        <f>"9781475821048"</f>
        <v>9781475821048</v>
      </c>
      <c r="D8808" s="10" t="s">
        <v>9752</v>
      </c>
      <c r="E8808" s="10" t="s">
        <v>15187</v>
      </c>
      <c r="F8808" s="10" t="s">
        <v>9754</v>
      </c>
      <c r="G8808" s="10" t="s">
        <v>6317</v>
      </c>
      <c r="H8808" s="11">
        <v>42345</v>
      </c>
      <c r="I8808" s="10">
        <v>2015</v>
      </c>
      <c r="J8808" s="10" t="s">
        <v>15187</v>
      </c>
      <c r="K8808" s="10">
        <v>239</v>
      </c>
      <c r="L8808" s="10" t="s">
        <v>40395</v>
      </c>
      <c r="M8808" s="10">
        <v>1</v>
      </c>
      <c r="N8808" s="10"/>
      <c r="O8808" s="10"/>
      <c r="P8808" s="10" t="s">
        <v>8062</v>
      </c>
      <c r="Q8808" s="10">
        <v>379.15800000000002</v>
      </c>
      <c r="R8808" s="10" t="s">
        <v>22738</v>
      </c>
      <c r="S8808" s="10" t="s">
        <v>53</v>
      </c>
      <c r="T8808" s="10" t="s">
        <v>54</v>
      </c>
    </row>
    <row r="8809" spans="1:20" ht="14.5" x14ac:dyDescent="0.35">
      <c r="A8809" s="10" t="s">
        <v>40396</v>
      </c>
      <c r="B8809" s="10" t="str">
        <f>"9781475820911"</f>
        <v>9781475820911</v>
      </c>
      <c r="C8809" s="10" t="str">
        <f>"9781475820928"</f>
        <v>9781475820928</v>
      </c>
      <c r="D8809" s="10" t="s">
        <v>9752</v>
      </c>
      <c r="E8809" s="10" t="s">
        <v>15187</v>
      </c>
      <c r="F8809" s="10" t="s">
        <v>9754</v>
      </c>
      <c r="G8809" s="10" t="s">
        <v>6317</v>
      </c>
      <c r="H8809" s="11">
        <v>42333</v>
      </c>
      <c r="I8809" s="10">
        <v>2015</v>
      </c>
      <c r="J8809" s="10" t="s">
        <v>15187</v>
      </c>
      <c r="K8809" s="10">
        <v>73</v>
      </c>
      <c r="L8809" s="10" t="s">
        <v>40397</v>
      </c>
      <c r="M8809" s="10">
        <v>1</v>
      </c>
      <c r="N8809" s="10"/>
      <c r="O8809" s="10"/>
      <c r="P8809" s="10" t="s">
        <v>34985</v>
      </c>
      <c r="Q8809" s="10">
        <v>371.26</v>
      </c>
      <c r="R8809" s="10" t="s">
        <v>27179</v>
      </c>
      <c r="S8809" s="10" t="s">
        <v>53</v>
      </c>
      <c r="T8809" s="10" t="s">
        <v>54</v>
      </c>
    </row>
    <row r="8810" spans="1:20" ht="14.5" x14ac:dyDescent="0.35">
      <c r="A8810" s="10" t="s">
        <v>40398</v>
      </c>
      <c r="B8810" s="10" t="str">
        <f>"9781475821420"</f>
        <v>9781475821420</v>
      </c>
      <c r="C8810" s="10" t="str">
        <f>"9781475821437"</f>
        <v>9781475821437</v>
      </c>
      <c r="D8810" s="10" t="s">
        <v>9752</v>
      </c>
      <c r="E8810" s="10" t="s">
        <v>15187</v>
      </c>
      <c r="F8810" s="10" t="s">
        <v>9754</v>
      </c>
      <c r="G8810" s="10" t="s">
        <v>6317</v>
      </c>
      <c r="H8810" s="11">
        <v>42356</v>
      </c>
      <c r="I8810" s="10">
        <v>2015</v>
      </c>
      <c r="J8810" s="10" t="s">
        <v>15187</v>
      </c>
      <c r="K8810" s="10">
        <v>76</v>
      </c>
      <c r="L8810" s="10" t="s">
        <v>40399</v>
      </c>
      <c r="M8810" s="10">
        <v>1</v>
      </c>
      <c r="N8810" s="10"/>
      <c r="O8810" s="10"/>
      <c r="P8810" s="10" t="s">
        <v>40400</v>
      </c>
      <c r="Q8810" s="10">
        <v>371.3</v>
      </c>
      <c r="R8810" s="10" t="s">
        <v>28549</v>
      </c>
      <c r="S8810" s="10" t="s">
        <v>53</v>
      </c>
      <c r="T8810" s="10" t="s">
        <v>54</v>
      </c>
    </row>
    <row r="8811" spans="1:20" ht="14.5" x14ac:dyDescent="0.35">
      <c r="A8811" s="10" t="s">
        <v>40401</v>
      </c>
      <c r="B8811" s="10" t="str">
        <f>"9781475821321"</f>
        <v>9781475821321</v>
      </c>
      <c r="C8811" s="10" t="str">
        <f>"9781475821345"</f>
        <v>9781475821345</v>
      </c>
      <c r="D8811" s="10" t="s">
        <v>9752</v>
      </c>
      <c r="E8811" s="10" t="s">
        <v>15187</v>
      </c>
      <c r="F8811" s="10" t="s">
        <v>9754</v>
      </c>
      <c r="G8811" s="10" t="s">
        <v>6317</v>
      </c>
      <c r="H8811" s="11">
        <v>42352</v>
      </c>
      <c r="I8811" s="10">
        <v>2015</v>
      </c>
      <c r="J8811" s="10" t="s">
        <v>15187</v>
      </c>
      <c r="K8811" s="10">
        <v>126</v>
      </c>
      <c r="L8811" s="10" t="s">
        <v>40402</v>
      </c>
      <c r="M8811" s="10">
        <v>1</v>
      </c>
      <c r="N8811" s="10"/>
      <c r="O8811" s="10"/>
      <c r="P8811" s="10" t="s">
        <v>40403</v>
      </c>
      <c r="Q8811" s="10">
        <v>155.19999999999999</v>
      </c>
      <c r="R8811" s="10" t="s">
        <v>40404</v>
      </c>
      <c r="S8811" s="10" t="s">
        <v>53</v>
      </c>
      <c r="T8811" s="10" t="s">
        <v>483</v>
      </c>
    </row>
    <row r="8812" spans="1:20" ht="14.5" x14ac:dyDescent="0.35">
      <c r="A8812" s="10" t="s">
        <v>40405</v>
      </c>
      <c r="B8812" s="10" t="str">
        <f>"9781475822472"</f>
        <v>9781475822472</v>
      </c>
      <c r="C8812" s="10" t="str">
        <f>"9781475822489"</f>
        <v>9781475822489</v>
      </c>
      <c r="D8812" s="10" t="s">
        <v>9752</v>
      </c>
      <c r="E8812" s="10" t="s">
        <v>15187</v>
      </c>
      <c r="F8812" s="10" t="s">
        <v>9754</v>
      </c>
      <c r="G8812" s="10" t="s">
        <v>6317</v>
      </c>
      <c r="H8812" s="11">
        <v>42369</v>
      </c>
      <c r="I8812" s="10">
        <v>2015</v>
      </c>
      <c r="J8812" s="10" t="s">
        <v>15187</v>
      </c>
      <c r="K8812" s="10">
        <v>173</v>
      </c>
      <c r="L8812" s="10" t="s">
        <v>25168</v>
      </c>
      <c r="M8812" s="10">
        <v>1</v>
      </c>
      <c r="N8812" s="10"/>
      <c r="O8812" s="10"/>
      <c r="P8812" s="10" t="s">
        <v>40406</v>
      </c>
      <c r="Q8812" s="10">
        <v>371.2</v>
      </c>
      <c r="R8812" s="10" t="s">
        <v>9758</v>
      </c>
      <c r="S8812" s="10" t="s">
        <v>53</v>
      </c>
      <c r="T8812" s="10" t="s">
        <v>54</v>
      </c>
    </row>
    <row r="8813" spans="1:20" ht="14.5" x14ac:dyDescent="0.35">
      <c r="A8813" s="10" t="s">
        <v>40407</v>
      </c>
      <c r="B8813" s="10" t="str">
        <f>"9781475823264"</f>
        <v>9781475823264</v>
      </c>
      <c r="C8813" s="10" t="str">
        <f>"9781475823288"</f>
        <v>9781475823288</v>
      </c>
      <c r="D8813" s="10" t="s">
        <v>9752</v>
      </c>
      <c r="E8813" s="10" t="s">
        <v>15187</v>
      </c>
      <c r="F8813" s="10" t="s">
        <v>9754</v>
      </c>
      <c r="G8813" s="10" t="s">
        <v>6317</v>
      </c>
      <c r="H8813" s="11">
        <v>42376</v>
      </c>
      <c r="I8813" s="10">
        <v>2016</v>
      </c>
      <c r="J8813" s="10" t="s">
        <v>15187</v>
      </c>
      <c r="K8813" s="10">
        <v>200</v>
      </c>
      <c r="L8813" s="10" t="s">
        <v>40408</v>
      </c>
      <c r="M8813" s="10">
        <v>1</v>
      </c>
      <c r="N8813" s="10"/>
      <c r="O8813" s="10"/>
      <c r="P8813" s="10" t="s">
        <v>40409</v>
      </c>
      <c r="Q8813" s="10">
        <v>372.6</v>
      </c>
      <c r="R8813" s="10" t="s">
        <v>4456</v>
      </c>
      <c r="S8813" s="10" t="s">
        <v>53</v>
      </c>
      <c r="T8813" s="10" t="s">
        <v>54</v>
      </c>
    </row>
    <row r="8814" spans="1:20" ht="14.5" x14ac:dyDescent="0.35">
      <c r="A8814" s="10" t="s">
        <v>40410</v>
      </c>
      <c r="B8814" s="10" t="str">
        <f>"9781119220206"</f>
        <v>9781119220206</v>
      </c>
      <c r="C8814" s="10" t="str">
        <f>"9781119220213"</f>
        <v>9781119220213</v>
      </c>
      <c r="D8814" s="10" t="s">
        <v>6322</v>
      </c>
      <c r="E8814" s="10" t="s">
        <v>6323</v>
      </c>
      <c r="F8814" s="10" t="s">
        <v>70</v>
      </c>
      <c r="G8814" s="10" t="s">
        <v>6317</v>
      </c>
      <c r="H8814" s="11">
        <v>42367</v>
      </c>
      <c r="I8814" s="10">
        <v>2015</v>
      </c>
      <c r="J8814" s="10" t="s">
        <v>6324</v>
      </c>
      <c r="K8814" s="10">
        <v>115</v>
      </c>
      <c r="L8814" s="10" t="s">
        <v>40411</v>
      </c>
      <c r="M8814" s="10">
        <v>1</v>
      </c>
      <c r="N8814" s="10" t="s">
        <v>21283</v>
      </c>
      <c r="O8814" s="10"/>
      <c r="P8814" s="10" t="s">
        <v>24433</v>
      </c>
      <c r="Q8814" s="10">
        <v>378.73</v>
      </c>
      <c r="R8814" s="10" t="s">
        <v>40412</v>
      </c>
      <c r="S8814" s="10" t="s">
        <v>53</v>
      </c>
      <c r="T8814" s="10" t="s">
        <v>54</v>
      </c>
    </row>
    <row r="8815" spans="1:20" ht="14.5" x14ac:dyDescent="0.35">
      <c r="A8815" s="10" t="s">
        <v>40413</v>
      </c>
      <c r="B8815" s="10" t="str">
        <f>"9781119240648"</f>
        <v>9781119240648</v>
      </c>
      <c r="C8815" s="10" t="str">
        <f>"9781119240655"</f>
        <v>9781119240655</v>
      </c>
      <c r="D8815" s="10" t="s">
        <v>6322</v>
      </c>
      <c r="E8815" s="10" t="s">
        <v>6323</v>
      </c>
      <c r="F8815" s="10" t="s">
        <v>1168</v>
      </c>
      <c r="G8815" s="10" t="s">
        <v>6317</v>
      </c>
      <c r="H8815" s="11">
        <v>42380</v>
      </c>
      <c r="I8815" s="10">
        <v>2015</v>
      </c>
      <c r="J8815" s="10" t="s">
        <v>6324</v>
      </c>
      <c r="K8815" s="10">
        <v>106</v>
      </c>
      <c r="L8815" s="10" t="s">
        <v>40414</v>
      </c>
      <c r="M8815" s="10">
        <v>1</v>
      </c>
      <c r="N8815" s="10" t="s">
        <v>23327</v>
      </c>
      <c r="O8815" s="10"/>
      <c r="P8815" s="10" t="s">
        <v>40415</v>
      </c>
      <c r="Q8815" s="10">
        <v>378.00720000000001</v>
      </c>
      <c r="R8815" s="10" t="s">
        <v>40416</v>
      </c>
      <c r="S8815" s="10" t="s">
        <v>53</v>
      </c>
      <c r="T8815" s="10" t="s">
        <v>54</v>
      </c>
    </row>
    <row r="8816" spans="1:20" ht="14.5" x14ac:dyDescent="0.35">
      <c r="A8816" s="10" t="s">
        <v>40417</v>
      </c>
      <c r="B8816" s="10" t="str">
        <f>"9781412972321"</f>
        <v>9781412972321</v>
      </c>
      <c r="C8816" s="10" t="str">
        <f>"9781452262086"</f>
        <v>9781452262086</v>
      </c>
      <c r="D8816" s="10" t="s">
        <v>22210</v>
      </c>
      <c r="E8816" s="10" t="s">
        <v>22211</v>
      </c>
      <c r="F8816" s="10" t="s">
        <v>333</v>
      </c>
      <c r="G8816" s="10" t="s">
        <v>6317</v>
      </c>
      <c r="H8816" s="11">
        <v>40024</v>
      </c>
      <c r="I8816" s="10">
        <v>2009</v>
      </c>
      <c r="J8816" s="10" t="s">
        <v>22211</v>
      </c>
      <c r="K8816" s="10">
        <v>177</v>
      </c>
      <c r="L8816" s="10" t="s">
        <v>23609</v>
      </c>
      <c r="M8816" s="10">
        <v>2</v>
      </c>
      <c r="N8816" s="10"/>
      <c r="O8816" s="10"/>
      <c r="P8816" s="10" t="s">
        <v>40418</v>
      </c>
      <c r="Q8816" s="10">
        <v>372.62299999999999</v>
      </c>
      <c r="R8816" s="10" t="s">
        <v>40419</v>
      </c>
      <c r="S8816" s="10" t="s">
        <v>53</v>
      </c>
      <c r="T8816" s="10" t="s">
        <v>54</v>
      </c>
    </row>
    <row r="8817" spans="1:20" ht="14.5" x14ac:dyDescent="0.35">
      <c r="A8817" s="10" t="s">
        <v>40420</v>
      </c>
      <c r="B8817" s="10" t="str">
        <f>"9781138887435"</f>
        <v>9781138887435</v>
      </c>
      <c r="C8817" s="10" t="str">
        <f>"9781317500056"</f>
        <v>9781317500056</v>
      </c>
      <c r="D8817" s="10" t="s">
        <v>6350</v>
      </c>
      <c r="E8817" s="10" t="s">
        <v>6351</v>
      </c>
      <c r="F8817" s="10" t="s">
        <v>139</v>
      </c>
      <c r="G8817" s="10" t="s">
        <v>6352</v>
      </c>
      <c r="H8817" s="11">
        <v>42359</v>
      </c>
      <c r="I8817" s="10">
        <v>2016</v>
      </c>
      <c r="J8817" s="10" t="s">
        <v>6353</v>
      </c>
      <c r="K8817" s="10">
        <v>285</v>
      </c>
      <c r="L8817" s="10" t="s">
        <v>40421</v>
      </c>
      <c r="M8817" s="10">
        <v>1</v>
      </c>
      <c r="N8817" s="10" t="s">
        <v>40422</v>
      </c>
      <c r="O8817" s="10"/>
      <c r="P8817" s="10" t="s">
        <v>40423</v>
      </c>
      <c r="Q8817" s="10">
        <v>121</v>
      </c>
      <c r="R8817" s="10" t="s">
        <v>40424</v>
      </c>
      <c r="S8817" s="10" t="s">
        <v>53</v>
      </c>
      <c r="T8817" s="10" t="s">
        <v>6534</v>
      </c>
    </row>
    <row r="8818" spans="1:20" ht="14.5" x14ac:dyDescent="0.35">
      <c r="A8818" s="10" t="s">
        <v>40425</v>
      </c>
      <c r="B8818" s="10" t="str">
        <f>"9780520288959"</f>
        <v>9780520288959</v>
      </c>
      <c r="C8818" s="10" t="str">
        <f>"9780520963788"</f>
        <v>9780520963788</v>
      </c>
      <c r="D8818" s="10" t="s">
        <v>8512</v>
      </c>
      <c r="E8818" s="10" t="s">
        <v>8512</v>
      </c>
      <c r="F8818" s="10" t="s">
        <v>717</v>
      </c>
      <c r="G8818" s="10" t="s">
        <v>6317</v>
      </c>
      <c r="H8818" s="11">
        <v>42402</v>
      </c>
      <c r="I8818" s="10">
        <v>2016</v>
      </c>
      <c r="J8818" s="10" t="s">
        <v>8512</v>
      </c>
      <c r="K8818" s="10">
        <v>254</v>
      </c>
      <c r="L8818" s="10" t="s">
        <v>40426</v>
      </c>
      <c r="M8818" s="10">
        <v>1</v>
      </c>
      <c r="N8818" s="10"/>
      <c r="O8818" s="10"/>
      <c r="P8818" s="10" t="s">
        <v>40427</v>
      </c>
      <c r="Q8818" s="10">
        <v>371.822</v>
      </c>
      <c r="R8818" s="10" t="s">
        <v>40428</v>
      </c>
      <c r="S8818" s="10" t="s">
        <v>53</v>
      </c>
      <c r="T8818" s="10" t="s">
        <v>54</v>
      </c>
    </row>
    <row r="8819" spans="1:20" ht="14.5" x14ac:dyDescent="0.35">
      <c r="A8819" s="10" t="s">
        <v>40429</v>
      </c>
      <c r="B8819" s="10" t="str">
        <f>"9781596671034"</f>
        <v>9781596671034</v>
      </c>
      <c r="C8819" s="10" t="str">
        <f>"9781317930709"</f>
        <v>9781317930709</v>
      </c>
      <c r="D8819" s="10" t="s">
        <v>6350</v>
      </c>
      <c r="E8819" s="10" t="s">
        <v>6351</v>
      </c>
      <c r="F8819" s="10" t="s">
        <v>3967</v>
      </c>
      <c r="G8819" s="10" t="s">
        <v>6352</v>
      </c>
      <c r="H8819" s="11">
        <v>39793</v>
      </c>
      <c r="I8819" s="10">
        <v>2009</v>
      </c>
      <c r="J8819" s="10" t="s">
        <v>6353</v>
      </c>
      <c r="K8819" s="10">
        <v>289</v>
      </c>
      <c r="L8819" s="10" t="s">
        <v>40430</v>
      </c>
      <c r="M8819" s="10">
        <v>2</v>
      </c>
      <c r="N8819" s="10"/>
      <c r="O8819" s="10"/>
      <c r="P8819" s="10"/>
      <c r="Q8819" s="10" t="s">
        <v>22247</v>
      </c>
      <c r="R8819" s="10" t="s">
        <v>40431</v>
      </c>
      <c r="S8819" s="10" t="s">
        <v>53</v>
      </c>
      <c r="T8819" s="10" t="s">
        <v>54</v>
      </c>
    </row>
    <row r="8820" spans="1:20" ht="14.5" x14ac:dyDescent="0.35">
      <c r="A8820" s="10" t="s">
        <v>40432</v>
      </c>
      <c r="B8820" s="10" t="str">
        <f>"9780520289192"</f>
        <v>9780520289192</v>
      </c>
      <c r="C8820" s="10" t="str">
        <f>"9780520963870"</f>
        <v>9780520963870</v>
      </c>
      <c r="D8820" s="10" t="s">
        <v>8512</v>
      </c>
      <c r="E8820" s="10" t="s">
        <v>8512</v>
      </c>
      <c r="F8820" s="10" t="s">
        <v>717</v>
      </c>
      <c r="G8820" s="10" t="s">
        <v>6317</v>
      </c>
      <c r="H8820" s="11">
        <v>42507</v>
      </c>
      <c r="I8820" s="10">
        <v>2016</v>
      </c>
      <c r="J8820" s="10" t="s">
        <v>8512</v>
      </c>
      <c r="K8820" s="10">
        <v>307</v>
      </c>
      <c r="L8820" s="10" t="s">
        <v>40433</v>
      </c>
      <c r="M8820" s="10">
        <v>1</v>
      </c>
      <c r="N8820" s="10"/>
      <c r="O8820" s="10"/>
      <c r="P8820" s="10" t="s">
        <v>40434</v>
      </c>
      <c r="Q8820" s="10">
        <v>371.78209729999998</v>
      </c>
      <c r="R8820" s="10" t="s">
        <v>40435</v>
      </c>
      <c r="S8820" s="10" t="s">
        <v>53</v>
      </c>
      <c r="T8820" s="10" t="s">
        <v>54</v>
      </c>
    </row>
    <row r="8821" spans="1:20" ht="14.5" x14ac:dyDescent="0.35">
      <c r="A8821" s="10" t="s">
        <v>40436</v>
      </c>
      <c r="B8821" s="10" t="str">
        <f>"9781119143451"</f>
        <v>9781119143451</v>
      </c>
      <c r="C8821" s="10" t="str">
        <f>"9781119143482"</f>
        <v>9781119143482</v>
      </c>
      <c r="D8821" s="10" t="s">
        <v>6322</v>
      </c>
      <c r="E8821" s="10" t="s">
        <v>6323</v>
      </c>
      <c r="F8821" s="10" t="s">
        <v>4423</v>
      </c>
      <c r="G8821" s="10" t="s">
        <v>6317</v>
      </c>
      <c r="H8821" s="11">
        <v>42388</v>
      </c>
      <c r="I8821" s="10">
        <v>2016</v>
      </c>
      <c r="J8821" s="10" t="s">
        <v>6323</v>
      </c>
      <c r="K8821" s="10">
        <v>323</v>
      </c>
      <c r="L8821" s="10" t="s">
        <v>40437</v>
      </c>
      <c r="M8821" s="10">
        <v>1</v>
      </c>
      <c r="N8821" s="10"/>
      <c r="O8821" s="10"/>
      <c r="P8821" s="10" t="s">
        <v>40438</v>
      </c>
      <c r="Q8821" s="10" t="s">
        <v>14668</v>
      </c>
      <c r="R8821" s="10" t="s">
        <v>40439</v>
      </c>
      <c r="S8821" s="10" t="s">
        <v>53</v>
      </c>
      <c r="T8821" s="10" t="s">
        <v>54</v>
      </c>
    </row>
    <row r="8822" spans="1:20" ht="14.5" x14ac:dyDescent="0.35">
      <c r="A8822" s="10" t="s">
        <v>40440</v>
      </c>
      <c r="B8822" s="10" t="str">
        <f>"9780295994918"</f>
        <v>9780295994918</v>
      </c>
      <c r="C8822" s="10" t="str">
        <f>"9780295806525"</f>
        <v>9780295806525</v>
      </c>
      <c r="D8822" s="10" t="s">
        <v>9533</v>
      </c>
      <c r="E8822" s="10" t="s">
        <v>39200</v>
      </c>
      <c r="F8822" s="10" t="s">
        <v>39201</v>
      </c>
      <c r="G8822" s="10" t="s">
        <v>6317</v>
      </c>
      <c r="H8822" s="11">
        <v>42186</v>
      </c>
      <c r="I8822" s="10">
        <v>2015</v>
      </c>
      <c r="J8822" s="10" t="s">
        <v>39200</v>
      </c>
      <c r="K8822" s="10">
        <v>353</v>
      </c>
      <c r="L8822" s="10" t="s">
        <v>40441</v>
      </c>
      <c r="M8822" s="10">
        <v>1</v>
      </c>
      <c r="N8822" s="10" t="s">
        <v>40442</v>
      </c>
      <c r="O8822" s="10"/>
      <c r="P8822" s="10" t="s">
        <v>40443</v>
      </c>
      <c r="Q8822" s="10" t="s">
        <v>40444</v>
      </c>
      <c r="R8822" s="10" t="s">
        <v>40445</v>
      </c>
      <c r="S8822" s="10" t="s">
        <v>53</v>
      </c>
      <c r="T8822" s="10" t="s">
        <v>54</v>
      </c>
    </row>
    <row r="8823" spans="1:20" ht="14.5" x14ac:dyDescent="0.35">
      <c r="A8823" s="10" t="s">
        <v>40446</v>
      </c>
      <c r="B8823" s="10" t="str">
        <f>"9789838615853"</f>
        <v>9789838615853</v>
      </c>
      <c r="C8823" s="10" t="str">
        <f>"9789838617048"</f>
        <v>9789838617048</v>
      </c>
      <c r="D8823" s="10" t="s">
        <v>40447</v>
      </c>
      <c r="E8823" s="10" t="s">
        <v>40448</v>
      </c>
      <c r="F8823" s="10" t="s">
        <v>40449</v>
      </c>
      <c r="G8823" s="10" t="s">
        <v>40450</v>
      </c>
      <c r="H8823" s="11">
        <v>41449</v>
      </c>
      <c r="I8823" s="10">
        <v>2013</v>
      </c>
      <c r="J8823" s="10">
        <v>2013</v>
      </c>
      <c r="K8823" s="10">
        <v>219</v>
      </c>
      <c r="L8823" s="10" t="s">
        <v>40451</v>
      </c>
      <c r="M8823" s="10"/>
      <c r="N8823" s="10"/>
      <c r="O8823" s="10"/>
      <c r="P8823" s="10" t="s">
        <v>40452</v>
      </c>
      <c r="Q8823" s="10"/>
      <c r="R8823" s="10" t="s">
        <v>40453</v>
      </c>
      <c r="S8823" s="10" t="s">
        <v>53</v>
      </c>
      <c r="T8823" s="10" t="s">
        <v>483</v>
      </c>
    </row>
    <row r="8824" spans="1:20" ht="14.5" x14ac:dyDescent="0.35">
      <c r="A8824" s="10" t="s">
        <v>40454</v>
      </c>
      <c r="B8824" s="10" t="str">
        <f>"9789838615419"</f>
        <v>9789838615419</v>
      </c>
      <c r="C8824" s="10" t="str">
        <f>"9789838617536"</f>
        <v>9789838617536</v>
      </c>
      <c r="D8824" s="10" t="s">
        <v>40447</v>
      </c>
      <c r="E8824" s="10" t="s">
        <v>40448</v>
      </c>
      <c r="F8824" s="10" t="s">
        <v>40449</v>
      </c>
      <c r="G8824" s="10" t="s">
        <v>40450</v>
      </c>
      <c r="H8824" s="11">
        <v>40800</v>
      </c>
      <c r="I8824" s="10">
        <v>2012</v>
      </c>
      <c r="J8824" s="10">
        <v>2012</v>
      </c>
      <c r="K8824" s="10">
        <v>332</v>
      </c>
      <c r="L8824" s="10" t="s">
        <v>40455</v>
      </c>
      <c r="M8824" s="10"/>
      <c r="N8824" s="10"/>
      <c r="O8824" s="10"/>
      <c r="P8824" s="10" t="s">
        <v>40456</v>
      </c>
      <c r="Q8824" s="10"/>
      <c r="R8824" s="10" t="s">
        <v>40457</v>
      </c>
      <c r="S8824" s="10" t="s">
        <v>53</v>
      </c>
      <c r="T8824" s="10" t="s">
        <v>54</v>
      </c>
    </row>
    <row r="8825" spans="1:20" ht="14.5" x14ac:dyDescent="0.35">
      <c r="A8825" s="10" t="s">
        <v>40458</v>
      </c>
      <c r="B8825" s="10" t="str">
        <f>"9789838615112"</f>
        <v>9789838615112</v>
      </c>
      <c r="C8825" s="10" t="str">
        <f>"9789838617574"</f>
        <v>9789838617574</v>
      </c>
      <c r="D8825" s="10" t="s">
        <v>40447</v>
      </c>
      <c r="E8825" s="10" t="s">
        <v>40448</v>
      </c>
      <c r="F8825" s="10" t="s">
        <v>40449</v>
      </c>
      <c r="G8825" s="10" t="s">
        <v>40450</v>
      </c>
      <c r="H8825" s="11">
        <v>40745</v>
      </c>
      <c r="I8825" s="10">
        <v>2011</v>
      </c>
      <c r="J8825" s="10">
        <v>2011</v>
      </c>
      <c r="K8825" s="10">
        <v>186</v>
      </c>
      <c r="L8825" s="10" t="s">
        <v>40459</v>
      </c>
      <c r="M8825" s="10"/>
      <c r="N8825" s="10"/>
      <c r="O8825" s="10"/>
      <c r="P8825" s="10" t="s">
        <v>40460</v>
      </c>
      <c r="Q8825" s="10"/>
      <c r="R8825" s="10" t="s">
        <v>40461</v>
      </c>
      <c r="S8825" s="10" t="s">
        <v>53</v>
      </c>
      <c r="T8825" s="10" t="s">
        <v>54</v>
      </c>
    </row>
    <row r="8826" spans="1:20" ht="14.5" x14ac:dyDescent="0.35">
      <c r="A8826" s="10" t="s">
        <v>40462</v>
      </c>
      <c r="B8826" s="10" t="str">
        <f>"9789838615198"</f>
        <v>9789838615198</v>
      </c>
      <c r="C8826" s="10" t="str">
        <f>"9789838617673"</f>
        <v>9789838617673</v>
      </c>
      <c r="D8826" s="10" t="s">
        <v>40447</v>
      </c>
      <c r="E8826" s="10" t="s">
        <v>40448</v>
      </c>
      <c r="F8826" s="10" t="s">
        <v>40449</v>
      </c>
      <c r="G8826" s="10" t="s">
        <v>40450</v>
      </c>
      <c r="H8826" s="11">
        <v>40704</v>
      </c>
      <c r="I8826" s="10">
        <v>2011</v>
      </c>
      <c r="J8826" s="10">
        <v>2011</v>
      </c>
      <c r="K8826" s="10">
        <v>149</v>
      </c>
      <c r="L8826" s="10" t="s">
        <v>40463</v>
      </c>
      <c r="M8826" s="10"/>
      <c r="N8826" s="10"/>
      <c r="O8826" s="10"/>
      <c r="P8826" s="10" t="s">
        <v>40464</v>
      </c>
      <c r="Q8826" s="10"/>
      <c r="R8826" s="10" t="s">
        <v>40465</v>
      </c>
      <c r="S8826" s="10" t="s">
        <v>53</v>
      </c>
      <c r="T8826" s="10" t="s">
        <v>54</v>
      </c>
    </row>
    <row r="8827" spans="1:20" ht="14.5" x14ac:dyDescent="0.35">
      <c r="A8827" s="10" t="s">
        <v>40466</v>
      </c>
      <c r="B8827" s="10" t="str">
        <f>"9789838616102"</f>
        <v>9789838616102</v>
      </c>
      <c r="C8827" s="10" t="str">
        <f>"9789838616522"</f>
        <v>9789838616522</v>
      </c>
      <c r="D8827" s="10" t="s">
        <v>40447</v>
      </c>
      <c r="E8827" s="10" t="s">
        <v>40448</v>
      </c>
      <c r="F8827" s="10" t="s">
        <v>40449</v>
      </c>
      <c r="G8827" s="10" t="s">
        <v>40450</v>
      </c>
      <c r="H8827" s="11">
        <v>41368</v>
      </c>
      <c r="I8827" s="10">
        <v>2013</v>
      </c>
      <c r="J8827" s="10">
        <v>2013</v>
      </c>
      <c r="K8827" s="10">
        <v>148</v>
      </c>
      <c r="L8827" s="10" t="s">
        <v>40467</v>
      </c>
      <c r="M8827" s="10"/>
      <c r="N8827" s="10"/>
      <c r="O8827" s="10"/>
      <c r="P8827" s="10" t="s">
        <v>40468</v>
      </c>
      <c r="Q8827" s="10">
        <v>371.077</v>
      </c>
      <c r="R8827" s="10" t="s">
        <v>40469</v>
      </c>
      <c r="S8827" s="10" t="s">
        <v>53</v>
      </c>
      <c r="T8827" s="10" t="s">
        <v>54</v>
      </c>
    </row>
    <row r="8828" spans="1:20" ht="14.5" x14ac:dyDescent="0.35">
      <c r="A8828" s="10" t="s">
        <v>40470</v>
      </c>
      <c r="B8828" s="10" t="str">
        <f>"9789838614368"</f>
        <v>9789838614368</v>
      </c>
      <c r="C8828" s="10" t="str">
        <f>"9789838617802"</f>
        <v>9789838617802</v>
      </c>
      <c r="D8828" s="10" t="s">
        <v>40447</v>
      </c>
      <c r="E8828" s="10" t="s">
        <v>40448</v>
      </c>
      <c r="F8828" s="10" t="s">
        <v>40449</v>
      </c>
      <c r="G8828" s="10" t="s">
        <v>40450</v>
      </c>
      <c r="H8828" s="11">
        <v>41456</v>
      </c>
      <c r="I8828" s="10">
        <v>2014</v>
      </c>
      <c r="J8828" s="10">
        <v>2013</v>
      </c>
      <c r="K8828" s="10">
        <v>129</v>
      </c>
      <c r="L8828" s="10" t="s">
        <v>40471</v>
      </c>
      <c r="M8828" s="10"/>
      <c r="N8828" s="10"/>
      <c r="O8828" s="10"/>
      <c r="P8828" s="10" t="s">
        <v>40472</v>
      </c>
      <c r="Q8828" s="10">
        <v>370.15230000000003</v>
      </c>
      <c r="R8828" s="10" t="s">
        <v>40473</v>
      </c>
      <c r="S8828" s="10" t="s">
        <v>53</v>
      </c>
      <c r="T8828" s="10" t="s">
        <v>54</v>
      </c>
    </row>
    <row r="8829" spans="1:20" ht="14.5" x14ac:dyDescent="0.35">
      <c r="A8829" s="10" t="s">
        <v>40474</v>
      </c>
      <c r="B8829" s="10" t="str">
        <f>"9781119049715"</f>
        <v>9781119049715</v>
      </c>
      <c r="C8829" s="10" t="str">
        <f>"9781119050919"</f>
        <v>9781119050919</v>
      </c>
      <c r="D8829" s="10" t="s">
        <v>6322</v>
      </c>
      <c r="E8829" s="10" t="s">
        <v>6323</v>
      </c>
      <c r="F8829" s="10" t="s">
        <v>4423</v>
      </c>
      <c r="G8829" s="10" t="s">
        <v>6317</v>
      </c>
      <c r="H8829" s="11">
        <v>42388</v>
      </c>
      <c r="I8829" s="10">
        <v>2016</v>
      </c>
      <c r="J8829" s="10" t="s">
        <v>6324</v>
      </c>
      <c r="K8829" s="10">
        <v>287</v>
      </c>
      <c r="L8829" s="10" t="s">
        <v>40475</v>
      </c>
      <c r="M8829" s="10">
        <v>1</v>
      </c>
      <c r="N8829" s="10"/>
      <c r="O8829" s="10"/>
      <c r="P8829" s="10" t="s">
        <v>40476</v>
      </c>
      <c r="Q8829" s="10" t="s">
        <v>40477</v>
      </c>
      <c r="R8829" s="10" t="s">
        <v>40478</v>
      </c>
      <c r="S8829" s="10" t="s">
        <v>53</v>
      </c>
      <c r="T8829" s="10" t="s">
        <v>6526</v>
      </c>
    </row>
    <row r="8830" spans="1:20" ht="14.5" x14ac:dyDescent="0.35">
      <c r="A8830" s="10" t="s">
        <v>40479</v>
      </c>
      <c r="B8830" s="10" t="str">
        <f>"9781475818185"</f>
        <v>9781475818185</v>
      </c>
      <c r="C8830" s="10" t="str">
        <f>"9781475818192"</f>
        <v>9781475818192</v>
      </c>
      <c r="D8830" s="10" t="s">
        <v>9752</v>
      </c>
      <c r="E8830" s="10" t="s">
        <v>15187</v>
      </c>
      <c r="F8830" s="10" t="s">
        <v>9754</v>
      </c>
      <c r="G8830" s="10" t="s">
        <v>6317</v>
      </c>
      <c r="H8830" s="11">
        <v>42342</v>
      </c>
      <c r="I8830" s="10">
        <v>2015</v>
      </c>
      <c r="J8830" s="10" t="s">
        <v>15187</v>
      </c>
      <c r="K8830" s="10">
        <v>133</v>
      </c>
      <c r="L8830" s="10" t="s">
        <v>40480</v>
      </c>
      <c r="M8830" s="10">
        <v>1</v>
      </c>
      <c r="N8830" s="10"/>
      <c r="O8830" s="10"/>
      <c r="P8830" s="10" t="s">
        <v>40481</v>
      </c>
      <c r="Q8830" s="10">
        <v>796.08699999999999</v>
      </c>
      <c r="R8830" s="10" t="s">
        <v>40482</v>
      </c>
      <c r="S8830" s="10" t="s">
        <v>53</v>
      </c>
      <c r="T8830" s="10" t="s">
        <v>7340</v>
      </c>
    </row>
    <row r="8831" spans="1:20" ht="14.5" x14ac:dyDescent="0.35">
      <c r="A8831" s="10" t="s">
        <v>40483</v>
      </c>
      <c r="B8831" s="10" t="str">
        <f>"9781937761158"</f>
        <v>9781937761158</v>
      </c>
      <c r="C8831" s="10" t="str">
        <f>"9781937761189"</f>
        <v>9781937761189</v>
      </c>
      <c r="D8831" s="10" t="s">
        <v>9215</v>
      </c>
      <c r="E8831" s="10" t="s">
        <v>15355</v>
      </c>
      <c r="F8831" s="10" t="s">
        <v>5121</v>
      </c>
      <c r="G8831" s="10" t="s">
        <v>6317</v>
      </c>
      <c r="H8831" s="11">
        <v>41791</v>
      </c>
      <c r="I8831" s="10">
        <v>2014</v>
      </c>
      <c r="J8831" s="10" t="s">
        <v>15355</v>
      </c>
      <c r="K8831" s="10">
        <v>252</v>
      </c>
      <c r="L8831" s="10" t="s">
        <v>40484</v>
      </c>
      <c r="M8831" s="10"/>
      <c r="N8831" s="10"/>
      <c r="O8831" s="10"/>
      <c r="P8831" s="10" t="s">
        <v>40485</v>
      </c>
      <c r="Q8831" s="10">
        <v>649.50284999999997</v>
      </c>
      <c r="R8831" s="10" t="s">
        <v>40486</v>
      </c>
      <c r="S8831" s="10" t="s">
        <v>53</v>
      </c>
      <c r="T8831" s="10" t="s">
        <v>40487</v>
      </c>
    </row>
    <row r="8832" spans="1:20" ht="14.5" x14ac:dyDescent="0.35">
      <c r="A8832" s="10" t="s">
        <v>40488</v>
      </c>
      <c r="B8832" s="10" t="str">
        <f>"9781742234236"</f>
        <v>9781742234236</v>
      </c>
      <c r="C8832" s="10" t="str">
        <f>"9781742247397"</f>
        <v>9781742247397</v>
      </c>
      <c r="D8832" s="10" t="s">
        <v>9215</v>
      </c>
      <c r="E8832" s="10" t="s">
        <v>22531</v>
      </c>
      <c r="F8832" s="10" t="s">
        <v>40489</v>
      </c>
      <c r="G8832" s="10" t="s">
        <v>12975</v>
      </c>
      <c r="H8832" s="11">
        <v>42328</v>
      </c>
      <c r="I8832" s="10">
        <v>2015</v>
      </c>
      <c r="J8832" s="10" t="s">
        <v>22532</v>
      </c>
      <c r="K8832" s="10">
        <v>282</v>
      </c>
      <c r="L8832" s="10" t="s">
        <v>40490</v>
      </c>
      <c r="M8832" s="10">
        <v>1</v>
      </c>
      <c r="N8832" s="10"/>
      <c r="O8832" s="10"/>
      <c r="P8832" s="10" t="s">
        <v>40491</v>
      </c>
      <c r="Q8832" s="10">
        <v>808.51</v>
      </c>
      <c r="R8832" s="10" t="s">
        <v>40492</v>
      </c>
      <c r="S8832" s="10" t="s">
        <v>53</v>
      </c>
      <c r="T8832" s="10" t="s">
        <v>1166</v>
      </c>
    </row>
    <row r="8833" spans="1:20" ht="14.5" x14ac:dyDescent="0.35">
      <c r="A8833" s="10" t="s">
        <v>40493</v>
      </c>
      <c r="B8833" s="10" t="str">
        <f>"9781118707326"</f>
        <v>9781118707326</v>
      </c>
      <c r="C8833" s="10" t="str">
        <f>"9781119101833"</f>
        <v>9781119101833</v>
      </c>
      <c r="D8833" s="10" t="s">
        <v>6322</v>
      </c>
      <c r="E8833" s="10" t="s">
        <v>6323</v>
      </c>
      <c r="F8833" s="10" t="s">
        <v>4423</v>
      </c>
      <c r="G8833" s="10" t="s">
        <v>6317</v>
      </c>
      <c r="H8833" s="11">
        <v>42388</v>
      </c>
      <c r="I8833" s="10">
        <v>2016</v>
      </c>
      <c r="J8833" s="10" t="s">
        <v>6324</v>
      </c>
      <c r="K8833" s="10">
        <v>720</v>
      </c>
      <c r="L8833" s="10" t="s">
        <v>40494</v>
      </c>
      <c r="M8833" s="10">
        <v>4</v>
      </c>
      <c r="N8833" s="10"/>
      <c r="O8833" s="10"/>
      <c r="P8833" s="10"/>
      <c r="Q8833" s="10" t="s">
        <v>40495</v>
      </c>
      <c r="R8833" s="10" t="s">
        <v>40496</v>
      </c>
      <c r="S8833" s="10" t="s">
        <v>53</v>
      </c>
      <c r="T8833" s="10" t="s">
        <v>54</v>
      </c>
    </row>
    <row r="8834" spans="1:20" ht="14.5" x14ac:dyDescent="0.35">
      <c r="A8834" s="10" t="s">
        <v>40497</v>
      </c>
      <c r="B8834" s="10" t="str">
        <f>"9781119244653"</f>
        <v>9781119244653</v>
      </c>
      <c r="C8834" s="10" t="str">
        <f>"9781119244660"</f>
        <v>9781119244660</v>
      </c>
      <c r="D8834" s="10" t="s">
        <v>6322</v>
      </c>
      <c r="E8834" s="10" t="s">
        <v>6323</v>
      </c>
      <c r="F8834" s="10" t="s">
        <v>1168</v>
      </c>
      <c r="G8834" s="10" t="s">
        <v>6317</v>
      </c>
      <c r="H8834" s="11">
        <v>42380</v>
      </c>
      <c r="I8834" s="10">
        <v>2015</v>
      </c>
      <c r="J8834" s="10" t="s">
        <v>6324</v>
      </c>
      <c r="K8834" s="10">
        <v>112</v>
      </c>
      <c r="L8834" s="10" t="s">
        <v>40498</v>
      </c>
      <c r="M8834" s="10">
        <v>1</v>
      </c>
      <c r="N8834" s="10" t="s">
        <v>23322</v>
      </c>
      <c r="O8834" s="10"/>
      <c r="P8834" s="10" t="s">
        <v>40499</v>
      </c>
      <c r="Q8834" s="10">
        <v>370</v>
      </c>
      <c r="R8834" s="10" t="s">
        <v>40500</v>
      </c>
      <c r="S8834" s="10" t="s">
        <v>53</v>
      </c>
      <c r="T8834" s="10" t="s">
        <v>54</v>
      </c>
    </row>
    <row r="8835" spans="1:20" ht="14.5" x14ac:dyDescent="0.35">
      <c r="A8835" s="10" t="s">
        <v>40501</v>
      </c>
      <c r="B8835" s="10" t="str">
        <f>"9780822963776"</f>
        <v>9780822963776</v>
      </c>
      <c r="C8835" s="10" t="str">
        <f>"9780822981015"</f>
        <v>9780822981015</v>
      </c>
      <c r="D8835" s="10" t="s">
        <v>31206</v>
      </c>
      <c r="E8835" s="10" t="s">
        <v>31206</v>
      </c>
      <c r="F8835" s="10" t="s">
        <v>1534</v>
      </c>
      <c r="G8835" s="10" t="s">
        <v>6317</v>
      </c>
      <c r="H8835" s="11">
        <v>42289</v>
      </c>
      <c r="I8835" s="10">
        <v>2015</v>
      </c>
      <c r="J8835" s="10" t="s">
        <v>31206</v>
      </c>
      <c r="K8835" s="10">
        <v>252</v>
      </c>
      <c r="L8835" s="10" t="s">
        <v>40502</v>
      </c>
      <c r="M8835" s="10">
        <v>1</v>
      </c>
      <c r="N8835" s="10" t="s">
        <v>31218</v>
      </c>
      <c r="O8835" s="10"/>
      <c r="P8835" s="10" t="s">
        <v>18743</v>
      </c>
      <c r="Q8835" s="10" t="s">
        <v>13111</v>
      </c>
      <c r="R8835" s="10" t="s">
        <v>40503</v>
      </c>
      <c r="S8835" s="10" t="s">
        <v>53</v>
      </c>
      <c r="T8835" s="10" t="s">
        <v>6568</v>
      </c>
    </row>
    <row r="8836" spans="1:20" ht="14.5" x14ac:dyDescent="0.35">
      <c r="A8836" s="10" t="s">
        <v>40504</v>
      </c>
      <c r="B8836" s="10" t="str">
        <f>"9781498511186"</f>
        <v>9781498511186</v>
      </c>
      <c r="C8836" s="10" t="str">
        <f>"9781498511193"</f>
        <v>9781498511193</v>
      </c>
      <c r="D8836" s="10" t="s">
        <v>9752</v>
      </c>
      <c r="E8836" s="10" t="s">
        <v>15182</v>
      </c>
      <c r="F8836" s="10" t="s">
        <v>3460</v>
      </c>
      <c r="G8836" s="10" t="s">
        <v>6317</v>
      </c>
      <c r="H8836" s="11">
        <v>42362</v>
      </c>
      <c r="I8836" s="10">
        <v>2015</v>
      </c>
      <c r="J8836" s="10" t="s">
        <v>15182</v>
      </c>
      <c r="K8836" s="10">
        <v>327</v>
      </c>
      <c r="L8836" s="10" t="s">
        <v>40505</v>
      </c>
      <c r="M8836" s="10">
        <v>1</v>
      </c>
      <c r="N8836" s="10"/>
      <c r="O8836" s="10"/>
      <c r="P8836" s="10" t="s">
        <v>40506</v>
      </c>
      <c r="Q8836" s="10" t="s">
        <v>40507</v>
      </c>
      <c r="R8836" s="10" t="s">
        <v>40508</v>
      </c>
      <c r="S8836" s="10" t="s">
        <v>53</v>
      </c>
      <c r="T8836" s="10" t="s">
        <v>40509</v>
      </c>
    </row>
    <row r="8837" spans="1:20" ht="14.5" x14ac:dyDescent="0.35">
      <c r="A8837" s="10" t="s">
        <v>40510</v>
      </c>
      <c r="B8837" s="10" t="str">
        <f>"9780874178418"</f>
        <v>9780874178418</v>
      </c>
      <c r="C8837" s="10" t="str">
        <f>"9780874178616"</f>
        <v>9780874178616</v>
      </c>
      <c r="D8837" s="10" t="s">
        <v>20156</v>
      </c>
      <c r="E8837" s="10" t="s">
        <v>40511</v>
      </c>
      <c r="F8837" s="10" t="s">
        <v>324</v>
      </c>
      <c r="G8837" s="10" t="s">
        <v>6317</v>
      </c>
      <c r="H8837" s="11">
        <v>40602</v>
      </c>
      <c r="I8837" s="10">
        <v>2011</v>
      </c>
      <c r="J8837" s="10" t="s">
        <v>40511</v>
      </c>
      <c r="K8837" s="10">
        <v>225</v>
      </c>
      <c r="L8837" s="10" t="s">
        <v>40512</v>
      </c>
      <c r="M8837" s="10">
        <v>1</v>
      </c>
      <c r="N8837" s="10"/>
      <c r="O8837" s="10"/>
      <c r="P8837" s="10" t="s">
        <v>34656</v>
      </c>
      <c r="Q8837" s="10" t="s">
        <v>40513</v>
      </c>
      <c r="R8837" s="10" t="s">
        <v>40514</v>
      </c>
      <c r="S8837" s="10" t="s">
        <v>53</v>
      </c>
      <c r="T8837" s="10" t="s">
        <v>54</v>
      </c>
    </row>
    <row r="8838" spans="1:20" ht="14.5" x14ac:dyDescent="0.35">
      <c r="A8838" s="10" t="s">
        <v>40515</v>
      </c>
      <c r="B8838" s="10" t="str">
        <f>"9780874179071"</f>
        <v>9780874179071</v>
      </c>
      <c r="C8838" s="10" t="str">
        <f>"9780874179088"</f>
        <v>9780874179088</v>
      </c>
      <c r="D8838" s="10" t="s">
        <v>20156</v>
      </c>
      <c r="E8838" s="10" t="s">
        <v>40511</v>
      </c>
      <c r="F8838" s="10" t="s">
        <v>324</v>
      </c>
      <c r="G8838" s="10" t="s">
        <v>6317</v>
      </c>
      <c r="H8838" s="11">
        <v>41320</v>
      </c>
      <c r="I8838" s="10">
        <v>2014</v>
      </c>
      <c r="J8838" s="10" t="s">
        <v>40511</v>
      </c>
      <c r="K8838" s="10">
        <v>193</v>
      </c>
      <c r="L8838" s="10" t="s">
        <v>17649</v>
      </c>
      <c r="M8838" s="10">
        <v>1</v>
      </c>
      <c r="N8838" s="10"/>
      <c r="O8838" s="10"/>
      <c r="P8838" s="10" t="s">
        <v>20130</v>
      </c>
      <c r="Q8838" s="10">
        <v>371.8297</v>
      </c>
      <c r="R8838" s="10" t="s">
        <v>40516</v>
      </c>
      <c r="S8838" s="10" t="s">
        <v>53</v>
      </c>
      <c r="T8838" s="10" t="s">
        <v>16298</v>
      </c>
    </row>
    <row r="8839" spans="1:20" ht="14.5" x14ac:dyDescent="0.35">
      <c r="A8839" s="10" t="s">
        <v>40517</v>
      </c>
      <c r="B8839" s="10" t="str">
        <f>"9781475812848"</f>
        <v>9781475812848</v>
      </c>
      <c r="C8839" s="10" t="str">
        <f>"9781475812855"</f>
        <v>9781475812855</v>
      </c>
      <c r="D8839" s="10" t="s">
        <v>9752</v>
      </c>
      <c r="E8839" s="10" t="s">
        <v>15187</v>
      </c>
      <c r="F8839" s="10" t="s">
        <v>9754</v>
      </c>
      <c r="G8839" s="10" t="s">
        <v>6317</v>
      </c>
      <c r="H8839" s="11">
        <v>42369</v>
      </c>
      <c r="I8839" s="10">
        <v>2016</v>
      </c>
      <c r="J8839" s="10" t="s">
        <v>15187</v>
      </c>
      <c r="K8839" s="10">
        <v>165</v>
      </c>
      <c r="L8839" s="10" t="s">
        <v>40518</v>
      </c>
      <c r="M8839" s="10">
        <v>1</v>
      </c>
      <c r="N8839" s="10"/>
      <c r="O8839" s="10"/>
      <c r="P8839" s="10" t="s">
        <v>40519</v>
      </c>
      <c r="Q8839" s="10" t="s">
        <v>16014</v>
      </c>
      <c r="R8839" s="10" t="s">
        <v>40520</v>
      </c>
      <c r="S8839" s="10" t="s">
        <v>53</v>
      </c>
      <c r="T8839" s="10" t="s">
        <v>54</v>
      </c>
    </row>
    <row r="8840" spans="1:20" ht="14.5" x14ac:dyDescent="0.35">
      <c r="A8840" s="10" t="s">
        <v>40521</v>
      </c>
      <c r="B8840" s="10" t="str">
        <f>"9781475822038"</f>
        <v>9781475822038</v>
      </c>
      <c r="C8840" s="10" t="str">
        <f>"9781475822045"</f>
        <v>9781475822045</v>
      </c>
      <c r="D8840" s="10" t="s">
        <v>9752</v>
      </c>
      <c r="E8840" s="10" t="s">
        <v>15187</v>
      </c>
      <c r="F8840" s="10" t="s">
        <v>9754</v>
      </c>
      <c r="G8840" s="10" t="s">
        <v>6317</v>
      </c>
      <c r="H8840" s="11">
        <v>42384</v>
      </c>
      <c r="I8840" s="10">
        <v>2016</v>
      </c>
      <c r="J8840" s="10" t="s">
        <v>15187</v>
      </c>
      <c r="K8840" s="10">
        <v>113</v>
      </c>
      <c r="L8840" s="10" t="s">
        <v>40522</v>
      </c>
      <c r="M8840" s="10">
        <v>1</v>
      </c>
      <c r="N8840" s="10"/>
      <c r="O8840" s="10"/>
      <c r="P8840" s="10" t="s">
        <v>40523</v>
      </c>
      <c r="Q8840" s="10" t="s">
        <v>18149</v>
      </c>
      <c r="R8840" s="10" t="s">
        <v>20467</v>
      </c>
      <c r="S8840" s="10" t="s">
        <v>53</v>
      </c>
      <c r="T8840" s="10" t="s">
        <v>54</v>
      </c>
    </row>
    <row r="8841" spans="1:20" ht="14.5" x14ac:dyDescent="0.35">
      <c r="A8841" s="10" t="s">
        <v>40524</v>
      </c>
      <c r="B8841" s="10" t="str">
        <f>"9781475822779"</f>
        <v>9781475822779</v>
      </c>
      <c r="C8841" s="10" t="str">
        <f>"9781475822793"</f>
        <v>9781475822793</v>
      </c>
      <c r="D8841" s="10" t="s">
        <v>9752</v>
      </c>
      <c r="E8841" s="10" t="s">
        <v>15187</v>
      </c>
      <c r="F8841" s="10" t="s">
        <v>9754</v>
      </c>
      <c r="G8841" s="10" t="s">
        <v>6317</v>
      </c>
      <c r="H8841" s="11">
        <v>42349</v>
      </c>
      <c r="I8841" s="10">
        <v>2015</v>
      </c>
      <c r="J8841" s="10" t="s">
        <v>15187</v>
      </c>
      <c r="K8841" s="10">
        <v>169</v>
      </c>
      <c r="L8841" s="10" t="s">
        <v>40525</v>
      </c>
      <c r="M8841" s="10">
        <v>1</v>
      </c>
      <c r="N8841" s="10"/>
      <c r="O8841" s="10"/>
      <c r="P8841" s="10" t="s">
        <v>40526</v>
      </c>
      <c r="Q8841" s="10" t="s">
        <v>6576</v>
      </c>
      <c r="R8841" s="10" t="s">
        <v>9113</v>
      </c>
      <c r="S8841" s="10" t="s">
        <v>53</v>
      </c>
      <c r="T8841" s="10" t="s">
        <v>54</v>
      </c>
    </row>
    <row r="8842" spans="1:20" ht="14.5" x14ac:dyDescent="0.35">
      <c r="A8842" s="10" t="s">
        <v>40527</v>
      </c>
      <c r="B8842" s="10" t="str">
        <f>"9781475820508"</f>
        <v>9781475820508</v>
      </c>
      <c r="C8842" s="10" t="str">
        <f>"9781475820522"</f>
        <v>9781475820522</v>
      </c>
      <c r="D8842" s="10" t="s">
        <v>9752</v>
      </c>
      <c r="E8842" s="10" t="s">
        <v>15187</v>
      </c>
      <c r="F8842" s="10" t="s">
        <v>9754</v>
      </c>
      <c r="G8842" s="10" t="s">
        <v>6317</v>
      </c>
      <c r="H8842" s="11">
        <v>42409</v>
      </c>
      <c r="I8842" s="10">
        <v>2016</v>
      </c>
      <c r="J8842" s="10" t="s">
        <v>15187</v>
      </c>
      <c r="K8842" s="10">
        <v>209</v>
      </c>
      <c r="L8842" s="10" t="s">
        <v>40528</v>
      </c>
      <c r="M8842" s="10">
        <v>1</v>
      </c>
      <c r="N8842" s="10"/>
      <c r="O8842" s="10"/>
      <c r="P8842" s="10" t="s">
        <v>40529</v>
      </c>
      <c r="Q8842" s="10">
        <v>371.94</v>
      </c>
      <c r="R8842" s="10" t="s">
        <v>40530</v>
      </c>
      <c r="S8842" s="10" t="s">
        <v>53</v>
      </c>
      <c r="T8842" s="10" t="s">
        <v>54</v>
      </c>
    </row>
    <row r="8843" spans="1:20" ht="14.5" x14ac:dyDescent="0.35">
      <c r="A8843" s="10" t="s">
        <v>40531</v>
      </c>
      <c r="B8843" s="10" t="str">
        <f>"9781498512312"</f>
        <v>9781498512312</v>
      </c>
      <c r="C8843" s="10" t="str">
        <f>"9781498512329"</f>
        <v>9781498512329</v>
      </c>
      <c r="D8843" s="10" t="s">
        <v>9752</v>
      </c>
      <c r="E8843" s="10" t="s">
        <v>15182</v>
      </c>
      <c r="F8843" s="10" t="s">
        <v>3460</v>
      </c>
      <c r="G8843" s="10" t="s">
        <v>6317</v>
      </c>
      <c r="H8843" s="11">
        <v>42376</v>
      </c>
      <c r="I8843" s="10">
        <v>2016</v>
      </c>
      <c r="J8843" s="10" t="s">
        <v>15182</v>
      </c>
      <c r="K8843" s="10">
        <v>185</v>
      </c>
      <c r="L8843" s="10" t="s">
        <v>40532</v>
      </c>
      <c r="M8843" s="10">
        <v>1</v>
      </c>
      <c r="N8843" s="10"/>
      <c r="O8843" s="10"/>
      <c r="P8843" s="10" t="s">
        <v>29403</v>
      </c>
      <c r="Q8843" s="10" t="s">
        <v>40533</v>
      </c>
      <c r="R8843" s="10" t="s">
        <v>40534</v>
      </c>
      <c r="S8843" s="10" t="s">
        <v>53</v>
      </c>
      <c r="T8843" s="10" t="s">
        <v>54</v>
      </c>
    </row>
    <row r="8844" spans="1:20" ht="14.5" x14ac:dyDescent="0.35">
      <c r="A8844" s="10" t="s">
        <v>40535</v>
      </c>
      <c r="B8844" s="10" t="str">
        <f>"9781475814699"</f>
        <v>9781475814699</v>
      </c>
      <c r="C8844" s="10" t="str">
        <f>"9781475814705"</f>
        <v>9781475814705</v>
      </c>
      <c r="D8844" s="10" t="s">
        <v>9752</v>
      </c>
      <c r="E8844" s="10" t="s">
        <v>15187</v>
      </c>
      <c r="F8844" s="10" t="s">
        <v>9754</v>
      </c>
      <c r="G8844" s="10" t="s">
        <v>6317</v>
      </c>
      <c r="H8844" s="11">
        <v>42193</v>
      </c>
      <c r="I8844" s="10">
        <v>2015</v>
      </c>
      <c r="J8844" s="10" t="s">
        <v>15187</v>
      </c>
      <c r="K8844" s="10">
        <v>162</v>
      </c>
      <c r="L8844" s="10" t="s">
        <v>40536</v>
      </c>
      <c r="M8844" s="10">
        <v>1</v>
      </c>
      <c r="N8844" s="10"/>
      <c r="O8844" s="10"/>
      <c r="P8844" s="10" t="s">
        <v>40537</v>
      </c>
      <c r="Q8844" s="10" t="s">
        <v>20169</v>
      </c>
      <c r="R8844" s="10" t="s">
        <v>40538</v>
      </c>
      <c r="S8844" s="10" t="s">
        <v>53</v>
      </c>
      <c r="T8844" s="10" t="s">
        <v>54</v>
      </c>
    </row>
    <row r="8845" spans="1:20" ht="14.5" x14ac:dyDescent="0.35">
      <c r="A8845" s="10" t="s">
        <v>40539</v>
      </c>
      <c r="B8845" s="10" t="str">
        <f>"9781475816945"</f>
        <v>9781475816945</v>
      </c>
      <c r="C8845" s="10" t="str">
        <f>"9781475816969"</f>
        <v>9781475816969</v>
      </c>
      <c r="D8845" s="10" t="s">
        <v>9752</v>
      </c>
      <c r="E8845" s="10" t="s">
        <v>15187</v>
      </c>
      <c r="F8845" s="10" t="s">
        <v>9754</v>
      </c>
      <c r="G8845" s="10" t="s">
        <v>6317</v>
      </c>
      <c r="H8845" s="11">
        <v>42321</v>
      </c>
      <c r="I8845" s="10">
        <v>2015</v>
      </c>
      <c r="J8845" s="10" t="s">
        <v>15187</v>
      </c>
      <c r="K8845" s="10">
        <v>273</v>
      </c>
      <c r="L8845" s="10" t="s">
        <v>40540</v>
      </c>
      <c r="M8845" s="10">
        <v>1</v>
      </c>
      <c r="N8845" s="10"/>
      <c r="O8845" s="10"/>
      <c r="P8845" s="10" t="s">
        <v>40541</v>
      </c>
      <c r="Q8845" s="10" t="s">
        <v>13111</v>
      </c>
      <c r="R8845" s="10" t="s">
        <v>40542</v>
      </c>
      <c r="S8845" s="10" t="s">
        <v>53</v>
      </c>
      <c r="T8845" s="10" t="s">
        <v>1166</v>
      </c>
    </row>
    <row r="8846" spans="1:20" ht="14.5" x14ac:dyDescent="0.35">
      <c r="A8846" s="10" t="s">
        <v>40543</v>
      </c>
      <c r="B8846" s="10" t="str">
        <f>"9781475816976"</f>
        <v>9781475816976</v>
      </c>
      <c r="C8846" s="10" t="str">
        <f>"9781475816990"</f>
        <v>9781475816990</v>
      </c>
      <c r="D8846" s="10" t="s">
        <v>9752</v>
      </c>
      <c r="E8846" s="10" t="s">
        <v>15187</v>
      </c>
      <c r="F8846" s="10" t="s">
        <v>9754</v>
      </c>
      <c r="G8846" s="10" t="s">
        <v>6317</v>
      </c>
      <c r="H8846" s="11">
        <v>42319</v>
      </c>
      <c r="I8846" s="10">
        <v>2015</v>
      </c>
      <c r="J8846" s="10" t="s">
        <v>15187</v>
      </c>
      <c r="K8846" s="10">
        <v>193</v>
      </c>
      <c r="L8846" s="10" t="s">
        <v>40540</v>
      </c>
      <c r="M8846" s="10">
        <v>1</v>
      </c>
      <c r="N8846" s="10"/>
      <c r="O8846" s="10"/>
      <c r="P8846" s="10" t="s">
        <v>40544</v>
      </c>
      <c r="Q8846" s="10" t="s">
        <v>18744</v>
      </c>
      <c r="R8846" s="10" t="s">
        <v>40545</v>
      </c>
      <c r="S8846" s="10" t="s">
        <v>53</v>
      </c>
      <c r="T8846" s="10" t="s">
        <v>6498</v>
      </c>
    </row>
    <row r="8847" spans="1:20" ht="14.5" x14ac:dyDescent="0.35">
      <c r="A8847" s="10" t="s">
        <v>40546</v>
      </c>
      <c r="B8847" s="10" t="str">
        <f>"9781475818055"</f>
        <v>9781475818055</v>
      </c>
      <c r="C8847" s="10" t="str">
        <f>"9781475818079"</f>
        <v>9781475818079</v>
      </c>
      <c r="D8847" s="10" t="s">
        <v>9752</v>
      </c>
      <c r="E8847" s="10" t="s">
        <v>15187</v>
      </c>
      <c r="F8847" s="10" t="s">
        <v>9754</v>
      </c>
      <c r="G8847" s="10" t="s">
        <v>6317</v>
      </c>
      <c r="H8847" s="11">
        <v>42376</v>
      </c>
      <c r="I8847" s="10">
        <v>2016</v>
      </c>
      <c r="J8847" s="10" t="s">
        <v>15187</v>
      </c>
      <c r="K8847" s="10">
        <v>231</v>
      </c>
      <c r="L8847" s="10" t="s">
        <v>40547</v>
      </c>
      <c r="M8847" s="10">
        <v>1</v>
      </c>
      <c r="N8847" s="10"/>
      <c r="O8847" s="10"/>
      <c r="P8847" s="10" t="s">
        <v>40548</v>
      </c>
      <c r="Q8847" s="10" t="s">
        <v>11202</v>
      </c>
      <c r="R8847" s="10" t="s">
        <v>40549</v>
      </c>
      <c r="S8847" s="10" t="s">
        <v>53</v>
      </c>
      <c r="T8847" s="10" t="s">
        <v>54</v>
      </c>
    </row>
    <row r="8848" spans="1:20" ht="14.5" x14ac:dyDescent="0.35">
      <c r="A8848" s="10" t="s">
        <v>40550</v>
      </c>
      <c r="B8848" s="10" t="str">
        <f>"9781475820454"</f>
        <v>9781475820454</v>
      </c>
      <c r="C8848" s="10" t="str">
        <f>"9781475820461"</f>
        <v>9781475820461</v>
      </c>
      <c r="D8848" s="10" t="s">
        <v>9752</v>
      </c>
      <c r="E8848" s="10" t="s">
        <v>15187</v>
      </c>
      <c r="F8848" s="10" t="s">
        <v>9754</v>
      </c>
      <c r="G8848" s="10" t="s">
        <v>6317</v>
      </c>
      <c r="H8848" s="11">
        <v>42311</v>
      </c>
      <c r="I8848" s="10">
        <v>2015</v>
      </c>
      <c r="J8848" s="10" t="s">
        <v>15187</v>
      </c>
      <c r="K8848" s="10">
        <v>149</v>
      </c>
      <c r="L8848" s="10" t="s">
        <v>40551</v>
      </c>
      <c r="M8848" s="10">
        <v>1</v>
      </c>
      <c r="N8848" s="10"/>
      <c r="O8848" s="10"/>
      <c r="P8848" s="10" t="s">
        <v>40552</v>
      </c>
      <c r="Q8848" s="10">
        <v>371.20073000000002</v>
      </c>
      <c r="R8848" s="10" t="s">
        <v>40553</v>
      </c>
      <c r="S8848" s="10" t="s">
        <v>53</v>
      </c>
      <c r="T8848" s="10" t="s">
        <v>54</v>
      </c>
    </row>
    <row r="8849" spans="1:20" ht="14.5" x14ac:dyDescent="0.35">
      <c r="A8849" s="10" t="s">
        <v>40554</v>
      </c>
      <c r="B8849" s="10" t="str">
        <f>"9781607093527"</f>
        <v>9781607093527</v>
      </c>
      <c r="C8849" s="10" t="str">
        <f>"9781607093541"</f>
        <v>9781607093541</v>
      </c>
      <c r="D8849" s="10" t="s">
        <v>9752</v>
      </c>
      <c r="E8849" s="10" t="s">
        <v>15187</v>
      </c>
      <c r="F8849" s="10" t="s">
        <v>9754</v>
      </c>
      <c r="G8849" s="10" t="s">
        <v>6317</v>
      </c>
      <c r="H8849" s="11">
        <v>42264</v>
      </c>
      <c r="I8849" s="10">
        <v>2015</v>
      </c>
      <c r="J8849" s="10" t="s">
        <v>15187</v>
      </c>
      <c r="K8849" s="10">
        <v>275</v>
      </c>
      <c r="L8849" s="10" t="s">
        <v>40555</v>
      </c>
      <c r="M8849" s="10">
        <v>1</v>
      </c>
      <c r="N8849" s="10"/>
      <c r="O8849" s="10"/>
      <c r="P8849" s="10" t="s">
        <v>40556</v>
      </c>
      <c r="Q8849" s="10">
        <v>372.21</v>
      </c>
      <c r="R8849" s="10" t="s">
        <v>40557</v>
      </c>
      <c r="S8849" s="10" t="s">
        <v>53</v>
      </c>
      <c r="T8849" s="10" t="s">
        <v>54</v>
      </c>
    </row>
    <row r="8850" spans="1:20" ht="14.5" x14ac:dyDescent="0.35">
      <c r="A8850" s="10" t="s">
        <v>40558</v>
      </c>
      <c r="B8850" s="10" t="str">
        <f>"9781452229928"</f>
        <v>9781452229928</v>
      </c>
      <c r="C8850" s="10" t="str">
        <f>"9781483306278"</f>
        <v>9781483306278</v>
      </c>
      <c r="D8850" s="10" t="s">
        <v>22210</v>
      </c>
      <c r="E8850" s="10" t="s">
        <v>22211</v>
      </c>
      <c r="F8850" s="10" t="s">
        <v>333</v>
      </c>
      <c r="G8850" s="10" t="s">
        <v>6317</v>
      </c>
      <c r="H8850" s="11">
        <v>41373</v>
      </c>
      <c r="I8850" s="10">
        <v>2013</v>
      </c>
      <c r="J8850" s="10" t="s">
        <v>22211</v>
      </c>
      <c r="K8850" s="10">
        <v>145</v>
      </c>
      <c r="L8850" s="10" t="s">
        <v>40559</v>
      </c>
      <c r="M8850" s="10">
        <v>1</v>
      </c>
      <c r="N8850" s="10"/>
      <c r="O8850" s="10"/>
      <c r="P8850" s="10" t="s">
        <v>40560</v>
      </c>
      <c r="Q8850" s="10">
        <v>371.90446230972998</v>
      </c>
      <c r="R8850" s="10"/>
      <c r="S8850" s="10" t="s">
        <v>53</v>
      </c>
      <c r="T8850" s="10" t="s">
        <v>54</v>
      </c>
    </row>
    <row r="8851" spans="1:20" ht="14.5" x14ac:dyDescent="0.35">
      <c r="A8851" s="10" t="s">
        <v>40561</v>
      </c>
      <c r="B8851" s="10" t="str">
        <f>"9781928331001"</f>
        <v>9781928331001</v>
      </c>
      <c r="C8851" s="10" t="str">
        <f>"9781928331070"</f>
        <v>9781928331070</v>
      </c>
      <c r="D8851" s="10" t="s">
        <v>24820</v>
      </c>
      <c r="E8851" s="10" t="s">
        <v>24825</v>
      </c>
      <c r="F8851" s="10" t="s">
        <v>748</v>
      </c>
      <c r="G8851" s="10" t="s">
        <v>24826</v>
      </c>
      <c r="H8851" s="11">
        <v>42346</v>
      </c>
      <c r="I8851" s="10">
        <v>2015</v>
      </c>
      <c r="J8851" s="10" t="s">
        <v>24825</v>
      </c>
      <c r="K8851" s="10">
        <v>298</v>
      </c>
      <c r="L8851" s="10" t="s">
        <v>40562</v>
      </c>
      <c r="M8851" s="10">
        <v>1</v>
      </c>
      <c r="N8851" s="10"/>
      <c r="O8851" s="10"/>
      <c r="P8851" s="10" t="s">
        <v>40563</v>
      </c>
      <c r="Q8851" s="10">
        <v>378.68</v>
      </c>
      <c r="R8851" s="10" t="s">
        <v>40564</v>
      </c>
      <c r="S8851" s="10" t="s">
        <v>53</v>
      </c>
      <c r="T8851" s="10" t="s">
        <v>54</v>
      </c>
    </row>
    <row r="8852" spans="1:20" ht="14.5" x14ac:dyDescent="0.35">
      <c r="A8852" s="10" t="s">
        <v>40565</v>
      </c>
      <c r="B8852" s="10" t="str">
        <f>"9781475814279"</f>
        <v>9781475814279</v>
      </c>
      <c r="C8852" s="10" t="str">
        <f>"9781475814293"</f>
        <v>9781475814293</v>
      </c>
      <c r="D8852" s="10" t="s">
        <v>9752</v>
      </c>
      <c r="E8852" s="10" t="s">
        <v>15187</v>
      </c>
      <c r="F8852" s="10" t="s">
        <v>9754</v>
      </c>
      <c r="G8852" s="10" t="s">
        <v>6317</v>
      </c>
      <c r="H8852" s="11">
        <v>42207</v>
      </c>
      <c r="I8852" s="10">
        <v>2015</v>
      </c>
      <c r="J8852" s="10" t="s">
        <v>15187</v>
      </c>
      <c r="K8852" s="10">
        <v>291</v>
      </c>
      <c r="L8852" s="10" t="s">
        <v>40566</v>
      </c>
      <c r="M8852" s="10">
        <v>1</v>
      </c>
      <c r="N8852" s="10"/>
      <c r="O8852" s="10"/>
      <c r="P8852" s="10" t="s">
        <v>40567</v>
      </c>
      <c r="Q8852" s="10" t="s">
        <v>11803</v>
      </c>
      <c r="R8852" s="10" t="s">
        <v>31356</v>
      </c>
      <c r="S8852" s="10" t="s">
        <v>53</v>
      </c>
      <c r="T8852" s="10" t="s">
        <v>54</v>
      </c>
    </row>
    <row r="8853" spans="1:20" ht="14.5" x14ac:dyDescent="0.35">
      <c r="A8853" s="10" t="s">
        <v>40568</v>
      </c>
      <c r="B8853" s="10" t="str">
        <f>"9781442243149"</f>
        <v>9781442243149</v>
      </c>
      <c r="C8853" s="10" t="str">
        <f>"9781442243156"</f>
        <v>9781442243156</v>
      </c>
      <c r="D8853" s="10" t="s">
        <v>9752</v>
      </c>
      <c r="E8853" s="10" t="s">
        <v>15187</v>
      </c>
      <c r="F8853" s="10" t="s">
        <v>9754</v>
      </c>
      <c r="G8853" s="10" t="s">
        <v>6317</v>
      </c>
      <c r="H8853" s="11">
        <v>42285</v>
      </c>
      <c r="I8853" s="10">
        <v>2015</v>
      </c>
      <c r="J8853" s="10" t="s">
        <v>15187</v>
      </c>
      <c r="K8853" s="10">
        <v>215</v>
      </c>
      <c r="L8853" s="10" t="s">
        <v>40569</v>
      </c>
      <c r="M8853" s="10">
        <v>1</v>
      </c>
      <c r="N8853" s="10"/>
      <c r="O8853" s="10"/>
      <c r="P8853" s="10" t="s">
        <v>40570</v>
      </c>
      <c r="Q8853" s="10" t="s">
        <v>19028</v>
      </c>
      <c r="R8853" s="10" t="s">
        <v>40571</v>
      </c>
      <c r="S8853" s="10" t="s">
        <v>53</v>
      </c>
      <c r="T8853" s="10" t="s">
        <v>17165</v>
      </c>
    </row>
    <row r="8854" spans="1:20" ht="14.5" x14ac:dyDescent="0.35">
      <c r="A8854" s="10" t="s">
        <v>40572</v>
      </c>
      <c r="B8854" s="10" t="str">
        <f>"9781475815191"</f>
        <v>9781475815191</v>
      </c>
      <c r="C8854" s="10" t="str">
        <f>"9781475815207"</f>
        <v>9781475815207</v>
      </c>
      <c r="D8854" s="10" t="s">
        <v>9752</v>
      </c>
      <c r="E8854" s="10" t="s">
        <v>15187</v>
      </c>
      <c r="F8854" s="10" t="s">
        <v>9754</v>
      </c>
      <c r="G8854" s="10" t="s">
        <v>6317</v>
      </c>
      <c r="H8854" s="11">
        <v>42250</v>
      </c>
      <c r="I8854" s="10">
        <v>2015</v>
      </c>
      <c r="J8854" s="10" t="s">
        <v>15187</v>
      </c>
      <c r="K8854" s="10">
        <v>197</v>
      </c>
      <c r="L8854" s="10" t="s">
        <v>40573</v>
      </c>
      <c r="M8854" s="10">
        <v>1</v>
      </c>
      <c r="N8854" s="10"/>
      <c r="O8854" s="10"/>
      <c r="P8854" s="10" t="s">
        <v>21783</v>
      </c>
      <c r="Q8854" s="10">
        <v>305.800973</v>
      </c>
      <c r="R8854" s="10" t="s">
        <v>40574</v>
      </c>
      <c r="S8854" s="10" t="s">
        <v>53</v>
      </c>
      <c r="T8854" s="10" t="s">
        <v>9993</v>
      </c>
    </row>
    <row r="8855" spans="1:20" ht="14.5" x14ac:dyDescent="0.35">
      <c r="A8855" s="10" t="s">
        <v>40575</v>
      </c>
      <c r="B8855" s="10" t="str">
        <f>"9781475804324"</f>
        <v>9781475804324</v>
      </c>
      <c r="C8855" s="10" t="str">
        <f>"9781475804348"</f>
        <v>9781475804348</v>
      </c>
      <c r="D8855" s="10" t="s">
        <v>9752</v>
      </c>
      <c r="E8855" s="10" t="s">
        <v>15187</v>
      </c>
      <c r="F8855" s="10" t="s">
        <v>9754</v>
      </c>
      <c r="G8855" s="10" t="s">
        <v>6317</v>
      </c>
      <c r="H8855" s="11">
        <v>42047</v>
      </c>
      <c r="I8855" s="10">
        <v>2014</v>
      </c>
      <c r="J8855" s="10" t="s">
        <v>15187</v>
      </c>
      <c r="K8855" s="10">
        <v>309</v>
      </c>
      <c r="L8855" s="10" t="s">
        <v>40576</v>
      </c>
      <c r="M8855" s="10">
        <v>1</v>
      </c>
      <c r="N8855" s="10"/>
      <c r="O8855" s="10"/>
      <c r="P8855" s="10" t="s">
        <v>40577</v>
      </c>
      <c r="Q8855" s="10">
        <v>784.07100000000003</v>
      </c>
      <c r="R8855" s="10" t="s">
        <v>40578</v>
      </c>
      <c r="S8855" s="10" t="s">
        <v>53</v>
      </c>
      <c r="T8855" s="10" t="s">
        <v>6384</v>
      </c>
    </row>
    <row r="8856" spans="1:20" ht="14.5" x14ac:dyDescent="0.35">
      <c r="A8856" s="10" t="s">
        <v>40579</v>
      </c>
      <c r="B8856" s="10" t="str">
        <f>"9781785920189"</f>
        <v>9781785920189</v>
      </c>
      <c r="C8856" s="10" t="str">
        <f>"9781784502621"</f>
        <v>9781784502621</v>
      </c>
      <c r="D8856" s="10" t="s">
        <v>10516</v>
      </c>
      <c r="E8856" s="10" t="s">
        <v>10516</v>
      </c>
      <c r="F8856" s="10" t="s">
        <v>139</v>
      </c>
      <c r="G8856" s="10" t="s">
        <v>6352</v>
      </c>
      <c r="H8856" s="11">
        <v>42390</v>
      </c>
      <c r="I8856" s="10">
        <v>2016</v>
      </c>
      <c r="J8856" s="10" t="s">
        <v>10516</v>
      </c>
      <c r="K8856" s="10">
        <v>209</v>
      </c>
      <c r="L8856" s="10" t="s">
        <v>40580</v>
      </c>
      <c r="M8856" s="10">
        <v>1</v>
      </c>
      <c r="N8856" s="10"/>
      <c r="O8856" s="10"/>
      <c r="P8856" s="10" t="s">
        <v>40581</v>
      </c>
      <c r="Q8856" s="10">
        <v>371.9</v>
      </c>
      <c r="R8856" s="10" t="s">
        <v>40582</v>
      </c>
      <c r="S8856" s="10" t="s">
        <v>53</v>
      </c>
      <c r="T8856" s="10" t="s">
        <v>54</v>
      </c>
    </row>
    <row r="8857" spans="1:20" ht="14.5" x14ac:dyDescent="0.35">
      <c r="A8857" s="10" t="s">
        <v>29381</v>
      </c>
      <c r="B8857" s="10" t="str">
        <f>"9781784416706"</f>
        <v>9781784416706</v>
      </c>
      <c r="C8857" s="10" t="str">
        <f>"9781784416690"</f>
        <v>9781784416690</v>
      </c>
      <c r="D8857" s="10" t="s">
        <v>8699</v>
      </c>
      <c r="E8857" s="10" t="s">
        <v>8699</v>
      </c>
      <c r="F8857" s="10" t="s">
        <v>559</v>
      </c>
      <c r="G8857" s="10" t="s">
        <v>6352</v>
      </c>
      <c r="H8857" s="11">
        <v>42240</v>
      </c>
      <c r="I8857" s="10">
        <v>2015</v>
      </c>
      <c r="J8857" s="10" t="s">
        <v>8699</v>
      </c>
      <c r="K8857" s="10">
        <v>363</v>
      </c>
      <c r="L8857" s="10" t="s">
        <v>40583</v>
      </c>
      <c r="M8857" s="10">
        <v>1</v>
      </c>
      <c r="N8857" s="10" t="s">
        <v>17877</v>
      </c>
      <c r="O8857" s="10" t="s">
        <v>40584</v>
      </c>
      <c r="P8857" s="10" t="s">
        <v>29781</v>
      </c>
      <c r="Q8857" s="10"/>
      <c r="R8857" s="10" t="s">
        <v>40201</v>
      </c>
      <c r="S8857" s="10" t="s">
        <v>53</v>
      </c>
      <c r="T8857" s="10" t="s">
        <v>8760</v>
      </c>
    </row>
    <row r="8858" spans="1:20" ht="14.5" x14ac:dyDescent="0.35">
      <c r="A8858" s="10" t="s">
        <v>40585</v>
      </c>
      <c r="B8858" s="10" t="str">
        <f>"9781784416720"</f>
        <v>9781784416720</v>
      </c>
      <c r="C8858" s="10" t="str">
        <f>"9781784416713"</f>
        <v>9781784416713</v>
      </c>
      <c r="D8858" s="10" t="s">
        <v>8699</v>
      </c>
      <c r="E8858" s="10" t="s">
        <v>8699</v>
      </c>
      <c r="F8858" s="10" t="s">
        <v>559</v>
      </c>
      <c r="G8858" s="10" t="s">
        <v>6352</v>
      </c>
      <c r="H8858" s="11">
        <v>42284</v>
      </c>
      <c r="I8858" s="10">
        <v>2015</v>
      </c>
      <c r="J8858" s="10" t="s">
        <v>8699</v>
      </c>
      <c r="K8858" s="10">
        <v>201</v>
      </c>
      <c r="L8858" s="10" t="s">
        <v>40586</v>
      </c>
      <c r="M8858" s="10">
        <v>1</v>
      </c>
      <c r="N8858" s="10" t="s">
        <v>17877</v>
      </c>
      <c r="O8858" s="10">
        <v>25</v>
      </c>
      <c r="P8858" s="10" t="s">
        <v>29781</v>
      </c>
      <c r="Q8858" s="10">
        <v>370</v>
      </c>
      <c r="R8858" s="10" t="s">
        <v>15587</v>
      </c>
      <c r="S8858" s="10" t="s">
        <v>53</v>
      </c>
      <c r="T8858" s="10" t="s">
        <v>54</v>
      </c>
    </row>
    <row r="8859" spans="1:20" ht="14.5" x14ac:dyDescent="0.35">
      <c r="A8859" s="10" t="s">
        <v>40587</v>
      </c>
      <c r="B8859" s="10" t="str">
        <f>"9781681233789"</f>
        <v>9781681233789</v>
      </c>
      <c r="C8859" s="10" t="str">
        <f>"9781681233802"</f>
        <v>9781681233802</v>
      </c>
      <c r="D8859" s="10" t="s">
        <v>274</v>
      </c>
      <c r="E8859" s="10" t="s">
        <v>35170</v>
      </c>
      <c r="F8859" s="10" t="s">
        <v>35171</v>
      </c>
      <c r="G8859" s="10" t="s">
        <v>6317</v>
      </c>
      <c r="H8859" s="11">
        <v>42368</v>
      </c>
      <c r="I8859" s="10">
        <v>2015</v>
      </c>
      <c r="J8859" s="10" t="s">
        <v>35170</v>
      </c>
      <c r="K8859" s="10">
        <v>234</v>
      </c>
      <c r="L8859" s="10" t="s">
        <v>40588</v>
      </c>
      <c r="M8859" s="10">
        <v>1</v>
      </c>
      <c r="N8859" s="10" t="s">
        <v>35708</v>
      </c>
      <c r="O8859" s="10"/>
      <c r="P8859" s="10" t="s">
        <v>40589</v>
      </c>
      <c r="Q8859" s="10" t="s">
        <v>21008</v>
      </c>
      <c r="R8859" s="10" t="s">
        <v>40590</v>
      </c>
      <c r="S8859" s="10" t="s">
        <v>53</v>
      </c>
      <c r="T8859" s="10" t="s">
        <v>31215</v>
      </c>
    </row>
    <row r="8860" spans="1:20" ht="14.5" x14ac:dyDescent="0.35">
      <c r="A8860" s="10" t="s">
        <v>40591</v>
      </c>
      <c r="B8860" s="10" t="str">
        <f>"9781681232331"</f>
        <v>9781681232331</v>
      </c>
      <c r="C8860" s="10" t="str">
        <f>"9781681232355"</f>
        <v>9781681232355</v>
      </c>
      <c r="D8860" s="10" t="s">
        <v>274</v>
      </c>
      <c r="E8860" s="10" t="s">
        <v>35170</v>
      </c>
      <c r="F8860" s="10" t="s">
        <v>35171</v>
      </c>
      <c r="G8860" s="10" t="s">
        <v>6317</v>
      </c>
      <c r="H8860" s="11">
        <v>42368</v>
      </c>
      <c r="I8860" s="10">
        <v>2015</v>
      </c>
      <c r="J8860" s="10" t="s">
        <v>35170</v>
      </c>
      <c r="K8860" s="10">
        <v>189</v>
      </c>
      <c r="L8860" s="10" t="s">
        <v>40592</v>
      </c>
      <c r="M8860" s="10">
        <v>1</v>
      </c>
      <c r="N8860" s="10"/>
      <c r="O8860" s="10"/>
      <c r="P8860" s="10" t="s">
        <v>40593</v>
      </c>
      <c r="Q8860" s="10" t="s">
        <v>40594</v>
      </c>
      <c r="R8860" s="10" t="s">
        <v>40595</v>
      </c>
      <c r="S8860" s="10" t="s">
        <v>53</v>
      </c>
      <c r="T8860" s="10" t="s">
        <v>6363</v>
      </c>
    </row>
    <row r="8861" spans="1:20" ht="14.5" x14ac:dyDescent="0.35">
      <c r="A8861" s="10" t="s">
        <v>40596</v>
      </c>
      <c r="B8861" s="10" t="str">
        <f>"9781681233567"</f>
        <v>9781681233567</v>
      </c>
      <c r="C8861" s="10" t="str">
        <f>"9781681233581"</f>
        <v>9781681233581</v>
      </c>
      <c r="D8861" s="10" t="s">
        <v>274</v>
      </c>
      <c r="E8861" s="10" t="s">
        <v>35170</v>
      </c>
      <c r="F8861" s="10" t="s">
        <v>35171</v>
      </c>
      <c r="G8861" s="10" t="s">
        <v>6317</v>
      </c>
      <c r="H8861" s="11">
        <v>42305</v>
      </c>
      <c r="I8861" s="10">
        <v>2015</v>
      </c>
      <c r="J8861" s="10" t="s">
        <v>35170</v>
      </c>
      <c r="K8861" s="10">
        <v>151</v>
      </c>
      <c r="L8861" s="10" t="s">
        <v>40597</v>
      </c>
      <c r="M8861" s="10">
        <v>1</v>
      </c>
      <c r="N8861" s="10" t="s">
        <v>35776</v>
      </c>
      <c r="O8861" s="10"/>
      <c r="P8861" s="10" t="s">
        <v>40598</v>
      </c>
      <c r="Q8861" s="10">
        <v>808.00710000000004</v>
      </c>
      <c r="R8861" s="10" t="s">
        <v>40599</v>
      </c>
      <c r="S8861" s="10" t="s">
        <v>53</v>
      </c>
      <c r="T8861" s="10" t="s">
        <v>1166</v>
      </c>
    </row>
    <row r="8862" spans="1:20" ht="14.5" x14ac:dyDescent="0.35">
      <c r="A8862" s="10" t="s">
        <v>40600</v>
      </c>
      <c r="B8862" s="10" t="str">
        <f>"9783842893658"</f>
        <v>9783842893658</v>
      </c>
      <c r="C8862" s="10" t="str">
        <f>"9783842843653"</f>
        <v>9783842843653</v>
      </c>
      <c r="D8862" s="10" t="s">
        <v>27189</v>
      </c>
      <c r="E8862" s="10" t="s">
        <v>27190</v>
      </c>
      <c r="F8862" s="10" t="s">
        <v>2925</v>
      </c>
      <c r="G8862" s="10" t="s">
        <v>9998</v>
      </c>
      <c r="H8862" s="11">
        <v>42125</v>
      </c>
      <c r="I8862" s="10">
        <v>2015</v>
      </c>
      <c r="J8862" s="10" t="s">
        <v>27190</v>
      </c>
      <c r="K8862" s="10">
        <v>85</v>
      </c>
      <c r="L8862" s="10" t="s">
        <v>40601</v>
      </c>
      <c r="M8862" s="10">
        <v>1</v>
      </c>
      <c r="N8862" s="10"/>
      <c r="O8862" s="10"/>
      <c r="P8862" s="10" t="s">
        <v>40602</v>
      </c>
      <c r="Q8862" s="10">
        <v>378.19801899999902</v>
      </c>
      <c r="R8862" s="10" t="s">
        <v>40603</v>
      </c>
      <c r="S8862" s="10" t="s">
        <v>1519</v>
      </c>
      <c r="T8862" s="10" t="s">
        <v>54</v>
      </c>
    </row>
    <row r="8863" spans="1:20" ht="14.5" x14ac:dyDescent="0.35">
      <c r="A8863" s="10" t="s">
        <v>40604</v>
      </c>
      <c r="B8863" s="10" t="str">
        <f>"9783842898561"</f>
        <v>9783842898561</v>
      </c>
      <c r="C8863" s="10" t="str">
        <f>"9783842848566"</f>
        <v>9783842848566</v>
      </c>
      <c r="D8863" s="10" t="s">
        <v>27189</v>
      </c>
      <c r="E8863" s="10" t="s">
        <v>27190</v>
      </c>
      <c r="F8863" s="10" t="s">
        <v>2925</v>
      </c>
      <c r="G8863" s="10" t="s">
        <v>9998</v>
      </c>
      <c r="H8863" s="11">
        <v>42125</v>
      </c>
      <c r="I8863" s="10">
        <v>2015</v>
      </c>
      <c r="J8863" s="10" t="s">
        <v>27190</v>
      </c>
      <c r="K8863" s="10">
        <v>77</v>
      </c>
      <c r="L8863" s="10" t="s">
        <v>40605</v>
      </c>
      <c r="M8863" s="10">
        <v>1</v>
      </c>
      <c r="N8863" s="10"/>
      <c r="O8863" s="10"/>
      <c r="P8863" s="10" t="s">
        <v>40606</v>
      </c>
      <c r="Q8863" s="10">
        <v>361.10140000000001</v>
      </c>
      <c r="R8863" s="10" t="s">
        <v>40607</v>
      </c>
      <c r="S8863" s="10" t="s">
        <v>1519</v>
      </c>
      <c r="T8863" s="10" t="s">
        <v>6363</v>
      </c>
    </row>
    <row r="8864" spans="1:20" ht="14.5" x14ac:dyDescent="0.35">
      <c r="A8864" s="10" t="s">
        <v>40608</v>
      </c>
      <c r="B8864" s="10" t="str">
        <f>"9783959345323"</f>
        <v>9783959345323</v>
      </c>
      <c r="C8864" s="10" t="str">
        <f>"9783959340328"</f>
        <v>9783959340328</v>
      </c>
      <c r="D8864" s="10" t="s">
        <v>27189</v>
      </c>
      <c r="E8864" s="10" t="s">
        <v>27190</v>
      </c>
      <c r="F8864" s="10" t="s">
        <v>2925</v>
      </c>
      <c r="G8864" s="10" t="s">
        <v>9998</v>
      </c>
      <c r="H8864" s="11">
        <v>42095</v>
      </c>
      <c r="I8864" s="10">
        <v>2015</v>
      </c>
      <c r="J8864" s="10" t="s">
        <v>27190</v>
      </c>
      <c r="K8864" s="10">
        <v>78</v>
      </c>
      <c r="L8864" s="10" t="s">
        <v>40609</v>
      </c>
      <c r="M8864" s="10">
        <v>1</v>
      </c>
      <c r="N8864" s="10"/>
      <c r="O8864" s="10"/>
      <c r="P8864" s="10" t="s">
        <v>40610</v>
      </c>
      <c r="Q8864" s="10">
        <v>371.94</v>
      </c>
      <c r="R8864" s="10" t="s">
        <v>40611</v>
      </c>
      <c r="S8864" s="10" t="s">
        <v>1519</v>
      </c>
      <c r="T8864" s="10" t="s">
        <v>54</v>
      </c>
    </row>
    <row r="8865" spans="1:20" ht="14.5" x14ac:dyDescent="0.35">
      <c r="A8865" s="10" t="s">
        <v>40612</v>
      </c>
      <c r="B8865" s="10" t="str">
        <f>"9783959346511"</f>
        <v>9783959346511</v>
      </c>
      <c r="C8865" s="10" t="str">
        <f>"9783959341516"</f>
        <v>9783959341516</v>
      </c>
      <c r="D8865" s="10" t="s">
        <v>27189</v>
      </c>
      <c r="E8865" s="10" t="s">
        <v>27190</v>
      </c>
      <c r="F8865" s="10" t="s">
        <v>2925</v>
      </c>
      <c r="G8865" s="10" t="s">
        <v>9998</v>
      </c>
      <c r="H8865" s="11">
        <v>42186</v>
      </c>
      <c r="I8865" s="10">
        <v>2015</v>
      </c>
      <c r="J8865" s="10" t="s">
        <v>27190</v>
      </c>
      <c r="K8865" s="10">
        <v>80</v>
      </c>
      <c r="L8865" s="10" t="s">
        <v>40613</v>
      </c>
      <c r="M8865" s="10">
        <v>1</v>
      </c>
      <c r="N8865" s="10"/>
      <c r="O8865" s="10"/>
      <c r="P8865" s="10" t="s">
        <v>40614</v>
      </c>
      <c r="Q8865" s="10">
        <v>428.00711999999902</v>
      </c>
      <c r="R8865" s="10" t="s">
        <v>40615</v>
      </c>
      <c r="S8865" s="10" t="s">
        <v>1519</v>
      </c>
      <c r="T8865" s="10" t="s">
        <v>6634</v>
      </c>
    </row>
    <row r="8866" spans="1:20" ht="14.5" x14ac:dyDescent="0.35">
      <c r="A8866" s="10" t="s">
        <v>40616</v>
      </c>
      <c r="B8866" s="10" t="str">
        <f>"9783959345866"</f>
        <v>9783959345866</v>
      </c>
      <c r="C8866" s="10" t="str">
        <f>"9783959340861"</f>
        <v>9783959340861</v>
      </c>
      <c r="D8866" s="10" t="s">
        <v>27189</v>
      </c>
      <c r="E8866" s="10" t="s">
        <v>27190</v>
      </c>
      <c r="F8866" s="10" t="s">
        <v>2925</v>
      </c>
      <c r="G8866" s="10" t="s">
        <v>9998</v>
      </c>
      <c r="H8866" s="11">
        <v>42186</v>
      </c>
      <c r="I8866" s="10">
        <v>2015</v>
      </c>
      <c r="J8866" s="10" t="s">
        <v>27190</v>
      </c>
      <c r="K8866" s="10">
        <v>77</v>
      </c>
      <c r="L8866" s="10" t="s">
        <v>40617</v>
      </c>
      <c r="M8866" s="10">
        <v>1</v>
      </c>
      <c r="N8866" s="10"/>
      <c r="O8866" s="10"/>
      <c r="P8866" s="10" t="s">
        <v>40618</v>
      </c>
      <c r="Q8866" s="10">
        <v>371.10019</v>
      </c>
      <c r="R8866" s="10" t="s">
        <v>40619</v>
      </c>
      <c r="S8866" s="10" t="s">
        <v>1519</v>
      </c>
      <c r="T8866" s="10" t="s">
        <v>54</v>
      </c>
    </row>
    <row r="8867" spans="1:20" ht="14.5" x14ac:dyDescent="0.35">
      <c r="A8867" s="10" t="s">
        <v>40620</v>
      </c>
      <c r="B8867" s="10" t="str">
        <f>"9783959345651"</f>
        <v>9783959345651</v>
      </c>
      <c r="C8867" s="10" t="str">
        <f>"9783959340656"</f>
        <v>9783959340656</v>
      </c>
      <c r="D8867" s="10" t="s">
        <v>27189</v>
      </c>
      <c r="E8867" s="10" t="s">
        <v>27190</v>
      </c>
      <c r="F8867" s="10" t="s">
        <v>2925</v>
      </c>
      <c r="G8867" s="10" t="s">
        <v>9998</v>
      </c>
      <c r="H8867" s="11">
        <v>42095</v>
      </c>
      <c r="I8867" s="10">
        <v>2015</v>
      </c>
      <c r="J8867" s="10" t="s">
        <v>27190</v>
      </c>
      <c r="K8867" s="10">
        <v>102</v>
      </c>
      <c r="L8867" s="10" t="s">
        <v>40621</v>
      </c>
      <c r="M8867" s="10">
        <v>1</v>
      </c>
      <c r="N8867" s="10"/>
      <c r="O8867" s="10"/>
      <c r="P8867" s="10" t="s">
        <v>40622</v>
      </c>
      <c r="Q8867" s="10">
        <v>371.26</v>
      </c>
      <c r="R8867" s="10" t="s">
        <v>18240</v>
      </c>
      <c r="S8867" s="10" t="s">
        <v>1519</v>
      </c>
      <c r="T8867" s="10" t="s">
        <v>54</v>
      </c>
    </row>
    <row r="8868" spans="1:20" ht="14.5" x14ac:dyDescent="0.35">
      <c r="A8868" s="10" t="s">
        <v>40623</v>
      </c>
      <c r="B8868" s="10" t="str">
        <f>"9781782385950"</f>
        <v>9781782385950</v>
      </c>
      <c r="C8868" s="10" t="str">
        <f>"9781782385967"</f>
        <v>9781782385967</v>
      </c>
      <c r="D8868" s="10" t="s">
        <v>21315</v>
      </c>
      <c r="E8868" s="10" t="s">
        <v>21316</v>
      </c>
      <c r="F8868" s="10" t="s">
        <v>13068</v>
      </c>
      <c r="G8868" s="10" t="s">
        <v>6317</v>
      </c>
      <c r="H8868" s="11">
        <v>42064</v>
      </c>
      <c r="I8868" s="10">
        <v>2015</v>
      </c>
      <c r="J8868" s="10" t="s">
        <v>21316</v>
      </c>
      <c r="K8868" s="10">
        <v>225</v>
      </c>
      <c r="L8868" s="10" t="s">
        <v>40624</v>
      </c>
      <c r="M8868" s="10">
        <v>1</v>
      </c>
      <c r="N8868" s="10" t="s">
        <v>40625</v>
      </c>
      <c r="O8868" s="10">
        <v>1</v>
      </c>
      <c r="P8868" s="10" t="s">
        <v>40626</v>
      </c>
      <c r="Q8868" s="10" t="s">
        <v>7307</v>
      </c>
      <c r="R8868" s="10" t="s">
        <v>40627</v>
      </c>
      <c r="S8868" s="10" t="s">
        <v>53</v>
      </c>
      <c r="T8868" s="10" t="s">
        <v>54</v>
      </c>
    </row>
    <row r="8869" spans="1:20" ht="14.5" x14ac:dyDescent="0.35">
      <c r="A8869" s="10" t="s">
        <v>40628</v>
      </c>
      <c r="B8869" s="10" t="str">
        <f>"9781475821543"</f>
        <v>9781475821543</v>
      </c>
      <c r="C8869" s="10" t="str">
        <f>"9781475821550"</f>
        <v>9781475821550</v>
      </c>
      <c r="D8869" s="10" t="s">
        <v>9752</v>
      </c>
      <c r="E8869" s="10" t="s">
        <v>15187</v>
      </c>
      <c r="F8869" s="10" t="s">
        <v>9754</v>
      </c>
      <c r="G8869" s="10" t="s">
        <v>6317</v>
      </c>
      <c r="H8869" s="11">
        <v>41744</v>
      </c>
      <c r="I8869" s="10">
        <v>2014</v>
      </c>
      <c r="J8869" s="10" t="s">
        <v>15187</v>
      </c>
      <c r="K8869" s="10">
        <v>252</v>
      </c>
      <c r="L8869" s="10" t="s">
        <v>40629</v>
      </c>
      <c r="M8869" s="10">
        <v>1</v>
      </c>
      <c r="N8869" s="10" t="s">
        <v>40630</v>
      </c>
      <c r="O8869" s="10"/>
      <c r="P8869" s="10" t="s">
        <v>40631</v>
      </c>
      <c r="Q8869" s="10">
        <v>812.54</v>
      </c>
      <c r="R8869" s="10" t="s">
        <v>40632</v>
      </c>
      <c r="S8869" s="10" t="s">
        <v>53</v>
      </c>
      <c r="T8869" s="10" t="s">
        <v>1166</v>
      </c>
    </row>
    <row r="8870" spans="1:20" ht="14.5" x14ac:dyDescent="0.35">
      <c r="A8870" s="10" t="s">
        <v>40633</v>
      </c>
      <c r="B8870" s="10" t="str">
        <f>"9781475824667"</f>
        <v>9781475824667</v>
      </c>
      <c r="C8870" s="10" t="str">
        <f>"9781475824674"</f>
        <v>9781475824674</v>
      </c>
      <c r="D8870" s="10" t="s">
        <v>9752</v>
      </c>
      <c r="E8870" s="10" t="s">
        <v>15187</v>
      </c>
      <c r="F8870" s="10" t="s">
        <v>9754</v>
      </c>
      <c r="G8870" s="10" t="s">
        <v>6317</v>
      </c>
      <c r="H8870" s="11">
        <v>42395</v>
      </c>
      <c r="I8870" s="10">
        <v>2016</v>
      </c>
      <c r="J8870" s="10" t="s">
        <v>15187</v>
      </c>
      <c r="K8870" s="10">
        <v>65</v>
      </c>
      <c r="L8870" s="10" t="s">
        <v>40150</v>
      </c>
      <c r="M8870" s="10">
        <v>1</v>
      </c>
      <c r="N8870" s="10" t="s">
        <v>40151</v>
      </c>
      <c r="O8870" s="10"/>
      <c r="P8870" s="10" t="s">
        <v>40634</v>
      </c>
      <c r="Q8870" s="10" t="s">
        <v>7299</v>
      </c>
      <c r="R8870" s="10" t="s">
        <v>40635</v>
      </c>
      <c r="S8870" s="10" t="s">
        <v>53</v>
      </c>
      <c r="T8870" s="10" t="s">
        <v>54</v>
      </c>
    </row>
    <row r="8871" spans="1:20" ht="14.5" x14ac:dyDescent="0.35">
      <c r="A8871" s="10" t="s">
        <v>40636</v>
      </c>
      <c r="B8871" s="10" t="str">
        <f>"9781588269072"</f>
        <v>9781588269072</v>
      </c>
      <c r="C8871" s="10" t="str">
        <f>"9781626374867"</f>
        <v>9781626374867</v>
      </c>
      <c r="D8871" s="10" t="s">
        <v>36114</v>
      </c>
      <c r="E8871" s="10" t="s">
        <v>36114</v>
      </c>
      <c r="F8871" s="10" t="s">
        <v>36115</v>
      </c>
      <c r="G8871" s="10" t="s">
        <v>6317</v>
      </c>
      <c r="H8871" s="11">
        <v>41892</v>
      </c>
      <c r="I8871" s="10">
        <v>2014</v>
      </c>
      <c r="J8871" s="10" t="s">
        <v>36114</v>
      </c>
      <c r="K8871" s="10">
        <v>304</v>
      </c>
      <c r="L8871" s="10" t="s">
        <v>40637</v>
      </c>
      <c r="M8871" s="10">
        <v>1</v>
      </c>
      <c r="N8871" s="10" t="s">
        <v>40638</v>
      </c>
      <c r="O8871" s="10"/>
      <c r="P8871" s="10" t="s">
        <v>40639</v>
      </c>
      <c r="Q8871" s="10">
        <v>371.78199999999998</v>
      </c>
      <c r="R8871" s="10" t="s">
        <v>40640</v>
      </c>
      <c r="S8871" s="10" t="s">
        <v>53</v>
      </c>
      <c r="T8871" s="10" t="s">
        <v>54</v>
      </c>
    </row>
    <row r="8872" spans="1:20" ht="14.5" x14ac:dyDescent="0.35">
      <c r="A8872" s="10" t="s">
        <v>40641</v>
      </c>
      <c r="B8872" s="10" t="str">
        <f>"9781472592491"</f>
        <v>9781472592491</v>
      </c>
      <c r="C8872" s="10" t="str">
        <f>"9781472592514"</f>
        <v>9781472592514</v>
      </c>
      <c r="D8872" s="10" t="s">
        <v>13959</v>
      </c>
      <c r="E8872" s="10" t="s">
        <v>13960</v>
      </c>
      <c r="F8872" s="10" t="s">
        <v>139</v>
      </c>
      <c r="G8872" s="10" t="s">
        <v>6352</v>
      </c>
      <c r="H8872" s="11">
        <v>42817</v>
      </c>
      <c r="I8872" s="10">
        <v>2016</v>
      </c>
      <c r="J8872" s="10" t="s">
        <v>14057</v>
      </c>
      <c r="K8872" s="10">
        <v>312</v>
      </c>
      <c r="L8872" s="10" t="s">
        <v>40642</v>
      </c>
      <c r="M8872" s="10">
        <v>1</v>
      </c>
      <c r="N8872" s="10" t="s">
        <v>26015</v>
      </c>
      <c r="O8872" s="10"/>
      <c r="P8872" s="10" t="s">
        <v>40643</v>
      </c>
      <c r="Q8872" s="10">
        <v>370.94</v>
      </c>
      <c r="R8872" s="10" t="s">
        <v>40644</v>
      </c>
      <c r="S8872" s="10" t="s">
        <v>53</v>
      </c>
      <c r="T8872" s="10" t="s">
        <v>54</v>
      </c>
    </row>
    <row r="8873" spans="1:20" ht="14.5" x14ac:dyDescent="0.35">
      <c r="A8873" s="10" t="s">
        <v>40645</v>
      </c>
      <c r="B8873" s="10" t="str">
        <f>"9780833092397"</f>
        <v>9780833092397</v>
      </c>
      <c r="C8873" s="10" t="str">
        <f>"9780833092465"</f>
        <v>9780833092465</v>
      </c>
      <c r="D8873" s="10" t="s">
        <v>8134</v>
      </c>
      <c r="E8873" s="10" t="s">
        <v>8135</v>
      </c>
      <c r="F8873" s="10" t="s">
        <v>8136</v>
      </c>
      <c r="G8873" s="10" t="s">
        <v>6317</v>
      </c>
      <c r="H8873" s="11">
        <v>42346</v>
      </c>
      <c r="I8873" s="10">
        <v>2015</v>
      </c>
      <c r="J8873" s="10" t="s">
        <v>8135</v>
      </c>
      <c r="K8873" s="10">
        <v>115</v>
      </c>
      <c r="L8873" s="10" t="s">
        <v>40646</v>
      </c>
      <c r="M8873" s="10">
        <v>1</v>
      </c>
      <c r="N8873" s="10"/>
      <c r="O8873" s="10"/>
      <c r="P8873" s="10" t="s">
        <v>40647</v>
      </c>
      <c r="Q8873" s="10" t="s">
        <v>40648</v>
      </c>
      <c r="R8873" s="10" t="s">
        <v>40649</v>
      </c>
      <c r="S8873" s="10" t="s">
        <v>53</v>
      </c>
      <c r="T8873" s="10" t="s">
        <v>54</v>
      </c>
    </row>
    <row r="8874" spans="1:20" ht="14.5" x14ac:dyDescent="0.35">
      <c r="A8874" s="10" t="s">
        <v>40650</v>
      </c>
      <c r="B8874" s="10" t="str">
        <f>"9781475822502"</f>
        <v>9781475822502</v>
      </c>
      <c r="C8874" s="10" t="str">
        <f>"9781475822519"</f>
        <v>9781475822519</v>
      </c>
      <c r="D8874" s="10" t="s">
        <v>9752</v>
      </c>
      <c r="E8874" s="10" t="s">
        <v>15187</v>
      </c>
      <c r="F8874" s="10" t="s">
        <v>9754</v>
      </c>
      <c r="G8874" s="10" t="s">
        <v>6317</v>
      </c>
      <c r="H8874" s="11">
        <v>42408</v>
      </c>
      <c r="I8874" s="10">
        <v>2016</v>
      </c>
      <c r="J8874" s="10" t="s">
        <v>15187</v>
      </c>
      <c r="K8874" s="10">
        <v>195</v>
      </c>
      <c r="L8874" s="10" t="s">
        <v>40651</v>
      </c>
      <c r="M8874" s="10">
        <v>1</v>
      </c>
      <c r="N8874" s="10"/>
      <c r="O8874" s="10"/>
      <c r="P8874" s="10" t="s">
        <v>40652</v>
      </c>
      <c r="Q8874" s="10" t="s">
        <v>7299</v>
      </c>
      <c r="R8874" s="10" t="s">
        <v>40653</v>
      </c>
      <c r="S8874" s="10" t="s">
        <v>53</v>
      </c>
      <c r="T8874" s="10" t="s">
        <v>54</v>
      </c>
    </row>
    <row r="8875" spans="1:20" ht="14.5" x14ac:dyDescent="0.35">
      <c r="A8875" s="10" t="s">
        <v>40654</v>
      </c>
      <c r="B8875" s="10" t="str">
        <f>"9781475823240"</f>
        <v>9781475823240</v>
      </c>
      <c r="C8875" s="10" t="str">
        <f>"9781475823257"</f>
        <v>9781475823257</v>
      </c>
      <c r="D8875" s="10" t="s">
        <v>9752</v>
      </c>
      <c r="E8875" s="10" t="s">
        <v>15187</v>
      </c>
      <c r="F8875" s="10" t="s">
        <v>9754</v>
      </c>
      <c r="G8875" s="10" t="s">
        <v>6317</v>
      </c>
      <c r="H8875" s="11">
        <v>42402</v>
      </c>
      <c r="I8875" s="10">
        <v>2016</v>
      </c>
      <c r="J8875" s="10" t="s">
        <v>15187</v>
      </c>
      <c r="K8875" s="10">
        <v>225</v>
      </c>
      <c r="L8875" s="10" t="s">
        <v>40655</v>
      </c>
      <c r="M8875" s="10">
        <v>1</v>
      </c>
      <c r="N8875" s="10"/>
      <c r="O8875" s="10"/>
      <c r="P8875" s="10" t="s">
        <v>40656</v>
      </c>
      <c r="Q8875" s="10" t="s">
        <v>7069</v>
      </c>
      <c r="R8875" s="10" t="s">
        <v>31356</v>
      </c>
      <c r="S8875" s="10" t="s">
        <v>53</v>
      </c>
      <c r="T8875" s="10" t="s">
        <v>54</v>
      </c>
    </row>
    <row r="8876" spans="1:20" ht="14.5" x14ac:dyDescent="0.35">
      <c r="A8876" s="10" t="s">
        <v>40657</v>
      </c>
      <c r="B8876" s="10" t="str">
        <f>"9781475825947"</f>
        <v>9781475825947</v>
      </c>
      <c r="C8876" s="10" t="str">
        <f>"9781475825954"</f>
        <v>9781475825954</v>
      </c>
      <c r="D8876" s="10" t="s">
        <v>9752</v>
      </c>
      <c r="E8876" s="10" t="s">
        <v>15187</v>
      </c>
      <c r="F8876" s="10" t="s">
        <v>9754</v>
      </c>
      <c r="G8876" s="10" t="s">
        <v>6317</v>
      </c>
      <c r="H8876" s="11">
        <v>42402</v>
      </c>
      <c r="I8876" s="10">
        <v>2016</v>
      </c>
      <c r="J8876" s="10" t="s">
        <v>15187</v>
      </c>
      <c r="K8876" s="10">
        <v>113</v>
      </c>
      <c r="L8876" s="10" t="s">
        <v>40658</v>
      </c>
      <c r="M8876" s="10">
        <v>1</v>
      </c>
      <c r="N8876" s="10"/>
      <c r="O8876" s="10"/>
      <c r="P8876" s="10" t="s">
        <v>40659</v>
      </c>
      <c r="Q8876" s="10">
        <v>371.10199999999998</v>
      </c>
      <c r="R8876" s="10" t="s">
        <v>12268</v>
      </c>
      <c r="S8876" s="10" t="s">
        <v>53</v>
      </c>
      <c r="T8876" s="10" t="s">
        <v>54</v>
      </c>
    </row>
    <row r="8877" spans="1:20" ht="14.5" x14ac:dyDescent="0.35">
      <c r="A8877" s="10" t="s">
        <v>40660</v>
      </c>
      <c r="B8877" s="10" t="str">
        <f>"9781475820287"</f>
        <v>9781475820287</v>
      </c>
      <c r="C8877" s="10" t="str">
        <f>"9781475820294"</f>
        <v>9781475820294</v>
      </c>
      <c r="D8877" s="10" t="s">
        <v>9752</v>
      </c>
      <c r="E8877" s="10" t="s">
        <v>15187</v>
      </c>
      <c r="F8877" s="10" t="s">
        <v>9754</v>
      </c>
      <c r="G8877" s="10" t="s">
        <v>6317</v>
      </c>
      <c r="H8877" s="11">
        <v>42410</v>
      </c>
      <c r="I8877" s="10">
        <v>2016</v>
      </c>
      <c r="J8877" s="10" t="s">
        <v>15187</v>
      </c>
      <c r="K8877" s="10">
        <v>125</v>
      </c>
      <c r="L8877" s="10" t="s">
        <v>40661</v>
      </c>
      <c r="M8877" s="10">
        <v>1</v>
      </c>
      <c r="N8877" s="10"/>
      <c r="O8877" s="10"/>
      <c r="P8877" s="10" t="s">
        <v>40662</v>
      </c>
      <c r="Q8877" s="10" t="s">
        <v>40663</v>
      </c>
      <c r="R8877" s="10" t="s">
        <v>40664</v>
      </c>
      <c r="S8877" s="10" t="s">
        <v>53</v>
      </c>
      <c r="T8877" s="10" t="s">
        <v>54</v>
      </c>
    </row>
    <row r="8878" spans="1:20" ht="14.5" x14ac:dyDescent="0.35">
      <c r="A8878" s="10" t="s">
        <v>40665</v>
      </c>
      <c r="B8878" s="10" t="str">
        <f>"9780415934046"</f>
        <v>9780415934046</v>
      </c>
      <c r="C8878" s="10" t="str">
        <f>"9781317794509"</f>
        <v>9781317794509</v>
      </c>
      <c r="D8878" s="10" t="s">
        <v>6350</v>
      </c>
      <c r="E8878" s="10" t="s">
        <v>6351</v>
      </c>
      <c r="F8878" s="10" t="s">
        <v>70</v>
      </c>
      <c r="G8878" s="10" t="s">
        <v>6352</v>
      </c>
      <c r="H8878" s="11">
        <v>37484</v>
      </c>
      <c r="I8878" s="10">
        <v>2002</v>
      </c>
      <c r="J8878" s="10" t="s">
        <v>6353</v>
      </c>
      <c r="K8878" s="10">
        <v>164</v>
      </c>
      <c r="L8878" s="10" t="s">
        <v>40666</v>
      </c>
      <c r="M8878" s="10">
        <v>1</v>
      </c>
      <c r="N8878" s="10" t="s">
        <v>8119</v>
      </c>
      <c r="O8878" s="10"/>
      <c r="P8878" s="10" t="s">
        <v>40667</v>
      </c>
      <c r="Q8878" s="10">
        <v>379.12909519999999</v>
      </c>
      <c r="R8878" s="10" t="s">
        <v>40668</v>
      </c>
      <c r="S8878" s="10" t="s">
        <v>53</v>
      </c>
      <c r="T8878" s="10" t="s">
        <v>54</v>
      </c>
    </row>
    <row r="8879" spans="1:20" ht="14.5" x14ac:dyDescent="0.35">
      <c r="A8879" s="10" t="s">
        <v>40669</v>
      </c>
      <c r="B8879" s="10" t="str">
        <f>"9781475808124"</f>
        <v>9781475808124</v>
      </c>
      <c r="C8879" s="10" t="str">
        <f>"9781475808131"</f>
        <v>9781475808131</v>
      </c>
      <c r="D8879" s="10" t="s">
        <v>9752</v>
      </c>
      <c r="E8879" s="10" t="s">
        <v>15187</v>
      </c>
      <c r="F8879" s="10" t="s">
        <v>9754</v>
      </c>
      <c r="G8879" s="10" t="s">
        <v>6317</v>
      </c>
      <c r="H8879" s="11">
        <v>42389</v>
      </c>
      <c r="I8879" s="10">
        <v>2016</v>
      </c>
      <c r="J8879" s="10" t="s">
        <v>15187</v>
      </c>
      <c r="K8879" s="10">
        <v>217</v>
      </c>
      <c r="L8879" s="10" t="s">
        <v>40670</v>
      </c>
      <c r="M8879" s="10">
        <v>1</v>
      </c>
      <c r="N8879" s="10" t="s">
        <v>39860</v>
      </c>
      <c r="O8879" s="10"/>
      <c r="P8879" s="10" t="s">
        <v>31489</v>
      </c>
      <c r="Q8879" s="10">
        <v>370.11700000000002</v>
      </c>
      <c r="R8879" s="10" t="s">
        <v>40671</v>
      </c>
      <c r="S8879" s="10" t="s">
        <v>53</v>
      </c>
      <c r="T8879" s="10" t="s">
        <v>54</v>
      </c>
    </row>
    <row r="8880" spans="1:20" ht="14.5" x14ac:dyDescent="0.35">
      <c r="A8880" s="10" t="s">
        <v>40672</v>
      </c>
      <c r="B8880" s="10" t="str">
        <f>"9781473942233"</f>
        <v>9781473942233</v>
      </c>
      <c r="C8880" s="10" t="str">
        <f>"9781473967045"</f>
        <v>9781473967045</v>
      </c>
      <c r="D8880" s="10" t="s">
        <v>9325</v>
      </c>
      <c r="E8880" s="10" t="s">
        <v>9326</v>
      </c>
      <c r="F8880" s="10" t="s">
        <v>139</v>
      </c>
      <c r="G8880" s="10" t="s">
        <v>6352</v>
      </c>
      <c r="H8880" s="11">
        <v>42374</v>
      </c>
      <c r="I8880" s="10">
        <v>2016</v>
      </c>
      <c r="J8880" s="10" t="s">
        <v>9326</v>
      </c>
      <c r="K8880" s="10">
        <v>129</v>
      </c>
      <c r="L8880" s="10" t="s">
        <v>40673</v>
      </c>
      <c r="M8880" s="10">
        <v>1</v>
      </c>
      <c r="N8880" s="10" t="s">
        <v>40674</v>
      </c>
      <c r="O8880" s="10"/>
      <c r="P8880" s="10" t="s">
        <v>40675</v>
      </c>
      <c r="Q8880" s="10">
        <v>300.72000000000003</v>
      </c>
      <c r="R8880" s="10" t="s">
        <v>40676</v>
      </c>
      <c r="S8880" s="10" t="s">
        <v>53</v>
      </c>
      <c r="T8880" s="10" t="s">
        <v>6363</v>
      </c>
    </row>
    <row r="8881" spans="1:20" ht="14.5" x14ac:dyDescent="0.35">
      <c r="A8881" s="10" t="s">
        <v>40677</v>
      </c>
      <c r="B8881" s="10" t="str">
        <f>"9781118860748"</f>
        <v>9781118860748</v>
      </c>
      <c r="C8881" s="10" t="str">
        <f>"9781118860700"</f>
        <v>9781118860700</v>
      </c>
      <c r="D8881" s="10" t="s">
        <v>6322</v>
      </c>
      <c r="E8881" s="10" t="s">
        <v>6323</v>
      </c>
      <c r="F8881" s="10" t="s">
        <v>4423</v>
      </c>
      <c r="G8881" s="10" t="s">
        <v>6317</v>
      </c>
      <c r="H8881" s="11">
        <v>42395</v>
      </c>
      <c r="I8881" s="10">
        <v>2016</v>
      </c>
      <c r="J8881" s="10" t="s">
        <v>6323</v>
      </c>
      <c r="K8881" s="10">
        <v>603</v>
      </c>
      <c r="L8881" s="10" t="s">
        <v>40678</v>
      </c>
      <c r="M8881" s="10">
        <v>3</v>
      </c>
      <c r="N8881" s="10"/>
      <c r="O8881" s="10"/>
      <c r="P8881" s="10" t="s">
        <v>40679</v>
      </c>
      <c r="Q8881" s="10">
        <v>371.26097299999998</v>
      </c>
      <c r="R8881" s="10" t="s">
        <v>29427</v>
      </c>
      <c r="S8881" s="10" t="s">
        <v>53</v>
      </c>
      <c r="T8881" s="10" t="s">
        <v>54</v>
      </c>
    </row>
    <row r="8882" spans="1:20" ht="14.5" x14ac:dyDescent="0.35">
      <c r="A8882" s="10" t="s">
        <v>40680</v>
      </c>
      <c r="B8882" s="10" t="str">
        <f>"9781849056922"</f>
        <v>9781849056922</v>
      </c>
      <c r="C8882" s="10" t="str">
        <f>"9781784502294"</f>
        <v>9781784502294</v>
      </c>
      <c r="D8882" s="10" t="s">
        <v>10516</v>
      </c>
      <c r="E8882" s="10" t="s">
        <v>10516</v>
      </c>
      <c r="F8882" s="10" t="s">
        <v>139</v>
      </c>
      <c r="G8882" s="10" t="s">
        <v>6352</v>
      </c>
      <c r="H8882" s="11">
        <v>42421</v>
      </c>
      <c r="I8882" s="10">
        <v>2016</v>
      </c>
      <c r="J8882" s="10" t="s">
        <v>10516</v>
      </c>
      <c r="K8882" s="10">
        <v>154</v>
      </c>
      <c r="L8882" s="10" t="s">
        <v>10640</v>
      </c>
      <c r="M8882" s="10">
        <v>1</v>
      </c>
      <c r="N8882" s="10"/>
      <c r="O8882" s="10"/>
      <c r="P8882" s="10" t="s">
        <v>27170</v>
      </c>
      <c r="Q8882" s="10">
        <v>371.71300000000002</v>
      </c>
      <c r="R8882" s="10" t="s">
        <v>40681</v>
      </c>
      <c r="S8882" s="10" t="s">
        <v>53</v>
      </c>
      <c r="T8882" s="10" t="s">
        <v>54</v>
      </c>
    </row>
    <row r="8883" spans="1:20" ht="14.5" x14ac:dyDescent="0.35">
      <c r="A8883" s="10" t="s">
        <v>40682</v>
      </c>
      <c r="B8883" s="10" t="str">
        <f>"9788181521514"</f>
        <v>9788181521514</v>
      </c>
      <c r="C8883" s="10" t="str">
        <f>"9789350439388"</f>
        <v>9789350439388</v>
      </c>
      <c r="D8883" s="10" t="s">
        <v>17302</v>
      </c>
      <c r="E8883" s="10" t="s">
        <v>17302</v>
      </c>
      <c r="F8883" s="10" t="s">
        <v>40683</v>
      </c>
      <c r="G8883" s="10" t="s">
        <v>13425</v>
      </c>
      <c r="H8883" s="11">
        <v>39052</v>
      </c>
      <c r="I8883" s="10">
        <v>2007</v>
      </c>
      <c r="J8883" s="10" t="s">
        <v>40684</v>
      </c>
      <c r="K8883" s="10">
        <v>257</v>
      </c>
      <c r="L8883" s="10" t="s">
        <v>40685</v>
      </c>
      <c r="M8883" s="10"/>
      <c r="N8883" s="10"/>
      <c r="O8883" s="10"/>
      <c r="P8883" s="10" t="s">
        <v>40686</v>
      </c>
      <c r="Q8883" s="10">
        <v>372.12011999999902</v>
      </c>
      <c r="R8883" s="10" t="s">
        <v>40687</v>
      </c>
      <c r="S8883" s="10" t="s">
        <v>53</v>
      </c>
      <c r="T8883" s="10" t="s">
        <v>54</v>
      </c>
    </row>
    <row r="8884" spans="1:20" ht="14.5" x14ac:dyDescent="0.35">
      <c r="A8884" s="10" t="s">
        <v>40688</v>
      </c>
      <c r="B8884" s="10" t="str">
        <f>"9781475813975"</f>
        <v>9781475813975</v>
      </c>
      <c r="C8884" s="10" t="str">
        <f>"9781475813999"</f>
        <v>9781475813999</v>
      </c>
      <c r="D8884" s="10" t="s">
        <v>9752</v>
      </c>
      <c r="E8884" s="10" t="s">
        <v>15187</v>
      </c>
      <c r="F8884" s="10" t="s">
        <v>9754</v>
      </c>
      <c r="G8884" s="10" t="s">
        <v>6317</v>
      </c>
      <c r="H8884" s="11">
        <v>42403</v>
      </c>
      <c r="I8884" s="10">
        <v>2016</v>
      </c>
      <c r="J8884" s="10" t="s">
        <v>15187</v>
      </c>
      <c r="K8884" s="10">
        <v>174</v>
      </c>
      <c r="L8884" s="10" t="s">
        <v>40689</v>
      </c>
      <c r="M8884" s="10">
        <v>1</v>
      </c>
      <c r="N8884" s="10"/>
      <c r="O8884" s="10"/>
      <c r="P8884" s="10" t="s">
        <v>40690</v>
      </c>
      <c r="Q8884" s="10">
        <v>371.5</v>
      </c>
      <c r="R8884" s="10" t="s">
        <v>19472</v>
      </c>
      <c r="S8884" s="10" t="s">
        <v>53</v>
      </c>
      <c r="T8884" s="10" t="s">
        <v>54</v>
      </c>
    </row>
    <row r="8885" spans="1:20" ht="14.5" x14ac:dyDescent="0.35">
      <c r="A8885" s="10" t="s">
        <v>40691</v>
      </c>
      <c r="B8885" s="10" t="str">
        <f>"9780817318888"</f>
        <v>9780817318888</v>
      </c>
      <c r="C8885" s="10" t="str">
        <f>"9780817388973"</f>
        <v>9780817388973</v>
      </c>
      <c r="D8885" s="10" t="s">
        <v>3407</v>
      </c>
      <c r="E8885" s="10" t="s">
        <v>3407</v>
      </c>
      <c r="F8885" s="10" t="s">
        <v>3408</v>
      </c>
      <c r="G8885" s="10" t="s">
        <v>6317</v>
      </c>
      <c r="H8885" s="11">
        <v>42369</v>
      </c>
      <c r="I8885" s="10">
        <v>2015</v>
      </c>
      <c r="J8885" s="10" t="s">
        <v>3407</v>
      </c>
      <c r="K8885" s="10">
        <v>377</v>
      </c>
      <c r="L8885" s="10" t="s">
        <v>40692</v>
      </c>
      <c r="M8885" s="10">
        <v>1</v>
      </c>
      <c r="N8885" s="10" t="s">
        <v>31690</v>
      </c>
      <c r="O8885" s="10">
        <v>2</v>
      </c>
      <c r="P8885" s="10" t="s">
        <v>31691</v>
      </c>
      <c r="Q8885" s="10" t="s">
        <v>40693</v>
      </c>
      <c r="R8885" s="10" t="s">
        <v>40694</v>
      </c>
      <c r="S8885" s="10" t="s">
        <v>53</v>
      </c>
      <c r="T8885" s="10" t="s">
        <v>54</v>
      </c>
    </row>
    <row r="8886" spans="1:20" ht="14.5" x14ac:dyDescent="0.35">
      <c r="A8886" s="10" t="s">
        <v>40695</v>
      </c>
      <c r="B8886" s="10" t="str">
        <f>"9781853468247"</f>
        <v>9781853468247</v>
      </c>
      <c r="C8886" s="10" t="str">
        <f>"9781134140862"</f>
        <v>9781134140862</v>
      </c>
      <c r="D8886" s="10" t="s">
        <v>6350</v>
      </c>
      <c r="E8886" s="10" t="s">
        <v>6351</v>
      </c>
      <c r="F8886" s="10" t="s">
        <v>748</v>
      </c>
      <c r="G8886" s="10" t="s">
        <v>6352</v>
      </c>
      <c r="H8886" s="11">
        <v>37358</v>
      </c>
      <c r="I8886" s="10">
        <v>2002</v>
      </c>
      <c r="J8886" s="10" t="s">
        <v>6351</v>
      </c>
      <c r="K8886" s="10">
        <v>112</v>
      </c>
      <c r="L8886" s="10" t="s">
        <v>40696</v>
      </c>
      <c r="M8886" s="10">
        <v>1</v>
      </c>
      <c r="N8886" s="10"/>
      <c r="O8886" s="10"/>
      <c r="P8886" s="10" t="s">
        <v>40697</v>
      </c>
      <c r="Q8886" s="10">
        <v>371.94</v>
      </c>
      <c r="R8886" s="10" t="s">
        <v>40698</v>
      </c>
      <c r="S8886" s="10" t="s">
        <v>53</v>
      </c>
      <c r="T8886" s="10" t="s">
        <v>54</v>
      </c>
    </row>
    <row r="8887" spans="1:20" ht="14.5" x14ac:dyDescent="0.35">
      <c r="A8887" s="10" t="s">
        <v>40699</v>
      </c>
      <c r="B8887" s="10" t="str">
        <f>"9781611175684"</f>
        <v>9781611175684</v>
      </c>
      <c r="C8887" s="10" t="str">
        <f>"9781611175691"</f>
        <v>9781611175691</v>
      </c>
      <c r="D8887" s="10" t="s">
        <v>31285</v>
      </c>
      <c r="E8887" s="10" t="s">
        <v>31285</v>
      </c>
      <c r="F8887" s="10" t="s">
        <v>3189</v>
      </c>
      <c r="G8887" s="10" t="s">
        <v>6317</v>
      </c>
      <c r="H8887" s="11">
        <v>42399</v>
      </c>
      <c r="I8887" s="10">
        <v>2016</v>
      </c>
      <c r="J8887" s="10" t="s">
        <v>31285</v>
      </c>
      <c r="K8887" s="10">
        <v>217</v>
      </c>
      <c r="L8887" s="10" t="s">
        <v>40700</v>
      </c>
      <c r="M8887" s="10">
        <v>1</v>
      </c>
      <c r="N8887" s="10"/>
      <c r="O8887" s="10"/>
      <c r="P8887" s="10" t="s">
        <v>40701</v>
      </c>
      <c r="Q8887" s="10">
        <v>370.92</v>
      </c>
      <c r="R8887" s="10" t="s">
        <v>40702</v>
      </c>
      <c r="S8887" s="10" t="s">
        <v>53</v>
      </c>
      <c r="T8887" s="10" t="s">
        <v>54</v>
      </c>
    </row>
    <row r="8888" spans="1:20" ht="14.5" x14ac:dyDescent="0.35">
      <c r="A8888" s="10" t="s">
        <v>40703</v>
      </c>
      <c r="B8888" s="10" t="str">
        <f>"9780309087292"</f>
        <v>9780309087292</v>
      </c>
      <c r="C8888" s="10" t="str">
        <f>"9780309167901"</f>
        <v>9780309167901</v>
      </c>
      <c r="D8888" s="10" t="s">
        <v>36547</v>
      </c>
      <c r="E8888" s="10" t="s">
        <v>36547</v>
      </c>
      <c r="F8888" s="10" t="s">
        <v>36548</v>
      </c>
      <c r="G8888" s="10" t="s">
        <v>6317</v>
      </c>
      <c r="H8888" s="11">
        <v>37913</v>
      </c>
      <c r="I8888" s="10">
        <v>2003</v>
      </c>
      <c r="J8888" s="10" t="s">
        <v>40704</v>
      </c>
      <c r="K8888" s="10">
        <v>264</v>
      </c>
      <c r="L8888" s="10" t="s">
        <v>40705</v>
      </c>
      <c r="M8888" s="10">
        <v>1</v>
      </c>
      <c r="N8888" s="10"/>
      <c r="O8888" s="10"/>
      <c r="P8888" s="10"/>
      <c r="Q8888" s="10"/>
      <c r="R8888" s="10"/>
      <c r="S8888" s="10" t="s">
        <v>53</v>
      </c>
      <c r="T8888" s="10" t="s">
        <v>40706</v>
      </c>
    </row>
    <row r="8889" spans="1:20" ht="14.5" x14ac:dyDescent="0.35">
      <c r="A8889" s="10" t="s">
        <v>40707</v>
      </c>
      <c r="B8889" s="10" t="str">
        <f>"9780826213242"</f>
        <v>9780826213242</v>
      </c>
      <c r="C8889" s="10" t="str">
        <f>"9780826213242"</f>
        <v>9780826213242</v>
      </c>
      <c r="D8889" s="10" t="s">
        <v>39010</v>
      </c>
      <c r="E8889" s="10" t="s">
        <v>39011</v>
      </c>
      <c r="F8889" s="10" t="s">
        <v>40708</v>
      </c>
      <c r="G8889" s="10" t="s">
        <v>6317</v>
      </c>
      <c r="H8889" s="11">
        <v>37011</v>
      </c>
      <c r="I8889" s="10">
        <v>2001</v>
      </c>
      <c r="J8889" s="10" t="s">
        <v>39011</v>
      </c>
      <c r="K8889" s="10">
        <v>407</v>
      </c>
      <c r="L8889" s="10" t="s">
        <v>40709</v>
      </c>
      <c r="M8889" s="10">
        <v>1</v>
      </c>
      <c r="N8889" s="10"/>
      <c r="O8889" s="10"/>
      <c r="P8889" s="10" t="s">
        <v>40710</v>
      </c>
      <c r="Q8889" s="10">
        <v>378.77800000000002</v>
      </c>
      <c r="R8889" s="10" t="s">
        <v>40711</v>
      </c>
      <c r="S8889" s="10" t="s">
        <v>53</v>
      </c>
      <c r="T8889" s="10" t="s">
        <v>54</v>
      </c>
    </row>
    <row r="8890" spans="1:20" ht="14.5" x14ac:dyDescent="0.35">
      <c r="A8890" s="10" t="s">
        <v>40712</v>
      </c>
      <c r="B8890" s="10" t="str">
        <f>""</f>
        <v/>
      </c>
      <c r="C8890" s="10" t="str">
        <f>"9789768125903"</f>
        <v>9789768125903</v>
      </c>
      <c r="D8890" s="10" t="s">
        <v>40713</v>
      </c>
      <c r="E8890" s="10" t="s">
        <v>40713</v>
      </c>
      <c r="F8890" s="10" t="s">
        <v>626</v>
      </c>
      <c r="G8890" s="10" t="s">
        <v>40714</v>
      </c>
      <c r="H8890" s="11">
        <v>40040</v>
      </c>
      <c r="I8890" s="10">
        <v>2009</v>
      </c>
      <c r="J8890" s="10" t="s">
        <v>40713</v>
      </c>
      <c r="K8890" s="10">
        <v>275</v>
      </c>
      <c r="L8890" s="10" t="s">
        <v>40715</v>
      </c>
      <c r="M8890" s="10">
        <v>1</v>
      </c>
      <c r="N8890" s="10"/>
      <c r="O8890" s="10"/>
      <c r="P8890" s="10" t="s">
        <v>40716</v>
      </c>
      <c r="Q8890" s="10">
        <v>378</v>
      </c>
      <c r="R8890" s="10" t="s">
        <v>40717</v>
      </c>
      <c r="S8890" s="10" t="s">
        <v>53</v>
      </c>
      <c r="T8890" s="10" t="s">
        <v>54</v>
      </c>
    </row>
    <row r="8891" spans="1:20" ht="14.5" x14ac:dyDescent="0.35">
      <c r="A8891" s="10" t="s">
        <v>40718</v>
      </c>
      <c r="B8891" s="10" t="str">
        <f>""</f>
        <v/>
      </c>
      <c r="C8891" s="10" t="str">
        <f>"9789768125736"</f>
        <v>9789768125736</v>
      </c>
      <c r="D8891" s="10" t="s">
        <v>40713</v>
      </c>
      <c r="E8891" s="10" t="s">
        <v>40713</v>
      </c>
      <c r="F8891" s="10" t="s">
        <v>626</v>
      </c>
      <c r="G8891" s="10" t="s">
        <v>40714</v>
      </c>
      <c r="H8891" s="11">
        <v>36814</v>
      </c>
      <c r="I8891" s="10">
        <v>2000</v>
      </c>
      <c r="J8891" s="10" t="s">
        <v>40713</v>
      </c>
      <c r="K8891" s="10">
        <v>82</v>
      </c>
      <c r="L8891" s="10" t="s">
        <v>40719</v>
      </c>
      <c r="M8891" s="10">
        <v>1</v>
      </c>
      <c r="N8891" s="10"/>
      <c r="O8891" s="10"/>
      <c r="P8891" s="10" t="s">
        <v>40720</v>
      </c>
      <c r="Q8891" s="10">
        <v>373.12808351097198</v>
      </c>
      <c r="R8891" s="10" t="s">
        <v>54</v>
      </c>
      <c r="S8891" s="10" t="s">
        <v>53</v>
      </c>
      <c r="T8891" s="10" t="s">
        <v>54</v>
      </c>
    </row>
    <row r="8892" spans="1:20" ht="14.5" x14ac:dyDescent="0.35">
      <c r="A8892" s="10" t="s">
        <v>40721</v>
      </c>
      <c r="B8892" s="10" t="str">
        <f>"9781582073316"</f>
        <v>9781582073316</v>
      </c>
      <c r="C8892" s="10" t="str">
        <f>""</f>
        <v/>
      </c>
      <c r="D8892" s="10" t="s">
        <v>40722</v>
      </c>
      <c r="E8892" s="10" t="s">
        <v>40723</v>
      </c>
      <c r="F8892" s="10" t="s">
        <v>765</v>
      </c>
      <c r="G8892" s="10" t="s">
        <v>6317</v>
      </c>
      <c r="H8892" s="11">
        <v>37834</v>
      </c>
      <c r="I8892" s="10">
        <v>2003</v>
      </c>
      <c r="J8892" s="10" t="s">
        <v>40723</v>
      </c>
      <c r="K8892" s="10">
        <v>111</v>
      </c>
      <c r="L8892" s="10" t="s">
        <v>40724</v>
      </c>
      <c r="M8892" s="10"/>
      <c r="N8892" s="10"/>
      <c r="O8892" s="10"/>
      <c r="P8892" s="10" t="s">
        <v>40725</v>
      </c>
      <c r="Q8892" s="10">
        <v>331.25922000000003</v>
      </c>
      <c r="R8892" s="10" t="s">
        <v>40726</v>
      </c>
      <c r="S8892" s="10" t="s">
        <v>53</v>
      </c>
      <c r="T8892" s="10" t="s">
        <v>8723</v>
      </c>
    </row>
    <row r="8893" spans="1:20" ht="14.5" x14ac:dyDescent="0.35">
      <c r="A8893" s="10" t="s">
        <v>40727</v>
      </c>
      <c r="B8893" s="10" t="str">
        <f>"9781475815528"</f>
        <v>9781475815528</v>
      </c>
      <c r="C8893" s="10" t="str">
        <f>"9781475815542"</f>
        <v>9781475815542</v>
      </c>
      <c r="D8893" s="10" t="s">
        <v>9752</v>
      </c>
      <c r="E8893" s="10" t="s">
        <v>15187</v>
      </c>
      <c r="F8893" s="10" t="s">
        <v>9754</v>
      </c>
      <c r="G8893" s="10" t="s">
        <v>6317</v>
      </c>
      <c r="H8893" s="11">
        <v>42410</v>
      </c>
      <c r="I8893" s="10">
        <v>2016</v>
      </c>
      <c r="J8893" s="10" t="s">
        <v>15187</v>
      </c>
      <c r="K8893" s="10">
        <v>159</v>
      </c>
      <c r="L8893" s="10" t="s">
        <v>40728</v>
      </c>
      <c r="M8893" s="10">
        <v>1</v>
      </c>
      <c r="N8893" s="10"/>
      <c r="O8893" s="10"/>
      <c r="P8893" s="10" t="s">
        <v>40729</v>
      </c>
      <c r="Q8893" s="10" t="s">
        <v>9757</v>
      </c>
      <c r="R8893" s="10" t="s">
        <v>40730</v>
      </c>
      <c r="S8893" s="10" t="s">
        <v>53</v>
      </c>
      <c r="T8893" s="10" t="s">
        <v>54</v>
      </c>
    </row>
    <row r="8894" spans="1:20" ht="14.5" x14ac:dyDescent="0.35">
      <c r="A8894" s="10" t="s">
        <v>40731</v>
      </c>
      <c r="B8894" s="10" t="str">
        <f>"9781118821817"</f>
        <v>9781118821817</v>
      </c>
      <c r="C8894" s="10" t="str">
        <f>"9781118821862"</f>
        <v>9781118821862</v>
      </c>
      <c r="D8894" s="10" t="s">
        <v>6322</v>
      </c>
      <c r="E8894" s="10" t="s">
        <v>6323</v>
      </c>
      <c r="F8894" s="10" t="s">
        <v>4423</v>
      </c>
      <c r="G8894" s="10" t="s">
        <v>6317</v>
      </c>
      <c r="H8894" s="11">
        <v>42429</v>
      </c>
      <c r="I8894" s="10">
        <v>2016</v>
      </c>
      <c r="J8894" s="10" t="s">
        <v>6324</v>
      </c>
      <c r="K8894" s="10">
        <v>563</v>
      </c>
      <c r="L8894" s="10" t="s">
        <v>40732</v>
      </c>
      <c r="M8894" s="10">
        <v>3</v>
      </c>
      <c r="N8894" s="10"/>
      <c r="O8894" s="10"/>
      <c r="P8894" s="10"/>
      <c r="Q8894" s="10" t="s">
        <v>14668</v>
      </c>
      <c r="R8894" s="10" t="s">
        <v>40733</v>
      </c>
      <c r="S8894" s="10" t="s">
        <v>53</v>
      </c>
      <c r="T8894" s="10" t="s">
        <v>54</v>
      </c>
    </row>
    <row r="8895" spans="1:20" ht="14.5" x14ac:dyDescent="0.35">
      <c r="A8895" s="10" t="s">
        <v>40734</v>
      </c>
      <c r="B8895" s="10" t="str">
        <f>"9781910391242"</f>
        <v>9781910391242</v>
      </c>
      <c r="C8895" s="10" t="str">
        <f>"9781910391266"</f>
        <v>9781910391266</v>
      </c>
      <c r="D8895" s="10" t="s">
        <v>9533</v>
      </c>
      <c r="E8895" s="10" t="s">
        <v>26840</v>
      </c>
      <c r="F8895" s="10" t="s">
        <v>26841</v>
      </c>
      <c r="G8895" s="10" t="s">
        <v>6352</v>
      </c>
      <c r="H8895" s="11">
        <v>42409</v>
      </c>
      <c r="I8895" s="10">
        <v>2016</v>
      </c>
      <c r="J8895" s="10" t="s">
        <v>26840</v>
      </c>
      <c r="K8895" s="10">
        <v>82</v>
      </c>
      <c r="L8895" s="10" t="s">
        <v>40735</v>
      </c>
      <c r="M8895" s="10">
        <v>1</v>
      </c>
      <c r="N8895" s="10" t="s">
        <v>29024</v>
      </c>
      <c r="O8895" s="10"/>
      <c r="P8895" s="10" t="s">
        <v>24353</v>
      </c>
      <c r="Q8895" s="10">
        <v>372.12540000000001</v>
      </c>
      <c r="R8895" s="10" t="s">
        <v>26542</v>
      </c>
      <c r="S8895" s="10" t="s">
        <v>53</v>
      </c>
      <c r="T8895" s="10" t="s">
        <v>6448</v>
      </c>
    </row>
    <row r="8896" spans="1:20" ht="14.5" x14ac:dyDescent="0.35">
      <c r="A8896" s="10" t="s">
        <v>40736</v>
      </c>
      <c r="B8896" s="10" t="str">
        <f>"9780761867319"</f>
        <v>9780761867319</v>
      </c>
      <c r="C8896" s="10" t="str">
        <f>"9780761867326"</f>
        <v>9780761867326</v>
      </c>
      <c r="D8896" s="10" t="s">
        <v>9752</v>
      </c>
      <c r="E8896" s="10" t="s">
        <v>17167</v>
      </c>
      <c r="F8896" s="10" t="s">
        <v>9754</v>
      </c>
      <c r="G8896" s="10" t="s">
        <v>6317</v>
      </c>
      <c r="H8896" s="11">
        <v>42404</v>
      </c>
      <c r="I8896" s="10">
        <v>2016</v>
      </c>
      <c r="J8896" s="10" t="s">
        <v>17167</v>
      </c>
      <c r="K8896" s="10">
        <v>191</v>
      </c>
      <c r="L8896" s="10" t="s">
        <v>40737</v>
      </c>
      <c r="M8896" s="10">
        <v>1</v>
      </c>
      <c r="N8896" s="10" t="s">
        <v>22645</v>
      </c>
      <c r="O8896" s="10"/>
      <c r="P8896" s="10" t="s">
        <v>40738</v>
      </c>
      <c r="Q8896" s="10">
        <v>378.19900000000001</v>
      </c>
      <c r="R8896" s="10" t="s">
        <v>40739</v>
      </c>
      <c r="S8896" s="10" t="s">
        <v>53</v>
      </c>
      <c r="T8896" s="10" t="s">
        <v>54</v>
      </c>
    </row>
    <row r="8897" spans="1:20" ht="14.5" x14ac:dyDescent="0.35">
      <c r="A8897" s="10" t="s">
        <v>40740</v>
      </c>
      <c r="B8897" s="10" t="str">
        <f>"9780816691142"</f>
        <v>9780816691142</v>
      </c>
      <c r="C8897" s="10" t="str">
        <f>"9781452945514"</f>
        <v>9781452945514</v>
      </c>
      <c r="D8897" s="10" t="s">
        <v>11428</v>
      </c>
      <c r="E8897" s="10" t="s">
        <v>11428</v>
      </c>
      <c r="F8897" s="10" t="s">
        <v>2186</v>
      </c>
      <c r="G8897" s="10" t="s">
        <v>6317</v>
      </c>
      <c r="H8897" s="11">
        <v>42323</v>
      </c>
      <c r="I8897" s="10">
        <v>2015</v>
      </c>
      <c r="J8897" s="10" t="s">
        <v>11428</v>
      </c>
      <c r="K8897" s="10">
        <v>308</v>
      </c>
      <c r="L8897" s="10" t="s">
        <v>40741</v>
      </c>
      <c r="M8897" s="10">
        <v>1</v>
      </c>
      <c r="N8897" s="10"/>
      <c r="O8897" s="10"/>
      <c r="P8897" s="10" t="s">
        <v>40742</v>
      </c>
      <c r="Q8897" s="10" t="s">
        <v>40743</v>
      </c>
      <c r="R8897" s="10" t="s">
        <v>40744</v>
      </c>
      <c r="S8897" s="10" t="s">
        <v>53</v>
      </c>
      <c r="T8897" s="10" t="s">
        <v>54</v>
      </c>
    </row>
    <row r="8898" spans="1:20" ht="14.5" x14ac:dyDescent="0.35">
      <c r="A8898" s="10" t="s">
        <v>40745</v>
      </c>
      <c r="B8898" s="10" t="str">
        <f>"9780986005824"</f>
        <v>9780986005824</v>
      </c>
      <c r="C8898" s="10" t="str">
        <f>"9780986005862"</f>
        <v>9780986005862</v>
      </c>
      <c r="D8898" s="10" t="s">
        <v>40746</v>
      </c>
      <c r="E8898" s="10" t="s">
        <v>40747</v>
      </c>
      <c r="F8898" s="10" t="s">
        <v>31258</v>
      </c>
      <c r="G8898" s="10" t="s">
        <v>6317</v>
      </c>
      <c r="H8898" s="11">
        <v>42278</v>
      </c>
      <c r="I8898" s="10">
        <v>2016</v>
      </c>
      <c r="J8898" s="10" t="s">
        <v>40747</v>
      </c>
      <c r="K8898" s="10">
        <v>1690</v>
      </c>
      <c r="L8898" s="10" t="s">
        <v>40748</v>
      </c>
      <c r="M8898" s="10"/>
      <c r="N8898" s="10"/>
      <c r="O8898" s="10"/>
      <c r="P8898" s="10" t="s">
        <v>40749</v>
      </c>
      <c r="Q8898" s="10">
        <v>530.03</v>
      </c>
      <c r="R8898" s="10" t="s">
        <v>40750</v>
      </c>
      <c r="S8898" s="10" t="s">
        <v>119</v>
      </c>
      <c r="T8898" s="10" t="s">
        <v>11108</v>
      </c>
    </row>
    <row r="8899" spans="1:20" ht="14.5" x14ac:dyDescent="0.35">
      <c r="A8899" s="10" t="s">
        <v>40751</v>
      </c>
      <c r="B8899" s="10" t="str">
        <f>"9789287179715"</f>
        <v>9789287179715</v>
      </c>
      <c r="C8899" s="10" t="str">
        <f>"9789287181176"</f>
        <v>9789287181176</v>
      </c>
      <c r="D8899" s="10" t="s">
        <v>34698</v>
      </c>
      <c r="E8899" s="10" t="s">
        <v>34698</v>
      </c>
      <c r="F8899" s="10" t="s">
        <v>1775</v>
      </c>
      <c r="G8899" s="10" t="s">
        <v>31597</v>
      </c>
      <c r="H8899" s="11">
        <v>42169</v>
      </c>
      <c r="I8899" s="10">
        <v>2015</v>
      </c>
      <c r="J8899" s="10" t="s">
        <v>34698</v>
      </c>
      <c r="K8899" s="10">
        <v>398</v>
      </c>
      <c r="L8899" s="10" t="s">
        <v>40752</v>
      </c>
      <c r="M8899" s="10"/>
      <c r="N8899" s="10" t="s">
        <v>40753</v>
      </c>
      <c r="O8899" s="10">
        <v>20</v>
      </c>
      <c r="P8899" s="10" t="s">
        <v>40754</v>
      </c>
      <c r="Q8899" s="10"/>
      <c r="R8899" s="10" t="s">
        <v>40755</v>
      </c>
      <c r="S8899" s="10" t="s">
        <v>53</v>
      </c>
      <c r="T8899" s="10" t="s">
        <v>54</v>
      </c>
    </row>
    <row r="8900" spans="1:20" ht="14.5" x14ac:dyDescent="0.35">
      <c r="A8900" s="10" t="s">
        <v>40756</v>
      </c>
      <c r="B8900" s="10" t="str">
        <f>"9789287180247"</f>
        <v>9789287180247</v>
      </c>
      <c r="C8900" s="10" t="str">
        <f>"9789287181190"</f>
        <v>9789287181190</v>
      </c>
      <c r="D8900" s="10" t="s">
        <v>34698</v>
      </c>
      <c r="E8900" s="10" t="s">
        <v>34698</v>
      </c>
      <c r="F8900" s="10" t="s">
        <v>1775</v>
      </c>
      <c r="G8900" s="10" t="s">
        <v>31597</v>
      </c>
      <c r="H8900" s="11">
        <v>42005</v>
      </c>
      <c r="I8900" s="10">
        <v>2015</v>
      </c>
      <c r="J8900" s="10" t="s">
        <v>34698</v>
      </c>
      <c r="K8900" s="10">
        <v>626</v>
      </c>
      <c r="L8900" s="10" t="s">
        <v>40757</v>
      </c>
      <c r="M8900" s="10"/>
      <c r="N8900" s="10"/>
      <c r="O8900" s="10"/>
      <c r="P8900" s="10" t="s">
        <v>40758</v>
      </c>
      <c r="Q8900" s="10">
        <v>323.07100000000003</v>
      </c>
      <c r="R8900" s="10" t="s">
        <v>34712</v>
      </c>
      <c r="S8900" s="10" t="s">
        <v>5404</v>
      </c>
      <c r="T8900" s="10" t="s">
        <v>4859</v>
      </c>
    </row>
    <row r="8901" spans="1:20" ht="14.5" x14ac:dyDescent="0.35">
      <c r="A8901" s="10" t="s">
        <v>40759</v>
      </c>
      <c r="B8901" s="10" t="str">
        <f>"9780309373807"</f>
        <v>9780309373807</v>
      </c>
      <c r="C8901" s="10" t="str">
        <f>"9780309373814"</f>
        <v>9780309373814</v>
      </c>
      <c r="D8901" s="10" t="s">
        <v>36547</v>
      </c>
      <c r="E8901" s="10" t="s">
        <v>36547</v>
      </c>
      <c r="F8901" s="10" t="s">
        <v>36548</v>
      </c>
      <c r="G8901" s="10" t="s">
        <v>6317</v>
      </c>
      <c r="H8901" s="11">
        <v>42278</v>
      </c>
      <c r="I8901" s="10">
        <v>2015</v>
      </c>
      <c r="J8901" s="10" t="s">
        <v>36547</v>
      </c>
      <c r="K8901" s="10">
        <v>343</v>
      </c>
      <c r="L8901" s="10"/>
      <c r="M8901" s="10">
        <v>1</v>
      </c>
      <c r="N8901" s="10"/>
      <c r="O8901" s="10"/>
      <c r="P8901" s="10" t="s">
        <v>40760</v>
      </c>
      <c r="Q8901" s="10">
        <v>371.22097530000002</v>
      </c>
      <c r="R8901" s="10" t="s">
        <v>40761</v>
      </c>
      <c r="S8901" s="10" t="s">
        <v>53</v>
      </c>
      <c r="T8901" s="10" t="s">
        <v>54</v>
      </c>
    </row>
    <row r="8902" spans="1:20" ht="14.5" x14ac:dyDescent="0.35">
      <c r="A8902" s="10" t="s">
        <v>40762</v>
      </c>
      <c r="B8902" s="10" t="str">
        <f>"9781845401894"</f>
        <v>9781845401894</v>
      </c>
      <c r="C8902" s="10" t="str">
        <f>"9781845405977"</f>
        <v>9781845405977</v>
      </c>
      <c r="D8902" s="10" t="s">
        <v>19500</v>
      </c>
      <c r="E8902" s="10" t="s">
        <v>19501</v>
      </c>
      <c r="F8902" s="10" t="s">
        <v>20587</v>
      </c>
      <c r="G8902" s="10" t="s">
        <v>6352</v>
      </c>
      <c r="H8902" s="11">
        <v>40210</v>
      </c>
      <c r="I8902" s="10">
        <v>2015</v>
      </c>
      <c r="J8902" s="10" t="s">
        <v>19503</v>
      </c>
      <c r="K8902" s="10">
        <v>224</v>
      </c>
      <c r="L8902" s="10" t="s">
        <v>40763</v>
      </c>
      <c r="M8902" s="10">
        <v>1</v>
      </c>
      <c r="N8902" s="10"/>
      <c r="O8902" s="10"/>
      <c r="P8902" s="10" t="s">
        <v>40764</v>
      </c>
      <c r="Q8902" s="10">
        <v>378.07106800000003</v>
      </c>
      <c r="R8902" s="10" t="s">
        <v>40765</v>
      </c>
      <c r="S8902" s="10" t="s">
        <v>53</v>
      </c>
      <c r="T8902" s="10" t="s">
        <v>54</v>
      </c>
    </row>
    <row r="8903" spans="1:20" ht="14.5" x14ac:dyDescent="0.35">
      <c r="A8903" s="10" t="s">
        <v>40766</v>
      </c>
      <c r="B8903" s="10" t="str">
        <f>"9781845402105"</f>
        <v>9781845402105</v>
      </c>
      <c r="C8903" s="10" t="str">
        <f>"9781845406554"</f>
        <v>9781845406554</v>
      </c>
      <c r="D8903" s="10" t="s">
        <v>19500</v>
      </c>
      <c r="E8903" s="10" t="s">
        <v>19501</v>
      </c>
      <c r="F8903" s="10" t="s">
        <v>20587</v>
      </c>
      <c r="G8903" s="10" t="s">
        <v>6352</v>
      </c>
      <c r="H8903" s="11">
        <v>40391</v>
      </c>
      <c r="I8903" s="10">
        <v>2015</v>
      </c>
      <c r="J8903" s="10" t="s">
        <v>19503</v>
      </c>
      <c r="K8903" s="10">
        <v>235</v>
      </c>
      <c r="L8903" s="10" t="s">
        <v>40767</v>
      </c>
      <c r="M8903" s="10">
        <v>1</v>
      </c>
      <c r="N8903" s="10" t="s">
        <v>40768</v>
      </c>
      <c r="O8903" s="10">
        <v>1</v>
      </c>
      <c r="P8903" s="10" t="s">
        <v>40769</v>
      </c>
      <c r="Q8903" s="10">
        <v>379.1110941</v>
      </c>
      <c r="R8903" s="10" t="s">
        <v>40770</v>
      </c>
      <c r="S8903" s="10" t="s">
        <v>53</v>
      </c>
      <c r="T8903" s="10" t="s">
        <v>54</v>
      </c>
    </row>
    <row r="8904" spans="1:20" ht="14.5" x14ac:dyDescent="0.35">
      <c r="A8904" s="10" t="s">
        <v>40771</v>
      </c>
      <c r="B8904" s="10" t="str">
        <f>"9781845407520"</f>
        <v>9781845407520</v>
      </c>
      <c r="C8904" s="10" t="str">
        <f>"9781845408558"</f>
        <v>9781845408558</v>
      </c>
      <c r="D8904" s="10" t="s">
        <v>19500</v>
      </c>
      <c r="E8904" s="10" t="s">
        <v>19501</v>
      </c>
      <c r="F8904" s="10" t="s">
        <v>20587</v>
      </c>
      <c r="G8904" s="10" t="s">
        <v>6352</v>
      </c>
      <c r="H8904" s="11">
        <v>42231</v>
      </c>
      <c r="I8904" s="10">
        <v>2015</v>
      </c>
      <c r="J8904" s="10" t="s">
        <v>19503</v>
      </c>
      <c r="K8904" s="10">
        <v>338</v>
      </c>
      <c r="L8904" s="10" t="s">
        <v>40772</v>
      </c>
      <c r="M8904" s="10">
        <v>2</v>
      </c>
      <c r="N8904" s="10" t="s">
        <v>40773</v>
      </c>
      <c r="O8904" s="10">
        <v>21</v>
      </c>
      <c r="P8904" s="10" t="s">
        <v>40774</v>
      </c>
      <c r="Q8904" s="10">
        <v>370.1</v>
      </c>
      <c r="R8904" s="10" t="s">
        <v>40775</v>
      </c>
      <c r="S8904" s="10" t="s">
        <v>53</v>
      </c>
      <c r="T8904" s="10" t="s">
        <v>54</v>
      </c>
    </row>
    <row r="8905" spans="1:20" ht="14.5" x14ac:dyDescent="0.35">
      <c r="A8905" s="10" t="s">
        <v>40776</v>
      </c>
      <c r="B8905" s="10" t="str">
        <f>""</f>
        <v/>
      </c>
      <c r="C8905" s="10" t="str">
        <f>"9781937724511"</f>
        <v>9781937724511</v>
      </c>
      <c r="D8905" s="10" t="s">
        <v>39320</v>
      </c>
      <c r="E8905" s="10" t="s">
        <v>5008</v>
      </c>
      <c r="F8905" s="10" t="s">
        <v>1103</v>
      </c>
      <c r="G8905" s="10" t="s">
        <v>6317</v>
      </c>
      <c r="H8905" s="11">
        <v>41537</v>
      </c>
      <c r="I8905" s="10">
        <v>2013</v>
      </c>
      <c r="J8905" s="10" t="s">
        <v>5008</v>
      </c>
      <c r="K8905" s="10">
        <v>189</v>
      </c>
      <c r="L8905" s="10" t="s">
        <v>40777</v>
      </c>
      <c r="M8905" s="10">
        <v>1</v>
      </c>
      <c r="N8905" s="10"/>
      <c r="O8905" s="10"/>
      <c r="P8905" s="10" t="s">
        <v>40778</v>
      </c>
      <c r="Q8905" s="10">
        <v>378.00099999999901</v>
      </c>
      <c r="R8905" s="10" t="s">
        <v>34291</v>
      </c>
      <c r="S8905" s="10" t="s">
        <v>53</v>
      </c>
      <c r="T8905" s="10" t="s">
        <v>54</v>
      </c>
    </row>
    <row r="8906" spans="1:20" ht="14.5" x14ac:dyDescent="0.35">
      <c r="A8906" s="10" t="s">
        <v>40779</v>
      </c>
      <c r="B8906" s="10" t="str">
        <f>"9788024630717"</f>
        <v>9788024630717</v>
      </c>
      <c r="C8906" s="10" t="str">
        <f>"9788024630830"</f>
        <v>9788024630830</v>
      </c>
      <c r="D8906" s="10" t="s">
        <v>30935</v>
      </c>
      <c r="E8906" s="10" t="s">
        <v>30935</v>
      </c>
      <c r="F8906" s="10" t="s">
        <v>1796</v>
      </c>
      <c r="G8906" s="10" t="s">
        <v>30936</v>
      </c>
      <c r="H8906" s="11">
        <v>42217</v>
      </c>
      <c r="I8906" s="10">
        <v>2015</v>
      </c>
      <c r="J8906" s="10" t="s">
        <v>30935</v>
      </c>
      <c r="K8906" s="10">
        <v>222</v>
      </c>
      <c r="L8906" s="10" t="s">
        <v>40780</v>
      </c>
      <c r="M8906" s="10">
        <v>1</v>
      </c>
      <c r="N8906" s="10"/>
      <c r="O8906" s="10"/>
      <c r="P8906" s="10" t="s">
        <v>40781</v>
      </c>
      <c r="Q8906" s="10">
        <v>371.928</v>
      </c>
      <c r="R8906" s="10" t="s">
        <v>40782</v>
      </c>
      <c r="S8906" s="10" t="s">
        <v>4212</v>
      </c>
      <c r="T8906" s="10" t="s">
        <v>54</v>
      </c>
    </row>
    <row r="8907" spans="1:20" ht="14.5" x14ac:dyDescent="0.35">
      <c r="A8907" s="10" t="s">
        <v>40783</v>
      </c>
      <c r="B8907" s="10" t="str">
        <f>"9788024626369"</f>
        <v>9788024626369</v>
      </c>
      <c r="C8907" s="10" t="str">
        <f>"9788024626529"</f>
        <v>9788024626529</v>
      </c>
      <c r="D8907" s="10" t="s">
        <v>30935</v>
      </c>
      <c r="E8907" s="10" t="s">
        <v>30935</v>
      </c>
      <c r="F8907" s="10" t="s">
        <v>1796</v>
      </c>
      <c r="G8907" s="10" t="s">
        <v>30936</v>
      </c>
      <c r="H8907" s="11">
        <v>41944</v>
      </c>
      <c r="I8907" s="10">
        <v>2015</v>
      </c>
      <c r="J8907" s="10" t="s">
        <v>30935</v>
      </c>
      <c r="K8907" s="10">
        <v>220</v>
      </c>
      <c r="L8907" s="10" t="s">
        <v>40784</v>
      </c>
      <c r="M8907" s="10">
        <v>1</v>
      </c>
      <c r="N8907" s="10"/>
      <c r="O8907" s="10"/>
      <c r="P8907" s="10" t="s">
        <v>40785</v>
      </c>
      <c r="Q8907" s="10">
        <v>371.2</v>
      </c>
      <c r="R8907" s="10" t="s">
        <v>40786</v>
      </c>
      <c r="S8907" s="10" t="s">
        <v>4212</v>
      </c>
      <c r="T8907" s="10" t="s">
        <v>54</v>
      </c>
    </row>
    <row r="8908" spans="1:20" ht="14.5" x14ac:dyDescent="0.35">
      <c r="A8908" s="10" t="s">
        <v>40787</v>
      </c>
      <c r="B8908" s="10" t="str">
        <f>"9788024630908"</f>
        <v>9788024630908</v>
      </c>
      <c r="C8908" s="10" t="str">
        <f>"9788024631110"</f>
        <v>9788024631110</v>
      </c>
      <c r="D8908" s="10" t="s">
        <v>30935</v>
      </c>
      <c r="E8908" s="10" t="s">
        <v>30935</v>
      </c>
      <c r="F8908" s="10" t="s">
        <v>1796</v>
      </c>
      <c r="G8908" s="10" t="s">
        <v>30936</v>
      </c>
      <c r="H8908" s="11">
        <v>42309</v>
      </c>
      <c r="I8908" s="10">
        <v>2015</v>
      </c>
      <c r="J8908" s="10" t="s">
        <v>30935</v>
      </c>
      <c r="K8908" s="10">
        <v>124</v>
      </c>
      <c r="L8908" s="10" t="s">
        <v>40788</v>
      </c>
      <c r="M8908" s="10">
        <v>1</v>
      </c>
      <c r="N8908" s="10"/>
      <c r="O8908" s="10"/>
      <c r="P8908" s="10" t="s">
        <v>40789</v>
      </c>
      <c r="Q8908" s="10">
        <v>371.10230000000001</v>
      </c>
      <c r="R8908" s="10" t="s">
        <v>40790</v>
      </c>
      <c r="S8908" s="10" t="s">
        <v>53</v>
      </c>
      <c r="T8908" s="10" t="s">
        <v>54</v>
      </c>
    </row>
    <row r="8909" spans="1:20" ht="14.5" x14ac:dyDescent="0.35">
      <c r="A8909" s="10" t="s">
        <v>40791</v>
      </c>
      <c r="B8909" s="10" t="str">
        <f>"9788024631844"</f>
        <v>9788024631844</v>
      </c>
      <c r="C8909" s="10" t="str">
        <f>"9788024631943"</f>
        <v>9788024631943</v>
      </c>
      <c r="D8909" s="10" t="s">
        <v>30935</v>
      </c>
      <c r="E8909" s="10" t="s">
        <v>40792</v>
      </c>
      <c r="F8909" s="10" t="s">
        <v>1796</v>
      </c>
      <c r="G8909" s="10" t="s">
        <v>30936</v>
      </c>
      <c r="H8909" s="11">
        <v>42370</v>
      </c>
      <c r="I8909" s="10">
        <v>2015</v>
      </c>
      <c r="J8909" s="10" t="s">
        <v>40792</v>
      </c>
      <c r="K8909" s="10">
        <v>138</v>
      </c>
      <c r="L8909" s="10" t="s">
        <v>40793</v>
      </c>
      <c r="M8909" s="10">
        <v>1</v>
      </c>
      <c r="N8909" s="10"/>
      <c r="O8909" s="10"/>
      <c r="P8909" s="10" t="s">
        <v>40794</v>
      </c>
      <c r="Q8909" s="10">
        <v>370.94709999999901</v>
      </c>
      <c r="R8909" s="10" t="s">
        <v>40795</v>
      </c>
      <c r="S8909" s="10" t="s">
        <v>4212</v>
      </c>
      <c r="T8909" s="10" t="s">
        <v>54</v>
      </c>
    </row>
    <row r="8910" spans="1:20" ht="14.5" x14ac:dyDescent="0.35">
      <c r="A8910" s="10" t="s">
        <v>40796</v>
      </c>
      <c r="B8910" s="10" t="str">
        <f>"9789462700499"</f>
        <v>9789462700499</v>
      </c>
      <c r="C8910" s="10" t="str">
        <f>"9789461661852"</f>
        <v>9789461661852</v>
      </c>
      <c r="D8910" s="10" t="s">
        <v>28735</v>
      </c>
      <c r="E8910" s="10" t="s">
        <v>28735</v>
      </c>
      <c r="F8910" s="10" t="s">
        <v>28736</v>
      </c>
      <c r="G8910" s="10" t="s">
        <v>28737</v>
      </c>
      <c r="H8910" s="11">
        <v>42536</v>
      </c>
      <c r="I8910" s="10">
        <v>2015</v>
      </c>
      <c r="J8910" s="10" t="s">
        <v>28735</v>
      </c>
      <c r="K8910" s="10">
        <v>168</v>
      </c>
      <c r="L8910" s="10" t="s">
        <v>40797</v>
      </c>
      <c r="M8910" s="10">
        <v>1</v>
      </c>
      <c r="N8910" s="10" t="s">
        <v>28739</v>
      </c>
      <c r="O8910" s="10">
        <v>48</v>
      </c>
      <c r="P8910" s="10" t="s">
        <v>40798</v>
      </c>
      <c r="Q8910" s="10">
        <v>370.1</v>
      </c>
      <c r="R8910" s="10" t="s">
        <v>40799</v>
      </c>
      <c r="S8910" s="10" t="s">
        <v>53</v>
      </c>
      <c r="T8910" s="10" t="s">
        <v>54</v>
      </c>
    </row>
    <row r="8911" spans="1:20" ht="14.5" x14ac:dyDescent="0.35">
      <c r="A8911" s="10" t="s">
        <v>40800</v>
      </c>
      <c r="B8911" s="10" t="str">
        <f>"9780773546325"</f>
        <v>9780773546325</v>
      </c>
      <c r="C8911" s="10" t="str">
        <f>"9780773598089"</f>
        <v>9780773598089</v>
      </c>
      <c r="D8911" s="10" t="s">
        <v>36164</v>
      </c>
      <c r="E8911" s="10" t="s">
        <v>36165</v>
      </c>
      <c r="F8911" s="10" t="s">
        <v>4536</v>
      </c>
      <c r="G8911" s="10" t="s">
        <v>9536</v>
      </c>
      <c r="H8911" s="11">
        <v>42370</v>
      </c>
      <c r="I8911" s="10">
        <v>2015</v>
      </c>
      <c r="J8911" s="10" t="s">
        <v>36165</v>
      </c>
      <c r="K8911" s="10">
        <v>331</v>
      </c>
      <c r="L8911" s="10" t="s">
        <v>40801</v>
      </c>
      <c r="M8911" s="10">
        <v>1</v>
      </c>
      <c r="N8911" s="10"/>
      <c r="O8911" s="10"/>
      <c r="P8911" s="10" t="s">
        <v>40802</v>
      </c>
      <c r="Q8911" s="10">
        <v>378.00820971000002</v>
      </c>
      <c r="R8911" s="10" t="s">
        <v>40803</v>
      </c>
      <c r="S8911" s="10" t="s">
        <v>53</v>
      </c>
      <c r="T8911" s="10" t="s">
        <v>54</v>
      </c>
    </row>
    <row r="8912" spans="1:20" ht="14.5" x14ac:dyDescent="0.35">
      <c r="A8912" s="10" t="s">
        <v>40804</v>
      </c>
      <c r="B8912" s="10" t="str">
        <f>"9789463000024"</f>
        <v>9789463000024</v>
      </c>
      <c r="C8912" s="10" t="str">
        <f>"9789463000048"</f>
        <v>9789463000048</v>
      </c>
      <c r="D8912" s="10" t="s">
        <v>8564</v>
      </c>
      <c r="E8912" s="10" t="s">
        <v>8565</v>
      </c>
      <c r="F8912" s="10" t="s">
        <v>1420</v>
      </c>
      <c r="G8912" s="10" t="s">
        <v>6317</v>
      </c>
      <c r="H8912" s="11">
        <v>42005</v>
      </c>
      <c r="I8912" s="10">
        <v>2015</v>
      </c>
      <c r="J8912" s="10" t="s">
        <v>33259</v>
      </c>
      <c r="K8912" s="10">
        <v>661</v>
      </c>
      <c r="L8912" s="10" t="s">
        <v>40805</v>
      </c>
      <c r="M8912" s="10">
        <v>1</v>
      </c>
      <c r="N8912" s="10"/>
      <c r="O8912" s="10"/>
      <c r="P8912" s="10" t="s">
        <v>19534</v>
      </c>
      <c r="Q8912" s="10"/>
      <c r="R8912" s="10" t="s">
        <v>40806</v>
      </c>
      <c r="S8912" s="10" t="s">
        <v>53</v>
      </c>
      <c r="T8912" s="10" t="s">
        <v>54</v>
      </c>
    </row>
    <row r="8913" spans="1:20" ht="14.5" x14ac:dyDescent="0.35">
      <c r="A8913" s="10" t="s">
        <v>40807</v>
      </c>
      <c r="B8913" s="10" t="str">
        <f>"9789463000987"</f>
        <v>9789463000987</v>
      </c>
      <c r="C8913" s="10" t="str">
        <f>"9789463001007"</f>
        <v>9789463001007</v>
      </c>
      <c r="D8913" s="10" t="s">
        <v>8564</v>
      </c>
      <c r="E8913" s="10" t="s">
        <v>13067</v>
      </c>
      <c r="F8913" s="10" t="s">
        <v>33250</v>
      </c>
      <c r="G8913" s="10" t="s">
        <v>9233</v>
      </c>
      <c r="H8913" s="11">
        <v>42005</v>
      </c>
      <c r="I8913" s="10">
        <v>2015</v>
      </c>
      <c r="J8913" s="10" t="s">
        <v>13067</v>
      </c>
      <c r="K8913" s="10">
        <v>328</v>
      </c>
      <c r="L8913" s="10" t="s">
        <v>40808</v>
      </c>
      <c r="M8913" s="10">
        <v>1</v>
      </c>
      <c r="N8913" s="10" t="s">
        <v>33419</v>
      </c>
      <c r="O8913" s="10">
        <v>63</v>
      </c>
      <c r="P8913" s="10" t="s">
        <v>19534</v>
      </c>
      <c r="Q8913" s="10"/>
      <c r="R8913" s="10"/>
      <c r="S8913" s="10" t="s">
        <v>53</v>
      </c>
      <c r="T8913" s="10" t="s">
        <v>54</v>
      </c>
    </row>
    <row r="8914" spans="1:20" ht="14.5" x14ac:dyDescent="0.35">
      <c r="A8914" s="10" t="s">
        <v>40809</v>
      </c>
      <c r="B8914" s="10" t="str">
        <f>"9789463001014"</f>
        <v>9789463001014</v>
      </c>
      <c r="C8914" s="10" t="str">
        <f>"9789463001038"</f>
        <v>9789463001038</v>
      </c>
      <c r="D8914" s="10" t="s">
        <v>8564</v>
      </c>
      <c r="E8914" s="10" t="s">
        <v>13067</v>
      </c>
      <c r="F8914" s="10" t="s">
        <v>33250</v>
      </c>
      <c r="G8914" s="10" t="s">
        <v>9233</v>
      </c>
      <c r="H8914" s="11">
        <v>42005</v>
      </c>
      <c r="I8914" s="10">
        <v>2015</v>
      </c>
      <c r="J8914" s="10" t="s">
        <v>13067</v>
      </c>
      <c r="K8914" s="10">
        <v>253</v>
      </c>
      <c r="L8914" s="10" t="s">
        <v>40810</v>
      </c>
      <c r="M8914" s="10">
        <v>1</v>
      </c>
      <c r="N8914" s="10" t="s">
        <v>33355</v>
      </c>
      <c r="O8914" s="10">
        <v>9</v>
      </c>
      <c r="P8914" s="10" t="s">
        <v>19534</v>
      </c>
      <c r="Q8914" s="10"/>
      <c r="R8914" s="10"/>
      <c r="S8914" s="10" t="s">
        <v>53</v>
      </c>
      <c r="T8914" s="10" t="s">
        <v>54</v>
      </c>
    </row>
    <row r="8915" spans="1:20" ht="14.5" x14ac:dyDescent="0.35">
      <c r="A8915" s="10" t="s">
        <v>40811</v>
      </c>
      <c r="B8915" s="10" t="str">
        <f>"9789463001137"</f>
        <v>9789463001137</v>
      </c>
      <c r="C8915" s="10" t="str">
        <f>"9789463001151"</f>
        <v>9789463001151</v>
      </c>
      <c r="D8915" s="10" t="s">
        <v>8564</v>
      </c>
      <c r="E8915" s="10" t="s">
        <v>13067</v>
      </c>
      <c r="F8915" s="10" t="s">
        <v>33250</v>
      </c>
      <c r="G8915" s="10" t="s">
        <v>9233</v>
      </c>
      <c r="H8915" s="11">
        <v>42005</v>
      </c>
      <c r="I8915" s="10">
        <v>2015</v>
      </c>
      <c r="J8915" s="10" t="s">
        <v>13067</v>
      </c>
      <c r="K8915" s="10">
        <v>137</v>
      </c>
      <c r="L8915" s="10" t="s">
        <v>40812</v>
      </c>
      <c r="M8915" s="10">
        <v>1</v>
      </c>
      <c r="N8915" s="10"/>
      <c r="O8915" s="10"/>
      <c r="P8915" s="10" t="s">
        <v>19534</v>
      </c>
      <c r="Q8915" s="10"/>
      <c r="R8915" s="10" t="s">
        <v>40813</v>
      </c>
      <c r="S8915" s="10" t="s">
        <v>53</v>
      </c>
      <c r="T8915" s="10" t="s">
        <v>54</v>
      </c>
    </row>
    <row r="8916" spans="1:20" ht="14.5" x14ac:dyDescent="0.35">
      <c r="A8916" s="10" t="s">
        <v>40814</v>
      </c>
      <c r="B8916" s="10" t="str">
        <f>"9789463001731"</f>
        <v>9789463001731</v>
      </c>
      <c r="C8916" s="10" t="str">
        <f>"9789463001755"</f>
        <v>9789463001755</v>
      </c>
      <c r="D8916" s="10" t="s">
        <v>8564</v>
      </c>
      <c r="E8916" s="10" t="s">
        <v>13067</v>
      </c>
      <c r="F8916" s="10" t="s">
        <v>33250</v>
      </c>
      <c r="G8916" s="10" t="s">
        <v>9233</v>
      </c>
      <c r="H8916" s="11">
        <v>42005</v>
      </c>
      <c r="I8916" s="10">
        <v>2015</v>
      </c>
      <c r="J8916" s="10" t="s">
        <v>13067</v>
      </c>
      <c r="K8916" s="10">
        <v>395</v>
      </c>
      <c r="L8916" s="10" t="s">
        <v>33548</v>
      </c>
      <c r="M8916" s="10">
        <v>1</v>
      </c>
      <c r="N8916" s="10"/>
      <c r="O8916" s="10"/>
      <c r="P8916" s="10" t="s">
        <v>19534</v>
      </c>
      <c r="Q8916" s="10">
        <v>540.71</v>
      </c>
      <c r="R8916" s="10" t="s">
        <v>33549</v>
      </c>
      <c r="S8916" s="10" t="s">
        <v>53</v>
      </c>
      <c r="T8916" s="10" t="s">
        <v>40815</v>
      </c>
    </row>
    <row r="8917" spans="1:20" ht="14.5" x14ac:dyDescent="0.35">
      <c r="A8917" s="10" t="s">
        <v>40816</v>
      </c>
      <c r="B8917" s="10" t="str">
        <f>"9789463001977"</f>
        <v>9789463001977</v>
      </c>
      <c r="C8917" s="10" t="str">
        <f>"9789463001991"</f>
        <v>9789463001991</v>
      </c>
      <c r="D8917" s="10" t="s">
        <v>8564</v>
      </c>
      <c r="E8917" s="10" t="s">
        <v>8565</v>
      </c>
      <c r="F8917" s="10" t="s">
        <v>1420</v>
      </c>
      <c r="G8917" s="10" t="s">
        <v>6317</v>
      </c>
      <c r="H8917" s="11">
        <v>42005</v>
      </c>
      <c r="I8917" s="10">
        <v>2015</v>
      </c>
      <c r="J8917" s="10" t="s">
        <v>33259</v>
      </c>
      <c r="K8917" s="10">
        <v>286</v>
      </c>
      <c r="L8917" s="10" t="s">
        <v>40817</v>
      </c>
      <c r="M8917" s="10">
        <v>1</v>
      </c>
      <c r="N8917" s="10" t="s">
        <v>40818</v>
      </c>
      <c r="O8917" s="10">
        <v>3</v>
      </c>
      <c r="P8917" s="10" t="s">
        <v>19534</v>
      </c>
      <c r="Q8917" s="10"/>
      <c r="R8917" s="10"/>
      <c r="S8917" s="10" t="s">
        <v>53</v>
      </c>
      <c r="T8917" s="10" t="s">
        <v>54</v>
      </c>
    </row>
    <row r="8918" spans="1:20" ht="14.5" x14ac:dyDescent="0.35">
      <c r="A8918" s="10" t="s">
        <v>40819</v>
      </c>
      <c r="B8918" s="10" t="str">
        <f>"9789463001588"</f>
        <v>9789463001588</v>
      </c>
      <c r="C8918" s="10" t="str">
        <f>"9789463001601"</f>
        <v>9789463001601</v>
      </c>
      <c r="D8918" s="10" t="s">
        <v>8564</v>
      </c>
      <c r="E8918" s="10" t="s">
        <v>8565</v>
      </c>
      <c r="F8918" s="10" t="s">
        <v>1420</v>
      </c>
      <c r="G8918" s="10" t="s">
        <v>6317</v>
      </c>
      <c r="H8918" s="11">
        <v>42005</v>
      </c>
      <c r="I8918" s="10">
        <v>2015</v>
      </c>
      <c r="J8918" s="10" t="s">
        <v>33259</v>
      </c>
      <c r="K8918" s="10">
        <v>201</v>
      </c>
      <c r="L8918" s="10" t="s">
        <v>40820</v>
      </c>
      <c r="M8918" s="10">
        <v>1</v>
      </c>
      <c r="N8918" s="10" t="s">
        <v>33419</v>
      </c>
      <c r="O8918" s="10">
        <v>66</v>
      </c>
      <c r="P8918" s="10" t="s">
        <v>19534</v>
      </c>
      <c r="Q8918" s="10"/>
      <c r="R8918" s="10"/>
      <c r="S8918" s="10" t="s">
        <v>53</v>
      </c>
      <c r="T8918" s="10" t="s">
        <v>54</v>
      </c>
    </row>
    <row r="8919" spans="1:20" ht="14.5" x14ac:dyDescent="0.35">
      <c r="A8919" s="10" t="s">
        <v>40821</v>
      </c>
      <c r="B8919" s="10" t="str">
        <f>"9789463001649"</f>
        <v>9789463001649</v>
      </c>
      <c r="C8919" s="10" t="str">
        <f>"9789463001663"</f>
        <v>9789463001663</v>
      </c>
      <c r="D8919" s="10" t="s">
        <v>8564</v>
      </c>
      <c r="E8919" s="10" t="s">
        <v>8565</v>
      </c>
      <c r="F8919" s="10" t="s">
        <v>1420</v>
      </c>
      <c r="G8919" s="10" t="s">
        <v>6317</v>
      </c>
      <c r="H8919" s="11">
        <v>42005</v>
      </c>
      <c r="I8919" s="10">
        <v>2015</v>
      </c>
      <c r="J8919" s="10" t="s">
        <v>33259</v>
      </c>
      <c r="K8919" s="10">
        <v>272</v>
      </c>
      <c r="L8919" s="10" t="s">
        <v>40822</v>
      </c>
      <c r="M8919" s="10">
        <v>1</v>
      </c>
      <c r="N8919" s="10" t="s">
        <v>33615</v>
      </c>
      <c r="O8919" s="10">
        <v>8</v>
      </c>
      <c r="P8919" s="10" t="s">
        <v>19534</v>
      </c>
      <c r="Q8919" s="10"/>
      <c r="R8919" s="10"/>
      <c r="S8919" s="10" t="s">
        <v>53</v>
      </c>
      <c r="T8919" s="10" t="s">
        <v>54</v>
      </c>
    </row>
    <row r="8920" spans="1:20" ht="14.5" x14ac:dyDescent="0.35">
      <c r="A8920" s="10" t="s">
        <v>40823</v>
      </c>
      <c r="B8920" s="10" t="str">
        <f>"9789463002066"</f>
        <v>9789463002066</v>
      </c>
      <c r="C8920" s="10" t="str">
        <f>"9789463002080"</f>
        <v>9789463002080</v>
      </c>
      <c r="D8920" s="10" t="s">
        <v>8564</v>
      </c>
      <c r="E8920" s="10" t="s">
        <v>8565</v>
      </c>
      <c r="F8920" s="10" t="s">
        <v>1420</v>
      </c>
      <c r="G8920" s="10" t="s">
        <v>6317</v>
      </c>
      <c r="H8920" s="11">
        <v>42005</v>
      </c>
      <c r="I8920" s="10">
        <v>2015</v>
      </c>
      <c r="J8920" s="10" t="s">
        <v>33259</v>
      </c>
      <c r="K8920" s="10">
        <v>351</v>
      </c>
      <c r="L8920" s="10" t="s">
        <v>40824</v>
      </c>
      <c r="M8920" s="10">
        <v>1</v>
      </c>
      <c r="N8920" s="10" t="s">
        <v>40825</v>
      </c>
      <c r="O8920" s="10">
        <v>1</v>
      </c>
      <c r="P8920" s="10" t="s">
        <v>19534</v>
      </c>
      <c r="Q8920" s="10"/>
      <c r="R8920" s="10"/>
      <c r="S8920" s="10" t="s">
        <v>53</v>
      </c>
      <c r="T8920" s="10" t="s">
        <v>54</v>
      </c>
    </row>
    <row r="8921" spans="1:20" ht="14.5" x14ac:dyDescent="0.35">
      <c r="A8921" s="10" t="s">
        <v>40826</v>
      </c>
      <c r="B8921" s="10" t="str">
        <f>"9789463002516"</f>
        <v>9789463002516</v>
      </c>
      <c r="C8921" s="10" t="str">
        <f>"9789463002530"</f>
        <v>9789463002530</v>
      </c>
      <c r="D8921" s="10" t="s">
        <v>8564</v>
      </c>
      <c r="E8921" s="10" t="s">
        <v>8565</v>
      </c>
      <c r="F8921" s="10" t="s">
        <v>1420</v>
      </c>
      <c r="G8921" s="10" t="s">
        <v>6317</v>
      </c>
      <c r="H8921" s="11">
        <v>42005</v>
      </c>
      <c r="I8921" s="10">
        <v>2015</v>
      </c>
      <c r="J8921" s="10" t="s">
        <v>33259</v>
      </c>
      <c r="K8921" s="10">
        <v>314</v>
      </c>
      <c r="L8921" s="10" t="s">
        <v>40827</v>
      </c>
      <c r="M8921" s="10">
        <v>1</v>
      </c>
      <c r="N8921" s="10" t="s">
        <v>33751</v>
      </c>
      <c r="O8921" s="10">
        <v>49</v>
      </c>
      <c r="P8921" s="10" t="s">
        <v>19534</v>
      </c>
      <c r="Q8921" s="10"/>
      <c r="R8921" s="10"/>
      <c r="S8921" s="10" t="s">
        <v>53</v>
      </c>
      <c r="T8921" s="10" t="s">
        <v>54</v>
      </c>
    </row>
    <row r="8922" spans="1:20" ht="14.5" x14ac:dyDescent="0.35">
      <c r="A8922" s="10" t="s">
        <v>40828</v>
      </c>
      <c r="B8922" s="10" t="str">
        <f>"9789463002578"</f>
        <v>9789463002578</v>
      </c>
      <c r="C8922" s="10" t="str">
        <f>"9789463002592"</f>
        <v>9789463002592</v>
      </c>
      <c r="D8922" s="10" t="s">
        <v>8564</v>
      </c>
      <c r="E8922" s="10" t="s">
        <v>8565</v>
      </c>
      <c r="F8922" s="10" t="s">
        <v>1420</v>
      </c>
      <c r="G8922" s="10" t="s">
        <v>6317</v>
      </c>
      <c r="H8922" s="11">
        <v>42005</v>
      </c>
      <c r="I8922" s="10">
        <v>2015</v>
      </c>
      <c r="J8922" s="10" t="s">
        <v>33259</v>
      </c>
      <c r="K8922" s="10">
        <v>230</v>
      </c>
      <c r="L8922" s="10" t="s">
        <v>40829</v>
      </c>
      <c r="M8922" s="10">
        <v>1</v>
      </c>
      <c r="N8922" s="10" t="s">
        <v>33455</v>
      </c>
      <c r="O8922" s="10">
        <v>3</v>
      </c>
      <c r="P8922" s="10" t="s">
        <v>19534</v>
      </c>
      <c r="Q8922" s="10"/>
      <c r="R8922" s="10"/>
      <c r="S8922" s="10" t="s">
        <v>53</v>
      </c>
      <c r="T8922" s="10" t="s">
        <v>54</v>
      </c>
    </row>
    <row r="8923" spans="1:20" ht="14.5" x14ac:dyDescent="0.35">
      <c r="A8923" s="10" t="s">
        <v>40830</v>
      </c>
      <c r="B8923" s="10" t="str">
        <f>"9789463002639"</f>
        <v>9789463002639</v>
      </c>
      <c r="C8923" s="10" t="str">
        <f>"9789463002653"</f>
        <v>9789463002653</v>
      </c>
      <c r="D8923" s="10" t="s">
        <v>8564</v>
      </c>
      <c r="E8923" s="10" t="s">
        <v>8565</v>
      </c>
      <c r="F8923" s="10" t="s">
        <v>1420</v>
      </c>
      <c r="G8923" s="10" t="s">
        <v>6317</v>
      </c>
      <c r="H8923" s="11">
        <v>42005</v>
      </c>
      <c r="I8923" s="10">
        <v>2015</v>
      </c>
      <c r="J8923" s="10" t="s">
        <v>8565</v>
      </c>
      <c r="K8923" s="10">
        <v>235</v>
      </c>
      <c r="L8923" s="10" t="s">
        <v>40831</v>
      </c>
      <c r="M8923" s="10">
        <v>1</v>
      </c>
      <c r="N8923" s="10" t="s">
        <v>33455</v>
      </c>
      <c r="O8923" s="10">
        <v>38</v>
      </c>
      <c r="P8923" s="10" t="s">
        <v>19534</v>
      </c>
      <c r="Q8923" s="10"/>
      <c r="R8923" s="10"/>
      <c r="S8923" s="10" t="s">
        <v>53</v>
      </c>
      <c r="T8923" s="10" t="s">
        <v>54</v>
      </c>
    </row>
    <row r="8924" spans="1:20" ht="14.5" x14ac:dyDescent="0.35">
      <c r="A8924" s="10" t="s">
        <v>40832</v>
      </c>
      <c r="B8924" s="10" t="str">
        <f>"9789463002936"</f>
        <v>9789463002936</v>
      </c>
      <c r="C8924" s="10" t="str">
        <f>"9789463002950"</f>
        <v>9789463002950</v>
      </c>
      <c r="D8924" s="10" t="s">
        <v>8564</v>
      </c>
      <c r="E8924" s="10" t="s">
        <v>8565</v>
      </c>
      <c r="F8924" s="10" t="s">
        <v>1420</v>
      </c>
      <c r="G8924" s="10" t="s">
        <v>6317</v>
      </c>
      <c r="H8924" s="11">
        <v>42005</v>
      </c>
      <c r="I8924" s="10">
        <v>2015</v>
      </c>
      <c r="J8924" s="10" t="s">
        <v>33259</v>
      </c>
      <c r="K8924" s="10">
        <v>142</v>
      </c>
      <c r="L8924" s="10" t="s">
        <v>40833</v>
      </c>
      <c r="M8924" s="10">
        <v>1</v>
      </c>
      <c r="N8924" s="10" t="s">
        <v>33751</v>
      </c>
      <c r="O8924" s="10">
        <v>50</v>
      </c>
      <c r="P8924" s="10" t="s">
        <v>19534</v>
      </c>
      <c r="Q8924" s="10"/>
      <c r="R8924" s="10"/>
      <c r="S8924" s="10" t="s">
        <v>53</v>
      </c>
      <c r="T8924" s="10" t="s">
        <v>54</v>
      </c>
    </row>
    <row r="8925" spans="1:20" ht="14.5" x14ac:dyDescent="0.35">
      <c r="A8925" s="10" t="s">
        <v>40834</v>
      </c>
      <c r="B8925" s="10" t="str">
        <f>"9780985890285"</f>
        <v>9780985890285</v>
      </c>
      <c r="C8925" s="10" t="str">
        <f>"9780985890292"</f>
        <v>9780985890292</v>
      </c>
      <c r="D8925" s="10" t="s">
        <v>37594</v>
      </c>
      <c r="E8925" s="10" t="s">
        <v>40835</v>
      </c>
      <c r="F8925" s="10" t="s">
        <v>3101</v>
      </c>
      <c r="G8925" s="10" t="s">
        <v>6317</v>
      </c>
      <c r="H8925" s="11">
        <v>41690</v>
      </c>
      <c r="I8925" s="10">
        <v>2012</v>
      </c>
      <c r="J8925" s="10" t="s">
        <v>40835</v>
      </c>
      <c r="K8925" s="10">
        <v>144</v>
      </c>
      <c r="L8925" s="10" t="s">
        <v>40836</v>
      </c>
      <c r="M8925" s="10">
        <v>1</v>
      </c>
      <c r="N8925" s="10"/>
      <c r="O8925" s="10"/>
      <c r="P8925" s="10"/>
      <c r="Q8925" s="10"/>
      <c r="R8925" s="10" t="s">
        <v>40837</v>
      </c>
      <c r="S8925" s="10" t="s">
        <v>53</v>
      </c>
      <c r="T8925" s="10" t="s">
        <v>54</v>
      </c>
    </row>
    <row r="8926" spans="1:20" ht="14.5" x14ac:dyDescent="0.35">
      <c r="A8926" s="10" t="s">
        <v>40838</v>
      </c>
      <c r="B8926" s="10" t="str">
        <f>"9780990345855"</f>
        <v>9780990345855</v>
      </c>
      <c r="C8926" s="10" t="str">
        <f>"9780990345862"</f>
        <v>9780990345862</v>
      </c>
      <c r="D8926" s="10" t="s">
        <v>37594</v>
      </c>
      <c r="E8926" s="10" t="s">
        <v>40835</v>
      </c>
      <c r="F8926" s="10" t="s">
        <v>37623</v>
      </c>
      <c r="G8926" s="10" t="s">
        <v>6317</v>
      </c>
      <c r="H8926" s="11">
        <v>42174</v>
      </c>
      <c r="I8926" s="10">
        <v>2016</v>
      </c>
      <c r="J8926" s="10" t="s">
        <v>40835</v>
      </c>
      <c r="K8926" s="10">
        <v>234</v>
      </c>
      <c r="L8926" s="10" t="s">
        <v>40839</v>
      </c>
      <c r="M8926" s="10">
        <v>1</v>
      </c>
      <c r="N8926" s="10" t="s">
        <v>37637</v>
      </c>
      <c r="O8926" s="10"/>
      <c r="P8926" s="10"/>
      <c r="Q8926" s="10"/>
      <c r="R8926" s="10" t="s">
        <v>40840</v>
      </c>
      <c r="S8926" s="10" t="s">
        <v>53</v>
      </c>
      <c r="T8926" s="10" t="s">
        <v>54</v>
      </c>
    </row>
    <row r="8927" spans="1:20" ht="14.5" x14ac:dyDescent="0.35">
      <c r="A8927" s="10" t="s">
        <v>40841</v>
      </c>
      <c r="B8927" s="10" t="str">
        <f>"9780990345893"</f>
        <v>9780990345893</v>
      </c>
      <c r="C8927" s="10" t="str">
        <f>"9780991374854"</f>
        <v>9780991374854</v>
      </c>
      <c r="D8927" s="10" t="s">
        <v>37594</v>
      </c>
      <c r="E8927" s="10" t="s">
        <v>37594</v>
      </c>
      <c r="F8927" s="10" t="s">
        <v>37623</v>
      </c>
      <c r="G8927" s="10" t="s">
        <v>6317</v>
      </c>
      <c r="H8927" s="11">
        <v>42233</v>
      </c>
      <c r="I8927" s="10">
        <v>2015</v>
      </c>
      <c r="J8927" s="10" t="s">
        <v>37594</v>
      </c>
      <c r="K8927" s="10">
        <v>160</v>
      </c>
      <c r="L8927" s="10" t="s">
        <v>40842</v>
      </c>
      <c r="M8927" s="10">
        <v>1</v>
      </c>
      <c r="N8927" s="10"/>
      <c r="O8927" s="10"/>
      <c r="P8927" s="10" t="s">
        <v>40843</v>
      </c>
      <c r="Q8927" s="10">
        <v>507.10730000000001</v>
      </c>
      <c r="R8927" s="10" t="s">
        <v>40844</v>
      </c>
      <c r="S8927" s="10" t="s">
        <v>53</v>
      </c>
      <c r="T8927" s="10" t="s">
        <v>6800</v>
      </c>
    </row>
    <row r="8928" spans="1:20" ht="14.5" x14ac:dyDescent="0.35">
      <c r="A8928" s="10" t="s">
        <v>40845</v>
      </c>
      <c r="B8928" s="10" t="str">
        <f>"9781620363522"</f>
        <v>9781620363522</v>
      </c>
      <c r="C8928" s="10" t="str">
        <f>"9781000974003"</f>
        <v>9781000974003</v>
      </c>
      <c r="D8928" s="10" t="s">
        <v>6350</v>
      </c>
      <c r="E8928" s="10" t="s">
        <v>6351</v>
      </c>
      <c r="F8928" s="10" t="s">
        <v>748</v>
      </c>
      <c r="G8928" s="10" t="s">
        <v>6352</v>
      </c>
      <c r="H8928" s="11">
        <v>42289</v>
      </c>
      <c r="I8928" s="10">
        <v>2015</v>
      </c>
      <c r="J8928" s="10" t="s">
        <v>6351</v>
      </c>
      <c r="K8928" s="10">
        <v>321</v>
      </c>
      <c r="L8928" s="10" t="s">
        <v>40846</v>
      </c>
      <c r="M8928" s="10">
        <v>1</v>
      </c>
      <c r="N8928" s="10"/>
      <c r="O8928" s="10"/>
      <c r="P8928" s="10" t="s">
        <v>40847</v>
      </c>
      <c r="Q8928" s="10" t="s">
        <v>8304</v>
      </c>
      <c r="R8928" s="10" t="s">
        <v>40848</v>
      </c>
      <c r="S8928" s="10" t="s">
        <v>53</v>
      </c>
      <c r="T8928" s="10" t="s">
        <v>54</v>
      </c>
    </row>
    <row r="8929" spans="1:20" ht="14.5" x14ac:dyDescent="0.35">
      <c r="A8929" s="10" t="s">
        <v>40849</v>
      </c>
      <c r="B8929" s="10" t="str">
        <f>"9781438457871"</f>
        <v>9781438457871</v>
      </c>
      <c r="C8929" s="10" t="str">
        <f>"9781438457888"</f>
        <v>9781438457888</v>
      </c>
      <c r="D8929" s="10" t="s">
        <v>37676</v>
      </c>
      <c r="E8929" s="10" t="s">
        <v>37677</v>
      </c>
      <c r="F8929" s="10" t="s">
        <v>5707</v>
      </c>
      <c r="G8929" s="10" t="s">
        <v>6317</v>
      </c>
      <c r="H8929" s="11">
        <v>42309</v>
      </c>
      <c r="I8929" s="10">
        <v>2015</v>
      </c>
      <c r="J8929" s="10" t="s">
        <v>37677</v>
      </c>
      <c r="K8929" s="10">
        <v>256</v>
      </c>
      <c r="L8929" s="10" t="s">
        <v>40850</v>
      </c>
      <c r="M8929" s="10">
        <v>1</v>
      </c>
      <c r="N8929" s="10"/>
      <c r="O8929" s="10"/>
      <c r="P8929" s="10" t="s">
        <v>40851</v>
      </c>
      <c r="Q8929" s="10">
        <v>374.52</v>
      </c>
      <c r="R8929" s="10" t="s">
        <v>40852</v>
      </c>
      <c r="S8929" s="10" t="s">
        <v>53</v>
      </c>
      <c r="T8929" s="10" t="s">
        <v>54</v>
      </c>
    </row>
    <row r="8930" spans="1:20" ht="14.5" x14ac:dyDescent="0.35">
      <c r="A8930" s="10" t="s">
        <v>40853</v>
      </c>
      <c r="B8930" s="10" t="str">
        <f>"9781438458311"</f>
        <v>9781438458311</v>
      </c>
      <c r="C8930" s="10" t="str">
        <f>"9781438458335"</f>
        <v>9781438458335</v>
      </c>
      <c r="D8930" s="10" t="s">
        <v>37676</v>
      </c>
      <c r="E8930" s="10" t="s">
        <v>37677</v>
      </c>
      <c r="F8930" s="10" t="s">
        <v>5707</v>
      </c>
      <c r="G8930" s="10" t="s">
        <v>6317</v>
      </c>
      <c r="H8930" s="11">
        <v>42309</v>
      </c>
      <c r="I8930" s="10">
        <v>2015</v>
      </c>
      <c r="J8930" s="10" t="s">
        <v>37677</v>
      </c>
      <c r="K8930" s="10">
        <v>212</v>
      </c>
      <c r="L8930" s="10" t="s">
        <v>40854</v>
      </c>
      <c r="M8930" s="10">
        <v>1</v>
      </c>
      <c r="N8930" s="10"/>
      <c r="O8930" s="10"/>
      <c r="P8930" s="10"/>
      <c r="Q8930" s="10">
        <v>371.10199999999998</v>
      </c>
      <c r="R8930" s="10" t="s">
        <v>40855</v>
      </c>
      <c r="S8930" s="10" t="s">
        <v>53</v>
      </c>
      <c r="T8930" s="10" t="s">
        <v>54</v>
      </c>
    </row>
    <row r="8931" spans="1:20" ht="14.5" x14ac:dyDescent="0.35">
      <c r="A8931" s="10" t="s">
        <v>40856</v>
      </c>
      <c r="B8931" s="10" t="str">
        <f>"9781438458618"</f>
        <v>9781438458618</v>
      </c>
      <c r="C8931" s="10" t="str">
        <f>"9781438458625"</f>
        <v>9781438458625</v>
      </c>
      <c r="D8931" s="10" t="s">
        <v>37676</v>
      </c>
      <c r="E8931" s="10" t="s">
        <v>37677</v>
      </c>
      <c r="F8931" s="10" t="s">
        <v>5707</v>
      </c>
      <c r="G8931" s="10" t="s">
        <v>6317</v>
      </c>
      <c r="H8931" s="11">
        <v>42339</v>
      </c>
      <c r="I8931" s="10">
        <v>2015</v>
      </c>
      <c r="J8931" s="10" t="s">
        <v>37677</v>
      </c>
      <c r="K8931" s="10">
        <v>274</v>
      </c>
      <c r="L8931" s="10" t="s">
        <v>40857</v>
      </c>
      <c r="M8931" s="10">
        <v>1</v>
      </c>
      <c r="N8931" s="10"/>
      <c r="O8931" s="10"/>
      <c r="P8931" s="10"/>
      <c r="Q8931" s="10" t="s">
        <v>19783</v>
      </c>
      <c r="R8931" s="10" t="s">
        <v>40858</v>
      </c>
      <c r="S8931" s="10" t="s">
        <v>53</v>
      </c>
      <c r="T8931" s="10" t="s">
        <v>54</v>
      </c>
    </row>
    <row r="8932" spans="1:20" ht="14.5" x14ac:dyDescent="0.35">
      <c r="A8932" s="10" t="s">
        <v>40859</v>
      </c>
      <c r="B8932" s="10" t="str">
        <f>"9781438459530"</f>
        <v>9781438459530</v>
      </c>
      <c r="C8932" s="10" t="str">
        <f>"9781438459547"</f>
        <v>9781438459547</v>
      </c>
      <c r="D8932" s="10" t="s">
        <v>37676</v>
      </c>
      <c r="E8932" s="10" t="s">
        <v>37677</v>
      </c>
      <c r="F8932" s="10" t="s">
        <v>5707</v>
      </c>
      <c r="G8932" s="10" t="s">
        <v>6317</v>
      </c>
      <c r="H8932" s="11">
        <v>42309</v>
      </c>
      <c r="I8932" s="10">
        <v>2015</v>
      </c>
      <c r="J8932" s="10" t="s">
        <v>37677</v>
      </c>
      <c r="K8932" s="10">
        <v>242</v>
      </c>
      <c r="L8932" s="10" t="s">
        <v>38520</v>
      </c>
      <c r="M8932" s="10">
        <v>1</v>
      </c>
      <c r="N8932" s="10" t="s">
        <v>38479</v>
      </c>
      <c r="O8932" s="10"/>
      <c r="P8932" s="10"/>
      <c r="Q8932" s="10">
        <v>378.1</v>
      </c>
      <c r="R8932" s="10" t="s">
        <v>20673</v>
      </c>
      <c r="S8932" s="10" t="s">
        <v>53</v>
      </c>
      <c r="T8932" s="10" t="s">
        <v>54</v>
      </c>
    </row>
    <row r="8933" spans="1:20" ht="14.5" x14ac:dyDescent="0.35">
      <c r="A8933" s="10" t="s">
        <v>40860</v>
      </c>
      <c r="B8933" s="10" t="str">
        <f>"9781496803498"</f>
        <v>9781496803498</v>
      </c>
      <c r="C8933" s="10" t="str">
        <f>"9781496803351"</f>
        <v>9781496803351</v>
      </c>
      <c r="D8933" s="10" t="s">
        <v>16047</v>
      </c>
      <c r="E8933" s="10" t="s">
        <v>16047</v>
      </c>
      <c r="F8933" s="10" t="s">
        <v>16048</v>
      </c>
      <c r="G8933" s="10" t="s">
        <v>6317</v>
      </c>
      <c r="H8933" s="11">
        <v>42263</v>
      </c>
      <c r="I8933" s="10">
        <v>2015</v>
      </c>
      <c r="J8933" s="10" t="s">
        <v>16047</v>
      </c>
      <c r="K8933" s="10">
        <v>214</v>
      </c>
      <c r="L8933" s="10" t="s">
        <v>40861</v>
      </c>
      <c r="M8933" s="10">
        <v>1</v>
      </c>
      <c r="N8933" s="10"/>
      <c r="O8933" s="10"/>
      <c r="P8933" s="10" t="s">
        <v>40862</v>
      </c>
      <c r="Q8933" s="10">
        <v>320.60976199999999</v>
      </c>
      <c r="R8933" s="10" t="s">
        <v>40863</v>
      </c>
      <c r="S8933" s="10" t="s">
        <v>53</v>
      </c>
      <c r="T8933" s="10" t="s">
        <v>12416</v>
      </c>
    </row>
    <row r="8934" spans="1:20" ht="14.5" x14ac:dyDescent="0.35">
      <c r="A8934" s="10" t="s">
        <v>40864</v>
      </c>
      <c r="B8934" s="10" t="str">
        <f>"9781464806421"</f>
        <v>9781464806421</v>
      </c>
      <c r="C8934" s="10" t="str">
        <f>"9781464806438"</f>
        <v>9781464806438</v>
      </c>
      <c r="D8934" s="10" t="s">
        <v>14731</v>
      </c>
      <c r="E8934" s="10" t="s">
        <v>14732</v>
      </c>
      <c r="F8934" s="10" t="s">
        <v>88</v>
      </c>
      <c r="G8934" s="10" t="s">
        <v>6317</v>
      </c>
      <c r="H8934" s="11">
        <v>42307</v>
      </c>
      <c r="I8934" s="10">
        <v>2016</v>
      </c>
      <c r="J8934" s="10" t="s">
        <v>14732</v>
      </c>
      <c r="K8934" s="10">
        <v>115</v>
      </c>
      <c r="L8934" s="10" t="s">
        <v>40865</v>
      </c>
      <c r="M8934" s="10">
        <v>1</v>
      </c>
      <c r="N8934" s="10"/>
      <c r="O8934" s="10"/>
      <c r="P8934" s="10" t="s">
        <v>40866</v>
      </c>
      <c r="Q8934" s="10">
        <v>607.1</v>
      </c>
      <c r="R8934" s="10" t="s">
        <v>40867</v>
      </c>
      <c r="S8934" s="10" t="s">
        <v>53</v>
      </c>
      <c r="T8934" s="10" t="s">
        <v>11508</v>
      </c>
    </row>
    <row r="8935" spans="1:20" ht="14.5" x14ac:dyDescent="0.35">
      <c r="A8935" s="10" t="s">
        <v>40868</v>
      </c>
      <c r="B8935" s="10" t="str">
        <f>"9781464807008"</f>
        <v>9781464807008</v>
      </c>
      <c r="C8935" s="10" t="str">
        <f>"9781464807015"</f>
        <v>9781464807015</v>
      </c>
      <c r="D8935" s="10" t="s">
        <v>14731</v>
      </c>
      <c r="E8935" s="10" t="s">
        <v>14732</v>
      </c>
      <c r="F8935" s="10" t="s">
        <v>88</v>
      </c>
      <c r="G8935" s="10" t="s">
        <v>6317</v>
      </c>
      <c r="H8935" s="11">
        <v>42345</v>
      </c>
      <c r="I8935" s="10">
        <v>2016</v>
      </c>
      <c r="J8935" s="10" t="s">
        <v>14732</v>
      </c>
      <c r="K8935" s="10">
        <v>115</v>
      </c>
      <c r="L8935" s="10" t="s">
        <v>40869</v>
      </c>
      <c r="M8935" s="10">
        <v>1</v>
      </c>
      <c r="N8935" s="10"/>
      <c r="O8935" s="10"/>
      <c r="P8935" s="10" t="s">
        <v>40870</v>
      </c>
      <c r="Q8935" s="10">
        <v>509.67</v>
      </c>
      <c r="R8935" s="10" t="s">
        <v>40871</v>
      </c>
      <c r="S8935" s="10" t="s">
        <v>53</v>
      </c>
      <c r="T8935" s="10" t="s">
        <v>9608</v>
      </c>
    </row>
    <row r="8936" spans="1:20" ht="14.5" x14ac:dyDescent="0.35">
      <c r="A8936" s="10" t="s">
        <v>40872</v>
      </c>
      <c r="B8936" s="10" t="str">
        <f>"9781464807398"</f>
        <v>9781464807398</v>
      </c>
      <c r="C8936" s="10" t="str">
        <f>"9781464807404"</f>
        <v>9781464807404</v>
      </c>
      <c r="D8936" s="10" t="s">
        <v>14731</v>
      </c>
      <c r="E8936" s="10" t="s">
        <v>14732</v>
      </c>
      <c r="F8936" s="10" t="s">
        <v>11765</v>
      </c>
      <c r="G8936" s="10" t="s">
        <v>6317</v>
      </c>
      <c r="H8936" s="11">
        <v>42389</v>
      </c>
      <c r="I8936" s="10">
        <v>2016</v>
      </c>
      <c r="J8936" s="10" t="s">
        <v>14732</v>
      </c>
      <c r="K8936" s="10">
        <v>93</v>
      </c>
      <c r="L8936" s="10" t="s">
        <v>40873</v>
      </c>
      <c r="M8936" s="10">
        <v>1</v>
      </c>
      <c r="N8936" s="10"/>
      <c r="O8936" s="10"/>
      <c r="P8936" s="10" t="s">
        <v>40874</v>
      </c>
      <c r="Q8936" s="10">
        <v>371.14409540999998</v>
      </c>
      <c r="R8936" s="10" t="s">
        <v>40875</v>
      </c>
      <c r="S8936" s="10" t="s">
        <v>53</v>
      </c>
      <c r="T8936" s="10" t="s">
        <v>54</v>
      </c>
    </row>
    <row r="8937" spans="1:20" ht="14.5" x14ac:dyDescent="0.35">
      <c r="A8937" s="10" t="s">
        <v>40876</v>
      </c>
      <c r="B8937" s="10" t="str">
        <f>"9781783605804"</f>
        <v>9781783605804</v>
      </c>
      <c r="C8937" s="10" t="str">
        <f>"9781783605811"</f>
        <v>9781783605811</v>
      </c>
      <c r="D8937" s="10" t="s">
        <v>13959</v>
      </c>
      <c r="E8937" s="10" t="s">
        <v>23825</v>
      </c>
      <c r="F8937" s="10" t="s">
        <v>139</v>
      </c>
      <c r="G8937" s="10" t="s">
        <v>6352</v>
      </c>
      <c r="H8937" s="11">
        <v>43167</v>
      </c>
      <c r="I8937" s="10">
        <v>2018</v>
      </c>
      <c r="J8937" s="10" t="s">
        <v>40877</v>
      </c>
      <c r="K8937" s="10">
        <v>301</v>
      </c>
      <c r="L8937" s="10" t="s">
        <v>40878</v>
      </c>
      <c r="M8937" s="10">
        <v>2</v>
      </c>
      <c r="N8937" s="10"/>
      <c r="O8937" s="10"/>
      <c r="P8937" s="10" t="s">
        <v>40879</v>
      </c>
      <c r="Q8937" s="10">
        <v>333.70819999999998</v>
      </c>
      <c r="R8937" s="10" t="s">
        <v>40880</v>
      </c>
      <c r="S8937" s="10" t="s">
        <v>53</v>
      </c>
      <c r="T8937" s="10" t="s">
        <v>7664</v>
      </c>
    </row>
    <row r="8938" spans="1:20" ht="14.5" x14ac:dyDescent="0.35">
      <c r="A8938" s="10" t="s">
        <v>40881</v>
      </c>
      <c r="B8938" s="10" t="str">
        <f>"9782869786080"</f>
        <v>9782869786080</v>
      </c>
      <c r="C8938" s="10" t="str">
        <f>"9782869786561"</f>
        <v>9782869786561</v>
      </c>
      <c r="D8938" s="10" t="s">
        <v>24820</v>
      </c>
      <c r="E8938" s="10" t="s">
        <v>24829</v>
      </c>
      <c r="F8938" s="10" t="s">
        <v>748</v>
      </c>
      <c r="G8938" s="10" t="s">
        <v>24830</v>
      </c>
      <c r="H8938" s="11">
        <v>42296</v>
      </c>
      <c r="I8938" s="10">
        <v>2015</v>
      </c>
      <c r="J8938" s="10" t="s">
        <v>24829</v>
      </c>
      <c r="K8938" s="10">
        <v>326</v>
      </c>
      <c r="L8938" s="10" t="s">
        <v>40882</v>
      </c>
      <c r="M8938" s="10">
        <v>1</v>
      </c>
      <c r="N8938" s="10"/>
      <c r="O8938" s="10"/>
      <c r="P8938" s="10" t="s">
        <v>40883</v>
      </c>
      <c r="Q8938" s="10">
        <v>371.33096</v>
      </c>
      <c r="R8938" s="10" t="s">
        <v>40884</v>
      </c>
      <c r="S8938" s="10" t="s">
        <v>53</v>
      </c>
      <c r="T8938" s="10" t="s">
        <v>54</v>
      </c>
    </row>
    <row r="8939" spans="1:20" ht="14.5" x14ac:dyDescent="0.35">
      <c r="A8939" s="10" t="s">
        <v>40885</v>
      </c>
      <c r="B8939" s="10" t="str">
        <f>"9781921867811"</f>
        <v>9781921867811</v>
      </c>
      <c r="C8939" s="10" t="str">
        <f>"9781921867996"</f>
        <v>9781921867996</v>
      </c>
      <c r="D8939" s="10" t="s">
        <v>31249</v>
      </c>
      <c r="E8939" s="10" t="s">
        <v>31250</v>
      </c>
      <c r="F8939" s="10" t="s">
        <v>40886</v>
      </c>
      <c r="G8939" s="10" t="s">
        <v>12975</v>
      </c>
      <c r="H8939" s="11">
        <v>41484</v>
      </c>
      <c r="I8939" s="10">
        <v>2013</v>
      </c>
      <c r="J8939" s="10" t="s">
        <v>31250</v>
      </c>
      <c r="K8939" s="10">
        <v>219</v>
      </c>
      <c r="L8939" s="10" t="s">
        <v>40887</v>
      </c>
      <c r="M8939" s="10">
        <v>1</v>
      </c>
      <c r="N8939" s="10"/>
      <c r="O8939" s="10"/>
      <c r="P8939" s="10" t="s">
        <v>40888</v>
      </c>
      <c r="Q8939" s="10">
        <v>822.33</v>
      </c>
      <c r="R8939" s="10" t="s">
        <v>40889</v>
      </c>
      <c r="S8939" s="10" t="s">
        <v>53</v>
      </c>
      <c r="T8939" s="10" t="s">
        <v>1166</v>
      </c>
    </row>
    <row r="8940" spans="1:20" ht="14.5" x14ac:dyDescent="0.35">
      <c r="A8940" s="10" t="s">
        <v>40890</v>
      </c>
      <c r="B8940" s="10" t="str">
        <f>"9781416620983"</f>
        <v>9781416620983</v>
      </c>
      <c r="C8940" s="10" t="str">
        <f>"9781416620990"</f>
        <v>9781416620990</v>
      </c>
      <c r="D8940" s="10" t="s">
        <v>10014</v>
      </c>
      <c r="E8940" s="10" t="s">
        <v>10015</v>
      </c>
      <c r="F8940" s="10" t="s">
        <v>201</v>
      </c>
      <c r="G8940" s="10" t="s">
        <v>6317</v>
      </c>
      <c r="H8940" s="11">
        <v>42338</v>
      </c>
      <c r="I8940" s="10">
        <v>2015</v>
      </c>
      <c r="J8940" s="10" t="s">
        <v>10015</v>
      </c>
      <c r="K8940" s="10">
        <v>237</v>
      </c>
      <c r="L8940" s="10" t="s">
        <v>40891</v>
      </c>
      <c r="M8940" s="10">
        <v>1</v>
      </c>
      <c r="N8940" s="10"/>
      <c r="O8940" s="10"/>
      <c r="P8940" s="10" t="s">
        <v>40892</v>
      </c>
      <c r="Q8940" s="10" t="s">
        <v>22300</v>
      </c>
      <c r="R8940" s="10" t="s">
        <v>40893</v>
      </c>
      <c r="S8940" s="10" t="s">
        <v>53</v>
      </c>
      <c r="T8940" s="10" t="s">
        <v>54</v>
      </c>
    </row>
    <row r="8941" spans="1:20" ht="14.5" x14ac:dyDescent="0.35">
      <c r="A8941" s="10" t="s">
        <v>40894</v>
      </c>
      <c r="B8941" s="10" t="str">
        <f>"9781416621034"</f>
        <v>9781416621034</v>
      </c>
      <c r="C8941" s="10" t="str">
        <f>"9781416621058"</f>
        <v>9781416621058</v>
      </c>
      <c r="D8941" s="10" t="s">
        <v>10014</v>
      </c>
      <c r="E8941" s="10" t="s">
        <v>10015</v>
      </c>
      <c r="F8941" s="10" t="s">
        <v>201</v>
      </c>
      <c r="G8941" s="10" t="s">
        <v>6317</v>
      </c>
      <c r="H8941" s="11">
        <v>42368</v>
      </c>
      <c r="I8941" s="10">
        <v>2015</v>
      </c>
      <c r="J8941" s="10" t="s">
        <v>10015</v>
      </c>
      <c r="K8941" s="10">
        <v>146</v>
      </c>
      <c r="L8941" s="10" t="s">
        <v>12852</v>
      </c>
      <c r="M8941" s="10">
        <v>1</v>
      </c>
      <c r="N8941" s="10"/>
      <c r="O8941" s="10"/>
      <c r="P8941" s="10" t="s">
        <v>40895</v>
      </c>
      <c r="Q8941" s="10">
        <v>371.26</v>
      </c>
      <c r="R8941" s="10" t="s">
        <v>28705</v>
      </c>
      <c r="S8941" s="10" t="s">
        <v>53</v>
      </c>
      <c r="T8941" s="10" t="s">
        <v>54</v>
      </c>
    </row>
    <row r="8942" spans="1:20" ht="14.5" x14ac:dyDescent="0.35">
      <c r="A8942" s="10" t="s">
        <v>40896</v>
      </c>
      <c r="B8942" s="10" t="str">
        <f>"9780801891038"</f>
        <v>9780801891038</v>
      </c>
      <c r="C8942" s="10" t="str">
        <f>"9781421402079"</f>
        <v>9781421402079</v>
      </c>
      <c r="D8942" s="10" t="s">
        <v>884</v>
      </c>
      <c r="E8942" s="10" t="s">
        <v>884</v>
      </c>
      <c r="F8942" s="10" t="s">
        <v>885</v>
      </c>
      <c r="G8942" s="10" t="s">
        <v>6317</v>
      </c>
      <c r="H8942" s="11">
        <v>38847</v>
      </c>
      <c r="I8942" s="10">
        <v>2006</v>
      </c>
      <c r="J8942" s="10" t="s">
        <v>884</v>
      </c>
      <c r="K8942" s="10">
        <v>601</v>
      </c>
      <c r="L8942" s="10" t="s">
        <v>40897</v>
      </c>
      <c r="M8942" s="10">
        <v>1</v>
      </c>
      <c r="N8942" s="10"/>
      <c r="O8942" s="10"/>
      <c r="P8942" s="10" t="s">
        <v>40898</v>
      </c>
      <c r="Q8942" s="10" t="s">
        <v>40899</v>
      </c>
      <c r="R8942" s="10" t="s">
        <v>40900</v>
      </c>
      <c r="S8942" s="10" t="s">
        <v>53</v>
      </c>
      <c r="T8942" s="10" t="s">
        <v>54</v>
      </c>
    </row>
    <row r="8943" spans="1:20" ht="14.5" x14ac:dyDescent="0.35">
      <c r="A8943" s="10" t="s">
        <v>40901</v>
      </c>
      <c r="B8943" s="10" t="str">
        <f>"9781421417790"</f>
        <v>9781421417790</v>
      </c>
      <c r="C8943" s="10" t="str">
        <f>"9781421417806"</f>
        <v>9781421417806</v>
      </c>
      <c r="D8943" s="10" t="s">
        <v>884</v>
      </c>
      <c r="E8943" s="10" t="s">
        <v>884</v>
      </c>
      <c r="F8943" s="10" t="s">
        <v>885</v>
      </c>
      <c r="G8943" s="10" t="s">
        <v>6317</v>
      </c>
      <c r="H8943" s="11">
        <v>42307</v>
      </c>
      <c r="I8943" s="10">
        <v>2015</v>
      </c>
      <c r="J8943" s="10" t="s">
        <v>884</v>
      </c>
      <c r="K8943" s="10">
        <v>179</v>
      </c>
      <c r="L8943" s="10" t="s">
        <v>38153</v>
      </c>
      <c r="M8943" s="10">
        <v>1</v>
      </c>
      <c r="N8943" s="10" t="s">
        <v>40902</v>
      </c>
      <c r="O8943" s="10"/>
      <c r="P8943" s="10"/>
      <c r="Q8943" s="10" t="s">
        <v>14582</v>
      </c>
      <c r="R8943" s="10"/>
      <c r="S8943" s="10" t="s">
        <v>53</v>
      </c>
      <c r="T8943" s="10" t="s">
        <v>54</v>
      </c>
    </row>
    <row r="8944" spans="1:20" ht="14.5" x14ac:dyDescent="0.35">
      <c r="A8944" s="10" t="s">
        <v>40903</v>
      </c>
      <c r="B8944" s="10" t="str">
        <f>"9781421417875"</f>
        <v>9781421417875</v>
      </c>
      <c r="C8944" s="10" t="str">
        <f>"9781421417882"</f>
        <v>9781421417882</v>
      </c>
      <c r="D8944" s="10" t="s">
        <v>884</v>
      </c>
      <c r="E8944" s="10" t="s">
        <v>884</v>
      </c>
      <c r="F8944" s="10" t="s">
        <v>885</v>
      </c>
      <c r="G8944" s="10" t="s">
        <v>6317</v>
      </c>
      <c r="H8944" s="11">
        <v>42338</v>
      </c>
      <c r="I8944" s="10">
        <v>2015</v>
      </c>
      <c r="J8944" s="10" t="s">
        <v>884</v>
      </c>
      <c r="K8944" s="10">
        <v>207</v>
      </c>
      <c r="L8944" s="10" t="s">
        <v>40904</v>
      </c>
      <c r="M8944" s="10">
        <v>1</v>
      </c>
      <c r="N8944" s="10"/>
      <c r="O8944" s="10"/>
      <c r="P8944" s="10" t="s">
        <v>40905</v>
      </c>
      <c r="Q8944" s="10">
        <v>373.09173199999998</v>
      </c>
      <c r="R8944" s="10" t="s">
        <v>40906</v>
      </c>
      <c r="S8944" s="10" t="s">
        <v>53</v>
      </c>
      <c r="T8944" s="10" t="s">
        <v>54</v>
      </c>
    </row>
    <row r="8945" spans="1:20" ht="14.5" x14ac:dyDescent="0.35">
      <c r="A8945" s="10" t="s">
        <v>40907</v>
      </c>
      <c r="B8945" s="10" t="str">
        <f>"9781421417998"</f>
        <v>9781421417998</v>
      </c>
      <c r="C8945" s="10" t="str">
        <f>"9781421418001"</f>
        <v>9781421418001</v>
      </c>
      <c r="D8945" s="10" t="s">
        <v>884</v>
      </c>
      <c r="E8945" s="10" t="s">
        <v>884</v>
      </c>
      <c r="F8945" s="10" t="s">
        <v>885</v>
      </c>
      <c r="G8945" s="10" t="s">
        <v>6317</v>
      </c>
      <c r="H8945" s="11">
        <v>42338</v>
      </c>
      <c r="I8945" s="10">
        <v>2015</v>
      </c>
      <c r="J8945" s="10" t="s">
        <v>884</v>
      </c>
      <c r="K8945" s="10">
        <v>217</v>
      </c>
      <c r="L8945" s="10" t="s">
        <v>40908</v>
      </c>
      <c r="M8945" s="10">
        <v>1</v>
      </c>
      <c r="N8945" s="10"/>
      <c r="O8945" s="10"/>
      <c r="P8945" s="10" t="s">
        <v>40909</v>
      </c>
      <c r="Q8945" s="10">
        <v>378.73</v>
      </c>
      <c r="R8945" s="10" t="s">
        <v>40910</v>
      </c>
      <c r="S8945" s="10" t="s">
        <v>53</v>
      </c>
      <c r="T8945" s="10" t="s">
        <v>54</v>
      </c>
    </row>
    <row r="8946" spans="1:20" ht="14.5" x14ac:dyDescent="0.35">
      <c r="A8946" s="10" t="s">
        <v>40911</v>
      </c>
      <c r="B8946" s="10" t="str">
        <f>"9781421418148"</f>
        <v>9781421418148</v>
      </c>
      <c r="C8946" s="10" t="str">
        <f>"9781421418155"</f>
        <v>9781421418155</v>
      </c>
      <c r="D8946" s="10" t="s">
        <v>884</v>
      </c>
      <c r="E8946" s="10" t="s">
        <v>884</v>
      </c>
      <c r="F8946" s="10" t="s">
        <v>885</v>
      </c>
      <c r="G8946" s="10" t="s">
        <v>6317</v>
      </c>
      <c r="H8946" s="11">
        <v>42353</v>
      </c>
      <c r="I8946" s="10">
        <v>2015</v>
      </c>
      <c r="J8946" s="10" t="s">
        <v>884</v>
      </c>
      <c r="K8946" s="10">
        <v>449</v>
      </c>
      <c r="L8946" s="10" t="s">
        <v>40912</v>
      </c>
      <c r="M8946" s="10">
        <v>1</v>
      </c>
      <c r="N8946" s="10"/>
      <c r="O8946" s="10"/>
      <c r="P8946" s="10" t="s">
        <v>40913</v>
      </c>
      <c r="Q8946" s="10">
        <v>620.00899607300005</v>
      </c>
      <c r="R8946" s="10" t="s">
        <v>40914</v>
      </c>
      <c r="S8946" s="10" t="s">
        <v>53</v>
      </c>
      <c r="T8946" s="10" t="s">
        <v>40915</v>
      </c>
    </row>
    <row r="8947" spans="1:20" ht="14.5" x14ac:dyDescent="0.35">
      <c r="A8947" s="10" t="s">
        <v>40916</v>
      </c>
      <c r="B8947" s="10" t="str">
        <f>"9781421418209"</f>
        <v>9781421418209</v>
      </c>
      <c r="C8947" s="10" t="str">
        <f>"9781421418216"</f>
        <v>9781421418216</v>
      </c>
      <c r="D8947" s="10" t="s">
        <v>884</v>
      </c>
      <c r="E8947" s="10" t="s">
        <v>884</v>
      </c>
      <c r="F8947" s="10" t="s">
        <v>885</v>
      </c>
      <c r="G8947" s="10" t="s">
        <v>6317</v>
      </c>
      <c r="H8947" s="11">
        <v>42323</v>
      </c>
      <c r="I8947" s="10">
        <v>2015</v>
      </c>
      <c r="J8947" s="10" t="s">
        <v>884</v>
      </c>
      <c r="K8947" s="10">
        <v>187</v>
      </c>
      <c r="L8947" s="10" t="s">
        <v>40917</v>
      </c>
      <c r="M8947" s="10">
        <v>1</v>
      </c>
      <c r="N8947" s="10"/>
      <c r="O8947" s="10"/>
      <c r="P8947" s="10" t="s">
        <v>40918</v>
      </c>
      <c r="Q8947" s="10">
        <v>378.10109729999999</v>
      </c>
      <c r="R8947" s="10" t="s">
        <v>40919</v>
      </c>
      <c r="S8947" s="10" t="s">
        <v>53</v>
      </c>
      <c r="T8947" s="10" t="s">
        <v>54</v>
      </c>
    </row>
    <row r="8948" spans="1:20" ht="14.5" x14ac:dyDescent="0.35">
      <c r="A8948" s="10" t="s">
        <v>40920</v>
      </c>
      <c r="B8948" s="10" t="str">
        <f>"9781421418261"</f>
        <v>9781421418261</v>
      </c>
      <c r="C8948" s="10" t="str">
        <f>"9781421418278"</f>
        <v>9781421418278</v>
      </c>
      <c r="D8948" s="10" t="s">
        <v>884</v>
      </c>
      <c r="E8948" s="10" t="s">
        <v>884</v>
      </c>
      <c r="F8948" s="10" t="s">
        <v>885</v>
      </c>
      <c r="G8948" s="10" t="s">
        <v>6317</v>
      </c>
      <c r="H8948" s="11">
        <v>42323</v>
      </c>
      <c r="I8948" s="10">
        <v>2015</v>
      </c>
      <c r="J8948" s="10" t="s">
        <v>884</v>
      </c>
      <c r="K8948" s="10">
        <v>291</v>
      </c>
      <c r="L8948" s="10" t="s">
        <v>40921</v>
      </c>
      <c r="M8948" s="10">
        <v>1</v>
      </c>
      <c r="N8948" s="10"/>
      <c r="O8948" s="10"/>
      <c r="P8948" s="10" t="s">
        <v>40922</v>
      </c>
      <c r="Q8948" s="10">
        <v>331.88113711097299</v>
      </c>
      <c r="R8948" s="10" t="s">
        <v>40923</v>
      </c>
      <c r="S8948" s="10" t="s">
        <v>53</v>
      </c>
      <c r="T8948" s="10" t="s">
        <v>8723</v>
      </c>
    </row>
    <row r="8949" spans="1:20" ht="14.5" x14ac:dyDescent="0.35">
      <c r="A8949" s="10" t="s">
        <v>40924</v>
      </c>
      <c r="B8949" s="10" t="str">
        <f>"9781421419053"</f>
        <v>9781421419053</v>
      </c>
      <c r="C8949" s="10" t="str">
        <f>"9781421419060"</f>
        <v>9781421419060</v>
      </c>
      <c r="D8949" s="10" t="s">
        <v>884</v>
      </c>
      <c r="E8949" s="10" t="s">
        <v>884</v>
      </c>
      <c r="F8949" s="10" t="s">
        <v>885</v>
      </c>
      <c r="G8949" s="10" t="s">
        <v>6317</v>
      </c>
      <c r="H8949" s="11">
        <v>42465</v>
      </c>
      <c r="I8949" s="10">
        <v>2016</v>
      </c>
      <c r="J8949" s="10" t="s">
        <v>884</v>
      </c>
      <c r="K8949" s="10">
        <v>145</v>
      </c>
      <c r="L8949" s="10" t="s">
        <v>40925</v>
      </c>
      <c r="M8949" s="10">
        <v>1</v>
      </c>
      <c r="N8949" s="10"/>
      <c r="O8949" s="10"/>
      <c r="P8949" s="10" t="s">
        <v>40926</v>
      </c>
      <c r="Q8949" s="10" t="s">
        <v>40927</v>
      </c>
      <c r="R8949" s="10" t="s">
        <v>40928</v>
      </c>
      <c r="S8949" s="10" t="s">
        <v>53</v>
      </c>
      <c r="T8949" s="10" t="s">
        <v>6472</v>
      </c>
    </row>
    <row r="8950" spans="1:20" ht="14.5" x14ac:dyDescent="0.35">
      <c r="A8950" s="10" t="s">
        <v>40929</v>
      </c>
      <c r="B8950" s="10" t="str">
        <f>"9781475824827"</f>
        <v>9781475824827</v>
      </c>
      <c r="C8950" s="10" t="str">
        <f>"9781475824834"</f>
        <v>9781475824834</v>
      </c>
      <c r="D8950" s="10" t="s">
        <v>9752</v>
      </c>
      <c r="E8950" s="10" t="s">
        <v>15187</v>
      </c>
      <c r="F8950" s="10" t="s">
        <v>9754</v>
      </c>
      <c r="G8950" s="10" t="s">
        <v>6317</v>
      </c>
      <c r="H8950" s="11">
        <v>42390</v>
      </c>
      <c r="I8950" s="10">
        <v>2015</v>
      </c>
      <c r="J8950" s="10" t="s">
        <v>15187</v>
      </c>
      <c r="K8950" s="10">
        <v>63</v>
      </c>
      <c r="L8950" s="10" t="s">
        <v>40930</v>
      </c>
      <c r="M8950" s="10">
        <v>1</v>
      </c>
      <c r="N8950" s="10" t="s">
        <v>40931</v>
      </c>
      <c r="O8950" s="10"/>
      <c r="P8950" s="10" t="s">
        <v>40932</v>
      </c>
      <c r="Q8950" s="10">
        <v>371.12076000000002</v>
      </c>
      <c r="R8950" s="10" t="s">
        <v>40933</v>
      </c>
      <c r="S8950" s="10" t="s">
        <v>53</v>
      </c>
      <c r="T8950" s="10" t="s">
        <v>54</v>
      </c>
    </row>
    <row r="8951" spans="1:20" ht="14.5" x14ac:dyDescent="0.35">
      <c r="A8951" s="10" t="s">
        <v>40934</v>
      </c>
      <c r="B8951" s="10" t="str">
        <f>"9781498506861"</f>
        <v>9781498506861</v>
      </c>
      <c r="C8951" s="10" t="str">
        <f>"9781498506878"</f>
        <v>9781498506878</v>
      </c>
      <c r="D8951" s="10" t="s">
        <v>9752</v>
      </c>
      <c r="E8951" s="10" t="s">
        <v>15182</v>
      </c>
      <c r="F8951" s="10" t="s">
        <v>3460</v>
      </c>
      <c r="G8951" s="10" t="s">
        <v>6317</v>
      </c>
      <c r="H8951" s="11">
        <v>42285</v>
      </c>
      <c r="I8951" s="10">
        <v>2015</v>
      </c>
      <c r="J8951" s="10" t="s">
        <v>15182</v>
      </c>
      <c r="K8951" s="10">
        <v>379</v>
      </c>
      <c r="L8951" s="10" t="s">
        <v>40935</v>
      </c>
      <c r="M8951" s="10">
        <v>1</v>
      </c>
      <c r="N8951" s="10" t="s">
        <v>40055</v>
      </c>
      <c r="O8951" s="10"/>
      <c r="P8951" s="10" t="s">
        <v>40936</v>
      </c>
      <c r="Q8951" s="10">
        <v>378.19829607299999</v>
      </c>
      <c r="R8951" s="10" t="s">
        <v>40937</v>
      </c>
      <c r="S8951" s="10" t="s">
        <v>53</v>
      </c>
      <c r="T8951" s="10" t="s">
        <v>54</v>
      </c>
    </row>
    <row r="8952" spans="1:20" ht="14.5" x14ac:dyDescent="0.35">
      <c r="A8952" s="10" t="s">
        <v>40938</v>
      </c>
      <c r="B8952" s="10" t="str">
        <f>"9781614514794"</f>
        <v>9781614514794</v>
      </c>
      <c r="C8952" s="10" t="str">
        <f>"9781614514800"</f>
        <v>9781614514800</v>
      </c>
      <c r="D8952" s="10" t="s">
        <v>9995</v>
      </c>
      <c r="E8952" s="10" t="s">
        <v>9996</v>
      </c>
      <c r="F8952" s="10" t="s">
        <v>1420</v>
      </c>
      <c r="G8952" s="10" t="s">
        <v>9998</v>
      </c>
      <c r="H8952" s="11">
        <v>42321</v>
      </c>
      <c r="I8952" s="10">
        <v>2016</v>
      </c>
      <c r="J8952" s="10" t="s">
        <v>10009</v>
      </c>
      <c r="K8952" s="10">
        <v>284</v>
      </c>
      <c r="L8952" s="10" t="s">
        <v>40939</v>
      </c>
      <c r="M8952" s="10">
        <v>1</v>
      </c>
      <c r="N8952" s="10" t="s">
        <v>21052</v>
      </c>
      <c r="O8952" s="10">
        <v>15</v>
      </c>
      <c r="P8952" s="10" t="s">
        <v>40940</v>
      </c>
      <c r="Q8952" s="10"/>
      <c r="R8952" s="10" t="s">
        <v>40941</v>
      </c>
      <c r="S8952" s="10" t="s">
        <v>53</v>
      </c>
      <c r="T8952" s="10" t="s">
        <v>54</v>
      </c>
    </row>
    <row r="8953" spans="1:20" ht="14.5" x14ac:dyDescent="0.35">
      <c r="A8953" s="10" t="s">
        <v>40942</v>
      </c>
      <c r="B8953" s="10" t="str">
        <f>"9781847065605"</f>
        <v>9781847065605</v>
      </c>
      <c r="C8953" s="10" t="str">
        <f>"9781441129796"</f>
        <v>9781441129796</v>
      </c>
      <c r="D8953" s="10" t="s">
        <v>13959</v>
      </c>
      <c r="E8953" s="10" t="s">
        <v>13960</v>
      </c>
      <c r="F8953" s="10" t="s">
        <v>139</v>
      </c>
      <c r="G8953" s="10" t="s">
        <v>6352</v>
      </c>
      <c r="H8953" s="11">
        <v>40303</v>
      </c>
      <c r="I8953" s="10">
        <v>2010</v>
      </c>
      <c r="J8953" s="10" t="s">
        <v>16948</v>
      </c>
      <c r="K8953" s="10">
        <v>242</v>
      </c>
      <c r="L8953" s="10" t="s">
        <v>40943</v>
      </c>
      <c r="M8953" s="10">
        <v>1</v>
      </c>
      <c r="N8953" s="10"/>
      <c r="O8953" s="10"/>
      <c r="P8953" s="10" t="s">
        <v>40944</v>
      </c>
      <c r="Q8953" s="10">
        <v>371.10199999999998</v>
      </c>
      <c r="R8953" s="10" t="s">
        <v>6471</v>
      </c>
      <c r="S8953" s="10" t="s">
        <v>53</v>
      </c>
      <c r="T8953" s="10" t="s">
        <v>54</v>
      </c>
    </row>
    <row r="8954" spans="1:20" ht="14.5" x14ac:dyDescent="0.35">
      <c r="A8954" s="10" t="s">
        <v>40945</v>
      </c>
      <c r="B8954" s="10" t="str">
        <f>"9781475825503"</f>
        <v>9781475825503</v>
      </c>
      <c r="C8954" s="10" t="str">
        <f>"9781475825510"</f>
        <v>9781475825510</v>
      </c>
      <c r="D8954" s="10" t="s">
        <v>9752</v>
      </c>
      <c r="E8954" s="10" t="s">
        <v>15187</v>
      </c>
      <c r="F8954" s="10" t="s">
        <v>9754</v>
      </c>
      <c r="G8954" s="10" t="s">
        <v>6317</v>
      </c>
      <c r="H8954" s="11">
        <v>42417</v>
      </c>
      <c r="I8954" s="10">
        <v>2016</v>
      </c>
      <c r="J8954" s="10" t="s">
        <v>15187</v>
      </c>
      <c r="K8954" s="10">
        <v>131</v>
      </c>
      <c r="L8954" s="10" t="s">
        <v>40946</v>
      </c>
      <c r="M8954" s="10">
        <v>1</v>
      </c>
      <c r="N8954" s="10"/>
      <c r="O8954" s="10"/>
      <c r="P8954" s="10" t="s">
        <v>40947</v>
      </c>
      <c r="Q8954" s="10" t="s">
        <v>6920</v>
      </c>
      <c r="R8954" s="10" t="s">
        <v>40948</v>
      </c>
      <c r="S8954" s="10" t="s">
        <v>53</v>
      </c>
      <c r="T8954" s="10" t="s">
        <v>54</v>
      </c>
    </row>
    <row r="8955" spans="1:20" ht="14.5" x14ac:dyDescent="0.35">
      <c r="A8955" s="10" t="s">
        <v>40949</v>
      </c>
      <c r="B8955" s="10" t="str">
        <f>"9781118711453"</f>
        <v>9781118711453</v>
      </c>
      <c r="C8955" s="10" t="str">
        <f>"9781118711491"</f>
        <v>9781118711491</v>
      </c>
      <c r="D8955" s="10" t="s">
        <v>6322</v>
      </c>
      <c r="E8955" s="10" t="s">
        <v>6323</v>
      </c>
      <c r="F8955" s="10" t="s">
        <v>4423</v>
      </c>
      <c r="G8955" s="10" t="s">
        <v>6317</v>
      </c>
      <c r="H8955" s="11">
        <v>42436</v>
      </c>
      <c r="I8955" s="10">
        <v>2016</v>
      </c>
      <c r="J8955" s="10" t="s">
        <v>6324</v>
      </c>
      <c r="K8955" s="10">
        <v>382</v>
      </c>
      <c r="L8955" s="10" t="s">
        <v>40950</v>
      </c>
      <c r="M8955" s="10">
        <v>1</v>
      </c>
      <c r="N8955" s="10"/>
      <c r="O8955" s="10"/>
      <c r="P8955" s="10"/>
      <c r="Q8955" s="10">
        <v>374</v>
      </c>
      <c r="R8955" s="10" t="s">
        <v>24765</v>
      </c>
      <c r="S8955" s="10" t="s">
        <v>53</v>
      </c>
      <c r="T8955" s="10" t="s">
        <v>54</v>
      </c>
    </row>
    <row r="8956" spans="1:20" ht="14.5" x14ac:dyDescent="0.35">
      <c r="A8956" s="10" t="s">
        <v>40951</v>
      </c>
      <c r="B8956" s="10" t="str">
        <f>"9781475808490"</f>
        <v>9781475808490</v>
      </c>
      <c r="C8956" s="10" t="str">
        <f>"9781475808506"</f>
        <v>9781475808506</v>
      </c>
      <c r="D8956" s="10" t="s">
        <v>9752</v>
      </c>
      <c r="E8956" s="10" t="s">
        <v>15187</v>
      </c>
      <c r="F8956" s="10" t="s">
        <v>9754</v>
      </c>
      <c r="G8956" s="10" t="s">
        <v>6317</v>
      </c>
      <c r="H8956" s="11">
        <v>42352</v>
      </c>
      <c r="I8956" s="10">
        <v>2015</v>
      </c>
      <c r="J8956" s="10" t="s">
        <v>15187</v>
      </c>
      <c r="K8956" s="10">
        <v>191</v>
      </c>
      <c r="L8956" s="10" t="s">
        <v>40952</v>
      </c>
      <c r="M8956" s="10">
        <v>1</v>
      </c>
      <c r="N8956" s="10"/>
      <c r="O8956" s="10"/>
      <c r="P8956" s="10" t="s">
        <v>30495</v>
      </c>
      <c r="Q8956" s="10">
        <v>510.71</v>
      </c>
      <c r="R8956" s="10" t="s">
        <v>40201</v>
      </c>
      <c r="S8956" s="10" t="s">
        <v>53</v>
      </c>
      <c r="T8956" s="10" t="s">
        <v>389</v>
      </c>
    </row>
    <row r="8957" spans="1:20" ht="14.5" x14ac:dyDescent="0.35">
      <c r="A8957" s="10" t="s">
        <v>40953</v>
      </c>
      <c r="B8957" s="10" t="str">
        <f>"9780817318970"</f>
        <v>9780817318970</v>
      </c>
      <c r="C8957" s="10" t="str">
        <f>"9780817389314"</f>
        <v>9780817389314</v>
      </c>
      <c r="D8957" s="10" t="s">
        <v>3407</v>
      </c>
      <c r="E8957" s="10" t="s">
        <v>3407</v>
      </c>
      <c r="F8957" s="10" t="s">
        <v>3408</v>
      </c>
      <c r="G8957" s="10" t="s">
        <v>6317</v>
      </c>
      <c r="H8957" s="11">
        <v>42461</v>
      </c>
      <c r="I8957" s="10">
        <v>2016</v>
      </c>
      <c r="J8957" s="10" t="s">
        <v>3407</v>
      </c>
      <c r="K8957" s="10">
        <v>280</v>
      </c>
      <c r="L8957" s="10" t="s">
        <v>40954</v>
      </c>
      <c r="M8957" s="10">
        <v>1</v>
      </c>
      <c r="N8957" s="10"/>
      <c r="O8957" s="10"/>
      <c r="P8957" s="10" t="s">
        <v>39070</v>
      </c>
      <c r="Q8957" s="10" t="s">
        <v>40955</v>
      </c>
      <c r="R8957" s="10" t="s">
        <v>40956</v>
      </c>
      <c r="S8957" s="10" t="s">
        <v>53</v>
      </c>
      <c r="T8957" s="10" t="s">
        <v>54</v>
      </c>
    </row>
    <row r="8958" spans="1:20" ht="14.5" x14ac:dyDescent="0.35">
      <c r="A8958" s="10" t="s">
        <v>40957</v>
      </c>
      <c r="B8958" s="10" t="str">
        <f>"9781475820973"</f>
        <v>9781475820973</v>
      </c>
      <c r="C8958" s="10" t="str">
        <f>"9781475820980"</f>
        <v>9781475820980</v>
      </c>
      <c r="D8958" s="10" t="s">
        <v>9752</v>
      </c>
      <c r="E8958" s="10" t="s">
        <v>15187</v>
      </c>
      <c r="F8958" s="10" t="s">
        <v>9754</v>
      </c>
      <c r="G8958" s="10" t="s">
        <v>6317</v>
      </c>
      <c r="H8958" s="11">
        <v>42353</v>
      </c>
      <c r="I8958" s="10">
        <v>2015</v>
      </c>
      <c r="J8958" s="10" t="s">
        <v>15187</v>
      </c>
      <c r="K8958" s="10">
        <v>165</v>
      </c>
      <c r="L8958" s="10" t="s">
        <v>40958</v>
      </c>
      <c r="M8958" s="10">
        <v>1</v>
      </c>
      <c r="N8958" s="10"/>
      <c r="O8958" s="10"/>
      <c r="P8958" s="10" t="s">
        <v>40959</v>
      </c>
      <c r="Q8958" s="10" t="s">
        <v>40960</v>
      </c>
      <c r="R8958" s="10" t="s">
        <v>40961</v>
      </c>
      <c r="S8958" s="10" t="s">
        <v>53</v>
      </c>
      <c r="T8958" s="10" t="s">
        <v>54</v>
      </c>
    </row>
    <row r="8959" spans="1:20" ht="14.5" x14ac:dyDescent="0.35">
      <c r="A8959" s="10" t="s">
        <v>40962</v>
      </c>
      <c r="B8959" s="10" t="str">
        <f>"9781475812633"</f>
        <v>9781475812633</v>
      </c>
      <c r="C8959" s="10" t="str">
        <f>"9781475812640"</f>
        <v>9781475812640</v>
      </c>
      <c r="D8959" s="10" t="s">
        <v>9752</v>
      </c>
      <c r="E8959" s="10" t="s">
        <v>15187</v>
      </c>
      <c r="F8959" s="10" t="s">
        <v>9754</v>
      </c>
      <c r="G8959" s="10" t="s">
        <v>6317</v>
      </c>
      <c r="H8959" s="11">
        <v>42468</v>
      </c>
      <c r="I8959" s="10">
        <v>2016</v>
      </c>
      <c r="J8959" s="10" t="s">
        <v>15187</v>
      </c>
      <c r="K8959" s="10">
        <v>185</v>
      </c>
      <c r="L8959" s="10" t="s">
        <v>40963</v>
      </c>
      <c r="M8959" s="10">
        <v>1</v>
      </c>
      <c r="N8959" s="10" t="s">
        <v>31474</v>
      </c>
      <c r="O8959" s="10"/>
      <c r="P8959" s="10" t="s">
        <v>40964</v>
      </c>
      <c r="Q8959" s="10">
        <v>378.15430973000002</v>
      </c>
      <c r="R8959" s="10" t="s">
        <v>40965</v>
      </c>
      <c r="S8959" s="10" t="s">
        <v>53</v>
      </c>
      <c r="T8959" s="10" t="s">
        <v>54</v>
      </c>
    </row>
    <row r="8960" spans="1:20" ht="14.5" x14ac:dyDescent="0.35">
      <c r="A8960" s="10" t="s">
        <v>40966</v>
      </c>
      <c r="B8960" s="10" t="str">
        <f>"9781416621072"</f>
        <v>9781416621072</v>
      </c>
      <c r="C8960" s="10" t="str">
        <f>"9781416621096"</f>
        <v>9781416621096</v>
      </c>
      <c r="D8960" s="10" t="s">
        <v>10014</v>
      </c>
      <c r="E8960" s="10" t="s">
        <v>10015</v>
      </c>
      <c r="F8960" s="10" t="s">
        <v>201</v>
      </c>
      <c r="G8960" s="10" t="s">
        <v>6317</v>
      </c>
      <c r="H8960" s="11">
        <v>42399</v>
      </c>
      <c r="I8960" s="10">
        <v>2016</v>
      </c>
      <c r="J8960" s="10" t="s">
        <v>10015</v>
      </c>
      <c r="K8960" s="10">
        <v>223</v>
      </c>
      <c r="L8960" s="10" t="s">
        <v>40967</v>
      </c>
      <c r="M8960" s="10">
        <v>1</v>
      </c>
      <c r="N8960" s="10"/>
      <c r="O8960" s="10"/>
      <c r="P8960" s="10" t="s">
        <v>40968</v>
      </c>
      <c r="Q8960" s="10">
        <v>371.94</v>
      </c>
      <c r="R8960" s="10" t="s">
        <v>40969</v>
      </c>
      <c r="S8960" s="10" t="s">
        <v>53</v>
      </c>
      <c r="T8960" s="10" t="s">
        <v>54</v>
      </c>
    </row>
    <row r="8961" spans="1:20" ht="14.5" x14ac:dyDescent="0.35">
      <c r="A8961" s="10" t="s">
        <v>40970</v>
      </c>
      <c r="B8961" s="10" t="str">
        <f>"9781416621362"</f>
        <v>9781416621362</v>
      </c>
      <c r="C8961" s="10" t="str">
        <f>"9781416621386"</f>
        <v>9781416621386</v>
      </c>
      <c r="D8961" s="10" t="s">
        <v>10014</v>
      </c>
      <c r="E8961" s="10" t="s">
        <v>10015</v>
      </c>
      <c r="F8961" s="10" t="s">
        <v>201</v>
      </c>
      <c r="G8961" s="10" t="s">
        <v>6317</v>
      </c>
      <c r="H8961" s="11">
        <v>42399</v>
      </c>
      <c r="I8961" s="10">
        <v>2016</v>
      </c>
      <c r="J8961" s="10" t="s">
        <v>10015</v>
      </c>
      <c r="K8961" s="10">
        <v>147</v>
      </c>
      <c r="L8961" s="10" t="s">
        <v>10092</v>
      </c>
      <c r="M8961" s="10">
        <v>1</v>
      </c>
      <c r="N8961" s="10"/>
      <c r="O8961" s="10"/>
      <c r="P8961" s="10" t="s">
        <v>40971</v>
      </c>
      <c r="Q8961" s="10">
        <v>371.2</v>
      </c>
      <c r="R8961" s="10" t="s">
        <v>40972</v>
      </c>
      <c r="S8961" s="10" t="s">
        <v>53</v>
      </c>
      <c r="T8961" s="10" t="s">
        <v>54</v>
      </c>
    </row>
    <row r="8962" spans="1:20" ht="14.5" x14ac:dyDescent="0.35">
      <c r="A8962" s="10" t="s">
        <v>40973</v>
      </c>
      <c r="B8962" s="10" t="str">
        <f>"9781421418995"</f>
        <v>9781421418995</v>
      </c>
      <c r="C8962" s="10" t="str">
        <f>"9781421419008"</f>
        <v>9781421419008</v>
      </c>
      <c r="D8962" s="10" t="s">
        <v>884</v>
      </c>
      <c r="E8962" s="10" t="s">
        <v>884</v>
      </c>
      <c r="F8962" s="10" t="s">
        <v>885</v>
      </c>
      <c r="G8962" s="10" t="s">
        <v>6317</v>
      </c>
      <c r="H8962" s="11">
        <v>42444</v>
      </c>
      <c r="I8962" s="10">
        <v>2016</v>
      </c>
      <c r="J8962" s="10" t="s">
        <v>884</v>
      </c>
      <c r="K8962" s="10">
        <v>305</v>
      </c>
      <c r="L8962" s="10" t="s">
        <v>40974</v>
      </c>
      <c r="M8962" s="10">
        <v>1</v>
      </c>
      <c r="N8962" s="10"/>
      <c r="O8962" s="10"/>
      <c r="P8962" s="10" t="s">
        <v>40975</v>
      </c>
      <c r="Q8962" s="10" t="s">
        <v>15321</v>
      </c>
      <c r="R8962" s="10" t="s">
        <v>40976</v>
      </c>
      <c r="S8962" s="10" t="s">
        <v>53</v>
      </c>
      <c r="T8962" s="10" t="s">
        <v>54</v>
      </c>
    </row>
    <row r="8963" spans="1:20" ht="14.5" x14ac:dyDescent="0.35">
      <c r="A8963" s="10" t="s">
        <v>40977</v>
      </c>
      <c r="B8963" s="10" t="str">
        <f>"9789462099814"</f>
        <v>9789462099814</v>
      </c>
      <c r="C8963" s="10" t="str">
        <f>"9789462099838"</f>
        <v>9789462099838</v>
      </c>
      <c r="D8963" s="10" t="s">
        <v>8564</v>
      </c>
      <c r="E8963" s="10" t="s">
        <v>13067</v>
      </c>
      <c r="F8963" s="10" t="s">
        <v>33250</v>
      </c>
      <c r="G8963" s="10" t="s">
        <v>9233</v>
      </c>
      <c r="H8963" s="11">
        <v>42370</v>
      </c>
      <c r="I8963" s="10">
        <v>2015</v>
      </c>
      <c r="J8963" s="10" t="s">
        <v>13067</v>
      </c>
      <c r="K8963" s="10">
        <v>226</v>
      </c>
      <c r="L8963" s="10" t="s">
        <v>40978</v>
      </c>
      <c r="M8963" s="10">
        <v>1</v>
      </c>
      <c r="N8963" s="10"/>
      <c r="O8963" s="10"/>
      <c r="P8963" s="10" t="s">
        <v>19534</v>
      </c>
      <c r="Q8963" s="10"/>
      <c r="R8963" s="10" t="s">
        <v>40979</v>
      </c>
      <c r="S8963" s="10" t="s">
        <v>53</v>
      </c>
      <c r="T8963" s="10" t="s">
        <v>54</v>
      </c>
    </row>
    <row r="8964" spans="1:20" ht="14.5" x14ac:dyDescent="0.35">
      <c r="A8964" s="10" t="s">
        <v>40980</v>
      </c>
      <c r="B8964" s="10" t="str">
        <f>"9781579227500"</f>
        <v>9781579227500</v>
      </c>
      <c r="C8964" s="10" t="str">
        <f>"9781000973891"</f>
        <v>9781000973891</v>
      </c>
      <c r="D8964" s="10" t="s">
        <v>6350</v>
      </c>
      <c r="E8964" s="10" t="s">
        <v>6351</v>
      </c>
      <c r="F8964" s="10" t="s">
        <v>748</v>
      </c>
      <c r="G8964" s="10" t="s">
        <v>6352</v>
      </c>
      <c r="H8964" s="11">
        <v>42355</v>
      </c>
      <c r="I8964" s="10">
        <v>2016</v>
      </c>
      <c r="J8964" s="10" t="s">
        <v>6351</v>
      </c>
      <c r="K8964" s="10">
        <v>283</v>
      </c>
      <c r="L8964" s="10" t="s">
        <v>40981</v>
      </c>
      <c r="M8964" s="10">
        <v>1</v>
      </c>
      <c r="N8964" s="10"/>
      <c r="O8964" s="10"/>
      <c r="P8964" s="10" t="s">
        <v>40982</v>
      </c>
      <c r="Q8964" s="10" t="s">
        <v>8460</v>
      </c>
      <c r="R8964" s="10" t="s">
        <v>37168</v>
      </c>
      <c r="S8964" s="10" t="s">
        <v>53</v>
      </c>
      <c r="T8964" s="10" t="s">
        <v>54</v>
      </c>
    </row>
    <row r="8965" spans="1:20" ht="14.5" x14ac:dyDescent="0.35">
      <c r="A8965" s="10" t="s">
        <v>40983</v>
      </c>
      <c r="B8965" s="10" t="str">
        <f>"9781579227876"</f>
        <v>9781579227876</v>
      </c>
      <c r="C8965" s="10" t="str">
        <f>"9781000972078"</f>
        <v>9781000972078</v>
      </c>
      <c r="D8965" s="10" t="s">
        <v>6350</v>
      </c>
      <c r="E8965" s="10" t="s">
        <v>6351</v>
      </c>
      <c r="F8965" s="10" t="s">
        <v>748</v>
      </c>
      <c r="G8965" s="10" t="s">
        <v>6352</v>
      </c>
      <c r="H8965" s="11">
        <v>42389</v>
      </c>
      <c r="I8965" s="10">
        <v>2016</v>
      </c>
      <c r="J8965" s="10" t="s">
        <v>6351</v>
      </c>
      <c r="K8965" s="10">
        <v>271</v>
      </c>
      <c r="L8965" s="10" t="s">
        <v>40984</v>
      </c>
      <c r="M8965" s="10">
        <v>1</v>
      </c>
      <c r="N8965" s="10"/>
      <c r="O8965" s="10"/>
      <c r="P8965" s="10" t="s">
        <v>40985</v>
      </c>
      <c r="Q8965" s="10" t="s">
        <v>40986</v>
      </c>
      <c r="R8965" s="10" t="s">
        <v>40987</v>
      </c>
      <c r="S8965" s="10" t="s">
        <v>53</v>
      </c>
      <c r="T8965" s="10" t="s">
        <v>54</v>
      </c>
    </row>
    <row r="8966" spans="1:20" ht="14.5" x14ac:dyDescent="0.35">
      <c r="A8966" s="10" t="s">
        <v>40988</v>
      </c>
      <c r="B8966" s="10" t="str">
        <f>"9781620361832"</f>
        <v>9781620361832</v>
      </c>
      <c r="C8966" s="10" t="str">
        <f>"9781000974515"</f>
        <v>9781000974515</v>
      </c>
      <c r="D8966" s="10" t="s">
        <v>6350</v>
      </c>
      <c r="E8966" s="10" t="s">
        <v>6351</v>
      </c>
      <c r="F8966" s="10" t="s">
        <v>3967</v>
      </c>
      <c r="G8966" s="10" t="s">
        <v>6352</v>
      </c>
      <c r="H8966" s="11">
        <v>42285</v>
      </c>
      <c r="I8966" s="10">
        <v>2015</v>
      </c>
      <c r="J8966" s="10" t="s">
        <v>6353</v>
      </c>
      <c r="K8966" s="10">
        <v>205</v>
      </c>
      <c r="L8966" s="10" t="s">
        <v>40989</v>
      </c>
      <c r="M8966" s="10">
        <v>1</v>
      </c>
      <c r="N8966" s="10"/>
      <c r="O8966" s="10"/>
      <c r="P8966" s="10"/>
      <c r="Q8966" s="10" t="s">
        <v>14718</v>
      </c>
      <c r="R8966" s="10" t="s">
        <v>40990</v>
      </c>
      <c r="S8966" s="10" t="s">
        <v>53</v>
      </c>
      <c r="T8966" s="10" t="s">
        <v>54</v>
      </c>
    </row>
    <row r="8967" spans="1:20" ht="14.5" x14ac:dyDescent="0.35">
      <c r="A8967" s="10" t="s">
        <v>40991</v>
      </c>
      <c r="B8967" s="10" t="str">
        <f>"9781620362136"</f>
        <v>9781620362136</v>
      </c>
      <c r="C8967" s="10" t="str">
        <f>"9781000973778"</f>
        <v>9781000973778</v>
      </c>
      <c r="D8967" s="10" t="s">
        <v>6350</v>
      </c>
      <c r="E8967" s="10" t="s">
        <v>6351</v>
      </c>
      <c r="F8967" s="10" t="s">
        <v>748</v>
      </c>
      <c r="G8967" s="10" t="s">
        <v>6352</v>
      </c>
      <c r="H8967" s="11">
        <v>42317</v>
      </c>
      <c r="I8967" s="10">
        <v>2015</v>
      </c>
      <c r="J8967" s="10" t="s">
        <v>6351</v>
      </c>
      <c r="K8967" s="10">
        <v>346</v>
      </c>
      <c r="L8967" s="10" t="s">
        <v>40992</v>
      </c>
      <c r="M8967" s="10">
        <v>1</v>
      </c>
      <c r="N8967" s="10"/>
      <c r="O8967" s="10"/>
      <c r="P8967" s="10" t="s">
        <v>40993</v>
      </c>
      <c r="Q8967" s="10" t="s">
        <v>12454</v>
      </c>
      <c r="R8967" s="10" t="s">
        <v>40994</v>
      </c>
      <c r="S8967" s="10" t="s">
        <v>53</v>
      </c>
      <c r="T8967" s="10" t="s">
        <v>54</v>
      </c>
    </row>
    <row r="8968" spans="1:20" ht="14.5" x14ac:dyDescent="0.35">
      <c r="A8968" s="10" t="s">
        <v>40995</v>
      </c>
      <c r="B8968" s="10" t="str">
        <f>"9781620362211"</f>
        <v>9781620362211</v>
      </c>
      <c r="C8968" s="10" t="str">
        <f>"9781000972269"</f>
        <v>9781000972269</v>
      </c>
      <c r="D8968" s="10" t="s">
        <v>6350</v>
      </c>
      <c r="E8968" s="10" t="s">
        <v>6351</v>
      </c>
      <c r="F8968" s="10" t="s">
        <v>748</v>
      </c>
      <c r="G8968" s="10" t="s">
        <v>6352</v>
      </c>
      <c r="H8968" s="11">
        <v>42325</v>
      </c>
      <c r="I8968" s="10">
        <v>2016</v>
      </c>
      <c r="J8968" s="10" t="s">
        <v>6351</v>
      </c>
      <c r="K8968" s="10">
        <v>182</v>
      </c>
      <c r="L8968" s="10" t="s">
        <v>40996</v>
      </c>
      <c r="M8968" s="10">
        <v>1</v>
      </c>
      <c r="N8968" s="10"/>
      <c r="O8968" s="10"/>
      <c r="P8968" s="10" t="s">
        <v>40997</v>
      </c>
      <c r="Q8968" s="10">
        <v>371.4</v>
      </c>
      <c r="R8968" s="10" t="s">
        <v>40998</v>
      </c>
      <c r="S8968" s="10" t="s">
        <v>53</v>
      </c>
      <c r="T8968" s="10" t="s">
        <v>54</v>
      </c>
    </row>
    <row r="8969" spans="1:20" ht="14.5" x14ac:dyDescent="0.35">
      <c r="A8969" s="10" t="s">
        <v>40999</v>
      </c>
      <c r="B8969" s="10" t="str">
        <f>"9781620362792"</f>
        <v>9781620362792</v>
      </c>
      <c r="C8969" s="10" t="str">
        <f>"9781000972283"</f>
        <v>9781000972283</v>
      </c>
      <c r="D8969" s="10" t="s">
        <v>6350</v>
      </c>
      <c r="E8969" s="10" t="s">
        <v>6351</v>
      </c>
      <c r="F8969" s="10" t="s">
        <v>748</v>
      </c>
      <c r="G8969" s="10" t="s">
        <v>6352</v>
      </c>
      <c r="H8969" s="11">
        <v>42314</v>
      </c>
      <c r="I8969" s="10">
        <v>2016</v>
      </c>
      <c r="J8969" s="10" t="s">
        <v>6351</v>
      </c>
      <c r="K8969" s="10">
        <v>157</v>
      </c>
      <c r="L8969" s="10" t="s">
        <v>41000</v>
      </c>
      <c r="M8969" s="10">
        <v>1</v>
      </c>
      <c r="N8969" s="10"/>
      <c r="O8969" s="10"/>
      <c r="P8969" s="10" t="s">
        <v>41001</v>
      </c>
      <c r="Q8969" s="10">
        <v>371.39</v>
      </c>
      <c r="R8969" s="10" t="s">
        <v>41002</v>
      </c>
      <c r="S8969" s="10" t="s">
        <v>53</v>
      </c>
      <c r="T8969" s="10" t="s">
        <v>54</v>
      </c>
    </row>
    <row r="8970" spans="1:20" ht="14.5" x14ac:dyDescent="0.35">
      <c r="A8970" s="10" t="s">
        <v>41003</v>
      </c>
      <c r="B8970" s="10" t="str">
        <f>"9781620362839"</f>
        <v>9781620362839</v>
      </c>
      <c r="C8970" s="10" t="str">
        <f>"9781000973136"</f>
        <v>9781000973136</v>
      </c>
      <c r="D8970" s="10" t="s">
        <v>6350</v>
      </c>
      <c r="E8970" s="10" t="s">
        <v>6351</v>
      </c>
      <c r="F8970" s="10" t="s">
        <v>748</v>
      </c>
      <c r="G8970" s="10" t="s">
        <v>6352</v>
      </c>
      <c r="H8970" s="11">
        <v>42387</v>
      </c>
      <c r="I8970" s="10">
        <v>2016</v>
      </c>
      <c r="J8970" s="10" t="s">
        <v>6351</v>
      </c>
      <c r="K8970" s="10">
        <v>394</v>
      </c>
      <c r="L8970" s="10" t="s">
        <v>41004</v>
      </c>
      <c r="M8970" s="10">
        <v>1</v>
      </c>
      <c r="N8970" s="10"/>
      <c r="O8970" s="10"/>
      <c r="P8970" s="10" t="s">
        <v>41005</v>
      </c>
      <c r="Q8970" s="10" t="s">
        <v>9870</v>
      </c>
      <c r="R8970" s="10" t="s">
        <v>41006</v>
      </c>
      <c r="S8970" s="10" t="s">
        <v>53</v>
      </c>
      <c r="T8970" s="10" t="s">
        <v>54</v>
      </c>
    </row>
    <row r="8971" spans="1:20" ht="14.5" x14ac:dyDescent="0.35">
      <c r="A8971" s="10" t="s">
        <v>41007</v>
      </c>
      <c r="B8971" s="10" t="str">
        <f>"9781620363232"</f>
        <v>9781620363232</v>
      </c>
      <c r="C8971" s="10" t="str">
        <f>"9781000975314"</f>
        <v>9781000975314</v>
      </c>
      <c r="D8971" s="10" t="s">
        <v>6350</v>
      </c>
      <c r="E8971" s="10" t="s">
        <v>6351</v>
      </c>
      <c r="F8971" s="10" t="s">
        <v>748</v>
      </c>
      <c r="G8971" s="10" t="s">
        <v>6352</v>
      </c>
      <c r="H8971" s="11">
        <v>42383</v>
      </c>
      <c r="I8971" s="10">
        <v>2016</v>
      </c>
      <c r="J8971" s="10" t="s">
        <v>6351</v>
      </c>
      <c r="K8971" s="10">
        <v>267</v>
      </c>
      <c r="L8971" s="10" t="s">
        <v>41008</v>
      </c>
      <c r="M8971" s="10">
        <v>1</v>
      </c>
      <c r="N8971" s="10"/>
      <c r="O8971" s="10"/>
      <c r="P8971" s="10" t="s">
        <v>41009</v>
      </c>
      <c r="Q8971" s="10" t="s">
        <v>9298</v>
      </c>
      <c r="R8971" s="10" t="s">
        <v>41010</v>
      </c>
      <c r="S8971" s="10" t="s">
        <v>53</v>
      </c>
      <c r="T8971" s="10" t="s">
        <v>54</v>
      </c>
    </row>
    <row r="8972" spans="1:20" ht="14.5" x14ac:dyDescent="0.35">
      <c r="A8972" s="10" t="s">
        <v>41011</v>
      </c>
      <c r="B8972" s="10" t="str">
        <f>"9781620363270"</f>
        <v>9781620363270</v>
      </c>
      <c r="C8972" s="10" t="str">
        <f>"9781000973549"</f>
        <v>9781000973549</v>
      </c>
      <c r="D8972" s="10" t="s">
        <v>6350</v>
      </c>
      <c r="E8972" s="10" t="s">
        <v>6351</v>
      </c>
      <c r="F8972" s="10" t="s">
        <v>14733</v>
      </c>
      <c r="G8972" s="10" t="s">
        <v>6317</v>
      </c>
      <c r="H8972" s="11">
        <v>42342</v>
      </c>
      <c r="I8972" s="10">
        <v>2016</v>
      </c>
      <c r="J8972" s="10" t="s">
        <v>6353</v>
      </c>
      <c r="K8972" s="10">
        <v>193</v>
      </c>
      <c r="L8972" s="10" t="s">
        <v>41012</v>
      </c>
      <c r="M8972" s="10">
        <v>1</v>
      </c>
      <c r="N8972" s="10" t="s">
        <v>20888</v>
      </c>
      <c r="O8972" s="10"/>
      <c r="P8972" s="10" t="s">
        <v>41013</v>
      </c>
      <c r="Q8972" s="10">
        <v>371.4</v>
      </c>
      <c r="R8972" s="10" t="s">
        <v>41014</v>
      </c>
      <c r="S8972" s="10" t="s">
        <v>53</v>
      </c>
      <c r="T8972" s="10" t="s">
        <v>54</v>
      </c>
    </row>
    <row r="8973" spans="1:20" ht="14.5" x14ac:dyDescent="0.35">
      <c r="A8973" s="10" t="s">
        <v>41015</v>
      </c>
      <c r="B8973" s="10" t="str">
        <f>"9781620363638"</f>
        <v>9781620363638</v>
      </c>
      <c r="C8973" s="10" t="str">
        <f>"9781000972214"</f>
        <v>9781000972214</v>
      </c>
      <c r="D8973" s="10" t="s">
        <v>6350</v>
      </c>
      <c r="E8973" s="10" t="s">
        <v>6351</v>
      </c>
      <c r="F8973" s="10" t="s">
        <v>748</v>
      </c>
      <c r="G8973" s="10" t="s">
        <v>6352</v>
      </c>
      <c r="H8973" s="11">
        <v>42312</v>
      </c>
      <c r="I8973" s="10">
        <v>2015</v>
      </c>
      <c r="J8973" s="10" t="s">
        <v>6351</v>
      </c>
      <c r="K8973" s="10">
        <v>148</v>
      </c>
      <c r="L8973" s="10" t="s">
        <v>41016</v>
      </c>
      <c r="M8973" s="10">
        <v>1</v>
      </c>
      <c r="N8973" s="10"/>
      <c r="O8973" s="10"/>
      <c r="P8973" s="10" t="s">
        <v>41017</v>
      </c>
      <c r="Q8973" s="10" t="s">
        <v>7299</v>
      </c>
      <c r="R8973" s="10" t="s">
        <v>29358</v>
      </c>
      <c r="S8973" s="10" t="s">
        <v>53</v>
      </c>
      <c r="T8973" s="10" t="s">
        <v>54</v>
      </c>
    </row>
    <row r="8974" spans="1:20" ht="14.5" x14ac:dyDescent="0.35">
      <c r="A8974" s="10" t="s">
        <v>41018</v>
      </c>
      <c r="B8974" s="10" t="str">
        <f>"9780991374816"</f>
        <v>9780991374816</v>
      </c>
      <c r="C8974" s="10" t="str">
        <f>"9780991374823"</f>
        <v>9780991374823</v>
      </c>
      <c r="D8974" s="10" t="s">
        <v>37594</v>
      </c>
      <c r="E8974" s="10" t="s">
        <v>37594</v>
      </c>
      <c r="F8974" s="10" t="s">
        <v>3101</v>
      </c>
      <c r="G8974" s="10" t="s">
        <v>6317</v>
      </c>
      <c r="H8974" s="11">
        <v>41628</v>
      </c>
      <c r="I8974" s="10">
        <v>2015</v>
      </c>
      <c r="J8974" s="10" t="s">
        <v>37594</v>
      </c>
      <c r="K8974" s="10">
        <v>232</v>
      </c>
      <c r="L8974" s="10" t="s">
        <v>41019</v>
      </c>
      <c r="M8974" s="10">
        <v>3</v>
      </c>
      <c r="N8974" s="10" t="s">
        <v>37604</v>
      </c>
      <c r="O8974" s="10"/>
      <c r="P8974" s="10" t="s">
        <v>24637</v>
      </c>
      <c r="Q8974" s="10">
        <v>370.15230000000003</v>
      </c>
      <c r="R8974" s="10" t="s">
        <v>6471</v>
      </c>
      <c r="S8974" s="10" t="s">
        <v>53</v>
      </c>
      <c r="T8974" s="10" t="s">
        <v>54</v>
      </c>
    </row>
    <row r="8975" spans="1:20" ht="14.5" x14ac:dyDescent="0.35">
      <c r="A8975" s="10" t="s">
        <v>41020</v>
      </c>
      <c r="B8975" s="10" t="str">
        <f>"9781681082127"</f>
        <v>9781681082127</v>
      </c>
      <c r="C8975" s="10" t="str">
        <f>"9781681082110"</f>
        <v>9781681082110</v>
      </c>
      <c r="D8975" s="10" t="s">
        <v>21815</v>
      </c>
      <c r="E8975" s="10" t="s">
        <v>21815</v>
      </c>
      <c r="F8975" s="10" t="s">
        <v>25848</v>
      </c>
      <c r="G8975" s="10" t="s">
        <v>21817</v>
      </c>
      <c r="H8975" s="11">
        <v>42370</v>
      </c>
      <c r="I8975" s="10">
        <v>2016</v>
      </c>
      <c r="J8975" s="10" t="s">
        <v>21815</v>
      </c>
      <c r="K8975" s="10">
        <v>132</v>
      </c>
      <c r="L8975" s="10" t="s">
        <v>41021</v>
      </c>
      <c r="M8975" s="10">
        <v>1</v>
      </c>
      <c r="N8975" s="10"/>
      <c r="O8975" s="10"/>
      <c r="P8975" s="10" t="s">
        <v>41022</v>
      </c>
      <c r="Q8975" s="10"/>
      <c r="R8975" s="10" t="s">
        <v>41023</v>
      </c>
      <c r="S8975" s="10" t="s">
        <v>53</v>
      </c>
      <c r="T8975" s="10" t="s">
        <v>54</v>
      </c>
    </row>
    <row r="8976" spans="1:20" ht="14.5" x14ac:dyDescent="0.35">
      <c r="A8976" s="10" t="s">
        <v>41024</v>
      </c>
      <c r="B8976" s="10" t="str">
        <f>"9780804797078"</f>
        <v>9780804797078</v>
      </c>
      <c r="C8976" s="10" t="str">
        <f>"9780804798563"</f>
        <v>9780804798563</v>
      </c>
      <c r="D8976" s="10" t="s">
        <v>16213</v>
      </c>
      <c r="E8976" s="10" t="s">
        <v>16213</v>
      </c>
      <c r="F8976" s="10" t="s">
        <v>16214</v>
      </c>
      <c r="G8976" s="10" t="s">
        <v>6317</v>
      </c>
      <c r="H8976" s="11">
        <v>42452</v>
      </c>
      <c r="I8976" s="10">
        <v>2016</v>
      </c>
      <c r="J8976" s="10" t="s">
        <v>16213</v>
      </c>
      <c r="K8976" s="10">
        <v>252</v>
      </c>
      <c r="L8976" s="10" t="s">
        <v>41025</v>
      </c>
      <c r="M8976" s="10">
        <v>1</v>
      </c>
      <c r="N8976" s="10"/>
      <c r="O8976" s="10"/>
      <c r="P8976" s="10" t="s">
        <v>38741</v>
      </c>
      <c r="Q8976" s="10" t="s">
        <v>41026</v>
      </c>
      <c r="R8976" s="10" t="s">
        <v>41027</v>
      </c>
      <c r="S8976" s="10" t="s">
        <v>53</v>
      </c>
      <c r="T8976" s="10" t="s">
        <v>6526</v>
      </c>
    </row>
    <row r="8977" spans="1:20" ht="14.5" x14ac:dyDescent="0.35">
      <c r="A8977" s="10" t="s">
        <v>41028</v>
      </c>
      <c r="B8977" s="10" t="str">
        <f>"9780804796927"</f>
        <v>9780804796927</v>
      </c>
      <c r="C8977" s="10" t="str">
        <f>"9780804796934"</f>
        <v>9780804796934</v>
      </c>
      <c r="D8977" s="10" t="s">
        <v>16213</v>
      </c>
      <c r="E8977" s="10" t="s">
        <v>16213</v>
      </c>
      <c r="F8977" s="10" t="s">
        <v>16214</v>
      </c>
      <c r="G8977" s="10" t="s">
        <v>6317</v>
      </c>
      <c r="H8977" s="11">
        <v>42333</v>
      </c>
      <c r="I8977" s="10">
        <v>2015</v>
      </c>
      <c r="J8977" s="10" t="s">
        <v>16213</v>
      </c>
      <c r="K8977" s="10">
        <v>196</v>
      </c>
      <c r="L8977" s="10" t="s">
        <v>41029</v>
      </c>
      <c r="M8977" s="10">
        <v>1</v>
      </c>
      <c r="N8977" s="10"/>
      <c r="O8977" s="10"/>
      <c r="P8977" s="10" t="s">
        <v>41030</v>
      </c>
      <c r="Q8977" s="10"/>
      <c r="R8977" s="10" t="s">
        <v>41031</v>
      </c>
      <c r="S8977" s="10" t="s">
        <v>53</v>
      </c>
      <c r="T8977" s="10" t="s">
        <v>54</v>
      </c>
    </row>
    <row r="8978" spans="1:20" ht="14.5" x14ac:dyDescent="0.35">
      <c r="A8978" s="10" t="s">
        <v>41032</v>
      </c>
      <c r="B8978" s="10" t="str">
        <f>"9781409401452"</f>
        <v>9781409401452</v>
      </c>
      <c r="C8978" s="10" t="str">
        <f>"9781317003038"</f>
        <v>9781317003038</v>
      </c>
      <c r="D8978" s="10" t="s">
        <v>6350</v>
      </c>
      <c r="E8978" s="10" t="s">
        <v>6351</v>
      </c>
      <c r="F8978" s="10" t="s">
        <v>5406</v>
      </c>
      <c r="G8978" s="10" t="s">
        <v>6352</v>
      </c>
      <c r="H8978" s="11">
        <v>40479</v>
      </c>
      <c r="I8978" s="10">
        <v>2010</v>
      </c>
      <c r="J8978" s="10" t="s">
        <v>6353</v>
      </c>
      <c r="K8978" s="10">
        <v>195</v>
      </c>
      <c r="L8978" s="10" t="s">
        <v>41033</v>
      </c>
      <c r="M8978" s="10">
        <v>2</v>
      </c>
      <c r="N8978" s="10"/>
      <c r="O8978" s="10"/>
      <c r="P8978" s="10" t="s">
        <v>7126</v>
      </c>
      <c r="Q8978" s="10" t="s">
        <v>41034</v>
      </c>
      <c r="R8978" s="10" t="s">
        <v>41035</v>
      </c>
      <c r="S8978" s="10" t="s">
        <v>53</v>
      </c>
      <c r="T8978" s="10" t="s">
        <v>41036</v>
      </c>
    </row>
    <row r="8979" spans="1:20" ht="14.5" x14ac:dyDescent="0.35">
      <c r="A8979" s="10" t="s">
        <v>41037</v>
      </c>
      <c r="B8979" s="10" t="str">
        <f>"9781442234789"</f>
        <v>9781442234789</v>
      </c>
      <c r="C8979" s="10" t="str">
        <f>"9781442234796"</f>
        <v>9781442234796</v>
      </c>
      <c r="D8979" s="10" t="s">
        <v>9752</v>
      </c>
      <c r="E8979" s="10" t="s">
        <v>15187</v>
      </c>
      <c r="F8979" s="10" t="s">
        <v>9754</v>
      </c>
      <c r="G8979" s="10" t="s">
        <v>6317</v>
      </c>
      <c r="H8979" s="11">
        <v>42411</v>
      </c>
      <c r="I8979" s="10">
        <v>2016</v>
      </c>
      <c r="J8979" s="10" t="s">
        <v>15187</v>
      </c>
      <c r="K8979" s="10">
        <v>257</v>
      </c>
      <c r="L8979" s="10" t="s">
        <v>41038</v>
      </c>
      <c r="M8979" s="10">
        <v>1</v>
      </c>
      <c r="N8979" s="10"/>
      <c r="O8979" s="10"/>
      <c r="P8979" s="10" t="s">
        <v>41039</v>
      </c>
      <c r="Q8979" s="10">
        <v>107.1</v>
      </c>
      <c r="R8979" s="10" t="s">
        <v>41040</v>
      </c>
      <c r="S8979" s="10" t="s">
        <v>53</v>
      </c>
      <c r="T8979" s="10" t="s">
        <v>6534</v>
      </c>
    </row>
    <row r="8980" spans="1:20" ht="14.5" x14ac:dyDescent="0.35">
      <c r="A8980" s="10" t="s">
        <v>41041</v>
      </c>
      <c r="B8980" s="10" t="str">
        <f>"9781475818536"</f>
        <v>9781475818536</v>
      </c>
      <c r="C8980" s="10" t="str">
        <f>"9781475818543"</f>
        <v>9781475818543</v>
      </c>
      <c r="D8980" s="10" t="s">
        <v>9752</v>
      </c>
      <c r="E8980" s="10" t="s">
        <v>15187</v>
      </c>
      <c r="F8980" s="10" t="s">
        <v>9754</v>
      </c>
      <c r="G8980" s="10" t="s">
        <v>6317</v>
      </c>
      <c r="H8980" s="11">
        <v>42437</v>
      </c>
      <c r="I8980" s="10">
        <v>2016</v>
      </c>
      <c r="J8980" s="10" t="s">
        <v>15187</v>
      </c>
      <c r="K8980" s="10">
        <v>117</v>
      </c>
      <c r="L8980" s="10" t="s">
        <v>41042</v>
      </c>
      <c r="M8980" s="10">
        <v>1</v>
      </c>
      <c r="N8980" s="10"/>
      <c r="O8980" s="10"/>
      <c r="P8980" s="10" t="s">
        <v>41043</v>
      </c>
      <c r="Q8980" s="10" t="s">
        <v>41044</v>
      </c>
      <c r="R8980" s="10" t="s">
        <v>41045</v>
      </c>
      <c r="S8980" s="10" t="s">
        <v>53</v>
      </c>
      <c r="T8980" s="10" t="s">
        <v>54</v>
      </c>
    </row>
    <row r="8981" spans="1:20" ht="14.5" x14ac:dyDescent="0.35">
      <c r="A8981" s="10" t="s">
        <v>41046</v>
      </c>
      <c r="B8981" s="10" t="str">
        <f>"9781681232591"</f>
        <v>9781681232591</v>
      </c>
      <c r="C8981" s="10" t="str">
        <f>"9781681232614"</f>
        <v>9781681232614</v>
      </c>
      <c r="D8981" s="10" t="s">
        <v>274</v>
      </c>
      <c r="E8981" s="10" t="s">
        <v>35170</v>
      </c>
      <c r="F8981" s="10" t="s">
        <v>35171</v>
      </c>
      <c r="G8981" s="10" t="s">
        <v>6317</v>
      </c>
      <c r="H8981" s="11">
        <v>42370</v>
      </c>
      <c r="I8981" s="10">
        <v>2016</v>
      </c>
      <c r="J8981" s="10" t="s">
        <v>35170</v>
      </c>
      <c r="K8981" s="10">
        <v>361</v>
      </c>
      <c r="L8981" s="10" t="s">
        <v>41047</v>
      </c>
      <c r="M8981" s="10">
        <v>1</v>
      </c>
      <c r="N8981" s="10" t="s">
        <v>35708</v>
      </c>
      <c r="O8981" s="10"/>
      <c r="P8981" s="10" t="s">
        <v>41048</v>
      </c>
      <c r="Q8981" s="10">
        <v>510.71</v>
      </c>
      <c r="R8981" s="10"/>
      <c r="S8981" s="10" t="s">
        <v>53</v>
      </c>
      <c r="T8981" s="10" t="s">
        <v>389</v>
      </c>
    </row>
    <row r="8982" spans="1:20" ht="14.5" x14ac:dyDescent="0.35">
      <c r="A8982" s="10" t="s">
        <v>41049</v>
      </c>
      <c r="B8982" s="10" t="str">
        <f>"9781681233840"</f>
        <v>9781681233840</v>
      </c>
      <c r="C8982" s="10" t="str">
        <f>"9781681233864"</f>
        <v>9781681233864</v>
      </c>
      <c r="D8982" s="10" t="s">
        <v>274</v>
      </c>
      <c r="E8982" s="10" t="s">
        <v>35170</v>
      </c>
      <c r="F8982" s="10" t="s">
        <v>35171</v>
      </c>
      <c r="G8982" s="10" t="s">
        <v>6317</v>
      </c>
      <c r="H8982" s="11">
        <v>42396</v>
      </c>
      <c r="I8982" s="10">
        <v>2016</v>
      </c>
      <c r="J8982" s="10" t="s">
        <v>35170</v>
      </c>
      <c r="K8982" s="10">
        <v>361</v>
      </c>
      <c r="L8982" s="10" t="s">
        <v>41050</v>
      </c>
      <c r="M8982" s="10">
        <v>1</v>
      </c>
      <c r="N8982" s="10"/>
      <c r="O8982" s="10"/>
      <c r="P8982" s="10"/>
      <c r="Q8982" s="10">
        <v>305.8</v>
      </c>
      <c r="R8982" s="10"/>
      <c r="S8982" s="10" t="s">
        <v>53</v>
      </c>
      <c r="T8982" s="10" t="s">
        <v>6363</v>
      </c>
    </row>
    <row r="8983" spans="1:20" ht="14.5" x14ac:dyDescent="0.35">
      <c r="A8983" s="10" t="s">
        <v>41051</v>
      </c>
      <c r="B8983" s="10" t="str">
        <f>"9781681234113"</f>
        <v>9781681234113</v>
      </c>
      <c r="C8983" s="10" t="str">
        <f>"9781681234137"</f>
        <v>9781681234137</v>
      </c>
      <c r="D8983" s="10" t="s">
        <v>274</v>
      </c>
      <c r="E8983" s="10" t="s">
        <v>35170</v>
      </c>
      <c r="F8983" s="10" t="s">
        <v>35171</v>
      </c>
      <c r="G8983" s="10" t="s">
        <v>6317</v>
      </c>
      <c r="H8983" s="11">
        <v>42522</v>
      </c>
      <c r="I8983" s="10">
        <v>2016</v>
      </c>
      <c r="J8983" s="10" t="s">
        <v>35170</v>
      </c>
      <c r="K8983" s="10">
        <v>336</v>
      </c>
      <c r="L8983" s="10" t="s">
        <v>41052</v>
      </c>
      <c r="M8983" s="10">
        <v>1</v>
      </c>
      <c r="N8983" s="10" t="s">
        <v>35460</v>
      </c>
      <c r="O8983" s="10"/>
      <c r="P8983" s="10" t="s">
        <v>41053</v>
      </c>
      <c r="Q8983" s="10">
        <v>510.71</v>
      </c>
      <c r="R8983" s="10"/>
      <c r="S8983" s="10" t="s">
        <v>53</v>
      </c>
      <c r="T8983" s="10" t="s">
        <v>41054</v>
      </c>
    </row>
    <row r="8984" spans="1:20" ht="14.5" x14ac:dyDescent="0.35">
      <c r="A8984" s="10" t="s">
        <v>41055</v>
      </c>
      <c r="B8984" s="10" t="str">
        <f>"9780871543721"</f>
        <v>9780871543721</v>
      </c>
      <c r="C8984" s="10" t="str">
        <f>"9781610447515"</f>
        <v>9781610447515</v>
      </c>
      <c r="D8984" s="10" t="s">
        <v>20156</v>
      </c>
      <c r="E8984" s="10" t="s">
        <v>41056</v>
      </c>
      <c r="F8984" s="10" t="s">
        <v>324</v>
      </c>
      <c r="G8984" s="10" t="s">
        <v>6317</v>
      </c>
      <c r="H8984" s="11">
        <v>40787</v>
      </c>
      <c r="I8984" s="10">
        <v>2012</v>
      </c>
      <c r="J8984" s="10" t="s">
        <v>41056</v>
      </c>
      <c r="K8984" s="10">
        <v>573</v>
      </c>
      <c r="L8984" s="10" t="s">
        <v>41057</v>
      </c>
      <c r="M8984" s="10">
        <v>1</v>
      </c>
      <c r="N8984" s="10"/>
      <c r="O8984" s="10"/>
      <c r="P8984" s="10" t="s">
        <v>13852</v>
      </c>
      <c r="Q8984" s="10">
        <v>379.73</v>
      </c>
      <c r="R8984" s="10" t="s">
        <v>41058</v>
      </c>
      <c r="S8984" s="10" t="s">
        <v>53</v>
      </c>
      <c r="T8984" s="10" t="s">
        <v>54</v>
      </c>
    </row>
    <row r="8985" spans="1:20" ht="14.5" x14ac:dyDescent="0.35">
      <c r="A8985" s="10" t="s">
        <v>41059</v>
      </c>
      <c r="B8985" s="10" t="str">
        <f>"9780871545787"</f>
        <v>9780871545787</v>
      </c>
      <c r="C8985" s="10" t="str">
        <f>"9781610447942"</f>
        <v>9781610447942</v>
      </c>
      <c r="D8985" s="10" t="s">
        <v>20156</v>
      </c>
      <c r="E8985" s="10" t="s">
        <v>41056</v>
      </c>
      <c r="F8985" s="10" t="s">
        <v>324</v>
      </c>
      <c r="G8985" s="10" t="s">
        <v>6317</v>
      </c>
      <c r="H8985" s="11">
        <v>41340</v>
      </c>
      <c r="I8985" s="10">
        <v>2013</v>
      </c>
      <c r="J8985" s="10" t="s">
        <v>41056</v>
      </c>
      <c r="K8985" s="10">
        <v>189</v>
      </c>
      <c r="L8985" s="10" t="s">
        <v>41060</v>
      </c>
      <c r="M8985" s="10">
        <v>1</v>
      </c>
      <c r="N8985" s="10"/>
      <c r="O8985" s="10"/>
      <c r="P8985" s="10" t="s">
        <v>34950</v>
      </c>
      <c r="Q8985" s="10">
        <v>371.82691209730001</v>
      </c>
      <c r="R8985" s="10" t="s">
        <v>41061</v>
      </c>
      <c r="S8985" s="10" t="s">
        <v>53</v>
      </c>
      <c r="T8985" s="10" t="s">
        <v>54</v>
      </c>
    </row>
    <row r="8986" spans="1:20" ht="14.5" x14ac:dyDescent="0.35">
      <c r="A8986" s="10" t="s">
        <v>41062</v>
      </c>
      <c r="B8986" s="10" t="str">
        <f>"9780871544766"</f>
        <v>9780871544766</v>
      </c>
      <c r="C8986" s="10" t="str">
        <f>"9781610448055"</f>
        <v>9781610448055</v>
      </c>
      <c r="D8986" s="10" t="s">
        <v>20156</v>
      </c>
      <c r="E8986" s="10" t="s">
        <v>41056</v>
      </c>
      <c r="F8986" s="10" t="s">
        <v>324</v>
      </c>
      <c r="G8986" s="10" t="s">
        <v>6317</v>
      </c>
      <c r="H8986" s="11">
        <v>41348</v>
      </c>
      <c r="I8986" s="10">
        <v>2013</v>
      </c>
      <c r="J8986" s="10" t="s">
        <v>41056</v>
      </c>
      <c r="K8986" s="10">
        <v>498</v>
      </c>
      <c r="L8986" s="10" t="s">
        <v>41063</v>
      </c>
      <c r="M8986" s="10">
        <v>1</v>
      </c>
      <c r="N8986" s="10"/>
      <c r="O8986" s="10"/>
      <c r="P8986" s="10" t="s">
        <v>8923</v>
      </c>
      <c r="Q8986" s="10" t="s">
        <v>12854</v>
      </c>
      <c r="R8986" s="10" t="s">
        <v>41064</v>
      </c>
      <c r="S8986" s="10" t="s">
        <v>53</v>
      </c>
      <c r="T8986" s="10" t="s">
        <v>54</v>
      </c>
    </row>
    <row r="8987" spans="1:20" ht="14.5" x14ac:dyDescent="0.35">
      <c r="A8987" s="10" t="s">
        <v>41065</v>
      </c>
      <c r="B8987" s="10" t="str">
        <f>"9780730329220"</f>
        <v>9780730329220</v>
      </c>
      <c r="C8987" s="10" t="str">
        <f>"9780730329244"</f>
        <v>9780730329244</v>
      </c>
      <c r="D8987" s="10" t="s">
        <v>6322</v>
      </c>
      <c r="E8987" s="10" t="s">
        <v>6323</v>
      </c>
      <c r="F8987" s="10" t="s">
        <v>41066</v>
      </c>
      <c r="G8987" s="10" t="s">
        <v>12975</v>
      </c>
      <c r="H8987" s="11">
        <v>42541</v>
      </c>
      <c r="I8987" s="10">
        <v>2016</v>
      </c>
      <c r="J8987" s="10" t="s">
        <v>6323</v>
      </c>
      <c r="K8987" s="10">
        <v>210</v>
      </c>
      <c r="L8987" s="10" t="s">
        <v>41067</v>
      </c>
      <c r="M8987" s="10">
        <v>1</v>
      </c>
      <c r="N8987" s="10"/>
      <c r="O8987" s="10"/>
      <c r="P8987" s="10" t="s">
        <v>41068</v>
      </c>
      <c r="Q8987" s="10">
        <v>371.3</v>
      </c>
      <c r="R8987" s="10" t="s">
        <v>41069</v>
      </c>
      <c r="S8987" s="10" t="s">
        <v>53</v>
      </c>
      <c r="T8987" s="10" t="s">
        <v>54</v>
      </c>
    </row>
    <row r="8988" spans="1:20" ht="14.5" x14ac:dyDescent="0.35">
      <c r="A8988" s="10" t="s">
        <v>41070</v>
      </c>
      <c r="B8988" s="10" t="str">
        <f>"9781119104247"</f>
        <v>9781119104247</v>
      </c>
      <c r="C8988" s="10" t="str">
        <f>"9781119104346"</f>
        <v>9781119104346</v>
      </c>
      <c r="D8988" s="10" t="s">
        <v>6322</v>
      </c>
      <c r="E8988" s="10" t="s">
        <v>6323</v>
      </c>
      <c r="F8988" s="10" t="s">
        <v>4423</v>
      </c>
      <c r="G8988" s="10" t="s">
        <v>6317</v>
      </c>
      <c r="H8988" s="11">
        <v>42429</v>
      </c>
      <c r="I8988" s="10">
        <v>2016</v>
      </c>
      <c r="J8988" s="10" t="s">
        <v>6324</v>
      </c>
      <c r="K8988" s="10">
        <v>443</v>
      </c>
      <c r="L8988" s="10" t="s">
        <v>41071</v>
      </c>
      <c r="M8988" s="10">
        <v>1</v>
      </c>
      <c r="N8988" s="10"/>
      <c r="O8988" s="10"/>
      <c r="P8988" s="10" t="s">
        <v>41072</v>
      </c>
      <c r="Q8988" s="10">
        <v>372.4</v>
      </c>
      <c r="R8988" s="10" t="s">
        <v>24586</v>
      </c>
      <c r="S8988" s="10" t="s">
        <v>53</v>
      </c>
      <c r="T8988" s="10" t="s">
        <v>54</v>
      </c>
    </row>
    <row r="8989" spans="1:20" ht="14.5" x14ac:dyDescent="0.35">
      <c r="A8989" s="10" t="s">
        <v>41073</v>
      </c>
      <c r="B8989" s="10" t="str">
        <f>"9781119253457"</f>
        <v>9781119253457</v>
      </c>
      <c r="C8989" s="10" t="str">
        <f>"9781119253525"</f>
        <v>9781119253525</v>
      </c>
      <c r="D8989" s="10" t="s">
        <v>6322</v>
      </c>
      <c r="E8989" s="10" t="s">
        <v>6323</v>
      </c>
      <c r="F8989" s="10" t="s">
        <v>4423</v>
      </c>
      <c r="G8989" s="10" t="s">
        <v>6317</v>
      </c>
      <c r="H8989" s="11">
        <v>42465</v>
      </c>
      <c r="I8989" s="10">
        <v>2016</v>
      </c>
      <c r="J8989" s="10" t="s">
        <v>6323</v>
      </c>
      <c r="K8989" s="10">
        <v>427</v>
      </c>
      <c r="L8989" s="10" t="s">
        <v>41074</v>
      </c>
      <c r="M8989" s="10">
        <v>1</v>
      </c>
      <c r="N8989" s="10"/>
      <c r="O8989" s="10"/>
      <c r="P8989" s="10" t="s">
        <v>41075</v>
      </c>
      <c r="Q8989" s="10"/>
      <c r="R8989" s="10" t="s">
        <v>12268</v>
      </c>
      <c r="S8989" s="10" t="s">
        <v>53</v>
      </c>
      <c r="T8989" s="10" t="s">
        <v>54</v>
      </c>
    </row>
    <row r="8990" spans="1:20" ht="14.5" x14ac:dyDescent="0.35">
      <c r="A8990" s="10" t="s">
        <v>41076</v>
      </c>
      <c r="B8990" s="10" t="str">
        <f>"9781475826050"</f>
        <v>9781475826050</v>
      </c>
      <c r="C8990" s="10" t="str">
        <f>"9781475826074"</f>
        <v>9781475826074</v>
      </c>
      <c r="D8990" s="10" t="s">
        <v>9752</v>
      </c>
      <c r="E8990" s="10" t="s">
        <v>15187</v>
      </c>
      <c r="F8990" s="10" t="s">
        <v>9754</v>
      </c>
      <c r="G8990" s="10" t="s">
        <v>6317</v>
      </c>
      <c r="H8990" s="11">
        <v>42440</v>
      </c>
      <c r="I8990" s="10">
        <v>2016</v>
      </c>
      <c r="J8990" s="10" t="s">
        <v>15187</v>
      </c>
      <c r="K8990" s="10">
        <v>173</v>
      </c>
      <c r="L8990" s="10" t="s">
        <v>41077</v>
      </c>
      <c r="M8990" s="10">
        <v>1</v>
      </c>
      <c r="N8990" s="10"/>
      <c r="O8990" s="10"/>
      <c r="P8990" s="10" t="s">
        <v>41078</v>
      </c>
      <c r="Q8990" s="10">
        <v>378.04097300000001</v>
      </c>
      <c r="R8990" s="10" t="s">
        <v>41079</v>
      </c>
      <c r="S8990" s="10" t="s">
        <v>53</v>
      </c>
      <c r="T8990" s="10" t="s">
        <v>54</v>
      </c>
    </row>
    <row r="8991" spans="1:20" ht="14.5" x14ac:dyDescent="0.35">
      <c r="A8991" s="10" t="s">
        <v>41080</v>
      </c>
      <c r="B8991" s="10" t="str">
        <f>"9789811002830"</f>
        <v>9789811002830</v>
      </c>
      <c r="C8991" s="10" t="str">
        <f>"9789811002854"</f>
        <v>9789811002854</v>
      </c>
      <c r="D8991" s="10" t="s">
        <v>11249</v>
      </c>
      <c r="E8991" s="10" t="s">
        <v>23658</v>
      </c>
      <c r="F8991" s="10" t="s">
        <v>549</v>
      </c>
      <c r="G8991" s="10" t="s">
        <v>8573</v>
      </c>
      <c r="H8991" s="11">
        <v>42431</v>
      </c>
      <c r="I8991" s="10">
        <v>2016</v>
      </c>
      <c r="J8991" s="10" t="s">
        <v>23658</v>
      </c>
      <c r="K8991" s="10">
        <v>310</v>
      </c>
      <c r="L8991" s="10" t="s">
        <v>41081</v>
      </c>
      <c r="M8991" s="10">
        <v>1</v>
      </c>
      <c r="N8991" s="10" t="s">
        <v>41082</v>
      </c>
      <c r="O8991" s="10"/>
      <c r="P8991" s="10" t="s">
        <v>20644</v>
      </c>
      <c r="Q8991" s="10">
        <v>510.71051</v>
      </c>
      <c r="R8991" s="10" t="s">
        <v>389</v>
      </c>
      <c r="S8991" s="10" t="s">
        <v>53</v>
      </c>
      <c r="T8991" s="10" t="s">
        <v>389</v>
      </c>
    </row>
    <row r="8992" spans="1:20" ht="14.5" x14ac:dyDescent="0.35">
      <c r="A8992" s="10" t="s">
        <v>41083</v>
      </c>
      <c r="B8992" s="10" t="str">
        <f>"9781932802023"</f>
        <v>9781932802023</v>
      </c>
      <c r="C8992" s="10" t="str">
        <f>"9781932802542"</f>
        <v>9781932802542</v>
      </c>
      <c r="D8992" s="10" t="s">
        <v>9215</v>
      </c>
      <c r="E8992" s="10" t="s">
        <v>9216</v>
      </c>
      <c r="F8992" s="10" t="s">
        <v>9217</v>
      </c>
      <c r="G8992" s="10" t="s">
        <v>6317</v>
      </c>
      <c r="H8992" s="11">
        <v>38261</v>
      </c>
      <c r="I8992" s="10">
        <v>2005</v>
      </c>
      <c r="J8992" s="10" t="s">
        <v>9216</v>
      </c>
      <c r="K8992" s="10">
        <v>318</v>
      </c>
      <c r="L8992" s="10" t="s">
        <v>41084</v>
      </c>
      <c r="M8992" s="10"/>
      <c r="N8992" s="10" t="s">
        <v>41085</v>
      </c>
      <c r="O8992" s="10"/>
      <c r="P8992" s="10" t="s">
        <v>41086</v>
      </c>
      <c r="Q8992" s="10">
        <v>5.5</v>
      </c>
      <c r="R8992" s="10" t="s">
        <v>41087</v>
      </c>
      <c r="S8992" s="10" t="s">
        <v>53</v>
      </c>
      <c r="T8992" s="10" t="s">
        <v>19990</v>
      </c>
    </row>
    <row r="8993" spans="1:20" ht="14.5" x14ac:dyDescent="0.35">
      <c r="A8993" s="10" t="s">
        <v>41088</v>
      </c>
      <c r="B8993" s="10" t="str">
        <f>"9781771121149"</f>
        <v>9781771121149</v>
      </c>
      <c r="C8993" s="10" t="str">
        <f>"9781771120975"</f>
        <v>9781771120975</v>
      </c>
      <c r="D8993" s="10" t="s">
        <v>18539</v>
      </c>
      <c r="E8993" s="10" t="s">
        <v>18540</v>
      </c>
      <c r="F8993" s="10" t="s">
        <v>18541</v>
      </c>
      <c r="G8993" s="10" t="s">
        <v>9536</v>
      </c>
      <c r="H8993" s="11">
        <v>42246</v>
      </c>
      <c r="I8993" s="10">
        <v>2015</v>
      </c>
      <c r="J8993" s="10" t="s">
        <v>18540</v>
      </c>
      <c r="K8993" s="10">
        <v>344</v>
      </c>
      <c r="L8993" s="10" t="s">
        <v>41089</v>
      </c>
      <c r="M8993" s="10">
        <v>1</v>
      </c>
      <c r="N8993" s="10"/>
      <c r="O8993" s="10"/>
      <c r="P8993" s="10"/>
      <c r="Q8993" s="10" t="s">
        <v>7335</v>
      </c>
      <c r="R8993" s="10"/>
      <c r="S8993" s="10" t="s">
        <v>53</v>
      </c>
      <c r="T8993" s="10" t="s">
        <v>54</v>
      </c>
    </row>
    <row r="8994" spans="1:20" ht="14.5" x14ac:dyDescent="0.35">
      <c r="A8994" s="10" t="s">
        <v>41090</v>
      </c>
      <c r="B8994" s="10" t="str">
        <f>""</f>
        <v/>
      </c>
      <c r="C8994" s="10" t="str">
        <f>"9781118736630"</f>
        <v>9781118736630</v>
      </c>
      <c r="D8994" s="10" t="s">
        <v>6322</v>
      </c>
      <c r="E8994" s="10" t="s">
        <v>6323</v>
      </c>
      <c r="F8994" s="10" t="s">
        <v>4423</v>
      </c>
      <c r="G8994" s="10" t="s">
        <v>6317</v>
      </c>
      <c r="H8994" s="11">
        <v>42485</v>
      </c>
      <c r="I8994" s="10">
        <v>2016</v>
      </c>
      <c r="J8994" s="10" t="s">
        <v>8436</v>
      </c>
      <c r="K8994" s="10">
        <v>614</v>
      </c>
      <c r="L8994" s="10" t="s">
        <v>41091</v>
      </c>
      <c r="M8994" s="10">
        <v>1</v>
      </c>
      <c r="N8994" s="10" t="s">
        <v>41092</v>
      </c>
      <c r="O8994" s="10"/>
      <c r="P8994" s="10"/>
      <c r="Q8994" s="10">
        <v>371.33</v>
      </c>
      <c r="R8994" s="10" t="s">
        <v>41093</v>
      </c>
      <c r="S8994" s="10" t="s">
        <v>53</v>
      </c>
      <c r="T8994" s="10" t="s">
        <v>54</v>
      </c>
    </row>
    <row r="8995" spans="1:20" ht="14.5" x14ac:dyDescent="0.35">
      <c r="A8995" s="10" t="s">
        <v>41094</v>
      </c>
      <c r="B8995" s="10" t="str">
        <f>"9781118761625"</f>
        <v>9781118761625</v>
      </c>
      <c r="C8995" s="10" t="str">
        <f>"9781118761656"</f>
        <v>9781118761656</v>
      </c>
      <c r="D8995" s="10" t="s">
        <v>6322</v>
      </c>
      <c r="E8995" s="10" t="s">
        <v>6323</v>
      </c>
      <c r="F8995" s="10" t="s">
        <v>1168</v>
      </c>
      <c r="G8995" s="10" t="s">
        <v>6317</v>
      </c>
      <c r="H8995" s="11">
        <v>42450</v>
      </c>
      <c r="I8995" s="10">
        <v>2016</v>
      </c>
      <c r="J8995" s="10" t="s">
        <v>6324</v>
      </c>
      <c r="K8995" s="10">
        <v>367</v>
      </c>
      <c r="L8995" s="10" t="s">
        <v>41095</v>
      </c>
      <c r="M8995" s="10">
        <v>2</v>
      </c>
      <c r="N8995" s="10" t="s">
        <v>25184</v>
      </c>
      <c r="O8995" s="10"/>
      <c r="P8995" s="10" t="s">
        <v>41096</v>
      </c>
      <c r="Q8995" s="10" t="s">
        <v>8223</v>
      </c>
      <c r="R8995" s="10" t="s">
        <v>41097</v>
      </c>
      <c r="S8995" s="10" t="s">
        <v>53</v>
      </c>
      <c r="T8995" s="10" t="s">
        <v>54</v>
      </c>
    </row>
    <row r="8996" spans="1:20" ht="14.5" x14ac:dyDescent="0.35">
      <c r="A8996" s="10" t="s">
        <v>41098</v>
      </c>
      <c r="B8996" s="10" t="str">
        <f>"9781119080770"</f>
        <v>9781119080770</v>
      </c>
      <c r="C8996" s="10" t="str">
        <f>"9781119080787"</f>
        <v>9781119080787</v>
      </c>
      <c r="D8996" s="10" t="s">
        <v>6322</v>
      </c>
      <c r="E8996" s="10" t="s">
        <v>6323</v>
      </c>
      <c r="F8996" s="10" t="s">
        <v>4423</v>
      </c>
      <c r="G8996" s="10" t="s">
        <v>6317</v>
      </c>
      <c r="H8996" s="11">
        <v>42443</v>
      </c>
      <c r="I8996" s="10">
        <v>2016</v>
      </c>
      <c r="J8996" s="10" t="s">
        <v>6324</v>
      </c>
      <c r="K8996" s="10">
        <v>147</v>
      </c>
      <c r="L8996" s="10" t="s">
        <v>41099</v>
      </c>
      <c r="M8996" s="10">
        <v>1</v>
      </c>
      <c r="N8996" s="10"/>
      <c r="O8996" s="10"/>
      <c r="P8996" s="10" t="s">
        <v>41100</v>
      </c>
      <c r="Q8996" s="10">
        <v>371.39400000000001</v>
      </c>
      <c r="R8996" s="10" t="s">
        <v>41101</v>
      </c>
      <c r="S8996" s="10" t="s">
        <v>53</v>
      </c>
      <c r="T8996" s="10" t="s">
        <v>54</v>
      </c>
    </row>
    <row r="8997" spans="1:20" ht="14.5" x14ac:dyDescent="0.35">
      <c r="A8997" s="10" t="s">
        <v>41102</v>
      </c>
      <c r="B8997" s="10" t="str">
        <f>""</f>
        <v/>
      </c>
      <c r="C8997" s="10" t="str">
        <f>"9781606507902"</f>
        <v>9781606507902</v>
      </c>
      <c r="D8997" s="10" t="s">
        <v>41103</v>
      </c>
      <c r="E8997" s="10" t="s">
        <v>41103</v>
      </c>
      <c r="F8997" s="10" t="s">
        <v>70</v>
      </c>
      <c r="G8997" s="10" t="s">
        <v>6317</v>
      </c>
      <c r="H8997" s="11">
        <v>42168</v>
      </c>
      <c r="I8997" s="10">
        <v>2015</v>
      </c>
      <c r="J8997" s="10" t="s">
        <v>41103</v>
      </c>
      <c r="K8997" s="10">
        <v>201</v>
      </c>
      <c r="L8997" s="10" t="s">
        <v>41104</v>
      </c>
      <c r="M8997" s="10">
        <v>1</v>
      </c>
      <c r="N8997" s="10"/>
      <c r="O8997" s="10"/>
      <c r="P8997" s="10"/>
      <c r="Q8997" s="10"/>
      <c r="R8997" s="10"/>
      <c r="S8997" s="10" t="s">
        <v>53</v>
      </c>
      <c r="T8997" s="10" t="s">
        <v>54</v>
      </c>
    </row>
    <row r="8998" spans="1:20" ht="14.5" x14ac:dyDescent="0.35">
      <c r="A8998" s="10" t="s">
        <v>41105</v>
      </c>
      <c r="B8998" s="10" t="str">
        <f>"9781475816884"</f>
        <v>9781475816884</v>
      </c>
      <c r="C8998" s="10" t="str">
        <f>"9781475816907"</f>
        <v>9781475816907</v>
      </c>
      <c r="D8998" s="10" t="s">
        <v>9752</v>
      </c>
      <c r="E8998" s="10" t="s">
        <v>15187</v>
      </c>
      <c r="F8998" s="10" t="s">
        <v>9754</v>
      </c>
      <c r="G8998" s="10" t="s">
        <v>6317</v>
      </c>
      <c r="H8998" s="11">
        <v>42346</v>
      </c>
      <c r="I8998" s="10">
        <v>2015</v>
      </c>
      <c r="J8998" s="10" t="s">
        <v>15187</v>
      </c>
      <c r="K8998" s="10">
        <v>142</v>
      </c>
      <c r="L8998" s="10" t="s">
        <v>8077</v>
      </c>
      <c r="M8998" s="10">
        <v>1</v>
      </c>
      <c r="N8998" s="10"/>
      <c r="O8998" s="10"/>
      <c r="P8998" s="10"/>
      <c r="Q8998" s="10">
        <v>371.3</v>
      </c>
      <c r="R8998" s="10" t="s">
        <v>41106</v>
      </c>
      <c r="S8998" s="10" t="s">
        <v>53</v>
      </c>
      <c r="T8998" s="10" t="s">
        <v>54</v>
      </c>
    </row>
    <row r="8999" spans="1:20" ht="14.5" x14ac:dyDescent="0.35">
      <c r="A8999" s="10" t="s">
        <v>41107</v>
      </c>
      <c r="B8999" s="10" t="str">
        <f>"9781475817997"</f>
        <v>9781475817997</v>
      </c>
      <c r="C8999" s="10" t="str">
        <f>"9781475818017"</f>
        <v>9781475818017</v>
      </c>
      <c r="D8999" s="10" t="s">
        <v>9752</v>
      </c>
      <c r="E8999" s="10" t="s">
        <v>15187</v>
      </c>
      <c r="F8999" s="10" t="s">
        <v>9754</v>
      </c>
      <c r="G8999" s="10" t="s">
        <v>6317</v>
      </c>
      <c r="H8999" s="11">
        <v>42298</v>
      </c>
      <c r="I8999" s="10">
        <v>2015</v>
      </c>
      <c r="J8999" s="10" t="s">
        <v>15187</v>
      </c>
      <c r="K8999" s="10">
        <v>141</v>
      </c>
      <c r="L8999" s="10" t="s">
        <v>41108</v>
      </c>
      <c r="M8999" s="10">
        <v>1</v>
      </c>
      <c r="N8999" s="10"/>
      <c r="O8999" s="10"/>
      <c r="P8999" s="10"/>
      <c r="Q8999" s="10"/>
      <c r="R8999" s="10" t="s">
        <v>41109</v>
      </c>
      <c r="S8999" s="10" t="s">
        <v>53</v>
      </c>
      <c r="T8999" s="10" t="s">
        <v>54</v>
      </c>
    </row>
    <row r="9000" spans="1:20" ht="14.5" x14ac:dyDescent="0.35">
      <c r="A9000" s="10" t="s">
        <v>41110</v>
      </c>
      <c r="B9000" s="10" t="str">
        <f>"9781475818994"</f>
        <v>9781475818994</v>
      </c>
      <c r="C9000" s="10" t="str">
        <f>"9781475819007"</f>
        <v>9781475819007</v>
      </c>
      <c r="D9000" s="10" t="s">
        <v>9752</v>
      </c>
      <c r="E9000" s="10" t="s">
        <v>15187</v>
      </c>
      <c r="F9000" s="10" t="s">
        <v>9754</v>
      </c>
      <c r="G9000" s="10" t="s">
        <v>6317</v>
      </c>
      <c r="H9000" s="11">
        <v>42374</v>
      </c>
      <c r="I9000" s="10">
        <v>2016</v>
      </c>
      <c r="J9000" s="10" t="s">
        <v>15187</v>
      </c>
      <c r="K9000" s="10">
        <v>193</v>
      </c>
      <c r="L9000" s="10" t="s">
        <v>41111</v>
      </c>
      <c r="M9000" s="10">
        <v>1</v>
      </c>
      <c r="N9000" s="10" t="s">
        <v>15952</v>
      </c>
      <c r="O9000" s="10"/>
      <c r="P9000" s="10" t="s">
        <v>41112</v>
      </c>
      <c r="Q9000" s="10">
        <v>371.2</v>
      </c>
      <c r="R9000" s="10" t="s">
        <v>41113</v>
      </c>
      <c r="S9000" s="10" t="s">
        <v>53</v>
      </c>
      <c r="T9000" s="10" t="s">
        <v>54</v>
      </c>
    </row>
    <row r="9001" spans="1:20" ht="14.5" x14ac:dyDescent="0.35">
      <c r="A9001" s="10" t="s">
        <v>41114</v>
      </c>
      <c r="B9001" s="10" t="str">
        <f>"9781475820089"</f>
        <v>9781475820089</v>
      </c>
      <c r="C9001" s="10" t="str">
        <f>"9781475820096"</f>
        <v>9781475820096</v>
      </c>
      <c r="D9001" s="10" t="s">
        <v>9752</v>
      </c>
      <c r="E9001" s="10" t="s">
        <v>15187</v>
      </c>
      <c r="F9001" s="10" t="s">
        <v>9754</v>
      </c>
      <c r="G9001" s="10" t="s">
        <v>6317</v>
      </c>
      <c r="H9001" s="11">
        <v>42248</v>
      </c>
      <c r="I9001" s="10">
        <v>2015</v>
      </c>
      <c r="J9001" s="10" t="s">
        <v>15187</v>
      </c>
      <c r="K9001" s="10">
        <v>179</v>
      </c>
      <c r="L9001" s="10" t="s">
        <v>41115</v>
      </c>
      <c r="M9001" s="10">
        <v>1</v>
      </c>
      <c r="N9001" s="10"/>
      <c r="O9001" s="10"/>
      <c r="P9001" s="10" t="s">
        <v>41116</v>
      </c>
      <c r="Q9001" s="10" t="s">
        <v>8460</v>
      </c>
      <c r="R9001" s="10" t="s">
        <v>41117</v>
      </c>
      <c r="S9001" s="10" t="s">
        <v>53</v>
      </c>
      <c r="T9001" s="10" t="s">
        <v>54</v>
      </c>
    </row>
    <row r="9002" spans="1:20" ht="14.5" x14ac:dyDescent="0.35">
      <c r="A9002" s="10" t="s">
        <v>41118</v>
      </c>
      <c r="B9002" s="10" t="str">
        <f>"9781475822281"</f>
        <v>9781475822281</v>
      </c>
      <c r="C9002" s="10" t="str">
        <f>"9781475822304"</f>
        <v>9781475822304</v>
      </c>
      <c r="D9002" s="10" t="s">
        <v>9752</v>
      </c>
      <c r="E9002" s="10" t="s">
        <v>15187</v>
      </c>
      <c r="F9002" s="10" t="s">
        <v>9754</v>
      </c>
      <c r="G9002" s="10" t="s">
        <v>6317</v>
      </c>
      <c r="H9002" s="11">
        <v>42298</v>
      </c>
      <c r="I9002" s="10">
        <v>2015</v>
      </c>
      <c r="J9002" s="10" t="s">
        <v>15187</v>
      </c>
      <c r="K9002" s="10">
        <v>173</v>
      </c>
      <c r="L9002" s="10" t="s">
        <v>41119</v>
      </c>
      <c r="M9002" s="10">
        <v>1</v>
      </c>
      <c r="N9002" s="10"/>
      <c r="O9002" s="10"/>
      <c r="P9002" s="10" t="s">
        <v>41120</v>
      </c>
      <c r="Q9002" s="10" t="s">
        <v>9870</v>
      </c>
      <c r="R9002" s="10" t="s">
        <v>41121</v>
      </c>
      <c r="S9002" s="10" t="s">
        <v>53</v>
      </c>
      <c r="T9002" s="10" t="s">
        <v>54</v>
      </c>
    </row>
    <row r="9003" spans="1:20" ht="14.5" x14ac:dyDescent="0.35">
      <c r="A9003" s="10" t="s">
        <v>41122</v>
      </c>
      <c r="B9003" s="10" t="str">
        <f>"9781498517690"</f>
        <v>9781498517690</v>
      </c>
      <c r="C9003" s="10" t="str">
        <f>"9781498517706"</f>
        <v>9781498517706</v>
      </c>
      <c r="D9003" s="10" t="s">
        <v>9752</v>
      </c>
      <c r="E9003" s="10" t="s">
        <v>15182</v>
      </c>
      <c r="F9003" s="10" t="s">
        <v>9754</v>
      </c>
      <c r="G9003" s="10" t="s">
        <v>6317</v>
      </c>
      <c r="H9003" s="11">
        <v>42347</v>
      </c>
      <c r="I9003" s="10">
        <v>2015</v>
      </c>
      <c r="J9003" s="10" t="s">
        <v>15182</v>
      </c>
      <c r="K9003" s="10">
        <v>185</v>
      </c>
      <c r="L9003" s="10" t="s">
        <v>41123</v>
      </c>
      <c r="M9003" s="10">
        <v>1</v>
      </c>
      <c r="N9003" s="10"/>
      <c r="O9003" s="10"/>
      <c r="P9003" s="10"/>
      <c r="Q9003" s="10" t="s">
        <v>26632</v>
      </c>
      <c r="R9003" s="10" t="s">
        <v>41124</v>
      </c>
      <c r="S9003" s="10" t="s">
        <v>53</v>
      </c>
      <c r="T9003" s="10" t="s">
        <v>54</v>
      </c>
    </row>
    <row r="9004" spans="1:20" ht="14.5" x14ac:dyDescent="0.35">
      <c r="A9004" s="10" t="s">
        <v>41125</v>
      </c>
      <c r="B9004" s="10" t="str">
        <f>""</f>
        <v/>
      </c>
      <c r="C9004" s="10" t="str">
        <f>"9781118468043"</f>
        <v>9781118468043</v>
      </c>
      <c r="D9004" s="10" t="s">
        <v>6322</v>
      </c>
      <c r="E9004" s="10" t="s">
        <v>6323</v>
      </c>
      <c r="F9004" s="10" t="s">
        <v>4423</v>
      </c>
      <c r="G9004" s="10" t="s">
        <v>6352</v>
      </c>
      <c r="H9004" s="11">
        <v>42492</v>
      </c>
      <c r="I9004" s="10">
        <v>2016</v>
      </c>
      <c r="J9004" s="10" t="s">
        <v>6323</v>
      </c>
      <c r="K9004" s="10">
        <v>729</v>
      </c>
      <c r="L9004" s="10" t="s">
        <v>41126</v>
      </c>
      <c r="M9004" s="10">
        <v>1</v>
      </c>
      <c r="N9004" s="10" t="s">
        <v>41127</v>
      </c>
      <c r="O9004" s="10"/>
      <c r="P9004" s="10" t="s">
        <v>41128</v>
      </c>
      <c r="Q9004" s="10">
        <v>379</v>
      </c>
      <c r="R9004" s="10" t="s">
        <v>41129</v>
      </c>
      <c r="S9004" s="10" t="s">
        <v>53</v>
      </c>
      <c r="T9004" s="10" t="s">
        <v>54</v>
      </c>
    </row>
    <row r="9005" spans="1:20" ht="14.5" x14ac:dyDescent="0.35">
      <c r="A9005" s="10" t="s">
        <v>41130</v>
      </c>
      <c r="B9005" s="10" t="str">
        <f>"9781475813883"</f>
        <v>9781475813883</v>
      </c>
      <c r="C9005" s="10" t="str">
        <f>"9781475813906"</f>
        <v>9781475813906</v>
      </c>
      <c r="D9005" s="10" t="s">
        <v>9752</v>
      </c>
      <c r="E9005" s="10" t="s">
        <v>15187</v>
      </c>
      <c r="F9005" s="10" t="s">
        <v>9754</v>
      </c>
      <c r="G9005" s="10" t="s">
        <v>6317</v>
      </c>
      <c r="H9005" s="11">
        <v>42432</v>
      </c>
      <c r="I9005" s="10">
        <v>2016</v>
      </c>
      <c r="J9005" s="10" t="s">
        <v>15187</v>
      </c>
      <c r="K9005" s="10">
        <v>207</v>
      </c>
      <c r="L9005" s="10" t="s">
        <v>41131</v>
      </c>
      <c r="M9005" s="10">
        <v>2</v>
      </c>
      <c r="N9005" s="10"/>
      <c r="O9005" s="10"/>
      <c r="P9005" s="10" t="s">
        <v>41132</v>
      </c>
      <c r="Q9005" s="10"/>
      <c r="R9005" s="10" t="s">
        <v>41133</v>
      </c>
      <c r="S9005" s="10" t="s">
        <v>53</v>
      </c>
      <c r="T9005" s="10" t="s">
        <v>54</v>
      </c>
    </row>
    <row r="9006" spans="1:20" ht="14.5" x14ac:dyDescent="0.35">
      <c r="A9006" s="10" t="s">
        <v>41134</v>
      </c>
      <c r="B9006" s="10" t="str">
        <f>"9781475820829"</f>
        <v>9781475820829</v>
      </c>
      <c r="C9006" s="10" t="str">
        <f>"9781475820836"</f>
        <v>9781475820836</v>
      </c>
      <c r="D9006" s="10" t="s">
        <v>9752</v>
      </c>
      <c r="E9006" s="10" t="s">
        <v>15187</v>
      </c>
      <c r="F9006" s="10" t="s">
        <v>9754</v>
      </c>
      <c r="G9006" s="10" t="s">
        <v>6317</v>
      </c>
      <c r="H9006" s="11">
        <v>42498</v>
      </c>
      <c r="I9006" s="10">
        <v>2016</v>
      </c>
      <c r="J9006" s="10" t="s">
        <v>15187</v>
      </c>
      <c r="K9006" s="10">
        <v>193</v>
      </c>
      <c r="L9006" s="10" t="s">
        <v>41135</v>
      </c>
      <c r="M9006" s="10">
        <v>1</v>
      </c>
      <c r="N9006" s="10"/>
      <c r="O9006" s="10"/>
      <c r="P9006" s="10" t="s">
        <v>41136</v>
      </c>
      <c r="Q9006" s="10" t="s">
        <v>8067</v>
      </c>
      <c r="R9006" s="10" t="s">
        <v>41137</v>
      </c>
      <c r="S9006" s="10" t="s">
        <v>53</v>
      </c>
      <c r="T9006" s="10" t="s">
        <v>54</v>
      </c>
    </row>
    <row r="9007" spans="1:20" ht="14.5" x14ac:dyDescent="0.35">
      <c r="A9007" s="10" t="s">
        <v>41138</v>
      </c>
      <c r="B9007" s="10" t="str">
        <f>"9781475810622"</f>
        <v>9781475810622</v>
      </c>
      <c r="C9007" s="10" t="str">
        <f>"9781475810646"</f>
        <v>9781475810646</v>
      </c>
      <c r="D9007" s="10" t="s">
        <v>9752</v>
      </c>
      <c r="E9007" s="10" t="s">
        <v>15187</v>
      </c>
      <c r="F9007" s="10" t="s">
        <v>9754</v>
      </c>
      <c r="G9007" s="10" t="s">
        <v>6317</v>
      </c>
      <c r="H9007" s="11">
        <v>42317</v>
      </c>
      <c r="I9007" s="10">
        <v>2015</v>
      </c>
      <c r="J9007" s="10" t="s">
        <v>15187</v>
      </c>
      <c r="K9007" s="10">
        <v>233</v>
      </c>
      <c r="L9007" s="10" t="s">
        <v>41139</v>
      </c>
      <c r="M9007" s="10">
        <v>1</v>
      </c>
      <c r="N9007" s="10" t="s">
        <v>31474</v>
      </c>
      <c r="O9007" s="10"/>
      <c r="P9007" s="10" t="s">
        <v>41140</v>
      </c>
      <c r="Q9007" s="10"/>
      <c r="R9007" s="10" t="s">
        <v>41141</v>
      </c>
      <c r="S9007" s="10" t="s">
        <v>53</v>
      </c>
      <c r="T9007" s="10" t="s">
        <v>54</v>
      </c>
    </row>
    <row r="9008" spans="1:20" ht="14.5" x14ac:dyDescent="0.35">
      <c r="A9008" s="10" t="s">
        <v>41142</v>
      </c>
      <c r="B9008" s="10" t="str">
        <f>"9781475815061"</f>
        <v>9781475815061</v>
      </c>
      <c r="C9008" s="10" t="str">
        <f>"9781475815085"</f>
        <v>9781475815085</v>
      </c>
      <c r="D9008" s="10" t="s">
        <v>9752</v>
      </c>
      <c r="E9008" s="10" t="s">
        <v>15187</v>
      </c>
      <c r="F9008" s="10" t="s">
        <v>9754</v>
      </c>
      <c r="G9008" s="10" t="s">
        <v>6317</v>
      </c>
      <c r="H9008" s="11">
        <v>42279</v>
      </c>
      <c r="I9008" s="10">
        <v>2015</v>
      </c>
      <c r="J9008" s="10" t="s">
        <v>15187</v>
      </c>
      <c r="K9008" s="10">
        <v>169</v>
      </c>
      <c r="L9008" s="10" t="s">
        <v>41143</v>
      </c>
      <c r="M9008" s="10">
        <v>2</v>
      </c>
      <c r="N9008" s="10"/>
      <c r="O9008" s="10"/>
      <c r="P9008" s="10"/>
      <c r="Q9008" s="10" t="s">
        <v>41144</v>
      </c>
      <c r="R9008" s="10" t="s">
        <v>41145</v>
      </c>
      <c r="S9008" s="10" t="s">
        <v>53</v>
      </c>
      <c r="T9008" s="10" t="s">
        <v>54</v>
      </c>
    </row>
    <row r="9009" spans="1:20" ht="14.5" x14ac:dyDescent="0.35">
      <c r="A9009" s="10" t="s">
        <v>41146</v>
      </c>
      <c r="B9009" s="10" t="str">
        <f>"9781475815283"</f>
        <v>9781475815283</v>
      </c>
      <c r="C9009" s="10" t="str">
        <f>"9781475815306"</f>
        <v>9781475815306</v>
      </c>
      <c r="D9009" s="10" t="s">
        <v>9752</v>
      </c>
      <c r="E9009" s="10" t="s">
        <v>15187</v>
      </c>
      <c r="F9009" s="10" t="s">
        <v>9754</v>
      </c>
      <c r="G9009" s="10" t="s">
        <v>6317</v>
      </c>
      <c r="H9009" s="11">
        <v>42355</v>
      </c>
      <c r="I9009" s="10">
        <v>2015</v>
      </c>
      <c r="J9009" s="10" t="s">
        <v>15187</v>
      </c>
      <c r="K9009" s="10">
        <v>197</v>
      </c>
      <c r="L9009" s="10" t="s">
        <v>41147</v>
      </c>
      <c r="M9009" s="10">
        <v>1</v>
      </c>
      <c r="N9009" s="10"/>
      <c r="O9009" s="10"/>
      <c r="P9009" s="10" t="s">
        <v>41148</v>
      </c>
      <c r="Q9009" s="10" t="s">
        <v>10213</v>
      </c>
      <c r="R9009" s="10" t="s">
        <v>11395</v>
      </c>
      <c r="S9009" s="10" t="s">
        <v>53</v>
      </c>
      <c r="T9009" s="10" t="s">
        <v>6492</v>
      </c>
    </row>
    <row r="9010" spans="1:20" ht="14.5" x14ac:dyDescent="0.35">
      <c r="A9010" s="10" t="s">
        <v>41149</v>
      </c>
      <c r="B9010" s="10" t="str">
        <f>"9781475821741"</f>
        <v>9781475821741</v>
      </c>
      <c r="C9010" s="10" t="str">
        <f>"9781475821758"</f>
        <v>9781475821758</v>
      </c>
      <c r="D9010" s="10" t="s">
        <v>9752</v>
      </c>
      <c r="E9010" s="10" t="s">
        <v>15187</v>
      </c>
      <c r="F9010" s="10" t="s">
        <v>9754</v>
      </c>
      <c r="G9010" s="10" t="s">
        <v>6317</v>
      </c>
      <c r="H9010" s="11">
        <v>42279</v>
      </c>
      <c r="I9010" s="10">
        <v>2015</v>
      </c>
      <c r="J9010" s="10" t="s">
        <v>15187</v>
      </c>
      <c r="K9010" s="10">
        <v>115</v>
      </c>
      <c r="L9010" s="10" t="s">
        <v>41150</v>
      </c>
      <c r="M9010" s="10">
        <v>1</v>
      </c>
      <c r="N9010" s="10"/>
      <c r="O9010" s="10"/>
      <c r="P9010" s="10"/>
      <c r="Q9010" s="10">
        <v>371.33</v>
      </c>
      <c r="R9010" s="10" t="s">
        <v>41151</v>
      </c>
      <c r="S9010" s="10" t="s">
        <v>53</v>
      </c>
      <c r="T9010" s="10" t="s">
        <v>54</v>
      </c>
    </row>
    <row r="9011" spans="1:20" ht="14.5" x14ac:dyDescent="0.35">
      <c r="A9011" s="10" t="s">
        <v>41152</v>
      </c>
      <c r="B9011" s="10" t="str">
        <f>"9781475822533"</f>
        <v>9781475822533</v>
      </c>
      <c r="C9011" s="10" t="str">
        <f>"9781475822540"</f>
        <v>9781475822540</v>
      </c>
      <c r="D9011" s="10" t="s">
        <v>9752</v>
      </c>
      <c r="E9011" s="10" t="s">
        <v>15187</v>
      </c>
      <c r="F9011" s="10" t="s">
        <v>9754</v>
      </c>
      <c r="G9011" s="10" t="s">
        <v>6317</v>
      </c>
      <c r="H9011" s="11">
        <v>42387</v>
      </c>
      <c r="I9011" s="10">
        <v>2016</v>
      </c>
      <c r="J9011" s="10" t="s">
        <v>15187</v>
      </c>
      <c r="K9011" s="10">
        <v>221</v>
      </c>
      <c r="L9011" s="10" t="s">
        <v>41153</v>
      </c>
      <c r="M9011" s="10">
        <v>1</v>
      </c>
      <c r="N9011" s="10"/>
      <c r="O9011" s="10"/>
      <c r="P9011" s="10" t="s">
        <v>41154</v>
      </c>
      <c r="Q9011" s="10"/>
      <c r="R9011" s="10" t="s">
        <v>41155</v>
      </c>
      <c r="S9011" s="10" t="s">
        <v>53</v>
      </c>
      <c r="T9011" s="10" t="s">
        <v>54</v>
      </c>
    </row>
    <row r="9012" spans="1:20" ht="14.5" x14ac:dyDescent="0.35">
      <c r="A9012" s="10" t="s">
        <v>41156</v>
      </c>
      <c r="B9012" s="10" t="str">
        <f>"9781475823028"</f>
        <v>9781475823028</v>
      </c>
      <c r="C9012" s="10" t="str">
        <f>"9781475823042"</f>
        <v>9781475823042</v>
      </c>
      <c r="D9012" s="10" t="s">
        <v>9752</v>
      </c>
      <c r="E9012" s="10" t="s">
        <v>15187</v>
      </c>
      <c r="F9012" s="10" t="s">
        <v>9754</v>
      </c>
      <c r="G9012" s="10" t="s">
        <v>6317</v>
      </c>
      <c r="H9012" s="11">
        <v>42346</v>
      </c>
      <c r="I9012" s="10">
        <v>2015</v>
      </c>
      <c r="J9012" s="10" t="s">
        <v>15187</v>
      </c>
      <c r="K9012" s="10">
        <v>241</v>
      </c>
      <c r="L9012" s="10" t="s">
        <v>41157</v>
      </c>
      <c r="M9012" s="10">
        <v>1</v>
      </c>
      <c r="N9012" s="10"/>
      <c r="O9012" s="10"/>
      <c r="P9012" s="10" t="s">
        <v>41158</v>
      </c>
      <c r="Q9012" s="10">
        <v>371.10199999999998</v>
      </c>
      <c r="R9012" s="10" t="s">
        <v>41159</v>
      </c>
      <c r="S9012" s="10" t="s">
        <v>53</v>
      </c>
      <c r="T9012" s="10" t="s">
        <v>54</v>
      </c>
    </row>
    <row r="9013" spans="1:20" ht="14.5" x14ac:dyDescent="0.35">
      <c r="A9013" s="10" t="s">
        <v>41160</v>
      </c>
      <c r="B9013" s="10" t="str">
        <f>"9781472509406"</f>
        <v>9781472509406</v>
      </c>
      <c r="C9013" s="10" t="str">
        <f>"9781472509161"</f>
        <v>9781472509161</v>
      </c>
      <c r="D9013" s="10" t="s">
        <v>13959</v>
      </c>
      <c r="E9013" s="10" t="s">
        <v>13960</v>
      </c>
      <c r="F9013" s="10" t="s">
        <v>139</v>
      </c>
      <c r="G9013" s="10" t="s">
        <v>6352</v>
      </c>
      <c r="H9013" s="11">
        <v>41585</v>
      </c>
      <c r="I9013" s="10">
        <v>2013</v>
      </c>
      <c r="J9013" s="10" t="s">
        <v>14057</v>
      </c>
      <c r="K9013" s="10">
        <v>267</v>
      </c>
      <c r="L9013" s="10" t="s">
        <v>41161</v>
      </c>
      <c r="M9013" s="10">
        <v>1</v>
      </c>
      <c r="N9013" s="10" t="s">
        <v>41162</v>
      </c>
      <c r="O9013" s="10"/>
      <c r="P9013" s="10" t="s">
        <v>41163</v>
      </c>
      <c r="Q9013" s="10">
        <v>370.1</v>
      </c>
      <c r="R9013" s="10" t="s">
        <v>17321</v>
      </c>
      <c r="S9013" s="10" t="s">
        <v>53</v>
      </c>
      <c r="T9013" s="10" t="s">
        <v>6521</v>
      </c>
    </row>
    <row r="9014" spans="1:20" ht="14.5" x14ac:dyDescent="0.35">
      <c r="A9014" s="10" t="s">
        <v>41164</v>
      </c>
      <c r="B9014" s="10" t="str">
        <f>"9781624910159"</f>
        <v>9781624910159</v>
      </c>
      <c r="C9014" s="10" t="str">
        <f>"9781624910104"</f>
        <v>9781624910104</v>
      </c>
      <c r="D9014" s="10" t="s">
        <v>20156</v>
      </c>
      <c r="E9014" s="10" t="s">
        <v>41165</v>
      </c>
      <c r="F9014" s="10" t="s">
        <v>324</v>
      </c>
      <c r="G9014" s="10" t="s">
        <v>6317</v>
      </c>
      <c r="H9014" s="11">
        <v>41766</v>
      </c>
      <c r="I9014" s="10">
        <v>2014</v>
      </c>
      <c r="J9014" s="10" t="s">
        <v>41165</v>
      </c>
      <c r="K9014" s="10">
        <v>199</v>
      </c>
      <c r="L9014" s="10" t="s">
        <v>41166</v>
      </c>
      <c r="M9014" s="10">
        <v>1</v>
      </c>
      <c r="N9014" s="10"/>
      <c r="O9014" s="10"/>
      <c r="P9014" s="10" t="s">
        <v>41167</v>
      </c>
      <c r="Q9014" s="10">
        <v>362.71600000000001</v>
      </c>
      <c r="R9014" s="10" t="s">
        <v>41168</v>
      </c>
      <c r="S9014" s="10" t="s">
        <v>53</v>
      </c>
      <c r="T9014" s="10" t="s">
        <v>6363</v>
      </c>
    </row>
    <row r="9015" spans="1:20" ht="14.5" x14ac:dyDescent="0.35">
      <c r="A9015" s="10" t="s">
        <v>41169</v>
      </c>
      <c r="B9015" s="10" t="str">
        <f>"9781624910364"</f>
        <v>9781624910364</v>
      </c>
      <c r="C9015" s="10" t="str">
        <f>"9781624910111"</f>
        <v>9781624910111</v>
      </c>
      <c r="D9015" s="10" t="s">
        <v>20156</v>
      </c>
      <c r="E9015" s="10" t="s">
        <v>41165</v>
      </c>
      <c r="F9015" s="10" t="s">
        <v>324</v>
      </c>
      <c r="G9015" s="10" t="s">
        <v>6317</v>
      </c>
      <c r="H9015" s="11">
        <v>41766</v>
      </c>
      <c r="I9015" s="10">
        <v>2014</v>
      </c>
      <c r="J9015" s="10" t="s">
        <v>41165</v>
      </c>
      <c r="K9015" s="10">
        <v>167</v>
      </c>
      <c r="L9015" s="10" t="s">
        <v>41166</v>
      </c>
      <c r="M9015" s="10">
        <v>1</v>
      </c>
      <c r="N9015" s="10"/>
      <c r="O9015" s="10"/>
      <c r="P9015" s="10" t="s">
        <v>41167</v>
      </c>
      <c r="Q9015" s="10">
        <v>362.7</v>
      </c>
      <c r="R9015" s="10" t="s">
        <v>41170</v>
      </c>
      <c r="S9015" s="10" t="s">
        <v>53</v>
      </c>
      <c r="T9015" s="10" t="s">
        <v>6363</v>
      </c>
    </row>
    <row r="9016" spans="1:20" ht="14.5" x14ac:dyDescent="0.35">
      <c r="A9016" s="10" t="s">
        <v>41171</v>
      </c>
      <c r="B9016" s="10" t="str">
        <f>"9781624910135"</f>
        <v>9781624910135</v>
      </c>
      <c r="C9016" s="10" t="str">
        <f>"9781624910142"</f>
        <v>9781624910142</v>
      </c>
      <c r="D9016" s="10" t="s">
        <v>20156</v>
      </c>
      <c r="E9016" s="10" t="s">
        <v>41165</v>
      </c>
      <c r="F9016" s="10" t="s">
        <v>324</v>
      </c>
      <c r="G9016" s="10" t="s">
        <v>6317</v>
      </c>
      <c r="H9016" s="11">
        <v>41579</v>
      </c>
      <c r="I9016" s="10">
        <v>2013</v>
      </c>
      <c r="J9016" s="10" t="s">
        <v>41165</v>
      </c>
      <c r="K9016" s="10">
        <v>208</v>
      </c>
      <c r="L9016" s="10" t="s">
        <v>41172</v>
      </c>
      <c r="M9016" s="10">
        <v>1</v>
      </c>
      <c r="N9016" s="10" t="s">
        <v>41173</v>
      </c>
      <c r="O9016" s="10">
        <v>9</v>
      </c>
      <c r="P9016" s="10" t="s">
        <v>40499</v>
      </c>
      <c r="Q9016" s="10">
        <v>370.11</v>
      </c>
      <c r="R9016" s="10" t="s">
        <v>41174</v>
      </c>
      <c r="S9016" s="10" t="s">
        <v>53</v>
      </c>
      <c r="T9016" s="10" t="s">
        <v>54</v>
      </c>
    </row>
    <row r="9017" spans="1:20" ht="14.5" x14ac:dyDescent="0.35">
      <c r="A9017" s="10" t="s">
        <v>41175</v>
      </c>
      <c r="B9017" s="10" t="str">
        <f>"9781624910302"</f>
        <v>9781624910302</v>
      </c>
      <c r="C9017" s="10" t="str">
        <f>"9781624910319"</f>
        <v>9781624910319</v>
      </c>
      <c r="D9017" s="10" t="s">
        <v>20156</v>
      </c>
      <c r="E9017" s="10" t="s">
        <v>41165</v>
      </c>
      <c r="F9017" s="10" t="s">
        <v>324</v>
      </c>
      <c r="G9017" s="10" t="s">
        <v>6317</v>
      </c>
      <c r="H9017" s="11">
        <v>41913</v>
      </c>
      <c r="I9017" s="10">
        <v>2014</v>
      </c>
      <c r="J9017" s="10" t="s">
        <v>41165</v>
      </c>
      <c r="K9017" s="10">
        <v>128</v>
      </c>
      <c r="L9017" s="10" t="s">
        <v>41176</v>
      </c>
      <c r="M9017" s="10">
        <v>1</v>
      </c>
      <c r="N9017" s="10"/>
      <c r="O9017" s="10"/>
      <c r="P9017" s="10" t="s">
        <v>30781</v>
      </c>
      <c r="Q9017" s="10" t="s">
        <v>8289</v>
      </c>
      <c r="R9017" s="10" t="s">
        <v>41177</v>
      </c>
      <c r="S9017" s="10" t="s">
        <v>53</v>
      </c>
      <c r="T9017" s="10" t="s">
        <v>54</v>
      </c>
    </row>
    <row r="9018" spans="1:20" ht="14.5" x14ac:dyDescent="0.35">
      <c r="A9018" s="10" t="s">
        <v>41178</v>
      </c>
      <c r="B9018" s="10" t="str">
        <f>"9781421420073"</f>
        <v>9781421420073</v>
      </c>
      <c r="C9018" s="10" t="str">
        <f>"9781421420080"</f>
        <v>9781421420080</v>
      </c>
      <c r="D9018" s="10" t="s">
        <v>884</v>
      </c>
      <c r="E9018" s="10" t="s">
        <v>884</v>
      </c>
      <c r="F9018" s="10" t="s">
        <v>885</v>
      </c>
      <c r="G9018" s="10" t="s">
        <v>6317</v>
      </c>
      <c r="H9018" s="11">
        <v>42444</v>
      </c>
      <c r="I9018" s="10">
        <v>2016</v>
      </c>
      <c r="J9018" s="10" t="s">
        <v>884</v>
      </c>
      <c r="K9018" s="10">
        <v>225</v>
      </c>
      <c r="L9018" s="10" t="s">
        <v>41179</v>
      </c>
      <c r="M9018" s="10">
        <v>1</v>
      </c>
      <c r="N9018" s="10"/>
      <c r="O9018" s="10"/>
      <c r="P9018" s="10" t="s">
        <v>41180</v>
      </c>
      <c r="Q9018" s="10">
        <v>378.04</v>
      </c>
      <c r="R9018" s="10"/>
      <c r="S9018" s="10" t="s">
        <v>53</v>
      </c>
      <c r="T9018" s="10" t="s">
        <v>54</v>
      </c>
    </row>
    <row r="9019" spans="1:20" ht="14.5" x14ac:dyDescent="0.35">
      <c r="A9019" s="10" t="s">
        <v>41181</v>
      </c>
      <c r="B9019" s="10" t="str">
        <f>"9781119107477"</f>
        <v>9781119107477</v>
      </c>
      <c r="C9019" s="10" t="str">
        <f>"9781119107484"</f>
        <v>9781119107484</v>
      </c>
      <c r="D9019" s="10" t="s">
        <v>6322</v>
      </c>
      <c r="E9019" s="10" t="s">
        <v>6323</v>
      </c>
      <c r="F9019" s="10" t="s">
        <v>4423</v>
      </c>
      <c r="G9019" s="10" t="s">
        <v>6352</v>
      </c>
      <c r="H9019" s="11">
        <v>42485</v>
      </c>
      <c r="I9019" s="10">
        <v>2016</v>
      </c>
      <c r="J9019" s="10" t="s">
        <v>25195</v>
      </c>
      <c r="K9019" s="10">
        <v>307</v>
      </c>
      <c r="L9019" s="10" t="s">
        <v>41182</v>
      </c>
      <c r="M9019" s="10">
        <v>1</v>
      </c>
      <c r="N9019" s="10"/>
      <c r="O9019" s="10"/>
      <c r="P9019" s="10"/>
      <c r="Q9019" s="10"/>
      <c r="R9019" s="10" t="s">
        <v>41183</v>
      </c>
      <c r="S9019" s="10" t="s">
        <v>53</v>
      </c>
      <c r="T9019" s="10" t="s">
        <v>8760</v>
      </c>
    </row>
    <row r="9020" spans="1:20" ht="14.5" x14ac:dyDescent="0.35">
      <c r="A9020" s="10" t="s">
        <v>41184</v>
      </c>
      <c r="B9020" s="10" t="str">
        <f>"9781579222536"</f>
        <v>9781579222536</v>
      </c>
      <c r="C9020" s="10" t="str">
        <f>"9781000974522"</f>
        <v>9781000974522</v>
      </c>
      <c r="D9020" s="10" t="s">
        <v>6350</v>
      </c>
      <c r="E9020" s="10" t="s">
        <v>6351</v>
      </c>
      <c r="F9020" s="10" t="s">
        <v>14733</v>
      </c>
      <c r="G9020" s="10" t="s">
        <v>6317</v>
      </c>
      <c r="H9020" s="11">
        <v>39902</v>
      </c>
      <c r="I9020" s="10">
        <v>2009</v>
      </c>
      <c r="J9020" s="10" t="s">
        <v>6353</v>
      </c>
      <c r="K9020" s="10">
        <v>171</v>
      </c>
      <c r="L9020" s="10" t="s">
        <v>41185</v>
      </c>
      <c r="M9020" s="10">
        <v>1</v>
      </c>
      <c r="N9020" s="10" t="s">
        <v>20888</v>
      </c>
      <c r="O9020" s="10"/>
      <c r="P9020" s="10" t="s">
        <v>41186</v>
      </c>
      <c r="Q9020" s="10" t="s">
        <v>41187</v>
      </c>
      <c r="R9020" s="10" t="s">
        <v>41188</v>
      </c>
      <c r="S9020" s="10" t="s">
        <v>53</v>
      </c>
      <c r="T9020" s="10" t="s">
        <v>54</v>
      </c>
    </row>
    <row r="9021" spans="1:20" ht="14.5" x14ac:dyDescent="0.35">
      <c r="A9021" s="10" t="s">
        <v>41189</v>
      </c>
      <c r="B9021" s="10" t="str">
        <f>"9781579222758"</f>
        <v>9781579222758</v>
      </c>
      <c r="C9021" s="10" t="str">
        <f>"9781000974072"</f>
        <v>9781000974072</v>
      </c>
      <c r="D9021" s="10" t="s">
        <v>6350</v>
      </c>
      <c r="E9021" s="10" t="s">
        <v>6351</v>
      </c>
      <c r="F9021" s="10" t="s">
        <v>14733</v>
      </c>
      <c r="G9021" s="10" t="s">
        <v>6317</v>
      </c>
      <c r="H9021" s="11">
        <v>39979</v>
      </c>
      <c r="I9021" s="10">
        <v>2009</v>
      </c>
      <c r="J9021" s="10" t="s">
        <v>6353</v>
      </c>
      <c r="K9021" s="10">
        <v>264</v>
      </c>
      <c r="L9021" s="10" t="s">
        <v>41190</v>
      </c>
      <c r="M9021" s="10">
        <v>1</v>
      </c>
      <c r="N9021" s="10"/>
      <c r="O9021" s="10"/>
      <c r="P9021" s="10" t="s">
        <v>41191</v>
      </c>
      <c r="Q9021" s="10" t="s">
        <v>41192</v>
      </c>
      <c r="R9021" s="10" t="s">
        <v>41193</v>
      </c>
      <c r="S9021" s="10" t="s">
        <v>53</v>
      </c>
      <c r="T9021" s="10" t="s">
        <v>54</v>
      </c>
    </row>
    <row r="9022" spans="1:20" ht="14.5" x14ac:dyDescent="0.35">
      <c r="A9022" s="10" t="s">
        <v>41194</v>
      </c>
      <c r="B9022" s="10" t="str">
        <f>"9781579221423"</f>
        <v>9781579221423</v>
      </c>
      <c r="C9022" s="10" t="str">
        <f>"9781000971583"</f>
        <v>9781000971583</v>
      </c>
      <c r="D9022" s="10" t="s">
        <v>6350</v>
      </c>
      <c r="E9022" s="10" t="s">
        <v>6351</v>
      </c>
      <c r="F9022" s="10" t="s">
        <v>748</v>
      </c>
      <c r="G9022" s="10" t="s">
        <v>6352</v>
      </c>
      <c r="H9022" s="11">
        <v>38891</v>
      </c>
      <c r="I9022" s="10">
        <v>2006</v>
      </c>
      <c r="J9022" s="10" t="s">
        <v>6351</v>
      </c>
      <c r="K9022" s="10">
        <v>176</v>
      </c>
      <c r="L9022" s="10" t="s">
        <v>41195</v>
      </c>
      <c r="M9022" s="10">
        <v>1</v>
      </c>
      <c r="N9022" s="10"/>
      <c r="O9022" s="10"/>
      <c r="P9022" s="10" t="s">
        <v>41196</v>
      </c>
      <c r="Q9022" s="10" t="s">
        <v>15505</v>
      </c>
      <c r="R9022" s="10" t="s">
        <v>41197</v>
      </c>
      <c r="S9022" s="10" t="s">
        <v>53</v>
      </c>
      <c r="T9022" s="10" t="s">
        <v>54</v>
      </c>
    </row>
    <row r="9023" spans="1:20" ht="14.5" x14ac:dyDescent="0.35">
      <c r="A9023" s="10" t="s">
        <v>41198</v>
      </c>
      <c r="B9023" s="10" t="str">
        <f>"9781579222123"</f>
        <v>9781579222123</v>
      </c>
      <c r="C9023" s="10" t="str">
        <f>"9781000971576"</f>
        <v>9781000971576</v>
      </c>
      <c r="D9023" s="10" t="s">
        <v>6350</v>
      </c>
      <c r="E9023" s="10" t="s">
        <v>6351</v>
      </c>
      <c r="F9023" s="10" t="s">
        <v>748</v>
      </c>
      <c r="G9023" s="10" t="s">
        <v>6352</v>
      </c>
      <c r="H9023" s="11">
        <v>39500</v>
      </c>
      <c r="I9023" s="10">
        <v>2008</v>
      </c>
      <c r="J9023" s="10" t="s">
        <v>6351</v>
      </c>
      <c r="K9023" s="10">
        <v>385</v>
      </c>
      <c r="L9023" s="10" t="s">
        <v>41199</v>
      </c>
      <c r="M9023" s="10">
        <v>1</v>
      </c>
      <c r="N9023" s="10"/>
      <c r="O9023" s="10"/>
      <c r="P9023" s="10" t="s">
        <v>41200</v>
      </c>
      <c r="Q9023" s="10">
        <v>620.00710000000004</v>
      </c>
      <c r="R9023" s="10" t="s">
        <v>41201</v>
      </c>
      <c r="S9023" s="10" t="s">
        <v>53</v>
      </c>
      <c r="T9023" s="10" t="s">
        <v>12410</v>
      </c>
    </row>
    <row r="9024" spans="1:20" ht="14.5" x14ac:dyDescent="0.35">
      <c r="A9024" s="10" t="s">
        <v>41202</v>
      </c>
      <c r="B9024" s="10" t="str">
        <f>"9781579228743"</f>
        <v>9781579228743</v>
      </c>
      <c r="C9024" s="10" t="str">
        <f>"9781000971514"</f>
        <v>9781000971514</v>
      </c>
      <c r="D9024" s="10" t="s">
        <v>6350</v>
      </c>
      <c r="E9024" s="10" t="s">
        <v>6351</v>
      </c>
      <c r="F9024" s="10" t="s">
        <v>748</v>
      </c>
      <c r="G9024" s="10" t="s">
        <v>6352</v>
      </c>
      <c r="H9024" s="11">
        <v>41185</v>
      </c>
      <c r="I9024" s="10">
        <v>2012</v>
      </c>
      <c r="J9024" s="10" t="s">
        <v>6351</v>
      </c>
      <c r="K9024" s="10">
        <v>224</v>
      </c>
      <c r="L9024" s="10" t="s">
        <v>41203</v>
      </c>
      <c r="M9024" s="10">
        <v>1</v>
      </c>
      <c r="N9024" s="10"/>
      <c r="O9024" s="10"/>
      <c r="P9024" s="10" t="s">
        <v>41204</v>
      </c>
      <c r="Q9024" s="10" t="s">
        <v>20834</v>
      </c>
      <c r="R9024" s="10" t="s">
        <v>41205</v>
      </c>
      <c r="S9024" s="10" t="s">
        <v>53</v>
      </c>
      <c r="T9024" s="10" t="s">
        <v>54</v>
      </c>
    </row>
    <row r="9025" spans="1:20" ht="14.5" x14ac:dyDescent="0.35">
      <c r="A9025" s="10" t="s">
        <v>41206</v>
      </c>
      <c r="B9025" s="10" t="str">
        <f>"9781579224851"</f>
        <v>9781579224851</v>
      </c>
      <c r="C9025" s="10" t="str">
        <f>"9781000976106"</f>
        <v>9781000976106</v>
      </c>
      <c r="D9025" s="10" t="s">
        <v>6350</v>
      </c>
      <c r="E9025" s="10" t="s">
        <v>6351</v>
      </c>
      <c r="F9025" s="10" t="s">
        <v>748</v>
      </c>
      <c r="G9025" s="10" t="s">
        <v>6352</v>
      </c>
      <c r="H9025" s="11">
        <v>41198</v>
      </c>
      <c r="I9025" s="10">
        <v>2012</v>
      </c>
      <c r="J9025" s="10" t="s">
        <v>6351</v>
      </c>
      <c r="K9025" s="10">
        <v>290</v>
      </c>
      <c r="L9025" s="10" t="s">
        <v>41207</v>
      </c>
      <c r="M9025" s="10">
        <v>1</v>
      </c>
      <c r="N9025" s="10"/>
      <c r="O9025" s="10"/>
      <c r="P9025" s="10" t="s">
        <v>41208</v>
      </c>
      <c r="Q9025" s="10">
        <v>371.3</v>
      </c>
      <c r="R9025" s="10" t="s">
        <v>41209</v>
      </c>
      <c r="S9025" s="10" t="s">
        <v>53</v>
      </c>
      <c r="T9025" s="10" t="s">
        <v>54</v>
      </c>
    </row>
    <row r="9026" spans="1:20" ht="14.5" x14ac:dyDescent="0.35">
      <c r="A9026" s="10" t="s">
        <v>41210</v>
      </c>
      <c r="B9026" s="10" t="str">
        <f>"9781579228910"</f>
        <v>9781579228910</v>
      </c>
      <c r="C9026" s="10" t="str">
        <f>"9781000973686"</f>
        <v>9781000973686</v>
      </c>
      <c r="D9026" s="10" t="s">
        <v>6350</v>
      </c>
      <c r="E9026" s="10" t="s">
        <v>6351</v>
      </c>
      <c r="F9026" s="10" t="s">
        <v>748</v>
      </c>
      <c r="G9026" s="10" t="s">
        <v>6352</v>
      </c>
      <c r="H9026" s="11">
        <v>41934</v>
      </c>
      <c r="I9026" s="10">
        <v>2014</v>
      </c>
      <c r="J9026" s="10" t="s">
        <v>6351</v>
      </c>
      <c r="K9026" s="10">
        <v>152</v>
      </c>
      <c r="L9026" s="10" t="s">
        <v>41211</v>
      </c>
      <c r="M9026" s="10">
        <v>1</v>
      </c>
      <c r="N9026" s="10"/>
      <c r="O9026" s="10"/>
      <c r="P9026" s="10" t="s">
        <v>41212</v>
      </c>
      <c r="Q9026" s="10" t="s">
        <v>20825</v>
      </c>
      <c r="R9026" s="10" t="s">
        <v>41213</v>
      </c>
      <c r="S9026" s="10" t="s">
        <v>53</v>
      </c>
      <c r="T9026" s="10" t="s">
        <v>54</v>
      </c>
    </row>
    <row r="9027" spans="1:20" ht="14.5" x14ac:dyDescent="0.35">
      <c r="A9027" s="10" t="s">
        <v>41214</v>
      </c>
      <c r="B9027" s="10" t="str">
        <f>"9781579228958"</f>
        <v>9781579228958</v>
      </c>
      <c r="C9027" s="10" t="str">
        <f>"9781000975482"</f>
        <v>9781000975482</v>
      </c>
      <c r="D9027" s="10" t="s">
        <v>6350</v>
      </c>
      <c r="E9027" s="10" t="s">
        <v>6351</v>
      </c>
      <c r="F9027" s="10" t="s">
        <v>748</v>
      </c>
      <c r="G9027" s="10" t="s">
        <v>6352</v>
      </c>
      <c r="H9027" s="11">
        <v>42187</v>
      </c>
      <c r="I9027" s="10">
        <v>2015</v>
      </c>
      <c r="J9027" s="10" t="s">
        <v>6351</v>
      </c>
      <c r="K9027" s="10">
        <v>247</v>
      </c>
      <c r="L9027" s="10" t="s">
        <v>41215</v>
      </c>
      <c r="M9027" s="10">
        <v>1</v>
      </c>
      <c r="N9027" s="10"/>
      <c r="O9027" s="10"/>
      <c r="P9027" s="10" t="s">
        <v>41216</v>
      </c>
      <c r="Q9027" s="10" t="s">
        <v>26632</v>
      </c>
      <c r="R9027" s="10" t="s">
        <v>41217</v>
      </c>
      <c r="S9027" s="10" t="s">
        <v>53</v>
      </c>
      <c r="T9027" s="10" t="s">
        <v>54</v>
      </c>
    </row>
    <row r="9028" spans="1:20" ht="14.5" x14ac:dyDescent="0.35">
      <c r="A9028" s="10" t="s">
        <v>41218</v>
      </c>
      <c r="B9028" s="10" t="str">
        <f>"9781579220532"</f>
        <v>9781579220532</v>
      </c>
      <c r="C9028" s="10" t="str">
        <f>"9781000976175"</f>
        <v>9781000976175</v>
      </c>
      <c r="D9028" s="10" t="s">
        <v>6350</v>
      </c>
      <c r="E9028" s="10" t="s">
        <v>6351</v>
      </c>
      <c r="F9028" s="10" t="s">
        <v>14733</v>
      </c>
      <c r="G9028" s="10" t="s">
        <v>6317</v>
      </c>
      <c r="H9028" s="11">
        <v>37530</v>
      </c>
      <c r="I9028" s="10">
        <v>2002</v>
      </c>
      <c r="J9028" s="10" t="s">
        <v>6353</v>
      </c>
      <c r="K9028" s="10">
        <v>283</v>
      </c>
      <c r="L9028" s="10" t="s">
        <v>21006</v>
      </c>
      <c r="M9028" s="10">
        <v>1</v>
      </c>
      <c r="N9028" s="10"/>
      <c r="O9028" s="10"/>
      <c r="P9028" s="10" t="s">
        <v>41219</v>
      </c>
      <c r="Q9028" s="10" t="s">
        <v>6942</v>
      </c>
      <c r="R9028" s="10" t="s">
        <v>41220</v>
      </c>
      <c r="S9028" s="10" t="s">
        <v>53</v>
      </c>
      <c r="T9028" s="10" t="s">
        <v>54</v>
      </c>
    </row>
    <row r="9029" spans="1:20" ht="14.5" x14ac:dyDescent="0.35">
      <c r="A9029" s="10" t="s">
        <v>41221</v>
      </c>
      <c r="B9029" s="10" t="str">
        <f>"9781579222871"</f>
        <v>9781579222871</v>
      </c>
      <c r="C9029" s="10" t="str">
        <f>"9781000973303"</f>
        <v>9781000973303</v>
      </c>
      <c r="D9029" s="10" t="s">
        <v>6350</v>
      </c>
      <c r="E9029" s="10" t="s">
        <v>6351</v>
      </c>
      <c r="F9029" s="10" t="s">
        <v>14733</v>
      </c>
      <c r="G9029" s="10" t="s">
        <v>6317</v>
      </c>
      <c r="H9029" s="11">
        <v>39710</v>
      </c>
      <c r="I9029" s="10">
        <v>2008</v>
      </c>
      <c r="J9029" s="10" t="s">
        <v>6353</v>
      </c>
      <c r="K9029" s="10">
        <v>195</v>
      </c>
      <c r="L9029" s="10" t="s">
        <v>22388</v>
      </c>
      <c r="M9029" s="10">
        <v>1</v>
      </c>
      <c r="N9029" s="10"/>
      <c r="O9029" s="10"/>
      <c r="P9029" s="10" t="s">
        <v>18361</v>
      </c>
      <c r="Q9029" s="10" t="s">
        <v>7307</v>
      </c>
      <c r="R9029" s="10" t="s">
        <v>41222</v>
      </c>
      <c r="S9029" s="10" t="s">
        <v>53</v>
      </c>
      <c r="T9029" s="10" t="s">
        <v>54</v>
      </c>
    </row>
    <row r="9030" spans="1:20" ht="14.5" x14ac:dyDescent="0.35">
      <c r="A9030" s="10" t="s">
        <v>41223</v>
      </c>
      <c r="B9030" s="10" t="str">
        <f>"9781579221065"</f>
        <v>9781579221065</v>
      </c>
      <c r="C9030" s="10" t="str">
        <f>"9781000973310"</f>
        <v>9781000973310</v>
      </c>
      <c r="D9030" s="10" t="s">
        <v>6350</v>
      </c>
      <c r="E9030" s="10" t="s">
        <v>6351</v>
      </c>
      <c r="F9030" s="10" t="s">
        <v>748</v>
      </c>
      <c r="G9030" s="10" t="s">
        <v>6352</v>
      </c>
      <c r="H9030" s="11">
        <v>38722</v>
      </c>
      <c r="I9030" s="10">
        <v>2006</v>
      </c>
      <c r="J9030" s="10" t="s">
        <v>6351</v>
      </c>
      <c r="K9030" s="10">
        <v>346</v>
      </c>
      <c r="L9030" s="10" t="s">
        <v>41224</v>
      </c>
      <c r="M9030" s="10">
        <v>1</v>
      </c>
      <c r="N9030" s="10"/>
      <c r="O9030" s="10"/>
      <c r="P9030" s="10"/>
      <c r="Q9030" s="10" t="s">
        <v>41225</v>
      </c>
      <c r="R9030" s="10" t="s">
        <v>40319</v>
      </c>
      <c r="S9030" s="10" t="s">
        <v>53</v>
      </c>
      <c r="T9030" s="10" t="s">
        <v>54</v>
      </c>
    </row>
    <row r="9031" spans="1:20" ht="14.5" x14ac:dyDescent="0.35">
      <c r="A9031" s="10" t="s">
        <v>41226</v>
      </c>
      <c r="B9031" s="10" t="str">
        <f>"9781579221805"</f>
        <v>9781579221805</v>
      </c>
      <c r="C9031" s="10" t="str">
        <f>"9781000972085"</f>
        <v>9781000972085</v>
      </c>
      <c r="D9031" s="10" t="s">
        <v>6350</v>
      </c>
      <c r="E9031" s="10" t="s">
        <v>6351</v>
      </c>
      <c r="F9031" s="10" t="s">
        <v>41227</v>
      </c>
      <c r="G9031" s="10" t="s">
        <v>6317</v>
      </c>
      <c r="H9031" s="11">
        <v>39149</v>
      </c>
      <c r="I9031" s="10">
        <v>2007</v>
      </c>
      <c r="J9031" s="10" t="s">
        <v>6353</v>
      </c>
      <c r="K9031" s="10">
        <v>432</v>
      </c>
      <c r="L9031" s="10" t="s">
        <v>41228</v>
      </c>
      <c r="M9031" s="10">
        <v>1</v>
      </c>
      <c r="N9031" s="10"/>
      <c r="O9031" s="10"/>
      <c r="P9031" s="10" t="s">
        <v>41229</v>
      </c>
      <c r="Q9031" s="10" t="s">
        <v>17825</v>
      </c>
      <c r="R9031" s="10" t="s">
        <v>33252</v>
      </c>
      <c r="S9031" s="10" t="s">
        <v>53</v>
      </c>
      <c r="T9031" s="10" t="s">
        <v>54</v>
      </c>
    </row>
    <row r="9032" spans="1:20" ht="14.5" x14ac:dyDescent="0.35">
      <c r="A9032" s="10" t="s">
        <v>41230</v>
      </c>
      <c r="B9032" s="10" t="str">
        <f>"9781579223540"</f>
        <v>9781579223540</v>
      </c>
      <c r="C9032" s="10" t="str">
        <f>"9781000975215"</f>
        <v>9781000975215</v>
      </c>
      <c r="D9032" s="10" t="s">
        <v>6350</v>
      </c>
      <c r="E9032" s="10" t="s">
        <v>6351</v>
      </c>
      <c r="F9032" s="10" t="s">
        <v>41227</v>
      </c>
      <c r="G9032" s="10" t="s">
        <v>6317</v>
      </c>
      <c r="H9032" s="11">
        <v>39902</v>
      </c>
      <c r="I9032" s="10">
        <v>2009</v>
      </c>
      <c r="J9032" s="10" t="s">
        <v>6353</v>
      </c>
      <c r="K9032" s="10">
        <v>369</v>
      </c>
      <c r="L9032" s="10" t="s">
        <v>41231</v>
      </c>
      <c r="M9032" s="10">
        <v>1</v>
      </c>
      <c r="N9032" s="10"/>
      <c r="O9032" s="10"/>
      <c r="P9032" s="10" t="s">
        <v>41232</v>
      </c>
      <c r="Q9032" s="10" t="s">
        <v>10335</v>
      </c>
      <c r="R9032" s="10" t="s">
        <v>41233</v>
      </c>
      <c r="S9032" s="10" t="s">
        <v>53</v>
      </c>
      <c r="T9032" s="10" t="s">
        <v>13459</v>
      </c>
    </row>
    <row r="9033" spans="1:20" ht="14.5" x14ac:dyDescent="0.35">
      <c r="A9033" s="10" t="s">
        <v>41234</v>
      </c>
      <c r="B9033" s="10" t="str">
        <f>"9781579220686"</f>
        <v>9781579220686</v>
      </c>
      <c r="C9033" s="10" t="str">
        <f>"9781000971750"</f>
        <v>9781000971750</v>
      </c>
      <c r="D9033" s="10" t="s">
        <v>6350</v>
      </c>
      <c r="E9033" s="10" t="s">
        <v>6351</v>
      </c>
      <c r="F9033" s="10" t="s">
        <v>14733</v>
      </c>
      <c r="G9033" s="10" t="s">
        <v>6317</v>
      </c>
      <c r="H9033" s="11">
        <v>37994</v>
      </c>
      <c r="I9033" s="10">
        <v>2004</v>
      </c>
      <c r="J9033" s="10" t="s">
        <v>6353</v>
      </c>
      <c r="K9033" s="10">
        <v>174</v>
      </c>
      <c r="L9033" s="10" t="s">
        <v>41235</v>
      </c>
      <c r="M9033" s="10">
        <v>2</v>
      </c>
      <c r="N9033" s="10"/>
      <c r="O9033" s="10"/>
      <c r="P9033" s="10" t="s">
        <v>41236</v>
      </c>
      <c r="Q9033" s="10" t="s">
        <v>41237</v>
      </c>
      <c r="R9033" s="10" t="s">
        <v>41238</v>
      </c>
      <c r="S9033" s="10" t="s">
        <v>53</v>
      </c>
      <c r="T9033" s="10" t="s">
        <v>54</v>
      </c>
    </row>
    <row r="9034" spans="1:20" ht="14.5" x14ac:dyDescent="0.35">
      <c r="A9034" s="10" t="s">
        <v>41239</v>
      </c>
      <c r="B9034" s="10" t="str">
        <f>"9781563770111"</f>
        <v>9781563770111</v>
      </c>
      <c r="C9034" s="10" t="str">
        <f>"9781000972672"</f>
        <v>9781000972672</v>
      </c>
      <c r="D9034" s="10" t="s">
        <v>6350</v>
      </c>
      <c r="E9034" s="10" t="s">
        <v>6351</v>
      </c>
      <c r="F9034" s="10" t="s">
        <v>14733</v>
      </c>
      <c r="G9034" s="10" t="s">
        <v>6317</v>
      </c>
      <c r="H9034" s="11">
        <v>35431</v>
      </c>
      <c r="I9034" s="10">
        <v>1997</v>
      </c>
      <c r="J9034" s="10" t="s">
        <v>6353</v>
      </c>
      <c r="K9034" s="10">
        <v>271</v>
      </c>
      <c r="L9034" s="10" t="s">
        <v>41240</v>
      </c>
      <c r="M9034" s="10">
        <v>1</v>
      </c>
      <c r="N9034" s="10" t="s">
        <v>20888</v>
      </c>
      <c r="O9034" s="10"/>
      <c r="P9034" s="10" t="s">
        <v>41241</v>
      </c>
      <c r="Q9034" s="10">
        <v>361.37</v>
      </c>
      <c r="R9034" s="10" t="s">
        <v>41242</v>
      </c>
      <c r="S9034" s="10" t="s">
        <v>53</v>
      </c>
      <c r="T9034" s="10" t="s">
        <v>6526</v>
      </c>
    </row>
    <row r="9035" spans="1:20" ht="14.5" x14ac:dyDescent="0.35">
      <c r="A9035" s="10" t="s">
        <v>41243</v>
      </c>
      <c r="B9035" s="10" t="str">
        <f>"9781579221201"</f>
        <v>9781579221201</v>
      </c>
      <c r="C9035" s="10" t="str">
        <f>"9781000974935"</f>
        <v>9781000974935</v>
      </c>
      <c r="D9035" s="10" t="s">
        <v>6350</v>
      </c>
      <c r="E9035" s="10" t="s">
        <v>6351</v>
      </c>
      <c r="F9035" s="10" t="s">
        <v>748</v>
      </c>
      <c r="G9035" s="10" t="s">
        <v>6352</v>
      </c>
      <c r="H9035" s="11">
        <v>38677</v>
      </c>
      <c r="I9035" s="10">
        <v>2005</v>
      </c>
      <c r="J9035" s="10" t="s">
        <v>6351</v>
      </c>
      <c r="K9035" s="10">
        <v>345</v>
      </c>
      <c r="L9035" s="10" t="s">
        <v>41244</v>
      </c>
      <c r="M9035" s="10">
        <v>1</v>
      </c>
      <c r="N9035" s="10"/>
      <c r="O9035" s="10"/>
      <c r="P9035" s="10"/>
      <c r="Q9035" s="10"/>
      <c r="R9035" s="10" t="s">
        <v>41245</v>
      </c>
      <c r="S9035" s="10" t="s">
        <v>53</v>
      </c>
      <c r="T9035" s="10" t="s">
        <v>54</v>
      </c>
    </row>
    <row r="9036" spans="1:20" ht="14.5" x14ac:dyDescent="0.35">
      <c r="A9036" s="10" t="s">
        <v>41246</v>
      </c>
      <c r="B9036" s="10" t="str">
        <f>""</f>
        <v/>
      </c>
      <c r="C9036" s="10" t="str">
        <f>"9781000973518"</f>
        <v>9781000973518</v>
      </c>
      <c r="D9036" s="10" t="s">
        <v>6350</v>
      </c>
      <c r="E9036" s="10" t="s">
        <v>6350</v>
      </c>
      <c r="F9036" s="10" t="s">
        <v>14733</v>
      </c>
      <c r="G9036" s="10" t="s">
        <v>6317</v>
      </c>
      <c r="H9036" s="11">
        <v>37073</v>
      </c>
      <c r="I9036" s="10">
        <v>2001</v>
      </c>
      <c r="J9036" s="10" t="s">
        <v>6353</v>
      </c>
      <c r="K9036" s="10">
        <v>314</v>
      </c>
      <c r="L9036" s="10" t="s">
        <v>41247</v>
      </c>
      <c r="M9036" s="10">
        <v>1</v>
      </c>
      <c r="N9036" s="10"/>
      <c r="O9036" s="10"/>
      <c r="P9036" s="10" t="s">
        <v>41248</v>
      </c>
      <c r="Q9036" s="10" t="s">
        <v>11653</v>
      </c>
      <c r="R9036" s="10" t="s">
        <v>41249</v>
      </c>
      <c r="S9036" s="10" t="s">
        <v>53</v>
      </c>
      <c r="T9036" s="10" t="s">
        <v>54</v>
      </c>
    </row>
    <row r="9037" spans="1:20" ht="14.5" x14ac:dyDescent="0.35">
      <c r="A9037" s="10" t="s">
        <v>41250</v>
      </c>
      <c r="B9037" s="10" t="str">
        <f>"9781563770166"</f>
        <v>9781563770166</v>
      </c>
      <c r="C9037" s="10" t="str">
        <f>"9781000974492"</f>
        <v>9781000974492</v>
      </c>
      <c r="D9037" s="10" t="s">
        <v>6350</v>
      </c>
      <c r="E9037" s="10" t="s">
        <v>6351</v>
      </c>
      <c r="F9037" s="10" t="s">
        <v>14733</v>
      </c>
      <c r="G9037" s="10" t="s">
        <v>6317</v>
      </c>
      <c r="H9037" s="11">
        <v>36526</v>
      </c>
      <c r="I9037" s="10">
        <v>2000</v>
      </c>
      <c r="J9037" s="10" t="s">
        <v>6353</v>
      </c>
      <c r="K9037" s="10">
        <v>235</v>
      </c>
      <c r="L9037" s="10" t="s">
        <v>41251</v>
      </c>
      <c r="M9037" s="10">
        <v>1</v>
      </c>
      <c r="N9037" s="10" t="s">
        <v>20888</v>
      </c>
      <c r="O9037" s="10"/>
      <c r="P9037" s="10" t="s">
        <v>41252</v>
      </c>
      <c r="Q9037" s="10">
        <v>378.10300000000001</v>
      </c>
      <c r="R9037" s="10" t="s">
        <v>41253</v>
      </c>
      <c r="S9037" s="10" t="s">
        <v>53</v>
      </c>
      <c r="T9037" s="10" t="s">
        <v>12015</v>
      </c>
    </row>
    <row r="9038" spans="1:20" ht="14.5" x14ac:dyDescent="0.35">
      <c r="A9038" s="10" t="s">
        <v>41254</v>
      </c>
      <c r="B9038" s="10" t="str">
        <f>"9781563770098"</f>
        <v>9781563770098</v>
      </c>
      <c r="C9038" s="10" t="str">
        <f>"9781000971897"</f>
        <v>9781000971897</v>
      </c>
      <c r="D9038" s="10" t="s">
        <v>6350</v>
      </c>
      <c r="E9038" s="10" t="s">
        <v>6351</v>
      </c>
      <c r="F9038" s="10" t="s">
        <v>14733</v>
      </c>
      <c r="G9038" s="10" t="s">
        <v>6317</v>
      </c>
      <c r="H9038" s="11">
        <v>35796</v>
      </c>
      <c r="I9038" s="10">
        <v>1998</v>
      </c>
      <c r="J9038" s="10" t="s">
        <v>6353</v>
      </c>
      <c r="K9038" s="10">
        <v>200</v>
      </c>
      <c r="L9038" s="10" t="s">
        <v>41255</v>
      </c>
      <c r="M9038" s="10">
        <v>1</v>
      </c>
      <c r="N9038" s="10" t="s">
        <v>20888</v>
      </c>
      <c r="O9038" s="10"/>
      <c r="P9038" s="10" t="s">
        <v>41256</v>
      </c>
      <c r="Q9038" s="10">
        <v>610.73</v>
      </c>
      <c r="R9038" s="10" t="s">
        <v>41257</v>
      </c>
      <c r="S9038" s="10" t="s">
        <v>53</v>
      </c>
      <c r="T9038" s="10" t="s">
        <v>10932</v>
      </c>
    </row>
    <row r="9039" spans="1:20" ht="14.5" x14ac:dyDescent="0.35">
      <c r="A9039" s="10" t="s">
        <v>41258</v>
      </c>
      <c r="B9039" s="10" t="str">
        <f>"9781579220600"</f>
        <v>9781579220600</v>
      </c>
      <c r="C9039" s="10" t="str">
        <f>"9781000973785"</f>
        <v>9781000973785</v>
      </c>
      <c r="D9039" s="10" t="s">
        <v>6350</v>
      </c>
      <c r="E9039" s="10" t="s">
        <v>6351</v>
      </c>
      <c r="F9039" s="10" t="s">
        <v>748</v>
      </c>
      <c r="G9039" s="10" t="s">
        <v>6352</v>
      </c>
      <c r="H9039" s="11">
        <v>39114</v>
      </c>
      <c r="I9039" s="10">
        <v>2007</v>
      </c>
      <c r="J9039" s="10" t="s">
        <v>6351</v>
      </c>
      <c r="K9039" s="10">
        <v>143</v>
      </c>
      <c r="L9039" s="10" t="s">
        <v>41259</v>
      </c>
      <c r="M9039" s="10">
        <v>1</v>
      </c>
      <c r="N9039" s="10"/>
      <c r="O9039" s="10"/>
      <c r="P9039" s="10" t="s">
        <v>41260</v>
      </c>
      <c r="Q9039" s="10" t="s">
        <v>8223</v>
      </c>
      <c r="R9039" s="10" t="s">
        <v>41261</v>
      </c>
      <c r="S9039" s="10" t="s">
        <v>53</v>
      </c>
      <c r="T9039" s="10" t="s">
        <v>54</v>
      </c>
    </row>
    <row r="9040" spans="1:20" ht="14.5" x14ac:dyDescent="0.35">
      <c r="A9040" s="10" t="s">
        <v>41262</v>
      </c>
      <c r="B9040" s="10" t="str">
        <f>"9781563770203"</f>
        <v>9781563770203</v>
      </c>
      <c r="C9040" s="10" t="str">
        <f>"9781000974881"</f>
        <v>9781000974881</v>
      </c>
      <c r="D9040" s="10" t="s">
        <v>6350</v>
      </c>
      <c r="E9040" s="10" t="s">
        <v>6351</v>
      </c>
      <c r="F9040" s="10" t="s">
        <v>14733</v>
      </c>
      <c r="G9040" s="10" t="s">
        <v>6317</v>
      </c>
      <c r="H9040" s="11">
        <v>36526</v>
      </c>
      <c r="I9040" s="10">
        <v>2012</v>
      </c>
      <c r="J9040" s="10" t="s">
        <v>6353</v>
      </c>
      <c r="K9040" s="10">
        <v>220</v>
      </c>
      <c r="L9040" s="10" t="s">
        <v>41263</v>
      </c>
      <c r="M9040" s="10">
        <v>1</v>
      </c>
      <c r="N9040" s="10" t="s">
        <v>20888</v>
      </c>
      <c r="O9040" s="10"/>
      <c r="P9040" s="10" t="s">
        <v>41264</v>
      </c>
      <c r="Q9040" s="10" t="s">
        <v>41265</v>
      </c>
      <c r="R9040" s="10" t="s">
        <v>41266</v>
      </c>
      <c r="S9040" s="10" t="s">
        <v>53</v>
      </c>
      <c r="T9040" s="10" t="s">
        <v>9857</v>
      </c>
    </row>
    <row r="9041" spans="1:20" ht="14.5" x14ac:dyDescent="0.35">
      <c r="A9041" s="10" t="s">
        <v>41267</v>
      </c>
      <c r="B9041" s="10" t="str">
        <f>"9781579221249"</f>
        <v>9781579221249</v>
      </c>
      <c r="C9041" s="10" t="str">
        <f>"9781000971804"</f>
        <v>9781000971804</v>
      </c>
      <c r="D9041" s="10" t="s">
        <v>6350</v>
      </c>
      <c r="E9041" s="10" t="s">
        <v>6351</v>
      </c>
      <c r="F9041" s="10" t="s">
        <v>748</v>
      </c>
      <c r="G9041" s="10" t="s">
        <v>6352</v>
      </c>
      <c r="H9041" s="11">
        <v>39173</v>
      </c>
      <c r="I9041" s="10">
        <v>2007</v>
      </c>
      <c r="J9041" s="10" t="s">
        <v>6351</v>
      </c>
      <c r="K9041" s="10">
        <v>307</v>
      </c>
      <c r="L9041" s="10" t="s">
        <v>41268</v>
      </c>
      <c r="M9041" s="10">
        <v>1</v>
      </c>
      <c r="N9041" s="10"/>
      <c r="O9041" s="10"/>
      <c r="P9041" s="10"/>
      <c r="Q9041" s="10"/>
      <c r="R9041" s="10" t="s">
        <v>41269</v>
      </c>
      <c r="S9041" s="10" t="s">
        <v>53</v>
      </c>
      <c r="T9041" s="10" t="s">
        <v>54</v>
      </c>
    </row>
    <row r="9042" spans="1:20" ht="14.5" x14ac:dyDescent="0.35">
      <c r="A9042" s="10" t="s">
        <v>41270</v>
      </c>
      <c r="B9042" s="10" t="str">
        <f>"9781579221942"</f>
        <v>9781579221942</v>
      </c>
      <c r="C9042" s="10" t="str">
        <f>"9781000971989"</f>
        <v>9781000971989</v>
      </c>
      <c r="D9042" s="10" t="s">
        <v>6350</v>
      </c>
      <c r="E9042" s="10" t="s">
        <v>6351</v>
      </c>
      <c r="F9042" s="10" t="s">
        <v>14733</v>
      </c>
      <c r="G9042" s="10" t="s">
        <v>6317</v>
      </c>
      <c r="H9042" s="11">
        <v>39237</v>
      </c>
      <c r="I9042" s="10">
        <v>2007</v>
      </c>
      <c r="J9042" s="10" t="s">
        <v>6353</v>
      </c>
      <c r="K9042" s="10">
        <v>288</v>
      </c>
      <c r="L9042" s="10" t="s">
        <v>41271</v>
      </c>
      <c r="M9042" s="10">
        <v>1</v>
      </c>
      <c r="N9042" s="10"/>
      <c r="O9042" s="10"/>
      <c r="P9042" s="10" t="s">
        <v>41272</v>
      </c>
      <c r="Q9042" s="10" t="s">
        <v>41273</v>
      </c>
      <c r="R9042" s="10" t="s">
        <v>32033</v>
      </c>
      <c r="S9042" s="10" t="s">
        <v>53</v>
      </c>
      <c r="T9042" s="10" t="s">
        <v>54</v>
      </c>
    </row>
    <row r="9043" spans="1:20" ht="14.5" x14ac:dyDescent="0.35">
      <c r="A9043" s="10" t="s">
        <v>41274</v>
      </c>
      <c r="B9043" s="10" t="str">
        <f>"9781579222734"</f>
        <v>9781579222734</v>
      </c>
      <c r="C9043" s="10" t="str">
        <f>"9781000972986"</f>
        <v>9781000972986</v>
      </c>
      <c r="D9043" s="10" t="s">
        <v>6350</v>
      </c>
      <c r="E9043" s="10" t="s">
        <v>6351</v>
      </c>
      <c r="F9043" s="10" t="s">
        <v>748</v>
      </c>
      <c r="G9043" s="10" t="s">
        <v>6352</v>
      </c>
      <c r="H9043" s="11">
        <v>39787</v>
      </c>
      <c r="I9043" s="10">
        <v>2008</v>
      </c>
      <c r="J9043" s="10" t="s">
        <v>6351</v>
      </c>
      <c r="K9043" s="10">
        <v>171</v>
      </c>
      <c r="L9043" s="10" t="s">
        <v>41275</v>
      </c>
      <c r="M9043" s="10">
        <v>1</v>
      </c>
      <c r="N9043" s="10"/>
      <c r="O9043" s="10"/>
      <c r="P9043" s="10" t="s">
        <v>41276</v>
      </c>
      <c r="Q9043" s="10" t="s">
        <v>9584</v>
      </c>
      <c r="R9043" s="10" t="s">
        <v>41277</v>
      </c>
      <c r="S9043" s="10" t="s">
        <v>53</v>
      </c>
      <c r="T9043" s="10" t="s">
        <v>54</v>
      </c>
    </row>
    <row r="9044" spans="1:20" ht="14.5" x14ac:dyDescent="0.35">
      <c r="A9044" s="10" t="s">
        <v>41278</v>
      </c>
      <c r="B9044" s="10" t="str">
        <f>"9781579223304"</f>
        <v>9781579223304</v>
      </c>
      <c r="C9044" s="10" t="str">
        <f>"9781000971682"</f>
        <v>9781000971682</v>
      </c>
      <c r="D9044" s="10" t="s">
        <v>6350</v>
      </c>
      <c r="E9044" s="10" t="s">
        <v>6351</v>
      </c>
      <c r="F9044" s="10" t="s">
        <v>14733</v>
      </c>
      <c r="G9044" s="10" t="s">
        <v>6317</v>
      </c>
      <c r="H9044" s="11">
        <v>39986</v>
      </c>
      <c r="I9044" s="10">
        <v>2009</v>
      </c>
      <c r="J9044" s="10" t="s">
        <v>6353</v>
      </c>
      <c r="K9044" s="10">
        <v>201</v>
      </c>
      <c r="L9044" s="10" t="s">
        <v>41279</v>
      </c>
      <c r="M9044" s="10">
        <v>1</v>
      </c>
      <c r="N9044" s="10"/>
      <c r="O9044" s="10"/>
      <c r="P9044" s="10" t="s">
        <v>41280</v>
      </c>
      <c r="Q9044" s="10" t="s">
        <v>15847</v>
      </c>
      <c r="R9044" s="10" t="s">
        <v>41281</v>
      </c>
      <c r="S9044" s="10" t="s">
        <v>53</v>
      </c>
      <c r="T9044" s="10" t="s">
        <v>54</v>
      </c>
    </row>
    <row r="9045" spans="1:20" ht="14.5" x14ac:dyDescent="0.35">
      <c r="A9045" s="10" t="s">
        <v>41282</v>
      </c>
      <c r="B9045" s="10" t="str">
        <f>"9781579221102"</f>
        <v>9781579221102</v>
      </c>
      <c r="C9045" s="10" t="str">
        <f>"9781000975475"</f>
        <v>9781000975475</v>
      </c>
      <c r="D9045" s="10" t="s">
        <v>6350</v>
      </c>
      <c r="E9045" s="10" t="s">
        <v>6351</v>
      </c>
      <c r="F9045" s="10" t="s">
        <v>14733</v>
      </c>
      <c r="G9045" s="10" t="s">
        <v>6317</v>
      </c>
      <c r="H9045" s="11">
        <v>38961</v>
      </c>
      <c r="I9045" s="10">
        <v>2006</v>
      </c>
      <c r="J9045" s="10" t="s">
        <v>6353</v>
      </c>
      <c r="K9045" s="10">
        <v>285</v>
      </c>
      <c r="L9045" s="10" t="s">
        <v>41283</v>
      </c>
      <c r="M9045" s="10">
        <v>1</v>
      </c>
      <c r="N9045" s="10"/>
      <c r="O9045" s="10"/>
      <c r="P9045" s="10" t="s">
        <v>41284</v>
      </c>
      <c r="Q9045" s="10" t="s">
        <v>41285</v>
      </c>
      <c r="R9045" s="10" t="s">
        <v>41286</v>
      </c>
      <c r="S9045" s="10" t="s">
        <v>53</v>
      </c>
      <c r="T9045" s="10" t="s">
        <v>54</v>
      </c>
    </row>
    <row r="9046" spans="1:20" ht="14.5" x14ac:dyDescent="0.35">
      <c r="A9046" s="10" t="s">
        <v>41287</v>
      </c>
      <c r="B9046" s="10" t="str">
        <f>"9781579220785"</f>
        <v>9781579220785</v>
      </c>
      <c r="C9046" s="10" t="str">
        <f>"9781000975222"</f>
        <v>9781000975222</v>
      </c>
      <c r="D9046" s="10" t="s">
        <v>6350</v>
      </c>
      <c r="E9046" s="10" t="s">
        <v>6351</v>
      </c>
      <c r="F9046" s="10" t="s">
        <v>748</v>
      </c>
      <c r="G9046" s="10" t="s">
        <v>6352</v>
      </c>
      <c r="H9046" s="11">
        <v>37895</v>
      </c>
      <c r="I9046" s="10">
        <v>2003</v>
      </c>
      <c r="J9046" s="10" t="s">
        <v>6351</v>
      </c>
      <c r="K9046" s="10">
        <v>305</v>
      </c>
      <c r="L9046" s="10" t="s">
        <v>41288</v>
      </c>
      <c r="M9046" s="10">
        <v>1</v>
      </c>
      <c r="N9046" s="10"/>
      <c r="O9046" s="10"/>
      <c r="P9046" s="10" t="s">
        <v>41289</v>
      </c>
      <c r="Q9046" s="10" t="s">
        <v>8734</v>
      </c>
      <c r="R9046" s="10" t="s">
        <v>41290</v>
      </c>
      <c r="S9046" s="10" t="s">
        <v>53</v>
      </c>
      <c r="T9046" s="10" t="s">
        <v>54</v>
      </c>
    </row>
    <row r="9047" spans="1:20" ht="14.5" x14ac:dyDescent="0.35">
      <c r="A9047" s="10" t="s">
        <v>41291</v>
      </c>
      <c r="B9047" s="10" t="str">
        <f>"9781563770081"</f>
        <v>9781563770081</v>
      </c>
      <c r="C9047" s="10" t="str">
        <f>"9781000973662"</f>
        <v>9781000973662</v>
      </c>
      <c r="D9047" s="10" t="s">
        <v>6350</v>
      </c>
      <c r="E9047" s="10" t="s">
        <v>6351</v>
      </c>
      <c r="F9047" s="10" t="s">
        <v>14733</v>
      </c>
      <c r="G9047" s="10" t="s">
        <v>6317</v>
      </c>
      <c r="H9047" s="11">
        <v>35796</v>
      </c>
      <c r="I9047" s="10">
        <v>1998</v>
      </c>
      <c r="J9047" s="10" t="s">
        <v>6353</v>
      </c>
      <c r="K9047" s="10">
        <v>239</v>
      </c>
      <c r="L9047" s="10" t="s">
        <v>41292</v>
      </c>
      <c r="M9047" s="10">
        <v>1</v>
      </c>
      <c r="N9047" s="10" t="s">
        <v>20888</v>
      </c>
      <c r="O9047" s="10"/>
      <c r="P9047" s="10" t="s">
        <v>41293</v>
      </c>
      <c r="Q9047" s="10">
        <v>657</v>
      </c>
      <c r="R9047" s="10" t="s">
        <v>41294</v>
      </c>
      <c r="S9047" s="10" t="s">
        <v>53</v>
      </c>
      <c r="T9047" s="10" t="s">
        <v>6660</v>
      </c>
    </row>
    <row r="9048" spans="1:20" ht="14.5" x14ac:dyDescent="0.35">
      <c r="A9048" s="10" t="s">
        <v>41295</v>
      </c>
      <c r="B9048" s="10" t="str">
        <f>"9781579221867"</f>
        <v>9781579221867</v>
      </c>
      <c r="C9048" s="10" t="str">
        <f>"9781000973808"</f>
        <v>9781000973808</v>
      </c>
      <c r="D9048" s="10" t="s">
        <v>6350</v>
      </c>
      <c r="E9048" s="10" t="s">
        <v>6351</v>
      </c>
      <c r="F9048" s="10" t="s">
        <v>748</v>
      </c>
      <c r="G9048" s="10" t="s">
        <v>6352</v>
      </c>
      <c r="H9048" s="11">
        <v>39052</v>
      </c>
      <c r="I9048" s="10">
        <v>2006</v>
      </c>
      <c r="J9048" s="10" t="s">
        <v>6351</v>
      </c>
      <c r="K9048" s="10">
        <v>309</v>
      </c>
      <c r="L9048" s="10" t="s">
        <v>41296</v>
      </c>
      <c r="M9048" s="10">
        <v>1</v>
      </c>
      <c r="N9048" s="10"/>
      <c r="O9048" s="10"/>
      <c r="P9048" s="10" t="s">
        <v>41297</v>
      </c>
      <c r="Q9048" s="10">
        <v>370.11700000000002</v>
      </c>
      <c r="R9048" s="10" t="s">
        <v>41298</v>
      </c>
      <c r="S9048" s="10" t="s">
        <v>53</v>
      </c>
      <c r="T9048" s="10" t="s">
        <v>54</v>
      </c>
    </row>
    <row r="9049" spans="1:20" ht="14.5" x14ac:dyDescent="0.35">
      <c r="A9049" s="10" t="s">
        <v>41299</v>
      </c>
      <c r="B9049" s="10" t="str">
        <f>"9781579222420"</f>
        <v>9781579222420</v>
      </c>
      <c r="C9049" s="10" t="str">
        <f>"9781000975079"</f>
        <v>9781000975079</v>
      </c>
      <c r="D9049" s="10" t="s">
        <v>6350</v>
      </c>
      <c r="E9049" s="10" t="s">
        <v>6351</v>
      </c>
      <c r="F9049" s="10" t="s">
        <v>748</v>
      </c>
      <c r="G9049" s="10" t="s">
        <v>6352</v>
      </c>
      <c r="H9049" s="11">
        <v>39661</v>
      </c>
      <c r="I9049" s="10">
        <v>2008</v>
      </c>
      <c r="J9049" s="10" t="s">
        <v>6351</v>
      </c>
      <c r="K9049" s="10">
        <v>285</v>
      </c>
      <c r="L9049" s="10" t="s">
        <v>41300</v>
      </c>
      <c r="M9049" s="10">
        <v>1</v>
      </c>
      <c r="N9049" s="10"/>
      <c r="O9049" s="10"/>
      <c r="P9049" s="10" t="s">
        <v>41301</v>
      </c>
      <c r="Q9049" s="10" t="s">
        <v>10427</v>
      </c>
      <c r="R9049" s="10" t="s">
        <v>41302</v>
      </c>
      <c r="S9049" s="10" t="s">
        <v>53</v>
      </c>
      <c r="T9049" s="10" t="s">
        <v>54</v>
      </c>
    </row>
    <row r="9050" spans="1:20" ht="14.5" x14ac:dyDescent="0.35">
      <c r="A9050" s="10" t="s">
        <v>41303</v>
      </c>
      <c r="B9050" s="10" t="str">
        <f>"9781579220464"</f>
        <v>9781579220464</v>
      </c>
      <c r="C9050" s="10" t="str">
        <f>"9781000972771"</f>
        <v>9781000972771</v>
      </c>
      <c r="D9050" s="10" t="s">
        <v>6350</v>
      </c>
      <c r="E9050" s="10" t="s">
        <v>6351</v>
      </c>
      <c r="F9050" s="10" t="s">
        <v>3967</v>
      </c>
      <c r="G9050" s="10" t="s">
        <v>6352</v>
      </c>
      <c r="H9050" s="11">
        <v>38048</v>
      </c>
      <c r="I9050" s="10">
        <v>2004</v>
      </c>
      <c r="J9050" s="10" t="s">
        <v>6353</v>
      </c>
      <c r="K9050" s="10">
        <v>287</v>
      </c>
      <c r="L9050" s="10" t="s">
        <v>41304</v>
      </c>
      <c r="M9050" s="10">
        <v>1</v>
      </c>
      <c r="N9050" s="10"/>
      <c r="O9050" s="10"/>
      <c r="P9050" s="10"/>
      <c r="Q9050" s="10"/>
      <c r="R9050" s="10" t="s">
        <v>41305</v>
      </c>
      <c r="S9050" s="10" t="s">
        <v>53</v>
      </c>
      <c r="T9050" s="10" t="s">
        <v>54</v>
      </c>
    </row>
    <row r="9051" spans="1:20" ht="14.5" x14ac:dyDescent="0.35">
      <c r="A9051" s="10" t="s">
        <v>41306</v>
      </c>
      <c r="B9051" s="10" t="str">
        <f>"9781579222833"</f>
        <v>9781579222833</v>
      </c>
      <c r="C9051" s="10" t="str">
        <f>"9781000972641"</f>
        <v>9781000972641</v>
      </c>
      <c r="D9051" s="10" t="s">
        <v>6350</v>
      </c>
      <c r="E9051" s="10" t="s">
        <v>6351</v>
      </c>
      <c r="F9051" s="10" t="s">
        <v>14733</v>
      </c>
      <c r="G9051" s="10" t="s">
        <v>6317</v>
      </c>
      <c r="H9051" s="11">
        <v>39875</v>
      </c>
      <c r="I9051" s="10">
        <v>2009</v>
      </c>
      <c r="J9051" s="10" t="s">
        <v>6353</v>
      </c>
      <c r="K9051" s="10">
        <v>252</v>
      </c>
      <c r="L9051" s="10" t="s">
        <v>41307</v>
      </c>
      <c r="M9051" s="10">
        <v>1</v>
      </c>
      <c r="N9051" s="10" t="s">
        <v>41308</v>
      </c>
      <c r="O9051" s="10"/>
      <c r="P9051" s="10" t="s">
        <v>41309</v>
      </c>
      <c r="Q9051" s="10" t="s">
        <v>9584</v>
      </c>
      <c r="R9051" s="10" t="s">
        <v>41310</v>
      </c>
      <c r="S9051" s="10" t="s">
        <v>53</v>
      </c>
      <c r="T9051" s="10" t="s">
        <v>54</v>
      </c>
    </row>
    <row r="9052" spans="1:20" ht="14.5" x14ac:dyDescent="0.35">
      <c r="A9052" s="10" t="s">
        <v>41311</v>
      </c>
      <c r="B9052" s="10" t="str">
        <f>"9781579222116"</f>
        <v>9781579222116</v>
      </c>
      <c r="C9052" s="10" t="str">
        <f>"9781000975680"</f>
        <v>9781000975680</v>
      </c>
      <c r="D9052" s="10" t="s">
        <v>6350</v>
      </c>
      <c r="E9052" s="10" t="s">
        <v>6351</v>
      </c>
      <c r="F9052" s="10" t="s">
        <v>14733</v>
      </c>
      <c r="G9052" s="10" t="s">
        <v>6317</v>
      </c>
      <c r="H9052" s="11">
        <v>39182</v>
      </c>
      <c r="I9052" s="10">
        <v>2007</v>
      </c>
      <c r="J9052" s="10" t="s">
        <v>6353</v>
      </c>
      <c r="K9052" s="10">
        <v>153</v>
      </c>
      <c r="L9052" s="10" t="s">
        <v>41312</v>
      </c>
      <c r="M9052" s="10">
        <v>1</v>
      </c>
      <c r="N9052" s="10" t="s">
        <v>41313</v>
      </c>
      <c r="O9052" s="10"/>
      <c r="P9052" s="10" t="s">
        <v>41314</v>
      </c>
      <c r="Q9052" s="10">
        <v>378.00700000000001</v>
      </c>
      <c r="R9052" s="10" t="s">
        <v>41315</v>
      </c>
      <c r="S9052" s="10" t="s">
        <v>53</v>
      </c>
      <c r="T9052" s="10" t="s">
        <v>54</v>
      </c>
    </row>
    <row r="9053" spans="1:20" ht="14.5" x14ac:dyDescent="0.35">
      <c r="A9053" s="10" t="s">
        <v>41316</v>
      </c>
      <c r="B9053" s="10" t="str">
        <f>"9781579223267"</f>
        <v>9781579223267</v>
      </c>
      <c r="C9053" s="10" t="str">
        <f>"9781000973402"</f>
        <v>9781000973402</v>
      </c>
      <c r="D9053" s="10" t="s">
        <v>6350</v>
      </c>
      <c r="E9053" s="10" t="s">
        <v>6351</v>
      </c>
      <c r="F9053" s="10" t="s">
        <v>748</v>
      </c>
      <c r="G9053" s="10" t="s">
        <v>6352</v>
      </c>
      <c r="H9053" s="11">
        <v>39758</v>
      </c>
      <c r="I9053" s="10">
        <v>2008</v>
      </c>
      <c r="J9053" s="10" t="s">
        <v>6351</v>
      </c>
      <c r="K9053" s="10">
        <v>233</v>
      </c>
      <c r="L9053" s="10" t="s">
        <v>41317</v>
      </c>
      <c r="M9053" s="10">
        <v>1</v>
      </c>
      <c r="N9053" s="10"/>
      <c r="O9053" s="10"/>
      <c r="P9053" s="10"/>
      <c r="Q9053" s="10">
        <v>371.20097299999998</v>
      </c>
      <c r="R9053" s="10" t="s">
        <v>41318</v>
      </c>
      <c r="S9053" s="10" t="s">
        <v>53</v>
      </c>
      <c r="T9053" s="10" t="s">
        <v>54</v>
      </c>
    </row>
    <row r="9054" spans="1:20" ht="14.5" x14ac:dyDescent="0.35">
      <c r="A9054" s="10" t="s">
        <v>41319</v>
      </c>
      <c r="B9054" s="10" t="str">
        <f>"9781579221751"</f>
        <v>9781579221751</v>
      </c>
      <c r="C9054" s="10" t="str">
        <f>"9781000974959"</f>
        <v>9781000974959</v>
      </c>
      <c r="D9054" s="10" t="s">
        <v>6350</v>
      </c>
      <c r="E9054" s="10" t="s">
        <v>6351</v>
      </c>
      <c r="F9054" s="10" t="s">
        <v>748</v>
      </c>
      <c r="G9054" s="10" t="s">
        <v>6352</v>
      </c>
      <c r="H9054" s="11">
        <v>38819</v>
      </c>
      <c r="I9054" s="10">
        <v>2006</v>
      </c>
      <c r="J9054" s="10" t="s">
        <v>6351</v>
      </c>
      <c r="K9054" s="10">
        <v>271</v>
      </c>
      <c r="L9054" s="10" t="s">
        <v>41320</v>
      </c>
      <c r="M9054" s="10">
        <v>1</v>
      </c>
      <c r="N9054" s="10"/>
      <c r="O9054" s="10"/>
      <c r="P9054" s="10" t="s">
        <v>41321</v>
      </c>
      <c r="Q9054" s="10">
        <v>379.15800000000002</v>
      </c>
      <c r="R9054" s="10" t="s">
        <v>41322</v>
      </c>
      <c r="S9054" s="10" t="s">
        <v>53</v>
      </c>
      <c r="T9054" s="10" t="s">
        <v>54</v>
      </c>
    </row>
    <row r="9055" spans="1:20" ht="14.5" x14ac:dyDescent="0.35">
      <c r="A9055" s="10" t="s">
        <v>41323</v>
      </c>
      <c r="B9055" s="10" t="str">
        <f>"9781579221027"</f>
        <v>9781579221027</v>
      </c>
      <c r="C9055" s="10" t="str">
        <f>"9781000976519"</f>
        <v>9781000976519</v>
      </c>
      <c r="D9055" s="10" t="s">
        <v>6350</v>
      </c>
      <c r="E9055" s="10" t="s">
        <v>6351</v>
      </c>
      <c r="F9055" s="10" t="s">
        <v>3967</v>
      </c>
      <c r="G9055" s="10" t="s">
        <v>6352</v>
      </c>
      <c r="H9055" s="11">
        <v>39933</v>
      </c>
      <c r="I9055" s="10">
        <v>2009</v>
      </c>
      <c r="J9055" s="10" t="s">
        <v>6353</v>
      </c>
      <c r="K9055" s="10">
        <v>348</v>
      </c>
      <c r="L9055" s="10" t="s">
        <v>41324</v>
      </c>
      <c r="M9055" s="10">
        <v>1</v>
      </c>
      <c r="N9055" s="10"/>
      <c r="O9055" s="10"/>
      <c r="P9055" s="10"/>
      <c r="Q9055" s="10"/>
      <c r="R9055" s="10" t="s">
        <v>41325</v>
      </c>
      <c r="S9055" s="10" t="s">
        <v>53</v>
      </c>
      <c r="T9055" s="10" t="s">
        <v>41326</v>
      </c>
    </row>
    <row r="9056" spans="1:20" ht="14.5" x14ac:dyDescent="0.35">
      <c r="A9056" s="10" t="s">
        <v>41327</v>
      </c>
      <c r="B9056" s="10" t="str">
        <f>"9781579221362"</f>
        <v>9781579221362</v>
      </c>
      <c r="C9056" s="10" t="str">
        <f>"9781000973181"</f>
        <v>9781000973181</v>
      </c>
      <c r="D9056" s="10" t="s">
        <v>6350</v>
      </c>
      <c r="E9056" s="10" t="s">
        <v>6351</v>
      </c>
      <c r="F9056" s="10" t="s">
        <v>14733</v>
      </c>
      <c r="G9056" s="10" t="s">
        <v>6317</v>
      </c>
      <c r="H9056" s="11">
        <v>38626</v>
      </c>
      <c r="I9056" s="10">
        <v>2005</v>
      </c>
      <c r="J9056" s="10" t="s">
        <v>6353</v>
      </c>
      <c r="K9056" s="10">
        <v>112</v>
      </c>
      <c r="L9056" s="10" t="s">
        <v>41328</v>
      </c>
      <c r="M9056" s="10">
        <v>1</v>
      </c>
      <c r="N9056" s="10"/>
      <c r="O9056" s="10"/>
      <c r="P9056" s="10" t="s">
        <v>41329</v>
      </c>
      <c r="Q9056" s="10">
        <v>650.14088377999997</v>
      </c>
      <c r="R9056" s="10" t="s">
        <v>41330</v>
      </c>
      <c r="S9056" s="10" t="s">
        <v>53</v>
      </c>
      <c r="T9056" s="10" t="s">
        <v>8760</v>
      </c>
    </row>
    <row r="9057" spans="1:20" ht="14.5" x14ac:dyDescent="0.35">
      <c r="A9057" s="10" t="s">
        <v>41331</v>
      </c>
      <c r="B9057" s="10" t="str">
        <f>"9781579220372"</f>
        <v>9781579220372</v>
      </c>
      <c r="C9057" s="10" t="str">
        <f>"9781620360484"</f>
        <v>9781620360484</v>
      </c>
      <c r="D9057" s="10" t="s">
        <v>6350</v>
      </c>
      <c r="E9057" s="10" t="s">
        <v>6350</v>
      </c>
      <c r="F9057" s="10" t="s">
        <v>14733</v>
      </c>
      <c r="G9057" s="10" t="s">
        <v>6317</v>
      </c>
      <c r="H9057" s="11">
        <v>37012</v>
      </c>
      <c r="I9057" s="10">
        <v>2001</v>
      </c>
      <c r="J9057" s="10" t="s">
        <v>6353</v>
      </c>
      <c r="K9057" s="10">
        <v>285</v>
      </c>
      <c r="L9057" s="10" t="s">
        <v>41332</v>
      </c>
      <c r="M9057" s="10">
        <v>1</v>
      </c>
      <c r="N9057" s="10"/>
      <c r="O9057" s="10"/>
      <c r="P9057" s="10" t="s">
        <v>41333</v>
      </c>
      <c r="Q9057" s="10">
        <v>378.17</v>
      </c>
      <c r="R9057" s="10" t="s">
        <v>41334</v>
      </c>
      <c r="S9057" s="10" t="s">
        <v>53</v>
      </c>
      <c r="T9057" s="10" t="s">
        <v>54</v>
      </c>
    </row>
    <row r="9058" spans="1:20" ht="14.5" x14ac:dyDescent="0.35">
      <c r="A9058" s="10" t="s">
        <v>41335</v>
      </c>
      <c r="B9058" s="10" t="str">
        <f>"9781579221928"</f>
        <v>9781579221928</v>
      </c>
      <c r="C9058" s="10" t="str">
        <f>"9781000975024"</f>
        <v>9781000975024</v>
      </c>
      <c r="D9058" s="10" t="s">
        <v>6350</v>
      </c>
      <c r="E9058" s="10" t="s">
        <v>6351</v>
      </c>
      <c r="F9058" s="10" t="s">
        <v>748</v>
      </c>
      <c r="G9058" s="10" t="s">
        <v>6352</v>
      </c>
      <c r="H9058" s="11">
        <v>38842</v>
      </c>
      <c r="I9058" s="10">
        <v>2006</v>
      </c>
      <c r="J9058" s="10" t="s">
        <v>6351</v>
      </c>
      <c r="K9058" s="10">
        <v>318</v>
      </c>
      <c r="L9058" s="10" t="s">
        <v>41336</v>
      </c>
      <c r="M9058" s="10">
        <v>1</v>
      </c>
      <c r="N9058" s="10"/>
      <c r="O9058" s="10"/>
      <c r="P9058" s="10" t="s">
        <v>41337</v>
      </c>
      <c r="Q9058" s="10" t="s">
        <v>9204</v>
      </c>
      <c r="R9058" s="10" t="s">
        <v>41338</v>
      </c>
      <c r="S9058" s="10" t="s">
        <v>53</v>
      </c>
      <c r="T9058" s="10" t="s">
        <v>8755</v>
      </c>
    </row>
    <row r="9059" spans="1:20" ht="14.5" x14ac:dyDescent="0.35">
      <c r="A9059" s="10" t="s">
        <v>41339</v>
      </c>
      <c r="B9059" s="10" t="str">
        <f>"9781579220525"</f>
        <v>9781579220525</v>
      </c>
      <c r="C9059" s="10" t="str">
        <f>"9781000976540"</f>
        <v>9781000976540</v>
      </c>
      <c r="D9059" s="10" t="s">
        <v>6350</v>
      </c>
      <c r="E9059" s="10" t="s">
        <v>6351</v>
      </c>
      <c r="F9059" s="10" t="s">
        <v>14733</v>
      </c>
      <c r="G9059" s="10" t="s">
        <v>6317</v>
      </c>
      <c r="H9059" s="11">
        <v>37340</v>
      </c>
      <c r="I9059" s="10">
        <v>2002</v>
      </c>
      <c r="J9059" s="10" t="s">
        <v>6353</v>
      </c>
      <c r="K9059" s="10">
        <v>193</v>
      </c>
      <c r="L9059" s="10" t="s">
        <v>41340</v>
      </c>
      <c r="M9059" s="10">
        <v>1</v>
      </c>
      <c r="N9059" s="10" t="s">
        <v>41341</v>
      </c>
      <c r="O9059" s="10"/>
      <c r="P9059" s="10" t="s">
        <v>41342</v>
      </c>
      <c r="Q9059" s="10">
        <v>378.1</v>
      </c>
      <c r="R9059" s="10" t="s">
        <v>41343</v>
      </c>
      <c r="S9059" s="10" t="s">
        <v>53</v>
      </c>
      <c r="T9059" s="10" t="s">
        <v>54</v>
      </c>
    </row>
    <row r="9060" spans="1:20" ht="14.5" x14ac:dyDescent="0.35">
      <c r="A9060" s="10" t="s">
        <v>41344</v>
      </c>
      <c r="B9060" s="10" t="str">
        <f>"9781620360637"</f>
        <v>9781620360637</v>
      </c>
      <c r="C9060" s="10" t="str">
        <f>"9781000972139"</f>
        <v>9781000972139</v>
      </c>
      <c r="D9060" s="10" t="s">
        <v>6350</v>
      </c>
      <c r="E9060" s="10" t="s">
        <v>6351</v>
      </c>
      <c r="F9060" s="10" t="s">
        <v>748</v>
      </c>
      <c r="G9060" s="10" t="s">
        <v>6352</v>
      </c>
      <c r="H9060" s="11">
        <v>42156</v>
      </c>
      <c r="I9060" s="10">
        <v>2015</v>
      </c>
      <c r="J9060" s="10" t="s">
        <v>6351</v>
      </c>
      <c r="K9060" s="10">
        <v>199</v>
      </c>
      <c r="L9060" s="10" t="s">
        <v>41345</v>
      </c>
      <c r="M9060" s="10">
        <v>1</v>
      </c>
      <c r="N9060" s="10"/>
      <c r="O9060" s="10"/>
      <c r="P9060" s="10" t="s">
        <v>41346</v>
      </c>
      <c r="Q9060" s="10" t="s">
        <v>10427</v>
      </c>
      <c r="R9060" s="10" t="s">
        <v>41347</v>
      </c>
      <c r="S9060" s="10" t="s">
        <v>53</v>
      </c>
      <c r="T9060" s="10" t="s">
        <v>54</v>
      </c>
    </row>
    <row r="9061" spans="1:20" ht="14.5" x14ac:dyDescent="0.35">
      <c r="A9061" s="10" t="s">
        <v>41348</v>
      </c>
      <c r="B9061" s="10" t="str">
        <f>"9781620360798"</f>
        <v>9781620360798</v>
      </c>
      <c r="C9061" s="10" t="str">
        <f>"9781000973235"</f>
        <v>9781000973235</v>
      </c>
      <c r="D9061" s="10" t="s">
        <v>6350</v>
      </c>
      <c r="E9061" s="10" t="s">
        <v>6351</v>
      </c>
      <c r="F9061" s="10" t="s">
        <v>748</v>
      </c>
      <c r="G9061" s="10" t="s">
        <v>6352</v>
      </c>
      <c r="H9061" s="11">
        <v>42152</v>
      </c>
      <c r="I9061" s="10">
        <v>2015</v>
      </c>
      <c r="J9061" s="10" t="s">
        <v>6351</v>
      </c>
      <c r="K9061" s="10">
        <v>147</v>
      </c>
      <c r="L9061" s="10" t="s">
        <v>41349</v>
      </c>
      <c r="M9061" s="10">
        <v>1</v>
      </c>
      <c r="N9061" s="10"/>
      <c r="O9061" s="10"/>
      <c r="P9061" s="10" t="s">
        <v>41350</v>
      </c>
      <c r="Q9061" s="10" t="s">
        <v>9298</v>
      </c>
      <c r="R9061" s="10" t="s">
        <v>8224</v>
      </c>
      <c r="S9061" s="10" t="s">
        <v>53</v>
      </c>
      <c r="T9061" s="10" t="s">
        <v>54</v>
      </c>
    </row>
    <row r="9062" spans="1:20" ht="14.5" x14ac:dyDescent="0.35">
      <c r="A9062" s="10" t="s">
        <v>41351</v>
      </c>
      <c r="B9062" s="10" t="str">
        <f>"9781620360958"</f>
        <v>9781620360958</v>
      </c>
      <c r="C9062" s="10" t="str">
        <f>"9781000973853"</f>
        <v>9781000973853</v>
      </c>
      <c r="D9062" s="10" t="s">
        <v>6350</v>
      </c>
      <c r="E9062" s="10" t="s">
        <v>6351</v>
      </c>
      <c r="F9062" s="10" t="s">
        <v>748</v>
      </c>
      <c r="G9062" s="10" t="s">
        <v>6352</v>
      </c>
      <c r="H9062" s="11">
        <v>42186</v>
      </c>
      <c r="I9062" s="10">
        <v>2015</v>
      </c>
      <c r="J9062" s="10" t="s">
        <v>6351</v>
      </c>
      <c r="K9062" s="10">
        <v>334</v>
      </c>
      <c r="L9062" s="10" t="s">
        <v>41352</v>
      </c>
      <c r="M9062" s="10">
        <v>1</v>
      </c>
      <c r="N9062" s="10"/>
      <c r="O9062" s="10"/>
      <c r="P9062" s="10" t="s">
        <v>41353</v>
      </c>
      <c r="Q9062" s="10">
        <v>370.72</v>
      </c>
      <c r="R9062" s="10" t="s">
        <v>41354</v>
      </c>
      <c r="S9062" s="10" t="s">
        <v>53</v>
      </c>
      <c r="T9062" s="10" t="s">
        <v>54</v>
      </c>
    </row>
    <row r="9063" spans="1:20" ht="14.5" x14ac:dyDescent="0.35">
      <c r="A9063" s="10" t="s">
        <v>41355</v>
      </c>
      <c r="B9063" s="10" t="str">
        <f>"9781620361238"</f>
        <v>9781620361238</v>
      </c>
      <c r="C9063" s="10" t="str">
        <f>"9781000976663"</f>
        <v>9781000976663</v>
      </c>
      <c r="D9063" s="10" t="s">
        <v>6350</v>
      </c>
      <c r="E9063" s="10" t="s">
        <v>6351</v>
      </c>
      <c r="F9063" s="10" t="s">
        <v>748</v>
      </c>
      <c r="G9063" s="10" t="s">
        <v>6352</v>
      </c>
      <c r="H9063" s="11">
        <v>42186</v>
      </c>
      <c r="I9063" s="10">
        <v>2015</v>
      </c>
      <c r="J9063" s="10" t="s">
        <v>6351</v>
      </c>
      <c r="K9063" s="10">
        <v>396</v>
      </c>
      <c r="L9063" s="10" t="s">
        <v>41356</v>
      </c>
      <c r="M9063" s="10">
        <v>1</v>
      </c>
      <c r="N9063" s="10"/>
      <c r="O9063" s="10"/>
      <c r="P9063" s="10" t="s">
        <v>41357</v>
      </c>
      <c r="Q9063" s="10" t="s">
        <v>8800</v>
      </c>
      <c r="R9063" s="10" t="s">
        <v>41358</v>
      </c>
      <c r="S9063" s="10" t="s">
        <v>53</v>
      </c>
      <c r="T9063" s="10" t="s">
        <v>6472</v>
      </c>
    </row>
    <row r="9064" spans="1:20" ht="14.5" x14ac:dyDescent="0.35">
      <c r="A9064" s="10" t="s">
        <v>41359</v>
      </c>
      <c r="B9064" s="10" t="str">
        <f>"9781620361276"</f>
        <v>9781620361276</v>
      </c>
      <c r="C9064" s="10" t="str">
        <f>"9781000974744"</f>
        <v>9781000974744</v>
      </c>
      <c r="D9064" s="10" t="s">
        <v>6350</v>
      </c>
      <c r="E9064" s="10" t="s">
        <v>6351</v>
      </c>
      <c r="F9064" s="10" t="s">
        <v>748</v>
      </c>
      <c r="G9064" s="10" t="s">
        <v>6352</v>
      </c>
      <c r="H9064" s="11">
        <v>42055</v>
      </c>
      <c r="I9064" s="10">
        <v>2015</v>
      </c>
      <c r="J9064" s="10" t="s">
        <v>6351</v>
      </c>
      <c r="K9064" s="10">
        <v>241</v>
      </c>
      <c r="L9064" s="10" t="s">
        <v>41360</v>
      </c>
      <c r="M9064" s="10">
        <v>1</v>
      </c>
      <c r="N9064" s="10"/>
      <c r="O9064" s="10"/>
      <c r="P9064" s="10" t="s">
        <v>41361</v>
      </c>
      <c r="Q9064" s="10" t="s">
        <v>7069</v>
      </c>
      <c r="R9064" s="10" t="s">
        <v>7070</v>
      </c>
      <c r="S9064" s="10" t="s">
        <v>53</v>
      </c>
      <c r="T9064" s="10" t="s">
        <v>54</v>
      </c>
    </row>
    <row r="9065" spans="1:20" ht="14.5" x14ac:dyDescent="0.35">
      <c r="A9065" s="10" t="s">
        <v>41362</v>
      </c>
      <c r="B9065" s="10" t="str">
        <f>"9781620361351"</f>
        <v>9781620361351</v>
      </c>
      <c r="C9065" s="10" t="str">
        <f>"9781000972115"</f>
        <v>9781000972115</v>
      </c>
      <c r="D9065" s="10" t="s">
        <v>6350</v>
      </c>
      <c r="E9065" s="10" t="s">
        <v>6351</v>
      </c>
      <c r="F9065" s="10" t="s">
        <v>41227</v>
      </c>
      <c r="G9065" s="10" t="s">
        <v>6317</v>
      </c>
      <c r="H9065" s="11">
        <v>42107</v>
      </c>
      <c r="I9065" s="10">
        <v>2015</v>
      </c>
      <c r="J9065" s="10" t="s">
        <v>6353</v>
      </c>
      <c r="K9065" s="10">
        <v>137</v>
      </c>
      <c r="L9065" s="10" t="s">
        <v>41363</v>
      </c>
      <c r="M9065" s="10">
        <v>1</v>
      </c>
      <c r="N9065" s="10"/>
      <c r="O9065" s="10"/>
      <c r="P9065" s="10" t="s">
        <v>41364</v>
      </c>
      <c r="Q9065" s="10" t="s">
        <v>41365</v>
      </c>
      <c r="R9065" s="10" t="s">
        <v>41366</v>
      </c>
      <c r="S9065" s="10" t="s">
        <v>53</v>
      </c>
      <c r="T9065" s="10" t="s">
        <v>54</v>
      </c>
    </row>
    <row r="9066" spans="1:20" ht="14.5" x14ac:dyDescent="0.35">
      <c r="A9066" s="10" t="s">
        <v>41367</v>
      </c>
      <c r="B9066" s="10" t="str">
        <f>"9781620361436"</f>
        <v>9781620361436</v>
      </c>
      <c r="C9066" s="10" t="str">
        <f>"9781000971712"</f>
        <v>9781000971712</v>
      </c>
      <c r="D9066" s="10" t="s">
        <v>6350</v>
      </c>
      <c r="E9066" s="10" t="s">
        <v>6351</v>
      </c>
      <c r="F9066" s="10" t="s">
        <v>748</v>
      </c>
      <c r="G9066" s="10" t="s">
        <v>6352</v>
      </c>
      <c r="H9066" s="11">
        <v>42271</v>
      </c>
      <c r="I9066" s="10">
        <v>2015</v>
      </c>
      <c r="J9066" s="10" t="s">
        <v>6351</v>
      </c>
      <c r="K9066" s="10">
        <v>223</v>
      </c>
      <c r="L9066" s="10" t="s">
        <v>41368</v>
      </c>
      <c r="M9066" s="10">
        <v>1</v>
      </c>
      <c r="N9066" s="10"/>
      <c r="O9066" s="10"/>
      <c r="P9066" s="10" t="s">
        <v>41369</v>
      </c>
      <c r="Q9066" s="10">
        <v>378.19829680729998</v>
      </c>
      <c r="R9066" s="10" t="s">
        <v>40319</v>
      </c>
      <c r="S9066" s="10" t="s">
        <v>53</v>
      </c>
      <c r="T9066" s="10" t="s">
        <v>54</v>
      </c>
    </row>
    <row r="9067" spans="1:20" ht="14.5" x14ac:dyDescent="0.35">
      <c r="A9067" s="10" t="s">
        <v>41370</v>
      </c>
      <c r="B9067" s="10" t="str">
        <f>"9781620361474"</f>
        <v>9781620361474</v>
      </c>
      <c r="C9067" s="10" t="str">
        <f>"9781000975277"</f>
        <v>9781000975277</v>
      </c>
      <c r="D9067" s="10" t="s">
        <v>6350</v>
      </c>
      <c r="E9067" s="10" t="s">
        <v>6351</v>
      </c>
      <c r="F9067" s="10" t="s">
        <v>748</v>
      </c>
      <c r="G9067" s="10" t="s">
        <v>6352</v>
      </c>
      <c r="H9067" s="11">
        <v>41956</v>
      </c>
      <c r="I9067" s="10">
        <v>2015</v>
      </c>
      <c r="J9067" s="10" t="s">
        <v>6351</v>
      </c>
      <c r="K9067" s="10">
        <v>133</v>
      </c>
      <c r="L9067" s="10" t="s">
        <v>41371</v>
      </c>
      <c r="M9067" s="10">
        <v>1</v>
      </c>
      <c r="N9067" s="10"/>
      <c r="O9067" s="10"/>
      <c r="P9067" s="10" t="s">
        <v>41372</v>
      </c>
      <c r="Q9067" s="10" t="s">
        <v>41373</v>
      </c>
      <c r="R9067" s="10" t="s">
        <v>41374</v>
      </c>
      <c r="S9067" s="10" t="s">
        <v>53</v>
      </c>
      <c r="T9067" s="10" t="s">
        <v>54</v>
      </c>
    </row>
    <row r="9068" spans="1:20" ht="14.5" x14ac:dyDescent="0.35">
      <c r="A9068" s="10" t="s">
        <v>41375</v>
      </c>
      <c r="B9068" s="10" t="str">
        <f>"9781620361511"</f>
        <v>9781620361511</v>
      </c>
      <c r="C9068" s="10" t="str">
        <f>"9781000971484"</f>
        <v>9781000971484</v>
      </c>
      <c r="D9068" s="10" t="s">
        <v>6350</v>
      </c>
      <c r="E9068" s="10" t="s">
        <v>6351</v>
      </c>
      <c r="F9068" s="10" t="s">
        <v>748</v>
      </c>
      <c r="G9068" s="10" t="s">
        <v>6352</v>
      </c>
      <c r="H9068" s="11">
        <v>42059</v>
      </c>
      <c r="I9068" s="10">
        <v>2015</v>
      </c>
      <c r="J9068" s="10" t="s">
        <v>6351</v>
      </c>
      <c r="K9068" s="10">
        <v>106</v>
      </c>
      <c r="L9068" s="10" t="s">
        <v>41376</v>
      </c>
      <c r="M9068" s="10">
        <v>1</v>
      </c>
      <c r="N9068" s="10"/>
      <c r="O9068" s="10"/>
      <c r="P9068" s="10" t="s">
        <v>41377</v>
      </c>
      <c r="Q9068" s="10" t="s">
        <v>16871</v>
      </c>
      <c r="R9068" s="10" t="s">
        <v>41378</v>
      </c>
      <c r="S9068" s="10" t="s">
        <v>53</v>
      </c>
      <c r="T9068" s="10" t="s">
        <v>54</v>
      </c>
    </row>
    <row r="9069" spans="1:20" ht="14.5" x14ac:dyDescent="0.35">
      <c r="A9069" s="10" t="s">
        <v>41379</v>
      </c>
      <c r="B9069" s="10" t="str">
        <f>"9781620361634"</f>
        <v>9781620361634</v>
      </c>
      <c r="C9069" s="10" t="str">
        <f>"9781000972719"</f>
        <v>9781000972719</v>
      </c>
      <c r="D9069" s="10" t="s">
        <v>6350</v>
      </c>
      <c r="E9069" s="10" t="s">
        <v>6351</v>
      </c>
      <c r="F9069" s="10" t="s">
        <v>748</v>
      </c>
      <c r="G9069" s="10" t="s">
        <v>6352</v>
      </c>
      <c r="H9069" s="11">
        <v>42054</v>
      </c>
      <c r="I9069" s="10">
        <v>2015</v>
      </c>
      <c r="J9069" s="10" t="s">
        <v>6351</v>
      </c>
      <c r="K9069" s="10">
        <v>260</v>
      </c>
      <c r="L9069" s="10" t="s">
        <v>41380</v>
      </c>
      <c r="M9069" s="10">
        <v>1</v>
      </c>
      <c r="N9069" s="10"/>
      <c r="O9069" s="10"/>
      <c r="P9069" s="10" t="s">
        <v>41381</v>
      </c>
      <c r="Q9069" s="10">
        <v>371.33446780000003</v>
      </c>
      <c r="R9069" s="10" t="s">
        <v>12939</v>
      </c>
      <c r="S9069" s="10" t="s">
        <v>53</v>
      </c>
      <c r="T9069" s="10" t="s">
        <v>54</v>
      </c>
    </row>
    <row r="9070" spans="1:20" ht="14.5" x14ac:dyDescent="0.35">
      <c r="A9070" s="10" t="s">
        <v>41382</v>
      </c>
      <c r="B9070" s="10" t="str">
        <f>"9781620361672"</f>
        <v>9781620361672</v>
      </c>
      <c r="C9070" s="10" t="str">
        <f>"9781000972474"</f>
        <v>9781000972474</v>
      </c>
      <c r="D9070" s="10" t="s">
        <v>6350</v>
      </c>
      <c r="E9070" s="10" t="s">
        <v>6351</v>
      </c>
      <c r="F9070" s="10" t="s">
        <v>748</v>
      </c>
      <c r="G9070" s="10" t="s">
        <v>6352</v>
      </c>
      <c r="H9070" s="11">
        <v>42131</v>
      </c>
      <c r="I9070" s="10">
        <v>2015</v>
      </c>
      <c r="J9070" s="10" t="s">
        <v>6351</v>
      </c>
      <c r="K9070" s="10">
        <v>380</v>
      </c>
      <c r="L9070" s="10" t="s">
        <v>41383</v>
      </c>
      <c r="M9070" s="10">
        <v>1</v>
      </c>
      <c r="N9070" s="10"/>
      <c r="O9070" s="10"/>
      <c r="P9070" s="10" t="s">
        <v>41384</v>
      </c>
      <c r="Q9070" s="10" t="s">
        <v>7335</v>
      </c>
      <c r="R9070" s="10" t="s">
        <v>41385</v>
      </c>
      <c r="S9070" s="10" t="s">
        <v>53</v>
      </c>
      <c r="T9070" s="10" t="s">
        <v>54</v>
      </c>
    </row>
    <row r="9071" spans="1:20" ht="14.5" x14ac:dyDescent="0.35">
      <c r="A9071" s="10" t="s">
        <v>41386</v>
      </c>
      <c r="B9071" s="10" t="str">
        <f>"9781620361719"</f>
        <v>9781620361719</v>
      </c>
      <c r="C9071" s="10" t="str">
        <f>"9781000975178"</f>
        <v>9781000975178</v>
      </c>
      <c r="D9071" s="10" t="s">
        <v>6350</v>
      </c>
      <c r="E9071" s="10" t="s">
        <v>6351</v>
      </c>
      <c r="F9071" s="10" t="s">
        <v>748</v>
      </c>
      <c r="G9071" s="10" t="s">
        <v>6352</v>
      </c>
      <c r="H9071" s="11">
        <v>42237</v>
      </c>
      <c r="I9071" s="10">
        <v>2015</v>
      </c>
      <c r="J9071" s="10" t="s">
        <v>6351</v>
      </c>
      <c r="K9071" s="10">
        <v>146</v>
      </c>
      <c r="L9071" s="10" t="s">
        <v>41387</v>
      </c>
      <c r="M9071" s="10">
        <v>1</v>
      </c>
      <c r="N9071" s="10"/>
      <c r="O9071" s="10"/>
      <c r="P9071" s="10" t="s">
        <v>41388</v>
      </c>
      <c r="Q9071" s="10">
        <v>371.10199999999998</v>
      </c>
      <c r="R9071" s="10" t="s">
        <v>7101</v>
      </c>
      <c r="S9071" s="10" t="s">
        <v>53</v>
      </c>
      <c r="T9071" s="10" t="s">
        <v>54</v>
      </c>
    </row>
    <row r="9072" spans="1:20" ht="14.5" x14ac:dyDescent="0.35">
      <c r="A9072" s="10" t="s">
        <v>41389</v>
      </c>
      <c r="B9072" s="10" t="str">
        <f>"9781620361757"</f>
        <v>9781620361757</v>
      </c>
      <c r="C9072" s="10" t="str">
        <f>"9781000975123"</f>
        <v>9781000975123</v>
      </c>
      <c r="D9072" s="10" t="s">
        <v>6350</v>
      </c>
      <c r="E9072" s="10" t="s">
        <v>6351</v>
      </c>
      <c r="F9072" s="10" t="s">
        <v>748</v>
      </c>
      <c r="G9072" s="10" t="s">
        <v>6352</v>
      </c>
      <c r="H9072" s="11">
        <v>42227</v>
      </c>
      <c r="I9072" s="10">
        <v>2015</v>
      </c>
      <c r="J9072" s="10" t="s">
        <v>6351</v>
      </c>
      <c r="K9072" s="10">
        <v>251</v>
      </c>
      <c r="L9072" s="10" t="s">
        <v>41390</v>
      </c>
      <c r="M9072" s="10">
        <v>1</v>
      </c>
      <c r="N9072" s="10"/>
      <c r="O9072" s="10"/>
      <c r="P9072" s="10" t="s">
        <v>41391</v>
      </c>
      <c r="Q9072" s="10" t="s">
        <v>10286</v>
      </c>
      <c r="R9072" s="10" t="s">
        <v>41392</v>
      </c>
      <c r="S9072" s="10" t="s">
        <v>53</v>
      </c>
      <c r="T9072" s="10" t="s">
        <v>7193</v>
      </c>
    </row>
    <row r="9073" spans="1:20" ht="14.5" x14ac:dyDescent="0.35">
      <c r="A9073" s="10" t="s">
        <v>41393</v>
      </c>
      <c r="B9073" s="10" t="str">
        <f>"9781620362174"</f>
        <v>9781620362174</v>
      </c>
      <c r="C9073" s="10" t="str">
        <f>"9781000971637"</f>
        <v>9781000971637</v>
      </c>
      <c r="D9073" s="10" t="s">
        <v>6350</v>
      </c>
      <c r="E9073" s="10" t="s">
        <v>6351</v>
      </c>
      <c r="F9073" s="10" t="s">
        <v>748</v>
      </c>
      <c r="G9073" s="10" t="s">
        <v>6352</v>
      </c>
      <c r="H9073" s="11">
        <v>41944</v>
      </c>
      <c r="I9073" s="10">
        <v>2015</v>
      </c>
      <c r="J9073" s="10" t="s">
        <v>6351</v>
      </c>
      <c r="K9073" s="10">
        <v>390</v>
      </c>
      <c r="L9073" s="10" t="s">
        <v>41394</v>
      </c>
      <c r="M9073" s="10">
        <v>1</v>
      </c>
      <c r="N9073" s="10"/>
      <c r="O9073" s="10"/>
      <c r="P9073" s="10" t="s">
        <v>41395</v>
      </c>
      <c r="Q9073" s="10">
        <v>378.00819999999999</v>
      </c>
      <c r="R9073" s="10" t="s">
        <v>41286</v>
      </c>
      <c r="S9073" s="10" t="s">
        <v>53</v>
      </c>
      <c r="T9073" s="10" t="s">
        <v>54</v>
      </c>
    </row>
    <row r="9074" spans="1:20" ht="14.5" x14ac:dyDescent="0.35">
      <c r="A9074" s="10" t="s">
        <v>41396</v>
      </c>
      <c r="B9074" s="10" t="str">
        <f>"9781620362372"</f>
        <v>9781620362372</v>
      </c>
      <c r="C9074" s="10" t="str">
        <f>"9781000976533"</f>
        <v>9781000976533</v>
      </c>
      <c r="D9074" s="10" t="s">
        <v>6350</v>
      </c>
      <c r="E9074" s="10" t="s">
        <v>6351</v>
      </c>
      <c r="F9074" s="10" t="s">
        <v>748</v>
      </c>
      <c r="G9074" s="10" t="s">
        <v>6352</v>
      </c>
      <c r="H9074" s="11">
        <v>42095</v>
      </c>
      <c r="I9074" s="10">
        <v>2015</v>
      </c>
      <c r="J9074" s="10" t="s">
        <v>6351</v>
      </c>
      <c r="K9074" s="10">
        <v>219</v>
      </c>
      <c r="L9074" s="10" t="s">
        <v>40253</v>
      </c>
      <c r="M9074" s="10">
        <v>1</v>
      </c>
      <c r="N9074" s="10"/>
      <c r="O9074" s="10"/>
      <c r="P9074" s="10" t="s">
        <v>41397</v>
      </c>
      <c r="Q9074" s="10">
        <v>378.11109729999998</v>
      </c>
      <c r="R9074" s="10" t="s">
        <v>41398</v>
      </c>
      <c r="S9074" s="10" t="s">
        <v>53</v>
      </c>
      <c r="T9074" s="10" t="s">
        <v>54</v>
      </c>
    </row>
    <row r="9075" spans="1:20" ht="14.5" x14ac:dyDescent="0.35">
      <c r="A9075" s="10" t="s">
        <v>41399</v>
      </c>
      <c r="B9075" s="10" t="str">
        <f>"9781620362419"</f>
        <v>9781620362419</v>
      </c>
      <c r="C9075" s="10" t="str">
        <f>"9781000975048"</f>
        <v>9781000975048</v>
      </c>
      <c r="D9075" s="10" t="s">
        <v>6350</v>
      </c>
      <c r="E9075" s="10" t="s">
        <v>6351</v>
      </c>
      <c r="F9075" s="10" t="s">
        <v>748</v>
      </c>
      <c r="G9075" s="10" t="s">
        <v>6352</v>
      </c>
      <c r="H9075" s="11">
        <v>41934</v>
      </c>
      <c r="I9075" s="10">
        <v>2014</v>
      </c>
      <c r="J9075" s="10" t="s">
        <v>6351</v>
      </c>
      <c r="K9075" s="10">
        <v>176</v>
      </c>
      <c r="L9075" s="10" t="s">
        <v>41400</v>
      </c>
      <c r="M9075" s="10">
        <v>1</v>
      </c>
      <c r="N9075" s="10"/>
      <c r="O9075" s="10"/>
      <c r="P9075" s="10" t="s">
        <v>41401</v>
      </c>
      <c r="Q9075" s="10" t="s">
        <v>29345</v>
      </c>
      <c r="R9075" s="10" t="s">
        <v>41402</v>
      </c>
      <c r="S9075" s="10" t="s">
        <v>53</v>
      </c>
      <c r="T9075" s="10" t="s">
        <v>54</v>
      </c>
    </row>
    <row r="9076" spans="1:20" ht="14.5" x14ac:dyDescent="0.35">
      <c r="A9076" s="10" t="s">
        <v>41403</v>
      </c>
      <c r="B9076" s="10" t="str">
        <f>"9781579224288"</f>
        <v>9781579224288</v>
      </c>
      <c r="C9076" s="10" t="str">
        <f>"9781000973471"</f>
        <v>9781000973471</v>
      </c>
      <c r="D9076" s="10" t="s">
        <v>6350</v>
      </c>
      <c r="E9076" s="10" t="s">
        <v>6351</v>
      </c>
      <c r="F9076" s="10" t="s">
        <v>748</v>
      </c>
      <c r="G9076" s="10" t="s">
        <v>6352</v>
      </c>
      <c r="H9076" s="11">
        <v>41990</v>
      </c>
      <c r="I9076" s="10">
        <v>2015</v>
      </c>
      <c r="J9076" s="10" t="s">
        <v>6351</v>
      </c>
      <c r="K9076" s="10">
        <v>258</v>
      </c>
      <c r="L9076" s="10" t="s">
        <v>41404</v>
      </c>
      <c r="M9076" s="10">
        <v>1</v>
      </c>
      <c r="N9076" s="10"/>
      <c r="O9076" s="10"/>
      <c r="P9076" s="10" t="s">
        <v>41405</v>
      </c>
      <c r="Q9076" s="10" t="s">
        <v>41406</v>
      </c>
      <c r="R9076" s="10" t="s">
        <v>41407</v>
      </c>
      <c r="S9076" s="10" t="s">
        <v>53</v>
      </c>
      <c r="T9076" s="10" t="s">
        <v>7193</v>
      </c>
    </row>
    <row r="9077" spans="1:20" ht="14.5" x14ac:dyDescent="0.35">
      <c r="A9077" s="10" t="s">
        <v>41408</v>
      </c>
      <c r="B9077" s="10" t="str">
        <f>"9781620362754"</f>
        <v>9781620362754</v>
      </c>
      <c r="C9077" s="10" t="str">
        <f>"9781000971453"</f>
        <v>9781000971453</v>
      </c>
      <c r="D9077" s="10" t="s">
        <v>6350</v>
      </c>
      <c r="E9077" s="10" t="s">
        <v>6351</v>
      </c>
      <c r="F9077" s="10" t="s">
        <v>748</v>
      </c>
      <c r="G9077" s="10" t="s">
        <v>6352</v>
      </c>
      <c r="H9077" s="11">
        <v>42069</v>
      </c>
      <c r="I9077" s="10">
        <v>2015</v>
      </c>
      <c r="J9077" s="10" t="s">
        <v>6351</v>
      </c>
      <c r="K9077" s="10">
        <v>209</v>
      </c>
      <c r="L9077" s="10" t="s">
        <v>41409</v>
      </c>
      <c r="M9077" s="10">
        <v>1</v>
      </c>
      <c r="N9077" s="10"/>
      <c r="O9077" s="10"/>
      <c r="P9077" s="10" t="s">
        <v>41410</v>
      </c>
      <c r="Q9077" s="10" t="s">
        <v>16871</v>
      </c>
      <c r="R9077" s="10" t="s">
        <v>41411</v>
      </c>
      <c r="S9077" s="10" t="s">
        <v>53</v>
      </c>
      <c r="T9077" s="10" t="s">
        <v>54</v>
      </c>
    </row>
    <row r="9078" spans="1:20" ht="14.5" x14ac:dyDescent="0.35">
      <c r="A9078" s="10" t="s">
        <v>41412</v>
      </c>
      <c r="B9078" s="10" t="str">
        <f>"9781620363119"</f>
        <v>9781620363119</v>
      </c>
      <c r="C9078" s="10" t="str">
        <f>"9781000975390"</f>
        <v>9781000975390</v>
      </c>
      <c r="D9078" s="10" t="s">
        <v>6350</v>
      </c>
      <c r="E9078" s="10" t="s">
        <v>6351</v>
      </c>
      <c r="F9078" s="10" t="s">
        <v>748</v>
      </c>
      <c r="G9078" s="10" t="s">
        <v>6352</v>
      </c>
      <c r="H9078" s="11">
        <v>42429</v>
      </c>
      <c r="I9078" s="10">
        <v>2016</v>
      </c>
      <c r="J9078" s="10" t="s">
        <v>6351</v>
      </c>
      <c r="K9078" s="10">
        <v>188</v>
      </c>
      <c r="L9078" s="10" t="s">
        <v>41413</v>
      </c>
      <c r="M9078" s="10">
        <v>1</v>
      </c>
      <c r="N9078" s="10"/>
      <c r="O9078" s="10"/>
      <c r="P9078" s="10" t="s">
        <v>41414</v>
      </c>
      <c r="Q9078" s="10" t="s">
        <v>41415</v>
      </c>
      <c r="R9078" s="10" t="s">
        <v>41416</v>
      </c>
      <c r="S9078" s="10" t="s">
        <v>53</v>
      </c>
      <c r="T9078" s="10" t="s">
        <v>54</v>
      </c>
    </row>
    <row r="9079" spans="1:20" ht="14.5" x14ac:dyDescent="0.35">
      <c r="A9079" s="10" t="s">
        <v>41417</v>
      </c>
      <c r="B9079" s="10" t="str">
        <f>"9781620363195"</f>
        <v>9781620363195</v>
      </c>
      <c r="C9079" s="10" t="str">
        <f>"9781000976014"</f>
        <v>9781000976014</v>
      </c>
      <c r="D9079" s="10" t="s">
        <v>6350</v>
      </c>
      <c r="E9079" s="10" t="s">
        <v>6351</v>
      </c>
      <c r="F9079" s="10" t="s">
        <v>748</v>
      </c>
      <c r="G9079" s="10" t="s">
        <v>6352</v>
      </c>
      <c r="H9079" s="11">
        <v>42409</v>
      </c>
      <c r="I9079" s="10">
        <v>2016</v>
      </c>
      <c r="J9079" s="10" t="s">
        <v>6351</v>
      </c>
      <c r="K9079" s="10">
        <v>176</v>
      </c>
      <c r="L9079" s="10" t="s">
        <v>41418</v>
      </c>
      <c r="M9079" s="10">
        <v>1</v>
      </c>
      <c r="N9079" s="10"/>
      <c r="O9079" s="10"/>
      <c r="P9079" s="10" t="s">
        <v>41419</v>
      </c>
      <c r="Q9079" s="10" t="s">
        <v>6576</v>
      </c>
      <c r="R9079" s="10" t="s">
        <v>25984</v>
      </c>
      <c r="S9079" s="10" t="s">
        <v>53</v>
      </c>
      <c r="T9079" s="10" t="s">
        <v>54</v>
      </c>
    </row>
    <row r="9080" spans="1:20" ht="14.5" x14ac:dyDescent="0.35">
      <c r="A9080" s="10" t="s">
        <v>41420</v>
      </c>
      <c r="B9080" s="10" t="str">
        <f>"9781620363355"</f>
        <v>9781620363355</v>
      </c>
      <c r="C9080" s="10" t="str">
        <f>"9781000976625"</f>
        <v>9781000976625</v>
      </c>
      <c r="D9080" s="10" t="s">
        <v>6350</v>
      </c>
      <c r="E9080" s="10" t="s">
        <v>6351</v>
      </c>
      <c r="F9080" s="10" t="s">
        <v>14733</v>
      </c>
      <c r="G9080" s="10" t="s">
        <v>6317</v>
      </c>
      <c r="H9080" s="11">
        <v>42419</v>
      </c>
      <c r="I9080" s="10">
        <v>2016</v>
      </c>
      <c r="J9080" s="10" t="s">
        <v>6353</v>
      </c>
      <c r="K9080" s="10">
        <v>357</v>
      </c>
      <c r="L9080" s="10" t="s">
        <v>41421</v>
      </c>
      <c r="M9080" s="10">
        <v>1</v>
      </c>
      <c r="N9080" s="10"/>
      <c r="O9080" s="10"/>
      <c r="P9080" s="10" t="s">
        <v>41422</v>
      </c>
      <c r="Q9080" s="10">
        <v>371.4</v>
      </c>
      <c r="R9080" s="10" t="s">
        <v>41014</v>
      </c>
      <c r="S9080" s="10" t="s">
        <v>53</v>
      </c>
      <c r="T9080" s="10" t="s">
        <v>54</v>
      </c>
    </row>
    <row r="9081" spans="1:20" ht="14.5" x14ac:dyDescent="0.35">
      <c r="A9081" s="10" t="s">
        <v>41423</v>
      </c>
      <c r="B9081" s="10" t="str">
        <f>"9781620364192"</f>
        <v>9781620364192</v>
      </c>
      <c r="C9081" s="10" t="str">
        <f>"9781000972573"</f>
        <v>9781000972573</v>
      </c>
      <c r="D9081" s="10" t="s">
        <v>6350</v>
      </c>
      <c r="E9081" s="10" t="s">
        <v>6351</v>
      </c>
      <c r="F9081" s="10" t="s">
        <v>748</v>
      </c>
      <c r="G9081" s="10" t="s">
        <v>6352</v>
      </c>
      <c r="H9081" s="11">
        <v>42419</v>
      </c>
      <c r="I9081" s="10">
        <v>2016</v>
      </c>
      <c r="J9081" s="10" t="s">
        <v>6351</v>
      </c>
      <c r="K9081" s="10">
        <v>150</v>
      </c>
      <c r="L9081" s="10" t="s">
        <v>22113</v>
      </c>
      <c r="M9081" s="10">
        <v>1</v>
      </c>
      <c r="N9081" s="10"/>
      <c r="O9081" s="10"/>
      <c r="P9081" s="10" t="s">
        <v>41424</v>
      </c>
      <c r="Q9081" s="10" t="s">
        <v>10077</v>
      </c>
      <c r="R9081" s="10" t="s">
        <v>34291</v>
      </c>
      <c r="S9081" s="10" t="s">
        <v>53</v>
      </c>
      <c r="T9081" s="10" t="s">
        <v>54</v>
      </c>
    </row>
    <row r="9082" spans="1:20" ht="14.5" x14ac:dyDescent="0.35">
      <c r="A9082" s="10" t="s">
        <v>41425</v>
      </c>
      <c r="B9082" s="10" t="str">
        <f>"9781628462319"</f>
        <v>9781628462319</v>
      </c>
      <c r="C9082" s="10" t="str">
        <f>"9781626746657"</f>
        <v>9781626746657</v>
      </c>
      <c r="D9082" s="10" t="s">
        <v>16047</v>
      </c>
      <c r="E9082" s="10" t="s">
        <v>16047</v>
      </c>
      <c r="F9082" s="10" t="s">
        <v>16048</v>
      </c>
      <c r="G9082" s="10" t="s">
        <v>6317</v>
      </c>
      <c r="H9082" s="11">
        <v>42394</v>
      </c>
      <c r="I9082" s="10">
        <v>2016</v>
      </c>
      <c r="J9082" s="10" t="s">
        <v>16047</v>
      </c>
      <c r="K9082" s="10">
        <v>252</v>
      </c>
      <c r="L9082" s="10" t="s">
        <v>41426</v>
      </c>
      <c r="M9082" s="10">
        <v>1</v>
      </c>
      <c r="N9082" s="10"/>
      <c r="O9082" s="10"/>
      <c r="P9082" s="10"/>
      <c r="Q9082" s="10" t="s">
        <v>41427</v>
      </c>
      <c r="R9082" s="10"/>
      <c r="S9082" s="10" t="s">
        <v>53</v>
      </c>
      <c r="T9082" s="10" t="s">
        <v>54</v>
      </c>
    </row>
    <row r="9083" spans="1:20" ht="14.5" x14ac:dyDescent="0.35">
      <c r="A9083" s="10" t="s">
        <v>41428</v>
      </c>
      <c r="B9083" s="10" t="str">
        <f>"9781475825381"</f>
        <v>9781475825381</v>
      </c>
      <c r="C9083" s="10" t="str">
        <f>"9781475825398"</f>
        <v>9781475825398</v>
      </c>
      <c r="D9083" s="10" t="s">
        <v>9752</v>
      </c>
      <c r="E9083" s="10" t="s">
        <v>15187</v>
      </c>
      <c r="F9083" s="10" t="s">
        <v>9754</v>
      </c>
      <c r="G9083" s="10" t="s">
        <v>6317</v>
      </c>
      <c r="H9083" s="11">
        <v>42468</v>
      </c>
      <c r="I9083" s="10">
        <v>2016</v>
      </c>
      <c r="J9083" s="10" t="s">
        <v>15187</v>
      </c>
      <c r="K9083" s="10">
        <v>201</v>
      </c>
      <c r="L9083" s="10" t="s">
        <v>41429</v>
      </c>
      <c r="M9083" s="10">
        <v>1</v>
      </c>
      <c r="N9083" s="10"/>
      <c r="O9083" s="10"/>
      <c r="P9083" s="10" t="s">
        <v>41430</v>
      </c>
      <c r="Q9083" s="10">
        <v>807.12729999999999</v>
      </c>
      <c r="R9083" s="10" t="s">
        <v>41431</v>
      </c>
      <c r="S9083" s="10" t="s">
        <v>53</v>
      </c>
      <c r="T9083" s="10" t="s">
        <v>1166</v>
      </c>
    </row>
    <row r="9084" spans="1:20" ht="14.5" x14ac:dyDescent="0.35">
      <c r="A9084" s="10" t="s">
        <v>41432</v>
      </c>
      <c r="B9084" s="10" t="str">
        <f>"9781462526802"</f>
        <v>9781462526802</v>
      </c>
      <c r="C9084" s="10" t="str">
        <f>"9781462526826"</f>
        <v>9781462526826</v>
      </c>
      <c r="D9084" s="10" t="s">
        <v>11213</v>
      </c>
      <c r="E9084" s="10" t="s">
        <v>11214</v>
      </c>
      <c r="F9084" s="10" t="s">
        <v>70</v>
      </c>
      <c r="G9084" s="10" t="s">
        <v>6317</v>
      </c>
      <c r="H9084" s="11">
        <v>42573</v>
      </c>
      <c r="I9084" s="10">
        <v>2016</v>
      </c>
      <c r="J9084" s="10" t="s">
        <v>11214</v>
      </c>
      <c r="K9084" s="10">
        <v>289</v>
      </c>
      <c r="L9084" s="10" t="s">
        <v>41433</v>
      </c>
      <c r="M9084" s="10">
        <v>1</v>
      </c>
      <c r="N9084" s="10" t="s">
        <v>12889</v>
      </c>
      <c r="O9084" s="10"/>
      <c r="P9084" s="10" t="s">
        <v>41434</v>
      </c>
      <c r="Q9084" s="10">
        <v>371.71300000000002</v>
      </c>
      <c r="R9084" s="10" t="s">
        <v>41435</v>
      </c>
      <c r="S9084" s="10" t="s">
        <v>53</v>
      </c>
      <c r="T9084" s="10" t="s">
        <v>54</v>
      </c>
    </row>
    <row r="9085" spans="1:20" ht="14.5" x14ac:dyDescent="0.35">
      <c r="A9085" s="10" t="s">
        <v>41436</v>
      </c>
      <c r="B9085" s="10" t="str">
        <f>"9789351502555"</f>
        <v>9789351502555</v>
      </c>
      <c r="C9085" s="10" t="str">
        <f>"9789351502562"</f>
        <v>9789351502562</v>
      </c>
      <c r="D9085" s="10" t="s">
        <v>14562</v>
      </c>
      <c r="E9085" s="10" t="s">
        <v>14563</v>
      </c>
      <c r="F9085" s="10" t="s">
        <v>14564</v>
      </c>
      <c r="G9085" s="10" t="s">
        <v>13425</v>
      </c>
      <c r="H9085" s="11">
        <v>42200</v>
      </c>
      <c r="I9085" s="10">
        <v>2015</v>
      </c>
      <c r="J9085" s="10" t="s">
        <v>14563</v>
      </c>
      <c r="K9085" s="10">
        <v>284</v>
      </c>
      <c r="L9085" s="10" t="s">
        <v>41437</v>
      </c>
      <c r="M9085" s="10">
        <v>1</v>
      </c>
      <c r="N9085" s="10"/>
      <c r="O9085" s="10"/>
      <c r="P9085" s="10" t="s">
        <v>41438</v>
      </c>
      <c r="Q9085" s="10">
        <v>371.2</v>
      </c>
      <c r="R9085" s="10" t="s">
        <v>6543</v>
      </c>
      <c r="S9085" s="10" t="s">
        <v>53</v>
      </c>
      <c r="T9085" s="10" t="s">
        <v>54</v>
      </c>
    </row>
    <row r="9086" spans="1:20" ht="14.5" x14ac:dyDescent="0.35">
      <c r="A9086" s="10" t="s">
        <v>41439</v>
      </c>
      <c r="B9086" s="10" t="str">
        <f>"9781498514132"</f>
        <v>9781498514132</v>
      </c>
      <c r="C9086" s="10" t="str">
        <f>"9781498514149"</f>
        <v>9781498514149</v>
      </c>
      <c r="D9086" s="10" t="s">
        <v>9752</v>
      </c>
      <c r="E9086" s="10" t="s">
        <v>15182</v>
      </c>
      <c r="F9086" s="10" t="s">
        <v>9754</v>
      </c>
      <c r="G9086" s="10" t="s">
        <v>6317</v>
      </c>
      <c r="H9086" s="11">
        <v>42438</v>
      </c>
      <c r="I9086" s="10">
        <v>2016</v>
      </c>
      <c r="J9086" s="10" t="s">
        <v>15182</v>
      </c>
      <c r="K9086" s="10">
        <v>389</v>
      </c>
      <c r="L9086" s="10" t="s">
        <v>41440</v>
      </c>
      <c r="M9086" s="10">
        <v>1</v>
      </c>
      <c r="N9086" s="10"/>
      <c r="O9086" s="10"/>
      <c r="P9086" s="10" t="s">
        <v>41441</v>
      </c>
      <c r="Q9086" s="10">
        <v>378.00099999999998</v>
      </c>
      <c r="R9086" s="10" t="s">
        <v>25244</v>
      </c>
      <c r="S9086" s="10" t="s">
        <v>53</v>
      </c>
      <c r="T9086" s="10" t="s">
        <v>54</v>
      </c>
    </row>
    <row r="9087" spans="1:20" ht="14.5" x14ac:dyDescent="0.35">
      <c r="A9087" s="10" t="s">
        <v>41442</v>
      </c>
      <c r="B9087" s="10" t="str">
        <f>"9781475820621"</f>
        <v>9781475820621</v>
      </c>
      <c r="C9087" s="10" t="str">
        <f>"9781475820645"</f>
        <v>9781475820645</v>
      </c>
      <c r="D9087" s="10" t="s">
        <v>9752</v>
      </c>
      <c r="E9087" s="10" t="s">
        <v>15187</v>
      </c>
      <c r="F9087" s="10" t="s">
        <v>9754</v>
      </c>
      <c r="G9087" s="10" t="s">
        <v>6317</v>
      </c>
      <c r="H9087" s="11">
        <v>42468</v>
      </c>
      <c r="I9087" s="10">
        <v>2016</v>
      </c>
      <c r="J9087" s="10" t="s">
        <v>15187</v>
      </c>
      <c r="K9087" s="10">
        <v>149</v>
      </c>
      <c r="L9087" s="10" t="s">
        <v>41443</v>
      </c>
      <c r="M9087" s="10">
        <v>1</v>
      </c>
      <c r="N9087" s="10"/>
      <c r="O9087" s="10"/>
      <c r="P9087" s="10" t="s">
        <v>41444</v>
      </c>
      <c r="Q9087" s="10">
        <v>323.6071273</v>
      </c>
      <c r="R9087" s="10" t="s">
        <v>40201</v>
      </c>
      <c r="S9087" s="10" t="s">
        <v>53</v>
      </c>
      <c r="T9087" s="10" t="s">
        <v>4859</v>
      </c>
    </row>
    <row r="9088" spans="1:20" ht="14.5" x14ac:dyDescent="0.35">
      <c r="A9088" s="10" t="s">
        <v>41445</v>
      </c>
      <c r="B9088" s="10" t="str">
        <f>"9781475824988"</f>
        <v>9781475824988</v>
      </c>
      <c r="C9088" s="10" t="str">
        <f>"9781475825008"</f>
        <v>9781475825008</v>
      </c>
      <c r="D9088" s="10" t="s">
        <v>9752</v>
      </c>
      <c r="E9088" s="10" t="s">
        <v>15187</v>
      </c>
      <c r="F9088" s="10" t="s">
        <v>9754</v>
      </c>
      <c r="G9088" s="10" t="s">
        <v>6317</v>
      </c>
      <c r="H9088" s="11">
        <v>42408</v>
      </c>
      <c r="I9088" s="10">
        <v>2016</v>
      </c>
      <c r="J9088" s="10" t="s">
        <v>15187</v>
      </c>
      <c r="K9088" s="10">
        <v>137</v>
      </c>
      <c r="L9088" s="10" t="s">
        <v>41446</v>
      </c>
      <c r="M9088" s="10">
        <v>1</v>
      </c>
      <c r="N9088" s="10"/>
      <c r="O9088" s="10"/>
      <c r="P9088" s="10" t="s">
        <v>41447</v>
      </c>
      <c r="Q9088" s="10" t="s">
        <v>10213</v>
      </c>
      <c r="R9088" s="10" t="s">
        <v>11395</v>
      </c>
      <c r="S9088" s="10" t="s">
        <v>53</v>
      </c>
      <c r="T9088" s="10" t="s">
        <v>54</v>
      </c>
    </row>
    <row r="9089" spans="1:20" ht="14.5" x14ac:dyDescent="0.35">
      <c r="A9089" s="10" t="s">
        <v>41448</v>
      </c>
      <c r="B9089" s="10" t="str">
        <f>""</f>
        <v/>
      </c>
      <c r="C9089" s="10" t="str">
        <f>"9781118976234"</f>
        <v>9781118976234</v>
      </c>
      <c r="D9089" s="10" t="s">
        <v>6322</v>
      </c>
      <c r="E9089" s="10" t="s">
        <v>6323</v>
      </c>
      <c r="F9089" s="10" t="s">
        <v>4423</v>
      </c>
      <c r="G9089" s="10" t="s">
        <v>6352</v>
      </c>
      <c r="H9089" s="11">
        <v>42506</v>
      </c>
      <c r="I9089" s="10">
        <v>2016</v>
      </c>
      <c r="J9089" s="10" t="s">
        <v>8436</v>
      </c>
      <c r="K9089" s="10">
        <v>230</v>
      </c>
      <c r="L9089" s="10" t="s">
        <v>41449</v>
      </c>
      <c r="M9089" s="10">
        <v>1</v>
      </c>
      <c r="N9089" s="10"/>
      <c r="O9089" s="10"/>
      <c r="P9089" s="10"/>
      <c r="Q9089" s="10" t="s">
        <v>41450</v>
      </c>
      <c r="R9089" s="10" t="s">
        <v>41451</v>
      </c>
      <c r="S9089" s="10" t="s">
        <v>53</v>
      </c>
      <c r="T9089" s="10" t="s">
        <v>2191</v>
      </c>
    </row>
    <row r="9090" spans="1:20" ht="14.5" x14ac:dyDescent="0.35">
      <c r="A9090" s="10" t="s">
        <v>41452</v>
      </c>
      <c r="B9090" s="10" t="str">
        <f>""</f>
        <v/>
      </c>
      <c r="C9090" s="10" t="str">
        <f>"9781119147312"</f>
        <v>9781119147312</v>
      </c>
      <c r="D9090" s="10" t="s">
        <v>6322</v>
      </c>
      <c r="E9090" s="10" t="s">
        <v>6323</v>
      </c>
      <c r="F9090" s="10" t="s">
        <v>4423</v>
      </c>
      <c r="G9090" s="10" t="s">
        <v>6352</v>
      </c>
      <c r="H9090" s="11">
        <v>42395</v>
      </c>
      <c r="I9090" s="10">
        <v>2016</v>
      </c>
      <c r="J9090" s="10" t="s">
        <v>8436</v>
      </c>
      <c r="K9090" s="10">
        <v>195</v>
      </c>
      <c r="L9090" s="10" t="s">
        <v>41453</v>
      </c>
      <c r="M9090" s="10">
        <v>1</v>
      </c>
      <c r="N9090" s="10" t="s">
        <v>18839</v>
      </c>
      <c r="O9090" s="10"/>
      <c r="P9090" s="10"/>
      <c r="Q9090" s="10"/>
      <c r="R9090" s="10" t="s">
        <v>41454</v>
      </c>
      <c r="S9090" s="10" t="s">
        <v>53</v>
      </c>
      <c r="T9090" s="10" t="s">
        <v>41455</v>
      </c>
    </row>
    <row r="9091" spans="1:20" ht="14.5" x14ac:dyDescent="0.35">
      <c r="A9091" s="10" t="s">
        <v>41456</v>
      </c>
      <c r="B9091" s="10" t="str">
        <f>""</f>
        <v/>
      </c>
      <c r="C9091" s="10" t="str">
        <f>"9781118760482"</f>
        <v>9781118760482</v>
      </c>
      <c r="D9091" s="10" t="s">
        <v>6322</v>
      </c>
      <c r="E9091" s="10" t="s">
        <v>6323</v>
      </c>
      <c r="F9091" s="10" t="s">
        <v>4423</v>
      </c>
      <c r="G9091" s="10" t="s">
        <v>6317</v>
      </c>
      <c r="H9091" s="11">
        <v>42492</v>
      </c>
      <c r="I9091" s="10">
        <v>2016</v>
      </c>
      <c r="J9091" s="10" t="s">
        <v>8436</v>
      </c>
      <c r="K9091" s="10">
        <v>203</v>
      </c>
      <c r="L9091" s="10" t="s">
        <v>41457</v>
      </c>
      <c r="M9091" s="10">
        <v>1</v>
      </c>
      <c r="N9091" s="10" t="s">
        <v>41458</v>
      </c>
      <c r="O9091" s="10"/>
      <c r="P9091" s="10"/>
      <c r="Q9091" s="10" t="s">
        <v>6942</v>
      </c>
      <c r="R9091" s="10" t="s">
        <v>6832</v>
      </c>
      <c r="S9091" s="10" t="s">
        <v>53</v>
      </c>
      <c r="T9091" s="10" t="s">
        <v>54</v>
      </c>
    </row>
    <row r="9092" spans="1:20" ht="14.5" x14ac:dyDescent="0.35">
      <c r="A9092" s="10" t="s">
        <v>41459</v>
      </c>
      <c r="B9092" s="10" t="str">
        <f>""</f>
        <v/>
      </c>
      <c r="C9092" s="10" t="str">
        <f>"9781119152071"</f>
        <v>9781119152071</v>
      </c>
      <c r="D9092" s="10" t="s">
        <v>6322</v>
      </c>
      <c r="E9092" s="10" t="s">
        <v>6323</v>
      </c>
      <c r="F9092" s="10" t="s">
        <v>4423</v>
      </c>
      <c r="G9092" s="10" t="s">
        <v>6352</v>
      </c>
      <c r="H9092" s="11">
        <v>42513</v>
      </c>
      <c r="I9092" s="10">
        <v>2016</v>
      </c>
      <c r="J9092" s="10" t="s">
        <v>8436</v>
      </c>
      <c r="K9092" s="10">
        <v>207</v>
      </c>
      <c r="L9092" s="10" t="s">
        <v>41460</v>
      </c>
      <c r="M9092" s="10">
        <v>1</v>
      </c>
      <c r="N9092" s="10" t="s">
        <v>18839</v>
      </c>
      <c r="O9092" s="10"/>
      <c r="P9092" s="10"/>
      <c r="Q9092" s="10" t="s">
        <v>41461</v>
      </c>
      <c r="R9092" s="10" t="s">
        <v>41462</v>
      </c>
      <c r="S9092" s="10" t="s">
        <v>53</v>
      </c>
      <c r="T9092" s="10" t="s">
        <v>54</v>
      </c>
    </row>
    <row r="9093" spans="1:20" ht="14.5" x14ac:dyDescent="0.35">
      <c r="A9093" s="10" t="s">
        <v>41463</v>
      </c>
      <c r="B9093" s="10" t="str">
        <f>"9781475825800"</f>
        <v>9781475825800</v>
      </c>
      <c r="C9093" s="10" t="str">
        <f>"9781475825817"</f>
        <v>9781475825817</v>
      </c>
      <c r="D9093" s="10" t="s">
        <v>9752</v>
      </c>
      <c r="E9093" s="10" t="s">
        <v>15187</v>
      </c>
      <c r="F9093" s="10" t="s">
        <v>9754</v>
      </c>
      <c r="G9093" s="10" t="s">
        <v>6317</v>
      </c>
      <c r="H9093" s="11">
        <v>42418</v>
      </c>
      <c r="I9093" s="10">
        <v>2016</v>
      </c>
      <c r="J9093" s="10" t="s">
        <v>15187</v>
      </c>
      <c r="K9093" s="10">
        <v>278</v>
      </c>
      <c r="L9093" s="10" t="s">
        <v>41464</v>
      </c>
      <c r="M9093" s="10">
        <v>1</v>
      </c>
      <c r="N9093" s="10"/>
      <c r="O9093" s="10"/>
      <c r="P9093" s="10" t="s">
        <v>24708</v>
      </c>
      <c r="Q9093" s="10">
        <v>371.050973</v>
      </c>
      <c r="R9093" s="10" t="s">
        <v>41465</v>
      </c>
      <c r="S9093" s="10" t="s">
        <v>53</v>
      </c>
      <c r="T9093" s="10" t="s">
        <v>54</v>
      </c>
    </row>
    <row r="9094" spans="1:20" ht="14.5" x14ac:dyDescent="0.35">
      <c r="A9094" s="10" t="s">
        <v>41466</v>
      </c>
      <c r="B9094" s="10" t="str">
        <f>"9781475826623"</f>
        <v>9781475826623</v>
      </c>
      <c r="C9094" s="10" t="str">
        <f>"9781475826647"</f>
        <v>9781475826647</v>
      </c>
      <c r="D9094" s="10" t="s">
        <v>9752</v>
      </c>
      <c r="E9094" s="10" t="s">
        <v>15187</v>
      </c>
      <c r="F9094" s="10" t="s">
        <v>9754</v>
      </c>
      <c r="G9094" s="10" t="s">
        <v>6317</v>
      </c>
      <c r="H9094" s="11">
        <v>42432</v>
      </c>
      <c r="I9094" s="10">
        <v>2016</v>
      </c>
      <c r="J9094" s="10" t="s">
        <v>15187</v>
      </c>
      <c r="K9094" s="10">
        <v>211</v>
      </c>
      <c r="L9094" s="10" t="s">
        <v>17628</v>
      </c>
      <c r="M9094" s="10">
        <v>2</v>
      </c>
      <c r="N9094" s="10"/>
      <c r="O9094" s="10"/>
      <c r="P9094" s="10" t="s">
        <v>41467</v>
      </c>
      <c r="Q9094" s="10" t="s">
        <v>11202</v>
      </c>
      <c r="R9094" s="10" t="s">
        <v>41468</v>
      </c>
      <c r="S9094" s="10" t="s">
        <v>53</v>
      </c>
      <c r="T9094" s="10" t="s">
        <v>54</v>
      </c>
    </row>
    <row r="9095" spans="1:20" ht="14.5" x14ac:dyDescent="0.35">
      <c r="A9095" s="10" t="s">
        <v>41469</v>
      </c>
      <c r="B9095" s="10" t="str">
        <f>"9780761867401"</f>
        <v>9780761867401</v>
      </c>
      <c r="C9095" s="10" t="str">
        <f>"9780761867418"</f>
        <v>9780761867418</v>
      </c>
      <c r="D9095" s="10" t="s">
        <v>9752</v>
      </c>
      <c r="E9095" s="10" t="s">
        <v>17167</v>
      </c>
      <c r="F9095" s="10" t="s">
        <v>9754</v>
      </c>
      <c r="G9095" s="10" t="s">
        <v>6317</v>
      </c>
      <c r="H9095" s="11">
        <v>42464</v>
      </c>
      <c r="I9095" s="10">
        <v>2016</v>
      </c>
      <c r="J9095" s="10" t="s">
        <v>17167</v>
      </c>
      <c r="K9095" s="10">
        <v>176</v>
      </c>
      <c r="L9095" s="10" t="s">
        <v>41470</v>
      </c>
      <c r="M9095" s="10">
        <v>1</v>
      </c>
      <c r="N9095" s="10"/>
      <c r="O9095" s="10"/>
      <c r="P9095" s="10" t="s">
        <v>34994</v>
      </c>
      <c r="Q9095" s="10">
        <v>378.19799999999998</v>
      </c>
      <c r="R9095" s="10" t="s">
        <v>41471</v>
      </c>
      <c r="S9095" s="10" t="s">
        <v>53</v>
      </c>
      <c r="T9095" s="10" t="s">
        <v>54</v>
      </c>
    </row>
    <row r="9096" spans="1:20" ht="14.5" x14ac:dyDescent="0.35">
      <c r="A9096" s="10" t="s">
        <v>41472</v>
      </c>
      <c r="B9096" s="10" t="str">
        <f>"9781475826203"</f>
        <v>9781475826203</v>
      </c>
      <c r="C9096" s="10" t="str">
        <f>"9781475826227"</f>
        <v>9781475826227</v>
      </c>
      <c r="D9096" s="10" t="s">
        <v>9752</v>
      </c>
      <c r="E9096" s="10" t="s">
        <v>15187</v>
      </c>
      <c r="F9096" s="10" t="s">
        <v>9754</v>
      </c>
      <c r="G9096" s="10" t="s">
        <v>6317</v>
      </c>
      <c r="H9096" s="11">
        <v>42436</v>
      </c>
      <c r="I9096" s="10">
        <v>2016</v>
      </c>
      <c r="J9096" s="10" t="s">
        <v>15187</v>
      </c>
      <c r="K9096" s="10">
        <v>189</v>
      </c>
      <c r="L9096" s="10" t="s">
        <v>41473</v>
      </c>
      <c r="M9096" s="10">
        <v>1</v>
      </c>
      <c r="N9096" s="10"/>
      <c r="O9096" s="10"/>
      <c r="P9096" s="10" t="s">
        <v>41474</v>
      </c>
      <c r="Q9096" s="10">
        <v>371.2</v>
      </c>
      <c r="R9096" s="10" t="s">
        <v>41475</v>
      </c>
      <c r="S9096" s="10" t="s">
        <v>53</v>
      </c>
      <c r="T9096" s="10" t="s">
        <v>54</v>
      </c>
    </row>
    <row r="9097" spans="1:20" ht="14.5" x14ac:dyDescent="0.35">
      <c r="A9097" s="10" t="s">
        <v>41476</v>
      </c>
      <c r="B9097" s="10" t="str">
        <f>"9781498511155"</f>
        <v>9781498511155</v>
      </c>
      <c r="C9097" s="10" t="str">
        <f>"9781498511162"</f>
        <v>9781498511162</v>
      </c>
      <c r="D9097" s="10" t="s">
        <v>9752</v>
      </c>
      <c r="E9097" s="10" t="s">
        <v>15182</v>
      </c>
      <c r="F9097" s="10" t="s">
        <v>3460</v>
      </c>
      <c r="G9097" s="10" t="s">
        <v>6317</v>
      </c>
      <c r="H9097" s="11">
        <v>42464</v>
      </c>
      <c r="I9097" s="10">
        <v>2016</v>
      </c>
      <c r="J9097" s="10" t="s">
        <v>15182</v>
      </c>
      <c r="K9097" s="10">
        <v>119</v>
      </c>
      <c r="L9097" s="10" t="s">
        <v>41477</v>
      </c>
      <c r="M9097" s="10">
        <v>1</v>
      </c>
      <c r="N9097" s="10" t="s">
        <v>40055</v>
      </c>
      <c r="O9097" s="10"/>
      <c r="P9097" s="10" t="s">
        <v>41478</v>
      </c>
      <c r="Q9097" s="10">
        <v>370.80973</v>
      </c>
      <c r="R9097" s="10" t="s">
        <v>41479</v>
      </c>
      <c r="S9097" s="10" t="s">
        <v>53</v>
      </c>
      <c r="T9097" s="10" t="s">
        <v>54</v>
      </c>
    </row>
    <row r="9098" spans="1:20" ht="14.5" x14ac:dyDescent="0.35">
      <c r="A9098" s="10" t="s">
        <v>41480</v>
      </c>
      <c r="B9098" s="10" t="str">
        <f>"9789897460739"</f>
        <v>9789897460739</v>
      </c>
      <c r="C9098" s="10" t="str">
        <f>"9789897460746"</f>
        <v>9789897460746</v>
      </c>
      <c r="D9098" s="10" t="s">
        <v>39483</v>
      </c>
      <c r="E9098" s="10" t="s">
        <v>41481</v>
      </c>
      <c r="F9098" s="10" t="s">
        <v>2258</v>
      </c>
      <c r="G9098" s="10" t="s">
        <v>39485</v>
      </c>
      <c r="H9098" s="11">
        <v>42005</v>
      </c>
      <c r="I9098" s="10">
        <v>2015</v>
      </c>
      <c r="J9098" s="10" t="s">
        <v>41481</v>
      </c>
      <c r="K9098" s="10">
        <v>214</v>
      </c>
      <c r="L9098" s="10" t="s">
        <v>41482</v>
      </c>
      <c r="M9098" s="10"/>
      <c r="N9098" s="10"/>
      <c r="O9098" s="10"/>
      <c r="P9098" s="10" t="s">
        <v>41483</v>
      </c>
      <c r="Q9098" s="10">
        <v>378.01509809999902</v>
      </c>
      <c r="R9098" s="10" t="s">
        <v>41484</v>
      </c>
      <c r="S9098" s="10" t="s">
        <v>922</v>
      </c>
      <c r="T9098" s="10" t="s">
        <v>54</v>
      </c>
    </row>
    <row r="9099" spans="1:20" ht="14.5" x14ac:dyDescent="0.35">
      <c r="A9099" s="10" t="s">
        <v>41485</v>
      </c>
      <c r="B9099" s="10" t="str">
        <f>"9781475821475"</f>
        <v>9781475821475</v>
      </c>
      <c r="C9099" s="10" t="str">
        <f>"9781475821499"</f>
        <v>9781475821499</v>
      </c>
      <c r="D9099" s="10" t="s">
        <v>9752</v>
      </c>
      <c r="E9099" s="10" t="s">
        <v>15187</v>
      </c>
      <c r="F9099" s="10" t="s">
        <v>9754</v>
      </c>
      <c r="G9099" s="10" t="s">
        <v>6317</v>
      </c>
      <c r="H9099" s="11">
        <v>42436</v>
      </c>
      <c r="I9099" s="10">
        <v>2016</v>
      </c>
      <c r="J9099" s="10" t="s">
        <v>15187</v>
      </c>
      <c r="K9099" s="10">
        <v>155</v>
      </c>
      <c r="L9099" s="10" t="s">
        <v>21786</v>
      </c>
      <c r="M9099" s="10">
        <v>1</v>
      </c>
      <c r="N9099" s="10"/>
      <c r="O9099" s="10"/>
      <c r="P9099" s="10" t="s">
        <v>41486</v>
      </c>
      <c r="Q9099" s="10">
        <v>371.26</v>
      </c>
      <c r="R9099" s="10" t="s">
        <v>6755</v>
      </c>
      <c r="S9099" s="10" t="s">
        <v>53</v>
      </c>
      <c r="T9099" s="10" t="s">
        <v>54</v>
      </c>
    </row>
    <row r="9100" spans="1:20" ht="14.5" x14ac:dyDescent="0.35">
      <c r="A9100" s="10" t="s">
        <v>41487</v>
      </c>
      <c r="B9100" s="10" t="str">
        <f>"9781475821970"</f>
        <v>9781475821970</v>
      </c>
      <c r="C9100" s="10" t="str">
        <f>"9781475821987"</f>
        <v>9781475821987</v>
      </c>
      <c r="D9100" s="10" t="s">
        <v>9752</v>
      </c>
      <c r="E9100" s="10" t="s">
        <v>15187</v>
      </c>
      <c r="F9100" s="10" t="s">
        <v>9754</v>
      </c>
      <c r="G9100" s="10" t="s">
        <v>6317</v>
      </c>
      <c r="H9100" s="11">
        <v>42468</v>
      </c>
      <c r="I9100" s="10">
        <v>2016</v>
      </c>
      <c r="J9100" s="10" t="s">
        <v>15187</v>
      </c>
      <c r="K9100" s="10">
        <v>126</v>
      </c>
      <c r="L9100" s="10" t="s">
        <v>41488</v>
      </c>
      <c r="M9100" s="10">
        <v>1</v>
      </c>
      <c r="N9100" s="10"/>
      <c r="O9100" s="10"/>
      <c r="P9100" s="10" t="s">
        <v>41489</v>
      </c>
      <c r="Q9100" s="10">
        <v>371.2</v>
      </c>
      <c r="R9100" s="10" t="s">
        <v>16762</v>
      </c>
      <c r="S9100" s="10" t="s">
        <v>53</v>
      </c>
      <c r="T9100" s="10" t="s">
        <v>54</v>
      </c>
    </row>
    <row r="9101" spans="1:20" ht="14.5" x14ac:dyDescent="0.35">
      <c r="A9101" s="10" t="s">
        <v>41490</v>
      </c>
      <c r="B9101" s="10" t="str">
        <f>"9789292571276"</f>
        <v>9789292571276</v>
      </c>
      <c r="C9101" s="10" t="str">
        <f>"9789292571283"</f>
        <v>9789292571283</v>
      </c>
      <c r="D9101" s="10" t="s">
        <v>41491</v>
      </c>
      <c r="E9101" s="10" t="s">
        <v>41491</v>
      </c>
      <c r="F9101" s="10" t="s">
        <v>530</v>
      </c>
      <c r="G9101" s="10" t="s">
        <v>41492</v>
      </c>
      <c r="H9101" s="11">
        <v>42338</v>
      </c>
      <c r="I9101" s="10">
        <v>2015</v>
      </c>
      <c r="J9101" s="10" t="s">
        <v>41491</v>
      </c>
      <c r="K9101" s="10">
        <v>92</v>
      </c>
      <c r="L9101" s="10"/>
      <c r="M9101" s="10">
        <v>1</v>
      </c>
      <c r="N9101" s="10" t="s">
        <v>41493</v>
      </c>
      <c r="O9101" s="10"/>
      <c r="P9101" s="10" t="s">
        <v>41494</v>
      </c>
      <c r="Q9101" s="10">
        <v>370.113095493</v>
      </c>
      <c r="R9101" s="10" t="s">
        <v>41495</v>
      </c>
      <c r="S9101" s="10" t="s">
        <v>53</v>
      </c>
      <c r="T9101" s="10" t="s">
        <v>54</v>
      </c>
    </row>
    <row r="9102" spans="1:20" ht="14.5" x14ac:dyDescent="0.35">
      <c r="A9102" s="10" t="s">
        <v>41496</v>
      </c>
      <c r="B9102" s="10" t="str">
        <f>"9781475813548"</f>
        <v>9781475813548</v>
      </c>
      <c r="C9102" s="10" t="str">
        <f>"9781475813555"</f>
        <v>9781475813555</v>
      </c>
      <c r="D9102" s="10" t="s">
        <v>9752</v>
      </c>
      <c r="E9102" s="10" t="s">
        <v>15187</v>
      </c>
      <c r="F9102" s="10" t="s">
        <v>9754</v>
      </c>
      <c r="G9102" s="10" t="s">
        <v>6317</v>
      </c>
      <c r="H9102" s="11">
        <v>42444</v>
      </c>
      <c r="I9102" s="10">
        <v>2016</v>
      </c>
      <c r="J9102" s="10" t="s">
        <v>15187</v>
      </c>
      <c r="K9102" s="10">
        <v>253</v>
      </c>
      <c r="L9102" s="10" t="s">
        <v>41497</v>
      </c>
      <c r="M9102" s="10">
        <v>1</v>
      </c>
      <c r="N9102" s="10"/>
      <c r="O9102" s="10"/>
      <c r="P9102" s="10" t="s">
        <v>41498</v>
      </c>
      <c r="Q9102" s="10">
        <v>372.64044000000001</v>
      </c>
      <c r="R9102" s="10" t="s">
        <v>41499</v>
      </c>
      <c r="S9102" s="10" t="s">
        <v>53</v>
      </c>
      <c r="T9102" s="10" t="s">
        <v>54</v>
      </c>
    </row>
    <row r="9103" spans="1:20" ht="14.5" x14ac:dyDescent="0.35">
      <c r="A9103" s="10" t="s">
        <v>41500</v>
      </c>
      <c r="B9103" s="10" t="str">
        <f>"9781475820997"</f>
        <v>9781475820997</v>
      </c>
      <c r="C9103" s="10" t="str">
        <f>"9781475821017"</f>
        <v>9781475821017</v>
      </c>
      <c r="D9103" s="10" t="s">
        <v>9752</v>
      </c>
      <c r="E9103" s="10" t="s">
        <v>15187</v>
      </c>
      <c r="F9103" s="10" t="s">
        <v>9754</v>
      </c>
      <c r="G9103" s="10" t="s">
        <v>6317</v>
      </c>
      <c r="H9103" s="11">
        <v>42468</v>
      </c>
      <c r="I9103" s="10">
        <v>2016</v>
      </c>
      <c r="J9103" s="10" t="s">
        <v>15187</v>
      </c>
      <c r="K9103" s="10">
        <v>142</v>
      </c>
      <c r="L9103" s="10" t="s">
        <v>40958</v>
      </c>
      <c r="M9103" s="10">
        <v>1</v>
      </c>
      <c r="N9103" s="10"/>
      <c r="O9103" s="10"/>
      <c r="P9103" s="10" t="s">
        <v>8057</v>
      </c>
      <c r="Q9103" s="10">
        <v>371.29130973000002</v>
      </c>
      <c r="R9103" s="10" t="s">
        <v>41501</v>
      </c>
      <c r="S9103" s="10" t="s">
        <v>53</v>
      </c>
      <c r="T9103" s="10" t="s">
        <v>54</v>
      </c>
    </row>
    <row r="9104" spans="1:20" ht="14.5" x14ac:dyDescent="0.35">
      <c r="A9104" s="10" t="s">
        <v>41502</v>
      </c>
      <c r="B9104" s="10" t="str">
        <f>"9781475825435"</f>
        <v>9781475825435</v>
      </c>
      <c r="C9104" s="10" t="str">
        <f>"9781475825459"</f>
        <v>9781475825459</v>
      </c>
      <c r="D9104" s="10" t="s">
        <v>9752</v>
      </c>
      <c r="E9104" s="10" t="s">
        <v>15187</v>
      </c>
      <c r="F9104" s="10" t="s">
        <v>9754</v>
      </c>
      <c r="G9104" s="10" t="s">
        <v>6317</v>
      </c>
      <c r="H9104" s="11">
        <v>42468</v>
      </c>
      <c r="I9104" s="10">
        <v>2016</v>
      </c>
      <c r="J9104" s="10" t="s">
        <v>15187</v>
      </c>
      <c r="K9104" s="10">
        <v>121</v>
      </c>
      <c r="L9104" s="10" t="s">
        <v>41503</v>
      </c>
      <c r="M9104" s="10">
        <v>1</v>
      </c>
      <c r="N9104" s="10"/>
      <c r="O9104" s="10"/>
      <c r="P9104" s="10" t="s">
        <v>41504</v>
      </c>
      <c r="Q9104" s="10">
        <v>372.13340972999998</v>
      </c>
      <c r="R9104" s="10" t="s">
        <v>41505</v>
      </c>
      <c r="S9104" s="10" t="s">
        <v>53</v>
      </c>
      <c r="T9104" s="10" t="s">
        <v>54</v>
      </c>
    </row>
    <row r="9105" spans="1:20" ht="14.5" x14ac:dyDescent="0.35">
      <c r="A9105" s="10" t="s">
        <v>41506</v>
      </c>
      <c r="B9105" s="10" t="str">
        <f>"9780268020453"</f>
        <v>9780268020453</v>
      </c>
      <c r="C9105" s="10" t="str">
        <f>"9780268074852"</f>
        <v>9780268074852</v>
      </c>
      <c r="D9105" s="10" t="s">
        <v>39472</v>
      </c>
      <c r="E9105" s="10" t="s">
        <v>39472</v>
      </c>
      <c r="F9105" s="10" t="s">
        <v>39473</v>
      </c>
      <c r="G9105" s="10" t="s">
        <v>6317</v>
      </c>
      <c r="H9105" s="11">
        <v>42278</v>
      </c>
      <c r="I9105" s="10">
        <v>2015</v>
      </c>
      <c r="J9105" s="10" t="s">
        <v>39472</v>
      </c>
      <c r="K9105" s="10">
        <v>241</v>
      </c>
      <c r="L9105" s="10" t="s">
        <v>41507</v>
      </c>
      <c r="M9105" s="10">
        <v>1</v>
      </c>
      <c r="N9105" s="10"/>
      <c r="O9105" s="10"/>
      <c r="P9105" s="10"/>
      <c r="Q9105" s="10" t="s">
        <v>41508</v>
      </c>
      <c r="R9105" s="10"/>
      <c r="S9105" s="10" t="s">
        <v>53</v>
      </c>
      <c r="T9105" s="10" t="s">
        <v>6384</v>
      </c>
    </row>
    <row r="9106" spans="1:20" ht="14.5" x14ac:dyDescent="0.35">
      <c r="A9106" s="10" t="s">
        <v>41509</v>
      </c>
      <c r="B9106" s="10" t="str">
        <f>"9781475826968"</f>
        <v>9781475826968</v>
      </c>
      <c r="C9106" s="10" t="str">
        <f>"9781475826982"</f>
        <v>9781475826982</v>
      </c>
      <c r="D9106" s="10" t="s">
        <v>9752</v>
      </c>
      <c r="E9106" s="10" t="s">
        <v>15187</v>
      </c>
      <c r="F9106" s="10" t="s">
        <v>9754</v>
      </c>
      <c r="G9106" s="10" t="s">
        <v>6317</v>
      </c>
      <c r="H9106" s="11">
        <v>42466</v>
      </c>
      <c r="I9106" s="10">
        <v>2016</v>
      </c>
      <c r="J9106" s="10" t="s">
        <v>15187</v>
      </c>
      <c r="K9106" s="10">
        <v>173</v>
      </c>
      <c r="L9106" s="10" t="s">
        <v>41510</v>
      </c>
      <c r="M9106" s="10">
        <v>1</v>
      </c>
      <c r="N9106" s="10"/>
      <c r="O9106" s="10"/>
      <c r="P9106" s="10" t="s">
        <v>41511</v>
      </c>
      <c r="Q9106" s="10" t="s">
        <v>8460</v>
      </c>
      <c r="R9106" s="10" t="s">
        <v>41512</v>
      </c>
      <c r="S9106" s="10" t="s">
        <v>53</v>
      </c>
      <c r="T9106" s="10" t="s">
        <v>54</v>
      </c>
    </row>
    <row r="9107" spans="1:20" ht="14.5" x14ac:dyDescent="0.35">
      <c r="A9107" s="10" t="s">
        <v>41513</v>
      </c>
      <c r="B9107" s="10" t="str">
        <f>"9781118801178"</f>
        <v>9781118801178</v>
      </c>
      <c r="C9107" s="10" t="str">
        <f>"9781118800973"</f>
        <v>9781118800973</v>
      </c>
      <c r="D9107" s="10" t="s">
        <v>6322</v>
      </c>
      <c r="E9107" s="10" t="s">
        <v>6323</v>
      </c>
      <c r="F9107" s="10" t="s">
        <v>4423</v>
      </c>
      <c r="G9107" s="10" t="s">
        <v>6317</v>
      </c>
      <c r="H9107" s="11">
        <v>42478</v>
      </c>
      <c r="I9107" s="10">
        <v>2016</v>
      </c>
      <c r="J9107" s="10" t="s">
        <v>6324</v>
      </c>
      <c r="K9107" s="10">
        <v>355</v>
      </c>
      <c r="L9107" s="10" t="s">
        <v>41514</v>
      </c>
      <c r="M9107" s="10">
        <v>1</v>
      </c>
      <c r="N9107" s="10"/>
      <c r="O9107" s="10"/>
      <c r="P9107" s="10" t="s">
        <v>41515</v>
      </c>
      <c r="Q9107" s="10">
        <v>371.20120973000002</v>
      </c>
      <c r="R9107" s="10" t="s">
        <v>41516</v>
      </c>
      <c r="S9107" s="10" t="s">
        <v>53</v>
      </c>
      <c r="T9107" s="10" t="s">
        <v>54</v>
      </c>
    </row>
    <row r="9108" spans="1:20" ht="14.5" x14ac:dyDescent="0.35">
      <c r="A9108" s="10" t="s">
        <v>41517</v>
      </c>
      <c r="B9108" s="10" t="str">
        <f>"9781118944493"</f>
        <v>9781118944493</v>
      </c>
      <c r="C9108" s="10" t="str">
        <f>"9781118944509"</f>
        <v>9781118944509</v>
      </c>
      <c r="D9108" s="10" t="s">
        <v>6322</v>
      </c>
      <c r="E9108" s="10" t="s">
        <v>6323</v>
      </c>
      <c r="F9108" s="10" t="s">
        <v>1168</v>
      </c>
      <c r="G9108" s="10" t="s">
        <v>6317</v>
      </c>
      <c r="H9108" s="11">
        <v>42436</v>
      </c>
      <c r="I9108" s="10">
        <v>2016</v>
      </c>
      <c r="J9108" s="10" t="s">
        <v>6324</v>
      </c>
      <c r="K9108" s="10">
        <v>273</v>
      </c>
      <c r="L9108" s="10" t="s">
        <v>34993</v>
      </c>
      <c r="M9108" s="10">
        <v>1</v>
      </c>
      <c r="N9108" s="10"/>
      <c r="O9108" s="10"/>
      <c r="P9108" s="10" t="s">
        <v>41518</v>
      </c>
      <c r="Q9108" s="10" t="s">
        <v>6942</v>
      </c>
      <c r="R9108" s="10" t="s">
        <v>41006</v>
      </c>
      <c r="S9108" s="10" t="s">
        <v>53</v>
      </c>
      <c r="T9108" s="10" t="s">
        <v>54</v>
      </c>
    </row>
    <row r="9109" spans="1:20" ht="14.5" x14ac:dyDescent="0.35">
      <c r="A9109" s="10" t="s">
        <v>41519</v>
      </c>
      <c r="B9109" s="10" t="str">
        <f>"9781118984154"</f>
        <v>9781118984154</v>
      </c>
      <c r="C9109" s="10" t="str">
        <f>"9781118984161"</f>
        <v>9781118984161</v>
      </c>
      <c r="D9109" s="10" t="s">
        <v>6322</v>
      </c>
      <c r="E9109" s="10" t="s">
        <v>6323</v>
      </c>
      <c r="F9109" s="10" t="s">
        <v>4423</v>
      </c>
      <c r="G9109" s="10" t="s">
        <v>6317</v>
      </c>
      <c r="H9109" s="11">
        <v>42429</v>
      </c>
      <c r="I9109" s="10">
        <v>2016</v>
      </c>
      <c r="J9109" s="10" t="s">
        <v>6324</v>
      </c>
      <c r="K9109" s="10">
        <v>387</v>
      </c>
      <c r="L9109" s="10" t="s">
        <v>24752</v>
      </c>
      <c r="M9109" s="10">
        <v>1</v>
      </c>
      <c r="N9109" s="10"/>
      <c r="O9109" s="10"/>
      <c r="P9109" s="10"/>
      <c r="Q9109" s="10"/>
      <c r="R9109" s="10" t="s">
        <v>41520</v>
      </c>
      <c r="S9109" s="10" t="s">
        <v>53</v>
      </c>
      <c r="T9109" s="10" t="s">
        <v>54</v>
      </c>
    </row>
    <row r="9110" spans="1:20" ht="14.5" x14ac:dyDescent="0.35">
      <c r="A9110" s="10" t="s">
        <v>41521</v>
      </c>
      <c r="B9110" s="10" t="str">
        <f>"9781681233307"</f>
        <v>9781681233307</v>
      </c>
      <c r="C9110" s="10" t="str">
        <f>"9781681233321"</f>
        <v>9781681233321</v>
      </c>
      <c r="D9110" s="10" t="s">
        <v>274</v>
      </c>
      <c r="E9110" s="10" t="s">
        <v>35170</v>
      </c>
      <c r="F9110" s="10" t="s">
        <v>35171</v>
      </c>
      <c r="G9110" s="10" t="s">
        <v>6317</v>
      </c>
      <c r="H9110" s="11">
        <v>42552</v>
      </c>
      <c r="I9110" s="10">
        <v>2016</v>
      </c>
      <c r="J9110" s="10" t="s">
        <v>35170</v>
      </c>
      <c r="K9110" s="10">
        <v>206</v>
      </c>
      <c r="L9110" s="10" t="s">
        <v>41522</v>
      </c>
      <c r="M9110" s="10">
        <v>1</v>
      </c>
      <c r="N9110" s="10" t="s">
        <v>35291</v>
      </c>
      <c r="O9110" s="10"/>
      <c r="P9110" s="10" t="s">
        <v>41523</v>
      </c>
      <c r="Q9110" s="10" t="s">
        <v>41524</v>
      </c>
      <c r="R9110" s="10" t="s">
        <v>41525</v>
      </c>
      <c r="S9110" s="10" t="s">
        <v>53</v>
      </c>
      <c r="T9110" s="10" t="s">
        <v>13527</v>
      </c>
    </row>
    <row r="9111" spans="1:20" ht="14.5" x14ac:dyDescent="0.35">
      <c r="A9111" s="10" t="s">
        <v>41526</v>
      </c>
      <c r="B9111" s="10" t="str">
        <f>"9781681233994"</f>
        <v>9781681233994</v>
      </c>
      <c r="C9111" s="10" t="str">
        <f>"9781681234014"</f>
        <v>9781681234014</v>
      </c>
      <c r="D9111" s="10" t="s">
        <v>274</v>
      </c>
      <c r="E9111" s="10" t="s">
        <v>35170</v>
      </c>
      <c r="F9111" s="10" t="s">
        <v>35171</v>
      </c>
      <c r="G9111" s="10" t="s">
        <v>6317</v>
      </c>
      <c r="H9111" s="11">
        <v>42522</v>
      </c>
      <c r="I9111" s="10">
        <v>2016</v>
      </c>
      <c r="J9111" s="10" t="s">
        <v>35170</v>
      </c>
      <c r="K9111" s="10">
        <v>273</v>
      </c>
      <c r="L9111" s="10" t="s">
        <v>41527</v>
      </c>
      <c r="M9111" s="10">
        <v>1</v>
      </c>
      <c r="N9111" s="10" t="s">
        <v>35177</v>
      </c>
      <c r="O9111" s="10"/>
      <c r="P9111" s="10" t="s">
        <v>41528</v>
      </c>
      <c r="Q9111" s="10">
        <v>379.3</v>
      </c>
      <c r="R9111" s="10" t="s">
        <v>41529</v>
      </c>
      <c r="S9111" s="10" t="s">
        <v>53</v>
      </c>
      <c r="T9111" s="10" t="s">
        <v>6526</v>
      </c>
    </row>
    <row r="9112" spans="1:20" ht="14.5" x14ac:dyDescent="0.35">
      <c r="A9112" s="10" t="s">
        <v>41530</v>
      </c>
      <c r="B9112" s="10" t="str">
        <f>"9781681234175"</f>
        <v>9781681234175</v>
      </c>
      <c r="C9112" s="10" t="str">
        <f>"9781681234199"</f>
        <v>9781681234199</v>
      </c>
      <c r="D9112" s="10" t="s">
        <v>274</v>
      </c>
      <c r="E9112" s="10" t="s">
        <v>35170</v>
      </c>
      <c r="F9112" s="10" t="s">
        <v>35171</v>
      </c>
      <c r="G9112" s="10" t="s">
        <v>6317</v>
      </c>
      <c r="H9112" s="11">
        <v>42522</v>
      </c>
      <c r="I9112" s="10">
        <v>2016</v>
      </c>
      <c r="J9112" s="10" t="s">
        <v>35170</v>
      </c>
      <c r="K9112" s="10">
        <v>180</v>
      </c>
      <c r="L9112" s="10" t="s">
        <v>41531</v>
      </c>
      <c r="M9112" s="10">
        <v>1</v>
      </c>
      <c r="N9112" s="10" t="s">
        <v>31845</v>
      </c>
      <c r="O9112" s="10"/>
      <c r="P9112" s="10" t="s">
        <v>41532</v>
      </c>
      <c r="Q9112" s="10">
        <v>418.00709999999998</v>
      </c>
      <c r="R9112" s="10" t="s">
        <v>41533</v>
      </c>
      <c r="S9112" s="10" t="s">
        <v>53</v>
      </c>
      <c r="T9112" s="10" t="s">
        <v>6616</v>
      </c>
    </row>
    <row r="9113" spans="1:20" ht="14.5" x14ac:dyDescent="0.35">
      <c r="A9113" s="10" t="s">
        <v>41534</v>
      </c>
      <c r="B9113" s="10" t="str">
        <f>"9781416621447"</f>
        <v>9781416621447</v>
      </c>
      <c r="C9113" s="10" t="str">
        <f>"9781416621454"</f>
        <v>9781416621454</v>
      </c>
      <c r="D9113" s="10" t="s">
        <v>10014</v>
      </c>
      <c r="E9113" s="10" t="s">
        <v>10015</v>
      </c>
      <c r="F9113" s="10" t="s">
        <v>201</v>
      </c>
      <c r="G9113" s="10" t="s">
        <v>6317</v>
      </c>
      <c r="H9113" s="11">
        <v>42399</v>
      </c>
      <c r="I9113" s="10">
        <v>2016</v>
      </c>
      <c r="J9113" s="10" t="s">
        <v>10015</v>
      </c>
      <c r="K9113" s="10">
        <v>208</v>
      </c>
      <c r="L9113" s="10" t="s">
        <v>41535</v>
      </c>
      <c r="M9113" s="10">
        <v>1</v>
      </c>
      <c r="N9113" s="10"/>
      <c r="O9113" s="10"/>
      <c r="P9113" s="10"/>
      <c r="Q9113" s="10">
        <v>371.2</v>
      </c>
      <c r="R9113" s="10"/>
      <c r="S9113" s="10" t="s">
        <v>53</v>
      </c>
      <c r="T9113" s="10" t="s">
        <v>54</v>
      </c>
    </row>
    <row r="9114" spans="1:20" ht="14.5" x14ac:dyDescent="0.35">
      <c r="A9114" s="10" t="s">
        <v>41536</v>
      </c>
      <c r="B9114" s="10" t="str">
        <f>"9781416621577"</f>
        <v>9781416621577</v>
      </c>
      <c r="C9114" s="10" t="str">
        <f>"9781416621591"</f>
        <v>9781416621591</v>
      </c>
      <c r="D9114" s="10" t="s">
        <v>10014</v>
      </c>
      <c r="E9114" s="10" t="s">
        <v>10015</v>
      </c>
      <c r="F9114" s="10" t="s">
        <v>201</v>
      </c>
      <c r="G9114" s="10" t="s">
        <v>6317</v>
      </c>
      <c r="H9114" s="11">
        <v>42428</v>
      </c>
      <c r="I9114" s="10">
        <v>2016</v>
      </c>
      <c r="J9114" s="10" t="s">
        <v>10015</v>
      </c>
      <c r="K9114" s="10">
        <v>160</v>
      </c>
      <c r="L9114" s="10" t="s">
        <v>41537</v>
      </c>
      <c r="M9114" s="10">
        <v>1</v>
      </c>
      <c r="N9114" s="10"/>
      <c r="O9114" s="10"/>
      <c r="P9114" s="10"/>
      <c r="Q9114" s="10" t="s">
        <v>10031</v>
      </c>
      <c r="R9114" s="10"/>
      <c r="S9114" s="10" t="s">
        <v>53</v>
      </c>
      <c r="T9114" s="10" t="s">
        <v>54</v>
      </c>
    </row>
    <row r="9115" spans="1:20" ht="14.5" x14ac:dyDescent="0.35">
      <c r="A9115" s="10" t="s">
        <v>41538</v>
      </c>
      <c r="B9115" s="10" t="str">
        <f>"9781416622505"</f>
        <v>9781416622505</v>
      </c>
      <c r="C9115" s="10" t="str">
        <f>"9781416622567"</f>
        <v>9781416622567</v>
      </c>
      <c r="D9115" s="10" t="s">
        <v>10014</v>
      </c>
      <c r="E9115" s="10" t="s">
        <v>10015</v>
      </c>
      <c r="F9115" s="10" t="s">
        <v>201</v>
      </c>
      <c r="G9115" s="10" t="s">
        <v>6317</v>
      </c>
      <c r="H9115" s="11">
        <v>42428</v>
      </c>
      <c r="I9115" s="10">
        <v>2016</v>
      </c>
      <c r="J9115" s="10" t="s">
        <v>10015</v>
      </c>
      <c r="K9115" s="10">
        <v>332</v>
      </c>
      <c r="L9115" s="10" t="s">
        <v>41539</v>
      </c>
      <c r="M9115" s="10">
        <v>1</v>
      </c>
      <c r="N9115" s="10"/>
      <c r="O9115" s="10"/>
      <c r="P9115" s="10"/>
      <c r="Q9115" s="10"/>
      <c r="R9115" s="10"/>
      <c r="S9115" s="10" t="s">
        <v>53</v>
      </c>
      <c r="T9115" s="10" t="s">
        <v>54</v>
      </c>
    </row>
    <row r="9116" spans="1:20" ht="14.5" x14ac:dyDescent="0.35">
      <c r="A9116" s="10" t="s">
        <v>41540</v>
      </c>
      <c r="B9116" s="10" t="str">
        <f>"9783959346054"</f>
        <v>9783959346054</v>
      </c>
      <c r="C9116" s="10" t="str">
        <f>"9783959341059"</f>
        <v>9783959341059</v>
      </c>
      <c r="D9116" s="10" t="s">
        <v>27189</v>
      </c>
      <c r="E9116" s="10" t="s">
        <v>27190</v>
      </c>
      <c r="F9116" s="10" t="s">
        <v>2925</v>
      </c>
      <c r="G9116" s="10" t="s">
        <v>9998</v>
      </c>
      <c r="H9116" s="11">
        <v>42339</v>
      </c>
      <c r="I9116" s="10">
        <v>2015</v>
      </c>
      <c r="J9116" s="10" t="s">
        <v>27190</v>
      </c>
      <c r="K9116" s="10">
        <v>109</v>
      </c>
      <c r="L9116" s="10" t="s">
        <v>41541</v>
      </c>
      <c r="M9116" s="10">
        <v>1</v>
      </c>
      <c r="N9116" s="10"/>
      <c r="O9116" s="10"/>
      <c r="P9116" s="10" t="s">
        <v>41542</v>
      </c>
      <c r="Q9116" s="10">
        <v>362.76</v>
      </c>
      <c r="R9116" s="10" t="s">
        <v>41543</v>
      </c>
      <c r="S9116" s="10" t="s">
        <v>1519</v>
      </c>
      <c r="T9116" s="10" t="s">
        <v>6363</v>
      </c>
    </row>
    <row r="9117" spans="1:20" ht="14.5" x14ac:dyDescent="0.35">
      <c r="A9117" s="10" t="s">
        <v>41544</v>
      </c>
      <c r="B9117" s="10" t="str">
        <f>"9783959346924"</f>
        <v>9783959346924</v>
      </c>
      <c r="C9117" s="10" t="str">
        <f>"9783959341929"</f>
        <v>9783959341929</v>
      </c>
      <c r="D9117" s="10" t="s">
        <v>27189</v>
      </c>
      <c r="E9117" s="10" t="s">
        <v>27190</v>
      </c>
      <c r="F9117" s="10" t="s">
        <v>2925</v>
      </c>
      <c r="G9117" s="10" t="s">
        <v>9998</v>
      </c>
      <c r="H9117" s="11">
        <v>42339</v>
      </c>
      <c r="I9117" s="10">
        <v>2015</v>
      </c>
      <c r="J9117" s="10" t="s">
        <v>27190</v>
      </c>
      <c r="K9117" s="10">
        <v>79</v>
      </c>
      <c r="L9117" s="10" t="s">
        <v>41545</v>
      </c>
      <c r="M9117" s="10">
        <v>1</v>
      </c>
      <c r="N9117" s="10"/>
      <c r="O9117" s="10"/>
      <c r="P9117" s="10" t="s">
        <v>41546</v>
      </c>
      <c r="Q9117" s="10">
        <v>796.08299999999895</v>
      </c>
      <c r="R9117" s="10" t="s">
        <v>41547</v>
      </c>
      <c r="S9117" s="10" t="s">
        <v>1519</v>
      </c>
      <c r="T9117" s="10" t="s">
        <v>7340</v>
      </c>
    </row>
    <row r="9118" spans="1:20" ht="14.5" x14ac:dyDescent="0.35">
      <c r="A9118" s="10" t="s">
        <v>41548</v>
      </c>
      <c r="B9118" s="10" t="str">
        <f>"9783959348256"</f>
        <v>9783959348256</v>
      </c>
      <c r="C9118" s="10" t="str">
        <f>"9783959343251"</f>
        <v>9783959343251</v>
      </c>
      <c r="D9118" s="10" t="s">
        <v>27189</v>
      </c>
      <c r="E9118" s="10" t="s">
        <v>27190</v>
      </c>
      <c r="F9118" s="10" t="s">
        <v>2925</v>
      </c>
      <c r="G9118" s="10" t="s">
        <v>9998</v>
      </c>
      <c r="H9118" s="11">
        <v>42370</v>
      </c>
      <c r="I9118" s="10">
        <v>2016</v>
      </c>
      <c r="J9118" s="10" t="s">
        <v>27190</v>
      </c>
      <c r="K9118" s="10">
        <v>91</v>
      </c>
      <c r="L9118" s="10" t="s">
        <v>41549</v>
      </c>
      <c r="M9118" s="10">
        <v>1</v>
      </c>
      <c r="N9118" s="10"/>
      <c r="O9118" s="10"/>
      <c r="P9118" s="10" t="s">
        <v>41550</v>
      </c>
      <c r="Q9118" s="10">
        <v>305.2355</v>
      </c>
      <c r="R9118" s="10" t="s">
        <v>41551</v>
      </c>
      <c r="S9118" s="10" t="s">
        <v>1519</v>
      </c>
      <c r="T9118" s="10" t="s">
        <v>6363</v>
      </c>
    </row>
    <row r="9119" spans="1:20" ht="14.5" x14ac:dyDescent="0.35">
      <c r="A9119" s="10" t="s">
        <v>41552</v>
      </c>
      <c r="B9119" s="10" t="str">
        <f>"9783959348379"</f>
        <v>9783959348379</v>
      </c>
      <c r="C9119" s="10" t="str">
        <f>"9783959343374"</f>
        <v>9783959343374</v>
      </c>
      <c r="D9119" s="10" t="s">
        <v>27189</v>
      </c>
      <c r="E9119" s="10" t="s">
        <v>27190</v>
      </c>
      <c r="F9119" s="10" t="s">
        <v>2925</v>
      </c>
      <c r="G9119" s="10" t="s">
        <v>9998</v>
      </c>
      <c r="H9119" s="11">
        <v>42370</v>
      </c>
      <c r="I9119" s="10">
        <v>2016</v>
      </c>
      <c r="J9119" s="10" t="s">
        <v>27190</v>
      </c>
      <c r="K9119" s="10">
        <v>84</v>
      </c>
      <c r="L9119" s="10" t="s">
        <v>41553</v>
      </c>
      <c r="M9119" s="10">
        <v>1</v>
      </c>
      <c r="N9119" s="10"/>
      <c r="O9119" s="10"/>
      <c r="P9119" s="10" t="s">
        <v>41554</v>
      </c>
      <c r="Q9119" s="10">
        <v>370.113</v>
      </c>
      <c r="R9119" s="10" t="s">
        <v>41555</v>
      </c>
      <c r="S9119" s="10" t="s">
        <v>1519</v>
      </c>
      <c r="T9119" s="10" t="s">
        <v>54</v>
      </c>
    </row>
    <row r="9120" spans="1:20" ht="14.5" x14ac:dyDescent="0.35">
      <c r="A9120" s="10" t="s">
        <v>41556</v>
      </c>
      <c r="B9120" s="10" t="str">
        <f>"9781475806526"</f>
        <v>9781475806526</v>
      </c>
      <c r="C9120" s="10" t="str">
        <f>"9781475806533"</f>
        <v>9781475806533</v>
      </c>
      <c r="D9120" s="10" t="s">
        <v>9752</v>
      </c>
      <c r="E9120" s="10" t="s">
        <v>15187</v>
      </c>
      <c r="F9120" s="10" t="s">
        <v>9754</v>
      </c>
      <c r="G9120" s="10" t="s">
        <v>6317</v>
      </c>
      <c r="H9120" s="11">
        <v>42466</v>
      </c>
      <c r="I9120" s="10">
        <v>2016</v>
      </c>
      <c r="J9120" s="10" t="s">
        <v>15187</v>
      </c>
      <c r="K9120" s="10">
        <v>161</v>
      </c>
      <c r="L9120" s="10" t="s">
        <v>41557</v>
      </c>
      <c r="M9120" s="10">
        <v>1</v>
      </c>
      <c r="N9120" s="10"/>
      <c r="O9120" s="10"/>
      <c r="P9120" s="10" t="s">
        <v>41558</v>
      </c>
      <c r="Q9120" s="10">
        <v>371.10199999999998</v>
      </c>
      <c r="R9120" s="10" t="s">
        <v>41559</v>
      </c>
      <c r="S9120" s="10" t="s">
        <v>53</v>
      </c>
      <c r="T9120" s="10" t="s">
        <v>54</v>
      </c>
    </row>
    <row r="9121" spans="1:20" ht="14.5" x14ac:dyDescent="0.35">
      <c r="A9121" s="10" t="s">
        <v>41560</v>
      </c>
      <c r="B9121" s="10" t="str">
        <f>"9781475825534"</f>
        <v>9781475825534</v>
      </c>
      <c r="C9121" s="10" t="str">
        <f>"9781475825541"</f>
        <v>9781475825541</v>
      </c>
      <c r="D9121" s="10" t="s">
        <v>9752</v>
      </c>
      <c r="E9121" s="10" t="s">
        <v>15187</v>
      </c>
      <c r="F9121" s="10" t="s">
        <v>9754</v>
      </c>
      <c r="G9121" s="10" t="s">
        <v>6317</v>
      </c>
      <c r="H9121" s="11">
        <v>42466</v>
      </c>
      <c r="I9121" s="10">
        <v>2016</v>
      </c>
      <c r="J9121" s="10" t="s">
        <v>15187</v>
      </c>
      <c r="K9121" s="10">
        <v>273</v>
      </c>
      <c r="L9121" s="10" t="s">
        <v>24622</v>
      </c>
      <c r="M9121" s="10">
        <v>1</v>
      </c>
      <c r="N9121" s="10"/>
      <c r="O9121" s="10"/>
      <c r="P9121" s="10" t="s">
        <v>41561</v>
      </c>
      <c r="Q9121" s="10" t="s">
        <v>9797</v>
      </c>
      <c r="R9121" s="10" t="s">
        <v>41562</v>
      </c>
      <c r="S9121" s="10" t="s">
        <v>53</v>
      </c>
      <c r="T9121" s="10" t="s">
        <v>16298</v>
      </c>
    </row>
    <row r="9122" spans="1:20" ht="14.5" x14ac:dyDescent="0.35">
      <c r="A9122" s="10" t="s">
        <v>41563</v>
      </c>
      <c r="B9122" s="10" t="str">
        <f>"9781932236521"</f>
        <v>9781932236521</v>
      </c>
      <c r="C9122" s="10" t="str">
        <f>"9781497648920"</f>
        <v>9781497648920</v>
      </c>
      <c r="D9122" s="10" t="s">
        <v>6358</v>
      </c>
      <c r="E9122" s="10" t="s">
        <v>41564</v>
      </c>
      <c r="F9122" s="10" t="s">
        <v>70</v>
      </c>
      <c r="G9122" s="10" t="s">
        <v>6317</v>
      </c>
      <c r="H9122" s="11">
        <v>38747</v>
      </c>
      <c r="I9122" s="10">
        <v>2006</v>
      </c>
      <c r="J9122" s="10" t="s">
        <v>41564</v>
      </c>
      <c r="K9122" s="10">
        <v>105</v>
      </c>
      <c r="L9122" s="10" t="s">
        <v>41565</v>
      </c>
      <c r="M9122" s="10">
        <v>1</v>
      </c>
      <c r="N9122" s="10"/>
      <c r="O9122" s="10"/>
      <c r="P9122" s="10" t="s">
        <v>41566</v>
      </c>
      <c r="Q9122" s="10"/>
      <c r="R9122" s="10" t="s">
        <v>41101</v>
      </c>
      <c r="S9122" s="10" t="s">
        <v>53</v>
      </c>
      <c r="T9122" s="10" t="s">
        <v>54</v>
      </c>
    </row>
    <row r="9123" spans="1:20" ht="14.5" x14ac:dyDescent="0.35">
      <c r="A9123" s="10" t="s">
        <v>41567</v>
      </c>
      <c r="B9123" s="10" t="str">
        <f>"9781118701980"</f>
        <v>9781118701980</v>
      </c>
      <c r="C9123" s="10" t="str">
        <f>"9781118702000"</f>
        <v>9781118702000</v>
      </c>
      <c r="D9123" s="10" t="s">
        <v>6322</v>
      </c>
      <c r="E9123" s="10" t="s">
        <v>6323</v>
      </c>
      <c r="F9123" s="10" t="s">
        <v>4423</v>
      </c>
      <c r="G9123" s="10" t="s">
        <v>6317</v>
      </c>
      <c r="H9123" s="11">
        <v>42485</v>
      </c>
      <c r="I9123" s="10">
        <v>2016</v>
      </c>
      <c r="J9123" s="10" t="s">
        <v>6324</v>
      </c>
      <c r="K9123" s="10">
        <v>343</v>
      </c>
      <c r="L9123" s="10" t="s">
        <v>41568</v>
      </c>
      <c r="M9123" s="10">
        <v>1</v>
      </c>
      <c r="N9123" s="10"/>
      <c r="O9123" s="10"/>
      <c r="P9123" s="10"/>
      <c r="Q9123" s="10"/>
      <c r="R9123" s="10" t="s">
        <v>41569</v>
      </c>
      <c r="S9123" s="10" t="s">
        <v>53</v>
      </c>
      <c r="T9123" s="10" t="s">
        <v>54</v>
      </c>
    </row>
    <row r="9124" spans="1:20" ht="14.5" x14ac:dyDescent="0.35">
      <c r="A9124" s="10" t="s">
        <v>41570</v>
      </c>
      <c r="B9124" s="10" t="str">
        <f>""</f>
        <v/>
      </c>
      <c r="C9124" s="10" t="str">
        <f>"9781119084242"</f>
        <v>9781119084242</v>
      </c>
      <c r="D9124" s="10" t="s">
        <v>6322</v>
      </c>
      <c r="E9124" s="10" t="s">
        <v>6323</v>
      </c>
      <c r="F9124" s="10" t="s">
        <v>4423</v>
      </c>
      <c r="G9124" s="10" t="s">
        <v>6317</v>
      </c>
      <c r="H9124" s="11">
        <v>42478</v>
      </c>
      <c r="I9124" s="10">
        <v>2016</v>
      </c>
      <c r="J9124" s="10" t="s">
        <v>41571</v>
      </c>
      <c r="K9124" s="10">
        <v>315</v>
      </c>
      <c r="L9124" s="10" t="s">
        <v>41572</v>
      </c>
      <c r="M9124" s="10">
        <v>1</v>
      </c>
      <c r="N9124" s="10" t="s">
        <v>41573</v>
      </c>
      <c r="O9124" s="10"/>
      <c r="P9124" s="10"/>
      <c r="Q9124" s="10"/>
      <c r="R9124" s="10" t="s">
        <v>41574</v>
      </c>
      <c r="S9124" s="10" t="s">
        <v>53</v>
      </c>
      <c r="T9124" s="10" t="s">
        <v>6616</v>
      </c>
    </row>
    <row r="9125" spans="1:20" ht="14.5" x14ac:dyDescent="0.35">
      <c r="A9125" s="10" t="s">
        <v>41575</v>
      </c>
      <c r="B9125" s="10" t="str">
        <f>"9780739192009"</f>
        <v>9780739192009</v>
      </c>
      <c r="C9125" s="10" t="str">
        <f>"9780739192016"</f>
        <v>9780739192016</v>
      </c>
      <c r="D9125" s="10" t="s">
        <v>9752</v>
      </c>
      <c r="E9125" s="10" t="s">
        <v>15182</v>
      </c>
      <c r="F9125" s="10" t="s">
        <v>3460</v>
      </c>
      <c r="G9125" s="10" t="s">
        <v>6317</v>
      </c>
      <c r="H9125" s="11">
        <v>42473</v>
      </c>
      <c r="I9125" s="10">
        <v>2016</v>
      </c>
      <c r="J9125" s="10" t="s">
        <v>15182</v>
      </c>
      <c r="K9125" s="10">
        <v>183</v>
      </c>
      <c r="L9125" s="10" t="s">
        <v>41576</v>
      </c>
      <c r="M9125" s="10">
        <v>1</v>
      </c>
      <c r="N9125" s="10"/>
      <c r="O9125" s="10"/>
      <c r="P9125" s="10" t="s">
        <v>41577</v>
      </c>
      <c r="Q9125" s="10">
        <v>428.00710500000002</v>
      </c>
      <c r="R9125" s="10" t="s">
        <v>41578</v>
      </c>
      <c r="S9125" s="10" t="s">
        <v>53</v>
      </c>
      <c r="T9125" s="10" t="s">
        <v>6616</v>
      </c>
    </row>
    <row r="9126" spans="1:20" ht="14.5" x14ac:dyDescent="0.35">
      <c r="A9126" s="10" t="s">
        <v>41579</v>
      </c>
      <c r="B9126" s="10" t="str">
        <f>"9781475820942"</f>
        <v>9781475820942</v>
      </c>
      <c r="C9126" s="10" t="str">
        <f>"9781475820959"</f>
        <v>9781475820959</v>
      </c>
      <c r="D9126" s="10" t="s">
        <v>9752</v>
      </c>
      <c r="E9126" s="10" t="s">
        <v>15187</v>
      </c>
      <c r="F9126" s="10" t="s">
        <v>9754</v>
      </c>
      <c r="G9126" s="10" t="s">
        <v>6317</v>
      </c>
      <c r="H9126" s="11">
        <v>42466</v>
      </c>
      <c r="I9126" s="10">
        <v>2016</v>
      </c>
      <c r="J9126" s="10" t="s">
        <v>15187</v>
      </c>
      <c r="K9126" s="10">
        <v>193</v>
      </c>
      <c r="L9126" s="10" t="s">
        <v>41580</v>
      </c>
      <c r="M9126" s="10">
        <v>1</v>
      </c>
      <c r="N9126" s="10"/>
      <c r="O9126" s="10"/>
      <c r="P9126" s="10" t="s">
        <v>41581</v>
      </c>
      <c r="Q9126" s="10">
        <v>370.72</v>
      </c>
      <c r="R9126" s="10" t="s">
        <v>17579</v>
      </c>
      <c r="S9126" s="10" t="s">
        <v>53</v>
      </c>
      <c r="T9126" s="10" t="s">
        <v>54</v>
      </c>
    </row>
    <row r="9127" spans="1:20" ht="14.5" x14ac:dyDescent="0.35">
      <c r="A9127" s="10" t="s">
        <v>41582</v>
      </c>
      <c r="B9127" s="10" t="str">
        <f>"9781498515566"</f>
        <v>9781498515566</v>
      </c>
      <c r="C9127" s="10" t="str">
        <f>"9781498515573"</f>
        <v>9781498515573</v>
      </c>
      <c r="D9127" s="10" t="s">
        <v>9752</v>
      </c>
      <c r="E9127" s="10" t="s">
        <v>15182</v>
      </c>
      <c r="F9127" s="10" t="s">
        <v>3460</v>
      </c>
      <c r="G9127" s="10" t="s">
        <v>6317</v>
      </c>
      <c r="H9127" s="11">
        <v>42430</v>
      </c>
      <c r="I9127" s="10">
        <v>2016</v>
      </c>
      <c r="J9127" s="10" t="s">
        <v>15182</v>
      </c>
      <c r="K9127" s="10">
        <v>342</v>
      </c>
      <c r="L9127" s="10" t="s">
        <v>10225</v>
      </c>
      <c r="M9127" s="10">
        <v>1</v>
      </c>
      <c r="N9127" s="10"/>
      <c r="O9127" s="10"/>
      <c r="P9127" s="10" t="s">
        <v>41583</v>
      </c>
      <c r="Q9127" s="10">
        <v>378.73</v>
      </c>
      <c r="R9127" s="10" t="s">
        <v>41584</v>
      </c>
      <c r="S9127" s="10" t="s">
        <v>53</v>
      </c>
      <c r="T9127" s="10" t="s">
        <v>54</v>
      </c>
    </row>
    <row r="9128" spans="1:20" ht="14.5" x14ac:dyDescent="0.35">
      <c r="A9128" s="10" t="s">
        <v>41585</v>
      </c>
      <c r="B9128" s="10" t="str">
        <f>"9789811003585"</f>
        <v>9789811003585</v>
      </c>
      <c r="C9128" s="10" t="str">
        <f>"9789811003608"</f>
        <v>9789811003608</v>
      </c>
      <c r="D9128" s="10" t="s">
        <v>11249</v>
      </c>
      <c r="E9128" s="10" t="s">
        <v>23658</v>
      </c>
      <c r="F9128" s="10" t="s">
        <v>549</v>
      </c>
      <c r="G9128" s="10" t="s">
        <v>8573</v>
      </c>
      <c r="H9128" s="11">
        <v>42464</v>
      </c>
      <c r="I9128" s="10">
        <v>2016</v>
      </c>
      <c r="J9128" s="10" t="s">
        <v>23658</v>
      </c>
      <c r="K9128" s="10">
        <v>708</v>
      </c>
      <c r="L9128" s="10" t="s">
        <v>41586</v>
      </c>
      <c r="M9128" s="10">
        <v>1</v>
      </c>
      <c r="N9128" s="10"/>
      <c r="O9128" s="10"/>
      <c r="P9128" s="10" t="s">
        <v>11251</v>
      </c>
      <c r="Q9128" s="10">
        <v>332.024</v>
      </c>
      <c r="R9128" s="10" t="s">
        <v>41587</v>
      </c>
      <c r="S9128" s="10" t="s">
        <v>53</v>
      </c>
      <c r="T9128" s="10" t="s">
        <v>8003</v>
      </c>
    </row>
    <row r="9129" spans="1:20" ht="14.5" x14ac:dyDescent="0.35">
      <c r="A9129" s="10" t="s">
        <v>41588</v>
      </c>
      <c r="B9129" s="10" t="str">
        <f>"9781442255234"</f>
        <v>9781442255234</v>
      </c>
      <c r="C9129" s="10" t="str">
        <f>"9781442255241"</f>
        <v>9781442255241</v>
      </c>
      <c r="D9129" s="10" t="s">
        <v>9752</v>
      </c>
      <c r="E9129" s="10" t="s">
        <v>15187</v>
      </c>
      <c r="F9129" s="10" t="s">
        <v>9754</v>
      </c>
      <c r="G9129" s="10" t="s">
        <v>6317</v>
      </c>
      <c r="H9129" s="11">
        <v>42471</v>
      </c>
      <c r="I9129" s="10">
        <v>2016</v>
      </c>
      <c r="J9129" s="10" t="s">
        <v>15187</v>
      </c>
      <c r="K9129" s="10">
        <v>271</v>
      </c>
      <c r="L9129" s="10" t="s">
        <v>41589</v>
      </c>
      <c r="M9129" s="10">
        <v>1</v>
      </c>
      <c r="N9129" s="10"/>
      <c r="O9129" s="10"/>
      <c r="P9129" s="10" t="s">
        <v>41590</v>
      </c>
      <c r="Q9129" s="10">
        <v>378.19826970973003</v>
      </c>
      <c r="R9129" s="10" t="s">
        <v>41591</v>
      </c>
      <c r="S9129" s="10" t="s">
        <v>53</v>
      </c>
      <c r="T9129" s="10" t="s">
        <v>39853</v>
      </c>
    </row>
    <row r="9130" spans="1:20" ht="14.5" x14ac:dyDescent="0.35">
      <c r="A9130" s="10" t="s">
        <v>41592</v>
      </c>
      <c r="B9130" s="10" t="str">
        <f>"9781475818307"</f>
        <v>9781475818307</v>
      </c>
      <c r="C9130" s="10" t="str">
        <f>"9781475818314"</f>
        <v>9781475818314</v>
      </c>
      <c r="D9130" s="10" t="s">
        <v>9752</v>
      </c>
      <c r="E9130" s="10" t="s">
        <v>15187</v>
      </c>
      <c r="F9130" s="10" t="s">
        <v>9754</v>
      </c>
      <c r="G9130" s="10" t="s">
        <v>6317</v>
      </c>
      <c r="H9130" s="11">
        <v>42464</v>
      </c>
      <c r="I9130" s="10">
        <v>2016</v>
      </c>
      <c r="J9130" s="10" t="s">
        <v>15187</v>
      </c>
      <c r="K9130" s="10">
        <v>243</v>
      </c>
      <c r="L9130" s="10" t="s">
        <v>41593</v>
      </c>
      <c r="M9130" s="10">
        <v>1</v>
      </c>
      <c r="N9130" s="10"/>
      <c r="O9130" s="10"/>
      <c r="P9130" s="10" t="s">
        <v>41594</v>
      </c>
      <c r="Q9130" s="10">
        <v>371.10199999999998</v>
      </c>
      <c r="R9130" s="10" t="s">
        <v>12268</v>
      </c>
      <c r="S9130" s="10" t="s">
        <v>53</v>
      </c>
      <c r="T9130" s="10" t="s">
        <v>54</v>
      </c>
    </row>
    <row r="9131" spans="1:20" ht="14.5" x14ac:dyDescent="0.35">
      <c r="A9131" s="10" t="s">
        <v>41595</v>
      </c>
      <c r="B9131" s="10" t="str">
        <f>"9781475827392"</f>
        <v>9781475827392</v>
      </c>
      <c r="C9131" s="10" t="str">
        <f>"9781475827408"</f>
        <v>9781475827408</v>
      </c>
      <c r="D9131" s="10" t="s">
        <v>9752</v>
      </c>
      <c r="E9131" s="10" t="s">
        <v>15187</v>
      </c>
      <c r="F9131" s="10" t="s">
        <v>9754</v>
      </c>
      <c r="G9131" s="10" t="s">
        <v>6317</v>
      </c>
      <c r="H9131" s="11">
        <v>42465</v>
      </c>
      <c r="I9131" s="10">
        <v>2016</v>
      </c>
      <c r="J9131" s="10" t="s">
        <v>15187</v>
      </c>
      <c r="K9131" s="10">
        <v>200</v>
      </c>
      <c r="L9131" s="10" t="s">
        <v>41596</v>
      </c>
      <c r="M9131" s="10">
        <v>1</v>
      </c>
      <c r="N9131" s="10"/>
      <c r="O9131" s="10"/>
      <c r="P9131" s="10" t="s">
        <v>41597</v>
      </c>
      <c r="Q9131" s="10"/>
      <c r="R9131" s="10" t="s">
        <v>39872</v>
      </c>
      <c r="S9131" s="10" t="s">
        <v>53</v>
      </c>
      <c r="T9131" s="10" t="s">
        <v>54</v>
      </c>
    </row>
    <row r="9132" spans="1:20" ht="14.5" x14ac:dyDescent="0.35">
      <c r="A9132" s="10" t="s">
        <v>41598</v>
      </c>
      <c r="B9132" s="10" t="str">
        <f>"9780761847274"</f>
        <v>9780761847274</v>
      </c>
      <c r="C9132" s="10" t="str">
        <f>"9780761847281"</f>
        <v>9780761847281</v>
      </c>
      <c r="D9132" s="10" t="s">
        <v>9752</v>
      </c>
      <c r="E9132" s="10" t="s">
        <v>17167</v>
      </c>
      <c r="F9132" s="10" t="s">
        <v>9754</v>
      </c>
      <c r="G9132" s="10" t="s">
        <v>6317</v>
      </c>
      <c r="H9132" s="11">
        <v>40029</v>
      </c>
      <c r="I9132" s="10">
        <v>2009</v>
      </c>
      <c r="J9132" s="10" t="s">
        <v>17167</v>
      </c>
      <c r="K9132" s="10">
        <v>162</v>
      </c>
      <c r="L9132" s="10" t="s">
        <v>41599</v>
      </c>
      <c r="M9132" s="10">
        <v>1</v>
      </c>
      <c r="N9132" s="10"/>
      <c r="O9132" s="10"/>
      <c r="P9132" s="10"/>
      <c r="Q9132" s="10"/>
      <c r="R9132" s="10" t="s">
        <v>41600</v>
      </c>
      <c r="S9132" s="10" t="s">
        <v>53</v>
      </c>
      <c r="T9132" s="10" t="s">
        <v>12015</v>
      </c>
    </row>
    <row r="9133" spans="1:20" ht="14.5" x14ac:dyDescent="0.35">
      <c r="A9133" s="10" t="s">
        <v>41601</v>
      </c>
      <c r="B9133" s="10" t="str">
        <f>"9780813564210"</f>
        <v>9780813564210</v>
      </c>
      <c r="C9133" s="10" t="str">
        <f>"9780813564227"</f>
        <v>9780813564227</v>
      </c>
      <c r="D9133" s="10" t="s">
        <v>12251</v>
      </c>
      <c r="E9133" s="10" t="s">
        <v>12251</v>
      </c>
      <c r="F9133" s="10" t="s">
        <v>12451</v>
      </c>
      <c r="G9133" s="10" t="s">
        <v>6317</v>
      </c>
      <c r="H9133" s="11">
        <v>42220</v>
      </c>
      <c r="I9133" s="10">
        <v>2015</v>
      </c>
      <c r="J9133" s="10" t="s">
        <v>12251</v>
      </c>
      <c r="K9133" s="10">
        <v>440</v>
      </c>
      <c r="L9133" s="10" t="s">
        <v>41602</v>
      </c>
      <c r="M9133" s="10">
        <v>1</v>
      </c>
      <c r="N9133" s="10" t="s">
        <v>28526</v>
      </c>
      <c r="O9133" s="10"/>
      <c r="P9133" s="10" t="s">
        <v>41603</v>
      </c>
      <c r="Q9133" s="10" t="s">
        <v>41604</v>
      </c>
      <c r="R9133" s="10" t="s">
        <v>41605</v>
      </c>
      <c r="S9133" s="10" t="s">
        <v>53</v>
      </c>
      <c r="T9133" s="10" t="s">
        <v>54</v>
      </c>
    </row>
    <row r="9134" spans="1:20" ht="14.5" x14ac:dyDescent="0.35">
      <c r="A9134" s="10" t="s">
        <v>41606</v>
      </c>
      <c r="B9134" s="10" t="str">
        <f>"9781571815491"</f>
        <v>9781571815491</v>
      </c>
      <c r="C9134" s="10" t="str">
        <f>"9781782381747"</f>
        <v>9781782381747</v>
      </c>
      <c r="D9134" s="10" t="s">
        <v>21315</v>
      </c>
      <c r="E9134" s="10" t="s">
        <v>21316</v>
      </c>
      <c r="F9134" s="10" t="s">
        <v>13068</v>
      </c>
      <c r="G9134" s="10" t="s">
        <v>6317</v>
      </c>
      <c r="H9134" s="11">
        <v>38443</v>
      </c>
      <c r="I9134" s="10">
        <v>2005</v>
      </c>
      <c r="J9134" s="10" t="s">
        <v>21316</v>
      </c>
      <c r="K9134" s="10">
        <v>266</v>
      </c>
      <c r="L9134" s="10" t="s">
        <v>41607</v>
      </c>
      <c r="M9134" s="10">
        <v>1</v>
      </c>
      <c r="N9134" s="10"/>
      <c r="O9134" s="10"/>
      <c r="P9134" s="10" t="s">
        <v>41608</v>
      </c>
      <c r="Q9134" s="10" t="s">
        <v>41609</v>
      </c>
      <c r="R9134" s="10" t="s">
        <v>41610</v>
      </c>
      <c r="S9134" s="10" t="s">
        <v>53</v>
      </c>
      <c r="T9134" s="10" t="s">
        <v>7711</v>
      </c>
    </row>
    <row r="9135" spans="1:20" ht="14.5" x14ac:dyDescent="0.35">
      <c r="A9135" s="10" t="s">
        <v>41611</v>
      </c>
      <c r="B9135" s="10" t="str">
        <f>"9782806267863"</f>
        <v>9782806267863</v>
      </c>
      <c r="C9135" s="10" t="str">
        <f>"9782806267856"</f>
        <v>9782806267856</v>
      </c>
      <c r="D9135" s="10" t="s">
        <v>29172</v>
      </c>
      <c r="E9135" s="10" t="s">
        <v>29173</v>
      </c>
      <c r="F9135" s="10" t="s">
        <v>29181</v>
      </c>
      <c r="G9135" s="10" t="s">
        <v>28737</v>
      </c>
      <c r="H9135" s="11">
        <v>42359</v>
      </c>
      <c r="I9135" s="10">
        <v>2015</v>
      </c>
      <c r="J9135" s="10" t="s">
        <v>29175</v>
      </c>
      <c r="K9135" s="10">
        <v>25</v>
      </c>
      <c r="L9135" s="10" t="s">
        <v>39822</v>
      </c>
      <c r="M9135" s="10">
        <v>1</v>
      </c>
      <c r="N9135" s="10" t="s">
        <v>29177</v>
      </c>
      <c r="O9135" s="10"/>
      <c r="P9135" s="10"/>
      <c r="Q9135" s="10"/>
      <c r="R9135" s="10" t="s">
        <v>41612</v>
      </c>
      <c r="S9135" s="10" t="s">
        <v>5404</v>
      </c>
      <c r="T9135" s="10" t="s">
        <v>29186</v>
      </c>
    </row>
    <row r="9136" spans="1:20" ht="14.5" x14ac:dyDescent="0.35">
      <c r="A9136" s="10" t="s">
        <v>41613</v>
      </c>
      <c r="B9136" s="10" t="str">
        <f>"9782806268105"</f>
        <v>9782806268105</v>
      </c>
      <c r="C9136" s="10" t="str">
        <f>"9782806268099"</f>
        <v>9782806268099</v>
      </c>
      <c r="D9136" s="10" t="s">
        <v>29172</v>
      </c>
      <c r="E9136" s="10" t="s">
        <v>29173</v>
      </c>
      <c r="F9136" s="10" t="s">
        <v>29181</v>
      </c>
      <c r="G9136" s="10" t="s">
        <v>28737</v>
      </c>
      <c r="H9136" s="11">
        <v>42390</v>
      </c>
      <c r="I9136" s="10">
        <v>2016</v>
      </c>
      <c r="J9136" s="10" t="s">
        <v>29175</v>
      </c>
      <c r="K9136" s="10">
        <v>15</v>
      </c>
      <c r="L9136" s="10" t="s">
        <v>39824</v>
      </c>
      <c r="M9136" s="10">
        <v>1</v>
      </c>
      <c r="N9136" s="10" t="s">
        <v>29177</v>
      </c>
      <c r="O9136" s="10"/>
      <c r="P9136" s="10"/>
      <c r="Q9136" s="10"/>
      <c r="R9136" s="10" t="s">
        <v>41614</v>
      </c>
      <c r="S9136" s="10" t="s">
        <v>5404</v>
      </c>
      <c r="T9136" s="10" t="s">
        <v>29186</v>
      </c>
    </row>
    <row r="9137" spans="1:20" ht="14.5" x14ac:dyDescent="0.35">
      <c r="A9137" s="10" t="s">
        <v>41615</v>
      </c>
      <c r="B9137" s="10" t="str">
        <f>"9782806268143"</f>
        <v>9782806268143</v>
      </c>
      <c r="C9137" s="10" t="str">
        <f>"9782806268136"</f>
        <v>9782806268136</v>
      </c>
      <c r="D9137" s="10" t="s">
        <v>29172</v>
      </c>
      <c r="E9137" s="10" t="s">
        <v>29173</v>
      </c>
      <c r="F9137" s="10" t="s">
        <v>29181</v>
      </c>
      <c r="G9137" s="10" t="s">
        <v>28737</v>
      </c>
      <c r="H9137" s="11">
        <v>42359</v>
      </c>
      <c r="I9137" s="10">
        <v>2015</v>
      </c>
      <c r="J9137" s="10" t="s">
        <v>29175</v>
      </c>
      <c r="K9137" s="10">
        <v>31</v>
      </c>
      <c r="L9137" s="10" t="s">
        <v>39589</v>
      </c>
      <c r="M9137" s="10">
        <v>1</v>
      </c>
      <c r="N9137" s="10" t="s">
        <v>29177</v>
      </c>
      <c r="O9137" s="10"/>
      <c r="P9137" s="10"/>
      <c r="Q9137" s="10"/>
      <c r="R9137" s="10" t="s">
        <v>41616</v>
      </c>
      <c r="S9137" s="10" t="s">
        <v>5404</v>
      </c>
      <c r="T9137" s="10" t="s">
        <v>29264</v>
      </c>
    </row>
    <row r="9138" spans="1:20" ht="14.5" x14ac:dyDescent="0.35">
      <c r="A9138" s="10" t="s">
        <v>41617</v>
      </c>
      <c r="B9138" s="10" t="str">
        <f>"9782806268228"</f>
        <v>9782806268228</v>
      </c>
      <c r="C9138" s="10" t="str">
        <f>"9782806268211"</f>
        <v>9782806268211</v>
      </c>
      <c r="D9138" s="10" t="s">
        <v>29172</v>
      </c>
      <c r="E9138" s="10" t="s">
        <v>29173</v>
      </c>
      <c r="F9138" s="10" t="s">
        <v>29181</v>
      </c>
      <c r="G9138" s="10" t="s">
        <v>28737</v>
      </c>
      <c r="H9138" s="11">
        <v>42359</v>
      </c>
      <c r="I9138" s="10">
        <v>2015</v>
      </c>
      <c r="J9138" s="10" t="s">
        <v>29175</v>
      </c>
      <c r="K9138" s="10">
        <v>30</v>
      </c>
      <c r="L9138" s="10" t="s">
        <v>41618</v>
      </c>
      <c r="M9138" s="10">
        <v>1</v>
      </c>
      <c r="N9138" s="10" t="s">
        <v>29177</v>
      </c>
      <c r="O9138" s="10"/>
      <c r="P9138" s="10"/>
      <c r="Q9138" s="10"/>
      <c r="R9138" s="10" t="s">
        <v>41619</v>
      </c>
      <c r="S9138" s="10" t="s">
        <v>5404</v>
      </c>
      <c r="T9138" s="10" t="s">
        <v>6568</v>
      </c>
    </row>
    <row r="9139" spans="1:20" ht="14.5" x14ac:dyDescent="0.35">
      <c r="A9139" s="10" t="s">
        <v>41620</v>
      </c>
      <c r="B9139" s="10" t="str">
        <f>"9782806274571"</f>
        <v>9782806274571</v>
      </c>
      <c r="C9139" s="10" t="str">
        <f>"9782806274564"</f>
        <v>9782806274564</v>
      </c>
      <c r="D9139" s="10" t="s">
        <v>29172</v>
      </c>
      <c r="E9139" s="10" t="s">
        <v>29173</v>
      </c>
      <c r="F9139" s="10" t="s">
        <v>29181</v>
      </c>
      <c r="G9139" s="10" t="s">
        <v>28737</v>
      </c>
      <c r="H9139" s="11">
        <v>42349</v>
      </c>
      <c r="I9139" s="10">
        <v>2015</v>
      </c>
      <c r="J9139" s="10" t="s">
        <v>29175</v>
      </c>
      <c r="K9139" s="10">
        <v>19</v>
      </c>
      <c r="L9139" s="10" t="s">
        <v>41621</v>
      </c>
      <c r="M9139" s="10">
        <v>1</v>
      </c>
      <c r="N9139" s="10" t="s">
        <v>29177</v>
      </c>
      <c r="O9139" s="10"/>
      <c r="P9139" s="10"/>
      <c r="Q9139" s="10"/>
      <c r="R9139" s="10" t="s">
        <v>41622</v>
      </c>
      <c r="S9139" s="10" t="s">
        <v>5404</v>
      </c>
      <c r="T9139" s="10" t="s">
        <v>29186</v>
      </c>
    </row>
    <row r="9140" spans="1:20" ht="14.5" x14ac:dyDescent="0.35">
      <c r="A9140" s="10" t="s">
        <v>41623</v>
      </c>
      <c r="B9140" s="10" t="str">
        <f>"9782806265630"</f>
        <v>9782806265630</v>
      </c>
      <c r="C9140" s="10" t="str">
        <f>"9782806265623"</f>
        <v>9782806265623</v>
      </c>
      <c r="D9140" s="10" t="s">
        <v>29172</v>
      </c>
      <c r="E9140" s="10" t="s">
        <v>29173</v>
      </c>
      <c r="F9140" s="10" t="s">
        <v>29181</v>
      </c>
      <c r="G9140" s="10" t="s">
        <v>28737</v>
      </c>
      <c r="H9140" s="11">
        <v>42390</v>
      </c>
      <c r="I9140" s="10">
        <v>2016</v>
      </c>
      <c r="J9140" s="10" t="s">
        <v>29175</v>
      </c>
      <c r="K9140" s="10">
        <v>73</v>
      </c>
      <c r="L9140" s="10" t="s">
        <v>41624</v>
      </c>
      <c r="M9140" s="10">
        <v>1</v>
      </c>
      <c r="N9140" s="10" t="s">
        <v>29177</v>
      </c>
      <c r="O9140" s="10"/>
      <c r="P9140" s="10"/>
      <c r="Q9140" s="10"/>
      <c r="R9140" s="10" t="s">
        <v>41625</v>
      </c>
      <c r="S9140" s="10" t="s">
        <v>5404</v>
      </c>
      <c r="T9140" s="10" t="s">
        <v>29186</v>
      </c>
    </row>
    <row r="9141" spans="1:20" ht="14.5" x14ac:dyDescent="0.35">
      <c r="A9141" s="10" t="s">
        <v>41626</v>
      </c>
      <c r="B9141" s="10" t="str">
        <f>"9782806265814"</f>
        <v>9782806265814</v>
      </c>
      <c r="C9141" s="10" t="str">
        <f>"9782806265807"</f>
        <v>9782806265807</v>
      </c>
      <c r="D9141" s="10" t="s">
        <v>29172</v>
      </c>
      <c r="E9141" s="10" t="s">
        <v>29173</v>
      </c>
      <c r="F9141" s="10" t="s">
        <v>29181</v>
      </c>
      <c r="G9141" s="10" t="s">
        <v>28737</v>
      </c>
      <c r="H9141" s="11">
        <v>42390</v>
      </c>
      <c r="I9141" s="10">
        <v>2016</v>
      </c>
      <c r="J9141" s="10" t="s">
        <v>29175</v>
      </c>
      <c r="K9141" s="10">
        <v>14</v>
      </c>
      <c r="L9141" s="10" t="s">
        <v>39592</v>
      </c>
      <c r="M9141" s="10">
        <v>1</v>
      </c>
      <c r="N9141" s="10" t="s">
        <v>29177</v>
      </c>
      <c r="O9141" s="10"/>
      <c r="P9141" s="10"/>
      <c r="Q9141" s="10"/>
      <c r="R9141" s="10" t="s">
        <v>13858</v>
      </c>
      <c r="S9141" s="10" t="s">
        <v>5404</v>
      </c>
      <c r="T9141" s="10" t="s">
        <v>6568</v>
      </c>
    </row>
    <row r="9142" spans="1:20" ht="14.5" x14ac:dyDescent="0.35">
      <c r="A9142" s="10" t="s">
        <v>41627</v>
      </c>
      <c r="B9142" s="10" t="str">
        <f>"9782806267825"</f>
        <v>9782806267825</v>
      </c>
      <c r="C9142" s="10" t="str">
        <f>"9782806267818"</f>
        <v>9782806267818</v>
      </c>
      <c r="D9142" s="10" t="s">
        <v>29172</v>
      </c>
      <c r="E9142" s="10" t="s">
        <v>29173</v>
      </c>
      <c r="F9142" s="10" t="s">
        <v>29181</v>
      </c>
      <c r="G9142" s="10" t="s">
        <v>28737</v>
      </c>
      <c r="H9142" s="11">
        <v>42359</v>
      </c>
      <c r="I9142" s="10">
        <v>2015</v>
      </c>
      <c r="J9142" s="10" t="s">
        <v>29175</v>
      </c>
      <c r="K9142" s="10">
        <v>25</v>
      </c>
      <c r="L9142" s="10" t="s">
        <v>41628</v>
      </c>
      <c r="M9142" s="10">
        <v>1</v>
      </c>
      <c r="N9142" s="10" t="s">
        <v>29177</v>
      </c>
      <c r="O9142" s="10"/>
      <c r="P9142" s="10"/>
      <c r="Q9142" s="10"/>
      <c r="R9142" s="10" t="s">
        <v>41614</v>
      </c>
      <c r="S9142" s="10" t="s">
        <v>5404</v>
      </c>
      <c r="T9142" s="10" t="s">
        <v>6568</v>
      </c>
    </row>
    <row r="9143" spans="1:20" ht="14.5" x14ac:dyDescent="0.35">
      <c r="A9143" s="10" t="s">
        <v>41629</v>
      </c>
      <c r="B9143" s="10" t="str">
        <f>"9782806267887"</f>
        <v>9782806267887</v>
      </c>
      <c r="C9143" s="10" t="str">
        <f>"9782806267870"</f>
        <v>9782806267870</v>
      </c>
      <c r="D9143" s="10" t="s">
        <v>29172</v>
      </c>
      <c r="E9143" s="10" t="s">
        <v>29173</v>
      </c>
      <c r="F9143" s="10" t="s">
        <v>29181</v>
      </c>
      <c r="G9143" s="10" t="s">
        <v>28737</v>
      </c>
      <c r="H9143" s="11">
        <v>42359</v>
      </c>
      <c r="I9143" s="10">
        <v>2015</v>
      </c>
      <c r="J9143" s="10" t="s">
        <v>29175</v>
      </c>
      <c r="K9143" s="10">
        <v>24</v>
      </c>
      <c r="L9143" s="10" t="s">
        <v>39822</v>
      </c>
      <c r="M9143" s="10">
        <v>1</v>
      </c>
      <c r="N9143" s="10" t="s">
        <v>29177</v>
      </c>
      <c r="O9143" s="10"/>
      <c r="P9143" s="10"/>
      <c r="Q9143" s="10"/>
      <c r="R9143" s="10" t="s">
        <v>41630</v>
      </c>
      <c r="S9143" s="10" t="s">
        <v>5404</v>
      </c>
      <c r="T9143" s="10" t="s">
        <v>29186</v>
      </c>
    </row>
    <row r="9144" spans="1:20" ht="14.5" x14ac:dyDescent="0.35">
      <c r="A9144" s="10" t="s">
        <v>41631</v>
      </c>
      <c r="B9144" s="10" t="str">
        <f>"9782806268129"</f>
        <v>9782806268129</v>
      </c>
      <c r="C9144" s="10" t="str">
        <f>"9782806268112"</f>
        <v>9782806268112</v>
      </c>
      <c r="D9144" s="10" t="s">
        <v>29172</v>
      </c>
      <c r="E9144" s="10" t="s">
        <v>29173</v>
      </c>
      <c r="F9144" s="10" t="s">
        <v>29181</v>
      </c>
      <c r="G9144" s="10" t="s">
        <v>28737</v>
      </c>
      <c r="H9144" s="11">
        <v>42359</v>
      </c>
      <c r="I9144" s="10">
        <v>2015</v>
      </c>
      <c r="J9144" s="10" t="s">
        <v>29175</v>
      </c>
      <c r="K9144" s="10">
        <v>28</v>
      </c>
      <c r="L9144" s="10" t="s">
        <v>41632</v>
      </c>
      <c r="M9144" s="10">
        <v>1</v>
      </c>
      <c r="N9144" s="10" t="s">
        <v>29177</v>
      </c>
      <c r="O9144" s="10"/>
      <c r="P9144" s="10"/>
      <c r="Q9144" s="10"/>
      <c r="R9144" s="10" t="s">
        <v>41633</v>
      </c>
      <c r="S9144" s="10" t="s">
        <v>5404</v>
      </c>
      <c r="T9144" s="10" t="s">
        <v>29186</v>
      </c>
    </row>
    <row r="9145" spans="1:20" ht="14.5" x14ac:dyDescent="0.35">
      <c r="A9145" s="10" t="s">
        <v>41634</v>
      </c>
      <c r="B9145" s="10" t="str">
        <f>"9782806268167"</f>
        <v>9782806268167</v>
      </c>
      <c r="C9145" s="10" t="str">
        <f>"9782806268150"</f>
        <v>9782806268150</v>
      </c>
      <c r="D9145" s="10" t="s">
        <v>29172</v>
      </c>
      <c r="E9145" s="10" t="s">
        <v>29173</v>
      </c>
      <c r="F9145" s="10" t="s">
        <v>29181</v>
      </c>
      <c r="G9145" s="10" t="s">
        <v>28737</v>
      </c>
      <c r="H9145" s="11">
        <v>42374</v>
      </c>
      <c r="I9145" s="10">
        <v>2016</v>
      </c>
      <c r="J9145" s="10" t="s">
        <v>29175</v>
      </c>
      <c r="K9145" s="10">
        <v>15</v>
      </c>
      <c r="L9145" s="10" t="s">
        <v>41618</v>
      </c>
      <c r="M9145" s="10">
        <v>1</v>
      </c>
      <c r="N9145" s="10" t="s">
        <v>29177</v>
      </c>
      <c r="O9145" s="10"/>
      <c r="P9145" s="10"/>
      <c r="Q9145" s="10"/>
      <c r="R9145" s="10" t="s">
        <v>41635</v>
      </c>
      <c r="S9145" s="10" t="s">
        <v>5404</v>
      </c>
      <c r="T9145" s="10" t="s">
        <v>29186</v>
      </c>
    </row>
    <row r="9146" spans="1:20" ht="14.5" x14ac:dyDescent="0.35">
      <c r="A9146" s="10" t="s">
        <v>41636</v>
      </c>
      <c r="B9146" s="10" t="str">
        <f>"9782806269232"</f>
        <v>9782806269232</v>
      </c>
      <c r="C9146" s="10" t="str">
        <f>"9782806269225"</f>
        <v>9782806269225</v>
      </c>
      <c r="D9146" s="10" t="s">
        <v>29172</v>
      </c>
      <c r="E9146" s="10" t="s">
        <v>29173</v>
      </c>
      <c r="F9146" s="10" t="s">
        <v>29181</v>
      </c>
      <c r="G9146" s="10" t="s">
        <v>28737</v>
      </c>
      <c r="H9146" s="11">
        <v>42429</v>
      </c>
      <c r="I9146" s="10">
        <v>2016</v>
      </c>
      <c r="J9146" s="10" t="s">
        <v>31276</v>
      </c>
      <c r="K9146" s="10">
        <v>38</v>
      </c>
      <c r="L9146" s="10" t="s">
        <v>41637</v>
      </c>
      <c r="M9146" s="10">
        <v>1</v>
      </c>
      <c r="N9146" s="10" t="s">
        <v>41638</v>
      </c>
      <c r="O9146" s="10">
        <v>2</v>
      </c>
      <c r="P9146" s="10"/>
      <c r="Q9146" s="10"/>
      <c r="R9146" s="10" t="s">
        <v>41639</v>
      </c>
      <c r="S9146" s="10" t="s">
        <v>5404</v>
      </c>
      <c r="T9146" s="10" t="s">
        <v>22627</v>
      </c>
    </row>
    <row r="9147" spans="1:20" ht="14.5" x14ac:dyDescent="0.35">
      <c r="A9147" s="10" t="s">
        <v>41640</v>
      </c>
      <c r="B9147" s="10" t="str">
        <f>"9782806271068"</f>
        <v>9782806271068</v>
      </c>
      <c r="C9147" s="10" t="str">
        <f>"9782806271051"</f>
        <v>9782806271051</v>
      </c>
      <c r="D9147" s="10" t="s">
        <v>29172</v>
      </c>
      <c r="E9147" s="10" t="s">
        <v>29173</v>
      </c>
      <c r="F9147" s="10" t="s">
        <v>29181</v>
      </c>
      <c r="G9147" s="10" t="s">
        <v>28737</v>
      </c>
      <c r="H9147" s="11">
        <v>42374</v>
      </c>
      <c r="I9147" s="10">
        <v>2016</v>
      </c>
      <c r="J9147" s="10" t="s">
        <v>29175</v>
      </c>
      <c r="K9147" s="10">
        <v>15</v>
      </c>
      <c r="L9147" s="10" t="s">
        <v>39608</v>
      </c>
      <c r="M9147" s="10">
        <v>1</v>
      </c>
      <c r="N9147" s="10" t="s">
        <v>29177</v>
      </c>
      <c r="O9147" s="10"/>
      <c r="P9147" s="10"/>
      <c r="Q9147" s="10"/>
      <c r="R9147" s="10" t="s">
        <v>41641</v>
      </c>
      <c r="S9147" s="10" t="s">
        <v>5404</v>
      </c>
      <c r="T9147" s="10" t="s">
        <v>29186</v>
      </c>
    </row>
    <row r="9148" spans="1:20" ht="14.5" x14ac:dyDescent="0.35">
      <c r="A9148" s="10" t="s">
        <v>41642</v>
      </c>
      <c r="B9148" s="10" t="str">
        <f>"9782806275127"</f>
        <v>9782806275127</v>
      </c>
      <c r="C9148" s="10" t="str">
        <f>"9782806275110"</f>
        <v>9782806275110</v>
      </c>
      <c r="D9148" s="10" t="s">
        <v>29172</v>
      </c>
      <c r="E9148" s="10" t="s">
        <v>29173</v>
      </c>
      <c r="F9148" s="10" t="s">
        <v>29181</v>
      </c>
      <c r="G9148" s="10" t="s">
        <v>28737</v>
      </c>
      <c r="H9148" s="11">
        <v>42429</v>
      </c>
      <c r="I9148" s="10">
        <v>2016</v>
      </c>
      <c r="J9148" s="10" t="s">
        <v>31276</v>
      </c>
      <c r="K9148" s="10">
        <v>18</v>
      </c>
      <c r="L9148" s="10" t="s">
        <v>41643</v>
      </c>
      <c r="M9148" s="10">
        <v>1</v>
      </c>
      <c r="N9148" s="10" t="s">
        <v>41644</v>
      </c>
      <c r="O9148" s="10">
        <v>4</v>
      </c>
      <c r="P9148" s="10"/>
      <c r="Q9148" s="10"/>
      <c r="R9148" s="10"/>
      <c r="S9148" s="10" t="s">
        <v>5404</v>
      </c>
      <c r="T9148" s="10" t="s">
        <v>6660</v>
      </c>
    </row>
    <row r="9149" spans="1:20" ht="14.5" x14ac:dyDescent="0.35">
      <c r="A9149" s="10" t="s">
        <v>41645</v>
      </c>
      <c r="B9149" s="10" t="str">
        <f>"9782806264800"</f>
        <v>9782806264800</v>
      </c>
      <c r="C9149" s="10" t="str">
        <f>"9782806264701"</f>
        <v>9782806264701</v>
      </c>
      <c r="D9149" s="10" t="s">
        <v>29172</v>
      </c>
      <c r="E9149" s="10" t="s">
        <v>29173</v>
      </c>
      <c r="F9149" s="10" t="s">
        <v>29181</v>
      </c>
      <c r="G9149" s="10" t="s">
        <v>28737</v>
      </c>
      <c r="H9149" s="11">
        <v>42249</v>
      </c>
      <c r="I9149" s="10">
        <v>2015</v>
      </c>
      <c r="J9149" s="10" t="s">
        <v>31276</v>
      </c>
      <c r="K9149" s="10">
        <v>22</v>
      </c>
      <c r="L9149" s="10" t="s">
        <v>41646</v>
      </c>
      <c r="M9149" s="10">
        <v>1</v>
      </c>
      <c r="N9149" s="10" t="s">
        <v>31278</v>
      </c>
      <c r="O9149" s="10">
        <v>27</v>
      </c>
      <c r="P9149" s="10" t="s">
        <v>41647</v>
      </c>
      <c r="Q9149" s="10">
        <v>5.3689999999999998</v>
      </c>
      <c r="R9149" s="10" t="s">
        <v>41648</v>
      </c>
      <c r="S9149" s="10" t="s">
        <v>5404</v>
      </c>
      <c r="T9149" s="10" t="s">
        <v>8730</v>
      </c>
    </row>
    <row r="9150" spans="1:20" ht="14.5" x14ac:dyDescent="0.35">
      <c r="A9150" s="10" t="s">
        <v>41649</v>
      </c>
      <c r="B9150" s="10" t="str">
        <f>"9782806268303"</f>
        <v>9782806268303</v>
      </c>
      <c r="C9150" s="10" t="str">
        <f>"9782806268297"</f>
        <v>9782806268297</v>
      </c>
      <c r="D9150" s="10" t="s">
        <v>29172</v>
      </c>
      <c r="E9150" s="10" t="s">
        <v>29173</v>
      </c>
      <c r="F9150" s="10" t="s">
        <v>29181</v>
      </c>
      <c r="G9150" s="10" t="s">
        <v>28737</v>
      </c>
      <c r="H9150" s="11">
        <v>42429</v>
      </c>
      <c r="I9150" s="10">
        <v>2016</v>
      </c>
      <c r="J9150" s="10" t="s">
        <v>29175</v>
      </c>
      <c r="K9150" s="10">
        <v>16</v>
      </c>
      <c r="L9150" s="10" t="s">
        <v>41650</v>
      </c>
      <c r="M9150" s="10">
        <v>1</v>
      </c>
      <c r="N9150" s="10" t="s">
        <v>29177</v>
      </c>
      <c r="O9150" s="10"/>
      <c r="P9150" s="10"/>
      <c r="Q9150" s="10"/>
      <c r="R9150" s="10" t="s">
        <v>41651</v>
      </c>
      <c r="S9150" s="10" t="s">
        <v>5404</v>
      </c>
      <c r="T9150" s="10" t="s">
        <v>29186</v>
      </c>
    </row>
    <row r="9151" spans="1:20" ht="14.5" x14ac:dyDescent="0.35">
      <c r="A9151" s="10" t="s">
        <v>41652</v>
      </c>
      <c r="B9151" s="10" t="str">
        <f>"9781409409342"</f>
        <v>9781409409342</v>
      </c>
      <c r="C9151" s="10" t="str">
        <f>"9781317048961"</f>
        <v>9781317048961</v>
      </c>
      <c r="D9151" s="10" t="s">
        <v>6350</v>
      </c>
      <c r="E9151" s="10" t="s">
        <v>6351</v>
      </c>
      <c r="F9151" s="10" t="s">
        <v>139</v>
      </c>
      <c r="G9151" s="10" t="s">
        <v>6352</v>
      </c>
      <c r="H9151" s="11">
        <v>40725</v>
      </c>
      <c r="I9151" s="10">
        <v>2011</v>
      </c>
      <c r="J9151" s="10" t="s">
        <v>6353</v>
      </c>
      <c r="K9151" s="10">
        <v>213</v>
      </c>
      <c r="L9151" s="10" t="s">
        <v>41653</v>
      </c>
      <c r="M9151" s="10">
        <v>1</v>
      </c>
      <c r="N9151" s="10"/>
      <c r="O9151" s="10"/>
      <c r="P9151" s="10" t="s">
        <v>41654</v>
      </c>
      <c r="Q9151" s="10">
        <v>378.19909730000001</v>
      </c>
      <c r="R9151" s="10" t="s">
        <v>41655</v>
      </c>
      <c r="S9151" s="10" t="s">
        <v>53</v>
      </c>
      <c r="T9151" s="10" t="s">
        <v>54</v>
      </c>
    </row>
    <row r="9152" spans="1:20" ht="14.5" x14ac:dyDescent="0.35">
      <c r="A9152" s="10" t="s">
        <v>41656</v>
      </c>
      <c r="B9152" s="10" t="str">
        <f>"9781119023005"</f>
        <v>9781119023005</v>
      </c>
      <c r="C9152" s="10" t="str">
        <f>"9781119023012"</f>
        <v>9781119023012</v>
      </c>
      <c r="D9152" s="10" t="s">
        <v>6322</v>
      </c>
      <c r="E9152" s="10" t="s">
        <v>6323</v>
      </c>
      <c r="F9152" s="10" t="s">
        <v>4423</v>
      </c>
      <c r="G9152" s="10" t="s">
        <v>6317</v>
      </c>
      <c r="H9152" s="11">
        <v>42492</v>
      </c>
      <c r="I9152" s="10">
        <v>2016</v>
      </c>
      <c r="J9152" s="10" t="s">
        <v>6324</v>
      </c>
      <c r="K9152" s="10">
        <v>379</v>
      </c>
      <c r="L9152" s="10" t="s">
        <v>41657</v>
      </c>
      <c r="M9152" s="10">
        <v>1</v>
      </c>
      <c r="N9152" s="10" t="s">
        <v>15267</v>
      </c>
      <c r="O9152" s="10"/>
      <c r="P9152" s="10"/>
      <c r="Q9152" s="10">
        <v>428.00709999999998</v>
      </c>
      <c r="R9152" s="10" t="s">
        <v>41658</v>
      </c>
      <c r="S9152" s="10" t="s">
        <v>53</v>
      </c>
      <c r="T9152" s="10" t="s">
        <v>6616</v>
      </c>
    </row>
    <row r="9153" spans="1:20" ht="14.5" x14ac:dyDescent="0.35">
      <c r="A9153" s="10" t="s">
        <v>41659</v>
      </c>
      <c r="B9153" s="10" t="str">
        <f>"9789811004322"</f>
        <v>9789811004322</v>
      </c>
      <c r="C9153" s="10" t="str">
        <f>"9789811004346"</f>
        <v>9789811004346</v>
      </c>
      <c r="D9153" s="10" t="s">
        <v>11249</v>
      </c>
      <c r="E9153" s="10" t="s">
        <v>23658</v>
      </c>
      <c r="F9153" s="10" t="s">
        <v>549</v>
      </c>
      <c r="G9153" s="10" t="s">
        <v>8573</v>
      </c>
      <c r="H9153" s="11">
        <v>42478</v>
      </c>
      <c r="I9153" s="10">
        <v>2016</v>
      </c>
      <c r="J9153" s="10" t="s">
        <v>23658</v>
      </c>
      <c r="K9153" s="10">
        <v>251</v>
      </c>
      <c r="L9153" s="10" t="s">
        <v>41660</v>
      </c>
      <c r="M9153" s="10">
        <v>1</v>
      </c>
      <c r="N9153" s="10"/>
      <c r="O9153" s="10"/>
      <c r="P9153" s="10" t="s">
        <v>33910</v>
      </c>
      <c r="Q9153" s="10">
        <v>371.26</v>
      </c>
      <c r="R9153" s="10" t="s">
        <v>41661</v>
      </c>
      <c r="S9153" s="10" t="s">
        <v>53</v>
      </c>
      <c r="T9153" s="10" t="s">
        <v>54</v>
      </c>
    </row>
    <row r="9154" spans="1:20" ht="14.5" x14ac:dyDescent="0.35">
      <c r="A9154" s="10" t="s">
        <v>41662</v>
      </c>
      <c r="B9154" s="10" t="str">
        <f>"9781474250849"</f>
        <v>9781474250849</v>
      </c>
      <c r="C9154" s="10" t="str">
        <f>"9781474250856"</f>
        <v>9781474250856</v>
      </c>
      <c r="D9154" s="10" t="s">
        <v>13959</v>
      </c>
      <c r="E9154" s="10" t="s">
        <v>13960</v>
      </c>
      <c r="F9154" s="10" t="s">
        <v>139</v>
      </c>
      <c r="G9154" s="10" t="s">
        <v>6352</v>
      </c>
      <c r="H9154" s="11">
        <v>42537</v>
      </c>
      <c r="I9154" s="10">
        <v>2016</v>
      </c>
      <c r="J9154" s="10" t="s">
        <v>14057</v>
      </c>
      <c r="K9154" s="10">
        <v>208</v>
      </c>
      <c r="L9154" s="10" t="s">
        <v>41663</v>
      </c>
      <c r="M9154" s="10">
        <v>1</v>
      </c>
      <c r="N9154" s="10"/>
      <c r="O9154" s="10"/>
      <c r="P9154" s="10" t="s">
        <v>13844</v>
      </c>
      <c r="Q9154" s="10">
        <v>370.1</v>
      </c>
      <c r="R9154" s="10" t="s">
        <v>41664</v>
      </c>
      <c r="S9154" s="10" t="s">
        <v>53</v>
      </c>
      <c r="T9154" s="10" t="s">
        <v>54</v>
      </c>
    </row>
    <row r="9155" spans="1:20" ht="14.5" x14ac:dyDescent="0.35">
      <c r="A9155" s="10" t="s">
        <v>41665</v>
      </c>
      <c r="B9155" s="10" t="str">
        <f>"9783319293103"</f>
        <v>9783319293103</v>
      </c>
      <c r="C9155" s="10" t="str">
        <f>"9783319293110"</f>
        <v>9783319293110</v>
      </c>
      <c r="D9155" s="10" t="s">
        <v>11249</v>
      </c>
      <c r="E9155" s="10" t="s">
        <v>26623</v>
      </c>
      <c r="F9155" s="10" t="s">
        <v>26624</v>
      </c>
      <c r="G9155" s="10" t="s">
        <v>16676</v>
      </c>
      <c r="H9155" s="11">
        <v>42471</v>
      </c>
      <c r="I9155" s="10">
        <v>2016</v>
      </c>
      <c r="J9155" s="10" t="s">
        <v>26623</v>
      </c>
      <c r="K9155" s="10">
        <v>237</v>
      </c>
      <c r="L9155" s="10" t="s">
        <v>41666</v>
      </c>
      <c r="M9155" s="10">
        <v>1</v>
      </c>
      <c r="N9155" s="10"/>
      <c r="O9155" s="10"/>
      <c r="P9155" s="10" t="s">
        <v>33910</v>
      </c>
      <c r="Q9155" s="10">
        <v>510.71</v>
      </c>
      <c r="R9155" s="10" t="s">
        <v>389</v>
      </c>
      <c r="S9155" s="10" t="s">
        <v>53</v>
      </c>
      <c r="T9155" s="10" t="s">
        <v>7425</v>
      </c>
    </row>
    <row r="9156" spans="1:20" ht="14.5" x14ac:dyDescent="0.35">
      <c r="A9156" s="10" t="s">
        <v>41667</v>
      </c>
      <c r="B9156" s="10" t="str">
        <f>"9782806268365"</f>
        <v>9782806268365</v>
      </c>
      <c r="C9156" s="10" t="str">
        <f>"9782806268358"</f>
        <v>9782806268358</v>
      </c>
      <c r="D9156" s="10" t="s">
        <v>29172</v>
      </c>
      <c r="E9156" s="10" t="s">
        <v>29173</v>
      </c>
      <c r="F9156" s="10" t="s">
        <v>29181</v>
      </c>
      <c r="G9156" s="10" t="s">
        <v>28737</v>
      </c>
      <c r="H9156" s="11">
        <v>42464</v>
      </c>
      <c r="I9156" s="10">
        <v>2016</v>
      </c>
      <c r="J9156" s="10" t="s">
        <v>29175</v>
      </c>
      <c r="K9156" s="10">
        <v>14</v>
      </c>
      <c r="L9156" s="10" t="s">
        <v>39608</v>
      </c>
      <c r="M9156" s="10">
        <v>1</v>
      </c>
      <c r="N9156" s="10" t="s">
        <v>29177</v>
      </c>
      <c r="O9156" s="10"/>
      <c r="P9156" s="10"/>
      <c r="Q9156" s="10"/>
      <c r="R9156" s="10" t="s">
        <v>41668</v>
      </c>
      <c r="S9156" s="10" t="s">
        <v>5404</v>
      </c>
      <c r="T9156" s="10" t="s">
        <v>6568</v>
      </c>
    </row>
    <row r="9157" spans="1:20" ht="14.5" x14ac:dyDescent="0.35">
      <c r="A9157" s="10" t="s">
        <v>41669</v>
      </c>
      <c r="B9157" s="10" t="str">
        <f>"9782806271532"</f>
        <v>9782806271532</v>
      </c>
      <c r="C9157" s="10" t="str">
        <f>"9782806271525"</f>
        <v>9782806271525</v>
      </c>
      <c r="D9157" s="10" t="s">
        <v>29172</v>
      </c>
      <c r="E9157" s="10" t="s">
        <v>29173</v>
      </c>
      <c r="F9157" s="10" t="s">
        <v>29181</v>
      </c>
      <c r="G9157" s="10" t="s">
        <v>28737</v>
      </c>
      <c r="H9157" s="11">
        <v>42464</v>
      </c>
      <c r="I9157" s="10">
        <v>2016</v>
      </c>
      <c r="J9157" s="10" t="s">
        <v>29175</v>
      </c>
      <c r="K9157" s="10">
        <v>16</v>
      </c>
      <c r="L9157" s="10" t="s">
        <v>41670</v>
      </c>
      <c r="M9157" s="10">
        <v>1</v>
      </c>
      <c r="N9157" s="10" t="s">
        <v>29177</v>
      </c>
      <c r="O9157" s="10"/>
      <c r="P9157" s="10"/>
      <c r="Q9157" s="10"/>
      <c r="R9157" s="10" t="s">
        <v>41671</v>
      </c>
      <c r="S9157" s="10" t="s">
        <v>5404</v>
      </c>
      <c r="T9157" s="10" t="s">
        <v>29186</v>
      </c>
    </row>
    <row r="9158" spans="1:20" ht="14.5" x14ac:dyDescent="0.35">
      <c r="A9158" s="10" t="s">
        <v>41672</v>
      </c>
      <c r="B9158" s="10" t="str">
        <f>"9780415933131"</f>
        <v>9780415933131</v>
      </c>
      <c r="C9158" s="10" t="str">
        <f>"9781135329129"</f>
        <v>9781135329129</v>
      </c>
      <c r="D9158" s="10" t="s">
        <v>6350</v>
      </c>
      <c r="E9158" s="10" t="s">
        <v>6351</v>
      </c>
      <c r="F9158" s="10" t="s">
        <v>748</v>
      </c>
      <c r="G9158" s="10" t="s">
        <v>6352</v>
      </c>
      <c r="H9158" s="11">
        <v>37370</v>
      </c>
      <c r="I9158" s="10">
        <v>2002</v>
      </c>
      <c r="J9158" s="10" t="s">
        <v>6351</v>
      </c>
      <c r="K9158" s="10">
        <v>305</v>
      </c>
      <c r="L9158" s="10" t="s">
        <v>41673</v>
      </c>
      <c r="M9158" s="10">
        <v>1</v>
      </c>
      <c r="N9158" s="10" t="s">
        <v>7358</v>
      </c>
      <c r="O9158" s="10"/>
      <c r="P9158" s="10" t="s">
        <v>41674</v>
      </c>
      <c r="Q9158" s="10">
        <v>379.51249999999999</v>
      </c>
      <c r="R9158" s="10" t="s">
        <v>41675</v>
      </c>
      <c r="S9158" s="10" t="s">
        <v>53</v>
      </c>
      <c r="T9158" s="10" t="s">
        <v>54</v>
      </c>
    </row>
    <row r="9159" spans="1:20" ht="14.5" x14ac:dyDescent="0.35">
      <c r="A9159" s="10" t="s">
        <v>41676</v>
      </c>
      <c r="B9159" s="10" t="str">
        <f>"9781409404828"</f>
        <v>9781409404828</v>
      </c>
      <c r="C9159" s="10" t="str">
        <f>"9781317170747"</f>
        <v>9781317170747</v>
      </c>
      <c r="D9159" s="10" t="s">
        <v>6350</v>
      </c>
      <c r="E9159" s="10" t="s">
        <v>6351</v>
      </c>
      <c r="F9159" s="10" t="s">
        <v>748</v>
      </c>
      <c r="G9159" s="10" t="s">
        <v>6352</v>
      </c>
      <c r="H9159" s="11">
        <v>40722</v>
      </c>
      <c r="I9159" s="10">
        <v>2011</v>
      </c>
      <c r="J9159" s="10" t="s">
        <v>6351</v>
      </c>
      <c r="K9159" s="10">
        <v>266</v>
      </c>
      <c r="L9159" s="10" t="s">
        <v>41677</v>
      </c>
      <c r="M9159" s="10">
        <v>1</v>
      </c>
      <c r="N9159" s="10"/>
      <c r="O9159" s="10"/>
      <c r="P9159" s="10" t="s">
        <v>41678</v>
      </c>
      <c r="Q9159" s="10" t="s">
        <v>41679</v>
      </c>
      <c r="R9159" s="10" t="s">
        <v>41680</v>
      </c>
      <c r="S9159" s="10" t="s">
        <v>53</v>
      </c>
      <c r="T9159" s="10" t="s">
        <v>6384</v>
      </c>
    </row>
    <row r="9160" spans="1:20" ht="14.5" x14ac:dyDescent="0.35">
      <c r="A9160" s="10" t="s">
        <v>41681</v>
      </c>
      <c r="B9160" s="10" t="str">
        <f>"9781475819700"</f>
        <v>9781475819700</v>
      </c>
      <c r="C9160" s="10" t="str">
        <f>"9781475819717"</f>
        <v>9781475819717</v>
      </c>
      <c r="D9160" s="10" t="s">
        <v>9752</v>
      </c>
      <c r="E9160" s="10" t="s">
        <v>15187</v>
      </c>
      <c r="F9160" s="10" t="s">
        <v>9754</v>
      </c>
      <c r="G9160" s="10" t="s">
        <v>6317</v>
      </c>
      <c r="H9160" s="11">
        <v>42466</v>
      </c>
      <c r="I9160" s="10">
        <v>2016</v>
      </c>
      <c r="J9160" s="10" t="s">
        <v>15187</v>
      </c>
      <c r="K9160" s="10">
        <v>133</v>
      </c>
      <c r="L9160" s="10" t="s">
        <v>41682</v>
      </c>
      <c r="M9160" s="10">
        <v>1</v>
      </c>
      <c r="N9160" s="10"/>
      <c r="O9160" s="10"/>
      <c r="P9160" s="10" t="s">
        <v>41683</v>
      </c>
      <c r="Q9160" s="10">
        <v>371.26097299999998</v>
      </c>
      <c r="R9160" s="10" t="s">
        <v>41684</v>
      </c>
      <c r="S9160" s="10" t="s">
        <v>53</v>
      </c>
      <c r="T9160" s="10" t="s">
        <v>54</v>
      </c>
    </row>
    <row r="9161" spans="1:20" ht="14.5" x14ac:dyDescent="0.35">
      <c r="A9161" s="10" t="s">
        <v>41685</v>
      </c>
      <c r="B9161" s="10" t="str">
        <f>"9781475823608"</f>
        <v>9781475823608</v>
      </c>
      <c r="C9161" s="10" t="str">
        <f>"9781475823615"</f>
        <v>9781475823615</v>
      </c>
      <c r="D9161" s="10" t="s">
        <v>9752</v>
      </c>
      <c r="E9161" s="10" t="s">
        <v>15187</v>
      </c>
      <c r="F9161" s="10" t="s">
        <v>9754</v>
      </c>
      <c r="G9161" s="10" t="s">
        <v>6317</v>
      </c>
      <c r="H9161" s="11">
        <v>42466</v>
      </c>
      <c r="I9161" s="10">
        <v>2016</v>
      </c>
      <c r="J9161" s="10" t="s">
        <v>15187</v>
      </c>
      <c r="K9161" s="10">
        <v>223</v>
      </c>
      <c r="L9161" s="10" t="s">
        <v>15901</v>
      </c>
      <c r="M9161" s="10">
        <v>1</v>
      </c>
      <c r="N9161" s="10"/>
      <c r="O9161" s="10"/>
      <c r="P9161" s="10" t="s">
        <v>41686</v>
      </c>
      <c r="Q9161" s="10" t="s">
        <v>8460</v>
      </c>
      <c r="R9161" s="10" t="s">
        <v>41687</v>
      </c>
      <c r="S9161" s="10" t="s">
        <v>53</v>
      </c>
      <c r="T9161" s="10" t="s">
        <v>54</v>
      </c>
    </row>
    <row r="9162" spans="1:20" ht="14.5" x14ac:dyDescent="0.35">
      <c r="A9162" s="10" t="s">
        <v>41688</v>
      </c>
      <c r="B9162" s="10" t="str">
        <f>"9781475813135"</f>
        <v>9781475813135</v>
      </c>
      <c r="C9162" s="10" t="str">
        <f>"9781475813159"</f>
        <v>9781475813159</v>
      </c>
      <c r="D9162" s="10" t="s">
        <v>9752</v>
      </c>
      <c r="E9162" s="10" t="s">
        <v>15187</v>
      </c>
      <c r="F9162" s="10" t="s">
        <v>9754</v>
      </c>
      <c r="G9162" s="10" t="s">
        <v>6317</v>
      </c>
      <c r="H9162" s="11">
        <v>42556</v>
      </c>
      <c r="I9162" s="10">
        <v>2016</v>
      </c>
      <c r="J9162" s="10" t="s">
        <v>15187</v>
      </c>
      <c r="K9162" s="10">
        <v>205</v>
      </c>
      <c r="L9162" s="10" t="s">
        <v>41689</v>
      </c>
      <c r="M9162" s="10">
        <v>1</v>
      </c>
      <c r="N9162" s="10"/>
      <c r="O9162" s="10"/>
      <c r="P9162" s="10" t="s">
        <v>41690</v>
      </c>
      <c r="Q9162" s="10" t="s">
        <v>41691</v>
      </c>
      <c r="R9162" s="10" t="s">
        <v>41692</v>
      </c>
      <c r="S9162" s="10" t="s">
        <v>53</v>
      </c>
      <c r="T9162" s="10" t="s">
        <v>6526</v>
      </c>
    </row>
    <row r="9163" spans="1:20" ht="14.5" x14ac:dyDescent="0.35">
      <c r="A9163" s="10" t="s">
        <v>41693</v>
      </c>
      <c r="B9163" s="10" t="str">
        <f>"9781475822380"</f>
        <v>9781475822380</v>
      </c>
      <c r="C9163" s="10" t="str">
        <f>"9781475822397"</f>
        <v>9781475822397</v>
      </c>
      <c r="D9163" s="10" t="s">
        <v>9752</v>
      </c>
      <c r="E9163" s="10" t="s">
        <v>15187</v>
      </c>
      <c r="F9163" s="10" t="s">
        <v>9754</v>
      </c>
      <c r="G9163" s="10" t="s">
        <v>6317</v>
      </c>
      <c r="H9163" s="11">
        <v>42466</v>
      </c>
      <c r="I9163" s="10">
        <v>2016</v>
      </c>
      <c r="J9163" s="10" t="s">
        <v>15187</v>
      </c>
      <c r="K9163" s="10">
        <v>229</v>
      </c>
      <c r="L9163" s="10" t="s">
        <v>41694</v>
      </c>
      <c r="M9163" s="10">
        <v>1</v>
      </c>
      <c r="N9163" s="10"/>
      <c r="O9163" s="10"/>
      <c r="P9163" s="10" t="s">
        <v>41695</v>
      </c>
      <c r="Q9163" s="10">
        <v>371.20972999999998</v>
      </c>
      <c r="R9163" s="10" t="s">
        <v>41696</v>
      </c>
      <c r="S9163" s="10" t="s">
        <v>53</v>
      </c>
      <c r="T9163" s="10" t="s">
        <v>54</v>
      </c>
    </row>
    <row r="9164" spans="1:20" ht="14.5" x14ac:dyDescent="0.35">
      <c r="A9164" s="10" t="s">
        <v>41697</v>
      </c>
      <c r="B9164" s="10" t="str">
        <f>"9781475825749"</f>
        <v>9781475825749</v>
      </c>
      <c r="C9164" s="10" t="str">
        <f>"9781475825756"</f>
        <v>9781475825756</v>
      </c>
      <c r="D9164" s="10" t="s">
        <v>9752</v>
      </c>
      <c r="E9164" s="10" t="s">
        <v>15187</v>
      </c>
      <c r="F9164" s="10" t="s">
        <v>9754</v>
      </c>
      <c r="G9164" s="10" t="s">
        <v>6317</v>
      </c>
      <c r="H9164" s="11">
        <v>42474</v>
      </c>
      <c r="I9164" s="10">
        <v>2016</v>
      </c>
      <c r="J9164" s="10" t="s">
        <v>15187</v>
      </c>
      <c r="K9164" s="10">
        <v>169</v>
      </c>
      <c r="L9164" s="10" t="s">
        <v>41698</v>
      </c>
      <c r="M9164" s="10">
        <v>1</v>
      </c>
      <c r="N9164" s="10"/>
      <c r="O9164" s="10"/>
      <c r="P9164" s="10" t="s">
        <v>41699</v>
      </c>
      <c r="Q9164" s="10">
        <v>301</v>
      </c>
      <c r="R9164" s="10" t="s">
        <v>41700</v>
      </c>
      <c r="S9164" s="10" t="s">
        <v>53</v>
      </c>
      <c r="T9164" s="10" t="s">
        <v>6363</v>
      </c>
    </row>
    <row r="9165" spans="1:20" ht="14.5" x14ac:dyDescent="0.35">
      <c r="A9165" s="10" t="s">
        <v>41701</v>
      </c>
      <c r="B9165" s="10" t="str">
        <f>"9781475814248"</f>
        <v>9781475814248</v>
      </c>
      <c r="C9165" s="10" t="str">
        <f>"9781475814262"</f>
        <v>9781475814262</v>
      </c>
      <c r="D9165" s="10" t="s">
        <v>9752</v>
      </c>
      <c r="E9165" s="10" t="s">
        <v>15187</v>
      </c>
      <c r="F9165" s="10" t="s">
        <v>9754</v>
      </c>
      <c r="G9165" s="10" t="s">
        <v>6317</v>
      </c>
      <c r="H9165" s="11">
        <v>42472</v>
      </c>
      <c r="I9165" s="10">
        <v>2016</v>
      </c>
      <c r="J9165" s="10" t="s">
        <v>15187</v>
      </c>
      <c r="K9165" s="10">
        <v>201</v>
      </c>
      <c r="L9165" s="10" t="s">
        <v>41702</v>
      </c>
      <c r="M9165" s="10">
        <v>1</v>
      </c>
      <c r="N9165" s="10" t="s">
        <v>39860</v>
      </c>
      <c r="O9165" s="10"/>
      <c r="P9165" s="10"/>
      <c r="Q9165" s="10">
        <v>615.85149999999999</v>
      </c>
      <c r="R9165" s="10" t="s">
        <v>39862</v>
      </c>
      <c r="S9165" s="10" t="s">
        <v>53</v>
      </c>
      <c r="T9165" s="10" t="s">
        <v>8625</v>
      </c>
    </row>
    <row r="9166" spans="1:20" ht="14.5" x14ac:dyDescent="0.35">
      <c r="A9166" s="10" t="s">
        <v>41703</v>
      </c>
      <c r="B9166" s="10" t="str">
        <f>"9781475826180"</f>
        <v>9781475826180</v>
      </c>
      <c r="C9166" s="10" t="str">
        <f>"9781475826197"</f>
        <v>9781475826197</v>
      </c>
      <c r="D9166" s="10" t="s">
        <v>9752</v>
      </c>
      <c r="E9166" s="10" t="s">
        <v>15187</v>
      </c>
      <c r="F9166" s="10" t="s">
        <v>9754</v>
      </c>
      <c r="G9166" s="10" t="s">
        <v>6317</v>
      </c>
      <c r="H9166" s="11">
        <v>42480</v>
      </c>
      <c r="I9166" s="10">
        <v>2016</v>
      </c>
      <c r="J9166" s="10" t="s">
        <v>15187</v>
      </c>
      <c r="K9166" s="10">
        <v>167</v>
      </c>
      <c r="L9166" s="10" t="s">
        <v>41704</v>
      </c>
      <c r="M9166" s="10">
        <v>2</v>
      </c>
      <c r="N9166" s="10"/>
      <c r="O9166" s="10"/>
      <c r="P9166" s="10" t="s">
        <v>41705</v>
      </c>
      <c r="Q9166" s="10">
        <v>371.2</v>
      </c>
      <c r="R9166" s="10" t="s">
        <v>41706</v>
      </c>
      <c r="S9166" s="10" t="s">
        <v>53</v>
      </c>
      <c r="T9166" s="10" t="s">
        <v>54</v>
      </c>
    </row>
    <row r="9167" spans="1:20" ht="14.5" x14ac:dyDescent="0.35">
      <c r="A9167" s="10" t="s">
        <v>41707</v>
      </c>
      <c r="B9167" s="10" t="str">
        <f>"9781475815757"</f>
        <v>9781475815757</v>
      </c>
      <c r="C9167" s="10" t="str">
        <f>"9781475815771"</f>
        <v>9781475815771</v>
      </c>
      <c r="D9167" s="10" t="s">
        <v>9752</v>
      </c>
      <c r="E9167" s="10" t="s">
        <v>15187</v>
      </c>
      <c r="F9167" s="10" t="s">
        <v>9754</v>
      </c>
      <c r="G9167" s="10" t="s">
        <v>6317</v>
      </c>
      <c r="H9167" s="11">
        <v>42285</v>
      </c>
      <c r="I9167" s="10">
        <v>2015</v>
      </c>
      <c r="J9167" s="10" t="s">
        <v>15187</v>
      </c>
      <c r="K9167" s="10">
        <v>228</v>
      </c>
      <c r="L9167" s="10" t="s">
        <v>41708</v>
      </c>
      <c r="M9167" s="10">
        <v>1</v>
      </c>
      <c r="N9167" s="10"/>
      <c r="O9167" s="10"/>
      <c r="P9167" s="10" t="s">
        <v>41709</v>
      </c>
      <c r="Q9167" s="10" t="s">
        <v>8460</v>
      </c>
      <c r="R9167" s="10" t="s">
        <v>7326</v>
      </c>
      <c r="S9167" s="10" t="s">
        <v>53</v>
      </c>
      <c r="T9167" s="10" t="s">
        <v>54</v>
      </c>
    </row>
    <row r="9168" spans="1:20" ht="14.5" x14ac:dyDescent="0.35">
      <c r="A9168" s="10" t="s">
        <v>41710</v>
      </c>
      <c r="B9168" s="10" t="str">
        <f>"9781475817874"</f>
        <v>9781475817874</v>
      </c>
      <c r="C9168" s="10" t="str">
        <f>"9781475817898"</f>
        <v>9781475817898</v>
      </c>
      <c r="D9168" s="10" t="s">
        <v>9752</v>
      </c>
      <c r="E9168" s="10" t="s">
        <v>15187</v>
      </c>
      <c r="F9168" s="10" t="s">
        <v>9754</v>
      </c>
      <c r="G9168" s="10" t="s">
        <v>6317</v>
      </c>
      <c r="H9168" s="11">
        <v>42468</v>
      </c>
      <c r="I9168" s="10">
        <v>2016</v>
      </c>
      <c r="J9168" s="10" t="s">
        <v>15187</v>
      </c>
      <c r="K9168" s="10">
        <v>183</v>
      </c>
      <c r="L9168" s="10" t="s">
        <v>41711</v>
      </c>
      <c r="M9168" s="10">
        <v>1</v>
      </c>
      <c r="N9168" s="10"/>
      <c r="O9168" s="10"/>
      <c r="P9168" s="10" t="s">
        <v>41712</v>
      </c>
      <c r="Q9168" s="10">
        <v>371.2011</v>
      </c>
      <c r="R9168" s="10" t="s">
        <v>41713</v>
      </c>
      <c r="S9168" s="10" t="s">
        <v>53</v>
      </c>
      <c r="T9168" s="10" t="s">
        <v>54</v>
      </c>
    </row>
    <row r="9169" spans="1:20" ht="14.5" x14ac:dyDescent="0.35">
      <c r="A9169" s="10" t="s">
        <v>41714</v>
      </c>
      <c r="B9169" s="10" t="str">
        <f>"9781475821871"</f>
        <v>9781475821871</v>
      </c>
      <c r="C9169" s="10" t="str">
        <f>"9781475821895"</f>
        <v>9781475821895</v>
      </c>
      <c r="D9169" s="10" t="s">
        <v>9752</v>
      </c>
      <c r="E9169" s="10" t="s">
        <v>15187</v>
      </c>
      <c r="F9169" s="10" t="s">
        <v>9754</v>
      </c>
      <c r="G9169" s="10" t="s">
        <v>6317</v>
      </c>
      <c r="H9169" s="11">
        <v>42472</v>
      </c>
      <c r="I9169" s="10">
        <v>2016</v>
      </c>
      <c r="J9169" s="10" t="s">
        <v>15187</v>
      </c>
      <c r="K9169" s="10">
        <v>163</v>
      </c>
      <c r="L9169" s="10" t="s">
        <v>41715</v>
      </c>
      <c r="M9169" s="10">
        <v>1</v>
      </c>
      <c r="N9169" s="10"/>
      <c r="O9169" s="10"/>
      <c r="P9169" s="10" t="s">
        <v>41716</v>
      </c>
      <c r="Q9169" s="10">
        <v>370.11500000000001</v>
      </c>
      <c r="R9169" s="10" t="s">
        <v>41717</v>
      </c>
      <c r="S9169" s="10" t="s">
        <v>53</v>
      </c>
      <c r="T9169" s="10" t="s">
        <v>54</v>
      </c>
    </row>
    <row r="9170" spans="1:20" ht="14.5" x14ac:dyDescent="0.35">
      <c r="A9170" s="10" t="s">
        <v>41718</v>
      </c>
      <c r="B9170" s="10" t="str">
        <f>"9781475825404"</f>
        <v>9781475825404</v>
      </c>
      <c r="C9170" s="10" t="str">
        <f>"9781475825428"</f>
        <v>9781475825428</v>
      </c>
      <c r="D9170" s="10" t="s">
        <v>9752</v>
      </c>
      <c r="E9170" s="10" t="s">
        <v>15187</v>
      </c>
      <c r="F9170" s="10" t="s">
        <v>9754</v>
      </c>
      <c r="G9170" s="10" t="s">
        <v>6317</v>
      </c>
      <c r="H9170" s="11">
        <v>42541</v>
      </c>
      <c r="I9170" s="10">
        <v>2016</v>
      </c>
      <c r="J9170" s="10" t="s">
        <v>15187</v>
      </c>
      <c r="K9170" s="10">
        <v>179</v>
      </c>
      <c r="L9170" s="10" t="s">
        <v>41119</v>
      </c>
      <c r="M9170" s="10">
        <v>1</v>
      </c>
      <c r="N9170" s="10"/>
      <c r="O9170" s="10"/>
      <c r="P9170" s="10"/>
      <c r="Q9170" s="10">
        <v>370.15199999999999</v>
      </c>
      <c r="R9170" s="10" t="s">
        <v>41719</v>
      </c>
      <c r="S9170" s="10" t="s">
        <v>53</v>
      </c>
      <c r="T9170" s="10" t="s">
        <v>54</v>
      </c>
    </row>
    <row r="9171" spans="1:20" ht="14.5" x14ac:dyDescent="0.35">
      <c r="A9171" s="10" t="s">
        <v>41720</v>
      </c>
      <c r="B9171" s="10" t="str">
        <f>"9781475827613"</f>
        <v>9781475827613</v>
      </c>
      <c r="C9171" s="10" t="str">
        <f>"9781475827637"</f>
        <v>9781475827637</v>
      </c>
      <c r="D9171" s="10" t="s">
        <v>9752</v>
      </c>
      <c r="E9171" s="10" t="s">
        <v>15187</v>
      </c>
      <c r="F9171" s="10" t="s">
        <v>9754</v>
      </c>
      <c r="G9171" s="10" t="s">
        <v>6317</v>
      </c>
      <c r="H9171" s="11">
        <v>42569</v>
      </c>
      <c r="I9171" s="10">
        <v>2016</v>
      </c>
      <c r="J9171" s="10" t="s">
        <v>15187</v>
      </c>
      <c r="K9171" s="10">
        <v>187</v>
      </c>
      <c r="L9171" s="10" t="s">
        <v>41721</v>
      </c>
      <c r="M9171" s="10">
        <v>1</v>
      </c>
      <c r="N9171" s="10"/>
      <c r="O9171" s="10"/>
      <c r="P9171" s="10"/>
      <c r="Q9171" s="10">
        <v>428.00715000000002</v>
      </c>
      <c r="R9171" s="10" t="s">
        <v>41722</v>
      </c>
      <c r="S9171" s="10" t="s">
        <v>53</v>
      </c>
      <c r="T9171" s="10" t="s">
        <v>6616</v>
      </c>
    </row>
    <row r="9172" spans="1:20" ht="14.5" x14ac:dyDescent="0.35">
      <c r="A9172" s="10" t="s">
        <v>41723</v>
      </c>
      <c r="B9172" s="10" t="str">
        <f>"9781611862010"</f>
        <v>9781611862010</v>
      </c>
      <c r="C9172" s="10" t="str">
        <f>"9781609174873"</f>
        <v>9781609174873</v>
      </c>
      <c r="D9172" s="10" t="s">
        <v>36384</v>
      </c>
      <c r="E9172" s="10" t="s">
        <v>36384</v>
      </c>
      <c r="F9172" s="10" t="s">
        <v>36385</v>
      </c>
      <c r="G9172" s="10" t="s">
        <v>6317</v>
      </c>
      <c r="H9172" s="11">
        <v>42461</v>
      </c>
      <c r="I9172" s="10">
        <v>2016</v>
      </c>
      <c r="J9172" s="10" t="s">
        <v>36384</v>
      </c>
      <c r="K9172" s="10">
        <v>192</v>
      </c>
      <c r="L9172" s="10" t="s">
        <v>41724</v>
      </c>
      <c r="M9172" s="10">
        <v>1</v>
      </c>
      <c r="N9172" s="10" t="s">
        <v>41725</v>
      </c>
      <c r="O9172" s="10"/>
      <c r="P9172" s="10" t="s">
        <v>19549</v>
      </c>
      <c r="Q9172" s="10" t="s">
        <v>14718</v>
      </c>
      <c r="R9172" s="10" t="s">
        <v>41726</v>
      </c>
      <c r="S9172" s="10" t="s">
        <v>53</v>
      </c>
      <c r="T9172" s="10" t="s">
        <v>54</v>
      </c>
    </row>
    <row r="9173" spans="1:20" ht="14.5" x14ac:dyDescent="0.35">
      <c r="A9173" s="10" t="s">
        <v>41727</v>
      </c>
      <c r="B9173" s="10" t="str">
        <f>"9781475823554"</f>
        <v>9781475823554</v>
      </c>
      <c r="C9173" s="10" t="str">
        <f>"9781475823578"</f>
        <v>9781475823578</v>
      </c>
      <c r="D9173" s="10" t="s">
        <v>9752</v>
      </c>
      <c r="E9173" s="10" t="s">
        <v>15187</v>
      </c>
      <c r="F9173" s="10" t="s">
        <v>9754</v>
      </c>
      <c r="G9173" s="10" t="s">
        <v>6317</v>
      </c>
      <c r="H9173" s="11">
        <v>42498</v>
      </c>
      <c r="I9173" s="10">
        <v>2016</v>
      </c>
      <c r="J9173" s="10" t="s">
        <v>15187</v>
      </c>
      <c r="K9173" s="10">
        <v>201</v>
      </c>
      <c r="L9173" s="10" t="s">
        <v>25182</v>
      </c>
      <c r="M9173" s="10">
        <v>1</v>
      </c>
      <c r="N9173" s="10"/>
      <c r="O9173" s="10"/>
      <c r="P9173" s="10"/>
      <c r="Q9173" s="10" t="s">
        <v>12315</v>
      </c>
      <c r="R9173" s="10" t="s">
        <v>41728</v>
      </c>
      <c r="S9173" s="10" t="s">
        <v>53</v>
      </c>
      <c r="T9173" s="10" t="s">
        <v>1166</v>
      </c>
    </row>
    <row r="9174" spans="1:20" ht="14.5" x14ac:dyDescent="0.35">
      <c r="A9174" s="10" t="s">
        <v>41729</v>
      </c>
      <c r="B9174" s="10" t="str">
        <f>"9781475824315"</f>
        <v>9781475824315</v>
      </c>
      <c r="C9174" s="10" t="str">
        <f>"9781475824339"</f>
        <v>9781475824339</v>
      </c>
      <c r="D9174" s="10" t="s">
        <v>9752</v>
      </c>
      <c r="E9174" s="10" t="s">
        <v>15187</v>
      </c>
      <c r="F9174" s="10" t="s">
        <v>9754</v>
      </c>
      <c r="G9174" s="10" t="s">
        <v>6317</v>
      </c>
      <c r="H9174" s="11">
        <v>42498</v>
      </c>
      <c r="I9174" s="10">
        <v>2016</v>
      </c>
      <c r="J9174" s="10" t="s">
        <v>15187</v>
      </c>
      <c r="K9174" s="10">
        <v>185</v>
      </c>
      <c r="L9174" s="10" t="s">
        <v>41730</v>
      </c>
      <c r="M9174" s="10">
        <v>1</v>
      </c>
      <c r="N9174" s="10"/>
      <c r="O9174" s="10"/>
      <c r="P9174" s="10"/>
      <c r="Q9174" s="10">
        <v>612.82330243700005</v>
      </c>
      <c r="R9174" s="10" t="s">
        <v>41731</v>
      </c>
      <c r="S9174" s="10" t="s">
        <v>53</v>
      </c>
      <c r="T9174" s="10" t="s">
        <v>31215</v>
      </c>
    </row>
    <row r="9175" spans="1:20" ht="14.5" x14ac:dyDescent="0.35">
      <c r="A9175" s="10" t="s">
        <v>41732</v>
      </c>
      <c r="B9175" s="10" t="str">
        <f>"9781138822450"</f>
        <v>9781138822450</v>
      </c>
      <c r="C9175" s="10" t="str">
        <f>"9781317587187"</f>
        <v>9781317587187</v>
      </c>
      <c r="D9175" s="10" t="s">
        <v>6350</v>
      </c>
      <c r="E9175" s="10" t="s">
        <v>6351</v>
      </c>
      <c r="F9175" s="10" t="s">
        <v>139</v>
      </c>
      <c r="G9175" s="10" t="s">
        <v>6352</v>
      </c>
      <c r="H9175" s="11">
        <v>42471</v>
      </c>
      <c r="I9175" s="10">
        <v>2016</v>
      </c>
      <c r="J9175" s="10" t="s">
        <v>6353</v>
      </c>
      <c r="K9175" s="10">
        <v>211</v>
      </c>
      <c r="L9175" s="10" t="s">
        <v>25283</v>
      </c>
      <c r="M9175" s="10">
        <v>1</v>
      </c>
      <c r="N9175" s="10" t="s">
        <v>24688</v>
      </c>
      <c r="O9175" s="10"/>
      <c r="P9175" s="10" t="s">
        <v>41733</v>
      </c>
      <c r="Q9175" s="10">
        <v>338.43378000000001</v>
      </c>
      <c r="R9175" s="10" t="s">
        <v>41734</v>
      </c>
      <c r="S9175" s="10" t="s">
        <v>53</v>
      </c>
      <c r="T9175" s="10" t="s">
        <v>14975</v>
      </c>
    </row>
    <row r="9176" spans="1:20" ht="14.5" x14ac:dyDescent="0.35">
      <c r="A9176" s="10" t="s">
        <v>41735</v>
      </c>
      <c r="B9176" s="10" t="str">
        <f>"9781556203374"</f>
        <v>9781556203374</v>
      </c>
      <c r="C9176" s="10" t="str">
        <f>"9781119292074"</f>
        <v>9781119292074</v>
      </c>
      <c r="D9176" s="10" t="s">
        <v>6322</v>
      </c>
      <c r="E9176" s="10" t="s">
        <v>2011</v>
      </c>
      <c r="F9176" s="10" t="s">
        <v>4423</v>
      </c>
      <c r="G9176" s="10" t="s">
        <v>6317</v>
      </c>
      <c r="H9176" s="11">
        <v>42430</v>
      </c>
      <c r="I9176" s="10">
        <v>2016</v>
      </c>
      <c r="J9176" s="10" t="s">
        <v>2011</v>
      </c>
      <c r="K9176" s="10">
        <v>491</v>
      </c>
      <c r="L9176" s="10" t="s">
        <v>41736</v>
      </c>
      <c r="M9176" s="10">
        <v>1</v>
      </c>
      <c r="N9176" s="10"/>
      <c r="O9176" s="10"/>
      <c r="P9176" s="10"/>
      <c r="Q9176" s="10">
        <v>371.4</v>
      </c>
      <c r="R9176" s="10" t="s">
        <v>41737</v>
      </c>
      <c r="S9176" s="10" t="s">
        <v>53</v>
      </c>
      <c r="T9176" s="10" t="s">
        <v>54</v>
      </c>
    </row>
    <row r="9177" spans="1:20" ht="14.5" x14ac:dyDescent="0.35">
      <c r="A9177" s="10" t="s">
        <v>41738</v>
      </c>
      <c r="B9177" s="10" t="str">
        <f>"9781742861562"</f>
        <v>9781742861562</v>
      </c>
      <c r="C9177" s="10" t="str">
        <f>"9781742863191"</f>
        <v>9781742863191</v>
      </c>
      <c r="D9177" s="10" t="s">
        <v>41739</v>
      </c>
      <c r="E9177" s="10" t="s">
        <v>41740</v>
      </c>
      <c r="F9177" s="10" t="s">
        <v>646</v>
      </c>
      <c r="G9177" s="10" t="s">
        <v>12975</v>
      </c>
      <c r="H9177" s="11">
        <v>41334</v>
      </c>
      <c r="I9177" s="10">
        <v>2013</v>
      </c>
      <c r="J9177" s="10" t="s">
        <v>41740</v>
      </c>
      <c r="K9177" s="10">
        <v>144</v>
      </c>
      <c r="L9177" s="10" t="s">
        <v>41741</v>
      </c>
      <c r="M9177" s="10">
        <v>2</v>
      </c>
      <c r="N9177" s="10"/>
      <c r="O9177" s="10"/>
      <c r="P9177" s="10" t="s">
        <v>41742</v>
      </c>
      <c r="Q9177" s="10"/>
      <c r="R9177" s="10" t="s">
        <v>41743</v>
      </c>
      <c r="S9177" s="10" t="s">
        <v>53</v>
      </c>
      <c r="T9177" s="10" t="s">
        <v>54</v>
      </c>
    </row>
    <row r="9178" spans="1:20" ht="14.5" x14ac:dyDescent="0.35">
      <c r="A9178" s="10" t="s">
        <v>41744</v>
      </c>
      <c r="B9178" s="10" t="str">
        <f>"9781416621836"</f>
        <v>9781416621836</v>
      </c>
      <c r="C9178" s="10" t="str">
        <f>"9781416621850"</f>
        <v>9781416621850</v>
      </c>
      <c r="D9178" s="10" t="s">
        <v>10014</v>
      </c>
      <c r="E9178" s="10" t="s">
        <v>10015</v>
      </c>
      <c r="F9178" s="10" t="s">
        <v>201</v>
      </c>
      <c r="G9178" s="10" t="s">
        <v>6317</v>
      </c>
      <c r="H9178" s="11">
        <v>42490</v>
      </c>
      <c r="I9178" s="10">
        <v>2016</v>
      </c>
      <c r="J9178" s="10" t="s">
        <v>10015</v>
      </c>
      <c r="K9178" s="10">
        <v>170</v>
      </c>
      <c r="L9178" s="10" t="s">
        <v>17477</v>
      </c>
      <c r="M9178" s="10">
        <v>1</v>
      </c>
      <c r="N9178" s="10"/>
      <c r="O9178" s="10"/>
      <c r="P9178" s="10" t="s">
        <v>41745</v>
      </c>
      <c r="Q9178" s="10">
        <v>370.154</v>
      </c>
      <c r="R9178" s="10" t="s">
        <v>41746</v>
      </c>
      <c r="S9178" s="10" t="s">
        <v>53</v>
      </c>
      <c r="T9178" s="10" t="s">
        <v>54</v>
      </c>
    </row>
    <row r="9179" spans="1:20" ht="14.5" x14ac:dyDescent="0.35">
      <c r="A9179" s="10" t="s">
        <v>41747</v>
      </c>
      <c r="B9179" s="10" t="str">
        <f>"9781416622901"</f>
        <v>9781416622901</v>
      </c>
      <c r="C9179" s="10" t="str">
        <f>"9781416622277"</f>
        <v>9781416622277</v>
      </c>
      <c r="D9179" s="10" t="s">
        <v>10014</v>
      </c>
      <c r="E9179" s="10" t="s">
        <v>10015</v>
      </c>
      <c r="F9179" s="10" t="s">
        <v>201</v>
      </c>
      <c r="G9179" s="10" t="s">
        <v>6317</v>
      </c>
      <c r="H9179" s="11">
        <v>42545</v>
      </c>
      <c r="I9179" s="10">
        <v>2016</v>
      </c>
      <c r="J9179" s="10" t="s">
        <v>10015</v>
      </c>
      <c r="K9179" s="10">
        <v>173</v>
      </c>
      <c r="L9179" s="10" t="s">
        <v>15766</v>
      </c>
      <c r="M9179" s="10">
        <v>1</v>
      </c>
      <c r="N9179" s="10" t="s">
        <v>41748</v>
      </c>
      <c r="O9179" s="10"/>
      <c r="P9179" s="10" t="s">
        <v>41749</v>
      </c>
      <c r="Q9179" s="10">
        <v>428.4</v>
      </c>
      <c r="R9179" s="10" t="s">
        <v>24586</v>
      </c>
      <c r="S9179" s="10" t="s">
        <v>53</v>
      </c>
      <c r="T9179" s="10" t="s">
        <v>6498</v>
      </c>
    </row>
    <row r="9180" spans="1:20" ht="14.5" x14ac:dyDescent="0.35">
      <c r="A9180" s="10" t="s">
        <v>41750</v>
      </c>
      <c r="B9180" s="10" t="str">
        <f>"9781785601354"</f>
        <v>9781785601354</v>
      </c>
      <c r="C9180" s="10" t="str">
        <f>"9781785601347"</f>
        <v>9781785601347</v>
      </c>
      <c r="D9180" s="10" t="s">
        <v>8699</v>
      </c>
      <c r="E9180" s="10" t="s">
        <v>8699</v>
      </c>
      <c r="F9180" s="10" t="s">
        <v>559</v>
      </c>
      <c r="G9180" s="10" t="s">
        <v>6352</v>
      </c>
      <c r="H9180" s="11">
        <v>42464</v>
      </c>
      <c r="I9180" s="10">
        <v>2016</v>
      </c>
      <c r="J9180" s="10" t="s">
        <v>8699</v>
      </c>
      <c r="K9180" s="10">
        <v>346</v>
      </c>
      <c r="L9180" s="10" t="s">
        <v>41751</v>
      </c>
      <c r="M9180" s="10">
        <v>1</v>
      </c>
      <c r="N9180" s="10" t="s">
        <v>29541</v>
      </c>
      <c r="O9180" s="10">
        <v>6</v>
      </c>
      <c r="P9180" s="10" t="s">
        <v>27182</v>
      </c>
      <c r="Q9180" s="10">
        <v>378.15499999999997</v>
      </c>
      <c r="R9180" s="10" t="s">
        <v>41752</v>
      </c>
      <c r="S9180" s="10" t="s">
        <v>53</v>
      </c>
      <c r="T9180" s="10" t="s">
        <v>54</v>
      </c>
    </row>
    <row r="9181" spans="1:20" ht="14.5" x14ac:dyDescent="0.35">
      <c r="A9181" s="10" t="s">
        <v>41753</v>
      </c>
      <c r="B9181" s="10" t="str">
        <f>"9789888083558"</f>
        <v>9789888083558</v>
      </c>
      <c r="C9181" s="10" t="str">
        <f>"9789882208353"</f>
        <v>9789882208353</v>
      </c>
      <c r="D9181" s="10" t="s">
        <v>18250</v>
      </c>
      <c r="E9181" s="10" t="s">
        <v>18250</v>
      </c>
      <c r="F9181" s="10" t="s">
        <v>535</v>
      </c>
      <c r="G9181" s="10" t="s">
        <v>37425</v>
      </c>
      <c r="H9181" s="11">
        <v>40909</v>
      </c>
      <c r="I9181" s="10">
        <v>2012</v>
      </c>
      <c r="J9181" s="10" t="s">
        <v>41754</v>
      </c>
      <c r="K9181" s="10">
        <v>241</v>
      </c>
      <c r="L9181" s="10" t="s">
        <v>41755</v>
      </c>
      <c r="M9181" s="10">
        <v>1</v>
      </c>
      <c r="N9181" s="10" t="s">
        <v>41756</v>
      </c>
      <c r="O9181" s="10">
        <v>6</v>
      </c>
      <c r="P9181" s="10"/>
      <c r="Q9181" s="10"/>
      <c r="R9181" s="10"/>
      <c r="S9181" s="10" t="s">
        <v>876</v>
      </c>
      <c r="T9181" s="10" t="s">
        <v>54</v>
      </c>
    </row>
    <row r="9182" spans="1:20" ht="14.5" x14ac:dyDescent="0.35">
      <c r="A9182" s="10" t="s">
        <v>41757</v>
      </c>
      <c r="B9182" s="10" t="str">
        <f>"9789888139538"</f>
        <v>9789888139538</v>
      </c>
      <c r="C9182" s="10" t="str">
        <f>"9789882208544"</f>
        <v>9789882208544</v>
      </c>
      <c r="D9182" s="10" t="s">
        <v>18250</v>
      </c>
      <c r="E9182" s="10" t="s">
        <v>18250</v>
      </c>
      <c r="F9182" s="10" t="s">
        <v>535</v>
      </c>
      <c r="G9182" s="10" t="s">
        <v>37425</v>
      </c>
      <c r="H9182" s="11">
        <v>41061</v>
      </c>
      <c r="I9182" s="10">
        <v>2012</v>
      </c>
      <c r="J9182" s="10" t="s">
        <v>41754</v>
      </c>
      <c r="K9182" s="10">
        <v>217</v>
      </c>
      <c r="L9182" s="10" t="s">
        <v>41758</v>
      </c>
      <c r="M9182" s="10">
        <v>1</v>
      </c>
      <c r="N9182" s="10" t="s">
        <v>41756</v>
      </c>
      <c r="O9182" s="10">
        <v>7</v>
      </c>
      <c r="P9182" s="10"/>
      <c r="Q9182" s="10"/>
      <c r="R9182" s="10"/>
      <c r="S9182" s="10" t="s">
        <v>876</v>
      </c>
      <c r="T9182" s="10" t="s">
        <v>54</v>
      </c>
    </row>
    <row r="9183" spans="1:20" ht="14.5" x14ac:dyDescent="0.35">
      <c r="A9183" s="10" t="s">
        <v>41759</v>
      </c>
      <c r="B9183" s="10" t="str">
        <f>"9789622099012"</f>
        <v>9789622099012</v>
      </c>
      <c r="C9183" s="10" t="str">
        <f>"9789888053049"</f>
        <v>9789888053049</v>
      </c>
      <c r="D9183" s="10" t="s">
        <v>18250</v>
      </c>
      <c r="E9183" s="10" t="s">
        <v>18250</v>
      </c>
      <c r="F9183" s="10" t="s">
        <v>535</v>
      </c>
      <c r="G9183" s="10" t="s">
        <v>37425</v>
      </c>
      <c r="H9183" s="11">
        <v>39539</v>
      </c>
      <c r="I9183" s="10">
        <v>2008</v>
      </c>
      <c r="J9183" s="10" t="s">
        <v>41754</v>
      </c>
      <c r="K9183" s="10">
        <v>229</v>
      </c>
      <c r="L9183" s="10" t="s">
        <v>41760</v>
      </c>
      <c r="M9183" s="10">
        <v>1</v>
      </c>
      <c r="N9183" s="10" t="s">
        <v>41756</v>
      </c>
      <c r="O9183" s="10">
        <v>3</v>
      </c>
      <c r="P9183" s="10"/>
      <c r="Q9183" s="10"/>
      <c r="R9183" s="10"/>
      <c r="S9183" s="10" t="s">
        <v>876</v>
      </c>
      <c r="T9183" s="10" t="s">
        <v>54</v>
      </c>
    </row>
    <row r="9184" spans="1:20" ht="14.5" x14ac:dyDescent="0.35">
      <c r="A9184" s="10" t="s">
        <v>41761</v>
      </c>
      <c r="B9184" s="10" t="str">
        <f>"9789622099531"</f>
        <v>9789622099531</v>
      </c>
      <c r="C9184" s="10" t="str">
        <f>"9789888053056"</f>
        <v>9789888053056</v>
      </c>
      <c r="D9184" s="10" t="s">
        <v>18250</v>
      </c>
      <c r="E9184" s="10" t="s">
        <v>18250</v>
      </c>
      <c r="F9184" s="10" t="s">
        <v>535</v>
      </c>
      <c r="G9184" s="10" t="s">
        <v>37425</v>
      </c>
      <c r="H9184" s="11">
        <v>39704</v>
      </c>
      <c r="I9184" s="10">
        <v>2008</v>
      </c>
      <c r="J9184" s="10" t="s">
        <v>41754</v>
      </c>
      <c r="K9184" s="10">
        <v>181</v>
      </c>
      <c r="L9184" s="10" t="s">
        <v>41762</v>
      </c>
      <c r="M9184" s="10">
        <v>1</v>
      </c>
      <c r="N9184" s="10" t="s">
        <v>41763</v>
      </c>
      <c r="O9184" s="10">
        <v>4</v>
      </c>
      <c r="P9184" s="10"/>
      <c r="Q9184" s="10"/>
      <c r="R9184" s="10"/>
      <c r="S9184" s="10" t="s">
        <v>876</v>
      </c>
      <c r="T9184" s="10" t="s">
        <v>54</v>
      </c>
    </row>
    <row r="9185" spans="1:20" ht="14.5" x14ac:dyDescent="0.35">
      <c r="A9185" s="10" t="s">
        <v>41764</v>
      </c>
      <c r="B9185" s="10" t="str">
        <f>"9789622098411"</f>
        <v>9789622098411</v>
      </c>
      <c r="C9185" s="10" t="str">
        <f>"9789888053087"</f>
        <v>9789888053087</v>
      </c>
      <c r="D9185" s="10" t="s">
        <v>18250</v>
      </c>
      <c r="E9185" s="10" t="s">
        <v>18250</v>
      </c>
      <c r="F9185" s="10" t="s">
        <v>535</v>
      </c>
      <c r="G9185" s="10" t="s">
        <v>37425</v>
      </c>
      <c r="H9185" s="11">
        <v>39083</v>
      </c>
      <c r="I9185" s="10">
        <v>2007</v>
      </c>
      <c r="J9185" s="10" t="s">
        <v>41754</v>
      </c>
      <c r="K9185" s="10">
        <v>165</v>
      </c>
      <c r="L9185" s="10" t="s">
        <v>41765</v>
      </c>
      <c r="M9185" s="10">
        <v>1</v>
      </c>
      <c r="N9185" s="10"/>
      <c r="O9185" s="10"/>
      <c r="P9185" s="10"/>
      <c r="Q9185" s="10"/>
      <c r="R9185" s="10"/>
      <c r="S9185" s="10" t="s">
        <v>876</v>
      </c>
      <c r="T9185" s="10" t="s">
        <v>54</v>
      </c>
    </row>
    <row r="9186" spans="1:20" ht="14.5" x14ac:dyDescent="0.35">
      <c r="A9186" s="10" t="s">
        <v>41766</v>
      </c>
      <c r="B9186" s="10" t="str">
        <f>"9789622098978"</f>
        <v>9789622098978</v>
      </c>
      <c r="C9186" s="10" t="str">
        <f>"9789888053131"</f>
        <v>9789888053131</v>
      </c>
      <c r="D9186" s="10" t="s">
        <v>18250</v>
      </c>
      <c r="E9186" s="10" t="s">
        <v>18250</v>
      </c>
      <c r="F9186" s="10" t="s">
        <v>535</v>
      </c>
      <c r="G9186" s="10" t="s">
        <v>37425</v>
      </c>
      <c r="H9186" s="11">
        <v>39490</v>
      </c>
      <c r="I9186" s="10">
        <v>2008</v>
      </c>
      <c r="J9186" s="10" t="s">
        <v>41754</v>
      </c>
      <c r="K9186" s="10">
        <v>217</v>
      </c>
      <c r="L9186" s="10" t="s">
        <v>41767</v>
      </c>
      <c r="M9186" s="10">
        <v>1</v>
      </c>
      <c r="N9186" s="10" t="s">
        <v>41763</v>
      </c>
      <c r="O9186" s="10">
        <v>2</v>
      </c>
      <c r="P9186" s="10"/>
      <c r="Q9186" s="10"/>
      <c r="R9186" s="10"/>
      <c r="S9186" s="10" t="s">
        <v>876</v>
      </c>
      <c r="T9186" s="10" t="s">
        <v>54</v>
      </c>
    </row>
    <row r="9187" spans="1:20" ht="14.5" x14ac:dyDescent="0.35">
      <c r="A9187" s="10" t="s">
        <v>41768</v>
      </c>
      <c r="B9187" s="10" t="str">
        <f>"9789888083442"</f>
        <v>9789888083442</v>
      </c>
      <c r="C9187" s="10" t="str">
        <f>"9789888053971"</f>
        <v>9789888053971</v>
      </c>
      <c r="D9187" s="10" t="s">
        <v>18250</v>
      </c>
      <c r="E9187" s="10" t="s">
        <v>18250</v>
      </c>
      <c r="F9187" s="10" t="s">
        <v>535</v>
      </c>
      <c r="G9187" s="10" t="s">
        <v>37425</v>
      </c>
      <c r="H9187" s="11">
        <v>40695</v>
      </c>
      <c r="I9187" s="10">
        <v>2011</v>
      </c>
      <c r="J9187" s="10" t="s">
        <v>41754</v>
      </c>
      <c r="K9187" s="10">
        <v>203</v>
      </c>
      <c r="L9187" s="10" t="s">
        <v>41769</v>
      </c>
      <c r="M9187" s="10">
        <v>1</v>
      </c>
      <c r="N9187" s="10" t="s">
        <v>41756</v>
      </c>
      <c r="O9187" s="10">
        <v>4</v>
      </c>
      <c r="P9187" s="10" t="s">
        <v>41770</v>
      </c>
      <c r="Q9187" s="10">
        <v>973.93309199999999</v>
      </c>
      <c r="R9187" s="10" t="s">
        <v>13858</v>
      </c>
      <c r="S9187" s="10" t="s">
        <v>876</v>
      </c>
      <c r="T9187" s="10" t="s">
        <v>41771</v>
      </c>
    </row>
    <row r="9188" spans="1:20" ht="14.5" x14ac:dyDescent="0.35">
      <c r="A9188" s="10" t="s">
        <v>41772</v>
      </c>
      <c r="B9188" s="10" t="str">
        <f>"9789888083404"</f>
        <v>9789888083404</v>
      </c>
      <c r="C9188" s="10" t="str">
        <f>"9789888053988"</f>
        <v>9789888053988</v>
      </c>
      <c r="D9188" s="10" t="s">
        <v>18250</v>
      </c>
      <c r="E9188" s="10" t="s">
        <v>18250</v>
      </c>
      <c r="F9188" s="10" t="s">
        <v>535</v>
      </c>
      <c r="G9188" s="10" t="s">
        <v>37425</v>
      </c>
      <c r="H9188" s="11">
        <v>40711</v>
      </c>
      <c r="I9188" s="10">
        <v>2011</v>
      </c>
      <c r="J9188" s="10" t="s">
        <v>41754</v>
      </c>
      <c r="K9188" s="10">
        <v>243</v>
      </c>
      <c r="L9188" s="10" t="s">
        <v>41773</v>
      </c>
      <c r="M9188" s="10">
        <v>1</v>
      </c>
      <c r="N9188" s="10" t="s">
        <v>41763</v>
      </c>
      <c r="O9188" s="10">
        <v>5</v>
      </c>
      <c r="P9188" s="10" t="s">
        <v>41774</v>
      </c>
      <c r="Q9188" s="10">
        <v>973.93309199999999</v>
      </c>
      <c r="R9188" s="10" t="s">
        <v>13858</v>
      </c>
      <c r="S9188" s="10" t="s">
        <v>876</v>
      </c>
      <c r="T9188" s="10" t="s">
        <v>16298</v>
      </c>
    </row>
    <row r="9189" spans="1:20" ht="14.5" x14ac:dyDescent="0.35">
      <c r="A9189" s="10" t="s">
        <v>41775</v>
      </c>
      <c r="B9189" s="10" t="str">
        <f>"9789888083039"</f>
        <v>9789888083039</v>
      </c>
      <c r="C9189" s="10" t="str">
        <f>"9789888053995"</f>
        <v>9789888053995</v>
      </c>
      <c r="D9189" s="10" t="s">
        <v>18250</v>
      </c>
      <c r="E9189" s="10" t="s">
        <v>18250</v>
      </c>
      <c r="F9189" s="10" t="s">
        <v>535</v>
      </c>
      <c r="G9189" s="10" t="s">
        <v>37425</v>
      </c>
      <c r="H9189" s="11">
        <v>40695</v>
      </c>
      <c r="I9189" s="10">
        <v>2011</v>
      </c>
      <c r="J9189" s="10" t="s">
        <v>41754</v>
      </c>
      <c r="K9189" s="10">
        <v>219</v>
      </c>
      <c r="L9189" s="10" t="s">
        <v>41776</v>
      </c>
      <c r="M9189" s="10">
        <v>1</v>
      </c>
      <c r="N9189" s="10" t="s">
        <v>41756</v>
      </c>
      <c r="O9189" s="10">
        <v>5</v>
      </c>
      <c r="P9189" s="10" t="s">
        <v>41777</v>
      </c>
      <c r="Q9189" s="10">
        <v>973.93309199999999</v>
      </c>
      <c r="R9189" s="10" t="s">
        <v>13858</v>
      </c>
      <c r="S9189" s="10" t="s">
        <v>876</v>
      </c>
      <c r="T9189" s="10" t="s">
        <v>15353</v>
      </c>
    </row>
    <row r="9190" spans="1:20" ht="14.5" x14ac:dyDescent="0.35">
      <c r="A9190" s="10" t="s">
        <v>41778</v>
      </c>
      <c r="B9190" s="10" t="str">
        <f>"9789888083435"</f>
        <v>9789888083435</v>
      </c>
      <c r="C9190" s="10" t="str">
        <f>"9789888268511"</f>
        <v>9789888268511</v>
      </c>
      <c r="D9190" s="10" t="s">
        <v>18250</v>
      </c>
      <c r="E9190" s="10" t="s">
        <v>18250</v>
      </c>
      <c r="F9190" s="10" t="s">
        <v>535</v>
      </c>
      <c r="G9190" s="10" t="s">
        <v>37425</v>
      </c>
      <c r="H9190" s="11">
        <v>41289</v>
      </c>
      <c r="I9190" s="10">
        <v>2013</v>
      </c>
      <c r="J9190" s="10" t="s">
        <v>41754</v>
      </c>
      <c r="K9190" s="10">
        <v>397</v>
      </c>
      <c r="L9190" s="10" t="s">
        <v>41779</v>
      </c>
      <c r="M9190" s="10">
        <v>1</v>
      </c>
      <c r="N9190" s="10" t="s">
        <v>41763</v>
      </c>
      <c r="O9190" s="10">
        <v>8</v>
      </c>
      <c r="P9190" s="10"/>
      <c r="Q9190" s="10"/>
      <c r="R9190" s="10"/>
      <c r="S9190" s="10" t="s">
        <v>876</v>
      </c>
      <c r="T9190" s="10" t="s">
        <v>54</v>
      </c>
    </row>
    <row r="9191" spans="1:20" ht="14.5" x14ac:dyDescent="0.35">
      <c r="A9191" s="10" t="s">
        <v>41780</v>
      </c>
      <c r="B9191" s="10" t="str">
        <f>"9789888139057"</f>
        <v>9789888139057</v>
      </c>
      <c r="C9191" s="10" t="str">
        <f>"9789888390069"</f>
        <v>9789888390069</v>
      </c>
      <c r="D9191" s="10" t="s">
        <v>18250</v>
      </c>
      <c r="E9191" s="10" t="s">
        <v>18250</v>
      </c>
      <c r="F9191" s="10" t="s">
        <v>535</v>
      </c>
      <c r="G9191" s="10" t="s">
        <v>37425</v>
      </c>
      <c r="H9191" s="11">
        <v>41469</v>
      </c>
      <c r="I9191" s="10">
        <v>2013</v>
      </c>
      <c r="J9191" s="10" t="s">
        <v>41754</v>
      </c>
      <c r="K9191" s="10">
        <v>303</v>
      </c>
      <c r="L9191" s="10" t="s">
        <v>41781</v>
      </c>
      <c r="M9191" s="10">
        <v>1</v>
      </c>
      <c r="N9191" s="10" t="s">
        <v>41763</v>
      </c>
      <c r="O9191" s="10">
        <v>10</v>
      </c>
      <c r="P9191" s="10"/>
      <c r="Q9191" s="10"/>
      <c r="R9191" s="10"/>
      <c r="S9191" s="10" t="s">
        <v>876</v>
      </c>
      <c r="T9191" s="10" t="s">
        <v>54</v>
      </c>
    </row>
    <row r="9192" spans="1:20" ht="14.5" x14ac:dyDescent="0.35">
      <c r="A9192" s="10" t="s">
        <v>41782</v>
      </c>
      <c r="B9192" s="10" t="str">
        <f>"9788793102668"</f>
        <v>9788793102668</v>
      </c>
      <c r="C9192" s="10" t="str">
        <f>"9788793102729"</f>
        <v>9788793102729</v>
      </c>
      <c r="D9192" s="10" t="s">
        <v>37560</v>
      </c>
      <c r="E9192" s="10" t="s">
        <v>37560</v>
      </c>
      <c r="F9192" s="10" t="s">
        <v>37561</v>
      </c>
      <c r="G9192" s="10" t="s">
        <v>37405</v>
      </c>
      <c r="H9192" s="11">
        <v>41705</v>
      </c>
      <c r="I9192" s="10">
        <v>2014</v>
      </c>
      <c r="J9192" s="10" t="s">
        <v>37560</v>
      </c>
      <c r="K9192" s="10">
        <v>197</v>
      </c>
      <c r="L9192" s="10" t="s">
        <v>27459</v>
      </c>
      <c r="M9192" s="10">
        <v>1</v>
      </c>
      <c r="N9192" s="10" t="s">
        <v>37563</v>
      </c>
      <c r="O9192" s="10"/>
      <c r="P9192" s="10" t="s">
        <v>41783</v>
      </c>
      <c r="Q9192" s="10">
        <v>371.10095100000001</v>
      </c>
      <c r="R9192" s="10" t="s">
        <v>41784</v>
      </c>
      <c r="S9192" s="10" t="s">
        <v>53</v>
      </c>
      <c r="T9192" s="10" t="s">
        <v>54</v>
      </c>
    </row>
    <row r="9193" spans="1:20" ht="14.5" x14ac:dyDescent="0.35">
      <c r="A9193" s="10" t="s">
        <v>41785</v>
      </c>
      <c r="B9193" s="10" t="str">
        <f>"9788793237926"</f>
        <v>9788793237926</v>
      </c>
      <c r="C9193" s="10" t="str">
        <f>"9788793237933"</f>
        <v>9788793237933</v>
      </c>
      <c r="D9193" s="10" t="s">
        <v>37560</v>
      </c>
      <c r="E9193" s="10" t="s">
        <v>37560</v>
      </c>
      <c r="F9193" s="10" t="s">
        <v>37561</v>
      </c>
      <c r="G9193" s="10" t="s">
        <v>37405</v>
      </c>
      <c r="H9193" s="11">
        <v>42302</v>
      </c>
      <c r="I9193" s="10">
        <v>2015</v>
      </c>
      <c r="J9193" s="10" t="s">
        <v>37560</v>
      </c>
      <c r="K9193" s="10">
        <v>328</v>
      </c>
      <c r="L9193" s="10" t="s">
        <v>41786</v>
      </c>
      <c r="M9193" s="10">
        <v>1</v>
      </c>
      <c r="N9193" s="10" t="s">
        <v>37563</v>
      </c>
      <c r="O9193" s="10"/>
      <c r="P9193" s="10" t="s">
        <v>41787</v>
      </c>
      <c r="Q9193" s="10">
        <v>371.01094890000002</v>
      </c>
      <c r="R9193" s="10" t="s">
        <v>41788</v>
      </c>
      <c r="S9193" s="10" t="s">
        <v>53</v>
      </c>
      <c r="T9193" s="10" t="s">
        <v>54</v>
      </c>
    </row>
    <row r="9194" spans="1:20" ht="14.5" x14ac:dyDescent="0.35">
      <c r="A9194" s="10" t="s">
        <v>41789</v>
      </c>
      <c r="B9194" s="10" t="str">
        <f>"9781941451045"</f>
        <v>9781941451045</v>
      </c>
      <c r="C9194" s="10" t="str">
        <f>"9780816533817"</f>
        <v>9780816533817</v>
      </c>
      <c r="D9194" s="10" t="s">
        <v>38536</v>
      </c>
      <c r="E9194" s="10" t="s">
        <v>38536</v>
      </c>
      <c r="F9194" s="10" t="s">
        <v>38537</v>
      </c>
      <c r="G9194" s="10" t="s">
        <v>6317</v>
      </c>
      <c r="H9194" s="11">
        <v>42425</v>
      </c>
      <c r="I9194" s="10">
        <v>2016</v>
      </c>
      <c r="J9194" s="10" t="s">
        <v>41790</v>
      </c>
      <c r="K9194" s="10">
        <v>184</v>
      </c>
      <c r="L9194" s="10" t="s">
        <v>41791</v>
      </c>
      <c r="M9194" s="10">
        <v>1</v>
      </c>
      <c r="N9194" s="10"/>
      <c r="O9194" s="10"/>
      <c r="P9194" s="10" t="s">
        <v>41792</v>
      </c>
      <c r="Q9194" s="10">
        <v>559.9</v>
      </c>
      <c r="R9194" s="10"/>
      <c r="S9194" s="10" t="s">
        <v>53</v>
      </c>
      <c r="T9194" s="10" t="s">
        <v>41793</v>
      </c>
    </row>
    <row r="9195" spans="1:20" ht="14.5" x14ac:dyDescent="0.35">
      <c r="A9195" s="10" t="s">
        <v>41794</v>
      </c>
      <c r="B9195" s="10" t="str">
        <f>"9781681234885"</f>
        <v>9781681234885</v>
      </c>
      <c r="C9195" s="10" t="str">
        <f>"9781681234892"</f>
        <v>9781681234892</v>
      </c>
      <c r="D9195" s="10" t="s">
        <v>274</v>
      </c>
      <c r="E9195" s="10" t="s">
        <v>35170</v>
      </c>
      <c r="F9195" s="10" t="s">
        <v>35171</v>
      </c>
      <c r="G9195" s="10" t="s">
        <v>6317</v>
      </c>
      <c r="H9195" s="11">
        <v>42472</v>
      </c>
      <c r="I9195" s="10">
        <v>2016</v>
      </c>
      <c r="J9195" s="10" t="s">
        <v>35170</v>
      </c>
      <c r="K9195" s="10">
        <v>367</v>
      </c>
      <c r="L9195" s="10" t="s">
        <v>41795</v>
      </c>
      <c r="M9195" s="10">
        <v>1</v>
      </c>
      <c r="N9195" s="10"/>
      <c r="O9195" s="10"/>
      <c r="P9195" s="10" t="s">
        <v>41796</v>
      </c>
      <c r="Q9195" s="10">
        <v>428.00709999999998</v>
      </c>
      <c r="R9195" s="10" t="s">
        <v>41797</v>
      </c>
      <c r="S9195" s="10" t="s">
        <v>53</v>
      </c>
      <c r="T9195" s="10" t="s">
        <v>6616</v>
      </c>
    </row>
    <row r="9196" spans="1:20" ht="14.5" x14ac:dyDescent="0.35">
      <c r="A9196" s="10" t="s">
        <v>41798</v>
      </c>
      <c r="B9196" s="10" t="str">
        <f>"9780415975711"</f>
        <v>9780415975711</v>
      </c>
      <c r="C9196" s="10" t="str">
        <f>"9781135495237"</f>
        <v>9781135495237</v>
      </c>
      <c r="D9196" s="10" t="s">
        <v>6350</v>
      </c>
      <c r="E9196" s="10" t="s">
        <v>6351</v>
      </c>
      <c r="F9196" s="10" t="s">
        <v>139</v>
      </c>
      <c r="G9196" s="10" t="s">
        <v>6352</v>
      </c>
      <c r="H9196" s="11">
        <v>38547</v>
      </c>
      <c r="I9196" s="10">
        <v>2005</v>
      </c>
      <c r="J9196" s="10" t="s">
        <v>6353</v>
      </c>
      <c r="K9196" s="10">
        <v>201</v>
      </c>
      <c r="L9196" s="10" t="s">
        <v>41799</v>
      </c>
      <c r="M9196" s="10">
        <v>1</v>
      </c>
      <c r="N9196" s="10"/>
      <c r="O9196" s="10"/>
      <c r="P9196" s="10" t="s">
        <v>41800</v>
      </c>
      <c r="Q9196" s="10">
        <v>378.19822095990003</v>
      </c>
      <c r="R9196" s="10" t="s">
        <v>41801</v>
      </c>
      <c r="S9196" s="10" t="s">
        <v>53</v>
      </c>
      <c r="T9196" s="10" t="s">
        <v>54</v>
      </c>
    </row>
    <row r="9197" spans="1:20" ht="14.5" x14ac:dyDescent="0.35">
      <c r="A9197" s="10" t="s">
        <v>41802</v>
      </c>
      <c r="B9197" s="10" t="str">
        <f>"9781474237543"</f>
        <v>9781474237543</v>
      </c>
      <c r="C9197" s="10" t="str">
        <f>"9781474237536"</f>
        <v>9781474237536</v>
      </c>
      <c r="D9197" s="10" t="s">
        <v>13959</v>
      </c>
      <c r="E9197" s="10" t="s">
        <v>13960</v>
      </c>
      <c r="F9197" s="10" t="s">
        <v>139</v>
      </c>
      <c r="G9197" s="10" t="s">
        <v>6352</v>
      </c>
      <c r="H9197" s="11">
        <v>42551</v>
      </c>
      <c r="I9197" s="10">
        <v>2016</v>
      </c>
      <c r="J9197" s="10" t="s">
        <v>14057</v>
      </c>
      <c r="K9197" s="10">
        <v>307</v>
      </c>
      <c r="L9197" s="10" t="s">
        <v>41803</v>
      </c>
      <c r="M9197" s="10">
        <v>1</v>
      </c>
      <c r="N9197" s="10" t="s">
        <v>41804</v>
      </c>
      <c r="O9197" s="10"/>
      <c r="P9197" s="10" t="s">
        <v>41805</v>
      </c>
      <c r="Q9197" s="10">
        <v>1.3</v>
      </c>
      <c r="R9197" s="10" t="s">
        <v>2487</v>
      </c>
      <c r="S9197" s="10" t="s">
        <v>53</v>
      </c>
      <c r="T9197" s="10" t="s">
        <v>6601</v>
      </c>
    </row>
    <row r="9198" spans="1:20" ht="14.5" x14ac:dyDescent="0.35">
      <c r="A9198" s="10" t="s">
        <v>41806</v>
      </c>
      <c r="B9198" s="10" t="str">
        <f>"9781474268738"</f>
        <v>9781474268738</v>
      </c>
      <c r="C9198" s="10" t="str">
        <f>"9781474268752"</f>
        <v>9781474268752</v>
      </c>
      <c r="D9198" s="10" t="s">
        <v>13959</v>
      </c>
      <c r="E9198" s="10" t="s">
        <v>13960</v>
      </c>
      <c r="F9198" s="10" t="s">
        <v>139</v>
      </c>
      <c r="G9198" s="10" t="s">
        <v>6352</v>
      </c>
      <c r="H9198" s="11">
        <v>42537</v>
      </c>
      <c r="I9198" s="10">
        <v>2016</v>
      </c>
      <c r="J9198" s="10" t="s">
        <v>14057</v>
      </c>
      <c r="K9198" s="10">
        <v>222</v>
      </c>
      <c r="L9198" s="10" t="s">
        <v>41807</v>
      </c>
      <c r="M9198" s="10">
        <v>1</v>
      </c>
      <c r="N9198" s="10"/>
      <c r="O9198" s="10"/>
      <c r="P9198" s="10" t="s">
        <v>41808</v>
      </c>
      <c r="Q9198" s="10">
        <v>370.94200000000001</v>
      </c>
      <c r="R9198" s="10" t="s">
        <v>33517</v>
      </c>
      <c r="S9198" s="10" t="s">
        <v>53</v>
      </c>
      <c r="T9198" s="10" t="s">
        <v>54</v>
      </c>
    </row>
    <row r="9199" spans="1:20" ht="14.5" x14ac:dyDescent="0.35">
      <c r="A9199" s="10" t="s">
        <v>41809</v>
      </c>
      <c r="B9199" s="10" t="str">
        <f>"9781553393320"</f>
        <v>9781553393320</v>
      </c>
      <c r="C9199" s="10" t="str">
        <f>"9781553393412"</f>
        <v>9781553393412</v>
      </c>
      <c r="D9199" s="10" t="s">
        <v>36164</v>
      </c>
      <c r="E9199" s="10" t="s">
        <v>36165</v>
      </c>
      <c r="F9199" s="10" t="s">
        <v>4536</v>
      </c>
      <c r="G9199" s="10" t="s">
        <v>9536</v>
      </c>
      <c r="H9199" s="11">
        <v>41518</v>
      </c>
      <c r="I9199" s="10">
        <v>2013</v>
      </c>
      <c r="J9199" s="10" t="s">
        <v>36165</v>
      </c>
      <c r="K9199" s="10">
        <v>457</v>
      </c>
      <c r="L9199" s="10" t="s">
        <v>41810</v>
      </c>
      <c r="M9199" s="10">
        <v>1</v>
      </c>
      <c r="N9199" s="10" t="s">
        <v>41811</v>
      </c>
      <c r="O9199" s="10">
        <v>180</v>
      </c>
      <c r="P9199" s="10" t="s">
        <v>41812</v>
      </c>
      <c r="Q9199" s="10">
        <v>378.1</v>
      </c>
      <c r="R9199" s="10" t="s">
        <v>41813</v>
      </c>
      <c r="S9199" s="10" t="s">
        <v>53</v>
      </c>
      <c r="T9199" s="10" t="s">
        <v>54</v>
      </c>
    </row>
    <row r="9200" spans="1:20" ht="14.5" x14ac:dyDescent="0.35">
      <c r="A9200" s="10" t="s">
        <v>41814</v>
      </c>
      <c r="B9200" s="10" t="str">
        <f>"9781409401520"</f>
        <v>9781409401520</v>
      </c>
      <c r="C9200" s="10" t="str">
        <f>"9781317093046"</f>
        <v>9781317093046</v>
      </c>
      <c r="D9200" s="10" t="s">
        <v>6350</v>
      </c>
      <c r="E9200" s="10" t="s">
        <v>6351</v>
      </c>
      <c r="F9200" s="10" t="s">
        <v>5406</v>
      </c>
      <c r="G9200" s="10" t="s">
        <v>6352</v>
      </c>
      <c r="H9200" s="11">
        <v>40661</v>
      </c>
      <c r="I9200" s="10">
        <v>2011</v>
      </c>
      <c r="J9200" s="10" t="s">
        <v>6353</v>
      </c>
      <c r="K9200" s="10">
        <v>232</v>
      </c>
      <c r="L9200" s="10" t="s">
        <v>41033</v>
      </c>
      <c r="M9200" s="10">
        <v>3</v>
      </c>
      <c r="N9200" s="10"/>
      <c r="O9200" s="10"/>
      <c r="P9200" s="10" t="s">
        <v>41815</v>
      </c>
      <c r="Q9200" s="10" t="s">
        <v>41034</v>
      </c>
      <c r="R9200" s="10" t="s">
        <v>41816</v>
      </c>
      <c r="S9200" s="10" t="s">
        <v>53</v>
      </c>
      <c r="T9200" s="10" t="s">
        <v>6410</v>
      </c>
    </row>
    <row r="9201" spans="1:20" ht="14.5" x14ac:dyDescent="0.35">
      <c r="A9201" s="10" t="s">
        <v>41817</v>
      </c>
      <c r="B9201" s="10" t="str">
        <f>"9781409418511"</f>
        <v>9781409418511</v>
      </c>
      <c r="C9201" s="10" t="str">
        <f>"9781317174738"</f>
        <v>9781317174738</v>
      </c>
      <c r="D9201" s="10" t="s">
        <v>6350</v>
      </c>
      <c r="E9201" s="10" t="s">
        <v>6351</v>
      </c>
      <c r="F9201" s="10" t="s">
        <v>139</v>
      </c>
      <c r="G9201" s="10" t="s">
        <v>6352</v>
      </c>
      <c r="H9201" s="11">
        <v>41530</v>
      </c>
      <c r="I9201" s="10">
        <v>2013</v>
      </c>
      <c r="J9201" s="10" t="s">
        <v>6353</v>
      </c>
      <c r="K9201" s="10">
        <v>378</v>
      </c>
      <c r="L9201" s="10" t="s">
        <v>41818</v>
      </c>
      <c r="M9201" s="10">
        <v>1</v>
      </c>
      <c r="N9201" s="10"/>
      <c r="O9201" s="10"/>
      <c r="P9201" s="10" t="s">
        <v>41819</v>
      </c>
      <c r="Q9201" s="10">
        <v>658.31240000000003</v>
      </c>
      <c r="R9201" s="10" t="s">
        <v>41820</v>
      </c>
      <c r="S9201" s="10" t="s">
        <v>53</v>
      </c>
      <c r="T9201" s="10" t="s">
        <v>6734</v>
      </c>
    </row>
    <row r="9202" spans="1:20" ht="14.5" x14ac:dyDescent="0.35">
      <c r="A9202" s="10" t="s">
        <v>41821</v>
      </c>
      <c r="B9202" s="10" t="str">
        <f>"9781553393337"</f>
        <v>9781553393337</v>
      </c>
      <c r="C9202" s="10" t="str">
        <f>"9781553393344"</f>
        <v>9781553393344</v>
      </c>
      <c r="D9202" s="10" t="s">
        <v>36164</v>
      </c>
      <c r="E9202" s="10" t="s">
        <v>36165</v>
      </c>
      <c r="F9202" s="10" t="s">
        <v>4536</v>
      </c>
      <c r="G9202" s="10" t="s">
        <v>9536</v>
      </c>
      <c r="H9202" s="11">
        <v>41640</v>
      </c>
      <c r="I9202" s="10">
        <v>2014</v>
      </c>
      <c r="J9202" s="10" t="s">
        <v>36165</v>
      </c>
      <c r="K9202" s="10">
        <v>319</v>
      </c>
      <c r="L9202" s="10" t="s">
        <v>41822</v>
      </c>
      <c r="M9202" s="10">
        <v>1</v>
      </c>
      <c r="N9202" s="10" t="s">
        <v>41811</v>
      </c>
      <c r="O9202" s="10">
        <v>181</v>
      </c>
      <c r="P9202" s="10" t="s">
        <v>41823</v>
      </c>
      <c r="Q9202" s="10">
        <v>378.71300000000002</v>
      </c>
      <c r="R9202" s="10" t="s">
        <v>41824</v>
      </c>
      <c r="S9202" s="10" t="s">
        <v>53</v>
      </c>
      <c r="T9202" s="10" t="s">
        <v>54</v>
      </c>
    </row>
    <row r="9203" spans="1:20" ht="14.5" x14ac:dyDescent="0.35">
      <c r="A9203" s="10" t="s">
        <v>41825</v>
      </c>
      <c r="B9203" s="10" t="str">
        <f>"9781553393252"</f>
        <v>9781553393252</v>
      </c>
      <c r="C9203" s="10" t="str">
        <f>"9781553395102"</f>
        <v>9781553395102</v>
      </c>
      <c r="D9203" s="10" t="s">
        <v>36164</v>
      </c>
      <c r="E9203" s="10" t="s">
        <v>36165</v>
      </c>
      <c r="F9203" s="10" t="s">
        <v>4536</v>
      </c>
      <c r="G9203" s="10" t="s">
        <v>9536</v>
      </c>
      <c r="H9203" s="11">
        <v>41335</v>
      </c>
      <c r="I9203" s="10">
        <v>2013</v>
      </c>
      <c r="J9203" s="10" t="s">
        <v>36165</v>
      </c>
      <c r="K9203" s="10">
        <v>209</v>
      </c>
      <c r="L9203" s="10" t="s">
        <v>41826</v>
      </c>
      <c r="M9203" s="10">
        <v>1</v>
      </c>
      <c r="N9203" s="10" t="s">
        <v>41811</v>
      </c>
      <c r="O9203" s="10">
        <v>162</v>
      </c>
      <c r="P9203" s="10" t="s">
        <v>41827</v>
      </c>
      <c r="Q9203" s="10">
        <v>378.00720000000001</v>
      </c>
      <c r="R9203" s="10" t="s">
        <v>41828</v>
      </c>
      <c r="S9203" s="10" t="s">
        <v>53</v>
      </c>
      <c r="T9203" s="10" t="s">
        <v>54</v>
      </c>
    </row>
    <row r="9204" spans="1:20" ht="14.5" x14ac:dyDescent="0.35">
      <c r="A9204" s="10" t="s">
        <v>41829</v>
      </c>
      <c r="B9204" s="10" t="str">
        <f>"9781119050742"</f>
        <v>9781119050742</v>
      </c>
      <c r="C9204" s="10" t="str">
        <f>"9781119051190"</f>
        <v>9781119051190</v>
      </c>
      <c r="D9204" s="10" t="s">
        <v>6322</v>
      </c>
      <c r="E9204" s="10" t="s">
        <v>6323</v>
      </c>
      <c r="F9204" s="10" t="s">
        <v>4423</v>
      </c>
      <c r="G9204" s="10" t="s">
        <v>6317</v>
      </c>
      <c r="H9204" s="11">
        <v>42506</v>
      </c>
      <c r="I9204" s="10">
        <v>2016</v>
      </c>
      <c r="J9204" s="10" t="s">
        <v>6324</v>
      </c>
      <c r="K9204" s="10">
        <v>170</v>
      </c>
      <c r="L9204" s="10" t="s">
        <v>41830</v>
      </c>
      <c r="M9204" s="10">
        <v>1</v>
      </c>
      <c r="N9204" s="10"/>
      <c r="O9204" s="10"/>
      <c r="P9204" s="10" t="s">
        <v>41831</v>
      </c>
      <c r="Q9204" s="10">
        <v>378.19809729999997</v>
      </c>
      <c r="R9204" s="10" t="s">
        <v>41832</v>
      </c>
      <c r="S9204" s="10" t="s">
        <v>53</v>
      </c>
      <c r="T9204" s="10" t="s">
        <v>54</v>
      </c>
    </row>
    <row r="9205" spans="1:20" ht="14.5" x14ac:dyDescent="0.35">
      <c r="A9205" s="10" t="s">
        <v>41833</v>
      </c>
      <c r="B9205" s="10" t="str">
        <f>"9781416621683"</f>
        <v>9781416621683</v>
      </c>
      <c r="C9205" s="10" t="str">
        <f>"9781416622260"</f>
        <v>9781416622260</v>
      </c>
      <c r="D9205" s="10" t="s">
        <v>10014</v>
      </c>
      <c r="E9205" s="10" t="s">
        <v>10015</v>
      </c>
      <c r="F9205" s="10" t="s">
        <v>201</v>
      </c>
      <c r="G9205" s="10" t="s">
        <v>6317</v>
      </c>
      <c r="H9205" s="11">
        <v>42490</v>
      </c>
      <c r="I9205" s="10">
        <v>2016</v>
      </c>
      <c r="J9205" s="10" t="s">
        <v>10015</v>
      </c>
      <c r="K9205" s="10">
        <v>141</v>
      </c>
      <c r="L9205" s="10" t="s">
        <v>26832</v>
      </c>
      <c r="M9205" s="10">
        <v>1</v>
      </c>
      <c r="N9205" s="10"/>
      <c r="O9205" s="10"/>
      <c r="P9205" s="10"/>
      <c r="Q9205" s="10"/>
      <c r="R9205" s="10"/>
      <c r="S9205" s="10" t="s">
        <v>53</v>
      </c>
      <c r="T9205" s="10" t="s">
        <v>54</v>
      </c>
    </row>
    <row r="9206" spans="1:20" ht="14.5" x14ac:dyDescent="0.35">
      <c r="A9206" s="10" t="s">
        <v>41834</v>
      </c>
      <c r="B9206" s="10" t="str">
        <f>"9789004314962"</f>
        <v>9789004314962</v>
      </c>
      <c r="C9206" s="10" t="str">
        <f>"9789004319639"</f>
        <v>9789004319639</v>
      </c>
      <c r="D9206" s="10" t="s">
        <v>8564</v>
      </c>
      <c r="E9206" s="10" t="s">
        <v>8565</v>
      </c>
      <c r="F9206" s="10" t="s">
        <v>1420</v>
      </c>
      <c r="G9206" s="10" t="s">
        <v>6317</v>
      </c>
      <c r="H9206" s="11">
        <v>42481</v>
      </c>
      <c r="I9206" s="10">
        <v>2016</v>
      </c>
      <c r="J9206" s="10" t="s">
        <v>8565</v>
      </c>
      <c r="K9206" s="10">
        <v>269</v>
      </c>
      <c r="L9206" s="10" t="s">
        <v>41835</v>
      </c>
      <c r="M9206" s="10">
        <v>1</v>
      </c>
      <c r="N9206" s="10" t="s">
        <v>19796</v>
      </c>
      <c r="O9206" s="10">
        <v>84</v>
      </c>
      <c r="P9206" s="10" t="s">
        <v>41836</v>
      </c>
      <c r="Q9206" s="10">
        <v>306.2</v>
      </c>
      <c r="R9206" s="10" t="s">
        <v>41837</v>
      </c>
      <c r="S9206" s="10" t="s">
        <v>53</v>
      </c>
      <c r="T9206" s="10" t="s">
        <v>6363</v>
      </c>
    </row>
    <row r="9207" spans="1:20" ht="14.5" x14ac:dyDescent="0.35">
      <c r="A9207" s="10" t="s">
        <v>41838</v>
      </c>
      <c r="B9207" s="10" t="str">
        <f>"9783658140649"</f>
        <v>9783658140649</v>
      </c>
      <c r="C9207" s="10" t="str">
        <f>"9783658140656"</f>
        <v>9783658140656</v>
      </c>
      <c r="D9207" s="10" t="s">
        <v>11249</v>
      </c>
      <c r="E9207" s="10" t="s">
        <v>41839</v>
      </c>
      <c r="F9207" s="10" t="s">
        <v>19532</v>
      </c>
      <c r="G9207" s="10" t="s">
        <v>9998</v>
      </c>
      <c r="H9207" s="11">
        <v>42488</v>
      </c>
      <c r="I9207" s="10">
        <v>2016</v>
      </c>
      <c r="J9207" s="10" t="s">
        <v>41839</v>
      </c>
      <c r="K9207" s="10">
        <v>315</v>
      </c>
      <c r="L9207" s="10" t="s">
        <v>41840</v>
      </c>
      <c r="M9207" s="10">
        <v>1</v>
      </c>
      <c r="N9207" s="10" t="s">
        <v>41841</v>
      </c>
      <c r="O9207" s="10"/>
      <c r="P9207" s="10" t="s">
        <v>11251</v>
      </c>
      <c r="Q9207" s="10">
        <v>379.24095999999997</v>
      </c>
      <c r="R9207" s="10" t="s">
        <v>4456</v>
      </c>
      <c r="S9207" s="10" t="s">
        <v>53</v>
      </c>
      <c r="T9207" s="10" t="s">
        <v>54</v>
      </c>
    </row>
    <row r="9208" spans="1:20" ht="14.5" x14ac:dyDescent="0.35">
      <c r="A9208" s="10" t="s">
        <v>41842</v>
      </c>
      <c r="B9208" s="10" t="str">
        <f>"9781786353450"</f>
        <v>9781786353450</v>
      </c>
      <c r="C9208" s="10" t="str">
        <f>"9781786353467"</f>
        <v>9781786353467</v>
      </c>
      <c r="D9208" s="10" t="s">
        <v>8699</v>
      </c>
      <c r="E9208" s="10" t="s">
        <v>8699</v>
      </c>
      <c r="F9208" s="10" t="s">
        <v>41843</v>
      </c>
      <c r="G9208" s="10" t="s">
        <v>6352</v>
      </c>
      <c r="H9208" s="11">
        <v>42443</v>
      </c>
      <c r="I9208" s="10">
        <v>2016</v>
      </c>
      <c r="J9208" s="10" t="s">
        <v>115</v>
      </c>
      <c r="K9208" s="10">
        <v>153</v>
      </c>
      <c r="L9208" s="10" t="s">
        <v>41844</v>
      </c>
      <c r="M9208" s="10">
        <v>1</v>
      </c>
      <c r="N9208" s="10" t="s">
        <v>41845</v>
      </c>
      <c r="O9208" s="10">
        <v>7</v>
      </c>
      <c r="P9208" s="10" t="s">
        <v>41846</v>
      </c>
      <c r="Q9208" s="10">
        <v>657</v>
      </c>
      <c r="R9208" s="10" t="s">
        <v>41847</v>
      </c>
      <c r="S9208" s="10" t="s">
        <v>53</v>
      </c>
      <c r="T9208" s="10" t="s">
        <v>6660</v>
      </c>
    </row>
    <row r="9209" spans="1:20" ht="14.5" x14ac:dyDescent="0.35">
      <c r="A9209" s="10" t="s">
        <v>41848</v>
      </c>
      <c r="B9209" s="10" t="str">
        <f>"9781475818123"</f>
        <v>9781475818123</v>
      </c>
      <c r="C9209" s="10" t="str">
        <f>"9781475818130"</f>
        <v>9781475818130</v>
      </c>
      <c r="D9209" s="10" t="s">
        <v>9752</v>
      </c>
      <c r="E9209" s="10" t="s">
        <v>15187</v>
      </c>
      <c r="F9209" s="10" t="s">
        <v>9754</v>
      </c>
      <c r="G9209" s="10" t="s">
        <v>6317</v>
      </c>
      <c r="H9209" s="11">
        <v>42493</v>
      </c>
      <c r="I9209" s="10">
        <v>2016</v>
      </c>
      <c r="J9209" s="10" t="s">
        <v>15187</v>
      </c>
      <c r="K9209" s="10">
        <v>154</v>
      </c>
      <c r="L9209" s="10" t="s">
        <v>41849</v>
      </c>
      <c r="M9209" s="10">
        <v>1</v>
      </c>
      <c r="N9209" s="10"/>
      <c r="O9209" s="10"/>
      <c r="P9209" s="10"/>
      <c r="Q9209" s="10">
        <v>300.70999999999998</v>
      </c>
      <c r="R9209" s="10" t="s">
        <v>41850</v>
      </c>
      <c r="S9209" s="10" t="s">
        <v>53</v>
      </c>
      <c r="T9209" s="10" t="s">
        <v>6363</v>
      </c>
    </row>
    <row r="9210" spans="1:20" ht="14.5" x14ac:dyDescent="0.35">
      <c r="A9210" s="10" t="s">
        <v>41851</v>
      </c>
      <c r="B9210" s="10" t="str">
        <f>"9780415810814"</f>
        <v>9780415810814</v>
      </c>
      <c r="C9210" s="10" t="str">
        <f>"9781135092351"</f>
        <v>9781135092351</v>
      </c>
      <c r="D9210" s="10" t="s">
        <v>6350</v>
      </c>
      <c r="E9210" s="10" t="s">
        <v>6351</v>
      </c>
      <c r="F9210" s="10" t="s">
        <v>139</v>
      </c>
      <c r="G9210" s="10" t="s">
        <v>6352</v>
      </c>
      <c r="H9210" s="11">
        <v>42499</v>
      </c>
      <c r="I9210" s="10">
        <v>2016</v>
      </c>
      <c r="J9210" s="10" t="s">
        <v>6353</v>
      </c>
      <c r="K9210" s="10">
        <v>343</v>
      </c>
      <c r="L9210" s="10" t="s">
        <v>41852</v>
      </c>
      <c r="M9210" s="10">
        <v>1</v>
      </c>
      <c r="N9210" s="10"/>
      <c r="O9210" s="10"/>
      <c r="P9210" s="10" t="s">
        <v>41853</v>
      </c>
      <c r="Q9210" s="10" t="s">
        <v>41854</v>
      </c>
      <c r="R9210" s="10" t="s">
        <v>41855</v>
      </c>
      <c r="S9210" s="10" t="s">
        <v>53</v>
      </c>
      <c r="T9210" s="10" t="s">
        <v>8412</v>
      </c>
    </row>
    <row r="9211" spans="1:20" ht="14.5" x14ac:dyDescent="0.35">
      <c r="A9211" s="10" t="s">
        <v>41856</v>
      </c>
      <c r="B9211" s="10" t="str">
        <f>"9781606352915"</f>
        <v>9781606352915</v>
      </c>
      <c r="C9211" s="10" t="str">
        <f>"9781631012341"</f>
        <v>9781631012341</v>
      </c>
      <c r="D9211" s="10" t="s">
        <v>27268</v>
      </c>
      <c r="E9211" s="10" t="s">
        <v>29932</v>
      </c>
      <c r="F9211" s="10" t="s">
        <v>34596</v>
      </c>
      <c r="G9211" s="10" t="s">
        <v>6317</v>
      </c>
      <c r="H9211" s="11">
        <v>42490</v>
      </c>
      <c r="I9211" s="10">
        <v>2016</v>
      </c>
      <c r="J9211" s="10" t="s">
        <v>29932</v>
      </c>
      <c r="K9211" s="10">
        <v>267</v>
      </c>
      <c r="L9211" s="10" t="s">
        <v>41857</v>
      </c>
      <c r="M9211" s="10">
        <v>1</v>
      </c>
      <c r="N9211" s="10"/>
      <c r="O9211" s="10"/>
      <c r="P9211" s="10" t="s">
        <v>41858</v>
      </c>
      <c r="Q9211" s="10">
        <v>378.77136999999999</v>
      </c>
      <c r="R9211" s="10" t="s">
        <v>41859</v>
      </c>
      <c r="S9211" s="10" t="s">
        <v>53</v>
      </c>
      <c r="T9211" s="10" t="s">
        <v>54</v>
      </c>
    </row>
    <row r="9212" spans="1:20" ht="14.5" x14ac:dyDescent="0.35">
      <c r="A9212" s="10" t="s">
        <v>41860</v>
      </c>
      <c r="B9212" s="10" t="str">
        <f>"9780805854671"</f>
        <v>9780805854671</v>
      </c>
      <c r="C9212" s="10" t="str">
        <f>"9781136610806"</f>
        <v>9781136610806</v>
      </c>
      <c r="D9212" s="10" t="s">
        <v>6350</v>
      </c>
      <c r="E9212" s="10" t="s">
        <v>6351</v>
      </c>
      <c r="F9212" s="10" t="s">
        <v>3967</v>
      </c>
      <c r="G9212" s="10" t="s">
        <v>6352</v>
      </c>
      <c r="H9212" s="11">
        <v>38595</v>
      </c>
      <c r="I9212" s="10">
        <v>2005</v>
      </c>
      <c r="J9212" s="10" t="s">
        <v>6353</v>
      </c>
      <c r="K9212" s="10">
        <v>817</v>
      </c>
      <c r="L9212" s="10" t="s">
        <v>41861</v>
      </c>
      <c r="M9212" s="10">
        <v>1</v>
      </c>
      <c r="N9212" s="10"/>
      <c r="O9212" s="10"/>
      <c r="P9212" s="10">
        <v>2005015076</v>
      </c>
      <c r="Q9212" s="10">
        <v>418</v>
      </c>
      <c r="R9212" s="10" t="s">
        <v>41862</v>
      </c>
      <c r="S9212" s="10" t="s">
        <v>53</v>
      </c>
      <c r="T9212" s="10" t="s">
        <v>6616</v>
      </c>
    </row>
    <row r="9213" spans="1:20" ht="14.5" x14ac:dyDescent="0.35">
      <c r="A9213" s="10" t="s">
        <v>41863</v>
      </c>
      <c r="B9213" s="10" t="str">
        <f>"9780415933841"</f>
        <v>9780415933841</v>
      </c>
      <c r="C9213" s="10" t="str">
        <f>"9781317849537"</f>
        <v>9781317849537</v>
      </c>
      <c r="D9213" s="10" t="s">
        <v>6350</v>
      </c>
      <c r="E9213" s="10" t="s">
        <v>6351</v>
      </c>
      <c r="F9213" s="10" t="s">
        <v>139</v>
      </c>
      <c r="G9213" s="10" t="s">
        <v>6352</v>
      </c>
      <c r="H9213" s="11">
        <v>37414</v>
      </c>
      <c r="I9213" s="10">
        <v>2002</v>
      </c>
      <c r="J9213" s="10" t="s">
        <v>6353</v>
      </c>
      <c r="K9213" s="10">
        <v>266</v>
      </c>
      <c r="L9213" s="10" t="s">
        <v>41864</v>
      </c>
      <c r="M9213" s="10">
        <v>1</v>
      </c>
      <c r="N9213" s="10" t="s">
        <v>7363</v>
      </c>
      <c r="O9213" s="10"/>
      <c r="P9213" s="10" t="s">
        <v>41865</v>
      </c>
      <c r="Q9213" s="10" t="s">
        <v>13084</v>
      </c>
      <c r="R9213" s="10" t="s">
        <v>6471</v>
      </c>
      <c r="S9213" s="10" t="s">
        <v>53</v>
      </c>
      <c r="T9213" s="10" t="s">
        <v>54</v>
      </c>
    </row>
    <row r="9214" spans="1:20" ht="14.5" x14ac:dyDescent="0.35">
      <c r="A9214" s="10" t="s">
        <v>41866</v>
      </c>
      <c r="B9214" s="10" t="str">
        <f>"9781119049609"</f>
        <v>9781119049609</v>
      </c>
      <c r="C9214" s="10" t="str">
        <f>"9781119051169"</f>
        <v>9781119051169</v>
      </c>
      <c r="D9214" s="10" t="s">
        <v>6322</v>
      </c>
      <c r="E9214" s="10" t="s">
        <v>6323</v>
      </c>
      <c r="F9214" s="10" t="s">
        <v>4423</v>
      </c>
      <c r="G9214" s="10" t="s">
        <v>6317</v>
      </c>
      <c r="H9214" s="11">
        <v>42513</v>
      </c>
      <c r="I9214" s="10">
        <v>2016</v>
      </c>
      <c r="J9214" s="10" t="s">
        <v>6323</v>
      </c>
      <c r="K9214" s="10">
        <v>277</v>
      </c>
      <c r="L9214" s="10" t="s">
        <v>41867</v>
      </c>
      <c r="M9214" s="10">
        <v>2</v>
      </c>
      <c r="N9214" s="10"/>
      <c r="O9214" s="10"/>
      <c r="P9214" s="10"/>
      <c r="Q9214" s="10" t="s">
        <v>16871</v>
      </c>
      <c r="R9214" s="10" t="s">
        <v>41868</v>
      </c>
      <c r="S9214" s="10" t="s">
        <v>53</v>
      </c>
      <c r="T9214" s="10" t="s">
        <v>54</v>
      </c>
    </row>
    <row r="9215" spans="1:20" ht="14.5" x14ac:dyDescent="0.35">
      <c r="A9215" s="10" t="s">
        <v>41869</v>
      </c>
      <c r="B9215" s="10" t="str">
        <f>"9780801453564"</f>
        <v>9780801453564</v>
      </c>
      <c r="C9215" s="10" t="str">
        <f>"9781501703898"</f>
        <v>9781501703898</v>
      </c>
      <c r="D9215" s="10" t="s">
        <v>9533</v>
      </c>
      <c r="E9215" s="10" t="s">
        <v>5258</v>
      </c>
      <c r="F9215" s="10" t="s">
        <v>2536</v>
      </c>
      <c r="G9215" s="10" t="s">
        <v>6317</v>
      </c>
      <c r="H9215" s="11">
        <v>42500</v>
      </c>
      <c r="I9215" s="10">
        <v>2016</v>
      </c>
      <c r="J9215" s="10" t="s">
        <v>5258</v>
      </c>
      <c r="K9215" s="10">
        <v>281</v>
      </c>
      <c r="L9215" s="10" t="s">
        <v>41870</v>
      </c>
      <c r="M9215" s="10">
        <v>1</v>
      </c>
      <c r="N9215" s="10"/>
      <c r="O9215" s="10"/>
      <c r="P9215" s="10" t="s">
        <v>22173</v>
      </c>
      <c r="Q9215" s="10">
        <v>378.00819999999999</v>
      </c>
      <c r="R9215" s="10" t="s">
        <v>41871</v>
      </c>
      <c r="S9215" s="10" t="s">
        <v>53</v>
      </c>
      <c r="T9215" s="10" t="s">
        <v>54</v>
      </c>
    </row>
    <row r="9216" spans="1:20" ht="14.5" x14ac:dyDescent="0.35">
      <c r="A9216" s="10" t="s">
        <v>41872</v>
      </c>
      <c r="B9216" s="10" t="str">
        <f>"9781849057417"</f>
        <v>9781849057417</v>
      </c>
      <c r="C9216" s="10" t="str">
        <f>"9781784501891"</f>
        <v>9781784501891</v>
      </c>
      <c r="D9216" s="10" t="s">
        <v>10516</v>
      </c>
      <c r="E9216" s="10" t="s">
        <v>10516</v>
      </c>
      <c r="F9216" s="10" t="s">
        <v>139</v>
      </c>
      <c r="G9216" s="10" t="s">
        <v>6352</v>
      </c>
      <c r="H9216" s="11">
        <v>42495</v>
      </c>
      <c r="I9216" s="10">
        <v>2016</v>
      </c>
      <c r="J9216" s="10" t="s">
        <v>10516</v>
      </c>
      <c r="K9216" s="10">
        <v>306</v>
      </c>
      <c r="L9216" s="10" t="s">
        <v>41873</v>
      </c>
      <c r="M9216" s="10">
        <v>1</v>
      </c>
      <c r="N9216" s="10" t="s">
        <v>41874</v>
      </c>
      <c r="O9216" s="10"/>
      <c r="P9216" s="10"/>
      <c r="Q9216" s="10" t="s">
        <v>8679</v>
      </c>
      <c r="R9216" s="10"/>
      <c r="S9216" s="10" t="s">
        <v>53</v>
      </c>
      <c r="T9216" s="10" t="s">
        <v>8625</v>
      </c>
    </row>
    <row r="9217" spans="1:20" ht="14.5" x14ac:dyDescent="0.35">
      <c r="A9217" s="10" t="s">
        <v>41875</v>
      </c>
      <c r="B9217" s="10" t="str">
        <f>"9781598579697"</f>
        <v>9781598579697</v>
      </c>
      <c r="C9217" s="10" t="str">
        <f>"9781681252117"</f>
        <v>9781681252117</v>
      </c>
      <c r="D9217" s="10" t="s">
        <v>28876</v>
      </c>
      <c r="E9217" s="10" t="s">
        <v>28877</v>
      </c>
      <c r="F9217" s="10" t="s">
        <v>885</v>
      </c>
      <c r="G9217" s="10" t="s">
        <v>6317</v>
      </c>
      <c r="H9217" s="11">
        <v>42705</v>
      </c>
      <c r="I9217" s="10">
        <v>2016</v>
      </c>
      <c r="J9217" s="10" t="s">
        <v>28877</v>
      </c>
      <c r="K9217" s="10">
        <v>191</v>
      </c>
      <c r="L9217" s="10" t="s">
        <v>41876</v>
      </c>
      <c r="M9217" s="10">
        <v>2</v>
      </c>
      <c r="N9217" s="10"/>
      <c r="O9217" s="10"/>
      <c r="P9217" s="10" t="s">
        <v>41877</v>
      </c>
      <c r="Q9217" s="10">
        <v>370.11500000000001</v>
      </c>
      <c r="R9217" s="10" t="s">
        <v>18175</v>
      </c>
      <c r="S9217" s="10" t="s">
        <v>53</v>
      </c>
      <c r="T9217" s="10" t="s">
        <v>54</v>
      </c>
    </row>
    <row r="9218" spans="1:20" ht="14.5" x14ac:dyDescent="0.35">
      <c r="A9218" s="10" t="s">
        <v>41878</v>
      </c>
      <c r="B9218" s="10" t="str">
        <f>"9781119268505"</f>
        <v>9781119268505</v>
      </c>
      <c r="C9218" s="10" t="str">
        <f>"9781119268512"</f>
        <v>9781119268512</v>
      </c>
      <c r="D9218" s="10" t="s">
        <v>6322</v>
      </c>
      <c r="E9218" s="10" t="s">
        <v>6323</v>
      </c>
      <c r="F9218" s="10" t="s">
        <v>1168</v>
      </c>
      <c r="G9218" s="10" t="s">
        <v>6317</v>
      </c>
      <c r="H9218" s="11">
        <v>42521</v>
      </c>
      <c r="I9218" s="10">
        <v>2016</v>
      </c>
      <c r="J9218" s="10" t="s">
        <v>6324</v>
      </c>
      <c r="K9218" s="10">
        <v>241</v>
      </c>
      <c r="L9218" s="10" t="s">
        <v>41879</v>
      </c>
      <c r="M9218" s="10">
        <v>1</v>
      </c>
      <c r="N9218" s="10"/>
      <c r="O9218" s="10"/>
      <c r="P9218" s="10" t="s">
        <v>41880</v>
      </c>
      <c r="Q9218" s="10">
        <v>378.73</v>
      </c>
      <c r="R9218" s="10" t="s">
        <v>41881</v>
      </c>
      <c r="S9218" s="10" t="s">
        <v>53</v>
      </c>
      <c r="T9218" s="10" t="s">
        <v>54</v>
      </c>
    </row>
    <row r="9219" spans="1:20" ht="14.5" x14ac:dyDescent="0.35">
      <c r="A9219" s="10" t="s">
        <v>41882</v>
      </c>
      <c r="B9219" s="10" t="str">
        <f>"9781475826746"</f>
        <v>9781475826746</v>
      </c>
      <c r="C9219" s="10" t="str">
        <f>"9781475826760"</f>
        <v>9781475826760</v>
      </c>
      <c r="D9219" s="10" t="s">
        <v>9752</v>
      </c>
      <c r="E9219" s="10" t="s">
        <v>15187</v>
      </c>
      <c r="F9219" s="10" t="s">
        <v>9754</v>
      </c>
      <c r="G9219" s="10" t="s">
        <v>6317</v>
      </c>
      <c r="H9219" s="11">
        <v>42479</v>
      </c>
      <c r="I9219" s="10">
        <v>2016</v>
      </c>
      <c r="J9219" s="10" t="s">
        <v>15187</v>
      </c>
      <c r="K9219" s="10">
        <v>203</v>
      </c>
      <c r="L9219" s="10" t="s">
        <v>41883</v>
      </c>
      <c r="M9219" s="10">
        <v>1</v>
      </c>
      <c r="N9219" s="10"/>
      <c r="O9219" s="10"/>
      <c r="P9219" s="10" t="s">
        <v>41884</v>
      </c>
      <c r="Q9219" s="10">
        <v>371.29130973000002</v>
      </c>
      <c r="R9219" s="10" t="s">
        <v>41885</v>
      </c>
      <c r="S9219" s="10" t="s">
        <v>53</v>
      </c>
      <c r="T9219" s="10" t="s">
        <v>54</v>
      </c>
    </row>
    <row r="9220" spans="1:20" ht="14.5" x14ac:dyDescent="0.35">
      <c r="A9220" s="10" t="s">
        <v>41886</v>
      </c>
      <c r="B9220" s="10" t="str">
        <f>"9781475812930"</f>
        <v>9781475812930</v>
      </c>
      <c r="C9220" s="10" t="str">
        <f>"9781475812954"</f>
        <v>9781475812954</v>
      </c>
      <c r="D9220" s="10" t="s">
        <v>9752</v>
      </c>
      <c r="E9220" s="10" t="s">
        <v>15187</v>
      </c>
      <c r="F9220" s="10" t="s">
        <v>9754</v>
      </c>
      <c r="G9220" s="10" t="s">
        <v>6317</v>
      </c>
      <c r="H9220" s="11">
        <v>42492</v>
      </c>
      <c r="I9220" s="10">
        <v>2016</v>
      </c>
      <c r="J9220" s="10" t="s">
        <v>15187</v>
      </c>
      <c r="K9220" s="10">
        <v>205</v>
      </c>
      <c r="L9220" s="10" t="s">
        <v>33683</v>
      </c>
      <c r="M9220" s="10">
        <v>1</v>
      </c>
      <c r="N9220" s="10"/>
      <c r="O9220" s="10"/>
      <c r="P9220" s="10"/>
      <c r="Q9220" s="10">
        <v>371.10199999999998</v>
      </c>
      <c r="R9220" s="10" t="s">
        <v>41887</v>
      </c>
      <c r="S9220" s="10" t="s">
        <v>53</v>
      </c>
      <c r="T9220" s="10" t="s">
        <v>54</v>
      </c>
    </row>
    <row r="9221" spans="1:20" ht="14.5" x14ac:dyDescent="0.35">
      <c r="A9221" s="10" t="s">
        <v>41888</v>
      </c>
      <c r="B9221" s="10" t="str">
        <f>"9781475823479"</f>
        <v>9781475823479</v>
      </c>
      <c r="C9221" s="10" t="str">
        <f>"9781475823493"</f>
        <v>9781475823493</v>
      </c>
      <c r="D9221" s="10" t="s">
        <v>9752</v>
      </c>
      <c r="E9221" s="10" t="s">
        <v>15187</v>
      </c>
      <c r="F9221" s="10" t="s">
        <v>9754</v>
      </c>
      <c r="G9221" s="10" t="s">
        <v>6317</v>
      </c>
      <c r="H9221" s="11">
        <v>42493</v>
      </c>
      <c r="I9221" s="10">
        <v>2016</v>
      </c>
      <c r="J9221" s="10" t="s">
        <v>15187</v>
      </c>
      <c r="K9221" s="10">
        <v>190</v>
      </c>
      <c r="L9221" s="10" t="s">
        <v>25168</v>
      </c>
      <c r="M9221" s="10">
        <v>1</v>
      </c>
      <c r="N9221" s="10"/>
      <c r="O9221" s="10"/>
      <c r="P9221" s="10"/>
      <c r="Q9221" s="10">
        <v>344.73070000000001</v>
      </c>
      <c r="R9221" s="10" t="s">
        <v>41889</v>
      </c>
      <c r="S9221" s="10" t="s">
        <v>53</v>
      </c>
      <c r="T9221" s="10" t="s">
        <v>5396</v>
      </c>
    </row>
    <row r="9222" spans="1:20" ht="14.5" x14ac:dyDescent="0.35">
      <c r="A9222" s="10" t="s">
        <v>41890</v>
      </c>
      <c r="B9222" s="10" t="str">
        <f>"9781475826159"</f>
        <v>9781475826159</v>
      </c>
      <c r="C9222" s="10" t="str">
        <f>"9781475826166"</f>
        <v>9781475826166</v>
      </c>
      <c r="D9222" s="10" t="s">
        <v>9752</v>
      </c>
      <c r="E9222" s="10" t="s">
        <v>15187</v>
      </c>
      <c r="F9222" s="10" t="s">
        <v>9754</v>
      </c>
      <c r="G9222" s="10" t="s">
        <v>6317</v>
      </c>
      <c r="H9222" s="11">
        <v>42499</v>
      </c>
      <c r="I9222" s="10">
        <v>2016</v>
      </c>
      <c r="J9222" s="10" t="s">
        <v>15187</v>
      </c>
      <c r="K9222" s="10">
        <v>111</v>
      </c>
      <c r="L9222" s="10" t="s">
        <v>41891</v>
      </c>
      <c r="M9222" s="10">
        <v>1</v>
      </c>
      <c r="N9222" s="10"/>
      <c r="O9222" s="10"/>
      <c r="P9222" s="10" t="s">
        <v>41892</v>
      </c>
      <c r="Q9222" s="10">
        <v>378.00869999999998</v>
      </c>
      <c r="R9222" s="10" t="s">
        <v>41893</v>
      </c>
      <c r="S9222" s="10" t="s">
        <v>53</v>
      </c>
      <c r="T9222" s="10" t="s">
        <v>54</v>
      </c>
    </row>
    <row r="9223" spans="1:20" ht="14.5" x14ac:dyDescent="0.35">
      <c r="A9223" s="10" t="s">
        <v>41894</v>
      </c>
      <c r="B9223" s="10" t="str">
        <f>"9781475814767"</f>
        <v>9781475814767</v>
      </c>
      <c r="C9223" s="10" t="str">
        <f>"9781475814781"</f>
        <v>9781475814781</v>
      </c>
      <c r="D9223" s="10" t="s">
        <v>9752</v>
      </c>
      <c r="E9223" s="10" t="s">
        <v>15187</v>
      </c>
      <c r="F9223" s="10" t="s">
        <v>9754</v>
      </c>
      <c r="G9223" s="10" t="s">
        <v>6317</v>
      </c>
      <c r="H9223" s="11">
        <v>42562</v>
      </c>
      <c r="I9223" s="10">
        <v>2016</v>
      </c>
      <c r="J9223" s="10" t="s">
        <v>15187</v>
      </c>
      <c r="K9223" s="10">
        <v>169</v>
      </c>
      <c r="L9223" s="10" t="s">
        <v>41895</v>
      </c>
      <c r="M9223" s="10">
        <v>1</v>
      </c>
      <c r="N9223" s="10"/>
      <c r="O9223" s="10"/>
      <c r="P9223" s="10" t="s">
        <v>41896</v>
      </c>
      <c r="Q9223" s="10">
        <v>428.00711999999999</v>
      </c>
      <c r="R9223" s="10" t="s">
        <v>41897</v>
      </c>
      <c r="S9223" s="10" t="s">
        <v>53</v>
      </c>
      <c r="T9223" s="10" t="s">
        <v>6634</v>
      </c>
    </row>
    <row r="9224" spans="1:20" ht="14.5" x14ac:dyDescent="0.35">
      <c r="A9224" s="10" t="s">
        <v>41898</v>
      </c>
      <c r="B9224" s="10" t="str">
        <f>"9781475819618"</f>
        <v>9781475819618</v>
      </c>
      <c r="C9224" s="10" t="str">
        <f>"9781475819625"</f>
        <v>9781475819625</v>
      </c>
      <c r="D9224" s="10" t="s">
        <v>9752</v>
      </c>
      <c r="E9224" s="10" t="s">
        <v>15187</v>
      </c>
      <c r="F9224" s="10" t="s">
        <v>9754</v>
      </c>
      <c r="G9224" s="10" t="s">
        <v>6317</v>
      </c>
      <c r="H9224" s="11">
        <v>42528</v>
      </c>
      <c r="I9224" s="10">
        <v>2016</v>
      </c>
      <c r="J9224" s="10" t="s">
        <v>15187</v>
      </c>
      <c r="K9224" s="10">
        <v>215</v>
      </c>
      <c r="L9224" s="10" t="s">
        <v>39864</v>
      </c>
      <c r="M9224" s="10">
        <v>1</v>
      </c>
      <c r="N9224" s="10"/>
      <c r="O9224" s="10"/>
      <c r="P9224" s="10"/>
      <c r="Q9224" s="10">
        <v>370.15699999999998</v>
      </c>
      <c r="R9224" s="10" t="s">
        <v>41899</v>
      </c>
      <c r="S9224" s="10" t="s">
        <v>53</v>
      </c>
      <c r="T9224" s="10" t="s">
        <v>54</v>
      </c>
    </row>
    <row r="9225" spans="1:20" ht="14.5" x14ac:dyDescent="0.35">
      <c r="A9225" s="10" t="s">
        <v>41900</v>
      </c>
      <c r="B9225" s="10" t="str">
        <f>"9781475821192"</f>
        <v>9781475821192</v>
      </c>
      <c r="C9225" s="10" t="str">
        <f>"9781475821215"</f>
        <v>9781475821215</v>
      </c>
      <c r="D9225" s="10" t="s">
        <v>9752</v>
      </c>
      <c r="E9225" s="10" t="s">
        <v>15187</v>
      </c>
      <c r="F9225" s="10" t="s">
        <v>9754</v>
      </c>
      <c r="G9225" s="10" t="s">
        <v>6317</v>
      </c>
      <c r="H9225" s="11">
        <v>42500</v>
      </c>
      <c r="I9225" s="10">
        <v>2016</v>
      </c>
      <c r="J9225" s="10" t="s">
        <v>15187</v>
      </c>
      <c r="K9225" s="10">
        <v>207</v>
      </c>
      <c r="L9225" s="10" t="s">
        <v>40196</v>
      </c>
      <c r="M9225" s="10">
        <v>1</v>
      </c>
      <c r="N9225" s="10"/>
      <c r="O9225" s="10"/>
      <c r="P9225" s="10" t="s">
        <v>41901</v>
      </c>
      <c r="Q9225" s="10">
        <v>370.11</v>
      </c>
      <c r="R9225" s="10" t="s">
        <v>41902</v>
      </c>
      <c r="S9225" s="10" t="s">
        <v>53</v>
      </c>
      <c r="T9225" s="10" t="s">
        <v>54</v>
      </c>
    </row>
    <row r="9226" spans="1:20" ht="14.5" x14ac:dyDescent="0.35">
      <c r="A9226" s="10" t="s">
        <v>41903</v>
      </c>
      <c r="B9226" s="10" t="str">
        <f>"9781475827927"</f>
        <v>9781475827927</v>
      </c>
      <c r="C9226" s="10" t="str">
        <f>"9781475827941"</f>
        <v>9781475827941</v>
      </c>
      <c r="D9226" s="10" t="s">
        <v>9752</v>
      </c>
      <c r="E9226" s="10" t="s">
        <v>15187</v>
      </c>
      <c r="F9226" s="10" t="s">
        <v>9754</v>
      </c>
      <c r="G9226" s="10" t="s">
        <v>6317</v>
      </c>
      <c r="H9226" s="11">
        <v>42563</v>
      </c>
      <c r="I9226" s="10">
        <v>2016</v>
      </c>
      <c r="J9226" s="10" t="s">
        <v>15187</v>
      </c>
      <c r="K9226" s="10">
        <v>197</v>
      </c>
      <c r="L9226" s="10" t="s">
        <v>41904</v>
      </c>
      <c r="M9226" s="10">
        <v>1</v>
      </c>
      <c r="N9226" s="10"/>
      <c r="O9226" s="10"/>
      <c r="P9226" s="10" t="s">
        <v>41905</v>
      </c>
      <c r="Q9226" s="10">
        <v>808.10709999999995</v>
      </c>
      <c r="R9226" s="10" t="s">
        <v>41906</v>
      </c>
      <c r="S9226" s="10" t="s">
        <v>53</v>
      </c>
      <c r="T9226" s="10" t="s">
        <v>1166</v>
      </c>
    </row>
    <row r="9227" spans="1:20" ht="14.5" x14ac:dyDescent="0.35">
      <c r="A9227" s="10" t="s">
        <v>41907</v>
      </c>
      <c r="B9227" s="10" t="str">
        <f>"9781475825138"</f>
        <v>9781475825138</v>
      </c>
      <c r="C9227" s="10" t="str">
        <f>"9781475825152"</f>
        <v>9781475825152</v>
      </c>
      <c r="D9227" s="10" t="s">
        <v>9752</v>
      </c>
      <c r="E9227" s="10" t="s">
        <v>15187</v>
      </c>
      <c r="F9227" s="10" t="s">
        <v>9754</v>
      </c>
      <c r="G9227" s="10" t="s">
        <v>6317</v>
      </c>
      <c r="H9227" s="11">
        <v>42474</v>
      </c>
      <c r="I9227" s="10">
        <v>2016</v>
      </c>
      <c r="J9227" s="10" t="s">
        <v>15187</v>
      </c>
      <c r="K9227" s="10">
        <v>129</v>
      </c>
      <c r="L9227" s="10" t="s">
        <v>27854</v>
      </c>
      <c r="M9227" s="10">
        <v>1</v>
      </c>
      <c r="N9227" s="10"/>
      <c r="O9227" s="10"/>
      <c r="P9227" s="10"/>
      <c r="Q9227" s="10">
        <v>371.10199999999998</v>
      </c>
      <c r="R9227" s="10" t="s">
        <v>7101</v>
      </c>
      <c r="S9227" s="10" t="s">
        <v>53</v>
      </c>
      <c r="T9227" s="10" t="s">
        <v>54</v>
      </c>
    </row>
    <row r="9228" spans="1:20" ht="14.5" x14ac:dyDescent="0.35">
      <c r="A9228" s="10" t="s">
        <v>41908</v>
      </c>
      <c r="B9228" s="10" t="str">
        <f>"9781475825589"</f>
        <v>9781475825589</v>
      </c>
      <c r="C9228" s="10" t="str">
        <f>"9781475825602"</f>
        <v>9781475825602</v>
      </c>
      <c r="D9228" s="10" t="s">
        <v>9752</v>
      </c>
      <c r="E9228" s="10" t="s">
        <v>15187</v>
      </c>
      <c r="F9228" s="10" t="s">
        <v>9754</v>
      </c>
      <c r="G9228" s="10" t="s">
        <v>6317</v>
      </c>
      <c r="H9228" s="11">
        <v>42472</v>
      </c>
      <c r="I9228" s="10">
        <v>2016</v>
      </c>
      <c r="J9228" s="10" t="s">
        <v>15187</v>
      </c>
      <c r="K9228" s="10">
        <v>213</v>
      </c>
      <c r="L9228" s="10" t="s">
        <v>41909</v>
      </c>
      <c r="M9228" s="10">
        <v>1</v>
      </c>
      <c r="N9228" s="10"/>
      <c r="O9228" s="10"/>
      <c r="P9228" s="10"/>
      <c r="Q9228" s="10">
        <v>371.8269140973</v>
      </c>
      <c r="R9228" s="10" t="s">
        <v>41910</v>
      </c>
      <c r="S9228" s="10" t="s">
        <v>53</v>
      </c>
      <c r="T9228" s="10" t="s">
        <v>54</v>
      </c>
    </row>
    <row r="9229" spans="1:20" ht="14.5" x14ac:dyDescent="0.35">
      <c r="A9229" s="10" t="s">
        <v>41911</v>
      </c>
      <c r="B9229" s="10" t="str">
        <f>"9781681081175"</f>
        <v>9781681081175</v>
      </c>
      <c r="C9229" s="10" t="str">
        <f>"9781681081168"</f>
        <v>9781681081168</v>
      </c>
      <c r="D9229" s="10" t="s">
        <v>21815</v>
      </c>
      <c r="E9229" s="10" t="s">
        <v>21815</v>
      </c>
      <c r="F9229" s="10" t="s">
        <v>41912</v>
      </c>
      <c r="G9229" s="10" t="s">
        <v>6317</v>
      </c>
      <c r="H9229" s="11">
        <v>42340</v>
      </c>
      <c r="I9229" s="10">
        <v>2015</v>
      </c>
      <c r="J9229" s="10" t="s">
        <v>21815</v>
      </c>
      <c r="K9229" s="10">
        <v>366</v>
      </c>
      <c r="L9229" s="10" t="s">
        <v>41913</v>
      </c>
      <c r="M9229" s="10">
        <v>1</v>
      </c>
      <c r="N9229" s="10"/>
      <c r="O9229" s="10"/>
      <c r="P9229" s="10" t="s">
        <v>41914</v>
      </c>
      <c r="Q9229" s="10">
        <v>618.92854999999895</v>
      </c>
      <c r="R9229" s="10" t="s">
        <v>41915</v>
      </c>
      <c r="S9229" s="10" t="s">
        <v>53</v>
      </c>
      <c r="T9229" s="10" t="s">
        <v>9679</v>
      </c>
    </row>
    <row r="9230" spans="1:20" ht="14.5" x14ac:dyDescent="0.35">
      <c r="A9230" s="10" t="s">
        <v>41916</v>
      </c>
      <c r="B9230" s="10" t="str">
        <f>"9781571815941"</f>
        <v>9781571815941</v>
      </c>
      <c r="C9230" s="10" t="str">
        <f>"9781782387237"</f>
        <v>9781782387237</v>
      </c>
      <c r="D9230" s="10" t="s">
        <v>21315</v>
      </c>
      <c r="E9230" s="10" t="s">
        <v>21316</v>
      </c>
      <c r="F9230" s="10" t="s">
        <v>13068</v>
      </c>
      <c r="G9230" s="10" t="s">
        <v>6317</v>
      </c>
      <c r="H9230" s="11">
        <v>38047</v>
      </c>
      <c r="I9230" s="10">
        <v>2004</v>
      </c>
      <c r="J9230" s="10" t="s">
        <v>21316</v>
      </c>
      <c r="K9230" s="10">
        <v>368</v>
      </c>
      <c r="L9230" s="10" t="s">
        <v>41917</v>
      </c>
      <c r="M9230" s="10">
        <v>1</v>
      </c>
      <c r="N9230" s="10"/>
      <c r="O9230" s="10"/>
      <c r="P9230" s="10" t="s">
        <v>41918</v>
      </c>
      <c r="Q9230" s="10" t="s">
        <v>41919</v>
      </c>
      <c r="R9230" s="10" t="s">
        <v>41920</v>
      </c>
      <c r="S9230" s="10" t="s">
        <v>53</v>
      </c>
      <c r="T9230" s="10" t="s">
        <v>6472</v>
      </c>
    </row>
    <row r="9231" spans="1:20" ht="14.5" x14ac:dyDescent="0.35">
      <c r="A9231" s="10" t="s">
        <v>41921</v>
      </c>
      <c r="B9231" s="10" t="str">
        <f>"9781412938990"</f>
        <v>9781412938990</v>
      </c>
      <c r="C9231" s="10" t="str">
        <f>"9781452222943"</f>
        <v>9781452222943</v>
      </c>
      <c r="D9231" s="10" t="s">
        <v>22210</v>
      </c>
      <c r="E9231" s="10" t="s">
        <v>22211</v>
      </c>
      <c r="F9231" s="10" t="s">
        <v>333</v>
      </c>
      <c r="G9231" s="10" t="s">
        <v>6317</v>
      </c>
      <c r="H9231" s="11">
        <v>38800</v>
      </c>
      <c r="I9231" s="10">
        <v>2006</v>
      </c>
      <c r="J9231" s="10" t="s">
        <v>22211</v>
      </c>
      <c r="K9231" s="10">
        <v>105</v>
      </c>
      <c r="L9231" s="10" t="s">
        <v>27890</v>
      </c>
      <c r="M9231" s="10">
        <v>1</v>
      </c>
      <c r="N9231" s="10"/>
      <c r="O9231" s="10"/>
      <c r="P9231" s="10" t="s">
        <v>41922</v>
      </c>
      <c r="Q9231" s="10"/>
      <c r="R9231" s="10"/>
      <c r="S9231" s="10" t="s">
        <v>53</v>
      </c>
      <c r="T9231" s="10" t="s">
        <v>54</v>
      </c>
    </row>
    <row r="9232" spans="1:20" ht="14.5" x14ac:dyDescent="0.35">
      <c r="A9232" s="10" t="s">
        <v>41923</v>
      </c>
      <c r="B9232" s="10" t="str">
        <f>"9789463004725"</f>
        <v>9789463004725</v>
      </c>
      <c r="C9232" s="10" t="str">
        <f>"9789463004749"</f>
        <v>9789463004749</v>
      </c>
      <c r="D9232" s="10" t="s">
        <v>8564</v>
      </c>
      <c r="E9232" s="10" t="s">
        <v>8565</v>
      </c>
      <c r="F9232" s="10" t="s">
        <v>1420</v>
      </c>
      <c r="G9232" s="10" t="s">
        <v>6317</v>
      </c>
      <c r="H9232" s="11">
        <v>42370</v>
      </c>
      <c r="I9232" s="10">
        <v>2016</v>
      </c>
      <c r="J9232" s="10" t="s">
        <v>33259</v>
      </c>
      <c r="K9232" s="10">
        <v>118</v>
      </c>
      <c r="L9232" s="10" t="s">
        <v>41924</v>
      </c>
      <c r="M9232" s="10">
        <v>1</v>
      </c>
      <c r="N9232" s="10"/>
      <c r="O9232" s="10"/>
      <c r="P9232" s="10" t="s">
        <v>19534</v>
      </c>
      <c r="Q9232" s="10"/>
      <c r="R9232" s="10" t="s">
        <v>41925</v>
      </c>
      <c r="S9232" s="10" t="s">
        <v>53</v>
      </c>
      <c r="T9232" s="10" t="s">
        <v>54</v>
      </c>
    </row>
    <row r="9233" spans="1:20" ht="14.5" x14ac:dyDescent="0.35">
      <c r="A9233" s="10" t="s">
        <v>41926</v>
      </c>
      <c r="B9233" s="10" t="str">
        <f>"9789292572242"</f>
        <v>9789292572242</v>
      </c>
      <c r="C9233" s="10" t="str">
        <f>"9789292572259"</f>
        <v>9789292572259</v>
      </c>
      <c r="D9233" s="10" t="s">
        <v>41491</v>
      </c>
      <c r="E9233" s="10" t="s">
        <v>41491</v>
      </c>
      <c r="F9233" s="10" t="s">
        <v>530</v>
      </c>
      <c r="G9233" s="10" t="s">
        <v>41492</v>
      </c>
      <c r="H9233" s="11">
        <v>42368</v>
      </c>
      <c r="I9233" s="10">
        <v>2015</v>
      </c>
      <c r="J9233" s="10" t="s">
        <v>41491</v>
      </c>
      <c r="K9233" s="10">
        <v>105</v>
      </c>
      <c r="L9233" s="10"/>
      <c r="M9233" s="10">
        <v>1</v>
      </c>
      <c r="N9233" s="10"/>
      <c r="O9233" s="10"/>
      <c r="P9233" s="10" t="s">
        <v>41927</v>
      </c>
      <c r="Q9233" s="10">
        <v>378.10300000000001</v>
      </c>
      <c r="R9233" s="10" t="s">
        <v>41928</v>
      </c>
      <c r="S9233" s="10" t="s">
        <v>53</v>
      </c>
      <c r="T9233" s="10" t="s">
        <v>54</v>
      </c>
    </row>
    <row r="9234" spans="1:20" ht="14.5" x14ac:dyDescent="0.35">
      <c r="A9234" s="10" t="s">
        <v>41929</v>
      </c>
      <c r="B9234" s="10" t="str">
        <f>"9789292572600"</f>
        <v>9789292572600</v>
      </c>
      <c r="C9234" s="10" t="str">
        <f>"9789292572617"</f>
        <v>9789292572617</v>
      </c>
      <c r="D9234" s="10" t="s">
        <v>41491</v>
      </c>
      <c r="E9234" s="10" t="s">
        <v>41491</v>
      </c>
      <c r="F9234" s="10" t="s">
        <v>530</v>
      </c>
      <c r="G9234" s="10" t="s">
        <v>41492</v>
      </c>
      <c r="H9234" s="11">
        <v>42339</v>
      </c>
      <c r="I9234" s="10">
        <v>2015</v>
      </c>
      <c r="J9234" s="10" t="s">
        <v>41491</v>
      </c>
      <c r="K9234" s="10">
        <v>36</v>
      </c>
      <c r="L9234" s="10" t="s">
        <v>41930</v>
      </c>
      <c r="M9234" s="10">
        <v>1</v>
      </c>
      <c r="N9234" s="10"/>
      <c r="O9234" s="10"/>
      <c r="P9234" s="10" t="s">
        <v>41931</v>
      </c>
      <c r="Q9234" s="10">
        <v>378.5</v>
      </c>
      <c r="R9234" s="10" t="s">
        <v>41932</v>
      </c>
      <c r="S9234" s="10" t="s">
        <v>53</v>
      </c>
      <c r="T9234" s="10" t="s">
        <v>54</v>
      </c>
    </row>
    <row r="9235" spans="1:20" ht="14.5" x14ac:dyDescent="0.35">
      <c r="A9235" s="10" t="s">
        <v>41933</v>
      </c>
      <c r="B9235" s="10" t="str">
        <f>"9789292572624"</f>
        <v>9789292572624</v>
      </c>
      <c r="C9235" s="10" t="str">
        <f>"9789292572631"</f>
        <v>9789292572631</v>
      </c>
      <c r="D9235" s="10" t="s">
        <v>41491</v>
      </c>
      <c r="E9235" s="10" t="s">
        <v>41491</v>
      </c>
      <c r="F9235" s="10" t="s">
        <v>530</v>
      </c>
      <c r="G9235" s="10" t="s">
        <v>41492</v>
      </c>
      <c r="H9235" s="11">
        <v>42339</v>
      </c>
      <c r="I9235" s="10">
        <v>2015</v>
      </c>
      <c r="J9235" s="10" t="s">
        <v>41491</v>
      </c>
      <c r="K9235" s="10">
        <v>30</v>
      </c>
      <c r="L9235" s="10" t="s">
        <v>41930</v>
      </c>
      <c r="M9235" s="10">
        <v>1</v>
      </c>
      <c r="N9235" s="10"/>
      <c r="O9235" s="10"/>
      <c r="P9235" s="10" t="s">
        <v>41934</v>
      </c>
      <c r="Q9235" s="10">
        <v>378.59</v>
      </c>
      <c r="R9235" s="10" t="s">
        <v>41935</v>
      </c>
      <c r="S9235" s="10" t="s">
        <v>53</v>
      </c>
      <c r="T9235" s="10" t="s">
        <v>54</v>
      </c>
    </row>
    <row r="9236" spans="1:20" ht="14.5" x14ac:dyDescent="0.35">
      <c r="A9236" s="10" t="s">
        <v>41936</v>
      </c>
      <c r="B9236" s="10" t="str">
        <f>"9781849054201"</f>
        <v>9781849054201</v>
      </c>
      <c r="C9236" s="10" t="str">
        <f>"9780857007988"</f>
        <v>9780857007988</v>
      </c>
      <c r="D9236" s="10" t="s">
        <v>10516</v>
      </c>
      <c r="E9236" s="10" t="s">
        <v>10516</v>
      </c>
      <c r="F9236" s="10" t="s">
        <v>139</v>
      </c>
      <c r="G9236" s="10" t="s">
        <v>6352</v>
      </c>
      <c r="H9236" s="11">
        <v>42542</v>
      </c>
      <c r="I9236" s="10">
        <v>2015</v>
      </c>
      <c r="J9236" s="10" t="s">
        <v>10516</v>
      </c>
      <c r="K9236" s="10">
        <v>218</v>
      </c>
      <c r="L9236" s="10" t="s">
        <v>41937</v>
      </c>
      <c r="M9236" s="10">
        <v>1</v>
      </c>
      <c r="N9236" s="10"/>
      <c r="O9236" s="10"/>
      <c r="P9236" s="10"/>
      <c r="Q9236" s="10">
        <v>378.19827500000002</v>
      </c>
      <c r="R9236" s="10" t="s">
        <v>41938</v>
      </c>
      <c r="S9236" s="10" t="s">
        <v>53</v>
      </c>
      <c r="T9236" s="10" t="s">
        <v>54</v>
      </c>
    </row>
    <row r="9237" spans="1:20" ht="14.5" x14ac:dyDescent="0.35">
      <c r="A9237" s="10" t="s">
        <v>41939</v>
      </c>
      <c r="B9237" s="10" t="str">
        <f>"9781583676141"</f>
        <v>9781583676141</v>
      </c>
      <c r="C9237" s="10" t="str">
        <f>"9781583676165"</f>
        <v>9781583676165</v>
      </c>
      <c r="D9237" s="10" t="s">
        <v>20429</v>
      </c>
      <c r="E9237" s="10" t="s">
        <v>41940</v>
      </c>
      <c r="F9237" s="10" t="s">
        <v>70</v>
      </c>
      <c r="G9237" s="10" t="s">
        <v>6317</v>
      </c>
      <c r="H9237" s="11">
        <v>42736</v>
      </c>
      <c r="I9237" s="10">
        <v>2017</v>
      </c>
      <c r="J9237" s="10" t="s">
        <v>41940</v>
      </c>
      <c r="K9237" s="10">
        <v>288</v>
      </c>
      <c r="L9237" s="10" t="s">
        <v>41941</v>
      </c>
      <c r="M9237" s="10">
        <v>1</v>
      </c>
      <c r="N9237" s="10"/>
      <c r="O9237" s="10"/>
      <c r="P9237" s="10" t="s">
        <v>41942</v>
      </c>
      <c r="Q9237" s="10">
        <v>371.01097299999998</v>
      </c>
      <c r="R9237" s="10" t="s">
        <v>40205</v>
      </c>
      <c r="S9237" s="10" t="s">
        <v>53</v>
      </c>
      <c r="T9237" s="10" t="s">
        <v>54</v>
      </c>
    </row>
    <row r="9238" spans="1:20" ht="14.5" x14ac:dyDescent="0.35">
      <c r="A9238" s="10" t="s">
        <v>41943</v>
      </c>
      <c r="B9238" s="10" t="str">
        <f>"9781475822205"</f>
        <v>9781475822205</v>
      </c>
      <c r="C9238" s="10" t="str">
        <f>"9781475822212"</f>
        <v>9781475822212</v>
      </c>
      <c r="D9238" s="10" t="s">
        <v>9752</v>
      </c>
      <c r="E9238" s="10" t="s">
        <v>15187</v>
      </c>
      <c r="F9238" s="10" t="s">
        <v>9754</v>
      </c>
      <c r="G9238" s="10" t="s">
        <v>6317</v>
      </c>
      <c r="H9238" s="11">
        <v>42534</v>
      </c>
      <c r="I9238" s="10">
        <v>2016</v>
      </c>
      <c r="J9238" s="10" t="s">
        <v>15187</v>
      </c>
      <c r="K9238" s="10">
        <v>129</v>
      </c>
      <c r="L9238" s="10" t="s">
        <v>41944</v>
      </c>
      <c r="M9238" s="10">
        <v>1</v>
      </c>
      <c r="N9238" s="10"/>
      <c r="O9238" s="10"/>
      <c r="P9238" s="10" t="s">
        <v>41945</v>
      </c>
      <c r="Q9238" s="10">
        <v>371.9</v>
      </c>
      <c r="R9238" s="10" t="s">
        <v>41946</v>
      </c>
      <c r="S9238" s="10" t="s">
        <v>53</v>
      </c>
      <c r="T9238" s="10" t="s">
        <v>54</v>
      </c>
    </row>
    <row r="9239" spans="1:20" ht="14.5" x14ac:dyDescent="0.35">
      <c r="A9239" s="10" t="s">
        <v>41947</v>
      </c>
      <c r="B9239" s="10" t="str">
        <f>"9781498523707"</f>
        <v>9781498523707</v>
      </c>
      <c r="C9239" s="10" t="str">
        <f>"9781498523714"</f>
        <v>9781498523714</v>
      </c>
      <c r="D9239" s="10" t="s">
        <v>9752</v>
      </c>
      <c r="E9239" s="10" t="s">
        <v>15182</v>
      </c>
      <c r="F9239" s="10" t="s">
        <v>9754</v>
      </c>
      <c r="G9239" s="10" t="s">
        <v>6317</v>
      </c>
      <c r="H9239" s="11">
        <v>42502</v>
      </c>
      <c r="I9239" s="10">
        <v>2016</v>
      </c>
      <c r="J9239" s="10" t="s">
        <v>15182</v>
      </c>
      <c r="K9239" s="10">
        <v>232</v>
      </c>
      <c r="L9239" s="10" t="s">
        <v>41948</v>
      </c>
      <c r="M9239" s="10">
        <v>1</v>
      </c>
      <c r="N9239" s="10"/>
      <c r="O9239" s="10"/>
      <c r="P9239" s="10" t="s">
        <v>41949</v>
      </c>
      <c r="Q9239" s="10">
        <v>361.37097299999999</v>
      </c>
      <c r="R9239" s="10" t="s">
        <v>41950</v>
      </c>
      <c r="S9239" s="10" t="s">
        <v>53</v>
      </c>
      <c r="T9239" s="10" t="s">
        <v>6526</v>
      </c>
    </row>
    <row r="9240" spans="1:20" ht="14.5" x14ac:dyDescent="0.35">
      <c r="A9240" s="10" t="s">
        <v>41951</v>
      </c>
      <c r="B9240" s="10" t="str">
        <f>"9781498501507"</f>
        <v>9781498501507</v>
      </c>
      <c r="C9240" s="10" t="str">
        <f>"9781498501514"</f>
        <v>9781498501514</v>
      </c>
      <c r="D9240" s="10" t="s">
        <v>9752</v>
      </c>
      <c r="E9240" s="10" t="s">
        <v>15182</v>
      </c>
      <c r="F9240" s="10" t="s">
        <v>3460</v>
      </c>
      <c r="G9240" s="10" t="s">
        <v>6317</v>
      </c>
      <c r="H9240" s="11">
        <v>42516</v>
      </c>
      <c r="I9240" s="10">
        <v>2016</v>
      </c>
      <c r="J9240" s="10" t="s">
        <v>15182</v>
      </c>
      <c r="K9240" s="10">
        <v>155</v>
      </c>
      <c r="L9240" s="10" t="s">
        <v>41952</v>
      </c>
      <c r="M9240" s="10">
        <v>1</v>
      </c>
      <c r="N9240" s="10" t="s">
        <v>41953</v>
      </c>
      <c r="O9240" s="10"/>
      <c r="P9240" s="10" t="s">
        <v>41954</v>
      </c>
      <c r="Q9240" s="10">
        <v>791.43652350000002</v>
      </c>
      <c r="R9240" s="10" t="s">
        <v>41955</v>
      </c>
      <c r="S9240" s="10" t="s">
        <v>53</v>
      </c>
      <c r="T9240" s="10" t="s">
        <v>6384</v>
      </c>
    </row>
    <row r="9241" spans="1:20" ht="14.5" x14ac:dyDescent="0.35">
      <c r="A9241" s="10" t="s">
        <v>41956</v>
      </c>
      <c r="B9241" s="10" t="str">
        <f>"9781475825237"</f>
        <v>9781475825237</v>
      </c>
      <c r="C9241" s="10" t="str">
        <f>"9781475825244"</f>
        <v>9781475825244</v>
      </c>
      <c r="D9241" s="10" t="s">
        <v>9752</v>
      </c>
      <c r="E9241" s="10" t="s">
        <v>15187</v>
      </c>
      <c r="F9241" s="10" t="s">
        <v>9754</v>
      </c>
      <c r="G9241" s="10" t="s">
        <v>6317</v>
      </c>
      <c r="H9241" s="11">
        <v>42534</v>
      </c>
      <c r="I9241" s="10">
        <v>2016</v>
      </c>
      <c r="J9241" s="10" t="s">
        <v>15187</v>
      </c>
      <c r="K9241" s="10">
        <v>145</v>
      </c>
      <c r="L9241" s="10" t="s">
        <v>41904</v>
      </c>
      <c r="M9241" s="10">
        <v>1</v>
      </c>
      <c r="N9241" s="10"/>
      <c r="O9241" s="10"/>
      <c r="P9241" s="10"/>
      <c r="Q9241" s="10">
        <v>372.62</v>
      </c>
      <c r="R9241" s="10" t="s">
        <v>41957</v>
      </c>
      <c r="S9241" s="10" t="s">
        <v>53</v>
      </c>
      <c r="T9241" s="10" t="s">
        <v>54</v>
      </c>
    </row>
    <row r="9242" spans="1:20" ht="14.5" x14ac:dyDescent="0.35">
      <c r="A9242" s="10" t="s">
        <v>41958</v>
      </c>
      <c r="B9242" s="10" t="str">
        <f>"9781475812503"</f>
        <v>9781475812503</v>
      </c>
      <c r="C9242" s="10" t="str">
        <f>"9781475812527"</f>
        <v>9781475812527</v>
      </c>
      <c r="D9242" s="10" t="s">
        <v>9752</v>
      </c>
      <c r="E9242" s="10" t="s">
        <v>15187</v>
      </c>
      <c r="F9242" s="10" t="s">
        <v>9754</v>
      </c>
      <c r="G9242" s="10" t="s">
        <v>6317</v>
      </c>
      <c r="H9242" s="11">
        <v>42627</v>
      </c>
      <c r="I9242" s="10">
        <v>2016</v>
      </c>
      <c r="J9242" s="10" t="s">
        <v>15187</v>
      </c>
      <c r="K9242" s="10">
        <v>201</v>
      </c>
      <c r="L9242" s="10" t="s">
        <v>41959</v>
      </c>
      <c r="M9242" s="10">
        <v>1</v>
      </c>
      <c r="N9242" s="10"/>
      <c r="O9242" s="10"/>
      <c r="P9242" s="10" t="s">
        <v>41960</v>
      </c>
      <c r="Q9242" s="10">
        <v>792.80190000000005</v>
      </c>
      <c r="R9242" s="10" t="s">
        <v>41961</v>
      </c>
      <c r="S9242" s="10" t="s">
        <v>53</v>
      </c>
      <c r="T9242" s="10" t="s">
        <v>6384</v>
      </c>
    </row>
    <row r="9243" spans="1:20" ht="14.5" x14ac:dyDescent="0.35">
      <c r="A9243" s="10" t="s">
        <v>41962</v>
      </c>
      <c r="B9243" s="10" t="str">
        <f>"9781475827644"</f>
        <v>9781475827644</v>
      </c>
      <c r="C9243" s="10" t="str">
        <f>"9781475827668"</f>
        <v>9781475827668</v>
      </c>
      <c r="D9243" s="10" t="s">
        <v>9752</v>
      </c>
      <c r="E9243" s="10" t="s">
        <v>15187</v>
      </c>
      <c r="F9243" s="10" t="s">
        <v>9754</v>
      </c>
      <c r="G9243" s="10" t="s">
        <v>6317</v>
      </c>
      <c r="H9243" s="11">
        <v>42569</v>
      </c>
      <c r="I9243" s="10">
        <v>2016</v>
      </c>
      <c r="J9243" s="10" t="s">
        <v>15187</v>
      </c>
      <c r="K9243" s="10">
        <v>141</v>
      </c>
      <c r="L9243" s="10" t="s">
        <v>20347</v>
      </c>
      <c r="M9243" s="10">
        <v>1</v>
      </c>
      <c r="N9243" s="10"/>
      <c r="O9243" s="10"/>
      <c r="P9243" s="10" t="s">
        <v>41963</v>
      </c>
      <c r="Q9243" s="10" t="s">
        <v>15735</v>
      </c>
      <c r="R9243" s="10" t="s">
        <v>41964</v>
      </c>
      <c r="S9243" s="10" t="s">
        <v>53</v>
      </c>
      <c r="T9243" s="10" t="s">
        <v>54</v>
      </c>
    </row>
    <row r="9244" spans="1:20" ht="14.5" x14ac:dyDescent="0.35">
      <c r="A9244" s="10" t="s">
        <v>41965</v>
      </c>
      <c r="B9244" s="10" t="str">
        <f>"9781475828580"</f>
        <v>9781475828580</v>
      </c>
      <c r="C9244" s="10" t="str">
        <f>"9781475828603"</f>
        <v>9781475828603</v>
      </c>
      <c r="D9244" s="10" t="s">
        <v>9752</v>
      </c>
      <c r="E9244" s="10" t="s">
        <v>15187</v>
      </c>
      <c r="F9244" s="10" t="s">
        <v>9754</v>
      </c>
      <c r="G9244" s="10" t="s">
        <v>6317</v>
      </c>
      <c r="H9244" s="11">
        <v>42565</v>
      </c>
      <c r="I9244" s="10">
        <v>2016</v>
      </c>
      <c r="J9244" s="10" t="s">
        <v>15187</v>
      </c>
      <c r="K9244" s="10">
        <v>220</v>
      </c>
      <c r="L9244" s="10" t="s">
        <v>41966</v>
      </c>
      <c r="M9244" s="10">
        <v>2</v>
      </c>
      <c r="N9244" s="10"/>
      <c r="O9244" s="10"/>
      <c r="P9244" s="10" t="s">
        <v>41967</v>
      </c>
      <c r="Q9244" s="10">
        <v>371.2</v>
      </c>
      <c r="R9244" s="10" t="s">
        <v>41968</v>
      </c>
      <c r="S9244" s="10" t="s">
        <v>53</v>
      </c>
      <c r="T9244" s="10" t="s">
        <v>54</v>
      </c>
    </row>
    <row r="9245" spans="1:20" ht="14.5" x14ac:dyDescent="0.35">
      <c r="A9245" s="10" t="s">
        <v>41969</v>
      </c>
      <c r="B9245" s="10" t="str">
        <f>"9781469630687"</f>
        <v>9781469630687</v>
      </c>
      <c r="C9245" s="10" t="str">
        <f>"9798890852397"</f>
        <v>9798890852397</v>
      </c>
      <c r="D9245" s="10" t="s">
        <v>13324</v>
      </c>
      <c r="E9245" s="10" t="s">
        <v>13335</v>
      </c>
      <c r="F9245" s="10" t="s">
        <v>2388</v>
      </c>
      <c r="G9245" s="10" t="s">
        <v>6317</v>
      </c>
      <c r="H9245" s="11">
        <v>42709</v>
      </c>
      <c r="I9245" s="10">
        <v>2016</v>
      </c>
      <c r="J9245" s="10" t="s">
        <v>13335</v>
      </c>
      <c r="K9245" s="10">
        <v>335</v>
      </c>
      <c r="L9245" s="10" t="s">
        <v>41970</v>
      </c>
      <c r="M9245" s="10">
        <v>1</v>
      </c>
      <c r="N9245" s="10"/>
      <c r="O9245" s="10"/>
      <c r="P9245" s="10"/>
      <c r="Q9245" s="10">
        <v>371.82209730903401</v>
      </c>
      <c r="R9245" s="10" t="s">
        <v>41971</v>
      </c>
      <c r="S9245" s="10" t="s">
        <v>53</v>
      </c>
      <c r="T9245" s="10" t="s">
        <v>54</v>
      </c>
    </row>
    <row r="9246" spans="1:20" ht="14.5" x14ac:dyDescent="0.35">
      <c r="A9246" s="10" t="s">
        <v>41972</v>
      </c>
      <c r="B9246" s="10" t="str">
        <f>"9780816689675"</f>
        <v>9780816689675</v>
      </c>
      <c r="C9246" s="10" t="str">
        <f>"9781452953021"</f>
        <v>9781452953021</v>
      </c>
      <c r="D9246" s="10" t="s">
        <v>11428</v>
      </c>
      <c r="E9246" s="10" t="s">
        <v>11428</v>
      </c>
      <c r="F9246" s="10" t="s">
        <v>2186</v>
      </c>
      <c r="G9246" s="10" t="s">
        <v>6317</v>
      </c>
      <c r="H9246" s="11">
        <v>42696</v>
      </c>
      <c r="I9246" s="10">
        <v>2016</v>
      </c>
      <c r="J9246" s="10" t="s">
        <v>11428</v>
      </c>
      <c r="K9246" s="10">
        <v>368</v>
      </c>
      <c r="L9246" s="10" t="s">
        <v>41973</v>
      </c>
      <c r="M9246" s="10">
        <v>1</v>
      </c>
      <c r="N9246" s="10"/>
      <c r="O9246" s="10"/>
      <c r="P9246" s="10" t="s">
        <v>41974</v>
      </c>
      <c r="Q9246" s="10">
        <v>373.18235199999998</v>
      </c>
      <c r="R9246" s="10" t="s">
        <v>41975</v>
      </c>
      <c r="S9246" s="10" t="s">
        <v>53</v>
      </c>
      <c r="T9246" s="10" t="s">
        <v>54</v>
      </c>
    </row>
    <row r="9247" spans="1:20" ht="14.5" x14ac:dyDescent="0.35">
      <c r="A9247" s="10" t="s">
        <v>41976</v>
      </c>
      <c r="B9247" s="10" t="str">
        <f>"9780816692767"</f>
        <v>9780816692767</v>
      </c>
      <c r="C9247" s="10" t="str">
        <f>"9781452951683"</f>
        <v>9781452951683</v>
      </c>
      <c r="D9247" s="10" t="s">
        <v>11428</v>
      </c>
      <c r="E9247" s="10" t="s">
        <v>11428</v>
      </c>
      <c r="F9247" s="10" t="s">
        <v>2186</v>
      </c>
      <c r="G9247" s="10" t="s">
        <v>6317</v>
      </c>
      <c r="H9247" s="11">
        <v>42658</v>
      </c>
      <c r="I9247" s="10">
        <v>2016</v>
      </c>
      <c r="J9247" s="10" t="s">
        <v>11428</v>
      </c>
      <c r="K9247" s="10">
        <v>264</v>
      </c>
      <c r="L9247" s="10" t="s">
        <v>16232</v>
      </c>
      <c r="M9247" s="10">
        <v>1</v>
      </c>
      <c r="N9247" s="10"/>
      <c r="O9247" s="10"/>
      <c r="P9247" s="10" t="s">
        <v>41977</v>
      </c>
      <c r="Q9247" s="10" t="s">
        <v>41978</v>
      </c>
      <c r="R9247" s="10" t="s">
        <v>41979</v>
      </c>
      <c r="S9247" s="10" t="s">
        <v>53</v>
      </c>
      <c r="T9247" s="10" t="s">
        <v>6363</v>
      </c>
    </row>
    <row r="9248" spans="1:20" ht="14.5" x14ac:dyDescent="0.35">
      <c r="A9248" s="10" t="s">
        <v>41980</v>
      </c>
      <c r="B9248" s="10" t="str">
        <f>"9780816697557"</f>
        <v>9780816697557</v>
      </c>
      <c r="C9248" s="10" t="str">
        <f>"9781452951829"</f>
        <v>9781452951829</v>
      </c>
      <c r="D9248" s="10" t="s">
        <v>11428</v>
      </c>
      <c r="E9248" s="10" t="s">
        <v>11428</v>
      </c>
      <c r="F9248" s="10" t="s">
        <v>2186</v>
      </c>
      <c r="G9248" s="10" t="s">
        <v>6317</v>
      </c>
      <c r="H9248" s="11">
        <v>42658</v>
      </c>
      <c r="I9248" s="10">
        <v>2016</v>
      </c>
      <c r="J9248" s="10" t="s">
        <v>11428</v>
      </c>
      <c r="K9248" s="10">
        <v>289</v>
      </c>
      <c r="L9248" s="10" t="s">
        <v>41981</v>
      </c>
      <c r="M9248" s="10">
        <v>1</v>
      </c>
      <c r="N9248" s="10"/>
      <c r="O9248" s="10"/>
      <c r="P9248" s="10" t="s">
        <v>41982</v>
      </c>
      <c r="Q9248" s="10">
        <v>371.82996079494001</v>
      </c>
      <c r="R9248" s="10" t="s">
        <v>41983</v>
      </c>
      <c r="S9248" s="10" t="s">
        <v>53</v>
      </c>
      <c r="T9248" s="10" t="s">
        <v>54</v>
      </c>
    </row>
    <row r="9249" spans="1:20" ht="14.5" x14ac:dyDescent="0.35">
      <c r="A9249" s="10" t="s">
        <v>41984</v>
      </c>
      <c r="B9249" s="10" t="str">
        <f>"9783319302096"</f>
        <v>9783319302096</v>
      </c>
      <c r="C9249" s="10" t="str">
        <f>"9783319302119"</f>
        <v>9783319302119</v>
      </c>
      <c r="D9249" s="10" t="s">
        <v>11249</v>
      </c>
      <c r="E9249" s="10" t="s">
        <v>26623</v>
      </c>
      <c r="F9249" s="10" t="s">
        <v>26624</v>
      </c>
      <c r="G9249" s="10" t="s">
        <v>16676</v>
      </c>
      <c r="H9249" s="11">
        <v>42513</v>
      </c>
      <c r="I9249" s="10">
        <v>2016</v>
      </c>
      <c r="J9249" s="10" t="s">
        <v>13067</v>
      </c>
      <c r="K9249" s="10">
        <v>186</v>
      </c>
      <c r="L9249" s="10" t="s">
        <v>41985</v>
      </c>
      <c r="M9249" s="10">
        <v>1</v>
      </c>
      <c r="N9249" s="10" t="s">
        <v>41986</v>
      </c>
      <c r="O9249" s="10">
        <v>18</v>
      </c>
      <c r="P9249" s="10" t="s">
        <v>41987</v>
      </c>
      <c r="Q9249" s="10">
        <v>428.00710595700002</v>
      </c>
      <c r="R9249" s="10" t="s">
        <v>13411</v>
      </c>
      <c r="S9249" s="10" t="s">
        <v>53</v>
      </c>
      <c r="T9249" s="10" t="s">
        <v>6616</v>
      </c>
    </row>
    <row r="9250" spans="1:20" ht="14.5" x14ac:dyDescent="0.35">
      <c r="A9250" s="10" t="s">
        <v>41988</v>
      </c>
      <c r="B9250" s="10" t="str">
        <f>"9781785333217"</f>
        <v>9781785333217</v>
      </c>
      <c r="C9250" s="10" t="str">
        <f>"9781785333224"</f>
        <v>9781785333224</v>
      </c>
      <c r="D9250" s="10" t="s">
        <v>21315</v>
      </c>
      <c r="E9250" s="10" t="s">
        <v>21316</v>
      </c>
      <c r="F9250" s="10" t="s">
        <v>13068</v>
      </c>
      <c r="G9250" s="10" t="s">
        <v>6317</v>
      </c>
      <c r="H9250" s="11">
        <v>42675</v>
      </c>
      <c r="I9250" s="10">
        <v>2016</v>
      </c>
      <c r="J9250" s="10" t="s">
        <v>21316</v>
      </c>
      <c r="K9250" s="10">
        <v>230</v>
      </c>
      <c r="L9250" s="10" t="s">
        <v>41989</v>
      </c>
      <c r="M9250" s="10">
        <v>1</v>
      </c>
      <c r="N9250" s="10" t="s">
        <v>40625</v>
      </c>
      <c r="O9250" s="10">
        <v>2</v>
      </c>
      <c r="P9250" s="10" t="s">
        <v>41990</v>
      </c>
      <c r="Q9250" s="10">
        <v>378.05</v>
      </c>
      <c r="R9250" s="10" t="s">
        <v>41991</v>
      </c>
      <c r="S9250" s="10" t="s">
        <v>53</v>
      </c>
      <c r="T9250" s="10" t="s">
        <v>54</v>
      </c>
    </row>
    <row r="9251" spans="1:20" ht="14.5" x14ac:dyDescent="0.35">
      <c r="A9251" s="10" t="s">
        <v>41992</v>
      </c>
      <c r="B9251" s="10" t="str">
        <f>"9781785333040"</f>
        <v>9781785333040</v>
      </c>
      <c r="C9251" s="10" t="str">
        <f>"9781785333057"</f>
        <v>9781785333057</v>
      </c>
      <c r="D9251" s="10" t="s">
        <v>21315</v>
      </c>
      <c r="E9251" s="10" t="s">
        <v>21316</v>
      </c>
      <c r="F9251" s="10" t="s">
        <v>13068</v>
      </c>
      <c r="G9251" s="10" t="s">
        <v>6317</v>
      </c>
      <c r="H9251" s="11">
        <v>42705</v>
      </c>
      <c r="I9251" s="10">
        <v>2016</v>
      </c>
      <c r="J9251" s="10" t="s">
        <v>21316</v>
      </c>
      <c r="K9251" s="10">
        <v>306</v>
      </c>
      <c r="L9251" s="10" t="s">
        <v>41993</v>
      </c>
      <c r="M9251" s="10">
        <v>1</v>
      </c>
      <c r="N9251" s="10" t="s">
        <v>41994</v>
      </c>
      <c r="O9251" s="10">
        <v>27</v>
      </c>
      <c r="P9251" s="10" t="s">
        <v>41995</v>
      </c>
      <c r="Q9251" s="10">
        <v>363.69</v>
      </c>
      <c r="R9251" s="10" t="s">
        <v>41996</v>
      </c>
      <c r="S9251" s="10" t="s">
        <v>53</v>
      </c>
      <c r="T9251" s="10" t="s">
        <v>41997</v>
      </c>
    </row>
    <row r="9252" spans="1:20" ht="14.5" x14ac:dyDescent="0.35">
      <c r="A9252" s="10" t="s">
        <v>41998</v>
      </c>
      <c r="B9252" s="10" t="str">
        <f>"9781475828528"</f>
        <v>9781475828528</v>
      </c>
      <c r="C9252" s="10" t="str">
        <f>"9781475828542"</f>
        <v>9781475828542</v>
      </c>
      <c r="D9252" s="10" t="s">
        <v>9752</v>
      </c>
      <c r="E9252" s="10" t="s">
        <v>15187</v>
      </c>
      <c r="F9252" s="10" t="s">
        <v>9754</v>
      </c>
      <c r="G9252" s="10" t="s">
        <v>6317</v>
      </c>
      <c r="H9252" s="11">
        <v>42529</v>
      </c>
      <c r="I9252" s="10">
        <v>2016</v>
      </c>
      <c r="J9252" s="10" t="s">
        <v>15187</v>
      </c>
      <c r="K9252" s="10">
        <v>179</v>
      </c>
      <c r="L9252" s="10" t="s">
        <v>41999</v>
      </c>
      <c r="M9252" s="10">
        <v>1</v>
      </c>
      <c r="N9252" s="10"/>
      <c r="O9252" s="10"/>
      <c r="P9252" s="10"/>
      <c r="Q9252" s="10">
        <v>371.10219999999998</v>
      </c>
      <c r="R9252" s="10" t="s">
        <v>15689</v>
      </c>
      <c r="S9252" s="10" t="s">
        <v>53</v>
      </c>
      <c r="T9252" s="10" t="s">
        <v>54</v>
      </c>
    </row>
    <row r="9253" spans="1:20" ht="14.5" x14ac:dyDescent="0.35">
      <c r="A9253" s="10" t="s">
        <v>42000</v>
      </c>
      <c r="B9253" s="10" t="str">
        <f>"9781771673532"</f>
        <v>9781771673532</v>
      </c>
      <c r="C9253" s="10" t="str">
        <f>"9781771675239"</f>
        <v>9781771675239</v>
      </c>
      <c r="D9253" s="10" t="s">
        <v>29364</v>
      </c>
      <c r="E9253" s="10" t="s">
        <v>31200</v>
      </c>
      <c r="F9253" s="10" t="s">
        <v>1232</v>
      </c>
      <c r="G9253" s="10" t="s">
        <v>6317</v>
      </c>
      <c r="H9253" s="11">
        <v>42331</v>
      </c>
      <c r="I9253" s="10">
        <v>2015</v>
      </c>
      <c r="J9253" s="10" t="s">
        <v>29364</v>
      </c>
      <c r="K9253" s="10">
        <v>60</v>
      </c>
      <c r="L9253" s="10" t="s">
        <v>42001</v>
      </c>
      <c r="M9253" s="10">
        <v>1</v>
      </c>
      <c r="N9253" s="10" t="s">
        <v>42002</v>
      </c>
      <c r="O9253" s="10">
        <v>1</v>
      </c>
      <c r="P9253" s="10" t="s">
        <v>42003</v>
      </c>
      <c r="Q9253" s="10"/>
      <c r="R9253" s="10" t="s">
        <v>42004</v>
      </c>
      <c r="S9253" s="10" t="s">
        <v>53</v>
      </c>
      <c r="T9253" s="10" t="s">
        <v>6660</v>
      </c>
    </row>
    <row r="9254" spans="1:20" ht="14.5" x14ac:dyDescent="0.35">
      <c r="A9254" s="10" t="s">
        <v>42005</v>
      </c>
      <c r="B9254" s="10" t="str">
        <f>"9781771673556"</f>
        <v>9781771673556</v>
      </c>
      <c r="C9254" s="10" t="str">
        <f>"9781771675543"</f>
        <v>9781771675543</v>
      </c>
      <c r="D9254" s="10" t="s">
        <v>29364</v>
      </c>
      <c r="E9254" s="10" t="s">
        <v>31200</v>
      </c>
      <c r="F9254" s="10" t="s">
        <v>1232</v>
      </c>
      <c r="G9254" s="10" t="s">
        <v>6317</v>
      </c>
      <c r="H9254" s="11">
        <v>42346</v>
      </c>
      <c r="I9254" s="10">
        <v>2015</v>
      </c>
      <c r="J9254" s="10" t="s">
        <v>29364</v>
      </c>
      <c r="K9254" s="10">
        <v>60</v>
      </c>
      <c r="L9254" s="10" t="s">
        <v>42001</v>
      </c>
      <c r="M9254" s="10">
        <v>1</v>
      </c>
      <c r="N9254" s="10" t="s">
        <v>42002</v>
      </c>
      <c r="O9254" s="10">
        <v>2</v>
      </c>
      <c r="P9254" s="10" t="s">
        <v>42006</v>
      </c>
      <c r="Q9254" s="10"/>
      <c r="R9254" s="10" t="s">
        <v>42007</v>
      </c>
      <c r="S9254" s="10" t="s">
        <v>53</v>
      </c>
      <c r="T9254" s="10" t="s">
        <v>6363</v>
      </c>
    </row>
    <row r="9255" spans="1:20" ht="14.5" x14ac:dyDescent="0.35">
      <c r="A9255" s="10" t="s">
        <v>42008</v>
      </c>
      <c r="B9255" s="10" t="str">
        <f>"9781771673570"</f>
        <v>9781771673570</v>
      </c>
      <c r="C9255" s="10" t="str">
        <f>"9781771675567"</f>
        <v>9781771675567</v>
      </c>
      <c r="D9255" s="10" t="s">
        <v>29364</v>
      </c>
      <c r="E9255" s="10" t="s">
        <v>31200</v>
      </c>
      <c r="F9255" s="10" t="s">
        <v>1232</v>
      </c>
      <c r="G9255" s="10" t="s">
        <v>6317</v>
      </c>
      <c r="H9255" s="11">
        <v>42361</v>
      </c>
      <c r="I9255" s="10">
        <v>2016</v>
      </c>
      <c r="J9255" s="10" t="s">
        <v>29364</v>
      </c>
      <c r="K9255" s="10">
        <v>60</v>
      </c>
      <c r="L9255" s="10" t="s">
        <v>42001</v>
      </c>
      <c r="M9255" s="10">
        <v>1</v>
      </c>
      <c r="N9255" s="10" t="s">
        <v>42002</v>
      </c>
      <c r="O9255" s="10">
        <v>3</v>
      </c>
      <c r="P9255" s="10" t="s">
        <v>42009</v>
      </c>
      <c r="Q9255" s="10"/>
      <c r="R9255" s="10" t="s">
        <v>42010</v>
      </c>
      <c r="S9255" s="10" t="s">
        <v>53</v>
      </c>
      <c r="T9255" s="10" t="s">
        <v>8368</v>
      </c>
    </row>
    <row r="9256" spans="1:20" ht="14.5" x14ac:dyDescent="0.35">
      <c r="A9256" s="10" t="s">
        <v>42011</v>
      </c>
      <c r="B9256" s="10" t="str">
        <f>"9781771673907"</f>
        <v>9781771673907</v>
      </c>
      <c r="C9256" s="10" t="str">
        <f>"9781771676359"</f>
        <v>9781771676359</v>
      </c>
      <c r="D9256" s="10" t="s">
        <v>29364</v>
      </c>
      <c r="E9256" s="10" t="s">
        <v>31200</v>
      </c>
      <c r="F9256" s="10" t="s">
        <v>1232</v>
      </c>
      <c r="G9256" s="10" t="s">
        <v>6317</v>
      </c>
      <c r="H9256" s="11">
        <v>42460</v>
      </c>
      <c r="I9256" s="10">
        <v>2016</v>
      </c>
      <c r="J9256" s="10" t="s">
        <v>29364</v>
      </c>
      <c r="K9256" s="10">
        <v>60</v>
      </c>
      <c r="L9256" s="10" t="s">
        <v>42012</v>
      </c>
      <c r="M9256" s="10">
        <v>1</v>
      </c>
      <c r="N9256" s="10" t="s">
        <v>42013</v>
      </c>
      <c r="O9256" s="10">
        <v>1</v>
      </c>
      <c r="P9256" s="10" t="s">
        <v>42014</v>
      </c>
      <c r="Q9256" s="10"/>
      <c r="R9256" s="10" t="s">
        <v>42015</v>
      </c>
      <c r="S9256" s="10" t="s">
        <v>53</v>
      </c>
      <c r="T9256" s="10" t="s">
        <v>5557</v>
      </c>
    </row>
    <row r="9257" spans="1:20" ht="14.5" x14ac:dyDescent="0.35">
      <c r="A9257" s="10" t="s">
        <v>42016</v>
      </c>
      <c r="B9257" s="10" t="str">
        <f>"9781771673914"</f>
        <v>9781771673914</v>
      </c>
      <c r="C9257" s="10" t="str">
        <f>"9781771676366"</f>
        <v>9781771676366</v>
      </c>
      <c r="D9257" s="10" t="s">
        <v>29364</v>
      </c>
      <c r="E9257" s="10" t="s">
        <v>31200</v>
      </c>
      <c r="F9257" s="10" t="s">
        <v>1232</v>
      </c>
      <c r="G9257" s="10" t="s">
        <v>6317</v>
      </c>
      <c r="H9257" s="11">
        <v>42467</v>
      </c>
      <c r="I9257" s="10">
        <v>2016</v>
      </c>
      <c r="J9257" s="10" t="s">
        <v>29364</v>
      </c>
      <c r="K9257" s="10">
        <v>60</v>
      </c>
      <c r="L9257" s="10" t="s">
        <v>42012</v>
      </c>
      <c r="M9257" s="10">
        <v>1</v>
      </c>
      <c r="N9257" s="10" t="s">
        <v>42013</v>
      </c>
      <c r="O9257" s="10">
        <v>2</v>
      </c>
      <c r="P9257" s="10" t="s">
        <v>42017</v>
      </c>
      <c r="Q9257" s="10"/>
      <c r="R9257" s="10" t="s">
        <v>42018</v>
      </c>
      <c r="S9257" s="10" t="s">
        <v>53</v>
      </c>
      <c r="T9257" s="10" t="s">
        <v>13819</v>
      </c>
    </row>
    <row r="9258" spans="1:20" ht="14.5" x14ac:dyDescent="0.35">
      <c r="A9258" s="10" t="s">
        <v>42019</v>
      </c>
      <c r="B9258" s="10" t="str">
        <f>"9781771673921"</f>
        <v>9781771673921</v>
      </c>
      <c r="C9258" s="10" t="str">
        <f>"9781771676373"</f>
        <v>9781771676373</v>
      </c>
      <c r="D9258" s="10" t="s">
        <v>29364</v>
      </c>
      <c r="E9258" s="10" t="s">
        <v>31200</v>
      </c>
      <c r="F9258" s="10" t="s">
        <v>1232</v>
      </c>
      <c r="G9258" s="10" t="s">
        <v>6317</v>
      </c>
      <c r="H9258" s="11">
        <v>42474</v>
      </c>
      <c r="I9258" s="10">
        <v>2016</v>
      </c>
      <c r="J9258" s="10" t="s">
        <v>29364</v>
      </c>
      <c r="K9258" s="10">
        <v>60</v>
      </c>
      <c r="L9258" s="10" t="s">
        <v>42012</v>
      </c>
      <c r="M9258" s="10">
        <v>1</v>
      </c>
      <c r="N9258" s="10" t="s">
        <v>42013</v>
      </c>
      <c r="O9258" s="10">
        <v>3</v>
      </c>
      <c r="P9258" s="10" t="s">
        <v>42020</v>
      </c>
      <c r="Q9258" s="10"/>
      <c r="R9258" s="10" t="s">
        <v>42021</v>
      </c>
      <c r="S9258" s="10" t="s">
        <v>53</v>
      </c>
      <c r="T9258" s="10" t="s">
        <v>11305</v>
      </c>
    </row>
    <row r="9259" spans="1:20" ht="14.5" x14ac:dyDescent="0.35">
      <c r="A9259" s="10" t="s">
        <v>42022</v>
      </c>
      <c r="B9259" s="10" t="str">
        <f>"9781771673938"</f>
        <v>9781771673938</v>
      </c>
      <c r="C9259" s="10" t="str">
        <f>"9781771676380"</f>
        <v>9781771676380</v>
      </c>
      <c r="D9259" s="10" t="s">
        <v>29364</v>
      </c>
      <c r="E9259" s="10" t="s">
        <v>31200</v>
      </c>
      <c r="F9259" s="10" t="s">
        <v>1232</v>
      </c>
      <c r="G9259" s="10" t="s">
        <v>6317</v>
      </c>
      <c r="H9259" s="11">
        <v>42346</v>
      </c>
      <c r="I9259" s="10">
        <v>2016</v>
      </c>
      <c r="J9259" s="10" t="s">
        <v>29364</v>
      </c>
      <c r="K9259" s="10">
        <v>170</v>
      </c>
      <c r="L9259" s="10" t="s">
        <v>42012</v>
      </c>
      <c r="M9259" s="10">
        <v>1</v>
      </c>
      <c r="N9259" s="10" t="s">
        <v>42013</v>
      </c>
      <c r="O9259" s="10">
        <v>4</v>
      </c>
      <c r="P9259" s="10" t="s">
        <v>42014</v>
      </c>
      <c r="Q9259" s="10"/>
      <c r="R9259" s="10" t="s">
        <v>42023</v>
      </c>
      <c r="S9259" s="10" t="s">
        <v>53</v>
      </c>
      <c r="T9259" s="10" t="s">
        <v>5557</v>
      </c>
    </row>
    <row r="9260" spans="1:20" ht="14.5" x14ac:dyDescent="0.35">
      <c r="A9260" s="10" t="s">
        <v>42024</v>
      </c>
      <c r="B9260" s="10" t="str">
        <f>"9788416365302"</f>
        <v>9788416365302</v>
      </c>
      <c r="C9260" s="10" t="str">
        <f>"9788416669035"</f>
        <v>9788416669035</v>
      </c>
      <c r="D9260" s="10" t="s">
        <v>29172</v>
      </c>
      <c r="E9260" s="10" t="s">
        <v>42025</v>
      </c>
      <c r="F9260" s="10" t="s">
        <v>29174</v>
      </c>
      <c r="G9260" s="10" t="s">
        <v>28737</v>
      </c>
      <c r="H9260" s="11">
        <v>42488</v>
      </c>
      <c r="I9260" s="10">
        <v>2016</v>
      </c>
      <c r="J9260" s="10" t="s">
        <v>42025</v>
      </c>
      <c r="K9260" s="10">
        <v>142</v>
      </c>
      <c r="L9260" s="10" t="s">
        <v>42026</v>
      </c>
      <c r="M9260" s="10">
        <v>1</v>
      </c>
      <c r="N9260" s="10" t="s">
        <v>42027</v>
      </c>
      <c r="O9260" s="10">
        <v>3</v>
      </c>
      <c r="P9260" s="10" t="s">
        <v>42028</v>
      </c>
      <c r="Q9260" s="10">
        <v>371.30281000000002</v>
      </c>
      <c r="R9260" s="10" t="s">
        <v>42029</v>
      </c>
      <c r="S9260" s="10" t="s">
        <v>119</v>
      </c>
      <c r="T9260" s="10" t="s">
        <v>54</v>
      </c>
    </row>
    <row r="9261" spans="1:20" ht="14.5" x14ac:dyDescent="0.35">
      <c r="A9261" s="10" t="s">
        <v>42030</v>
      </c>
      <c r="B9261" s="10" t="str">
        <f>"9782806278111"</f>
        <v>9782806278111</v>
      </c>
      <c r="C9261" s="10" t="str">
        <f>"9782806278104"</f>
        <v>9782806278104</v>
      </c>
      <c r="D9261" s="10" t="s">
        <v>29172</v>
      </c>
      <c r="E9261" s="10" t="s">
        <v>29173</v>
      </c>
      <c r="F9261" s="10" t="s">
        <v>31602</v>
      </c>
      <c r="G9261" s="10" t="s">
        <v>28737</v>
      </c>
      <c r="H9261" s="11">
        <v>42492</v>
      </c>
      <c r="I9261" s="10">
        <v>2016</v>
      </c>
      <c r="J9261" s="10" t="s">
        <v>31276</v>
      </c>
      <c r="K9261" s="10">
        <v>14</v>
      </c>
      <c r="L9261" s="10" t="s">
        <v>42031</v>
      </c>
      <c r="M9261" s="10">
        <v>1</v>
      </c>
      <c r="N9261" s="10" t="s">
        <v>41644</v>
      </c>
      <c r="O9261" s="10">
        <v>8</v>
      </c>
      <c r="P9261" s="10" t="s">
        <v>42032</v>
      </c>
      <c r="Q9261" s="10">
        <v>306.36</v>
      </c>
      <c r="R9261" s="10" t="s">
        <v>42033</v>
      </c>
      <c r="S9261" s="10" t="s">
        <v>5404</v>
      </c>
      <c r="T9261" s="10" t="s">
        <v>10957</v>
      </c>
    </row>
    <row r="9262" spans="1:20" ht="14.5" x14ac:dyDescent="0.35">
      <c r="A9262" s="10" t="s">
        <v>42034</v>
      </c>
      <c r="B9262" s="10" t="str">
        <f>"9782806267801"</f>
        <v>9782806267801</v>
      </c>
      <c r="C9262" s="10" t="str">
        <f>"9782806267795"</f>
        <v>9782806267795</v>
      </c>
      <c r="D9262" s="10" t="s">
        <v>29172</v>
      </c>
      <c r="E9262" s="10" t="s">
        <v>29173</v>
      </c>
      <c r="F9262" s="10" t="s">
        <v>29181</v>
      </c>
      <c r="G9262" s="10" t="s">
        <v>28737</v>
      </c>
      <c r="H9262" s="11">
        <v>42492</v>
      </c>
      <c r="I9262" s="10">
        <v>2016</v>
      </c>
      <c r="J9262" s="10" t="s">
        <v>29175</v>
      </c>
      <c r="K9262" s="10">
        <v>15</v>
      </c>
      <c r="L9262" s="10" t="s">
        <v>42035</v>
      </c>
      <c r="M9262" s="10">
        <v>1</v>
      </c>
      <c r="N9262" s="10" t="s">
        <v>29177</v>
      </c>
      <c r="O9262" s="10"/>
      <c r="P9262" s="10"/>
      <c r="Q9262" s="10"/>
      <c r="R9262" s="10" t="s">
        <v>42036</v>
      </c>
      <c r="S9262" s="10" t="s">
        <v>5404</v>
      </c>
      <c r="T9262" s="10" t="s">
        <v>29186</v>
      </c>
    </row>
    <row r="9263" spans="1:20" ht="14.5" x14ac:dyDescent="0.35">
      <c r="A9263" s="10" t="s">
        <v>42037</v>
      </c>
      <c r="B9263" s="10" t="str">
        <f>"9782806277886"</f>
        <v>9782806277886</v>
      </c>
      <c r="C9263" s="10" t="str">
        <f>"9782806277879"</f>
        <v>9782806277879</v>
      </c>
      <c r="D9263" s="10" t="s">
        <v>29172</v>
      </c>
      <c r="E9263" s="10" t="s">
        <v>29173</v>
      </c>
      <c r="F9263" s="10" t="s">
        <v>29181</v>
      </c>
      <c r="G9263" s="10" t="s">
        <v>28737</v>
      </c>
      <c r="H9263" s="11">
        <v>42492</v>
      </c>
      <c r="I9263" s="10">
        <v>2016</v>
      </c>
      <c r="J9263" s="10" t="s">
        <v>29175</v>
      </c>
      <c r="K9263" s="10">
        <v>19</v>
      </c>
      <c r="L9263" s="10" t="s">
        <v>41618</v>
      </c>
      <c r="M9263" s="10">
        <v>1</v>
      </c>
      <c r="N9263" s="10" t="s">
        <v>29177</v>
      </c>
      <c r="O9263" s="10"/>
      <c r="P9263" s="10"/>
      <c r="Q9263" s="10"/>
      <c r="R9263" s="10" t="s">
        <v>42038</v>
      </c>
      <c r="S9263" s="10" t="s">
        <v>5404</v>
      </c>
      <c r="T9263" s="10" t="s">
        <v>10454</v>
      </c>
    </row>
    <row r="9264" spans="1:20" ht="14.5" x14ac:dyDescent="0.35">
      <c r="A9264" s="10" t="s">
        <v>42039</v>
      </c>
      <c r="B9264" s="10" t="str">
        <f>"9781906897581"</f>
        <v>9781906897581</v>
      </c>
      <c r="C9264" s="10" t="str">
        <f>"9781906897598"</f>
        <v>9781906897598</v>
      </c>
      <c r="D9264" s="10" t="s">
        <v>36415</v>
      </c>
      <c r="E9264" s="10" t="s">
        <v>42040</v>
      </c>
      <c r="F9264" s="10" t="s">
        <v>612</v>
      </c>
      <c r="G9264" s="10" t="s">
        <v>6317</v>
      </c>
      <c r="H9264" s="11">
        <v>42454</v>
      </c>
      <c r="I9264" s="10">
        <v>2016</v>
      </c>
      <c r="J9264" s="10" t="s">
        <v>42040</v>
      </c>
      <c r="K9264" s="10">
        <v>273</v>
      </c>
      <c r="L9264" s="10" t="s">
        <v>42041</v>
      </c>
      <c r="M9264" s="10">
        <v>1</v>
      </c>
      <c r="N9264" s="10"/>
      <c r="O9264" s="10"/>
      <c r="P9264" s="10"/>
      <c r="Q9264" s="10">
        <v>378</v>
      </c>
      <c r="R9264" s="10" t="s">
        <v>15514</v>
      </c>
      <c r="S9264" s="10" t="s">
        <v>53</v>
      </c>
      <c r="T9264" s="10" t="s">
        <v>54</v>
      </c>
    </row>
    <row r="9265" spans="1:20" ht="14.5" x14ac:dyDescent="0.35">
      <c r="A9265" s="10" t="s">
        <v>42042</v>
      </c>
      <c r="B9265" s="10" t="str">
        <f>"9781475802160"</f>
        <v>9781475802160</v>
      </c>
      <c r="C9265" s="10" t="str">
        <f>"9781475802177"</f>
        <v>9781475802177</v>
      </c>
      <c r="D9265" s="10" t="s">
        <v>9752</v>
      </c>
      <c r="E9265" s="10" t="s">
        <v>15187</v>
      </c>
      <c r="F9265" s="10" t="s">
        <v>9754</v>
      </c>
      <c r="G9265" s="10" t="s">
        <v>6317</v>
      </c>
      <c r="H9265" s="11">
        <v>42529</v>
      </c>
      <c r="I9265" s="10">
        <v>2016</v>
      </c>
      <c r="J9265" s="10" t="s">
        <v>15187</v>
      </c>
      <c r="K9265" s="10">
        <v>253</v>
      </c>
      <c r="L9265" s="10" t="s">
        <v>42043</v>
      </c>
      <c r="M9265" s="10">
        <v>1</v>
      </c>
      <c r="N9265" s="10" t="s">
        <v>42044</v>
      </c>
      <c r="O9265" s="10"/>
      <c r="P9265" s="10"/>
      <c r="Q9265" s="10">
        <v>372.4</v>
      </c>
      <c r="R9265" s="10" t="s">
        <v>42045</v>
      </c>
      <c r="S9265" s="10" t="s">
        <v>53</v>
      </c>
      <c r="T9265" s="10" t="s">
        <v>54</v>
      </c>
    </row>
    <row r="9266" spans="1:20" ht="14.5" x14ac:dyDescent="0.35">
      <c r="A9266" s="10" t="s">
        <v>42046</v>
      </c>
      <c r="B9266" s="10" t="str">
        <f>"9781475818574"</f>
        <v>9781475818574</v>
      </c>
      <c r="C9266" s="10" t="str">
        <f>"9781475818581"</f>
        <v>9781475818581</v>
      </c>
      <c r="D9266" s="10" t="s">
        <v>9752</v>
      </c>
      <c r="E9266" s="10" t="s">
        <v>15187</v>
      </c>
      <c r="F9266" s="10" t="s">
        <v>9754</v>
      </c>
      <c r="G9266" s="10" t="s">
        <v>6317</v>
      </c>
      <c r="H9266" s="11">
        <v>42529</v>
      </c>
      <c r="I9266" s="10">
        <v>2016</v>
      </c>
      <c r="J9266" s="10" t="s">
        <v>15187</v>
      </c>
      <c r="K9266" s="10">
        <v>251</v>
      </c>
      <c r="L9266" s="10" t="s">
        <v>27604</v>
      </c>
      <c r="M9266" s="10">
        <v>1</v>
      </c>
      <c r="N9266" s="10"/>
      <c r="O9266" s="10"/>
      <c r="P9266" s="10" t="s">
        <v>42047</v>
      </c>
      <c r="Q9266" s="10">
        <v>379.15800000000002</v>
      </c>
      <c r="R9266" s="10" t="s">
        <v>31356</v>
      </c>
      <c r="S9266" s="10" t="s">
        <v>53</v>
      </c>
      <c r="T9266" s="10" t="s">
        <v>54</v>
      </c>
    </row>
    <row r="9267" spans="1:20" ht="14.5" x14ac:dyDescent="0.35">
      <c r="A9267" s="10" t="s">
        <v>42048</v>
      </c>
      <c r="B9267" s="10" t="str">
        <f>"9781421420820"</f>
        <v>9781421420820</v>
      </c>
      <c r="C9267" s="10" t="str">
        <f>"9781421420837"</f>
        <v>9781421420837</v>
      </c>
      <c r="D9267" s="10" t="s">
        <v>884</v>
      </c>
      <c r="E9267" s="10" t="s">
        <v>884</v>
      </c>
      <c r="F9267" s="10" t="s">
        <v>885</v>
      </c>
      <c r="G9267" s="10" t="s">
        <v>6317</v>
      </c>
      <c r="H9267" s="11">
        <v>42647</v>
      </c>
      <c r="I9267" s="10">
        <v>2016</v>
      </c>
      <c r="J9267" s="10" t="s">
        <v>884</v>
      </c>
      <c r="K9267" s="10">
        <v>277</v>
      </c>
      <c r="L9267" s="10" t="s">
        <v>42049</v>
      </c>
      <c r="M9267" s="10">
        <v>1</v>
      </c>
      <c r="N9267" s="10"/>
      <c r="O9267" s="10"/>
      <c r="P9267" s="10"/>
      <c r="Q9267" s="10" t="s">
        <v>8381</v>
      </c>
      <c r="R9267" s="10"/>
      <c r="S9267" s="10" t="s">
        <v>53</v>
      </c>
      <c r="T9267" s="10" t="s">
        <v>54</v>
      </c>
    </row>
    <row r="9268" spans="1:20" ht="14.5" x14ac:dyDescent="0.35">
      <c r="A9268" s="10" t="s">
        <v>42050</v>
      </c>
      <c r="B9268" s="10" t="str">
        <f>"9781558499430"</f>
        <v>9781558499430</v>
      </c>
      <c r="C9268" s="10" t="str">
        <f>"9781613762080"</f>
        <v>9781613762080</v>
      </c>
      <c r="D9268" s="10" t="s">
        <v>23662</v>
      </c>
      <c r="E9268" s="10" t="s">
        <v>23662</v>
      </c>
      <c r="F9268" s="10" t="s">
        <v>2080</v>
      </c>
      <c r="G9268" s="10" t="s">
        <v>6317</v>
      </c>
      <c r="H9268" s="11">
        <v>41244</v>
      </c>
      <c r="I9268" s="10">
        <v>2012</v>
      </c>
      <c r="J9268" s="10" t="s">
        <v>23662</v>
      </c>
      <c r="K9268" s="10">
        <v>228</v>
      </c>
      <c r="L9268" s="10" t="s">
        <v>42051</v>
      </c>
      <c r="M9268" s="10">
        <v>1</v>
      </c>
      <c r="N9268" s="10"/>
      <c r="O9268" s="10"/>
      <c r="P9268" s="10" t="s">
        <v>42052</v>
      </c>
      <c r="Q9268" s="10">
        <v>371.92097439999901</v>
      </c>
      <c r="R9268" s="10" t="s">
        <v>42053</v>
      </c>
      <c r="S9268" s="10" t="s">
        <v>53</v>
      </c>
      <c r="T9268" s="10" t="s">
        <v>54</v>
      </c>
    </row>
    <row r="9269" spans="1:20" ht="14.5" x14ac:dyDescent="0.35">
      <c r="A9269" s="10" t="s">
        <v>42054</v>
      </c>
      <c r="B9269" s="10" t="str">
        <f>"9781625340580"</f>
        <v>9781625340580</v>
      </c>
      <c r="C9269" s="10" t="str">
        <f>"9781613762899"</f>
        <v>9781613762899</v>
      </c>
      <c r="D9269" s="10" t="s">
        <v>23662</v>
      </c>
      <c r="E9269" s="10" t="s">
        <v>23662</v>
      </c>
      <c r="F9269" s="10" t="s">
        <v>2080</v>
      </c>
      <c r="G9269" s="10" t="s">
        <v>6317</v>
      </c>
      <c r="H9269" s="11">
        <v>41487</v>
      </c>
      <c r="I9269" s="10">
        <v>2013</v>
      </c>
      <c r="J9269" s="10" t="s">
        <v>23662</v>
      </c>
      <c r="K9269" s="10">
        <v>264</v>
      </c>
      <c r="L9269" s="10" t="s">
        <v>42055</v>
      </c>
      <c r="M9269" s="10">
        <v>1</v>
      </c>
      <c r="N9269" s="10"/>
      <c r="O9269" s="10"/>
      <c r="P9269" s="10" t="s">
        <v>42056</v>
      </c>
      <c r="Q9269" s="10">
        <v>374</v>
      </c>
      <c r="R9269" s="10" t="s">
        <v>42057</v>
      </c>
      <c r="S9269" s="10" t="s">
        <v>53</v>
      </c>
      <c r="T9269" s="10" t="s">
        <v>54</v>
      </c>
    </row>
    <row r="9270" spans="1:20" ht="14.5" x14ac:dyDescent="0.35">
      <c r="A9270" s="10" t="s">
        <v>42058</v>
      </c>
      <c r="B9270" s="10" t="str">
        <f>"9781625341440"</f>
        <v>9781625341440</v>
      </c>
      <c r="C9270" s="10" t="str">
        <f>"9781613763674"</f>
        <v>9781613763674</v>
      </c>
      <c r="D9270" s="10" t="s">
        <v>23662</v>
      </c>
      <c r="E9270" s="10" t="s">
        <v>23662</v>
      </c>
      <c r="F9270" s="10" t="s">
        <v>2080</v>
      </c>
      <c r="G9270" s="10" t="s">
        <v>6317</v>
      </c>
      <c r="H9270" s="11">
        <v>42128</v>
      </c>
      <c r="I9270" s="10">
        <v>2015</v>
      </c>
      <c r="J9270" s="10" t="s">
        <v>23662</v>
      </c>
      <c r="K9270" s="10">
        <v>356</v>
      </c>
      <c r="L9270" s="10" t="s">
        <v>42059</v>
      </c>
      <c r="M9270" s="10">
        <v>1</v>
      </c>
      <c r="N9270" s="10"/>
      <c r="O9270" s="10"/>
      <c r="P9270" s="10" t="s">
        <v>42060</v>
      </c>
      <c r="Q9270" s="10">
        <v>378.74680000000001</v>
      </c>
      <c r="R9270" s="10" t="s">
        <v>42061</v>
      </c>
      <c r="S9270" s="10" t="s">
        <v>53</v>
      </c>
      <c r="T9270" s="10" t="s">
        <v>54</v>
      </c>
    </row>
    <row r="9271" spans="1:20" ht="14.5" x14ac:dyDescent="0.35">
      <c r="A9271" s="10" t="s">
        <v>42062</v>
      </c>
      <c r="B9271" s="10" t="str">
        <f>"9781475815467"</f>
        <v>9781475815467</v>
      </c>
      <c r="C9271" s="10" t="str">
        <f>"9781475815481"</f>
        <v>9781475815481</v>
      </c>
      <c r="D9271" s="10" t="s">
        <v>9752</v>
      </c>
      <c r="E9271" s="10" t="s">
        <v>15187</v>
      </c>
      <c r="F9271" s="10" t="s">
        <v>9754</v>
      </c>
      <c r="G9271" s="10" t="s">
        <v>6317</v>
      </c>
      <c r="H9271" s="11">
        <v>42528</v>
      </c>
      <c r="I9271" s="10">
        <v>2016</v>
      </c>
      <c r="J9271" s="10" t="s">
        <v>15187</v>
      </c>
      <c r="K9271" s="10">
        <v>289</v>
      </c>
      <c r="L9271" s="10" t="s">
        <v>39971</v>
      </c>
      <c r="M9271" s="10">
        <v>2</v>
      </c>
      <c r="N9271" s="10"/>
      <c r="O9271" s="10"/>
      <c r="P9271" s="10" t="s">
        <v>42063</v>
      </c>
      <c r="Q9271" s="10">
        <v>973</v>
      </c>
      <c r="R9271" s="10" t="s">
        <v>42064</v>
      </c>
      <c r="S9271" s="10" t="s">
        <v>53</v>
      </c>
      <c r="T9271" s="10" t="s">
        <v>4490</v>
      </c>
    </row>
    <row r="9272" spans="1:20" ht="14.5" x14ac:dyDescent="0.35">
      <c r="A9272" s="10" t="s">
        <v>42065</v>
      </c>
      <c r="B9272" s="10" t="str">
        <f>"9781498529570"</f>
        <v>9781498529570</v>
      </c>
      <c r="C9272" s="10" t="str">
        <f>"9781498529587"</f>
        <v>9781498529587</v>
      </c>
      <c r="D9272" s="10" t="s">
        <v>9752</v>
      </c>
      <c r="E9272" s="10" t="s">
        <v>15182</v>
      </c>
      <c r="F9272" s="10" t="s">
        <v>3460</v>
      </c>
      <c r="G9272" s="10" t="s">
        <v>6317</v>
      </c>
      <c r="H9272" s="11">
        <v>42536</v>
      </c>
      <c r="I9272" s="10">
        <v>2016</v>
      </c>
      <c r="J9272" s="10" t="s">
        <v>15182</v>
      </c>
      <c r="K9272" s="10">
        <v>152</v>
      </c>
      <c r="L9272" s="10" t="s">
        <v>42066</v>
      </c>
      <c r="M9272" s="10">
        <v>1</v>
      </c>
      <c r="N9272" s="10"/>
      <c r="O9272" s="10"/>
      <c r="P9272" s="10" t="s">
        <v>42067</v>
      </c>
      <c r="Q9272" s="10">
        <v>370.71100000000001</v>
      </c>
      <c r="R9272" s="10" t="s">
        <v>31659</v>
      </c>
      <c r="S9272" s="10" t="s">
        <v>53</v>
      </c>
      <c r="T9272" s="10" t="s">
        <v>54</v>
      </c>
    </row>
    <row r="9273" spans="1:20" ht="14.5" x14ac:dyDescent="0.35">
      <c r="A9273" s="10" t="s">
        <v>42068</v>
      </c>
      <c r="B9273" s="10" t="str">
        <f>"9781475828283"</f>
        <v>9781475828283</v>
      </c>
      <c r="C9273" s="10" t="str">
        <f>"9781475828290"</f>
        <v>9781475828290</v>
      </c>
      <c r="D9273" s="10" t="s">
        <v>9752</v>
      </c>
      <c r="E9273" s="10" t="s">
        <v>15187</v>
      </c>
      <c r="F9273" s="10" t="s">
        <v>9754</v>
      </c>
      <c r="G9273" s="10" t="s">
        <v>6317</v>
      </c>
      <c r="H9273" s="11">
        <v>42535</v>
      </c>
      <c r="I9273" s="10">
        <v>2016</v>
      </c>
      <c r="J9273" s="10" t="s">
        <v>15187</v>
      </c>
      <c r="K9273" s="10">
        <v>118</v>
      </c>
      <c r="L9273" s="10" t="s">
        <v>42069</v>
      </c>
      <c r="M9273" s="10">
        <v>1</v>
      </c>
      <c r="N9273" s="10"/>
      <c r="O9273" s="10"/>
      <c r="P9273" s="10" t="s">
        <v>42070</v>
      </c>
      <c r="Q9273" s="10">
        <v>378.11099999999999</v>
      </c>
      <c r="R9273" s="10" t="s">
        <v>27164</v>
      </c>
      <c r="S9273" s="10" t="s">
        <v>53</v>
      </c>
      <c r="T9273" s="10" t="s">
        <v>54</v>
      </c>
    </row>
    <row r="9274" spans="1:20" ht="14.5" x14ac:dyDescent="0.35">
      <c r="A9274" s="10" t="s">
        <v>42071</v>
      </c>
      <c r="B9274" s="10" t="str">
        <f>"9781443880183"</f>
        <v>9781443880183</v>
      </c>
      <c r="C9274" s="10" t="str">
        <f>"9781443881203"</f>
        <v>9781443881203</v>
      </c>
      <c r="D9274" s="10" t="s">
        <v>23635</v>
      </c>
      <c r="E9274" s="10" t="s">
        <v>23635</v>
      </c>
      <c r="F9274" s="10" t="s">
        <v>23636</v>
      </c>
      <c r="G9274" s="10" t="s">
        <v>6352</v>
      </c>
      <c r="H9274" s="11">
        <v>42229</v>
      </c>
      <c r="I9274" s="10">
        <v>2015</v>
      </c>
      <c r="J9274" s="10" t="s">
        <v>23635</v>
      </c>
      <c r="K9274" s="10">
        <v>186</v>
      </c>
      <c r="L9274" s="10" t="s">
        <v>42072</v>
      </c>
      <c r="M9274" s="10">
        <v>1</v>
      </c>
      <c r="N9274" s="10" t="s">
        <v>42073</v>
      </c>
      <c r="O9274" s="10"/>
      <c r="P9274" s="10" t="s">
        <v>42074</v>
      </c>
      <c r="Q9274" s="10">
        <v>370.117095694</v>
      </c>
      <c r="R9274" s="10" t="s">
        <v>42075</v>
      </c>
      <c r="S9274" s="10" t="s">
        <v>53</v>
      </c>
      <c r="T9274" s="10" t="s">
        <v>54</v>
      </c>
    </row>
    <row r="9275" spans="1:20" ht="14.5" x14ac:dyDescent="0.35">
      <c r="A9275" s="10" t="s">
        <v>42076</v>
      </c>
      <c r="B9275" s="10" t="str">
        <f>"9781443878074"</f>
        <v>9781443878074</v>
      </c>
      <c r="C9275" s="10" t="str">
        <f>"9781443881487"</f>
        <v>9781443881487</v>
      </c>
      <c r="D9275" s="10" t="s">
        <v>23635</v>
      </c>
      <c r="E9275" s="10" t="s">
        <v>23635</v>
      </c>
      <c r="F9275" s="10" t="s">
        <v>23636</v>
      </c>
      <c r="G9275" s="10" t="s">
        <v>6352</v>
      </c>
      <c r="H9275" s="11">
        <v>42222</v>
      </c>
      <c r="I9275" s="10">
        <v>2015</v>
      </c>
      <c r="J9275" s="10" t="s">
        <v>23635</v>
      </c>
      <c r="K9275" s="10">
        <v>124</v>
      </c>
      <c r="L9275" s="10" t="s">
        <v>42077</v>
      </c>
      <c r="M9275" s="10">
        <v>1</v>
      </c>
      <c r="N9275" s="10"/>
      <c r="O9275" s="10"/>
      <c r="P9275" s="10" t="s">
        <v>42078</v>
      </c>
      <c r="Q9275" s="10">
        <v>370.15230000000003</v>
      </c>
      <c r="R9275" s="10" t="s">
        <v>19383</v>
      </c>
      <c r="S9275" s="10" t="s">
        <v>53</v>
      </c>
      <c r="T9275" s="10" t="s">
        <v>54</v>
      </c>
    </row>
    <row r="9276" spans="1:20" ht="14.5" x14ac:dyDescent="0.35">
      <c r="A9276" s="10" t="s">
        <v>42079</v>
      </c>
      <c r="B9276" s="10" t="str">
        <f>"9781443876933"</f>
        <v>9781443876933</v>
      </c>
      <c r="C9276" s="10" t="str">
        <f>"9781443882446"</f>
        <v>9781443882446</v>
      </c>
      <c r="D9276" s="10" t="s">
        <v>23635</v>
      </c>
      <c r="E9276" s="10" t="s">
        <v>23635</v>
      </c>
      <c r="F9276" s="10" t="s">
        <v>23636</v>
      </c>
      <c r="G9276" s="10" t="s">
        <v>6352</v>
      </c>
      <c r="H9276" s="11">
        <v>42216</v>
      </c>
      <c r="I9276" s="10">
        <v>2015</v>
      </c>
      <c r="J9276" s="10" t="s">
        <v>23635</v>
      </c>
      <c r="K9276" s="10">
        <v>329</v>
      </c>
      <c r="L9276" s="10" t="s">
        <v>42080</v>
      </c>
      <c r="M9276" s="10">
        <v>1</v>
      </c>
      <c r="N9276" s="10"/>
      <c r="O9276" s="10"/>
      <c r="P9276" s="10" t="s">
        <v>42081</v>
      </c>
      <c r="Q9276" s="10">
        <v>371.27199999999903</v>
      </c>
      <c r="R9276" s="10" t="s">
        <v>42082</v>
      </c>
      <c r="S9276" s="10" t="s">
        <v>53</v>
      </c>
      <c r="T9276" s="10" t="s">
        <v>54</v>
      </c>
    </row>
    <row r="9277" spans="1:20" ht="14.5" x14ac:dyDescent="0.35">
      <c r="A9277" s="10" t="s">
        <v>42083</v>
      </c>
      <c r="B9277" s="10" t="str">
        <f>"9781443877367"</f>
        <v>9781443877367</v>
      </c>
      <c r="C9277" s="10" t="str">
        <f>"9781443882484"</f>
        <v>9781443882484</v>
      </c>
      <c r="D9277" s="10" t="s">
        <v>23635</v>
      </c>
      <c r="E9277" s="10" t="s">
        <v>23635</v>
      </c>
      <c r="F9277" s="10" t="s">
        <v>23636</v>
      </c>
      <c r="G9277" s="10" t="s">
        <v>6352</v>
      </c>
      <c r="H9277" s="11">
        <v>42219</v>
      </c>
      <c r="I9277" s="10">
        <v>2015</v>
      </c>
      <c r="J9277" s="10" t="s">
        <v>23635</v>
      </c>
      <c r="K9277" s="10">
        <v>308</v>
      </c>
      <c r="L9277" s="10" t="s">
        <v>42084</v>
      </c>
      <c r="M9277" s="10">
        <v>2</v>
      </c>
      <c r="N9277" s="10"/>
      <c r="O9277" s="10"/>
      <c r="P9277" s="10" t="s">
        <v>42085</v>
      </c>
      <c r="Q9277" s="10">
        <v>370.15699999999902</v>
      </c>
      <c r="R9277" s="10" t="s">
        <v>42086</v>
      </c>
      <c r="S9277" s="10" t="s">
        <v>53</v>
      </c>
      <c r="T9277" s="10" t="s">
        <v>54</v>
      </c>
    </row>
    <row r="9278" spans="1:20" ht="14.5" x14ac:dyDescent="0.35">
      <c r="A9278" s="10" t="s">
        <v>42087</v>
      </c>
      <c r="B9278" s="10" t="str">
        <f>"9781443872119"</f>
        <v>9781443872119</v>
      </c>
      <c r="C9278" s="10" t="str">
        <f>"9781443882873"</f>
        <v>9781443882873</v>
      </c>
      <c r="D9278" s="10" t="s">
        <v>23635</v>
      </c>
      <c r="E9278" s="10" t="s">
        <v>23635</v>
      </c>
      <c r="F9278" s="10" t="s">
        <v>23636</v>
      </c>
      <c r="G9278" s="10" t="s">
        <v>6352</v>
      </c>
      <c r="H9278" s="11">
        <v>42125</v>
      </c>
      <c r="I9278" s="10">
        <v>2015</v>
      </c>
      <c r="J9278" s="10" t="s">
        <v>23635</v>
      </c>
      <c r="K9278" s="10">
        <v>138</v>
      </c>
      <c r="L9278" s="10" t="s">
        <v>42088</v>
      </c>
      <c r="M9278" s="10">
        <v>1</v>
      </c>
      <c r="N9278" s="10"/>
      <c r="O9278" s="10"/>
      <c r="P9278" s="10" t="s">
        <v>42089</v>
      </c>
      <c r="Q9278" s="10">
        <v>338.43378000000001</v>
      </c>
      <c r="R9278" s="10" t="s">
        <v>41734</v>
      </c>
      <c r="S9278" s="10" t="s">
        <v>53</v>
      </c>
      <c r="T9278" s="10" t="s">
        <v>19483</v>
      </c>
    </row>
    <row r="9279" spans="1:20" ht="14.5" x14ac:dyDescent="0.35">
      <c r="A9279" s="10" t="s">
        <v>42090</v>
      </c>
      <c r="B9279" s="10" t="str">
        <f>"9781443876124"</f>
        <v>9781443876124</v>
      </c>
      <c r="C9279" s="10" t="str">
        <f>"9781443883061"</f>
        <v>9781443883061</v>
      </c>
      <c r="D9279" s="10" t="s">
        <v>23635</v>
      </c>
      <c r="E9279" s="10" t="s">
        <v>23635</v>
      </c>
      <c r="F9279" s="10" t="s">
        <v>23636</v>
      </c>
      <c r="G9279" s="10" t="s">
        <v>6352</v>
      </c>
      <c r="H9279" s="11">
        <v>42123</v>
      </c>
      <c r="I9279" s="10">
        <v>2015</v>
      </c>
      <c r="J9279" s="10" t="s">
        <v>23635</v>
      </c>
      <c r="K9279" s="10">
        <v>187</v>
      </c>
      <c r="L9279" s="10" t="s">
        <v>42091</v>
      </c>
      <c r="M9279" s="10">
        <v>1</v>
      </c>
      <c r="N9279" s="10"/>
      <c r="O9279" s="10"/>
      <c r="P9279" s="10" t="s">
        <v>42092</v>
      </c>
      <c r="Q9279" s="10">
        <v>371.90460000000002</v>
      </c>
      <c r="R9279" s="10" t="s">
        <v>18055</v>
      </c>
      <c r="S9279" s="10" t="s">
        <v>53</v>
      </c>
      <c r="T9279" s="10" t="s">
        <v>54</v>
      </c>
    </row>
    <row r="9280" spans="1:20" ht="14.5" x14ac:dyDescent="0.35">
      <c r="A9280" s="10" t="s">
        <v>42093</v>
      </c>
      <c r="B9280" s="10" t="str">
        <f>"9781443866293"</f>
        <v>9781443866293</v>
      </c>
      <c r="C9280" s="10" t="str">
        <f>"9781443883191"</f>
        <v>9781443883191</v>
      </c>
      <c r="D9280" s="10" t="s">
        <v>23635</v>
      </c>
      <c r="E9280" s="10" t="s">
        <v>23635</v>
      </c>
      <c r="F9280" s="10" t="s">
        <v>23636</v>
      </c>
      <c r="G9280" s="10" t="s">
        <v>6352</v>
      </c>
      <c r="H9280" s="11">
        <v>42101</v>
      </c>
      <c r="I9280" s="10">
        <v>2015</v>
      </c>
      <c r="J9280" s="10" t="s">
        <v>23635</v>
      </c>
      <c r="K9280" s="10">
        <v>380</v>
      </c>
      <c r="L9280" s="10" t="s">
        <v>42094</v>
      </c>
      <c r="M9280" s="10">
        <v>1</v>
      </c>
      <c r="N9280" s="10"/>
      <c r="O9280" s="10"/>
      <c r="P9280" s="10" t="s">
        <v>42095</v>
      </c>
      <c r="Q9280" s="10">
        <v>378.00285000000002</v>
      </c>
      <c r="R9280" s="10" t="s">
        <v>42096</v>
      </c>
      <c r="S9280" s="10" t="s">
        <v>53</v>
      </c>
      <c r="T9280" s="10" t="s">
        <v>54</v>
      </c>
    </row>
    <row r="9281" spans="1:20" ht="14.5" x14ac:dyDescent="0.35">
      <c r="A9281" s="10" t="s">
        <v>42097</v>
      </c>
      <c r="B9281" s="10" t="str">
        <f>"9781443880169"</f>
        <v>9781443880169</v>
      </c>
      <c r="C9281" s="10" t="str">
        <f>"9781443883238"</f>
        <v>9781443883238</v>
      </c>
      <c r="D9281" s="10" t="s">
        <v>23635</v>
      </c>
      <c r="E9281" s="10" t="s">
        <v>23635</v>
      </c>
      <c r="F9281" s="10" t="s">
        <v>23636</v>
      </c>
      <c r="G9281" s="10" t="s">
        <v>6352</v>
      </c>
      <c r="H9281" s="11">
        <v>42285</v>
      </c>
      <c r="I9281" s="10">
        <v>2015</v>
      </c>
      <c r="J9281" s="10" t="s">
        <v>23635</v>
      </c>
      <c r="K9281" s="10">
        <v>256</v>
      </c>
      <c r="L9281" s="10" t="s">
        <v>42098</v>
      </c>
      <c r="M9281" s="10">
        <v>1</v>
      </c>
      <c r="N9281" s="10"/>
      <c r="O9281" s="10"/>
      <c r="P9281" s="10" t="s">
        <v>42099</v>
      </c>
      <c r="Q9281" s="10">
        <v>370.113</v>
      </c>
      <c r="R9281" s="10" t="s">
        <v>33570</v>
      </c>
      <c r="S9281" s="10" t="s">
        <v>53</v>
      </c>
      <c r="T9281" s="10" t="s">
        <v>54</v>
      </c>
    </row>
    <row r="9282" spans="1:20" ht="14.5" x14ac:dyDescent="0.35">
      <c r="A9282" s="10" t="s">
        <v>42100</v>
      </c>
      <c r="B9282" s="10" t="str">
        <f>"9781443875578"</f>
        <v>9781443875578</v>
      </c>
      <c r="C9282" s="10" t="str">
        <f>"9781443883948"</f>
        <v>9781443883948</v>
      </c>
      <c r="D9282" s="10" t="s">
        <v>23635</v>
      </c>
      <c r="E9282" s="10" t="s">
        <v>23635</v>
      </c>
      <c r="F9282" s="10" t="s">
        <v>23636</v>
      </c>
      <c r="G9282" s="10" t="s">
        <v>6352</v>
      </c>
      <c r="H9282" s="11">
        <v>42216</v>
      </c>
      <c r="I9282" s="10">
        <v>2015</v>
      </c>
      <c r="J9282" s="10" t="s">
        <v>23635</v>
      </c>
      <c r="K9282" s="10">
        <v>197</v>
      </c>
      <c r="L9282" s="10" t="s">
        <v>42101</v>
      </c>
      <c r="M9282" s="10">
        <v>1</v>
      </c>
      <c r="N9282" s="10"/>
      <c r="O9282" s="10"/>
      <c r="P9282" s="10" t="s">
        <v>42102</v>
      </c>
      <c r="Q9282" s="10">
        <v>428.43</v>
      </c>
      <c r="R9282" s="10" t="s">
        <v>32331</v>
      </c>
      <c r="S9282" s="10" t="s">
        <v>53</v>
      </c>
      <c r="T9282" s="10" t="s">
        <v>6498</v>
      </c>
    </row>
    <row r="9283" spans="1:20" ht="14.5" x14ac:dyDescent="0.35">
      <c r="A9283" s="10" t="s">
        <v>42103</v>
      </c>
      <c r="B9283" s="10" t="str">
        <f>"9781443875615"</f>
        <v>9781443875615</v>
      </c>
      <c r="C9283" s="10" t="str">
        <f>"9781443884624"</f>
        <v>9781443884624</v>
      </c>
      <c r="D9283" s="10" t="s">
        <v>23635</v>
      </c>
      <c r="E9283" s="10" t="s">
        <v>23635</v>
      </c>
      <c r="F9283" s="10" t="s">
        <v>23636</v>
      </c>
      <c r="G9283" s="10" t="s">
        <v>6352</v>
      </c>
      <c r="H9283" s="11">
        <v>42303</v>
      </c>
      <c r="I9283" s="10">
        <v>2015</v>
      </c>
      <c r="J9283" s="10" t="s">
        <v>23635</v>
      </c>
      <c r="K9283" s="10">
        <v>648</v>
      </c>
      <c r="L9283" s="10" t="s">
        <v>42104</v>
      </c>
      <c r="M9283" s="10">
        <v>1</v>
      </c>
      <c r="N9283" s="10" t="s">
        <v>42105</v>
      </c>
      <c r="O9283" s="10"/>
      <c r="P9283" s="10" t="s">
        <v>42106</v>
      </c>
      <c r="Q9283" s="10">
        <v>956.93</v>
      </c>
      <c r="R9283" s="10" t="s">
        <v>42107</v>
      </c>
      <c r="S9283" s="10" t="s">
        <v>53</v>
      </c>
      <c r="T9283" s="10" t="s">
        <v>4490</v>
      </c>
    </row>
    <row r="9284" spans="1:20" ht="14.5" x14ac:dyDescent="0.35">
      <c r="A9284" s="10" t="s">
        <v>42108</v>
      </c>
      <c r="B9284" s="10" t="str">
        <f>"9781443880985"</f>
        <v>9781443880985</v>
      </c>
      <c r="C9284" s="10" t="str">
        <f>"9781443884723"</f>
        <v>9781443884723</v>
      </c>
      <c r="D9284" s="10" t="s">
        <v>23635</v>
      </c>
      <c r="E9284" s="10" t="s">
        <v>23635</v>
      </c>
      <c r="F9284" s="10" t="s">
        <v>23636</v>
      </c>
      <c r="G9284" s="10" t="s">
        <v>6352</v>
      </c>
      <c r="H9284" s="11">
        <v>42339</v>
      </c>
      <c r="I9284" s="10">
        <v>2015</v>
      </c>
      <c r="J9284" s="10" t="s">
        <v>23635</v>
      </c>
      <c r="K9284" s="10">
        <v>236</v>
      </c>
      <c r="L9284" s="10" t="s">
        <v>42109</v>
      </c>
      <c r="M9284" s="10">
        <v>1</v>
      </c>
      <c r="N9284" s="10"/>
      <c r="O9284" s="10"/>
      <c r="P9284" s="10" t="s">
        <v>42110</v>
      </c>
      <c r="Q9284" s="10">
        <v>371.33446780000003</v>
      </c>
      <c r="R9284" s="10" t="s">
        <v>42111</v>
      </c>
      <c r="S9284" s="10" t="s">
        <v>53</v>
      </c>
      <c r="T9284" s="10" t="s">
        <v>54</v>
      </c>
    </row>
    <row r="9285" spans="1:20" ht="14.5" x14ac:dyDescent="0.35">
      <c r="A9285" s="10" t="s">
        <v>42112</v>
      </c>
      <c r="B9285" s="10" t="str">
        <f>"9781443882712"</f>
        <v>9781443882712</v>
      </c>
      <c r="C9285" s="10" t="str">
        <f>"9781443885652"</f>
        <v>9781443885652</v>
      </c>
      <c r="D9285" s="10" t="s">
        <v>23635</v>
      </c>
      <c r="E9285" s="10" t="s">
        <v>23635</v>
      </c>
      <c r="F9285" s="10" t="s">
        <v>24478</v>
      </c>
      <c r="G9285" s="10" t="s">
        <v>6352</v>
      </c>
      <c r="H9285" s="11">
        <v>42319</v>
      </c>
      <c r="I9285" s="10">
        <v>2015</v>
      </c>
      <c r="J9285" s="10" t="s">
        <v>23635</v>
      </c>
      <c r="K9285" s="10">
        <v>322</v>
      </c>
      <c r="L9285" s="10" t="s">
        <v>42113</v>
      </c>
      <c r="M9285" s="10">
        <v>1</v>
      </c>
      <c r="N9285" s="10" t="s">
        <v>42073</v>
      </c>
      <c r="O9285" s="10"/>
      <c r="P9285" s="10" t="s">
        <v>42114</v>
      </c>
      <c r="Q9285" s="10">
        <v>303.37207110000003</v>
      </c>
      <c r="R9285" s="10" t="s">
        <v>42115</v>
      </c>
      <c r="S9285" s="10" t="s">
        <v>53</v>
      </c>
      <c r="T9285" s="10" t="s">
        <v>6526</v>
      </c>
    </row>
    <row r="9286" spans="1:20" ht="14.5" x14ac:dyDescent="0.35">
      <c r="A9286" s="10" t="s">
        <v>42116</v>
      </c>
      <c r="B9286" s="10" t="str">
        <f>"9781443880046"</f>
        <v>9781443880046</v>
      </c>
      <c r="C9286" s="10" t="str">
        <f>"9781443886376"</f>
        <v>9781443886376</v>
      </c>
      <c r="D9286" s="10" t="s">
        <v>23635</v>
      </c>
      <c r="E9286" s="10" t="s">
        <v>23635</v>
      </c>
      <c r="F9286" s="10" t="s">
        <v>23636</v>
      </c>
      <c r="G9286" s="10" t="s">
        <v>6352</v>
      </c>
      <c r="H9286" s="11">
        <v>42409</v>
      </c>
      <c r="I9286" s="10">
        <v>2015</v>
      </c>
      <c r="J9286" s="10" t="s">
        <v>23635</v>
      </c>
      <c r="K9286" s="10">
        <v>408</v>
      </c>
      <c r="L9286" s="10" t="s">
        <v>42117</v>
      </c>
      <c r="M9286" s="10">
        <v>1</v>
      </c>
      <c r="N9286" s="10"/>
      <c r="O9286" s="10"/>
      <c r="P9286" s="10" t="s">
        <v>42118</v>
      </c>
      <c r="Q9286" s="10">
        <v>370.71100000000001</v>
      </c>
      <c r="R9286" s="10" t="s">
        <v>33352</v>
      </c>
      <c r="S9286" s="10" t="s">
        <v>53</v>
      </c>
      <c r="T9286" s="10" t="s">
        <v>54</v>
      </c>
    </row>
    <row r="9287" spans="1:20" ht="14.5" x14ac:dyDescent="0.35">
      <c r="A9287" s="10" t="s">
        <v>42119</v>
      </c>
      <c r="B9287" s="10" t="str">
        <f>"9781443885126"</f>
        <v>9781443885126</v>
      </c>
      <c r="C9287" s="10" t="str">
        <f>"9781443887595"</f>
        <v>9781443887595</v>
      </c>
      <c r="D9287" s="10" t="s">
        <v>23635</v>
      </c>
      <c r="E9287" s="10" t="s">
        <v>23635</v>
      </c>
      <c r="F9287" s="10" t="s">
        <v>23636</v>
      </c>
      <c r="G9287" s="10" t="s">
        <v>6352</v>
      </c>
      <c r="H9287" s="11">
        <v>42342</v>
      </c>
      <c r="I9287" s="10">
        <v>2016</v>
      </c>
      <c r="J9287" s="10" t="s">
        <v>23635</v>
      </c>
      <c r="K9287" s="10">
        <v>413</v>
      </c>
      <c r="L9287" s="10" t="s">
        <v>42120</v>
      </c>
      <c r="M9287" s="10">
        <v>1</v>
      </c>
      <c r="N9287" s="10"/>
      <c r="O9287" s="10"/>
      <c r="P9287" s="10" t="s">
        <v>42121</v>
      </c>
      <c r="Q9287" s="10">
        <v>701.8</v>
      </c>
      <c r="R9287" s="10" t="s">
        <v>42122</v>
      </c>
      <c r="S9287" s="10" t="s">
        <v>53</v>
      </c>
      <c r="T9287" s="10" t="s">
        <v>6384</v>
      </c>
    </row>
    <row r="9288" spans="1:20" ht="14.5" x14ac:dyDescent="0.35">
      <c r="A9288" s="10" t="s">
        <v>42123</v>
      </c>
      <c r="B9288" s="10" t="str">
        <f>"9781443885836"</f>
        <v>9781443885836</v>
      </c>
      <c r="C9288" s="10" t="str">
        <f>"9781443887656"</f>
        <v>9781443887656</v>
      </c>
      <c r="D9288" s="10" t="s">
        <v>23635</v>
      </c>
      <c r="E9288" s="10" t="s">
        <v>23635</v>
      </c>
      <c r="F9288" s="10" t="s">
        <v>23636</v>
      </c>
      <c r="G9288" s="10" t="s">
        <v>6352</v>
      </c>
      <c r="H9288" s="11">
        <v>42377</v>
      </c>
      <c r="I9288" s="10">
        <v>2016</v>
      </c>
      <c r="J9288" s="10" t="s">
        <v>23635</v>
      </c>
      <c r="K9288" s="10">
        <v>238</v>
      </c>
      <c r="L9288" s="10" t="s">
        <v>42124</v>
      </c>
      <c r="M9288" s="10">
        <v>1</v>
      </c>
      <c r="N9288" s="10"/>
      <c r="O9288" s="10"/>
      <c r="P9288" s="10" t="s">
        <v>42125</v>
      </c>
      <c r="Q9288" s="10">
        <v>378.01</v>
      </c>
      <c r="R9288" s="10" t="s">
        <v>42126</v>
      </c>
      <c r="S9288" s="10" t="s">
        <v>53</v>
      </c>
      <c r="T9288" s="10" t="s">
        <v>54</v>
      </c>
    </row>
    <row r="9289" spans="1:20" ht="14.5" x14ac:dyDescent="0.35">
      <c r="A9289" s="10" t="s">
        <v>42127</v>
      </c>
      <c r="B9289" s="10" t="str">
        <f>"9781443885355"</f>
        <v>9781443885355</v>
      </c>
      <c r="C9289" s="10" t="str">
        <f>"9781443888639"</f>
        <v>9781443888639</v>
      </c>
      <c r="D9289" s="10" t="s">
        <v>23635</v>
      </c>
      <c r="E9289" s="10" t="s">
        <v>23635</v>
      </c>
      <c r="F9289" s="10" t="s">
        <v>23636</v>
      </c>
      <c r="G9289" s="10" t="s">
        <v>6352</v>
      </c>
      <c r="H9289" s="11">
        <v>42429</v>
      </c>
      <c r="I9289" s="10">
        <v>2016</v>
      </c>
      <c r="J9289" s="10" t="s">
        <v>23635</v>
      </c>
      <c r="K9289" s="10">
        <v>372</v>
      </c>
      <c r="L9289" s="10" t="s">
        <v>42128</v>
      </c>
      <c r="M9289" s="10">
        <v>1</v>
      </c>
      <c r="N9289" s="10"/>
      <c r="O9289" s="10"/>
      <c r="P9289" s="10" t="s">
        <v>42129</v>
      </c>
      <c r="Q9289" s="10">
        <v>370.15199999999902</v>
      </c>
      <c r="R9289" s="10" t="s">
        <v>41006</v>
      </c>
      <c r="S9289" s="10" t="s">
        <v>53</v>
      </c>
      <c r="T9289" s="10" t="s">
        <v>54</v>
      </c>
    </row>
    <row r="9290" spans="1:20" ht="14.5" x14ac:dyDescent="0.35">
      <c r="A9290" s="10" t="s">
        <v>42130</v>
      </c>
      <c r="B9290" s="10" t="str">
        <f>"9781443885256"</f>
        <v>9781443885256</v>
      </c>
      <c r="C9290" s="10" t="str">
        <f>"9781443888691"</f>
        <v>9781443888691</v>
      </c>
      <c r="D9290" s="10" t="s">
        <v>23635</v>
      </c>
      <c r="E9290" s="10" t="s">
        <v>23635</v>
      </c>
      <c r="F9290" s="10" t="s">
        <v>23636</v>
      </c>
      <c r="G9290" s="10" t="s">
        <v>6352</v>
      </c>
      <c r="H9290" s="11">
        <v>42411</v>
      </c>
      <c r="I9290" s="10">
        <v>2016</v>
      </c>
      <c r="J9290" s="10" t="s">
        <v>23635</v>
      </c>
      <c r="K9290" s="10">
        <v>167</v>
      </c>
      <c r="L9290" s="10" t="s">
        <v>42131</v>
      </c>
      <c r="M9290" s="10">
        <v>1</v>
      </c>
      <c r="N9290" s="10"/>
      <c r="O9290" s="10"/>
      <c r="P9290" s="10" t="s">
        <v>42132</v>
      </c>
      <c r="Q9290" s="10">
        <v>370.1</v>
      </c>
      <c r="R9290" s="10" t="s">
        <v>17321</v>
      </c>
      <c r="S9290" s="10" t="s">
        <v>53</v>
      </c>
      <c r="T9290" s="10" t="s">
        <v>54</v>
      </c>
    </row>
    <row r="9291" spans="1:20" ht="14.5" x14ac:dyDescent="0.35">
      <c r="A9291" s="10" t="s">
        <v>42133</v>
      </c>
      <c r="B9291" s="10" t="str">
        <f>"9781443885959"</f>
        <v>9781443885959</v>
      </c>
      <c r="C9291" s="10" t="str">
        <f>"9781443889377"</f>
        <v>9781443889377</v>
      </c>
      <c r="D9291" s="10" t="s">
        <v>23635</v>
      </c>
      <c r="E9291" s="10" t="s">
        <v>23635</v>
      </c>
      <c r="F9291" s="10" t="s">
        <v>23636</v>
      </c>
      <c r="G9291" s="10" t="s">
        <v>6352</v>
      </c>
      <c r="H9291" s="11">
        <v>42416</v>
      </c>
      <c r="I9291" s="10">
        <v>2016</v>
      </c>
      <c r="J9291" s="10" t="s">
        <v>23635</v>
      </c>
      <c r="K9291" s="10">
        <v>231</v>
      </c>
      <c r="L9291" s="10" t="s">
        <v>42134</v>
      </c>
      <c r="M9291" s="10">
        <v>1</v>
      </c>
      <c r="N9291" s="10"/>
      <c r="O9291" s="10"/>
      <c r="P9291" s="10" t="s">
        <v>42135</v>
      </c>
      <c r="Q9291" s="10">
        <v>372.24099999999902</v>
      </c>
      <c r="R9291" s="10" t="s">
        <v>42136</v>
      </c>
      <c r="S9291" s="10" t="s">
        <v>53</v>
      </c>
      <c r="T9291" s="10" t="s">
        <v>54</v>
      </c>
    </row>
    <row r="9292" spans="1:20" ht="14.5" x14ac:dyDescent="0.35">
      <c r="A9292" s="10" t="s">
        <v>42137</v>
      </c>
      <c r="B9292" s="10" t="str">
        <f>"9781443888929"</f>
        <v>9781443888929</v>
      </c>
      <c r="C9292" s="10" t="str">
        <f>"9781443889537"</f>
        <v>9781443889537</v>
      </c>
      <c r="D9292" s="10" t="s">
        <v>23635</v>
      </c>
      <c r="E9292" s="10" t="s">
        <v>23635</v>
      </c>
      <c r="F9292" s="10" t="s">
        <v>23636</v>
      </c>
      <c r="G9292" s="10" t="s">
        <v>6352</v>
      </c>
      <c r="H9292" s="11">
        <v>42431</v>
      </c>
      <c r="I9292" s="10">
        <v>2016</v>
      </c>
      <c r="J9292" s="10" t="s">
        <v>23635</v>
      </c>
      <c r="K9292" s="10">
        <v>230</v>
      </c>
      <c r="L9292" s="10" t="s">
        <v>42138</v>
      </c>
      <c r="M9292" s="10">
        <v>1</v>
      </c>
      <c r="N9292" s="10"/>
      <c r="O9292" s="10"/>
      <c r="P9292" s="10" t="s">
        <v>42139</v>
      </c>
      <c r="Q9292" s="10">
        <v>370</v>
      </c>
      <c r="R9292" s="10" t="s">
        <v>42140</v>
      </c>
      <c r="S9292" s="10" t="s">
        <v>53</v>
      </c>
      <c r="T9292" s="10" t="s">
        <v>54</v>
      </c>
    </row>
    <row r="9293" spans="1:20" ht="14.5" x14ac:dyDescent="0.35">
      <c r="A9293" s="10" t="s">
        <v>42141</v>
      </c>
      <c r="B9293" s="10" t="str">
        <f>"9781443881166"</f>
        <v>9781443881166</v>
      </c>
      <c r="C9293" s="10" t="str">
        <f>"9781443889551"</f>
        <v>9781443889551</v>
      </c>
      <c r="D9293" s="10" t="s">
        <v>23635</v>
      </c>
      <c r="E9293" s="10" t="s">
        <v>23635</v>
      </c>
      <c r="F9293" s="10" t="s">
        <v>23636</v>
      </c>
      <c r="G9293" s="10" t="s">
        <v>6352</v>
      </c>
      <c r="H9293" s="11">
        <v>42430</v>
      </c>
      <c r="I9293" s="10">
        <v>2016</v>
      </c>
      <c r="J9293" s="10" t="s">
        <v>23635</v>
      </c>
      <c r="K9293" s="10">
        <v>472</v>
      </c>
      <c r="L9293" s="10" t="s">
        <v>42142</v>
      </c>
      <c r="M9293" s="10">
        <v>1</v>
      </c>
      <c r="N9293" s="10"/>
      <c r="O9293" s="10"/>
      <c r="P9293" s="10" t="s">
        <v>42143</v>
      </c>
      <c r="Q9293" s="10">
        <v>374.00899607299903</v>
      </c>
      <c r="R9293" s="10" t="s">
        <v>42144</v>
      </c>
      <c r="S9293" s="10" t="s">
        <v>53</v>
      </c>
      <c r="T9293" s="10" t="s">
        <v>54</v>
      </c>
    </row>
    <row r="9294" spans="1:20" ht="14.5" x14ac:dyDescent="0.35">
      <c r="A9294" s="10" t="s">
        <v>42145</v>
      </c>
      <c r="B9294" s="10" t="str">
        <f>"9781443877091"</f>
        <v>9781443877091</v>
      </c>
      <c r="C9294" s="10" t="str">
        <f>"9781443890038"</f>
        <v>9781443890038</v>
      </c>
      <c r="D9294" s="10" t="s">
        <v>23635</v>
      </c>
      <c r="E9294" s="10" t="s">
        <v>23635</v>
      </c>
      <c r="F9294" s="10" t="s">
        <v>23636</v>
      </c>
      <c r="G9294" s="10" t="s">
        <v>6352</v>
      </c>
      <c r="H9294" s="11">
        <v>42436</v>
      </c>
      <c r="I9294" s="10">
        <v>2016</v>
      </c>
      <c r="J9294" s="10" t="s">
        <v>23635</v>
      </c>
      <c r="K9294" s="10">
        <v>377</v>
      </c>
      <c r="L9294" s="10" t="s">
        <v>42146</v>
      </c>
      <c r="M9294" s="10">
        <v>1</v>
      </c>
      <c r="N9294" s="10"/>
      <c r="O9294" s="10"/>
      <c r="P9294" s="10" t="s">
        <v>42147</v>
      </c>
      <c r="Q9294" s="10">
        <v>371.33499999999901</v>
      </c>
      <c r="R9294" s="10" t="s">
        <v>42148</v>
      </c>
      <c r="S9294" s="10" t="s">
        <v>53</v>
      </c>
      <c r="T9294" s="10" t="s">
        <v>54</v>
      </c>
    </row>
    <row r="9295" spans="1:20" ht="14.5" x14ac:dyDescent="0.35">
      <c r="A9295" s="10" t="s">
        <v>42149</v>
      </c>
      <c r="B9295" s="10" t="str">
        <f>"9781443887236"</f>
        <v>9781443887236</v>
      </c>
      <c r="C9295" s="10" t="str">
        <f>"9781443890069"</f>
        <v>9781443890069</v>
      </c>
      <c r="D9295" s="10" t="s">
        <v>23635</v>
      </c>
      <c r="E9295" s="10" t="s">
        <v>23635</v>
      </c>
      <c r="F9295" s="10" t="s">
        <v>23636</v>
      </c>
      <c r="G9295" s="10" t="s">
        <v>6352</v>
      </c>
      <c r="H9295" s="11">
        <v>42450</v>
      </c>
      <c r="I9295" s="10">
        <v>2016</v>
      </c>
      <c r="J9295" s="10" t="s">
        <v>23635</v>
      </c>
      <c r="K9295" s="10">
        <v>292</v>
      </c>
      <c r="L9295" s="10" t="s">
        <v>42150</v>
      </c>
      <c r="M9295" s="10">
        <v>1</v>
      </c>
      <c r="N9295" s="10"/>
      <c r="O9295" s="10"/>
      <c r="P9295" s="10" t="s">
        <v>42151</v>
      </c>
      <c r="Q9295" s="10">
        <v>418.00709999999901</v>
      </c>
      <c r="R9295" s="10" t="s">
        <v>42152</v>
      </c>
      <c r="S9295" s="10" t="s">
        <v>53</v>
      </c>
      <c r="T9295" s="10" t="s">
        <v>6616</v>
      </c>
    </row>
    <row r="9296" spans="1:20" ht="14.5" x14ac:dyDescent="0.35">
      <c r="A9296" s="10" t="s">
        <v>42153</v>
      </c>
      <c r="B9296" s="10" t="str">
        <f>"9781443890700"</f>
        <v>9781443890700</v>
      </c>
      <c r="C9296" s="10" t="str">
        <f>"9781443892049"</f>
        <v>9781443892049</v>
      </c>
      <c r="D9296" s="10" t="s">
        <v>23635</v>
      </c>
      <c r="E9296" s="10" t="s">
        <v>23635</v>
      </c>
      <c r="F9296" s="10" t="s">
        <v>23636</v>
      </c>
      <c r="G9296" s="10" t="s">
        <v>6352</v>
      </c>
      <c r="H9296" s="11">
        <v>42499</v>
      </c>
      <c r="I9296" s="10">
        <v>2016</v>
      </c>
      <c r="J9296" s="10" t="s">
        <v>23635</v>
      </c>
      <c r="K9296" s="10">
        <v>222</v>
      </c>
      <c r="L9296" s="10" t="s">
        <v>42154</v>
      </c>
      <c r="M9296" s="10">
        <v>1</v>
      </c>
      <c r="N9296" s="10"/>
      <c r="O9296" s="10"/>
      <c r="P9296" s="10" t="s">
        <v>42155</v>
      </c>
      <c r="Q9296" s="10">
        <v>371.10199999999901</v>
      </c>
      <c r="R9296" s="10" t="s">
        <v>42156</v>
      </c>
      <c r="S9296" s="10" t="s">
        <v>53</v>
      </c>
      <c r="T9296" s="10" t="s">
        <v>54</v>
      </c>
    </row>
    <row r="9297" spans="1:20" ht="14.5" x14ac:dyDescent="0.35">
      <c r="A9297" s="10" t="s">
        <v>42157</v>
      </c>
      <c r="B9297" s="10" t="str">
        <f>"9781443890281"</f>
        <v>9781443890281</v>
      </c>
      <c r="C9297" s="10" t="str">
        <f>"9781443892988"</f>
        <v>9781443892988</v>
      </c>
      <c r="D9297" s="10" t="s">
        <v>23635</v>
      </c>
      <c r="E9297" s="10" t="s">
        <v>23635</v>
      </c>
      <c r="F9297" s="10" t="s">
        <v>23636</v>
      </c>
      <c r="G9297" s="10" t="s">
        <v>6352</v>
      </c>
      <c r="H9297" s="11">
        <v>42495</v>
      </c>
      <c r="I9297" s="10">
        <v>2016</v>
      </c>
      <c r="J9297" s="10" t="s">
        <v>23635</v>
      </c>
      <c r="K9297" s="10">
        <v>325</v>
      </c>
      <c r="L9297" s="10" t="s">
        <v>42158</v>
      </c>
      <c r="M9297" s="10">
        <v>1</v>
      </c>
      <c r="N9297" s="10"/>
      <c r="O9297" s="10"/>
      <c r="P9297" s="10" t="s">
        <v>42159</v>
      </c>
      <c r="Q9297" s="10">
        <v>379.15800000000002</v>
      </c>
      <c r="R9297" s="10" t="s">
        <v>31356</v>
      </c>
      <c r="S9297" s="10" t="s">
        <v>53</v>
      </c>
      <c r="T9297" s="10" t="s">
        <v>54</v>
      </c>
    </row>
    <row r="9298" spans="1:20" ht="14.5" x14ac:dyDescent="0.35">
      <c r="A9298" s="10" t="s">
        <v>42160</v>
      </c>
      <c r="B9298" s="10" t="str">
        <f>"9781443890359"</f>
        <v>9781443890359</v>
      </c>
      <c r="C9298" s="10" t="str">
        <f>"9781443894272"</f>
        <v>9781443894272</v>
      </c>
      <c r="D9298" s="10" t="s">
        <v>23635</v>
      </c>
      <c r="E9298" s="10" t="s">
        <v>23635</v>
      </c>
      <c r="F9298" s="10" t="s">
        <v>23636</v>
      </c>
      <c r="G9298" s="10" t="s">
        <v>6352</v>
      </c>
      <c r="H9298" s="11">
        <v>42507</v>
      </c>
      <c r="I9298" s="10">
        <v>2016</v>
      </c>
      <c r="J9298" s="10" t="s">
        <v>23635</v>
      </c>
      <c r="K9298" s="10">
        <v>300</v>
      </c>
      <c r="L9298" s="10" t="s">
        <v>42161</v>
      </c>
      <c r="M9298" s="10">
        <v>1</v>
      </c>
      <c r="N9298" s="10"/>
      <c r="O9298" s="10"/>
      <c r="P9298" s="10" t="s">
        <v>42162</v>
      </c>
      <c r="Q9298" s="10">
        <v>371.10199999999901</v>
      </c>
      <c r="R9298" s="10" t="s">
        <v>42163</v>
      </c>
      <c r="S9298" s="10" t="s">
        <v>53</v>
      </c>
      <c r="T9298" s="10" t="s">
        <v>54</v>
      </c>
    </row>
    <row r="9299" spans="1:20" ht="14.5" x14ac:dyDescent="0.35">
      <c r="A9299" s="10" t="s">
        <v>42164</v>
      </c>
      <c r="B9299" s="10" t="str">
        <f>"9780804011723"</f>
        <v>9780804011723</v>
      </c>
      <c r="C9299" s="10" t="str">
        <f>"9780804040723"</f>
        <v>9780804040723</v>
      </c>
      <c r="D9299" s="10" t="s">
        <v>28711</v>
      </c>
      <c r="E9299" s="10" t="s">
        <v>28711</v>
      </c>
      <c r="F9299" s="10" t="s">
        <v>28712</v>
      </c>
      <c r="G9299" s="10" t="s">
        <v>6317</v>
      </c>
      <c r="H9299" s="11">
        <v>42566</v>
      </c>
      <c r="I9299" s="10">
        <v>2016</v>
      </c>
      <c r="J9299" s="10" t="s">
        <v>33130</v>
      </c>
      <c r="K9299" s="10">
        <v>144</v>
      </c>
      <c r="L9299" s="10" t="s">
        <v>42165</v>
      </c>
      <c r="M9299" s="10">
        <v>1</v>
      </c>
      <c r="N9299" s="10"/>
      <c r="O9299" s="10"/>
      <c r="P9299" s="10" t="s">
        <v>42166</v>
      </c>
      <c r="Q9299" s="10" t="s">
        <v>42167</v>
      </c>
      <c r="R9299" s="10" t="s">
        <v>42168</v>
      </c>
      <c r="S9299" s="10" t="s">
        <v>53</v>
      </c>
      <c r="T9299" s="10" t="s">
        <v>6881</v>
      </c>
    </row>
    <row r="9300" spans="1:20" ht="14.5" x14ac:dyDescent="0.35">
      <c r="A9300" s="10" t="s">
        <v>42169</v>
      </c>
      <c r="B9300" s="10" t="str">
        <f>"9781408176245"</f>
        <v>9781408176245</v>
      </c>
      <c r="C9300" s="10" t="str">
        <f>"9781472941640"</f>
        <v>9781472941640</v>
      </c>
      <c r="D9300" s="10" t="s">
        <v>13959</v>
      </c>
      <c r="E9300" s="10" t="s">
        <v>13960</v>
      </c>
      <c r="F9300" s="10" t="s">
        <v>139</v>
      </c>
      <c r="G9300" s="10" t="s">
        <v>6352</v>
      </c>
      <c r="H9300" s="11">
        <v>41109</v>
      </c>
      <c r="I9300" s="10">
        <v>2016</v>
      </c>
      <c r="J9300" s="10" t="s">
        <v>25203</v>
      </c>
      <c r="K9300" s="10">
        <v>130</v>
      </c>
      <c r="L9300" s="10" t="s">
        <v>42170</v>
      </c>
      <c r="M9300" s="10">
        <v>1</v>
      </c>
      <c r="N9300" s="10"/>
      <c r="O9300" s="10"/>
      <c r="P9300" s="10" t="s">
        <v>42171</v>
      </c>
      <c r="Q9300" s="10">
        <v>790.19219999999996</v>
      </c>
      <c r="R9300" s="10" t="s">
        <v>42172</v>
      </c>
      <c r="S9300" s="10" t="s">
        <v>53</v>
      </c>
      <c r="T9300" s="10" t="s">
        <v>6815</v>
      </c>
    </row>
    <row r="9301" spans="1:20" ht="14.5" x14ac:dyDescent="0.35">
      <c r="A9301" s="10" t="s">
        <v>42173</v>
      </c>
      <c r="B9301" s="10" t="str">
        <f>""</f>
        <v/>
      </c>
      <c r="C9301" s="10" t="str">
        <f>"9781119245360"</f>
        <v>9781119245360</v>
      </c>
      <c r="D9301" s="10" t="s">
        <v>6322</v>
      </c>
      <c r="E9301" s="10" t="s">
        <v>6323</v>
      </c>
      <c r="F9301" s="10" t="s">
        <v>4423</v>
      </c>
      <c r="G9301" s="10" t="s">
        <v>6317</v>
      </c>
      <c r="H9301" s="11">
        <v>42534</v>
      </c>
      <c r="I9301" s="10">
        <v>2016</v>
      </c>
      <c r="J9301" s="10" t="s">
        <v>6323</v>
      </c>
      <c r="K9301" s="10">
        <v>218</v>
      </c>
      <c r="L9301" s="10" t="s">
        <v>42174</v>
      </c>
      <c r="M9301" s="10">
        <v>1</v>
      </c>
      <c r="N9301" s="10" t="s">
        <v>42175</v>
      </c>
      <c r="O9301" s="10"/>
      <c r="P9301" s="10"/>
      <c r="Q9301" s="10">
        <v>378.101</v>
      </c>
      <c r="R9301" s="10" t="s">
        <v>42176</v>
      </c>
      <c r="S9301" s="10" t="s">
        <v>53</v>
      </c>
      <c r="T9301" s="10" t="s">
        <v>54</v>
      </c>
    </row>
    <row r="9302" spans="1:20" ht="14.5" x14ac:dyDescent="0.35">
      <c r="A9302" s="10" t="s">
        <v>42177</v>
      </c>
      <c r="B9302" s="10" t="str">
        <f>"9781936763108"</f>
        <v>9781936763108</v>
      </c>
      <c r="C9302" s="10" t="str">
        <f>"9781934009550"</f>
        <v>9781934009550</v>
      </c>
      <c r="D9302" s="10" t="s">
        <v>37580</v>
      </c>
      <c r="E9302" s="10" t="s">
        <v>37581</v>
      </c>
      <c r="F9302" s="10" t="s">
        <v>37623</v>
      </c>
      <c r="G9302" s="10" t="s">
        <v>6317</v>
      </c>
      <c r="H9302" s="11">
        <v>42328</v>
      </c>
      <c r="I9302" s="10">
        <v>2016</v>
      </c>
      <c r="J9302" s="10" t="s">
        <v>37581</v>
      </c>
      <c r="K9302" s="10">
        <v>128</v>
      </c>
      <c r="L9302" s="10" t="s">
        <v>42178</v>
      </c>
      <c r="M9302" s="10">
        <v>1</v>
      </c>
      <c r="N9302" s="10"/>
      <c r="O9302" s="10"/>
      <c r="P9302" s="10" t="s">
        <v>42179</v>
      </c>
      <c r="Q9302" s="10">
        <v>371.33</v>
      </c>
      <c r="R9302" s="10" t="s">
        <v>42180</v>
      </c>
      <c r="S9302" s="10" t="s">
        <v>53</v>
      </c>
      <c r="T9302" s="10" t="s">
        <v>54</v>
      </c>
    </row>
    <row r="9303" spans="1:20" ht="14.5" x14ac:dyDescent="0.35">
      <c r="A9303" s="10" t="s">
        <v>42181</v>
      </c>
      <c r="B9303" s="10" t="str">
        <f>"9781936763993"</f>
        <v>9781936763993</v>
      </c>
      <c r="C9303" s="10" t="str">
        <f>"9781935249450"</f>
        <v>9781935249450</v>
      </c>
      <c r="D9303" s="10" t="s">
        <v>37580</v>
      </c>
      <c r="E9303" s="10" t="s">
        <v>37581</v>
      </c>
      <c r="F9303" s="10" t="s">
        <v>37623</v>
      </c>
      <c r="G9303" s="10" t="s">
        <v>6317</v>
      </c>
      <c r="H9303" s="11">
        <v>42433</v>
      </c>
      <c r="I9303" s="10">
        <v>2016</v>
      </c>
      <c r="J9303" s="10" t="s">
        <v>37581</v>
      </c>
      <c r="K9303" s="10">
        <v>144</v>
      </c>
      <c r="L9303" s="10" t="s">
        <v>42182</v>
      </c>
      <c r="M9303" s="10">
        <v>1</v>
      </c>
      <c r="N9303" s="10"/>
      <c r="O9303" s="10"/>
      <c r="P9303" s="10" t="s">
        <v>42183</v>
      </c>
      <c r="Q9303" s="10" t="s">
        <v>22489</v>
      </c>
      <c r="R9303" s="10" t="s">
        <v>42184</v>
      </c>
      <c r="S9303" s="10" t="s">
        <v>53</v>
      </c>
      <c r="T9303" s="10" t="s">
        <v>54</v>
      </c>
    </row>
    <row r="9304" spans="1:20" ht="14.5" x14ac:dyDescent="0.35">
      <c r="A9304" s="10" t="s">
        <v>42185</v>
      </c>
      <c r="B9304" s="10" t="str">
        <f>"9781935249467"</f>
        <v>9781935249467</v>
      </c>
      <c r="C9304" s="10" t="str">
        <f>"9781935249474"</f>
        <v>9781935249474</v>
      </c>
      <c r="D9304" s="10" t="s">
        <v>37580</v>
      </c>
      <c r="E9304" s="10" t="s">
        <v>37581</v>
      </c>
      <c r="F9304" s="10" t="s">
        <v>37623</v>
      </c>
      <c r="G9304" s="10" t="s">
        <v>6317</v>
      </c>
      <c r="H9304" s="11">
        <v>42496</v>
      </c>
      <c r="I9304" s="10">
        <v>2016</v>
      </c>
      <c r="J9304" s="10" t="s">
        <v>37581</v>
      </c>
      <c r="K9304" s="10">
        <v>184</v>
      </c>
      <c r="L9304" s="10" t="s">
        <v>20152</v>
      </c>
      <c r="M9304" s="10">
        <v>1</v>
      </c>
      <c r="N9304" s="10"/>
      <c r="O9304" s="10"/>
      <c r="P9304" s="10" t="s">
        <v>42186</v>
      </c>
      <c r="Q9304" s="10"/>
      <c r="R9304" s="10" t="s">
        <v>42187</v>
      </c>
      <c r="S9304" s="10" t="s">
        <v>53</v>
      </c>
      <c r="T9304" s="10" t="s">
        <v>54</v>
      </c>
    </row>
    <row r="9305" spans="1:20" ht="14.5" x14ac:dyDescent="0.35">
      <c r="A9305" s="10" t="s">
        <v>42188</v>
      </c>
      <c r="B9305" s="10" t="str">
        <f>"9781935542933"</f>
        <v>9781935542933</v>
      </c>
      <c r="C9305" s="10" t="str">
        <f>"9781935542957"</f>
        <v>9781935542957</v>
      </c>
      <c r="D9305" s="10" t="s">
        <v>37580</v>
      </c>
      <c r="E9305" s="10" t="s">
        <v>37581</v>
      </c>
      <c r="F9305" s="10" t="s">
        <v>37623</v>
      </c>
      <c r="G9305" s="10" t="s">
        <v>6317</v>
      </c>
      <c r="H9305" s="11">
        <v>42216</v>
      </c>
      <c r="I9305" s="10">
        <v>2016</v>
      </c>
      <c r="J9305" s="10" t="s">
        <v>37581</v>
      </c>
      <c r="K9305" s="10">
        <v>216</v>
      </c>
      <c r="L9305" s="10" t="s">
        <v>42189</v>
      </c>
      <c r="M9305" s="10">
        <v>1</v>
      </c>
      <c r="N9305" s="10" t="s">
        <v>37604</v>
      </c>
      <c r="O9305" s="10"/>
      <c r="P9305" s="10" t="s">
        <v>42190</v>
      </c>
      <c r="Q9305" s="10"/>
      <c r="R9305" s="10"/>
      <c r="S9305" s="10" t="s">
        <v>53</v>
      </c>
      <c r="T9305" s="10" t="s">
        <v>54</v>
      </c>
    </row>
    <row r="9306" spans="1:20" ht="14.5" x14ac:dyDescent="0.35">
      <c r="A9306" s="10" t="s">
        <v>42191</v>
      </c>
      <c r="B9306" s="10" t="str">
        <f>"9781936764419"</f>
        <v>9781936764419</v>
      </c>
      <c r="C9306" s="10" t="str">
        <f>"9781935543312"</f>
        <v>9781935543312</v>
      </c>
      <c r="D9306" s="10" t="s">
        <v>37580</v>
      </c>
      <c r="E9306" s="10" t="s">
        <v>37581</v>
      </c>
      <c r="F9306" s="10" t="s">
        <v>37623</v>
      </c>
      <c r="G9306" s="10" t="s">
        <v>6317</v>
      </c>
      <c r="H9306" s="11">
        <v>42150</v>
      </c>
      <c r="I9306" s="10">
        <v>2015</v>
      </c>
      <c r="J9306" s="10" t="s">
        <v>37581</v>
      </c>
      <c r="K9306" s="10">
        <v>80</v>
      </c>
      <c r="L9306" s="10" t="s">
        <v>42192</v>
      </c>
      <c r="M9306" s="10">
        <v>1</v>
      </c>
      <c r="N9306" s="10" t="s">
        <v>37586</v>
      </c>
      <c r="O9306" s="10"/>
      <c r="P9306" s="10" t="s">
        <v>42193</v>
      </c>
      <c r="Q9306" s="10" t="s">
        <v>12010</v>
      </c>
      <c r="R9306" s="10"/>
      <c r="S9306" s="10" t="s">
        <v>53</v>
      </c>
      <c r="T9306" s="10" t="s">
        <v>54</v>
      </c>
    </row>
    <row r="9307" spans="1:20" ht="14.5" x14ac:dyDescent="0.35">
      <c r="A9307" s="10" t="s">
        <v>42194</v>
      </c>
      <c r="B9307" s="10" t="str">
        <f>"9781936763009"</f>
        <v>9781936763009</v>
      </c>
      <c r="C9307" s="10" t="str">
        <f>"9781936763016"</f>
        <v>9781936763016</v>
      </c>
      <c r="D9307" s="10" t="s">
        <v>37580</v>
      </c>
      <c r="E9307" s="10" t="s">
        <v>37581</v>
      </c>
      <c r="F9307" s="10" t="s">
        <v>37623</v>
      </c>
      <c r="G9307" s="10" t="s">
        <v>6317</v>
      </c>
      <c r="H9307" s="11">
        <v>42380</v>
      </c>
      <c r="I9307" s="10">
        <v>2016</v>
      </c>
      <c r="J9307" s="10" t="s">
        <v>37581</v>
      </c>
      <c r="K9307" s="10">
        <v>192</v>
      </c>
      <c r="L9307" s="10" t="s">
        <v>42195</v>
      </c>
      <c r="M9307" s="10">
        <v>1</v>
      </c>
      <c r="N9307" s="10"/>
      <c r="O9307" s="10"/>
      <c r="P9307" s="10"/>
      <c r="Q9307" s="10" t="s">
        <v>24601</v>
      </c>
      <c r="R9307" s="10" t="s">
        <v>42196</v>
      </c>
      <c r="S9307" s="10" t="s">
        <v>53</v>
      </c>
      <c r="T9307" s="10" t="s">
        <v>54</v>
      </c>
    </row>
    <row r="9308" spans="1:20" ht="14.5" x14ac:dyDescent="0.35">
      <c r="A9308" s="10" t="s">
        <v>42197</v>
      </c>
      <c r="B9308" s="10" t="str">
        <f>"9781936763542"</f>
        <v>9781936763542</v>
      </c>
      <c r="C9308" s="10" t="str">
        <f>"9781936763559"</f>
        <v>9781936763559</v>
      </c>
      <c r="D9308" s="10" t="s">
        <v>37580</v>
      </c>
      <c r="E9308" s="10" t="s">
        <v>37581</v>
      </c>
      <c r="F9308" s="10" t="s">
        <v>37623</v>
      </c>
      <c r="G9308" s="10" t="s">
        <v>6317</v>
      </c>
      <c r="H9308" s="11">
        <v>42277</v>
      </c>
      <c r="I9308" s="10">
        <v>2016</v>
      </c>
      <c r="J9308" s="10" t="s">
        <v>37581</v>
      </c>
      <c r="K9308" s="10">
        <v>192</v>
      </c>
      <c r="L9308" s="10" t="s">
        <v>42198</v>
      </c>
      <c r="M9308" s="10">
        <v>1</v>
      </c>
      <c r="N9308" s="10" t="s">
        <v>37586</v>
      </c>
      <c r="O9308" s="10"/>
      <c r="P9308" s="10" t="s">
        <v>42199</v>
      </c>
      <c r="Q9308" s="10">
        <v>371.26</v>
      </c>
      <c r="R9308" s="10" t="s">
        <v>42200</v>
      </c>
      <c r="S9308" s="10" t="s">
        <v>53</v>
      </c>
      <c r="T9308" s="10" t="s">
        <v>54</v>
      </c>
    </row>
    <row r="9309" spans="1:20" ht="14.5" x14ac:dyDescent="0.35">
      <c r="A9309" s="10" t="s">
        <v>42201</v>
      </c>
      <c r="B9309" s="10" t="str">
        <f>"9781936763603"</f>
        <v>9781936763603</v>
      </c>
      <c r="C9309" s="10" t="str">
        <f>"9781936763610"</f>
        <v>9781936763610</v>
      </c>
      <c r="D9309" s="10" t="s">
        <v>37580</v>
      </c>
      <c r="E9309" s="10" t="s">
        <v>37581</v>
      </c>
      <c r="F9309" s="10" t="s">
        <v>37623</v>
      </c>
      <c r="G9309" s="10" t="s">
        <v>6317</v>
      </c>
      <c r="H9309" s="11">
        <v>42328</v>
      </c>
      <c r="I9309" s="10">
        <v>2016</v>
      </c>
      <c r="J9309" s="10" t="s">
        <v>37581</v>
      </c>
      <c r="K9309" s="10">
        <v>136</v>
      </c>
      <c r="L9309" s="10" t="s">
        <v>42202</v>
      </c>
      <c r="M9309" s="10">
        <v>1</v>
      </c>
      <c r="N9309" s="10"/>
      <c r="O9309" s="10"/>
      <c r="P9309" s="10" t="s">
        <v>42203</v>
      </c>
      <c r="Q9309" s="10">
        <v>371.33</v>
      </c>
      <c r="R9309" s="10" t="s">
        <v>29942</v>
      </c>
      <c r="S9309" s="10" t="s">
        <v>53</v>
      </c>
      <c r="T9309" s="10" t="s">
        <v>54</v>
      </c>
    </row>
    <row r="9310" spans="1:20" ht="14.5" x14ac:dyDescent="0.35">
      <c r="A9310" s="10" t="s">
        <v>42204</v>
      </c>
      <c r="B9310" s="10" t="str">
        <f>"9781936763665"</f>
        <v>9781936763665</v>
      </c>
      <c r="C9310" s="10" t="str">
        <f>"9781936763672"</f>
        <v>9781936763672</v>
      </c>
      <c r="D9310" s="10" t="s">
        <v>37580</v>
      </c>
      <c r="E9310" s="10" t="s">
        <v>37581</v>
      </c>
      <c r="F9310" s="10" t="s">
        <v>37623</v>
      </c>
      <c r="G9310" s="10" t="s">
        <v>6317</v>
      </c>
      <c r="H9310" s="11">
        <v>40725</v>
      </c>
      <c r="I9310" s="10">
        <v>2015</v>
      </c>
      <c r="J9310" s="10" t="s">
        <v>37581</v>
      </c>
      <c r="K9310" s="10">
        <v>80</v>
      </c>
      <c r="L9310" s="10" t="s">
        <v>42205</v>
      </c>
      <c r="M9310" s="10">
        <v>1</v>
      </c>
      <c r="N9310" s="10" t="s">
        <v>37586</v>
      </c>
      <c r="O9310" s="10"/>
      <c r="P9310" s="10" t="s">
        <v>42206</v>
      </c>
      <c r="Q9310" s="10">
        <v>371.33</v>
      </c>
      <c r="R9310" s="10" t="s">
        <v>42207</v>
      </c>
      <c r="S9310" s="10" t="s">
        <v>53</v>
      </c>
      <c r="T9310" s="10" t="s">
        <v>54</v>
      </c>
    </row>
    <row r="9311" spans="1:20" ht="14.5" x14ac:dyDescent="0.35">
      <c r="A9311" s="10" t="s">
        <v>42208</v>
      </c>
      <c r="B9311" s="10" t="str">
        <f>"9781936763689"</f>
        <v>9781936763689</v>
      </c>
      <c r="C9311" s="10" t="str">
        <f>"9781936763696"</f>
        <v>9781936763696</v>
      </c>
      <c r="D9311" s="10" t="s">
        <v>37580</v>
      </c>
      <c r="E9311" s="10" t="s">
        <v>37581</v>
      </c>
      <c r="F9311" s="10" t="s">
        <v>37623</v>
      </c>
      <c r="G9311" s="10" t="s">
        <v>6317</v>
      </c>
      <c r="H9311" s="11">
        <v>42489</v>
      </c>
      <c r="I9311" s="10">
        <v>2016</v>
      </c>
      <c r="J9311" s="10" t="s">
        <v>37581</v>
      </c>
      <c r="K9311" s="10">
        <v>136</v>
      </c>
      <c r="L9311" s="10" t="s">
        <v>42209</v>
      </c>
      <c r="M9311" s="10">
        <v>1</v>
      </c>
      <c r="N9311" s="10" t="s">
        <v>42210</v>
      </c>
      <c r="O9311" s="10"/>
      <c r="P9311" s="10" t="s">
        <v>42211</v>
      </c>
      <c r="Q9311" s="10" t="s">
        <v>20039</v>
      </c>
      <c r="R9311" s="10" t="s">
        <v>42212</v>
      </c>
      <c r="S9311" s="10" t="s">
        <v>53</v>
      </c>
      <c r="T9311" s="10" t="s">
        <v>389</v>
      </c>
    </row>
    <row r="9312" spans="1:20" ht="14.5" x14ac:dyDescent="0.35">
      <c r="A9312" s="10" t="s">
        <v>42213</v>
      </c>
      <c r="B9312" s="10" t="str">
        <f>"9781936763870"</f>
        <v>9781936763870</v>
      </c>
      <c r="C9312" s="10" t="str">
        <f>"9781936763887"</f>
        <v>9781936763887</v>
      </c>
      <c r="D9312" s="10" t="s">
        <v>37580</v>
      </c>
      <c r="E9312" s="10" t="s">
        <v>37581</v>
      </c>
      <c r="F9312" s="10" t="s">
        <v>37623</v>
      </c>
      <c r="G9312" s="10" t="s">
        <v>6317</v>
      </c>
      <c r="H9312" s="11">
        <v>42461</v>
      </c>
      <c r="I9312" s="10">
        <v>2016</v>
      </c>
      <c r="J9312" s="10" t="s">
        <v>37581</v>
      </c>
      <c r="K9312" s="10">
        <v>168</v>
      </c>
      <c r="L9312" s="10" t="s">
        <v>42214</v>
      </c>
      <c r="M9312" s="10">
        <v>1</v>
      </c>
      <c r="N9312" s="10"/>
      <c r="O9312" s="10"/>
      <c r="P9312" s="10" t="s">
        <v>42215</v>
      </c>
      <c r="Q9312" s="10"/>
      <c r="R9312" s="10" t="s">
        <v>42216</v>
      </c>
      <c r="S9312" s="10" t="s">
        <v>53</v>
      </c>
      <c r="T9312" s="10" t="s">
        <v>54</v>
      </c>
    </row>
    <row r="9313" spans="1:20" ht="14.5" x14ac:dyDescent="0.35">
      <c r="A9313" s="10" t="s">
        <v>42217</v>
      </c>
      <c r="B9313" s="10" t="str">
        <f>"9781936763917"</f>
        <v>9781936763917</v>
      </c>
      <c r="C9313" s="10" t="str">
        <f>"9781936763924"</f>
        <v>9781936763924</v>
      </c>
      <c r="D9313" s="10" t="s">
        <v>37580</v>
      </c>
      <c r="E9313" s="10" t="s">
        <v>37581</v>
      </c>
      <c r="F9313" s="10" t="s">
        <v>37623</v>
      </c>
      <c r="G9313" s="10" t="s">
        <v>6317</v>
      </c>
      <c r="H9313" s="11">
        <v>42496</v>
      </c>
      <c r="I9313" s="10">
        <v>2016</v>
      </c>
      <c r="J9313" s="10" t="s">
        <v>37581</v>
      </c>
      <c r="K9313" s="10">
        <v>136</v>
      </c>
      <c r="L9313" s="10" t="s">
        <v>42214</v>
      </c>
      <c r="M9313" s="10">
        <v>1</v>
      </c>
      <c r="N9313" s="10"/>
      <c r="O9313" s="10"/>
      <c r="P9313" s="10" t="s">
        <v>42218</v>
      </c>
      <c r="Q9313" s="10"/>
      <c r="R9313" s="10" t="s">
        <v>18815</v>
      </c>
      <c r="S9313" s="10" t="s">
        <v>53</v>
      </c>
      <c r="T9313" s="10" t="s">
        <v>54</v>
      </c>
    </row>
    <row r="9314" spans="1:20" ht="14.5" x14ac:dyDescent="0.35">
      <c r="A9314" s="10" t="s">
        <v>42219</v>
      </c>
      <c r="B9314" s="10" t="str">
        <f>"9781936763955"</f>
        <v>9781936763955</v>
      </c>
      <c r="C9314" s="10" t="str">
        <f>"9781936763962"</f>
        <v>9781936763962</v>
      </c>
      <c r="D9314" s="10" t="s">
        <v>37580</v>
      </c>
      <c r="E9314" s="10" t="s">
        <v>37581</v>
      </c>
      <c r="F9314" s="10" t="s">
        <v>37623</v>
      </c>
      <c r="G9314" s="10" t="s">
        <v>6317</v>
      </c>
      <c r="H9314" s="11">
        <v>42314</v>
      </c>
      <c r="I9314" s="10">
        <v>2016</v>
      </c>
      <c r="J9314" s="10" t="s">
        <v>37581</v>
      </c>
      <c r="K9314" s="10">
        <v>248</v>
      </c>
      <c r="L9314" s="10" t="s">
        <v>42220</v>
      </c>
      <c r="M9314" s="10">
        <v>1</v>
      </c>
      <c r="N9314" s="10"/>
      <c r="O9314" s="10"/>
      <c r="P9314" s="10" t="s">
        <v>42221</v>
      </c>
      <c r="Q9314" s="10"/>
      <c r="R9314" s="10" t="s">
        <v>42222</v>
      </c>
      <c r="S9314" s="10" t="s">
        <v>53</v>
      </c>
      <c r="T9314" s="10" t="s">
        <v>54</v>
      </c>
    </row>
    <row r="9315" spans="1:20" ht="14.5" x14ac:dyDescent="0.35">
      <c r="A9315" s="10" t="s">
        <v>42223</v>
      </c>
      <c r="B9315" s="10" t="str">
        <f>"9781935249443"</f>
        <v>9781935249443</v>
      </c>
      <c r="C9315" s="10" t="str">
        <f>"9781936764297"</f>
        <v>9781936764297</v>
      </c>
      <c r="D9315" s="10" t="s">
        <v>37580</v>
      </c>
      <c r="E9315" s="10" t="s">
        <v>37581</v>
      </c>
      <c r="F9315" s="10" t="s">
        <v>37623</v>
      </c>
      <c r="G9315" s="10" t="s">
        <v>6317</v>
      </c>
      <c r="H9315" s="11">
        <v>42255</v>
      </c>
      <c r="I9315" s="10">
        <v>2016</v>
      </c>
      <c r="J9315" s="10" t="s">
        <v>37581</v>
      </c>
      <c r="K9315" s="10">
        <v>232</v>
      </c>
      <c r="L9315" s="10" t="s">
        <v>42224</v>
      </c>
      <c r="M9315" s="10">
        <v>1</v>
      </c>
      <c r="N9315" s="10"/>
      <c r="O9315" s="10"/>
      <c r="P9315" s="10" t="s">
        <v>42225</v>
      </c>
      <c r="Q9315" s="10">
        <v>373.73</v>
      </c>
      <c r="R9315" s="10"/>
      <c r="S9315" s="10" t="s">
        <v>53</v>
      </c>
      <c r="T9315" s="10" t="s">
        <v>54</v>
      </c>
    </row>
    <row r="9316" spans="1:20" ht="14.5" x14ac:dyDescent="0.35">
      <c r="A9316" s="10" t="s">
        <v>42226</v>
      </c>
      <c r="B9316" s="10" t="str">
        <f>"9781936764495"</f>
        <v>9781936764495</v>
      </c>
      <c r="C9316" s="10" t="str">
        <f>"9781936764389"</f>
        <v>9781936764389</v>
      </c>
      <c r="D9316" s="10" t="s">
        <v>37580</v>
      </c>
      <c r="E9316" s="10" t="s">
        <v>37581</v>
      </c>
      <c r="F9316" s="10" t="s">
        <v>37623</v>
      </c>
      <c r="G9316" s="10" t="s">
        <v>6317</v>
      </c>
      <c r="H9316" s="11">
        <v>42454</v>
      </c>
      <c r="I9316" s="10">
        <v>2016</v>
      </c>
      <c r="J9316" s="10" t="s">
        <v>37581</v>
      </c>
      <c r="K9316" s="10">
        <v>192</v>
      </c>
      <c r="L9316" s="10" t="s">
        <v>23588</v>
      </c>
      <c r="M9316" s="10">
        <v>1</v>
      </c>
      <c r="N9316" s="10" t="s">
        <v>37586</v>
      </c>
      <c r="O9316" s="10"/>
      <c r="P9316" s="10"/>
      <c r="Q9316" s="10">
        <v>371.10199999999998</v>
      </c>
      <c r="R9316" s="10"/>
      <c r="S9316" s="10" t="s">
        <v>53</v>
      </c>
      <c r="T9316" s="10" t="s">
        <v>54</v>
      </c>
    </row>
    <row r="9317" spans="1:20" ht="14.5" x14ac:dyDescent="0.35">
      <c r="A9317" s="10" t="s">
        <v>42227</v>
      </c>
      <c r="B9317" s="10" t="str">
        <f>"9781936764761"</f>
        <v>9781936764761</v>
      </c>
      <c r="C9317" s="10" t="str">
        <f>"9781936764778"</f>
        <v>9781936764778</v>
      </c>
      <c r="D9317" s="10" t="s">
        <v>37580</v>
      </c>
      <c r="E9317" s="10" t="s">
        <v>37581</v>
      </c>
      <c r="F9317" s="10" t="s">
        <v>37623</v>
      </c>
      <c r="G9317" s="10" t="s">
        <v>6317</v>
      </c>
      <c r="H9317" s="11">
        <v>42426</v>
      </c>
      <c r="I9317" s="10">
        <v>2016</v>
      </c>
      <c r="J9317" s="10" t="s">
        <v>37581</v>
      </c>
      <c r="K9317" s="10">
        <v>296</v>
      </c>
      <c r="L9317" s="10" t="s">
        <v>42228</v>
      </c>
      <c r="M9317" s="10">
        <v>1</v>
      </c>
      <c r="N9317" s="10"/>
      <c r="O9317" s="10"/>
      <c r="P9317" s="10" t="s">
        <v>42229</v>
      </c>
      <c r="Q9317" s="10">
        <v>372.7</v>
      </c>
      <c r="R9317" s="10" t="s">
        <v>42230</v>
      </c>
      <c r="S9317" s="10" t="s">
        <v>53</v>
      </c>
      <c r="T9317" s="10" t="s">
        <v>7425</v>
      </c>
    </row>
    <row r="9318" spans="1:20" ht="14.5" x14ac:dyDescent="0.35">
      <c r="A9318" s="10" t="s">
        <v>42231</v>
      </c>
      <c r="B9318" s="10" t="str">
        <f>"9781942496021"</f>
        <v>9781942496021</v>
      </c>
      <c r="C9318" s="10" t="str">
        <f>"9781942496038"</f>
        <v>9781942496038</v>
      </c>
      <c r="D9318" s="10" t="s">
        <v>37580</v>
      </c>
      <c r="E9318" s="10" t="s">
        <v>37581</v>
      </c>
      <c r="F9318" s="10" t="s">
        <v>37623</v>
      </c>
      <c r="G9318" s="10" t="s">
        <v>6317</v>
      </c>
      <c r="H9318" s="11">
        <v>42144</v>
      </c>
      <c r="I9318" s="10">
        <v>2015</v>
      </c>
      <c r="J9318" s="10" t="s">
        <v>37581</v>
      </c>
      <c r="K9318" s="10">
        <v>80</v>
      </c>
      <c r="L9318" s="10" t="s">
        <v>42232</v>
      </c>
      <c r="M9318" s="10">
        <v>1</v>
      </c>
      <c r="N9318" s="10" t="s">
        <v>42233</v>
      </c>
      <c r="O9318" s="10"/>
      <c r="P9318" s="10"/>
      <c r="Q9318" s="10" t="s">
        <v>25380</v>
      </c>
      <c r="R9318" s="10" t="s">
        <v>42234</v>
      </c>
      <c r="S9318" s="10" t="s">
        <v>53</v>
      </c>
      <c r="T9318" s="10" t="s">
        <v>54</v>
      </c>
    </row>
    <row r="9319" spans="1:20" ht="14.5" x14ac:dyDescent="0.35">
      <c r="A9319" s="10" t="s">
        <v>42235</v>
      </c>
      <c r="B9319" s="10" t="str">
        <f>"9781942496052"</f>
        <v>9781942496052</v>
      </c>
      <c r="C9319" s="10" t="str">
        <f>"9781942496069"</f>
        <v>9781942496069</v>
      </c>
      <c r="D9319" s="10" t="s">
        <v>37580</v>
      </c>
      <c r="E9319" s="10" t="s">
        <v>37581</v>
      </c>
      <c r="F9319" s="10" t="s">
        <v>37623</v>
      </c>
      <c r="G9319" s="10" t="s">
        <v>6317</v>
      </c>
      <c r="H9319" s="11">
        <v>42150</v>
      </c>
      <c r="I9319" s="10">
        <v>2015</v>
      </c>
      <c r="J9319" s="10" t="s">
        <v>37581</v>
      </c>
      <c r="K9319" s="10">
        <v>80</v>
      </c>
      <c r="L9319" s="10" t="s">
        <v>42236</v>
      </c>
      <c r="M9319" s="10">
        <v>1</v>
      </c>
      <c r="N9319" s="10" t="s">
        <v>37586</v>
      </c>
      <c r="O9319" s="10"/>
      <c r="P9319" s="10"/>
      <c r="Q9319" s="10"/>
      <c r="R9319" s="10"/>
      <c r="S9319" s="10" t="s">
        <v>53</v>
      </c>
      <c r="T9319" s="10" t="s">
        <v>54</v>
      </c>
    </row>
    <row r="9320" spans="1:20" ht="14.5" x14ac:dyDescent="0.35">
      <c r="A9320" s="10" t="s">
        <v>42237</v>
      </c>
      <c r="B9320" s="10" t="str">
        <f>"9781942496236"</f>
        <v>9781942496236</v>
      </c>
      <c r="C9320" s="10" t="str">
        <f>"9781942496243"</f>
        <v>9781942496243</v>
      </c>
      <c r="D9320" s="10" t="s">
        <v>37580</v>
      </c>
      <c r="E9320" s="10" t="s">
        <v>37581</v>
      </c>
      <c r="F9320" s="10" t="s">
        <v>37623</v>
      </c>
      <c r="G9320" s="10" t="s">
        <v>6317</v>
      </c>
      <c r="H9320" s="11">
        <v>42293</v>
      </c>
      <c r="I9320" s="10">
        <v>2016</v>
      </c>
      <c r="J9320" s="10" t="s">
        <v>37581</v>
      </c>
      <c r="K9320" s="10">
        <v>72</v>
      </c>
      <c r="L9320" s="10" t="s">
        <v>42238</v>
      </c>
      <c r="M9320" s="10">
        <v>1</v>
      </c>
      <c r="N9320" s="10"/>
      <c r="O9320" s="10"/>
      <c r="P9320" s="10"/>
      <c r="Q9320" s="10"/>
      <c r="R9320" s="10" t="s">
        <v>42239</v>
      </c>
      <c r="S9320" s="10" t="s">
        <v>53</v>
      </c>
      <c r="T9320" s="10" t="s">
        <v>54</v>
      </c>
    </row>
    <row r="9321" spans="1:20" ht="14.5" x14ac:dyDescent="0.35">
      <c r="A9321" s="10" t="s">
        <v>42240</v>
      </c>
      <c r="B9321" s="10" t="str">
        <f>"9781942496298"</f>
        <v>9781942496298</v>
      </c>
      <c r="C9321" s="10" t="str">
        <f>"9781942496304"</f>
        <v>9781942496304</v>
      </c>
      <c r="D9321" s="10" t="s">
        <v>37580</v>
      </c>
      <c r="E9321" s="10" t="s">
        <v>37581</v>
      </c>
      <c r="F9321" s="10" t="s">
        <v>37623</v>
      </c>
      <c r="G9321" s="10" t="s">
        <v>6317</v>
      </c>
      <c r="H9321" s="11">
        <v>42293</v>
      </c>
      <c r="I9321" s="10">
        <v>2016</v>
      </c>
      <c r="J9321" s="10" t="s">
        <v>37581</v>
      </c>
      <c r="K9321" s="10">
        <v>224</v>
      </c>
      <c r="L9321" s="10" t="s">
        <v>42241</v>
      </c>
      <c r="M9321" s="10">
        <v>1</v>
      </c>
      <c r="N9321" s="10" t="s">
        <v>37586</v>
      </c>
      <c r="O9321" s="10"/>
      <c r="P9321" s="10" t="s">
        <v>42242</v>
      </c>
      <c r="Q9321" s="10" t="s">
        <v>8223</v>
      </c>
      <c r="R9321" s="10" t="s">
        <v>42243</v>
      </c>
      <c r="S9321" s="10" t="s">
        <v>53</v>
      </c>
      <c r="T9321" s="10" t="s">
        <v>54</v>
      </c>
    </row>
    <row r="9322" spans="1:20" ht="14.5" x14ac:dyDescent="0.35">
      <c r="A9322" s="10" t="s">
        <v>42244</v>
      </c>
      <c r="B9322" s="10" t="str">
        <f>"9781942496397"</f>
        <v>9781942496397</v>
      </c>
      <c r="C9322" s="10" t="str">
        <f>"9781942496403"</f>
        <v>9781942496403</v>
      </c>
      <c r="D9322" s="10" t="s">
        <v>37580</v>
      </c>
      <c r="E9322" s="10" t="s">
        <v>37581</v>
      </c>
      <c r="F9322" s="10" t="s">
        <v>37623</v>
      </c>
      <c r="G9322" s="10" t="s">
        <v>6317</v>
      </c>
      <c r="H9322" s="11">
        <v>42461</v>
      </c>
      <c r="I9322" s="10">
        <v>2016</v>
      </c>
      <c r="J9322" s="10" t="s">
        <v>37581</v>
      </c>
      <c r="K9322" s="10">
        <v>168</v>
      </c>
      <c r="L9322" s="10" t="s">
        <v>42245</v>
      </c>
      <c r="M9322" s="10">
        <v>1</v>
      </c>
      <c r="N9322" s="10" t="s">
        <v>37586</v>
      </c>
      <c r="O9322" s="10"/>
      <c r="P9322" s="10" t="s">
        <v>42246</v>
      </c>
      <c r="Q9322" s="10"/>
      <c r="R9322" s="10" t="s">
        <v>42247</v>
      </c>
      <c r="S9322" s="10" t="s">
        <v>53</v>
      </c>
      <c r="T9322" s="10" t="s">
        <v>389</v>
      </c>
    </row>
    <row r="9323" spans="1:20" ht="14.5" x14ac:dyDescent="0.35">
      <c r="A9323" s="10" t="s">
        <v>42248</v>
      </c>
      <c r="B9323" s="10" t="str">
        <f>"9781942496427"</f>
        <v>9781942496427</v>
      </c>
      <c r="C9323" s="10" t="str">
        <f>"9781942496434"</f>
        <v>9781942496434</v>
      </c>
      <c r="D9323" s="10" t="s">
        <v>37580</v>
      </c>
      <c r="E9323" s="10" t="s">
        <v>37581</v>
      </c>
      <c r="F9323" s="10" t="s">
        <v>37623</v>
      </c>
      <c r="G9323" s="10" t="s">
        <v>6317</v>
      </c>
      <c r="H9323" s="11">
        <v>42461</v>
      </c>
      <c r="I9323" s="10">
        <v>2016</v>
      </c>
      <c r="J9323" s="10" t="s">
        <v>37581</v>
      </c>
      <c r="K9323" s="10">
        <v>200</v>
      </c>
      <c r="L9323" s="10" t="s">
        <v>42245</v>
      </c>
      <c r="M9323" s="10">
        <v>1</v>
      </c>
      <c r="N9323" s="10"/>
      <c r="O9323" s="10"/>
      <c r="P9323" s="10"/>
      <c r="Q9323" s="10"/>
      <c r="R9323" s="10" t="s">
        <v>42247</v>
      </c>
      <c r="S9323" s="10" t="s">
        <v>53</v>
      </c>
      <c r="T9323" s="10" t="s">
        <v>54</v>
      </c>
    </row>
    <row r="9324" spans="1:20" ht="14.5" x14ac:dyDescent="0.35">
      <c r="A9324" s="10" t="s">
        <v>42249</v>
      </c>
      <c r="B9324" s="10" t="str">
        <f>"9781942496458"</f>
        <v>9781942496458</v>
      </c>
      <c r="C9324" s="10" t="str">
        <f>"9781942496465"</f>
        <v>9781942496465</v>
      </c>
      <c r="D9324" s="10" t="s">
        <v>37580</v>
      </c>
      <c r="E9324" s="10" t="s">
        <v>37581</v>
      </c>
      <c r="F9324" s="10" t="s">
        <v>37623</v>
      </c>
      <c r="G9324" s="10" t="s">
        <v>6317</v>
      </c>
      <c r="H9324" s="11">
        <v>42482</v>
      </c>
      <c r="I9324" s="10">
        <v>2016</v>
      </c>
      <c r="J9324" s="10" t="s">
        <v>37581</v>
      </c>
      <c r="K9324" s="10">
        <v>176</v>
      </c>
      <c r="L9324" s="10" t="s">
        <v>42250</v>
      </c>
      <c r="M9324" s="10">
        <v>1</v>
      </c>
      <c r="N9324" s="10"/>
      <c r="O9324" s="10"/>
      <c r="P9324" s="10" t="s">
        <v>42246</v>
      </c>
      <c r="Q9324" s="10"/>
      <c r="R9324" s="10" t="s">
        <v>42247</v>
      </c>
      <c r="S9324" s="10" t="s">
        <v>53</v>
      </c>
      <c r="T9324" s="10" t="s">
        <v>389</v>
      </c>
    </row>
    <row r="9325" spans="1:20" ht="14.5" x14ac:dyDescent="0.35">
      <c r="A9325" s="10" t="s">
        <v>42251</v>
      </c>
      <c r="B9325" s="10" t="str">
        <f>"9781942496489"</f>
        <v>9781942496489</v>
      </c>
      <c r="C9325" s="10" t="str">
        <f>"9781942496496"</f>
        <v>9781942496496</v>
      </c>
      <c r="D9325" s="10" t="s">
        <v>37580</v>
      </c>
      <c r="E9325" s="10" t="s">
        <v>37581</v>
      </c>
      <c r="F9325" s="10" t="s">
        <v>37623</v>
      </c>
      <c r="G9325" s="10" t="s">
        <v>6317</v>
      </c>
      <c r="H9325" s="11">
        <v>42503</v>
      </c>
      <c r="I9325" s="10">
        <v>2016</v>
      </c>
      <c r="J9325" s="10" t="s">
        <v>37581</v>
      </c>
      <c r="K9325" s="10">
        <v>192</v>
      </c>
      <c r="L9325" s="10" t="s">
        <v>42252</v>
      </c>
      <c r="M9325" s="10">
        <v>1</v>
      </c>
      <c r="N9325" s="10"/>
      <c r="O9325" s="10"/>
      <c r="P9325" s="10"/>
      <c r="Q9325" s="10"/>
      <c r="R9325" s="10" t="s">
        <v>42253</v>
      </c>
      <c r="S9325" s="10" t="s">
        <v>53</v>
      </c>
      <c r="T9325" s="10" t="s">
        <v>54</v>
      </c>
    </row>
    <row r="9326" spans="1:20" ht="14.5" x14ac:dyDescent="0.35">
      <c r="A9326" s="10" t="s">
        <v>42254</v>
      </c>
      <c r="B9326" s="10" t="str">
        <f>"9781942496632"</f>
        <v>9781942496632</v>
      </c>
      <c r="C9326" s="10" t="str">
        <f>"9781942496649"</f>
        <v>9781942496649</v>
      </c>
      <c r="D9326" s="10" t="s">
        <v>37580</v>
      </c>
      <c r="E9326" s="10" t="s">
        <v>37581</v>
      </c>
      <c r="F9326" s="10" t="s">
        <v>37623</v>
      </c>
      <c r="G9326" s="10" t="s">
        <v>6317</v>
      </c>
      <c r="H9326" s="11">
        <v>42489</v>
      </c>
      <c r="I9326" s="10">
        <v>2016</v>
      </c>
      <c r="J9326" s="10" t="s">
        <v>37581</v>
      </c>
      <c r="K9326" s="10">
        <v>192</v>
      </c>
      <c r="L9326" s="10" t="s">
        <v>37646</v>
      </c>
      <c r="M9326" s="10">
        <v>1</v>
      </c>
      <c r="N9326" s="10"/>
      <c r="O9326" s="10"/>
      <c r="P9326" s="10"/>
      <c r="Q9326" s="10"/>
      <c r="R9326" s="10" t="s">
        <v>42255</v>
      </c>
      <c r="S9326" s="10" t="s">
        <v>53</v>
      </c>
      <c r="T9326" s="10" t="s">
        <v>54</v>
      </c>
    </row>
    <row r="9327" spans="1:20" ht="14.5" x14ac:dyDescent="0.35">
      <c r="A9327" s="10" t="s">
        <v>42256</v>
      </c>
      <c r="B9327" s="10" t="str">
        <f>"9781943360031"</f>
        <v>9781943360031</v>
      </c>
      <c r="C9327" s="10" t="str">
        <f>"9781943360048"</f>
        <v>9781943360048</v>
      </c>
      <c r="D9327" s="10" t="s">
        <v>37594</v>
      </c>
      <c r="E9327" s="10" t="s">
        <v>37594</v>
      </c>
      <c r="F9327" s="10" t="s">
        <v>37623</v>
      </c>
      <c r="G9327" s="10" t="s">
        <v>6317</v>
      </c>
      <c r="H9327" s="11">
        <v>42398</v>
      </c>
      <c r="I9327" s="10">
        <v>2016</v>
      </c>
      <c r="J9327" s="10" t="s">
        <v>37594</v>
      </c>
      <c r="K9327" s="10">
        <v>184</v>
      </c>
      <c r="L9327" s="10" t="s">
        <v>42257</v>
      </c>
      <c r="M9327" s="10">
        <v>1</v>
      </c>
      <c r="N9327" s="10"/>
      <c r="O9327" s="10"/>
      <c r="P9327" s="10"/>
      <c r="Q9327" s="10"/>
      <c r="R9327" s="10"/>
      <c r="S9327" s="10" t="s">
        <v>53</v>
      </c>
      <c r="T9327" s="10" t="s">
        <v>54</v>
      </c>
    </row>
    <row r="9328" spans="1:20" ht="14.5" x14ac:dyDescent="0.35">
      <c r="A9328" s="10" t="s">
        <v>42258</v>
      </c>
      <c r="B9328" s="10" t="str">
        <f>"9781943874378"</f>
        <v>9781943874378</v>
      </c>
      <c r="C9328" s="10" t="str">
        <f>"9781943874385"</f>
        <v>9781943874385</v>
      </c>
      <c r="D9328" s="10" t="s">
        <v>37580</v>
      </c>
      <c r="E9328" s="10" t="s">
        <v>37581</v>
      </c>
      <c r="F9328" s="10" t="s">
        <v>37623</v>
      </c>
      <c r="G9328" s="10" t="s">
        <v>6317</v>
      </c>
      <c r="H9328" s="11">
        <v>42496</v>
      </c>
      <c r="I9328" s="10">
        <v>2016</v>
      </c>
      <c r="J9328" s="10" t="s">
        <v>37581</v>
      </c>
      <c r="K9328" s="10">
        <v>304</v>
      </c>
      <c r="L9328" s="10" t="s">
        <v>37646</v>
      </c>
      <c r="M9328" s="10">
        <v>3</v>
      </c>
      <c r="N9328" s="10"/>
      <c r="O9328" s="10"/>
      <c r="P9328" s="10"/>
      <c r="Q9328" s="10"/>
      <c r="R9328" s="10"/>
      <c r="S9328" s="10" t="s">
        <v>53</v>
      </c>
      <c r="T9328" s="10" t="s">
        <v>54</v>
      </c>
    </row>
    <row r="9329" spans="1:20" ht="14.5" x14ac:dyDescent="0.35">
      <c r="A9329" s="10" t="s">
        <v>42259</v>
      </c>
      <c r="B9329" s="10" t="str">
        <f>"9781771991490"</f>
        <v>9781771991490</v>
      </c>
      <c r="C9329" s="10" t="str">
        <f>"9781771991513"</f>
        <v>9781771991513</v>
      </c>
      <c r="D9329" s="10" t="s">
        <v>17293</v>
      </c>
      <c r="E9329" s="10" t="s">
        <v>17293</v>
      </c>
      <c r="F9329" s="10" t="s">
        <v>99</v>
      </c>
      <c r="G9329" s="10" t="s">
        <v>9536</v>
      </c>
      <c r="H9329" s="11">
        <v>42536</v>
      </c>
      <c r="I9329" s="10">
        <v>2016</v>
      </c>
      <c r="J9329" s="10" t="s">
        <v>17293</v>
      </c>
      <c r="K9329" s="10">
        <v>228</v>
      </c>
      <c r="L9329" s="10" t="s">
        <v>42260</v>
      </c>
      <c r="M9329" s="10">
        <v>1</v>
      </c>
      <c r="N9329" s="10" t="s">
        <v>17295</v>
      </c>
      <c r="O9329" s="10"/>
      <c r="P9329" s="10"/>
      <c r="Q9329" s="10" t="s">
        <v>10489</v>
      </c>
      <c r="R9329" s="10" t="s">
        <v>42261</v>
      </c>
      <c r="S9329" s="10" t="s">
        <v>53</v>
      </c>
      <c r="T9329" s="10" t="s">
        <v>54</v>
      </c>
    </row>
    <row r="9330" spans="1:20" ht="14.5" x14ac:dyDescent="0.35">
      <c r="A9330" s="10" t="s">
        <v>42262</v>
      </c>
      <c r="B9330" s="10" t="str">
        <f>"9781475828627"</f>
        <v>9781475828627</v>
      </c>
      <c r="C9330" s="10" t="str">
        <f>"9781475828634"</f>
        <v>9781475828634</v>
      </c>
      <c r="D9330" s="10" t="s">
        <v>9752</v>
      </c>
      <c r="E9330" s="10" t="s">
        <v>15187</v>
      </c>
      <c r="F9330" s="10" t="s">
        <v>9754</v>
      </c>
      <c r="G9330" s="10" t="s">
        <v>6317</v>
      </c>
      <c r="H9330" s="11">
        <v>42534</v>
      </c>
      <c r="I9330" s="10">
        <v>2016</v>
      </c>
      <c r="J9330" s="10" t="s">
        <v>15187</v>
      </c>
      <c r="K9330" s="10">
        <v>185</v>
      </c>
      <c r="L9330" s="10" t="s">
        <v>42263</v>
      </c>
      <c r="M9330" s="10">
        <v>1</v>
      </c>
      <c r="N9330" s="10"/>
      <c r="O9330" s="10"/>
      <c r="P9330" s="10" t="s">
        <v>42264</v>
      </c>
      <c r="Q9330" s="10">
        <v>371.01097299999998</v>
      </c>
      <c r="R9330" s="10" t="s">
        <v>42265</v>
      </c>
      <c r="S9330" s="10" t="s">
        <v>53</v>
      </c>
      <c r="T9330" s="10" t="s">
        <v>54</v>
      </c>
    </row>
    <row r="9331" spans="1:20" ht="14.5" x14ac:dyDescent="0.35">
      <c r="A9331" s="10" t="s">
        <v>42266</v>
      </c>
      <c r="B9331" s="10" t="str">
        <f>"9780812223408"</f>
        <v>9780812223408</v>
      </c>
      <c r="C9331" s="10" t="str">
        <f>"9780812292060"</f>
        <v>9780812292060</v>
      </c>
      <c r="D9331" s="10" t="s">
        <v>2495</v>
      </c>
      <c r="E9331" s="10" t="s">
        <v>2495</v>
      </c>
      <c r="F9331" s="10" t="s">
        <v>319</v>
      </c>
      <c r="G9331" s="10" t="s">
        <v>6317</v>
      </c>
      <c r="H9331" s="11">
        <v>42446</v>
      </c>
      <c r="I9331" s="10">
        <v>2016</v>
      </c>
      <c r="J9331" s="10" t="s">
        <v>2495</v>
      </c>
      <c r="K9331" s="10">
        <v>468</v>
      </c>
      <c r="L9331" s="10" t="s">
        <v>42267</v>
      </c>
      <c r="M9331" s="10">
        <v>5</v>
      </c>
      <c r="N9331" s="10"/>
      <c r="O9331" s="10"/>
      <c r="P9331" s="10" t="s">
        <v>42268</v>
      </c>
      <c r="Q9331" s="10" t="s">
        <v>42269</v>
      </c>
      <c r="R9331" s="10" t="s">
        <v>42270</v>
      </c>
      <c r="S9331" s="10" t="s">
        <v>53</v>
      </c>
      <c r="T9331" s="10" t="s">
        <v>8755</v>
      </c>
    </row>
    <row r="9332" spans="1:20" ht="14.5" x14ac:dyDescent="0.35">
      <c r="A9332" s="10" t="s">
        <v>42271</v>
      </c>
      <c r="B9332" s="10" t="str">
        <f>"9781849057998"</f>
        <v>9781849057998</v>
      </c>
      <c r="C9332" s="10" t="str">
        <f>"9781784500979"</f>
        <v>9781784500979</v>
      </c>
      <c r="D9332" s="10" t="s">
        <v>10516</v>
      </c>
      <c r="E9332" s="10" t="s">
        <v>10516</v>
      </c>
      <c r="F9332" s="10" t="s">
        <v>139</v>
      </c>
      <c r="G9332" s="10" t="s">
        <v>6352</v>
      </c>
      <c r="H9332" s="11">
        <v>42572</v>
      </c>
      <c r="I9332" s="10">
        <v>2016</v>
      </c>
      <c r="J9332" s="10" t="s">
        <v>10516</v>
      </c>
      <c r="K9332" s="10">
        <v>226</v>
      </c>
      <c r="L9332" s="10" t="s">
        <v>42272</v>
      </c>
      <c r="M9332" s="10">
        <v>1</v>
      </c>
      <c r="N9332" s="10" t="s">
        <v>42273</v>
      </c>
      <c r="O9332" s="10"/>
      <c r="P9332" s="10" t="s">
        <v>42274</v>
      </c>
      <c r="Q9332" s="10" t="s">
        <v>42275</v>
      </c>
      <c r="R9332" s="10" t="s">
        <v>42276</v>
      </c>
      <c r="S9332" s="10" t="s">
        <v>53</v>
      </c>
      <c r="T9332" s="10" t="s">
        <v>6472</v>
      </c>
    </row>
    <row r="9333" spans="1:20" ht="14.5" x14ac:dyDescent="0.35">
      <c r="A9333" s="10" t="s">
        <v>42277</v>
      </c>
      <c r="B9333" s="10" t="str">
        <f>"9780415709200"</f>
        <v>9780415709200</v>
      </c>
      <c r="C9333" s="10" t="str">
        <f>"9781134629886"</f>
        <v>9781134629886</v>
      </c>
      <c r="D9333" s="10" t="s">
        <v>6350</v>
      </c>
      <c r="E9333" s="10" t="s">
        <v>6351</v>
      </c>
      <c r="F9333" s="10" t="s">
        <v>5406</v>
      </c>
      <c r="G9333" s="10" t="s">
        <v>6352</v>
      </c>
      <c r="H9333" s="11">
        <v>42286</v>
      </c>
      <c r="I9333" s="10">
        <v>2016</v>
      </c>
      <c r="J9333" s="10" t="s">
        <v>6353</v>
      </c>
      <c r="K9333" s="10">
        <v>251</v>
      </c>
      <c r="L9333" s="10" t="s">
        <v>42278</v>
      </c>
      <c r="M9333" s="10">
        <v>1</v>
      </c>
      <c r="N9333" s="10" t="s">
        <v>25302</v>
      </c>
      <c r="O9333" s="10"/>
      <c r="P9333" s="10" t="s">
        <v>42279</v>
      </c>
      <c r="Q9333" s="10">
        <v>306.44972940000002</v>
      </c>
      <c r="R9333" s="10" t="s">
        <v>42280</v>
      </c>
      <c r="S9333" s="10" t="s">
        <v>53</v>
      </c>
      <c r="T9333" s="10" t="s">
        <v>8418</v>
      </c>
    </row>
    <row r="9334" spans="1:20" ht="14.5" x14ac:dyDescent="0.35">
      <c r="A9334" s="10" t="s">
        <v>42281</v>
      </c>
      <c r="B9334" s="10" t="str">
        <f>"9780815395874"</f>
        <v>9780815395874</v>
      </c>
      <c r="C9334" s="10" t="str">
        <f>"9781317355120"</f>
        <v>9781317355120</v>
      </c>
      <c r="D9334" s="10" t="s">
        <v>6350</v>
      </c>
      <c r="E9334" s="10" t="s">
        <v>6351</v>
      </c>
      <c r="F9334" s="10" t="s">
        <v>3967</v>
      </c>
      <c r="G9334" s="10" t="s">
        <v>6352</v>
      </c>
      <c r="H9334" s="11">
        <v>42348</v>
      </c>
      <c r="I9334" s="10">
        <v>2016</v>
      </c>
      <c r="J9334" s="10" t="s">
        <v>23805</v>
      </c>
      <c r="K9334" s="10">
        <v>385</v>
      </c>
      <c r="L9334" s="10" t="s">
        <v>42282</v>
      </c>
      <c r="M9334" s="10">
        <v>1</v>
      </c>
      <c r="N9334" s="10"/>
      <c r="O9334" s="10"/>
      <c r="P9334" s="10" t="s">
        <v>42283</v>
      </c>
      <c r="Q9334" s="10">
        <v>379.26095400000003</v>
      </c>
      <c r="R9334" s="10" t="s">
        <v>42284</v>
      </c>
      <c r="S9334" s="10" t="s">
        <v>53</v>
      </c>
      <c r="T9334" s="10" t="s">
        <v>54</v>
      </c>
    </row>
    <row r="9335" spans="1:20" ht="14.5" x14ac:dyDescent="0.35">
      <c r="A9335" s="10" t="s">
        <v>42285</v>
      </c>
      <c r="B9335" s="10" t="str">
        <f>"9781501700804"</f>
        <v>9781501700804</v>
      </c>
      <c r="C9335" s="10" t="str">
        <f>"9781501704116"</f>
        <v>9781501704116</v>
      </c>
      <c r="D9335" s="10" t="s">
        <v>9533</v>
      </c>
      <c r="E9335" s="10" t="s">
        <v>5258</v>
      </c>
      <c r="F9335" s="10" t="s">
        <v>2536</v>
      </c>
      <c r="G9335" s="10" t="s">
        <v>6317</v>
      </c>
      <c r="H9335" s="11">
        <v>42528</v>
      </c>
      <c r="I9335" s="10">
        <v>2016</v>
      </c>
      <c r="J9335" s="10" t="s">
        <v>5258</v>
      </c>
      <c r="K9335" s="10">
        <v>252</v>
      </c>
      <c r="L9335" s="10" t="s">
        <v>42286</v>
      </c>
      <c r="M9335" s="10">
        <v>1</v>
      </c>
      <c r="N9335" s="10" t="s">
        <v>34661</v>
      </c>
      <c r="O9335" s="10"/>
      <c r="P9335" s="10" t="s">
        <v>42287</v>
      </c>
      <c r="Q9335" s="10">
        <v>379.73</v>
      </c>
      <c r="R9335" s="10" t="s">
        <v>42288</v>
      </c>
      <c r="S9335" s="10" t="s">
        <v>53</v>
      </c>
      <c r="T9335" s="10" t="s">
        <v>54</v>
      </c>
    </row>
    <row r="9336" spans="1:20" ht="14.5" x14ac:dyDescent="0.35">
      <c r="A9336" s="10" t="s">
        <v>42289</v>
      </c>
      <c r="B9336" s="10" t="str">
        <f>"9781416621119"</f>
        <v>9781416621119</v>
      </c>
      <c r="C9336" s="10" t="str">
        <f>"9781416621133"</f>
        <v>9781416621133</v>
      </c>
      <c r="D9336" s="10" t="s">
        <v>10014</v>
      </c>
      <c r="E9336" s="10" t="s">
        <v>10015</v>
      </c>
      <c r="F9336" s="10" t="s">
        <v>201</v>
      </c>
      <c r="G9336" s="10" t="s">
        <v>6317</v>
      </c>
      <c r="H9336" s="11">
        <v>42520</v>
      </c>
      <c r="I9336" s="10">
        <v>2016</v>
      </c>
      <c r="J9336" s="10" t="s">
        <v>10015</v>
      </c>
      <c r="K9336" s="10">
        <v>200</v>
      </c>
      <c r="L9336" s="10" t="s">
        <v>42290</v>
      </c>
      <c r="M9336" s="10">
        <v>1</v>
      </c>
      <c r="N9336" s="10"/>
      <c r="O9336" s="10"/>
      <c r="P9336" s="10" t="s">
        <v>42291</v>
      </c>
      <c r="Q9336" s="10">
        <v>371.10199999999998</v>
      </c>
      <c r="R9336" s="10" t="s">
        <v>42292</v>
      </c>
      <c r="S9336" s="10" t="s">
        <v>53</v>
      </c>
      <c r="T9336" s="10" t="s">
        <v>54</v>
      </c>
    </row>
    <row r="9337" spans="1:20" ht="14.5" x14ac:dyDescent="0.35">
      <c r="A9337" s="10" t="s">
        <v>42293</v>
      </c>
      <c r="B9337" s="10" t="str">
        <f>"9781416622932"</f>
        <v>9781416622932</v>
      </c>
      <c r="C9337" s="10" t="str">
        <f>"9781416622291"</f>
        <v>9781416622291</v>
      </c>
      <c r="D9337" s="10" t="s">
        <v>10014</v>
      </c>
      <c r="E9337" s="10" t="s">
        <v>10015</v>
      </c>
      <c r="F9337" s="10" t="s">
        <v>201</v>
      </c>
      <c r="G9337" s="10" t="s">
        <v>6317</v>
      </c>
      <c r="H9337" s="11">
        <v>42572</v>
      </c>
      <c r="I9337" s="10">
        <v>2016</v>
      </c>
      <c r="J9337" s="10" t="s">
        <v>10015</v>
      </c>
      <c r="K9337" s="10">
        <v>168</v>
      </c>
      <c r="L9337" s="10" t="s">
        <v>15766</v>
      </c>
      <c r="M9337" s="10">
        <v>1</v>
      </c>
      <c r="N9337" s="10" t="s">
        <v>41748</v>
      </c>
      <c r="O9337" s="10"/>
      <c r="P9337" s="10"/>
      <c r="Q9337" s="10"/>
      <c r="R9337" s="10"/>
      <c r="S9337" s="10" t="s">
        <v>53</v>
      </c>
      <c r="T9337" s="10" t="s">
        <v>54</v>
      </c>
    </row>
    <row r="9338" spans="1:20" ht="14.5" x14ac:dyDescent="0.35">
      <c r="A9338" s="10" t="s">
        <v>42294</v>
      </c>
      <c r="B9338" s="10" t="str">
        <f>"9788024628851"</f>
        <v>9788024628851</v>
      </c>
      <c r="C9338" s="10" t="str">
        <f>"9788024629216"</f>
        <v>9788024629216</v>
      </c>
      <c r="D9338" s="10" t="s">
        <v>30935</v>
      </c>
      <c r="E9338" s="10" t="s">
        <v>40792</v>
      </c>
      <c r="F9338" s="10" t="s">
        <v>1796</v>
      </c>
      <c r="G9338" s="10" t="s">
        <v>30936</v>
      </c>
      <c r="H9338" s="11">
        <v>42036</v>
      </c>
      <c r="I9338" s="10">
        <v>2016</v>
      </c>
      <c r="J9338" s="10" t="s">
        <v>30935</v>
      </c>
      <c r="K9338" s="10">
        <v>234</v>
      </c>
      <c r="L9338" s="10" t="s">
        <v>42295</v>
      </c>
      <c r="M9338" s="10">
        <v>1</v>
      </c>
      <c r="N9338" s="10"/>
      <c r="O9338" s="10"/>
      <c r="P9338" s="10" t="s">
        <v>42296</v>
      </c>
      <c r="Q9338" s="10">
        <v>371.71609172400002</v>
      </c>
      <c r="R9338" s="10" t="s">
        <v>42297</v>
      </c>
      <c r="S9338" s="10" t="s">
        <v>4212</v>
      </c>
      <c r="T9338" s="10" t="s">
        <v>54</v>
      </c>
    </row>
    <row r="9339" spans="1:20" ht="14.5" x14ac:dyDescent="0.35">
      <c r="A9339" s="10" t="s">
        <v>42298</v>
      </c>
      <c r="B9339" s="10" t="str">
        <f>"9780823264520"</f>
        <v>9780823264520</v>
      </c>
      <c r="C9339" s="10" t="str">
        <f>"9780823264551"</f>
        <v>9780823264551</v>
      </c>
      <c r="D9339" s="10" t="s">
        <v>34735</v>
      </c>
      <c r="E9339" s="10" t="s">
        <v>34735</v>
      </c>
      <c r="F9339" s="10" t="s">
        <v>70</v>
      </c>
      <c r="G9339" s="10" t="s">
        <v>6317</v>
      </c>
      <c r="H9339" s="11">
        <v>42515</v>
      </c>
      <c r="I9339" s="10">
        <v>2016</v>
      </c>
      <c r="J9339" s="10" t="s">
        <v>34735</v>
      </c>
      <c r="K9339" s="10">
        <v>465</v>
      </c>
      <c r="L9339" s="10" t="s">
        <v>42299</v>
      </c>
      <c r="M9339" s="10">
        <v>1</v>
      </c>
      <c r="N9339" s="10"/>
      <c r="O9339" s="10"/>
      <c r="P9339" s="10" t="s">
        <v>42300</v>
      </c>
      <c r="Q9339" s="10" t="s">
        <v>42301</v>
      </c>
      <c r="R9339" s="10" t="s">
        <v>42302</v>
      </c>
      <c r="S9339" s="10" t="s">
        <v>53</v>
      </c>
      <c r="T9339" s="10" t="s">
        <v>9143</v>
      </c>
    </row>
    <row r="9340" spans="1:20" ht="14.5" x14ac:dyDescent="0.35">
      <c r="A9340" s="10" t="s">
        <v>42303</v>
      </c>
      <c r="B9340" s="10" t="str">
        <f>"9780823270118"</f>
        <v>9780823270118</v>
      </c>
      <c r="C9340" s="10" t="str">
        <f>"9780823270149"</f>
        <v>9780823270149</v>
      </c>
      <c r="D9340" s="10" t="s">
        <v>34735</v>
      </c>
      <c r="E9340" s="10" t="s">
        <v>34735</v>
      </c>
      <c r="F9340" s="10" t="s">
        <v>70</v>
      </c>
      <c r="G9340" s="10" t="s">
        <v>6317</v>
      </c>
      <c r="H9340" s="11">
        <v>42461</v>
      </c>
      <c r="I9340" s="10">
        <v>2016</v>
      </c>
      <c r="J9340" s="10" t="s">
        <v>34735</v>
      </c>
      <c r="K9340" s="10">
        <v>271</v>
      </c>
      <c r="L9340" s="10" t="s">
        <v>42304</v>
      </c>
      <c r="M9340" s="10">
        <v>1</v>
      </c>
      <c r="N9340" s="10" t="s">
        <v>42305</v>
      </c>
      <c r="O9340" s="10"/>
      <c r="P9340" s="10"/>
      <c r="Q9340" s="10"/>
      <c r="R9340" s="10" t="s">
        <v>42306</v>
      </c>
      <c r="S9340" s="10" t="s">
        <v>53</v>
      </c>
      <c r="T9340" s="10" t="s">
        <v>31674</v>
      </c>
    </row>
    <row r="9341" spans="1:20" ht="14.5" x14ac:dyDescent="0.35">
      <c r="A9341" s="10" t="s">
        <v>42307</v>
      </c>
      <c r="B9341" s="10" t="str">
        <f>"9786079361532"</f>
        <v>9786079361532</v>
      </c>
      <c r="C9341" s="10" t="str">
        <f>"9786079361556"</f>
        <v>9786079361556</v>
      </c>
      <c r="D9341" s="10" t="s">
        <v>35815</v>
      </c>
      <c r="E9341" s="10" t="s">
        <v>35815</v>
      </c>
      <c r="F9341" s="10" t="s">
        <v>35816</v>
      </c>
      <c r="G9341" s="10" t="s">
        <v>35817</v>
      </c>
      <c r="H9341" s="11">
        <v>41946</v>
      </c>
      <c r="I9341" s="10">
        <v>2014</v>
      </c>
      <c r="J9341" s="10" t="s">
        <v>35815</v>
      </c>
      <c r="K9341" s="10">
        <v>17</v>
      </c>
      <c r="L9341" s="10" t="s">
        <v>42308</v>
      </c>
      <c r="M9341" s="10">
        <v>1</v>
      </c>
      <c r="N9341" s="10" t="s">
        <v>42309</v>
      </c>
      <c r="O9341" s="10">
        <v>3</v>
      </c>
      <c r="P9341" s="10" t="s">
        <v>42310</v>
      </c>
      <c r="Q9341" s="10">
        <v>271.53019999999901</v>
      </c>
      <c r="R9341" s="10" t="s">
        <v>42311</v>
      </c>
      <c r="S9341" s="10" t="s">
        <v>119</v>
      </c>
      <c r="T9341" s="10" t="s">
        <v>8346</v>
      </c>
    </row>
    <row r="9342" spans="1:20" ht="14.5" x14ac:dyDescent="0.35">
      <c r="A9342" s="10" t="s">
        <v>42312</v>
      </c>
      <c r="B9342" s="10" t="str">
        <f>"9786079361624"</f>
        <v>9786079361624</v>
      </c>
      <c r="C9342" s="10" t="str">
        <f>"9786079361648"</f>
        <v>9786079361648</v>
      </c>
      <c r="D9342" s="10" t="s">
        <v>35815</v>
      </c>
      <c r="E9342" s="10" t="s">
        <v>35815</v>
      </c>
      <c r="F9342" s="10" t="s">
        <v>35816</v>
      </c>
      <c r="G9342" s="10" t="s">
        <v>35817</v>
      </c>
      <c r="H9342" s="11">
        <v>41955</v>
      </c>
      <c r="I9342" s="10">
        <v>2014</v>
      </c>
      <c r="J9342" s="10" t="s">
        <v>35815</v>
      </c>
      <c r="K9342" s="10">
        <v>253</v>
      </c>
      <c r="L9342" s="10" t="s">
        <v>42313</v>
      </c>
      <c r="M9342" s="10">
        <v>1</v>
      </c>
      <c r="N9342" s="10"/>
      <c r="O9342" s="10"/>
      <c r="P9342" s="10" t="s">
        <v>42314</v>
      </c>
      <c r="Q9342" s="10">
        <v>370.1</v>
      </c>
      <c r="R9342" s="10" t="s">
        <v>17321</v>
      </c>
      <c r="S9342" s="10" t="s">
        <v>119</v>
      </c>
      <c r="T9342" s="10" t="s">
        <v>54</v>
      </c>
    </row>
    <row r="9343" spans="1:20" ht="14.5" x14ac:dyDescent="0.35">
      <c r="A9343" s="10" t="s">
        <v>42315</v>
      </c>
      <c r="B9343" s="10" t="str">
        <f>"9786079361846"</f>
        <v>9786079361846</v>
      </c>
      <c r="C9343" s="10" t="str">
        <f>"9786079361822"</f>
        <v>9786079361822</v>
      </c>
      <c r="D9343" s="10" t="s">
        <v>35815</v>
      </c>
      <c r="E9343" s="10" t="s">
        <v>35815</v>
      </c>
      <c r="F9343" s="10" t="s">
        <v>35816</v>
      </c>
      <c r="G9343" s="10" t="s">
        <v>35817</v>
      </c>
      <c r="H9343" s="11">
        <v>42251</v>
      </c>
      <c r="I9343" s="10">
        <v>2015</v>
      </c>
      <c r="J9343" s="10" t="s">
        <v>35815</v>
      </c>
      <c r="K9343" s="10">
        <v>33</v>
      </c>
      <c r="L9343" s="10" t="s">
        <v>42316</v>
      </c>
      <c r="M9343" s="10">
        <v>1</v>
      </c>
      <c r="N9343" s="10" t="s">
        <v>42309</v>
      </c>
      <c r="O9343" s="10">
        <v>4</v>
      </c>
      <c r="P9343" s="10" t="s">
        <v>42317</v>
      </c>
      <c r="Q9343" s="10">
        <v>248.3</v>
      </c>
      <c r="R9343" s="10" t="s">
        <v>42318</v>
      </c>
      <c r="S9343" s="10" t="s">
        <v>119</v>
      </c>
      <c r="T9343" s="10" t="s">
        <v>8346</v>
      </c>
    </row>
    <row r="9344" spans="1:20" ht="14.5" x14ac:dyDescent="0.35">
      <c r="A9344" s="10" t="s">
        <v>42319</v>
      </c>
      <c r="B9344" s="10" t="str">
        <f>"9789004312050"</f>
        <v>9789004312050</v>
      </c>
      <c r="C9344" s="10" t="str">
        <f>"9789004312067"</f>
        <v>9789004312067</v>
      </c>
      <c r="D9344" s="10" t="s">
        <v>8564</v>
      </c>
      <c r="E9344" s="10" t="s">
        <v>8565</v>
      </c>
      <c r="F9344" s="10" t="s">
        <v>1420</v>
      </c>
      <c r="G9344" s="10" t="s">
        <v>6317</v>
      </c>
      <c r="H9344" s="11">
        <v>42530</v>
      </c>
      <c r="I9344" s="10">
        <v>2016</v>
      </c>
      <c r="J9344" s="10" t="s">
        <v>8565</v>
      </c>
      <c r="K9344" s="10">
        <v>270</v>
      </c>
      <c r="L9344" s="10" t="s">
        <v>42320</v>
      </c>
      <c r="M9344" s="10">
        <v>1</v>
      </c>
      <c r="N9344" s="10" t="s">
        <v>29084</v>
      </c>
      <c r="O9344" s="10">
        <v>33</v>
      </c>
      <c r="P9344" s="10" t="s">
        <v>42321</v>
      </c>
      <c r="Q9344" s="10" t="s">
        <v>34974</v>
      </c>
      <c r="R9344" s="10" t="s">
        <v>42322</v>
      </c>
      <c r="S9344" s="10" t="s">
        <v>53</v>
      </c>
      <c r="T9344" s="10" t="s">
        <v>6568</v>
      </c>
    </row>
    <row r="9345" spans="1:20" ht="14.5" x14ac:dyDescent="0.35">
      <c r="A9345" s="10" t="s">
        <v>42323</v>
      </c>
      <c r="B9345" s="10" t="str">
        <f>"9780761867968"</f>
        <v>9780761867968</v>
      </c>
      <c r="C9345" s="10" t="str">
        <f>"9780761867975"</f>
        <v>9780761867975</v>
      </c>
      <c r="D9345" s="10" t="s">
        <v>9752</v>
      </c>
      <c r="E9345" s="10" t="s">
        <v>17167</v>
      </c>
      <c r="F9345" s="10" t="s">
        <v>9754</v>
      </c>
      <c r="G9345" s="10" t="s">
        <v>6317</v>
      </c>
      <c r="H9345" s="11">
        <v>42536</v>
      </c>
      <c r="I9345" s="10">
        <v>2016</v>
      </c>
      <c r="J9345" s="10" t="s">
        <v>17167</v>
      </c>
      <c r="K9345" s="10">
        <v>188</v>
      </c>
      <c r="L9345" s="10" t="s">
        <v>42324</v>
      </c>
      <c r="M9345" s="10">
        <v>1</v>
      </c>
      <c r="N9345" s="10" t="s">
        <v>22645</v>
      </c>
      <c r="O9345" s="10"/>
      <c r="P9345" s="10"/>
      <c r="Q9345" s="10"/>
      <c r="R9345" s="10" t="s">
        <v>40739</v>
      </c>
      <c r="S9345" s="10" t="s">
        <v>53</v>
      </c>
      <c r="T9345" s="10" t="s">
        <v>54</v>
      </c>
    </row>
    <row r="9346" spans="1:20" ht="14.5" x14ac:dyDescent="0.35">
      <c r="A9346" s="10" t="s">
        <v>42325</v>
      </c>
      <c r="B9346" s="10" t="str">
        <f>"9781119222057"</f>
        <v>9781119222057</v>
      </c>
      <c r="C9346" s="10" t="str">
        <f>"9781119222156"</f>
        <v>9781119222156</v>
      </c>
      <c r="D9346" s="10" t="s">
        <v>6322</v>
      </c>
      <c r="E9346" s="10" t="s">
        <v>6323</v>
      </c>
      <c r="F9346" s="10" t="s">
        <v>4423</v>
      </c>
      <c r="G9346" s="10" t="s">
        <v>6317</v>
      </c>
      <c r="H9346" s="11">
        <v>42556</v>
      </c>
      <c r="I9346" s="10">
        <v>2016</v>
      </c>
      <c r="J9346" s="10" t="s">
        <v>6324</v>
      </c>
      <c r="K9346" s="10">
        <v>211</v>
      </c>
      <c r="L9346" s="10" t="s">
        <v>42326</v>
      </c>
      <c r="M9346" s="10">
        <v>1</v>
      </c>
      <c r="N9346" s="10"/>
      <c r="O9346" s="10"/>
      <c r="P9346" s="10" t="s">
        <v>42327</v>
      </c>
      <c r="Q9346" s="10"/>
      <c r="R9346" s="10" t="s">
        <v>42328</v>
      </c>
      <c r="S9346" s="10" t="s">
        <v>53</v>
      </c>
      <c r="T9346" s="10" t="s">
        <v>54</v>
      </c>
    </row>
    <row r="9347" spans="1:20" ht="14.5" x14ac:dyDescent="0.35">
      <c r="A9347" s="10" t="s">
        <v>42329</v>
      </c>
      <c r="B9347" s="10" t="str">
        <f>"9781556203589"</f>
        <v>9781556203589</v>
      </c>
      <c r="C9347" s="10" t="str">
        <f>"9781119292050"</f>
        <v>9781119292050</v>
      </c>
      <c r="D9347" s="10" t="s">
        <v>6322</v>
      </c>
      <c r="E9347" s="10" t="s">
        <v>2011</v>
      </c>
      <c r="F9347" s="10" t="s">
        <v>4423</v>
      </c>
      <c r="G9347" s="10" t="s">
        <v>6317</v>
      </c>
      <c r="H9347" s="11">
        <v>42552</v>
      </c>
      <c r="I9347" s="10">
        <v>2016</v>
      </c>
      <c r="J9347" s="10" t="s">
        <v>2011</v>
      </c>
      <c r="K9347" s="10">
        <v>430</v>
      </c>
      <c r="L9347" s="10" t="s">
        <v>42330</v>
      </c>
      <c r="M9347" s="10">
        <v>1</v>
      </c>
      <c r="N9347" s="10"/>
      <c r="O9347" s="10"/>
      <c r="P9347" s="10" t="s">
        <v>42331</v>
      </c>
      <c r="Q9347" s="10">
        <v>331.702</v>
      </c>
      <c r="R9347" s="10" t="s">
        <v>42332</v>
      </c>
      <c r="S9347" s="10" t="s">
        <v>53</v>
      </c>
      <c r="T9347" s="10" t="s">
        <v>10311</v>
      </c>
    </row>
    <row r="9348" spans="1:20" ht="14.5" x14ac:dyDescent="0.35">
      <c r="A9348" s="10" t="s">
        <v>42333</v>
      </c>
      <c r="B9348" s="10" t="str">
        <f>"9789462096080"</f>
        <v>9789462096080</v>
      </c>
      <c r="C9348" s="10" t="str">
        <f>"9789462096103"</f>
        <v>9789462096103</v>
      </c>
      <c r="D9348" s="10" t="s">
        <v>8564</v>
      </c>
      <c r="E9348" s="10" t="s">
        <v>8565</v>
      </c>
      <c r="F9348" s="10" t="s">
        <v>1420</v>
      </c>
      <c r="G9348" s="10" t="s">
        <v>6317</v>
      </c>
      <c r="H9348" s="11">
        <v>41640</v>
      </c>
      <c r="I9348" s="10">
        <v>2014</v>
      </c>
      <c r="J9348" s="10" t="s">
        <v>33259</v>
      </c>
      <c r="K9348" s="10">
        <v>218</v>
      </c>
      <c r="L9348" s="10" t="s">
        <v>42334</v>
      </c>
      <c r="M9348" s="10">
        <v>1</v>
      </c>
      <c r="N9348" s="10" t="s">
        <v>42335</v>
      </c>
      <c r="O9348" s="10">
        <v>16</v>
      </c>
      <c r="P9348" s="10" t="s">
        <v>42336</v>
      </c>
      <c r="Q9348" s="10">
        <v>370.71550000000002</v>
      </c>
      <c r="R9348" s="10" t="s">
        <v>42337</v>
      </c>
      <c r="S9348" s="10" t="s">
        <v>53</v>
      </c>
      <c r="T9348" s="10" t="s">
        <v>54</v>
      </c>
    </row>
    <row r="9349" spans="1:20" ht="14.5" x14ac:dyDescent="0.35">
      <c r="A9349" s="10" t="s">
        <v>42338</v>
      </c>
      <c r="B9349" s="10" t="str">
        <f>"9789462096967"</f>
        <v>9789462096967</v>
      </c>
      <c r="C9349" s="10" t="str">
        <f>"9789462096981"</f>
        <v>9789462096981</v>
      </c>
      <c r="D9349" s="10" t="s">
        <v>8564</v>
      </c>
      <c r="E9349" s="10" t="s">
        <v>8565</v>
      </c>
      <c r="F9349" s="10" t="s">
        <v>33250</v>
      </c>
      <c r="G9349" s="10" t="s">
        <v>9233</v>
      </c>
      <c r="H9349" s="11">
        <v>41640</v>
      </c>
      <c r="I9349" s="10">
        <v>2014</v>
      </c>
      <c r="J9349" s="10" t="s">
        <v>33259</v>
      </c>
      <c r="K9349" s="10">
        <v>164</v>
      </c>
      <c r="L9349" s="10" t="s">
        <v>42339</v>
      </c>
      <c r="M9349" s="10">
        <v>1</v>
      </c>
      <c r="N9349" s="10"/>
      <c r="O9349" s="10"/>
      <c r="P9349" s="10" t="s">
        <v>19534</v>
      </c>
      <c r="Q9349" s="10">
        <v>370.72</v>
      </c>
      <c r="R9349" s="10" t="s">
        <v>42340</v>
      </c>
      <c r="S9349" s="10" t="s">
        <v>53</v>
      </c>
      <c r="T9349" s="10" t="s">
        <v>54</v>
      </c>
    </row>
    <row r="9350" spans="1:20" ht="14.5" x14ac:dyDescent="0.35">
      <c r="A9350" s="10" t="s">
        <v>42341</v>
      </c>
      <c r="B9350" s="10" t="str">
        <f>"9789462096578"</f>
        <v>9789462096578</v>
      </c>
      <c r="C9350" s="10" t="str">
        <f>"9789462096592"</f>
        <v>9789462096592</v>
      </c>
      <c r="D9350" s="10" t="s">
        <v>8564</v>
      </c>
      <c r="E9350" s="10" t="s">
        <v>8565</v>
      </c>
      <c r="F9350" s="10" t="s">
        <v>1420</v>
      </c>
      <c r="G9350" s="10" t="s">
        <v>6317</v>
      </c>
      <c r="H9350" s="11">
        <v>41640</v>
      </c>
      <c r="I9350" s="10">
        <v>2014</v>
      </c>
      <c r="J9350" s="10" t="s">
        <v>33259</v>
      </c>
      <c r="K9350" s="10">
        <v>235</v>
      </c>
      <c r="L9350" s="10" t="s">
        <v>42342</v>
      </c>
      <c r="M9350" s="10">
        <v>1</v>
      </c>
      <c r="N9350" s="10" t="s">
        <v>33837</v>
      </c>
      <c r="O9350" s="10">
        <v>1</v>
      </c>
      <c r="P9350" s="10" t="s">
        <v>19534</v>
      </c>
      <c r="Q9350" s="10"/>
      <c r="R9350" s="10"/>
      <c r="S9350" s="10" t="s">
        <v>53</v>
      </c>
      <c r="T9350" s="10" t="s">
        <v>54</v>
      </c>
    </row>
    <row r="9351" spans="1:20" ht="14.5" x14ac:dyDescent="0.35">
      <c r="A9351" s="10" t="s">
        <v>42343</v>
      </c>
      <c r="B9351" s="10" t="str">
        <f>"9789462096233"</f>
        <v>9789462096233</v>
      </c>
      <c r="C9351" s="10" t="str">
        <f>"9789462096264"</f>
        <v>9789462096264</v>
      </c>
      <c r="D9351" s="10" t="s">
        <v>8564</v>
      </c>
      <c r="E9351" s="10" t="s">
        <v>13067</v>
      </c>
      <c r="F9351" s="10" t="s">
        <v>33250</v>
      </c>
      <c r="G9351" s="10" t="s">
        <v>9233</v>
      </c>
      <c r="H9351" s="11">
        <v>41640</v>
      </c>
      <c r="I9351" s="10">
        <v>2014</v>
      </c>
      <c r="J9351" s="10" t="s">
        <v>13067</v>
      </c>
      <c r="K9351" s="10">
        <v>269</v>
      </c>
      <c r="L9351" s="10" t="s">
        <v>42344</v>
      </c>
      <c r="M9351" s="10">
        <v>1</v>
      </c>
      <c r="N9351" s="10"/>
      <c r="O9351" s="10"/>
      <c r="P9351" s="10" t="s">
        <v>19534</v>
      </c>
      <c r="Q9351" s="10"/>
      <c r="R9351" s="10" t="s">
        <v>7448</v>
      </c>
      <c r="S9351" s="10" t="s">
        <v>53</v>
      </c>
      <c r="T9351" s="10" t="s">
        <v>54</v>
      </c>
    </row>
    <row r="9352" spans="1:20" ht="14.5" x14ac:dyDescent="0.35">
      <c r="A9352" s="10" t="s">
        <v>42345</v>
      </c>
      <c r="B9352" s="10" t="str">
        <f>"9789462097025"</f>
        <v>9789462097025</v>
      </c>
      <c r="C9352" s="10" t="str">
        <f>"9789462097049"</f>
        <v>9789462097049</v>
      </c>
      <c r="D9352" s="10" t="s">
        <v>8564</v>
      </c>
      <c r="E9352" s="10" t="s">
        <v>13067</v>
      </c>
      <c r="F9352" s="10" t="s">
        <v>33250</v>
      </c>
      <c r="G9352" s="10" t="s">
        <v>9233</v>
      </c>
      <c r="H9352" s="11">
        <v>41640</v>
      </c>
      <c r="I9352" s="10">
        <v>2014</v>
      </c>
      <c r="J9352" s="10" t="s">
        <v>13067</v>
      </c>
      <c r="K9352" s="10">
        <v>144</v>
      </c>
      <c r="L9352" s="10" t="s">
        <v>42346</v>
      </c>
      <c r="M9352" s="10">
        <v>1</v>
      </c>
      <c r="N9352" s="10"/>
      <c r="O9352" s="10"/>
      <c r="P9352" s="10" t="s">
        <v>19534</v>
      </c>
      <c r="Q9352" s="10"/>
      <c r="R9352" s="10" t="s">
        <v>42347</v>
      </c>
      <c r="S9352" s="10" t="s">
        <v>53</v>
      </c>
      <c r="T9352" s="10" t="s">
        <v>54</v>
      </c>
    </row>
    <row r="9353" spans="1:20" ht="14.5" x14ac:dyDescent="0.35">
      <c r="A9353" s="10" t="s">
        <v>42348</v>
      </c>
      <c r="B9353" s="10" t="str">
        <f>"9789462095670"</f>
        <v>9789462095670</v>
      </c>
      <c r="C9353" s="10" t="str">
        <f>"9789462095694"</f>
        <v>9789462095694</v>
      </c>
      <c r="D9353" s="10" t="s">
        <v>8564</v>
      </c>
      <c r="E9353" s="10" t="s">
        <v>13067</v>
      </c>
      <c r="F9353" s="10" t="s">
        <v>33250</v>
      </c>
      <c r="G9353" s="10" t="s">
        <v>9233</v>
      </c>
      <c r="H9353" s="11">
        <v>41640</v>
      </c>
      <c r="I9353" s="10">
        <v>2014</v>
      </c>
      <c r="J9353" s="10" t="s">
        <v>13067</v>
      </c>
      <c r="K9353" s="10">
        <v>249</v>
      </c>
      <c r="L9353" s="10" t="s">
        <v>42349</v>
      </c>
      <c r="M9353" s="10">
        <v>1</v>
      </c>
      <c r="N9353" s="10" t="s">
        <v>33257</v>
      </c>
      <c r="O9353" s="10">
        <v>28</v>
      </c>
      <c r="P9353" s="10" t="s">
        <v>19534</v>
      </c>
      <c r="Q9353" s="10">
        <v>378.24</v>
      </c>
      <c r="R9353" s="10" t="s">
        <v>42350</v>
      </c>
      <c r="S9353" s="10" t="s">
        <v>53</v>
      </c>
      <c r="T9353" s="10" t="s">
        <v>54</v>
      </c>
    </row>
    <row r="9354" spans="1:20" ht="14.5" x14ac:dyDescent="0.35">
      <c r="A9354" s="10" t="s">
        <v>42351</v>
      </c>
      <c r="B9354" s="10" t="str">
        <f>"9789463000383"</f>
        <v>9789463000383</v>
      </c>
      <c r="C9354" s="10" t="str">
        <f>"9789463000406"</f>
        <v>9789463000406</v>
      </c>
      <c r="D9354" s="10" t="s">
        <v>8564</v>
      </c>
      <c r="E9354" s="10" t="s">
        <v>13067</v>
      </c>
      <c r="F9354" s="10" t="s">
        <v>33250</v>
      </c>
      <c r="G9354" s="10" t="s">
        <v>9233</v>
      </c>
      <c r="H9354" s="11">
        <v>42005</v>
      </c>
      <c r="I9354" s="10">
        <v>2015</v>
      </c>
      <c r="J9354" s="10" t="s">
        <v>13067</v>
      </c>
      <c r="K9354" s="10">
        <v>155</v>
      </c>
      <c r="L9354" s="10" t="s">
        <v>35665</v>
      </c>
      <c r="M9354" s="10">
        <v>1</v>
      </c>
      <c r="N9354" s="10"/>
      <c r="O9354" s="10"/>
      <c r="P9354" s="10" t="s">
        <v>19534</v>
      </c>
      <c r="Q9354" s="10"/>
      <c r="R9354" s="10" t="s">
        <v>42352</v>
      </c>
      <c r="S9354" s="10" t="s">
        <v>53</v>
      </c>
      <c r="T9354" s="10" t="s">
        <v>54</v>
      </c>
    </row>
    <row r="9355" spans="1:20" ht="14.5" x14ac:dyDescent="0.35">
      <c r="A9355" s="10" t="s">
        <v>42353</v>
      </c>
      <c r="B9355" s="10" t="str">
        <f>"9789463000260"</f>
        <v>9789463000260</v>
      </c>
      <c r="C9355" s="10" t="str">
        <f>"9789463000284"</f>
        <v>9789463000284</v>
      </c>
      <c r="D9355" s="10" t="s">
        <v>8564</v>
      </c>
      <c r="E9355" s="10" t="s">
        <v>8565</v>
      </c>
      <c r="F9355" s="10" t="s">
        <v>1420</v>
      </c>
      <c r="G9355" s="10" t="s">
        <v>6317</v>
      </c>
      <c r="H9355" s="11">
        <v>42005</v>
      </c>
      <c r="I9355" s="10">
        <v>2015</v>
      </c>
      <c r="J9355" s="10" t="s">
        <v>33259</v>
      </c>
      <c r="K9355" s="10">
        <v>328</v>
      </c>
      <c r="L9355" s="10" t="s">
        <v>42354</v>
      </c>
      <c r="M9355" s="10">
        <v>1</v>
      </c>
      <c r="N9355" s="10"/>
      <c r="O9355" s="10"/>
      <c r="P9355" s="10" t="s">
        <v>19534</v>
      </c>
      <c r="Q9355" s="10"/>
      <c r="R9355" s="10" t="s">
        <v>42355</v>
      </c>
      <c r="S9355" s="10" t="s">
        <v>53</v>
      </c>
      <c r="T9355" s="10" t="s">
        <v>54</v>
      </c>
    </row>
    <row r="9356" spans="1:20" ht="14.5" x14ac:dyDescent="0.35">
      <c r="A9356" s="10" t="s">
        <v>42356</v>
      </c>
      <c r="B9356" s="10" t="str">
        <f>"9789463000055"</f>
        <v>9789463000055</v>
      </c>
      <c r="C9356" s="10" t="str">
        <f>"9789463000079"</f>
        <v>9789463000079</v>
      </c>
      <c r="D9356" s="10" t="s">
        <v>8564</v>
      </c>
      <c r="E9356" s="10" t="s">
        <v>13067</v>
      </c>
      <c r="F9356" s="10" t="s">
        <v>33250</v>
      </c>
      <c r="G9356" s="10" t="s">
        <v>9233</v>
      </c>
      <c r="H9356" s="11">
        <v>42005</v>
      </c>
      <c r="I9356" s="10">
        <v>2015</v>
      </c>
      <c r="J9356" s="10" t="s">
        <v>13067</v>
      </c>
      <c r="K9356" s="10">
        <v>354</v>
      </c>
      <c r="L9356" s="10" t="s">
        <v>42357</v>
      </c>
      <c r="M9356" s="10">
        <v>1</v>
      </c>
      <c r="N9356" s="10" t="s">
        <v>33576</v>
      </c>
      <c r="O9356" s="10">
        <v>3</v>
      </c>
      <c r="P9356" s="10" t="s">
        <v>19534</v>
      </c>
      <c r="Q9356" s="10">
        <v>378.10300000000001</v>
      </c>
      <c r="R9356" s="10" t="s">
        <v>42358</v>
      </c>
      <c r="S9356" s="10" t="s">
        <v>53</v>
      </c>
      <c r="T9356" s="10" t="s">
        <v>54</v>
      </c>
    </row>
    <row r="9357" spans="1:20" ht="14.5" x14ac:dyDescent="0.35">
      <c r="A9357" s="10" t="s">
        <v>42359</v>
      </c>
      <c r="B9357" s="10" t="str">
        <f>"9789463000710"</f>
        <v>9789463000710</v>
      </c>
      <c r="C9357" s="10" t="str">
        <f>"9789463000734"</f>
        <v>9789463000734</v>
      </c>
      <c r="D9357" s="10" t="s">
        <v>8564</v>
      </c>
      <c r="E9357" s="10" t="s">
        <v>8565</v>
      </c>
      <c r="F9357" s="10" t="s">
        <v>1420</v>
      </c>
      <c r="G9357" s="10" t="s">
        <v>6317</v>
      </c>
      <c r="H9357" s="11">
        <v>42005</v>
      </c>
      <c r="I9357" s="10">
        <v>2015</v>
      </c>
      <c r="J9357" s="10" t="s">
        <v>33259</v>
      </c>
      <c r="K9357" s="10">
        <v>131</v>
      </c>
      <c r="L9357" s="10" t="s">
        <v>42360</v>
      </c>
      <c r="M9357" s="10">
        <v>1</v>
      </c>
      <c r="N9357" s="10"/>
      <c r="O9357" s="10"/>
      <c r="P9357" s="10" t="s">
        <v>19534</v>
      </c>
      <c r="Q9357" s="10"/>
      <c r="R9357" s="10" t="s">
        <v>42361</v>
      </c>
      <c r="S9357" s="10" t="s">
        <v>53</v>
      </c>
      <c r="T9357" s="10" t="s">
        <v>54</v>
      </c>
    </row>
    <row r="9358" spans="1:20" ht="14.5" x14ac:dyDescent="0.35">
      <c r="A9358" s="10" t="s">
        <v>42362</v>
      </c>
      <c r="B9358" s="10" t="str">
        <f>"9789463000567"</f>
        <v>9789463000567</v>
      </c>
      <c r="C9358" s="10" t="str">
        <f>"9789463000581"</f>
        <v>9789463000581</v>
      </c>
      <c r="D9358" s="10" t="s">
        <v>8564</v>
      </c>
      <c r="E9358" s="10" t="s">
        <v>13067</v>
      </c>
      <c r="F9358" s="10" t="s">
        <v>33250</v>
      </c>
      <c r="G9358" s="10" t="s">
        <v>9233</v>
      </c>
      <c r="H9358" s="11">
        <v>42005</v>
      </c>
      <c r="I9358" s="10">
        <v>2015</v>
      </c>
      <c r="J9358" s="10" t="s">
        <v>13067</v>
      </c>
      <c r="K9358" s="10">
        <v>362</v>
      </c>
      <c r="L9358" s="10" t="s">
        <v>42363</v>
      </c>
      <c r="M9358" s="10">
        <v>1</v>
      </c>
      <c r="N9358" s="10"/>
      <c r="O9358" s="10"/>
      <c r="P9358" s="10" t="s">
        <v>19534</v>
      </c>
      <c r="Q9358" s="10">
        <v>371.10199999999998</v>
      </c>
      <c r="R9358" s="10" t="s">
        <v>18604</v>
      </c>
      <c r="S9358" s="10" t="s">
        <v>53</v>
      </c>
      <c r="T9358" s="10" t="s">
        <v>54</v>
      </c>
    </row>
    <row r="9359" spans="1:20" ht="14.5" x14ac:dyDescent="0.35">
      <c r="A9359" s="10" t="s">
        <v>42364</v>
      </c>
      <c r="B9359" s="10" t="str">
        <f>"9781472524584"</f>
        <v>9781472524584</v>
      </c>
      <c r="C9359" s="10" t="str">
        <f>"9781472531636"</f>
        <v>9781472531636</v>
      </c>
      <c r="D9359" s="10" t="s">
        <v>13959</v>
      </c>
      <c r="E9359" s="10" t="s">
        <v>13960</v>
      </c>
      <c r="F9359" s="10" t="s">
        <v>139</v>
      </c>
      <c r="G9359" s="10" t="s">
        <v>6352</v>
      </c>
      <c r="H9359" s="11">
        <v>42593</v>
      </c>
      <c r="I9359" s="10">
        <v>2016</v>
      </c>
      <c r="J9359" s="10" t="s">
        <v>14057</v>
      </c>
      <c r="K9359" s="10">
        <v>194</v>
      </c>
      <c r="L9359" s="10" t="s">
        <v>42365</v>
      </c>
      <c r="M9359" s="10">
        <v>1</v>
      </c>
      <c r="N9359" s="10"/>
      <c r="O9359" s="10"/>
      <c r="P9359" s="10" t="s">
        <v>42366</v>
      </c>
      <c r="Q9359" s="10">
        <v>372.21</v>
      </c>
      <c r="R9359" s="10" t="s">
        <v>42367</v>
      </c>
      <c r="S9359" s="10" t="s">
        <v>53</v>
      </c>
      <c r="T9359" s="10" t="s">
        <v>54</v>
      </c>
    </row>
    <row r="9360" spans="1:20" ht="14.5" x14ac:dyDescent="0.35">
      <c r="A9360" s="10" t="s">
        <v>42368</v>
      </c>
      <c r="B9360" s="10" t="str">
        <f>"9781474235976"</f>
        <v>9781474235976</v>
      </c>
      <c r="C9360" s="10" t="str">
        <f>"9781474235983"</f>
        <v>9781474235983</v>
      </c>
      <c r="D9360" s="10" t="s">
        <v>13959</v>
      </c>
      <c r="E9360" s="10" t="s">
        <v>13960</v>
      </c>
      <c r="F9360" s="10" t="s">
        <v>139</v>
      </c>
      <c r="G9360" s="10" t="s">
        <v>6352</v>
      </c>
      <c r="H9360" s="11">
        <v>42593</v>
      </c>
      <c r="I9360" s="10">
        <v>2016</v>
      </c>
      <c r="J9360" s="10" t="s">
        <v>14057</v>
      </c>
      <c r="K9360" s="10">
        <v>230</v>
      </c>
      <c r="L9360" s="10" t="s">
        <v>42369</v>
      </c>
      <c r="M9360" s="10">
        <v>1</v>
      </c>
      <c r="N9360" s="10"/>
      <c r="O9360" s="10"/>
      <c r="P9360" s="10" t="s">
        <v>42370</v>
      </c>
      <c r="Q9360" s="10">
        <v>370.11599999999999</v>
      </c>
      <c r="R9360" s="10" t="s">
        <v>21354</v>
      </c>
      <c r="S9360" s="10" t="s">
        <v>53</v>
      </c>
      <c r="T9360" s="10" t="s">
        <v>54</v>
      </c>
    </row>
    <row r="9361" spans="1:20" ht="14.5" x14ac:dyDescent="0.35">
      <c r="A9361" s="10" t="s">
        <v>42371</v>
      </c>
      <c r="B9361" s="10" t="str">
        <f>"9781855390782"</f>
        <v>9781855390782</v>
      </c>
      <c r="C9361" s="10" t="str">
        <f>"9781855397118"</f>
        <v>9781855397118</v>
      </c>
      <c r="D9361" s="10" t="s">
        <v>13959</v>
      </c>
      <c r="E9361" s="10" t="s">
        <v>13960</v>
      </c>
      <c r="F9361" s="10" t="s">
        <v>139</v>
      </c>
      <c r="G9361" s="10" t="s">
        <v>6352</v>
      </c>
      <c r="H9361" s="11">
        <v>37012</v>
      </c>
      <c r="I9361" s="10">
        <v>2001</v>
      </c>
      <c r="J9361" s="10" t="s">
        <v>14120</v>
      </c>
      <c r="K9361" s="10">
        <v>225</v>
      </c>
      <c r="L9361" s="10" t="s">
        <v>42372</v>
      </c>
      <c r="M9361" s="10">
        <v>1</v>
      </c>
      <c r="N9361" s="10"/>
      <c r="O9361" s="10"/>
      <c r="P9361" s="10" t="s">
        <v>42373</v>
      </c>
      <c r="Q9361" s="10">
        <v>370.15230000000003</v>
      </c>
      <c r="R9361" s="10" t="s">
        <v>22626</v>
      </c>
      <c r="S9361" s="10" t="s">
        <v>53</v>
      </c>
      <c r="T9361" s="10" t="s">
        <v>54</v>
      </c>
    </row>
    <row r="9362" spans="1:20" ht="14.5" x14ac:dyDescent="0.35">
      <c r="A9362" s="10" t="s">
        <v>42374</v>
      </c>
      <c r="B9362" s="10" t="str">
        <f>"9781475807301"</f>
        <v>9781475807301</v>
      </c>
      <c r="C9362" s="10" t="str">
        <f>"9781475807318"</f>
        <v>9781475807318</v>
      </c>
      <c r="D9362" s="10" t="s">
        <v>9752</v>
      </c>
      <c r="E9362" s="10" t="s">
        <v>15187</v>
      </c>
      <c r="F9362" s="10" t="s">
        <v>9754</v>
      </c>
      <c r="G9362" s="10" t="s">
        <v>6317</v>
      </c>
      <c r="H9362" s="11">
        <v>42562</v>
      </c>
      <c r="I9362" s="10">
        <v>2016</v>
      </c>
      <c r="J9362" s="10" t="s">
        <v>15187</v>
      </c>
      <c r="K9362" s="10">
        <v>143</v>
      </c>
      <c r="L9362" s="10" t="s">
        <v>42375</v>
      </c>
      <c r="M9362" s="10">
        <v>1</v>
      </c>
      <c r="N9362" s="10"/>
      <c r="O9362" s="10"/>
      <c r="P9362" s="10" t="s">
        <v>42376</v>
      </c>
      <c r="Q9362" s="10" t="s">
        <v>24601</v>
      </c>
      <c r="R9362" s="10" t="s">
        <v>42377</v>
      </c>
      <c r="S9362" s="10" t="s">
        <v>53</v>
      </c>
      <c r="T9362" s="10" t="s">
        <v>54</v>
      </c>
    </row>
    <row r="9363" spans="1:20" ht="14.5" x14ac:dyDescent="0.35">
      <c r="A9363" s="10" t="s">
        <v>42378</v>
      </c>
      <c r="B9363" s="10" t="str">
        <f>"9783319329444"</f>
        <v>9783319329444</v>
      </c>
      <c r="C9363" s="10" t="str">
        <f>"9783319329451"</f>
        <v>9783319329451</v>
      </c>
      <c r="D9363" s="10" t="s">
        <v>11249</v>
      </c>
      <c r="E9363" s="10" t="s">
        <v>26623</v>
      </c>
      <c r="F9363" s="10" t="s">
        <v>26624</v>
      </c>
      <c r="G9363" s="10" t="s">
        <v>16676</v>
      </c>
      <c r="H9363" s="11">
        <v>42548</v>
      </c>
      <c r="I9363" s="10">
        <v>2016</v>
      </c>
      <c r="J9363" s="10" t="s">
        <v>26623</v>
      </c>
      <c r="K9363" s="10">
        <v>155</v>
      </c>
      <c r="L9363" s="10" t="s">
        <v>42379</v>
      </c>
      <c r="M9363" s="10">
        <v>2</v>
      </c>
      <c r="N9363" s="10" t="s">
        <v>42380</v>
      </c>
      <c r="O9363" s="10"/>
      <c r="P9363" s="10" t="s">
        <v>11313</v>
      </c>
      <c r="Q9363" s="10">
        <v>601</v>
      </c>
      <c r="R9363" s="10" t="s">
        <v>6534</v>
      </c>
      <c r="S9363" s="10" t="s">
        <v>53</v>
      </c>
      <c r="T9363" s="10" t="s">
        <v>7138</v>
      </c>
    </row>
    <row r="9364" spans="1:20" ht="14.5" x14ac:dyDescent="0.35">
      <c r="A9364" s="10" t="s">
        <v>42381</v>
      </c>
      <c r="B9364" s="10" t="str">
        <f>"9781629584201"</f>
        <v>9781629584201</v>
      </c>
      <c r="C9364" s="10" t="str">
        <f>"9781315416953"</f>
        <v>9781315416953</v>
      </c>
      <c r="D9364" s="10" t="s">
        <v>6350</v>
      </c>
      <c r="E9364" s="10" t="s">
        <v>6351</v>
      </c>
      <c r="F9364" s="10" t="s">
        <v>18342</v>
      </c>
      <c r="G9364" s="10" t="s">
        <v>6352</v>
      </c>
      <c r="H9364" s="11">
        <v>37652</v>
      </c>
      <c r="I9364" s="10">
        <v>2002</v>
      </c>
      <c r="J9364" s="10" t="s">
        <v>6353</v>
      </c>
      <c r="K9364" s="10">
        <v>97</v>
      </c>
      <c r="L9364" s="10" t="s">
        <v>31710</v>
      </c>
      <c r="M9364" s="10">
        <v>2</v>
      </c>
      <c r="N9364" s="10"/>
      <c r="O9364" s="10"/>
      <c r="P9364" s="10" t="s">
        <v>42382</v>
      </c>
      <c r="Q9364" s="10">
        <v>371.10199999999998</v>
      </c>
      <c r="R9364" s="10" t="s">
        <v>25345</v>
      </c>
      <c r="S9364" s="10" t="s">
        <v>53</v>
      </c>
      <c r="T9364" s="10" t="s">
        <v>54</v>
      </c>
    </row>
    <row r="9365" spans="1:20" ht="14.5" x14ac:dyDescent="0.35">
      <c r="A9365" s="10" t="s">
        <v>42383</v>
      </c>
      <c r="B9365" s="10" t="str">
        <f>"9783319312347"</f>
        <v>9783319312347</v>
      </c>
      <c r="C9365" s="10" t="str">
        <f>"9783319312354"</f>
        <v>9783319312354</v>
      </c>
      <c r="D9365" s="10" t="s">
        <v>11249</v>
      </c>
      <c r="E9365" s="10" t="s">
        <v>26623</v>
      </c>
      <c r="F9365" s="10" t="s">
        <v>26624</v>
      </c>
      <c r="G9365" s="10" t="s">
        <v>16676</v>
      </c>
      <c r="H9365" s="11">
        <v>42550</v>
      </c>
      <c r="I9365" s="10">
        <v>2016</v>
      </c>
      <c r="J9365" s="10" t="s">
        <v>26623</v>
      </c>
      <c r="K9365" s="10">
        <v>279</v>
      </c>
      <c r="L9365" s="10" t="s">
        <v>42384</v>
      </c>
      <c r="M9365" s="10">
        <v>1</v>
      </c>
      <c r="N9365" s="10" t="s">
        <v>42385</v>
      </c>
      <c r="O9365" s="10">
        <v>13</v>
      </c>
      <c r="P9365" s="10" t="s">
        <v>42386</v>
      </c>
      <c r="Q9365" s="10">
        <v>371.9</v>
      </c>
      <c r="R9365" s="10" t="s">
        <v>42387</v>
      </c>
      <c r="S9365" s="10" t="s">
        <v>53</v>
      </c>
      <c r="T9365" s="10" t="s">
        <v>54</v>
      </c>
    </row>
    <row r="9366" spans="1:20" ht="14.5" x14ac:dyDescent="0.35">
      <c r="A9366" s="10" t="s">
        <v>42388</v>
      </c>
      <c r="B9366" s="10" t="str">
        <f>"9781475828160"</f>
        <v>9781475828160</v>
      </c>
      <c r="C9366" s="10" t="str">
        <f>"9781475828177"</f>
        <v>9781475828177</v>
      </c>
      <c r="D9366" s="10" t="s">
        <v>9752</v>
      </c>
      <c r="E9366" s="10" t="s">
        <v>15187</v>
      </c>
      <c r="F9366" s="10" t="s">
        <v>9754</v>
      </c>
      <c r="G9366" s="10" t="s">
        <v>6317</v>
      </c>
      <c r="H9366" s="11">
        <v>42562</v>
      </c>
      <c r="I9366" s="10">
        <v>2016</v>
      </c>
      <c r="J9366" s="10" t="s">
        <v>15187</v>
      </c>
      <c r="K9366" s="10">
        <v>51</v>
      </c>
      <c r="L9366" s="10" t="s">
        <v>40150</v>
      </c>
      <c r="M9366" s="10">
        <v>1</v>
      </c>
      <c r="N9366" s="10" t="s">
        <v>40151</v>
      </c>
      <c r="O9366" s="10"/>
      <c r="P9366" s="10" t="s">
        <v>42389</v>
      </c>
      <c r="Q9366" s="10" t="s">
        <v>7299</v>
      </c>
      <c r="R9366" s="10" t="s">
        <v>42390</v>
      </c>
      <c r="S9366" s="10" t="s">
        <v>53</v>
      </c>
      <c r="T9366" s="10" t="s">
        <v>54</v>
      </c>
    </row>
    <row r="9367" spans="1:20" ht="14.5" x14ac:dyDescent="0.35">
      <c r="A9367" s="10" t="s">
        <v>42391</v>
      </c>
      <c r="B9367" s="10" t="str">
        <f>"9781119095156"</f>
        <v>9781119095156</v>
      </c>
      <c r="C9367" s="10" t="str">
        <f>"9781119095149"</f>
        <v>9781119095149</v>
      </c>
      <c r="D9367" s="10" t="s">
        <v>6322</v>
      </c>
      <c r="E9367" s="10" t="s">
        <v>6323</v>
      </c>
      <c r="F9367" s="10" t="s">
        <v>4423</v>
      </c>
      <c r="G9367" s="10" t="s">
        <v>6317</v>
      </c>
      <c r="H9367" s="11">
        <v>42569</v>
      </c>
      <c r="I9367" s="10">
        <v>2016</v>
      </c>
      <c r="J9367" s="10" t="s">
        <v>6324</v>
      </c>
      <c r="K9367" s="10">
        <v>238</v>
      </c>
      <c r="L9367" s="10" t="s">
        <v>42392</v>
      </c>
      <c r="M9367" s="10">
        <v>1</v>
      </c>
      <c r="N9367" s="10"/>
      <c r="O9367" s="10"/>
      <c r="P9367" s="10" t="s">
        <v>42393</v>
      </c>
      <c r="Q9367" s="10">
        <v>378.15430973000002</v>
      </c>
      <c r="R9367" s="10" t="s">
        <v>42394</v>
      </c>
      <c r="S9367" s="10" t="s">
        <v>53</v>
      </c>
      <c r="T9367" s="10" t="s">
        <v>54</v>
      </c>
    </row>
    <row r="9368" spans="1:20" ht="14.5" x14ac:dyDescent="0.35">
      <c r="A9368" s="10" t="s">
        <v>42395</v>
      </c>
      <c r="B9368" s="10" t="str">
        <f>"9783319284903"</f>
        <v>9783319284903</v>
      </c>
      <c r="C9368" s="10" t="str">
        <f>"9783319284927"</f>
        <v>9783319284927</v>
      </c>
      <c r="D9368" s="10" t="s">
        <v>11249</v>
      </c>
      <c r="E9368" s="10" t="s">
        <v>26623</v>
      </c>
      <c r="F9368" s="10" t="s">
        <v>26624</v>
      </c>
      <c r="G9368" s="10" t="s">
        <v>16676</v>
      </c>
      <c r="H9368" s="11">
        <v>42563</v>
      </c>
      <c r="I9368" s="10">
        <v>2016</v>
      </c>
      <c r="J9368" s="10" t="s">
        <v>26623</v>
      </c>
      <c r="K9368" s="10">
        <v>589</v>
      </c>
      <c r="L9368" s="10" t="s">
        <v>42396</v>
      </c>
      <c r="M9368" s="10">
        <v>1</v>
      </c>
      <c r="N9368" s="10"/>
      <c r="O9368" s="10"/>
      <c r="P9368" s="10" t="s">
        <v>27170</v>
      </c>
      <c r="Q9368" s="10">
        <v>371.90472</v>
      </c>
      <c r="R9368" s="10" t="s">
        <v>42397</v>
      </c>
      <c r="S9368" s="10" t="s">
        <v>53</v>
      </c>
      <c r="T9368" s="10" t="s">
        <v>54</v>
      </c>
    </row>
    <row r="9369" spans="1:20" ht="14.5" x14ac:dyDescent="0.35">
      <c r="A9369" s="10" t="s">
        <v>42398</v>
      </c>
      <c r="B9369" s="10" t="str">
        <f>"9783959346221"</f>
        <v>9783959346221</v>
      </c>
      <c r="C9369" s="10" t="str">
        <f>"9783959341226"</f>
        <v>9783959341226</v>
      </c>
      <c r="D9369" s="10" t="s">
        <v>27189</v>
      </c>
      <c r="E9369" s="10" t="s">
        <v>27190</v>
      </c>
      <c r="F9369" s="10" t="s">
        <v>2841</v>
      </c>
      <c r="G9369" s="10" t="s">
        <v>9998</v>
      </c>
      <c r="H9369" s="11">
        <v>42217</v>
      </c>
      <c r="I9369" s="10">
        <v>2015</v>
      </c>
      <c r="J9369" s="10" t="s">
        <v>27190</v>
      </c>
      <c r="K9369" s="10">
        <v>81</v>
      </c>
      <c r="L9369" s="10" t="s">
        <v>42399</v>
      </c>
      <c r="M9369" s="10">
        <v>1</v>
      </c>
      <c r="N9369" s="10"/>
      <c r="O9369" s="10"/>
      <c r="P9369" s="10" t="s">
        <v>42400</v>
      </c>
      <c r="Q9369" s="10">
        <v>615.85149999999896</v>
      </c>
      <c r="R9369" s="10" t="s">
        <v>42401</v>
      </c>
      <c r="S9369" s="10" t="s">
        <v>1519</v>
      </c>
      <c r="T9369" s="10" t="s">
        <v>8625</v>
      </c>
    </row>
    <row r="9370" spans="1:20" ht="14.5" x14ac:dyDescent="0.35">
      <c r="A9370" s="10" t="s">
        <v>42402</v>
      </c>
      <c r="B9370" s="10" t="str">
        <f>"9783959346962"</f>
        <v>9783959346962</v>
      </c>
      <c r="C9370" s="10" t="str">
        <f>"9783959341967"</f>
        <v>9783959341967</v>
      </c>
      <c r="D9370" s="10" t="s">
        <v>27189</v>
      </c>
      <c r="E9370" s="10" t="s">
        <v>27190</v>
      </c>
      <c r="F9370" s="10" t="s">
        <v>2841</v>
      </c>
      <c r="G9370" s="10" t="s">
        <v>9998</v>
      </c>
      <c r="H9370" s="11">
        <v>42217</v>
      </c>
      <c r="I9370" s="10">
        <v>2015</v>
      </c>
      <c r="J9370" s="10" t="s">
        <v>27190</v>
      </c>
      <c r="K9370" s="10">
        <v>78</v>
      </c>
      <c r="L9370" s="10" t="s">
        <v>42403</v>
      </c>
      <c r="M9370" s="10">
        <v>1</v>
      </c>
      <c r="N9370" s="10"/>
      <c r="O9370" s="10"/>
      <c r="P9370" s="10" t="s">
        <v>42404</v>
      </c>
      <c r="Q9370" s="10">
        <v>371.928</v>
      </c>
      <c r="R9370" s="10" t="s">
        <v>24373</v>
      </c>
      <c r="S9370" s="10" t="s">
        <v>1519</v>
      </c>
      <c r="T9370" s="10" t="s">
        <v>54</v>
      </c>
    </row>
    <row r="9371" spans="1:20" ht="14.5" x14ac:dyDescent="0.35">
      <c r="A9371" s="10" t="s">
        <v>42405</v>
      </c>
      <c r="B9371" s="10" t="str">
        <f>"9783959347273"</f>
        <v>9783959347273</v>
      </c>
      <c r="C9371" s="10" t="str">
        <f>"9783959342278"</f>
        <v>9783959342278</v>
      </c>
      <c r="D9371" s="10" t="s">
        <v>27189</v>
      </c>
      <c r="E9371" s="10" t="s">
        <v>27190</v>
      </c>
      <c r="F9371" s="10" t="s">
        <v>2841</v>
      </c>
      <c r="G9371" s="10" t="s">
        <v>9998</v>
      </c>
      <c r="H9371" s="11">
        <v>42248</v>
      </c>
      <c r="I9371" s="10">
        <v>2015</v>
      </c>
      <c r="J9371" s="10" t="s">
        <v>27190</v>
      </c>
      <c r="K9371" s="10">
        <v>72</v>
      </c>
      <c r="L9371" s="10" t="s">
        <v>42406</v>
      </c>
      <c r="M9371" s="10">
        <v>1</v>
      </c>
      <c r="N9371" s="10"/>
      <c r="O9371" s="10"/>
      <c r="P9371" s="10" t="s">
        <v>42407</v>
      </c>
      <c r="Q9371" s="10">
        <v>371.10199999999901</v>
      </c>
      <c r="R9371" s="10" t="s">
        <v>42408</v>
      </c>
      <c r="S9371" s="10" t="s">
        <v>1519</v>
      </c>
      <c r="T9371" s="10" t="s">
        <v>54</v>
      </c>
    </row>
    <row r="9372" spans="1:20" ht="14.5" x14ac:dyDescent="0.35">
      <c r="A9372" s="10" t="s">
        <v>42409</v>
      </c>
      <c r="B9372" s="10" t="str">
        <f>"9783959347358"</f>
        <v>9783959347358</v>
      </c>
      <c r="C9372" s="10" t="str">
        <f>"9783959342353"</f>
        <v>9783959342353</v>
      </c>
      <c r="D9372" s="10" t="s">
        <v>27189</v>
      </c>
      <c r="E9372" s="10" t="s">
        <v>27190</v>
      </c>
      <c r="F9372" s="10" t="s">
        <v>2841</v>
      </c>
      <c r="G9372" s="10" t="s">
        <v>9998</v>
      </c>
      <c r="H9372" s="11">
        <v>42217</v>
      </c>
      <c r="I9372" s="10">
        <v>2015</v>
      </c>
      <c r="J9372" s="10" t="s">
        <v>27190</v>
      </c>
      <c r="K9372" s="10">
        <v>100</v>
      </c>
      <c r="L9372" s="10" t="s">
        <v>42410</v>
      </c>
      <c r="M9372" s="10">
        <v>1</v>
      </c>
      <c r="N9372" s="10"/>
      <c r="O9372" s="10"/>
      <c r="P9372" s="10" t="s">
        <v>42411</v>
      </c>
      <c r="Q9372" s="10">
        <v>362.3</v>
      </c>
      <c r="R9372" s="10" t="s">
        <v>42412</v>
      </c>
      <c r="S9372" s="10" t="s">
        <v>1519</v>
      </c>
      <c r="T9372" s="10" t="s">
        <v>6363</v>
      </c>
    </row>
    <row r="9373" spans="1:20" ht="14.5" x14ac:dyDescent="0.35">
      <c r="A9373" s="10" t="s">
        <v>42413</v>
      </c>
      <c r="B9373" s="10" t="str">
        <f>"9781475827194"</f>
        <v>9781475827194</v>
      </c>
      <c r="C9373" s="10" t="str">
        <f>"9781475827200"</f>
        <v>9781475827200</v>
      </c>
      <c r="D9373" s="10" t="s">
        <v>9752</v>
      </c>
      <c r="E9373" s="10" t="s">
        <v>15187</v>
      </c>
      <c r="F9373" s="10" t="s">
        <v>9754</v>
      </c>
      <c r="G9373" s="10" t="s">
        <v>6317</v>
      </c>
      <c r="H9373" s="11">
        <v>42569</v>
      </c>
      <c r="I9373" s="10">
        <v>2016</v>
      </c>
      <c r="J9373" s="10" t="s">
        <v>15187</v>
      </c>
      <c r="K9373" s="10">
        <v>165</v>
      </c>
      <c r="L9373" s="10" t="s">
        <v>42414</v>
      </c>
      <c r="M9373" s="10">
        <v>1</v>
      </c>
      <c r="N9373" s="10"/>
      <c r="O9373" s="10"/>
      <c r="P9373" s="10"/>
      <c r="Q9373" s="10">
        <v>371.2</v>
      </c>
      <c r="R9373" s="10" t="s">
        <v>42415</v>
      </c>
      <c r="S9373" s="10" t="s">
        <v>53</v>
      </c>
      <c r="T9373" s="10" t="s">
        <v>54</v>
      </c>
    </row>
    <row r="9374" spans="1:20" ht="14.5" x14ac:dyDescent="0.35">
      <c r="A9374" s="10" t="s">
        <v>42416</v>
      </c>
      <c r="B9374" s="10" t="str">
        <f>"9781475828306"</f>
        <v>9781475828306</v>
      </c>
      <c r="C9374" s="10" t="str">
        <f>"9781475828337"</f>
        <v>9781475828337</v>
      </c>
      <c r="D9374" s="10" t="s">
        <v>9752</v>
      </c>
      <c r="E9374" s="10" t="s">
        <v>15187</v>
      </c>
      <c r="F9374" s="10" t="s">
        <v>9754</v>
      </c>
      <c r="G9374" s="10" t="s">
        <v>6317</v>
      </c>
      <c r="H9374" s="11">
        <v>42541</v>
      </c>
      <c r="I9374" s="10">
        <v>2016</v>
      </c>
      <c r="J9374" s="10" t="s">
        <v>15187</v>
      </c>
      <c r="K9374" s="10">
        <v>165</v>
      </c>
      <c r="L9374" s="10" t="s">
        <v>42417</v>
      </c>
      <c r="M9374" s="10">
        <v>1</v>
      </c>
      <c r="N9374" s="10"/>
      <c r="O9374" s="10"/>
      <c r="P9374" s="10" t="s">
        <v>42418</v>
      </c>
      <c r="Q9374" s="10">
        <v>379.09730000000002</v>
      </c>
      <c r="R9374" s="10" t="s">
        <v>28621</v>
      </c>
      <c r="S9374" s="10" t="s">
        <v>53</v>
      </c>
      <c r="T9374" s="10" t="s">
        <v>54</v>
      </c>
    </row>
    <row r="9375" spans="1:20" ht="14.5" x14ac:dyDescent="0.35">
      <c r="A9375" s="10" t="s">
        <v>42419</v>
      </c>
      <c r="B9375" s="10" t="str">
        <f>"9781119096320"</f>
        <v>9781119096320</v>
      </c>
      <c r="C9375" s="10" t="str">
        <f>"9781119107798"</f>
        <v>9781119107798</v>
      </c>
      <c r="D9375" s="10" t="s">
        <v>6322</v>
      </c>
      <c r="E9375" s="10" t="s">
        <v>6323</v>
      </c>
      <c r="F9375" s="10" t="s">
        <v>4423</v>
      </c>
      <c r="G9375" s="10" t="s">
        <v>6317</v>
      </c>
      <c r="H9375" s="11">
        <v>42569</v>
      </c>
      <c r="I9375" s="10">
        <v>2016</v>
      </c>
      <c r="J9375" s="10" t="s">
        <v>6324</v>
      </c>
      <c r="K9375" s="10">
        <v>550</v>
      </c>
      <c r="L9375" s="10" t="s">
        <v>41400</v>
      </c>
      <c r="M9375" s="10">
        <v>4</v>
      </c>
      <c r="N9375" s="10"/>
      <c r="O9375" s="10"/>
      <c r="P9375" s="10"/>
      <c r="Q9375" s="10" t="s">
        <v>42420</v>
      </c>
      <c r="R9375" s="10" t="s">
        <v>8224</v>
      </c>
      <c r="S9375" s="10" t="s">
        <v>53</v>
      </c>
      <c r="T9375" s="10" t="s">
        <v>54</v>
      </c>
    </row>
    <row r="9376" spans="1:20" ht="14.5" x14ac:dyDescent="0.35">
      <c r="A9376" s="10" t="s">
        <v>42421</v>
      </c>
      <c r="B9376" s="10" t="str">
        <f>"9781443885379"</f>
        <v>9781443885379</v>
      </c>
      <c r="C9376" s="10" t="str">
        <f>"9781443895408"</f>
        <v>9781443895408</v>
      </c>
      <c r="D9376" s="10" t="s">
        <v>23635</v>
      </c>
      <c r="E9376" s="10" t="s">
        <v>23635</v>
      </c>
      <c r="F9376" s="10" t="s">
        <v>23636</v>
      </c>
      <c r="G9376" s="10" t="s">
        <v>6352</v>
      </c>
      <c r="H9376" s="11">
        <v>42510</v>
      </c>
      <c r="I9376" s="10">
        <v>2016</v>
      </c>
      <c r="J9376" s="10" t="s">
        <v>23635</v>
      </c>
      <c r="K9376" s="10">
        <v>475</v>
      </c>
      <c r="L9376" s="10" t="s">
        <v>42422</v>
      </c>
      <c r="M9376" s="10">
        <v>1</v>
      </c>
      <c r="N9376" s="10"/>
      <c r="O9376" s="10"/>
      <c r="P9376" s="10" t="s">
        <v>42423</v>
      </c>
      <c r="Q9376" s="10">
        <v>808.04200000000003</v>
      </c>
      <c r="R9376" s="10" t="s">
        <v>42424</v>
      </c>
      <c r="S9376" s="10" t="s">
        <v>53</v>
      </c>
      <c r="T9376" s="10" t="s">
        <v>6568</v>
      </c>
    </row>
    <row r="9377" spans="1:20" ht="14.5" x14ac:dyDescent="0.35">
      <c r="A9377" s="10" t="s">
        <v>42425</v>
      </c>
      <c r="B9377" s="10" t="str">
        <f>"9781443888219"</f>
        <v>9781443888219</v>
      </c>
      <c r="C9377" s="10" t="str">
        <f>"9781443895545"</f>
        <v>9781443895545</v>
      </c>
      <c r="D9377" s="10" t="s">
        <v>23635</v>
      </c>
      <c r="E9377" s="10" t="s">
        <v>23635</v>
      </c>
      <c r="F9377" s="10" t="s">
        <v>23636</v>
      </c>
      <c r="G9377" s="10" t="s">
        <v>6352</v>
      </c>
      <c r="H9377" s="11">
        <v>42513</v>
      </c>
      <c r="I9377" s="10">
        <v>2016</v>
      </c>
      <c r="J9377" s="10" t="s">
        <v>23635</v>
      </c>
      <c r="K9377" s="10">
        <v>264</v>
      </c>
      <c r="L9377" s="10" t="s">
        <v>42426</v>
      </c>
      <c r="M9377" s="10">
        <v>1</v>
      </c>
      <c r="N9377" s="10"/>
      <c r="O9377" s="10"/>
      <c r="P9377" s="10" t="s">
        <v>42427</v>
      </c>
      <c r="Q9377" s="10">
        <v>370.1</v>
      </c>
      <c r="R9377" s="10" t="s">
        <v>17321</v>
      </c>
      <c r="S9377" s="10" t="s">
        <v>53</v>
      </c>
      <c r="T9377" s="10" t="s">
        <v>54</v>
      </c>
    </row>
    <row r="9378" spans="1:20" ht="14.5" x14ac:dyDescent="0.35">
      <c r="A9378" s="10" t="s">
        <v>42428</v>
      </c>
      <c r="B9378" s="10" t="str">
        <f>"9781443890595"</f>
        <v>9781443890595</v>
      </c>
      <c r="C9378" s="10" t="str">
        <f>"9781443896474"</f>
        <v>9781443896474</v>
      </c>
      <c r="D9378" s="10" t="s">
        <v>23635</v>
      </c>
      <c r="E9378" s="10" t="s">
        <v>23635</v>
      </c>
      <c r="F9378" s="10" t="s">
        <v>23636</v>
      </c>
      <c r="G9378" s="10" t="s">
        <v>6352</v>
      </c>
      <c r="H9378" s="11">
        <v>42513</v>
      </c>
      <c r="I9378" s="10">
        <v>2016</v>
      </c>
      <c r="J9378" s="10" t="s">
        <v>23635</v>
      </c>
      <c r="K9378" s="10">
        <v>164</v>
      </c>
      <c r="L9378" s="10" t="s">
        <v>42429</v>
      </c>
      <c r="M9378" s="10">
        <v>1</v>
      </c>
      <c r="N9378" s="10"/>
      <c r="O9378" s="10"/>
      <c r="P9378" s="10" t="s">
        <v>42430</v>
      </c>
      <c r="Q9378" s="10">
        <v>27.009</v>
      </c>
      <c r="R9378" s="10" t="s">
        <v>42431</v>
      </c>
      <c r="S9378" s="10" t="s">
        <v>53</v>
      </c>
      <c r="T9378" s="10" t="s">
        <v>10302</v>
      </c>
    </row>
    <row r="9379" spans="1:20" ht="14.5" x14ac:dyDescent="0.35">
      <c r="A9379" s="10" t="s">
        <v>42432</v>
      </c>
      <c r="B9379" s="10" t="str">
        <f>"9781443894500"</f>
        <v>9781443894500</v>
      </c>
      <c r="C9379" s="10" t="str">
        <f>"9781443896689"</f>
        <v>9781443896689</v>
      </c>
      <c r="D9379" s="10" t="s">
        <v>23635</v>
      </c>
      <c r="E9379" s="10" t="s">
        <v>23635</v>
      </c>
      <c r="F9379" s="10" t="s">
        <v>23636</v>
      </c>
      <c r="G9379" s="10" t="s">
        <v>6352</v>
      </c>
      <c r="H9379" s="11">
        <v>42529</v>
      </c>
      <c r="I9379" s="10">
        <v>2016</v>
      </c>
      <c r="J9379" s="10" t="s">
        <v>23635</v>
      </c>
      <c r="K9379" s="10">
        <v>268</v>
      </c>
      <c r="L9379" s="10" t="s">
        <v>42433</v>
      </c>
      <c r="M9379" s="10">
        <v>1</v>
      </c>
      <c r="N9379" s="10"/>
      <c r="O9379" s="10"/>
      <c r="P9379" s="10" t="s">
        <v>42434</v>
      </c>
      <c r="Q9379" s="10">
        <v>306.43200000000002</v>
      </c>
      <c r="R9379" s="10" t="s">
        <v>42435</v>
      </c>
      <c r="S9379" s="10" t="s">
        <v>53</v>
      </c>
      <c r="T9379" s="10" t="s">
        <v>6526</v>
      </c>
    </row>
    <row r="9380" spans="1:20" ht="14.5" x14ac:dyDescent="0.35">
      <c r="A9380" s="10" t="s">
        <v>42436</v>
      </c>
      <c r="B9380" s="10" t="str">
        <f>"9781771676229"</f>
        <v>9781771676229</v>
      </c>
      <c r="C9380" s="10" t="str">
        <f>"9781771676397"</f>
        <v>9781771676397</v>
      </c>
      <c r="D9380" s="10" t="s">
        <v>29364</v>
      </c>
      <c r="E9380" s="10" t="s">
        <v>31200</v>
      </c>
      <c r="F9380" s="10" t="s">
        <v>1232</v>
      </c>
      <c r="G9380" s="10" t="s">
        <v>6317</v>
      </c>
      <c r="H9380" s="11">
        <v>42488</v>
      </c>
      <c r="I9380" s="10">
        <v>2017</v>
      </c>
      <c r="J9380" s="10" t="s">
        <v>29364</v>
      </c>
      <c r="K9380" s="10">
        <v>56</v>
      </c>
      <c r="L9380" s="10" t="s">
        <v>39580</v>
      </c>
      <c r="M9380" s="10">
        <v>1</v>
      </c>
      <c r="N9380" s="10" t="s">
        <v>42437</v>
      </c>
      <c r="O9380" s="10">
        <v>33</v>
      </c>
      <c r="P9380" s="10" t="s">
        <v>42438</v>
      </c>
      <c r="Q9380" s="10">
        <v>823.8</v>
      </c>
      <c r="R9380" s="10" t="s">
        <v>42439</v>
      </c>
      <c r="S9380" s="10" t="s">
        <v>53</v>
      </c>
      <c r="T9380" s="10" t="s">
        <v>1166</v>
      </c>
    </row>
    <row r="9381" spans="1:20" ht="14.5" x14ac:dyDescent="0.35">
      <c r="A9381" s="10" t="s">
        <v>42440</v>
      </c>
      <c r="B9381" s="10" t="str">
        <f>"9782806276995"</f>
        <v>9782806276995</v>
      </c>
      <c r="C9381" s="10" t="str">
        <f>"9782806276988"</f>
        <v>9782806276988</v>
      </c>
      <c r="D9381" s="10" t="s">
        <v>29172</v>
      </c>
      <c r="E9381" s="10" t="s">
        <v>29173</v>
      </c>
      <c r="F9381" s="10" t="s">
        <v>29181</v>
      </c>
      <c r="G9381" s="10" t="s">
        <v>28737</v>
      </c>
      <c r="H9381" s="11">
        <v>42523</v>
      </c>
      <c r="I9381" s="10">
        <v>2016</v>
      </c>
      <c r="J9381" s="10" t="s">
        <v>31276</v>
      </c>
      <c r="K9381" s="10">
        <v>16</v>
      </c>
      <c r="L9381" s="10" t="s">
        <v>42441</v>
      </c>
      <c r="M9381" s="10">
        <v>1</v>
      </c>
      <c r="N9381" s="10" t="s">
        <v>41644</v>
      </c>
      <c r="O9381" s="10">
        <v>9</v>
      </c>
      <c r="P9381" s="10"/>
      <c r="Q9381" s="10"/>
      <c r="R9381" s="10"/>
      <c r="S9381" s="10" t="s">
        <v>5404</v>
      </c>
      <c r="T9381" s="10" t="s">
        <v>6660</v>
      </c>
    </row>
    <row r="9382" spans="1:20" ht="14.5" x14ac:dyDescent="0.35">
      <c r="A9382" s="10" t="s">
        <v>42442</v>
      </c>
      <c r="B9382" s="10" t="str">
        <f>"9782806278234"</f>
        <v>9782806278234</v>
      </c>
      <c r="C9382" s="10" t="str">
        <f>"9782806278227"</f>
        <v>9782806278227</v>
      </c>
      <c r="D9382" s="10" t="s">
        <v>29172</v>
      </c>
      <c r="E9382" s="10" t="s">
        <v>29173</v>
      </c>
      <c r="F9382" s="10" t="s">
        <v>29181</v>
      </c>
      <c r="G9382" s="10" t="s">
        <v>28737</v>
      </c>
      <c r="H9382" s="11">
        <v>42523</v>
      </c>
      <c r="I9382" s="10">
        <v>2016</v>
      </c>
      <c r="J9382" s="10" t="s">
        <v>29175</v>
      </c>
      <c r="K9382" s="10">
        <v>67</v>
      </c>
      <c r="L9382" s="10" t="s">
        <v>42443</v>
      </c>
      <c r="M9382" s="10">
        <v>1</v>
      </c>
      <c r="N9382" s="10" t="s">
        <v>29177</v>
      </c>
      <c r="O9382" s="10"/>
      <c r="P9382" s="10"/>
      <c r="Q9382" s="10"/>
      <c r="R9382" s="10" t="s">
        <v>42444</v>
      </c>
      <c r="S9382" s="10" t="s">
        <v>5404</v>
      </c>
      <c r="T9382" s="10" t="s">
        <v>6568</v>
      </c>
    </row>
    <row r="9383" spans="1:20" ht="14.5" x14ac:dyDescent="0.35">
      <c r="A9383" s="10" t="s">
        <v>42445</v>
      </c>
      <c r="B9383" s="10" t="str">
        <f>"9782806278333"</f>
        <v>9782806278333</v>
      </c>
      <c r="C9383" s="10" t="str">
        <f>"9782806278326"</f>
        <v>9782806278326</v>
      </c>
      <c r="D9383" s="10" t="s">
        <v>29172</v>
      </c>
      <c r="E9383" s="10" t="s">
        <v>29173</v>
      </c>
      <c r="F9383" s="10" t="s">
        <v>29181</v>
      </c>
      <c r="G9383" s="10" t="s">
        <v>28737</v>
      </c>
      <c r="H9383" s="11">
        <v>42523</v>
      </c>
      <c r="I9383" s="10">
        <v>2016</v>
      </c>
      <c r="J9383" s="10" t="s">
        <v>29175</v>
      </c>
      <c r="K9383" s="10">
        <v>17</v>
      </c>
      <c r="L9383" s="10" t="s">
        <v>39824</v>
      </c>
      <c r="M9383" s="10">
        <v>1</v>
      </c>
      <c r="N9383" s="10" t="s">
        <v>29177</v>
      </c>
      <c r="O9383" s="10"/>
      <c r="P9383" s="10"/>
      <c r="Q9383" s="10"/>
      <c r="R9383" s="10" t="s">
        <v>41668</v>
      </c>
      <c r="S9383" s="10" t="s">
        <v>5404</v>
      </c>
      <c r="T9383" s="10" t="s">
        <v>29186</v>
      </c>
    </row>
    <row r="9384" spans="1:20" ht="14.5" x14ac:dyDescent="0.35">
      <c r="A9384" s="10" t="s">
        <v>42446</v>
      </c>
      <c r="B9384" s="10" t="str">
        <f>"9781464807985"</f>
        <v>9781464807985</v>
      </c>
      <c r="C9384" s="10" t="str">
        <f>"9781464807954"</f>
        <v>9781464807954</v>
      </c>
      <c r="D9384" s="10" t="s">
        <v>14731</v>
      </c>
      <c r="E9384" s="10" t="s">
        <v>14732</v>
      </c>
      <c r="F9384" s="10" t="s">
        <v>88</v>
      </c>
      <c r="G9384" s="10" t="s">
        <v>6317</v>
      </c>
      <c r="H9384" s="11">
        <v>42453</v>
      </c>
      <c r="I9384" s="10">
        <v>2016</v>
      </c>
      <c r="J9384" s="10" t="s">
        <v>14732</v>
      </c>
      <c r="K9384" s="10">
        <v>183</v>
      </c>
      <c r="L9384" s="10" t="s">
        <v>42447</v>
      </c>
      <c r="M9384" s="10">
        <v>1</v>
      </c>
      <c r="N9384" s="10" t="s">
        <v>20668</v>
      </c>
      <c r="O9384" s="10"/>
      <c r="P9384" s="10" t="s">
        <v>42448</v>
      </c>
      <c r="Q9384" s="10">
        <v>378.68970000000002</v>
      </c>
      <c r="R9384" s="10" t="s">
        <v>42449</v>
      </c>
      <c r="S9384" s="10" t="s">
        <v>53</v>
      </c>
      <c r="T9384" s="10" t="s">
        <v>54</v>
      </c>
    </row>
    <row r="9385" spans="1:20" ht="14.5" x14ac:dyDescent="0.35">
      <c r="A9385" s="10" t="s">
        <v>42450</v>
      </c>
      <c r="B9385" s="10" t="str">
        <f>"9781635050608"</f>
        <v>9781635050608</v>
      </c>
      <c r="C9385" s="10" t="str">
        <f>"9781635051926"</f>
        <v>9781635051926</v>
      </c>
      <c r="D9385" s="10" t="s">
        <v>42451</v>
      </c>
      <c r="E9385" s="10" t="s">
        <v>42452</v>
      </c>
      <c r="F9385" s="10" t="s">
        <v>2186</v>
      </c>
      <c r="G9385" s="10" t="s">
        <v>6317</v>
      </c>
      <c r="H9385" s="11">
        <v>42563</v>
      </c>
      <c r="I9385" s="10">
        <v>2016</v>
      </c>
      <c r="J9385" s="10" t="s">
        <v>42452</v>
      </c>
      <c r="K9385" s="10">
        <v>133</v>
      </c>
      <c r="L9385" s="10" t="s">
        <v>42453</v>
      </c>
      <c r="M9385" s="10">
        <v>1</v>
      </c>
      <c r="N9385" s="10"/>
      <c r="O9385" s="10"/>
      <c r="P9385" s="10" t="s">
        <v>42454</v>
      </c>
      <c r="Q9385" s="10">
        <v>371.10199999999901</v>
      </c>
      <c r="R9385" s="10" t="s">
        <v>42455</v>
      </c>
      <c r="S9385" s="10" t="s">
        <v>53</v>
      </c>
      <c r="T9385" s="10" t="s">
        <v>54</v>
      </c>
    </row>
    <row r="9386" spans="1:20" ht="14.5" x14ac:dyDescent="0.35">
      <c r="A9386" s="10" t="s">
        <v>42456</v>
      </c>
      <c r="B9386" s="10" t="str">
        <f>"9780702254277"</f>
        <v>9780702254277</v>
      </c>
      <c r="C9386" s="10" t="str">
        <f>"9780702258442"</f>
        <v>9780702258442</v>
      </c>
      <c r="D9386" s="10" t="s">
        <v>9215</v>
      </c>
      <c r="E9386" s="10" t="s">
        <v>25358</v>
      </c>
      <c r="F9386" s="10" t="s">
        <v>25359</v>
      </c>
      <c r="G9386" s="10" t="s">
        <v>12975</v>
      </c>
      <c r="H9386" s="11">
        <v>42552</v>
      </c>
      <c r="I9386" s="10">
        <v>2016</v>
      </c>
      <c r="J9386" s="10" t="s">
        <v>25358</v>
      </c>
      <c r="K9386" s="10">
        <v>314</v>
      </c>
      <c r="L9386" s="10" t="s">
        <v>25573</v>
      </c>
      <c r="M9386" s="10">
        <v>1</v>
      </c>
      <c r="N9386" s="10"/>
      <c r="O9386" s="10"/>
      <c r="P9386" s="10" t="s">
        <v>42457</v>
      </c>
      <c r="Q9386" s="10">
        <v>378.94</v>
      </c>
      <c r="R9386" s="10" t="s">
        <v>42458</v>
      </c>
      <c r="S9386" s="10" t="s">
        <v>53</v>
      </c>
      <c r="T9386" s="10" t="s">
        <v>54</v>
      </c>
    </row>
    <row r="9387" spans="1:20" ht="14.5" x14ac:dyDescent="0.35">
      <c r="A9387" s="10" t="s">
        <v>42459</v>
      </c>
      <c r="B9387" s="10" t="str">
        <f>"9781119119517"</f>
        <v>9781119119517</v>
      </c>
      <c r="C9387" s="10" t="str">
        <f>"9781119119524"</f>
        <v>9781119119524</v>
      </c>
      <c r="D9387" s="10" t="s">
        <v>6322</v>
      </c>
      <c r="E9387" s="10" t="s">
        <v>6323</v>
      </c>
      <c r="F9387" s="10" t="s">
        <v>70</v>
      </c>
      <c r="G9387" s="10" t="s">
        <v>6317</v>
      </c>
      <c r="H9387" s="11">
        <v>42576</v>
      </c>
      <c r="I9387" s="10">
        <v>2016</v>
      </c>
      <c r="J9387" s="10" t="s">
        <v>6324</v>
      </c>
      <c r="K9387" s="10">
        <v>118</v>
      </c>
      <c r="L9387" s="10" t="s">
        <v>42460</v>
      </c>
      <c r="M9387" s="10">
        <v>1</v>
      </c>
      <c r="N9387" s="10"/>
      <c r="O9387" s="10"/>
      <c r="P9387" s="10" t="s">
        <v>42461</v>
      </c>
      <c r="Q9387" s="10">
        <v>378.19799999999998</v>
      </c>
      <c r="R9387" s="10" t="s">
        <v>42462</v>
      </c>
      <c r="S9387" s="10" t="s">
        <v>53</v>
      </c>
      <c r="T9387" s="10" t="s">
        <v>54</v>
      </c>
    </row>
    <row r="9388" spans="1:20" ht="14.5" x14ac:dyDescent="0.35">
      <c r="A9388" s="10" t="s">
        <v>42463</v>
      </c>
      <c r="B9388" s="10" t="str">
        <f>"9783319388236"</f>
        <v>9783319388236</v>
      </c>
      <c r="C9388" s="10" t="str">
        <f>"9783319388243"</f>
        <v>9783319388243</v>
      </c>
      <c r="D9388" s="10" t="s">
        <v>11249</v>
      </c>
      <c r="E9388" s="10" t="s">
        <v>26623</v>
      </c>
      <c r="F9388" s="10" t="s">
        <v>26624</v>
      </c>
      <c r="G9388" s="10" t="s">
        <v>16676</v>
      </c>
      <c r="H9388" s="11">
        <v>42556</v>
      </c>
      <c r="I9388" s="10">
        <v>2016</v>
      </c>
      <c r="J9388" s="10" t="s">
        <v>26623</v>
      </c>
      <c r="K9388" s="10">
        <v>173</v>
      </c>
      <c r="L9388" s="10" t="s">
        <v>42464</v>
      </c>
      <c r="M9388" s="10">
        <v>1</v>
      </c>
      <c r="N9388" s="10"/>
      <c r="O9388" s="10"/>
      <c r="P9388" s="10" t="s">
        <v>19534</v>
      </c>
      <c r="Q9388" s="10">
        <v>510.71</v>
      </c>
      <c r="R9388" s="10" t="s">
        <v>54</v>
      </c>
      <c r="S9388" s="10" t="s">
        <v>53</v>
      </c>
      <c r="T9388" s="10" t="s">
        <v>6448</v>
      </c>
    </row>
    <row r="9389" spans="1:20" ht="14.5" x14ac:dyDescent="0.35">
      <c r="A9389" s="10" t="s">
        <v>42465</v>
      </c>
      <c r="B9389" s="10" t="str">
        <f>"9781475804249"</f>
        <v>9781475804249</v>
      </c>
      <c r="C9389" s="10" t="str">
        <f>"9781475804256"</f>
        <v>9781475804256</v>
      </c>
      <c r="D9389" s="10" t="s">
        <v>9752</v>
      </c>
      <c r="E9389" s="10" t="s">
        <v>15187</v>
      </c>
      <c r="F9389" s="10" t="s">
        <v>9754</v>
      </c>
      <c r="G9389" s="10" t="s">
        <v>6317</v>
      </c>
      <c r="H9389" s="11">
        <v>42569</v>
      </c>
      <c r="I9389" s="10">
        <v>2016</v>
      </c>
      <c r="J9389" s="10" t="s">
        <v>15187</v>
      </c>
      <c r="K9389" s="10">
        <v>333</v>
      </c>
      <c r="L9389" s="10" t="s">
        <v>42466</v>
      </c>
      <c r="M9389" s="10">
        <v>1</v>
      </c>
      <c r="N9389" s="10"/>
      <c r="O9389" s="10"/>
      <c r="P9389" s="10" t="s">
        <v>42467</v>
      </c>
      <c r="Q9389" s="10">
        <v>370</v>
      </c>
      <c r="R9389" s="10" t="s">
        <v>41454</v>
      </c>
      <c r="S9389" s="10" t="s">
        <v>53</v>
      </c>
      <c r="T9389" s="10" t="s">
        <v>54</v>
      </c>
    </row>
    <row r="9390" spans="1:20" ht="14.5" x14ac:dyDescent="0.35">
      <c r="A9390" s="10" t="s">
        <v>42468</v>
      </c>
      <c r="B9390" s="10" t="str">
        <f>"9783319391120"</f>
        <v>9783319391120</v>
      </c>
      <c r="C9390" s="10" t="str">
        <f>"9783319391144"</f>
        <v>9783319391144</v>
      </c>
      <c r="D9390" s="10" t="s">
        <v>11249</v>
      </c>
      <c r="E9390" s="10" t="s">
        <v>26623</v>
      </c>
      <c r="F9390" s="10" t="s">
        <v>26624</v>
      </c>
      <c r="G9390" s="10" t="s">
        <v>16676</v>
      </c>
      <c r="H9390" s="11">
        <v>42562</v>
      </c>
      <c r="I9390" s="10">
        <v>2016</v>
      </c>
      <c r="J9390" s="10" t="s">
        <v>26623</v>
      </c>
      <c r="K9390" s="10">
        <v>215</v>
      </c>
      <c r="L9390" s="10" t="s">
        <v>42469</v>
      </c>
      <c r="M9390" s="10">
        <v>1</v>
      </c>
      <c r="N9390" s="10" t="s">
        <v>42470</v>
      </c>
      <c r="O9390" s="10">
        <v>13</v>
      </c>
      <c r="P9390" s="10" t="s">
        <v>42471</v>
      </c>
      <c r="Q9390" s="10">
        <v>371.90100000000001</v>
      </c>
      <c r="R9390" s="10" t="s">
        <v>42472</v>
      </c>
      <c r="S9390" s="10" t="s">
        <v>53</v>
      </c>
      <c r="T9390" s="10" t="s">
        <v>54</v>
      </c>
    </row>
    <row r="9391" spans="1:20" ht="14.5" x14ac:dyDescent="0.35">
      <c r="A9391" s="10" t="s">
        <v>42473</v>
      </c>
      <c r="B9391" s="10" t="str">
        <f>"9781119278719"</f>
        <v>9781119278719</v>
      </c>
      <c r="C9391" s="10" t="str">
        <f>"9781119279006"</f>
        <v>9781119279006</v>
      </c>
      <c r="D9391" s="10" t="s">
        <v>6322</v>
      </c>
      <c r="E9391" s="10" t="s">
        <v>6323</v>
      </c>
      <c r="F9391" s="10" t="s">
        <v>4423</v>
      </c>
      <c r="G9391" s="10" t="s">
        <v>6317</v>
      </c>
      <c r="H9391" s="11">
        <v>42576</v>
      </c>
      <c r="I9391" s="10">
        <v>2016</v>
      </c>
      <c r="J9391" s="10" t="s">
        <v>6324</v>
      </c>
      <c r="K9391" s="10">
        <v>488</v>
      </c>
      <c r="L9391" s="10" t="s">
        <v>42474</v>
      </c>
      <c r="M9391" s="10">
        <v>1</v>
      </c>
      <c r="N9391" s="10"/>
      <c r="O9391" s="10"/>
      <c r="P9391" s="10"/>
      <c r="Q9391" s="10"/>
      <c r="R9391" s="10" t="s">
        <v>42475</v>
      </c>
      <c r="S9391" s="10" t="s">
        <v>53</v>
      </c>
      <c r="T9391" s="10" t="s">
        <v>54</v>
      </c>
    </row>
    <row r="9392" spans="1:20" ht="14.5" x14ac:dyDescent="0.35">
      <c r="A9392" s="10" t="s">
        <v>42476</v>
      </c>
      <c r="B9392" s="10" t="str">
        <f>"9780739136836"</f>
        <v>9780739136836</v>
      </c>
      <c r="C9392" s="10" t="str">
        <f>"9780739136850"</f>
        <v>9780739136850</v>
      </c>
      <c r="D9392" s="10" t="s">
        <v>9752</v>
      </c>
      <c r="E9392" s="10" t="s">
        <v>15182</v>
      </c>
      <c r="F9392" s="10" t="s">
        <v>9754</v>
      </c>
      <c r="G9392" s="10" t="s">
        <v>6317</v>
      </c>
      <c r="H9392" s="11">
        <v>40262</v>
      </c>
      <c r="I9392" s="10">
        <v>2010</v>
      </c>
      <c r="J9392" s="10" t="s">
        <v>15182</v>
      </c>
      <c r="K9392" s="10">
        <v>146</v>
      </c>
      <c r="L9392" s="10" t="s">
        <v>42477</v>
      </c>
      <c r="M9392" s="10">
        <v>1</v>
      </c>
      <c r="N9392" s="10" t="s">
        <v>17833</v>
      </c>
      <c r="O9392" s="10"/>
      <c r="P9392" s="10" t="s">
        <v>42478</v>
      </c>
      <c r="Q9392" s="10" t="s">
        <v>42479</v>
      </c>
      <c r="R9392" s="10" t="s">
        <v>42480</v>
      </c>
      <c r="S9392" s="10" t="s">
        <v>53</v>
      </c>
      <c r="T9392" s="10" t="s">
        <v>54</v>
      </c>
    </row>
    <row r="9393" spans="1:20" ht="14.5" x14ac:dyDescent="0.35">
      <c r="A9393" s="10" t="s">
        <v>42481</v>
      </c>
      <c r="B9393" s="10" t="str">
        <f>"9781138832299"</f>
        <v>9781138832299</v>
      </c>
      <c r="C9393" s="10" t="str">
        <f>"9781317205838"</f>
        <v>9781317205838</v>
      </c>
      <c r="D9393" s="10" t="s">
        <v>6350</v>
      </c>
      <c r="E9393" s="10" t="s">
        <v>6351</v>
      </c>
      <c r="F9393" s="10" t="s">
        <v>139</v>
      </c>
      <c r="G9393" s="10" t="s">
        <v>6352</v>
      </c>
      <c r="H9393" s="11">
        <v>42570</v>
      </c>
      <c r="I9393" s="10">
        <v>2017</v>
      </c>
      <c r="J9393" s="10" t="s">
        <v>6353</v>
      </c>
      <c r="K9393" s="10">
        <v>207</v>
      </c>
      <c r="L9393" s="10" t="s">
        <v>42482</v>
      </c>
      <c r="M9393" s="10">
        <v>1</v>
      </c>
      <c r="N9393" s="10"/>
      <c r="O9393" s="10"/>
      <c r="P9393" s="10" t="s">
        <v>42483</v>
      </c>
      <c r="Q9393" s="10">
        <v>370.11309410000001</v>
      </c>
      <c r="R9393" s="10" t="s">
        <v>42484</v>
      </c>
      <c r="S9393" s="10" t="s">
        <v>53</v>
      </c>
      <c r="T9393" s="10" t="s">
        <v>54</v>
      </c>
    </row>
    <row r="9394" spans="1:20" ht="14.5" x14ac:dyDescent="0.35">
      <c r="A9394" s="10" t="s">
        <v>42485</v>
      </c>
      <c r="B9394" s="10" t="str">
        <f>"9781849057448"</f>
        <v>9781849057448</v>
      </c>
      <c r="C9394" s="10" t="str">
        <f>"9781784501662"</f>
        <v>9781784501662</v>
      </c>
      <c r="D9394" s="10" t="s">
        <v>10516</v>
      </c>
      <c r="E9394" s="10" t="s">
        <v>10516</v>
      </c>
      <c r="F9394" s="10" t="s">
        <v>139</v>
      </c>
      <c r="G9394" s="10" t="s">
        <v>6352</v>
      </c>
      <c r="H9394" s="11">
        <v>42600</v>
      </c>
      <c r="I9394" s="10">
        <v>2016</v>
      </c>
      <c r="J9394" s="10" t="s">
        <v>10516</v>
      </c>
      <c r="K9394" s="10">
        <v>266</v>
      </c>
      <c r="L9394" s="10" t="s">
        <v>42486</v>
      </c>
      <c r="M9394" s="10">
        <v>1</v>
      </c>
      <c r="N9394" s="10"/>
      <c r="O9394" s="10"/>
      <c r="P9394" s="10" t="s">
        <v>42487</v>
      </c>
      <c r="Q9394" s="10">
        <v>371.9</v>
      </c>
      <c r="R9394" s="10" t="s">
        <v>42488</v>
      </c>
      <c r="S9394" s="10" t="s">
        <v>53</v>
      </c>
      <c r="T9394" s="10" t="s">
        <v>54</v>
      </c>
    </row>
    <row r="9395" spans="1:20" ht="14.5" x14ac:dyDescent="0.35">
      <c r="A9395" s="10" t="s">
        <v>42489</v>
      </c>
      <c r="B9395" s="10" t="str">
        <f>"9781611487640"</f>
        <v>9781611487640</v>
      </c>
      <c r="C9395" s="10" t="str">
        <f>"9781611487657"</f>
        <v>9781611487657</v>
      </c>
      <c r="D9395" s="10" t="s">
        <v>9752</v>
      </c>
      <c r="E9395" s="10" t="s">
        <v>34465</v>
      </c>
      <c r="F9395" s="10" t="s">
        <v>9754</v>
      </c>
      <c r="G9395" s="10" t="s">
        <v>6317</v>
      </c>
      <c r="H9395" s="11">
        <v>42578</v>
      </c>
      <c r="I9395" s="10">
        <v>2016</v>
      </c>
      <c r="J9395" s="10" t="s">
        <v>34465</v>
      </c>
      <c r="K9395" s="10">
        <v>301</v>
      </c>
      <c r="L9395" s="10" t="s">
        <v>42490</v>
      </c>
      <c r="M9395" s="10">
        <v>1</v>
      </c>
      <c r="N9395" s="10"/>
      <c r="O9395" s="10"/>
      <c r="P9395" s="10" t="s">
        <v>42491</v>
      </c>
      <c r="Q9395" s="10">
        <v>370.92</v>
      </c>
      <c r="R9395" s="10" t="s">
        <v>42492</v>
      </c>
      <c r="S9395" s="10" t="s">
        <v>53</v>
      </c>
      <c r="T9395" s="10" t="s">
        <v>54</v>
      </c>
    </row>
    <row r="9396" spans="1:20" ht="14.5" x14ac:dyDescent="0.35">
      <c r="A9396" s="10" t="s">
        <v>42493</v>
      </c>
      <c r="B9396" s="10" t="str">
        <f>"9781743320273"</f>
        <v>9781743320273</v>
      </c>
      <c r="C9396" s="10" t="str">
        <f>"9781743324875"</f>
        <v>9781743324875</v>
      </c>
      <c r="D9396" s="10" t="s">
        <v>42494</v>
      </c>
      <c r="E9396" s="10" t="s">
        <v>42494</v>
      </c>
      <c r="F9396" s="10" t="s">
        <v>674</v>
      </c>
      <c r="G9396" s="10" t="s">
        <v>12975</v>
      </c>
      <c r="H9396" s="11">
        <v>42073</v>
      </c>
      <c r="I9396" s="10">
        <v>2015</v>
      </c>
      <c r="J9396" s="10" t="s">
        <v>42494</v>
      </c>
      <c r="K9396" s="10">
        <v>193</v>
      </c>
      <c r="L9396" s="10" t="s">
        <v>42495</v>
      </c>
      <c r="M9396" s="10">
        <v>1</v>
      </c>
      <c r="N9396" s="10"/>
      <c r="O9396" s="10"/>
      <c r="P9396" s="10" t="s">
        <v>42496</v>
      </c>
      <c r="Q9396" s="10">
        <v>371.33199999999903</v>
      </c>
      <c r="R9396" s="10" t="s">
        <v>42497</v>
      </c>
      <c r="S9396" s="10" t="s">
        <v>53</v>
      </c>
      <c r="T9396" s="10" t="s">
        <v>6881</v>
      </c>
    </row>
    <row r="9397" spans="1:20" ht="14.5" x14ac:dyDescent="0.35">
      <c r="A9397" s="10" t="s">
        <v>42498</v>
      </c>
      <c r="B9397" s="10" t="str">
        <f>"9781785333583"</f>
        <v>9781785333583</v>
      </c>
      <c r="C9397" s="10" t="str">
        <f>"9781785333590"</f>
        <v>9781785333590</v>
      </c>
      <c r="D9397" s="10" t="s">
        <v>21315</v>
      </c>
      <c r="E9397" s="10" t="s">
        <v>21316</v>
      </c>
      <c r="F9397" s="10" t="s">
        <v>13068</v>
      </c>
      <c r="G9397" s="10" t="s">
        <v>6317</v>
      </c>
      <c r="H9397" s="11">
        <v>42736</v>
      </c>
      <c r="I9397" s="10">
        <v>2017</v>
      </c>
      <c r="J9397" s="10" t="s">
        <v>21316</v>
      </c>
      <c r="K9397" s="10">
        <v>302</v>
      </c>
      <c r="L9397" s="10" t="s">
        <v>42499</v>
      </c>
      <c r="M9397" s="10">
        <v>1</v>
      </c>
      <c r="N9397" s="10"/>
      <c r="O9397" s="10"/>
      <c r="P9397" s="10" t="s">
        <v>42500</v>
      </c>
      <c r="Q9397" s="10">
        <v>370.11619999999999</v>
      </c>
      <c r="R9397" s="10"/>
      <c r="S9397" s="10" t="s">
        <v>53</v>
      </c>
      <c r="T9397" s="10" t="s">
        <v>54</v>
      </c>
    </row>
    <row r="9398" spans="1:20" ht="14.5" x14ac:dyDescent="0.35">
      <c r="A9398" s="10" t="s">
        <v>42501</v>
      </c>
      <c r="B9398" s="10" t="str">
        <f>"9781475818635"</f>
        <v>9781475818635</v>
      </c>
      <c r="C9398" s="10" t="str">
        <f>"9781475818642"</f>
        <v>9781475818642</v>
      </c>
      <c r="D9398" s="10" t="s">
        <v>9752</v>
      </c>
      <c r="E9398" s="10" t="s">
        <v>15187</v>
      </c>
      <c r="F9398" s="10" t="s">
        <v>9754</v>
      </c>
      <c r="G9398" s="10" t="s">
        <v>6317</v>
      </c>
      <c r="H9398" s="11">
        <v>42571</v>
      </c>
      <c r="I9398" s="10">
        <v>2016</v>
      </c>
      <c r="J9398" s="10" t="s">
        <v>15187</v>
      </c>
      <c r="K9398" s="10">
        <v>65</v>
      </c>
      <c r="L9398" s="10" t="s">
        <v>42502</v>
      </c>
      <c r="M9398" s="10">
        <v>1</v>
      </c>
      <c r="N9398" s="10"/>
      <c r="O9398" s="10"/>
      <c r="P9398" s="10" t="s">
        <v>42503</v>
      </c>
      <c r="Q9398" s="10">
        <v>787.89</v>
      </c>
      <c r="R9398" s="10" t="s">
        <v>42504</v>
      </c>
      <c r="S9398" s="10" t="s">
        <v>53</v>
      </c>
      <c r="T9398" s="10" t="s">
        <v>6384</v>
      </c>
    </row>
    <row r="9399" spans="1:20" ht="14.5" x14ac:dyDescent="0.35">
      <c r="A9399" s="10" t="s">
        <v>42505</v>
      </c>
      <c r="B9399" s="10" t="str">
        <f>"9781845198251"</f>
        <v>9781845198251</v>
      </c>
      <c r="C9399" s="10" t="str">
        <f>"9781782843603"</f>
        <v>9781782843603</v>
      </c>
      <c r="D9399" s="10" t="s">
        <v>2131</v>
      </c>
      <c r="E9399" s="10" t="s">
        <v>2131</v>
      </c>
      <c r="F9399" s="10" t="s">
        <v>2132</v>
      </c>
      <c r="G9399" s="10" t="s">
        <v>6352</v>
      </c>
      <c r="H9399" s="11">
        <v>44785</v>
      </c>
      <c r="I9399" s="10">
        <v>2022</v>
      </c>
      <c r="J9399" s="10" t="s">
        <v>2131</v>
      </c>
      <c r="K9399" s="10">
        <v>176</v>
      </c>
      <c r="L9399" s="10" t="s">
        <v>42506</v>
      </c>
      <c r="M9399" s="10">
        <v>1</v>
      </c>
      <c r="N9399" s="10"/>
      <c r="O9399" s="10"/>
      <c r="P9399" s="10"/>
      <c r="Q9399" s="10">
        <v>372.64044000000001</v>
      </c>
      <c r="R9399" s="10"/>
      <c r="S9399" s="10" t="s">
        <v>53</v>
      </c>
      <c r="T9399" s="10" t="s">
        <v>54</v>
      </c>
    </row>
    <row r="9400" spans="1:20" ht="14.5" x14ac:dyDescent="0.35">
      <c r="A9400" s="10" t="s">
        <v>42507</v>
      </c>
      <c r="B9400" s="10" t="str">
        <f>"9780309443012"</f>
        <v>9780309443012</v>
      </c>
      <c r="C9400" s="10" t="str">
        <f>"9780309443029"</f>
        <v>9780309443029</v>
      </c>
      <c r="D9400" s="10" t="s">
        <v>36547</v>
      </c>
      <c r="E9400" s="10" t="s">
        <v>36547</v>
      </c>
      <c r="F9400" s="10" t="s">
        <v>36548</v>
      </c>
      <c r="G9400" s="10" t="s">
        <v>6317</v>
      </c>
      <c r="H9400" s="11">
        <v>42567</v>
      </c>
      <c r="I9400" s="10">
        <v>2016</v>
      </c>
      <c r="J9400" s="10" t="s">
        <v>36547</v>
      </c>
      <c r="K9400" s="10">
        <v>99</v>
      </c>
      <c r="L9400" s="10" t="s">
        <v>42508</v>
      </c>
      <c r="M9400" s="10">
        <v>1</v>
      </c>
      <c r="N9400" s="10"/>
      <c r="O9400" s="10"/>
      <c r="P9400" s="10"/>
      <c r="Q9400" s="10"/>
      <c r="R9400" s="10"/>
      <c r="S9400" s="10" t="s">
        <v>53</v>
      </c>
      <c r="T9400" s="10" t="s">
        <v>54</v>
      </c>
    </row>
    <row r="9401" spans="1:20" ht="14.5" x14ac:dyDescent="0.35">
      <c r="A9401" s="10" t="s">
        <v>42509</v>
      </c>
      <c r="B9401" s="10" t="str">
        <f>"9781922144089"</f>
        <v>9781922144089</v>
      </c>
      <c r="C9401" s="10" t="str">
        <f>"9781922144096"</f>
        <v>9781922144096</v>
      </c>
      <c r="D9401" s="10" t="s">
        <v>39303</v>
      </c>
      <c r="E9401" s="10" t="s">
        <v>39304</v>
      </c>
      <c r="F9401" s="10" t="s">
        <v>643</v>
      </c>
      <c r="G9401" s="10" t="s">
        <v>12975</v>
      </c>
      <c r="H9401" s="11">
        <v>41122</v>
      </c>
      <c r="I9401" s="10">
        <v>2012</v>
      </c>
      <c r="J9401" s="10" t="s">
        <v>39304</v>
      </c>
      <c r="K9401" s="10">
        <v>136</v>
      </c>
      <c r="L9401" s="10" t="s">
        <v>42510</v>
      </c>
      <c r="M9401" s="10">
        <v>1</v>
      </c>
      <c r="N9401" s="10"/>
      <c r="O9401" s="10"/>
      <c r="P9401" s="10" t="s">
        <v>42511</v>
      </c>
      <c r="Q9401" s="10">
        <v>302.22440284999902</v>
      </c>
      <c r="R9401" s="10" t="s">
        <v>42512</v>
      </c>
      <c r="S9401" s="10" t="s">
        <v>53</v>
      </c>
      <c r="T9401" s="10" t="s">
        <v>6526</v>
      </c>
    </row>
    <row r="9402" spans="1:20" ht="14.5" x14ac:dyDescent="0.35">
      <c r="A9402" s="10" t="s">
        <v>42513</v>
      </c>
      <c r="B9402" s="10" t="str">
        <f>"9781681235912"</f>
        <v>9781681235912</v>
      </c>
      <c r="C9402" s="10" t="str">
        <f>"9781681235929"</f>
        <v>9781681235929</v>
      </c>
      <c r="D9402" s="10" t="s">
        <v>274</v>
      </c>
      <c r="E9402" s="10" t="s">
        <v>35170</v>
      </c>
      <c r="F9402" s="10" t="s">
        <v>35171</v>
      </c>
      <c r="G9402" s="10" t="s">
        <v>6317</v>
      </c>
      <c r="H9402" s="11">
        <v>42552</v>
      </c>
      <c r="I9402" s="10">
        <v>2016</v>
      </c>
      <c r="J9402" s="10" t="s">
        <v>35170</v>
      </c>
      <c r="K9402" s="10">
        <v>186</v>
      </c>
      <c r="L9402" s="10" t="s">
        <v>42514</v>
      </c>
      <c r="M9402" s="10">
        <v>1</v>
      </c>
      <c r="N9402" s="10"/>
      <c r="O9402" s="10"/>
      <c r="P9402" s="10"/>
      <c r="Q9402" s="10"/>
      <c r="R9402" s="10"/>
      <c r="S9402" s="10" t="s">
        <v>53</v>
      </c>
      <c r="T9402" s="10" t="s">
        <v>54</v>
      </c>
    </row>
    <row r="9403" spans="1:20" ht="14.5" x14ac:dyDescent="0.35">
      <c r="A9403" s="10" t="s">
        <v>42515</v>
      </c>
      <c r="B9403" s="10" t="str">
        <f>"9780761868149"</f>
        <v>9780761868149</v>
      </c>
      <c r="C9403" s="10" t="str">
        <f>"9780761868156"</f>
        <v>9780761868156</v>
      </c>
      <c r="D9403" s="10" t="s">
        <v>9752</v>
      </c>
      <c r="E9403" s="10" t="s">
        <v>17176</v>
      </c>
      <c r="F9403" s="10" t="s">
        <v>9754</v>
      </c>
      <c r="G9403" s="10" t="s">
        <v>6317</v>
      </c>
      <c r="H9403" s="11">
        <v>42580</v>
      </c>
      <c r="I9403" s="10">
        <v>2016</v>
      </c>
      <c r="J9403" s="10" t="s">
        <v>17176</v>
      </c>
      <c r="K9403" s="10">
        <v>245</v>
      </c>
      <c r="L9403" s="10" t="s">
        <v>42516</v>
      </c>
      <c r="M9403" s="10">
        <v>1</v>
      </c>
      <c r="N9403" s="10"/>
      <c r="O9403" s="10"/>
      <c r="P9403" s="10" t="s">
        <v>42517</v>
      </c>
      <c r="Q9403" s="10">
        <v>370.11599999999999</v>
      </c>
      <c r="R9403" s="10" t="s">
        <v>42518</v>
      </c>
      <c r="S9403" s="10" t="s">
        <v>53</v>
      </c>
      <c r="T9403" s="10" t="s">
        <v>54</v>
      </c>
    </row>
    <row r="9404" spans="1:20" ht="14.5" x14ac:dyDescent="0.35">
      <c r="A9404" s="10" t="s">
        <v>42519</v>
      </c>
      <c r="B9404" s="10" t="str">
        <f>"9781475828689"</f>
        <v>9781475828689</v>
      </c>
      <c r="C9404" s="10" t="str">
        <f>"9781475828696"</f>
        <v>9781475828696</v>
      </c>
      <c r="D9404" s="10" t="s">
        <v>9752</v>
      </c>
      <c r="E9404" s="10" t="s">
        <v>15187</v>
      </c>
      <c r="F9404" s="10" t="s">
        <v>9754</v>
      </c>
      <c r="G9404" s="10" t="s">
        <v>6317</v>
      </c>
      <c r="H9404" s="11">
        <v>42562</v>
      </c>
      <c r="I9404" s="10">
        <v>2016</v>
      </c>
      <c r="J9404" s="10" t="s">
        <v>15187</v>
      </c>
      <c r="K9404" s="10">
        <v>149</v>
      </c>
      <c r="L9404" s="10" t="s">
        <v>42520</v>
      </c>
      <c r="M9404" s="10">
        <v>1</v>
      </c>
      <c r="N9404" s="10"/>
      <c r="O9404" s="10"/>
      <c r="P9404" s="10"/>
      <c r="Q9404" s="10">
        <v>370.15199999999999</v>
      </c>
      <c r="R9404" s="10" t="s">
        <v>42521</v>
      </c>
      <c r="S9404" s="10" t="s">
        <v>53</v>
      </c>
      <c r="T9404" s="10" t="s">
        <v>54</v>
      </c>
    </row>
    <row r="9405" spans="1:20" ht="14.5" x14ac:dyDescent="0.35">
      <c r="A9405" s="10" t="s">
        <v>42522</v>
      </c>
      <c r="B9405" s="10" t="str">
        <f>"9781119229476"</f>
        <v>9781119229476</v>
      </c>
      <c r="C9405" s="10" t="str">
        <f>"9781119229520"</f>
        <v>9781119229520</v>
      </c>
      <c r="D9405" s="10" t="s">
        <v>6322</v>
      </c>
      <c r="E9405" s="10" t="s">
        <v>6323</v>
      </c>
      <c r="F9405" s="10" t="s">
        <v>6339</v>
      </c>
      <c r="G9405" s="10" t="s">
        <v>6317</v>
      </c>
      <c r="H9405" s="11">
        <v>42552</v>
      </c>
      <c r="I9405" s="10">
        <v>2016</v>
      </c>
      <c r="J9405" s="10" t="s">
        <v>6324</v>
      </c>
      <c r="K9405" s="10">
        <v>303</v>
      </c>
      <c r="L9405" s="10" t="s">
        <v>42523</v>
      </c>
      <c r="M9405" s="10">
        <v>1</v>
      </c>
      <c r="N9405" s="10"/>
      <c r="O9405" s="10"/>
      <c r="P9405" s="10" t="s">
        <v>42524</v>
      </c>
      <c r="Q9405" s="10">
        <v>808.02</v>
      </c>
      <c r="R9405" s="10" t="s">
        <v>42525</v>
      </c>
      <c r="S9405" s="10" t="s">
        <v>53</v>
      </c>
      <c r="T9405" s="10" t="s">
        <v>6568</v>
      </c>
    </row>
    <row r="9406" spans="1:20" ht="14.5" x14ac:dyDescent="0.35">
      <c r="A9406" s="10" t="s">
        <v>42526</v>
      </c>
      <c r="B9406" s="10" t="str">
        <f>"9781681235509"</f>
        <v>9781681235509</v>
      </c>
      <c r="C9406" s="10" t="str">
        <f>"9781681235516"</f>
        <v>9781681235516</v>
      </c>
      <c r="D9406" s="10" t="s">
        <v>274</v>
      </c>
      <c r="E9406" s="10" t="s">
        <v>35170</v>
      </c>
      <c r="F9406" s="10" t="s">
        <v>35171</v>
      </c>
      <c r="G9406" s="10" t="s">
        <v>6317</v>
      </c>
      <c r="H9406" s="11">
        <v>42550</v>
      </c>
      <c r="I9406" s="10">
        <v>2016</v>
      </c>
      <c r="J9406" s="10" t="s">
        <v>35170</v>
      </c>
      <c r="K9406" s="10">
        <v>304</v>
      </c>
      <c r="L9406" s="10" t="s">
        <v>35744</v>
      </c>
      <c r="M9406" s="10">
        <v>1</v>
      </c>
      <c r="N9406" s="10" t="s">
        <v>35745</v>
      </c>
      <c r="O9406" s="10"/>
      <c r="P9406" s="10" t="s">
        <v>42527</v>
      </c>
      <c r="Q9406" s="10" t="s">
        <v>42528</v>
      </c>
      <c r="R9406" s="10" t="s">
        <v>42529</v>
      </c>
      <c r="S9406" s="10" t="s">
        <v>53</v>
      </c>
      <c r="T9406" s="10" t="s">
        <v>12052</v>
      </c>
    </row>
    <row r="9407" spans="1:20" ht="14.5" x14ac:dyDescent="0.35">
      <c r="A9407" s="10" t="s">
        <v>42530</v>
      </c>
      <c r="B9407" s="10" t="str">
        <f>"9781681235240"</f>
        <v>9781681235240</v>
      </c>
      <c r="C9407" s="10" t="str">
        <f>"9781681235257"</f>
        <v>9781681235257</v>
      </c>
      <c r="D9407" s="10" t="s">
        <v>274</v>
      </c>
      <c r="E9407" s="10" t="s">
        <v>35170</v>
      </c>
      <c r="F9407" s="10" t="s">
        <v>35171</v>
      </c>
      <c r="G9407" s="10" t="s">
        <v>6317</v>
      </c>
      <c r="H9407" s="11">
        <v>42551</v>
      </c>
      <c r="I9407" s="10">
        <v>2016</v>
      </c>
      <c r="J9407" s="10" t="s">
        <v>35170</v>
      </c>
      <c r="K9407" s="10">
        <v>344</v>
      </c>
      <c r="L9407" s="10" t="s">
        <v>42531</v>
      </c>
      <c r="M9407" s="10">
        <v>1</v>
      </c>
      <c r="N9407" s="10" t="s">
        <v>42532</v>
      </c>
      <c r="O9407" s="10"/>
      <c r="P9407" s="10" t="s">
        <v>42533</v>
      </c>
      <c r="Q9407" s="10" t="s">
        <v>42534</v>
      </c>
      <c r="R9407" s="10" t="s">
        <v>42535</v>
      </c>
      <c r="S9407" s="10" t="s">
        <v>53</v>
      </c>
      <c r="T9407" s="10" t="s">
        <v>483</v>
      </c>
    </row>
    <row r="9408" spans="1:20" ht="14.5" x14ac:dyDescent="0.35">
      <c r="A9408" s="10" t="s">
        <v>42536</v>
      </c>
      <c r="B9408" s="10" t="str">
        <f>"9781681232638"</f>
        <v>9781681232638</v>
      </c>
      <c r="C9408" s="10" t="str">
        <f>"9781681232645"</f>
        <v>9781681232645</v>
      </c>
      <c r="D9408" s="10" t="s">
        <v>274</v>
      </c>
      <c r="E9408" s="10" t="s">
        <v>35170</v>
      </c>
      <c r="F9408" s="10" t="s">
        <v>35171</v>
      </c>
      <c r="G9408" s="10" t="s">
        <v>6317</v>
      </c>
      <c r="H9408" s="11">
        <v>42370</v>
      </c>
      <c r="I9408" s="10">
        <v>2016</v>
      </c>
      <c r="J9408" s="10" t="s">
        <v>35170</v>
      </c>
      <c r="K9408" s="10">
        <v>218</v>
      </c>
      <c r="L9408" s="10" t="s">
        <v>42537</v>
      </c>
      <c r="M9408" s="10">
        <v>1</v>
      </c>
      <c r="N9408" s="10"/>
      <c r="O9408" s="10"/>
      <c r="P9408" s="10" t="s">
        <v>42538</v>
      </c>
      <c r="Q9408" s="10" t="s">
        <v>42539</v>
      </c>
      <c r="R9408" s="10" t="s">
        <v>42540</v>
      </c>
      <c r="S9408" s="10" t="s">
        <v>53</v>
      </c>
      <c r="T9408" s="10" t="s">
        <v>6660</v>
      </c>
    </row>
    <row r="9409" spans="1:20" ht="14.5" x14ac:dyDescent="0.35">
      <c r="A9409" s="10" t="s">
        <v>42541</v>
      </c>
      <c r="B9409" s="10" t="str">
        <f>"9782806278821"</f>
        <v>9782806278821</v>
      </c>
      <c r="C9409" s="10" t="str">
        <f>"9782806278814"</f>
        <v>9782806278814</v>
      </c>
      <c r="D9409" s="10" t="s">
        <v>29172</v>
      </c>
      <c r="E9409" s="10" t="s">
        <v>29173</v>
      </c>
      <c r="F9409" s="10" t="s">
        <v>29181</v>
      </c>
      <c r="G9409" s="10" t="s">
        <v>28737</v>
      </c>
      <c r="H9409" s="11">
        <v>42548</v>
      </c>
      <c r="I9409" s="10">
        <v>2016</v>
      </c>
      <c r="J9409" s="10" t="s">
        <v>29175</v>
      </c>
      <c r="K9409" s="10">
        <v>16</v>
      </c>
      <c r="L9409" s="10" t="s">
        <v>42542</v>
      </c>
      <c r="M9409" s="10">
        <v>1</v>
      </c>
      <c r="N9409" s="10" t="s">
        <v>29177</v>
      </c>
      <c r="O9409" s="10"/>
      <c r="P9409" s="10" t="s">
        <v>42543</v>
      </c>
      <c r="Q9409" s="10">
        <v>920.72</v>
      </c>
      <c r="R9409" s="10" t="s">
        <v>42544</v>
      </c>
      <c r="S9409" s="10" t="s">
        <v>5404</v>
      </c>
      <c r="T9409" s="10" t="s">
        <v>4490</v>
      </c>
    </row>
    <row r="9410" spans="1:20" ht="14.5" x14ac:dyDescent="0.35">
      <c r="A9410" s="10" t="s">
        <v>42545</v>
      </c>
      <c r="B9410" s="10" t="str">
        <f>"9781138907614"</f>
        <v>9781138907614</v>
      </c>
      <c r="C9410" s="10" t="str">
        <f>"9781317441311"</f>
        <v>9781317441311</v>
      </c>
      <c r="D9410" s="10" t="s">
        <v>6350</v>
      </c>
      <c r="E9410" s="10" t="s">
        <v>6351</v>
      </c>
      <c r="F9410" s="10" t="s">
        <v>139</v>
      </c>
      <c r="G9410" s="10" t="s">
        <v>6352</v>
      </c>
      <c r="H9410" s="11">
        <v>42577</v>
      </c>
      <c r="I9410" s="10">
        <v>2017</v>
      </c>
      <c r="J9410" s="10" t="s">
        <v>6353</v>
      </c>
      <c r="K9410" s="10">
        <v>211</v>
      </c>
      <c r="L9410" s="10" t="s">
        <v>42546</v>
      </c>
      <c r="M9410" s="10">
        <v>1</v>
      </c>
      <c r="N9410" s="10" t="s">
        <v>42547</v>
      </c>
      <c r="O9410" s="10"/>
      <c r="P9410" s="10" t="s">
        <v>42548</v>
      </c>
      <c r="Q9410" s="10">
        <v>370.11409409999999</v>
      </c>
      <c r="R9410" s="10" t="s">
        <v>42549</v>
      </c>
      <c r="S9410" s="10" t="s">
        <v>53</v>
      </c>
      <c r="T9410" s="10" t="s">
        <v>54</v>
      </c>
    </row>
    <row r="9411" spans="1:20" ht="14.5" x14ac:dyDescent="0.35">
      <c r="A9411" s="10" t="s">
        <v>42550</v>
      </c>
      <c r="B9411" s="10" t="str">
        <f>"9783110375268"</f>
        <v>9783110375268</v>
      </c>
      <c r="C9411" s="10" t="str">
        <f>"9783110375398"</f>
        <v>9783110375398</v>
      </c>
      <c r="D9411" s="10" t="s">
        <v>9995</v>
      </c>
      <c r="E9411" s="10" t="s">
        <v>2515</v>
      </c>
      <c r="F9411" s="10" t="s">
        <v>9997</v>
      </c>
      <c r="G9411" s="10" t="s">
        <v>9998</v>
      </c>
      <c r="H9411" s="11">
        <v>42562</v>
      </c>
      <c r="I9411" s="10">
        <v>2016</v>
      </c>
      <c r="J9411" s="10" t="s">
        <v>42551</v>
      </c>
      <c r="K9411" s="10">
        <v>470</v>
      </c>
      <c r="L9411" s="10" t="s">
        <v>42552</v>
      </c>
      <c r="M9411" s="10">
        <v>1</v>
      </c>
      <c r="N9411" s="10" t="s">
        <v>13033</v>
      </c>
      <c r="O9411" s="10">
        <v>170</v>
      </c>
      <c r="P9411" s="10" t="s">
        <v>42553</v>
      </c>
      <c r="Q9411" s="10">
        <v>20.71</v>
      </c>
      <c r="R9411" s="10" t="s">
        <v>42554</v>
      </c>
      <c r="S9411" s="10" t="s">
        <v>53</v>
      </c>
      <c r="T9411" s="10" t="s">
        <v>10302</v>
      </c>
    </row>
    <row r="9412" spans="1:20" ht="14.5" x14ac:dyDescent="0.35">
      <c r="A9412" s="10" t="s">
        <v>42555</v>
      </c>
      <c r="B9412" s="10" t="str">
        <f>"9781605544298"</f>
        <v>9781605544298</v>
      </c>
      <c r="C9412" s="10" t="str">
        <f>"9781605544304"</f>
        <v>9781605544304</v>
      </c>
      <c r="D9412" s="10" t="s">
        <v>9533</v>
      </c>
      <c r="E9412" s="10" t="s">
        <v>25518</v>
      </c>
      <c r="F9412" s="10" t="s">
        <v>25519</v>
      </c>
      <c r="G9412" s="10" t="s">
        <v>6317</v>
      </c>
      <c r="H9412" s="11">
        <v>42317</v>
      </c>
      <c r="I9412" s="10">
        <v>2015</v>
      </c>
      <c r="J9412" s="10" t="s">
        <v>25518</v>
      </c>
      <c r="K9412" s="10">
        <v>246</v>
      </c>
      <c r="L9412" s="10" t="s">
        <v>42556</v>
      </c>
      <c r="M9412" s="10">
        <v>1</v>
      </c>
      <c r="N9412" s="10"/>
      <c r="O9412" s="10"/>
      <c r="P9412" s="10" t="s">
        <v>42557</v>
      </c>
      <c r="Q9412" s="10">
        <v>372.21</v>
      </c>
      <c r="R9412" s="10" t="s">
        <v>40083</v>
      </c>
      <c r="S9412" s="10" t="s">
        <v>53</v>
      </c>
      <c r="T9412" s="10" t="s">
        <v>54</v>
      </c>
    </row>
    <row r="9413" spans="1:20" ht="14.5" x14ac:dyDescent="0.35">
      <c r="A9413" s="10" t="s">
        <v>42558</v>
      </c>
      <c r="B9413" s="10" t="str">
        <f>"9780801453786"</f>
        <v>9780801453786</v>
      </c>
      <c r="C9413" s="10" t="str">
        <f>"9781501706318"</f>
        <v>9781501706318</v>
      </c>
      <c r="D9413" s="10" t="s">
        <v>9533</v>
      </c>
      <c r="E9413" s="10" t="s">
        <v>5258</v>
      </c>
      <c r="F9413" s="10" t="s">
        <v>2536</v>
      </c>
      <c r="G9413" s="10" t="s">
        <v>6317</v>
      </c>
      <c r="H9413" s="11">
        <v>42559</v>
      </c>
      <c r="I9413" s="10">
        <v>2016</v>
      </c>
      <c r="J9413" s="10" t="s">
        <v>5258</v>
      </c>
      <c r="K9413" s="10">
        <v>304</v>
      </c>
      <c r="L9413" s="10" t="s">
        <v>34607</v>
      </c>
      <c r="M9413" s="10">
        <v>1</v>
      </c>
      <c r="N9413" s="10"/>
      <c r="O9413" s="10"/>
      <c r="P9413" s="10" t="s">
        <v>18993</v>
      </c>
      <c r="Q9413" s="10">
        <v>378</v>
      </c>
      <c r="R9413" s="10" t="s">
        <v>42559</v>
      </c>
      <c r="S9413" s="10" t="s">
        <v>53</v>
      </c>
      <c r="T9413" s="10" t="s">
        <v>54</v>
      </c>
    </row>
    <row r="9414" spans="1:20" ht="14.5" x14ac:dyDescent="0.35">
      <c r="A9414" s="10" t="s">
        <v>42560</v>
      </c>
      <c r="B9414" s="10" t="str">
        <f>"9781475827347"</f>
        <v>9781475827347</v>
      </c>
      <c r="C9414" s="10" t="str">
        <f>"9781475827361"</f>
        <v>9781475827361</v>
      </c>
      <c r="D9414" s="10" t="s">
        <v>9752</v>
      </c>
      <c r="E9414" s="10" t="s">
        <v>15187</v>
      </c>
      <c r="F9414" s="10" t="s">
        <v>9754</v>
      </c>
      <c r="G9414" s="10" t="s">
        <v>6317</v>
      </c>
      <c r="H9414" s="11">
        <v>42509</v>
      </c>
      <c r="I9414" s="10">
        <v>2016</v>
      </c>
      <c r="J9414" s="10" t="s">
        <v>15187</v>
      </c>
      <c r="K9414" s="10">
        <v>182</v>
      </c>
      <c r="L9414" s="10" t="s">
        <v>42561</v>
      </c>
      <c r="M9414" s="10">
        <v>1</v>
      </c>
      <c r="N9414" s="10"/>
      <c r="O9414" s="10"/>
      <c r="P9414" s="10"/>
      <c r="Q9414" s="10"/>
      <c r="R9414" s="10" t="s">
        <v>42562</v>
      </c>
      <c r="S9414" s="10" t="s">
        <v>53</v>
      </c>
      <c r="T9414" s="10" t="s">
        <v>54</v>
      </c>
    </row>
    <row r="9415" spans="1:20" ht="14.5" x14ac:dyDescent="0.35">
      <c r="A9415" s="10" t="s">
        <v>42563</v>
      </c>
      <c r="B9415" s="10" t="str">
        <f>"9781475824698"</f>
        <v>9781475824698</v>
      </c>
      <c r="C9415" s="10" t="str">
        <f>"9781475824704"</f>
        <v>9781475824704</v>
      </c>
      <c r="D9415" s="10" t="s">
        <v>9752</v>
      </c>
      <c r="E9415" s="10" t="s">
        <v>15187</v>
      </c>
      <c r="F9415" s="10" t="s">
        <v>9754</v>
      </c>
      <c r="G9415" s="10" t="s">
        <v>6317</v>
      </c>
      <c r="H9415" s="11">
        <v>42387</v>
      </c>
      <c r="I9415" s="10">
        <v>2016</v>
      </c>
      <c r="J9415" s="10" t="s">
        <v>15187</v>
      </c>
      <c r="K9415" s="10">
        <v>148</v>
      </c>
      <c r="L9415" s="10" t="s">
        <v>42564</v>
      </c>
      <c r="M9415" s="10">
        <v>1</v>
      </c>
      <c r="N9415" s="10"/>
      <c r="O9415" s="10"/>
      <c r="P9415" s="10"/>
      <c r="Q9415" s="10">
        <v>371.10209730000003</v>
      </c>
      <c r="R9415" s="10" t="s">
        <v>42565</v>
      </c>
      <c r="S9415" s="10" t="s">
        <v>53</v>
      </c>
      <c r="T9415" s="10" t="s">
        <v>54</v>
      </c>
    </row>
    <row r="9416" spans="1:20" ht="14.5" x14ac:dyDescent="0.35">
      <c r="A9416" s="10" t="s">
        <v>42566</v>
      </c>
      <c r="B9416" s="10" t="str">
        <f>"9781475824865"</f>
        <v>9781475824865</v>
      </c>
      <c r="C9416" s="10" t="str">
        <f>"9781475824889"</f>
        <v>9781475824889</v>
      </c>
      <c r="D9416" s="10" t="s">
        <v>9752</v>
      </c>
      <c r="E9416" s="10" t="s">
        <v>15187</v>
      </c>
      <c r="F9416" s="10" t="s">
        <v>9754</v>
      </c>
      <c r="G9416" s="10" t="s">
        <v>6317</v>
      </c>
      <c r="H9416" s="11">
        <v>42569</v>
      </c>
      <c r="I9416" s="10">
        <v>2016</v>
      </c>
      <c r="J9416" s="10" t="s">
        <v>15187</v>
      </c>
      <c r="K9416" s="10">
        <v>165</v>
      </c>
      <c r="L9416" s="10" t="s">
        <v>42567</v>
      </c>
      <c r="M9416" s="10">
        <v>1</v>
      </c>
      <c r="N9416" s="10"/>
      <c r="O9416" s="10"/>
      <c r="P9416" s="10"/>
      <c r="Q9416" s="10">
        <v>371.90973000000002</v>
      </c>
      <c r="R9416" s="10" t="s">
        <v>42568</v>
      </c>
      <c r="S9416" s="10" t="s">
        <v>53</v>
      </c>
      <c r="T9416" s="10" t="s">
        <v>54</v>
      </c>
    </row>
    <row r="9417" spans="1:20" ht="14.5" x14ac:dyDescent="0.35">
      <c r="A9417" s="10" t="s">
        <v>42569</v>
      </c>
      <c r="B9417" s="10" t="str">
        <f>"9781119187868"</f>
        <v>9781119187868</v>
      </c>
      <c r="C9417" s="10" t="str">
        <f>"9781119187875"</f>
        <v>9781119187875</v>
      </c>
      <c r="D9417" s="10" t="s">
        <v>6322</v>
      </c>
      <c r="E9417" s="10" t="s">
        <v>6323</v>
      </c>
      <c r="F9417" s="10" t="s">
        <v>4423</v>
      </c>
      <c r="G9417" s="10" t="s">
        <v>6317</v>
      </c>
      <c r="H9417" s="11">
        <v>42583</v>
      </c>
      <c r="I9417" s="10">
        <v>2016</v>
      </c>
      <c r="J9417" s="10" t="s">
        <v>25195</v>
      </c>
      <c r="K9417" s="10">
        <v>435</v>
      </c>
      <c r="L9417" s="10" t="s">
        <v>42570</v>
      </c>
      <c r="M9417" s="10">
        <v>1</v>
      </c>
      <c r="N9417" s="10"/>
      <c r="O9417" s="10"/>
      <c r="P9417" s="10"/>
      <c r="Q9417" s="10"/>
      <c r="R9417" s="10" t="s">
        <v>42571</v>
      </c>
      <c r="S9417" s="10" t="s">
        <v>53</v>
      </c>
      <c r="T9417" s="10" t="s">
        <v>54</v>
      </c>
    </row>
    <row r="9418" spans="1:20" ht="14.5" x14ac:dyDescent="0.35">
      <c r="A9418" s="10" t="s">
        <v>42572</v>
      </c>
      <c r="B9418" s="10" t="str">
        <f>"9781475827798"</f>
        <v>9781475827798</v>
      </c>
      <c r="C9418" s="10" t="str">
        <f>"9781475827804"</f>
        <v>9781475827804</v>
      </c>
      <c r="D9418" s="10" t="s">
        <v>9752</v>
      </c>
      <c r="E9418" s="10" t="s">
        <v>15187</v>
      </c>
      <c r="F9418" s="10" t="s">
        <v>9754</v>
      </c>
      <c r="G9418" s="10" t="s">
        <v>6317</v>
      </c>
      <c r="H9418" s="11">
        <v>42590</v>
      </c>
      <c r="I9418" s="10">
        <v>2016</v>
      </c>
      <c r="J9418" s="10" t="s">
        <v>15187</v>
      </c>
      <c r="K9418" s="10">
        <v>127</v>
      </c>
      <c r="L9418" s="10" t="s">
        <v>42573</v>
      </c>
      <c r="M9418" s="10">
        <v>1</v>
      </c>
      <c r="N9418" s="10"/>
      <c r="O9418" s="10"/>
      <c r="P9418" s="10"/>
      <c r="Q9418" s="10">
        <v>370.15199999999999</v>
      </c>
      <c r="R9418" s="10" t="s">
        <v>42521</v>
      </c>
      <c r="S9418" s="10" t="s">
        <v>53</v>
      </c>
      <c r="T9418" s="10" t="s">
        <v>54</v>
      </c>
    </row>
    <row r="9419" spans="1:20" ht="14.5" x14ac:dyDescent="0.35">
      <c r="A9419" s="10" t="s">
        <v>42574</v>
      </c>
      <c r="B9419" s="10" t="str">
        <f>""</f>
        <v/>
      </c>
      <c r="C9419" s="10" t="str">
        <f>"9781119210207"</f>
        <v>9781119210207</v>
      </c>
      <c r="D9419" s="10" t="s">
        <v>6322</v>
      </c>
      <c r="E9419" s="10" t="s">
        <v>6323</v>
      </c>
      <c r="F9419" s="10" t="s">
        <v>4423</v>
      </c>
      <c r="G9419" s="10" t="s">
        <v>6317</v>
      </c>
      <c r="H9419" s="11">
        <v>42611</v>
      </c>
      <c r="I9419" s="10">
        <v>2016</v>
      </c>
      <c r="J9419" s="10" t="s">
        <v>6324</v>
      </c>
      <c r="K9419" s="10">
        <v>338</v>
      </c>
      <c r="L9419" s="10" t="s">
        <v>42575</v>
      </c>
      <c r="M9419" s="10">
        <v>3</v>
      </c>
      <c r="N9419" s="10"/>
      <c r="O9419" s="10"/>
      <c r="P9419" s="10" t="s">
        <v>42576</v>
      </c>
      <c r="Q9419" s="10">
        <v>371.2011</v>
      </c>
      <c r="R9419" s="10" t="s">
        <v>42577</v>
      </c>
      <c r="S9419" s="10" t="s">
        <v>53</v>
      </c>
      <c r="T9419" s="10" t="s">
        <v>54</v>
      </c>
    </row>
    <row r="9420" spans="1:20" ht="14.5" x14ac:dyDescent="0.35">
      <c r="A9420" s="10" t="s">
        <v>42578</v>
      </c>
      <c r="B9420" s="10" t="str">
        <f>"9781921666629"</f>
        <v>9781921666629</v>
      </c>
      <c r="C9420" s="10" t="str">
        <f>"9781921666636"</f>
        <v>9781921666636</v>
      </c>
      <c r="D9420" s="10" t="s">
        <v>39303</v>
      </c>
      <c r="E9420" s="10" t="s">
        <v>39304</v>
      </c>
      <c r="F9420" s="10" t="s">
        <v>643</v>
      </c>
      <c r="G9420" s="10" t="s">
        <v>12975</v>
      </c>
      <c r="H9420" s="11">
        <v>40544</v>
      </c>
      <c r="I9420" s="10">
        <v>2011</v>
      </c>
      <c r="J9420" s="10" t="s">
        <v>39304</v>
      </c>
      <c r="K9420" s="10">
        <v>290</v>
      </c>
      <c r="L9420" s="10" t="s">
        <v>42579</v>
      </c>
      <c r="M9420" s="10">
        <v>1</v>
      </c>
      <c r="N9420" s="10"/>
      <c r="O9420" s="10"/>
      <c r="P9420" s="10" t="s">
        <v>42580</v>
      </c>
      <c r="Q9420" s="10">
        <v>379.12139999999999</v>
      </c>
      <c r="R9420" s="10" t="s">
        <v>42581</v>
      </c>
      <c r="S9420" s="10" t="s">
        <v>53</v>
      </c>
      <c r="T9420" s="10" t="s">
        <v>54</v>
      </c>
    </row>
    <row r="9421" spans="1:20" ht="14.5" x14ac:dyDescent="0.35">
      <c r="A9421" s="10" t="s">
        <v>42582</v>
      </c>
      <c r="B9421" s="10" t="str">
        <f>"9781598579031"</f>
        <v>9781598579031</v>
      </c>
      <c r="C9421" s="10" t="str">
        <f>"9781681251868"</f>
        <v>9781681251868</v>
      </c>
      <c r="D9421" s="10" t="s">
        <v>28876</v>
      </c>
      <c r="E9421" s="10" t="s">
        <v>28877</v>
      </c>
      <c r="F9421" s="10" t="s">
        <v>885</v>
      </c>
      <c r="G9421" s="10" t="s">
        <v>6317</v>
      </c>
      <c r="H9421" s="11">
        <v>42522</v>
      </c>
      <c r="I9421" s="10">
        <v>2016</v>
      </c>
      <c r="J9421" s="10" t="s">
        <v>28877</v>
      </c>
      <c r="K9421" s="10">
        <v>162</v>
      </c>
      <c r="L9421" s="10" t="s">
        <v>42583</v>
      </c>
      <c r="M9421" s="10">
        <v>1</v>
      </c>
      <c r="N9421" s="10"/>
      <c r="O9421" s="10"/>
      <c r="P9421" s="10" t="s">
        <v>42584</v>
      </c>
      <c r="Q9421" s="10">
        <v>371.10239999999999</v>
      </c>
      <c r="R9421" s="10" t="s">
        <v>40083</v>
      </c>
      <c r="S9421" s="10" t="s">
        <v>53</v>
      </c>
      <c r="T9421" s="10" t="s">
        <v>54</v>
      </c>
    </row>
    <row r="9422" spans="1:20" ht="14.5" x14ac:dyDescent="0.35">
      <c r="A9422" s="10" t="s">
        <v>42585</v>
      </c>
      <c r="B9422" s="10" t="str">
        <f>"9781598579543"</f>
        <v>9781598579543</v>
      </c>
      <c r="C9422" s="10" t="str">
        <f>"9781681251653"</f>
        <v>9781681251653</v>
      </c>
      <c r="D9422" s="10" t="s">
        <v>28876</v>
      </c>
      <c r="E9422" s="10" t="s">
        <v>28877</v>
      </c>
      <c r="F9422" s="10" t="s">
        <v>885</v>
      </c>
      <c r="G9422" s="10" t="s">
        <v>6317</v>
      </c>
      <c r="H9422" s="11">
        <v>42461</v>
      </c>
      <c r="I9422" s="10">
        <v>2016</v>
      </c>
      <c r="J9422" s="10" t="s">
        <v>28877</v>
      </c>
      <c r="K9422" s="10">
        <v>274</v>
      </c>
      <c r="L9422" s="10" t="s">
        <v>42586</v>
      </c>
      <c r="M9422" s="10">
        <v>2</v>
      </c>
      <c r="N9422" s="10"/>
      <c r="O9422" s="10"/>
      <c r="P9422" s="10" t="s">
        <v>42587</v>
      </c>
      <c r="Q9422" s="10">
        <v>370.11500000000001</v>
      </c>
      <c r="R9422" s="10" t="s">
        <v>42588</v>
      </c>
      <c r="S9422" s="10" t="s">
        <v>53</v>
      </c>
      <c r="T9422" s="10" t="s">
        <v>54</v>
      </c>
    </row>
    <row r="9423" spans="1:20" ht="14.5" x14ac:dyDescent="0.35">
      <c r="A9423" s="10" t="s">
        <v>42589</v>
      </c>
      <c r="B9423" s="10" t="str">
        <f>"9781118937785"</f>
        <v>9781118937785</v>
      </c>
      <c r="C9423" s="10" t="str">
        <f>"9781118937792"</f>
        <v>9781118937792</v>
      </c>
      <c r="D9423" s="10" t="s">
        <v>6322</v>
      </c>
      <c r="E9423" s="10" t="s">
        <v>6323</v>
      </c>
      <c r="F9423" s="10" t="s">
        <v>4423</v>
      </c>
      <c r="G9423" s="10" t="s">
        <v>6317</v>
      </c>
      <c r="H9423" s="11">
        <v>42626</v>
      </c>
      <c r="I9423" s="10">
        <v>2016</v>
      </c>
      <c r="J9423" s="10" t="s">
        <v>6323</v>
      </c>
      <c r="K9423" s="10">
        <v>507</v>
      </c>
      <c r="L9423" s="10" t="s">
        <v>42590</v>
      </c>
      <c r="M9423" s="10">
        <v>3</v>
      </c>
      <c r="N9423" s="10"/>
      <c r="O9423" s="10"/>
      <c r="P9423" s="10"/>
      <c r="Q9423" s="10">
        <v>371.94</v>
      </c>
      <c r="R9423" s="10" t="s">
        <v>42591</v>
      </c>
      <c r="S9423" s="10" t="s">
        <v>53</v>
      </c>
      <c r="T9423" s="10" t="s">
        <v>54</v>
      </c>
    </row>
    <row r="9424" spans="1:20" ht="14.5" x14ac:dyDescent="0.35">
      <c r="A9424" s="10" t="s">
        <v>42592</v>
      </c>
      <c r="B9424" s="10" t="str">
        <f>"9781475818277"</f>
        <v>9781475818277</v>
      </c>
      <c r="C9424" s="10" t="str">
        <f>"9781475818284"</f>
        <v>9781475818284</v>
      </c>
      <c r="D9424" s="10" t="s">
        <v>9752</v>
      </c>
      <c r="E9424" s="10" t="s">
        <v>15187</v>
      </c>
      <c r="F9424" s="10" t="s">
        <v>9754</v>
      </c>
      <c r="G9424" s="10" t="s">
        <v>6317</v>
      </c>
      <c r="H9424" s="11">
        <v>42591</v>
      </c>
      <c r="I9424" s="10">
        <v>2016</v>
      </c>
      <c r="J9424" s="10" t="s">
        <v>15187</v>
      </c>
      <c r="K9424" s="10">
        <v>128</v>
      </c>
      <c r="L9424" s="10" t="s">
        <v>42593</v>
      </c>
      <c r="M9424" s="10">
        <v>1</v>
      </c>
      <c r="N9424" s="10" t="s">
        <v>42594</v>
      </c>
      <c r="O9424" s="10">
        <v>1</v>
      </c>
      <c r="P9424" s="10" t="s">
        <v>42595</v>
      </c>
      <c r="Q9424" s="10">
        <v>378.73</v>
      </c>
      <c r="R9424" s="10" t="s">
        <v>42596</v>
      </c>
      <c r="S9424" s="10" t="s">
        <v>53</v>
      </c>
      <c r="T9424" s="10" t="s">
        <v>54</v>
      </c>
    </row>
    <row r="9425" spans="1:20" ht="14.5" x14ac:dyDescent="0.35">
      <c r="A9425" s="10" t="s">
        <v>42597</v>
      </c>
      <c r="B9425" s="10" t="str">
        <f>"9781598579550"</f>
        <v>9781598579550</v>
      </c>
      <c r="C9425" s="10" t="str">
        <f>"9781681251660"</f>
        <v>9781681251660</v>
      </c>
      <c r="D9425" s="10" t="s">
        <v>28876</v>
      </c>
      <c r="E9425" s="10" t="s">
        <v>28877</v>
      </c>
      <c r="F9425" s="10" t="s">
        <v>885</v>
      </c>
      <c r="G9425" s="10" t="s">
        <v>6317</v>
      </c>
      <c r="H9425" s="11">
        <v>42461</v>
      </c>
      <c r="I9425" s="10">
        <v>2016</v>
      </c>
      <c r="J9425" s="10" t="s">
        <v>28877</v>
      </c>
      <c r="K9425" s="10">
        <v>282</v>
      </c>
      <c r="L9425" s="10" t="s">
        <v>42586</v>
      </c>
      <c r="M9425" s="10">
        <v>2</v>
      </c>
      <c r="N9425" s="10"/>
      <c r="O9425" s="10"/>
      <c r="P9425" s="10" t="s">
        <v>42587</v>
      </c>
      <c r="Q9425" s="10">
        <v>370.11500000000001</v>
      </c>
      <c r="R9425" s="10" t="s">
        <v>42588</v>
      </c>
      <c r="S9425" s="10" t="s">
        <v>53</v>
      </c>
      <c r="T9425" s="10" t="s">
        <v>54</v>
      </c>
    </row>
    <row r="9426" spans="1:20" ht="14.5" x14ac:dyDescent="0.35">
      <c r="A9426" s="10" t="s">
        <v>42598</v>
      </c>
      <c r="B9426" s="10" t="str">
        <f>"9781598579710"</f>
        <v>9781598579710</v>
      </c>
      <c r="C9426" s="10" t="str">
        <f>"9781681250250"</f>
        <v>9781681250250</v>
      </c>
      <c r="D9426" s="10" t="s">
        <v>28876</v>
      </c>
      <c r="E9426" s="10" t="s">
        <v>28877</v>
      </c>
      <c r="F9426" s="10" t="s">
        <v>885</v>
      </c>
      <c r="G9426" s="10" t="s">
        <v>6317</v>
      </c>
      <c r="H9426" s="11">
        <v>42522</v>
      </c>
      <c r="I9426" s="10">
        <v>2016</v>
      </c>
      <c r="J9426" s="10" t="s">
        <v>28877</v>
      </c>
      <c r="K9426" s="10">
        <v>178</v>
      </c>
      <c r="L9426" s="10" t="s">
        <v>23151</v>
      </c>
      <c r="M9426" s="10">
        <v>1</v>
      </c>
      <c r="N9426" s="10"/>
      <c r="O9426" s="10"/>
      <c r="P9426" s="10" t="s">
        <v>42599</v>
      </c>
      <c r="Q9426" s="10">
        <v>344.73079100000001</v>
      </c>
      <c r="R9426" s="10" t="s">
        <v>42600</v>
      </c>
      <c r="S9426" s="10" t="s">
        <v>53</v>
      </c>
      <c r="T9426" s="10" t="s">
        <v>5396</v>
      </c>
    </row>
    <row r="9427" spans="1:20" ht="14.5" x14ac:dyDescent="0.35">
      <c r="A9427" s="10" t="s">
        <v>42601</v>
      </c>
      <c r="B9427" s="10" t="str">
        <f>"9781475825107"</f>
        <v>9781475825107</v>
      </c>
      <c r="C9427" s="10" t="str">
        <f>"9781475825121"</f>
        <v>9781475825121</v>
      </c>
      <c r="D9427" s="10" t="s">
        <v>9752</v>
      </c>
      <c r="E9427" s="10" t="s">
        <v>15187</v>
      </c>
      <c r="F9427" s="10" t="s">
        <v>9754</v>
      </c>
      <c r="G9427" s="10" t="s">
        <v>6317</v>
      </c>
      <c r="H9427" s="11">
        <v>42598</v>
      </c>
      <c r="I9427" s="10">
        <v>2016</v>
      </c>
      <c r="J9427" s="10" t="s">
        <v>15187</v>
      </c>
      <c r="K9427" s="10">
        <v>195</v>
      </c>
      <c r="L9427" s="10" t="s">
        <v>40566</v>
      </c>
      <c r="M9427" s="10">
        <v>1</v>
      </c>
      <c r="N9427" s="10"/>
      <c r="O9427" s="10"/>
      <c r="P9427" s="10"/>
      <c r="Q9427" s="10">
        <v>379.15800000000002</v>
      </c>
      <c r="R9427" s="10" t="s">
        <v>31356</v>
      </c>
      <c r="S9427" s="10" t="s">
        <v>53</v>
      </c>
      <c r="T9427" s="10" t="s">
        <v>54</v>
      </c>
    </row>
    <row r="9428" spans="1:20" ht="14.5" x14ac:dyDescent="0.35">
      <c r="A9428" s="10" t="s">
        <v>42602</v>
      </c>
      <c r="B9428" s="10" t="str">
        <f>"9781598579420"</f>
        <v>9781598579420</v>
      </c>
      <c r="C9428" s="10" t="str">
        <f>"9781598579734"</f>
        <v>9781598579734</v>
      </c>
      <c r="D9428" s="10" t="s">
        <v>28876</v>
      </c>
      <c r="E9428" s="10" t="s">
        <v>28877</v>
      </c>
      <c r="F9428" s="10" t="s">
        <v>885</v>
      </c>
      <c r="G9428" s="10" t="s">
        <v>6317</v>
      </c>
      <c r="H9428" s="11">
        <v>42522</v>
      </c>
      <c r="I9428" s="10">
        <v>2016</v>
      </c>
      <c r="J9428" s="10" t="s">
        <v>28877</v>
      </c>
      <c r="K9428" s="10">
        <v>252</v>
      </c>
      <c r="L9428" s="10" t="s">
        <v>42603</v>
      </c>
      <c r="M9428" s="10">
        <v>1</v>
      </c>
      <c r="N9428" s="10"/>
      <c r="O9428" s="10"/>
      <c r="P9428" s="10" t="s">
        <v>42604</v>
      </c>
      <c r="Q9428" s="10" t="s">
        <v>8836</v>
      </c>
      <c r="R9428" s="10" t="s">
        <v>42605</v>
      </c>
      <c r="S9428" s="10" t="s">
        <v>53</v>
      </c>
      <c r="T9428" s="10" t="s">
        <v>54</v>
      </c>
    </row>
    <row r="9429" spans="1:20" ht="14.5" x14ac:dyDescent="0.35">
      <c r="A9429" s="10" t="s">
        <v>42606</v>
      </c>
      <c r="B9429" s="10" t="str">
        <f>"9781475826418"</f>
        <v>9781475826418</v>
      </c>
      <c r="C9429" s="10" t="str">
        <f>"9781475826449"</f>
        <v>9781475826449</v>
      </c>
      <c r="D9429" s="10" t="s">
        <v>9752</v>
      </c>
      <c r="E9429" s="10" t="s">
        <v>15187</v>
      </c>
      <c r="F9429" s="10" t="s">
        <v>9754</v>
      </c>
      <c r="G9429" s="10" t="s">
        <v>6317</v>
      </c>
      <c r="H9429" s="11">
        <v>42599</v>
      </c>
      <c r="I9429" s="10">
        <v>2016</v>
      </c>
      <c r="J9429" s="10" t="s">
        <v>15187</v>
      </c>
      <c r="K9429" s="10">
        <v>212</v>
      </c>
      <c r="L9429" s="10" t="s">
        <v>42607</v>
      </c>
      <c r="M9429" s="10">
        <v>1</v>
      </c>
      <c r="N9429" s="10"/>
      <c r="O9429" s="10"/>
      <c r="P9429" s="10" t="s">
        <v>42608</v>
      </c>
      <c r="Q9429" s="10">
        <v>372.6</v>
      </c>
      <c r="R9429" s="10" t="s">
        <v>41479</v>
      </c>
      <c r="S9429" s="10" t="s">
        <v>53</v>
      </c>
      <c r="T9429" s="10" t="s">
        <v>54</v>
      </c>
    </row>
    <row r="9430" spans="1:20" ht="14.5" x14ac:dyDescent="0.35">
      <c r="A9430" s="10" t="s">
        <v>42609</v>
      </c>
      <c r="B9430" s="10" t="str">
        <f>""</f>
        <v/>
      </c>
      <c r="C9430" s="10" t="str">
        <f>"9781606507940"</f>
        <v>9781606507940</v>
      </c>
      <c r="D9430" s="10" t="s">
        <v>41103</v>
      </c>
      <c r="E9430" s="10" t="s">
        <v>41103</v>
      </c>
      <c r="F9430" s="10" t="s">
        <v>70</v>
      </c>
      <c r="G9430" s="10" t="s">
        <v>6317</v>
      </c>
      <c r="H9430" s="11">
        <v>42157</v>
      </c>
      <c r="I9430" s="10">
        <v>2015</v>
      </c>
      <c r="J9430" s="10" t="s">
        <v>41103</v>
      </c>
      <c r="K9430" s="10">
        <v>82</v>
      </c>
      <c r="L9430" s="10" t="s">
        <v>42610</v>
      </c>
      <c r="M9430" s="10">
        <v>1</v>
      </c>
      <c r="N9430" s="10"/>
      <c r="O9430" s="10"/>
      <c r="P9430" s="10" t="s">
        <v>42611</v>
      </c>
      <c r="Q9430" s="10">
        <v>361.37</v>
      </c>
      <c r="R9430" s="10" t="s">
        <v>42612</v>
      </c>
      <c r="S9430" s="10" t="s">
        <v>53</v>
      </c>
      <c r="T9430" s="10" t="s">
        <v>6526</v>
      </c>
    </row>
    <row r="9431" spans="1:20" ht="14.5" x14ac:dyDescent="0.35">
      <c r="A9431" s="10" t="s">
        <v>42613</v>
      </c>
      <c r="B9431" s="10" t="str">
        <f>""</f>
        <v/>
      </c>
      <c r="C9431" s="10" t="str">
        <f>"9781606507933"</f>
        <v>9781606507933</v>
      </c>
      <c r="D9431" s="10" t="s">
        <v>41103</v>
      </c>
      <c r="E9431" s="10" t="s">
        <v>41103</v>
      </c>
      <c r="F9431" s="10" t="s">
        <v>70</v>
      </c>
      <c r="G9431" s="10" t="s">
        <v>6317</v>
      </c>
      <c r="H9431" s="11">
        <v>42157</v>
      </c>
      <c r="I9431" s="10">
        <v>2015</v>
      </c>
      <c r="J9431" s="10" t="s">
        <v>41103</v>
      </c>
      <c r="K9431" s="10">
        <v>83</v>
      </c>
      <c r="L9431" s="10" t="s">
        <v>42610</v>
      </c>
      <c r="M9431" s="10">
        <v>1</v>
      </c>
      <c r="N9431" s="10"/>
      <c r="O9431" s="10"/>
      <c r="P9431" s="10" t="s">
        <v>42611</v>
      </c>
      <c r="Q9431" s="10">
        <v>378.10300000000001</v>
      </c>
      <c r="R9431" s="10" t="s">
        <v>42614</v>
      </c>
      <c r="S9431" s="10" t="s">
        <v>53</v>
      </c>
      <c r="T9431" s="10" t="s">
        <v>54</v>
      </c>
    </row>
    <row r="9432" spans="1:20" ht="14.5" x14ac:dyDescent="0.35">
      <c r="A9432" s="10" t="s">
        <v>42615</v>
      </c>
      <c r="B9432" s="10" t="str">
        <f>"9781416622055"</f>
        <v>9781416622055</v>
      </c>
      <c r="C9432" s="10" t="str">
        <f>"9781416622062"</f>
        <v>9781416622062</v>
      </c>
      <c r="D9432" s="10" t="s">
        <v>10014</v>
      </c>
      <c r="E9432" s="10" t="s">
        <v>10015</v>
      </c>
      <c r="F9432" s="10" t="s">
        <v>201</v>
      </c>
      <c r="G9432" s="10" t="s">
        <v>6317</v>
      </c>
      <c r="H9432" s="11">
        <v>42551</v>
      </c>
      <c r="I9432" s="10">
        <v>2016</v>
      </c>
      <c r="J9432" s="10" t="s">
        <v>10015</v>
      </c>
      <c r="K9432" s="10">
        <v>195</v>
      </c>
      <c r="L9432" s="10" t="s">
        <v>42616</v>
      </c>
      <c r="M9432" s="10">
        <v>1</v>
      </c>
      <c r="N9432" s="10"/>
      <c r="O9432" s="10"/>
      <c r="P9432" s="10" t="s">
        <v>42617</v>
      </c>
      <c r="Q9432" s="10" t="s">
        <v>22010</v>
      </c>
      <c r="R9432" s="10" t="s">
        <v>42618</v>
      </c>
      <c r="S9432" s="10" t="s">
        <v>53</v>
      </c>
      <c r="T9432" s="10" t="s">
        <v>54</v>
      </c>
    </row>
    <row r="9433" spans="1:20" ht="14.5" x14ac:dyDescent="0.35">
      <c r="A9433" s="10" t="s">
        <v>42619</v>
      </c>
      <c r="B9433" s="10" t="str">
        <f>"9781416622017"</f>
        <v>9781416622017</v>
      </c>
      <c r="C9433" s="10" t="str">
        <f>"9781416622031"</f>
        <v>9781416622031</v>
      </c>
      <c r="D9433" s="10" t="s">
        <v>10014</v>
      </c>
      <c r="E9433" s="10" t="s">
        <v>10015</v>
      </c>
      <c r="F9433" s="10" t="s">
        <v>201</v>
      </c>
      <c r="G9433" s="10" t="s">
        <v>6317</v>
      </c>
      <c r="H9433" s="11">
        <v>42551</v>
      </c>
      <c r="I9433" s="10">
        <v>2016</v>
      </c>
      <c r="J9433" s="10" t="s">
        <v>10015</v>
      </c>
      <c r="K9433" s="10">
        <v>199</v>
      </c>
      <c r="L9433" s="10" t="s">
        <v>42620</v>
      </c>
      <c r="M9433" s="10">
        <v>1</v>
      </c>
      <c r="N9433" s="10"/>
      <c r="O9433" s="10"/>
      <c r="P9433" s="10" t="s">
        <v>42621</v>
      </c>
      <c r="Q9433" s="10">
        <v>371.9</v>
      </c>
      <c r="R9433" s="10" t="s">
        <v>42622</v>
      </c>
      <c r="S9433" s="10" t="s">
        <v>53</v>
      </c>
      <c r="T9433" s="10" t="s">
        <v>54</v>
      </c>
    </row>
    <row r="9434" spans="1:20" ht="14.5" x14ac:dyDescent="0.35">
      <c r="A9434" s="10" t="s">
        <v>42623</v>
      </c>
      <c r="B9434" s="10" t="str">
        <f>"9781416621874"</f>
        <v>9781416621874</v>
      </c>
      <c r="C9434" s="10" t="str">
        <f>"9781416621898"</f>
        <v>9781416621898</v>
      </c>
      <c r="D9434" s="10" t="s">
        <v>10014</v>
      </c>
      <c r="E9434" s="10" t="s">
        <v>10015</v>
      </c>
      <c r="F9434" s="10" t="s">
        <v>201</v>
      </c>
      <c r="G9434" s="10" t="s">
        <v>6317</v>
      </c>
      <c r="H9434" s="11">
        <v>42581</v>
      </c>
      <c r="I9434" s="10">
        <v>2016</v>
      </c>
      <c r="J9434" s="10" t="s">
        <v>10015</v>
      </c>
      <c r="K9434" s="10">
        <v>215</v>
      </c>
      <c r="L9434" s="10" t="s">
        <v>10452</v>
      </c>
      <c r="M9434" s="10">
        <v>1</v>
      </c>
      <c r="N9434" s="10"/>
      <c r="O9434" s="10"/>
      <c r="P9434" s="10" t="s">
        <v>42624</v>
      </c>
      <c r="Q9434" s="10">
        <v>370.15</v>
      </c>
      <c r="R9434" s="10"/>
      <c r="S9434" s="10" t="s">
        <v>53</v>
      </c>
      <c r="T9434" s="10" t="s">
        <v>54</v>
      </c>
    </row>
    <row r="9435" spans="1:20" ht="14.5" x14ac:dyDescent="0.35">
      <c r="A9435" s="10" t="s">
        <v>42625</v>
      </c>
      <c r="B9435" s="10" t="str">
        <f>"9781416622925"</f>
        <v>9781416622925</v>
      </c>
      <c r="C9435" s="10" t="str">
        <f>"9781416622307"</f>
        <v>9781416622307</v>
      </c>
      <c r="D9435" s="10" t="s">
        <v>10014</v>
      </c>
      <c r="E9435" s="10" t="s">
        <v>10015</v>
      </c>
      <c r="F9435" s="10" t="s">
        <v>201</v>
      </c>
      <c r="G9435" s="10" t="s">
        <v>6317</v>
      </c>
      <c r="H9435" s="11">
        <v>42577</v>
      </c>
      <c r="I9435" s="10">
        <v>2016</v>
      </c>
      <c r="J9435" s="10" t="s">
        <v>10015</v>
      </c>
      <c r="K9435" s="10">
        <v>136</v>
      </c>
      <c r="L9435" s="10" t="s">
        <v>15766</v>
      </c>
      <c r="M9435" s="10">
        <v>1</v>
      </c>
      <c r="N9435" s="10" t="s">
        <v>41748</v>
      </c>
      <c r="O9435" s="10"/>
      <c r="P9435" s="10"/>
      <c r="Q9435" s="10"/>
      <c r="R9435" s="10"/>
      <c r="S9435" s="10" t="s">
        <v>53</v>
      </c>
      <c r="T9435" s="10" t="s">
        <v>54</v>
      </c>
    </row>
    <row r="9436" spans="1:20" ht="14.5" x14ac:dyDescent="0.35">
      <c r="A9436" s="10" t="s">
        <v>42626</v>
      </c>
      <c r="B9436" s="10" t="str">
        <f>"9781416622918"</f>
        <v>9781416622918</v>
      </c>
      <c r="C9436" s="10" t="str">
        <f>"9781416622284"</f>
        <v>9781416622284</v>
      </c>
      <c r="D9436" s="10" t="s">
        <v>10014</v>
      </c>
      <c r="E9436" s="10" t="s">
        <v>10015</v>
      </c>
      <c r="F9436" s="10" t="s">
        <v>201</v>
      </c>
      <c r="G9436" s="10" t="s">
        <v>6317</v>
      </c>
      <c r="H9436" s="11">
        <v>42569</v>
      </c>
      <c r="I9436" s="10">
        <v>2016</v>
      </c>
      <c r="J9436" s="10" t="s">
        <v>10015</v>
      </c>
      <c r="K9436" s="10">
        <v>136</v>
      </c>
      <c r="L9436" s="10" t="s">
        <v>15766</v>
      </c>
      <c r="M9436" s="10">
        <v>1</v>
      </c>
      <c r="N9436" s="10" t="s">
        <v>41748</v>
      </c>
      <c r="O9436" s="10"/>
      <c r="P9436" s="10"/>
      <c r="Q9436" s="10"/>
      <c r="R9436" s="10"/>
      <c r="S9436" s="10" t="s">
        <v>53</v>
      </c>
      <c r="T9436" s="10" t="s">
        <v>54</v>
      </c>
    </row>
    <row r="9437" spans="1:20" ht="14.5" x14ac:dyDescent="0.35">
      <c r="A9437" s="10" t="s">
        <v>42627</v>
      </c>
      <c r="B9437" s="10" t="str">
        <f>"9781416620754"</f>
        <v>9781416620754</v>
      </c>
      <c r="C9437" s="10" t="str">
        <f>"9781416620778"</f>
        <v>9781416620778</v>
      </c>
      <c r="D9437" s="10" t="s">
        <v>10014</v>
      </c>
      <c r="E9437" s="10" t="s">
        <v>10015</v>
      </c>
      <c r="F9437" s="10" t="s">
        <v>201</v>
      </c>
      <c r="G9437" s="10" t="s">
        <v>6317</v>
      </c>
      <c r="H9437" s="11">
        <v>42581</v>
      </c>
      <c r="I9437" s="10">
        <v>2016</v>
      </c>
      <c r="J9437" s="10" t="s">
        <v>10015</v>
      </c>
      <c r="K9437" s="10">
        <v>182</v>
      </c>
      <c r="L9437" s="10" t="s">
        <v>42628</v>
      </c>
      <c r="M9437" s="10">
        <v>1</v>
      </c>
      <c r="N9437" s="10"/>
      <c r="O9437" s="10"/>
      <c r="P9437" s="10" t="s">
        <v>42629</v>
      </c>
      <c r="Q9437" s="10" t="s">
        <v>22300</v>
      </c>
      <c r="R9437" s="10" t="s">
        <v>42630</v>
      </c>
      <c r="S9437" s="10" t="s">
        <v>53</v>
      </c>
      <c r="T9437" s="10" t="s">
        <v>54</v>
      </c>
    </row>
    <row r="9438" spans="1:20" ht="14.5" x14ac:dyDescent="0.35">
      <c r="A9438" s="10" t="s">
        <v>42631</v>
      </c>
      <c r="B9438" s="10" t="str">
        <f>"9781475825657"</f>
        <v>9781475825657</v>
      </c>
      <c r="C9438" s="10" t="str">
        <f>"9781475825664"</f>
        <v>9781475825664</v>
      </c>
      <c r="D9438" s="10" t="s">
        <v>9752</v>
      </c>
      <c r="E9438" s="10" t="s">
        <v>15187</v>
      </c>
      <c r="F9438" s="10" t="s">
        <v>9754</v>
      </c>
      <c r="G9438" s="10" t="s">
        <v>6317</v>
      </c>
      <c r="H9438" s="11">
        <v>42569</v>
      </c>
      <c r="I9438" s="10">
        <v>2016</v>
      </c>
      <c r="J9438" s="10" t="s">
        <v>15187</v>
      </c>
      <c r="K9438" s="10">
        <v>181</v>
      </c>
      <c r="L9438" s="10" t="s">
        <v>42632</v>
      </c>
      <c r="M9438" s="10">
        <v>1</v>
      </c>
      <c r="N9438" s="10"/>
      <c r="O9438" s="10"/>
      <c r="P9438" s="10" t="s">
        <v>42633</v>
      </c>
      <c r="Q9438" s="10">
        <v>371.20600000000002</v>
      </c>
      <c r="R9438" s="10" t="s">
        <v>42634</v>
      </c>
      <c r="S9438" s="10" t="s">
        <v>53</v>
      </c>
      <c r="T9438" s="10" t="s">
        <v>54</v>
      </c>
    </row>
    <row r="9439" spans="1:20" ht="14.5" x14ac:dyDescent="0.35">
      <c r="A9439" s="10" t="s">
        <v>42635</v>
      </c>
      <c r="B9439" s="10" t="str">
        <f>"9781119254140"</f>
        <v>9781119254140</v>
      </c>
      <c r="C9439" s="10" t="str">
        <f>"9781119254171"</f>
        <v>9781119254171</v>
      </c>
      <c r="D9439" s="10" t="s">
        <v>6322</v>
      </c>
      <c r="E9439" s="10" t="s">
        <v>6323</v>
      </c>
      <c r="F9439" s="10" t="s">
        <v>4423</v>
      </c>
      <c r="G9439" s="10" t="s">
        <v>6317</v>
      </c>
      <c r="H9439" s="11">
        <v>42626</v>
      </c>
      <c r="I9439" s="10">
        <v>2016</v>
      </c>
      <c r="J9439" s="10" t="s">
        <v>6324</v>
      </c>
      <c r="K9439" s="10">
        <v>699</v>
      </c>
      <c r="L9439" s="10" t="s">
        <v>42636</v>
      </c>
      <c r="M9439" s="10">
        <v>2</v>
      </c>
      <c r="N9439" s="10"/>
      <c r="O9439" s="10"/>
      <c r="P9439" s="10"/>
      <c r="Q9439" s="10">
        <v>371.10199999999998</v>
      </c>
      <c r="R9439" s="10" t="s">
        <v>12268</v>
      </c>
      <c r="S9439" s="10" t="s">
        <v>53</v>
      </c>
      <c r="T9439" s="10" t="s">
        <v>54</v>
      </c>
    </row>
    <row r="9440" spans="1:20" ht="14.5" x14ac:dyDescent="0.35">
      <c r="A9440" s="10" t="s">
        <v>42637</v>
      </c>
      <c r="B9440" s="10" t="str">
        <f>"9789463000802"</f>
        <v>9789463000802</v>
      </c>
      <c r="C9440" s="10" t="str">
        <f>"9789463000826"</f>
        <v>9789463000826</v>
      </c>
      <c r="D9440" s="10" t="s">
        <v>8564</v>
      </c>
      <c r="E9440" s="10" t="s">
        <v>13067</v>
      </c>
      <c r="F9440" s="10" t="s">
        <v>33250</v>
      </c>
      <c r="G9440" s="10" t="s">
        <v>9233</v>
      </c>
      <c r="H9440" s="11">
        <v>42005</v>
      </c>
      <c r="I9440" s="10">
        <v>2015</v>
      </c>
      <c r="J9440" s="10" t="s">
        <v>13067</v>
      </c>
      <c r="K9440" s="10">
        <v>275</v>
      </c>
      <c r="L9440" s="10" t="s">
        <v>42638</v>
      </c>
      <c r="M9440" s="10">
        <v>1</v>
      </c>
      <c r="N9440" s="10" t="s">
        <v>42639</v>
      </c>
      <c r="O9440" s="10">
        <v>1</v>
      </c>
      <c r="P9440" s="10" t="s">
        <v>19534</v>
      </c>
      <c r="Q9440" s="10"/>
      <c r="R9440" s="10"/>
      <c r="S9440" s="10" t="s">
        <v>53</v>
      </c>
      <c r="T9440" s="10" t="s">
        <v>54</v>
      </c>
    </row>
    <row r="9441" spans="1:20" ht="14.5" x14ac:dyDescent="0.35">
      <c r="A9441" s="10" t="s">
        <v>42640</v>
      </c>
      <c r="B9441" s="10" t="str">
        <f>"9789462099579"</f>
        <v>9789462099579</v>
      </c>
      <c r="C9441" s="10" t="str">
        <f>"9789462099593"</f>
        <v>9789462099593</v>
      </c>
      <c r="D9441" s="10" t="s">
        <v>8564</v>
      </c>
      <c r="E9441" s="10" t="s">
        <v>13067</v>
      </c>
      <c r="F9441" s="10" t="s">
        <v>33250</v>
      </c>
      <c r="G9441" s="10" t="s">
        <v>9233</v>
      </c>
      <c r="H9441" s="11">
        <v>42005</v>
      </c>
      <c r="I9441" s="10">
        <v>2015</v>
      </c>
      <c r="J9441" s="10" t="s">
        <v>13067</v>
      </c>
      <c r="K9441" s="10">
        <v>317</v>
      </c>
      <c r="L9441" s="10" t="s">
        <v>42641</v>
      </c>
      <c r="M9441" s="10">
        <v>1</v>
      </c>
      <c r="N9441" s="10"/>
      <c r="O9441" s="10"/>
      <c r="P9441" s="10" t="s">
        <v>19534</v>
      </c>
      <c r="Q9441" s="10"/>
      <c r="R9441" s="10"/>
      <c r="S9441" s="10" t="s">
        <v>53</v>
      </c>
      <c r="T9441" s="10" t="s">
        <v>54</v>
      </c>
    </row>
    <row r="9442" spans="1:20" ht="14.5" x14ac:dyDescent="0.35">
      <c r="A9442" s="10" t="s">
        <v>42642</v>
      </c>
      <c r="B9442" s="10" t="str">
        <f>"9781786356413"</f>
        <v>9781786356413</v>
      </c>
      <c r="C9442" s="10" t="str">
        <f>"9781786356420"</f>
        <v>9781786356420</v>
      </c>
      <c r="D9442" s="10" t="s">
        <v>8699</v>
      </c>
      <c r="E9442" s="10" t="s">
        <v>8699</v>
      </c>
      <c r="F9442" s="10" t="s">
        <v>41843</v>
      </c>
      <c r="G9442" s="10" t="s">
        <v>6352</v>
      </c>
      <c r="H9442" s="11">
        <v>42551</v>
      </c>
      <c r="I9442" s="10">
        <v>2016</v>
      </c>
      <c r="J9442" s="10" t="s">
        <v>115</v>
      </c>
      <c r="K9442" s="10">
        <v>65</v>
      </c>
      <c r="L9442" s="10" t="s">
        <v>42643</v>
      </c>
      <c r="M9442" s="10">
        <v>1</v>
      </c>
      <c r="N9442" s="10" t="s">
        <v>42644</v>
      </c>
      <c r="O9442" s="10">
        <v>10</v>
      </c>
      <c r="P9442" s="10" t="s">
        <v>29456</v>
      </c>
      <c r="Q9442" s="10">
        <v>371.1</v>
      </c>
      <c r="R9442" s="10" t="s">
        <v>28640</v>
      </c>
      <c r="S9442" s="10" t="s">
        <v>53</v>
      </c>
      <c r="T9442" s="10" t="s">
        <v>54</v>
      </c>
    </row>
    <row r="9443" spans="1:20" ht="14.5" x14ac:dyDescent="0.35">
      <c r="A9443" s="10" t="s">
        <v>42645</v>
      </c>
      <c r="B9443" s="10" t="str">
        <f>"9781786356857"</f>
        <v>9781786356857</v>
      </c>
      <c r="C9443" s="10" t="str">
        <f>"9781786356864"</f>
        <v>9781786356864</v>
      </c>
      <c r="D9443" s="10" t="s">
        <v>8699</v>
      </c>
      <c r="E9443" s="10" t="s">
        <v>8699</v>
      </c>
      <c r="F9443" s="10" t="s">
        <v>41843</v>
      </c>
      <c r="G9443" s="10" t="s">
        <v>6352</v>
      </c>
      <c r="H9443" s="11">
        <v>42516</v>
      </c>
      <c r="I9443" s="10">
        <v>2016</v>
      </c>
      <c r="J9443" s="10" t="s">
        <v>115</v>
      </c>
      <c r="K9443" s="10">
        <v>72</v>
      </c>
      <c r="L9443" s="10" t="s">
        <v>42646</v>
      </c>
      <c r="M9443" s="10">
        <v>1</v>
      </c>
      <c r="N9443" s="10" t="s">
        <v>2859</v>
      </c>
      <c r="O9443" s="10">
        <v>33</v>
      </c>
      <c r="P9443" s="10" t="s">
        <v>42647</v>
      </c>
      <c r="Q9443" s="10">
        <v>370</v>
      </c>
      <c r="R9443" s="10" t="s">
        <v>42512</v>
      </c>
      <c r="S9443" s="10" t="s">
        <v>53</v>
      </c>
      <c r="T9443" s="10" t="s">
        <v>54</v>
      </c>
    </row>
    <row r="9444" spans="1:20" ht="14.5" x14ac:dyDescent="0.35">
      <c r="A9444" s="10" t="s">
        <v>42648</v>
      </c>
      <c r="B9444" s="10" t="str">
        <f>"9781786357076"</f>
        <v>9781786357076</v>
      </c>
      <c r="C9444" s="10" t="str">
        <f>"9781786357083"</f>
        <v>9781786357083</v>
      </c>
      <c r="D9444" s="10" t="s">
        <v>8699</v>
      </c>
      <c r="E9444" s="10" t="s">
        <v>8699</v>
      </c>
      <c r="F9444" s="10" t="s">
        <v>41843</v>
      </c>
      <c r="G9444" s="10" t="s">
        <v>6352</v>
      </c>
      <c r="H9444" s="11">
        <v>42527</v>
      </c>
      <c r="I9444" s="10">
        <v>2016</v>
      </c>
      <c r="J9444" s="10" t="s">
        <v>115</v>
      </c>
      <c r="K9444" s="10">
        <v>108</v>
      </c>
      <c r="L9444" s="10" t="s">
        <v>42649</v>
      </c>
      <c r="M9444" s="10">
        <v>1</v>
      </c>
      <c r="N9444" s="10" t="s">
        <v>8752</v>
      </c>
      <c r="O9444" s="10">
        <v>58</v>
      </c>
      <c r="P9444" s="10" t="s">
        <v>42650</v>
      </c>
      <c r="Q9444" s="10">
        <v>370</v>
      </c>
      <c r="R9444" s="10" t="s">
        <v>42651</v>
      </c>
      <c r="S9444" s="10" t="s">
        <v>53</v>
      </c>
      <c r="T9444" s="10" t="s">
        <v>8760</v>
      </c>
    </row>
    <row r="9445" spans="1:20" ht="14.5" x14ac:dyDescent="0.35">
      <c r="A9445" s="10" t="s">
        <v>42652</v>
      </c>
      <c r="B9445" s="10" t="str">
        <f>"9781786357618"</f>
        <v>9781786357618</v>
      </c>
      <c r="C9445" s="10" t="str">
        <f>"9781786357625"</f>
        <v>9781786357625</v>
      </c>
      <c r="D9445" s="10" t="s">
        <v>8699</v>
      </c>
      <c r="E9445" s="10" t="s">
        <v>8699</v>
      </c>
      <c r="F9445" s="10" t="s">
        <v>41843</v>
      </c>
      <c r="G9445" s="10" t="s">
        <v>6352</v>
      </c>
      <c r="H9445" s="11">
        <v>42551</v>
      </c>
      <c r="I9445" s="10">
        <v>2016</v>
      </c>
      <c r="J9445" s="10" t="s">
        <v>115</v>
      </c>
      <c r="K9445" s="10">
        <v>91</v>
      </c>
      <c r="L9445" s="10" t="s">
        <v>42653</v>
      </c>
      <c r="M9445" s="10">
        <v>1</v>
      </c>
      <c r="N9445" s="10" t="s">
        <v>8752</v>
      </c>
      <c r="O9445" s="10">
        <v>58</v>
      </c>
      <c r="P9445" s="10" t="s">
        <v>42654</v>
      </c>
      <c r="Q9445" s="10">
        <v>371.3</v>
      </c>
      <c r="R9445" s="10" t="s">
        <v>42655</v>
      </c>
      <c r="S9445" s="10" t="s">
        <v>53</v>
      </c>
      <c r="T9445" s="10" t="s">
        <v>8760</v>
      </c>
    </row>
    <row r="9446" spans="1:20" ht="14.5" x14ac:dyDescent="0.35">
      <c r="A9446" s="10" t="s">
        <v>42656</v>
      </c>
      <c r="B9446" s="10" t="str">
        <f>"9780761868125"</f>
        <v>9780761868125</v>
      </c>
      <c r="C9446" s="10" t="str">
        <f>"9780761868132"</f>
        <v>9780761868132</v>
      </c>
      <c r="D9446" s="10" t="s">
        <v>9752</v>
      </c>
      <c r="E9446" s="10" t="s">
        <v>17176</v>
      </c>
      <c r="F9446" s="10" t="s">
        <v>9754</v>
      </c>
      <c r="G9446" s="10" t="s">
        <v>6317</v>
      </c>
      <c r="H9446" s="11">
        <v>42607</v>
      </c>
      <c r="I9446" s="10">
        <v>2016</v>
      </c>
      <c r="J9446" s="10" t="s">
        <v>17176</v>
      </c>
      <c r="K9446" s="10">
        <v>220</v>
      </c>
      <c r="L9446" s="10" t="s">
        <v>42657</v>
      </c>
      <c r="M9446" s="10">
        <v>1</v>
      </c>
      <c r="N9446" s="10" t="s">
        <v>22645</v>
      </c>
      <c r="O9446" s="10"/>
      <c r="P9446" s="10" t="s">
        <v>42658</v>
      </c>
      <c r="Q9446" s="10">
        <v>378.19900000000001</v>
      </c>
      <c r="R9446" s="10" t="s">
        <v>42659</v>
      </c>
      <c r="S9446" s="10" t="s">
        <v>53</v>
      </c>
      <c r="T9446" s="10" t="s">
        <v>54</v>
      </c>
    </row>
    <row r="9447" spans="1:20" ht="14.5" x14ac:dyDescent="0.35">
      <c r="A9447" s="10" t="s">
        <v>42660</v>
      </c>
      <c r="B9447" s="10" t="str">
        <f>"9789462099784"</f>
        <v>9789462099784</v>
      </c>
      <c r="C9447" s="10" t="str">
        <f>"9789462099807"</f>
        <v>9789462099807</v>
      </c>
      <c r="D9447" s="10" t="s">
        <v>8564</v>
      </c>
      <c r="E9447" s="10" t="s">
        <v>13067</v>
      </c>
      <c r="F9447" s="10" t="s">
        <v>33250</v>
      </c>
      <c r="G9447" s="10" t="s">
        <v>9233</v>
      </c>
      <c r="H9447" s="11">
        <v>42005</v>
      </c>
      <c r="I9447" s="10">
        <v>2015</v>
      </c>
      <c r="J9447" s="10" t="s">
        <v>13067</v>
      </c>
      <c r="K9447" s="10">
        <v>276</v>
      </c>
      <c r="L9447" s="10" t="s">
        <v>42661</v>
      </c>
      <c r="M9447" s="10">
        <v>1</v>
      </c>
      <c r="N9447" s="10"/>
      <c r="O9447" s="10"/>
      <c r="P9447" s="10" t="s">
        <v>19534</v>
      </c>
      <c r="Q9447" s="10"/>
      <c r="R9447" s="10" t="s">
        <v>42662</v>
      </c>
      <c r="S9447" s="10" t="s">
        <v>53</v>
      </c>
      <c r="T9447" s="10" t="s">
        <v>54</v>
      </c>
    </row>
    <row r="9448" spans="1:20" ht="14.5" x14ac:dyDescent="0.35">
      <c r="A9448" s="10" t="s">
        <v>42663</v>
      </c>
      <c r="B9448" s="10" t="str">
        <f>"9781472921406"</f>
        <v>9781472921406</v>
      </c>
      <c r="C9448" s="10" t="str">
        <f>"9781472921413"</f>
        <v>9781472921413</v>
      </c>
      <c r="D9448" s="10" t="s">
        <v>13959</v>
      </c>
      <c r="E9448" s="10" t="s">
        <v>13960</v>
      </c>
      <c r="F9448" s="10" t="s">
        <v>139</v>
      </c>
      <c r="G9448" s="10" t="s">
        <v>6352</v>
      </c>
      <c r="H9448" s="11">
        <v>42621</v>
      </c>
      <c r="I9448" s="10">
        <v>2016</v>
      </c>
      <c r="J9448" s="10" t="s">
        <v>16948</v>
      </c>
      <c r="K9448" s="10">
        <v>153</v>
      </c>
      <c r="L9448" s="10" t="s">
        <v>42664</v>
      </c>
      <c r="M9448" s="10">
        <v>1</v>
      </c>
      <c r="N9448" s="10"/>
      <c r="O9448" s="10"/>
      <c r="P9448" s="10" t="s">
        <v>42665</v>
      </c>
      <c r="Q9448" s="10">
        <v>371.71300000000002</v>
      </c>
      <c r="R9448" s="10" t="s">
        <v>42666</v>
      </c>
      <c r="S9448" s="10" t="s">
        <v>53</v>
      </c>
      <c r="T9448" s="10" t="s">
        <v>54</v>
      </c>
    </row>
    <row r="9449" spans="1:20" ht="14.5" x14ac:dyDescent="0.35">
      <c r="A9449" s="10" t="s">
        <v>42667</v>
      </c>
      <c r="B9449" s="10" t="str">
        <f>"9781783300822"</f>
        <v>9781783300822</v>
      </c>
      <c r="C9449" s="10" t="str">
        <f>"9781783301508"</f>
        <v>9781783301508</v>
      </c>
      <c r="D9449" s="10" t="s">
        <v>9533</v>
      </c>
      <c r="E9449" s="10" t="s">
        <v>42668</v>
      </c>
      <c r="F9449" s="10" t="s">
        <v>139</v>
      </c>
      <c r="G9449" s="10" t="s">
        <v>6352</v>
      </c>
      <c r="H9449" s="11">
        <v>42521</v>
      </c>
      <c r="I9449" s="10">
        <v>2016</v>
      </c>
      <c r="J9449" s="10" t="s">
        <v>42668</v>
      </c>
      <c r="K9449" s="10">
        <v>192</v>
      </c>
      <c r="L9449" s="10" t="s">
        <v>42669</v>
      </c>
      <c r="M9449" s="10">
        <v>1</v>
      </c>
      <c r="N9449" s="10"/>
      <c r="O9449" s="10"/>
      <c r="P9449" s="10" t="s">
        <v>40284</v>
      </c>
      <c r="Q9449" s="10">
        <v>28.7</v>
      </c>
      <c r="R9449" s="10" t="s">
        <v>33589</v>
      </c>
      <c r="S9449" s="10" t="s">
        <v>53</v>
      </c>
      <c r="T9449" s="10" t="s">
        <v>9590</v>
      </c>
    </row>
    <row r="9450" spans="1:20" ht="14.5" x14ac:dyDescent="0.35">
      <c r="A9450" s="10" t="s">
        <v>42670</v>
      </c>
      <c r="B9450" s="10" t="str">
        <f>"9781783300709"</f>
        <v>9781783300709</v>
      </c>
      <c r="C9450" s="10" t="str">
        <f>"9781783301461"</f>
        <v>9781783301461</v>
      </c>
      <c r="D9450" s="10" t="s">
        <v>9533</v>
      </c>
      <c r="E9450" s="10" t="s">
        <v>42668</v>
      </c>
      <c r="F9450" s="10" t="s">
        <v>139</v>
      </c>
      <c r="G9450" s="10" t="s">
        <v>6352</v>
      </c>
      <c r="H9450" s="11">
        <v>42460</v>
      </c>
      <c r="I9450" s="10">
        <v>2016</v>
      </c>
      <c r="J9450" s="10" t="s">
        <v>42668</v>
      </c>
      <c r="K9450" s="10">
        <v>192</v>
      </c>
      <c r="L9450" s="10" t="s">
        <v>42671</v>
      </c>
      <c r="M9450" s="10">
        <v>1</v>
      </c>
      <c r="N9450" s="10"/>
      <c r="O9450" s="10"/>
      <c r="P9450" s="10" t="s">
        <v>42672</v>
      </c>
      <c r="Q9450" s="10">
        <v>378.19799999999998</v>
      </c>
      <c r="R9450" s="10" t="s">
        <v>42673</v>
      </c>
      <c r="S9450" s="10" t="s">
        <v>53</v>
      </c>
      <c r="T9450" s="10" t="s">
        <v>8777</v>
      </c>
    </row>
    <row r="9451" spans="1:20" ht="14.5" x14ac:dyDescent="0.35">
      <c r="A9451" s="10" t="s">
        <v>42674</v>
      </c>
      <c r="B9451" s="10" t="str">
        <f>"9781475829198"</f>
        <v>9781475829198</v>
      </c>
      <c r="C9451" s="10" t="str">
        <f>"9781475829211"</f>
        <v>9781475829211</v>
      </c>
      <c r="D9451" s="10" t="s">
        <v>9752</v>
      </c>
      <c r="E9451" s="10" t="s">
        <v>15187</v>
      </c>
      <c r="F9451" s="10" t="s">
        <v>9754</v>
      </c>
      <c r="G9451" s="10" t="s">
        <v>6317</v>
      </c>
      <c r="H9451" s="11">
        <v>42612</v>
      </c>
      <c r="I9451" s="10">
        <v>2016</v>
      </c>
      <c r="J9451" s="10" t="s">
        <v>15187</v>
      </c>
      <c r="K9451" s="10">
        <v>153</v>
      </c>
      <c r="L9451" s="10" t="s">
        <v>42675</v>
      </c>
      <c r="M9451" s="10">
        <v>1</v>
      </c>
      <c r="N9451" s="10"/>
      <c r="O9451" s="10"/>
      <c r="P9451" s="10"/>
      <c r="Q9451" s="10">
        <v>371.20699999999999</v>
      </c>
      <c r="R9451" s="10" t="s">
        <v>42676</v>
      </c>
      <c r="S9451" s="10" t="s">
        <v>53</v>
      </c>
      <c r="T9451" s="10" t="s">
        <v>54</v>
      </c>
    </row>
    <row r="9452" spans="1:20" ht="14.5" x14ac:dyDescent="0.35">
      <c r="A9452" s="10" t="s">
        <v>42677</v>
      </c>
      <c r="B9452" s="10" t="str">
        <f>"9781475829693"</f>
        <v>9781475829693</v>
      </c>
      <c r="C9452" s="10" t="str">
        <f>"9781475829709"</f>
        <v>9781475829709</v>
      </c>
      <c r="D9452" s="10" t="s">
        <v>9752</v>
      </c>
      <c r="E9452" s="10" t="s">
        <v>15187</v>
      </c>
      <c r="F9452" s="10" t="s">
        <v>9754</v>
      </c>
      <c r="G9452" s="10" t="s">
        <v>6317</v>
      </c>
      <c r="H9452" s="11">
        <v>42598</v>
      </c>
      <c r="I9452" s="10">
        <v>2016</v>
      </c>
      <c r="J9452" s="10" t="s">
        <v>15187</v>
      </c>
      <c r="K9452" s="10">
        <v>187</v>
      </c>
      <c r="L9452" s="10" t="s">
        <v>42678</v>
      </c>
      <c r="M9452" s="10">
        <v>1</v>
      </c>
      <c r="N9452" s="10"/>
      <c r="O9452" s="10"/>
      <c r="P9452" s="10" t="s">
        <v>42679</v>
      </c>
      <c r="Q9452" s="10">
        <v>371.2</v>
      </c>
      <c r="R9452" s="10" t="s">
        <v>42680</v>
      </c>
      <c r="S9452" s="10" t="s">
        <v>53</v>
      </c>
      <c r="T9452" s="10" t="s">
        <v>54</v>
      </c>
    </row>
    <row r="9453" spans="1:20" ht="14.5" x14ac:dyDescent="0.35">
      <c r="A9453" s="10" t="s">
        <v>42681</v>
      </c>
      <c r="B9453" s="10" t="str">
        <f>"9781464808722"</f>
        <v>9781464808722</v>
      </c>
      <c r="C9453" s="10" t="str">
        <f>"9781464808739"</f>
        <v>9781464808739</v>
      </c>
      <c r="D9453" s="10" t="s">
        <v>14731</v>
      </c>
      <c r="E9453" s="10" t="s">
        <v>14732</v>
      </c>
      <c r="F9453" s="10" t="s">
        <v>88</v>
      </c>
      <c r="G9453" s="10" t="s">
        <v>6317</v>
      </c>
      <c r="H9453" s="11">
        <v>42523</v>
      </c>
      <c r="I9453" s="10">
        <v>2017</v>
      </c>
      <c r="J9453" s="10" t="s">
        <v>14732</v>
      </c>
      <c r="K9453" s="10">
        <v>201</v>
      </c>
      <c r="L9453" s="10" t="s">
        <v>42682</v>
      </c>
      <c r="M9453" s="10">
        <v>1</v>
      </c>
      <c r="N9453" s="10" t="s">
        <v>31680</v>
      </c>
      <c r="O9453" s="10"/>
      <c r="P9453" s="10" t="s">
        <v>42683</v>
      </c>
      <c r="Q9453" s="10">
        <v>370.1</v>
      </c>
      <c r="R9453" s="10" t="s">
        <v>42684</v>
      </c>
      <c r="S9453" s="10" t="s">
        <v>53</v>
      </c>
      <c r="T9453" s="10" t="s">
        <v>6492</v>
      </c>
    </row>
    <row r="9454" spans="1:20" ht="14.5" x14ac:dyDescent="0.35">
      <c r="A9454" s="10" t="s">
        <v>42685</v>
      </c>
      <c r="B9454" s="10" t="str">
        <f>"9781475826937"</f>
        <v>9781475826937</v>
      </c>
      <c r="C9454" s="10" t="str">
        <f>"9781475826951"</f>
        <v>9781475826951</v>
      </c>
      <c r="D9454" s="10" t="s">
        <v>9752</v>
      </c>
      <c r="E9454" s="10" t="s">
        <v>15187</v>
      </c>
      <c r="F9454" s="10" t="s">
        <v>9754</v>
      </c>
      <c r="G9454" s="10" t="s">
        <v>6317</v>
      </c>
      <c r="H9454" s="11">
        <v>42590</v>
      </c>
      <c r="I9454" s="10">
        <v>2016</v>
      </c>
      <c r="J9454" s="10" t="s">
        <v>15187</v>
      </c>
      <c r="K9454" s="10">
        <v>125</v>
      </c>
      <c r="L9454" s="10" t="s">
        <v>42686</v>
      </c>
      <c r="M9454" s="10">
        <v>1</v>
      </c>
      <c r="N9454" s="10"/>
      <c r="O9454" s="10"/>
      <c r="P9454" s="10" t="s">
        <v>42687</v>
      </c>
      <c r="Q9454" s="10">
        <v>378.17344678000001</v>
      </c>
      <c r="R9454" s="10" t="s">
        <v>18366</v>
      </c>
      <c r="S9454" s="10" t="s">
        <v>53</v>
      </c>
      <c r="T9454" s="10" t="s">
        <v>54</v>
      </c>
    </row>
    <row r="9455" spans="1:20" ht="14.5" x14ac:dyDescent="0.35">
      <c r="A9455" s="10" t="s">
        <v>42688</v>
      </c>
      <c r="B9455" s="10" t="str">
        <f>"9781475824759"</f>
        <v>9781475824759</v>
      </c>
      <c r="C9455" s="10" t="str">
        <f>"9781475824773"</f>
        <v>9781475824773</v>
      </c>
      <c r="D9455" s="10" t="s">
        <v>9752</v>
      </c>
      <c r="E9455" s="10" t="s">
        <v>15187</v>
      </c>
      <c r="F9455" s="10" t="s">
        <v>9754</v>
      </c>
      <c r="G9455" s="10" t="s">
        <v>6317</v>
      </c>
      <c r="H9455" s="11">
        <v>42573</v>
      </c>
      <c r="I9455" s="10">
        <v>2016</v>
      </c>
      <c r="J9455" s="10" t="s">
        <v>15187</v>
      </c>
      <c r="K9455" s="10">
        <v>95</v>
      </c>
      <c r="L9455" s="10" t="s">
        <v>42689</v>
      </c>
      <c r="M9455" s="10">
        <v>1</v>
      </c>
      <c r="N9455" s="10"/>
      <c r="O9455" s="10"/>
      <c r="P9455" s="10" t="s">
        <v>42690</v>
      </c>
      <c r="Q9455" s="10">
        <v>808.04200000000003</v>
      </c>
      <c r="R9455" s="10" t="s">
        <v>42691</v>
      </c>
      <c r="S9455" s="10" t="s">
        <v>53</v>
      </c>
      <c r="T9455" s="10" t="s">
        <v>8424</v>
      </c>
    </row>
    <row r="9456" spans="1:20" ht="14.5" x14ac:dyDescent="0.35">
      <c r="A9456" s="10" t="s">
        <v>42692</v>
      </c>
      <c r="B9456" s="10" t="str">
        <f>"9783319403243"</f>
        <v>9783319403243</v>
      </c>
      <c r="C9456" s="10" t="str">
        <f>"9783319403250"</f>
        <v>9783319403250</v>
      </c>
      <c r="D9456" s="10" t="s">
        <v>11249</v>
      </c>
      <c r="E9456" s="10" t="s">
        <v>26623</v>
      </c>
      <c r="F9456" s="10" t="s">
        <v>26624</v>
      </c>
      <c r="G9456" s="10" t="s">
        <v>16676</v>
      </c>
      <c r="H9456" s="11">
        <v>42604</v>
      </c>
      <c r="I9456" s="10">
        <v>2016</v>
      </c>
      <c r="J9456" s="10" t="s">
        <v>2400</v>
      </c>
      <c r="K9456" s="10">
        <v>172</v>
      </c>
      <c r="L9456" s="10" t="s">
        <v>42693</v>
      </c>
      <c r="M9456" s="10">
        <v>1</v>
      </c>
      <c r="N9456" s="10" t="s">
        <v>42694</v>
      </c>
      <c r="O9456" s="10"/>
      <c r="P9456" s="10" t="s">
        <v>11279</v>
      </c>
      <c r="Q9456" s="10">
        <v>301.09679999999997</v>
      </c>
      <c r="R9456" s="10" t="s">
        <v>6938</v>
      </c>
      <c r="S9456" s="10" t="s">
        <v>53</v>
      </c>
      <c r="T9456" s="10" t="s">
        <v>6363</v>
      </c>
    </row>
    <row r="9457" spans="1:20" ht="14.5" x14ac:dyDescent="0.35">
      <c r="A9457" s="10" t="s">
        <v>42695</v>
      </c>
      <c r="B9457" s="10" t="str">
        <f>"9780813581002"</f>
        <v>9780813581002</v>
      </c>
      <c r="C9457" s="10" t="str">
        <f>"9780813581026"</f>
        <v>9780813581026</v>
      </c>
      <c r="D9457" s="10" t="s">
        <v>12251</v>
      </c>
      <c r="E9457" s="10" t="s">
        <v>12251</v>
      </c>
      <c r="F9457" s="10" t="s">
        <v>12451</v>
      </c>
      <c r="G9457" s="10" t="s">
        <v>6317</v>
      </c>
      <c r="H9457" s="11">
        <v>42625</v>
      </c>
      <c r="I9457" s="10">
        <v>2016</v>
      </c>
      <c r="J9457" s="10" t="s">
        <v>12251</v>
      </c>
      <c r="K9457" s="10">
        <v>238</v>
      </c>
      <c r="L9457" s="10" t="s">
        <v>42696</v>
      </c>
      <c r="M9457" s="10">
        <v>1</v>
      </c>
      <c r="N9457" s="10" t="s">
        <v>42697</v>
      </c>
      <c r="O9457" s="10"/>
      <c r="P9457" s="10" t="s">
        <v>34882</v>
      </c>
      <c r="Q9457" s="10" t="s">
        <v>42698</v>
      </c>
      <c r="R9457" s="10"/>
      <c r="S9457" s="10" t="s">
        <v>53</v>
      </c>
      <c r="T9457" s="10" t="s">
        <v>54</v>
      </c>
    </row>
    <row r="9458" spans="1:20" ht="14.5" x14ac:dyDescent="0.35">
      <c r="A9458" s="10" t="s">
        <v>42699</v>
      </c>
      <c r="B9458" s="10" t="str">
        <f>"9781681234977"</f>
        <v>9781681234977</v>
      </c>
      <c r="C9458" s="10" t="str">
        <f>"9781681234991"</f>
        <v>9781681234991</v>
      </c>
      <c r="D9458" s="10" t="s">
        <v>274</v>
      </c>
      <c r="E9458" s="10" t="s">
        <v>35170</v>
      </c>
      <c r="F9458" s="10" t="s">
        <v>35171</v>
      </c>
      <c r="G9458" s="10" t="s">
        <v>6317</v>
      </c>
      <c r="H9458" s="11">
        <v>42644</v>
      </c>
      <c r="I9458" s="10">
        <v>2016</v>
      </c>
      <c r="J9458" s="10" t="s">
        <v>35170</v>
      </c>
      <c r="K9458" s="10">
        <v>217</v>
      </c>
      <c r="L9458" s="10" t="s">
        <v>42700</v>
      </c>
      <c r="M9458" s="10">
        <v>1</v>
      </c>
      <c r="N9458" s="10"/>
      <c r="O9458" s="10"/>
      <c r="P9458" s="10" t="s">
        <v>42701</v>
      </c>
      <c r="Q9458" s="10" t="s">
        <v>15596</v>
      </c>
      <c r="R9458" s="10" t="s">
        <v>42702</v>
      </c>
      <c r="S9458" s="10" t="s">
        <v>53</v>
      </c>
      <c r="T9458" s="10" t="s">
        <v>6363</v>
      </c>
    </row>
    <row r="9459" spans="1:20" ht="14.5" x14ac:dyDescent="0.35">
      <c r="A9459" s="10" t="s">
        <v>42703</v>
      </c>
      <c r="B9459" s="10" t="str">
        <f>"9781681235639"</f>
        <v>9781681235639</v>
      </c>
      <c r="C9459" s="10" t="str">
        <f>"9781681235653"</f>
        <v>9781681235653</v>
      </c>
      <c r="D9459" s="10" t="s">
        <v>274</v>
      </c>
      <c r="E9459" s="10" t="s">
        <v>35170</v>
      </c>
      <c r="F9459" s="10" t="s">
        <v>35171</v>
      </c>
      <c r="G9459" s="10" t="s">
        <v>6317</v>
      </c>
      <c r="H9459" s="11">
        <v>42675</v>
      </c>
      <c r="I9459" s="10">
        <v>2016</v>
      </c>
      <c r="J9459" s="10" t="s">
        <v>35170</v>
      </c>
      <c r="K9459" s="10">
        <v>264</v>
      </c>
      <c r="L9459" s="10" t="s">
        <v>42704</v>
      </c>
      <c r="M9459" s="10">
        <v>1</v>
      </c>
      <c r="N9459" s="10" t="s">
        <v>35367</v>
      </c>
      <c r="O9459" s="10"/>
      <c r="P9459" s="10" t="s">
        <v>42705</v>
      </c>
      <c r="Q9459" s="10" t="s">
        <v>42706</v>
      </c>
      <c r="R9459" s="10" t="s">
        <v>42707</v>
      </c>
      <c r="S9459" s="10" t="s">
        <v>53</v>
      </c>
      <c r="T9459" s="10" t="s">
        <v>6363</v>
      </c>
    </row>
    <row r="9460" spans="1:20" ht="14.5" x14ac:dyDescent="0.35">
      <c r="A9460" s="10" t="s">
        <v>42708</v>
      </c>
      <c r="B9460" s="10" t="str">
        <f>"9781681235936"</f>
        <v>9781681235936</v>
      </c>
      <c r="C9460" s="10" t="str">
        <f>"9781681235950"</f>
        <v>9781681235950</v>
      </c>
      <c r="D9460" s="10" t="s">
        <v>274</v>
      </c>
      <c r="E9460" s="10" t="s">
        <v>35170</v>
      </c>
      <c r="F9460" s="10" t="s">
        <v>35171</v>
      </c>
      <c r="G9460" s="10" t="s">
        <v>6317</v>
      </c>
      <c r="H9460" s="11">
        <v>42736</v>
      </c>
      <c r="I9460" s="10">
        <v>2016</v>
      </c>
      <c r="J9460" s="10" t="s">
        <v>35170</v>
      </c>
      <c r="K9460" s="10">
        <v>285</v>
      </c>
      <c r="L9460" s="10" t="s">
        <v>42709</v>
      </c>
      <c r="M9460" s="10">
        <v>1</v>
      </c>
      <c r="N9460" s="10"/>
      <c r="O9460" s="10"/>
      <c r="P9460" s="10" t="s">
        <v>42710</v>
      </c>
      <c r="Q9460" s="10">
        <v>418.00709999999998</v>
      </c>
      <c r="R9460" s="10" t="s">
        <v>42711</v>
      </c>
      <c r="S9460" s="10" t="s">
        <v>53</v>
      </c>
      <c r="T9460" s="10" t="s">
        <v>6616</v>
      </c>
    </row>
    <row r="9461" spans="1:20" ht="14.5" x14ac:dyDescent="0.35">
      <c r="A9461" s="10" t="s">
        <v>42712</v>
      </c>
      <c r="B9461" s="10" t="str">
        <f>"9781681235738"</f>
        <v>9781681235738</v>
      </c>
      <c r="C9461" s="10" t="str">
        <f>"9781681235745"</f>
        <v>9781681235745</v>
      </c>
      <c r="D9461" s="10" t="s">
        <v>274</v>
      </c>
      <c r="E9461" s="10" t="s">
        <v>35170</v>
      </c>
      <c r="F9461" s="10" t="s">
        <v>35171</v>
      </c>
      <c r="G9461" s="10" t="s">
        <v>6317</v>
      </c>
      <c r="H9461" s="11">
        <v>42736</v>
      </c>
      <c r="I9461" s="10">
        <v>2016</v>
      </c>
      <c r="J9461" s="10" t="s">
        <v>35170</v>
      </c>
      <c r="K9461" s="10">
        <v>147</v>
      </c>
      <c r="L9461" s="10" t="s">
        <v>42713</v>
      </c>
      <c r="M9461" s="10">
        <v>1</v>
      </c>
      <c r="N9461" s="10"/>
      <c r="O9461" s="10"/>
      <c r="P9461" s="10"/>
      <c r="Q9461" s="10"/>
      <c r="R9461" s="10"/>
      <c r="S9461" s="10" t="s">
        <v>53</v>
      </c>
      <c r="T9461" s="10" t="s">
        <v>54</v>
      </c>
    </row>
    <row r="9462" spans="1:20" ht="14.5" x14ac:dyDescent="0.35">
      <c r="A9462" s="10" t="s">
        <v>42714</v>
      </c>
      <c r="B9462" s="10" t="str">
        <f>"9781475827767"</f>
        <v>9781475827767</v>
      </c>
      <c r="C9462" s="10" t="str">
        <f>"9781475827774"</f>
        <v>9781475827774</v>
      </c>
      <c r="D9462" s="10" t="s">
        <v>9752</v>
      </c>
      <c r="E9462" s="10" t="s">
        <v>15187</v>
      </c>
      <c r="F9462" s="10" t="s">
        <v>9754</v>
      </c>
      <c r="G9462" s="10" t="s">
        <v>6317</v>
      </c>
      <c r="H9462" s="11">
        <v>42644</v>
      </c>
      <c r="I9462" s="10">
        <v>2016</v>
      </c>
      <c r="J9462" s="10" t="s">
        <v>15187</v>
      </c>
      <c r="K9462" s="10">
        <v>173</v>
      </c>
      <c r="L9462" s="10" t="s">
        <v>42715</v>
      </c>
      <c r="M9462" s="10">
        <v>1</v>
      </c>
      <c r="N9462" s="10"/>
      <c r="O9462" s="10"/>
      <c r="P9462" s="10" t="s">
        <v>42716</v>
      </c>
      <c r="Q9462" s="10">
        <v>649.1</v>
      </c>
      <c r="R9462" s="10" t="s">
        <v>42717</v>
      </c>
      <c r="S9462" s="10" t="s">
        <v>53</v>
      </c>
      <c r="T9462" s="10" t="s">
        <v>11762</v>
      </c>
    </row>
    <row r="9463" spans="1:20" ht="14.5" x14ac:dyDescent="0.35">
      <c r="A9463" s="10" t="s">
        <v>42718</v>
      </c>
      <c r="B9463" s="10" t="str">
        <f>"9781475829495"</f>
        <v>9781475829495</v>
      </c>
      <c r="C9463" s="10" t="str">
        <f>"9781475829501"</f>
        <v>9781475829501</v>
      </c>
      <c r="D9463" s="10" t="s">
        <v>9752</v>
      </c>
      <c r="E9463" s="10" t="s">
        <v>15187</v>
      </c>
      <c r="F9463" s="10" t="s">
        <v>9754</v>
      </c>
      <c r="G9463" s="10" t="s">
        <v>6317</v>
      </c>
      <c r="H9463" s="11">
        <v>42570</v>
      </c>
      <c r="I9463" s="10">
        <v>2016</v>
      </c>
      <c r="J9463" s="10" t="s">
        <v>15187</v>
      </c>
      <c r="K9463" s="10">
        <v>75</v>
      </c>
      <c r="L9463" s="10" t="s">
        <v>42719</v>
      </c>
      <c r="M9463" s="10">
        <v>1</v>
      </c>
      <c r="N9463" s="10" t="s">
        <v>42720</v>
      </c>
      <c r="O9463" s="10"/>
      <c r="P9463" s="10" t="s">
        <v>42721</v>
      </c>
      <c r="Q9463" s="10">
        <v>808.04200000000003</v>
      </c>
      <c r="R9463" s="10" t="s">
        <v>42722</v>
      </c>
      <c r="S9463" s="10" t="s">
        <v>53</v>
      </c>
      <c r="T9463" s="10" t="s">
        <v>6568</v>
      </c>
    </row>
    <row r="9464" spans="1:20" ht="14.5" x14ac:dyDescent="0.35">
      <c r="A9464" s="10" t="s">
        <v>42723</v>
      </c>
      <c r="B9464" s="10" t="str">
        <f>"9781475821611"</f>
        <v>9781475821611</v>
      </c>
      <c r="C9464" s="10" t="str">
        <f>"9781475821628"</f>
        <v>9781475821628</v>
      </c>
      <c r="D9464" s="10" t="s">
        <v>9752</v>
      </c>
      <c r="E9464" s="10" t="s">
        <v>15187</v>
      </c>
      <c r="F9464" s="10" t="s">
        <v>9754</v>
      </c>
      <c r="G9464" s="10" t="s">
        <v>6317</v>
      </c>
      <c r="H9464" s="11">
        <v>42598</v>
      </c>
      <c r="I9464" s="10">
        <v>2016</v>
      </c>
      <c r="J9464" s="10" t="s">
        <v>15187</v>
      </c>
      <c r="K9464" s="10">
        <v>253</v>
      </c>
      <c r="L9464" s="10" t="s">
        <v>42724</v>
      </c>
      <c r="M9464" s="10">
        <v>1</v>
      </c>
      <c r="N9464" s="10"/>
      <c r="O9464" s="10"/>
      <c r="P9464" s="10" t="s">
        <v>42725</v>
      </c>
      <c r="Q9464" s="10">
        <v>370.91734000000002</v>
      </c>
      <c r="R9464" s="10" t="s">
        <v>42726</v>
      </c>
      <c r="S9464" s="10" t="s">
        <v>53</v>
      </c>
      <c r="T9464" s="10" t="s">
        <v>54</v>
      </c>
    </row>
    <row r="9465" spans="1:20" ht="14.5" x14ac:dyDescent="0.35">
      <c r="A9465" s="10" t="s">
        <v>42727</v>
      </c>
      <c r="B9465" s="10" t="str">
        <f>""</f>
        <v/>
      </c>
      <c r="C9465" s="10" t="str">
        <f>"9787301230640"</f>
        <v>9787301230640</v>
      </c>
      <c r="D9465" s="10" t="s">
        <v>42728</v>
      </c>
      <c r="E9465" s="10" t="s">
        <v>42729</v>
      </c>
      <c r="F9465" s="10" t="s">
        <v>42730</v>
      </c>
      <c r="G9465" s="10" t="s">
        <v>37425</v>
      </c>
      <c r="H9465" s="11">
        <v>41518</v>
      </c>
      <c r="I9465" s="10">
        <v>2013</v>
      </c>
      <c r="J9465" s="10" t="s">
        <v>42729</v>
      </c>
      <c r="K9465" s="10">
        <v>157</v>
      </c>
      <c r="L9465" s="10" t="s">
        <v>42731</v>
      </c>
      <c r="M9465" s="10">
        <v>1</v>
      </c>
      <c r="N9465" s="10"/>
      <c r="O9465" s="10"/>
      <c r="P9465" s="10"/>
      <c r="Q9465" s="10"/>
      <c r="R9465" s="10"/>
      <c r="S9465" s="10" t="s">
        <v>876</v>
      </c>
      <c r="T9465" s="10"/>
    </row>
    <row r="9466" spans="1:20" ht="14.5" x14ac:dyDescent="0.35">
      <c r="A9466" s="10" t="s">
        <v>42732</v>
      </c>
      <c r="B9466" s="10" t="str">
        <f>""</f>
        <v/>
      </c>
      <c r="C9466" s="10" t="str">
        <f>"9787301228746"</f>
        <v>9787301228746</v>
      </c>
      <c r="D9466" s="10" t="s">
        <v>42728</v>
      </c>
      <c r="E9466" s="10" t="s">
        <v>42729</v>
      </c>
      <c r="F9466" s="10" t="s">
        <v>42730</v>
      </c>
      <c r="G9466" s="10" t="s">
        <v>37425</v>
      </c>
      <c r="H9466" s="11">
        <v>41487</v>
      </c>
      <c r="I9466" s="10">
        <v>2013</v>
      </c>
      <c r="J9466" s="10" t="s">
        <v>42729</v>
      </c>
      <c r="K9466" s="10">
        <v>187</v>
      </c>
      <c r="L9466" s="10" t="s">
        <v>42733</v>
      </c>
      <c r="M9466" s="10">
        <v>1</v>
      </c>
      <c r="N9466" s="10"/>
      <c r="O9466" s="10"/>
      <c r="P9466" s="10"/>
      <c r="Q9466" s="10"/>
      <c r="R9466" s="10"/>
      <c r="S9466" s="10" t="s">
        <v>876</v>
      </c>
      <c r="T9466" s="10"/>
    </row>
    <row r="9467" spans="1:20" ht="14.5" x14ac:dyDescent="0.35">
      <c r="A9467" s="10" t="s">
        <v>42734</v>
      </c>
      <c r="B9467" s="10" t="str">
        <f>""</f>
        <v/>
      </c>
      <c r="C9467" s="10" t="str">
        <f>"9787301227831"</f>
        <v>9787301227831</v>
      </c>
      <c r="D9467" s="10" t="s">
        <v>42728</v>
      </c>
      <c r="E9467" s="10" t="s">
        <v>42729</v>
      </c>
      <c r="F9467" s="10" t="s">
        <v>42730</v>
      </c>
      <c r="G9467" s="10" t="s">
        <v>37425</v>
      </c>
      <c r="H9467" s="11">
        <v>41487</v>
      </c>
      <c r="I9467" s="10">
        <v>2013</v>
      </c>
      <c r="J9467" s="10" t="s">
        <v>42729</v>
      </c>
      <c r="K9467" s="10">
        <v>129</v>
      </c>
      <c r="L9467" s="10" t="s">
        <v>42735</v>
      </c>
      <c r="M9467" s="10">
        <v>1</v>
      </c>
      <c r="N9467" s="10"/>
      <c r="O9467" s="10"/>
      <c r="P9467" s="10"/>
      <c r="Q9467" s="10"/>
      <c r="R9467" s="10"/>
      <c r="S9467" s="10" t="s">
        <v>876</v>
      </c>
      <c r="T9467" s="10"/>
    </row>
    <row r="9468" spans="1:20" ht="14.5" x14ac:dyDescent="0.35">
      <c r="A9468" s="10" t="s">
        <v>42736</v>
      </c>
      <c r="B9468" s="10" t="str">
        <f>""</f>
        <v/>
      </c>
      <c r="C9468" s="10" t="str">
        <f>"9787301214183"</f>
        <v>9787301214183</v>
      </c>
      <c r="D9468" s="10" t="s">
        <v>42728</v>
      </c>
      <c r="E9468" s="10" t="s">
        <v>42729</v>
      </c>
      <c r="F9468" s="10" t="s">
        <v>42730</v>
      </c>
      <c r="G9468" s="10" t="s">
        <v>37425</v>
      </c>
      <c r="H9468" s="11">
        <v>41306</v>
      </c>
      <c r="I9468" s="10">
        <v>2013</v>
      </c>
      <c r="J9468" s="10" t="s">
        <v>42729</v>
      </c>
      <c r="K9468" s="10">
        <v>324</v>
      </c>
      <c r="L9468" s="10" t="s">
        <v>42737</v>
      </c>
      <c r="M9468" s="10">
        <v>1</v>
      </c>
      <c r="N9468" s="10"/>
      <c r="O9468" s="10"/>
      <c r="P9468" s="10"/>
      <c r="Q9468" s="10"/>
      <c r="R9468" s="10"/>
      <c r="S9468" s="10" t="s">
        <v>876</v>
      </c>
      <c r="T9468" s="10"/>
    </row>
    <row r="9469" spans="1:20" ht="14.5" x14ac:dyDescent="0.35">
      <c r="A9469" s="10" t="s">
        <v>42738</v>
      </c>
      <c r="B9469" s="10" t="str">
        <f>""</f>
        <v/>
      </c>
      <c r="C9469" s="10" t="str">
        <f>"9787301209578"</f>
        <v>9787301209578</v>
      </c>
      <c r="D9469" s="10" t="s">
        <v>42728</v>
      </c>
      <c r="E9469" s="10" t="s">
        <v>42729</v>
      </c>
      <c r="F9469" s="10" t="s">
        <v>42730</v>
      </c>
      <c r="G9469" s="10" t="s">
        <v>37425</v>
      </c>
      <c r="H9469" s="11">
        <v>41456</v>
      </c>
      <c r="I9469" s="10">
        <v>2013</v>
      </c>
      <c r="J9469" s="10" t="s">
        <v>42729</v>
      </c>
      <c r="K9469" s="10">
        <v>331</v>
      </c>
      <c r="L9469" s="10" t="s">
        <v>42739</v>
      </c>
      <c r="M9469" s="10">
        <v>1</v>
      </c>
      <c r="N9469" s="10"/>
      <c r="O9469" s="10"/>
      <c r="P9469" s="10"/>
      <c r="Q9469" s="10"/>
      <c r="R9469" s="10"/>
      <c r="S9469" s="10" t="s">
        <v>876</v>
      </c>
      <c r="T9469" s="10"/>
    </row>
    <row r="9470" spans="1:20" ht="14.5" x14ac:dyDescent="0.35">
      <c r="A9470" s="10" t="s">
        <v>42740</v>
      </c>
      <c r="B9470" s="10" t="str">
        <f>"9781475829228"</f>
        <v>9781475829228</v>
      </c>
      <c r="C9470" s="10" t="str">
        <f>"9781475829242"</f>
        <v>9781475829242</v>
      </c>
      <c r="D9470" s="10" t="s">
        <v>9752</v>
      </c>
      <c r="E9470" s="10" t="s">
        <v>15187</v>
      </c>
      <c r="F9470" s="10" t="s">
        <v>9754</v>
      </c>
      <c r="G9470" s="10" t="s">
        <v>6317</v>
      </c>
      <c r="H9470" s="11">
        <v>42590</v>
      </c>
      <c r="I9470" s="10">
        <v>2016</v>
      </c>
      <c r="J9470" s="10" t="s">
        <v>15187</v>
      </c>
      <c r="K9470" s="10">
        <v>123</v>
      </c>
      <c r="L9470" s="10" t="s">
        <v>42741</v>
      </c>
      <c r="M9470" s="10">
        <v>1</v>
      </c>
      <c r="N9470" s="10"/>
      <c r="O9470" s="10"/>
      <c r="P9470" s="10" t="s">
        <v>42742</v>
      </c>
      <c r="Q9470" s="10">
        <v>371.20699999999999</v>
      </c>
      <c r="R9470" s="10" t="s">
        <v>41101</v>
      </c>
      <c r="S9470" s="10" t="s">
        <v>53</v>
      </c>
      <c r="T9470" s="10" t="s">
        <v>54</v>
      </c>
    </row>
    <row r="9471" spans="1:20" ht="14.5" x14ac:dyDescent="0.35">
      <c r="A9471" s="10" t="s">
        <v>42743</v>
      </c>
      <c r="B9471" s="10" t="str">
        <f>"9781634137454"</f>
        <v>9781634137454</v>
      </c>
      <c r="C9471" s="10" t="str">
        <f>"9781635052688"</f>
        <v>9781635052688</v>
      </c>
      <c r="D9471" s="10" t="s">
        <v>42451</v>
      </c>
      <c r="E9471" s="10" t="s">
        <v>42744</v>
      </c>
      <c r="F9471" s="10" t="s">
        <v>2186</v>
      </c>
      <c r="G9471" s="10" t="s">
        <v>6317</v>
      </c>
      <c r="H9471" s="11">
        <v>42612</v>
      </c>
      <c r="I9471" s="10">
        <v>2016</v>
      </c>
      <c r="J9471" s="10" t="s">
        <v>42744</v>
      </c>
      <c r="K9471" s="10">
        <v>201</v>
      </c>
      <c r="L9471" s="10" t="s">
        <v>42745</v>
      </c>
      <c r="M9471" s="10">
        <v>1</v>
      </c>
      <c r="N9471" s="10"/>
      <c r="O9471" s="10"/>
      <c r="P9471" s="10" t="s">
        <v>42746</v>
      </c>
      <c r="Q9471" s="10">
        <v>371.10199999999901</v>
      </c>
      <c r="R9471" s="10" t="s">
        <v>18927</v>
      </c>
      <c r="S9471" s="10" t="s">
        <v>53</v>
      </c>
      <c r="T9471" s="10" t="s">
        <v>54</v>
      </c>
    </row>
    <row r="9472" spans="1:20" ht="14.5" x14ac:dyDescent="0.35">
      <c r="A9472" s="10" t="s">
        <v>42747</v>
      </c>
      <c r="B9472" s="10" t="str">
        <f>"9781443894517"</f>
        <v>9781443894517</v>
      </c>
      <c r="C9472" s="10" t="str">
        <f>"9781443895439"</f>
        <v>9781443895439</v>
      </c>
      <c r="D9472" s="10" t="s">
        <v>23635</v>
      </c>
      <c r="E9472" s="10" t="s">
        <v>23635</v>
      </c>
      <c r="F9472" s="10" t="s">
        <v>23636</v>
      </c>
      <c r="G9472" s="10" t="s">
        <v>6352</v>
      </c>
      <c r="H9472" s="11">
        <v>42587</v>
      </c>
      <c r="I9472" s="10">
        <v>2016</v>
      </c>
      <c r="J9472" s="10" t="s">
        <v>23635</v>
      </c>
      <c r="K9472" s="10">
        <v>490</v>
      </c>
      <c r="L9472" s="10" t="s">
        <v>42748</v>
      </c>
      <c r="M9472" s="10">
        <v>1</v>
      </c>
      <c r="N9472" s="10"/>
      <c r="O9472" s="10"/>
      <c r="P9472" s="10" t="s">
        <v>42749</v>
      </c>
      <c r="Q9472" s="10">
        <v>378.19900000000001</v>
      </c>
      <c r="R9472" s="10" t="s">
        <v>42750</v>
      </c>
      <c r="S9472" s="10" t="s">
        <v>53</v>
      </c>
      <c r="T9472" s="10" t="s">
        <v>54</v>
      </c>
    </row>
    <row r="9473" spans="1:20" ht="14.5" x14ac:dyDescent="0.35">
      <c r="A9473" s="10" t="s">
        <v>42751</v>
      </c>
      <c r="B9473" s="10" t="str">
        <f>"9781443897303"</f>
        <v>9781443897303</v>
      </c>
      <c r="C9473" s="10" t="str">
        <f>"9781443898263"</f>
        <v>9781443898263</v>
      </c>
      <c r="D9473" s="10" t="s">
        <v>23635</v>
      </c>
      <c r="E9473" s="10" t="s">
        <v>23635</v>
      </c>
      <c r="F9473" s="10" t="s">
        <v>23636</v>
      </c>
      <c r="G9473" s="10" t="s">
        <v>6352</v>
      </c>
      <c r="H9473" s="11">
        <v>42606</v>
      </c>
      <c r="I9473" s="10">
        <v>2016</v>
      </c>
      <c r="J9473" s="10" t="s">
        <v>23635</v>
      </c>
      <c r="K9473" s="10">
        <v>188</v>
      </c>
      <c r="L9473" s="10" t="s">
        <v>42752</v>
      </c>
      <c r="M9473" s="10">
        <v>1</v>
      </c>
      <c r="N9473" s="10"/>
      <c r="O9473" s="10"/>
      <c r="P9473" s="10" t="s">
        <v>42753</v>
      </c>
      <c r="Q9473" s="10">
        <v>371.10199999999901</v>
      </c>
      <c r="R9473" s="10" t="s">
        <v>42754</v>
      </c>
      <c r="S9473" s="10" t="s">
        <v>53</v>
      </c>
      <c r="T9473" s="10" t="s">
        <v>54</v>
      </c>
    </row>
    <row r="9474" spans="1:20" ht="14.5" x14ac:dyDescent="0.35">
      <c r="A9474" s="10" t="s">
        <v>42755</v>
      </c>
      <c r="B9474" s="10" t="str">
        <f>"9781443890588"</f>
        <v>9781443890588</v>
      </c>
      <c r="C9474" s="10" t="str">
        <f>"9781443898973"</f>
        <v>9781443898973</v>
      </c>
      <c r="D9474" s="10" t="s">
        <v>23635</v>
      </c>
      <c r="E9474" s="10" t="s">
        <v>23635</v>
      </c>
      <c r="F9474" s="10" t="s">
        <v>23636</v>
      </c>
      <c r="G9474" s="10" t="s">
        <v>6352</v>
      </c>
      <c r="H9474" s="11">
        <v>42566</v>
      </c>
      <c r="I9474" s="10">
        <v>2016</v>
      </c>
      <c r="J9474" s="10" t="s">
        <v>23635</v>
      </c>
      <c r="K9474" s="10">
        <v>300</v>
      </c>
      <c r="L9474" s="10" t="s">
        <v>42756</v>
      </c>
      <c r="M9474" s="10">
        <v>1</v>
      </c>
      <c r="N9474" s="10"/>
      <c r="O9474" s="10"/>
      <c r="P9474" s="10" t="s">
        <v>42757</v>
      </c>
      <c r="Q9474" s="10">
        <v>370.71100000000001</v>
      </c>
      <c r="R9474" s="10" t="s">
        <v>33352</v>
      </c>
      <c r="S9474" s="10" t="s">
        <v>53</v>
      </c>
      <c r="T9474" s="10" t="s">
        <v>54</v>
      </c>
    </row>
    <row r="9475" spans="1:20" ht="14.5" x14ac:dyDescent="0.35">
      <c r="A9475" s="10" t="s">
        <v>42758</v>
      </c>
      <c r="B9475" s="10" t="str">
        <f>"9781443895354"</f>
        <v>9781443895354</v>
      </c>
      <c r="C9475" s="10" t="str">
        <f>"9781443899093"</f>
        <v>9781443899093</v>
      </c>
      <c r="D9475" s="10" t="s">
        <v>23635</v>
      </c>
      <c r="E9475" s="10" t="s">
        <v>23635</v>
      </c>
      <c r="F9475" s="10" t="s">
        <v>23636</v>
      </c>
      <c r="G9475" s="10" t="s">
        <v>6352</v>
      </c>
      <c r="H9475" s="11">
        <v>42598</v>
      </c>
      <c r="I9475" s="10">
        <v>2016</v>
      </c>
      <c r="J9475" s="10" t="s">
        <v>23635</v>
      </c>
      <c r="K9475" s="10">
        <v>150</v>
      </c>
      <c r="L9475" s="10" t="s">
        <v>42759</v>
      </c>
      <c r="M9475" s="10">
        <v>1</v>
      </c>
      <c r="N9475" s="10"/>
      <c r="O9475" s="10"/>
      <c r="P9475" s="10" t="s">
        <v>42760</v>
      </c>
      <c r="Q9475" s="10">
        <v>379.26</v>
      </c>
      <c r="R9475" s="10" t="s">
        <v>42761</v>
      </c>
      <c r="S9475" s="10" t="s">
        <v>53</v>
      </c>
      <c r="T9475" s="10" t="s">
        <v>54</v>
      </c>
    </row>
    <row r="9476" spans="1:20" ht="14.5" x14ac:dyDescent="0.35">
      <c r="A9476" s="10" t="s">
        <v>42762</v>
      </c>
      <c r="B9476" s="10" t="str">
        <f>"9781443896931"</f>
        <v>9781443896931</v>
      </c>
      <c r="C9476" s="10" t="str">
        <f>"9781443899154"</f>
        <v>9781443899154</v>
      </c>
      <c r="D9476" s="10" t="s">
        <v>23635</v>
      </c>
      <c r="E9476" s="10" t="s">
        <v>23635</v>
      </c>
      <c r="F9476" s="10" t="s">
        <v>23636</v>
      </c>
      <c r="G9476" s="10" t="s">
        <v>6352</v>
      </c>
      <c r="H9476" s="11">
        <v>42590</v>
      </c>
      <c r="I9476" s="10">
        <v>2016</v>
      </c>
      <c r="J9476" s="10" t="s">
        <v>23635</v>
      </c>
      <c r="K9476" s="10">
        <v>289</v>
      </c>
      <c r="L9476" s="10" t="s">
        <v>42763</v>
      </c>
      <c r="M9476" s="10">
        <v>1</v>
      </c>
      <c r="N9476" s="10"/>
      <c r="O9476" s="10"/>
      <c r="P9476" s="10" t="s">
        <v>42764</v>
      </c>
      <c r="Q9476" s="10">
        <v>370.15230000000003</v>
      </c>
      <c r="R9476" s="10" t="s">
        <v>42765</v>
      </c>
      <c r="S9476" s="10" t="s">
        <v>53</v>
      </c>
      <c r="T9476" s="10" t="s">
        <v>54</v>
      </c>
    </row>
    <row r="9477" spans="1:20" ht="14.5" x14ac:dyDescent="0.35">
      <c r="A9477" s="10" t="s">
        <v>42766</v>
      </c>
      <c r="B9477" s="10" t="str">
        <f>"9781475815559"</f>
        <v>9781475815559</v>
      </c>
      <c r="C9477" s="10" t="str">
        <f>"9781475815573"</f>
        <v>9781475815573</v>
      </c>
      <c r="D9477" s="10" t="s">
        <v>9752</v>
      </c>
      <c r="E9477" s="10" t="s">
        <v>15187</v>
      </c>
      <c r="F9477" s="10" t="s">
        <v>9754</v>
      </c>
      <c r="G9477" s="10" t="s">
        <v>6317</v>
      </c>
      <c r="H9477" s="11">
        <v>42598</v>
      </c>
      <c r="I9477" s="10">
        <v>2016</v>
      </c>
      <c r="J9477" s="10" t="s">
        <v>15187</v>
      </c>
      <c r="K9477" s="10">
        <v>200</v>
      </c>
      <c r="L9477" s="10" t="s">
        <v>42767</v>
      </c>
      <c r="M9477" s="10">
        <v>1</v>
      </c>
      <c r="N9477" s="10"/>
      <c r="O9477" s="10"/>
      <c r="P9477" s="10" t="s">
        <v>42768</v>
      </c>
      <c r="Q9477" s="10">
        <v>378.00720000000001</v>
      </c>
      <c r="R9477" s="10" t="s">
        <v>42769</v>
      </c>
      <c r="S9477" s="10" t="s">
        <v>53</v>
      </c>
      <c r="T9477" s="10" t="s">
        <v>54</v>
      </c>
    </row>
    <row r="9478" spans="1:20" ht="14.5" x14ac:dyDescent="0.35">
      <c r="A9478" s="10" t="s">
        <v>42770</v>
      </c>
      <c r="B9478" s="10" t="str">
        <f>"9781475822267"</f>
        <v>9781475822267</v>
      </c>
      <c r="C9478" s="10" t="str">
        <f>"9781475822274"</f>
        <v>9781475822274</v>
      </c>
      <c r="D9478" s="10" t="s">
        <v>9752</v>
      </c>
      <c r="E9478" s="10" t="s">
        <v>15187</v>
      </c>
      <c r="F9478" s="10" t="s">
        <v>9754</v>
      </c>
      <c r="G9478" s="10" t="s">
        <v>6317</v>
      </c>
      <c r="H9478" s="11">
        <v>42598</v>
      </c>
      <c r="I9478" s="10">
        <v>2016</v>
      </c>
      <c r="J9478" s="10" t="s">
        <v>15187</v>
      </c>
      <c r="K9478" s="10">
        <v>170</v>
      </c>
      <c r="L9478" s="10" t="s">
        <v>42771</v>
      </c>
      <c r="M9478" s="10">
        <v>1</v>
      </c>
      <c r="N9478" s="10"/>
      <c r="O9478" s="10"/>
      <c r="P9478" s="10" t="s">
        <v>42772</v>
      </c>
      <c r="Q9478" s="10">
        <v>371.5</v>
      </c>
      <c r="R9478" s="10" t="s">
        <v>42773</v>
      </c>
      <c r="S9478" s="10" t="s">
        <v>53</v>
      </c>
      <c r="T9478" s="10" t="s">
        <v>54</v>
      </c>
    </row>
    <row r="9479" spans="1:20" ht="14.5" x14ac:dyDescent="0.35">
      <c r="A9479" s="10" t="s">
        <v>42774</v>
      </c>
      <c r="B9479" s="10" t="str">
        <f>"9781475821574"</f>
        <v>9781475821574</v>
      </c>
      <c r="C9479" s="10" t="str">
        <f>"9781475821598"</f>
        <v>9781475821598</v>
      </c>
      <c r="D9479" s="10" t="s">
        <v>9752</v>
      </c>
      <c r="E9479" s="10" t="s">
        <v>15187</v>
      </c>
      <c r="F9479" s="10" t="s">
        <v>9754</v>
      </c>
      <c r="G9479" s="10" t="s">
        <v>6317</v>
      </c>
      <c r="H9479" s="11">
        <v>42580</v>
      </c>
      <c r="I9479" s="10">
        <v>2016</v>
      </c>
      <c r="J9479" s="10" t="s">
        <v>15187</v>
      </c>
      <c r="K9479" s="10">
        <v>203</v>
      </c>
      <c r="L9479" s="10" t="s">
        <v>42775</v>
      </c>
      <c r="M9479" s="10">
        <v>1</v>
      </c>
      <c r="N9479" s="10"/>
      <c r="O9479" s="10"/>
      <c r="P9479" s="10"/>
      <c r="Q9479" s="10">
        <v>372.21</v>
      </c>
      <c r="R9479" s="10" t="s">
        <v>42776</v>
      </c>
      <c r="S9479" s="10" t="s">
        <v>53</v>
      </c>
      <c r="T9479" s="10" t="s">
        <v>54</v>
      </c>
    </row>
    <row r="9480" spans="1:20" ht="14.5" x14ac:dyDescent="0.35">
      <c r="A9480" s="10" t="s">
        <v>42777</v>
      </c>
      <c r="B9480" s="10" t="str">
        <f>"9780815634164"</f>
        <v>9780815634164</v>
      </c>
      <c r="C9480" s="10" t="str">
        <f>"9780815653530"</f>
        <v>9780815653530</v>
      </c>
      <c r="D9480" s="10" t="s">
        <v>9533</v>
      </c>
      <c r="E9480" s="10" t="s">
        <v>42778</v>
      </c>
      <c r="F9480" s="10" t="s">
        <v>180</v>
      </c>
      <c r="G9480" s="10" t="s">
        <v>6317</v>
      </c>
      <c r="H9480" s="11">
        <v>42307</v>
      </c>
      <c r="I9480" s="10">
        <v>2015</v>
      </c>
      <c r="J9480" s="10" t="s">
        <v>42778</v>
      </c>
      <c r="K9480" s="10">
        <v>281</v>
      </c>
      <c r="L9480" s="10" t="s">
        <v>42779</v>
      </c>
      <c r="M9480" s="10">
        <v>1</v>
      </c>
      <c r="N9480" s="10" t="s">
        <v>42780</v>
      </c>
      <c r="O9480" s="10"/>
      <c r="P9480" s="10" t="s">
        <v>42781</v>
      </c>
      <c r="Q9480" s="10" t="s">
        <v>7335</v>
      </c>
      <c r="R9480" s="10" t="s">
        <v>42782</v>
      </c>
      <c r="S9480" s="10" t="s">
        <v>53</v>
      </c>
      <c r="T9480" s="10" t="s">
        <v>54</v>
      </c>
    </row>
    <row r="9481" spans="1:20" ht="14.5" x14ac:dyDescent="0.35">
      <c r="A9481" s="10" t="s">
        <v>42783</v>
      </c>
      <c r="B9481" s="10" t="str">
        <f>"9781786357052"</f>
        <v>9781786357052</v>
      </c>
      <c r="C9481" s="10" t="str">
        <f>"9781786357069"</f>
        <v>9781786357069</v>
      </c>
      <c r="D9481" s="10" t="s">
        <v>8699</v>
      </c>
      <c r="E9481" s="10" t="s">
        <v>8699</v>
      </c>
      <c r="F9481" s="10" t="s">
        <v>41843</v>
      </c>
      <c r="G9481" s="10" t="s">
        <v>6352</v>
      </c>
      <c r="H9481" s="11">
        <v>42563</v>
      </c>
      <c r="I9481" s="10">
        <v>2016</v>
      </c>
      <c r="J9481" s="10" t="s">
        <v>115</v>
      </c>
      <c r="K9481" s="10">
        <v>149</v>
      </c>
      <c r="L9481" s="10" t="s">
        <v>42784</v>
      </c>
      <c r="M9481" s="10">
        <v>1</v>
      </c>
      <c r="N9481" s="10" t="s">
        <v>3119</v>
      </c>
      <c r="O9481" s="10">
        <v>10</v>
      </c>
      <c r="P9481" s="10" t="s">
        <v>31489</v>
      </c>
      <c r="Q9481" s="10">
        <v>378</v>
      </c>
      <c r="R9481" s="10" t="s">
        <v>7957</v>
      </c>
      <c r="S9481" s="10" t="s">
        <v>53</v>
      </c>
      <c r="T9481" s="10" t="s">
        <v>54</v>
      </c>
    </row>
    <row r="9482" spans="1:20" ht="14.5" x14ac:dyDescent="0.35">
      <c r="A9482" s="10" t="s">
        <v>42785</v>
      </c>
      <c r="B9482" s="10" t="str">
        <f>"9781475825626"</f>
        <v>9781475825626</v>
      </c>
      <c r="C9482" s="10" t="str">
        <f>"9781475825633"</f>
        <v>9781475825633</v>
      </c>
      <c r="D9482" s="10" t="s">
        <v>9752</v>
      </c>
      <c r="E9482" s="10" t="s">
        <v>15187</v>
      </c>
      <c r="F9482" s="10" t="s">
        <v>9754</v>
      </c>
      <c r="G9482" s="10" t="s">
        <v>6317</v>
      </c>
      <c r="H9482" s="11">
        <v>42591</v>
      </c>
      <c r="I9482" s="10">
        <v>2016</v>
      </c>
      <c r="J9482" s="10" t="s">
        <v>15187</v>
      </c>
      <c r="K9482" s="10">
        <v>181</v>
      </c>
      <c r="L9482" s="10" t="s">
        <v>42786</v>
      </c>
      <c r="M9482" s="10">
        <v>1</v>
      </c>
      <c r="N9482" s="10"/>
      <c r="O9482" s="10"/>
      <c r="P9482" s="10" t="s">
        <v>42787</v>
      </c>
      <c r="Q9482" s="10">
        <v>378.10599999999999</v>
      </c>
      <c r="R9482" s="10" t="s">
        <v>42788</v>
      </c>
      <c r="S9482" s="10" t="s">
        <v>53</v>
      </c>
      <c r="T9482" s="10" t="s">
        <v>54</v>
      </c>
    </row>
    <row r="9483" spans="1:20" ht="14.5" x14ac:dyDescent="0.35">
      <c r="A9483" s="10" t="s">
        <v>42789</v>
      </c>
      <c r="B9483" s="10" t="str">
        <f>"9780813573328"</f>
        <v>9780813573328</v>
      </c>
      <c r="C9483" s="10" t="str">
        <f>"9780813573342"</f>
        <v>9780813573342</v>
      </c>
      <c r="D9483" s="10" t="s">
        <v>12251</v>
      </c>
      <c r="E9483" s="10" t="s">
        <v>12251</v>
      </c>
      <c r="F9483" s="10" t="s">
        <v>12451</v>
      </c>
      <c r="G9483" s="10" t="s">
        <v>6317</v>
      </c>
      <c r="H9483" s="11">
        <v>42501</v>
      </c>
      <c r="I9483" s="10">
        <v>2016</v>
      </c>
      <c r="J9483" s="10" t="s">
        <v>12251</v>
      </c>
      <c r="K9483" s="10">
        <v>191</v>
      </c>
      <c r="L9483" s="10" t="s">
        <v>42790</v>
      </c>
      <c r="M9483" s="10">
        <v>1</v>
      </c>
      <c r="N9483" s="10"/>
      <c r="O9483" s="10"/>
      <c r="P9483" s="10" t="s">
        <v>42791</v>
      </c>
      <c r="Q9483" s="10" t="s">
        <v>19872</v>
      </c>
      <c r="R9483" s="10" t="s">
        <v>42792</v>
      </c>
      <c r="S9483" s="10" t="s">
        <v>53</v>
      </c>
      <c r="T9483" s="10" t="s">
        <v>54</v>
      </c>
    </row>
    <row r="9484" spans="1:20" ht="14.5" x14ac:dyDescent="0.35">
      <c r="A9484" s="10" t="s">
        <v>42793</v>
      </c>
      <c r="B9484" s="10" t="str">
        <f>"9789292573423"</f>
        <v>9789292573423</v>
      </c>
      <c r="C9484" s="10" t="str">
        <f>"9789292573430"</f>
        <v>9789292573430</v>
      </c>
      <c r="D9484" s="10" t="s">
        <v>41491</v>
      </c>
      <c r="E9484" s="10" t="s">
        <v>41491</v>
      </c>
      <c r="F9484" s="10" t="s">
        <v>530</v>
      </c>
      <c r="G9484" s="10" t="s">
        <v>41492</v>
      </c>
      <c r="H9484" s="11">
        <v>42551</v>
      </c>
      <c r="I9484" s="10">
        <v>2016</v>
      </c>
      <c r="J9484" s="10" t="s">
        <v>41491</v>
      </c>
      <c r="K9484" s="10">
        <v>110</v>
      </c>
      <c r="L9484" s="10"/>
      <c r="M9484" s="10">
        <v>1</v>
      </c>
      <c r="N9484" s="10" t="s">
        <v>42794</v>
      </c>
      <c r="O9484" s="10"/>
      <c r="P9484" s="10" t="s">
        <v>42795</v>
      </c>
      <c r="Q9484" s="10">
        <v>378.5</v>
      </c>
      <c r="R9484" s="10" t="s">
        <v>42796</v>
      </c>
      <c r="S9484" s="10" t="s">
        <v>53</v>
      </c>
      <c r="T9484" s="10" t="s">
        <v>54</v>
      </c>
    </row>
    <row r="9485" spans="1:20" ht="14.5" x14ac:dyDescent="0.35">
      <c r="A9485" s="10" t="s">
        <v>42797</v>
      </c>
      <c r="B9485" s="10" t="str">
        <f>"9781928331339"</f>
        <v>9781928331339</v>
      </c>
      <c r="C9485" s="10" t="str">
        <f>"9781928331346"</f>
        <v>9781928331346</v>
      </c>
      <c r="D9485" s="10" t="s">
        <v>24820</v>
      </c>
      <c r="E9485" s="10" t="s">
        <v>24825</v>
      </c>
      <c r="F9485" s="10" t="s">
        <v>748</v>
      </c>
      <c r="G9485" s="10" t="s">
        <v>24826</v>
      </c>
      <c r="H9485" s="11">
        <v>42578</v>
      </c>
      <c r="I9485" s="10">
        <v>2016</v>
      </c>
      <c r="J9485" s="10" t="s">
        <v>24825</v>
      </c>
      <c r="K9485" s="10">
        <v>146</v>
      </c>
      <c r="L9485" s="10" t="s">
        <v>42798</v>
      </c>
      <c r="M9485" s="10">
        <v>1</v>
      </c>
      <c r="N9485" s="10"/>
      <c r="O9485" s="10"/>
      <c r="P9485" s="10"/>
      <c r="Q9485" s="10"/>
      <c r="R9485" s="10"/>
      <c r="S9485" s="10" t="s">
        <v>53</v>
      </c>
      <c r="T9485" s="10" t="s">
        <v>54</v>
      </c>
    </row>
    <row r="9486" spans="1:20" ht="14.5" x14ac:dyDescent="0.35">
      <c r="A9486" s="10" t="s">
        <v>42799</v>
      </c>
      <c r="B9486" s="10" t="str">
        <f>"9781475826579"</f>
        <v>9781475826579</v>
      </c>
      <c r="C9486" s="10" t="str">
        <f>"9781475826586"</f>
        <v>9781475826586</v>
      </c>
      <c r="D9486" s="10" t="s">
        <v>9752</v>
      </c>
      <c r="E9486" s="10" t="s">
        <v>15187</v>
      </c>
      <c r="F9486" s="10" t="s">
        <v>9754</v>
      </c>
      <c r="G9486" s="10" t="s">
        <v>6317</v>
      </c>
      <c r="H9486" s="11">
        <v>42590</v>
      </c>
      <c r="I9486" s="10">
        <v>2016</v>
      </c>
      <c r="J9486" s="10" t="s">
        <v>15187</v>
      </c>
      <c r="K9486" s="10">
        <v>161</v>
      </c>
      <c r="L9486" s="10" t="s">
        <v>42800</v>
      </c>
      <c r="M9486" s="10">
        <v>1</v>
      </c>
      <c r="N9486" s="10"/>
      <c r="O9486" s="10"/>
      <c r="P9486" s="10" t="s">
        <v>42801</v>
      </c>
      <c r="Q9486" s="10">
        <v>370.97300000000001</v>
      </c>
      <c r="R9486" s="10" t="s">
        <v>8028</v>
      </c>
      <c r="S9486" s="10" t="s">
        <v>53</v>
      </c>
      <c r="T9486" s="10" t="s">
        <v>54</v>
      </c>
    </row>
    <row r="9487" spans="1:20" ht="14.5" x14ac:dyDescent="0.35">
      <c r="A9487" s="10" t="s">
        <v>42802</v>
      </c>
      <c r="B9487" s="10" t="str">
        <f>"9781472934406"</f>
        <v>9781472934406</v>
      </c>
      <c r="C9487" s="10" t="str">
        <f>"9781472934413"</f>
        <v>9781472934413</v>
      </c>
      <c r="D9487" s="10" t="s">
        <v>13959</v>
      </c>
      <c r="E9487" s="10" t="s">
        <v>13960</v>
      </c>
      <c r="F9487" s="10" t="s">
        <v>139</v>
      </c>
      <c r="G9487" s="10" t="s">
        <v>6352</v>
      </c>
      <c r="H9487" s="11">
        <v>42635</v>
      </c>
      <c r="I9487" s="10">
        <v>2016</v>
      </c>
      <c r="J9487" s="10" t="s">
        <v>13960</v>
      </c>
      <c r="K9487" s="10">
        <v>153</v>
      </c>
      <c r="L9487" s="10" t="s">
        <v>42803</v>
      </c>
      <c r="M9487" s="10">
        <v>1</v>
      </c>
      <c r="N9487" s="10"/>
      <c r="O9487" s="10"/>
      <c r="P9487" s="10" t="s">
        <v>42804</v>
      </c>
      <c r="Q9487" s="10">
        <v>372.11020000000002</v>
      </c>
      <c r="R9487" s="10" t="s">
        <v>42805</v>
      </c>
      <c r="S9487" s="10" t="s">
        <v>53</v>
      </c>
      <c r="T9487" s="10" t="s">
        <v>54</v>
      </c>
    </row>
    <row r="9488" spans="1:20" ht="14.5" x14ac:dyDescent="0.35">
      <c r="A9488" s="10" t="s">
        <v>42806</v>
      </c>
      <c r="B9488" s="10" t="str">
        <f>"9781416622079"</f>
        <v>9781416622079</v>
      </c>
      <c r="C9488" s="10" t="str">
        <f>"9781416622093"</f>
        <v>9781416622093</v>
      </c>
      <c r="D9488" s="10" t="s">
        <v>10014</v>
      </c>
      <c r="E9488" s="10" t="s">
        <v>10015</v>
      </c>
      <c r="F9488" s="10" t="s">
        <v>201</v>
      </c>
      <c r="G9488" s="10" t="s">
        <v>6317</v>
      </c>
      <c r="H9488" s="11">
        <v>42612</v>
      </c>
      <c r="I9488" s="10">
        <v>2016</v>
      </c>
      <c r="J9488" s="10" t="s">
        <v>10015</v>
      </c>
      <c r="K9488" s="10">
        <v>268</v>
      </c>
      <c r="L9488" s="10" t="s">
        <v>42807</v>
      </c>
      <c r="M9488" s="10">
        <v>1</v>
      </c>
      <c r="N9488" s="10"/>
      <c r="O9488" s="10"/>
      <c r="P9488" s="10" t="s">
        <v>42808</v>
      </c>
      <c r="Q9488" s="10" t="s">
        <v>7299</v>
      </c>
      <c r="R9488" s="10" t="s">
        <v>42809</v>
      </c>
      <c r="S9488" s="10" t="s">
        <v>53</v>
      </c>
      <c r="T9488" s="10" t="s">
        <v>54</v>
      </c>
    </row>
    <row r="9489" spans="1:20" ht="14.5" x14ac:dyDescent="0.35">
      <c r="A9489" s="10" t="s">
        <v>42810</v>
      </c>
      <c r="B9489" s="10" t="str">
        <f>"9781416622215"</f>
        <v>9781416622215</v>
      </c>
      <c r="C9489" s="10" t="str">
        <f>"9781416622239"</f>
        <v>9781416622239</v>
      </c>
      <c r="D9489" s="10" t="s">
        <v>10014</v>
      </c>
      <c r="E9489" s="10" t="s">
        <v>10015</v>
      </c>
      <c r="F9489" s="10" t="s">
        <v>201</v>
      </c>
      <c r="G9489" s="10" t="s">
        <v>6317</v>
      </c>
      <c r="H9489" s="11">
        <v>42612</v>
      </c>
      <c r="I9489" s="10">
        <v>2016</v>
      </c>
      <c r="J9489" s="10" t="s">
        <v>10015</v>
      </c>
      <c r="K9489" s="10">
        <v>357</v>
      </c>
      <c r="L9489" s="10" t="s">
        <v>42811</v>
      </c>
      <c r="M9489" s="10">
        <v>1</v>
      </c>
      <c r="N9489" s="10"/>
      <c r="O9489" s="10"/>
      <c r="P9489" s="10"/>
      <c r="Q9489" s="10"/>
      <c r="R9489" s="10"/>
      <c r="S9489" s="10" t="s">
        <v>53</v>
      </c>
      <c r="T9489" s="10" t="s">
        <v>54</v>
      </c>
    </row>
    <row r="9490" spans="1:20" ht="14.5" x14ac:dyDescent="0.35">
      <c r="A9490" s="10" t="s">
        <v>42812</v>
      </c>
      <c r="B9490" s="10" t="str">
        <f>"9781475826333"</f>
        <v>9781475826333</v>
      </c>
      <c r="C9490" s="10" t="str">
        <f>"9781475826340"</f>
        <v>9781475826340</v>
      </c>
      <c r="D9490" s="10" t="s">
        <v>9752</v>
      </c>
      <c r="E9490" s="10" t="s">
        <v>15187</v>
      </c>
      <c r="F9490" s="10" t="s">
        <v>9754</v>
      </c>
      <c r="G9490" s="10" t="s">
        <v>6317</v>
      </c>
      <c r="H9490" s="11">
        <v>42626</v>
      </c>
      <c r="I9490" s="10">
        <v>2016</v>
      </c>
      <c r="J9490" s="10" t="s">
        <v>15187</v>
      </c>
      <c r="K9490" s="10">
        <v>151</v>
      </c>
      <c r="L9490" s="10" t="s">
        <v>42813</v>
      </c>
      <c r="M9490" s="10">
        <v>1</v>
      </c>
      <c r="N9490" s="10" t="s">
        <v>42814</v>
      </c>
      <c r="O9490" s="10"/>
      <c r="P9490" s="10" t="s">
        <v>26559</v>
      </c>
      <c r="Q9490" s="10">
        <v>428.24</v>
      </c>
      <c r="R9490" s="10" t="s">
        <v>42815</v>
      </c>
      <c r="S9490" s="10" t="s">
        <v>53</v>
      </c>
      <c r="T9490" s="10" t="s">
        <v>6616</v>
      </c>
    </row>
    <row r="9491" spans="1:20" ht="14.5" x14ac:dyDescent="0.35">
      <c r="A9491" s="10" t="s">
        <v>42816</v>
      </c>
      <c r="B9491" s="10" t="str">
        <f>"9781498517102"</f>
        <v>9781498517102</v>
      </c>
      <c r="C9491" s="10" t="str">
        <f>"9781498517119"</f>
        <v>9781498517119</v>
      </c>
      <c r="D9491" s="10" t="s">
        <v>9752</v>
      </c>
      <c r="E9491" s="10" t="s">
        <v>15182</v>
      </c>
      <c r="F9491" s="10" t="s">
        <v>9754</v>
      </c>
      <c r="G9491" s="10" t="s">
        <v>6317</v>
      </c>
      <c r="H9491" s="11">
        <v>42627</v>
      </c>
      <c r="I9491" s="10">
        <v>2016</v>
      </c>
      <c r="J9491" s="10" t="s">
        <v>15182</v>
      </c>
      <c r="K9491" s="10">
        <v>237</v>
      </c>
      <c r="L9491" s="10" t="s">
        <v>42817</v>
      </c>
      <c r="M9491" s="10">
        <v>1</v>
      </c>
      <c r="N9491" s="10" t="s">
        <v>40055</v>
      </c>
      <c r="O9491" s="10"/>
      <c r="P9491" s="10" t="s">
        <v>42818</v>
      </c>
      <c r="Q9491" s="10" t="s">
        <v>20959</v>
      </c>
      <c r="R9491" s="10" t="s">
        <v>42819</v>
      </c>
      <c r="S9491" s="10" t="s">
        <v>53</v>
      </c>
      <c r="T9491" s="10" t="s">
        <v>54</v>
      </c>
    </row>
    <row r="9492" spans="1:20" ht="14.5" x14ac:dyDescent="0.35">
      <c r="A9492" s="10" t="s">
        <v>42820</v>
      </c>
      <c r="B9492" s="10" t="str">
        <f>"9781118462683"</f>
        <v>9781118462683</v>
      </c>
      <c r="C9492" s="10" t="str">
        <f>"9781119101994"</f>
        <v>9781119101994</v>
      </c>
      <c r="D9492" s="10" t="s">
        <v>6322</v>
      </c>
      <c r="E9492" s="10" t="s">
        <v>6323</v>
      </c>
      <c r="F9492" s="10" t="s">
        <v>4423</v>
      </c>
      <c r="G9492" s="10" t="s">
        <v>6317</v>
      </c>
      <c r="H9492" s="11">
        <v>42632</v>
      </c>
      <c r="I9492" s="10">
        <v>2016</v>
      </c>
      <c r="J9492" s="10" t="s">
        <v>6324</v>
      </c>
      <c r="K9492" s="10">
        <v>787</v>
      </c>
      <c r="L9492" s="10" t="s">
        <v>42821</v>
      </c>
      <c r="M9492" s="10">
        <v>1</v>
      </c>
      <c r="N9492" s="10"/>
      <c r="O9492" s="10"/>
      <c r="P9492" s="10" t="s">
        <v>42822</v>
      </c>
      <c r="Q9492" s="10"/>
      <c r="R9492" s="10" t="s">
        <v>42823</v>
      </c>
      <c r="S9492" s="10" t="s">
        <v>53</v>
      </c>
      <c r="T9492" s="10" t="s">
        <v>54</v>
      </c>
    </row>
    <row r="9493" spans="1:20" ht="14.5" x14ac:dyDescent="0.35">
      <c r="A9493" s="10" t="s">
        <v>42824</v>
      </c>
      <c r="B9493" s="10" t="str">
        <f>"9781475828467"</f>
        <v>9781475828467</v>
      </c>
      <c r="C9493" s="10" t="str">
        <f>"9781475828481"</f>
        <v>9781475828481</v>
      </c>
      <c r="D9493" s="10" t="s">
        <v>9752</v>
      </c>
      <c r="E9493" s="10" t="s">
        <v>15187</v>
      </c>
      <c r="F9493" s="10" t="s">
        <v>9754</v>
      </c>
      <c r="G9493" s="10" t="s">
        <v>6317</v>
      </c>
      <c r="H9493" s="11">
        <v>42604</v>
      </c>
      <c r="I9493" s="10">
        <v>2016</v>
      </c>
      <c r="J9493" s="10" t="s">
        <v>15187</v>
      </c>
      <c r="K9493" s="10">
        <v>143</v>
      </c>
      <c r="L9493" s="10" t="s">
        <v>42825</v>
      </c>
      <c r="M9493" s="10">
        <v>1</v>
      </c>
      <c r="N9493" s="10"/>
      <c r="O9493" s="10"/>
      <c r="P9493" s="10"/>
      <c r="Q9493" s="10">
        <v>371.33446780000003</v>
      </c>
      <c r="R9493" s="10" t="s">
        <v>42826</v>
      </c>
      <c r="S9493" s="10" t="s">
        <v>53</v>
      </c>
      <c r="T9493" s="10" t="s">
        <v>54</v>
      </c>
    </row>
    <row r="9494" spans="1:20" ht="14.5" x14ac:dyDescent="0.35">
      <c r="A9494" s="10" t="s">
        <v>42827</v>
      </c>
      <c r="B9494" s="10" t="str">
        <f>"9781118872130"</f>
        <v>9781118872130</v>
      </c>
      <c r="C9494" s="10" t="str">
        <f>"9781119346470"</f>
        <v>9781119346470</v>
      </c>
      <c r="D9494" s="10" t="s">
        <v>6322</v>
      </c>
      <c r="E9494" s="10" t="s">
        <v>6323</v>
      </c>
      <c r="F9494" s="10" t="s">
        <v>4423</v>
      </c>
      <c r="G9494" s="10" t="s">
        <v>6317</v>
      </c>
      <c r="H9494" s="11">
        <v>42626</v>
      </c>
      <c r="I9494" s="10">
        <v>2016</v>
      </c>
      <c r="J9494" s="10" t="s">
        <v>26952</v>
      </c>
      <c r="K9494" s="10">
        <v>313</v>
      </c>
      <c r="L9494" s="10" t="s">
        <v>42828</v>
      </c>
      <c r="M9494" s="10">
        <v>1</v>
      </c>
      <c r="N9494" s="10"/>
      <c r="O9494" s="10"/>
      <c r="P9494" s="10"/>
      <c r="Q9494" s="10">
        <v>378.101</v>
      </c>
      <c r="R9494" s="10" t="s">
        <v>42829</v>
      </c>
      <c r="S9494" s="10" t="s">
        <v>53</v>
      </c>
      <c r="T9494" s="10" t="s">
        <v>54</v>
      </c>
    </row>
    <row r="9495" spans="1:20" ht="14.5" x14ac:dyDescent="0.35">
      <c r="A9495" s="10" t="s">
        <v>42830</v>
      </c>
      <c r="B9495" s="10" t="str">
        <f>"9781119147688"</f>
        <v>9781119147688</v>
      </c>
      <c r="C9495" s="10" t="str">
        <f>"9781119147695"</f>
        <v>9781119147695</v>
      </c>
      <c r="D9495" s="10" t="s">
        <v>6322</v>
      </c>
      <c r="E9495" s="10" t="s">
        <v>6323</v>
      </c>
      <c r="F9495" s="10" t="s">
        <v>4423</v>
      </c>
      <c r="G9495" s="10" t="s">
        <v>6317</v>
      </c>
      <c r="H9495" s="11">
        <v>42632</v>
      </c>
      <c r="I9495" s="10">
        <v>2016</v>
      </c>
      <c r="J9495" s="10" t="s">
        <v>6324</v>
      </c>
      <c r="K9495" s="10">
        <v>408</v>
      </c>
      <c r="L9495" s="10" t="s">
        <v>42831</v>
      </c>
      <c r="M9495" s="10">
        <v>2</v>
      </c>
      <c r="N9495" s="10"/>
      <c r="O9495" s="10"/>
      <c r="P9495" s="10" t="s">
        <v>42832</v>
      </c>
      <c r="Q9495" s="10" t="s">
        <v>8748</v>
      </c>
      <c r="R9495" s="10" t="s">
        <v>42833</v>
      </c>
      <c r="S9495" s="10" t="s">
        <v>53</v>
      </c>
      <c r="T9495" s="10" t="s">
        <v>54</v>
      </c>
    </row>
    <row r="9496" spans="1:20" ht="14.5" x14ac:dyDescent="0.35">
      <c r="A9496" s="10" t="s">
        <v>42834</v>
      </c>
      <c r="B9496" s="10" t="str">
        <f>"9780830844715"</f>
        <v>9780830844715</v>
      </c>
      <c r="C9496" s="10" t="str">
        <f>"9780830873180"</f>
        <v>9780830873180</v>
      </c>
      <c r="D9496" s="10" t="s">
        <v>42835</v>
      </c>
      <c r="E9496" s="10" t="s">
        <v>42835</v>
      </c>
      <c r="F9496" s="10" t="s">
        <v>42836</v>
      </c>
      <c r="G9496" s="10" t="s">
        <v>6317</v>
      </c>
      <c r="H9496" s="11">
        <v>42591</v>
      </c>
      <c r="I9496" s="10">
        <v>2016</v>
      </c>
      <c r="J9496" s="10" t="s">
        <v>42835</v>
      </c>
      <c r="K9496" s="10">
        <v>135</v>
      </c>
      <c r="L9496" s="10" t="s">
        <v>42837</v>
      </c>
      <c r="M9496" s="10">
        <v>1</v>
      </c>
      <c r="N9496" s="10"/>
      <c r="O9496" s="10"/>
      <c r="P9496" s="10" t="s">
        <v>42838</v>
      </c>
      <c r="Q9496" s="10"/>
      <c r="R9496" s="10" t="s">
        <v>42839</v>
      </c>
      <c r="S9496" s="10" t="s">
        <v>53</v>
      </c>
      <c r="T9496" s="10" t="s">
        <v>8346</v>
      </c>
    </row>
    <row r="9497" spans="1:20" ht="14.5" x14ac:dyDescent="0.35">
      <c r="A9497" s="10" t="s">
        <v>42840</v>
      </c>
      <c r="B9497" s="10" t="str">
        <f>"9781475827279"</f>
        <v>9781475827279</v>
      </c>
      <c r="C9497" s="10" t="str">
        <f>"9781475827309"</f>
        <v>9781475827309</v>
      </c>
      <c r="D9497" s="10" t="s">
        <v>9752</v>
      </c>
      <c r="E9497" s="10" t="s">
        <v>15187</v>
      </c>
      <c r="F9497" s="10" t="s">
        <v>9754</v>
      </c>
      <c r="G9497" s="10" t="s">
        <v>6317</v>
      </c>
      <c r="H9497" s="11">
        <v>42636</v>
      </c>
      <c r="I9497" s="10">
        <v>2016</v>
      </c>
      <c r="J9497" s="10" t="s">
        <v>15187</v>
      </c>
      <c r="K9497" s="10">
        <v>189</v>
      </c>
      <c r="L9497" s="10" t="s">
        <v>42841</v>
      </c>
      <c r="M9497" s="10">
        <v>1</v>
      </c>
      <c r="N9497" s="10"/>
      <c r="O9497" s="10"/>
      <c r="P9497" s="10" t="s">
        <v>23260</v>
      </c>
      <c r="Q9497" s="10">
        <v>371.2011</v>
      </c>
      <c r="R9497" s="10" t="s">
        <v>42842</v>
      </c>
      <c r="S9497" s="10" t="s">
        <v>53</v>
      </c>
      <c r="T9497" s="10" t="s">
        <v>54</v>
      </c>
    </row>
    <row r="9498" spans="1:20" ht="14.5" x14ac:dyDescent="0.35">
      <c r="A9498" s="10" t="s">
        <v>42843</v>
      </c>
      <c r="B9498" s="10" t="str">
        <f>"9781498532440"</f>
        <v>9781498532440</v>
      </c>
      <c r="C9498" s="10" t="str">
        <f>"9781498532457"</f>
        <v>9781498532457</v>
      </c>
      <c r="D9498" s="10" t="s">
        <v>9752</v>
      </c>
      <c r="E9498" s="10" t="s">
        <v>15182</v>
      </c>
      <c r="F9498" s="10" t="s">
        <v>3460</v>
      </c>
      <c r="G9498" s="10" t="s">
        <v>6317</v>
      </c>
      <c r="H9498" s="11">
        <v>42627</v>
      </c>
      <c r="I9498" s="10">
        <v>2016</v>
      </c>
      <c r="J9498" s="10" t="s">
        <v>15182</v>
      </c>
      <c r="K9498" s="10">
        <v>171</v>
      </c>
      <c r="L9498" s="10" t="s">
        <v>42844</v>
      </c>
      <c r="M9498" s="10">
        <v>1</v>
      </c>
      <c r="N9498" s="10" t="s">
        <v>41953</v>
      </c>
      <c r="O9498" s="10"/>
      <c r="P9498" s="10" t="s">
        <v>42845</v>
      </c>
      <c r="Q9498" s="10" t="s">
        <v>38405</v>
      </c>
      <c r="R9498" s="10" t="s">
        <v>42846</v>
      </c>
      <c r="S9498" s="10" t="s">
        <v>53</v>
      </c>
      <c r="T9498" s="10" t="s">
        <v>12015</v>
      </c>
    </row>
    <row r="9499" spans="1:20" ht="14.5" x14ac:dyDescent="0.35">
      <c r="A9499" s="10" t="s">
        <v>42847</v>
      </c>
      <c r="B9499" s="10" t="str">
        <f>"9781416622734"</f>
        <v>9781416622734</v>
      </c>
      <c r="C9499" s="10" t="str">
        <f>"9781416622758"</f>
        <v>9781416622758</v>
      </c>
      <c r="D9499" s="10" t="s">
        <v>10014</v>
      </c>
      <c r="E9499" s="10" t="s">
        <v>10015</v>
      </c>
      <c r="F9499" s="10" t="s">
        <v>201</v>
      </c>
      <c r="G9499" s="10" t="s">
        <v>6317</v>
      </c>
      <c r="H9499" s="11">
        <v>42612</v>
      </c>
      <c r="I9499" s="10">
        <v>2016</v>
      </c>
      <c r="J9499" s="10" t="s">
        <v>10015</v>
      </c>
      <c r="K9499" s="10">
        <v>95</v>
      </c>
      <c r="L9499" s="10" t="s">
        <v>15760</v>
      </c>
      <c r="M9499" s="10">
        <v>1</v>
      </c>
      <c r="N9499" s="10"/>
      <c r="O9499" s="10"/>
      <c r="P9499" s="10"/>
      <c r="Q9499" s="10">
        <v>371.10199999999998</v>
      </c>
      <c r="R9499" s="10"/>
      <c r="S9499" s="10" t="s">
        <v>53</v>
      </c>
      <c r="T9499" s="10" t="s">
        <v>54</v>
      </c>
    </row>
    <row r="9500" spans="1:20" ht="14.5" x14ac:dyDescent="0.35">
      <c r="A9500" s="10" t="s">
        <v>42848</v>
      </c>
      <c r="B9500" s="10" t="str">
        <f>"9781118922897"</f>
        <v>9781118922897</v>
      </c>
      <c r="C9500" s="10" t="str">
        <f>"9781118923085"</f>
        <v>9781118923085</v>
      </c>
      <c r="D9500" s="10" t="s">
        <v>6322</v>
      </c>
      <c r="E9500" s="10" t="s">
        <v>6323</v>
      </c>
      <c r="F9500" s="10" t="s">
        <v>4423</v>
      </c>
      <c r="G9500" s="10" t="s">
        <v>6317</v>
      </c>
      <c r="H9500" s="11">
        <v>42632</v>
      </c>
      <c r="I9500" s="10">
        <v>2016</v>
      </c>
      <c r="J9500" s="10" t="s">
        <v>6324</v>
      </c>
      <c r="K9500" s="10">
        <v>411</v>
      </c>
      <c r="L9500" s="10" t="s">
        <v>42849</v>
      </c>
      <c r="M9500" s="10">
        <v>1</v>
      </c>
      <c r="N9500" s="10"/>
      <c r="O9500" s="10"/>
      <c r="P9500" s="10" t="s">
        <v>42850</v>
      </c>
      <c r="Q9500" s="10">
        <v>378.197</v>
      </c>
      <c r="R9500" s="10" t="s">
        <v>42851</v>
      </c>
      <c r="S9500" s="10" t="s">
        <v>53</v>
      </c>
      <c r="T9500" s="10" t="s">
        <v>54</v>
      </c>
    </row>
    <row r="9501" spans="1:20" ht="14.5" x14ac:dyDescent="0.35">
      <c r="A9501" s="10" t="s">
        <v>42852</v>
      </c>
      <c r="B9501" s="10" t="str">
        <f>"9781475821840"</f>
        <v>9781475821840</v>
      </c>
      <c r="C9501" s="10" t="str">
        <f>"9781475821864"</f>
        <v>9781475821864</v>
      </c>
      <c r="D9501" s="10" t="s">
        <v>9752</v>
      </c>
      <c r="E9501" s="10" t="s">
        <v>15187</v>
      </c>
      <c r="F9501" s="10" t="s">
        <v>9754</v>
      </c>
      <c r="G9501" s="10" t="s">
        <v>6317</v>
      </c>
      <c r="H9501" s="11">
        <v>42621</v>
      </c>
      <c r="I9501" s="10">
        <v>2016</v>
      </c>
      <c r="J9501" s="10" t="s">
        <v>15187</v>
      </c>
      <c r="K9501" s="10">
        <v>129</v>
      </c>
      <c r="L9501" s="10" t="s">
        <v>39911</v>
      </c>
      <c r="M9501" s="10">
        <v>1</v>
      </c>
      <c r="N9501" s="10"/>
      <c r="O9501" s="10"/>
      <c r="P9501" s="10" t="s">
        <v>42853</v>
      </c>
      <c r="Q9501" s="10">
        <v>372.7</v>
      </c>
      <c r="R9501" s="10" t="s">
        <v>42854</v>
      </c>
      <c r="S9501" s="10" t="s">
        <v>53</v>
      </c>
      <c r="T9501" s="10" t="s">
        <v>7425</v>
      </c>
    </row>
    <row r="9502" spans="1:20" ht="14.5" x14ac:dyDescent="0.35">
      <c r="A9502" s="10" t="s">
        <v>42855</v>
      </c>
      <c r="B9502" s="10" t="str">
        <f>"9781442626560"</f>
        <v>9781442626560</v>
      </c>
      <c r="C9502" s="10" t="str">
        <f>"9781442619463"</f>
        <v>9781442619463</v>
      </c>
      <c r="D9502" s="10" t="s">
        <v>977</v>
      </c>
      <c r="E9502" s="10" t="s">
        <v>977</v>
      </c>
      <c r="F9502" s="10" t="s">
        <v>901</v>
      </c>
      <c r="G9502" s="10" t="s">
        <v>9536</v>
      </c>
      <c r="H9502" s="11">
        <v>41872</v>
      </c>
      <c r="I9502" s="10">
        <v>2014</v>
      </c>
      <c r="J9502" s="10" t="s">
        <v>977</v>
      </c>
      <c r="K9502" s="10">
        <v>365</v>
      </c>
      <c r="L9502" s="10" t="s">
        <v>42856</v>
      </c>
      <c r="M9502" s="10">
        <v>1</v>
      </c>
      <c r="N9502" s="10"/>
      <c r="O9502" s="10"/>
      <c r="P9502" s="10"/>
      <c r="Q9502" s="10">
        <v>361.3</v>
      </c>
      <c r="R9502" s="10" t="s">
        <v>42857</v>
      </c>
      <c r="S9502" s="10" t="s">
        <v>53</v>
      </c>
      <c r="T9502" s="10" t="s">
        <v>6363</v>
      </c>
    </row>
    <row r="9503" spans="1:20" ht="14.5" x14ac:dyDescent="0.35">
      <c r="A9503" s="10" t="s">
        <v>42858</v>
      </c>
      <c r="B9503" s="10" t="str">
        <f>"9781442650206"</f>
        <v>9781442650206</v>
      </c>
      <c r="C9503" s="10" t="str">
        <f>"9781442622555"</f>
        <v>9781442622555</v>
      </c>
      <c r="D9503" s="10" t="s">
        <v>977</v>
      </c>
      <c r="E9503" s="10" t="s">
        <v>977</v>
      </c>
      <c r="F9503" s="10" t="s">
        <v>901</v>
      </c>
      <c r="G9503" s="10" t="s">
        <v>9536</v>
      </c>
      <c r="H9503" s="11">
        <v>42275</v>
      </c>
      <c r="I9503" s="10">
        <v>2015</v>
      </c>
      <c r="J9503" s="10" t="s">
        <v>977</v>
      </c>
      <c r="K9503" s="10">
        <v>789</v>
      </c>
      <c r="L9503" s="10" t="s">
        <v>42859</v>
      </c>
      <c r="M9503" s="10">
        <v>1</v>
      </c>
      <c r="N9503" s="10"/>
      <c r="O9503" s="10"/>
      <c r="P9503" s="10" t="s">
        <v>42860</v>
      </c>
      <c r="Q9503" s="10" t="s">
        <v>36314</v>
      </c>
      <c r="R9503" s="10"/>
      <c r="S9503" s="10" t="s">
        <v>53</v>
      </c>
      <c r="T9503" s="10" t="s">
        <v>54</v>
      </c>
    </row>
    <row r="9504" spans="1:20" ht="14.5" x14ac:dyDescent="0.35">
      <c r="A9504" s="10" t="s">
        <v>42861</v>
      </c>
      <c r="B9504" s="10" t="str">
        <f>"9781442650336"</f>
        <v>9781442650336</v>
      </c>
      <c r="C9504" s="10" t="str">
        <f>"9781442622852"</f>
        <v>9781442622852</v>
      </c>
      <c r="D9504" s="10" t="s">
        <v>977</v>
      </c>
      <c r="E9504" s="10" t="s">
        <v>977</v>
      </c>
      <c r="F9504" s="10" t="s">
        <v>901</v>
      </c>
      <c r="G9504" s="10" t="s">
        <v>9536</v>
      </c>
      <c r="H9504" s="11">
        <v>42233</v>
      </c>
      <c r="I9504" s="10">
        <v>2015</v>
      </c>
      <c r="J9504" s="10" t="s">
        <v>977</v>
      </c>
      <c r="K9504" s="10">
        <v>298</v>
      </c>
      <c r="L9504" s="10" t="s">
        <v>42862</v>
      </c>
      <c r="M9504" s="10">
        <v>1</v>
      </c>
      <c r="N9504" s="10"/>
      <c r="O9504" s="10"/>
      <c r="P9504" s="10"/>
      <c r="Q9504" s="10"/>
      <c r="R9504" s="10" t="s">
        <v>42863</v>
      </c>
      <c r="S9504" s="10" t="s">
        <v>53</v>
      </c>
      <c r="T9504" s="10" t="s">
        <v>16298</v>
      </c>
    </row>
    <row r="9505" spans="1:20" ht="14.5" x14ac:dyDescent="0.35">
      <c r="A9505" s="10" t="s">
        <v>42864</v>
      </c>
      <c r="B9505" s="10" t="str">
        <f>"9781442652101"</f>
        <v>9781442652101</v>
      </c>
      <c r="C9505" s="10" t="str">
        <f>"9781442632738"</f>
        <v>9781442632738</v>
      </c>
      <c r="D9505" s="10" t="s">
        <v>977</v>
      </c>
      <c r="E9505" s="10" t="s">
        <v>977</v>
      </c>
      <c r="F9505" s="10" t="s">
        <v>901</v>
      </c>
      <c r="G9505" s="10" t="s">
        <v>9536</v>
      </c>
      <c r="H9505" s="11">
        <v>24821</v>
      </c>
      <c r="I9505" s="10">
        <v>1967</v>
      </c>
      <c r="J9505" s="10" t="s">
        <v>977</v>
      </c>
      <c r="K9505" s="10">
        <v>350</v>
      </c>
      <c r="L9505" s="10" t="s">
        <v>42865</v>
      </c>
      <c r="M9505" s="10">
        <v>1</v>
      </c>
      <c r="N9505" s="10" t="s">
        <v>42866</v>
      </c>
      <c r="O9505" s="10"/>
      <c r="P9505" s="10" t="s">
        <v>42867</v>
      </c>
      <c r="Q9505" s="10"/>
      <c r="R9505" s="10" t="s">
        <v>42868</v>
      </c>
      <c r="S9505" s="10" t="s">
        <v>53</v>
      </c>
      <c r="T9505" s="10" t="s">
        <v>54</v>
      </c>
    </row>
    <row r="9506" spans="1:20" ht="14.5" x14ac:dyDescent="0.35">
      <c r="A9506" s="10" t="s">
        <v>42869</v>
      </c>
      <c r="B9506" s="10" t="str">
        <f>"9781442652378"</f>
        <v>9781442652378</v>
      </c>
      <c r="C9506" s="10" t="str">
        <f>"9781442632554"</f>
        <v>9781442632554</v>
      </c>
      <c r="D9506" s="10" t="s">
        <v>977</v>
      </c>
      <c r="E9506" s="10" t="s">
        <v>977</v>
      </c>
      <c r="F9506" s="10" t="s">
        <v>901</v>
      </c>
      <c r="G9506" s="10" t="s">
        <v>9536</v>
      </c>
      <c r="H9506" s="11">
        <v>42570</v>
      </c>
      <c r="I9506" s="10">
        <v>1964</v>
      </c>
      <c r="J9506" s="10" t="s">
        <v>977</v>
      </c>
      <c r="K9506" s="10">
        <v>112</v>
      </c>
      <c r="L9506" s="10" t="s">
        <v>42870</v>
      </c>
      <c r="M9506" s="10">
        <v>1</v>
      </c>
      <c r="N9506" s="10" t="s">
        <v>42866</v>
      </c>
      <c r="O9506" s="10"/>
      <c r="P9506" s="10" t="s">
        <v>42871</v>
      </c>
      <c r="Q9506" s="10"/>
      <c r="R9506" s="10" t="s">
        <v>42872</v>
      </c>
      <c r="S9506" s="10" t="s">
        <v>53</v>
      </c>
      <c r="T9506" s="10" t="s">
        <v>54</v>
      </c>
    </row>
    <row r="9507" spans="1:20" ht="14.5" x14ac:dyDescent="0.35">
      <c r="A9507" s="10" t="s">
        <v>42873</v>
      </c>
      <c r="B9507" s="10" t="str">
        <f>"9781442651975"</f>
        <v>9781442651975</v>
      </c>
      <c r="C9507" s="10" t="str">
        <f>"9781442632059"</f>
        <v>9781442632059</v>
      </c>
      <c r="D9507" s="10" t="s">
        <v>977</v>
      </c>
      <c r="E9507" s="10" t="s">
        <v>977</v>
      </c>
      <c r="F9507" s="10" t="s">
        <v>901</v>
      </c>
      <c r="G9507" s="10" t="s">
        <v>9536</v>
      </c>
      <c r="H9507" s="11">
        <v>41640</v>
      </c>
      <c r="I9507" s="10">
        <v>1974</v>
      </c>
      <c r="J9507" s="10" t="s">
        <v>977</v>
      </c>
      <c r="K9507" s="10">
        <v>208</v>
      </c>
      <c r="L9507" s="10" t="s">
        <v>42874</v>
      </c>
      <c r="M9507" s="10">
        <v>1</v>
      </c>
      <c r="N9507" s="10" t="s">
        <v>42866</v>
      </c>
      <c r="O9507" s="10"/>
      <c r="P9507" s="10" t="s">
        <v>42875</v>
      </c>
      <c r="Q9507" s="10"/>
      <c r="R9507" s="10" t="s">
        <v>42876</v>
      </c>
      <c r="S9507" s="10" t="s">
        <v>53</v>
      </c>
      <c r="T9507" s="10" t="s">
        <v>54</v>
      </c>
    </row>
    <row r="9508" spans="1:20" ht="14.5" x14ac:dyDescent="0.35">
      <c r="A9508" s="10" t="s">
        <v>42877</v>
      </c>
      <c r="B9508" s="10" t="str">
        <f>"9781442651937"</f>
        <v>9781442651937</v>
      </c>
      <c r="C9508" s="10" t="str">
        <f>"9781442632011"</f>
        <v>9781442632011</v>
      </c>
      <c r="D9508" s="10" t="s">
        <v>977</v>
      </c>
      <c r="E9508" s="10" t="s">
        <v>977</v>
      </c>
      <c r="F9508" s="10" t="s">
        <v>901</v>
      </c>
      <c r="G9508" s="10" t="s">
        <v>9536</v>
      </c>
      <c r="H9508" s="11">
        <v>41640</v>
      </c>
      <c r="I9508" s="10">
        <v>1953</v>
      </c>
      <c r="J9508" s="10" t="s">
        <v>977</v>
      </c>
      <c r="K9508" s="10">
        <v>177</v>
      </c>
      <c r="L9508" s="10" t="s">
        <v>42874</v>
      </c>
      <c r="M9508" s="10">
        <v>1</v>
      </c>
      <c r="N9508" s="10" t="s">
        <v>42866</v>
      </c>
      <c r="O9508" s="10"/>
      <c r="P9508" s="10" t="s">
        <v>42878</v>
      </c>
      <c r="Q9508" s="10"/>
      <c r="R9508" s="10" t="s">
        <v>42879</v>
      </c>
      <c r="S9508" s="10" t="s">
        <v>53</v>
      </c>
      <c r="T9508" s="10" t="s">
        <v>54</v>
      </c>
    </row>
    <row r="9509" spans="1:20" ht="14.5" x14ac:dyDescent="0.35">
      <c r="A9509" s="10" t="s">
        <v>42880</v>
      </c>
      <c r="B9509" s="10" t="str">
        <f>"9781442631540"</f>
        <v>9781442631540</v>
      </c>
      <c r="C9509" s="10" t="str">
        <f>"9781442656758"</f>
        <v>9781442656758</v>
      </c>
      <c r="D9509" s="10" t="s">
        <v>977</v>
      </c>
      <c r="E9509" s="10" t="s">
        <v>977</v>
      </c>
      <c r="F9509" s="10" t="s">
        <v>901</v>
      </c>
      <c r="G9509" s="10" t="s">
        <v>9536</v>
      </c>
      <c r="H9509" s="11">
        <v>41640</v>
      </c>
      <c r="I9509" s="10">
        <v>1971</v>
      </c>
      <c r="J9509" s="10" t="s">
        <v>977</v>
      </c>
      <c r="K9509" s="10">
        <v>415</v>
      </c>
      <c r="L9509" s="10" t="s">
        <v>42881</v>
      </c>
      <c r="M9509" s="10">
        <v>1</v>
      </c>
      <c r="N9509" s="10" t="s">
        <v>42866</v>
      </c>
      <c r="O9509" s="10"/>
      <c r="P9509" s="10" t="s">
        <v>42882</v>
      </c>
      <c r="Q9509" s="10"/>
      <c r="R9509" s="10" t="s">
        <v>29648</v>
      </c>
      <c r="S9509" s="10" t="s">
        <v>53</v>
      </c>
      <c r="T9509" s="10" t="s">
        <v>54</v>
      </c>
    </row>
    <row r="9510" spans="1:20" ht="14.5" x14ac:dyDescent="0.35">
      <c r="A9510" s="10" t="s">
        <v>42883</v>
      </c>
      <c r="B9510" s="10" t="str">
        <f>"9781442626089"</f>
        <v>9781442626089</v>
      </c>
      <c r="C9510" s="10" t="str">
        <f>"9781442616653"</f>
        <v>9781442616653</v>
      </c>
      <c r="D9510" s="10" t="s">
        <v>977</v>
      </c>
      <c r="E9510" s="10" t="s">
        <v>977</v>
      </c>
      <c r="F9510" s="10" t="s">
        <v>901</v>
      </c>
      <c r="G9510" s="10" t="s">
        <v>9536</v>
      </c>
      <c r="H9510" s="11">
        <v>42443</v>
      </c>
      <c r="I9510" s="10">
        <v>2016</v>
      </c>
      <c r="J9510" s="10" t="s">
        <v>977</v>
      </c>
      <c r="K9510" s="10">
        <v>475</v>
      </c>
      <c r="L9510" s="10" t="s">
        <v>42884</v>
      </c>
      <c r="M9510" s="10">
        <v>1</v>
      </c>
      <c r="N9510" s="10"/>
      <c r="O9510" s="10"/>
      <c r="P9510" s="10"/>
      <c r="Q9510" s="10" t="s">
        <v>42885</v>
      </c>
      <c r="R9510" s="10" t="s">
        <v>42886</v>
      </c>
      <c r="S9510" s="10" t="s">
        <v>53</v>
      </c>
      <c r="T9510" s="10" t="s">
        <v>6534</v>
      </c>
    </row>
    <row r="9511" spans="1:20" ht="14.5" x14ac:dyDescent="0.35">
      <c r="A9511" s="10" t="s">
        <v>42887</v>
      </c>
      <c r="B9511" s="10" t="str">
        <f>"9781442630406"</f>
        <v>9781442630406</v>
      </c>
      <c r="C9511" s="10" t="str">
        <f>"9781442630413"</f>
        <v>9781442630413</v>
      </c>
      <c r="D9511" s="10" t="s">
        <v>977</v>
      </c>
      <c r="E9511" s="10" t="s">
        <v>977</v>
      </c>
      <c r="F9511" s="10" t="s">
        <v>901</v>
      </c>
      <c r="G9511" s="10" t="s">
        <v>9536</v>
      </c>
      <c r="H9511" s="11">
        <v>42465</v>
      </c>
      <c r="I9511" s="10">
        <v>2016</v>
      </c>
      <c r="J9511" s="10" t="s">
        <v>977</v>
      </c>
      <c r="K9511" s="10">
        <v>145</v>
      </c>
      <c r="L9511" s="10" t="s">
        <v>42888</v>
      </c>
      <c r="M9511" s="10">
        <v>1</v>
      </c>
      <c r="N9511" s="10"/>
      <c r="O9511" s="10"/>
      <c r="P9511" s="10"/>
      <c r="Q9511" s="10">
        <v>370.72</v>
      </c>
      <c r="R9511" s="10"/>
      <c r="S9511" s="10" t="s">
        <v>53</v>
      </c>
      <c r="T9511" s="10" t="s">
        <v>54</v>
      </c>
    </row>
    <row r="9512" spans="1:20" ht="14.5" x14ac:dyDescent="0.35">
      <c r="A9512" s="10" t="s">
        <v>42889</v>
      </c>
      <c r="B9512" s="10" t="str">
        <f>"9781442649347"</f>
        <v>9781442649347</v>
      </c>
      <c r="C9512" s="10" t="str">
        <f>"9781442619999"</f>
        <v>9781442619999</v>
      </c>
      <c r="D9512" s="10" t="s">
        <v>977</v>
      </c>
      <c r="E9512" s="10" t="s">
        <v>977</v>
      </c>
      <c r="F9512" s="10" t="s">
        <v>901</v>
      </c>
      <c r="G9512" s="10" t="s">
        <v>9536</v>
      </c>
      <c r="H9512" s="11">
        <v>41950</v>
      </c>
      <c r="I9512" s="10">
        <v>2014</v>
      </c>
      <c r="J9512" s="10" t="s">
        <v>977</v>
      </c>
      <c r="K9512" s="10">
        <v>477</v>
      </c>
      <c r="L9512" s="10" t="s">
        <v>42890</v>
      </c>
      <c r="M9512" s="10">
        <v>1</v>
      </c>
      <c r="N9512" s="10"/>
      <c r="O9512" s="10"/>
      <c r="P9512" s="10" t="s">
        <v>17878</v>
      </c>
      <c r="Q9512" s="10"/>
      <c r="R9512" s="10"/>
      <c r="S9512" s="10" t="s">
        <v>53</v>
      </c>
      <c r="T9512" s="10" t="s">
        <v>54</v>
      </c>
    </row>
    <row r="9513" spans="1:20" ht="14.5" x14ac:dyDescent="0.35">
      <c r="A9513" s="10" t="s">
        <v>42891</v>
      </c>
      <c r="B9513" s="10" t="str">
        <f>"9781442648937"</f>
        <v>9781442648937</v>
      </c>
      <c r="C9513" s="10" t="str">
        <f>"9781442619050"</f>
        <v>9781442619050</v>
      </c>
      <c r="D9513" s="10" t="s">
        <v>977</v>
      </c>
      <c r="E9513" s="10" t="s">
        <v>977</v>
      </c>
      <c r="F9513" s="10" t="s">
        <v>901</v>
      </c>
      <c r="G9513" s="10" t="s">
        <v>9536</v>
      </c>
      <c r="H9513" s="11">
        <v>41982</v>
      </c>
      <c r="I9513" s="10">
        <v>2014</v>
      </c>
      <c r="J9513" s="10" t="s">
        <v>977</v>
      </c>
      <c r="K9513" s="10">
        <v>477</v>
      </c>
      <c r="L9513" s="10" t="s">
        <v>42892</v>
      </c>
      <c r="M9513" s="10">
        <v>1</v>
      </c>
      <c r="N9513" s="10"/>
      <c r="O9513" s="10"/>
      <c r="P9513" s="10" t="s">
        <v>42893</v>
      </c>
      <c r="Q9513" s="10" t="s">
        <v>42894</v>
      </c>
      <c r="R9513" s="10" t="s">
        <v>42895</v>
      </c>
      <c r="S9513" s="10" t="s">
        <v>53</v>
      </c>
      <c r="T9513" s="10" t="s">
        <v>8412</v>
      </c>
    </row>
    <row r="9514" spans="1:20" ht="14.5" x14ac:dyDescent="0.35">
      <c r="A9514" s="10" t="s">
        <v>42896</v>
      </c>
      <c r="B9514" s="10" t="str">
        <f>"9780802067883"</f>
        <v>9780802067883</v>
      </c>
      <c r="C9514" s="10" t="str">
        <f>"9781442623224"</f>
        <v>9781442623224</v>
      </c>
      <c r="D9514" s="10" t="s">
        <v>977</v>
      </c>
      <c r="E9514" s="10" t="s">
        <v>977</v>
      </c>
      <c r="F9514" s="10" t="s">
        <v>901</v>
      </c>
      <c r="G9514" s="10" t="s">
        <v>9536</v>
      </c>
      <c r="H9514" s="11">
        <v>33239</v>
      </c>
      <c r="I9514" s="10">
        <v>1991</v>
      </c>
      <c r="J9514" s="10" t="s">
        <v>977</v>
      </c>
      <c r="K9514" s="10">
        <v>192</v>
      </c>
      <c r="L9514" s="10" t="s">
        <v>42897</v>
      </c>
      <c r="M9514" s="10">
        <v>1</v>
      </c>
      <c r="N9514" s="10" t="s">
        <v>42866</v>
      </c>
      <c r="O9514" s="10"/>
      <c r="P9514" s="10"/>
      <c r="Q9514" s="10"/>
      <c r="R9514" s="10" t="s">
        <v>42898</v>
      </c>
      <c r="S9514" s="10" t="s">
        <v>53</v>
      </c>
      <c r="T9514" s="10" t="s">
        <v>54</v>
      </c>
    </row>
    <row r="9515" spans="1:20" ht="14.5" x14ac:dyDescent="0.35">
      <c r="A9515" s="10" t="s">
        <v>42899</v>
      </c>
      <c r="B9515" s="10" t="str">
        <f>"9780802091239"</f>
        <v>9780802091239</v>
      </c>
      <c r="C9515" s="10" t="str">
        <f>"9781442627734"</f>
        <v>9781442627734</v>
      </c>
      <c r="D9515" s="10" t="s">
        <v>977</v>
      </c>
      <c r="E9515" s="10" t="s">
        <v>977</v>
      </c>
      <c r="F9515" s="10" t="s">
        <v>901</v>
      </c>
      <c r="G9515" s="10" t="s">
        <v>9536</v>
      </c>
      <c r="H9515" s="11">
        <v>38997</v>
      </c>
      <c r="I9515" s="10">
        <v>2006</v>
      </c>
      <c r="J9515" s="10" t="s">
        <v>977</v>
      </c>
      <c r="K9515" s="10">
        <v>224</v>
      </c>
      <c r="L9515" s="10" t="s">
        <v>42900</v>
      </c>
      <c r="M9515" s="10">
        <v>1</v>
      </c>
      <c r="N9515" s="10" t="s">
        <v>42866</v>
      </c>
      <c r="O9515" s="10"/>
      <c r="P9515" s="10" t="s">
        <v>42901</v>
      </c>
      <c r="Q9515" s="10">
        <v>370.97129999999999</v>
      </c>
      <c r="R9515" s="10"/>
      <c r="S9515" s="10" t="s">
        <v>53</v>
      </c>
      <c r="T9515" s="10" t="s">
        <v>54</v>
      </c>
    </row>
    <row r="9516" spans="1:20" ht="14.5" x14ac:dyDescent="0.35">
      <c r="A9516" s="10" t="s">
        <v>42902</v>
      </c>
      <c r="B9516" s="10" t="str">
        <f>"9781442613423"</f>
        <v>9781442613423</v>
      </c>
      <c r="C9516" s="10" t="str">
        <f>"9781442662339"</f>
        <v>9781442662339</v>
      </c>
      <c r="D9516" s="10" t="s">
        <v>977</v>
      </c>
      <c r="E9516" s="10" t="s">
        <v>977</v>
      </c>
      <c r="F9516" s="10" t="s">
        <v>901</v>
      </c>
      <c r="G9516" s="10" t="s">
        <v>9536</v>
      </c>
      <c r="H9516" s="11">
        <v>41327</v>
      </c>
      <c r="I9516" s="10">
        <v>2012</v>
      </c>
      <c r="J9516" s="10" t="s">
        <v>977</v>
      </c>
      <c r="K9516" s="10">
        <v>164</v>
      </c>
      <c r="L9516" s="10" t="s">
        <v>42903</v>
      </c>
      <c r="M9516" s="10">
        <v>3</v>
      </c>
      <c r="N9516" s="10"/>
      <c r="O9516" s="10"/>
      <c r="P9516" s="10" t="s">
        <v>42904</v>
      </c>
      <c r="Q9516" s="10"/>
      <c r="R9516" s="10"/>
      <c r="S9516" s="10" t="s">
        <v>53</v>
      </c>
      <c r="T9516" s="10" t="s">
        <v>8625</v>
      </c>
    </row>
    <row r="9517" spans="1:20" ht="14.5" x14ac:dyDescent="0.35">
      <c r="A9517" s="10" t="s">
        <v>42905</v>
      </c>
      <c r="B9517" s="10" t="str">
        <f>"9780802083067"</f>
        <v>9780802083067</v>
      </c>
      <c r="C9517" s="10" t="str">
        <f>"9781442623217"</f>
        <v>9781442623217</v>
      </c>
      <c r="D9517" s="10" t="s">
        <v>977</v>
      </c>
      <c r="E9517" s="10" t="s">
        <v>977</v>
      </c>
      <c r="F9517" s="10" t="s">
        <v>901</v>
      </c>
      <c r="G9517" s="10" t="s">
        <v>9536</v>
      </c>
      <c r="H9517" s="11">
        <v>36309</v>
      </c>
      <c r="I9517" s="10">
        <v>1999</v>
      </c>
      <c r="J9517" s="10" t="s">
        <v>977</v>
      </c>
      <c r="K9517" s="10">
        <v>116</v>
      </c>
      <c r="L9517" s="10" t="s">
        <v>42906</v>
      </c>
      <c r="M9517" s="10">
        <v>1</v>
      </c>
      <c r="N9517" s="10" t="s">
        <v>42866</v>
      </c>
      <c r="O9517" s="10"/>
      <c r="P9517" s="10" t="s">
        <v>42907</v>
      </c>
      <c r="Q9517" s="10"/>
      <c r="R9517" s="10"/>
      <c r="S9517" s="10" t="s">
        <v>53</v>
      </c>
      <c r="T9517" s="10" t="s">
        <v>54</v>
      </c>
    </row>
    <row r="9518" spans="1:20" ht="14.5" x14ac:dyDescent="0.35">
      <c r="A9518" s="10" t="s">
        <v>42908</v>
      </c>
      <c r="B9518" s="10" t="str">
        <f>"9780802085269"</f>
        <v>9780802085269</v>
      </c>
      <c r="C9518" s="10" t="str">
        <f>"9781442658875"</f>
        <v>9781442658875</v>
      </c>
      <c r="D9518" s="10" t="s">
        <v>977</v>
      </c>
      <c r="E9518" s="10" t="s">
        <v>977</v>
      </c>
      <c r="F9518" s="10" t="s">
        <v>901</v>
      </c>
      <c r="G9518" s="10" t="s">
        <v>9536</v>
      </c>
      <c r="H9518" s="11">
        <v>37290</v>
      </c>
      <c r="I9518" s="10">
        <v>2002</v>
      </c>
      <c r="J9518" s="10" t="s">
        <v>977</v>
      </c>
      <c r="K9518" s="10">
        <v>402</v>
      </c>
      <c r="L9518" s="10" t="s">
        <v>42909</v>
      </c>
      <c r="M9518" s="10">
        <v>1</v>
      </c>
      <c r="N9518" s="10" t="s">
        <v>42866</v>
      </c>
      <c r="O9518" s="10"/>
      <c r="P9518" s="10" t="s">
        <v>42910</v>
      </c>
      <c r="Q9518" s="10"/>
      <c r="R9518" s="10" t="s">
        <v>42911</v>
      </c>
      <c r="S9518" s="10" t="s">
        <v>53</v>
      </c>
      <c r="T9518" s="10" t="s">
        <v>54</v>
      </c>
    </row>
    <row r="9519" spans="1:20" ht="14.5" x14ac:dyDescent="0.35">
      <c r="A9519" s="10" t="s">
        <v>42912</v>
      </c>
      <c r="B9519" s="10" t="str">
        <f>"9781442614819"</f>
        <v>9781442614819</v>
      </c>
      <c r="C9519" s="10" t="str">
        <f>"9781442667105"</f>
        <v>9781442667105</v>
      </c>
      <c r="D9519" s="10" t="s">
        <v>977</v>
      </c>
      <c r="E9519" s="10" t="s">
        <v>977</v>
      </c>
      <c r="F9519" s="10" t="s">
        <v>901</v>
      </c>
      <c r="G9519" s="10" t="s">
        <v>9536</v>
      </c>
      <c r="H9519" s="11">
        <v>41571</v>
      </c>
      <c r="I9519" s="10">
        <v>2013</v>
      </c>
      <c r="J9519" s="10" t="s">
        <v>977</v>
      </c>
      <c r="K9519" s="10">
        <v>548</v>
      </c>
      <c r="L9519" s="10" t="s">
        <v>42913</v>
      </c>
      <c r="M9519" s="10">
        <v>1</v>
      </c>
      <c r="N9519" s="10"/>
      <c r="O9519" s="10"/>
      <c r="P9519" s="10" t="s">
        <v>42914</v>
      </c>
      <c r="Q9519" s="10" t="s">
        <v>42915</v>
      </c>
      <c r="R9519" s="10"/>
      <c r="S9519" s="10" t="s">
        <v>53</v>
      </c>
      <c r="T9519" s="10" t="s">
        <v>54</v>
      </c>
    </row>
    <row r="9520" spans="1:20" ht="14.5" x14ac:dyDescent="0.35">
      <c r="A9520" s="10" t="s">
        <v>42916</v>
      </c>
      <c r="B9520" s="10" t="str">
        <f>"9781442646827"</f>
        <v>9781442646827</v>
      </c>
      <c r="C9520" s="10" t="str">
        <f>"9781442666641"</f>
        <v>9781442666641</v>
      </c>
      <c r="D9520" s="10" t="s">
        <v>977</v>
      </c>
      <c r="E9520" s="10" t="s">
        <v>977</v>
      </c>
      <c r="F9520" s="10" t="s">
        <v>901</v>
      </c>
      <c r="G9520" s="10" t="s">
        <v>9536</v>
      </c>
      <c r="H9520" s="11">
        <v>41577</v>
      </c>
      <c r="I9520" s="10">
        <v>2013</v>
      </c>
      <c r="J9520" s="10" t="s">
        <v>977</v>
      </c>
      <c r="K9520" s="10">
        <v>314</v>
      </c>
      <c r="L9520" s="10" t="s">
        <v>42917</v>
      </c>
      <c r="M9520" s="10">
        <v>1</v>
      </c>
      <c r="N9520" s="10"/>
      <c r="O9520" s="10"/>
      <c r="P9520" s="10" t="s">
        <v>42918</v>
      </c>
      <c r="Q9520" s="10"/>
      <c r="R9520" s="10" t="s">
        <v>42919</v>
      </c>
      <c r="S9520" s="10" t="s">
        <v>53</v>
      </c>
      <c r="T9520" s="10" t="s">
        <v>8368</v>
      </c>
    </row>
    <row r="9521" spans="1:20" ht="14.5" x14ac:dyDescent="0.35">
      <c r="A9521" s="10" t="s">
        <v>42920</v>
      </c>
      <c r="B9521" s="10" t="str">
        <f>"9780802007261"</f>
        <v>9780802007261</v>
      </c>
      <c r="C9521" s="10" t="str">
        <f>"9781442670570"</f>
        <v>9781442670570</v>
      </c>
      <c r="D9521" s="10" t="s">
        <v>977</v>
      </c>
      <c r="E9521" s="10" t="s">
        <v>977</v>
      </c>
      <c r="F9521" s="10" t="s">
        <v>901</v>
      </c>
      <c r="G9521" s="10" t="s">
        <v>9536</v>
      </c>
      <c r="H9521" s="11">
        <v>36302</v>
      </c>
      <c r="I9521" s="10">
        <v>1999</v>
      </c>
      <c r="J9521" s="10" t="s">
        <v>977</v>
      </c>
      <c r="K9521" s="10">
        <v>463</v>
      </c>
      <c r="L9521" s="10" t="s">
        <v>36312</v>
      </c>
      <c r="M9521" s="10">
        <v>1</v>
      </c>
      <c r="N9521" s="10"/>
      <c r="O9521" s="10"/>
      <c r="P9521" s="10" t="s">
        <v>42921</v>
      </c>
      <c r="Q9521" s="10"/>
      <c r="R9521" s="10" t="s">
        <v>42922</v>
      </c>
      <c r="S9521" s="10" t="s">
        <v>53</v>
      </c>
      <c r="T9521" s="10" t="s">
        <v>54</v>
      </c>
    </row>
    <row r="9522" spans="1:20" ht="14.5" x14ac:dyDescent="0.35">
      <c r="A9522" s="10" t="s">
        <v>42923</v>
      </c>
      <c r="B9522" s="10" t="str">
        <f>"9780802078407"</f>
        <v>9780802078407</v>
      </c>
      <c r="C9522" s="10" t="str">
        <f>"9781442671201"</f>
        <v>9781442671201</v>
      </c>
      <c r="D9522" s="10" t="s">
        <v>977</v>
      </c>
      <c r="E9522" s="10" t="s">
        <v>977</v>
      </c>
      <c r="F9522" s="10" t="s">
        <v>901</v>
      </c>
      <c r="G9522" s="10" t="s">
        <v>9536</v>
      </c>
      <c r="H9522" s="11">
        <v>35494</v>
      </c>
      <c r="I9522" s="10">
        <v>1997</v>
      </c>
      <c r="J9522" s="10" t="s">
        <v>977</v>
      </c>
      <c r="K9522" s="10">
        <v>365</v>
      </c>
      <c r="L9522" s="10" t="s">
        <v>36312</v>
      </c>
      <c r="M9522" s="10">
        <v>1</v>
      </c>
      <c r="N9522" s="10"/>
      <c r="O9522" s="10"/>
      <c r="P9522" s="10" t="s">
        <v>42924</v>
      </c>
      <c r="Q9522" s="10" t="s">
        <v>42925</v>
      </c>
      <c r="R9522" s="10" t="s">
        <v>42926</v>
      </c>
      <c r="S9522" s="10" t="s">
        <v>53</v>
      </c>
      <c r="T9522" s="10" t="s">
        <v>4490</v>
      </c>
    </row>
    <row r="9523" spans="1:20" ht="14.5" x14ac:dyDescent="0.35">
      <c r="A9523" s="10" t="s">
        <v>42927</v>
      </c>
      <c r="B9523" s="10" t="str">
        <f>"9780802044259"</f>
        <v>9780802044259</v>
      </c>
      <c r="C9523" s="10" t="str">
        <f>"9781442673236"</f>
        <v>9781442673236</v>
      </c>
      <c r="D9523" s="10" t="s">
        <v>977</v>
      </c>
      <c r="E9523" s="10" t="s">
        <v>977</v>
      </c>
      <c r="F9523" s="10" t="s">
        <v>901</v>
      </c>
      <c r="G9523" s="10" t="s">
        <v>9536</v>
      </c>
      <c r="H9523" s="11">
        <v>36316</v>
      </c>
      <c r="I9523" s="10">
        <v>1998</v>
      </c>
      <c r="J9523" s="10" t="s">
        <v>977</v>
      </c>
      <c r="K9523" s="10">
        <v>221</v>
      </c>
      <c r="L9523" s="10" t="s">
        <v>42928</v>
      </c>
      <c r="M9523" s="10">
        <v>1</v>
      </c>
      <c r="N9523" s="10"/>
      <c r="O9523" s="10"/>
      <c r="P9523" s="10"/>
      <c r="Q9523" s="10" t="s">
        <v>42929</v>
      </c>
      <c r="R9523" s="10" t="s">
        <v>42930</v>
      </c>
      <c r="S9523" s="10" t="s">
        <v>53</v>
      </c>
      <c r="T9523" s="10" t="s">
        <v>4490</v>
      </c>
    </row>
    <row r="9524" spans="1:20" ht="14.5" x14ac:dyDescent="0.35">
      <c r="A9524" s="10" t="s">
        <v>42931</v>
      </c>
      <c r="B9524" s="10" t="str">
        <f>"9781442613089"</f>
        <v>9781442613089</v>
      </c>
      <c r="C9524" s="10" t="str">
        <f>"9781442673564"</f>
        <v>9781442673564</v>
      </c>
      <c r="D9524" s="10" t="s">
        <v>977</v>
      </c>
      <c r="E9524" s="10" t="s">
        <v>977</v>
      </c>
      <c r="F9524" s="10" t="s">
        <v>901</v>
      </c>
      <c r="G9524" s="10" t="s">
        <v>9536</v>
      </c>
      <c r="H9524" s="11">
        <v>38470</v>
      </c>
      <c r="I9524" s="10">
        <v>2005</v>
      </c>
      <c r="J9524" s="10" t="s">
        <v>977</v>
      </c>
      <c r="K9524" s="10">
        <v>317</v>
      </c>
      <c r="L9524" s="10" t="s">
        <v>42932</v>
      </c>
      <c r="M9524" s="10">
        <v>1</v>
      </c>
      <c r="N9524" s="10" t="s">
        <v>42866</v>
      </c>
      <c r="O9524" s="10"/>
      <c r="P9524" s="10" t="s">
        <v>42933</v>
      </c>
      <c r="Q9524" s="10">
        <v>378.00099999999998</v>
      </c>
      <c r="R9524" s="10" t="s">
        <v>42934</v>
      </c>
      <c r="S9524" s="10" t="s">
        <v>53</v>
      </c>
      <c r="T9524" s="10" t="s">
        <v>54</v>
      </c>
    </row>
    <row r="9525" spans="1:20" ht="14.5" x14ac:dyDescent="0.35">
      <c r="A9525" s="10" t="s">
        <v>42935</v>
      </c>
      <c r="B9525" s="10" t="str">
        <f>"9780802078124"</f>
        <v>9780802078124</v>
      </c>
      <c r="C9525" s="10" t="str">
        <f>"9781442673755"</f>
        <v>9781442673755</v>
      </c>
      <c r="D9525" s="10" t="s">
        <v>977</v>
      </c>
      <c r="E9525" s="10" t="s">
        <v>977</v>
      </c>
      <c r="F9525" s="10" t="s">
        <v>901</v>
      </c>
      <c r="G9525" s="10" t="s">
        <v>9536</v>
      </c>
      <c r="H9525" s="11">
        <v>36218</v>
      </c>
      <c r="I9525" s="10">
        <v>1999</v>
      </c>
      <c r="J9525" s="10" t="s">
        <v>977</v>
      </c>
      <c r="K9525" s="10">
        <v>143</v>
      </c>
      <c r="L9525" s="10" t="s">
        <v>42936</v>
      </c>
      <c r="M9525" s="10">
        <v>1</v>
      </c>
      <c r="N9525" s="10"/>
      <c r="O9525" s="10"/>
      <c r="P9525" s="10"/>
      <c r="Q9525" s="10"/>
      <c r="R9525" s="10"/>
      <c r="S9525" s="10" t="s">
        <v>53</v>
      </c>
      <c r="T9525" s="10" t="s">
        <v>24220</v>
      </c>
    </row>
    <row r="9526" spans="1:20" ht="14.5" x14ac:dyDescent="0.35">
      <c r="A9526" s="10" t="s">
        <v>42937</v>
      </c>
      <c r="B9526" s="10" t="str">
        <f>"9780802084781"</f>
        <v>9780802084781</v>
      </c>
      <c r="C9526" s="10" t="str">
        <f>"9781442674066"</f>
        <v>9781442674066</v>
      </c>
      <c r="D9526" s="10" t="s">
        <v>977</v>
      </c>
      <c r="E9526" s="10" t="s">
        <v>977</v>
      </c>
      <c r="F9526" s="10" t="s">
        <v>901</v>
      </c>
      <c r="G9526" s="10" t="s">
        <v>9536</v>
      </c>
      <c r="H9526" s="11">
        <v>36801</v>
      </c>
      <c r="I9526" s="10">
        <v>2001</v>
      </c>
      <c r="J9526" s="10" t="s">
        <v>977</v>
      </c>
      <c r="K9526" s="10">
        <v>170</v>
      </c>
      <c r="L9526" s="10" t="s">
        <v>42938</v>
      </c>
      <c r="M9526" s="10">
        <v>1</v>
      </c>
      <c r="N9526" s="10"/>
      <c r="O9526" s="10"/>
      <c r="P9526" s="10" t="s">
        <v>42939</v>
      </c>
      <c r="Q9526" s="10"/>
      <c r="R9526" s="10" t="s">
        <v>42940</v>
      </c>
      <c r="S9526" s="10" t="s">
        <v>53</v>
      </c>
      <c r="T9526" s="10" t="s">
        <v>6384</v>
      </c>
    </row>
    <row r="9527" spans="1:20" ht="14.5" x14ac:dyDescent="0.35">
      <c r="A9527" s="10" t="s">
        <v>42941</v>
      </c>
      <c r="B9527" s="10" t="str">
        <f>"9780802084965"</f>
        <v>9780802084965</v>
      </c>
      <c r="C9527" s="10" t="str">
        <f>"9781442674233"</f>
        <v>9781442674233</v>
      </c>
      <c r="D9527" s="10" t="s">
        <v>977</v>
      </c>
      <c r="E9527" s="10" t="s">
        <v>977</v>
      </c>
      <c r="F9527" s="10" t="s">
        <v>901</v>
      </c>
      <c r="G9527" s="10" t="s">
        <v>9536</v>
      </c>
      <c r="H9527" s="11">
        <v>37450</v>
      </c>
      <c r="I9527" s="10">
        <v>2002</v>
      </c>
      <c r="J9527" s="10" t="s">
        <v>977</v>
      </c>
      <c r="K9527" s="10">
        <v>280</v>
      </c>
      <c r="L9527" s="10" t="s">
        <v>42942</v>
      </c>
      <c r="M9527" s="10">
        <v>1</v>
      </c>
      <c r="N9527" s="10"/>
      <c r="O9527" s="10"/>
      <c r="P9527" s="10" t="s">
        <v>42943</v>
      </c>
      <c r="Q9527" s="10"/>
      <c r="R9527" s="10"/>
      <c r="S9527" s="10" t="s">
        <v>53</v>
      </c>
      <c r="T9527" s="10" t="s">
        <v>3668</v>
      </c>
    </row>
    <row r="9528" spans="1:20" ht="14.5" x14ac:dyDescent="0.35">
      <c r="A9528" s="10" t="s">
        <v>42944</v>
      </c>
      <c r="B9528" s="10" t="str">
        <f>"9780802088451"</f>
        <v>9780802088451</v>
      </c>
      <c r="C9528" s="10" t="str">
        <f>"9781442674295"</f>
        <v>9781442674295</v>
      </c>
      <c r="D9528" s="10" t="s">
        <v>977</v>
      </c>
      <c r="E9528" s="10" t="s">
        <v>977</v>
      </c>
      <c r="F9528" s="10" t="s">
        <v>901</v>
      </c>
      <c r="G9528" s="10" t="s">
        <v>9536</v>
      </c>
      <c r="H9528" s="11">
        <v>38140</v>
      </c>
      <c r="I9528" s="10">
        <v>2004</v>
      </c>
      <c r="J9528" s="10" t="s">
        <v>977</v>
      </c>
      <c r="K9528" s="10">
        <v>247</v>
      </c>
      <c r="L9528" s="10" t="s">
        <v>42945</v>
      </c>
      <c r="M9528" s="10">
        <v>1</v>
      </c>
      <c r="N9528" s="10"/>
      <c r="O9528" s="10"/>
      <c r="P9528" s="10" t="s">
        <v>42946</v>
      </c>
      <c r="Q9528" s="10"/>
      <c r="R9528" s="10" t="s">
        <v>42947</v>
      </c>
      <c r="S9528" s="10" t="s">
        <v>53</v>
      </c>
      <c r="T9528" s="10" t="s">
        <v>6660</v>
      </c>
    </row>
    <row r="9529" spans="1:20" ht="14.5" x14ac:dyDescent="0.35">
      <c r="A9529" s="10" t="s">
        <v>42948</v>
      </c>
      <c r="B9529" s="10" t="str">
        <f>"9780802080981"</f>
        <v>9780802080981</v>
      </c>
      <c r="C9529" s="10" t="str">
        <f>"9781442675735"</f>
        <v>9781442675735</v>
      </c>
      <c r="D9529" s="10" t="s">
        <v>977</v>
      </c>
      <c r="E9529" s="10" t="s">
        <v>977</v>
      </c>
      <c r="F9529" s="10" t="s">
        <v>901</v>
      </c>
      <c r="G9529" s="10" t="s">
        <v>9536</v>
      </c>
      <c r="H9529" s="11">
        <v>37534</v>
      </c>
      <c r="I9529" s="10">
        <v>2002</v>
      </c>
      <c r="J9529" s="10" t="s">
        <v>977</v>
      </c>
      <c r="K9529" s="10">
        <v>351</v>
      </c>
      <c r="L9529" s="10" t="s">
        <v>42949</v>
      </c>
      <c r="M9529" s="10">
        <v>1</v>
      </c>
      <c r="N9529" s="10"/>
      <c r="O9529" s="10"/>
      <c r="P9529" s="10"/>
      <c r="Q9529" s="10" t="s">
        <v>42698</v>
      </c>
      <c r="R9529" s="10" t="s">
        <v>42950</v>
      </c>
      <c r="S9529" s="10" t="s">
        <v>53</v>
      </c>
      <c r="T9529" s="10" t="s">
        <v>54</v>
      </c>
    </row>
    <row r="9530" spans="1:20" ht="14.5" x14ac:dyDescent="0.35">
      <c r="A9530" s="10" t="s">
        <v>42951</v>
      </c>
      <c r="B9530" s="10" t="str">
        <f>"9780802035257"</f>
        <v>9780802035257</v>
      </c>
      <c r="C9530" s="10" t="str">
        <f>"9781442677258"</f>
        <v>9781442677258</v>
      </c>
      <c r="D9530" s="10" t="s">
        <v>977</v>
      </c>
      <c r="E9530" s="10" t="s">
        <v>977</v>
      </c>
      <c r="F9530" s="10" t="s">
        <v>901</v>
      </c>
      <c r="G9530" s="10" t="s">
        <v>9536</v>
      </c>
      <c r="H9530" s="11">
        <v>37254</v>
      </c>
      <c r="I9530" s="10">
        <v>2001</v>
      </c>
      <c r="J9530" s="10" t="s">
        <v>977</v>
      </c>
      <c r="K9530" s="10">
        <v>313</v>
      </c>
      <c r="L9530" s="10" t="s">
        <v>42952</v>
      </c>
      <c r="M9530" s="10">
        <v>1</v>
      </c>
      <c r="N9530" s="10"/>
      <c r="O9530" s="10"/>
      <c r="P9530" s="10"/>
      <c r="Q9530" s="10">
        <v>378.1</v>
      </c>
      <c r="R9530" s="10" t="s">
        <v>42953</v>
      </c>
      <c r="S9530" s="10" t="s">
        <v>53</v>
      </c>
      <c r="T9530" s="10" t="s">
        <v>54</v>
      </c>
    </row>
    <row r="9531" spans="1:20" ht="14.5" x14ac:dyDescent="0.35">
      <c r="A9531" s="10" t="s">
        <v>42954</v>
      </c>
      <c r="B9531" s="10" t="str">
        <f>"9780802085337"</f>
        <v>9780802085337</v>
      </c>
      <c r="C9531" s="10" t="str">
        <f>"9781442677555"</f>
        <v>9781442677555</v>
      </c>
      <c r="D9531" s="10" t="s">
        <v>977</v>
      </c>
      <c r="E9531" s="10" t="s">
        <v>977</v>
      </c>
      <c r="F9531" s="10" t="s">
        <v>901</v>
      </c>
      <c r="G9531" s="10" t="s">
        <v>9536</v>
      </c>
      <c r="H9531" s="11">
        <v>38023</v>
      </c>
      <c r="I9531" s="10">
        <v>2004</v>
      </c>
      <c r="J9531" s="10" t="s">
        <v>977</v>
      </c>
      <c r="K9531" s="10">
        <v>181</v>
      </c>
      <c r="L9531" s="10" t="s">
        <v>42955</v>
      </c>
      <c r="M9531" s="10">
        <v>1</v>
      </c>
      <c r="N9531" s="10"/>
      <c r="O9531" s="10"/>
      <c r="P9531" s="10" t="s">
        <v>42956</v>
      </c>
      <c r="Q9531" s="10"/>
      <c r="R9531" s="10" t="s">
        <v>42957</v>
      </c>
      <c r="S9531" s="10" t="s">
        <v>53</v>
      </c>
      <c r="T9531" s="10" t="s">
        <v>54</v>
      </c>
    </row>
    <row r="9532" spans="1:20" ht="14.5" x14ac:dyDescent="0.35">
      <c r="A9532" s="10" t="s">
        <v>42958</v>
      </c>
      <c r="B9532" s="10" t="str">
        <f>"9780802047700"</f>
        <v>9780802047700</v>
      </c>
      <c r="C9532" s="10" t="str">
        <f>"9781442678798"</f>
        <v>9781442678798</v>
      </c>
      <c r="D9532" s="10" t="s">
        <v>977</v>
      </c>
      <c r="E9532" s="10" t="s">
        <v>977</v>
      </c>
      <c r="F9532" s="10" t="s">
        <v>901</v>
      </c>
      <c r="G9532" s="10" t="s">
        <v>9536</v>
      </c>
      <c r="H9532" s="11">
        <v>37387</v>
      </c>
      <c r="I9532" s="10">
        <v>2002</v>
      </c>
      <c r="J9532" s="10" t="s">
        <v>977</v>
      </c>
      <c r="K9532" s="10">
        <v>495</v>
      </c>
      <c r="L9532" s="10" t="s">
        <v>42959</v>
      </c>
      <c r="M9532" s="10">
        <v>1</v>
      </c>
      <c r="N9532" s="10"/>
      <c r="O9532" s="10"/>
      <c r="P9532" s="10" t="s">
        <v>42960</v>
      </c>
      <c r="Q9532" s="10" t="s">
        <v>42961</v>
      </c>
      <c r="R9532" s="10" t="s">
        <v>42962</v>
      </c>
      <c r="S9532" s="10" t="s">
        <v>53</v>
      </c>
      <c r="T9532" s="10" t="s">
        <v>9143</v>
      </c>
    </row>
    <row r="9533" spans="1:20" ht="14.5" x14ac:dyDescent="0.35">
      <c r="A9533" s="10" t="s">
        <v>42963</v>
      </c>
      <c r="B9533" s="10" t="str">
        <f>"9780802080608"</f>
        <v>9780802080608</v>
      </c>
      <c r="C9533" s="10" t="str">
        <f>"9781442679078"</f>
        <v>9781442679078</v>
      </c>
      <c r="D9533" s="10" t="s">
        <v>977</v>
      </c>
      <c r="E9533" s="10" t="s">
        <v>977</v>
      </c>
      <c r="F9533" s="10" t="s">
        <v>901</v>
      </c>
      <c r="G9533" s="10" t="s">
        <v>9536</v>
      </c>
      <c r="H9533" s="11">
        <v>35791</v>
      </c>
      <c r="I9533" s="10">
        <v>1997</v>
      </c>
      <c r="J9533" s="10" t="s">
        <v>977</v>
      </c>
      <c r="K9533" s="10">
        <v>305</v>
      </c>
      <c r="L9533" s="10" t="s">
        <v>42964</v>
      </c>
      <c r="M9533" s="10">
        <v>1</v>
      </c>
      <c r="N9533" s="10"/>
      <c r="O9533" s="10"/>
      <c r="P9533" s="10" t="s">
        <v>42965</v>
      </c>
      <c r="Q9533" s="10" t="s">
        <v>42966</v>
      </c>
      <c r="R9533" s="10"/>
      <c r="S9533" s="10" t="s">
        <v>53</v>
      </c>
      <c r="T9533" s="10" t="s">
        <v>54</v>
      </c>
    </row>
    <row r="9534" spans="1:20" ht="14.5" x14ac:dyDescent="0.35">
      <c r="A9534" s="10" t="s">
        <v>42967</v>
      </c>
      <c r="B9534" s="10" t="str">
        <f>"9780802036711"</f>
        <v>9780802036711</v>
      </c>
      <c r="C9534" s="10" t="str">
        <f>"9781442679801"</f>
        <v>9781442679801</v>
      </c>
      <c r="D9534" s="10" t="s">
        <v>977</v>
      </c>
      <c r="E9534" s="10" t="s">
        <v>977</v>
      </c>
      <c r="F9534" s="10" t="s">
        <v>901</v>
      </c>
      <c r="G9534" s="10" t="s">
        <v>9536</v>
      </c>
      <c r="H9534" s="11">
        <v>37525</v>
      </c>
      <c r="I9534" s="10">
        <v>2002</v>
      </c>
      <c r="J9534" s="10" t="s">
        <v>977</v>
      </c>
      <c r="K9534" s="10">
        <v>381</v>
      </c>
      <c r="L9534" s="10" t="s">
        <v>42968</v>
      </c>
      <c r="M9534" s="10">
        <v>1</v>
      </c>
      <c r="N9534" s="10" t="s">
        <v>42969</v>
      </c>
      <c r="O9534" s="10"/>
      <c r="P9534" s="10" t="s">
        <v>42970</v>
      </c>
      <c r="Q9534" s="10" t="s">
        <v>42971</v>
      </c>
      <c r="R9534" s="10" t="s">
        <v>42972</v>
      </c>
      <c r="S9534" s="10" t="s">
        <v>53</v>
      </c>
      <c r="T9534" s="10" t="s">
        <v>54</v>
      </c>
    </row>
    <row r="9535" spans="1:20" ht="14.5" x14ac:dyDescent="0.35">
      <c r="A9535" s="10" t="s">
        <v>42973</v>
      </c>
      <c r="B9535" s="10" t="str">
        <f>"9780802093769"</f>
        <v>9780802093769</v>
      </c>
      <c r="C9535" s="10" t="str">
        <f>"9781442680333"</f>
        <v>9781442680333</v>
      </c>
      <c r="D9535" s="10" t="s">
        <v>977</v>
      </c>
      <c r="E9535" s="10" t="s">
        <v>977</v>
      </c>
      <c r="F9535" s="10" t="s">
        <v>901</v>
      </c>
      <c r="G9535" s="10" t="s">
        <v>9536</v>
      </c>
      <c r="H9535" s="11">
        <v>38414</v>
      </c>
      <c r="I9535" s="10">
        <v>2005</v>
      </c>
      <c r="J9535" s="10" t="s">
        <v>977</v>
      </c>
      <c r="K9535" s="10">
        <v>635</v>
      </c>
      <c r="L9535" s="10" t="s">
        <v>42974</v>
      </c>
      <c r="M9535" s="10">
        <v>1</v>
      </c>
      <c r="N9535" s="10"/>
      <c r="O9535" s="10"/>
      <c r="P9535" s="10" t="s">
        <v>42975</v>
      </c>
      <c r="Q9535" s="10" t="s">
        <v>36044</v>
      </c>
      <c r="R9535" s="10" t="s">
        <v>42976</v>
      </c>
      <c r="S9535" s="10" t="s">
        <v>53</v>
      </c>
      <c r="T9535" s="10" t="s">
        <v>54</v>
      </c>
    </row>
    <row r="9536" spans="1:20" ht="14.5" x14ac:dyDescent="0.35">
      <c r="A9536" s="10" t="s">
        <v>42977</v>
      </c>
      <c r="B9536" s="10" t="str">
        <f>"9780802074362"</f>
        <v>9780802074362</v>
      </c>
      <c r="C9536" s="10" t="str">
        <f>"9781442680388"</f>
        <v>9781442680388</v>
      </c>
      <c r="D9536" s="10" t="s">
        <v>977</v>
      </c>
      <c r="E9536" s="10" t="s">
        <v>977</v>
      </c>
      <c r="F9536" s="10" t="s">
        <v>901</v>
      </c>
      <c r="G9536" s="10" t="s">
        <v>9536</v>
      </c>
      <c r="H9536" s="11">
        <v>35791</v>
      </c>
      <c r="I9536" s="10">
        <v>1997</v>
      </c>
      <c r="J9536" s="10" t="s">
        <v>977</v>
      </c>
      <c r="K9536" s="10">
        <v>314</v>
      </c>
      <c r="L9536" s="10" t="s">
        <v>42978</v>
      </c>
      <c r="M9536" s="10">
        <v>1</v>
      </c>
      <c r="N9536" s="10" t="s">
        <v>42866</v>
      </c>
      <c r="O9536" s="10"/>
      <c r="P9536" s="10" t="s">
        <v>42979</v>
      </c>
      <c r="Q9536" s="10"/>
      <c r="R9536" s="10" t="s">
        <v>42980</v>
      </c>
      <c r="S9536" s="10" t="s">
        <v>53</v>
      </c>
      <c r="T9536" s="10" t="s">
        <v>54</v>
      </c>
    </row>
    <row r="9537" spans="1:20" ht="14.5" x14ac:dyDescent="0.35">
      <c r="A9537" s="10" t="s">
        <v>42981</v>
      </c>
      <c r="B9537" s="10" t="str">
        <f>"9780802080301"</f>
        <v>9780802080301</v>
      </c>
      <c r="C9537" s="10" t="str">
        <f>"9781442680395"</f>
        <v>9781442680395</v>
      </c>
      <c r="D9537" s="10" t="s">
        <v>977</v>
      </c>
      <c r="E9537" s="10" t="s">
        <v>977</v>
      </c>
      <c r="F9537" s="10" t="s">
        <v>901</v>
      </c>
      <c r="G9537" s="10" t="s">
        <v>9536</v>
      </c>
      <c r="H9537" s="11">
        <v>36113</v>
      </c>
      <c r="I9537" s="10">
        <v>1998</v>
      </c>
      <c r="J9537" s="10" t="s">
        <v>977</v>
      </c>
      <c r="K9537" s="10">
        <v>164</v>
      </c>
      <c r="L9537" s="10" t="s">
        <v>42982</v>
      </c>
      <c r="M9537" s="10">
        <v>1</v>
      </c>
      <c r="N9537" s="10" t="s">
        <v>42866</v>
      </c>
      <c r="O9537" s="10"/>
      <c r="P9537" s="10" t="s">
        <v>42983</v>
      </c>
      <c r="Q9537" s="10" t="s">
        <v>42984</v>
      </c>
      <c r="R9537" s="10" t="s">
        <v>42985</v>
      </c>
      <c r="S9537" s="10" t="s">
        <v>53</v>
      </c>
      <c r="T9537" s="10" t="s">
        <v>16298</v>
      </c>
    </row>
    <row r="9538" spans="1:20" ht="14.5" x14ac:dyDescent="0.35">
      <c r="A9538" s="10" t="s">
        <v>42986</v>
      </c>
      <c r="B9538" s="10" t="str">
        <f>"9780802004239"</f>
        <v>9780802004239</v>
      </c>
      <c r="C9538" s="10" t="str">
        <f>"9781442683013"</f>
        <v>9781442683013</v>
      </c>
      <c r="D9538" s="10" t="s">
        <v>977</v>
      </c>
      <c r="E9538" s="10" t="s">
        <v>977</v>
      </c>
      <c r="F9538" s="10" t="s">
        <v>901</v>
      </c>
      <c r="G9538" s="10" t="s">
        <v>9536</v>
      </c>
      <c r="H9538" s="11">
        <v>34817</v>
      </c>
      <c r="I9538" s="10">
        <v>1995</v>
      </c>
      <c r="J9538" s="10" t="s">
        <v>977</v>
      </c>
      <c r="K9538" s="10">
        <v>341</v>
      </c>
      <c r="L9538" s="10" t="s">
        <v>42987</v>
      </c>
      <c r="M9538" s="10">
        <v>1</v>
      </c>
      <c r="N9538" s="10"/>
      <c r="O9538" s="10"/>
      <c r="P9538" s="10" t="s">
        <v>42988</v>
      </c>
      <c r="Q9538" s="10" t="s">
        <v>9007</v>
      </c>
      <c r="R9538" s="10" t="s">
        <v>42989</v>
      </c>
      <c r="S9538" s="10" t="s">
        <v>53</v>
      </c>
      <c r="T9538" s="10" t="s">
        <v>54</v>
      </c>
    </row>
    <row r="9539" spans="1:20" ht="14.5" x14ac:dyDescent="0.35">
      <c r="A9539" s="10" t="s">
        <v>42990</v>
      </c>
      <c r="B9539" s="10" t="str">
        <f>"9780802090997"</f>
        <v>9780802090997</v>
      </c>
      <c r="C9539" s="10" t="str">
        <f>"9781442685642"</f>
        <v>9781442685642</v>
      </c>
      <c r="D9539" s="10" t="s">
        <v>977</v>
      </c>
      <c r="E9539" s="10" t="s">
        <v>977</v>
      </c>
      <c r="F9539" s="10" t="s">
        <v>901</v>
      </c>
      <c r="G9539" s="10" t="s">
        <v>9536</v>
      </c>
      <c r="H9539" s="11">
        <v>39158</v>
      </c>
      <c r="I9539" s="10">
        <v>2007</v>
      </c>
      <c r="J9539" s="10" t="s">
        <v>977</v>
      </c>
      <c r="K9539" s="10">
        <v>413</v>
      </c>
      <c r="L9539" s="10" t="s">
        <v>42991</v>
      </c>
      <c r="M9539" s="10">
        <v>1</v>
      </c>
      <c r="N9539" s="10" t="s">
        <v>42992</v>
      </c>
      <c r="O9539" s="10"/>
      <c r="P9539" s="10" t="s">
        <v>42993</v>
      </c>
      <c r="Q9539" s="10"/>
      <c r="R9539" s="10" t="s">
        <v>42994</v>
      </c>
      <c r="S9539" s="10" t="s">
        <v>53</v>
      </c>
      <c r="T9539" s="10" t="s">
        <v>54</v>
      </c>
    </row>
    <row r="9540" spans="1:20" ht="14.5" x14ac:dyDescent="0.35">
      <c r="A9540" s="10" t="s">
        <v>42995</v>
      </c>
      <c r="B9540" s="10" t="str">
        <f>"9781442610262"</f>
        <v>9781442610262</v>
      </c>
      <c r="C9540" s="10" t="str">
        <f>"9781442686243"</f>
        <v>9781442686243</v>
      </c>
      <c r="D9540" s="10" t="s">
        <v>977</v>
      </c>
      <c r="E9540" s="10" t="s">
        <v>977</v>
      </c>
      <c r="F9540" s="10" t="s">
        <v>901</v>
      </c>
      <c r="G9540" s="10" t="s">
        <v>9536</v>
      </c>
      <c r="H9540" s="11">
        <v>39557</v>
      </c>
      <c r="I9540" s="10">
        <v>2008</v>
      </c>
      <c r="J9540" s="10" t="s">
        <v>977</v>
      </c>
      <c r="K9540" s="10">
        <v>214</v>
      </c>
      <c r="L9540" s="10" t="s">
        <v>42996</v>
      </c>
      <c r="M9540" s="10">
        <v>1</v>
      </c>
      <c r="N9540" s="10"/>
      <c r="O9540" s="10"/>
      <c r="P9540" s="10" t="s">
        <v>42997</v>
      </c>
      <c r="Q9540" s="10"/>
      <c r="R9540" s="10" t="s">
        <v>42998</v>
      </c>
      <c r="S9540" s="10" t="s">
        <v>53</v>
      </c>
      <c r="T9540" s="10" t="s">
        <v>54</v>
      </c>
    </row>
    <row r="9541" spans="1:20" ht="14.5" x14ac:dyDescent="0.35">
      <c r="A9541" s="10" t="s">
        <v>42999</v>
      </c>
      <c r="B9541" s="10" t="str">
        <f>"9781442643208"</f>
        <v>9781442643208</v>
      </c>
      <c r="C9541" s="10" t="str">
        <f>"9781442695641"</f>
        <v>9781442695641</v>
      </c>
      <c r="D9541" s="10" t="s">
        <v>977</v>
      </c>
      <c r="E9541" s="10" t="s">
        <v>977</v>
      </c>
      <c r="F9541" s="10" t="s">
        <v>901</v>
      </c>
      <c r="G9541" s="10" t="s">
        <v>9536</v>
      </c>
      <c r="H9541" s="11">
        <v>40887</v>
      </c>
      <c r="I9541" s="10">
        <v>2011</v>
      </c>
      <c r="J9541" s="10" t="s">
        <v>977</v>
      </c>
      <c r="K9541" s="10">
        <v>333</v>
      </c>
      <c r="L9541" s="10" t="s">
        <v>43000</v>
      </c>
      <c r="M9541" s="10">
        <v>1</v>
      </c>
      <c r="N9541" s="10"/>
      <c r="O9541" s="10"/>
      <c r="P9541" s="10" t="s">
        <v>43001</v>
      </c>
      <c r="Q9541" s="10">
        <v>370.15</v>
      </c>
      <c r="R9541" s="10"/>
      <c r="S9541" s="10" t="s">
        <v>53</v>
      </c>
      <c r="T9541" s="10" t="s">
        <v>54</v>
      </c>
    </row>
    <row r="9542" spans="1:20" ht="14.5" x14ac:dyDescent="0.35">
      <c r="A9542" s="10" t="s">
        <v>43002</v>
      </c>
      <c r="B9542" s="10" t="str">
        <f>"9780802092656"</f>
        <v>9780802092656</v>
      </c>
      <c r="C9542" s="10" t="str">
        <f>"9781442697478"</f>
        <v>9781442697478</v>
      </c>
      <c r="D9542" s="10" t="s">
        <v>977</v>
      </c>
      <c r="E9542" s="10" t="s">
        <v>977</v>
      </c>
      <c r="F9542" s="10" t="s">
        <v>901</v>
      </c>
      <c r="G9542" s="10" t="s">
        <v>9536</v>
      </c>
      <c r="H9542" s="11">
        <v>40131</v>
      </c>
      <c r="I9542" s="10">
        <v>2009</v>
      </c>
      <c r="J9542" s="10" t="s">
        <v>977</v>
      </c>
      <c r="K9542" s="10">
        <v>337</v>
      </c>
      <c r="L9542" s="10" t="s">
        <v>43003</v>
      </c>
      <c r="M9542" s="10">
        <v>1</v>
      </c>
      <c r="N9542" s="10"/>
      <c r="O9542" s="10"/>
      <c r="P9542" s="10" t="s">
        <v>43004</v>
      </c>
      <c r="Q9542" s="10" t="s">
        <v>43005</v>
      </c>
      <c r="R9542" s="10"/>
      <c r="S9542" s="10" t="s">
        <v>53</v>
      </c>
      <c r="T9542" s="10" t="s">
        <v>54</v>
      </c>
    </row>
    <row r="9543" spans="1:20" ht="14.5" x14ac:dyDescent="0.35">
      <c r="A9543" s="10" t="s">
        <v>43006</v>
      </c>
      <c r="B9543" s="10" t="str">
        <f>"9780802096852"</f>
        <v>9780802096852</v>
      </c>
      <c r="C9543" s="10" t="str">
        <f>"9781442697652"</f>
        <v>9781442697652</v>
      </c>
      <c r="D9543" s="10" t="s">
        <v>977</v>
      </c>
      <c r="E9543" s="10" t="s">
        <v>977</v>
      </c>
      <c r="F9543" s="10" t="s">
        <v>901</v>
      </c>
      <c r="G9543" s="10" t="s">
        <v>9536</v>
      </c>
      <c r="H9543" s="11">
        <v>40145</v>
      </c>
      <c r="I9543" s="10">
        <v>2009</v>
      </c>
      <c r="J9543" s="10" t="s">
        <v>977</v>
      </c>
      <c r="K9543" s="10">
        <v>371</v>
      </c>
      <c r="L9543" s="10" t="s">
        <v>43007</v>
      </c>
      <c r="M9543" s="10">
        <v>1</v>
      </c>
      <c r="N9543" s="10"/>
      <c r="O9543" s="10"/>
      <c r="P9543" s="10" t="s">
        <v>43008</v>
      </c>
      <c r="Q9543" s="10"/>
      <c r="R9543" s="10"/>
      <c r="S9543" s="10" t="s">
        <v>53</v>
      </c>
      <c r="T9543" s="10" t="s">
        <v>12653</v>
      </c>
    </row>
    <row r="9544" spans="1:20" ht="14.5" x14ac:dyDescent="0.35">
      <c r="A9544" s="10" t="s">
        <v>43009</v>
      </c>
      <c r="B9544" s="10" t="str">
        <f>"9780802098115"</f>
        <v>9780802098115</v>
      </c>
      <c r="C9544" s="10" t="str">
        <f>"9781442698994"</f>
        <v>9781442698994</v>
      </c>
      <c r="D9544" s="10" t="s">
        <v>977</v>
      </c>
      <c r="E9544" s="10" t="s">
        <v>977</v>
      </c>
      <c r="F9544" s="10" t="s">
        <v>901</v>
      </c>
      <c r="G9544" s="10" t="s">
        <v>9536</v>
      </c>
      <c r="H9544" s="11">
        <v>40292</v>
      </c>
      <c r="I9544" s="10">
        <v>2010</v>
      </c>
      <c r="J9544" s="10" t="s">
        <v>977</v>
      </c>
      <c r="K9544" s="10">
        <v>387</v>
      </c>
      <c r="L9544" s="10" t="s">
        <v>7916</v>
      </c>
      <c r="M9544" s="10">
        <v>1</v>
      </c>
      <c r="N9544" s="10"/>
      <c r="O9544" s="10"/>
      <c r="P9544" s="10"/>
      <c r="Q9544" s="10"/>
      <c r="R9544" s="10"/>
      <c r="S9544" s="10" t="s">
        <v>53</v>
      </c>
      <c r="T9544" s="10" t="s">
        <v>43010</v>
      </c>
    </row>
    <row r="9545" spans="1:20" ht="14.5" x14ac:dyDescent="0.35">
      <c r="A9545" s="10" t="s">
        <v>43011</v>
      </c>
      <c r="B9545" s="10" t="str">
        <f>"9781943665327"</f>
        <v>9781943665327</v>
      </c>
      <c r="C9545" s="10" t="str">
        <f>"9781943665358"</f>
        <v>9781943665358</v>
      </c>
      <c r="D9545" s="10" t="s">
        <v>38760</v>
      </c>
      <c r="E9545" s="10" t="s">
        <v>38760</v>
      </c>
      <c r="F9545" s="10" t="s">
        <v>5426</v>
      </c>
      <c r="G9545" s="10" t="s">
        <v>6317</v>
      </c>
      <c r="H9545" s="11">
        <v>42644</v>
      </c>
      <c r="I9545" s="10">
        <v>2016</v>
      </c>
      <c r="J9545" s="10" t="s">
        <v>38760</v>
      </c>
      <c r="K9545" s="10">
        <v>257</v>
      </c>
      <c r="L9545" s="10" t="s">
        <v>43012</v>
      </c>
      <c r="M9545" s="10">
        <v>1</v>
      </c>
      <c r="N9545" s="10" t="s">
        <v>43013</v>
      </c>
      <c r="O9545" s="10"/>
      <c r="P9545" s="10" t="s">
        <v>19049</v>
      </c>
      <c r="Q9545" s="10"/>
      <c r="R9545" s="10"/>
      <c r="S9545" s="10" t="s">
        <v>53</v>
      </c>
      <c r="T9545" s="10" t="s">
        <v>54</v>
      </c>
    </row>
    <row r="9546" spans="1:20" ht="14.5" x14ac:dyDescent="0.35">
      <c r="A9546" s="10" t="s">
        <v>43014</v>
      </c>
      <c r="B9546" s="10" t="str">
        <f>"9789463004848"</f>
        <v>9789463004848</v>
      </c>
      <c r="C9546" s="10" t="str">
        <f>"9789463004855"</f>
        <v>9789463004855</v>
      </c>
      <c r="D9546" s="10" t="s">
        <v>8564</v>
      </c>
      <c r="E9546" s="10" t="s">
        <v>8565</v>
      </c>
      <c r="F9546" s="10" t="s">
        <v>1420</v>
      </c>
      <c r="G9546" s="10" t="s">
        <v>6317</v>
      </c>
      <c r="H9546" s="11">
        <v>42370</v>
      </c>
      <c r="I9546" s="10">
        <v>2016</v>
      </c>
      <c r="J9546" s="10" t="s">
        <v>33259</v>
      </c>
      <c r="K9546" s="10">
        <v>222</v>
      </c>
      <c r="L9546" s="10" t="s">
        <v>43015</v>
      </c>
      <c r="M9546" s="10">
        <v>2</v>
      </c>
      <c r="N9546" s="10"/>
      <c r="O9546" s="10"/>
      <c r="P9546" s="10"/>
      <c r="Q9546" s="10"/>
      <c r="R9546" s="10"/>
      <c r="S9546" s="10" t="s">
        <v>53</v>
      </c>
      <c r="T9546" s="10" t="s">
        <v>54</v>
      </c>
    </row>
    <row r="9547" spans="1:20" ht="14.5" x14ac:dyDescent="0.35">
      <c r="A9547" s="10" t="s">
        <v>43016</v>
      </c>
      <c r="B9547" s="10" t="str">
        <f>"9789463005012"</f>
        <v>9789463005012</v>
      </c>
      <c r="C9547" s="10" t="str">
        <f>"9789463005036"</f>
        <v>9789463005036</v>
      </c>
      <c r="D9547" s="10" t="s">
        <v>8564</v>
      </c>
      <c r="E9547" s="10" t="s">
        <v>8565</v>
      </c>
      <c r="F9547" s="10" t="s">
        <v>1420</v>
      </c>
      <c r="G9547" s="10" t="s">
        <v>6317</v>
      </c>
      <c r="H9547" s="11">
        <v>42370</v>
      </c>
      <c r="I9547" s="10">
        <v>2016</v>
      </c>
      <c r="J9547" s="10" t="s">
        <v>33259</v>
      </c>
      <c r="K9547" s="10">
        <v>318</v>
      </c>
      <c r="L9547" s="10" t="s">
        <v>43017</v>
      </c>
      <c r="M9547" s="10">
        <v>1</v>
      </c>
      <c r="N9547" s="10" t="s">
        <v>33435</v>
      </c>
      <c r="O9547" s="10">
        <v>10</v>
      </c>
      <c r="P9547" s="10" t="s">
        <v>19534</v>
      </c>
      <c r="Q9547" s="10"/>
      <c r="R9547" s="10"/>
      <c r="S9547" s="10" t="s">
        <v>53</v>
      </c>
      <c r="T9547" s="10" t="s">
        <v>54</v>
      </c>
    </row>
    <row r="9548" spans="1:20" ht="14.5" x14ac:dyDescent="0.35">
      <c r="A9548" s="10" t="s">
        <v>43018</v>
      </c>
      <c r="B9548" s="10" t="str">
        <f>"9789463004893"</f>
        <v>9789463004893</v>
      </c>
      <c r="C9548" s="10" t="str">
        <f>"9789463004916"</f>
        <v>9789463004916</v>
      </c>
      <c r="D9548" s="10" t="s">
        <v>8564</v>
      </c>
      <c r="E9548" s="10" t="s">
        <v>8565</v>
      </c>
      <c r="F9548" s="10" t="s">
        <v>33250</v>
      </c>
      <c r="G9548" s="10" t="s">
        <v>9233</v>
      </c>
      <c r="H9548" s="11">
        <v>42370</v>
      </c>
      <c r="I9548" s="10">
        <v>2016</v>
      </c>
      <c r="J9548" s="10" t="s">
        <v>33259</v>
      </c>
      <c r="K9548" s="10">
        <v>230</v>
      </c>
      <c r="L9548" s="10" t="s">
        <v>43019</v>
      </c>
      <c r="M9548" s="10">
        <v>1</v>
      </c>
      <c r="N9548" s="10"/>
      <c r="O9548" s="10"/>
      <c r="P9548" s="10" t="s">
        <v>19534</v>
      </c>
      <c r="Q9548" s="10">
        <v>302.22440699999902</v>
      </c>
      <c r="R9548" s="10" t="s">
        <v>43020</v>
      </c>
      <c r="S9548" s="10" t="s">
        <v>53</v>
      </c>
      <c r="T9548" s="10" t="s">
        <v>6472</v>
      </c>
    </row>
    <row r="9549" spans="1:20" ht="14.5" x14ac:dyDescent="0.35">
      <c r="A9549" s="10" t="s">
        <v>43021</v>
      </c>
      <c r="B9549" s="10" t="str">
        <f>"9789463004367"</f>
        <v>9789463004367</v>
      </c>
      <c r="C9549" s="10" t="str">
        <f>"9789463004381"</f>
        <v>9789463004381</v>
      </c>
      <c r="D9549" s="10" t="s">
        <v>8564</v>
      </c>
      <c r="E9549" s="10" t="s">
        <v>8565</v>
      </c>
      <c r="F9549" s="10" t="s">
        <v>1420</v>
      </c>
      <c r="G9549" s="10" t="s">
        <v>6317</v>
      </c>
      <c r="H9549" s="11">
        <v>42370</v>
      </c>
      <c r="I9549" s="10">
        <v>2016</v>
      </c>
      <c r="J9549" s="10" t="s">
        <v>33259</v>
      </c>
      <c r="K9549" s="10">
        <v>196</v>
      </c>
      <c r="L9549" s="10" t="s">
        <v>43022</v>
      </c>
      <c r="M9549" s="10">
        <v>1</v>
      </c>
      <c r="N9549" s="10"/>
      <c r="O9549" s="10"/>
      <c r="P9549" s="10"/>
      <c r="Q9549" s="10"/>
      <c r="R9549" s="10" t="s">
        <v>43023</v>
      </c>
      <c r="S9549" s="10" t="s">
        <v>53</v>
      </c>
      <c r="T9549" s="10" t="s">
        <v>54</v>
      </c>
    </row>
    <row r="9550" spans="1:20" ht="14.5" x14ac:dyDescent="0.35">
      <c r="A9550" s="10" t="s">
        <v>43024</v>
      </c>
      <c r="B9550" s="10" t="str">
        <f>"9781475826999"</f>
        <v>9781475826999</v>
      </c>
      <c r="C9550" s="10" t="str">
        <f>"9781475827019"</f>
        <v>9781475827019</v>
      </c>
      <c r="D9550" s="10" t="s">
        <v>9752</v>
      </c>
      <c r="E9550" s="10" t="s">
        <v>15187</v>
      </c>
      <c r="F9550" s="10" t="s">
        <v>9754</v>
      </c>
      <c r="G9550" s="10" t="s">
        <v>6317</v>
      </c>
      <c r="H9550" s="11">
        <v>42572</v>
      </c>
      <c r="I9550" s="10">
        <v>2016</v>
      </c>
      <c r="J9550" s="10" t="s">
        <v>15187</v>
      </c>
      <c r="K9550" s="10">
        <v>143</v>
      </c>
      <c r="L9550" s="10" t="s">
        <v>43025</v>
      </c>
      <c r="M9550" s="10">
        <v>1</v>
      </c>
      <c r="N9550" s="10"/>
      <c r="O9550" s="10"/>
      <c r="P9550" s="10"/>
      <c r="Q9550" s="10">
        <v>371.33</v>
      </c>
      <c r="R9550" s="10" t="s">
        <v>7982</v>
      </c>
      <c r="S9550" s="10" t="s">
        <v>53</v>
      </c>
      <c r="T9550" s="10" t="s">
        <v>54</v>
      </c>
    </row>
    <row r="9551" spans="1:20" ht="14.5" x14ac:dyDescent="0.35">
      <c r="A9551" s="10" t="s">
        <v>43026</v>
      </c>
      <c r="B9551" s="10" t="str">
        <f>"9789463004459"</f>
        <v>9789463004459</v>
      </c>
      <c r="C9551" s="10" t="str">
        <f>"9789463004473"</f>
        <v>9789463004473</v>
      </c>
      <c r="D9551" s="10" t="s">
        <v>8564</v>
      </c>
      <c r="E9551" s="10" t="s">
        <v>13067</v>
      </c>
      <c r="F9551" s="10" t="s">
        <v>33250</v>
      </c>
      <c r="G9551" s="10" t="s">
        <v>9233</v>
      </c>
      <c r="H9551" s="11">
        <v>42370</v>
      </c>
      <c r="I9551" s="10">
        <v>2016</v>
      </c>
      <c r="J9551" s="10" t="s">
        <v>13067</v>
      </c>
      <c r="K9551" s="10">
        <v>125</v>
      </c>
      <c r="L9551" s="10" t="s">
        <v>43027</v>
      </c>
      <c r="M9551" s="10">
        <v>1</v>
      </c>
      <c r="N9551" s="10" t="s">
        <v>33325</v>
      </c>
      <c r="O9551" s="10">
        <v>114</v>
      </c>
      <c r="P9551" s="10" t="s">
        <v>19534</v>
      </c>
      <c r="Q9551" s="10"/>
      <c r="R9551" s="10"/>
      <c r="S9551" s="10" t="s">
        <v>53</v>
      </c>
      <c r="T9551" s="10" t="s">
        <v>54</v>
      </c>
    </row>
    <row r="9552" spans="1:20" ht="14.5" x14ac:dyDescent="0.35">
      <c r="A9552" s="10" t="s">
        <v>43028</v>
      </c>
      <c r="B9552" s="10" t="str">
        <f>"9781760460440"</f>
        <v>9781760460440</v>
      </c>
      <c r="C9552" s="10" t="str">
        <f>"9781760460457"</f>
        <v>9781760460457</v>
      </c>
      <c r="D9552" s="10" t="s">
        <v>39303</v>
      </c>
      <c r="E9552" s="10" t="s">
        <v>39304</v>
      </c>
      <c r="F9552" s="10" t="s">
        <v>643</v>
      </c>
      <c r="G9552" s="10" t="s">
        <v>12975</v>
      </c>
      <c r="H9552" s="11">
        <v>42583</v>
      </c>
      <c r="I9552" s="10">
        <v>2016</v>
      </c>
      <c r="J9552" s="10" t="s">
        <v>39304</v>
      </c>
      <c r="K9552" s="10">
        <v>228</v>
      </c>
      <c r="L9552" s="10" t="s">
        <v>43029</v>
      </c>
      <c r="M9552" s="10">
        <v>1</v>
      </c>
      <c r="N9552" s="10"/>
      <c r="O9552" s="10"/>
      <c r="P9552" s="10" t="s">
        <v>43030</v>
      </c>
      <c r="Q9552" s="10">
        <v>371.20099399999901</v>
      </c>
      <c r="R9552" s="10" t="s">
        <v>43031</v>
      </c>
      <c r="S9552" s="10" t="s">
        <v>53</v>
      </c>
      <c r="T9552" s="10" t="s">
        <v>54</v>
      </c>
    </row>
    <row r="9553" spans="1:20" ht="14.5" x14ac:dyDescent="0.35">
      <c r="A9553" s="10" t="s">
        <v>43032</v>
      </c>
      <c r="B9553" s="10" t="str">
        <f>"9781605544571"</f>
        <v>9781605544571</v>
      </c>
      <c r="C9553" s="10" t="str">
        <f>"9781605544588"</f>
        <v>9781605544588</v>
      </c>
      <c r="D9553" s="10" t="s">
        <v>9533</v>
      </c>
      <c r="E9553" s="10" t="s">
        <v>25518</v>
      </c>
      <c r="F9553" s="10" t="s">
        <v>25348</v>
      </c>
      <c r="G9553" s="10" t="s">
        <v>6317</v>
      </c>
      <c r="H9553" s="11">
        <v>42653</v>
      </c>
      <c r="I9553" s="10">
        <v>2017</v>
      </c>
      <c r="J9553" s="10" t="s">
        <v>25518</v>
      </c>
      <c r="K9553" s="10">
        <v>247</v>
      </c>
      <c r="L9553" s="10" t="s">
        <v>43033</v>
      </c>
      <c r="M9553" s="10">
        <v>1</v>
      </c>
      <c r="N9553" s="10"/>
      <c r="O9553" s="10"/>
      <c r="P9553" s="10" t="s">
        <v>43034</v>
      </c>
      <c r="Q9553" s="10">
        <v>372.5</v>
      </c>
      <c r="R9553" s="10" t="s">
        <v>43035</v>
      </c>
      <c r="S9553" s="10" t="s">
        <v>53</v>
      </c>
      <c r="T9553" s="10" t="s">
        <v>54</v>
      </c>
    </row>
    <row r="9554" spans="1:20" ht="14.5" x14ac:dyDescent="0.35">
      <c r="A9554" s="10" t="s">
        <v>43036</v>
      </c>
      <c r="B9554" s="10" t="str">
        <f>"9781118998236"</f>
        <v>9781118998236</v>
      </c>
      <c r="C9554" s="10" t="str">
        <f>"9781118998229"</f>
        <v>9781118998229</v>
      </c>
      <c r="D9554" s="10" t="s">
        <v>6322</v>
      </c>
      <c r="E9554" s="10" t="s">
        <v>6323</v>
      </c>
      <c r="F9554" s="10" t="s">
        <v>4423</v>
      </c>
      <c r="G9554" s="10" t="s">
        <v>6317</v>
      </c>
      <c r="H9554" s="11">
        <v>42639</v>
      </c>
      <c r="I9554" s="10">
        <v>2017</v>
      </c>
      <c r="J9554" s="10" t="s">
        <v>6323</v>
      </c>
      <c r="K9554" s="10">
        <v>314</v>
      </c>
      <c r="L9554" s="10" t="s">
        <v>43037</v>
      </c>
      <c r="M9554" s="10">
        <v>1</v>
      </c>
      <c r="N9554" s="10" t="s">
        <v>43038</v>
      </c>
      <c r="O9554" s="10"/>
      <c r="P9554" s="10"/>
      <c r="Q9554" s="10">
        <v>370.72699999999998</v>
      </c>
      <c r="R9554" s="10" t="s">
        <v>43039</v>
      </c>
      <c r="S9554" s="10" t="s">
        <v>53</v>
      </c>
      <c r="T9554" s="10" t="s">
        <v>54</v>
      </c>
    </row>
    <row r="9555" spans="1:20" ht="14.5" x14ac:dyDescent="0.35">
      <c r="A9555" s="10" t="s">
        <v>43040</v>
      </c>
      <c r="B9555" s="10" t="str">
        <f>"9789463005449"</f>
        <v>9789463005449</v>
      </c>
      <c r="C9555" s="10" t="str">
        <f>"9789463005463"</f>
        <v>9789463005463</v>
      </c>
      <c r="D9555" s="10" t="s">
        <v>8564</v>
      </c>
      <c r="E9555" s="10" t="s">
        <v>13067</v>
      </c>
      <c r="F9555" s="10" t="s">
        <v>33250</v>
      </c>
      <c r="G9555" s="10" t="s">
        <v>9233</v>
      </c>
      <c r="H9555" s="11">
        <v>42370</v>
      </c>
      <c r="I9555" s="10">
        <v>2016</v>
      </c>
      <c r="J9555" s="10" t="s">
        <v>13067</v>
      </c>
      <c r="K9555" s="10">
        <v>142</v>
      </c>
      <c r="L9555" s="10" t="s">
        <v>43041</v>
      </c>
      <c r="M9555" s="10">
        <v>1</v>
      </c>
      <c r="N9555" s="10" t="s">
        <v>33419</v>
      </c>
      <c r="O9555" s="10">
        <v>69</v>
      </c>
      <c r="P9555" s="10" t="s">
        <v>19534</v>
      </c>
      <c r="Q9555" s="10"/>
      <c r="R9555" s="10"/>
      <c r="S9555" s="10" t="s">
        <v>53</v>
      </c>
      <c r="T9555" s="10" t="s">
        <v>54</v>
      </c>
    </row>
    <row r="9556" spans="1:20" ht="14.5" x14ac:dyDescent="0.35">
      <c r="A9556" s="10" t="s">
        <v>43042</v>
      </c>
      <c r="B9556" s="10" t="str">
        <f>"9781475822595"</f>
        <v>9781475822595</v>
      </c>
      <c r="C9556" s="10" t="str">
        <f>"9781475822618"</f>
        <v>9781475822618</v>
      </c>
      <c r="D9556" s="10" t="s">
        <v>9752</v>
      </c>
      <c r="E9556" s="10" t="s">
        <v>15187</v>
      </c>
      <c r="F9556" s="10" t="s">
        <v>9754</v>
      </c>
      <c r="G9556" s="10" t="s">
        <v>6317</v>
      </c>
      <c r="H9556" s="11">
        <v>42635</v>
      </c>
      <c r="I9556" s="10">
        <v>2016</v>
      </c>
      <c r="J9556" s="10" t="s">
        <v>15187</v>
      </c>
      <c r="K9556" s="10">
        <v>99</v>
      </c>
      <c r="L9556" s="10" t="s">
        <v>31591</v>
      </c>
      <c r="M9556" s="10">
        <v>1</v>
      </c>
      <c r="N9556" s="10"/>
      <c r="O9556" s="10"/>
      <c r="P9556" s="10" t="s">
        <v>43043</v>
      </c>
      <c r="Q9556" s="10" t="s">
        <v>18116</v>
      </c>
      <c r="R9556" s="10" t="s">
        <v>16655</v>
      </c>
      <c r="S9556" s="10" t="s">
        <v>53</v>
      </c>
      <c r="T9556" s="10" t="s">
        <v>54</v>
      </c>
    </row>
    <row r="9557" spans="1:20" ht="14.5" x14ac:dyDescent="0.35">
      <c r="A9557" s="10" t="s">
        <v>43044</v>
      </c>
      <c r="B9557" s="10" t="str">
        <f>"9781501700217"</f>
        <v>9781501700217</v>
      </c>
      <c r="C9557" s="10" t="str">
        <f>"9781501703416"</f>
        <v>9781501703416</v>
      </c>
      <c r="D9557" s="10" t="s">
        <v>9533</v>
      </c>
      <c r="E9557" s="10" t="s">
        <v>5258</v>
      </c>
      <c r="F9557" s="10" t="s">
        <v>2536</v>
      </c>
      <c r="G9557" s="10" t="s">
        <v>6317</v>
      </c>
      <c r="H9557" s="11">
        <v>42382</v>
      </c>
      <c r="I9557" s="10">
        <v>2017</v>
      </c>
      <c r="J9557" s="10" t="s">
        <v>5258</v>
      </c>
      <c r="K9557" s="10">
        <v>356</v>
      </c>
      <c r="L9557" s="10" t="s">
        <v>43045</v>
      </c>
      <c r="M9557" s="10">
        <v>1</v>
      </c>
      <c r="N9557" s="10"/>
      <c r="O9557" s="10"/>
      <c r="P9557" s="10" t="s">
        <v>30305</v>
      </c>
      <c r="Q9557" s="10">
        <v>306.43</v>
      </c>
      <c r="R9557" s="10" t="s">
        <v>43046</v>
      </c>
      <c r="S9557" s="10" t="s">
        <v>53</v>
      </c>
      <c r="T9557" s="10" t="s">
        <v>6472</v>
      </c>
    </row>
    <row r="9558" spans="1:20" ht="14.5" x14ac:dyDescent="0.35">
      <c r="A9558" s="10" t="s">
        <v>43047</v>
      </c>
      <c r="B9558" s="10" t="str">
        <f>"9781416622383"</f>
        <v>9781416622383</v>
      </c>
      <c r="C9558" s="10" t="str">
        <f>"9781416622406"</f>
        <v>9781416622406</v>
      </c>
      <c r="D9558" s="10" t="s">
        <v>10014</v>
      </c>
      <c r="E9558" s="10" t="s">
        <v>10015</v>
      </c>
      <c r="F9558" s="10" t="s">
        <v>201</v>
      </c>
      <c r="G9558" s="10" t="s">
        <v>6317</v>
      </c>
      <c r="H9558" s="11">
        <v>42612</v>
      </c>
      <c r="I9558" s="10">
        <v>2016</v>
      </c>
      <c r="J9558" s="10" t="s">
        <v>10015</v>
      </c>
      <c r="K9558" s="10">
        <v>182</v>
      </c>
      <c r="L9558" s="10" t="s">
        <v>43048</v>
      </c>
      <c r="M9558" s="10">
        <v>1</v>
      </c>
      <c r="N9558" s="10"/>
      <c r="O9558" s="10"/>
      <c r="P9558" s="10" t="s">
        <v>43049</v>
      </c>
      <c r="Q9558" s="10">
        <v>371.82693999999998</v>
      </c>
      <c r="R9558" s="10"/>
      <c r="S9558" s="10" t="s">
        <v>53</v>
      </c>
      <c r="T9558" s="10" t="s">
        <v>54</v>
      </c>
    </row>
    <row r="9559" spans="1:20" ht="14.5" x14ac:dyDescent="0.35">
      <c r="A9559" s="10" t="s">
        <v>43050</v>
      </c>
      <c r="B9559" s="10" t="str">
        <f>"9781416622512"</f>
        <v>9781416622512</v>
      </c>
      <c r="C9559" s="10" t="str">
        <f>"9781416622536"</f>
        <v>9781416622536</v>
      </c>
      <c r="D9559" s="10" t="s">
        <v>10014</v>
      </c>
      <c r="E9559" s="10" t="s">
        <v>10015</v>
      </c>
      <c r="F9559" s="10" t="s">
        <v>201</v>
      </c>
      <c r="G9559" s="10" t="s">
        <v>6317</v>
      </c>
      <c r="H9559" s="11">
        <v>42612</v>
      </c>
      <c r="I9559" s="10">
        <v>2016</v>
      </c>
      <c r="J9559" s="10" t="s">
        <v>10015</v>
      </c>
      <c r="K9559" s="10">
        <v>153</v>
      </c>
      <c r="L9559" s="10" t="s">
        <v>43051</v>
      </c>
      <c r="M9559" s="10">
        <v>1</v>
      </c>
      <c r="N9559" s="10"/>
      <c r="O9559" s="10"/>
      <c r="P9559" s="10"/>
      <c r="Q9559" s="10"/>
      <c r="R9559" s="10"/>
      <c r="S9559" s="10" t="s">
        <v>53</v>
      </c>
      <c r="T9559" s="10" t="s">
        <v>54</v>
      </c>
    </row>
    <row r="9560" spans="1:20" ht="14.5" x14ac:dyDescent="0.35">
      <c r="A9560" s="10" t="s">
        <v>43052</v>
      </c>
      <c r="B9560" s="10" t="str">
        <f>"9781416622635"</f>
        <v>9781416622635</v>
      </c>
      <c r="C9560" s="10" t="str">
        <f>"9781416622659"</f>
        <v>9781416622659</v>
      </c>
      <c r="D9560" s="10" t="s">
        <v>10014</v>
      </c>
      <c r="E9560" s="10" t="s">
        <v>10015</v>
      </c>
      <c r="F9560" s="10" t="s">
        <v>201</v>
      </c>
      <c r="G9560" s="10" t="s">
        <v>6317</v>
      </c>
      <c r="H9560" s="11">
        <v>42612</v>
      </c>
      <c r="I9560" s="10">
        <v>2016</v>
      </c>
      <c r="J9560" s="10" t="s">
        <v>10015</v>
      </c>
      <c r="K9560" s="10">
        <v>173</v>
      </c>
      <c r="L9560" s="10" t="s">
        <v>15782</v>
      </c>
      <c r="M9560" s="10">
        <v>1</v>
      </c>
      <c r="N9560" s="10"/>
      <c r="O9560" s="10"/>
      <c r="P9560" s="10"/>
      <c r="Q9560" s="10"/>
      <c r="R9560" s="10"/>
      <c r="S9560" s="10" t="s">
        <v>53</v>
      </c>
      <c r="T9560" s="10" t="s">
        <v>54</v>
      </c>
    </row>
    <row r="9561" spans="1:20" ht="14.5" x14ac:dyDescent="0.35">
      <c r="A9561" s="10" t="s">
        <v>43053</v>
      </c>
      <c r="B9561" s="10" t="str">
        <f>"9781620363751"</f>
        <v>9781620363751</v>
      </c>
      <c r="C9561" s="10" t="str">
        <f>"9781000974966"</f>
        <v>9781000974966</v>
      </c>
      <c r="D9561" s="10" t="s">
        <v>6350</v>
      </c>
      <c r="E9561" s="10" t="s">
        <v>6351</v>
      </c>
      <c r="F9561" s="10" t="s">
        <v>748</v>
      </c>
      <c r="G9561" s="10" t="s">
        <v>6352</v>
      </c>
      <c r="H9561" s="11">
        <v>42620</v>
      </c>
      <c r="I9561" s="10">
        <v>2016</v>
      </c>
      <c r="J9561" s="10" t="s">
        <v>6351</v>
      </c>
      <c r="K9561" s="10">
        <v>278</v>
      </c>
      <c r="L9561" s="10" t="s">
        <v>43054</v>
      </c>
      <c r="M9561" s="10">
        <v>1</v>
      </c>
      <c r="N9561" s="10"/>
      <c r="O9561" s="10"/>
      <c r="P9561" s="10" t="s">
        <v>43055</v>
      </c>
      <c r="Q9561" s="10">
        <v>378.00799999999998</v>
      </c>
      <c r="R9561" s="10" t="s">
        <v>43056</v>
      </c>
      <c r="S9561" s="10" t="s">
        <v>53</v>
      </c>
      <c r="T9561" s="10" t="s">
        <v>54</v>
      </c>
    </row>
    <row r="9562" spans="1:20" ht="14.5" x14ac:dyDescent="0.35">
      <c r="A9562" s="10" t="s">
        <v>43057</v>
      </c>
      <c r="B9562" s="10" t="str">
        <f>"9781598577358"</f>
        <v>9781598577358</v>
      </c>
      <c r="C9562" s="10" t="str">
        <f>"9781681251141"</f>
        <v>9781681251141</v>
      </c>
      <c r="D9562" s="10" t="s">
        <v>28876</v>
      </c>
      <c r="E9562" s="10" t="s">
        <v>28877</v>
      </c>
      <c r="F9562" s="10" t="s">
        <v>885</v>
      </c>
      <c r="G9562" s="10" t="s">
        <v>6317</v>
      </c>
      <c r="H9562" s="11">
        <v>42491</v>
      </c>
      <c r="I9562" s="10">
        <v>2016</v>
      </c>
      <c r="J9562" s="10" t="s">
        <v>28877</v>
      </c>
      <c r="K9562" s="10">
        <v>209</v>
      </c>
      <c r="L9562" s="10" t="s">
        <v>43058</v>
      </c>
      <c r="M9562" s="10">
        <v>1</v>
      </c>
      <c r="N9562" s="10"/>
      <c r="O9562" s="10"/>
      <c r="P9562" s="10" t="s">
        <v>43059</v>
      </c>
      <c r="Q9562" s="10">
        <v>371.9</v>
      </c>
      <c r="R9562" s="10" t="s">
        <v>43060</v>
      </c>
      <c r="S9562" s="10" t="s">
        <v>53</v>
      </c>
      <c r="T9562" s="10" t="s">
        <v>54</v>
      </c>
    </row>
    <row r="9563" spans="1:20" ht="14.5" x14ac:dyDescent="0.35">
      <c r="A9563" s="10" t="s">
        <v>43061</v>
      </c>
      <c r="B9563" s="10" t="str">
        <f>"9781475824636"</f>
        <v>9781475824636</v>
      </c>
      <c r="C9563" s="10" t="str">
        <f>"9781475824650"</f>
        <v>9781475824650</v>
      </c>
      <c r="D9563" s="10" t="s">
        <v>9752</v>
      </c>
      <c r="E9563" s="10" t="s">
        <v>15187</v>
      </c>
      <c r="F9563" s="10" t="s">
        <v>9754</v>
      </c>
      <c r="G9563" s="10" t="s">
        <v>6317</v>
      </c>
      <c r="H9563" s="11">
        <v>42569</v>
      </c>
      <c r="I9563" s="10">
        <v>2016</v>
      </c>
      <c r="J9563" s="10" t="s">
        <v>15187</v>
      </c>
      <c r="K9563" s="10">
        <v>237</v>
      </c>
      <c r="L9563" s="10" t="s">
        <v>43062</v>
      </c>
      <c r="M9563" s="10">
        <v>2</v>
      </c>
      <c r="N9563" s="10"/>
      <c r="O9563" s="10"/>
      <c r="P9563" s="10" t="s">
        <v>43063</v>
      </c>
      <c r="Q9563" s="10">
        <v>373.11020000000002</v>
      </c>
      <c r="R9563" s="10" t="s">
        <v>43064</v>
      </c>
      <c r="S9563" s="10" t="s">
        <v>53</v>
      </c>
      <c r="T9563" s="10" t="s">
        <v>54</v>
      </c>
    </row>
    <row r="9564" spans="1:20" ht="14.5" x14ac:dyDescent="0.35">
      <c r="A9564" s="10" t="s">
        <v>43065</v>
      </c>
      <c r="B9564" s="10" t="str">
        <f>"9781475828504"</f>
        <v>9781475828504</v>
      </c>
      <c r="C9564" s="10" t="str">
        <f>"9781475828511"</f>
        <v>9781475828511</v>
      </c>
      <c r="D9564" s="10" t="s">
        <v>9752</v>
      </c>
      <c r="E9564" s="10" t="s">
        <v>15187</v>
      </c>
      <c r="F9564" s="10" t="s">
        <v>9754</v>
      </c>
      <c r="G9564" s="10" t="s">
        <v>6317</v>
      </c>
      <c r="H9564" s="11">
        <v>42590</v>
      </c>
      <c r="I9564" s="10">
        <v>2016</v>
      </c>
      <c r="J9564" s="10" t="s">
        <v>15187</v>
      </c>
      <c r="K9564" s="10">
        <v>139</v>
      </c>
      <c r="L9564" s="10" t="s">
        <v>42825</v>
      </c>
      <c r="M9564" s="10">
        <v>1</v>
      </c>
      <c r="N9564" s="10"/>
      <c r="O9564" s="10"/>
      <c r="P9564" s="10" t="s">
        <v>43066</v>
      </c>
      <c r="Q9564" s="10">
        <v>371.33</v>
      </c>
      <c r="R9564" s="10" t="s">
        <v>43067</v>
      </c>
      <c r="S9564" s="10" t="s">
        <v>53</v>
      </c>
      <c r="T9564" s="10" t="s">
        <v>54</v>
      </c>
    </row>
    <row r="9565" spans="1:20" ht="14.5" x14ac:dyDescent="0.35">
      <c r="A9565" s="10" t="s">
        <v>43068</v>
      </c>
      <c r="B9565" s="10" t="str">
        <f>""</f>
        <v/>
      </c>
      <c r="C9565" s="10" t="str">
        <f>"9781785380624"</f>
        <v>9781785380624</v>
      </c>
      <c r="D9565" s="10" t="s">
        <v>19500</v>
      </c>
      <c r="E9565" s="10" t="s">
        <v>19501</v>
      </c>
      <c r="F9565" s="10" t="s">
        <v>20587</v>
      </c>
      <c r="G9565" s="10" t="s">
        <v>6352</v>
      </c>
      <c r="H9565" s="11">
        <v>41968</v>
      </c>
      <c r="I9565" s="10">
        <v>2014</v>
      </c>
      <c r="J9565" s="10" t="s">
        <v>43069</v>
      </c>
      <c r="K9565" s="10">
        <v>64</v>
      </c>
      <c r="L9565" s="10" t="s">
        <v>43070</v>
      </c>
      <c r="M9565" s="10">
        <v>1</v>
      </c>
      <c r="N9565" s="10"/>
      <c r="O9565" s="10"/>
      <c r="P9565" s="10" t="s">
        <v>43071</v>
      </c>
      <c r="Q9565" s="10">
        <v>790.19219999999905</v>
      </c>
      <c r="R9565" s="10" t="s">
        <v>43072</v>
      </c>
      <c r="S9565" s="10" t="s">
        <v>53</v>
      </c>
      <c r="T9565" s="10" t="s">
        <v>43073</v>
      </c>
    </row>
    <row r="9566" spans="1:20" ht="14.5" x14ac:dyDescent="0.35">
      <c r="A9566" s="10" t="s">
        <v>43074</v>
      </c>
      <c r="B9566" s="10" t="str">
        <f>"9782806278944"</f>
        <v>9782806278944</v>
      </c>
      <c r="C9566" s="10" t="str">
        <f>"9782806278937"</f>
        <v>9782806278937</v>
      </c>
      <c r="D9566" s="10" t="s">
        <v>29172</v>
      </c>
      <c r="E9566" s="10" t="s">
        <v>29173</v>
      </c>
      <c r="F9566" s="10" t="s">
        <v>29181</v>
      </c>
      <c r="G9566" s="10" t="s">
        <v>28737</v>
      </c>
      <c r="H9566" s="11">
        <v>42591</v>
      </c>
      <c r="I9566" s="10">
        <v>2016</v>
      </c>
      <c r="J9566" s="10" t="s">
        <v>29175</v>
      </c>
      <c r="K9566" s="10">
        <v>30</v>
      </c>
      <c r="L9566" s="10" t="s">
        <v>43075</v>
      </c>
      <c r="M9566" s="10">
        <v>1</v>
      </c>
      <c r="N9566" s="10" t="s">
        <v>29177</v>
      </c>
      <c r="O9566" s="10"/>
      <c r="P9566" s="10"/>
      <c r="Q9566" s="10"/>
      <c r="R9566" s="10"/>
      <c r="S9566" s="10" t="s">
        <v>5404</v>
      </c>
      <c r="T9566" s="10" t="s">
        <v>29186</v>
      </c>
    </row>
    <row r="9567" spans="1:20" ht="14.5" x14ac:dyDescent="0.35">
      <c r="A9567" s="10" t="s">
        <v>43076</v>
      </c>
      <c r="B9567" s="10" t="str">
        <f>"9782806280107"</f>
        <v>9782806280107</v>
      </c>
      <c r="C9567" s="10" t="str">
        <f>"9782806280091"</f>
        <v>9782806280091</v>
      </c>
      <c r="D9567" s="10" t="s">
        <v>29172</v>
      </c>
      <c r="E9567" s="10" t="s">
        <v>29173</v>
      </c>
      <c r="F9567" s="10" t="s">
        <v>29181</v>
      </c>
      <c r="G9567" s="10" t="s">
        <v>28737</v>
      </c>
      <c r="H9567" s="11">
        <v>42591</v>
      </c>
      <c r="I9567" s="10">
        <v>2016</v>
      </c>
      <c r="J9567" s="10" t="s">
        <v>29175</v>
      </c>
      <c r="K9567" s="10">
        <v>28</v>
      </c>
      <c r="L9567" s="10" t="s">
        <v>41621</v>
      </c>
      <c r="M9567" s="10">
        <v>1</v>
      </c>
      <c r="N9567" s="10" t="s">
        <v>29177</v>
      </c>
      <c r="O9567" s="10"/>
      <c r="P9567" s="10"/>
      <c r="Q9567" s="10"/>
      <c r="R9567" s="10"/>
      <c r="S9567" s="10" t="s">
        <v>5404</v>
      </c>
      <c r="T9567" s="10" t="s">
        <v>29186</v>
      </c>
    </row>
    <row r="9568" spans="1:20" ht="14.5" x14ac:dyDescent="0.35">
      <c r="A9568" s="10" t="s">
        <v>43077</v>
      </c>
      <c r="B9568" s="10" t="str">
        <f>""</f>
        <v/>
      </c>
      <c r="C9568" s="10" t="str">
        <f>"9781910391617"</f>
        <v>9781910391617</v>
      </c>
      <c r="D9568" s="10" t="s">
        <v>9533</v>
      </c>
      <c r="E9568" s="10" t="s">
        <v>26840</v>
      </c>
      <c r="F9568" s="10" t="s">
        <v>26841</v>
      </c>
      <c r="G9568" s="10" t="s">
        <v>6352</v>
      </c>
      <c r="H9568" s="11">
        <v>42437</v>
      </c>
      <c r="I9568" s="10">
        <v>2016</v>
      </c>
      <c r="J9568" s="10" t="s">
        <v>26840</v>
      </c>
      <c r="K9568" s="10">
        <v>122</v>
      </c>
      <c r="L9568" s="10" t="s">
        <v>43078</v>
      </c>
      <c r="M9568" s="10">
        <v>1</v>
      </c>
      <c r="N9568" s="10" t="s">
        <v>26843</v>
      </c>
      <c r="O9568" s="10"/>
      <c r="P9568" s="10" t="s">
        <v>43079</v>
      </c>
      <c r="Q9568" s="10"/>
      <c r="R9568" s="10" t="s">
        <v>43080</v>
      </c>
      <c r="S9568" s="10" t="s">
        <v>53</v>
      </c>
      <c r="T9568" s="10" t="s">
        <v>54</v>
      </c>
    </row>
    <row r="9569" spans="1:20" ht="14.5" x14ac:dyDescent="0.35">
      <c r="A9569" s="10" t="s">
        <v>43081</v>
      </c>
      <c r="B9569" s="10" t="str">
        <f>"9781884585494"</f>
        <v>9781884585494</v>
      </c>
      <c r="C9569" s="10" t="str">
        <f>"9781351971041"</f>
        <v>9781351971041</v>
      </c>
      <c r="D9569" s="10" t="s">
        <v>6350</v>
      </c>
      <c r="E9569" s="10" t="s">
        <v>6351</v>
      </c>
      <c r="F9569" s="10" t="s">
        <v>748</v>
      </c>
      <c r="G9569" s="10" t="s">
        <v>6352</v>
      </c>
      <c r="H9569" s="11">
        <v>37622</v>
      </c>
      <c r="I9569" s="10">
        <v>2003</v>
      </c>
      <c r="J9569" s="10" t="s">
        <v>6351</v>
      </c>
      <c r="K9569" s="10">
        <v>353</v>
      </c>
      <c r="L9569" s="10" t="s">
        <v>43082</v>
      </c>
      <c r="M9569" s="10">
        <v>1</v>
      </c>
      <c r="N9569" s="10"/>
      <c r="O9569" s="10"/>
      <c r="P9569" s="10" t="s">
        <v>43083</v>
      </c>
      <c r="Q9569" s="10">
        <v>371.26</v>
      </c>
      <c r="R9569" s="10" t="s">
        <v>6755</v>
      </c>
      <c r="S9569" s="10" t="s">
        <v>53</v>
      </c>
      <c r="T9569" s="10" t="s">
        <v>54</v>
      </c>
    </row>
    <row r="9570" spans="1:20" ht="14.5" x14ac:dyDescent="0.35">
      <c r="A9570" s="10" t="s">
        <v>43084</v>
      </c>
      <c r="B9570" s="10" t="str">
        <f>"9781138907430"</f>
        <v>9781138907430</v>
      </c>
      <c r="C9570" s="10" t="str">
        <f>"9781315519005"</f>
        <v>9781315519005</v>
      </c>
      <c r="D9570" s="10" t="s">
        <v>6350</v>
      </c>
      <c r="E9570" s="10" t="s">
        <v>6351</v>
      </c>
      <c r="F9570" s="10" t="s">
        <v>139</v>
      </c>
      <c r="G9570" s="10" t="s">
        <v>6352</v>
      </c>
      <c r="H9570" s="11">
        <v>42632</v>
      </c>
      <c r="I9570" s="10">
        <v>2017</v>
      </c>
      <c r="J9570" s="10" t="s">
        <v>6353</v>
      </c>
      <c r="K9570" s="10">
        <v>232</v>
      </c>
      <c r="L9570" s="10" t="s">
        <v>43085</v>
      </c>
      <c r="M9570" s="10">
        <v>1</v>
      </c>
      <c r="N9570" s="10"/>
      <c r="O9570" s="10"/>
      <c r="P9570" s="10" t="s">
        <v>43086</v>
      </c>
      <c r="Q9570" s="10">
        <v>428.24</v>
      </c>
      <c r="R9570" s="10" t="s">
        <v>43087</v>
      </c>
      <c r="S9570" s="10" t="s">
        <v>53</v>
      </c>
      <c r="T9570" s="10" t="s">
        <v>6616</v>
      </c>
    </row>
    <row r="9571" spans="1:20" ht="14.5" x14ac:dyDescent="0.35">
      <c r="A9571" s="10" t="s">
        <v>43088</v>
      </c>
      <c r="B9571" s="10" t="str">
        <f>"9781475826272"</f>
        <v>9781475826272</v>
      </c>
      <c r="C9571" s="10" t="str">
        <f>"9781475826289"</f>
        <v>9781475826289</v>
      </c>
      <c r="D9571" s="10" t="s">
        <v>9752</v>
      </c>
      <c r="E9571" s="10" t="s">
        <v>15187</v>
      </c>
      <c r="F9571" s="10" t="s">
        <v>9754</v>
      </c>
      <c r="G9571" s="10" t="s">
        <v>6317</v>
      </c>
      <c r="H9571" s="11">
        <v>42625</v>
      </c>
      <c r="I9571" s="10">
        <v>2016</v>
      </c>
      <c r="J9571" s="10" t="s">
        <v>15187</v>
      </c>
      <c r="K9571" s="10">
        <v>223</v>
      </c>
      <c r="L9571" s="10" t="s">
        <v>42813</v>
      </c>
      <c r="M9571" s="10">
        <v>1</v>
      </c>
      <c r="N9571" s="10" t="s">
        <v>42814</v>
      </c>
      <c r="O9571" s="10"/>
      <c r="P9571" s="10" t="s">
        <v>43089</v>
      </c>
      <c r="Q9571" s="10">
        <v>428.24</v>
      </c>
      <c r="R9571" s="10" t="s">
        <v>31494</v>
      </c>
      <c r="S9571" s="10" t="s">
        <v>53</v>
      </c>
      <c r="T9571" s="10" t="s">
        <v>6616</v>
      </c>
    </row>
    <row r="9572" spans="1:20" ht="14.5" x14ac:dyDescent="0.35">
      <c r="A9572" s="10" t="s">
        <v>43090</v>
      </c>
      <c r="B9572" s="10" t="str">
        <f>"9781475826302"</f>
        <v>9781475826302</v>
      </c>
      <c r="C9572" s="10" t="str">
        <f>"9781475826319"</f>
        <v>9781475826319</v>
      </c>
      <c r="D9572" s="10" t="s">
        <v>9752</v>
      </c>
      <c r="E9572" s="10" t="s">
        <v>15187</v>
      </c>
      <c r="F9572" s="10" t="s">
        <v>9754</v>
      </c>
      <c r="G9572" s="10" t="s">
        <v>6317</v>
      </c>
      <c r="H9572" s="11">
        <v>42626</v>
      </c>
      <c r="I9572" s="10">
        <v>2016</v>
      </c>
      <c r="J9572" s="10" t="s">
        <v>15187</v>
      </c>
      <c r="K9572" s="10">
        <v>101</v>
      </c>
      <c r="L9572" s="10" t="s">
        <v>42813</v>
      </c>
      <c r="M9572" s="10">
        <v>1</v>
      </c>
      <c r="N9572" s="10" t="s">
        <v>42814</v>
      </c>
      <c r="O9572" s="10"/>
      <c r="P9572" s="10" t="s">
        <v>43091</v>
      </c>
      <c r="Q9572" s="10">
        <v>428.24</v>
      </c>
      <c r="R9572" s="10" t="s">
        <v>42815</v>
      </c>
      <c r="S9572" s="10" t="s">
        <v>53</v>
      </c>
      <c r="T9572" s="10" t="s">
        <v>6616</v>
      </c>
    </row>
    <row r="9573" spans="1:20" ht="14.5" x14ac:dyDescent="0.35">
      <c r="A9573" s="10" t="s">
        <v>43092</v>
      </c>
      <c r="B9573" s="10" t="str">
        <f>"9781119049593"</f>
        <v>9781119049593</v>
      </c>
      <c r="C9573" s="10" t="str">
        <f>"9781119051244"</f>
        <v>9781119051244</v>
      </c>
      <c r="D9573" s="10" t="s">
        <v>6322</v>
      </c>
      <c r="E9573" s="10" t="s">
        <v>6323</v>
      </c>
      <c r="F9573" s="10" t="s">
        <v>4423</v>
      </c>
      <c r="G9573" s="10" t="s">
        <v>6317</v>
      </c>
      <c r="H9573" s="11">
        <v>42667</v>
      </c>
      <c r="I9573" s="10">
        <v>2017</v>
      </c>
      <c r="J9573" s="10" t="s">
        <v>6324</v>
      </c>
      <c r="K9573" s="10">
        <v>643</v>
      </c>
      <c r="L9573" s="10" t="s">
        <v>43093</v>
      </c>
      <c r="M9573" s="10">
        <v>6</v>
      </c>
      <c r="N9573" s="10"/>
      <c r="O9573" s="10"/>
      <c r="P9573" s="10"/>
      <c r="Q9573" s="10" t="s">
        <v>16871</v>
      </c>
      <c r="R9573" s="10" t="s">
        <v>43094</v>
      </c>
      <c r="S9573" s="10" t="s">
        <v>53</v>
      </c>
      <c r="T9573" s="10" t="s">
        <v>54</v>
      </c>
    </row>
    <row r="9574" spans="1:20" ht="14.5" x14ac:dyDescent="0.35">
      <c r="A9574" s="10" t="s">
        <v>43095</v>
      </c>
      <c r="B9574" s="10" t="str">
        <f>"9781681236049"</f>
        <v>9781681236049</v>
      </c>
      <c r="C9574" s="10" t="str">
        <f>"9781681236063"</f>
        <v>9781681236063</v>
      </c>
      <c r="D9574" s="10" t="s">
        <v>274</v>
      </c>
      <c r="E9574" s="10" t="s">
        <v>35170</v>
      </c>
      <c r="F9574" s="10" t="s">
        <v>35171</v>
      </c>
      <c r="G9574" s="10" t="s">
        <v>6317</v>
      </c>
      <c r="H9574" s="11">
        <v>42736</v>
      </c>
      <c r="I9574" s="10">
        <v>2016</v>
      </c>
      <c r="J9574" s="10" t="s">
        <v>35170</v>
      </c>
      <c r="K9574" s="10">
        <v>377</v>
      </c>
      <c r="L9574" s="10" t="s">
        <v>43096</v>
      </c>
      <c r="M9574" s="10">
        <v>1</v>
      </c>
      <c r="N9574" s="10" t="s">
        <v>43097</v>
      </c>
      <c r="O9574" s="10"/>
      <c r="P9574" s="10"/>
      <c r="Q9574" s="10"/>
      <c r="R9574" s="10"/>
      <c r="S9574" s="10" t="s">
        <v>53</v>
      </c>
      <c r="T9574" s="10" t="s">
        <v>54</v>
      </c>
    </row>
    <row r="9575" spans="1:20" ht="14.5" x14ac:dyDescent="0.35">
      <c r="A9575" s="10" t="s">
        <v>43098</v>
      </c>
      <c r="B9575" s="10" t="str">
        <f>"9781681235691"</f>
        <v>9781681235691</v>
      </c>
      <c r="C9575" s="10" t="str">
        <f>"9781681235714"</f>
        <v>9781681235714</v>
      </c>
      <c r="D9575" s="10" t="s">
        <v>274</v>
      </c>
      <c r="E9575" s="10" t="s">
        <v>35170</v>
      </c>
      <c r="F9575" s="10" t="s">
        <v>35171</v>
      </c>
      <c r="G9575" s="10" t="s">
        <v>6317</v>
      </c>
      <c r="H9575" s="11">
        <v>42736</v>
      </c>
      <c r="I9575" s="10">
        <v>2016</v>
      </c>
      <c r="J9575" s="10" t="s">
        <v>35170</v>
      </c>
      <c r="K9575" s="10">
        <v>471</v>
      </c>
      <c r="L9575" s="10" t="s">
        <v>43099</v>
      </c>
      <c r="M9575" s="10">
        <v>1</v>
      </c>
      <c r="N9575" s="10" t="s">
        <v>35267</v>
      </c>
      <c r="O9575" s="10"/>
      <c r="P9575" s="10"/>
      <c r="Q9575" s="10"/>
      <c r="R9575" s="10"/>
      <c r="S9575" s="10" t="s">
        <v>53</v>
      </c>
      <c r="T9575" s="10" t="s">
        <v>54</v>
      </c>
    </row>
    <row r="9576" spans="1:20" ht="14.5" x14ac:dyDescent="0.35">
      <c r="A9576" s="10" t="s">
        <v>43100</v>
      </c>
      <c r="B9576" s="10" t="str">
        <f>"9781501510731"</f>
        <v>9781501510731</v>
      </c>
      <c r="C9576" s="10" t="str">
        <f>"9781501502446"</f>
        <v>9781501502446</v>
      </c>
      <c r="D9576" s="10" t="s">
        <v>9995</v>
      </c>
      <c r="E9576" s="10" t="s">
        <v>9996</v>
      </c>
      <c r="F9576" s="10" t="s">
        <v>1420</v>
      </c>
      <c r="G9576" s="10" t="s">
        <v>9998</v>
      </c>
      <c r="H9576" s="11">
        <v>42625</v>
      </c>
      <c r="I9576" s="10">
        <v>2016</v>
      </c>
      <c r="J9576" s="10" t="s">
        <v>10009</v>
      </c>
      <c r="K9576" s="10">
        <v>776</v>
      </c>
      <c r="L9576" s="10" t="s">
        <v>43101</v>
      </c>
      <c r="M9576" s="10">
        <v>1</v>
      </c>
      <c r="N9576" s="10" t="s">
        <v>43102</v>
      </c>
      <c r="O9576" s="10">
        <v>16</v>
      </c>
      <c r="P9576" s="10" t="s">
        <v>43103</v>
      </c>
      <c r="Q9576" s="10" t="s">
        <v>12854</v>
      </c>
      <c r="R9576" s="10" t="s">
        <v>42765</v>
      </c>
      <c r="S9576" s="10" t="s">
        <v>53</v>
      </c>
      <c r="T9576" s="10" t="s">
        <v>54</v>
      </c>
    </row>
    <row r="9577" spans="1:20" ht="14.5" x14ac:dyDescent="0.35">
      <c r="A9577" s="10" t="s">
        <v>43104</v>
      </c>
      <c r="B9577" s="10" t="str">
        <f>"9781563248337"</f>
        <v>9781563248337</v>
      </c>
      <c r="C9577" s="10" t="str">
        <f>"9781315480190"</f>
        <v>9781315480190</v>
      </c>
      <c r="D9577" s="10" t="s">
        <v>6350</v>
      </c>
      <c r="E9577" s="10" t="s">
        <v>6351</v>
      </c>
      <c r="F9577" s="10" t="s">
        <v>5406</v>
      </c>
      <c r="G9577" s="10" t="s">
        <v>6352</v>
      </c>
      <c r="H9577" s="11">
        <v>35216</v>
      </c>
      <c r="I9577" s="10">
        <v>1996</v>
      </c>
      <c r="J9577" s="10" t="s">
        <v>6353</v>
      </c>
      <c r="K9577" s="10">
        <v>335</v>
      </c>
      <c r="L9577" s="10" t="s">
        <v>43105</v>
      </c>
      <c r="M9577" s="10">
        <v>1</v>
      </c>
      <c r="N9577" s="10"/>
      <c r="O9577" s="10"/>
      <c r="P9577" s="10" t="s">
        <v>43106</v>
      </c>
      <c r="Q9577" s="10">
        <v>378.51</v>
      </c>
      <c r="R9577" s="10" t="s">
        <v>43107</v>
      </c>
      <c r="S9577" s="10" t="s">
        <v>53</v>
      </c>
      <c r="T9577" s="10" t="s">
        <v>54</v>
      </c>
    </row>
    <row r="9578" spans="1:20" ht="14.5" x14ac:dyDescent="0.35">
      <c r="A9578" s="10" t="s">
        <v>43108</v>
      </c>
      <c r="B9578" s="10" t="str">
        <f>"9781464809088"</f>
        <v>9781464809088</v>
      </c>
      <c r="C9578" s="10" t="str">
        <f>"9781464809095"</f>
        <v>9781464809095</v>
      </c>
      <c r="D9578" s="10" t="s">
        <v>14731</v>
      </c>
      <c r="E9578" s="10" t="s">
        <v>14732</v>
      </c>
      <c r="F9578" s="10" t="s">
        <v>11765</v>
      </c>
      <c r="G9578" s="10" t="s">
        <v>6317</v>
      </c>
      <c r="H9578" s="11">
        <v>42629</v>
      </c>
      <c r="I9578" s="10">
        <v>2017</v>
      </c>
      <c r="J9578" s="10" t="s">
        <v>14732</v>
      </c>
      <c r="K9578" s="10">
        <v>163</v>
      </c>
      <c r="L9578" s="10" t="s">
        <v>43109</v>
      </c>
      <c r="M9578" s="10">
        <v>1</v>
      </c>
      <c r="N9578" s="10" t="s">
        <v>31680</v>
      </c>
      <c r="O9578" s="10"/>
      <c r="P9578" s="10" t="s">
        <v>43110</v>
      </c>
      <c r="Q9578" s="10">
        <v>650.1</v>
      </c>
      <c r="R9578" s="10" t="s">
        <v>43111</v>
      </c>
      <c r="S9578" s="10" t="s">
        <v>53</v>
      </c>
      <c r="T9578" s="10" t="s">
        <v>6660</v>
      </c>
    </row>
    <row r="9579" spans="1:20" ht="14.5" x14ac:dyDescent="0.35">
      <c r="A9579" s="10" t="s">
        <v>43112</v>
      </c>
      <c r="B9579" s="10" t="str">
        <f>"9781475827477"</f>
        <v>9781475827477</v>
      </c>
      <c r="C9579" s="10" t="str">
        <f>"9781475827491"</f>
        <v>9781475827491</v>
      </c>
      <c r="D9579" s="10" t="s">
        <v>9752</v>
      </c>
      <c r="E9579" s="10" t="s">
        <v>15187</v>
      </c>
      <c r="F9579" s="10" t="s">
        <v>9754</v>
      </c>
      <c r="G9579" s="10" t="s">
        <v>6317</v>
      </c>
      <c r="H9579" s="11">
        <v>42640</v>
      </c>
      <c r="I9579" s="10">
        <v>2016</v>
      </c>
      <c r="J9579" s="10" t="s">
        <v>15187</v>
      </c>
      <c r="K9579" s="10">
        <v>167</v>
      </c>
      <c r="L9579" s="10" t="s">
        <v>43113</v>
      </c>
      <c r="M9579" s="10">
        <v>1</v>
      </c>
      <c r="N9579" s="10"/>
      <c r="O9579" s="10"/>
      <c r="P9579" s="10" t="s">
        <v>43114</v>
      </c>
      <c r="Q9579" s="10"/>
      <c r="R9579" s="10" t="s">
        <v>4367</v>
      </c>
      <c r="S9579" s="10" t="s">
        <v>53</v>
      </c>
      <c r="T9579" s="10" t="s">
        <v>483</v>
      </c>
    </row>
    <row r="9580" spans="1:20" ht="14.5" x14ac:dyDescent="0.35">
      <c r="A9580" s="10" t="s">
        <v>43115</v>
      </c>
      <c r="B9580" s="10" t="str">
        <f>"9781620363317"</f>
        <v>9781620363317</v>
      </c>
      <c r="C9580" s="10" t="str">
        <f>"9781000973198"</f>
        <v>9781000973198</v>
      </c>
      <c r="D9580" s="10" t="s">
        <v>6350</v>
      </c>
      <c r="E9580" s="10" t="s">
        <v>6351</v>
      </c>
      <c r="F9580" s="10" t="s">
        <v>748</v>
      </c>
      <c r="G9580" s="10" t="s">
        <v>6352</v>
      </c>
      <c r="H9580" s="11">
        <v>42640</v>
      </c>
      <c r="I9580" s="10">
        <v>2016</v>
      </c>
      <c r="J9580" s="10" t="s">
        <v>6351</v>
      </c>
      <c r="K9580" s="10">
        <v>219</v>
      </c>
      <c r="L9580" s="10" t="s">
        <v>43116</v>
      </c>
      <c r="M9580" s="10">
        <v>1</v>
      </c>
      <c r="N9580" s="10"/>
      <c r="O9580" s="10"/>
      <c r="P9580" s="10" t="s">
        <v>43117</v>
      </c>
      <c r="Q9580" s="10">
        <v>378.197</v>
      </c>
      <c r="R9580" s="10" t="s">
        <v>43118</v>
      </c>
      <c r="S9580" s="10" t="s">
        <v>53</v>
      </c>
      <c r="T9580" s="10" t="s">
        <v>54</v>
      </c>
    </row>
    <row r="9581" spans="1:20" ht="14.5" x14ac:dyDescent="0.35">
      <c r="A9581" s="10" t="s">
        <v>43119</v>
      </c>
      <c r="B9581" s="10" t="str">
        <f>"9781620364796"</f>
        <v>9781620364796</v>
      </c>
      <c r="C9581" s="10" t="str">
        <f>"9781000974676"</f>
        <v>9781000974676</v>
      </c>
      <c r="D9581" s="10" t="s">
        <v>6350</v>
      </c>
      <c r="E9581" s="10" t="s">
        <v>6351</v>
      </c>
      <c r="F9581" s="10" t="s">
        <v>41227</v>
      </c>
      <c r="G9581" s="10" t="s">
        <v>6317</v>
      </c>
      <c r="H9581" s="11">
        <v>42655</v>
      </c>
      <c r="I9581" s="10">
        <v>2016</v>
      </c>
      <c r="J9581" s="10" t="s">
        <v>6353</v>
      </c>
      <c r="K9581" s="10">
        <v>116</v>
      </c>
      <c r="L9581" s="10" t="s">
        <v>43120</v>
      </c>
      <c r="M9581" s="10">
        <v>2</v>
      </c>
      <c r="N9581" s="10"/>
      <c r="O9581" s="10"/>
      <c r="P9581" s="10" t="s">
        <v>43121</v>
      </c>
      <c r="Q9581" s="10">
        <v>379.15800000000002</v>
      </c>
      <c r="R9581" s="10" t="s">
        <v>27179</v>
      </c>
      <c r="S9581" s="10" t="s">
        <v>53</v>
      </c>
      <c r="T9581" s="10" t="s">
        <v>54</v>
      </c>
    </row>
    <row r="9582" spans="1:20" ht="14.5" x14ac:dyDescent="0.35">
      <c r="A9582" s="10" t="s">
        <v>43122</v>
      </c>
      <c r="B9582" s="10" t="str">
        <f>"9781475819663"</f>
        <v>9781475819663</v>
      </c>
      <c r="C9582" s="10" t="str">
        <f>"9781475819687"</f>
        <v>9781475819687</v>
      </c>
      <c r="D9582" s="10" t="s">
        <v>9752</v>
      </c>
      <c r="E9582" s="10" t="s">
        <v>15187</v>
      </c>
      <c r="F9582" s="10" t="s">
        <v>9754</v>
      </c>
      <c r="G9582" s="10" t="s">
        <v>6317</v>
      </c>
      <c r="H9582" s="11">
        <v>42601</v>
      </c>
      <c r="I9582" s="10">
        <v>2016</v>
      </c>
      <c r="J9582" s="10" t="s">
        <v>15187</v>
      </c>
      <c r="K9582" s="10">
        <v>143</v>
      </c>
      <c r="L9582" s="10" t="s">
        <v>43123</v>
      </c>
      <c r="M9582" s="10">
        <v>1</v>
      </c>
      <c r="N9582" s="10"/>
      <c r="O9582" s="10"/>
      <c r="P9582" s="10" t="s">
        <v>43124</v>
      </c>
      <c r="Q9582" s="10">
        <v>371.20699999999999</v>
      </c>
      <c r="R9582" s="10" t="s">
        <v>43125</v>
      </c>
      <c r="S9582" s="10" t="s">
        <v>53</v>
      </c>
      <c r="T9582" s="10" t="s">
        <v>54</v>
      </c>
    </row>
    <row r="9583" spans="1:20" ht="14.5" x14ac:dyDescent="0.35">
      <c r="A9583" s="10" t="s">
        <v>43126</v>
      </c>
      <c r="B9583" s="10" t="str">
        <f>"9781475828382"</f>
        <v>9781475828382</v>
      </c>
      <c r="C9583" s="10" t="str">
        <f>"9781475828399"</f>
        <v>9781475828399</v>
      </c>
      <c r="D9583" s="10" t="s">
        <v>9752</v>
      </c>
      <c r="E9583" s="10" t="s">
        <v>15187</v>
      </c>
      <c r="F9583" s="10" t="s">
        <v>9754</v>
      </c>
      <c r="G9583" s="10" t="s">
        <v>6317</v>
      </c>
      <c r="H9583" s="11">
        <v>42598</v>
      </c>
      <c r="I9583" s="10">
        <v>2016</v>
      </c>
      <c r="J9583" s="10" t="s">
        <v>15187</v>
      </c>
      <c r="K9583" s="10">
        <v>199</v>
      </c>
      <c r="L9583" s="10" t="s">
        <v>17213</v>
      </c>
      <c r="M9583" s="10">
        <v>1</v>
      </c>
      <c r="N9583" s="10"/>
      <c r="O9583" s="10"/>
      <c r="P9583" s="10" t="s">
        <v>43127</v>
      </c>
      <c r="Q9583" s="10">
        <v>371.1</v>
      </c>
      <c r="R9583" s="10" t="s">
        <v>43128</v>
      </c>
      <c r="S9583" s="10" t="s">
        <v>53</v>
      </c>
      <c r="T9583" s="10" t="s">
        <v>54</v>
      </c>
    </row>
    <row r="9584" spans="1:20" ht="14.5" x14ac:dyDescent="0.35">
      <c r="A9584" s="10" t="s">
        <v>43129</v>
      </c>
      <c r="B9584" s="10" t="str">
        <f>"9781475822311"</f>
        <v>9781475822311</v>
      </c>
      <c r="C9584" s="10" t="str">
        <f>"9781475822335"</f>
        <v>9781475822335</v>
      </c>
      <c r="D9584" s="10" t="s">
        <v>9752</v>
      </c>
      <c r="E9584" s="10" t="s">
        <v>15187</v>
      </c>
      <c r="F9584" s="10" t="s">
        <v>9754</v>
      </c>
      <c r="G9584" s="10" t="s">
        <v>6317</v>
      </c>
      <c r="H9584" s="11">
        <v>42621</v>
      </c>
      <c r="I9584" s="10">
        <v>2016</v>
      </c>
      <c r="J9584" s="10" t="s">
        <v>15187</v>
      </c>
      <c r="K9584" s="10">
        <v>128</v>
      </c>
      <c r="L9584" s="10" t="s">
        <v>40029</v>
      </c>
      <c r="M9584" s="10">
        <v>1</v>
      </c>
      <c r="N9584" s="10" t="s">
        <v>40030</v>
      </c>
      <c r="O9584" s="10"/>
      <c r="P9584" s="10" t="s">
        <v>43130</v>
      </c>
      <c r="Q9584" s="10">
        <v>371.20699999999999</v>
      </c>
      <c r="R9584" s="10" t="s">
        <v>33311</v>
      </c>
      <c r="S9584" s="10" t="s">
        <v>53</v>
      </c>
      <c r="T9584" s="10" t="s">
        <v>54</v>
      </c>
    </row>
    <row r="9585" spans="1:20" ht="14.5" x14ac:dyDescent="0.35">
      <c r="A9585" s="10" t="s">
        <v>43131</v>
      </c>
      <c r="B9585" s="10" t="str">
        <f>"9781475826814"</f>
        <v>9781475826814</v>
      </c>
      <c r="C9585" s="10" t="str">
        <f>"9781475826821"</f>
        <v>9781475826821</v>
      </c>
      <c r="D9585" s="10" t="s">
        <v>9752</v>
      </c>
      <c r="E9585" s="10" t="s">
        <v>15187</v>
      </c>
      <c r="F9585" s="10" t="s">
        <v>9754</v>
      </c>
      <c r="G9585" s="10" t="s">
        <v>6317</v>
      </c>
      <c r="H9585" s="11">
        <v>42627</v>
      </c>
      <c r="I9585" s="10">
        <v>2016</v>
      </c>
      <c r="J9585" s="10" t="s">
        <v>15187</v>
      </c>
      <c r="K9585" s="10">
        <v>215</v>
      </c>
      <c r="L9585" s="10" t="s">
        <v>43132</v>
      </c>
      <c r="M9585" s="10">
        <v>1</v>
      </c>
      <c r="N9585" s="10"/>
      <c r="O9585" s="10"/>
      <c r="P9585" s="10" t="s">
        <v>43133</v>
      </c>
      <c r="Q9585" s="10">
        <v>371.01097299999998</v>
      </c>
      <c r="R9585" s="10" t="s">
        <v>43134</v>
      </c>
      <c r="S9585" s="10" t="s">
        <v>53</v>
      </c>
      <c r="T9585" s="10" t="s">
        <v>54</v>
      </c>
    </row>
    <row r="9586" spans="1:20" ht="14.5" x14ac:dyDescent="0.35">
      <c r="A9586" s="10" t="s">
        <v>43135</v>
      </c>
      <c r="B9586" s="10" t="str">
        <f>"9781475829938"</f>
        <v>9781475829938</v>
      </c>
      <c r="C9586" s="10" t="str">
        <f>"9781475829945"</f>
        <v>9781475829945</v>
      </c>
      <c r="D9586" s="10" t="s">
        <v>9752</v>
      </c>
      <c r="E9586" s="10" t="s">
        <v>15187</v>
      </c>
      <c r="F9586" s="10" t="s">
        <v>9754</v>
      </c>
      <c r="G9586" s="10" t="s">
        <v>6317</v>
      </c>
      <c r="H9586" s="11">
        <v>42604</v>
      </c>
      <c r="I9586" s="10">
        <v>2016</v>
      </c>
      <c r="J9586" s="10" t="s">
        <v>15187</v>
      </c>
      <c r="K9586" s="10">
        <v>121</v>
      </c>
      <c r="L9586" s="10" t="s">
        <v>42593</v>
      </c>
      <c r="M9586" s="10">
        <v>1</v>
      </c>
      <c r="N9586" s="10" t="s">
        <v>42594</v>
      </c>
      <c r="O9586" s="10">
        <v>2</v>
      </c>
      <c r="P9586" s="10" t="s">
        <v>43136</v>
      </c>
      <c r="Q9586" s="10">
        <v>378.19900000000001</v>
      </c>
      <c r="R9586" s="10" t="s">
        <v>42596</v>
      </c>
      <c r="S9586" s="10" t="s">
        <v>53</v>
      </c>
      <c r="T9586" s="10" t="s">
        <v>54</v>
      </c>
    </row>
    <row r="9587" spans="1:20" ht="14.5" x14ac:dyDescent="0.35">
      <c r="A9587" s="10" t="s">
        <v>43137</v>
      </c>
      <c r="B9587" s="10" t="str">
        <f>"9781483318356"</f>
        <v>9781483318356</v>
      </c>
      <c r="C9587" s="10" t="str">
        <f>"9781483318349"</f>
        <v>9781483318349</v>
      </c>
      <c r="D9587" s="10" t="s">
        <v>22210</v>
      </c>
      <c r="E9587" s="10" t="s">
        <v>22214</v>
      </c>
      <c r="F9587" s="10" t="s">
        <v>333</v>
      </c>
      <c r="G9587" s="10" t="s">
        <v>6317</v>
      </c>
      <c r="H9587" s="11">
        <v>42655</v>
      </c>
      <c r="I9587" s="10">
        <v>2017</v>
      </c>
      <c r="J9587" s="10" t="s">
        <v>22214</v>
      </c>
      <c r="K9587" s="10">
        <v>1399</v>
      </c>
      <c r="L9587" s="10" t="s">
        <v>43138</v>
      </c>
      <c r="M9587" s="10">
        <v>1</v>
      </c>
      <c r="N9587" s="10"/>
      <c r="O9587" s="10"/>
      <c r="P9587" s="10" t="s">
        <v>43139</v>
      </c>
      <c r="Q9587" s="10">
        <v>371.33446780000003</v>
      </c>
      <c r="R9587" s="10"/>
      <c r="S9587" s="10" t="s">
        <v>53</v>
      </c>
      <c r="T9587" s="10" t="s">
        <v>54</v>
      </c>
    </row>
    <row r="9588" spans="1:20" ht="14.5" x14ac:dyDescent="0.35">
      <c r="A9588" s="10" t="s">
        <v>43140</v>
      </c>
      <c r="B9588" s="10" t="str">
        <f>"9781412936842"</f>
        <v>9781412936842</v>
      </c>
      <c r="C9588" s="10" t="str">
        <f>"9781452296487"</f>
        <v>9781452296487</v>
      </c>
      <c r="D9588" s="10" t="s">
        <v>22210</v>
      </c>
      <c r="E9588" s="10" t="s">
        <v>22211</v>
      </c>
      <c r="F9588" s="10" t="s">
        <v>333</v>
      </c>
      <c r="G9588" s="10" t="s">
        <v>6317</v>
      </c>
      <c r="H9588" s="11">
        <v>40855</v>
      </c>
      <c r="I9588" s="10">
        <v>2012</v>
      </c>
      <c r="J9588" s="10" t="s">
        <v>22211</v>
      </c>
      <c r="K9588" s="10">
        <v>177</v>
      </c>
      <c r="L9588" s="10" t="s">
        <v>43141</v>
      </c>
      <c r="M9588" s="10">
        <v>1</v>
      </c>
      <c r="N9588" s="10"/>
      <c r="O9588" s="10"/>
      <c r="P9588" s="10"/>
      <c r="Q9588" s="10"/>
      <c r="R9588" s="10"/>
      <c r="S9588" s="10" t="s">
        <v>53</v>
      </c>
      <c r="T9588" s="10" t="s">
        <v>54</v>
      </c>
    </row>
    <row r="9589" spans="1:20" ht="14.5" x14ac:dyDescent="0.35">
      <c r="A9589" s="10" t="s">
        <v>43142</v>
      </c>
      <c r="B9589" s="10" t="str">
        <f>"9781452230092"</f>
        <v>9781452230092</v>
      </c>
      <c r="C9589" s="10" t="str">
        <f>"9781452284194"</f>
        <v>9781452284194</v>
      </c>
      <c r="D9589" s="10" t="s">
        <v>22210</v>
      </c>
      <c r="E9589" s="10" t="s">
        <v>22211</v>
      </c>
      <c r="F9589" s="10" t="s">
        <v>333</v>
      </c>
      <c r="G9589" s="10" t="s">
        <v>6317</v>
      </c>
      <c r="H9589" s="11">
        <v>40926</v>
      </c>
      <c r="I9589" s="10">
        <v>2012</v>
      </c>
      <c r="J9589" s="10" t="s">
        <v>22211</v>
      </c>
      <c r="K9589" s="10">
        <v>241</v>
      </c>
      <c r="L9589" s="10" t="s">
        <v>43143</v>
      </c>
      <c r="M9589" s="10">
        <v>1</v>
      </c>
      <c r="N9589" s="10"/>
      <c r="O9589" s="10"/>
      <c r="P9589" s="10" t="s">
        <v>43144</v>
      </c>
      <c r="Q9589" s="10">
        <v>370.97300000000001</v>
      </c>
      <c r="R9589" s="10"/>
      <c r="S9589" s="10" t="s">
        <v>53</v>
      </c>
      <c r="T9589" s="10" t="s">
        <v>54</v>
      </c>
    </row>
    <row r="9590" spans="1:20" ht="14.5" x14ac:dyDescent="0.35">
      <c r="A9590" s="10" t="s">
        <v>43145</v>
      </c>
      <c r="B9590" s="10" t="str">
        <f>"9781475826388"</f>
        <v>9781475826388</v>
      </c>
      <c r="C9590" s="10" t="str">
        <f>"9781475826401"</f>
        <v>9781475826401</v>
      </c>
      <c r="D9590" s="10" t="s">
        <v>9752</v>
      </c>
      <c r="E9590" s="10" t="s">
        <v>15187</v>
      </c>
      <c r="F9590" s="10" t="s">
        <v>9754</v>
      </c>
      <c r="G9590" s="10" t="s">
        <v>6317</v>
      </c>
      <c r="H9590" s="11">
        <v>42636</v>
      </c>
      <c r="I9590" s="10">
        <v>2016</v>
      </c>
      <c r="J9590" s="10" t="s">
        <v>15187</v>
      </c>
      <c r="K9590" s="10">
        <v>133</v>
      </c>
      <c r="L9590" s="10" t="s">
        <v>43146</v>
      </c>
      <c r="M9590" s="10">
        <v>1</v>
      </c>
      <c r="N9590" s="10"/>
      <c r="O9590" s="10"/>
      <c r="P9590" s="10" t="s">
        <v>43147</v>
      </c>
      <c r="Q9590" s="10">
        <v>371.20100000000002</v>
      </c>
      <c r="R9590" s="10" t="s">
        <v>43148</v>
      </c>
      <c r="S9590" s="10" t="s">
        <v>53</v>
      </c>
      <c r="T9590" s="10" t="s">
        <v>54</v>
      </c>
    </row>
    <row r="9591" spans="1:20" ht="14.5" x14ac:dyDescent="0.35">
      <c r="A9591" s="10" t="s">
        <v>43149</v>
      </c>
      <c r="B9591" s="10" t="str">
        <f>"9781443897006"</f>
        <v>9781443897006</v>
      </c>
      <c r="C9591" s="10" t="str">
        <f>"9781443899994"</f>
        <v>9781443899994</v>
      </c>
      <c r="D9591" s="10" t="s">
        <v>23635</v>
      </c>
      <c r="E9591" s="10" t="s">
        <v>23635</v>
      </c>
      <c r="F9591" s="10" t="s">
        <v>23636</v>
      </c>
      <c r="G9591" s="10" t="s">
        <v>6352</v>
      </c>
      <c r="H9591" s="11">
        <v>42622</v>
      </c>
      <c r="I9591" s="10">
        <v>2016</v>
      </c>
      <c r="J9591" s="10" t="s">
        <v>23635</v>
      </c>
      <c r="K9591" s="10">
        <v>499</v>
      </c>
      <c r="L9591" s="10" t="s">
        <v>43150</v>
      </c>
      <c r="M9591" s="10">
        <v>1</v>
      </c>
      <c r="N9591" s="10"/>
      <c r="O9591" s="10"/>
      <c r="P9591" s="10" t="s">
        <v>43151</v>
      </c>
      <c r="Q9591" s="10">
        <v>428.4</v>
      </c>
      <c r="R9591" s="10" t="s">
        <v>24586</v>
      </c>
      <c r="S9591" s="10" t="s">
        <v>53</v>
      </c>
      <c r="T9591" s="10" t="s">
        <v>6498</v>
      </c>
    </row>
    <row r="9592" spans="1:20" ht="14.5" x14ac:dyDescent="0.35">
      <c r="A9592" s="10" t="s">
        <v>43152</v>
      </c>
      <c r="B9592" s="10" t="str">
        <f>"9780195106091"</f>
        <v>9780195106091</v>
      </c>
      <c r="C9592" s="10" t="str">
        <f>"9780195346244"</f>
        <v>9780195346244</v>
      </c>
      <c r="D9592" s="10" t="s">
        <v>9122</v>
      </c>
      <c r="E9592" s="10" t="s">
        <v>9133</v>
      </c>
      <c r="F9592" s="10" t="s">
        <v>748</v>
      </c>
      <c r="G9592" s="10" t="s">
        <v>6317</v>
      </c>
      <c r="H9592" s="11">
        <v>35698</v>
      </c>
      <c r="I9592" s="10">
        <v>1997</v>
      </c>
      <c r="J9592" s="10" t="s">
        <v>9133</v>
      </c>
      <c r="K9592" s="10">
        <v>282</v>
      </c>
      <c r="L9592" s="10" t="s">
        <v>43153</v>
      </c>
      <c r="M9592" s="10">
        <v>1</v>
      </c>
      <c r="N9592" s="10"/>
      <c r="O9592" s="10"/>
      <c r="P9592" s="10" t="s">
        <v>43154</v>
      </c>
      <c r="Q9592" s="10">
        <v>780.71073000000001</v>
      </c>
      <c r="R9592" s="10" t="s">
        <v>43155</v>
      </c>
      <c r="S9592" s="10" t="s">
        <v>53</v>
      </c>
      <c r="T9592" s="10" t="s">
        <v>6384</v>
      </c>
    </row>
    <row r="9593" spans="1:20" ht="14.5" x14ac:dyDescent="0.35">
      <c r="A9593" s="10" t="s">
        <v>43156</v>
      </c>
      <c r="B9593" s="10" t="str">
        <f>"9780195143270"</f>
        <v>9780195143270</v>
      </c>
      <c r="C9593" s="10" t="str">
        <f>"9780195357042"</f>
        <v>9780195357042</v>
      </c>
      <c r="D9593" s="10" t="s">
        <v>9122</v>
      </c>
      <c r="E9593" s="10" t="s">
        <v>9133</v>
      </c>
      <c r="F9593" s="10" t="s">
        <v>748</v>
      </c>
      <c r="G9593" s="10" t="s">
        <v>6317</v>
      </c>
      <c r="H9593" s="11">
        <v>35327</v>
      </c>
      <c r="I9593" s="10">
        <v>1996</v>
      </c>
      <c r="J9593" s="10" t="s">
        <v>9133</v>
      </c>
      <c r="K9593" s="10">
        <v>449</v>
      </c>
      <c r="L9593" s="10" t="s">
        <v>43157</v>
      </c>
      <c r="M9593" s="10">
        <v>1</v>
      </c>
      <c r="N9593" s="10"/>
      <c r="O9593" s="10"/>
      <c r="P9593" s="10" t="s">
        <v>43158</v>
      </c>
      <c r="Q9593" s="10">
        <v>302.3</v>
      </c>
      <c r="R9593" s="10" t="s">
        <v>43159</v>
      </c>
      <c r="S9593" s="10" t="s">
        <v>53</v>
      </c>
      <c r="T9593" s="10" t="s">
        <v>6363</v>
      </c>
    </row>
    <row r="9594" spans="1:20" ht="14.5" x14ac:dyDescent="0.35">
      <c r="A9594" s="10" t="s">
        <v>43160</v>
      </c>
      <c r="B9594" s="10" t="str">
        <f>"9780195112443"</f>
        <v>9780195112443</v>
      </c>
      <c r="C9594" s="10" t="str">
        <f>"9780195344387"</f>
        <v>9780195344387</v>
      </c>
      <c r="D9594" s="10" t="s">
        <v>9122</v>
      </c>
      <c r="E9594" s="10" t="s">
        <v>9133</v>
      </c>
      <c r="F9594" s="10" t="s">
        <v>748</v>
      </c>
      <c r="G9594" s="10" t="s">
        <v>6317</v>
      </c>
      <c r="H9594" s="11">
        <v>37259</v>
      </c>
      <c r="I9594" s="10">
        <v>2002</v>
      </c>
      <c r="J9594" s="10" t="s">
        <v>9133</v>
      </c>
      <c r="K9594" s="10">
        <v>551</v>
      </c>
      <c r="L9594" s="10" t="s">
        <v>43161</v>
      </c>
      <c r="M9594" s="10">
        <v>1</v>
      </c>
      <c r="N9594" s="10"/>
      <c r="O9594" s="10"/>
      <c r="P9594" s="10" t="s">
        <v>43162</v>
      </c>
      <c r="Q9594" s="10" t="s">
        <v>43163</v>
      </c>
      <c r="R9594" s="10" t="s">
        <v>43164</v>
      </c>
      <c r="S9594" s="10" t="s">
        <v>53</v>
      </c>
      <c r="T9594" s="10" t="s">
        <v>54</v>
      </c>
    </row>
    <row r="9595" spans="1:20" ht="14.5" x14ac:dyDescent="0.35">
      <c r="A9595" s="10" t="s">
        <v>43165</v>
      </c>
      <c r="B9595" s="10" t="str">
        <f>"9780195175028"</f>
        <v>9780195175028</v>
      </c>
      <c r="C9595" s="10" t="str">
        <f>"9780195346565"</f>
        <v>9780195346565</v>
      </c>
      <c r="D9595" s="10" t="s">
        <v>9122</v>
      </c>
      <c r="E9595" s="10" t="s">
        <v>9133</v>
      </c>
      <c r="F9595" s="10" t="s">
        <v>748</v>
      </c>
      <c r="G9595" s="10" t="s">
        <v>6317</v>
      </c>
      <c r="H9595" s="11">
        <v>38603</v>
      </c>
      <c r="I9595" s="10">
        <v>2006</v>
      </c>
      <c r="J9595" s="10" t="s">
        <v>9133</v>
      </c>
      <c r="K9595" s="10">
        <v>279</v>
      </c>
      <c r="L9595" s="10" t="s">
        <v>43166</v>
      </c>
      <c r="M9595" s="10">
        <v>1</v>
      </c>
      <c r="N9595" s="10"/>
      <c r="O9595" s="10"/>
      <c r="P9595" s="10" t="s">
        <v>43167</v>
      </c>
      <c r="Q9595" s="10" t="s">
        <v>43168</v>
      </c>
      <c r="R9595" s="10" t="s">
        <v>43169</v>
      </c>
      <c r="S9595" s="10" t="s">
        <v>53</v>
      </c>
      <c r="T9595" s="10" t="s">
        <v>8625</v>
      </c>
    </row>
    <row r="9596" spans="1:20" ht="14.5" x14ac:dyDescent="0.35">
      <c r="A9596" s="10" t="s">
        <v>43170</v>
      </c>
      <c r="B9596" s="10" t="str">
        <f>"9780195062199"</f>
        <v>9780195062199</v>
      </c>
      <c r="C9596" s="10" t="str">
        <f>"9780195362831"</f>
        <v>9780195362831</v>
      </c>
      <c r="D9596" s="10" t="s">
        <v>9122</v>
      </c>
      <c r="E9596" s="10" t="s">
        <v>9133</v>
      </c>
      <c r="F9596" s="10" t="s">
        <v>748</v>
      </c>
      <c r="G9596" s="10" t="s">
        <v>6317</v>
      </c>
      <c r="H9596" s="11">
        <v>33906</v>
      </c>
      <c r="I9596" s="10">
        <v>1993</v>
      </c>
      <c r="J9596" s="10" t="s">
        <v>9133</v>
      </c>
      <c r="K9596" s="10">
        <v>380</v>
      </c>
      <c r="L9596" s="10" t="s">
        <v>43171</v>
      </c>
      <c r="M9596" s="10">
        <v>1</v>
      </c>
      <c r="N9596" s="10"/>
      <c r="O9596" s="10"/>
      <c r="P9596" s="10" t="s">
        <v>43172</v>
      </c>
      <c r="Q9596" s="10" t="s">
        <v>43173</v>
      </c>
      <c r="R9596" s="10" t="s">
        <v>43174</v>
      </c>
      <c r="S9596" s="10" t="s">
        <v>53</v>
      </c>
      <c r="T9596" s="10" t="s">
        <v>54</v>
      </c>
    </row>
    <row r="9597" spans="1:20" ht="14.5" x14ac:dyDescent="0.35">
      <c r="A9597" s="10" t="s">
        <v>43175</v>
      </c>
      <c r="B9597" s="10" t="str">
        <f>"9780719088308"</f>
        <v>9780719088308</v>
      </c>
      <c r="C9597" s="10" t="str">
        <f>"9781526110497"</f>
        <v>9781526110497</v>
      </c>
      <c r="D9597" s="10" t="s">
        <v>16780</v>
      </c>
      <c r="E9597" s="10" t="s">
        <v>16780</v>
      </c>
      <c r="F9597" s="10" t="s">
        <v>2829</v>
      </c>
      <c r="G9597" s="10" t="s">
        <v>6352</v>
      </c>
      <c r="H9597" s="11">
        <v>41608</v>
      </c>
      <c r="I9597" s="10">
        <v>2013</v>
      </c>
      <c r="J9597" s="10" t="s">
        <v>16780</v>
      </c>
      <c r="K9597" s="10">
        <v>192</v>
      </c>
      <c r="L9597" s="10" t="s">
        <v>43176</v>
      </c>
      <c r="M9597" s="10">
        <v>1</v>
      </c>
      <c r="N9597" s="10" t="s">
        <v>43177</v>
      </c>
      <c r="O9597" s="10"/>
      <c r="P9597" s="10" t="s">
        <v>43178</v>
      </c>
      <c r="Q9597" s="10">
        <v>378.00900000000001</v>
      </c>
      <c r="R9597" s="10" t="s">
        <v>12345</v>
      </c>
      <c r="S9597" s="10" t="s">
        <v>53</v>
      </c>
      <c r="T9597" s="10" t="s">
        <v>54</v>
      </c>
    </row>
    <row r="9598" spans="1:20" ht="14.5" x14ac:dyDescent="0.35">
      <c r="A9598" s="10" t="s">
        <v>43179</v>
      </c>
      <c r="B9598" s="10" t="str">
        <f>"9781475821659"</f>
        <v>9781475821659</v>
      </c>
      <c r="C9598" s="10" t="str">
        <f>"9781475821666"</f>
        <v>9781475821666</v>
      </c>
      <c r="D9598" s="10" t="s">
        <v>9752</v>
      </c>
      <c r="E9598" s="10" t="s">
        <v>15187</v>
      </c>
      <c r="F9598" s="10" t="s">
        <v>9754</v>
      </c>
      <c r="G9598" s="10" t="s">
        <v>6317</v>
      </c>
      <c r="H9598" s="11">
        <v>42654</v>
      </c>
      <c r="I9598" s="10">
        <v>2016</v>
      </c>
      <c r="J9598" s="10" t="s">
        <v>15187</v>
      </c>
      <c r="K9598" s="10">
        <v>101</v>
      </c>
      <c r="L9598" s="10" t="s">
        <v>43180</v>
      </c>
      <c r="M9598" s="10">
        <v>2</v>
      </c>
      <c r="N9598" s="10"/>
      <c r="O9598" s="10"/>
      <c r="P9598" s="10" t="s">
        <v>43181</v>
      </c>
      <c r="Q9598" s="10"/>
      <c r="R9598" s="10" t="s">
        <v>12141</v>
      </c>
      <c r="S9598" s="10" t="s">
        <v>53</v>
      </c>
      <c r="T9598" s="10" t="s">
        <v>1166</v>
      </c>
    </row>
    <row r="9599" spans="1:20" ht="14.5" x14ac:dyDescent="0.35">
      <c r="A9599" s="10" t="s">
        <v>43182</v>
      </c>
      <c r="B9599" s="10" t="str">
        <f>"9781498510714"</f>
        <v>9781498510714</v>
      </c>
      <c r="C9599" s="10" t="str">
        <f>"9781498510721"</f>
        <v>9781498510721</v>
      </c>
      <c r="D9599" s="10" t="s">
        <v>9752</v>
      </c>
      <c r="E9599" s="10" t="s">
        <v>15182</v>
      </c>
      <c r="F9599" s="10" t="s">
        <v>9754</v>
      </c>
      <c r="G9599" s="10" t="s">
        <v>6317</v>
      </c>
      <c r="H9599" s="11">
        <v>42655</v>
      </c>
      <c r="I9599" s="10">
        <v>2016</v>
      </c>
      <c r="J9599" s="10" t="s">
        <v>15182</v>
      </c>
      <c r="K9599" s="10">
        <v>147</v>
      </c>
      <c r="L9599" s="10" t="s">
        <v>43183</v>
      </c>
      <c r="M9599" s="10">
        <v>1</v>
      </c>
      <c r="N9599" s="10" t="s">
        <v>40055</v>
      </c>
      <c r="O9599" s="10"/>
      <c r="P9599" s="10" t="s">
        <v>43184</v>
      </c>
      <c r="Q9599" s="10"/>
      <c r="R9599" s="10" t="s">
        <v>43185</v>
      </c>
      <c r="S9599" s="10" t="s">
        <v>53</v>
      </c>
      <c r="T9599" s="10" t="s">
        <v>54</v>
      </c>
    </row>
    <row r="9600" spans="1:20" ht="14.5" x14ac:dyDescent="0.35">
      <c r="A9600" s="10" t="s">
        <v>43186</v>
      </c>
      <c r="B9600" s="10" t="str">
        <f>"9780719088018"</f>
        <v>9780719088018</v>
      </c>
      <c r="C9600" s="10" t="str">
        <f>"9781526111456"</f>
        <v>9781526111456</v>
      </c>
      <c r="D9600" s="10" t="s">
        <v>16780</v>
      </c>
      <c r="E9600" s="10" t="s">
        <v>16780</v>
      </c>
      <c r="F9600" s="10" t="s">
        <v>2829</v>
      </c>
      <c r="G9600" s="10" t="s">
        <v>6352</v>
      </c>
      <c r="H9600" s="11">
        <v>41424</v>
      </c>
      <c r="I9600" s="10">
        <v>2013</v>
      </c>
      <c r="J9600" s="10" t="s">
        <v>16780</v>
      </c>
      <c r="K9600" s="10">
        <v>205</v>
      </c>
      <c r="L9600" s="10" t="s">
        <v>43187</v>
      </c>
      <c r="M9600" s="10">
        <v>1</v>
      </c>
      <c r="N9600" s="10" t="s">
        <v>43177</v>
      </c>
      <c r="O9600" s="10"/>
      <c r="P9600" s="10" t="s">
        <v>43188</v>
      </c>
      <c r="Q9600" s="10">
        <v>700.71500000000003</v>
      </c>
      <c r="R9600" s="10" t="s">
        <v>11901</v>
      </c>
      <c r="S9600" s="10" t="s">
        <v>53</v>
      </c>
      <c r="T9600" s="10" t="s">
        <v>6815</v>
      </c>
    </row>
    <row r="9601" spans="1:20" ht="14.5" x14ac:dyDescent="0.35">
      <c r="A9601" s="10" t="s">
        <v>43189</v>
      </c>
      <c r="B9601" s="10" t="str">
        <f>"9780719079191"</f>
        <v>9780719079191</v>
      </c>
      <c r="C9601" s="10" t="str">
        <f>"9781526102478"</f>
        <v>9781526102478</v>
      </c>
      <c r="D9601" s="10" t="s">
        <v>16780</v>
      </c>
      <c r="E9601" s="10" t="s">
        <v>16780</v>
      </c>
      <c r="F9601" s="10" t="s">
        <v>2829</v>
      </c>
      <c r="G9601" s="10" t="s">
        <v>6352</v>
      </c>
      <c r="H9601" s="11">
        <v>41728</v>
      </c>
      <c r="I9601" s="10">
        <v>2014</v>
      </c>
      <c r="J9601" s="10" t="s">
        <v>16780</v>
      </c>
      <c r="K9601" s="10">
        <v>271</v>
      </c>
      <c r="L9601" s="10" t="s">
        <v>43190</v>
      </c>
      <c r="M9601" s="10">
        <v>1</v>
      </c>
      <c r="N9601" s="10" t="s">
        <v>43191</v>
      </c>
      <c r="O9601" s="10"/>
      <c r="P9601" s="10" t="s">
        <v>43192</v>
      </c>
      <c r="Q9601" s="10">
        <v>822.33</v>
      </c>
      <c r="R9601" s="10"/>
      <c r="S9601" s="10" t="s">
        <v>53</v>
      </c>
      <c r="T9601" s="10" t="s">
        <v>1166</v>
      </c>
    </row>
    <row r="9602" spans="1:20" ht="14.5" x14ac:dyDescent="0.35">
      <c r="A9602" s="10" t="s">
        <v>43193</v>
      </c>
      <c r="B9602" s="10" t="str">
        <f>"9781498521741"</f>
        <v>9781498521741</v>
      </c>
      <c r="C9602" s="10" t="str">
        <f>"9781498521758"</f>
        <v>9781498521758</v>
      </c>
      <c r="D9602" s="10" t="s">
        <v>9752</v>
      </c>
      <c r="E9602" s="10" t="s">
        <v>15182</v>
      </c>
      <c r="F9602" s="10" t="s">
        <v>9754</v>
      </c>
      <c r="G9602" s="10" t="s">
        <v>6317</v>
      </c>
      <c r="H9602" s="11">
        <v>42662</v>
      </c>
      <c r="I9602" s="10">
        <v>2016</v>
      </c>
      <c r="J9602" s="10" t="s">
        <v>15182</v>
      </c>
      <c r="K9602" s="10">
        <v>159</v>
      </c>
      <c r="L9602" s="10" t="s">
        <v>43194</v>
      </c>
      <c r="M9602" s="10">
        <v>1</v>
      </c>
      <c r="N9602" s="10"/>
      <c r="O9602" s="10"/>
      <c r="P9602" s="10" t="s">
        <v>43195</v>
      </c>
      <c r="Q9602" s="10">
        <v>371.19</v>
      </c>
      <c r="R9602" s="10" t="s">
        <v>43196</v>
      </c>
      <c r="S9602" s="10" t="s">
        <v>53</v>
      </c>
      <c r="T9602" s="10" t="s">
        <v>54</v>
      </c>
    </row>
    <row r="9603" spans="1:20" ht="14.5" x14ac:dyDescent="0.35">
      <c r="A9603" s="10" t="s">
        <v>43197</v>
      </c>
      <c r="B9603" s="10" t="str">
        <f>"9781498511926"</f>
        <v>9781498511926</v>
      </c>
      <c r="C9603" s="10" t="str">
        <f>"9781498511933"</f>
        <v>9781498511933</v>
      </c>
      <c r="D9603" s="10" t="s">
        <v>9752</v>
      </c>
      <c r="E9603" s="10" t="s">
        <v>15182</v>
      </c>
      <c r="F9603" s="10" t="s">
        <v>9754</v>
      </c>
      <c r="G9603" s="10" t="s">
        <v>6317</v>
      </c>
      <c r="H9603" s="11">
        <v>42671</v>
      </c>
      <c r="I9603" s="10">
        <v>2016</v>
      </c>
      <c r="J9603" s="10" t="s">
        <v>15182</v>
      </c>
      <c r="K9603" s="10">
        <v>137</v>
      </c>
      <c r="L9603" s="10" t="s">
        <v>43198</v>
      </c>
      <c r="M9603" s="10">
        <v>1</v>
      </c>
      <c r="N9603" s="10"/>
      <c r="O9603" s="10"/>
      <c r="P9603" s="10" t="s">
        <v>43199</v>
      </c>
      <c r="Q9603" s="10">
        <v>379.24</v>
      </c>
      <c r="R9603" s="10" t="s">
        <v>43200</v>
      </c>
      <c r="S9603" s="10" t="s">
        <v>53</v>
      </c>
      <c r="T9603" s="10" t="s">
        <v>54</v>
      </c>
    </row>
    <row r="9604" spans="1:20" ht="14.5" x14ac:dyDescent="0.35">
      <c r="A9604" s="10" t="s">
        <v>43201</v>
      </c>
      <c r="B9604" s="10" t="str">
        <f>"9781119076872"</f>
        <v>9781119076872</v>
      </c>
      <c r="C9604" s="10" t="str">
        <f>"9781119077091"</f>
        <v>9781119077091</v>
      </c>
      <c r="D9604" s="10" t="s">
        <v>6322</v>
      </c>
      <c r="E9604" s="10" t="s">
        <v>6323</v>
      </c>
      <c r="F9604" s="10" t="s">
        <v>4423</v>
      </c>
      <c r="G9604" s="10" t="s">
        <v>6317</v>
      </c>
      <c r="H9604" s="11">
        <v>42660</v>
      </c>
      <c r="I9604" s="10">
        <v>2016</v>
      </c>
      <c r="J9604" s="10" t="s">
        <v>6323</v>
      </c>
      <c r="K9604" s="10">
        <v>449</v>
      </c>
      <c r="L9604" s="10" t="s">
        <v>43202</v>
      </c>
      <c r="M9604" s="10">
        <v>1</v>
      </c>
      <c r="N9604" s="10" t="s">
        <v>18778</v>
      </c>
      <c r="O9604" s="10"/>
      <c r="P9604" s="10"/>
      <c r="Q9604" s="10"/>
      <c r="R9604" s="10" t="s">
        <v>43203</v>
      </c>
      <c r="S9604" s="10" t="s">
        <v>53</v>
      </c>
      <c r="T9604" s="10" t="s">
        <v>6640</v>
      </c>
    </row>
    <row r="9605" spans="1:20" ht="14.5" x14ac:dyDescent="0.35">
      <c r="A9605" s="10" t="s">
        <v>43204</v>
      </c>
      <c r="B9605" s="10" t="str">
        <f>"9781928331018"</f>
        <v>9781928331018</v>
      </c>
      <c r="C9605" s="10" t="str">
        <f>"9781928331025"</f>
        <v>9781928331025</v>
      </c>
      <c r="D9605" s="10" t="s">
        <v>24820</v>
      </c>
      <c r="E9605" s="10" t="s">
        <v>24825</v>
      </c>
      <c r="F9605" s="10" t="s">
        <v>748</v>
      </c>
      <c r="G9605" s="10" t="s">
        <v>24826</v>
      </c>
      <c r="H9605" s="11">
        <v>42402</v>
      </c>
      <c r="I9605" s="10">
        <v>2016</v>
      </c>
      <c r="J9605" s="10" t="s">
        <v>24825</v>
      </c>
      <c r="K9605" s="10">
        <v>186</v>
      </c>
      <c r="L9605" s="10" t="s">
        <v>43205</v>
      </c>
      <c r="M9605" s="10">
        <v>1</v>
      </c>
      <c r="N9605" s="10"/>
      <c r="O9605" s="10"/>
      <c r="P9605" s="10"/>
      <c r="Q9605" s="10"/>
      <c r="R9605" s="10"/>
      <c r="S9605" s="10" t="s">
        <v>53</v>
      </c>
      <c r="T9605" s="10" t="s">
        <v>54</v>
      </c>
    </row>
    <row r="9606" spans="1:20" ht="14.5" x14ac:dyDescent="0.35">
      <c r="A9606" s="10" t="s">
        <v>43206</v>
      </c>
      <c r="B9606" s="10" t="str">
        <f>"9781786358028"</f>
        <v>9781786358028</v>
      </c>
      <c r="C9606" s="10" t="str">
        <f>"9781786358035"</f>
        <v>9781786358035</v>
      </c>
      <c r="D9606" s="10" t="s">
        <v>8699</v>
      </c>
      <c r="E9606" s="10" t="s">
        <v>8699</v>
      </c>
      <c r="F9606" s="10" t="s">
        <v>41843</v>
      </c>
      <c r="G9606" s="10" t="s">
        <v>6352</v>
      </c>
      <c r="H9606" s="11">
        <v>42601</v>
      </c>
      <c r="I9606" s="10">
        <v>2016</v>
      </c>
      <c r="J9606" s="10" t="s">
        <v>115</v>
      </c>
      <c r="K9606" s="10">
        <v>105</v>
      </c>
      <c r="L9606" s="10" t="s">
        <v>43207</v>
      </c>
      <c r="M9606" s="10">
        <v>1</v>
      </c>
      <c r="N9606" s="10" t="s">
        <v>43208</v>
      </c>
      <c r="O9606" s="10">
        <v>16</v>
      </c>
      <c r="P9606" s="10" t="s">
        <v>43209</v>
      </c>
      <c r="Q9606" s="10">
        <v>300.72000000000003</v>
      </c>
      <c r="R9606" s="10" t="s">
        <v>34176</v>
      </c>
      <c r="S9606" s="10" t="s">
        <v>53</v>
      </c>
      <c r="T9606" s="10" t="s">
        <v>6363</v>
      </c>
    </row>
    <row r="9607" spans="1:20" ht="14.5" x14ac:dyDescent="0.35">
      <c r="A9607" s="10" t="s">
        <v>43210</v>
      </c>
      <c r="B9607" s="10" t="str">
        <f>"9781786358363"</f>
        <v>9781786358363</v>
      </c>
      <c r="C9607" s="10" t="str">
        <f>"9781786358370"</f>
        <v>9781786358370</v>
      </c>
      <c r="D9607" s="10" t="s">
        <v>8699</v>
      </c>
      <c r="E9607" s="10" t="s">
        <v>8699</v>
      </c>
      <c r="F9607" s="10" t="s">
        <v>41843</v>
      </c>
      <c r="G9607" s="10" t="s">
        <v>6352</v>
      </c>
      <c r="H9607" s="11">
        <v>42597</v>
      </c>
      <c r="I9607" s="10">
        <v>2016</v>
      </c>
      <c r="J9607" s="10" t="s">
        <v>115</v>
      </c>
      <c r="K9607" s="10">
        <v>119</v>
      </c>
      <c r="L9607" s="10" t="s">
        <v>43211</v>
      </c>
      <c r="M9607" s="10">
        <v>1</v>
      </c>
      <c r="N9607" s="10" t="s">
        <v>2908</v>
      </c>
      <c r="O9607" s="10">
        <v>5</v>
      </c>
      <c r="P9607" s="10" t="s">
        <v>43212</v>
      </c>
      <c r="Q9607" s="10">
        <v>371.10199999999901</v>
      </c>
      <c r="R9607" s="10" t="s">
        <v>18604</v>
      </c>
      <c r="S9607" s="10" t="s">
        <v>53</v>
      </c>
      <c r="T9607" s="10" t="s">
        <v>54</v>
      </c>
    </row>
    <row r="9608" spans="1:20" ht="14.5" x14ac:dyDescent="0.35">
      <c r="A9608" s="10" t="s">
        <v>43213</v>
      </c>
      <c r="B9608" s="10" t="str">
        <f>"9781786359049"</f>
        <v>9781786359049</v>
      </c>
      <c r="C9608" s="10" t="str">
        <f>"9781786359056"</f>
        <v>9781786359056</v>
      </c>
      <c r="D9608" s="10" t="s">
        <v>8699</v>
      </c>
      <c r="E9608" s="10" t="s">
        <v>8699</v>
      </c>
      <c r="F9608" s="10" t="s">
        <v>41843</v>
      </c>
      <c r="G9608" s="10" t="s">
        <v>6352</v>
      </c>
      <c r="H9608" s="11">
        <v>42613</v>
      </c>
      <c r="I9608" s="10">
        <v>2016</v>
      </c>
      <c r="J9608" s="10" t="s">
        <v>115</v>
      </c>
      <c r="K9608" s="10">
        <v>129</v>
      </c>
      <c r="L9608" s="10" t="s">
        <v>43214</v>
      </c>
      <c r="M9608" s="10">
        <v>1</v>
      </c>
      <c r="N9608" s="10" t="s">
        <v>43215</v>
      </c>
      <c r="O9608" s="10">
        <v>30</v>
      </c>
      <c r="P9608" s="10" t="s">
        <v>43216</v>
      </c>
      <c r="Q9608" s="10">
        <v>658.40071173000001</v>
      </c>
      <c r="R9608" s="10" t="s">
        <v>43217</v>
      </c>
      <c r="S9608" s="10" t="s">
        <v>53</v>
      </c>
      <c r="T9608" s="10" t="s">
        <v>6660</v>
      </c>
    </row>
    <row r="9609" spans="1:20" ht="14.5" x14ac:dyDescent="0.35">
      <c r="A9609" s="10" t="s">
        <v>43218</v>
      </c>
      <c r="B9609" s="10" t="str">
        <f>"9781942496274"</f>
        <v>9781942496274</v>
      </c>
      <c r="C9609" s="10" t="str">
        <f>"9781942496281"</f>
        <v>9781942496281</v>
      </c>
      <c r="D9609" s="10" t="s">
        <v>37580</v>
      </c>
      <c r="E9609" s="10" t="s">
        <v>37581</v>
      </c>
      <c r="F9609" s="10" t="s">
        <v>37623</v>
      </c>
      <c r="G9609" s="10" t="s">
        <v>6317</v>
      </c>
      <c r="H9609" s="11">
        <v>42608</v>
      </c>
      <c r="I9609" s="10">
        <v>2017</v>
      </c>
      <c r="J9609" s="10" t="s">
        <v>37581</v>
      </c>
      <c r="K9609" s="10">
        <v>192</v>
      </c>
      <c r="L9609" s="10" t="s">
        <v>43219</v>
      </c>
      <c r="M9609" s="10">
        <v>1</v>
      </c>
      <c r="N9609" s="10"/>
      <c r="O9609" s="10"/>
      <c r="P9609" s="10" t="s">
        <v>43220</v>
      </c>
      <c r="Q9609" s="10"/>
      <c r="R9609" s="10"/>
      <c r="S9609" s="10" t="s">
        <v>53</v>
      </c>
      <c r="T9609" s="10" t="s">
        <v>54</v>
      </c>
    </row>
    <row r="9610" spans="1:20" ht="14.5" x14ac:dyDescent="0.35">
      <c r="A9610" s="10" t="s">
        <v>43221</v>
      </c>
      <c r="B9610" s="10" t="str">
        <f>"9781935249481"</f>
        <v>9781935249481</v>
      </c>
      <c r="C9610" s="10" t="str">
        <f>"9781935249436"</f>
        <v>9781935249436</v>
      </c>
      <c r="D9610" s="10" t="s">
        <v>37580</v>
      </c>
      <c r="E9610" s="10" t="s">
        <v>37581</v>
      </c>
      <c r="F9610" s="10" t="s">
        <v>37623</v>
      </c>
      <c r="G9610" s="10" t="s">
        <v>6317</v>
      </c>
      <c r="H9610" s="11">
        <v>42594</v>
      </c>
      <c r="I9610" s="10">
        <v>2017</v>
      </c>
      <c r="J9610" s="10" t="s">
        <v>37581</v>
      </c>
      <c r="K9610" s="10">
        <v>144</v>
      </c>
      <c r="L9610" s="10" t="s">
        <v>43222</v>
      </c>
      <c r="M9610" s="10">
        <v>1</v>
      </c>
      <c r="N9610" s="10"/>
      <c r="O9610" s="10"/>
      <c r="P9610" s="10"/>
      <c r="Q9610" s="10"/>
      <c r="R9610" s="10"/>
      <c r="S9610" s="10" t="s">
        <v>53</v>
      </c>
      <c r="T9610" s="10" t="s">
        <v>54</v>
      </c>
    </row>
    <row r="9611" spans="1:20" ht="14.5" x14ac:dyDescent="0.35">
      <c r="A9611" s="10" t="s">
        <v>43223</v>
      </c>
      <c r="B9611" s="10" t="str">
        <f>"9781942496809"</f>
        <v>9781942496809</v>
      </c>
      <c r="C9611" s="10" t="str">
        <f>"9781942496816"</f>
        <v>9781942496816</v>
      </c>
      <c r="D9611" s="10" t="s">
        <v>37580</v>
      </c>
      <c r="E9611" s="10" t="s">
        <v>37581</v>
      </c>
      <c r="F9611" s="10" t="s">
        <v>37623</v>
      </c>
      <c r="G9611" s="10" t="s">
        <v>6317</v>
      </c>
      <c r="H9611" s="11">
        <v>42559</v>
      </c>
      <c r="I9611" s="10">
        <v>2016</v>
      </c>
      <c r="J9611" s="10" t="s">
        <v>37581</v>
      </c>
      <c r="K9611" s="10">
        <v>208</v>
      </c>
      <c r="L9611" s="10" t="s">
        <v>43224</v>
      </c>
      <c r="M9611" s="10">
        <v>1</v>
      </c>
      <c r="N9611" s="10"/>
      <c r="O9611" s="10"/>
      <c r="P9611" s="10"/>
      <c r="Q9611" s="10"/>
      <c r="R9611" s="10"/>
      <c r="S9611" s="10" t="s">
        <v>53</v>
      </c>
      <c r="T9611" s="10" t="s">
        <v>54</v>
      </c>
    </row>
    <row r="9612" spans="1:20" ht="14.5" x14ac:dyDescent="0.35">
      <c r="A9612" s="10" t="s">
        <v>43225</v>
      </c>
      <c r="B9612" s="10" t="str">
        <f>"9781942496946"</f>
        <v>9781942496946</v>
      </c>
      <c r="C9612" s="10" t="str">
        <f>"9781942496953"</f>
        <v>9781942496953</v>
      </c>
      <c r="D9612" s="10" t="s">
        <v>37580</v>
      </c>
      <c r="E9612" s="10" t="s">
        <v>37581</v>
      </c>
      <c r="F9612" s="10" t="s">
        <v>37623</v>
      </c>
      <c r="G9612" s="10" t="s">
        <v>6317</v>
      </c>
      <c r="H9612" s="11">
        <v>42566</v>
      </c>
      <c r="I9612" s="10">
        <v>2017</v>
      </c>
      <c r="J9612" s="10" t="s">
        <v>37581</v>
      </c>
      <c r="K9612" s="10">
        <v>224</v>
      </c>
      <c r="L9612" s="10" t="s">
        <v>43226</v>
      </c>
      <c r="M9612" s="10">
        <v>1</v>
      </c>
      <c r="N9612" s="10"/>
      <c r="O9612" s="10"/>
      <c r="P9612" s="10"/>
      <c r="Q9612" s="10"/>
      <c r="R9612" s="10"/>
      <c r="S9612" s="10" t="s">
        <v>53</v>
      </c>
      <c r="T9612" s="10" t="s">
        <v>54</v>
      </c>
    </row>
    <row r="9613" spans="1:20" ht="14.5" x14ac:dyDescent="0.35">
      <c r="A9613" s="10" t="s">
        <v>43227</v>
      </c>
      <c r="B9613" s="10" t="str">
        <f>"9780991374878"</f>
        <v>9780991374878</v>
      </c>
      <c r="C9613" s="10" t="str">
        <f>"9780991374885"</f>
        <v>9780991374885</v>
      </c>
      <c r="D9613" s="10" t="s">
        <v>37594</v>
      </c>
      <c r="E9613" s="10" t="s">
        <v>37594</v>
      </c>
      <c r="F9613" s="10" t="s">
        <v>37623</v>
      </c>
      <c r="G9613" s="10" t="s">
        <v>6317</v>
      </c>
      <c r="H9613" s="11">
        <v>42650</v>
      </c>
      <c r="I9613" s="10">
        <v>2017</v>
      </c>
      <c r="J9613" s="10" t="s">
        <v>37594</v>
      </c>
      <c r="K9613" s="10">
        <v>192</v>
      </c>
      <c r="L9613" s="10" t="s">
        <v>43228</v>
      </c>
      <c r="M9613" s="10">
        <v>1</v>
      </c>
      <c r="N9613" s="10"/>
      <c r="O9613" s="10"/>
      <c r="P9613" s="10"/>
      <c r="Q9613" s="10"/>
      <c r="R9613" s="10"/>
      <c r="S9613" s="10" t="s">
        <v>53</v>
      </c>
      <c r="T9613" s="10" t="s">
        <v>54</v>
      </c>
    </row>
    <row r="9614" spans="1:20" ht="14.5" x14ac:dyDescent="0.35">
      <c r="A9614" s="10" t="s">
        <v>43229</v>
      </c>
      <c r="B9614" s="10" t="str">
        <f>"9781475824797"</f>
        <v>9781475824797</v>
      </c>
      <c r="C9614" s="10" t="str">
        <f>"9781475824803"</f>
        <v>9781475824803</v>
      </c>
      <c r="D9614" s="10" t="s">
        <v>9752</v>
      </c>
      <c r="E9614" s="10" t="s">
        <v>15187</v>
      </c>
      <c r="F9614" s="10" t="s">
        <v>9754</v>
      </c>
      <c r="G9614" s="10" t="s">
        <v>6317</v>
      </c>
      <c r="H9614" s="11">
        <v>42636</v>
      </c>
      <c r="I9614" s="10">
        <v>2016</v>
      </c>
      <c r="J9614" s="10" t="s">
        <v>15187</v>
      </c>
      <c r="K9614" s="10">
        <v>137</v>
      </c>
      <c r="L9614" s="10" t="s">
        <v>43230</v>
      </c>
      <c r="M9614" s="10">
        <v>1</v>
      </c>
      <c r="N9614" s="10"/>
      <c r="O9614" s="10"/>
      <c r="P9614" s="10" t="s">
        <v>43231</v>
      </c>
      <c r="Q9614" s="10">
        <v>808.04207120000001</v>
      </c>
      <c r="R9614" s="10" t="s">
        <v>43232</v>
      </c>
      <c r="S9614" s="10" t="s">
        <v>53</v>
      </c>
      <c r="T9614" s="10" t="s">
        <v>8424</v>
      </c>
    </row>
    <row r="9615" spans="1:20" ht="14.5" x14ac:dyDescent="0.35">
      <c r="A9615" s="10" t="s">
        <v>43233</v>
      </c>
      <c r="B9615" s="10" t="str">
        <f>"9781475821093"</f>
        <v>9781475821093</v>
      </c>
      <c r="C9615" s="10" t="str">
        <f>"9781475821109"</f>
        <v>9781475821109</v>
      </c>
      <c r="D9615" s="10" t="s">
        <v>9752</v>
      </c>
      <c r="E9615" s="10" t="s">
        <v>15187</v>
      </c>
      <c r="F9615" s="10" t="s">
        <v>9754</v>
      </c>
      <c r="G9615" s="10" t="s">
        <v>6317</v>
      </c>
      <c r="H9615" s="11">
        <v>42636</v>
      </c>
      <c r="I9615" s="10">
        <v>2016</v>
      </c>
      <c r="J9615" s="10" t="s">
        <v>15187</v>
      </c>
      <c r="K9615" s="10">
        <v>217</v>
      </c>
      <c r="L9615" s="10" t="s">
        <v>43234</v>
      </c>
      <c r="M9615" s="10">
        <v>1</v>
      </c>
      <c r="N9615" s="10"/>
      <c r="O9615" s="10"/>
      <c r="P9615" s="10" t="s">
        <v>43235</v>
      </c>
      <c r="Q9615" s="10">
        <v>338.43378000000001</v>
      </c>
      <c r="R9615" s="10" t="s">
        <v>43236</v>
      </c>
      <c r="S9615" s="10" t="s">
        <v>53</v>
      </c>
      <c r="T9615" s="10" t="s">
        <v>19483</v>
      </c>
    </row>
    <row r="9616" spans="1:20" ht="14.5" x14ac:dyDescent="0.35">
      <c r="A9616" s="10" t="s">
        <v>43237</v>
      </c>
      <c r="B9616" s="10" t="str">
        <f>""</f>
        <v/>
      </c>
      <c r="C9616" s="10" t="str">
        <f>"9781003841340"</f>
        <v>9781003841340</v>
      </c>
      <c r="D9616" s="10" t="s">
        <v>6350</v>
      </c>
      <c r="E9616" s="10" t="s">
        <v>27972</v>
      </c>
      <c r="F9616" s="10" t="s">
        <v>4712</v>
      </c>
      <c r="G9616" s="10" t="s">
        <v>6317</v>
      </c>
      <c r="H9616" s="11">
        <v>40472</v>
      </c>
      <c r="I9616" s="10">
        <v>2010</v>
      </c>
      <c r="J9616" s="10" t="s">
        <v>27972</v>
      </c>
      <c r="K9616" s="10">
        <v>165</v>
      </c>
      <c r="L9616" s="10" t="s">
        <v>43238</v>
      </c>
      <c r="M9616" s="10">
        <v>1</v>
      </c>
      <c r="N9616" s="10"/>
      <c r="O9616" s="10"/>
      <c r="P9616" s="10" t="s">
        <v>43239</v>
      </c>
      <c r="Q9616" s="10">
        <v>428.4</v>
      </c>
      <c r="R9616" s="10" t="s">
        <v>24586</v>
      </c>
      <c r="S9616" s="10" t="s">
        <v>53</v>
      </c>
      <c r="T9616" s="10" t="s">
        <v>6634</v>
      </c>
    </row>
    <row r="9617" spans="1:20" ht="14.5" x14ac:dyDescent="0.35">
      <c r="A9617" s="10" t="s">
        <v>43240</v>
      </c>
      <c r="B9617" s="10" t="str">
        <f>"9780081019214"</f>
        <v>9780081019214</v>
      </c>
      <c r="C9617" s="10" t="str">
        <f>"9780081019221"</f>
        <v>9780081019221</v>
      </c>
      <c r="D9617" s="10" t="s">
        <v>8547</v>
      </c>
      <c r="E9617" s="10" t="s">
        <v>8548</v>
      </c>
      <c r="F9617" s="10" t="s">
        <v>31644</v>
      </c>
      <c r="G9617" s="10" t="s">
        <v>6352</v>
      </c>
      <c r="H9617" s="11">
        <v>42650</v>
      </c>
      <c r="I9617" s="10">
        <v>2017</v>
      </c>
      <c r="J9617" s="10" t="s">
        <v>27024</v>
      </c>
      <c r="K9617" s="10">
        <v>291</v>
      </c>
      <c r="L9617" s="10" t="s">
        <v>43241</v>
      </c>
      <c r="M9617" s="10">
        <v>1</v>
      </c>
      <c r="N9617" s="10"/>
      <c r="O9617" s="10"/>
      <c r="P9617" s="10" t="s">
        <v>43242</v>
      </c>
      <c r="Q9617" s="10">
        <v>378</v>
      </c>
      <c r="R9617" s="10" t="s">
        <v>43243</v>
      </c>
      <c r="S9617" s="10" t="s">
        <v>53</v>
      </c>
      <c r="T9617" s="10" t="s">
        <v>54</v>
      </c>
    </row>
    <row r="9618" spans="1:20" ht="14.5" x14ac:dyDescent="0.35">
      <c r="A9618" s="10" t="s">
        <v>43244</v>
      </c>
      <c r="B9618" s="10" t="str">
        <f>"9780520293007"</f>
        <v>9780520293007</v>
      </c>
      <c r="C9618" s="10" t="str">
        <f>"9780520966284"</f>
        <v>9780520966284</v>
      </c>
      <c r="D9618" s="10" t="s">
        <v>8512</v>
      </c>
      <c r="E9618" s="10" t="s">
        <v>8512</v>
      </c>
      <c r="F9618" s="10" t="s">
        <v>717</v>
      </c>
      <c r="G9618" s="10" t="s">
        <v>6317</v>
      </c>
      <c r="H9618" s="11">
        <v>42969</v>
      </c>
      <c r="I9618" s="10">
        <v>2017</v>
      </c>
      <c r="J9618" s="10" t="s">
        <v>8512</v>
      </c>
      <c r="K9618" s="10">
        <v>135</v>
      </c>
      <c r="L9618" s="10" t="s">
        <v>24738</v>
      </c>
      <c r="M9618" s="10">
        <v>1</v>
      </c>
      <c r="N9618" s="10" t="s">
        <v>43245</v>
      </c>
      <c r="O9618" s="10">
        <v>1</v>
      </c>
      <c r="P9618" s="10" t="s">
        <v>43246</v>
      </c>
      <c r="Q9618" s="10" t="s">
        <v>14126</v>
      </c>
      <c r="R9618" s="10" t="s">
        <v>43247</v>
      </c>
      <c r="S9618" s="10" t="s">
        <v>53</v>
      </c>
      <c r="T9618" s="10" t="s">
        <v>54</v>
      </c>
    </row>
    <row r="9619" spans="1:20" ht="14.5" x14ac:dyDescent="0.35">
      <c r="A9619" s="10" t="s">
        <v>43248</v>
      </c>
      <c r="B9619" s="10" t="str">
        <f>"9781475821635"</f>
        <v>9781475821635</v>
      </c>
      <c r="C9619" s="10" t="str">
        <f>"9781475821642"</f>
        <v>9781475821642</v>
      </c>
      <c r="D9619" s="10" t="s">
        <v>9752</v>
      </c>
      <c r="E9619" s="10" t="s">
        <v>15187</v>
      </c>
      <c r="F9619" s="10" t="s">
        <v>9754</v>
      </c>
      <c r="G9619" s="10" t="s">
        <v>6317</v>
      </c>
      <c r="H9619" s="11">
        <v>42657</v>
      </c>
      <c r="I9619" s="10">
        <v>2016</v>
      </c>
      <c r="J9619" s="10" t="s">
        <v>15187</v>
      </c>
      <c r="K9619" s="10">
        <v>131</v>
      </c>
      <c r="L9619" s="10" t="s">
        <v>43180</v>
      </c>
      <c r="M9619" s="10">
        <v>2</v>
      </c>
      <c r="N9619" s="10"/>
      <c r="O9619" s="10"/>
      <c r="P9619" s="10" t="s">
        <v>43249</v>
      </c>
      <c r="Q9619" s="10">
        <v>371.30281000000002</v>
      </c>
      <c r="R9619" s="10" t="s">
        <v>12141</v>
      </c>
      <c r="S9619" s="10" t="s">
        <v>53</v>
      </c>
      <c r="T9619" s="10" t="s">
        <v>54</v>
      </c>
    </row>
    <row r="9620" spans="1:20" ht="14.5" x14ac:dyDescent="0.35">
      <c r="A9620" s="10" t="s">
        <v>43250</v>
      </c>
      <c r="B9620" s="10" t="str">
        <f>"9781475827446"</f>
        <v>9781475827446</v>
      </c>
      <c r="C9620" s="10" t="str">
        <f>"9781475827460"</f>
        <v>9781475827460</v>
      </c>
      <c r="D9620" s="10" t="s">
        <v>9752</v>
      </c>
      <c r="E9620" s="10" t="s">
        <v>15187</v>
      </c>
      <c r="F9620" s="10" t="s">
        <v>9754</v>
      </c>
      <c r="G9620" s="10" t="s">
        <v>6317</v>
      </c>
      <c r="H9620" s="11">
        <v>42634</v>
      </c>
      <c r="I9620" s="10">
        <v>2016</v>
      </c>
      <c r="J9620" s="10" t="s">
        <v>15187</v>
      </c>
      <c r="K9620" s="10">
        <v>220</v>
      </c>
      <c r="L9620" s="10" t="s">
        <v>43251</v>
      </c>
      <c r="M9620" s="10">
        <v>1</v>
      </c>
      <c r="N9620" s="10"/>
      <c r="O9620" s="10"/>
      <c r="P9620" s="10" t="s">
        <v>43252</v>
      </c>
      <c r="Q9620" s="10">
        <v>378.00229999999999</v>
      </c>
      <c r="R9620" s="10" t="s">
        <v>43253</v>
      </c>
      <c r="S9620" s="10" t="s">
        <v>53</v>
      </c>
      <c r="T9620" s="10" t="s">
        <v>54</v>
      </c>
    </row>
    <row r="9621" spans="1:20" ht="14.5" x14ac:dyDescent="0.35">
      <c r="A9621" s="10" t="s">
        <v>43254</v>
      </c>
      <c r="B9621" s="10" t="str">
        <f>"9781475830545"</f>
        <v>9781475830545</v>
      </c>
      <c r="C9621" s="10" t="str">
        <f>"9781475830552"</f>
        <v>9781475830552</v>
      </c>
      <c r="D9621" s="10" t="s">
        <v>9752</v>
      </c>
      <c r="E9621" s="10" t="s">
        <v>15187</v>
      </c>
      <c r="F9621" s="10" t="s">
        <v>9754</v>
      </c>
      <c r="G9621" s="10" t="s">
        <v>6317</v>
      </c>
      <c r="H9621" s="11">
        <v>42655</v>
      </c>
      <c r="I9621" s="10">
        <v>2016</v>
      </c>
      <c r="J9621" s="10" t="s">
        <v>15187</v>
      </c>
      <c r="K9621" s="10">
        <v>97</v>
      </c>
      <c r="L9621" s="10" t="s">
        <v>43255</v>
      </c>
      <c r="M9621" s="10">
        <v>1</v>
      </c>
      <c r="N9621" s="10" t="s">
        <v>43256</v>
      </c>
      <c r="O9621" s="10"/>
      <c r="P9621" s="10" t="s">
        <v>43257</v>
      </c>
      <c r="Q9621" s="10">
        <v>371.20119999999997</v>
      </c>
      <c r="R9621" s="10" t="s">
        <v>9758</v>
      </c>
      <c r="S9621" s="10" t="s">
        <v>53</v>
      </c>
      <c r="T9621" s="10" t="s">
        <v>54</v>
      </c>
    </row>
    <row r="9622" spans="1:20" ht="14.5" x14ac:dyDescent="0.35">
      <c r="A9622" s="10" t="s">
        <v>43258</v>
      </c>
      <c r="B9622" s="10" t="str">
        <f>"9781683930099"</f>
        <v>9781683930099</v>
      </c>
      <c r="C9622" s="10" t="str">
        <f>"9781683930105"</f>
        <v>9781683930105</v>
      </c>
      <c r="D9622" s="10" t="s">
        <v>9752</v>
      </c>
      <c r="E9622" s="10" t="s">
        <v>20085</v>
      </c>
      <c r="F9622" s="10" t="s">
        <v>9754</v>
      </c>
      <c r="G9622" s="10" t="s">
        <v>6317</v>
      </c>
      <c r="H9622" s="11">
        <v>42650</v>
      </c>
      <c r="I9622" s="10">
        <v>2016</v>
      </c>
      <c r="J9622" s="10" t="s">
        <v>20085</v>
      </c>
      <c r="K9622" s="10">
        <v>216</v>
      </c>
      <c r="L9622" s="10" t="s">
        <v>43259</v>
      </c>
      <c r="M9622" s="10">
        <v>1</v>
      </c>
      <c r="N9622" s="10"/>
      <c r="O9622" s="10"/>
      <c r="P9622" s="10" t="s">
        <v>43260</v>
      </c>
      <c r="Q9622" s="10">
        <v>378.1</v>
      </c>
      <c r="R9622" s="10" t="s">
        <v>6765</v>
      </c>
      <c r="S9622" s="10" t="s">
        <v>53</v>
      </c>
      <c r="T9622" s="10" t="s">
        <v>54</v>
      </c>
    </row>
    <row r="9623" spans="1:20" ht="14.5" x14ac:dyDescent="0.35">
      <c r="A9623" s="10" t="s">
        <v>43261</v>
      </c>
      <c r="B9623" s="10" t="str">
        <f>"9780761867883"</f>
        <v>9780761867883</v>
      </c>
      <c r="C9623" s="10" t="str">
        <f>"9780761867890"</f>
        <v>9780761867890</v>
      </c>
      <c r="D9623" s="10" t="s">
        <v>9752</v>
      </c>
      <c r="E9623" s="10" t="s">
        <v>17167</v>
      </c>
      <c r="F9623" s="10" t="s">
        <v>9754</v>
      </c>
      <c r="G9623" s="10" t="s">
        <v>6317</v>
      </c>
      <c r="H9623" s="11">
        <v>42655</v>
      </c>
      <c r="I9623" s="10">
        <v>2016</v>
      </c>
      <c r="J9623" s="10" t="s">
        <v>17167</v>
      </c>
      <c r="K9623" s="10">
        <v>165</v>
      </c>
      <c r="L9623" s="10" t="s">
        <v>43262</v>
      </c>
      <c r="M9623" s="10">
        <v>1</v>
      </c>
      <c r="N9623" s="10" t="s">
        <v>22943</v>
      </c>
      <c r="O9623" s="10"/>
      <c r="P9623" s="10" t="s">
        <v>43263</v>
      </c>
      <c r="Q9623" s="10" t="s">
        <v>20959</v>
      </c>
      <c r="R9623" s="10" t="s">
        <v>33248</v>
      </c>
      <c r="S9623" s="10" t="s">
        <v>53</v>
      </c>
      <c r="T9623" s="10" t="s">
        <v>9291</v>
      </c>
    </row>
    <row r="9624" spans="1:20" ht="14.5" x14ac:dyDescent="0.35">
      <c r="A9624" s="10" t="s">
        <v>43264</v>
      </c>
      <c r="B9624" s="10" t="str">
        <f>"9783319409542"</f>
        <v>9783319409542</v>
      </c>
      <c r="C9624" s="10" t="str">
        <f>"9783319409566"</f>
        <v>9783319409566</v>
      </c>
      <c r="D9624" s="10" t="s">
        <v>11249</v>
      </c>
      <c r="E9624" s="10" t="s">
        <v>26623</v>
      </c>
      <c r="F9624" s="10" t="s">
        <v>26624</v>
      </c>
      <c r="G9624" s="10" t="s">
        <v>16676</v>
      </c>
      <c r="H9624" s="11">
        <v>42657</v>
      </c>
      <c r="I9624" s="10">
        <v>2017</v>
      </c>
      <c r="J9624" s="10" t="s">
        <v>13067</v>
      </c>
      <c r="K9624" s="10">
        <v>314</v>
      </c>
      <c r="L9624" s="10" t="s">
        <v>43265</v>
      </c>
      <c r="M9624" s="10">
        <v>1</v>
      </c>
      <c r="N9624" s="10" t="s">
        <v>43266</v>
      </c>
      <c r="O9624" s="10">
        <v>27</v>
      </c>
      <c r="P9624" s="10" t="s">
        <v>41987</v>
      </c>
      <c r="Q9624" s="10">
        <v>371.3</v>
      </c>
      <c r="R9624" s="10" t="s">
        <v>6765</v>
      </c>
      <c r="S9624" s="10" t="s">
        <v>53</v>
      </c>
      <c r="T9624" s="10" t="s">
        <v>6634</v>
      </c>
    </row>
    <row r="9625" spans="1:20" ht="14.5" x14ac:dyDescent="0.35">
      <c r="A9625" s="10" t="s">
        <v>43267</v>
      </c>
      <c r="B9625" s="10" t="str">
        <f>"9780945639541"</f>
        <v>9780945639541</v>
      </c>
      <c r="C9625" s="10" t="str">
        <f>"9781943028214"</f>
        <v>9781943028214</v>
      </c>
      <c r="D9625" s="10" t="s">
        <v>27268</v>
      </c>
      <c r="E9625" s="10" t="s">
        <v>43268</v>
      </c>
      <c r="F9625" s="10" t="s">
        <v>1061</v>
      </c>
      <c r="G9625" s="10" t="s">
        <v>6317</v>
      </c>
      <c r="H9625" s="11">
        <v>40909</v>
      </c>
      <c r="I9625" s="10">
        <v>2012</v>
      </c>
      <c r="J9625" s="10" t="s">
        <v>43268</v>
      </c>
      <c r="K9625" s="10">
        <v>12</v>
      </c>
      <c r="L9625" s="10" t="s">
        <v>43269</v>
      </c>
      <c r="M9625" s="10">
        <v>1</v>
      </c>
      <c r="N9625" s="10"/>
      <c r="O9625" s="10"/>
      <c r="P9625" s="10" t="s">
        <v>43270</v>
      </c>
      <c r="Q9625" s="10">
        <v>370.11599999999902</v>
      </c>
      <c r="R9625" s="10" t="s">
        <v>31027</v>
      </c>
      <c r="S9625" s="10" t="s">
        <v>53</v>
      </c>
      <c r="T9625" s="10" t="s">
        <v>54</v>
      </c>
    </row>
    <row r="9626" spans="1:20" ht="14.5" x14ac:dyDescent="0.35">
      <c r="A9626" s="10" t="s">
        <v>43271</v>
      </c>
      <c r="B9626" s="10" t="str">
        <f>"9781475821369"</f>
        <v>9781475821369</v>
      </c>
      <c r="C9626" s="10" t="str">
        <f>"9781475821376"</f>
        <v>9781475821376</v>
      </c>
      <c r="D9626" s="10" t="s">
        <v>9752</v>
      </c>
      <c r="E9626" s="10" t="s">
        <v>15187</v>
      </c>
      <c r="F9626" s="10" t="s">
        <v>9754</v>
      </c>
      <c r="G9626" s="10" t="s">
        <v>6317</v>
      </c>
      <c r="H9626" s="11">
        <v>42627</v>
      </c>
      <c r="I9626" s="10">
        <v>2016</v>
      </c>
      <c r="J9626" s="10" t="s">
        <v>15187</v>
      </c>
      <c r="K9626" s="10">
        <v>195</v>
      </c>
      <c r="L9626" s="10" t="s">
        <v>41849</v>
      </c>
      <c r="M9626" s="10">
        <v>1</v>
      </c>
      <c r="N9626" s="10"/>
      <c r="O9626" s="10"/>
      <c r="P9626" s="10" t="s">
        <v>43272</v>
      </c>
      <c r="Q9626" s="10">
        <v>372.89044000000001</v>
      </c>
      <c r="R9626" s="10" t="s">
        <v>43273</v>
      </c>
      <c r="S9626" s="10" t="s">
        <v>53</v>
      </c>
      <c r="T9626" s="10" t="s">
        <v>54</v>
      </c>
    </row>
    <row r="9627" spans="1:20" ht="14.5" x14ac:dyDescent="0.35">
      <c r="A9627" s="10" t="s">
        <v>43274</v>
      </c>
      <c r="B9627" s="10" t="str">
        <f>"9781475825268"</f>
        <v>9781475825268</v>
      </c>
      <c r="C9627" s="10" t="str">
        <f>"9781475825275"</f>
        <v>9781475825275</v>
      </c>
      <c r="D9627" s="10" t="s">
        <v>9752</v>
      </c>
      <c r="E9627" s="10" t="s">
        <v>15187</v>
      </c>
      <c r="F9627" s="10" t="s">
        <v>9754</v>
      </c>
      <c r="G9627" s="10" t="s">
        <v>6317</v>
      </c>
      <c r="H9627" s="11">
        <v>42661</v>
      </c>
      <c r="I9627" s="10">
        <v>2016</v>
      </c>
      <c r="J9627" s="10" t="s">
        <v>15187</v>
      </c>
      <c r="K9627" s="10">
        <v>161</v>
      </c>
      <c r="L9627" s="10" t="s">
        <v>43275</v>
      </c>
      <c r="M9627" s="10">
        <v>1</v>
      </c>
      <c r="N9627" s="10"/>
      <c r="O9627" s="10"/>
      <c r="P9627" s="10" t="s">
        <v>43276</v>
      </c>
      <c r="Q9627" s="10">
        <v>306.76608349999998</v>
      </c>
      <c r="R9627" s="10" t="s">
        <v>43277</v>
      </c>
      <c r="S9627" s="10" t="s">
        <v>53</v>
      </c>
      <c r="T9627" s="10" t="s">
        <v>6363</v>
      </c>
    </row>
    <row r="9628" spans="1:20" ht="14.5" x14ac:dyDescent="0.35">
      <c r="A9628" s="10" t="s">
        <v>43278</v>
      </c>
      <c r="B9628" s="10" t="str">
        <f>"9781475826906"</f>
        <v>9781475826906</v>
      </c>
      <c r="C9628" s="10" t="str">
        <f>"9781475826920"</f>
        <v>9781475826920</v>
      </c>
      <c r="D9628" s="10" t="s">
        <v>9752</v>
      </c>
      <c r="E9628" s="10" t="s">
        <v>15187</v>
      </c>
      <c r="F9628" s="10" t="s">
        <v>9754</v>
      </c>
      <c r="G9628" s="10" t="s">
        <v>6317</v>
      </c>
      <c r="H9628" s="11">
        <v>42612</v>
      </c>
      <c r="I9628" s="10">
        <v>2016</v>
      </c>
      <c r="J9628" s="10" t="s">
        <v>15187</v>
      </c>
      <c r="K9628" s="10">
        <v>253</v>
      </c>
      <c r="L9628" s="10" t="s">
        <v>43279</v>
      </c>
      <c r="M9628" s="10">
        <v>1</v>
      </c>
      <c r="N9628" s="10"/>
      <c r="O9628" s="10"/>
      <c r="P9628" s="10" t="s">
        <v>43280</v>
      </c>
      <c r="Q9628" s="10">
        <v>378.16109729999999</v>
      </c>
      <c r="R9628" s="10" t="s">
        <v>43281</v>
      </c>
      <c r="S9628" s="10" t="s">
        <v>53</v>
      </c>
      <c r="T9628" s="10" t="s">
        <v>54</v>
      </c>
    </row>
    <row r="9629" spans="1:20" ht="14.5" x14ac:dyDescent="0.35">
      <c r="A9629" s="10" t="s">
        <v>43282</v>
      </c>
      <c r="B9629" s="10" t="str">
        <f>"9781475821123"</f>
        <v>9781475821123</v>
      </c>
      <c r="C9629" s="10" t="str">
        <f>"9781475821130"</f>
        <v>9781475821130</v>
      </c>
      <c r="D9629" s="10" t="s">
        <v>9752</v>
      </c>
      <c r="E9629" s="10" t="s">
        <v>15187</v>
      </c>
      <c r="F9629" s="10" t="s">
        <v>9754</v>
      </c>
      <c r="G9629" s="10" t="s">
        <v>6317</v>
      </c>
      <c r="H9629" s="11">
        <v>42627</v>
      </c>
      <c r="I9629" s="10">
        <v>2016</v>
      </c>
      <c r="J9629" s="10" t="s">
        <v>15187</v>
      </c>
      <c r="K9629" s="10">
        <v>195</v>
      </c>
      <c r="L9629" s="10" t="s">
        <v>43283</v>
      </c>
      <c r="M9629" s="10">
        <v>1</v>
      </c>
      <c r="N9629" s="10"/>
      <c r="O9629" s="10"/>
      <c r="P9629" s="10" t="s">
        <v>43284</v>
      </c>
      <c r="Q9629" s="10">
        <v>371.82691199999999</v>
      </c>
      <c r="R9629" s="10" t="s">
        <v>43285</v>
      </c>
      <c r="S9629" s="10" t="s">
        <v>53</v>
      </c>
      <c r="T9629" s="10" t="s">
        <v>54</v>
      </c>
    </row>
    <row r="9630" spans="1:20" ht="14.5" x14ac:dyDescent="0.35">
      <c r="A9630" s="10" t="s">
        <v>43286</v>
      </c>
      <c r="B9630" s="10" t="str">
        <f>"9781475822922"</f>
        <v>9781475822922</v>
      </c>
      <c r="C9630" s="10" t="str">
        <f>"9781475822946"</f>
        <v>9781475822946</v>
      </c>
      <c r="D9630" s="10" t="s">
        <v>9752</v>
      </c>
      <c r="E9630" s="10" t="s">
        <v>15187</v>
      </c>
      <c r="F9630" s="10" t="s">
        <v>9754</v>
      </c>
      <c r="G9630" s="10" t="s">
        <v>6317</v>
      </c>
      <c r="H9630" s="11">
        <v>42642</v>
      </c>
      <c r="I9630" s="10">
        <v>2016</v>
      </c>
      <c r="J9630" s="10" t="s">
        <v>15187</v>
      </c>
      <c r="K9630" s="10">
        <v>158</v>
      </c>
      <c r="L9630" s="10" t="s">
        <v>43287</v>
      </c>
      <c r="M9630" s="10">
        <v>1</v>
      </c>
      <c r="N9630" s="10"/>
      <c r="O9630" s="10"/>
      <c r="P9630" s="10" t="s">
        <v>43288</v>
      </c>
      <c r="Q9630" s="10">
        <v>371.39400000000001</v>
      </c>
      <c r="R9630" s="10" t="s">
        <v>43289</v>
      </c>
      <c r="S9630" s="10" t="s">
        <v>53</v>
      </c>
      <c r="T9630" s="10" t="s">
        <v>54</v>
      </c>
    </row>
    <row r="9631" spans="1:20" ht="14.5" x14ac:dyDescent="0.35">
      <c r="A9631" s="10" t="s">
        <v>43290</v>
      </c>
      <c r="B9631" s="10" t="str">
        <f>"9781475829518"</f>
        <v>9781475829518</v>
      </c>
      <c r="C9631" s="10" t="str">
        <f>"9781475829532"</f>
        <v>9781475829532</v>
      </c>
      <c r="D9631" s="10" t="s">
        <v>9752</v>
      </c>
      <c r="E9631" s="10" t="s">
        <v>15187</v>
      </c>
      <c r="F9631" s="10" t="s">
        <v>9754</v>
      </c>
      <c r="G9631" s="10" t="s">
        <v>6317</v>
      </c>
      <c r="H9631" s="11">
        <v>42621</v>
      </c>
      <c r="I9631" s="10">
        <v>2016</v>
      </c>
      <c r="J9631" s="10" t="s">
        <v>15187</v>
      </c>
      <c r="K9631" s="10">
        <v>141</v>
      </c>
      <c r="L9631" s="10" t="s">
        <v>43291</v>
      </c>
      <c r="M9631" s="10">
        <v>1</v>
      </c>
      <c r="N9631" s="10"/>
      <c r="O9631" s="10"/>
      <c r="P9631" s="10" t="s">
        <v>43292</v>
      </c>
      <c r="Q9631" s="10">
        <v>372.8</v>
      </c>
      <c r="R9631" s="10" t="s">
        <v>43293</v>
      </c>
      <c r="S9631" s="10" t="s">
        <v>53</v>
      </c>
      <c r="T9631" s="10" t="s">
        <v>12015</v>
      </c>
    </row>
    <row r="9632" spans="1:20" ht="14.5" x14ac:dyDescent="0.35">
      <c r="A9632" s="10" t="s">
        <v>43294</v>
      </c>
      <c r="B9632" s="10" t="str">
        <f>"9781473948914"</f>
        <v>9781473948914</v>
      </c>
      <c r="C9632" s="10" t="str">
        <f>"9781473988170"</f>
        <v>9781473988170</v>
      </c>
      <c r="D9632" s="10" t="s">
        <v>9325</v>
      </c>
      <c r="E9632" s="10" t="s">
        <v>9326</v>
      </c>
      <c r="F9632" s="10" t="s">
        <v>139</v>
      </c>
      <c r="G9632" s="10" t="s">
        <v>6352</v>
      </c>
      <c r="H9632" s="11">
        <v>42770</v>
      </c>
      <c r="I9632" s="10">
        <v>2017</v>
      </c>
      <c r="J9632" s="10" t="s">
        <v>9326</v>
      </c>
      <c r="K9632" s="10">
        <v>217</v>
      </c>
      <c r="L9632" s="10" t="s">
        <v>43295</v>
      </c>
      <c r="M9632" s="10">
        <v>1</v>
      </c>
      <c r="N9632" s="10"/>
      <c r="O9632" s="10"/>
      <c r="P9632" s="10" t="s">
        <v>43296</v>
      </c>
      <c r="Q9632" s="10">
        <v>371.38400000000001</v>
      </c>
      <c r="R9632" s="10" t="s">
        <v>17739</v>
      </c>
      <c r="S9632" s="10" t="s">
        <v>53</v>
      </c>
      <c r="T9632" s="10" t="s">
        <v>54</v>
      </c>
    </row>
    <row r="9633" spans="1:20" ht="14.5" x14ac:dyDescent="0.35">
      <c r="A9633" s="10" t="s">
        <v>43297</v>
      </c>
      <c r="B9633" s="10" t="str">
        <f>"9781785920264"</f>
        <v>9781785920264</v>
      </c>
      <c r="C9633" s="10" t="str">
        <f>"9781784502737"</f>
        <v>9781784502737</v>
      </c>
      <c r="D9633" s="10" t="s">
        <v>10516</v>
      </c>
      <c r="E9633" s="10" t="s">
        <v>10516</v>
      </c>
      <c r="F9633" s="10" t="s">
        <v>139</v>
      </c>
      <c r="G9633" s="10" t="s">
        <v>6352</v>
      </c>
      <c r="H9633" s="11">
        <v>42695</v>
      </c>
      <c r="I9633" s="10">
        <v>2016</v>
      </c>
      <c r="J9633" s="10" t="s">
        <v>10516</v>
      </c>
      <c r="K9633" s="10">
        <v>82</v>
      </c>
      <c r="L9633" s="10" t="s">
        <v>43298</v>
      </c>
      <c r="M9633" s="10">
        <v>1</v>
      </c>
      <c r="N9633" s="10"/>
      <c r="O9633" s="10"/>
      <c r="P9633" s="10" t="s">
        <v>43299</v>
      </c>
      <c r="Q9633" s="10">
        <v>372.11023999999998</v>
      </c>
      <c r="R9633" s="10" t="s">
        <v>43300</v>
      </c>
      <c r="S9633" s="10" t="s">
        <v>53</v>
      </c>
      <c r="T9633" s="10" t="s">
        <v>54</v>
      </c>
    </row>
    <row r="9634" spans="1:20" ht="14.5" x14ac:dyDescent="0.35">
      <c r="A9634" s="10" t="s">
        <v>43301</v>
      </c>
      <c r="B9634" s="10" t="str">
        <f>"9781403977403"</f>
        <v>9781403977403</v>
      </c>
      <c r="C9634" s="10" t="str">
        <f>"9780230613775"</f>
        <v>9780230613775</v>
      </c>
      <c r="D9634" s="10" t="s">
        <v>11249</v>
      </c>
      <c r="E9634" s="10" t="s">
        <v>2400</v>
      </c>
      <c r="F9634" s="10" t="s">
        <v>70</v>
      </c>
      <c r="G9634" s="10" t="s">
        <v>6317</v>
      </c>
      <c r="H9634" s="11">
        <v>39720</v>
      </c>
      <c r="I9634" s="10">
        <v>2008</v>
      </c>
      <c r="J9634" s="10" t="s">
        <v>2400</v>
      </c>
      <c r="K9634" s="10">
        <v>190</v>
      </c>
      <c r="L9634" s="10" t="s">
        <v>43302</v>
      </c>
      <c r="M9634" s="10">
        <v>1</v>
      </c>
      <c r="N9634" s="10" t="s">
        <v>43303</v>
      </c>
      <c r="O9634" s="10"/>
      <c r="P9634" s="10" t="s">
        <v>11370</v>
      </c>
      <c r="Q9634" s="10"/>
      <c r="R9634" s="10" t="s">
        <v>11371</v>
      </c>
      <c r="S9634" s="10" t="s">
        <v>53</v>
      </c>
      <c r="T9634" s="10" t="s">
        <v>54</v>
      </c>
    </row>
    <row r="9635" spans="1:20" ht="14.5" x14ac:dyDescent="0.35">
      <c r="A9635" s="10" t="s">
        <v>43304</v>
      </c>
      <c r="B9635" s="10" t="str">
        <f>"9780230609167"</f>
        <v>9780230609167</v>
      </c>
      <c r="C9635" s="10" t="str">
        <f>"9780230621565"</f>
        <v>9780230621565</v>
      </c>
      <c r="D9635" s="10" t="s">
        <v>11249</v>
      </c>
      <c r="E9635" s="10" t="s">
        <v>2400</v>
      </c>
      <c r="F9635" s="10" t="s">
        <v>70</v>
      </c>
      <c r="G9635" s="10" t="s">
        <v>6317</v>
      </c>
      <c r="H9635" s="11">
        <v>39980</v>
      </c>
      <c r="I9635" s="10">
        <v>2009</v>
      </c>
      <c r="J9635" s="10" t="s">
        <v>2400</v>
      </c>
      <c r="K9635" s="10">
        <v>285</v>
      </c>
      <c r="L9635" s="10" t="s">
        <v>43305</v>
      </c>
      <c r="M9635" s="10">
        <v>1</v>
      </c>
      <c r="N9635" s="10" t="s">
        <v>17470</v>
      </c>
      <c r="O9635" s="10"/>
      <c r="P9635" s="10" t="s">
        <v>17110</v>
      </c>
      <c r="Q9635" s="10"/>
      <c r="R9635" s="10" t="s">
        <v>43306</v>
      </c>
      <c r="S9635" s="10" t="s">
        <v>53</v>
      </c>
      <c r="T9635" s="10" t="s">
        <v>54</v>
      </c>
    </row>
    <row r="9636" spans="1:20" ht="14.5" x14ac:dyDescent="0.35">
      <c r="A9636" s="10" t="s">
        <v>43307</v>
      </c>
      <c r="B9636" s="10" t="str">
        <f>"9781137578570"</f>
        <v>9781137578570</v>
      </c>
      <c r="C9636" s="10" t="str">
        <f>"9781137528698"</f>
        <v>9781137528698</v>
      </c>
      <c r="D9636" s="10" t="s">
        <v>11249</v>
      </c>
      <c r="E9636" s="10" t="s">
        <v>2400</v>
      </c>
      <c r="F9636" s="10" t="s">
        <v>70</v>
      </c>
      <c r="G9636" s="10" t="s">
        <v>6317</v>
      </c>
      <c r="H9636" s="11">
        <v>42572</v>
      </c>
      <c r="I9636" s="10">
        <v>2016</v>
      </c>
      <c r="J9636" s="10" t="s">
        <v>2400</v>
      </c>
      <c r="K9636" s="10">
        <v>397</v>
      </c>
      <c r="L9636" s="10" t="s">
        <v>43308</v>
      </c>
      <c r="M9636" s="10">
        <v>1</v>
      </c>
      <c r="N9636" s="10" t="s">
        <v>43309</v>
      </c>
      <c r="O9636" s="10"/>
      <c r="P9636" s="10" t="s">
        <v>11370</v>
      </c>
      <c r="Q9636" s="10"/>
      <c r="R9636" s="10" t="s">
        <v>6765</v>
      </c>
      <c r="S9636" s="10" t="s">
        <v>53</v>
      </c>
      <c r="T9636" s="10" t="s">
        <v>54</v>
      </c>
    </row>
    <row r="9637" spans="1:20" ht="14.5" x14ac:dyDescent="0.35">
      <c r="A9637" s="10" t="s">
        <v>43310</v>
      </c>
      <c r="B9637" s="10" t="str">
        <f>"9781137446916"</f>
        <v>9781137446916</v>
      </c>
      <c r="C9637" s="10" t="str">
        <f>"9781137415196"</f>
        <v>9781137415196</v>
      </c>
      <c r="D9637" s="10" t="s">
        <v>11249</v>
      </c>
      <c r="E9637" s="10" t="s">
        <v>2400</v>
      </c>
      <c r="F9637" s="10" t="s">
        <v>70</v>
      </c>
      <c r="G9637" s="10" t="s">
        <v>6317</v>
      </c>
      <c r="H9637" s="11">
        <v>41914</v>
      </c>
      <c r="I9637" s="10">
        <v>2014</v>
      </c>
      <c r="J9637" s="10" t="s">
        <v>2400</v>
      </c>
      <c r="K9637" s="10">
        <v>193</v>
      </c>
      <c r="L9637" s="10" t="s">
        <v>43311</v>
      </c>
      <c r="M9637" s="10">
        <v>1</v>
      </c>
      <c r="N9637" s="10" t="s">
        <v>17721</v>
      </c>
      <c r="O9637" s="10"/>
      <c r="P9637" s="10" t="s">
        <v>11370</v>
      </c>
      <c r="Q9637" s="10"/>
      <c r="R9637" s="10" t="s">
        <v>19099</v>
      </c>
      <c r="S9637" s="10" t="s">
        <v>53</v>
      </c>
      <c r="T9637" s="10" t="s">
        <v>54</v>
      </c>
    </row>
    <row r="9638" spans="1:20" ht="14.5" x14ac:dyDescent="0.35">
      <c r="A9638" s="10" t="s">
        <v>43312</v>
      </c>
      <c r="B9638" s="10" t="str">
        <f>"9781137538772"</f>
        <v>9781137538772</v>
      </c>
      <c r="C9638" s="10" t="str">
        <f>"9781137521255"</f>
        <v>9781137521255</v>
      </c>
      <c r="D9638" s="10" t="s">
        <v>11249</v>
      </c>
      <c r="E9638" s="10" t="s">
        <v>2400</v>
      </c>
      <c r="F9638" s="10" t="s">
        <v>70</v>
      </c>
      <c r="G9638" s="10" t="s">
        <v>6317</v>
      </c>
      <c r="H9638" s="11">
        <v>42345</v>
      </c>
      <c r="I9638" s="10">
        <v>2016</v>
      </c>
      <c r="J9638" s="10" t="s">
        <v>2400</v>
      </c>
      <c r="K9638" s="10">
        <v>270</v>
      </c>
      <c r="L9638" s="10" t="s">
        <v>43313</v>
      </c>
      <c r="M9638" s="10">
        <v>1</v>
      </c>
      <c r="N9638" s="10" t="s">
        <v>43314</v>
      </c>
      <c r="O9638" s="10"/>
      <c r="P9638" s="10" t="s">
        <v>43315</v>
      </c>
      <c r="Q9638" s="10"/>
      <c r="R9638" s="10" t="s">
        <v>43316</v>
      </c>
      <c r="S9638" s="10" t="s">
        <v>53</v>
      </c>
      <c r="T9638" s="10" t="s">
        <v>6363</v>
      </c>
    </row>
    <row r="9639" spans="1:20" ht="14.5" x14ac:dyDescent="0.35">
      <c r="A9639" s="10" t="s">
        <v>43317</v>
      </c>
      <c r="B9639" s="10" t="str">
        <f>"9781137512857"</f>
        <v>9781137512857</v>
      </c>
      <c r="C9639" s="10" t="str">
        <f>"9781137512864"</f>
        <v>9781137512864</v>
      </c>
      <c r="D9639" s="10" t="s">
        <v>11249</v>
      </c>
      <c r="E9639" s="10" t="s">
        <v>2400</v>
      </c>
      <c r="F9639" s="10" t="s">
        <v>70</v>
      </c>
      <c r="G9639" s="10" t="s">
        <v>6317</v>
      </c>
      <c r="H9639" s="11">
        <v>42248</v>
      </c>
      <c r="I9639" s="10">
        <v>2015</v>
      </c>
      <c r="J9639" s="10" t="s">
        <v>2400</v>
      </c>
      <c r="K9639" s="10">
        <v>225</v>
      </c>
      <c r="L9639" s="10" t="s">
        <v>43318</v>
      </c>
      <c r="M9639" s="10">
        <v>1</v>
      </c>
      <c r="N9639" s="10"/>
      <c r="O9639" s="10"/>
      <c r="P9639" s="10" t="s">
        <v>43319</v>
      </c>
      <c r="Q9639" s="10" t="s">
        <v>43320</v>
      </c>
      <c r="R9639" s="10" t="s">
        <v>167</v>
      </c>
      <c r="S9639" s="10" t="s">
        <v>53</v>
      </c>
      <c r="T9639" s="10" t="s">
        <v>6634</v>
      </c>
    </row>
    <row r="9640" spans="1:20" ht="14.5" x14ac:dyDescent="0.35">
      <c r="A9640" s="10" t="s">
        <v>43321</v>
      </c>
      <c r="B9640" s="10" t="str">
        <f>"9781137484055"</f>
        <v>9781137484055</v>
      </c>
      <c r="C9640" s="10" t="str">
        <f>"9781137484062"</f>
        <v>9781137484062</v>
      </c>
      <c r="D9640" s="10" t="s">
        <v>11249</v>
      </c>
      <c r="E9640" s="10" t="s">
        <v>2400</v>
      </c>
      <c r="F9640" s="10" t="s">
        <v>70</v>
      </c>
      <c r="G9640" s="10" t="s">
        <v>6317</v>
      </c>
      <c r="H9640" s="11">
        <v>41990</v>
      </c>
      <c r="I9640" s="10">
        <v>2014</v>
      </c>
      <c r="J9640" s="10" t="s">
        <v>2400</v>
      </c>
      <c r="K9640" s="10">
        <v>265</v>
      </c>
      <c r="L9640" s="10" t="s">
        <v>43322</v>
      </c>
      <c r="M9640" s="10">
        <v>1</v>
      </c>
      <c r="N9640" s="10"/>
      <c r="O9640" s="10"/>
      <c r="P9640" s="10" t="s">
        <v>11270</v>
      </c>
      <c r="Q9640" s="10"/>
      <c r="R9640" s="10" t="s">
        <v>11371</v>
      </c>
      <c r="S9640" s="10" t="s">
        <v>53</v>
      </c>
      <c r="T9640" s="10" t="s">
        <v>54</v>
      </c>
    </row>
    <row r="9641" spans="1:20" ht="14.5" x14ac:dyDescent="0.35">
      <c r="A9641" s="10" t="s">
        <v>43323</v>
      </c>
      <c r="B9641" s="10" t="str">
        <f>"9781786355225"</f>
        <v>9781786355225</v>
      </c>
      <c r="C9641" s="10" t="str">
        <f>"9781786355218"</f>
        <v>9781786355218</v>
      </c>
      <c r="D9641" s="10" t="s">
        <v>8699</v>
      </c>
      <c r="E9641" s="10" t="s">
        <v>8699</v>
      </c>
      <c r="F9641" s="10" t="s">
        <v>559</v>
      </c>
      <c r="G9641" s="10" t="s">
        <v>6352</v>
      </c>
      <c r="H9641" s="11">
        <v>43070</v>
      </c>
      <c r="I9641" s="10">
        <v>2018</v>
      </c>
      <c r="J9641" s="10" t="s">
        <v>8699</v>
      </c>
      <c r="K9641" s="10">
        <v>315</v>
      </c>
      <c r="L9641" s="10" t="s">
        <v>43324</v>
      </c>
      <c r="M9641" s="10">
        <v>1</v>
      </c>
      <c r="N9641" s="10" t="s">
        <v>14546</v>
      </c>
      <c r="O9641" s="10">
        <v>14</v>
      </c>
      <c r="P9641" s="10" t="s">
        <v>43325</v>
      </c>
      <c r="Q9641" s="10"/>
      <c r="R9641" s="10" t="s">
        <v>43326</v>
      </c>
      <c r="S9641" s="10" t="s">
        <v>53</v>
      </c>
      <c r="T9641" s="10" t="s">
        <v>54</v>
      </c>
    </row>
    <row r="9642" spans="1:20" ht="14.5" x14ac:dyDescent="0.35">
      <c r="A9642" s="10" t="s">
        <v>43327</v>
      </c>
      <c r="B9642" s="10" t="str">
        <f>"9781786357106"</f>
        <v>9781786357106</v>
      </c>
      <c r="C9642" s="10" t="str">
        <f>"9781786357090"</f>
        <v>9781786357090</v>
      </c>
      <c r="D9642" s="10" t="s">
        <v>8699</v>
      </c>
      <c r="E9642" s="10" t="s">
        <v>8699</v>
      </c>
      <c r="F9642" s="10" t="s">
        <v>559</v>
      </c>
      <c r="G9642" s="10" t="s">
        <v>6352</v>
      </c>
      <c r="H9642" s="11">
        <v>42726</v>
      </c>
      <c r="I9642" s="10">
        <v>2016</v>
      </c>
      <c r="J9642" s="10" t="s">
        <v>8699</v>
      </c>
      <c r="K9642" s="10">
        <v>415</v>
      </c>
      <c r="L9642" s="10" t="s">
        <v>43328</v>
      </c>
      <c r="M9642" s="10">
        <v>1</v>
      </c>
      <c r="N9642" s="10" t="s">
        <v>18965</v>
      </c>
      <c r="O9642" s="10">
        <v>19</v>
      </c>
      <c r="P9642" s="10" t="s">
        <v>43329</v>
      </c>
      <c r="Q9642" s="10">
        <v>378.1982900973</v>
      </c>
      <c r="R9642" s="10" t="s">
        <v>25483</v>
      </c>
      <c r="S9642" s="10" t="s">
        <v>53</v>
      </c>
      <c r="T9642" s="10" t="s">
        <v>54</v>
      </c>
    </row>
    <row r="9643" spans="1:20" ht="14.5" x14ac:dyDescent="0.35">
      <c r="A9643" s="10" t="s">
        <v>43330</v>
      </c>
      <c r="B9643" s="10" t="str">
        <f>"9781786355003"</f>
        <v>9781786355003</v>
      </c>
      <c r="C9643" s="10" t="str">
        <f>"9781786354990"</f>
        <v>9781786354990</v>
      </c>
      <c r="D9643" s="10" t="s">
        <v>8699</v>
      </c>
      <c r="E9643" s="10" t="s">
        <v>8699</v>
      </c>
      <c r="F9643" s="10" t="s">
        <v>559</v>
      </c>
      <c r="G9643" s="10" t="s">
        <v>6352</v>
      </c>
      <c r="H9643" s="11">
        <v>42718</v>
      </c>
      <c r="I9643" s="10">
        <v>2017</v>
      </c>
      <c r="J9643" s="10" t="s">
        <v>8699</v>
      </c>
      <c r="K9643" s="10">
        <v>297</v>
      </c>
      <c r="L9643" s="10" t="s">
        <v>43331</v>
      </c>
      <c r="M9643" s="10">
        <v>1</v>
      </c>
      <c r="N9643" s="10" t="s">
        <v>20051</v>
      </c>
      <c r="O9643" s="10">
        <v>26</v>
      </c>
      <c r="P9643" s="10" t="s">
        <v>11270</v>
      </c>
      <c r="Q9643" s="10"/>
      <c r="R9643" s="10" t="s">
        <v>40404</v>
      </c>
      <c r="S9643" s="10" t="s">
        <v>53</v>
      </c>
      <c r="T9643" s="10" t="s">
        <v>54</v>
      </c>
    </row>
    <row r="9644" spans="1:20" ht="14.5" x14ac:dyDescent="0.35">
      <c r="A9644" s="10" t="s">
        <v>43332</v>
      </c>
      <c r="B9644" s="10" t="str">
        <f>"9781787141834"</f>
        <v>9781787141834</v>
      </c>
      <c r="C9644" s="10" t="str">
        <f>"9781787141827"</f>
        <v>9781787141827</v>
      </c>
      <c r="D9644" s="10" t="s">
        <v>8699</v>
      </c>
      <c r="E9644" s="10" t="s">
        <v>8699</v>
      </c>
      <c r="F9644" s="10" t="s">
        <v>559</v>
      </c>
      <c r="G9644" s="10" t="s">
        <v>6352</v>
      </c>
      <c r="H9644" s="11">
        <v>42964</v>
      </c>
      <c r="I9644" s="10">
        <v>2017</v>
      </c>
      <c r="J9644" s="10" t="s">
        <v>8699</v>
      </c>
      <c r="K9644" s="10">
        <v>470</v>
      </c>
      <c r="L9644" s="10" t="s">
        <v>43333</v>
      </c>
      <c r="M9644" s="10">
        <v>1</v>
      </c>
      <c r="N9644" s="10"/>
      <c r="O9644" s="10"/>
      <c r="P9644" s="10" t="s">
        <v>28438</v>
      </c>
      <c r="Q9644" s="10">
        <v>370</v>
      </c>
      <c r="R9644" s="10" t="s">
        <v>29942</v>
      </c>
      <c r="S9644" s="10" t="s">
        <v>53</v>
      </c>
      <c r="T9644" s="10" t="s">
        <v>54</v>
      </c>
    </row>
    <row r="9645" spans="1:20" ht="14.5" x14ac:dyDescent="0.35">
      <c r="A9645" s="10" t="s">
        <v>43334</v>
      </c>
      <c r="B9645" s="10" t="str">
        <f>"9781786350800"</f>
        <v>9781786350800</v>
      </c>
      <c r="C9645" s="10" t="str">
        <f>"9781786350794"</f>
        <v>9781786350794</v>
      </c>
      <c r="D9645" s="10" t="s">
        <v>8699</v>
      </c>
      <c r="E9645" s="10" t="s">
        <v>8699</v>
      </c>
      <c r="F9645" s="10" t="s">
        <v>559</v>
      </c>
      <c r="G9645" s="10" t="s">
        <v>6352</v>
      </c>
      <c r="H9645" s="11">
        <v>42726</v>
      </c>
      <c r="I9645" s="10">
        <v>2016</v>
      </c>
      <c r="J9645" s="10" t="s">
        <v>8699</v>
      </c>
      <c r="K9645" s="10">
        <v>345</v>
      </c>
      <c r="L9645" s="10" t="s">
        <v>43335</v>
      </c>
      <c r="M9645" s="10">
        <v>1</v>
      </c>
      <c r="N9645" s="10" t="s">
        <v>43336</v>
      </c>
      <c r="O9645" s="10">
        <v>5</v>
      </c>
      <c r="P9645" s="10" t="s">
        <v>28438</v>
      </c>
      <c r="Q9645" s="10">
        <v>351</v>
      </c>
      <c r="R9645" s="10" t="s">
        <v>43337</v>
      </c>
      <c r="S9645" s="10" t="s">
        <v>53</v>
      </c>
      <c r="T9645" s="10" t="s">
        <v>7807</v>
      </c>
    </row>
    <row r="9646" spans="1:20" ht="14.5" x14ac:dyDescent="0.35">
      <c r="A9646" s="10" t="s">
        <v>43338</v>
      </c>
      <c r="B9646" s="10" t="str">
        <f>"9781787141551"</f>
        <v>9781787141551</v>
      </c>
      <c r="C9646" s="10" t="str">
        <f>"9781787141544"</f>
        <v>9781787141544</v>
      </c>
      <c r="D9646" s="10" t="s">
        <v>8699</v>
      </c>
      <c r="E9646" s="10" t="s">
        <v>8699</v>
      </c>
      <c r="F9646" s="10" t="s">
        <v>559</v>
      </c>
      <c r="G9646" s="10" t="s">
        <v>6352</v>
      </c>
      <c r="H9646" s="11">
        <v>42804</v>
      </c>
      <c r="I9646" s="10">
        <v>2017</v>
      </c>
      <c r="J9646" s="10" t="s">
        <v>8699</v>
      </c>
      <c r="K9646" s="10">
        <v>332</v>
      </c>
      <c r="L9646" s="10" t="s">
        <v>43339</v>
      </c>
      <c r="M9646" s="10">
        <v>1</v>
      </c>
      <c r="N9646" s="10" t="s">
        <v>29541</v>
      </c>
      <c r="O9646" s="10">
        <v>9</v>
      </c>
      <c r="P9646" s="10" t="s">
        <v>26825</v>
      </c>
      <c r="Q9646" s="10">
        <v>378</v>
      </c>
      <c r="R9646" s="10" t="s">
        <v>43340</v>
      </c>
      <c r="S9646" s="10" t="s">
        <v>53</v>
      </c>
      <c r="T9646" s="10" t="s">
        <v>54</v>
      </c>
    </row>
    <row r="9647" spans="1:20" ht="14.5" x14ac:dyDescent="0.35">
      <c r="A9647" s="10" t="s">
        <v>43341</v>
      </c>
      <c r="B9647" s="10" t="str">
        <f>"9781787141537"</f>
        <v>9781787141537</v>
      </c>
      <c r="C9647" s="10" t="str">
        <f>"9781787141520"</f>
        <v>9781787141520</v>
      </c>
      <c r="D9647" s="10" t="s">
        <v>8699</v>
      </c>
      <c r="E9647" s="10" t="s">
        <v>8699</v>
      </c>
      <c r="F9647" s="10" t="s">
        <v>559</v>
      </c>
      <c r="G9647" s="10" t="s">
        <v>6352</v>
      </c>
      <c r="H9647" s="11">
        <v>42866</v>
      </c>
      <c r="I9647" s="10">
        <v>2017</v>
      </c>
      <c r="J9647" s="10" t="s">
        <v>8699</v>
      </c>
      <c r="K9647" s="10">
        <v>293</v>
      </c>
      <c r="L9647" s="10" t="s">
        <v>43342</v>
      </c>
      <c r="M9647" s="10">
        <v>1</v>
      </c>
      <c r="N9647" s="10" t="s">
        <v>22927</v>
      </c>
      <c r="O9647" s="10">
        <v>9</v>
      </c>
      <c r="P9647" s="10" t="s">
        <v>29777</v>
      </c>
      <c r="Q9647" s="10">
        <v>371</v>
      </c>
      <c r="R9647" s="10" t="s">
        <v>18055</v>
      </c>
      <c r="S9647" s="10" t="s">
        <v>53</v>
      </c>
      <c r="T9647" s="10" t="s">
        <v>54</v>
      </c>
    </row>
    <row r="9648" spans="1:20" ht="14.5" x14ac:dyDescent="0.35">
      <c r="A9648" s="10" t="s">
        <v>43343</v>
      </c>
      <c r="B9648" s="10" t="str">
        <f>"9781786355447"</f>
        <v>9781786355447</v>
      </c>
      <c r="C9648" s="10" t="str">
        <f>"9781786355430"</f>
        <v>9781786355430</v>
      </c>
      <c r="D9648" s="10" t="s">
        <v>8699</v>
      </c>
      <c r="E9648" s="10" t="s">
        <v>8699</v>
      </c>
      <c r="F9648" s="10" t="s">
        <v>559</v>
      </c>
      <c r="G9648" s="10" t="s">
        <v>6352</v>
      </c>
      <c r="H9648" s="11">
        <v>42678</v>
      </c>
      <c r="I9648" s="10">
        <v>2016</v>
      </c>
      <c r="J9648" s="10" t="s">
        <v>8699</v>
      </c>
      <c r="K9648" s="10">
        <v>198</v>
      </c>
      <c r="L9648" s="10" t="s">
        <v>43344</v>
      </c>
      <c r="M9648" s="10">
        <v>1</v>
      </c>
      <c r="N9648" s="10" t="s">
        <v>14550</v>
      </c>
      <c r="O9648" s="10">
        <v>32</v>
      </c>
      <c r="P9648" s="10" t="s">
        <v>27173</v>
      </c>
      <c r="Q9648" s="10">
        <v>371.9</v>
      </c>
      <c r="R9648" s="10" t="s">
        <v>33311</v>
      </c>
      <c r="S9648" s="10" t="s">
        <v>53</v>
      </c>
      <c r="T9648" s="10" t="s">
        <v>54</v>
      </c>
    </row>
    <row r="9649" spans="1:20" ht="14.5" x14ac:dyDescent="0.35">
      <c r="A9649" s="10" t="s">
        <v>43345</v>
      </c>
      <c r="B9649" s="10" t="str">
        <f>"9781786354341"</f>
        <v>9781786354341</v>
      </c>
      <c r="C9649" s="10" t="str">
        <f>"9781786354334"</f>
        <v>9781786354334</v>
      </c>
      <c r="D9649" s="10" t="s">
        <v>8699</v>
      </c>
      <c r="E9649" s="10" t="s">
        <v>8699</v>
      </c>
      <c r="F9649" s="10" t="s">
        <v>559</v>
      </c>
      <c r="G9649" s="10" t="s">
        <v>6352</v>
      </c>
      <c r="H9649" s="11">
        <v>43040</v>
      </c>
      <c r="I9649" s="10">
        <v>2018</v>
      </c>
      <c r="J9649" s="10" t="s">
        <v>8699</v>
      </c>
      <c r="K9649" s="10">
        <v>210</v>
      </c>
      <c r="L9649" s="10" t="s">
        <v>35280</v>
      </c>
      <c r="M9649" s="10">
        <v>1</v>
      </c>
      <c r="N9649" s="10" t="s">
        <v>14546</v>
      </c>
      <c r="O9649" s="10">
        <v>13</v>
      </c>
      <c r="P9649" s="10" t="s">
        <v>43325</v>
      </c>
      <c r="Q9649" s="10">
        <v>371.26</v>
      </c>
      <c r="R9649" s="10" t="s">
        <v>6755</v>
      </c>
      <c r="S9649" s="10" t="s">
        <v>53</v>
      </c>
      <c r="T9649" s="10" t="s">
        <v>54</v>
      </c>
    </row>
    <row r="9650" spans="1:20" ht="14.5" x14ac:dyDescent="0.35">
      <c r="A9650" s="10" t="s">
        <v>43346</v>
      </c>
      <c r="B9650" s="10" t="str">
        <f>"9781786355409"</f>
        <v>9781786355409</v>
      </c>
      <c r="C9650" s="10" t="str">
        <f>"9781786355393"</f>
        <v>9781786355393</v>
      </c>
      <c r="D9650" s="10" t="s">
        <v>8699</v>
      </c>
      <c r="E9650" s="10" t="s">
        <v>8699</v>
      </c>
      <c r="F9650" s="10" t="s">
        <v>559</v>
      </c>
      <c r="G9650" s="10" t="s">
        <v>6352</v>
      </c>
      <c r="H9650" s="11">
        <v>42859</v>
      </c>
      <c r="I9650" s="10">
        <v>2017</v>
      </c>
      <c r="J9650" s="10" t="s">
        <v>8699</v>
      </c>
      <c r="K9650" s="10">
        <v>292</v>
      </c>
      <c r="L9650" s="10" t="s">
        <v>43347</v>
      </c>
      <c r="M9650" s="10">
        <v>1</v>
      </c>
      <c r="N9650" s="10" t="s">
        <v>14534</v>
      </c>
      <c r="O9650" s="10">
        <v>31</v>
      </c>
      <c r="P9650" s="10" t="s">
        <v>27173</v>
      </c>
      <c r="Q9650" s="10">
        <v>370.9</v>
      </c>
      <c r="R9650" s="10" t="s">
        <v>43348</v>
      </c>
      <c r="S9650" s="10" t="s">
        <v>53</v>
      </c>
      <c r="T9650" s="10" t="s">
        <v>54</v>
      </c>
    </row>
    <row r="9651" spans="1:20" ht="14.5" x14ac:dyDescent="0.35">
      <c r="A9651" s="10" t="s">
        <v>43349</v>
      </c>
      <c r="B9651" s="10" t="str">
        <f>"9780745336589"</f>
        <v>9780745336589</v>
      </c>
      <c r="C9651" s="10" t="str">
        <f>"9781783719754"</f>
        <v>9781783719754</v>
      </c>
      <c r="D9651" s="10" t="s">
        <v>9533</v>
      </c>
      <c r="E9651" s="10" t="s">
        <v>37535</v>
      </c>
      <c r="F9651" s="10" t="s">
        <v>139</v>
      </c>
      <c r="G9651" s="10" t="s">
        <v>6352</v>
      </c>
      <c r="H9651" s="11">
        <v>42663</v>
      </c>
      <c r="I9651" s="10">
        <v>2016</v>
      </c>
      <c r="J9651" s="10" t="s">
        <v>37535</v>
      </c>
      <c r="K9651" s="10">
        <v>273</v>
      </c>
      <c r="L9651" s="10" t="s">
        <v>43350</v>
      </c>
      <c r="M9651" s="10">
        <v>1</v>
      </c>
      <c r="N9651" s="10"/>
      <c r="O9651" s="10"/>
      <c r="P9651" s="10" t="s">
        <v>43351</v>
      </c>
      <c r="Q9651" s="10">
        <v>378.73</v>
      </c>
      <c r="R9651" s="10" t="s">
        <v>43352</v>
      </c>
      <c r="S9651" s="10" t="s">
        <v>53</v>
      </c>
      <c r="T9651" s="10" t="s">
        <v>54</v>
      </c>
    </row>
    <row r="9652" spans="1:20" ht="14.5" x14ac:dyDescent="0.35">
      <c r="A9652" s="10" t="s">
        <v>26822</v>
      </c>
      <c r="B9652" s="10" t="str">
        <f>"9781786358950"</f>
        <v>9781786358950</v>
      </c>
      <c r="C9652" s="10" t="str">
        <f>"9781786358943"</f>
        <v>9781786358943</v>
      </c>
      <c r="D9652" s="10" t="s">
        <v>8699</v>
      </c>
      <c r="E9652" s="10" t="s">
        <v>8699</v>
      </c>
      <c r="F9652" s="10" t="s">
        <v>559</v>
      </c>
      <c r="G9652" s="10" t="s">
        <v>6352</v>
      </c>
      <c r="H9652" s="11">
        <v>42674</v>
      </c>
      <c r="I9652" s="10">
        <v>2016</v>
      </c>
      <c r="J9652" s="10" t="s">
        <v>8699</v>
      </c>
      <c r="K9652" s="10">
        <v>275</v>
      </c>
      <c r="L9652" s="10" t="s">
        <v>26823</v>
      </c>
      <c r="M9652" s="10">
        <v>1</v>
      </c>
      <c r="N9652" s="10" t="s">
        <v>43353</v>
      </c>
      <c r="O9652" s="10">
        <v>2</v>
      </c>
      <c r="P9652" s="10" t="s">
        <v>26825</v>
      </c>
      <c r="Q9652" s="10">
        <v>378.00720000000001</v>
      </c>
      <c r="R9652" s="10" t="s">
        <v>25483</v>
      </c>
      <c r="S9652" s="10" t="s">
        <v>53</v>
      </c>
      <c r="T9652" s="10" t="s">
        <v>54</v>
      </c>
    </row>
    <row r="9653" spans="1:20" ht="14.5" x14ac:dyDescent="0.35">
      <c r="A9653" s="10" t="s">
        <v>43354</v>
      </c>
      <c r="B9653" s="10" t="str">
        <f>"9781786351708"</f>
        <v>9781786351708</v>
      </c>
      <c r="C9653" s="10" t="str">
        <f>"9781786351692"</f>
        <v>9781786351692</v>
      </c>
      <c r="D9653" s="10" t="s">
        <v>8699</v>
      </c>
      <c r="E9653" s="10" t="s">
        <v>8699</v>
      </c>
      <c r="F9653" s="10" t="s">
        <v>559</v>
      </c>
      <c r="G9653" s="10" t="s">
        <v>6352</v>
      </c>
      <c r="H9653" s="11">
        <v>42688</v>
      </c>
      <c r="I9653" s="10">
        <v>2016</v>
      </c>
      <c r="J9653" s="10" t="s">
        <v>8699</v>
      </c>
      <c r="K9653" s="10">
        <v>242</v>
      </c>
      <c r="L9653" s="10" t="s">
        <v>43355</v>
      </c>
      <c r="M9653" s="10">
        <v>1</v>
      </c>
      <c r="N9653" s="10" t="s">
        <v>43356</v>
      </c>
      <c r="O9653" s="10"/>
      <c r="P9653" s="10" t="s">
        <v>43357</v>
      </c>
      <c r="Q9653" s="10">
        <v>658.40300000000002</v>
      </c>
      <c r="R9653" s="10" t="s">
        <v>13396</v>
      </c>
      <c r="S9653" s="10" t="s">
        <v>53</v>
      </c>
      <c r="T9653" s="10" t="s">
        <v>6660</v>
      </c>
    </row>
    <row r="9654" spans="1:20" ht="14.5" x14ac:dyDescent="0.35">
      <c r="A9654" s="10" t="s">
        <v>43358</v>
      </c>
      <c r="B9654" s="10" t="str">
        <f>"9781786353023"</f>
        <v>9781786353023</v>
      </c>
      <c r="C9654" s="10" t="str">
        <f>"9781786353016"</f>
        <v>9781786353016</v>
      </c>
      <c r="D9654" s="10" t="s">
        <v>8699</v>
      </c>
      <c r="E9654" s="10" t="s">
        <v>8699</v>
      </c>
      <c r="F9654" s="10" t="s">
        <v>559</v>
      </c>
      <c r="G9654" s="10" t="s">
        <v>6352</v>
      </c>
      <c r="H9654" s="11">
        <v>42723</v>
      </c>
      <c r="I9654" s="10">
        <v>2017</v>
      </c>
      <c r="J9654" s="10" t="s">
        <v>8699</v>
      </c>
      <c r="K9654" s="10">
        <v>283</v>
      </c>
      <c r="L9654" s="10" t="s">
        <v>43359</v>
      </c>
      <c r="M9654" s="10">
        <v>1</v>
      </c>
      <c r="N9654" s="10" t="s">
        <v>29541</v>
      </c>
      <c r="O9654" s="10">
        <v>8</v>
      </c>
      <c r="P9654" s="10" t="s">
        <v>27182</v>
      </c>
      <c r="Q9654" s="10">
        <v>378.10399999999998</v>
      </c>
      <c r="R9654" s="10" t="s">
        <v>13858</v>
      </c>
      <c r="S9654" s="10" t="s">
        <v>53</v>
      </c>
      <c r="T9654" s="10" t="s">
        <v>54</v>
      </c>
    </row>
    <row r="9655" spans="1:20" ht="14.5" x14ac:dyDescent="0.35">
      <c r="A9655" s="10" t="s">
        <v>43360</v>
      </c>
      <c r="B9655" s="10" t="str">
        <f>"9789463006408"</f>
        <v>9789463006408</v>
      </c>
      <c r="C9655" s="10" t="str">
        <f>"9789463006422"</f>
        <v>9789463006422</v>
      </c>
      <c r="D9655" s="10" t="s">
        <v>8564</v>
      </c>
      <c r="E9655" s="10" t="s">
        <v>8565</v>
      </c>
      <c r="F9655" s="10" t="s">
        <v>1420</v>
      </c>
      <c r="G9655" s="10" t="s">
        <v>6317</v>
      </c>
      <c r="H9655" s="11">
        <v>42370</v>
      </c>
      <c r="I9655" s="10">
        <v>2016</v>
      </c>
      <c r="J9655" s="10" t="s">
        <v>33259</v>
      </c>
      <c r="K9655" s="10">
        <v>156</v>
      </c>
      <c r="L9655" s="10" t="s">
        <v>33378</v>
      </c>
      <c r="M9655" s="10">
        <v>1</v>
      </c>
      <c r="N9655" s="10"/>
      <c r="O9655" s="10"/>
      <c r="P9655" s="10" t="s">
        <v>19534</v>
      </c>
      <c r="Q9655" s="10"/>
      <c r="R9655" s="10" t="s">
        <v>25345</v>
      </c>
      <c r="S9655" s="10" t="s">
        <v>53</v>
      </c>
      <c r="T9655" s="10" t="s">
        <v>54</v>
      </c>
    </row>
    <row r="9656" spans="1:20" ht="14.5" x14ac:dyDescent="0.35">
      <c r="A9656" s="10" t="s">
        <v>43361</v>
      </c>
      <c r="B9656" s="10" t="str">
        <f>"9789463006194"</f>
        <v>9789463006194</v>
      </c>
      <c r="C9656" s="10" t="str">
        <f>"9789463006217"</f>
        <v>9789463006217</v>
      </c>
      <c r="D9656" s="10" t="s">
        <v>8564</v>
      </c>
      <c r="E9656" s="10" t="s">
        <v>8565</v>
      </c>
      <c r="F9656" s="10" t="s">
        <v>1420</v>
      </c>
      <c r="G9656" s="10" t="s">
        <v>6317</v>
      </c>
      <c r="H9656" s="11">
        <v>42370</v>
      </c>
      <c r="I9656" s="10">
        <v>2016</v>
      </c>
      <c r="J9656" s="10" t="s">
        <v>33259</v>
      </c>
      <c r="K9656" s="10">
        <v>268</v>
      </c>
      <c r="L9656" s="10" t="s">
        <v>43362</v>
      </c>
      <c r="M9656" s="10">
        <v>1</v>
      </c>
      <c r="N9656" s="10" t="s">
        <v>33716</v>
      </c>
      <c r="O9656" s="10">
        <v>14</v>
      </c>
      <c r="P9656" s="10" t="s">
        <v>19534</v>
      </c>
      <c r="Q9656" s="10"/>
      <c r="R9656" s="10"/>
      <c r="S9656" s="10" t="s">
        <v>53</v>
      </c>
      <c r="T9656" s="10" t="s">
        <v>54</v>
      </c>
    </row>
    <row r="9657" spans="1:20" ht="14.5" x14ac:dyDescent="0.35">
      <c r="A9657" s="10" t="s">
        <v>43363</v>
      </c>
      <c r="B9657" s="10" t="str">
        <f>"9789463006071"</f>
        <v>9789463006071</v>
      </c>
      <c r="C9657" s="10" t="str">
        <f>"9789463006095"</f>
        <v>9789463006095</v>
      </c>
      <c r="D9657" s="10" t="s">
        <v>8564</v>
      </c>
      <c r="E9657" s="10" t="s">
        <v>8565</v>
      </c>
      <c r="F9657" s="10" t="s">
        <v>1420</v>
      </c>
      <c r="G9657" s="10" t="s">
        <v>6317</v>
      </c>
      <c r="H9657" s="11">
        <v>42370</v>
      </c>
      <c r="I9657" s="10">
        <v>2016</v>
      </c>
      <c r="J9657" s="10" t="s">
        <v>33259</v>
      </c>
      <c r="K9657" s="10">
        <v>181</v>
      </c>
      <c r="L9657" s="10" t="s">
        <v>43364</v>
      </c>
      <c r="M9657" s="10">
        <v>1</v>
      </c>
      <c r="N9657" s="10" t="s">
        <v>43365</v>
      </c>
      <c r="O9657" s="10">
        <v>6</v>
      </c>
      <c r="P9657" s="10" t="s">
        <v>19534</v>
      </c>
      <c r="Q9657" s="10"/>
      <c r="R9657" s="10"/>
      <c r="S9657" s="10" t="s">
        <v>53</v>
      </c>
      <c r="T9657" s="10" t="s">
        <v>54</v>
      </c>
    </row>
    <row r="9658" spans="1:20" ht="14.5" x14ac:dyDescent="0.35">
      <c r="A9658" s="10" t="s">
        <v>43366</v>
      </c>
      <c r="B9658" s="10" t="str">
        <f>"9789463005890"</f>
        <v>9789463005890</v>
      </c>
      <c r="C9658" s="10" t="str">
        <f>"9789463005913"</f>
        <v>9789463005913</v>
      </c>
      <c r="D9658" s="10" t="s">
        <v>8564</v>
      </c>
      <c r="E9658" s="10" t="s">
        <v>8565</v>
      </c>
      <c r="F9658" s="10" t="s">
        <v>1420</v>
      </c>
      <c r="G9658" s="10" t="s">
        <v>6317</v>
      </c>
      <c r="H9658" s="11">
        <v>42370</v>
      </c>
      <c r="I9658" s="10">
        <v>2016</v>
      </c>
      <c r="J9658" s="10" t="s">
        <v>33259</v>
      </c>
      <c r="K9658" s="10">
        <v>452</v>
      </c>
      <c r="L9658" s="10" t="s">
        <v>43367</v>
      </c>
      <c r="M9658" s="10">
        <v>1</v>
      </c>
      <c r="N9658" s="10" t="s">
        <v>33637</v>
      </c>
      <c r="O9658" s="10">
        <v>9</v>
      </c>
      <c r="P9658" s="10" t="s">
        <v>19534</v>
      </c>
      <c r="Q9658" s="10"/>
      <c r="R9658" s="10"/>
      <c r="S9658" s="10" t="s">
        <v>53</v>
      </c>
      <c r="T9658" s="10" t="s">
        <v>54</v>
      </c>
    </row>
    <row r="9659" spans="1:20" ht="14.5" x14ac:dyDescent="0.35">
      <c r="A9659" s="10" t="s">
        <v>43368</v>
      </c>
      <c r="B9659" s="10" t="str">
        <f>"9789463005470"</f>
        <v>9789463005470</v>
      </c>
      <c r="C9659" s="10" t="str">
        <f>"9789463005494"</f>
        <v>9789463005494</v>
      </c>
      <c r="D9659" s="10" t="s">
        <v>8564</v>
      </c>
      <c r="E9659" s="10" t="s">
        <v>8565</v>
      </c>
      <c r="F9659" s="10" t="s">
        <v>1420</v>
      </c>
      <c r="G9659" s="10" t="s">
        <v>6317</v>
      </c>
      <c r="H9659" s="11">
        <v>42370</v>
      </c>
      <c r="I9659" s="10">
        <v>2016</v>
      </c>
      <c r="J9659" s="10" t="s">
        <v>33259</v>
      </c>
      <c r="K9659" s="10">
        <v>556</v>
      </c>
      <c r="L9659" s="10" t="s">
        <v>43369</v>
      </c>
      <c r="M9659" s="10">
        <v>1</v>
      </c>
      <c r="N9659" s="10"/>
      <c r="O9659" s="10"/>
      <c r="P9659" s="10" t="s">
        <v>19534</v>
      </c>
      <c r="Q9659" s="10"/>
      <c r="R9659" s="10" t="s">
        <v>32167</v>
      </c>
      <c r="S9659" s="10" t="s">
        <v>53</v>
      </c>
      <c r="T9659" s="10" t="s">
        <v>54</v>
      </c>
    </row>
    <row r="9660" spans="1:20" ht="14.5" x14ac:dyDescent="0.35">
      <c r="A9660" s="10" t="s">
        <v>43370</v>
      </c>
      <c r="B9660" s="10" t="str">
        <f>"9781925005349"</f>
        <v>9781925005349</v>
      </c>
      <c r="C9660" s="10" t="str">
        <f>"9781925005929"</f>
        <v>9781925005929</v>
      </c>
      <c r="D9660" s="10" t="s">
        <v>43371</v>
      </c>
      <c r="E9660" s="10" t="s">
        <v>43371</v>
      </c>
      <c r="F9660" s="10" t="s">
        <v>674</v>
      </c>
      <c r="G9660" s="10" t="s">
        <v>12975</v>
      </c>
      <c r="H9660" s="11">
        <v>42635</v>
      </c>
      <c r="I9660" s="10">
        <v>2016</v>
      </c>
      <c r="J9660" s="10" t="s">
        <v>43371</v>
      </c>
      <c r="K9660" s="10">
        <v>366</v>
      </c>
      <c r="L9660" s="10" t="s">
        <v>43372</v>
      </c>
      <c r="M9660" s="10">
        <v>1</v>
      </c>
      <c r="N9660" s="10"/>
      <c r="O9660" s="10"/>
      <c r="P9660" s="10"/>
      <c r="Q9660" s="10">
        <v>372.41</v>
      </c>
      <c r="R9660" s="10" t="s">
        <v>43373</v>
      </c>
      <c r="S9660" s="10" t="s">
        <v>53</v>
      </c>
      <c r="T9660" s="10" t="s">
        <v>29186</v>
      </c>
    </row>
    <row r="9661" spans="1:20" ht="14.5" x14ac:dyDescent="0.35">
      <c r="A9661" s="10" t="s">
        <v>43374</v>
      </c>
      <c r="B9661" s="10" t="str">
        <f>"9781119207597"</f>
        <v>9781119207597</v>
      </c>
      <c r="C9661" s="10" t="str">
        <f>"9781119207603"</f>
        <v>9781119207603</v>
      </c>
      <c r="D9661" s="10" t="s">
        <v>6322</v>
      </c>
      <c r="E9661" s="10" t="s">
        <v>6323</v>
      </c>
      <c r="F9661" s="10" t="s">
        <v>4423</v>
      </c>
      <c r="G9661" s="10" t="s">
        <v>6317</v>
      </c>
      <c r="H9661" s="11">
        <v>42688</v>
      </c>
      <c r="I9661" s="10">
        <v>2017</v>
      </c>
      <c r="J9661" s="10" t="s">
        <v>6324</v>
      </c>
      <c r="K9661" s="10">
        <v>331</v>
      </c>
      <c r="L9661" s="10" t="s">
        <v>43375</v>
      </c>
      <c r="M9661" s="10">
        <v>3</v>
      </c>
      <c r="N9661" s="10"/>
      <c r="O9661" s="10"/>
      <c r="P9661" s="10"/>
      <c r="Q9661" s="10" t="s">
        <v>7307</v>
      </c>
      <c r="R9661" s="10" t="s">
        <v>25185</v>
      </c>
      <c r="S9661" s="10" t="s">
        <v>53</v>
      </c>
      <c r="T9661" s="10" t="s">
        <v>54</v>
      </c>
    </row>
    <row r="9662" spans="1:20" ht="14.5" x14ac:dyDescent="0.35">
      <c r="A9662" s="10" t="s">
        <v>43376</v>
      </c>
      <c r="B9662" s="10" t="str">
        <f>"9781119263883"</f>
        <v>9781119263883</v>
      </c>
      <c r="C9662" s="10" t="str">
        <f>"9781119263982"</f>
        <v>9781119263982</v>
      </c>
      <c r="D9662" s="10" t="s">
        <v>6322</v>
      </c>
      <c r="E9662" s="10" t="s">
        <v>6323</v>
      </c>
      <c r="F9662" s="10" t="s">
        <v>4423</v>
      </c>
      <c r="G9662" s="10" t="s">
        <v>6317</v>
      </c>
      <c r="H9662" s="11">
        <v>42674</v>
      </c>
      <c r="I9662" s="10">
        <v>2016</v>
      </c>
      <c r="J9662" s="10" t="s">
        <v>25195</v>
      </c>
      <c r="K9662" s="10">
        <v>531</v>
      </c>
      <c r="L9662" s="10" t="s">
        <v>42570</v>
      </c>
      <c r="M9662" s="10">
        <v>1</v>
      </c>
      <c r="N9662" s="10"/>
      <c r="O9662" s="10"/>
      <c r="P9662" s="10"/>
      <c r="Q9662" s="10"/>
      <c r="R9662" s="10" t="s">
        <v>42571</v>
      </c>
      <c r="S9662" s="10" t="s">
        <v>53</v>
      </c>
      <c r="T9662" s="10" t="s">
        <v>54</v>
      </c>
    </row>
    <row r="9663" spans="1:20" ht="14.5" x14ac:dyDescent="0.35">
      <c r="A9663" s="10" t="s">
        <v>43377</v>
      </c>
      <c r="B9663" s="10" t="str">
        <f>"9781869142902"</f>
        <v>9781869142902</v>
      </c>
      <c r="C9663" s="10" t="str">
        <f>"9781869143428"</f>
        <v>9781869143428</v>
      </c>
      <c r="D9663" s="10" t="s">
        <v>43378</v>
      </c>
      <c r="E9663" s="10" t="s">
        <v>43379</v>
      </c>
      <c r="F9663" s="10" t="s">
        <v>43380</v>
      </c>
      <c r="G9663" s="10" t="s">
        <v>24826</v>
      </c>
      <c r="H9663" s="11">
        <v>42154</v>
      </c>
      <c r="I9663" s="10">
        <v>2015</v>
      </c>
      <c r="J9663" s="10" t="s">
        <v>43379</v>
      </c>
      <c r="K9663" s="10">
        <v>330</v>
      </c>
      <c r="L9663" s="10" t="s">
        <v>43381</v>
      </c>
      <c r="M9663" s="10">
        <v>1</v>
      </c>
      <c r="N9663" s="10"/>
      <c r="O9663" s="10"/>
      <c r="P9663" s="10" t="s">
        <v>43382</v>
      </c>
      <c r="Q9663" s="10">
        <v>378.68</v>
      </c>
      <c r="R9663" s="10" t="s">
        <v>43383</v>
      </c>
      <c r="S9663" s="10" t="s">
        <v>53</v>
      </c>
      <c r="T9663" s="10" t="s">
        <v>54</v>
      </c>
    </row>
    <row r="9664" spans="1:20" ht="14.5" x14ac:dyDescent="0.35">
      <c r="A9664" s="10" t="s">
        <v>43384</v>
      </c>
      <c r="B9664" s="10" t="str">
        <f>"9783319422060"</f>
        <v>9783319422060</v>
      </c>
      <c r="C9664" s="10" t="str">
        <f>"9783319422084"</f>
        <v>9783319422084</v>
      </c>
      <c r="D9664" s="10" t="s">
        <v>11249</v>
      </c>
      <c r="E9664" s="10" t="s">
        <v>26623</v>
      </c>
      <c r="F9664" s="10" t="s">
        <v>26624</v>
      </c>
      <c r="G9664" s="10" t="s">
        <v>16676</v>
      </c>
      <c r="H9664" s="11">
        <v>42691</v>
      </c>
      <c r="I9664" s="10">
        <v>2016</v>
      </c>
      <c r="J9664" s="10" t="s">
        <v>26623</v>
      </c>
      <c r="K9664" s="10">
        <v>222</v>
      </c>
      <c r="L9664" s="10" t="s">
        <v>43385</v>
      </c>
      <c r="M9664" s="10">
        <v>1</v>
      </c>
      <c r="N9664" s="10" t="s">
        <v>42470</v>
      </c>
      <c r="O9664" s="10">
        <v>14</v>
      </c>
      <c r="P9664" s="10" t="s">
        <v>42471</v>
      </c>
      <c r="Q9664" s="10">
        <v>372.21</v>
      </c>
      <c r="R9664" s="10" t="s">
        <v>21693</v>
      </c>
      <c r="S9664" s="10" t="s">
        <v>53</v>
      </c>
      <c r="T9664" s="10" t="s">
        <v>54</v>
      </c>
    </row>
    <row r="9665" spans="1:20" ht="14.5" x14ac:dyDescent="0.35">
      <c r="A9665" s="10" t="s">
        <v>43386</v>
      </c>
      <c r="B9665" s="10" t="str">
        <f>"9781421421674"</f>
        <v>9781421421674</v>
      </c>
      <c r="C9665" s="10" t="str">
        <f>"9781421421681"</f>
        <v>9781421421681</v>
      </c>
      <c r="D9665" s="10" t="s">
        <v>884</v>
      </c>
      <c r="E9665" s="10" t="s">
        <v>884</v>
      </c>
      <c r="F9665" s="10" t="s">
        <v>885</v>
      </c>
      <c r="G9665" s="10" t="s">
        <v>6317</v>
      </c>
      <c r="H9665" s="11">
        <v>42772</v>
      </c>
      <c r="I9665" s="10">
        <v>2017</v>
      </c>
      <c r="J9665" s="10" t="s">
        <v>884</v>
      </c>
      <c r="K9665" s="10">
        <v>273</v>
      </c>
      <c r="L9665" s="10" t="s">
        <v>35936</v>
      </c>
      <c r="M9665" s="10">
        <v>1</v>
      </c>
      <c r="N9665" s="10"/>
      <c r="O9665" s="10"/>
      <c r="P9665" s="10"/>
      <c r="Q9665" s="10">
        <v>378.73</v>
      </c>
      <c r="R9665" s="10"/>
      <c r="S9665" s="10" t="s">
        <v>53</v>
      </c>
      <c r="T9665" s="10" t="s">
        <v>54</v>
      </c>
    </row>
    <row r="9666" spans="1:20" ht="14.5" x14ac:dyDescent="0.35">
      <c r="A9666" s="10" t="s">
        <v>43387</v>
      </c>
      <c r="B9666" s="10" t="str">
        <f>"9781137524867"</f>
        <v>9781137524867</v>
      </c>
      <c r="C9666" s="10" t="str">
        <f>"9781137524874"</f>
        <v>9781137524874</v>
      </c>
      <c r="D9666" s="10" t="s">
        <v>11249</v>
      </c>
      <c r="E9666" s="10" t="s">
        <v>13407</v>
      </c>
      <c r="F9666" s="10" t="s">
        <v>139</v>
      </c>
      <c r="G9666" s="10" t="s">
        <v>6352</v>
      </c>
      <c r="H9666" s="11">
        <v>42579</v>
      </c>
      <c r="I9666" s="10">
        <v>2016</v>
      </c>
      <c r="J9666" s="10" t="s">
        <v>16380</v>
      </c>
      <c r="K9666" s="10">
        <v>228</v>
      </c>
      <c r="L9666" s="10" t="s">
        <v>43388</v>
      </c>
      <c r="M9666" s="10">
        <v>1</v>
      </c>
      <c r="N9666" s="10" t="s">
        <v>39548</v>
      </c>
      <c r="O9666" s="10"/>
      <c r="P9666" s="10" t="s">
        <v>39549</v>
      </c>
      <c r="Q9666" s="10">
        <v>371.822</v>
      </c>
      <c r="R9666" s="10" t="s">
        <v>17722</v>
      </c>
      <c r="S9666" s="10" t="s">
        <v>53</v>
      </c>
      <c r="T9666" s="10" t="s">
        <v>6472</v>
      </c>
    </row>
    <row r="9667" spans="1:20" ht="14.5" x14ac:dyDescent="0.35">
      <c r="A9667" s="10" t="s">
        <v>43389</v>
      </c>
      <c r="B9667" s="10" t="str">
        <f>"9780309380188"</f>
        <v>9780309380188</v>
      </c>
      <c r="C9667" s="10" t="str">
        <f>"9780309380195"</f>
        <v>9780309380195</v>
      </c>
      <c r="D9667" s="10" t="s">
        <v>36547</v>
      </c>
      <c r="E9667" s="10" t="s">
        <v>36547</v>
      </c>
      <c r="F9667" s="10" t="s">
        <v>36548</v>
      </c>
      <c r="G9667" s="10" t="s">
        <v>6317</v>
      </c>
      <c r="H9667" s="11">
        <v>42384</v>
      </c>
      <c r="I9667" s="10">
        <v>2015</v>
      </c>
      <c r="J9667" s="10" t="s">
        <v>36547</v>
      </c>
      <c r="K9667" s="10">
        <v>257</v>
      </c>
      <c r="L9667" s="10" t="s">
        <v>43390</v>
      </c>
      <c r="M9667" s="10">
        <v>1</v>
      </c>
      <c r="N9667" s="10"/>
      <c r="O9667" s="10"/>
      <c r="P9667" s="10" t="s">
        <v>43391</v>
      </c>
      <c r="Q9667" s="10">
        <v>372.4</v>
      </c>
      <c r="R9667" s="10"/>
      <c r="S9667" s="10" t="s">
        <v>53</v>
      </c>
      <c r="T9667" s="10" t="s">
        <v>54</v>
      </c>
    </row>
    <row r="9668" spans="1:20" ht="14.5" x14ac:dyDescent="0.35">
      <c r="A9668" s="10" t="s">
        <v>43392</v>
      </c>
      <c r="B9668" s="10" t="str">
        <f>"9781475829143"</f>
        <v>9781475829143</v>
      </c>
      <c r="C9668" s="10" t="str">
        <f>"9781475829150"</f>
        <v>9781475829150</v>
      </c>
      <c r="D9668" s="10" t="s">
        <v>9752</v>
      </c>
      <c r="E9668" s="10" t="s">
        <v>15187</v>
      </c>
      <c r="F9668" s="10" t="s">
        <v>9754</v>
      </c>
      <c r="G9668" s="10" t="s">
        <v>6317</v>
      </c>
      <c r="H9668" s="11">
        <v>42636</v>
      </c>
      <c r="I9668" s="10">
        <v>2016</v>
      </c>
      <c r="J9668" s="10" t="s">
        <v>15187</v>
      </c>
      <c r="K9668" s="10">
        <v>287</v>
      </c>
      <c r="L9668" s="10" t="s">
        <v>43393</v>
      </c>
      <c r="M9668" s="10">
        <v>1</v>
      </c>
      <c r="N9668" s="10"/>
      <c r="O9668" s="10"/>
      <c r="P9668" s="10" t="s">
        <v>43394</v>
      </c>
      <c r="Q9668" s="10" t="s">
        <v>20043</v>
      </c>
      <c r="R9668" s="10" t="s">
        <v>43395</v>
      </c>
      <c r="S9668" s="10" t="s">
        <v>53</v>
      </c>
      <c r="T9668" s="10" t="s">
        <v>6634</v>
      </c>
    </row>
    <row r="9669" spans="1:20" ht="14.5" x14ac:dyDescent="0.35">
      <c r="A9669" s="10" t="s">
        <v>43396</v>
      </c>
      <c r="B9669" s="10" t="str">
        <f>"9781475826029"</f>
        <v>9781475826029</v>
      </c>
      <c r="C9669" s="10" t="str">
        <f>"9781475826043"</f>
        <v>9781475826043</v>
      </c>
      <c r="D9669" s="10" t="s">
        <v>9752</v>
      </c>
      <c r="E9669" s="10" t="s">
        <v>15187</v>
      </c>
      <c r="F9669" s="10" t="s">
        <v>9754</v>
      </c>
      <c r="G9669" s="10" t="s">
        <v>6317</v>
      </c>
      <c r="H9669" s="11">
        <v>42633</v>
      </c>
      <c r="I9669" s="10">
        <v>2016</v>
      </c>
      <c r="J9669" s="10" t="s">
        <v>15187</v>
      </c>
      <c r="K9669" s="10">
        <v>165</v>
      </c>
      <c r="L9669" s="10" t="s">
        <v>41077</v>
      </c>
      <c r="M9669" s="10">
        <v>1</v>
      </c>
      <c r="N9669" s="10"/>
      <c r="O9669" s="10"/>
      <c r="P9669" s="10" t="s">
        <v>43397</v>
      </c>
      <c r="Q9669" s="10">
        <v>378.38</v>
      </c>
      <c r="R9669" s="10" t="s">
        <v>43398</v>
      </c>
      <c r="S9669" s="10" t="s">
        <v>53</v>
      </c>
      <c r="T9669" s="10" t="s">
        <v>54</v>
      </c>
    </row>
    <row r="9670" spans="1:20" ht="14.5" x14ac:dyDescent="0.35">
      <c r="A9670" s="10" t="s">
        <v>43399</v>
      </c>
      <c r="B9670" s="10" t="str">
        <f>"9781475825879"</f>
        <v>9781475825879</v>
      </c>
      <c r="C9670" s="10" t="str">
        <f>"9781475825893"</f>
        <v>9781475825893</v>
      </c>
      <c r="D9670" s="10" t="s">
        <v>9752</v>
      </c>
      <c r="E9670" s="10" t="s">
        <v>15187</v>
      </c>
      <c r="F9670" s="10" t="s">
        <v>9754</v>
      </c>
      <c r="G9670" s="10" t="s">
        <v>6317</v>
      </c>
      <c r="H9670" s="11">
        <v>42688</v>
      </c>
      <c r="I9670" s="10">
        <v>2016</v>
      </c>
      <c r="J9670" s="10" t="s">
        <v>15187</v>
      </c>
      <c r="K9670" s="10">
        <v>128</v>
      </c>
      <c r="L9670" s="10" t="s">
        <v>43400</v>
      </c>
      <c r="M9670" s="10">
        <v>1</v>
      </c>
      <c r="N9670" s="10"/>
      <c r="O9670" s="10"/>
      <c r="P9670" s="10" t="s">
        <v>43401</v>
      </c>
      <c r="Q9670" s="10">
        <v>372.0711</v>
      </c>
      <c r="R9670" s="10" t="s">
        <v>43402</v>
      </c>
      <c r="S9670" s="10" t="s">
        <v>53</v>
      </c>
      <c r="T9670" s="10" t="s">
        <v>54</v>
      </c>
    </row>
    <row r="9671" spans="1:20" ht="14.5" x14ac:dyDescent="0.35">
      <c r="A9671" s="10" t="s">
        <v>43403</v>
      </c>
      <c r="B9671" s="10" t="str">
        <f>"9781943874125"</f>
        <v>9781943874125</v>
      </c>
      <c r="C9671" s="10" t="str">
        <f>"9781943874132"</f>
        <v>9781943874132</v>
      </c>
      <c r="D9671" s="10" t="s">
        <v>37580</v>
      </c>
      <c r="E9671" s="10" t="s">
        <v>37581</v>
      </c>
      <c r="F9671" s="10" t="s">
        <v>37623</v>
      </c>
      <c r="G9671" s="10" t="s">
        <v>6317</v>
      </c>
      <c r="H9671" s="11">
        <v>42657</v>
      </c>
      <c r="I9671" s="10">
        <v>2017</v>
      </c>
      <c r="J9671" s="10" t="s">
        <v>37581</v>
      </c>
      <c r="K9671" s="10">
        <v>72</v>
      </c>
      <c r="L9671" s="10" t="s">
        <v>43404</v>
      </c>
      <c r="M9671" s="10">
        <v>1</v>
      </c>
      <c r="N9671" s="10" t="s">
        <v>43405</v>
      </c>
      <c r="O9671" s="10"/>
      <c r="P9671" s="10"/>
      <c r="Q9671" s="10"/>
      <c r="R9671" s="10"/>
      <c r="S9671" s="10" t="s">
        <v>53</v>
      </c>
      <c r="T9671" s="10" t="s">
        <v>54</v>
      </c>
    </row>
    <row r="9672" spans="1:20" ht="14.5" x14ac:dyDescent="0.35">
      <c r="A9672" s="10" t="s">
        <v>43406</v>
      </c>
      <c r="B9672" s="10" t="str">
        <f>"9781119283102"</f>
        <v>9781119283102</v>
      </c>
      <c r="C9672" s="10" t="str">
        <f>"9781119283119"</f>
        <v>9781119283119</v>
      </c>
      <c r="D9672" s="10" t="s">
        <v>6322</v>
      </c>
      <c r="E9672" s="10" t="s">
        <v>6323</v>
      </c>
      <c r="F9672" s="10" t="s">
        <v>4423</v>
      </c>
      <c r="G9672" s="10" t="s">
        <v>6317</v>
      </c>
      <c r="H9672" s="11">
        <v>42681</v>
      </c>
      <c r="I9672" s="10">
        <v>2017</v>
      </c>
      <c r="J9672" s="10" t="s">
        <v>6323</v>
      </c>
      <c r="K9672" s="10">
        <v>323</v>
      </c>
      <c r="L9672" s="10" t="s">
        <v>43407</v>
      </c>
      <c r="M9672" s="10">
        <v>1</v>
      </c>
      <c r="N9672" s="10"/>
      <c r="O9672" s="10"/>
      <c r="P9672" s="10"/>
      <c r="Q9672" s="10"/>
      <c r="R9672" s="10" t="s">
        <v>43408</v>
      </c>
      <c r="S9672" s="10" t="s">
        <v>53</v>
      </c>
      <c r="T9672" s="10" t="s">
        <v>8755</v>
      </c>
    </row>
    <row r="9673" spans="1:20" ht="14.5" x14ac:dyDescent="0.35">
      <c r="A9673" s="10" t="s">
        <v>43409</v>
      </c>
      <c r="B9673" s="10" t="str">
        <f>"9781475826128"</f>
        <v>9781475826128</v>
      </c>
      <c r="C9673" s="10" t="str">
        <f>"9781475826135"</f>
        <v>9781475826135</v>
      </c>
      <c r="D9673" s="10" t="s">
        <v>9752</v>
      </c>
      <c r="E9673" s="10" t="s">
        <v>15187</v>
      </c>
      <c r="F9673" s="10" t="s">
        <v>9754</v>
      </c>
      <c r="G9673" s="10" t="s">
        <v>6317</v>
      </c>
      <c r="H9673" s="11">
        <v>42636</v>
      </c>
      <c r="I9673" s="10">
        <v>2016</v>
      </c>
      <c r="J9673" s="10" t="s">
        <v>15187</v>
      </c>
      <c r="K9673" s="10">
        <v>165</v>
      </c>
      <c r="L9673" s="10" t="s">
        <v>43410</v>
      </c>
      <c r="M9673" s="10">
        <v>1</v>
      </c>
      <c r="N9673" s="10"/>
      <c r="O9673" s="10"/>
      <c r="P9673" s="10" t="s">
        <v>43411</v>
      </c>
      <c r="Q9673" s="10">
        <v>378.125</v>
      </c>
      <c r="R9673" s="10" t="s">
        <v>43412</v>
      </c>
      <c r="S9673" s="10" t="s">
        <v>53</v>
      </c>
      <c r="T9673" s="10" t="s">
        <v>54</v>
      </c>
    </row>
    <row r="9674" spans="1:20" ht="14.5" x14ac:dyDescent="0.35">
      <c r="A9674" s="10" t="s">
        <v>43413</v>
      </c>
      <c r="B9674" s="10" t="str">
        <f>"9781475827736"</f>
        <v>9781475827736</v>
      </c>
      <c r="C9674" s="10" t="str">
        <f>"9781475827750"</f>
        <v>9781475827750</v>
      </c>
      <c r="D9674" s="10" t="s">
        <v>9752</v>
      </c>
      <c r="E9674" s="10" t="s">
        <v>15187</v>
      </c>
      <c r="F9674" s="10" t="s">
        <v>9754</v>
      </c>
      <c r="G9674" s="10" t="s">
        <v>6317</v>
      </c>
      <c r="H9674" s="11">
        <v>42622</v>
      </c>
      <c r="I9674" s="10">
        <v>2016</v>
      </c>
      <c r="J9674" s="10" t="s">
        <v>15187</v>
      </c>
      <c r="K9674" s="10">
        <v>123</v>
      </c>
      <c r="L9674" s="10" t="s">
        <v>43414</v>
      </c>
      <c r="M9674" s="10">
        <v>1</v>
      </c>
      <c r="N9674" s="10"/>
      <c r="O9674" s="10"/>
      <c r="P9674" s="10" t="s">
        <v>43415</v>
      </c>
      <c r="Q9674" s="10">
        <v>372.21097300000002</v>
      </c>
      <c r="R9674" s="10" t="s">
        <v>25738</v>
      </c>
      <c r="S9674" s="10" t="s">
        <v>53</v>
      </c>
      <c r="T9674" s="10" t="s">
        <v>6526</v>
      </c>
    </row>
    <row r="9675" spans="1:20" ht="14.5" x14ac:dyDescent="0.35">
      <c r="A9675" s="10" t="s">
        <v>43416</v>
      </c>
      <c r="B9675" s="10" t="str">
        <f>"9781936763979"</f>
        <v>9781936763979</v>
      </c>
      <c r="C9675" s="10" t="str">
        <f>"9781936763986"</f>
        <v>9781936763986</v>
      </c>
      <c r="D9675" s="10" t="s">
        <v>37580</v>
      </c>
      <c r="E9675" s="10" t="s">
        <v>37581</v>
      </c>
      <c r="F9675" s="10" t="s">
        <v>37623</v>
      </c>
      <c r="G9675" s="10" t="s">
        <v>6317</v>
      </c>
      <c r="H9675" s="11">
        <v>42681</v>
      </c>
      <c r="I9675" s="10">
        <v>2017</v>
      </c>
      <c r="J9675" s="10" t="s">
        <v>37581</v>
      </c>
      <c r="K9675" s="10">
        <v>160</v>
      </c>
      <c r="L9675" s="10" t="s">
        <v>28440</v>
      </c>
      <c r="M9675" s="10">
        <v>1</v>
      </c>
      <c r="N9675" s="10"/>
      <c r="O9675" s="10"/>
      <c r="P9675" s="10" t="s">
        <v>43417</v>
      </c>
      <c r="Q9675" s="10"/>
      <c r="R9675" s="10"/>
      <c r="S9675" s="10" t="s">
        <v>53</v>
      </c>
      <c r="T9675" s="10" t="s">
        <v>54</v>
      </c>
    </row>
    <row r="9676" spans="1:20" ht="14.5" x14ac:dyDescent="0.35">
      <c r="A9676" s="10" t="s">
        <v>43418</v>
      </c>
      <c r="B9676" s="10" t="str">
        <f>"9781943874002"</f>
        <v>9781943874002</v>
      </c>
      <c r="C9676" s="10" t="str">
        <f>"9781943874019"</f>
        <v>9781943874019</v>
      </c>
      <c r="D9676" s="10" t="s">
        <v>37580</v>
      </c>
      <c r="E9676" s="10" t="s">
        <v>37581</v>
      </c>
      <c r="F9676" s="10" t="s">
        <v>37623</v>
      </c>
      <c r="G9676" s="10" t="s">
        <v>6317</v>
      </c>
      <c r="H9676" s="11">
        <v>42688</v>
      </c>
      <c r="I9676" s="10">
        <v>2017</v>
      </c>
      <c r="J9676" s="10" t="s">
        <v>37581</v>
      </c>
      <c r="K9676" s="10">
        <v>168</v>
      </c>
      <c r="L9676" s="10" t="s">
        <v>43419</v>
      </c>
      <c r="M9676" s="10">
        <v>1</v>
      </c>
      <c r="N9676" s="10"/>
      <c r="O9676" s="10"/>
      <c r="P9676" s="10" t="s">
        <v>43420</v>
      </c>
      <c r="Q9676" s="10"/>
      <c r="R9676" s="10"/>
      <c r="S9676" s="10" t="s">
        <v>53</v>
      </c>
      <c r="T9676" s="10" t="s">
        <v>389</v>
      </c>
    </row>
    <row r="9677" spans="1:20" ht="14.5" x14ac:dyDescent="0.35">
      <c r="A9677" s="10" t="s">
        <v>43421</v>
      </c>
      <c r="B9677" s="10" t="str">
        <f>"9781783501427"</f>
        <v>9781783501427</v>
      </c>
      <c r="C9677" s="10" t="str">
        <f>"9781783501434"</f>
        <v>9781783501434</v>
      </c>
      <c r="D9677" s="10" t="s">
        <v>8699</v>
      </c>
      <c r="E9677" s="10" t="s">
        <v>8699</v>
      </c>
      <c r="F9677" s="10" t="s">
        <v>559</v>
      </c>
      <c r="G9677" s="10" t="s">
        <v>6352</v>
      </c>
      <c r="H9677" s="11">
        <v>41568</v>
      </c>
      <c r="I9677" s="10">
        <v>2013</v>
      </c>
      <c r="J9677" s="10" t="s">
        <v>8699</v>
      </c>
      <c r="K9677" s="10">
        <v>304</v>
      </c>
      <c r="L9677" s="10" t="s">
        <v>43422</v>
      </c>
      <c r="M9677" s="10">
        <v>1</v>
      </c>
      <c r="N9677" s="10" t="s">
        <v>18965</v>
      </c>
      <c r="O9677" s="10">
        <v>13</v>
      </c>
      <c r="P9677" s="10" t="s">
        <v>40415</v>
      </c>
      <c r="Q9677" s="10">
        <v>378.00720000000001</v>
      </c>
      <c r="R9677" s="10" t="s">
        <v>43423</v>
      </c>
      <c r="S9677" s="10" t="s">
        <v>53</v>
      </c>
      <c r="T9677" s="10" t="s">
        <v>54</v>
      </c>
    </row>
    <row r="9678" spans="1:20" ht="14.5" x14ac:dyDescent="0.35">
      <c r="A9678" s="10" t="s">
        <v>43424</v>
      </c>
      <c r="B9678" s="10" t="str">
        <f>"9780891285519"</f>
        <v>9780891285519</v>
      </c>
      <c r="C9678" s="10" t="str">
        <f>"9780891287636"</f>
        <v>9780891287636</v>
      </c>
      <c r="D9678" s="10" t="s">
        <v>43425</v>
      </c>
      <c r="E9678" s="10" t="s">
        <v>43426</v>
      </c>
      <c r="F9678" s="10" t="s">
        <v>13068</v>
      </c>
      <c r="G9678" s="10" t="s">
        <v>6317</v>
      </c>
      <c r="H9678" s="11">
        <v>42550</v>
      </c>
      <c r="I9678" s="10">
        <v>2016</v>
      </c>
      <c r="J9678" s="10" t="s">
        <v>43426</v>
      </c>
      <c r="K9678" s="10">
        <v>604</v>
      </c>
      <c r="L9678" s="10" t="s">
        <v>43427</v>
      </c>
      <c r="M9678" s="10">
        <v>1</v>
      </c>
      <c r="N9678" s="10"/>
      <c r="O9678" s="10"/>
      <c r="P9678" s="10" t="s">
        <v>43428</v>
      </c>
      <c r="Q9678" s="10">
        <v>371.9</v>
      </c>
      <c r="R9678" s="10" t="s">
        <v>43429</v>
      </c>
      <c r="S9678" s="10" t="s">
        <v>53</v>
      </c>
      <c r="T9678" s="10" t="s">
        <v>6526</v>
      </c>
    </row>
    <row r="9679" spans="1:20" ht="14.5" x14ac:dyDescent="0.35">
      <c r="A9679" s="10" t="s">
        <v>43430</v>
      </c>
      <c r="B9679" s="10" t="str">
        <f>"9781475810400"</f>
        <v>9781475810400</v>
      </c>
      <c r="C9679" s="10" t="str">
        <f>"9781475810431"</f>
        <v>9781475810431</v>
      </c>
      <c r="D9679" s="10" t="s">
        <v>9752</v>
      </c>
      <c r="E9679" s="10" t="s">
        <v>15187</v>
      </c>
      <c r="F9679" s="10" t="s">
        <v>9754</v>
      </c>
      <c r="G9679" s="10" t="s">
        <v>6317</v>
      </c>
      <c r="H9679" s="11">
        <v>42650</v>
      </c>
      <c r="I9679" s="10">
        <v>2016</v>
      </c>
      <c r="J9679" s="10" t="s">
        <v>15187</v>
      </c>
      <c r="K9679" s="10">
        <v>203</v>
      </c>
      <c r="L9679" s="10" t="s">
        <v>43431</v>
      </c>
      <c r="M9679" s="10">
        <v>1</v>
      </c>
      <c r="N9679" s="10"/>
      <c r="O9679" s="10"/>
      <c r="P9679" s="10" t="s">
        <v>43432</v>
      </c>
      <c r="Q9679" s="10">
        <v>910.71</v>
      </c>
      <c r="R9679" s="10" t="s">
        <v>43433</v>
      </c>
      <c r="S9679" s="10" t="s">
        <v>53</v>
      </c>
      <c r="T9679" s="10" t="s">
        <v>12094</v>
      </c>
    </row>
    <row r="9680" spans="1:20" ht="14.5" x14ac:dyDescent="0.35">
      <c r="A9680" s="10" t="s">
        <v>43434</v>
      </c>
      <c r="B9680" s="10" t="str">
        <f>"9781475822632"</f>
        <v>9781475822632</v>
      </c>
      <c r="C9680" s="10" t="str">
        <f>"9781475822649"</f>
        <v>9781475822649</v>
      </c>
      <c r="D9680" s="10" t="s">
        <v>9752</v>
      </c>
      <c r="E9680" s="10" t="s">
        <v>15187</v>
      </c>
      <c r="F9680" s="10" t="s">
        <v>9754</v>
      </c>
      <c r="G9680" s="10" t="s">
        <v>6317</v>
      </c>
      <c r="H9680" s="11">
        <v>42688</v>
      </c>
      <c r="I9680" s="10">
        <v>2016</v>
      </c>
      <c r="J9680" s="10" t="s">
        <v>15187</v>
      </c>
      <c r="K9680" s="10">
        <v>107</v>
      </c>
      <c r="L9680" s="10" t="s">
        <v>31591</v>
      </c>
      <c r="M9680" s="10">
        <v>1</v>
      </c>
      <c r="N9680" s="10"/>
      <c r="O9680" s="10"/>
      <c r="P9680" s="10" t="s">
        <v>43435</v>
      </c>
      <c r="Q9680" s="10"/>
      <c r="R9680" s="10" t="s">
        <v>8063</v>
      </c>
      <c r="S9680" s="10" t="s">
        <v>53</v>
      </c>
      <c r="T9680" s="10" t="s">
        <v>54</v>
      </c>
    </row>
    <row r="9681" spans="1:20" ht="14.5" x14ac:dyDescent="0.35">
      <c r="A9681" s="10" t="s">
        <v>43436</v>
      </c>
      <c r="B9681" s="10" t="str">
        <f>"9781475830583"</f>
        <v>9781475830583</v>
      </c>
      <c r="C9681" s="10" t="str">
        <f>"9781475830590"</f>
        <v>9781475830590</v>
      </c>
      <c r="D9681" s="10" t="s">
        <v>9752</v>
      </c>
      <c r="E9681" s="10" t="s">
        <v>15187</v>
      </c>
      <c r="F9681" s="10" t="s">
        <v>9754</v>
      </c>
      <c r="G9681" s="10" t="s">
        <v>6317</v>
      </c>
      <c r="H9681" s="11">
        <v>42676</v>
      </c>
      <c r="I9681" s="10">
        <v>2016</v>
      </c>
      <c r="J9681" s="10" t="s">
        <v>15187</v>
      </c>
      <c r="K9681" s="10">
        <v>233</v>
      </c>
      <c r="L9681" s="10" t="s">
        <v>43437</v>
      </c>
      <c r="M9681" s="10">
        <v>1</v>
      </c>
      <c r="N9681" s="10"/>
      <c r="O9681" s="10"/>
      <c r="P9681" s="10" t="s">
        <v>43438</v>
      </c>
      <c r="Q9681" s="10" t="s">
        <v>10031</v>
      </c>
      <c r="R9681" s="10" t="s">
        <v>20755</v>
      </c>
      <c r="S9681" s="10" t="s">
        <v>53</v>
      </c>
      <c r="T9681" s="10" t="s">
        <v>54</v>
      </c>
    </row>
    <row r="9682" spans="1:20" ht="14.5" x14ac:dyDescent="0.35">
      <c r="A9682" s="10" t="s">
        <v>43439</v>
      </c>
      <c r="B9682" s="10" t="str">
        <f>"9781475829549"</f>
        <v>9781475829549</v>
      </c>
      <c r="C9682" s="10" t="str">
        <f>"9781475829587"</f>
        <v>9781475829587</v>
      </c>
      <c r="D9682" s="10" t="s">
        <v>9752</v>
      </c>
      <c r="E9682" s="10" t="s">
        <v>15187</v>
      </c>
      <c r="F9682" s="10" t="s">
        <v>9754</v>
      </c>
      <c r="G9682" s="10" t="s">
        <v>6317</v>
      </c>
      <c r="H9682" s="11">
        <v>42682</v>
      </c>
      <c r="I9682" s="10">
        <v>2016</v>
      </c>
      <c r="J9682" s="10" t="s">
        <v>15187</v>
      </c>
      <c r="K9682" s="10">
        <v>160</v>
      </c>
      <c r="L9682" s="10" t="s">
        <v>43440</v>
      </c>
      <c r="M9682" s="10">
        <v>1</v>
      </c>
      <c r="N9682" s="10"/>
      <c r="O9682" s="10"/>
      <c r="P9682" s="10" t="s">
        <v>43441</v>
      </c>
      <c r="Q9682" s="10"/>
      <c r="R9682" s="10" t="s">
        <v>43442</v>
      </c>
      <c r="S9682" s="10" t="s">
        <v>53</v>
      </c>
      <c r="T9682" s="10" t="s">
        <v>54</v>
      </c>
    </row>
    <row r="9683" spans="1:20" ht="14.5" x14ac:dyDescent="0.35">
      <c r="A9683" s="10" t="s">
        <v>43443</v>
      </c>
      <c r="B9683" s="10" t="str">
        <f>"9781942496922"</f>
        <v>9781942496922</v>
      </c>
      <c r="C9683" s="10" t="str">
        <f>"9781942496939"</f>
        <v>9781942496939</v>
      </c>
      <c r="D9683" s="10" t="s">
        <v>37580</v>
      </c>
      <c r="E9683" s="10" t="s">
        <v>37581</v>
      </c>
      <c r="F9683" s="10" t="s">
        <v>37623</v>
      </c>
      <c r="G9683" s="10" t="s">
        <v>6317</v>
      </c>
      <c r="H9683" s="11">
        <v>42674</v>
      </c>
      <c r="I9683" s="10">
        <v>2017</v>
      </c>
      <c r="J9683" s="10" t="s">
        <v>37581</v>
      </c>
      <c r="K9683" s="10">
        <v>224</v>
      </c>
      <c r="L9683" s="10" t="s">
        <v>43444</v>
      </c>
      <c r="M9683" s="10">
        <v>1</v>
      </c>
      <c r="N9683" s="10"/>
      <c r="O9683" s="10"/>
      <c r="P9683" s="10"/>
      <c r="Q9683" s="10"/>
      <c r="R9683" s="10"/>
      <c r="S9683" s="10" t="s">
        <v>53</v>
      </c>
      <c r="T9683" s="10" t="s">
        <v>54</v>
      </c>
    </row>
    <row r="9684" spans="1:20" ht="14.5" x14ac:dyDescent="0.35">
      <c r="A9684" s="10" t="s">
        <v>43445</v>
      </c>
      <c r="B9684" s="10" t="str">
        <f>"9781942496762"</f>
        <v>9781942496762</v>
      </c>
      <c r="C9684" s="10" t="str">
        <f>"9781942496779"</f>
        <v>9781942496779</v>
      </c>
      <c r="D9684" s="10" t="s">
        <v>37580</v>
      </c>
      <c r="E9684" s="10" t="s">
        <v>37581</v>
      </c>
      <c r="F9684" s="10" t="s">
        <v>37623</v>
      </c>
      <c r="G9684" s="10" t="s">
        <v>6317</v>
      </c>
      <c r="H9684" s="11">
        <v>42678</v>
      </c>
      <c r="I9684" s="10">
        <v>2017</v>
      </c>
      <c r="J9684" s="10" t="s">
        <v>37581</v>
      </c>
      <c r="K9684" s="10">
        <v>128</v>
      </c>
      <c r="L9684" s="10" t="s">
        <v>24046</v>
      </c>
      <c r="M9684" s="10">
        <v>1</v>
      </c>
      <c r="N9684" s="10"/>
      <c r="O9684" s="10"/>
      <c r="P9684" s="10" t="s">
        <v>43446</v>
      </c>
      <c r="Q9684" s="10"/>
      <c r="R9684" s="10"/>
      <c r="S9684" s="10" t="s">
        <v>53</v>
      </c>
      <c r="T9684" s="10" t="s">
        <v>6616</v>
      </c>
    </row>
    <row r="9685" spans="1:20" ht="14.5" x14ac:dyDescent="0.35">
      <c r="A9685" s="10" t="s">
        <v>43447</v>
      </c>
      <c r="B9685" s="10" t="str">
        <f>"9781137490506"</f>
        <v>9781137490506</v>
      </c>
      <c r="C9685" s="10" t="str">
        <f>"9781137490513"</f>
        <v>9781137490513</v>
      </c>
      <c r="D9685" s="10" t="s">
        <v>11249</v>
      </c>
      <c r="E9685" s="10" t="s">
        <v>13407</v>
      </c>
      <c r="F9685" s="10" t="s">
        <v>139</v>
      </c>
      <c r="G9685" s="10" t="s">
        <v>6352</v>
      </c>
      <c r="H9685" s="11">
        <v>42678</v>
      </c>
      <c r="I9685" s="10">
        <v>2017</v>
      </c>
      <c r="J9685" s="10" t="s">
        <v>16380</v>
      </c>
      <c r="K9685" s="10">
        <v>299</v>
      </c>
      <c r="L9685" s="10" t="s">
        <v>43448</v>
      </c>
      <c r="M9685" s="10">
        <v>1</v>
      </c>
      <c r="N9685" s="10" t="s">
        <v>39548</v>
      </c>
      <c r="O9685" s="10"/>
      <c r="P9685" s="10" t="s">
        <v>11364</v>
      </c>
      <c r="Q9685" s="10">
        <v>370.71100000000001</v>
      </c>
      <c r="R9685" s="10" t="s">
        <v>7577</v>
      </c>
      <c r="S9685" s="10" t="s">
        <v>53</v>
      </c>
      <c r="T9685" s="10" t="s">
        <v>54</v>
      </c>
    </row>
    <row r="9686" spans="1:20" ht="14.5" x14ac:dyDescent="0.35">
      <c r="A9686" s="10" t="s">
        <v>43449</v>
      </c>
      <c r="B9686" s="10" t="str">
        <f>"9781475822892"</f>
        <v>9781475822892</v>
      </c>
      <c r="C9686" s="10" t="str">
        <f>"9781475822915"</f>
        <v>9781475822915</v>
      </c>
      <c r="D9686" s="10" t="s">
        <v>9752</v>
      </c>
      <c r="E9686" s="10" t="s">
        <v>15187</v>
      </c>
      <c r="F9686" s="10" t="s">
        <v>9754</v>
      </c>
      <c r="G9686" s="10" t="s">
        <v>6317</v>
      </c>
      <c r="H9686" s="11">
        <v>42663</v>
      </c>
      <c r="I9686" s="10">
        <v>2016</v>
      </c>
      <c r="J9686" s="10" t="s">
        <v>15187</v>
      </c>
      <c r="K9686" s="10">
        <v>229</v>
      </c>
      <c r="L9686" s="10" t="s">
        <v>40099</v>
      </c>
      <c r="M9686" s="10">
        <v>1</v>
      </c>
      <c r="N9686" s="10"/>
      <c r="O9686" s="10"/>
      <c r="P9686" s="10" t="s">
        <v>43450</v>
      </c>
      <c r="Q9686" s="10"/>
      <c r="R9686" s="10" t="s">
        <v>16318</v>
      </c>
      <c r="S9686" s="10" t="s">
        <v>53</v>
      </c>
      <c r="T9686" s="10" t="s">
        <v>54</v>
      </c>
    </row>
    <row r="9687" spans="1:20" ht="14.5" x14ac:dyDescent="0.35">
      <c r="A9687" s="10" t="s">
        <v>43451</v>
      </c>
      <c r="B9687" s="10" t="str">
        <f>"9781475828818"</f>
        <v>9781475828818</v>
      </c>
      <c r="C9687" s="10" t="str">
        <f>"9781475828832"</f>
        <v>9781475828832</v>
      </c>
      <c r="D9687" s="10" t="s">
        <v>9752</v>
      </c>
      <c r="E9687" s="10" t="s">
        <v>15187</v>
      </c>
      <c r="F9687" s="10" t="s">
        <v>9754</v>
      </c>
      <c r="G9687" s="10" t="s">
        <v>6317</v>
      </c>
      <c r="H9687" s="11">
        <v>42648</v>
      </c>
      <c r="I9687" s="10">
        <v>2016</v>
      </c>
      <c r="J9687" s="10" t="s">
        <v>15187</v>
      </c>
      <c r="K9687" s="10">
        <v>147</v>
      </c>
      <c r="L9687" s="10" t="s">
        <v>43452</v>
      </c>
      <c r="M9687" s="10">
        <v>1</v>
      </c>
      <c r="N9687" s="10"/>
      <c r="O9687" s="10"/>
      <c r="P9687" s="10" t="s">
        <v>43453</v>
      </c>
      <c r="Q9687" s="10">
        <v>370.15199999999999</v>
      </c>
      <c r="R9687" s="10" t="s">
        <v>43454</v>
      </c>
      <c r="S9687" s="10" t="s">
        <v>53</v>
      </c>
      <c r="T9687" s="10" t="s">
        <v>54</v>
      </c>
    </row>
    <row r="9688" spans="1:20" ht="14.5" x14ac:dyDescent="0.35">
      <c r="A9688" s="10" t="s">
        <v>43455</v>
      </c>
      <c r="B9688" s="10" t="str">
        <f>"9781475827989"</f>
        <v>9781475827989</v>
      </c>
      <c r="C9688" s="10" t="str">
        <f>"9781475828009"</f>
        <v>9781475828009</v>
      </c>
      <c r="D9688" s="10" t="s">
        <v>9752</v>
      </c>
      <c r="E9688" s="10" t="s">
        <v>15187</v>
      </c>
      <c r="F9688" s="10" t="s">
        <v>9754</v>
      </c>
      <c r="G9688" s="10" t="s">
        <v>6317</v>
      </c>
      <c r="H9688" s="11">
        <v>42676</v>
      </c>
      <c r="I9688" s="10">
        <v>2016</v>
      </c>
      <c r="J9688" s="10" t="s">
        <v>15187</v>
      </c>
      <c r="K9688" s="10">
        <v>172</v>
      </c>
      <c r="L9688" s="10" t="s">
        <v>25168</v>
      </c>
      <c r="M9688" s="10">
        <v>1</v>
      </c>
      <c r="N9688" s="10"/>
      <c r="O9688" s="10"/>
      <c r="P9688" s="10" t="s">
        <v>43456</v>
      </c>
      <c r="Q9688" s="10">
        <v>375.00099999999998</v>
      </c>
      <c r="R9688" s="10" t="s">
        <v>43457</v>
      </c>
      <c r="S9688" s="10" t="s">
        <v>53</v>
      </c>
      <c r="T9688" s="10" t="s">
        <v>54</v>
      </c>
    </row>
    <row r="9689" spans="1:20" ht="14.5" x14ac:dyDescent="0.35">
      <c r="A9689" s="10" t="s">
        <v>43458</v>
      </c>
      <c r="B9689" s="10" t="str">
        <f>"9781475818932"</f>
        <v>9781475818932</v>
      </c>
      <c r="C9689" s="10" t="str">
        <f>"9781475818949"</f>
        <v>9781475818949</v>
      </c>
      <c r="D9689" s="10" t="s">
        <v>9752</v>
      </c>
      <c r="E9689" s="10" t="s">
        <v>15187</v>
      </c>
      <c r="F9689" s="10" t="s">
        <v>9754</v>
      </c>
      <c r="G9689" s="10" t="s">
        <v>6317</v>
      </c>
      <c r="H9689" s="11">
        <v>42688</v>
      </c>
      <c r="I9689" s="10">
        <v>2016</v>
      </c>
      <c r="J9689" s="10" t="s">
        <v>15187</v>
      </c>
      <c r="K9689" s="10">
        <v>197</v>
      </c>
      <c r="L9689" s="10" t="s">
        <v>43459</v>
      </c>
      <c r="M9689" s="10">
        <v>1</v>
      </c>
      <c r="N9689" s="10"/>
      <c r="O9689" s="10"/>
      <c r="P9689" s="10" t="s">
        <v>43460</v>
      </c>
      <c r="Q9689" s="10" t="s">
        <v>9870</v>
      </c>
      <c r="R9689" s="10" t="s">
        <v>43461</v>
      </c>
      <c r="S9689" s="10" t="s">
        <v>53</v>
      </c>
      <c r="T9689" s="10" t="s">
        <v>54</v>
      </c>
    </row>
    <row r="9690" spans="1:20" ht="14.5" x14ac:dyDescent="0.35">
      <c r="A9690" s="10" t="s">
        <v>43462</v>
      </c>
      <c r="B9690" s="10" t="str">
        <f>"9781475831566"</f>
        <v>9781475831566</v>
      </c>
      <c r="C9690" s="10" t="str">
        <f>"9781475831573"</f>
        <v>9781475831573</v>
      </c>
      <c r="D9690" s="10" t="s">
        <v>9752</v>
      </c>
      <c r="E9690" s="10" t="s">
        <v>15187</v>
      </c>
      <c r="F9690" s="10" t="s">
        <v>9754</v>
      </c>
      <c r="G9690" s="10" t="s">
        <v>6317</v>
      </c>
      <c r="H9690" s="11">
        <v>42676</v>
      </c>
      <c r="I9690" s="10">
        <v>2017</v>
      </c>
      <c r="J9690" s="10" t="s">
        <v>15187</v>
      </c>
      <c r="K9690" s="10">
        <v>156</v>
      </c>
      <c r="L9690" s="10" t="s">
        <v>43463</v>
      </c>
      <c r="M9690" s="10">
        <v>1</v>
      </c>
      <c r="N9690" s="10"/>
      <c r="O9690" s="10"/>
      <c r="P9690" s="10" t="s">
        <v>43464</v>
      </c>
      <c r="Q9690" s="10" t="s">
        <v>15558</v>
      </c>
      <c r="R9690" s="10" t="s">
        <v>43465</v>
      </c>
      <c r="S9690" s="10" t="s">
        <v>53</v>
      </c>
      <c r="T9690" s="10" t="s">
        <v>54</v>
      </c>
    </row>
    <row r="9691" spans="1:20" ht="14.5" x14ac:dyDescent="0.35">
      <c r="A9691" s="10" t="s">
        <v>43466</v>
      </c>
      <c r="B9691" s="10" t="str">
        <f>"9781498521130"</f>
        <v>9781498521130</v>
      </c>
      <c r="C9691" s="10" t="str">
        <f>"9781498521147"</f>
        <v>9781498521147</v>
      </c>
      <c r="D9691" s="10" t="s">
        <v>9752</v>
      </c>
      <c r="E9691" s="10" t="s">
        <v>15182</v>
      </c>
      <c r="F9691" s="10" t="s">
        <v>9754</v>
      </c>
      <c r="G9691" s="10" t="s">
        <v>6317</v>
      </c>
      <c r="H9691" s="11">
        <v>42689</v>
      </c>
      <c r="I9691" s="10">
        <v>2016</v>
      </c>
      <c r="J9691" s="10" t="s">
        <v>15182</v>
      </c>
      <c r="K9691" s="10">
        <v>198</v>
      </c>
      <c r="L9691" s="10" t="s">
        <v>43467</v>
      </c>
      <c r="M9691" s="10">
        <v>1</v>
      </c>
      <c r="N9691" s="10" t="s">
        <v>40055</v>
      </c>
      <c r="O9691" s="10"/>
      <c r="P9691" s="10" t="s">
        <v>43468</v>
      </c>
      <c r="Q9691" s="10">
        <v>305.48896073082</v>
      </c>
      <c r="R9691" s="10" t="s">
        <v>43469</v>
      </c>
      <c r="S9691" s="10" t="s">
        <v>53</v>
      </c>
      <c r="T9691" s="10" t="s">
        <v>6526</v>
      </c>
    </row>
    <row r="9692" spans="1:20" ht="14.5" x14ac:dyDescent="0.35">
      <c r="A9692" s="10" t="s">
        <v>43470</v>
      </c>
      <c r="B9692" s="10" t="str">
        <f>"9789004334731"</f>
        <v>9789004334731</v>
      </c>
      <c r="C9692" s="10" t="str">
        <f>"9789004334854"</f>
        <v>9789004334854</v>
      </c>
      <c r="D9692" s="10" t="s">
        <v>8564</v>
      </c>
      <c r="E9692" s="10" t="s">
        <v>8565</v>
      </c>
      <c r="F9692" s="10" t="s">
        <v>1420</v>
      </c>
      <c r="G9692" s="10" t="s">
        <v>6317</v>
      </c>
      <c r="H9692" s="11">
        <v>42716</v>
      </c>
      <c r="I9692" s="10">
        <v>2017</v>
      </c>
      <c r="J9692" s="10" t="s">
        <v>8565</v>
      </c>
      <c r="K9692" s="10">
        <v>481</v>
      </c>
      <c r="L9692" s="10" t="s">
        <v>43471</v>
      </c>
      <c r="M9692" s="10">
        <v>1</v>
      </c>
      <c r="N9692" s="10" t="s">
        <v>43472</v>
      </c>
      <c r="O9692" s="10">
        <v>56</v>
      </c>
      <c r="P9692" s="10" t="s">
        <v>43473</v>
      </c>
      <c r="Q9692" s="10"/>
      <c r="R9692" s="10" t="s">
        <v>43474</v>
      </c>
      <c r="S9692" s="10" t="s">
        <v>53</v>
      </c>
      <c r="T9692" s="10" t="s">
        <v>54</v>
      </c>
    </row>
    <row r="9693" spans="1:20" ht="14.5" x14ac:dyDescent="0.35">
      <c r="A9693" s="10" t="s">
        <v>43475</v>
      </c>
      <c r="B9693" s="10" t="str">
        <f>"9781472584564"</f>
        <v>9781472584564</v>
      </c>
      <c r="C9693" s="10" t="str">
        <f>"9781472584595"</f>
        <v>9781472584595</v>
      </c>
      <c r="D9693" s="10" t="s">
        <v>13959</v>
      </c>
      <c r="E9693" s="10" t="s">
        <v>13960</v>
      </c>
      <c r="F9693" s="10" t="s">
        <v>139</v>
      </c>
      <c r="G9693" s="10" t="s">
        <v>6352</v>
      </c>
      <c r="H9693" s="11">
        <v>42761</v>
      </c>
      <c r="I9693" s="10">
        <v>2017</v>
      </c>
      <c r="J9693" s="10" t="s">
        <v>43476</v>
      </c>
      <c r="K9693" s="10">
        <v>340</v>
      </c>
      <c r="L9693" s="10" t="s">
        <v>43477</v>
      </c>
      <c r="M9693" s="10">
        <v>1</v>
      </c>
      <c r="N9693" s="10" t="s">
        <v>43478</v>
      </c>
      <c r="O9693" s="10"/>
      <c r="P9693" s="10" t="s">
        <v>43479</v>
      </c>
      <c r="Q9693" s="10">
        <v>306.48480000000001</v>
      </c>
      <c r="R9693" s="10" t="s">
        <v>43480</v>
      </c>
      <c r="S9693" s="10" t="s">
        <v>53</v>
      </c>
      <c r="T9693" s="10" t="s">
        <v>8368</v>
      </c>
    </row>
    <row r="9694" spans="1:20" ht="14.5" x14ac:dyDescent="0.35">
      <c r="A9694" s="10" t="s">
        <v>43481</v>
      </c>
      <c r="B9694" s="10" t="str">
        <f>"9781606230022"</f>
        <v>9781606230022</v>
      </c>
      <c r="C9694" s="10" t="str">
        <f>"9781462531059"</f>
        <v>9781462531059</v>
      </c>
      <c r="D9694" s="10" t="s">
        <v>11213</v>
      </c>
      <c r="E9694" s="10" t="s">
        <v>11214</v>
      </c>
      <c r="F9694" s="10" t="s">
        <v>70</v>
      </c>
      <c r="G9694" s="10" t="s">
        <v>6317</v>
      </c>
      <c r="H9694" s="11">
        <v>39822</v>
      </c>
      <c r="I9694" s="10">
        <v>2009</v>
      </c>
      <c r="J9694" s="10" t="s">
        <v>11215</v>
      </c>
      <c r="K9694" s="10">
        <v>290</v>
      </c>
      <c r="L9694" s="10" t="s">
        <v>43482</v>
      </c>
      <c r="M9694" s="10">
        <v>2</v>
      </c>
      <c r="N9694" s="10"/>
      <c r="O9694" s="10"/>
      <c r="P9694" s="10" t="s">
        <v>43483</v>
      </c>
      <c r="Q9694" s="10">
        <v>373.14</v>
      </c>
      <c r="R9694" s="10" t="s">
        <v>43484</v>
      </c>
      <c r="S9694" s="10" t="s">
        <v>53</v>
      </c>
      <c r="T9694" s="10" t="s">
        <v>54</v>
      </c>
    </row>
    <row r="9695" spans="1:20" ht="14.5" x14ac:dyDescent="0.35">
      <c r="A9695" s="10" t="s">
        <v>43485</v>
      </c>
      <c r="B9695" s="10" t="str">
        <f>"9781593857196"</f>
        <v>9781593857196</v>
      </c>
      <c r="C9695" s="10" t="str">
        <f>"9781462531011"</f>
        <v>9781462531011</v>
      </c>
      <c r="D9695" s="10" t="s">
        <v>11213</v>
      </c>
      <c r="E9695" s="10" t="s">
        <v>11214</v>
      </c>
      <c r="F9695" s="10" t="s">
        <v>70</v>
      </c>
      <c r="G9695" s="10" t="s">
        <v>6317</v>
      </c>
      <c r="H9695" s="11">
        <v>39573</v>
      </c>
      <c r="I9695" s="10">
        <v>2008</v>
      </c>
      <c r="J9695" s="10" t="s">
        <v>11215</v>
      </c>
      <c r="K9695" s="10">
        <v>202</v>
      </c>
      <c r="L9695" s="10" t="s">
        <v>43486</v>
      </c>
      <c r="M9695" s="10">
        <v>1</v>
      </c>
      <c r="N9695" s="10" t="s">
        <v>15163</v>
      </c>
      <c r="O9695" s="10"/>
      <c r="P9695" s="10" t="s">
        <v>43487</v>
      </c>
      <c r="Q9695" s="10">
        <v>372.7</v>
      </c>
      <c r="R9695" s="10" t="s">
        <v>26542</v>
      </c>
      <c r="S9695" s="10" t="s">
        <v>53</v>
      </c>
      <c r="T9695" s="10" t="s">
        <v>7425</v>
      </c>
    </row>
    <row r="9696" spans="1:20" ht="14.5" x14ac:dyDescent="0.35">
      <c r="A9696" s="10" t="s">
        <v>43488</v>
      </c>
      <c r="B9696" s="10" t="str">
        <f>"9781593857202"</f>
        <v>9781593857202</v>
      </c>
      <c r="C9696" s="10" t="str">
        <f>"9781462531042"</f>
        <v>9781462531042</v>
      </c>
      <c r="D9696" s="10" t="s">
        <v>11213</v>
      </c>
      <c r="E9696" s="10" t="s">
        <v>11214</v>
      </c>
      <c r="F9696" s="10" t="s">
        <v>70</v>
      </c>
      <c r="G9696" s="10" t="s">
        <v>6317</v>
      </c>
      <c r="H9696" s="11">
        <v>39659</v>
      </c>
      <c r="I9696" s="10">
        <v>2008</v>
      </c>
      <c r="J9696" s="10" t="s">
        <v>11215</v>
      </c>
      <c r="K9696" s="10">
        <v>321</v>
      </c>
      <c r="L9696" s="10" t="s">
        <v>43489</v>
      </c>
      <c r="M9696" s="10">
        <v>1</v>
      </c>
      <c r="N9696" s="10"/>
      <c r="O9696" s="10"/>
      <c r="P9696" s="10" t="s">
        <v>43490</v>
      </c>
      <c r="Q9696" s="10" t="s">
        <v>43491</v>
      </c>
      <c r="R9696" s="10" t="s">
        <v>43492</v>
      </c>
      <c r="S9696" s="10" t="s">
        <v>53</v>
      </c>
      <c r="T9696" s="10" t="s">
        <v>8681</v>
      </c>
    </row>
    <row r="9697" spans="1:20" ht="14.5" x14ac:dyDescent="0.35">
      <c r="A9697" s="10" t="s">
        <v>43493</v>
      </c>
      <c r="B9697" s="10" t="str">
        <f>"9781943874453"</f>
        <v>9781943874453</v>
      </c>
      <c r="C9697" s="10" t="str">
        <f>"9781943874460"</f>
        <v>9781943874460</v>
      </c>
      <c r="D9697" s="10" t="s">
        <v>37580</v>
      </c>
      <c r="E9697" s="10" t="s">
        <v>37581</v>
      </c>
      <c r="F9697" s="10" t="s">
        <v>37623</v>
      </c>
      <c r="G9697" s="10" t="s">
        <v>6317</v>
      </c>
      <c r="H9697" s="11">
        <v>42692</v>
      </c>
      <c r="I9697" s="10">
        <v>2017</v>
      </c>
      <c r="J9697" s="10" t="s">
        <v>37581</v>
      </c>
      <c r="K9697" s="10">
        <v>160</v>
      </c>
      <c r="L9697" s="10" t="s">
        <v>43494</v>
      </c>
      <c r="M9697" s="10">
        <v>1</v>
      </c>
      <c r="N9697" s="10"/>
      <c r="O9697" s="10"/>
      <c r="P9697" s="10" t="s">
        <v>43495</v>
      </c>
      <c r="Q9697" s="10"/>
      <c r="R9697" s="10"/>
      <c r="S9697" s="10" t="s">
        <v>53</v>
      </c>
      <c r="T9697" s="10" t="s">
        <v>54</v>
      </c>
    </row>
    <row r="9698" spans="1:20" ht="14.5" x14ac:dyDescent="0.35">
      <c r="A9698" s="10" t="s">
        <v>43496</v>
      </c>
      <c r="B9698" s="10" t="str">
        <f>"9781943874149"</f>
        <v>9781943874149</v>
      </c>
      <c r="C9698" s="10" t="str">
        <f>"9781943874156"</f>
        <v>9781943874156</v>
      </c>
      <c r="D9698" s="10" t="s">
        <v>37580</v>
      </c>
      <c r="E9698" s="10" t="s">
        <v>37581</v>
      </c>
      <c r="F9698" s="10" t="s">
        <v>37623</v>
      </c>
      <c r="G9698" s="10" t="s">
        <v>6317</v>
      </c>
      <c r="H9698" s="11">
        <v>42681</v>
      </c>
      <c r="I9698" s="10">
        <v>2017</v>
      </c>
      <c r="J9698" s="10" t="s">
        <v>37581</v>
      </c>
      <c r="K9698" s="10">
        <v>80</v>
      </c>
      <c r="L9698" s="10" t="s">
        <v>43497</v>
      </c>
      <c r="M9698" s="10">
        <v>1</v>
      </c>
      <c r="N9698" s="10" t="s">
        <v>37586</v>
      </c>
      <c r="O9698" s="10"/>
      <c r="P9698" s="10"/>
      <c r="Q9698" s="10"/>
      <c r="R9698" s="10"/>
      <c r="S9698" s="10" t="s">
        <v>53</v>
      </c>
      <c r="T9698" s="10" t="s">
        <v>54</v>
      </c>
    </row>
    <row r="9699" spans="1:20" ht="14.5" x14ac:dyDescent="0.35">
      <c r="A9699" s="10" t="s">
        <v>43498</v>
      </c>
      <c r="B9699" s="10" t="str">
        <f>"9781620363478"</f>
        <v>9781620363478</v>
      </c>
      <c r="C9699" s="10" t="str">
        <f>"9781000975840"</f>
        <v>9781000975840</v>
      </c>
      <c r="D9699" s="10" t="s">
        <v>6350</v>
      </c>
      <c r="E9699" s="10" t="s">
        <v>6351</v>
      </c>
      <c r="F9699" s="10" t="s">
        <v>748</v>
      </c>
      <c r="G9699" s="10" t="s">
        <v>6352</v>
      </c>
      <c r="H9699" s="11">
        <v>42671</v>
      </c>
      <c r="I9699" s="10">
        <v>2016</v>
      </c>
      <c r="J9699" s="10" t="s">
        <v>6351</v>
      </c>
      <c r="K9699" s="10">
        <v>318</v>
      </c>
      <c r="L9699" s="10" t="s">
        <v>43499</v>
      </c>
      <c r="M9699" s="10">
        <v>1</v>
      </c>
      <c r="N9699" s="10"/>
      <c r="O9699" s="10"/>
      <c r="P9699" s="10" t="s">
        <v>43500</v>
      </c>
      <c r="Q9699" s="10">
        <v>378.00869399999999</v>
      </c>
      <c r="R9699" s="10" t="s">
        <v>43501</v>
      </c>
      <c r="S9699" s="10" t="s">
        <v>53</v>
      </c>
      <c r="T9699" s="10" t="s">
        <v>54</v>
      </c>
    </row>
    <row r="9700" spans="1:20" ht="14.5" x14ac:dyDescent="0.35">
      <c r="A9700" s="10" t="s">
        <v>43502</v>
      </c>
      <c r="B9700" s="10" t="str">
        <f>"9781475831214"</f>
        <v>9781475831214</v>
      </c>
      <c r="C9700" s="10" t="str">
        <f>"9781475831306"</f>
        <v>9781475831306</v>
      </c>
      <c r="D9700" s="10" t="s">
        <v>9752</v>
      </c>
      <c r="E9700" s="10" t="s">
        <v>15187</v>
      </c>
      <c r="F9700" s="10" t="s">
        <v>9754</v>
      </c>
      <c r="G9700" s="10" t="s">
        <v>6317</v>
      </c>
      <c r="H9700" s="11">
        <v>42676</v>
      </c>
      <c r="I9700" s="10">
        <v>2016</v>
      </c>
      <c r="J9700" s="10" t="s">
        <v>15187</v>
      </c>
      <c r="K9700" s="10">
        <v>271</v>
      </c>
      <c r="L9700" s="10" t="s">
        <v>43503</v>
      </c>
      <c r="M9700" s="10">
        <v>1</v>
      </c>
      <c r="N9700" s="10"/>
      <c r="O9700" s="10"/>
      <c r="P9700" s="10" t="s">
        <v>43504</v>
      </c>
      <c r="Q9700" s="10">
        <v>428.43070999999998</v>
      </c>
      <c r="R9700" s="10" t="s">
        <v>43505</v>
      </c>
      <c r="S9700" s="10" t="s">
        <v>53</v>
      </c>
      <c r="T9700" s="10" t="s">
        <v>6634</v>
      </c>
    </row>
    <row r="9701" spans="1:20" ht="14.5" x14ac:dyDescent="0.35">
      <c r="A9701" s="10" t="s">
        <v>43506</v>
      </c>
      <c r="B9701" s="10" t="str">
        <f>"9781620362679"</f>
        <v>9781620362679</v>
      </c>
      <c r="C9701" s="10" t="str">
        <f>"9781000972351"</f>
        <v>9781000972351</v>
      </c>
      <c r="D9701" s="10" t="s">
        <v>6350</v>
      </c>
      <c r="E9701" s="10" t="s">
        <v>6351</v>
      </c>
      <c r="F9701" s="10" t="s">
        <v>14733</v>
      </c>
      <c r="G9701" s="10" t="s">
        <v>6317</v>
      </c>
      <c r="H9701" s="11">
        <v>42669</v>
      </c>
      <c r="I9701" s="10">
        <v>2016</v>
      </c>
      <c r="J9701" s="10" t="s">
        <v>6353</v>
      </c>
      <c r="K9701" s="10">
        <v>205</v>
      </c>
      <c r="L9701" s="10" t="s">
        <v>43507</v>
      </c>
      <c r="M9701" s="10">
        <v>1</v>
      </c>
      <c r="N9701" s="10"/>
      <c r="O9701" s="10"/>
      <c r="P9701" s="10" t="s">
        <v>43508</v>
      </c>
      <c r="Q9701" s="10">
        <v>378.12</v>
      </c>
      <c r="R9701" s="10" t="s">
        <v>41097</v>
      </c>
      <c r="S9701" s="10" t="s">
        <v>53</v>
      </c>
      <c r="T9701" s="10" t="s">
        <v>54</v>
      </c>
    </row>
    <row r="9702" spans="1:20" ht="14.5" x14ac:dyDescent="0.35">
      <c r="A9702" s="10" t="s">
        <v>43509</v>
      </c>
      <c r="B9702" s="10" t="str">
        <f>"9781620364154"</f>
        <v>9781620364154</v>
      </c>
      <c r="C9702" s="10" t="str">
        <f>"9781000975932"</f>
        <v>9781000975932</v>
      </c>
      <c r="D9702" s="10" t="s">
        <v>6350</v>
      </c>
      <c r="E9702" s="10" t="s">
        <v>6351</v>
      </c>
      <c r="F9702" s="10" t="s">
        <v>14733</v>
      </c>
      <c r="G9702" s="10" t="s">
        <v>6317</v>
      </c>
      <c r="H9702" s="11">
        <v>42587</v>
      </c>
      <c r="I9702" s="10">
        <v>2016</v>
      </c>
      <c r="J9702" s="10" t="s">
        <v>6353</v>
      </c>
      <c r="K9702" s="10">
        <v>436</v>
      </c>
      <c r="L9702" s="10" t="s">
        <v>43510</v>
      </c>
      <c r="M9702" s="10">
        <v>2</v>
      </c>
      <c r="N9702" s="10"/>
      <c r="O9702" s="10"/>
      <c r="P9702" s="10" t="s">
        <v>43511</v>
      </c>
      <c r="Q9702" s="10" t="s">
        <v>43512</v>
      </c>
      <c r="R9702" s="10" t="s">
        <v>41298</v>
      </c>
      <c r="S9702" s="10" t="s">
        <v>53</v>
      </c>
      <c r="T9702" s="10" t="s">
        <v>54</v>
      </c>
    </row>
    <row r="9703" spans="1:20" ht="14.5" x14ac:dyDescent="0.35">
      <c r="A9703" s="10" t="s">
        <v>43513</v>
      </c>
      <c r="B9703" s="10" t="str">
        <f>"9789463006439"</f>
        <v>9789463006439</v>
      </c>
      <c r="C9703" s="10" t="str">
        <f>"9789463006453"</f>
        <v>9789463006453</v>
      </c>
      <c r="D9703" s="10" t="s">
        <v>8564</v>
      </c>
      <c r="E9703" s="10" t="s">
        <v>8565</v>
      </c>
      <c r="F9703" s="10" t="s">
        <v>206</v>
      </c>
      <c r="G9703" s="10" t="s">
        <v>9233</v>
      </c>
      <c r="H9703" s="11">
        <v>42370</v>
      </c>
      <c r="I9703" s="10">
        <v>2016</v>
      </c>
      <c r="J9703" s="10" t="s">
        <v>33259</v>
      </c>
      <c r="K9703" s="10">
        <v>186</v>
      </c>
      <c r="L9703" s="10" t="s">
        <v>43514</v>
      </c>
      <c r="M9703" s="10">
        <v>1</v>
      </c>
      <c r="N9703" s="10"/>
      <c r="O9703" s="10"/>
      <c r="P9703" s="10" t="s">
        <v>19534</v>
      </c>
      <c r="Q9703" s="10">
        <v>371.33</v>
      </c>
      <c r="R9703" s="10" t="s">
        <v>29942</v>
      </c>
      <c r="S9703" s="10" t="s">
        <v>53</v>
      </c>
      <c r="T9703" s="10" t="s">
        <v>54</v>
      </c>
    </row>
    <row r="9704" spans="1:20" ht="14.5" x14ac:dyDescent="0.35">
      <c r="A9704" s="10" t="s">
        <v>43515</v>
      </c>
      <c r="B9704" s="10" t="str">
        <f>"9789463006460"</f>
        <v>9789463006460</v>
      </c>
      <c r="C9704" s="10" t="str">
        <f>"9789463006484"</f>
        <v>9789463006484</v>
      </c>
      <c r="D9704" s="10" t="s">
        <v>8564</v>
      </c>
      <c r="E9704" s="10" t="s">
        <v>8565</v>
      </c>
      <c r="F9704" s="10" t="s">
        <v>1420</v>
      </c>
      <c r="G9704" s="10" t="s">
        <v>6317</v>
      </c>
      <c r="H9704" s="11">
        <v>42370</v>
      </c>
      <c r="I9704" s="10">
        <v>2016</v>
      </c>
      <c r="J9704" s="10" t="s">
        <v>33259</v>
      </c>
      <c r="K9704" s="10">
        <v>269</v>
      </c>
      <c r="L9704" s="10" t="s">
        <v>43514</v>
      </c>
      <c r="M9704" s="10">
        <v>1</v>
      </c>
      <c r="N9704" s="10"/>
      <c r="O9704" s="10"/>
      <c r="P9704" s="10" t="s">
        <v>19534</v>
      </c>
      <c r="Q9704" s="10"/>
      <c r="R9704" s="10"/>
      <c r="S9704" s="10" t="s">
        <v>53</v>
      </c>
      <c r="T9704" s="10" t="s">
        <v>54</v>
      </c>
    </row>
    <row r="9705" spans="1:20" ht="14.5" x14ac:dyDescent="0.35">
      <c r="A9705" s="10" t="s">
        <v>43516</v>
      </c>
      <c r="B9705" s="10" t="str">
        <f>"9789463006521"</f>
        <v>9789463006521</v>
      </c>
      <c r="C9705" s="10" t="str">
        <f>"9789463006545"</f>
        <v>9789463006545</v>
      </c>
      <c r="D9705" s="10" t="s">
        <v>8564</v>
      </c>
      <c r="E9705" s="10" t="s">
        <v>8565</v>
      </c>
      <c r="F9705" s="10" t="s">
        <v>1420</v>
      </c>
      <c r="G9705" s="10" t="s">
        <v>6317</v>
      </c>
      <c r="H9705" s="11">
        <v>42370</v>
      </c>
      <c r="I9705" s="10">
        <v>2016</v>
      </c>
      <c r="J9705" s="10" t="s">
        <v>33259</v>
      </c>
      <c r="K9705" s="10">
        <v>168</v>
      </c>
      <c r="L9705" s="10" t="s">
        <v>43517</v>
      </c>
      <c r="M9705" s="10">
        <v>1</v>
      </c>
      <c r="N9705" s="10" t="s">
        <v>33455</v>
      </c>
      <c r="O9705" s="10">
        <v>5</v>
      </c>
      <c r="P9705" s="10" t="s">
        <v>19534</v>
      </c>
      <c r="Q9705" s="10"/>
      <c r="R9705" s="10"/>
      <c r="S9705" s="10" t="s">
        <v>53</v>
      </c>
      <c r="T9705" s="10" t="s">
        <v>54</v>
      </c>
    </row>
    <row r="9706" spans="1:20" ht="14.5" x14ac:dyDescent="0.35">
      <c r="A9706" s="10" t="s">
        <v>43518</v>
      </c>
      <c r="B9706" s="10" t="str">
        <f>"9789463006675"</f>
        <v>9789463006675</v>
      </c>
      <c r="C9706" s="10" t="str">
        <f>"9789463006699"</f>
        <v>9789463006699</v>
      </c>
      <c r="D9706" s="10" t="s">
        <v>8564</v>
      </c>
      <c r="E9706" s="10" t="s">
        <v>8565</v>
      </c>
      <c r="F9706" s="10" t="s">
        <v>1420</v>
      </c>
      <c r="G9706" s="10" t="s">
        <v>6317</v>
      </c>
      <c r="H9706" s="11">
        <v>42370</v>
      </c>
      <c r="I9706" s="10">
        <v>2016</v>
      </c>
      <c r="J9706" s="10" t="s">
        <v>33259</v>
      </c>
      <c r="K9706" s="10">
        <v>378</v>
      </c>
      <c r="L9706" s="10" t="s">
        <v>43519</v>
      </c>
      <c r="M9706" s="10">
        <v>1</v>
      </c>
      <c r="N9706" s="10" t="s">
        <v>43520</v>
      </c>
      <c r="O9706" s="10">
        <v>2</v>
      </c>
      <c r="P9706" s="10" t="s">
        <v>19534</v>
      </c>
      <c r="Q9706" s="10">
        <v>370.95100000000002</v>
      </c>
      <c r="R9706" s="10"/>
      <c r="S9706" s="10" t="s">
        <v>53</v>
      </c>
      <c r="T9706" s="10" t="s">
        <v>54</v>
      </c>
    </row>
    <row r="9707" spans="1:20" ht="14.5" x14ac:dyDescent="0.35">
      <c r="A9707" s="10" t="s">
        <v>43521</v>
      </c>
      <c r="B9707" s="10" t="str">
        <f>"9789463006736"</f>
        <v>9789463006736</v>
      </c>
      <c r="C9707" s="10" t="str">
        <f>"9789463006750"</f>
        <v>9789463006750</v>
      </c>
      <c r="D9707" s="10" t="s">
        <v>8564</v>
      </c>
      <c r="E9707" s="10" t="s">
        <v>8565</v>
      </c>
      <c r="F9707" s="10" t="s">
        <v>1420</v>
      </c>
      <c r="G9707" s="10" t="s">
        <v>6317</v>
      </c>
      <c r="H9707" s="11">
        <v>42370</v>
      </c>
      <c r="I9707" s="10">
        <v>2016</v>
      </c>
      <c r="J9707" s="10" t="s">
        <v>33259</v>
      </c>
      <c r="K9707" s="10">
        <v>280</v>
      </c>
      <c r="L9707" s="10" t="s">
        <v>43522</v>
      </c>
      <c r="M9707" s="10">
        <v>1</v>
      </c>
      <c r="N9707" s="10" t="s">
        <v>33369</v>
      </c>
      <c r="O9707" s="10">
        <v>9</v>
      </c>
      <c r="P9707" s="10" t="s">
        <v>19534</v>
      </c>
      <c r="Q9707" s="10"/>
      <c r="R9707" s="10"/>
      <c r="S9707" s="10" t="s">
        <v>53</v>
      </c>
      <c r="T9707" s="10" t="s">
        <v>54</v>
      </c>
    </row>
    <row r="9708" spans="1:20" ht="14.5" x14ac:dyDescent="0.35">
      <c r="A9708" s="10" t="s">
        <v>43523</v>
      </c>
      <c r="B9708" s="10" t="str">
        <f>"9781483373843"</f>
        <v>9781483373843</v>
      </c>
      <c r="C9708" s="10" t="str">
        <f>"9781506300580"</f>
        <v>9781506300580</v>
      </c>
      <c r="D9708" s="10" t="s">
        <v>22210</v>
      </c>
      <c r="E9708" s="10" t="s">
        <v>22211</v>
      </c>
      <c r="F9708" s="10" t="s">
        <v>333</v>
      </c>
      <c r="G9708" s="10" t="s">
        <v>6317</v>
      </c>
      <c r="H9708" s="11">
        <v>42326</v>
      </c>
      <c r="I9708" s="10">
        <v>2016</v>
      </c>
      <c r="J9708" s="10" t="s">
        <v>22211</v>
      </c>
      <c r="K9708" s="10">
        <v>201</v>
      </c>
      <c r="L9708" s="10" t="s">
        <v>43524</v>
      </c>
      <c r="M9708" s="10">
        <v>1</v>
      </c>
      <c r="N9708" s="10"/>
      <c r="O9708" s="10"/>
      <c r="P9708" s="10" t="s">
        <v>43525</v>
      </c>
      <c r="Q9708" s="10"/>
      <c r="R9708" s="10"/>
      <c r="S9708" s="10" t="s">
        <v>53</v>
      </c>
      <c r="T9708" s="10" t="s">
        <v>54</v>
      </c>
    </row>
    <row r="9709" spans="1:20" ht="14.5" x14ac:dyDescent="0.35">
      <c r="A9709" s="10" t="s">
        <v>43526</v>
      </c>
      <c r="B9709" s="10" t="str">
        <f>"9781506333878"</f>
        <v>9781506333878</v>
      </c>
      <c r="C9709" s="10" t="str">
        <f>"9781506334981"</f>
        <v>9781506334981</v>
      </c>
      <c r="D9709" s="10" t="s">
        <v>22210</v>
      </c>
      <c r="E9709" s="10" t="s">
        <v>22211</v>
      </c>
      <c r="F9709" s="10" t="s">
        <v>333</v>
      </c>
      <c r="G9709" s="10" t="s">
        <v>6317</v>
      </c>
      <c r="H9709" s="11">
        <v>42549</v>
      </c>
      <c r="I9709" s="10">
        <v>2017</v>
      </c>
      <c r="J9709" s="10" t="s">
        <v>22211</v>
      </c>
      <c r="K9709" s="10">
        <v>305</v>
      </c>
      <c r="L9709" s="10" t="s">
        <v>30073</v>
      </c>
      <c r="M9709" s="10">
        <v>1</v>
      </c>
      <c r="N9709" s="10"/>
      <c r="O9709" s="10"/>
      <c r="P9709" s="10" t="s">
        <v>43527</v>
      </c>
      <c r="Q9709" s="10">
        <v>371.58</v>
      </c>
      <c r="R9709" s="10"/>
      <c r="S9709" s="10" t="s">
        <v>53</v>
      </c>
      <c r="T9709" s="10" t="s">
        <v>54</v>
      </c>
    </row>
    <row r="9710" spans="1:20" ht="14.5" x14ac:dyDescent="0.35">
      <c r="A9710" s="10" t="s">
        <v>43528</v>
      </c>
      <c r="B9710" s="10" t="str">
        <f>"9781483358963"</f>
        <v>9781483358963</v>
      </c>
      <c r="C9710" s="10" t="str">
        <f>"9781506304618"</f>
        <v>9781506304618</v>
      </c>
      <c r="D9710" s="10" t="s">
        <v>22210</v>
      </c>
      <c r="E9710" s="10" t="s">
        <v>22211</v>
      </c>
      <c r="F9710" s="10" t="s">
        <v>333</v>
      </c>
      <c r="G9710" s="10" t="s">
        <v>6317</v>
      </c>
      <c r="H9710" s="11">
        <v>42186</v>
      </c>
      <c r="I9710" s="10">
        <v>2016</v>
      </c>
      <c r="J9710" s="10" t="s">
        <v>22211</v>
      </c>
      <c r="K9710" s="10">
        <v>177</v>
      </c>
      <c r="L9710" s="10" t="s">
        <v>43529</v>
      </c>
      <c r="M9710" s="10">
        <v>1</v>
      </c>
      <c r="N9710" s="10"/>
      <c r="O9710" s="10"/>
      <c r="P9710" s="10" t="s">
        <v>43530</v>
      </c>
      <c r="Q9710" s="10"/>
      <c r="R9710" s="10"/>
      <c r="S9710" s="10" t="s">
        <v>53</v>
      </c>
      <c r="T9710" s="10" t="s">
        <v>54</v>
      </c>
    </row>
    <row r="9711" spans="1:20" ht="14.5" x14ac:dyDescent="0.35">
      <c r="A9711" s="10" t="s">
        <v>43531</v>
      </c>
      <c r="B9711" s="10" t="str">
        <f>"9781483339221"</f>
        <v>9781483339221</v>
      </c>
      <c r="C9711" s="10" t="str">
        <f>"9781483339252"</f>
        <v>9781483339252</v>
      </c>
      <c r="D9711" s="10" t="s">
        <v>22210</v>
      </c>
      <c r="E9711" s="10" t="s">
        <v>22211</v>
      </c>
      <c r="F9711" s="10" t="s">
        <v>333</v>
      </c>
      <c r="G9711" s="10" t="s">
        <v>6317</v>
      </c>
      <c r="H9711" s="11">
        <v>41985</v>
      </c>
      <c r="I9711" s="10">
        <v>2015</v>
      </c>
      <c r="J9711" s="10" t="s">
        <v>22211</v>
      </c>
      <c r="K9711" s="10">
        <v>193</v>
      </c>
      <c r="L9711" s="10" t="s">
        <v>43532</v>
      </c>
      <c r="M9711" s="10">
        <v>1</v>
      </c>
      <c r="N9711" s="10"/>
      <c r="O9711" s="10"/>
      <c r="P9711" s="10" t="s">
        <v>43533</v>
      </c>
      <c r="Q9711" s="10" t="s">
        <v>7299</v>
      </c>
      <c r="R9711" s="10"/>
      <c r="S9711" s="10" t="s">
        <v>53</v>
      </c>
      <c r="T9711" s="10" t="s">
        <v>54</v>
      </c>
    </row>
    <row r="9712" spans="1:20" ht="14.5" x14ac:dyDescent="0.35">
      <c r="A9712" s="10" t="s">
        <v>43534</v>
      </c>
      <c r="B9712" s="10" t="str">
        <f>"9781483358314"</f>
        <v>9781483358314</v>
      </c>
      <c r="C9712" s="10" t="str">
        <f>"9781483388656"</f>
        <v>9781483388656</v>
      </c>
      <c r="D9712" s="10" t="s">
        <v>22210</v>
      </c>
      <c r="E9712" s="10" t="s">
        <v>22211</v>
      </c>
      <c r="F9712" s="10" t="s">
        <v>333</v>
      </c>
      <c r="G9712" s="10" t="s">
        <v>6317</v>
      </c>
      <c r="H9712" s="11">
        <v>42123</v>
      </c>
      <c r="I9712" s="10">
        <v>2015</v>
      </c>
      <c r="J9712" s="10" t="s">
        <v>22211</v>
      </c>
      <c r="K9712" s="10">
        <v>305</v>
      </c>
      <c r="L9712" s="10" t="s">
        <v>43535</v>
      </c>
      <c r="M9712" s="10">
        <v>1</v>
      </c>
      <c r="N9712" s="10"/>
      <c r="O9712" s="10"/>
      <c r="P9712" s="10" t="s">
        <v>43536</v>
      </c>
      <c r="Q9712" s="10"/>
      <c r="R9712" s="10"/>
      <c r="S9712" s="10" t="s">
        <v>53</v>
      </c>
      <c r="T9712" s="10" t="s">
        <v>54</v>
      </c>
    </row>
    <row r="9713" spans="1:20" ht="14.5" x14ac:dyDescent="0.35">
      <c r="A9713" s="10" t="s">
        <v>43537</v>
      </c>
      <c r="B9713" s="10" t="str">
        <f>"9781483339542"</f>
        <v>9781483339542</v>
      </c>
      <c r="C9713" s="10" t="str">
        <f>"9781483339559"</f>
        <v>9781483339559</v>
      </c>
      <c r="D9713" s="10" t="s">
        <v>22210</v>
      </c>
      <c r="E9713" s="10" t="s">
        <v>22211</v>
      </c>
      <c r="F9713" s="10" t="s">
        <v>333</v>
      </c>
      <c r="G9713" s="10" t="s">
        <v>6317</v>
      </c>
      <c r="H9713" s="11">
        <v>42454</v>
      </c>
      <c r="I9713" s="10">
        <v>2016</v>
      </c>
      <c r="J9713" s="10" t="s">
        <v>22211</v>
      </c>
      <c r="K9713" s="10">
        <v>185</v>
      </c>
      <c r="L9713" s="10" t="s">
        <v>43538</v>
      </c>
      <c r="M9713" s="10">
        <v>1</v>
      </c>
      <c r="N9713" s="10"/>
      <c r="O9713" s="10"/>
      <c r="P9713" s="10" t="s">
        <v>43539</v>
      </c>
      <c r="Q9713" s="10">
        <v>370.11599999999999</v>
      </c>
      <c r="R9713" s="10"/>
      <c r="S9713" s="10" t="s">
        <v>53</v>
      </c>
      <c r="T9713" s="10" t="s">
        <v>54</v>
      </c>
    </row>
    <row r="9714" spans="1:20" ht="14.5" x14ac:dyDescent="0.35">
      <c r="A9714" s="10" t="s">
        <v>43540</v>
      </c>
      <c r="B9714" s="10" t="str">
        <f>"9781452242989"</f>
        <v>9781452242989</v>
      </c>
      <c r="C9714" s="10" t="str">
        <f>"9781483302904"</f>
        <v>9781483302904</v>
      </c>
      <c r="D9714" s="10" t="s">
        <v>22210</v>
      </c>
      <c r="E9714" s="10" t="s">
        <v>22211</v>
      </c>
      <c r="F9714" s="10" t="s">
        <v>333</v>
      </c>
      <c r="G9714" s="10" t="s">
        <v>6317</v>
      </c>
      <c r="H9714" s="11">
        <v>41332</v>
      </c>
      <c r="I9714" s="10">
        <v>2013</v>
      </c>
      <c r="J9714" s="10" t="s">
        <v>22211</v>
      </c>
      <c r="K9714" s="10">
        <v>217</v>
      </c>
      <c r="L9714" s="10" t="s">
        <v>43541</v>
      </c>
      <c r="M9714" s="10">
        <v>1</v>
      </c>
      <c r="N9714" s="10"/>
      <c r="O9714" s="10"/>
      <c r="P9714" s="10" t="s">
        <v>43542</v>
      </c>
      <c r="Q9714" s="10">
        <v>371.8211</v>
      </c>
      <c r="R9714" s="10"/>
      <c r="S9714" s="10" t="s">
        <v>53</v>
      </c>
      <c r="T9714" s="10" t="s">
        <v>54</v>
      </c>
    </row>
    <row r="9715" spans="1:20" ht="14.5" x14ac:dyDescent="0.35">
      <c r="A9715" s="10" t="s">
        <v>43543</v>
      </c>
      <c r="B9715" s="10" t="str">
        <f>"9781483377797"</f>
        <v>9781483377797</v>
      </c>
      <c r="C9715" s="10" t="str">
        <f>"9781483377803"</f>
        <v>9781483377803</v>
      </c>
      <c r="D9715" s="10" t="s">
        <v>22210</v>
      </c>
      <c r="E9715" s="10" t="s">
        <v>22211</v>
      </c>
      <c r="F9715" s="10" t="s">
        <v>333</v>
      </c>
      <c r="G9715" s="10" t="s">
        <v>6317</v>
      </c>
      <c r="H9715" s="11">
        <v>42025</v>
      </c>
      <c r="I9715" s="10">
        <v>2015</v>
      </c>
      <c r="J9715" s="10" t="s">
        <v>22211</v>
      </c>
      <c r="K9715" s="10">
        <v>65</v>
      </c>
      <c r="L9715" s="10" t="s">
        <v>40399</v>
      </c>
      <c r="M9715" s="10">
        <v>1</v>
      </c>
      <c r="N9715" s="10" t="s">
        <v>43544</v>
      </c>
      <c r="O9715" s="10"/>
      <c r="P9715" s="10" t="s">
        <v>43545</v>
      </c>
      <c r="Q9715" s="10" t="s">
        <v>8748</v>
      </c>
      <c r="R9715" s="10"/>
      <c r="S9715" s="10" t="s">
        <v>53</v>
      </c>
      <c r="T9715" s="10" t="s">
        <v>54</v>
      </c>
    </row>
    <row r="9716" spans="1:20" ht="14.5" x14ac:dyDescent="0.35">
      <c r="A9716" s="10" t="s">
        <v>43546</v>
      </c>
      <c r="B9716" s="10" t="str">
        <f>"9781452283104"</f>
        <v>9781452283104</v>
      </c>
      <c r="C9716" s="10" t="str">
        <f>"9781452283074"</f>
        <v>9781452283074</v>
      </c>
      <c r="D9716" s="10" t="s">
        <v>22210</v>
      </c>
      <c r="E9716" s="10" t="s">
        <v>22211</v>
      </c>
      <c r="F9716" s="10" t="s">
        <v>333</v>
      </c>
      <c r="G9716" s="10" t="s">
        <v>6317</v>
      </c>
      <c r="H9716" s="11">
        <v>41705</v>
      </c>
      <c r="I9716" s="10">
        <v>2014</v>
      </c>
      <c r="J9716" s="10" t="s">
        <v>22211</v>
      </c>
      <c r="K9716" s="10">
        <v>297</v>
      </c>
      <c r="L9716" s="10" t="s">
        <v>43547</v>
      </c>
      <c r="M9716" s="10">
        <v>1</v>
      </c>
      <c r="N9716" s="10" t="s">
        <v>43548</v>
      </c>
      <c r="O9716" s="10"/>
      <c r="P9716" s="10" t="s">
        <v>43549</v>
      </c>
      <c r="Q9716" s="10">
        <v>372.6</v>
      </c>
      <c r="R9716" s="10"/>
      <c r="S9716" s="10" t="s">
        <v>53</v>
      </c>
      <c r="T9716" s="10" t="s">
        <v>54</v>
      </c>
    </row>
    <row r="9717" spans="1:20" ht="14.5" x14ac:dyDescent="0.35">
      <c r="A9717" s="10" t="s">
        <v>43550</v>
      </c>
      <c r="B9717" s="10" t="str">
        <f>"9781452286969"</f>
        <v>9781452286969</v>
      </c>
      <c r="C9717" s="10" t="str">
        <f>"9781452286921"</f>
        <v>9781452286921</v>
      </c>
      <c r="D9717" s="10" t="s">
        <v>22210</v>
      </c>
      <c r="E9717" s="10" t="s">
        <v>22211</v>
      </c>
      <c r="F9717" s="10" t="s">
        <v>333</v>
      </c>
      <c r="G9717" s="10" t="s">
        <v>6317</v>
      </c>
      <c r="H9717" s="11">
        <v>41948</v>
      </c>
      <c r="I9717" s="10">
        <v>2015</v>
      </c>
      <c r="J9717" s="10" t="s">
        <v>22211</v>
      </c>
      <c r="K9717" s="10">
        <v>193</v>
      </c>
      <c r="L9717" s="10" t="s">
        <v>43551</v>
      </c>
      <c r="M9717" s="10">
        <v>1</v>
      </c>
      <c r="N9717" s="10"/>
      <c r="O9717" s="10"/>
      <c r="P9717" s="10"/>
      <c r="Q9717" s="10">
        <v>379.26097299999998</v>
      </c>
      <c r="R9717" s="10"/>
      <c r="S9717" s="10" t="s">
        <v>53</v>
      </c>
      <c r="T9717" s="10" t="s">
        <v>54</v>
      </c>
    </row>
    <row r="9718" spans="1:20" ht="14.5" x14ac:dyDescent="0.35">
      <c r="A9718" s="10" t="s">
        <v>43552</v>
      </c>
      <c r="B9718" s="10" t="str">
        <f>"9781483339511"</f>
        <v>9781483339511</v>
      </c>
      <c r="C9718" s="10" t="str">
        <f>"9781483339528"</f>
        <v>9781483339528</v>
      </c>
      <c r="D9718" s="10" t="s">
        <v>22210</v>
      </c>
      <c r="E9718" s="10" t="s">
        <v>22211</v>
      </c>
      <c r="F9718" s="10" t="s">
        <v>333</v>
      </c>
      <c r="G9718" s="10" t="s">
        <v>6317</v>
      </c>
      <c r="H9718" s="11">
        <v>42433</v>
      </c>
      <c r="I9718" s="10">
        <v>2016</v>
      </c>
      <c r="J9718" s="10" t="s">
        <v>22211</v>
      </c>
      <c r="K9718" s="10">
        <v>163</v>
      </c>
      <c r="L9718" s="10" t="s">
        <v>43538</v>
      </c>
      <c r="M9718" s="10">
        <v>1</v>
      </c>
      <c r="N9718" s="10"/>
      <c r="O9718" s="10"/>
      <c r="P9718" s="10" t="s">
        <v>43553</v>
      </c>
      <c r="Q9718" s="10" t="s">
        <v>15735</v>
      </c>
      <c r="R9718" s="10"/>
      <c r="S9718" s="10" t="s">
        <v>53</v>
      </c>
      <c r="T9718" s="10" t="s">
        <v>54</v>
      </c>
    </row>
    <row r="9719" spans="1:20" ht="14.5" x14ac:dyDescent="0.35">
      <c r="A9719" s="10" t="s">
        <v>43554</v>
      </c>
      <c r="B9719" s="10" t="str">
        <f>"9781483377193"</f>
        <v>9781483377193</v>
      </c>
      <c r="C9719" s="10" t="str">
        <f>"9781506313986"</f>
        <v>9781506313986</v>
      </c>
      <c r="D9719" s="10" t="s">
        <v>22210</v>
      </c>
      <c r="E9719" s="10" t="s">
        <v>22211</v>
      </c>
      <c r="F9719" s="10" t="s">
        <v>333</v>
      </c>
      <c r="G9719" s="10" t="s">
        <v>6317</v>
      </c>
      <c r="H9719" s="11">
        <v>42247</v>
      </c>
      <c r="I9719" s="10">
        <v>2016</v>
      </c>
      <c r="J9719" s="10" t="s">
        <v>22211</v>
      </c>
      <c r="K9719" s="10">
        <v>169</v>
      </c>
      <c r="L9719" s="10" t="s">
        <v>43555</v>
      </c>
      <c r="M9719" s="10">
        <v>1</v>
      </c>
      <c r="N9719" s="10"/>
      <c r="O9719" s="10"/>
      <c r="P9719" s="10" t="s">
        <v>43556</v>
      </c>
      <c r="Q9719" s="10" t="s">
        <v>15735</v>
      </c>
      <c r="R9719" s="10"/>
      <c r="S9719" s="10" t="s">
        <v>53</v>
      </c>
      <c r="T9719" s="10" t="s">
        <v>54</v>
      </c>
    </row>
    <row r="9720" spans="1:20" ht="14.5" x14ac:dyDescent="0.35">
      <c r="A9720" s="10" t="s">
        <v>43557</v>
      </c>
      <c r="B9720" s="10" t="str">
        <f>"9781483381855"</f>
        <v>9781483381855</v>
      </c>
      <c r="C9720" s="10" t="str">
        <f>"9781506343082"</f>
        <v>9781506343082</v>
      </c>
      <c r="D9720" s="10" t="s">
        <v>22210</v>
      </c>
      <c r="E9720" s="10" t="s">
        <v>22211</v>
      </c>
      <c r="F9720" s="10" t="s">
        <v>333</v>
      </c>
      <c r="G9720" s="10" t="s">
        <v>6317</v>
      </c>
      <c r="H9720" s="11">
        <v>42450</v>
      </c>
      <c r="I9720" s="10">
        <v>2016</v>
      </c>
      <c r="J9720" s="10" t="s">
        <v>22211</v>
      </c>
      <c r="K9720" s="10">
        <v>241</v>
      </c>
      <c r="L9720" s="10" t="s">
        <v>25838</v>
      </c>
      <c r="M9720" s="10">
        <v>1</v>
      </c>
      <c r="N9720" s="10"/>
      <c r="O9720" s="10"/>
      <c r="P9720" s="10" t="s">
        <v>43558</v>
      </c>
      <c r="Q9720" s="10">
        <v>371.10199999999998</v>
      </c>
      <c r="R9720" s="10"/>
      <c r="S9720" s="10" t="s">
        <v>53</v>
      </c>
      <c r="T9720" s="10" t="s">
        <v>54</v>
      </c>
    </row>
    <row r="9721" spans="1:20" ht="14.5" x14ac:dyDescent="0.35">
      <c r="A9721" s="10" t="s">
        <v>43559</v>
      </c>
      <c r="B9721" s="10" t="str">
        <f>"9781483386652"</f>
        <v>9781483386652</v>
      </c>
      <c r="C9721" s="10" t="str">
        <f>"9781483390383"</f>
        <v>9781483390383</v>
      </c>
      <c r="D9721" s="10" t="s">
        <v>22210</v>
      </c>
      <c r="E9721" s="10" t="s">
        <v>22211</v>
      </c>
      <c r="F9721" s="10" t="s">
        <v>333</v>
      </c>
      <c r="G9721" s="10" t="s">
        <v>6317</v>
      </c>
      <c r="H9721" s="11">
        <v>42089</v>
      </c>
      <c r="I9721" s="10">
        <v>2015</v>
      </c>
      <c r="J9721" s="10" t="s">
        <v>22211</v>
      </c>
      <c r="K9721" s="10">
        <v>369</v>
      </c>
      <c r="L9721" s="10" t="s">
        <v>43560</v>
      </c>
      <c r="M9721" s="10">
        <v>1</v>
      </c>
      <c r="N9721" s="10"/>
      <c r="O9721" s="10"/>
      <c r="P9721" s="10"/>
      <c r="Q9721" s="10"/>
      <c r="R9721" s="10"/>
      <c r="S9721" s="10" t="s">
        <v>53</v>
      </c>
      <c r="T9721" s="10" t="s">
        <v>54</v>
      </c>
    </row>
    <row r="9722" spans="1:20" ht="14.5" x14ac:dyDescent="0.35">
      <c r="A9722" s="10" t="s">
        <v>43561</v>
      </c>
      <c r="B9722" s="10" t="str">
        <f>"9781506323077"</f>
        <v>9781506323077</v>
      </c>
      <c r="C9722" s="10" t="str">
        <f>"9781506323060"</f>
        <v>9781506323060</v>
      </c>
      <c r="D9722" s="10" t="s">
        <v>22210</v>
      </c>
      <c r="E9722" s="10" t="s">
        <v>22211</v>
      </c>
      <c r="F9722" s="10" t="s">
        <v>333</v>
      </c>
      <c r="G9722" s="10" t="s">
        <v>6317</v>
      </c>
      <c r="H9722" s="11">
        <v>42466</v>
      </c>
      <c r="I9722" s="10">
        <v>2016</v>
      </c>
      <c r="J9722" s="10" t="s">
        <v>22211</v>
      </c>
      <c r="K9722" s="10">
        <v>145</v>
      </c>
      <c r="L9722" s="10" t="s">
        <v>43562</v>
      </c>
      <c r="M9722" s="10">
        <v>1</v>
      </c>
      <c r="N9722" s="10"/>
      <c r="O9722" s="10"/>
      <c r="P9722" s="10" t="s">
        <v>43563</v>
      </c>
      <c r="Q9722" s="10">
        <v>371.62</v>
      </c>
      <c r="R9722" s="10"/>
      <c r="S9722" s="10" t="s">
        <v>53</v>
      </c>
      <c r="T9722" s="10" t="s">
        <v>54</v>
      </c>
    </row>
    <row r="9723" spans="1:20" ht="14.5" x14ac:dyDescent="0.35">
      <c r="A9723" s="10" t="s">
        <v>43564</v>
      </c>
      <c r="B9723" s="10" t="str">
        <f>"9781506345642"</f>
        <v>9781506345642</v>
      </c>
      <c r="C9723" s="10" t="str">
        <f>"9781506345710"</f>
        <v>9781506345710</v>
      </c>
      <c r="D9723" s="10" t="s">
        <v>22210</v>
      </c>
      <c r="E9723" s="10" t="s">
        <v>22211</v>
      </c>
      <c r="F9723" s="10" t="s">
        <v>333</v>
      </c>
      <c r="G9723" s="10" t="s">
        <v>6317</v>
      </c>
      <c r="H9723" s="11">
        <v>42544</v>
      </c>
      <c r="I9723" s="10">
        <v>2017</v>
      </c>
      <c r="J9723" s="10" t="s">
        <v>22211</v>
      </c>
      <c r="K9723" s="10">
        <v>329</v>
      </c>
      <c r="L9723" s="10" t="s">
        <v>43565</v>
      </c>
      <c r="M9723" s="10">
        <v>3</v>
      </c>
      <c r="N9723" s="10"/>
      <c r="O9723" s="10"/>
      <c r="P9723" s="10" t="s">
        <v>43566</v>
      </c>
      <c r="Q9723" s="10"/>
      <c r="R9723" s="10"/>
      <c r="S9723" s="10" t="s">
        <v>53</v>
      </c>
      <c r="T9723" s="10" t="s">
        <v>54</v>
      </c>
    </row>
    <row r="9724" spans="1:20" ht="14.5" x14ac:dyDescent="0.35">
      <c r="A9724" s="10" t="s">
        <v>43567</v>
      </c>
      <c r="B9724" s="10" t="str">
        <f>"9781506310039"</f>
        <v>9781506310039</v>
      </c>
      <c r="C9724" s="10" t="str">
        <f>"9781506342740"</f>
        <v>9781506342740</v>
      </c>
      <c r="D9724" s="10" t="s">
        <v>22210</v>
      </c>
      <c r="E9724" s="10" t="s">
        <v>22211</v>
      </c>
      <c r="F9724" s="10" t="s">
        <v>333</v>
      </c>
      <c r="G9724" s="10" t="s">
        <v>6317</v>
      </c>
      <c r="H9724" s="11">
        <v>42520</v>
      </c>
      <c r="I9724" s="10">
        <v>2016</v>
      </c>
      <c r="J9724" s="10" t="s">
        <v>22211</v>
      </c>
      <c r="K9724" s="10">
        <v>281</v>
      </c>
      <c r="L9724" s="10" t="s">
        <v>22283</v>
      </c>
      <c r="M9724" s="10">
        <v>1</v>
      </c>
      <c r="N9724" s="10"/>
      <c r="O9724" s="10"/>
      <c r="P9724" s="10" t="s">
        <v>43568</v>
      </c>
      <c r="Q9724" s="10">
        <v>371.10230000000001</v>
      </c>
      <c r="R9724" s="10"/>
      <c r="S9724" s="10" t="s">
        <v>53</v>
      </c>
      <c r="T9724" s="10" t="s">
        <v>54</v>
      </c>
    </row>
    <row r="9725" spans="1:20" ht="14.5" x14ac:dyDescent="0.35">
      <c r="A9725" s="10" t="s">
        <v>43569</v>
      </c>
      <c r="B9725" s="10" t="str">
        <f>"9781452274478"</f>
        <v>9781452274478</v>
      </c>
      <c r="C9725" s="10" t="str">
        <f>"9781483345949"</f>
        <v>9781483345949</v>
      </c>
      <c r="D9725" s="10" t="s">
        <v>22210</v>
      </c>
      <c r="E9725" s="10" t="s">
        <v>22211</v>
      </c>
      <c r="F9725" s="10" t="s">
        <v>333</v>
      </c>
      <c r="G9725" s="10" t="s">
        <v>6317</v>
      </c>
      <c r="H9725" s="11">
        <v>41587</v>
      </c>
      <c r="I9725" s="10">
        <v>2014</v>
      </c>
      <c r="J9725" s="10" t="s">
        <v>22211</v>
      </c>
      <c r="K9725" s="10">
        <v>377</v>
      </c>
      <c r="L9725" s="10" t="s">
        <v>43570</v>
      </c>
      <c r="M9725" s="10">
        <v>1</v>
      </c>
      <c r="N9725" s="10"/>
      <c r="O9725" s="10"/>
      <c r="P9725" s="10" t="s">
        <v>43571</v>
      </c>
      <c r="Q9725" s="10">
        <v>371.42200000000003</v>
      </c>
      <c r="R9725" s="10"/>
      <c r="S9725" s="10" t="s">
        <v>53</v>
      </c>
      <c r="T9725" s="10" t="s">
        <v>54</v>
      </c>
    </row>
    <row r="9726" spans="1:20" ht="14.5" x14ac:dyDescent="0.35">
      <c r="A9726" s="10" t="s">
        <v>43572</v>
      </c>
      <c r="B9726" s="10" t="str">
        <f>"9781483385464"</f>
        <v>9781483385464</v>
      </c>
      <c r="C9726" s="10" t="str">
        <f>"9781506343037"</f>
        <v>9781506343037</v>
      </c>
      <c r="D9726" s="10" t="s">
        <v>22210</v>
      </c>
      <c r="E9726" s="10" t="s">
        <v>22211</v>
      </c>
      <c r="F9726" s="10" t="s">
        <v>333</v>
      </c>
      <c r="G9726" s="10" t="s">
        <v>6317</v>
      </c>
      <c r="H9726" s="11">
        <v>42516</v>
      </c>
      <c r="I9726" s="10">
        <v>2016</v>
      </c>
      <c r="J9726" s="10" t="s">
        <v>22211</v>
      </c>
      <c r="K9726" s="10">
        <v>161</v>
      </c>
      <c r="L9726" s="10" t="s">
        <v>43573</v>
      </c>
      <c r="M9726" s="10">
        <v>1</v>
      </c>
      <c r="N9726" s="10"/>
      <c r="O9726" s="10"/>
      <c r="P9726" s="10" t="s">
        <v>43574</v>
      </c>
      <c r="Q9726" s="10">
        <v>370.11799999999999</v>
      </c>
      <c r="R9726" s="10"/>
      <c r="S9726" s="10" t="s">
        <v>53</v>
      </c>
      <c r="T9726" s="10" t="s">
        <v>54</v>
      </c>
    </row>
    <row r="9727" spans="1:20" ht="14.5" x14ac:dyDescent="0.35">
      <c r="A9727" s="10" t="s">
        <v>43575</v>
      </c>
      <c r="B9727" s="10" t="str">
        <f>"9781483344485"</f>
        <v>9781483344485</v>
      </c>
      <c r="C9727" s="10" t="str">
        <f>"9781483393438"</f>
        <v>9781483393438</v>
      </c>
      <c r="D9727" s="10" t="s">
        <v>22210</v>
      </c>
      <c r="E9727" s="10" t="s">
        <v>22211</v>
      </c>
      <c r="F9727" s="10" t="s">
        <v>333</v>
      </c>
      <c r="G9727" s="10" t="s">
        <v>6317</v>
      </c>
      <c r="H9727" s="11">
        <v>42200</v>
      </c>
      <c r="I9727" s="10">
        <v>2016</v>
      </c>
      <c r="J9727" s="10" t="s">
        <v>22211</v>
      </c>
      <c r="K9727" s="10">
        <v>225</v>
      </c>
      <c r="L9727" s="10" t="s">
        <v>43576</v>
      </c>
      <c r="M9727" s="10">
        <v>1</v>
      </c>
      <c r="N9727" s="10"/>
      <c r="O9727" s="10"/>
      <c r="P9727" s="10" t="s">
        <v>43577</v>
      </c>
      <c r="Q9727" s="10"/>
      <c r="R9727" s="10"/>
      <c r="S9727" s="10" t="s">
        <v>53</v>
      </c>
      <c r="T9727" s="10" t="s">
        <v>54</v>
      </c>
    </row>
    <row r="9728" spans="1:20" ht="14.5" x14ac:dyDescent="0.35">
      <c r="A9728" s="10" t="s">
        <v>43578</v>
      </c>
      <c r="B9728" s="10" t="str">
        <f>"9781452292076"</f>
        <v>9781452292076</v>
      </c>
      <c r="C9728" s="10" t="str">
        <f>"9781452292038"</f>
        <v>9781452292038</v>
      </c>
      <c r="D9728" s="10" t="s">
        <v>22210</v>
      </c>
      <c r="E9728" s="10" t="s">
        <v>22211</v>
      </c>
      <c r="F9728" s="10" t="s">
        <v>333</v>
      </c>
      <c r="G9728" s="10" t="s">
        <v>6317</v>
      </c>
      <c r="H9728" s="11">
        <v>42459</v>
      </c>
      <c r="I9728" s="10">
        <v>2016</v>
      </c>
      <c r="J9728" s="10" t="s">
        <v>22211</v>
      </c>
      <c r="K9728" s="10">
        <v>137</v>
      </c>
      <c r="L9728" s="10" t="s">
        <v>43579</v>
      </c>
      <c r="M9728" s="10">
        <v>1</v>
      </c>
      <c r="N9728" s="10"/>
      <c r="O9728" s="10"/>
      <c r="P9728" s="10" t="s">
        <v>43580</v>
      </c>
      <c r="Q9728" s="10"/>
      <c r="R9728" s="10"/>
      <c r="S9728" s="10" t="s">
        <v>53</v>
      </c>
      <c r="T9728" s="10" t="s">
        <v>54</v>
      </c>
    </row>
    <row r="9729" spans="1:20" ht="14.5" x14ac:dyDescent="0.35">
      <c r="A9729" s="10" t="s">
        <v>43581</v>
      </c>
      <c r="B9729" s="10" t="str">
        <f>"9781483365275"</f>
        <v>9781483365275</v>
      </c>
      <c r="C9729" s="10" t="str">
        <f>"9781483388847"</f>
        <v>9781483388847</v>
      </c>
      <c r="D9729" s="10" t="s">
        <v>22210</v>
      </c>
      <c r="E9729" s="10" t="s">
        <v>22211</v>
      </c>
      <c r="F9729" s="10" t="s">
        <v>333</v>
      </c>
      <c r="G9729" s="10" t="s">
        <v>6317</v>
      </c>
      <c r="H9729" s="11">
        <v>42117</v>
      </c>
      <c r="I9729" s="10">
        <v>2015</v>
      </c>
      <c r="J9729" s="10" t="s">
        <v>22211</v>
      </c>
      <c r="K9729" s="10">
        <v>329</v>
      </c>
      <c r="L9729" s="10" t="s">
        <v>30232</v>
      </c>
      <c r="M9729" s="10">
        <v>1</v>
      </c>
      <c r="N9729" s="10"/>
      <c r="O9729" s="10"/>
      <c r="P9729" s="10" t="s">
        <v>43582</v>
      </c>
      <c r="Q9729" s="10" t="s">
        <v>6920</v>
      </c>
      <c r="R9729" s="10"/>
      <c r="S9729" s="10" t="s">
        <v>53</v>
      </c>
      <c r="T9729" s="10" t="s">
        <v>54</v>
      </c>
    </row>
    <row r="9730" spans="1:20" ht="14.5" x14ac:dyDescent="0.35">
      <c r="A9730" s="10" t="s">
        <v>43583</v>
      </c>
      <c r="B9730" s="10" t="str">
        <f>"9781412996594"</f>
        <v>9781412996594</v>
      </c>
      <c r="C9730" s="10" t="str">
        <f>"9781483310282"</f>
        <v>9781483310282</v>
      </c>
      <c r="D9730" s="10" t="s">
        <v>22210</v>
      </c>
      <c r="E9730" s="10" t="s">
        <v>22214</v>
      </c>
      <c r="F9730" s="10" t="s">
        <v>333</v>
      </c>
      <c r="G9730" s="10" t="s">
        <v>6317</v>
      </c>
      <c r="H9730" s="11">
        <v>42010</v>
      </c>
      <c r="I9730" s="10">
        <v>2015</v>
      </c>
      <c r="J9730" s="10" t="s">
        <v>22214</v>
      </c>
      <c r="K9730" s="10">
        <v>145</v>
      </c>
      <c r="L9730" s="10" t="s">
        <v>43584</v>
      </c>
      <c r="M9730" s="10">
        <v>1</v>
      </c>
      <c r="N9730" s="10"/>
      <c r="O9730" s="10"/>
      <c r="P9730" s="10" t="s">
        <v>43585</v>
      </c>
      <c r="Q9730" s="10"/>
      <c r="R9730" s="10"/>
      <c r="S9730" s="10" t="s">
        <v>53</v>
      </c>
      <c r="T9730" s="10" t="s">
        <v>54</v>
      </c>
    </row>
    <row r="9731" spans="1:20" ht="14.5" x14ac:dyDescent="0.35">
      <c r="A9731" s="10" t="s">
        <v>43586</v>
      </c>
      <c r="B9731" s="10" t="str">
        <f>"9781412974707"</f>
        <v>9781412974707</v>
      </c>
      <c r="C9731" s="10" t="str">
        <f>"9781483309620"</f>
        <v>9781483309620</v>
      </c>
      <c r="D9731" s="10" t="s">
        <v>22210</v>
      </c>
      <c r="E9731" s="10" t="s">
        <v>22214</v>
      </c>
      <c r="F9731" s="10" t="s">
        <v>333</v>
      </c>
      <c r="G9731" s="10" t="s">
        <v>6317</v>
      </c>
      <c r="H9731" s="11">
        <v>41326</v>
      </c>
      <c r="I9731" s="10">
        <v>2014</v>
      </c>
      <c r="J9731" s="10" t="s">
        <v>22214</v>
      </c>
      <c r="K9731" s="10">
        <v>593</v>
      </c>
      <c r="L9731" s="10" t="s">
        <v>43587</v>
      </c>
      <c r="M9731" s="10">
        <v>1</v>
      </c>
      <c r="N9731" s="10"/>
      <c r="O9731" s="10"/>
      <c r="P9731" s="10" t="s">
        <v>43588</v>
      </c>
      <c r="Q9731" s="10">
        <v>371.9</v>
      </c>
      <c r="R9731" s="10"/>
      <c r="S9731" s="10" t="s">
        <v>53</v>
      </c>
      <c r="T9731" s="10" t="s">
        <v>54</v>
      </c>
    </row>
    <row r="9732" spans="1:20" ht="14.5" x14ac:dyDescent="0.35">
      <c r="A9732" s="10" t="s">
        <v>43589</v>
      </c>
      <c r="B9732" s="10" t="str">
        <f>"9781446255285"</f>
        <v>9781446255285</v>
      </c>
      <c r="C9732" s="10" t="str">
        <f>"9781446297599"</f>
        <v>9781446297599</v>
      </c>
      <c r="D9732" s="10" t="s">
        <v>9325</v>
      </c>
      <c r="E9732" s="10" t="s">
        <v>9326</v>
      </c>
      <c r="F9732" s="10" t="s">
        <v>139</v>
      </c>
      <c r="G9732" s="10" t="s">
        <v>6352</v>
      </c>
      <c r="H9732" s="11">
        <v>41674</v>
      </c>
      <c r="I9732" s="10">
        <v>2014</v>
      </c>
      <c r="J9732" s="10" t="s">
        <v>9326</v>
      </c>
      <c r="K9732" s="10">
        <v>433</v>
      </c>
      <c r="L9732" s="10" t="s">
        <v>43590</v>
      </c>
      <c r="M9732" s="10">
        <v>1</v>
      </c>
      <c r="N9732" s="10"/>
      <c r="O9732" s="10"/>
      <c r="P9732" s="10" t="s">
        <v>43591</v>
      </c>
      <c r="Q9732" s="10">
        <v>372.2</v>
      </c>
      <c r="R9732" s="10" t="s">
        <v>21693</v>
      </c>
      <c r="S9732" s="10" t="s">
        <v>53</v>
      </c>
      <c r="T9732" s="10" t="s">
        <v>54</v>
      </c>
    </row>
    <row r="9733" spans="1:20" ht="14.5" x14ac:dyDescent="0.35">
      <c r="A9733" s="10" t="s">
        <v>43592</v>
      </c>
      <c r="B9733" s="10" t="str">
        <f>"9781487520113"</f>
        <v>9781487520113</v>
      </c>
      <c r="C9733" s="10" t="str">
        <f>"9781487510381"</f>
        <v>9781487510381</v>
      </c>
      <c r="D9733" s="10" t="s">
        <v>977</v>
      </c>
      <c r="E9733" s="10" t="s">
        <v>977</v>
      </c>
      <c r="F9733" s="10" t="s">
        <v>901</v>
      </c>
      <c r="G9733" s="10" t="s">
        <v>9536</v>
      </c>
      <c r="H9733" s="11">
        <v>42662</v>
      </c>
      <c r="I9733" s="10">
        <v>2016</v>
      </c>
      <c r="J9733" s="10" t="s">
        <v>977</v>
      </c>
      <c r="K9733" s="10">
        <v>189</v>
      </c>
      <c r="L9733" s="10" t="s">
        <v>43593</v>
      </c>
      <c r="M9733" s="10">
        <v>1</v>
      </c>
      <c r="N9733" s="10"/>
      <c r="O9733" s="10"/>
      <c r="P9733" s="10" t="s">
        <v>43594</v>
      </c>
      <c r="Q9733" s="10" t="s">
        <v>43595</v>
      </c>
      <c r="R9733" s="10"/>
      <c r="S9733" s="10" t="s">
        <v>53</v>
      </c>
      <c r="T9733" s="10" t="s">
        <v>43596</v>
      </c>
    </row>
    <row r="9734" spans="1:20" ht="14.5" x14ac:dyDescent="0.35">
      <c r="A9734" s="10" t="s">
        <v>43597</v>
      </c>
      <c r="B9734" s="10" t="str">
        <f>"9781475826685"</f>
        <v>9781475826685</v>
      </c>
      <c r="C9734" s="10" t="str">
        <f>"9781475826708"</f>
        <v>9781475826708</v>
      </c>
      <c r="D9734" s="10" t="s">
        <v>9752</v>
      </c>
      <c r="E9734" s="10" t="s">
        <v>15187</v>
      </c>
      <c r="F9734" s="10" t="s">
        <v>9754</v>
      </c>
      <c r="G9734" s="10" t="s">
        <v>6317</v>
      </c>
      <c r="H9734" s="11">
        <v>42712</v>
      </c>
      <c r="I9734" s="10">
        <v>2016</v>
      </c>
      <c r="J9734" s="10" t="s">
        <v>15187</v>
      </c>
      <c r="K9734" s="10">
        <v>183</v>
      </c>
      <c r="L9734" s="10" t="s">
        <v>43598</v>
      </c>
      <c r="M9734" s="10">
        <v>1</v>
      </c>
      <c r="N9734" s="10"/>
      <c r="O9734" s="10"/>
      <c r="P9734" s="10" t="s">
        <v>43599</v>
      </c>
      <c r="Q9734" s="10"/>
      <c r="R9734" s="10" t="s">
        <v>41133</v>
      </c>
      <c r="S9734" s="10" t="s">
        <v>53</v>
      </c>
      <c r="T9734" s="10" t="s">
        <v>54</v>
      </c>
    </row>
    <row r="9735" spans="1:20" ht="14.5" x14ac:dyDescent="0.35">
      <c r="A9735" s="10" t="s">
        <v>43600</v>
      </c>
      <c r="B9735" s="10" t="str">
        <f>"9781475828719"</f>
        <v>9781475828719</v>
      </c>
      <c r="C9735" s="10" t="str">
        <f>"9781475828726"</f>
        <v>9781475828726</v>
      </c>
      <c r="D9735" s="10" t="s">
        <v>9752</v>
      </c>
      <c r="E9735" s="10" t="s">
        <v>15187</v>
      </c>
      <c r="F9735" s="10" t="s">
        <v>9754</v>
      </c>
      <c r="G9735" s="10" t="s">
        <v>6317</v>
      </c>
      <c r="H9735" s="11">
        <v>42712</v>
      </c>
      <c r="I9735" s="10">
        <v>2016</v>
      </c>
      <c r="J9735" s="10" t="s">
        <v>15187</v>
      </c>
      <c r="K9735" s="10">
        <v>189</v>
      </c>
      <c r="L9735" s="10" t="s">
        <v>43601</v>
      </c>
      <c r="M9735" s="10">
        <v>1</v>
      </c>
      <c r="N9735" s="10"/>
      <c r="O9735" s="10"/>
      <c r="P9735" s="10" t="s">
        <v>43602</v>
      </c>
      <c r="Q9735" s="10"/>
      <c r="R9735" s="10" t="s">
        <v>39872</v>
      </c>
      <c r="S9735" s="10" t="s">
        <v>53</v>
      </c>
      <c r="T9735" s="10" t="s">
        <v>54</v>
      </c>
    </row>
    <row r="9736" spans="1:20" ht="14.5" x14ac:dyDescent="0.35">
      <c r="A9736" s="10" t="s">
        <v>43603</v>
      </c>
      <c r="B9736" s="10" t="str">
        <f>"9781475828887"</f>
        <v>9781475828887</v>
      </c>
      <c r="C9736" s="10" t="str">
        <f>"9781475828894"</f>
        <v>9781475828894</v>
      </c>
      <c r="D9736" s="10" t="s">
        <v>9752</v>
      </c>
      <c r="E9736" s="10" t="s">
        <v>15187</v>
      </c>
      <c r="F9736" s="10" t="s">
        <v>9754</v>
      </c>
      <c r="G9736" s="10" t="s">
        <v>6317</v>
      </c>
      <c r="H9736" s="11">
        <v>42692</v>
      </c>
      <c r="I9736" s="10">
        <v>2016</v>
      </c>
      <c r="J9736" s="10" t="s">
        <v>15187</v>
      </c>
      <c r="K9736" s="10">
        <v>151</v>
      </c>
      <c r="L9736" s="10" t="s">
        <v>43604</v>
      </c>
      <c r="M9736" s="10">
        <v>1</v>
      </c>
      <c r="N9736" s="10"/>
      <c r="O9736" s="10"/>
      <c r="P9736" s="10" t="s">
        <v>43605</v>
      </c>
      <c r="Q9736" s="10">
        <v>371.19200000000001</v>
      </c>
      <c r="R9736" s="10" t="s">
        <v>16318</v>
      </c>
      <c r="S9736" s="10" t="s">
        <v>53</v>
      </c>
      <c r="T9736" s="10" t="s">
        <v>54</v>
      </c>
    </row>
    <row r="9737" spans="1:20" ht="14.5" x14ac:dyDescent="0.35">
      <c r="A9737" s="10" t="s">
        <v>43606</v>
      </c>
      <c r="B9737" s="10" t="str">
        <f>"9780865718548"</f>
        <v>9780865718548</v>
      </c>
      <c r="C9737" s="10" t="str">
        <f>"9781550926491"</f>
        <v>9781550926491</v>
      </c>
      <c r="D9737" s="10" t="s">
        <v>9533</v>
      </c>
      <c r="E9737" s="10" t="s">
        <v>43607</v>
      </c>
      <c r="F9737" s="10" t="s">
        <v>9535</v>
      </c>
      <c r="G9737" s="10" t="s">
        <v>9536</v>
      </c>
      <c r="H9737" s="11">
        <v>42874</v>
      </c>
      <c r="I9737" s="10">
        <v>2017</v>
      </c>
      <c r="J9737" s="10" t="s">
        <v>43607</v>
      </c>
      <c r="K9737" s="10">
        <v>146</v>
      </c>
      <c r="L9737" s="10" t="s">
        <v>43608</v>
      </c>
      <c r="M9737" s="10">
        <v>4</v>
      </c>
      <c r="N9737" s="10"/>
      <c r="O9737" s="10"/>
      <c r="P9737" s="10" t="s">
        <v>43609</v>
      </c>
      <c r="Q9737" s="10" t="s">
        <v>13808</v>
      </c>
      <c r="R9737" s="10" t="s">
        <v>43610</v>
      </c>
      <c r="S9737" s="10" t="s">
        <v>53</v>
      </c>
      <c r="T9737" s="10" t="s">
        <v>54</v>
      </c>
    </row>
    <row r="9738" spans="1:20" ht="14.5" x14ac:dyDescent="0.35">
      <c r="A9738" s="10" t="s">
        <v>43611</v>
      </c>
      <c r="B9738" s="10" t="str">
        <f>"9781563686788"</f>
        <v>9781563686788</v>
      </c>
      <c r="C9738" s="10" t="str">
        <f>"9781563686795"</f>
        <v>9781563686795</v>
      </c>
      <c r="D9738" s="10" t="s">
        <v>263</v>
      </c>
      <c r="E9738" s="10" t="s">
        <v>263</v>
      </c>
      <c r="F9738" s="10" t="s">
        <v>11765</v>
      </c>
      <c r="G9738" s="10" t="s">
        <v>6317</v>
      </c>
      <c r="H9738" s="11">
        <v>42682</v>
      </c>
      <c r="I9738" s="10">
        <v>2016</v>
      </c>
      <c r="J9738" s="10" t="s">
        <v>263</v>
      </c>
      <c r="K9738" s="10">
        <v>249</v>
      </c>
      <c r="L9738" s="10" t="s">
        <v>43612</v>
      </c>
      <c r="M9738" s="10">
        <v>1</v>
      </c>
      <c r="N9738" s="10" t="s">
        <v>43613</v>
      </c>
      <c r="O9738" s="10">
        <v>5</v>
      </c>
      <c r="P9738" s="10" t="s">
        <v>43614</v>
      </c>
      <c r="Q9738" s="10">
        <v>371.91199999999998</v>
      </c>
      <c r="R9738" s="10" t="s">
        <v>21627</v>
      </c>
      <c r="S9738" s="10" t="s">
        <v>53</v>
      </c>
      <c r="T9738" s="10" t="s">
        <v>6526</v>
      </c>
    </row>
    <row r="9739" spans="1:20" ht="14.5" x14ac:dyDescent="0.35">
      <c r="A9739" s="10" t="s">
        <v>43615</v>
      </c>
      <c r="B9739" s="10" t="str">
        <f>"9789463001465"</f>
        <v>9789463001465</v>
      </c>
      <c r="C9739" s="10" t="str">
        <f>"9789463001489"</f>
        <v>9789463001489</v>
      </c>
      <c r="D9739" s="10" t="s">
        <v>8564</v>
      </c>
      <c r="E9739" s="10" t="s">
        <v>8565</v>
      </c>
      <c r="F9739" s="10" t="s">
        <v>1420</v>
      </c>
      <c r="G9739" s="10" t="s">
        <v>6317</v>
      </c>
      <c r="H9739" s="11">
        <v>42005</v>
      </c>
      <c r="I9739" s="10">
        <v>2015</v>
      </c>
      <c r="J9739" s="10" t="s">
        <v>33259</v>
      </c>
      <c r="K9739" s="10">
        <v>342</v>
      </c>
      <c r="L9739" s="10" t="s">
        <v>43616</v>
      </c>
      <c r="M9739" s="10">
        <v>1</v>
      </c>
      <c r="N9739" s="10"/>
      <c r="O9739" s="10"/>
      <c r="P9739" s="10" t="s">
        <v>19534</v>
      </c>
      <c r="Q9739" s="10"/>
      <c r="R9739" s="10" t="s">
        <v>43617</v>
      </c>
      <c r="S9739" s="10" t="s">
        <v>53</v>
      </c>
      <c r="T9739" s="10" t="s">
        <v>54</v>
      </c>
    </row>
    <row r="9740" spans="1:20" ht="14.5" x14ac:dyDescent="0.35">
      <c r="A9740" s="10" t="s">
        <v>43618</v>
      </c>
      <c r="B9740" s="10" t="str">
        <f>"9789463003629"</f>
        <v>9789463003629</v>
      </c>
      <c r="C9740" s="10" t="str">
        <f>"9789463003643"</f>
        <v>9789463003643</v>
      </c>
      <c r="D9740" s="10" t="s">
        <v>8564</v>
      </c>
      <c r="E9740" s="10" t="s">
        <v>13067</v>
      </c>
      <c r="F9740" s="10" t="s">
        <v>33250</v>
      </c>
      <c r="G9740" s="10" t="s">
        <v>9233</v>
      </c>
      <c r="H9740" s="11">
        <v>42370</v>
      </c>
      <c r="I9740" s="10">
        <v>2016</v>
      </c>
      <c r="J9740" s="10" t="s">
        <v>13067</v>
      </c>
      <c r="K9740" s="10">
        <v>250</v>
      </c>
      <c r="L9740" s="10" t="s">
        <v>43619</v>
      </c>
      <c r="M9740" s="10">
        <v>1</v>
      </c>
      <c r="N9740" s="10" t="s">
        <v>33408</v>
      </c>
      <c r="O9740" s="10">
        <v>7</v>
      </c>
      <c r="P9740" s="10" t="s">
        <v>19534</v>
      </c>
      <c r="Q9740" s="10">
        <v>371.6</v>
      </c>
      <c r="R9740" s="10"/>
      <c r="S9740" s="10" t="s">
        <v>53</v>
      </c>
      <c r="T9740" s="10" t="s">
        <v>54</v>
      </c>
    </row>
    <row r="9741" spans="1:20" ht="14.5" x14ac:dyDescent="0.35">
      <c r="A9741" s="10" t="s">
        <v>43620</v>
      </c>
      <c r="B9741" s="10" t="str">
        <f>"9789463006644"</f>
        <v>9789463006644</v>
      </c>
      <c r="C9741" s="10" t="str">
        <f>"9789463006668"</f>
        <v>9789463006668</v>
      </c>
      <c r="D9741" s="10" t="s">
        <v>8564</v>
      </c>
      <c r="E9741" s="10" t="s">
        <v>8565</v>
      </c>
      <c r="F9741" s="10" t="s">
        <v>1420</v>
      </c>
      <c r="G9741" s="10" t="s">
        <v>6317</v>
      </c>
      <c r="H9741" s="11">
        <v>42370</v>
      </c>
      <c r="I9741" s="10">
        <v>2016</v>
      </c>
      <c r="J9741" s="10" t="s">
        <v>33259</v>
      </c>
      <c r="K9741" s="10">
        <v>118</v>
      </c>
      <c r="L9741" s="10" t="s">
        <v>43621</v>
      </c>
      <c r="M9741" s="10">
        <v>1</v>
      </c>
      <c r="N9741" s="10"/>
      <c r="O9741" s="10"/>
      <c r="P9741" s="10" t="s">
        <v>19534</v>
      </c>
      <c r="Q9741" s="10">
        <v>378.1</v>
      </c>
      <c r="R9741" s="10" t="s">
        <v>43622</v>
      </c>
      <c r="S9741" s="10" t="s">
        <v>53</v>
      </c>
      <c r="T9741" s="10" t="s">
        <v>54</v>
      </c>
    </row>
    <row r="9742" spans="1:20" ht="14.5" x14ac:dyDescent="0.35">
      <c r="A9742" s="10" t="s">
        <v>43623</v>
      </c>
      <c r="B9742" s="10" t="str">
        <f>"9789463006941"</f>
        <v>9789463006941</v>
      </c>
      <c r="C9742" s="10" t="str">
        <f>"9789463006965"</f>
        <v>9789463006965</v>
      </c>
      <c r="D9742" s="10" t="s">
        <v>8564</v>
      </c>
      <c r="E9742" s="10" t="s">
        <v>8565</v>
      </c>
      <c r="F9742" s="10" t="s">
        <v>1420</v>
      </c>
      <c r="G9742" s="10" t="s">
        <v>6317</v>
      </c>
      <c r="H9742" s="11">
        <v>42370</v>
      </c>
      <c r="I9742" s="10">
        <v>2016</v>
      </c>
      <c r="J9742" s="10" t="s">
        <v>33259</v>
      </c>
      <c r="K9742" s="10">
        <v>246</v>
      </c>
      <c r="L9742" s="10" t="s">
        <v>43624</v>
      </c>
      <c r="M9742" s="10">
        <v>1</v>
      </c>
      <c r="N9742" s="10" t="s">
        <v>40818</v>
      </c>
      <c r="O9742" s="10">
        <v>5</v>
      </c>
      <c r="P9742" s="10" t="s">
        <v>19534</v>
      </c>
      <c r="Q9742" s="10"/>
      <c r="R9742" s="10"/>
      <c r="S9742" s="10" t="s">
        <v>53</v>
      </c>
      <c r="T9742" s="10" t="s">
        <v>54</v>
      </c>
    </row>
    <row r="9743" spans="1:20" ht="14.5" x14ac:dyDescent="0.35">
      <c r="A9743" s="10" t="s">
        <v>43625</v>
      </c>
      <c r="B9743" s="10" t="str">
        <f>"9781475830323"</f>
        <v>9781475830323</v>
      </c>
      <c r="C9743" s="10" t="str">
        <f>"9781475830330"</f>
        <v>9781475830330</v>
      </c>
      <c r="D9743" s="10" t="s">
        <v>9752</v>
      </c>
      <c r="E9743" s="10" t="s">
        <v>15187</v>
      </c>
      <c r="F9743" s="10" t="s">
        <v>9754</v>
      </c>
      <c r="G9743" s="10" t="s">
        <v>6317</v>
      </c>
      <c r="H9743" s="11">
        <v>42712</v>
      </c>
      <c r="I9743" s="10">
        <v>2016</v>
      </c>
      <c r="J9743" s="10" t="s">
        <v>15187</v>
      </c>
      <c r="K9743" s="10">
        <v>121</v>
      </c>
      <c r="L9743" s="10" t="s">
        <v>43626</v>
      </c>
      <c r="M9743" s="10">
        <v>1</v>
      </c>
      <c r="N9743" s="10"/>
      <c r="O9743" s="10"/>
      <c r="P9743" s="10" t="s">
        <v>43627</v>
      </c>
      <c r="Q9743" s="10"/>
      <c r="R9743" s="10" t="s">
        <v>43628</v>
      </c>
      <c r="S9743" s="10" t="s">
        <v>53</v>
      </c>
      <c r="T9743" s="10" t="s">
        <v>54</v>
      </c>
    </row>
    <row r="9744" spans="1:20" ht="14.5" x14ac:dyDescent="0.35">
      <c r="A9744" s="10" t="s">
        <v>43629</v>
      </c>
      <c r="B9744" s="10" t="str">
        <f>"9781475820157"</f>
        <v>9781475820157</v>
      </c>
      <c r="C9744" s="10" t="str">
        <f>"9781475820164"</f>
        <v>9781475820164</v>
      </c>
      <c r="D9744" s="10" t="s">
        <v>9752</v>
      </c>
      <c r="E9744" s="10" t="s">
        <v>43630</v>
      </c>
      <c r="F9744" s="10" t="s">
        <v>9754</v>
      </c>
      <c r="G9744" s="10" t="s">
        <v>6317</v>
      </c>
      <c r="H9744" s="11">
        <v>42711</v>
      </c>
      <c r="I9744" s="10">
        <v>2016</v>
      </c>
      <c r="J9744" s="10" t="s">
        <v>43630</v>
      </c>
      <c r="K9744" s="10">
        <v>237</v>
      </c>
      <c r="L9744" s="10" t="s">
        <v>43631</v>
      </c>
      <c r="M9744" s="10">
        <v>1</v>
      </c>
      <c r="N9744" s="10"/>
      <c r="O9744" s="10"/>
      <c r="P9744" s="10" t="s">
        <v>43632</v>
      </c>
      <c r="Q9744" s="10">
        <v>745.40710000000001</v>
      </c>
      <c r="R9744" s="10" t="s">
        <v>43633</v>
      </c>
      <c r="S9744" s="10" t="s">
        <v>53</v>
      </c>
      <c r="T9744" s="10" t="s">
        <v>6384</v>
      </c>
    </row>
    <row r="9745" spans="1:20" ht="14.5" x14ac:dyDescent="0.35">
      <c r="A9745" s="10" t="s">
        <v>43634</v>
      </c>
      <c r="B9745" s="10" t="str">
        <f>"9781119259701"</f>
        <v>9781119259701</v>
      </c>
      <c r="C9745" s="10" t="str">
        <f>"9781119259909"</f>
        <v>9781119259909</v>
      </c>
      <c r="D9745" s="10" t="s">
        <v>6322</v>
      </c>
      <c r="E9745" s="10" t="s">
        <v>6323</v>
      </c>
      <c r="F9745" s="10" t="s">
        <v>4423</v>
      </c>
      <c r="G9745" s="10" t="s">
        <v>6317</v>
      </c>
      <c r="H9745" s="11">
        <v>42709</v>
      </c>
      <c r="I9745" s="10">
        <v>2017</v>
      </c>
      <c r="J9745" s="10" t="s">
        <v>6324</v>
      </c>
      <c r="K9745" s="10">
        <v>252</v>
      </c>
      <c r="L9745" s="10" t="s">
        <v>43635</v>
      </c>
      <c r="M9745" s="10">
        <v>1</v>
      </c>
      <c r="N9745" s="10"/>
      <c r="O9745" s="10"/>
      <c r="P9745" s="10" t="s">
        <v>43636</v>
      </c>
      <c r="Q9745" s="10">
        <v>371.39</v>
      </c>
      <c r="R9745" s="10" t="s">
        <v>43637</v>
      </c>
      <c r="S9745" s="10" t="s">
        <v>53</v>
      </c>
      <c r="T9745" s="10" t="s">
        <v>54</v>
      </c>
    </row>
    <row r="9746" spans="1:20" ht="14.5" x14ac:dyDescent="0.35">
      <c r="A9746" s="10" t="s">
        <v>43638</v>
      </c>
      <c r="B9746" s="10" t="str">
        <f>"9789463006613"</f>
        <v>9789463006613</v>
      </c>
      <c r="C9746" s="10" t="str">
        <f>"9789463006637"</f>
        <v>9789463006637</v>
      </c>
      <c r="D9746" s="10" t="s">
        <v>8564</v>
      </c>
      <c r="E9746" s="10" t="s">
        <v>8565</v>
      </c>
      <c r="F9746" s="10" t="s">
        <v>1420</v>
      </c>
      <c r="G9746" s="10" t="s">
        <v>6317</v>
      </c>
      <c r="H9746" s="11">
        <v>42370</v>
      </c>
      <c r="I9746" s="10">
        <v>2016</v>
      </c>
      <c r="J9746" s="10" t="s">
        <v>33259</v>
      </c>
      <c r="K9746" s="10">
        <v>206</v>
      </c>
      <c r="L9746" s="10" t="s">
        <v>43639</v>
      </c>
      <c r="M9746" s="10">
        <v>1</v>
      </c>
      <c r="N9746" s="10" t="s">
        <v>40825</v>
      </c>
      <c r="O9746" s="10">
        <v>3</v>
      </c>
      <c r="P9746" s="10" t="s">
        <v>19534</v>
      </c>
      <c r="Q9746" s="10"/>
      <c r="R9746" s="10"/>
      <c r="S9746" s="10" t="s">
        <v>53</v>
      </c>
      <c r="T9746" s="10" t="s">
        <v>54</v>
      </c>
    </row>
    <row r="9747" spans="1:20" ht="14.5" x14ac:dyDescent="0.35">
      <c r="A9747" s="10" t="s">
        <v>43640</v>
      </c>
      <c r="B9747" s="10" t="str">
        <f>"9789463006798"</f>
        <v>9789463006798</v>
      </c>
      <c r="C9747" s="10" t="str">
        <f>"9789463006811"</f>
        <v>9789463006811</v>
      </c>
      <c r="D9747" s="10" t="s">
        <v>8564</v>
      </c>
      <c r="E9747" s="10" t="s">
        <v>8565</v>
      </c>
      <c r="F9747" s="10" t="s">
        <v>1420</v>
      </c>
      <c r="G9747" s="10" t="s">
        <v>6317</v>
      </c>
      <c r="H9747" s="11">
        <v>42370</v>
      </c>
      <c r="I9747" s="10">
        <v>2016</v>
      </c>
      <c r="J9747" s="10" t="s">
        <v>33259</v>
      </c>
      <c r="K9747" s="10">
        <v>191</v>
      </c>
      <c r="L9747" s="10" t="s">
        <v>43641</v>
      </c>
      <c r="M9747" s="10">
        <v>1</v>
      </c>
      <c r="N9747" s="10" t="s">
        <v>43642</v>
      </c>
      <c r="O9747" s="10">
        <v>6</v>
      </c>
      <c r="P9747" s="10" t="s">
        <v>19534</v>
      </c>
      <c r="Q9747" s="10"/>
      <c r="R9747" s="10"/>
      <c r="S9747" s="10" t="s">
        <v>53</v>
      </c>
      <c r="T9747" s="10" t="s">
        <v>54</v>
      </c>
    </row>
    <row r="9748" spans="1:20" ht="14.5" x14ac:dyDescent="0.35">
      <c r="A9748" s="10" t="s">
        <v>43643</v>
      </c>
      <c r="B9748" s="10" t="str">
        <f>"9789463006828"</f>
        <v>9789463006828</v>
      </c>
      <c r="C9748" s="10" t="str">
        <f>"9789463006842"</f>
        <v>9789463006842</v>
      </c>
      <c r="D9748" s="10" t="s">
        <v>8564</v>
      </c>
      <c r="E9748" s="10" t="s">
        <v>8565</v>
      </c>
      <c r="F9748" s="10" t="s">
        <v>1420</v>
      </c>
      <c r="G9748" s="10" t="s">
        <v>6317</v>
      </c>
      <c r="H9748" s="11">
        <v>42370</v>
      </c>
      <c r="I9748" s="10">
        <v>2016</v>
      </c>
      <c r="J9748" s="10" t="s">
        <v>33259</v>
      </c>
      <c r="K9748" s="10">
        <v>261</v>
      </c>
      <c r="L9748" s="10" t="s">
        <v>43644</v>
      </c>
      <c r="M9748" s="10">
        <v>1</v>
      </c>
      <c r="N9748" s="10" t="s">
        <v>33408</v>
      </c>
      <c r="O9748" s="10">
        <v>9</v>
      </c>
      <c r="P9748" s="10" t="s">
        <v>19534</v>
      </c>
      <c r="Q9748" s="10"/>
      <c r="R9748" s="10"/>
      <c r="S9748" s="10" t="s">
        <v>53</v>
      </c>
      <c r="T9748" s="10" t="s">
        <v>54</v>
      </c>
    </row>
    <row r="9749" spans="1:20" ht="14.5" x14ac:dyDescent="0.35">
      <c r="A9749" s="10" t="s">
        <v>43645</v>
      </c>
      <c r="B9749" s="10" t="str">
        <f>"9789463007597"</f>
        <v>9789463007597</v>
      </c>
      <c r="C9749" s="10" t="str">
        <f>"9789463007610"</f>
        <v>9789463007610</v>
      </c>
      <c r="D9749" s="10" t="s">
        <v>8564</v>
      </c>
      <c r="E9749" s="10" t="s">
        <v>8565</v>
      </c>
      <c r="F9749" s="10" t="s">
        <v>1420</v>
      </c>
      <c r="G9749" s="10" t="s">
        <v>6317</v>
      </c>
      <c r="H9749" s="11">
        <v>42370</v>
      </c>
      <c r="I9749" s="10">
        <v>2016</v>
      </c>
      <c r="J9749" s="10" t="s">
        <v>33259</v>
      </c>
      <c r="K9749" s="10">
        <v>316</v>
      </c>
      <c r="L9749" s="10" t="s">
        <v>43646</v>
      </c>
      <c r="M9749" s="10">
        <v>1</v>
      </c>
      <c r="N9749" s="10" t="s">
        <v>43647</v>
      </c>
      <c r="O9749" s="10">
        <v>1</v>
      </c>
      <c r="P9749" s="10" t="s">
        <v>19534</v>
      </c>
      <c r="Q9749" s="10"/>
      <c r="R9749" s="10"/>
      <c r="S9749" s="10" t="s">
        <v>53</v>
      </c>
      <c r="T9749" s="10" t="s">
        <v>54</v>
      </c>
    </row>
    <row r="9750" spans="1:20" ht="14.5" x14ac:dyDescent="0.35">
      <c r="A9750" s="10" t="s">
        <v>43648</v>
      </c>
      <c r="B9750" s="10" t="str">
        <f>"9781475822816"</f>
        <v>9781475822816</v>
      </c>
      <c r="C9750" s="10" t="str">
        <f>"9781475822823"</f>
        <v>9781475822823</v>
      </c>
      <c r="D9750" s="10" t="s">
        <v>9752</v>
      </c>
      <c r="E9750" s="10" t="s">
        <v>15187</v>
      </c>
      <c r="F9750" s="10" t="s">
        <v>9754</v>
      </c>
      <c r="G9750" s="10" t="s">
        <v>6317</v>
      </c>
      <c r="H9750" s="11">
        <v>42712</v>
      </c>
      <c r="I9750" s="10">
        <v>2016</v>
      </c>
      <c r="J9750" s="10" t="s">
        <v>15187</v>
      </c>
      <c r="K9750" s="10">
        <v>229</v>
      </c>
      <c r="L9750" s="10" t="s">
        <v>43649</v>
      </c>
      <c r="M9750" s="10">
        <v>1</v>
      </c>
      <c r="N9750" s="10"/>
      <c r="O9750" s="10"/>
      <c r="P9750" s="10" t="s">
        <v>43650</v>
      </c>
      <c r="Q9750" s="10"/>
      <c r="R9750" s="10" t="s">
        <v>31659</v>
      </c>
      <c r="S9750" s="10" t="s">
        <v>53</v>
      </c>
      <c r="T9750" s="10" t="s">
        <v>54</v>
      </c>
    </row>
    <row r="9751" spans="1:20" ht="14.5" x14ac:dyDescent="0.35">
      <c r="A9751" s="10" t="s">
        <v>43651</v>
      </c>
      <c r="B9751" s="10" t="str">
        <f>"9781137400321"</f>
        <v>9781137400321</v>
      </c>
      <c r="C9751" s="10" t="str">
        <f>"9781137400338"</f>
        <v>9781137400338</v>
      </c>
      <c r="D9751" s="10" t="s">
        <v>11249</v>
      </c>
      <c r="E9751" s="10" t="s">
        <v>13407</v>
      </c>
      <c r="F9751" s="10" t="s">
        <v>139</v>
      </c>
      <c r="G9751" s="10" t="s">
        <v>6352</v>
      </c>
      <c r="H9751" s="11">
        <v>42691</v>
      </c>
      <c r="I9751" s="10">
        <v>2017</v>
      </c>
      <c r="J9751" s="10" t="s">
        <v>16380</v>
      </c>
      <c r="K9751" s="10">
        <v>728</v>
      </c>
      <c r="L9751" s="10" t="s">
        <v>43652</v>
      </c>
      <c r="M9751" s="10">
        <v>1</v>
      </c>
      <c r="N9751" s="10"/>
      <c r="O9751" s="10"/>
      <c r="P9751" s="10" t="s">
        <v>39549</v>
      </c>
      <c r="Q9751" s="10">
        <v>306.70699999999999</v>
      </c>
      <c r="R9751" s="10" t="s">
        <v>17722</v>
      </c>
      <c r="S9751" s="10" t="s">
        <v>53</v>
      </c>
      <c r="T9751" s="10" t="s">
        <v>6363</v>
      </c>
    </row>
    <row r="9752" spans="1:20" ht="14.5" x14ac:dyDescent="0.35">
      <c r="A9752" s="10" t="s">
        <v>43653</v>
      </c>
      <c r="B9752" s="10" t="str">
        <f>"9781936764433"</f>
        <v>9781936764433</v>
      </c>
      <c r="C9752" s="10" t="str">
        <f>"9781935542940"</f>
        <v>9781935542940</v>
      </c>
      <c r="D9752" s="10" t="s">
        <v>37580</v>
      </c>
      <c r="E9752" s="10" t="s">
        <v>37581</v>
      </c>
      <c r="F9752" s="10" t="s">
        <v>37623</v>
      </c>
      <c r="G9752" s="10" t="s">
        <v>6317</v>
      </c>
      <c r="H9752" s="11">
        <v>42664</v>
      </c>
      <c r="I9752" s="10">
        <v>2014</v>
      </c>
      <c r="J9752" s="10" t="s">
        <v>37581</v>
      </c>
      <c r="K9752" s="10">
        <v>160</v>
      </c>
      <c r="L9752" s="10" t="s">
        <v>43654</v>
      </c>
      <c r="M9752" s="10">
        <v>1</v>
      </c>
      <c r="N9752" s="10"/>
      <c r="O9752" s="10"/>
      <c r="P9752" s="10"/>
      <c r="Q9752" s="10">
        <v>372.41</v>
      </c>
      <c r="R9752" s="10"/>
      <c r="S9752" s="10" t="s">
        <v>53</v>
      </c>
      <c r="T9752" s="10" t="s">
        <v>54</v>
      </c>
    </row>
    <row r="9753" spans="1:20" ht="14.5" x14ac:dyDescent="0.35">
      <c r="A9753" s="10" t="s">
        <v>43655</v>
      </c>
      <c r="B9753" s="10" t="str">
        <f>"9781943874026"</f>
        <v>9781943874026</v>
      </c>
      <c r="C9753" s="10" t="str">
        <f>"9781943874033"</f>
        <v>9781943874033</v>
      </c>
      <c r="D9753" s="10" t="s">
        <v>37580</v>
      </c>
      <c r="E9753" s="10" t="s">
        <v>37581</v>
      </c>
      <c r="F9753" s="10" t="s">
        <v>37623</v>
      </c>
      <c r="G9753" s="10" t="s">
        <v>6317</v>
      </c>
      <c r="H9753" s="11">
        <v>42697</v>
      </c>
      <c r="I9753" s="10">
        <v>2017</v>
      </c>
      <c r="J9753" s="10" t="s">
        <v>37581</v>
      </c>
      <c r="K9753" s="10">
        <v>184</v>
      </c>
      <c r="L9753" s="10" t="s">
        <v>43656</v>
      </c>
      <c r="M9753" s="10">
        <v>1</v>
      </c>
      <c r="N9753" s="10"/>
      <c r="O9753" s="10"/>
      <c r="P9753" s="10"/>
      <c r="Q9753" s="10"/>
      <c r="R9753" s="10"/>
      <c r="S9753" s="10" t="s">
        <v>53</v>
      </c>
      <c r="T9753" s="10" t="s">
        <v>54</v>
      </c>
    </row>
    <row r="9754" spans="1:20" ht="14.5" x14ac:dyDescent="0.35">
      <c r="A9754" s="10" t="s">
        <v>43657</v>
      </c>
      <c r="B9754" s="10" t="str">
        <f>"9781620231180"</f>
        <v>9781620231180</v>
      </c>
      <c r="C9754" s="10" t="str">
        <f>"9781620231203"</f>
        <v>9781620231203</v>
      </c>
      <c r="D9754" s="10" t="s">
        <v>43658</v>
      </c>
      <c r="E9754" s="10" t="s">
        <v>43659</v>
      </c>
      <c r="F9754" s="10" t="s">
        <v>43660</v>
      </c>
      <c r="G9754" s="10" t="s">
        <v>6317</v>
      </c>
      <c r="H9754" s="11">
        <v>42704</v>
      </c>
      <c r="I9754" s="10">
        <v>2016</v>
      </c>
      <c r="J9754" s="10" t="s">
        <v>43661</v>
      </c>
      <c r="K9754" s="10">
        <v>298</v>
      </c>
      <c r="L9754" s="10" t="s">
        <v>43662</v>
      </c>
      <c r="M9754" s="10">
        <v>2</v>
      </c>
      <c r="N9754" s="10"/>
      <c r="O9754" s="10"/>
      <c r="P9754" s="10" t="s">
        <v>43663</v>
      </c>
      <c r="Q9754" s="10">
        <v>378.38</v>
      </c>
      <c r="R9754" s="10" t="s">
        <v>43664</v>
      </c>
      <c r="S9754" s="10" t="s">
        <v>53</v>
      </c>
      <c r="T9754" s="10" t="s">
        <v>54</v>
      </c>
    </row>
    <row r="9755" spans="1:20" ht="14.5" x14ac:dyDescent="0.35">
      <c r="A9755" s="10" t="s">
        <v>43665</v>
      </c>
      <c r="B9755" s="10" t="str">
        <f>"9781620364390"</f>
        <v>9781620364390</v>
      </c>
      <c r="C9755" s="10" t="str">
        <f>"9781000975888"</f>
        <v>9781000975888</v>
      </c>
      <c r="D9755" s="10" t="s">
        <v>6350</v>
      </c>
      <c r="E9755" s="10" t="s">
        <v>6351</v>
      </c>
      <c r="F9755" s="10" t="s">
        <v>748</v>
      </c>
      <c r="G9755" s="10" t="s">
        <v>6352</v>
      </c>
      <c r="H9755" s="11">
        <v>42671</v>
      </c>
      <c r="I9755" s="10">
        <v>2017</v>
      </c>
      <c r="J9755" s="10" t="s">
        <v>6351</v>
      </c>
      <c r="K9755" s="10">
        <v>332</v>
      </c>
      <c r="L9755" s="10" t="s">
        <v>43666</v>
      </c>
      <c r="M9755" s="10">
        <v>1</v>
      </c>
      <c r="N9755" s="10"/>
      <c r="O9755" s="10"/>
      <c r="P9755" s="10" t="s">
        <v>43667</v>
      </c>
      <c r="Q9755" s="10">
        <v>370.72</v>
      </c>
      <c r="R9755" s="10" t="s">
        <v>43668</v>
      </c>
      <c r="S9755" s="10" t="s">
        <v>53</v>
      </c>
      <c r="T9755" s="10" t="s">
        <v>54</v>
      </c>
    </row>
    <row r="9756" spans="1:20" ht="14.5" x14ac:dyDescent="0.35">
      <c r="A9756" s="10" t="s">
        <v>43669</v>
      </c>
      <c r="B9756" s="10" t="str">
        <f>"9781475829174"</f>
        <v>9781475829174</v>
      </c>
      <c r="C9756" s="10" t="str">
        <f>"9781475829181"</f>
        <v>9781475829181</v>
      </c>
      <c r="D9756" s="10" t="s">
        <v>9752</v>
      </c>
      <c r="E9756" s="10" t="s">
        <v>15187</v>
      </c>
      <c r="F9756" s="10" t="s">
        <v>9754</v>
      </c>
      <c r="G9756" s="10" t="s">
        <v>6317</v>
      </c>
      <c r="H9756" s="11">
        <v>42636</v>
      </c>
      <c r="I9756" s="10">
        <v>2016</v>
      </c>
      <c r="J9756" s="10" t="s">
        <v>15187</v>
      </c>
      <c r="K9756" s="10">
        <v>176</v>
      </c>
      <c r="L9756" s="10" t="s">
        <v>43670</v>
      </c>
      <c r="M9756" s="10">
        <v>1</v>
      </c>
      <c r="N9756" s="10"/>
      <c r="O9756" s="10"/>
      <c r="P9756" s="10" t="s">
        <v>43671</v>
      </c>
      <c r="Q9756" s="10">
        <v>371.10097300000001</v>
      </c>
      <c r="R9756" s="10" t="s">
        <v>43672</v>
      </c>
      <c r="S9756" s="10" t="s">
        <v>53</v>
      </c>
      <c r="T9756" s="10" t="s">
        <v>54</v>
      </c>
    </row>
    <row r="9757" spans="1:20" ht="14.5" x14ac:dyDescent="0.35">
      <c r="A9757" s="10" t="s">
        <v>43673</v>
      </c>
      <c r="B9757" s="10" t="str">
        <f>"9781475831498"</f>
        <v>9781475831498</v>
      </c>
      <c r="C9757" s="10" t="str">
        <f>"9781475831511"</f>
        <v>9781475831511</v>
      </c>
      <c r="D9757" s="10" t="s">
        <v>9752</v>
      </c>
      <c r="E9757" s="10" t="s">
        <v>15187</v>
      </c>
      <c r="F9757" s="10" t="s">
        <v>9754</v>
      </c>
      <c r="G9757" s="10" t="s">
        <v>6317</v>
      </c>
      <c r="H9757" s="11">
        <v>42712</v>
      </c>
      <c r="I9757" s="10">
        <v>2016</v>
      </c>
      <c r="J9757" s="10" t="s">
        <v>15187</v>
      </c>
      <c r="K9757" s="10">
        <v>88</v>
      </c>
      <c r="L9757" s="10" t="s">
        <v>26723</v>
      </c>
      <c r="M9757" s="10">
        <v>1</v>
      </c>
      <c r="N9757" s="10"/>
      <c r="O9757" s="10"/>
      <c r="P9757" s="10" t="s">
        <v>43674</v>
      </c>
      <c r="Q9757" s="10">
        <v>371.2</v>
      </c>
      <c r="R9757" s="10" t="s">
        <v>43675</v>
      </c>
      <c r="S9757" s="10" t="s">
        <v>53</v>
      </c>
      <c r="T9757" s="10" t="s">
        <v>8760</v>
      </c>
    </row>
    <row r="9758" spans="1:20" ht="14.5" x14ac:dyDescent="0.35">
      <c r="A9758" s="10" t="s">
        <v>43676</v>
      </c>
      <c r="B9758" s="10" t="str">
        <f>"9789956764969"</f>
        <v>9789956764969</v>
      </c>
      <c r="C9758" s="10" t="str">
        <f>"9789956764730"</f>
        <v>9789956764730</v>
      </c>
      <c r="D9758" s="10" t="s">
        <v>24820</v>
      </c>
      <c r="E9758" s="10" t="s">
        <v>24821</v>
      </c>
      <c r="F9758" s="10" t="s">
        <v>748</v>
      </c>
      <c r="G9758" s="10" t="s">
        <v>24822</v>
      </c>
      <c r="H9758" s="11">
        <v>42658</v>
      </c>
      <c r="I9758" s="10">
        <v>2016</v>
      </c>
      <c r="J9758" s="10" t="s">
        <v>24821</v>
      </c>
      <c r="K9758" s="10">
        <v>163</v>
      </c>
      <c r="L9758" s="10" t="s">
        <v>43677</v>
      </c>
      <c r="M9758" s="10">
        <v>1</v>
      </c>
      <c r="N9758" s="10"/>
      <c r="O9758" s="10"/>
      <c r="P9758" s="10"/>
      <c r="Q9758" s="10"/>
      <c r="R9758" s="10"/>
      <c r="S9758" s="10" t="s">
        <v>5404</v>
      </c>
      <c r="T9758" s="10" t="s">
        <v>54</v>
      </c>
    </row>
    <row r="9759" spans="1:20" ht="14.5" x14ac:dyDescent="0.35">
      <c r="A9759" s="10" t="s">
        <v>43678</v>
      </c>
      <c r="B9759" s="10" t="str">
        <f>"9781620364352"</f>
        <v>9781620364352</v>
      </c>
      <c r="C9759" s="10" t="str">
        <f>"9781000976502"</f>
        <v>9781000976502</v>
      </c>
      <c r="D9759" s="10" t="s">
        <v>6350</v>
      </c>
      <c r="E9759" s="10" t="s">
        <v>6351</v>
      </c>
      <c r="F9759" s="10" t="s">
        <v>748</v>
      </c>
      <c r="G9759" s="10" t="s">
        <v>6352</v>
      </c>
      <c r="H9759" s="11">
        <v>42682</v>
      </c>
      <c r="I9759" s="10">
        <v>2017</v>
      </c>
      <c r="J9759" s="10" t="s">
        <v>6351</v>
      </c>
      <c r="K9759" s="10">
        <v>238</v>
      </c>
      <c r="L9759" s="10" t="s">
        <v>43679</v>
      </c>
      <c r="M9759" s="10">
        <v>1</v>
      </c>
      <c r="N9759" s="10"/>
      <c r="O9759" s="10"/>
      <c r="P9759" s="10" t="s">
        <v>43680</v>
      </c>
      <c r="Q9759" s="10">
        <v>371.3</v>
      </c>
      <c r="R9759" s="10" t="s">
        <v>43681</v>
      </c>
      <c r="S9759" s="10" t="s">
        <v>53</v>
      </c>
      <c r="T9759" s="10" t="s">
        <v>54</v>
      </c>
    </row>
    <row r="9760" spans="1:20" ht="14.5" x14ac:dyDescent="0.35">
      <c r="A9760" s="10" t="s">
        <v>43682</v>
      </c>
      <c r="B9760" s="10" t="str">
        <f>"9781579223427"</f>
        <v>9781579223427</v>
      </c>
      <c r="C9760" s="10" t="str">
        <f>"9781000976427"</f>
        <v>9781000976427</v>
      </c>
      <c r="D9760" s="10" t="s">
        <v>6350</v>
      </c>
      <c r="E9760" s="10" t="s">
        <v>6351</v>
      </c>
      <c r="F9760" s="10" t="s">
        <v>14733</v>
      </c>
      <c r="G9760" s="10" t="s">
        <v>6317</v>
      </c>
      <c r="H9760" s="11">
        <v>42681</v>
      </c>
      <c r="I9760" s="10">
        <v>2017</v>
      </c>
      <c r="J9760" s="10" t="s">
        <v>6353</v>
      </c>
      <c r="K9760" s="10">
        <v>394</v>
      </c>
      <c r="L9760" s="10" t="s">
        <v>43683</v>
      </c>
      <c r="M9760" s="10">
        <v>1</v>
      </c>
      <c r="N9760" s="10" t="s">
        <v>43684</v>
      </c>
      <c r="O9760" s="10">
        <v>3</v>
      </c>
      <c r="P9760" s="10" t="s">
        <v>43685</v>
      </c>
      <c r="Q9760" s="10">
        <v>361.37097299999999</v>
      </c>
      <c r="R9760" s="10" t="s">
        <v>41358</v>
      </c>
      <c r="S9760" s="10" t="s">
        <v>53</v>
      </c>
      <c r="T9760" s="10" t="s">
        <v>6526</v>
      </c>
    </row>
    <row r="9761" spans="1:20" ht="14.5" x14ac:dyDescent="0.35">
      <c r="A9761" s="10" t="s">
        <v>43686</v>
      </c>
      <c r="B9761" s="10" t="str">
        <f>"9781475820881"</f>
        <v>9781475820881</v>
      </c>
      <c r="C9761" s="10" t="str">
        <f>"9781475820898"</f>
        <v>9781475820898</v>
      </c>
      <c r="D9761" s="10" t="s">
        <v>9752</v>
      </c>
      <c r="E9761" s="10" t="s">
        <v>15187</v>
      </c>
      <c r="F9761" s="10" t="s">
        <v>9754</v>
      </c>
      <c r="G9761" s="10" t="s">
        <v>6317</v>
      </c>
      <c r="H9761" s="11">
        <v>42646</v>
      </c>
      <c r="I9761" s="10">
        <v>2016</v>
      </c>
      <c r="J9761" s="10" t="s">
        <v>15187</v>
      </c>
      <c r="K9761" s="10">
        <v>143</v>
      </c>
      <c r="L9761" s="10" t="s">
        <v>43687</v>
      </c>
      <c r="M9761" s="10">
        <v>1</v>
      </c>
      <c r="N9761" s="10"/>
      <c r="O9761" s="10"/>
      <c r="P9761" s="10" t="s">
        <v>43688</v>
      </c>
      <c r="Q9761" s="10">
        <v>371.01097299999998</v>
      </c>
      <c r="R9761" s="10" t="s">
        <v>43689</v>
      </c>
      <c r="S9761" s="10" t="s">
        <v>53</v>
      </c>
      <c r="T9761" s="10" t="s">
        <v>54</v>
      </c>
    </row>
    <row r="9762" spans="1:20" ht="14.5" x14ac:dyDescent="0.35">
      <c r="A9762" s="10" t="s">
        <v>43690</v>
      </c>
      <c r="B9762" s="10" t="str">
        <f>"9780761868071"</f>
        <v>9780761868071</v>
      </c>
      <c r="C9762" s="10" t="str">
        <f>"9780761868088"</f>
        <v>9780761868088</v>
      </c>
      <c r="D9762" s="10" t="s">
        <v>9752</v>
      </c>
      <c r="E9762" s="10" t="s">
        <v>17176</v>
      </c>
      <c r="F9762" s="10" t="s">
        <v>9754</v>
      </c>
      <c r="G9762" s="10" t="s">
        <v>6317</v>
      </c>
      <c r="H9762" s="11">
        <v>42705</v>
      </c>
      <c r="I9762" s="10">
        <v>2016</v>
      </c>
      <c r="J9762" s="10" t="s">
        <v>17176</v>
      </c>
      <c r="K9762" s="10">
        <v>215</v>
      </c>
      <c r="L9762" s="10" t="s">
        <v>43691</v>
      </c>
      <c r="M9762" s="10">
        <v>1</v>
      </c>
      <c r="N9762" s="10"/>
      <c r="O9762" s="10"/>
      <c r="P9762" s="10" t="s">
        <v>43692</v>
      </c>
      <c r="Q9762" s="10">
        <v>158.30000000000001</v>
      </c>
      <c r="R9762" s="10" t="s">
        <v>43693</v>
      </c>
      <c r="S9762" s="10" t="s">
        <v>53</v>
      </c>
      <c r="T9762" s="10" t="s">
        <v>483</v>
      </c>
    </row>
    <row r="9763" spans="1:20" ht="14.5" x14ac:dyDescent="0.35">
      <c r="A9763" s="10" t="s">
        <v>43694</v>
      </c>
      <c r="B9763" s="10" t="str">
        <f>"9781475827163"</f>
        <v>9781475827163</v>
      </c>
      <c r="C9763" s="10" t="str">
        <f>"9781475827170"</f>
        <v>9781475827170</v>
      </c>
      <c r="D9763" s="10" t="s">
        <v>9752</v>
      </c>
      <c r="E9763" s="10" t="s">
        <v>15187</v>
      </c>
      <c r="F9763" s="10" t="s">
        <v>9754</v>
      </c>
      <c r="G9763" s="10" t="s">
        <v>6317</v>
      </c>
      <c r="H9763" s="11">
        <v>42692</v>
      </c>
      <c r="I9763" s="10">
        <v>2016</v>
      </c>
      <c r="J9763" s="10" t="s">
        <v>15187</v>
      </c>
      <c r="K9763" s="10">
        <v>156</v>
      </c>
      <c r="L9763" s="10" t="s">
        <v>43695</v>
      </c>
      <c r="M9763" s="10">
        <v>1</v>
      </c>
      <c r="N9763" s="10"/>
      <c r="O9763" s="10"/>
      <c r="P9763" s="10" t="s">
        <v>43696</v>
      </c>
      <c r="Q9763" s="10"/>
      <c r="R9763" s="10" t="s">
        <v>42588</v>
      </c>
      <c r="S9763" s="10" t="s">
        <v>53</v>
      </c>
      <c r="T9763" s="10" t="s">
        <v>54</v>
      </c>
    </row>
    <row r="9764" spans="1:20" ht="14.5" x14ac:dyDescent="0.35">
      <c r="A9764" s="10" t="s">
        <v>43697</v>
      </c>
      <c r="B9764" s="10" t="str">
        <f>"9781475829877"</f>
        <v>9781475829877</v>
      </c>
      <c r="C9764" s="10" t="str">
        <f>"9781475829884"</f>
        <v>9781475829884</v>
      </c>
      <c r="D9764" s="10" t="s">
        <v>9752</v>
      </c>
      <c r="E9764" s="10" t="s">
        <v>15187</v>
      </c>
      <c r="F9764" s="10" t="s">
        <v>9754</v>
      </c>
      <c r="G9764" s="10" t="s">
        <v>6317</v>
      </c>
      <c r="H9764" s="11">
        <v>42711</v>
      </c>
      <c r="I9764" s="10">
        <v>2016</v>
      </c>
      <c r="J9764" s="10" t="s">
        <v>15187</v>
      </c>
      <c r="K9764" s="10">
        <v>195</v>
      </c>
      <c r="L9764" s="10" t="s">
        <v>40655</v>
      </c>
      <c r="M9764" s="10">
        <v>1</v>
      </c>
      <c r="N9764" s="10"/>
      <c r="O9764" s="10"/>
      <c r="P9764" s="10"/>
      <c r="Q9764" s="10"/>
      <c r="R9764" s="10" t="s">
        <v>13845</v>
      </c>
      <c r="S9764" s="10" t="s">
        <v>53</v>
      </c>
      <c r="T9764" s="10" t="s">
        <v>54</v>
      </c>
    </row>
    <row r="9765" spans="1:20" ht="14.5" x14ac:dyDescent="0.35">
      <c r="A9765" s="10" t="s">
        <v>43698</v>
      </c>
      <c r="B9765" s="10" t="str">
        <f>"9781475815634"</f>
        <v>9781475815634</v>
      </c>
      <c r="C9765" s="10" t="str">
        <f>"9781475815658"</f>
        <v>9781475815658</v>
      </c>
      <c r="D9765" s="10" t="s">
        <v>9752</v>
      </c>
      <c r="E9765" s="10" t="s">
        <v>15187</v>
      </c>
      <c r="F9765" s="10" t="s">
        <v>9754</v>
      </c>
      <c r="G9765" s="10" t="s">
        <v>6317</v>
      </c>
      <c r="H9765" s="11">
        <v>42688</v>
      </c>
      <c r="I9765" s="10">
        <v>2016</v>
      </c>
      <c r="J9765" s="10" t="s">
        <v>15187</v>
      </c>
      <c r="K9765" s="10">
        <v>193</v>
      </c>
      <c r="L9765" s="10" t="s">
        <v>43699</v>
      </c>
      <c r="M9765" s="10">
        <v>1</v>
      </c>
      <c r="N9765" s="10"/>
      <c r="O9765" s="10"/>
      <c r="P9765" s="10" t="s">
        <v>43700</v>
      </c>
      <c r="Q9765" s="10">
        <v>375.00099999999998</v>
      </c>
      <c r="R9765" s="10" t="s">
        <v>8063</v>
      </c>
      <c r="S9765" s="10" t="s">
        <v>53</v>
      </c>
      <c r="T9765" s="10" t="s">
        <v>54</v>
      </c>
    </row>
    <row r="9766" spans="1:20" ht="14.5" x14ac:dyDescent="0.35">
      <c r="A9766" s="10" t="s">
        <v>43701</v>
      </c>
      <c r="B9766" s="10" t="str">
        <f>"9783959349901"</f>
        <v>9783959349901</v>
      </c>
      <c r="C9766" s="10" t="str">
        <f>"9783959344906"</f>
        <v>9783959344906</v>
      </c>
      <c r="D9766" s="10" t="s">
        <v>27189</v>
      </c>
      <c r="E9766" s="10" t="s">
        <v>27190</v>
      </c>
      <c r="F9766" s="10" t="s">
        <v>2841</v>
      </c>
      <c r="G9766" s="10" t="s">
        <v>9998</v>
      </c>
      <c r="H9766" s="11">
        <v>42644</v>
      </c>
      <c r="I9766" s="10">
        <v>2016</v>
      </c>
      <c r="J9766" s="10" t="s">
        <v>27190</v>
      </c>
      <c r="K9766" s="10">
        <v>90</v>
      </c>
      <c r="L9766" s="10" t="s">
        <v>43702</v>
      </c>
      <c r="M9766" s="10">
        <v>1</v>
      </c>
      <c r="N9766" s="10"/>
      <c r="O9766" s="10"/>
      <c r="P9766" s="10" t="s">
        <v>43703</v>
      </c>
      <c r="Q9766" s="10">
        <v>370.94299999999902</v>
      </c>
      <c r="R9766" s="10" t="s">
        <v>43704</v>
      </c>
      <c r="S9766" s="10" t="s">
        <v>1519</v>
      </c>
      <c r="T9766" s="10" t="s">
        <v>54</v>
      </c>
    </row>
    <row r="9767" spans="1:20" ht="14.5" x14ac:dyDescent="0.35">
      <c r="A9767" s="10" t="s">
        <v>43705</v>
      </c>
      <c r="B9767" s="10" t="str">
        <f>"9781475824964"</f>
        <v>9781475824964</v>
      </c>
      <c r="C9767" s="10" t="str">
        <f>"9781475824971"</f>
        <v>9781475824971</v>
      </c>
      <c r="D9767" s="10" t="s">
        <v>9752</v>
      </c>
      <c r="E9767" s="10" t="s">
        <v>15187</v>
      </c>
      <c r="F9767" s="10" t="s">
        <v>9754</v>
      </c>
      <c r="G9767" s="10" t="s">
        <v>6317</v>
      </c>
      <c r="H9767" s="11">
        <v>42655</v>
      </c>
      <c r="I9767" s="10">
        <v>2016</v>
      </c>
      <c r="J9767" s="10" t="s">
        <v>15187</v>
      </c>
      <c r="K9767" s="10">
        <v>157</v>
      </c>
      <c r="L9767" s="10" t="s">
        <v>43706</v>
      </c>
      <c r="M9767" s="10">
        <v>1</v>
      </c>
      <c r="N9767" s="10"/>
      <c r="O9767" s="10"/>
      <c r="P9767" s="10" t="s">
        <v>43707</v>
      </c>
      <c r="Q9767" s="10"/>
      <c r="R9767" s="10" t="s">
        <v>43708</v>
      </c>
      <c r="S9767" s="10" t="s">
        <v>53</v>
      </c>
      <c r="T9767" s="10" t="s">
        <v>54</v>
      </c>
    </row>
    <row r="9768" spans="1:20" ht="14.5" x14ac:dyDescent="0.35">
      <c r="A9768" s="10" t="s">
        <v>43709</v>
      </c>
      <c r="B9768" s="10" t="str">
        <f>"9781475827026"</f>
        <v>9781475827026</v>
      </c>
      <c r="C9768" s="10" t="str">
        <f>"9781475827040"</f>
        <v>9781475827040</v>
      </c>
      <c r="D9768" s="10" t="s">
        <v>9752</v>
      </c>
      <c r="E9768" s="10" t="s">
        <v>15187</v>
      </c>
      <c r="F9768" s="10" t="s">
        <v>9754</v>
      </c>
      <c r="G9768" s="10" t="s">
        <v>6317</v>
      </c>
      <c r="H9768" s="11">
        <v>42646</v>
      </c>
      <c r="I9768" s="10">
        <v>2016</v>
      </c>
      <c r="J9768" s="10" t="s">
        <v>15187</v>
      </c>
      <c r="K9768" s="10">
        <v>125</v>
      </c>
      <c r="L9768" s="10" t="s">
        <v>43710</v>
      </c>
      <c r="M9768" s="10">
        <v>1</v>
      </c>
      <c r="N9768" s="10"/>
      <c r="O9768" s="10"/>
      <c r="P9768" s="10" t="s">
        <v>43711</v>
      </c>
      <c r="Q9768" s="10"/>
      <c r="R9768" s="10" t="s">
        <v>43712</v>
      </c>
      <c r="S9768" s="10" t="s">
        <v>53</v>
      </c>
      <c r="T9768" s="10" t="s">
        <v>54</v>
      </c>
    </row>
    <row r="9769" spans="1:20" ht="14.5" x14ac:dyDescent="0.35">
      <c r="A9769" s="10" t="s">
        <v>43713</v>
      </c>
      <c r="B9769" s="10" t="str">
        <f>"9781416622796"</f>
        <v>9781416622796</v>
      </c>
      <c r="C9769" s="10" t="str">
        <f>"9781416622819"</f>
        <v>9781416622819</v>
      </c>
      <c r="D9769" s="10" t="s">
        <v>10014</v>
      </c>
      <c r="E9769" s="10" t="s">
        <v>10015</v>
      </c>
      <c r="F9769" s="10" t="s">
        <v>201</v>
      </c>
      <c r="G9769" s="10" t="s">
        <v>6317</v>
      </c>
      <c r="H9769" s="11">
        <v>42704</v>
      </c>
      <c r="I9769" s="10">
        <v>2016</v>
      </c>
      <c r="J9769" s="10" t="s">
        <v>10015</v>
      </c>
      <c r="K9769" s="10">
        <v>222</v>
      </c>
      <c r="L9769" s="10" t="s">
        <v>43714</v>
      </c>
      <c r="M9769" s="10">
        <v>1</v>
      </c>
      <c r="N9769" s="10"/>
      <c r="O9769" s="10"/>
      <c r="P9769" s="10"/>
      <c r="Q9769" s="10" t="s">
        <v>9360</v>
      </c>
      <c r="R9769" s="10"/>
      <c r="S9769" s="10" t="s">
        <v>53</v>
      </c>
      <c r="T9769" s="10" t="s">
        <v>54</v>
      </c>
    </row>
    <row r="9770" spans="1:20" ht="14.5" x14ac:dyDescent="0.35">
      <c r="A9770" s="10" t="s">
        <v>43715</v>
      </c>
      <c r="B9770" s="10" t="str">
        <f>"9781498733557"</f>
        <v>9781498733557</v>
      </c>
      <c r="C9770" s="10" t="str">
        <f>"9781498733564"</f>
        <v>9781498733564</v>
      </c>
      <c r="D9770" s="10" t="s">
        <v>6350</v>
      </c>
      <c r="E9770" s="10" t="s">
        <v>6351</v>
      </c>
      <c r="F9770" s="10" t="s">
        <v>748</v>
      </c>
      <c r="G9770" s="10" t="s">
        <v>6352</v>
      </c>
      <c r="H9770" s="11">
        <v>42214</v>
      </c>
      <c r="I9770" s="10">
        <v>2016</v>
      </c>
      <c r="J9770" s="10" t="s">
        <v>6351</v>
      </c>
      <c r="K9770" s="10">
        <v>288</v>
      </c>
      <c r="L9770" s="10" t="s">
        <v>43716</v>
      </c>
      <c r="M9770" s="10">
        <v>1</v>
      </c>
      <c r="N9770" s="10"/>
      <c r="O9770" s="10"/>
      <c r="P9770" s="10" t="s">
        <v>43717</v>
      </c>
      <c r="Q9770" s="10">
        <v>370.97300000000001</v>
      </c>
      <c r="R9770" s="10" t="s">
        <v>43718</v>
      </c>
      <c r="S9770" s="10" t="s">
        <v>53</v>
      </c>
      <c r="T9770" s="10" t="s">
        <v>54</v>
      </c>
    </row>
    <row r="9771" spans="1:20" ht="14.5" x14ac:dyDescent="0.35">
      <c r="A9771" s="10" t="s">
        <v>43719</v>
      </c>
      <c r="B9771" s="10" t="str">
        <f>"9789811025969"</f>
        <v>9789811025969</v>
      </c>
      <c r="C9771" s="10" t="str">
        <f>"9789811025983"</f>
        <v>9789811025983</v>
      </c>
      <c r="D9771" s="10" t="s">
        <v>11249</v>
      </c>
      <c r="E9771" s="10" t="s">
        <v>23658</v>
      </c>
      <c r="F9771" s="10" t="s">
        <v>549</v>
      </c>
      <c r="G9771" s="10" t="s">
        <v>8573</v>
      </c>
      <c r="H9771" s="11">
        <v>42695</v>
      </c>
      <c r="I9771" s="10">
        <v>2017</v>
      </c>
      <c r="J9771" s="10" t="s">
        <v>23658</v>
      </c>
      <c r="K9771" s="10">
        <v>248</v>
      </c>
      <c r="L9771" s="10" t="s">
        <v>43720</v>
      </c>
      <c r="M9771" s="10">
        <v>1</v>
      </c>
      <c r="N9771" s="10" t="s">
        <v>41082</v>
      </c>
      <c r="O9771" s="10"/>
      <c r="P9771" s="10" t="s">
        <v>20644</v>
      </c>
      <c r="Q9771" s="10"/>
      <c r="R9771" s="10" t="s">
        <v>389</v>
      </c>
      <c r="S9771" s="10" t="s">
        <v>53</v>
      </c>
      <c r="T9771" s="10" t="s">
        <v>389</v>
      </c>
    </row>
    <row r="9772" spans="1:20" ht="14.5" x14ac:dyDescent="0.35">
      <c r="A9772" s="10" t="s">
        <v>43721</v>
      </c>
      <c r="B9772" s="10" t="str">
        <f>"9781475821291"</f>
        <v>9781475821291</v>
      </c>
      <c r="C9772" s="10" t="str">
        <f>"9781475821314"</f>
        <v>9781475821314</v>
      </c>
      <c r="D9772" s="10" t="s">
        <v>9752</v>
      </c>
      <c r="E9772" s="10" t="s">
        <v>15187</v>
      </c>
      <c r="F9772" s="10" t="s">
        <v>9754</v>
      </c>
      <c r="G9772" s="10" t="s">
        <v>6317</v>
      </c>
      <c r="H9772" s="11">
        <v>42705</v>
      </c>
      <c r="I9772" s="10">
        <v>2016</v>
      </c>
      <c r="J9772" s="10" t="s">
        <v>15187</v>
      </c>
      <c r="K9772" s="10">
        <v>203</v>
      </c>
      <c r="L9772" s="10" t="s">
        <v>43722</v>
      </c>
      <c r="M9772" s="10">
        <v>1</v>
      </c>
      <c r="N9772" s="10"/>
      <c r="O9772" s="10"/>
      <c r="P9772" s="10" t="s">
        <v>43723</v>
      </c>
      <c r="Q9772" s="10">
        <v>344.07799999999997</v>
      </c>
      <c r="R9772" s="10" t="s">
        <v>43724</v>
      </c>
      <c r="S9772" s="10" t="s">
        <v>53</v>
      </c>
      <c r="T9772" s="10" t="s">
        <v>43725</v>
      </c>
    </row>
    <row r="9773" spans="1:20" ht="14.5" x14ac:dyDescent="0.35">
      <c r="A9773" s="10" t="s">
        <v>43726</v>
      </c>
      <c r="B9773" s="10" t="str">
        <f>"9781475830514"</f>
        <v>9781475830514</v>
      </c>
      <c r="C9773" s="10" t="str">
        <f>"9781475830521"</f>
        <v>9781475830521</v>
      </c>
      <c r="D9773" s="10" t="s">
        <v>9752</v>
      </c>
      <c r="E9773" s="10" t="s">
        <v>15187</v>
      </c>
      <c r="F9773" s="10" t="s">
        <v>9754</v>
      </c>
      <c r="G9773" s="10" t="s">
        <v>6317</v>
      </c>
      <c r="H9773" s="11">
        <v>42712</v>
      </c>
      <c r="I9773" s="10">
        <v>2016</v>
      </c>
      <c r="J9773" s="10" t="s">
        <v>15187</v>
      </c>
      <c r="K9773" s="10">
        <v>215</v>
      </c>
      <c r="L9773" s="10" t="s">
        <v>43727</v>
      </c>
      <c r="M9773" s="10">
        <v>2</v>
      </c>
      <c r="N9773" s="10"/>
      <c r="O9773" s="10"/>
      <c r="P9773" s="10" t="s">
        <v>43728</v>
      </c>
      <c r="Q9773" s="10"/>
      <c r="R9773" s="10" t="s">
        <v>20453</v>
      </c>
      <c r="S9773" s="10" t="s">
        <v>53</v>
      </c>
      <c r="T9773" s="10" t="s">
        <v>54</v>
      </c>
    </row>
    <row r="9774" spans="1:20" ht="14.5" x14ac:dyDescent="0.35">
      <c r="A9774" s="10" t="s">
        <v>43729</v>
      </c>
      <c r="B9774" s="10" t="str">
        <f>"9781498548991"</f>
        <v>9781498548991</v>
      </c>
      <c r="C9774" s="10" t="str">
        <f>"9781498549004"</f>
        <v>9781498549004</v>
      </c>
      <c r="D9774" s="10" t="s">
        <v>9752</v>
      </c>
      <c r="E9774" s="10" t="s">
        <v>15182</v>
      </c>
      <c r="F9774" s="10" t="s">
        <v>9754</v>
      </c>
      <c r="G9774" s="10" t="s">
        <v>6317</v>
      </c>
      <c r="H9774" s="11">
        <v>42712</v>
      </c>
      <c r="I9774" s="10">
        <v>2016</v>
      </c>
      <c r="J9774" s="10" t="s">
        <v>15182</v>
      </c>
      <c r="K9774" s="10">
        <v>161</v>
      </c>
      <c r="L9774" s="10" t="s">
        <v>43730</v>
      </c>
      <c r="M9774" s="10">
        <v>1</v>
      </c>
      <c r="N9774" s="10" t="s">
        <v>40055</v>
      </c>
      <c r="O9774" s="10"/>
      <c r="P9774" s="10" t="s">
        <v>43731</v>
      </c>
      <c r="Q9774" s="10">
        <v>370.97300000000001</v>
      </c>
      <c r="R9774" s="10" t="s">
        <v>43732</v>
      </c>
      <c r="S9774" s="10" t="s">
        <v>53</v>
      </c>
      <c r="T9774" s="10" t="s">
        <v>54</v>
      </c>
    </row>
    <row r="9775" spans="1:20" ht="14.5" x14ac:dyDescent="0.35">
      <c r="A9775" s="10" t="s">
        <v>43733</v>
      </c>
      <c r="B9775" s="10" t="str">
        <f>"9781620363430"</f>
        <v>9781620363430</v>
      </c>
      <c r="C9775" s="10" t="str">
        <f>"9781000975703"</f>
        <v>9781000975703</v>
      </c>
      <c r="D9775" s="10" t="s">
        <v>6350</v>
      </c>
      <c r="E9775" s="10" t="s">
        <v>6351</v>
      </c>
      <c r="F9775" s="10" t="s">
        <v>748</v>
      </c>
      <c r="G9775" s="10" t="s">
        <v>6352</v>
      </c>
      <c r="H9775" s="11">
        <v>42681</v>
      </c>
      <c r="I9775" s="10">
        <v>2017</v>
      </c>
      <c r="J9775" s="10" t="s">
        <v>6351</v>
      </c>
      <c r="K9775" s="10">
        <v>268</v>
      </c>
      <c r="L9775" s="10" t="s">
        <v>43734</v>
      </c>
      <c r="M9775" s="10">
        <v>1</v>
      </c>
      <c r="N9775" s="10"/>
      <c r="O9775" s="10"/>
      <c r="P9775" s="10" t="s">
        <v>43735</v>
      </c>
      <c r="Q9775" s="10">
        <v>378.19799999999998</v>
      </c>
      <c r="R9775" s="10" t="s">
        <v>40393</v>
      </c>
      <c r="S9775" s="10" t="s">
        <v>53</v>
      </c>
      <c r="T9775" s="10" t="s">
        <v>54</v>
      </c>
    </row>
    <row r="9776" spans="1:20" ht="14.5" x14ac:dyDescent="0.35">
      <c r="A9776" s="10" t="s">
        <v>43736</v>
      </c>
      <c r="B9776" s="10" t="str">
        <f>"9781681236919"</f>
        <v>9781681236919</v>
      </c>
      <c r="C9776" s="10" t="str">
        <f>"9781681236933"</f>
        <v>9781681236933</v>
      </c>
      <c r="D9776" s="10" t="s">
        <v>274</v>
      </c>
      <c r="E9776" s="10" t="s">
        <v>35170</v>
      </c>
      <c r="F9776" s="10" t="s">
        <v>35171</v>
      </c>
      <c r="G9776" s="10" t="s">
        <v>6317</v>
      </c>
      <c r="H9776" s="11">
        <v>42767</v>
      </c>
      <c r="I9776" s="10">
        <v>2016</v>
      </c>
      <c r="J9776" s="10" t="s">
        <v>35170</v>
      </c>
      <c r="K9776" s="10">
        <v>211</v>
      </c>
      <c r="L9776" s="10" t="s">
        <v>43737</v>
      </c>
      <c r="M9776" s="10">
        <v>1</v>
      </c>
      <c r="N9776" s="10" t="s">
        <v>35722</v>
      </c>
      <c r="O9776" s="10"/>
      <c r="P9776" s="10"/>
      <c r="Q9776" s="10">
        <v>370.89</v>
      </c>
      <c r="R9776" s="10"/>
      <c r="S9776" s="10" t="s">
        <v>53</v>
      </c>
      <c r="T9776" s="10" t="s">
        <v>54</v>
      </c>
    </row>
    <row r="9777" spans="1:20" ht="14.5" x14ac:dyDescent="0.35">
      <c r="A9777" s="10" t="s">
        <v>43738</v>
      </c>
      <c r="B9777" s="10" t="str">
        <f>"9781681237121"</f>
        <v>9781681237121</v>
      </c>
      <c r="C9777" s="10" t="str">
        <f>"9781681237145"</f>
        <v>9781681237145</v>
      </c>
      <c r="D9777" s="10" t="s">
        <v>274</v>
      </c>
      <c r="E9777" s="10" t="s">
        <v>35170</v>
      </c>
      <c r="F9777" s="10" t="s">
        <v>35171</v>
      </c>
      <c r="G9777" s="10" t="s">
        <v>6317</v>
      </c>
      <c r="H9777" s="11">
        <v>42795</v>
      </c>
      <c r="I9777" s="10">
        <v>2016</v>
      </c>
      <c r="J9777" s="10" t="s">
        <v>35170</v>
      </c>
      <c r="K9777" s="10">
        <v>153</v>
      </c>
      <c r="L9777" s="10" t="s">
        <v>43739</v>
      </c>
      <c r="M9777" s="10">
        <v>1</v>
      </c>
      <c r="N9777" s="10" t="s">
        <v>43740</v>
      </c>
      <c r="O9777" s="10"/>
      <c r="P9777" s="10"/>
      <c r="Q9777" s="10"/>
      <c r="R9777" s="10"/>
      <c r="S9777" s="10" t="s">
        <v>53</v>
      </c>
      <c r="T9777" s="10" t="s">
        <v>54</v>
      </c>
    </row>
    <row r="9778" spans="1:20" ht="14.5" x14ac:dyDescent="0.35">
      <c r="A9778" s="10" t="s">
        <v>43741</v>
      </c>
      <c r="B9778" s="10" t="str">
        <f>"9781681236674"</f>
        <v>9781681236674</v>
      </c>
      <c r="C9778" s="10" t="str">
        <f>"9781681236698"</f>
        <v>9781681236698</v>
      </c>
      <c r="D9778" s="10" t="s">
        <v>274</v>
      </c>
      <c r="E9778" s="10" t="s">
        <v>35170</v>
      </c>
      <c r="F9778" s="10" t="s">
        <v>35171</v>
      </c>
      <c r="G9778" s="10" t="s">
        <v>6317</v>
      </c>
      <c r="H9778" s="11">
        <v>42767</v>
      </c>
      <c r="I9778" s="10">
        <v>2016</v>
      </c>
      <c r="J9778" s="10" t="s">
        <v>35170</v>
      </c>
      <c r="K9778" s="10">
        <v>246</v>
      </c>
      <c r="L9778" s="10" t="s">
        <v>43742</v>
      </c>
      <c r="M9778" s="10">
        <v>1</v>
      </c>
      <c r="N9778" s="10" t="s">
        <v>43743</v>
      </c>
      <c r="O9778" s="10"/>
      <c r="P9778" s="10" t="s">
        <v>43744</v>
      </c>
      <c r="Q9778" s="10" t="s">
        <v>7299</v>
      </c>
      <c r="R9778" s="10"/>
      <c r="S9778" s="10" t="s">
        <v>53</v>
      </c>
      <c r="T9778" s="10" t="s">
        <v>54</v>
      </c>
    </row>
    <row r="9779" spans="1:20" ht="14.5" x14ac:dyDescent="0.35">
      <c r="A9779" s="10" t="s">
        <v>43745</v>
      </c>
      <c r="B9779" s="10" t="str">
        <f>"9781475827507"</f>
        <v>9781475827507</v>
      </c>
      <c r="C9779" s="10" t="str">
        <f>"9781475827538"</f>
        <v>9781475827538</v>
      </c>
      <c r="D9779" s="10" t="s">
        <v>9752</v>
      </c>
      <c r="E9779" s="10" t="s">
        <v>15187</v>
      </c>
      <c r="F9779" s="10" t="s">
        <v>9754</v>
      </c>
      <c r="G9779" s="10" t="s">
        <v>6317</v>
      </c>
      <c r="H9779" s="11">
        <v>42712</v>
      </c>
      <c r="I9779" s="10">
        <v>2016</v>
      </c>
      <c r="J9779" s="10" t="s">
        <v>15187</v>
      </c>
      <c r="K9779" s="10">
        <v>123</v>
      </c>
      <c r="L9779" s="10" t="s">
        <v>43746</v>
      </c>
      <c r="M9779" s="10">
        <v>1</v>
      </c>
      <c r="N9779" s="10"/>
      <c r="O9779" s="10"/>
      <c r="P9779" s="10" t="s">
        <v>43747</v>
      </c>
      <c r="Q9779" s="10">
        <v>371.10199999999998</v>
      </c>
      <c r="R9779" s="10" t="s">
        <v>43461</v>
      </c>
      <c r="S9779" s="10" t="s">
        <v>53</v>
      </c>
      <c r="T9779" s="10" t="s">
        <v>54</v>
      </c>
    </row>
    <row r="9780" spans="1:20" ht="14.5" x14ac:dyDescent="0.35">
      <c r="A9780" s="10" t="s">
        <v>43748</v>
      </c>
      <c r="B9780" s="10" t="str">
        <f>"9781475823509"</f>
        <v>9781475823509</v>
      </c>
      <c r="C9780" s="10" t="str">
        <f>"9781475823523"</f>
        <v>9781475823523</v>
      </c>
      <c r="D9780" s="10" t="s">
        <v>9752</v>
      </c>
      <c r="E9780" s="10" t="s">
        <v>15187</v>
      </c>
      <c r="F9780" s="10" t="s">
        <v>9754</v>
      </c>
      <c r="G9780" s="10" t="s">
        <v>6317</v>
      </c>
      <c r="H9780" s="11">
        <v>42705</v>
      </c>
      <c r="I9780" s="10">
        <v>2016</v>
      </c>
      <c r="J9780" s="10" t="s">
        <v>15187</v>
      </c>
      <c r="K9780" s="10">
        <v>135</v>
      </c>
      <c r="L9780" s="10" t="s">
        <v>43749</v>
      </c>
      <c r="M9780" s="10">
        <v>1</v>
      </c>
      <c r="N9780" s="10"/>
      <c r="O9780" s="10"/>
      <c r="P9780" s="10" t="s">
        <v>43750</v>
      </c>
      <c r="Q9780" s="10">
        <v>378.73</v>
      </c>
      <c r="R9780" s="10" t="s">
        <v>40142</v>
      </c>
      <c r="S9780" s="10" t="s">
        <v>53</v>
      </c>
      <c r="T9780" s="10" t="s">
        <v>54</v>
      </c>
    </row>
    <row r="9781" spans="1:20" ht="14.5" x14ac:dyDescent="0.35">
      <c r="A9781" s="10" t="s">
        <v>43751</v>
      </c>
      <c r="B9781" s="10" t="str">
        <f>"9780761868538"</f>
        <v>9780761868538</v>
      </c>
      <c r="C9781" s="10" t="str">
        <f>"9780761868545"</f>
        <v>9780761868545</v>
      </c>
      <c r="D9781" s="10" t="s">
        <v>9752</v>
      </c>
      <c r="E9781" s="10" t="s">
        <v>17176</v>
      </c>
      <c r="F9781" s="10" t="s">
        <v>9754</v>
      </c>
      <c r="G9781" s="10" t="s">
        <v>6317</v>
      </c>
      <c r="H9781" s="11">
        <v>42683</v>
      </c>
      <c r="I9781" s="10">
        <v>2016</v>
      </c>
      <c r="J9781" s="10" t="s">
        <v>17176</v>
      </c>
      <c r="K9781" s="10">
        <v>152</v>
      </c>
      <c r="L9781" s="10" t="s">
        <v>43752</v>
      </c>
      <c r="M9781" s="10">
        <v>1</v>
      </c>
      <c r="N9781" s="10"/>
      <c r="O9781" s="10"/>
      <c r="P9781" s="10" t="s">
        <v>43753</v>
      </c>
      <c r="Q9781" s="10">
        <v>792.02800000000002</v>
      </c>
      <c r="R9781" s="10" t="s">
        <v>43754</v>
      </c>
      <c r="S9781" s="10" t="s">
        <v>53</v>
      </c>
      <c r="T9781" s="10" t="s">
        <v>6384</v>
      </c>
    </row>
    <row r="9782" spans="1:20" ht="14.5" x14ac:dyDescent="0.35">
      <c r="A9782" s="10" t="s">
        <v>43755</v>
      </c>
      <c r="B9782" s="10" t="str">
        <f>"9781517901127"</f>
        <v>9781517901127</v>
      </c>
      <c r="C9782" s="10" t="str">
        <f>"9781452954097"</f>
        <v>9781452954097</v>
      </c>
      <c r="D9782" s="10" t="s">
        <v>11428</v>
      </c>
      <c r="E9782" s="10" t="s">
        <v>11428</v>
      </c>
      <c r="F9782" s="10" t="s">
        <v>43756</v>
      </c>
      <c r="G9782" s="10" t="s">
        <v>6317</v>
      </c>
      <c r="H9782" s="11">
        <v>42850</v>
      </c>
      <c r="I9782" s="10">
        <v>2017</v>
      </c>
      <c r="J9782" s="10" t="s">
        <v>11428</v>
      </c>
      <c r="K9782" s="10">
        <v>206</v>
      </c>
      <c r="L9782" s="10" t="s">
        <v>43757</v>
      </c>
      <c r="M9782" s="10">
        <v>1</v>
      </c>
      <c r="N9782" s="10"/>
      <c r="O9782" s="10"/>
      <c r="P9782" s="10" t="s">
        <v>43758</v>
      </c>
      <c r="Q9782" s="10">
        <v>371.10919999999999</v>
      </c>
      <c r="R9782" s="10" t="s">
        <v>43759</v>
      </c>
      <c r="S9782" s="10" t="s">
        <v>53</v>
      </c>
      <c r="T9782" s="10" t="s">
        <v>54</v>
      </c>
    </row>
    <row r="9783" spans="1:20" ht="14.5" x14ac:dyDescent="0.35">
      <c r="A9783" s="10" t="s">
        <v>43760</v>
      </c>
      <c r="B9783" s="10" t="str">
        <f>"9781787140042"</f>
        <v>9781787140042</v>
      </c>
      <c r="C9783" s="10" t="str">
        <f>"9781787140059"</f>
        <v>9781787140059</v>
      </c>
      <c r="D9783" s="10" t="s">
        <v>8699</v>
      </c>
      <c r="E9783" s="10" t="s">
        <v>8699</v>
      </c>
      <c r="F9783" s="10" t="s">
        <v>41843</v>
      </c>
      <c r="G9783" s="10" t="s">
        <v>6352</v>
      </c>
      <c r="H9783" s="11">
        <v>42648</v>
      </c>
      <c r="I9783" s="10">
        <v>2016</v>
      </c>
      <c r="J9783" s="10" t="s">
        <v>115</v>
      </c>
      <c r="K9783" s="10">
        <v>77</v>
      </c>
      <c r="L9783" s="10" t="s">
        <v>43761</v>
      </c>
      <c r="M9783" s="10">
        <v>1</v>
      </c>
      <c r="N9783" s="10" t="s">
        <v>4796</v>
      </c>
      <c r="O9783" s="10">
        <v>24</v>
      </c>
      <c r="P9783" s="10" t="s">
        <v>43762</v>
      </c>
      <c r="Q9783" s="10">
        <v>370</v>
      </c>
      <c r="R9783" s="10" t="s">
        <v>43763</v>
      </c>
      <c r="S9783" s="10" t="s">
        <v>53</v>
      </c>
      <c r="T9783" s="10" t="s">
        <v>21172</v>
      </c>
    </row>
    <row r="9784" spans="1:20" ht="14.5" x14ac:dyDescent="0.35">
      <c r="A9784" s="10" t="s">
        <v>43764</v>
      </c>
      <c r="B9784" s="10" t="str">
        <f>"9781475825992"</f>
        <v>9781475825992</v>
      </c>
      <c r="C9784" s="10" t="str">
        <f>"9781475826012"</f>
        <v>9781475826012</v>
      </c>
      <c r="D9784" s="10" t="s">
        <v>9752</v>
      </c>
      <c r="E9784" s="10" t="s">
        <v>15187</v>
      </c>
      <c r="F9784" s="10" t="s">
        <v>9754</v>
      </c>
      <c r="G9784" s="10" t="s">
        <v>6317</v>
      </c>
      <c r="H9784" s="11">
        <v>42697</v>
      </c>
      <c r="I9784" s="10">
        <v>2016</v>
      </c>
      <c r="J9784" s="10" t="s">
        <v>15187</v>
      </c>
      <c r="K9784" s="10">
        <v>292</v>
      </c>
      <c r="L9784" s="10" t="s">
        <v>43765</v>
      </c>
      <c r="M9784" s="10">
        <v>1</v>
      </c>
      <c r="N9784" s="10"/>
      <c r="O9784" s="10"/>
      <c r="P9784" s="10" t="s">
        <v>43766</v>
      </c>
      <c r="Q9784" s="10"/>
      <c r="R9784" s="10" t="s">
        <v>43767</v>
      </c>
      <c r="S9784" s="10" t="s">
        <v>53</v>
      </c>
      <c r="T9784" s="10" t="s">
        <v>389</v>
      </c>
    </row>
    <row r="9785" spans="1:20" ht="14.5" x14ac:dyDescent="0.35">
      <c r="A9785" s="10" t="s">
        <v>43768</v>
      </c>
      <c r="B9785" s="10" t="str">
        <f>"9781498526449"</f>
        <v>9781498526449</v>
      </c>
      <c r="C9785" s="10" t="str">
        <f>"9781498526456"</f>
        <v>9781498526456</v>
      </c>
      <c r="D9785" s="10" t="s">
        <v>9752</v>
      </c>
      <c r="E9785" s="10" t="s">
        <v>15182</v>
      </c>
      <c r="F9785" s="10" t="s">
        <v>9754</v>
      </c>
      <c r="G9785" s="10" t="s">
        <v>6317</v>
      </c>
      <c r="H9785" s="11">
        <v>42718</v>
      </c>
      <c r="I9785" s="10">
        <v>2016</v>
      </c>
      <c r="J9785" s="10" t="s">
        <v>15182</v>
      </c>
      <c r="K9785" s="10">
        <v>216</v>
      </c>
      <c r="L9785" s="10" t="s">
        <v>43769</v>
      </c>
      <c r="M9785" s="10">
        <v>1</v>
      </c>
      <c r="N9785" s="10" t="s">
        <v>40055</v>
      </c>
      <c r="O9785" s="10"/>
      <c r="P9785" s="10" t="s">
        <v>43770</v>
      </c>
      <c r="Q9785" s="10">
        <v>364.97308994999997</v>
      </c>
      <c r="R9785" s="10" t="s">
        <v>43771</v>
      </c>
      <c r="S9785" s="10" t="s">
        <v>53</v>
      </c>
      <c r="T9785" s="10" t="s">
        <v>6363</v>
      </c>
    </row>
    <row r="9786" spans="1:20" ht="14.5" x14ac:dyDescent="0.35">
      <c r="A9786" s="10" t="s">
        <v>43772</v>
      </c>
      <c r="B9786" s="10" t="str">
        <f>"9781416622697"</f>
        <v>9781416622697</v>
      </c>
      <c r="C9786" s="10" t="str">
        <f>"9781416622710"</f>
        <v>9781416622710</v>
      </c>
      <c r="D9786" s="10" t="s">
        <v>10014</v>
      </c>
      <c r="E9786" s="10" t="s">
        <v>10015</v>
      </c>
      <c r="F9786" s="10" t="s">
        <v>201</v>
      </c>
      <c r="G9786" s="10" t="s">
        <v>6317</v>
      </c>
      <c r="H9786" s="11">
        <v>42704</v>
      </c>
      <c r="I9786" s="10">
        <v>2016</v>
      </c>
      <c r="J9786" s="10" t="s">
        <v>10015</v>
      </c>
      <c r="K9786" s="10">
        <v>210</v>
      </c>
      <c r="L9786" s="10" t="s">
        <v>32281</v>
      </c>
      <c r="M9786" s="10">
        <v>1</v>
      </c>
      <c r="N9786" s="10"/>
      <c r="O9786" s="10"/>
      <c r="P9786" s="10"/>
      <c r="Q9786" s="10"/>
      <c r="R9786" s="10"/>
      <c r="S9786" s="10" t="s">
        <v>53</v>
      </c>
      <c r="T9786" s="10" t="s">
        <v>54</v>
      </c>
    </row>
    <row r="9787" spans="1:20" ht="14.5" x14ac:dyDescent="0.35">
      <c r="A9787" s="10" t="s">
        <v>43773</v>
      </c>
      <c r="B9787" s="10" t="str">
        <f>"9781475820782"</f>
        <v>9781475820782</v>
      </c>
      <c r="C9787" s="10" t="str">
        <f>"9781475820805"</f>
        <v>9781475820805</v>
      </c>
      <c r="D9787" s="10" t="s">
        <v>9752</v>
      </c>
      <c r="E9787" s="10" t="s">
        <v>15187</v>
      </c>
      <c r="F9787" s="10" t="s">
        <v>9754</v>
      </c>
      <c r="G9787" s="10" t="s">
        <v>6317</v>
      </c>
      <c r="H9787" s="11">
        <v>42649</v>
      </c>
      <c r="I9787" s="10">
        <v>2016</v>
      </c>
      <c r="J9787" s="10" t="s">
        <v>15187</v>
      </c>
      <c r="K9787" s="10">
        <v>201</v>
      </c>
      <c r="L9787" s="10" t="s">
        <v>43774</v>
      </c>
      <c r="M9787" s="10">
        <v>2</v>
      </c>
      <c r="N9787" s="10"/>
      <c r="O9787" s="10"/>
      <c r="P9787" s="10" t="s">
        <v>43775</v>
      </c>
      <c r="Q9787" s="10">
        <v>371.20119999999997</v>
      </c>
      <c r="R9787" s="10" t="s">
        <v>43125</v>
      </c>
      <c r="S9787" s="10" t="s">
        <v>53</v>
      </c>
      <c r="T9787" s="10" t="s">
        <v>54</v>
      </c>
    </row>
    <row r="9788" spans="1:20" ht="14.5" x14ac:dyDescent="0.35">
      <c r="A9788" s="10" t="s">
        <v>43776</v>
      </c>
      <c r="B9788" s="10" t="str">
        <f>"9781787142831"</f>
        <v>9781787142831</v>
      </c>
      <c r="C9788" s="10" t="str">
        <f>"9781787142824"</f>
        <v>9781787142824</v>
      </c>
      <c r="D9788" s="10" t="s">
        <v>8699</v>
      </c>
      <c r="E9788" s="10" t="s">
        <v>8699</v>
      </c>
      <c r="F9788" s="10" t="s">
        <v>559</v>
      </c>
      <c r="G9788" s="10" t="s">
        <v>6352</v>
      </c>
      <c r="H9788" s="11">
        <v>42863</v>
      </c>
      <c r="I9788" s="10">
        <v>2017</v>
      </c>
      <c r="J9788" s="10" t="s">
        <v>8699</v>
      </c>
      <c r="K9788" s="10">
        <v>204</v>
      </c>
      <c r="L9788" s="10" t="s">
        <v>43777</v>
      </c>
      <c r="M9788" s="10">
        <v>1</v>
      </c>
      <c r="N9788" s="10" t="s">
        <v>43778</v>
      </c>
      <c r="O9788" s="10">
        <v>18</v>
      </c>
      <c r="P9788" s="10" t="s">
        <v>43779</v>
      </c>
      <c r="Q9788" s="10">
        <v>658</v>
      </c>
      <c r="R9788" s="10" t="s">
        <v>25928</v>
      </c>
      <c r="S9788" s="10" t="s">
        <v>53</v>
      </c>
      <c r="T9788" s="10" t="s">
        <v>6660</v>
      </c>
    </row>
    <row r="9789" spans="1:20" ht="14.5" x14ac:dyDescent="0.35">
      <c r="A9789" s="10" t="s">
        <v>43780</v>
      </c>
      <c r="B9789" s="10" t="str">
        <f>"9781620365717"</f>
        <v>9781620365717</v>
      </c>
      <c r="C9789" s="10" t="str">
        <f>"9781000976632"</f>
        <v>9781000976632</v>
      </c>
      <c r="D9789" s="10" t="s">
        <v>6350</v>
      </c>
      <c r="E9789" s="10" t="s">
        <v>6351</v>
      </c>
      <c r="F9789" s="10" t="s">
        <v>14733</v>
      </c>
      <c r="G9789" s="10" t="s">
        <v>6317</v>
      </c>
      <c r="H9789" s="11">
        <v>42669</v>
      </c>
      <c r="I9789" s="10">
        <v>2016</v>
      </c>
      <c r="J9789" s="10" t="s">
        <v>6353</v>
      </c>
      <c r="K9789" s="10">
        <v>169</v>
      </c>
      <c r="L9789" s="10" t="s">
        <v>43781</v>
      </c>
      <c r="M9789" s="10">
        <v>1</v>
      </c>
      <c r="N9789" s="10" t="s">
        <v>20869</v>
      </c>
      <c r="O9789" s="10"/>
      <c r="P9789" s="10" t="s">
        <v>43782</v>
      </c>
      <c r="Q9789" s="10">
        <v>378.197</v>
      </c>
      <c r="R9789" s="10" t="s">
        <v>43783</v>
      </c>
      <c r="S9789" s="10" t="s">
        <v>53</v>
      </c>
      <c r="T9789" s="10" t="s">
        <v>54</v>
      </c>
    </row>
    <row r="9790" spans="1:20" ht="14.5" x14ac:dyDescent="0.35">
      <c r="A9790" s="10" t="s">
        <v>43784</v>
      </c>
      <c r="B9790" s="10" t="str">
        <f>"9780738612027"</f>
        <v>9780738612027</v>
      </c>
      <c r="C9790" s="10" t="str">
        <f>"9780738687445"</f>
        <v>9780738687445</v>
      </c>
      <c r="D9790" s="10" t="s">
        <v>28876</v>
      </c>
      <c r="E9790" s="10" t="s">
        <v>43785</v>
      </c>
      <c r="F9790" s="10" t="s">
        <v>2510</v>
      </c>
      <c r="G9790" s="10" t="s">
        <v>6317</v>
      </c>
      <c r="H9790" s="11">
        <v>42360</v>
      </c>
      <c r="I9790" s="10">
        <v>2016</v>
      </c>
      <c r="J9790" s="10" t="s">
        <v>43785</v>
      </c>
      <c r="K9790" s="10">
        <v>355</v>
      </c>
      <c r="L9790" s="10" t="s">
        <v>43786</v>
      </c>
      <c r="M9790" s="10">
        <v>3</v>
      </c>
      <c r="N9790" s="10" t="s">
        <v>43787</v>
      </c>
      <c r="O9790" s="10"/>
      <c r="P9790" s="10" t="s">
        <v>43788</v>
      </c>
      <c r="Q9790" s="10">
        <v>371.1</v>
      </c>
      <c r="R9790" s="10" t="s">
        <v>43789</v>
      </c>
      <c r="S9790" s="10" t="s">
        <v>53</v>
      </c>
      <c r="T9790" s="10" t="s">
        <v>54</v>
      </c>
    </row>
    <row r="9791" spans="1:20" ht="14.5" x14ac:dyDescent="0.35">
      <c r="A9791" s="10" t="s">
        <v>43790</v>
      </c>
      <c r="B9791" s="10" t="str">
        <f>"9780738611457"</f>
        <v>9780738611457</v>
      </c>
      <c r="C9791" s="10" t="str">
        <f>"9780738684260"</f>
        <v>9780738684260</v>
      </c>
      <c r="D9791" s="10" t="s">
        <v>28876</v>
      </c>
      <c r="E9791" s="10" t="s">
        <v>43785</v>
      </c>
      <c r="F9791" s="10" t="s">
        <v>2510</v>
      </c>
      <c r="G9791" s="10" t="s">
        <v>6317</v>
      </c>
      <c r="H9791" s="11">
        <v>42419</v>
      </c>
      <c r="I9791" s="10">
        <v>2013</v>
      </c>
      <c r="J9791" s="10" t="s">
        <v>43785</v>
      </c>
      <c r="K9791" s="10">
        <v>281</v>
      </c>
      <c r="L9791" s="10" t="s">
        <v>43791</v>
      </c>
      <c r="M9791" s="10">
        <v>1</v>
      </c>
      <c r="N9791" s="10" t="s">
        <v>43792</v>
      </c>
      <c r="O9791" s="10"/>
      <c r="P9791" s="10" t="s">
        <v>43793</v>
      </c>
      <c r="Q9791" s="10">
        <v>379.15709747</v>
      </c>
      <c r="R9791" s="10" t="s">
        <v>43794</v>
      </c>
      <c r="S9791" s="10" t="s">
        <v>53</v>
      </c>
      <c r="T9791" s="10" t="s">
        <v>54</v>
      </c>
    </row>
    <row r="9792" spans="1:20" ht="14.5" x14ac:dyDescent="0.35">
      <c r="A9792" s="10" t="s">
        <v>43795</v>
      </c>
      <c r="B9792" s="10" t="str">
        <f>"9781629220529"</f>
        <v>9781629220529</v>
      </c>
      <c r="C9792" s="10" t="str">
        <f>"9781629220536"</f>
        <v>9781629220536</v>
      </c>
      <c r="D9792" s="10" t="s">
        <v>27268</v>
      </c>
      <c r="E9792" s="10" t="s">
        <v>43796</v>
      </c>
      <c r="F9792" s="10" t="s">
        <v>29933</v>
      </c>
      <c r="G9792" s="10" t="s">
        <v>6317</v>
      </c>
      <c r="H9792" s="11">
        <v>42795</v>
      </c>
      <c r="I9792" s="10">
        <v>2016</v>
      </c>
      <c r="J9792" s="10" t="s">
        <v>43797</v>
      </c>
      <c r="K9792" s="10">
        <v>266</v>
      </c>
      <c r="L9792" s="10" t="s">
        <v>43798</v>
      </c>
      <c r="M9792" s="10">
        <v>1</v>
      </c>
      <c r="N9792" s="10"/>
      <c r="O9792" s="10"/>
      <c r="P9792" s="10" t="s">
        <v>43799</v>
      </c>
      <c r="Q9792" s="10">
        <v>305.800973</v>
      </c>
      <c r="R9792" s="10" t="s">
        <v>43800</v>
      </c>
      <c r="S9792" s="10" t="s">
        <v>53</v>
      </c>
      <c r="T9792" s="10" t="s">
        <v>9993</v>
      </c>
    </row>
    <row r="9793" spans="1:20" ht="14.5" x14ac:dyDescent="0.35">
      <c r="A9793" s="10" t="s">
        <v>43801</v>
      </c>
      <c r="B9793" s="10" t="str">
        <f>"9781137543240"</f>
        <v>9781137543240</v>
      </c>
      <c r="C9793" s="10" t="str">
        <f>"9781137543257"</f>
        <v>9781137543257</v>
      </c>
      <c r="D9793" s="10" t="s">
        <v>11249</v>
      </c>
      <c r="E9793" s="10" t="s">
        <v>13407</v>
      </c>
      <c r="F9793" s="10" t="s">
        <v>139</v>
      </c>
      <c r="G9793" s="10" t="s">
        <v>6352</v>
      </c>
      <c r="H9793" s="11">
        <v>42705</v>
      </c>
      <c r="I9793" s="10">
        <v>2017</v>
      </c>
      <c r="J9793" s="10" t="s">
        <v>16380</v>
      </c>
      <c r="K9793" s="10">
        <v>301</v>
      </c>
      <c r="L9793" s="10" t="s">
        <v>43802</v>
      </c>
      <c r="M9793" s="10">
        <v>1</v>
      </c>
      <c r="N9793" s="10" t="s">
        <v>39548</v>
      </c>
      <c r="O9793" s="10"/>
      <c r="P9793" s="10" t="s">
        <v>39549</v>
      </c>
      <c r="Q9793" s="10" t="s">
        <v>26632</v>
      </c>
      <c r="R9793" s="10" t="s">
        <v>17722</v>
      </c>
      <c r="S9793" s="10" t="s">
        <v>53</v>
      </c>
      <c r="T9793" s="10" t="s">
        <v>6472</v>
      </c>
    </row>
    <row r="9794" spans="1:20" ht="14.5" x14ac:dyDescent="0.35">
      <c r="A9794" s="10" t="s">
        <v>43803</v>
      </c>
      <c r="B9794" s="10" t="str">
        <f>"9781472922557"</f>
        <v>9781472922557</v>
      </c>
      <c r="C9794" s="10" t="str">
        <f>"9781472924773"</f>
        <v>9781472924773</v>
      </c>
      <c r="D9794" s="10" t="s">
        <v>13959</v>
      </c>
      <c r="E9794" s="10" t="s">
        <v>13960</v>
      </c>
      <c r="F9794" s="10" t="s">
        <v>139</v>
      </c>
      <c r="G9794" s="10" t="s">
        <v>6352</v>
      </c>
      <c r="H9794" s="11">
        <v>42747</v>
      </c>
      <c r="I9794" s="10">
        <v>2017</v>
      </c>
      <c r="J9794" s="10" t="s">
        <v>25203</v>
      </c>
      <c r="K9794" s="10">
        <v>66</v>
      </c>
      <c r="L9794" s="10" t="s">
        <v>43804</v>
      </c>
      <c r="M9794" s="10">
        <v>1</v>
      </c>
      <c r="N9794" s="10" t="s">
        <v>43805</v>
      </c>
      <c r="O9794" s="10"/>
      <c r="P9794" s="10" t="s">
        <v>43806</v>
      </c>
      <c r="Q9794" s="10">
        <v>372.37304899999998</v>
      </c>
      <c r="R9794" s="10" t="s">
        <v>43807</v>
      </c>
      <c r="S9794" s="10" t="s">
        <v>53</v>
      </c>
      <c r="T9794" s="10" t="s">
        <v>40487</v>
      </c>
    </row>
    <row r="9795" spans="1:20" ht="14.5" x14ac:dyDescent="0.35">
      <c r="A9795" s="10" t="s">
        <v>43808</v>
      </c>
      <c r="B9795" s="10" t="str">
        <f>"9781118956571"</f>
        <v>9781118956571</v>
      </c>
      <c r="C9795" s="10" t="str">
        <f>"9781118956618"</f>
        <v>9781118956618</v>
      </c>
      <c r="D9795" s="10" t="s">
        <v>6322</v>
      </c>
      <c r="E9795" s="10" t="s">
        <v>6323</v>
      </c>
      <c r="F9795" s="10" t="s">
        <v>4423</v>
      </c>
      <c r="G9795" s="10" t="s">
        <v>6317</v>
      </c>
      <c r="H9795" s="11">
        <v>42688</v>
      </c>
      <c r="I9795" s="10">
        <v>2016</v>
      </c>
      <c r="J9795" s="10" t="s">
        <v>8436</v>
      </c>
      <c r="K9795" s="10">
        <v>648</v>
      </c>
      <c r="L9795" s="10" t="s">
        <v>43809</v>
      </c>
      <c r="M9795" s="10">
        <v>1</v>
      </c>
      <c r="N9795" s="10" t="s">
        <v>41092</v>
      </c>
      <c r="O9795" s="10"/>
      <c r="P9795" s="10"/>
      <c r="Q9795" s="10">
        <v>370.15230000000003</v>
      </c>
      <c r="R9795" s="10" t="s">
        <v>43810</v>
      </c>
      <c r="S9795" s="10" t="s">
        <v>53</v>
      </c>
      <c r="T9795" s="10" t="s">
        <v>54</v>
      </c>
    </row>
    <row r="9796" spans="1:20" ht="14.5" x14ac:dyDescent="0.35">
      <c r="A9796" s="10" t="s">
        <v>43811</v>
      </c>
      <c r="B9796" s="10" t="str">
        <f>"9781475821062"</f>
        <v>9781475821062</v>
      </c>
      <c r="C9796" s="10" t="str">
        <f>"9781475821079"</f>
        <v>9781475821079</v>
      </c>
      <c r="D9796" s="10" t="s">
        <v>9752</v>
      </c>
      <c r="E9796" s="10" t="s">
        <v>15187</v>
      </c>
      <c r="F9796" s="10" t="s">
        <v>9754</v>
      </c>
      <c r="G9796" s="10" t="s">
        <v>6317</v>
      </c>
      <c r="H9796" s="11">
        <v>42712</v>
      </c>
      <c r="I9796" s="10">
        <v>2016</v>
      </c>
      <c r="J9796" s="10" t="s">
        <v>15187</v>
      </c>
      <c r="K9796" s="10">
        <v>175</v>
      </c>
      <c r="L9796" s="10" t="s">
        <v>43812</v>
      </c>
      <c r="M9796" s="10">
        <v>1</v>
      </c>
      <c r="N9796" s="10"/>
      <c r="O9796" s="10"/>
      <c r="P9796" s="10" t="s">
        <v>43813</v>
      </c>
      <c r="Q9796" s="10"/>
      <c r="R9796" s="10" t="s">
        <v>43814</v>
      </c>
      <c r="S9796" s="10" t="s">
        <v>53</v>
      </c>
      <c r="T9796" s="10" t="s">
        <v>54</v>
      </c>
    </row>
    <row r="9797" spans="1:20" ht="14.5" x14ac:dyDescent="0.35">
      <c r="A9797" s="10" t="s">
        <v>43815</v>
      </c>
      <c r="B9797" s="10" t="str">
        <f>"9781475827590"</f>
        <v>9781475827590</v>
      </c>
      <c r="C9797" s="10" t="str">
        <f>"9781475827606"</f>
        <v>9781475827606</v>
      </c>
      <c r="D9797" s="10" t="s">
        <v>9752</v>
      </c>
      <c r="E9797" s="10" t="s">
        <v>15187</v>
      </c>
      <c r="F9797" s="10" t="s">
        <v>9754</v>
      </c>
      <c r="G9797" s="10" t="s">
        <v>6317</v>
      </c>
      <c r="H9797" s="11">
        <v>42711</v>
      </c>
      <c r="I9797" s="10">
        <v>2016</v>
      </c>
      <c r="J9797" s="10" t="s">
        <v>15187</v>
      </c>
      <c r="K9797" s="10">
        <v>205</v>
      </c>
      <c r="L9797" s="10" t="s">
        <v>43816</v>
      </c>
      <c r="M9797" s="10">
        <v>1</v>
      </c>
      <c r="N9797" s="10"/>
      <c r="O9797" s="10"/>
      <c r="P9797" s="10" t="s">
        <v>43817</v>
      </c>
      <c r="Q9797" s="10"/>
      <c r="R9797" s="10" t="s">
        <v>43818</v>
      </c>
      <c r="S9797" s="10" t="s">
        <v>53</v>
      </c>
      <c r="T9797" s="10" t="s">
        <v>54</v>
      </c>
    </row>
    <row r="9798" spans="1:20" ht="14.5" x14ac:dyDescent="0.35">
      <c r="A9798" s="10" t="s">
        <v>43819</v>
      </c>
      <c r="B9798" s="10" t="str">
        <f>"9781498505338"</f>
        <v>9781498505338</v>
      </c>
      <c r="C9798" s="10" t="str">
        <f>"9781498505345"</f>
        <v>9781498505345</v>
      </c>
      <c r="D9798" s="10" t="s">
        <v>9752</v>
      </c>
      <c r="E9798" s="10" t="s">
        <v>15182</v>
      </c>
      <c r="F9798" s="10" t="s">
        <v>3460</v>
      </c>
      <c r="G9798" s="10" t="s">
        <v>6317</v>
      </c>
      <c r="H9798" s="11">
        <v>42723</v>
      </c>
      <c r="I9798" s="10">
        <v>2016</v>
      </c>
      <c r="J9798" s="10" t="s">
        <v>15182</v>
      </c>
      <c r="K9798" s="10">
        <v>243</v>
      </c>
      <c r="L9798" s="10" t="s">
        <v>43820</v>
      </c>
      <c r="M9798" s="10">
        <v>1</v>
      </c>
      <c r="N9798" s="10"/>
      <c r="O9798" s="10"/>
      <c r="P9798" s="10" t="s">
        <v>43821</v>
      </c>
      <c r="Q9798" s="10">
        <v>379</v>
      </c>
      <c r="R9798" s="10" t="s">
        <v>43822</v>
      </c>
      <c r="S9798" s="10" t="s">
        <v>53</v>
      </c>
      <c r="T9798" s="10" t="s">
        <v>54</v>
      </c>
    </row>
    <row r="9799" spans="1:20" ht="14.5" x14ac:dyDescent="0.35">
      <c r="A9799" s="10" t="s">
        <v>43823</v>
      </c>
      <c r="B9799" s="10" t="str">
        <f>"9781118955093"</f>
        <v>9781118955093</v>
      </c>
      <c r="C9799" s="10" t="str">
        <f>"9781118955109"</f>
        <v>9781118955109</v>
      </c>
      <c r="D9799" s="10" t="s">
        <v>6322</v>
      </c>
      <c r="E9799" s="10" t="s">
        <v>6323</v>
      </c>
      <c r="F9799" s="10" t="s">
        <v>4423</v>
      </c>
      <c r="G9799" s="10" t="s">
        <v>6317</v>
      </c>
      <c r="H9799" s="11">
        <v>42731</v>
      </c>
      <c r="I9799" s="10">
        <v>2017</v>
      </c>
      <c r="J9799" s="10" t="s">
        <v>6324</v>
      </c>
      <c r="K9799" s="10">
        <v>435</v>
      </c>
      <c r="L9799" s="10" t="s">
        <v>43824</v>
      </c>
      <c r="M9799" s="10">
        <v>1</v>
      </c>
      <c r="N9799" s="10"/>
      <c r="O9799" s="10"/>
      <c r="P9799" s="10" t="s">
        <v>43825</v>
      </c>
      <c r="Q9799" s="10">
        <v>374</v>
      </c>
      <c r="R9799" s="10" t="s">
        <v>43826</v>
      </c>
      <c r="S9799" s="10" t="s">
        <v>53</v>
      </c>
      <c r="T9799" s="10" t="s">
        <v>54</v>
      </c>
    </row>
    <row r="9800" spans="1:20" ht="14.5" x14ac:dyDescent="0.35">
      <c r="A9800" s="10" t="s">
        <v>43827</v>
      </c>
      <c r="B9800" s="10" t="str">
        <f>"9781843121138"</f>
        <v>9781843121138</v>
      </c>
      <c r="C9800" s="10" t="str">
        <f>"9781134015498"</f>
        <v>9781134015498</v>
      </c>
      <c r="D9800" s="10" t="s">
        <v>6350</v>
      </c>
      <c r="E9800" s="10" t="s">
        <v>6351</v>
      </c>
      <c r="F9800" s="10" t="s">
        <v>748</v>
      </c>
      <c r="G9800" s="10" t="s">
        <v>6352</v>
      </c>
      <c r="H9800" s="11">
        <v>38233</v>
      </c>
      <c r="I9800" s="10">
        <v>2004</v>
      </c>
      <c r="J9800" s="10" t="s">
        <v>6351</v>
      </c>
      <c r="K9800" s="10">
        <v>265</v>
      </c>
      <c r="L9800" s="10" t="s">
        <v>43828</v>
      </c>
      <c r="M9800" s="10">
        <v>1</v>
      </c>
      <c r="N9800" s="10"/>
      <c r="O9800" s="10"/>
      <c r="P9800" s="10" t="s">
        <v>43829</v>
      </c>
      <c r="Q9800" s="10">
        <v>371.9</v>
      </c>
      <c r="R9800" s="10" t="s">
        <v>22723</v>
      </c>
      <c r="S9800" s="10" t="s">
        <v>53</v>
      </c>
      <c r="T9800" s="10" t="s">
        <v>54</v>
      </c>
    </row>
    <row r="9801" spans="1:20" ht="14.5" x14ac:dyDescent="0.35">
      <c r="A9801" s="10" t="s">
        <v>43830</v>
      </c>
      <c r="B9801" s="10" t="str">
        <f>"9781475831771"</f>
        <v>9781475831771</v>
      </c>
      <c r="C9801" s="10" t="str">
        <f>"9781475831788"</f>
        <v>9781475831788</v>
      </c>
      <c r="D9801" s="10" t="s">
        <v>9752</v>
      </c>
      <c r="E9801" s="10" t="s">
        <v>15187</v>
      </c>
      <c r="F9801" s="10" t="s">
        <v>9754</v>
      </c>
      <c r="G9801" s="10" t="s">
        <v>6317</v>
      </c>
      <c r="H9801" s="11">
        <v>42735</v>
      </c>
      <c r="I9801" s="10">
        <v>2016</v>
      </c>
      <c r="J9801" s="10" t="s">
        <v>15187</v>
      </c>
      <c r="K9801" s="10">
        <v>147</v>
      </c>
      <c r="L9801" s="10" t="s">
        <v>17645</v>
      </c>
      <c r="M9801" s="10">
        <v>1</v>
      </c>
      <c r="N9801" s="10"/>
      <c r="O9801" s="10"/>
      <c r="P9801" s="10"/>
      <c r="Q9801" s="10"/>
      <c r="R9801" s="10" t="s">
        <v>43831</v>
      </c>
      <c r="S9801" s="10" t="s">
        <v>53</v>
      </c>
      <c r="T9801" s="10" t="s">
        <v>6526</v>
      </c>
    </row>
    <row r="9802" spans="1:20" ht="14.5" x14ac:dyDescent="0.35">
      <c r="A9802" s="10" t="s">
        <v>43832</v>
      </c>
      <c r="B9802" s="10" t="str">
        <f>"9781498536448"</f>
        <v>9781498536448</v>
      </c>
      <c r="C9802" s="10" t="str">
        <f>"9781498536455"</f>
        <v>9781498536455</v>
      </c>
      <c r="D9802" s="10" t="s">
        <v>9752</v>
      </c>
      <c r="E9802" s="10" t="s">
        <v>15182</v>
      </c>
      <c r="F9802" s="10" t="s">
        <v>3460</v>
      </c>
      <c r="G9802" s="10" t="s">
        <v>6317</v>
      </c>
      <c r="H9802" s="11">
        <v>42704</v>
      </c>
      <c r="I9802" s="10">
        <v>2016</v>
      </c>
      <c r="J9802" s="10" t="s">
        <v>15182</v>
      </c>
      <c r="K9802" s="10">
        <v>181</v>
      </c>
      <c r="L9802" s="10" t="s">
        <v>43833</v>
      </c>
      <c r="M9802" s="10">
        <v>1</v>
      </c>
      <c r="N9802" s="10"/>
      <c r="O9802" s="10"/>
      <c r="P9802" s="10" t="s">
        <v>43834</v>
      </c>
      <c r="Q9802" s="10" t="s">
        <v>9527</v>
      </c>
      <c r="R9802" s="10" t="s">
        <v>43835</v>
      </c>
      <c r="S9802" s="10" t="s">
        <v>53</v>
      </c>
      <c r="T9802" s="10" t="s">
        <v>6472</v>
      </c>
    </row>
    <row r="9803" spans="1:20" ht="14.5" x14ac:dyDescent="0.35">
      <c r="A9803" s="10" t="s">
        <v>43836</v>
      </c>
      <c r="B9803" s="10" t="str">
        <f>"9783110330212"</f>
        <v>9783110330212</v>
      </c>
      <c r="C9803" s="10" t="str">
        <f>"9783110330731"</f>
        <v>9783110330731</v>
      </c>
      <c r="D9803" s="10" t="s">
        <v>9995</v>
      </c>
      <c r="E9803" s="10" t="s">
        <v>2515</v>
      </c>
      <c r="F9803" s="10" t="s">
        <v>26321</v>
      </c>
      <c r="G9803" s="10" t="s">
        <v>9998</v>
      </c>
      <c r="H9803" s="11">
        <v>42695</v>
      </c>
      <c r="I9803" s="10">
        <v>2017</v>
      </c>
      <c r="J9803" s="10" t="s">
        <v>28454</v>
      </c>
      <c r="K9803" s="10">
        <v>424</v>
      </c>
      <c r="L9803" s="10" t="s">
        <v>43837</v>
      </c>
      <c r="M9803" s="10">
        <v>1</v>
      </c>
      <c r="N9803" s="10" t="s">
        <v>43838</v>
      </c>
      <c r="O9803" s="10">
        <v>14</v>
      </c>
      <c r="P9803" s="10" t="s">
        <v>43839</v>
      </c>
      <c r="Q9803" s="10"/>
      <c r="R9803" s="10" t="s">
        <v>43840</v>
      </c>
      <c r="S9803" s="10" t="s">
        <v>53</v>
      </c>
      <c r="T9803" s="10" t="s">
        <v>54</v>
      </c>
    </row>
    <row r="9804" spans="1:20" ht="14.5" x14ac:dyDescent="0.35">
      <c r="A9804" s="10" t="s">
        <v>43841</v>
      </c>
      <c r="B9804" s="10" t="str">
        <f>"9783486597929"</f>
        <v>9783486597929</v>
      </c>
      <c r="C9804" s="10" t="str">
        <f>"9783486706703"</f>
        <v>9783486706703</v>
      </c>
      <c r="D9804" s="10" t="s">
        <v>9995</v>
      </c>
      <c r="E9804" s="10" t="s">
        <v>2515</v>
      </c>
      <c r="F9804" s="10" t="s">
        <v>26321</v>
      </c>
      <c r="G9804" s="10" t="s">
        <v>9998</v>
      </c>
      <c r="H9804" s="11">
        <v>40625</v>
      </c>
      <c r="I9804" s="10">
        <v>2011</v>
      </c>
      <c r="J9804" s="10" t="s">
        <v>28454</v>
      </c>
      <c r="K9804" s="10">
        <v>261</v>
      </c>
      <c r="L9804" s="10" t="s">
        <v>43842</v>
      </c>
      <c r="M9804" s="10">
        <v>1</v>
      </c>
      <c r="N9804" s="10"/>
      <c r="O9804" s="10"/>
      <c r="P9804" s="10" t="s">
        <v>43843</v>
      </c>
      <c r="Q9804" s="10"/>
      <c r="R9804" s="10" t="s">
        <v>43844</v>
      </c>
      <c r="S9804" s="10" t="s">
        <v>1519</v>
      </c>
      <c r="T9804" s="10" t="s">
        <v>6601</v>
      </c>
    </row>
    <row r="9805" spans="1:20" ht="14.5" x14ac:dyDescent="0.35">
      <c r="A9805" s="10" t="s">
        <v>43845</v>
      </c>
      <c r="B9805" s="10" t="str">
        <f>"9781498514620"</f>
        <v>9781498514620</v>
      </c>
      <c r="C9805" s="10" t="str">
        <f>"9781498514637"</f>
        <v>9781498514637</v>
      </c>
      <c r="D9805" s="10" t="s">
        <v>9752</v>
      </c>
      <c r="E9805" s="10" t="s">
        <v>15182</v>
      </c>
      <c r="F9805" s="10" t="s">
        <v>9754</v>
      </c>
      <c r="G9805" s="10" t="s">
        <v>6317</v>
      </c>
      <c r="H9805" s="11">
        <v>42718</v>
      </c>
      <c r="I9805" s="10">
        <v>2016</v>
      </c>
      <c r="J9805" s="10" t="s">
        <v>15182</v>
      </c>
      <c r="K9805" s="10">
        <v>167</v>
      </c>
      <c r="L9805" s="10" t="s">
        <v>43846</v>
      </c>
      <c r="M9805" s="10">
        <v>1</v>
      </c>
      <c r="N9805" s="10" t="s">
        <v>40055</v>
      </c>
      <c r="O9805" s="10"/>
      <c r="P9805" s="10" t="s">
        <v>43847</v>
      </c>
      <c r="Q9805" s="10">
        <v>370.82</v>
      </c>
      <c r="R9805" s="10" t="s">
        <v>43848</v>
      </c>
      <c r="S9805" s="10" t="s">
        <v>53</v>
      </c>
      <c r="T9805" s="10" t="s">
        <v>54</v>
      </c>
    </row>
    <row r="9806" spans="1:20" ht="14.5" x14ac:dyDescent="0.35">
      <c r="A9806" s="10" t="s">
        <v>43849</v>
      </c>
      <c r="B9806" s="10" t="str">
        <f>"9781475827095"</f>
        <v>9781475827095</v>
      </c>
      <c r="C9806" s="10" t="str">
        <f>"9781475827101"</f>
        <v>9781475827101</v>
      </c>
      <c r="D9806" s="10" t="s">
        <v>9752</v>
      </c>
      <c r="E9806" s="10" t="s">
        <v>15187</v>
      </c>
      <c r="F9806" s="10" t="s">
        <v>9754</v>
      </c>
      <c r="G9806" s="10" t="s">
        <v>6317</v>
      </c>
      <c r="H9806" s="11">
        <v>42724</v>
      </c>
      <c r="I9806" s="10">
        <v>2016</v>
      </c>
      <c r="J9806" s="10" t="s">
        <v>15187</v>
      </c>
      <c r="K9806" s="10">
        <v>112</v>
      </c>
      <c r="L9806" s="10" t="s">
        <v>43850</v>
      </c>
      <c r="M9806" s="10">
        <v>1</v>
      </c>
      <c r="N9806" s="10"/>
      <c r="O9806" s="10"/>
      <c r="P9806" s="10" t="s">
        <v>43851</v>
      </c>
      <c r="Q9806" s="10">
        <v>371.10199999999998</v>
      </c>
      <c r="R9806" s="10" t="s">
        <v>43852</v>
      </c>
      <c r="S9806" s="10" t="s">
        <v>53</v>
      </c>
      <c r="T9806" s="10" t="s">
        <v>54</v>
      </c>
    </row>
    <row r="9807" spans="1:20" ht="14.5" x14ac:dyDescent="0.35">
      <c r="A9807" s="10" t="s">
        <v>43853</v>
      </c>
      <c r="B9807" s="10" t="str">
        <f>"9781943874187"</f>
        <v>9781943874187</v>
      </c>
      <c r="C9807" s="10" t="str">
        <f>"9781943874194"</f>
        <v>9781943874194</v>
      </c>
      <c r="D9807" s="10" t="s">
        <v>37580</v>
      </c>
      <c r="E9807" s="10" t="s">
        <v>37581</v>
      </c>
      <c r="F9807" s="10" t="s">
        <v>37623</v>
      </c>
      <c r="G9807" s="10" t="s">
        <v>6317</v>
      </c>
      <c r="H9807" s="11">
        <v>42720</v>
      </c>
      <c r="I9807" s="10">
        <v>2018</v>
      </c>
      <c r="J9807" s="10" t="s">
        <v>37581</v>
      </c>
      <c r="K9807" s="10">
        <v>72</v>
      </c>
      <c r="L9807" s="10" t="s">
        <v>43854</v>
      </c>
      <c r="M9807" s="10">
        <v>1</v>
      </c>
      <c r="N9807" s="10" t="s">
        <v>37586</v>
      </c>
      <c r="O9807" s="10"/>
      <c r="P9807" s="10"/>
      <c r="Q9807" s="10"/>
      <c r="R9807" s="10"/>
      <c r="S9807" s="10" t="s">
        <v>53</v>
      </c>
      <c r="T9807" s="10" t="s">
        <v>54</v>
      </c>
    </row>
    <row r="9808" spans="1:20" ht="14.5" x14ac:dyDescent="0.35">
      <c r="A9808" s="10" t="s">
        <v>43855</v>
      </c>
      <c r="B9808" s="10" t="str">
        <f>"9789004302846"</f>
        <v>9789004302846</v>
      </c>
      <c r="C9808" s="10" t="str">
        <f>"9789004302853"</f>
        <v>9789004302853</v>
      </c>
      <c r="D9808" s="10" t="s">
        <v>8564</v>
      </c>
      <c r="E9808" s="10" t="s">
        <v>8565</v>
      </c>
      <c r="F9808" s="10" t="s">
        <v>1420</v>
      </c>
      <c r="G9808" s="10" t="s">
        <v>6317</v>
      </c>
      <c r="H9808" s="11">
        <v>42607</v>
      </c>
      <c r="I9808" s="10">
        <v>2016</v>
      </c>
      <c r="J9808" s="10" t="s">
        <v>8565</v>
      </c>
      <c r="K9808" s="10">
        <v>168</v>
      </c>
      <c r="L9808" s="10" t="s">
        <v>43856</v>
      </c>
      <c r="M9808" s="10">
        <v>1</v>
      </c>
      <c r="N9808" s="10" t="s">
        <v>27090</v>
      </c>
      <c r="O9808" s="10">
        <v>3</v>
      </c>
      <c r="P9808" s="10"/>
      <c r="Q9808" s="10"/>
      <c r="R9808" s="10"/>
      <c r="S9808" s="10" t="s">
        <v>53</v>
      </c>
      <c r="T9808" s="10" t="s">
        <v>54</v>
      </c>
    </row>
    <row r="9809" spans="1:20" ht="14.5" x14ac:dyDescent="0.35">
      <c r="A9809" s="10" t="s">
        <v>43857</v>
      </c>
      <c r="B9809" s="10" t="str">
        <f>"9781483332307"</f>
        <v>9781483332307</v>
      </c>
      <c r="C9809" s="10" t="str">
        <f>"9781483317922"</f>
        <v>9781483317922</v>
      </c>
      <c r="D9809" s="10" t="s">
        <v>22210</v>
      </c>
      <c r="E9809" s="10" t="s">
        <v>22214</v>
      </c>
      <c r="F9809" s="10" t="s">
        <v>333</v>
      </c>
      <c r="G9809" s="10" t="s">
        <v>6317</v>
      </c>
      <c r="H9809" s="11">
        <v>41570</v>
      </c>
      <c r="I9809" s="10">
        <v>2014</v>
      </c>
      <c r="J9809" s="10" t="s">
        <v>22214</v>
      </c>
      <c r="K9809" s="10">
        <v>105</v>
      </c>
      <c r="L9809" s="10" t="s">
        <v>43858</v>
      </c>
      <c r="M9809" s="10">
        <v>1</v>
      </c>
      <c r="N9809" s="10" t="s">
        <v>43859</v>
      </c>
      <c r="O9809" s="10"/>
      <c r="P9809" s="10" t="s">
        <v>43860</v>
      </c>
      <c r="Q9809" s="10">
        <v>361.4</v>
      </c>
      <c r="R9809" s="10" t="s">
        <v>43861</v>
      </c>
      <c r="S9809" s="10" t="s">
        <v>53</v>
      </c>
      <c r="T9809" s="10" t="s">
        <v>6472</v>
      </c>
    </row>
    <row r="9810" spans="1:20" ht="14.5" x14ac:dyDescent="0.35">
      <c r="A9810" s="10" t="s">
        <v>43862</v>
      </c>
      <c r="B9810" s="10" t="str">
        <f>"9781945349287"</f>
        <v>9781945349287</v>
      </c>
      <c r="C9810" s="10" t="str">
        <f>"9781945349294"</f>
        <v>9781945349294</v>
      </c>
      <c r="D9810" s="10" t="s">
        <v>37580</v>
      </c>
      <c r="E9810" s="10" t="s">
        <v>37581</v>
      </c>
      <c r="F9810" s="10" t="s">
        <v>37623</v>
      </c>
      <c r="G9810" s="10" t="s">
        <v>6317</v>
      </c>
      <c r="H9810" s="11">
        <v>42741</v>
      </c>
      <c r="I9810" s="10">
        <v>2017</v>
      </c>
      <c r="J9810" s="10" t="s">
        <v>37581</v>
      </c>
      <c r="K9810" s="10">
        <v>80</v>
      </c>
      <c r="L9810" s="10" t="s">
        <v>43863</v>
      </c>
      <c r="M9810" s="10">
        <v>1</v>
      </c>
      <c r="N9810" s="10" t="s">
        <v>37586</v>
      </c>
      <c r="O9810" s="10"/>
      <c r="P9810" s="10"/>
      <c r="Q9810" s="10">
        <v>372.6</v>
      </c>
      <c r="R9810" s="10"/>
      <c r="S9810" s="10" t="s">
        <v>53</v>
      </c>
      <c r="T9810" s="10" t="s">
        <v>54</v>
      </c>
    </row>
    <row r="9811" spans="1:20" ht="14.5" x14ac:dyDescent="0.35">
      <c r="A9811" s="10" t="s">
        <v>43864</v>
      </c>
      <c r="B9811" s="10" t="str">
        <f>"9781475831474"</f>
        <v>9781475831474</v>
      </c>
      <c r="C9811" s="10" t="str">
        <f>"9781475831481"</f>
        <v>9781475831481</v>
      </c>
      <c r="D9811" s="10" t="s">
        <v>9752</v>
      </c>
      <c r="E9811" s="10" t="s">
        <v>15187</v>
      </c>
      <c r="F9811" s="10" t="s">
        <v>9754</v>
      </c>
      <c r="G9811" s="10" t="s">
        <v>6317</v>
      </c>
      <c r="H9811" s="11">
        <v>42711</v>
      </c>
      <c r="I9811" s="10">
        <v>2016</v>
      </c>
      <c r="J9811" s="10" t="s">
        <v>15187</v>
      </c>
      <c r="K9811" s="10">
        <v>161</v>
      </c>
      <c r="L9811" s="10" t="s">
        <v>42593</v>
      </c>
      <c r="M9811" s="10">
        <v>1</v>
      </c>
      <c r="N9811" s="10" t="s">
        <v>42594</v>
      </c>
      <c r="O9811" s="10">
        <v>3</v>
      </c>
      <c r="P9811" s="10" t="s">
        <v>43865</v>
      </c>
      <c r="Q9811" s="10">
        <v>378.15499999999997</v>
      </c>
      <c r="R9811" s="10" t="s">
        <v>42596</v>
      </c>
      <c r="S9811" s="10" t="s">
        <v>53</v>
      </c>
      <c r="T9811" s="10" t="s">
        <v>54</v>
      </c>
    </row>
    <row r="9812" spans="1:20" ht="14.5" x14ac:dyDescent="0.35">
      <c r="A9812" s="10" t="s">
        <v>43866</v>
      </c>
      <c r="B9812" s="10" t="str">
        <f>"9781118437261"</f>
        <v>9781118437261</v>
      </c>
      <c r="C9812" s="10" t="str">
        <f>"9781119321675"</f>
        <v>9781119321675</v>
      </c>
      <c r="D9812" s="10" t="s">
        <v>6322</v>
      </c>
      <c r="E9812" s="10" t="s">
        <v>6323</v>
      </c>
      <c r="F9812" s="10" t="s">
        <v>4423</v>
      </c>
      <c r="G9812" s="10" t="s">
        <v>6317</v>
      </c>
      <c r="H9812" s="11">
        <v>42709</v>
      </c>
      <c r="I9812" s="10">
        <v>2017</v>
      </c>
      <c r="J9812" s="10" t="s">
        <v>6324</v>
      </c>
      <c r="K9812" s="10">
        <v>349</v>
      </c>
      <c r="L9812" s="10" t="s">
        <v>20180</v>
      </c>
      <c r="M9812" s="10">
        <v>1</v>
      </c>
      <c r="N9812" s="10"/>
      <c r="O9812" s="10"/>
      <c r="P9812" s="10"/>
      <c r="Q9812" s="10">
        <v>379.24</v>
      </c>
      <c r="R9812" s="10" t="s">
        <v>43867</v>
      </c>
      <c r="S9812" s="10" t="s">
        <v>53</v>
      </c>
      <c r="T9812" s="10" t="s">
        <v>54</v>
      </c>
    </row>
    <row r="9813" spans="1:20" ht="14.5" x14ac:dyDescent="0.35">
      <c r="A9813" s="10" t="s">
        <v>43868</v>
      </c>
      <c r="B9813" s="10" t="str">
        <f>"9783319400778"</f>
        <v>9783319400778</v>
      </c>
      <c r="C9813" s="10" t="str">
        <f>"9783319400785"</f>
        <v>9783319400785</v>
      </c>
      <c r="D9813" s="10" t="s">
        <v>11249</v>
      </c>
      <c r="E9813" s="10" t="s">
        <v>26623</v>
      </c>
      <c r="F9813" s="10" t="s">
        <v>26624</v>
      </c>
      <c r="G9813" s="10" t="s">
        <v>16676</v>
      </c>
      <c r="H9813" s="11">
        <v>42719</v>
      </c>
      <c r="I9813" s="10">
        <v>2017</v>
      </c>
      <c r="J9813" s="10" t="s">
        <v>26623</v>
      </c>
      <c r="K9813" s="10">
        <v>136</v>
      </c>
      <c r="L9813" s="10" t="s">
        <v>43869</v>
      </c>
      <c r="M9813" s="10">
        <v>1</v>
      </c>
      <c r="N9813" s="10" t="s">
        <v>39548</v>
      </c>
      <c r="O9813" s="10"/>
      <c r="P9813" s="10" t="s">
        <v>39549</v>
      </c>
      <c r="Q9813" s="10">
        <v>378.12081999999998</v>
      </c>
      <c r="R9813" s="10" t="s">
        <v>17722</v>
      </c>
      <c r="S9813" s="10" t="s">
        <v>53</v>
      </c>
      <c r="T9813" s="10" t="s">
        <v>6472</v>
      </c>
    </row>
    <row r="9814" spans="1:20" ht="14.5" x14ac:dyDescent="0.35">
      <c r="A9814" s="10" t="s">
        <v>43870</v>
      </c>
      <c r="B9814" s="10" t="str">
        <f>"9781474261654"</f>
        <v>9781474261654</v>
      </c>
      <c r="C9814" s="10" t="str">
        <f>"9781474261661"</f>
        <v>9781474261661</v>
      </c>
      <c r="D9814" s="10" t="s">
        <v>13959</v>
      </c>
      <c r="E9814" s="10" t="s">
        <v>13960</v>
      </c>
      <c r="F9814" s="10" t="s">
        <v>139</v>
      </c>
      <c r="G9814" s="10" t="s">
        <v>6352</v>
      </c>
      <c r="H9814" s="11">
        <v>42747</v>
      </c>
      <c r="I9814" s="10">
        <v>2017</v>
      </c>
      <c r="J9814" s="10" t="s">
        <v>14057</v>
      </c>
      <c r="K9814" s="10">
        <v>220</v>
      </c>
      <c r="L9814" s="10" t="s">
        <v>43871</v>
      </c>
      <c r="M9814" s="10">
        <v>1</v>
      </c>
      <c r="N9814" s="10"/>
      <c r="O9814" s="10"/>
      <c r="P9814" s="10" t="s">
        <v>43872</v>
      </c>
      <c r="Q9814" s="10">
        <v>378.00099999999998</v>
      </c>
      <c r="R9814" s="10" t="s">
        <v>34291</v>
      </c>
      <c r="S9814" s="10" t="s">
        <v>53</v>
      </c>
      <c r="T9814" s="10" t="s">
        <v>54</v>
      </c>
    </row>
    <row r="9815" spans="1:20" ht="14.5" x14ac:dyDescent="0.35">
      <c r="A9815" s="10" t="s">
        <v>43873</v>
      </c>
      <c r="B9815" s="10" t="str">
        <f>"9781786355027"</f>
        <v>9781786355027</v>
      </c>
      <c r="C9815" s="10" t="str">
        <f>"9781787143081"</f>
        <v>9781787143081</v>
      </c>
      <c r="D9815" s="10" t="s">
        <v>8699</v>
      </c>
      <c r="E9815" s="10" t="s">
        <v>8699</v>
      </c>
      <c r="F9815" s="10" t="s">
        <v>559</v>
      </c>
      <c r="G9815" s="10" t="s">
        <v>6352</v>
      </c>
      <c r="H9815" s="11">
        <v>42818</v>
      </c>
      <c r="I9815" s="10">
        <v>2017</v>
      </c>
      <c r="J9815" s="10" t="s">
        <v>8699</v>
      </c>
      <c r="K9815" s="10">
        <v>352</v>
      </c>
      <c r="L9815" s="10" t="s">
        <v>43874</v>
      </c>
      <c r="M9815" s="10">
        <v>1</v>
      </c>
      <c r="N9815" s="10" t="s">
        <v>20051</v>
      </c>
      <c r="O9815" s="10">
        <v>27</v>
      </c>
      <c r="P9815" s="10" t="s">
        <v>11270</v>
      </c>
      <c r="Q9815" s="10"/>
      <c r="R9815" s="10" t="s">
        <v>33311</v>
      </c>
      <c r="S9815" s="10" t="s">
        <v>53</v>
      </c>
      <c r="T9815" s="10" t="s">
        <v>54</v>
      </c>
    </row>
    <row r="9816" spans="1:20" ht="14.5" x14ac:dyDescent="0.35">
      <c r="A9816" s="10" t="s">
        <v>43875</v>
      </c>
      <c r="B9816" s="10" t="str">
        <f>"9781787142619"</f>
        <v>9781787142619</v>
      </c>
      <c r="C9816" s="10" t="str">
        <f>"9781787142602"</f>
        <v>9781787142602</v>
      </c>
      <c r="D9816" s="10" t="s">
        <v>8699</v>
      </c>
      <c r="E9816" s="10" t="s">
        <v>8699</v>
      </c>
      <c r="F9816" s="10" t="s">
        <v>559</v>
      </c>
      <c r="G9816" s="10" t="s">
        <v>6352</v>
      </c>
      <c r="H9816" s="11">
        <v>42870</v>
      </c>
      <c r="I9816" s="10">
        <v>2017</v>
      </c>
      <c r="J9816" s="10" t="s">
        <v>8699</v>
      </c>
      <c r="K9816" s="10">
        <v>301</v>
      </c>
      <c r="L9816" s="10" t="s">
        <v>43876</v>
      </c>
      <c r="M9816" s="10">
        <v>1</v>
      </c>
      <c r="N9816" s="10" t="s">
        <v>22927</v>
      </c>
      <c r="O9816" s="10">
        <v>10</v>
      </c>
      <c r="P9816" s="10" t="s">
        <v>29777</v>
      </c>
      <c r="Q9816" s="10"/>
      <c r="R9816" s="10" t="s">
        <v>18055</v>
      </c>
      <c r="S9816" s="10" t="s">
        <v>53</v>
      </c>
      <c r="T9816" s="10" t="s">
        <v>54</v>
      </c>
    </row>
    <row r="9817" spans="1:20" ht="14.5" x14ac:dyDescent="0.35">
      <c r="A9817" s="10" t="s">
        <v>43877</v>
      </c>
      <c r="B9817" s="10" t="str">
        <f>"9781943874927"</f>
        <v>9781943874927</v>
      </c>
      <c r="C9817" s="10" t="str">
        <f>"9781943874934"</f>
        <v>9781943874934</v>
      </c>
      <c r="D9817" s="10" t="s">
        <v>37580</v>
      </c>
      <c r="E9817" s="10" t="s">
        <v>37581</v>
      </c>
      <c r="F9817" s="10" t="s">
        <v>37623</v>
      </c>
      <c r="G9817" s="10" t="s">
        <v>6317</v>
      </c>
      <c r="H9817" s="11">
        <v>42741</v>
      </c>
      <c r="I9817" s="10">
        <v>2017</v>
      </c>
      <c r="J9817" s="10" t="s">
        <v>37581</v>
      </c>
      <c r="K9817" s="10">
        <v>160</v>
      </c>
      <c r="L9817" s="10" t="s">
        <v>43878</v>
      </c>
      <c r="M9817" s="10">
        <v>1</v>
      </c>
      <c r="N9817" s="10"/>
      <c r="O9817" s="10"/>
      <c r="P9817" s="10" t="s">
        <v>43879</v>
      </c>
      <c r="Q9817" s="10"/>
      <c r="R9817" s="10"/>
      <c r="S9817" s="10" t="s">
        <v>53</v>
      </c>
      <c r="T9817" s="10" t="s">
        <v>54</v>
      </c>
    </row>
    <row r="9818" spans="1:20" ht="14.5" x14ac:dyDescent="0.35">
      <c r="A9818" s="10" t="s">
        <v>43880</v>
      </c>
      <c r="B9818" s="10" t="str">
        <f>"9781563686702"</f>
        <v>9781563686702</v>
      </c>
      <c r="C9818" s="10" t="str">
        <f>"9781563686719"</f>
        <v>9781563686719</v>
      </c>
      <c r="D9818" s="10" t="s">
        <v>263</v>
      </c>
      <c r="E9818" s="10" t="s">
        <v>263</v>
      </c>
      <c r="F9818" s="10" t="s">
        <v>11765</v>
      </c>
      <c r="G9818" s="10" t="s">
        <v>6317</v>
      </c>
      <c r="H9818" s="11">
        <v>42766</v>
      </c>
      <c r="I9818" s="10">
        <v>2016</v>
      </c>
      <c r="J9818" s="10" t="s">
        <v>263</v>
      </c>
      <c r="K9818" s="10">
        <v>283</v>
      </c>
      <c r="L9818" s="10" t="s">
        <v>43881</v>
      </c>
      <c r="M9818" s="10">
        <v>1</v>
      </c>
      <c r="N9818" s="10" t="s">
        <v>43613</v>
      </c>
      <c r="O9818" s="10">
        <v>6</v>
      </c>
      <c r="P9818" s="10" t="s">
        <v>43614</v>
      </c>
      <c r="Q9818" s="10">
        <v>305.90820000000002</v>
      </c>
      <c r="R9818" s="10" t="s">
        <v>21627</v>
      </c>
      <c r="S9818" s="10" t="s">
        <v>53</v>
      </c>
      <c r="T9818" s="10" t="s">
        <v>6363</v>
      </c>
    </row>
    <row r="9819" spans="1:20" ht="14.5" x14ac:dyDescent="0.35">
      <c r="A9819" s="10" t="s">
        <v>43882</v>
      </c>
      <c r="B9819" s="10" t="str">
        <f>"9781475829716"</f>
        <v>9781475829716</v>
      </c>
      <c r="C9819" s="10" t="str">
        <f>"9781475829754"</f>
        <v>9781475829754</v>
      </c>
      <c r="D9819" s="10" t="s">
        <v>9752</v>
      </c>
      <c r="E9819" s="10" t="s">
        <v>15187</v>
      </c>
      <c r="F9819" s="10" t="s">
        <v>9754</v>
      </c>
      <c r="G9819" s="10" t="s">
        <v>6317</v>
      </c>
      <c r="H9819" s="11">
        <v>42725</v>
      </c>
      <c r="I9819" s="10">
        <v>2016</v>
      </c>
      <c r="J9819" s="10" t="s">
        <v>15187</v>
      </c>
      <c r="K9819" s="10">
        <v>155</v>
      </c>
      <c r="L9819" s="10" t="s">
        <v>43883</v>
      </c>
      <c r="M9819" s="10">
        <v>1</v>
      </c>
      <c r="N9819" s="10"/>
      <c r="O9819" s="10"/>
      <c r="P9819" s="10" t="s">
        <v>43884</v>
      </c>
      <c r="Q9819" s="10">
        <v>510.71</v>
      </c>
      <c r="R9819" s="10" t="s">
        <v>19360</v>
      </c>
      <c r="S9819" s="10" t="s">
        <v>53</v>
      </c>
      <c r="T9819" s="10" t="s">
        <v>389</v>
      </c>
    </row>
    <row r="9820" spans="1:20" ht="14.5" x14ac:dyDescent="0.35">
      <c r="A9820" s="10" t="s">
        <v>43885</v>
      </c>
      <c r="B9820" s="10" t="str">
        <f>"9781416622864"</f>
        <v>9781416622864</v>
      </c>
      <c r="C9820" s="10" t="str">
        <f>"9781416622888"</f>
        <v>9781416622888</v>
      </c>
      <c r="D9820" s="10" t="s">
        <v>10014</v>
      </c>
      <c r="E9820" s="10" t="s">
        <v>10015</v>
      </c>
      <c r="F9820" s="10" t="s">
        <v>201</v>
      </c>
      <c r="G9820" s="10" t="s">
        <v>6317</v>
      </c>
      <c r="H9820" s="11">
        <v>42734</v>
      </c>
      <c r="I9820" s="10">
        <v>2016</v>
      </c>
      <c r="J9820" s="10" t="s">
        <v>10015</v>
      </c>
      <c r="K9820" s="10">
        <v>206</v>
      </c>
      <c r="L9820" s="10" t="s">
        <v>32312</v>
      </c>
      <c r="M9820" s="10">
        <v>1</v>
      </c>
      <c r="N9820" s="10"/>
      <c r="O9820" s="10"/>
      <c r="P9820" s="10"/>
      <c r="Q9820" s="10"/>
      <c r="R9820" s="10"/>
      <c r="S9820" s="10" t="s">
        <v>53</v>
      </c>
      <c r="T9820" s="10" t="s">
        <v>54</v>
      </c>
    </row>
    <row r="9821" spans="1:20" ht="14.5" x14ac:dyDescent="0.35">
      <c r="A9821" s="10" t="s">
        <v>43886</v>
      </c>
      <c r="B9821" s="10" t="str">
        <f>"9781137427342"</f>
        <v>9781137427342</v>
      </c>
      <c r="C9821" s="10" t="str">
        <f>"9781137427359"</f>
        <v>9781137427359</v>
      </c>
      <c r="D9821" s="10" t="s">
        <v>13959</v>
      </c>
      <c r="E9821" s="10" t="s">
        <v>13960</v>
      </c>
      <c r="F9821" s="10" t="s">
        <v>139</v>
      </c>
      <c r="G9821" s="10" t="s">
        <v>6352</v>
      </c>
      <c r="H9821" s="11">
        <v>42115</v>
      </c>
      <c r="I9821" s="10">
        <v>2015</v>
      </c>
      <c r="J9821" s="10" t="s">
        <v>39618</v>
      </c>
      <c r="K9821" s="10">
        <v>146</v>
      </c>
      <c r="L9821" s="10" t="s">
        <v>43887</v>
      </c>
      <c r="M9821" s="10">
        <v>1</v>
      </c>
      <c r="N9821" s="10" t="s">
        <v>43888</v>
      </c>
      <c r="O9821" s="10"/>
      <c r="P9821" s="10" t="s">
        <v>43889</v>
      </c>
      <c r="Q9821" s="10" t="s">
        <v>27260</v>
      </c>
      <c r="R9821" s="10" t="s">
        <v>41752</v>
      </c>
      <c r="S9821" s="10" t="s">
        <v>53</v>
      </c>
      <c r="T9821" s="10" t="s">
        <v>54</v>
      </c>
    </row>
    <row r="9822" spans="1:20" ht="14.5" x14ac:dyDescent="0.35">
      <c r="A9822" s="10" t="s">
        <v>43890</v>
      </c>
      <c r="B9822" s="10" t="str">
        <f>"9781137463777"</f>
        <v>9781137463777</v>
      </c>
      <c r="C9822" s="10" t="str">
        <f>"9781137463784"</f>
        <v>9781137463784</v>
      </c>
      <c r="D9822" s="10" t="s">
        <v>13959</v>
      </c>
      <c r="E9822" s="10" t="s">
        <v>13960</v>
      </c>
      <c r="F9822" s="10" t="s">
        <v>139</v>
      </c>
      <c r="G9822" s="10" t="s">
        <v>6352</v>
      </c>
      <c r="H9822" s="11">
        <v>42283</v>
      </c>
      <c r="I9822" s="10">
        <v>2016</v>
      </c>
      <c r="J9822" s="10" t="s">
        <v>39618</v>
      </c>
      <c r="K9822" s="10">
        <v>170</v>
      </c>
      <c r="L9822" s="10" t="s">
        <v>43891</v>
      </c>
      <c r="M9822" s="10">
        <v>1</v>
      </c>
      <c r="N9822" s="10" t="s">
        <v>39620</v>
      </c>
      <c r="O9822" s="10"/>
      <c r="P9822" s="10" t="s">
        <v>11360</v>
      </c>
      <c r="Q9822" s="10" t="s">
        <v>9298</v>
      </c>
      <c r="R9822" s="10" t="s">
        <v>43892</v>
      </c>
      <c r="S9822" s="10" t="s">
        <v>53</v>
      </c>
      <c r="T9822" s="10" t="s">
        <v>54</v>
      </c>
    </row>
    <row r="9823" spans="1:20" ht="14.5" x14ac:dyDescent="0.35">
      <c r="A9823" s="10" t="s">
        <v>43893</v>
      </c>
      <c r="B9823" s="10" t="str">
        <f>"9781137399366"</f>
        <v>9781137399366</v>
      </c>
      <c r="C9823" s="10" t="str">
        <f>"9781137399373"</f>
        <v>9781137399373</v>
      </c>
      <c r="D9823" s="10" t="s">
        <v>13959</v>
      </c>
      <c r="E9823" s="10" t="s">
        <v>13960</v>
      </c>
      <c r="F9823" s="10" t="s">
        <v>139</v>
      </c>
      <c r="G9823" s="10" t="s">
        <v>6352</v>
      </c>
      <c r="H9823" s="11">
        <v>42258</v>
      </c>
      <c r="I9823" s="10">
        <v>2015</v>
      </c>
      <c r="J9823" s="10" t="s">
        <v>39618</v>
      </c>
      <c r="K9823" s="10">
        <v>301</v>
      </c>
      <c r="L9823" s="10" t="s">
        <v>43894</v>
      </c>
      <c r="M9823" s="10">
        <v>1</v>
      </c>
      <c r="N9823" s="10" t="s">
        <v>39620</v>
      </c>
      <c r="O9823" s="10"/>
      <c r="P9823" s="10" t="s">
        <v>11360</v>
      </c>
      <c r="Q9823" s="10" t="s">
        <v>7299</v>
      </c>
      <c r="R9823" s="10" t="s">
        <v>43895</v>
      </c>
      <c r="S9823" s="10" t="s">
        <v>53</v>
      </c>
      <c r="T9823" s="10" t="s">
        <v>54</v>
      </c>
    </row>
    <row r="9824" spans="1:20" ht="14.5" x14ac:dyDescent="0.35">
      <c r="A9824" s="10" t="s">
        <v>43896</v>
      </c>
      <c r="B9824" s="10" t="str">
        <f>"9781137451491"</f>
        <v>9781137451491</v>
      </c>
      <c r="C9824" s="10" t="str">
        <f>"9781137451507"</f>
        <v>9781137451507</v>
      </c>
      <c r="D9824" s="10" t="s">
        <v>13959</v>
      </c>
      <c r="E9824" s="10" t="s">
        <v>13960</v>
      </c>
      <c r="F9824" s="10" t="s">
        <v>139</v>
      </c>
      <c r="G9824" s="10" t="s">
        <v>6352</v>
      </c>
      <c r="H9824" s="11">
        <v>42440</v>
      </c>
      <c r="I9824" s="10">
        <v>2016</v>
      </c>
      <c r="J9824" s="10" t="s">
        <v>39618</v>
      </c>
      <c r="K9824" s="10">
        <v>177</v>
      </c>
      <c r="L9824" s="10" t="s">
        <v>43897</v>
      </c>
      <c r="M9824" s="10">
        <v>1</v>
      </c>
      <c r="N9824" s="10" t="s">
        <v>39620</v>
      </c>
      <c r="O9824" s="10"/>
      <c r="P9824" s="10" t="s">
        <v>11360</v>
      </c>
      <c r="Q9824" s="10">
        <v>371.10199999999998</v>
      </c>
      <c r="R9824" s="10" t="s">
        <v>7101</v>
      </c>
      <c r="S9824" s="10" t="s">
        <v>53</v>
      </c>
      <c r="T9824" s="10" t="s">
        <v>54</v>
      </c>
    </row>
    <row r="9825" spans="1:20" ht="14.5" x14ac:dyDescent="0.35">
      <c r="A9825" s="10" t="s">
        <v>43898</v>
      </c>
      <c r="B9825" s="10" t="str">
        <f>"9781771676212"</f>
        <v>9781771676212</v>
      </c>
      <c r="C9825" s="10" t="str">
        <f>"9781771676533"</f>
        <v>9781771676533</v>
      </c>
      <c r="D9825" s="10" t="s">
        <v>29364</v>
      </c>
      <c r="E9825" s="10" t="s">
        <v>31200</v>
      </c>
      <c r="F9825" s="10" t="s">
        <v>1232</v>
      </c>
      <c r="G9825" s="10" t="s">
        <v>6317</v>
      </c>
      <c r="H9825" s="11">
        <v>42594</v>
      </c>
      <c r="I9825" s="10">
        <v>2017</v>
      </c>
      <c r="J9825" s="10" t="s">
        <v>29364</v>
      </c>
      <c r="K9825" s="10">
        <v>56</v>
      </c>
      <c r="L9825" s="10" t="s">
        <v>43899</v>
      </c>
      <c r="M9825" s="10">
        <v>1</v>
      </c>
      <c r="N9825" s="10" t="s">
        <v>43900</v>
      </c>
      <c r="O9825" s="10">
        <v>21</v>
      </c>
      <c r="P9825" s="10" t="s">
        <v>43901</v>
      </c>
      <c r="Q9825" s="10">
        <v>372.4</v>
      </c>
      <c r="R9825" s="10" t="s">
        <v>43902</v>
      </c>
      <c r="S9825" s="10" t="s">
        <v>53</v>
      </c>
      <c r="T9825" s="10" t="s">
        <v>54</v>
      </c>
    </row>
    <row r="9826" spans="1:20" ht="14.5" x14ac:dyDescent="0.35">
      <c r="A9826" s="10" t="s">
        <v>43903</v>
      </c>
      <c r="B9826" s="10" t="str">
        <f>"9781771676236"</f>
        <v>9781771676236</v>
      </c>
      <c r="C9826" s="10" t="str">
        <f>"9781771676519"</f>
        <v>9781771676519</v>
      </c>
      <c r="D9826" s="10" t="s">
        <v>29364</v>
      </c>
      <c r="E9826" s="10" t="s">
        <v>31200</v>
      </c>
      <c r="F9826" s="10" t="s">
        <v>1232</v>
      </c>
      <c r="G9826" s="10" t="s">
        <v>6317</v>
      </c>
      <c r="H9826" s="11">
        <v>42577</v>
      </c>
      <c r="I9826" s="10">
        <v>2017</v>
      </c>
      <c r="J9826" s="10" t="s">
        <v>29364</v>
      </c>
      <c r="K9826" s="10">
        <v>56</v>
      </c>
      <c r="L9826" s="10" t="s">
        <v>43904</v>
      </c>
      <c r="M9826" s="10">
        <v>1</v>
      </c>
      <c r="N9826" s="10" t="s">
        <v>42437</v>
      </c>
      <c r="O9826" s="10">
        <v>34</v>
      </c>
      <c r="P9826" s="10" t="s">
        <v>43905</v>
      </c>
      <c r="Q9826" s="10">
        <v>813.6</v>
      </c>
      <c r="R9826" s="10" t="s">
        <v>43906</v>
      </c>
      <c r="S9826" s="10" t="s">
        <v>53</v>
      </c>
      <c r="T9826" s="10" t="s">
        <v>1166</v>
      </c>
    </row>
    <row r="9827" spans="1:20" ht="14.5" x14ac:dyDescent="0.35">
      <c r="A9827" s="10" t="s">
        <v>43907</v>
      </c>
      <c r="B9827" s="10" t="str">
        <f>"9781771676243"</f>
        <v>9781771676243</v>
      </c>
      <c r="C9827" s="10" t="str">
        <f>"9781771676526"</f>
        <v>9781771676526</v>
      </c>
      <c r="D9827" s="10" t="s">
        <v>29364</v>
      </c>
      <c r="E9827" s="10" t="s">
        <v>31200</v>
      </c>
      <c r="F9827" s="10" t="s">
        <v>1232</v>
      </c>
      <c r="G9827" s="10" t="s">
        <v>6317</v>
      </c>
      <c r="H9827" s="11">
        <v>42577</v>
      </c>
      <c r="I9827" s="10">
        <v>2017</v>
      </c>
      <c r="J9827" s="10" t="s">
        <v>29364</v>
      </c>
      <c r="K9827" s="10">
        <v>56</v>
      </c>
      <c r="L9827" s="10" t="s">
        <v>43908</v>
      </c>
      <c r="M9827" s="10">
        <v>1</v>
      </c>
      <c r="N9827" s="10" t="s">
        <v>42437</v>
      </c>
      <c r="O9827" s="10">
        <v>35</v>
      </c>
      <c r="P9827" s="10" t="s">
        <v>43909</v>
      </c>
      <c r="Q9827" s="10">
        <v>372.4</v>
      </c>
      <c r="R9827" s="10" t="s">
        <v>43910</v>
      </c>
      <c r="S9827" s="10" t="s">
        <v>53</v>
      </c>
      <c r="T9827" s="10" t="s">
        <v>54</v>
      </c>
    </row>
    <row r="9828" spans="1:20" ht="14.5" x14ac:dyDescent="0.35">
      <c r="A9828" s="10" t="s">
        <v>43911</v>
      </c>
      <c r="B9828" s="10" t="str">
        <f>"9781771676298"</f>
        <v>9781771676298</v>
      </c>
      <c r="C9828" s="10" t="str">
        <f>"9781771679312"</f>
        <v>9781771679312</v>
      </c>
      <c r="D9828" s="10" t="s">
        <v>29364</v>
      </c>
      <c r="E9828" s="10" t="s">
        <v>31200</v>
      </c>
      <c r="F9828" s="10" t="s">
        <v>1232</v>
      </c>
      <c r="G9828" s="10" t="s">
        <v>6317</v>
      </c>
      <c r="H9828" s="11">
        <v>42663</v>
      </c>
      <c r="I9828" s="10">
        <v>2017</v>
      </c>
      <c r="J9828" s="10" t="s">
        <v>29364</v>
      </c>
      <c r="K9828" s="10">
        <v>56</v>
      </c>
      <c r="L9828" s="10" t="s">
        <v>39580</v>
      </c>
      <c r="M9828" s="10">
        <v>1</v>
      </c>
      <c r="N9828" s="10" t="s">
        <v>43912</v>
      </c>
      <c r="O9828" s="10">
        <v>16</v>
      </c>
      <c r="P9828" s="10" t="s">
        <v>43913</v>
      </c>
      <c r="Q9828" s="10">
        <v>813.52</v>
      </c>
      <c r="R9828" s="10" t="s">
        <v>43914</v>
      </c>
      <c r="S9828" s="10" t="s">
        <v>53</v>
      </c>
      <c r="T9828" s="10" t="s">
        <v>1166</v>
      </c>
    </row>
    <row r="9829" spans="1:20" ht="14.5" x14ac:dyDescent="0.35">
      <c r="A9829" s="10" t="s">
        <v>43915</v>
      </c>
      <c r="B9829" s="10" t="str">
        <f>"9781771676304"</f>
        <v>9781771676304</v>
      </c>
      <c r="C9829" s="10" t="str">
        <f>"9781771679299"</f>
        <v>9781771679299</v>
      </c>
      <c r="D9829" s="10" t="s">
        <v>29364</v>
      </c>
      <c r="E9829" s="10" t="s">
        <v>31200</v>
      </c>
      <c r="F9829" s="10" t="s">
        <v>1232</v>
      </c>
      <c r="G9829" s="10" t="s">
        <v>6317</v>
      </c>
      <c r="H9829" s="11">
        <v>42649</v>
      </c>
      <c r="I9829" s="10">
        <v>2017</v>
      </c>
      <c r="J9829" s="10" t="s">
        <v>29364</v>
      </c>
      <c r="K9829" s="10">
        <v>56</v>
      </c>
      <c r="L9829" s="10" t="s">
        <v>43916</v>
      </c>
      <c r="M9829" s="10">
        <v>1</v>
      </c>
      <c r="N9829" s="10" t="s">
        <v>43912</v>
      </c>
      <c r="O9829" s="10">
        <v>17</v>
      </c>
      <c r="P9829" s="10" t="s">
        <v>43917</v>
      </c>
      <c r="Q9829" s="10">
        <v>813.54</v>
      </c>
      <c r="R9829" s="10" t="s">
        <v>43918</v>
      </c>
      <c r="S9829" s="10" t="s">
        <v>53</v>
      </c>
      <c r="T9829" s="10" t="s">
        <v>1166</v>
      </c>
    </row>
    <row r="9830" spans="1:20" ht="14.5" x14ac:dyDescent="0.35">
      <c r="A9830" s="10" t="s">
        <v>43919</v>
      </c>
      <c r="B9830" s="10" t="str">
        <f>"9781475824841"</f>
        <v>9781475824841</v>
      </c>
      <c r="C9830" s="10" t="str">
        <f>"9781475824858"</f>
        <v>9781475824858</v>
      </c>
      <c r="D9830" s="10" t="s">
        <v>9752</v>
      </c>
      <c r="E9830" s="10" t="s">
        <v>15187</v>
      </c>
      <c r="F9830" s="10" t="s">
        <v>9754</v>
      </c>
      <c r="G9830" s="10" t="s">
        <v>6317</v>
      </c>
      <c r="H9830" s="11">
        <v>42726</v>
      </c>
      <c r="I9830" s="10">
        <v>2016</v>
      </c>
      <c r="J9830" s="10" t="s">
        <v>15187</v>
      </c>
      <c r="K9830" s="10">
        <v>101</v>
      </c>
      <c r="L9830" s="10" t="s">
        <v>43920</v>
      </c>
      <c r="M9830" s="10">
        <v>1</v>
      </c>
      <c r="N9830" s="10"/>
      <c r="O9830" s="10"/>
      <c r="P9830" s="10" t="s">
        <v>43921</v>
      </c>
      <c r="Q9830" s="10"/>
      <c r="R9830" s="10" t="s">
        <v>16187</v>
      </c>
      <c r="S9830" s="10" t="s">
        <v>53</v>
      </c>
      <c r="T9830" s="10" t="s">
        <v>54</v>
      </c>
    </row>
    <row r="9831" spans="1:20" ht="14.5" x14ac:dyDescent="0.35">
      <c r="A9831" s="10" t="s">
        <v>43922</v>
      </c>
      <c r="B9831" s="10" t="str">
        <f>"9781771676274"</f>
        <v>9781771676274</v>
      </c>
      <c r="C9831" s="10" t="str">
        <f>"9781771679428"</f>
        <v>9781771679428</v>
      </c>
      <c r="D9831" s="10" t="s">
        <v>29364</v>
      </c>
      <c r="E9831" s="10" t="s">
        <v>31200</v>
      </c>
      <c r="F9831" s="10" t="s">
        <v>1232</v>
      </c>
      <c r="G9831" s="10" t="s">
        <v>6317</v>
      </c>
      <c r="H9831" s="11">
        <v>42684</v>
      </c>
      <c r="I9831" s="10">
        <v>2017</v>
      </c>
      <c r="J9831" s="10" t="s">
        <v>29364</v>
      </c>
      <c r="K9831" s="10">
        <v>56</v>
      </c>
      <c r="L9831" s="10" t="s">
        <v>43916</v>
      </c>
      <c r="M9831" s="10">
        <v>1</v>
      </c>
      <c r="N9831" s="10" t="s">
        <v>43923</v>
      </c>
      <c r="O9831" s="10">
        <v>13</v>
      </c>
      <c r="P9831" s="10" t="s">
        <v>43924</v>
      </c>
      <c r="Q9831" s="10">
        <v>813.52</v>
      </c>
      <c r="R9831" s="10" t="s">
        <v>43925</v>
      </c>
      <c r="S9831" s="10" t="s">
        <v>53</v>
      </c>
      <c r="T9831" s="10" t="s">
        <v>1166</v>
      </c>
    </row>
    <row r="9832" spans="1:20" ht="14.5" x14ac:dyDescent="0.35">
      <c r="A9832" s="10" t="s">
        <v>43926</v>
      </c>
      <c r="B9832" s="10" t="str">
        <f>""</f>
        <v/>
      </c>
      <c r="C9832" s="10" t="str">
        <f>"9781504043397"</f>
        <v>9781504043397</v>
      </c>
      <c r="D9832" s="10" t="s">
        <v>6358</v>
      </c>
      <c r="E9832" s="10" t="s">
        <v>43927</v>
      </c>
      <c r="F9832" s="10" t="s">
        <v>39534</v>
      </c>
      <c r="G9832" s="10" t="s">
        <v>6317</v>
      </c>
      <c r="H9832" s="11">
        <v>42731</v>
      </c>
      <c r="I9832" s="10">
        <v>2016</v>
      </c>
      <c r="J9832" s="10" t="s">
        <v>43927</v>
      </c>
      <c r="K9832" s="10">
        <v>26</v>
      </c>
      <c r="L9832" s="10" t="s">
        <v>43927</v>
      </c>
      <c r="M9832" s="10">
        <v>1</v>
      </c>
      <c r="N9832" s="10" t="s">
        <v>43928</v>
      </c>
      <c r="O9832" s="10"/>
      <c r="P9832" s="10" t="s">
        <v>43929</v>
      </c>
      <c r="Q9832" s="10">
        <v>294.34435000000002</v>
      </c>
      <c r="R9832" s="10" t="s">
        <v>43930</v>
      </c>
      <c r="S9832" s="10" t="s">
        <v>53</v>
      </c>
      <c r="T9832" s="10" t="s">
        <v>8346</v>
      </c>
    </row>
    <row r="9833" spans="1:20" ht="14.5" x14ac:dyDescent="0.35">
      <c r="A9833" s="10" t="s">
        <v>43931</v>
      </c>
      <c r="B9833" s="10" t="str">
        <f>"9781137490148"</f>
        <v>9781137490148</v>
      </c>
      <c r="C9833" s="10" t="str">
        <f>"9781137490155"</f>
        <v>9781137490155</v>
      </c>
      <c r="D9833" s="10" t="s">
        <v>11249</v>
      </c>
      <c r="E9833" s="10" t="s">
        <v>13407</v>
      </c>
      <c r="F9833" s="10" t="s">
        <v>139</v>
      </c>
      <c r="G9833" s="10" t="s">
        <v>6352</v>
      </c>
      <c r="H9833" s="11">
        <v>42724</v>
      </c>
      <c r="I9833" s="10">
        <v>2017</v>
      </c>
      <c r="J9833" s="10" t="s">
        <v>2400</v>
      </c>
      <c r="K9833" s="10">
        <v>224</v>
      </c>
      <c r="L9833" s="10" t="s">
        <v>43932</v>
      </c>
      <c r="M9833" s="10">
        <v>1</v>
      </c>
      <c r="N9833" s="10" t="s">
        <v>39548</v>
      </c>
      <c r="O9833" s="10"/>
      <c r="P9833" s="10" t="s">
        <v>39549</v>
      </c>
      <c r="Q9833" s="10">
        <v>374.00819999999999</v>
      </c>
      <c r="R9833" s="10" t="s">
        <v>20336</v>
      </c>
      <c r="S9833" s="10" t="s">
        <v>53</v>
      </c>
      <c r="T9833" s="10" t="s">
        <v>6472</v>
      </c>
    </row>
    <row r="9834" spans="1:20" ht="14.5" x14ac:dyDescent="0.35">
      <c r="A9834" s="10" t="s">
        <v>43933</v>
      </c>
      <c r="B9834" s="10" t="str">
        <f>"9781942496700"</f>
        <v>9781942496700</v>
      </c>
      <c r="C9834" s="10" t="str">
        <f>"9781942496717"</f>
        <v>9781942496717</v>
      </c>
      <c r="D9834" s="10" t="s">
        <v>37580</v>
      </c>
      <c r="E9834" s="10" t="s">
        <v>37581</v>
      </c>
      <c r="F9834" s="10" t="s">
        <v>37623</v>
      </c>
      <c r="G9834" s="10" t="s">
        <v>6317</v>
      </c>
      <c r="H9834" s="11">
        <v>42744</v>
      </c>
      <c r="I9834" s="10">
        <v>2017</v>
      </c>
      <c r="J9834" s="10" t="s">
        <v>37581</v>
      </c>
      <c r="K9834" s="10">
        <v>136</v>
      </c>
      <c r="L9834" s="10" t="s">
        <v>24046</v>
      </c>
      <c r="M9834" s="10">
        <v>1</v>
      </c>
      <c r="N9834" s="10"/>
      <c r="O9834" s="10"/>
      <c r="P9834" s="10"/>
      <c r="Q9834" s="10"/>
      <c r="R9834" s="10"/>
      <c r="S9834" s="10" t="s">
        <v>53</v>
      </c>
      <c r="T9834" s="10" t="s">
        <v>54</v>
      </c>
    </row>
    <row r="9835" spans="1:20" ht="14.5" x14ac:dyDescent="0.35">
      <c r="A9835" s="10" t="s">
        <v>43934</v>
      </c>
      <c r="B9835" s="10" t="str">
        <f>"9781137382924"</f>
        <v>9781137382924</v>
      </c>
      <c r="C9835" s="10" t="str">
        <f>"9781137376947"</f>
        <v>9781137376947</v>
      </c>
      <c r="D9835" s="10" t="s">
        <v>11249</v>
      </c>
      <c r="E9835" s="10" t="s">
        <v>2400</v>
      </c>
      <c r="F9835" s="10" t="s">
        <v>70</v>
      </c>
      <c r="G9835" s="10" t="s">
        <v>6317</v>
      </c>
      <c r="H9835" s="11">
        <v>42713</v>
      </c>
      <c r="I9835" s="10">
        <v>2017</v>
      </c>
      <c r="J9835" s="10" t="s">
        <v>2400</v>
      </c>
      <c r="K9835" s="10">
        <v>275</v>
      </c>
      <c r="L9835" s="10" t="s">
        <v>43935</v>
      </c>
      <c r="M9835" s="10">
        <v>1</v>
      </c>
      <c r="N9835" s="10" t="s">
        <v>17721</v>
      </c>
      <c r="O9835" s="10"/>
      <c r="P9835" s="10" t="s">
        <v>11275</v>
      </c>
      <c r="Q9835" s="10">
        <v>378.59300000000002</v>
      </c>
      <c r="R9835" s="10" t="s">
        <v>6765</v>
      </c>
      <c r="S9835" s="10" t="s">
        <v>53</v>
      </c>
      <c r="T9835" s="10" t="s">
        <v>54</v>
      </c>
    </row>
    <row r="9836" spans="1:20" ht="14.5" x14ac:dyDescent="0.35">
      <c r="A9836" s="10" t="s">
        <v>43936</v>
      </c>
      <c r="B9836" s="10" t="str">
        <f>"9781475832686"</f>
        <v>9781475832686</v>
      </c>
      <c r="C9836" s="10" t="str">
        <f>"9781475832693"</f>
        <v>9781475832693</v>
      </c>
      <c r="D9836" s="10" t="s">
        <v>9752</v>
      </c>
      <c r="E9836" s="10" t="s">
        <v>15187</v>
      </c>
      <c r="F9836" s="10" t="s">
        <v>9754</v>
      </c>
      <c r="G9836" s="10" t="s">
        <v>6317</v>
      </c>
      <c r="H9836" s="11">
        <v>42723</v>
      </c>
      <c r="I9836" s="10">
        <v>2016</v>
      </c>
      <c r="J9836" s="10" t="s">
        <v>15187</v>
      </c>
      <c r="K9836" s="10">
        <v>233</v>
      </c>
      <c r="L9836" s="10" t="s">
        <v>43937</v>
      </c>
      <c r="M9836" s="10">
        <v>1</v>
      </c>
      <c r="N9836" s="10"/>
      <c r="O9836" s="10"/>
      <c r="P9836" s="10" t="s">
        <v>43938</v>
      </c>
      <c r="Q9836" s="10"/>
      <c r="R9836" s="10" t="s">
        <v>41159</v>
      </c>
      <c r="S9836" s="10" t="s">
        <v>53</v>
      </c>
      <c r="T9836" s="10" t="s">
        <v>54</v>
      </c>
    </row>
    <row r="9837" spans="1:20" ht="14.5" x14ac:dyDescent="0.35">
      <c r="A9837" s="10" t="s">
        <v>43939</v>
      </c>
      <c r="B9837" s="10" t="str">
        <f>"9789463003445"</f>
        <v>9789463003445</v>
      </c>
      <c r="C9837" s="10" t="str">
        <f>"9789463003469"</f>
        <v>9789463003469</v>
      </c>
      <c r="D9837" s="10" t="s">
        <v>8564</v>
      </c>
      <c r="E9837" s="10" t="s">
        <v>8565</v>
      </c>
      <c r="F9837" s="10" t="s">
        <v>1420</v>
      </c>
      <c r="G9837" s="10" t="s">
        <v>6317</v>
      </c>
      <c r="H9837" s="11">
        <v>42005</v>
      </c>
      <c r="I9837" s="10">
        <v>2015</v>
      </c>
      <c r="J9837" s="10" t="s">
        <v>33259</v>
      </c>
      <c r="K9837" s="10">
        <v>206</v>
      </c>
      <c r="L9837" s="10" t="s">
        <v>43940</v>
      </c>
      <c r="M9837" s="10">
        <v>1</v>
      </c>
      <c r="N9837" s="10" t="s">
        <v>33485</v>
      </c>
      <c r="O9837" s="10">
        <v>4</v>
      </c>
      <c r="P9837" s="10" t="s">
        <v>43941</v>
      </c>
      <c r="Q9837" s="10">
        <v>370.11500000000001</v>
      </c>
      <c r="R9837" s="10" t="s">
        <v>43942</v>
      </c>
      <c r="S9837" s="10" t="s">
        <v>53</v>
      </c>
      <c r="T9837" s="10" t="s">
        <v>54</v>
      </c>
    </row>
    <row r="9838" spans="1:20" ht="14.5" x14ac:dyDescent="0.35">
      <c r="A9838" s="10" t="s">
        <v>43943</v>
      </c>
      <c r="B9838" s="10" t="str">
        <f>"9789463007061"</f>
        <v>9789463007061</v>
      </c>
      <c r="C9838" s="10" t="str">
        <f>"9789463007085"</f>
        <v>9789463007085</v>
      </c>
      <c r="D9838" s="10" t="s">
        <v>8564</v>
      </c>
      <c r="E9838" s="10" t="s">
        <v>8565</v>
      </c>
      <c r="F9838" s="10" t="s">
        <v>1420</v>
      </c>
      <c r="G9838" s="10" t="s">
        <v>6317</v>
      </c>
      <c r="H9838" s="11">
        <v>42370</v>
      </c>
      <c r="I9838" s="10">
        <v>2016</v>
      </c>
      <c r="J9838" s="10" t="s">
        <v>33259</v>
      </c>
      <c r="K9838" s="10">
        <v>168</v>
      </c>
      <c r="L9838" s="10" t="s">
        <v>43944</v>
      </c>
      <c r="M9838" s="10">
        <v>1</v>
      </c>
      <c r="N9838" s="10"/>
      <c r="O9838" s="10"/>
      <c r="P9838" s="10" t="s">
        <v>19534</v>
      </c>
      <c r="Q9838" s="10"/>
      <c r="R9838" s="10" t="s">
        <v>43945</v>
      </c>
      <c r="S9838" s="10" t="s">
        <v>53</v>
      </c>
      <c r="T9838" s="10" t="s">
        <v>54</v>
      </c>
    </row>
    <row r="9839" spans="1:20" ht="14.5" x14ac:dyDescent="0.35">
      <c r="A9839" s="10" t="s">
        <v>43946</v>
      </c>
      <c r="B9839" s="10" t="str">
        <f>"9789463007368"</f>
        <v>9789463007368</v>
      </c>
      <c r="C9839" s="10" t="str">
        <f>"9789463007382"</f>
        <v>9789463007382</v>
      </c>
      <c r="D9839" s="10" t="s">
        <v>8564</v>
      </c>
      <c r="E9839" s="10" t="s">
        <v>8565</v>
      </c>
      <c r="F9839" s="10" t="s">
        <v>1420</v>
      </c>
      <c r="G9839" s="10" t="s">
        <v>6317</v>
      </c>
      <c r="H9839" s="11">
        <v>42370</v>
      </c>
      <c r="I9839" s="10">
        <v>2016</v>
      </c>
      <c r="J9839" s="10" t="s">
        <v>33259</v>
      </c>
      <c r="K9839" s="10">
        <v>207</v>
      </c>
      <c r="L9839" s="10" t="s">
        <v>43947</v>
      </c>
      <c r="M9839" s="10">
        <v>1</v>
      </c>
      <c r="N9839" s="10" t="s">
        <v>33716</v>
      </c>
      <c r="O9839" s="10">
        <v>15</v>
      </c>
      <c r="P9839" s="10" t="s">
        <v>19534</v>
      </c>
      <c r="Q9839" s="10"/>
      <c r="R9839" s="10" t="s">
        <v>43948</v>
      </c>
      <c r="S9839" s="10" t="s">
        <v>53</v>
      </c>
      <c r="T9839" s="10" t="s">
        <v>54</v>
      </c>
    </row>
    <row r="9840" spans="1:20" ht="14.5" x14ac:dyDescent="0.35">
      <c r="A9840" s="10" t="s">
        <v>43949</v>
      </c>
      <c r="B9840" s="10" t="str">
        <f>"9789463007719"</f>
        <v>9789463007719</v>
      </c>
      <c r="C9840" s="10" t="str">
        <f>"9789463007733"</f>
        <v>9789463007733</v>
      </c>
      <c r="D9840" s="10" t="s">
        <v>8564</v>
      </c>
      <c r="E9840" s="10" t="s">
        <v>8565</v>
      </c>
      <c r="F9840" s="10" t="s">
        <v>1420</v>
      </c>
      <c r="G9840" s="10" t="s">
        <v>6317</v>
      </c>
      <c r="H9840" s="11">
        <v>42370</v>
      </c>
      <c r="I9840" s="10">
        <v>2016</v>
      </c>
      <c r="J9840" s="10" t="s">
        <v>33259</v>
      </c>
      <c r="K9840" s="10">
        <v>266</v>
      </c>
      <c r="L9840" s="10" t="s">
        <v>43950</v>
      </c>
      <c r="M9840" s="10">
        <v>1</v>
      </c>
      <c r="N9840" s="10" t="s">
        <v>33257</v>
      </c>
      <c r="O9840" s="10">
        <v>35</v>
      </c>
      <c r="P9840" s="10" t="s">
        <v>19534</v>
      </c>
      <c r="Q9840" s="10"/>
      <c r="R9840" s="10"/>
      <c r="S9840" s="10" t="s">
        <v>53</v>
      </c>
      <c r="T9840" s="10" t="s">
        <v>54</v>
      </c>
    </row>
    <row r="9841" spans="1:20" ht="14.5" x14ac:dyDescent="0.35">
      <c r="A9841" s="10" t="s">
        <v>43951</v>
      </c>
      <c r="B9841" s="10" t="str">
        <f>"9789463007740"</f>
        <v>9789463007740</v>
      </c>
      <c r="C9841" s="10" t="str">
        <f>"9789463007764"</f>
        <v>9789463007764</v>
      </c>
      <c r="D9841" s="10" t="s">
        <v>8564</v>
      </c>
      <c r="E9841" s="10" t="s">
        <v>8565</v>
      </c>
      <c r="F9841" s="10" t="s">
        <v>206</v>
      </c>
      <c r="G9841" s="10" t="s">
        <v>9233</v>
      </c>
      <c r="H9841" s="11">
        <v>42657</v>
      </c>
      <c r="I9841" s="10">
        <v>2016</v>
      </c>
      <c r="J9841" s="10" t="s">
        <v>33528</v>
      </c>
      <c r="K9841" s="10">
        <v>294</v>
      </c>
      <c r="L9841" s="10" t="s">
        <v>33260</v>
      </c>
      <c r="M9841" s="10">
        <v>1</v>
      </c>
      <c r="N9841" s="10"/>
      <c r="O9841" s="10"/>
      <c r="P9841" s="10" t="s">
        <v>43952</v>
      </c>
      <c r="Q9841" s="10">
        <v>370.94709999999901</v>
      </c>
      <c r="R9841" s="10" t="s">
        <v>40795</v>
      </c>
      <c r="S9841" s="10" t="s">
        <v>53</v>
      </c>
      <c r="T9841" s="10" t="s">
        <v>54</v>
      </c>
    </row>
    <row r="9842" spans="1:20" ht="14.5" x14ac:dyDescent="0.35">
      <c r="A9842" s="10" t="s">
        <v>43953</v>
      </c>
      <c r="B9842" s="10" t="str">
        <f>"9789463007832"</f>
        <v>9789463007832</v>
      </c>
      <c r="C9842" s="10" t="str">
        <f>"9789463007856"</f>
        <v>9789463007856</v>
      </c>
      <c r="D9842" s="10" t="s">
        <v>8564</v>
      </c>
      <c r="E9842" s="10" t="s">
        <v>8565</v>
      </c>
      <c r="F9842" s="10" t="s">
        <v>1420</v>
      </c>
      <c r="G9842" s="10" t="s">
        <v>6317</v>
      </c>
      <c r="H9842" s="11">
        <v>42370</v>
      </c>
      <c r="I9842" s="10">
        <v>2016</v>
      </c>
      <c r="J9842" s="10" t="s">
        <v>33259</v>
      </c>
      <c r="K9842" s="10">
        <v>215</v>
      </c>
      <c r="L9842" s="10" t="s">
        <v>43954</v>
      </c>
      <c r="M9842" s="10">
        <v>1</v>
      </c>
      <c r="N9842" s="10" t="s">
        <v>43520</v>
      </c>
      <c r="O9842" s="10">
        <v>3</v>
      </c>
      <c r="P9842" s="10" t="s">
        <v>19534</v>
      </c>
      <c r="Q9842" s="10">
        <v>305.23309510000001</v>
      </c>
      <c r="R9842" s="10"/>
      <c r="S9842" s="10" t="s">
        <v>53</v>
      </c>
      <c r="T9842" s="10" t="s">
        <v>6526</v>
      </c>
    </row>
    <row r="9843" spans="1:20" ht="14.5" x14ac:dyDescent="0.35">
      <c r="A9843" s="10" t="s">
        <v>43955</v>
      </c>
      <c r="B9843" s="10" t="str">
        <f>"9789463008105"</f>
        <v>9789463008105</v>
      </c>
      <c r="C9843" s="10" t="str">
        <f>"9789463008129"</f>
        <v>9789463008129</v>
      </c>
      <c r="D9843" s="10" t="s">
        <v>8564</v>
      </c>
      <c r="E9843" s="10" t="s">
        <v>13067</v>
      </c>
      <c r="F9843" s="10" t="s">
        <v>33250</v>
      </c>
      <c r="G9843" s="10" t="s">
        <v>9233</v>
      </c>
      <c r="H9843" s="11">
        <v>42370</v>
      </c>
      <c r="I9843" s="10">
        <v>2016</v>
      </c>
      <c r="J9843" s="10" t="s">
        <v>13067</v>
      </c>
      <c r="K9843" s="10">
        <v>159</v>
      </c>
      <c r="L9843" s="10" t="s">
        <v>43956</v>
      </c>
      <c r="M9843" s="10">
        <v>1</v>
      </c>
      <c r="N9843" s="10"/>
      <c r="O9843" s="10"/>
      <c r="P9843" s="10" t="s">
        <v>19534</v>
      </c>
      <c r="Q9843" s="10"/>
      <c r="R9843" s="10" t="s">
        <v>43957</v>
      </c>
      <c r="S9843" s="10" t="s">
        <v>53</v>
      </c>
      <c r="T9843" s="10" t="s">
        <v>54</v>
      </c>
    </row>
    <row r="9844" spans="1:20" ht="14.5" x14ac:dyDescent="0.35">
      <c r="A9844" s="10" t="s">
        <v>43958</v>
      </c>
      <c r="B9844" s="10" t="str">
        <f>"9781681237060"</f>
        <v>9781681237060</v>
      </c>
      <c r="C9844" s="10" t="str">
        <f>"9781681237084"</f>
        <v>9781681237084</v>
      </c>
      <c r="D9844" s="10" t="s">
        <v>274</v>
      </c>
      <c r="E9844" s="10" t="s">
        <v>35170</v>
      </c>
      <c r="F9844" s="10" t="s">
        <v>35171</v>
      </c>
      <c r="G9844" s="10" t="s">
        <v>6317</v>
      </c>
      <c r="H9844" s="11">
        <v>42917</v>
      </c>
      <c r="I9844" s="10">
        <v>2016</v>
      </c>
      <c r="J9844" s="10" t="s">
        <v>35170</v>
      </c>
      <c r="K9844" s="10">
        <v>227</v>
      </c>
      <c r="L9844" s="10" t="s">
        <v>43959</v>
      </c>
      <c r="M9844" s="10">
        <v>1</v>
      </c>
      <c r="N9844" s="10" t="s">
        <v>35249</v>
      </c>
      <c r="O9844" s="10"/>
      <c r="P9844" s="10" t="s">
        <v>43960</v>
      </c>
      <c r="Q9844" s="10">
        <v>305.39999999999998</v>
      </c>
      <c r="R9844" s="10" t="s">
        <v>43961</v>
      </c>
      <c r="S9844" s="10" t="s">
        <v>53</v>
      </c>
      <c r="T9844" s="10" t="s">
        <v>6363</v>
      </c>
    </row>
    <row r="9845" spans="1:20" ht="14.5" x14ac:dyDescent="0.35">
      <c r="A9845" s="10" t="s">
        <v>43962</v>
      </c>
      <c r="B9845" s="10" t="str">
        <f>"9781681236971"</f>
        <v>9781681236971</v>
      </c>
      <c r="C9845" s="10" t="str">
        <f>"9781681236995"</f>
        <v>9781681236995</v>
      </c>
      <c r="D9845" s="10" t="s">
        <v>274</v>
      </c>
      <c r="E9845" s="10" t="s">
        <v>35170</v>
      </c>
      <c r="F9845" s="10" t="s">
        <v>35171</v>
      </c>
      <c r="G9845" s="10" t="s">
        <v>6317</v>
      </c>
      <c r="H9845" s="11">
        <v>42688</v>
      </c>
      <c r="I9845" s="10">
        <v>2016</v>
      </c>
      <c r="J9845" s="10" t="s">
        <v>35170</v>
      </c>
      <c r="K9845" s="10">
        <v>333</v>
      </c>
      <c r="L9845" s="10" t="s">
        <v>43963</v>
      </c>
      <c r="M9845" s="10">
        <v>1</v>
      </c>
      <c r="N9845" s="10" t="s">
        <v>43964</v>
      </c>
      <c r="O9845" s="10"/>
      <c r="P9845" s="10" t="s">
        <v>43965</v>
      </c>
      <c r="Q9845" s="10">
        <v>823.92</v>
      </c>
      <c r="R9845" s="10" t="s">
        <v>43966</v>
      </c>
      <c r="S9845" s="10" t="s">
        <v>53</v>
      </c>
      <c r="T9845" s="10" t="s">
        <v>1166</v>
      </c>
    </row>
    <row r="9846" spans="1:20" ht="14.5" x14ac:dyDescent="0.35">
      <c r="A9846" s="10" t="s">
        <v>43967</v>
      </c>
      <c r="B9846" s="10" t="str">
        <f>"9781681236605"</f>
        <v>9781681236605</v>
      </c>
      <c r="C9846" s="10" t="str">
        <f>"9781681236629"</f>
        <v>9781681236629</v>
      </c>
      <c r="D9846" s="10" t="s">
        <v>274</v>
      </c>
      <c r="E9846" s="10" t="s">
        <v>35170</v>
      </c>
      <c r="F9846" s="10" t="s">
        <v>35171</v>
      </c>
      <c r="G9846" s="10" t="s">
        <v>6317</v>
      </c>
      <c r="H9846" s="11">
        <v>42767</v>
      </c>
      <c r="I9846" s="10">
        <v>2016</v>
      </c>
      <c r="J9846" s="10" t="s">
        <v>35170</v>
      </c>
      <c r="K9846" s="10">
        <v>188</v>
      </c>
      <c r="L9846" s="10" t="s">
        <v>43968</v>
      </c>
      <c r="M9846" s="10">
        <v>1</v>
      </c>
      <c r="N9846" s="10" t="s">
        <v>43743</v>
      </c>
      <c r="O9846" s="10"/>
      <c r="P9846" s="10" t="s">
        <v>43969</v>
      </c>
      <c r="Q9846" s="10" t="s">
        <v>7299</v>
      </c>
      <c r="R9846" s="10" t="s">
        <v>43970</v>
      </c>
      <c r="S9846" s="10" t="s">
        <v>53</v>
      </c>
      <c r="T9846" s="10" t="s">
        <v>54</v>
      </c>
    </row>
    <row r="9847" spans="1:20" ht="14.5" x14ac:dyDescent="0.35">
      <c r="A9847" s="10" t="s">
        <v>43971</v>
      </c>
      <c r="B9847" s="10" t="str">
        <f>"9781620970591"</f>
        <v>9781620970591</v>
      </c>
      <c r="C9847" s="10" t="str">
        <f>"9781620971239"</f>
        <v>9781620971239</v>
      </c>
      <c r="D9847" s="10" t="s">
        <v>6358</v>
      </c>
      <c r="E9847" s="10" t="s">
        <v>21864</v>
      </c>
      <c r="F9847" s="10" t="s">
        <v>70</v>
      </c>
      <c r="G9847" s="10" t="s">
        <v>6317</v>
      </c>
      <c r="H9847" s="11">
        <v>42773</v>
      </c>
      <c r="I9847" s="10">
        <v>2016</v>
      </c>
      <c r="J9847" s="10" t="s">
        <v>21864</v>
      </c>
      <c r="K9847" s="10">
        <v>241</v>
      </c>
      <c r="L9847" s="10" t="s">
        <v>43972</v>
      </c>
      <c r="M9847" s="10">
        <v>1</v>
      </c>
      <c r="N9847" s="10"/>
      <c r="O9847" s="10"/>
      <c r="P9847" s="10" t="s">
        <v>43973</v>
      </c>
      <c r="Q9847" s="10">
        <v>365.66609729999999</v>
      </c>
      <c r="R9847" s="10" t="s">
        <v>43974</v>
      </c>
      <c r="S9847" s="10" t="s">
        <v>53</v>
      </c>
      <c r="T9847" s="10" t="s">
        <v>6363</v>
      </c>
    </row>
    <row r="9848" spans="1:20" ht="14.5" x14ac:dyDescent="0.35">
      <c r="A9848" s="10" t="s">
        <v>43975</v>
      </c>
      <c r="B9848" s="10" t="str">
        <f>"9781942496960"</f>
        <v>9781942496960</v>
      </c>
      <c r="C9848" s="10" t="str">
        <f>"9781942496977"</f>
        <v>9781942496977</v>
      </c>
      <c r="D9848" s="10" t="s">
        <v>37580</v>
      </c>
      <c r="E9848" s="10" t="s">
        <v>37581</v>
      </c>
      <c r="F9848" s="10" t="s">
        <v>37623</v>
      </c>
      <c r="G9848" s="10" t="s">
        <v>6317</v>
      </c>
      <c r="H9848" s="11">
        <v>42671</v>
      </c>
      <c r="I9848" s="10">
        <v>2017</v>
      </c>
      <c r="J9848" s="10" t="s">
        <v>37581</v>
      </c>
      <c r="K9848" s="10">
        <v>144</v>
      </c>
      <c r="L9848" s="10" t="s">
        <v>43976</v>
      </c>
      <c r="M9848" s="10">
        <v>1</v>
      </c>
      <c r="N9848" s="10"/>
      <c r="O9848" s="10"/>
      <c r="P9848" s="10" t="s">
        <v>43977</v>
      </c>
      <c r="Q9848" s="10"/>
      <c r="R9848" s="10"/>
      <c r="S9848" s="10" t="s">
        <v>53</v>
      </c>
      <c r="T9848" s="10" t="s">
        <v>6363</v>
      </c>
    </row>
    <row r="9849" spans="1:20" ht="14.5" x14ac:dyDescent="0.35">
      <c r="A9849" s="10" t="s">
        <v>43978</v>
      </c>
      <c r="B9849" s="10" t="str">
        <f>"9780738612089"</f>
        <v>9780738612089</v>
      </c>
      <c r="C9849" s="10" t="str">
        <f>"9780738687872"</f>
        <v>9780738687872</v>
      </c>
      <c r="D9849" s="10" t="s">
        <v>28876</v>
      </c>
      <c r="E9849" s="10" t="s">
        <v>43785</v>
      </c>
      <c r="F9849" s="10" t="s">
        <v>2510</v>
      </c>
      <c r="G9849" s="10" t="s">
        <v>6317</v>
      </c>
      <c r="H9849" s="11">
        <v>42549</v>
      </c>
      <c r="I9849" s="10">
        <v>2017</v>
      </c>
      <c r="J9849" s="10" t="s">
        <v>43785</v>
      </c>
      <c r="K9849" s="10">
        <v>462</v>
      </c>
      <c r="L9849" s="10" t="s">
        <v>43979</v>
      </c>
      <c r="M9849" s="10">
        <v>3</v>
      </c>
      <c r="N9849" s="10" t="s">
        <v>43980</v>
      </c>
      <c r="O9849" s="10"/>
      <c r="P9849" s="10" t="s">
        <v>43981</v>
      </c>
      <c r="Q9849" s="10">
        <v>372.11209759000002</v>
      </c>
      <c r="R9849" s="10" t="s">
        <v>43982</v>
      </c>
      <c r="S9849" s="10" t="s">
        <v>53</v>
      </c>
      <c r="T9849" s="10" t="s">
        <v>54</v>
      </c>
    </row>
    <row r="9850" spans="1:20" ht="14.5" x14ac:dyDescent="0.35">
      <c r="A9850" s="10" t="s">
        <v>43983</v>
      </c>
      <c r="B9850" s="10" t="str">
        <f>"9789088900815"</f>
        <v>9789088900815</v>
      </c>
      <c r="C9850" s="10" t="str">
        <f>"9789088901614"</f>
        <v>9789088901614</v>
      </c>
      <c r="D9850" s="10" t="s">
        <v>43984</v>
      </c>
      <c r="E9850" s="10" t="s">
        <v>43984</v>
      </c>
      <c r="F9850" s="10" t="s">
        <v>554</v>
      </c>
      <c r="G9850" s="10" t="s">
        <v>9233</v>
      </c>
      <c r="H9850" s="11">
        <v>41029</v>
      </c>
      <c r="I9850" s="10">
        <v>2012</v>
      </c>
      <c r="J9850" s="10" t="s">
        <v>43985</v>
      </c>
      <c r="K9850" s="10">
        <v>312</v>
      </c>
      <c r="L9850" s="10" t="s">
        <v>43986</v>
      </c>
      <c r="M9850" s="10">
        <v>1</v>
      </c>
      <c r="N9850" s="10"/>
      <c r="O9850" s="10"/>
      <c r="P9850" s="10" t="s">
        <v>43987</v>
      </c>
      <c r="Q9850" s="10">
        <v>371.33446780000003</v>
      </c>
      <c r="R9850" s="10" t="s">
        <v>43988</v>
      </c>
      <c r="S9850" s="10" t="s">
        <v>53</v>
      </c>
      <c r="T9850" s="10" t="s">
        <v>54</v>
      </c>
    </row>
    <row r="9851" spans="1:20" ht="14.5" x14ac:dyDescent="0.35">
      <c r="A9851" s="10" t="s">
        <v>43989</v>
      </c>
      <c r="B9851" s="10" t="str">
        <f>"9781475828658"</f>
        <v>9781475828658</v>
      </c>
      <c r="C9851" s="10" t="str">
        <f>"9781475828665"</f>
        <v>9781475828665</v>
      </c>
      <c r="D9851" s="10" t="s">
        <v>9752</v>
      </c>
      <c r="E9851" s="10" t="s">
        <v>15187</v>
      </c>
      <c r="F9851" s="10" t="s">
        <v>9754</v>
      </c>
      <c r="G9851" s="10" t="s">
        <v>6317</v>
      </c>
      <c r="H9851" s="11">
        <v>42746</v>
      </c>
      <c r="I9851" s="10">
        <v>2017</v>
      </c>
      <c r="J9851" s="10" t="s">
        <v>15187</v>
      </c>
      <c r="K9851" s="10">
        <v>195</v>
      </c>
      <c r="L9851" s="10" t="s">
        <v>43990</v>
      </c>
      <c r="M9851" s="10">
        <v>1</v>
      </c>
      <c r="N9851" s="10"/>
      <c r="O9851" s="10"/>
      <c r="P9851" s="10" t="s">
        <v>43991</v>
      </c>
      <c r="Q9851" s="10" t="s">
        <v>20834</v>
      </c>
      <c r="R9851" s="10" t="s">
        <v>43992</v>
      </c>
      <c r="S9851" s="10" t="s">
        <v>53</v>
      </c>
      <c r="T9851" s="10" t="s">
        <v>54</v>
      </c>
    </row>
    <row r="9852" spans="1:20" ht="14.5" x14ac:dyDescent="0.35">
      <c r="A9852" s="10" t="s">
        <v>43993</v>
      </c>
      <c r="B9852" s="10" t="str">
        <f>""</f>
        <v/>
      </c>
      <c r="C9852" s="10" t="str">
        <f>"9781443899802"</f>
        <v>9781443899802</v>
      </c>
      <c r="D9852" s="10" t="s">
        <v>23635</v>
      </c>
      <c r="E9852" s="10" t="s">
        <v>23635</v>
      </c>
      <c r="F9852" s="10" t="s">
        <v>23636</v>
      </c>
      <c r="G9852" s="10" t="s">
        <v>6352</v>
      </c>
      <c r="H9852" s="11">
        <v>42662</v>
      </c>
      <c r="I9852" s="10">
        <v>2016</v>
      </c>
      <c r="J9852" s="10" t="s">
        <v>23635</v>
      </c>
      <c r="K9852" s="10">
        <v>407</v>
      </c>
      <c r="L9852" s="10" t="s">
        <v>43994</v>
      </c>
      <c r="M9852" s="10">
        <v>1</v>
      </c>
      <c r="N9852" s="10"/>
      <c r="O9852" s="10"/>
      <c r="P9852" s="10" t="s">
        <v>43995</v>
      </c>
      <c r="Q9852" s="10">
        <v>370.11599999999902</v>
      </c>
      <c r="R9852" s="10" t="s">
        <v>43340</v>
      </c>
      <c r="S9852" s="10" t="s">
        <v>53</v>
      </c>
      <c r="T9852" s="10" t="s">
        <v>54</v>
      </c>
    </row>
    <row r="9853" spans="1:20" ht="14.5" x14ac:dyDescent="0.35">
      <c r="A9853" s="10" t="s">
        <v>43996</v>
      </c>
      <c r="B9853" s="10" t="str">
        <f>"9781443897969"</f>
        <v>9781443897969</v>
      </c>
      <c r="C9853" s="10" t="str">
        <f>"9781443848138"</f>
        <v>9781443848138</v>
      </c>
      <c r="D9853" s="10" t="s">
        <v>23635</v>
      </c>
      <c r="E9853" s="10" t="s">
        <v>23635</v>
      </c>
      <c r="F9853" s="10" t="s">
        <v>23636</v>
      </c>
      <c r="G9853" s="10" t="s">
        <v>6352</v>
      </c>
      <c r="H9853" s="11">
        <v>42671</v>
      </c>
      <c r="I9853" s="10">
        <v>2016</v>
      </c>
      <c r="J9853" s="10" t="s">
        <v>23635</v>
      </c>
      <c r="K9853" s="10">
        <v>264</v>
      </c>
      <c r="L9853" s="10" t="s">
        <v>43997</v>
      </c>
      <c r="M9853" s="10">
        <v>1</v>
      </c>
      <c r="N9853" s="10"/>
      <c r="O9853" s="10"/>
      <c r="P9853" s="10" t="s">
        <v>43998</v>
      </c>
      <c r="Q9853" s="10">
        <v>809.93371999999897</v>
      </c>
      <c r="R9853" s="10" t="s">
        <v>43999</v>
      </c>
      <c r="S9853" s="10" t="s">
        <v>53</v>
      </c>
      <c r="T9853" s="10" t="s">
        <v>1166</v>
      </c>
    </row>
    <row r="9854" spans="1:20" ht="14.5" x14ac:dyDescent="0.35">
      <c r="A9854" s="10" t="s">
        <v>44000</v>
      </c>
      <c r="B9854" s="10" t="str">
        <f>"9781443897938"</f>
        <v>9781443897938</v>
      </c>
      <c r="C9854" s="10" t="str">
        <f>"9781443856850"</f>
        <v>9781443856850</v>
      </c>
      <c r="D9854" s="10" t="s">
        <v>23635</v>
      </c>
      <c r="E9854" s="10" t="s">
        <v>23635</v>
      </c>
      <c r="F9854" s="10" t="s">
        <v>23636</v>
      </c>
      <c r="G9854" s="10" t="s">
        <v>6352</v>
      </c>
      <c r="H9854" s="11">
        <v>42681</v>
      </c>
      <c r="I9854" s="10">
        <v>2016</v>
      </c>
      <c r="J9854" s="10" t="s">
        <v>23635</v>
      </c>
      <c r="K9854" s="10">
        <v>224</v>
      </c>
      <c r="L9854" s="10" t="s">
        <v>44001</v>
      </c>
      <c r="M9854" s="10">
        <v>1</v>
      </c>
      <c r="N9854" s="10"/>
      <c r="O9854" s="10"/>
      <c r="P9854" s="10" t="s">
        <v>44002</v>
      </c>
      <c r="Q9854" s="10">
        <v>370.95400000000001</v>
      </c>
      <c r="R9854" s="10" t="s">
        <v>44003</v>
      </c>
      <c r="S9854" s="10" t="s">
        <v>53</v>
      </c>
      <c r="T9854" s="10" t="s">
        <v>54</v>
      </c>
    </row>
    <row r="9855" spans="1:20" ht="14.5" x14ac:dyDescent="0.35">
      <c r="A9855" s="10" t="s">
        <v>44004</v>
      </c>
      <c r="B9855" s="10" t="str">
        <f>"9781443897822"</f>
        <v>9781443897822</v>
      </c>
      <c r="C9855" s="10" t="str">
        <f>"9781443857710"</f>
        <v>9781443857710</v>
      </c>
      <c r="D9855" s="10" t="s">
        <v>23635</v>
      </c>
      <c r="E9855" s="10" t="s">
        <v>23635</v>
      </c>
      <c r="F9855" s="10" t="s">
        <v>23636</v>
      </c>
      <c r="G9855" s="10" t="s">
        <v>6352</v>
      </c>
      <c r="H9855" s="11">
        <v>42656</v>
      </c>
      <c r="I9855" s="10">
        <v>2016</v>
      </c>
      <c r="J9855" s="10" t="s">
        <v>23635</v>
      </c>
      <c r="K9855" s="10">
        <v>207</v>
      </c>
      <c r="L9855" s="10" t="s">
        <v>44005</v>
      </c>
      <c r="M9855" s="10">
        <v>1</v>
      </c>
      <c r="N9855" s="10"/>
      <c r="O9855" s="10"/>
      <c r="P9855" s="10" t="s">
        <v>44006</v>
      </c>
      <c r="Q9855" s="10">
        <v>370.11200000000002</v>
      </c>
      <c r="R9855" s="10" t="s">
        <v>44007</v>
      </c>
      <c r="S9855" s="10" t="s">
        <v>53</v>
      </c>
      <c r="T9855" s="10" t="s">
        <v>54</v>
      </c>
    </row>
    <row r="9856" spans="1:20" ht="14.5" x14ac:dyDescent="0.35">
      <c r="A9856" s="10" t="s">
        <v>44008</v>
      </c>
      <c r="B9856" s="10" t="str">
        <f>"9781443897051"</f>
        <v>9781443897051</v>
      </c>
      <c r="C9856" s="10" t="str">
        <f>"9781443858519"</f>
        <v>9781443858519</v>
      </c>
      <c r="D9856" s="10" t="s">
        <v>23635</v>
      </c>
      <c r="E9856" s="10" t="s">
        <v>23635</v>
      </c>
      <c r="F9856" s="10" t="s">
        <v>23636</v>
      </c>
      <c r="G9856" s="10" t="s">
        <v>6352</v>
      </c>
      <c r="H9856" s="11">
        <v>42662</v>
      </c>
      <c r="I9856" s="10">
        <v>2016</v>
      </c>
      <c r="J9856" s="10" t="s">
        <v>23635</v>
      </c>
      <c r="K9856" s="10">
        <v>511</v>
      </c>
      <c r="L9856" s="10" t="s">
        <v>44009</v>
      </c>
      <c r="M9856" s="10">
        <v>1</v>
      </c>
      <c r="N9856" s="10"/>
      <c r="O9856" s="10"/>
      <c r="P9856" s="10" t="s">
        <v>44010</v>
      </c>
      <c r="Q9856" s="10">
        <v>428.00709999999901</v>
      </c>
      <c r="R9856" s="10" t="s">
        <v>32752</v>
      </c>
      <c r="S9856" s="10" t="s">
        <v>53</v>
      </c>
      <c r="T9856" s="10" t="s">
        <v>6634</v>
      </c>
    </row>
    <row r="9857" spans="1:20" ht="14.5" x14ac:dyDescent="0.35">
      <c r="A9857" s="10" t="s">
        <v>44011</v>
      </c>
      <c r="B9857" s="10" t="str">
        <f>"9781475821994"</f>
        <v>9781475821994</v>
      </c>
      <c r="C9857" s="10" t="str">
        <f>"9781475822014"</f>
        <v>9781475822014</v>
      </c>
      <c r="D9857" s="10" t="s">
        <v>9752</v>
      </c>
      <c r="E9857" s="10" t="s">
        <v>15187</v>
      </c>
      <c r="F9857" s="10" t="s">
        <v>9754</v>
      </c>
      <c r="G9857" s="10" t="s">
        <v>6317</v>
      </c>
      <c r="H9857" s="11">
        <v>42735</v>
      </c>
      <c r="I9857" s="10">
        <v>2016</v>
      </c>
      <c r="J9857" s="10" t="s">
        <v>15187</v>
      </c>
      <c r="K9857" s="10">
        <v>174</v>
      </c>
      <c r="L9857" s="10" t="s">
        <v>31379</v>
      </c>
      <c r="M9857" s="10">
        <v>2</v>
      </c>
      <c r="N9857" s="10"/>
      <c r="O9857" s="10"/>
      <c r="P9857" s="10"/>
      <c r="Q9857" s="10">
        <v>371.786</v>
      </c>
      <c r="R9857" s="10" t="s">
        <v>44012</v>
      </c>
      <c r="S9857" s="10" t="s">
        <v>53</v>
      </c>
      <c r="T9857" s="10" t="s">
        <v>54</v>
      </c>
    </row>
    <row r="9858" spans="1:20" ht="14.5" x14ac:dyDescent="0.35">
      <c r="A9858" s="10" t="s">
        <v>44013</v>
      </c>
      <c r="B9858" s="10" t="str">
        <f>"9781475830934"</f>
        <v>9781475830934</v>
      </c>
      <c r="C9858" s="10" t="str">
        <f>"9781475830941"</f>
        <v>9781475830941</v>
      </c>
      <c r="D9858" s="10" t="s">
        <v>9752</v>
      </c>
      <c r="E9858" s="10" t="s">
        <v>15187</v>
      </c>
      <c r="F9858" s="10" t="s">
        <v>9754</v>
      </c>
      <c r="G9858" s="10" t="s">
        <v>6317</v>
      </c>
      <c r="H9858" s="11">
        <v>42728</v>
      </c>
      <c r="I9858" s="10">
        <v>2016</v>
      </c>
      <c r="J9858" s="10" t="s">
        <v>15187</v>
      </c>
      <c r="K9858" s="10">
        <v>186</v>
      </c>
      <c r="L9858" s="10" t="s">
        <v>44014</v>
      </c>
      <c r="M9858" s="10">
        <v>1</v>
      </c>
      <c r="N9858" s="10"/>
      <c r="O9858" s="10"/>
      <c r="P9858" s="10" t="s">
        <v>44015</v>
      </c>
      <c r="Q9858" s="10"/>
      <c r="R9858" s="10" t="s">
        <v>25244</v>
      </c>
      <c r="S9858" s="10" t="s">
        <v>53</v>
      </c>
      <c r="T9858" s="10" t="s">
        <v>54</v>
      </c>
    </row>
    <row r="9859" spans="1:20" ht="14.5" x14ac:dyDescent="0.35">
      <c r="A9859" s="10" t="s">
        <v>44016</v>
      </c>
      <c r="B9859" s="10" t="str">
        <f>"9781464809996"</f>
        <v>9781464809996</v>
      </c>
      <c r="C9859" s="10" t="str">
        <f>"9781464810008"</f>
        <v>9781464810008</v>
      </c>
      <c r="D9859" s="10" t="s">
        <v>14731</v>
      </c>
      <c r="E9859" s="10" t="s">
        <v>14732</v>
      </c>
      <c r="F9859" s="10" t="s">
        <v>11765</v>
      </c>
      <c r="G9859" s="10" t="s">
        <v>6317</v>
      </c>
      <c r="H9859" s="11">
        <v>42724</v>
      </c>
      <c r="I9859" s="10">
        <v>2017</v>
      </c>
      <c r="J9859" s="10" t="s">
        <v>14732</v>
      </c>
      <c r="K9859" s="10">
        <v>99</v>
      </c>
      <c r="L9859" s="10" t="s">
        <v>44017</v>
      </c>
      <c r="M9859" s="10">
        <v>1</v>
      </c>
      <c r="N9859" s="10" t="s">
        <v>20668</v>
      </c>
      <c r="O9859" s="10"/>
      <c r="P9859" s="10" t="s">
        <v>44018</v>
      </c>
      <c r="Q9859" s="10">
        <v>305.23099999999903</v>
      </c>
      <c r="R9859" s="10" t="s">
        <v>10397</v>
      </c>
      <c r="S9859" s="10" t="s">
        <v>53</v>
      </c>
      <c r="T9859" s="10" t="s">
        <v>6363</v>
      </c>
    </row>
    <row r="9860" spans="1:20" ht="14.5" x14ac:dyDescent="0.35">
      <c r="A9860" s="10" t="s">
        <v>44019</v>
      </c>
      <c r="B9860" s="10" t="str">
        <f>"9781943874491"</f>
        <v>9781943874491</v>
      </c>
      <c r="C9860" s="10" t="str">
        <f>"9781943874507"</f>
        <v>9781943874507</v>
      </c>
      <c r="D9860" s="10" t="s">
        <v>37580</v>
      </c>
      <c r="E9860" s="10" t="s">
        <v>37581</v>
      </c>
      <c r="F9860" s="10" t="s">
        <v>37623</v>
      </c>
      <c r="G9860" s="10" t="s">
        <v>6317</v>
      </c>
      <c r="H9860" s="11">
        <v>42744</v>
      </c>
      <c r="I9860" s="10">
        <v>2017</v>
      </c>
      <c r="J9860" s="10" t="s">
        <v>37581</v>
      </c>
      <c r="K9860" s="10">
        <v>176</v>
      </c>
      <c r="L9860" s="10" t="s">
        <v>44020</v>
      </c>
      <c r="M9860" s="10">
        <v>1</v>
      </c>
      <c r="N9860" s="10"/>
      <c r="O9860" s="10"/>
      <c r="P9860" s="10"/>
      <c r="Q9860" s="10"/>
      <c r="R9860" s="10" t="s">
        <v>44021</v>
      </c>
      <c r="S9860" s="10" t="s">
        <v>53</v>
      </c>
      <c r="T9860" s="10" t="s">
        <v>54</v>
      </c>
    </row>
    <row r="9861" spans="1:20" ht="14.5" x14ac:dyDescent="0.35">
      <c r="A9861" s="10" t="s">
        <v>44022</v>
      </c>
      <c r="B9861" s="10" t="str">
        <f>"9781771676250"</f>
        <v>9781771676250</v>
      </c>
      <c r="C9861" s="10" t="str">
        <f>"9781771679510"</f>
        <v>9781771679510</v>
      </c>
      <c r="D9861" s="10" t="s">
        <v>29364</v>
      </c>
      <c r="E9861" s="10" t="s">
        <v>31200</v>
      </c>
      <c r="F9861" s="10" t="s">
        <v>1232</v>
      </c>
      <c r="G9861" s="10" t="s">
        <v>6317</v>
      </c>
      <c r="H9861" s="11">
        <v>42704</v>
      </c>
      <c r="I9861" s="10">
        <v>2017</v>
      </c>
      <c r="J9861" s="10" t="s">
        <v>29364</v>
      </c>
      <c r="K9861" s="10">
        <v>56</v>
      </c>
      <c r="L9861" s="10" t="s">
        <v>43908</v>
      </c>
      <c r="M9861" s="10">
        <v>1</v>
      </c>
      <c r="N9861" s="10" t="s">
        <v>42437</v>
      </c>
      <c r="O9861" s="10">
        <v>36</v>
      </c>
      <c r="P9861" s="10" t="s">
        <v>44023</v>
      </c>
      <c r="Q9861" s="10">
        <v>813.54</v>
      </c>
      <c r="R9861" s="10" t="s">
        <v>44024</v>
      </c>
      <c r="S9861" s="10" t="s">
        <v>53</v>
      </c>
      <c r="T9861" s="10" t="s">
        <v>1166</v>
      </c>
    </row>
    <row r="9862" spans="1:20" ht="14.5" x14ac:dyDescent="0.35">
      <c r="A9862" s="10" t="s">
        <v>44025</v>
      </c>
      <c r="B9862" s="10" t="str">
        <f>"9781472921109"</f>
        <v>9781472921109</v>
      </c>
      <c r="C9862" s="10" t="str">
        <f>"9781472921086"</f>
        <v>9781472921086</v>
      </c>
      <c r="D9862" s="10" t="s">
        <v>13959</v>
      </c>
      <c r="E9862" s="10" t="s">
        <v>13960</v>
      </c>
      <c r="F9862" s="10" t="s">
        <v>139</v>
      </c>
      <c r="G9862" s="10" t="s">
        <v>6352</v>
      </c>
      <c r="H9862" s="11">
        <v>42747</v>
      </c>
      <c r="I9862" s="10">
        <v>2017</v>
      </c>
      <c r="J9862" s="10" t="s">
        <v>16948</v>
      </c>
      <c r="K9862" s="10">
        <v>266</v>
      </c>
      <c r="L9862" s="10" t="s">
        <v>44026</v>
      </c>
      <c r="M9862" s="10">
        <v>1</v>
      </c>
      <c r="N9862" s="10" t="s">
        <v>44027</v>
      </c>
      <c r="O9862" s="10"/>
      <c r="P9862" s="10" t="s">
        <v>44028</v>
      </c>
      <c r="Q9862" s="10">
        <v>372.89104409409998</v>
      </c>
      <c r="R9862" s="10" t="s">
        <v>44029</v>
      </c>
      <c r="S9862" s="10" t="s">
        <v>53</v>
      </c>
      <c r="T9862" s="10" t="s">
        <v>28660</v>
      </c>
    </row>
    <row r="9863" spans="1:20" ht="14.5" x14ac:dyDescent="0.35">
      <c r="A9863" s="10" t="s">
        <v>44030</v>
      </c>
      <c r="B9863" s="10" t="str">
        <f>"9781681250021"</f>
        <v>9781681250021</v>
      </c>
      <c r="C9863" s="10" t="str">
        <f>"9781681250625"</f>
        <v>9781681250625</v>
      </c>
      <c r="D9863" s="10" t="s">
        <v>28876</v>
      </c>
      <c r="E9863" s="10" t="s">
        <v>28877</v>
      </c>
      <c r="F9863" s="10" t="s">
        <v>885</v>
      </c>
      <c r="G9863" s="10" t="s">
        <v>6317</v>
      </c>
      <c r="H9863" s="11">
        <v>42370</v>
      </c>
      <c r="I9863" s="10">
        <v>2016</v>
      </c>
      <c r="J9863" s="10" t="s">
        <v>28877</v>
      </c>
      <c r="K9863" s="10">
        <v>175</v>
      </c>
      <c r="L9863" s="10" t="s">
        <v>44031</v>
      </c>
      <c r="M9863" s="10">
        <v>1</v>
      </c>
      <c r="N9863" s="10"/>
      <c r="O9863" s="10"/>
      <c r="P9863" s="10" t="s">
        <v>44032</v>
      </c>
      <c r="Q9863" s="10">
        <v>371.30279999999999</v>
      </c>
      <c r="R9863" s="10" t="s">
        <v>44033</v>
      </c>
      <c r="S9863" s="10" t="s">
        <v>53</v>
      </c>
      <c r="T9863" s="10" t="s">
        <v>54</v>
      </c>
    </row>
    <row r="9864" spans="1:20" ht="14.5" x14ac:dyDescent="0.35">
      <c r="A9864" s="10" t="s">
        <v>44034</v>
      </c>
      <c r="B9864" s="10" t="str">
        <f>"9788024634432"</f>
        <v>9788024634432</v>
      </c>
      <c r="C9864" s="10" t="str">
        <f>"9788024634548"</f>
        <v>9788024634548</v>
      </c>
      <c r="D9864" s="10" t="s">
        <v>30935</v>
      </c>
      <c r="E9864" s="10" t="s">
        <v>40792</v>
      </c>
      <c r="F9864" s="10" t="s">
        <v>1796</v>
      </c>
      <c r="G9864" s="10" t="s">
        <v>30936</v>
      </c>
      <c r="H9864" s="11">
        <v>42583</v>
      </c>
      <c r="I9864" s="10">
        <v>2016</v>
      </c>
      <c r="J9864" s="10" t="s">
        <v>30935</v>
      </c>
      <c r="K9864" s="10">
        <v>132</v>
      </c>
      <c r="L9864" s="10" t="s">
        <v>44035</v>
      </c>
      <c r="M9864" s="10">
        <v>1</v>
      </c>
      <c r="N9864" s="10"/>
      <c r="O9864" s="10"/>
      <c r="P9864" s="10" t="s">
        <v>44036</v>
      </c>
      <c r="Q9864" s="10"/>
      <c r="R9864" s="10" t="s">
        <v>44037</v>
      </c>
      <c r="S9864" s="10" t="s">
        <v>4212</v>
      </c>
      <c r="T9864" s="10" t="s">
        <v>6660</v>
      </c>
    </row>
    <row r="9865" spans="1:20" ht="14.5" x14ac:dyDescent="0.35">
      <c r="A9865" s="10" t="s">
        <v>44038</v>
      </c>
      <c r="B9865" s="10" t="str">
        <f>"9788024634692"</f>
        <v>9788024634692</v>
      </c>
      <c r="C9865" s="10" t="str">
        <f>"9788024634913"</f>
        <v>9788024634913</v>
      </c>
      <c r="D9865" s="10" t="s">
        <v>30935</v>
      </c>
      <c r="E9865" s="10" t="s">
        <v>40792</v>
      </c>
      <c r="F9865" s="10" t="s">
        <v>1796</v>
      </c>
      <c r="G9865" s="10" t="s">
        <v>30936</v>
      </c>
      <c r="H9865" s="11">
        <v>42675</v>
      </c>
      <c r="I9865" s="10">
        <v>2016</v>
      </c>
      <c r="J9865" s="10" t="s">
        <v>30935</v>
      </c>
      <c r="K9865" s="10">
        <v>161</v>
      </c>
      <c r="L9865" s="10" t="s">
        <v>44039</v>
      </c>
      <c r="M9865" s="10">
        <v>1</v>
      </c>
      <c r="N9865" s="10"/>
      <c r="O9865" s="10"/>
      <c r="P9865" s="10" t="s">
        <v>44040</v>
      </c>
      <c r="Q9865" s="10"/>
      <c r="R9865" s="10" t="s">
        <v>44041</v>
      </c>
      <c r="S9865" s="10" t="s">
        <v>4212</v>
      </c>
      <c r="T9865" s="10" t="s">
        <v>6363</v>
      </c>
    </row>
    <row r="9866" spans="1:20" ht="14.5" x14ac:dyDescent="0.35">
      <c r="A9866" s="10" t="s">
        <v>44042</v>
      </c>
      <c r="B9866" s="10" t="str">
        <f>"9780738610870"</f>
        <v>9780738610870</v>
      </c>
      <c r="C9866" s="10" t="str">
        <f>"9780738683980"</f>
        <v>9780738683980</v>
      </c>
      <c r="D9866" s="10" t="s">
        <v>28876</v>
      </c>
      <c r="E9866" s="10" t="s">
        <v>43785</v>
      </c>
      <c r="F9866" s="10" t="s">
        <v>2510</v>
      </c>
      <c r="G9866" s="10" t="s">
        <v>6317</v>
      </c>
      <c r="H9866" s="11">
        <v>42174</v>
      </c>
      <c r="I9866" s="10">
        <v>2013</v>
      </c>
      <c r="J9866" s="10" t="s">
        <v>43785</v>
      </c>
      <c r="K9866" s="10">
        <v>513</v>
      </c>
      <c r="L9866" s="10" t="s">
        <v>44043</v>
      </c>
      <c r="M9866" s="10">
        <v>3</v>
      </c>
      <c r="N9866" s="10" t="s">
        <v>43980</v>
      </c>
      <c r="O9866" s="10"/>
      <c r="P9866" s="10" t="s">
        <v>44044</v>
      </c>
      <c r="Q9866" s="10"/>
      <c r="R9866" s="10" t="s">
        <v>44045</v>
      </c>
      <c r="S9866" s="10" t="s">
        <v>53</v>
      </c>
      <c r="T9866" s="10" t="s">
        <v>54</v>
      </c>
    </row>
    <row r="9867" spans="1:20" ht="14.5" x14ac:dyDescent="0.35">
      <c r="A9867" s="10" t="s">
        <v>44046</v>
      </c>
      <c r="B9867" s="10" t="str">
        <f>"9781787142657"</f>
        <v>9781787142657</v>
      </c>
      <c r="C9867" s="10" t="str">
        <f>"9781787142640"</f>
        <v>9781787142640</v>
      </c>
      <c r="D9867" s="10" t="s">
        <v>8699</v>
      </c>
      <c r="E9867" s="10" t="s">
        <v>8699</v>
      </c>
      <c r="F9867" s="10" t="s">
        <v>559</v>
      </c>
      <c r="G9867" s="10" t="s">
        <v>6352</v>
      </c>
      <c r="H9867" s="11">
        <v>42895</v>
      </c>
      <c r="I9867" s="10">
        <v>2017</v>
      </c>
      <c r="J9867" s="10" t="s">
        <v>8699</v>
      </c>
      <c r="K9867" s="10">
        <v>290</v>
      </c>
      <c r="L9867" s="10" t="s">
        <v>43359</v>
      </c>
      <c r="M9867" s="10">
        <v>1</v>
      </c>
      <c r="N9867" s="10" t="s">
        <v>29541</v>
      </c>
      <c r="O9867" s="10">
        <v>10</v>
      </c>
      <c r="P9867" s="10" t="s">
        <v>26825</v>
      </c>
      <c r="Q9867" s="10"/>
      <c r="R9867" s="10" t="s">
        <v>44047</v>
      </c>
      <c r="S9867" s="10" t="s">
        <v>53</v>
      </c>
      <c r="T9867" s="10" t="s">
        <v>54</v>
      </c>
    </row>
    <row r="9868" spans="1:20" ht="14.5" x14ac:dyDescent="0.35">
      <c r="A9868" s="10" t="s">
        <v>44048</v>
      </c>
      <c r="B9868" s="10" t="str">
        <f>"9781474273640"</f>
        <v>9781474273640</v>
      </c>
      <c r="C9868" s="10" t="str">
        <f>"9781474273657"</f>
        <v>9781474273657</v>
      </c>
      <c r="D9868" s="10" t="s">
        <v>13959</v>
      </c>
      <c r="E9868" s="10" t="s">
        <v>13960</v>
      </c>
      <c r="F9868" s="10" t="s">
        <v>139</v>
      </c>
      <c r="G9868" s="10" t="s">
        <v>6352</v>
      </c>
      <c r="H9868" s="11">
        <v>42747</v>
      </c>
      <c r="I9868" s="10">
        <v>2017</v>
      </c>
      <c r="J9868" s="10" t="s">
        <v>14057</v>
      </c>
      <c r="K9868" s="10">
        <v>301</v>
      </c>
      <c r="L9868" s="10" t="s">
        <v>44049</v>
      </c>
      <c r="M9868" s="10">
        <v>1</v>
      </c>
      <c r="N9868" s="10"/>
      <c r="O9868" s="10"/>
      <c r="P9868" s="10" t="s">
        <v>44050</v>
      </c>
      <c r="Q9868" s="10">
        <v>374</v>
      </c>
      <c r="R9868" s="10" t="s">
        <v>44051</v>
      </c>
      <c r="S9868" s="10" t="s">
        <v>53</v>
      </c>
      <c r="T9868" s="10" t="s">
        <v>54</v>
      </c>
    </row>
    <row r="9869" spans="1:20" ht="14.5" x14ac:dyDescent="0.35">
      <c r="A9869" s="10" t="s">
        <v>44052</v>
      </c>
      <c r="B9869" s="10" t="str">
        <f>"9781911106388"</f>
        <v>9781911106388</v>
      </c>
      <c r="C9869" s="10" t="str">
        <f>"9781911106418"</f>
        <v>9781911106418</v>
      </c>
      <c r="D9869" s="10" t="s">
        <v>9533</v>
      </c>
      <c r="E9869" s="10" t="s">
        <v>26840</v>
      </c>
      <c r="F9869" s="10" t="s">
        <v>44053</v>
      </c>
      <c r="G9869" s="10" t="s">
        <v>6352</v>
      </c>
      <c r="H9869" s="11">
        <v>42711</v>
      </c>
      <c r="I9869" s="10">
        <v>2016</v>
      </c>
      <c r="J9869" s="10" t="s">
        <v>26840</v>
      </c>
      <c r="K9869" s="10">
        <v>90</v>
      </c>
      <c r="L9869" s="10" t="s">
        <v>44054</v>
      </c>
      <c r="M9869" s="10">
        <v>1</v>
      </c>
      <c r="N9869" s="10"/>
      <c r="O9869" s="10"/>
      <c r="P9869" s="10" t="s">
        <v>44055</v>
      </c>
      <c r="Q9869" s="10">
        <v>371.33</v>
      </c>
      <c r="R9869" s="10" t="s">
        <v>15587</v>
      </c>
      <c r="S9869" s="10" t="s">
        <v>53</v>
      </c>
      <c r="T9869" s="10" t="s">
        <v>54</v>
      </c>
    </row>
    <row r="9870" spans="1:20" ht="14.5" x14ac:dyDescent="0.35">
      <c r="A9870" s="10" t="s">
        <v>44056</v>
      </c>
      <c r="B9870" s="10" t="str">
        <f>"9781475820485"</f>
        <v>9781475820485</v>
      </c>
      <c r="C9870" s="10" t="str">
        <f>"9781475820492"</f>
        <v>9781475820492</v>
      </c>
      <c r="D9870" s="10" t="s">
        <v>9752</v>
      </c>
      <c r="E9870" s="10" t="s">
        <v>15187</v>
      </c>
      <c r="F9870" s="10" t="s">
        <v>9754</v>
      </c>
      <c r="G9870" s="10" t="s">
        <v>6317</v>
      </c>
      <c r="H9870" s="11">
        <v>42655</v>
      </c>
      <c r="I9870" s="10">
        <v>2016</v>
      </c>
      <c r="J9870" s="10" t="s">
        <v>15187</v>
      </c>
      <c r="K9870" s="10">
        <v>175</v>
      </c>
      <c r="L9870" s="10" t="s">
        <v>44057</v>
      </c>
      <c r="M9870" s="10">
        <v>1</v>
      </c>
      <c r="N9870" s="10"/>
      <c r="O9870" s="10"/>
      <c r="P9870" s="10" t="s">
        <v>44058</v>
      </c>
      <c r="Q9870" s="10">
        <v>371.71300000000002</v>
      </c>
      <c r="R9870" s="10" t="s">
        <v>41435</v>
      </c>
      <c r="S9870" s="10" t="s">
        <v>53</v>
      </c>
      <c r="T9870" s="10" t="s">
        <v>54</v>
      </c>
    </row>
    <row r="9871" spans="1:20" ht="14.5" x14ac:dyDescent="0.35">
      <c r="A9871" s="10" t="s">
        <v>44059</v>
      </c>
      <c r="B9871" s="10" t="str">
        <f>"9781475830361"</f>
        <v>9781475830361</v>
      </c>
      <c r="C9871" s="10" t="str">
        <f>"9781475830378"</f>
        <v>9781475830378</v>
      </c>
      <c r="D9871" s="10" t="s">
        <v>9752</v>
      </c>
      <c r="E9871" s="10" t="s">
        <v>15187</v>
      </c>
      <c r="F9871" s="10" t="s">
        <v>9754</v>
      </c>
      <c r="G9871" s="10" t="s">
        <v>6317</v>
      </c>
      <c r="H9871" s="11">
        <v>42705</v>
      </c>
      <c r="I9871" s="10">
        <v>2016</v>
      </c>
      <c r="J9871" s="10" t="s">
        <v>15187</v>
      </c>
      <c r="K9871" s="10">
        <v>101</v>
      </c>
      <c r="L9871" s="10" t="s">
        <v>40930</v>
      </c>
      <c r="M9871" s="10">
        <v>1</v>
      </c>
      <c r="N9871" s="10" t="s">
        <v>40931</v>
      </c>
      <c r="O9871" s="10"/>
      <c r="P9871" s="10" t="s">
        <v>44060</v>
      </c>
      <c r="Q9871" s="10">
        <v>371.12076000000002</v>
      </c>
      <c r="R9871" s="10" t="s">
        <v>44061</v>
      </c>
      <c r="S9871" s="10" t="s">
        <v>53</v>
      </c>
      <c r="T9871" s="10" t="s">
        <v>54</v>
      </c>
    </row>
    <row r="9872" spans="1:20" ht="14.5" x14ac:dyDescent="0.35">
      <c r="A9872" s="10" t="s">
        <v>44062</v>
      </c>
      <c r="B9872" s="10" t="str">
        <f>"9781475815405"</f>
        <v>9781475815405</v>
      </c>
      <c r="C9872" s="10" t="str">
        <f>"9781475815429"</f>
        <v>9781475815429</v>
      </c>
      <c r="D9872" s="10" t="s">
        <v>9752</v>
      </c>
      <c r="E9872" s="10" t="s">
        <v>15187</v>
      </c>
      <c r="F9872" s="10" t="s">
        <v>9754</v>
      </c>
      <c r="G9872" s="10" t="s">
        <v>6317</v>
      </c>
      <c r="H9872" s="11">
        <v>42723</v>
      </c>
      <c r="I9872" s="10">
        <v>2016</v>
      </c>
      <c r="J9872" s="10" t="s">
        <v>15187</v>
      </c>
      <c r="K9872" s="10">
        <v>139</v>
      </c>
      <c r="L9872" s="10" t="s">
        <v>29807</v>
      </c>
      <c r="M9872" s="10">
        <v>1</v>
      </c>
      <c r="N9872" s="10"/>
      <c r="O9872" s="10"/>
      <c r="P9872" s="10" t="s">
        <v>44063</v>
      </c>
      <c r="Q9872" s="10">
        <v>370.15</v>
      </c>
      <c r="R9872" s="10" t="s">
        <v>44064</v>
      </c>
      <c r="S9872" s="10" t="s">
        <v>53</v>
      </c>
      <c r="T9872" s="10" t="s">
        <v>54</v>
      </c>
    </row>
    <row r="9873" spans="1:20" ht="14.5" x14ac:dyDescent="0.35">
      <c r="A9873" s="10" t="s">
        <v>44065</v>
      </c>
      <c r="B9873" s="10" t="str">
        <f>"9781475833126"</f>
        <v>9781475833126</v>
      </c>
      <c r="C9873" s="10" t="str">
        <f>"9781475833133"</f>
        <v>9781475833133</v>
      </c>
      <c r="D9873" s="10" t="s">
        <v>9752</v>
      </c>
      <c r="E9873" s="10" t="s">
        <v>15187</v>
      </c>
      <c r="F9873" s="10" t="s">
        <v>9754</v>
      </c>
      <c r="G9873" s="10" t="s">
        <v>6317</v>
      </c>
      <c r="H9873" s="11">
        <v>42711</v>
      </c>
      <c r="I9873" s="10">
        <v>2016</v>
      </c>
      <c r="J9873" s="10" t="s">
        <v>15187</v>
      </c>
      <c r="K9873" s="10">
        <v>91</v>
      </c>
      <c r="L9873" s="10" t="s">
        <v>43255</v>
      </c>
      <c r="M9873" s="10">
        <v>1</v>
      </c>
      <c r="N9873" s="10" t="s">
        <v>43256</v>
      </c>
      <c r="O9873" s="10"/>
      <c r="P9873" s="10" t="s">
        <v>44066</v>
      </c>
      <c r="Q9873" s="10">
        <v>649.1</v>
      </c>
      <c r="R9873" s="10" t="s">
        <v>16655</v>
      </c>
      <c r="S9873" s="10" t="s">
        <v>53</v>
      </c>
      <c r="T9873" s="10" t="s">
        <v>9843</v>
      </c>
    </row>
    <row r="9874" spans="1:20" ht="14.5" x14ac:dyDescent="0.35">
      <c r="A9874" s="10" t="s">
        <v>44067</v>
      </c>
      <c r="B9874" s="10" t="str">
        <f>"9781475829891"</f>
        <v>9781475829891</v>
      </c>
      <c r="C9874" s="10" t="str">
        <f>"9781475829914"</f>
        <v>9781475829914</v>
      </c>
      <c r="D9874" s="10" t="s">
        <v>9752</v>
      </c>
      <c r="E9874" s="10" t="s">
        <v>15187</v>
      </c>
      <c r="F9874" s="10" t="s">
        <v>9754</v>
      </c>
      <c r="G9874" s="10" t="s">
        <v>6317</v>
      </c>
      <c r="H9874" s="11">
        <v>42720</v>
      </c>
      <c r="I9874" s="10">
        <v>2016</v>
      </c>
      <c r="J9874" s="10" t="s">
        <v>15187</v>
      </c>
      <c r="K9874" s="10">
        <v>155</v>
      </c>
      <c r="L9874" s="10" t="s">
        <v>25982</v>
      </c>
      <c r="M9874" s="10">
        <v>1</v>
      </c>
      <c r="N9874" s="10"/>
      <c r="O9874" s="10"/>
      <c r="P9874" s="10" t="s">
        <v>44068</v>
      </c>
      <c r="Q9874" s="10"/>
      <c r="R9874" s="10" t="s">
        <v>17587</v>
      </c>
      <c r="S9874" s="10" t="s">
        <v>53</v>
      </c>
      <c r="T9874" s="10" t="s">
        <v>54</v>
      </c>
    </row>
    <row r="9875" spans="1:20" ht="14.5" x14ac:dyDescent="0.35">
      <c r="A9875" s="10" t="s">
        <v>44069</v>
      </c>
      <c r="B9875" s="10" t="str">
        <f>"9781785921988"</f>
        <v>9781785921988</v>
      </c>
      <c r="C9875" s="10" t="str">
        <f>"9781784504724"</f>
        <v>9781784504724</v>
      </c>
      <c r="D9875" s="10" t="s">
        <v>10516</v>
      </c>
      <c r="E9875" s="10" t="s">
        <v>10516</v>
      </c>
      <c r="F9875" s="10" t="s">
        <v>139</v>
      </c>
      <c r="G9875" s="10" t="s">
        <v>6352</v>
      </c>
      <c r="H9875" s="11">
        <v>42787</v>
      </c>
      <c r="I9875" s="10">
        <v>2017</v>
      </c>
      <c r="J9875" s="10" t="s">
        <v>10516</v>
      </c>
      <c r="K9875" s="10">
        <v>218</v>
      </c>
      <c r="L9875" s="10" t="s">
        <v>44070</v>
      </c>
      <c r="M9875" s="10">
        <v>1</v>
      </c>
      <c r="N9875" s="10"/>
      <c r="O9875" s="10"/>
      <c r="P9875" s="10" t="s">
        <v>44071</v>
      </c>
      <c r="Q9875" s="10">
        <v>158.10874000000001</v>
      </c>
      <c r="R9875" s="10"/>
      <c r="S9875" s="10" t="s">
        <v>53</v>
      </c>
      <c r="T9875" s="10" t="s">
        <v>8510</v>
      </c>
    </row>
    <row r="9876" spans="1:20" ht="14.5" x14ac:dyDescent="0.35">
      <c r="A9876" s="10" t="s">
        <v>44072</v>
      </c>
      <c r="B9876" s="10" t="str">
        <f>"9781785920653"</f>
        <v>9781785920653</v>
      </c>
      <c r="C9876" s="10" t="str">
        <f>"9781784503277"</f>
        <v>9781784503277</v>
      </c>
      <c r="D9876" s="10" t="s">
        <v>10516</v>
      </c>
      <c r="E9876" s="10" t="s">
        <v>10516</v>
      </c>
      <c r="F9876" s="10" t="s">
        <v>139</v>
      </c>
      <c r="G9876" s="10" t="s">
        <v>6352</v>
      </c>
      <c r="H9876" s="11">
        <v>42787</v>
      </c>
      <c r="I9876" s="10">
        <v>2017</v>
      </c>
      <c r="J9876" s="10" t="s">
        <v>10516</v>
      </c>
      <c r="K9876" s="10">
        <v>210</v>
      </c>
      <c r="L9876" s="10" t="s">
        <v>16596</v>
      </c>
      <c r="M9876" s="10">
        <v>1</v>
      </c>
      <c r="N9876" s="10"/>
      <c r="O9876" s="10"/>
      <c r="P9876" s="10" t="s">
        <v>44073</v>
      </c>
      <c r="Q9876" s="10">
        <v>371.91447209410001</v>
      </c>
      <c r="R9876" s="10"/>
      <c r="S9876" s="10" t="s">
        <v>53</v>
      </c>
      <c r="T9876" s="10" t="s">
        <v>54</v>
      </c>
    </row>
    <row r="9877" spans="1:20" ht="14.5" x14ac:dyDescent="0.35">
      <c r="A9877" s="10" t="s">
        <v>44074</v>
      </c>
      <c r="B9877" s="10" t="str">
        <f>"9781943874255"</f>
        <v>9781943874255</v>
      </c>
      <c r="C9877" s="10" t="str">
        <f>"9781943874262"</f>
        <v>9781943874262</v>
      </c>
      <c r="D9877" s="10" t="s">
        <v>37580</v>
      </c>
      <c r="E9877" s="10" t="s">
        <v>37581</v>
      </c>
      <c r="F9877" s="10" t="s">
        <v>37623</v>
      </c>
      <c r="G9877" s="10" t="s">
        <v>6317</v>
      </c>
      <c r="H9877" s="11">
        <v>42744</v>
      </c>
      <c r="I9877" s="10">
        <v>2017</v>
      </c>
      <c r="J9877" s="10" t="s">
        <v>37581</v>
      </c>
      <c r="K9877" s="10">
        <v>104</v>
      </c>
      <c r="L9877" s="10" t="s">
        <v>44075</v>
      </c>
      <c r="M9877" s="10">
        <v>1</v>
      </c>
      <c r="N9877" s="10"/>
      <c r="O9877" s="10"/>
      <c r="P9877" s="10" t="s">
        <v>44076</v>
      </c>
      <c r="Q9877" s="10"/>
      <c r="R9877" s="10" t="s">
        <v>44077</v>
      </c>
      <c r="S9877" s="10" t="s">
        <v>53</v>
      </c>
      <c r="T9877" s="10" t="s">
        <v>54</v>
      </c>
    </row>
    <row r="9878" spans="1:20" ht="14.5" x14ac:dyDescent="0.35">
      <c r="A9878" s="10" t="s">
        <v>44078</v>
      </c>
      <c r="B9878" s="10" t="str">
        <f>"9781137595317"</f>
        <v>9781137595317</v>
      </c>
      <c r="C9878" s="10" t="str">
        <f>"9781137595324"</f>
        <v>9781137595324</v>
      </c>
      <c r="D9878" s="10" t="s">
        <v>11249</v>
      </c>
      <c r="E9878" s="10" t="s">
        <v>2400</v>
      </c>
      <c r="F9878" s="10" t="s">
        <v>70</v>
      </c>
      <c r="G9878" s="10" t="s">
        <v>6317</v>
      </c>
      <c r="H9878" s="11">
        <v>42733</v>
      </c>
      <c r="I9878" s="10">
        <v>2017</v>
      </c>
      <c r="J9878" s="10" t="s">
        <v>2400</v>
      </c>
      <c r="K9878" s="10">
        <v>170</v>
      </c>
      <c r="L9878" s="10" t="s">
        <v>44079</v>
      </c>
      <c r="M9878" s="10">
        <v>1</v>
      </c>
      <c r="N9878" s="10"/>
      <c r="O9878" s="10"/>
      <c r="P9878" s="10" t="s">
        <v>11251</v>
      </c>
      <c r="Q9878" s="10">
        <v>371.82997999999998</v>
      </c>
      <c r="R9878" s="10" t="s">
        <v>6938</v>
      </c>
      <c r="S9878" s="10" t="s">
        <v>53</v>
      </c>
      <c r="T9878" s="10" t="s">
        <v>54</v>
      </c>
    </row>
    <row r="9879" spans="1:20" ht="14.5" x14ac:dyDescent="0.35">
      <c r="A9879" s="10" t="s">
        <v>44080</v>
      </c>
      <c r="B9879" s="10" t="str">
        <f>"9781119136118"</f>
        <v>9781119136118</v>
      </c>
      <c r="C9879" s="10" t="str">
        <f>"9781119262633"</f>
        <v>9781119262633</v>
      </c>
      <c r="D9879" s="10" t="s">
        <v>6322</v>
      </c>
      <c r="E9879" s="10" t="s">
        <v>6323</v>
      </c>
      <c r="F9879" s="10" t="s">
        <v>4423</v>
      </c>
      <c r="G9879" s="10" t="s">
        <v>6317</v>
      </c>
      <c r="H9879" s="11">
        <v>42759</v>
      </c>
      <c r="I9879" s="10">
        <v>2017</v>
      </c>
      <c r="J9879" s="10" t="s">
        <v>6323</v>
      </c>
      <c r="K9879" s="10">
        <v>267</v>
      </c>
      <c r="L9879" s="10" t="s">
        <v>44081</v>
      </c>
      <c r="M9879" s="10">
        <v>1</v>
      </c>
      <c r="N9879" s="10"/>
      <c r="O9879" s="10"/>
      <c r="P9879" s="10" t="s">
        <v>44082</v>
      </c>
      <c r="Q9879" s="10">
        <v>371.10199999999998</v>
      </c>
      <c r="R9879" s="10" t="s">
        <v>44083</v>
      </c>
      <c r="S9879" s="10" t="s">
        <v>53</v>
      </c>
      <c r="T9879" s="10" t="s">
        <v>54</v>
      </c>
    </row>
    <row r="9880" spans="1:20" ht="14.5" x14ac:dyDescent="0.35">
      <c r="A9880" s="10" t="s">
        <v>44084</v>
      </c>
      <c r="B9880" s="10" t="str">
        <f>"9781119349969"</f>
        <v>9781119349969</v>
      </c>
      <c r="C9880" s="10" t="str">
        <f>"9781119351658"</f>
        <v>9781119351658</v>
      </c>
      <c r="D9880" s="10" t="s">
        <v>6322</v>
      </c>
      <c r="E9880" s="10" t="s">
        <v>6323</v>
      </c>
      <c r="F9880" s="10" t="s">
        <v>4423</v>
      </c>
      <c r="G9880" s="10" t="s">
        <v>6317</v>
      </c>
      <c r="H9880" s="11">
        <v>42759</v>
      </c>
      <c r="I9880" s="10">
        <v>2017</v>
      </c>
      <c r="J9880" s="10" t="s">
        <v>6324</v>
      </c>
      <c r="K9880" s="10">
        <v>112</v>
      </c>
      <c r="L9880" s="10" t="s">
        <v>17519</v>
      </c>
      <c r="M9880" s="10">
        <v>1</v>
      </c>
      <c r="N9880" s="10"/>
      <c r="O9880" s="10"/>
      <c r="P9880" s="10" t="s">
        <v>44085</v>
      </c>
      <c r="Q9880" s="10">
        <v>378.12</v>
      </c>
      <c r="R9880" s="10" t="s">
        <v>44086</v>
      </c>
      <c r="S9880" s="10" t="s">
        <v>53</v>
      </c>
      <c r="T9880" s="10" t="s">
        <v>54</v>
      </c>
    </row>
    <row r="9881" spans="1:20" ht="14.5" x14ac:dyDescent="0.35">
      <c r="A9881" s="10" t="s">
        <v>44087</v>
      </c>
      <c r="B9881" s="10" t="str">
        <f>"9781475833157"</f>
        <v>9781475833157</v>
      </c>
      <c r="C9881" s="10" t="str">
        <f>"9781475833164"</f>
        <v>9781475833164</v>
      </c>
      <c r="D9881" s="10" t="s">
        <v>9752</v>
      </c>
      <c r="E9881" s="10" t="s">
        <v>15187</v>
      </c>
      <c r="F9881" s="10" t="s">
        <v>9754</v>
      </c>
      <c r="G9881" s="10" t="s">
        <v>6317</v>
      </c>
      <c r="H9881" s="11">
        <v>42719</v>
      </c>
      <c r="I9881" s="10">
        <v>2016</v>
      </c>
      <c r="J9881" s="10" t="s">
        <v>15187</v>
      </c>
      <c r="K9881" s="10">
        <v>97</v>
      </c>
      <c r="L9881" s="10" t="s">
        <v>44088</v>
      </c>
      <c r="M9881" s="10">
        <v>1</v>
      </c>
      <c r="N9881" s="10"/>
      <c r="O9881" s="10"/>
      <c r="P9881" s="10" t="s">
        <v>44089</v>
      </c>
      <c r="Q9881" s="10">
        <v>371.93</v>
      </c>
      <c r="R9881" s="10" t="s">
        <v>12590</v>
      </c>
      <c r="S9881" s="10" t="s">
        <v>53</v>
      </c>
      <c r="T9881" s="10" t="s">
        <v>54</v>
      </c>
    </row>
    <row r="9882" spans="1:20" ht="14.5" x14ac:dyDescent="0.35">
      <c r="A9882" s="10" t="s">
        <v>44090</v>
      </c>
      <c r="B9882" s="10" t="str">
        <f>"9788024630762"</f>
        <v>9788024630762</v>
      </c>
      <c r="C9882" s="10" t="str">
        <f>"9788024631042"</f>
        <v>9788024631042</v>
      </c>
      <c r="D9882" s="10" t="s">
        <v>30935</v>
      </c>
      <c r="E9882" s="10" t="s">
        <v>40792</v>
      </c>
      <c r="F9882" s="10" t="s">
        <v>1796</v>
      </c>
      <c r="G9882" s="10" t="s">
        <v>30936</v>
      </c>
      <c r="H9882" s="11">
        <v>42401</v>
      </c>
      <c r="I9882" s="10">
        <v>2016</v>
      </c>
      <c r="J9882" s="10" t="s">
        <v>30935</v>
      </c>
      <c r="K9882" s="10">
        <v>199</v>
      </c>
      <c r="L9882" s="10" t="s">
        <v>44091</v>
      </c>
      <c r="M9882" s="10">
        <v>1</v>
      </c>
      <c r="N9882" s="10"/>
      <c r="O9882" s="10"/>
      <c r="P9882" s="10" t="s">
        <v>44092</v>
      </c>
      <c r="Q9882" s="10">
        <v>550.72</v>
      </c>
      <c r="R9882" s="10" t="s">
        <v>44093</v>
      </c>
      <c r="S9882" s="10" t="s">
        <v>4212</v>
      </c>
      <c r="T9882" s="10" t="s">
        <v>9602</v>
      </c>
    </row>
    <row r="9883" spans="1:20" ht="14.5" x14ac:dyDescent="0.35">
      <c r="A9883" s="10" t="s">
        <v>44094</v>
      </c>
      <c r="B9883" s="10" t="str">
        <f>""</f>
        <v/>
      </c>
      <c r="C9883" s="10" t="str">
        <f>"9787301253519"</f>
        <v>9787301253519</v>
      </c>
      <c r="D9883" s="10" t="s">
        <v>42728</v>
      </c>
      <c r="E9883" s="10" t="s">
        <v>42729</v>
      </c>
      <c r="F9883" s="10" t="s">
        <v>42730</v>
      </c>
      <c r="G9883" s="10" t="s">
        <v>37425</v>
      </c>
      <c r="H9883" s="11">
        <v>42005</v>
      </c>
      <c r="I9883" s="10">
        <v>2015</v>
      </c>
      <c r="J9883" s="10" t="s">
        <v>42729</v>
      </c>
      <c r="K9883" s="10">
        <v>233</v>
      </c>
      <c r="L9883" s="10" t="s">
        <v>44095</v>
      </c>
      <c r="M9883" s="10">
        <v>1</v>
      </c>
      <c r="N9883" s="10"/>
      <c r="O9883" s="10"/>
      <c r="P9883" s="10"/>
      <c r="Q9883" s="10"/>
      <c r="R9883" s="10"/>
      <c r="S9883" s="10" t="s">
        <v>876</v>
      </c>
      <c r="T9883" s="10"/>
    </row>
    <row r="9884" spans="1:20" ht="14.5" x14ac:dyDescent="0.35">
      <c r="A9884" s="10" t="s">
        <v>44096</v>
      </c>
      <c r="B9884" s="10" t="str">
        <f>""</f>
        <v/>
      </c>
      <c r="C9884" s="10" t="str">
        <f>"9787301254073"</f>
        <v>9787301254073</v>
      </c>
      <c r="D9884" s="10" t="s">
        <v>42728</v>
      </c>
      <c r="E9884" s="10" t="s">
        <v>42729</v>
      </c>
      <c r="F9884" s="10" t="s">
        <v>42730</v>
      </c>
      <c r="G9884" s="10" t="s">
        <v>37425</v>
      </c>
      <c r="H9884" s="11">
        <v>42064</v>
      </c>
      <c r="I9884" s="10">
        <v>2015</v>
      </c>
      <c r="J9884" s="10" t="s">
        <v>42729</v>
      </c>
      <c r="K9884" s="10">
        <v>280</v>
      </c>
      <c r="L9884" s="10" t="s">
        <v>44097</v>
      </c>
      <c r="M9884" s="10">
        <v>1</v>
      </c>
      <c r="N9884" s="10"/>
      <c r="O9884" s="10"/>
      <c r="P9884" s="10"/>
      <c r="Q9884" s="10"/>
      <c r="R9884" s="10"/>
      <c r="S9884" s="10" t="s">
        <v>876</v>
      </c>
      <c r="T9884" s="10"/>
    </row>
    <row r="9885" spans="1:20" ht="14.5" x14ac:dyDescent="0.35">
      <c r="A9885" s="10" t="s">
        <v>44098</v>
      </c>
      <c r="B9885" s="10" t="str">
        <f>""</f>
        <v/>
      </c>
      <c r="C9885" s="10" t="str">
        <f>"9787301254240"</f>
        <v>9787301254240</v>
      </c>
      <c r="D9885" s="10" t="s">
        <v>42728</v>
      </c>
      <c r="E9885" s="10" t="s">
        <v>42729</v>
      </c>
      <c r="F9885" s="10" t="s">
        <v>42730</v>
      </c>
      <c r="G9885" s="10" t="s">
        <v>37425</v>
      </c>
      <c r="H9885" s="11">
        <v>42064</v>
      </c>
      <c r="I9885" s="10">
        <v>2015</v>
      </c>
      <c r="J9885" s="10" t="s">
        <v>42729</v>
      </c>
      <c r="K9885" s="10">
        <v>289</v>
      </c>
      <c r="L9885" s="10" t="s">
        <v>44099</v>
      </c>
      <c r="M9885" s="10">
        <v>1</v>
      </c>
      <c r="N9885" s="10"/>
      <c r="O9885" s="10"/>
      <c r="P9885" s="10"/>
      <c r="Q9885" s="10"/>
      <c r="R9885" s="10"/>
      <c r="S9885" s="10" t="s">
        <v>876</v>
      </c>
      <c r="T9885" s="10"/>
    </row>
    <row r="9886" spans="1:20" ht="14.5" x14ac:dyDescent="0.35">
      <c r="A9886" s="10" t="s">
        <v>44100</v>
      </c>
      <c r="B9886" s="10" t="str">
        <f>""</f>
        <v/>
      </c>
      <c r="C9886" s="10" t="str">
        <f>"9787301256794"</f>
        <v>9787301256794</v>
      </c>
      <c r="D9886" s="10" t="s">
        <v>42728</v>
      </c>
      <c r="E9886" s="10" t="s">
        <v>42729</v>
      </c>
      <c r="F9886" s="10" t="s">
        <v>42730</v>
      </c>
      <c r="G9886" s="10" t="s">
        <v>37425</v>
      </c>
      <c r="H9886" s="11">
        <v>42064</v>
      </c>
      <c r="I9886" s="10">
        <v>2015</v>
      </c>
      <c r="J9886" s="10" t="s">
        <v>42729</v>
      </c>
      <c r="K9886" s="10">
        <v>284</v>
      </c>
      <c r="L9886" s="10" t="s">
        <v>44101</v>
      </c>
      <c r="M9886" s="10">
        <v>1</v>
      </c>
      <c r="N9886" s="10"/>
      <c r="O9886" s="10"/>
      <c r="P9886" s="10"/>
      <c r="Q9886" s="10"/>
      <c r="R9886" s="10"/>
      <c r="S9886" s="10" t="s">
        <v>876</v>
      </c>
      <c r="T9886" s="10"/>
    </row>
    <row r="9887" spans="1:20" ht="14.5" x14ac:dyDescent="0.35">
      <c r="A9887" s="10" t="s">
        <v>44102</v>
      </c>
      <c r="B9887" s="10" t="str">
        <f>""</f>
        <v/>
      </c>
      <c r="C9887" s="10" t="str">
        <f>"9787301258415"</f>
        <v>9787301258415</v>
      </c>
      <c r="D9887" s="10" t="s">
        <v>42728</v>
      </c>
      <c r="E9887" s="10" t="s">
        <v>42729</v>
      </c>
      <c r="F9887" s="10" t="s">
        <v>42730</v>
      </c>
      <c r="G9887" s="10" t="s">
        <v>37425</v>
      </c>
      <c r="H9887" s="11">
        <v>42156</v>
      </c>
      <c r="I9887" s="10">
        <v>2015</v>
      </c>
      <c r="J9887" s="10" t="s">
        <v>42729</v>
      </c>
      <c r="K9887" s="10">
        <v>356</v>
      </c>
      <c r="L9887" s="10" t="s">
        <v>44103</v>
      </c>
      <c r="M9887" s="10">
        <v>1</v>
      </c>
      <c r="N9887" s="10"/>
      <c r="O9887" s="10"/>
      <c r="P9887" s="10"/>
      <c r="Q9887" s="10"/>
      <c r="R9887" s="10"/>
      <c r="S9887" s="10" t="s">
        <v>876</v>
      </c>
      <c r="T9887" s="10"/>
    </row>
    <row r="9888" spans="1:20" ht="14.5" x14ac:dyDescent="0.35">
      <c r="A9888" s="10" t="s">
        <v>44104</v>
      </c>
      <c r="B9888" s="10" t="str">
        <f>""</f>
        <v/>
      </c>
      <c r="C9888" s="10" t="str">
        <f>"9787301259481"</f>
        <v>9787301259481</v>
      </c>
      <c r="D9888" s="10" t="s">
        <v>42728</v>
      </c>
      <c r="E9888" s="10" t="s">
        <v>42729</v>
      </c>
      <c r="F9888" s="10" t="s">
        <v>42730</v>
      </c>
      <c r="G9888" s="10" t="s">
        <v>37425</v>
      </c>
      <c r="H9888" s="11">
        <v>42156</v>
      </c>
      <c r="I9888" s="10">
        <v>2015</v>
      </c>
      <c r="J9888" s="10" t="s">
        <v>42729</v>
      </c>
      <c r="K9888" s="10">
        <v>282</v>
      </c>
      <c r="L9888" s="10" t="s">
        <v>44105</v>
      </c>
      <c r="M9888" s="10">
        <v>1</v>
      </c>
      <c r="N9888" s="10"/>
      <c r="O9888" s="10"/>
      <c r="P9888" s="10"/>
      <c r="Q9888" s="10"/>
      <c r="R9888" s="10"/>
      <c r="S9888" s="10" t="s">
        <v>876</v>
      </c>
      <c r="T9888" s="10"/>
    </row>
    <row r="9889" spans="1:20" ht="14.5" x14ac:dyDescent="0.35">
      <c r="A9889" s="10" t="s">
        <v>44106</v>
      </c>
      <c r="B9889" s="10" t="str">
        <f>""</f>
        <v/>
      </c>
      <c r="C9889" s="10" t="str">
        <f>"9787301259757"</f>
        <v>9787301259757</v>
      </c>
      <c r="D9889" s="10" t="s">
        <v>42728</v>
      </c>
      <c r="E9889" s="10" t="s">
        <v>42729</v>
      </c>
      <c r="F9889" s="10" t="s">
        <v>42730</v>
      </c>
      <c r="G9889" s="10" t="s">
        <v>37425</v>
      </c>
      <c r="H9889" s="11">
        <v>42278</v>
      </c>
      <c r="I9889" s="10">
        <v>2015</v>
      </c>
      <c r="J9889" s="10" t="s">
        <v>42729</v>
      </c>
      <c r="K9889" s="10">
        <v>271</v>
      </c>
      <c r="L9889" s="10" t="s">
        <v>44107</v>
      </c>
      <c r="M9889" s="10">
        <v>1</v>
      </c>
      <c r="N9889" s="10"/>
      <c r="O9889" s="10"/>
      <c r="P9889" s="10"/>
      <c r="Q9889" s="10"/>
      <c r="R9889" s="10"/>
      <c r="S9889" s="10" t="s">
        <v>876</v>
      </c>
      <c r="T9889" s="10"/>
    </row>
    <row r="9890" spans="1:20" ht="14.5" x14ac:dyDescent="0.35">
      <c r="A9890" s="10" t="s">
        <v>44108</v>
      </c>
      <c r="B9890" s="10" t="str">
        <f>""</f>
        <v/>
      </c>
      <c r="C9890" s="10" t="str">
        <f>"9787301261156"</f>
        <v>9787301261156</v>
      </c>
      <c r="D9890" s="10" t="s">
        <v>42728</v>
      </c>
      <c r="E9890" s="10" t="s">
        <v>42729</v>
      </c>
      <c r="F9890" s="10" t="s">
        <v>42730</v>
      </c>
      <c r="G9890" s="10" t="s">
        <v>37425</v>
      </c>
      <c r="H9890" s="11">
        <v>42217</v>
      </c>
      <c r="I9890" s="10">
        <v>2015</v>
      </c>
      <c r="J9890" s="10" t="s">
        <v>42729</v>
      </c>
      <c r="K9890" s="10">
        <v>261</v>
      </c>
      <c r="L9890" s="10" t="s">
        <v>44109</v>
      </c>
      <c r="M9890" s="10">
        <v>1</v>
      </c>
      <c r="N9890" s="10"/>
      <c r="O9890" s="10"/>
      <c r="P9890" s="10"/>
      <c r="Q9890" s="10"/>
      <c r="R9890" s="10"/>
      <c r="S9890" s="10" t="s">
        <v>876</v>
      </c>
      <c r="T9890" s="10"/>
    </row>
    <row r="9891" spans="1:20" ht="14.5" x14ac:dyDescent="0.35">
      <c r="A9891" s="10" t="s">
        <v>44110</v>
      </c>
      <c r="B9891" s="10" t="str">
        <f>""</f>
        <v/>
      </c>
      <c r="C9891" s="10" t="str">
        <f>"9787301263372"</f>
        <v>9787301263372</v>
      </c>
      <c r="D9891" s="10" t="s">
        <v>42728</v>
      </c>
      <c r="E9891" s="10" t="s">
        <v>42729</v>
      </c>
      <c r="F9891" s="10" t="s">
        <v>42730</v>
      </c>
      <c r="G9891" s="10" t="s">
        <v>37425</v>
      </c>
      <c r="H9891" s="11">
        <v>42278</v>
      </c>
      <c r="I9891" s="10">
        <v>2015</v>
      </c>
      <c r="J9891" s="10" t="s">
        <v>42729</v>
      </c>
      <c r="K9891" s="10">
        <v>258</v>
      </c>
      <c r="L9891" s="10" t="s">
        <v>44111</v>
      </c>
      <c r="M9891" s="10">
        <v>1</v>
      </c>
      <c r="N9891" s="10"/>
      <c r="O9891" s="10"/>
      <c r="P9891" s="10"/>
      <c r="Q9891" s="10"/>
      <c r="R9891" s="10"/>
      <c r="S9891" s="10" t="s">
        <v>876</v>
      </c>
      <c r="T9891" s="10"/>
    </row>
    <row r="9892" spans="1:20" ht="14.5" x14ac:dyDescent="0.35">
      <c r="A9892" s="10" t="s">
        <v>44112</v>
      </c>
      <c r="B9892" s="10" t="str">
        <f>""</f>
        <v/>
      </c>
      <c r="C9892" s="10" t="str">
        <f>"9787301263846"</f>
        <v>9787301263846</v>
      </c>
      <c r="D9892" s="10" t="s">
        <v>42728</v>
      </c>
      <c r="E9892" s="10" t="s">
        <v>42729</v>
      </c>
      <c r="F9892" s="10" t="s">
        <v>42730</v>
      </c>
      <c r="G9892" s="10" t="s">
        <v>37425</v>
      </c>
      <c r="H9892" s="11">
        <v>42309</v>
      </c>
      <c r="I9892" s="10">
        <v>2015</v>
      </c>
      <c r="J9892" s="10" t="s">
        <v>42729</v>
      </c>
      <c r="K9892" s="10">
        <v>223</v>
      </c>
      <c r="L9892" s="10" t="s">
        <v>44113</v>
      </c>
      <c r="M9892" s="10">
        <v>1</v>
      </c>
      <c r="N9892" s="10"/>
      <c r="O9892" s="10"/>
      <c r="P9892" s="10"/>
      <c r="Q9892" s="10"/>
      <c r="R9892" s="10"/>
      <c r="S9892" s="10" t="s">
        <v>876</v>
      </c>
      <c r="T9892" s="10"/>
    </row>
    <row r="9893" spans="1:20" ht="14.5" x14ac:dyDescent="0.35">
      <c r="A9893" s="10" t="s">
        <v>44114</v>
      </c>
      <c r="B9893" s="10" t="str">
        <f>""</f>
        <v/>
      </c>
      <c r="C9893" s="10" t="str">
        <f>"9787301263860"</f>
        <v>9787301263860</v>
      </c>
      <c r="D9893" s="10" t="s">
        <v>42728</v>
      </c>
      <c r="E9893" s="10" t="s">
        <v>42729</v>
      </c>
      <c r="F9893" s="10" t="s">
        <v>42730</v>
      </c>
      <c r="G9893" s="10" t="s">
        <v>37425</v>
      </c>
      <c r="H9893" s="11">
        <v>42278</v>
      </c>
      <c r="I9893" s="10">
        <v>2015</v>
      </c>
      <c r="J9893" s="10" t="s">
        <v>42729</v>
      </c>
      <c r="K9893" s="10">
        <v>263</v>
      </c>
      <c r="L9893" s="10" t="s">
        <v>44115</v>
      </c>
      <c r="M9893" s="10">
        <v>1</v>
      </c>
      <c r="N9893" s="10"/>
      <c r="O9893" s="10"/>
      <c r="P9893" s="10"/>
      <c r="Q9893" s="10"/>
      <c r="R9893" s="10"/>
      <c r="S9893" s="10" t="s">
        <v>876</v>
      </c>
      <c r="T9893" s="10"/>
    </row>
    <row r="9894" spans="1:20" ht="14.5" x14ac:dyDescent="0.35">
      <c r="A9894" s="10" t="s">
        <v>44116</v>
      </c>
      <c r="B9894" s="10" t="str">
        <f>""</f>
        <v/>
      </c>
      <c r="C9894" s="10" t="str">
        <f>"9782806283269"</f>
        <v>9782806283269</v>
      </c>
      <c r="D9894" s="10" t="s">
        <v>29172</v>
      </c>
      <c r="E9894" s="10" t="s">
        <v>29173</v>
      </c>
      <c r="F9894" s="10" t="s">
        <v>29181</v>
      </c>
      <c r="G9894" s="10" t="s">
        <v>28737</v>
      </c>
      <c r="H9894" s="11">
        <v>42732</v>
      </c>
      <c r="I9894" s="10">
        <v>2016</v>
      </c>
      <c r="J9894" s="10" t="s">
        <v>29175</v>
      </c>
      <c r="K9894" s="10">
        <v>33</v>
      </c>
      <c r="L9894" s="10" t="s">
        <v>44117</v>
      </c>
      <c r="M9894" s="10">
        <v>1</v>
      </c>
      <c r="N9894" s="10" t="s">
        <v>29177</v>
      </c>
      <c r="O9894" s="10"/>
      <c r="P9894" s="10"/>
      <c r="Q9894" s="10"/>
      <c r="R9894" s="10" t="s">
        <v>44118</v>
      </c>
      <c r="S9894" s="10" t="s">
        <v>5404</v>
      </c>
      <c r="T9894" s="10" t="s">
        <v>6568</v>
      </c>
    </row>
    <row r="9895" spans="1:20" ht="14.5" x14ac:dyDescent="0.35">
      <c r="A9895" s="10" t="s">
        <v>44119</v>
      </c>
      <c r="B9895" s="10" t="str">
        <f>""</f>
        <v/>
      </c>
      <c r="C9895" s="10" t="str">
        <f>"9782806286598"</f>
        <v>9782806286598</v>
      </c>
      <c r="D9895" s="10" t="s">
        <v>29172</v>
      </c>
      <c r="E9895" s="10" t="s">
        <v>29173</v>
      </c>
      <c r="F9895" s="10" t="s">
        <v>29181</v>
      </c>
      <c r="G9895" s="10" t="s">
        <v>28737</v>
      </c>
      <c r="H9895" s="11">
        <v>42732</v>
      </c>
      <c r="I9895" s="10">
        <v>2016</v>
      </c>
      <c r="J9895" s="10" t="s">
        <v>29175</v>
      </c>
      <c r="K9895" s="10">
        <v>35</v>
      </c>
      <c r="L9895" s="10" t="s">
        <v>44120</v>
      </c>
      <c r="M9895" s="10">
        <v>1</v>
      </c>
      <c r="N9895" s="10" t="s">
        <v>29177</v>
      </c>
      <c r="O9895" s="10"/>
      <c r="P9895" s="10"/>
      <c r="Q9895" s="10"/>
      <c r="R9895" s="10" t="s">
        <v>44121</v>
      </c>
      <c r="S9895" s="10" t="s">
        <v>5404</v>
      </c>
      <c r="T9895" s="10" t="s">
        <v>6568</v>
      </c>
    </row>
    <row r="9896" spans="1:20" ht="14.5" x14ac:dyDescent="0.35">
      <c r="A9896" s="10" t="s">
        <v>44122</v>
      </c>
      <c r="B9896" s="10" t="str">
        <f>""</f>
        <v/>
      </c>
      <c r="C9896" s="10" t="str">
        <f>"9782806286697"</f>
        <v>9782806286697</v>
      </c>
      <c r="D9896" s="10" t="s">
        <v>29172</v>
      </c>
      <c r="E9896" s="10" t="s">
        <v>29173</v>
      </c>
      <c r="F9896" s="10" t="s">
        <v>29181</v>
      </c>
      <c r="G9896" s="10" t="s">
        <v>28737</v>
      </c>
      <c r="H9896" s="11">
        <v>42732</v>
      </c>
      <c r="I9896" s="10">
        <v>2016</v>
      </c>
      <c r="J9896" s="10" t="s">
        <v>29175</v>
      </c>
      <c r="K9896" s="10">
        <v>37</v>
      </c>
      <c r="L9896" s="10" t="s">
        <v>44123</v>
      </c>
      <c r="M9896" s="10">
        <v>1</v>
      </c>
      <c r="N9896" s="10" t="s">
        <v>29177</v>
      </c>
      <c r="O9896" s="10"/>
      <c r="P9896" s="10"/>
      <c r="Q9896" s="10"/>
      <c r="R9896" s="10" t="s">
        <v>44124</v>
      </c>
      <c r="S9896" s="10" t="s">
        <v>5404</v>
      </c>
      <c r="T9896" s="10" t="s">
        <v>6568</v>
      </c>
    </row>
    <row r="9897" spans="1:20" ht="14.5" x14ac:dyDescent="0.35">
      <c r="A9897" s="10" t="s">
        <v>44125</v>
      </c>
      <c r="B9897" s="10" t="str">
        <f>""</f>
        <v/>
      </c>
      <c r="C9897" s="10" t="str">
        <f>"9782806290496"</f>
        <v>9782806290496</v>
      </c>
      <c r="D9897" s="10" t="s">
        <v>29172</v>
      </c>
      <c r="E9897" s="10" t="s">
        <v>29173</v>
      </c>
      <c r="F9897" s="10" t="s">
        <v>29181</v>
      </c>
      <c r="G9897" s="10" t="s">
        <v>28737</v>
      </c>
      <c r="H9897" s="11">
        <v>42732</v>
      </c>
      <c r="I9897" s="10">
        <v>2016</v>
      </c>
      <c r="J9897" s="10" t="s">
        <v>29175</v>
      </c>
      <c r="K9897" s="10">
        <v>32</v>
      </c>
      <c r="L9897" s="10" t="s">
        <v>44126</v>
      </c>
      <c r="M9897" s="10">
        <v>1</v>
      </c>
      <c r="N9897" s="10" t="s">
        <v>29177</v>
      </c>
      <c r="O9897" s="10"/>
      <c r="P9897" s="10"/>
      <c r="Q9897" s="10"/>
      <c r="R9897" s="10" t="s">
        <v>44127</v>
      </c>
      <c r="S9897" s="10" t="s">
        <v>5404</v>
      </c>
      <c r="T9897" s="10" t="s">
        <v>6568</v>
      </c>
    </row>
    <row r="9898" spans="1:20" ht="14.5" x14ac:dyDescent="0.35">
      <c r="A9898" s="10" t="s">
        <v>44128</v>
      </c>
      <c r="B9898" s="10" t="str">
        <f>""</f>
        <v/>
      </c>
      <c r="C9898" s="10" t="str">
        <f>"9782806290564"</f>
        <v>9782806290564</v>
      </c>
      <c r="D9898" s="10" t="s">
        <v>29172</v>
      </c>
      <c r="E9898" s="10" t="s">
        <v>29173</v>
      </c>
      <c r="F9898" s="10" t="s">
        <v>29181</v>
      </c>
      <c r="G9898" s="10" t="s">
        <v>28737</v>
      </c>
      <c r="H9898" s="11">
        <v>42732</v>
      </c>
      <c r="I9898" s="10">
        <v>2016</v>
      </c>
      <c r="J9898" s="10" t="s">
        <v>29175</v>
      </c>
      <c r="K9898" s="10">
        <v>34</v>
      </c>
      <c r="L9898" s="10" t="s">
        <v>44129</v>
      </c>
      <c r="M9898" s="10">
        <v>1</v>
      </c>
      <c r="N9898" s="10" t="s">
        <v>29177</v>
      </c>
      <c r="O9898" s="10"/>
      <c r="P9898" s="10"/>
      <c r="Q9898" s="10"/>
      <c r="R9898" s="10" t="s">
        <v>44130</v>
      </c>
      <c r="S9898" s="10" t="s">
        <v>5404</v>
      </c>
      <c r="T9898" s="10" t="s">
        <v>6568</v>
      </c>
    </row>
    <row r="9899" spans="1:20" ht="14.5" x14ac:dyDescent="0.35">
      <c r="A9899" s="10" t="s">
        <v>44131</v>
      </c>
      <c r="B9899" s="10" t="str">
        <f>""</f>
        <v/>
      </c>
      <c r="C9899" s="10" t="str">
        <f>"9782806290595"</f>
        <v>9782806290595</v>
      </c>
      <c r="D9899" s="10" t="s">
        <v>29172</v>
      </c>
      <c r="E9899" s="10" t="s">
        <v>29173</v>
      </c>
      <c r="F9899" s="10" t="s">
        <v>29181</v>
      </c>
      <c r="G9899" s="10" t="s">
        <v>28737</v>
      </c>
      <c r="H9899" s="11">
        <v>42732</v>
      </c>
      <c r="I9899" s="10">
        <v>2016</v>
      </c>
      <c r="J9899" s="10" t="s">
        <v>29175</v>
      </c>
      <c r="K9899" s="10">
        <v>32</v>
      </c>
      <c r="L9899" s="10" t="s">
        <v>44132</v>
      </c>
      <c r="M9899" s="10">
        <v>1</v>
      </c>
      <c r="N9899" s="10" t="s">
        <v>29177</v>
      </c>
      <c r="O9899" s="10"/>
      <c r="P9899" s="10"/>
      <c r="Q9899" s="10"/>
      <c r="R9899" s="10" t="s">
        <v>44133</v>
      </c>
      <c r="S9899" s="10" t="s">
        <v>5404</v>
      </c>
      <c r="T9899" s="10" t="s">
        <v>6568</v>
      </c>
    </row>
    <row r="9900" spans="1:20" ht="14.5" x14ac:dyDescent="0.35">
      <c r="A9900" s="10" t="s">
        <v>44134</v>
      </c>
      <c r="B9900" s="10" t="str">
        <f>""</f>
        <v/>
      </c>
      <c r="C9900" s="10" t="str">
        <f>"9782806291301"</f>
        <v>9782806291301</v>
      </c>
      <c r="D9900" s="10" t="s">
        <v>29172</v>
      </c>
      <c r="E9900" s="10" t="s">
        <v>29173</v>
      </c>
      <c r="F9900" s="10" t="s">
        <v>29181</v>
      </c>
      <c r="G9900" s="10" t="s">
        <v>28737</v>
      </c>
      <c r="H9900" s="11">
        <v>42738</v>
      </c>
      <c r="I9900" s="10">
        <v>2017</v>
      </c>
      <c r="J9900" s="10" t="s">
        <v>29175</v>
      </c>
      <c r="K9900" s="10">
        <v>38</v>
      </c>
      <c r="L9900" s="10" t="s">
        <v>44135</v>
      </c>
      <c r="M9900" s="10">
        <v>1</v>
      </c>
      <c r="N9900" s="10" t="s">
        <v>29177</v>
      </c>
      <c r="O9900" s="10"/>
      <c r="P9900" s="10"/>
      <c r="Q9900" s="10"/>
      <c r="R9900" s="10" t="s">
        <v>44136</v>
      </c>
      <c r="S9900" s="10" t="s">
        <v>5404</v>
      </c>
      <c r="T9900" s="10" t="s">
        <v>6568</v>
      </c>
    </row>
    <row r="9901" spans="1:20" ht="14.5" x14ac:dyDescent="0.35">
      <c r="A9901" s="10" t="s">
        <v>44137</v>
      </c>
      <c r="B9901" s="10" t="str">
        <f>""</f>
        <v/>
      </c>
      <c r="C9901" s="10" t="str">
        <f>"9782806290717"</f>
        <v>9782806290717</v>
      </c>
      <c r="D9901" s="10" t="s">
        <v>29172</v>
      </c>
      <c r="E9901" s="10" t="s">
        <v>29173</v>
      </c>
      <c r="F9901" s="10" t="s">
        <v>29181</v>
      </c>
      <c r="G9901" s="10" t="s">
        <v>28737</v>
      </c>
      <c r="H9901" s="11">
        <v>42738</v>
      </c>
      <c r="I9901" s="10">
        <v>2017</v>
      </c>
      <c r="J9901" s="10" t="s">
        <v>29175</v>
      </c>
      <c r="K9901" s="10">
        <v>33</v>
      </c>
      <c r="L9901" s="10" t="s">
        <v>44138</v>
      </c>
      <c r="M9901" s="10">
        <v>1</v>
      </c>
      <c r="N9901" s="10" t="s">
        <v>29177</v>
      </c>
      <c r="O9901" s="10"/>
      <c r="P9901" s="10"/>
      <c r="Q9901" s="10"/>
      <c r="R9901" s="10" t="s">
        <v>44139</v>
      </c>
      <c r="S9901" s="10" t="s">
        <v>5404</v>
      </c>
      <c r="T9901" s="10" t="s">
        <v>6568</v>
      </c>
    </row>
    <row r="9902" spans="1:20" ht="14.5" x14ac:dyDescent="0.35">
      <c r="A9902" s="10" t="s">
        <v>44140</v>
      </c>
      <c r="B9902" s="10" t="str">
        <f>""</f>
        <v/>
      </c>
      <c r="C9902" s="10" t="str">
        <f>"9782806290540"</f>
        <v>9782806290540</v>
      </c>
      <c r="D9902" s="10" t="s">
        <v>29172</v>
      </c>
      <c r="E9902" s="10" t="s">
        <v>29173</v>
      </c>
      <c r="F9902" s="10" t="s">
        <v>29181</v>
      </c>
      <c r="G9902" s="10" t="s">
        <v>28737</v>
      </c>
      <c r="H9902" s="11">
        <v>42738</v>
      </c>
      <c r="I9902" s="10">
        <v>2017</v>
      </c>
      <c r="J9902" s="10" t="s">
        <v>29175</v>
      </c>
      <c r="K9902" s="10">
        <v>35</v>
      </c>
      <c r="L9902" s="10" t="s">
        <v>44141</v>
      </c>
      <c r="M9902" s="10">
        <v>1</v>
      </c>
      <c r="N9902" s="10" t="s">
        <v>29177</v>
      </c>
      <c r="O9902" s="10"/>
      <c r="P9902" s="10"/>
      <c r="Q9902" s="10"/>
      <c r="R9902" s="10" t="s">
        <v>44139</v>
      </c>
      <c r="S9902" s="10" t="s">
        <v>5404</v>
      </c>
      <c r="T9902" s="10" t="s">
        <v>6568</v>
      </c>
    </row>
    <row r="9903" spans="1:20" ht="14.5" x14ac:dyDescent="0.35">
      <c r="A9903" s="10" t="s">
        <v>44142</v>
      </c>
      <c r="B9903" s="10" t="str">
        <f>"9781442278486"</f>
        <v>9781442278486</v>
      </c>
      <c r="C9903" s="10" t="str">
        <f>"9781442278493"</f>
        <v>9781442278493</v>
      </c>
      <c r="D9903" s="10" t="s">
        <v>9752</v>
      </c>
      <c r="E9903" s="10" t="s">
        <v>15187</v>
      </c>
      <c r="F9903" s="10" t="s">
        <v>9754</v>
      </c>
      <c r="G9903" s="10" t="s">
        <v>6317</v>
      </c>
      <c r="H9903" s="11">
        <v>42773</v>
      </c>
      <c r="I9903" s="10">
        <v>2017</v>
      </c>
      <c r="J9903" s="10" t="s">
        <v>15187</v>
      </c>
      <c r="K9903" s="10">
        <v>161</v>
      </c>
      <c r="L9903" s="10" t="s">
        <v>44143</v>
      </c>
      <c r="M9903" s="10">
        <v>1</v>
      </c>
      <c r="N9903" s="10" t="s">
        <v>44144</v>
      </c>
      <c r="O9903" s="10"/>
      <c r="P9903" s="10" t="s">
        <v>44145</v>
      </c>
      <c r="Q9903" s="10">
        <v>371.3</v>
      </c>
      <c r="R9903" s="10" t="s">
        <v>44146</v>
      </c>
      <c r="S9903" s="10" t="s">
        <v>53</v>
      </c>
      <c r="T9903" s="10" t="s">
        <v>16298</v>
      </c>
    </row>
    <row r="9904" spans="1:20" ht="14.5" x14ac:dyDescent="0.35">
      <c r="A9904" s="10" t="s">
        <v>44147</v>
      </c>
      <c r="B9904" s="10" t="str">
        <f>"9781118768884"</f>
        <v>9781118768884</v>
      </c>
      <c r="C9904" s="10" t="str">
        <f>"9781118786970"</f>
        <v>9781118786970</v>
      </c>
      <c r="D9904" s="10" t="s">
        <v>6322</v>
      </c>
      <c r="E9904" s="10" t="s">
        <v>6323</v>
      </c>
      <c r="F9904" s="10" t="s">
        <v>4423</v>
      </c>
      <c r="G9904" s="10" t="s">
        <v>6317</v>
      </c>
      <c r="H9904" s="11">
        <v>42842</v>
      </c>
      <c r="I9904" s="10">
        <v>2017</v>
      </c>
      <c r="J9904" s="10" t="s">
        <v>8436</v>
      </c>
      <c r="K9904" s="10">
        <v>558</v>
      </c>
      <c r="L9904" s="10" t="s">
        <v>44148</v>
      </c>
      <c r="M9904" s="10">
        <v>1</v>
      </c>
      <c r="N9904" s="10" t="s">
        <v>41092</v>
      </c>
      <c r="O9904" s="10"/>
      <c r="P9904" s="10" t="s">
        <v>44149</v>
      </c>
      <c r="Q9904" s="10">
        <v>371.9</v>
      </c>
      <c r="R9904" s="10" t="s">
        <v>44150</v>
      </c>
      <c r="S9904" s="10" t="s">
        <v>53</v>
      </c>
      <c r="T9904" s="10" t="s">
        <v>54</v>
      </c>
    </row>
    <row r="9905" spans="1:20" ht="14.5" x14ac:dyDescent="0.35">
      <c r="A9905" s="10" t="s">
        <v>44151</v>
      </c>
      <c r="B9905" s="10" t="str">
        <f>"9780745336046"</f>
        <v>9780745336046</v>
      </c>
      <c r="C9905" s="10" t="str">
        <f>"9781786800008"</f>
        <v>9781786800008</v>
      </c>
      <c r="D9905" s="10" t="s">
        <v>9533</v>
      </c>
      <c r="E9905" s="10" t="s">
        <v>37535</v>
      </c>
      <c r="F9905" s="10" t="s">
        <v>139</v>
      </c>
      <c r="G9905" s="10" t="s">
        <v>6352</v>
      </c>
      <c r="H9905" s="11">
        <v>42724</v>
      </c>
      <c r="I9905" s="10">
        <v>2017</v>
      </c>
      <c r="J9905" s="10" t="s">
        <v>37535</v>
      </c>
      <c r="K9905" s="10">
        <v>305</v>
      </c>
      <c r="L9905" s="10" t="s">
        <v>44152</v>
      </c>
      <c r="M9905" s="10">
        <v>1</v>
      </c>
      <c r="N9905" s="10" t="s">
        <v>44153</v>
      </c>
      <c r="O9905" s="10"/>
      <c r="P9905" s="10" t="s">
        <v>44154</v>
      </c>
      <c r="Q9905" s="10">
        <v>379</v>
      </c>
      <c r="R9905" s="10" t="s">
        <v>44155</v>
      </c>
      <c r="S9905" s="10" t="s">
        <v>53</v>
      </c>
      <c r="T9905" s="10" t="s">
        <v>54</v>
      </c>
    </row>
    <row r="9906" spans="1:20" ht="14.5" x14ac:dyDescent="0.35">
      <c r="A9906" s="10" t="s">
        <v>44156</v>
      </c>
      <c r="B9906" s="10" t="str">
        <f>"9789463006101"</f>
        <v>9789463006101</v>
      </c>
      <c r="C9906" s="10" t="str">
        <f>"9789463006125"</f>
        <v>9789463006125</v>
      </c>
      <c r="D9906" s="10" t="s">
        <v>8564</v>
      </c>
      <c r="E9906" s="10" t="s">
        <v>8565</v>
      </c>
      <c r="F9906" s="10" t="s">
        <v>1420</v>
      </c>
      <c r="G9906" s="10" t="s">
        <v>6317</v>
      </c>
      <c r="H9906" s="11">
        <v>42370</v>
      </c>
      <c r="I9906" s="10">
        <v>2016</v>
      </c>
      <c r="J9906" s="10" t="s">
        <v>33259</v>
      </c>
      <c r="K9906" s="10">
        <v>175</v>
      </c>
      <c r="L9906" s="10" t="s">
        <v>44157</v>
      </c>
      <c r="M9906" s="10">
        <v>1</v>
      </c>
      <c r="N9906" s="10"/>
      <c r="O9906" s="10"/>
      <c r="P9906" s="10" t="s">
        <v>19534</v>
      </c>
      <c r="Q9906" s="10"/>
      <c r="R9906" s="10" t="s">
        <v>43253</v>
      </c>
      <c r="S9906" s="10" t="s">
        <v>53</v>
      </c>
      <c r="T9906" s="10" t="s">
        <v>54</v>
      </c>
    </row>
    <row r="9907" spans="1:20" ht="14.5" x14ac:dyDescent="0.35">
      <c r="A9907" s="10" t="s">
        <v>44158</v>
      </c>
      <c r="B9907" s="10" t="str">
        <f>"9789463007474"</f>
        <v>9789463007474</v>
      </c>
      <c r="C9907" s="10" t="str">
        <f>"9789463007498"</f>
        <v>9789463007498</v>
      </c>
      <c r="D9907" s="10" t="s">
        <v>8564</v>
      </c>
      <c r="E9907" s="10" t="s">
        <v>8565</v>
      </c>
      <c r="F9907" s="10" t="s">
        <v>1420</v>
      </c>
      <c r="G9907" s="10" t="s">
        <v>6317</v>
      </c>
      <c r="H9907" s="11">
        <v>42736</v>
      </c>
      <c r="I9907" s="10">
        <v>2017</v>
      </c>
      <c r="J9907" s="10" t="s">
        <v>33259</v>
      </c>
      <c r="K9907" s="10">
        <v>616</v>
      </c>
      <c r="L9907" s="10" t="s">
        <v>44159</v>
      </c>
      <c r="M9907" s="10">
        <v>1</v>
      </c>
      <c r="N9907" s="10" t="s">
        <v>33291</v>
      </c>
      <c r="O9907" s="10">
        <v>31</v>
      </c>
      <c r="P9907" s="10"/>
      <c r="Q9907" s="10"/>
      <c r="R9907" s="10"/>
      <c r="S9907" s="10" t="s">
        <v>53</v>
      </c>
      <c r="T9907" s="10" t="s">
        <v>54</v>
      </c>
    </row>
    <row r="9908" spans="1:20" ht="14.5" x14ac:dyDescent="0.35">
      <c r="A9908" s="10" t="s">
        <v>44160</v>
      </c>
      <c r="B9908" s="10" t="str">
        <f>"9789463008495"</f>
        <v>9789463008495</v>
      </c>
      <c r="C9908" s="10" t="str">
        <f>"9789463008518"</f>
        <v>9789463008518</v>
      </c>
      <c r="D9908" s="10" t="s">
        <v>8564</v>
      </c>
      <c r="E9908" s="10" t="s">
        <v>8565</v>
      </c>
      <c r="F9908" s="10" t="s">
        <v>1420</v>
      </c>
      <c r="G9908" s="10" t="s">
        <v>6317</v>
      </c>
      <c r="H9908" s="11">
        <v>42736</v>
      </c>
      <c r="I9908" s="10">
        <v>2017</v>
      </c>
      <c r="J9908" s="10" t="s">
        <v>33259</v>
      </c>
      <c r="K9908" s="10">
        <v>129</v>
      </c>
      <c r="L9908" s="10" t="s">
        <v>8153</v>
      </c>
      <c r="M9908" s="10">
        <v>1</v>
      </c>
      <c r="N9908" s="10" t="s">
        <v>44161</v>
      </c>
      <c r="O9908" s="10">
        <v>118</v>
      </c>
      <c r="P9908" s="10"/>
      <c r="Q9908" s="10"/>
      <c r="R9908" s="10"/>
      <c r="S9908" s="10" t="s">
        <v>53</v>
      </c>
      <c r="T9908" s="10" t="s">
        <v>54</v>
      </c>
    </row>
    <row r="9909" spans="1:20" ht="14.5" x14ac:dyDescent="0.35">
      <c r="A9909" s="10" t="s">
        <v>44162</v>
      </c>
      <c r="B9909" s="10" t="str">
        <f>"9781475825084"</f>
        <v>9781475825084</v>
      </c>
      <c r="C9909" s="10" t="str">
        <f>"9781475825091"</f>
        <v>9781475825091</v>
      </c>
      <c r="D9909" s="10" t="s">
        <v>9752</v>
      </c>
      <c r="E9909" s="10" t="s">
        <v>15187</v>
      </c>
      <c r="F9909" s="10" t="s">
        <v>9754</v>
      </c>
      <c r="G9909" s="10" t="s">
        <v>6317</v>
      </c>
      <c r="H9909" s="11">
        <v>42761</v>
      </c>
      <c r="I9909" s="10">
        <v>2017</v>
      </c>
      <c r="J9909" s="10" t="s">
        <v>15187</v>
      </c>
      <c r="K9909" s="10">
        <v>176</v>
      </c>
      <c r="L9909" s="10" t="s">
        <v>44163</v>
      </c>
      <c r="M9909" s="10">
        <v>1</v>
      </c>
      <c r="N9909" s="10"/>
      <c r="O9909" s="10"/>
      <c r="P9909" s="10" t="s">
        <v>44164</v>
      </c>
      <c r="Q9909" s="10">
        <v>370.11700000000002</v>
      </c>
      <c r="R9909" s="10" t="s">
        <v>44165</v>
      </c>
      <c r="S9909" s="10" t="s">
        <v>53</v>
      </c>
      <c r="T9909" s="10" t="s">
        <v>54</v>
      </c>
    </row>
    <row r="9910" spans="1:20" ht="14.5" x14ac:dyDescent="0.35">
      <c r="A9910" s="10" t="s">
        <v>44166</v>
      </c>
      <c r="B9910" s="10" t="str">
        <f>"9781443899666"</f>
        <v>9781443899666</v>
      </c>
      <c r="C9910" s="10" t="str">
        <f>"9781443847032"</f>
        <v>9781443847032</v>
      </c>
      <c r="D9910" s="10" t="s">
        <v>23635</v>
      </c>
      <c r="E9910" s="10" t="s">
        <v>23635</v>
      </c>
      <c r="F9910" s="10" t="s">
        <v>23636</v>
      </c>
      <c r="G9910" s="10" t="s">
        <v>6352</v>
      </c>
      <c r="H9910" s="11">
        <v>42752</v>
      </c>
      <c r="I9910" s="10">
        <v>2016</v>
      </c>
      <c r="J9910" s="10" t="s">
        <v>23635</v>
      </c>
      <c r="K9910" s="10">
        <v>475</v>
      </c>
      <c r="L9910" s="10" t="s">
        <v>44167</v>
      </c>
      <c r="M9910" s="10">
        <v>1</v>
      </c>
      <c r="N9910" s="10"/>
      <c r="O9910" s="10"/>
      <c r="P9910" s="10" t="s">
        <v>44168</v>
      </c>
      <c r="Q9910" s="10">
        <v>340.5</v>
      </c>
      <c r="R9910" s="10" t="s">
        <v>44169</v>
      </c>
      <c r="S9910" s="10" t="s">
        <v>53</v>
      </c>
      <c r="T9910" s="10" t="s">
        <v>5396</v>
      </c>
    </row>
    <row r="9911" spans="1:20" ht="14.5" x14ac:dyDescent="0.35">
      <c r="A9911" s="10" t="s">
        <v>44170</v>
      </c>
      <c r="B9911" s="10" t="str">
        <f>"9781443821315"</f>
        <v>9781443821315</v>
      </c>
      <c r="C9911" s="10" t="str">
        <f>"9781443862660"</f>
        <v>9781443862660</v>
      </c>
      <c r="D9911" s="10" t="s">
        <v>23635</v>
      </c>
      <c r="E9911" s="10" t="s">
        <v>23635</v>
      </c>
      <c r="F9911" s="10" t="s">
        <v>23636</v>
      </c>
      <c r="G9911" s="10" t="s">
        <v>6352</v>
      </c>
      <c r="H9911" s="11">
        <v>42744</v>
      </c>
      <c r="I9911" s="10">
        <v>2017</v>
      </c>
      <c r="J9911" s="10" t="s">
        <v>23635</v>
      </c>
      <c r="K9911" s="10">
        <v>279</v>
      </c>
      <c r="L9911" s="10" t="s">
        <v>44171</v>
      </c>
      <c r="M9911" s="10">
        <v>1</v>
      </c>
      <c r="N9911" s="10"/>
      <c r="O9911" s="10"/>
      <c r="P9911" s="10" t="s">
        <v>44172</v>
      </c>
      <c r="Q9911" s="10">
        <v>370.19600000000003</v>
      </c>
      <c r="R9911" s="10" t="s">
        <v>7957</v>
      </c>
      <c r="S9911" s="10" t="s">
        <v>53</v>
      </c>
      <c r="T9911" s="10" t="s">
        <v>54</v>
      </c>
    </row>
    <row r="9912" spans="1:20" ht="14.5" x14ac:dyDescent="0.35">
      <c r="A9912" s="10" t="s">
        <v>44173</v>
      </c>
      <c r="B9912" s="10" t="str">
        <f>"9781443816793"</f>
        <v>9781443816793</v>
      </c>
      <c r="C9912" s="10" t="str">
        <f>"9781443862769"</f>
        <v>9781443862769</v>
      </c>
      <c r="D9912" s="10" t="s">
        <v>23635</v>
      </c>
      <c r="E9912" s="10" t="s">
        <v>23635</v>
      </c>
      <c r="F9912" s="10" t="s">
        <v>23636</v>
      </c>
      <c r="G9912" s="10" t="s">
        <v>6352</v>
      </c>
      <c r="H9912" s="11">
        <v>42720</v>
      </c>
      <c r="I9912" s="10">
        <v>2017</v>
      </c>
      <c r="J9912" s="10" t="s">
        <v>23635</v>
      </c>
      <c r="K9912" s="10">
        <v>357</v>
      </c>
      <c r="L9912" s="10" t="s">
        <v>44174</v>
      </c>
      <c r="M9912" s="10">
        <v>1</v>
      </c>
      <c r="N9912" s="10"/>
      <c r="O9912" s="10"/>
      <c r="P9912" s="10" t="s">
        <v>44175</v>
      </c>
      <c r="Q9912" s="10">
        <v>378</v>
      </c>
      <c r="R9912" s="10" t="s">
        <v>12345</v>
      </c>
      <c r="S9912" s="10" t="s">
        <v>53</v>
      </c>
      <c r="T9912" s="10" t="s">
        <v>54</v>
      </c>
    </row>
    <row r="9913" spans="1:20" ht="14.5" x14ac:dyDescent="0.35">
      <c r="A9913" s="10" t="s">
        <v>44176</v>
      </c>
      <c r="B9913" s="10" t="str">
        <f>"9781443899789"</f>
        <v>9781443899789</v>
      </c>
      <c r="C9913" s="10" t="str">
        <f>"9781443868471"</f>
        <v>9781443868471</v>
      </c>
      <c r="D9913" s="10" t="s">
        <v>23635</v>
      </c>
      <c r="E9913" s="10" t="s">
        <v>23635</v>
      </c>
      <c r="F9913" s="10" t="s">
        <v>23636</v>
      </c>
      <c r="G9913" s="10" t="s">
        <v>6352</v>
      </c>
      <c r="H9913" s="11">
        <v>42713</v>
      </c>
      <c r="I9913" s="10">
        <v>2017</v>
      </c>
      <c r="J9913" s="10" t="s">
        <v>23635</v>
      </c>
      <c r="K9913" s="10">
        <v>347</v>
      </c>
      <c r="L9913" s="10" t="s">
        <v>44177</v>
      </c>
      <c r="M9913" s="10">
        <v>1</v>
      </c>
      <c r="N9913" s="10"/>
      <c r="O9913" s="10"/>
      <c r="P9913" s="10" t="s">
        <v>44178</v>
      </c>
      <c r="Q9913" s="10">
        <v>378.125</v>
      </c>
      <c r="R9913" s="10" t="s">
        <v>44179</v>
      </c>
      <c r="S9913" s="10" t="s">
        <v>53</v>
      </c>
      <c r="T9913" s="10" t="s">
        <v>54</v>
      </c>
    </row>
    <row r="9914" spans="1:20" ht="14.5" x14ac:dyDescent="0.35">
      <c r="A9914" s="10" t="s">
        <v>44180</v>
      </c>
      <c r="B9914" s="10" t="str">
        <f>"9781442278424"</f>
        <v>9781442278424</v>
      </c>
      <c r="C9914" s="10" t="str">
        <f>"9781442278431"</f>
        <v>9781442278431</v>
      </c>
      <c r="D9914" s="10" t="s">
        <v>9752</v>
      </c>
      <c r="E9914" s="10" t="s">
        <v>15187</v>
      </c>
      <c r="F9914" s="10" t="s">
        <v>9754</v>
      </c>
      <c r="G9914" s="10" t="s">
        <v>6317</v>
      </c>
      <c r="H9914" s="11">
        <v>42761</v>
      </c>
      <c r="I9914" s="10">
        <v>2017</v>
      </c>
      <c r="J9914" s="10" t="s">
        <v>15187</v>
      </c>
      <c r="K9914" s="10">
        <v>151</v>
      </c>
      <c r="L9914" s="10" t="s">
        <v>44181</v>
      </c>
      <c r="M9914" s="10">
        <v>1</v>
      </c>
      <c r="N9914" s="10" t="s">
        <v>44144</v>
      </c>
      <c r="O9914" s="10"/>
      <c r="P9914" s="10" t="s">
        <v>44182</v>
      </c>
      <c r="Q9914" s="10">
        <v>973</v>
      </c>
      <c r="R9914" s="10" t="s">
        <v>44183</v>
      </c>
      <c r="S9914" s="10" t="s">
        <v>53</v>
      </c>
      <c r="T9914" s="10" t="s">
        <v>4490</v>
      </c>
    </row>
    <row r="9915" spans="1:20" ht="14.5" x14ac:dyDescent="0.35">
      <c r="A9915" s="10" t="s">
        <v>44184</v>
      </c>
      <c r="B9915" s="10" t="str">
        <f>"9781442278448"</f>
        <v>9781442278448</v>
      </c>
      <c r="C9915" s="10" t="str">
        <f>"9781442278455"</f>
        <v>9781442278455</v>
      </c>
      <c r="D9915" s="10" t="s">
        <v>9752</v>
      </c>
      <c r="E9915" s="10" t="s">
        <v>15187</v>
      </c>
      <c r="F9915" s="10" t="s">
        <v>9754</v>
      </c>
      <c r="G9915" s="10" t="s">
        <v>6317</v>
      </c>
      <c r="H9915" s="11">
        <v>42761</v>
      </c>
      <c r="I9915" s="10">
        <v>2017</v>
      </c>
      <c r="J9915" s="10" t="s">
        <v>15187</v>
      </c>
      <c r="K9915" s="10">
        <v>161</v>
      </c>
      <c r="L9915" s="10" t="s">
        <v>44185</v>
      </c>
      <c r="M9915" s="10">
        <v>1</v>
      </c>
      <c r="N9915" s="10" t="s">
        <v>44144</v>
      </c>
      <c r="O9915" s="10"/>
      <c r="P9915" s="10" t="s">
        <v>44186</v>
      </c>
      <c r="Q9915" s="10">
        <v>907.1028</v>
      </c>
      <c r="R9915" s="10" t="s">
        <v>42163</v>
      </c>
      <c r="S9915" s="10" t="s">
        <v>53</v>
      </c>
      <c r="T9915" s="10" t="s">
        <v>13912</v>
      </c>
    </row>
    <row r="9916" spans="1:20" ht="14.5" x14ac:dyDescent="0.35">
      <c r="A9916" s="10" t="s">
        <v>44187</v>
      </c>
      <c r="B9916" s="10" t="str">
        <f>"9781598579789"</f>
        <v>9781598579789</v>
      </c>
      <c r="C9916" s="10" t="str">
        <f>"9781681250687"</f>
        <v>9781681250687</v>
      </c>
      <c r="D9916" s="10" t="s">
        <v>28876</v>
      </c>
      <c r="E9916" s="10" t="s">
        <v>28877</v>
      </c>
      <c r="F9916" s="10" t="s">
        <v>39534</v>
      </c>
      <c r="G9916" s="10" t="s">
        <v>6317</v>
      </c>
      <c r="H9916" s="11">
        <v>42719</v>
      </c>
      <c r="I9916" s="10">
        <v>2016</v>
      </c>
      <c r="J9916" s="10" t="s">
        <v>28877</v>
      </c>
      <c r="K9916" s="10">
        <v>240</v>
      </c>
      <c r="L9916" s="10" t="s">
        <v>44188</v>
      </c>
      <c r="M9916" s="10">
        <v>1</v>
      </c>
      <c r="N9916" s="10"/>
      <c r="O9916" s="10"/>
      <c r="P9916" s="10" t="s">
        <v>44189</v>
      </c>
      <c r="Q9916" s="10">
        <v>649.64</v>
      </c>
      <c r="R9916" s="10" t="s">
        <v>44190</v>
      </c>
      <c r="S9916" s="10" t="s">
        <v>53</v>
      </c>
      <c r="T9916" s="10" t="s">
        <v>13383</v>
      </c>
    </row>
    <row r="9917" spans="1:20" ht="14.5" x14ac:dyDescent="0.35">
      <c r="A9917" s="10" t="s">
        <v>44191</v>
      </c>
      <c r="B9917" s="10" t="str">
        <f>"9781936763702"</f>
        <v>9781936763702</v>
      </c>
      <c r="C9917" s="10" t="str">
        <f>"9781936763719"</f>
        <v>9781936763719</v>
      </c>
      <c r="D9917" s="10" t="s">
        <v>37580</v>
      </c>
      <c r="E9917" s="10" t="s">
        <v>37581</v>
      </c>
      <c r="F9917" s="10" t="s">
        <v>37623</v>
      </c>
      <c r="G9917" s="10" t="s">
        <v>6317</v>
      </c>
      <c r="H9917" s="11">
        <v>42762</v>
      </c>
      <c r="I9917" s="10">
        <v>2017</v>
      </c>
      <c r="J9917" s="10" t="s">
        <v>37581</v>
      </c>
      <c r="K9917" s="10">
        <v>160</v>
      </c>
      <c r="L9917" s="10" t="s">
        <v>44192</v>
      </c>
      <c r="M9917" s="10">
        <v>1</v>
      </c>
      <c r="N9917" s="10" t="s">
        <v>37586</v>
      </c>
      <c r="O9917" s="10"/>
      <c r="P9917" s="10" t="s">
        <v>44193</v>
      </c>
      <c r="Q9917" s="10"/>
      <c r="R9917" s="10" t="s">
        <v>44194</v>
      </c>
      <c r="S9917" s="10" t="s">
        <v>53</v>
      </c>
      <c r="T9917" s="10" t="s">
        <v>54</v>
      </c>
    </row>
    <row r="9918" spans="1:20" ht="14.5" x14ac:dyDescent="0.35">
      <c r="A9918" s="10" t="s">
        <v>44195</v>
      </c>
      <c r="B9918" s="10" t="str">
        <f>"9781909391222"</f>
        <v>9781909391222</v>
      </c>
      <c r="C9918" s="10" t="str">
        <f>"9781909391260"</f>
        <v>9781909391260</v>
      </c>
      <c r="D9918" s="10" t="s">
        <v>10516</v>
      </c>
      <c r="E9918" s="10" t="s">
        <v>10516</v>
      </c>
      <c r="F9918" s="10" t="s">
        <v>139</v>
      </c>
      <c r="G9918" s="10" t="s">
        <v>6352</v>
      </c>
      <c r="H9918" s="11">
        <v>42907</v>
      </c>
      <c r="I9918" s="10">
        <v>2017</v>
      </c>
      <c r="J9918" s="10" t="s">
        <v>10516</v>
      </c>
      <c r="K9918" s="10">
        <v>194</v>
      </c>
      <c r="L9918" s="10" t="s">
        <v>44196</v>
      </c>
      <c r="M9918" s="10">
        <v>1</v>
      </c>
      <c r="N9918" s="10"/>
      <c r="O9918" s="10"/>
      <c r="P9918" s="10" t="s">
        <v>44197</v>
      </c>
      <c r="Q9918" s="10">
        <v>361.060833</v>
      </c>
      <c r="R9918" s="10" t="s">
        <v>44198</v>
      </c>
      <c r="S9918" s="10" t="s">
        <v>53</v>
      </c>
      <c r="T9918" s="10" t="s">
        <v>6363</v>
      </c>
    </row>
    <row r="9919" spans="1:20" ht="14.5" x14ac:dyDescent="0.35">
      <c r="A9919" s="10" t="s">
        <v>44199</v>
      </c>
      <c r="B9919" s="10" t="str">
        <f>"9781472942395"</f>
        <v>9781472942395</v>
      </c>
      <c r="C9919" s="10" t="str">
        <f>"9781472942401"</f>
        <v>9781472942401</v>
      </c>
      <c r="D9919" s="10" t="s">
        <v>13959</v>
      </c>
      <c r="E9919" s="10" t="s">
        <v>13960</v>
      </c>
      <c r="F9919" s="10" t="s">
        <v>139</v>
      </c>
      <c r="G9919" s="10" t="s">
        <v>6352</v>
      </c>
      <c r="H9919" s="11">
        <v>42817</v>
      </c>
      <c r="I9919" s="10">
        <v>2017</v>
      </c>
      <c r="J9919" s="10" t="s">
        <v>16948</v>
      </c>
      <c r="K9919" s="10">
        <v>153</v>
      </c>
      <c r="L9919" s="10" t="s">
        <v>26898</v>
      </c>
      <c r="M9919" s="10">
        <v>1</v>
      </c>
      <c r="N9919" s="10"/>
      <c r="O9919" s="10"/>
      <c r="P9919" s="10" t="s">
        <v>44200</v>
      </c>
      <c r="Q9919" s="10">
        <v>374.18018999999998</v>
      </c>
      <c r="R9919" s="10" t="s">
        <v>44201</v>
      </c>
      <c r="S9919" s="10" t="s">
        <v>53</v>
      </c>
      <c r="T9919" s="10" t="s">
        <v>54</v>
      </c>
    </row>
    <row r="9920" spans="1:20" ht="14.5" x14ac:dyDescent="0.35">
      <c r="A9920" s="10" t="s">
        <v>44202</v>
      </c>
      <c r="B9920" s="10" t="str">
        <f>"9781475825282"</f>
        <v>9781475825282</v>
      </c>
      <c r="C9920" s="10" t="str">
        <f>"9781475825305"</f>
        <v>9781475825305</v>
      </c>
      <c r="D9920" s="10" t="s">
        <v>9752</v>
      </c>
      <c r="E9920" s="10" t="s">
        <v>15187</v>
      </c>
      <c r="F9920" s="10" t="s">
        <v>9754</v>
      </c>
      <c r="G9920" s="10" t="s">
        <v>6317</v>
      </c>
      <c r="H9920" s="11">
        <v>42717</v>
      </c>
      <c r="I9920" s="10">
        <v>2016</v>
      </c>
      <c r="J9920" s="10" t="s">
        <v>15187</v>
      </c>
      <c r="K9920" s="10">
        <v>349</v>
      </c>
      <c r="L9920" s="10" t="s">
        <v>44203</v>
      </c>
      <c r="M9920" s="10">
        <v>1</v>
      </c>
      <c r="N9920" s="10"/>
      <c r="O9920" s="10"/>
      <c r="P9920" s="10" t="s">
        <v>44204</v>
      </c>
      <c r="Q9920" s="10">
        <v>371.10199999999998</v>
      </c>
      <c r="R9920" s="10" t="s">
        <v>44205</v>
      </c>
      <c r="S9920" s="10" t="s">
        <v>53</v>
      </c>
      <c r="T9920" s="10" t="s">
        <v>54</v>
      </c>
    </row>
    <row r="9921" spans="1:20" ht="14.5" x14ac:dyDescent="0.35">
      <c r="A9921" s="10" t="s">
        <v>44206</v>
      </c>
      <c r="B9921" s="10" t="str">
        <f>"9781943360116"</f>
        <v>9781943360116</v>
      </c>
      <c r="C9921" s="10" t="str">
        <f>"9781943360123"</f>
        <v>9781943360123</v>
      </c>
      <c r="D9921" s="10" t="s">
        <v>37594</v>
      </c>
      <c r="E9921" s="10" t="s">
        <v>37594</v>
      </c>
      <c r="F9921" s="10" t="s">
        <v>37623</v>
      </c>
      <c r="G9921" s="10" t="s">
        <v>6317</v>
      </c>
      <c r="H9921" s="11">
        <v>42762</v>
      </c>
      <c r="I9921" s="10">
        <v>2017</v>
      </c>
      <c r="J9921" s="10" t="s">
        <v>37594</v>
      </c>
      <c r="K9921" s="10">
        <v>136</v>
      </c>
      <c r="L9921" s="10" t="s">
        <v>44207</v>
      </c>
      <c r="M9921" s="10">
        <v>1</v>
      </c>
      <c r="N9921" s="10"/>
      <c r="O9921" s="10"/>
      <c r="P9921" s="10" t="s">
        <v>44208</v>
      </c>
      <c r="Q9921" s="10">
        <v>370.15230000000003</v>
      </c>
      <c r="R9921" s="10" t="s">
        <v>44209</v>
      </c>
      <c r="S9921" s="10" t="s">
        <v>53</v>
      </c>
      <c r="T9921" s="10" t="s">
        <v>54</v>
      </c>
    </row>
    <row r="9922" spans="1:20" ht="14.5" x14ac:dyDescent="0.35">
      <c r="A9922" s="10" t="s">
        <v>44210</v>
      </c>
      <c r="B9922" s="10" t="str">
        <f>"9781620365045"</f>
        <v>9781620365045</v>
      </c>
      <c r="C9922" s="10" t="str">
        <f>"9781000972306"</f>
        <v>9781000972306</v>
      </c>
      <c r="D9922" s="10" t="s">
        <v>6350</v>
      </c>
      <c r="E9922" s="10" t="s">
        <v>6351</v>
      </c>
      <c r="F9922" s="10" t="s">
        <v>748</v>
      </c>
      <c r="G9922" s="10" t="s">
        <v>6352</v>
      </c>
      <c r="H9922" s="11">
        <v>42745</v>
      </c>
      <c r="I9922" s="10">
        <v>2017</v>
      </c>
      <c r="J9922" s="10" t="s">
        <v>6351</v>
      </c>
      <c r="K9922" s="10">
        <v>260</v>
      </c>
      <c r="L9922" s="10" t="s">
        <v>44211</v>
      </c>
      <c r="M9922" s="10">
        <v>1</v>
      </c>
      <c r="N9922" s="10"/>
      <c r="O9922" s="10"/>
      <c r="P9922" s="10" t="s">
        <v>44212</v>
      </c>
      <c r="Q9922" s="10">
        <v>371.39</v>
      </c>
      <c r="R9922" s="10" t="s">
        <v>44213</v>
      </c>
      <c r="S9922" s="10" t="s">
        <v>53</v>
      </c>
      <c r="T9922" s="10" t="s">
        <v>54</v>
      </c>
    </row>
    <row r="9923" spans="1:20" ht="14.5" x14ac:dyDescent="0.35">
      <c r="A9923" s="10" t="s">
        <v>44214</v>
      </c>
      <c r="B9923" s="10" t="str">
        <f>"9782763730424"</f>
        <v>9782763730424</v>
      </c>
      <c r="C9923" s="10" t="str">
        <f>"9782763730431"</f>
        <v>9782763730431</v>
      </c>
      <c r="D9923" s="10" t="s">
        <v>44215</v>
      </c>
      <c r="E9923" s="10" t="s">
        <v>44216</v>
      </c>
      <c r="F9923" s="10" t="s">
        <v>955</v>
      </c>
      <c r="G9923" s="10" t="s">
        <v>9536</v>
      </c>
      <c r="H9923" s="11">
        <v>42475</v>
      </c>
      <c r="I9923" s="10">
        <v>2016</v>
      </c>
      <c r="J9923" s="10" t="s">
        <v>44216</v>
      </c>
      <c r="K9923" s="10">
        <v>90</v>
      </c>
      <c r="L9923" s="10" t="s">
        <v>44217</v>
      </c>
      <c r="M9923" s="10">
        <v>1</v>
      </c>
      <c r="N9923" s="10"/>
      <c r="O9923" s="10"/>
      <c r="P9923" s="10" t="s">
        <v>44218</v>
      </c>
      <c r="Q9923" s="10">
        <v>371.10207200000002</v>
      </c>
      <c r="R9923" s="10" t="s">
        <v>44219</v>
      </c>
      <c r="S9923" s="10" t="s">
        <v>5404</v>
      </c>
      <c r="T9923" s="10" t="s">
        <v>54</v>
      </c>
    </row>
    <row r="9924" spans="1:20" ht="14.5" x14ac:dyDescent="0.35">
      <c r="A9924" s="10" t="s">
        <v>44220</v>
      </c>
      <c r="B9924" s="10" t="str">
        <f>"9781598576689"</f>
        <v>9781598576689</v>
      </c>
      <c r="C9924" s="10" t="str">
        <f>"9781598578966"</f>
        <v>9781598578966</v>
      </c>
      <c r="D9924" s="10" t="s">
        <v>28876</v>
      </c>
      <c r="E9924" s="10" t="s">
        <v>28877</v>
      </c>
      <c r="F9924" s="10" t="s">
        <v>39534</v>
      </c>
      <c r="G9924" s="10" t="s">
        <v>6317</v>
      </c>
      <c r="H9924" s="11">
        <v>42736</v>
      </c>
      <c r="I9924" s="10">
        <v>2015</v>
      </c>
      <c r="J9924" s="10" t="s">
        <v>28877</v>
      </c>
      <c r="K9924" s="10">
        <v>378</v>
      </c>
      <c r="L9924" s="10" t="s">
        <v>44221</v>
      </c>
      <c r="M9924" s="10">
        <v>2</v>
      </c>
      <c r="N9924" s="10"/>
      <c r="O9924" s="10"/>
      <c r="P9924" s="10" t="s">
        <v>44222</v>
      </c>
      <c r="Q9924" s="10">
        <v>372.21</v>
      </c>
      <c r="R9924" s="10" t="s">
        <v>24042</v>
      </c>
      <c r="S9924" s="10" t="s">
        <v>53</v>
      </c>
      <c r="T9924" s="10" t="s">
        <v>54</v>
      </c>
    </row>
    <row r="9925" spans="1:20" ht="14.5" x14ac:dyDescent="0.35">
      <c r="A9925" s="10" t="s">
        <v>44223</v>
      </c>
      <c r="B9925" s="10" t="str">
        <f>"9781416623106"</f>
        <v>9781416623106</v>
      </c>
      <c r="C9925" s="10" t="str">
        <f>"9781416623120"</f>
        <v>9781416623120</v>
      </c>
      <c r="D9925" s="10" t="s">
        <v>10014</v>
      </c>
      <c r="E9925" s="10" t="s">
        <v>10015</v>
      </c>
      <c r="F9925" s="10" t="s">
        <v>201</v>
      </c>
      <c r="G9925" s="10" t="s">
        <v>6317</v>
      </c>
      <c r="H9925" s="11">
        <v>42752</v>
      </c>
      <c r="I9925" s="10">
        <v>2017</v>
      </c>
      <c r="J9925" s="10" t="s">
        <v>10015</v>
      </c>
      <c r="K9925" s="10">
        <v>114</v>
      </c>
      <c r="L9925" s="10" t="s">
        <v>16000</v>
      </c>
      <c r="M9925" s="10">
        <v>1</v>
      </c>
      <c r="N9925" s="10"/>
      <c r="O9925" s="10"/>
      <c r="P9925" s="10" t="s">
        <v>44224</v>
      </c>
      <c r="Q9925" s="10">
        <v>372.44</v>
      </c>
      <c r="R9925" s="10" t="s">
        <v>44225</v>
      </c>
      <c r="S9925" s="10" t="s">
        <v>53</v>
      </c>
      <c r="T9925" s="10" t="s">
        <v>54</v>
      </c>
    </row>
    <row r="9926" spans="1:20" ht="14.5" x14ac:dyDescent="0.35">
      <c r="A9926" s="10" t="s">
        <v>44226</v>
      </c>
      <c r="B9926" s="10" t="str">
        <f>"9781475830842"</f>
        <v>9781475830842</v>
      </c>
      <c r="C9926" s="10" t="str">
        <f>"9781475830859"</f>
        <v>9781475830859</v>
      </c>
      <c r="D9926" s="10" t="s">
        <v>9752</v>
      </c>
      <c r="E9926" s="10" t="s">
        <v>15187</v>
      </c>
      <c r="F9926" s="10" t="s">
        <v>9754</v>
      </c>
      <c r="G9926" s="10" t="s">
        <v>6317</v>
      </c>
      <c r="H9926" s="11">
        <v>42716</v>
      </c>
      <c r="I9926" s="10">
        <v>2016</v>
      </c>
      <c r="J9926" s="10" t="s">
        <v>15187</v>
      </c>
      <c r="K9926" s="10">
        <v>124</v>
      </c>
      <c r="L9926" s="10" t="s">
        <v>43414</v>
      </c>
      <c r="M9926" s="10">
        <v>1</v>
      </c>
      <c r="N9926" s="10"/>
      <c r="O9926" s="10"/>
      <c r="P9926" s="10" t="s">
        <v>44227</v>
      </c>
      <c r="Q9926" s="10">
        <v>372.21</v>
      </c>
      <c r="R9926" s="10" t="s">
        <v>44228</v>
      </c>
      <c r="S9926" s="10" t="s">
        <v>53</v>
      </c>
      <c r="T9926" s="10" t="s">
        <v>54</v>
      </c>
    </row>
    <row r="9927" spans="1:20" ht="14.5" x14ac:dyDescent="0.35">
      <c r="A9927" s="10" t="s">
        <v>44229</v>
      </c>
      <c r="B9927" s="10" t="str">
        <f>"9781475828917"</f>
        <v>9781475828917</v>
      </c>
      <c r="C9927" s="10" t="str">
        <f>"9781475828924"</f>
        <v>9781475828924</v>
      </c>
      <c r="D9927" s="10" t="s">
        <v>9752</v>
      </c>
      <c r="E9927" s="10" t="s">
        <v>15187</v>
      </c>
      <c r="F9927" s="10" t="s">
        <v>9754</v>
      </c>
      <c r="G9927" s="10" t="s">
        <v>6317</v>
      </c>
      <c r="H9927" s="11">
        <v>42731</v>
      </c>
      <c r="I9927" s="10">
        <v>2016</v>
      </c>
      <c r="J9927" s="10" t="s">
        <v>15187</v>
      </c>
      <c r="K9927" s="10">
        <v>103</v>
      </c>
      <c r="L9927" s="10" t="s">
        <v>44230</v>
      </c>
      <c r="M9927" s="10">
        <v>1</v>
      </c>
      <c r="N9927" s="10"/>
      <c r="O9927" s="10"/>
      <c r="P9927" s="10" t="s">
        <v>44231</v>
      </c>
      <c r="Q9927" s="10">
        <v>372.12</v>
      </c>
      <c r="R9927" s="10" t="s">
        <v>43637</v>
      </c>
      <c r="S9927" s="10" t="s">
        <v>53</v>
      </c>
      <c r="T9927" s="10" t="s">
        <v>54</v>
      </c>
    </row>
    <row r="9928" spans="1:20" ht="14.5" x14ac:dyDescent="0.35">
      <c r="A9928" s="10" t="s">
        <v>44232</v>
      </c>
      <c r="B9928" s="10" t="str">
        <f>"9781681236889"</f>
        <v>9781681236889</v>
      </c>
      <c r="C9928" s="10" t="str">
        <f>"9781681236902"</f>
        <v>9781681236902</v>
      </c>
      <c r="D9928" s="10" t="s">
        <v>274</v>
      </c>
      <c r="E9928" s="10" t="s">
        <v>35170</v>
      </c>
      <c r="F9928" s="10" t="s">
        <v>35171</v>
      </c>
      <c r="G9928" s="10" t="s">
        <v>6317</v>
      </c>
      <c r="H9928" s="11">
        <v>42767</v>
      </c>
      <c r="I9928" s="10">
        <v>2016</v>
      </c>
      <c r="J9928" s="10" t="s">
        <v>35170</v>
      </c>
      <c r="K9928" s="10">
        <v>297</v>
      </c>
      <c r="L9928" s="10" t="s">
        <v>44233</v>
      </c>
      <c r="M9928" s="10">
        <v>1</v>
      </c>
      <c r="N9928" s="10" t="s">
        <v>44234</v>
      </c>
      <c r="O9928" s="10"/>
      <c r="P9928" s="10" t="s">
        <v>44235</v>
      </c>
      <c r="Q9928" s="10" t="s">
        <v>16786</v>
      </c>
      <c r="R9928" s="10" t="s">
        <v>44236</v>
      </c>
      <c r="S9928" s="10" t="s">
        <v>53</v>
      </c>
      <c r="T9928" s="10" t="s">
        <v>36226</v>
      </c>
    </row>
    <row r="9929" spans="1:20" ht="14.5" x14ac:dyDescent="0.35">
      <c r="A9929" s="10" t="s">
        <v>44237</v>
      </c>
      <c r="B9929" s="10" t="str">
        <f>"9781681237435"</f>
        <v>9781681237435</v>
      </c>
      <c r="C9929" s="10" t="str">
        <f>"9781681237459"</f>
        <v>9781681237459</v>
      </c>
      <c r="D9929" s="10" t="s">
        <v>274</v>
      </c>
      <c r="E9929" s="10" t="s">
        <v>35170</v>
      </c>
      <c r="F9929" s="10" t="s">
        <v>35171</v>
      </c>
      <c r="G9929" s="10" t="s">
        <v>6317</v>
      </c>
      <c r="H9929" s="11">
        <v>42826</v>
      </c>
      <c r="I9929" s="10">
        <v>2016</v>
      </c>
      <c r="J9929" s="10" t="s">
        <v>35170</v>
      </c>
      <c r="K9929" s="10">
        <v>306</v>
      </c>
      <c r="L9929" s="10" t="s">
        <v>44238</v>
      </c>
      <c r="M9929" s="10">
        <v>1</v>
      </c>
      <c r="N9929" s="10" t="s">
        <v>44239</v>
      </c>
      <c r="O9929" s="10"/>
      <c r="P9929" s="10" t="s">
        <v>44240</v>
      </c>
      <c r="Q9929" s="10">
        <v>335.43</v>
      </c>
      <c r="R9929" s="10" t="s">
        <v>44241</v>
      </c>
      <c r="S9929" s="10" t="s">
        <v>53</v>
      </c>
      <c r="T9929" s="10" t="s">
        <v>44242</v>
      </c>
    </row>
    <row r="9930" spans="1:20" ht="14.5" x14ac:dyDescent="0.35">
      <c r="A9930" s="10" t="s">
        <v>44243</v>
      </c>
      <c r="B9930" s="10" t="str">
        <f>"9781787142183"</f>
        <v>9781787142183</v>
      </c>
      <c r="C9930" s="10" t="str">
        <f>"9781787142190"</f>
        <v>9781787142190</v>
      </c>
      <c r="D9930" s="10" t="s">
        <v>8699</v>
      </c>
      <c r="E9930" s="10" t="s">
        <v>8699</v>
      </c>
      <c r="F9930" s="10" t="s">
        <v>41843</v>
      </c>
      <c r="G9930" s="10" t="s">
        <v>6352</v>
      </c>
      <c r="H9930" s="11">
        <v>42685</v>
      </c>
      <c r="I9930" s="10">
        <v>2016</v>
      </c>
      <c r="J9930" s="10" t="s">
        <v>115</v>
      </c>
      <c r="K9930" s="10">
        <v>101</v>
      </c>
      <c r="L9930" s="10" t="s">
        <v>44244</v>
      </c>
      <c r="M9930" s="10">
        <v>1</v>
      </c>
      <c r="N9930" s="10" t="s">
        <v>32704</v>
      </c>
      <c r="O9930" s="10">
        <v>6</v>
      </c>
      <c r="P9930" s="10" t="s">
        <v>44245</v>
      </c>
      <c r="Q9930" s="10">
        <v>370.11304999999902</v>
      </c>
      <c r="R9930" s="10" t="s">
        <v>44246</v>
      </c>
      <c r="S9930" s="10" t="s">
        <v>53</v>
      </c>
      <c r="T9930" s="10" t="s">
        <v>54</v>
      </c>
    </row>
    <row r="9931" spans="1:20" ht="14.5" x14ac:dyDescent="0.35">
      <c r="A9931" s="10" t="s">
        <v>44247</v>
      </c>
      <c r="B9931" s="10" t="str">
        <f>"9781475831320"</f>
        <v>9781475831320</v>
      </c>
      <c r="C9931" s="10" t="str">
        <f>"9781475831337"</f>
        <v>9781475831337</v>
      </c>
      <c r="D9931" s="10" t="s">
        <v>9752</v>
      </c>
      <c r="E9931" s="10" t="s">
        <v>15187</v>
      </c>
      <c r="F9931" s="10" t="s">
        <v>9754</v>
      </c>
      <c r="G9931" s="10" t="s">
        <v>6317</v>
      </c>
      <c r="H9931" s="11">
        <v>42690</v>
      </c>
      <c r="I9931" s="10">
        <v>2016</v>
      </c>
      <c r="J9931" s="10" t="s">
        <v>15187</v>
      </c>
      <c r="K9931" s="10">
        <v>93</v>
      </c>
      <c r="L9931" s="10" t="s">
        <v>43255</v>
      </c>
      <c r="M9931" s="10">
        <v>1</v>
      </c>
      <c r="N9931" s="10" t="s">
        <v>43256</v>
      </c>
      <c r="O9931" s="10"/>
      <c r="P9931" s="10" t="s">
        <v>44248</v>
      </c>
      <c r="Q9931" s="10">
        <v>371.10199999999998</v>
      </c>
      <c r="R9931" s="10" t="s">
        <v>44249</v>
      </c>
      <c r="S9931" s="10" t="s">
        <v>53</v>
      </c>
      <c r="T9931" s="10" t="s">
        <v>54</v>
      </c>
    </row>
    <row r="9932" spans="1:20" ht="14.5" x14ac:dyDescent="0.35">
      <c r="A9932" s="10" t="s">
        <v>44250</v>
      </c>
      <c r="B9932" s="10" t="str">
        <f>"9781475825015"</f>
        <v>9781475825015</v>
      </c>
      <c r="C9932" s="10" t="str">
        <f>"9781475825039"</f>
        <v>9781475825039</v>
      </c>
      <c r="D9932" s="10" t="s">
        <v>9752</v>
      </c>
      <c r="E9932" s="10" t="s">
        <v>15187</v>
      </c>
      <c r="F9932" s="10" t="s">
        <v>9754</v>
      </c>
      <c r="G9932" s="10" t="s">
        <v>6317</v>
      </c>
      <c r="H9932" s="11">
        <v>42705</v>
      </c>
      <c r="I9932" s="10">
        <v>2016</v>
      </c>
      <c r="J9932" s="10" t="s">
        <v>15187</v>
      </c>
      <c r="K9932" s="10">
        <v>159</v>
      </c>
      <c r="L9932" s="10" t="s">
        <v>44251</v>
      </c>
      <c r="M9932" s="10">
        <v>1</v>
      </c>
      <c r="N9932" s="10"/>
      <c r="O9932" s="10"/>
      <c r="P9932" s="10" t="s">
        <v>44252</v>
      </c>
      <c r="Q9932" s="10"/>
      <c r="R9932" s="10" t="s">
        <v>44253</v>
      </c>
      <c r="S9932" s="10" t="s">
        <v>53</v>
      </c>
      <c r="T9932" s="10" t="s">
        <v>6601</v>
      </c>
    </row>
    <row r="9933" spans="1:20" ht="14.5" x14ac:dyDescent="0.35">
      <c r="A9933" s="10" t="s">
        <v>44254</v>
      </c>
      <c r="B9933" s="10" t="str">
        <f>"9780813588667"</f>
        <v>9780813588667</v>
      </c>
      <c r="C9933" s="10" t="str">
        <f>"9780813588681"</f>
        <v>9780813588681</v>
      </c>
      <c r="D9933" s="10" t="s">
        <v>12251</v>
      </c>
      <c r="E9933" s="10" t="s">
        <v>12251</v>
      </c>
      <c r="F9933" s="10" t="s">
        <v>12451</v>
      </c>
      <c r="G9933" s="10" t="s">
        <v>6317</v>
      </c>
      <c r="H9933" s="11">
        <v>42815</v>
      </c>
      <c r="I9933" s="10">
        <v>2017</v>
      </c>
      <c r="J9933" s="10" t="s">
        <v>12251</v>
      </c>
      <c r="K9933" s="10">
        <v>206</v>
      </c>
      <c r="L9933" s="10" t="s">
        <v>44255</v>
      </c>
      <c r="M9933" s="10">
        <v>1</v>
      </c>
      <c r="N9933" s="10"/>
      <c r="O9933" s="10"/>
      <c r="P9933" s="10" t="s">
        <v>44256</v>
      </c>
      <c r="Q9933" s="10"/>
      <c r="R9933" s="10"/>
      <c r="S9933" s="10" t="s">
        <v>53</v>
      </c>
      <c r="T9933" s="10" t="s">
        <v>54</v>
      </c>
    </row>
    <row r="9934" spans="1:20" ht="14.5" x14ac:dyDescent="0.35">
      <c r="A9934" s="10" t="s">
        <v>44257</v>
      </c>
      <c r="B9934" s="10" t="str">
        <f>"9780813590486"</f>
        <v>9780813590486</v>
      </c>
      <c r="C9934" s="10" t="str">
        <f>"9780813584096"</f>
        <v>9780813584096</v>
      </c>
      <c r="D9934" s="10" t="s">
        <v>12251</v>
      </c>
      <c r="E9934" s="10" t="s">
        <v>12251</v>
      </c>
      <c r="F9934" s="10" t="s">
        <v>12451</v>
      </c>
      <c r="G9934" s="10" t="s">
        <v>6317</v>
      </c>
      <c r="H9934" s="11">
        <v>42919</v>
      </c>
      <c r="I9934" s="10">
        <v>2017</v>
      </c>
      <c r="J9934" s="10" t="s">
        <v>12251</v>
      </c>
      <c r="K9934" s="10">
        <v>220</v>
      </c>
      <c r="L9934" s="10" t="s">
        <v>44258</v>
      </c>
      <c r="M9934" s="10">
        <v>1</v>
      </c>
      <c r="N9934" s="10" t="s">
        <v>44259</v>
      </c>
      <c r="O9934" s="10"/>
      <c r="P9934" s="10" t="s">
        <v>44260</v>
      </c>
      <c r="Q9934" s="10">
        <v>371.7160973</v>
      </c>
      <c r="R9934" s="10" t="s">
        <v>44261</v>
      </c>
      <c r="S9934" s="10" t="s">
        <v>53</v>
      </c>
      <c r="T9934" s="10" t="s">
        <v>54</v>
      </c>
    </row>
    <row r="9935" spans="1:20" ht="14.5" x14ac:dyDescent="0.35">
      <c r="A9935" s="10" t="s">
        <v>44262</v>
      </c>
      <c r="B9935" s="10" t="str">
        <f>"9781475827217"</f>
        <v>9781475827217</v>
      </c>
      <c r="C9935" s="10" t="str">
        <f>"9781475827231"</f>
        <v>9781475827231</v>
      </c>
      <c r="D9935" s="10" t="s">
        <v>9752</v>
      </c>
      <c r="E9935" s="10" t="s">
        <v>15187</v>
      </c>
      <c r="F9935" s="10" t="s">
        <v>9754</v>
      </c>
      <c r="G9935" s="10" t="s">
        <v>6317</v>
      </c>
      <c r="H9935" s="11">
        <v>42647</v>
      </c>
      <c r="I9935" s="10">
        <v>2016</v>
      </c>
      <c r="J9935" s="10" t="s">
        <v>15187</v>
      </c>
      <c r="K9935" s="10">
        <v>159</v>
      </c>
      <c r="L9935" s="10" t="s">
        <v>25982</v>
      </c>
      <c r="M9935" s="10">
        <v>1</v>
      </c>
      <c r="N9935" s="10"/>
      <c r="O9935" s="10"/>
      <c r="P9935" s="10" t="s">
        <v>44263</v>
      </c>
      <c r="Q9935" s="10"/>
      <c r="R9935" s="10" t="s">
        <v>39872</v>
      </c>
      <c r="S9935" s="10" t="s">
        <v>53</v>
      </c>
      <c r="T9935" s="10" t="s">
        <v>54</v>
      </c>
    </row>
    <row r="9936" spans="1:20" ht="14.5" x14ac:dyDescent="0.35">
      <c r="A9936" s="10" t="s">
        <v>44264</v>
      </c>
      <c r="B9936" s="10" t="str">
        <f>"9781119049708"</f>
        <v>9781119049708</v>
      </c>
      <c r="C9936" s="10" t="str">
        <f>"9781119050650"</f>
        <v>9781119050650</v>
      </c>
      <c r="D9936" s="10" t="s">
        <v>6322</v>
      </c>
      <c r="E9936" s="10" t="s">
        <v>6323</v>
      </c>
      <c r="F9936" s="10" t="s">
        <v>4423</v>
      </c>
      <c r="G9936" s="10" t="s">
        <v>6317</v>
      </c>
      <c r="H9936" s="11">
        <v>42779</v>
      </c>
      <c r="I9936" s="10">
        <v>2017</v>
      </c>
      <c r="J9936" s="10" t="s">
        <v>6324</v>
      </c>
      <c r="K9936" s="10">
        <v>307</v>
      </c>
      <c r="L9936" s="10" t="s">
        <v>24764</v>
      </c>
      <c r="M9936" s="10">
        <v>2</v>
      </c>
      <c r="N9936" s="10"/>
      <c r="O9936" s="10"/>
      <c r="P9936" s="10" t="s">
        <v>44265</v>
      </c>
      <c r="Q9936" s="10" t="s">
        <v>9298</v>
      </c>
      <c r="R9936" s="10" t="s">
        <v>8224</v>
      </c>
      <c r="S9936" s="10" t="s">
        <v>53</v>
      </c>
      <c r="T9936" s="10" t="s">
        <v>54</v>
      </c>
    </row>
    <row r="9937" spans="1:20" ht="14.5" x14ac:dyDescent="0.35">
      <c r="A9937" s="10" t="s">
        <v>44266</v>
      </c>
      <c r="B9937" s="10" t="str">
        <f>"9780991374830"</f>
        <v>9780991374830</v>
      </c>
      <c r="C9937" s="10" t="str">
        <f>"9780991374847"</f>
        <v>9780991374847</v>
      </c>
      <c r="D9937" s="10" t="s">
        <v>37580</v>
      </c>
      <c r="E9937" s="10" t="s">
        <v>37581</v>
      </c>
      <c r="F9937" s="10" t="s">
        <v>37623</v>
      </c>
      <c r="G9937" s="10" t="s">
        <v>6317</v>
      </c>
      <c r="H9937" s="11">
        <v>42776</v>
      </c>
      <c r="I9937" s="10">
        <v>2017</v>
      </c>
      <c r="J9937" s="10" t="s">
        <v>37581</v>
      </c>
      <c r="K9937" s="10">
        <v>168</v>
      </c>
      <c r="L9937" s="10" t="s">
        <v>44267</v>
      </c>
      <c r="M9937" s="10">
        <v>1</v>
      </c>
      <c r="N9937" s="10"/>
      <c r="O9937" s="10"/>
      <c r="P9937" s="10" t="s">
        <v>44268</v>
      </c>
      <c r="Q9937" s="10"/>
      <c r="R9937" s="10" t="s">
        <v>44269</v>
      </c>
      <c r="S9937" s="10" t="s">
        <v>53</v>
      </c>
      <c r="T9937" s="10" t="s">
        <v>54</v>
      </c>
    </row>
    <row r="9938" spans="1:20" ht="14.5" x14ac:dyDescent="0.35">
      <c r="A9938" s="10" t="s">
        <v>44270</v>
      </c>
      <c r="B9938" s="10" t="str">
        <f>""</f>
        <v/>
      </c>
      <c r="C9938" s="10" t="str">
        <f>"9781945459085"</f>
        <v>9781945459085</v>
      </c>
      <c r="D9938" s="10" t="s">
        <v>44271</v>
      </c>
      <c r="E9938" s="10" t="s">
        <v>44272</v>
      </c>
      <c r="F9938" s="10" t="s">
        <v>41227</v>
      </c>
      <c r="G9938" s="10" t="s">
        <v>6317</v>
      </c>
      <c r="H9938" s="11">
        <v>42762</v>
      </c>
      <c r="I9938" s="10">
        <v>2019</v>
      </c>
      <c r="J9938" s="10" t="s">
        <v>44272</v>
      </c>
      <c r="K9938" s="10">
        <v>85</v>
      </c>
      <c r="L9938" s="10" t="s">
        <v>44273</v>
      </c>
      <c r="M9938" s="10">
        <v>1</v>
      </c>
      <c r="N9938" s="10"/>
      <c r="O9938" s="10"/>
      <c r="P9938" s="10" t="s">
        <v>44274</v>
      </c>
      <c r="Q9938" s="10"/>
      <c r="R9938" s="10" t="s">
        <v>41358</v>
      </c>
      <c r="S9938" s="10" t="s">
        <v>53</v>
      </c>
      <c r="T9938" s="10" t="s">
        <v>54</v>
      </c>
    </row>
    <row r="9939" spans="1:20" ht="14.5" x14ac:dyDescent="0.35">
      <c r="A9939" s="10" t="s">
        <v>44275</v>
      </c>
      <c r="B9939" s="10" t="str">
        <f>"9781620365847"</f>
        <v>9781620365847</v>
      </c>
      <c r="C9939" s="10" t="str">
        <f>"9781000973419"</f>
        <v>9781000973419</v>
      </c>
      <c r="D9939" s="10" t="s">
        <v>6350</v>
      </c>
      <c r="E9939" s="10" t="s">
        <v>6351</v>
      </c>
      <c r="F9939" s="10" t="s">
        <v>748</v>
      </c>
      <c r="G9939" s="10" t="s">
        <v>6352</v>
      </c>
      <c r="H9939" s="11">
        <v>42758</v>
      </c>
      <c r="I9939" s="10">
        <v>2017</v>
      </c>
      <c r="J9939" s="10" t="s">
        <v>6351</v>
      </c>
      <c r="K9939" s="10">
        <v>178</v>
      </c>
      <c r="L9939" s="10" t="s">
        <v>44276</v>
      </c>
      <c r="M9939" s="10">
        <v>1</v>
      </c>
      <c r="N9939" s="10"/>
      <c r="O9939" s="10"/>
      <c r="P9939" s="10"/>
      <c r="Q9939" s="10">
        <v>808.04207110000004</v>
      </c>
      <c r="R9939" s="10" t="s">
        <v>44277</v>
      </c>
      <c r="S9939" s="10" t="s">
        <v>53</v>
      </c>
      <c r="T9939" s="10" t="s">
        <v>1166</v>
      </c>
    </row>
    <row r="9940" spans="1:20" ht="14.5" x14ac:dyDescent="0.35">
      <c r="A9940" s="10" t="s">
        <v>44278</v>
      </c>
      <c r="B9940" s="10" t="str">
        <f>"9781475825169"</f>
        <v>9781475825169</v>
      </c>
      <c r="C9940" s="10" t="str">
        <f>"9781475825183"</f>
        <v>9781475825183</v>
      </c>
      <c r="D9940" s="10" t="s">
        <v>9752</v>
      </c>
      <c r="E9940" s="10" t="s">
        <v>15187</v>
      </c>
      <c r="F9940" s="10" t="s">
        <v>9754</v>
      </c>
      <c r="G9940" s="10" t="s">
        <v>6317</v>
      </c>
      <c r="H9940" s="11">
        <v>42774</v>
      </c>
      <c r="I9940" s="10">
        <v>2017</v>
      </c>
      <c r="J9940" s="10" t="s">
        <v>15187</v>
      </c>
      <c r="K9940" s="10">
        <v>178</v>
      </c>
      <c r="L9940" s="10" t="s">
        <v>44279</v>
      </c>
      <c r="M9940" s="10">
        <v>1</v>
      </c>
      <c r="N9940" s="10"/>
      <c r="O9940" s="10"/>
      <c r="P9940" s="10" t="s">
        <v>44280</v>
      </c>
      <c r="Q9940" s="10"/>
      <c r="R9940" s="10" t="s">
        <v>44281</v>
      </c>
      <c r="S9940" s="10" t="s">
        <v>53</v>
      </c>
      <c r="T9940" s="10" t="s">
        <v>54</v>
      </c>
    </row>
    <row r="9941" spans="1:20" ht="14.5" x14ac:dyDescent="0.35">
      <c r="A9941" s="10" t="s">
        <v>44282</v>
      </c>
      <c r="B9941" s="10" t="str">
        <f>"9781475833096"</f>
        <v>9781475833096</v>
      </c>
      <c r="C9941" s="10" t="str">
        <f>"9781475833102"</f>
        <v>9781475833102</v>
      </c>
      <c r="D9941" s="10" t="s">
        <v>9752</v>
      </c>
      <c r="E9941" s="10" t="s">
        <v>15187</v>
      </c>
      <c r="F9941" s="10" t="s">
        <v>9754</v>
      </c>
      <c r="G9941" s="10" t="s">
        <v>6317</v>
      </c>
      <c r="H9941" s="11">
        <v>42774</v>
      </c>
      <c r="I9941" s="10">
        <v>2017</v>
      </c>
      <c r="J9941" s="10" t="s">
        <v>15187</v>
      </c>
      <c r="K9941" s="10">
        <v>101</v>
      </c>
      <c r="L9941" s="10" t="s">
        <v>44283</v>
      </c>
      <c r="M9941" s="10">
        <v>1</v>
      </c>
      <c r="N9941" s="10" t="s">
        <v>27718</v>
      </c>
      <c r="O9941" s="10"/>
      <c r="P9941" s="10" t="s">
        <v>44284</v>
      </c>
      <c r="Q9941" s="10" t="s">
        <v>14718</v>
      </c>
      <c r="R9941" s="10" t="s">
        <v>44285</v>
      </c>
      <c r="S9941" s="10" t="s">
        <v>53</v>
      </c>
      <c r="T9941" s="10" t="s">
        <v>54</v>
      </c>
    </row>
    <row r="9942" spans="1:20" ht="14.5" x14ac:dyDescent="0.35">
      <c r="A9942" s="10" t="s">
        <v>44286</v>
      </c>
      <c r="B9942" s="10" t="str">
        <f>"9781475827118"</f>
        <v>9781475827118</v>
      </c>
      <c r="C9942" s="10" t="str">
        <f>"9781475827132"</f>
        <v>9781475827132</v>
      </c>
      <c r="D9942" s="10" t="s">
        <v>9752</v>
      </c>
      <c r="E9942" s="10" t="s">
        <v>15187</v>
      </c>
      <c r="F9942" s="10" t="s">
        <v>9754</v>
      </c>
      <c r="G9942" s="10" t="s">
        <v>6317</v>
      </c>
      <c r="H9942" s="11">
        <v>42776</v>
      </c>
      <c r="I9942" s="10">
        <v>2017</v>
      </c>
      <c r="J9942" s="10" t="s">
        <v>15187</v>
      </c>
      <c r="K9942" s="10">
        <v>171</v>
      </c>
      <c r="L9942" s="10" t="s">
        <v>44287</v>
      </c>
      <c r="M9942" s="10">
        <v>1</v>
      </c>
      <c r="N9942" s="10"/>
      <c r="O9942" s="10"/>
      <c r="P9942" s="10" t="s">
        <v>44288</v>
      </c>
      <c r="Q9942" s="10"/>
      <c r="R9942" s="10" t="s">
        <v>44289</v>
      </c>
      <c r="S9942" s="10" t="s">
        <v>53</v>
      </c>
      <c r="T9942" s="10" t="s">
        <v>54</v>
      </c>
    </row>
    <row r="9943" spans="1:20" ht="14.5" x14ac:dyDescent="0.35">
      <c r="A9943" s="10" t="s">
        <v>44290</v>
      </c>
      <c r="B9943" s="10" t="str">
        <f>"9781119242437"</f>
        <v>9781119242437</v>
      </c>
      <c r="C9943" s="10" t="str">
        <f>"9781119242710"</f>
        <v>9781119242710</v>
      </c>
      <c r="D9943" s="10" t="s">
        <v>6322</v>
      </c>
      <c r="E9943" s="10" t="s">
        <v>6323</v>
      </c>
      <c r="F9943" s="10" t="s">
        <v>4423</v>
      </c>
      <c r="G9943" s="10" t="s">
        <v>6317</v>
      </c>
      <c r="H9943" s="11">
        <v>42779</v>
      </c>
      <c r="I9943" s="10">
        <v>2017</v>
      </c>
      <c r="J9943" s="10" t="s">
        <v>6324</v>
      </c>
      <c r="K9943" s="10">
        <v>242</v>
      </c>
      <c r="L9943" s="10" t="s">
        <v>44291</v>
      </c>
      <c r="M9943" s="10">
        <v>1</v>
      </c>
      <c r="N9943" s="10"/>
      <c r="O9943" s="10"/>
      <c r="P9943" s="10"/>
      <c r="Q9943" s="10">
        <v>371.2</v>
      </c>
      <c r="R9943" s="10" t="s">
        <v>44292</v>
      </c>
      <c r="S9943" s="10" t="s">
        <v>53</v>
      </c>
      <c r="T9943" s="10" t="s">
        <v>54</v>
      </c>
    </row>
    <row r="9944" spans="1:20" ht="14.5" x14ac:dyDescent="0.35">
      <c r="A9944" s="10" t="s">
        <v>44293</v>
      </c>
      <c r="B9944" s="10" t="str">
        <f>"9783110053227"</f>
        <v>9783110053227</v>
      </c>
      <c r="C9944" s="10" t="str">
        <f>"9783110856774"</f>
        <v>9783110856774</v>
      </c>
      <c r="D9944" s="10" t="s">
        <v>9995</v>
      </c>
      <c r="E9944" s="10" t="s">
        <v>2515</v>
      </c>
      <c r="F9944" s="10" t="s">
        <v>9997</v>
      </c>
      <c r="G9944" s="10" t="s">
        <v>9998</v>
      </c>
      <c r="H9944" s="11">
        <v>21217</v>
      </c>
      <c r="I9944" s="10">
        <v>1958</v>
      </c>
      <c r="J9944" s="10" t="s">
        <v>2515</v>
      </c>
      <c r="K9944" s="10">
        <v>224</v>
      </c>
      <c r="L9944" s="10" t="s">
        <v>44294</v>
      </c>
      <c r="M9944" s="10">
        <v>1</v>
      </c>
      <c r="N9944" s="10"/>
      <c r="O9944" s="10"/>
      <c r="P9944" s="10" t="s">
        <v>44295</v>
      </c>
      <c r="Q9944" s="10"/>
      <c r="R9944" s="10" t="s">
        <v>44296</v>
      </c>
      <c r="S9944" s="10" t="s">
        <v>1519</v>
      </c>
      <c r="T9944" s="10" t="s">
        <v>54</v>
      </c>
    </row>
    <row r="9945" spans="1:20" ht="14.5" x14ac:dyDescent="0.35">
      <c r="A9945" s="10" t="s">
        <v>44297</v>
      </c>
      <c r="B9945" s="10" t="str">
        <f>"9781579228347"</f>
        <v>9781579228347</v>
      </c>
      <c r="C9945" s="10" t="str">
        <f>"9781000976311"</f>
        <v>9781000976311</v>
      </c>
      <c r="D9945" s="10" t="s">
        <v>6350</v>
      </c>
      <c r="E9945" s="10" t="s">
        <v>6351</v>
      </c>
      <c r="F9945" s="10" t="s">
        <v>748</v>
      </c>
      <c r="G9945" s="10" t="s">
        <v>6352</v>
      </c>
      <c r="H9945" s="11">
        <v>42765</v>
      </c>
      <c r="I9945" s="10">
        <v>2017</v>
      </c>
      <c r="J9945" s="10" t="s">
        <v>6351</v>
      </c>
      <c r="K9945" s="10">
        <v>164</v>
      </c>
      <c r="L9945" s="10" t="s">
        <v>44298</v>
      </c>
      <c r="M9945" s="10">
        <v>1</v>
      </c>
      <c r="N9945" s="10"/>
      <c r="O9945" s="10"/>
      <c r="P9945" s="10" t="s">
        <v>44299</v>
      </c>
      <c r="Q9945" s="10">
        <v>378.00700000000001</v>
      </c>
      <c r="R9945" s="10" t="s">
        <v>25483</v>
      </c>
      <c r="S9945" s="10" t="s">
        <v>53</v>
      </c>
      <c r="T9945" s="10" t="s">
        <v>54</v>
      </c>
    </row>
    <row r="9946" spans="1:20" ht="14.5" x14ac:dyDescent="0.35">
      <c r="A9946" s="10" t="s">
        <v>44300</v>
      </c>
      <c r="B9946" s="10" t="str">
        <f>"9783319391038"</f>
        <v>9783319391038</v>
      </c>
      <c r="C9946" s="10" t="str">
        <f>"9783319391045"</f>
        <v>9783319391045</v>
      </c>
      <c r="D9946" s="10" t="s">
        <v>11249</v>
      </c>
      <c r="E9946" s="10" t="s">
        <v>26623</v>
      </c>
      <c r="F9946" s="10" t="s">
        <v>26624</v>
      </c>
      <c r="G9946" s="10" t="s">
        <v>16676</v>
      </c>
      <c r="H9946" s="11">
        <v>42772</v>
      </c>
      <c r="I9946" s="10">
        <v>2017</v>
      </c>
      <c r="J9946" s="10" t="s">
        <v>26623</v>
      </c>
      <c r="K9946" s="10">
        <v>216</v>
      </c>
      <c r="L9946" s="10" t="s">
        <v>44301</v>
      </c>
      <c r="M9946" s="10">
        <v>1</v>
      </c>
      <c r="N9946" s="10" t="s">
        <v>39548</v>
      </c>
      <c r="O9946" s="10"/>
      <c r="P9946" s="10" t="s">
        <v>39549</v>
      </c>
      <c r="Q9946" s="10">
        <v>379.26095609999999</v>
      </c>
      <c r="R9946" s="10" t="s">
        <v>44302</v>
      </c>
      <c r="S9946" s="10" t="s">
        <v>53</v>
      </c>
      <c r="T9946" s="10" t="s">
        <v>6526</v>
      </c>
    </row>
    <row r="9947" spans="1:20" ht="14.5" x14ac:dyDescent="0.35">
      <c r="A9947" s="10" t="s">
        <v>44303</v>
      </c>
      <c r="B9947" s="10" t="str">
        <f>"9781416623243"</f>
        <v>9781416623243</v>
      </c>
      <c r="C9947" s="10" t="str">
        <f>"9781416623267"</f>
        <v>9781416623267</v>
      </c>
      <c r="D9947" s="10" t="s">
        <v>10014</v>
      </c>
      <c r="E9947" s="10" t="s">
        <v>10015</v>
      </c>
      <c r="F9947" s="10" t="s">
        <v>201</v>
      </c>
      <c r="G9947" s="10" t="s">
        <v>6317</v>
      </c>
      <c r="H9947" s="11">
        <v>42765</v>
      </c>
      <c r="I9947" s="10">
        <v>2017</v>
      </c>
      <c r="J9947" s="10" t="s">
        <v>10015</v>
      </c>
      <c r="K9947" s="10">
        <v>176</v>
      </c>
      <c r="L9947" s="10" t="s">
        <v>44304</v>
      </c>
      <c r="M9947" s="10">
        <v>1</v>
      </c>
      <c r="N9947" s="10"/>
      <c r="O9947" s="10"/>
      <c r="P9947" s="10" t="s">
        <v>44305</v>
      </c>
      <c r="Q9947" s="10" t="s">
        <v>10031</v>
      </c>
      <c r="R9947" s="10" t="s">
        <v>44306</v>
      </c>
      <c r="S9947" s="10" t="s">
        <v>53</v>
      </c>
      <c r="T9947" s="10" t="s">
        <v>54</v>
      </c>
    </row>
    <row r="9948" spans="1:20" ht="14.5" x14ac:dyDescent="0.35">
      <c r="A9948" s="10" t="s">
        <v>44307</v>
      </c>
      <c r="B9948" s="10" t="str">
        <f>"9781475831597"</f>
        <v>9781475831597</v>
      </c>
      <c r="C9948" s="10" t="str">
        <f>"9781475831603"</f>
        <v>9781475831603</v>
      </c>
      <c r="D9948" s="10" t="s">
        <v>9752</v>
      </c>
      <c r="E9948" s="10" t="s">
        <v>15187</v>
      </c>
      <c r="F9948" s="10" t="s">
        <v>9754</v>
      </c>
      <c r="G9948" s="10" t="s">
        <v>6317</v>
      </c>
      <c r="H9948" s="11">
        <v>42723</v>
      </c>
      <c r="I9948" s="10">
        <v>2016</v>
      </c>
      <c r="J9948" s="10" t="s">
        <v>15187</v>
      </c>
      <c r="K9948" s="10">
        <v>156</v>
      </c>
      <c r="L9948" s="10" t="s">
        <v>43463</v>
      </c>
      <c r="M9948" s="10">
        <v>1</v>
      </c>
      <c r="N9948" s="10"/>
      <c r="O9948" s="10"/>
      <c r="P9948" s="10" t="s">
        <v>44308</v>
      </c>
      <c r="Q9948" s="10"/>
      <c r="R9948" s="10" t="s">
        <v>6502</v>
      </c>
      <c r="S9948" s="10" t="s">
        <v>53</v>
      </c>
      <c r="T9948" s="10" t="s">
        <v>54</v>
      </c>
    </row>
    <row r="9949" spans="1:20" ht="14.5" x14ac:dyDescent="0.35">
      <c r="A9949" s="10" t="s">
        <v>44309</v>
      </c>
      <c r="B9949" s="10" t="str">
        <f>"9781943874965"</f>
        <v>9781943874965</v>
      </c>
      <c r="C9949" s="10" t="str">
        <f>"9781943874972"</f>
        <v>9781943874972</v>
      </c>
      <c r="D9949" s="10" t="s">
        <v>37580</v>
      </c>
      <c r="E9949" s="10" t="s">
        <v>37581</v>
      </c>
      <c r="F9949" s="10" t="s">
        <v>37623</v>
      </c>
      <c r="G9949" s="10" t="s">
        <v>6317</v>
      </c>
      <c r="H9949" s="11">
        <v>42783</v>
      </c>
      <c r="I9949" s="10">
        <v>2017</v>
      </c>
      <c r="J9949" s="10" t="s">
        <v>37581</v>
      </c>
      <c r="K9949" s="10">
        <v>152</v>
      </c>
      <c r="L9949" s="10" t="s">
        <v>18671</v>
      </c>
      <c r="M9949" s="10">
        <v>1</v>
      </c>
      <c r="N9949" s="10" t="s">
        <v>44310</v>
      </c>
      <c r="O9949" s="10"/>
      <c r="P9949" s="10"/>
      <c r="Q9949" s="10">
        <v>371.10199999999998</v>
      </c>
      <c r="R9949" s="10" t="s">
        <v>44311</v>
      </c>
      <c r="S9949" s="10" t="s">
        <v>53</v>
      </c>
      <c r="T9949" s="10" t="s">
        <v>54</v>
      </c>
    </row>
    <row r="9950" spans="1:20" ht="14.5" x14ac:dyDescent="0.35">
      <c r="A9950" s="10" t="s">
        <v>44312</v>
      </c>
      <c r="B9950" s="10" t="str">
        <f>"9781943360093"</f>
        <v>9781943360093</v>
      </c>
      <c r="C9950" s="10" t="str">
        <f>"9781943360109"</f>
        <v>9781943360109</v>
      </c>
      <c r="D9950" s="10" t="s">
        <v>37594</v>
      </c>
      <c r="E9950" s="10" t="s">
        <v>37594</v>
      </c>
      <c r="F9950" s="10" t="s">
        <v>37623</v>
      </c>
      <c r="G9950" s="10" t="s">
        <v>6317</v>
      </c>
      <c r="H9950" s="11">
        <v>42783</v>
      </c>
      <c r="I9950" s="10">
        <v>2017</v>
      </c>
      <c r="J9950" s="10" t="s">
        <v>37594</v>
      </c>
      <c r="K9950" s="10">
        <v>152</v>
      </c>
      <c r="L9950" s="10" t="s">
        <v>44313</v>
      </c>
      <c r="M9950" s="10">
        <v>1</v>
      </c>
      <c r="N9950" s="10" t="s">
        <v>37637</v>
      </c>
      <c r="O9950" s="10"/>
      <c r="P9950" s="10" t="s">
        <v>44314</v>
      </c>
      <c r="Q9950" s="10" t="s">
        <v>44315</v>
      </c>
      <c r="R9950" s="10" t="s">
        <v>44316</v>
      </c>
      <c r="S9950" s="10" t="s">
        <v>53</v>
      </c>
      <c r="T9950" s="10" t="s">
        <v>483</v>
      </c>
    </row>
    <row r="9951" spans="1:20" ht="14.5" x14ac:dyDescent="0.35">
      <c r="A9951" s="10" t="s">
        <v>44317</v>
      </c>
      <c r="B9951" s="10" t="str">
        <f>"9782763787541"</f>
        <v>9782763787541</v>
      </c>
      <c r="C9951" s="10" t="str">
        <f>"9782763702551"</f>
        <v>9782763702551</v>
      </c>
      <c r="D9951" s="10" t="s">
        <v>44215</v>
      </c>
      <c r="E9951" s="10" t="s">
        <v>44215</v>
      </c>
      <c r="F9951" s="10" t="s">
        <v>955</v>
      </c>
      <c r="G9951" s="10" t="s">
        <v>9536</v>
      </c>
      <c r="H9951" s="11">
        <v>39904</v>
      </c>
      <c r="I9951" s="10">
        <v>2009</v>
      </c>
      <c r="J9951" s="10" t="s">
        <v>44215</v>
      </c>
      <c r="K9951" s="10">
        <v>101</v>
      </c>
      <c r="L9951" s="10" t="s">
        <v>44318</v>
      </c>
      <c r="M9951" s="10">
        <v>1</v>
      </c>
      <c r="N9951" s="10"/>
      <c r="O9951" s="10"/>
      <c r="P9951" s="10" t="s">
        <v>44319</v>
      </c>
      <c r="Q9951" s="10">
        <v>371.334</v>
      </c>
      <c r="R9951" s="10" t="s">
        <v>28640</v>
      </c>
      <c r="S9951" s="10" t="s">
        <v>5404</v>
      </c>
      <c r="T9951" s="10" t="s">
        <v>54</v>
      </c>
    </row>
    <row r="9952" spans="1:20" ht="14.5" x14ac:dyDescent="0.35">
      <c r="A9952" s="10" t="s">
        <v>44320</v>
      </c>
      <c r="B9952" s="10" t="str">
        <f>"9782763787114"</f>
        <v>9782763787114</v>
      </c>
      <c r="C9952" s="10" t="str">
        <f>"9782763707112"</f>
        <v>9782763707112</v>
      </c>
      <c r="D9952" s="10" t="s">
        <v>44215</v>
      </c>
      <c r="E9952" s="10" t="s">
        <v>44215</v>
      </c>
      <c r="F9952" s="10" t="s">
        <v>955</v>
      </c>
      <c r="G9952" s="10" t="s">
        <v>9536</v>
      </c>
      <c r="H9952" s="11">
        <v>39814</v>
      </c>
      <c r="I9952" s="10">
        <v>2009</v>
      </c>
      <c r="J9952" s="10" t="s">
        <v>44215</v>
      </c>
      <c r="K9952" s="10">
        <v>322</v>
      </c>
      <c r="L9952" s="10" t="s">
        <v>44321</v>
      </c>
      <c r="M9952" s="10">
        <v>1</v>
      </c>
      <c r="N9952" s="10" t="s">
        <v>44322</v>
      </c>
      <c r="O9952" s="10"/>
      <c r="P9952" s="10" t="s">
        <v>44323</v>
      </c>
      <c r="Q9952" s="10">
        <v>371.26097299999901</v>
      </c>
      <c r="R9952" s="10" t="s">
        <v>44324</v>
      </c>
      <c r="S9952" s="10" t="s">
        <v>5404</v>
      </c>
      <c r="T9952" s="10" t="s">
        <v>54</v>
      </c>
    </row>
    <row r="9953" spans="1:20" ht="14.5" x14ac:dyDescent="0.35">
      <c r="A9953" s="10" t="s">
        <v>44325</v>
      </c>
      <c r="B9953" s="10" t="str">
        <f>"9782763787466"</f>
        <v>9782763787466</v>
      </c>
      <c r="C9953" s="10" t="str">
        <f>"9782763707464"</f>
        <v>9782763707464</v>
      </c>
      <c r="D9953" s="10" t="s">
        <v>44215</v>
      </c>
      <c r="E9953" s="10" t="s">
        <v>44215</v>
      </c>
      <c r="F9953" s="10" t="s">
        <v>955</v>
      </c>
      <c r="G9953" s="10" t="s">
        <v>9536</v>
      </c>
      <c r="H9953" s="11">
        <v>40822</v>
      </c>
      <c r="I9953" s="10">
        <v>2009</v>
      </c>
      <c r="J9953" s="10" t="s">
        <v>44215</v>
      </c>
      <c r="K9953" s="10">
        <v>523</v>
      </c>
      <c r="L9953" s="10" t="s">
        <v>44326</v>
      </c>
      <c r="M9953" s="10">
        <v>1</v>
      </c>
      <c r="N9953" s="10" t="s">
        <v>44327</v>
      </c>
      <c r="O9953" s="10"/>
      <c r="P9953" s="10" t="s">
        <v>44328</v>
      </c>
      <c r="Q9953" s="10">
        <v>445</v>
      </c>
      <c r="R9953" s="10" t="s">
        <v>44329</v>
      </c>
      <c r="S9953" s="10" t="s">
        <v>5404</v>
      </c>
      <c r="T9953" s="10" t="s">
        <v>6616</v>
      </c>
    </row>
    <row r="9954" spans="1:20" ht="14.5" x14ac:dyDescent="0.35">
      <c r="A9954" s="10" t="s">
        <v>44330</v>
      </c>
      <c r="B9954" s="10" t="str">
        <f>"9782763793504"</f>
        <v>9782763793504</v>
      </c>
      <c r="C9954" s="10" t="str">
        <f>"9782763793511"</f>
        <v>9782763793511</v>
      </c>
      <c r="D9954" s="10" t="s">
        <v>44215</v>
      </c>
      <c r="E9954" s="10" t="s">
        <v>44215</v>
      </c>
      <c r="F9954" s="10" t="s">
        <v>955</v>
      </c>
      <c r="G9954" s="10" t="s">
        <v>9536</v>
      </c>
      <c r="H9954" s="11">
        <v>41103</v>
      </c>
      <c r="I9954" s="10">
        <v>2000</v>
      </c>
      <c r="J9954" s="10" t="s">
        <v>44215</v>
      </c>
      <c r="K9954" s="10">
        <v>188</v>
      </c>
      <c r="L9954" s="10" t="s">
        <v>44331</v>
      </c>
      <c r="M9954" s="10">
        <v>1</v>
      </c>
      <c r="N9954" s="10" t="s">
        <v>44332</v>
      </c>
      <c r="O9954" s="10"/>
      <c r="P9954" s="10" t="s">
        <v>44333</v>
      </c>
      <c r="Q9954" s="10">
        <v>121.68600000000001</v>
      </c>
      <c r="R9954" s="10" t="s">
        <v>17321</v>
      </c>
      <c r="S9954" s="10" t="s">
        <v>5404</v>
      </c>
      <c r="T9954" s="10" t="s">
        <v>6534</v>
      </c>
    </row>
    <row r="9955" spans="1:20" ht="14.5" x14ac:dyDescent="0.35">
      <c r="A9955" s="10" t="s">
        <v>44334</v>
      </c>
      <c r="B9955" s="10" t="str">
        <f>"9782763799834"</f>
        <v>9782763799834</v>
      </c>
      <c r="C9955" s="10" t="str">
        <f>"9782763799841"</f>
        <v>9782763799841</v>
      </c>
      <c r="D9955" s="10" t="s">
        <v>44215</v>
      </c>
      <c r="E9955" s="10" t="s">
        <v>44215</v>
      </c>
      <c r="F9955" s="10" t="s">
        <v>955</v>
      </c>
      <c r="G9955" s="10" t="s">
        <v>9536</v>
      </c>
      <c r="H9955" s="11">
        <v>41325</v>
      </c>
      <c r="I9955" s="10">
        <v>2013</v>
      </c>
      <c r="J9955" s="10" t="s">
        <v>44215</v>
      </c>
      <c r="K9955" s="10">
        <v>183</v>
      </c>
      <c r="L9955" s="10" t="s">
        <v>44335</v>
      </c>
      <c r="M9955" s="10">
        <v>1</v>
      </c>
      <c r="N9955" s="10" t="s">
        <v>44322</v>
      </c>
      <c r="O9955" s="10"/>
      <c r="P9955" s="10" t="s">
        <v>44336</v>
      </c>
      <c r="Q9955" s="10">
        <v>201.7621</v>
      </c>
      <c r="R9955" s="10" t="s">
        <v>44337</v>
      </c>
      <c r="S9955" s="10" t="s">
        <v>5404</v>
      </c>
      <c r="T9955" s="10" t="s">
        <v>8346</v>
      </c>
    </row>
    <row r="9956" spans="1:20" ht="14.5" x14ac:dyDescent="0.35">
      <c r="A9956" s="10" t="s">
        <v>44338</v>
      </c>
      <c r="B9956" s="10" t="str">
        <f>"9782763716473"</f>
        <v>9782763716473</v>
      </c>
      <c r="C9956" s="10" t="str">
        <f>"9782763716480"</f>
        <v>9782763716480</v>
      </c>
      <c r="D9956" s="10" t="s">
        <v>44215</v>
      </c>
      <c r="E9956" s="10" t="s">
        <v>44215</v>
      </c>
      <c r="F9956" s="10" t="s">
        <v>955</v>
      </c>
      <c r="G9956" s="10" t="s">
        <v>9536</v>
      </c>
      <c r="H9956" s="11">
        <v>41527</v>
      </c>
      <c r="I9956" s="10">
        <v>2000</v>
      </c>
      <c r="J9956" s="10" t="s">
        <v>44215</v>
      </c>
      <c r="K9956" s="10">
        <v>228</v>
      </c>
      <c r="L9956" s="10" t="s">
        <v>44339</v>
      </c>
      <c r="M9956" s="10">
        <v>1</v>
      </c>
      <c r="N9956" s="10" t="s">
        <v>44332</v>
      </c>
      <c r="O9956" s="10"/>
      <c r="P9956" s="10" t="s">
        <v>44340</v>
      </c>
      <c r="Q9956" s="10">
        <v>150.19540000000001</v>
      </c>
      <c r="R9956" s="10" t="s">
        <v>19020</v>
      </c>
      <c r="S9956" s="10" t="s">
        <v>5404</v>
      </c>
      <c r="T9956" s="10" t="s">
        <v>483</v>
      </c>
    </row>
    <row r="9957" spans="1:20" ht="14.5" x14ac:dyDescent="0.35">
      <c r="A9957" s="10" t="s">
        <v>44341</v>
      </c>
      <c r="B9957" s="10" t="str">
        <f>"9782763716831"</f>
        <v>9782763716831</v>
      </c>
      <c r="C9957" s="10" t="str">
        <f>"9782763716848"</f>
        <v>9782763716848</v>
      </c>
      <c r="D9957" s="10" t="s">
        <v>44215</v>
      </c>
      <c r="E9957" s="10" t="s">
        <v>44215</v>
      </c>
      <c r="F9957" s="10" t="s">
        <v>955</v>
      </c>
      <c r="G9957" s="10" t="s">
        <v>9536</v>
      </c>
      <c r="H9957" s="11">
        <v>41527</v>
      </c>
      <c r="I9957" s="10">
        <v>2000</v>
      </c>
      <c r="J9957" s="10" t="s">
        <v>44216</v>
      </c>
      <c r="K9957" s="10">
        <v>252</v>
      </c>
      <c r="L9957" s="10" t="s">
        <v>44342</v>
      </c>
      <c r="M9957" s="10">
        <v>1</v>
      </c>
      <c r="N9957" s="10" t="s">
        <v>44343</v>
      </c>
      <c r="O9957" s="10"/>
      <c r="P9957" s="10" t="s">
        <v>44344</v>
      </c>
      <c r="Q9957" s="10">
        <v>658.83420000000001</v>
      </c>
      <c r="R9957" s="10" t="s">
        <v>44345</v>
      </c>
      <c r="S9957" s="10" t="s">
        <v>5404</v>
      </c>
      <c r="T9957" s="10" t="s">
        <v>6660</v>
      </c>
    </row>
    <row r="9958" spans="1:20" ht="14.5" x14ac:dyDescent="0.35">
      <c r="A9958" s="10" t="s">
        <v>44346</v>
      </c>
      <c r="B9958" s="10" t="str">
        <f>"9782763718750"</f>
        <v>9782763718750</v>
      </c>
      <c r="C9958" s="10" t="str">
        <f>"9782763718767"</f>
        <v>9782763718767</v>
      </c>
      <c r="D9958" s="10" t="s">
        <v>44215</v>
      </c>
      <c r="E9958" s="10" t="s">
        <v>44215</v>
      </c>
      <c r="F9958" s="10" t="s">
        <v>955</v>
      </c>
      <c r="G9958" s="10" t="s">
        <v>9536</v>
      </c>
      <c r="H9958" s="11">
        <v>41550</v>
      </c>
      <c r="I9958" s="10">
        <v>2000</v>
      </c>
      <c r="J9958" s="10" t="s">
        <v>44216</v>
      </c>
      <c r="K9958" s="10">
        <v>232</v>
      </c>
      <c r="L9958" s="10" t="s">
        <v>44347</v>
      </c>
      <c r="M9958" s="10">
        <v>1</v>
      </c>
      <c r="N9958" s="10" t="s">
        <v>44322</v>
      </c>
      <c r="O9958" s="10"/>
      <c r="P9958" s="10" t="s">
        <v>44348</v>
      </c>
      <c r="Q9958" s="10">
        <v>370.71100000000001</v>
      </c>
      <c r="R9958" s="10" t="s">
        <v>33352</v>
      </c>
      <c r="S9958" s="10" t="s">
        <v>5404</v>
      </c>
      <c r="T9958" s="10" t="s">
        <v>54</v>
      </c>
    </row>
    <row r="9959" spans="1:20" ht="14.5" x14ac:dyDescent="0.35">
      <c r="A9959" s="10" t="s">
        <v>44349</v>
      </c>
      <c r="B9959" s="10" t="str">
        <f>"9782763781167"</f>
        <v>9782763781167</v>
      </c>
      <c r="C9959" s="10" t="str">
        <f>"9782763702025"</f>
        <v>9782763702025</v>
      </c>
      <c r="D9959" s="10" t="s">
        <v>44215</v>
      </c>
      <c r="E9959" s="10" t="s">
        <v>44215</v>
      </c>
      <c r="F9959" s="10" t="s">
        <v>955</v>
      </c>
      <c r="G9959" s="10" t="s">
        <v>9536</v>
      </c>
      <c r="H9959" s="11">
        <v>41760</v>
      </c>
      <c r="I9959" s="10">
        <v>2000</v>
      </c>
      <c r="J9959" s="10" t="s">
        <v>44215</v>
      </c>
      <c r="K9959" s="10">
        <v>346</v>
      </c>
      <c r="L9959" s="10" t="s">
        <v>44350</v>
      </c>
      <c r="M9959" s="10">
        <v>1</v>
      </c>
      <c r="N9959" s="10" t="s">
        <v>44322</v>
      </c>
      <c r="O9959" s="10"/>
      <c r="P9959" s="10" t="s">
        <v>44351</v>
      </c>
      <c r="Q9959" s="10">
        <v>379.15</v>
      </c>
      <c r="R9959" s="10" t="s">
        <v>44352</v>
      </c>
      <c r="S9959" s="10" t="s">
        <v>5404</v>
      </c>
      <c r="T9959" s="10" t="s">
        <v>54</v>
      </c>
    </row>
    <row r="9960" spans="1:20" ht="14.5" x14ac:dyDescent="0.35">
      <c r="A9960" s="10" t="s">
        <v>44353</v>
      </c>
      <c r="B9960" s="10" t="str">
        <f>""</f>
        <v/>
      </c>
      <c r="C9960" s="10" t="str">
        <f>"9781507158036"</f>
        <v>9781507158036</v>
      </c>
      <c r="D9960" s="10" t="s">
        <v>9215</v>
      </c>
      <c r="E9960" s="10" t="s">
        <v>44354</v>
      </c>
      <c r="F9960" s="10" t="s">
        <v>765</v>
      </c>
      <c r="G9960" s="10" t="s">
        <v>6317</v>
      </c>
      <c r="H9960" s="11">
        <v>42654</v>
      </c>
      <c r="I9960" s="10">
        <v>2016</v>
      </c>
      <c r="J9960" s="10" t="s">
        <v>44354</v>
      </c>
      <c r="K9960" s="10">
        <v>171</v>
      </c>
      <c r="L9960" s="10" t="s">
        <v>44355</v>
      </c>
      <c r="M9960" s="10"/>
      <c r="N9960" s="10"/>
      <c r="O9960" s="10"/>
      <c r="P9960" s="10" t="s">
        <v>44356</v>
      </c>
      <c r="Q9960" s="10">
        <v>510.76</v>
      </c>
      <c r="R9960" s="10" t="s">
        <v>44357</v>
      </c>
      <c r="S9960" s="10" t="s">
        <v>119</v>
      </c>
      <c r="T9960" s="10" t="s">
        <v>389</v>
      </c>
    </row>
    <row r="9961" spans="1:20" ht="14.5" x14ac:dyDescent="0.35">
      <c r="A9961" s="10" t="s">
        <v>44358</v>
      </c>
      <c r="B9961" s="10" t="str">
        <f>""</f>
        <v/>
      </c>
      <c r="C9961" s="10" t="str">
        <f>"9781507171332"</f>
        <v>9781507171332</v>
      </c>
      <c r="D9961" s="10" t="s">
        <v>9215</v>
      </c>
      <c r="E9961" s="10" t="s">
        <v>44359</v>
      </c>
      <c r="F9961" s="10" t="s">
        <v>765</v>
      </c>
      <c r="G9961" s="10" t="s">
        <v>6317</v>
      </c>
      <c r="H9961" s="11">
        <v>42767</v>
      </c>
      <c r="I9961" s="10">
        <v>2017</v>
      </c>
      <c r="J9961" s="10" t="s">
        <v>44359</v>
      </c>
      <c r="K9961" s="10">
        <v>30</v>
      </c>
      <c r="L9961" s="10" t="s">
        <v>44360</v>
      </c>
      <c r="M9961" s="10"/>
      <c r="N9961" s="10"/>
      <c r="O9961" s="10"/>
      <c r="P9961" s="10" t="s">
        <v>44361</v>
      </c>
      <c r="Q9961" s="10">
        <v>808.02</v>
      </c>
      <c r="R9961" s="10" t="s">
        <v>44362</v>
      </c>
      <c r="S9961" s="10" t="s">
        <v>1519</v>
      </c>
      <c r="T9961" s="10" t="s">
        <v>1166</v>
      </c>
    </row>
    <row r="9962" spans="1:20" ht="14.5" x14ac:dyDescent="0.35">
      <c r="A9962" s="10" t="s">
        <v>44363</v>
      </c>
      <c r="B9962" s="10" t="str">
        <f>"9781475804485"</f>
        <v>9781475804485</v>
      </c>
      <c r="C9962" s="10" t="str">
        <f>"9781475804492"</f>
        <v>9781475804492</v>
      </c>
      <c r="D9962" s="10" t="s">
        <v>9752</v>
      </c>
      <c r="E9962" s="10" t="s">
        <v>15187</v>
      </c>
      <c r="F9962" s="10" t="s">
        <v>9754</v>
      </c>
      <c r="G9962" s="10" t="s">
        <v>6317</v>
      </c>
      <c r="H9962" s="11">
        <v>42781</v>
      </c>
      <c r="I9962" s="10">
        <v>2017</v>
      </c>
      <c r="J9962" s="10" t="s">
        <v>15187</v>
      </c>
      <c r="K9962" s="10">
        <v>168</v>
      </c>
      <c r="L9962" s="10" t="s">
        <v>44364</v>
      </c>
      <c r="M9962" s="10">
        <v>1</v>
      </c>
      <c r="N9962" s="10"/>
      <c r="O9962" s="10"/>
      <c r="P9962" s="10" t="s">
        <v>44365</v>
      </c>
      <c r="Q9962" s="10">
        <v>303.37200000000001</v>
      </c>
      <c r="R9962" s="10" t="s">
        <v>44366</v>
      </c>
      <c r="S9962" s="10" t="s">
        <v>53</v>
      </c>
      <c r="T9962" s="10" t="s">
        <v>6363</v>
      </c>
    </row>
    <row r="9963" spans="1:20" ht="14.5" x14ac:dyDescent="0.35">
      <c r="A9963" s="10" t="s">
        <v>44367</v>
      </c>
      <c r="B9963" s="10" t="str">
        <f>"9781118937297"</f>
        <v>9781118937297</v>
      </c>
      <c r="C9963" s="10" t="str">
        <f>"9781118937310"</f>
        <v>9781118937310</v>
      </c>
      <c r="D9963" s="10" t="s">
        <v>6322</v>
      </c>
      <c r="E9963" s="10" t="s">
        <v>6323</v>
      </c>
      <c r="F9963" s="10" t="s">
        <v>4423</v>
      </c>
      <c r="G9963" s="10" t="s">
        <v>6317</v>
      </c>
      <c r="H9963" s="11">
        <v>42842</v>
      </c>
      <c r="I9963" s="10">
        <v>2016</v>
      </c>
      <c r="J9963" s="10" t="s">
        <v>8436</v>
      </c>
      <c r="K9963" s="10">
        <v>548</v>
      </c>
      <c r="L9963" s="10" t="s">
        <v>44368</v>
      </c>
      <c r="M9963" s="10">
        <v>1</v>
      </c>
      <c r="N9963" s="10" t="s">
        <v>44369</v>
      </c>
      <c r="O9963" s="10"/>
      <c r="P9963" s="10" t="s">
        <v>44370</v>
      </c>
      <c r="Q9963" s="10">
        <v>372.21</v>
      </c>
      <c r="R9963" s="10" t="s">
        <v>24042</v>
      </c>
      <c r="S9963" s="10" t="s">
        <v>53</v>
      </c>
      <c r="T9963" s="10" t="s">
        <v>54</v>
      </c>
    </row>
    <row r="9964" spans="1:20" ht="14.5" x14ac:dyDescent="0.35">
      <c r="A9964" s="10" t="s">
        <v>44371</v>
      </c>
      <c r="B9964" s="10" t="str">
        <f>"9781620365519"</f>
        <v>9781620365519</v>
      </c>
      <c r="C9964" s="10" t="str">
        <f>"9781000971835"</f>
        <v>9781000971835</v>
      </c>
      <c r="D9964" s="10" t="s">
        <v>6350</v>
      </c>
      <c r="E9964" s="10" t="s">
        <v>6351</v>
      </c>
      <c r="F9964" s="10" t="s">
        <v>748</v>
      </c>
      <c r="G9964" s="10" t="s">
        <v>6352</v>
      </c>
      <c r="H9964" s="11">
        <v>42765</v>
      </c>
      <c r="I9964" s="10">
        <v>2017</v>
      </c>
      <c r="J9964" s="10" t="s">
        <v>6351</v>
      </c>
      <c r="K9964" s="10">
        <v>129</v>
      </c>
      <c r="L9964" s="10" t="s">
        <v>44372</v>
      </c>
      <c r="M9964" s="10">
        <v>1</v>
      </c>
      <c r="N9964" s="10"/>
      <c r="O9964" s="10"/>
      <c r="P9964" s="10" t="s">
        <v>44373</v>
      </c>
      <c r="Q9964" s="10">
        <v>371.10209730000003</v>
      </c>
      <c r="R9964" s="10" t="s">
        <v>44374</v>
      </c>
      <c r="S9964" s="10" t="s">
        <v>53</v>
      </c>
      <c r="T9964" s="10" t="s">
        <v>54</v>
      </c>
    </row>
    <row r="9965" spans="1:20" ht="14.5" x14ac:dyDescent="0.35">
      <c r="A9965" s="10" t="s">
        <v>44375</v>
      </c>
      <c r="B9965" s="10" t="str">
        <f>"9781475829259"</f>
        <v>9781475829259</v>
      </c>
      <c r="C9965" s="10" t="str">
        <f>"9781475829273"</f>
        <v>9781475829273</v>
      </c>
      <c r="D9965" s="10" t="s">
        <v>9752</v>
      </c>
      <c r="E9965" s="10" t="s">
        <v>15187</v>
      </c>
      <c r="F9965" s="10" t="s">
        <v>9754</v>
      </c>
      <c r="G9965" s="10" t="s">
        <v>6317</v>
      </c>
      <c r="H9965" s="11">
        <v>42647</v>
      </c>
      <c r="I9965" s="10">
        <v>2016</v>
      </c>
      <c r="J9965" s="10" t="s">
        <v>15187</v>
      </c>
      <c r="K9965" s="10">
        <v>121</v>
      </c>
      <c r="L9965" s="10" t="s">
        <v>42741</v>
      </c>
      <c r="M9965" s="10">
        <v>1</v>
      </c>
      <c r="N9965" s="10"/>
      <c r="O9965" s="10"/>
      <c r="P9965" s="10" t="s">
        <v>44376</v>
      </c>
      <c r="Q9965" s="10"/>
      <c r="R9965" s="10" t="s">
        <v>6738</v>
      </c>
      <c r="S9965" s="10" t="s">
        <v>53</v>
      </c>
      <c r="T9965" s="10" t="s">
        <v>54</v>
      </c>
    </row>
    <row r="9966" spans="1:20" ht="14.5" x14ac:dyDescent="0.35">
      <c r="A9966" s="10" t="s">
        <v>44377</v>
      </c>
      <c r="B9966" s="10" t="str">
        <f>"9781620363874"</f>
        <v>9781620363874</v>
      </c>
      <c r="C9966" s="10" t="str">
        <f>"9781000972610"</f>
        <v>9781000972610</v>
      </c>
      <c r="D9966" s="10" t="s">
        <v>6350</v>
      </c>
      <c r="E9966" s="10" t="s">
        <v>6351</v>
      </c>
      <c r="F9966" s="10" t="s">
        <v>748</v>
      </c>
      <c r="G9966" s="10" t="s">
        <v>6352</v>
      </c>
      <c r="H9966" s="11">
        <v>42781</v>
      </c>
      <c r="I9966" s="10">
        <v>2017</v>
      </c>
      <c r="J9966" s="10" t="s">
        <v>6351</v>
      </c>
      <c r="K9966" s="10">
        <v>292</v>
      </c>
      <c r="L9966" s="10" t="s">
        <v>44378</v>
      </c>
      <c r="M9966" s="10">
        <v>1</v>
      </c>
      <c r="N9966" s="10"/>
      <c r="O9966" s="10"/>
      <c r="P9966" s="10"/>
      <c r="Q9966" s="10">
        <v>371.78199999999998</v>
      </c>
      <c r="R9966" s="10" t="s">
        <v>44379</v>
      </c>
      <c r="S9966" s="10" t="s">
        <v>53</v>
      </c>
      <c r="T9966" s="10" t="s">
        <v>54</v>
      </c>
    </row>
    <row r="9967" spans="1:20" ht="14.5" x14ac:dyDescent="0.35">
      <c r="A9967" s="10" t="s">
        <v>44380</v>
      </c>
      <c r="B9967" s="10" t="str">
        <f>"9781118926932"</f>
        <v>9781118926932</v>
      </c>
      <c r="C9967" s="10" t="str">
        <f>"9781118926901"</f>
        <v>9781118926901</v>
      </c>
      <c r="D9967" s="10" t="s">
        <v>6322</v>
      </c>
      <c r="E9967" s="10" t="s">
        <v>6323</v>
      </c>
      <c r="F9967" s="10" t="s">
        <v>4423</v>
      </c>
      <c r="G9967" s="10" t="s">
        <v>6317</v>
      </c>
      <c r="H9967" s="11">
        <v>42731</v>
      </c>
      <c r="I9967" s="10">
        <v>2017</v>
      </c>
      <c r="J9967" s="10" t="s">
        <v>8436</v>
      </c>
      <c r="K9967" s="10">
        <v>545</v>
      </c>
      <c r="L9967" s="10" t="s">
        <v>44381</v>
      </c>
      <c r="M9967" s="10">
        <v>1</v>
      </c>
      <c r="N9967" s="10" t="s">
        <v>41092</v>
      </c>
      <c r="O9967" s="10"/>
      <c r="P9967" s="10"/>
      <c r="Q9967" s="10"/>
      <c r="R9967" s="10" t="s">
        <v>44382</v>
      </c>
      <c r="S9967" s="10" t="s">
        <v>53</v>
      </c>
      <c r="T9967" s="10" t="s">
        <v>54</v>
      </c>
    </row>
    <row r="9968" spans="1:20" ht="14.5" x14ac:dyDescent="0.35">
      <c r="A9968" s="10" t="s">
        <v>44383</v>
      </c>
      <c r="B9968" s="10" t="str">
        <f>"9789463004862"</f>
        <v>9789463004862</v>
      </c>
      <c r="C9968" s="10" t="str">
        <f>"9789463004886"</f>
        <v>9789463004886</v>
      </c>
      <c r="D9968" s="10" t="s">
        <v>8564</v>
      </c>
      <c r="E9968" s="10" t="s">
        <v>8565</v>
      </c>
      <c r="F9968" s="10" t="s">
        <v>1420</v>
      </c>
      <c r="G9968" s="10" t="s">
        <v>6317</v>
      </c>
      <c r="H9968" s="11">
        <v>42736</v>
      </c>
      <c r="I9968" s="10">
        <v>2017</v>
      </c>
      <c r="J9968" s="10" t="s">
        <v>33259</v>
      </c>
      <c r="K9968" s="10">
        <v>183</v>
      </c>
      <c r="L9968" s="10" t="s">
        <v>44384</v>
      </c>
      <c r="M9968" s="10">
        <v>1</v>
      </c>
      <c r="N9968" s="10" t="s">
        <v>44385</v>
      </c>
      <c r="O9968" s="10">
        <v>1</v>
      </c>
      <c r="P9968" s="10" t="s">
        <v>19534</v>
      </c>
      <c r="Q9968" s="10"/>
      <c r="R9968" s="10"/>
      <c r="S9968" s="10" t="s">
        <v>53</v>
      </c>
      <c r="T9968" s="10" t="s">
        <v>54</v>
      </c>
    </row>
    <row r="9969" spans="1:20" ht="14.5" x14ac:dyDescent="0.35">
      <c r="A9969" s="10" t="s">
        <v>44386</v>
      </c>
      <c r="B9969" s="10" t="str">
        <f>"9789463007429"</f>
        <v>9789463007429</v>
      </c>
      <c r="C9969" s="10" t="str">
        <f>"9789463007443"</f>
        <v>9789463007443</v>
      </c>
      <c r="D9969" s="10" t="s">
        <v>8564</v>
      </c>
      <c r="E9969" s="10" t="s">
        <v>8565</v>
      </c>
      <c r="F9969" s="10" t="s">
        <v>1420</v>
      </c>
      <c r="G9969" s="10" t="s">
        <v>6317</v>
      </c>
      <c r="H9969" s="11">
        <v>42370</v>
      </c>
      <c r="I9969" s="10">
        <v>2016</v>
      </c>
      <c r="J9969" s="10" t="s">
        <v>33259</v>
      </c>
      <c r="K9969" s="10">
        <v>236</v>
      </c>
      <c r="L9969" s="10" t="s">
        <v>44387</v>
      </c>
      <c r="M9969" s="10">
        <v>1</v>
      </c>
      <c r="N9969" s="10" t="s">
        <v>44388</v>
      </c>
      <c r="O9969" s="10">
        <v>3</v>
      </c>
      <c r="P9969" s="10" t="s">
        <v>44389</v>
      </c>
      <c r="Q9969" s="10">
        <v>370.71097300000002</v>
      </c>
      <c r="R9969" s="10" t="s">
        <v>44390</v>
      </c>
      <c r="S9969" s="10" t="s">
        <v>53</v>
      </c>
      <c r="T9969" s="10" t="s">
        <v>54</v>
      </c>
    </row>
    <row r="9970" spans="1:20" ht="14.5" x14ac:dyDescent="0.35">
      <c r="A9970" s="10" t="s">
        <v>44391</v>
      </c>
      <c r="B9970" s="10" t="str">
        <f>"9789463008556"</f>
        <v>9789463008556</v>
      </c>
      <c r="C9970" s="10" t="str">
        <f>"9789463008570"</f>
        <v>9789463008570</v>
      </c>
      <c r="D9970" s="10" t="s">
        <v>8564</v>
      </c>
      <c r="E9970" s="10" t="s">
        <v>8565</v>
      </c>
      <c r="F9970" s="10" t="s">
        <v>1420</v>
      </c>
      <c r="G9970" s="10" t="s">
        <v>6317</v>
      </c>
      <c r="H9970" s="11">
        <v>42736</v>
      </c>
      <c r="I9970" s="10">
        <v>2017</v>
      </c>
      <c r="J9970" s="10" t="s">
        <v>33259</v>
      </c>
      <c r="K9970" s="10">
        <v>257</v>
      </c>
      <c r="L9970" s="10" t="s">
        <v>44392</v>
      </c>
      <c r="M9970" s="10">
        <v>1</v>
      </c>
      <c r="N9970" s="10" t="s">
        <v>33307</v>
      </c>
      <c r="O9970" s="10">
        <v>33</v>
      </c>
      <c r="P9970" s="10" t="s">
        <v>19534</v>
      </c>
      <c r="Q9970" s="10"/>
      <c r="R9970" s="10" t="s">
        <v>44393</v>
      </c>
      <c r="S9970" s="10" t="s">
        <v>53</v>
      </c>
      <c r="T9970" s="10" t="s">
        <v>54</v>
      </c>
    </row>
    <row r="9971" spans="1:20" ht="14.5" x14ac:dyDescent="0.35">
      <c r="A9971" s="10" t="s">
        <v>44394</v>
      </c>
      <c r="B9971" s="10" t="str">
        <f>"9789463008648"</f>
        <v>9789463008648</v>
      </c>
      <c r="C9971" s="10" t="str">
        <f>"9789463008662"</f>
        <v>9789463008662</v>
      </c>
      <c r="D9971" s="10" t="s">
        <v>8564</v>
      </c>
      <c r="E9971" s="10" t="s">
        <v>13067</v>
      </c>
      <c r="F9971" s="10" t="s">
        <v>33250</v>
      </c>
      <c r="G9971" s="10" t="s">
        <v>9233</v>
      </c>
      <c r="H9971" s="11">
        <v>42736</v>
      </c>
      <c r="I9971" s="10">
        <v>2017</v>
      </c>
      <c r="J9971" s="10" t="s">
        <v>13067</v>
      </c>
      <c r="K9971" s="10">
        <v>262</v>
      </c>
      <c r="L9971" s="10" t="s">
        <v>44395</v>
      </c>
      <c r="M9971" s="10">
        <v>1</v>
      </c>
      <c r="N9971" s="10" t="s">
        <v>40818</v>
      </c>
      <c r="O9971" s="10">
        <v>6</v>
      </c>
      <c r="P9971" s="10" t="s">
        <v>19534</v>
      </c>
      <c r="Q9971" s="10"/>
      <c r="R9971" s="10" t="s">
        <v>44396</v>
      </c>
      <c r="S9971" s="10" t="s">
        <v>53</v>
      </c>
      <c r="T9971" s="10" t="s">
        <v>54</v>
      </c>
    </row>
    <row r="9972" spans="1:20" ht="14.5" x14ac:dyDescent="0.35">
      <c r="A9972" s="10" t="s">
        <v>44397</v>
      </c>
      <c r="B9972" s="10" t="str">
        <f>"9781498535519"</f>
        <v>9781498535519</v>
      </c>
      <c r="C9972" s="10" t="str">
        <f>"9781498535526"</f>
        <v>9781498535526</v>
      </c>
      <c r="D9972" s="10" t="s">
        <v>9752</v>
      </c>
      <c r="E9972" s="10" t="s">
        <v>15182</v>
      </c>
      <c r="F9972" s="10" t="s">
        <v>3460</v>
      </c>
      <c r="G9972" s="10" t="s">
        <v>6317</v>
      </c>
      <c r="H9972" s="11">
        <v>42859</v>
      </c>
      <c r="I9972" s="10">
        <v>2017</v>
      </c>
      <c r="J9972" s="10" t="s">
        <v>15182</v>
      </c>
      <c r="K9972" s="10">
        <v>213</v>
      </c>
      <c r="L9972" s="10" t="s">
        <v>44398</v>
      </c>
      <c r="M9972" s="10">
        <v>1</v>
      </c>
      <c r="N9972" s="10"/>
      <c r="O9972" s="10"/>
      <c r="P9972" s="10" t="s">
        <v>44399</v>
      </c>
      <c r="Q9972" s="10">
        <v>372.21</v>
      </c>
      <c r="R9972" s="10" t="s">
        <v>44400</v>
      </c>
      <c r="S9972" s="10" t="s">
        <v>53</v>
      </c>
      <c r="T9972" s="10" t="s">
        <v>54</v>
      </c>
    </row>
    <row r="9973" spans="1:20" ht="14.5" x14ac:dyDescent="0.35">
      <c r="A9973" s="10" t="s">
        <v>44401</v>
      </c>
      <c r="B9973" s="10" t="str">
        <f>"9781784412616"</f>
        <v>9781784412616</v>
      </c>
      <c r="C9973" s="10" t="str">
        <f>"9781787147553"</f>
        <v>9781787147553</v>
      </c>
      <c r="D9973" s="10" t="s">
        <v>8699</v>
      </c>
      <c r="E9973" s="10" t="s">
        <v>8699</v>
      </c>
      <c r="F9973" s="10" t="s">
        <v>559</v>
      </c>
      <c r="G9973" s="10" t="s">
        <v>6352</v>
      </c>
      <c r="H9973" s="11">
        <v>42892</v>
      </c>
      <c r="I9973" s="10">
        <v>2017</v>
      </c>
      <c r="J9973" s="10" t="s">
        <v>8699</v>
      </c>
      <c r="K9973" s="10">
        <v>319</v>
      </c>
      <c r="L9973" s="10" t="s">
        <v>44402</v>
      </c>
      <c r="M9973" s="10">
        <v>1</v>
      </c>
      <c r="N9973" s="10" t="s">
        <v>17877</v>
      </c>
      <c r="O9973" s="10">
        <v>29</v>
      </c>
      <c r="P9973" s="10" t="s">
        <v>11364</v>
      </c>
      <c r="Q9973" s="10">
        <v>371.10219999999998</v>
      </c>
      <c r="R9973" s="10" t="s">
        <v>44403</v>
      </c>
      <c r="S9973" s="10" t="s">
        <v>53</v>
      </c>
      <c r="T9973" s="10" t="s">
        <v>54</v>
      </c>
    </row>
    <row r="9974" spans="1:20" ht="14.5" x14ac:dyDescent="0.35">
      <c r="A9974" s="10" t="s">
        <v>44404</v>
      </c>
      <c r="B9974" s="10" t="str">
        <f>"9780823268801"</f>
        <v>9780823268801</v>
      </c>
      <c r="C9974" s="10" t="str">
        <f>"9780823268818"</f>
        <v>9780823268818</v>
      </c>
      <c r="D9974" s="10" t="s">
        <v>34735</v>
      </c>
      <c r="E9974" s="10" t="s">
        <v>34735</v>
      </c>
      <c r="F9974" s="10" t="s">
        <v>70</v>
      </c>
      <c r="G9974" s="10" t="s">
        <v>6317</v>
      </c>
      <c r="H9974" s="11">
        <v>42373</v>
      </c>
      <c r="I9974" s="10">
        <v>2016</v>
      </c>
      <c r="J9974" s="10" t="s">
        <v>34735</v>
      </c>
      <c r="K9974" s="10">
        <v>216</v>
      </c>
      <c r="L9974" s="10" t="s">
        <v>44405</v>
      </c>
      <c r="M9974" s="10">
        <v>1</v>
      </c>
      <c r="N9974" s="10"/>
      <c r="O9974" s="10"/>
      <c r="P9974" s="10" t="s">
        <v>44406</v>
      </c>
      <c r="Q9974" s="10">
        <v>370.72</v>
      </c>
      <c r="R9974" s="10" t="s">
        <v>17776</v>
      </c>
      <c r="S9974" s="10" t="s">
        <v>53</v>
      </c>
      <c r="T9974" s="10" t="s">
        <v>54</v>
      </c>
    </row>
    <row r="9975" spans="1:20" ht="14.5" x14ac:dyDescent="0.35">
      <c r="A9975" s="10" t="s">
        <v>44407</v>
      </c>
      <c r="B9975" s="10" t="str">
        <f>"9781943874071"</f>
        <v>9781943874071</v>
      </c>
      <c r="C9975" s="10" t="str">
        <f>"9781945349003"</f>
        <v>9781945349003</v>
      </c>
      <c r="D9975" s="10" t="s">
        <v>37580</v>
      </c>
      <c r="E9975" s="10" t="s">
        <v>37581</v>
      </c>
      <c r="F9975" s="10" t="s">
        <v>37623</v>
      </c>
      <c r="G9975" s="10" t="s">
        <v>6317</v>
      </c>
      <c r="H9975" s="11">
        <v>42786</v>
      </c>
      <c r="I9975" s="10">
        <v>2017</v>
      </c>
      <c r="J9975" s="10" t="s">
        <v>37581</v>
      </c>
      <c r="K9975" s="10">
        <v>240</v>
      </c>
      <c r="L9975" s="10" t="s">
        <v>44408</v>
      </c>
      <c r="M9975" s="10">
        <v>1</v>
      </c>
      <c r="N9975" s="10"/>
      <c r="O9975" s="10"/>
      <c r="P9975" s="10" t="s">
        <v>44409</v>
      </c>
      <c r="Q9975" s="10"/>
      <c r="R9975" s="10" t="s">
        <v>44410</v>
      </c>
      <c r="S9975" s="10" t="s">
        <v>53</v>
      </c>
      <c r="T9975" s="10" t="s">
        <v>54</v>
      </c>
    </row>
    <row r="9976" spans="1:20" ht="14.5" x14ac:dyDescent="0.35">
      <c r="A9976" s="10" t="s">
        <v>44411</v>
      </c>
      <c r="B9976" s="10" t="str">
        <f>"9781943874866"</f>
        <v>9781943874866</v>
      </c>
      <c r="C9976" s="10" t="str">
        <f>"9781943874873"</f>
        <v>9781943874873</v>
      </c>
      <c r="D9976" s="10" t="s">
        <v>37580</v>
      </c>
      <c r="E9976" s="10" t="s">
        <v>37581</v>
      </c>
      <c r="F9976" s="10" t="s">
        <v>37623</v>
      </c>
      <c r="G9976" s="10" t="s">
        <v>6317</v>
      </c>
      <c r="H9976" s="11">
        <v>42783</v>
      </c>
      <c r="I9976" s="10">
        <v>2017</v>
      </c>
      <c r="J9976" s="10" t="s">
        <v>37581</v>
      </c>
      <c r="K9976" s="10">
        <v>168</v>
      </c>
      <c r="L9976" s="10" t="s">
        <v>44412</v>
      </c>
      <c r="M9976" s="10">
        <v>1</v>
      </c>
      <c r="N9976" s="10"/>
      <c r="O9976" s="10"/>
      <c r="P9976" s="10" t="s">
        <v>44413</v>
      </c>
      <c r="Q9976" s="10">
        <v>371.33</v>
      </c>
      <c r="R9976" s="10" t="s">
        <v>44414</v>
      </c>
      <c r="S9976" s="10" t="s">
        <v>53</v>
      </c>
      <c r="T9976" s="10" t="s">
        <v>54</v>
      </c>
    </row>
    <row r="9977" spans="1:20" ht="14.5" x14ac:dyDescent="0.35">
      <c r="A9977" s="10" t="s">
        <v>44415</v>
      </c>
      <c r="B9977" s="10" t="str">
        <f>"9781942496984"</f>
        <v>9781942496984</v>
      </c>
      <c r="C9977" s="10" t="str">
        <f>"9781942496991"</f>
        <v>9781942496991</v>
      </c>
      <c r="D9977" s="10" t="s">
        <v>37580</v>
      </c>
      <c r="E9977" s="10" t="s">
        <v>37581</v>
      </c>
      <c r="F9977" s="10" t="s">
        <v>37623</v>
      </c>
      <c r="G9977" s="10" t="s">
        <v>6317</v>
      </c>
      <c r="H9977" s="11">
        <v>42790</v>
      </c>
      <c r="I9977" s="10">
        <v>2017</v>
      </c>
      <c r="J9977" s="10" t="s">
        <v>37581</v>
      </c>
      <c r="K9977" s="10">
        <v>128</v>
      </c>
      <c r="L9977" s="10" t="s">
        <v>44416</v>
      </c>
      <c r="M9977" s="10">
        <v>1</v>
      </c>
      <c r="N9977" s="10"/>
      <c r="O9977" s="10"/>
      <c r="P9977" s="10" t="s">
        <v>44417</v>
      </c>
      <c r="Q9977" s="10"/>
      <c r="R9977" s="10" t="s">
        <v>44418</v>
      </c>
      <c r="S9977" s="10" t="s">
        <v>53</v>
      </c>
      <c r="T9977" s="10" t="s">
        <v>54</v>
      </c>
    </row>
    <row r="9978" spans="1:20" ht="14.5" x14ac:dyDescent="0.35">
      <c r="A9978" s="10" t="s">
        <v>44419</v>
      </c>
      <c r="B9978" s="10" t="str">
        <f>"9781943874040"</f>
        <v>9781943874040</v>
      </c>
      <c r="C9978" s="10" t="str">
        <f>"9781943874057"</f>
        <v>9781943874057</v>
      </c>
      <c r="D9978" s="10" t="s">
        <v>37580</v>
      </c>
      <c r="E9978" s="10" t="s">
        <v>37581</v>
      </c>
      <c r="F9978" s="10" t="s">
        <v>37623</v>
      </c>
      <c r="G9978" s="10" t="s">
        <v>6317</v>
      </c>
      <c r="H9978" s="11">
        <v>42793</v>
      </c>
      <c r="I9978" s="10">
        <v>2017</v>
      </c>
      <c r="J9978" s="10" t="s">
        <v>37581</v>
      </c>
      <c r="K9978" s="10">
        <v>144</v>
      </c>
      <c r="L9978" s="10" t="s">
        <v>44420</v>
      </c>
      <c r="M9978" s="10">
        <v>1</v>
      </c>
      <c r="N9978" s="10"/>
      <c r="O9978" s="10"/>
      <c r="P9978" s="10"/>
      <c r="Q9978" s="10"/>
      <c r="R9978" s="10" t="s">
        <v>44421</v>
      </c>
      <c r="S9978" s="10" t="s">
        <v>53</v>
      </c>
      <c r="T9978" s="10" t="s">
        <v>54</v>
      </c>
    </row>
    <row r="9979" spans="1:20" ht="14.5" x14ac:dyDescent="0.35">
      <c r="A9979" s="10" t="s">
        <v>44422</v>
      </c>
      <c r="B9979" s="10" t="str">
        <f>"9781498544931"</f>
        <v>9781498544931</v>
      </c>
      <c r="C9979" s="10" t="str">
        <f>"9781498544948"</f>
        <v>9781498544948</v>
      </c>
      <c r="D9979" s="10" t="s">
        <v>9752</v>
      </c>
      <c r="E9979" s="10" t="s">
        <v>15182</v>
      </c>
      <c r="F9979" s="10" t="s">
        <v>3460</v>
      </c>
      <c r="G9979" s="10" t="s">
        <v>6317</v>
      </c>
      <c r="H9979" s="11">
        <v>42779</v>
      </c>
      <c r="I9979" s="10">
        <v>2017</v>
      </c>
      <c r="J9979" s="10" t="s">
        <v>15182</v>
      </c>
      <c r="K9979" s="10">
        <v>171</v>
      </c>
      <c r="L9979" s="10" t="s">
        <v>44423</v>
      </c>
      <c r="M9979" s="10">
        <v>1</v>
      </c>
      <c r="N9979" s="10"/>
      <c r="O9979" s="10"/>
      <c r="P9979" s="10" t="s">
        <v>44424</v>
      </c>
      <c r="Q9979" s="10" t="s">
        <v>30386</v>
      </c>
      <c r="R9979" s="10" t="s">
        <v>44425</v>
      </c>
      <c r="S9979" s="10" t="s">
        <v>53</v>
      </c>
      <c r="T9979" s="10" t="s">
        <v>16922</v>
      </c>
    </row>
    <row r="9980" spans="1:20" ht="14.5" x14ac:dyDescent="0.35">
      <c r="A9980" s="10" t="s">
        <v>44426</v>
      </c>
      <c r="B9980" s="10" t="str">
        <f>"9781475828849"</f>
        <v>9781475828849</v>
      </c>
      <c r="C9980" s="10" t="str">
        <f>"9781475828863"</f>
        <v>9781475828863</v>
      </c>
      <c r="D9980" s="10" t="s">
        <v>9752</v>
      </c>
      <c r="E9980" s="10" t="s">
        <v>15187</v>
      </c>
      <c r="F9980" s="10" t="s">
        <v>9754</v>
      </c>
      <c r="G9980" s="10" t="s">
        <v>6317</v>
      </c>
      <c r="H9980" s="11">
        <v>42735</v>
      </c>
      <c r="I9980" s="10">
        <v>2016</v>
      </c>
      <c r="J9980" s="10" t="s">
        <v>15187</v>
      </c>
      <c r="K9980" s="10">
        <v>212</v>
      </c>
      <c r="L9980" s="10" t="s">
        <v>44427</v>
      </c>
      <c r="M9980" s="10">
        <v>2</v>
      </c>
      <c r="N9980" s="10"/>
      <c r="O9980" s="10"/>
      <c r="P9980" s="10" t="s">
        <v>44428</v>
      </c>
      <c r="Q9980" s="10"/>
      <c r="R9980" s="10" t="s">
        <v>44429</v>
      </c>
      <c r="S9980" s="10" t="s">
        <v>53</v>
      </c>
      <c r="T9980" s="10" t="s">
        <v>54</v>
      </c>
    </row>
    <row r="9981" spans="1:20" ht="14.5" x14ac:dyDescent="0.35">
      <c r="A9981" s="10" t="s">
        <v>44430</v>
      </c>
      <c r="B9981" s="10" t="str">
        <f>"9781475834062"</f>
        <v>9781475834062</v>
      </c>
      <c r="C9981" s="10" t="str">
        <f>"9781475834086"</f>
        <v>9781475834086</v>
      </c>
      <c r="D9981" s="10" t="s">
        <v>9752</v>
      </c>
      <c r="E9981" s="10" t="s">
        <v>15187</v>
      </c>
      <c r="F9981" s="10" t="s">
        <v>9754</v>
      </c>
      <c r="G9981" s="10" t="s">
        <v>6317</v>
      </c>
      <c r="H9981" s="11">
        <v>42795</v>
      </c>
      <c r="I9981" s="10">
        <v>2017</v>
      </c>
      <c r="J9981" s="10" t="s">
        <v>15187</v>
      </c>
      <c r="K9981" s="10">
        <v>168</v>
      </c>
      <c r="L9981" s="10" t="s">
        <v>44431</v>
      </c>
      <c r="M9981" s="10">
        <v>1</v>
      </c>
      <c r="N9981" s="10"/>
      <c r="O9981" s="10"/>
      <c r="P9981" s="10" t="s">
        <v>44432</v>
      </c>
      <c r="Q9981" s="10"/>
      <c r="R9981" s="10" t="s">
        <v>44433</v>
      </c>
      <c r="S9981" s="10" t="s">
        <v>53</v>
      </c>
      <c r="T9981" s="10" t="s">
        <v>54</v>
      </c>
    </row>
    <row r="9982" spans="1:20" ht="14.5" x14ac:dyDescent="0.35">
      <c r="A9982" s="10" t="s">
        <v>44434</v>
      </c>
      <c r="B9982" s="10" t="str">
        <f>"9781787143555"</f>
        <v>9781787143555</v>
      </c>
      <c r="C9982" s="10" t="str">
        <f>"9781787143562"</f>
        <v>9781787143562</v>
      </c>
      <c r="D9982" s="10" t="s">
        <v>8699</v>
      </c>
      <c r="E9982" s="10" t="s">
        <v>8699</v>
      </c>
      <c r="F9982" s="10" t="s">
        <v>41843</v>
      </c>
      <c r="G9982" s="10" t="s">
        <v>6352</v>
      </c>
      <c r="H9982" s="11">
        <v>42761</v>
      </c>
      <c r="I9982" s="10">
        <v>2017</v>
      </c>
      <c r="J9982" s="10" t="s">
        <v>8699</v>
      </c>
      <c r="K9982" s="10">
        <v>172</v>
      </c>
      <c r="L9982" s="10" t="s">
        <v>44435</v>
      </c>
      <c r="M9982" s="10">
        <v>1</v>
      </c>
      <c r="N9982" s="10" t="s">
        <v>3230</v>
      </c>
      <c r="O9982" s="10">
        <v>9</v>
      </c>
      <c r="P9982" s="10" t="s">
        <v>44436</v>
      </c>
      <c r="Q9982" s="10">
        <v>370</v>
      </c>
      <c r="R9982" s="10" t="s">
        <v>29942</v>
      </c>
      <c r="S9982" s="10" t="s">
        <v>53</v>
      </c>
      <c r="T9982" s="10" t="s">
        <v>54</v>
      </c>
    </row>
    <row r="9983" spans="1:20" ht="14.5" x14ac:dyDescent="0.35">
      <c r="A9983" s="10" t="s">
        <v>44437</v>
      </c>
      <c r="B9983" s="10" t="str">
        <f>"9781787143579"</f>
        <v>9781787143579</v>
      </c>
      <c r="C9983" s="10" t="str">
        <f>"9781787143586"</f>
        <v>9781787143586</v>
      </c>
      <c r="D9983" s="10" t="s">
        <v>8699</v>
      </c>
      <c r="E9983" s="10" t="s">
        <v>8699</v>
      </c>
      <c r="F9983" s="10" t="s">
        <v>41843</v>
      </c>
      <c r="G9983" s="10" t="s">
        <v>6352</v>
      </c>
      <c r="H9983" s="11">
        <v>42747</v>
      </c>
      <c r="I9983" s="10">
        <v>2017</v>
      </c>
      <c r="J9983" s="10" t="s">
        <v>8699</v>
      </c>
      <c r="K9983" s="10">
        <v>76</v>
      </c>
      <c r="L9983" s="10" t="s">
        <v>44438</v>
      </c>
      <c r="M9983" s="10">
        <v>1</v>
      </c>
      <c r="N9983" s="10" t="s">
        <v>43215</v>
      </c>
      <c r="O9983" s="10">
        <v>31</v>
      </c>
      <c r="P9983" s="10" t="s">
        <v>44439</v>
      </c>
      <c r="Q9983" s="10">
        <v>370</v>
      </c>
      <c r="R9983" s="10" t="s">
        <v>44440</v>
      </c>
      <c r="S9983" s="10" t="s">
        <v>53</v>
      </c>
      <c r="T9983" s="10" t="s">
        <v>54</v>
      </c>
    </row>
    <row r="9984" spans="1:20" ht="14.5" x14ac:dyDescent="0.35">
      <c r="A9984" s="10" t="s">
        <v>44441</v>
      </c>
      <c r="B9984" s="10" t="str">
        <f>""</f>
        <v/>
      </c>
      <c r="C9984" s="10" t="str">
        <f>"9789057183829"</f>
        <v>9789057183829</v>
      </c>
      <c r="D9984" s="10" t="s">
        <v>34452</v>
      </c>
      <c r="E9984" s="10" t="s">
        <v>34453</v>
      </c>
      <c r="F9984" s="10" t="s">
        <v>29174</v>
      </c>
      <c r="G9984" s="10" t="s">
        <v>28737</v>
      </c>
      <c r="H9984" s="11">
        <v>41677</v>
      </c>
      <c r="I9984" s="10">
        <v>2014</v>
      </c>
      <c r="J9984" s="10" t="s">
        <v>34460</v>
      </c>
      <c r="K9984" s="10">
        <v>112</v>
      </c>
      <c r="L9984" s="10" t="s">
        <v>44442</v>
      </c>
      <c r="M9984" s="10">
        <v>1</v>
      </c>
      <c r="N9984" s="10" t="s">
        <v>44443</v>
      </c>
      <c r="O9984" s="10"/>
      <c r="P9984" s="10" t="s">
        <v>44444</v>
      </c>
      <c r="Q9984" s="10">
        <v>373</v>
      </c>
      <c r="R9984" s="10" t="s">
        <v>44445</v>
      </c>
      <c r="S9984" s="10" t="s">
        <v>3107</v>
      </c>
      <c r="T9984" s="10" t="s">
        <v>54</v>
      </c>
    </row>
    <row r="9985" spans="1:20" ht="14.5" x14ac:dyDescent="0.35">
      <c r="A9985" s="10" t="s">
        <v>44446</v>
      </c>
      <c r="B9985" s="10" t="str">
        <f>""</f>
        <v/>
      </c>
      <c r="C9985" s="10" t="str">
        <f>"9789057184543"</f>
        <v>9789057184543</v>
      </c>
      <c r="D9985" s="10" t="s">
        <v>34452</v>
      </c>
      <c r="E9985" s="10" t="s">
        <v>34453</v>
      </c>
      <c r="F9985" s="10" t="s">
        <v>29174</v>
      </c>
      <c r="G9985" s="10" t="s">
        <v>28737</v>
      </c>
      <c r="H9985" s="11">
        <v>42292</v>
      </c>
      <c r="I9985" s="10">
        <v>2015</v>
      </c>
      <c r="J9985" s="10" t="s">
        <v>34460</v>
      </c>
      <c r="K9985" s="10">
        <v>64</v>
      </c>
      <c r="L9985" s="10" t="s">
        <v>44447</v>
      </c>
      <c r="M9985" s="10">
        <v>1</v>
      </c>
      <c r="N9985" s="10" t="s">
        <v>44443</v>
      </c>
      <c r="O9985" s="10"/>
      <c r="P9985" s="10" t="s">
        <v>44448</v>
      </c>
      <c r="Q9985" s="10">
        <v>371.26019000000002</v>
      </c>
      <c r="R9985" s="10" t="s">
        <v>44449</v>
      </c>
      <c r="S9985" s="10" t="s">
        <v>3107</v>
      </c>
      <c r="T9985" s="10" t="s">
        <v>54</v>
      </c>
    </row>
    <row r="9986" spans="1:20" ht="14.5" x14ac:dyDescent="0.35">
      <c r="A9986" s="10" t="s">
        <v>44450</v>
      </c>
      <c r="B9986" s="10" t="str">
        <f>""</f>
        <v/>
      </c>
      <c r="C9986" s="10" t="str">
        <f>"9789057184079"</f>
        <v>9789057184079</v>
      </c>
      <c r="D9986" s="10" t="s">
        <v>34452</v>
      </c>
      <c r="E9986" s="10" t="s">
        <v>34453</v>
      </c>
      <c r="F9986" s="10" t="s">
        <v>29174</v>
      </c>
      <c r="G9986" s="10" t="s">
        <v>28737</v>
      </c>
      <c r="H9986" s="11">
        <v>41820</v>
      </c>
      <c r="I9986" s="10">
        <v>2014</v>
      </c>
      <c r="J9986" s="10" t="s">
        <v>34460</v>
      </c>
      <c r="K9986" s="10">
        <v>148</v>
      </c>
      <c r="L9986" s="10" t="s">
        <v>44451</v>
      </c>
      <c r="M9986" s="10">
        <v>1</v>
      </c>
      <c r="N9986" s="10"/>
      <c r="O9986" s="10"/>
      <c r="P9986" s="10" t="s">
        <v>44452</v>
      </c>
      <c r="Q9986" s="10">
        <v>378</v>
      </c>
      <c r="R9986" s="10" t="s">
        <v>44453</v>
      </c>
      <c r="S9986" s="10" t="s">
        <v>3107</v>
      </c>
      <c r="T9986" s="10" t="s">
        <v>54</v>
      </c>
    </row>
    <row r="9987" spans="1:20" ht="14.5" x14ac:dyDescent="0.35">
      <c r="A9987" s="10" t="s">
        <v>44454</v>
      </c>
      <c r="B9987" s="10" t="str">
        <f>""</f>
        <v/>
      </c>
      <c r="C9987" s="10" t="str">
        <f>"9789057184000"</f>
        <v>9789057184000</v>
      </c>
      <c r="D9987" s="10" t="s">
        <v>34452</v>
      </c>
      <c r="E9987" s="10" t="s">
        <v>34453</v>
      </c>
      <c r="F9987" s="10" t="s">
        <v>29174</v>
      </c>
      <c r="G9987" s="10" t="s">
        <v>28737</v>
      </c>
      <c r="H9987" s="11">
        <v>41713</v>
      </c>
      <c r="I9987" s="10">
        <v>2014</v>
      </c>
      <c r="J9987" s="10" t="s">
        <v>34455</v>
      </c>
      <c r="K9987" s="10">
        <v>120</v>
      </c>
      <c r="L9987" s="10" t="s">
        <v>44455</v>
      </c>
      <c r="M9987" s="10">
        <v>1</v>
      </c>
      <c r="N9987" s="10"/>
      <c r="O9987" s="10"/>
      <c r="P9987" s="10" t="s">
        <v>44456</v>
      </c>
      <c r="Q9987" s="10">
        <v>370.1</v>
      </c>
      <c r="R9987" s="10" t="s">
        <v>17321</v>
      </c>
      <c r="S9987" s="10" t="s">
        <v>3107</v>
      </c>
      <c r="T9987" s="10" t="s">
        <v>54</v>
      </c>
    </row>
    <row r="9988" spans="1:20" ht="14.5" x14ac:dyDescent="0.35">
      <c r="A9988" s="10" t="s">
        <v>44457</v>
      </c>
      <c r="B9988" s="10" t="str">
        <f>"9781137521552"</f>
        <v>9781137521552</v>
      </c>
      <c r="C9988" s="10" t="str">
        <f>"9781137521569"</f>
        <v>9781137521569</v>
      </c>
      <c r="D9988" s="10" t="s">
        <v>11249</v>
      </c>
      <c r="E9988" s="10" t="s">
        <v>13407</v>
      </c>
      <c r="F9988" s="10" t="s">
        <v>139</v>
      </c>
      <c r="G9988" s="10" t="s">
        <v>6352</v>
      </c>
      <c r="H9988" s="11">
        <v>42793</v>
      </c>
      <c r="I9988" s="10">
        <v>2017</v>
      </c>
      <c r="J9988" s="10" t="s">
        <v>2400</v>
      </c>
      <c r="K9988" s="10">
        <v>221</v>
      </c>
      <c r="L9988" s="10" t="s">
        <v>44458</v>
      </c>
      <c r="M9988" s="10">
        <v>1</v>
      </c>
      <c r="N9988" s="10"/>
      <c r="O9988" s="10"/>
      <c r="P9988" s="10" t="s">
        <v>11275</v>
      </c>
      <c r="Q9988" s="10" t="s">
        <v>21663</v>
      </c>
      <c r="R9988" s="10" t="s">
        <v>14228</v>
      </c>
      <c r="S9988" s="10" t="s">
        <v>53</v>
      </c>
      <c r="T9988" s="10" t="s">
        <v>54</v>
      </c>
    </row>
    <row r="9989" spans="1:20" ht="14.5" x14ac:dyDescent="0.35">
      <c r="A9989" s="10" t="s">
        <v>44459</v>
      </c>
      <c r="B9989" s="10" t="str">
        <f>"9781498544634"</f>
        <v>9781498544634</v>
      </c>
      <c r="C9989" s="10" t="str">
        <f>"9781498544641"</f>
        <v>9781498544641</v>
      </c>
      <c r="D9989" s="10" t="s">
        <v>9752</v>
      </c>
      <c r="E9989" s="10" t="s">
        <v>15182</v>
      </c>
      <c r="F9989" s="10" t="s">
        <v>9754</v>
      </c>
      <c r="G9989" s="10" t="s">
        <v>6317</v>
      </c>
      <c r="H9989" s="11">
        <v>42811</v>
      </c>
      <c r="I9989" s="10">
        <v>2017</v>
      </c>
      <c r="J9989" s="10" t="s">
        <v>15182</v>
      </c>
      <c r="K9989" s="10">
        <v>287</v>
      </c>
      <c r="L9989" s="10" t="s">
        <v>44460</v>
      </c>
      <c r="M9989" s="10">
        <v>1</v>
      </c>
      <c r="N9989" s="10" t="s">
        <v>17833</v>
      </c>
      <c r="O9989" s="10"/>
      <c r="P9989" s="10" t="s">
        <v>44461</v>
      </c>
      <c r="Q9989" s="10" t="s">
        <v>44462</v>
      </c>
      <c r="R9989" s="10" t="s">
        <v>44463</v>
      </c>
      <c r="S9989" s="10" t="s">
        <v>53</v>
      </c>
      <c r="T9989" s="10" t="s">
        <v>9993</v>
      </c>
    </row>
    <row r="9990" spans="1:20" ht="14.5" x14ac:dyDescent="0.35">
      <c r="A9990" s="10" t="s">
        <v>44464</v>
      </c>
      <c r="B9990" s="10" t="str">
        <f>"9781771676281"</f>
        <v>9781771676281</v>
      </c>
      <c r="C9990" s="10" t="str">
        <f>"9781771679534"</f>
        <v>9781771679534</v>
      </c>
      <c r="D9990" s="10" t="s">
        <v>29364</v>
      </c>
      <c r="E9990" s="10" t="s">
        <v>31200</v>
      </c>
      <c r="F9990" s="10" t="s">
        <v>1232</v>
      </c>
      <c r="G9990" s="10" t="s">
        <v>6317</v>
      </c>
      <c r="H9990" s="11">
        <v>42718</v>
      </c>
      <c r="I9990" s="10">
        <v>2017</v>
      </c>
      <c r="J9990" s="10" t="s">
        <v>29364</v>
      </c>
      <c r="K9990" s="10">
        <v>56</v>
      </c>
      <c r="L9990" s="10" t="s">
        <v>39580</v>
      </c>
      <c r="M9990" s="10">
        <v>1</v>
      </c>
      <c r="N9990" s="10" t="s">
        <v>43912</v>
      </c>
      <c r="O9990" s="10">
        <v>15</v>
      </c>
      <c r="P9990" s="10" t="s">
        <v>44465</v>
      </c>
      <c r="Q9990" s="10">
        <v>812.52</v>
      </c>
      <c r="R9990" s="10" t="s">
        <v>44466</v>
      </c>
      <c r="S9990" s="10" t="s">
        <v>53</v>
      </c>
      <c r="T9990" s="10" t="s">
        <v>1166</v>
      </c>
    </row>
    <row r="9991" spans="1:20" ht="14.5" x14ac:dyDescent="0.35">
      <c r="A9991" s="10" t="s">
        <v>44467</v>
      </c>
      <c r="B9991" s="10" t="str">
        <f>"9781119355687"</f>
        <v>9781119355687</v>
      </c>
      <c r="C9991" s="10" t="str">
        <f>"9781119355724"</f>
        <v>9781119355724</v>
      </c>
      <c r="D9991" s="10" t="s">
        <v>6322</v>
      </c>
      <c r="E9991" s="10" t="s">
        <v>6323</v>
      </c>
      <c r="F9991" s="10" t="s">
        <v>4423</v>
      </c>
      <c r="G9991" s="10" t="s">
        <v>6352</v>
      </c>
      <c r="H9991" s="11">
        <v>42856</v>
      </c>
      <c r="I9991" s="10">
        <v>2017</v>
      </c>
      <c r="J9991" s="10" t="s">
        <v>8436</v>
      </c>
      <c r="K9991" s="10">
        <v>247</v>
      </c>
      <c r="L9991" s="10" t="s">
        <v>6417</v>
      </c>
      <c r="M9991" s="10">
        <v>1</v>
      </c>
      <c r="N9991" s="10" t="s">
        <v>18839</v>
      </c>
      <c r="O9991" s="10"/>
      <c r="P9991" s="10"/>
      <c r="Q9991" s="10">
        <v>371.1</v>
      </c>
      <c r="R9991" s="10" t="s">
        <v>44468</v>
      </c>
      <c r="S9991" s="10" t="s">
        <v>53</v>
      </c>
      <c r="T9991" s="10" t="s">
        <v>54</v>
      </c>
    </row>
    <row r="9992" spans="1:20" ht="14.5" x14ac:dyDescent="0.35">
      <c r="A9992" s="10" t="s">
        <v>44469</v>
      </c>
      <c r="B9992" s="10" t="str">
        <f>"9781911106425"</f>
        <v>9781911106425</v>
      </c>
      <c r="C9992" s="10" t="str">
        <f>"9781911106449"</f>
        <v>9781911106449</v>
      </c>
      <c r="D9992" s="10" t="s">
        <v>9533</v>
      </c>
      <c r="E9992" s="10" t="s">
        <v>26840</v>
      </c>
      <c r="F9992" s="10" t="s">
        <v>44053</v>
      </c>
      <c r="G9992" s="10" t="s">
        <v>6352</v>
      </c>
      <c r="H9992" s="11">
        <v>42795</v>
      </c>
      <c r="I9992" s="10">
        <v>2017</v>
      </c>
      <c r="J9992" s="10" t="s">
        <v>26840</v>
      </c>
      <c r="K9992" s="10">
        <v>226</v>
      </c>
      <c r="L9992" s="10" t="s">
        <v>44470</v>
      </c>
      <c r="M9992" s="10">
        <v>1</v>
      </c>
      <c r="N9992" s="10" t="s">
        <v>44471</v>
      </c>
      <c r="O9992" s="10"/>
      <c r="P9992" s="10" t="s">
        <v>44472</v>
      </c>
      <c r="Q9992" s="10">
        <v>372.11020940999998</v>
      </c>
      <c r="R9992" s="10" t="s">
        <v>18927</v>
      </c>
      <c r="S9992" s="10" t="s">
        <v>53</v>
      </c>
      <c r="T9992" s="10" t="s">
        <v>54</v>
      </c>
    </row>
    <row r="9993" spans="1:20" ht="14.5" x14ac:dyDescent="0.35">
      <c r="A9993" s="10" t="s">
        <v>44473</v>
      </c>
      <c r="B9993" s="10" t="str">
        <f>"9781475834314"</f>
        <v>9781475834314</v>
      </c>
      <c r="C9993" s="10" t="str">
        <f>"9781475834345"</f>
        <v>9781475834345</v>
      </c>
      <c r="D9993" s="10" t="s">
        <v>9752</v>
      </c>
      <c r="E9993" s="10" t="s">
        <v>15187</v>
      </c>
      <c r="F9993" s="10" t="s">
        <v>9754</v>
      </c>
      <c r="G9993" s="10" t="s">
        <v>6317</v>
      </c>
      <c r="H9993" s="11">
        <v>42802</v>
      </c>
      <c r="I9993" s="10">
        <v>2017</v>
      </c>
      <c r="J9993" s="10" t="s">
        <v>15187</v>
      </c>
      <c r="K9993" s="10">
        <v>174</v>
      </c>
      <c r="L9993" s="10" t="s">
        <v>44474</v>
      </c>
      <c r="M9993" s="10">
        <v>1</v>
      </c>
      <c r="N9993" s="10" t="s">
        <v>44475</v>
      </c>
      <c r="O9993" s="10"/>
      <c r="P9993" s="10" t="s">
        <v>44476</v>
      </c>
      <c r="Q9993" s="10"/>
      <c r="R9993" s="10" t="s">
        <v>44477</v>
      </c>
      <c r="S9993" s="10" t="s">
        <v>53</v>
      </c>
      <c r="T9993" s="10" t="s">
        <v>54</v>
      </c>
    </row>
    <row r="9994" spans="1:20" ht="14.5" x14ac:dyDescent="0.35">
      <c r="A9994" s="10" t="s">
        <v>44478</v>
      </c>
      <c r="B9994" s="10" t="str">
        <f>""</f>
        <v/>
      </c>
      <c r="C9994" s="10" t="str">
        <f>"9780787706845"</f>
        <v>9780787706845</v>
      </c>
      <c r="D9994" s="10" t="s">
        <v>29364</v>
      </c>
      <c r="E9994" s="10" t="s">
        <v>31200</v>
      </c>
      <c r="F9994" s="10" t="s">
        <v>1061</v>
      </c>
      <c r="G9994" s="10" t="s">
        <v>6317</v>
      </c>
      <c r="H9994" s="11">
        <v>41153</v>
      </c>
      <c r="I9994" s="10">
        <v>2012</v>
      </c>
      <c r="J9994" s="10" t="s">
        <v>44479</v>
      </c>
      <c r="K9994" s="10">
        <v>132</v>
      </c>
      <c r="L9994" s="10" t="s">
        <v>44480</v>
      </c>
      <c r="M9994" s="10">
        <v>1</v>
      </c>
      <c r="N9994" s="10"/>
      <c r="O9994" s="10"/>
      <c r="P9994" s="10" t="s">
        <v>44481</v>
      </c>
      <c r="Q9994" s="10">
        <v>372.11020000000002</v>
      </c>
      <c r="R9994" s="10" t="s">
        <v>44482</v>
      </c>
      <c r="S9994" s="10" t="s">
        <v>53</v>
      </c>
      <c r="T9994" s="10" t="s">
        <v>54</v>
      </c>
    </row>
    <row r="9995" spans="1:20" ht="14.5" x14ac:dyDescent="0.35">
      <c r="A9995" s="10" t="s">
        <v>44483</v>
      </c>
      <c r="B9995" s="10" t="str">
        <f>""</f>
        <v/>
      </c>
      <c r="C9995" s="10" t="str">
        <f>"9780787714758"</f>
        <v>9780787714758</v>
      </c>
      <c r="D9995" s="10" t="s">
        <v>29364</v>
      </c>
      <c r="E9995" s="10" t="s">
        <v>31200</v>
      </c>
      <c r="F9995" s="10" t="s">
        <v>1061</v>
      </c>
      <c r="G9995" s="10" t="s">
        <v>6317</v>
      </c>
      <c r="H9995" s="11">
        <v>42248</v>
      </c>
      <c r="I9995" s="10">
        <v>2015</v>
      </c>
      <c r="J9995" s="10" t="s">
        <v>44479</v>
      </c>
      <c r="K9995" s="10">
        <v>122</v>
      </c>
      <c r="L9995" s="10" t="s">
        <v>44480</v>
      </c>
      <c r="M9995" s="10">
        <v>1</v>
      </c>
      <c r="N9995" s="10"/>
      <c r="O9995" s="10"/>
      <c r="P9995" s="10" t="s">
        <v>44484</v>
      </c>
      <c r="Q9995" s="10">
        <v>615.85159999999996</v>
      </c>
      <c r="R9995" s="10" t="s">
        <v>44485</v>
      </c>
      <c r="S9995" s="10" t="s">
        <v>53</v>
      </c>
      <c r="T9995" s="10" t="s">
        <v>8510</v>
      </c>
    </row>
    <row r="9996" spans="1:20" ht="14.5" x14ac:dyDescent="0.35">
      <c r="A9996" s="10" t="s">
        <v>44486</v>
      </c>
      <c r="B9996" s="10" t="str">
        <f>""</f>
        <v/>
      </c>
      <c r="C9996" s="10" t="str">
        <f>"9780787710880"</f>
        <v>9780787710880</v>
      </c>
      <c r="D9996" s="10" t="s">
        <v>29364</v>
      </c>
      <c r="E9996" s="10" t="s">
        <v>31200</v>
      </c>
      <c r="F9996" s="10" t="s">
        <v>1061</v>
      </c>
      <c r="G9996" s="10" t="s">
        <v>6317</v>
      </c>
      <c r="H9996" s="11">
        <v>41883</v>
      </c>
      <c r="I9996" s="10">
        <v>2014</v>
      </c>
      <c r="J9996" s="10" t="s">
        <v>44479</v>
      </c>
      <c r="K9996" s="10">
        <v>96</v>
      </c>
      <c r="L9996" s="10" t="s">
        <v>44487</v>
      </c>
      <c r="M9996" s="10">
        <v>1</v>
      </c>
      <c r="N9996" s="10"/>
      <c r="O9996" s="10"/>
      <c r="P9996" s="10" t="s">
        <v>44488</v>
      </c>
      <c r="Q9996" s="10">
        <v>372.87</v>
      </c>
      <c r="R9996" s="10" t="s">
        <v>44489</v>
      </c>
      <c r="S9996" s="10" t="s">
        <v>53</v>
      </c>
      <c r="T9996" s="10" t="s">
        <v>6815</v>
      </c>
    </row>
    <row r="9997" spans="1:20" ht="14.5" x14ac:dyDescent="0.35">
      <c r="A9997" s="10" t="s">
        <v>44490</v>
      </c>
      <c r="B9997" s="10" t="str">
        <f>""</f>
        <v/>
      </c>
      <c r="C9997" s="10" t="str">
        <f>"9780787710798"</f>
        <v>9780787710798</v>
      </c>
      <c r="D9997" s="10" t="s">
        <v>29364</v>
      </c>
      <c r="E9997" s="10" t="s">
        <v>31200</v>
      </c>
      <c r="F9997" s="10" t="s">
        <v>1061</v>
      </c>
      <c r="G9997" s="10" t="s">
        <v>6317</v>
      </c>
      <c r="H9997" s="11">
        <v>41883</v>
      </c>
      <c r="I9997" s="10">
        <v>2014</v>
      </c>
      <c r="J9997" s="10" t="s">
        <v>44479</v>
      </c>
      <c r="K9997" s="10">
        <v>88</v>
      </c>
      <c r="L9997" s="10" t="s">
        <v>44480</v>
      </c>
      <c r="M9997" s="10">
        <v>1</v>
      </c>
      <c r="N9997" s="10"/>
      <c r="O9997" s="10"/>
      <c r="P9997" s="10" t="s">
        <v>44491</v>
      </c>
      <c r="Q9997" s="10">
        <v>371.10199999999998</v>
      </c>
      <c r="R9997" s="10" t="s">
        <v>44492</v>
      </c>
      <c r="S9997" s="10" t="s">
        <v>53</v>
      </c>
      <c r="T9997" s="10" t="s">
        <v>54</v>
      </c>
    </row>
    <row r="9998" spans="1:20" ht="14.5" x14ac:dyDescent="0.35">
      <c r="A9998" s="10" t="s">
        <v>44493</v>
      </c>
      <c r="B9998" s="10" t="str">
        <f>""</f>
        <v/>
      </c>
      <c r="C9998" s="10" t="str">
        <f>"9780787735012"</f>
        <v>9780787735012</v>
      </c>
      <c r="D9998" s="10" t="s">
        <v>29364</v>
      </c>
      <c r="E9998" s="10" t="s">
        <v>31200</v>
      </c>
      <c r="F9998" s="10" t="s">
        <v>1061</v>
      </c>
      <c r="G9998" s="10" t="s">
        <v>6317</v>
      </c>
      <c r="H9998" s="11">
        <v>42614</v>
      </c>
      <c r="I9998" s="10">
        <v>2016</v>
      </c>
      <c r="J9998" s="10" t="s">
        <v>44479</v>
      </c>
      <c r="K9998" s="10">
        <v>112</v>
      </c>
      <c r="L9998" s="10" t="s">
        <v>44480</v>
      </c>
      <c r="M9998" s="10">
        <v>1</v>
      </c>
      <c r="N9998" s="10"/>
      <c r="O9998" s="10"/>
      <c r="P9998" s="10" t="s">
        <v>44494</v>
      </c>
      <c r="Q9998" s="10">
        <v>379.26</v>
      </c>
      <c r="R9998" s="10" t="s">
        <v>21136</v>
      </c>
      <c r="S9998" s="10" t="s">
        <v>53</v>
      </c>
      <c r="T9998" s="10" t="s">
        <v>54</v>
      </c>
    </row>
    <row r="9999" spans="1:20" ht="14.5" x14ac:dyDescent="0.35">
      <c r="A9999" s="10" t="s">
        <v>44495</v>
      </c>
      <c r="B9999" s="10" t="str">
        <f>""</f>
        <v/>
      </c>
      <c r="C9999" s="10" t="str">
        <f>"9780787720957"</f>
        <v>9780787720957</v>
      </c>
      <c r="D9999" s="10" t="s">
        <v>29364</v>
      </c>
      <c r="E9999" s="10" t="s">
        <v>31200</v>
      </c>
      <c r="F9999" s="10" t="s">
        <v>1061</v>
      </c>
      <c r="G9999" s="10" t="s">
        <v>6317</v>
      </c>
      <c r="H9999" s="11">
        <v>41883</v>
      </c>
      <c r="I9999" s="10">
        <v>2014</v>
      </c>
      <c r="J9999" s="10" t="s">
        <v>44479</v>
      </c>
      <c r="K9999" s="10">
        <v>10</v>
      </c>
      <c r="L9999" s="10" t="s">
        <v>44487</v>
      </c>
      <c r="M9999" s="10">
        <v>1</v>
      </c>
      <c r="N9999" s="10"/>
      <c r="O9999" s="10"/>
      <c r="P9999" s="10" t="s">
        <v>44496</v>
      </c>
      <c r="Q9999" s="10">
        <v>780.71</v>
      </c>
      <c r="R9999" s="10" t="s">
        <v>44497</v>
      </c>
      <c r="S9999" s="10" t="s">
        <v>53</v>
      </c>
      <c r="T9999" s="10" t="s">
        <v>6384</v>
      </c>
    </row>
    <row r="10000" spans="1:20" ht="14.5" x14ac:dyDescent="0.35">
      <c r="A10000" s="10" t="s">
        <v>44498</v>
      </c>
      <c r="B10000" s="10" t="str">
        <f>""</f>
        <v/>
      </c>
      <c r="C10000" s="10" t="str">
        <f>"9780787720995"</f>
        <v>9780787720995</v>
      </c>
      <c r="D10000" s="10" t="s">
        <v>29364</v>
      </c>
      <c r="E10000" s="10" t="s">
        <v>31200</v>
      </c>
      <c r="F10000" s="10" t="s">
        <v>1061</v>
      </c>
      <c r="G10000" s="10" t="s">
        <v>6317</v>
      </c>
      <c r="H10000" s="11">
        <v>41883</v>
      </c>
      <c r="I10000" s="10">
        <v>2014</v>
      </c>
      <c r="J10000" s="10" t="s">
        <v>44479</v>
      </c>
      <c r="K10000" s="10">
        <v>13</v>
      </c>
      <c r="L10000" s="10" t="s">
        <v>44487</v>
      </c>
      <c r="M10000" s="10">
        <v>1</v>
      </c>
      <c r="N10000" s="10"/>
      <c r="O10000" s="10"/>
      <c r="P10000" s="10" t="s">
        <v>44499</v>
      </c>
      <c r="Q10000" s="10">
        <v>784.19230000000005</v>
      </c>
      <c r="R10000" s="10" t="s">
        <v>44500</v>
      </c>
      <c r="S10000" s="10" t="s">
        <v>53</v>
      </c>
      <c r="T10000" s="10" t="s">
        <v>6384</v>
      </c>
    </row>
    <row r="10001" spans="1:20" ht="14.5" x14ac:dyDescent="0.35">
      <c r="A10001" s="10" t="s">
        <v>44501</v>
      </c>
      <c r="B10001" s="10" t="str">
        <f>""</f>
        <v/>
      </c>
      <c r="C10001" s="10" t="str">
        <f>"9780787721008"</f>
        <v>9780787721008</v>
      </c>
      <c r="D10001" s="10" t="s">
        <v>29364</v>
      </c>
      <c r="E10001" s="10" t="s">
        <v>31200</v>
      </c>
      <c r="F10001" s="10" t="s">
        <v>1061</v>
      </c>
      <c r="G10001" s="10" t="s">
        <v>6317</v>
      </c>
      <c r="H10001" s="11">
        <v>41883</v>
      </c>
      <c r="I10001" s="10">
        <v>2014</v>
      </c>
      <c r="J10001" s="10" t="s">
        <v>44479</v>
      </c>
      <c r="K10001" s="10">
        <v>15</v>
      </c>
      <c r="L10001" s="10" t="s">
        <v>44487</v>
      </c>
      <c r="M10001" s="10">
        <v>1</v>
      </c>
      <c r="N10001" s="10"/>
      <c r="O10001" s="10"/>
      <c r="P10001" s="10" t="s">
        <v>44496</v>
      </c>
      <c r="Q10001" s="10">
        <v>780.71</v>
      </c>
      <c r="R10001" s="10" t="s">
        <v>44502</v>
      </c>
      <c r="S10001" s="10" t="s">
        <v>53</v>
      </c>
      <c r="T10001" s="10" t="s">
        <v>6384</v>
      </c>
    </row>
    <row r="10002" spans="1:20" ht="14.5" x14ac:dyDescent="0.35">
      <c r="A10002" s="10" t="s">
        <v>44503</v>
      </c>
      <c r="B10002" s="10" t="str">
        <f>""</f>
        <v/>
      </c>
      <c r="C10002" s="10" t="str">
        <f>"9780787707965"</f>
        <v>9780787707965</v>
      </c>
      <c r="D10002" s="10" t="s">
        <v>29364</v>
      </c>
      <c r="E10002" s="10" t="s">
        <v>31200</v>
      </c>
      <c r="F10002" s="10" t="s">
        <v>1061</v>
      </c>
      <c r="G10002" s="10" t="s">
        <v>6317</v>
      </c>
      <c r="H10002" s="11">
        <v>41883</v>
      </c>
      <c r="I10002" s="10">
        <v>2014</v>
      </c>
      <c r="J10002" s="10" t="s">
        <v>44479</v>
      </c>
      <c r="K10002" s="10">
        <v>10</v>
      </c>
      <c r="L10002" s="10" t="s">
        <v>44504</v>
      </c>
      <c r="M10002" s="10">
        <v>1</v>
      </c>
      <c r="N10002" s="10" t="s">
        <v>44505</v>
      </c>
      <c r="O10002" s="10"/>
      <c r="P10002" s="10" t="s">
        <v>44506</v>
      </c>
      <c r="Q10002" s="10">
        <v>372.4</v>
      </c>
      <c r="R10002" s="10" t="s">
        <v>44507</v>
      </c>
      <c r="S10002" s="10" t="s">
        <v>53</v>
      </c>
      <c r="T10002" s="10" t="s">
        <v>54</v>
      </c>
    </row>
    <row r="10003" spans="1:20" ht="14.5" x14ac:dyDescent="0.35">
      <c r="A10003" s="10" t="s">
        <v>44508</v>
      </c>
      <c r="B10003" s="10" t="str">
        <f>""</f>
        <v/>
      </c>
      <c r="C10003" s="10" t="str">
        <f>"9780787708085"</f>
        <v>9780787708085</v>
      </c>
      <c r="D10003" s="10" t="s">
        <v>29364</v>
      </c>
      <c r="E10003" s="10" t="s">
        <v>31200</v>
      </c>
      <c r="F10003" s="10" t="s">
        <v>1061</v>
      </c>
      <c r="G10003" s="10" t="s">
        <v>6317</v>
      </c>
      <c r="H10003" s="11">
        <v>41883</v>
      </c>
      <c r="I10003" s="10">
        <v>2014</v>
      </c>
      <c r="J10003" s="10" t="s">
        <v>44479</v>
      </c>
      <c r="K10003" s="10">
        <v>6</v>
      </c>
      <c r="L10003" s="10" t="s">
        <v>44504</v>
      </c>
      <c r="M10003" s="10">
        <v>1</v>
      </c>
      <c r="N10003" s="10" t="s">
        <v>44505</v>
      </c>
      <c r="O10003" s="10"/>
      <c r="P10003" s="10" t="s">
        <v>44509</v>
      </c>
      <c r="Q10003" s="10">
        <v>428.1</v>
      </c>
      <c r="R10003" s="10" t="s">
        <v>44510</v>
      </c>
      <c r="S10003" s="10" t="s">
        <v>53</v>
      </c>
      <c r="T10003" s="10" t="s">
        <v>6616</v>
      </c>
    </row>
    <row r="10004" spans="1:20" ht="14.5" x14ac:dyDescent="0.35">
      <c r="A10004" s="10" t="s">
        <v>44511</v>
      </c>
      <c r="B10004" s="10" t="str">
        <f>""</f>
        <v/>
      </c>
      <c r="C10004" s="10" t="str">
        <f>"9780787708153"</f>
        <v>9780787708153</v>
      </c>
      <c r="D10004" s="10" t="s">
        <v>29364</v>
      </c>
      <c r="E10004" s="10" t="s">
        <v>31200</v>
      </c>
      <c r="F10004" s="10" t="s">
        <v>1061</v>
      </c>
      <c r="G10004" s="10" t="s">
        <v>6317</v>
      </c>
      <c r="H10004" s="11">
        <v>41883</v>
      </c>
      <c r="I10004" s="10">
        <v>2014</v>
      </c>
      <c r="J10004" s="10" t="s">
        <v>44479</v>
      </c>
      <c r="K10004" s="10">
        <v>13</v>
      </c>
      <c r="L10004" s="10" t="s">
        <v>44504</v>
      </c>
      <c r="M10004" s="10">
        <v>1</v>
      </c>
      <c r="N10004" s="10" t="s">
        <v>44505</v>
      </c>
      <c r="O10004" s="10"/>
      <c r="P10004" s="10" t="s">
        <v>44512</v>
      </c>
      <c r="Q10004" s="10">
        <v>425.7</v>
      </c>
      <c r="R10004" s="10" t="s">
        <v>44513</v>
      </c>
      <c r="S10004" s="10" t="s">
        <v>53</v>
      </c>
      <c r="T10004" s="10" t="s">
        <v>6616</v>
      </c>
    </row>
    <row r="10005" spans="1:20" ht="14.5" x14ac:dyDescent="0.35">
      <c r="A10005" s="10" t="s">
        <v>44514</v>
      </c>
      <c r="B10005" s="10" t="str">
        <f>""</f>
        <v/>
      </c>
      <c r="C10005" s="10" t="str">
        <f>"9780787708160"</f>
        <v>9780787708160</v>
      </c>
      <c r="D10005" s="10" t="s">
        <v>29364</v>
      </c>
      <c r="E10005" s="10" t="s">
        <v>31200</v>
      </c>
      <c r="F10005" s="10" t="s">
        <v>1061</v>
      </c>
      <c r="G10005" s="10" t="s">
        <v>6317</v>
      </c>
      <c r="H10005" s="11">
        <v>41883</v>
      </c>
      <c r="I10005" s="10">
        <v>2014</v>
      </c>
      <c r="J10005" s="10" t="s">
        <v>44479</v>
      </c>
      <c r="K10005" s="10">
        <v>12</v>
      </c>
      <c r="L10005" s="10" t="s">
        <v>44504</v>
      </c>
      <c r="M10005" s="10">
        <v>1</v>
      </c>
      <c r="N10005" s="10" t="s">
        <v>44505</v>
      </c>
      <c r="O10005" s="10"/>
      <c r="P10005" s="10" t="s">
        <v>44515</v>
      </c>
      <c r="Q10005" s="10">
        <v>428.2</v>
      </c>
      <c r="R10005" s="10" t="s">
        <v>44516</v>
      </c>
      <c r="S10005" s="10" t="s">
        <v>53</v>
      </c>
      <c r="T10005" s="10" t="s">
        <v>6616</v>
      </c>
    </row>
    <row r="10006" spans="1:20" ht="14.5" x14ac:dyDescent="0.35">
      <c r="A10006" s="10" t="s">
        <v>44517</v>
      </c>
      <c r="B10006" s="10" t="str">
        <f>""</f>
        <v/>
      </c>
      <c r="C10006" s="10" t="str">
        <f>"9780787708191"</f>
        <v>9780787708191</v>
      </c>
      <c r="D10006" s="10" t="s">
        <v>29364</v>
      </c>
      <c r="E10006" s="10" t="s">
        <v>31200</v>
      </c>
      <c r="F10006" s="10" t="s">
        <v>1061</v>
      </c>
      <c r="G10006" s="10" t="s">
        <v>6317</v>
      </c>
      <c r="H10006" s="11">
        <v>41883</v>
      </c>
      <c r="I10006" s="10">
        <v>2014</v>
      </c>
      <c r="J10006" s="10" t="s">
        <v>44479</v>
      </c>
      <c r="K10006" s="10">
        <v>9</v>
      </c>
      <c r="L10006" s="10" t="s">
        <v>44504</v>
      </c>
      <c r="M10006" s="10">
        <v>1</v>
      </c>
      <c r="N10006" s="10" t="s">
        <v>44505</v>
      </c>
      <c r="O10006" s="10"/>
      <c r="P10006" s="10" t="s">
        <v>44518</v>
      </c>
      <c r="Q10006" s="10">
        <v>428.2</v>
      </c>
      <c r="R10006" s="10" t="s">
        <v>44519</v>
      </c>
      <c r="S10006" s="10" t="s">
        <v>53</v>
      </c>
      <c r="T10006" s="10" t="s">
        <v>6616</v>
      </c>
    </row>
    <row r="10007" spans="1:20" ht="14.5" x14ac:dyDescent="0.35">
      <c r="A10007" s="10" t="s">
        <v>44520</v>
      </c>
      <c r="B10007" s="10" t="str">
        <f>""</f>
        <v/>
      </c>
      <c r="C10007" s="10" t="str">
        <f>"9780787708245"</f>
        <v>9780787708245</v>
      </c>
      <c r="D10007" s="10" t="s">
        <v>29364</v>
      </c>
      <c r="E10007" s="10" t="s">
        <v>31200</v>
      </c>
      <c r="F10007" s="10" t="s">
        <v>1061</v>
      </c>
      <c r="G10007" s="10" t="s">
        <v>6317</v>
      </c>
      <c r="H10007" s="11">
        <v>41883</v>
      </c>
      <c r="I10007" s="10">
        <v>2014</v>
      </c>
      <c r="J10007" s="10" t="s">
        <v>44479</v>
      </c>
      <c r="K10007" s="10">
        <v>8</v>
      </c>
      <c r="L10007" s="10" t="s">
        <v>44504</v>
      </c>
      <c r="M10007" s="10">
        <v>1</v>
      </c>
      <c r="N10007" s="10" t="s">
        <v>44505</v>
      </c>
      <c r="O10007" s="10"/>
      <c r="P10007" s="10" t="s">
        <v>44521</v>
      </c>
      <c r="Q10007" s="10">
        <v>425.55</v>
      </c>
      <c r="R10007" s="10" t="s">
        <v>44522</v>
      </c>
      <c r="S10007" s="10" t="s">
        <v>53</v>
      </c>
      <c r="T10007" s="10" t="s">
        <v>6616</v>
      </c>
    </row>
    <row r="10008" spans="1:20" ht="14.5" x14ac:dyDescent="0.35">
      <c r="A10008" s="10" t="s">
        <v>44523</v>
      </c>
      <c r="B10008" s="10" t="str">
        <f>""</f>
        <v/>
      </c>
      <c r="C10008" s="10" t="str">
        <f>"9780787708337"</f>
        <v>9780787708337</v>
      </c>
      <c r="D10008" s="10" t="s">
        <v>29364</v>
      </c>
      <c r="E10008" s="10" t="s">
        <v>31200</v>
      </c>
      <c r="F10008" s="10" t="s">
        <v>1061</v>
      </c>
      <c r="G10008" s="10" t="s">
        <v>6317</v>
      </c>
      <c r="H10008" s="11">
        <v>41883</v>
      </c>
      <c r="I10008" s="10">
        <v>2014</v>
      </c>
      <c r="J10008" s="10" t="s">
        <v>44479</v>
      </c>
      <c r="K10008" s="10">
        <v>9</v>
      </c>
      <c r="L10008" s="10" t="s">
        <v>44504</v>
      </c>
      <c r="M10008" s="10">
        <v>1</v>
      </c>
      <c r="N10008" s="10" t="s">
        <v>44505</v>
      </c>
      <c r="O10008" s="10"/>
      <c r="P10008" s="10" t="s">
        <v>44524</v>
      </c>
      <c r="Q10008" s="10">
        <v>423.1</v>
      </c>
      <c r="R10008" s="10" t="s">
        <v>44525</v>
      </c>
      <c r="S10008" s="10" t="s">
        <v>53</v>
      </c>
      <c r="T10008" s="10" t="s">
        <v>6616</v>
      </c>
    </row>
    <row r="10009" spans="1:20" ht="14.5" x14ac:dyDescent="0.35">
      <c r="A10009" s="10" t="s">
        <v>44526</v>
      </c>
      <c r="B10009" s="10" t="str">
        <f>""</f>
        <v/>
      </c>
      <c r="C10009" s="10" t="str">
        <f>"9780787708535"</f>
        <v>9780787708535</v>
      </c>
      <c r="D10009" s="10" t="s">
        <v>29364</v>
      </c>
      <c r="E10009" s="10" t="s">
        <v>31200</v>
      </c>
      <c r="F10009" s="10" t="s">
        <v>1061</v>
      </c>
      <c r="G10009" s="10" t="s">
        <v>6317</v>
      </c>
      <c r="H10009" s="11">
        <v>41883</v>
      </c>
      <c r="I10009" s="10">
        <v>2014</v>
      </c>
      <c r="J10009" s="10" t="s">
        <v>44479</v>
      </c>
      <c r="K10009" s="10">
        <v>8</v>
      </c>
      <c r="L10009" s="10" t="s">
        <v>44504</v>
      </c>
      <c r="M10009" s="10">
        <v>1</v>
      </c>
      <c r="N10009" s="10" t="s">
        <v>44505</v>
      </c>
      <c r="O10009" s="10"/>
      <c r="P10009" s="10" t="s">
        <v>44527</v>
      </c>
      <c r="Q10009" s="10">
        <v>428.13</v>
      </c>
      <c r="R10009" s="10" t="s">
        <v>44528</v>
      </c>
      <c r="S10009" s="10" t="s">
        <v>53</v>
      </c>
      <c r="T10009" s="10" t="s">
        <v>6616</v>
      </c>
    </row>
    <row r="10010" spans="1:20" ht="14.5" x14ac:dyDescent="0.35">
      <c r="A10010" s="10" t="s">
        <v>44529</v>
      </c>
      <c r="B10010" s="10" t="str">
        <f>""</f>
        <v/>
      </c>
      <c r="C10010" s="10" t="str">
        <f>"9780787708641"</f>
        <v>9780787708641</v>
      </c>
      <c r="D10010" s="10" t="s">
        <v>29364</v>
      </c>
      <c r="E10010" s="10" t="s">
        <v>31200</v>
      </c>
      <c r="F10010" s="10" t="s">
        <v>1061</v>
      </c>
      <c r="G10010" s="10" t="s">
        <v>6317</v>
      </c>
      <c r="H10010" s="11">
        <v>41883</v>
      </c>
      <c r="I10010" s="10">
        <v>2014</v>
      </c>
      <c r="J10010" s="10" t="s">
        <v>44479</v>
      </c>
      <c r="K10010" s="10">
        <v>8</v>
      </c>
      <c r="L10010" s="10" t="s">
        <v>44504</v>
      </c>
      <c r="M10010" s="10">
        <v>1</v>
      </c>
      <c r="N10010" s="10" t="s">
        <v>44505</v>
      </c>
      <c r="O10010" s="10"/>
      <c r="P10010" s="10" t="s">
        <v>44530</v>
      </c>
      <c r="Q10010" s="10">
        <v>372.6</v>
      </c>
      <c r="R10010" s="10" t="s">
        <v>44531</v>
      </c>
      <c r="S10010" s="10" t="s">
        <v>53</v>
      </c>
      <c r="T10010" s="10" t="s">
        <v>54</v>
      </c>
    </row>
    <row r="10011" spans="1:20" ht="14.5" x14ac:dyDescent="0.35">
      <c r="A10011" s="10" t="s">
        <v>44532</v>
      </c>
      <c r="B10011" s="10" t="str">
        <f>""</f>
        <v/>
      </c>
      <c r="C10011" s="10" t="str">
        <f>"9780787708658"</f>
        <v>9780787708658</v>
      </c>
      <c r="D10011" s="10" t="s">
        <v>29364</v>
      </c>
      <c r="E10011" s="10" t="s">
        <v>31200</v>
      </c>
      <c r="F10011" s="10" t="s">
        <v>1061</v>
      </c>
      <c r="G10011" s="10" t="s">
        <v>6317</v>
      </c>
      <c r="H10011" s="11">
        <v>41883</v>
      </c>
      <c r="I10011" s="10">
        <v>2014</v>
      </c>
      <c r="J10011" s="10" t="s">
        <v>44479</v>
      </c>
      <c r="K10011" s="10">
        <v>8</v>
      </c>
      <c r="L10011" s="10" t="s">
        <v>44504</v>
      </c>
      <c r="M10011" s="10">
        <v>1</v>
      </c>
      <c r="N10011" s="10" t="s">
        <v>44505</v>
      </c>
      <c r="O10011" s="10"/>
      <c r="P10011" s="10" t="s">
        <v>44533</v>
      </c>
      <c r="Q10011" s="10">
        <v>372.6</v>
      </c>
      <c r="R10011" s="10" t="s">
        <v>44531</v>
      </c>
      <c r="S10011" s="10" t="s">
        <v>53</v>
      </c>
      <c r="T10011" s="10" t="s">
        <v>54</v>
      </c>
    </row>
    <row r="10012" spans="1:20" ht="14.5" x14ac:dyDescent="0.35">
      <c r="A10012" s="10" t="s">
        <v>44534</v>
      </c>
      <c r="B10012" s="10" t="str">
        <f>""</f>
        <v/>
      </c>
      <c r="C10012" s="10" t="str">
        <f>"9780787708665"</f>
        <v>9780787708665</v>
      </c>
      <c r="D10012" s="10" t="s">
        <v>29364</v>
      </c>
      <c r="E10012" s="10" t="s">
        <v>31200</v>
      </c>
      <c r="F10012" s="10" t="s">
        <v>1061</v>
      </c>
      <c r="G10012" s="10" t="s">
        <v>6317</v>
      </c>
      <c r="H10012" s="11">
        <v>41883</v>
      </c>
      <c r="I10012" s="10">
        <v>2014</v>
      </c>
      <c r="J10012" s="10" t="s">
        <v>44479</v>
      </c>
      <c r="K10012" s="10">
        <v>12</v>
      </c>
      <c r="L10012" s="10" t="s">
        <v>44504</v>
      </c>
      <c r="M10012" s="10">
        <v>1</v>
      </c>
      <c r="N10012" s="10" t="s">
        <v>44505</v>
      </c>
      <c r="O10012" s="10"/>
      <c r="P10012" s="10" t="s">
        <v>44535</v>
      </c>
      <c r="Q10012" s="10">
        <v>372.6</v>
      </c>
      <c r="R10012" s="10" t="s">
        <v>44531</v>
      </c>
      <c r="S10012" s="10" t="s">
        <v>53</v>
      </c>
      <c r="T10012" s="10" t="s">
        <v>54</v>
      </c>
    </row>
    <row r="10013" spans="1:20" ht="14.5" x14ac:dyDescent="0.35">
      <c r="A10013" s="10" t="s">
        <v>44536</v>
      </c>
      <c r="B10013" s="10" t="str">
        <f>""</f>
        <v/>
      </c>
      <c r="C10013" s="10" t="str">
        <f>"9780787708719"</f>
        <v>9780787708719</v>
      </c>
      <c r="D10013" s="10" t="s">
        <v>29364</v>
      </c>
      <c r="E10013" s="10" t="s">
        <v>31200</v>
      </c>
      <c r="F10013" s="10" t="s">
        <v>1061</v>
      </c>
      <c r="G10013" s="10" t="s">
        <v>6317</v>
      </c>
      <c r="H10013" s="11">
        <v>41883</v>
      </c>
      <c r="I10013" s="10">
        <v>2014</v>
      </c>
      <c r="J10013" s="10" t="s">
        <v>44479</v>
      </c>
      <c r="K10013" s="10">
        <v>9</v>
      </c>
      <c r="L10013" s="10" t="s">
        <v>44504</v>
      </c>
      <c r="M10013" s="10">
        <v>1</v>
      </c>
      <c r="N10013" s="10" t="s">
        <v>44505</v>
      </c>
      <c r="O10013" s="10"/>
      <c r="P10013" s="10" t="s">
        <v>44537</v>
      </c>
      <c r="Q10013" s="10">
        <v>372.6</v>
      </c>
      <c r="R10013" s="10" t="s">
        <v>44531</v>
      </c>
      <c r="S10013" s="10" t="s">
        <v>53</v>
      </c>
      <c r="T10013" s="10" t="s">
        <v>54</v>
      </c>
    </row>
    <row r="10014" spans="1:20" ht="14.5" x14ac:dyDescent="0.35">
      <c r="A10014" s="10" t="s">
        <v>44538</v>
      </c>
      <c r="B10014" s="10" t="str">
        <f>""</f>
        <v/>
      </c>
      <c r="C10014" s="10" t="str">
        <f>"9780787708726"</f>
        <v>9780787708726</v>
      </c>
      <c r="D10014" s="10" t="s">
        <v>29364</v>
      </c>
      <c r="E10014" s="10" t="s">
        <v>31200</v>
      </c>
      <c r="F10014" s="10" t="s">
        <v>1061</v>
      </c>
      <c r="G10014" s="10" t="s">
        <v>6317</v>
      </c>
      <c r="H10014" s="11">
        <v>41883</v>
      </c>
      <c r="I10014" s="10">
        <v>2014</v>
      </c>
      <c r="J10014" s="10" t="s">
        <v>44479</v>
      </c>
      <c r="K10014" s="10">
        <v>7</v>
      </c>
      <c r="L10014" s="10" t="s">
        <v>44504</v>
      </c>
      <c r="M10014" s="10">
        <v>1</v>
      </c>
      <c r="N10014" s="10" t="s">
        <v>44505</v>
      </c>
      <c r="O10014" s="10"/>
      <c r="P10014" s="10" t="s">
        <v>44539</v>
      </c>
      <c r="Q10014" s="10">
        <v>372.6</v>
      </c>
      <c r="R10014" s="10" t="s">
        <v>44531</v>
      </c>
      <c r="S10014" s="10" t="s">
        <v>53</v>
      </c>
      <c r="T10014" s="10" t="s">
        <v>54</v>
      </c>
    </row>
    <row r="10015" spans="1:20" ht="14.5" x14ac:dyDescent="0.35">
      <c r="A10015" s="10" t="s">
        <v>44540</v>
      </c>
      <c r="B10015" s="10" t="str">
        <f>""</f>
        <v/>
      </c>
      <c r="C10015" s="10" t="str">
        <f>"9780787708733"</f>
        <v>9780787708733</v>
      </c>
      <c r="D10015" s="10" t="s">
        <v>29364</v>
      </c>
      <c r="E10015" s="10" t="s">
        <v>31200</v>
      </c>
      <c r="F10015" s="10" t="s">
        <v>1061</v>
      </c>
      <c r="G10015" s="10" t="s">
        <v>6317</v>
      </c>
      <c r="H10015" s="11">
        <v>41883</v>
      </c>
      <c r="I10015" s="10">
        <v>2014</v>
      </c>
      <c r="J10015" s="10" t="s">
        <v>44479</v>
      </c>
      <c r="K10015" s="10">
        <v>9</v>
      </c>
      <c r="L10015" s="10" t="s">
        <v>44504</v>
      </c>
      <c r="M10015" s="10">
        <v>1</v>
      </c>
      <c r="N10015" s="10" t="s">
        <v>44505</v>
      </c>
      <c r="O10015" s="10"/>
      <c r="P10015" s="10" t="s">
        <v>44541</v>
      </c>
      <c r="Q10015" s="10">
        <v>372.6</v>
      </c>
      <c r="R10015" s="10" t="s">
        <v>44531</v>
      </c>
      <c r="S10015" s="10" t="s">
        <v>53</v>
      </c>
      <c r="T10015" s="10" t="s">
        <v>54</v>
      </c>
    </row>
    <row r="10016" spans="1:20" ht="14.5" x14ac:dyDescent="0.35">
      <c r="A10016" s="10" t="s">
        <v>44542</v>
      </c>
      <c r="B10016" s="10" t="str">
        <f>""</f>
        <v/>
      </c>
      <c r="C10016" s="10" t="str">
        <f>"9780787708757"</f>
        <v>9780787708757</v>
      </c>
      <c r="D10016" s="10" t="s">
        <v>29364</v>
      </c>
      <c r="E10016" s="10" t="s">
        <v>31200</v>
      </c>
      <c r="F10016" s="10" t="s">
        <v>1061</v>
      </c>
      <c r="G10016" s="10" t="s">
        <v>6317</v>
      </c>
      <c r="H10016" s="11">
        <v>41883</v>
      </c>
      <c r="I10016" s="10">
        <v>2014</v>
      </c>
      <c r="J10016" s="10" t="s">
        <v>44479</v>
      </c>
      <c r="K10016" s="10">
        <v>10</v>
      </c>
      <c r="L10016" s="10" t="s">
        <v>44504</v>
      </c>
      <c r="M10016" s="10">
        <v>1</v>
      </c>
      <c r="N10016" s="10" t="s">
        <v>44505</v>
      </c>
      <c r="O10016" s="10"/>
      <c r="P10016" s="10" t="s">
        <v>44535</v>
      </c>
      <c r="Q10016" s="10">
        <v>372.6</v>
      </c>
      <c r="R10016" s="10" t="s">
        <v>44531</v>
      </c>
      <c r="S10016" s="10" t="s">
        <v>53</v>
      </c>
      <c r="T10016" s="10" t="s">
        <v>54</v>
      </c>
    </row>
    <row r="10017" spans="1:20" ht="14.5" x14ac:dyDescent="0.35">
      <c r="A10017" s="10" t="s">
        <v>44543</v>
      </c>
      <c r="B10017" s="10" t="str">
        <f>""</f>
        <v/>
      </c>
      <c r="C10017" s="10" t="str">
        <f>"9780787708764"</f>
        <v>9780787708764</v>
      </c>
      <c r="D10017" s="10" t="s">
        <v>29364</v>
      </c>
      <c r="E10017" s="10" t="s">
        <v>31200</v>
      </c>
      <c r="F10017" s="10" t="s">
        <v>1061</v>
      </c>
      <c r="G10017" s="10" t="s">
        <v>6317</v>
      </c>
      <c r="H10017" s="11">
        <v>41883</v>
      </c>
      <c r="I10017" s="10">
        <v>2014</v>
      </c>
      <c r="J10017" s="10" t="s">
        <v>44479</v>
      </c>
      <c r="K10017" s="10">
        <v>8</v>
      </c>
      <c r="L10017" s="10" t="s">
        <v>44504</v>
      </c>
      <c r="M10017" s="10">
        <v>1</v>
      </c>
      <c r="N10017" s="10" t="s">
        <v>44505</v>
      </c>
      <c r="O10017" s="10"/>
      <c r="P10017" s="10" t="s">
        <v>44544</v>
      </c>
      <c r="Q10017" s="10">
        <v>372.6</v>
      </c>
      <c r="R10017" s="10" t="s">
        <v>44531</v>
      </c>
      <c r="S10017" s="10" t="s">
        <v>53</v>
      </c>
      <c r="T10017" s="10" t="s">
        <v>54</v>
      </c>
    </row>
    <row r="10018" spans="1:20" ht="14.5" x14ac:dyDescent="0.35">
      <c r="A10018" s="10" t="s">
        <v>44545</v>
      </c>
      <c r="B10018" s="10" t="str">
        <f>""</f>
        <v/>
      </c>
      <c r="C10018" s="10" t="str">
        <f>"9780787708771"</f>
        <v>9780787708771</v>
      </c>
      <c r="D10018" s="10" t="s">
        <v>29364</v>
      </c>
      <c r="E10018" s="10" t="s">
        <v>31200</v>
      </c>
      <c r="F10018" s="10" t="s">
        <v>1061</v>
      </c>
      <c r="G10018" s="10" t="s">
        <v>6317</v>
      </c>
      <c r="H10018" s="11">
        <v>41883</v>
      </c>
      <c r="I10018" s="10">
        <v>2014</v>
      </c>
      <c r="J10018" s="10" t="s">
        <v>44479</v>
      </c>
      <c r="K10018" s="10">
        <v>9</v>
      </c>
      <c r="L10018" s="10" t="s">
        <v>44504</v>
      </c>
      <c r="M10018" s="10">
        <v>1</v>
      </c>
      <c r="N10018" s="10" t="s">
        <v>44505</v>
      </c>
      <c r="O10018" s="10"/>
      <c r="P10018" s="10" t="s">
        <v>44541</v>
      </c>
      <c r="Q10018" s="10">
        <v>372.6</v>
      </c>
      <c r="R10018" s="10" t="s">
        <v>44531</v>
      </c>
      <c r="S10018" s="10" t="s">
        <v>53</v>
      </c>
      <c r="T10018" s="10" t="s">
        <v>54</v>
      </c>
    </row>
    <row r="10019" spans="1:20" ht="14.5" x14ac:dyDescent="0.35">
      <c r="A10019" s="10" t="s">
        <v>44546</v>
      </c>
      <c r="B10019" s="10" t="str">
        <f>""</f>
        <v/>
      </c>
      <c r="C10019" s="10" t="str">
        <f>"9780787708788"</f>
        <v>9780787708788</v>
      </c>
      <c r="D10019" s="10" t="s">
        <v>29364</v>
      </c>
      <c r="E10019" s="10" t="s">
        <v>31200</v>
      </c>
      <c r="F10019" s="10" t="s">
        <v>1061</v>
      </c>
      <c r="G10019" s="10" t="s">
        <v>6317</v>
      </c>
      <c r="H10019" s="11">
        <v>41883</v>
      </c>
      <c r="I10019" s="10">
        <v>2014</v>
      </c>
      <c r="J10019" s="10" t="s">
        <v>44479</v>
      </c>
      <c r="K10019" s="10">
        <v>9</v>
      </c>
      <c r="L10019" s="10" t="s">
        <v>44504</v>
      </c>
      <c r="M10019" s="10">
        <v>1</v>
      </c>
      <c r="N10019" s="10" t="s">
        <v>44505</v>
      </c>
      <c r="O10019" s="10"/>
      <c r="P10019" s="10" t="s">
        <v>44547</v>
      </c>
      <c r="Q10019" s="10">
        <v>372.6</v>
      </c>
      <c r="R10019" s="10" t="s">
        <v>44531</v>
      </c>
      <c r="S10019" s="10" t="s">
        <v>53</v>
      </c>
      <c r="T10019" s="10" t="s">
        <v>54</v>
      </c>
    </row>
    <row r="10020" spans="1:20" ht="14.5" x14ac:dyDescent="0.35">
      <c r="A10020" s="10" t="s">
        <v>44548</v>
      </c>
      <c r="B10020" s="10" t="str">
        <f>""</f>
        <v/>
      </c>
      <c r="C10020" s="10" t="str">
        <f>"9780787708818"</f>
        <v>9780787708818</v>
      </c>
      <c r="D10020" s="10" t="s">
        <v>29364</v>
      </c>
      <c r="E10020" s="10" t="s">
        <v>31200</v>
      </c>
      <c r="F10020" s="10" t="s">
        <v>1061</v>
      </c>
      <c r="G10020" s="10" t="s">
        <v>6317</v>
      </c>
      <c r="H10020" s="11">
        <v>41883</v>
      </c>
      <c r="I10020" s="10">
        <v>2014</v>
      </c>
      <c r="J10020" s="10" t="s">
        <v>44479</v>
      </c>
      <c r="K10020" s="10">
        <v>8</v>
      </c>
      <c r="L10020" s="10" t="s">
        <v>44504</v>
      </c>
      <c r="M10020" s="10">
        <v>1</v>
      </c>
      <c r="N10020" s="10" t="s">
        <v>44505</v>
      </c>
      <c r="O10020" s="10"/>
      <c r="P10020" s="10" t="s">
        <v>44549</v>
      </c>
      <c r="Q10020" s="10">
        <v>428.00711999999999</v>
      </c>
      <c r="R10020" s="10" t="s">
        <v>44550</v>
      </c>
      <c r="S10020" s="10" t="s">
        <v>53</v>
      </c>
      <c r="T10020" s="10" t="s">
        <v>6498</v>
      </c>
    </row>
    <row r="10021" spans="1:20" ht="14.5" x14ac:dyDescent="0.35">
      <c r="A10021" s="10" t="s">
        <v>44551</v>
      </c>
      <c r="B10021" s="10" t="str">
        <f>""</f>
        <v/>
      </c>
      <c r="C10021" s="10" t="str">
        <f>"9780787708825"</f>
        <v>9780787708825</v>
      </c>
      <c r="D10021" s="10" t="s">
        <v>29364</v>
      </c>
      <c r="E10021" s="10" t="s">
        <v>31200</v>
      </c>
      <c r="F10021" s="10" t="s">
        <v>1061</v>
      </c>
      <c r="G10021" s="10" t="s">
        <v>6317</v>
      </c>
      <c r="H10021" s="11">
        <v>41883</v>
      </c>
      <c r="I10021" s="10">
        <v>2014</v>
      </c>
      <c r="J10021" s="10" t="s">
        <v>44479</v>
      </c>
      <c r="K10021" s="10">
        <v>8</v>
      </c>
      <c r="L10021" s="10" t="s">
        <v>44504</v>
      </c>
      <c r="M10021" s="10">
        <v>1</v>
      </c>
      <c r="N10021" s="10" t="s">
        <v>44505</v>
      </c>
      <c r="O10021" s="10"/>
      <c r="P10021" s="10" t="s">
        <v>44552</v>
      </c>
      <c r="Q10021" s="10">
        <v>372.6</v>
      </c>
      <c r="R10021" s="10" t="s">
        <v>44531</v>
      </c>
      <c r="S10021" s="10" t="s">
        <v>53</v>
      </c>
      <c r="T10021" s="10" t="s">
        <v>54</v>
      </c>
    </row>
    <row r="10022" spans="1:20" ht="14.5" x14ac:dyDescent="0.35">
      <c r="A10022" s="10" t="s">
        <v>44553</v>
      </c>
      <c r="B10022" s="10" t="str">
        <f>""</f>
        <v/>
      </c>
      <c r="C10022" s="10" t="str">
        <f>"9780787708832"</f>
        <v>9780787708832</v>
      </c>
      <c r="D10022" s="10" t="s">
        <v>29364</v>
      </c>
      <c r="E10022" s="10" t="s">
        <v>31200</v>
      </c>
      <c r="F10022" s="10" t="s">
        <v>1061</v>
      </c>
      <c r="G10022" s="10" t="s">
        <v>6317</v>
      </c>
      <c r="H10022" s="11">
        <v>41883</v>
      </c>
      <c r="I10022" s="10">
        <v>2014</v>
      </c>
      <c r="J10022" s="10" t="s">
        <v>44479</v>
      </c>
      <c r="K10022" s="10">
        <v>9</v>
      </c>
      <c r="L10022" s="10" t="s">
        <v>44504</v>
      </c>
      <c r="M10022" s="10">
        <v>1</v>
      </c>
      <c r="N10022" s="10" t="s">
        <v>44505</v>
      </c>
      <c r="O10022" s="10"/>
      <c r="P10022" s="10" t="s">
        <v>44554</v>
      </c>
      <c r="Q10022" s="10">
        <v>428.00711999999999</v>
      </c>
      <c r="R10022" s="10" t="s">
        <v>44550</v>
      </c>
      <c r="S10022" s="10" t="s">
        <v>53</v>
      </c>
      <c r="T10022" s="10" t="s">
        <v>6634</v>
      </c>
    </row>
    <row r="10023" spans="1:20" ht="14.5" x14ac:dyDescent="0.35">
      <c r="A10023" s="10" t="s">
        <v>44555</v>
      </c>
      <c r="B10023" s="10" t="str">
        <f>""</f>
        <v/>
      </c>
      <c r="C10023" s="10" t="str">
        <f>"9780787708849"</f>
        <v>9780787708849</v>
      </c>
      <c r="D10023" s="10" t="s">
        <v>29364</v>
      </c>
      <c r="E10023" s="10" t="s">
        <v>31200</v>
      </c>
      <c r="F10023" s="10" t="s">
        <v>1061</v>
      </c>
      <c r="G10023" s="10" t="s">
        <v>6317</v>
      </c>
      <c r="H10023" s="11">
        <v>41883</v>
      </c>
      <c r="I10023" s="10">
        <v>2014</v>
      </c>
      <c r="J10023" s="10" t="s">
        <v>44479</v>
      </c>
      <c r="K10023" s="10">
        <v>12</v>
      </c>
      <c r="L10023" s="10" t="s">
        <v>44504</v>
      </c>
      <c r="M10023" s="10">
        <v>1</v>
      </c>
      <c r="N10023" s="10" t="s">
        <v>44505</v>
      </c>
      <c r="O10023" s="10"/>
      <c r="P10023" s="10" t="s">
        <v>44535</v>
      </c>
      <c r="Q10023" s="10">
        <v>372.6</v>
      </c>
      <c r="R10023" s="10" t="s">
        <v>44531</v>
      </c>
      <c r="S10023" s="10" t="s">
        <v>53</v>
      </c>
      <c r="T10023" s="10" t="s">
        <v>54</v>
      </c>
    </row>
    <row r="10024" spans="1:20" ht="14.5" x14ac:dyDescent="0.35">
      <c r="A10024" s="10" t="s">
        <v>44556</v>
      </c>
      <c r="B10024" s="10" t="str">
        <f>""</f>
        <v/>
      </c>
      <c r="C10024" s="10" t="str">
        <f>"9780787708856"</f>
        <v>9780787708856</v>
      </c>
      <c r="D10024" s="10" t="s">
        <v>29364</v>
      </c>
      <c r="E10024" s="10" t="s">
        <v>31200</v>
      </c>
      <c r="F10024" s="10" t="s">
        <v>1061</v>
      </c>
      <c r="G10024" s="10" t="s">
        <v>6317</v>
      </c>
      <c r="H10024" s="11">
        <v>41883</v>
      </c>
      <c r="I10024" s="10">
        <v>2014</v>
      </c>
      <c r="J10024" s="10" t="s">
        <v>44479</v>
      </c>
      <c r="K10024" s="10">
        <v>7</v>
      </c>
      <c r="L10024" s="10" t="s">
        <v>44504</v>
      </c>
      <c r="M10024" s="10">
        <v>1</v>
      </c>
      <c r="N10024" s="10" t="s">
        <v>44505</v>
      </c>
      <c r="O10024" s="10"/>
      <c r="P10024" s="10" t="s">
        <v>44557</v>
      </c>
      <c r="Q10024" s="10">
        <v>372.6</v>
      </c>
      <c r="R10024" s="10" t="s">
        <v>44531</v>
      </c>
      <c r="S10024" s="10" t="s">
        <v>53</v>
      </c>
      <c r="T10024" s="10" t="s">
        <v>54</v>
      </c>
    </row>
    <row r="10025" spans="1:20" ht="14.5" x14ac:dyDescent="0.35">
      <c r="A10025" s="10" t="s">
        <v>44558</v>
      </c>
      <c r="B10025" s="10" t="str">
        <f>""</f>
        <v/>
      </c>
      <c r="C10025" s="10" t="str">
        <f>"9780787708887"</f>
        <v>9780787708887</v>
      </c>
      <c r="D10025" s="10" t="s">
        <v>29364</v>
      </c>
      <c r="E10025" s="10" t="s">
        <v>31200</v>
      </c>
      <c r="F10025" s="10" t="s">
        <v>1061</v>
      </c>
      <c r="G10025" s="10" t="s">
        <v>6317</v>
      </c>
      <c r="H10025" s="11">
        <v>41883</v>
      </c>
      <c r="I10025" s="10">
        <v>2014</v>
      </c>
      <c r="J10025" s="10" t="s">
        <v>44479</v>
      </c>
      <c r="K10025" s="10">
        <v>12</v>
      </c>
      <c r="L10025" s="10" t="s">
        <v>44504</v>
      </c>
      <c r="M10025" s="10">
        <v>1</v>
      </c>
      <c r="N10025" s="10" t="s">
        <v>44505</v>
      </c>
      <c r="O10025" s="10"/>
      <c r="P10025" s="10" t="s">
        <v>44559</v>
      </c>
      <c r="Q10025" s="10">
        <v>428.00711999999999</v>
      </c>
      <c r="R10025" s="10" t="s">
        <v>44550</v>
      </c>
      <c r="S10025" s="10" t="s">
        <v>53</v>
      </c>
      <c r="T10025" s="10" t="s">
        <v>6498</v>
      </c>
    </row>
    <row r="10026" spans="1:20" ht="14.5" x14ac:dyDescent="0.35">
      <c r="A10026" s="10" t="s">
        <v>44560</v>
      </c>
      <c r="B10026" s="10" t="str">
        <f>""</f>
        <v/>
      </c>
      <c r="C10026" s="10" t="str">
        <f>"9780787708917"</f>
        <v>9780787708917</v>
      </c>
      <c r="D10026" s="10" t="s">
        <v>29364</v>
      </c>
      <c r="E10026" s="10" t="s">
        <v>31200</v>
      </c>
      <c r="F10026" s="10" t="s">
        <v>1061</v>
      </c>
      <c r="G10026" s="10" t="s">
        <v>6317</v>
      </c>
      <c r="H10026" s="11">
        <v>41883</v>
      </c>
      <c r="I10026" s="10">
        <v>2014</v>
      </c>
      <c r="J10026" s="10" t="s">
        <v>44479</v>
      </c>
      <c r="K10026" s="10">
        <v>8</v>
      </c>
      <c r="L10026" s="10" t="s">
        <v>44504</v>
      </c>
      <c r="M10026" s="10">
        <v>1</v>
      </c>
      <c r="N10026" s="10" t="s">
        <v>44505</v>
      </c>
      <c r="O10026" s="10"/>
      <c r="P10026" s="10" t="s">
        <v>44549</v>
      </c>
      <c r="Q10026" s="10">
        <v>428.00711999999999</v>
      </c>
      <c r="R10026" s="10" t="s">
        <v>44550</v>
      </c>
      <c r="S10026" s="10" t="s">
        <v>53</v>
      </c>
      <c r="T10026" s="10" t="s">
        <v>6634</v>
      </c>
    </row>
    <row r="10027" spans="1:20" ht="14.5" x14ac:dyDescent="0.35">
      <c r="A10027" s="10" t="s">
        <v>44561</v>
      </c>
      <c r="B10027" s="10" t="str">
        <f>""</f>
        <v/>
      </c>
      <c r="C10027" s="10" t="str">
        <f>"9780787708924"</f>
        <v>9780787708924</v>
      </c>
      <c r="D10027" s="10" t="s">
        <v>29364</v>
      </c>
      <c r="E10027" s="10" t="s">
        <v>31200</v>
      </c>
      <c r="F10027" s="10" t="s">
        <v>1061</v>
      </c>
      <c r="G10027" s="10" t="s">
        <v>6317</v>
      </c>
      <c r="H10027" s="11">
        <v>41883</v>
      </c>
      <c r="I10027" s="10">
        <v>2014</v>
      </c>
      <c r="J10027" s="10" t="s">
        <v>44479</v>
      </c>
      <c r="K10027" s="10">
        <v>10</v>
      </c>
      <c r="L10027" s="10" t="s">
        <v>44504</v>
      </c>
      <c r="M10027" s="10">
        <v>1</v>
      </c>
      <c r="N10027" s="10" t="s">
        <v>44505</v>
      </c>
      <c r="O10027" s="10"/>
      <c r="P10027" s="10" t="s">
        <v>44552</v>
      </c>
      <c r="Q10027" s="10">
        <v>372.6</v>
      </c>
      <c r="R10027" s="10" t="s">
        <v>44531</v>
      </c>
      <c r="S10027" s="10" t="s">
        <v>53</v>
      </c>
      <c r="T10027" s="10" t="s">
        <v>54</v>
      </c>
    </row>
    <row r="10028" spans="1:20" ht="14.5" x14ac:dyDescent="0.35">
      <c r="A10028" s="10" t="s">
        <v>44562</v>
      </c>
      <c r="B10028" s="10" t="str">
        <f>""</f>
        <v/>
      </c>
      <c r="C10028" s="10" t="str">
        <f>"9780787708931"</f>
        <v>9780787708931</v>
      </c>
      <c r="D10028" s="10" t="s">
        <v>29364</v>
      </c>
      <c r="E10028" s="10" t="s">
        <v>31200</v>
      </c>
      <c r="F10028" s="10" t="s">
        <v>1061</v>
      </c>
      <c r="G10028" s="10" t="s">
        <v>6317</v>
      </c>
      <c r="H10028" s="11">
        <v>41883</v>
      </c>
      <c r="I10028" s="10">
        <v>2014</v>
      </c>
      <c r="J10028" s="10" t="s">
        <v>44479</v>
      </c>
      <c r="K10028" s="10">
        <v>6</v>
      </c>
      <c r="L10028" s="10" t="s">
        <v>44504</v>
      </c>
      <c r="M10028" s="10">
        <v>1</v>
      </c>
      <c r="N10028" s="10" t="s">
        <v>44505</v>
      </c>
      <c r="O10028" s="10"/>
      <c r="P10028" s="10" t="s">
        <v>44563</v>
      </c>
      <c r="Q10028" s="10">
        <v>428.00711999999999</v>
      </c>
      <c r="R10028" s="10" t="s">
        <v>44550</v>
      </c>
      <c r="S10028" s="10" t="s">
        <v>53</v>
      </c>
      <c r="T10028" s="10" t="s">
        <v>6498</v>
      </c>
    </row>
    <row r="10029" spans="1:20" ht="14.5" x14ac:dyDescent="0.35">
      <c r="A10029" s="10" t="s">
        <v>44564</v>
      </c>
      <c r="B10029" s="10" t="str">
        <f>""</f>
        <v/>
      </c>
      <c r="C10029" s="10" t="str">
        <f>"9780787709006"</f>
        <v>9780787709006</v>
      </c>
      <c r="D10029" s="10" t="s">
        <v>29364</v>
      </c>
      <c r="E10029" s="10" t="s">
        <v>31200</v>
      </c>
      <c r="F10029" s="10" t="s">
        <v>1061</v>
      </c>
      <c r="G10029" s="10" t="s">
        <v>6317</v>
      </c>
      <c r="H10029" s="11">
        <v>41883</v>
      </c>
      <c r="I10029" s="10">
        <v>2014</v>
      </c>
      <c r="J10029" s="10" t="s">
        <v>44479</v>
      </c>
      <c r="K10029" s="10">
        <v>8</v>
      </c>
      <c r="L10029" s="10" t="s">
        <v>44504</v>
      </c>
      <c r="M10029" s="10">
        <v>1</v>
      </c>
      <c r="N10029" s="10" t="s">
        <v>44505</v>
      </c>
      <c r="O10029" s="10"/>
      <c r="P10029" s="10" t="s">
        <v>44565</v>
      </c>
      <c r="Q10029" s="10">
        <v>372.6</v>
      </c>
      <c r="R10029" s="10" t="s">
        <v>44531</v>
      </c>
      <c r="S10029" s="10" t="s">
        <v>53</v>
      </c>
      <c r="T10029" s="10" t="s">
        <v>54</v>
      </c>
    </row>
    <row r="10030" spans="1:20" ht="14.5" x14ac:dyDescent="0.35">
      <c r="A10030" s="10" t="s">
        <v>44566</v>
      </c>
      <c r="B10030" s="10" t="str">
        <f>""</f>
        <v/>
      </c>
      <c r="C10030" s="10" t="str">
        <f>"9780787709020"</f>
        <v>9780787709020</v>
      </c>
      <c r="D10030" s="10" t="s">
        <v>29364</v>
      </c>
      <c r="E10030" s="10" t="s">
        <v>31200</v>
      </c>
      <c r="F10030" s="10" t="s">
        <v>1061</v>
      </c>
      <c r="G10030" s="10" t="s">
        <v>6317</v>
      </c>
      <c r="H10030" s="11">
        <v>41883</v>
      </c>
      <c r="I10030" s="10">
        <v>2014</v>
      </c>
      <c r="J10030" s="10" t="s">
        <v>44479</v>
      </c>
      <c r="K10030" s="10">
        <v>6</v>
      </c>
      <c r="L10030" s="10" t="s">
        <v>44504</v>
      </c>
      <c r="M10030" s="10">
        <v>1</v>
      </c>
      <c r="N10030" s="10" t="s">
        <v>44505</v>
      </c>
      <c r="O10030" s="10"/>
      <c r="P10030" s="10" t="s">
        <v>44567</v>
      </c>
      <c r="Q10030" s="10">
        <v>372.6</v>
      </c>
      <c r="R10030" s="10" t="s">
        <v>44531</v>
      </c>
      <c r="S10030" s="10" t="s">
        <v>53</v>
      </c>
      <c r="T10030" s="10" t="s">
        <v>54</v>
      </c>
    </row>
    <row r="10031" spans="1:20" ht="14.5" x14ac:dyDescent="0.35">
      <c r="A10031" s="10" t="s">
        <v>44568</v>
      </c>
      <c r="B10031" s="10" t="str">
        <f>""</f>
        <v/>
      </c>
      <c r="C10031" s="10" t="str">
        <f>"9780787709044"</f>
        <v>9780787709044</v>
      </c>
      <c r="D10031" s="10" t="s">
        <v>29364</v>
      </c>
      <c r="E10031" s="10" t="s">
        <v>31200</v>
      </c>
      <c r="F10031" s="10" t="s">
        <v>1061</v>
      </c>
      <c r="G10031" s="10" t="s">
        <v>6317</v>
      </c>
      <c r="H10031" s="11">
        <v>41883</v>
      </c>
      <c r="I10031" s="10">
        <v>2014</v>
      </c>
      <c r="J10031" s="10" t="s">
        <v>44479</v>
      </c>
      <c r="K10031" s="10">
        <v>10</v>
      </c>
      <c r="L10031" s="10" t="s">
        <v>44504</v>
      </c>
      <c r="M10031" s="10">
        <v>1</v>
      </c>
      <c r="N10031" s="10" t="s">
        <v>44505</v>
      </c>
      <c r="O10031" s="10"/>
      <c r="P10031" s="10" t="s">
        <v>44569</v>
      </c>
      <c r="Q10031" s="10">
        <v>398.07</v>
      </c>
      <c r="R10031" s="10" t="s">
        <v>44570</v>
      </c>
      <c r="S10031" s="10" t="s">
        <v>53</v>
      </c>
      <c r="T10031" s="10" t="s">
        <v>6526</v>
      </c>
    </row>
    <row r="10032" spans="1:20" ht="14.5" x14ac:dyDescent="0.35">
      <c r="A10032" s="10" t="s">
        <v>44571</v>
      </c>
      <c r="B10032" s="10" t="str">
        <f>""</f>
        <v/>
      </c>
      <c r="C10032" s="10" t="str">
        <f>"9780787709082"</f>
        <v>9780787709082</v>
      </c>
      <c r="D10032" s="10" t="s">
        <v>29364</v>
      </c>
      <c r="E10032" s="10" t="s">
        <v>31200</v>
      </c>
      <c r="F10032" s="10" t="s">
        <v>1061</v>
      </c>
      <c r="G10032" s="10" t="s">
        <v>6317</v>
      </c>
      <c r="H10032" s="11">
        <v>41883</v>
      </c>
      <c r="I10032" s="10">
        <v>2014</v>
      </c>
      <c r="J10032" s="10" t="s">
        <v>44479</v>
      </c>
      <c r="K10032" s="10">
        <v>9</v>
      </c>
      <c r="L10032" s="10" t="s">
        <v>44504</v>
      </c>
      <c r="M10032" s="10">
        <v>1</v>
      </c>
      <c r="N10032" s="10" t="s">
        <v>44505</v>
      </c>
      <c r="O10032" s="10"/>
      <c r="P10032" s="10" t="s">
        <v>44572</v>
      </c>
      <c r="Q10032" s="10">
        <v>372.6</v>
      </c>
      <c r="R10032" s="10" t="s">
        <v>44531</v>
      </c>
      <c r="S10032" s="10" t="s">
        <v>53</v>
      </c>
      <c r="T10032" s="10" t="s">
        <v>54</v>
      </c>
    </row>
    <row r="10033" spans="1:20" ht="14.5" x14ac:dyDescent="0.35">
      <c r="A10033" s="10" t="s">
        <v>44573</v>
      </c>
      <c r="B10033" s="10" t="str">
        <f>""</f>
        <v/>
      </c>
      <c r="C10033" s="10" t="str">
        <f>"9780787709099"</f>
        <v>9780787709099</v>
      </c>
      <c r="D10033" s="10" t="s">
        <v>29364</v>
      </c>
      <c r="E10033" s="10" t="s">
        <v>31200</v>
      </c>
      <c r="F10033" s="10" t="s">
        <v>1061</v>
      </c>
      <c r="G10033" s="10" t="s">
        <v>6317</v>
      </c>
      <c r="H10033" s="11">
        <v>41883</v>
      </c>
      <c r="I10033" s="10">
        <v>2014</v>
      </c>
      <c r="J10033" s="10" t="s">
        <v>44479</v>
      </c>
      <c r="K10033" s="10">
        <v>10</v>
      </c>
      <c r="L10033" s="10" t="s">
        <v>44504</v>
      </c>
      <c r="M10033" s="10">
        <v>1</v>
      </c>
      <c r="N10033" s="10" t="s">
        <v>44505</v>
      </c>
      <c r="O10033" s="10"/>
      <c r="P10033" s="10" t="s">
        <v>44535</v>
      </c>
      <c r="Q10033" s="10">
        <v>372.6</v>
      </c>
      <c r="R10033" s="10" t="s">
        <v>44531</v>
      </c>
      <c r="S10033" s="10" t="s">
        <v>53</v>
      </c>
      <c r="T10033" s="10" t="s">
        <v>54</v>
      </c>
    </row>
    <row r="10034" spans="1:20" ht="14.5" x14ac:dyDescent="0.35">
      <c r="A10034" s="10" t="s">
        <v>44574</v>
      </c>
      <c r="B10034" s="10" t="str">
        <f>""</f>
        <v/>
      </c>
      <c r="C10034" s="10" t="str">
        <f>"9780787709112"</f>
        <v>9780787709112</v>
      </c>
      <c r="D10034" s="10" t="s">
        <v>29364</v>
      </c>
      <c r="E10034" s="10" t="s">
        <v>31200</v>
      </c>
      <c r="F10034" s="10" t="s">
        <v>1061</v>
      </c>
      <c r="G10034" s="10" t="s">
        <v>6317</v>
      </c>
      <c r="H10034" s="11">
        <v>41883</v>
      </c>
      <c r="I10034" s="10">
        <v>2014</v>
      </c>
      <c r="J10034" s="10" t="s">
        <v>44479</v>
      </c>
      <c r="K10034" s="10">
        <v>13</v>
      </c>
      <c r="L10034" s="10" t="s">
        <v>44504</v>
      </c>
      <c r="M10034" s="10">
        <v>1</v>
      </c>
      <c r="N10034" s="10" t="s">
        <v>44505</v>
      </c>
      <c r="O10034" s="10"/>
      <c r="P10034" s="10" t="s">
        <v>44544</v>
      </c>
      <c r="Q10034" s="10">
        <v>372.6</v>
      </c>
      <c r="R10034" s="10" t="s">
        <v>44531</v>
      </c>
      <c r="S10034" s="10" t="s">
        <v>53</v>
      </c>
      <c r="T10034" s="10" t="s">
        <v>54</v>
      </c>
    </row>
    <row r="10035" spans="1:20" ht="14.5" x14ac:dyDescent="0.35">
      <c r="A10035" s="10" t="s">
        <v>44575</v>
      </c>
      <c r="B10035" s="10" t="str">
        <f>""</f>
        <v/>
      </c>
      <c r="C10035" s="10" t="str">
        <f>"9780787709129"</f>
        <v>9780787709129</v>
      </c>
      <c r="D10035" s="10" t="s">
        <v>29364</v>
      </c>
      <c r="E10035" s="10" t="s">
        <v>31200</v>
      </c>
      <c r="F10035" s="10" t="s">
        <v>1061</v>
      </c>
      <c r="G10035" s="10" t="s">
        <v>6317</v>
      </c>
      <c r="H10035" s="11">
        <v>41883</v>
      </c>
      <c r="I10035" s="10">
        <v>2014</v>
      </c>
      <c r="J10035" s="10" t="s">
        <v>44479</v>
      </c>
      <c r="K10035" s="10">
        <v>8</v>
      </c>
      <c r="L10035" s="10" t="s">
        <v>44504</v>
      </c>
      <c r="M10035" s="10">
        <v>1</v>
      </c>
      <c r="N10035" s="10" t="s">
        <v>44505</v>
      </c>
      <c r="O10035" s="10"/>
      <c r="P10035" s="10" t="s">
        <v>44572</v>
      </c>
      <c r="Q10035" s="10">
        <v>372.6</v>
      </c>
      <c r="R10035" s="10" t="s">
        <v>44531</v>
      </c>
      <c r="S10035" s="10" t="s">
        <v>53</v>
      </c>
      <c r="T10035" s="10" t="s">
        <v>54</v>
      </c>
    </row>
    <row r="10036" spans="1:20" ht="14.5" x14ac:dyDescent="0.35">
      <c r="A10036" s="10" t="s">
        <v>44576</v>
      </c>
      <c r="B10036" s="10" t="str">
        <f>""</f>
        <v/>
      </c>
      <c r="C10036" s="10" t="str">
        <f>"9780787709136"</f>
        <v>9780787709136</v>
      </c>
      <c r="D10036" s="10" t="s">
        <v>29364</v>
      </c>
      <c r="E10036" s="10" t="s">
        <v>31200</v>
      </c>
      <c r="F10036" s="10" t="s">
        <v>1061</v>
      </c>
      <c r="G10036" s="10" t="s">
        <v>6317</v>
      </c>
      <c r="H10036" s="11">
        <v>41883</v>
      </c>
      <c r="I10036" s="10">
        <v>2014</v>
      </c>
      <c r="J10036" s="10" t="s">
        <v>44479</v>
      </c>
      <c r="K10036" s="10">
        <v>12</v>
      </c>
      <c r="L10036" s="10" t="s">
        <v>44504</v>
      </c>
      <c r="M10036" s="10">
        <v>1</v>
      </c>
      <c r="N10036" s="10" t="s">
        <v>44505</v>
      </c>
      <c r="O10036" s="10"/>
      <c r="P10036" s="10" t="s">
        <v>44577</v>
      </c>
      <c r="Q10036" s="10">
        <v>372.6</v>
      </c>
      <c r="R10036" s="10" t="s">
        <v>44531</v>
      </c>
      <c r="S10036" s="10" t="s">
        <v>53</v>
      </c>
      <c r="T10036" s="10" t="s">
        <v>54</v>
      </c>
    </row>
    <row r="10037" spans="1:20" ht="14.5" x14ac:dyDescent="0.35">
      <c r="A10037" s="10" t="s">
        <v>44578</v>
      </c>
      <c r="B10037" s="10" t="str">
        <f>""</f>
        <v/>
      </c>
      <c r="C10037" s="10" t="str">
        <f>"9780787709143"</f>
        <v>9780787709143</v>
      </c>
      <c r="D10037" s="10" t="s">
        <v>29364</v>
      </c>
      <c r="E10037" s="10" t="s">
        <v>31200</v>
      </c>
      <c r="F10037" s="10" t="s">
        <v>1061</v>
      </c>
      <c r="G10037" s="10" t="s">
        <v>6317</v>
      </c>
      <c r="H10037" s="11">
        <v>41883</v>
      </c>
      <c r="I10037" s="10">
        <v>2014</v>
      </c>
      <c r="J10037" s="10" t="s">
        <v>44479</v>
      </c>
      <c r="K10037" s="10">
        <v>13</v>
      </c>
      <c r="L10037" s="10" t="s">
        <v>44504</v>
      </c>
      <c r="M10037" s="10">
        <v>1</v>
      </c>
      <c r="N10037" s="10" t="s">
        <v>44505</v>
      </c>
      <c r="O10037" s="10"/>
      <c r="P10037" s="10" t="s">
        <v>44535</v>
      </c>
      <c r="Q10037" s="10">
        <v>372.6</v>
      </c>
      <c r="R10037" s="10" t="s">
        <v>44531</v>
      </c>
      <c r="S10037" s="10" t="s">
        <v>53</v>
      </c>
      <c r="T10037" s="10" t="s">
        <v>54</v>
      </c>
    </row>
    <row r="10038" spans="1:20" ht="14.5" x14ac:dyDescent="0.35">
      <c r="A10038" s="10" t="s">
        <v>44579</v>
      </c>
      <c r="B10038" s="10" t="str">
        <f>""</f>
        <v/>
      </c>
      <c r="C10038" s="10" t="str">
        <f>"9780787709150"</f>
        <v>9780787709150</v>
      </c>
      <c r="D10038" s="10" t="s">
        <v>29364</v>
      </c>
      <c r="E10038" s="10" t="s">
        <v>31200</v>
      </c>
      <c r="F10038" s="10" t="s">
        <v>1061</v>
      </c>
      <c r="G10038" s="10" t="s">
        <v>6317</v>
      </c>
      <c r="H10038" s="11">
        <v>41883</v>
      </c>
      <c r="I10038" s="10">
        <v>2014</v>
      </c>
      <c r="J10038" s="10" t="s">
        <v>44479</v>
      </c>
      <c r="K10038" s="10">
        <v>8</v>
      </c>
      <c r="L10038" s="10" t="s">
        <v>44504</v>
      </c>
      <c r="M10038" s="10">
        <v>1</v>
      </c>
      <c r="N10038" s="10" t="s">
        <v>44505</v>
      </c>
      <c r="O10038" s="10"/>
      <c r="P10038" s="10" t="s">
        <v>44580</v>
      </c>
      <c r="Q10038" s="10">
        <v>372.6</v>
      </c>
      <c r="R10038" s="10" t="s">
        <v>44531</v>
      </c>
      <c r="S10038" s="10" t="s">
        <v>53</v>
      </c>
      <c r="T10038" s="10" t="s">
        <v>54</v>
      </c>
    </row>
    <row r="10039" spans="1:20" ht="14.5" x14ac:dyDescent="0.35">
      <c r="A10039" s="10" t="s">
        <v>44581</v>
      </c>
      <c r="B10039" s="10" t="str">
        <f>""</f>
        <v/>
      </c>
      <c r="C10039" s="10" t="str">
        <f>"9780787709181"</f>
        <v>9780787709181</v>
      </c>
      <c r="D10039" s="10" t="s">
        <v>29364</v>
      </c>
      <c r="E10039" s="10" t="s">
        <v>31200</v>
      </c>
      <c r="F10039" s="10" t="s">
        <v>1061</v>
      </c>
      <c r="G10039" s="10" t="s">
        <v>6317</v>
      </c>
      <c r="H10039" s="11">
        <v>41883</v>
      </c>
      <c r="I10039" s="10">
        <v>2014</v>
      </c>
      <c r="J10039" s="10" t="s">
        <v>44479</v>
      </c>
      <c r="K10039" s="10">
        <v>8</v>
      </c>
      <c r="L10039" s="10" t="s">
        <v>44504</v>
      </c>
      <c r="M10039" s="10">
        <v>1</v>
      </c>
      <c r="N10039" s="10" t="s">
        <v>44505</v>
      </c>
      <c r="O10039" s="10"/>
      <c r="P10039" s="10" t="s">
        <v>44572</v>
      </c>
      <c r="Q10039" s="10">
        <v>372.6</v>
      </c>
      <c r="R10039" s="10" t="s">
        <v>44531</v>
      </c>
      <c r="S10039" s="10" t="s">
        <v>53</v>
      </c>
      <c r="T10039" s="10" t="s">
        <v>54</v>
      </c>
    </row>
    <row r="10040" spans="1:20" ht="14.5" x14ac:dyDescent="0.35">
      <c r="A10040" s="10" t="s">
        <v>44582</v>
      </c>
      <c r="B10040" s="10" t="str">
        <f>""</f>
        <v/>
      </c>
      <c r="C10040" s="10" t="str">
        <f>"9780787709228"</f>
        <v>9780787709228</v>
      </c>
      <c r="D10040" s="10" t="s">
        <v>29364</v>
      </c>
      <c r="E10040" s="10" t="s">
        <v>31200</v>
      </c>
      <c r="F10040" s="10" t="s">
        <v>1061</v>
      </c>
      <c r="G10040" s="10" t="s">
        <v>6317</v>
      </c>
      <c r="H10040" s="11">
        <v>41883</v>
      </c>
      <c r="I10040" s="10">
        <v>2014</v>
      </c>
      <c r="J10040" s="10" t="s">
        <v>44479</v>
      </c>
      <c r="K10040" s="10">
        <v>5</v>
      </c>
      <c r="L10040" s="10" t="s">
        <v>44504</v>
      </c>
      <c r="M10040" s="10">
        <v>1</v>
      </c>
      <c r="N10040" s="10" t="s">
        <v>44505</v>
      </c>
      <c r="O10040" s="10"/>
      <c r="P10040" s="10" t="s">
        <v>44580</v>
      </c>
      <c r="Q10040" s="10">
        <v>372.6</v>
      </c>
      <c r="R10040" s="10" t="s">
        <v>44531</v>
      </c>
      <c r="S10040" s="10" t="s">
        <v>53</v>
      </c>
      <c r="T10040" s="10" t="s">
        <v>54</v>
      </c>
    </row>
    <row r="10041" spans="1:20" ht="14.5" x14ac:dyDescent="0.35">
      <c r="A10041" s="10" t="s">
        <v>44583</v>
      </c>
      <c r="B10041" s="10" t="str">
        <f>""</f>
        <v/>
      </c>
      <c r="C10041" s="10" t="str">
        <f>"9780787710033"</f>
        <v>9780787710033</v>
      </c>
      <c r="D10041" s="10" t="s">
        <v>29364</v>
      </c>
      <c r="E10041" s="10" t="s">
        <v>31200</v>
      </c>
      <c r="F10041" s="10" t="s">
        <v>1061</v>
      </c>
      <c r="G10041" s="10" t="s">
        <v>6317</v>
      </c>
      <c r="H10041" s="11">
        <v>41883</v>
      </c>
      <c r="I10041" s="10">
        <v>2014</v>
      </c>
      <c r="J10041" s="10" t="s">
        <v>44479</v>
      </c>
      <c r="K10041" s="10">
        <v>8</v>
      </c>
      <c r="L10041" s="10" t="s">
        <v>44504</v>
      </c>
      <c r="M10041" s="10">
        <v>1</v>
      </c>
      <c r="N10041" s="10" t="s">
        <v>44505</v>
      </c>
      <c r="O10041" s="10"/>
      <c r="P10041" s="10" t="s">
        <v>44584</v>
      </c>
      <c r="Q10041" s="10">
        <v>372.6</v>
      </c>
      <c r="R10041" s="10" t="s">
        <v>44531</v>
      </c>
      <c r="S10041" s="10" t="s">
        <v>53</v>
      </c>
      <c r="T10041" s="10" t="s">
        <v>54</v>
      </c>
    </row>
    <row r="10042" spans="1:20" ht="14.5" x14ac:dyDescent="0.35">
      <c r="A10042" s="10" t="s">
        <v>44585</v>
      </c>
      <c r="B10042" s="10" t="str">
        <f>""</f>
        <v/>
      </c>
      <c r="C10042" s="10" t="str">
        <f>"9780787710101"</f>
        <v>9780787710101</v>
      </c>
      <c r="D10042" s="10" t="s">
        <v>29364</v>
      </c>
      <c r="E10042" s="10" t="s">
        <v>31200</v>
      </c>
      <c r="F10042" s="10" t="s">
        <v>1061</v>
      </c>
      <c r="G10042" s="10" t="s">
        <v>6317</v>
      </c>
      <c r="H10042" s="11">
        <v>41883</v>
      </c>
      <c r="I10042" s="10">
        <v>2014</v>
      </c>
      <c r="J10042" s="10" t="s">
        <v>44479</v>
      </c>
      <c r="K10042" s="10">
        <v>12</v>
      </c>
      <c r="L10042" s="10" t="s">
        <v>44504</v>
      </c>
      <c r="M10042" s="10">
        <v>1</v>
      </c>
      <c r="N10042" s="10" t="s">
        <v>44505</v>
      </c>
      <c r="O10042" s="10"/>
      <c r="P10042" s="10" t="s">
        <v>44586</v>
      </c>
      <c r="Q10042" s="10">
        <v>516.154</v>
      </c>
      <c r="R10042" s="10" t="s">
        <v>44587</v>
      </c>
      <c r="S10042" s="10" t="s">
        <v>53</v>
      </c>
      <c r="T10042" s="10" t="s">
        <v>389</v>
      </c>
    </row>
    <row r="10043" spans="1:20" ht="14.5" x14ac:dyDescent="0.35">
      <c r="A10043" s="10" t="s">
        <v>44588</v>
      </c>
      <c r="B10043" s="10" t="str">
        <f>""</f>
        <v/>
      </c>
      <c r="C10043" s="10" t="str">
        <f>"9780787710255"</f>
        <v>9780787710255</v>
      </c>
      <c r="D10043" s="10" t="s">
        <v>29364</v>
      </c>
      <c r="E10043" s="10" t="s">
        <v>31200</v>
      </c>
      <c r="F10043" s="10" t="s">
        <v>1061</v>
      </c>
      <c r="G10043" s="10" t="s">
        <v>6317</v>
      </c>
      <c r="H10043" s="11">
        <v>41883</v>
      </c>
      <c r="I10043" s="10">
        <v>2014</v>
      </c>
      <c r="J10043" s="10" t="s">
        <v>44479</v>
      </c>
      <c r="K10043" s="10">
        <v>11</v>
      </c>
      <c r="L10043" s="10" t="s">
        <v>44504</v>
      </c>
      <c r="M10043" s="10">
        <v>1</v>
      </c>
      <c r="N10043" s="10" t="s">
        <v>44505</v>
      </c>
      <c r="O10043" s="10"/>
      <c r="P10043" s="10" t="s">
        <v>44589</v>
      </c>
      <c r="Q10043" s="10">
        <v>510.76</v>
      </c>
      <c r="R10043" s="10" t="s">
        <v>44590</v>
      </c>
      <c r="S10043" s="10" t="s">
        <v>53</v>
      </c>
      <c r="T10043" s="10" t="s">
        <v>389</v>
      </c>
    </row>
    <row r="10044" spans="1:20" ht="14.5" x14ac:dyDescent="0.35">
      <c r="A10044" s="10" t="s">
        <v>44591</v>
      </c>
      <c r="B10044" s="10" t="str">
        <f>""</f>
        <v/>
      </c>
      <c r="C10044" s="10" t="str">
        <f>"9780787710354"</f>
        <v>9780787710354</v>
      </c>
      <c r="D10044" s="10" t="s">
        <v>29364</v>
      </c>
      <c r="E10044" s="10" t="s">
        <v>31200</v>
      </c>
      <c r="F10044" s="10" t="s">
        <v>1061</v>
      </c>
      <c r="G10044" s="10" t="s">
        <v>6317</v>
      </c>
      <c r="H10044" s="11">
        <v>41883</v>
      </c>
      <c r="I10044" s="10">
        <v>2014</v>
      </c>
      <c r="J10044" s="10" t="s">
        <v>44479</v>
      </c>
      <c r="K10044" s="10">
        <v>12</v>
      </c>
      <c r="L10044" s="10" t="s">
        <v>44504</v>
      </c>
      <c r="M10044" s="10">
        <v>1</v>
      </c>
      <c r="N10044" s="10" t="s">
        <v>44505</v>
      </c>
      <c r="O10044" s="10"/>
      <c r="P10044" s="10" t="s">
        <v>44592</v>
      </c>
      <c r="Q10044" s="10">
        <v>372.7</v>
      </c>
      <c r="R10044" s="10" t="s">
        <v>44593</v>
      </c>
      <c r="S10044" s="10" t="s">
        <v>53</v>
      </c>
      <c r="T10044" s="10" t="s">
        <v>7425</v>
      </c>
    </row>
    <row r="10045" spans="1:20" ht="14.5" x14ac:dyDescent="0.35">
      <c r="A10045" s="10" t="s">
        <v>44594</v>
      </c>
      <c r="B10045" s="10" t="str">
        <f>""</f>
        <v/>
      </c>
      <c r="C10045" s="10" t="str">
        <f>"9780787710385"</f>
        <v>9780787710385</v>
      </c>
      <c r="D10045" s="10" t="s">
        <v>29364</v>
      </c>
      <c r="E10045" s="10" t="s">
        <v>31200</v>
      </c>
      <c r="F10045" s="10" t="s">
        <v>1061</v>
      </c>
      <c r="G10045" s="10" t="s">
        <v>6317</v>
      </c>
      <c r="H10045" s="11">
        <v>41883</v>
      </c>
      <c r="I10045" s="10">
        <v>2014</v>
      </c>
      <c r="J10045" s="10" t="s">
        <v>44479</v>
      </c>
      <c r="K10045" s="10">
        <v>6</v>
      </c>
      <c r="L10045" s="10" t="s">
        <v>44504</v>
      </c>
      <c r="M10045" s="10">
        <v>1</v>
      </c>
      <c r="N10045" s="10" t="s">
        <v>44505</v>
      </c>
      <c r="O10045" s="10"/>
      <c r="P10045" s="10" t="s">
        <v>44595</v>
      </c>
      <c r="Q10045" s="10">
        <v>510.71199999999999</v>
      </c>
      <c r="R10045" s="10" t="s">
        <v>44596</v>
      </c>
      <c r="S10045" s="10" t="s">
        <v>53</v>
      </c>
      <c r="T10045" s="10" t="s">
        <v>389</v>
      </c>
    </row>
    <row r="10046" spans="1:20" ht="14.5" x14ac:dyDescent="0.35">
      <c r="A10046" s="10" t="s">
        <v>44597</v>
      </c>
      <c r="B10046" s="10" t="str">
        <f>""</f>
        <v/>
      </c>
      <c r="C10046" s="10" t="str">
        <f>"9780787708061"</f>
        <v>9780787708061</v>
      </c>
      <c r="D10046" s="10" t="s">
        <v>29364</v>
      </c>
      <c r="E10046" s="10" t="s">
        <v>31200</v>
      </c>
      <c r="F10046" s="10" t="s">
        <v>1061</v>
      </c>
      <c r="G10046" s="10" t="s">
        <v>6317</v>
      </c>
      <c r="H10046" s="11">
        <v>41883</v>
      </c>
      <c r="I10046" s="10">
        <v>2014</v>
      </c>
      <c r="J10046" s="10" t="s">
        <v>44479</v>
      </c>
      <c r="K10046" s="10">
        <v>11</v>
      </c>
      <c r="L10046" s="10" t="s">
        <v>44504</v>
      </c>
      <c r="M10046" s="10">
        <v>1</v>
      </c>
      <c r="N10046" s="10" t="s">
        <v>44505</v>
      </c>
      <c r="O10046" s="10"/>
      <c r="P10046" s="10" t="s">
        <v>44598</v>
      </c>
      <c r="Q10046" s="10">
        <v>428.1</v>
      </c>
      <c r="R10046" s="10" t="s">
        <v>44599</v>
      </c>
      <c r="S10046" s="10" t="s">
        <v>53</v>
      </c>
      <c r="T10046" s="10" t="s">
        <v>6616</v>
      </c>
    </row>
    <row r="10047" spans="1:20" ht="14.5" x14ac:dyDescent="0.35">
      <c r="A10047" s="10" t="s">
        <v>44600</v>
      </c>
      <c r="B10047" s="10" t="str">
        <f>""</f>
        <v/>
      </c>
      <c r="C10047" s="10" t="str">
        <f>"9780787708139"</f>
        <v>9780787708139</v>
      </c>
      <c r="D10047" s="10" t="s">
        <v>29364</v>
      </c>
      <c r="E10047" s="10" t="s">
        <v>31200</v>
      </c>
      <c r="F10047" s="10" t="s">
        <v>1061</v>
      </c>
      <c r="G10047" s="10" t="s">
        <v>6317</v>
      </c>
      <c r="H10047" s="11">
        <v>41883</v>
      </c>
      <c r="I10047" s="10">
        <v>2014</v>
      </c>
      <c r="J10047" s="10" t="s">
        <v>44479</v>
      </c>
      <c r="K10047" s="10">
        <v>9</v>
      </c>
      <c r="L10047" s="10" t="s">
        <v>44504</v>
      </c>
      <c r="M10047" s="10">
        <v>1</v>
      </c>
      <c r="N10047" s="10" t="s">
        <v>44505</v>
      </c>
      <c r="O10047" s="10"/>
      <c r="P10047" s="10" t="s">
        <v>44601</v>
      </c>
      <c r="Q10047" s="10">
        <v>428.1</v>
      </c>
      <c r="R10047" s="10" t="s">
        <v>44602</v>
      </c>
      <c r="S10047" s="10" t="s">
        <v>53</v>
      </c>
      <c r="T10047" s="10" t="s">
        <v>6616</v>
      </c>
    </row>
    <row r="10048" spans="1:20" ht="14.5" x14ac:dyDescent="0.35">
      <c r="A10048" s="10" t="s">
        <v>44603</v>
      </c>
      <c r="B10048" s="10" t="str">
        <f>""</f>
        <v/>
      </c>
      <c r="C10048" s="10" t="str">
        <f>"9780787708313"</f>
        <v>9780787708313</v>
      </c>
      <c r="D10048" s="10" t="s">
        <v>29364</v>
      </c>
      <c r="E10048" s="10" t="s">
        <v>31200</v>
      </c>
      <c r="F10048" s="10" t="s">
        <v>1061</v>
      </c>
      <c r="G10048" s="10" t="s">
        <v>6317</v>
      </c>
      <c r="H10048" s="11">
        <v>41883</v>
      </c>
      <c r="I10048" s="10">
        <v>2014</v>
      </c>
      <c r="J10048" s="10" t="s">
        <v>44479</v>
      </c>
      <c r="K10048" s="10">
        <v>13</v>
      </c>
      <c r="L10048" s="10" t="s">
        <v>44504</v>
      </c>
      <c r="M10048" s="10">
        <v>1</v>
      </c>
      <c r="N10048" s="10" t="s">
        <v>44505</v>
      </c>
      <c r="O10048" s="10"/>
      <c r="P10048" s="10" t="s">
        <v>44524</v>
      </c>
      <c r="Q10048" s="10">
        <v>428.1</v>
      </c>
      <c r="R10048" s="10" t="s">
        <v>44604</v>
      </c>
      <c r="S10048" s="10" t="s">
        <v>53</v>
      </c>
      <c r="T10048" s="10" t="s">
        <v>6616</v>
      </c>
    </row>
    <row r="10049" spans="1:20" ht="14.5" x14ac:dyDescent="0.35">
      <c r="A10049" s="10" t="s">
        <v>44605</v>
      </c>
      <c r="B10049" s="10" t="str">
        <f>""</f>
        <v/>
      </c>
      <c r="C10049" s="10" t="str">
        <f>"9780787708627"</f>
        <v>9780787708627</v>
      </c>
      <c r="D10049" s="10" t="s">
        <v>29364</v>
      </c>
      <c r="E10049" s="10" t="s">
        <v>31200</v>
      </c>
      <c r="F10049" s="10" t="s">
        <v>1061</v>
      </c>
      <c r="G10049" s="10" t="s">
        <v>6317</v>
      </c>
      <c r="H10049" s="11">
        <v>41883</v>
      </c>
      <c r="I10049" s="10">
        <v>2001</v>
      </c>
      <c r="J10049" s="10" t="s">
        <v>44479</v>
      </c>
      <c r="K10049" s="10">
        <v>14</v>
      </c>
      <c r="L10049" s="10" t="s">
        <v>44504</v>
      </c>
      <c r="M10049" s="10">
        <v>1</v>
      </c>
      <c r="N10049" s="10" t="s">
        <v>44505</v>
      </c>
      <c r="O10049" s="10"/>
      <c r="P10049" s="10" t="s">
        <v>44606</v>
      </c>
      <c r="Q10049" s="10">
        <v>372.6</v>
      </c>
      <c r="R10049" s="10" t="s">
        <v>44607</v>
      </c>
      <c r="S10049" s="10" t="s">
        <v>53</v>
      </c>
      <c r="T10049" s="10" t="s">
        <v>54</v>
      </c>
    </row>
    <row r="10050" spans="1:20" ht="14.5" x14ac:dyDescent="0.35">
      <c r="A10050" s="10" t="s">
        <v>44608</v>
      </c>
      <c r="B10050" s="10" t="str">
        <f>""</f>
        <v/>
      </c>
      <c r="C10050" s="10" t="str">
        <f>"9780787708634"</f>
        <v>9780787708634</v>
      </c>
      <c r="D10050" s="10" t="s">
        <v>29364</v>
      </c>
      <c r="E10050" s="10" t="s">
        <v>31200</v>
      </c>
      <c r="F10050" s="10" t="s">
        <v>1061</v>
      </c>
      <c r="G10050" s="10" t="s">
        <v>6317</v>
      </c>
      <c r="H10050" s="11">
        <v>41883</v>
      </c>
      <c r="I10050" s="10">
        <v>2002</v>
      </c>
      <c r="J10050" s="10" t="s">
        <v>44479</v>
      </c>
      <c r="K10050" s="10">
        <v>7</v>
      </c>
      <c r="L10050" s="10" t="s">
        <v>44504</v>
      </c>
      <c r="M10050" s="10">
        <v>1</v>
      </c>
      <c r="N10050" s="10" t="s">
        <v>44505</v>
      </c>
      <c r="O10050" s="10"/>
      <c r="P10050" s="10" t="s">
        <v>44609</v>
      </c>
      <c r="Q10050" s="10">
        <v>372.6</v>
      </c>
      <c r="R10050" s="10" t="s">
        <v>44607</v>
      </c>
      <c r="S10050" s="10" t="s">
        <v>53</v>
      </c>
      <c r="T10050" s="10" t="s">
        <v>54</v>
      </c>
    </row>
    <row r="10051" spans="1:20" ht="14.5" x14ac:dyDescent="0.35">
      <c r="A10051" s="10" t="s">
        <v>44610</v>
      </c>
      <c r="B10051" s="10" t="str">
        <f>""</f>
        <v/>
      </c>
      <c r="C10051" s="10" t="str">
        <f>"9780787708863"</f>
        <v>9780787708863</v>
      </c>
      <c r="D10051" s="10" t="s">
        <v>29364</v>
      </c>
      <c r="E10051" s="10" t="s">
        <v>31200</v>
      </c>
      <c r="F10051" s="10" t="s">
        <v>1061</v>
      </c>
      <c r="G10051" s="10" t="s">
        <v>6317</v>
      </c>
      <c r="H10051" s="11">
        <v>41883</v>
      </c>
      <c r="I10051" s="10">
        <v>2014</v>
      </c>
      <c r="J10051" s="10" t="s">
        <v>44479</v>
      </c>
      <c r="K10051" s="10">
        <v>13</v>
      </c>
      <c r="L10051" s="10" t="s">
        <v>44504</v>
      </c>
      <c r="M10051" s="10">
        <v>1</v>
      </c>
      <c r="N10051" s="10" t="s">
        <v>44505</v>
      </c>
      <c r="O10051" s="10"/>
      <c r="P10051" s="10" t="s">
        <v>44549</v>
      </c>
      <c r="Q10051" s="10">
        <v>428.00711999999999</v>
      </c>
      <c r="R10051" s="10" t="s">
        <v>44611</v>
      </c>
      <c r="S10051" s="10" t="s">
        <v>53</v>
      </c>
      <c r="T10051" s="10" t="s">
        <v>6634</v>
      </c>
    </row>
    <row r="10052" spans="1:20" ht="14.5" x14ac:dyDescent="0.35">
      <c r="A10052" s="10" t="s">
        <v>44612</v>
      </c>
      <c r="B10052" s="10" t="str">
        <f>""</f>
        <v/>
      </c>
      <c r="C10052" s="10" t="str">
        <f>"9780787708870"</f>
        <v>9780787708870</v>
      </c>
      <c r="D10052" s="10" t="s">
        <v>29364</v>
      </c>
      <c r="E10052" s="10" t="s">
        <v>31200</v>
      </c>
      <c r="F10052" s="10" t="s">
        <v>1061</v>
      </c>
      <c r="G10052" s="10" t="s">
        <v>6317</v>
      </c>
      <c r="H10052" s="11">
        <v>41883</v>
      </c>
      <c r="I10052" s="10">
        <v>2014</v>
      </c>
      <c r="J10052" s="10" t="s">
        <v>44479</v>
      </c>
      <c r="K10052" s="10">
        <v>10</v>
      </c>
      <c r="L10052" s="10" t="s">
        <v>44504</v>
      </c>
      <c r="M10052" s="10">
        <v>1</v>
      </c>
      <c r="N10052" s="10" t="s">
        <v>44505</v>
      </c>
      <c r="O10052" s="10"/>
      <c r="P10052" s="10" t="s">
        <v>44552</v>
      </c>
      <c r="Q10052" s="10">
        <v>372.6</v>
      </c>
      <c r="R10052" s="10" t="s">
        <v>44613</v>
      </c>
      <c r="S10052" s="10" t="s">
        <v>53</v>
      </c>
      <c r="T10052" s="10" t="s">
        <v>54</v>
      </c>
    </row>
    <row r="10053" spans="1:20" ht="14.5" x14ac:dyDescent="0.35">
      <c r="A10053" s="10" t="s">
        <v>44614</v>
      </c>
      <c r="B10053" s="10" t="str">
        <f>""</f>
        <v/>
      </c>
      <c r="C10053" s="10" t="str">
        <f>"9780787708986"</f>
        <v>9780787708986</v>
      </c>
      <c r="D10053" s="10" t="s">
        <v>29364</v>
      </c>
      <c r="E10053" s="10" t="s">
        <v>31200</v>
      </c>
      <c r="F10053" s="10" t="s">
        <v>1061</v>
      </c>
      <c r="G10053" s="10" t="s">
        <v>6317</v>
      </c>
      <c r="H10053" s="11">
        <v>41883</v>
      </c>
      <c r="I10053" s="10">
        <v>2014</v>
      </c>
      <c r="J10053" s="10" t="s">
        <v>44479</v>
      </c>
      <c r="K10053" s="10">
        <v>11</v>
      </c>
      <c r="L10053" s="10" t="s">
        <v>44504</v>
      </c>
      <c r="M10053" s="10">
        <v>1</v>
      </c>
      <c r="N10053" s="10" t="s">
        <v>44505</v>
      </c>
      <c r="O10053" s="10"/>
      <c r="P10053" s="10" t="s">
        <v>44615</v>
      </c>
      <c r="Q10053" s="10">
        <v>372.6</v>
      </c>
      <c r="R10053" s="10" t="s">
        <v>44616</v>
      </c>
      <c r="S10053" s="10" t="s">
        <v>53</v>
      </c>
      <c r="T10053" s="10" t="s">
        <v>54</v>
      </c>
    </row>
    <row r="10054" spans="1:20" ht="14.5" x14ac:dyDescent="0.35">
      <c r="A10054" s="10" t="s">
        <v>44617</v>
      </c>
      <c r="B10054" s="10" t="str">
        <f>"9780252040825"</f>
        <v>9780252040825</v>
      </c>
      <c r="C10054" s="10" t="str">
        <f>"9780252099328"</f>
        <v>9780252099328</v>
      </c>
      <c r="D10054" s="10" t="s">
        <v>3194</v>
      </c>
      <c r="E10054" s="10" t="s">
        <v>3194</v>
      </c>
      <c r="F10054" s="10" t="s">
        <v>2200</v>
      </c>
      <c r="G10054" s="10" t="s">
        <v>6317</v>
      </c>
      <c r="H10054" s="11">
        <v>42773</v>
      </c>
      <c r="I10054" s="10">
        <v>2017</v>
      </c>
      <c r="J10054" s="10" t="s">
        <v>3194</v>
      </c>
      <c r="K10054" s="10">
        <v>381</v>
      </c>
      <c r="L10054" s="10" t="s">
        <v>44618</v>
      </c>
      <c r="M10054" s="10">
        <v>1</v>
      </c>
      <c r="N10054" s="10"/>
      <c r="O10054" s="10"/>
      <c r="P10054" s="10" t="s">
        <v>44619</v>
      </c>
      <c r="Q10054" s="10"/>
      <c r="R10054" s="10"/>
      <c r="S10054" s="10" t="s">
        <v>53</v>
      </c>
      <c r="T10054" s="10" t="s">
        <v>54</v>
      </c>
    </row>
    <row r="10055" spans="1:20" ht="14.5" x14ac:dyDescent="0.35">
      <c r="A10055" s="10" t="s">
        <v>44620</v>
      </c>
      <c r="B10055" s="10" t="str">
        <f>"9781119369646"</f>
        <v>9781119369646</v>
      </c>
      <c r="C10055" s="10" t="str">
        <f>"9781119369677"</f>
        <v>9781119369677</v>
      </c>
      <c r="D10055" s="10" t="s">
        <v>6322</v>
      </c>
      <c r="E10055" s="10" t="s">
        <v>6323</v>
      </c>
      <c r="F10055" s="10" t="s">
        <v>4423</v>
      </c>
      <c r="G10055" s="10" t="s">
        <v>6317</v>
      </c>
      <c r="H10055" s="11">
        <v>42828</v>
      </c>
      <c r="I10055" s="10">
        <v>2017</v>
      </c>
      <c r="J10055" s="10" t="s">
        <v>6324</v>
      </c>
      <c r="K10055" s="10">
        <v>282</v>
      </c>
      <c r="L10055" s="10" t="s">
        <v>44621</v>
      </c>
      <c r="M10055" s="10">
        <v>1</v>
      </c>
      <c r="N10055" s="10"/>
      <c r="O10055" s="10"/>
      <c r="P10055" s="10"/>
      <c r="Q10055" s="10"/>
      <c r="R10055" s="10" t="s">
        <v>44622</v>
      </c>
      <c r="S10055" s="10" t="s">
        <v>53</v>
      </c>
      <c r="T10055" s="10" t="s">
        <v>54</v>
      </c>
    </row>
    <row r="10056" spans="1:20" ht="14.5" x14ac:dyDescent="0.35">
      <c r="A10056" s="10" t="s">
        <v>44623</v>
      </c>
      <c r="B10056" s="10" t="str">
        <f>"9781119369653"</f>
        <v>9781119369653</v>
      </c>
      <c r="C10056" s="10" t="str">
        <f>"9781119369660"</f>
        <v>9781119369660</v>
      </c>
      <c r="D10056" s="10" t="s">
        <v>6322</v>
      </c>
      <c r="E10056" s="10" t="s">
        <v>6323</v>
      </c>
      <c r="F10056" s="10" t="s">
        <v>4423</v>
      </c>
      <c r="G10056" s="10" t="s">
        <v>6317</v>
      </c>
      <c r="H10056" s="11">
        <v>42828</v>
      </c>
      <c r="I10056" s="10">
        <v>2017</v>
      </c>
      <c r="J10056" s="10" t="s">
        <v>6324</v>
      </c>
      <c r="K10056" s="10">
        <v>154</v>
      </c>
      <c r="L10056" s="10" t="s">
        <v>44624</v>
      </c>
      <c r="M10056" s="10">
        <v>1</v>
      </c>
      <c r="N10056" s="10"/>
      <c r="O10056" s="10"/>
      <c r="P10056" s="10"/>
      <c r="Q10056" s="10"/>
      <c r="R10056" s="10" t="s">
        <v>54</v>
      </c>
      <c r="S10056" s="10" t="s">
        <v>53</v>
      </c>
      <c r="T10056" s="10" t="s">
        <v>54</v>
      </c>
    </row>
    <row r="10057" spans="1:20" ht="14.5" x14ac:dyDescent="0.35">
      <c r="A10057" s="10" t="s">
        <v>44625</v>
      </c>
      <c r="B10057" s="10" t="str">
        <f>"9781620364871"</f>
        <v>9781620364871</v>
      </c>
      <c r="C10057" s="10" t="str">
        <f>"9781000972658"</f>
        <v>9781000972658</v>
      </c>
      <c r="D10057" s="10" t="s">
        <v>6350</v>
      </c>
      <c r="E10057" s="10" t="s">
        <v>6351</v>
      </c>
      <c r="F10057" s="10" t="s">
        <v>748</v>
      </c>
      <c r="G10057" s="10" t="s">
        <v>6352</v>
      </c>
      <c r="H10057" s="11">
        <v>42781</v>
      </c>
      <c r="I10057" s="10">
        <v>2017</v>
      </c>
      <c r="J10057" s="10" t="s">
        <v>6351</v>
      </c>
      <c r="K10057" s="10">
        <v>215</v>
      </c>
      <c r="L10057" s="10" t="s">
        <v>20873</v>
      </c>
      <c r="M10057" s="10">
        <v>1</v>
      </c>
      <c r="N10057" s="10"/>
      <c r="O10057" s="10"/>
      <c r="P10057" s="10" t="s">
        <v>44626</v>
      </c>
      <c r="Q10057" s="10">
        <v>378.73</v>
      </c>
      <c r="R10057" s="10" t="s">
        <v>44627</v>
      </c>
      <c r="S10057" s="10" t="s">
        <v>53</v>
      </c>
      <c r="T10057" s="10" t="s">
        <v>54</v>
      </c>
    </row>
    <row r="10058" spans="1:20" ht="14.5" x14ac:dyDescent="0.35">
      <c r="A10058" s="10" t="s">
        <v>44628</v>
      </c>
      <c r="B10058" s="10" t="str">
        <f>""</f>
        <v/>
      </c>
      <c r="C10058" s="10" t="str">
        <f>"9782806292100"</f>
        <v>9782806292100</v>
      </c>
      <c r="D10058" s="10" t="s">
        <v>29172</v>
      </c>
      <c r="E10058" s="10" t="s">
        <v>29173</v>
      </c>
      <c r="F10058" s="10" t="s">
        <v>29181</v>
      </c>
      <c r="G10058" s="10" t="s">
        <v>28737</v>
      </c>
      <c r="H10058" s="11">
        <v>42779</v>
      </c>
      <c r="I10058" s="10">
        <v>2017</v>
      </c>
      <c r="J10058" s="10" t="s">
        <v>29175</v>
      </c>
      <c r="K10058" s="10">
        <v>36</v>
      </c>
      <c r="L10058" s="10" t="s">
        <v>44629</v>
      </c>
      <c r="M10058" s="10">
        <v>1</v>
      </c>
      <c r="N10058" s="10" t="s">
        <v>29177</v>
      </c>
      <c r="O10058" s="10"/>
      <c r="P10058" s="10"/>
      <c r="Q10058" s="10"/>
      <c r="R10058" s="10" t="s">
        <v>44630</v>
      </c>
      <c r="S10058" s="10" t="s">
        <v>5404</v>
      </c>
      <c r="T10058" s="10" t="s">
        <v>29186</v>
      </c>
    </row>
    <row r="10059" spans="1:20" ht="14.5" x14ac:dyDescent="0.35">
      <c r="A10059" s="10" t="s">
        <v>44631</v>
      </c>
      <c r="B10059" s="10" t="str">
        <f>""</f>
        <v/>
      </c>
      <c r="C10059" s="10" t="str">
        <f>"9782806291592"</f>
        <v>9782806291592</v>
      </c>
      <c r="D10059" s="10" t="s">
        <v>29172</v>
      </c>
      <c r="E10059" s="10" t="s">
        <v>29173</v>
      </c>
      <c r="F10059" s="10" t="s">
        <v>29181</v>
      </c>
      <c r="G10059" s="10" t="s">
        <v>28737</v>
      </c>
      <c r="H10059" s="11">
        <v>42779</v>
      </c>
      <c r="I10059" s="10">
        <v>2017</v>
      </c>
      <c r="J10059" s="10" t="s">
        <v>29175</v>
      </c>
      <c r="K10059" s="10">
        <v>35</v>
      </c>
      <c r="L10059" s="10" t="s">
        <v>44632</v>
      </c>
      <c r="M10059" s="10">
        <v>1</v>
      </c>
      <c r="N10059" s="10" t="s">
        <v>29177</v>
      </c>
      <c r="O10059" s="10"/>
      <c r="P10059" s="10"/>
      <c r="Q10059" s="10"/>
      <c r="R10059" s="10" t="s">
        <v>44633</v>
      </c>
      <c r="S10059" s="10" t="s">
        <v>5404</v>
      </c>
      <c r="T10059" s="10" t="s">
        <v>6568</v>
      </c>
    </row>
    <row r="10060" spans="1:20" ht="14.5" x14ac:dyDescent="0.35">
      <c r="A10060" s="10" t="s">
        <v>44634</v>
      </c>
      <c r="B10060" s="10" t="str">
        <f>""</f>
        <v/>
      </c>
      <c r="C10060" s="10" t="str">
        <f>"9782806291493"</f>
        <v>9782806291493</v>
      </c>
      <c r="D10060" s="10" t="s">
        <v>29172</v>
      </c>
      <c r="E10060" s="10" t="s">
        <v>29173</v>
      </c>
      <c r="F10060" s="10" t="s">
        <v>29181</v>
      </c>
      <c r="G10060" s="10" t="s">
        <v>28737</v>
      </c>
      <c r="H10060" s="11">
        <v>42779</v>
      </c>
      <c r="I10060" s="10">
        <v>2017</v>
      </c>
      <c r="J10060" s="10" t="s">
        <v>29175</v>
      </c>
      <c r="K10060" s="10">
        <v>39</v>
      </c>
      <c r="L10060" s="10" t="s">
        <v>44635</v>
      </c>
      <c r="M10060" s="10">
        <v>1</v>
      </c>
      <c r="N10060" s="10" t="s">
        <v>29177</v>
      </c>
      <c r="O10060" s="10"/>
      <c r="P10060" s="10"/>
      <c r="Q10060" s="10"/>
      <c r="R10060" s="10" t="s">
        <v>44636</v>
      </c>
      <c r="S10060" s="10" t="s">
        <v>5404</v>
      </c>
      <c r="T10060" s="10" t="s">
        <v>6568</v>
      </c>
    </row>
    <row r="10061" spans="1:20" ht="14.5" x14ac:dyDescent="0.35">
      <c r="A10061" s="10" t="s">
        <v>44637</v>
      </c>
      <c r="B10061" s="10" t="str">
        <f>""</f>
        <v/>
      </c>
      <c r="C10061" s="10" t="str">
        <f>"9782806290632"</f>
        <v>9782806290632</v>
      </c>
      <c r="D10061" s="10" t="s">
        <v>29172</v>
      </c>
      <c r="E10061" s="10" t="s">
        <v>29173</v>
      </c>
      <c r="F10061" s="10" t="s">
        <v>29181</v>
      </c>
      <c r="G10061" s="10" t="s">
        <v>28737</v>
      </c>
      <c r="H10061" s="11">
        <v>42779</v>
      </c>
      <c r="I10061" s="10">
        <v>2017</v>
      </c>
      <c r="J10061" s="10" t="s">
        <v>29175</v>
      </c>
      <c r="K10061" s="10">
        <v>36</v>
      </c>
      <c r="L10061" s="10" t="s">
        <v>44638</v>
      </c>
      <c r="M10061" s="10">
        <v>1</v>
      </c>
      <c r="N10061" s="10" t="s">
        <v>29177</v>
      </c>
      <c r="O10061" s="10"/>
      <c r="P10061" s="10"/>
      <c r="Q10061" s="10"/>
      <c r="R10061" s="10" t="s">
        <v>44639</v>
      </c>
      <c r="S10061" s="10" t="s">
        <v>5404</v>
      </c>
      <c r="T10061" s="10" t="s">
        <v>6568</v>
      </c>
    </row>
    <row r="10062" spans="1:20" ht="14.5" x14ac:dyDescent="0.35">
      <c r="A10062" s="10" t="s">
        <v>44640</v>
      </c>
      <c r="B10062" s="10" t="str">
        <f>""</f>
        <v/>
      </c>
      <c r="C10062" s="10" t="str">
        <f>"9782806290618"</f>
        <v>9782806290618</v>
      </c>
      <c r="D10062" s="10" t="s">
        <v>29172</v>
      </c>
      <c r="E10062" s="10" t="s">
        <v>29173</v>
      </c>
      <c r="F10062" s="10" t="s">
        <v>29181</v>
      </c>
      <c r="G10062" s="10" t="s">
        <v>28737</v>
      </c>
      <c r="H10062" s="11">
        <v>42779</v>
      </c>
      <c r="I10062" s="10">
        <v>2017</v>
      </c>
      <c r="J10062" s="10" t="s">
        <v>29175</v>
      </c>
      <c r="K10062" s="10">
        <v>41</v>
      </c>
      <c r="L10062" s="10" t="s">
        <v>44641</v>
      </c>
      <c r="M10062" s="10">
        <v>1</v>
      </c>
      <c r="N10062" s="10" t="s">
        <v>29177</v>
      </c>
      <c r="O10062" s="10"/>
      <c r="P10062" s="10"/>
      <c r="Q10062" s="10"/>
      <c r="R10062" s="10" t="s">
        <v>44642</v>
      </c>
      <c r="S10062" s="10" t="s">
        <v>5404</v>
      </c>
      <c r="T10062" s="10" t="s">
        <v>6568</v>
      </c>
    </row>
    <row r="10063" spans="1:20" ht="14.5" x14ac:dyDescent="0.35">
      <c r="A10063" s="10" t="s">
        <v>44643</v>
      </c>
      <c r="B10063" s="10" t="str">
        <f>""</f>
        <v/>
      </c>
      <c r="C10063" s="10" t="str">
        <f>"9782806290342"</f>
        <v>9782806290342</v>
      </c>
      <c r="D10063" s="10" t="s">
        <v>29172</v>
      </c>
      <c r="E10063" s="10" t="s">
        <v>29173</v>
      </c>
      <c r="F10063" s="10" t="s">
        <v>29181</v>
      </c>
      <c r="G10063" s="10" t="s">
        <v>28737</v>
      </c>
      <c r="H10063" s="11">
        <v>42779</v>
      </c>
      <c r="I10063" s="10">
        <v>2017</v>
      </c>
      <c r="J10063" s="10" t="s">
        <v>29175</v>
      </c>
      <c r="K10063" s="10">
        <v>39</v>
      </c>
      <c r="L10063" s="10" t="s">
        <v>44644</v>
      </c>
      <c r="M10063" s="10">
        <v>1</v>
      </c>
      <c r="N10063" s="10" t="s">
        <v>29177</v>
      </c>
      <c r="O10063" s="10"/>
      <c r="P10063" s="10"/>
      <c r="Q10063" s="10"/>
      <c r="R10063" s="10" t="s">
        <v>44645</v>
      </c>
      <c r="S10063" s="10" t="s">
        <v>5404</v>
      </c>
      <c r="T10063" s="10" t="s">
        <v>29186</v>
      </c>
    </row>
    <row r="10064" spans="1:20" ht="14.5" x14ac:dyDescent="0.35">
      <c r="A10064" s="10" t="s">
        <v>44646</v>
      </c>
      <c r="B10064" s="10" t="str">
        <f>""</f>
        <v/>
      </c>
      <c r="C10064" s="10" t="str">
        <f>"9782806283450"</f>
        <v>9782806283450</v>
      </c>
      <c r="D10064" s="10" t="s">
        <v>29172</v>
      </c>
      <c r="E10064" s="10" t="s">
        <v>29173</v>
      </c>
      <c r="F10064" s="10" t="s">
        <v>29181</v>
      </c>
      <c r="G10064" s="10" t="s">
        <v>28737</v>
      </c>
      <c r="H10064" s="11">
        <v>42779</v>
      </c>
      <c r="I10064" s="10">
        <v>2017</v>
      </c>
      <c r="J10064" s="10" t="s">
        <v>29175</v>
      </c>
      <c r="K10064" s="10">
        <v>39</v>
      </c>
      <c r="L10064" s="10" t="s">
        <v>44647</v>
      </c>
      <c r="M10064" s="10">
        <v>1</v>
      </c>
      <c r="N10064" s="10" t="s">
        <v>29177</v>
      </c>
      <c r="O10064" s="10"/>
      <c r="P10064" s="10"/>
      <c r="Q10064" s="10"/>
      <c r="R10064" s="10" t="s">
        <v>44648</v>
      </c>
      <c r="S10064" s="10" t="s">
        <v>5404</v>
      </c>
      <c r="T10064" s="10" t="s">
        <v>6568</v>
      </c>
    </row>
    <row r="10065" spans="1:20" ht="14.5" x14ac:dyDescent="0.35">
      <c r="A10065" s="10" t="s">
        <v>44649</v>
      </c>
      <c r="B10065" s="10" t="str">
        <f>""</f>
        <v/>
      </c>
      <c r="C10065" s="10" t="str">
        <f>"9782806292711"</f>
        <v>9782806292711</v>
      </c>
      <c r="D10065" s="10" t="s">
        <v>29172</v>
      </c>
      <c r="E10065" s="10" t="s">
        <v>29173</v>
      </c>
      <c r="F10065" s="10" t="s">
        <v>29181</v>
      </c>
      <c r="G10065" s="10" t="s">
        <v>28737</v>
      </c>
      <c r="H10065" s="11">
        <v>42789</v>
      </c>
      <c r="I10065" s="10">
        <v>2017</v>
      </c>
      <c r="J10065" s="10" t="s">
        <v>29175</v>
      </c>
      <c r="K10065" s="10">
        <v>34</v>
      </c>
      <c r="L10065" s="10" t="s">
        <v>44650</v>
      </c>
      <c r="M10065" s="10">
        <v>1</v>
      </c>
      <c r="N10065" s="10" t="s">
        <v>29177</v>
      </c>
      <c r="O10065" s="10"/>
      <c r="P10065" s="10"/>
      <c r="Q10065" s="10"/>
      <c r="R10065" s="10" t="s">
        <v>44651</v>
      </c>
      <c r="S10065" s="10" t="s">
        <v>5404</v>
      </c>
      <c r="T10065" s="10" t="s">
        <v>29186</v>
      </c>
    </row>
    <row r="10066" spans="1:20" ht="14.5" x14ac:dyDescent="0.35">
      <c r="A10066" s="10" t="s">
        <v>44652</v>
      </c>
      <c r="B10066" s="10" t="str">
        <f>""</f>
        <v/>
      </c>
      <c r="C10066" s="10" t="str">
        <f>"9782806292841"</f>
        <v>9782806292841</v>
      </c>
      <c r="D10066" s="10" t="s">
        <v>29172</v>
      </c>
      <c r="E10066" s="10" t="s">
        <v>29173</v>
      </c>
      <c r="F10066" s="10" t="s">
        <v>29181</v>
      </c>
      <c r="G10066" s="10" t="s">
        <v>28737</v>
      </c>
      <c r="H10066" s="11">
        <v>42789</v>
      </c>
      <c r="I10066" s="10">
        <v>2017</v>
      </c>
      <c r="J10066" s="10" t="s">
        <v>29175</v>
      </c>
      <c r="K10066" s="10">
        <v>37</v>
      </c>
      <c r="L10066" s="10" t="s">
        <v>44653</v>
      </c>
      <c r="M10066" s="10">
        <v>1</v>
      </c>
      <c r="N10066" s="10" t="s">
        <v>29177</v>
      </c>
      <c r="O10066" s="10"/>
      <c r="P10066" s="10"/>
      <c r="Q10066" s="10"/>
      <c r="R10066" s="10" t="s">
        <v>44654</v>
      </c>
      <c r="S10066" s="10" t="s">
        <v>5404</v>
      </c>
      <c r="T10066" s="10" t="s">
        <v>29186</v>
      </c>
    </row>
    <row r="10067" spans="1:20" ht="14.5" x14ac:dyDescent="0.35">
      <c r="A10067" s="10" t="s">
        <v>44655</v>
      </c>
      <c r="B10067" s="10" t="str">
        <f>""</f>
        <v/>
      </c>
      <c r="C10067" s="10" t="str">
        <f>"9782806293725"</f>
        <v>9782806293725</v>
      </c>
      <c r="D10067" s="10" t="s">
        <v>29172</v>
      </c>
      <c r="E10067" s="10" t="s">
        <v>29173</v>
      </c>
      <c r="F10067" s="10" t="s">
        <v>29181</v>
      </c>
      <c r="G10067" s="10" t="s">
        <v>28737</v>
      </c>
      <c r="H10067" s="11">
        <v>42789</v>
      </c>
      <c r="I10067" s="10">
        <v>2017</v>
      </c>
      <c r="J10067" s="10" t="s">
        <v>29175</v>
      </c>
      <c r="K10067" s="10">
        <v>34</v>
      </c>
      <c r="L10067" s="10" t="s">
        <v>44656</v>
      </c>
      <c r="M10067" s="10">
        <v>1</v>
      </c>
      <c r="N10067" s="10" t="s">
        <v>29177</v>
      </c>
      <c r="O10067" s="10"/>
      <c r="P10067" s="10"/>
      <c r="Q10067" s="10"/>
      <c r="R10067" s="10" t="s">
        <v>29310</v>
      </c>
      <c r="S10067" s="10" t="s">
        <v>5404</v>
      </c>
      <c r="T10067" s="10" t="s">
        <v>29186</v>
      </c>
    </row>
    <row r="10068" spans="1:20" ht="14.5" x14ac:dyDescent="0.35">
      <c r="A10068" s="10" t="s">
        <v>44657</v>
      </c>
      <c r="B10068" s="10" t="str">
        <f>"9782760545151"</f>
        <v>9782760545151</v>
      </c>
      <c r="C10068" s="10" t="str">
        <f>"9782760545175"</f>
        <v>9782760545175</v>
      </c>
      <c r="D10068" s="10" t="s">
        <v>44658</v>
      </c>
      <c r="E10068" s="10" t="s">
        <v>44659</v>
      </c>
      <c r="F10068" s="10" t="s">
        <v>955</v>
      </c>
      <c r="G10068" s="10" t="s">
        <v>9536</v>
      </c>
      <c r="H10068" s="11">
        <v>42753</v>
      </c>
      <c r="I10068" s="10">
        <v>2017</v>
      </c>
      <c r="J10068" s="10" t="s">
        <v>44659</v>
      </c>
      <c r="K10068" s="10">
        <v>284</v>
      </c>
      <c r="L10068" s="10" t="s">
        <v>44660</v>
      </c>
      <c r="M10068" s="10">
        <v>1</v>
      </c>
      <c r="N10068" s="10"/>
      <c r="O10068" s="10"/>
      <c r="P10068" s="10" t="s">
        <v>44661</v>
      </c>
      <c r="Q10068" s="10">
        <v>371.33</v>
      </c>
      <c r="R10068" s="10" t="s">
        <v>29942</v>
      </c>
      <c r="S10068" s="10" t="s">
        <v>5404</v>
      </c>
      <c r="T10068" s="10" t="s">
        <v>54</v>
      </c>
    </row>
    <row r="10069" spans="1:20" ht="14.5" x14ac:dyDescent="0.35">
      <c r="A10069" s="10" t="s">
        <v>44662</v>
      </c>
      <c r="B10069" s="10" t="str">
        <f>"9781118018224"</f>
        <v>9781118018224</v>
      </c>
      <c r="C10069" s="10" t="str">
        <f>"9781118418543"</f>
        <v>9781118418543</v>
      </c>
      <c r="D10069" s="10" t="s">
        <v>6322</v>
      </c>
      <c r="E10069" s="10" t="s">
        <v>6323</v>
      </c>
      <c r="F10069" s="10" t="s">
        <v>4423</v>
      </c>
      <c r="G10069" s="10" t="s">
        <v>6317</v>
      </c>
      <c r="H10069" s="11">
        <v>42800</v>
      </c>
      <c r="I10069" s="10">
        <v>2017</v>
      </c>
      <c r="J10069" s="10" t="s">
        <v>6324</v>
      </c>
      <c r="K10069" s="10">
        <v>546</v>
      </c>
      <c r="L10069" s="10" t="s">
        <v>44663</v>
      </c>
      <c r="M10069" s="10">
        <v>1</v>
      </c>
      <c r="N10069" s="10"/>
      <c r="O10069" s="10"/>
      <c r="P10069" s="10"/>
      <c r="Q10069" s="10">
        <v>378.00869999999998</v>
      </c>
      <c r="R10069" s="10" t="s">
        <v>44664</v>
      </c>
      <c r="S10069" s="10" t="s">
        <v>53</v>
      </c>
      <c r="T10069" s="10" t="s">
        <v>54</v>
      </c>
    </row>
    <row r="10070" spans="1:20" ht="14.5" x14ac:dyDescent="0.35">
      <c r="A10070" s="10" t="s">
        <v>44665</v>
      </c>
      <c r="B10070" s="10" t="str">
        <f>"9781119049616"</f>
        <v>9781119049616</v>
      </c>
      <c r="C10070" s="10" t="str">
        <f>"9781119051008"</f>
        <v>9781119051008</v>
      </c>
      <c r="D10070" s="10" t="s">
        <v>6322</v>
      </c>
      <c r="E10070" s="10" t="s">
        <v>6323</v>
      </c>
      <c r="F10070" s="10" t="s">
        <v>4423</v>
      </c>
      <c r="G10070" s="10" t="s">
        <v>6317</v>
      </c>
      <c r="H10070" s="11">
        <v>42794</v>
      </c>
      <c r="I10070" s="10">
        <v>2017</v>
      </c>
      <c r="J10070" s="10" t="s">
        <v>6324</v>
      </c>
      <c r="K10070" s="10">
        <v>307</v>
      </c>
      <c r="L10070" s="10" t="s">
        <v>44666</v>
      </c>
      <c r="M10070" s="10">
        <v>1</v>
      </c>
      <c r="N10070" s="10"/>
      <c r="O10070" s="10"/>
      <c r="P10070" s="10"/>
      <c r="Q10070" s="10">
        <v>374.26</v>
      </c>
      <c r="R10070" s="10" t="s">
        <v>44667</v>
      </c>
      <c r="S10070" s="10" t="s">
        <v>53</v>
      </c>
      <c r="T10070" s="10" t="s">
        <v>54</v>
      </c>
    </row>
    <row r="10071" spans="1:20" ht="14.5" x14ac:dyDescent="0.35">
      <c r="A10071" s="10" t="s">
        <v>44668</v>
      </c>
      <c r="B10071" s="10" t="str">
        <f>"9780415784344"</f>
        <v>9780415784344</v>
      </c>
      <c r="C10071" s="10" t="str">
        <f>"9781351843577"</f>
        <v>9781351843577</v>
      </c>
      <c r="D10071" s="10" t="s">
        <v>6350</v>
      </c>
      <c r="E10071" s="10" t="s">
        <v>6351</v>
      </c>
      <c r="F10071" s="10" t="s">
        <v>34492</v>
      </c>
      <c r="G10071" s="10" t="s">
        <v>6317</v>
      </c>
      <c r="H10071" s="11">
        <v>38883</v>
      </c>
      <c r="I10071" s="10">
        <v>2006</v>
      </c>
      <c r="J10071" s="10" t="s">
        <v>6353</v>
      </c>
      <c r="K10071" s="10">
        <v>181</v>
      </c>
      <c r="L10071" s="10" t="s">
        <v>44669</v>
      </c>
      <c r="M10071" s="10">
        <v>1</v>
      </c>
      <c r="N10071" s="10" t="s">
        <v>44670</v>
      </c>
      <c r="O10071" s="10"/>
      <c r="P10071" s="10" t="s">
        <v>44671</v>
      </c>
      <c r="Q10071" s="10" t="s">
        <v>10427</v>
      </c>
      <c r="R10071" s="10" t="s">
        <v>44672</v>
      </c>
      <c r="S10071" s="10" t="s">
        <v>53</v>
      </c>
      <c r="T10071" s="10" t="s">
        <v>54</v>
      </c>
    </row>
    <row r="10072" spans="1:20" ht="14.5" x14ac:dyDescent="0.35">
      <c r="A10072" s="10" t="s">
        <v>44673</v>
      </c>
      <c r="B10072" s="10" t="str">
        <f>"9780754657903"</f>
        <v>9780754657903</v>
      </c>
      <c r="C10072" s="10" t="str">
        <f>"9781351872140"</f>
        <v>9781351872140</v>
      </c>
      <c r="D10072" s="10" t="s">
        <v>6350</v>
      </c>
      <c r="E10072" s="10" t="s">
        <v>6351</v>
      </c>
      <c r="F10072" s="10" t="s">
        <v>5406</v>
      </c>
      <c r="G10072" s="10" t="s">
        <v>6352</v>
      </c>
      <c r="H10072" s="11">
        <v>42467</v>
      </c>
      <c r="I10072" s="10">
        <v>2007</v>
      </c>
      <c r="J10072" s="10" t="s">
        <v>6353</v>
      </c>
      <c r="K10072" s="10">
        <v>297</v>
      </c>
      <c r="L10072" s="10" t="s">
        <v>44674</v>
      </c>
      <c r="M10072" s="10">
        <v>1</v>
      </c>
      <c r="N10072" s="10" t="s">
        <v>20779</v>
      </c>
      <c r="O10072" s="10"/>
      <c r="P10072" s="10" t="s">
        <v>44675</v>
      </c>
      <c r="Q10072" s="10">
        <v>370.11409410903201</v>
      </c>
      <c r="R10072" s="10" t="s">
        <v>44676</v>
      </c>
      <c r="S10072" s="10" t="s">
        <v>53</v>
      </c>
      <c r="T10072" s="10" t="s">
        <v>54</v>
      </c>
    </row>
    <row r="10073" spans="1:20" ht="14.5" x14ac:dyDescent="0.35">
      <c r="A10073" s="10" t="s">
        <v>44677</v>
      </c>
      <c r="B10073" s="10" t="str">
        <f>"9780754639596"</f>
        <v>9780754639596</v>
      </c>
      <c r="C10073" s="10" t="str">
        <f>"9781351941570"</f>
        <v>9781351941570</v>
      </c>
      <c r="D10073" s="10" t="s">
        <v>6350</v>
      </c>
      <c r="E10073" s="10" t="s">
        <v>6351</v>
      </c>
      <c r="F10073" s="10" t="s">
        <v>5406</v>
      </c>
      <c r="G10073" s="10" t="s">
        <v>6352</v>
      </c>
      <c r="H10073" s="11">
        <v>38045</v>
      </c>
      <c r="I10073" s="10">
        <v>2004</v>
      </c>
      <c r="J10073" s="10" t="s">
        <v>6353</v>
      </c>
      <c r="K10073" s="10">
        <v>189</v>
      </c>
      <c r="L10073" s="10" t="s">
        <v>44678</v>
      </c>
      <c r="M10073" s="10">
        <v>1</v>
      </c>
      <c r="N10073" s="10"/>
      <c r="O10073" s="10"/>
      <c r="P10073" s="10">
        <v>2003058296</v>
      </c>
      <c r="Q10073" s="10">
        <v>321.8</v>
      </c>
      <c r="R10073" s="10" t="s">
        <v>44679</v>
      </c>
      <c r="S10073" s="10" t="s">
        <v>53</v>
      </c>
      <c r="T10073" s="10" t="s">
        <v>4859</v>
      </c>
    </row>
    <row r="10074" spans="1:20" ht="14.5" x14ac:dyDescent="0.35">
      <c r="A10074" s="10" t="s">
        <v>44680</v>
      </c>
      <c r="B10074" s="10" t="str">
        <f>"9781474257541"</f>
        <v>9781474257541</v>
      </c>
      <c r="C10074" s="10" t="str">
        <f>"9781474257558"</f>
        <v>9781474257558</v>
      </c>
      <c r="D10074" s="10" t="s">
        <v>13959</v>
      </c>
      <c r="E10074" s="10" t="s">
        <v>13960</v>
      </c>
      <c r="F10074" s="10" t="s">
        <v>139</v>
      </c>
      <c r="G10074" s="10" t="s">
        <v>6352</v>
      </c>
      <c r="H10074" s="11">
        <v>42817</v>
      </c>
      <c r="I10074" s="10">
        <v>2017</v>
      </c>
      <c r="J10074" s="10" t="s">
        <v>14057</v>
      </c>
      <c r="K10074" s="10">
        <v>208</v>
      </c>
      <c r="L10074" s="10" t="s">
        <v>44681</v>
      </c>
      <c r="M10074" s="10">
        <v>1</v>
      </c>
      <c r="N10074" s="10"/>
      <c r="O10074" s="10"/>
      <c r="P10074" s="10"/>
      <c r="Q10074" s="10">
        <v>372.21</v>
      </c>
      <c r="R10074" s="10" t="s">
        <v>44682</v>
      </c>
      <c r="S10074" s="10" t="s">
        <v>53</v>
      </c>
      <c r="T10074" s="10" t="s">
        <v>11702</v>
      </c>
    </row>
    <row r="10075" spans="1:20" ht="14.5" x14ac:dyDescent="0.35">
      <c r="A10075" s="10" t="s">
        <v>44683</v>
      </c>
      <c r="B10075" s="10" t="str">
        <f>"9781119369608"</f>
        <v>9781119369608</v>
      </c>
      <c r="C10075" s="10" t="str">
        <f>"9781119369615"</f>
        <v>9781119369615</v>
      </c>
      <c r="D10075" s="10" t="s">
        <v>6322</v>
      </c>
      <c r="E10075" s="10" t="s">
        <v>6323</v>
      </c>
      <c r="F10075" s="10" t="s">
        <v>4423</v>
      </c>
      <c r="G10075" s="10" t="s">
        <v>6317</v>
      </c>
      <c r="H10075" s="11">
        <v>42828</v>
      </c>
      <c r="I10075" s="10">
        <v>2017</v>
      </c>
      <c r="J10075" s="10" t="s">
        <v>6323</v>
      </c>
      <c r="K10075" s="10">
        <v>306</v>
      </c>
      <c r="L10075" s="10" t="s">
        <v>44684</v>
      </c>
      <c r="M10075" s="10">
        <v>1</v>
      </c>
      <c r="N10075" s="10"/>
      <c r="O10075" s="10"/>
      <c r="P10075" s="10" t="s">
        <v>44685</v>
      </c>
      <c r="Q10075" s="10"/>
      <c r="R10075" s="10" t="s">
        <v>44686</v>
      </c>
      <c r="S10075" s="10" t="s">
        <v>53</v>
      </c>
      <c r="T10075" s="10" t="s">
        <v>54</v>
      </c>
    </row>
    <row r="10076" spans="1:20" ht="14.5" x14ac:dyDescent="0.35">
      <c r="A10076" s="10" t="s">
        <v>44687</v>
      </c>
      <c r="B10076" s="10" t="str">
        <f>"9783319463278"</f>
        <v>9783319463278</v>
      </c>
      <c r="C10076" s="10" t="str">
        <f>"9783319463285"</f>
        <v>9783319463285</v>
      </c>
      <c r="D10076" s="10" t="s">
        <v>11249</v>
      </c>
      <c r="E10076" s="10" t="s">
        <v>26623</v>
      </c>
      <c r="F10076" s="10" t="s">
        <v>26624</v>
      </c>
      <c r="G10076" s="10" t="s">
        <v>16676</v>
      </c>
      <c r="H10076" s="11">
        <v>42804</v>
      </c>
      <c r="I10076" s="10">
        <v>2017</v>
      </c>
      <c r="J10076" s="10" t="s">
        <v>26623</v>
      </c>
      <c r="K10076" s="10">
        <v>265</v>
      </c>
      <c r="L10076" s="10" t="s">
        <v>44688</v>
      </c>
      <c r="M10076" s="10">
        <v>1</v>
      </c>
      <c r="N10076" s="10"/>
      <c r="O10076" s="10"/>
      <c r="P10076" s="10" t="s">
        <v>11275</v>
      </c>
      <c r="Q10076" s="10">
        <v>370.11500000000001</v>
      </c>
      <c r="R10076" s="10" t="s">
        <v>6396</v>
      </c>
      <c r="S10076" s="10" t="s">
        <v>53</v>
      </c>
      <c r="T10076" s="10" t="s">
        <v>54</v>
      </c>
    </row>
    <row r="10077" spans="1:20" ht="14.5" x14ac:dyDescent="0.35">
      <c r="A10077" s="10" t="s">
        <v>44689</v>
      </c>
      <c r="B10077" s="10" t="str">
        <f>"9781119369714"</f>
        <v>9781119369714</v>
      </c>
      <c r="C10077" s="10" t="str">
        <f>"9781119372189"</f>
        <v>9781119372189</v>
      </c>
      <c r="D10077" s="10" t="s">
        <v>6322</v>
      </c>
      <c r="E10077" s="10" t="s">
        <v>6323</v>
      </c>
      <c r="F10077" s="10" t="s">
        <v>4423</v>
      </c>
      <c r="G10077" s="10" t="s">
        <v>6317</v>
      </c>
      <c r="H10077" s="11">
        <v>42828</v>
      </c>
      <c r="I10077" s="10">
        <v>2017</v>
      </c>
      <c r="J10077" s="10" t="s">
        <v>6324</v>
      </c>
      <c r="K10077" s="10">
        <v>79</v>
      </c>
      <c r="L10077" s="10" t="s">
        <v>44690</v>
      </c>
      <c r="M10077" s="10">
        <v>1</v>
      </c>
      <c r="N10077" s="10"/>
      <c r="O10077" s="10"/>
      <c r="P10077" s="10"/>
      <c r="Q10077" s="10"/>
      <c r="R10077" s="10" t="s">
        <v>40795</v>
      </c>
      <c r="S10077" s="10" t="s">
        <v>53</v>
      </c>
      <c r="T10077" s="10" t="s">
        <v>54</v>
      </c>
    </row>
    <row r="10078" spans="1:20" ht="14.5" x14ac:dyDescent="0.35">
      <c r="A10078" s="10" t="s">
        <v>44691</v>
      </c>
      <c r="B10078" s="10" t="str">
        <f>"9780520291843"</f>
        <v>9780520291843</v>
      </c>
      <c r="C10078" s="10" t="str">
        <f>"9780520965478"</f>
        <v>9780520965478</v>
      </c>
      <c r="D10078" s="10" t="s">
        <v>8512</v>
      </c>
      <c r="E10078" s="10" t="s">
        <v>8512</v>
      </c>
      <c r="F10078" s="10" t="s">
        <v>717</v>
      </c>
      <c r="G10078" s="10" t="s">
        <v>6317</v>
      </c>
      <c r="H10078" s="11">
        <v>42962</v>
      </c>
      <c r="I10078" s="10">
        <v>2017</v>
      </c>
      <c r="J10078" s="10" t="s">
        <v>8512</v>
      </c>
      <c r="K10078" s="10">
        <v>165</v>
      </c>
      <c r="L10078" s="10" t="s">
        <v>44692</v>
      </c>
      <c r="M10078" s="10">
        <v>1</v>
      </c>
      <c r="N10078" s="10"/>
      <c r="O10078" s="10"/>
      <c r="P10078" s="10" t="s">
        <v>44693</v>
      </c>
      <c r="Q10078" s="10">
        <v>160</v>
      </c>
      <c r="R10078" s="10" t="s">
        <v>33098</v>
      </c>
      <c r="S10078" s="10" t="s">
        <v>53</v>
      </c>
      <c r="T10078" s="10" t="s">
        <v>6534</v>
      </c>
    </row>
    <row r="10079" spans="1:20" ht="14.5" x14ac:dyDescent="0.35">
      <c r="A10079" s="10" t="s">
        <v>44694</v>
      </c>
      <c r="B10079" s="10" t="str">
        <f>"9781443895347"</f>
        <v>9781443895347</v>
      </c>
      <c r="C10079" s="10" t="str">
        <f>"9781443812825"</f>
        <v>9781443812825</v>
      </c>
      <c r="D10079" s="10" t="s">
        <v>23635</v>
      </c>
      <c r="E10079" s="10" t="s">
        <v>23635</v>
      </c>
      <c r="F10079" s="10" t="s">
        <v>23636</v>
      </c>
      <c r="G10079" s="10" t="s">
        <v>6352</v>
      </c>
      <c r="H10079" s="11">
        <v>42622</v>
      </c>
      <c r="I10079" s="10">
        <v>2016</v>
      </c>
      <c r="J10079" s="10" t="s">
        <v>23635</v>
      </c>
      <c r="K10079" s="10">
        <v>206</v>
      </c>
      <c r="L10079" s="10" t="s">
        <v>44695</v>
      </c>
      <c r="M10079" s="10">
        <v>1</v>
      </c>
      <c r="N10079" s="10"/>
      <c r="O10079" s="10"/>
      <c r="P10079" s="10" t="s">
        <v>44696</v>
      </c>
      <c r="Q10079" s="10">
        <v>371.91199999999901</v>
      </c>
      <c r="R10079" s="10" t="s">
        <v>44697</v>
      </c>
      <c r="S10079" s="10" t="s">
        <v>53</v>
      </c>
      <c r="T10079" s="10" t="s">
        <v>6472</v>
      </c>
    </row>
    <row r="10080" spans="1:20" ht="14.5" x14ac:dyDescent="0.35">
      <c r="A10080" s="10" t="s">
        <v>44698</v>
      </c>
      <c r="B10080" s="10" t="str">
        <f>"9781452274263"</f>
        <v>9781452274263</v>
      </c>
      <c r="C10080" s="10" t="str">
        <f>"9781452274249"</f>
        <v>9781452274249</v>
      </c>
      <c r="D10080" s="10" t="s">
        <v>22210</v>
      </c>
      <c r="E10080" s="10" t="s">
        <v>22211</v>
      </c>
      <c r="F10080" s="10" t="s">
        <v>333</v>
      </c>
      <c r="G10080" s="10" t="s">
        <v>6317</v>
      </c>
      <c r="H10080" s="11">
        <v>41466</v>
      </c>
      <c r="I10080" s="10">
        <v>2013</v>
      </c>
      <c r="J10080" s="10" t="s">
        <v>22211</v>
      </c>
      <c r="K10080" s="10">
        <v>113</v>
      </c>
      <c r="L10080" s="10" t="s">
        <v>44699</v>
      </c>
      <c r="M10080" s="10">
        <v>1</v>
      </c>
      <c r="N10080" s="10"/>
      <c r="O10080" s="10"/>
      <c r="P10080" s="10" t="s">
        <v>44700</v>
      </c>
      <c r="Q10080" s="10">
        <v>379.15800000000002</v>
      </c>
      <c r="R10080" s="10" t="s">
        <v>44701</v>
      </c>
      <c r="S10080" s="10" t="s">
        <v>53</v>
      </c>
      <c r="T10080" s="10" t="s">
        <v>54</v>
      </c>
    </row>
    <row r="10081" spans="1:20" ht="14.5" x14ac:dyDescent="0.35">
      <c r="A10081" s="10" t="s">
        <v>44702</v>
      </c>
      <c r="B10081" s="10" t="str">
        <f>"9781942496137"</f>
        <v>9781942496137</v>
      </c>
      <c r="C10081" s="10" t="str">
        <f>"9781942496144"</f>
        <v>9781942496144</v>
      </c>
      <c r="D10081" s="10" t="s">
        <v>37580</v>
      </c>
      <c r="E10081" s="10" t="s">
        <v>37581</v>
      </c>
      <c r="F10081" s="10" t="s">
        <v>37623</v>
      </c>
      <c r="G10081" s="10" t="s">
        <v>6317</v>
      </c>
      <c r="H10081" s="11">
        <v>42811</v>
      </c>
      <c r="I10081" s="10">
        <v>2017</v>
      </c>
      <c r="J10081" s="10" t="s">
        <v>37581</v>
      </c>
      <c r="K10081" s="10">
        <v>176</v>
      </c>
      <c r="L10081" s="10" t="s">
        <v>44703</v>
      </c>
      <c r="M10081" s="10">
        <v>1</v>
      </c>
      <c r="N10081" s="10" t="s">
        <v>37586</v>
      </c>
      <c r="O10081" s="10"/>
      <c r="P10081" s="10" t="s">
        <v>44704</v>
      </c>
      <c r="Q10081" s="10"/>
      <c r="R10081" s="10" t="s">
        <v>44705</v>
      </c>
      <c r="S10081" s="10" t="s">
        <v>53</v>
      </c>
      <c r="T10081" s="10" t="s">
        <v>54</v>
      </c>
    </row>
    <row r="10082" spans="1:20" ht="14.5" x14ac:dyDescent="0.35">
      <c r="A10082" s="10" t="s">
        <v>44706</v>
      </c>
      <c r="B10082" s="10" t="str">
        <f>"9781943874439"</f>
        <v>9781943874439</v>
      </c>
      <c r="C10082" s="10" t="str">
        <f>"9781943874446"</f>
        <v>9781943874446</v>
      </c>
      <c r="D10082" s="10" t="s">
        <v>37580</v>
      </c>
      <c r="E10082" s="10" t="s">
        <v>37581</v>
      </c>
      <c r="F10082" s="10" t="s">
        <v>37623</v>
      </c>
      <c r="G10082" s="10" t="s">
        <v>6317</v>
      </c>
      <c r="H10082" s="11">
        <v>42811</v>
      </c>
      <c r="I10082" s="10">
        <v>2017</v>
      </c>
      <c r="J10082" s="10" t="s">
        <v>37581</v>
      </c>
      <c r="K10082" s="10">
        <v>264</v>
      </c>
      <c r="L10082" s="10" t="s">
        <v>37653</v>
      </c>
      <c r="M10082" s="10">
        <v>1</v>
      </c>
      <c r="N10082" s="10"/>
      <c r="O10082" s="10"/>
      <c r="P10082" s="10"/>
      <c r="Q10082" s="10"/>
      <c r="R10082" s="10"/>
      <c r="S10082" s="10" t="s">
        <v>53</v>
      </c>
      <c r="T10082" s="10" t="s">
        <v>54</v>
      </c>
    </row>
    <row r="10083" spans="1:20" ht="14.5" x14ac:dyDescent="0.35">
      <c r="A10083" s="10" t="s">
        <v>44707</v>
      </c>
      <c r="B10083" s="10" t="str">
        <f>"9781443816885"</f>
        <v>9781443816885</v>
      </c>
      <c r="C10083" s="10" t="str">
        <f>"9781443878609"</f>
        <v>9781443878609</v>
      </c>
      <c r="D10083" s="10" t="s">
        <v>23635</v>
      </c>
      <c r="E10083" s="10" t="s">
        <v>23635</v>
      </c>
      <c r="F10083" s="10" t="s">
        <v>23636</v>
      </c>
      <c r="G10083" s="10" t="s">
        <v>6352</v>
      </c>
      <c r="H10083" s="11">
        <v>42779</v>
      </c>
      <c r="I10083" s="10">
        <v>2017</v>
      </c>
      <c r="J10083" s="10" t="s">
        <v>23635</v>
      </c>
      <c r="K10083" s="10">
        <v>357</v>
      </c>
      <c r="L10083" s="10" t="s">
        <v>44708</v>
      </c>
      <c r="M10083" s="10">
        <v>1</v>
      </c>
      <c r="N10083" s="10"/>
      <c r="O10083" s="10"/>
      <c r="P10083" s="10" t="s">
        <v>44709</v>
      </c>
      <c r="Q10083" s="10">
        <v>370.15</v>
      </c>
      <c r="R10083" s="10" t="s">
        <v>19020</v>
      </c>
      <c r="S10083" s="10" t="s">
        <v>53</v>
      </c>
      <c r="T10083" s="10" t="s">
        <v>54</v>
      </c>
    </row>
    <row r="10084" spans="1:20" ht="14.5" x14ac:dyDescent="0.35">
      <c r="A10084" s="10" t="s">
        <v>44710</v>
      </c>
      <c r="B10084" s="10" t="str">
        <f>"9780891286950"</f>
        <v>9780891286950</v>
      </c>
      <c r="C10084" s="10" t="str">
        <f>"9780891287704"</f>
        <v>9780891287704</v>
      </c>
      <c r="D10084" s="10" t="s">
        <v>43425</v>
      </c>
      <c r="E10084" s="10" t="s">
        <v>43426</v>
      </c>
      <c r="F10084" s="10" t="s">
        <v>13068</v>
      </c>
      <c r="G10084" s="10" t="s">
        <v>6317</v>
      </c>
      <c r="H10084" s="11">
        <v>42795</v>
      </c>
      <c r="I10084" s="10">
        <v>2017</v>
      </c>
      <c r="J10084" s="10" t="s">
        <v>43426</v>
      </c>
      <c r="K10084" s="10">
        <v>552</v>
      </c>
      <c r="L10084" s="10" t="s">
        <v>44711</v>
      </c>
      <c r="M10084" s="10">
        <v>3</v>
      </c>
      <c r="N10084" s="10"/>
      <c r="O10084" s="10"/>
      <c r="P10084" s="10" t="s">
        <v>44712</v>
      </c>
      <c r="Q10084" s="10" t="s">
        <v>41691</v>
      </c>
      <c r="R10084" s="10" t="s">
        <v>44713</v>
      </c>
      <c r="S10084" s="10" t="s">
        <v>53</v>
      </c>
      <c r="T10084" s="10" t="s">
        <v>6526</v>
      </c>
    </row>
    <row r="10085" spans="1:20" ht="14.5" x14ac:dyDescent="0.35">
      <c r="A10085" s="10" t="s">
        <v>44714</v>
      </c>
      <c r="B10085" s="10" t="str">
        <f>"9780891286967"</f>
        <v>9780891286967</v>
      </c>
      <c r="C10085" s="10" t="str">
        <f>"9780891287735"</f>
        <v>9780891287735</v>
      </c>
      <c r="D10085" s="10" t="s">
        <v>43425</v>
      </c>
      <c r="E10085" s="10" t="s">
        <v>43426</v>
      </c>
      <c r="F10085" s="10" t="s">
        <v>13068</v>
      </c>
      <c r="G10085" s="10" t="s">
        <v>6317</v>
      </c>
      <c r="H10085" s="11">
        <v>42795</v>
      </c>
      <c r="I10085" s="10">
        <v>2017</v>
      </c>
      <c r="J10085" s="10" t="s">
        <v>43426</v>
      </c>
      <c r="K10085" s="10">
        <v>982</v>
      </c>
      <c r="L10085" s="10" t="s">
        <v>44715</v>
      </c>
      <c r="M10085" s="10">
        <v>3</v>
      </c>
      <c r="N10085" s="10"/>
      <c r="O10085" s="10"/>
      <c r="P10085" s="10" t="s">
        <v>44712</v>
      </c>
      <c r="Q10085" s="10">
        <v>371.911</v>
      </c>
      <c r="R10085" s="10" t="s">
        <v>44713</v>
      </c>
      <c r="S10085" s="10" t="s">
        <v>53</v>
      </c>
      <c r="T10085" s="10" t="s">
        <v>6472</v>
      </c>
    </row>
    <row r="10086" spans="1:20" ht="14.5" x14ac:dyDescent="0.35">
      <c r="A10086" s="10" t="s">
        <v>44716</v>
      </c>
      <c r="B10086" s="10" t="str">
        <f>"9781119369721"</f>
        <v>9781119369721</v>
      </c>
      <c r="C10086" s="10" t="str">
        <f>"9781119369738"</f>
        <v>9781119369738</v>
      </c>
      <c r="D10086" s="10" t="s">
        <v>6322</v>
      </c>
      <c r="E10086" s="10" t="s">
        <v>6323</v>
      </c>
      <c r="F10086" s="10" t="s">
        <v>4423</v>
      </c>
      <c r="G10086" s="10" t="s">
        <v>6317</v>
      </c>
      <c r="H10086" s="11">
        <v>42828</v>
      </c>
      <c r="I10086" s="10">
        <v>2017</v>
      </c>
      <c r="J10086" s="10" t="s">
        <v>6324</v>
      </c>
      <c r="K10086" s="10">
        <v>143</v>
      </c>
      <c r="L10086" s="10" t="s">
        <v>44717</v>
      </c>
      <c r="M10086" s="10">
        <v>1</v>
      </c>
      <c r="N10086" s="10"/>
      <c r="O10086" s="10"/>
      <c r="P10086" s="10"/>
      <c r="Q10086" s="10"/>
      <c r="R10086" s="10" t="s">
        <v>44718</v>
      </c>
      <c r="S10086" s="10" t="s">
        <v>53</v>
      </c>
      <c r="T10086" s="10" t="s">
        <v>54</v>
      </c>
    </row>
    <row r="10087" spans="1:20" ht="14.5" x14ac:dyDescent="0.35">
      <c r="A10087" s="10" t="s">
        <v>44719</v>
      </c>
      <c r="B10087" s="10" t="str">
        <f>"9783319486369"</f>
        <v>9783319486369</v>
      </c>
      <c r="C10087" s="10" t="str">
        <f>"9783319486376"</f>
        <v>9783319486376</v>
      </c>
      <c r="D10087" s="10" t="s">
        <v>11249</v>
      </c>
      <c r="E10087" s="10" t="s">
        <v>26623</v>
      </c>
      <c r="F10087" s="10" t="s">
        <v>26624</v>
      </c>
      <c r="G10087" s="10" t="s">
        <v>16676</v>
      </c>
      <c r="H10087" s="11">
        <v>42814</v>
      </c>
      <c r="I10087" s="10">
        <v>2017</v>
      </c>
      <c r="J10087" s="10" t="s">
        <v>26623</v>
      </c>
      <c r="K10087" s="10">
        <v>127</v>
      </c>
      <c r="L10087" s="10" t="s">
        <v>44720</v>
      </c>
      <c r="M10087" s="10">
        <v>1</v>
      </c>
      <c r="N10087" s="10"/>
      <c r="O10087" s="10"/>
      <c r="P10087" s="10" t="s">
        <v>11263</v>
      </c>
      <c r="Q10087" s="10">
        <v>370.1</v>
      </c>
      <c r="R10087" s="10" t="s">
        <v>13243</v>
      </c>
      <c r="S10087" s="10" t="s">
        <v>53</v>
      </c>
      <c r="T10087" s="10" t="s">
        <v>54</v>
      </c>
    </row>
    <row r="10088" spans="1:20" ht="14.5" x14ac:dyDescent="0.35">
      <c r="A10088" s="10" t="s">
        <v>44721</v>
      </c>
      <c r="B10088" s="10" t="str">
        <f>""</f>
        <v/>
      </c>
      <c r="C10088" s="10" t="str">
        <f>"9781945459047"</f>
        <v>9781945459047</v>
      </c>
      <c r="D10088" s="10" t="s">
        <v>44271</v>
      </c>
      <c r="E10088" s="10" t="s">
        <v>44272</v>
      </c>
      <c r="F10088" s="10" t="s">
        <v>14733</v>
      </c>
      <c r="G10088" s="10" t="s">
        <v>6317</v>
      </c>
      <c r="H10088" s="11">
        <v>42816</v>
      </c>
      <c r="I10088" s="10">
        <v>2017</v>
      </c>
      <c r="J10088" s="10" t="s">
        <v>44272</v>
      </c>
      <c r="K10088" s="10">
        <v>228</v>
      </c>
      <c r="L10088" s="10" t="s">
        <v>44722</v>
      </c>
      <c r="M10088" s="10">
        <v>1</v>
      </c>
      <c r="N10088" s="10"/>
      <c r="O10088" s="10"/>
      <c r="P10088" s="10" t="s">
        <v>44723</v>
      </c>
      <c r="Q10088" s="10">
        <v>378.10300000000001</v>
      </c>
      <c r="R10088" s="10" t="s">
        <v>44724</v>
      </c>
      <c r="S10088" s="10" t="s">
        <v>53</v>
      </c>
      <c r="T10088" s="10" t="s">
        <v>54</v>
      </c>
    </row>
    <row r="10089" spans="1:20" ht="14.5" x14ac:dyDescent="0.35">
      <c r="A10089" s="10" t="s">
        <v>44725</v>
      </c>
      <c r="B10089" s="10" t="str">
        <f>"9781119369622"</f>
        <v>9781119369622</v>
      </c>
      <c r="C10089" s="10" t="str">
        <f>"9781119369684"</f>
        <v>9781119369684</v>
      </c>
      <c r="D10089" s="10" t="s">
        <v>6322</v>
      </c>
      <c r="E10089" s="10" t="s">
        <v>6323</v>
      </c>
      <c r="F10089" s="10" t="s">
        <v>4423</v>
      </c>
      <c r="G10089" s="10" t="s">
        <v>6317</v>
      </c>
      <c r="H10089" s="11">
        <v>42828</v>
      </c>
      <c r="I10089" s="10">
        <v>2017</v>
      </c>
      <c r="J10089" s="10" t="s">
        <v>6324</v>
      </c>
      <c r="K10089" s="10">
        <v>241</v>
      </c>
      <c r="L10089" s="10" t="s">
        <v>44726</v>
      </c>
      <c r="M10089" s="10">
        <v>1</v>
      </c>
      <c r="N10089" s="10"/>
      <c r="O10089" s="10"/>
      <c r="P10089" s="10"/>
      <c r="Q10089" s="10"/>
      <c r="R10089" s="10" t="s">
        <v>44727</v>
      </c>
      <c r="S10089" s="10" t="s">
        <v>53</v>
      </c>
      <c r="T10089" s="10" t="s">
        <v>54</v>
      </c>
    </row>
    <row r="10090" spans="1:20" ht="14.5" x14ac:dyDescent="0.35">
      <c r="A10090" s="10" t="s">
        <v>44728</v>
      </c>
      <c r="B10090" s="10" t="str">
        <f>"9781501514562"</f>
        <v>9781501514562</v>
      </c>
      <c r="C10090" s="10" t="str">
        <f>"9781501505492"</f>
        <v>9781501505492</v>
      </c>
      <c r="D10090" s="10" t="s">
        <v>9995</v>
      </c>
      <c r="E10090" s="10" t="s">
        <v>9996</v>
      </c>
      <c r="F10090" s="10" t="s">
        <v>1420</v>
      </c>
      <c r="G10090" s="10" t="s">
        <v>9998</v>
      </c>
      <c r="H10090" s="11">
        <v>42800</v>
      </c>
      <c r="I10090" s="10">
        <v>2017</v>
      </c>
      <c r="J10090" s="10" t="s">
        <v>10009</v>
      </c>
      <c r="K10090" s="10">
        <v>318</v>
      </c>
      <c r="L10090" s="10" t="s">
        <v>44729</v>
      </c>
      <c r="M10090" s="10">
        <v>1</v>
      </c>
      <c r="N10090" s="10" t="s">
        <v>11812</v>
      </c>
      <c r="O10090" s="10">
        <v>55</v>
      </c>
      <c r="P10090" s="10" t="s">
        <v>44730</v>
      </c>
      <c r="Q10090" s="10"/>
      <c r="R10090" s="10" t="s">
        <v>44731</v>
      </c>
      <c r="S10090" s="10" t="s">
        <v>53</v>
      </c>
      <c r="T10090" s="10" t="s">
        <v>54</v>
      </c>
    </row>
    <row r="10091" spans="1:20" ht="14.5" x14ac:dyDescent="0.35">
      <c r="A10091" s="10" t="s">
        <v>44732</v>
      </c>
      <c r="B10091" s="10" t="str">
        <f>"9781416623052"</f>
        <v>9781416623052</v>
      </c>
      <c r="C10091" s="10" t="str">
        <f>"9781416623625"</f>
        <v>9781416623625</v>
      </c>
      <c r="D10091" s="10" t="s">
        <v>10014</v>
      </c>
      <c r="E10091" s="10" t="s">
        <v>10015</v>
      </c>
      <c r="F10091" s="10" t="s">
        <v>201</v>
      </c>
      <c r="G10091" s="10" t="s">
        <v>6317</v>
      </c>
      <c r="H10091" s="11">
        <v>42824</v>
      </c>
      <c r="I10091" s="10">
        <v>2017</v>
      </c>
      <c r="J10091" s="10" t="s">
        <v>10015</v>
      </c>
      <c r="K10091" s="10">
        <v>225</v>
      </c>
      <c r="L10091" s="10" t="s">
        <v>44733</v>
      </c>
      <c r="M10091" s="10">
        <v>1</v>
      </c>
      <c r="N10091" s="10"/>
      <c r="O10091" s="10"/>
      <c r="P10091" s="10" t="s">
        <v>44734</v>
      </c>
      <c r="Q10091" s="10">
        <v>371.20699999999999</v>
      </c>
      <c r="R10091" s="10" t="s">
        <v>44735</v>
      </c>
      <c r="S10091" s="10" t="s">
        <v>53</v>
      </c>
      <c r="T10091" s="10" t="s">
        <v>54</v>
      </c>
    </row>
    <row r="10092" spans="1:20" ht="14.5" x14ac:dyDescent="0.35">
      <c r="A10092" s="10" t="s">
        <v>44736</v>
      </c>
      <c r="B10092" s="10" t="str">
        <f>"9781118336090"</f>
        <v>9781118336090</v>
      </c>
      <c r="C10092" s="10" t="str">
        <f>"9781118762479"</f>
        <v>9781118762479</v>
      </c>
      <c r="D10092" s="10" t="s">
        <v>6322</v>
      </c>
      <c r="E10092" s="10" t="s">
        <v>6323</v>
      </c>
      <c r="F10092" s="10" t="s">
        <v>4423</v>
      </c>
      <c r="G10092" s="10" t="s">
        <v>6352</v>
      </c>
      <c r="H10092" s="11">
        <v>42849</v>
      </c>
      <c r="I10092" s="10">
        <v>2017</v>
      </c>
      <c r="J10092" s="10" t="s">
        <v>6323</v>
      </c>
      <c r="K10092" s="10">
        <v>469</v>
      </c>
      <c r="L10092" s="10" t="s">
        <v>44737</v>
      </c>
      <c r="M10092" s="10">
        <v>1</v>
      </c>
      <c r="N10092" s="10" t="s">
        <v>44738</v>
      </c>
      <c r="O10092" s="10"/>
      <c r="P10092" s="10"/>
      <c r="Q10092" s="10"/>
      <c r="R10092" s="10" t="s">
        <v>6755</v>
      </c>
      <c r="S10092" s="10" t="s">
        <v>53</v>
      </c>
      <c r="T10092" s="10" t="s">
        <v>6448</v>
      </c>
    </row>
    <row r="10093" spans="1:20" ht="14.5" x14ac:dyDescent="0.35">
      <c r="A10093" s="10" t="s">
        <v>44739</v>
      </c>
      <c r="B10093" s="10" t="str">
        <f>""</f>
        <v/>
      </c>
      <c r="C10093" s="10" t="str">
        <f>"9782806283887"</f>
        <v>9782806283887</v>
      </c>
      <c r="D10093" s="10" t="s">
        <v>29172</v>
      </c>
      <c r="E10093" s="10" t="s">
        <v>29173</v>
      </c>
      <c r="F10093" s="10" t="s">
        <v>29181</v>
      </c>
      <c r="G10093" s="10" t="s">
        <v>28737</v>
      </c>
      <c r="H10093" s="11">
        <v>42807</v>
      </c>
      <c r="I10093" s="10">
        <v>2017</v>
      </c>
      <c r="J10093" s="10" t="s">
        <v>29175</v>
      </c>
      <c r="K10093" s="10">
        <v>39</v>
      </c>
      <c r="L10093" s="10" t="s">
        <v>29314</v>
      </c>
      <c r="M10093" s="10">
        <v>1</v>
      </c>
      <c r="N10093" s="10" t="s">
        <v>29177</v>
      </c>
      <c r="O10093" s="10"/>
      <c r="P10093" s="10"/>
      <c r="Q10093" s="10"/>
      <c r="R10093" s="10" t="s">
        <v>13858</v>
      </c>
      <c r="S10093" s="10" t="s">
        <v>5404</v>
      </c>
      <c r="T10093" s="10" t="s">
        <v>29186</v>
      </c>
    </row>
    <row r="10094" spans="1:20" ht="14.5" x14ac:dyDescent="0.35">
      <c r="A10094" s="10" t="s">
        <v>44740</v>
      </c>
      <c r="B10094" s="10" t="str">
        <f>""</f>
        <v/>
      </c>
      <c r="C10094" s="10" t="str">
        <f>"9782806292926"</f>
        <v>9782806292926</v>
      </c>
      <c r="D10094" s="10" t="s">
        <v>29172</v>
      </c>
      <c r="E10094" s="10" t="s">
        <v>29173</v>
      </c>
      <c r="F10094" s="10" t="s">
        <v>29181</v>
      </c>
      <c r="G10094" s="10" t="s">
        <v>28737</v>
      </c>
      <c r="H10094" s="11">
        <v>42807</v>
      </c>
      <c r="I10094" s="10">
        <v>2017</v>
      </c>
      <c r="J10094" s="10" t="s">
        <v>29175</v>
      </c>
      <c r="K10094" s="10">
        <v>37</v>
      </c>
      <c r="L10094" s="10" t="s">
        <v>44741</v>
      </c>
      <c r="M10094" s="10">
        <v>1</v>
      </c>
      <c r="N10094" s="10" t="s">
        <v>29177</v>
      </c>
      <c r="O10094" s="10"/>
      <c r="P10094" s="10"/>
      <c r="Q10094" s="10"/>
      <c r="R10094" s="10" t="s">
        <v>13858</v>
      </c>
      <c r="S10094" s="10" t="s">
        <v>5404</v>
      </c>
      <c r="T10094" s="10" t="s">
        <v>29186</v>
      </c>
    </row>
    <row r="10095" spans="1:20" ht="14.5" x14ac:dyDescent="0.35">
      <c r="A10095" s="10" t="s">
        <v>44742</v>
      </c>
      <c r="B10095" s="10" t="str">
        <f>""</f>
        <v/>
      </c>
      <c r="C10095" s="10" t="str">
        <f>"9782806293923"</f>
        <v>9782806293923</v>
      </c>
      <c r="D10095" s="10" t="s">
        <v>29172</v>
      </c>
      <c r="E10095" s="10" t="s">
        <v>29173</v>
      </c>
      <c r="F10095" s="10" t="s">
        <v>29181</v>
      </c>
      <c r="G10095" s="10" t="s">
        <v>28737</v>
      </c>
      <c r="H10095" s="11">
        <v>42807</v>
      </c>
      <c r="I10095" s="10">
        <v>2017</v>
      </c>
      <c r="J10095" s="10" t="s">
        <v>29175</v>
      </c>
      <c r="K10095" s="10">
        <v>35</v>
      </c>
      <c r="L10095" s="10" t="s">
        <v>44743</v>
      </c>
      <c r="M10095" s="10">
        <v>1</v>
      </c>
      <c r="N10095" s="10" t="s">
        <v>29177</v>
      </c>
      <c r="O10095" s="10"/>
      <c r="P10095" s="10"/>
      <c r="Q10095" s="10"/>
      <c r="R10095" s="10" t="s">
        <v>13858</v>
      </c>
      <c r="S10095" s="10" t="s">
        <v>5404</v>
      </c>
      <c r="T10095" s="10" t="s">
        <v>29186</v>
      </c>
    </row>
    <row r="10096" spans="1:20" ht="14.5" x14ac:dyDescent="0.35">
      <c r="A10096" s="10" t="s">
        <v>44744</v>
      </c>
      <c r="B10096" s="10" t="str">
        <f>"9789463008730"</f>
        <v>9789463008730</v>
      </c>
      <c r="C10096" s="10" t="str">
        <f>"9789463008754"</f>
        <v>9789463008754</v>
      </c>
      <c r="D10096" s="10" t="s">
        <v>8564</v>
      </c>
      <c r="E10096" s="10" t="s">
        <v>8565</v>
      </c>
      <c r="F10096" s="10" t="s">
        <v>1420</v>
      </c>
      <c r="G10096" s="10" t="s">
        <v>6317</v>
      </c>
      <c r="H10096" s="11">
        <v>42736</v>
      </c>
      <c r="I10096" s="10">
        <v>2017</v>
      </c>
      <c r="J10096" s="10" t="s">
        <v>33259</v>
      </c>
      <c r="K10096" s="10">
        <v>280</v>
      </c>
      <c r="L10096" s="10" t="s">
        <v>44745</v>
      </c>
      <c r="M10096" s="10">
        <v>1</v>
      </c>
      <c r="N10096" s="10"/>
      <c r="O10096" s="10"/>
      <c r="P10096" s="10"/>
      <c r="Q10096" s="10"/>
      <c r="R10096" s="10" t="s">
        <v>44746</v>
      </c>
      <c r="S10096" s="10" t="s">
        <v>53</v>
      </c>
      <c r="T10096" s="10" t="s">
        <v>54</v>
      </c>
    </row>
    <row r="10097" spans="1:20" ht="14.5" x14ac:dyDescent="0.35">
      <c r="A10097" s="10" t="s">
        <v>44747</v>
      </c>
      <c r="B10097" s="10" t="str">
        <f>"9789463008884"</f>
        <v>9789463008884</v>
      </c>
      <c r="C10097" s="10" t="str">
        <f>"9789463008907"</f>
        <v>9789463008907</v>
      </c>
      <c r="D10097" s="10" t="s">
        <v>8564</v>
      </c>
      <c r="E10097" s="10" t="s">
        <v>8565</v>
      </c>
      <c r="F10097" s="10" t="s">
        <v>1420</v>
      </c>
      <c r="G10097" s="10" t="s">
        <v>6317</v>
      </c>
      <c r="H10097" s="11">
        <v>42743</v>
      </c>
      <c r="I10097" s="10">
        <v>2017</v>
      </c>
      <c r="J10097" s="10" t="s">
        <v>33259</v>
      </c>
      <c r="K10097" s="10">
        <v>131</v>
      </c>
      <c r="L10097" s="10" t="s">
        <v>44748</v>
      </c>
      <c r="M10097" s="10">
        <v>1</v>
      </c>
      <c r="N10097" s="10"/>
      <c r="O10097" s="10"/>
      <c r="P10097" s="10" t="s">
        <v>19534</v>
      </c>
      <c r="Q10097" s="10"/>
      <c r="R10097" s="10" t="s">
        <v>44749</v>
      </c>
      <c r="S10097" s="10" t="s">
        <v>53</v>
      </c>
      <c r="T10097" s="10" t="s">
        <v>54</v>
      </c>
    </row>
    <row r="10098" spans="1:20" ht="14.5" x14ac:dyDescent="0.35">
      <c r="A10098" s="10" t="s">
        <v>44750</v>
      </c>
      <c r="B10098" s="10" t="str">
        <f>"9789463009157"</f>
        <v>9789463009157</v>
      </c>
      <c r="C10098" s="10" t="str">
        <f>"9789463009171"</f>
        <v>9789463009171</v>
      </c>
      <c r="D10098" s="10" t="s">
        <v>8564</v>
      </c>
      <c r="E10098" s="10" t="s">
        <v>8565</v>
      </c>
      <c r="F10098" s="10" t="s">
        <v>206</v>
      </c>
      <c r="G10098" s="10" t="s">
        <v>9233</v>
      </c>
      <c r="H10098" s="11">
        <v>42736</v>
      </c>
      <c r="I10098" s="10">
        <v>2017</v>
      </c>
      <c r="J10098" s="10" t="s">
        <v>33259</v>
      </c>
      <c r="K10098" s="10">
        <v>282</v>
      </c>
      <c r="L10098" s="10" t="s">
        <v>33728</v>
      </c>
      <c r="M10098" s="10">
        <v>1</v>
      </c>
      <c r="N10098" s="10"/>
      <c r="O10098" s="10"/>
      <c r="P10098" s="10" t="s">
        <v>19534</v>
      </c>
      <c r="Q10098" s="10">
        <v>370.71100000000001</v>
      </c>
      <c r="R10098" s="10" t="s">
        <v>33352</v>
      </c>
      <c r="S10098" s="10" t="s">
        <v>53</v>
      </c>
      <c r="T10098" s="10" t="s">
        <v>54</v>
      </c>
    </row>
    <row r="10099" spans="1:20" ht="14.5" x14ac:dyDescent="0.35">
      <c r="A10099" s="10" t="s">
        <v>44751</v>
      </c>
      <c r="B10099" s="10" t="str">
        <f>"9781475834093"</f>
        <v>9781475834093</v>
      </c>
      <c r="C10099" s="10" t="str">
        <f>"9781475834116"</f>
        <v>9781475834116</v>
      </c>
      <c r="D10099" s="10" t="s">
        <v>9752</v>
      </c>
      <c r="E10099" s="10" t="s">
        <v>15187</v>
      </c>
      <c r="F10099" s="10" t="s">
        <v>9754</v>
      </c>
      <c r="G10099" s="10" t="s">
        <v>6317</v>
      </c>
      <c r="H10099" s="11">
        <v>42768</v>
      </c>
      <c r="I10099" s="10">
        <v>2017</v>
      </c>
      <c r="J10099" s="10" t="s">
        <v>15187</v>
      </c>
      <c r="K10099" s="10">
        <v>143</v>
      </c>
      <c r="L10099" s="10" t="s">
        <v>44752</v>
      </c>
      <c r="M10099" s="10">
        <v>1</v>
      </c>
      <c r="N10099" s="10"/>
      <c r="O10099" s="10"/>
      <c r="P10099" s="10" t="s">
        <v>44753</v>
      </c>
      <c r="Q10099" s="10">
        <v>371.9</v>
      </c>
      <c r="R10099" s="10" t="s">
        <v>44754</v>
      </c>
      <c r="S10099" s="10" t="s">
        <v>53</v>
      </c>
      <c r="T10099" s="10" t="s">
        <v>54</v>
      </c>
    </row>
    <row r="10100" spans="1:20" ht="14.5" x14ac:dyDescent="0.35">
      <c r="A10100" s="10" t="s">
        <v>44755</v>
      </c>
      <c r="B10100" s="10" t="str">
        <f>"9781475833256"</f>
        <v>9781475833256</v>
      </c>
      <c r="C10100" s="10" t="str">
        <f>"9781475833263"</f>
        <v>9781475833263</v>
      </c>
      <c r="D10100" s="10" t="s">
        <v>9752</v>
      </c>
      <c r="E10100" s="10" t="s">
        <v>15187</v>
      </c>
      <c r="F10100" s="10" t="s">
        <v>9754</v>
      </c>
      <c r="G10100" s="10" t="s">
        <v>6317</v>
      </c>
      <c r="H10100" s="11">
        <v>42815</v>
      </c>
      <c r="I10100" s="10">
        <v>2017</v>
      </c>
      <c r="J10100" s="10" t="s">
        <v>15187</v>
      </c>
      <c r="K10100" s="10">
        <v>194</v>
      </c>
      <c r="L10100" s="10" t="s">
        <v>44756</v>
      </c>
      <c r="M10100" s="10">
        <v>1</v>
      </c>
      <c r="N10100" s="10"/>
      <c r="O10100" s="10"/>
      <c r="P10100" s="10" t="s">
        <v>44757</v>
      </c>
      <c r="Q10100" s="10"/>
      <c r="R10100" s="10" t="s">
        <v>44758</v>
      </c>
      <c r="S10100" s="10" t="s">
        <v>53</v>
      </c>
      <c r="T10100" s="10" t="s">
        <v>54</v>
      </c>
    </row>
    <row r="10101" spans="1:20" ht="14.5" x14ac:dyDescent="0.35">
      <c r="A10101" s="10" t="s">
        <v>44759</v>
      </c>
      <c r="B10101" s="10" t="str">
        <f>"9781787143593"</f>
        <v>9781787143593</v>
      </c>
      <c r="C10101" s="10" t="str">
        <f>"9781787143609"</f>
        <v>9781787143609</v>
      </c>
      <c r="D10101" s="10" t="s">
        <v>8699</v>
      </c>
      <c r="E10101" s="10" t="s">
        <v>8699</v>
      </c>
      <c r="F10101" s="10" t="s">
        <v>41843</v>
      </c>
      <c r="G10101" s="10" t="s">
        <v>6352</v>
      </c>
      <c r="H10101" s="11">
        <v>42761</v>
      </c>
      <c r="I10101" s="10">
        <v>2017</v>
      </c>
      <c r="J10101" s="10" t="s">
        <v>8699</v>
      </c>
      <c r="K10101" s="10">
        <v>85</v>
      </c>
      <c r="L10101" s="10" t="s">
        <v>44760</v>
      </c>
      <c r="M10101" s="10">
        <v>1</v>
      </c>
      <c r="N10101" s="10" t="s">
        <v>4796</v>
      </c>
      <c r="O10101" s="10">
        <v>25</v>
      </c>
      <c r="P10101" s="10" t="s">
        <v>44761</v>
      </c>
      <c r="Q10101" s="10">
        <v>338.92700000000002</v>
      </c>
      <c r="R10101" s="10" t="s">
        <v>44762</v>
      </c>
      <c r="S10101" s="10" t="s">
        <v>53</v>
      </c>
      <c r="T10101" s="10" t="s">
        <v>10311</v>
      </c>
    </row>
    <row r="10102" spans="1:20" ht="14.5" x14ac:dyDescent="0.35">
      <c r="A10102" s="10" t="s">
        <v>44763</v>
      </c>
      <c r="B10102" s="10" t="str">
        <f>"9781787143456"</f>
        <v>9781787143456</v>
      </c>
      <c r="C10102" s="10" t="str">
        <f>"9781787143463"</f>
        <v>9781787143463</v>
      </c>
      <c r="D10102" s="10" t="s">
        <v>8699</v>
      </c>
      <c r="E10102" s="10" t="s">
        <v>8699</v>
      </c>
      <c r="F10102" s="10" t="s">
        <v>41843</v>
      </c>
      <c r="G10102" s="10" t="s">
        <v>6352</v>
      </c>
      <c r="H10102" s="11">
        <v>42761</v>
      </c>
      <c r="I10102" s="10">
        <v>2017</v>
      </c>
      <c r="J10102" s="10" t="s">
        <v>8699</v>
      </c>
      <c r="K10102" s="10">
        <v>125</v>
      </c>
      <c r="L10102" s="10" t="s">
        <v>44764</v>
      </c>
      <c r="M10102" s="10">
        <v>1</v>
      </c>
      <c r="N10102" s="10" t="s">
        <v>5124</v>
      </c>
      <c r="O10102" s="10">
        <v>25</v>
      </c>
      <c r="P10102" s="10" t="s">
        <v>44765</v>
      </c>
      <c r="Q10102" s="10">
        <v>370.11</v>
      </c>
      <c r="R10102" s="10" t="s">
        <v>33517</v>
      </c>
      <c r="S10102" s="10" t="s">
        <v>53</v>
      </c>
      <c r="T10102" s="10" t="s">
        <v>54</v>
      </c>
    </row>
    <row r="10103" spans="1:20" ht="14.5" x14ac:dyDescent="0.35">
      <c r="A10103" s="10" t="s">
        <v>44766</v>
      </c>
      <c r="B10103" s="10" t="str">
        <f>"9781119186342"</f>
        <v>9781119186342</v>
      </c>
      <c r="C10103" s="10" t="str">
        <f>"9781119186724"</f>
        <v>9781119186724</v>
      </c>
      <c r="D10103" s="10" t="s">
        <v>6322</v>
      </c>
      <c r="E10103" s="10" t="s">
        <v>6323</v>
      </c>
      <c r="F10103" s="10" t="s">
        <v>4423</v>
      </c>
      <c r="G10103" s="10" t="s">
        <v>6317</v>
      </c>
      <c r="H10103" s="11">
        <v>42835</v>
      </c>
      <c r="I10103" s="10">
        <v>2017</v>
      </c>
      <c r="J10103" s="10" t="s">
        <v>6324</v>
      </c>
      <c r="K10103" s="10">
        <v>371</v>
      </c>
      <c r="L10103" s="10" t="s">
        <v>44767</v>
      </c>
      <c r="M10103" s="10">
        <v>1</v>
      </c>
      <c r="N10103" s="10"/>
      <c r="O10103" s="10"/>
      <c r="P10103" s="10"/>
      <c r="Q10103" s="10"/>
      <c r="R10103" s="10" t="s">
        <v>18815</v>
      </c>
      <c r="S10103" s="10" t="s">
        <v>53</v>
      </c>
      <c r="T10103" s="10" t="s">
        <v>54</v>
      </c>
    </row>
    <row r="10104" spans="1:20" ht="14.5" x14ac:dyDescent="0.35">
      <c r="A10104" s="10" t="s">
        <v>44768</v>
      </c>
      <c r="B10104" s="10" t="str">
        <f>"9781943874514"</f>
        <v>9781943874514</v>
      </c>
      <c r="C10104" s="10" t="str">
        <f>"9781943874521"</f>
        <v>9781943874521</v>
      </c>
      <c r="D10104" s="10" t="s">
        <v>37580</v>
      </c>
      <c r="E10104" s="10" t="s">
        <v>37581</v>
      </c>
      <c r="F10104" s="10" t="s">
        <v>37623</v>
      </c>
      <c r="G10104" s="10" t="s">
        <v>6317</v>
      </c>
      <c r="H10104" s="11">
        <v>42797</v>
      </c>
      <c r="I10104" s="10">
        <v>2017</v>
      </c>
      <c r="J10104" s="10" t="s">
        <v>37581</v>
      </c>
      <c r="K10104" s="10">
        <v>344</v>
      </c>
      <c r="L10104" s="10" t="s">
        <v>44769</v>
      </c>
      <c r="M10104" s="10">
        <v>1</v>
      </c>
      <c r="N10104" s="10"/>
      <c r="O10104" s="10"/>
      <c r="P10104" s="10" t="s">
        <v>44770</v>
      </c>
      <c r="Q10104" s="10"/>
      <c r="R10104" s="10"/>
      <c r="S10104" s="10" t="s">
        <v>53</v>
      </c>
      <c r="T10104" s="10" t="s">
        <v>54</v>
      </c>
    </row>
    <row r="10105" spans="1:20" ht="14.5" x14ac:dyDescent="0.35">
      <c r="A10105" s="10" t="s">
        <v>44771</v>
      </c>
      <c r="B10105" s="10" t="str">
        <f>"9781119082354"</f>
        <v>9781119082354</v>
      </c>
      <c r="C10105" s="10" t="str">
        <f>"9781119082569"</f>
        <v>9781119082569</v>
      </c>
      <c r="D10105" s="10" t="s">
        <v>6322</v>
      </c>
      <c r="E10105" s="10" t="s">
        <v>6323</v>
      </c>
      <c r="F10105" s="10" t="s">
        <v>4423</v>
      </c>
      <c r="G10105" s="10" t="s">
        <v>6317</v>
      </c>
      <c r="H10105" s="11">
        <v>42856</v>
      </c>
      <c r="I10105" s="10">
        <v>2017</v>
      </c>
      <c r="J10105" s="10" t="s">
        <v>8436</v>
      </c>
      <c r="K10105" s="10">
        <v>586</v>
      </c>
      <c r="L10105" s="10" t="s">
        <v>44772</v>
      </c>
      <c r="M10105" s="10">
        <v>1</v>
      </c>
      <c r="N10105" s="10" t="s">
        <v>41092</v>
      </c>
      <c r="O10105" s="10"/>
      <c r="P10105" s="10"/>
      <c r="Q10105" s="10"/>
      <c r="R10105" s="10" t="s">
        <v>44773</v>
      </c>
      <c r="S10105" s="10" t="s">
        <v>53</v>
      </c>
      <c r="T10105" s="10" t="s">
        <v>54</v>
      </c>
    </row>
    <row r="10106" spans="1:20" ht="14.5" x14ac:dyDescent="0.35">
      <c r="A10106" s="10" t="s">
        <v>44774</v>
      </c>
      <c r="B10106" s="10" t="str">
        <f>"9781119164777"</f>
        <v>9781119164777</v>
      </c>
      <c r="C10106" s="10" t="str">
        <f>"9781119164760"</f>
        <v>9781119164760</v>
      </c>
      <c r="D10106" s="10" t="s">
        <v>6322</v>
      </c>
      <c r="E10106" s="10" t="s">
        <v>6323</v>
      </c>
      <c r="F10106" s="10" t="s">
        <v>4423</v>
      </c>
      <c r="G10106" s="10" t="s">
        <v>6352</v>
      </c>
      <c r="H10106" s="11">
        <v>42863</v>
      </c>
      <c r="I10106" s="10">
        <v>2017</v>
      </c>
      <c r="J10106" s="10" t="s">
        <v>8436</v>
      </c>
      <c r="K10106" s="10">
        <v>442</v>
      </c>
      <c r="L10106" s="10" t="s">
        <v>44775</v>
      </c>
      <c r="M10106" s="10">
        <v>2</v>
      </c>
      <c r="N10106" s="10"/>
      <c r="O10106" s="10"/>
      <c r="P10106" s="10"/>
      <c r="Q10106" s="10" t="s">
        <v>44776</v>
      </c>
      <c r="R10106" s="10" t="s">
        <v>44777</v>
      </c>
      <c r="S10106" s="10" t="s">
        <v>53</v>
      </c>
      <c r="T10106" s="10" t="s">
        <v>31215</v>
      </c>
    </row>
    <row r="10107" spans="1:20" ht="14.5" x14ac:dyDescent="0.35">
      <c r="A10107" s="10" t="s">
        <v>44778</v>
      </c>
      <c r="B10107" s="10" t="str">
        <f>"9781118956687"</f>
        <v>9781118956687</v>
      </c>
      <c r="C10107" s="10" t="str">
        <f>"9781118956694"</f>
        <v>9781118956694</v>
      </c>
      <c r="D10107" s="10" t="s">
        <v>6322</v>
      </c>
      <c r="E10107" s="10" t="s">
        <v>6323</v>
      </c>
      <c r="F10107" s="10" t="s">
        <v>4423</v>
      </c>
      <c r="G10107" s="10" t="s">
        <v>6317</v>
      </c>
      <c r="H10107" s="11">
        <v>42835</v>
      </c>
      <c r="I10107" s="10">
        <v>2017</v>
      </c>
      <c r="J10107" s="10" t="s">
        <v>8436</v>
      </c>
      <c r="K10107" s="10">
        <v>504</v>
      </c>
      <c r="L10107" s="10" t="s">
        <v>44779</v>
      </c>
      <c r="M10107" s="10">
        <v>1</v>
      </c>
      <c r="N10107" s="10" t="s">
        <v>41092</v>
      </c>
      <c r="O10107" s="10"/>
      <c r="P10107" s="10"/>
      <c r="Q10107" s="10"/>
      <c r="R10107" s="10" t="s">
        <v>44292</v>
      </c>
      <c r="S10107" s="10" t="s">
        <v>53</v>
      </c>
      <c r="T10107" s="10" t="s">
        <v>54</v>
      </c>
    </row>
    <row r="10108" spans="1:20" ht="14.5" x14ac:dyDescent="0.35">
      <c r="A10108" s="10" t="s">
        <v>44780</v>
      </c>
      <c r="B10108" s="10" t="str">
        <f>"9781772120066"</f>
        <v>9781772120066</v>
      </c>
      <c r="C10108" s="10" t="str">
        <f>"9781772120349"</f>
        <v>9781772120349</v>
      </c>
      <c r="D10108" s="10" t="s">
        <v>18420</v>
      </c>
      <c r="E10108" s="10" t="s">
        <v>44781</v>
      </c>
      <c r="F10108" s="10" t="s">
        <v>99</v>
      </c>
      <c r="G10108" s="10" t="s">
        <v>9536</v>
      </c>
      <c r="H10108" s="11">
        <v>42016</v>
      </c>
      <c r="I10108" s="10">
        <v>2015</v>
      </c>
      <c r="J10108" s="10" t="s">
        <v>44781</v>
      </c>
      <c r="K10108" s="10">
        <v>559</v>
      </c>
      <c r="L10108" s="10" t="s">
        <v>44782</v>
      </c>
      <c r="M10108" s="10">
        <v>1</v>
      </c>
      <c r="N10108" s="10"/>
      <c r="O10108" s="10"/>
      <c r="P10108" s="10" t="s">
        <v>44783</v>
      </c>
      <c r="Q10108" s="10">
        <v>306.70835</v>
      </c>
      <c r="R10108" s="10" t="s">
        <v>44784</v>
      </c>
      <c r="S10108" s="10" t="s">
        <v>53</v>
      </c>
      <c r="T10108" s="10" t="s">
        <v>6363</v>
      </c>
    </row>
    <row r="10109" spans="1:20" ht="14.5" x14ac:dyDescent="0.35">
      <c r="A10109" s="10" t="s">
        <v>44785</v>
      </c>
      <c r="B10109" s="10" t="str">
        <f>"9781475831092"</f>
        <v>9781475831092</v>
      </c>
      <c r="C10109" s="10" t="str">
        <f>"9781475831139"</f>
        <v>9781475831139</v>
      </c>
      <c r="D10109" s="10" t="s">
        <v>9752</v>
      </c>
      <c r="E10109" s="10" t="s">
        <v>15187</v>
      </c>
      <c r="F10109" s="10" t="s">
        <v>9754</v>
      </c>
      <c r="G10109" s="10" t="s">
        <v>6317</v>
      </c>
      <c r="H10109" s="11">
        <v>42839</v>
      </c>
      <c r="I10109" s="10">
        <v>2017</v>
      </c>
      <c r="J10109" s="10" t="s">
        <v>15187</v>
      </c>
      <c r="K10109" s="10">
        <v>81</v>
      </c>
      <c r="L10109" s="10" t="s">
        <v>44786</v>
      </c>
      <c r="M10109" s="10">
        <v>1</v>
      </c>
      <c r="N10109" s="10"/>
      <c r="O10109" s="10"/>
      <c r="P10109" s="10" t="s">
        <v>44787</v>
      </c>
      <c r="Q10109" s="10">
        <v>428.00709999999998</v>
      </c>
      <c r="R10109" s="10" t="s">
        <v>44788</v>
      </c>
      <c r="S10109" s="10" t="s">
        <v>53</v>
      </c>
      <c r="T10109" s="10" t="s">
        <v>6634</v>
      </c>
    </row>
    <row r="10110" spans="1:20" ht="14.5" x14ac:dyDescent="0.35">
      <c r="A10110" s="10" t="s">
        <v>44789</v>
      </c>
      <c r="B10110" s="10" t="str">
        <f>"9781772120493"</f>
        <v>9781772120493</v>
      </c>
      <c r="C10110" s="10" t="str">
        <f>"9781772120585"</f>
        <v>9781772120585</v>
      </c>
      <c r="D10110" s="10" t="s">
        <v>18420</v>
      </c>
      <c r="E10110" s="10" t="s">
        <v>44790</v>
      </c>
      <c r="F10110" s="10" t="s">
        <v>99</v>
      </c>
      <c r="G10110" s="10" t="s">
        <v>9536</v>
      </c>
      <c r="H10110" s="11">
        <v>42277</v>
      </c>
      <c r="I10110" s="10">
        <v>2015</v>
      </c>
      <c r="J10110" s="10" t="s">
        <v>44790</v>
      </c>
      <c r="K10110" s="10">
        <v>329</v>
      </c>
      <c r="L10110" s="10" t="s">
        <v>44791</v>
      </c>
      <c r="M10110" s="10">
        <v>1</v>
      </c>
      <c r="N10110" s="10"/>
      <c r="O10110" s="10"/>
      <c r="P10110" s="10" t="s">
        <v>44792</v>
      </c>
      <c r="Q10110" s="10"/>
      <c r="R10110" s="10" t="s">
        <v>44793</v>
      </c>
      <c r="S10110" s="10" t="s">
        <v>53</v>
      </c>
      <c r="T10110" s="10" t="s">
        <v>6601</v>
      </c>
    </row>
    <row r="10111" spans="1:20" ht="14.5" x14ac:dyDescent="0.35">
      <c r="A10111" s="10" t="s">
        <v>44794</v>
      </c>
      <c r="B10111" s="10" t="str">
        <f>"9782804160395"</f>
        <v>9782804160395</v>
      </c>
      <c r="C10111" s="10" t="str">
        <f>"9782804169565"</f>
        <v>9782804169565</v>
      </c>
      <c r="D10111" s="10" t="s">
        <v>29172</v>
      </c>
      <c r="E10111" s="10" t="s">
        <v>44795</v>
      </c>
      <c r="F10111" s="10" t="s">
        <v>29181</v>
      </c>
      <c r="G10111" s="10" t="s">
        <v>28737</v>
      </c>
      <c r="H10111" s="11">
        <v>42811</v>
      </c>
      <c r="I10111" s="10">
        <v>2017</v>
      </c>
      <c r="J10111" s="10" t="s">
        <v>44795</v>
      </c>
      <c r="K10111" s="10">
        <v>128</v>
      </c>
      <c r="L10111" s="10" t="s">
        <v>44796</v>
      </c>
      <c r="M10111" s="10">
        <v>1</v>
      </c>
      <c r="N10111" s="10" t="s">
        <v>44797</v>
      </c>
      <c r="O10111" s="10"/>
      <c r="P10111" s="10" t="s">
        <v>44798</v>
      </c>
      <c r="Q10111" s="10">
        <v>371.30279999999999</v>
      </c>
      <c r="R10111" s="10" t="s">
        <v>31569</v>
      </c>
      <c r="S10111" s="10" t="s">
        <v>5404</v>
      </c>
      <c r="T10111" s="10" t="s">
        <v>54</v>
      </c>
    </row>
    <row r="10112" spans="1:20" ht="14.5" x14ac:dyDescent="0.35">
      <c r="A10112" s="10" t="s">
        <v>44799</v>
      </c>
      <c r="B10112" s="10" t="str">
        <f>"9782804160388"</f>
        <v>9782804160388</v>
      </c>
      <c r="C10112" s="10" t="str">
        <f>"9782804168650"</f>
        <v>9782804168650</v>
      </c>
      <c r="D10112" s="10" t="s">
        <v>29172</v>
      </c>
      <c r="E10112" s="10" t="s">
        <v>44795</v>
      </c>
      <c r="F10112" s="10" t="s">
        <v>29181</v>
      </c>
      <c r="G10112" s="10" t="s">
        <v>28737</v>
      </c>
      <c r="H10112" s="11">
        <v>42811</v>
      </c>
      <c r="I10112" s="10">
        <v>2017</v>
      </c>
      <c r="J10112" s="10" t="s">
        <v>44795</v>
      </c>
      <c r="K10112" s="10">
        <v>125</v>
      </c>
      <c r="L10112" s="10" t="s">
        <v>44800</v>
      </c>
      <c r="M10112" s="10">
        <v>1</v>
      </c>
      <c r="N10112" s="10" t="s">
        <v>44797</v>
      </c>
      <c r="O10112" s="10"/>
      <c r="P10112" s="10" t="s">
        <v>44801</v>
      </c>
      <c r="Q10112" s="10">
        <v>371.10199999999998</v>
      </c>
      <c r="R10112" s="10" t="s">
        <v>18927</v>
      </c>
      <c r="S10112" s="10" t="s">
        <v>5404</v>
      </c>
      <c r="T10112" s="10" t="s">
        <v>54</v>
      </c>
    </row>
    <row r="10113" spans="1:20" ht="14.5" x14ac:dyDescent="0.35">
      <c r="A10113" s="10" t="s">
        <v>44802</v>
      </c>
      <c r="B10113" s="10" t="str">
        <f>"9782804160371"</f>
        <v>9782804160371</v>
      </c>
      <c r="C10113" s="10" t="str">
        <f>"9782804168643"</f>
        <v>9782804168643</v>
      </c>
      <c r="D10113" s="10" t="s">
        <v>29172</v>
      </c>
      <c r="E10113" s="10" t="s">
        <v>44795</v>
      </c>
      <c r="F10113" s="10" t="s">
        <v>29181</v>
      </c>
      <c r="G10113" s="10" t="s">
        <v>28737</v>
      </c>
      <c r="H10113" s="11">
        <v>42811</v>
      </c>
      <c r="I10113" s="10">
        <v>2017</v>
      </c>
      <c r="J10113" s="10" t="s">
        <v>44795</v>
      </c>
      <c r="K10113" s="10">
        <v>187</v>
      </c>
      <c r="L10113" s="10" t="s">
        <v>44803</v>
      </c>
      <c r="M10113" s="10">
        <v>1</v>
      </c>
      <c r="N10113" s="10" t="s">
        <v>44797</v>
      </c>
      <c r="O10113" s="10"/>
      <c r="P10113" s="10" t="s">
        <v>44804</v>
      </c>
      <c r="Q10113" s="10">
        <v>373</v>
      </c>
      <c r="R10113" s="10" t="s">
        <v>44445</v>
      </c>
      <c r="S10113" s="10" t="s">
        <v>5404</v>
      </c>
      <c r="T10113" s="10" t="s">
        <v>54</v>
      </c>
    </row>
    <row r="10114" spans="1:20" ht="14.5" x14ac:dyDescent="0.35">
      <c r="A10114" s="10" t="s">
        <v>44805</v>
      </c>
      <c r="B10114" s="10" t="str">
        <f>"9782804164553"</f>
        <v>9782804164553</v>
      </c>
      <c r="C10114" s="10" t="str">
        <f>"9782804169145"</f>
        <v>9782804169145</v>
      </c>
      <c r="D10114" s="10" t="s">
        <v>29172</v>
      </c>
      <c r="E10114" s="10" t="s">
        <v>44795</v>
      </c>
      <c r="F10114" s="10" t="s">
        <v>29181</v>
      </c>
      <c r="G10114" s="10" t="s">
        <v>28737</v>
      </c>
      <c r="H10114" s="11">
        <v>42811</v>
      </c>
      <c r="I10114" s="10">
        <v>2017</v>
      </c>
      <c r="J10114" s="10" t="s">
        <v>44795</v>
      </c>
      <c r="K10114" s="10">
        <v>101</v>
      </c>
      <c r="L10114" s="10" t="s">
        <v>44806</v>
      </c>
      <c r="M10114" s="10">
        <v>1</v>
      </c>
      <c r="N10114" s="10" t="s">
        <v>44797</v>
      </c>
      <c r="O10114" s="10"/>
      <c r="P10114" s="10" t="s">
        <v>44807</v>
      </c>
      <c r="Q10114" s="10">
        <v>372.21</v>
      </c>
      <c r="R10114" s="10" t="s">
        <v>44808</v>
      </c>
      <c r="S10114" s="10" t="s">
        <v>5404</v>
      </c>
      <c r="T10114" s="10" t="s">
        <v>54</v>
      </c>
    </row>
    <row r="10115" spans="1:20" ht="14.5" x14ac:dyDescent="0.35">
      <c r="A10115" s="10" t="s">
        <v>44809</v>
      </c>
      <c r="B10115" s="10" t="str">
        <f>"9782804170370"</f>
        <v>9782804170370</v>
      </c>
      <c r="C10115" s="10" t="str">
        <f>"9782804175252"</f>
        <v>9782804175252</v>
      </c>
      <c r="D10115" s="10" t="s">
        <v>29172</v>
      </c>
      <c r="E10115" s="10" t="s">
        <v>44795</v>
      </c>
      <c r="F10115" s="10" t="s">
        <v>29181</v>
      </c>
      <c r="G10115" s="10" t="s">
        <v>28737</v>
      </c>
      <c r="H10115" s="11">
        <v>42811</v>
      </c>
      <c r="I10115" s="10">
        <v>2017</v>
      </c>
      <c r="J10115" s="10" t="s">
        <v>44795</v>
      </c>
      <c r="K10115" s="10">
        <v>108</v>
      </c>
      <c r="L10115" s="10" t="s">
        <v>44810</v>
      </c>
      <c r="M10115" s="10">
        <v>1</v>
      </c>
      <c r="N10115" s="10" t="s">
        <v>44797</v>
      </c>
      <c r="O10115" s="10"/>
      <c r="P10115" s="10" t="s">
        <v>44811</v>
      </c>
      <c r="Q10115" s="10">
        <v>370.154</v>
      </c>
      <c r="R10115" s="10" t="s">
        <v>22655</v>
      </c>
      <c r="S10115" s="10" t="s">
        <v>5404</v>
      </c>
      <c r="T10115" s="10" t="s">
        <v>54</v>
      </c>
    </row>
    <row r="10116" spans="1:20" ht="14.5" x14ac:dyDescent="0.35">
      <c r="A10116" s="10" t="s">
        <v>44812</v>
      </c>
      <c r="B10116" s="10" t="str">
        <f>"9782804170387"</f>
        <v>9782804170387</v>
      </c>
      <c r="C10116" s="10" t="str">
        <f>"9782804175290"</f>
        <v>9782804175290</v>
      </c>
      <c r="D10116" s="10" t="s">
        <v>29172</v>
      </c>
      <c r="E10116" s="10" t="s">
        <v>44795</v>
      </c>
      <c r="F10116" s="10" t="s">
        <v>29181</v>
      </c>
      <c r="G10116" s="10" t="s">
        <v>28737</v>
      </c>
      <c r="H10116" s="11">
        <v>42811</v>
      </c>
      <c r="I10116" s="10">
        <v>2017</v>
      </c>
      <c r="J10116" s="10" t="s">
        <v>44795</v>
      </c>
      <c r="K10116" s="10">
        <v>147</v>
      </c>
      <c r="L10116" s="10" t="s">
        <v>44813</v>
      </c>
      <c r="M10116" s="10">
        <v>1</v>
      </c>
      <c r="N10116" s="10" t="s">
        <v>44797</v>
      </c>
      <c r="O10116" s="10"/>
      <c r="P10116" s="10" t="s">
        <v>44814</v>
      </c>
      <c r="Q10116" s="10">
        <v>507.1</v>
      </c>
      <c r="R10116" s="10" t="s">
        <v>33559</v>
      </c>
      <c r="S10116" s="10" t="s">
        <v>5404</v>
      </c>
      <c r="T10116" s="10" t="s">
        <v>7193</v>
      </c>
    </row>
    <row r="10117" spans="1:20" ht="14.5" x14ac:dyDescent="0.35">
      <c r="A10117" s="10" t="s">
        <v>44815</v>
      </c>
      <c r="B10117" s="10" t="str">
        <f>"9782804170394"</f>
        <v>9782804170394</v>
      </c>
      <c r="C10117" s="10" t="str">
        <f>"9782804175276"</f>
        <v>9782804175276</v>
      </c>
      <c r="D10117" s="10" t="s">
        <v>29172</v>
      </c>
      <c r="E10117" s="10" t="s">
        <v>44795</v>
      </c>
      <c r="F10117" s="10" t="s">
        <v>29181</v>
      </c>
      <c r="G10117" s="10" t="s">
        <v>28737</v>
      </c>
      <c r="H10117" s="11">
        <v>42811</v>
      </c>
      <c r="I10117" s="10">
        <v>2017</v>
      </c>
      <c r="J10117" s="10" t="s">
        <v>44795</v>
      </c>
      <c r="K10117" s="10">
        <v>123</v>
      </c>
      <c r="L10117" s="10" t="s">
        <v>44816</v>
      </c>
      <c r="M10117" s="10">
        <v>1</v>
      </c>
      <c r="N10117" s="10" t="s">
        <v>44797</v>
      </c>
      <c r="O10117" s="10"/>
      <c r="P10117" s="10" t="s">
        <v>44817</v>
      </c>
      <c r="Q10117" s="10">
        <v>371.90460000000002</v>
      </c>
      <c r="R10117" s="10" t="s">
        <v>18055</v>
      </c>
      <c r="S10117" s="10" t="s">
        <v>5404</v>
      </c>
      <c r="T10117" s="10" t="s">
        <v>54</v>
      </c>
    </row>
    <row r="10118" spans="1:20" ht="14.5" x14ac:dyDescent="0.35">
      <c r="A10118" s="10" t="s">
        <v>44818</v>
      </c>
      <c r="B10118" s="10" t="str">
        <f>"9782804182229"</f>
        <v>9782804182229</v>
      </c>
      <c r="C10118" s="10" t="str">
        <f>"9782804184230"</f>
        <v>9782804184230</v>
      </c>
      <c r="D10118" s="10" t="s">
        <v>29172</v>
      </c>
      <c r="E10118" s="10" t="s">
        <v>44795</v>
      </c>
      <c r="F10118" s="10" t="s">
        <v>29181</v>
      </c>
      <c r="G10118" s="10" t="s">
        <v>28737</v>
      </c>
      <c r="H10118" s="11">
        <v>42811</v>
      </c>
      <c r="I10118" s="10">
        <v>2017</v>
      </c>
      <c r="J10118" s="10" t="s">
        <v>44795</v>
      </c>
      <c r="K10118" s="10">
        <v>134</v>
      </c>
      <c r="L10118" s="10" t="s">
        <v>44819</v>
      </c>
      <c r="M10118" s="10">
        <v>1</v>
      </c>
      <c r="N10118" s="10" t="s">
        <v>44797</v>
      </c>
      <c r="O10118" s="10"/>
      <c r="P10118" s="10" t="s">
        <v>44820</v>
      </c>
      <c r="Q10118" s="10">
        <v>373.18</v>
      </c>
      <c r="R10118" s="10" t="s">
        <v>44821</v>
      </c>
      <c r="S10118" s="10" t="s">
        <v>5404</v>
      </c>
      <c r="T10118" s="10" t="s">
        <v>54</v>
      </c>
    </row>
    <row r="10119" spans="1:20" ht="14.5" x14ac:dyDescent="0.35">
      <c r="A10119" s="10" t="s">
        <v>44822</v>
      </c>
      <c r="B10119" s="10" t="str">
        <f>"9782804182236"</f>
        <v>9782804182236</v>
      </c>
      <c r="C10119" s="10" t="str">
        <f>"9782804184193"</f>
        <v>9782804184193</v>
      </c>
      <c r="D10119" s="10" t="s">
        <v>29172</v>
      </c>
      <c r="E10119" s="10" t="s">
        <v>44795</v>
      </c>
      <c r="F10119" s="10" t="s">
        <v>29181</v>
      </c>
      <c r="G10119" s="10" t="s">
        <v>28737</v>
      </c>
      <c r="H10119" s="11">
        <v>42811</v>
      </c>
      <c r="I10119" s="10">
        <v>2017</v>
      </c>
      <c r="J10119" s="10" t="s">
        <v>44795</v>
      </c>
      <c r="K10119" s="10">
        <v>138</v>
      </c>
      <c r="L10119" s="10" t="s">
        <v>44823</v>
      </c>
      <c r="M10119" s="10">
        <v>1</v>
      </c>
      <c r="N10119" s="10" t="s">
        <v>44797</v>
      </c>
      <c r="O10119" s="10"/>
      <c r="P10119" s="10" t="s">
        <v>44824</v>
      </c>
      <c r="Q10119" s="10">
        <v>370.71100000000001</v>
      </c>
      <c r="R10119" s="10" t="s">
        <v>44825</v>
      </c>
      <c r="S10119" s="10" t="s">
        <v>5404</v>
      </c>
      <c r="T10119" s="10" t="s">
        <v>54</v>
      </c>
    </row>
    <row r="10120" spans="1:20" ht="14.5" x14ac:dyDescent="0.35">
      <c r="A10120" s="10" t="s">
        <v>44826</v>
      </c>
      <c r="B10120" s="10" t="str">
        <f>"9782804182243"</f>
        <v>9782804182243</v>
      </c>
      <c r="C10120" s="10" t="str">
        <f>"9782804184216"</f>
        <v>9782804184216</v>
      </c>
      <c r="D10120" s="10" t="s">
        <v>29172</v>
      </c>
      <c r="E10120" s="10" t="s">
        <v>44795</v>
      </c>
      <c r="F10120" s="10" t="s">
        <v>29181</v>
      </c>
      <c r="G10120" s="10" t="s">
        <v>28737</v>
      </c>
      <c r="H10120" s="11">
        <v>42811</v>
      </c>
      <c r="I10120" s="10">
        <v>2017</v>
      </c>
      <c r="J10120" s="10" t="s">
        <v>44795</v>
      </c>
      <c r="K10120" s="10">
        <v>146</v>
      </c>
      <c r="L10120" s="10" t="s">
        <v>44827</v>
      </c>
      <c r="M10120" s="10">
        <v>1</v>
      </c>
      <c r="N10120" s="10" t="s">
        <v>44797</v>
      </c>
      <c r="O10120" s="10"/>
      <c r="P10120" s="10" t="s">
        <v>44828</v>
      </c>
      <c r="Q10120" s="10"/>
      <c r="R10120" s="10"/>
      <c r="S10120" s="10" t="s">
        <v>5404</v>
      </c>
      <c r="T10120" s="10" t="s">
        <v>54</v>
      </c>
    </row>
    <row r="10121" spans="1:20" ht="14.5" x14ac:dyDescent="0.35">
      <c r="A10121" s="10" t="s">
        <v>44829</v>
      </c>
      <c r="B10121" s="10" t="str">
        <f>"9782804186401"</f>
        <v>9782804186401</v>
      </c>
      <c r="C10121" s="10" t="str">
        <f>"9782804190385"</f>
        <v>9782804190385</v>
      </c>
      <c r="D10121" s="10" t="s">
        <v>29172</v>
      </c>
      <c r="E10121" s="10" t="s">
        <v>44795</v>
      </c>
      <c r="F10121" s="10" t="s">
        <v>29181</v>
      </c>
      <c r="G10121" s="10" t="s">
        <v>28737</v>
      </c>
      <c r="H10121" s="11">
        <v>42811</v>
      </c>
      <c r="I10121" s="10">
        <v>2017</v>
      </c>
      <c r="J10121" s="10" t="s">
        <v>44795</v>
      </c>
      <c r="K10121" s="10">
        <v>157</v>
      </c>
      <c r="L10121" s="10" t="s">
        <v>44830</v>
      </c>
      <c r="M10121" s="10">
        <v>1</v>
      </c>
      <c r="N10121" s="10" t="s">
        <v>44797</v>
      </c>
      <c r="O10121" s="10"/>
      <c r="P10121" s="10" t="s">
        <v>44831</v>
      </c>
      <c r="Q10121" s="10"/>
      <c r="R10121" s="10"/>
      <c r="S10121" s="10" t="s">
        <v>5404</v>
      </c>
      <c r="T10121" s="10" t="s">
        <v>54</v>
      </c>
    </row>
    <row r="10122" spans="1:20" ht="14.5" x14ac:dyDescent="0.35">
      <c r="A10122" s="10" t="s">
        <v>44832</v>
      </c>
      <c r="B10122" s="10" t="str">
        <f>"9782804186913"</f>
        <v>9782804186913</v>
      </c>
      <c r="C10122" s="10" t="str">
        <f>"9782804190354"</f>
        <v>9782804190354</v>
      </c>
      <c r="D10122" s="10" t="s">
        <v>29172</v>
      </c>
      <c r="E10122" s="10" t="s">
        <v>44795</v>
      </c>
      <c r="F10122" s="10" t="s">
        <v>29181</v>
      </c>
      <c r="G10122" s="10" t="s">
        <v>28737</v>
      </c>
      <c r="H10122" s="11">
        <v>42811</v>
      </c>
      <c r="I10122" s="10">
        <v>2017</v>
      </c>
      <c r="J10122" s="10" t="s">
        <v>44795</v>
      </c>
      <c r="K10122" s="10">
        <v>156</v>
      </c>
      <c r="L10122" s="10" t="s">
        <v>44833</v>
      </c>
      <c r="M10122" s="10">
        <v>1</v>
      </c>
      <c r="N10122" s="10" t="s">
        <v>44797</v>
      </c>
      <c r="O10122" s="10"/>
      <c r="P10122" s="10" t="s">
        <v>44834</v>
      </c>
      <c r="Q10122" s="10"/>
      <c r="R10122" s="10"/>
      <c r="S10122" s="10" t="s">
        <v>5404</v>
      </c>
      <c r="T10122" s="10" t="s">
        <v>54</v>
      </c>
    </row>
    <row r="10123" spans="1:20" ht="14.5" x14ac:dyDescent="0.35">
      <c r="A10123" s="10" t="s">
        <v>44835</v>
      </c>
      <c r="B10123" s="10" t="str">
        <f>"9782804193225"</f>
        <v>9782804193225</v>
      </c>
      <c r="C10123" s="10" t="str">
        <f>"9782804193126"</f>
        <v>9782804193126</v>
      </c>
      <c r="D10123" s="10" t="s">
        <v>29172</v>
      </c>
      <c r="E10123" s="10" t="s">
        <v>44795</v>
      </c>
      <c r="F10123" s="10" t="s">
        <v>29181</v>
      </c>
      <c r="G10123" s="10" t="s">
        <v>28737</v>
      </c>
      <c r="H10123" s="11">
        <v>42811</v>
      </c>
      <c r="I10123" s="10">
        <v>2017</v>
      </c>
      <c r="J10123" s="10" t="s">
        <v>44795</v>
      </c>
      <c r="K10123" s="10">
        <v>159</v>
      </c>
      <c r="L10123" s="10" t="s">
        <v>44810</v>
      </c>
      <c r="M10123" s="10">
        <v>1</v>
      </c>
      <c r="N10123" s="10" t="s">
        <v>44797</v>
      </c>
      <c r="O10123" s="10"/>
      <c r="P10123" s="10" t="s">
        <v>44836</v>
      </c>
      <c r="Q10123" s="10"/>
      <c r="R10123" s="10"/>
      <c r="S10123" s="10" t="s">
        <v>5404</v>
      </c>
      <c r="T10123" s="10" t="s">
        <v>54</v>
      </c>
    </row>
    <row r="10124" spans="1:20" ht="14.5" x14ac:dyDescent="0.35">
      <c r="A10124" s="10" t="s">
        <v>44837</v>
      </c>
      <c r="B10124" s="10" t="str">
        <f>"9782804193157"</f>
        <v>9782804193157</v>
      </c>
      <c r="C10124" s="10" t="str">
        <f>"9782804193140"</f>
        <v>9782804193140</v>
      </c>
      <c r="D10124" s="10" t="s">
        <v>29172</v>
      </c>
      <c r="E10124" s="10" t="s">
        <v>44795</v>
      </c>
      <c r="F10124" s="10" t="s">
        <v>29181</v>
      </c>
      <c r="G10124" s="10" t="s">
        <v>28737</v>
      </c>
      <c r="H10124" s="11">
        <v>42811</v>
      </c>
      <c r="I10124" s="10">
        <v>2017</v>
      </c>
      <c r="J10124" s="10" t="s">
        <v>44795</v>
      </c>
      <c r="K10124" s="10">
        <v>157</v>
      </c>
      <c r="L10124" s="10" t="s">
        <v>44838</v>
      </c>
      <c r="M10124" s="10">
        <v>1</v>
      </c>
      <c r="N10124" s="10" t="s">
        <v>44797</v>
      </c>
      <c r="O10124" s="10"/>
      <c r="P10124" s="10" t="s">
        <v>44839</v>
      </c>
      <c r="Q10124" s="10"/>
      <c r="R10124" s="10"/>
      <c r="S10124" s="10" t="s">
        <v>5404</v>
      </c>
      <c r="T10124" s="10" t="s">
        <v>54</v>
      </c>
    </row>
    <row r="10125" spans="1:20" ht="14.5" x14ac:dyDescent="0.35">
      <c r="A10125" s="10" t="s">
        <v>44840</v>
      </c>
      <c r="B10125" s="10" t="str">
        <f>"9782804195274"</f>
        <v>9782804195274</v>
      </c>
      <c r="C10125" s="10" t="str">
        <f>"9782804195281"</f>
        <v>9782804195281</v>
      </c>
      <c r="D10125" s="10" t="s">
        <v>29172</v>
      </c>
      <c r="E10125" s="10" t="s">
        <v>44795</v>
      </c>
      <c r="F10125" s="10" t="s">
        <v>29181</v>
      </c>
      <c r="G10125" s="10" t="s">
        <v>28737</v>
      </c>
      <c r="H10125" s="11">
        <v>42811</v>
      </c>
      <c r="I10125" s="10">
        <v>2017</v>
      </c>
      <c r="J10125" s="10" t="s">
        <v>44795</v>
      </c>
      <c r="K10125" s="10">
        <v>228</v>
      </c>
      <c r="L10125" s="10" t="s">
        <v>44841</v>
      </c>
      <c r="M10125" s="10">
        <v>1</v>
      </c>
      <c r="N10125" s="10" t="s">
        <v>44797</v>
      </c>
      <c r="O10125" s="10"/>
      <c r="P10125" s="10" t="s">
        <v>44842</v>
      </c>
      <c r="Q10125" s="10"/>
      <c r="R10125" s="10"/>
      <c r="S10125" s="10" t="s">
        <v>5404</v>
      </c>
      <c r="T10125" s="10" t="s">
        <v>54</v>
      </c>
    </row>
    <row r="10126" spans="1:20" ht="14.5" x14ac:dyDescent="0.35">
      <c r="A10126" s="10" t="s">
        <v>44843</v>
      </c>
      <c r="B10126" s="10" t="str">
        <f>"9782804195250"</f>
        <v>9782804195250</v>
      </c>
      <c r="C10126" s="10" t="str">
        <f>"9782804195267"</f>
        <v>9782804195267</v>
      </c>
      <c r="D10126" s="10" t="s">
        <v>29172</v>
      </c>
      <c r="E10126" s="10" t="s">
        <v>44795</v>
      </c>
      <c r="F10126" s="10" t="s">
        <v>29181</v>
      </c>
      <c r="G10126" s="10" t="s">
        <v>28737</v>
      </c>
      <c r="H10126" s="11">
        <v>42811</v>
      </c>
      <c r="I10126" s="10">
        <v>2017</v>
      </c>
      <c r="J10126" s="10" t="s">
        <v>44795</v>
      </c>
      <c r="K10126" s="10">
        <v>163</v>
      </c>
      <c r="L10126" s="10" t="s">
        <v>44844</v>
      </c>
      <c r="M10126" s="10">
        <v>1</v>
      </c>
      <c r="N10126" s="10" t="s">
        <v>44797</v>
      </c>
      <c r="O10126" s="10"/>
      <c r="P10126" s="10" t="s">
        <v>44845</v>
      </c>
      <c r="Q10126" s="10"/>
      <c r="R10126" s="10"/>
      <c r="S10126" s="10" t="s">
        <v>5404</v>
      </c>
      <c r="T10126" s="10" t="s">
        <v>54</v>
      </c>
    </row>
    <row r="10127" spans="1:20" ht="14.5" x14ac:dyDescent="0.35">
      <c r="A10127" s="10" t="s">
        <v>44846</v>
      </c>
      <c r="B10127" s="10" t="str">
        <f>"9782804195304"</f>
        <v>9782804195304</v>
      </c>
      <c r="C10127" s="10" t="str">
        <f>"9782804195335"</f>
        <v>9782804195335</v>
      </c>
      <c r="D10127" s="10" t="s">
        <v>29172</v>
      </c>
      <c r="E10127" s="10" t="s">
        <v>44795</v>
      </c>
      <c r="F10127" s="10" t="s">
        <v>29181</v>
      </c>
      <c r="G10127" s="10" t="s">
        <v>28737</v>
      </c>
      <c r="H10127" s="11">
        <v>42811</v>
      </c>
      <c r="I10127" s="10">
        <v>2017</v>
      </c>
      <c r="J10127" s="10" t="s">
        <v>44795</v>
      </c>
      <c r="K10127" s="10">
        <v>166</v>
      </c>
      <c r="L10127" s="10" t="s">
        <v>44847</v>
      </c>
      <c r="M10127" s="10">
        <v>1</v>
      </c>
      <c r="N10127" s="10" t="s">
        <v>44797</v>
      </c>
      <c r="O10127" s="10"/>
      <c r="P10127" s="10" t="s">
        <v>44848</v>
      </c>
      <c r="Q10127" s="10"/>
      <c r="R10127" s="10"/>
      <c r="S10127" s="10" t="s">
        <v>5404</v>
      </c>
      <c r="T10127" s="10" t="s">
        <v>54</v>
      </c>
    </row>
    <row r="10128" spans="1:20" ht="14.5" x14ac:dyDescent="0.35">
      <c r="A10128" s="10" t="s">
        <v>44849</v>
      </c>
      <c r="B10128" s="10" t="str">
        <f>"9782804171391"</f>
        <v>9782804171391</v>
      </c>
      <c r="C10128" s="10" t="str">
        <f>"9782804175207"</f>
        <v>9782804175207</v>
      </c>
      <c r="D10128" s="10" t="s">
        <v>29172</v>
      </c>
      <c r="E10128" s="10" t="s">
        <v>44795</v>
      </c>
      <c r="F10128" s="10" t="s">
        <v>29181</v>
      </c>
      <c r="G10128" s="10" t="s">
        <v>28737</v>
      </c>
      <c r="H10128" s="11">
        <v>42811</v>
      </c>
      <c r="I10128" s="10">
        <v>2017</v>
      </c>
      <c r="J10128" s="10" t="s">
        <v>44795</v>
      </c>
      <c r="K10128" s="10">
        <v>199</v>
      </c>
      <c r="L10128" s="10" t="s">
        <v>44850</v>
      </c>
      <c r="M10128" s="10">
        <v>1</v>
      </c>
      <c r="N10128" s="10" t="s">
        <v>44851</v>
      </c>
      <c r="O10128" s="10"/>
      <c r="P10128" s="10" t="s">
        <v>44852</v>
      </c>
      <c r="Q10128" s="10"/>
      <c r="R10128" s="10"/>
      <c r="S10128" s="10" t="s">
        <v>5404</v>
      </c>
      <c r="T10128" s="10" t="s">
        <v>5557</v>
      </c>
    </row>
    <row r="10129" spans="1:20" ht="14.5" x14ac:dyDescent="0.35">
      <c r="A10129" s="10" t="s">
        <v>44853</v>
      </c>
      <c r="B10129" s="10" t="str">
        <f>"9782804195816"</f>
        <v>9782804195816</v>
      </c>
      <c r="C10129" s="10" t="str">
        <f>"9782804195823"</f>
        <v>9782804195823</v>
      </c>
      <c r="D10129" s="10" t="s">
        <v>29172</v>
      </c>
      <c r="E10129" s="10" t="s">
        <v>44795</v>
      </c>
      <c r="F10129" s="10" t="s">
        <v>29181</v>
      </c>
      <c r="G10129" s="10" t="s">
        <v>28737</v>
      </c>
      <c r="H10129" s="11">
        <v>42811</v>
      </c>
      <c r="I10129" s="10">
        <v>2017</v>
      </c>
      <c r="J10129" s="10" t="s">
        <v>44795</v>
      </c>
      <c r="K10129" s="10">
        <v>173</v>
      </c>
      <c r="L10129" s="10" t="s">
        <v>44854</v>
      </c>
      <c r="M10129" s="10">
        <v>1</v>
      </c>
      <c r="N10129" s="10" t="s">
        <v>44851</v>
      </c>
      <c r="O10129" s="10"/>
      <c r="P10129" s="10" t="s">
        <v>44855</v>
      </c>
      <c r="Q10129" s="10"/>
      <c r="R10129" s="10"/>
      <c r="S10129" s="10" t="s">
        <v>5404</v>
      </c>
      <c r="T10129" s="10" t="s">
        <v>54</v>
      </c>
    </row>
    <row r="10130" spans="1:20" ht="14.5" x14ac:dyDescent="0.35">
      <c r="A10130" s="10" t="s">
        <v>44856</v>
      </c>
      <c r="B10130" s="10" t="str">
        <f>"9782804170349"</f>
        <v>9782804170349</v>
      </c>
      <c r="C10130" s="10" t="str">
        <f>"9782804176341"</f>
        <v>9782804176341</v>
      </c>
      <c r="D10130" s="10" t="s">
        <v>29172</v>
      </c>
      <c r="E10130" s="10" t="s">
        <v>44795</v>
      </c>
      <c r="F10130" s="10" t="s">
        <v>29181</v>
      </c>
      <c r="G10130" s="10" t="s">
        <v>28737</v>
      </c>
      <c r="H10130" s="11">
        <v>42811</v>
      </c>
      <c r="I10130" s="10">
        <v>2017</v>
      </c>
      <c r="J10130" s="10" t="s">
        <v>44795</v>
      </c>
      <c r="K10130" s="10">
        <v>255</v>
      </c>
      <c r="L10130" s="10" t="s">
        <v>44857</v>
      </c>
      <c r="M10130" s="10">
        <v>1</v>
      </c>
      <c r="N10130" s="10" t="s">
        <v>44851</v>
      </c>
      <c r="O10130" s="10"/>
      <c r="P10130" s="10" t="s">
        <v>44858</v>
      </c>
      <c r="Q10130" s="10"/>
      <c r="R10130" s="10"/>
      <c r="S10130" s="10" t="s">
        <v>5404</v>
      </c>
      <c r="T10130" s="10" t="s">
        <v>54</v>
      </c>
    </row>
    <row r="10131" spans="1:20" ht="14.5" x14ac:dyDescent="0.35">
      <c r="A10131" s="10" t="s">
        <v>44859</v>
      </c>
      <c r="B10131" s="10" t="str">
        <f>"9782804182182"</f>
        <v>9782804182182</v>
      </c>
      <c r="C10131" s="10" t="str">
        <f>"9782804185091"</f>
        <v>9782804185091</v>
      </c>
      <c r="D10131" s="10" t="s">
        <v>29172</v>
      </c>
      <c r="E10131" s="10" t="s">
        <v>44795</v>
      </c>
      <c r="F10131" s="10" t="s">
        <v>29181</v>
      </c>
      <c r="G10131" s="10" t="s">
        <v>28737</v>
      </c>
      <c r="H10131" s="11">
        <v>42811</v>
      </c>
      <c r="I10131" s="10">
        <v>2017</v>
      </c>
      <c r="J10131" s="10" t="s">
        <v>44795</v>
      </c>
      <c r="K10131" s="10">
        <v>292</v>
      </c>
      <c r="L10131" s="10" t="s">
        <v>44860</v>
      </c>
      <c r="M10131" s="10">
        <v>1</v>
      </c>
      <c r="N10131" s="10" t="s">
        <v>44851</v>
      </c>
      <c r="O10131" s="10"/>
      <c r="P10131" s="10" t="s">
        <v>44861</v>
      </c>
      <c r="Q10131" s="10">
        <v>372.47</v>
      </c>
      <c r="R10131" s="10" t="s">
        <v>44862</v>
      </c>
      <c r="S10131" s="10" t="s">
        <v>5404</v>
      </c>
      <c r="T10131" s="10" t="s">
        <v>54</v>
      </c>
    </row>
    <row r="10132" spans="1:20" ht="14.5" x14ac:dyDescent="0.35">
      <c r="A10132" s="10" t="s">
        <v>44863</v>
      </c>
      <c r="B10132" s="10" t="str">
        <f>"9782804186371"</f>
        <v>9782804186371</v>
      </c>
      <c r="C10132" s="10" t="str">
        <f>"9782804186500"</f>
        <v>9782804186500</v>
      </c>
      <c r="D10132" s="10" t="s">
        <v>29172</v>
      </c>
      <c r="E10132" s="10" t="s">
        <v>44795</v>
      </c>
      <c r="F10132" s="10" t="s">
        <v>29181</v>
      </c>
      <c r="G10132" s="10" t="s">
        <v>28737</v>
      </c>
      <c r="H10132" s="11">
        <v>42811</v>
      </c>
      <c r="I10132" s="10">
        <v>2017</v>
      </c>
      <c r="J10132" s="10" t="s">
        <v>44795</v>
      </c>
      <c r="K10132" s="10">
        <v>349</v>
      </c>
      <c r="L10132" s="10" t="s">
        <v>44864</v>
      </c>
      <c r="M10132" s="10">
        <v>1</v>
      </c>
      <c r="N10132" s="10" t="s">
        <v>44851</v>
      </c>
      <c r="O10132" s="10"/>
      <c r="P10132" s="10" t="s">
        <v>44865</v>
      </c>
      <c r="Q10132" s="10">
        <v>612.79999999999995</v>
      </c>
      <c r="R10132" s="10" t="s">
        <v>44866</v>
      </c>
      <c r="S10132" s="10" t="s">
        <v>5404</v>
      </c>
      <c r="T10132" s="10" t="s">
        <v>44867</v>
      </c>
    </row>
    <row r="10133" spans="1:20" ht="14.5" x14ac:dyDescent="0.35">
      <c r="A10133" s="10" t="s">
        <v>44868</v>
      </c>
      <c r="B10133" s="10" t="str">
        <f>"9782804182212"</f>
        <v>9782804182212</v>
      </c>
      <c r="C10133" s="10" t="str">
        <f>"9782804183516"</f>
        <v>9782804183516</v>
      </c>
      <c r="D10133" s="10" t="s">
        <v>29172</v>
      </c>
      <c r="E10133" s="10" t="s">
        <v>44795</v>
      </c>
      <c r="F10133" s="10" t="s">
        <v>29181</v>
      </c>
      <c r="G10133" s="10" t="s">
        <v>28737</v>
      </c>
      <c r="H10133" s="11">
        <v>42811</v>
      </c>
      <c r="I10133" s="10">
        <v>2017</v>
      </c>
      <c r="J10133" s="10" t="s">
        <v>44795</v>
      </c>
      <c r="K10133" s="10">
        <v>207</v>
      </c>
      <c r="L10133" s="10" t="s">
        <v>44869</v>
      </c>
      <c r="M10133" s="10">
        <v>1</v>
      </c>
      <c r="N10133" s="10" t="s">
        <v>44851</v>
      </c>
      <c r="O10133" s="10"/>
      <c r="P10133" s="10" t="s">
        <v>44870</v>
      </c>
      <c r="Q10133" s="10"/>
      <c r="R10133" s="10" t="s">
        <v>44871</v>
      </c>
      <c r="S10133" s="10" t="s">
        <v>5404</v>
      </c>
      <c r="T10133" s="10" t="s">
        <v>54</v>
      </c>
    </row>
    <row r="10134" spans="1:20" ht="14.5" x14ac:dyDescent="0.35">
      <c r="A10134" s="10" t="s">
        <v>44872</v>
      </c>
      <c r="B10134" s="10" t="str">
        <f>"9782804182717"</f>
        <v>9782804182717</v>
      </c>
      <c r="C10134" s="10" t="str">
        <f>"9782804183493"</f>
        <v>9782804183493</v>
      </c>
      <c r="D10134" s="10" t="s">
        <v>29172</v>
      </c>
      <c r="E10134" s="10" t="s">
        <v>44795</v>
      </c>
      <c r="F10134" s="10" t="s">
        <v>29181</v>
      </c>
      <c r="G10134" s="10" t="s">
        <v>28737</v>
      </c>
      <c r="H10134" s="11">
        <v>42811</v>
      </c>
      <c r="I10134" s="10">
        <v>2017</v>
      </c>
      <c r="J10134" s="10" t="s">
        <v>44795</v>
      </c>
      <c r="K10134" s="10">
        <v>242</v>
      </c>
      <c r="L10134" s="10" t="s">
        <v>44873</v>
      </c>
      <c r="M10134" s="10">
        <v>1</v>
      </c>
      <c r="N10134" s="10" t="s">
        <v>44874</v>
      </c>
      <c r="O10134" s="10"/>
      <c r="P10134" s="10" t="s">
        <v>44875</v>
      </c>
      <c r="Q10134" s="10">
        <v>507.1</v>
      </c>
      <c r="R10134" s="10" t="s">
        <v>44876</v>
      </c>
      <c r="S10134" s="10" t="s">
        <v>5404</v>
      </c>
      <c r="T10134" s="10" t="s">
        <v>9608</v>
      </c>
    </row>
    <row r="10135" spans="1:20" ht="14.5" x14ac:dyDescent="0.35">
      <c r="A10135" s="10" t="s">
        <v>44877</v>
      </c>
      <c r="B10135" s="10" t="str">
        <f>"9782804168674"</f>
        <v>9782804168674</v>
      </c>
      <c r="C10135" s="10" t="str">
        <f>"9782804169169"</f>
        <v>9782804169169</v>
      </c>
      <c r="D10135" s="10" t="s">
        <v>29172</v>
      </c>
      <c r="E10135" s="10" t="s">
        <v>44795</v>
      </c>
      <c r="F10135" s="10" t="s">
        <v>29181</v>
      </c>
      <c r="G10135" s="10" t="s">
        <v>28737</v>
      </c>
      <c r="H10135" s="11">
        <v>42811</v>
      </c>
      <c r="I10135" s="10">
        <v>2017</v>
      </c>
      <c r="J10135" s="10" t="s">
        <v>44795</v>
      </c>
      <c r="K10135" s="10">
        <v>228</v>
      </c>
      <c r="L10135" s="10" t="s">
        <v>44878</v>
      </c>
      <c r="M10135" s="10">
        <v>1</v>
      </c>
      <c r="N10135" s="10" t="s">
        <v>44874</v>
      </c>
      <c r="O10135" s="10"/>
      <c r="P10135" s="10" t="s">
        <v>44879</v>
      </c>
      <c r="Q10135" s="10">
        <v>418.00709999999998</v>
      </c>
      <c r="R10135" s="10" t="s">
        <v>44880</v>
      </c>
      <c r="S10135" s="10" t="s">
        <v>5404</v>
      </c>
      <c r="T10135" s="10" t="s">
        <v>6616</v>
      </c>
    </row>
    <row r="10136" spans="1:20" ht="14.5" x14ac:dyDescent="0.35">
      <c r="A10136" s="10" t="s">
        <v>44881</v>
      </c>
      <c r="B10136" s="10" t="str">
        <f>"9782804170516"</f>
        <v>9782804170516</v>
      </c>
      <c r="C10136" s="10" t="str">
        <f>"9782804173500"</f>
        <v>9782804173500</v>
      </c>
      <c r="D10136" s="10" t="s">
        <v>29172</v>
      </c>
      <c r="E10136" s="10" t="s">
        <v>44795</v>
      </c>
      <c r="F10136" s="10" t="s">
        <v>29181</v>
      </c>
      <c r="G10136" s="10" t="s">
        <v>28737</v>
      </c>
      <c r="H10136" s="11">
        <v>42811</v>
      </c>
      <c r="I10136" s="10">
        <v>2017</v>
      </c>
      <c r="J10136" s="10" t="s">
        <v>44795</v>
      </c>
      <c r="K10136" s="10">
        <v>355</v>
      </c>
      <c r="L10136" s="10" t="s">
        <v>44882</v>
      </c>
      <c r="M10136" s="10">
        <v>1</v>
      </c>
      <c r="N10136" s="10" t="s">
        <v>44874</v>
      </c>
      <c r="O10136" s="10"/>
      <c r="P10136" s="10" t="s">
        <v>44883</v>
      </c>
      <c r="Q10136" s="10">
        <v>910.71199999999999</v>
      </c>
      <c r="R10136" s="10" t="s">
        <v>44884</v>
      </c>
      <c r="S10136" s="10" t="s">
        <v>5404</v>
      </c>
      <c r="T10136" s="10" t="s">
        <v>12094</v>
      </c>
    </row>
    <row r="10137" spans="1:20" ht="14.5" x14ac:dyDescent="0.35">
      <c r="A10137" s="10" t="s">
        <v>44885</v>
      </c>
      <c r="B10137" s="10" t="str">
        <f>"9781137303011"</f>
        <v>9781137303011</v>
      </c>
      <c r="C10137" s="10" t="str">
        <f>"9781137303028"</f>
        <v>9781137303028</v>
      </c>
      <c r="D10137" s="10" t="s">
        <v>11249</v>
      </c>
      <c r="E10137" s="10" t="s">
        <v>13407</v>
      </c>
      <c r="F10137" s="10" t="s">
        <v>139</v>
      </c>
      <c r="G10137" s="10" t="s">
        <v>6352</v>
      </c>
      <c r="H10137" s="11">
        <v>41610</v>
      </c>
      <c r="I10137" s="10">
        <v>2014</v>
      </c>
      <c r="J10137" s="10" t="s">
        <v>25925</v>
      </c>
      <c r="K10137" s="10">
        <v>134</v>
      </c>
      <c r="L10137" s="10" t="s">
        <v>44886</v>
      </c>
      <c r="M10137" s="10">
        <v>1</v>
      </c>
      <c r="N10137" s="10"/>
      <c r="O10137" s="10"/>
      <c r="P10137" s="10" t="s">
        <v>44887</v>
      </c>
      <c r="Q10137" s="10"/>
      <c r="R10137" s="10" t="s">
        <v>44888</v>
      </c>
      <c r="S10137" s="10" t="s">
        <v>53</v>
      </c>
      <c r="T10137" s="10" t="s">
        <v>6363</v>
      </c>
    </row>
    <row r="10138" spans="1:20" ht="14.5" x14ac:dyDescent="0.35">
      <c r="A10138" s="10" t="s">
        <v>44889</v>
      </c>
      <c r="B10138" s="10" t="str">
        <f>"9781620363836"</f>
        <v>9781620363836</v>
      </c>
      <c r="C10138" s="10" t="str">
        <f>"9781000975192"</f>
        <v>9781000975192</v>
      </c>
      <c r="D10138" s="10" t="s">
        <v>6350</v>
      </c>
      <c r="E10138" s="10" t="s">
        <v>6351</v>
      </c>
      <c r="F10138" s="10" t="s">
        <v>748</v>
      </c>
      <c r="G10138" s="10" t="s">
        <v>6352</v>
      </c>
      <c r="H10138" s="11">
        <v>42579</v>
      </c>
      <c r="I10138" s="10">
        <v>2016</v>
      </c>
      <c r="J10138" s="10" t="s">
        <v>6351</v>
      </c>
      <c r="K10138" s="10">
        <v>308</v>
      </c>
      <c r="L10138" s="10" t="s">
        <v>44890</v>
      </c>
      <c r="M10138" s="10">
        <v>1</v>
      </c>
      <c r="N10138" s="10"/>
      <c r="O10138" s="10"/>
      <c r="P10138" s="10" t="s">
        <v>44891</v>
      </c>
      <c r="Q10138" s="10">
        <v>378.10300000000001</v>
      </c>
      <c r="R10138" s="10" t="s">
        <v>44892</v>
      </c>
      <c r="S10138" s="10" t="s">
        <v>53</v>
      </c>
      <c r="T10138" s="10" t="s">
        <v>54</v>
      </c>
    </row>
    <row r="10139" spans="1:20" ht="14.5" x14ac:dyDescent="0.35">
      <c r="A10139" s="10" t="s">
        <v>44893</v>
      </c>
      <c r="B10139" s="10" t="str">
        <f>"9781553793533"</f>
        <v>9781553793533</v>
      </c>
      <c r="C10139" s="10" t="str">
        <f>"9781553793540"</f>
        <v>9781553793540</v>
      </c>
      <c r="D10139" s="10" t="s">
        <v>9533</v>
      </c>
      <c r="E10139" s="10" t="s">
        <v>44894</v>
      </c>
      <c r="F10139" s="10" t="s">
        <v>25348</v>
      </c>
      <c r="G10139" s="10" t="s">
        <v>6317</v>
      </c>
      <c r="H10139" s="11">
        <v>41096</v>
      </c>
      <c r="I10139" s="10">
        <v>2012</v>
      </c>
      <c r="J10139" s="10" t="s">
        <v>44894</v>
      </c>
      <c r="K10139" s="10">
        <v>233</v>
      </c>
      <c r="L10139" s="10" t="s">
        <v>44895</v>
      </c>
      <c r="M10139" s="10">
        <v>1</v>
      </c>
      <c r="N10139" s="10" t="s">
        <v>44896</v>
      </c>
      <c r="O10139" s="10"/>
      <c r="P10139" s="10" t="s">
        <v>44897</v>
      </c>
      <c r="Q10139" s="10" t="s">
        <v>6576</v>
      </c>
      <c r="R10139" s="10" t="s">
        <v>18055</v>
      </c>
      <c r="S10139" s="10" t="s">
        <v>53</v>
      </c>
      <c r="T10139" s="10" t="s">
        <v>54</v>
      </c>
    </row>
    <row r="10140" spans="1:20" ht="14.5" x14ac:dyDescent="0.35">
      <c r="A10140" s="10" t="s">
        <v>44898</v>
      </c>
      <c r="B10140" s="10" t="str">
        <f>"9781553797050"</f>
        <v>9781553797050</v>
      </c>
      <c r="C10140" s="10" t="str">
        <f>"9781553795704"</f>
        <v>9781553795704</v>
      </c>
      <c r="D10140" s="10" t="s">
        <v>9533</v>
      </c>
      <c r="E10140" s="10" t="s">
        <v>44894</v>
      </c>
      <c r="F10140" s="10" t="s">
        <v>967</v>
      </c>
      <c r="G10140" s="10" t="s">
        <v>9536</v>
      </c>
      <c r="H10140" s="11">
        <v>42795</v>
      </c>
      <c r="I10140" s="10">
        <v>2017</v>
      </c>
      <c r="J10140" s="10" t="s">
        <v>44894</v>
      </c>
      <c r="K10140" s="10">
        <v>36</v>
      </c>
      <c r="L10140" s="10" t="s">
        <v>44899</v>
      </c>
      <c r="M10140" s="10">
        <v>1</v>
      </c>
      <c r="N10140" s="10"/>
      <c r="O10140" s="10"/>
      <c r="P10140" s="10" t="s">
        <v>44900</v>
      </c>
      <c r="Q10140" s="10">
        <v>338.47370970999998</v>
      </c>
      <c r="R10140" s="10" t="s">
        <v>44901</v>
      </c>
      <c r="S10140" s="10" t="s">
        <v>53</v>
      </c>
      <c r="T10140" s="10" t="s">
        <v>14975</v>
      </c>
    </row>
    <row r="10141" spans="1:20" ht="14.5" x14ac:dyDescent="0.35">
      <c r="A10141" s="10" t="s">
        <v>44902</v>
      </c>
      <c r="B10141" s="10" t="str">
        <f>"9781553795377"</f>
        <v>9781553795377</v>
      </c>
      <c r="C10141" s="10" t="str">
        <f>"9781553795384"</f>
        <v>9781553795384</v>
      </c>
      <c r="D10141" s="10" t="s">
        <v>9533</v>
      </c>
      <c r="E10141" s="10" t="s">
        <v>44894</v>
      </c>
      <c r="F10141" s="10" t="s">
        <v>967</v>
      </c>
      <c r="G10141" s="10" t="s">
        <v>6317</v>
      </c>
      <c r="H10141" s="11">
        <v>41933</v>
      </c>
      <c r="I10141" s="10">
        <v>2014</v>
      </c>
      <c r="J10141" s="10" t="s">
        <v>44894</v>
      </c>
      <c r="K10141" s="10">
        <v>69</v>
      </c>
      <c r="L10141" s="10" t="s">
        <v>44903</v>
      </c>
      <c r="M10141" s="10">
        <v>2</v>
      </c>
      <c r="N10141" s="10"/>
      <c r="O10141" s="10"/>
      <c r="P10141" s="10" t="s">
        <v>44904</v>
      </c>
      <c r="Q10141" s="10" t="s">
        <v>38241</v>
      </c>
      <c r="R10141" s="10" t="s">
        <v>44905</v>
      </c>
      <c r="S10141" s="10" t="s">
        <v>53</v>
      </c>
      <c r="T10141" s="10" t="s">
        <v>54</v>
      </c>
    </row>
    <row r="10142" spans="1:20" ht="14.5" x14ac:dyDescent="0.35">
      <c r="A10142" s="10" t="s">
        <v>44906</v>
      </c>
      <c r="B10142" s="10" t="str">
        <f>"9781553796589"</f>
        <v>9781553796589</v>
      </c>
      <c r="C10142" s="10" t="str">
        <f>"9781553796992"</f>
        <v>9781553796992</v>
      </c>
      <c r="D10142" s="10" t="s">
        <v>9533</v>
      </c>
      <c r="E10142" s="10" t="s">
        <v>44894</v>
      </c>
      <c r="F10142" s="10" t="s">
        <v>967</v>
      </c>
      <c r="G10142" s="10" t="s">
        <v>6317</v>
      </c>
      <c r="H10142" s="11">
        <v>42552</v>
      </c>
      <c r="I10142" s="10">
        <v>2016</v>
      </c>
      <c r="J10142" s="10" t="s">
        <v>44894</v>
      </c>
      <c r="K10142" s="10">
        <v>78</v>
      </c>
      <c r="L10142" s="10" t="s">
        <v>44907</v>
      </c>
      <c r="M10142" s="10">
        <v>1</v>
      </c>
      <c r="N10142" s="10" t="s">
        <v>44908</v>
      </c>
      <c r="O10142" s="10">
        <v>1</v>
      </c>
      <c r="P10142" s="10" t="s">
        <v>44909</v>
      </c>
      <c r="Q10142" s="10" t="s">
        <v>6576</v>
      </c>
      <c r="R10142" s="10" t="s">
        <v>18055</v>
      </c>
      <c r="S10142" s="10" t="s">
        <v>53</v>
      </c>
      <c r="T10142" s="10" t="s">
        <v>54</v>
      </c>
    </row>
    <row r="10143" spans="1:20" ht="14.5" x14ac:dyDescent="0.35">
      <c r="A10143" s="10" t="s">
        <v>44910</v>
      </c>
      <c r="B10143" s="10" t="str">
        <f>"9781553796565"</f>
        <v>9781553796565</v>
      </c>
      <c r="C10143" s="10" t="str">
        <f>"9781553796909"</f>
        <v>9781553796909</v>
      </c>
      <c r="D10143" s="10" t="s">
        <v>9533</v>
      </c>
      <c r="E10143" s="10" t="s">
        <v>44894</v>
      </c>
      <c r="F10143" s="10" t="s">
        <v>967</v>
      </c>
      <c r="G10143" s="10" t="s">
        <v>6317</v>
      </c>
      <c r="H10143" s="11">
        <v>42471</v>
      </c>
      <c r="I10143" s="10">
        <v>2016</v>
      </c>
      <c r="J10143" s="10" t="s">
        <v>44894</v>
      </c>
      <c r="K10143" s="10">
        <v>186</v>
      </c>
      <c r="L10143" s="10" t="s">
        <v>44911</v>
      </c>
      <c r="M10143" s="10">
        <v>1</v>
      </c>
      <c r="N10143" s="10"/>
      <c r="O10143" s="10"/>
      <c r="P10143" s="10" t="s">
        <v>44912</v>
      </c>
      <c r="Q10143" s="10">
        <v>372.13</v>
      </c>
      <c r="R10143" s="10" t="s">
        <v>44913</v>
      </c>
      <c r="S10143" s="10" t="s">
        <v>53</v>
      </c>
      <c r="T10143" s="10" t="s">
        <v>54</v>
      </c>
    </row>
    <row r="10144" spans="1:20" ht="14.5" x14ac:dyDescent="0.35">
      <c r="A10144" s="10" t="s">
        <v>44914</v>
      </c>
      <c r="B10144" s="10" t="str">
        <f>"9781620364116"</f>
        <v>9781620364116</v>
      </c>
      <c r="C10144" s="10" t="str">
        <f>"9781000976298"</f>
        <v>9781000976298</v>
      </c>
      <c r="D10144" s="10" t="s">
        <v>6350</v>
      </c>
      <c r="E10144" s="10" t="s">
        <v>6351</v>
      </c>
      <c r="F10144" s="10" t="s">
        <v>14733</v>
      </c>
      <c r="G10144" s="10" t="s">
        <v>6317</v>
      </c>
      <c r="H10144" s="11">
        <v>42523</v>
      </c>
      <c r="I10144" s="10">
        <v>2016</v>
      </c>
      <c r="J10144" s="10" t="s">
        <v>6353</v>
      </c>
      <c r="K10144" s="10">
        <v>191</v>
      </c>
      <c r="L10144" s="10" t="s">
        <v>44915</v>
      </c>
      <c r="M10144" s="10">
        <v>3</v>
      </c>
      <c r="N10144" s="10"/>
      <c r="O10144" s="10"/>
      <c r="P10144" s="10" t="s">
        <v>44916</v>
      </c>
      <c r="Q10144" s="10">
        <v>374</v>
      </c>
      <c r="R10144" s="10" t="s">
        <v>19950</v>
      </c>
      <c r="S10144" s="10" t="s">
        <v>53</v>
      </c>
      <c r="T10144" s="10" t="s">
        <v>54</v>
      </c>
    </row>
    <row r="10145" spans="1:20" ht="14.5" x14ac:dyDescent="0.35">
      <c r="A10145" s="10" t="s">
        <v>44917</v>
      </c>
      <c r="B10145" s="10" t="str">
        <f>"9781620362556"</f>
        <v>9781620362556</v>
      </c>
      <c r="C10145" s="10" t="str">
        <f>"9781000975925"</f>
        <v>9781000975925</v>
      </c>
      <c r="D10145" s="10" t="s">
        <v>6350</v>
      </c>
      <c r="E10145" s="10" t="s">
        <v>6351</v>
      </c>
      <c r="F10145" s="10" t="s">
        <v>748</v>
      </c>
      <c r="G10145" s="10" t="s">
        <v>6352</v>
      </c>
      <c r="H10145" s="11">
        <v>42811</v>
      </c>
      <c r="I10145" s="10">
        <v>2017</v>
      </c>
      <c r="J10145" s="10" t="s">
        <v>6351</v>
      </c>
      <c r="K10145" s="10">
        <v>263</v>
      </c>
      <c r="L10145" s="10" t="s">
        <v>44918</v>
      </c>
      <c r="M10145" s="10">
        <v>1</v>
      </c>
      <c r="N10145" s="10"/>
      <c r="O10145" s="10"/>
      <c r="P10145" s="10" t="s">
        <v>44919</v>
      </c>
      <c r="Q10145" s="10">
        <v>378.161</v>
      </c>
      <c r="R10145" s="10" t="s">
        <v>44920</v>
      </c>
      <c r="S10145" s="10" t="s">
        <v>53</v>
      </c>
      <c r="T10145" s="10" t="s">
        <v>54</v>
      </c>
    </row>
    <row r="10146" spans="1:20" ht="14.5" x14ac:dyDescent="0.35">
      <c r="A10146" s="10" t="s">
        <v>44921</v>
      </c>
      <c r="B10146" s="10" t="str">
        <f>"9781119244561"</f>
        <v>9781119244561</v>
      </c>
      <c r="C10146" s="10" t="str">
        <f>"9781119244585"</f>
        <v>9781119244585</v>
      </c>
      <c r="D10146" s="10" t="s">
        <v>6322</v>
      </c>
      <c r="E10146" s="10" t="s">
        <v>6323</v>
      </c>
      <c r="F10146" s="10" t="s">
        <v>4423</v>
      </c>
      <c r="G10146" s="10" t="s">
        <v>6317</v>
      </c>
      <c r="H10146" s="11">
        <v>42849</v>
      </c>
      <c r="I10146" s="10">
        <v>2017</v>
      </c>
      <c r="J10146" s="10" t="s">
        <v>6324</v>
      </c>
      <c r="K10146" s="10">
        <v>323</v>
      </c>
      <c r="L10146" s="10" t="s">
        <v>44922</v>
      </c>
      <c r="M10146" s="10">
        <v>1</v>
      </c>
      <c r="N10146" s="10"/>
      <c r="O10146" s="10"/>
      <c r="P10146" s="10"/>
      <c r="Q10146" s="10"/>
      <c r="R10146" s="10" t="s">
        <v>44923</v>
      </c>
      <c r="S10146" s="10" t="s">
        <v>53</v>
      </c>
      <c r="T10146" s="10" t="s">
        <v>54</v>
      </c>
    </row>
    <row r="10147" spans="1:20" ht="14.5" x14ac:dyDescent="0.35">
      <c r="A10147" s="10" t="s">
        <v>44924</v>
      </c>
      <c r="B10147" s="10" t="str">
        <f>"9781474294409"</f>
        <v>9781474294409</v>
      </c>
      <c r="C10147" s="10" t="str">
        <f>"9781474294423"</f>
        <v>9781474294423</v>
      </c>
      <c r="D10147" s="10" t="s">
        <v>13959</v>
      </c>
      <c r="E10147" s="10" t="s">
        <v>13960</v>
      </c>
      <c r="F10147" s="10" t="s">
        <v>139</v>
      </c>
      <c r="G10147" s="10" t="s">
        <v>6352</v>
      </c>
      <c r="H10147" s="11">
        <v>42873</v>
      </c>
      <c r="I10147" s="10">
        <v>2017</v>
      </c>
      <c r="J10147" s="10" t="s">
        <v>14057</v>
      </c>
      <c r="K10147" s="10">
        <v>249</v>
      </c>
      <c r="L10147" s="10" t="s">
        <v>44925</v>
      </c>
      <c r="M10147" s="10">
        <v>1</v>
      </c>
      <c r="N10147" s="10"/>
      <c r="O10147" s="10"/>
      <c r="P10147" s="10" t="s">
        <v>44926</v>
      </c>
      <c r="Q10147" s="10">
        <v>428.24070999999998</v>
      </c>
      <c r="R10147" s="10" t="s">
        <v>44927</v>
      </c>
      <c r="S10147" s="10" t="s">
        <v>53</v>
      </c>
      <c r="T10147" s="10" t="s">
        <v>6616</v>
      </c>
    </row>
    <row r="10148" spans="1:20" ht="14.5" x14ac:dyDescent="0.35">
      <c r="A10148" s="10" t="s">
        <v>44928</v>
      </c>
      <c r="B10148" s="10" t="str">
        <f>"9781119328391"</f>
        <v>9781119328391</v>
      </c>
      <c r="C10148" s="10" t="str">
        <f>"9781119329893"</f>
        <v>9781119329893</v>
      </c>
      <c r="D10148" s="10" t="s">
        <v>6322</v>
      </c>
      <c r="E10148" s="10" t="s">
        <v>6323</v>
      </c>
      <c r="F10148" s="10" t="s">
        <v>4423</v>
      </c>
      <c r="G10148" s="10" t="s">
        <v>6317</v>
      </c>
      <c r="H10148" s="11">
        <v>42856</v>
      </c>
      <c r="I10148" s="10">
        <v>2017</v>
      </c>
      <c r="J10148" s="10" t="s">
        <v>6324</v>
      </c>
      <c r="K10148" s="10">
        <v>357</v>
      </c>
      <c r="L10148" s="10" t="s">
        <v>44929</v>
      </c>
      <c r="M10148" s="10">
        <v>4</v>
      </c>
      <c r="N10148" s="10"/>
      <c r="O10148" s="10"/>
      <c r="P10148" s="10"/>
      <c r="Q10148" s="10" t="s">
        <v>44930</v>
      </c>
      <c r="R10148" s="10" t="s">
        <v>44931</v>
      </c>
      <c r="S10148" s="10" t="s">
        <v>53</v>
      </c>
      <c r="T10148" s="10" t="s">
        <v>54</v>
      </c>
    </row>
    <row r="10149" spans="1:20" ht="14.5" x14ac:dyDescent="0.35">
      <c r="A10149" s="10" t="s">
        <v>44932</v>
      </c>
      <c r="B10149" s="10" t="str">
        <f>"9781498289252"</f>
        <v>9781498289252</v>
      </c>
      <c r="C10149" s="10" t="str">
        <f>"9781498289269"</f>
        <v>9781498289269</v>
      </c>
      <c r="D10149" s="10" t="s">
        <v>9533</v>
      </c>
      <c r="E10149" s="10" t="s">
        <v>44933</v>
      </c>
      <c r="F10149" s="10" t="s">
        <v>4092</v>
      </c>
      <c r="G10149" s="10" t="s">
        <v>6317</v>
      </c>
      <c r="H10149" s="11">
        <v>42471</v>
      </c>
      <c r="I10149" s="10">
        <v>2016</v>
      </c>
      <c r="J10149" s="10" t="s">
        <v>44933</v>
      </c>
      <c r="K10149" s="10">
        <v>198</v>
      </c>
      <c r="L10149" s="10" t="s">
        <v>44934</v>
      </c>
      <c r="M10149" s="10">
        <v>1</v>
      </c>
      <c r="N10149" s="10"/>
      <c r="O10149" s="10"/>
      <c r="P10149" s="10" t="s">
        <v>44935</v>
      </c>
      <c r="Q10149" s="10">
        <v>371.82659999999902</v>
      </c>
      <c r="R10149" s="10" t="s">
        <v>44936</v>
      </c>
      <c r="S10149" s="10" t="s">
        <v>53</v>
      </c>
      <c r="T10149" s="10" t="s">
        <v>54</v>
      </c>
    </row>
    <row r="10150" spans="1:20" ht="14.5" x14ac:dyDescent="0.35">
      <c r="A10150" s="10" t="s">
        <v>44937</v>
      </c>
      <c r="B10150" s="10" t="str">
        <f>"9781498281164"</f>
        <v>9781498281164</v>
      </c>
      <c r="C10150" s="10" t="str">
        <f>"9781498281171"</f>
        <v>9781498281171</v>
      </c>
      <c r="D10150" s="10" t="s">
        <v>9533</v>
      </c>
      <c r="E10150" s="10" t="s">
        <v>44933</v>
      </c>
      <c r="F10150" s="10" t="s">
        <v>4092</v>
      </c>
      <c r="G10150" s="10" t="s">
        <v>6317</v>
      </c>
      <c r="H10150" s="11">
        <v>42563</v>
      </c>
      <c r="I10150" s="10">
        <v>2016</v>
      </c>
      <c r="J10150" s="10" t="s">
        <v>44933</v>
      </c>
      <c r="K10150" s="10">
        <v>158</v>
      </c>
      <c r="L10150" s="10" t="s">
        <v>44938</v>
      </c>
      <c r="M10150" s="10">
        <v>1</v>
      </c>
      <c r="N10150" s="10"/>
      <c r="O10150" s="10"/>
      <c r="P10150" s="10" t="s">
        <v>44939</v>
      </c>
      <c r="Q10150" s="10">
        <v>370.97300000000001</v>
      </c>
      <c r="R10150" s="10" t="s">
        <v>41101</v>
      </c>
      <c r="S10150" s="10" t="s">
        <v>53</v>
      </c>
      <c r="T10150" s="10" t="s">
        <v>54</v>
      </c>
    </row>
    <row r="10151" spans="1:20" ht="14.5" x14ac:dyDescent="0.35">
      <c r="A10151" s="10" t="s">
        <v>44940</v>
      </c>
      <c r="B10151" s="10" t="str">
        <f>"9780252040894"</f>
        <v>9780252040894</v>
      </c>
      <c r="C10151" s="10" t="str">
        <f>"9780252099397"</f>
        <v>9780252099397</v>
      </c>
      <c r="D10151" s="10" t="s">
        <v>3194</v>
      </c>
      <c r="E10151" s="10" t="s">
        <v>3194</v>
      </c>
      <c r="F10151" s="10" t="s">
        <v>2200</v>
      </c>
      <c r="G10151" s="10" t="s">
        <v>6317</v>
      </c>
      <c r="H10151" s="11">
        <v>42822</v>
      </c>
      <c r="I10151" s="10">
        <v>2017</v>
      </c>
      <c r="J10151" s="10" t="s">
        <v>3194</v>
      </c>
      <c r="K10151" s="10">
        <v>110</v>
      </c>
      <c r="L10151" s="10" t="s">
        <v>44941</v>
      </c>
      <c r="M10151" s="10">
        <v>1</v>
      </c>
      <c r="N10151" s="10"/>
      <c r="O10151" s="10"/>
      <c r="P10151" s="10" t="s">
        <v>13209</v>
      </c>
      <c r="Q10151" s="10">
        <v>371.3</v>
      </c>
      <c r="R10151" s="10" t="s">
        <v>44942</v>
      </c>
      <c r="S10151" s="10" t="s">
        <v>53</v>
      </c>
      <c r="T10151" s="10" t="s">
        <v>10388</v>
      </c>
    </row>
    <row r="10152" spans="1:20" ht="14.5" x14ac:dyDescent="0.35">
      <c r="A10152" s="10" t="s">
        <v>44943</v>
      </c>
      <c r="B10152" s="10" t="str">
        <f>"9781119301370"</f>
        <v>9781119301370</v>
      </c>
      <c r="C10152" s="10" t="str">
        <f>"9781119301387"</f>
        <v>9781119301387</v>
      </c>
      <c r="D10152" s="10" t="s">
        <v>6322</v>
      </c>
      <c r="E10152" s="10" t="s">
        <v>6323</v>
      </c>
      <c r="F10152" s="10" t="s">
        <v>4423</v>
      </c>
      <c r="G10152" s="10" t="s">
        <v>6317</v>
      </c>
      <c r="H10152" s="11">
        <v>42856</v>
      </c>
      <c r="I10152" s="10">
        <v>2017</v>
      </c>
      <c r="J10152" s="10" t="s">
        <v>6323</v>
      </c>
      <c r="K10152" s="10">
        <v>259</v>
      </c>
      <c r="L10152" s="10" t="s">
        <v>20068</v>
      </c>
      <c r="M10152" s="10">
        <v>1</v>
      </c>
      <c r="N10152" s="10"/>
      <c r="O10152" s="10"/>
      <c r="P10152" s="10" t="s">
        <v>44944</v>
      </c>
      <c r="Q10152" s="10">
        <v>418.40190000000001</v>
      </c>
      <c r="R10152" s="10" t="s">
        <v>24586</v>
      </c>
      <c r="S10152" s="10" t="s">
        <v>53</v>
      </c>
      <c r="T10152" s="10" t="s">
        <v>6498</v>
      </c>
    </row>
    <row r="10153" spans="1:20" ht="14.5" x14ac:dyDescent="0.35">
      <c r="A10153" s="10" t="s">
        <v>44945</v>
      </c>
      <c r="B10153" s="10" t="str">
        <f>"9781557537621"</f>
        <v>9781557537621</v>
      </c>
      <c r="C10153" s="10" t="str">
        <f>"9781612494777"</f>
        <v>9781612494777</v>
      </c>
      <c r="D10153" s="10" t="s">
        <v>9533</v>
      </c>
      <c r="E10153" s="10" t="s">
        <v>4024</v>
      </c>
      <c r="F10153" s="10" t="s">
        <v>31319</v>
      </c>
      <c r="G10153" s="10" t="s">
        <v>6317</v>
      </c>
      <c r="H10153" s="11">
        <v>42689</v>
      </c>
      <c r="I10153" s="10">
        <v>2016</v>
      </c>
      <c r="J10153" s="10" t="s">
        <v>4024</v>
      </c>
      <c r="K10153" s="10">
        <v>277</v>
      </c>
      <c r="L10153" s="10" t="s">
        <v>40144</v>
      </c>
      <c r="M10153" s="10">
        <v>1</v>
      </c>
      <c r="N10153" s="10" t="s">
        <v>40145</v>
      </c>
      <c r="O10153" s="10"/>
      <c r="P10153" s="10" t="s">
        <v>44946</v>
      </c>
      <c r="Q10153" s="10">
        <v>791.45749999999998</v>
      </c>
      <c r="R10153" s="10" t="s">
        <v>40148</v>
      </c>
      <c r="S10153" s="10" t="s">
        <v>53</v>
      </c>
      <c r="T10153" s="10" t="s">
        <v>6384</v>
      </c>
    </row>
    <row r="10154" spans="1:20" ht="14.5" x14ac:dyDescent="0.35">
      <c r="A10154" s="10" t="s">
        <v>44947</v>
      </c>
      <c r="B10154" s="10" t="str">
        <f>"9781897425619"</f>
        <v>9781897425619</v>
      </c>
      <c r="C10154" s="10" t="str">
        <f>"9781897425466"</f>
        <v>9781897425466</v>
      </c>
      <c r="D10154" s="10" t="s">
        <v>17293</v>
      </c>
      <c r="E10154" s="10" t="s">
        <v>17293</v>
      </c>
      <c r="F10154" s="10" t="s">
        <v>99</v>
      </c>
      <c r="G10154" s="10" t="s">
        <v>9536</v>
      </c>
      <c r="H10154" s="11">
        <v>40057</v>
      </c>
      <c r="I10154" s="10">
        <v>2009</v>
      </c>
      <c r="J10154" s="10" t="s">
        <v>17293</v>
      </c>
      <c r="K10154" s="10">
        <v>267</v>
      </c>
      <c r="L10154" s="10" t="s">
        <v>44948</v>
      </c>
      <c r="M10154" s="10">
        <v>1</v>
      </c>
      <c r="N10154" s="10" t="s">
        <v>17295</v>
      </c>
      <c r="O10154" s="10"/>
      <c r="P10154" s="10" t="s">
        <v>44949</v>
      </c>
      <c r="Q10154" s="10" t="s">
        <v>15505</v>
      </c>
      <c r="R10154" s="10" t="s">
        <v>44950</v>
      </c>
      <c r="S10154" s="10" t="s">
        <v>53</v>
      </c>
      <c r="T10154" s="10" t="s">
        <v>54</v>
      </c>
    </row>
    <row r="10155" spans="1:20" ht="14.5" x14ac:dyDescent="0.35">
      <c r="A10155" s="10" t="s">
        <v>44951</v>
      </c>
      <c r="B10155" s="10" t="str">
        <f>"9781927356470"</f>
        <v>9781927356470</v>
      </c>
      <c r="C10155" s="10" t="str">
        <f>"9781927356487"</f>
        <v>9781927356487</v>
      </c>
      <c r="D10155" s="10" t="s">
        <v>17293</v>
      </c>
      <c r="E10155" s="10" t="s">
        <v>17293</v>
      </c>
      <c r="F10155" s="10" t="s">
        <v>99</v>
      </c>
      <c r="G10155" s="10" t="s">
        <v>9536</v>
      </c>
      <c r="H10155" s="11">
        <v>41623</v>
      </c>
      <c r="I10155" s="10">
        <v>2013</v>
      </c>
      <c r="J10155" s="10" t="s">
        <v>17293</v>
      </c>
      <c r="K10155" s="10">
        <v>153</v>
      </c>
      <c r="L10155" s="10" t="s">
        <v>44952</v>
      </c>
      <c r="M10155" s="10">
        <v>1</v>
      </c>
      <c r="N10155" s="10" t="s">
        <v>17295</v>
      </c>
      <c r="O10155" s="10"/>
      <c r="P10155" s="10" t="s">
        <v>44953</v>
      </c>
      <c r="Q10155" s="10">
        <v>371.3</v>
      </c>
      <c r="R10155" s="10" t="s">
        <v>44954</v>
      </c>
      <c r="S10155" s="10" t="s">
        <v>53</v>
      </c>
      <c r="T10155" s="10" t="s">
        <v>54</v>
      </c>
    </row>
    <row r="10156" spans="1:20" ht="14.5" x14ac:dyDescent="0.35">
      <c r="A10156" s="10" t="s">
        <v>44955</v>
      </c>
      <c r="B10156" s="10" t="str">
        <f>"9781138212527"</f>
        <v>9781138212527</v>
      </c>
      <c r="C10156" s="10" t="str">
        <f>"9781315449944"</f>
        <v>9781315449944</v>
      </c>
      <c r="D10156" s="10" t="s">
        <v>6350</v>
      </c>
      <c r="E10156" s="10" t="s">
        <v>6351</v>
      </c>
      <c r="F10156" s="10" t="s">
        <v>139</v>
      </c>
      <c r="G10156" s="10" t="s">
        <v>6352</v>
      </c>
      <c r="H10156" s="11">
        <v>42838</v>
      </c>
      <c r="I10156" s="10">
        <v>2017</v>
      </c>
      <c r="J10156" s="10" t="s">
        <v>6353</v>
      </c>
      <c r="K10156" s="10">
        <v>304</v>
      </c>
      <c r="L10156" s="10" t="s">
        <v>44956</v>
      </c>
      <c r="M10156" s="10">
        <v>1</v>
      </c>
      <c r="N10156" s="10"/>
      <c r="O10156" s="10"/>
      <c r="P10156" s="10" t="s">
        <v>44957</v>
      </c>
      <c r="Q10156" s="10">
        <v>378.101</v>
      </c>
      <c r="R10156" s="10" t="s">
        <v>44958</v>
      </c>
      <c r="S10156" s="10" t="s">
        <v>53</v>
      </c>
      <c r="T10156" s="10" t="s">
        <v>8755</v>
      </c>
    </row>
    <row r="10157" spans="1:20" ht="14.5" x14ac:dyDescent="0.35">
      <c r="A10157" s="10" t="s">
        <v>44959</v>
      </c>
      <c r="B10157" s="10" t="str">
        <f>"9781787144620"</f>
        <v>9781787144620</v>
      </c>
      <c r="C10157" s="10" t="str">
        <f>"9781787144613"</f>
        <v>9781787144613</v>
      </c>
      <c r="D10157" s="10" t="s">
        <v>8699</v>
      </c>
      <c r="E10157" s="10" t="s">
        <v>8699</v>
      </c>
      <c r="F10157" s="10" t="s">
        <v>559</v>
      </c>
      <c r="G10157" s="10" t="s">
        <v>6352</v>
      </c>
      <c r="H10157" s="11">
        <v>42942</v>
      </c>
      <c r="I10157" s="10">
        <v>2017</v>
      </c>
      <c r="J10157" s="10" t="s">
        <v>8699</v>
      </c>
      <c r="K10157" s="10">
        <v>225</v>
      </c>
      <c r="L10157" s="10" t="s">
        <v>44960</v>
      </c>
      <c r="M10157" s="10">
        <v>1</v>
      </c>
      <c r="N10157" s="10" t="s">
        <v>25270</v>
      </c>
      <c r="O10157" s="10">
        <v>6</v>
      </c>
      <c r="P10157" s="10" t="s">
        <v>27907</v>
      </c>
      <c r="Q10157" s="10">
        <v>371.1</v>
      </c>
      <c r="R10157" s="10" t="s">
        <v>44961</v>
      </c>
      <c r="S10157" s="10" t="s">
        <v>53</v>
      </c>
      <c r="T10157" s="10" t="s">
        <v>54</v>
      </c>
    </row>
    <row r="10158" spans="1:20" ht="14.5" x14ac:dyDescent="0.35">
      <c r="A10158" s="10" t="s">
        <v>44962</v>
      </c>
      <c r="B10158" s="10" t="str">
        <f>"9781416623380"</f>
        <v>9781416623380</v>
      </c>
      <c r="C10158" s="10" t="str">
        <f>"9781416623403"</f>
        <v>9781416623403</v>
      </c>
      <c r="D10158" s="10" t="s">
        <v>10014</v>
      </c>
      <c r="E10158" s="10" t="s">
        <v>10015</v>
      </c>
      <c r="F10158" s="10" t="s">
        <v>201</v>
      </c>
      <c r="G10158" s="10" t="s">
        <v>6317</v>
      </c>
      <c r="H10158" s="11">
        <v>42831</v>
      </c>
      <c r="I10158" s="10">
        <v>2017</v>
      </c>
      <c r="J10158" s="10" t="s">
        <v>10015</v>
      </c>
      <c r="K10158" s="10">
        <v>140</v>
      </c>
      <c r="L10158" s="10" t="s">
        <v>28035</v>
      </c>
      <c r="M10158" s="10">
        <v>1</v>
      </c>
      <c r="N10158" s="10"/>
      <c r="O10158" s="10"/>
      <c r="P10158" s="10" t="s">
        <v>44963</v>
      </c>
      <c r="Q10158" s="10">
        <v>371.3</v>
      </c>
      <c r="R10158" s="10" t="s">
        <v>24651</v>
      </c>
      <c r="S10158" s="10" t="s">
        <v>53</v>
      </c>
      <c r="T10158" s="10" t="s">
        <v>54</v>
      </c>
    </row>
    <row r="10159" spans="1:20" ht="14.5" x14ac:dyDescent="0.35">
      <c r="A10159" s="10" t="s">
        <v>44964</v>
      </c>
      <c r="B10159" s="10" t="str">
        <f>"9781927356654"</f>
        <v>9781927356654</v>
      </c>
      <c r="C10159" s="10" t="str">
        <f>"9781927356678"</f>
        <v>9781927356678</v>
      </c>
      <c r="D10159" s="10" t="s">
        <v>17293</v>
      </c>
      <c r="E10159" s="10" t="s">
        <v>17293</v>
      </c>
      <c r="F10159" s="10" t="s">
        <v>99</v>
      </c>
      <c r="G10159" s="10" t="s">
        <v>9536</v>
      </c>
      <c r="H10159" s="11">
        <v>41640</v>
      </c>
      <c r="I10159" s="10">
        <v>2013</v>
      </c>
      <c r="J10159" s="10" t="s">
        <v>17293</v>
      </c>
      <c r="K10159" s="10">
        <v>174</v>
      </c>
      <c r="L10159" s="10" t="s">
        <v>44965</v>
      </c>
      <c r="M10159" s="10">
        <v>1</v>
      </c>
      <c r="N10159" s="10"/>
      <c r="O10159" s="10"/>
      <c r="P10159" s="10" t="s">
        <v>44966</v>
      </c>
      <c r="Q10159" s="10">
        <v>610.71</v>
      </c>
      <c r="R10159" s="10" t="s">
        <v>44967</v>
      </c>
      <c r="S10159" s="10" t="s">
        <v>53</v>
      </c>
      <c r="T10159" s="10" t="s">
        <v>8625</v>
      </c>
    </row>
    <row r="10160" spans="1:20" ht="14.5" x14ac:dyDescent="0.35">
      <c r="A10160" s="10" t="s">
        <v>44968</v>
      </c>
      <c r="B10160" s="10" t="str">
        <f>"9781926836201"</f>
        <v>9781926836201</v>
      </c>
      <c r="C10160" s="10" t="str">
        <f>"9781926836218"</f>
        <v>9781926836218</v>
      </c>
      <c r="D10160" s="10" t="s">
        <v>17293</v>
      </c>
      <c r="E10160" s="10" t="s">
        <v>17293</v>
      </c>
      <c r="F10160" s="10" t="s">
        <v>99</v>
      </c>
      <c r="G10160" s="10" t="s">
        <v>9536</v>
      </c>
      <c r="H10160" s="11">
        <v>40878</v>
      </c>
      <c r="I10160" s="10">
        <v>2011</v>
      </c>
      <c r="J10160" s="10" t="s">
        <v>17293</v>
      </c>
      <c r="K10160" s="10">
        <v>361</v>
      </c>
      <c r="L10160" s="10" t="s">
        <v>44969</v>
      </c>
      <c r="M10160" s="10">
        <v>1</v>
      </c>
      <c r="N10160" s="10" t="s">
        <v>17295</v>
      </c>
      <c r="O10160" s="10"/>
      <c r="P10160" s="10" t="s">
        <v>44970</v>
      </c>
      <c r="Q10160" s="10">
        <v>371.35</v>
      </c>
      <c r="R10160" s="10" t="s">
        <v>32754</v>
      </c>
      <c r="S10160" s="10" t="s">
        <v>53</v>
      </c>
      <c r="T10160" s="10" t="s">
        <v>54</v>
      </c>
    </row>
    <row r="10161" spans="1:20" ht="14.5" x14ac:dyDescent="0.35">
      <c r="A10161" s="10" t="s">
        <v>44971</v>
      </c>
      <c r="B10161" s="10" t="str">
        <f>"9781927356623"</f>
        <v>9781927356623</v>
      </c>
      <c r="C10161" s="10" t="str">
        <f>"9781927356630"</f>
        <v>9781927356630</v>
      </c>
      <c r="D10161" s="10" t="s">
        <v>17293</v>
      </c>
      <c r="E10161" s="10" t="s">
        <v>17293</v>
      </c>
      <c r="F10161" s="10" t="s">
        <v>99</v>
      </c>
      <c r="G10161" s="10" t="s">
        <v>9536</v>
      </c>
      <c r="H10161" s="11">
        <v>41820</v>
      </c>
      <c r="I10161" s="10">
        <v>2014</v>
      </c>
      <c r="J10161" s="10" t="s">
        <v>17293</v>
      </c>
      <c r="K10161" s="10">
        <v>520</v>
      </c>
      <c r="L10161" s="10" t="s">
        <v>44972</v>
      </c>
      <c r="M10161" s="10">
        <v>1</v>
      </c>
      <c r="N10161" s="10" t="s">
        <v>17295</v>
      </c>
      <c r="O10161" s="10"/>
      <c r="P10161" s="10" t="s">
        <v>44973</v>
      </c>
      <c r="Q10161" s="10" t="s">
        <v>44974</v>
      </c>
      <c r="R10161" s="10" t="s">
        <v>44975</v>
      </c>
      <c r="S10161" s="10" t="s">
        <v>53</v>
      </c>
      <c r="T10161" s="10" t="s">
        <v>54</v>
      </c>
    </row>
    <row r="10162" spans="1:20" ht="14.5" x14ac:dyDescent="0.35">
      <c r="A10162" s="10" t="s">
        <v>44976</v>
      </c>
      <c r="B10162" s="10" t="str">
        <f>"9781771991339"</f>
        <v>9781771991339</v>
      </c>
      <c r="C10162" s="10" t="str">
        <f>"9781771991353"</f>
        <v>9781771991353</v>
      </c>
      <c r="D10162" s="10" t="s">
        <v>17293</v>
      </c>
      <c r="E10162" s="10" t="s">
        <v>17293</v>
      </c>
      <c r="F10162" s="10" t="s">
        <v>99</v>
      </c>
      <c r="G10162" s="10" t="s">
        <v>9536</v>
      </c>
      <c r="H10162" s="11">
        <v>42475</v>
      </c>
      <c r="I10162" s="10">
        <v>2016</v>
      </c>
      <c r="J10162" s="10" t="s">
        <v>17293</v>
      </c>
      <c r="K10162" s="10">
        <v>288</v>
      </c>
      <c r="L10162" s="10" t="s">
        <v>44977</v>
      </c>
      <c r="M10162" s="10">
        <v>1</v>
      </c>
      <c r="N10162" s="10" t="s">
        <v>17295</v>
      </c>
      <c r="O10162" s="10"/>
      <c r="P10162" s="10" t="s">
        <v>44978</v>
      </c>
      <c r="Q10162" s="10" t="s">
        <v>44979</v>
      </c>
      <c r="R10162" s="10" t="s">
        <v>44980</v>
      </c>
      <c r="S10162" s="10" t="s">
        <v>53</v>
      </c>
      <c r="T10162" s="10" t="s">
        <v>54</v>
      </c>
    </row>
    <row r="10163" spans="1:20" ht="14.5" x14ac:dyDescent="0.35">
      <c r="A10163" s="10" t="s">
        <v>44981</v>
      </c>
      <c r="B10163" s="10" t="str">
        <f>"9781943874941"</f>
        <v>9781943874941</v>
      </c>
      <c r="C10163" s="10" t="str">
        <f>"9781943874958"</f>
        <v>9781943874958</v>
      </c>
      <c r="D10163" s="10" t="s">
        <v>37580</v>
      </c>
      <c r="E10163" s="10" t="s">
        <v>37581</v>
      </c>
      <c r="F10163" s="10" t="s">
        <v>37623</v>
      </c>
      <c r="G10163" s="10" t="s">
        <v>6317</v>
      </c>
      <c r="H10163" s="11">
        <v>42832</v>
      </c>
      <c r="I10163" s="10">
        <v>2017</v>
      </c>
      <c r="J10163" s="10" t="s">
        <v>37581</v>
      </c>
      <c r="K10163" s="10">
        <v>160</v>
      </c>
      <c r="L10163" s="10" t="s">
        <v>44982</v>
      </c>
      <c r="M10163" s="10">
        <v>1</v>
      </c>
      <c r="N10163" s="10"/>
      <c r="O10163" s="10"/>
      <c r="P10163" s="10"/>
      <c r="Q10163" s="10"/>
      <c r="R10163" s="10" t="s">
        <v>44983</v>
      </c>
      <c r="S10163" s="10" t="s">
        <v>53</v>
      </c>
      <c r="T10163" s="10" t="s">
        <v>54</v>
      </c>
    </row>
    <row r="10164" spans="1:20" ht="14.5" x14ac:dyDescent="0.35">
      <c r="A10164" s="10" t="s">
        <v>44984</v>
      </c>
      <c r="B10164" s="10" t="str">
        <f>""</f>
        <v/>
      </c>
      <c r="C10164" s="10" t="str">
        <f>"9781897425060"</f>
        <v>9781897425060</v>
      </c>
      <c r="D10164" s="10" t="s">
        <v>17293</v>
      </c>
      <c r="E10164" s="10" t="s">
        <v>17293</v>
      </c>
      <c r="F10164" s="10" t="s">
        <v>99</v>
      </c>
      <c r="G10164" s="10" t="s">
        <v>9536</v>
      </c>
      <c r="H10164" s="11">
        <v>39569</v>
      </c>
      <c r="I10164" s="10">
        <v>2008</v>
      </c>
      <c r="J10164" s="10" t="s">
        <v>17293</v>
      </c>
      <c r="K10164" s="10">
        <v>196</v>
      </c>
      <c r="L10164" s="10" t="s">
        <v>44948</v>
      </c>
      <c r="M10164" s="10">
        <v>1</v>
      </c>
      <c r="N10164" s="10"/>
      <c r="O10164" s="10"/>
      <c r="P10164" s="10" t="s">
        <v>44985</v>
      </c>
      <c r="Q10164" s="10"/>
      <c r="R10164" s="10" t="s">
        <v>44986</v>
      </c>
      <c r="S10164" s="10" t="s">
        <v>5404</v>
      </c>
      <c r="T10164" s="10" t="s">
        <v>54</v>
      </c>
    </row>
    <row r="10165" spans="1:20" ht="14.5" x14ac:dyDescent="0.35">
      <c r="A10165" s="10" t="s">
        <v>44987</v>
      </c>
      <c r="B10165" s="10" t="str">
        <f>"9783110516050"</f>
        <v>9783110516050</v>
      </c>
      <c r="C10165" s="10" t="str">
        <f>"9783110519013"</f>
        <v>9783110519013</v>
      </c>
      <c r="D10165" s="10" t="s">
        <v>9995</v>
      </c>
      <c r="E10165" s="10" t="s">
        <v>2515</v>
      </c>
      <c r="F10165" s="10" t="s">
        <v>9997</v>
      </c>
      <c r="G10165" s="10" t="s">
        <v>9998</v>
      </c>
      <c r="H10165" s="11">
        <v>42835</v>
      </c>
      <c r="I10165" s="10">
        <v>2017</v>
      </c>
      <c r="J10165" s="10" t="s">
        <v>2515</v>
      </c>
      <c r="K10165" s="10">
        <v>264</v>
      </c>
      <c r="L10165" s="10" t="s">
        <v>44988</v>
      </c>
      <c r="M10165" s="10">
        <v>1</v>
      </c>
      <c r="N10165" s="10" t="s">
        <v>44989</v>
      </c>
      <c r="O10165" s="10">
        <v>22</v>
      </c>
      <c r="P10165" s="10" t="s">
        <v>44990</v>
      </c>
      <c r="Q10165" s="10"/>
      <c r="R10165" s="10" t="s">
        <v>44991</v>
      </c>
      <c r="S10165" s="10" t="s">
        <v>1519</v>
      </c>
      <c r="T10165" s="10" t="s">
        <v>54</v>
      </c>
    </row>
    <row r="10166" spans="1:20" ht="14.5" x14ac:dyDescent="0.35">
      <c r="A10166" s="10" t="s">
        <v>44992</v>
      </c>
      <c r="B10166" s="10" t="str">
        <f>"9781787147713"</f>
        <v>9781787147713</v>
      </c>
      <c r="C10166" s="10" t="str">
        <f>"9781787147720"</f>
        <v>9781787147720</v>
      </c>
      <c r="D10166" s="10" t="s">
        <v>8699</v>
      </c>
      <c r="E10166" s="10" t="s">
        <v>8699</v>
      </c>
      <c r="F10166" s="10" t="s">
        <v>41843</v>
      </c>
      <c r="G10166" s="10" t="s">
        <v>6352</v>
      </c>
      <c r="H10166" s="11">
        <v>42824</v>
      </c>
      <c r="I10166" s="10">
        <v>2017</v>
      </c>
      <c r="J10166" s="10" t="s">
        <v>8699</v>
      </c>
      <c r="K10166" s="10">
        <v>112</v>
      </c>
      <c r="L10166" s="10" t="s">
        <v>44993</v>
      </c>
      <c r="M10166" s="10">
        <v>1</v>
      </c>
      <c r="N10166" s="10" t="s">
        <v>3582</v>
      </c>
      <c r="O10166" s="10">
        <v>55</v>
      </c>
      <c r="P10166" s="10" t="s">
        <v>44994</v>
      </c>
      <c r="Q10166" s="10">
        <v>658.40920000000006</v>
      </c>
      <c r="R10166" s="10" t="s">
        <v>40404</v>
      </c>
      <c r="S10166" s="10" t="s">
        <v>53</v>
      </c>
      <c r="T10166" s="10" t="s">
        <v>6660</v>
      </c>
    </row>
    <row r="10167" spans="1:20" ht="14.5" x14ac:dyDescent="0.35">
      <c r="A10167" s="10" t="s">
        <v>44995</v>
      </c>
      <c r="B10167" s="10" t="str">
        <f>"9781475807691"</f>
        <v>9781475807691</v>
      </c>
      <c r="C10167" s="10" t="str">
        <f>"9781475807714"</f>
        <v>9781475807714</v>
      </c>
      <c r="D10167" s="10" t="s">
        <v>9752</v>
      </c>
      <c r="E10167" s="10" t="s">
        <v>15187</v>
      </c>
      <c r="F10167" s="10" t="s">
        <v>9754</v>
      </c>
      <c r="G10167" s="10" t="s">
        <v>6317</v>
      </c>
      <c r="H10167" s="11">
        <v>42647</v>
      </c>
      <c r="I10167" s="10">
        <v>2016</v>
      </c>
      <c r="J10167" s="10" t="s">
        <v>15187</v>
      </c>
      <c r="K10167" s="10">
        <v>173</v>
      </c>
      <c r="L10167" s="10" t="s">
        <v>44996</v>
      </c>
      <c r="M10167" s="10">
        <v>1</v>
      </c>
      <c r="N10167" s="10"/>
      <c r="O10167" s="10"/>
      <c r="P10167" s="10" t="s">
        <v>44997</v>
      </c>
      <c r="Q10167" s="10" t="s">
        <v>44998</v>
      </c>
      <c r="R10167" s="10" t="s">
        <v>44999</v>
      </c>
      <c r="S10167" s="10" t="s">
        <v>53</v>
      </c>
      <c r="T10167" s="10" t="s">
        <v>54</v>
      </c>
    </row>
    <row r="10168" spans="1:20" ht="14.5" x14ac:dyDescent="0.35">
      <c r="A10168" s="10" t="s">
        <v>45000</v>
      </c>
      <c r="B10168" s="10" t="str">
        <f>"9789463008013"</f>
        <v>9789463008013</v>
      </c>
      <c r="C10168" s="10" t="str">
        <f>"9789463008037"</f>
        <v>9789463008037</v>
      </c>
      <c r="D10168" s="10" t="s">
        <v>8564</v>
      </c>
      <c r="E10168" s="10" t="s">
        <v>8565</v>
      </c>
      <c r="F10168" s="10" t="s">
        <v>1420</v>
      </c>
      <c r="G10168" s="10" t="s">
        <v>6317</v>
      </c>
      <c r="H10168" s="11">
        <v>42777</v>
      </c>
      <c r="I10168" s="10">
        <v>2017</v>
      </c>
      <c r="J10168" s="10" t="s">
        <v>33259</v>
      </c>
      <c r="K10168" s="10">
        <v>201</v>
      </c>
      <c r="L10168" s="10" t="s">
        <v>45001</v>
      </c>
      <c r="M10168" s="10">
        <v>1</v>
      </c>
      <c r="N10168" s="10" t="s">
        <v>33837</v>
      </c>
      <c r="O10168" s="10">
        <v>5</v>
      </c>
      <c r="P10168" s="10" t="s">
        <v>45002</v>
      </c>
      <c r="Q10168" s="10">
        <v>370.96</v>
      </c>
      <c r="R10168" s="10" t="s">
        <v>45003</v>
      </c>
      <c r="S10168" s="10" t="s">
        <v>53</v>
      </c>
      <c r="T10168" s="10" t="s">
        <v>54</v>
      </c>
    </row>
    <row r="10169" spans="1:20" ht="14.5" x14ac:dyDescent="0.35">
      <c r="A10169" s="10" t="s">
        <v>45004</v>
      </c>
      <c r="B10169" s="10" t="str">
        <f>"9789463009126"</f>
        <v>9789463009126</v>
      </c>
      <c r="C10169" s="10" t="str">
        <f>"9789463009140"</f>
        <v>9789463009140</v>
      </c>
      <c r="D10169" s="10" t="s">
        <v>8564</v>
      </c>
      <c r="E10169" s="10" t="s">
        <v>8565</v>
      </c>
      <c r="F10169" s="10" t="s">
        <v>1420</v>
      </c>
      <c r="G10169" s="10" t="s">
        <v>6317</v>
      </c>
      <c r="H10169" s="11">
        <v>42767</v>
      </c>
      <c r="I10169" s="10">
        <v>2017</v>
      </c>
      <c r="J10169" s="10" t="s">
        <v>33259</v>
      </c>
      <c r="K10169" s="10">
        <v>178</v>
      </c>
      <c r="L10169" s="10" t="s">
        <v>45005</v>
      </c>
      <c r="M10169" s="10">
        <v>1</v>
      </c>
      <c r="N10169" s="10" t="s">
        <v>42335</v>
      </c>
      <c r="O10169" s="10">
        <v>22</v>
      </c>
      <c r="P10169" s="10" t="s">
        <v>45006</v>
      </c>
      <c r="Q10169" s="10">
        <v>371.10199999999998</v>
      </c>
      <c r="R10169" s="10" t="s">
        <v>45007</v>
      </c>
      <c r="S10169" s="10" t="s">
        <v>53</v>
      </c>
      <c r="T10169" s="10" t="s">
        <v>54</v>
      </c>
    </row>
    <row r="10170" spans="1:20" ht="14.5" x14ac:dyDescent="0.35">
      <c r="A10170" s="10" t="s">
        <v>45008</v>
      </c>
      <c r="B10170" s="10" t="str">
        <f>"9789463009423"</f>
        <v>9789463009423</v>
      </c>
      <c r="C10170" s="10" t="str">
        <f>"9789463009447"</f>
        <v>9789463009447</v>
      </c>
      <c r="D10170" s="10" t="s">
        <v>8564</v>
      </c>
      <c r="E10170" s="10" t="s">
        <v>8565</v>
      </c>
      <c r="F10170" s="10" t="s">
        <v>1420</v>
      </c>
      <c r="G10170" s="10" t="s">
        <v>6317</v>
      </c>
      <c r="H10170" s="11">
        <v>42782</v>
      </c>
      <c r="I10170" s="10">
        <v>2017</v>
      </c>
      <c r="J10170" s="10" t="s">
        <v>33259</v>
      </c>
      <c r="K10170" s="10">
        <v>256</v>
      </c>
      <c r="L10170" s="10" t="s">
        <v>45009</v>
      </c>
      <c r="M10170" s="10">
        <v>1</v>
      </c>
      <c r="N10170" s="10" t="s">
        <v>45010</v>
      </c>
      <c r="O10170" s="10">
        <v>7</v>
      </c>
      <c r="P10170" s="10" t="s">
        <v>19534</v>
      </c>
      <c r="Q10170" s="10"/>
      <c r="R10170" s="10" t="s">
        <v>45011</v>
      </c>
      <c r="S10170" s="10" t="s">
        <v>53</v>
      </c>
      <c r="T10170" s="10" t="s">
        <v>54</v>
      </c>
    </row>
    <row r="10171" spans="1:20" ht="14.5" x14ac:dyDescent="0.35">
      <c r="A10171" s="10" t="s">
        <v>45012</v>
      </c>
      <c r="B10171" s="10" t="str">
        <f>"9789463009461"</f>
        <v>9789463009461</v>
      </c>
      <c r="C10171" s="10" t="str">
        <f>"9789463009478"</f>
        <v>9789463009478</v>
      </c>
      <c r="D10171" s="10" t="s">
        <v>8564</v>
      </c>
      <c r="E10171" s="10" t="s">
        <v>8565</v>
      </c>
      <c r="F10171" s="10" t="s">
        <v>1420</v>
      </c>
      <c r="G10171" s="10" t="s">
        <v>6317</v>
      </c>
      <c r="H10171" s="11">
        <v>42781</v>
      </c>
      <c r="I10171" s="10">
        <v>2017</v>
      </c>
      <c r="J10171" s="10" t="s">
        <v>33259</v>
      </c>
      <c r="K10171" s="10">
        <v>395</v>
      </c>
      <c r="L10171" s="10" t="s">
        <v>45013</v>
      </c>
      <c r="M10171" s="10">
        <v>1</v>
      </c>
      <c r="N10171" s="10" t="s">
        <v>44385</v>
      </c>
      <c r="O10171" s="10">
        <v>2</v>
      </c>
      <c r="P10171" s="10" t="s">
        <v>45014</v>
      </c>
      <c r="Q10171" s="10">
        <v>370</v>
      </c>
      <c r="R10171" s="10" t="s">
        <v>45015</v>
      </c>
      <c r="S10171" s="10" t="s">
        <v>53</v>
      </c>
      <c r="T10171" s="10" t="s">
        <v>54</v>
      </c>
    </row>
    <row r="10172" spans="1:20" ht="14.5" x14ac:dyDescent="0.35">
      <c r="A10172" s="10" t="s">
        <v>45016</v>
      </c>
      <c r="B10172" s="10" t="str">
        <f>"9789463009638"</f>
        <v>9789463009638</v>
      </c>
      <c r="C10172" s="10" t="str">
        <f>"9789463009652"</f>
        <v>9789463009652</v>
      </c>
      <c r="D10172" s="10" t="s">
        <v>8564</v>
      </c>
      <c r="E10172" s="10" t="s">
        <v>8565</v>
      </c>
      <c r="F10172" s="10" t="s">
        <v>1420</v>
      </c>
      <c r="G10172" s="10" t="s">
        <v>6317</v>
      </c>
      <c r="H10172" s="11">
        <v>42789</v>
      </c>
      <c r="I10172" s="10">
        <v>2017</v>
      </c>
      <c r="J10172" s="10" t="s">
        <v>33259</v>
      </c>
      <c r="K10172" s="10">
        <v>170</v>
      </c>
      <c r="L10172" s="10" t="s">
        <v>45017</v>
      </c>
      <c r="M10172" s="10">
        <v>1</v>
      </c>
      <c r="N10172" s="10" t="s">
        <v>33332</v>
      </c>
      <c r="O10172" s="10">
        <v>14</v>
      </c>
      <c r="P10172" s="10" t="s">
        <v>19534</v>
      </c>
      <c r="Q10172" s="10"/>
      <c r="R10172" s="10"/>
      <c r="S10172" s="10" t="s">
        <v>53</v>
      </c>
      <c r="T10172" s="10" t="s">
        <v>54</v>
      </c>
    </row>
    <row r="10173" spans="1:20" ht="14.5" x14ac:dyDescent="0.35">
      <c r="A10173" s="10" t="s">
        <v>45018</v>
      </c>
      <c r="B10173" s="10" t="str">
        <f>"9789463009003"</f>
        <v>9789463009003</v>
      </c>
      <c r="C10173" s="10" t="str">
        <f>"9789463009027"</f>
        <v>9789463009027</v>
      </c>
      <c r="D10173" s="10" t="s">
        <v>8564</v>
      </c>
      <c r="E10173" s="10" t="s">
        <v>8565</v>
      </c>
      <c r="F10173" s="10" t="s">
        <v>206</v>
      </c>
      <c r="G10173" s="10" t="s">
        <v>9233</v>
      </c>
      <c r="H10173" s="11">
        <v>42864</v>
      </c>
      <c r="I10173" s="10">
        <v>2017</v>
      </c>
      <c r="J10173" s="10" t="s">
        <v>33259</v>
      </c>
      <c r="K10173" s="10">
        <v>259</v>
      </c>
      <c r="L10173" s="10" t="s">
        <v>45019</v>
      </c>
      <c r="M10173" s="10">
        <v>1</v>
      </c>
      <c r="N10173" s="10"/>
      <c r="O10173" s="10"/>
      <c r="P10173" s="10" t="s">
        <v>19534</v>
      </c>
      <c r="Q10173" s="10">
        <v>370.1</v>
      </c>
      <c r="R10173" s="10" t="s">
        <v>13858</v>
      </c>
      <c r="S10173" s="10" t="s">
        <v>53</v>
      </c>
      <c r="T10173" s="10" t="s">
        <v>54</v>
      </c>
    </row>
    <row r="10174" spans="1:20" ht="14.5" x14ac:dyDescent="0.35">
      <c r="A10174" s="10" t="s">
        <v>45020</v>
      </c>
      <c r="B10174" s="10" t="str">
        <f>"9789463009393"</f>
        <v>9789463009393</v>
      </c>
      <c r="C10174" s="10" t="str">
        <f>"9789463009416"</f>
        <v>9789463009416</v>
      </c>
      <c r="D10174" s="10" t="s">
        <v>8564</v>
      </c>
      <c r="E10174" s="10" t="s">
        <v>8565</v>
      </c>
      <c r="F10174" s="10" t="s">
        <v>206</v>
      </c>
      <c r="G10174" s="10" t="s">
        <v>9233</v>
      </c>
      <c r="H10174" s="11">
        <v>42799</v>
      </c>
      <c r="I10174" s="10">
        <v>2017</v>
      </c>
      <c r="J10174" s="10" t="s">
        <v>33259</v>
      </c>
      <c r="K10174" s="10">
        <v>252</v>
      </c>
      <c r="L10174" s="10" t="s">
        <v>45021</v>
      </c>
      <c r="M10174" s="10">
        <v>1</v>
      </c>
      <c r="N10174" s="10"/>
      <c r="O10174" s="10"/>
      <c r="P10174" s="10" t="s">
        <v>19534</v>
      </c>
      <c r="Q10174" s="10">
        <v>370.15230000000003</v>
      </c>
      <c r="R10174" s="10" t="s">
        <v>42765</v>
      </c>
      <c r="S10174" s="10" t="s">
        <v>53</v>
      </c>
      <c r="T10174" s="10" t="s">
        <v>54</v>
      </c>
    </row>
    <row r="10175" spans="1:20" ht="14.5" x14ac:dyDescent="0.35">
      <c r="A10175" s="10" t="s">
        <v>45022</v>
      </c>
      <c r="B10175" s="10" t="str">
        <f>"9789463009515"</f>
        <v>9789463009515</v>
      </c>
      <c r="C10175" s="10" t="str">
        <f>"9789463009539"</f>
        <v>9789463009539</v>
      </c>
      <c r="D10175" s="10" t="s">
        <v>8564</v>
      </c>
      <c r="E10175" s="10" t="s">
        <v>8565</v>
      </c>
      <c r="F10175" s="10" t="s">
        <v>1420</v>
      </c>
      <c r="G10175" s="10" t="s">
        <v>6317</v>
      </c>
      <c r="H10175" s="11">
        <v>42796</v>
      </c>
      <c r="I10175" s="10">
        <v>2017</v>
      </c>
      <c r="J10175" s="10" t="s">
        <v>33259</v>
      </c>
      <c r="K10175" s="10">
        <v>208</v>
      </c>
      <c r="L10175" s="10" t="s">
        <v>45023</v>
      </c>
      <c r="M10175" s="10">
        <v>1</v>
      </c>
      <c r="N10175" s="10"/>
      <c r="O10175" s="10"/>
      <c r="P10175" s="10"/>
      <c r="Q10175" s="10"/>
      <c r="R10175" s="10" t="s">
        <v>45024</v>
      </c>
      <c r="S10175" s="10" t="s">
        <v>53</v>
      </c>
      <c r="T10175" s="10" t="s">
        <v>54</v>
      </c>
    </row>
    <row r="10176" spans="1:20" ht="14.5" x14ac:dyDescent="0.35">
      <c r="A10176" s="10" t="s">
        <v>45025</v>
      </c>
      <c r="B10176" s="10" t="str">
        <f>"9789463009546"</f>
        <v>9789463009546</v>
      </c>
      <c r="C10176" s="10" t="str">
        <f>"9789463009560"</f>
        <v>9789463009560</v>
      </c>
      <c r="D10176" s="10" t="s">
        <v>8564</v>
      </c>
      <c r="E10176" s="10" t="s">
        <v>8565</v>
      </c>
      <c r="F10176" s="10" t="s">
        <v>1420</v>
      </c>
      <c r="G10176" s="10" t="s">
        <v>6317</v>
      </c>
      <c r="H10176" s="11">
        <v>42810</v>
      </c>
      <c r="I10176" s="10">
        <v>2017</v>
      </c>
      <c r="J10176" s="10" t="s">
        <v>33259</v>
      </c>
      <c r="K10176" s="10">
        <v>265</v>
      </c>
      <c r="L10176" s="10" t="s">
        <v>45026</v>
      </c>
      <c r="M10176" s="10">
        <v>1</v>
      </c>
      <c r="N10176" s="10" t="s">
        <v>45027</v>
      </c>
      <c r="O10176" s="10">
        <v>3</v>
      </c>
      <c r="P10176" s="10" t="s">
        <v>45028</v>
      </c>
      <c r="Q10176" s="10">
        <v>370.1</v>
      </c>
      <c r="R10176" s="10" t="s">
        <v>13858</v>
      </c>
      <c r="S10176" s="10" t="s">
        <v>53</v>
      </c>
      <c r="T10176" s="10" t="s">
        <v>54</v>
      </c>
    </row>
    <row r="10177" spans="1:20" ht="14.5" x14ac:dyDescent="0.35">
      <c r="A10177" s="10" t="s">
        <v>45029</v>
      </c>
      <c r="B10177" s="10" t="str">
        <f>"9789463009607"</f>
        <v>9789463009607</v>
      </c>
      <c r="C10177" s="10" t="str">
        <f>"9789463009621"</f>
        <v>9789463009621</v>
      </c>
      <c r="D10177" s="10" t="s">
        <v>8564</v>
      </c>
      <c r="E10177" s="10" t="s">
        <v>8565</v>
      </c>
      <c r="F10177" s="10" t="s">
        <v>206</v>
      </c>
      <c r="G10177" s="10" t="s">
        <v>9233</v>
      </c>
      <c r="H10177" s="11">
        <v>42799</v>
      </c>
      <c r="I10177" s="10">
        <v>2017</v>
      </c>
      <c r="J10177" s="10" t="s">
        <v>33259</v>
      </c>
      <c r="K10177" s="10">
        <v>278</v>
      </c>
      <c r="L10177" s="10" t="s">
        <v>45030</v>
      </c>
      <c r="M10177" s="10">
        <v>1</v>
      </c>
      <c r="N10177" s="10"/>
      <c r="O10177" s="10"/>
      <c r="P10177" s="10" t="s">
        <v>19534</v>
      </c>
      <c r="Q10177" s="10">
        <v>370.1</v>
      </c>
      <c r="R10177" s="10" t="s">
        <v>13858</v>
      </c>
      <c r="S10177" s="10" t="s">
        <v>53</v>
      </c>
      <c r="T10177" s="10" t="s">
        <v>54</v>
      </c>
    </row>
    <row r="10178" spans="1:20" ht="14.5" x14ac:dyDescent="0.35">
      <c r="A10178" s="10" t="s">
        <v>45031</v>
      </c>
      <c r="B10178" s="10" t="str">
        <f>"9789463009669"</f>
        <v>9789463009669</v>
      </c>
      <c r="C10178" s="10" t="str">
        <f>"9789463009683"</f>
        <v>9789463009683</v>
      </c>
      <c r="D10178" s="10" t="s">
        <v>8564</v>
      </c>
      <c r="E10178" s="10" t="s">
        <v>8565</v>
      </c>
      <c r="F10178" s="10" t="s">
        <v>1420</v>
      </c>
      <c r="G10178" s="10" t="s">
        <v>6317</v>
      </c>
      <c r="H10178" s="11">
        <v>42801</v>
      </c>
      <c r="I10178" s="10">
        <v>2017</v>
      </c>
      <c r="J10178" s="10" t="s">
        <v>33259</v>
      </c>
      <c r="K10178" s="10">
        <v>138</v>
      </c>
      <c r="L10178" s="10" t="s">
        <v>45032</v>
      </c>
      <c r="M10178" s="10">
        <v>1</v>
      </c>
      <c r="N10178" s="10" t="s">
        <v>45033</v>
      </c>
      <c r="O10178" s="10">
        <v>4</v>
      </c>
      <c r="P10178" s="10" t="s">
        <v>45034</v>
      </c>
      <c r="Q10178" s="10">
        <v>370.1</v>
      </c>
      <c r="R10178" s="10" t="s">
        <v>13858</v>
      </c>
      <c r="S10178" s="10" t="s">
        <v>53</v>
      </c>
      <c r="T10178" s="10" t="s">
        <v>54</v>
      </c>
    </row>
    <row r="10179" spans="1:20" ht="14.5" x14ac:dyDescent="0.35">
      <c r="A10179" s="10" t="s">
        <v>45035</v>
      </c>
      <c r="B10179" s="10" t="str">
        <f>"9789463009812"</f>
        <v>9789463009812</v>
      </c>
      <c r="C10179" s="10" t="str">
        <f>"9789463009836"</f>
        <v>9789463009836</v>
      </c>
      <c r="D10179" s="10" t="s">
        <v>8564</v>
      </c>
      <c r="E10179" s="10" t="s">
        <v>8565</v>
      </c>
      <c r="F10179" s="10" t="s">
        <v>206</v>
      </c>
      <c r="G10179" s="10" t="s">
        <v>9233</v>
      </c>
      <c r="H10179" s="11">
        <v>42811</v>
      </c>
      <c r="I10179" s="10">
        <v>2017</v>
      </c>
      <c r="J10179" s="10" t="s">
        <v>33259</v>
      </c>
      <c r="K10179" s="10">
        <v>242</v>
      </c>
      <c r="L10179" s="10" t="s">
        <v>45036</v>
      </c>
      <c r="M10179" s="10">
        <v>1</v>
      </c>
      <c r="N10179" s="10"/>
      <c r="O10179" s="10"/>
      <c r="P10179" s="10" t="s">
        <v>19534</v>
      </c>
      <c r="Q10179" s="10">
        <v>370.1</v>
      </c>
      <c r="R10179" s="10" t="s">
        <v>13858</v>
      </c>
      <c r="S10179" s="10" t="s">
        <v>53</v>
      </c>
      <c r="T10179" s="10" t="s">
        <v>54</v>
      </c>
    </row>
    <row r="10180" spans="1:20" ht="14.5" x14ac:dyDescent="0.35">
      <c r="A10180" s="10" t="s">
        <v>45037</v>
      </c>
      <c r="B10180" s="10" t="str">
        <f>"9789463009843"</f>
        <v>9789463009843</v>
      </c>
      <c r="C10180" s="10" t="str">
        <f>"9789463009867"</f>
        <v>9789463009867</v>
      </c>
      <c r="D10180" s="10" t="s">
        <v>8564</v>
      </c>
      <c r="E10180" s="10" t="s">
        <v>13067</v>
      </c>
      <c r="F10180" s="10" t="s">
        <v>33250</v>
      </c>
      <c r="G10180" s="10" t="s">
        <v>9233</v>
      </c>
      <c r="H10180" s="11">
        <v>42801</v>
      </c>
      <c r="I10180" s="10">
        <v>2017</v>
      </c>
      <c r="J10180" s="10" t="s">
        <v>13067</v>
      </c>
      <c r="K10180" s="10">
        <v>124</v>
      </c>
      <c r="L10180" s="10" t="s">
        <v>45038</v>
      </c>
      <c r="M10180" s="10">
        <v>1</v>
      </c>
      <c r="N10180" s="10"/>
      <c r="O10180" s="10"/>
      <c r="P10180" s="10" t="s">
        <v>19534</v>
      </c>
      <c r="Q10180" s="10"/>
      <c r="R10180" s="10" t="s">
        <v>45039</v>
      </c>
      <c r="S10180" s="10" t="s">
        <v>53</v>
      </c>
      <c r="T10180" s="10" t="s">
        <v>54</v>
      </c>
    </row>
    <row r="10181" spans="1:20" ht="14.5" x14ac:dyDescent="0.35">
      <c r="A10181" s="10" t="s">
        <v>45040</v>
      </c>
      <c r="B10181" s="10" t="str">
        <f>"9789463009935"</f>
        <v>9789463009935</v>
      </c>
      <c r="C10181" s="10" t="str">
        <f>"9789463009959"</f>
        <v>9789463009959</v>
      </c>
      <c r="D10181" s="10" t="s">
        <v>8564</v>
      </c>
      <c r="E10181" s="10" t="s">
        <v>8565</v>
      </c>
      <c r="F10181" s="10" t="s">
        <v>1420</v>
      </c>
      <c r="G10181" s="10" t="s">
        <v>6317</v>
      </c>
      <c r="H10181" s="11">
        <v>42813</v>
      </c>
      <c r="I10181" s="10">
        <v>2017</v>
      </c>
      <c r="J10181" s="10" t="s">
        <v>33259</v>
      </c>
      <c r="K10181" s="10">
        <v>218</v>
      </c>
      <c r="L10181" s="10" t="s">
        <v>45041</v>
      </c>
      <c r="M10181" s="10">
        <v>1</v>
      </c>
      <c r="N10181" s="10" t="s">
        <v>33445</v>
      </c>
      <c r="O10181" s="10">
        <v>12</v>
      </c>
      <c r="P10181" s="10" t="s">
        <v>45042</v>
      </c>
      <c r="Q10181" s="10">
        <v>362.1</v>
      </c>
      <c r="R10181" s="10" t="s">
        <v>45043</v>
      </c>
      <c r="S10181" s="10" t="s">
        <v>53</v>
      </c>
      <c r="T10181" s="10" t="s">
        <v>8368</v>
      </c>
    </row>
    <row r="10182" spans="1:20" ht="14.5" x14ac:dyDescent="0.35">
      <c r="A10182" s="10" t="s">
        <v>45044</v>
      </c>
      <c r="B10182" s="10" t="str">
        <f>"9789463510219"</f>
        <v>9789463510219</v>
      </c>
      <c r="C10182" s="10" t="str">
        <f>"9789463510233"</f>
        <v>9789463510233</v>
      </c>
      <c r="D10182" s="10" t="s">
        <v>8564</v>
      </c>
      <c r="E10182" s="10" t="s">
        <v>8565</v>
      </c>
      <c r="F10182" s="10" t="s">
        <v>1420</v>
      </c>
      <c r="G10182" s="10" t="s">
        <v>6317</v>
      </c>
      <c r="H10182" s="11">
        <v>42812</v>
      </c>
      <c r="I10182" s="10">
        <v>2017</v>
      </c>
      <c r="J10182" s="10" t="s">
        <v>33259</v>
      </c>
      <c r="K10182" s="10">
        <v>156</v>
      </c>
      <c r="L10182" s="10" t="s">
        <v>45045</v>
      </c>
      <c r="M10182" s="10">
        <v>1</v>
      </c>
      <c r="N10182" s="10" t="s">
        <v>33381</v>
      </c>
      <c r="O10182" s="10">
        <v>12</v>
      </c>
      <c r="P10182" s="10" t="s">
        <v>45046</v>
      </c>
      <c r="Q10182" s="10">
        <v>371.10199999999998</v>
      </c>
      <c r="R10182" s="10" t="s">
        <v>45047</v>
      </c>
      <c r="S10182" s="10" t="s">
        <v>53</v>
      </c>
      <c r="T10182" s="10" t="s">
        <v>54</v>
      </c>
    </row>
    <row r="10183" spans="1:20" ht="14.5" x14ac:dyDescent="0.35">
      <c r="A10183" s="10" t="s">
        <v>45048</v>
      </c>
      <c r="B10183" s="10" t="str">
        <f>"9789463510240"</f>
        <v>9789463510240</v>
      </c>
      <c r="C10183" s="10" t="str">
        <f>"9789463510264"</f>
        <v>9789463510264</v>
      </c>
      <c r="D10183" s="10" t="s">
        <v>8564</v>
      </c>
      <c r="E10183" s="10" t="s">
        <v>8565</v>
      </c>
      <c r="F10183" s="10" t="s">
        <v>1420</v>
      </c>
      <c r="G10183" s="10" t="s">
        <v>6317</v>
      </c>
      <c r="H10183" s="11">
        <v>42809</v>
      </c>
      <c r="I10183" s="10">
        <v>2017</v>
      </c>
      <c r="J10183" s="10" t="s">
        <v>33259</v>
      </c>
      <c r="K10183" s="10">
        <v>341</v>
      </c>
      <c r="L10183" s="10" t="s">
        <v>45049</v>
      </c>
      <c r="M10183" s="10">
        <v>1</v>
      </c>
      <c r="N10183" s="10" t="s">
        <v>33268</v>
      </c>
      <c r="O10183" s="10">
        <v>11</v>
      </c>
      <c r="P10183" s="10" t="s">
        <v>45050</v>
      </c>
      <c r="Q10183" s="10">
        <v>370.1</v>
      </c>
      <c r="R10183" s="10" t="s">
        <v>45051</v>
      </c>
      <c r="S10183" s="10" t="s">
        <v>53</v>
      </c>
      <c r="T10183" s="10" t="s">
        <v>54</v>
      </c>
    </row>
    <row r="10184" spans="1:20" ht="14.5" x14ac:dyDescent="0.35">
      <c r="A10184" s="10" t="s">
        <v>45052</v>
      </c>
      <c r="B10184" s="10" t="str">
        <f>"9781119384762"</f>
        <v>9781119384762</v>
      </c>
      <c r="C10184" s="10" t="str">
        <f>"9781119384786"</f>
        <v>9781119384786</v>
      </c>
      <c r="D10184" s="10" t="s">
        <v>6322</v>
      </c>
      <c r="E10184" s="10" t="s">
        <v>6323</v>
      </c>
      <c r="F10184" s="10" t="s">
        <v>4423</v>
      </c>
      <c r="G10184" s="10" t="s">
        <v>6317</v>
      </c>
      <c r="H10184" s="11">
        <v>42842</v>
      </c>
      <c r="I10184" s="10">
        <v>2017</v>
      </c>
      <c r="J10184" s="10" t="s">
        <v>6323</v>
      </c>
      <c r="K10184" s="10">
        <v>358</v>
      </c>
      <c r="L10184" s="10" t="s">
        <v>45053</v>
      </c>
      <c r="M10184" s="10">
        <v>2</v>
      </c>
      <c r="N10184" s="10"/>
      <c r="O10184" s="10"/>
      <c r="P10184" s="10"/>
      <c r="Q10184" s="10"/>
      <c r="R10184" s="10" t="s">
        <v>9403</v>
      </c>
      <c r="S10184" s="10" t="s">
        <v>53</v>
      </c>
      <c r="T10184" s="10" t="s">
        <v>6640</v>
      </c>
    </row>
    <row r="10185" spans="1:20" ht="14.5" x14ac:dyDescent="0.35">
      <c r="A10185" s="10" t="s">
        <v>45054</v>
      </c>
      <c r="B10185" s="10" t="str">
        <f>"9783732902590"</f>
        <v>9783732902590</v>
      </c>
      <c r="C10185" s="10" t="str">
        <f>"9783732996773"</f>
        <v>9783732996773</v>
      </c>
      <c r="D10185" s="10" t="s">
        <v>27189</v>
      </c>
      <c r="E10185" s="10" t="s">
        <v>33245</v>
      </c>
      <c r="F10185" s="10" t="s">
        <v>2925</v>
      </c>
      <c r="G10185" s="10" t="s">
        <v>9998</v>
      </c>
      <c r="H10185" s="11">
        <v>42855</v>
      </c>
      <c r="I10185" s="10">
        <v>2017</v>
      </c>
      <c r="J10185" s="10" t="s">
        <v>33245</v>
      </c>
      <c r="K10185" s="10">
        <v>142</v>
      </c>
      <c r="L10185" s="10" t="s">
        <v>45055</v>
      </c>
      <c r="M10185" s="10"/>
      <c r="N10185" s="10"/>
      <c r="O10185" s="10"/>
      <c r="P10185" s="10" t="s">
        <v>45056</v>
      </c>
      <c r="Q10185" s="10">
        <v>428.00709999999901</v>
      </c>
      <c r="R10185" s="10" t="s">
        <v>32752</v>
      </c>
      <c r="S10185" s="10" t="s">
        <v>53</v>
      </c>
      <c r="T10185" s="10" t="s">
        <v>6634</v>
      </c>
    </row>
    <row r="10186" spans="1:20" ht="14.5" x14ac:dyDescent="0.35">
      <c r="A10186" s="10" t="s">
        <v>45057</v>
      </c>
      <c r="B10186" s="10" t="str">
        <f>""</f>
        <v/>
      </c>
      <c r="C10186" s="10" t="str">
        <f>"9781507106204"</f>
        <v>9781507106204</v>
      </c>
      <c r="D10186" s="10" t="s">
        <v>9215</v>
      </c>
      <c r="E10186" s="10" t="s">
        <v>45058</v>
      </c>
      <c r="F10186" s="10" t="s">
        <v>765</v>
      </c>
      <c r="G10186" s="10" t="s">
        <v>6317</v>
      </c>
      <c r="H10186" s="11">
        <v>42845</v>
      </c>
      <c r="I10186" s="10">
        <v>2017</v>
      </c>
      <c r="J10186" s="10" t="s">
        <v>45058</v>
      </c>
      <c r="K10186" s="10">
        <v>94</v>
      </c>
      <c r="L10186" s="10" t="s">
        <v>45059</v>
      </c>
      <c r="M10186" s="10"/>
      <c r="N10186" s="10"/>
      <c r="O10186" s="10"/>
      <c r="P10186" s="10" t="s">
        <v>45060</v>
      </c>
      <c r="Q10186" s="10">
        <v>599.40418250000005</v>
      </c>
      <c r="R10186" s="10" t="s">
        <v>45061</v>
      </c>
      <c r="S10186" s="10" t="s">
        <v>119</v>
      </c>
      <c r="T10186" s="10" t="s">
        <v>11497</v>
      </c>
    </row>
    <row r="10187" spans="1:20" ht="14.5" x14ac:dyDescent="0.35">
      <c r="A10187" s="10" t="s">
        <v>45062</v>
      </c>
      <c r="B10187" s="10" t="str">
        <f>"9781475833010"</f>
        <v>9781475833010</v>
      </c>
      <c r="C10187" s="10" t="str">
        <f>"9781475833027"</f>
        <v>9781475833027</v>
      </c>
      <c r="D10187" s="10" t="s">
        <v>9752</v>
      </c>
      <c r="E10187" s="10" t="s">
        <v>15187</v>
      </c>
      <c r="F10187" s="10" t="s">
        <v>9754</v>
      </c>
      <c r="G10187" s="10" t="s">
        <v>6317</v>
      </c>
      <c r="H10187" s="11">
        <v>42802</v>
      </c>
      <c r="I10187" s="10">
        <v>2017</v>
      </c>
      <c r="J10187" s="10" t="s">
        <v>15187</v>
      </c>
      <c r="K10187" s="10">
        <v>71</v>
      </c>
      <c r="L10187" s="10" t="s">
        <v>42719</v>
      </c>
      <c r="M10187" s="10">
        <v>2</v>
      </c>
      <c r="N10187" s="10" t="s">
        <v>42720</v>
      </c>
      <c r="O10187" s="10"/>
      <c r="P10187" s="10" t="s">
        <v>11128</v>
      </c>
      <c r="Q10187" s="10" t="s">
        <v>9954</v>
      </c>
      <c r="R10187" s="10" t="s">
        <v>45063</v>
      </c>
      <c r="S10187" s="10" t="s">
        <v>53</v>
      </c>
      <c r="T10187" s="10" t="s">
        <v>54</v>
      </c>
    </row>
    <row r="10188" spans="1:20" ht="14.5" x14ac:dyDescent="0.35">
      <c r="A10188" s="10" t="s">
        <v>45064</v>
      </c>
      <c r="B10188" s="10" t="str">
        <f>"9781620364314"</f>
        <v>9781620364314</v>
      </c>
      <c r="C10188" s="10" t="str">
        <f>"9781000974324"</f>
        <v>9781000974324</v>
      </c>
      <c r="D10188" s="10" t="s">
        <v>6350</v>
      </c>
      <c r="E10188" s="10" t="s">
        <v>6351</v>
      </c>
      <c r="F10188" s="10" t="s">
        <v>748</v>
      </c>
      <c r="G10188" s="10" t="s">
        <v>6352</v>
      </c>
      <c r="H10188" s="11">
        <v>42838</v>
      </c>
      <c r="I10188" s="10">
        <v>2017</v>
      </c>
      <c r="J10188" s="10" t="s">
        <v>6351</v>
      </c>
      <c r="K10188" s="10">
        <v>266</v>
      </c>
      <c r="L10188" s="10" t="s">
        <v>45065</v>
      </c>
      <c r="M10188" s="10">
        <v>1</v>
      </c>
      <c r="N10188" s="10"/>
      <c r="O10188" s="10"/>
      <c r="P10188" s="10" t="s">
        <v>45066</v>
      </c>
      <c r="Q10188" s="10">
        <v>378.17</v>
      </c>
      <c r="R10188" s="10" t="s">
        <v>45067</v>
      </c>
      <c r="S10188" s="10" t="s">
        <v>53</v>
      </c>
      <c r="T10188" s="10" t="s">
        <v>54</v>
      </c>
    </row>
    <row r="10189" spans="1:20" ht="14.5" x14ac:dyDescent="0.35">
      <c r="A10189" s="10" t="s">
        <v>45068</v>
      </c>
      <c r="B10189" s="10" t="str">
        <f>"9781138230804"</f>
        <v>9781138230804</v>
      </c>
      <c r="C10189" s="10" t="str">
        <f>"9781315316796"</f>
        <v>9781315316796</v>
      </c>
      <c r="D10189" s="10" t="s">
        <v>6350</v>
      </c>
      <c r="E10189" s="10" t="s">
        <v>6351</v>
      </c>
      <c r="F10189" s="10" t="s">
        <v>748</v>
      </c>
      <c r="G10189" s="10" t="s">
        <v>6352</v>
      </c>
      <c r="H10189" s="11">
        <v>42860</v>
      </c>
      <c r="I10189" s="10">
        <v>1971</v>
      </c>
      <c r="J10189" s="10" t="s">
        <v>6351</v>
      </c>
      <c r="K10189" s="10">
        <v>131</v>
      </c>
      <c r="L10189" s="10" t="s">
        <v>45069</v>
      </c>
      <c r="M10189" s="10">
        <v>1</v>
      </c>
      <c r="N10189" s="10" t="s">
        <v>45070</v>
      </c>
      <c r="O10189" s="10">
        <v>26</v>
      </c>
      <c r="P10189" s="10" t="s">
        <v>45071</v>
      </c>
      <c r="Q10189" s="10" t="s">
        <v>10449</v>
      </c>
      <c r="R10189" s="10" t="s">
        <v>45072</v>
      </c>
      <c r="S10189" s="10" t="s">
        <v>53</v>
      </c>
      <c r="T10189" s="10" t="s">
        <v>54</v>
      </c>
    </row>
    <row r="10190" spans="1:20" ht="14.5" x14ac:dyDescent="0.35">
      <c r="A10190" s="10" t="s">
        <v>45073</v>
      </c>
      <c r="B10190" s="10" t="str">
        <f>"9781551382739"</f>
        <v>9781551382739</v>
      </c>
      <c r="C10190" s="10" t="str">
        <f>"9781551388359"</f>
        <v>9781551388359</v>
      </c>
      <c r="D10190" s="10" t="s">
        <v>45074</v>
      </c>
      <c r="E10190" s="10" t="s">
        <v>45075</v>
      </c>
      <c r="F10190" s="10" t="s">
        <v>901</v>
      </c>
      <c r="G10190" s="10" t="s">
        <v>9536</v>
      </c>
      <c r="H10190" s="11">
        <v>40934</v>
      </c>
      <c r="I10190" s="10">
        <v>2012</v>
      </c>
      <c r="J10190" s="10" t="s">
        <v>45075</v>
      </c>
      <c r="K10190" s="10">
        <v>169</v>
      </c>
      <c r="L10190" s="10" t="s">
        <v>45076</v>
      </c>
      <c r="M10190" s="10">
        <v>1</v>
      </c>
      <c r="N10190" s="10"/>
      <c r="O10190" s="10"/>
      <c r="P10190" s="10"/>
      <c r="Q10190" s="10"/>
      <c r="R10190" s="10"/>
      <c r="S10190" s="10" t="s">
        <v>53</v>
      </c>
      <c r="T10190" s="10" t="s">
        <v>54</v>
      </c>
    </row>
    <row r="10191" spans="1:20" ht="14.5" x14ac:dyDescent="0.35">
      <c r="A10191" s="10" t="s">
        <v>45077</v>
      </c>
      <c r="B10191" s="10" t="str">
        <f>"9781551382647"</f>
        <v>9781551382647</v>
      </c>
      <c r="C10191" s="10" t="str">
        <f>"9781551388410"</f>
        <v>9781551388410</v>
      </c>
      <c r="D10191" s="10" t="s">
        <v>45074</v>
      </c>
      <c r="E10191" s="10" t="s">
        <v>45075</v>
      </c>
      <c r="F10191" s="10" t="s">
        <v>901</v>
      </c>
      <c r="G10191" s="10" t="s">
        <v>9536</v>
      </c>
      <c r="H10191" s="11">
        <v>41180</v>
      </c>
      <c r="I10191" s="10">
        <v>2012</v>
      </c>
      <c r="J10191" s="10" t="s">
        <v>45075</v>
      </c>
      <c r="K10191" s="10">
        <v>110</v>
      </c>
      <c r="L10191" s="10" t="s">
        <v>45078</v>
      </c>
      <c r="M10191" s="10">
        <v>1</v>
      </c>
      <c r="N10191" s="10"/>
      <c r="O10191" s="10"/>
      <c r="P10191" s="10"/>
      <c r="Q10191" s="10"/>
      <c r="R10191" s="10"/>
      <c r="S10191" s="10" t="s">
        <v>53</v>
      </c>
      <c r="T10191" s="10" t="s">
        <v>54</v>
      </c>
    </row>
    <row r="10192" spans="1:20" ht="14.5" x14ac:dyDescent="0.35">
      <c r="A10192" s="10" t="s">
        <v>45079</v>
      </c>
      <c r="B10192" s="10" t="str">
        <f>"9781551382814"</f>
        <v>9781551382814</v>
      </c>
      <c r="C10192" s="10" t="str">
        <f>"9781551388427"</f>
        <v>9781551388427</v>
      </c>
      <c r="D10192" s="10" t="s">
        <v>45074</v>
      </c>
      <c r="E10192" s="10" t="s">
        <v>45075</v>
      </c>
      <c r="F10192" s="10" t="s">
        <v>901</v>
      </c>
      <c r="G10192" s="10" t="s">
        <v>9536</v>
      </c>
      <c r="H10192" s="11">
        <v>41180</v>
      </c>
      <c r="I10192" s="10">
        <v>2012</v>
      </c>
      <c r="J10192" s="10" t="s">
        <v>45075</v>
      </c>
      <c r="K10192" s="10">
        <v>97</v>
      </c>
      <c r="L10192" s="10" t="s">
        <v>45080</v>
      </c>
      <c r="M10192" s="10">
        <v>1</v>
      </c>
      <c r="N10192" s="10"/>
      <c r="O10192" s="10"/>
      <c r="P10192" s="10"/>
      <c r="Q10192" s="10"/>
      <c r="R10192" s="10"/>
      <c r="S10192" s="10" t="s">
        <v>53</v>
      </c>
      <c r="T10192" s="10" t="s">
        <v>54</v>
      </c>
    </row>
    <row r="10193" spans="1:20" ht="14.5" x14ac:dyDescent="0.35">
      <c r="A10193" s="10" t="s">
        <v>45081</v>
      </c>
      <c r="B10193" s="10" t="str">
        <f>"9781551382753"</f>
        <v>9781551382753</v>
      </c>
      <c r="C10193" s="10" t="str">
        <f>"9781551388373"</f>
        <v>9781551388373</v>
      </c>
      <c r="D10193" s="10" t="s">
        <v>45074</v>
      </c>
      <c r="E10193" s="10" t="s">
        <v>45075</v>
      </c>
      <c r="F10193" s="10" t="s">
        <v>901</v>
      </c>
      <c r="G10193" s="10" t="s">
        <v>9536</v>
      </c>
      <c r="H10193" s="11">
        <v>41149</v>
      </c>
      <c r="I10193" s="10">
        <v>2012</v>
      </c>
      <c r="J10193" s="10" t="s">
        <v>45075</v>
      </c>
      <c r="K10193" s="10">
        <v>145</v>
      </c>
      <c r="L10193" s="10" t="s">
        <v>45082</v>
      </c>
      <c r="M10193" s="10">
        <v>1</v>
      </c>
      <c r="N10193" s="10"/>
      <c r="O10193" s="10"/>
      <c r="P10193" s="10"/>
      <c r="Q10193" s="10" t="s">
        <v>9646</v>
      </c>
      <c r="R10193" s="10"/>
      <c r="S10193" s="10" t="s">
        <v>53</v>
      </c>
      <c r="T10193" s="10" t="s">
        <v>54</v>
      </c>
    </row>
    <row r="10194" spans="1:20" ht="14.5" x14ac:dyDescent="0.35">
      <c r="A10194" s="10" t="s">
        <v>45083</v>
      </c>
      <c r="B10194" s="10" t="str">
        <f>"9781551382852"</f>
        <v>9781551382852</v>
      </c>
      <c r="C10194" s="10" t="str">
        <f>"9781551388519"</f>
        <v>9781551388519</v>
      </c>
      <c r="D10194" s="10" t="s">
        <v>45074</v>
      </c>
      <c r="E10194" s="10" t="s">
        <v>45075</v>
      </c>
      <c r="F10194" s="10" t="s">
        <v>901</v>
      </c>
      <c r="G10194" s="10" t="s">
        <v>9536</v>
      </c>
      <c r="H10194" s="11">
        <v>41302</v>
      </c>
      <c r="I10194" s="10">
        <v>2013</v>
      </c>
      <c r="J10194" s="10" t="s">
        <v>45075</v>
      </c>
      <c r="K10194" s="10">
        <v>33</v>
      </c>
      <c r="L10194" s="10" t="s">
        <v>45084</v>
      </c>
      <c r="M10194" s="10">
        <v>1</v>
      </c>
      <c r="N10194" s="10"/>
      <c r="O10194" s="10"/>
      <c r="P10194" s="10"/>
      <c r="Q10194" s="10"/>
      <c r="R10194" s="10"/>
      <c r="S10194" s="10" t="s">
        <v>53</v>
      </c>
      <c r="T10194" s="10" t="s">
        <v>54</v>
      </c>
    </row>
    <row r="10195" spans="1:20" ht="14.5" x14ac:dyDescent="0.35">
      <c r="A10195" s="10" t="s">
        <v>45085</v>
      </c>
      <c r="B10195" s="10" t="str">
        <f>"9781551382883"</f>
        <v>9781551382883</v>
      </c>
      <c r="C10195" s="10" t="str">
        <f>"9781551388540"</f>
        <v>9781551388540</v>
      </c>
      <c r="D10195" s="10" t="s">
        <v>45074</v>
      </c>
      <c r="E10195" s="10" t="s">
        <v>45075</v>
      </c>
      <c r="F10195" s="10" t="s">
        <v>901</v>
      </c>
      <c r="G10195" s="10" t="s">
        <v>9536</v>
      </c>
      <c r="H10195" s="11">
        <v>41726</v>
      </c>
      <c r="I10195" s="10">
        <v>2014</v>
      </c>
      <c r="J10195" s="10" t="s">
        <v>45075</v>
      </c>
      <c r="K10195" s="10">
        <v>158</v>
      </c>
      <c r="L10195" s="10" t="s">
        <v>45086</v>
      </c>
      <c r="M10195" s="10">
        <v>1</v>
      </c>
      <c r="N10195" s="10"/>
      <c r="O10195" s="10"/>
      <c r="P10195" s="10" t="s">
        <v>45087</v>
      </c>
      <c r="Q10195" s="10"/>
      <c r="R10195" s="10"/>
      <c r="S10195" s="10" t="s">
        <v>53</v>
      </c>
      <c r="T10195" s="10" t="s">
        <v>54</v>
      </c>
    </row>
    <row r="10196" spans="1:20" ht="14.5" x14ac:dyDescent="0.35">
      <c r="A10196" s="10" t="s">
        <v>45088</v>
      </c>
      <c r="B10196" s="10" t="str">
        <f>"9781551382999"</f>
        <v>9781551382999</v>
      </c>
      <c r="C10196" s="10" t="str">
        <f>"9781551389035"</f>
        <v>9781551389035</v>
      </c>
      <c r="D10196" s="10" t="s">
        <v>45074</v>
      </c>
      <c r="E10196" s="10" t="s">
        <v>45075</v>
      </c>
      <c r="F10196" s="10" t="s">
        <v>901</v>
      </c>
      <c r="G10196" s="10" t="s">
        <v>9536</v>
      </c>
      <c r="H10196" s="11">
        <v>41948</v>
      </c>
      <c r="I10196" s="10">
        <v>2014</v>
      </c>
      <c r="J10196" s="10" t="s">
        <v>45075</v>
      </c>
      <c r="K10196" s="10">
        <v>158</v>
      </c>
      <c r="L10196" s="10" t="s">
        <v>45089</v>
      </c>
      <c r="M10196" s="10">
        <v>1</v>
      </c>
      <c r="N10196" s="10"/>
      <c r="O10196" s="10"/>
      <c r="P10196" s="10"/>
      <c r="Q10196" s="10"/>
      <c r="R10196" s="10"/>
      <c r="S10196" s="10" t="s">
        <v>53</v>
      </c>
      <c r="T10196" s="10" t="s">
        <v>54</v>
      </c>
    </row>
    <row r="10197" spans="1:20" ht="14.5" x14ac:dyDescent="0.35">
      <c r="A10197" s="10" t="s">
        <v>45090</v>
      </c>
      <c r="B10197" s="10" t="str">
        <f>"9781551383057"</f>
        <v>9781551383057</v>
      </c>
      <c r="C10197" s="10" t="str">
        <f>"9781551389097"</f>
        <v>9781551389097</v>
      </c>
      <c r="D10197" s="10" t="s">
        <v>45074</v>
      </c>
      <c r="E10197" s="10" t="s">
        <v>45075</v>
      </c>
      <c r="F10197" s="10" t="s">
        <v>901</v>
      </c>
      <c r="G10197" s="10" t="s">
        <v>9536</v>
      </c>
      <c r="H10197" s="11">
        <v>42334</v>
      </c>
      <c r="I10197" s="10">
        <v>2015</v>
      </c>
      <c r="J10197" s="10" t="s">
        <v>45075</v>
      </c>
      <c r="K10197" s="10">
        <v>111</v>
      </c>
      <c r="L10197" s="10" t="s">
        <v>45091</v>
      </c>
      <c r="M10197" s="10">
        <v>1</v>
      </c>
      <c r="N10197" s="10"/>
      <c r="O10197" s="10"/>
      <c r="P10197" s="10"/>
      <c r="Q10197" s="10">
        <v>371.10199999999998</v>
      </c>
      <c r="R10197" s="10"/>
      <c r="S10197" s="10" t="s">
        <v>53</v>
      </c>
      <c r="T10197" s="10" t="s">
        <v>54</v>
      </c>
    </row>
    <row r="10198" spans="1:20" ht="14.5" x14ac:dyDescent="0.35">
      <c r="A10198" s="10" t="s">
        <v>45092</v>
      </c>
      <c r="B10198" s="10" t="str">
        <f>"9781551383200"</f>
        <v>9781551383200</v>
      </c>
      <c r="C10198" s="10" t="str">
        <f>"9781551389219"</f>
        <v>9781551389219</v>
      </c>
      <c r="D10198" s="10" t="s">
        <v>45074</v>
      </c>
      <c r="E10198" s="10" t="s">
        <v>45075</v>
      </c>
      <c r="F10198" s="10" t="s">
        <v>901</v>
      </c>
      <c r="G10198" s="10" t="s">
        <v>9536</v>
      </c>
      <c r="H10198" s="11">
        <v>42804</v>
      </c>
      <c r="I10198" s="10">
        <v>2017</v>
      </c>
      <c r="J10198" s="10" t="s">
        <v>45075</v>
      </c>
      <c r="K10198" s="10">
        <v>128</v>
      </c>
      <c r="L10198" s="10" t="s">
        <v>45093</v>
      </c>
      <c r="M10198" s="10">
        <v>1</v>
      </c>
      <c r="N10198" s="10"/>
      <c r="O10198" s="10"/>
      <c r="P10198" s="10"/>
      <c r="Q10198" s="10" t="s">
        <v>9007</v>
      </c>
      <c r="R10198" s="10"/>
      <c r="S10198" s="10" t="s">
        <v>53</v>
      </c>
      <c r="T10198" s="10" t="s">
        <v>54</v>
      </c>
    </row>
    <row r="10199" spans="1:20" ht="14.5" x14ac:dyDescent="0.35">
      <c r="A10199" s="10" t="s">
        <v>45094</v>
      </c>
      <c r="B10199" s="10" t="str">
        <f>"9781943360130"</f>
        <v>9781943360130</v>
      </c>
      <c r="C10199" s="10" t="str">
        <f>"9781943360147"</f>
        <v>9781943360147</v>
      </c>
      <c r="D10199" s="10" t="s">
        <v>37594</v>
      </c>
      <c r="E10199" s="10" t="s">
        <v>37594</v>
      </c>
      <c r="F10199" s="10" t="s">
        <v>37623</v>
      </c>
      <c r="G10199" s="10" t="s">
        <v>6317</v>
      </c>
      <c r="H10199" s="11">
        <v>42874</v>
      </c>
      <c r="I10199" s="10">
        <v>2017</v>
      </c>
      <c r="J10199" s="10" t="s">
        <v>37594</v>
      </c>
      <c r="K10199" s="10">
        <v>240</v>
      </c>
      <c r="L10199" s="10" t="s">
        <v>45095</v>
      </c>
      <c r="M10199" s="10">
        <v>1</v>
      </c>
      <c r="N10199" s="10"/>
      <c r="O10199" s="10"/>
      <c r="P10199" s="10"/>
      <c r="Q10199" s="10"/>
      <c r="R10199" s="10"/>
      <c r="S10199" s="10" t="s">
        <v>53</v>
      </c>
      <c r="T10199" s="10" t="s">
        <v>54</v>
      </c>
    </row>
    <row r="10200" spans="1:20" ht="14.5" x14ac:dyDescent="0.35">
      <c r="A10200" s="10" t="s">
        <v>45096</v>
      </c>
      <c r="B10200" s="10" t="str">
        <f>"9781118903209"</f>
        <v>9781118903209</v>
      </c>
      <c r="C10200" s="10" t="str">
        <f>"9781118903179"</f>
        <v>9781118903179</v>
      </c>
      <c r="D10200" s="10" t="s">
        <v>6322</v>
      </c>
      <c r="E10200" s="10" t="s">
        <v>6323</v>
      </c>
      <c r="F10200" s="10" t="s">
        <v>4423</v>
      </c>
      <c r="G10200" s="10" t="s">
        <v>6352</v>
      </c>
      <c r="H10200" s="11">
        <v>42912</v>
      </c>
      <c r="I10200" s="10">
        <v>2017</v>
      </c>
      <c r="J10200" s="10" t="s">
        <v>6323</v>
      </c>
      <c r="K10200" s="10">
        <v>307</v>
      </c>
      <c r="L10200" s="10" t="s">
        <v>45097</v>
      </c>
      <c r="M10200" s="10">
        <v>1</v>
      </c>
      <c r="N10200" s="10"/>
      <c r="O10200" s="10"/>
      <c r="P10200" s="10" t="s">
        <v>45098</v>
      </c>
      <c r="Q10200" s="10">
        <v>618.92858899999999</v>
      </c>
      <c r="R10200" s="10" t="s">
        <v>45099</v>
      </c>
      <c r="S10200" s="10" t="s">
        <v>53</v>
      </c>
      <c r="T10200" s="10" t="s">
        <v>8681</v>
      </c>
    </row>
    <row r="10201" spans="1:20" ht="14.5" x14ac:dyDescent="0.35">
      <c r="A10201" s="10" t="s">
        <v>45100</v>
      </c>
      <c r="B10201" s="10" t="str">
        <f>""</f>
        <v/>
      </c>
      <c r="C10201" s="10" t="str">
        <f>"9781773445168"</f>
        <v>9781773445168</v>
      </c>
      <c r="D10201" s="10" t="s">
        <v>29364</v>
      </c>
      <c r="E10201" s="10" t="s">
        <v>31200</v>
      </c>
      <c r="F10201" s="10" t="s">
        <v>1061</v>
      </c>
      <c r="G10201" s="10" t="s">
        <v>6317</v>
      </c>
      <c r="H10201" s="11">
        <v>41883</v>
      </c>
      <c r="I10201" s="10">
        <v>2014</v>
      </c>
      <c r="J10201" s="10" t="s">
        <v>45101</v>
      </c>
      <c r="K10201" s="10">
        <v>52</v>
      </c>
      <c r="L10201" s="10" t="s">
        <v>45102</v>
      </c>
      <c r="M10201" s="10">
        <v>1</v>
      </c>
      <c r="N10201" s="10"/>
      <c r="O10201" s="10"/>
      <c r="P10201" s="10" t="s">
        <v>45103</v>
      </c>
      <c r="Q10201" s="10">
        <v>372.47</v>
      </c>
      <c r="R10201" s="10" t="s">
        <v>45104</v>
      </c>
      <c r="S10201" s="10" t="s">
        <v>53</v>
      </c>
      <c r="T10201" s="10" t="s">
        <v>54</v>
      </c>
    </row>
    <row r="10202" spans="1:20" ht="14.5" x14ac:dyDescent="0.35">
      <c r="A10202" s="10" t="s">
        <v>45105</v>
      </c>
      <c r="B10202" s="10" t="str">
        <f>""</f>
        <v/>
      </c>
      <c r="C10202" s="10" t="str">
        <f>"9781773445175"</f>
        <v>9781773445175</v>
      </c>
      <c r="D10202" s="10" t="s">
        <v>29364</v>
      </c>
      <c r="E10202" s="10" t="s">
        <v>31200</v>
      </c>
      <c r="F10202" s="10" t="s">
        <v>1061</v>
      </c>
      <c r="G10202" s="10" t="s">
        <v>6317</v>
      </c>
      <c r="H10202" s="11">
        <v>41883</v>
      </c>
      <c r="I10202" s="10">
        <v>2014</v>
      </c>
      <c r="J10202" s="10" t="s">
        <v>45101</v>
      </c>
      <c r="K10202" s="10">
        <v>52</v>
      </c>
      <c r="L10202" s="10" t="s">
        <v>45102</v>
      </c>
      <c r="M10202" s="10">
        <v>1</v>
      </c>
      <c r="N10202" s="10"/>
      <c r="O10202" s="10"/>
      <c r="P10202" s="10" t="s">
        <v>45103</v>
      </c>
      <c r="Q10202" s="10">
        <v>372.47</v>
      </c>
      <c r="R10202" s="10" t="s">
        <v>45104</v>
      </c>
      <c r="S10202" s="10" t="s">
        <v>53</v>
      </c>
      <c r="T10202" s="10" t="s">
        <v>54</v>
      </c>
    </row>
    <row r="10203" spans="1:20" ht="14.5" x14ac:dyDescent="0.35">
      <c r="A10203" s="10" t="s">
        <v>45106</v>
      </c>
      <c r="B10203" s="10" t="str">
        <f>""</f>
        <v/>
      </c>
      <c r="C10203" s="10" t="str">
        <f>"9781773445182"</f>
        <v>9781773445182</v>
      </c>
      <c r="D10203" s="10" t="s">
        <v>29364</v>
      </c>
      <c r="E10203" s="10" t="s">
        <v>31200</v>
      </c>
      <c r="F10203" s="10" t="s">
        <v>1061</v>
      </c>
      <c r="G10203" s="10" t="s">
        <v>6317</v>
      </c>
      <c r="H10203" s="11">
        <v>41883</v>
      </c>
      <c r="I10203" s="10">
        <v>2014</v>
      </c>
      <c r="J10203" s="10" t="s">
        <v>45101</v>
      </c>
      <c r="K10203" s="10">
        <v>52</v>
      </c>
      <c r="L10203" s="10" t="s">
        <v>45102</v>
      </c>
      <c r="M10203" s="10">
        <v>1</v>
      </c>
      <c r="N10203" s="10"/>
      <c r="O10203" s="10"/>
      <c r="P10203" s="10" t="s">
        <v>45103</v>
      </c>
      <c r="Q10203" s="10">
        <v>372.47</v>
      </c>
      <c r="R10203" s="10" t="s">
        <v>45104</v>
      </c>
      <c r="S10203" s="10" t="s">
        <v>53</v>
      </c>
      <c r="T10203" s="10" t="s">
        <v>54</v>
      </c>
    </row>
    <row r="10204" spans="1:20" ht="14.5" x14ac:dyDescent="0.35">
      <c r="A10204" s="10" t="s">
        <v>45107</v>
      </c>
      <c r="B10204" s="10" t="str">
        <f>""</f>
        <v/>
      </c>
      <c r="C10204" s="10" t="str">
        <f>"9781773445199"</f>
        <v>9781773445199</v>
      </c>
      <c r="D10204" s="10" t="s">
        <v>29364</v>
      </c>
      <c r="E10204" s="10" t="s">
        <v>31200</v>
      </c>
      <c r="F10204" s="10" t="s">
        <v>1061</v>
      </c>
      <c r="G10204" s="10" t="s">
        <v>6317</v>
      </c>
      <c r="H10204" s="11">
        <v>41883</v>
      </c>
      <c r="I10204" s="10">
        <v>2014</v>
      </c>
      <c r="J10204" s="10" t="s">
        <v>45101</v>
      </c>
      <c r="K10204" s="10">
        <v>52</v>
      </c>
      <c r="L10204" s="10" t="s">
        <v>45102</v>
      </c>
      <c r="M10204" s="10">
        <v>1</v>
      </c>
      <c r="N10204" s="10"/>
      <c r="O10204" s="10"/>
      <c r="P10204" s="10" t="s">
        <v>45103</v>
      </c>
      <c r="Q10204" s="10">
        <v>372.47</v>
      </c>
      <c r="R10204" s="10" t="s">
        <v>45104</v>
      </c>
      <c r="S10204" s="10" t="s">
        <v>53</v>
      </c>
      <c r="T10204" s="10" t="s">
        <v>54</v>
      </c>
    </row>
    <row r="10205" spans="1:20" ht="14.5" x14ac:dyDescent="0.35">
      <c r="A10205" s="10" t="s">
        <v>45108</v>
      </c>
      <c r="B10205" s="10" t="str">
        <f>""</f>
        <v/>
      </c>
      <c r="C10205" s="10" t="str">
        <f>"9781773445205"</f>
        <v>9781773445205</v>
      </c>
      <c r="D10205" s="10" t="s">
        <v>29364</v>
      </c>
      <c r="E10205" s="10" t="s">
        <v>31200</v>
      </c>
      <c r="F10205" s="10" t="s">
        <v>1061</v>
      </c>
      <c r="G10205" s="10" t="s">
        <v>6317</v>
      </c>
      <c r="H10205" s="11">
        <v>41883</v>
      </c>
      <c r="I10205" s="10">
        <v>2014</v>
      </c>
      <c r="J10205" s="10" t="s">
        <v>45101</v>
      </c>
      <c r="K10205" s="10">
        <v>52</v>
      </c>
      <c r="L10205" s="10" t="s">
        <v>45102</v>
      </c>
      <c r="M10205" s="10">
        <v>1</v>
      </c>
      <c r="N10205" s="10"/>
      <c r="O10205" s="10"/>
      <c r="P10205" s="10" t="s">
        <v>45103</v>
      </c>
      <c r="Q10205" s="10">
        <v>372.47</v>
      </c>
      <c r="R10205" s="10" t="s">
        <v>45104</v>
      </c>
      <c r="S10205" s="10" t="s">
        <v>53</v>
      </c>
      <c r="T10205" s="10" t="s">
        <v>54</v>
      </c>
    </row>
    <row r="10206" spans="1:20" ht="14.5" x14ac:dyDescent="0.35">
      <c r="A10206" s="10" t="s">
        <v>45109</v>
      </c>
      <c r="B10206" s="10" t="str">
        <f>""</f>
        <v/>
      </c>
      <c r="C10206" s="10" t="str">
        <f>"9781773445212"</f>
        <v>9781773445212</v>
      </c>
      <c r="D10206" s="10" t="s">
        <v>29364</v>
      </c>
      <c r="E10206" s="10" t="s">
        <v>31200</v>
      </c>
      <c r="F10206" s="10" t="s">
        <v>1061</v>
      </c>
      <c r="G10206" s="10" t="s">
        <v>6317</v>
      </c>
      <c r="H10206" s="11">
        <v>41883</v>
      </c>
      <c r="I10206" s="10">
        <v>2014</v>
      </c>
      <c r="J10206" s="10" t="s">
        <v>45101</v>
      </c>
      <c r="K10206" s="10">
        <v>52</v>
      </c>
      <c r="L10206" s="10" t="s">
        <v>45102</v>
      </c>
      <c r="M10206" s="10">
        <v>1</v>
      </c>
      <c r="N10206" s="10"/>
      <c r="O10206" s="10"/>
      <c r="P10206" s="10" t="s">
        <v>45103</v>
      </c>
      <c r="Q10206" s="10">
        <v>372.47</v>
      </c>
      <c r="R10206" s="10" t="s">
        <v>45104</v>
      </c>
      <c r="S10206" s="10" t="s">
        <v>53</v>
      </c>
      <c r="T10206" s="10" t="s">
        <v>54</v>
      </c>
    </row>
    <row r="10207" spans="1:20" ht="14.5" x14ac:dyDescent="0.35">
      <c r="A10207" s="10" t="s">
        <v>45110</v>
      </c>
      <c r="B10207" s="10" t="str">
        <f>""</f>
        <v/>
      </c>
      <c r="C10207" s="10" t="str">
        <f>"9781773445359"</f>
        <v>9781773445359</v>
      </c>
      <c r="D10207" s="10" t="s">
        <v>29364</v>
      </c>
      <c r="E10207" s="10" t="s">
        <v>31200</v>
      </c>
      <c r="F10207" s="10" t="s">
        <v>1061</v>
      </c>
      <c r="G10207" s="10" t="s">
        <v>6317</v>
      </c>
      <c r="H10207" s="11">
        <v>41883</v>
      </c>
      <c r="I10207" s="10">
        <v>2014</v>
      </c>
      <c r="J10207" s="10" t="s">
        <v>45101</v>
      </c>
      <c r="K10207" s="10">
        <v>36</v>
      </c>
      <c r="L10207" s="10" t="s">
        <v>45111</v>
      </c>
      <c r="M10207" s="10">
        <v>1</v>
      </c>
      <c r="N10207" s="10"/>
      <c r="O10207" s="10"/>
      <c r="P10207" s="10" t="s">
        <v>45112</v>
      </c>
      <c r="Q10207" s="10">
        <v>523.20000000000005</v>
      </c>
      <c r="R10207" s="10" t="s">
        <v>45113</v>
      </c>
      <c r="S10207" s="10" t="s">
        <v>53</v>
      </c>
      <c r="T10207" s="10" t="s">
        <v>17114</v>
      </c>
    </row>
    <row r="10208" spans="1:20" ht="14.5" x14ac:dyDescent="0.35">
      <c r="A10208" s="10" t="s">
        <v>45114</v>
      </c>
      <c r="B10208" s="10" t="str">
        <f>"9780252041112"</f>
        <v>9780252041112</v>
      </c>
      <c r="C10208" s="10" t="str">
        <f>"9780252099816"</f>
        <v>9780252099816</v>
      </c>
      <c r="D10208" s="10" t="s">
        <v>3194</v>
      </c>
      <c r="E10208" s="10" t="s">
        <v>3194</v>
      </c>
      <c r="F10208" s="10" t="s">
        <v>2200</v>
      </c>
      <c r="G10208" s="10" t="s">
        <v>6317</v>
      </c>
      <c r="H10208" s="11">
        <v>42842</v>
      </c>
      <c r="I10208" s="10">
        <v>2017</v>
      </c>
      <c r="J10208" s="10" t="s">
        <v>3194</v>
      </c>
      <c r="K10208" s="10">
        <v>285</v>
      </c>
      <c r="L10208" s="10" t="s">
        <v>45115</v>
      </c>
      <c r="M10208" s="10">
        <v>1</v>
      </c>
      <c r="N10208" s="10" t="s">
        <v>45116</v>
      </c>
      <c r="O10208" s="10"/>
      <c r="P10208" s="10" t="s">
        <v>45117</v>
      </c>
      <c r="Q10208" s="10"/>
      <c r="R10208" s="10" t="s">
        <v>45118</v>
      </c>
      <c r="S10208" s="10" t="s">
        <v>53</v>
      </c>
      <c r="T10208" s="10" t="s">
        <v>54</v>
      </c>
    </row>
    <row r="10209" spans="1:20" ht="14.5" x14ac:dyDescent="0.35">
      <c r="A10209" s="10" t="s">
        <v>45119</v>
      </c>
      <c r="B10209" s="10" t="str">
        <f>"9781501707582"</f>
        <v>9781501707582</v>
      </c>
      <c r="C10209" s="10" t="str">
        <f>"9781501708404"</f>
        <v>9781501708404</v>
      </c>
      <c r="D10209" s="10" t="s">
        <v>9533</v>
      </c>
      <c r="E10209" s="10" t="s">
        <v>5258</v>
      </c>
      <c r="F10209" s="10" t="s">
        <v>2536</v>
      </c>
      <c r="G10209" s="10" t="s">
        <v>6317</v>
      </c>
      <c r="H10209" s="11">
        <v>42850</v>
      </c>
      <c r="I10209" s="10">
        <v>2017</v>
      </c>
      <c r="J10209" s="10" t="s">
        <v>5258</v>
      </c>
      <c r="K10209" s="10">
        <v>238</v>
      </c>
      <c r="L10209" s="10" t="s">
        <v>45120</v>
      </c>
      <c r="M10209" s="10">
        <v>1</v>
      </c>
      <c r="N10209" s="10"/>
      <c r="O10209" s="10"/>
      <c r="P10209" s="10" t="s">
        <v>45121</v>
      </c>
      <c r="Q10209" s="10">
        <v>378.16109729999903</v>
      </c>
      <c r="R10209" s="10" t="s">
        <v>42562</v>
      </c>
      <c r="S10209" s="10" t="s">
        <v>53</v>
      </c>
      <c r="T10209" s="10" t="s">
        <v>54</v>
      </c>
    </row>
    <row r="10210" spans="1:20" ht="14.5" x14ac:dyDescent="0.35">
      <c r="A10210" s="10" t="s">
        <v>45122</v>
      </c>
      <c r="B10210" s="10" t="str">
        <f>"9781138643642"</f>
        <v>9781138643642</v>
      </c>
      <c r="C10210" s="10" t="str">
        <f>"9781317243601"</f>
        <v>9781317243601</v>
      </c>
      <c r="D10210" s="10" t="s">
        <v>6350</v>
      </c>
      <c r="E10210" s="10" t="s">
        <v>6351</v>
      </c>
      <c r="F10210" s="10" t="s">
        <v>139</v>
      </c>
      <c r="G10210" s="10" t="s">
        <v>6352</v>
      </c>
      <c r="H10210" s="11">
        <v>42864</v>
      </c>
      <c r="I10210" s="10">
        <v>2017</v>
      </c>
      <c r="J10210" s="10" t="s">
        <v>6353</v>
      </c>
      <c r="K10210" s="10">
        <v>181</v>
      </c>
      <c r="L10210" s="10" t="s">
        <v>45123</v>
      </c>
      <c r="M10210" s="10">
        <v>2</v>
      </c>
      <c r="N10210" s="10" t="s">
        <v>45124</v>
      </c>
      <c r="O10210" s="10"/>
      <c r="P10210" s="10" t="s">
        <v>45125</v>
      </c>
      <c r="Q10210" s="10">
        <v>371.33</v>
      </c>
      <c r="R10210" s="10" t="s">
        <v>29942</v>
      </c>
      <c r="S10210" s="10" t="s">
        <v>53</v>
      </c>
      <c r="T10210" s="10" t="s">
        <v>54</v>
      </c>
    </row>
    <row r="10211" spans="1:20" ht="14.5" x14ac:dyDescent="0.35">
      <c r="A10211" s="10" t="s">
        <v>45126</v>
      </c>
      <c r="B10211" s="10" t="str">
        <f>"9782763732824"</f>
        <v>9782763732824</v>
      </c>
      <c r="C10211" s="10" t="str">
        <f>"9782763732831"</f>
        <v>9782763732831</v>
      </c>
      <c r="D10211" s="10" t="s">
        <v>44215</v>
      </c>
      <c r="E10211" s="10" t="s">
        <v>44216</v>
      </c>
      <c r="F10211" s="10" t="s">
        <v>955</v>
      </c>
      <c r="G10211" s="10" t="s">
        <v>9536</v>
      </c>
      <c r="H10211" s="11">
        <v>42797</v>
      </c>
      <c r="I10211" s="10">
        <v>2017</v>
      </c>
      <c r="J10211" s="10" t="s">
        <v>44216</v>
      </c>
      <c r="K10211" s="10">
        <v>174</v>
      </c>
      <c r="L10211" s="10" t="s">
        <v>45127</v>
      </c>
      <c r="M10211" s="10">
        <v>1</v>
      </c>
      <c r="N10211" s="10"/>
      <c r="O10211" s="10"/>
      <c r="P10211" s="10" t="s">
        <v>45128</v>
      </c>
      <c r="Q10211" s="10">
        <v>370.1</v>
      </c>
      <c r="R10211" s="10" t="s">
        <v>17321</v>
      </c>
      <c r="S10211" s="10" t="s">
        <v>5404</v>
      </c>
      <c r="T10211" s="10" t="s">
        <v>54</v>
      </c>
    </row>
    <row r="10212" spans="1:20" ht="14.5" x14ac:dyDescent="0.35">
      <c r="A10212" s="10" t="s">
        <v>45129</v>
      </c>
      <c r="B10212" s="10" t="str">
        <f>""</f>
        <v/>
      </c>
      <c r="C10212" s="10" t="str">
        <f>"9781942072140"</f>
        <v>9781942072140</v>
      </c>
      <c r="D10212" s="10" t="s">
        <v>44271</v>
      </c>
      <c r="E10212" s="10" t="s">
        <v>45130</v>
      </c>
      <c r="F10212" s="10" t="s">
        <v>41227</v>
      </c>
      <c r="G10212" s="10" t="s">
        <v>6317</v>
      </c>
      <c r="H10212" s="11">
        <v>42507</v>
      </c>
      <c r="I10212" s="10">
        <v>2016</v>
      </c>
      <c r="J10212" s="10" t="s">
        <v>45130</v>
      </c>
      <c r="K10212" s="10">
        <v>240</v>
      </c>
      <c r="L10212" s="10" t="s">
        <v>45131</v>
      </c>
      <c r="M10212" s="10">
        <v>1</v>
      </c>
      <c r="N10212" s="10"/>
      <c r="O10212" s="10"/>
      <c r="P10212" s="10" t="s">
        <v>45132</v>
      </c>
      <c r="Q10212" s="10" t="s">
        <v>9298</v>
      </c>
      <c r="R10212" s="10" t="s">
        <v>45133</v>
      </c>
      <c r="S10212" s="10" t="s">
        <v>53</v>
      </c>
      <c r="T10212" s="10" t="s">
        <v>54</v>
      </c>
    </row>
    <row r="10213" spans="1:20" ht="14.5" x14ac:dyDescent="0.35">
      <c r="A10213" s="10" t="s">
        <v>45134</v>
      </c>
      <c r="B10213" s="10" t="str">
        <f>"9782760547179"</f>
        <v>9782760547179</v>
      </c>
      <c r="C10213" s="10" t="str">
        <f>"9782760547186"</f>
        <v>9782760547186</v>
      </c>
      <c r="D10213" s="10" t="s">
        <v>44658</v>
      </c>
      <c r="E10213" s="10" t="s">
        <v>44659</v>
      </c>
      <c r="F10213" s="10" t="s">
        <v>955</v>
      </c>
      <c r="G10213" s="10" t="s">
        <v>9536</v>
      </c>
      <c r="H10213" s="11">
        <v>42851</v>
      </c>
      <c r="I10213" s="10">
        <v>2017</v>
      </c>
      <c r="J10213" s="10" t="s">
        <v>44659</v>
      </c>
      <c r="K10213" s="10">
        <v>162</v>
      </c>
      <c r="L10213" s="10" t="s">
        <v>45135</v>
      </c>
      <c r="M10213" s="10">
        <v>1</v>
      </c>
      <c r="N10213" s="10"/>
      <c r="O10213" s="10"/>
      <c r="P10213" s="10" t="s">
        <v>45136</v>
      </c>
      <c r="Q10213" s="10">
        <v>371.35</v>
      </c>
      <c r="R10213" s="10" t="s">
        <v>32754</v>
      </c>
      <c r="S10213" s="10" t="s">
        <v>5404</v>
      </c>
      <c r="T10213" s="10" t="s">
        <v>54</v>
      </c>
    </row>
    <row r="10214" spans="1:20" ht="14.5" x14ac:dyDescent="0.35">
      <c r="A10214" s="10" t="s">
        <v>45137</v>
      </c>
      <c r="B10214" s="10" t="str">
        <f>"9781927322666"</f>
        <v>9781927322666</v>
      </c>
      <c r="C10214" s="10" t="str">
        <f>"9780947522599"</f>
        <v>9780947522599</v>
      </c>
      <c r="D10214" s="10" t="s">
        <v>9215</v>
      </c>
      <c r="E10214" s="10" t="s">
        <v>45138</v>
      </c>
      <c r="F10214" s="10" t="s">
        <v>45139</v>
      </c>
      <c r="G10214" s="10" t="s">
        <v>12231</v>
      </c>
      <c r="H10214" s="11">
        <v>42825</v>
      </c>
      <c r="I10214" s="10">
        <v>2017</v>
      </c>
      <c r="J10214" s="10" t="s">
        <v>45138</v>
      </c>
      <c r="K10214" s="10">
        <v>123</v>
      </c>
      <c r="L10214" s="10" t="s">
        <v>45140</v>
      </c>
      <c r="M10214" s="10">
        <v>1</v>
      </c>
      <c r="N10214" s="10"/>
      <c r="O10214" s="10"/>
      <c r="P10214" s="10" t="s">
        <v>45141</v>
      </c>
      <c r="Q10214" s="10">
        <v>153.35</v>
      </c>
      <c r="R10214" s="10" t="s">
        <v>45142</v>
      </c>
      <c r="S10214" s="10" t="s">
        <v>53</v>
      </c>
      <c r="T10214" s="10" t="s">
        <v>483</v>
      </c>
    </row>
    <row r="10215" spans="1:20" ht="14.5" x14ac:dyDescent="0.35">
      <c r="A10215" s="10" t="s">
        <v>45143</v>
      </c>
      <c r="B10215" s="10" t="str">
        <f>"9781464810565"</f>
        <v>9781464810565</v>
      </c>
      <c r="C10215" s="10" t="str">
        <f>"9781464810572"</f>
        <v>9781464810572</v>
      </c>
      <c r="D10215" s="10" t="s">
        <v>14731</v>
      </c>
      <c r="E10215" s="10" t="s">
        <v>14732</v>
      </c>
      <c r="F10215" s="10" t="s">
        <v>11765</v>
      </c>
      <c r="G10215" s="10" t="s">
        <v>6317</v>
      </c>
      <c r="H10215" s="11">
        <v>42838</v>
      </c>
      <c r="I10215" s="10">
        <v>2017</v>
      </c>
      <c r="J10215" s="10" t="s">
        <v>14732</v>
      </c>
      <c r="K10215" s="10">
        <v>163</v>
      </c>
      <c r="L10215" s="10" t="s">
        <v>45144</v>
      </c>
      <c r="M10215" s="10">
        <v>1</v>
      </c>
      <c r="N10215" s="10" t="s">
        <v>20668</v>
      </c>
      <c r="O10215" s="10"/>
      <c r="P10215" s="10" t="s">
        <v>45145</v>
      </c>
      <c r="Q10215" s="10">
        <v>379.091724</v>
      </c>
      <c r="R10215" s="10" t="s">
        <v>45146</v>
      </c>
      <c r="S10215" s="10" t="s">
        <v>53</v>
      </c>
      <c r="T10215" s="10" t="s">
        <v>54</v>
      </c>
    </row>
    <row r="10216" spans="1:20" ht="14.5" x14ac:dyDescent="0.35">
      <c r="A10216" s="10" t="s">
        <v>45147</v>
      </c>
      <c r="B10216" s="10" t="str">
        <f>"9781464810589"</f>
        <v>9781464810589</v>
      </c>
      <c r="C10216" s="10" t="str">
        <f>"9781464810596"</f>
        <v>9781464810596</v>
      </c>
      <c r="D10216" s="10" t="s">
        <v>14731</v>
      </c>
      <c r="E10216" s="10" t="s">
        <v>14732</v>
      </c>
      <c r="F10216" s="10" t="s">
        <v>11765</v>
      </c>
      <c r="G10216" s="10" t="s">
        <v>6317</v>
      </c>
      <c r="H10216" s="11">
        <v>42838</v>
      </c>
      <c r="I10216" s="10">
        <v>2017</v>
      </c>
      <c r="J10216" s="10" t="s">
        <v>14732</v>
      </c>
      <c r="K10216" s="10">
        <v>155</v>
      </c>
      <c r="L10216" s="10" t="s">
        <v>45148</v>
      </c>
      <c r="M10216" s="10">
        <v>1</v>
      </c>
      <c r="N10216" s="10" t="s">
        <v>20668</v>
      </c>
      <c r="O10216" s="10"/>
      <c r="P10216" s="10" t="s">
        <v>23260</v>
      </c>
      <c r="Q10216" s="10">
        <v>371.20975199999998</v>
      </c>
      <c r="R10216" s="10" t="s">
        <v>6932</v>
      </c>
      <c r="S10216" s="10" t="s">
        <v>53</v>
      </c>
      <c r="T10216" s="10" t="s">
        <v>54</v>
      </c>
    </row>
    <row r="10217" spans="1:20" ht="14.5" x14ac:dyDescent="0.35">
      <c r="A10217" s="10" t="s">
        <v>45149</v>
      </c>
      <c r="B10217" s="10" t="str">
        <f>"9781474292993"</f>
        <v>9781474292993</v>
      </c>
      <c r="C10217" s="10" t="str">
        <f>"9781474293006"</f>
        <v>9781474293006</v>
      </c>
      <c r="D10217" s="10" t="s">
        <v>13959</v>
      </c>
      <c r="E10217" s="10" t="s">
        <v>13960</v>
      </c>
      <c r="F10217" s="10" t="s">
        <v>139</v>
      </c>
      <c r="G10217" s="10" t="s">
        <v>6352</v>
      </c>
      <c r="H10217" s="11">
        <v>42915</v>
      </c>
      <c r="I10217" s="10">
        <v>2017</v>
      </c>
      <c r="J10217" s="10" t="s">
        <v>14057</v>
      </c>
      <c r="K10217" s="10">
        <v>196</v>
      </c>
      <c r="L10217" s="10" t="s">
        <v>7443</v>
      </c>
      <c r="M10217" s="10">
        <v>1</v>
      </c>
      <c r="N10217" s="10"/>
      <c r="O10217" s="10"/>
      <c r="P10217" s="10" t="s">
        <v>13844</v>
      </c>
      <c r="Q10217" s="10">
        <v>371.20119999999997</v>
      </c>
      <c r="R10217" s="10" t="s">
        <v>18815</v>
      </c>
      <c r="S10217" s="10" t="s">
        <v>53</v>
      </c>
      <c r="T10217" s="10" t="s">
        <v>54</v>
      </c>
    </row>
    <row r="10218" spans="1:20" ht="14.5" x14ac:dyDescent="0.35">
      <c r="A10218" s="10" t="s">
        <v>45150</v>
      </c>
      <c r="B10218" s="10" t="str">
        <f>"9780802871053"</f>
        <v>9780802871053</v>
      </c>
      <c r="C10218" s="10" t="str">
        <f>"9781467440394"</f>
        <v>9781467440394</v>
      </c>
      <c r="D10218" s="10" t="s">
        <v>9215</v>
      </c>
      <c r="E10218" s="10" t="s">
        <v>45151</v>
      </c>
      <c r="F10218" s="10" t="s">
        <v>45152</v>
      </c>
      <c r="G10218" s="10" t="s">
        <v>6317</v>
      </c>
      <c r="H10218" s="11">
        <v>41705</v>
      </c>
      <c r="I10218" s="10">
        <v>2014</v>
      </c>
      <c r="J10218" s="10" t="s">
        <v>45153</v>
      </c>
      <c r="K10218" s="10">
        <v>296</v>
      </c>
      <c r="L10218" s="10" t="s">
        <v>45154</v>
      </c>
      <c r="M10218" s="10"/>
      <c r="N10218" s="10"/>
      <c r="O10218" s="10"/>
      <c r="P10218" s="10" t="s">
        <v>45155</v>
      </c>
      <c r="Q10218" s="10" t="s">
        <v>23382</v>
      </c>
      <c r="R10218" s="10" t="s">
        <v>45156</v>
      </c>
      <c r="S10218" s="10" t="s">
        <v>53</v>
      </c>
      <c r="T10218" s="10" t="s">
        <v>54</v>
      </c>
    </row>
    <row r="10219" spans="1:20" ht="14.5" x14ac:dyDescent="0.35">
      <c r="A10219" s="10" t="s">
        <v>45157</v>
      </c>
      <c r="B10219" s="10" t="str">
        <f>"9781563684852"</f>
        <v>9781563684852</v>
      </c>
      <c r="C10219" s="10" t="str">
        <f>"9781563684869"</f>
        <v>9781563684869</v>
      </c>
      <c r="D10219" s="10" t="s">
        <v>263</v>
      </c>
      <c r="E10219" s="10" t="s">
        <v>263</v>
      </c>
      <c r="F10219" s="10" t="s">
        <v>11765</v>
      </c>
      <c r="G10219" s="10" t="s">
        <v>6317</v>
      </c>
      <c r="H10219" s="11">
        <v>40602</v>
      </c>
      <c r="I10219" s="10">
        <v>2011</v>
      </c>
      <c r="J10219" s="10" t="s">
        <v>263</v>
      </c>
      <c r="K10219" s="10">
        <v>189</v>
      </c>
      <c r="L10219" s="10" t="s">
        <v>45158</v>
      </c>
      <c r="M10219" s="10">
        <v>1</v>
      </c>
      <c r="N10219" s="10" t="s">
        <v>43613</v>
      </c>
      <c r="O10219" s="10">
        <v>1</v>
      </c>
      <c r="P10219" s="10" t="s">
        <v>45159</v>
      </c>
      <c r="Q10219" s="10" t="s">
        <v>9875</v>
      </c>
      <c r="R10219" s="10" t="s">
        <v>45160</v>
      </c>
      <c r="S10219" s="10" t="s">
        <v>53</v>
      </c>
      <c r="T10219" s="10" t="s">
        <v>6526</v>
      </c>
    </row>
    <row r="10220" spans="1:20" ht="14.5" x14ac:dyDescent="0.35">
      <c r="A10220" s="10" t="s">
        <v>45161</v>
      </c>
      <c r="B10220" s="10" t="str">
        <f>"9781563685095"</f>
        <v>9781563685095</v>
      </c>
      <c r="C10220" s="10" t="str">
        <f>"9781563685132"</f>
        <v>9781563685132</v>
      </c>
      <c r="D10220" s="10" t="s">
        <v>263</v>
      </c>
      <c r="E10220" s="10" t="s">
        <v>263</v>
      </c>
      <c r="F10220" s="10" t="s">
        <v>11765</v>
      </c>
      <c r="G10220" s="10" t="s">
        <v>6317</v>
      </c>
      <c r="H10220" s="11">
        <v>40908</v>
      </c>
      <c r="I10220" s="10">
        <v>2011</v>
      </c>
      <c r="J10220" s="10" t="s">
        <v>263</v>
      </c>
      <c r="K10220" s="10">
        <v>329</v>
      </c>
      <c r="L10220" s="10" t="s">
        <v>45162</v>
      </c>
      <c r="M10220" s="10">
        <v>1</v>
      </c>
      <c r="N10220" s="10"/>
      <c r="O10220" s="10"/>
      <c r="P10220" s="10" t="s">
        <v>17787</v>
      </c>
      <c r="Q10220" s="10">
        <v>371.9</v>
      </c>
      <c r="R10220" s="10" t="s">
        <v>45163</v>
      </c>
      <c r="S10220" s="10" t="s">
        <v>53</v>
      </c>
      <c r="T10220" s="10" t="s">
        <v>54</v>
      </c>
    </row>
    <row r="10221" spans="1:20" ht="14.5" x14ac:dyDescent="0.35">
      <c r="A10221" s="10" t="s">
        <v>45164</v>
      </c>
      <c r="B10221" s="10" t="str">
        <f>"9789463008945"</f>
        <v>9789463008945</v>
      </c>
      <c r="C10221" s="10" t="str">
        <f>"9789463008969"</f>
        <v>9789463008969</v>
      </c>
      <c r="D10221" s="10" t="s">
        <v>8564</v>
      </c>
      <c r="E10221" s="10" t="s">
        <v>8565</v>
      </c>
      <c r="F10221" s="10" t="s">
        <v>1420</v>
      </c>
      <c r="G10221" s="10" t="s">
        <v>6317</v>
      </c>
      <c r="H10221" s="11">
        <v>42754</v>
      </c>
      <c r="I10221" s="10">
        <v>2016</v>
      </c>
      <c r="J10221" s="10" t="s">
        <v>33259</v>
      </c>
      <c r="K10221" s="10">
        <v>327</v>
      </c>
      <c r="L10221" s="10" t="s">
        <v>45165</v>
      </c>
      <c r="M10221" s="10">
        <v>1</v>
      </c>
      <c r="N10221" s="10" t="s">
        <v>33332</v>
      </c>
      <c r="O10221" s="10">
        <v>13</v>
      </c>
      <c r="P10221" s="10" t="s">
        <v>19534</v>
      </c>
      <c r="Q10221" s="10"/>
      <c r="R10221" s="10" t="s">
        <v>45166</v>
      </c>
      <c r="S10221" s="10" t="s">
        <v>53</v>
      </c>
      <c r="T10221" s="10" t="s">
        <v>54</v>
      </c>
    </row>
    <row r="10222" spans="1:20" ht="14.5" x14ac:dyDescent="0.35">
      <c r="A10222" s="10" t="s">
        <v>45167</v>
      </c>
      <c r="B10222" s="10" t="str">
        <f>"9789463009577"</f>
        <v>9789463009577</v>
      </c>
      <c r="C10222" s="10" t="str">
        <f>"9789463009591"</f>
        <v>9789463009591</v>
      </c>
      <c r="D10222" s="10" t="s">
        <v>8564</v>
      </c>
      <c r="E10222" s="10" t="s">
        <v>8565</v>
      </c>
      <c r="F10222" s="10" t="s">
        <v>1420</v>
      </c>
      <c r="G10222" s="10" t="s">
        <v>6317</v>
      </c>
      <c r="H10222" s="11">
        <v>42824</v>
      </c>
      <c r="I10222" s="10">
        <v>2017</v>
      </c>
      <c r="J10222" s="10" t="s">
        <v>33259</v>
      </c>
      <c r="K10222" s="10">
        <v>86</v>
      </c>
      <c r="L10222" s="10" t="s">
        <v>45168</v>
      </c>
      <c r="M10222" s="10">
        <v>1</v>
      </c>
      <c r="N10222" s="10" t="s">
        <v>44161</v>
      </c>
      <c r="O10222" s="10">
        <v>119</v>
      </c>
      <c r="P10222" s="10" t="s">
        <v>19534</v>
      </c>
      <c r="Q10222" s="10"/>
      <c r="R10222" s="10"/>
      <c r="S10222" s="10" t="s">
        <v>53</v>
      </c>
      <c r="T10222" s="10" t="s">
        <v>54</v>
      </c>
    </row>
    <row r="10223" spans="1:20" ht="14.5" x14ac:dyDescent="0.35">
      <c r="A10223" s="10" t="s">
        <v>45169</v>
      </c>
      <c r="B10223" s="10" t="str">
        <f>"9789463009751"</f>
        <v>9789463009751</v>
      </c>
      <c r="C10223" s="10" t="str">
        <f>"9789463009775"</f>
        <v>9789463009775</v>
      </c>
      <c r="D10223" s="10" t="s">
        <v>8564</v>
      </c>
      <c r="E10223" s="10" t="s">
        <v>8565</v>
      </c>
      <c r="F10223" s="10" t="s">
        <v>1420</v>
      </c>
      <c r="G10223" s="10" t="s">
        <v>6317</v>
      </c>
      <c r="H10223" s="11">
        <v>42832</v>
      </c>
      <c r="I10223" s="10">
        <v>2017</v>
      </c>
      <c r="J10223" s="10" t="s">
        <v>33259</v>
      </c>
      <c r="K10223" s="10">
        <v>267</v>
      </c>
      <c r="L10223" s="10" t="s">
        <v>45170</v>
      </c>
      <c r="M10223" s="10">
        <v>1</v>
      </c>
      <c r="N10223" s="10" t="s">
        <v>45171</v>
      </c>
      <c r="O10223" s="10">
        <v>8</v>
      </c>
      <c r="P10223" s="10"/>
      <c r="Q10223" s="10"/>
      <c r="R10223" s="10"/>
      <c r="S10223" s="10" t="s">
        <v>53</v>
      </c>
      <c r="T10223" s="10" t="s">
        <v>54</v>
      </c>
    </row>
    <row r="10224" spans="1:20" ht="14.5" x14ac:dyDescent="0.35">
      <c r="A10224" s="10" t="s">
        <v>45172</v>
      </c>
      <c r="B10224" s="10" t="str">
        <f>"9781474254328"</f>
        <v>9781474254328</v>
      </c>
      <c r="C10224" s="10" t="str">
        <f>"9781474254359"</f>
        <v>9781474254359</v>
      </c>
      <c r="D10224" s="10" t="s">
        <v>13959</v>
      </c>
      <c r="E10224" s="10" t="s">
        <v>13960</v>
      </c>
      <c r="F10224" s="10" t="s">
        <v>139</v>
      </c>
      <c r="G10224" s="10" t="s">
        <v>6352</v>
      </c>
      <c r="H10224" s="11">
        <v>42915</v>
      </c>
      <c r="I10224" s="10">
        <v>2017</v>
      </c>
      <c r="J10224" s="10" t="s">
        <v>14057</v>
      </c>
      <c r="K10224" s="10">
        <v>225</v>
      </c>
      <c r="L10224" s="10" t="s">
        <v>45173</v>
      </c>
      <c r="M10224" s="10">
        <v>1</v>
      </c>
      <c r="N10224" s="10"/>
      <c r="O10224" s="10"/>
      <c r="P10224" s="10" t="s">
        <v>45174</v>
      </c>
      <c r="Q10224" s="10">
        <v>371.9</v>
      </c>
      <c r="R10224" s="10" t="s">
        <v>45175</v>
      </c>
      <c r="S10224" s="10" t="s">
        <v>53</v>
      </c>
      <c r="T10224" s="10" t="s">
        <v>54</v>
      </c>
    </row>
    <row r="10225" spans="1:20" ht="14.5" x14ac:dyDescent="0.35">
      <c r="A10225" s="10" t="s">
        <v>45176</v>
      </c>
      <c r="B10225" s="10" t="str">
        <f>"9781464810053"</f>
        <v>9781464810053</v>
      </c>
      <c r="C10225" s="10" t="str">
        <f>"9781464810060"</f>
        <v>9781464810060</v>
      </c>
      <c r="D10225" s="10" t="s">
        <v>14731</v>
      </c>
      <c r="E10225" s="10" t="s">
        <v>14732</v>
      </c>
      <c r="F10225" s="10" t="s">
        <v>11765</v>
      </c>
      <c r="G10225" s="10" t="s">
        <v>6317</v>
      </c>
      <c r="H10225" s="11">
        <v>42872</v>
      </c>
      <c r="I10225" s="10">
        <v>2017</v>
      </c>
      <c r="J10225" s="10" t="s">
        <v>14732</v>
      </c>
      <c r="K10225" s="10">
        <v>205</v>
      </c>
      <c r="L10225" s="10" t="s">
        <v>45177</v>
      </c>
      <c r="M10225" s="10">
        <v>1</v>
      </c>
      <c r="N10225" s="10" t="s">
        <v>31680</v>
      </c>
      <c r="O10225" s="10"/>
      <c r="P10225" s="10" t="s">
        <v>45178</v>
      </c>
      <c r="Q10225" s="10">
        <v>330.96699999999902</v>
      </c>
      <c r="R10225" s="10" t="s">
        <v>45179</v>
      </c>
      <c r="S10225" s="10" t="s">
        <v>53</v>
      </c>
      <c r="T10225" s="10" t="s">
        <v>10311</v>
      </c>
    </row>
    <row r="10226" spans="1:20" ht="14.5" x14ac:dyDescent="0.35">
      <c r="A10226" s="10" t="s">
        <v>45180</v>
      </c>
      <c r="B10226" s="10" t="str">
        <f>"9781464810145"</f>
        <v>9781464810145</v>
      </c>
      <c r="C10226" s="10" t="str">
        <f>"9781464810152"</f>
        <v>9781464810152</v>
      </c>
      <c r="D10226" s="10" t="s">
        <v>14731</v>
      </c>
      <c r="E10226" s="10" t="s">
        <v>14732</v>
      </c>
      <c r="F10226" s="10" t="s">
        <v>11765</v>
      </c>
      <c r="G10226" s="10" t="s">
        <v>6317</v>
      </c>
      <c r="H10226" s="11">
        <v>42873</v>
      </c>
      <c r="I10226" s="10">
        <v>2017</v>
      </c>
      <c r="J10226" s="10" t="s">
        <v>14732</v>
      </c>
      <c r="K10226" s="10">
        <v>301</v>
      </c>
      <c r="L10226" s="10" t="s">
        <v>45181</v>
      </c>
      <c r="M10226" s="10">
        <v>1</v>
      </c>
      <c r="N10226" s="10" t="s">
        <v>31680</v>
      </c>
      <c r="O10226" s="10"/>
      <c r="P10226" s="10" t="s">
        <v>45182</v>
      </c>
      <c r="Q10226" s="10">
        <v>378.8</v>
      </c>
      <c r="R10226" s="10" t="s">
        <v>45183</v>
      </c>
      <c r="S10226" s="10" t="s">
        <v>53</v>
      </c>
      <c r="T10226" s="10" t="s">
        <v>54</v>
      </c>
    </row>
    <row r="10227" spans="1:20" ht="14.5" x14ac:dyDescent="0.35">
      <c r="A10227" s="10" t="s">
        <v>45184</v>
      </c>
      <c r="B10227" s="10" t="str">
        <f>"9781943874217"</f>
        <v>9781943874217</v>
      </c>
      <c r="C10227" s="10" t="str">
        <f>"9781943874224"</f>
        <v>9781943874224</v>
      </c>
      <c r="D10227" s="10" t="s">
        <v>37580</v>
      </c>
      <c r="E10227" s="10" t="s">
        <v>37581</v>
      </c>
      <c r="F10227" s="10" t="s">
        <v>37623</v>
      </c>
      <c r="G10227" s="10" t="s">
        <v>6317</v>
      </c>
      <c r="H10227" s="11">
        <v>42888</v>
      </c>
      <c r="I10227" s="10">
        <v>2017</v>
      </c>
      <c r="J10227" s="10" t="s">
        <v>37581</v>
      </c>
      <c r="K10227" s="10">
        <v>96</v>
      </c>
      <c r="L10227" s="10" t="s">
        <v>45185</v>
      </c>
      <c r="M10227" s="10">
        <v>1</v>
      </c>
      <c r="N10227" s="10"/>
      <c r="O10227" s="10"/>
      <c r="P10227" s="10"/>
      <c r="Q10227" s="10"/>
      <c r="R10227" s="10"/>
      <c r="S10227" s="10" t="s">
        <v>53</v>
      </c>
      <c r="T10227" s="10" t="s">
        <v>54</v>
      </c>
    </row>
    <row r="10228" spans="1:20" ht="14.5" x14ac:dyDescent="0.35">
      <c r="A10228" s="10" t="s">
        <v>45186</v>
      </c>
      <c r="B10228" s="10" t="str">
        <f>"9780081020357"</f>
        <v>9780081020357</v>
      </c>
      <c r="C10228" s="10" t="str">
        <f>"9780081020364"</f>
        <v>9780081020364</v>
      </c>
      <c r="D10228" s="10" t="s">
        <v>8547</v>
      </c>
      <c r="E10228" s="10" t="s">
        <v>8548</v>
      </c>
      <c r="F10228" s="10" t="s">
        <v>31644</v>
      </c>
      <c r="G10228" s="10" t="s">
        <v>6352</v>
      </c>
      <c r="H10228" s="11">
        <v>42878</v>
      </c>
      <c r="I10228" s="10">
        <v>2017</v>
      </c>
      <c r="J10228" s="10" t="s">
        <v>27024</v>
      </c>
      <c r="K10228" s="10">
        <v>278</v>
      </c>
      <c r="L10228" s="10" t="s">
        <v>45187</v>
      </c>
      <c r="M10228" s="10">
        <v>1</v>
      </c>
      <c r="N10228" s="10"/>
      <c r="O10228" s="10"/>
      <c r="P10228" s="10" t="s">
        <v>45188</v>
      </c>
      <c r="Q10228" s="10">
        <v>371.33</v>
      </c>
      <c r="R10228" s="10" t="s">
        <v>29942</v>
      </c>
      <c r="S10228" s="10" t="s">
        <v>53</v>
      </c>
      <c r="T10228" s="10" t="s">
        <v>54</v>
      </c>
    </row>
    <row r="10229" spans="1:20" ht="14.5" x14ac:dyDescent="0.35">
      <c r="A10229" s="10" t="s">
        <v>45189</v>
      </c>
      <c r="B10229" s="10" t="str">
        <f>"9781421424330"</f>
        <v>9781421424330</v>
      </c>
      <c r="C10229" s="10" t="str">
        <f>"9781421424347"</f>
        <v>9781421424347</v>
      </c>
      <c r="D10229" s="10" t="s">
        <v>884</v>
      </c>
      <c r="E10229" s="10" t="s">
        <v>884</v>
      </c>
      <c r="F10229" s="10" t="s">
        <v>885</v>
      </c>
      <c r="G10229" s="10" t="s">
        <v>6317</v>
      </c>
      <c r="H10229" s="11">
        <v>43084</v>
      </c>
      <c r="I10229" s="10">
        <v>2017</v>
      </c>
      <c r="J10229" s="10" t="s">
        <v>884</v>
      </c>
      <c r="K10229" s="10">
        <v>191</v>
      </c>
      <c r="L10229" s="10" t="s">
        <v>45190</v>
      </c>
      <c r="M10229" s="10">
        <v>1</v>
      </c>
      <c r="N10229" s="10" t="s">
        <v>35998</v>
      </c>
      <c r="O10229" s="10"/>
      <c r="P10229" s="10" t="s">
        <v>45191</v>
      </c>
      <c r="Q10229" s="10">
        <v>371.33</v>
      </c>
      <c r="R10229" s="10" t="s">
        <v>45192</v>
      </c>
      <c r="S10229" s="10" t="s">
        <v>53</v>
      </c>
      <c r="T10229" s="10" t="s">
        <v>54</v>
      </c>
    </row>
    <row r="10230" spans="1:20" ht="14.5" x14ac:dyDescent="0.35">
      <c r="A10230" s="10" t="s">
        <v>45193</v>
      </c>
      <c r="B10230" s="10" t="str">
        <f>"9781421423968"</f>
        <v>9781421423968</v>
      </c>
      <c r="C10230" s="10" t="str">
        <f>"9781421423975"</f>
        <v>9781421423975</v>
      </c>
      <c r="D10230" s="10" t="s">
        <v>884</v>
      </c>
      <c r="E10230" s="10" t="s">
        <v>884</v>
      </c>
      <c r="F10230" s="10" t="s">
        <v>885</v>
      </c>
      <c r="G10230" s="10" t="s">
        <v>6317</v>
      </c>
      <c r="H10230" s="11">
        <v>43084</v>
      </c>
      <c r="I10230" s="10">
        <v>2017</v>
      </c>
      <c r="J10230" s="10" t="s">
        <v>884</v>
      </c>
      <c r="K10230" s="10">
        <v>217</v>
      </c>
      <c r="L10230" s="10" t="s">
        <v>45194</v>
      </c>
      <c r="M10230" s="10">
        <v>1</v>
      </c>
      <c r="N10230" s="10" t="s">
        <v>35998</v>
      </c>
      <c r="O10230" s="10"/>
      <c r="P10230" s="10" t="s">
        <v>45195</v>
      </c>
      <c r="Q10230" s="10" t="s">
        <v>14582</v>
      </c>
      <c r="R10230" s="10" t="s">
        <v>45196</v>
      </c>
      <c r="S10230" s="10" t="s">
        <v>53</v>
      </c>
      <c r="T10230" s="10" t="s">
        <v>54</v>
      </c>
    </row>
    <row r="10231" spans="1:20" ht="14.5" x14ac:dyDescent="0.35">
      <c r="A10231" s="10" t="s">
        <v>45197</v>
      </c>
      <c r="B10231" s="10" t="str">
        <f>"9781421423296"</f>
        <v>9781421423296</v>
      </c>
      <c r="C10231" s="10" t="str">
        <f>"9781421423302"</f>
        <v>9781421423302</v>
      </c>
      <c r="D10231" s="10" t="s">
        <v>884</v>
      </c>
      <c r="E10231" s="10" t="s">
        <v>884</v>
      </c>
      <c r="F10231" s="10" t="s">
        <v>885</v>
      </c>
      <c r="G10231" s="10" t="s">
        <v>6317</v>
      </c>
      <c r="H10231" s="11">
        <v>43005</v>
      </c>
      <c r="I10231" s="10">
        <v>2017</v>
      </c>
      <c r="J10231" s="10" t="s">
        <v>884</v>
      </c>
      <c r="K10231" s="10">
        <v>217</v>
      </c>
      <c r="L10231" s="10" t="s">
        <v>45198</v>
      </c>
      <c r="M10231" s="10">
        <v>1</v>
      </c>
      <c r="N10231" s="10" t="s">
        <v>45199</v>
      </c>
      <c r="O10231" s="10">
        <v>132</v>
      </c>
      <c r="P10231" s="10" t="s">
        <v>45200</v>
      </c>
      <c r="Q10231" s="10">
        <v>327.73009200000001</v>
      </c>
      <c r="R10231" s="10" t="s">
        <v>45201</v>
      </c>
      <c r="S10231" s="10" t="s">
        <v>53</v>
      </c>
      <c r="T10231" s="10" t="s">
        <v>15364</v>
      </c>
    </row>
    <row r="10232" spans="1:20" ht="14.5" x14ac:dyDescent="0.35">
      <c r="A10232" s="10" t="s">
        <v>45202</v>
      </c>
      <c r="B10232" s="10" t="str">
        <f>"9781557537805"</f>
        <v>9781557537805</v>
      </c>
      <c r="C10232" s="10" t="str">
        <f>"9781612494944"</f>
        <v>9781612494944</v>
      </c>
      <c r="D10232" s="10" t="s">
        <v>9533</v>
      </c>
      <c r="E10232" s="10" t="s">
        <v>4024</v>
      </c>
      <c r="F10232" s="10" t="s">
        <v>31319</v>
      </c>
      <c r="G10232" s="10" t="s">
        <v>6317</v>
      </c>
      <c r="H10232" s="11">
        <v>42809</v>
      </c>
      <c r="I10232" s="10">
        <v>2017</v>
      </c>
      <c r="J10232" s="10" t="s">
        <v>4024</v>
      </c>
      <c r="K10232" s="10">
        <v>320</v>
      </c>
      <c r="L10232" s="10" t="s">
        <v>45203</v>
      </c>
      <c r="M10232" s="10">
        <v>1</v>
      </c>
      <c r="N10232" s="10"/>
      <c r="O10232" s="10"/>
      <c r="P10232" s="10" t="s">
        <v>45204</v>
      </c>
      <c r="Q10232" s="10">
        <v>371.30973</v>
      </c>
      <c r="R10232" s="10" t="s">
        <v>45205</v>
      </c>
      <c r="S10232" s="10" t="s">
        <v>53</v>
      </c>
      <c r="T10232" s="10" t="s">
        <v>54</v>
      </c>
    </row>
    <row r="10233" spans="1:20" ht="14.5" x14ac:dyDescent="0.35">
      <c r="A10233" s="10" t="s">
        <v>45206</v>
      </c>
      <c r="B10233" s="10" t="str">
        <f>"9783319530789"</f>
        <v>9783319530789</v>
      </c>
      <c r="C10233" s="10" t="str">
        <f>"9783319530796"</f>
        <v>9783319530796</v>
      </c>
      <c r="D10233" s="10" t="s">
        <v>11249</v>
      </c>
      <c r="E10233" s="10" t="s">
        <v>26623</v>
      </c>
      <c r="F10233" s="10" t="s">
        <v>26624</v>
      </c>
      <c r="G10233" s="10" t="s">
        <v>16676</v>
      </c>
      <c r="H10233" s="11">
        <v>42885</v>
      </c>
      <c r="I10233" s="10">
        <v>2017</v>
      </c>
      <c r="J10233" s="10" t="s">
        <v>26623</v>
      </c>
      <c r="K10233" s="10">
        <v>231</v>
      </c>
      <c r="L10233" s="10" t="s">
        <v>45207</v>
      </c>
      <c r="M10233" s="10">
        <v>1</v>
      </c>
      <c r="N10233" s="10" t="s">
        <v>45208</v>
      </c>
      <c r="O10233" s="10">
        <v>4</v>
      </c>
      <c r="P10233" s="10" t="s">
        <v>11275</v>
      </c>
      <c r="Q10233" s="10">
        <v>305.89600000000002</v>
      </c>
      <c r="R10233" s="10" t="s">
        <v>6558</v>
      </c>
      <c r="S10233" s="10" t="s">
        <v>53</v>
      </c>
      <c r="T10233" s="10" t="s">
        <v>6472</v>
      </c>
    </row>
    <row r="10234" spans="1:20" ht="14.5" x14ac:dyDescent="0.35">
      <c r="A10234" s="10" t="s">
        <v>45209</v>
      </c>
      <c r="B10234" s="10" t="str">
        <f>"9781473957169"</f>
        <v>9781473957169</v>
      </c>
      <c r="C10234" s="10" t="str">
        <f>"9781526413291"</f>
        <v>9781526413291</v>
      </c>
      <c r="D10234" s="10" t="s">
        <v>9325</v>
      </c>
      <c r="E10234" s="10" t="s">
        <v>9326</v>
      </c>
      <c r="F10234" s="10" t="s">
        <v>139</v>
      </c>
      <c r="G10234" s="10" t="s">
        <v>6352</v>
      </c>
      <c r="H10234" s="11">
        <v>42908</v>
      </c>
      <c r="I10234" s="10">
        <v>2017</v>
      </c>
      <c r="J10234" s="10" t="s">
        <v>9326</v>
      </c>
      <c r="K10234" s="10">
        <v>153</v>
      </c>
      <c r="L10234" s="10" t="s">
        <v>45210</v>
      </c>
      <c r="M10234" s="10">
        <v>1</v>
      </c>
      <c r="N10234" s="10"/>
      <c r="O10234" s="10"/>
      <c r="P10234" s="10" t="s">
        <v>45211</v>
      </c>
      <c r="Q10234" s="10">
        <v>371.8</v>
      </c>
      <c r="R10234" s="10" t="s">
        <v>45212</v>
      </c>
      <c r="S10234" s="10" t="s">
        <v>53</v>
      </c>
      <c r="T10234" s="10" t="s">
        <v>54</v>
      </c>
    </row>
    <row r="10235" spans="1:20" ht="14.5" x14ac:dyDescent="0.35">
      <c r="A10235" s="10" t="s">
        <v>45213</v>
      </c>
      <c r="B10235" s="10" t="str">
        <f>"9781473915992"</f>
        <v>9781473915992</v>
      </c>
      <c r="C10235" s="10" t="str">
        <f>"9781473927124"</f>
        <v>9781473927124</v>
      </c>
      <c r="D10235" s="10" t="s">
        <v>9325</v>
      </c>
      <c r="E10235" s="10" t="s">
        <v>9326</v>
      </c>
      <c r="F10235" s="10" t="s">
        <v>139</v>
      </c>
      <c r="G10235" s="10" t="s">
        <v>6352</v>
      </c>
      <c r="H10235" s="11">
        <v>43062</v>
      </c>
      <c r="I10235" s="10">
        <v>2017</v>
      </c>
      <c r="J10235" s="10" t="s">
        <v>9326</v>
      </c>
      <c r="K10235" s="10">
        <v>153</v>
      </c>
      <c r="L10235" s="10" t="s">
        <v>45214</v>
      </c>
      <c r="M10235" s="10">
        <v>1</v>
      </c>
      <c r="N10235" s="10" t="s">
        <v>40674</v>
      </c>
      <c r="O10235" s="10"/>
      <c r="P10235" s="10" t="s">
        <v>40485</v>
      </c>
      <c r="Q10235" s="10">
        <v>372.13344167499997</v>
      </c>
      <c r="R10235" s="10" t="s">
        <v>21693</v>
      </c>
      <c r="S10235" s="10" t="s">
        <v>53</v>
      </c>
      <c r="T10235" s="10" t="s">
        <v>54</v>
      </c>
    </row>
    <row r="10236" spans="1:20" ht="14.5" x14ac:dyDescent="0.35">
      <c r="A10236" s="10" t="s">
        <v>45215</v>
      </c>
      <c r="B10236" s="10" t="str">
        <f>"9781474298902"</f>
        <v>9781474298902</v>
      </c>
      <c r="C10236" s="10" t="str">
        <f>"9781474298872"</f>
        <v>9781474298872</v>
      </c>
      <c r="D10236" s="10" t="s">
        <v>13959</v>
      </c>
      <c r="E10236" s="10" t="s">
        <v>13960</v>
      </c>
      <c r="F10236" s="10" t="s">
        <v>139</v>
      </c>
      <c r="G10236" s="10" t="s">
        <v>6352</v>
      </c>
      <c r="H10236" s="11">
        <v>42929</v>
      </c>
      <c r="I10236" s="10">
        <v>2017</v>
      </c>
      <c r="J10236" s="10" t="s">
        <v>14057</v>
      </c>
      <c r="K10236" s="10">
        <v>212</v>
      </c>
      <c r="L10236" s="10" t="s">
        <v>45216</v>
      </c>
      <c r="M10236" s="10">
        <v>1</v>
      </c>
      <c r="N10236" s="10" t="s">
        <v>45217</v>
      </c>
      <c r="O10236" s="10"/>
      <c r="P10236" s="10" t="s">
        <v>45218</v>
      </c>
      <c r="Q10236" s="10">
        <v>791.45719999999994</v>
      </c>
      <c r="R10236" s="10" t="s">
        <v>45219</v>
      </c>
      <c r="S10236" s="10" t="s">
        <v>53</v>
      </c>
      <c r="T10236" s="10" t="s">
        <v>6384</v>
      </c>
    </row>
    <row r="10237" spans="1:20" ht="14.5" x14ac:dyDescent="0.35">
      <c r="A10237" s="10" t="s">
        <v>45220</v>
      </c>
      <c r="B10237" s="10" t="str">
        <f>"9781138051164"</f>
        <v>9781138051164</v>
      </c>
      <c r="C10237" s="10" t="str">
        <f>"9781351685832"</f>
        <v>9781351685832</v>
      </c>
      <c r="D10237" s="10" t="s">
        <v>6350</v>
      </c>
      <c r="E10237" s="10" t="s">
        <v>6351</v>
      </c>
      <c r="F10237" s="10" t="s">
        <v>139</v>
      </c>
      <c r="G10237" s="10" t="s">
        <v>6352</v>
      </c>
      <c r="H10237" s="11">
        <v>32690</v>
      </c>
      <c r="I10237" s="10">
        <v>1989</v>
      </c>
      <c r="J10237" s="10" t="s">
        <v>6353</v>
      </c>
      <c r="K10237" s="10">
        <v>185</v>
      </c>
      <c r="L10237" s="10" t="s">
        <v>45221</v>
      </c>
      <c r="M10237" s="10">
        <v>1</v>
      </c>
      <c r="N10237" s="10" t="s">
        <v>45222</v>
      </c>
      <c r="O10237" s="10"/>
      <c r="P10237" s="10" t="s">
        <v>45223</v>
      </c>
      <c r="Q10237" s="10">
        <v>371.82209940000001</v>
      </c>
      <c r="R10237" s="10" t="s">
        <v>45224</v>
      </c>
      <c r="S10237" s="10" t="s">
        <v>53</v>
      </c>
      <c r="T10237" s="10" t="s">
        <v>54</v>
      </c>
    </row>
    <row r="10238" spans="1:20" ht="14.5" x14ac:dyDescent="0.35">
      <c r="A10238" s="10" t="s">
        <v>45225</v>
      </c>
      <c r="B10238" s="10" t="str">
        <f>"9780895031167"</f>
        <v>9780895031167</v>
      </c>
      <c r="C10238" s="10" t="str">
        <f>"9780429642906"</f>
        <v>9780429642906</v>
      </c>
      <c r="D10238" s="10" t="s">
        <v>6350</v>
      </c>
      <c r="E10238" s="10" t="s">
        <v>6351</v>
      </c>
      <c r="F10238" s="10" t="s">
        <v>139</v>
      </c>
      <c r="G10238" s="10" t="s">
        <v>6352</v>
      </c>
      <c r="H10238" s="11">
        <v>34500</v>
      </c>
      <c r="I10238" s="10">
        <v>1994</v>
      </c>
      <c r="J10238" s="10" t="s">
        <v>6353</v>
      </c>
      <c r="K10238" s="10">
        <v>224</v>
      </c>
      <c r="L10238" s="10" t="s">
        <v>45226</v>
      </c>
      <c r="M10238" s="10">
        <v>1</v>
      </c>
      <c r="N10238" s="10" t="s">
        <v>45227</v>
      </c>
      <c r="O10238" s="10"/>
      <c r="P10238" s="10" t="s">
        <v>45228</v>
      </c>
      <c r="Q10238" s="10">
        <v>658.30093999999997</v>
      </c>
      <c r="R10238" s="10" t="s">
        <v>15662</v>
      </c>
      <c r="S10238" s="10" t="s">
        <v>53</v>
      </c>
      <c r="T10238" s="10" t="s">
        <v>6660</v>
      </c>
    </row>
    <row r="10239" spans="1:20" ht="14.5" x14ac:dyDescent="0.35">
      <c r="A10239" s="10" t="s">
        <v>45229</v>
      </c>
      <c r="B10239" s="10" t="str">
        <f>"9788073084776"</f>
        <v>9788073084776</v>
      </c>
      <c r="C10239" s="10" t="str">
        <f>"9788073086145"</f>
        <v>9788073086145</v>
      </c>
      <c r="D10239" s="10" t="s">
        <v>45230</v>
      </c>
      <c r="E10239" s="10" t="s">
        <v>45231</v>
      </c>
      <c r="F10239" s="10" t="s">
        <v>1796</v>
      </c>
      <c r="G10239" s="10" t="s">
        <v>30936</v>
      </c>
      <c r="H10239" s="11">
        <v>41579</v>
      </c>
      <c r="I10239" s="10">
        <v>2013</v>
      </c>
      <c r="J10239" s="10" t="s">
        <v>45231</v>
      </c>
      <c r="K10239" s="10">
        <v>202</v>
      </c>
      <c r="L10239" s="10" t="s">
        <v>45232</v>
      </c>
      <c r="M10239" s="10">
        <v>1</v>
      </c>
      <c r="N10239" s="10" t="s">
        <v>45233</v>
      </c>
      <c r="O10239" s="10">
        <v>15</v>
      </c>
      <c r="P10239" s="10" t="s">
        <v>45234</v>
      </c>
      <c r="Q10239" s="10">
        <v>331.125</v>
      </c>
      <c r="R10239" s="10" t="s">
        <v>45235</v>
      </c>
      <c r="S10239" s="10" t="s">
        <v>4212</v>
      </c>
      <c r="T10239" s="10" t="s">
        <v>7545</v>
      </c>
    </row>
    <row r="10240" spans="1:20" ht="14.5" x14ac:dyDescent="0.35">
      <c r="A10240" s="10" t="s">
        <v>45236</v>
      </c>
      <c r="B10240" s="10" t="str">
        <f>"9788073086947"</f>
        <v>9788073086947</v>
      </c>
      <c r="C10240" s="10" t="str">
        <f>"9788073086954"</f>
        <v>9788073086954</v>
      </c>
      <c r="D10240" s="10" t="s">
        <v>45230</v>
      </c>
      <c r="E10240" s="10" t="s">
        <v>45231</v>
      </c>
      <c r="F10240" s="10" t="s">
        <v>1796</v>
      </c>
      <c r="G10240" s="10" t="s">
        <v>30936</v>
      </c>
      <c r="H10240" s="11">
        <v>42705</v>
      </c>
      <c r="I10240" s="10">
        <v>2016</v>
      </c>
      <c r="J10240" s="10" t="s">
        <v>45231</v>
      </c>
      <c r="K10240" s="10">
        <v>174</v>
      </c>
      <c r="L10240" s="10" t="s">
        <v>45237</v>
      </c>
      <c r="M10240" s="10">
        <v>1</v>
      </c>
      <c r="N10240" s="10" t="s">
        <v>45233</v>
      </c>
      <c r="O10240" s="10">
        <v>56</v>
      </c>
      <c r="P10240" s="10" t="s">
        <v>45238</v>
      </c>
      <c r="Q10240" s="10">
        <v>374</v>
      </c>
      <c r="R10240" s="10" t="s">
        <v>11901</v>
      </c>
      <c r="S10240" s="10" t="s">
        <v>4212</v>
      </c>
      <c r="T10240" s="10" t="s">
        <v>54</v>
      </c>
    </row>
    <row r="10241" spans="1:20" ht="14.5" x14ac:dyDescent="0.35">
      <c r="A10241" s="10" t="s">
        <v>45239</v>
      </c>
      <c r="B10241" s="10" t="str">
        <f>"9788073085049"</f>
        <v>9788073085049</v>
      </c>
      <c r="C10241" s="10" t="str">
        <f>"9788073086206"</f>
        <v>9788073086206</v>
      </c>
      <c r="D10241" s="10" t="s">
        <v>45230</v>
      </c>
      <c r="E10241" s="10" t="s">
        <v>45231</v>
      </c>
      <c r="F10241" s="10" t="s">
        <v>1796</v>
      </c>
      <c r="G10241" s="10" t="s">
        <v>30936</v>
      </c>
      <c r="H10241" s="11">
        <v>41609</v>
      </c>
      <c r="I10241" s="10">
        <v>2013</v>
      </c>
      <c r="J10241" s="10" t="s">
        <v>45231</v>
      </c>
      <c r="K10241" s="10">
        <v>188</v>
      </c>
      <c r="L10241" s="10" t="s">
        <v>45240</v>
      </c>
      <c r="M10241" s="10">
        <v>1</v>
      </c>
      <c r="N10241" s="10" t="s">
        <v>45233</v>
      </c>
      <c r="O10241" s="10">
        <v>21</v>
      </c>
      <c r="P10241" s="10" t="s">
        <v>45241</v>
      </c>
      <c r="Q10241" s="10">
        <v>374.94299999999902</v>
      </c>
      <c r="R10241" s="10" t="s">
        <v>45242</v>
      </c>
      <c r="S10241" s="10" t="s">
        <v>53</v>
      </c>
      <c r="T10241" s="10" t="s">
        <v>54</v>
      </c>
    </row>
    <row r="10242" spans="1:20" ht="14.5" x14ac:dyDescent="0.35">
      <c r="A10242" s="10" t="s">
        <v>45243</v>
      </c>
      <c r="B10242" s="10" t="str">
        <f>"9780935302394"</f>
        <v>9780935302394</v>
      </c>
      <c r="C10242" s="10" t="str">
        <f>"9780935302424"</f>
        <v>9780935302424</v>
      </c>
      <c r="D10242" s="10" t="s">
        <v>31256</v>
      </c>
      <c r="E10242" s="10" t="s">
        <v>279</v>
      </c>
      <c r="F10242" s="10" t="s">
        <v>31258</v>
      </c>
      <c r="G10242" s="10" t="s">
        <v>6317</v>
      </c>
      <c r="H10242" s="11">
        <v>42113</v>
      </c>
      <c r="I10242" s="10">
        <v>2015</v>
      </c>
      <c r="J10242" s="10" t="s">
        <v>279</v>
      </c>
      <c r="K10242" s="10">
        <v>433</v>
      </c>
      <c r="L10242" s="10" t="s">
        <v>45244</v>
      </c>
      <c r="M10242" s="10">
        <v>1</v>
      </c>
      <c r="N10242" s="10"/>
      <c r="O10242" s="10"/>
      <c r="P10242" s="10"/>
      <c r="Q10242" s="10"/>
      <c r="R10242" s="10" t="s">
        <v>45245</v>
      </c>
      <c r="S10242" s="10" t="s">
        <v>53</v>
      </c>
      <c r="T10242" s="10" t="s">
        <v>45246</v>
      </c>
    </row>
    <row r="10243" spans="1:20" ht="14.5" x14ac:dyDescent="0.35">
      <c r="A10243" s="10" t="s">
        <v>45247</v>
      </c>
      <c r="B10243" s="10" t="str">
        <f>"9780935302400"</f>
        <v>9780935302400</v>
      </c>
      <c r="C10243" s="10" t="str">
        <f>"9780935302431"</f>
        <v>9780935302431</v>
      </c>
      <c r="D10243" s="10" t="s">
        <v>31256</v>
      </c>
      <c r="E10243" s="10" t="s">
        <v>279</v>
      </c>
      <c r="F10243" s="10" t="s">
        <v>31258</v>
      </c>
      <c r="G10243" s="10" t="s">
        <v>6317</v>
      </c>
      <c r="H10243" s="11">
        <v>42113</v>
      </c>
      <c r="I10243" s="10">
        <v>2015</v>
      </c>
      <c r="J10243" s="10" t="s">
        <v>279</v>
      </c>
      <c r="K10243" s="10">
        <v>489</v>
      </c>
      <c r="L10243" s="10" t="s">
        <v>45248</v>
      </c>
      <c r="M10243" s="10">
        <v>1</v>
      </c>
      <c r="N10243" s="10"/>
      <c r="O10243" s="10"/>
      <c r="P10243" s="10"/>
      <c r="Q10243" s="10"/>
      <c r="R10243" s="10" t="s">
        <v>45249</v>
      </c>
      <c r="S10243" s="10" t="s">
        <v>53</v>
      </c>
      <c r="T10243" s="10" t="s">
        <v>54</v>
      </c>
    </row>
    <row r="10244" spans="1:20" ht="14.5" x14ac:dyDescent="0.35">
      <c r="A10244" s="10" t="s">
        <v>45250</v>
      </c>
      <c r="B10244" s="10" t="str">
        <f>"9780935302493"</f>
        <v>9780935302493</v>
      </c>
      <c r="C10244" s="10" t="str">
        <f>"9780935302363"</f>
        <v>9780935302363</v>
      </c>
      <c r="D10244" s="10" t="s">
        <v>31256</v>
      </c>
      <c r="E10244" s="10" t="s">
        <v>279</v>
      </c>
      <c r="F10244" s="10" t="s">
        <v>31258</v>
      </c>
      <c r="G10244" s="10" t="s">
        <v>6317</v>
      </c>
      <c r="H10244" s="11">
        <v>42113</v>
      </c>
      <c r="I10244" s="10">
        <v>2015</v>
      </c>
      <c r="J10244" s="10" t="s">
        <v>279</v>
      </c>
      <c r="K10244" s="10">
        <v>287</v>
      </c>
      <c r="L10244" s="10" t="s">
        <v>45251</v>
      </c>
      <c r="M10244" s="10">
        <v>1</v>
      </c>
      <c r="N10244" s="10"/>
      <c r="O10244" s="10"/>
      <c r="P10244" s="10"/>
      <c r="Q10244" s="10"/>
      <c r="R10244" s="10" t="s">
        <v>45252</v>
      </c>
      <c r="S10244" s="10" t="s">
        <v>53</v>
      </c>
      <c r="T10244" s="10" t="s">
        <v>6526</v>
      </c>
    </row>
    <row r="10245" spans="1:20" ht="14.5" x14ac:dyDescent="0.35">
      <c r="A10245" s="10" t="s">
        <v>45253</v>
      </c>
      <c r="B10245" s="10" t="str">
        <f>"9780935302479"</f>
        <v>9780935302479</v>
      </c>
      <c r="C10245" s="10" t="str">
        <f>"9780935302554"</f>
        <v>9780935302554</v>
      </c>
      <c r="D10245" s="10" t="s">
        <v>31256</v>
      </c>
      <c r="E10245" s="10" t="s">
        <v>279</v>
      </c>
      <c r="F10245" s="10" t="s">
        <v>31258</v>
      </c>
      <c r="G10245" s="10" t="s">
        <v>6317</v>
      </c>
      <c r="H10245" s="11">
        <v>42509</v>
      </c>
      <c r="I10245" s="10">
        <v>2016</v>
      </c>
      <c r="J10245" s="10" t="s">
        <v>279</v>
      </c>
      <c r="K10245" s="10">
        <v>1553</v>
      </c>
      <c r="L10245" s="10" t="s">
        <v>45254</v>
      </c>
      <c r="M10245" s="10">
        <v>1</v>
      </c>
      <c r="N10245" s="10"/>
      <c r="O10245" s="10"/>
      <c r="P10245" s="10"/>
      <c r="Q10245" s="10"/>
      <c r="R10245" s="10" t="s">
        <v>45255</v>
      </c>
      <c r="S10245" s="10" t="s">
        <v>53</v>
      </c>
      <c r="T10245" s="10" t="s">
        <v>54</v>
      </c>
    </row>
    <row r="10246" spans="1:20" ht="14.5" x14ac:dyDescent="0.35">
      <c r="A10246" s="10" t="s">
        <v>45256</v>
      </c>
      <c r="B10246" s="10" t="str">
        <f>"9780935302455"</f>
        <v>9780935302455</v>
      </c>
      <c r="C10246" s="10" t="str">
        <f>"9780935302578"</f>
        <v>9780935302578</v>
      </c>
      <c r="D10246" s="10" t="s">
        <v>31256</v>
      </c>
      <c r="E10246" s="10" t="s">
        <v>279</v>
      </c>
      <c r="F10246" s="10" t="s">
        <v>31258</v>
      </c>
      <c r="G10246" s="10" t="s">
        <v>6317</v>
      </c>
      <c r="H10246" s="11">
        <v>42509</v>
      </c>
      <c r="I10246" s="10">
        <v>2016</v>
      </c>
      <c r="J10246" s="10" t="s">
        <v>279</v>
      </c>
      <c r="K10246" s="10">
        <v>265</v>
      </c>
      <c r="L10246" s="10" t="s">
        <v>45257</v>
      </c>
      <c r="M10246" s="10">
        <v>1</v>
      </c>
      <c r="N10246" s="10"/>
      <c r="O10246" s="10"/>
      <c r="P10246" s="10"/>
      <c r="Q10246" s="10"/>
      <c r="R10246" s="10" t="s">
        <v>39872</v>
      </c>
      <c r="S10246" s="10" t="s">
        <v>53</v>
      </c>
      <c r="T10246" s="10" t="s">
        <v>54</v>
      </c>
    </row>
    <row r="10247" spans="1:20" ht="14.5" x14ac:dyDescent="0.35">
      <c r="A10247" s="10" t="s">
        <v>45258</v>
      </c>
      <c r="B10247" s="10" t="str">
        <f>"9781475826869"</f>
        <v>9781475826869</v>
      </c>
      <c r="C10247" s="10" t="str">
        <f>"9781475826890"</f>
        <v>9781475826890</v>
      </c>
      <c r="D10247" s="10" t="s">
        <v>9752</v>
      </c>
      <c r="E10247" s="10" t="s">
        <v>15187</v>
      </c>
      <c r="F10247" s="10" t="s">
        <v>9754</v>
      </c>
      <c r="G10247" s="10" t="s">
        <v>6317</v>
      </c>
      <c r="H10247" s="11">
        <v>42874</v>
      </c>
      <c r="I10247" s="10">
        <v>2017</v>
      </c>
      <c r="J10247" s="10" t="s">
        <v>15187</v>
      </c>
      <c r="K10247" s="10">
        <v>204</v>
      </c>
      <c r="L10247" s="10" t="s">
        <v>45259</v>
      </c>
      <c r="M10247" s="10">
        <v>1</v>
      </c>
      <c r="N10247" s="10"/>
      <c r="O10247" s="10"/>
      <c r="P10247" s="10" t="s">
        <v>45260</v>
      </c>
      <c r="Q10247" s="10">
        <v>378.16899999999998</v>
      </c>
      <c r="R10247" s="10" t="s">
        <v>45261</v>
      </c>
      <c r="S10247" s="10" t="s">
        <v>53</v>
      </c>
      <c r="T10247" s="10" t="s">
        <v>54</v>
      </c>
    </row>
    <row r="10248" spans="1:20" ht="14.5" x14ac:dyDescent="0.35">
      <c r="A10248" s="10" t="s">
        <v>45262</v>
      </c>
      <c r="B10248" s="10" t="str">
        <f>"9781475830422"</f>
        <v>9781475830422</v>
      </c>
      <c r="C10248" s="10" t="str">
        <f>"9781475830439"</f>
        <v>9781475830439</v>
      </c>
      <c r="D10248" s="10" t="s">
        <v>9752</v>
      </c>
      <c r="E10248" s="10" t="s">
        <v>15187</v>
      </c>
      <c r="F10248" s="10" t="s">
        <v>9754</v>
      </c>
      <c r="G10248" s="10" t="s">
        <v>6317</v>
      </c>
      <c r="H10248" s="11">
        <v>42873</v>
      </c>
      <c r="I10248" s="10">
        <v>2017</v>
      </c>
      <c r="J10248" s="10" t="s">
        <v>15187</v>
      </c>
      <c r="K10248" s="10">
        <v>179</v>
      </c>
      <c r="L10248" s="10" t="s">
        <v>45263</v>
      </c>
      <c r="M10248" s="10">
        <v>2</v>
      </c>
      <c r="N10248" s="10"/>
      <c r="O10248" s="10"/>
      <c r="P10248" s="10" t="s">
        <v>45264</v>
      </c>
      <c r="Q10248" s="10">
        <v>370.11700000000002</v>
      </c>
      <c r="R10248" s="10" t="s">
        <v>45265</v>
      </c>
      <c r="S10248" s="10" t="s">
        <v>53</v>
      </c>
      <c r="T10248" s="10" t="s">
        <v>54</v>
      </c>
    </row>
    <row r="10249" spans="1:20" ht="14.5" x14ac:dyDescent="0.35">
      <c r="A10249" s="10" t="s">
        <v>45266</v>
      </c>
      <c r="B10249" s="10" t="str">
        <f>"9781475832952"</f>
        <v>9781475832952</v>
      </c>
      <c r="C10249" s="10" t="str">
        <f>"9781475832969"</f>
        <v>9781475832969</v>
      </c>
      <c r="D10249" s="10" t="s">
        <v>9752</v>
      </c>
      <c r="E10249" s="10" t="s">
        <v>15187</v>
      </c>
      <c r="F10249" s="10" t="s">
        <v>9754</v>
      </c>
      <c r="G10249" s="10" t="s">
        <v>6317</v>
      </c>
      <c r="H10249" s="11">
        <v>42894</v>
      </c>
      <c r="I10249" s="10">
        <v>2017</v>
      </c>
      <c r="J10249" s="10" t="s">
        <v>15187</v>
      </c>
      <c r="K10249" s="10">
        <v>181</v>
      </c>
      <c r="L10249" s="10" t="s">
        <v>45267</v>
      </c>
      <c r="M10249" s="10">
        <v>1</v>
      </c>
      <c r="N10249" s="10"/>
      <c r="O10249" s="10"/>
      <c r="P10249" s="10" t="s">
        <v>45268</v>
      </c>
      <c r="Q10249" s="10">
        <v>370.11709730000001</v>
      </c>
      <c r="R10249" s="10" t="s">
        <v>45269</v>
      </c>
      <c r="S10249" s="10" t="s">
        <v>53</v>
      </c>
      <c r="T10249" s="10" t="s">
        <v>54</v>
      </c>
    </row>
    <row r="10250" spans="1:20" ht="14.5" x14ac:dyDescent="0.35">
      <c r="A10250" s="10" t="s">
        <v>45270</v>
      </c>
      <c r="B10250" s="10" t="str">
        <f>"9781475817645"</f>
        <v>9781475817645</v>
      </c>
      <c r="C10250" s="10" t="str">
        <f>"9781475817669"</f>
        <v>9781475817669</v>
      </c>
      <c r="D10250" s="10" t="s">
        <v>9752</v>
      </c>
      <c r="E10250" s="10" t="s">
        <v>15187</v>
      </c>
      <c r="F10250" s="10" t="s">
        <v>9754</v>
      </c>
      <c r="G10250" s="10" t="s">
        <v>6317</v>
      </c>
      <c r="H10250" s="11">
        <v>42873</v>
      </c>
      <c r="I10250" s="10">
        <v>2017</v>
      </c>
      <c r="J10250" s="10" t="s">
        <v>15187</v>
      </c>
      <c r="K10250" s="10">
        <v>113</v>
      </c>
      <c r="L10250" s="10" t="s">
        <v>45271</v>
      </c>
      <c r="M10250" s="10">
        <v>1</v>
      </c>
      <c r="N10250" s="10"/>
      <c r="O10250" s="10"/>
      <c r="P10250" s="10" t="s">
        <v>45272</v>
      </c>
      <c r="Q10250" s="10">
        <v>371.94</v>
      </c>
      <c r="R10250" s="10" t="s">
        <v>45273</v>
      </c>
      <c r="S10250" s="10" t="s">
        <v>53</v>
      </c>
      <c r="T10250" s="10" t="s">
        <v>28442</v>
      </c>
    </row>
    <row r="10251" spans="1:20" ht="14.5" x14ac:dyDescent="0.35">
      <c r="A10251" s="10" t="s">
        <v>45274</v>
      </c>
      <c r="B10251" s="10" t="str">
        <f>"9781620363034"</f>
        <v>9781620363034</v>
      </c>
      <c r="C10251" s="10" t="str">
        <f>"9781000976465"</f>
        <v>9781000976465</v>
      </c>
      <c r="D10251" s="10" t="s">
        <v>6350</v>
      </c>
      <c r="E10251" s="10" t="s">
        <v>6351</v>
      </c>
      <c r="F10251" s="10" t="s">
        <v>748</v>
      </c>
      <c r="G10251" s="10" t="s">
        <v>6352</v>
      </c>
      <c r="H10251" s="11">
        <v>42874</v>
      </c>
      <c r="I10251" s="10">
        <v>2017</v>
      </c>
      <c r="J10251" s="10" t="s">
        <v>6351</v>
      </c>
      <c r="K10251" s="10">
        <v>300</v>
      </c>
      <c r="L10251" s="10" t="s">
        <v>45275</v>
      </c>
      <c r="M10251" s="10">
        <v>1</v>
      </c>
      <c r="N10251" s="10"/>
      <c r="O10251" s="10"/>
      <c r="P10251" s="10" t="s">
        <v>45276</v>
      </c>
      <c r="Q10251" s="10">
        <v>371.10199999999998</v>
      </c>
      <c r="R10251" s="10" t="s">
        <v>45277</v>
      </c>
      <c r="S10251" s="10" t="s">
        <v>53</v>
      </c>
      <c r="T10251" s="10" t="s">
        <v>54</v>
      </c>
    </row>
    <row r="10252" spans="1:20" ht="14.5" x14ac:dyDescent="0.35">
      <c r="A10252" s="10" t="s">
        <v>45278</v>
      </c>
      <c r="B10252" s="10" t="str">
        <f>"9780801452345"</f>
        <v>9780801452345</v>
      </c>
      <c r="C10252" s="10" t="str">
        <f>"9781501712616"</f>
        <v>9781501712616</v>
      </c>
      <c r="D10252" s="10" t="s">
        <v>9533</v>
      </c>
      <c r="E10252" s="10" t="s">
        <v>5258</v>
      </c>
      <c r="F10252" s="10" t="s">
        <v>2536</v>
      </c>
      <c r="G10252" s="10" t="s">
        <v>6317</v>
      </c>
      <c r="H10252" s="11">
        <v>42892</v>
      </c>
      <c r="I10252" s="10">
        <v>2017</v>
      </c>
      <c r="J10252" s="10" t="s">
        <v>5258</v>
      </c>
      <c r="K10252" s="10">
        <v>321</v>
      </c>
      <c r="L10252" s="10" t="s">
        <v>45279</v>
      </c>
      <c r="M10252" s="10">
        <v>1</v>
      </c>
      <c r="N10252" s="10" t="s">
        <v>34661</v>
      </c>
      <c r="O10252" s="10"/>
      <c r="P10252" s="10" t="s">
        <v>45280</v>
      </c>
      <c r="Q10252" s="10">
        <v>378.73</v>
      </c>
      <c r="R10252" s="10" t="s">
        <v>6765</v>
      </c>
      <c r="S10252" s="10" t="s">
        <v>53</v>
      </c>
      <c r="T10252" s="10" t="s">
        <v>54</v>
      </c>
    </row>
    <row r="10253" spans="1:20" ht="14.5" x14ac:dyDescent="0.35">
      <c r="A10253" s="10" t="s">
        <v>45281</v>
      </c>
      <c r="B10253" s="10" t="str">
        <f>"9788024635583"</f>
        <v>9788024635583</v>
      </c>
      <c r="C10253" s="10" t="str">
        <f>"9788024635750"</f>
        <v>9788024635750</v>
      </c>
      <c r="D10253" s="10" t="s">
        <v>30935</v>
      </c>
      <c r="E10253" s="10" t="s">
        <v>30935</v>
      </c>
      <c r="F10253" s="10" t="s">
        <v>1796</v>
      </c>
      <c r="G10253" s="10" t="s">
        <v>30936</v>
      </c>
      <c r="H10253" s="11">
        <v>42767</v>
      </c>
      <c r="I10253" s="10">
        <v>2017</v>
      </c>
      <c r="J10253" s="10" t="s">
        <v>30935</v>
      </c>
      <c r="K10253" s="10">
        <v>225</v>
      </c>
      <c r="L10253" s="10" t="s">
        <v>45282</v>
      </c>
      <c r="M10253" s="10">
        <v>1</v>
      </c>
      <c r="N10253" s="10"/>
      <c r="O10253" s="10"/>
      <c r="P10253" s="10" t="s">
        <v>45283</v>
      </c>
      <c r="Q10253" s="10">
        <v>370</v>
      </c>
      <c r="R10253" s="10" t="s">
        <v>13858</v>
      </c>
      <c r="S10253" s="10" t="s">
        <v>4212</v>
      </c>
      <c r="T10253" s="10" t="s">
        <v>54</v>
      </c>
    </row>
    <row r="10254" spans="1:20" ht="14.5" x14ac:dyDescent="0.35">
      <c r="A10254" s="10" t="s">
        <v>45284</v>
      </c>
      <c r="B10254" s="10" t="str">
        <f>"9781475829624"</f>
        <v>9781475829624</v>
      </c>
      <c r="C10254" s="10" t="str">
        <f>"9781475829648"</f>
        <v>9781475829648</v>
      </c>
      <c r="D10254" s="10" t="s">
        <v>9752</v>
      </c>
      <c r="E10254" s="10" t="s">
        <v>15187</v>
      </c>
      <c r="F10254" s="10" t="s">
        <v>9754</v>
      </c>
      <c r="G10254" s="10" t="s">
        <v>6317</v>
      </c>
      <c r="H10254" s="11">
        <v>42879</v>
      </c>
      <c r="I10254" s="10">
        <v>2017</v>
      </c>
      <c r="J10254" s="10" t="s">
        <v>15187</v>
      </c>
      <c r="K10254" s="10">
        <v>166</v>
      </c>
      <c r="L10254" s="10" t="s">
        <v>45285</v>
      </c>
      <c r="M10254" s="10">
        <v>1</v>
      </c>
      <c r="N10254" s="10"/>
      <c r="O10254" s="10"/>
      <c r="P10254" s="10" t="s">
        <v>17878</v>
      </c>
      <c r="Q10254" s="10">
        <v>370.71100000000001</v>
      </c>
      <c r="R10254" s="10" t="s">
        <v>6484</v>
      </c>
      <c r="S10254" s="10" t="s">
        <v>53</v>
      </c>
      <c r="T10254" s="10" t="s">
        <v>54</v>
      </c>
    </row>
    <row r="10255" spans="1:20" ht="14.5" x14ac:dyDescent="0.35">
      <c r="A10255" s="10" t="s">
        <v>45286</v>
      </c>
      <c r="B10255" s="10" t="str">
        <f>"9781551383149"</f>
        <v>9781551383149</v>
      </c>
      <c r="C10255" s="10" t="str">
        <f>"9781551389172"</f>
        <v>9781551389172</v>
      </c>
      <c r="D10255" s="10" t="s">
        <v>45074</v>
      </c>
      <c r="E10255" s="10" t="s">
        <v>45075</v>
      </c>
      <c r="F10255" s="10" t="s">
        <v>901</v>
      </c>
      <c r="G10255" s="10" t="s">
        <v>9536</v>
      </c>
      <c r="H10255" s="11">
        <v>42628</v>
      </c>
      <c r="I10255" s="10">
        <v>2016</v>
      </c>
      <c r="J10255" s="10" t="s">
        <v>45075</v>
      </c>
      <c r="K10255" s="10">
        <v>98</v>
      </c>
      <c r="L10255" s="10" t="s">
        <v>45287</v>
      </c>
      <c r="M10255" s="10">
        <v>1</v>
      </c>
      <c r="N10255" s="10"/>
      <c r="O10255" s="10"/>
      <c r="P10255" s="10" t="s">
        <v>45288</v>
      </c>
      <c r="Q10255" s="10" t="s">
        <v>8836</v>
      </c>
      <c r="R10255" s="10" t="s">
        <v>45289</v>
      </c>
      <c r="S10255" s="10" t="s">
        <v>53</v>
      </c>
      <c r="T10255" s="10" t="s">
        <v>54</v>
      </c>
    </row>
    <row r="10256" spans="1:20" ht="14.5" x14ac:dyDescent="0.35">
      <c r="A10256" s="10" t="s">
        <v>45290</v>
      </c>
      <c r="B10256" s="10" t="str">
        <f>"9781551383187"</f>
        <v>9781551383187</v>
      </c>
      <c r="C10256" s="10" t="str">
        <f>"9781551389202"</f>
        <v>9781551389202</v>
      </c>
      <c r="D10256" s="10" t="s">
        <v>45074</v>
      </c>
      <c r="E10256" s="10" t="s">
        <v>45075</v>
      </c>
      <c r="F10256" s="10" t="s">
        <v>901</v>
      </c>
      <c r="G10256" s="10" t="s">
        <v>9536</v>
      </c>
      <c r="H10256" s="11">
        <v>42657</v>
      </c>
      <c r="I10256" s="10">
        <v>2016</v>
      </c>
      <c r="J10256" s="10" t="s">
        <v>45075</v>
      </c>
      <c r="K10256" s="10">
        <v>162</v>
      </c>
      <c r="L10256" s="10" t="s">
        <v>45291</v>
      </c>
      <c r="M10256" s="10">
        <v>3</v>
      </c>
      <c r="N10256" s="10"/>
      <c r="O10256" s="10"/>
      <c r="P10256" s="10" t="s">
        <v>45292</v>
      </c>
      <c r="Q10256" s="10" t="s">
        <v>45293</v>
      </c>
      <c r="R10256" s="10" t="s">
        <v>18055</v>
      </c>
      <c r="S10256" s="10" t="s">
        <v>53</v>
      </c>
      <c r="T10256" s="10" t="s">
        <v>54</v>
      </c>
    </row>
    <row r="10257" spans="1:20" ht="14.5" x14ac:dyDescent="0.35">
      <c r="A10257" s="10" t="s">
        <v>45294</v>
      </c>
      <c r="B10257" s="10" t="str">
        <f>"9781498524940"</f>
        <v>9781498524940</v>
      </c>
      <c r="C10257" s="10" t="str">
        <f>"9781498524957"</f>
        <v>9781498524957</v>
      </c>
      <c r="D10257" s="10" t="s">
        <v>9752</v>
      </c>
      <c r="E10257" s="10" t="s">
        <v>15182</v>
      </c>
      <c r="F10257" s="10" t="s">
        <v>9754</v>
      </c>
      <c r="G10257" s="10" t="s">
        <v>6317</v>
      </c>
      <c r="H10257" s="11">
        <v>42859</v>
      </c>
      <c r="I10257" s="10">
        <v>2017</v>
      </c>
      <c r="J10257" s="10" t="s">
        <v>15182</v>
      </c>
      <c r="K10257" s="10">
        <v>243</v>
      </c>
      <c r="L10257" s="10" t="s">
        <v>45295</v>
      </c>
      <c r="M10257" s="10">
        <v>1</v>
      </c>
      <c r="N10257" s="10" t="s">
        <v>40055</v>
      </c>
      <c r="O10257" s="10"/>
      <c r="P10257" s="10" t="s">
        <v>45296</v>
      </c>
      <c r="Q10257" s="10">
        <v>375</v>
      </c>
      <c r="R10257" s="10" t="s">
        <v>32925</v>
      </c>
      <c r="S10257" s="10" t="s">
        <v>53</v>
      </c>
      <c r="T10257" s="10" t="s">
        <v>54</v>
      </c>
    </row>
    <row r="10258" spans="1:20" ht="14.5" x14ac:dyDescent="0.35">
      <c r="A10258" s="10" t="s">
        <v>45297</v>
      </c>
      <c r="B10258" s="10" t="str">
        <f>"9781780173641"</f>
        <v>9781780173641</v>
      </c>
      <c r="C10258" s="10" t="str">
        <f>"9781780173658"</f>
        <v>9781780173658</v>
      </c>
      <c r="D10258" s="10" t="s">
        <v>9533</v>
      </c>
      <c r="E10258" s="10" t="s">
        <v>45298</v>
      </c>
      <c r="F10258" s="10" t="s">
        <v>45299</v>
      </c>
      <c r="G10258" s="10" t="s">
        <v>6352</v>
      </c>
      <c r="H10258" s="11">
        <v>42985</v>
      </c>
      <c r="I10258" s="10">
        <v>2017</v>
      </c>
      <c r="J10258" s="10" t="s">
        <v>45298</v>
      </c>
      <c r="K10258" s="10">
        <v>309</v>
      </c>
      <c r="L10258" s="10" t="s">
        <v>45300</v>
      </c>
      <c r="M10258" s="10">
        <v>1</v>
      </c>
      <c r="N10258" s="10"/>
      <c r="O10258" s="10"/>
      <c r="P10258" s="10" t="s">
        <v>45301</v>
      </c>
      <c r="Q10258" s="10">
        <v>5.0999999999999996</v>
      </c>
      <c r="R10258" s="10" t="s">
        <v>45302</v>
      </c>
      <c r="S10258" s="10" t="s">
        <v>53</v>
      </c>
      <c r="T10258" s="10" t="s">
        <v>9734</v>
      </c>
    </row>
    <row r="10259" spans="1:20" ht="14.5" x14ac:dyDescent="0.35">
      <c r="A10259" s="10" t="s">
        <v>45303</v>
      </c>
      <c r="B10259" s="10" t="str">
        <f>"9781416623687"</f>
        <v>9781416623687</v>
      </c>
      <c r="C10259" s="10" t="str">
        <f>"9781416623700"</f>
        <v>9781416623700</v>
      </c>
      <c r="D10259" s="10" t="s">
        <v>10014</v>
      </c>
      <c r="E10259" s="10" t="s">
        <v>10015</v>
      </c>
      <c r="F10259" s="10" t="s">
        <v>201</v>
      </c>
      <c r="G10259" s="10" t="s">
        <v>6317</v>
      </c>
      <c r="H10259" s="11">
        <v>42885</v>
      </c>
      <c r="I10259" s="10">
        <v>2017</v>
      </c>
      <c r="J10259" s="10" t="s">
        <v>10015</v>
      </c>
      <c r="K10259" s="10">
        <v>193</v>
      </c>
      <c r="L10259" s="10" t="s">
        <v>45304</v>
      </c>
      <c r="M10259" s="10">
        <v>1</v>
      </c>
      <c r="N10259" s="10"/>
      <c r="O10259" s="10"/>
      <c r="P10259" s="10" t="s">
        <v>45305</v>
      </c>
      <c r="Q10259" s="10" t="s">
        <v>7299</v>
      </c>
      <c r="R10259" s="10" t="s">
        <v>45306</v>
      </c>
      <c r="S10259" s="10" t="s">
        <v>53</v>
      </c>
      <c r="T10259" s="10" t="s">
        <v>54</v>
      </c>
    </row>
    <row r="10260" spans="1:20" ht="14.5" x14ac:dyDescent="0.35">
      <c r="A10260" s="10" t="s">
        <v>45307</v>
      </c>
      <c r="B10260" s="10" t="str">
        <f>"9781416623854"</f>
        <v>9781416623854</v>
      </c>
      <c r="C10260" s="10" t="str">
        <f>"9781416623878"</f>
        <v>9781416623878</v>
      </c>
      <c r="D10260" s="10" t="s">
        <v>10014</v>
      </c>
      <c r="E10260" s="10" t="s">
        <v>10015</v>
      </c>
      <c r="F10260" s="10" t="s">
        <v>201</v>
      </c>
      <c r="G10260" s="10" t="s">
        <v>6317</v>
      </c>
      <c r="H10260" s="11">
        <v>42885</v>
      </c>
      <c r="I10260" s="10">
        <v>2017</v>
      </c>
      <c r="J10260" s="10" t="s">
        <v>10015</v>
      </c>
      <c r="K10260" s="10">
        <v>189</v>
      </c>
      <c r="L10260" s="10" t="s">
        <v>45308</v>
      </c>
      <c r="M10260" s="10">
        <v>1</v>
      </c>
      <c r="N10260" s="10"/>
      <c r="O10260" s="10"/>
      <c r="P10260" s="10"/>
      <c r="Q10260" s="10"/>
      <c r="R10260" s="10"/>
      <c r="S10260" s="10" t="s">
        <v>53</v>
      </c>
      <c r="T10260" s="10" t="s">
        <v>54</v>
      </c>
    </row>
    <row r="10261" spans="1:20" ht="14.5" x14ac:dyDescent="0.35">
      <c r="A10261" s="10" t="s">
        <v>45309</v>
      </c>
      <c r="B10261" s="10" t="str">
        <f>"9781943874637"</f>
        <v>9781943874637</v>
      </c>
      <c r="C10261" s="10" t="str">
        <f>"9781943874644"</f>
        <v>9781943874644</v>
      </c>
      <c r="D10261" s="10" t="s">
        <v>37580</v>
      </c>
      <c r="E10261" s="10" t="s">
        <v>37581</v>
      </c>
      <c r="F10261" s="10" t="s">
        <v>37623</v>
      </c>
      <c r="G10261" s="10" t="s">
        <v>6317</v>
      </c>
      <c r="H10261" s="11">
        <v>42916</v>
      </c>
      <c r="I10261" s="10">
        <v>2017</v>
      </c>
      <c r="J10261" s="10" t="s">
        <v>37581</v>
      </c>
      <c r="K10261" s="10">
        <v>232</v>
      </c>
      <c r="L10261" s="10" t="s">
        <v>45310</v>
      </c>
      <c r="M10261" s="10">
        <v>1</v>
      </c>
      <c r="N10261" s="10"/>
      <c r="O10261" s="10"/>
      <c r="P10261" s="10"/>
      <c r="Q10261" s="10"/>
      <c r="R10261" s="10" t="s">
        <v>45311</v>
      </c>
      <c r="S10261" s="10" t="s">
        <v>53</v>
      </c>
      <c r="T10261" s="10" t="s">
        <v>54</v>
      </c>
    </row>
    <row r="10262" spans="1:20" ht="14.5" x14ac:dyDescent="0.35">
      <c r="A10262" s="10" t="s">
        <v>45312</v>
      </c>
      <c r="B10262" s="10" t="str">
        <f>"9781785335426"</f>
        <v>9781785335426</v>
      </c>
      <c r="C10262" s="10" t="str">
        <f>"9781785335433"</f>
        <v>9781785335433</v>
      </c>
      <c r="D10262" s="10" t="s">
        <v>21315</v>
      </c>
      <c r="E10262" s="10" t="s">
        <v>21316</v>
      </c>
      <c r="F10262" s="10" t="s">
        <v>13068</v>
      </c>
      <c r="G10262" s="10" t="s">
        <v>6317</v>
      </c>
      <c r="H10262" s="11">
        <v>42856</v>
      </c>
      <c r="I10262" s="10">
        <v>2017</v>
      </c>
      <c r="J10262" s="10" t="s">
        <v>21316</v>
      </c>
      <c r="K10262" s="10">
        <v>349</v>
      </c>
      <c r="L10262" s="10" t="s">
        <v>45313</v>
      </c>
      <c r="M10262" s="10">
        <v>1</v>
      </c>
      <c r="N10262" s="10" t="s">
        <v>40625</v>
      </c>
      <c r="O10262" s="10">
        <v>3</v>
      </c>
      <c r="P10262" s="10" t="s">
        <v>45314</v>
      </c>
      <c r="Q10262" s="10">
        <v>378</v>
      </c>
      <c r="R10262" s="10" t="s">
        <v>45315</v>
      </c>
      <c r="S10262" s="10" t="s">
        <v>53</v>
      </c>
      <c r="T10262" s="10" t="s">
        <v>54</v>
      </c>
    </row>
    <row r="10263" spans="1:20" ht="14.5" x14ac:dyDescent="0.35">
      <c r="A10263" s="10" t="s">
        <v>45316</v>
      </c>
      <c r="B10263" s="10" t="str">
        <f>"9781472932280"</f>
        <v>9781472932280</v>
      </c>
      <c r="C10263" s="10" t="str">
        <f>"9781472932273"</f>
        <v>9781472932273</v>
      </c>
      <c r="D10263" s="10" t="s">
        <v>13959</v>
      </c>
      <c r="E10263" s="10" t="s">
        <v>13960</v>
      </c>
      <c r="F10263" s="10" t="s">
        <v>139</v>
      </c>
      <c r="G10263" s="10" t="s">
        <v>6352</v>
      </c>
      <c r="H10263" s="11">
        <v>42943</v>
      </c>
      <c r="I10263" s="10">
        <v>2017</v>
      </c>
      <c r="J10263" s="10" t="s">
        <v>13960</v>
      </c>
      <c r="K10263" s="10">
        <v>130</v>
      </c>
      <c r="L10263" s="10" t="s">
        <v>45317</v>
      </c>
      <c r="M10263" s="10">
        <v>1</v>
      </c>
      <c r="N10263" s="10"/>
      <c r="O10263" s="10"/>
      <c r="P10263" s="10" t="s">
        <v>45318</v>
      </c>
      <c r="Q10263" s="10">
        <v>372.2</v>
      </c>
      <c r="R10263" s="10" t="s">
        <v>45319</v>
      </c>
      <c r="S10263" s="10" t="s">
        <v>53</v>
      </c>
      <c r="T10263" s="10" t="s">
        <v>11880</v>
      </c>
    </row>
    <row r="10264" spans="1:20" ht="14.5" x14ac:dyDescent="0.35">
      <c r="A10264" s="10" t="s">
        <v>45320</v>
      </c>
      <c r="B10264" s="10" t="str">
        <f>"9780738609591"</f>
        <v>9780738609591</v>
      </c>
      <c r="C10264" s="10" t="str">
        <f>"9780738668581"</f>
        <v>9780738668581</v>
      </c>
      <c r="D10264" s="10" t="s">
        <v>28876</v>
      </c>
      <c r="E10264" s="10" t="s">
        <v>43785</v>
      </c>
      <c r="F10264" s="10" t="s">
        <v>2510</v>
      </c>
      <c r="G10264" s="10" t="s">
        <v>6317</v>
      </c>
      <c r="H10264" s="11">
        <v>41338</v>
      </c>
      <c r="I10264" s="10">
        <v>2011</v>
      </c>
      <c r="J10264" s="10" t="s">
        <v>43785</v>
      </c>
      <c r="K10264" s="10">
        <v>468</v>
      </c>
      <c r="L10264" s="10" t="s">
        <v>45321</v>
      </c>
      <c r="M10264" s="10">
        <v>2</v>
      </c>
      <c r="N10264" s="10" t="s">
        <v>45322</v>
      </c>
      <c r="O10264" s="10"/>
      <c r="P10264" s="10" t="s">
        <v>45323</v>
      </c>
      <c r="Q10264" s="10">
        <v>510.76</v>
      </c>
      <c r="R10264" s="10" t="s">
        <v>12944</v>
      </c>
      <c r="S10264" s="10" t="s">
        <v>53</v>
      </c>
      <c r="T10264" s="10" t="s">
        <v>389</v>
      </c>
    </row>
    <row r="10265" spans="1:20" ht="14.5" x14ac:dyDescent="0.35">
      <c r="A10265" s="10" t="s">
        <v>45324</v>
      </c>
      <c r="B10265" s="10" t="str">
        <f>"9780738611440"</f>
        <v>9780738611440</v>
      </c>
      <c r="C10265" s="10" t="str">
        <f>"9780738684246"</f>
        <v>9780738684246</v>
      </c>
      <c r="D10265" s="10" t="s">
        <v>28876</v>
      </c>
      <c r="E10265" s="10" t="s">
        <v>43785</v>
      </c>
      <c r="F10265" s="10" t="s">
        <v>2510</v>
      </c>
      <c r="G10265" s="10" t="s">
        <v>6317</v>
      </c>
      <c r="H10265" s="11">
        <v>41518</v>
      </c>
      <c r="I10265" s="10">
        <v>2010</v>
      </c>
      <c r="J10265" s="10" t="s">
        <v>43785</v>
      </c>
      <c r="K10265" s="10">
        <v>241</v>
      </c>
      <c r="L10265" s="10" t="s">
        <v>45325</v>
      </c>
      <c r="M10265" s="10">
        <v>3</v>
      </c>
      <c r="N10265" s="10" t="s">
        <v>45326</v>
      </c>
      <c r="O10265" s="10"/>
      <c r="P10265" s="10" t="s">
        <v>45327</v>
      </c>
      <c r="Q10265" s="10">
        <v>371.12</v>
      </c>
      <c r="R10265" s="10" t="s">
        <v>45328</v>
      </c>
      <c r="S10265" s="10" t="s">
        <v>53</v>
      </c>
      <c r="T10265" s="10" t="s">
        <v>54</v>
      </c>
    </row>
    <row r="10266" spans="1:20" ht="14.5" x14ac:dyDescent="0.35">
      <c r="A10266" s="10" t="s">
        <v>45329</v>
      </c>
      <c r="B10266" s="10" t="str">
        <f>"9781475833812"</f>
        <v>9781475833812</v>
      </c>
      <c r="C10266" s="10" t="str">
        <f>"9781475833843"</f>
        <v>9781475833843</v>
      </c>
      <c r="D10266" s="10" t="s">
        <v>9752</v>
      </c>
      <c r="E10266" s="10" t="s">
        <v>15187</v>
      </c>
      <c r="F10266" s="10" t="s">
        <v>9754</v>
      </c>
      <c r="G10266" s="10" t="s">
        <v>6317</v>
      </c>
      <c r="H10266" s="11">
        <v>42888</v>
      </c>
      <c r="I10266" s="10">
        <v>2017</v>
      </c>
      <c r="J10266" s="10" t="s">
        <v>15187</v>
      </c>
      <c r="K10266" s="10">
        <v>151</v>
      </c>
      <c r="L10266" s="10" t="s">
        <v>45330</v>
      </c>
      <c r="M10266" s="10">
        <v>1</v>
      </c>
      <c r="N10266" s="10"/>
      <c r="O10266" s="10"/>
      <c r="P10266" s="10" t="s">
        <v>45331</v>
      </c>
      <c r="Q10266" s="10">
        <v>378.11099999999999</v>
      </c>
      <c r="R10266" s="10" t="s">
        <v>45332</v>
      </c>
      <c r="S10266" s="10" t="s">
        <v>53</v>
      </c>
      <c r="T10266" s="10" t="s">
        <v>54</v>
      </c>
    </row>
    <row r="10267" spans="1:20" ht="14.5" x14ac:dyDescent="0.35">
      <c r="A10267" s="10" t="s">
        <v>45333</v>
      </c>
      <c r="B10267" s="10" t="str">
        <f>"9781475831610"</f>
        <v>9781475831610</v>
      </c>
      <c r="C10267" s="10" t="str">
        <f>"9781475831634"</f>
        <v>9781475831634</v>
      </c>
      <c r="D10267" s="10" t="s">
        <v>9752</v>
      </c>
      <c r="E10267" s="10" t="s">
        <v>15187</v>
      </c>
      <c r="F10267" s="10" t="s">
        <v>9754</v>
      </c>
      <c r="G10267" s="10" t="s">
        <v>6317</v>
      </c>
      <c r="H10267" s="11">
        <v>42891</v>
      </c>
      <c r="I10267" s="10">
        <v>2017</v>
      </c>
      <c r="J10267" s="10" t="s">
        <v>15187</v>
      </c>
      <c r="K10267" s="10">
        <v>187</v>
      </c>
      <c r="L10267" s="10" t="s">
        <v>45334</v>
      </c>
      <c r="M10267" s="10">
        <v>1</v>
      </c>
      <c r="N10267" s="10"/>
      <c r="O10267" s="10"/>
      <c r="P10267" s="10" t="s">
        <v>45335</v>
      </c>
      <c r="Q10267" s="10">
        <v>370.11709730000001</v>
      </c>
      <c r="R10267" s="10" t="s">
        <v>45336</v>
      </c>
      <c r="S10267" s="10" t="s">
        <v>53</v>
      </c>
      <c r="T10267" s="10" t="s">
        <v>6498</v>
      </c>
    </row>
    <row r="10268" spans="1:20" ht="14.5" x14ac:dyDescent="0.35">
      <c r="A10268" s="10" t="s">
        <v>45337</v>
      </c>
      <c r="B10268" s="10" t="str">
        <f>"9781475815092"</f>
        <v>9781475815092</v>
      </c>
      <c r="C10268" s="10" t="str">
        <f>"9781475815115"</f>
        <v>9781475815115</v>
      </c>
      <c r="D10268" s="10" t="s">
        <v>9752</v>
      </c>
      <c r="E10268" s="10" t="s">
        <v>15187</v>
      </c>
      <c r="F10268" s="10" t="s">
        <v>9754</v>
      </c>
      <c r="G10268" s="10" t="s">
        <v>6317</v>
      </c>
      <c r="H10268" s="11">
        <v>42891</v>
      </c>
      <c r="I10268" s="10">
        <v>2017</v>
      </c>
      <c r="J10268" s="10" t="s">
        <v>15187</v>
      </c>
      <c r="K10268" s="10">
        <v>183</v>
      </c>
      <c r="L10268" s="10" t="s">
        <v>45338</v>
      </c>
      <c r="M10268" s="10">
        <v>1</v>
      </c>
      <c r="N10268" s="10"/>
      <c r="O10268" s="10"/>
      <c r="P10268" s="10" t="s">
        <v>45339</v>
      </c>
      <c r="Q10268" s="10">
        <v>649</v>
      </c>
      <c r="R10268" s="10" t="s">
        <v>45340</v>
      </c>
      <c r="S10268" s="10" t="s">
        <v>53</v>
      </c>
      <c r="T10268" s="10" t="s">
        <v>9843</v>
      </c>
    </row>
    <row r="10269" spans="1:20" ht="14.5" x14ac:dyDescent="0.35">
      <c r="A10269" s="10" t="s">
        <v>45341</v>
      </c>
      <c r="B10269" s="10" t="str">
        <f>"9781501705823"</f>
        <v>9781501705823</v>
      </c>
      <c r="C10269" s="10" t="str">
        <f>"9781501712791"</f>
        <v>9781501712791</v>
      </c>
      <c r="D10269" s="10" t="s">
        <v>9533</v>
      </c>
      <c r="E10269" s="10" t="s">
        <v>5258</v>
      </c>
      <c r="F10269" s="10" t="s">
        <v>2536</v>
      </c>
      <c r="G10269" s="10" t="s">
        <v>6317</v>
      </c>
      <c r="H10269" s="11">
        <v>42892</v>
      </c>
      <c r="I10269" s="10">
        <v>2017</v>
      </c>
      <c r="J10269" s="10" t="s">
        <v>5258</v>
      </c>
      <c r="K10269" s="10">
        <v>330</v>
      </c>
      <c r="L10269" s="10" t="s">
        <v>45342</v>
      </c>
      <c r="M10269" s="10">
        <v>1</v>
      </c>
      <c r="N10269" s="10" t="s">
        <v>45343</v>
      </c>
      <c r="O10269" s="10"/>
      <c r="P10269" s="10" t="s">
        <v>45344</v>
      </c>
      <c r="Q10269" s="10">
        <v>307.76071000000002</v>
      </c>
      <c r="R10269" s="10" t="s">
        <v>45345</v>
      </c>
      <c r="S10269" s="10" t="s">
        <v>53</v>
      </c>
      <c r="T10269" s="10" t="s">
        <v>6363</v>
      </c>
    </row>
    <row r="10270" spans="1:20" ht="14.5" x14ac:dyDescent="0.35">
      <c r="A10270" s="10" t="s">
        <v>45346</v>
      </c>
      <c r="B10270" s="10" t="str">
        <f>"9781498289078"</f>
        <v>9781498289078</v>
      </c>
      <c r="C10270" s="10" t="str">
        <f>"9781498289085"</f>
        <v>9781498289085</v>
      </c>
      <c r="D10270" s="10" t="s">
        <v>9533</v>
      </c>
      <c r="E10270" s="10" t="s">
        <v>44933</v>
      </c>
      <c r="F10270" s="10" t="s">
        <v>4092</v>
      </c>
      <c r="G10270" s="10" t="s">
        <v>6317</v>
      </c>
      <c r="H10270" s="11">
        <v>42825</v>
      </c>
      <c r="I10270" s="10">
        <v>2017</v>
      </c>
      <c r="J10270" s="10" t="s">
        <v>44933</v>
      </c>
      <c r="K10270" s="10">
        <v>410</v>
      </c>
      <c r="L10270" s="10" t="s">
        <v>45347</v>
      </c>
      <c r="M10270" s="10">
        <v>1</v>
      </c>
      <c r="N10270" s="10"/>
      <c r="O10270" s="10"/>
      <c r="P10270" s="10" t="s">
        <v>45348</v>
      </c>
      <c r="Q10270" s="10">
        <v>371.10199999999901</v>
      </c>
      <c r="R10270" s="10" t="s">
        <v>18927</v>
      </c>
      <c r="S10270" s="10" t="s">
        <v>53</v>
      </c>
      <c r="T10270" s="10" t="s">
        <v>54</v>
      </c>
    </row>
    <row r="10271" spans="1:20" ht="14.5" x14ac:dyDescent="0.35">
      <c r="A10271" s="10" t="s">
        <v>45349</v>
      </c>
      <c r="B10271" s="10" t="str">
        <f>"9781423225935"</f>
        <v>9781423225935</v>
      </c>
      <c r="C10271" s="10" t="str">
        <f>"9781423228363"</f>
        <v>9781423228363</v>
      </c>
      <c r="D10271" s="10" t="s">
        <v>28876</v>
      </c>
      <c r="E10271" s="10" t="s">
        <v>45350</v>
      </c>
      <c r="F10271" s="10" t="s">
        <v>45351</v>
      </c>
      <c r="G10271" s="10" t="s">
        <v>6317</v>
      </c>
      <c r="H10271" s="11">
        <v>42155</v>
      </c>
      <c r="I10271" s="10">
        <v>2015</v>
      </c>
      <c r="J10271" s="10" t="s">
        <v>45350</v>
      </c>
      <c r="K10271" s="10">
        <v>6</v>
      </c>
      <c r="L10271" s="10" t="s">
        <v>45352</v>
      </c>
      <c r="M10271" s="10">
        <v>1</v>
      </c>
      <c r="N10271" s="10"/>
      <c r="O10271" s="10"/>
      <c r="P10271" s="10" t="s">
        <v>45353</v>
      </c>
      <c r="Q10271" s="10">
        <v>372.7</v>
      </c>
      <c r="R10271" s="10" t="s">
        <v>45354</v>
      </c>
      <c r="S10271" s="10" t="s">
        <v>53</v>
      </c>
      <c r="T10271" s="10" t="s">
        <v>6448</v>
      </c>
    </row>
    <row r="10272" spans="1:20" ht="14.5" x14ac:dyDescent="0.35">
      <c r="A10272" s="10" t="s">
        <v>45355</v>
      </c>
      <c r="B10272" s="10" t="str">
        <f>"9781423225874"</f>
        <v>9781423225874</v>
      </c>
      <c r="C10272" s="10" t="str">
        <f>"9781423228318"</f>
        <v>9781423228318</v>
      </c>
      <c r="D10272" s="10" t="s">
        <v>28876</v>
      </c>
      <c r="E10272" s="10" t="s">
        <v>45350</v>
      </c>
      <c r="F10272" s="10" t="s">
        <v>45351</v>
      </c>
      <c r="G10272" s="10" t="s">
        <v>6317</v>
      </c>
      <c r="H10272" s="11">
        <v>42155</v>
      </c>
      <c r="I10272" s="10">
        <v>2015</v>
      </c>
      <c r="J10272" s="10" t="s">
        <v>45350</v>
      </c>
      <c r="K10272" s="10">
        <v>6</v>
      </c>
      <c r="L10272" s="10" t="s">
        <v>45352</v>
      </c>
      <c r="M10272" s="10">
        <v>1</v>
      </c>
      <c r="N10272" s="10"/>
      <c r="O10272" s="10"/>
      <c r="P10272" s="10" t="s">
        <v>45356</v>
      </c>
      <c r="Q10272" s="10">
        <v>372.6</v>
      </c>
      <c r="R10272" s="10" t="s">
        <v>45357</v>
      </c>
      <c r="S10272" s="10" t="s">
        <v>53</v>
      </c>
      <c r="T10272" s="10" t="s">
        <v>54</v>
      </c>
    </row>
    <row r="10273" spans="1:20" ht="14.5" x14ac:dyDescent="0.35">
      <c r="A10273" s="10" t="s">
        <v>45358</v>
      </c>
      <c r="B10273" s="10" t="str">
        <f>"9781423223702"</f>
        <v>9781423223702</v>
      </c>
      <c r="C10273" s="10" t="str">
        <f>"9781423223696"</f>
        <v>9781423223696</v>
      </c>
      <c r="D10273" s="10" t="s">
        <v>28876</v>
      </c>
      <c r="E10273" s="10" t="s">
        <v>45350</v>
      </c>
      <c r="F10273" s="10" t="s">
        <v>45351</v>
      </c>
      <c r="G10273" s="10" t="s">
        <v>6317</v>
      </c>
      <c r="H10273" s="11">
        <v>41790</v>
      </c>
      <c r="I10273" s="10">
        <v>2014</v>
      </c>
      <c r="J10273" s="10" t="s">
        <v>45350</v>
      </c>
      <c r="K10273" s="10">
        <v>6</v>
      </c>
      <c r="L10273" s="10" t="s">
        <v>45352</v>
      </c>
      <c r="M10273" s="10">
        <v>1</v>
      </c>
      <c r="N10273" s="10"/>
      <c r="O10273" s="10"/>
      <c r="P10273" s="10" t="s">
        <v>45359</v>
      </c>
      <c r="Q10273" s="10">
        <v>510.71199999999999</v>
      </c>
      <c r="R10273" s="10" t="s">
        <v>23543</v>
      </c>
      <c r="S10273" s="10" t="s">
        <v>53</v>
      </c>
      <c r="T10273" s="10" t="s">
        <v>389</v>
      </c>
    </row>
    <row r="10274" spans="1:20" ht="14.5" x14ac:dyDescent="0.35">
      <c r="A10274" s="10" t="s">
        <v>45360</v>
      </c>
      <c r="B10274" s="10" t="str">
        <f>"9781423223627"</f>
        <v>9781423223627</v>
      </c>
      <c r="C10274" s="10" t="str">
        <f>"9781423223689"</f>
        <v>9781423223689</v>
      </c>
      <c r="D10274" s="10" t="s">
        <v>28876</v>
      </c>
      <c r="E10274" s="10" t="s">
        <v>45350</v>
      </c>
      <c r="F10274" s="10" t="s">
        <v>45351</v>
      </c>
      <c r="G10274" s="10" t="s">
        <v>6317</v>
      </c>
      <c r="H10274" s="11">
        <v>41790</v>
      </c>
      <c r="I10274" s="10">
        <v>2014</v>
      </c>
      <c r="J10274" s="10" t="s">
        <v>45350</v>
      </c>
      <c r="K10274" s="10">
        <v>6</v>
      </c>
      <c r="L10274" s="10" t="s">
        <v>45352</v>
      </c>
      <c r="M10274" s="10">
        <v>1</v>
      </c>
      <c r="N10274" s="10"/>
      <c r="O10274" s="10"/>
      <c r="P10274" s="10" t="s">
        <v>45359</v>
      </c>
      <c r="Q10274" s="10">
        <v>510.71199999999999</v>
      </c>
      <c r="R10274" s="10" t="s">
        <v>23543</v>
      </c>
      <c r="S10274" s="10" t="s">
        <v>53</v>
      </c>
      <c r="T10274" s="10" t="s">
        <v>389</v>
      </c>
    </row>
    <row r="10275" spans="1:20" ht="14.5" x14ac:dyDescent="0.35">
      <c r="A10275" s="10" t="s">
        <v>45361</v>
      </c>
      <c r="B10275" s="10" t="str">
        <f>"9781423223610"</f>
        <v>9781423223610</v>
      </c>
      <c r="C10275" s="10" t="str">
        <f>"9781423223672"</f>
        <v>9781423223672</v>
      </c>
      <c r="D10275" s="10" t="s">
        <v>28876</v>
      </c>
      <c r="E10275" s="10" t="s">
        <v>45350</v>
      </c>
      <c r="F10275" s="10" t="s">
        <v>45351</v>
      </c>
      <c r="G10275" s="10" t="s">
        <v>6317</v>
      </c>
      <c r="H10275" s="11">
        <v>41790</v>
      </c>
      <c r="I10275" s="10">
        <v>2014</v>
      </c>
      <c r="J10275" s="10" t="s">
        <v>45350</v>
      </c>
      <c r="K10275" s="10">
        <v>6</v>
      </c>
      <c r="L10275" s="10" t="s">
        <v>45352</v>
      </c>
      <c r="M10275" s="10">
        <v>1</v>
      </c>
      <c r="N10275" s="10"/>
      <c r="O10275" s="10"/>
      <c r="P10275" s="10" t="s">
        <v>45359</v>
      </c>
      <c r="Q10275" s="10">
        <v>510.71199999999999</v>
      </c>
      <c r="R10275" s="10" t="s">
        <v>23543</v>
      </c>
      <c r="S10275" s="10" t="s">
        <v>53</v>
      </c>
      <c r="T10275" s="10" t="s">
        <v>389</v>
      </c>
    </row>
    <row r="10276" spans="1:20" ht="14.5" x14ac:dyDescent="0.35">
      <c r="A10276" s="10" t="s">
        <v>45362</v>
      </c>
      <c r="B10276" s="10" t="str">
        <f>"9781423222958"</f>
        <v>9781423222958</v>
      </c>
      <c r="C10276" s="10" t="str">
        <f>"9781423223375"</f>
        <v>9781423223375</v>
      </c>
      <c r="D10276" s="10" t="s">
        <v>28876</v>
      </c>
      <c r="E10276" s="10" t="s">
        <v>45350</v>
      </c>
      <c r="F10276" s="10" t="s">
        <v>45351</v>
      </c>
      <c r="G10276" s="10" t="s">
        <v>6317</v>
      </c>
      <c r="H10276" s="11">
        <v>41790</v>
      </c>
      <c r="I10276" s="10">
        <v>2014</v>
      </c>
      <c r="J10276" s="10" t="s">
        <v>45350</v>
      </c>
      <c r="K10276" s="10">
        <v>6</v>
      </c>
      <c r="L10276" s="10" t="s">
        <v>45352</v>
      </c>
      <c r="M10276" s="10">
        <v>1</v>
      </c>
      <c r="N10276" s="10"/>
      <c r="O10276" s="10"/>
      <c r="P10276" s="10" t="s">
        <v>45363</v>
      </c>
      <c r="Q10276" s="10">
        <v>512.07119999999998</v>
      </c>
      <c r="R10276" s="10" t="s">
        <v>45364</v>
      </c>
      <c r="S10276" s="10" t="s">
        <v>53</v>
      </c>
      <c r="T10276" s="10" t="s">
        <v>389</v>
      </c>
    </row>
    <row r="10277" spans="1:20" ht="14.5" x14ac:dyDescent="0.35">
      <c r="A10277" s="10" t="s">
        <v>45365</v>
      </c>
      <c r="B10277" s="10" t="str">
        <f>"9781423222941"</f>
        <v>9781423222941</v>
      </c>
      <c r="C10277" s="10" t="str">
        <f>"9781423223368"</f>
        <v>9781423223368</v>
      </c>
      <c r="D10277" s="10" t="s">
        <v>28876</v>
      </c>
      <c r="E10277" s="10" t="s">
        <v>45350</v>
      </c>
      <c r="F10277" s="10" t="s">
        <v>45351</v>
      </c>
      <c r="G10277" s="10" t="s">
        <v>6317</v>
      </c>
      <c r="H10277" s="11">
        <v>41790</v>
      </c>
      <c r="I10277" s="10">
        <v>2014</v>
      </c>
      <c r="J10277" s="10" t="s">
        <v>45350</v>
      </c>
      <c r="K10277" s="10">
        <v>6</v>
      </c>
      <c r="L10277" s="10" t="s">
        <v>45352</v>
      </c>
      <c r="M10277" s="10">
        <v>1</v>
      </c>
      <c r="N10277" s="10"/>
      <c r="O10277" s="10"/>
      <c r="P10277" s="10" t="s">
        <v>45366</v>
      </c>
      <c r="Q10277" s="10">
        <v>516.00711999999999</v>
      </c>
      <c r="R10277" s="10" t="s">
        <v>45367</v>
      </c>
      <c r="S10277" s="10" t="s">
        <v>53</v>
      </c>
      <c r="T10277" s="10" t="s">
        <v>389</v>
      </c>
    </row>
    <row r="10278" spans="1:20" ht="14.5" x14ac:dyDescent="0.35">
      <c r="A10278" s="10" t="s">
        <v>45368</v>
      </c>
      <c r="B10278" s="10" t="str">
        <f>"9781423222934"</f>
        <v>9781423222934</v>
      </c>
      <c r="C10278" s="10" t="str">
        <f>"9781423223351"</f>
        <v>9781423223351</v>
      </c>
      <c r="D10278" s="10" t="s">
        <v>28876</v>
      </c>
      <c r="E10278" s="10" t="s">
        <v>45350</v>
      </c>
      <c r="F10278" s="10" t="s">
        <v>45351</v>
      </c>
      <c r="G10278" s="10" t="s">
        <v>6317</v>
      </c>
      <c r="H10278" s="11">
        <v>41790</v>
      </c>
      <c r="I10278" s="10">
        <v>2014</v>
      </c>
      <c r="J10278" s="10" t="s">
        <v>45350</v>
      </c>
      <c r="K10278" s="10">
        <v>6</v>
      </c>
      <c r="L10278" s="10" t="s">
        <v>45352</v>
      </c>
      <c r="M10278" s="10">
        <v>1</v>
      </c>
      <c r="N10278" s="10"/>
      <c r="O10278" s="10"/>
      <c r="P10278" s="10" t="s">
        <v>45363</v>
      </c>
      <c r="Q10278" s="10">
        <v>512.07119999999998</v>
      </c>
      <c r="R10278" s="10" t="s">
        <v>45364</v>
      </c>
      <c r="S10278" s="10" t="s">
        <v>53</v>
      </c>
      <c r="T10278" s="10" t="s">
        <v>389</v>
      </c>
    </row>
    <row r="10279" spans="1:20" ht="14.5" x14ac:dyDescent="0.35">
      <c r="A10279" s="10" t="s">
        <v>45369</v>
      </c>
      <c r="B10279" s="10" t="str">
        <f>"9781423222866"</f>
        <v>9781423222866</v>
      </c>
      <c r="C10279" s="10" t="str">
        <f>"9781423223283"</f>
        <v>9781423223283</v>
      </c>
      <c r="D10279" s="10" t="s">
        <v>28876</v>
      </c>
      <c r="E10279" s="10" t="s">
        <v>45350</v>
      </c>
      <c r="F10279" s="10" t="s">
        <v>45351</v>
      </c>
      <c r="G10279" s="10" t="s">
        <v>6317</v>
      </c>
      <c r="H10279" s="11">
        <v>41790</v>
      </c>
      <c r="I10279" s="10">
        <v>2014</v>
      </c>
      <c r="J10279" s="10" t="s">
        <v>45350</v>
      </c>
      <c r="K10279" s="10">
        <v>6</v>
      </c>
      <c r="L10279" s="10" t="s">
        <v>45352</v>
      </c>
      <c r="M10279" s="10">
        <v>1</v>
      </c>
      <c r="N10279" s="10"/>
      <c r="O10279" s="10"/>
      <c r="P10279" s="10" t="s">
        <v>45370</v>
      </c>
      <c r="Q10279" s="10">
        <v>372.7</v>
      </c>
      <c r="R10279" s="10" t="s">
        <v>45354</v>
      </c>
      <c r="S10279" s="10" t="s">
        <v>53</v>
      </c>
      <c r="T10279" s="10" t="s">
        <v>6448</v>
      </c>
    </row>
    <row r="10280" spans="1:20" ht="14.5" x14ac:dyDescent="0.35">
      <c r="A10280" s="10" t="s">
        <v>45371</v>
      </c>
      <c r="B10280" s="10" t="str">
        <f>"9781423222859"</f>
        <v>9781423222859</v>
      </c>
      <c r="C10280" s="10" t="str">
        <f>"9781423223276"</f>
        <v>9781423223276</v>
      </c>
      <c r="D10280" s="10" t="s">
        <v>28876</v>
      </c>
      <c r="E10280" s="10" t="s">
        <v>45350</v>
      </c>
      <c r="F10280" s="10" t="s">
        <v>45351</v>
      </c>
      <c r="G10280" s="10" t="s">
        <v>6317</v>
      </c>
      <c r="H10280" s="11">
        <v>41790</v>
      </c>
      <c r="I10280" s="10">
        <v>2014</v>
      </c>
      <c r="J10280" s="10" t="s">
        <v>45350</v>
      </c>
      <c r="K10280" s="10">
        <v>6</v>
      </c>
      <c r="L10280" s="10" t="s">
        <v>45352</v>
      </c>
      <c r="M10280" s="10">
        <v>1</v>
      </c>
      <c r="N10280" s="10"/>
      <c r="O10280" s="10"/>
      <c r="P10280" s="10" t="s">
        <v>45370</v>
      </c>
      <c r="Q10280" s="10">
        <v>372.7</v>
      </c>
      <c r="R10280" s="10" t="s">
        <v>45354</v>
      </c>
      <c r="S10280" s="10" t="s">
        <v>53</v>
      </c>
      <c r="T10280" s="10" t="s">
        <v>7425</v>
      </c>
    </row>
    <row r="10281" spans="1:20" ht="14.5" x14ac:dyDescent="0.35">
      <c r="A10281" s="10" t="s">
        <v>45372</v>
      </c>
      <c r="B10281" s="10" t="str">
        <f>"9781423222835"</f>
        <v>9781423222835</v>
      </c>
      <c r="C10281" s="10" t="str">
        <f>"9781423223252"</f>
        <v>9781423223252</v>
      </c>
      <c r="D10281" s="10" t="s">
        <v>28876</v>
      </c>
      <c r="E10281" s="10" t="s">
        <v>45350</v>
      </c>
      <c r="F10281" s="10" t="s">
        <v>45351</v>
      </c>
      <c r="G10281" s="10" t="s">
        <v>6317</v>
      </c>
      <c r="H10281" s="11">
        <v>41790</v>
      </c>
      <c r="I10281" s="10">
        <v>2014</v>
      </c>
      <c r="J10281" s="10" t="s">
        <v>45350</v>
      </c>
      <c r="K10281" s="10">
        <v>6</v>
      </c>
      <c r="L10281" s="10" t="s">
        <v>45352</v>
      </c>
      <c r="M10281" s="10">
        <v>1</v>
      </c>
      <c r="N10281" s="10"/>
      <c r="O10281" s="10"/>
      <c r="P10281" s="10" t="s">
        <v>45370</v>
      </c>
      <c r="Q10281" s="10">
        <v>372.7</v>
      </c>
      <c r="R10281" s="10" t="s">
        <v>45354</v>
      </c>
      <c r="S10281" s="10" t="s">
        <v>53</v>
      </c>
      <c r="T10281" s="10" t="s">
        <v>6448</v>
      </c>
    </row>
    <row r="10282" spans="1:20" ht="14.5" x14ac:dyDescent="0.35">
      <c r="A10282" s="10" t="s">
        <v>45373</v>
      </c>
      <c r="B10282" s="10" t="str">
        <f>"9781423222842"</f>
        <v>9781423222842</v>
      </c>
      <c r="C10282" s="10" t="str">
        <f>"9781423223269"</f>
        <v>9781423223269</v>
      </c>
      <c r="D10282" s="10" t="s">
        <v>28876</v>
      </c>
      <c r="E10282" s="10" t="s">
        <v>45350</v>
      </c>
      <c r="F10282" s="10" t="s">
        <v>45351</v>
      </c>
      <c r="G10282" s="10" t="s">
        <v>6317</v>
      </c>
      <c r="H10282" s="11">
        <v>41790</v>
      </c>
      <c r="I10282" s="10">
        <v>2014</v>
      </c>
      <c r="J10282" s="10" t="s">
        <v>45350</v>
      </c>
      <c r="K10282" s="10">
        <v>6</v>
      </c>
      <c r="L10282" s="10" t="s">
        <v>45352</v>
      </c>
      <c r="M10282" s="10">
        <v>1</v>
      </c>
      <c r="N10282" s="10"/>
      <c r="O10282" s="10"/>
      <c r="P10282" s="10" t="s">
        <v>45370</v>
      </c>
      <c r="Q10282" s="10">
        <v>372.7</v>
      </c>
      <c r="R10282" s="10" t="s">
        <v>45354</v>
      </c>
      <c r="S10282" s="10" t="s">
        <v>53</v>
      </c>
      <c r="T10282" s="10" t="s">
        <v>7425</v>
      </c>
    </row>
    <row r="10283" spans="1:20" ht="14.5" x14ac:dyDescent="0.35">
      <c r="A10283" s="10" t="s">
        <v>45374</v>
      </c>
      <c r="B10283" s="10" t="str">
        <f>"9781423222774"</f>
        <v>9781423222774</v>
      </c>
      <c r="C10283" s="10" t="str">
        <f>"9781423223191"</f>
        <v>9781423223191</v>
      </c>
      <c r="D10283" s="10" t="s">
        <v>28876</v>
      </c>
      <c r="E10283" s="10" t="s">
        <v>45350</v>
      </c>
      <c r="F10283" s="10" t="s">
        <v>45351</v>
      </c>
      <c r="G10283" s="10" t="s">
        <v>6317</v>
      </c>
      <c r="H10283" s="11">
        <v>41790</v>
      </c>
      <c r="I10283" s="10">
        <v>2014</v>
      </c>
      <c r="J10283" s="10" t="s">
        <v>45350</v>
      </c>
      <c r="K10283" s="10">
        <v>6</v>
      </c>
      <c r="L10283" s="10" t="s">
        <v>45352</v>
      </c>
      <c r="M10283" s="10">
        <v>1</v>
      </c>
      <c r="N10283" s="10"/>
      <c r="O10283" s="10"/>
      <c r="P10283" s="10" t="s">
        <v>44563</v>
      </c>
      <c r="Q10283" s="10">
        <v>428.00711999999999</v>
      </c>
      <c r="R10283" s="10" t="s">
        <v>45375</v>
      </c>
      <c r="S10283" s="10" t="s">
        <v>53</v>
      </c>
      <c r="T10283" s="10" t="s">
        <v>6634</v>
      </c>
    </row>
    <row r="10284" spans="1:20" ht="14.5" x14ac:dyDescent="0.35">
      <c r="A10284" s="10" t="s">
        <v>45376</v>
      </c>
      <c r="B10284" s="10" t="str">
        <f>"9781423222828"</f>
        <v>9781423222828</v>
      </c>
      <c r="C10284" s="10" t="str">
        <f>"9781423223245"</f>
        <v>9781423223245</v>
      </c>
      <c r="D10284" s="10" t="s">
        <v>28876</v>
      </c>
      <c r="E10284" s="10" t="s">
        <v>45350</v>
      </c>
      <c r="F10284" s="10" t="s">
        <v>45351</v>
      </c>
      <c r="G10284" s="10" t="s">
        <v>6317</v>
      </c>
      <c r="H10284" s="11">
        <v>41790</v>
      </c>
      <c r="I10284" s="10">
        <v>2014</v>
      </c>
      <c r="J10284" s="10" t="s">
        <v>45350</v>
      </c>
      <c r="K10284" s="10">
        <v>6</v>
      </c>
      <c r="L10284" s="10" t="s">
        <v>45352</v>
      </c>
      <c r="M10284" s="10">
        <v>1</v>
      </c>
      <c r="N10284" s="10"/>
      <c r="O10284" s="10"/>
      <c r="P10284" s="10" t="s">
        <v>45370</v>
      </c>
      <c r="Q10284" s="10">
        <v>372.7</v>
      </c>
      <c r="R10284" s="10" t="s">
        <v>45354</v>
      </c>
      <c r="S10284" s="10" t="s">
        <v>53</v>
      </c>
      <c r="T10284" s="10" t="s">
        <v>6448</v>
      </c>
    </row>
    <row r="10285" spans="1:20" ht="14.5" x14ac:dyDescent="0.35">
      <c r="A10285" s="10" t="s">
        <v>45377</v>
      </c>
      <c r="B10285" s="10" t="str">
        <f>"9781423222811"</f>
        <v>9781423222811</v>
      </c>
      <c r="C10285" s="10" t="str">
        <f>"9781423223238"</f>
        <v>9781423223238</v>
      </c>
      <c r="D10285" s="10" t="s">
        <v>28876</v>
      </c>
      <c r="E10285" s="10" t="s">
        <v>45350</v>
      </c>
      <c r="F10285" s="10" t="s">
        <v>45351</v>
      </c>
      <c r="G10285" s="10" t="s">
        <v>6317</v>
      </c>
      <c r="H10285" s="11">
        <v>41790</v>
      </c>
      <c r="I10285" s="10">
        <v>2014</v>
      </c>
      <c r="J10285" s="10" t="s">
        <v>45350</v>
      </c>
      <c r="K10285" s="10">
        <v>6</v>
      </c>
      <c r="L10285" s="10" t="s">
        <v>45352</v>
      </c>
      <c r="M10285" s="10">
        <v>1</v>
      </c>
      <c r="N10285" s="10"/>
      <c r="O10285" s="10"/>
      <c r="P10285" s="10" t="s">
        <v>45370</v>
      </c>
      <c r="Q10285" s="10">
        <v>372.7</v>
      </c>
      <c r="R10285" s="10" t="s">
        <v>45354</v>
      </c>
      <c r="S10285" s="10" t="s">
        <v>53</v>
      </c>
      <c r="T10285" s="10" t="s">
        <v>7425</v>
      </c>
    </row>
    <row r="10286" spans="1:20" ht="14.5" x14ac:dyDescent="0.35">
      <c r="A10286" s="10" t="s">
        <v>45378</v>
      </c>
      <c r="B10286" s="10" t="str">
        <f>"9781423222767"</f>
        <v>9781423222767</v>
      </c>
      <c r="C10286" s="10" t="str">
        <f>"9781423223184"</f>
        <v>9781423223184</v>
      </c>
      <c r="D10286" s="10" t="s">
        <v>28876</v>
      </c>
      <c r="E10286" s="10" t="s">
        <v>45350</v>
      </c>
      <c r="F10286" s="10" t="s">
        <v>45351</v>
      </c>
      <c r="G10286" s="10" t="s">
        <v>6317</v>
      </c>
      <c r="H10286" s="11">
        <v>41790</v>
      </c>
      <c r="I10286" s="10">
        <v>2014</v>
      </c>
      <c r="J10286" s="10" t="s">
        <v>45350</v>
      </c>
      <c r="K10286" s="10">
        <v>6</v>
      </c>
      <c r="L10286" s="10" t="s">
        <v>45352</v>
      </c>
      <c r="M10286" s="10">
        <v>1</v>
      </c>
      <c r="N10286" s="10"/>
      <c r="O10286" s="10"/>
      <c r="P10286" s="10" t="s">
        <v>45379</v>
      </c>
      <c r="Q10286" s="10">
        <v>372.6</v>
      </c>
      <c r="R10286" s="10" t="s">
        <v>45380</v>
      </c>
      <c r="S10286" s="10" t="s">
        <v>53</v>
      </c>
      <c r="T10286" s="10" t="s">
        <v>54</v>
      </c>
    </row>
    <row r="10287" spans="1:20" ht="14.5" x14ac:dyDescent="0.35">
      <c r="A10287" s="10" t="s">
        <v>45381</v>
      </c>
      <c r="B10287" s="10" t="str">
        <f>"9781423222750"</f>
        <v>9781423222750</v>
      </c>
      <c r="C10287" s="10" t="str">
        <f>"9781423223177"</f>
        <v>9781423223177</v>
      </c>
      <c r="D10287" s="10" t="s">
        <v>28876</v>
      </c>
      <c r="E10287" s="10" t="s">
        <v>45350</v>
      </c>
      <c r="F10287" s="10" t="s">
        <v>45351</v>
      </c>
      <c r="G10287" s="10" t="s">
        <v>6317</v>
      </c>
      <c r="H10287" s="11">
        <v>41790</v>
      </c>
      <c r="I10287" s="10">
        <v>2014</v>
      </c>
      <c r="J10287" s="10" t="s">
        <v>45350</v>
      </c>
      <c r="K10287" s="10">
        <v>6</v>
      </c>
      <c r="L10287" s="10" t="s">
        <v>45352</v>
      </c>
      <c r="M10287" s="10">
        <v>1</v>
      </c>
      <c r="N10287" s="10"/>
      <c r="O10287" s="10"/>
      <c r="P10287" s="10" t="s">
        <v>45379</v>
      </c>
      <c r="Q10287" s="10">
        <v>372.6</v>
      </c>
      <c r="R10287" s="10" t="s">
        <v>45380</v>
      </c>
      <c r="S10287" s="10" t="s">
        <v>53</v>
      </c>
      <c r="T10287" s="10" t="s">
        <v>54</v>
      </c>
    </row>
    <row r="10288" spans="1:20" ht="14.5" x14ac:dyDescent="0.35">
      <c r="A10288" s="10" t="s">
        <v>45382</v>
      </c>
      <c r="B10288" s="10" t="str">
        <f>"9781423222743"</f>
        <v>9781423222743</v>
      </c>
      <c r="C10288" s="10" t="str">
        <f>"9781423223160"</f>
        <v>9781423223160</v>
      </c>
      <c r="D10288" s="10" t="s">
        <v>28876</v>
      </c>
      <c r="E10288" s="10" t="s">
        <v>45350</v>
      </c>
      <c r="F10288" s="10" t="s">
        <v>45351</v>
      </c>
      <c r="G10288" s="10" t="s">
        <v>6317</v>
      </c>
      <c r="H10288" s="11">
        <v>41790</v>
      </c>
      <c r="I10288" s="10">
        <v>2014</v>
      </c>
      <c r="J10288" s="10" t="s">
        <v>45350</v>
      </c>
      <c r="K10288" s="10">
        <v>6</v>
      </c>
      <c r="L10288" s="10" t="s">
        <v>45352</v>
      </c>
      <c r="M10288" s="10">
        <v>1</v>
      </c>
      <c r="N10288" s="10"/>
      <c r="O10288" s="10"/>
      <c r="P10288" s="10" t="s">
        <v>45379</v>
      </c>
      <c r="Q10288" s="10">
        <v>372.6</v>
      </c>
      <c r="R10288" s="10" t="s">
        <v>45380</v>
      </c>
      <c r="S10288" s="10" t="s">
        <v>53</v>
      </c>
      <c r="T10288" s="10" t="s">
        <v>54</v>
      </c>
    </row>
    <row r="10289" spans="1:20" ht="14.5" x14ac:dyDescent="0.35">
      <c r="A10289" s="10" t="s">
        <v>45383</v>
      </c>
      <c r="B10289" s="10" t="str">
        <f>"9781423222736"</f>
        <v>9781423222736</v>
      </c>
      <c r="C10289" s="10" t="str">
        <f>"9781423223153"</f>
        <v>9781423223153</v>
      </c>
      <c r="D10289" s="10" t="s">
        <v>28876</v>
      </c>
      <c r="E10289" s="10" t="s">
        <v>45350</v>
      </c>
      <c r="F10289" s="10" t="s">
        <v>45351</v>
      </c>
      <c r="G10289" s="10" t="s">
        <v>6317</v>
      </c>
      <c r="H10289" s="11">
        <v>41790</v>
      </c>
      <c r="I10289" s="10">
        <v>2014</v>
      </c>
      <c r="J10289" s="10" t="s">
        <v>45350</v>
      </c>
      <c r="K10289" s="10">
        <v>6</v>
      </c>
      <c r="L10289" s="10" t="s">
        <v>45352</v>
      </c>
      <c r="M10289" s="10">
        <v>1</v>
      </c>
      <c r="N10289" s="10"/>
      <c r="O10289" s="10"/>
      <c r="P10289" s="10" t="s">
        <v>45384</v>
      </c>
      <c r="Q10289" s="10">
        <v>428.00711999999999</v>
      </c>
      <c r="R10289" s="10" t="s">
        <v>45385</v>
      </c>
      <c r="S10289" s="10" t="s">
        <v>53</v>
      </c>
      <c r="T10289" s="10" t="s">
        <v>6634</v>
      </c>
    </row>
    <row r="10290" spans="1:20" ht="14.5" x14ac:dyDescent="0.35">
      <c r="A10290" s="10" t="s">
        <v>45386</v>
      </c>
      <c r="B10290" s="10" t="str">
        <f>"9781423222712"</f>
        <v>9781423222712</v>
      </c>
      <c r="C10290" s="10" t="str">
        <f>"9781423223139"</f>
        <v>9781423223139</v>
      </c>
      <c r="D10290" s="10" t="s">
        <v>28876</v>
      </c>
      <c r="E10290" s="10" t="s">
        <v>45350</v>
      </c>
      <c r="F10290" s="10" t="s">
        <v>45351</v>
      </c>
      <c r="G10290" s="10" t="s">
        <v>6317</v>
      </c>
      <c r="H10290" s="11">
        <v>41790</v>
      </c>
      <c r="I10290" s="10">
        <v>2014</v>
      </c>
      <c r="J10290" s="10" t="s">
        <v>45350</v>
      </c>
      <c r="K10290" s="10">
        <v>6</v>
      </c>
      <c r="L10290" s="10" t="s">
        <v>45352</v>
      </c>
      <c r="M10290" s="10">
        <v>1</v>
      </c>
      <c r="N10290" s="10"/>
      <c r="O10290" s="10"/>
      <c r="P10290" s="10" t="s">
        <v>45384</v>
      </c>
      <c r="Q10290" s="10">
        <v>428.00711999999999</v>
      </c>
      <c r="R10290" s="10" t="s">
        <v>45385</v>
      </c>
      <c r="S10290" s="10" t="s">
        <v>53</v>
      </c>
      <c r="T10290" s="10" t="s">
        <v>6634</v>
      </c>
    </row>
    <row r="10291" spans="1:20" ht="14.5" x14ac:dyDescent="0.35">
      <c r="A10291" s="10" t="s">
        <v>45387</v>
      </c>
      <c r="B10291" s="10" t="str">
        <f>"9781423222729"</f>
        <v>9781423222729</v>
      </c>
      <c r="C10291" s="10" t="str">
        <f>"9781423223146"</f>
        <v>9781423223146</v>
      </c>
      <c r="D10291" s="10" t="s">
        <v>28876</v>
      </c>
      <c r="E10291" s="10" t="s">
        <v>45350</v>
      </c>
      <c r="F10291" s="10" t="s">
        <v>45351</v>
      </c>
      <c r="G10291" s="10" t="s">
        <v>6317</v>
      </c>
      <c r="H10291" s="11">
        <v>41790</v>
      </c>
      <c r="I10291" s="10">
        <v>2014</v>
      </c>
      <c r="J10291" s="10" t="s">
        <v>45350</v>
      </c>
      <c r="K10291" s="10">
        <v>6</v>
      </c>
      <c r="L10291" s="10" t="s">
        <v>45352</v>
      </c>
      <c r="M10291" s="10">
        <v>1</v>
      </c>
      <c r="N10291" s="10"/>
      <c r="O10291" s="10"/>
      <c r="P10291" s="10" t="s">
        <v>45384</v>
      </c>
      <c r="Q10291" s="10">
        <v>428.00711999999999</v>
      </c>
      <c r="R10291" s="10" t="s">
        <v>45385</v>
      </c>
      <c r="S10291" s="10" t="s">
        <v>53</v>
      </c>
      <c r="T10291" s="10" t="s">
        <v>6634</v>
      </c>
    </row>
    <row r="10292" spans="1:20" ht="14.5" x14ac:dyDescent="0.35">
      <c r="A10292" s="10" t="s">
        <v>45388</v>
      </c>
      <c r="B10292" s="10" t="str">
        <f>"9781423222705"</f>
        <v>9781423222705</v>
      </c>
      <c r="C10292" s="10" t="str">
        <f>"9781423223122"</f>
        <v>9781423223122</v>
      </c>
      <c r="D10292" s="10" t="s">
        <v>28876</v>
      </c>
      <c r="E10292" s="10" t="s">
        <v>45350</v>
      </c>
      <c r="F10292" s="10" t="s">
        <v>45351</v>
      </c>
      <c r="G10292" s="10" t="s">
        <v>6317</v>
      </c>
      <c r="H10292" s="11">
        <v>41790</v>
      </c>
      <c r="I10292" s="10">
        <v>2014</v>
      </c>
      <c r="J10292" s="10" t="s">
        <v>45350</v>
      </c>
      <c r="K10292" s="10">
        <v>6</v>
      </c>
      <c r="L10292" s="10" t="s">
        <v>45352</v>
      </c>
      <c r="M10292" s="10">
        <v>1</v>
      </c>
      <c r="N10292" s="10"/>
      <c r="O10292" s="10"/>
      <c r="P10292" s="10" t="s">
        <v>45384</v>
      </c>
      <c r="Q10292" s="10">
        <v>428.00711999999999</v>
      </c>
      <c r="R10292" s="10" t="s">
        <v>45385</v>
      </c>
      <c r="S10292" s="10" t="s">
        <v>53</v>
      </c>
      <c r="T10292" s="10" t="s">
        <v>6498</v>
      </c>
    </row>
    <row r="10293" spans="1:20" ht="14.5" x14ac:dyDescent="0.35">
      <c r="A10293" s="10" t="s">
        <v>45389</v>
      </c>
      <c r="B10293" s="10" t="str">
        <f>"9781423222378"</f>
        <v>9781423222378</v>
      </c>
      <c r="C10293" s="10" t="str">
        <f>"9781423222415"</f>
        <v>9781423222415</v>
      </c>
      <c r="D10293" s="10" t="s">
        <v>28876</v>
      </c>
      <c r="E10293" s="10" t="s">
        <v>45350</v>
      </c>
      <c r="F10293" s="10" t="s">
        <v>45351</v>
      </c>
      <c r="G10293" s="10" t="s">
        <v>6317</v>
      </c>
      <c r="H10293" s="11">
        <v>41639</v>
      </c>
      <c r="I10293" s="10">
        <v>2013</v>
      </c>
      <c r="J10293" s="10" t="s">
        <v>45350</v>
      </c>
      <c r="K10293" s="10">
        <v>6</v>
      </c>
      <c r="L10293" s="10" t="s">
        <v>45352</v>
      </c>
      <c r="M10293" s="10">
        <v>1</v>
      </c>
      <c r="N10293" s="10"/>
      <c r="O10293" s="10"/>
      <c r="P10293" s="10" t="s">
        <v>45390</v>
      </c>
      <c r="Q10293" s="10">
        <v>428.00709999999998</v>
      </c>
      <c r="R10293" s="10" t="s">
        <v>45391</v>
      </c>
      <c r="S10293" s="10" t="s">
        <v>53</v>
      </c>
      <c r="T10293" s="10" t="s">
        <v>6634</v>
      </c>
    </row>
    <row r="10294" spans="1:20" ht="14.5" x14ac:dyDescent="0.35">
      <c r="A10294" s="10" t="s">
        <v>45392</v>
      </c>
      <c r="B10294" s="10" t="str">
        <f>"9781423234791"</f>
        <v>9781423234791</v>
      </c>
      <c r="C10294" s="10" t="str">
        <f>"9781423235002"</f>
        <v>9781423235002</v>
      </c>
      <c r="D10294" s="10" t="s">
        <v>28876</v>
      </c>
      <c r="E10294" s="10" t="s">
        <v>45350</v>
      </c>
      <c r="F10294" s="10" t="s">
        <v>39534</v>
      </c>
      <c r="G10294" s="10" t="s">
        <v>6317</v>
      </c>
      <c r="H10294" s="11">
        <v>42856</v>
      </c>
      <c r="I10294" s="10">
        <v>2018</v>
      </c>
      <c r="J10294" s="10" t="s">
        <v>45350</v>
      </c>
      <c r="K10294" s="10">
        <v>6</v>
      </c>
      <c r="L10294" s="10" t="s">
        <v>45352</v>
      </c>
      <c r="M10294" s="10">
        <v>1</v>
      </c>
      <c r="N10294" s="10"/>
      <c r="O10294" s="10"/>
      <c r="P10294" s="10" t="s">
        <v>45393</v>
      </c>
      <c r="Q10294" s="10">
        <v>371.30281000000002</v>
      </c>
      <c r="R10294" s="10" t="s">
        <v>34484</v>
      </c>
      <c r="S10294" s="10" t="s">
        <v>53</v>
      </c>
      <c r="T10294" s="10" t="s">
        <v>54</v>
      </c>
    </row>
    <row r="10295" spans="1:20" ht="14.5" x14ac:dyDescent="0.35">
      <c r="A10295" s="10" t="s">
        <v>45394</v>
      </c>
      <c r="B10295" s="10" t="str">
        <f>"9781423234746"</f>
        <v>9781423234746</v>
      </c>
      <c r="C10295" s="10" t="str">
        <f>"9781423234951"</f>
        <v>9781423234951</v>
      </c>
      <c r="D10295" s="10" t="s">
        <v>28876</v>
      </c>
      <c r="E10295" s="10" t="s">
        <v>45350</v>
      </c>
      <c r="F10295" s="10" t="s">
        <v>39534</v>
      </c>
      <c r="G10295" s="10" t="s">
        <v>6317</v>
      </c>
      <c r="H10295" s="11">
        <v>42856</v>
      </c>
      <c r="I10295" s="10">
        <v>2017</v>
      </c>
      <c r="J10295" s="10" t="s">
        <v>45350</v>
      </c>
      <c r="K10295" s="10">
        <v>6</v>
      </c>
      <c r="L10295" s="10" t="s">
        <v>45352</v>
      </c>
      <c r="M10295" s="10">
        <v>1</v>
      </c>
      <c r="N10295" s="10"/>
      <c r="O10295" s="10"/>
      <c r="P10295" s="10" t="s">
        <v>45395</v>
      </c>
      <c r="Q10295" s="10">
        <v>510.76</v>
      </c>
      <c r="R10295" s="10" t="s">
        <v>45396</v>
      </c>
      <c r="S10295" s="10" t="s">
        <v>53</v>
      </c>
      <c r="T10295" s="10" t="s">
        <v>389</v>
      </c>
    </row>
    <row r="10296" spans="1:20" ht="14.5" x14ac:dyDescent="0.35">
      <c r="A10296" s="10" t="s">
        <v>45397</v>
      </c>
      <c r="B10296" s="10" t="str">
        <f>"9781423234739"</f>
        <v>9781423234739</v>
      </c>
      <c r="C10296" s="10" t="str">
        <f>"9781423234944"</f>
        <v>9781423234944</v>
      </c>
      <c r="D10296" s="10" t="s">
        <v>28876</v>
      </c>
      <c r="E10296" s="10" t="s">
        <v>45350</v>
      </c>
      <c r="F10296" s="10" t="s">
        <v>39534</v>
      </c>
      <c r="G10296" s="10" t="s">
        <v>6317</v>
      </c>
      <c r="H10296" s="11">
        <v>42856</v>
      </c>
      <c r="I10296" s="10">
        <v>2018</v>
      </c>
      <c r="J10296" s="10" t="s">
        <v>45350</v>
      </c>
      <c r="K10296" s="10">
        <v>6</v>
      </c>
      <c r="L10296" s="10" t="s">
        <v>45352</v>
      </c>
      <c r="M10296" s="10">
        <v>1</v>
      </c>
      <c r="N10296" s="10"/>
      <c r="O10296" s="10"/>
      <c r="P10296" s="10" t="s">
        <v>45398</v>
      </c>
      <c r="Q10296" s="10">
        <v>378.1662</v>
      </c>
      <c r="R10296" s="10" t="s">
        <v>45399</v>
      </c>
      <c r="S10296" s="10" t="s">
        <v>53</v>
      </c>
      <c r="T10296" s="10" t="s">
        <v>54</v>
      </c>
    </row>
    <row r="10297" spans="1:20" ht="14.5" x14ac:dyDescent="0.35">
      <c r="A10297" s="10" t="s">
        <v>45400</v>
      </c>
      <c r="B10297" s="10" t="str">
        <f>"9781423221845"</f>
        <v>9781423221845</v>
      </c>
      <c r="C10297" s="10" t="str">
        <f>"9781423221944"</f>
        <v>9781423221944</v>
      </c>
      <c r="D10297" s="10" t="s">
        <v>28876</v>
      </c>
      <c r="E10297" s="10" t="s">
        <v>45350</v>
      </c>
      <c r="F10297" s="10" t="s">
        <v>45351</v>
      </c>
      <c r="G10297" s="10" t="s">
        <v>6317</v>
      </c>
      <c r="H10297" s="11">
        <v>41639</v>
      </c>
      <c r="I10297" s="10">
        <v>2013</v>
      </c>
      <c r="J10297" s="10" t="s">
        <v>45350</v>
      </c>
      <c r="K10297" s="10">
        <v>6</v>
      </c>
      <c r="L10297" s="10" t="s">
        <v>45352</v>
      </c>
      <c r="M10297" s="10">
        <v>1</v>
      </c>
      <c r="N10297" s="10"/>
      <c r="O10297" s="10"/>
      <c r="P10297" s="10" t="s">
        <v>45401</v>
      </c>
      <c r="Q10297" s="10">
        <v>372.6044</v>
      </c>
      <c r="R10297" s="10" t="s">
        <v>45402</v>
      </c>
      <c r="S10297" s="10" t="s">
        <v>53</v>
      </c>
      <c r="T10297" s="10" t="s">
        <v>54</v>
      </c>
    </row>
    <row r="10298" spans="1:20" ht="14.5" x14ac:dyDescent="0.35">
      <c r="A10298" s="10" t="s">
        <v>45403</v>
      </c>
      <c r="B10298" s="10" t="str">
        <f>"9781423221821"</f>
        <v>9781423221821</v>
      </c>
      <c r="C10298" s="10" t="str">
        <f>"9781423221920"</f>
        <v>9781423221920</v>
      </c>
      <c r="D10298" s="10" t="s">
        <v>28876</v>
      </c>
      <c r="E10298" s="10" t="s">
        <v>45350</v>
      </c>
      <c r="F10298" s="10" t="s">
        <v>45351</v>
      </c>
      <c r="G10298" s="10" t="s">
        <v>6317</v>
      </c>
      <c r="H10298" s="11">
        <v>41639</v>
      </c>
      <c r="I10298" s="10">
        <v>2013</v>
      </c>
      <c r="J10298" s="10" t="s">
        <v>45350</v>
      </c>
      <c r="K10298" s="10">
        <v>4</v>
      </c>
      <c r="L10298" s="10" t="s">
        <v>45352</v>
      </c>
      <c r="M10298" s="10">
        <v>1</v>
      </c>
      <c r="N10298" s="10"/>
      <c r="O10298" s="10"/>
      <c r="P10298" s="10" t="s">
        <v>45404</v>
      </c>
      <c r="Q10298" s="10">
        <v>372.6</v>
      </c>
      <c r="R10298" s="10" t="s">
        <v>45357</v>
      </c>
      <c r="S10298" s="10" t="s">
        <v>53</v>
      </c>
      <c r="T10298" s="10" t="s">
        <v>54</v>
      </c>
    </row>
    <row r="10299" spans="1:20" ht="14.5" x14ac:dyDescent="0.35">
      <c r="A10299" s="10" t="s">
        <v>45405</v>
      </c>
      <c r="B10299" s="10" t="str">
        <f>"9781423221814"</f>
        <v>9781423221814</v>
      </c>
      <c r="C10299" s="10" t="str">
        <f>"9781423221913"</f>
        <v>9781423221913</v>
      </c>
      <c r="D10299" s="10" t="s">
        <v>28876</v>
      </c>
      <c r="E10299" s="10" t="s">
        <v>45350</v>
      </c>
      <c r="F10299" s="10" t="s">
        <v>45351</v>
      </c>
      <c r="G10299" s="10" t="s">
        <v>6317</v>
      </c>
      <c r="H10299" s="11">
        <v>41639</v>
      </c>
      <c r="I10299" s="10">
        <v>2013</v>
      </c>
      <c r="J10299" s="10" t="s">
        <v>45350</v>
      </c>
      <c r="K10299" s="10">
        <v>6</v>
      </c>
      <c r="L10299" s="10" t="s">
        <v>45352</v>
      </c>
      <c r="M10299" s="10">
        <v>1</v>
      </c>
      <c r="N10299" s="10"/>
      <c r="O10299" s="10"/>
      <c r="P10299" s="10" t="s">
        <v>45404</v>
      </c>
      <c r="Q10299" s="10">
        <v>372.6</v>
      </c>
      <c r="R10299" s="10" t="s">
        <v>45357</v>
      </c>
      <c r="S10299" s="10" t="s">
        <v>53</v>
      </c>
      <c r="T10299" s="10" t="s">
        <v>54</v>
      </c>
    </row>
    <row r="10300" spans="1:20" ht="14.5" x14ac:dyDescent="0.35">
      <c r="A10300" s="10" t="s">
        <v>45406</v>
      </c>
      <c r="B10300" s="10" t="str">
        <f>"9781423217633"</f>
        <v>9781423217633</v>
      </c>
      <c r="C10300" s="10" t="str">
        <f>"9781423217800"</f>
        <v>9781423217800</v>
      </c>
      <c r="D10300" s="10" t="s">
        <v>28876</v>
      </c>
      <c r="E10300" s="10" t="s">
        <v>45350</v>
      </c>
      <c r="F10300" s="10" t="s">
        <v>45351</v>
      </c>
      <c r="G10300" s="10" t="s">
        <v>6317</v>
      </c>
      <c r="H10300" s="11">
        <v>41486</v>
      </c>
      <c r="I10300" s="10">
        <v>2013</v>
      </c>
      <c r="J10300" s="10" t="s">
        <v>45350</v>
      </c>
      <c r="K10300" s="10">
        <v>6</v>
      </c>
      <c r="L10300" s="10" t="s">
        <v>45352</v>
      </c>
      <c r="M10300" s="10">
        <v>1</v>
      </c>
      <c r="N10300" s="10"/>
      <c r="O10300" s="10"/>
      <c r="P10300" s="10" t="s">
        <v>45407</v>
      </c>
      <c r="Q10300" s="10">
        <v>428.00709999999998</v>
      </c>
      <c r="R10300" s="10" t="s">
        <v>45408</v>
      </c>
      <c r="S10300" s="10" t="s">
        <v>53</v>
      </c>
      <c r="T10300" s="10" t="s">
        <v>6634</v>
      </c>
    </row>
    <row r="10301" spans="1:20" ht="14.5" x14ac:dyDescent="0.35">
      <c r="A10301" s="10" t="s">
        <v>45409</v>
      </c>
      <c r="B10301" s="10" t="str">
        <f>"9781423217602"</f>
        <v>9781423217602</v>
      </c>
      <c r="C10301" s="10" t="str">
        <f>"9781423217770"</f>
        <v>9781423217770</v>
      </c>
      <c r="D10301" s="10" t="s">
        <v>28876</v>
      </c>
      <c r="E10301" s="10" t="s">
        <v>45350</v>
      </c>
      <c r="F10301" s="10" t="s">
        <v>45351</v>
      </c>
      <c r="G10301" s="10" t="s">
        <v>6317</v>
      </c>
      <c r="H10301" s="11">
        <v>41486</v>
      </c>
      <c r="I10301" s="10">
        <v>2013</v>
      </c>
      <c r="J10301" s="10" t="s">
        <v>45350</v>
      </c>
      <c r="K10301" s="10">
        <v>6</v>
      </c>
      <c r="L10301" s="10" t="s">
        <v>45352</v>
      </c>
      <c r="M10301" s="10">
        <v>1</v>
      </c>
      <c r="N10301" s="10"/>
      <c r="O10301" s="10"/>
      <c r="P10301" s="10" t="s">
        <v>45410</v>
      </c>
      <c r="Q10301" s="10">
        <v>372.6044</v>
      </c>
      <c r="R10301" s="10" t="s">
        <v>45402</v>
      </c>
      <c r="S10301" s="10" t="s">
        <v>53</v>
      </c>
      <c r="T10301" s="10" t="s">
        <v>54</v>
      </c>
    </row>
    <row r="10302" spans="1:20" ht="14.5" x14ac:dyDescent="0.35">
      <c r="A10302" s="10" t="s">
        <v>45411</v>
      </c>
      <c r="B10302" s="10" t="str">
        <f>"9781423217626"</f>
        <v>9781423217626</v>
      </c>
      <c r="C10302" s="10" t="str">
        <f>"9781423217794"</f>
        <v>9781423217794</v>
      </c>
      <c r="D10302" s="10" t="s">
        <v>28876</v>
      </c>
      <c r="E10302" s="10" t="s">
        <v>45350</v>
      </c>
      <c r="F10302" s="10" t="s">
        <v>45351</v>
      </c>
      <c r="G10302" s="10" t="s">
        <v>6317</v>
      </c>
      <c r="H10302" s="11">
        <v>41486</v>
      </c>
      <c r="I10302" s="10">
        <v>2013</v>
      </c>
      <c r="J10302" s="10" t="s">
        <v>45350</v>
      </c>
      <c r="K10302" s="10">
        <v>6</v>
      </c>
      <c r="L10302" s="10" t="s">
        <v>45352</v>
      </c>
      <c r="M10302" s="10">
        <v>1</v>
      </c>
      <c r="N10302" s="10"/>
      <c r="O10302" s="10"/>
      <c r="P10302" s="10" t="s">
        <v>45407</v>
      </c>
      <c r="Q10302" s="10">
        <v>428.00709999999998</v>
      </c>
      <c r="R10302" s="10" t="s">
        <v>45408</v>
      </c>
      <c r="S10302" s="10" t="s">
        <v>53</v>
      </c>
      <c r="T10302" s="10" t="s">
        <v>6498</v>
      </c>
    </row>
    <row r="10303" spans="1:20" ht="14.5" x14ac:dyDescent="0.35">
      <c r="A10303" s="10" t="s">
        <v>45412</v>
      </c>
      <c r="B10303" s="10" t="str">
        <f>"9781423217619"</f>
        <v>9781423217619</v>
      </c>
      <c r="C10303" s="10" t="str">
        <f>"9781423217787"</f>
        <v>9781423217787</v>
      </c>
      <c r="D10303" s="10" t="s">
        <v>28876</v>
      </c>
      <c r="E10303" s="10" t="s">
        <v>45350</v>
      </c>
      <c r="F10303" s="10" t="s">
        <v>45351</v>
      </c>
      <c r="G10303" s="10" t="s">
        <v>6317</v>
      </c>
      <c r="H10303" s="11">
        <v>41486</v>
      </c>
      <c r="I10303" s="10">
        <v>2013</v>
      </c>
      <c r="J10303" s="10" t="s">
        <v>45350</v>
      </c>
      <c r="K10303" s="10">
        <v>6</v>
      </c>
      <c r="L10303" s="10" t="s">
        <v>45352</v>
      </c>
      <c r="M10303" s="10">
        <v>1</v>
      </c>
      <c r="N10303" s="10"/>
      <c r="O10303" s="10"/>
      <c r="P10303" s="10" t="s">
        <v>45407</v>
      </c>
      <c r="Q10303" s="10">
        <v>372.6044</v>
      </c>
      <c r="R10303" s="10" t="s">
        <v>45402</v>
      </c>
      <c r="S10303" s="10" t="s">
        <v>53</v>
      </c>
      <c r="T10303" s="10" t="s">
        <v>54</v>
      </c>
    </row>
    <row r="10304" spans="1:20" ht="14.5" x14ac:dyDescent="0.35">
      <c r="A10304" s="10" t="s">
        <v>45413</v>
      </c>
      <c r="B10304" s="10" t="str">
        <f>"9781943874651"</f>
        <v>9781943874651</v>
      </c>
      <c r="C10304" s="10" t="str">
        <f>"9781943874668"</f>
        <v>9781943874668</v>
      </c>
      <c r="D10304" s="10" t="s">
        <v>37580</v>
      </c>
      <c r="E10304" s="10" t="s">
        <v>37581</v>
      </c>
      <c r="F10304" s="10" t="s">
        <v>37623</v>
      </c>
      <c r="G10304" s="10" t="s">
        <v>6317</v>
      </c>
      <c r="H10304" s="11">
        <v>42902</v>
      </c>
      <c r="I10304" s="10">
        <v>2017</v>
      </c>
      <c r="J10304" s="10" t="s">
        <v>37581</v>
      </c>
      <c r="K10304" s="10">
        <v>120</v>
      </c>
      <c r="L10304" s="10" t="s">
        <v>25094</v>
      </c>
      <c r="M10304" s="10">
        <v>1</v>
      </c>
      <c r="N10304" s="10"/>
      <c r="O10304" s="10"/>
      <c r="P10304" s="10"/>
      <c r="Q10304" s="10" t="s">
        <v>6576</v>
      </c>
      <c r="R10304" s="10"/>
      <c r="S10304" s="10" t="s">
        <v>53</v>
      </c>
      <c r="T10304" s="10" t="s">
        <v>54</v>
      </c>
    </row>
    <row r="10305" spans="1:20" ht="14.5" x14ac:dyDescent="0.35">
      <c r="A10305" s="10" t="s">
        <v>45414</v>
      </c>
      <c r="B10305" s="10" t="str">
        <f>"9781942496557"</f>
        <v>9781942496557</v>
      </c>
      <c r="C10305" s="10" t="str">
        <f>"9781942496564"</f>
        <v>9781942496564</v>
      </c>
      <c r="D10305" s="10" t="s">
        <v>37580</v>
      </c>
      <c r="E10305" s="10" t="s">
        <v>37581</v>
      </c>
      <c r="F10305" s="10" t="s">
        <v>37623</v>
      </c>
      <c r="G10305" s="10" t="s">
        <v>6317</v>
      </c>
      <c r="H10305" s="11">
        <v>42916</v>
      </c>
      <c r="I10305" s="10">
        <v>2017</v>
      </c>
      <c r="J10305" s="10" t="s">
        <v>37581</v>
      </c>
      <c r="K10305" s="10">
        <v>112</v>
      </c>
      <c r="L10305" s="10" t="s">
        <v>45415</v>
      </c>
      <c r="M10305" s="10">
        <v>1</v>
      </c>
      <c r="N10305" s="10"/>
      <c r="O10305" s="10"/>
      <c r="P10305" s="10"/>
      <c r="Q10305" s="10"/>
      <c r="R10305" s="10"/>
      <c r="S10305" s="10" t="s">
        <v>53</v>
      </c>
      <c r="T10305" s="10" t="s">
        <v>54</v>
      </c>
    </row>
    <row r="10306" spans="1:20" ht="14.5" x14ac:dyDescent="0.35">
      <c r="A10306" s="10" t="s">
        <v>45416</v>
      </c>
      <c r="B10306" s="10" t="str">
        <f>"9781416623939"</f>
        <v>9781416623939</v>
      </c>
      <c r="C10306" s="10" t="str">
        <f>"9781416623953"</f>
        <v>9781416623953</v>
      </c>
      <c r="D10306" s="10" t="s">
        <v>10014</v>
      </c>
      <c r="E10306" s="10" t="s">
        <v>10015</v>
      </c>
      <c r="F10306" s="10" t="s">
        <v>201</v>
      </c>
      <c r="G10306" s="10" t="s">
        <v>6317</v>
      </c>
      <c r="H10306" s="11">
        <v>42916</v>
      </c>
      <c r="I10306" s="10">
        <v>2017</v>
      </c>
      <c r="J10306" s="10" t="s">
        <v>10015</v>
      </c>
      <c r="K10306" s="10">
        <v>153</v>
      </c>
      <c r="L10306" s="10" t="s">
        <v>45417</v>
      </c>
      <c r="M10306" s="10">
        <v>1</v>
      </c>
      <c r="N10306" s="10"/>
      <c r="O10306" s="10"/>
      <c r="P10306" s="10" t="s">
        <v>45418</v>
      </c>
      <c r="Q10306" s="10" t="s">
        <v>8460</v>
      </c>
      <c r="R10306" s="10" t="s">
        <v>45419</v>
      </c>
      <c r="S10306" s="10" t="s">
        <v>53</v>
      </c>
      <c r="T10306" s="10" t="s">
        <v>54</v>
      </c>
    </row>
    <row r="10307" spans="1:20" ht="14.5" x14ac:dyDescent="0.35">
      <c r="A10307" s="10" t="s">
        <v>45420</v>
      </c>
      <c r="B10307" s="10" t="str">
        <f>"9781416623892"</f>
        <v>9781416623892</v>
      </c>
      <c r="C10307" s="10" t="str">
        <f>"9781416623915"</f>
        <v>9781416623915</v>
      </c>
      <c r="D10307" s="10" t="s">
        <v>10014</v>
      </c>
      <c r="E10307" s="10" t="s">
        <v>10015</v>
      </c>
      <c r="F10307" s="10" t="s">
        <v>201</v>
      </c>
      <c r="G10307" s="10" t="s">
        <v>6317</v>
      </c>
      <c r="H10307" s="11">
        <v>42916</v>
      </c>
      <c r="I10307" s="10">
        <v>2017</v>
      </c>
      <c r="J10307" s="10" t="s">
        <v>10015</v>
      </c>
      <c r="K10307" s="10">
        <v>279</v>
      </c>
      <c r="L10307" s="10" t="s">
        <v>45421</v>
      </c>
      <c r="M10307" s="10">
        <v>1</v>
      </c>
      <c r="N10307" s="10"/>
      <c r="O10307" s="10"/>
      <c r="P10307" s="10" t="s">
        <v>45422</v>
      </c>
      <c r="Q10307" s="10" t="s">
        <v>8460</v>
      </c>
      <c r="R10307" s="10" t="s">
        <v>28755</v>
      </c>
      <c r="S10307" s="10" t="s">
        <v>53</v>
      </c>
      <c r="T10307" s="10" t="s">
        <v>54</v>
      </c>
    </row>
    <row r="10308" spans="1:20" ht="14.5" x14ac:dyDescent="0.35">
      <c r="A10308" s="10" t="s">
        <v>45423</v>
      </c>
      <c r="B10308" s="10" t="str">
        <f>"9781416623977"</f>
        <v>9781416623977</v>
      </c>
      <c r="C10308" s="10" t="str">
        <f>"9781416623984"</f>
        <v>9781416623984</v>
      </c>
      <c r="D10308" s="10" t="s">
        <v>10014</v>
      </c>
      <c r="E10308" s="10" t="s">
        <v>10015</v>
      </c>
      <c r="F10308" s="10" t="s">
        <v>201</v>
      </c>
      <c r="G10308" s="10" t="s">
        <v>6317</v>
      </c>
      <c r="H10308" s="11">
        <v>42892</v>
      </c>
      <c r="I10308" s="10">
        <v>2017</v>
      </c>
      <c r="J10308" s="10" t="s">
        <v>10015</v>
      </c>
      <c r="K10308" s="10">
        <v>150</v>
      </c>
      <c r="L10308" s="10" t="s">
        <v>45424</v>
      </c>
      <c r="M10308" s="10">
        <v>1</v>
      </c>
      <c r="N10308" s="10"/>
      <c r="O10308" s="10"/>
      <c r="P10308" s="10" t="s">
        <v>45425</v>
      </c>
      <c r="Q10308" s="10" t="s">
        <v>8460</v>
      </c>
      <c r="R10308" s="10" t="s">
        <v>45426</v>
      </c>
      <c r="S10308" s="10" t="s">
        <v>53</v>
      </c>
      <c r="T10308" s="10" t="s">
        <v>54</v>
      </c>
    </row>
    <row r="10309" spans="1:20" ht="14.5" x14ac:dyDescent="0.35">
      <c r="A10309" s="10" t="s">
        <v>45427</v>
      </c>
      <c r="B10309" s="10" t="str">
        <f>"9781475820683"</f>
        <v>9781475820683</v>
      </c>
      <c r="C10309" s="10" t="str">
        <f>"9781475809497"</f>
        <v>9781475809497</v>
      </c>
      <c r="D10309" s="10" t="s">
        <v>9752</v>
      </c>
      <c r="E10309" s="10" t="s">
        <v>15187</v>
      </c>
      <c r="F10309" s="10" t="s">
        <v>9754</v>
      </c>
      <c r="G10309" s="10" t="s">
        <v>6317</v>
      </c>
      <c r="H10309" s="11">
        <v>42893</v>
      </c>
      <c r="I10309" s="10">
        <v>2017</v>
      </c>
      <c r="J10309" s="10" t="s">
        <v>15187</v>
      </c>
      <c r="K10309" s="10">
        <v>175</v>
      </c>
      <c r="L10309" s="10" t="s">
        <v>45428</v>
      </c>
      <c r="M10309" s="10">
        <v>1</v>
      </c>
      <c r="N10309" s="10" t="s">
        <v>31474</v>
      </c>
      <c r="O10309" s="10"/>
      <c r="P10309" s="10" t="s">
        <v>45429</v>
      </c>
      <c r="Q10309" s="10">
        <v>378.15430973000002</v>
      </c>
      <c r="R10309" s="10" t="s">
        <v>45430</v>
      </c>
      <c r="S10309" s="10" t="s">
        <v>53</v>
      </c>
      <c r="T10309" s="10" t="s">
        <v>54</v>
      </c>
    </row>
    <row r="10310" spans="1:20" ht="14.5" x14ac:dyDescent="0.35">
      <c r="A10310" s="10" t="s">
        <v>45431</v>
      </c>
      <c r="B10310" s="10" t="str">
        <f>"9781464810718"</f>
        <v>9781464810718</v>
      </c>
      <c r="C10310" s="10" t="str">
        <f>"9781464810725"</f>
        <v>9781464810725</v>
      </c>
      <c r="D10310" s="10" t="s">
        <v>14731</v>
      </c>
      <c r="E10310" s="10" t="s">
        <v>14732</v>
      </c>
      <c r="F10310" s="10" t="s">
        <v>11765</v>
      </c>
      <c r="G10310" s="10" t="s">
        <v>6317</v>
      </c>
      <c r="H10310" s="11">
        <v>42914</v>
      </c>
      <c r="I10310" s="10">
        <v>2017</v>
      </c>
      <c r="J10310" s="10" t="s">
        <v>14732</v>
      </c>
      <c r="K10310" s="10">
        <v>233</v>
      </c>
      <c r="L10310" s="10" t="s">
        <v>45432</v>
      </c>
      <c r="M10310" s="10">
        <v>1</v>
      </c>
      <c r="N10310" s="10" t="s">
        <v>20668</v>
      </c>
      <c r="O10310" s="10"/>
      <c r="P10310" s="10" t="s">
        <v>45433</v>
      </c>
      <c r="Q10310" s="10">
        <v>379.12099999999901</v>
      </c>
      <c r="R10310" s="10" t="s">
        <v>45434</v>
      </c>
      <c r="S10310" s="10" t="s">
        <v>53</v>
      </c>
      <c r="T10310" s="10" t="s">
        <v>54</v>
      </c>
    </row>
    <row r="10311" spans="1:20" ht="14.5" x14ac:dyDescent="0.35">
      <c r="A10311" s="10" t="s">
        <v>45435</v>
      </c>
      <c r="B10311" s="10" t="str">
        <f>"9781472945884"</f>
        <v>9781472945884</v>
      </c>
      <c r="C10311" s="10" t="str">
        <f>"9781472945877"</f>
        <v>9781472945877</v>
      </c>
      <c r="D10311" s="10" t="s">
        <v>13959</v>
      </c>
      <c r="E10311" s="10" t="s">
        <v>13960</v>
      </c>
      <c r="F10311" s="10" t="s">
        <v>139</v>
      </c>
      <c r="G10311" s="10" t="s">
        <v>6352</v>
      </c>
      <c r="H10311" s="11">
        <v>43013</v>
      </c>
      <c r="I10311" s="10">
        <v>2017</v>
      </c>
      <c r="J10311" s="10" t="s">
        <v>25203</v>
      </c>
      <c r="K10311" s="10">
        <v>66</v>
      </c>
      <c r="L10311" s="10" t="s">
        <v>45436</v>
      </c>
      <c r="M10311" s="10">
        <v>1</v>
      </c>
      <c r="N10311" s="10"/>
      <c r="O10311" s="10"/>
      <c r="P10311" s="10" t="s">
        <v>45437</v>
      </c>
      <c r="Q10311" s="10">
        <v>372.6044</v>
      </c>
      <c r="R10311" s="10" t="s">
        <v>43867</v>
      </c>
      <c r="S10311" s="10" t="s">
        <v>53</v>
      </c>
      <c r="T10311" s="10" t="s">
        <v>54</v>
      </c>
    </row>
    <row r="10312" spans="1:20" ht="14.5" x14ac:dyDescent="0.35">
      <c r="A10312" s="10" t="s">
        <v>45438</v>
      </c>
      <c r="B10312" s="10" t="str">
        <f>"9781475826456"</f>
        <v>9781475826456</v>
      </c>
      <c r="C10312" s="10" t="str">
        <f>"9781475826470"</f>
        <v>9781475826470</v>
      </c>
      <c r="D10312" s="10" t="s">
        <v>9752</v>
      </c>
      <c r="E10312" s="10" t="s">
        <v>15187</v>
      </c>
      <c r="F10312" s="10" t="s">
        <v>9754</v>
      </c>
      <c r="G10312" s="10" t="s">
        <v>6317</v>
      </c>
      <c r="H10312" s="11">
        <v>42902</v>
      </c>
      <c r="I10312" s="10">
        <v>2017</v>
      </c>
      <c r="J10312" s="10" t="s">
        <v>15187</v>
      </c>
      <c r="K10312" s="10">
        <v>194</v>
      </c>
      <c r="L10312" s="10" t="s">
        <v>45439</v>
      </c>
      <c r="M10312" s="10">
        <v>1</v>
      </c>
      <c r="N10312" s="10"/>
      <c r="O10312" s="10"/>
      <c r="P10312" s="10" t="s">
        <v>45440</v>
      </c>
      <c r="Q10312" s="10">
        <v>378.00819999999999</v>
      </c>
      <c r="R10312" s="10" t="s">
        <v>45441</v>
      </c>
      <c r="S10312" s="10" t="s">
        <v>53</v>
      </c>
      <c r="T10312" s="10" t="s">
        <v>54</v>
      </c>
    </row>
    <row r="10313" spans="1:20" ht="14.5" x14ac:dyDescent="0.35">
      <c r="A10313" s="10" t="s">
        <v>45442</v>
      </c>
      <c r="B10313" s="10" t="str">
        <f>"9781443886093"</f>
        <v>9781443886093</v>
      </c>
      <c r="C10313" s="10" t="str">
        <f>"9781443893589"</f>
        <v>9781443893589</v>
      </c>
      <c r="D10313" s="10" t="s">
        <v>23635</v>
      </c>
      <c r="E10313" s="10" t="s">
        <v>23635</v>
      </c>
      <c r="F10313" s="10" t="s">
        <v>23636</v>
      </c>
      <c r="G10313" s="10" t="s">
        <v>6352</v>
      </c>
      <c r="H10313" s="11">
        <v>42885</v>
      </c>
      <c r="I10313" s="10">
        <v>2017</v>
      </c>
      <c r="J10313" s="10" t="s">
        <v>23635</v>
      </c>
      <c r="K10313" s="10">
        <v>166</v>
      </c>
      <c r="L10313" s="10" t="s">
        <v>45443</v>
      </c>
      <c r="M10313" s="10">
        <v>1</v>
      </c>
      <c r="N10313" s="10"/>
      <c r="O10313" s="10"/>
      <c r="P10313" s="10" t="s">
        <v>45444</v>
      </c>
      <c r="Q10313" s="10">
        <v>370.71095400000002</v>
      </c>
      <c r="R10313" s="10" t="s">
        <v>45445</v>
      </c>
      <c r="S10313" s="10" t="s">
        <v>53</v>
      </c>
      <c r="T10313" s="10" t="s">
        <v>54</v>
      </c>
    </row>
    <row r="10314" spans="1:20" ht="14.5" x14ac:dyDescent="0.35">
      <c r="A10314" s="10" t="s">
        <v>45446</v>
      </c>
      <c r="B10314" s="10" t="str">
        <f>"9788021053267"</f>
        <v>9788021053267</v>
      </c>
      <c r="C10314" s="10" t="str">
        <f>"9788021075504"</f>
        <v>9788021075504</v>
      </c>
      <c r="D10314" s="10" t="s">
        <v>45447</v>
      </c>
      <c r="E10314" s="10" t="s">
        <v>45448</v>
      </c>
      <c r="F10314" s="10" t="s">
        <v>4892</v>
      </c>
      <c r="G10314" s="10" t="s">
        <v>30936</v>
      </c>
      <c r="H10314" s="11">
        <v>40360</v>
      </c>
      <c r="I10314" s="10">
        <v>2010</v>
      </c>
      <c r="J10314" s="10" t="s">
        <v>45447</v>
      </c>
      <c r="K10314" s="10">
        <v>344</v>
      </c>
      <c r="L10314" s="10" t="s">
        <v>45449</v>
      </c>
      <c r="M10314" s="10">
        <v>1</v>
      </c>
      <c r="N10314" s="10"/>
      <c r="O10314" s="10"/>
      <c r="P10314" s="10" t="s">
        <v>45450</v>
      </c>
      <c r="Q10314" s="10">
        <v>378.4391</v>
      </c>
      <c r="R10314" s="10" t="s">
        <v>45451</v>
      </c>
      <c r="S10314" s="10" t="s">
        <v>4212</v>
      </c>
      <c r="T10314" s="10" t="s">
        <v>54</v>
      </c>
    </row>
    <row r="10315" spans="1:20" ht="14.5" x14ac:dyDescent="0.35">
      <c r="A10315" s="10" t="s">
        <v>45452</v>
      </c>
      <c r="B10315" s="10" t="str">
        <f>"9788021061309"</f>
        <v>9788021061309</v>
      </c>
      <c r="C10315" s="10" t="str">
        <f>"9788021076419"</f>
        <v>9788021076419</v>
      </c>
      <c r="D10315" s="10" t="s">
        <v>45447</v>
      </c>
      <c r="E10315" s="10" t="s">
        <v>45448</v>
      </c>
      <c r="F10315" s="10" t="s">
        <v>4892</v>
      </c>
      <c r="G10315" s="10" t="s">
        <v>30936</v>
      </c>
      <c r="H10315" s="11">
        <v>41456</v>
      </c>
      <c r="I10315" s="10">
        <v>2013</v>
      </c>
      <c r="J10315" s="10" t="s">
        <v>45447</v>
      </c>
      <c r="K10315" s="10">
        <v>200</v>
      </c>
      <c r="L10315" s="10" t="s">
        <v>45453</v>
      </c>
      <c r="M10315" s="10">
        <v>1</v>
      </c>
      <c r="N10315" s="10"/>
      <c r="O10315" s="10"/>
      <c r="P10315" s="10" t="s">
        <v>45454</v>
      </c>
      <c r="Q10315" s="10">
        <v>372.19</v>
      </c>
      <c r="R10315" s="10" t="s">
        <v>45455</v>
      </c>
      <c r="S10315" s="10" t="s">
        <v>4212</v>
      </c>
      <c r="T10315" s="10" t="s">
        <v>54</v>
      </c>
    </row>
    <row r="10316" spans="1:20" ht="14.5" x14ac:dyDescent="0.35">
      <c r="A10316" s="10" t="s">
        <v>45456</v>
      </c>
      <c r="B10316" s="10" t="str">
        <f>"9788021062054"</f>
        <v>9788021062054</v>
      </c>
      <c r="C10316" s="10" t="str">
        <f>"9788021082229"</f>
        <v>9788021082229</v>
      </c>
      <c r="D10316" s="10" t="s">
        <v>45447</v>
      </c>
      <c r="E10316" s="10" t="s">
        <v>45448</v>
      </c>
      <c r="F10316" s="10" t="s">
        <v>4892</v>
      </c>
      <c r="G10316" s="10" t="s">
        <v>30936</v>
      </c>
      <c r="H10316" s="11">
        <v>41456</v>
      </c>
      <c r="I10316" s="10">
        <v>2013</v>
      </c>
      <c r="J10316" s="10" t="s">
        <v>45447</v>
      </c>
      <c r="K10316" s="10">
        <v>192</v>
      </c>
      <c r="L10316" s="10" t="s">
        <v>45457</v>
      </c>
      <c r="M10316" s="10">
        <v>1</v>
      </c>
      <c r="N10316" s="10"/>
      <c r="O10316" s="10"/>
      <c r="P10316" s="10" t="s">
        <v>45458</v>
      </c>
      <c r="Q10316" s="10">
        <v>371.10230000000001</v>
      </c>
      <c r="R10316" s="10" t="s">
        <v>25345</v>
      </c>
      <c r="S10316" s="10" t="s">
        <v>4212</v>
      </c>
      <c r="T10316" s="10" t="s">
        <v>54</v>
      </c>
    </row>
    <row r="10317" spans="1:20" ht="14.5" x14ac:dyDescent="0.35">
      <c r="A10317" s="10" t="s">
        <v>45459</v>
      </c>
      <c r="B10317" s="10" t="str">
        <f>"9788021080607"</f>
        <v>9788021080607</v>
      </c>
      <c r="C10317" s="10" t="str">
        <f>"9788021082519"</f>
        <v>9788021082519</v>
      </c>
      <c r="D10317" s="10" t="s">
        <v>45447</v>
      </c>
      <c r="E10317" s="10" t="s">
        <v>45448</v>
      </c>
      <c r="F10317" s="10" t="s">
        <v>4892</v>
      </c>
      <c r="G10317" s="10" t="s">
        <v>30936</v>
      </c>
      <c r="H10317" s="11">
        <v>42186</v>
      </c>
      <c r="I10317" s="10">
        <v>2015</v>
      </c>
      <c r="J10317" s="10" t="s">
        <v>45447</v>
      </c>
      <c r="K10317" s="10">
        <v>192</v>
      </c>
      <c r="L10317" s="10" t="s">
        <v>45460</v>
      </c>
      <c r="M10317" s="10">
        <v>1</v>
      </c>
      <c r="N10317" s="10"/>
      <c r="O10317" s="10"/>
      <c r="P10317" s="10" t="s">
        <v>45461</v>
      </c>
      <c r="Q10317" s="10">
        <v>372.6</v>
      </c>
      <c r="R10317" s="10" t="s">
        <v>45462</v>
      </c>
      <c r="S10317" s="10" t="s">
        <v>4212</v>
      </c>
      <c r="T10317" s="10" t="s">
        <v>54</v>
      </c>
    </row>
    <row r="10318" spans="1:20" ht="14.5" x14ac:dyDescent="0.35">
      <c r="A10318" s="10" t="s">
        <v>45463</v>
      </c>
      <c r="B10318" s="10" t="str">
        <f>"9783959482424"</f>
        <v>9783959482424</v>
      </c>
      <c r="C10318" s="10" t="str">
        <f>"9783959488150"</f>
        <v>9783959488150</v>
      </c>
      <c r="D10318" s="10" t="s">
        <v>27189</v>
      </c>
      <c r="E10318" s="10" t="s">
        <v>31140</v>
      </c>
      <c r="F10318" s="10" t="s">
        <v>31141</v>
      </c>
      <c r="G10318" s="10" t="s">
        <v>9998</v>
      </c>
      <c r="H10318" s="11">
        <v>42884</v>
      </c>
      <c r="I10318" s="10">
        <v>2017</v>
      </c>
      <c r="J10318" s="10" t="s">
        <v>31140</v>
      </c>
      <c r="K10318" s="10">
        <v>209</v>
      </c>
      <c r="L10318" s="10" t="s">
        <v>45464</v>
      </c>
      <c r="M10318" s="10"/>
      <c r="N10318" s="10" t="s">
        <v>45465</v>
      </c>
      <c r="O10318" s="10">
        <v>66</v>
      </c>
      <c r="P10318" s="10" t="s">
        <v>45466</v>
      </c>
      <c r="Q10318" s="10">
        <v>370.11399999999901</v>
      </c>
      <c r="R10318" s="10" t="s">
        <v>45467</v>
      </c>
      <c r="S10318" s="10" t="s">
        <v>53</v>
      </c>
      <c r="T10318" s="10" t="s">
        <v>54</v>
      </c>
    </row>
    <row r="10319" spans="1:20" ht="14.5" x14ac:dyDescent="0.35">
      <c r="A10319" s="10" t="s">
        <v>45468</v>
      </c>
      <c r="B10319" s="10" t="str">
        <f>"9781416622628"</f>
        <v>9781416622628</v>
      </c>
      <c r="C10319" s="10" t="str">
        <f>"9781416624776"</f>
        <v>9781416624776</v>
      </c>
      <c r="D10319" s="10" t="s">
        <v>10014</v>
      </c>
      <c r="E10319" s="10" t="s">
        <v>10015</v>
      </c>
      <c r="F10319" s="10" t="s">
        <v>201</v>
      </c>
      <c r="G10319" s="10" t="s">
        <v>6317</v>
      </c>
      <c r="H10319" s="11">
        <v>42913</v>
      </c>
      <c r="I10319" s="10">
        <v>2017</v>
      </c>
      <c r="J10319" s="10" t="s">
        <v>10015</v>
      </c>
      <c r="K10319" s="10">
        <v>356</v>
      </c>
      <c r="L10319" s="10" t="s">
        <v>45469</v>
      </c>
      <c r="M10319" s="10">
        <v>1</v>
      </c>
      <c r="N10319" s="10"/>
      <c r="O10319" s="10"/>
      <c r="P10319" s="10" t="s">
        <v>45470</v>
      </c>
      <c r="Q10319" s="10">
        <v>371.26097299999901</v>
      </c>
      <c r="R10319" s="10" t="s">
        <v>32033</v>
      </c>
      <c r="S10319" s="10" t="s">
        <v>53</v>
      </c>
      <c r="T10319" s="10" t="s">
        <v>54</v>
      </c>
    </row>
    <row r="10320" spans="1:20" ht="14.5" x14ac:dyDescent="0.35">
      <c r="A10320" s="10" t="s">
        <v>45471</v>
      </c>
      <c r="B10320" s="10" t="str">
        <f>"9781620365083"</f>
        <v>9781620365083</v>
      </c>
      <c r="C10320" s="10" t="str">
        <f>"9781000975802"</f>
        <v>9781000975802</v>
      </c>
      <c r="D10320" s="10" t="s">
        <v>6350</v>
      </c>
      <c r="E10320" s="10" t="s">
        <v>6351</v>
      </c>
      <c r="F10320" s="10" t="s">
        <v>748</v>
      </c>
      <c r="G10320" s="10" t="s">
        <v>6352</v>
      </c>
      <c r="H10320" s="11">
        <v>42877</v>
      </c>
      <c r="I10320" s="10">
        <v>2017</v>
      </c>
      <c r="J10320" s="10" t="s">
        <v>6351</v>
      </c>
      <c r="K10320" s="10">
        <v>243</v>
      </c>
      <c r="L10320" s="10" t="s">
        <v>45472</v>
      </c>
      <c r="M10320" s="10">
        <v>1</v>
      </c>
      <c r="N10320" s="10"/>
      <c r="O10320" s="10"/>
      <c r="P10320" s="10" t="s">
        <v>45473</v>
      </c>
      <c r="Q10320" s="10">
        <v>371.334</v>
      </c>
      <c r="R10320" s="10" t="s">
        <v>45474</v>
      </c>
      <c r="S10320" s="10" t="s">
        <v>53</v>
      </c>
      <c r="T10320" s="10" t="s">
        <v>54</v>
      </c>
    </row>
    <row r="10321" spans="1:20" ht="14.5" x14ac:dyDescent="0.35">
      <c r="A10321" s="10" t="s">
        <v>45475</v>
      </c>
      <c r="B10321" s="10" t="str">
        <f>"9781464810527"</f>
        <v>9781464810527</v>
      </c>
      <c r="C10321" s="10" t="str">
        <f>"9781464810534"</f>
        <v>9781464810534</v>
      </c>
      <c r="D10321" s="10" t="s">
        <v>14731</v>
      </c>
      <c r="E10321" s="10" t="s">
        <v>14732</v>
      </c>
      <c r="F10321" s="10" t="s">
        <v>11765</v>
      </c>
      <c r="G10321" s="10" t="s">
        <v>6317</v>
      </c>
      <c r="H10321" s="11">
        <v>42902</v>
      </c>
      <c r="I10321" s="10">
        <v>2017</v>
      </c>
      <c r="J10321" s="10" t="s">
        <v>14732</v>
      </c>
      <c r="K10321" s="10">
        <v>233</v>
      </c>
      <c r="L10321" s="10" t="s">
        <v>45476</v>
      </c>
      <c r="M10321" s="10">
        <v>1</v>
      </c>
      <c r="N10321" s="10" t="s">
        <v>31680</v>
      </c>
      <c r="O10321" s="10"/>
      <c r="P10321" s="10" t="s">
        <v>45477</v>
      </c>
      <c r="Q10321" s="10">
        <v>370.95492999999902</v>
      </c>
      <c r="R10321" s="10" t="s">
        <v>45478</v>
      </c>
      <c r="S10321" s="10" t="s">
        <v>53</v>
      </c>
      <c r="T10321" s="10" t="s">
        <v>54</v>
      </c>
    </row>
    <row r="10322" spans="1:20" ht="14.5" x14ac:dyDescent="0.35">
      <c r="A10322" s="10" t="s">
        <v>45479</v>
      </c>
      <c r="B10322" s="10" t="str">
        <f>"9781943874903"</f>
        <v>9781943874903</v>
      </c>
      <c r="C10322" s="10" t="str">
        <f>"9781943874910"</f>
        <v>9781943874910</v>
      </c>
      <c r="D10322" s="10" t="s">
        <v>37580</v>
      </c>
      <c r="E10322" s="10" t="s">
        <v>37581</v>
      </c>
      <c r="F10322" s="10" t="s">
        <v>37623</v>
      </c>
      <c r="G10322" s="10" t="s">
        <v>6317</v>
      </c>
      <c r="H10322" s="11">
        <v>42930</v>
      </c>
      <c r="I10322" s="10">
        <v>2018</v>
      </c>
      <c r="J10322" s="10" t="s">
        <v>37581</v>
      </c>
      <c r="K10322" s="10">
        <v>280</v>
      </c>
      <c r="L10322" s="10" t="s">
        <v>45480</v>
      </c>
      <c r="M10322" s="10">
        <v>1</v>
      </c>
      <c r="N10322" s="10"/>
      <c r="O10322" s="10"/>
      <c r="P10322" s="10" t="s">
        <v>45481</v>
      </c>
      <c r="Q10322" s="10"/>
      <c r="R10322" s="10"/>
      <c r="S10322" s="10" t="s">
        <v>53</v>
      </c>
      <c r="T10322" s="10" t="s">
        <v>54</v>
      </c>
    </row>
    <row r="10323" spans="1:20" ht="14.5" x14ac:dyDescent="0.35">
      <c r="A10323" s="10" t="s">
        <v>45482</v>
      </c>
      <c r="B10323" s="10" t="str">
        <f>"9783110499902"</f>
        <v>9783110499902</v>
      </c>
      <c r="C10323" s="10" t="str">
        <f>"9783110499117"</f>
        <v>9783110499117</v>
      </c>
      <c r="D10323" s="10" t="s">
        <v>9995</v>
      </c>
      <c r="E10323" s="10" t="s">
        <v>2515</v>
      </c>
      <c r="F10323" s="10" t="s">
        <v>9997</v>
      </c>
      <c r="G10323" s="10" t="s">
        <v>9998</v>
      </c>
      <c r="H10323" s="11">
        <v>42912</v>
      </c>
      <c r="I10323" s="10">
        <v>2017</v>
      </c>
      <c r="J10323" s="10" t="s">
        <v>42551</v>
      </c>
      <c r="K10323" s="10">
        <v>366</v>
      </c>
      <c r="L10323" s="10" t="s">
        <v>45483</v>
      </c>
      <c r="M10323" s="10">
        <v>1</v>
      </c>
      <c r="N10323" s="10" t="s">
        <v>45484</v>
      </c>
      <c r="O10323" s="10"/>
      <c r="P10323" s="10" t="s">
        <v>45485</v>
      </c>
      <c r="Q10323" s="10">
        <v>418.00285000000002</v>
      </c>
      <c r="R10323" s="10" t="s">
        <v>45486</v>
      </c>
      <c r="S10323" s="10" t="s">
        <v>53</v>
      </c>
      <c r="T10323" s="10" t="s">
        <v>6634</v>
      </c>
    </row>
    <row r="10324" spans="1:20" ht="14.5" x14ac:dyDescent="0.35">
      <c r="A10324" s="10" t="s">
        <v>45487</v>
      </c>
      <c r="B10324" s="10" t="str">
        <f>"9783110519402"</f>
        <v>9783110519402</v>
      </c>
      <c r="C10324" s="10" t="str">
        <f>"9783110522129"</f>
        <v>9783110522129</v>
      </c>
      <c r="D10324" s="10" t="s">
        <v>9995</v>
      </c>
      <c r="E10324" s="10" t="s">
        <v>2515</v>
      </c>
      <c r="F10324" s="10" t="s">
        <v>26321</v>
      </c>
      <c r="G10324" s="10" t="s">
        <v>9998</v>
      </c>
      <c r="H10324" s="11">
        <v>42912</v>
      </c>
      <c r="I10324" s="10">
        <v>2017</v>
      </c>
      <c r="J10324" s="10" t="s">
        <v>28454</v>
      </c>
      <c r="K10324" s="10">
        <v>258</v>
      </c>
      <c r="L10324" s="10" t="s">
        <v>45488</v>
      </c>
      <c r="M10324" s="10">
        <v>1</v>
      </c>
      <c r="N10324" s="10" t="s">
        <v>45489</v>
      </c>
      <c r="O10324" s="10">
        <v>23</v>
      </c>
      <c r="P10324" s="10" t="s">
        <v>45490</v>
      </c>
      <c r="Q10324" s="10"/>
      <c r="R10324" s="10" t="s">
        <v>45491</v>
      </c>
      <c r="S10324" s="10" t="s">
        <v>1519</v>
      </c>
      <c r="T10324" s="10" t="s">
        <v>6363</v>
      </c>
    </row>
    <row r="10325" spans="1:20" ht="14.5" x14ac:dyDescent="0.35">
      <c r="A10325" s="10" t="s">
        <v>45492</v>
      </c>
      <c r="B10325" s="10" t="str">
        <f>"9781474267588"</f>
        <v>9781474267588</v>
      </c>
      <c r="C10325" s="10" t="str">
        <f>"9781474267601"</f>
        <v>9781474267601</v>
      </c>
      <c r="D10325" s="10" t="s">
        <v>13959</v>
      </c>
      <c r="E10325" s="10" t="s">
        <v>13960</v>
      </c>
      <c r="F10325" s="10" t="s">
        <v>139</v>
      </c>
      <c r="G10325" s="10" t="s">
        <v>6352</v>
      </c>
      <c r="H10325" s="11">
        <v>42971</v>
      </c>
      <c r="I10325" s="10">
        <v>2017</v>
      </c>
      <c r="J10325" s="10" t="s">
        <v>14057</v>
      </c>
      <c r="K10325" s="10">
        <v>270</v>
      </c>
      <c r="L10325" s="10" t="s">
        <v>45493</v>
      </c>
      <c r="M10325" s="10">
        <v>1</v>
      </c>
      <c r="N10325" s="10" t="s">
        <v>45494</v>
      </c>
      <c r="O10325" s="10"/>
      <c r="P10325" s="10" t="s">
        <v>45495</v>
      </c>
      <c r="Q10325" s="10">
        <v>378.009051</v>
      </c>
      <c r="R10325" s="10" t="s">
        <v>45496</v>
      </c>
      <c r="S10325" s="10" t="s">
        <v>53</v>
      </c>
      <c r="T10325" s="10" t="s">
        <v>54</v>
      </c>
    </row>
    <row r="10326" spans="1:20" ht="14.5" x14ac:dyDescent="0.35">
      <c r="A10326" s="10" t="s">
        <v>45497</v>
      </c>
      <c r="B10326" s="10" t="str">
        <f>"9780738612157"</f>
        <v>9780738612157</v>
      </c>
      <c r="C10326" s="10" t="str">
        <f>"9780738688268"</f>
        <v>9780738688268</v>
      </c>
      <c r="D10326" s="10" t="s">
        <v>28876</v>
      </c>
      <c r="E10326" s="10" t="s">
        <v>43785</v>
      </c>
      <c r="F10326" s="10" t="s">
        <v>2510</v>
      </c>
      <c r="G10326" s="10" t="s">
        <v>6317</v>
      </c>
      <c r="H10326" s="11">
        <v>42887</v>
      </c>
      <c r="I10326" s="10">
        <v>2017</v>
      </c>
      <c r="J10326" s="10" t="s">
        <v>43785</v>
      </c>
      <c r="K10326" s="10">
        <v>471</v>
      </c>
      <c r="L10326" s="10" t="s">
        <v>45498</v>
      </c>
      <c r="M10326" s="10">
        <v>3</v>
      </c>
      <c r="N10326" s="10"/>
      <c r="O10326" s="10"/>
      <c r="P10326" s="10" t="s">
        <v>45499</v>
      </c>
      <c r="Q10326" s="10">
        <v>379</v>
      </c>
      <c r="R10326" s="10" t="s">
        <v>45500</v>
      </c>
      <c r="S10326" s="10" t="s">
        <v>53</v>
      </c>
      <c r="T10326" s="10" t="s">
        <v>54</v>
      </c>
    </row>
    <row r="10327" spans="1:20" ht="14.5" x14ac:dyDescent="0.35">
      <c r="A10327" s="10" t="s">
        <v>45501</v>
      </c>
      <c r="B10327" s="10" t="str">
        <f>"9780863889721"</f>
        <v>9780863889721</v>
      </c>
      <c r="C10327" s="10" t="str">
        <f>"9781351698788"</f>
        <v>9781351698788</v>
      </c>
      <c r="D10327" s="10" t="s">
        <v>6350</v>
      </c>
      <c r="E10327" s="10" t="s">
        <v>6351</v>
      </c>
      <c r="F10327" s="10" t="s">
        <v>139</v>
      </c>
      <c r="G10327" s="10" t="s">
        <v>6352</v>
      </c>
      <c r="H10327" s="11">
        <v>42767</v>
      </c>
      <c r="I10327" s="10">
        <v>2013</v>
      </c>
      <c r="J10327" s="10" t="s">
        <v>6353</v>
      </c>
      <c r="K10327" s="10">
        <v>133</v>
      </c>
      <c r="L10327" s="10" t="s">
        <v>45502</v>
      </c>
      <c r="M10327" s="10">
        <v>1</v>
      </c>
      <c r="N10327" s="10"/>
      <c r="O10327" s="10"/>
      <c r="P10327" s="10" t="s">
        <v>45503</v>
      </c>
      <c r="Q10327" s="10">
        <v>370.15230000000003</v>
      </c>
      <c r="R10327" s="10" t="s">
        <v>45504</v>
      </c>
      <c r="S10327" s="10" t="s">
        <v>53</v>
      </c>
      <c r="T10327" s="10" t="s">
        <v>8760</v>
      </c>
    </row>
    <row r="10328" spans="1:20" ht="14.5" x14ac:dyDescent="0.35">
      <c r="A10328" s="10" t="s">
        <v>45505</v>
      </c>
      <c r="B10328" s="10" t="str">
        <f>"9780863889219"</f>
        <v>9780863889219</v>
      </c>
      <c r="C10328" s="10" t="str">
        <f>"9781351692939"</f>
        <v>9781351692939</v>
      </c>
      <c r="D10328" s="10" t="s">
        <v>6350</v>
      </c>
      <c r="E10328" s="10" t="s">
        <v>6351</v>
      </c>
      <c r="F10328" s="10" t="s">
        <v>139</v>
      </c>
      <c r="G10328" s="10" t="s">
        <v>6352</v>
      </c>
      <c r="H10328" s="11">
        <v>39903</v>
      </c>
      <c r="I10328" s="10">
        <v>2012</v>
      </c>
      <c r="J10328" s="10" t="s">
        <v>6353</v>
      </c>
      <c r="K10328" s="10">
        <v>122</v>
      </c>
      <c r="L10328" s="10" t="s">
        <v>45506</v>
      </c>
      <c r="M10328" s="10">
        <v>1</v>
      </c>
      <c r="N10328" s="10"/>
      <c r="O10328" s="10"/>
      <c r="P10328" s="10" t="s">
        <v>45507</v>
      </c>
      <c r="Q10328" s="10">
        <v>371.90473094100003</v>
      </c>
      <c r="R10328" s="10" t="s">
        <v>45508</v>
      </c>
      <c r="S10328" s="10" t="s">
        <v>53</v>
      </c>
      <c r="T10328" s="10" t="s">
        <v>54</v>
      </c>
    </row>
    <row r="10329" spans="1:20" ht="14.5" x14ac:dyDescent="0.35">
      <c r="A10329" s="10" t="s">
        <v>45509</v>
      </c>
      <c r="B10329" s="10" t="str">
        <f>"9780857087027"</f>
        <v>9780857087027</v>
      </c>
      <c r="C10329" s="10" t="str">
        <f>"9780857087058"</f>
        <v>9780857087058</v>
      </c>
      <c r="D10329" s="10" t="s">
        <v>6322</v>
      </c>
      <c r="E10329" s="10" t="s">
        <v>6323</v>
      </c>
      <c r="F10329" s="10" t="s">
        <v>4423</v>
      </c>
      <c r="G10329" s="10" t="s">
        <v>6352</v>
      </c>
      <c r="H10329" s="11">
        <v>42975</v>
      </c>
      <c r="I10329" s="10">
        <v>2017</v>
      </c>
      <c r="J10329" s="10" t="s">
        <v>45510</v>
      </c>
      <c r="K10329" s="10">
        <v>257</v>
      </c>
      <c r="L10329" s="10" t="s">
        <v>45511</v>
      </c>
      <c r="M10329" s="10">
        <v>1</v>
      </c>
      <c r="N10329" s="10"/>
      <c r="O10329" s="10"/>
      <c r="P10329" s="10" t="s">
        <v>45512</v>
      </c>
      <c r="Q10329" s="10" t="s">
        <v>11594</v>
      </c>
      <c r="R10329" s="10" t="s">
        <v>18801</v>
      </c>
      <c r="S10329" s="10" t="s">
        <v>53</v>
      </c>
      <c r="T10329" s="10" t="s">
        <v>6660</v>
      </c>
    </row>
    <row r="10330" spans="1:20" ht="14.5" x14ac:dyDescent="0.35">
      <c r="A10330" s="10" t="s">
        <v>45513</v>
      </c>
      <c r="B10330" s="10" t="str">
        <f>"9781118711699"</f>
        <v>9781118711699</v>
      </c>
      <c r="C10330" s="10" t="str">
        <f>"9781118711576"</f>
        <v>9781118711576</v>
      </c>
      <c r="D10330" s="10" t="s">
        <v>6322</v>
      </c>
      <c r="E10330" s="10" t="s">
        <v>6323</v>
      </c>
      <c r="F10330" s="10" t="s">
        <v>4423</v>
      </c>
      <c r="G10330" s="10" t="s">
        <v>6317</v>
      </c>
      <c r="H10330" s="11">
        <v>42940</v>
      </c>
      <c r="I10330" s="10">
        <v>2017</v>
      </c>
      <c r="J10330" s="10" t="s">
        <v>6323</v>
      </c>
      <c r="K10330" s="10">
        <v>226</v>
      </c>
      <c r="L10330" s="10" t="s">
        <v>45514</v>
      </c>
      <c r="M10330" s="10">
        <v>1</v>
      </c>
      <c r="N10330" s="10"/>
      <c r="O10330" s="10"/>
      <c r="P10330" s="10" t="s">
        <v>45515</v>
      </c>
      <c r="Q10330" s="10">
        <v>371.2</v>
      </c>
      <c r="R10330" s="10" t="s">
        <v>7034</v>
      </c>
      <c r="S10330" s="10" t="s">
        <v>53</v>
      </c>
      <c r="T10330" s="10" t="s">
        <v>54</v>
      </c>
    </row>
    <row r="10331" spans="1:20" ht="14.5" x14ac:dyDescent="0.35">
      <c r="A10331" s="10" t="s">
        <v>45516</v>
      </c>
      <c r="B10331" s="10" t="str">
        <f>"9781787144705"</f>
        <v>9781787144705</v>
      </c>
      <c r="C10331" s="10" t="str">
        <f>"9781787144699"</f>
        <v>9781787144699</v>
      </c>
      <c r="D10331" s="10" t="s">
        <v>8699</v>
      </c>
      <c r="E10331" s="10" t="s">
        <v>8699</v>
      </c>
      <c r="F10331" s="10" t="s">
        <v>559</v>
      </c>
      <c r="G10331" s="10" t="s">
        <v>6352</v>
      </c>
      <c r="H10331" s="11">
        <v>42993</v>
      </c>
      <c r="I10331" s="10">
        <v>2017</v>
      </c>
      <c r="J10331" s="10" t="s">
        <v>8699</v>
      </c>
      <c r="K10331" s="10">
        <v>308</v>
      </c>
      <c r="L10331" s="10" t="s">
        <v>45517</v>
      </c>
      <c r="M10331" s="10">
        <v>1</v>
      </c>
      <c r="N10331" s="10" t="s">
        <v>14534</v>
      </c>
      <c r="O10331" s="10">
        <v>33</v>
      </c>
      <c r="P10331" s="10" t="s">
        <v>27182</v>
      </c>
      <c r="Q10331" s="10">
        <v>378</v>
      </c>
      <c r="R10331" s="10" t="s">
        <v>34176</v>
      </c>
      <c r="S10331" s="10" t="s">
        <v>53</v>
      </c>
      <c r="T10331" s="10" t="s">
        <v>54</v>
      </c>
    </row>
    <row r="10332" spans="1:20" ht="14.5" x14ac:dyDescent="0.35">
      <c r="A10332" s="10" t="s">
        <v>26822</v>
      </c>
      <c r="B10332" s="10" t="str">
        <f>"9781787432239"</f>
        <v>9781787432239</v>
      </c>
      <c r="C10332" s="10" t="str">
        <f>"9781787432222"</f>
        <v>9781787432222</v>
      </c>
      <c r="D10332" s="10" t="s">
        <v>8699</v>
      </c>
      <c r="E10332" s="10" t="s">
        <v>8699</v>
      </c>
      <c r="F10332" s="10" t="s">
        <v>559</v>
      </c>
      <c r="G10332" s="10" t="s">
        <v>6352</v>
      </c>
      <c r="H10332" s="11">
        <v>42979</v>
      </c>
      <c r="I10332" s="10">
        <v>2017</v>
      </c>
      <c r="J10332" s="10" t="s">
        <v>8699</v>
      </c>
      <c r="K10332" s="10">
        <v>287</v>
      </c>
      <c r="L10332" s="10" t="s">
        <v>26823</v>
      </c>
      <c r="M10332" s="10">
        <v>1</v>
      </c>
      <c r="N10332" s="10" t="s">
        <v>43353</v>
      </c>
      <c r="O10332" s="10">
        <v>3</v>
      </c>
      <c r="P10332" s="10" t="s">
        <v>28438</v>
      </c>
      <c r="Q10332" s="10">
        <v>378.00720000000001</v>
      </c>
      <c r="R10332" s="10" t="s">
        <v>45518</v>
      </c>
      <c r="S10332" s="10" t="s">
        <v>53</v>
      </c>
      <c r="T10332" s="10" t="s">
        <v>54</v>
      </c>
    </row>
    <row r="10333" spans="1:20" ht="14.5" x14ac:dyDescent="0.35">
      <c r="A10333" s="10" t="s">
        <v>45519</v>
      </c>
      <c r="B10333" s="10" t="str">
        <f>"9781787148604"</f>
        <v>9781787148604</v>
      </c>
      <c r="C10333" s="10" t="str">
        <f>"9781787148598"</f>
        <v>9781787148598</v>
      </c>
      <c r="D10333" s="10" t="s">
        <v>8699</v>
      </c>
      <c r="E10333" s="10" t="s">
        <v>8699</v>
      </c>
      <c r="F10333" s="10" t="s">
        <v>559</v>
      </c>
      <c r="G10333" s="10" t="s">
        <v>6352</v>
      </c>
      <c r="H10333" s="11">
        <v>42989</v>
      </c>
      <c r="I10333" s="10">
        <v>2017</v>
      </c>
      <c r="J10333" s="10" t="s">
        <v>8699</v>
      </c>
      <c r="K10333" s="10">
        <v>243</v>
      </c>
      <c r="L10333" s="10" t="s">
        <v>45520</v>
      </c>
      <c r="M10333" s="10">
        <v>1</v>
      </c>
      <c r="N10333" s="10" t="s">
        <v>14534</v>
      </c>
      <c r="O10333" s="10">
        <v>32</v>
      </c>
      <c r="P10333" s="10" t="s">
        <v>30956</v>
      </c>
      <c r="Q10333" s="10">
        <v>650.14</v>
      </c>
      <c r="R10333" s="10" t="s">
        <v>8075</v>
      </c>
      <c r="S10333" s="10" t="s">
        <v>53</v>
      </c>
      <c r="T10333" s="10" t="s">
        <v>8760</v>
      </c>
    </row>
    <row r="10334" spans="1:20" ht="14.5" x14ac:dyDescent="0.35">
      <c r="A10334" s="10" t="s">
        <v>45521</v>
      </c>
      <c r="B10334" s="10" t="str">
        <f>"9783732903245"</f>
        <v>9783732903245</v>
      </c>
      <c r="C10334" s="10" t="str">
        <f>"9783732996391"</f>
        <v>9783732996391</v>
      </c>
      <c r="D10334" s="10" t="s">
        <v>27189</v>
      </c>
      <c r="E10334" s="10" t="s">
        <v>33245</v>
      </c>
      <c r="F10334" s="10" t="s">
        <v>2925</v>
      </c>
      <c r="G10334" s="10" t="s">
        <v>9998</v>
      </c>
      <c r="H10334" s="11">
        <v>42947</v>
      </c>
      <c r="I10334" s="10">
        <v>2017</v>
      </c>
      <c r="J10334" s="10" t="s">
        <v>33245</v>
      </c>
      <c r="K10334" s="10">
        <v>511</v>
      </c>
      <c r="L10334" s="10" t="s">
        <v>45522</v>
      </c>
      <c r="M10334" s="10"/>
      <c r="N10334" s="10" t="s">
        <v>45523</v>
      </c>
      <c r="O10334" s="10">
        <v>30</v>
      </c>
      <c r="P10334" s="10" t="s">
        <v>45524</v>
      </c>
      <c r="Q10334" s="10">
        <v>370.94</v>
      </c>
      <c r="R10334" s="10" t="s">
        <v>45525</v>
      </c>
      <c r="S10334" s="10" t="s">
        <v>1519</v>
      </c>
      <c r="T10334" s="10" t="s">
        <v>54</v>
      </c>
    </row>
    <row r="10335" spans="1:20" ht="14.5" x14ac:dyDescent="0.35">
      <c r="A10335" s="10" t="s">
        <v>45526</v>
      </c>
      <c r="B10335" s="10" t="str">
        <f>"9780415558839"</f>
        <v>9780415558839</v>
      </c>
      <c r="C10335" s="10" t="str">
        <f>"9781135188603"</f>
        <v>9781135188603</v>
      </c>
      <c r="D10335" s="10" t="s">
        <v>6350</v>
      </c>
      <c r="E10335" s="10" t="s">
        <v>6351</v>
      </c>
      <c r="F10335" s="10" t="s">
        <v>748</v>
      </c>
      <c r="G10335" s="10" t="s">
        <v>6352</v>
      </c>
      <c r="H10335" s="11">
        <v>39932</v>
      </c>
      <c r="I10335" s="10">
        <v>2010</v>
      </c>
      <c r="J10335" s="10" t="s">
        <v>6351</v>
      </c>
      <c r="K10335" s="10">
        <v>151</v>
      </c>
      <c r="L10335" s="10" t="s">
        <v>19092</v>
      </c>
      <c r="M10335" s="10">
        <v>2</v>
      </c>
      <c r="N10335" s="10"/>
      <c r="O10335" s="10"/>
      <c r="P10335" s="10" t="s">
        <v>45527</v>
      </c>
      <c r="Q10335" s="10">
        <v>371.90472</v>
      </c>
      <c r="R10335" s="10" t="s">
        <v>45528</v>
      </c>
      <c r="S10335" s="10" t="s">
        <v>53</v>
      </c>
      <c r="T10335" s="10" t="s">
        <v>54</v>
      </c>
    </row>
    <row r="10336" spans="1:20" ht="14.5" x14ac:dyDescent="0.35">
      <c r="A10336" s="10" t="s">
        <v>45529</v>
      </c>
      <c r="B10336" s="10" t="str">
        <f>"9781464809972"</f>
        <v>9781464809972</v>
      </c>
      <c r="C10336" s="10" t="str">
        <f>"9781464809989"</f>
        <v>9781464809989</v>
      </c>
      <c r="D10336" s="10" t="s">
        <v>14731</v>
      </c>
      <c r="E10336" s="10" t="s">
        <v>14732</v>
      </c>
      <c r="F10336" s="10" t="s">
        <v>88</v>
      </c>
      <c r="G10336" s="10" t="s">
        <v>6317</v>
      </c>
      <c r="H10336" s="11">
        <v>42858</v>
      </c>
      <c r="I10336" s="10">
        <v>2017</v>
      </c>
      <c r="J10336" s="10" t="s">
        <v>14732</v>
      </c>
      <c r="K10336" s="10">
        <v>169</v>
      </c>
      <c r="L10336" s="10" t="s">
        <v>45530</v>
      </c>
      <c r="M10336" s="10">
        <v>1</v>
      </c>
      <c r="N10336" s="10" t="s">
        <v>45531</v>
      </c>
      <c r="O10336" s="10"/>
      <c r="P10336" s="10" t="s">
        <v>45532</v>
      </c>
      <c r="Q10336" s="10">
        <v>307.14</v>
      </c>
      <c r="R10336" s="10" t="s">
        <v>45533</v>
      </c>
      <c r="S10336" s="10" t="s">
        <v>53</v>
      </c>
      <c r="T10336" s="10" t="s">
        <v>6363</v>
      </c>
    </row>
    <row r="10337" spans="1:20" ht="14.5" x14ac:dyDescent="0.35">
      <c r="A10337" s="10" t="s">
        <v>45534</v>
      </c>
      <c r="B10337" s="10" t="str">
        <f>"9781474283830"</f>
        <v>9781474283830</v>
      </c>
      <c r="C10337" s="10" t="str">
        <f>"9781474283854"</f>
        <v>9781474283854</v>
      </c>
      <c r="D10337" s="10" t="s">
        <v>13959</v>
      </c>
      <c r="E10337" s="10" t="s">
        <v>13960</v>
      </c>
      <c r="F10337" s="10" t="s">
        <v>139</v>
      </c>
      <c r="G10337" s="10" t="s">
        <v>6352</v>
      </c>
      <c r="H10337" s="11">
        <v>42957</v>
      </c>
      <c r="I10337" s="10">
        <v>2017</v>
      </c>
      <c r="J10337" s="10" t="s">
        <v>43476</v>
      </c>
      <c r="K10337" s="10">
        <v>326</v>
      </c>
      <c r="L10337" s="10" t="s">
        <v>45535</v>
      </c>
      <c r="M10337" s="10">
        <v>1</v>
      </c>
      <c r="N10337" s="10" t="s">
        <v>43478</v>
      </c>
      <c r="O10337" s="10"/>
      <c r="P10337" s="10" t="s">
        <v>45536</v>
      </c>
      <c r="Q10337" s="10">
        <v>700</v>
      </c>
      <c r="R10337" s="10" t="s">
        <v>45537</v>
      </c>
      <c r="S10337" s="10" t="s">
        <v>53</v>
      </c>
      <c r="T10337" s="10" t="s">
        <v>45538</v>
      </c>
    </row>
    <row r="10338" spans="1:20" ht="14.5" x14ac:dyDescent="0.35">
      <c r="A10338" s="10" t="s">
        <v>45539</v>
      </c>
      <c r="B10338" s="10" t="str">
        <f>"9781787433038"</f>
        <v>9781787433038</v>
      </c>
      <c r="C10338" s="10" t="str">
        <f>"9781787433045"</f>
        <v>9781787433045</v>
      </c>
      <c r="D10338" s="10" t="s">
        <v>8699</v>
      </c>
      <c r="E10338" s="10" t="s">
        <v>8699</v>
      </c>
      <c r="F10338" s="10" t="s">
        <v>41843</v>
      </c>
      <c r="G10338" s="10" t="s">
        <v>6352</v>
      </c>
      <c r="H10338" s="11">
        <v>42915</v>
      </c>
      <c r="I10338" s="10">
        <v>2017</v>
      </c>
      <c r="J10338" s="10" t="s">
        <v>8699</v>
      </c>
      <c r="K10338" s="10">
        <v>95</v>
      </c>
      <c r="L10338" s="10" t="s">
        <v>45540</v>
      </c>
      <c r="M10338" s="10">
        <v>1</v>
      </c>
      <c r="N10338" s="10" t="s">
        <v>45541</v>
      </c>
      <c r="O10338" s="10">
        <v>55</v>
      </c>
      <c r="P10338" s="10" t="s">
        <v>45542</v>
      </c>
      <c r="Q10338" s="10">
        <v>658.40300000000002</v>
      </c>
      <c r="R10338" s="10" t="s">
        <v>45543</v>
      </c>
      <c r="S10338" s="10" t="s">
        <v>53</v>
      </c>
      <c r="T10338" s="10" t="s">
        <v>6660</v>
      </c>
    </row>
    <row r="10339" spans="1:20" ht="14.5" x14ac:dyDescent="0.35">
      <c r="A10339" s="10" t="s">
        <v>45544</v>
      </c>
      <c r="B10339" s="10" t="str">
        <f>"9781119373995"</f>
        <v>9781119373995</v>
      </c>
      <c r="C10339" s="10" t="str">
        <f>"9781119374046"</f>
        <v>9781119374046</v>
      </c>
      <c r="D10339" s="10" t="s">
        <v>6322</v>
      </c>
      <c r="E10339" s="10" t="s">
        <v>6323</v>
      </c>
      <c r="F10339" s="10" t="s">
        <v>4423</v>
      </c>
      <c r="G10339" s="10" t="s">
        <v>6317</v>
      </c>
      <c r="H10339" s="11">
        <v>42947</v>
      </c>
      <c r="I10339" s="10">
        <v>2017</v>
      </c>
      <c r="J10339" s="10" t="s">
        <v>6324</v>
      </c>
      <c r="K10339" s="10">
        <v>211</v>
      </c>
      <c r="L10339" s="10" t="s">
        <v>45545</v>
      </c>
      <c r="M10339" s="10">
        <v>1</v>
      </c>
      <c r="N10339" s="10"/>
      <c r="O10339" s="10"/>
      <c r="P10339" s="10"/>
      <c r="Q10339" s="10"/>
      <c r="R10339" s="10" t="s">
        <v>45546</v>
      </c>
      <c r="S10339" s="10" t="s">
        <v>53</v>
      </c>
      <c r="T10339" s="10" t="s">
        <v>54</v>
      </c>
    </row>
    <row r="10340" spans="1:20" ht="14.5" x14ac:dyDescent="0.35">
      <c r="A10340" s="10" t="s">
        <v>45547</v>
      </c>
      <c r="B10340" s="10" t="str">
        <f>"9788024622064"</f>
        <v>9788024622064</v>
      </c>
      <c r="C10340" s="10" t="str">
        <f>"9788024627083"</f>
        <v>9788024627083</v>
      </c>
      <c r="D10340" s="10" t="s">
        <v>30935</v>
      </c>
      <c r="E10340" s="10" t="s">
        <v>30935</v>
      </c>
      <c r="F10340" s="10" t="s">
        <v>1796</v>
      </c>
      <c r="G10340" s="10" t="s">
        <v>30936</v>
      </c>
      <c r="H10340" s="11">
        <v>41518</v>
      </c>
      <c r="I10340" s="10">
        <v>2017</v>
      </c>
      <c r="J10340" s="10" t="s">
        <v>30935</v>
      </c>
      <c r="K10340" s="10">
        <v>230</v>
      </c>
      <c r="L10340" s="10" t="s">
        <v>45548</v>
      </c>
      <c r="M10340" s="10">
        <v>1</v>
      </c>
      <c r="N10340" s="10"/>
      <c r="O10340" s="10"/>
      <c r="P10340" s="10" t="s">
        <v>45549</v>
      </c>
      <c r="Q10340" s="10">
        <v>379.15800000000002</v>
      </c>
      <c r="R10340" s="10" t="s">
        <v>45550</v>
      </c>
      <c r="S10340" s="10" t="s">
        <v>4212</v>
      </c>
      <c r="T10340" s="10" t="s">
        <v>54</v>
      </c>
    </row>
    <row r="10341" spans="1:20" ht="14.5" x14ac:dyDescent="0.35">
      <c r="A10341" s="10" t="s">
        <v>45551</v>
      </c>
      <c r="B10341" s="10" t="str">
        <f>"9781532616983"</f>
        <v>9781532616983</v>
      </c>
      <c r="C10341" s="10" t="str">
        <f>"9781498241328"</f>
        <v>9781498241328</v>
      </c>
      <c r="D10341" s="10" t="s">
        <v>9533</v>
      </c>
      <c r="E10341" s="10" t="s">
        <v>44933</v>
      </c>
      <c r="F10341" s="10" t="s">
        <v>4092</v>
      </c>
      <c r="G10341" s="10" t="s">
        <v>6317</v>
      </c>
      <c r="H10341" s="11">
        <v>42866</v>
      </c>
      <c r="I10341" s="10">
        <v>2017</v>
      </c>
      <c r="J10341" s="10" t="s">
        <v>44933</v>
      </c>
      <c r="K10341" s="10">
        <v>168</v>
      </c>
      <c r="L10341" s="10" t="s">
        <v>45552</v>
      </c>
      <c r="M10341" s="10">
        <v>1</v>
      </c>
      <c r="N10341" s="10"/>
      <c r="O10341" s="10"/>
      <c r="P10341" s="10" t="s">
        <v>45553</v>
      </c>
      <c r="Q10341" s="10">
        <v>808.02</v>
      </c>
      <c r="R10341" s="10" t="s">
        <v>45554</v>
      </c>
      <c r="S10341" s="10" t="s">
        <v>53</v>
      </c>
      <c r="T10341" s="10" t="s">
        <v>10454</v>
      </c>
    </row>
    <row r="10342" spans="1:20" ht="14.5" x14ac:dyDescent="0.35">
      <c r="A10342" s="10" t="s">
        <v>45555</v>
      </c>
      <c r="B10342" s="10" t="str">
        <f>"9783319530932"</f>
        <v>9783319530932</v>
      </c>
      <c r="C10342" s="10" t="str">
        <f>"9783319530949"</f>
        <v>9783319530949</v>
      </c>
      <c r="D10342" s="10" t="s">
        <v>11249</v>
      </c>
      <c r="E10342" s="10" t="s">
        <v>26623</v>
      </c>
      <c r="F10342" s="10" t="s">
        <v>26624</v>
      </c>
      <c r="G10342" s="10" t="s">
        <v>16676</v>
      </c>
      <c r="H10342" s="11">
        <v>42944</v>
      </c>
      <c r="I10342" s="10">
        <v>2017</v>
      </c>
      <c r="J10342" s="10" t="s">
        <v>26623</v>
      </c>
      <c r="K10342" s="10">
        <v>191</v>
      </c>
      <c r="L10342" s="10" t="s">
        <v>45556</v>
      </c>
      <c r="M10342" s="10">
        <v>1</v>
      </c>
      <c r="N10342" s="10"/>
      <c r="O10342" s="10"/>
      <c r="P10342" s="10" t="s">
        <v>17110</v>
      </c>
      <c r="Q10342" s="10">
        <v>371.22</v>
      </c>
      <c r="R10342" s="10" t="s">
        <v>9416</v>
      </c>
      <c r="S10342" s="10" t="s">
        <v>53</v>
      </c>
      <c r="T10342" s="10" t="s">
        <v>54</v>
      </c>
    </row>
    <row r="10343" spans="1:20" ht="14.5" x14ac:dyDescent="0.35">
      <c r="A10343" s="10" t="s">
        <v>45557</v>
      </c>
      <c r="B10343" s="10" t="str">
        <f>"9780719096273"</f>
        <v>9780719096273</v>
      </c>
      <c r="C10343" s="10" t="str">
        <f>"9781526101464"</f>
        <v>9781526101464</v>
      </c>
      <c r="D10343" s="10" t="s">
        <v>16780</v>
      </c>
      <c r="E10343" s="10" t="s">
        <v>16780</v>
      </c>
      <c r="F10343" s="10" t="s">
        <v>2829</v>
      </c>
      <c r="G10343" s="10" t="s">
        <v>6352</v>
      </c>
      <c r="H10343" s="11">
        <v>41973</v>
      </c>
      <c r="I10343" s="10">
        <v>2014</v>
      </c>
      <c r="J10343" s="10" t="s">
        <v>16780</v>
      </c>
      <c r="K10343" s="10">
        <v>422</v>
      </c>
      <c r="L10343" s="10" t="s">
        <v>45558</v>
      </c>
      <c r="M10343" s="10">
        <v>1</v>
      </c>
      <c r="N10343" s="10"/>
      <c r="O10343" s="10"/>
      <c r="P10343" s="10" t="s">
        <v>45559</v>
      </c>
      <c r="Q10343" s="10">
        <v>378.17509410000002</v>
      </c>
      <c r="R10343" s="10" t="s">
        <v>45560</v>
      </c>
      <c r="S10343" s="10" t="s">
        <v>53</v>
      </c>
      <c r="T10343" s="10" t="s">
        <v>54</v>
      </c>
    </row>
    <row r="10344" spans="1:20" ht="14.5" x14ac:dyDescent="0.35">
      <c r="A10344" s="10" t="s">
        <v>45561</v>
      </c>
      <c r="B10344" s="10" t="str">
        <f>"9781945349300"</f>
        <v>9781945349300</v>
      </c>
      <c r="C10344" s="10" t="str">
        <f>"9781945349317"</f>
        <v>9781945349317</v>
      </c>
      <c r="D10344" s="10" t="s">
        <v>37580</v>
      </c>
      <c r="E10344" s="10" t="s">
        <v>37581</v>
      </c>
      <c r="F10344" s="10" t="s">
        <v>37623</v>
      </c>
      <c r="G10344" s="10" t="s">
        <v>6317</v>
      </c>
      <c r="H10344" s="11">
        <v>42941</v>
      </c>
      <c r="I10344" s="10">
        <v>2018</v>
      </c>
      <c r="J10344" s="10" t="s">
        <v>37581</v>
      </c>
      <c r="K10344" s="10">
        <v>192</v>
      </c>
      <c r="L10344" s="10" t="s">
        <v>45562</v>
      </c>
      <c r="M10344" s="10">
        <v>2</v>
      </c>
      <c r="N10344" s="10"/>
      <c r="O10344" s="10"/>
      <c r="P10344" s="10"/>
      <c r="Q10344" s="10"/>
      <c r="R10344" s="10"/>
      <c r="S10344" s="10" t="s">
        <v>53</v>
      </c>
      <c r="T10344" s="10" t="s">
        <v>54</v>
      </c>
    </row>
    <row r="10345" spans="1:20" ht="14.5" x14ac:dyDescent="0.35">
      <c r="A10345" s="10" t="s">
        <v>45563</v>
      </c>
      <c r="B10345" s="10" t="str">
        <f>"9781945349249"</f>
        <v>9781945349249</v>
      </c>
      <c r="C10345" s="10" t="str">
        <f>"9781945349256"</f>
        <v>9781945349256</v>
      </c>
      <c r="D10345" s="10" t="s">
        <v>37580</v>
      </c>
      <c r="E10345" s="10" t="s">
        <v>37581</v>
      </c>
      <c r="F10345" s="10" t="s">
        <v>37623</v>
      </c>
      <c r="G10345" s="10" t="s">
        <v>6317</v>
      </c>
      <c r="H10345" s="11">
        <v>42955</v>
      </c>
      <c r="I10345" s="10">
        <v>2018</v>
      </c>
      <c r="J10345" s="10" t="s">
        <v>37581</v>
      </c>
      <c r="K10345" s="10">
        <v>248</v>
      </c>
      <c r="L10345" s="10" t="s">
        <v>45564</v>
      </c>
      <c r="M10345" s="10">
        <v>1</v>
      </c>
      <c r="N10345" s="10"/>
      <c r="O10345" s="10"/>
      <c r="P10345" s="10"/>
      <c r="Q10345" s="10"/>
      <c r="R10345" s="10"/>
      <c r="S10345" s="10" t="s">
        <v>53</v>
      </c>
      <c r="T10345" s="10" t="s">
        <v>54</v>
      </c>
    </row>
    <row r="10346" spans="1:20" ht="14.5" x14ac:dyDescent="0.35">
      <c r="A10346" s="10" t="s">
        <v>45565</v>
      </c>
      <c r="B10346" s="10" t="str">
        <f>"9781138071346"</f>
        <v>9781138071346</v>
      </c>
      <c r="C10346" s="10" t="str">
        <f>"9781351628334"</f>
        <v>9781351628334</v>
      </c>
      <c r="D10346" s="10" t="s">
        <v>6350</v>
      </c>
      <c r="E10346" s="10" t="s">
        <v>6351</v>
      </c>
      <c r="F10346" s="10" t="s">
        <v>139</v>
      </c>
      <c r="G10346" s="10" t="s">
        <v>6352</v>
      </c>
      <c r="H10346" s="11">
        <v>29768</v>
      </c>
      <c r="I10346" s="10">
        <v>1981</v>
      </c>
      <c r="J10346" s="10" t="s">
        <v>6353</v>
      </c>
      <c r="K10346" s="10">
        <v>242</v>
      </c>
      <c r="L10346" s="10" t="s">
        <v>45566</v>
      </c>
      <c r="M10346" s="10">
        <v>1</v>
      </c>
      <c r="N10346" s="10" t="s">
        <v>45567</v>
      </c>
      <c r="O10346" s="10"/>
      <c r="P10346" s="10" t="s">
        <v>45568</v>
      </c>
      <c r="Q10346" s="10">
        <v>371.97</v>
      </c>
      <c r="R10346" s="10" t="s">
        <v>7957</v>
      </c>
      <c r="S10346" s="10" t="s">
        <v>53</v>
      </c>
      <c r="T10346" s="10" t="s">
        <v>54</v>
      </c>
    </row>
    <row r="10347" spans="1:20" ht="14.5" x14ac:dyDescent="0.35">
      <c r="A10347" s="10" t="s">
        <v>45569</v>
      </c>
      <c r="B10347" s="10" t="str">
        <f>"9781138070646"</f>
        <v>9781138070646</v>
      </c>
      <c r="C10347" s="10" t="str">
        <f>"9781351629324"</f>
        <v>9781351629324</v>
      </c>
      <c r="D10347" s="10" t="s">
        <v>6350</v>
      </c>
      <c r="E10347" s="10" t="s">
        <v>6351</v>
      </c>
      <c r="F10347" s="10" t="s">
        <v>139</v>
      </c>
      <c r="G10347" s="10" t="s">
        <v>6352</v>
      </c>
      <c r="H10347" s="11">
        <v>27942</v>
      </c>
      <c r="I10347" s="10">
        <v>1976</v>
      </c>
      <c r="J10347" s="10" t="s">
        <v>6353</v>
      </c>
      <c r="K10347" s="10">
        <v>147</v>
      </c>
      <c r="L10347" s="10" t="s">
        <v>45570</v>
      </c>
      <c r="M10347" s="10">
        <v>1</v>
      </c>
      <c r="N10347" s="10" t="s">
        <v>45567</v>
      </c>
      <c r="O10347" s="10"/>
      <c r="P10347" s="10" t="s">
        <v>45571</v>
      </c>
      <c r="Q10347" s="10">
        <v>370.11709409999997</v>
      </c>
      <c r="R10347" s="10" t="s">
        <v>45572</v>
      </c>
      <c r="S10347" s="10" t="s">
        <v>53</v>
      </c>
      <c r="T10347" s="10" t="s">
        <v>54</v>
      </c>
    </row>
    <row r="10348" spans="1:20" ht="14.5" x14ac:dyDescent="0.35">
      <c r="A10348" s="10" t="s">
        <v>45573</v>
      </c>
      <c r="B10348" s="10" t="str">
        <f>"9781416624073"</f>
        <v>9781416624073</v>
      </c>
      <c r="C10348" s="10" t="str">
        <f>"9781416624097"</f>
        <v>9781416624097</v>
      </c>
      <c r="D10348" s="10" t="s">
        <v>10014</v>
      </c>
      <c r="E10348" s="10" t="s">
        <v>10015</v>
      </c>
      <c r="F10348" s="10" t="s">
        <v>201</v>
      </c>
      <c r="G10348" s="10" t="s">
        <v>6317</v>
      </c>
      <c r="H10348" s="11">
        <v>42937</v>
      </c>
      <c r="I10348" s="10">
        <v>2017</v>
      </c>
      <c r="J10348" s="10" t="s">
        <v>10015</v>
      </c>
      <c r="K10348" s="10">
        <v>177</v>
      </c>
      <c r="L10348" s="10" t="s">
        <v>12852</v>
      </c>
      <c r="M10348" s="10">
        <v>1</v>
      </c>
      <c r="N10348" s="10"/>
      <c r="O10348" s="10"/>
      <c r="P10348" s="10" t="s">
        <v>45574</v>
      </c>
      <c r="Q10348" s="10">
        <v>371.26097299999901</v>
      </c>
      <c r="R10348" s="10" t="s">
        <v>42082</v>
      </c>
      <c r="S10348" s="10" t="s">
        <v>53</v>
      </c>
      <c r="T10348" s="10" t="s">
        <v>54</v>
      </c>
    </row>
    <row r="10349" spans="1:20" ht="14.5" x14ac:dyDescent="0.35">
      <c r="A10349" s="10" t="s">
        <v>45575</v>
      </c>
      <c r="B10349" s="10" t="str">
        <f>"9781416624264"</f>
        <v>9781416624264</v>
      </c>
      <c r="C10349" s="10" t="str">
        <f>"9781416624288"</f>
        <v>9781416624288</v>
      </c>
      <c r="D10349" s="10" t="s">
        <v>10014</v>
      </c>
      <c r="E10349" s="10" t="s">
        <v>10015</v>
      </c>
      <c r="F10349" s="10" t="s">
        <v>201</v>
      </c>
      <c r="G10349" s="10" t="s">
        <v>6317</v>
      </c>
      <c r="H10349" s="11">
        <v>42946</v>
      </c>
      <c r="I10349" s="10">
        <v>2017</v>
      </c>
      <c r="J10349" s="10" t="s">
        <v>10015</v>
      </c>
      <c r="K10349" s="10">
        <v>224</v>
      </c>
      <c r="L10349" s="10" t="s">
        <v>45576</v>
      </c>
      <c r="M10349" s="10">
        <v>1</v>
      </c>
      <c r="N10349" s="10"/>
      <c r="O10349" s="10"/>
      <c r="P10349" s="10" t="s">
        <v>45577</v>
      </c>
      <c r="Q10349" s="10">
        <v>379.26097299999998</v>
      </c>
      <c r="R10349" s="10" t="s">
        <v>45578</v>
      </c>
      <c r="S10349" s="10" t="s">
        <v>53</v>
      </c>
      <c r="T10349" s="10" t="s">
        <v>54</v>
      </c>
    </row>
    <row r="10350" spans="1:20" ht="14.5" x14ac:dyDescent="0.35">
      <c r="A10350" s="10" t="s">
        <v>45579</v>
      </c>
      <c r="B10350" s="10" t="str">
        <f>"9781474277266"</f>
        <v>9781474277266</v>
      </c>
      <c r="C10350" s="10" t="str">
        <f>"9781474277273"</f>
        <v>9781474277273</v>
      </c>
      <c r="D10350" s="10" t="s">
        <v>13959</v>
      </c>
      <c r="E10350" s="10" t="s">
        <v>13960</v>
      </c>
      <c r="F10350" s="10" t="s">
        <v>139</v>
      </c>
      <c r="G10350" s="10" t="s">
        <v>6352</v>
      </c>
      <c r="H10350" s="11">
        <v>42999</v>
      </c>
      <c r="I10350" s="10">
        <v>2017</v>
      </c>
      <c r="J10350" s="10" t="s">
        <v>14057</v>
      </c>
      <c r="K10350" s="10">
        <v>251</v>
      </c>
      <c r="L10350" s="10" t="s">
        <v>17266</v>
      </c>
      <c r="M10350" s="10">
        <v>1</v>
      </c>
      <c r="N10350" s="10"/>
      <c r="O10350" s="10"/>
      <c r="P10350" s="10" t="s">
        <v>45580</v>
      </c>
      <c r="Q10350" s="10">
        <v>378.4</v>
      </c>
      <c r="R10350" s="10" t="s">
        <v>45581</v>
      </c>
      <c r="S10350" s="10" t="s">
        <v>53</v>
      </c>
      <c r="T10350" s="10" t="s">
        <v>54</v>
      </c>
    </row>
    <row r="10351" spans="1:20" ht="14.5" x14ac:dyDescent="0.35">
      <c r="A10351" s="10" t="s">
        <v>45582</v>
      </c>
      <c r="B10351" s="10" t="str">
        <f>"9781137594822"</f>
        <v>9781137594822</v>
      </c>
      <c r="C10351" s="10" t="str">
        <f>"9781137594839"</f>
        <v>9781137594839</v>
      </c>
      <c r="D10351" s="10" t="s">
        <v>11249</v>
      </c>
      <c r="E10351" s="10" t="s">
        <v>2400</v>
      </c>
      <c r="F10351" s="10" t="s">
        <v>70</v>
      </c>
      <c r="G10351" s="10" t="s">
        <v>6317</v>
      </c>
      <c r="H10351" s="11">
        <v>42939</v>
      </c>
      <c r="I10351" s="10">
        <v>2017</v>
      </c>
      <c r="J10351" s="10" t="s">
        <v>2400</v>
      </c>
      <c r="K10351" s="10">
        <v>223</v>
      </c>
      <c r="L10351" s="10" t="s">
        <v>45583</v>
      </c>
      <c r="M10351" s="10">
        <v>1</v>
      </c>
      <c r="N10351" s="10"/>
      <c r="O10351" s="10"/>
      <c r="P10351" s="10" t="s">
        <v>20100</v>
      </c>
      <c r="Q10351" s="10" t="s">
        <v>45584</v>
      </c>
      <c r="R10351" s="10" t="s">
        <v>45585</v>
      </c>
      <c r="S10351" s="10" t="s">
        <v>53</v>
      </c>
      <c r="T10351" s="10" t="s">
        <v>6363</v>
      </c>
    </row>
    <row r="10352" spans="1:20" ht="14.5" x14ac:dyDescent="0.35">
      <c r="A10352" s="10" t="s">
        <v>45586</v>
      </c>
      <c r="B10352" s="10" t="str">
        <f>"9781945349171"</f>
        <v>9781945349171</v>
      </c>
      <c r="C10352" s="10" t="str">
        <f>"9781945349188"</f>
        <v>9781945349188</v>
      </c>
      <c r="D10352" s="10" t="s">
        <v>37580</v>
      </c>
      <c r="E10352" s="10" t="s">
        <v>37581</v>
      </c>
      <c r="F10352" s="10" t="s">
        <v>37623</v>
      </c>
      <c r="G10352" s="10" t="s">
        <v>6317</v>
      </c>
      <c r="H10352" s="11">
        <v>42944</v>
      </c>
      <c r="I10352" s="10">
        <v>2018</v>
      </c>
      <c r="J10352" s="10" t="s">
        <v>37581</v>
      </c>
      <c r="K10352" s="10">
        <v>144</v>
      </c>
      <c r="L10352" s="10" t="s">
        <v>18671</v>
      </c>
      <c r="M10352" s="10">
        <v>1</v>
      </c>
      <c r="N10352" s="10"/>
      <c r="O10352" s="10"/>
      <c r="P10352" s="10" t="s">
        <v>45587</v>
      </c>
      <c r="Q10352" s="10"/>
      <c r="R10352" s="10" t="s">
        <v>45588</v>
      </c>
      <c r="S10352" s="10" t="s">
        <v>53</v>
      </c>
      <c r="T10352" s="10" t="s">
        <v>54</v>
      </c>
    </row>
    <row r="10353" spans="1:20" ht="14.5" x14ac:dyDescent="0.35">
      <c r="A10353" s="10" t="s">
        <v>45589</v>
      </c>
      <c r="B10353" s="10" t="str">
        <f>"9781787436411"</f>
        <v>9781787436411</v>
      </c>
      <c r="C10353" s="10" t="str">
        <f>"9781787436404"</f>
        <v>9781787436404</v>
      </c>
      <c r="D10353" s="10" t="s">
        <v>8699</v>
      </c>
      <c r="E10353" s="10" t="s">
        <v>8699</v>
      </c>
      <c r="F10353" s="10" t="s">
        <v>559</v>
      </c>
      <c r="G10353" s="10" t="s">
        <v>6352</v>
      </c>
      <c r="H10353" s="11">
        <v>43066</v>
      </c>
      <c r="I10353" s="10">
        <v>2018</v>
      </c>
      <c r="J10353" s="10" t="s">
        <v>8699</v>
      </c>
      <c r="K10353" s="10">
        <v>210</v>
      </c>
      <c r="L10353" s="10" t="s">
        <v>45590</v>
      </c>
      <c r="M10353" s="10">
        <v>1</v>
      </c>
      <c r="N10353" s="10"/>
      <c r="O10353" s="10"/>
      <c r="P10353" s="10" t="s">
        <v>28438</v>
      </c>
      <c r="Q10353" s="10">
        <v>370.72</v>
      </c>
      <c r="R10353" s="10" t="s">
        <v>9416</v>
      </c>
      <c r="S10353" s="10" t="s">
        <v>53</v>
      </c>
      <c r="T10353" s="10" t="s">
        <v>54</v>
      </c>
    </row>
    <row r="10354" spans="1:20" ht="14.5" x14ac:dyDescent="0.35">
      <c r="A10354" s="10" t="s">
        <v>45591</v>
      </c>
      <c r="B10354" s="10" t="str">
        <f>"9781350010451"</f>
        <v>9781350010451</v>
      </c>
      <c r="C10354" s="10" t="str">
        <f>"9781350010475"</f>
        <v>9781350010475</v>
      </c>
      <c r="D10354" s="10" t="s">
        <v>13959</v>
      </c>
      <c r="E10354" s="10" t="s">
        <v>13960</v>
      </c>
      <c r="F10354" s="10" t="s">
        <v>139</v>
      </c>
      <c r="G10354" s="10" t="s">
        <v>6352</v>
      </c>
      <c r="H10354" s="11">
        <v>42999</v>
      </c>
      <c r="I10354" s="10">
        <v>2017</v>
      </c>
      <c r="J10354" s="10" t="s">
        <v>14057</v>
      </c>
      <c r="K10354" s="10">
        <v>282</v>
      </c>
      <c r="L10354" s="10" t="s">
        <v>45592</v>
      </c>
      <c r="M10354" s="10">
        <v>1</v>
      </c>
      <c r="N10354" s="10" t="s">
        <v>45593</v>
      </c>
      <c r="O10354" s="10"/>
      <c r="P10354" s="10" t="s">
        <v>45594</v>
      </c>
      <c r="Q10354" s="10">
        <v>371.2011</v>
      </c>
      <c r="R10354" s="10" t="s">
        <v>45595</v>
      </c>
      <c r="S10354" s="10" t="s">
        <v>53</v>
      </c>
      <c r="T10354" s="10" t="s">
        <v>54</v>
      </c>
    </row>
    <row r="10355" spans="1:20" ht="14.5" x14ac:dyDescent="0.35">
      <c r="A10355" s="10" t="s">
        <v>45596</v>
      </c>
      <c r="B10355" s="10" t="str">
        <f>"9789463510639"</f>
        <v>9789463510639</v>
      </c>
      <c r="C10355" s="10" t="str">
        <f>"9789463510653"</f>
        <v>9789463510653</v>
      </c>
      <c r="D10355" s="10" t="s">
        <v>8564</v>
      </c>
      <c r="E10355" s="10" t="s">
        <v>13067</v>
      </c>
      <c r="F10355" s="10" t="s">
        <v>33250</v>
      </c>
      <c r="G10355" s="10" t="s">
        <v>9233</v>
      </c>
      <c r="H10355" s="11">
        <v>42907</v>
      </c>
      <c r="I10355" s="10">
        <v>2017</v>
      </c>
      <c r="J10355" s="10" t="s">
        <v>13067</v>
      </c>
      <c r="K10355" s="10">
        <v>147</v>
      </c>
      <c r="L10355" s="10" t="s">
        <v>45597</v>
      </c>
      <c r="M10355" s="10">
        <v>1</v>
      </c>
      <c r="N10355" s="10"/>
      <c r="O10355" s="10"/>
      <c r="P10355" s="10" t="s">
        <v>19534</v>
      </c>
      <c r="Q10355" s="10"/>
      <c r="R10355" s="10"/>
      <c r="S10355" s="10" t="s">
        <v>53</v>
      </c>
      <c r="T10355" s="10" t="s">
        <v>54</v>
      </c>
    </row>
    <row r="10356" spans="1:20" ht="14.5" x14ac:dyDescent="0.35">
      <c r="A10356" s="10" t="s">
        <v>45598</v>
      </c>
      <c r="B10356" s="10" t="str">
        <f>"9781560006039"</f>
        <v>9781560006039</v>
      </c>
      <c r="C10356" s="10" t="str">
        <f>"9781351481144"</f>
        <v>9781351481144</v>
      </c>
      <c r="D10356" s="10" t="s">
        <v>6350</v>
      </c>
      <c r="E10356" s="10" t="s">
        <v>6351</v>
      </c>
      <c r="F10356" s="10" t="s">
        <v>6339</v>
      </c>
      <c r="G10356" s="10" t="s">
        <v>6352</v>
      </c>
      <c r="H10356" s="11">
        <v>33877</v>
      </c>
      <c r="I10356" s="10">
        <v>1992</v>
      </c>
      <c r="J10356" s="10" t="s">
        <v>6353</v>
      </c>
      <c r="K10356" s="10">
        <v>148</v>
      </c>
      <c r="L10356" s="10" t="s">
        <v>45599</v>
      </c>
      <c r="M10356" s="10">
        <v>2</v>
      </c>
      <c r="N10356" s="10" t="s">
        <v>45600</v>
      </c>
      <c r="O10356" s="10"/>
      <c r="P10356" s="10" t="s">
        <v>45601</v>
      </c>
      <c r="Q10356" s="10">
        <v>378.00099999999998</v>
      </c>
      <c r="R10356" s="10" t="s">
        <v>6534</v>
      </c>
      <c r="S10356" s="10" t="s">
        <v>53</v>
      </c>
      <c r="T10356" s="10" t="s">
        <v>54</v>
      </c>
    </row>
    <row r="10357" spans="1:20" ht="14.5" x14ac:dyDescent="0.35">
      <c r="A10357" s="10" t="s">
        <v>45602</v>
      </c>
      <c r="B10357" s="10" t="str">
        <f>"9781620365809"</f>
        <v>9781620365809</v>
      </c>
      <c r="C10357" s="10" t="str">
        <f>"9781000973006"</f>
        <v>9781000973006</v>
      </c>
      <c r="D10357" s="10" t="s">
        <v>6350</v>
      </c>
      <c r="E10357" s="10" t="s">
        <v>6351</v>
      </c>
      <c r="F10357" s="10" t="s">
        <v>41227</v>
      </c>
      <c r="G10357" s="10" t="s">
        <v>6317</v>
      </c>
      <c r="H10357" s="11">
        <v>42936</v>
      </c>
      <c r="I10357" s="10">
        <v>2017</v>
      </c>
      <c r="J10357" s="10" t="s">
        <v>6353</v>
      </c>
      <c r="K10357" s="10">
        <v>171</v>
      </c>
      <c r="L10357" s="10" t="s">
        <v>45603</v>
      </c>
      <c r="M10357" s="10">
        <v>1</v>
      </c>
      <c r="N10357" s="10"/>
      <c r="O10357" s="10"/>
      <c r="P10357" s="10" t="s">
        <v>45604</v>
      </c>
      <c r="Q10357" s="10" t="s">
        <v>14582</v>
      </c>
      <c r="R10357" s="10" t="s">
        <v>42111</v>
      </c>
      <c r="S10357" s="10" t="s">
        <v>53</v>
      </c>
      <c r="T10357" s="10" t="s">
        <v>54</v>
      </c>
    </row>
    <row r="10358" spans="1:20" ht="14.5" x14ac:dyDescent="0.35">
      <c r="A10358" s="10" t="s">
        <v>45605</v>
      </c>
      <c r="B10358" s="10" t="str">
        <f>"9783110482089"</f>
        <v>9783110482089</v>
      </c>
      <c r="C10358" s="10" t="str">
        <f>"9783110483048"</f>
        <v>9783110483048</v>
      </c>
      <c r="D10358" s="10" t="s">
        <v>9995</v>
      </c>
      <c r="E10358" s="10" t="s">
        <v>2515</v>
      </c>
      <c r="F10358" s="10" t="s">
        <v>26321</v>
      </c>
      <c r="G10358" s="10" t="s">
        <v>9998</v>
      </c>
      <c r="H10358" s="11">
        <v>43031</v>
      </c>
      <c r="I10358" s="10">
        <v>2017</v>
      </c>
      <c r="J10358" s="10" t="s">
        <v>28454</v>
      </c>
      <c r="K10358" s="10">
        <v>412</v>
      </c>
      <c r="L10358" s="10" t="s">
        <v>45606</v>
      </c>
      <c r="M10358" s="10">
        <v>1</v>
      </c>
      <c r="N10358" s="10"/>
      <c r="O10358" s="10"/>
      <c r="P10358" s="10" t="s">
        <v>45607</v>
      </c>
      <c r="Q10358" s="10"/>
      <c r="R10358" s="10" t="s">
        <v>45608</v>
      </c>
      <c r="S10358" s="10" t="s">
        <v>1519</v>
      </c>
      <c r="T10358" s="10" t="s">
        <v>54</v>
      </c>
    </row>
    <row r="10359" spans="1:20" ht="14.5" x14ac:dyDescent="0.35">
      <c r="A10359" s="10" t="s">
        <v>45609</v>
      </c>
      <c r="B10359" s="10" t="str">
        <f>"9781475831641"</f>
        <v>9781475831641</v>
      </c>
      <c r="C10359" s="10" t="str">
        <f>"9781475831665"</f>
        <v>9781475831665</v>
      </c>
      <c r="D10359" s="10" t="s">
        <v>9752</v>
      </c>
      <c r="E10359" s="10" t="s">
        <v>15187</v>
      </c>
      <c r="F10359" s="10" t="s">
        <v>9754</v>
      </c>
      <c r="G10359" s="10" t="s">
        <v>6317</v>
      </c>
      <c r="H10359" s="11">
        <v>42955</v>
      </c>
      <c r="I10359" s="10">
        <v>2017</v>
      </c>
      <c r="J10359" s="10" t="s">
        <v>15187</v>
      </c>
      <c r="K10359" s="10">
        <v>283</v>
      </c>
      <c r="L10359" s="10" t="s">
        <v>45610</v>
      </c>
      <c r="M10359" s="10">
        <v>1</v>
      </c>
      <c r="N10359" s="10"/>
      <c r="O10359" s="10"/>
      <c r="P10359" s="10" t="s">
        <v>45611</v>
      </c>
      <c r="Q10359" s="10">
        <v>379.26097299999998</v>
      </c>
      <c r="R10359" s="10" t="s">
        <v>45612</v>
      </c>
      <c r="S10359" s="10" t="s">
        <v>53</v>
      </c>
      <c r="T10359" s="10" t="s">
        <v>54</v>
      </c>
    </row>
    <row r="10360" spans="1:20" ht="14.5" x14ac:dyDescent="0.35">
      <c r="A10360" s="10" t="s">
        <v>45613</v>
      </c>
      <c r="B10360" s="10" t="str">
        <f>"9781350000193"</f>
        <v>9781350000193</v>
      </c>
      <c r="C10360" s="10" t="str">
        <f>"9781350000209"</f>
        <v>9781350000209</v>
      </c>
      <c r="D10360" s="10" t="s">
        <v>13959</v>
      </c>
      <c r="E10360" s="10" t="s">
        <v>13960</v>
      </c>
      <c r="F10360" s="10" t="s">
        <v>139</v>
      </c>
      <c r="G10360" s="10" t="s">
        <v>6352</v>
      </c>
      <c r="H10360" s="11">
        <v>42999</v>
      </c>
      <c r="I10360" s="10">
        <v>2017</v>
      </c>
      <c r="J10360" s="10" t="s">
        <v>14057</v>
      </c>
      <c r="K10360" s="10">
        <v>213</v>
      </c>
      <c r="L10360" s="10" t="s">
        <v>45614</v>
      </c>
      <c r="M10360" s="10">
        <v>1</v>
      </c>
      <c r="N10360" s="10" t="s">
        <v>45615</v>
      </c>
      <c r="O10360" s="10"/>
      <c r="P10360" s="10" t="s">
        <v>45616</v>
      </c>
      <c r="Q10360" s="10">
        <v>378.19829960679999</v>
      </c>
      <c r="R10360" s="10" t="s">
        <v>45617</v>
      </c>
      <c r="S10360" s="10" t="s">
        <v>53</v>
      </c>
      <c r="T10360" s="10" t="s">
        <v>54</v>
      </c>
    </row>
    <row r="10361" spans="1:20" ht="14.5" x14ac:dyDescent="0.35">
      <c r="A10361" s="10" t="s">
        <v>45618</v>
      </c>
      <c r="B10361" s="10" t="str">
        <f>"9781119364917"</f>
        <v>9781119364917</v>
      </c>
      <c r="C10361" s="10" t="str">
        <f>"9781119364948"</f>
        <v>9781119364948</v>
      </c>
      <c r="D10361" s="10" t="s">
        <v>6322</v>
      </c>
      <c r="E10361" s="10" t="s">
        <v>6323</v>
      </c>
      <c r="F10361" s="10" t="s">
        <v>4423</v>
      </c>
      <c r="G10361" s="10" t="s">
        <v>6317</v>
      </c>
      <c r="H10361" s="11">
        <v>42954</v>
      </c>
      <c r="I10361" s="10">
        <v>2017</v>
      </c>
      <c r="J10361" s="10" t="s">
        <v>6324</v>
      </c>
      <c r="K10361" s="10">
        <v>299</v>
      </c>
      <c r="L10361" s="10" t="s">
        <v>45619</v>
      </c>
      <c r="M10361" s="10">
        <v>1</v>
      </c>
      <c r="N10361" s="10"/>
      <c r="O10361" s="10"/>
      <c r="P10361" s="10"/>
      <c r="Q10361" s="10">
        <v>808.04269999999997</v>
      </c>
      <c r="R10361" s="10" t="s">
        <v>45620</v>
      </c>
      <c r="S10361" s="10" t="s">
        <v>53</v>
      </c>
      <c r="T10361" s="10" t="s">
        <v>1166</v>
      </c>
    </row>
    <row r="10362" spans="1:20" ht="14.5" x14ac:dyDescent="0.35">
      <c r="A10362" s="10" t="s">
        <v>45621</v>
      </c>
      <c r="B10362" s="10" t="str">
        <f>"9781119388074"</f>
        <v>9781119388074</v>
      </c>
      <c r="C10362" s="10" t="str">
        <f>"9781119403548"</f>
        <v>9781119403548</v>
      </c>
      <c r="D10362" s="10" t="s">
        <v>6322</v>
      </c>
      <c r="E10362" s="10" t="s">
        <v>6323</v>
      </c>
      <c r="F10362" s="10" t="s">
        <v>4423</v>
      </c>
      <c r="G10362" s="10" t="s">
        <v>6317</v>
      </c>
      <c r="H10362" s="11">
        <v>42954</v>
      </c>
      <c r="I10362" s="10">
        <v>2017</v>
      </c>
      <c r="J10362" s="10" t="s">
        <v>6324</v>
      </c>
      <c r="K10362" s="10">
        <v>351</v>
      </c>
      <c r="L10362" s="10" t="s">
        <v>45622</v>
      </c>
      <c r="M10362" s="10">
        <v>1</v>
      </c>
      <c r="N10362" s="10"/>
      <c r="O10362" s="10"/>
      <c r="P10362" s="10"/>
      <c r="Q10362" s="10"/>
      <c r="R10362" s="10" t="s">
        <v>45623</v>
      </c>
      <c r="S10362" s="10" t="s">
        <v>53</v>
      </c>
      <c r="T10362" s="10" t="s">
        <v>54</v>
      </c>
    </row>
    <row r="10363" spans="1:20" ht="14.5" x14ac:dyDescent="0.35">
      <c r="A10363" s="10" t="s">
        <v>45624</v>
      </c>
      <c r="B10363" s="10" t="str">
        <f>"9781911106807"</f>
        <v>9781911106807</v>
      </c>
      <c r="C10363" s="10" t="str">
        <f>"9781911106821"</f>
        <v>9781911106821</v>
      </c>
      <c r="D10363" s="10" t="s">
        <v>9533</v>
      </c>
      <c r="E10363" s="10" t="s">
        <v>26840</v>
      </c>
      <c r="F10363" s="10" t="s">
        <v>44053</v>
      </c>
      <c r="G10363" s="10" t="s">
        <v>6352</v>
      </c>
      <c r="H10363" s="11">
        <v>42921</v>
      </c>
      <c r="I10363" s="10">
        <v>2017</v>
      </c>
      <c r="J10363" s="10" t="s">
        <v>26840</v>
      </c>
      <c r="K10363" s="10">
        <v>166</v>
      </c>
      <c r="L10363" s="10" t="s">
        <v>45625</v>
      </c>
      <c r="M10363" s="10">
        <v>1</v>
      </c>
      <c r="N10363" s="10" t="s">
        <v>13528</v>
      </c>
      <c r="O10363" s="10"/>
      <c r="P10363" s="10" t="s">
        <v>45626</v>
      </c>
      <c r="Q10363" s="10">
        <v>370</v>
      </c>
      <c r="R10363" s="10" t="s">
        <v>45627</v>
      </c>
      <c r="S10363" s="10" t="s">
        <v>53</v>
      </c>
      <c r="T10363" s="10" t="s">
        <v>54</v>
      </c>
    </row>
    <row r="10364" spans="1:20" ht="14.5" x14ac:dyDescent="0.35">
      <c r="A10364" s="10" t="s">
        <v>45628</v>
      </c>
      <c r="B10364" s="10" t="str">
        <f>"9781412956017"</f>
        <v>9781412956017</v>
      </c>
      <c r="C10364" s="10" t="str">
        <f>"9781452212807"</f>
        <v>9781452212807</v>
      </c>
      <c r="D10364" s="10" t="s">
        <v>22210</v>
      </c>
      <c r="E10364" s="10" t="s">
        <v>22211</v>
      </c>
      <c r="F10364" s="10" t="s">
        <v>333</v>
      </c>
      <c r="G10364" s="10" t="s">
        <v>6317</v>
      </c>
      <c r="H10364" s="11">
        <v>39834</v>
      </c>
      <c r="I10364" s="10">
        <v>2009</v>
      </c>
      <c r="J10364" s="10" t="s">
        <v>22211</v>
      </c>
      <c r="K10364" s="10">
        <v>201</v>
      </c>
      <c r="L10364" s="10" t="s">
        <v>45629</v>
      </c>
      <c r="M10364" s="10">
        <v>1</v>
      </c>
      <c r="N10364" s="10"/>
      <c r="O10364" s="10"/>
      <c r="P10364" s="10" t="s">
        <v>45630</v>
      </c>
      <c r="Q10364" s="10"/>
      <c r="R10364" s="10"/>
      <c r="S10364" s="10" t="s">
        <v>53</v>
      </c>
      <c r="T10364" s="10" t="s">
        <v>6616</v>
      </c>
    </row>
    <row r="10365" spans="1:20" ht="14.5" x14ac:dyDescent="0.35">
      <c r="A10365" s="10" t="s">
        <v>19211</v>
      </c>
      <c r="B10365" s="10" t="str">
        <f>"9781416623991"</f>
        <v>9781416623991</v>
      </c>
      <c r="C10365" s="10" t="str">
        <f>"9781416624011"</f>
        <v>9781416624011</v>
      </c>
      <c r="D10365" s="10" t="s">
        <v>10014</v>
      </c>
      <c r="E10365" s="10" t="s">
        <v>10015</v>
      </c>
      <c r="F10365" s="10" t="s">
        <v>201</v>
      </c>
      <c r="G10365" s="10" t="s">
        <v>6317</v>
      </c>
      <c r="H10365" s="11">
        <v>42946</v>
      </c>
      <c r="I10365" s="10">
        <v>2017</v>
      </c>
      <c r="J10365" s="10" t="s">
        <v>10015</v>
      </c>
      <c r="K10365" s="10">
        <v>203</v>
      </c>
      <c r="L10365" s="10" t="s">
        <v>28699</v>
      </c>
      <c r="M10365" s="10">
        <v>2</v>
      </c>
      <c r="N10365" s="10"/>
      <c r="O10365" s="10"/>
      <c r="P10365" s="10" t="s">
        <v>45631</v>
      </c>
      <c r="Q10365" s="10">
        <v>371.1</v>
      </c>
      <c r="R10365" s="10" t="s">
        <v>45632</v>
      </c>
      <c r="S10365" s="10" t="s">
        <v>53</v>
      </c>
      <c r="T10365" s="10" t="s">
        <v>54</v>
      </c>
    </row>
    <row r="10366" spans="1:20" ht="14.5" x14ac:dyDescent="0.35">
      <c r="A10366" s="10" t="s">
        <v>45633</v>
      </c>
      <c r="B10366" s="10" t="str">
        <f>""</f>
        <v/>
      </c>
      <c r="C10366" s="10" t="str">
        <f>"9782806293022"</f>
        <v>9782806293022</v>
      </c>
      <c r="D10366" s="10" t="s">
        <v>29172</v>
      </c>
      <c r="E10366" s="10" t="s">
        <v>29173</v>
      </c>
      <c r="F10366" s="10" t="s">
        <v>29181</v>
      </c>
      <c r="G10366" s="10" t="s">
        <v>28737</v>
      </c>
      <c r="H10366" s="11">
        <v>42895</v>
      </c>
      <c r="I10366" s="10">
        <v>2017</v>
      </c>
      <c r="J10366" s="10" t="s">
        <v>29175</v>
      </c>
      <c r="K10366" s="10">
        <v>56</v>
      </c>
      <c r="L10366" s="10" t="s">
        <v>45634</v>
      </c>
      <c r="M10366" s="10">
        <v>1</v>
      </c>
      <c r="N10366" s="10" t="s">
        <v>29177</v>
      </c>
      <c r="O10366" s="10"/>
      <c r="P10366" s="10"/>
      <c r="Q10366" s="10"/>
      <c r="R10366" s="10" t="s">
        <v>45635</v>
      </c>
      <c r="S10366" s="10" t="s">
        <v>5404</v>
      </c>
      <c r="T10366" s="10" t="s">
        <v>29186</v>
      </c>
    </row>
    <row r="10367" spans="1:20" ht="14.5" x14ac:dyDescent="0.35">
      <c r="A10367" s="10" t="s">
        <v>45636</v>
      </c>
      <c r="B10367" s="10" t="str">
        <f>""</f>
        <v/>
      </c>
      <c r="C10367" s="10" t="str">
        <f>"9782806296962"</f>
        <v>9782806296962</v>
      </c>
      <c r="D10367" s="10" t="s">
        <v>29172</v>
      </c>
      <c r="E10367" s="10" t="s">
        <v>29173</v>
      </c>
      <c r="F10367" s="10" t="s">
        <v>29181</v>
      </c>
      <c r="G10367" s="10" t="s">
        <v>28737</v>
      </c>
      <c r="H10367" s="11">
        <v>42895</v>
      </c>
      <c r="I10367" s="10">
        <v>2017</v>
      </c>
      <c r="J10367" s="10" t="s">
        <v>29175</v>
      </c>
      <c r="K10367" s="10">
        <v>42</v>
      </c>
      <c r="L10367" s="10" t="s">
        <v>45637</v>
      </c>
      <c r="M10367" s="10">
        <v>1</v>
      </c>
      <c r="N10367" s="10" t="s">
        <v>29177</v>
      </c>
      <c r="O10367" s="10"/>
      <c r="P10367" s="10"/>
      <c r="Q10367" s="10"/>
      <c r="R10367" s="10" t="s">
        <v>45638</v>
      </c>
      <c r="S10367" s="10" t="s">
        <v>5404</v>
      </c>
      <c r="T10367" s="10" t="s">
        <v>29186</v>
      </c>
    </row>
    <row r="10368" spans="1:20" ht="14.5" x14ac:dyDescent="0.35">
      <c r="A10368" s="10" t="s">
        <v>45639</v>
      </c>
      <c r="B10368" s="10" t="str">
        <f>"9781498511957"</f>
        <v>9781498511957</v>
      </c>
      <c r="C10368" s="10" t="str">
        <f>"9781498511964"</f>
        <v>9781498511964</v>
      </c>
      <c r="D10368" s="10" t="s">
        <v>9752</v>
      </c>
      <c r="E10368" s="10" t="s">
        <v>15182</v>
      </c>
      <c r="F10368" s="10" t="s">
        <v>9754</v>
      </c>
      <c r="G10368" s="10" t="s">
        <v>6317</v>
      </c>
      <c r="H10368" s="11">
        <v>42944</v>
      </c>
      <c r="I10368" s="10">
        <v>2017</v>
      </c>
      <c r="J10368" s="10" t="s">
        <v>15182</v>
      </c>
      <c r="K10368" s="10">
        <v>205</v>
      </c>
      <c r="L10368" s="10" t="s">
        <v>45640</v>
      </c>
      <c r="M10368" s="10">
        <v>1</v>
      </c>
      <c r="N10368" s="10" t="s">
        <v>40055</v>
      </c>
      <c r="O10368" s="10"/>
      <c r="P10368" s="10" t="s">
        <v>45641</v>
      </c>
      <c r="Q10368" s="10" t="s">
        <v>7335</v>
      </c>
      <c r="R10368" s="10" t="s">
        <v>33589</v>
      </c>
      <c r="S10368" s="10" t="s">
        <v>53</v>
      </c>
      <c r="T10368" s="10" t="s">
        <v>54</v>
      </c>
    </row>
    <row r="10369" spans="1:20" ht="14.5" x14ac:dyDescent="0.35">
      <c r="A10369" s="10" t="s">
        <v>45642</v>
      </c>
      <c r="B10369" s="10" t="str">
        <f>"9781464810121"</f>
        <v>9781464810121</v>
      </c>
      <c r="C10369" s="10" t="str">
        <f>"9781464810138"</f>
        <v>9781464810138</v>
      </c>
      <c r="D10369" s="10" t="s">
        <v>14731</v>
      </c>
      <c r="E10369" s="10" t="s">
        <v>14732</v>
      </c>
      <c r="F10369" s="10" t="s">
        <v>88</v>
      </c>
      <c r="G10369" s="10" t="s">
        <v>6317</v>
      </c>
      <c r="H10369" s="11">
        <v>42884</v>
      </c>
      <c r="I10369" s="10">
        <v>2017</v>
      </c>
      <c r="J10369" s="10" t="s">
        <v>14732</v>
      </c>
      <c r="K10369" s="10">
        <v>181</v>
      </c>
      <c r="L10369" s="10" t="s">
        <v>45643</v>
      </c>
      <c r="M10369" s="10">
        <v>1</v>
      </c>
      <c r="N10369" s="10" t="s">
        <v>31680</v>
      </c>
      <c r="O10369" s="10"/>
      <c r="P10369" s="10" t="s">
        <v>45644</v>
      </c>
      <c r="Q10369" s="10">
        <v>306.09667000000002</v>
      </c>
      <c r="R10369" s="10" t="s">
        <v>45645</v>
      </c>
      <c r="S10369" s="10" t="s">
        <v>53</v>
      </c>
      <c r="T10369" s="10" t="s">
        <v>6363</v>
      </c>
    </row>
    <row r="10370" spans="1:20" ht="14.5" x14ac:dyDescent="0.35">
      <c r="A10370" s="10" t="s">
        <v>45646</v>
      </c>
      <c r="B10370" s="10" t="str">
        <f>"9781416624912"</f>
        <v>9781416624912</v>
      </c>
      <c r="C10370" s="10" t="str">
        <f>"9781416624936"</f>
        <v>9781416624936</v>
      </c>
      <c r="D10370" s="10" t="s">
        <v>10014</v>
      </c>
      <c r="E10370" s="10" t="s">
        <v>10015</v>
      </c>
      <c r="F10370" s="10" t="s">
        <v>201</v>
      </c>
      <c r="G10370" s="10" t="s">
        <v>6317</v>
      </c>
      <c r="H10370" s="11">
        <v>42977</v>
      </c>
      <c r="I10370" s="10">
        <v>2017</v>
      </c>
      <c r="J10370" s="10" t="s">
        <v>10015</v>
      </c>
      <c r="K10370" s="10">
        <v>122</v>
      </c>
      <c r="L10370" s="10" t="s">
        <v>45647</v>
      </c>
      <c r="M10370" s="10">
        <v>1</v>
      </c>
      <c r="N10370" s="10"/>
      <c r="O10370" s="10"/>
      <c r="P10370" s="10" t="s">
        <v>45648</v>
      </c>
      <c r="Q10370" s="10" t="s">
        <v>10213</v>
      </c>
      <c r="R10370" s="10" t="s">
        <v>45649</v>
      </c>
      <c r="S10370" s="10" t="s">
        <v>53</v>
      </c>
      <c r="T10370" s="10" t="s">
        <v>54</v>
      </c>
    </row>
    <row r="10371" spans="1:20" ht="14.5" x14ac:dyDescent="0.35">
      <c r="A10371" s="10" t="s">
        <v>45650</v>
      </c>
      <c r="B10371" s="10" t="str">
        <f>"9780935302677"</f>
        <v>9780935302677</v>
      </c>
      <c r="C10371" s="10" t="str">
        <f>"9780935302684"</f>
        <v>9780935302684</v>
      </c>
      <c r="D10371" s="10" t="s">
        <v>31256</v>
      </c>
      <c r="E10371" s="10" t="s">
        <v>279</v>
      </c>
      <c r="F10371" s="10" t="s">
        <v>31258</v>
      </c>
      <c r="G10371" s="10" t="s">
        <v>6317</v>
      </c>
      <c r="H10371" s="11">
        <v>42909</v>
      </c>
      <c r="I10371" s="10">
        <v>2017</v>
      </c>
      <c r="J10371" s="10" t="s">
        <v>279</v>
      </c>
      <c r="K10371" s="10">
        <v>249</v>
      </c>
      <c r="L10371" s="10" t="s">
        <v>45651</v>
      </c>
      <c r="M10371" s="10">
        <v>1</v>
      </c>
      <c r="N10371" s="10"/>
      <c r="O10371" s="10"/>
      <c r="P10371" s="10"/>
      <c r="Q10371" s="10"/>
      <c r="R10371" s="10" t="s">
        <v>45652</v>
      </c>
      <c r="S10371" s="10" t="s">
        <v>53</v>
      </c>
      <c r="T10371" s="10" t="s">
        <v>6526</v>
      </c>
    </row>
    <row r="10372" spans="1:20" ht="14.5" x14ac:dyDescent="0.35">
      <c r="A10372" s="10" t="s">
        <v>45653</v>
      </c>
      <c r="B10372" s="10" t="str">
        <f>"9781624910081"</f>
        <v>9781624910081</v>
      </c>
      <c r="C10372" s="10" t="str">
        <f>"9781624910098"</f>
        <v>9781624910098</v>
      </c>
      <c r="D10372" s="10" t="s">
        <v>20156</v>
      </c>
      <c r="E10372" s="10" t="s">
        <v>41165</v>
      </c>
      <c r="F10372" s="10" t="s">
        <v>324</v>
      </c>
      <c r="G10372" s="10" t="s">
        <v>6317</v>
      </c>
      <c r="H10372" s="11">
        <v>41766</v>
      </c>
      <c r="I10372" s="10">
        <v>2014</v>
      </c>
      <c r="J10372" s="10" t="s">
        <v>41165</v>
      </c>
      <c r="K10372" s="10">
        <v>169</v>
      </c>
      <c r="L10372" s="10" t="s">
        <v>41166</v>
      </c>
      <c r="M10372" s="10">
        <v>1</v>
      </c>
      <c r="N10372" s="10"/>
      <c r="O10372" s="10"/>
      <c r="P10372" s="10" t="s">
        <v>45654</v>
      </c>
      <c r="Q10372" s="10">
        <v>362.70830000000001</v>
      </c>
      <c r="R10372" s="10" t="s">
        <v>41170</v>
      </c>
      <c r="S10372" s="10" t="s">
        <v>53</v>
      </c>
      <c r="T10372" s="10" t="s">
        <v>6363</v>
      </c>
    </row>
    <row r="10373" spans="1:20" ht="14.5" x14ac:dyDescent="0.35">
      <c r="A10373" s="10" t="s">
        <v>45655</v>
      </c>
      <c r="B10373" s="10" t="str">
        <f>"9781501510823"</f>
        <v>9781501510823</v>
      </c>
      <c r="C10373" s="10" t="str">
        <f>"9781501503085"</f>
        <v>9781501503085</v>
      </c>
      <c r="D10373" s="10" t="s">
        <v>9995</v>
      </c>
      <c r="E10373" s="10" t="s">
        <v>9996</v>
      </c>
      <c r="F10373" s="10" t="s">
        <v>1420</v>
      </c>
      <c r="G10373" s="10" t="s">
        <v>9998</v>
      </c>
      <c r="H10373" s="11">
        <v>43031</v>
      </c>
      <c r="I10373" s="10">
        <v>2017</v>
      </c>
      <c r="J10373" s="10" t="s">
        <v>10009</v>
      </c>
      <c r="K10373" s="10">
        <v>282</v>
      </c>
      <c r="L10373" s="10" t="s">
        <v>45656</v>
      </c>
      <c r="M10373" s="10">
        <v>1</v>
      </c>
      <c r="N10373" s="10" t="s">
        <v>45657</v>
      </c>
      <c r="O10373" s="10">
        <v>11</v>
      </c>
      <c r="P10373" s="10" t="s">
        <v>45658</v>
      </c>
      <c r="Q10373" s="10"/>
      <c r="R10373" s="10" t="s">
        <v>45659</v>
      </c>
      <c r="S10373" s="10" t="s">
        <v>53</v>
      </c>
      <c r="T10373" s="10" t="s">
        <v>6616</v>
      </c>
    </row>
    <row r="10374" spans="1:20" ht="14.5" x14ac:dyDescent="0.35">
      <c r="A10374" s="10" t="s">
        <v>45660</v>
      </c>
      <c r="B10374" s="10" t="str">
        <f>"9783828205758"</f>
        <v>9783828205758</v>
      </c>
      <c r="C10374" s="10" t="str">
        <f>"9783110509489"</f>
        <v>9783110509489</v>
      </c>
      <c r="D10374" s="10" t="s">
        <v>9995</v>
      </c>
      <c r="E10374" s="10" t="s">
        <v>2515</v>
      </c>
      <c r="F10374" s="10" t="s">
        <v>26321</v>
      </c>
      <c r="G10374" s="10" t="s">
        <v>9998</v>
      </c>
      <c r="H10374" s="11">
        <v>41275</v>
      </c>
      <c r="I10374" s="10">
        <v>2013</v>
      </c>
      <c r="J10374" s="10" t="s">
        <v>28454</v>
      </c>
      <c r="K10374" s="10">
        <v>172</v>
      </c>
      <c r="L10374" s="10" t="s">
        <v>45661</v>
      </c>
      <c r="M10374" s="10">
        <v>1</v>
      </c>
      <c r="N10374" s="10" t="s">
        <v>45662</v>
      </c>
      <c r="O10374" s="10">
        <v>14</v>
      </c>
      <c r="P10374" s="10" t="s">
        <v>45663</v>
      </c>
      <c r="Q10374" s="10"/>
      <c r="R10374" s="10" t="s">
        <v>41257</v>
      </c>
      <c r="S10374" s="10" t="s">
        <v>1519</v>
      </c>
      <c r="T10374" s="10" t="s">
        <v>10932</v>
      </c>
    </row>
    <row r="10375" spans="1:20" ht="14.5" x14ac:dyDescent="0.35">
      <c r="A10375" s="10" t="s">
        <v>45664</v>
      </c>
      <c r="B10375" s="10" t="str">
        <f>"9780935302646"</f>
        <v>9780935302646</v>
      </c>
      <c r="C10375" s="10" t="str">
        <f>"9780935302653"</f>
        <v>9780935302653</v>
      </c>
      <c r="D10375" s="10" t="s">
        <v>31256</v>
      </c>
      <c r="E10375" s="10" t="s">
        <v>279</v>
      </c>
      <c r="F10375" s="10" t="s">
        <v>31258</v>
      </c>
      <c r="G10375" s="10" t="s">
        <v>6317</v>
      </c>
      <c r="H10375" s="11">
        <v>42855</v>
      </c>
      <c r="I10375" s="10">
        <v>2017</v>
      </c>
      <c r="J10375" s="10" t="s">
        <v>279</v>
      </c>
      <c r="K10375" s="10">
        <v>577</v>
      </c>
      <c r="L10375" s="10" t="s">
        <v>14430</v>
      </c>
      <c r="M10375" s="10">
        <v>1</v>
      </c>
      <c r="N10375" s="10"/>
      <c r="O10375" s="10"/>
      <c r="P10375" s="10"/>
      <c r="Q10375" s="10"/>
      <c r="R10375" s="10" t="s">
        <v>45665</v>
      </c>
      <c r="S10375" s="10" t="s">
        <v>53</v>
      </c>
      <c r="T10375" s="10" t="s">
        <v>7807</v>
      </c>
    </row>
    <row r="10376" spans="1:20" ht="14.5" x14ac:dyDescent="0.35">
      <c r="A10376" s="10" t="s">
        <v>45666</v>
      </c>
      <c r="B10376" s="10" t="str">
        <f>"9781501515101"</f>
        <v>9781501515101</v>
      </c>
      <c r="C10376" s="10" t="str">
        <f>"9781501506208"</f>
        <v>9781501506208</v>
      </c>
      <c r="D10376" s="10" t="s">
        <v>9995</v>
      </c>
      <c r="E10376" s="10" t="s">
        <v>2515</v>
      </c>
      <c r="F10376" s="10" t="s">
        <v>1420</v>
      </c>
      <c r="G10376" s="10" t="s">
        <v>9998</v>
      </c>
      <c r="H10376" s="11">
        <v>42954</v>
      </c>
      <c r="I10376" s="10">
        <v>2017</v>
      </c>
      <c r="J10376" s="10" t="s">
        <v>2515</v>
      </c>
      <c r="K10376" s="10">
        <v>828</v>
      </c>
      <c r="L10376" s="10" t="s">
        <v>45667</v>
      </c>
      <c r="M10376" s="10">
        <v>1</v>
      </c>
      <c r="N10376" s="10"/>
      <c r="O10376" s="10"/>
      <c r="P10376" s="10" t="s">
        <v>45668</v>
      </c>
      <c r="Q10376" s="10">
        <v>658.40351999999996</v>
      </c>
      <c r="R10376" s="10" t="s">
        <v>45669</v>
      </c>
      <c r="S10376" s="10" t="s">
        <v>53</v>
      </c>
      <c r="T10376" s="10" t="s">
        <v>6660</v>
      </c>
    </row>
    <row r="10377" spans="1:20" ht="14.5" x14ac:dyDescent="0.35">
      <c r="A10377" s="10" t="s">
        <v>45670</v>
      </c>
      <c r="B10377" s="10" t="str">
        <f>"9781785921346"</f>
        <v>9781785921346</v>
      </c>
      <c r="C10377" s="10" t="str">
        <f>"9781784503994"</f>
        <v>9781784503994</v>
      </c>
      <c r="D10377" s="10" t="s">
        <v>10516</v>
      </c>
      <c r="E10377" s="10" t="s">
        <v>10516</v>
      </c>
      <c r="F10377" s="10" t="s">
        <v>139</v>
      </c>
      <c r="G10377" s="10" t="s">
        <v>6352</v>
      </c>
      <c r="H10377" s="11">
        <v>42968</v>
      </c>
      <c r="I10377" s="10">
        <v>2017</v>
      </c>
      <c r="J10377" s="10" t="s">
        <v>10516</v>
      </c>
      <c r="K10377" s="10">
        <v>338</v>
      </c>
      <c r="L10377" s="10" t="s">
        <v>45671</v>
      </c>
      <c r="M10377" s="10">
        <v>1</v>
      </c>
      <c r="N10377" s="10"/>
      <c r="O10377" s="10"/>
      <c r="P10377" s="10" t="s">
        <v>45672</v>
      </c>
      <c r="Q10377" s="10">
        <v>370.15339999999998</v>
      </c>
      <c r="R10377" s="10"/>
      <c r="S10377" s="10" t="s">
        <v>53</v>
      </c>
      <c r="T10377" s="10" t="s">
        <v>54</v>
      </c>
    </row>
    <row r="10378" spans="1:20" ht="14.5" x14ac:dyDescent="0.35">
      <c r="A10378" s="10" t="s">
        <v>45673</v>
      </c>
      <c r="B10378" s="10" t="str">
        <f>"9781785927119"</f>
        <v>9781785927119</v>
      </c>
      <c r="C10378" s="10" t="str">
        <f>"9781784502935"</f>
        <v>9781784502935</v>
      </c>
      <c r="D10378" s="10" t="s">
        <v>10516</v>
      </c>
      <c r="E10378" s="10" t="s">
        <v>10516</v>
      </c>
      <c r="F10378" s="10" t="s">
        <v>139</v>
      </c>
      <c r="G10378" s="10" t="s">
        <v>6352</v>
      </c>
      <c r="H10378" s="11">
        <v>42968</v>
      </c>
      <c r="I10378" s="10">
        <v>2017</v>
      </c>
      <c r="J10378" s="10" t="s">
        <v>10516</v>
      </c>
      <c r="K10378" s="10">
        <v>346</v>
      </c>
      <c r="L10378" s="10" t="s">
        <v>45674</v>
      </c>
      <c r="M10378" s="10">
        <v>1</v>
      </c>
      <c r="N10378" s="10"/>
      <c r="O10378" s="10"/>
      <c r="P10378" s="10" t="s">
        <v>45675</v>
      </c>
      <c r="Q10378" s="10">
        <v>371.94</v>
      </c>
      <c r="R10378" s="10"/>
      <c r="S10378" s="10" t="s">
        <v>53</v>
      </c>
      <c r="T10378" s="10" t="s">
        <v>54</v>
      </c>
    </row>
    <row r="10379" spans="1:20" ht="14.5" x14ac:dyDescent="0.35">
      <c r="A10379" s="10" t="s">
        <v>45676</v>
      </c>
      <c r="B10379" s="10" t="str">
        <f>"9781459733770"</f>
        <v>9781459733770</v>
      </c>
      <c r="C10379" s="10" t="str">
        <f>"9781459733787"</f>
        <v>9781459733787</v>
      </c>
      <c r="D10379" s="10" t="s">
        <v>45677</v>
      </c>
      <c r="E10379" s="10" t="s">
        <v>45678</v>
      </c>
      <c r="F10379" s="10" t="s">
        <v>901</v>
      </c>
      <c r="G10379" s="10" t="s">
        <v>9536</v>
      </c>
      <c r="H10379" s="11">
        <v>42528</v>
      </c>
      <c r="I10379" s="10">
        <v>2016</v>
      </c>
      <c r="J10379" s="10" t="s">
        <v>45679</v>
      </c>
      <c r="K10379" s="10">
        <v>233</v>
      </c>
      <c r="L10379" s="10" t="s">
        <v>45680</v>
      </c>
      <c r="M10379" s="10">
        <v>1</v>
      </c>
      <c r="N10379" s="10"/>
      <c r="O10379" s="10"/>
      <c r="P10379" s="10" t="s">
        <v>45681</v>
      </c>
      <c r="Q10379" s="10">
        <v>331.11444999999998</v>
      </c>
      <c r="R10379" s="10" t="s">
        <v>45682</v>
      </c>
      <c r="S10379" s="10" t="s">
        <v>53</v>
      </c>
      <c r="T10379" s="10" t="s">
        <v>7545</v>
      </c>
    </row>
    <row r="10380" spans="1:20" ht="14.5" x14ac:dyDescent="0.35">
      <c r="A10380" s="10" t="s">
        <v>45683</v>
      </c>
      <c r="B10380" s="10" t="str">
        <f>"9781464811401"</f>
        <v>9781464811401</v>
      </c>
      <c r="C10380" s="10" t="str">
        <f>"9781464811418"</f>
        <v>9781464811418</v>
      </c>
      <c r="D10380" s="10" t="s">
        <v>14731</v>
      </c>
      <c r="E10380" s="10" t="s">
        <v>14732</v>
      </c>
      <c r="F10380" s="10" t="s">
        <v>11765</v>
      </c>
      <c r="G10380" s="10" t="s">
        <v>6317</v>
      </c>
      <c r="H10380" s="11">
        <v>42979</v>
      </c>
      <c r="I10380" s="10">
        <v>2017</v>
      </c>
      <c r="J10380" s="10" t="s">
        <v>14732</v>
      </c>
      <c r="K10380" s="10">
        <v>111</v>
      </c>
      <c r="L10380" s="10" t="s">
        <v>45684</v>
      </c>
      <c r="M10380" s="10">
        <v>1</v>
      </c>
      <c r="N10380" s="10" t="s">
        <v>20668</v>
      </c>
      <c r="O10380" s="10"/>
      <c r="P10380" s="10" t="s">
        <v>45685</v>
      </c>
      <c r="Q10380" s="10">
        <v>355.411</v>
      </c>
      <c r="R10380" s="10" t="s">
        <v>45686</v>
      </c>
      <c r="S10380" s="10" t="s">
        <v>53</v>
      </c>
      <c r="T10380" s="10" t="s">
        <v>17165</v>
      </c>
    </row>
    <row r="10381" spans="1:20" ht="14.5" x14ac:dyDescent="0.35">
      <c r="A10381" s="10" t="s">
        <v>45687</v>
      </c>
      <c r="B10381" s="10" t="str">
        <f>"9781416624134"</f>
        <v>9781416624134</v>
      </c>
      <c r="C10381" s="10" t="str">
        <f>"9781416624158"</f>
        <v>9781416624158</v>
      </c>
      <c r="D10381" s="10" t="s">
        <v>10014</v>
      </c>
      <c r="E10381" s="10" t="s">
        <v>10015</v>
      </c>
      <c r="F10381" s="10" t="s">
        <v>201</v>
      </c>
      <c r="G10381" s="10" t="s">
        <v>6317</v>
      </c>
      <c r="H10381" s="11">
        <v>42977</v>
      </c>
      <c r="I10381" s="10">
        <v>2017</v>
      </c>
      <c r="J10381" s="10" t="s">
        <v>10015</v>
      </c>
      <c r="K10381" s="10">
        <v>234</v>
      </c>
      <c r="L10381" s="10" t="s">
        <v>45688</v>
      </c>
      <c r="M10381" s="10">
        <v>1</v>
      </c>
      <c r="N10381" s="10"/>
      <c r="O10381" s="10"/>
      <c r="P10381" s="10" t="s">
        <v>45689</v>
      </c>
      <c r="Q10381" s="10" t="s">
        <v>8460</v>
      </c>
      <c r="R10381" s="10" t="s">
        <v>28755</v>
      </c>
      <c r="S10381" s="10" t="s">
        <v>53</v>
      </c>
      <c r="T10381" s="10" t="s">
        <v>54</v>
      </c>
    </row>
    <row r="10382" spans="1:20" ht="14.5" x14ac:dyDescent="0.35">
      <c r="A10382" s="10" t="s">
        <v>45690</v>
      </c>
      <c r="B10382" s="10" t="str">
        <f>"9781416624400"</f>
        <v>9781416624400</v>
      </c>
      <c r="C10382" s="10" t="str">
        <f>"9781416624424"</f>
        <v>9781416624424</v>
      </c>
      <c r="D10382" s="10" t="s">
        <v>10014</v>
      </c>
      <c r="E10382" s="10" t="s">
        <v>10015</v>
      </c>
      <c r="F10382" s="10" t="s">
        <v>201</v>
      </c>
      <c r="G10382" s="10" t="s">
        <v>6317</v>
      </c>
      <c r="H10382" s="11">
        <v>42977</v>
      </c>
      <c r="I10382" s="10">
        <v>2017</v>
      </c>
      <c r="J10382" s="10" t="s">
        <v>10015</v>
      </c>
      <c r="K10382" s="10">
        <v>91</v>
      </c>
      <c r="L10382" s="10" t="s">
        <v>45691</v>
      </c>
      <c r="M10382" s="10">
        <v>1</v>
      </c>
      <c r="N10382" s="10"/>
      <c r="O10382" s="10"/>
      <c r="P10382" s="10" t="s">
        <v>45692</v>
      </c>
      <c r="Q10382" s="10">
        <v>370.11700000000002</v>
      </c>
      <c r="R10382" s="10" t="s">
        <v>45693</v>
      </c>
      <c r="S10382" s="10" t="s">
        <v>53</v>
      </c>
      <c r="T10382" s="10" t="s">
        <v>54</v>
      </c>
    </row>
    <row r="10383" spans="1:20" ht="14.5" x14ac:dyDescent="0.35">
      <c r="A10383" s="10" t="s">
        <v>45694</v>
      </c>
      <c r="B10383" s="10" t="str">
        <f>"9781945349096"</f>
        <v>9781945349096</v>
      </c>
      <c r="C10383" s="10" t="str">
        <f>"9781945349102"</f>
        <v>9781945349102</v>
      </c>
      <c r="D10383" s="10" t="s">
        <v>37580</v>
      </c>
      <c r="E10383" s="10" t="s">
        <v>37581</v>
      </c>
      <c r="F10383" s="10" t="s">
        <v>37623</v>
      </c>
      <c r="G10383" s="10" t="s">
        <v>6317</v>
      </c>
      <c r="H10383" s="11">
        <v>42972</v>
      </c>
      <c r="I10383" s="10">
        <v>2018</v>
      </c>
      <c r="J10383" s="10" t="s">
        <v>37581</v>
      </c>
      <c r="K10383" s="10">
        <v>152</v>
      </c>
      <c r="L10383" s="10" t="s">
        <v>45695</v>
      </c>
      <c r="M10383" s="10">
        <v>1</v>
      </c>
      <c r="N10383" s="10"/>
      <c r="O10383" s="10"/>
      <c r="P10383" s="10" t="s">
        <v>45696</v>
      </c>
      <c r="Q10383" s="10"/>
      <c r="R10383" s="10" t="s">
        <v>45697</v>
      </c>
      <c r="S10383" s="10" t="s">
        <v>53</v>
      </c>
      <c r="T10383" s="10" t="s">
        <v>54</v>
      </c>
    </row>
    <row r="10384" spans="1:20" ht="14.5" x14ac:dyDescent="0.35">
      <c r="A10384" s="10" t="s">
        <v>45698</v>
      </c>
      <c r="B10384" s="10" t="str">
        <f>"9781620366042"</f>
        <v>9781620366042</v>
      </c>
      <c r="C10384" s="10" t="str">
        <f>"9781000974560"</f>
        <v>9781000974560</v>
      </c>
      <c r="D10384" s="10" t="s">
        <v>6350</v>
      </c>
      <c r="E10384" s="10" t="s">
        <v>6351</v>
      </c>
      <c r="F10384" s="10" t="s">
        <v>748</v>
      </c>
      <c r="G10384" s="10" t="s">
        <v>6352</v>
      </c>
      <c r="H10384" s="11">
        <v>42958</v>
      </c>
      <c r="I10384" s="10">
        <v>2017</v>
      </c>
      <c r="J10384" s="10" t="s">
        <v>6351</v>
      </c>
      <c r="K10384" s="10">
        <v>171</v>
      </c>
      <c r="L10384" s="10" t="s">
        <v>45699</v>
      </c>
      <c r="M10384" s="10">
        <v>1</v>
      </c>
      <c r="N10384" s="10"/>
      <c r="O10384" s="10"/>
      <c r="P10384" s="10"/>
      <c r="Q10384" s="10">
        <v>371.82693999999998</v>
      </c>
      <c r="R10384" s="10" t="s">
        <v>45700</v>
      </c>
      <c r="S10384" s="10" t="s">
        <v>53</v>
      </c>
      <c r="T10384" s="10" t="s">
        <v>54</v>
      </c>
    </row>
    <row r="10385" spans="1:20" ht="14.5" x14ac:dyDescent="0.35">
      <c r="A10385" s="10" t="s">
        <v>45701</v>
      </c>
      <c r="B10385" s="10" t="str">
        <f>"9781620363799"</f>
        <v>9781620363799</v>
      </c>
      <c r="C10385" s="10" t="str">
        <f>"9781000972535"</f>
        <v>9781000972535</v>
      </c>
      <c r="D10385" s="10" t="s">
        <v>6350</v>
      </c>
      <c r="E10385" s="10" t="s">
        <v>6351</v>
      </c>
      <c r="F10385" s="10" t="s">
        <v>748</v>
      </c>
      <c r="G10385" s="10" t="s">
        <v>6352</v>
      </c>
      <c r="H10385" s="11">
        <v>42958</v>
      </c>
      <c r="I10385" s="10">
        <v>2017</v>
      </c>
      <c r="J10385" s="10" t="s">
        <v>6351</v>
      </c>
      <c r="K10385" s="10">
        <v>148</v>
      </c>
      <c r="L10385" s="10" t="s">
        <v>45702</v>
      </c>
      <c r="M10385" s="10">
        <v>1</v>
      </c>
      <c r="N10385" s="10"/>
      <c r="O10385" s="10"/>
      <c r="P10385" s="10" t="s">
        <v>45703</v>
      </c>
      <c r="Q10385" s="10">
        <v>370.11700000000002</v>
      </c>
      <c r="R10385" s="10" t="s">
        <v>41298</v>
      </c>
      <c r="S10385" s="10" t="s">
        <v>53</v>
      </c>
      <c r="T10385" s="10" t="s">
        <v>54</v>
      </c>
    </row>
    <row r="10386" spans="1:20" ht="14.5" x14ac:dyDescent="0.35">
      <c r="A10386" s="10" t="s">
        <v>45704</v>
      </c>
      <c r="B10386" s="10" t="str">
        <f>"9781943874101"</f>
        <v>9781943874101</v>
      </c>
      <c r="C10386" s="10" t="str">
        <f>"9781943874118"</f>
        <v>9781943874118</v>
      </c>
      <c r="D10386" s="10" t="s">
        <v>37580</v>
      </c>
      <c r="E10386" s="10" t="s">
        <v>37581</v>
      </c>
      <c r="F10386" s="10" t="s">
        <v>37623</v>
      </c>
      <c r="G10386" s="10" t="s">
        <v>6317</v>
      </c>
      <c r="H10386" s="11">
        <v>42978</v>
      </c>
      <c r="I10386" s="10">
        <v>2018</v>
      </c>
      <c r="J10386" s="10" t="s">
        <v>37581</v>
      </c>
      <c r="K10386" s="10">
        <v>80</v>
      </c>
      <c r="L10386" s="10" t="s">
        <v>45705</v>
      </c>
      <c r="M10386" s="10">
        <v>1</v>
      </c>
      <c r="N10386" s="10" t="s">
        <v>43405</v>
      </c>
      <c r="O10386" s="10"/>
      <c r="P10386" s="10"/>
      <c r="Q10386" s="10"/>
      <c r="R10386" s="10" t="s">
        <v>45706</v>
      </c>
      <c r="S10386" s="10" t="s">
        <v>53</v>
      </c>
      <c r="T10386" s="10" t="s">
        <v>54</v>
      </c>
    </row>
    <row r="10387" spans="1:20" ht="14.5" x14ac:dyDescent="0.35">
      <c r="A10387" s="10" t="s">
        <v>45707</v>
      </c>
      <c r="B10387" s="10" t="str">
        <f>"9781119077992"</f>
        <v>9781119077992</v>
      </c>
      <c r="C10387" s="10" t="str">
        <f>"9781119078012"</f>
        <v>9781119078012</v>
      </c>
      <c r="D10387" s="10" t="s">
        <v>6322</v>
      </c>
      <c r="E10387" s="10" t="s">
        <v>6323</v>
      </c>
      <c r="F10387" s="10" t="s">
        <v>4423</v>
      </c>
      <c r="G10387" s="10" t="s">
        <v>6317</v>
      </c>
      <c r="H10387" s="11">
        <v>42975</v>
      </c>
      <c r="I10387" s="10">
        <v>2017</v>
      </c>
      <c r="J10387" s="10" t="s">
        <v>6324</v>
      </c>
      <c r="K10387" s="10">
        <v>514</v>
      </c>
      <c r="L10387" s="10" t="s">
        <v>45708</v>
      </c>
      <c r="M10387" s="10">
        <v>4</v>
      </c>
      <c r="N10387" s="10"/>
      <c r="O10387" s="10"/>
      <c r="P10387" s="10"/>
      <c r="Q10387" s="10" t="s">
        <v>45709</v>
      </c>
      <c r="R10387" s="10" t="s">
        <v>45710</v>
      </c>
      <c r="S10387" s="10" t="s">
        <v>53</v>
      </c>
      <c r="T10387" s="10" t="s">
        <v>54</v>
      </c>
    </row>
    <row r="10388" spans="1:20" ht="14.5" x14ac:dyDescent="0.35">
      <c r="A10388" s="10" t="s">
        <v>45711</v>
      </c>
      <c r="B10388" s="10" t="str">
        <f>"9781551383224"</f>
        <v>9781551383224</v>
      </c>
      <c r="C10388" s="10" t="str">
        <f>"9781551389233"</f>
        <v>9781551389233</v>
      </c>
      <c r="D10388" s="10" t="s">
        <v>45074</v>
      </c>
      <c r="E10388" s="10" t="s">
        <v>45075</v>
      </c>
      <c r="F10388" s="10" t="s">
        <v>901</v>
      </c>
      <c r="G10388" s="10" t="s">
        <v>9536</v>
      </c>
      <c r="H10388" s="11">
        <v>42870</v>
      </c>
      <c r="I10388" s="10">
        <v>2017</v>
      </c>
      <c r="J10388" s="10" t="s">
        <v>45075</v>
      </c>
      <c r="K10388" s="10">
        <v>162</v>
      </c>
      <c r="L10388" s="10" t="s">
        <v>45712</v>
      </c>
      <c r="M10388" s="10">
        <v>1</v>
      </c>
      <c r="N10388" s="10"/>
      <c r="O10388" s="10"/>
      <c r="P10388" s="10" t="s">
        <v>45713</v>
      </c>
      <c r="Q10388" s="10">
        <v>372.62304399999999</v>
      </c>
      <c r="R10388" s="10" t="s">
        <v>45714</v>
      </c>
      <c r="S10388" s="10" t="s">
        <v>53</v>
      </c>
      <c r="T10388" s="10" t="s">
        <v>54</v>
      </c>
    </row>
    <row r="10389" spans="1:20" ht="14.5" x14ac:dyDescent="0.35">
      <c r="A10389" s="10" t="s">
        <v>45715</v>
      </c>
      <c r="B10389" s="10" t="str">
        <f>"9781551383231"</f>
        <v>9781551383231</v>
      </c>
      <c r="C10389" s="10" t="str">
        <f>"9781551389240"</f>
        <v>9781551389240</v>
      </c>
      <c r="D10389" s="10" t="s">
        <v>45074</v>
      </c>
      <c r="E10389" s="10" t="s">
        <v>45075</v>
      </c>
      <c r="F10389" s="10" t="s">
        <v>901</v>
      </c>
      <c r="G10389" s="10" t="s">
        <v>9536</v>
      </c>
      <c r="H10389" s="11">
        <v>42968</v>
      </c>
      <c r="I10389" s="10">
        <v>2017</v>
      </c>
      <c r="J10389" s="10" t="s">
        <v>45075</v>
      </c>
      <c r="K10389" s="10">
        <v>130</v>
      </c>
      <c r="L10389" s="10" t="s">
        <v>45716</v>
      </c>
      <c r="M10389" s="10">
        <v>1</v>
      </c>
      <c r="N10389" s="10"/>
      <c r="O10389" s="10"/>
      <c r="P10389" s="10" t="s">
        <v>45717</v>
      </c>
      <c r="Q10389" s="10">
        <v>372.62</v>
      </c>
      <c r="R10389" s="10" t="s">
        <v>45718</v>
      </c>
      <c r="S10389" s="10" t="s">
        <v>53</v>
      </c>
      <c r="T10389" s="10" t="s">
        <v>54</v>
      </c>
    </row>
    <row r="10390" spans="1:20" ht="14.5" x14ac:dyDescent="0.35">
      <c r="A10390" s="10" t="s">
        <v>45719</v>
      </c>
      <c r="B10390" s="10" t="str">
        <f>"9781137567659"</f>
        <v>9781137567659</v>
      </c>
      <c r="C10390" s="10" t="str">
        <f>"9781137567666"</f>
        <v>9781137567666</v>
      </c>
      <c r="D10390" s="10" t="s">
        <v>11249</v>
      </c>
      <c r="E10390" s="10" t="s">
        <v>2400</v>
      </c>
      <c r="F10390" s="10" t="s">
        <v>70</v>
      </c>
      <c r="G10390" s="10" t="s">
        <v>6317</v>
      </c>
      <c r="H10390" s="11">
        <v>42552</v>
      </c>
      <c r="I10390" s="10">
        <v>2016</v>
      </c>
      <c r="J10390" s="10" t="s">
        <v>2400</v>
      </c>
      <c r="K10390" s="10">
        <v>331</v>
      </c>
      <c r="L10390" s="10" t="s">
        <v>45720</v>
      </c>
      <c r="M10390" s="10">
        <v>1</v>
      </c>
      <c r="N10390" s="10" t="s">
        <v>45721</v>
      </c>
      <c r="O10390" s="10"/>
      <c r="P10390" s="10" t="s">
        <v>42386</v>
      </c>
      <c r="Q10390" s="10"/>
      <c r="R10390" s="10" t="s">
        <v>17722</v>
      </c>
      <c r="S10390" s="10" t="s">
        <v>53</v>
      </c>
      <c r="T10390" s="10" t="s">
        <v>54</v>
      </c>
    </row>
    <row r="10391" spans="1:20" ht="14.5" x14ac:dyDescent="0.35">
      <c r="A10391" s="10" t="s">
        <v>45722</v>
      </c>
      <c r="B10391" s="10" t="str">
        <f>"9781571812131"</f>
        <v>9781571812131</v>
      </c>
      <c r="C10391" s="10" t="str">
        <f>"9781782388814"</f>
        <v>9781782388814</v>
      </c>
      <c r="D10391" s="10" t="s">
        <v>21315</v>
      </c>
      <c r="E10391" s="10" t="s">
        <v>21316</v>
      </c>
      <c r="F10391" s="10" t="s">
        <v>13068</v>
      </c>
      <c r="G10391" s="10" t="s">
        <v>6317</v>
      </c>
      <c r="H10391" s="11">
        <v>36831</v>
      </c>
      <c r="I10391" s="10">
        <v>2000</v>
      </c>
      <c r="J10391" s="10" t="s">
        <v>21316</v>
      </c>
      <c r="K10391" s="10">
        <v>224</v>
      </c>
      <c r="L10391" s="10" t="s">
        <v>45723</v>
      </c>
      <c r="M10391" s="10">
        <v>1</v>
      </c>
      <c r="N10391" s="10"/>
      <c r="O10391" s="10"/>
      <c r="P10391" s="10" t="s">
        <v>45724</v>
      </c>
      <c r="Q10391" s="10">
        <v>373.67610000000002</v>
      </c>
      <c r="R10391" s="10"/>
      <c r="S10391" s="10" t="s">
        <v>53</v>
      </c>
      <c r="T10391" s="10" t="s">
        <v>54</v>
      </c>
    </row>
    <row r="10392" spans="1:20" ht="14.5" x14ac:dyDescent="0.35">
      <c r="A10392" s="10" t="s">
        <v>45725</v>
      </c>
      <c r="B10392" s="10" t="str">
        <f>"9781785922237"</f>
        <v>9781785922237</v>
      </c>
      <c r="C10392" s="10" t="str">
        <f>"9781784505004"</f>
        <v>9781784505004</v>
      </c>
      <c r="D10392" s="10" t="s">
        <v>10516</v>
      </c>
      <c r="E10392" s="10" t="s">
        <v>10516</v>
      </c>
      <c r="F10392" s="10" t="s">
        <v>139</v>
      </c>
      <c r="G10392" s="10" t="s">
        <v>6352</v>
      </c>
      <c r="H10392" s="11">
        <v>42999</v>
      </c>
      <c r="I10392" s="10">
        <v>2017</v>
      </c>
      <c r="J10392" s="10" t="s">
        <v>10516</v>
      </c>
      <c r="K10392" s="10">
        <v>274</v>
      </c>
      <c r="L10392" s="10" t="s">
        <v>45726</v>
      </c>
      <c r="M10392" s="10">
        <v>1</v>
      </c>
      <c r="N10392" s="10"/>
      <c r="O10392" s="10"/>
      <c r="P10392" s="10" t="s">
        <v>45727</v>
      </c>
      <c r="Q10392" s="10">
        <v>305.23099999999999</v>
      </c>
      <c r="R10392" s="10"/>
      <c r="S10392" s="10" t="s">
        <v>53</v>
      </c>
      <c r="T10392" s="10" t="s">
        <v>6363</v>
      </c>
    </row>
    <row r="10393" spans="1:20" ht="14.5" x14ac:dyDescent="0.35">
      <c r="A10393" s="10" t="s">
        <v>45728</v>
      </c>
      <c r="B10393" s="10" t="str">
        <f>"9781472942357"</f>
        <v>9781472942357</v>
      </c>
      <c r="C10393" s="10" t="str">
        <f>"9781472942364"</f>
        <v>9781472942364</v>
      </c>
      <c r="D10393" s="10" t="s">
        <v>13959</v>
      </c>
      <c r="E10393" s="10" t="s">
        <v>13960</v>
      </c>
      <c r="F10393" s="10" t="s">
        <v>139</v>
      </c>
      <c r="G10393" s="10" t="s">
        <v>6352</v>
      </c>
      <c r="H10393" s="11">
        <v>42999</v>
      </c>
      <c r="I10393" s="10">
        <v>2017</v>
      </c>
      <c r="J10393" s="10" t="s">
        <v>16948</v>
      </c>
      <c r="K10393" s="10">
        <v>178</v>
      </c>
      <c r="L10393" s="10" t="s">
        <v>45729</v>
      </c>
      <c r="M10393" s="10">
        <v>1</v>
      </c>
      <c r="N10393" s="10"/>
      <c r="O10393" s="10"/>
      <c r="P10393" s="10" t="s">
        <v>45730</v>
      </c>
      <c r="Q10393" s="10">
        <v>371.10239999999999</v>
      </c>
      <c r="R10393" s="10" t="s">
        <v>45731</v>
      </c>
      <c r="S10393" s="10" t="s">
        <v>53</v>
      </c>
      <c r="T10393" s="10" t="s">
        <v>54</v>
      </c>
    </row>
    <row r="10394" spans="1:20" ht="14.5" x14ac:dyDescent="0.35">
      <c r="A10394" s="10" t="s">
        <v>45732</v>
      </c>
      <c r="B10394" s="10" t="str">
        <f>"9781472946263"</f>
        <v>9781472946263</v>
      </c>
      <c r="C10394" s="10" t="str">
        <f>"9781472946232"</f>
        <v>9781472946232</v>
      </c>
      <c r="D10394" s="10" t="s">
        <v>13959</v>
      </c>
      <c r="E10394" s="10" t="s">
        <v>13960</v>
      </c>
      <c r="F10394" s="10" t="s">
        <v>139</v>
      </c>
      <c r="G10394" s="10" t="s">
        <v>6352</v>
      </c>
      <c r="H10394" s="11">
        <v>42999</v>
      </c>
      <c r="I10394" s="10">
        <v>2017</v>
      </c>
      <c r="J10394" s="10" t="s">
        <v>16948</v>
      </c>
      <c r="K10394" s="10">
        <v>161</v>
      </c>
      <c r="L10394" s="10" t="s">
        <v>18648</v>
      </c>
      <c r="M10394" s="10">
        <v>2</v>
      </c>
      <c r="N10394" s="10" t="s">
        <v>18649</v>
      </c>
      <c r="O10394" s="10"/>
      <c r="P10394" s="10" t="s">
        <v>45733</v>
      </c>
      <c r="Q10394" s="10">
        <v>372.11020000000002</v>
      </c>
      <c r="R10394" s="10" t="s">
        <v>18113</v>
      </c>
      <c r="S10394" s="10" t="s">
        <v>53</v>
      </c>
      <c r="T10394" s="10" t="s">
        <v>54</v>
      </c>
    </row>
    <row r="10395" spans="1:20" ht="14.5" x14ac:dyDescent="0.35">
      <c r="A10395" s="10" t="s">
        <v>45734</v>
      </c>
      <c r="B10395" s="10" t="str">
        <f>"9781492635123"</f>
        <v>9781492635123</v>
      </c>
      <c r="C10395" s="10" t="str">
        <f>"9781492635147"</f>
        <v>9781492635147</v>
      </c>
      <c r="D10395" s="10" t="s">
        <v>31621</v>
      </c>
      <c r="E10395" s="10" t="s">
        <v>31622</v>
      </c>
      <c r="F10395" s="10" t="s">
        <v>31623</v>
      </c>
      <c r="G10395" s="10" t="s">
        <v>6317</v>
      </c>
      <c r="H10395" s="11">
        <v>42552</v>
      </c>
      <c r="I10395" s="10">
        <v>2016</v>
      </c>
      <c r="J10395" s="10" t="s">
        <v>31622</v>
      </c>
      <c r="K10395" s="10">
        <v>258</v>
      </c>
      <c r="L10395" s="10" t="s">
        <v>45735</v>
      </c>
      <c r="M10395" s="10">
        <v>1</v>
      </c>
      <c r="N10395" s="10"/>
      <c r="O10395" s="10"/>
      <c r="P10395" s="10"/>
      <c r="Q10395" s="10"/>
      <c r="R10395" s="10" t="s">
        <v>45736</v>
      </c>
      <c r="S10395" s="10" t="s">
        <v>53</v>
      </c>
      <c r="T10395" s="10" t="s">
        <v>6634</v>
      </c>
    </row>
    <row r="10396" spans="1:20" ht="14.5" x14ac:dyDescent="0.35">
      <c r="A10396" s="10" t="s">
        <v>45737</v>
      </c>
      <c r="B10396" s="10" t="str">
        <f>"9781943874231"</f>
        <v>9781943874231</v>
      </c>
      <c r="C10396" s="10" t="str">
        <f>"9781943874248"</f>
        <v>9781943874248</v>
      </c>
      <c r="D10396" s="10" t="s">
        <v>37580</v>
      </c>
      <c r="E10396" s="10" t="s">
        <v>37581</v>
      </c>
      <c r="F10396" s="10" t="s">
        <v>37623</v>
      </c>
      <c r="G10396" s="10" t="s">
        <v>6317</v>
      </c>
      <c r="H10396" s="11">
        <v>42993</v>
      </c>
      <c r="I10396" s="10">
        <v>2018</v>
      </c>
      <c r="J10396" s="10" t="s">
        <v>37581</v>
      </c>
      <c r="K10396" s="10">
        <v>160</v>
      </c>
      <c r="L10396" s="10" t="s">
        <v>45738</v>
      </c>
      <c r="M10396" s="10">
        <v>1</v>
      </c>
      <c r="N10396" s="10" t="s">
        <v>37586</v>
      </c>
      <c r="O10396" s="10"/>
      <c r="P10396" s="10"/>
      <c r="Q10396" s="10"/>
      <c r="R10396" s="10" t="s">
        <v>45739</v>
      </c>
      <c r="S10396" s="10" t="s">
        <v>53</v>
      </c>
      <c r="T10396" s="10" t="s">
        <v>54</v>
      </c>
    </row>
    <row r="10397" spans="1:20" ht="14.5" x14ac:dyDescent="0.35">
      <c r="A10397" s="10" t="s">
        <v>45740</v>
      </c>
      <c r="B10397" s="10" t="str">
        <f>"9781945349072"</f>
        <v>9781945349072</v>
      </c>
      <c r="C10397" s="10" t="str">
        <f>"9781945349089"</f>
        <v>9781945349089</v>
      </c>
      <c r="D10397" s="10" t="s">
        <v>37580</v>
      </c>
      <c r="E10397" s="10" t="s">
        <v>37581</v>
      </c>
      <c r="F10397" s="10" t="s">
        <v>37623</v>
      </c>
      <c r="G10397" s="10" t="s">
        <v>6317</v>
      </c>
      <c r="H10397" s="11">
        <v>42991</v>
      </c>
      <c r="I10397" s="10">
        <v>2018</v>
      </c>
      <c r="J10397" s="10" t="s">
        <v>37581</v>
      </c>
      <c r="K10397" s="10">
        <v>176</v>
      </c>
      <c r="L10397" s="10" t="s">
        <v>45741</v>
      </c>
      <c r="M10397" s="10">
        <v>1</v>
      </c>
      <c r="N10397" s="10"/>
      <c r="O10397" s="10"/>
      <c r="P10397" s="10" t="s">
        <v>45742</v>
      </c>
      <c r="Q10397" s="10" t="s">
        <v>7069</v>
      </c>
      <c r="R10397" s="10" t="s">
        <v>45743</v>
      </c>
      <c r="S10397" s="10" t="s">
        <v>53</v>
      </c>
      <c r="T10397" s="10" t="s">
        <v>54</v>
      </c>
    </row>
    <row r="10398" spans="1:20" ht="14.5" x14ac:dyDescent="0.35">
      <c r="A10398" s="10" t="s">
        <v>45744</v>
      </c>
      <c r="B10398" s="10" t="str">
        <f>"9780823276172"</f>
        <v>9780823276172</v>
      </c>
      <c r="C10398" s="10" t="str">
        <f>"9780823276196"</f>
        <v>9780823276196</v>
      </c>
      <c r="D10398" s="10" t="s">
        <v>34735</v>
      </c>
      <c r="E10398" s="10" t="s">
        <v>34735</v>
      </c>
      <c r="F10398" s="10" t="s">
        <v>70</v>
      </c>
      <c r="G10398" s="10" t="s">
        <v>6317</v>
      </c>
      <c r="H10398" s="11">
        <v>42997</v>
      </c>
      <c r="I10398" s="10">
        <v>2017</v>
      </c>
      <c r="J10398" s="10" t="s">
        <v>34735</v>
      </c>
      <c r="K10398" s="10">
        <v>209</v>
      </c>
      <c r="L10398" s="10" t="s">
        <v>45745</v>
      </c>
      <c r="M10398" s="10">
        <v>1</v>
      </c>
      <c r="N10398" s="10"/>
      <c r="O10398" s="10"/>
      <c r="P10398" s="10"/>
      <c r="Q10398" s="10">
        <v>378.19820972999997</v>
      </c>
      <c r="R10398" s="10" t="s">
        <v>45746</v>
      </c>
      <c r="S10398" s="10" t="s">
        <v>53</v>
      </c>
      <c r="T10398" s="10" t="s">
        <v>54</v>
      </c>
    </row>
    <row r="10399" spans="1:20" ht="14.5" x14ac:dyDescent="0.35">
      <c r="A10399" s="10" t="s">
        <v>45747</v>
      </c>
      <c r="B10399" s="10" t="str">
        <f>"9783319608990"</f>
        <v>9783319608990</v>
      </c>
      <c r="C10399" s="10" t="str">
        <f>"9783319609003"</f>
        <v>9783319609003</v>
      </c>
      <c r="D10399" s="10" t="s">
        <v>11249</v>
      </c>
      <c r="E10399" s="10" t="s">
        <v>26623</v>
      </c>
      <c r="F10399" s="10" t="s">
        <v>26624</v>
      </c>
      <c r="G10399" s="10" t="s">
        <v>16676</v>
      </c>
      <c r="H10399" s="11">
        <v>42997</v>
      </c>
      <c r="I10399" s="10">
        <v>2018</v>
      </c>
      <c r="J10399" s="10" t="s">
        <v>26623</v>
      </c>
      <c r="K10399" s="10">
        <v>103</v>
      </c>
      <c r="L10399" s="10" t="s">
        <v>45748</v>
      </c>
      <c r="M10399" s="10">
        <v>1</v>
      </c>
      <c r="N10399" s="10" t="s">
        <v>39548</v>
      </c>
      <c r="O10399" s="10"/>
      <c r="P10399" s="10" t="s">
        <v>39549</v>
      </c>
      <c r="Q10399" s="10">
        <v>305.56208352094097</v>
      </c>
      <c r="R10399" s="10" t="s">
        <v>45749</v>
      </c>
      <c r="S10399" s="10" t="s">
        <v>53</v>
      </c>
      <c r="T10399" s="10" t="s">
        <v>6363</v>
      </c>
    </row>
    <row r="10400" spans="1:20" ht="14.5" x14ac:dyDescent="0.35">
      <c r="A10400" s="10" t="s">
        <v>45750</v>
      </c>
      <c r="B10400" s="10" t="str">
        <f>"9781416624448"</f>
        <v>9781416624448</v>
      </c>
      <c r="C10400" s="10" t="str">
        <f>"9781416624462"</f>
        <v>9781416624462</v>
      </c>
      <c r="D10400" s="10" t="s">
        <v>10014</v>
      </c>
      <c r="E10400" s="10" t="s">
        <v>10015</v>
      </c>
      <c r="F10400" s="10" t="s">
        <v>201</v>
      </c>
      <c r="G10400" s="10" t="s">
        <v>6317</v>
      </c>
      <c r="H10400" s="11">
        <v>42977</v>
      </c>
      <c r="I10400" s="10">
        <v>2017</v>
      </c>
      <c r="J10400" s="10" t="s">
        <v>10015</v>
      </c>
      <c r="K10400" s="10">
        <v>326</v>
      </c>
      <c r="L10400" s="10" t="s">
        <v>13295</v>
      </c>
      <c r="M10400" s="10">
        <v>1</v>
      </c>
      <c r="N10400" s="10"/>
      <c r="O10400" s="10"/>
      <c r="P10400" s="10"/>
      <c r="Q10400" s="10"/>
      <c r="R10400" s="10"/>
      <c r="S10400" s="10" t="s">
        <v>53</v>
      </c>
      <c r="T10400" s="10" t="s">
        <v>54</v>
      </c>
    </row>
    <row r="10401" spans="1:20" ht="14.5" x14ac:dyDescent="0.35">
      <c r="A10401" s="10" t="s">
        <v>45751</v>
      </c>
      <c r="B10401" s="10" t="str">
        <f>"9781472955050"</f>
        <v>9781472955050</v>
      </c>
      <c r="C10401" s="10" t="str">
        <f>"9781472955043"</f>
        <v>9781472955043</v>
      </c>
      <c r="D10401" s="10" t="s">
        <v>13959</v>
      </c>
      <c r="E10401" s="10" t="s">
        <v>13960</v>
      </c>
      <c r="F10401" s="10" t="s">
        <v>139</v>
      </c>
      <c r="G10401" s="10" t="s">
        <v>6352</v>
      </c>
      <c r="H10401" s="11">
        <v>43041</v>
      </c>
      <c r="I10401" s="10">
        <v>2017</v>
      </c>
      <c r="J10401" s="10" t="s">
        <v>25203</v>
      </c>
      <c r="K10401" s="10">
        <v>98</v>
      </c>
      <c r="L10401" s="10" t="s">
        <v>45752</v>
      </c>
      <c r="M10401" s="10">
        <v>1</v>
      </c>
      <c r="N10401" s="10"/>
      <c r="O10401" s="10"/>
      <c r="P10401" s="10" t="s">
        <v>45753</v>
      </c>
      <c r="Q10401" s="10">
        <v>372.37404409409999</v>
      </c>
      <c r="R10401" s="10" t="s">
        <v>10397</v>
      </c>
      <c r="S10401" s="10" t="s">
        <v>53</v>
      </c>
      <c r="T10401" s="10" t="s">
        <v>6472</v>
      </c>
    </row>
    <row r="10402" spans="1:20" ht="14.5" x14ac:dyDescent="0.35">
      <c r="A10402" s="10" t="s">
        <v>45754</v>
      </c>
      <c r="B10402" s="10" t="str">
        <f>"9781472954565"</f>
        <v>9781472954565</v>
      </c>
      <c r="C10402" s="10" t="str">
        <f>"9781472954558"</f>
        <v>9781472954558</v>
      </c>
      <c r="D10402" s="10" t="s">
        <v>13959</v>
      </c>
      <c r="E10402" s="10" t="s">
        <v>13960</v>
      </c>
      <c r="F10402" s="10" t="s">
        <v>139</v>
      </c>
      <c r="G10402" s="10" t="s">
        <v>6352</v>
      </c>
      <c r="H10402" s="11">
        <v>43041</v>
      </c>
      <c r="I10402" s="10">
        <v>2017</v>
      </c>
      <c r="J10402" s="10" t="s">
        <v>25203</v>
      </c>
      <c r="K10402" s="10">
        <v>98</v>
      </c>
      <c r="L10402" s="10" t="s">
        <v>45752</v>
      </c>
      <c r="M10402" s="10">
        <v>1</v>
      </c>
      <c r="N10402" s="10"/>
      <c r="O10402" s="10"/>
      <c r="P10402" s="10" t="s">
        <v>45755</v>
      </c>
      <c r="Q10402" s="10">
        <v>372.21</v>
      </c>
      <c r="R10402" s="10" t="s">
        <v>18412</v>
      </c>
      <c r="S10402" s="10" t="s">
        <v>53</v>
      </c>
      <c r="T10402" s="10" t="s">
        <v>28442</v>
      </c>
    </row>
    <row r="10403" spans="1:20" ht="14.5" x14ac:dyDescent="0.35">
      <c r="A10403" s="10" t="s">
        <v>45756</v>
      </c>
      <c r="B10403" s="10" t="str">
        <f>"9781472954596"</f>
        <v>9781472954596</v>
      </c>
      <c r="C10403" s="10" t="str">
        <f>"9781472954589"</f>
        <v>9781472954589</v>
      </c>
      <c r="D10403" s="10" t="s">
        <v>13959</v>
      </c>
      <c r="E10403" s="10" t="s">
        <v>13960</v>
      </c>
      <c r="F10403" s="10" t="s">
        <v>139</v>
      </c>
      <c r="G10403" s="10" t="s">
        <v>6352</v>
      </c>
      <c r="H10403" s="11">
        <v>43041</v>
      </c>
      <c r="I10403" s="10">
        <v>2017</v>
      </c>
      <c r="J10403" s="10" t="s">
        <v>25203</v>
      </c>
      <c r="K10403" s="10">
        <v>146</v>
      </c>
      <c r="L10403" s="10" t="s">
        <v>45752</v>
      </c>
      <c r="M10403" s="10">
        <v>1</v>
      </c>
      <c r="N10403" s="10"/>
      <c r="O10403" s="10"/>
      <c r="P10403" s="10" t="s">
        <v>45757</v>
      </c>
      <c r="Q10403" s="10">
        <v>372.21</v>
      </c>
      <c r="R10403" s="10" t="s">
        <v>24042</v>
      </c>
      <c r="S10403" s="10" t="s">
        <v>53</v>
      </c>
      <c r="T10403" s="10" t="s">
        <v>54</v>
      </c>
    </row>
    <row r="10404" spans="1:20" ht="14.5" x14ac:dyDescent="0.35">
      <c r="A10404" s="10" t="s">
        <v>45758</v>
      </c>
      <c r="B10404" s="10" t="str">
        <f>"9781945349133"</f>
        <v>9781945349133</v>
      </c>
      <c r="C10404" s="10" t="str">
        <f>"9781945349140"</f>
        <v>9781945349140</v>
      </c>
      <c r="D10404" s="10" t="s">
        <v>37580</v>
      </c>
      <c r="E10404" s="10" t="s">
        <v>37581</v>
      </c>
      <c r="F10404" s="10" t="s">
        <v>37623</v>
      </c>
      <c r="G10404" s="10" t="s">
        <v>6317</v>
      </c>
      <c r="H10404" s="11">
        <v>43000</v>
      </c>
      <c r="I10404" s="10">
        <v>2018</v>
      </c>
      <c r="J10404" s="10" t="s">
        <v>37581</v>
      </c>
      <c r="K10404" s="10">
        <v>176</v>
      </c>
      <c r="L10404" s="10" t="s">
        <v>45759</v>
      </c>
      <c r="M10404" s="10">
        <v>1</v>
      </c>
      <c r="N10404" s="10"/>
      <c r="O10404" s="10"/>
      <c r="P10404" s="10"/>
      <c r="Q10404" s="10"/>
      <c r="R10404" s="10" t="s">
        <v>45760</v>
      </c>
      <c r="S10404" s="10" t="s">
        <v>53</v>
      </c>
      <c r="T10404" s="10" t="s">
        <v>54</v>
      </c>
    </row>
    <row r="10405" spans="1:20" ht="14.5" x14ac:dyDescent="0.35">
      <c r="A10405" s="10" t="s">
        <v>45761</v>
      </c>
      <c r="B10405" s="10" t="str">
        <f>"9781119438861"</f>
        <v>9781119438861</v>
      </c>
      <c r="C10405" s="10" t="str">
        <f>"9781119438892"</f>
        <v>9781119438892</v>
      </c>
      <c r="D10405" s="10" t="s">
        <v>6322</v>
      </c>
      <c r="E10405" s="10" t="s">
        <v>6323</v>
      </c>
      <c r="F10405" s="10" t="s">
        <v>4423</v>
      </c>
      <c r="G10405" s="10" t="s">
        <v>6317</v>
      </c>
      <c r="H10405" s="11">
        <v>43024</v>
      </c>
      <c r="I10405" s="10">
        <v>2017</v>
      </c>
      <c r="J10405" s="10" t="s">
        <v>6323</v>
      </c>
      <c r="K10405" s="10">
        <v>179</v>
      </c>
      <c r="L10405" s="10" t="s">
        <v>45762</v>
      </c>
      <c r="M10405" s="10">
        <v>1</v>
      </c>
      <c r="N10405" s="10"/>
      <c r="O10405" s="10"/>
      <c r="P10405" s="10" t="s">
        <v>45763</v>
      </c>
      <c r="Q10405" s="10"/>
      <c r="R10405" s="10" t="s">
        <v>45764</v>
      </c>
      <c r="S10405" s="10" t="s">
        <v>53</v>
      </c>
      <c r="T10405" s="10" t="s">
        <v>6660</v>
      </c>
    </row>
    <row r="10406" spans="1:20" ht="14.5" x14ac:dyDescent="0.35">
      <c r="A10406" s="10" t="s">
        <v>45765</v>
      </c>
      <c r="B10406" s="10" t="str">
        <f>"9789463511117"</f>
        <v>9789463511117</v>
      </c>
      <c r="C10406" s="10" t="str">
        <f>"9789463511131"</f>
        <v>9789463511131</v>
      </c>
      <c r="D10406" s="10" t="s">
        <v>8564</v>
      </c>
      <c r="E10406" s="10" t="s">
        <v>13067</v>
      </c>
      <c r="F10406" s="10" t="s">
        <v>33250</v>
      </c>
      <c r="G10406" s="10" t="s">
        <v>9233</v>
      </c>
      <c r="H10406" s="11">
        <v>42936</v>
      </c>
      <c r="I10406" s="10">
        <v>2017</v>
      </c>
      <c r="J10406" s="10" t="s">
        <v>13067</v>
      </c>
      <c r="K10406" s="10">
        <v>190</v>
      </c>
      <c r="L10406" s="10" t="s">
        <v>45766</v>
      </c>
      <c r="M10406" s="10">
        <v>1</v>
      </c>
      <c r="N10406" s="10" t="s">
        <v>33751</v>
      </c>
      <c r="O10406" s="10">
        <v>58</v>
      </c>
      <c r="P10406" s="10" t="s">
        <v>19534</v>
      </c>
      <c r="Q10406" s="10">
        <v>370</v>
      </c>
      <c r="R10406" s="10" t="s">
        <v>13858</v>
      </c>
      <c r="S10406" s="10" t="s">
        <v>53</v>
      </c>
      <c r="T10406" s="10" t="s">
        <v>54</v>
      </c>
    </row>
    <row r="10407" spans="1:20" ht="14.5" x14ac:dyDescent="0.35">
      <c r="A10407" s="10" t="s">
        <v>45767</v>
      </c>
      <c r="B10407" s="10" t="str">
        <f>"9780415789233"</f>
        <v>9780415789233</v>
      </c>
      <c r="C10407" s="10" t="str">
        <f>"9781351839419"</f>
        <v>9781351839419</v>
      </c>
      <c r="D10407" s="10" t="s">
        <v>6350</v>
      </c>
      <c r="E10407" s="10" t="s">
        <v>6351</v>
      </c>
      <c r="F10407" s="10" t="s">
        <v>748</v>
      </c>
      <c r="G10407" s="10" t="s">
        <v>6352</v>
      </c>
      <c r="H10407" s="11">
        <v>43005</v>
      </c>
      <c r="I10407" s="10">
        <v>1976</v>
      </c>
      <c r="J10407" s="10" t="s">
        <v>6351</v>
      </c>
      <c r="K10407" s="10">
        <v>354</v>
      </c>
      <c r="L10407" s="10" t="s">
        <v>45768</v>
      </c>
      <c r="M10407" s="10">
        <v>1</v>
      </c>
      <c r="N10407" s="10" t="s">
        <v>45769</v>
      </c>
      <c r="O10407" s="10"/>
      <c r="P10407" s="10" t="s">
        <v>45770</v>
      </c>
      <c r="Q10407" s="10">
        <v>370.15230000000003</v>
      </c>
      <c r="R10407" s="10" t="s">
        <v>6832</v>
      </c>
      <c r="S10407" s="10" t="s">
        <v>53</v>
      </c>
      <c r="T10407" s="10" t="s">
        <v>54</v>
      </c>
    </row>
    <row r="10408" spans="1:20" ht="14.5" x14ac:dyDescent="0.35">
      <c r="A10408" s="10" t="s">
        <v>45771</v>
      </c>
      <c r="B10408" s="10" t="str">
        <f>"9781138293816"</f>
        <v>9781138293816</v>
      </c>
      <c r="C10408" s="10" t="str">
        <f>"9781351866460"</f>
        <v>9781351866460</v>
      </c>
      <c r="D10408" s="10" t="s">
        <v>6350</v>
      </c>
      <c r="E10408" s="10" t="s">
        <v>6351</v>
      </c>
      <c r="F10408" s="10" t="s">
        <v>3967</v>
      </c>
      <c r="G10408" s="10" t="s">
        <v>6352</v>
      </c>
      <c r="H10408" s="11">
        <v>32874</v>
      </c>
      <c r="I10408" s="10">
        <v>1990</v>
      </c>
      <c r="J10408" s="10" t="s">
        <v>6353</v>
      </c>
      <c r="K10408" s="10">
        <v>255</v>
      </c>
      <c r="L10408" s="10" t="s">
        <v>45772</v>
      </c>
      <c r="M10408" s="10">
        <v>1</v>
      </c>
      <c r="N10408" s="10" t="s">
        <v>45769</v>
      </c>
      <c r="O10408" s="10"/>
      <c r="P10408" s="10" t="s">
        <v>45773</v>
      </c>
      <c r="Q10408" s="10">
        <v>371.94</v>
      </c>
      <c r="R10408" s="10" t="s">
        <v>7684</v>
      </c>
      <c r="S10408" s="10" t="s">
        <v>53</v>
      </c>
      <c r="T10408" s="10" t="s">
        <v>6640</v>
      </c>
    </row>
    <row r="10409" spans="1:20" ht="14.5" x14ac:dyDescent="0.35">
      <c r="A10409" s="10" t="s">
        <v>45774</v>
      </c>
      <c r="B10409" s="10" t="str">
        <f>"9780415791281"</f>
        <v>9780415791281</v>
      </c>
      <c r="C10409" s="10" t="str">
        <f>"9781351815338"</f>
        <v>9781351815338</v>
      </c>
      <c r="D10409" s="10" t="s">
        <v>6350</v>
      </c>
      <c r="E10409" s="10" t="s">
        <v>6351</v>
      </c>
      <c r="F10409" s="10" t="s">
        <v>748</v>
      </c>
      <c r="G10409" s="10" t="s">
        <v>6352</v>
      </c>
      <c r="H10409" s="11">
        <v>43005</v>
      </c>
      <c r="I10409" s="10">
        <v>1973</v>
      </c>
      <c r="J10409" s="10" t="s">
        <v>6351</v>
      </c>
      <c r="K10409" s="10">
        <v>384</v>
      </c>
      <c r="L10409" s="10" t="s">
        <v>45768</v>
      </c>
      <c r="M10409" s="10">
        <v>1</v>
      </c>
      <c r="N10409" s="10" t="s">
        <v>45769</v>
      </c>
      <c r="O10409" s="10"/>
      <c r="P10409" s="10" t="s">
        <v>45775</v>
      </c>
      <c r="Q10409" s="10">
        <v>370.15230000000003</v>
      </c>
      <c r="R10409" s="10" t="s">
        <v>6832</v>
      </c>
      <c r="S10409" s="10" t="s">
        <v>53</v>
      </c>
      <c r="T10409" s="10" t="s">
        <v>54</v>
      </c>
    </row>
    <row r="10410" spans="1:20" ht="14.5" x14ac:dyDescent="0.35">
      <c r="A10410" s="10" t="s">
        <v>45776</v>
      </c>
      <c r="B10410" s="10" t="str">
        <f>"9780415786362"</f>
        <v>9780415786362</v>
      </c>
      <c r="C10410" s="10" t="str">
        <f>"9781351854177"</f>
        <v>9781351854177</v>
      </c>
      <c r="D10410" s="10" t="s">
        <v>6350</v>
      </c>
      <c r="E10410" s="10" t="s">
        <v>6351</v>
      </c>
      <c r="F10410" s="10" t="s">
        <v>748</v>
      </c>
      <c r="G10410" s="10" t="s">
        <v>6352</v>
      </c>
      <c r="H10410" s="11">
        <v>43005</v>
      </c>
      <c r="I10410" s="10">
        <v>1966</v>
      </c>
      <c r="J10410" s="10" t="s">
        <v>6351</v>
      </c>
      <c r="K10410" s="10">
        <v>111</v>
      </c>
      <c r="L10410" s="10" t="s">
        <v>45777</v>
      </c>
      <c r="M10410" s="10">
        <v>1</v>
      </c>
      <c r="N10410" s="10" t="s">
        <v>45769</v>
      </c>
      <c r="O10410" s="10"/>
      <c r="P10410" s="10" t="s">
        <v>45778</v>
      </c>
      <c r="Q10410" s="10">
        <v>370.15</v>
      </c>
      <c r="R10410" s="10" t="s">
        <v>10397</v>
      </c>
      <c r="S10410" s="10" t="s">
        <v>53</v>
      </c>
      <c r="T10410" s="10" t="s">
        <v>54</v>
      </c>
    </row>
    <row r="10411" spans="1:20" ht="14.5" x14ac:dyDescent="0.35">
      <c r="A10411" s="10" t="s">
        <v>45779</v>
      </c>
      <c r="B10411" s="10" t="str">
        <f>"9781138630529"</f>
        <v>9781138630529</v>
      </c>
      <c r="C10411" s="10" t="str">
        <f>"9781351806404"</f>
        <v>9781351806404</v>
      </c>
      <c r="D10411" s="10" t="s">
        <v>6350</v>
      </c>
      <c r="E10411" s="10" t="s">
        <v>6351</v>
      </c>
      <c r="F10411" s="10" t="s">
        <v>3967</v>
      </c>
      <c r="G10411" s="10" t="s">
        <v>6352</v>
      </c>
      <c r="H10411" s="11">
        <v>28307</v>
      </c>
      <c r="I10411" s="10">
        <v>1977</v>
      </c>
      <c r="J10411" s="10" t="s">
        <v>6353</v>
      </c>
      <c r="K10411" s="10">
        <v>344</v>
      </c>
      <c r="L10411" s="10" t="s">
        <v>45780</v>
      </c>
      <c r="M10411" s="10">
        <v>1</v>
      </c>
      <c r="N10411" s="10" t="s">
        <v>45769</v>
      </c>
      <c r="O10411" s="10"/>
      <c r="P10411" s="10" t="s">
        <v>45781</v>
      </c>
      <c r="Q10411" s="10">
        <v>370.15</v>
      </c>
      <c r="R10411" s="10" t="s">
        <v>19383</v>
      </c>
      <c r="S10411" s="10" t="s">
        <v>53</v>
      </c>
      <c r="T10411" s="10" t="s">
        <v>54</v>
      </c>
    </row>
    <row r="10412" spans="1:20" ht="14.5" x14ac:dyDescent="0.35">
      <c r="A10412" s="10" t="s">
        <v>45782</v>
      </c>
      <c r="B10412" s="10" t="str">
        <f>"9781564843951"</f>
        <v>9781564843951</v>
      </c>
      <c r="C10412" s="10" t="str">
        <f>"9781564846501"</f>
        <v>9781564846501</v>
      </c>
      <c r="D10412" s="10" t="s">
        <v>9533</v>
      </c>
      <c r="E10412" s="10" t="s">
        <v>45783</v>
      </c>
      <c r="F10412" s="10" t="s">
        <v>4092</v>
      </c>
      <c r="G10412" s="10" t="s">
        <v>6317</v>
      </c>
      <c r="H10412" s="11">
        <v>42916</v>
      </c>
      <c r="I10412" s="10">
        <v>2017</v>
      </c>
      <c r="J10412" s="10" t="s">
        <v>45783</v>
      </c>
      <c r="K10412" s="10">
        <v>75</v>
      </c>
      <c r="L10412" s="10" t="s">
        <v>45784</v>
      </c>
      <c r="M10412" s="10">
        <v>1</v>
      </c>
      <c r="N10412" s="10"/>
      <c r="O10412" s="10"/>
      <c r="P10412" s="10" t="s">
        <v>45785</v>
      </c>
      <c r="Q10412" s="10">
        <v>371.33</v>
      </c>
      <c r="R10412" s="10" t="s">
        <v>45786</v>
      </c>
      <c r="S10412" s="10" t="s">
        <v>53</v>
      </c>
      <c r="T10412" s="10" t="s">
        <v>54</v>
      </c>
    </row>
    <row r="10413" spans="1:20" ht="14.5" x14ac:dyDescent="0.35">
      <c r="A10413" s="10" t="s">
        <v>45787</v>
      </c>
      <c r="B10413" s="10" t="str">
        <f>"9781474283694"</f>
        <v>9781474283694</v>
      </c>
      <c r="C10413" s="10" t="str">
        <f>"9781474283717"</f>
        <v>9781474283717</v>
      </c>
      <c r="D10413" s="10" t="s">
        <v>13959</v>
      </c>
      <c r="E10413" s="10" t="s">
        <v>13960</v>
      </c>
      <c r="F10413" s="10" t="s">
        <v>139</v>
      </c>
      <c r="G10413" s="10" t="s">
        <v>6352</v>
      </c>
      <c r="H10413" s="11">
        <v>43055</v>
      </c>
      <c r="I10413" s="10">
        <v>2017</v>
      </c>
      <c r="J10413" s="10" t="s">
        <v>14057</v>
      </c>
      <c r="K10413" s="10">
        <v>264</v>
      </c>
      <c r="L10413" s="10" t="s">
        <v>45788</v>
      </c>
      <c r="M10413" s="10">
        <v>1</v>
      </c>
      <c r="N10413" s="10" t="s">
        <v>45789</v>
      </c>
      <c r="O10413" s="10"/>
      <c r="P10413" s="10" t="s">
        <v>45790</v>
      </c>
      <c r="Q10413" s="10">
        <v>370.15199999999999</v>
      </c>
      <c r="R10413" s="10" t="s">
        <v>45791</v>
      </c>
      <c r="S10413" s="10" t="s">
        <v>53</v>
      </c>
      <c r="T10413" s="10" t="s">
        <v>54</v>
      </c>
    </row>
    <row r="10414" spans="1:20" ht="14.5" x14ac:dyDescent="0.35">
      <c r="A10414" s="10" t="s">
        <v>45792</v>
      </c>
      <c r="B10414" s="10" t="str">
        <f>"9781474243568"</f>
        <v>9781474243568</v>
      </c>
      <c r="C10414" s="10" t="str">
        <f>"9781474243599"</f>
        <v>9781474243599</v>
      </c>
      <c r="D10414" s="10" t="s">
        <v>13959</v>
      </c>
      <c r="E10414" s="10" t="s">
        <v>13960</v>
      </c>
      <c r="F10414" s="10" t="s">
        <v>139</v>
      </c>
      <c r="G10414" s="10" t="s">
        <v>6352</v>
      </c>
      <c r="H10414" s="11">
        <v>43055</v>
      </c>
      <c r="I10414" s="10">
        <v>2017</v>
      </c>
      <c r="J10414" s="10" t="s">
        <v>14057</v>
      </c>
      <c r="K10414" s="10">
        <v>197</v>
      </c>
      <c r="L10414" s="10" t="s">
        <v>45793</v>
      </c>
      <c r="M10414" s="10">
        <v>1</v>
      </c>
      <c r="N10414" s="10"/>
      <c r="O10414" s="10"/>
      <c r="P10414" s="10" t="s">
        <v>45794</v>
      </c>
      <c r="Q10414" s="10">
        <v>370.72</v>
      </c>
      <c r="R10414" s="10" t="s">
        <v>30801</v>
      </c>
      <c r="S10414" s="10" t="s">
        <v>53</v>
      </c>
      <c r="T10414" s="10" t="s">
        <v>54</v>
      </c>
    </row>
    <row r="10415" spans="1:20" ht="14.5" x14ac:dyDescent="0.35">
      <c r="A10415" s="10" t="s">
        <v>45795</v>
      </c>
      <c r="B10415" s="10" t="str">
        <f>"9781942496175"</f>
        <v>9781942496175</v>
      </c>
      <c r="C10415" s="10" t="str">
        <f>"9781942496182"</f>
        <v>9781942496182</v>
      </c>
      <c r="D10415" s="10" t="s">
        <v>37580</v>
      </c>
      <c r="E10415" s="10" t="s">
        <v>37581</v>
      </c>
      <c r="F10415" s="10" t="s">
        <v>37623</v>
      </c>
      <c r="G10415" s="10" t="s">
        <v>6317</v>
      </c>
      <c r="H10415" s="11">
        <v>43000</v>
      </c>
      <c r="I10415" s="10">
        <v>2018</v>
      </c>
      <c r="J10415" s="10" t="s">
        <v>37581</v>
      </c>
      <c r="K10415" s="10">
        <v>320</v>
      </c>
      <c r="L10415" s="10" t="s">
        <v>45796</v>
      </c>
      <c r="M10415" s="10">
        <v>1</v>
      </c>
      <c r="N10415" s="10"/>
      <c r="O10415" s="10"/>
      <c r="P10415" s="10"/>
      <c r="Q10415" s="10"/>
      <c r="R10415" s="10" t="s">
        <v>45797</v>
      </c>
      <c r="S10415" s="10" t="s">
        <v>53</v>
      </c>
      <c r="T10415" s="10" t="s">
        <v>54</v>
      </c>
    </row>
    <row r="10416" spans="1:20" ht="14.5" x14ac:dyDescent="0.35">
      <c r="A10416" s="10" t="s">
        <v>45798</v>
      </c>
      <c r="B10416" s="10" t="str">
        <f>"9781412966139"</f>
        <v>9781412966139</v>
      </c>
      <c r="C10416" s="10" t="str">
        <f>"9781452212814"</f>
        <v>9781452212814</v>
      </c>
      <c r="D10416" s="10" t="s">
        <v>22210</v>
      </c>
      <c r="E10416" s="10" t="s">
        <v>22211</v>
      </c>
      <c r="F10416" s="10" t="s">
        <v>333</v>
      </c>
      <c r="G10416" s="10" t="s">
        <v>6317</v>
      </c>
      <c r="H10416" s="11">
        <v>39981</v>
      </c>
      <c r="I10416" s="10">
        <v>2009</v>
      </c>
      <c r="J10416" s="10" t="s">
        <v>22211</v>
      </c>
      <c r="K10416" s="10">
        <v>241</v>
      </c>
      <c r="L10416" s="10" t="s">
        <v>26270</v>
      </c>
      <c r="M10416" s="10">
        <v>2</v>
      </c>
      <c r="N10416" s="10"/>
      <c r="O10416" s="10"/>
      <c r="P10416" s="10"/>
      <c r="Q10416" s="10">
        <v>371.10199999999998</v>
      </c>
      <c r="R10416" s="10"/>
      <c r="S10416" s="10" t="s">
        <v>53</v>
      </c>
      <c r="T10416" s="10" t="s">
        <v>54</v>
      </c>
    </row>
    <row r="10417" spans="1:20" ht="14.5" x14ac:dyDescent="0.35">
      <c r="A10417" s="10" t="s">
        <v>45799</v>
      </c>
      <c r="B10417" s="10" t="str">
        <f>"9781412915144"</f>
        <v>9781412915144</v>
      </c>
      <c r="C10417" s="10" t="str">
        <f>"9781483363714"</f>
        <v>9781483363714</v>
      </c>
      <c r="D10417" s="10" t="s">
        <v>22210</v>
      </c>
      <c r="E10417" s="10" t="s">
        <v>22211</v>
      </c>
      <c r="F10417" s="10" t="s">
        <v>333</v>
      </c>
      <c r="G10417" s="10" t="s">
        <v>6317</v>
      </c>
      <c r="H10417" s="11">
        <v>38455</v>
      </c>
      <c r="I10417" s="10">
        <v>2005</v>
      </c>
      <c r="J10417" s="10" t="s">
        <v>22211</v>
      </c>
      <c r="K10417" s="10">
        <v>145</v>
      </c>
      <c r="L10417" s="10" t="s">
        <v>45800</v>
      </c>
      <c r="M10417" s="10">
        <v>1</v>
      </c>
      <c r="N10417" s="10"/>
      <c r="O10417" s="10"/>
      <c r="P10417" s="10" t="s">
        <v>45801</v>
      </c>
      <c r="Q10417" s="10" t="s">
        <v>8587</v>
      </c>
      <c r="R10417" s="10"/>
      <c r="S10417" s="10" t="s">
        <v>53</v>
      </c>
      <c r="T10417" s="10" t="s">
        <v>54</v>
      </c>
    </row>
    <row r="10418" spans="1:20" ht="14.5" x14ac:dyDescent="0.35">
      <c r="A10418" s="10" t="s">
        <v>45802</v>
      </c>
      <c r="B10418" s="10" t="str">
        <f>"9781138284135"</f>
        <v>9781138284135</v>
      </c>
      <c r="C10418" s="10" t="str">
        <f>"9781351980043"</f>
        <v>9781351980043</v>
      </c>
      <c r="D10418" s="10" t="s">
        <v>6350</v>
      </c>
      <c r="E10418" s="10" t="s">
        <v>6351</v>
      </c>
      <c r="F10418" s="10" t="s">
        <v>748</v>
      </c>
      <c r="G10418" s="10" t="s">
        <v>6352</v>
      </c>
      <c r="H10418" s="11">
        <v>43005</v>
      </c>
      <c r="I10418" s="10">
        <v>1989</v>
      </c>
      <c r="J10418" s="10" t="s">
        <v>6351</v>
      </c>
      <c r="K10418" s="10">
        <v>200</v>
      </c>
      <c r="L10418" s="10" t="s">
        <v>45803</v>
      </c>
      <c r="M10418" s="10">
        <v>1</v>
      </c>
      <c r="N10418" s="10" t="s">
        <v>45769</v>
      </c>
      <c r="O10418" s="10"/>
      <c r="P10418" s="10" t="s">
        <v>45804</v>
      </c>
      <c r="Q10418" s="10">
        <v>370.15800000000002</v>
      </c>
      <c r="R10418" s="10" t="s">
        <v>45805</v>
      </c>
      <c r="S10418" s="10" t="s">
        <v>53</v>
      </c>
      <c r="T10418" s="10" t="s">
        <v>54</v>
      </c>
    </row>
    <row r="10419" spans="1:20" ht="14.5" x14ac:dyDescent="0.35">
      <c r="A10419" s="10" t="s">
        <v>45806</v>
      </c>
      <c r="B10419" s="10" t="str">
        <f>"9783319563145"</f>
        <v>9783319563145</v>
      </c>
      <c r="C10419" s="10" t="str">
        <f>"9783319563152"</f>
        <v>9783319563152</v>
      </c>
      <c r="D10419" s="10" t="s">
        <v>11249</v>
      </c>
      <c r="E10419" s="10" t="s">
        <v>26623</v>
      </c>
      <c r="F10419" s="10" t="s">
        <v>26624</v>
      </c>
      <c r="G10419" s="10" t="s">
        <v>16676</v>
      </c>
      <c r="H10419" s="11">
        <v>43006</v>
      </c>
      <c r="I10419" s="10">
        <v>2018</v>
      </c>
      <c r="J10419" s="10" t="s">
        <v>26623</v>
      </c>
      <c r="K10419" s="10">
        <v>201</v>
      </c>
      <c r="L10419" s="10" t="s">
        <v>45807</v>
      </c>
      <c r="M10419" s="10">
        <v>1</v>
      </c>
      <c r="N10419" s="10"/>
      <c r="O10419" s="10"/>
      <c r="P10419" s="10" t="s">
        <v>11275</v>
      </c>
      <c r="Q10419" s="10">
        <v>370.11500000000001</v>
      </c>
      <c r="R10419" s="10" t="s">
        <v>6558</v>
      </c>
      <c r="S10419" s="10" t="s">
        <v>53</v>
      </c>
      <c r="T10419" s="10" t="s">
        <v>54</v>
      </c>
    </row>
    <row r="10420" spans="1:20" ht="14.5" x14ac:dyDescent="0.35">
      <c r="A10420" s="10" t="s">
        <v>45808</v>
      </c>
      <c r="B10420" s="10" t="str">
        <f>"9781138279889"</f>
        <v>9781138279889</v>
      </c>
      <c r="C10420" s="10" t="str">
        <f>"9781351995801"</f>
        <v>9781351995801</v>
      </c>
      <c r="D10420" s="10" t="s">
        <v>6350</v>
      </c>
      <c r="E10420" s="10" t="s">
        <v>6351</v>
      </c>
      <c r="F10420" s="10" t="s">
        <v>3967</v>
      </c>
      <c r="G10420" s="10" t="s">
        <v>6352</v>
      </c>
      <c r="H10420" s="11">
        <v>43011</v>
      </c>
      <c r="I10420" s="10">
        <v>2018</v>
      </c>
      <c r="J10420" s="10" t="s">
        <v>6353</v>
      </c>
      <c r="K10420" s="10">
        <v>253</v>
      </c>
      <c r="L10420" s="10" t="s">
        <v>45809</v>
      </c>
      <c r="M10420" s="10">
        <v>1</v>
      </c>
      <c r="N10420" s="10"/>
      <c r="O10420" s="10"/>
      <c r="P10420" s="10" t="s">
        <v>45810</v>
      </c>
      <c r="Q10420" s="10">
        <v>370.1</v>
      </c>
      <c r="R10420" s="10" t="s">
        <v>17321</v>
      </c>
      <c r="S10420" s="10" t="s">
        <v>53</v>
      </c>
      <c r="T10420" s="10" t="s">
        <v>54</v>
      </c>
    </row>
    <row r="10421" spans="1:20" ht="14.5" x14ac:dyDescent="0.35">
      <c r="A10421" s="10" t="s">
        <v>45811</v>
      </c>
      <c r="B10421" s="10" t="str">
        <f>"9781475836967"</f>
        <v>9781475836967</v>
      </c>
      <c r="C10421" s="10" t="str">
        <f>"9781475836974"</f>
        <v>9781475836974</v>
      </c>
      <c r="D10421" s="10" t="s">
        <v>9752</v>
      </c>
      <c r="E10421" s="10" t="s">
        <v>15187</v>
      </c>
      <c r="F10421" s="10" t="s">
        <v>9754</v>
      </c>
      <c r="G10421" s="10" t="s">
        <v>6317</v>
      </c>
      <c r="H10421" s="11">
        <v>42993</v>
      </c>
      <c r="I10421" s="10">
        <v>2017</v>
      </c>
      <c r="J10421" s="10" t="s">
        <v>15187</v>
      </c>
      <c r="K10421" s="10">
        <v>121</v>
      </c>
      <c r="L10421" s="10" t="s">
        <v>40655</v>
      </c>
      <c r="M10421" s="10">
        <v>1</v>
      </c>
      <c r="N10421" s="10"/>
      <c r="O10421" s="10"/>
      <c r="P10421" s="10" t="s">
        <v>45812</v>
      </c>
      <c r="Q10421" s="10">
        <v>371.822</v>
      </c>
      <c r="R10421" s="10" t="s">
        <v>6868</v>
      </c>
      <c r="S10421" s="10" t="s">
        <v>53</v>
      </c>
      <c r="T10421" s="10" t="s">
        <v>54</v>
      </c>
    </row>
    <row r="10422" spans="1:20" ht="14.5" x14ac:dyDescent="0.35">
      <c r="A10422" s="10" t="s">
        <v>45813</v>
      </c>
      <c r="B10422" s="10" t="str">
        <f>"9780990345879"</f>
        <v>9780990345879</v>
      </c>
      <c r="C10422" s="10" t="str">
        <f>"9780990345886"</f>
        <v>9780990345886</v>
      </c>
      <c r="D10422" s="10" t="s">
        <v>37594</v>
      </c>
      <c r="E10422" s="10" t="s">
        <v>37594</v>
      </c>
      <c r="F10422" s="10" t="s">
        <v>37623</v>
      </c>
      <c r="G10422" s="10" t="s">
        <v>6317</v>
      </c>
      <c r="H10422" s="11">
        <v>43014</v>
      </c>
      <c r="I10422" s="10">
        <v>2018</v>
      </c>
      <c r="J10422" s="10" t="s">
        <v>37594</v>
      </c>
      <c r="K10422" s="10">
        <v>232</v>
      </c>
      <c r="L10422" s="10" t="s">
        <v>45814</v>
      </c>
      <c r="M10422" s="10">
        <v>1</v>
      </c>
      <c r="N10422" s="10"/>
      <c r="O10422" s="10"/>
      <c r="P10422" s="10" t="s">
        <v>45815</v>
      </c>
      <c r="Q10422" s="10">
        <v>153.85</v>
      </c>
      <c r="R10422" s="10" t="s">
        <v>13535</v>
      </c>
      <c r="S10422" s="10" t="s">
        <v>53</v>
      </c>
      <c r="T10422" s="10" t="s">
        <v>483</v>
      </c>
    </row>
    <row r="10423" spans="1:20" ht="14.5" x14ac:dyDescent="0.35">
      <c r="A10423" s="10" t="s">
        <v>45816</v>
      </c>
      <c r="B10423" s="10" t="str">
        <f>"9781936764204"</f>
        <v>9781936764204</v>
      </c>
      <c r="C10423" s="10" t="str">
        <f>"9781936764235"</f>
        <v>9781936764235</v>
      </c>
      <c r="D10423" s="10" t="s">
        <v>37580</v>
      </c>
      <c r="E10423" s="10" t="s">
        <v>37581</v>
      </c>
      <c r="F10423" s="10" t="s">
        <v>37623</v>
      </c>
      <c r="G10423" s="10" t="s">
        <v>6317</v>
      </c>
      <c r="H10423" s="11">
        <v>43007</v>
      </c>
      <c r="I10423" s="10">
        <v>2018</v>
      </c>
      <c r="J10423" s="10" t="s">
        <v>37581</v>
      </c>
      <c r="K10423" s="10">
        <v>208</v>
      </c>
      <c r="L10423" s="10" t="s">
        <v>45817</v>
      </c>
      <c r="M10423" s="10">
        <v>1</v>
      </c>
      <c r="N10423" s="10"/>
      <c r="O10423" s="10"/>
      <c r="P10423" s="10" t="s">
        <v>45818</v>
      </c>
      <c r="Q10423" s="10"/>
      <c r="R10423" s="10" t="s">
        <v>45819</v>
      </c>
      <c r="S10423" s="10" t="s">
        <v>53</v>
      </c>
      <c r="T10423" s="10" t="s">
        <v>54</v>
      </c>
    </row>
    <row r="10424" spans="1:20" ht="14.5" x14ac:dyDescent="0.35">
      <c r="A10424" s="10" t="s">
        <v>45820</v>
      </c>
      <c r="B10424" s="10" t="str">
        <f>"9781942496908"</f>
        <v>9781942496908</v>
      </c>
      <c r="C10424" s="10" t="str">
        <f>"9781942496915"</f>
        <v>9781942496915</v>
      </c>
      <c r="D10424" s="10" t="s">
        <v>37580</v>
      </c>
      <c r="E10424" s="10" t="s">
        <v>37581</v>
      </c>
      <c r="F10424" s="10" t="s">
        <v>37623</v>
      </c>
      <c r="G10424" s="10" t="s">
        <v>6317</v>
      </c>
      <c r="H10424" s="11">
        <v>43014</v>
      </c>
      <c r="I10424" s="10">
        <v>2018</v>
      </c>
      <c r="J10424" s="10" t="s">
        <v>37581</v>
      </c>
      <c r="K10424" s="10">
        <v>168</v>
      </c>
      <c r="L10424" s="10" t="s">
        <v>45821</v>
      </c>
      <c r="M10424" s="10">
        <v>1</v>
      </c>
      <c r="N10424" s="10"/>
      <c r="O10424" s="10"/>
      <c r="P10424" s="10" t="s">
        <v>45822</v>
      </c>
      <c r="Q10424" s="10"/>
      <c r="R10424" s="10" t="s">
        <v>45823</v>
      </c>
      <c r="S10424" s="10" t="s">
        <v>53</v>
      </c>
      <c r="T10424" s="10" t="s">
        <v>54</v>
      </c>
    </row>
    <row r="10425" spans="1:20" ht="14.5" x14ac:dyDescent="0.35">
      <c r="A10425" s="10" t="s">
        <v>45824</v>
      </c>
      <c r="B10425" s="10" t="str">
        <f>"9781945349409"</f>
        <v>9781945349409</v>
      </c>
      <c r="C10425" s="10" t="str">
        <f>"9781945349416"</f>
        <v>9781945349416</v>
      </c>
      <c r="D10425" s="10" t="s">
        <v>37580</v>
      </c>
      <c r="E10425" s="10" t="s">
        <v>37581</v>
      </c>
      <c r="F10425" s="10" t="s">
        <v>37623</v>
      </c>
      <c r="G10425" s="10" t="s">
        <v>6317</v>
      </c>
      <c r="H10425" s="11">
        <v>43007</v>
      </c>
      <c r="I10425" s="10">
        <v>2018</v>
      </c>
      <c r="J10425" s="10" t="s">
        <v>37581</v>
      </c>
      <c r="K10425" s="10">
        <v>176</v>
      </c>
      <c r="L10425" s="10" t="s">
        <v>45825</v>
      </c>
      <c r="M10425" s="10">
        <v>1</v>
      </c>
      <c r="N10425" s="10" t="s">
        <v>44310</v>
      </c>
      <c r="O10425" s="10"/>
      <c r="P10425" s="10" t="s">
        <v>45826</v>
      </c>
      <c r="Q10425" s="10"/>
      <c r="R10425" s="10" t="s">
        <v>45827</v>
      </c>
      <c r="S10425" s="10" t="s">
        <v>53</v>
      </c>
      <c r="T10425" s="10" t="s">
        <v>54</v>
      </c>
    </row>
    <row r="10426" spans="1:20" ht="14.5" x14ac:dyDescent="0.35">
      <c r="A10426" s="10" t="s">
        <v>45828</v>
      </c>
      <c r="B10426" s="10" t="str">
        <f>"9781472945082"</f>
        <v>9781472945082</v>
      </c>
      <c r="C10426" s="10" t="str">
        <f>"9781472945105"</f>
        <v>9781472945105</v>
      </c>
      <c r="D10426" s="10" t="s">
        <v>13959</v>
      </c>
      <c r="E10426" s="10" t="s">
        <v>13960</v>
      </c>
      <c r="F10426" s="10" t="s">
        <v>139</v>
      </c>
      <c r="G10426" s="10" t="s">
        <v>6352</v>
      </c>
      <c r="H10426" s="11">
        <v>43013</v>
      </c>
      <c r="I10426" s="10">
        <v>2017</v>
      </c>
      <c r="J10426" s="10" t="s">
        <v>16948</v>
      </c>
      <c r="K10426" s="10">
        <v>176</v>
      </c>
      <c r="L10426" s="10" t="s">
        <v>45829</v>
      </c>
      <c r="M10426" s="10">
        <v>1</v>
      </c>
      <c r="N10426" s="10"/>
      <c r="O10426" s="10"/>
      <c r="P10426" s="10" t="s">
        <v>45830</v>
      </c>
      <c r="Q10426" s="10">
        <v>616.85530749999998</v>
      </c>
      <c r="R10426" s="10" t="s">
        <v>45831</v>
      </c>
      <c r="S10426" s="10" t="s">
        <v>53</v>
      </c>
      <c r="T10426" s="10" t="s">
        <v>10829</v>
      </c>
    </row>
    <row r="10427" spans="1:20" ht="14.5" x14ac:dyDescent="0.35">
      <c r="A10427" s="10" t="s">
        <v>45832</v>
      </c>
      <c r="B10427" s="10" t="str">
        <f>"9781138017894"</f>
        <v>9781138017894</v>
      </c>
      <c r="C10427" s="10" t="str">
        <f>"9781351562539"</f>
        <v>9781351562539</v>
      </c>
      <c r="D10427" s="10" t="s">
        <v>6350</v>
      </c>
      <c r="E10427" s="10" t="s">
        <v>6351</v>
      </c>
      <c r="F10427" s="10" t="s">
        <v>748</v>
      </c>
      <c r="G10427" s="10" t="s">
        <v>6352</v>
      </c>
      <c r="H10427" s="11">
        <v>42226</v>
      </c>
      <c r="I10427" s="10">
        <v>2016</v>
      </c>
      <c r="J10427" s="10" t="s">
        <v>6351</v>
      </c>
      <c r="K10427" s="10">
        <v>351</v>
      </c>
      <c r="L10427" s="10" t="s">
        <v>45833</v>
      </c>
      <c r="M10427" s="10">
        <v>1</v>
      </c>
      <c r="N10427" s="10"/>
      <c r="O10427" s="10"/>
      <c r="P10427" s="10" t="s">
        <v>45834</v>
      </c>
      <c r="Q10427" s="10" t="s">
        <v>7335</v>
      </c>
      <c r="R10427" s="10" t="s">
        <v>23441</v>
      </c>
      <c r="S10427" s="10" t="s">
        <v>53</v>
      </c>
      <c r="T10427" s="10" t="s">
        <v>54</v>
      </c>
    </row>
    <row r="10428" spans="1:20" ht="14.5" x14ac:dyDescent="0.35">
      <c r="A10428" s="10" t="s">
        <v>45835</v>
      </c>
      <c r="B10428" s="10" t="str">
        <f>"9781785927300"</f>
        <v>9781785927300</v>
      </c>
      <c r="C10428" s="10" t="str">
        <f>"9781784504083"</f>
        <v>9781784504083</v>
      </c>
      <c r="D10428" s="10" t="s">
        <v>10516</v>
      </c>
      <c r="E10428" s="10" t="s">
        <v>10516</v>
      </c>
      <c r="F10428" s="10" t="s">
        <v>139</v>
      </c>
      <c r="G10428" s="10" t="s">
        <v>6352</v>
      </c>
      <c r="H10428" s="11">
        <v>43027</v>
      </c>
      <c r="I10428" s="10">
        <v>2017</v>
      </c>
      <c r="J10428" s="10" t="s">
        <v>10516</v>
      </c>
      <c r="K10428" s="10">
        <v>170</v>
      </c>
      <c r="L10428" s="10" t="s">
        <v>45836</v>
      </c>
      <c r="M10428" s="10">
        <v>1</v>
      </c>
      <c r="N10428" s="10"/>
      <c r="O10428" s="10"/>
      <c r="P10428" s="10"/>
      <c r="Q10428" s="10">
        <v>331.70208874000002</v>
      </c>
      <c r="R10428" s="10"/>
      <c r="S10428" s="10" t="s">
        <v>53</v>
      </c>
      <c r="T10428" s="10" t="s">
        <v>31558</v>
      </c>
    </row>
    <row r="10429" spans="1:20" ht="14.5" x14ac:dyDescent="0.35">
      <c r="A10429" s="10" t="s">
        <v>45837</v>
      </c>
      <c r="B10429" s="10" t="str">
        <f>"9781475836097"</f>
        <v>9781475836097</v>
      </c>
      <c r="C10429" s="10" t="str">
        <f>"9781475836110"</f>
        <v>9781475836110</v>
      </c>
      <c r="D10429" s="10" t="s">
        <v>9752</v>
      </c>
      <c r="E10429" s="10" t="s">
        <v>15187</v>
      </c>
      <c r="F10429" s="10" t="s">
        <v>9754</v>
      </c>
      <c r="G10429" s="10" t="s">
        <v>6317</v>
      </c>
      <c r="H10429" s="11">
        <v>42986</v>
      </c>
      <c r="I10429" s="10">
        <v>2017</v>
      </c>
      <c r="J10429" s="10" t="s">
        <v>15187</v>
      </c>
      <c r="K10429" s="10">
        <v>125</v>
      </c>
      <c r="L10429" s="10" t="s">
        <v>45838</v>
      </c>
      <c r="M10429" s="10">
        <v>1</v>
      </c>
      <c r="N10429" s="10"/>
      <c r="O10429" s="10"/>
      <c r="P10429" s="10" t="s">
        <v>45839</v>
      </c>
      <c r="Q10429" s="10">
        <v>822.33</v>
      </c>
      <c r="R10429" s="10" t="s">
        <v>45840</v>
      </c>
      <c r="S10429" s="10" t="s">
        <v>53</v>
      </c>
      <c r="T10429" s="10" t="s">
        <v>1166</v>
      </c>
    </row>
    <row r="10430" spans="1:20" ht="14.5" x14ac:dyDescent="0.35">
      <c r="A10430" s="10" t="s">
        <v>45841</v>
      </c>
      <c r="B10430" s="10" t="str">
        <f>"9781475837988"</f>
        <v>9781475837988</v>
      </c>
      <c r="C10430" s="10" t="str">
        <f>"9781475838008"</f>
        <v>9781475838008</v>
      </c>
      <c r="D10430" s="10" t="s">
        <v>9752</v>
      </c>
      <c r="E10430" s="10" t="s">
        <v>15187</v>
      </c>
      <c r="F10430" s="10" t="s">
        <v>9754</v>
      </c>
      <c r="G10430" s="10" t="s">
        <v>6317</v>
      </c>
      <c r="H10430" s="11">
        <v>42961</v>
      </c>
      <c r="I10430" s="10">
        <v>2017</v>
      </c>
      <c r="J10430" s="10" t="s">
        <v>15187</v>
      </c>
      <c r="K10430" s="10">
        <v>119</v>
      </c>
      <c r="L10430" s="10" t="s">
        <v>45838</v>
      </c>
      <c r="M10430" s="10">
        <v>1</v>
      </c>
      <c r="N10430" s="10"/>
      <c r="O10430" s="10"/>
      <c r="P10430" s="10" t="s">
        <v>45839</v>
      </c>
      <c r="Q10430" s="10"/>
      <c r="R10430" s="10" t="s">
        <v>45840</v>
      </c>
      <c r="S10430" s="10" t="s">
        <v>53</v>
      </c>
      <c r="T10430" s="10" t="s">
        <v>1166</v>
      </c>
    </row>
    <row r="10431" spans="1:20" ht="14.5" x14ac:dyDescent="0.35">
      <c r="A10431" s="10" t="s">
        <v>45842</v>
      </c>
      <c r="B10431" s="10" t="str">
        <f>"9780520294882"</f>
        <v>9780520294882</v>
      </c>
      <c r="C10431" s="10" t="str">
        <f>"9780520967854"</f>
        <v>9780520967854</v>
      </c>
      <c r="D10431" s="10" t="s">
        <v>8512</v>
      </c>
      <c r="E10431" s="10" t="s">
        <v>8512</v>
      </c>
      <c r="F10431" s="10" t="s">
        <v>717</v>
      </c>
      <c r="G10431" s="10" t="s">
        <v>6317</v>
      </c>
      <c r="H10431" s="11">
        <v>43131</v>
      </c>
      <c r="I10431" s="10">
        <v>2017</v>
      </c>
      <c r="J10431" s="10" t="s">
        <v>8512</v>
      </c>
      <c r="K10431" s="10">
        <v>181</v>
      </c>
      <c r="L10431" s="10" t="s">
        <v>45843</v>
      </c>
      <c r="M10431" s="10">
        <v>1</v>
      </c>
      <c r="N10431" s="10" t="s">
        <v>43245</v>
      </c>
      <c r="O10431" s="10">
        <v>4</v>
      </c>
      <c r="P10431" s="10" t="s">
        <v>45844</v>
      </c>
      <c r="Q10431" s="10">
        <v>371.10399999999998</v>
      </c>
      <c r="R10431" s="10" t="s">
        <v>45845</v>
      </c>
      <c r="S10431" s="10" t="s">
        <v>53</v>
      </c>
      <c r="T10431" s="10" t="s">
        <v>54</v>
      </c>
    </row>
    <row r="10432" spans="1:20" ht="14.5" x14ac:dyDescent="0.35">
      <c r="A10432" s="10" t="s">
        <v>45846</v>
      </c>
      <c r="B10432" s="10" t="str">
        <f>"9781443891356"</f>
        <v>9781443891356</v>
      </c>
      <c r="C10432" s="10" t="str">
        <f>"9781527500525"</f>
        <v>9781527500525</v>
      </c>
      <c r="D10432" s="10" t="s">
        <v>23635</v>
      </c>
      <c r="E10432" s="10" t="s">
        <v>23635</v>
      </c>
      <c r="F10432" s="10" t="s">
        <v>23636</v>
      </c>
      <c r="G10432" s="10" t="s">
        <v>6352</v>
      </c>
      <c r="H10432" s="11">
        <v>42942</v>
      </c>
      <c r="I10432" s="10">
        <v>2017</v>
      </c>
      <c r="J10432" s="10" t="s">
        <v>23635</v>
      </c>
      <c r="K10432" s="10">
        <v>297</v>
      </c>
      <c r="L10432" s="10" t="s">
        <v>45847</v>
      </c>
      <c r="M10432" s="10">
        <v>1</v>
      </c>
      <c r="N10432" s="10"/>
      <c r="O10432" s="10"/>
      <c r="P10432" s="10" t="s">
        <v>45848</v>
      </c>
      <c r="Q10432" s="10">
        <v>370.95693</v>
      </c>
      <c r="R10432" s="10" t="s">
        <v>45849</v>
      </c>
      <c r="S10432" s="10" t="s">
        <v>53</v>
      </c>
      <c r="T10432" s="10" t="s">
        <v>54</v>
      </c>
    </row>
    <row r="10433" spans="1:20" ht="14.5" x14ac:dyDescent="0.35">
      <c r="A10433" s="10" t="s">
        <v>45850</v>
      </c>
      <c r="B10433" s="10" t="str">
        <f>"9781443895736"</f>
        <v>9781443895736</v>
      </c>
      <c r="C10433" s="10" t="str">
        <f>"9781527502628"</f>
        <v>9781527502628</v>
      </c>
      <c r="D10433" s="10" t="s">
        <v>23635</v>
      </c>
      <c r="E10433" s="10" t="s">
        <v>23635</v>
      </c>
      <c r="F10433" s="10" t="s">
        <v>23636</v>
      </c>
      <c r="G10433" s="10" t="s">
        <v>6352</v>
      </c>
      <c r="H10433" s="11">
        <v>42922</v>
      </c>
      <c r="I10433" s="10">
        <v>2017</v>
      </c>
      <c r="J10433" s="10" t="s">
        <v>23635</v>
      </c>
      <c r="K10433" s="10">
        <v>231</v>
      </c>
      <c r="L10433" s="10" t="s">
        <v>45851</v>
      </c>
      <c r="M10433" s="10">
        <v>1</v>
      </c>
      <c r="N10433" s="10"/>
      <c r="O10433" s="10"/>
      <c r="P10433" s="10" t="s">
        <v>45852</v>
      </c>
      <c r="Q10433" s="10">
        <v>378.01</v>
      </c>
      <c r="R10433" s="10" t="s">
        <v>45853</v>
      </c>
      <c r="S10433" s="10" t="s">
        <v>53</v>
      </c>
      <c r="T10433" s="10" t="s">
        <v>54</v>
      </c>
    </row>
    <row r="10434" spans="1:20" ht="14.5" x14ac:dyDescent="0.35">
      <c r="A10434" s="10" t="s">
        <v>45854</v>
      </c>
      <c r="B10434" s="10" t="str">
        <f>"9781138300316"</f>
        <v>9781138300316</v>
      </c>
      <c r="C10434" s="10" t="str">
        <f>"9781351424486"</f>
        <v>9781351424486</v>
      </c>
      <c r="D10434" s="10" t="s">
        <v>6350</v>
      </c>
      <c r="E10434" s="10" t="s">
        <v>6351</v>
      </c>
      <c r="F10434" s="10" t="s">
        <v>748</v>
      </c>
      <c r="G10434" s="10" t="s">
        <v>6352</v>
      </c>
      <c r="H10434" s="11">
        <v>42965</v>
      </c>
      <c r="I10434" s="10">
        <v>1941</v>
      </c>
      <c r="J10434" s="10" t="s">
        <v>6351</v>
      </c>
      <c r="K10434" s="10">
        <v>139</v>
      </c>
      <c r="L10434" s="10" t="s">
        <v>45855</v>
      </c>
      <c r="M10434" s="10">
        <v>1</v>
      </c>
      <c r="N10434" s="10" t="s">
        <v>16856</v>
      </c>
      <c r="O10434" s="10"/>
      <c r="P10434" s="10" t="s">
        <v>45856</v>
      </c>
      <c r="Q10434" s="10">
        <v>372</v>
      </c>
      <c r="R10434" s="10" t="s">
        <v>13858</v>
      </c>
      <c r="S10434" s="10" t="s">
        <v>53</v>
      </c>
      <c r="T10434" s="10" t="s">
        <v>54</v>
      </c>
    </row>
    <row r="10435" spans="1:20" ht="14.5" x14ac:dyDescent="0.35">
      <c r="A10435" s="10" t="s">
        <v>45857</v>
      </c>
      <c r="B10435" s="10" t="str">
        <f>"9781943874897"</f>
        <v>9781943874897</v>
      </c>
      <c r="C10435" s="10" t="str">
        <f>"9781943874064"</f>
        <v>9781943874064</v>
      </c>
      <c r="D10435" s="10" t="s">
        <v>37580</v>
      </c>
      <c r="E10435" s="10" t="s">
        <v>37581</v>
      </c>
      <c r="F10435" s="10" t="s">
        <v>37623</v>
      </c>
      <c r="G10435" s="10" t="s">
        <v>6317</v>
      </c>
      <c r="H10435" s="11">
        <v>43005</v>
      </c>
      <c r="I10435" s="10">
        <v>2018</v>
      </c>
      <c r="J10435" s="10" t="s">
        <v>37581</v>
      </c>
      <c r="K10435" s="10">
        <v>232</v>
      </c>
      <c r="L10435" s="10" t="s">
        <v>45858</v>
      </c>
      <c r="M10435" s="10">
        <v>1</v>
      </c>
      <c r="N10435" s="10"/>
      <c r="O10435" s="10"/>
      <c r="P10435" s="10"/>
      <c r="Q10435" s="10"/>
      <c r="R10435" s="10"/>
      <c r="S10435" s="10" t="s">
        <v>53</v>
      </c>
      <c r="T10435" s="10" t="s">
        <v>54</v>
      </c>
    </row>
    <row r="10436" spans="1:20" ht="14.5" x14ac:dyDescent="0.35">
      <c r="A10436" s="10" t="s">
        <v>45859</v>
      </c>
      <c r="B10436" s="10" t="str">
        <f>"9781944838126"</f>
        <v>9781944838126</v>
      </c>
      <c r="C10436" s="10" t="str">
        <f>"9781944838133"</f>
        <v>9781944838133</v>
      </c>
      <c r="D10436" s="10" t="s">
        <v>263</v>
      </c>
      <c r="E10436" s="10" t="s">
        <v>263</v>
      </c>
      <c r="F10436" s="10" t="s">
        <v>11765</v>
      </c>
      <c r="G10436" s="10" t="s">
        <v>6317</v>
      </c>
      <c r="H10436" s="11">
        <v>43004</v>
      </c>
      <c r="I10436" s="10">
        <v>2017</v>
      </c>
      <c r="J10436" s="10" t="s">
        <v>263</v>
      </c>
      <c r="K10436" s="10">
        <v>241</v>
      </c>
      <c r="L10436" s="10" t="s">
        <v>45860</v>
      </c>
      <c r="M10436" s="10">
        <v>1</v>
      </c>
      <c r="N10436" s="10" t="s">
        <v>43613</v>
      </c>
      <c r="O10436" s="10">
        <v>7</v>
      </c>
      <c r="P10436" s="10" t="s">
        <v>45861</v>
      </c>
      <c r="Q10436" s="10"/>
      <c r="R10436" s="10"/>
      <c r="S10436" s="10" t="s">
        <v>53</v>
      </c>
      <c r="T10436" s="10" t="s">
        <v>6363</v>
      </c>
    </row>
    <row r="10437" spans="1:20" ht="14.5" x14ac:dyDescent="0.35">
      <c r="A10437" s="10" t="s">
        <v>45862</v>
      </c>
      <c r="B10437" s="10" t="str">
        <f>""</f>
        <v/>
      </c>
      <c r="C10437" s="10" t="str">
        <f>"9780228301691"</f>
        <v>9780228301691</v>
      </c>
      <c r="D10437" s="10" t="s">
        <v>29364</v>
      </c>
      <c r="E10437" s="10" t="s">
        <v>31200</v>
      </c>
      <c r="F10437" s="10" t="s">
        <v>1061</v>
      </c>
      <c r="G10437" s="10" t="s">
        <v>6317</v>
      </c>
      <c r="H10437" s="11">
        <v>41883</v>
      </c>
      <c r="I10437" s="10">
        <v>2014</v>
      </c>
      <c r="J10437" s="10" t="s">
        <v>44479</v>
      </c>
      <c r="K10437" s="10">
        <v>13</v>
      </c>
      <c r="L10437" s="10" t="s">
        <v>44487</v>
      </c>
      <c r="M10437" s="10">
        <v>1</v>
      </c>
      <c r="N10437" s="10"/>
      <c r="O10437" s="10"/>
      <c r="P10437" s="10" t="s">
        <v>45863</v>
      </c>
      <c r="Q10437" s="10">
        <v>780.71</v>
      </c>
      <c r="R10437" s="10" t="s">
        <v>44502</v>
      </c>
      <c r="S10437" s="10" t="s">
        <v>53</v>
      </c>
      <c r="T10437" s="10" t="s">
        <v>6384</v>
      </c>
    </row>
    <row r="10438" spans="1:20" ht="14.5" x14ac:dyDescent="0.35">
      <c r="A10438" s="10" t="s">
        <v>45864</v>
      </c>
      <c r="B10438" s="10" t="str">
        <f>""</f>
        <v/>
      </c>
      <c r="C10438" s="10" t="str">
        <f>"9780228301707"</f>
        <v>9780228301707</v>
      </c>
      <c r="D10438" s="10" t="s">
        <v>29364</v>
      </c>
      <c r="E10438" s="10" t="s">
        <v>31200</v>
      </c>
      <c r="F10438" s="10" t="s">
        <v>1061</v>
      </c>
      <c r="G10438" s="10" t="s">
        <v>6317</v>
      </c>
      <c r="H10438" s="11">
        <v>41883</v>
      </c>
      <c r="I10438" s="10">
        <v>2014</v>
      </c>
      <c r="J10438" s="10" t="s">
        <v>44479</v>
      </c>
      <c r="K10438" s="10">
        <v>21</v>
      </c>
      <c r="L10438" s="10" t="s">
        <v>44487</v>
      </c>
      <c r="M10438" s="10">
        <v>1</v>
      </c>
      <c r="N10438" s="10"/>
      <c r="O10438" s="10"/>
      <c r="P10438" s="10" t="s">
        <v>45865</v>
      </c>
      <c r="Q10438" s="10">
        <v>780.71</v>
      </c>
      <c r="R10438" s="10" t="s">
        <v>44502</v>
      </c>
      <c r="S10438" s="10" t="s">
        <v>53</v>
      </c>
      <c r="T10438" s="10" t="s">
        <v>6384</v>
      </c>
    </row>
    <row r="10439" spans="1:20" ht="14.5" x14ac:dyDescent="0.35">
      <c r="A10439" s="10" t="s">
        <v>45866</v>
      </c>
      <c r="B10439" s="10" t="str">
        <f>""</f>
        <v/>
      </c>
      <c r="C10439" s="10" t="str">
        <f>"9780228301714"</f>
        <v>9780228301714</v>
      </c>
      <c r="D10439" s="10" t="s">
        <v>29364</v>
      </c>
      <c r="E10439" s="10" t="s">
        <v>31200</v>
      </c>
      <c r="F10439" s="10" t="s">
        <v>1061</v>
      </c>
      <c r="G10439" s="10" t="s">
        <v>6317</v>
      </c>
      <c r="H10439" s="11">
        <v>41883</v>
      </c>
      <c r="I10439" s="10">
        <v>2014</v>
      </c>
      <c r="J10439" s="10" t="s">
        <v>44479</v>
      </c>
      <c r="K10439" s="10">
        <v>22</v>
      </c>
      <c r="L10439" s="10" t="s">
        <v>44487</v>
      </c>
      <c r="M10439" s="10">
        <v>1</v>
      </c>
      <c r="N10439" s="10"/>
      <c r="O10439" s="10"/>
      <c r="P10439" s="10" t="s">
        <v>45867</v>
      </c>
      <c r="Q10439" s="10">
        <v>372.87043999999997</v>
      </c>
      <c r="R10439" s="10" t="s">
        <v>45868</v>
      </c>
      <c r="S10439" s="10" t="s">
        <v>53</v>
      </c>
      <c r="T10439" s="10" t="s">
        <v>6881</v>
      </c>
    </row>
    <row r="10440" spans="1:20" ht="14.5" x14ac:dyDescent="0.35">
      <c r="A10440" s="10" t="s">
        <v>45869</v>
      </c>
      <c r="B10440" s="10" t="str">
        <f>""</f>
        <v/>
      </c>
      <c r="C10440" s="10" t="str">
        <f>"9780228303237"</f>
        <v>9780228303237</v>
      </c>
      <c r="D10440" s="10" t="s">
        <v>29364</v>
      </c>
      <c r="E10440" s="10" t="s">
        <v>31200</v>
      </c>
      <c r="F10440" s="10" t="s">
        <v>1061</v>
      </c>
      <c r="G10440" s="10" t="s">
        <v>6317</v>
      </c>
      <c r="H10440" s="11">
        <v>41883</v>
      </c>
      <c r="I10440" s="10">
        <v>2014</v>
      </c>
      <c r="J10440" s="10" t="s">
        <v>44479</v>
      </c>
      <c r="K10440" s="10">
        <v>14</v>
      </c>
      <c r="L10440" s="10" t="s">
        <v>44487</v>
      </c>
      <c r="M10440" s="10">
        <v>1</v>
      </c>
      <c r="N10440" s="10"/>
      <c r="O10440" s="10"/>
      <c r="P10440" s="10" t="s">
        <v>45865</v>
      </c>
      <c r="Q10440" s="10">
        <v>372.87043999999997</v>
      </c>
      <c r="R10440" s="10" t="s">
        <v>45868</v>
      </c>
      <c r="S10440" s="10" t="s">
        <v>53</v>
      </c>
      <c r="T10440" s="10" t="s">
        <v>6881</v>
      </c>
    </row>
    <row r="10441" spans="1:20" ht="14.5" x14ac:dyDescent="0.35">
      <c r="A10441" s="10" t="s">
        <v>45870</v>
      </c>
      <c r="B10441" s="10" t="str">
        <f>"9781416624240"</f>
        <v>9781416624240</v>
      </c>
      <c r="C10441" s="10" t="str">
        <f>"9781416624257"</f>
        <v>9781416624257</v>
      </c>
      <c r="D10441" s="10" t="s">
        <v>10014</v>
      </c>
      <c r="E10441" s="10" t="s">
        <v>10015</v>
      </c>
      <c r="F10441" s="10" t="s">
        <v>201</v>
      </c>
      <c r="G10441" s="10" t="s">
        <v>6317</v>
      </c>
      <c r="H10441" s="11">
        <v>43017</v>
      </c>
      <c r="I10441" s="10">
        <v>2017</v>
      </c>
      <c r="J10441" s="10" t="s">
        <v>10015</v>
      </c>
      <c r="K10441" s="10">
        <v>238</v>
      </c>
      <c r="L10441" s="10" t="s">
        <v>45871</v>
      </c>
      <c r="M10441" s="10">
        <v>1</v>
      </c>
      <c r="N10441" s="10"/>
      <c r="O10441" s="10"/>
      <c r="P10441" s="10" t="s">
        <v>45872</v>
      </c>
      <c r="Q10441" s="10" t="s">
        <v>9491</v>
      </c>
      <c r="R10441" s="10" t="s">
        <v>45873</v>
      </c>
      <c r="S10441" s="10" t="s">
        <v>53</v>
      </c>
      <c r="T10441" s="10" t="s">
        <v>54</v>
      </c>
    </row>
    <row r="10442" spans="1:20" ht="14.5" x14ac:dyDescent="0.35">
      <c r="A10442" s="10" t="s">
        <v>45874</v>
      </c>
      <c r="B10442" s="10" t="str">
        <f>"9781416624684"</f>
        <v>9781416624684</v>
      </c>
      <c r="C10442" s="10" t="str">
        <f>"9781416624707"</f>
        <v>9781416624707</v>
      </c>
      <c r="D10442" s="10" t="s">
        <v>10014</v>
      </c>
      <c r="E10442" s="10" t="s">
        <v>10015</v>
      </c>
      <c r="F10442" s="10" t="s">
        <v>201</v>
      </c>
      <c r="G10442" s="10" t="s">
        <v>6317</v>
      </c>
      <c r="H10442" s="11">
        <v>43005</v>
      </c>
      <c r="I10442" s="10">
        <v>2017</v>
      </c>
      <c r="J10442" s="10" t="s">
        <v>10015</v>
      </c>
      <c r="K10442" s="10">
        <v>177</v>
      </c>
      <c r="L10442" s="10" t="s">
        <v>45875</v>
      </c>
      <c r="M10442" s="10">
        <v>1</v>
      </c>
      <c r="N10442" s="10"/>
      <c r="O10442" s="10"/>
      <c r="P10442" s="10" t="s">
        <v>45876</v>
      </c>
      <c r="Q10442" s="10" t="s">
        <v>15735</v>
      </c>
      <c r="R10442" s="10" t="s">
        <v>22490</v>
      </c>
      <c r="S10442" s="10" t="s">
        <v>53</v>
      </c>
      <c r="T10442" s="10" t="s">
        <v>54</v>
      </c>
    </row>
    <row r="10443" spans="1:20" ht="14.5" x14ac:dyDescent="0.35">
      <c r="A10443" s="10" t="s">
        <v>45877</v>
      </c>
      <c r="B10443" s="10" t="str">
        <f>"9781416624608"</f>
        <v>9781416624608</v>
      </c>
      <c r="C10443" s="10" t="str">
        <f>"9781416624622"</f>
        <v>9781416624622</v>
      </c>
      <c r="D10443" s="10" t="s">
        <v>10014</v>
      </c>
      <c r="E10443" s="10" t="s">
        <v>10015</v>
      </c>
      <c r="F10443" s="10" t="s">
        <v>201</v>
      </c>
      <c r="G10443" s="10" t="s">
        <v>6317</v>
      </c>
      <c r="H10443" s="11">
        <v>43008</v>
      </c>
      <c r="I10443" s="10">
        <v>2017</v>
      </c>
      <c r="J10443" s="10" t="s">
        <v>10015</v>
      </c>
      <c r="K10443" s="10">
        <v>215</v>
      </c>
      <c r="L10443" s="10" t="s">
        <v>45878</v>
      </c>
      <c r="M10443" s="10">
        <v>1</v>
      </c>
      <c r="N10443" s="10"/>
      <c r="O10443" s="10"/>
      <c r="P10443" s="10" t="s">
        <v>45879</v>
      </c>
      <c r="Q10443" s="10">
        <v>371.94</v>
      </c>
      <c r="R10443" s="10" t="s">
        <v>45880</v>
      </c>
      <c r="S10443" s="10" t="s">
        <v>53</v>
      </c>
      <c r="T10443" s="10" t="s">
        <v>54</v>
      </c>
    </row>
    <row r="10444" spans="1:20" ht="14.5" x14ac:dyDescent="0.35">
      <c r="A10444" s="10" t="s">
        <v>45881</v>
      </c>
      <c r="B10444" s="10" t="str">
        <f>"9780891286769"</f>
        <v>9780891286769</v>
      </c>
      <c r="C10444" s="10" t="str">
        <f>"9780891287278"</f>
        <v>9780891287278</v>
      </c>
      <c r="D10444" s="10" t="s">
        <v>43425</v>
      </c>
      <c r="E10444" s="10" t="s">
        <v>43426</v>
      </c>
      <c r="F10444" s="10" t="s">
        <v>13068</v>
      </c>
      <c r="G10444" s="10" t="s">
        <v>6317</v>
      </c>
      <c r="H10444" s="11">
        <v>42312</v>
      </c>
      <c r="I10444" s="10">
        <v>2016</v>
      </c>
      <c r="J10444" s="10" t="s">
        <v>43426</v>
      </c>
      <c r="K10444" s="10">
        <v>258</v>
      </c>
      <c r="L10444" s="10" t="s">
        <v>45882</v>
      </c>
      <c r="M10444" s="10">
        <v>1</v>
      </c>
      <c r="N10444" s="10"/>
      <c r="O10444" s="10"/>
      <c r="P10444" s="10" t="s">
        <v>45883</v>
      </c>
      <c r="Q10444" s="10" t="s">
        <v>45884</v>
      </c>
      <c r="R10444" s="10" t="s">
        <v>45885</v>
      </c>
      <c r="S10444" s="10" t="s">
        <v>53</v>
      </c>
      <c r="T10444" s="10" t="s">
        <v>6363</v>
      </c>
    </row>
    <row r="10445" spans="1:20" ht="14.5" x14ac:dyDescent="0.35">
      <c r="A10445" s="10" t="s">
        <v>45886</v>
      </c>
      <c r="B10445" s="10" t="str">
        <f>"9781498555876"</f>
        <v>9781498555876</v>
      </c>
      <c r="C10445" s="10" t="str">
        <f>"9781498555883"</f>
        <v>9781498555883</v>
      </c>
      <c r="D10445" s="10" t="s">
        <v>9752</v>
      </c>
      <c r="E10445" s="10" t="s">
        <v>15182</v>
      </c>
      <c r="F10445" s="10" t="s">
        <v>9754</v>
      </c>
      <c r="G10445" s="10" t="s">
        <v>6317</v>
      </c>
      <c r="H10445" s="11">
        <v>43040</v>
      </c>
      <c r="I10445" s="10">
        <v>2016</v>
      </c>
      <c r="J10445" s="10" t="s">
        <v>15182</v>
      </c>
      <c r="K10445" s="10">
        <v>145</v>
      </c>
      <c r="L10445" s="10" t="s">
        <v>45887</v>
      </c>
      <c r="M10445" s="10">
        <v>1</v>
      </c>
      <c r="N10445" s="10"/>
      <c r="O10445" s="10"/>
      <c r="P10445" s="10" t="s">
        <v>45888</v>
      </c>
      <c r="Q10445" s="10">
        <v>372.6</v>
      </c>
      <c r="R10445" s="10" t="s">
        <v>45889</v>
      </c>
      <c r="S10445" s="10" t="s">
        <v>53</v>
      </c>
      <c r="T10445" s="10" t="s">
        <v>54</v>
      </c>
    </row>
    <row r="10446" spans="1:20" ht="14.5" x14ac:dyDescent="0.35">
      <c r="A10446" s="10" t="s">
        <v>45890</v>
      </c>
      <c r="B10446" s="10" t="str">
        <f>"9781787437661"</f>
        <v>9781787437661</v>
      </c>
      <c r="C10446" s="10" t="str">
        <f>"9781787437654"</f>
        <v>9781787437654</v>
      </c>
      <c r="D10446" s="10" t="s">
        <v>8699</v>
      </c>
      <c r="E10446" s="10" t="s">
        <v>8699</v>
      </c>
      <c r="F10446" s="10" t="s">
        <v>559</v>
      </c>
      <c r="G10446" s="10" t="s">
        <v>6352</v>
      </c>
      <c r="H10446" s="11">
        <v>43134</v>
      </c>
      <c r="I10446" s="10">
        <v>2018</v>
      </c>
      <c r="J10446" s="10" t="s">
        <v>8699</v>
      </c>
      <c r="K10446" s="10">
        <v>336</v>
      </c>
      <c r="L10446" s="10" t="s">
        <v>17790</v>
      </c>
      <c r="M10446" s="10">
        <v>1</v>
      </c>
      <c r="N10446" s="10" t="s">
        <v>14534</v>
      </c>
      <c r="O10446" s="10">
        <v>34</v>
      </c>
      <c r="P10446" s="10" t="s">
        <v>28438</v>
      </c>
      <c r="Q10446" s="10">
        <v>370.7</v>
      </c>
      <c r="R10446" s="10" t="s">
        <v>7884</v>
      </c>
      <c r="S10446" s="10" t="s">
        <v>53</v>
      </c>
      <c r="T10446" s="10" t="s">
        <v>54</v>
      </c>
    </row>
    <row r="10447" spans="1:20" ht="14.5" x14ac:dyDescent="0.35">
      <c r="A10447" s="10" t="s">
        <v>45891</v>
      </c>
      <c r="B10447" s="10" t="str">
        <f>"9781787435858"</f>
        <v>9781787435858</v>
      </c>
      <c r="C10447" s="10" t="str">
        <f>"9781787435865"</f>
        <v>9781787435865</v>
      </c>
      <c r="D10447" s="10" t="s">
        <v>8699</v>
      </c>
      <c r="E10447" s="10" t="s">
        <v>8699</v>
      </c>
      <c r="F10447" s="10" t="s">
        <v>41843</v>
      </c>
      <c r="G10447" s="10" t="s">
        <v>6352</v>
      </c>
      <c r="H10447" s="11">
        <v>42985</v>
      </c>
      <c r="I10447" s="10">
        <v>2017</v>
      </c>
      <c r="J10447" s="10" t="s">
        <v>8699</v>
      </c>
      <c r="K10447" s="10">
        <v>105</v>
      </c>
      <c r="L10447" s="10" t="s">
        <v>45892</v>
      </c>
      <c r="M10447" s="10">
        <v>1</v>
      </c>
      <c r="N10447" s="10" t="s">
        <v>2908</v>
      </c>
      <c r="O10447" s="10">
        <v>6</v>
      </c>
      <c r="P10447" s="10" t="s">
        <v>45893</v>
      </c>
      <c r="Q10447" s="10">
        <v>371.10199999999901</v>
      </c>
      <c r="R10447" s="10" t="s">
        <v>18604</v>
      </c>
      <c r="S10447" s="10" t="s">
        <v>53</v>
      </c>
      <c r="T10447" s="10" t="s">
        <v>54</v>
      </c>
    </row>
    <row r="10448" spans="1:20" ht="14.5" x14ac:dyDescent="0.35">
      <c r="A10448" s="10" t="s">
        <v>45894</v>
      </c>
      <c r="B10448" s="10" t="str">
        <f>"9781787436152"</f>
        <v>9781787436152</v>
      </c>
      <c r="C10448" s="10" t="str">
        <f>"9781787436169"</f>
        <v>9781787436169</v>
      </c>
      <c r="D10448" s="10" t="s">
        <v>8699</v>
      </c>
      <c r="E10448" s="10" t="s">
        <v>8699</v>
      </c>
      <c r="F10448" s="10" t="s">
        <v>41843</v>
      </c>
      <c r="G10448" s="10" t="s">
        <v>6352</v>
      </c>
      <c r="H10448" s="11">
        <v>42982</v>
      </c>
      <c r="I10448" s="10">
        <v>2017</v>
      </c>
      <c r="J10448" s="10" t="s">
        <v>8699</v>
      </c>
      <c r="K10448" s="10">
        <v>85</v>
      </c>
      <c r="L10448" s="10" t="s">
        <v>9587</v>
      </c>
      <c r="M10448" s="10">
        <v>1</v>
      </c>
      <c r="N10448" s="10" t="s">
        <v>4796</v>
      </c>
      <c r="O10448" s="10">
        <v>25</v>
      </c>
      <c r="P10448" s="10" t="s">
        <v>45895</v>
      </c>
      <c r="Q10448" s="10">
        <v>371.20699999999903</v>
      </c>
      <c r="R10448" s="10" t="s">
        <v>45896</v>
      </c>
      <c r="S10448" s="10" t="s">
        <v>53</v>
      </c>
      <c r="T10448" s="10" t="s">
        <v>54</v>
      </c>
    </row>
    <row r="10449" spans="1:20" ht="14.5" x14ac:dyDescent="0.35">
      <c r="A10449" s="10" t="s">
        <v>45897</v>
      </c>
      <c r="B10449" s="10" t="str">
        <f>"9781787436824"</f>
        <v>9781787436824</v>
      </c>
      <c r="C10449" s="10" t="str">
        <f>"9781787436831"</f>
        <v>9781787436831</v>
      </c>
      <c r="D10449" s="10" t="s">
        <v>8699</v>
      </c>
      <c r="E10449" s="10" t="s">
        <v>8699</v>
      </c>
      <c r="F10449" s="10" t="s">
        <v>41843</v>
      </c>
      <c r="G10449" s="10" t="s">
        <v>6352</v>
      </c>
      <c r="H10449" s="11">
        <v>42998</v>
      </c>
      <c r="I10449" s="10">
        <v>2017</v>
      </c>
      <c r="J10449" s="10" t="s">
        <v>8699</v>
      </c>
      <c r="K10449" s="10">
        <v>85</v>
      </c>
      <c r="L10449" s="10" t="s">
        <v>45898</v>
      </c>
      <c r="M10449" s="10">
        <v>1</v>
      </c>
      <c r="N10449" s="10" t="s">
        <v>4796</v>
      </c>
      <c r="O10449" s="10">
        <v>25</v>
      </c>
      <c r="P10449" s="10" t="s">
        <v>45899</v>
      </c>
      <c r="Q10449" s="10">
        <v>373</v>
      </c>
      <c r="R10449" s="10" t="s">
        <v>44445</v>
      </c>
      <c r="S10449" s="10" t="s">
        <v>53</v>
      </c>
      <c r="T10449" s="10" t="s">
        <v>54</v>
      </c>
    </row>
    <row r="10450" spans="1:20" ht="14.5" x14ac:dyDescent="0.35">
      <c r="A10450" s="10" t="s">
        <v>45900</v>
      </c>
      <c r="B10450" s="10" t="str">
        <f>"9781787438347"</f>
        <v>9781787438347</v>
      </c>
      <c r="C10450" s="10" t="str">
        <f>"9781787438354"</f>
        <v>9781787438354</v>
      </c>
      <c r="D10450" s="10" t="s">
        <v>8699</v>
      </c>
      <c r="E10450" s="10" t="s">
        <v>8699</v>
      </c>
      <c r="F10450" s="10" t="s">
        <v>41843</v>
      </c>
      <c r="G10450" s="10" t="s">
        <v>6352</v>
      </c>
      <c r="H10450" s="11">
        <v>43007</v>
      </c>
      <c r="I10450" s="10">
        <v>2017</v>
      </c>
      <c r="J10450" s="10" t="s">
        <v>8699</v>
      </c>
      <c r="K10450" s="10">
        <v>127</v>
      </c>
      <c r="L10450" s="10" t="s">
        <v>45901</v>
      </c>
      <c r="M10450" s="10">
        <v>1</v>
      </c>
      <c r="N10450" s="10" t="s">
        <v>2450</v>
      </c>
      <c r="O10450" s="10">
        <v>46</v>
      </c>
      <c r="P10450" s="10" t="s">
        <v>45902</v>
      </c>
      <c r="Q10450" s="10">
        <v>370.19</v>
      </c>
      <c r="R10450" s="10" t="s">
        <v>22554</v>
      </c>
      <c r="S10450" s="10" t="s">
        <v>53</v>
      </c>
      <c r="T10450" s="10" t="s">
        <v>54</v>
      </c>
    </row>
    <row r="10451" spans="1:20" ht="14.5" x14ac:dyDescent="0.35">
      <c r="A10451" s="10" t="s">
        <v>45903</v>
      </c>
      <c r="B10451" s="10" t="str">
        <f>"9781475837162"</f>
        <v>9781475837162</v>
      </c>
      <c r="C10451" s="10" t="str">
        <f>"9781475837179"</f>
        <v>9781475837179</v>
      </c>
      <c r="D10451" s="10" t="s">
        <v>9752</v>
      </c>
      <c r="E10451" s="10" t="s">
        <v>15187</v>
      </c>
      <c r="F10451" s="10" t="s">
        <v>9754</v>
      </c>
      <c r="G10451" s="10" t="s">
        <v>6317</v>
      </c>
      <c r="H10451" s="11">
        <v>43012</v>
      </c>
      <c r="I10451" s="10">
        <v>2017</v>
      </c>
      <c r="J10451" s="10" t="s">
        <v>15187</v>
      </c>
      <c r="K10451" s="10">
        <v>93</v>
      </c>
      <c r="L10451" s="10" t="s">
        <v>42813</v>
      </c>
      <c r="M10451" s="10">
        <v>1</v>
      </c>
      <c r="N10451" s="10" t="s">
        <v>42814</v>
      </c>
      <c r="O10451" s="10"/>
      <c r="P10451" s="10" t="s">
        <v>45904</v>
      </c>
      <c r="Q10451" s="10">
        <v>428.24</v>
      </c>
      <c r="R10451" s="10" t="s">
        <v>45905</v>
      </c>
      <c r="S10451" s="10" t="s">
        <v>53</v>
      </c>
      <c r="T10451" s="10" t="s">
        <v>6616</v>
      </c>
    </row>
    <row r="10452" spans="1:20" ht="14.5" x14ac:dyDescent="0.35">
      <c r="A10452" s="10" t="s">
        <v>45906</v>
      </c>
      <c r="B10452" s="10" t="str">
        <f>"9781475837186"</f>
        <v>9781475837186</v>
      </c>
      <c r="C10452" s="10" t="str">
        <f>"9781475837193"</f>
        <v>9781475837193</v>
      </c>
      <c r="D10452" s="10" t="s">
        <v>9752</v>
      </c>
      <c r="E10452" s="10" t="s">
        <v>15187</v>
      </c>
      <c r="F10452" s="10" t="s">
        <v>9754</v>
      </c>
      <c r="G10452" s="10" t="s">
        <v>6317</v>
      </c>
      <c r="H10452" s="11">
        <v>43012</v>
      </c>
      <c r="I10452" s="10">
        <v>2017</v>
      </c>
      <c r="J10452" s="10" t="s">
        <v>15187</v>
      </c>
      <c r="K10452" s="10">
        <v>117</v>
      </c>
      <c r="L10452" s="10" t="s">
        <v>42813</v>
      </c>
      <c r="M10452" s="10">
        <v>1</v>
      </c>
      <c r="N10452" s="10" t="s">
        <v>42814</v>
      </c>
      <c r="O10452" s="10"/>
      <c r="P10452" s="10" t="s">
        <v>45904</v>
      </c>
      <c r="Q10452" s="10"/>
      <c r="R10452" s="10" t="s">
        <v>45905</v>
      </c>
      <c r="S10452" s="10" t="s">
        <v>53</v>
      </c>
      <c r="T10452" s="10" t="s">
        <v>6616</v>
      </c>
    </row>
    <row r="10453" spans="1:20" ht="14.5" x14ac:dyDescent="0.35">
      <c r="A10453" s="10" t="s">
        <v>45907</v>
      </c>
      <c r="B10453" s="10" t="str">
        <f>"9781475835601"</f>
        <v>9781475835601</v>
      </c>
      <c r="C10453" s="10" t="str">
        <f>"9781475835618"</f>
        <v>9781475835618</v>
      </c>
      <c r="D10453" s="10" t="s">
        <v>9752</v>
      </c>
      <c r="E10453" s="10" t="s">
        <v>15187</v>
      </c>
      <c r="F10453" s="10" t="s">
        <v>9754</v>
      </c>
      <c r="G10453" s="10" t="s">
        <v>6317</v>
      </c>
      <c r="H10453" s="11">
        <v>43019</v>
      </c>
      <c r="I10453" s="10">
        <v>2017</v>
      </c>
      <c r="J10453" s="10" t="s">
        <v>15187</v>
      </c>
      <c r="K10453" s="10">
        <v>129</v>
      </c>
      <c r="L10453" s="10" t="s">
        <v>25168</v>
      </c>
      <c r="M10453" s="10">
        <v>1</v>
      </c>
      <c r="N10453" s="10"/>
      <c r="O10453" s="10"/>
      <c r="P10453" s="10" t="s">
        <v>45908</v>
      </c>
      <c r="Q10453" s="10">
        <v>379.73</v>
      </c>
      <c r="R10453" s="10" t="s">
        <v>45909</v>
      </c>
      <c r="S10453" s="10" t="s">
        <v>53</v>
      </c>
      <c r="T10453" s="10" t="s">
        <v>54</v>
      </c>
    </row>
    <row r="10454" spans="1:20" ht="14.5" x14ac:dyDescent="0.35">
      <c r="A10454" s="10" t="s">
        <v>45910</v>
      </c>
      <c r="B10454" s="10" t="str">
        <f>"9781475821673"</f>
        <v>9781475821673</v>
      </c>
      <c r="C10454" s="10" t="str">
        <f>"9781475821697"</f>
        <v>9781475821697</v>
      </c>
      <c r="D10454" s="10" t="s">
        <v>9752</v>
      </c>
      <c r="E10454" s="10" t="s">
        <v>15187</v>
      </c>
      <c r="F10454" s="10" t="s">
        <v>9754</v>
      </c>
      <c r="G10454" s="10" t="s">
        <v>6317</v>
      </c>
      <c r="H10454" s="11">
        <v>43047</v>
      </c>
      <c r="I10454" s="10">
        <v>2017</v>
      </c>
      <c r="J10454" s="10" t="s">
        <v>15187</v>
      </c>
      <c r="K10454" s="10">
        <v>132</v>
      </c>
      <c r="L10454" s="10" t="s">
        <v>28303</v>
      </c>
      <c r="M10454" s="10">
        <v>1</v>
      </c>
      <c r="N10454" s="10"/>
      <c r="O10454" s="10"/>
      <c r="P10454" s="10" t="s">
        <v>45911</v>
      </c>
      <c r="Q10454" s="10">
        <v>344.1124107</v>
      </c>
      <c r="R10454" s="10" t="s">
        <v>45912</v>
      </c>
      <c r="S10454" s="10" t="s">
        <v>53</v>
      </c>
      <c r="T10454" s="10" t="s">
        <v>5396</v>
      </c>
    </row>
    <row r="10455" spans="1:20" ht="14.5" x14ac:dyDescent="0.35">
      <c r="A10455" s="10" t="s">
        <v>45913</v>
      </c>
      <c r="B10455" s="10" t="str">
        <f>"9781475839548"</f>
        <v>9781475839548</v>
      </c>
      <c r="C10455" s="10" t="str">
        <f>"9781475839555"</f>
        <v>9781475839555</v>
      </c>
      <c r="D10455" s="10" t="s">
        <v>9752</v>
      </c>
      <c r="E10455" s="10" t="s">
        <v>15187</v>
      </c>
      <c r="F10455" s="10" t="s">
        <v>9754</v>
      </c>
      <c r="G10455" s="10" t="s">
        <v>6317</v>
      </c>
      <c r="H10455" s="11">
        <v>43040</v>
      </c>
      <c r="I10455" s="10">
        <v>2017</v>
      </c>
      <c r="J10455" s="10" t="s">
        <v>15187</v>
      </c>
      <c r="K10455" s="10">
        <v>161</v>
      </c>
      <c r="L10455" s="10" t="s">
        <v>28303</v>
      </c>
      <c r="M10455" s="10">
        <v>1</v>
      </c>
      <c r="N10455" s="10"/>
      <c r="O10455" s="10"/>
      <c r="P10455" s="10" t="s">
        <v>45914</v>
      </c>
      <c r="Q10455" s="10">
        <v>344.50700000000001</v>
      </c>
      <c r="R10455" s="10" t="s">
        <v>45915</v>
      </c>
      <c r="S10455" s="10" t="s">
        <v>53</v>
      </c>
      <c r="T10455" s="10" t="s">
        <v>5396</v>
      </c>
    </row>
    <row r="10456" spans="1:20" ht="14.5" x14ac:dyDescent="0.35">
      <c r="A10456" s="10" t="s">
        <v>45916</v>
      </c>
      <c r="B10456" s="10" t="str">
        <f>"9781464810992"</f>
        <v>9781464810992</v>
      </c>
      <c r="C10456" s="10" t="str">
        <f>"9781464811005"</f>
        <v>9781464811005</v>
      </c>
      <c r="D10456" s="10" t="s">
        <v>14731</v>
      </c>
      <c r="E10456" s="10" t="s">
        <v>14732</v>
      </c>
      <c r="F10456" s="10" t="s">
        <v>11765</v>
      </c>
      <c r="G10456" s="10" t="s">
        <v>6317</v>
      </c>
      <c r="H10456" s="11">
        <v>42999</v>
      </c>
      <c r="I10456" s="10">
        <v>2017</v>
      </c>
      <c r="J10456" s="10" t="s">
        <v>14732</v>
      </c>
      <c r="K10456" s="10">
        <v>339</v>
      </c>
      <c r="L10456" s="10" t="s">
        <v>45917</v>
      </c>
      <c r="M10456" s="10">
        <v>1</v>
      </c>
      <c r="N10456" s="10" t="s">
        <v>45918</v>
      </c>
      <c r="O10456" s="10"/>
      <c r="P10456" s="10" t="s">
        <v>45919</v>
      </c>
      <c r="Q10456" s="10">
        <v>370.21199999999902</v>
      </c>
      <c r="R10456" s="10" t="s">
        <v>45920</v>
      </c>
      <c r="S10456" s="10" t="s">
        <v>53</v>
      </c>
      <c r="T10456" s="10" t="s">
        <v>54</v>
      </c>
    </row>
    <row r="10457" spans="1:20" ht="14.5" x14ac:dyDescent="0.35">
      <c r="A10457" s="10" t="s">
        <v>45921</v>
      </c>
      <c r="B10457" s="10" t="str">
        <f>"9781620365632"</f>
        <v>9781620365632</v>
      </c>
      <c r="C10457" s="10" t="str">
        <f>"9781000972092"</f>
        <v>9781000972092</v>
      </c>
      <c r="D10457" s="10" t="s">
        <v>6350</v>
      </c>
      <c r="E10457" s="10" t="s">
        <v>6351</v>
      </c>
      <c r="F10457" s="10" t="s">
        <v>41227</v>
      </c>
      <c r="G10457" s="10" t="s">
        <v>6317</v>
      </c>
      <c r="H10457" s="11">
        <v>43011</v>
      </c>
      <c r="I10457" s="10">
        <v>2017</v>
      </c>
      <c r="J10457" s="10" t="s">
        <v>6353</v>
      </c>
      <c r="K10457" s="10">
        <v>181</v>
      </c>
      <c r="L10457" s="10" t="s">
        <v>45922</v>
      </c>
      <c r="M10457" s="10">
        <v>1</v>
      </c>
      <c r="N10457" s="10"/>
      <c r="O10457" s="10"/>
      <c r="P10457" s="10" t="s">
        <v>45923</v>
      </c>
      <c r="Q10457" s="10">
        <v>378.00972999999902</v>
      </c>
      <c r="R10457" s="10" t="s">
        <v>45924</v>
      </c>
      <c r="S10457" s="10" t="s">
        <v>53</v>
      </c>
      <c r="T10457" s="10" t="s">
        <v>54</v>
      </c>
    </row>
    <row r="10458" spans="1:20" ht="14.5" x14ac:dyDescent="0.35">
      <c r="A10458" s="10" t="s">
        <v>45925</v>
      </c>
      <c r="B10458" s="10" t="str">
        <f>"9781945349386"</f>
        <v>9781945349386</v>
      </c>
      <c r="C10458" s="10" t="str">
        <f>"9781945349393"</f>
        <v>9781945349393</v>
      </c>
      <c r="D10458" s="10" t="s">
        <v>37580</v>
      </c>
      <c r="E10458" s="10" t="s">
        <v>37581</v>
      </c>
      <c r="F10458" s="10" t="s">
        <v>37623</v>
      </c>
      <c r="G10458" s="10" t="s">
        <v>6317</v>
      </c>
      <c r="H10458" s="11">
        <v>43025</v>
      </c>
      <c r="I10458" s="10">
        <v>2018</v>
      </c>
      <c r="J10458" s="10" t="s">
        <v>37581</v>
      </c>
      <c r="K10458" s="10">
        <v>168</v>
      </c>
      <c r="L10458" s="10" t="s">
        <v>45926</v>
      </c>
      <c r="M10458" s="10">
        <v>1</v>
      </c>
      <c r="N10458" s="10"/>
      <c r="O10458" s="10"/>
      <c r="P10458" s="10" t="s">
        <v>45927</v>
      </c>
      <c r="Q10458" s="10"/>
      <c r="R10458" s="10" t="s">
        <v>45928</v>
      </c>
      <c r="S10458" s="10" t="s">
        <v>53</v>
      </c>
      <c r="T10458" s="10" t="s">
        <v>54</v>
      </c>
    </row>
    <row r="10459" spans="1:20" ht="14.5" x14ac:dyDescent="0.35">
      <c r="A10459" s="10" t="s">
        <v>45929</v>
      </c>
      <c r="B10459" s="10" t="str">
        <f>"9781945349225"</f>
        <v>9781945349225</v>
      </c>
      <c r="C10459" s="10" t="str">
        <f>"9781945349232"</f>
        <v>9781945349232</v>
      </c>
      <c r="D10459" s="10" t="s">
        <v>37580</v>
      </c>
      <c r="E10459" s="10" t="s">
        <v>37581</v>
      </c>
      <c r="F10459" s="10" t="s">
        <v>37623</v>
      </c>
      <c r="G10459" s="10" t="s">
        <v>6317</v>
      </c>
      <c r="H10459" s="11">
        <v>43028</v>
      </c>
      <c r="I10459" s="10">
        <v>2018</v>
      </c>
      <c r="J10459" s="10" t="s">
        <v>37581</v>
      </c>
      <c r="K10459" s="10">
        <v>240</v>
      </c>
      <c r="L10459" s="10" t="s">
        <v>45930</v>
      </c>
      <c r="M10459" s="10">
        <v>2</v>
      </c>
      <c r="N10459" s="10" t="s">
        <v>44310</v>
      </c>
      <c r="O10459" s="10"/>
      <c r="P10459" s="10"/>
      <c r="Q10459" s="10"/>
      <c r="R10459" s="10" t="s">
        <v>45931</v>
      </c>
      <c r="S10459" s="10" t="s">
        <v>53</v>
      </c>
      <c r="T10459" s="10" t="s">
        <v>54</v>
      </c>
    </row>
    <row r="10460" spans="1:20" ht="14.5" x14ac:dyDescent="0.35">
      <c r="A10460" s="10" t="s">
        <v>45932</v>
      </c>
      <c r="B10460" s="10" t="str">
        <f>"9781945349461"</f>
        <v>9781945349461</v>
      </c>
      <c r="C10460" s="10" t="str">
        <f>"9781945349478"</f>
        <v>9781945349478</v>
      </c>
      <c r="D10460" s="10" t="s">
        <v>37580</v>
      </c>
      <c r="E10460" s="10" t="s">
        <v>37581</v>
      </c>
      <c r="F10460" s="10" t="s">
        <v>37623</v>
      </c>
      <c r="G10460" s="10" t="s">
        <v>6317</v>
      </c>
      <c r="H10460" s="11">
        <v>43021</v>
      </c>
      <c r="I10460" s="10">
        <v>2018</v>
      </c>
      <c r="J10460" s="10" t="s">
        <v>37581</v>
      </c>
      <c r="K10460" s="10">
        <v>112</v>
      </c>
      <c r="L10460" s="10" t="s">
        <v>45933</v>
      </c>
      <c r="M10460" s="10">
        <v>1</v>
      </c>
      <c r="N10460" s="10"/>
      <c r="O10460" s="10"/>
      <c r="P10460" s="10" t="s">
        <v>45934</v>
      </c>
      <c r="Q10460" s="10"/>
      <c r="R10460" s="10" t="s">
        <v>45935</v>
      </c>
      <c r="S10460" s="10" t="s">
        <v>53</v>
      </c>
      <c r="T10460" s="10" t="s">
        <v>54</v>
      </c>
    </row>
    <row r="10461" spans="1:20" ht="14.5" x14ac:dyDescent="0.35">
      <c r="A10461" s="10" t="s">
        <v>45936</v>
      </c>
      <c r="B10461" s="10" t="str">
        <f>"9781416624660"</f>
        <v>9781416624660</v>
      </c>
      <c r="C10461" s="10" t="str">
        <f>"9781416624677"</f>
        <v>9781416624677</v>
      </c>
      <c r="D10461" s="10" t="s">
        <v>10014</v>
      </c>
      <c r="E10461" s="10" t="s">
        <v>10015</v>
      </c>
      <c r="F10461" s="10" t="s">
        <v>201</v>
      </c>
      <c r="G10461" s="10" t="s">
        <v>6317</v>
      </c>
      <c r="H10461" s="11">
        <v>43038</v>
      </c>
      <c r="I10461" s="10">
        <v>2017</v>
      </c>
      <c r="J10461" s="10" t="s">
        <v>10015</v>
      </c>
      <c r="K10461" s="10">
        <v>122</v>
      </c>
      <c r="L10461" s="10" t="s">
        <v>45937</v>
      </c>
      <c r="M10461" s="10">
        <v>1</v>
      </c>
      <c r="N10461" s="10"/>
      <c r="O10461" s="10"/>
      <c r="P10461" s="10" t="s">
        <v>45938</v>
      </c>
      <c r="Q10461" s="10">
        <v>371.33</v>
      </c>
      <c r="R10461" s="10" t="s">
        <v>45939</v>
      </c>
      <c r="S10461" s="10" t="s">
        <v>53</v>
      </c>
      <c r="T10461" s="10" t="s">
        <v>54</v>
      </c>
    </row>
    <row r="10462" spans="1:20" ht="14.5" x14ac:dyDescent="0.35">
      <c r="A10462" s="10" t="s">
        <v>45940</v>
      </c>
      <c r="B10462" s="10" t="str">
        <f>"9781416624721"</f>
        <v>9781416624721</v>
      </c>
      <c r="C10462" s="10" t="str">
        <f>"9781416624745"</f>
        <v>9781416624745</v>
      </c>
      <c r="D10462" s="10" t="s">
        <v>10014</v>
      </c>
      <c r="E10462" s="10" t="s">
        <v>10015</v>
      </c>
      <c r="F10462" s="10" t="s">
        <v>201</v>
      </c>
      <c r="G10462" s="10" t="s">
        <v>6317</v>
      </c>
      <c r="H10462" s="11">
        <v>43019</v>
      </c>
      <c r="I10462" s="10">
        <v>2017</v>
      </c>
      <c r="J10462" s="10" t="s">
        <v>10015</v>
      </c>
      <c r="K10462" s="10">
        <v>143</v>
      </c>
      <c r="L10462" s="10" t="s">
        <v>45941</v>
      </c>
      <c r="M10462" s="10">
        <v>1</v>
      </c>
      <c r="N10462" s="10"/>
      <c r="O10462" s="10"/>
      <c r="P10462" s="10" t="s">
        <v>45942</v>
      </c>
      <c r="Q10462" s="10">
        <v>371.39</v>
      </c>
      <c r="R10462" s="10" t="s">
        <v>41334</v>
      </c>
      <c r="S10462" s="10" t="s">
        <v>53</v>
      </c>
      <c r="T10462" s="10" t="s">
        <v>54</v>
      </c>
    </row>
    <row r="10463" spans="1:20" ht="14.5" x14ac:dyDescent="0.35">
      <c r="A10463" s="10" t="s">
        <v>45943</v>
      </c>
      <c r="B10463" s="10" t="str">
        <f>"9781416624547"</f>
        <v>9781416624547</v>
      </c>
      <c r="C10463" s="10" t="str">
        <f>"9781416624554"</f>
        <v>9781416624554</v>
      </c>
      <c r="D10463" s="10" t="s">
        <v>10014</v>
      </c>
      <c r="E10463" s="10" t="s">
        <v>10015</v>
      </c>
      <c r="F10463" s="10" t="s">
        <v>201</v>
      </c>
      <c r="G10463" s="10" t="s">
        <v>6317</v>
      </c>
      <c r="H10463" s="11">
        <v>43038</v>
      </c>
      <c r="I10463" s="10">
        <v>2017</v>
      </c>
      <c r="J10463" s="10" t="s">
        <v>10015</v>
      </c>
      <c r="K10463" s="10">
        <v>365</v>
      </c>
      <c r="L10463" s="10" t="s">
        <v>45944</v>
      </c>
      <c r="M10463" s="10">
        <v>1</v>
      </c>
      <c r="N10463" s="10"/>
      <c r="O10463" s="10"/>
      <c r="P10463" s="10" t="s">
        <v>45945</v>
      </c>
      <c r="Q10463" s="10" t="s">
        <v>10031</v>
      </c>
      <c r="R10463" s="10" t="s">
        <v>45946</v>
      </c>
      <c r="S10463" s="10" t="s">
        <v>53</v>
      </c>
      <c r="T10463" s="10" t="s">
        <v>54</v>
      </c>
    </row>
    <row r="10464" spans="1:20" ht="14.5" x14ac:dyDescent="0.35">
      <c r="A10464" s="10" t="s">
        <v>45947</v>
      </c>
      <c r="B10464" s="10" t="str">
        <f>"9781784539528"</f>
        <v>9781784539528</v>
      </c>
      <c r="C10464" s="10" t="str">
        <f>"9781786722515"</f>
        <v>9781786722515</v>
      </c>
      <c r="D10464" s="10" t="s">
        <v>13959</v>
      </c>
      <c r="E10464" s="10" t="s">
        <v>25560</v>
      </c>
      <c r="F10464" s="10" t="s">
        <v>139</v>
      </c>
      <c r="G10464" s="10" t="s">
        <v>6352</v>
      </c>
      <c r="H10464" s="11">
        <v>43069</v>
      </c>
      <c r="I10464" s="10">
        <v>2017</v>
      </c>
      <c r="J10464" s="10" t="s">
        <v>25560</v>
      </c>
      <c r="K10464" s="10">
        <v>342</v>
      </c>
      <c r="L10464" s="10" t="s">
        <v>45948</v>
      </c>
      <c r="M10464" s="10">
        <v>1</v>
      </c>
      <c r="N10464" s="10"/>
      <c r="O10464" s="10"/>
      <c r="P10464" s="10" t="s">
        <v>45949</v>
      </c>
      <c r="Q10464" s="10">
        <v>956.93029999999999</v>
      </c>
      <c r="R10464" s="10" t="s">
        <v>45950</v>
      </c>
      <c r="S10464" s="10" t="s">
        <v>53</v>
      </c>
      <c r="T10464" s="10" t="s">
        <v>16298</v>
      </c>
    </row>
    <row r="10465" spans="1:20" ht="14.5" x14ac:dyDescent="0.35">
      <c r="A10465" s="10" t="s">
        <v>45951</v>
      </c>
      <c r="B10465" s="10" t="str">
        <f>"9781421424927"</f>
        <v>9781421424927</v>
      </c>
      <c r="C10465" s="10" t="str">
        <f>"9781421424934"</f>
        <v>9781421424934</v>
      </c>
      <c r="D10465" s="10" t="s">
        <v>884</v>
      </c>
      <c r="E10465" s="10" t="s">
        <v>884</v>
      </c>
      <c r="F10465" s="10" t="s">
        <v>885</v>
      </c>
      <c r="G10465" s="10" t="s">
        <v>6317</v>
      </c>
      <c r="H10465" s="11">
        <v>43206</v>
      </c>
      <c r="I10465" s="10">
        <v>2018</v>
      </c>
      <c r="J10465" s="10" t="s">
        <v>884</v>
      </c>
      <c r="K10465" s="10">
        <v>325</v>
      </c>
      <c r="L10465" s="10" t="s">
        <v>45952</v>
      </c>
      <c r="M10465" s="10">
        <v>1</v>
      </c>
      <c r="N10465" s="10"/>
      <c r="O10465" s="10"/>
      <c r="P10465" s="10" t="s">
        <v>45953</v>
      </c>
      <c r="Q10465" s="10" t="s">
        <v>10227</v>
      </c>
      <c r="R10465" s="10" t="s">
        <v>45954</v>
      </c>
      <c r="S10465" s="10" t="s">
        <v>53</v>
      </c>
      <c r="T10465" s="10" t="s">
        <v>54</v>
      </c>
    </row>
    <row r="10466" spans="1:20" ht="14.5" x14ac:dyDescent="0.35">
      <c r="A10466" s="10" t="s">
        <v>45955</v>
      </c>
      <c r="B10466" s="10" t="str">
        <f>"9781421424354"</f>
        <v>9781421424354</v>
      </c>
      <c r="C10466" s="10" t="str">
        <f>"9781421424361"</f>
        <v>9781421424361</v>
      </c>
      <c r="D10466" s="10" t="s">
        <v>884</v>
      </c>
      <c r="E10466" s="10" t="s">
        <v>884</v>
      </c>
      <c r="F10466" s="10" t="s">
        <v>885</v>
      </c>
      <c r="G10466" s="10" t="s">
        <v>6317</v>
      </c>
      <c r="H10466" s="11">
        <v>43132</v>
      </c>
      <c r="I10466" s="10">
        <v>2018</v>
      </c>
      <c r="J10466" s="10" t="s">
        <v>884</v>
      </c>
      <c r="K10466" s="10">
        <v>225</v>
      </c>
      <c r="L10466" s="10" t="s">
        <v>45956</v>
      </c>
      <c r="M10466" s="10">
        <v>1</v>
      </c>
      <c r="N10466" s="10" t="s">
        <v>35998</v>
      </c>
      <c r="O10466" s="10"/>
      <c r="P10466" s="10" t="s">
        <v>45957</v>
      </c>
      <c r="Q10466" s="10">
        <v>371.33</v>
      </c>
      <c r="R10466" s="10" t="s">
        <v>45958</v>
      </c>
      <c r="S10466" s="10" t="s">
        <v>53</v>
      </c>
      <c r="T10466" s="10" t="s">
        <v>54</v>
      </c>
    </row>
    <row r="10467" spans="1:20" ht="14.5" x14ac:dyDescent="0.35">
      <c r="A10467" s="10" t="s">
        <v>45959</v>
      </c>
      <c r="B10467" s="10" t="str">
        <f>"9781421424774"</f>
        <v>9781421424774</v>
      </c>
      <c r="C10467" s="10" t="str">
        <f>"9781421424781"</f>
        <v>9781421424781</v>
      </c>
      <c r="D10467" s="10" t="s">
        <v>884</v>
      </c>
      <c r="E10467" s="10" t="s">
        <v>884</v>
      </c>
      <c r="F10467" s="10" t="s">
        <v>885</v>
      </c>
      <c r="G10467" s="10" t="s">
        <v>6317</v>
      </c>
      <c r="H10467" s="11">
        <v>43115</v>
      </c>
      <c r="I10467" s="10">
        <v>2018</v>
      </c>
      <c r="J10467" s="10" t="s">
        <v>884</v>
      </c>
      <c r="K10467" s="10">
        <v>217</v>
      </c>
      <c r="L10467" s="10" t="s">
        <v>45960</v>
      </c>
      <c r="M10467" s="10">
        <v>1</v>
      </c>
      <c r="N10467" s="10" t="s">
        <v>35979</v>
      </c>
      <c r="O10467" s="10"/>
      <c r="P10467" s="10"/>
      <c r="Q10467" s="10" t="s">
        <v>7307</v>
      </c>
      <c r="R10467" s="10"/>
      <c r="S10467" s="10" t="s">
        <v>53</v>
      </c>
      <c r="T10467" s="10" t="s">
        <v>54</v>
      </c>
    </row>
    <row r="10468" spans="1:20" ht="14.5" x14ac:dyDescent="0.35">
      <c r="A10468" s="10" t="s">
        <v>45961</v>
      </c>
      <c r="B10468" s="10" t="str">
        <f>"9781421424941"</f>
        <v>9781421424941</v>
      </c>
      <c r="C10468" s="10" t="str">
        <f>"9781421424958"</f>
        <v>9781421424958</v>
      </c>
      <c r="D10468" s="10" t="s">
        <v>884</v>
      </c>
      <c r="E10468" s="10" t="s">
        <v>884</v>
      </c>
      <c r="F10468" s="10" t="s">
        <v>885</v>
      </c>
      <c r="G10468" s="10" t="s">
        <v>6317</v>
      </c>
      <c r="H10468" s="11">
        <v>43115</v>
      </c>
      <c r="I10468" s="10">
        <v>2018</v>
      </c>
      <c r="J10468" s="10" t="s">
        <v>884</v>
      </c>
      <c r="K10468" s="10">
        <v>225</v>
      </c>
      <c r="L10468" s="10" t="s">
        <v>45962</v>
      </c>
      <c r="M10468" s="10">
        <v>1</v>
      </c>
      <c r="N10468" s="10" t="s">
        <v>35979</v>
      </c>
      <c r="O10468" s="10"/>
      <c r="P10468" s="10"/>
      <c r="Q10468" s="10" t="s">
        <v>45963</v>
      </c>
      <c r="R10468" s="10"/>
      <c r="S10468" s="10" t="s">
        <v>53</v>
      </c>
      <c r="T10468" s="10" t="s">
        <v>54</v>
      </c>
    </row>
    <row r="10469" spans="1:20" ht="14.5" x14ac:dyDescent="0.35">
      <c r="A10469" s="10" t="s">
        <v>45964</v>
      </c>
      <c r="B10469" s="10" t="str">
        <f>"9781421424637"</f>
        <v>9781421424637</v>
      </c>
      <c r="C10469" s="10" t="str">
        <f>"9781421424644"</f>
        <v>9781421424644</v>
      </c>
      <c r="D10469" s="10" t="s">
        <v>884</v>
      </c>
      <c r="E10469" s="10" t="s">
        <v>884</v>
      </c>
      <c r="F10469" s="10" t="s">
        <v>885</v>
      </c>
      <c r="G10469" s="10" t="s">
        <v>6317</v>
      </c>
      <c r="H10469" s="11">
        <v>43160</v>
      </c>
      <c r="I10469" s="10">
        <v>2018</v>
      </c>
      <c r="J10469" s="10" t="s">
        <v>884</v>
      </c>
      <c r="K10469" s="10">
        <v>215</v>
      </c>
      <c r="L10469" s="10" t="s">
        <v>45965</v>
      </c>
      <c r="M10469" s="10">
        <v>1</v>
      </c>
      <c r="N10469" s="10"/>
      <c r="O10469" s="10"/>
      <c r="P10469" s="10" t="s">
        <v>45966</v>
      </c>
      <c r="Q10469" s="10" t="s">
        <v>7069</v>
      </c>
      <c r="R10469" s="10" t="s">
        <v>45967</v>
      </c>
      <c r="S10469" s="10" t="s">
        <v>53</v>
      </c>
      <c r="T10469" s="10" t="s">
        <v>54</v>
      </c>
    </row>
    <row r="10470" spans="1:20" ht="14.5" x14ac:dyDescent="0.35">
      <c r="A10470" s="10" t="s">
        <v>45968</v>
      </c>
      <c r="B10470" s="10" t="str">
        <f>"9781472938312"</f>
        <v>9781472938312</v>
      </c>
      <c r="C10470" s="10" t="str">
        <f>"9781472938329"</f>
        <v>9781472938329</v>
      </c>
      <c r="D10470" s="10" t="s">
        <v>13959</v>
      </c>
      <c r="E10470" s="10" t="s">
        <v>13960</v>
      </c>
      <c r="F10470" s="10" t="s">
        <v>139</v>
      </c>
      <c r="G10470" s="10" t="s">
        <v>6352</v>
      </c>
      <c r="H10470" s="11">
        <v>42999</v>
      </c>
      <c r="I10470" s="10">
        <v>2017</v>
      </c>
      <c r="J10470" s="10" t="s">
        <v>13960</v>
      </c>
      <c r="K10470" s="10">
        <v>177</v>
      </c>
      <c r="L10470" s="10" t="s">
        <v>25666</v>
      </c>
      <c r="M10470" s="10">
        <v>1</v>
      </c>
      <c r="N10470" s="10"/>
      <c r="O10470" s="10"/>
      <c r="P10470" s="10" t="s">
        <v>45969</v>
      </c>
      <c r="Q10470" s="10">
        <v>372.21</v>
      </c>
      <c r="R10470" s="10" t="s">
        <v>45970</v>
      </c>
      <c r="S10470" s="10" t="s">
        <v>53</v>
      </c>
      <c r="T10470" s="10" t="s">
        <v>10829</v>
      </c>
    </row>
    <row r="10471" spans="1:20" ht="14.5" x14ac:dyDescent="0.35">
      <c r="A10471" s="10" t="s">
        <v>45971</v>
      </c>
      <c r="B10471" s="10" t="str">
        <f>"9781620364437"</f>
        <v>9781620364437</v>
      </c>
      <c r="C10471" s="10" t="str">
        <f>"9781000974485"</f>
        <v>9781000974485</v>
      </c>
      <c r="D10471" s="10" t="s">
        <v>6350</v>
      </c>
      <c r="E10471" s="10" t="s">
        <v>6351</v>
      </c>
      <c r="F10471" s="10" t="s">
        <v>748</v>
      </c>
      <c r="G10471" s="10" t="s">
        <v>6352</v>
      </c>
      <c r="H10471" s="11">
        <v>43011</v>
      </c>
      <c r="I10471" s="10">
        <v>2017</v>
      </c>
      <c r="J10471" s="10" t="s">
        <v>6351</v>
      </c>
      <c r="K10471" s="10">
        <v>274</v>
      </c>
      <c r="L10471" s="10" t="s">
        <v>45972</v>
      </c>
      <c r="M10471" s="10">
        <v>1</v>
      </c>
      <c r="N10471" s="10"/>
      <c r="O10471" s="10"/>
      <c r="P10471" s="10" t="s">
        <v>45973</v>
      </c>
      <c r="Q10471" s="10" t="s">
        <v>45974</v>
      </c>
      <c r="R10471" s="10" t="s">
        <v>45975</v>
      </c>
      <c r="S10471" s="10" t="s">
        <v>53</v>
      </c>
      <c r="T10471" s="10" t="s">
        <v>54</v>
      </c>
    </row>
    <row r="10472" spans="1:20" ht="14.5" x14ac:dyDescent="0.35">
      <c r="A10472" s="10" t="s">
        <v>45976</v>
      </c>
      <c r="B10472" s="10" t="str">
        <f>"9781943874705"</f>
        <v>9781943874705</v>
      </c>
      <c r="C10472" s="10" t="str">
        <f>"9781943874712"</f>
        <v>9781943874712</v>
      </c>
      <c r="D10472" s="10" t="s">
        <v>37580</v>
      </c>
      <c r="E10472" s="10" t="s">
        <v>37581</v>
      </c>
      <c r="F10472" s="10" t="s">
        <v>37623</v>
      </c>
      <c r="G10472" s="10" t="s">
        <v>6317</v>
      </c>
      <c r="H10472" s="11">
        <v>43035</v>
      </c>
      <c r="I10472" s="10">
        <v>2018</v>
      </c>
      <c r="J10472" s="10" t="s">
        <v>37581</v>
      </c>
      <c r="K10472" s="10">
        <v>200</v>
      </c>
      <c r="L10472" s="10" t="s">
        <v>44020</v>
      </c>
      <c r="M10472" s="10">
        <v>1</v>
      </c>
      <c r="N10472" s="10"/>
      <c r="O10472" s="10"/>
      <c r="P10472" s="10" t="s">
        <v>45977</v>
      </c>
      <c r="Q10472" s="10"/>
      <c r="R10472" s="10" t="s">
        <v>45978</v>
      </c>
      <c r="S10472" s="10" t="s">
        <v>53</v>
      </c>
      <c r="T10472" s="10" t="s">
        <v>54</v>
      </c>
    </row>
    <row r="10473" spans="1:20" ht="14.5" x14ac:dyDescent="0.35">
      <c r="A10473" s="10" t="s">
        <v>45979</v>
      </c>
      <c r="B10473" s="10" t="str">
        <f>"9781945349423"</f>
        <v>9781945349423</v>
      </c>
      <c r="C10473" s="10" t="str">
        <f>"9781945349430"</f>
        <v>9781945349430</v>
      </c>
      <c r="D10473" s="10" t="s">
        <v>37580</v>
      </c>
      <c r="E10473" s="10" t="s">
        <v>37581</v>
      </c>
      <c r="F10473" s="10" t="s">
        <v>37623</v>
      </c>
      <c r="G10473" s="10" t="s">
        <v>6317</v>
      </c>
      <c r="H10473" s="11">
        <v>43035</v>
      </c>
      <c r="I10473" s="10">
        <v>2018</v>
      </c>
      <c r="J10473" s="10" t="s">
        <v>37581</v>
      </c>
      <c r="K10473" s="10">
        <v>200</v>
      </c>
      <c r="L10473" s="10" t="s">
        <v>45980</v>
      </c>
      <c r="M10473" s="10">
        <v>1</v>
      </c>
      <c r="N10473" s="10"/>
      <c r="O10473" s="10"/>
      <c r="P10473" s="10" t="s">
        <v>45981</v>
      </c>
      <c r="Q10473" s="10"/>
      <c r="R10473" s="10" t="s">
        <v>45982</v>
      </c>
      <c r="S10473" s="10" t="s">
        <v>53</v>
      </c>
      <c r="T10473" s="10" t="s">
        <v>54</v>
      </c>
    </row>
    <row r="10474" spans="1:20" ht="14.5" x14ac:dyDescent="0.35">
      <c r="A10474" s="10" t="s">
        <v>45983</v>
      </c>
      <c r="B10474" s="10" t="str">
        <f>"9781498537292"</f>
        <v>9781498537292</v>
      </c>
      <c r="C10474" s="10" t="str">
        <f>"9781498537308"</f>
        <v>9781498537308</v>
      </c>
      <c r="D10474" s="10" t="s">
        <v>9752</v>
      </c>
      <c r="E10474" s="10" t="s">
        <v>15182</v>
      </c>
      <c r="F10474" s="10" t="s">
        <v>3460</v>
      </c>
      <c r="G10474" s="10" t="s">
        <v>6317</v>
      </c>
      <c r="H10474" s="11">
        <v>43047</v>
      </c>
      <c r="I10474" s="10">
        <v>2017</v>
      </c>
      <c r="J10474" s="10" t="s">
        <v>15182</v>
      </c>
      <c r="K10474" s="10">
        <v>133</v>
      </c>
      <c r="L10474" s="10" t="s">
        <v>45984</v>
      </c>
      <c r="M10474" s="10">
        <v>1</v>
      </c>
      <c r="N10474" s="10" t="s">
        <v>45985</v>
      </c>
      <c r="O10474" s="10"/>
      <c r="P10474" s="10" t="s">
        <v>45986</v>
      </c>
      <c r="Q10474" s="10">
        <v>371.82623097300001</v>
      </c>
      <c r="R10474" s="10" t="s">
        <v>45987</v>
      </c>
      <c r="S10474" s="10" t="s">
        <v>53</v>
      </c>
      <c r="T10474" s="10" t="s">
        <v>54</v>
      </c>
    </row>
    <row r="10475" spans="1:20" ht="14.5" x14ac:dyDescent="0.35">
      <c r="A10475" s="10" t="s">
        <v>45988</v>
      </c>
      <c r="B10475" s="10" t="str">
        <f>"9781119384700"</f>
        <v>9781119384700</v>
      </c>
      <c r="C10475" s="10" t="str">
        <f>"9781119384717"</f>
        <v>9781119384717</v>
      </c>
      <c r="D10475" s="10" t="s">
        <v>6322</v>
      </c>
      <c r="E10475" s="10" t="s">
        <v>6323</v>
      </c>
      <c r="F10475" s="10" t="s">
        <v>4423</v>
      </c>
      <c r="G10475" s="10" t="s">
        <v>6317</v>
      </c>
      <c r="H10475" s="11">
        <v>43045</v>
      </c>
      <c r="I10475" s="10">
        <v>2017</v>
      </c>
      <c r="J10475" s="10" t="s">
        <v>6323</v>
      </c>
      <c r="K10475" s="10">
        <v>176</v>
      </c>
      <c r="L10475" s="10" t="s">
        <v>45989</v>
      </c>
      <c r="M10475" s="10">
        <v>1</v>
      </c>
      <c r="N10475" s="10"/>
      <c r="O10475" s="10"/>
      <c r="P10475" s="10"/>
      <c r="Q10475" s="10"/>
      <c r="R10475" s="10" t="s">
        <v>45990</v>
      </c>
      <c r="S10475" s="10" t="s">
        <v>53</v>
      </c>
      <c r="T10475" s="10" t="s">
        <v>6640</v>
      </c>
    </row>
    <row r="10476" spans="1:20" ht="14.5" x14ac:dyDescent="0.35">
      <c r="A10476" s="10" t="s">
        <v>45991</v>
      </c>
      <c r="B10476" s="10" t="str">
        <f>"9781551383262"</f>
        <v>9781551383262</v>
      </c>
      <c r="C10476" s="10" t="str">
        <f>"9781551389271"</f>
        <v>9781551389271</v>
      </c>
      <c r="D10476" s="10" t="s">
        <v>45074</v>
      </c>
      <c r="E10476" s="10" t="s">
        <v>45075</v>
      </c>
      <c r="F10476" s="10" t="s">
        <v>901</v>
      </c>
      <c r="G10476" s="10" t="s">
        <v>9536</v>
      </c>
      <c r="H10476" s="11">
        <v>43000</v>
      </c>
      <c r="I10476" s="10">
        <v>2017</v>
      </c>
      <c r="J10476" s="10" t="s">
        <v>45075</v>
      </c>
      <c r="K10476" s="10">
        <v>178</v>
      </c>
      <c r="L10476" s="10" t="s">
        <v>45084</v>
      </c>
      <c r="M10476" s="10">
        <v>1</v>
      </c>
      <c r="N10476" s="10"/>
      <c r="O10476" s="10"/>
      <c r="P10476" s="10" t="s">
        <v>45992</v>
      </c>
      <c r="Q10476" s="10" t="s">
        <v>9646</v>
      </c>
      <c r="R10476" s="10"/>
      <c r="S10476" s="10" t="s">
        <v>53</v>
      </c>
      <c r="T10476" s="10" t="s">
        <v>54</v>
      </c>
    </row>
    <row r="10477" spans="1:20" ht="14.5" x14ac:dyDescent="0.35">
      <c r="A10477" s="10" t="s">
        <v>45993</v>
      </c>
      <c r="B10477" s="10" t="str">
        <f>"9781551383255"</f>
        <v>9781551383255</v>
      </c>
      <c r="C10477" s="10" t="str">
        <f>"9781551389257"</f>
        <v>9781551389257</v>
      </c>
      <c r="D10477" s="10" t="s">
        <v>45074</v>
      </c>
      <c r="E10477" s="10" t="s">
        <v>45075</v>
      </c>
      <c r="F10477" s="10" t="s">
        <v>901</v>
      </c>
      <c r="G10477" s="10" t="s">
        <v>9536</v>
      </c>
      <c r="H10477" s="11">
        <v>43025</v>
      </c>
      <c r="I10477" s="10">
        <v>2017</v>
      </c>
      <c r="J10477" s="10" t="s">
        <v>45075</v>
      </c>
      <c r="K10477" s="10">
        <v>125</v>
      </c>
      <c r="L10477" s="10" t="s">
        <v>45994</v>
      </c>
      <c r="M10477" s="10">
        <v>1</v>
      </c>
      <c r="N10477" s="10"/>
      <c r="O10477" s="10"/>
      <c r="P10477" s="10"/>
      <c r="Q10477" s="10" t="s">
        <v>16264</v>
      </c>
      <c r="R10477" s="10"/>
      <c r="S10477" s="10" t="s">
        <v>53</v>
      </c>
      <c r="T10477" s="10" t="s">
        <v>54</v>
      </c>
    </row>
    <row r="10478" spans="1:20" ht="14.5" x14ac:dyDescent="0.35">
      <c r="A10478" s="10" t="s">
        <v>45995</v>
      </c>
      <c r="B10478" s="10" t="str">
        <f>"9781551383248"</f>
        <v>9781551383248</v>
      </c>
      <c r="C10478" s="10" t="str">
        <f>"9781551389264"</f>
        <v>9781551389264</v>
      </c>
      <c r="D10478" s="10" t="s">
        <v>45074</v>
      </c>
      <c r="E10478" s="10" t="s">
        <v>45075</v>
      </c>
      <c r="F10478" s="10" t="s">
        <v>901</v>
      </c>
      <c r="G10478" s="10" t="s">
        <v>9536</v>
      </c>
      <c r="H10478" s="11">
        <v>43026</v>
      </c>
      <c r="I10478" s="10">
        <v>2017</v>
      </c>
      <c r="J10478" s="10" t="s">
        <v>45075</v>
      </c>
      <c r="K10478" s="10">
        <v>144</v>
      </c>
      <c r="L10478" s="10" t="s">
        <v>45996</v>
      </c>
      <c r="M10478" s="10">
        <v>1</v>
      </c>
      <c r="N10478" s="10"/>
      <c r="O10478" s="10"/>
      <c r="P10478" s="10"/>
      <c r="Q10478" s="10">
        <v>372.41</v>
      </c>
      <c r="R10478" s="10"/>
      <c r="S10478" s="10" t="s">
        <v>53</v>
      </c>
      <c r="T10478" s="10" t="s">
        <v>54</v>
      </c>
    </row>
    <row r="10479" spans="1:20" ht="14.5" x14ac:dyDescent="0.35">
      <c r="A10479" s="10" t="s">
        <v>45997</v>
      </c>
      <c r="B10479" s="10" t="str">
        <f>"9781462532681"</f>
        <v>9781462532681</v>
      </c>
      <c r="C10479" s="10" t="str">
        <f>"9781462532728"</f>
        <v>9781462532728</v>
      </c>
      <c r="D10479" s="10" t="s">
        <v>11213</v>
      </c>
      <c r="E10479" s="10" t="s">
        <v>11214</v>
      </c>
      <c r="F10479" s="10" t="s">
        <v>70</v>
      </c>
      <c r="G10479" s="10" t="s">
        <v>6317</v>
      </c>
      <c r="H10479" s="11">
        <v>43081</v>
      </c>
      <c r="I10479" s="10">
        <v>2018</v>
      </c>
      <c r="J10479" s="10" t="s">
        <v>11214</v>
      </c>
      <c r="K10479" s="10">
        <v>258</v>
      </c>
      <c r="L10479" s="10" t="s">
        <v>45998</v>
      </c>
      <c r="M10479" s="10">
        <v>1</v>
      </c>
      <c r="N10479" s="10"/>
      <c r="O10479" s="10"/>
      <c r="P10479" s="10" t="s">
        <v>45999</v>
      </c>
      <c r="Q10479" s="10">
        <v>371.8</v>
      </c>
      <c r="R10479" s="10" t="s">
        <v>46000</v>
      </c>
      <c r="S10479" s="10" t="s">
        <v>53</v>
      </c>
      <c r="T10479" s="10" t="s">
        <v>54</v>
      </c>
    </row>
    <row r="10480" spans="1:20" ht="14.5" x14ac:dyDescent="0.35">
      <c r="A10480" s="10" t="s">
        <v>46001</v>
      </c>
      <c r="B10480" s="10" t="str">
        <f>"9789463510905"</f>
        <v>9789463510905</v>
      </c>
      <c r="C10480" s="10" t="str">
        <f>"9789463510929"</f>
        <v>9789463510929</v>
      </c>
      <c r="D10480" s="10" t="s">
        <v>8564</v>
      </c>
      <c r="E10480" s="10" t="s">
        <v>8565</v>
      </c>
      <c r="F10480" s="10" t="s">
        <v>1420</v>
      </c>
      <c r="G10480" s="10" t="s">
        <v>6317</v>
      </c>
      <c r="H10480" s="11">
        <v>42965</v>
      </c>
      <c r="I10480" s="10">
        <v>2017</v>
      </c>
      <c r="J10480" s="10" t="s">
        <v>33259</v>
      </c>
      <c r="K10480" s="10">
        <v>124</v>
      </c>
      <c r="L10480" s="10" t="s">
        <v>46002</v>
      </c>
      <c r="M10480" s="10">
        <v>1</v>
      </c>
      <c r="N10480" s="10"/>
      <c r="O10480" s="10"/>
      <c r="P10480" s="10"/>
      <c r="Q10480" s="10"/>
      <c r="R10480" s="10"/>
      <c r="S10480" s="10" t="s">
        <v>53</v>
      </c>
      <c r="T10480" s="10" t="s">
        <v>54</v>
      </c>
    </row>
    <row r="10481" spans="1:20" ht="14.5" x14ac:dyDescent="0.35">
      <c r="A10481" s="10" t="s">
        <v>46003</v>
      </c>
      <c r="B10481" s="10" t="str">
        <f>"9781742863733"</f>
        <v>9781742863733</v>
      </c>
      <c r="C10481" s="10" t="str">
        <f>"9781742864396"</f>
        <v>9781742864396</v>
      </c>
      <c r="D10481" s="10" t="s">
        <v>41739</v>
      </c>
      <c r="E10481" s="10" t="s">
        <v>41740</v>
      </c>
      <c r="F10481" s="10" t="s">
        <v>646</v>
      </c>
      <c r="G10481" s="10" t="s">
        <v>12975</v>
      </c>
      <c r="H10481" s="11">
        <v>42614</v>
      </c>
      <c r="I10481" s="10">
        <v>2016</v>
      </c>
      <c r="J10481" s="10" t="s">
        <v>41740</v>
      </c>
      <c r="K10481" s="10">
        <v>151</v>
      </c>
      <c r="L10481" s="10" t="s">
        <v>46004</v>
      </c>
      <c r="M10481" s="10">
        <v>1</v>
      </c>
      <c r="N10481" s="10"/>
      <c r="O10481" s="10"/>
      <c r="P10481" s="10"/>
      <c r="Q10481" s="10"/>
      <c r="R10481" s="10" t="s">
        <v>46005</v>
      </c>
      <c r="S10481" s="10" t="s">
        <v>53</v>
      </c>
      <c r="T10481" s="10" t="s">
        <v>54</v>
      </c>
    </row>
    <row r="10482" spans="1:20" ht="14.5" x14ac:dyDescent="0.35">
      <c r="A10482" s="10" t="s">
        <v>46006</v>
      </c>
      <c r="B10482" s="10" t="str">
        <f>"9781622733156"</f>
        <v>9781622733156</v>
      </c>
      <c r="C10482" s="10" t="str">
        <f>"9781622733545"</f>
        <v>9781622733545</v>
      </c>
      <c r="D10482" s="10" t="s">
        <v>46007</v>
      </c>
      <c r="E10482" s="10" t="s">
        <v>46008</v>
      </c>
      <c r="F10482" s="10" t="s">
        <v>2319</v>
      </c>
      <c r="G10482" s="10" t="s">
        <v>6317</v>
      </c>
      <c r="H10482" s="11">
        <v>43115</v>
      </c>
      <c r="I10482" s="10">
        <v>2017</v>
      </c>
      <c r="J10482" s="10" t="s">
        <v>46007</v>
      </c>
      <c r="K10482" s="10">
        <v>193</v>
      </c>
      <c r="L10482" s="10" t="s">
        <v>46009</v>
      </c>
      <c r="M10482" s="10">
        <v>1</v>
      </c>
      <c r="N10482" s="10"/>
      <c r="O10482" s="10"/>
      <c r="P10482" s="10" t="s">
        <v>46010</v>
      </c>
      <c r="Q10482" s="10">
        <v>370</v>
      </c>
      <c r="R10482" s="10" t="s">
        <v>13858</v>
      </c>
      <c r="S10482" s="10" t="s">
        <v>53</v>
      </c>
      <c r="T10482" s="10" t="s">
        <v>54</v>
      </c>
    </row>
    <row r="10483" spans="1:20" ht="14.5" x14ac:dyDescent="0.35">
      <c r="A10483" s="10" t="s">
        <v>46011</v>
      </c>
      <c r="B10483" s="10" t="str">
        <f>"9783828206199"</f>
        <v>9783828206199</v>
      </c>
      <c r="C10483" s="10" t="str">
        <f>"9783110509786"</f>
        <v>9783110509786</v>
      </c>
      <c r="D10483" s="10" t="s">
        <v>9995</v>
      </c>
      <c r="E10483" s="10" t="s">
        <v>2515</v>
      </c>
      <c r="F10483" s="10" t="s">
        <v>26321</v>
      </c>
      <c r="G10483" s="10" t="s">
        <v>9998</v>
      </c>
      <c r="H10483" s="11">
        <v>42005</v>
      </c>
      <c r="I10483" s="10">
        <v>2015</v>
      </c>
      <c r="J10483" s="10" t="s">
        <v>28454</v>
      </c>
      <c r="K10483" s="10">
        <v>232</v>
      </c>
      <c r="L10483" s="10" t="s">
        <v>46012</v>
      </c>
      <c r="M10483" s="10">
        <v>1</v>
      </c>
      <c r="N10483" s="10" t="s">
        <v>45662</v>
      </c>
      <c r="O10483" s="10">
        <v>15</v>
      </c>
      <c r="P10483" s="10" t="s">
        <v>46013</v>
      </c>
      <c r="Q10483" s="10"/>
      <c r="R10483" s="10" t="s">
        <v>46014</v>
      </c>
      <c r="S10483" s="10" t="s">
        <v>1519</v>
      </c>
      <c r="T10483" s="10" t="s">
        <v>6384</v>
      </c>
    </row>
    <row r="10484" spans="1:20" ht="14.5" x14ac:dyDescent="0.35">
      <c r="A10484" s="10" t="s">
        <v>46015</v>
      </c>
      <c r="B10484" s="10" t="str">
        <f>"9783319629438"</f>
        <v>9783319629438</v>
      </c>
      <c r="C10484" s="10" t="str">
        <f>"9783319629445"</f>
        <v>9783319629445</v>
      </c>
      <c r="D10484" s="10" t="s">
        <v>11249</v>
      </c>
      <c r="E10484" s="10" t="s">
        <v>26623</v>
      </c>
      <c r="F10484" s="10" t="s">
        <v>26624</v>
      </c>
      <c r="G10484" s="10" t="s">
        <v>16676</v>
      </c>
      <c r="H10484" s="11">
        <v>43042</v>
      </c>
      <c r="I10484" s="10">
        <v>2018</v>
      </c>
      <c r="J10484" s="10" t="s">
        <v>13067</v>
      </c>
      <c r="K10484" s="10">
        <v>222</v>
      </c>
      <c r="L10484" s="10" t="s">
        <v>46016</v>
      </c>
      <c r="M10484" s="10">
        <v>1</v>
      </c>
      <c r="N10484" s="10"/>
      <c r="O10484" s="10"/>
      <c r="P10484" s="10" t="s">
        <v>46017</v>
      </c>
      <c r="Q10484" s="10"/>
      <c r="R10484" s="10" t="s">
        <v>46018</v>
      </c>
      <c r="S10484" s="10" t="s">
        <v>53</v>
      </c>
      <c r="T10484" s="10" t="s">
        <v>8625</v>
      </c>
    </row>
    <row r="10485" spans="1:20" ht="14.5" x14ac:dyDescent="0.35">
      <c r="A10485" s="10" t="s">
        <v>46019</v>
      </c>
      <c r="B10485" s="10" t="str">
        <f>"9789463511056"</f>
        <v>9789463511056</v>
      </c>
      <c r="C10485" s="10" t="str">
        <f>"9789463511070"</f>
        <v>9789463511070</v>
      </c>
      <c r="D10485" s="10" t="s">
        <v>8564</v>
      </c>
      <c r="E10485" s="10" t="s">
        <v>13067</v>
      </c>
      <c r="F10485" s="10" t="s">
        <v>33250</v>
      </c>
      <c r="G10485" s="10" t="s">
        <v>9233</v>
      </c>
      <c r="H10485" s="11">
        <v>42972</v>
      </c>
      <c r="I10485" s="10">
        <v>2017</v>
      </c>
      <c r="J10485" s="10" t="s">
        <v>13067</v>
      </c>
      <c r="K10485" s="10">
        <v>346</v>
      </c>
      <c r="L10485" s="10" t="s">
        <v>46020</v>
      </c>
      <c r="M10485" s="10">
        <v>1</v>
      </c>
      <c r="N10485" s="10"/>
      <c r="O10485" s="10"/>
      <c r="P10485" s="10" t="s">
        <v>19534</v>
      </c>
      <c r="Q10485" s="10">
        <v>616.85530000000006</v>
      </c>
      <c r="R10485" s="10" t="s">
        <v>46021</v>
      </c>
      <c r="S10485" s="10" t="s">
        <v>53</v>
      </c>
      <c r="T10485" s="10" t="s">
        <v>10829</v>
      </c>
    </row>
    <row r="10486" spans="1:20" ht="14.5" x14ac:dyDescent="0.35">
      <c r="A10486" s="10" t="s">
        <v>46022</v>
      </c>
      <c r="B10486" s="10" t="str">
        <f>"9781785337024"</f>
        <v>9781785337024</v>
      </c>
      <c r="C10486" s="10" t="str">
        <f>"9781785337031"</f>
        <v>9781785337031</v>
      </c>
      <c r="D10486" s="10" t="s">
        <v>21315</v>
      </c>
      <c r="E10486" s="10" t="s">
        <v>21316</v>
      </c>
      <c r="F10486" s="10" t="s">
        <v>13068</v>
      </c>
      <c r="G10486" s="10" t="s">
        <v>6317</v>
      </c>
      <c r="H10486" s="11">
        <v>43009</v>
      </c>
      <c r="I10486" s="10">
        <v>2017</v>
      </c>
      <c r="J10486" s="10" t="s">
        <v>21316</v>
      </c>
      <c r="K10486" s="10">
        <v>356</v>
      </c>
      <c r="L10486" s="10" t="s">
        <v>46023</v>
      </c>
      <c r="M10486" s="10">
        <v>1</v>
      </c>
      <c r="N10486" s="10"/>
      <c r="O10486" s="10"/>
      <c r="P10486" s="10" t="s">
        <v>46024</v>
      </c>
      <c r="Q10486" s="10">
        <v>370.11700000000002</v>
      </c>
      <c r="R10486" s="10" t="s">
        <v>46025</v>
      </c>
      <c r="S10486" s="10" t="s">
        <v>53</v>
      </c>
      <c r="T10486" s="10" t="s">
        <v>54</v>
      </c>
    </row>
    <row r="10487" spans="1:20" ht="14.5" x14ac:dyDescent="0.35">
      <c r="A10487" s="10" t="s">
        <v>46026</v>
      </c>
      <c r="B10487" s="10" t="str">
        <f>"9781474244299"</f>
        <v>9781474244299</v>
      </c>
      <c r="C10487" s="10" t="str">
        <f>"9781474244305"</f>
        <v>9781474244305</v>
      </c>
      <c r="D10487" s="10" t="s">
        <v>13959</v>
      </c>
      <c r="E10487" s="10" t="s">
        <v>13960</v>
      </c>
      <c r="F10487" s="10" t="s">
        <v>139</v>
      </c>
      <c r="G10487" s="10" t="s">
        <v>6352</v>
      </c>
      <c r="H10487" s="11">
        <v>43083</v>
      </c>
      <c r="I10487" s="10">
        <v>2017</v>
      </c>
      <c r="J10487" s="10" t="s">
        <v>14057</v>
      </c>
      <c r="K10487" s="10">
        <v>392</v>
      </c>
      <c r="L10487" s="10" t="s">
        <v>46027</v>
      </c>
      <c r="M10487" s="10">
        <v>1</v>
      </c>
      <c r="N10487" s="10" t="s">
        <v>26015</v>
      </c>
      <c r="O10487" s="10"/>
      <c r="P10487" s="10" t="s">
        <v>46028</v>
      </c>
      <c r="Q10487" s="10">
        <v>370.95400000000001</v>
      </c>
      <c r="R10487" s="10" t="s">
        <v>46029</v>
      </c>
      <c r="S10487" s="10" t="s">
        <v>53</v>
      </c>
      <c r="T10487" s="10" t="s">
        <v>54</v>
      </c>
    </row>
    <row r="10488" spans="1:20" ht="14.5" x14ac:dyDescent="0.35">
      <c r="A10488" s="10" t="s">
        <v>46030</v>
      </c>
      <c r="B10488" s="10" t="str">
        <f>"9781625311023"</f>
        <v>9781625311023</v>
      </c>
      <c r="C10488" s="10" t="str">
        <f>"9781003841326"</f>
        <v>9781003841326</v>
      </c>
      <c r="D10488" s="10" t="s">
        <v>6350</v>
      </c>
      <c r="E10488" s="10" t="s">
        <v>6351</v>
      </c>
      <c r="F10488" s="10" t="s">
        <v>3967</v>
      </c>
      <c r="G10488" s="10" t="s">
        <v>6352</v>
      </c>
      <c r="H10488" s="11">
        <v>42997</v>
      </c>
      <c r="I10488" s="10">
        <v>2017</v>
      </c>
      <c r="J10488" s="10" t="s">
        <v>6353</v>
      </c>
      <c r="K10488" s="10">
        <v>209</v>
      </c>
      <c r="L10488" s="10" t="s">
        <v>46031</v>
      </c>
      <c r="M10488" s="10">
        <v>1</v>
      </c>
      <c r="N10488" s="10"/>
      <c r="O10488" s="10"/>
      <c r="P10488" s="10"/>
      <c r="Q10488" s="10">
        <v>372.63200000000001</v>
      </c>
      <c r="R10488" s="10" t="s">
        <v>46032</v>
      </c>
      <c r="S10488" s="10" t="s">
        <v>53</v>
      </c>
      <c r="T10488" s="10" t="s">
        <v>54</v>
      </c>
    </row>
    <row r="10489" spans="1:20" ht="14.5" x14ac:dyDescent="0.35">
      <c r="A10489" s="10" t="s">
        <v>46033</v>
      </c>
      <c r="B10489" s="10" t="str">
        <f>"9781498566162"</f>
        <v>9781498566162</v>
      </c>
      <c r="C10489" s="10" t="str">
        <f>"9781498566179"</f>
        <v>9781498566179</v>
      </c>
      <c r="D10489" s="10" t="s">
        <v>9752</v>
      </c>
      <c r="E10489" s="10" t="s">
        <v>15182</v>
      </c>
      <c r="F10489" s="10" t="s">
        <v>9754</v>
      </c>
      <c r="G10489" s="10" t="s">
        <v>6317</v>
      </c>
      <c r="H10489" s="11">
        <v>43054</v>
      </c>
      <c r="I10489" s="10">
        <v>2017</v>
      </c>
      <c r="J10489" s="10" t="s">
        <v>15182</v>
      </c>
      <c r="K10489" s="10">
        <v>227</v>
      </c>
      <c r="L10489" s="10" t="s">
        <v>46034</v>
      </c>
      <c r="M10489" s="10">
        <v>1</v>
      </c>
      <c r="N10489" s="10"/>
      <c r="O10489" s="10"/>
      <c r="P10489" s="10" t="s">
        <v>46035</v>
      </c>
      <c r="Q10489" s="10" t="s">
        <v>46036</v>
      </c>
      <c r="R10489" s="10" t="s">
        <v>46037</v>
      </c>
      <c r="S10489" s="10" t="s">
        <v>53</v>
      </c>
      <c r="T10489" s="10" t="s">
        <v>4490</v>
      </c>
    </row>
    <row r="10490" spans="1:20" ht="14.5" x14ac:dyDescent="0.35">
      <c r="A10490" s="10" t="s">
        <v>46038</v>
      </c>
      <c r="B10490" s="10" t="str">
        <f>"9781137519603"</f>
        <v>9781137519603</v>
      </c>
      <c r="C10490" s="10" t="str">
        <f>"9781137519610"</f>
        <v>9781137519610</v>
      </c>
      <c r="D10490" s="10" t="s">
        <v>11249</v>
      </c>
      <c r="E10490" s="10" t="s">
        <v>13407</v>
      </c>
      <c r="F10490" s="10" t="s">
        <v>139</v>
      </c>
      <c r="G10490" s="10" t="s">
        <v>6352</v>
      </c>
      <c r="H10490" s="11">
        <v>43049</v>
      </c>
      <c r="I10490" s="10">
        <v>2018</v>
      </c>
      <c r="J10490" s="10" t="s">
        <v>2400</v>
      </c>
      <c r="K10490" s="10">
        <v>315</v>
      </c>
      <c r="L10490" s="10" t="s">
        <v>46039</v>
      </c>
      <c r="M10490" s="10">
        <v>1</v>
      </c>
      <c r="N10490" s="10" t="s">
        <v>13409</v>
      </c>
      <c r="O10490" s="10"/>
      <c r="P10490" s="10" t="s">
        <v>46040</v>
      </c>
      <c r="Q10490" s="10">
        <v>306.44095399999998</v>
      </c>
      <c r="R10490" s="10" t="s">
        <v>46041</v>
      </c>
      <c r="S10490" s="10" t="s">
        <v>53</v>
      </c>
      <c r="T10490" s="10" t="s">
        <v>8412</v>
      </c>
    </row>
    <row r="10491" spans="1:20" ht="14.5" x14ac:dyDescent="0.35">
      <c r="A10491" s="10" t="s">
        <v>46042</v>
      </c>
      <c r="B10491" s="10" t="str">
        <f>"9783037341247"</f>
        <v>9783037341247</v>
      </c>
      <c r="C10491" s="10" t="str">
        <f>"9783037343531"</f>
        <v>9783037343531</v>
      </c>
      <c r="D10491" s="10" t="s">
        <v>27189</v>
      </c>
      <c r="E10491" s="10" t="s">
        <v>46043</v>
      </c>
      <c r="F10491" s="10" t="s">
        <v>2925</v>
      </c>
      <c r="G10491" s="10" t="s">
        <v>9998</v>
      </c>
      <c r="H10491" s="11">
        <v>43101</v>
      </c>
      <c r="I10491" s="10">
        <v>2018</v>
      </c>
      <c r="J10491" s="10" t="s">
        <v>46043</v>
      </c>
      <c r="K10491" s="10">
        <v>416</v>
      </c>
      <c r="L10491" s="10" t="s">
        <v>46044</v>
      </c>
      <c r="M10491" s="10"/>
      <c r="N10491" s="10" t="s">
        <v>46045</v>
      </c>
      <c r="O10491" s="10">
        <v>15</v>
      </c>
      <c r="P10491" s="10" t="s">
        <v>46046</v>
      </c>
      <c r="Q10491" s="10">
        <v>378.1</v>
      </c>
      <c r="R10491" s="10" t="s">
        <v>46047</v>
      </c>
      <c r="S10491" s="10" t="s">
        <v>1519</v>
      </c>
      <c r="T10491" s="10" t="s">
        <v>54</v>
      </c>
    </row>
    <row r="10492" spans="1:20" ht="14.5" x14ac:dyDescent="0.35">
      <c r="A10492" s="10" t="s">
        <v>46048</v>
      </c>
      <c r="B10492" s="10" t="str">
        <f>"9783037343197"</f>
        <v>9783037343197</v>
      </c>
      <c r="C10492" s="10" t="str">
        <f>"9783037348192"</f>
        <v>9783037348192</v>
      </c>
      <c r="D10492" s="10" t="s">
        <v>27189</v>
      </c>
      <c r="E10492" s="10" t="s">
        <v>46043</v>
      </c>
      <c r="F10492" s="10" t="s">
        <v>2925</v>
      </c>
      <c r="G10492" s="10" t="s">
        <v>9998</v>
      </c>
      <c r="H10492" s="11">
        <v>43101</v>
      </c>
      <c r="I10492" s="10">
        <v>2013</v>
      </c>
      <c r="J10492" s="10" t="s">
        <v>46043</v>
      </c>
      <c r="K10492" s="10">
        <v>344</v>
      </c>
      <c r="L10492" s="10" t="s">
        <v>46044</v>
      </c>
      <c r="M10492" s="10"/>
      <c r="N10492" s="10" t="s">
        <v>46045</v>
      </c>
      <c r="O10492" s="10">
        <v>15</v>
      </c>
      <c r="P10492" s="10" t="s">
        <v>46049</v>
      </c>
      <c r="Q10492" s="10">
        <v>378.4</v>
      </c>
      <c r="R10492" s="10" t="s">
        <v>46050</v>
      </c>
      <c r="S10492" s="10" t="s">
        <v>1519</v>
      </c>
      <c r="T10492" s="10" t="s">
        <v>54</v>
      </c>
    </row>
    <row r="10493" spans="1:20" ht="14.5" x14ac:dyDescent="0.35">
      <c r="A10493" s="10" t="s">
        <v>46051</v>
      </c>
      <c r="B10493" s="10" t="str">
        <f>"9781787144880"</f>
        <v>9781787144880</v>
      </c>
      <c r="C10493" s="10" t="str">
        <f>"9781787144873"</f>
        <v>9781787144873</v>
      </c>
      <c r="D10493" s="10" t="s">
        <v>8699</v>
      </c>
      <c r="E10493" s="10" t="s">
        <v>8699</v>
      </c>
      <c r="F10493" s="10" t="s">
        <v>559</v>
      </c>
      <c r="G10493" s="10" t="s">
        <v>6352</v>
      </c>
      <c r="H10493" s="11">
        <v>43196</v>
      </c>
      <c r="I10493" s="10">
        <v>2018</v>
      </c>
      <c r="J10493" s="10" t="s">
        <v>8699</v>
      </c>
      <c r="K10493" s="10">
        <v>422</v>
      </c>
      <c r="L10493" s="10" t="s">
        <v>46052</v>
      </c>
      <c r="M10493" s="10">
        <v>1</v>
      </c>
      <c r="N10493" s="10"/>
      <c r="O10493" s="10"/>
      <c r="P10493" s="10" t="s">
        <v>26825</v>
      </c>
      <c r="Q10493" s="10">
        <v>371.39</v>
      </c>
      <c r="R10493" s="10" t="s">
        <v>46053</v>
      </c>
      <c r="S10493" s="10" t="s">
        <v>53</v>
      </c>
      <c r="T10493" s="10" t="s">
        <v>54</v>
      </c>
    </row>
    <row r="10494" spans="1:20" ht="14.5" x14ac:dyDescent="0.35">
      <c r="A10494" s="10" t="s">
        <v>46054</v>
      </c>
      <c r="B10494" s="10" t="str">
        <f>"9781945577062"</f>
        <v>9781945577062</v>
      </c>
      <c r="C10494" s="10" t="str">
        <f>"9781945577246"</f>
        <v>9781945577246</v>
      </c>
      <c r="D10494" s="10" t="s">
        <v>27268</v>
      </c>
      <c r="E10494" s="10" t="s">
        <v>46055</v>
      </c>
      <c r="F10494" s="10" t="s">
        <v>29933</v>
      </c>
      <c r="G10494" s="10" t="s">
        <v>6317</v>
      </c>
      <c r="H10494" s="11">
        <v>43009</v>
      </c>
      <c r="I10494" s="10">
        <v>2017</v>
      </c>
      <c r="J10494" s="10" t="s">
        <v>46055</v>
      </c>
      <c r="K10494" s="10">
        <v>94</v>
      </c>
      <c r="L10494" s="10" t="s">
        <v>46056</v>
      </c>
      <c r="M10494" s="10">
        <v>1</v>
      </c>
      <c r="N10494" s="10"/>
      <c r="O10494" s="10"/>
      <c r="P10494" s="10" t="s">
        <v>46057</v>
      </c>
      <c r="Q10494" s="10">
        <v>370.11500000000001</v>
      </c>
      <c r="R10494" s="10" t="s">
        <v>46058</v>
      </c>
      <c r="S10494" s="10" t="s">
        <v>53</v>
      </c>
      <c r="T10494" s="10" t="s">
        <v>54</v>
      </c>
    </row>
    <row r="10495" spans="1:20" ht="14.5" x14ac:dyDescent="0.35">
      <c r="A10495" s="10" t="s">
        <v>46059</v>
      </c>
      <c r="B10495" s="10" t="str">
        <f>"9781564843913"</f>
        <v>9781564843913</v>
      </c>
      <c r="C10495" s="10" t="str">
        <f>"9781564846389"</f>
        <v>9781564846389</v>
      </c>
      <c r="D10495" s="10" t="s">
        <v>9533</v>
      </c>
      <c r="E10495" s="10" t="s">
        <v>45783</v>
      </c>
      <c r="F10495" s="10" t="s">
        <v>4092</v>
      </c>
      <c r="G10495" s="10" t="s">
        <v>6317</v>
      </c>
      <c r="H10495" s="11">
        <v>43022</v>
      </c>
      <c r="I10495" s="10">
        <v>2017</v>
      </c>
      <c r="J10495" s="10" t="s">
        <v>45783</v>
      </c>
      <c r="K10495" s="10">
        <v>133</v>
      </c>
      <c r="L10495" s="10" t="s">
        <v>46060</v>
      </c>
      <c r="M10495" s="10">
        <v>1</v>
      </c>
      <c r="N10495" s="10"/>
      <c r="O10495" s="10"/>
      <c r="P10495" s="10" t="s">
        <v>46061</v>
      </c>
      <c r="Q10495" s="10">
        <v>22</v>
      </c>
      <c r="R10495" s="10" t="s">
        <v>46062</v>
      </c>
      <c r="S10495" s="10" t="s">
        <v>53</v>
      </c>
      <c r="T10495" s="10" t="s">
        <v>12436</v>
      </c>
    </row>
    <row r="10496" spans="1:20" ht="14.5" x14ac:dyDescent="0.35">
      <c r="A10496" s="10" t="s">
        <v>46063</v>
      </c>
      <c r="B10496" s="10" t="str">
        <f>"9781620363676"</f>
        <v>9781620363676</v>
      </c>
      <c r="C10496" s="10" t="str">
        <f>"9781000972382"</f>
        <v>9781000972382</v>
      </c>
      <c r="D10496" s="10" t="s">
        <v>6350</v>
      </c>
      <c r="E10496" s="10" t="s">
        <v>6351</v>
      </c>
      <c r="F10496" s="10" t="s">
        <v>748</v>
      </c>
      <c r="G10496" s="10" t="s">
        <v>6352</v>
      </c>
      <c r="H10496" s="11">
        <v>43012</v>
      </c>
      <c r="I10496" s="10">
        <v>2017</v>
      </c>
      <c r="J10496" s="10" t="s">
        <v>6351</v>
      </c>
      <c r="K10496" s="10">
        <v>251</v>
      </c>
      <c r="L10496" s="10" t="s">
        <v>46064</v>
      </c>
      <c r="M10496" s="10">
        <v>1</v>
      </c>
      <c r="N10496" s="10"/>
      <c r="O10496" s="10"/>
      <c r="P10496" s="10"/>
      <c r="Q10496" s="10">
        <v>378.1662</v>
      </c>
      <c r="R10496" s="10" t="s">
        <v>46065</v>
      </c>
      <c r="S10496" s="10" t="s">
        <v>53</v>
      </c>
      <c r="T10496" s="10" t="s">
        <v>54</v>
      </c>
    </row>
    <row r="10497" spans="1:20" ht="14.5" x14ac:dyDescent="0.35">
      <c r="A10497" s="10" t="s">
        <v>46066</v>
      </c>
      <c r="B10497" s="10" t="str">
        <f>"9781945349508"</f>
        <v>9781945349508</v>
      </c>
      <c r="C10497" s="10" t="str">
        <f>"9781945349515"</f>
        <v>9781945349515</v>
      </c>
      <c r="D10497" s="10" t="s">
        <v>37580</v>
      </c>
      <c r="E10497" s="10" t="s">
        <v>37581</v>
      </c>
      <c r="F10497" s="10" t="s">
        <v>37623</v>
      </c>
      <c r="G10497" s="10" t="s">
        <v>6317</v>
      </c>
      <c r="H10497" s="11">
        <v>43056</v>
      </c>
      <c r="I10497" s="10">
        <v>2018</v>
      </c>
      <c r="J10497" s="10" t="s">
        <v>37581</v>
      </c>
      <c r="K10497" s="10">
        <v>128</v>
      </c>
      <c r="L10497" s="10" t="s">
        <v>37581</v>
      </c>
      <c r="M10497" s="10">
        <v>1</v>
      </c>
      <c r="N10497" s="10"/>
      <c r="O10497" s="10"/>
      <c r="P10497" s="10"/>
      <c r="Q10497" s="10"/>
      <c r="R10497" s="10" t="s">
        <v>46067</v>
      </c>
      <c r="S10497" s="10" t="s">
        <v>53</v>
      </c>
      <c r="T10497" s="10" t="s">
        <v>54</v>
      </c>
    </row>
    <row r="10498" spans="1:20" ht="14.5" x14ac:dyDescent="0.35">
      <c r="A10498" s="10" t="s">
        <v>46068</v>
      </c>
      <c r="B10498" s="10" t="str">
        <f>"9781498553629"</f>
        <v>9781498553629</v>
      </c>
      <c r="C10498" s="10" t="str">
        <f>"9781498553636"</f>
        <v>9781498553636</v>
      </c>
      <c r="D10498" s="10" t="s">
        <v>9752</v>
      </c>
      <c r="E10498" s="10" t="s">
        <v>15182</v>
      </c>
      <c r="F10498" s="10" t="s">
        <v>3460</v>
      </c>
      <c r="G10498" s="10" t="s">
        <v>6317</v>
      </c>
      <c r="H10498" s="11">
        <v>43061</v>
      </c>
      <c r="I10498" s="10">
        <v>2017</v>
      </c>
      <c r="J10498" s="10" t="s">
        <v>15182</v>
      </c>
      <c r="K10498" s="10">
        <v>181</v>
      </c>
      <c r="L10498" s="10" t="s">
        <v>46069</v>
      </c>
      <c r="M10498" s="10">
        <v>1</v>
      </c>
      <c r="N10498" s="10"/>
      <c r="O10498" s="10"/>
      <c r="P10498" s="10" t="s">
        <v>46070</v>
      </c>
      <c r="Q10498" s="10">
        <v>371.82996072999998</v>
      </c>
      <c r="R10498" s="10" t="s">
        <v>46071</v>
      </c>
      <c r="S10498" s="10" t="s">
        <v>53</v>
      </c>
      <c r="T10498" s="10" t="s">
        <v>54</v>
      </c>
    </row>
    <row r="10499" spans="1:20" ht="14.5" x14ac:dyDescent="0.35">
      <c r="A10499" s="10" t="s">
        <v>46072</v>
      </c>
      <c r="B10499" s="10" t="str">
        <f>"9781475836936"</f>
        <v>9781475836936</v>
      </c>
      <c r="C10499" s="10" t="str">
        <f>"9781475836943"</f>
        <v>9781475836943</v>
      </c>
      <c r="D10499" s="10" t="s">
        <v>9752</v>
      </c>
      <c r="E10499" s="10" t="s">
        <v>15187</v>
      </c>
      <c r="F10499" s="10" t="s">
        <v>9754</v>
      </c>
      <c r="G10499" s="10" t="s">
        <v>6317</v>
      </c>
      <c r="H10499" s="11">
        <v>43084</v>
      </c>
      <c r="I10499" s="10">
        <v>2017</v>
      </c>
      <c r="J10499" s="10" t="s">
        <v>15187</v>
      </c>
      <c r="K10499" s="10">
        <v>193</v>
      </c>
      <c r="L10499" s="10" t="s">
        <v>35633</v>
      </c>
      <c r="M10499" s="10">
        <v>1</v>
      </c>
      <c r="N10499" s="10"/>
      <c r="O10499" s="10"/>
      <c r="P10499" s="10" t="s">
        <v>46073</v>
      </c>
      <c r="Q10499" s="10"/>
      <c r="R10499" s="10" t="s">
        <v>46074</v>
      </c>
      <c r="S10499" s="10" t="s">
        <v>53</v>
      </c>
      <c r="T10499" s="10" t="s">
        <v>54</v>
      </c>
    </row>
    <row r="10500" spans="1:20" ht="14.5" x14ac:dyDescent="0.35">
      <c r="A10500" s="10" t="s">
        <v>46075</v>
      </c>
      <c r="B10500" s="10" t="str">
        <f>"9781443894975"</f>
        <v>9781443894975</v>
      </c>
      <c r="C10500" s="10" t="str">
        <f>"9781527504165"</f>
        <v>9781527504165</v>
      </c>
      <c r="D10500" s="10" t="s">
        <v>23635</v>
      </c>
      <c r="E10500" s="10" t="s">
        <v>23635</v>
      </c>
      <c r="F10500" s="10" t="s">
        <v>23636</v>
      </c>
      <c r="G10500" s="10" t="s">
        <v>6352</v>
      </c>
      <c r="H10500" s="11">
        <v>43009</v>
      </c>
      <c r="I10500" s="10">
        <v>2017</v>
      </c>
      <c r="J10500" s="10" t="s">
        <v>23635</v>
      </c>
      <c r="K10500" s="10">
        <v>319</v>
      </c>
      <c r="L10500" s="10" t="s">
        <v>46076</v>
      </c>
      <c r="M10500" s="10">
        <v>1</v>
      </c>
      <c r="N10500" s="10"/>
      <c r="O10500" s="10"/>
      <c r="P10500" s="10" t="s">
        <v>46077</v>
      </c>
      <c r="Q10500" s="10">
        <v>371.97</v>
      </c>
      <c r="R10500" s="10" t="s">
        <v>46078</v>
      </c>
      <c r="S10500" s="10" t="s">
        <v>53</v>
      </c>
      <c r="T10500" s="10" t="s">
        <v>54</v>
      </c>
    </row>
    <row r="10501" spans="1:20" ht="14.5" x14ac:dyDescent="0.35">
      <c r="A10501" s="10" t="s">
        <v>46079</v>
      </c>
      <c r="B10501" s="10" t="str">
        <f>"9789814459983"</f>
        <v>9789814459983</v>
      </c>
      <c r="C10501" s="10" t="str">
        <f>"9789814459990"</f>
        <v>9789814459990</v>
      </c>
      <c r="D10501" s="10" t="s">
        <v>24757</v>
      </c>
      <c r="E10501" s="10" t="s">
        <v>24758</v>
      </c>
      <c r="F10501" s="10" t="s">
        <v>46080</v>
      </c>
      <c r="G10501" s="10" t="s">
        <v>8573</v>
      </c>
      <c r="H10501" s="11">
        <v>42003</v>
      </c>
      <c r="I10501" s="10">
        <v>2014</v>
      </c>
      <c r="J10501" s="10" t="s">
        <v>24758</v>
      </c>
      <c r="K10501" s="10">
        <v>293</v>
      </c>
      <c r="L10501" s="10" t="s">
        <v>46081</v>
      </c>
      <c r="M10501" s="10">
        <v>1</v>
      </c>
      <c r="N10501" s="10"/>
      <c r="O10501" s="10"/>
      <c r="P10501" s="10" t="s">
        <v>46082</v>
      </c>
      <c r="Q10501" s="10" t="s">
        <v>46083</v>
      </c>
      <c r="R10501" s="10" t="s">
        <v>46084</v>
      </c>
      <c r="S10501" s="10" t="s">
        <v>53</v>
      </c>
      <c r="T10501" s="10" t="s">
        <v>54</v>
      </c>
    </row>
    <row r="10502" spans="1:20" ht="14.5" x14ac:dyDescent="0.35">
      <c r="A10502" s="10" t="s">
        <v>46085</v>
      </c>
      <c r="B10502" s="10" t="str">
        <f>"9781464810961"</f>
        <v>9781464810961</v>
      </c>
      <c r="C10502" s="10" t="str">
        <f>"9781464810985"</f>
        <v>9781464810985</v>
      </c>
      <c r="D10502" s="10" t="s">
        <v>14731</v>
      </c>
      <c r="E10502" s="10" t="s">
        <v>14732</v>
      </c>
      <c r="F10502" s="10" t="s">
        <v>11765</v>
      </c>
      <c r="G10502" s="10" t="s">
        <v>6317</v>
      </c>
      <c r="H10502" s="11">
        <v>43024</v>
      </c>
      <c r="I10502" s="10">
        <v>2018</v>
      </c>
      <c r="J10502" s="10" t="s">
        <v>14732</v>
      </c>
      <c r="K10502" s="10">
        <v>239</v>
      </c>
      <c r="L10502" s="10" t="s">
        <v>46086</v>
      </c>
      <c r="M10502" s="10">
        <v>1</v>
      </c>
      <c r="N10502" s="10"/>
      <c r="O10502" s="10"/>
      <c r="P10502" s="10" t="s">
        <v>46087</v>
      </c>
      <c r="Q10502" s="10">
        <v>331.11399999999998</v>
      </c>
      <c r="R10502" s="10" t="s">
        <v>46088</v>
      </c>
      <c r="S10502" s="10" t="s">
        <v>53</v>
      </c>
      <c r="T10502" s="10" t="s">
        <v>7545</v>
      </c>
    </row>
    <row r="10503" spans="1:20" ht="14.5" x14ac:dyDescent="0.35">
      <c r="A10503" s="10" t="s">
        <v>46089</v>
      </c>
      <c r="B10503" s="10" t="str">
        <f>"9781464810503"</f>
        <v>9781464810503</v>
      </c>
      <c r="C10503" s="10" t="str">
        <f>"9781464810510"</f>
        <v>9781464810510</v>
      </c>
      <c r="D10503" s="10" t="s">
        <v>14731</v>
      </c>
      <c r="E10503" s="10" t="s">
        <v>14732</v>
      </c>
      <c r="F10503" s="10" t="s">
        <v>88</v>
      </c>
      <c r="G10503" s="10" t="s">
        <v>6317</v>
      </c>
      <c r="H10503" s="11">
        <v>42916</v>
      </c>
      <c r="I10503" s="10">
        <v>2017</v>
      </c>
      <c r="J10503" s="10" t="s">
        <v>14732</v>
      </c>
      <c r="K10503" s="10">
        <v>121</v>
      </c>
      <c r="L10503" s="10" t="s">
        <v>46090</v>
      </c>
      <c r="M10503" s="10">
        <v>1</v>
      </c>
      <c r="N10503" s="10" t="s">
        <v>45918</v>
      </c>
      <c r="O10503" s="10"/>
      <c r="P10503" s="10" t="s">
        <v>46091</v>
      </c>
      <c r="Q10503" s="10">
        <v>378.6</v>
      </c>
      <c r="R10503" s="10" t="s">
        <v>46092</v>
      </c>
      <c r="S10503" s="10" t="s">
        <v>53</v>
      </c>
      <c r="T10503" s="10" t="s">
        <v>54</v>
      </c>
    </row>
    <row r="10504" spans="1:20" ht="14.5" x14ac:dyDescent="0.35">
      <c r="A10504" s="10" t="s">
        <v>46093</v>
      </c>
      <c r="B10504" s="10" t="str">
        <f>"9781474214490"</f>
        <v>9781474214490</v>
      </c>
      <c r="C10504" s="10" t="str">
        <f>"9781474214506"</f>
        <v>9781474214506</v>
      </c>
      <c r="D10504" s="10" t="s">
        <v>13959</v>
      </c>
      <c r="E10504" s="10" t="s">
        <v>13960</v>
      </c>
      <c r="F10504" s="10" t="s">
        <v>139</v>
      </c>
      <c r="G10504" s="10" t="s">
        <v>6352</v>
      </c>
      <c r="H10504" s="11">
        <v>43097</v>
      </c>
      <c r="I10504" s="10">
        <v>2017</v>
      </c>
      <c r="J10504" s="10" t="s">
        <v>14057</v>
      </c>
      <c r="K10504" s="10">
        <v>270</v>
      </c>
      <c r="L10504" s="10" t="s">
        <v>46094</v>
      </c>
      <c r="M10504" s="10">
        <v>1</v>
      </c>
      <c r="N10504" s="10" t="s">
        <v>46095</v>
      </c>
      <c r="O10504" s="10"/>
      <c r="P10504" s="10" t="s">
        <v>46096</v>
      </c>
      <c r="Q10504" s="10">
        <v>306.43200000000002</v>
      </c>
      <c r="R10504" s="10" t="s">
        <v>46097</v>
      </c>
      <c r="S10504" s="10" t="s">
        <v>53</v>
      </c>
      <c r="T10504" s="10" t="s">
        <v>6526</v>
      </c>
    </row>
    <row r="10505" spans="1:20" ht="14.5" x14ac:dyDescent="0.35">
      <c r="A10505" s="10" t="s">
        <v>46098</v>
      </c>
      <c r="B10505" s="10" t="str">
        <f>"9781499490060"</f>
        <v>9781499490060</v>
      </c>
      <c r="C10505" s="10" t="str">
        <f>"9781499490084"</f>
        <v>9781499490084</v>
      </c>
      <c r="D10505" s="10" t="s">
        <v>46099</v>
      </c>
      <c r="E10505" s="10" t="s">
        <v>46100</v>
      </c>
      <c r="F10505" s="10" t="s">
        <v>13068</v>
      </c>
      <c r="G10505" s="10" t="s">
        <v>6317</v>
      </c>
      <c r="H10505" s="11">
        <v>42005</v>
      </c>
      <c r="I10505" s="10">
        <v>2015</v>
      </c>
      <c r="J10505" s="10" t="s">
        <v>46101</v>
      </c>
      <c r="K10505" s="10">
        <v>90</v>
      </c>
      <c r="L10505" s="10" t="s">
        <v>46102</v>
      </c>
      <c r="M10505" s="10">
        <v>1</v>
      </c>
      <c r="N10505" s="10" t="s">
        <v>46103</v>
      </c>
      <c r="O10505" s="10"/>
      <c r="P10505" s="10"/>
      <c r="Q10505" s="10"/>
      <c r="R10505" s="10"/>
      <c r="S10505" s="10" t="s">
        <v>53</v>
      </c>
      <c r="T10505" s="10" t="s">
        <v>54</v>
      </c>
    </row>
    <row r="10506" spans="1:20" ht="14.5" x14ac:dyDescent="0.35">
      <c r="A10506" s="10" t="s">
        <v>46104</v>
      </c>
      <c r="B10506" s="10" t="str">
        <f>"9781499490121"</f>
        <v>9781499490121</v>
      </c>
      <c r="C10506" s="10" t="str">
        <f>"9781499490176"</f>
        <v>9781499490176</v>
      </c>
      <c r="D10506" s="10" t="s">
        <v>46099</v>
      </c>
      <c r="E10506" s="10" t="s">
        <v>46100</v>
      </c>
      <c r="F10506" s="10" t="s">
        <v>13068</v>
      </c>
      <c r="G10506" s="10" t="s">
        <v>6317</v>
      </c>
      <c r="H10506" s="11">
        <v>42005</v>
      </c>
      <c r="I10506" s="10">
        <v>2015</v>
      </c>
      <c r="J10506" s="10" t="s">
        <v>46101</v>
      </c>
      <c r="K10506" s="10">
        <v>90</v>
      </c>
      <c r="L10506" s="10" t="s">
        <v>46102</v>
      </c>
      <c r="M10506" s="10">
        <v>1</v>
      </c>
      <c r="N10506" s="10" t="s">
        <v>46103</v>
      </c>
      <c r="O10506" s="10"/>
      <c r="P10506" s="10"/>
      <c r="Q10506" s="10">
        <v>4.07</v>
      </c>
      <c r="R10506" s="10"/>
      <c r="S10506" s="10" t="s">
        <v>53</v>
      </c>
      <c r="T10506" s="10" t="s">
        <v>19959</v>
      </c>
    </row>
    <row r="10507" spans="1:20" ht="14.5" x14ac:dyDescent="0.35">
      <c r="A10507" s="10" t="s">
        <v>46105</v>
      </c>
      <c r="B10507" s="10" t="str">
        <f>"9781499490107"</f>
        <v>9781499490107</v>
      </c>
      <c r="C10507" s="10" t="str">
        <f>"9781499490190"</f>
        <v>9781499490190</v>
      </c>
      <c r="D10507" s="10" t="s">
        <v>46099</v>
      </c>
      <c r="E10507" s="10" t="s">
        <v>46100</v>
      </c>
      <c r="F10507" s="10" t="s">
        <v>13068</v>
      </c>
      <c r="G10507" s="10" t="s">
        <v>6317</v>
      </c>
      <c r="H10507" s="11">
        <v>42005</v>
      </c>
      <c r="I10507" s="10">
        <v>2015</v>
      </c>
      <c r="J10507" s="10" t="s">
        <v>46101</v>
      </c>
      <c r="K10507" s="10">
        <v>90</v>
      </c>
      <c r="L10507" s="10" t="s">
        <v>46102</v>
      </c>
      <c r="M10507" s="10">
        <v>1</v>
      </c>
      <c r="N10507" s="10" t="s">
        <v>46103</v>
      </c>
      <c r="O10507" s="10"/>
      <c r="P10507" s="10"/>
      <c r="Q10507" s="10"/>
      <c r="R10507" s="10"/>
      <c r="S10507" s="10" t="s">
        <v>53</v>
      </c>
      <c r="T10507" s="10" t="s">
        <v>54</v>
      </c>
    </row>
    <row r="10508" spans="1:20" ht="14.5" x14ac:dyDescent="0.35">
      <c r="A10508" s="10" t="s">
        <v>46106</v>
      </c>
      <c r="B10508" s="10" t="str">
        <f>"9781477748336"</f>
        <v>9781477748336</v>
      </c>
      <c r="C10508" s="10" t="str">
        <f>"9781477748350"</f>
        <v>9781477748350</v>
      </c>
      <c r="D10508" s="10" t="s">
        <v>46099</v>
      </c>
      <c r="E10508" s="10" t="s">
        <v>46100</v>
      </c>
      <c r="F10508" s="10" t="s">
        <v>13068</v>
      </c>
      <c r="G10508" s="10" t="s">
        <v>6317</v>
      </c>
      <c r="H10508" s="11">
        <v>42005</v>
      </c>
      <c r="I10508" s="10">
        <v>2015</v>
      </c>
      <c r="J10508" s="10" t="s">
        <v>46101</v>
      </c>
      <c r="K10508" s="10">
        <v>26</v>
      </c>
      <c r="L10508" s="10" t="s">
        <v>46107</v>
      </c>
      <c r="M10508" s="10">
        <v>1</v>
      </c>
      <c r="N10508" s="10" t="s">
        <v>46108</v>
      </c>
      <c r="O10508" s="10"/>
      <c r="P10508" s="10"/>
      <c r="Q10508" s="10"/>
      <c r="R10508" s="10"/>
      <c r="S10508" s="10" t="s">
        <v>53</v>
      </c>
      <c r="T10508" s="10" t="s">
        <v>11880</v>
      </c>
    </row>
    <row r="10509" spans="1:20" ht="14.5" x14ac:dyDescent="0.35">
      <c r="A10509" s="10" t="s">
        <v>46109</v>
      </c>
      <c r="B10509" s="10" t="str">
        <f>"9781477748480"</f>
        <v>9781477748480</v>
      </c>
      <c r="C10509" s="10" t="str">
        <f>"9781477748473"</f>
        <v>9781477748473</v>
      </c>
      <c r="D10509" s="10" t="s">
        <v>46099</v>
      </c>
      <c r="E10509" s="10" t="s">
        <v>46100</v>
      </c>
      <c r="F10509" s="10" t="s">
        <v>13068</v>
      </c>
      <c r="G10509" s="10" t="s">
        <v>6317</v>
      </c>
      <c r="H10509" s="11">
        <v>42005</v>
      </c>
      <c r="I10509" s="10">
        <v>2015</v>
      </c>
      <c r="J10509" s="10" t="s">
        <v>46101</v>
      </c>
      <c r="K10509" s="10">
        <v>26</v>
      </c>
      <c r="L10509" s="10" t="s">
        <v>46110</v>
      </c>
      <c r="M10509" s="10">
        <v>1</v>
      </c>
      <c r="N10509" s="10" t="s">
        <v>46108</v>
      </c>
      <c r="O10509" s="10"/>
      <c r="P10509" s="10"/>
      <c r="Q10509" s="10"/>
      <c r="R10509" s="10"/>
      <c r="S10509" s="10" t="s">
        <v>53</v>
      </c>
      <c r="T10509" s="10" t="s">
        <v>11880</v>
      </c>
    </row>
    <row r="10510" spans="1:20" ht="14.5" x14ac:dyDescent="0.35">
      <c r="A10510" s="10" t="s">
        <v>46111</v>
      </c>
      <c r="B10510" s="10" t="str">
        <f>"9781477773642"</f>
        <v>9781477773642</v>
      </c>
      <c r="C10510" s="10" t="str">
        <f>"9781477773673"</f>
        <v>9781477773673</v>
      </c>
      <c r="D10510" s="10" t="s">
        <v>46099</v>
      </c>
      <c r="E10510" s="10" t="s">
        <v>46100</v>
      </c>
      <c r="F10510" s="10" t="s">
        <v>13068</v>
      </c>
      <c r="G10510" s="10" t="s">
        <v>6317</v>
      </c>
      <c r="H10510" s="11">
        <v>42003</v>
      </c>
      <c r="I10510" s="10">
        <v>2015</v>
      </c>
      <c r="J10510" s="10" t="s">
        <v>46112</v>
      </c>
      <c r="K10510" s="10">
        <v>26</v>
      </c>
      <c r="L10510" s="10" t="s">
        <v>46113</v>
      </c>
      <c r="M10510" s="10">
        <v>1</v>
      </c>
      <c r="N10510" s="10" t="s">
        <v>46114</v>
      </c>
      <c r="O10510" s="10"/>
      <c r="P10510" s="10"/>
      <c r="Q10510" s="10" t="s">
        <v>46115</v>
      </c>
      <c r="R10510" s="10"/>
      <c r="S10510" s="10" t="s">
        <v>53</v>
      </c>
      <c r="T10510" s="10" t="s">
        <v>6616</v>
      </c>
    </row>
    <row r="10511" spans="1:20" ht="14.5" x14ac:dyDescent="0.35">
      <c r="A10511" s="10" t="s">
        <v>46116</v>
      </c>
      <c r="B10511" s="10" t="str">
        <f>"9781477773857"</f>
        <v>9781477773857</v>
      </c>
      <c r="C10511" s="10" t="str">
        <f>"9781477773888"</f>
        <v>9781477773888</v>
      </c>
      <c r="D10511" s="10" t="s">
        <v>46099</v>
      </c>
      <c r="E10511" s="10" t="s">
        <v>46100</v>
      </c>
      <c r="F10511" s="10" t="s">
        <v>13068</v>
      </c>
      <c r="G10511" s="10" t="s">
        <v>6317</v>
      </c>
      <c r="H10511" s="11">
        <v>42003</v>
      </c>
      <c r="I10511" s="10">
        <v>2015</v>
      </c>
      <c r="J10511" s="10" t="s">
        <v>46112</v>
      </c>
      <c r="K10511" s="10">
        <v>34</v>
      </c>
      <c r="L10511" s="10" t="s">
        <v>46117</v>
      </c>
      <c r="M10511" s="10">
        <v>1</v>
      </c>
      <c r="N10511" s="10" t="s">
        <v>46118</v>
      </c>
      <c r="O10511" s="10"/>
      <c r="P10511" s="10"/>
      <c r="Q10511" s="10" t="s">
        <v>9870</v>
      </c>
      <c r="R10511" s="10"/>
      <c r="S10511" s="10" t="s">
        <v>53</v>
      </c>
      <c r="T10511" s="10" t="s">
        <v>54</v>
      </c>
    </row>
    <row r="10512" spans="1:20" ht="14.5" x14ac:dyDescent="0.35">
      <c r="A10512" s="10" t="s">
        <v>46119</v>
      </c>
      <c r="B10512" s="10" t="str">
        <f>"9783319689746"</f>
        <v>9783319689746</v>
      </c>
      <c r="C10512" s="10" t="str">
        <f>"9783319689753"</f>
        <v>9783319689753</v>
      </c>
      <c r="D10512" s="10" t="s">
        <v>11249</v>
      </c>
      <c r="E10512" s="10" t="s">
        <v>26623</v>
      </c>
      <c r="F10512" s="10" t="s">
        <v>26624</v>
      </c>
      <c r="G10512" s="10" t="s">
        <v>16676</v>
      </c>
      <c r="H10512" s="11">
        <v>43062</v>
      </c>
      <c r="I10512" s="10">
        <v>2018</v>
      </c>
      <c r="J10512" s="10" t="s">
        <v>26623</v>
      </c>
      <c r="K10512" s="10">
        <v>174</v>
      </c>
      <c r="L10512" s="10" t="s">
        <v>46120</v>
      </c>
      <c r="M10512" s="10">
        <v>1</v>
      </c>
      <c r="N10512" s="10"/>
      <c r="O10512" s="10"/>
      <c r="P10512" s="10" t="s">
        <v>46121</v>
      </c>
      <c r="Q10512" s="10">
        <v>610</v>
      </c>
      <c r="R10512" s="10" t="s">
        <v>46122</v>
      </c>
      <c r="S10512" s="10" t="s">
        <v>53</v>
      </c>
      <c r="T10512" s="10" t="s">
        <v>8625</v>
      </c>
    </row>
    <row r="10513" spans="1:20" ht="14.5" x14ac:dyDescent="0.35">
      <c r="A10513" s="10" t="s">
        <v>46123</v>
      </c>
      <c r="B10513" s="10" t="str">
        <f>"9780255367462"</f>
        <v>9780255367462</v>
      </c>
      <c r="C10513" s="10" t="str">
        <f>"9780255367479"</f>
        <v>9780255367479</v>
      </c>
      <c r="D10513" s="10" t="s">
        <v>9533</v>
      </c>
      <c r="E10513" s="10" t="s">
        <v>46124</v>
      </c>
      <c r="F10513" s="10" t="s">
        <v>139</v>
      </c>
      <c r="G10513" s="10" t="s">
        <v>6352</v>
      </c>
      <c r="H10513" s="11">
        <v>42999</v>
      </c>
      <c r="I10513" s="10">
        <v>2017</v>
      </c>
      <c r="J10513" s="10" t="s">
        <v>46124</v>
      </c>
      <c r="K10513" s="10">
        <v>134</v>
      </c>
      <c r="L10513" s="10" t="s">
        <v>46125</v>
      </c>
      <c r="M10513" s="10">
        <v>1</v>
      </c>
      <c r="N10513" s="10"/>
      <c r="O10513" s="10"/>
      <c r="P10513" s="10" t="s">
        <v>46126</v>
      </c>
      <c r="Q10513" s="10" t="s">
        <v>46127</v>
      </c>
      <c r="R10513" s="10" t="s">
        <v>46128</v>
      </c>
      <c r="S10513" s="10" t="s">
        <v>53</v>
      </c>
      <c r="T10513" s="10" t="s">
        <v>54</v>
      </c>
    </row>
    <row r="10514" spans="1:20" ht="14.5" x14ac:dyDescent="0.35">
      <c r="A10514" s="10" t="s">
        <v>46129</v>
      </c>
      <c r="B10514" s="10" t="str">
        <f>"9781787545458"</f>
        <v>9781787545458</v>
      </c>
      <c r="C10514" s="10" t="str">
        <f>"9781787545465"</f>
        <v>9781787545465</v>
      </c>
      <c r="D10514" s="10" t="s">
        <v>8699</v>
      </c>
      <c r="E10514" s="10" t="s">
        <v>8699</v>
      </c>
      <c r="F10514" s="10" t="s">
        <v>41843</v>
      </c>
      <c r="G10514" s="10" t="s">
        <v>6352</v>
      </c>
      <c r="H10514" s="11">
        <v>43024</v>
      </c>
      <c r="I10514" s="10">
        <v>2017</v>
      </c>
      <c r="J10514" s="10" t="s">
        <v>8699</v>
      </c>
      <c r="K10514" s="10">
        <v>84</v>
      </c>
      <c r="L10514" s="10" t="s">
        <v>46130</v>
      </c>
      <c r="M10514" s="10">
        <v>1</v>
      </c>
      <c r="N10514" s="10" t="s">
        <v>2859</v>
      </c>
      <c r="O10514" s="10">
        <v>34</v>
      </c>
      <c r="P10514" s="10" t="s">
        <v>46131</v>
      </c>
      <c r="Q10514" s="10">
        <v>371.3</v>
      </c>
      <c r="R10514" s="10" t="s">
        <v>46132</v>
      </c>
      <c r="S10514" s="10" t="s">
        <v>53</v>
      </c>
      <c r="T10514" s="10" t="s">
        <v>54</v>
      </c>
    </row>
    <row r="10515" spans="1:20" ht="14.5" x14ac:dyDescent="0.35">
      <c r="A10515" s="10" t="s">
        <v>46133</v>
      </c>
      <c r="B10515" s="10" t="str">
        <f>"9781787545212"</f>
        <v>9781787545212</v>
      </c>
      <c r="C10515" s="10" t="str">
        <f>"9781787545229"</f>
        <v>9781787545229</v>
      </c>
      <c r="D10515" s="10" t="s">
        <v>8699</v>
      </c>
      <c r="E10515" s="10" t="s">
        <v>8699</v>
      </c>
      <c r="F10515" s="10" t="s">
        <v>41843</v>
      </c>
      <c r="G10515" s="10" t="s">
        <v>6352</v>
      </c>
      <c r="H10515" s="11">
        <v>43024</v>
      </c>
      <c r="I10515" s="10">
        <v>2017</v>
      </c>
      <c r="J10515" s="10" t="s">
        <v>8699</v>
      </c>
      <c r="K10515" s="10">
        <v>76</v>
      </c>
      <c r="L10515" s="10" t="s">
        <v>46134</v>
      </c>
      <c r="M10515" s="10">
        <v>1</v>
      </c>
      <c r="N10515" s="10" t="s">
        <v>4030</v>
      </c>
      <c r="O10515" s="10">
        <v>2</v>
      </c>
      <c r="P10515" s="10" t="s">
        <v>46135</v>
      </c>
      <c r="Q10515" s="10">
        <v>338.47370000000001</v>
      </c>
      <c r="R10515" s="10" t="s">
        <v>28621</v>
      </c>
      <c r="S10515" s="10" t="s">
        <v>53</v>
      </c>
      <c r="T10515" s="10" t="s">
        <v>14975</v>
      </c>
    </row>
    <row r="10516" spans="1:20" ht="14.5" x14ac:dyDescent="0.35">
      <c r="A10516" s="10" t="s">
        <v>46136</v>
      </c>
      <c r="B10516" s="10" t="str">
        <f>"9781787434042"</f>
        <v>9781787434042</v>
      </c>
      <c r="C10516" s="10" t="str">
        <f>"9781787434035"</f>
        <v>9781787434035</v>
      </c>
      <c r="D10516" s="10" t="s">
        <v>8699</v>
      </c>
      <c r="E10516" s="10" t="s">
        <v>8699</v>
      </c>
      <c r="F10516" s="10" t="s">
        <v>559</v>
      </c>
      <c r="G10516" s="10" t="s">
        <v>6352</v>
      </c>
      <c r="H10516" s="11">
        <v>43196</v>
      </c>
      <c r="I10516" s="10">
        <v>2018</v>
      </c>
      <c r="J10516" s="10" t="s">
        <v>8699</v>
      </c>
      <c r="K10516" s="10">
        <v>332</v>
      </c>
      <c r="L10516" s="10" t="s">
        <v>46137</v>
      </c>
      <c r="M10516" s="10">
        <v>1</v>
      </c>
      <c r="N10516" s="10"/>
      <c r="O10516" s="10"/>
      <c r="P10516" s="10" t="s">
        <v>46138</v>
      </c>
      <c r="Q10516" s="10">
        <v>371.10023000000001</v>
      </c>
      <c r="R10516" s="10"/>
      <c r="S10516" s="10" t="s">
        <v>53</v>
      </c>
      <c r="T10516" s="10" t="s">
        <v>54</v>
      </c>
    </row>
    <row r="10517" spans="1:20" ht="14.5" x14ac:dyDescent="0.35">
      <c r="A10517" s="10" t="s">
        <v>46139</v>
      </c>
      <c r="B10517" s="10" t="str">
        <f>"9783961465286"</f>
        <v>9783961465286</v>
      </c>
      <c r="C10517" s="10" t="str">
        <f>"9783961460281"</f>
        <v>9783961460281</v>
      </c>
      <c r="D10517" s="10" t="s">
        <v>27189</v>
      </c>
      <c r="E10517" s="10" t="s">
        <v>27190</v>
      </c>
      <c r="F10517" s="10" t="s">
        <v>2841</v>
      </c>
      <c r="G10517" s="10" t="s">
        <v>9998</v>
      </c>
      <c r="H10517" s="11">
        <v>42979</v>
      </c>
      <c r="I10517" s="10">
        <v>2017</v>
      </c>
      <c r="J10517" s="10" t="s">
        <v>27190</v>
      </c>
      <c r="K10517" s="10">
        <v>120</v>
      </c>
      <c r="L10517" s="10" t="s">
        <v>46140</v>
      </c>
      <c r="M10517" s="10">
        <v>1</v>
      </c>
      <c r="N10517" s="10"/>
      <c r="O10517" s="10"/>
      <c r="P10517" s="10" t="s">
        <v>46141</v>
      </c>
      <c r="Q10517" s="10">
        <v>152.4</v>
      </c>
      <c r="R10517" s="10" t="s">
        <v>46142</v>
      </c>
      <c r="S10517" s="10" t="s">
        <v>1519</v>
      </c>
      <c r="T10517" s="10" t="s">
        <v>483</v>
      </c>
    </row>
    <row r="10518" spans="1:20" ht="14.5" x14ac:dyDescent="0.35">
      <c r="A10518" s="10" t="s">
        <v>46143</v>
      </c>
      <c r="B10518" s="10" t="str">
        <f>"9783961465309"</f>
        <v>9783961465309</v>
      </c>
      <c r="C10518" s="10" t="str">
        <f>"9783961460304"</f>
        <v>9783961460304</v>
      </c>
      <c r="D10518" s="10" t="s">
        <v>27189</v>
      </c>
      <c r="E10518" s="10" t="s">
        <v>27190</v>
      </c>
      <c r="F10518" s="10" t="s">
        <v>2841</v>
      </c>
      <c r="G10518" s="10" t="s">
        <v>9998</v>
      </c>
      <c r="H10518" s="11">
        <v>42979</v>
      </c>
      <c r="I10518" s="10">
        <v>2017</v>
      </c>
      <c r="J10518" s="10" t="s">
        <v>27190</v>
      </c>
      <c r="K10518" s="10">
        <v>119</v>
      </c>
      <c r="L10518" s="10" t="s">
        <v>46144</v>
      </c>
      <c r="M10518" s="10">
        <v>1</v>
      </c>
      <c r="N10518" s="10"/>
      <c r="O10518" s="10"/>
      <c r="P10518" s="10" t="s">
        <v>46145</v>
      </c>
      <c r="Q10518" s="10">
        <v>374.94299999999998</v>
      </c>
      <c r="R10518" s="10" t="s">
        <v>46146</v>
      </c>
      <c r="S10518" s="10" t="s">
        <v>1519</v>
      </c>
      <c r="T10518" s="10" t="s">
        <v>54</v>
      </c>
    </row>
    <row r="10519" spans="1:20" ht="14.5" x14ac:dyDescent="0.35">
      <c r="A10519" s="10" t="s">
        <v>46147</v>
      </c>
      <c r="B10519" s="10" t="str">
        <f>"9783961465637"</f>
        <v>9783961465637</v>
      </c>
      <c r="C10519" s="10" t="str">
        <f>"9783961460632"</f>
        <v>9783961460632</v>
      </c>
      <c r="D10519" s="10" t="s">
        <v>27189</v>
      </c>
      <c r="E10519" s="10" t="s">
        <v>27190</v>
      </c>
      <c r="F10519" s="10" t="s">
        <v>2841</v>
      </c>
      <c r="G10519" s="10" t="s">
        <v>9998</v>
      </c>
      <c r="H10519" s="11">
        <v>42979</v>
      </c>
      <c r="I10519" s="10">
        <v>2017</v>
      </c>
      <c r="J10519" s="10" t="s">
        <v>27190</v>
      </c>
      <c r="K10519" s="10">
        <v>80</v>
      </c>
      <c r="L10519" s="10" t="s">
        <v>46148</v>
      </c>
      <c r="M10519" s="10">
        <v>1</v>
      </c>
      <c r="N10519" s="10"/>
      <c r="O10519" s="10"/>
      <c r="P10519" s="10" t="s">
        <v>46149</v>
      </c>
      <c r="Q10519" s="10">
        <v>379</v>
      </c>
      <c r="R10519" s="10" t="s">
        <v>46150</v>
      </c>
      <c r="S10519" s="10" t="s">
        <v>1519</v>
      </c>
      <c r="T10519" s="10" t="s">
        <v>54</v>
      </c>
    </row>
    <row r="10520" spans="1:20" ht="14.5" x14ac:dyDescent="0.35">
      <c r="A10520" s="10" t="s">
        <v>46151</v>
      </c>
      <c r="B10520" s="10" t="str">
        <f>"9783959353489"</f>
        <v>9783959353489</v>
      </c>
      <c r="C10520" s="10" t="str">
        <f>"9783959353496"</f>
        <v>9783959353496</v>
      </c>
      <c r="D10520" s="10" t="s">
        <v>27189</v>
      </c>
      <c r="E10520" s="10" t="s">
        <v>27190</v>
      </c>
      <c r="F10520" s="10" t="s">
        <v>2841</v>
      </c>
      <c r="G10520" s="10" t="s">
        <v>9998</v>
      </c>
      <c r="H10520" s="11">
        <v>42979</v>
      </c>
      <c r="I10520" s="10">
        <v>2017</v>
      </c>
      <c r="J10520" s="10" t="s">
        <v>46152</v>
      </c>
      <c r="K10520" s="10">
        <v>349</v>
      </c>
      <c r="L10520" s="10" t="s">
        <v>46153</v>
      </c>
      <c r="M10520" s="10">
        <v>1</v>
      </c>
      <c r="N10520" s="10"/>
      <c r="O10520" s="10"/>
      <c r="P10520" s="10" t="s">
        <v>46154</v>
      </c>
      <c r="Q10520" s="10">
        <v>371.04</v>
      </c>
      <c r="R10520" s="10" t="s">
        <v>46155</v>
      </c>
      <c r="S10520" s="10" t="s">
        <v>1519</v>
      </c>
      <c r="T10520" s="10" t="s">
        <v>54</v>
      </c>
    </row>
    <row r="10521" spans="1:20" ht="14.5" x14ac:dyDescent="0.35">
      <c r="A10521" s="10" t="s">
        <v>46156</v>
      </c>
      <c r="B10521" s="10" t="str">
        <f>"9783110560084"</f>
        <v>9783110560084</v>
      </c>
      <c r="C10521" s="10" t="str">
        <f>"9783110567472"</f>
        <v>9783110567472</v>
      </c>
      <c r="D10521" s="10" t="s">
        <v>9995</v>
      </c>
      <c r="E10521" s="10" t="s">
        <v>2515</v>
      </c>
      <c r="F10521" s="10" t="s">
        <v>9997</v>
      </c>
      <c r="G10521" s="10" t="s">
        <v>9998</v>
      </c>
      <c r="H10521" s="11">
        <v>43046</v>
      </c>
      <c r="I10521" s="10">
        <v>2018</v>
      </c>
      <c r="J10521" s="10" t="s">
        <v>2515</v>
      </c>
      <c r="K10521" s="10">
        <v>310</v>
      </c>
      <c r="L10521" s="10" t="s">
        <v>46157</v>
      </c>
      <c r="M10521" s="10">
        <v>1</v>
      </c>
      <c r="N10521" s="10"/>
      <c r="O10521" s="10"/>
      <c r="P10521" s="10" t="s">
        <v>46158</v>
      </c>
      <c r="Q10521" s="10"/>
      <c r="R10521" s="10" t="s">
        <v>46159</v>
      </c>
      <c r="S10521" s="10" t="s">
        <v>53</v>
      </c>
      <c r="T10521" s="10" t="s">
        <v>6534</v>
      </c>
    </row>
    <row r="10522" spans="1:20" ht="14.5" x14ac:dyDescent="0.35">
      <c r="A10522" s="10" t="s">
        <v>46160</v>
      </c>
      <c r="B10522" s="10" t="str">
        <f>"9781785923357"</f>
        <v>9781785923357</v>
      </c>
      <c r="C10522" s="10" t="str">
        <f>"9781784506568"</f>
        <v>9781784506568</v>
      </c>
      <c r="D10522" s="10" t="s">
        <v>10516</v>
      </c>
      <c r="E10522" s="10" t="s">
        <v>10516</v>
      </c>
      <c r="F10522" s="10" t="s">
        <v>139</v>
      </c>
      <c r="G10522" s="10" t="s">
        <v>6352</v>
      </c>
      <c r="H10522" s="11">
        <v>43083</v>
      </c>
      <c r="I10522" s="10">
        <v>2017</v>
      </c>
      <c r="J10522" s="10" t="s">
        <v>10516</v>
      </c>
      <c r="K10522" s="10">
        <v>130</v>
      </c>
      <c r="L10522" s="10" t="s">
        <v>46161</v>
      </c>
      <c r="M10522" s="10">
        <v>1</v>
      </c>
      <c r="N10522" s="10"/>
      <c r="O10522" s="10"/>
      <c r="P10522" s="10" t="s">
        <v>46162</v>
      </c>
      <c r="Q10522" s="10">
        <v>152.4</v>
      </c>
      <c r="R10522" s="10"/>
      <c r="S10522" s="10" t="s">
        <v>53</v>
      </c>
      <c r="T10522" s="10" t="s">
        <v>483</v>
      </c>
    </row>
    <row r="10523" spans="1:20" ht="14.5" x14ac:dyDescent="0.35">
      <c r="A10523" s="10" t="s">
        <v>15752</v>
      </c>
      <c r="B10523" s="10" t="str">
        <f>"9781416625094"</f>
        <v>9781416625094</v>
      </c>
      <c r="C10523" s="10" t="str">
        <f>"9781416625117"</f>
        <v>9781416625117</v>
      </c>
      <c r="D10523" s="10" t="s">
        <v>10014</v>
      </c>
      <c r="E10523" s="10" t="s">
        <v>10015</v>
      </c>
      <c r="F10523" s="10" t="s">
        <v>201</v>
      </c>
      <c r="G10523" s="10" t="s">
        <v>6317</v>
      </c>
      <c r="H10523" s="11">
        <v>43069</v>
      </c>
      <c r="I10523" s="10">
        <v>2018</v>
      </c>
      <c r="J10523" s="10" t="s">
        <v>10015</v>
      </c>
      <c r="K10523" s="10">
        <v>258</v>
      </c>
      <c r="L10523" s="10" t="s">
        <v>10452</v>
      </c>
      <c r="M10523" s="10">
        <v>4</v>
      </c>
      <c r="N10523" s="10"/>
      <c r="O10523" s="10"/>
      <c r="P10523" s="10" t="s">
        <v>46163</v>
      </c>
      <c r="Q10523" s="10">
        <v>371.10199999999998</v>
      </c>
      <c r="R10523" s="10" t="s">
        <v>15754</v>
      </c>
      <c r="S10523" s="10" t="s">
        <v>53</v>
      </c>
      <c r="T10523" s="10" t="s">
        <v>54</v>
      </c>
    </row>
    <row r="10524" spans="1:20" ht="14.5" x14ac:dyDescent="0.35">
      <c r="A10524" s="10" t="s">
        <v>46164</v>
      </c>
      <c r="B10524" s="10" t="str">
        <f>"9781526143501"</f>
        <v>9781526143501</v>
      </c>
      <c r="C10524" s="10" t="str">
        <f>"9781526115720"</f>
        <v>9781526115720</v>
      </c>
      <c r="D10524" s="10" t="s">
        <v>16780</v>
      </c>
      <c r="E10524" s="10" t="s">
        <v>16780</v>
      </c>
      <c r="F10524" s="10" t="s">
        <v>2829</v>
      </c>
      <c r="G10524" s="10" t="s">
        <v>6352</v>
      </c>
      <c r="H10524" s="11">
        <v>43070</v>
      </c>
      <c r="I10524" s="10">
        <v>2017</v>
      </c>
      <c r="J10524" s="10" t="s">
        <v>16780</v>
      </c>
      <c r="K10524" s="10">
        <v>239</v>
      </c>
      <c r="L10524" s="10" t="s">
        <v>46165</v>
      </c>
      <c r="M10524" s="10">
        <v>1</v>
      </c>
      <c r="N10524" s="10" t="s">
        <v>43191</v>
      </c>
      <c r="O10524" s="10"/>
      <c r="P10524" s="10" t="s">
        <v>46166</v>
      </c>
      <c r="Q10524" s="10" t="s">
        <v>46167</v>
      </c>
      <c r="R10524" s="10" t="s">
        <v>46168</v>
      </c>
      <c r="S10524" s="10" t="s">
        <v>53</v>
      </c>
      <c r="T10524" s="10" t="s">
        <v>1166</v>
      </c>
    </row>
    <row r="10525" spans="1:20" ht="14.5" x14ac:dyDescent="0.35">
      <c r="A10525" s="10" t="s">
        <v>46169</v>
      </c>
      <c r="B10525" s="10" t="str">
        <f>"9781475835335"</f>
        <v>9781475835335</v>
      </c>
      <c r="C10525" s="10" t="str">
        <f>"9781475835342"</f>
        <v>9781475835342</v>
      </c>
      <c r="D10525" s="10" t="s">
        <v>9752</v>
      </c>
      <c r="E10525" s="10" t="s">
        <v>15187</v>
      </c>
      <c r="F10525" s="10" t="s">
        <v>9754</v>
      </c>
      <c r="G10525" s="10" t="s">
        <v>6317</v>
      </c>
      <c r="H10525" s="11">
        <v>43100</v>
      </c>
      <c r="I10525" s="10">
        <v>2017</v>
      </c>
      <c r="J10525" s="10" t="s">
        <v>15187</v>
      </c>
      <c r="K10525" s="10">
        <v>146</v>
      </c>
      <c r="L10525" s="10" t="s">
        <v>46170</v>
      </c>
      <c r="M10525" s="10">
        <v>1</v>
      </c>
      <c r="N10525" s="10"/>
      <c r="O10525" s="10"/>
      <c r="P10525" s="10" t="s">
        <v>46171</v>
      </c>
      <c r="Q10525" s="10">
        <v>371.01097299999998</v>
      </c>
      <c r="R10525" s="10" t="s">
        <v>46172</v>
      </c>
      <c r="S10525" s="10" t="s">
        <v>53</v>
      </c>
      <c r="T10525" s="10" t="s">
        <v>54</v>
      </c>
    </row>
    <row r="10526" spans="1:20" ht="14.5" x14ac:dyDescent="0.35">
      <c r="A10526" s="10" t="s">
        <v>46173</v>
      </c>
      <c r="B10526" s="10" t="str">
        <f>"9781464809873"</f>
        <v>9781464809873</v>
      </c>
      <c r="C10526" s="10" t="str">
        <f>"9781464809880"</f>
        <v>9781464809880</v>
      </c>
      <c r="D10526" s="10" t="s">
        <v>14731</v>
      </c>
      <c r="E10526" s="10" t="s">
        <v>14732</v>
      </c>
      <c r="F10526" s="10" t="s">
        <v>88</v>
      </c>
      <c r="G10526" s="10" t="s">
        <v>6317</v>
      </c>
      <c r="H10526" s="11">
        <v>42849</v>
      </c>
      <c r="I10526" s="10">
        <v>2017</v>
      </c>
      <c r="J10526" s="10" t="s">
        <v>14732</v>
      </c>
      <c r="K10526" s="10">
        <v>293</v>
      </c>
      <c r="L10526" s="10" t="s">
        <v>46174</v>
      </c>
      <c r="M10526" s="10">
        <v>1</v>
      </c>
      <c r="N10526" s="10" t="s">
        <v>20668</v>
      </c>
      <c r="O10526" s="10"/>
      <c r="P10526" s="10" t="s">
        <v>46175</v>
      </c>
      <c r="Q10526" s="10">
        <v>371.20095400000002</v>
      </c>
      <c r="R10526" s="10" t="s">
        <v>46176</v>
      </c>
      <c r="S10526" s="10" t="s">
        <v>53</v>
      </c>
      <c r="T10526" s="10" t="s">
        <v>54</v>
      </c>
    </row>
    <row r="10527" spans="1:20" ht="14.5" x14ac:dyDescent="0.35">
      <c r="A10527" s="10" t="s">
        <v>46177</v>
      </c>
      <c r="B10527" s="10" t="str">
        <f>"9788024633084"</f>
        <v>9788024633084</v>
      </c>
      <c r="C10527" s="10" t="str">
        <f>"9788024633534"</f>
        <v>9788024633534</v>
      </c>
      <c r="D10527" s="10" t="s">
        <v>30935</v>
      </c>
      <c r="E10527" s="10" t="s">
        <v>40792</v>
      </c>
      <c r="F10527" s="10" t="s">
        <v>1796</v>
      </c>
      <c r="G10527" s="10" t="s">
        <v>30936</v>
      </c>
      <c r="H10527" s="11">
        <v>42948</v>
      </c>
      <c r="I10527" s="10">
        <v>2017</v>
      </c>
      <c r="J10527" s="10" t="s">
        <v>30935</v>
      </c>
      <c r="K10527" s="10">
        <v>274</v>
      </c>
      <c r="L10527" s="10" t="s">
        <v>46178</v>
      </c>
      <c r="M10527" s="10">
        <v>1</v>
      </c>
      <c r="N10527" s="10"/>
      <c r="O10527" s="10"/>
      <c r="P10527" s="10" t="s">
        <v>46179</v>
      </c>
      <c r="Q10527" s="10">
        <v>372.86</v>
      </c>
      <c r="R10527" s="10" t="s">
        <v>46180</v>
      </c>
      <c r="S10527" s="10" t="s">
        <v>4212</v>
      </c>
      <c r="T10527" s="10" t="s">
        <v>28442</v>
      </c>
    </row>
    <row r="10528" spans="1:20" ht="14.5" x14ac:dyDescent="0.35">
      <c r="A10528" s="10" t="s">
        <v>46181</v>
      </c>
      <c r="B10528" s="10" t="str">
        <f>"9781350031890"</f>
        <v>9781350031890</v>
      </c>
      <c r="C10528" s="10" t="str">
        <f>"9781350031906"</f>
        <v>9781350031906</v>
      </c>
      <c r="D10528" s="10" t="s">
        <v>13959</v>
      </c>
      <c r="E10528" s="10" t="s">
        <v>13960</v>
      </c>
      <c r="F10528" s="10" t="s">
        <v>139</v>
      </c>
      <c r="G10528" s="10" t="s">
        <v>6352</v>
      </c>
      <c r="H10528" s="11">
        <v>43125</v>
      </c>
      <c r="I10528" s="10">
        <v>2018</v>
      </c>
      <c r="J10528" s="10" t="s">
        <v>14057</v>
      </c>
      <c r="K10528" s="10">
        <v>234</v>
      </c>
      <c r="L10528" s="10" t="s">
        <v>46182</v>
      </c>
      <c r="M10528" s="10">
        <v>1</v>
      </c>
      <c r="N10528" s="10"/>
      <c r="O10528" s="10"/>
      <c r="P10528" s="10" t="s">
        <v>46183</v>
      </c>
      <c r="Q10528" s="10">
        <v>370.71100000000001</v>
      </c>
      <c r="R10528" s="10" t="s">
        <v>46184</v>
      </c>
      <c r="S10528" s="10" t="s">
        <v>53</v>
      </c>
      <c r="T10528" s="10" t="s">
        <v>54</v>
      </c>
    </row>
    <row r="10529" spans="1:20" ht="14.5" x14ac:dyDescent="0.35">
      <c r="A10529" s="10" t="s">
        <v>46185</v>
      </c>
      <c r="B10529" s="10" t="str">
        <f>"9781498561457"</f>
        <v>9781498561457</v>
      </c>
      <c r="C10529" s="10" t="str">
        <f>"9781498561464"</f>
        <v>9781498561464</v>
      </c>
      <c r="D10529" s="10" t="s">
        <v>9752</v>
      </c>
      <c r="E10529" s="10" t="s">
        <v>15182</v>
      </c>
      <c r="F10529" s="10" t="s">
        <v>9754</v>
      </c>
      <c r="G10529" s="10" t="s">
        <v>6317</v>
      </c>
      <c r="H10529" s="11">
        <v>43089</v>
      </c>
      <c r="I10529" s="10">
        <v>2017</v>
      </c>
      <c r="J10529" s="10" t="s">
        <v>15182</v>
      </c>
      <c r="K10529" s="10">
        <v>199</v>
      </c>
      <c r="L10529" s="10" t="s">
        <v>46186</v>
      </c>
      <c r="M10529" s="10">
        <v>1</v>
      </c>
      <c r="N10529" s="10"/>
      <c r="O10529" s="10"/>
      <c r="P10529" s="10" t="s">
        <v>46187</v>
      </c>
      <c r="Q10529" s="10">
        <v>372.60968000000003</v>
      </c>
      <c r="R10529" s="10" t="s">
        <v>46188</v>
      </c>
      <c r="S10529" s="10" t="s">
        <v>53</v>
      </c>
      <c r="T10529" s="10" t="s">
        <v>54</v>
      </c>
    </row>
    <row r="10530" spans="1:20" ht="14.5" x14ac:dyDescent="0.35">
      <c r="A10530" s="10" t="s">
        <v>46189</v>
      </c>
      <c r="B10530" s="10" t="str">
        <f>"9781446298428"</f>
        <v>9781446298428</v>
      </c>
      <c r="C10530" s="10" t="str">
        <f>"9781473918344"</f>
        <v>9781473918344</v>
      </c>
      <c r="D10530" s="10" t="s">
        <v>9325</v>
      </c>
      <c r="E10530" s="10" t="s">
        <v>9326</v>
      </c>
      <c r="F10530" s="10" t="s">
        <v>139</v>
      </c>
      <c r="G10530" s="10" t="s">
        <v>6352</v>
      </c>
      <c r="H10530" s="11">
        <v>42125</v>
      </c>
      <c r="I10530" s="10">
        <v>2015</v>
      </c>
      <c r="J10530" s="10" t="s">
        <v>9326</v>
      </c>
      <c r="K10530" s="10">
        <v>233</v>
      </c>
      <c r="L10530" s="10" t="s">
        <v>46190</v>
      </c>
      <c r="M10530" s="10">
        <v>1</v>
      </c>
      <c r="N10530" s="10"/>
      <c r="O10530" s="10"/>
      <c r="P10530" s="10" t="s">
        <v>46191</v>
      </c>
      <c r="Q10530" s="10">
        <v>371.9144</v>
      </c>
      <c r="R10530" s="10" t="s">
        <v>46192</v>
      </c>
      <c r="S10530" s="10" t="s">
        <v>53</v>
      </c>
      <c r="T10530" s="10" t="s">
        <v>54</v>
      </c>
    </row>
    <row r="10531" spans="1:20" ht="14.5" x14ac:dyDescent="0.35">
      <c r="A10531" s="10" t="s">
        <v>46193</v>
      </c>
      <c r="B10531" s="10" t="str">
        <f>""</f>
        <v/>
      </c>
      <c r="C10531" s="10" t="str">
        <f>"9782808005661"</f>
        <v>9782808005661</v>
      </c>
      <c r="D10531" s="10" t="s">
        <v>29172</v>
      </c>
      <c r="E10531" s="10" t="s">
        <v>29173</v>
      </c>
      <c r="F10531" s="10" t="s">
        <v>29181</v>
      </c>
      <c r="G10531" s="10" t="s">
        <v>28737</v>
      </c>
      <c r="H10531" s="11">
        <v>43062</v>
      </c>
      <c r="I10531" s="10">
        <v>2017</v>
      </c>
      <c r="J10531" s="10" t="s">
        <v>31276</v>
      </c>
      <c r="K10531" s="10">
        <v>80</v>
      </c>
      <c r="L10531" s="10" t="s">
        <v>46194</v>
      </c>
      <c r="M10531" s="10">
        <v>1</v>
      </c>
      <c r="N10531" s="10" t="s">
        <v>41638</v>
      </c>
      <c r="O10531" s="10">
        <v>9</v>
      </c>
      <c r="P10531" s="10"/>
      <c r="Q10531" s="10"/>
      <c r="R10531" s="10" t="s">
        <v>46195</v>
      </c>
      <c r="S10531" s="10" t="s">
        <v>5404</v>
      </c>
      <c r="T10531" s="10" t="s">
        <v>40487</v>
      </c>
    </row>
    <row r="10532" spans="1:20" ht="14.5" x14ac:dyDescent="0.35">
      <c r="A10532" s="10" t="s">
        <v>46196</v>
      </c>
      <c r="B10532" s="10" t="str">
        <f>""</f>
        <v/>
      </c>
      <c r="C10532" s="10" t="str">
        <f>"9782808006125"</f>
        <v>9782808006125</v>
      </c>
      <c r="D10532" s="10" t="s">
        <v>29172</v>
      </c>
      <c r="E10532" s="10" t="s">
        <v>29173</v>
      </c>
      <c r="F10532" s="10" t="s">
        <v>29181</v>
      </c>
      <c r="G10532" s="10" t="s">
        <v>28737</v>
      </c>
      <c r="H10532" s="11">
        <v>43062</v>
      </c>
      <c r="I10532" s="10">
        <v>2017</v>
      </c>
      <c r="J10532" s="10" t="s">
        <v>29175</v>
      </c>
      <c r="K10532" s="10">
        <v>61</v>
      </c>
      <c r="L10532" s="10" t="s">
        <v>46197</v>
      </c>
      <c r="M10532" s="10">
        <v>1</v>
      </c>
      <c r="N10532" s="10" t="s">
        <v>29177</v>
      </c>
      <c r="O10532" s="10"/>
      <c r="P10532" s="10"/>
      <c r="Q10532" s="10"/>
      <c r="R10532" s="10" t="s">
        <v>44139</v>
      </c>
      <c r="S10532" s="10" t="s">
        <v>5404</v>
      </c>
      <c r="T10532" s="10" t="s">
        <v>29186</v>
      </c>
    </row>
    <row r="10533" spans="1:20" ht="14.5" x14ac:dyDescent="0.35">
      <c r="A10533" s="10" t="s">
        <v>46198</v>
      </c>
      <c r="B10533" s="10" t="str">
        <f>"9781771679626"</f>
        <v>9781771679626</v>
      </c>
      <c r="C10533" s="10" t="str">
        <f>"9780228303244"</f>
        <v>9780228303244</v>
      </c>
      <c r="D10533" s="10" t="s">
        <v>29364</v>
      </c>
      <c r="E10533" s="10" t="s">
        <v>31200</v>
      </c>
      <c r="F10533" s="10" t="s">
        <v>1232</v>
      </c>
      <c r="G10533" s="10" t="s">
        <v>6317</v>
      </c>
      <c r="H10533" s="11">
        <v>43061</v>
      </c>
      <c r="I10533" s="10">
        <v>2018</v>
      </c>
      <c r="J10533" s="10" t="s">
        <v>29364</v>
      </c>
      <c r="K10533" s="10">
        <v>60</v>
      </c>
      <c r="L10533" s="10" t="s">
        <v>39580</v>
      </c>
      <c r="M10533" s="10">
        <v>1</v>
      </c>
      <c r="N10533" s="10" t="s">
        <v>42437</v>
      </c>
      <c r="O10533" s="10">
        <v>38</v>
      </c>
      <c r="P10533" s="10" t="s">
        <v>46199</v>
      </c>
      <c r="Q10533" s="10">
        <v>807</v>
      </c>
      <c r="R10533" s="10" t="s">
        <v>46200</v>
      </c>
      <c r="S10533" s="10" t="s">
        <v>53</v>
      </c>
      <c r="T10533" s="10" t="s">
        <v>1166</v>
      </c>
    </row>
    <row r="10534" spans="1:20" ht="14.5" x14ac:dyDescent="0.35">
      <c r="A10534" s="10" t="s">
        <v>46201</v>
      </c>
      <c r="B10534" s="10" t="str">
        <f>"9781771676311"</f>
        <v>9781771676311</v>
      </c>
      <c r="C10534" s="10" t="str">
        <f>"9781771676472"</f>
        <v>9781771676472</v>
      </c>
      <c r="D10534" s="10" t="s">
        <v>29364</v>
      </c>
      <c r="E10534" s="10" t="s">
        <v>31200</v>
      </c>
      <c r="F10534" s="10" t="s">
        <v>1232</v>
      </c>
      <c r="G10534" s="10" t="s">
        <v>6317</v>
      </c>
      <c r="H10534" s="11">
        <v>42613</v>
      </c>
      <c r="I10534" s="10">
        <v>2017</v>
      </c>
      <c r="J10534" s="10" t="s">
        <v>29364</v>
      </c>
      <c r="K10534" s="10">
        <v>60</v>
      </c>
      <c r="L10534" s="10" t="s">
        <v>46202</v>
      </c>
      <c r="M10534" s="10">
        <v>1</v>
      </c>
      <c r="N10534" s="10" t="s">
        <v>46203</v>
      </c>
      <c r="O10534" s="10">
        <v>1</v>
      </c>
      <c r="P10534" s="10" t="s">
        <v>46204</v>
      </c>
      <c r="Q10534" s="10">
        <v>372.7</v>
      </c>
      <c r="R10534" s="10" t="s">
        <v>46205</v>
      </c>
      <c r="S10534" s="10" t="s">
        <v>53</v>
      </c>
      <c r="T10534" s="10" t="s">
        <v>7425</v>
      </c>
    </row>
    <row r="10535" spans="1:20" ht="14.5" x14ac:dyDescent="0.35">
      <c r="A10535" s="10" t="s">
        <v>46206</v>
      </c>
      <c r="B10535" s="10" t="str">
        <f>"9781771676328"</f>
        <v>9781771676328</v>
      </c>
      <c r="C10535" s="10" t="str">
        <f>"9781771676489"</f>
        <v>9781771676489</v>
      </c>
      <c r="D10535" s="10" t="s">
        <v>29364</v>
      </c>
      <c r="E10535" s="10" t="s">
        <v>31200</v>
      </c>
      <c r="F10535" s="10" t="s">
        <v>1232</v>
      </c>
      <c r="G10535" s="10" t="s">
        <v>6317</v>
      </c>
      <c r="H10535" s="11">
        <v>42544</v>
      </c>
      <c r="I10535" s="10">
        <v>2017</v>
      </c>
      <c r="J10535" s="10" t="s">
        <v>29364</v>
      </c>
      <c r="K10535" s="10">
        <v>60</v>
      </c>
      <c r="L10535" s="10" t="s">
        <v>46207</v>
      </c>
      <c r="M10535" s="10">
        <v>1</v>
      </c>
      <c r="N10535" s="10" t="s">
        <v>46203</v>
      </c>
      <c r="O10535" s="10">
        <v>2</v>
      </c>
      <c r="P10535" s="10" t="s">
        <v>46208</v>
      </c>
      <c r="Q10535" s="10">
        <v>302.14071000000001</v>
      </c>
      <c r="R10535" s="10" t="s">
        <v>46209</v>
      </c>
      <c r="S10535" s="10" t="s">
        <v>53</v>
      </c>
      <c r="T10535" s="10" t="s">
        <v>6363</v>
      </c>
    </row>
    <row r="10536" spans="1:20" ht="14.5" x14ac:dyDescent="0.35">
      <c r="A10536" s="10" t="s">
        <v>46210</v>
      </c>
      <c r="B10536" s="10" t="str">
        <f>"9781771676335"</f>
        <v>9781771676335</v>
      </c>
      <c r="C10536" s="10" t="str">
        <f>"9781771676496"</f>
        <v>9781771676496</v>
      </c>
      <c r="D10536" s="10" t="s">
        <v>29364</v>
      </c>
      <c r="E10536" s="10" t="s">
        <v>31200</v>
      </c>
      <c r="F10536" s="10" t="s">
        <v>1232</v>
      </c>
      <c r="G10536" s="10" t="s">
        <v>6317</v>
      </c>
      <c r="H10536" s="11">
        <v>42719</v>
      </c>
      <c r="I10536" s="10">
        <v>2017</v>
      </c>
      <c r="J10536" s="10" t="s">
        <v>29364</v>
      </c>
      <c r="K10536" s="10">
        <v>60</v>
      </c>
      <c r="L10536" s="10" t="s">
        <v>46211</v>
      </c>
      <c r="M10536" s="10">
        <v>1</v>
      </c>
      <c r="N10536" s="10" t="s">
        <v>46203</v>
      </c>
      <c r="O10536" s="10">
        <v>3</v>
      </c>
      <c r="P10536" s="10" t="s">
        <v>46212</v>
      </c>
      <c r="Q10536" s="10">
        <v>370.15199999999999</v>
      </c>
      <c r="R10536" s="10" t="s">
        <v>46213</v>
      </c>
      <c r="S10536" s="10" t="s">
        <v>53</v>
      </c>
      <c r="T10536" s="10" t="s">
        <v>54</v>
      </c>
    </row>
    <row r="10537" spans="1:20" ht="14.5" x14ac:dyDescent="0.35">
      <c r="A10537" s="10" t="s">
        <v>46214</v>
      </c>
      <c r="B10537" s="10" t="str">
        <f>"9781771676342"</f>
        <v>9781771676342</v>
      </c>
      <c r="C10537" s="10" t="str">
        <f>"9781771676502"</f>
        <v>9781771676502</v>
      </c>
      <c r="D10537" s="10" t="s">
        <v>29364</v>
      </c>
      <c r="E10537" s="10" t="s">
        <v>31200</v>
      </c>
      <c r="F10537" s="10" t="s">
        <v>1232</v>
      </c>
      <c r="G10537" s="10" t="s">
        <v>6317</v>
      </c>
      <c r="H10537" s="11">
        <v>42720</v>
      </c>
      <c r="I10537" s="10">
        <v>2016</v>
      </c>
      <c r="J10537" s="10" t="s">
        <v>29364</v>
      </c>
      <c r="K10537" s="10">
        <v>170</v>
      </c>
      <c r="L10537" s="10" t="s">
        <v>46207</v>
      </c>
      <c r="M10537" s="10">
        <v>1</v>
      </c>
      <c r="N10537" s="10" t="s">
        <v>46203</v>
      </c>
      <c r="O10537" s="10">
        <v>4</v>
      </c>
      <c r="P10537" s="10" t="s">
        <v>46215</v>
      </c>
      <c r="Q10537" s="10">
        <v>428.6</v>
      </c>
      <c r="R10537" s="10" t="s">
        <v>46216</v>
      </c>
      <c r="S10537" s="10" t="s">
        <v>53</v>
      </c>
      <c r="T10537" s="10" t="s">
        <v>6616</v>
      </c>
    </row>
    <row r="10538" spans="1:20" ht="14.5" x14ac:dyDescent="0.35">
      <c r="A10538" s="10" t="s">
        <v>46217</v>
      </c>
      <c r="B10538" s="10" t="str">
        <f>"9781771679602"</f>
        <v>9781771679602</v>
      </c>
      <c r="C10538" s="10" t="str">
        <f>"9781771679633"</f>
        <v>9781771679633</v>
      </c>
      <c r="D10538" s="10" t="s">
        <v>29364</v>
      </c>
      <c r="E10538" s="10" t="s">
        <v>31200</v>
      </c>
      <c r="F10538" s="10" t="s">
        <v>1232</v>
      </c>
      <c r="G10538" s="10" t="s">
        <v>6317</v>
      </c>
      <c r="H10538" s="11">
        <v>42817</v>
      </c>
      <c r="I10538" s="10">
        <v>2018</v>
      </c>
      <c r="J10538" s="10" t="s">
        <v>29364</v>
      </c>
      <c r="K10538" s="10">
        <v>56</v>
      </c>
      <c r="L10538" s="10" t="s">
        <v>39580</v>
      </c>
      <c r="M10538" s="10">
        <v>1</v>
      </c>
      <c r="N10538" s="10" t="s">
        <v>43900</v>
      </c>
      <c r="O10538" s="10">
        <v>22</v>
      </c>
      <c r="P10538" s="10" t="s">
        <v>46218</v>
      </c>
      <c r="Q10538" s="10">
        <v>372.4</v>
      </c>
      <c r="R10538" s="10" t="s">
        <v>43902</v>
      </c>
      <c r="S10538" s="10" t="s">
        <v>53</v>
      </c>
      <c r="T10538" s="10" t="s">
        <v>54</v>
      </c>
    </row>
    <row r="10539" spans="1:20" ht="14.5" x14ac:dyDescent="0.35">
      <c r="A10539" s="10" t="s">
        <v>46219</v>
      </c>
      <c r="B10539" s="10" t="str">
        <f>"9781771679596"</f>
        <v>9781771679596</v>
      </c>
      <c r="C10539" s="10" t="str">
        <f>"9781771679657"</f>
        <v>9781771679657</v>
      </c>
      <c r="D10539" s="10" t="s">
        <v>29364</v>
      </c>
      <c r="E10539" s="10" t="s">
        <v>31200</v>
      </c>
      <c r="F10539" s="10" t="s">
        <v>1232</v>
      </c>
      <c r="G10539" s="10" t="s">
        <v>6317</v>
      </c>
      <c r="H10539" s="11">
        <v>42886</v>
      </c>
      <c r="I10539" s="10">
        <v>2018</v>
      </c>
      <c r="J10539" s="10" t="s">
        <v>29364</v>
      </c>
      <c r="K10539" s="10">
        <v>60</v>
      </c>
      <c r="L10539" s="10" t="s">
        <v>43908</v>
      </c>
      <c r="M10539" s="10">
        <v>1</v>
      </c>
      <c r="N10539" s="10" t="s">
        <v>46220</v>
      </c>
      <c r="O10539" s="10">
        <v>6</v>
      </c>
      <c r="P10539" s="10" t="s">
        <v>46221</v>
      </c>
      <c r="Q10539" s="10">
        <v>809.89282000000003</v>
      </c>
      <c r="R10539" s="10" t="s">
        <v>46222</v>
      </c>
      <c r="S10539" s="10" t="s">
        <v>53</v>
      </c>
      <c r="T10539" s="10" t="s">
        <v>1166</v>
      </c>
    </row>
    <row r="10540" spans="1:20" ht="14.5" x14ac:dyDescent="0.35">
      <c r="A10540" s="10" t="s">
        <v>46223</v>
      </c>
      <c r="B10540" s="10" t="str">
        <f>"9781771679619"</f>
        <v>9781771679619</v>
      </c>
      <c r="C10540" s="10" t="str">
        <f>"9781773449975"</f>
        <v>9781773449975</v>
      </c>
      <c r="D10540" s="10" t="s">
        <v>29364</v>
      </c>
      <c r="E10540" s="10" t="s">
        <v>31200</v>
      </c>
      <c r="F10540" s="10" t="s">
        <v>1232</v>
      </c>
      <c r="G10540" s="10" t="s">
        <v>6317</v>
      </c>
      <c r="H10540" s="11">
        <v>42935</v>
      </c>
      <c r="I10540" s="10">
        <v>2018</v>
      </c>
      <c r="J10540" s="10" t="s">
        <v>29364</v>
      </c>
      <c r="K10540" s="10">
        <v>60</v>
      </c>
      <c r="L10540" s="10" t="s">
        <v>39580</v>
      </c>
      <c r="M10540" s="10">
        <v>1</v>
      </c>
      <c r="N10540" s="10" t="s">
        <v>42437</v>
      </c>
      <c r="O10540" s="10">
        <v>37</v>
      </c>
      <c r="P10540" s="10" t="s">
        <v>46224</v>
      </c>
      <c r="Q10540" s="10">
        <v>372.64044000000001</v>
      </c>
      <c r="R10540" s="10" t="s">
        <v>46225</v>
      </c>
      <c r="S10540" s="10" t="s">
        <v>53</v>
      </c>
      <c r="T10540" s="10" t="s">
        <v>54</v>
      </c>
    </row>
    <row r="10541" spans="1:20" ht="14.5" x14ac:dyDescent="0.35">
      <c r="A10541" s="10" t="s">
        <v>46226</v>
      </c>
      <c r="B10541" s="10" t="str">
        <f>"9781771676205"</f>
        <v>9781771676205</v>
      </c>
      <c r="C10541" s="10" t="str">
        <f>"9781773449999"</f>
        <v>9781773449999</v>
      </c>
      <c r="D10541" s="10" t="s">
        <v>29364</v>
      </c>
      <c r="E10541" s="10" t="s">
        <v>31200</v>
      </c>
      <c r="F10541" s="10" t="s">
        <v>1232</v>
      </c>
      <c r="G10541" s="10" t="s">
        <v>6317</v>
      </c>
      <c r="H10541" s="11">
        <v>43042</v>
      </c>
      <c r="I10541" s="10">
        <v>2018</v>
      </c>
      <c r="J10541" s="10" t="s">
        <v>29364</v>
      </c>
      <c r="K10541" s="10">
        <v>60</v>
      </c>
      <c r="L10541" s="10" t="s">
        <v>46227</v>
      </c>
      <c r="M10541" s="10">
        <v>1</v>
      </c>
      <c r="N10541" s="10" t="s">
        <v>43900</v>
      </c>
      <c r="O10541" s="10">
        <v>20</v>
      </c>
      <c r="P10541" s="10" t="s">
        <v>46228</v>
      </c>
      <c r="Q10541" s="10">
        <v>372.4</v>
      </c>
      <c r="R10541" s="10" t="s">
        <v>43902</v>
      </c>
      <c r="S10541" s="10" t="s">
        <v>53</v>
      </c>
      <c r="T10541" s="10" t="s">
        <v>54</v>
      </c>
    </row>
    <row r="10542" spans="1:20" ht="14.5" x14ac:dyDescent="0.35">
      <c r="A10542" s="10" t="s">
        <v>46229</v>
      </c>
      <c r="B10542" s="10" t="str">
        <f>"9781771679640"</f>
        <v>9781771679640</v>
      </c>
      <c r="C10542" s="10" t="str">
        <f>"9781773449982"</f>
        <v>9781773449982</v>
      </c>
      <c r="D10542" s="10" t="s">
        <v>29364</v>
      </c>
      <c r="E10542" s="10" t="s">
        <v>31200</v>
      </c>
      <c r="F10542" s="10" t="s">
        <v>1232</v>
      </c>
      <c r="G10542" s="10" t="s">
        <v>6317</v>
      </c>
      <c r="H10542" s="11">
        <v>42964</v>
      </c>
      <c r="I10542" s="10">
        <v>2017</v>
      </c>
      <c r="J10542" s="10" t="s">
        <v>29364</v>
      </c>
      <c r="K10542" s="10">
        <v>60</v>
      </c>
      <c r="L10542" s="10" t="s">
        <v>46230</v>
      </c>
      <c r="M10542" s="10">
        <v>1</v>
      </c>
      <c r="N10542" s="10" t="s">
        <v>46231</v>
      </c>
      <c r="O10542" s="10">
        <v>1</v>
      </c>
      <c r="P10542" s="10" t="s">
        <v>46232</v>
      </c>
      <c r="Q10542" s="10">
        <v>807</v>
      </c>
      <c r="R10542" s="10" t="s">
        <v>46233</v>
      </c>
      <c r="S10542" s="10" t="s">
        <v>119</v>
      </c>
      <c r="T10542" s="10" t="s">
        <v>1166</v>
      </c>
    </row>
    <row r="10543" spans="1:20" ht="14.5" x14ac:dyDescent="0.35">
      <c r="A10543" s="10" t="s">
        <v>46234</v>
      </c>
      <c r="B10543" s="10" t="str">
        <f>"9781452268637"</f>
        <v>9781452268637</v>
      </c>
      <c r="C10543" s="10" t="str">
        <f>"9781483389769"</f>
        <v>9781483389769</v>
      </c>
      <c r="D10543" s="10" t="s">
        <v>22210</v>
      </c>
      <c r="E10543" s="10" t="s">
        <v>22211</v>
      </c>
      <c r="F10543" s="10" t="s">
        <v>333</v>
      </c>
      <c r="G10543" s="10" t="s">
        <v>6317</v>
      </c>
      <c r="H10543" s="11">
        <v>41558</v>
      </c>
      <c r="I10543" s="10">
        <v>2013</v>
      </c>
      <c r="J10543" s="10" t="s">
        <v>22211</v>
      </c>
      <c r="K10543" s="10">
        <v>249</v>
      </c>
      <c r="L10543" s="10" t="s">
        <v>46235</v>
      </c>
      <c r="M10543" s="10">
        <v>1</v>
      </c>
      <c r="N10543" s="10" t="s">
        <v>43548</v>
      </c>
      <c r="O10543" s="10"/>
      <c r="P10543" s="10" t="s">
        <v>19301</v>
      </c>
      <c r="Q10543" s="10">
        <v>371.10199999999998</v>
      </c>
      <c r="R10543" s="10"/>
      <c r="S10543" s="10" t="s">
        <v>53</v>
      </c>
      <c r="T10543" s="10" t="s">
        <v>54</v>
      </c>
    </row>
    <row r="10544" spans="1:20" ht="14.5" x14ac:dyDescent="0.35">
      <c r="A10544" s="10" t="s">
        <v>46236</v>
      </c>
      <c r="B10544" s="10" t="str">
        <f>"9781483371405"</f>
        <v>9781483371405</v>
      </c>
      <c r="C10544" s="10" t="str">
        <f>"9781483371399"</f>
        <v>9781483371399</v>
      </c>
      <c r="D10544" s="10" t="s">
        <v>22210</v>
      </c>
      <c r="E10544" s="10" t="s">
        <v>22211</v>
      </c>
      <c r="F10544" s="10" t="s">
        <v>333</v>
      </c>
      <c r="G10544" s="10" t="s">
        <v>6317</v>
      </c>
      <c r="H10544" s="11">
        <v>42087</v>
      </c>
      <c r="I10544" s="10">
        <v>2015</v>
      </c>
      <c r="J10544" s="10" t="s">
        <v>22211</v>
      </c>
      <c r="K10544" s="10">
        <v>353</v>
      </c>
      <c r="L10544" s="10" t="s">
        <v>46237</v>
      </c>
      <c r="M10544" s="10">
        <v>2</v>
      </c>
      <c r="N10544" s="10"/>
      <c r="O10544" s="10"/>
      <c r="P10544" s="10" t="s">
        <v>46238</v>
      </c>
      <c r="Q10544" s="10">
        <v>371.8211</v>
      </c>
      <c r="R10544" s="10"/>
      <c r="S10544" s="10" t="s">
        <v>53</v>
      </c>
      <c r="T10544" s="10" t="s">
        <v>54</v>
      </c>
    </row>
    <row r="10545" spans="1:20" ht="14.5" x14ac:dyDescent="0.35">
      <c r="A10545" s="10" t="s">
        <v>46239</v>
      </c>
      <c r="B10545" s="10" t="str">
        <f>"9781483377124"</f>
        <v>9781483377124</v>
      </c>
      <c r="C10545" s="10" t="str">
        <f>"9781506324241"</f>
        <v>9781506324241</v>
      </c>
      <c r="D10545" s="10" t="s">
        <v>22210</v>
      </c>
      <c r="E10545" s="10" t="s">
        <v>22211</v>
      </c>
      <c r="F10545" s="10" t="s">
        <v>333</v>
      </c>
      <c r="G10545" s="10" t="s">
        <v>6317</v>
      </c>
      <c r="H10545" s="11">
        <v>42307</v>
      </c>
      <c r="I10545" s="10">
        <v>2016</v>
      </c>
      <c r="J10545" s="10" t="s">
        <v>22211</v>
      </c>
      <c r="K10545" s="10">
        <v>257</v>
      </c>
      <c r="L10545" s="10" t="s">
        <v>46240</v>
      </c>
      <c r="M10545" s="10">
        <v>1</v>
      </c>
      <c r="N10545" s="10"/>
      <c r="O10545" s="10"/>
      <c r="P10545" s="10" t="s">
        <v>29034</v>
      </c>
      <c r="Q10545" s="10"/>
      <c r="R10545" s="10"/>
      <c r="S10545" s="10" t="s">
        <v>53</v>
      </c>
      <c r="T10545" s="10" t="s">
        <v>54</v>
      </c>
    </row>
    <row r="10546" spans="1:20" ht="14.5" x14ac:dyDescent="0.35">
      <c r="A10546" s="10" t="s">
        <v>46241</v>
      </c>
      <c r="B10546" s="10" t="str">
        <f>"9781506311227"</f>
        <v>9781506311227</v>
      </c>
      <c r="C10546" s="10" t="str">
        <f>"9781506342825"</f>
        <v>9781506342825</v>
      </c>
      <c r="D10546" s="10" t="s">
        <v>22210</v>
      </c>
      <c r="E10546" s="10" t="s">
        <v>22211</v>
      </c>
      <c r="F10546" s="10" t="s">
        <v>333</v>
      </c>
      <c r="G10546" s="10" t="s">
        <v>6317</v>
      </c>
      <c r="H10546" s="11">
        <v>42566</v>
      </c>
      <c r="I10546" s="10">
        <v>2017</v>
      </c>
      <c r="J10546" s="10" t="s">
        <v>22211</v>
      </c>
      <c r="K10546" s="10">
        <v>241</v>
      </c>
      <c r="L10546" s="10" t="s">
        <v>46242</v>
      </c>
      <c r="M10546" s="10">
        <v>1</v>
      </c>
      <c r="N10546" s="10"/>
      <c r="O10546" s="10"/>
      <c r="P10546" s="10" t="s">
        <v>46243</v>
      </c>
      <c r="Q10546" s="10">
        <v>371.20110972999998</v>
      </c>
      <c r="R10546" s="10"/>
      <c r="S10546" s="10" t="s">
        <v>53</v>
      </c>
      <c r="T10546" s="10" t="s">
        <v>54</v>
      </c>
    </row>
    <row r="10547" spans="1:20" ht="14.5" x14ac:dyDescent="0.35">
      <c r="A10547" s="10" t="s">
        <v>46244</v>
      </c>
      <c r="B10547" s="10" t="str">
        <f>"9781483358574"</f>
        <v>9781483358574</v>
      </c>
      <c r="C10547" s="10" t="str">
        <f>"9781483394183"</f>
        <v>9781483394183</v>
      </c>
      <c r="D10547" s="10" t="s">
        <v>22210</v>
      </c>
      <c r="E10547" s="10" t="s">
        <v>22211</v>
      </c>
      <c r="F10547" s="10" t="s">
        <v>333</v>
      </c>
      <c r="G10547" s="10" t="s">
        <v>6317</v>
      </c>
      <c r="H10547" s="11">
        <v>42097</v>
      </c>
      <c r="I10547" s="10">
        <v>2015</v>
      </c>
      <c r="J10547" s="10" t="s">
        <v>22211</v>
      </c>
      <c r="K10547" s="10">
        <v>273</v>
      </c>
      <c r="L10547" s="10" t="s">
        <v>46245</v>
      </c>
      <c r="M10547" s="10">
        <v>1</v>
      </c>
      <c r="N10547" s="10"/>
      <c r="O10547" s="10"/>
      <c r="P10547" s="10" t="s">
        <v>30776</v>
      </c>
      <c r="Q10547" s="10"/>
      <c r="R10547" s="10"/>
      <c r="S10547" s="10" t="s">
        <v>53</v>
      </c>
      <c r="T10547" s="10" t="s">
        <v>54</v>
      </c>
    </row>
    <row r="10548" spans="1:20" ht="14.5" x14ac:dyDescent="0.35">
      <c r="A10548" s="10" t="s">
        <v>46246</v>
      </c>
      <c r="B10548" s="10" t="str">
        <f>"9781506328720"</f>
        <v>9781506328720</v>
      </c>
      <c r="C10548" s="10" t="str">
        <f>"9781506343426"</f>
        <v>9781506343426</v>
      </c>
      <c r="D10548" s="10" t="s">
        <v>22210</v>
      </c>
      <c r="E10548" s="10" t="s">
        <v>22211</v>
      </c>
      <c r="F10548" s="10" t="s">
        <v>333</v>
      </c>
      <c r="G10548" s="10" t="s">
        <v>6317</v>
      </c>
      <c r="H10548" s="11">
        <v>42662</v>
      </c>
      <c r="I10548" s="10">
        <v>2017</v>
      </c>
      <c r="J10548" s="10" t="s">
        <v>22211</v>
      </c>
      <c r="K10548" s="10">
        <v>257</v>
      </c>
      <c r="L10548" s="10" t="s">
        <v>46247</v>
      </c>
      <c r="M10548" s="10">
        <v>1</v>
      </c>
      <c r="N10548" s="10"/>
      <c r="O10548" s="10"/>
      <c r="P10548" s="10" t="s">
        <v>46248</v>
      </c>
      <c r="Q10548" s="10">
        <v>371.26</v>
      </c>
      <c r="R10548" s="10"/>
      <c r="S10548" s="10" t="s">
        <v>53</v>
      </c>
      <c r="T10548" s="10" t="s">
        <v>54</v>
      </c>
    </row>
    <row r="10549" spans="1:20" ht="14.5" x14ac:dyDescent="0.35">
      <c r="A10549" s="10" t="s">
        <v>46249</v>
      </c>
      <c r="B10549" s="10" t="str">
        <f>"9781483381077"</f>
        <v>9781483381077</v>
      </c>
      <c r="C10549" s="10" t="str">
        <f>"9781506342283"</f>
        <v>9781506342283</v>
      </c>
      <c r="D10549" s="10" t="s">
        <v>22210</v>
      </c>
      <c r="E10549" s="10" t="s">
        <v>22211</v>
      </c>
      <c r="F10549" s="10" t="s">
        <v>333</v>
      </c>
      <c r="G10549" s="10" t="s">
        <v>6317</v>
      </c>
      <c r="H10549" s="11">
        <v>42513</v>
      </c>
      <c r="I10549" s="10">
        <v>2016</v>
      </c>
      <c r="J10549" s="10" t="s">
        <v>22211</v>
      </c>
      <c r="K10549" s="10">
        <v>177</v>
      </c>
      <c r="L10549" s="10" t="s">
        <v>46250</v>
      </c>
      <c r="M10549" s="10">
        <v>1</v>
      </c>
      <c r="N10549" s="10"/>
      <c r="O10549" s="10"/>
      <c r="P10549" s="10" t="s">
        <v>46251</v>
      </c>
      <c r="Q10549" s="10">
        <v>371.1</v>
      </c>
      <c r="R10549" s="10"/>
      <c r="S10549" s="10" t="s">
        <v>53</v>
      </c>
      <c r="T10549" s="10" t="s">
        <v>54</v>
      </c>
    </row>
    <row r="10550" spans="1:20" ht="14.5" x14ac:dyDescent="0.35">
      <c r="A10550" s="10" t="s">
        <v>46252</v>
      </c>
      <c r="B10550" s="10" t="str">
        <f>"9781506351155"</f>
        <v>9781506351155</v>
      </c>
      <c r="C10550" s="10" t="str">
        <f>"9781506351186"</f>
        <v>9781506351186</v>
      </c>
      <c r="D10550" s="10" t="s">
        <v>22210</v>
      </c>
      <c r="E10550" s="10" t="s">
        <v>22211</v>
      </c>
      <c r="F10550" s="10" t="s">
        <v>333</v>
      </c>
      <c r="G10550" s="10" t="s">
        <v>6317</v>
      </c>
      <c r="H10550" s="11">
        <v>42695</v>
      </c>
      <c r="I10550" s="10">
        <v>2017</v>
      </c>
      <c r="J10550" s="10" t="s">
        <v>22211</v>
      </c>
      <c r="K10550" s="10">
        <v>425</v>
      </c>
      <c r="L10550" s="10" t="s">
        <v>22220</v>
      </c>
      <c r="M10550" s="10">
        <v>1</v>
      </c>
      <c r="N10550" s="10"/>
      <c r="O10550" s="10"/>
      <c r="P10550" s="10" t="s">
        <v>46253</v>
      </c>
      <c r="Q10550" s="10"/>
      <c r="R10550" s="10" t="s">
        <v>46254</v>
      </c>
      <c r="S10550" s="10" t="s">
        <v>53</v>
      </c>
      <c r="T10550" s="10" t="s">
        <v>54</v>
      </c>
    </row>
    <row r="10551" spans="1:20" ht="14.5" x14ac:dyDescent="0.35">
      <c r="A10551" s="10" t="s">
        <v>46255</v>
      </c>
      <c r="B10551" s="10" t="str">
        <f>"9781506331775"</f>
        <v>9781506331775</v>
      </c>
      <c r="C10551" s="10" t="str">
        <f>"9781506331782"</f>
        <v>9781506331782</v>
      </c>
      <c r="D10551" s="10" t="s">
        <v>22210</v>
      </c>
      <c r="E10551" s="10" t="s">
        <v>22211</v>
      </c>
      <c r="F10551" s="10" t="s">
        <v>333</v>
      </c>
      <c r="G10551" s="10" t="s">
        <v>6317</v>
      </c>
      <c r="H10551" s="11">
        <v>42457</v>
      </c>
      <c r="I10551" s="10">
        <v>2016</v>
      </c>
      <c r="J10551" s="10" t="s">
        <v>22211</v>
      </c>
      <c r="K10551" s="10">
        <v>105</v>
      </c>
      <c r="L10551" s="10" t="s">
        <v>45937</v>
      </c>
      <c r="M10551" s="10">
        <v>1</v>
      </c>
      <c r="N10551" s="10" t="s">
        <v>46256</v>
      </c>
      <c r="O10551" s="10"/>
      <c r="P10551" s="10" t="s">
        <v>46257</v>
      </c>
      <c r="Q10551" s="10">
        <v>371.39400000000001</v>
      </c>
      <c r="R10551" s="10" t="s">
        <v>46258</v>
      </c>
      <c r="S10551" s="10" t="s">
        <v>53</v>
      </c>
      <c r="T10551" s="10" t="s">
        <v>54</v>
      </c>
    </row>
    <row r="10552" spans="1:20" ht="14.5" x14ac:dyDescent="0.35">
      <c r="A10552" s="10" t="s">
        <v>46259</v>
      </c>
      <c r="B10552" s="10" t="str">
        <f>"9781483386669"</f>
        <v>9781483386669</v>
      </c>
      <c r="C10552" s="10" t="str">
        <f>"9781483390185"</f>
        <v>9781483390185</v>
      </c>
      <c r="D10552" s="10" t="s">
        <v>22210</v>
      </c>
      <c r="E10552" s="10" t="s">
        <v>22211</v>
      </c>
      <c r="F10552" s="10" t="s">
        <v>333</v>
      </c>
      <c r="G10552" s="10" t="s">
        <v>6317</v>
      </c>
      <c r="H10552" s="11">
        <v>42081</v>
      </c>
      <c r="I10552" s="10">
        <v>2015</v>
      </c>
      <c r="J10552" s="10" t="s">
        <v>22211</v>
      </c>
      <c r="K10552" s="10">
        <v>369</v>
      </c>
      <c r="L10552" s="10" t="s">
        <v>43560</v>
      </c>
      <c r="M10552" s="10">
        <v>1</v>
      </c>
      <c r="N10552" s="10"/>
      <c r="O10552" s="10"/>
      <c r="P10552" s="10" t="s">
        <v>46260</v>
      </c>
      <c r="Q10552" s="10">
        <v>372</v>
      </c>
      <c r="R10552" s="10" t="s">
        <v>46261</v>
      </c>
      <c r="S10552" s="10" t="s">
        <v>53</v>
      </c>
      <c r="T10552" s="10" t="s">
        <v>54</v>
      </c>
    </row>
    <row r="10553" spans="1:20" ht="14.5" x14ac:dyDescent="0.35">
      <c r="A10553" s="10" t="s">
        <v>46262</v>
      </c>
      <c r="B10553" s="10" t="str">
        <f>"9781483386676"</f>
        <v>9781483386676</v>
      </c>
      <c r="C10553" s="10" t="str">
        <f>"9781506338453"</f>
        <v>9781506338453</v>
      </c>
      <c r="D10553" s="10" t="s">
        <v>22210</v>
      </c>
      <c r="E10553" s="10" t="s">
        <v>22211</v>
      </c>
      <c r="F10553" s="10" t="s">
        <v>333</v>
      </c>
      <c r="G10553" s="10" t="s">
        <v>6317</v>
      </c>
      <c r="H10553" s="11">
        <v>42381</v>
      </c>
      <c r="I10553" s="10">
        <v>2016</v>
      </c>
      <c r="J10553" s="10" t="s">
        <v>22211</v>
      </c>
      <c r="K10553" s="10">
        <v>113</v>
      </c>
      <c r="L10553" s="10" t="s">
        <v>46263</v>
      </c>
      <c r="M10553" s="10">
        <v>1</v>
      </c>
      <c r="N10553" s="10"/>
      <c r="O10553" s="10"/>
      <c r="P10553" s="10" t="s">
        <v>46264</v>
      </c>
      <c r="Q10553" s="10"/>
      <c r="R10553" s="10" t="s">
        <v>46265</v>
      </c>
      <c r="S10553" s="10" t="s">
        <v>53</v>
      </c>
      <c r="T10553" s="10" t="s">
        <v>54</v>
      </c>
    </row>
    <row r="10554" spans="1:20" ht="14.5" x14ac:dyDescent="0.35">
      <c r="A10554" s="10" t="s">
        <v>46266</v>
      </c>
      <c r="B10554" s="10" t="str">
        <f>"9781483371795"</f>
        <v>9781483371795</v>
      </c>
      <c r="C10554" s="10" t="str">
        <f>"9781483371788"</f>
        <v>9781483371788</v>
      </c>
      <c r="D10554" s="10" t="s">
        <v>22210</v>
      </c>
      <c r="E10554" s="10" t="s">
        <v>22211</v>
      </c>
      <c r="F10554" s="10" t="s">
        <v>333</v>
      </c>
      <c r="G10554" s="10" t="s">
        <v>6317</v>
      </c>
      <c r="H10554" s="11">
        <v>41872</v>
      </c>
      <c r="I10554" s="10">
        <v>2014</v>
      </c>
      <c r="J10554" s="10" t="s">
        <v>22211</v>
      </c>
      <c r="K10554" s="10">
        <v>73</v>
      </c>
      <c r="L10554" s="10" t="s">
        <v>46267</v>
      </c>
      <c r="M10554" s="10">
        <v>1</v>
      </c>
      <c r="N10554" s="10" t="s">
        <v>43544</v>
      </c>
      <c r="O10554" s="10"/>
      <c r="P10554" s="10" t="s">
        <v>20058</v>
      </c>
      <c r="Q10554" s="10">
        <v>373.13346754000003</v>
      </c>
      <c r="R10554" s="10" t="s">
        <v>46268</v>
      </c>
      <c r="S10554" s="10" t="s">
        <v>53</v>
      </c>
      <c r="T10554" s="10" t="s">
        <v>54</v>
      </c>
    </row>
    <row r="10555" spans="1:20" ht="14.5" x14ac:dyDescent="0.35">
      <c r="A10555" s="10" t="s">
        <v>46269</v>
      </c>
      <c r="B10555" s="10" t="str">
        <f>"9781452291956"</f>
        <v>9781452291956</v>
      </c>
      <c r="C10555" s="10" t="str">
        <f>"9781506300856"</f>
        <v>9781506300856</v>
      </c>
      <c r="D10555" s="10" t="s">
        <v>22210</v>
      </c>
      <c r="E10555" s="10" t="s">
        <v>22211</v>
      </c>
      <c r="F10555" s="10" t="s">
        <v>333</v>
      </c>
      <c r="G10555" s="10" t="s">
        <v>6317</v>
      </c>
      <c r="H10555" s="11">
        <v>42212</v>
      </c>
      <c r="I10555" s="10">
        <v>2016</v>
      </c>
      <c r="J10555" s="10" t="s">
        <v>22211</v>
      </c>
      <c r="K10555" s="10">
        <v>121</v>
      </c>
      <c r="L10555" s="10" t="s">
        <v>46270</v>
      </c>
      <c r="M10555" s="10">
        <v>1</v>
      </c>
      <c r="N10555" s="10"/>
      <c r="O10555" s="10"/>
      <c r="P10555" s="10" t="s">
        <v>46271</v>
      </c>
      <c r="Q10555" s="10">
        <v>370.71172999999999</v>
      </c>
      <c r="R10555" s="10" t="s">
        <v>46272</v>
      </c>
      <c r="S10555" s="10" t="s">
        <v>53</v>
      </c>
      <c r="T10555" s="10" t="s">
        <v>54</v>
      </c>
    </row>
    <row r="10556" spans="1:20" ht="14.5" x14ac:dyDescent="0.35">
      <c r="A10556" s="10" t="s">
        <v>46273</v>
      </c>
      <c r="B10556" s="10" t="str">
        <f>"9781483316802"</f>
        <v>9781483316802</v>
      </c>
      <c r="C10556" s="10" t="str">
        <f>"9781483388571"</f>
        <v>9781483388571</v>
      </c>
      <c r="D10556" s="10" t="s">
        <v>22210</v>
      </c>
      <c r="E10556" s="10" t="s">
        <v>22211</v>
      </c>
      <c r="F10556" s="10" t="s">
        <v>333</v>
      </c>
      <c r="G10556" s="10" t="s">
        <v>6317</v>
      </c>
      <c r="H10556" s="11">
        <v>42151</v>
      </c>
      <c r="I10556" s="10">
        <v>2015</v>
      </c>
      <c r="J10556" s="10" t="s">
        <v>22211</v>
      </c>
      <c r="K10556" s="10">
        <v>129</v>
      </c>
      <c r="L10556" s="10" t="s">
        <v>46274</v>
      </c>
      <c r="M10556" s="10">
        <v>1</v>
      </c>
      <c r="N10556" s="10"/>
      <c r="O10556" s="10"/>
      <c r="P10556" s="10" t="s">
        <v>46275</v>
      </c>
      <c r="Q10556" s="10" t="s">
        <v>10031</v>
      </c>
      <c r="R10556" s="10" t="s">
        <v>46276</v>
      </c>
      <c r="S10556" s="10" t="s">
        <v>53</v>
      </c>
      <c r="T10556" s="10" t="s">
        <v>54</v>
      </c>
    </row>
    <row r="10557" spans="1:20" ht="14.5" x14ac:dyDescent="0.35">
      <c r="A10557" s="10" t="s">
        <v>46277</v>
      </c>
      <c r="B10557" s="10" t="str">
        <f>"9781483317601"</f>
        <v>9781483317601</v>
      </c>
      <c r="C10557" s="10" t="str">
        <f>"9781483373195"</f>
        <v>9781483373195</v>
      </c>
      <c r="D10557" s="10" t="s">
        <v>22210</v>
      </c>
      <c r="E10557" s="10" t="s">
        <v>22211</v>
      </c>
      <c r="F10557" s="10" t="s">
        <v>333</v>
      </c>
      <c r="G10557" s="10" t="s">
        <v>6317</v>
      </c>
      <c r="H10557" s="11">
        <v>41872</v>
      </c>
      <c r="I10557" s="10">
        <v>2014</v>
      </c>
      <c r="J10557" s="10" t="s">
        <v>22211</v>
      </c>
      <c r="K10557" s="10">
        <v>81</v>
      </c>
      <c r="L10557" s="10" t="s">
        <v>23285</v>
      </c>
      <c r="M10557" s="10">
        <v>1</v>
      </c>
      <c r="N10557" s="10" t="s">
        <v>43544</v>
      </c>
      <c r="O10557" s="10"/>
      <c r="P10557" s="10" t="s">
        <v>13844</v>
      </c>
      <c r="Q10557" s="10">
        <v>371.33</v>
      </c>
      <c r="R10557" s="10"/>
      <c r="S10557" s="10" t="s">
        <v>53</v>
      </c>
      <c r="T10557" s="10" t="s">
        <v>54</v>
      </c>
    </row>
    <row r="10558" spans="1:20" ht="14.5" x14ac:dyDescent="0.35">
      <c r="A10558" s="10" t="s">
        <v>46278</v>
      </c>
      <c r="B10558" s="10" t="str">
        <f>"9781483382654"</f>
        <v>9781483382654</v>
      </c>
      <c r="C10558" s="10" t="str">
        <f>"9781506300702"</f>
        <v>9781506300702</v>
      </c>
      <c r="D10558" s="10" t="s">
        <v>22210</v>
      </c>
      <c r="E10558" s="10" t="s">
        <v>22211</v>
      </c>
      <c r="F10558" s="10" t="s">
        <v>333</v>
      </c>
      <c r="G10558" s="10" t="s">
        <v>6317</v>
      </c>
      <c r="H10558" s="11">
        <v>42334</v>
      </c>
      <c r="I10558" s="10">
        <v>2016</v>
      </c>
      <c r="J10558" s="10" t="s">
        <v>22211</v>
      </c>
      <c r="K10558" s="10">
        <v>129</v>
      </c>
      <c r="L10558" s="10" t="s">
        <v>46279</v>
      </c>
      <c r="M10558" s="10">
        <v>1</v>
      </c>
      <c r="N10558" s="10"/>
      <c r="O10558" s="10"/>
      <c r="P10558" s="10" t="s">
        <v>46280</v>
      </c>
      <c r="Q10558" s="10" t="s">
        <v>7299</v>
      </c>
      <c r="R10558" s="10" t="s">
        <v>30801</v>
      </c>
      <c r="S10558" s="10" t="s">
        <v>53</v>
      </c>
      <c r="T10558" s="10" t="s">
        <v>54</v>
      </c>
    </row>
    <row r="10559" spans="1:20" ht="14.5" x14ac:dyDescent="0.35">
      <c r="A10559" s="10" t="s">
        <v>46281</v>
      </c>
      <c r="B10559" s="10" t="str">
        <f>"9781412999762"</f>
        <v>9781412999762</v>
      </c>
      <c r="C10559" s="10" t="str">
        <f>"9781544331089"</f>
        <v>9781544331089</v>
      </c>
      <c r="D10559" s="10" t="s">
        <v>22210</v>
      </c>
      <c r="E10559" s="10" t="s">
        <v>22211</v>
      </c>
      <c r="F10559" s="10" t="s">
        <v>333</v>
      </c>
      <c r="G10559" s="10" t="s">
        <v>6317</v>
      </c>
      <c r="H10559" s="11">
        <v>41206</v>
      </c>
      <c r="I10559" s="10">
        <v>2013</v>
      </c>
      <c r="J10559" s="10" t="s">
        <v>22211</v>
      </c>
      <c r="K10559" s="10">
        <v>313</v>
      </c>
      <c r="L10559" s="10" t="s">
        <v>46282</v>
      </c>
      <c r="M10559" s="10">
        <v>1</v>
      </c>
      <c r="N10559" s="10"/>
      <c r="O10559" s="10"/>
      <c r="P10559" s="10" t="s">
        <v>46283</v>
      </c>
      <c r="Q10559" s="10">
        <v>371.13299999999998</v>
      </c>
      <c r="R10559" s="10" t="s">
        <v>46284</v>
      </c>
      <c r="S10559" s="10" t="s">
        <v>53</v>
      </c>
      <c r="T10559" s="10" t="s">
        <v>6815</v>
      </c>
    </row>
    <row r="10560" spans="1:20" ht="14.5" x14ac:dyDescent="0.35">
      <c r="A10560" s="10" t="s">
        <v>46285</v>
      </c>
      <c r="B10560" s="10" t="str">
        <f>"9781483370163"</f>
        <v>9781483370163</v>
      </c>
      <c r="C10560" s="10" t="str">
        <f>"9781483390024"</f>
        <v>9781483390024</v>
      </c>
      <c r="D10560" s="10" t="s">
        <v>22210</v>
      </c>
      <c r="E10560" s="10" t="s">
        <v>22211</v>
      </c>
      <c r="F10560" s="10" t="s">
        <v>333</v>
      </c>
      <c r="G10560" s="10" t="s">
        <v>6317</v>
      </c>
      <c r="H10560" s="11">
        <v>42102</v>
      </c>
      <c r="I10560" s="10">
        <v>2015</v>
      </c>
      <c r="J10560" s="10" t="s">
        <v>22211</v>
      </c>
      <c r="K10560" s="10">
        <v>145</v>
      </c>
      <c r="L10560" s="10" t="s">
        <v>46286</v>
      </c>
      <c r="M10560" s="10">
        <v>1</v>
      </c>
      <c r="N10560" s="10"/>
      <c r="O10560" s="10"/>
      <c r="P10560" s="10" t="s">
        <v>46287</v>
      </c>
      <c r="Q10560" s="10" t="s">
        <v>23701</v>
      </c>
      <c r="R10560" s="10" t="s">
        <v>46288</v>
      </c>
      <c r="S10560" s="10" t="s">
        <v>53</v>
      </c>
      <c r="T10560" s="10" t="s">
        <v>54</v>
      </c>
    </row>
    <row r="10561" spans="1:20" ht="14.5" x14ac:dyDescent="0.35">
      <c r="A10561" s="10" t="s">
        <v>46289</v>
      </c>
      <c r="B10561" s="10" t="str">
        <f>"9781452299594"</f>
        <v>9781452299594</v>
      </c>
      <c r="C10561" s="10" t="str">
        <f>"9781452299556"</f>
        <v>9781452299556</v>
      </c>
      <c r="D10561" s="10" t="s">
        <v>22210</v>
      </c>
      <c r="E10561" s="10" t="s">
        <v>22211</v>
      </c>
      <c r="F10561" s="10" t="s">
        <v>333</v>
      </c>
      <c r="G10561" s="10" t="s">
        <v>6317</v>
      </c>
      <c r="H10561" s="11">
        <v>41619</v>
      </c>
      <c r="I10561" s="10">
        <v>2014</v>
      </c>
      <c r="J10561" s="10" t="s">
        <v>22211</v>
      </c>
      <c r="K10561" s="10">
        <v>297</v>
      </c>
      <c r="L10561" s="10" t="s">
        <v>23609</v>
      </c>
      <c r="M10561" s="10">
        <v>2</v>
      </c>
      <c r="N10561" s="10"/>
      <c r="O10561" s="10"/>
      <c r="P10561" s="10" t="s">
        <v>46290</v>
      </c>
      <c r="Q10561" s="10">
        <v>371.25200000000001</v>
      </c>
      <c r="R10561" s="10" t="s">
        <v>28317</v>
      </c>
      <c r="S10561" s="10" t="s">
        <v>53</v>
      </c>
      <c r="T10561" s="10" t="s">
        <v>54</v>
      </c>
    </row>
    <row r="10562" spans="1:20" ht="14.5" x14ac:dyDescent="0.35">
      <c r="A10562" s="10" t="s">
        <v>46291</v>
      </c>
      <c r="B10562" s="10" t="str">
        <f>"9781475835458"</f>
        <v>9781475835458</v>
      </c>
      <c r="C10562" s="10" t="str">
        <f>"9781475835465"</f>
        <v>9781475835465</v>
      </c>
      <c r="D10562" s="10" t="s">
        <v>9752</v>
      </c>
      <c r="E10562" s="10" t="s">
        <v>15187</v>
      </c>
      <c r="F10562" s="10" t="s">
        <v>9754</v>
      </c>
      <c r="G10562" s="10" t="s">
        <v>6317</v>
      </c>
      <c r="H10562" s="11">
        <v>42895</v>
      </c>
      <c r="I10562" s="10">
        <v>2017</v>
      </c>
      <c r="J10562" s="10" t="s">
        <v>15187</v>
      </c>
      <c r="K10562" s="10">
        <v>177</v>
      </c>
      <c r="L10562" s="10" t="s">
        <v>46292</v>
      </c>
      <c r="M10562" s="10">
        <v>2</v>
      </c>
      <c r="N10562" s="10"/>
      <c r="O10562" s="10"/>
      <c r="P10562" s="10" t="s">
        <v>46293</v>
      </c>
      <c r="Q10562" s="10" t="s">
        <v>8800</v>
      </c>
      <c r="R10562" s="10" t="s">
        <v>46294</v>
      </c>
      <c r="S10562" s="10" t="s">
        <v>53</v>
      </c>
      <c r="T10562" s="10" t="s">
        <v>6526</v>
      </c>
    </row>
    <row r="10563" spans="1:20" ht="14.5" x14ac:dyDescent="0.35">
      <c r="A10563" s="10" t="s">
        <v>46295</v>
      </c>
      <c r="B10563" s="10" t="str">
        <f>""</f>
        <v/>
      </c>
      <c r="C10563" s="10" t="str">
        <f>"9781945577253"</f>
        <v>9781945577253</v>
      </c>
      <c r="D10563" s="10" t="s">
        <v>27268</v>
      </c>
      <c r="E10563" s="10" t="s">
        <v>46055</v>
      </c>
      <c r="F10563" s="10" t="s">
        <v>29933</v>
      </c>
      <c r="G10563" s="10" t="s">
        <v>6317</v>
      </c>
      <c r="H10563" s="11">
        <v>40909</v>
      </c>
      <c r="I10563" s="10">
        <v>2012</v>
      </c>
      <c r="J10563" s="10" t="s">
        <v>46055</v>
      </c>
      <c r="K10563" s="10">
        <v>182</v>
      </c>
      <c r="L10563" s="10" t="s">
        <v>46296</v>
      </c>
      <c r="M10563" s="10">
        <v>1</v>
      </c>
      <c r="N10563" s="10"/>
      <c r="O10563" s="10"/>
      <c r="P10563" s="10" t="s">
        <v>46297</v>
      </c>
      <c r="Q10563" s="10">
        <v>370.19310000000002</v>
      </c>
      <c r="R10563" s="10" t="s">
        <v>46298</v>
      </c>
      <c r="S10563" s="10" t="s">
        <v>53</v>
      </c>
      <c r="T10563" s="10" t="s">
        <v>54</v>
      </c>
    </row>
    <row r="10564" spans="1:20" ht="14.5" x14ac:dyDescent="0.35">
      <c r="A10564" s="10" t="s">
        <v>46299</v>
      </c>
      <c r="B10564" s="10" t="str">
        <f>"9781498536868"</f>
        <v>9781498536868</v>
      </c>
      <c r="C10564" s="10" t="str">
        <f>"9781498536875"</f>
        <v>9781498536875</v>
      </c>
      <c r="D10564" s="10" t="s">
        <v>9752</v>
      </c>
      <c r="E10564" s="10" t="s">
        <v>15182</v>
      </c>
      <c r="F10564" s="10" t="s">
        <v>3460</v>
      </c>
      <c r="G10564" s="10" t="s">
        <v>6317</v>
      </c>
      <c r="H10564" s="11">
        <v>43089</v>
      </c>
      <c r="I10564" s="10">
        <v>2017</v>
      </c>
      <c r="J10564" s="10" t="s">
        <v>15182</v>
      </c>
      <c r="K10564" s="10">
        <v>157</v>
      </c>
      <c r="L10564" s="10" t="s">
        <v>46300</v>
      </c>
      <c r="M10564" s="10">
        <v>1</v>
      </c>
      <c r="N10564" s="10" t="s">
        <v>45985</v>
      </c>
      <c r="O10564" s="10"/>
      <c r="P10564" s="10" t="s">
        <v>46301</v>
      </c>
      <c r="Q10564" s="10">
        <v>379.26</v>
      </c>
      <c r="R10564" s="10" t="s">
        <v>46302</v>
      </c>
      <c r="S10564" s="10" t="s">
        <v>53</v>
      </c>
      <c r="T10564" s="10" t="s">
        <v>54</v>
      </c>
    </row>
    <row r="10565" spans="1:20" ht="14.5" x14ac:dyDescent="0.35">
      <c r="A10565" s="10" t="s">
        <v>46303</v>
      </c>
      <c r="B10565" s="10" t="str">
        <f>"9781787430907"</f>
        <v>9781787430907</v>
      </c>
      <c r="C10565" s="10" t="str">
        <f>"9781787430891"</f>
        <v>9781787430891</v>
      </c>
      <c r="D10565" s="10" t="s">
        <v>8699</v>
      </c>
      <c r="E10565" s="10" t="s">
        <v>8699</v>
      </c>
      <c r="F10565" s="10" t="s">
        <v>559</v>
      </c>
      <c r="G10565" s="10" t="s">
        <v>6352</v>
      </c>
      <c r="H10565" s="11">
        <v>43238</v>
      </c>
      <c r="I10565" s="10">
        <v>2018</v>
      </c>
      <c r="J10565" s="10" t="s">
        <v>8699</v>
      </c>
      <c r="K10565" s="10">
        <v>256</v>
      </c>
      <c r="L10565" s="10" t="s">
        <v>46304</v>
      </c>
      <c r="M10565" s="10">
        <v>1</v>
      </c>
      <c r="N10565" s="10" t="s">
        <v>14550</v>
      </c>
      <c r="O10565" s="10">
        <v>33</v>
      </c>
      <c r="P10565" s="10" t="s">
        <v>29777</v>
      </c>
      <c r="Q10565" s="10">
        <v>371.9</v>
      </c>
      <c r="R10565" s="10" t="s">
        <v>22869</v>
      </c>
      <c r="S10565" s="10" t="s">
        <v>53</v>
      </c>
      <c r="T10565" s="10" t="s">
        <v>54</v>
      </c>
    </row>
    <row r="10566" spans="1:20" ht="14.5" x14ac:dyDescent="0.35">
      <c r="A10566" s="10" t="s">
        <v>46305</v>
      </c>
      <c r="B10566" s="10" t="str">
        <f>"9781945349447"</f>
        <v>9781945349447</v>
      </c>
      <c r="C10566" s="10" t="str">
        <f>"9781945349454"</f>
        <v>9781945349454</v>
      </c>
      <c r="D10566" s="10" t="s">
        <v>37580</v>
      </c>
      <c r="E10566" s="10" t="s">
        <v>37581</v>
      </c>
      <c r="F10566" s="10" t="s">
        <v>37623</v>
      </c>
      <c r="G10566" s="10" t="s">
        <v>6317</v>
      </c>
      <c r="H10566" s="11">
        <v>43077</v>
      </c>
      <c r="I10566" s="10">
        <v>2018</v>
      </c>
      <c r="J10566" s="10" t="s">
        <v>37581</v>
      </c>
      <c r="K10566" s="10">
        <v>200</v>
      </c>
      <c r="L10566" s="10" t="s">
        <v>46306</v>
      </c>
      <c r="M10566" s="10">
        <v>1</v>
      </c>
      <c r="N10566" s="10" t="s">
        <v>46307</v>
      </c>
      <c r="O10566" s="10"/>
      <c r="P10566" s="10" t="s">
        <v>46308</v>
      </c>
      <c r="Q10566" s="10"/>
      <c r="R10566" s="10" t="s">
        <v>46309</v>
      </c>
      <c r="S10566" s="10" t="s">
        <v>53</v>
      </c>
      <c r="T10566" s="10" t="s">
        <v>54</v>
      </c>
    </row>
    <row r="10567" spans="1:20" ht="14.5" x14ac:dyDescent="0.35">
      <c r="A10567" s="10" t="s">
        <v>46310</v>
      </c>
      <c r="B10567" s="10" t="str">
        <f>"9781564843937"</f>
        <v>9781564843937</v>
      </c>
      <c r="C10567" s="10" t="str">
        <f>"9781564846440"</f>
        <v>9781564846440</v>
      </c>
      <c r="D10567" s="10" t="s">
        <v>9533</v>
      </c>
      <c r="E10567" s="10" t="s">
        <v>45783</v>
      </c>
      <c r="F10567" s="10" t="s">
        <v>4092</v>
      </c>
      <c r="G10567" s="10" t="s">
        <v>6317</v>
      </c>
      <c r="H10567" s="11">
        <v>43023</v>
      </c>
      <c r="I10567" s="10">
        <v>2017</v>
      </c>
      <c r="J10567" s="10" t="s">
        <v>45783</v>
      </c>
      <c r="K10567" s="10">
        <v>111</v>
      </c>
      <c r="L10567" s="10" t="s">
        <v>46311</v>
      </c>
      <c r="M10567" s="10">
        <v>1</v>
      </c>
      <c r="N10567" s="10"/>
      <c r="O10567" s="10"/>
      <c r="P10567" s="10" t="s">
        <v>46312</v>
      </c>
      <c r="Q10567" s="10">
        <v>302.30284999999998</v>
      </c>
      <c r="R10567" s="10" t="s">
        <v>46313</v>
      </c>
      <c r="S10567" s="10" t="s">
        <v>53</v>
      </c>
      <c r="T10567" s="10" t="s">
        <v>6363</v>
      </c>
    </row>
    <row r="10568" spans="1:20" ht="14.5" x14ac:dyDescent="0.35">
      <c r="A10568" s="10" t="s">
        <v>46314</v>
      </c>
      <c r="B10568" s="10" t="str">
        <f>"9783319715612"</f>
        <v>9783319715612</v>
      </c>
      <c r="C10568" s="10" t="str">
        <f>"9783319715629"</f>
        <v>9783319715629</v>
      </c>
      <c r="D10568" s="10" t="s">
        <v>11249</v>
      </c>
      <c r="E10568" s="10" t="s">
        <v>26623</v>
      </c>
      <c r="F10568" s="10" t="s">
        <v>26624</v>
      </c>
      <c r="G10568" s="10" t="s">
        <v>16676</v>
      </c>
      <c r="H10568" s="11">
        <v>43084</v>
      </c>
      <c r="I10568" s="10">
        <v>2018</v>
      </c>
      <c r="J10568" s="10" t="s">
        <v>26623</v>
      </c>
      <c r="K10568" s="10">
        <v>132</v>
      </c>
      <c r="L10568" s="10" t="s">
        <v>46315</v>
      </c>
      <c r="M10568" s="10">
        <v>1</v>
      </c>
      <c r="N10568" s="10" t="s">
        <v>39548</v>
      </c>
      <c r="O10568" s="10"/>
      <c r="P10568" s="10" t="s">
        <v>43889</v>
      </c>
      <c r="Q10568" s="10">
        <v>378.12081999999998</v>
      </c>
      <c r="R10568" s="10" t="s">
        <v>46316</v>
      </c>
      <c r="S10568" s="10" t="s">
        <v>53</v>
      </c>
      <c r="T10568" s="10" t="s">
        <v>54</v>
      </c>
    </row>
    <row r="10569" spans="1:20" ht="14.5" x14ac:dyDescent="0.35">
      <c r="A10569" s="10" t="s">
        <v>46317</v>
      </c>
      <c r="B10569" s="10" t="str">
        <f>"9789462983595"</f>
        <v>9789462983595</v>
      </c>
      <c r="C10569" s="10" t="str">
        <f>"9789048533947"</f>
        <v>9789048533947</v>
      </c>
      <c r="D10569" s="10" t="s">
        <v>13287</v>
      </c>
      <c r="E10569" s="10" t="s">
        <v>13287</v>
      </c>
      <c r="F10569" s="10" t="s">
        <v>1818</v>
      </c>
      <c r="G10569" s="10" t="s">
        <v>9233</v>
      </c>
      <c r="H10569" s="11">
        <v>43054</v>
      </c>
      <c r="I10569" s="10">
        <v>2016</v>
      </c>
      <c r="J10569" s="10" t="s">
        <v>13287</v>
      </c>
      <c r="K10569" s="10">
        <v>144</v>
      </c>
      <c r="L10569" s="10" t="s">
        <v>46318</v>
      </c>
      <c r="M10569" s="10">
        <v>1</v>
      </c>
      <c r="N10569" s="10" t="s">
        <v>46319</v>
      </c>
      <c r="O10569" s="10"/>
      <c r="P10569" s="10" t="s">
        <v>46320</v>
      </c>
      <c r="Q10569" s="10"/>
      <c r="R10569" s="10" t="s">
        <v>46321</v>
      </c>
      <c r="S10569" s="10" t="s">
        <v>53</v>
      </c>
      <c r="T10569" s="10" t="s">
        <v>54</v>
      </c>
    </row>
    <row r="10570" spans="1:20" ht="14.5" x14ac:dyDescent="0.35">
      <c r="A10570" s="10" t="s">
        <v>46322</v>
      </c>
      <c r="B10570" s="10" t="str">
        <f>"9781475834048"</f>
        <v>9781475834048</v>
      </c>
      <c r="C10570" s="10" t="str">
        <f>"9781475834055"</f>
        <v>9781475834055</v>
      </c>
      <c r="D10570" s="10" t="s">
        <v>9752</v>
      </c>
      <c r="E10570" s="10" t="s">
        <v>15187</v>
      </c>
      <c r="F10570" s="10" t="s">
        <v>9754</v>
      </c>
      <c r="G10570" s="10" t="s">
        <v>6317</v>
      </c>
      <c r="H10570" s="11">
        <v>43081</v>
      </c>
      <c r="I10570" s="10">
        <v>2017</v>
      </c>
      <c r="J10570" s="10" t="s">
        <v>15187</v>
      </c>
      <c r="K10570" s="10">
        <v>208</v>
      </c>
      <c r="L10570" s="10" t="s">
        <v>46323</v>
      </c>
      <c r="M10570" s="10">
        <v>1</v>
      </c>
      <c r="N10570" s="10"/>
      <c r="O10570" s="10"/>
      <c r="P10570" s="10" t="s">
        <v>46324</v>
      </c>
      <c r="Q10570" s="10" t="s">
        <v>46325</v>
      </c>
      <c r="R10570" s="10" t="s">
        <v>46326</v>
      </c>
      <c r="S10570" s="10" t="s">
        <v>53</v>
      </c>
      <c r="T10570" s="10" t="s">
        <v>1166</v>
      </c>
    </row>
    <row r="10571" spans="1:20" ht="14.5" x14ac:dyDescent="0.35">
      <c r="A10571" s="10" t="s">
        <v>46327</v>
      </c>
      <c r="B10571" s="10" t="str">
        <f>"9781598579246"</f>
        <v>9781598579246</v>
      </c>
      <c r="C10571" s="10" t="str">
        <f>"9781681252520"</f>
        <v>9781681252520</v>
      </c>
      <c r="D10571" s="10" t="s">
        <v>28876</v>
      </c>
      <c r="E10571" s="10" t="s">
        <v>28877</v>
      </c>
      <c r="F10571" s="10" t="s">
        <v>885</v>
      </c>
      <c r="G10571" s="10" t="s">
        <v>6317</v>
      </c>
      <c r="H10571" s="11">
        <v>42704</v>
      </c>
      <c r="I10571" s="10">
        <v>2017</v>
      </c>
      <c r="J10571" s="10" t="s">
        <v>28877</v>
      </c>
      <c r="K10571" s="10">
        <v>260</v>
      </c>
      <c r="L10571" s="10" t="s">
        <v>46328</v>
      </c>
      <c r="M10571" s="10">
        <v>1</v>
      </c>
      <c r="N10571" s="10"/>
      <c r="O10571" s="10"/>
      <c r="P10571" s="10" t="s">
        <v>46329</v>
      </c>
      <c r="Q10571" s="10">
        <v>371.9</v>
      </c>
      <c r="R10571" s="10" t="s">
        <v>46330</v>
      </c>
      <c r="S10571" s="10" t="s">
        <v>53</v>
      </c>
      <c r="T10571" s="10" t="s">
        <v>54</v>
      </c>
    </row>
    <row r="10572" spans="1:20" ht="14.5" x14ac:dyDescent="0.35">
      <c r="A10572" s="10" t="s">
        <v>46331</v>
      </c>
      <c r="B10572" s="10" t="str">
        <f>"9783959482264"</f>
        <v>9783959482264</v>
      </c>
      <c r="C10572" s="10" t="str">
        <f>"9783959488815"</f>
        <v>9783959488815</v>
      </c>
      <c r="D10572" s="10" t="s">
        <v>27189</v>
      </c>
      <c r="E10572" s="10" t="s">
        <v>31140</v>
      </c>
      <c r="F10572" s="10" t="s">
        <v>31141</v>
      </c>
      <c r="G10572" s="10" t="s">
        <v>9998</v>
      </c>
      <c r="H10572" s="11">
        <v>43066</v>
      </c>
      <c r="I10572" s="10">
        <v>2017</v>
      </c>
      <c r="J10572" s="10" t="s">
        <v>31140</v>
      </c>
      <c r="K10572" s="10">
        <v>197</v>
      </c>
      <c r="L10572" s="10" t="s">
        <v>46332</v>
      </c>
      <c r="M10572" s="10"/>
      <c r="N10572" s="10"/>
      <c r="O10572" s="10"/>
      <c r="P10572" s="10" t="s">
        <v>46333</v>
      </c>
      <c r="Q10572" s="10">
        <v>207.5</v>
      </c>
      <c r="R10572" s="10" t="s">
        <v>14307</v>
      </c>
      <c r="S10572" s="10" t="s">
        <v>4212</v>
      </c>
      <c r="T10572" s="10" t="s">
        <v>8346</v>
      </c>
    </row>
    <row r="10573" spans="1:20" ht="14.5" x14ac:dyDescent="0.35">
      <c r="A10573" s="10" t="s">
        <v>46334</v>
      </c>
      <c r="B10573" s="10" t="str">
        <f>"9780812249682"</f>
        <v>9780812249682</v>
      </c>
      <c r="C10573" s="10" t="str">
        <f>"9780812294545"</f>
        <v>9780812294545</v>
      </c>
      <c r="D10573" s="10" t="s">
        <v>2495</v>
      </c>
      <c r="E10573" s="10" t="s">
        <v>2495</v>
      </c>
      <c r="F10573" s="10" t="s">
        <v>319</v>
      </c>
      <c r="G10573" s="10" t="s">
        <v>6317</v>
      </c>
      <c r="H10573" s="11">
        <v>43049</v>
      </c>
      <c r="I10573" s="10">
        <v>2018</v>
      </c>
      <c r="J10573" s="10" t="s">
        <v>2495</v>
      </c>
      <c r="K10573" s="10">
        <v>260</v>
      </c>
      <c r="L10573" s="10" t="s">
        <v>46335</v>
      </c>
      <c r="M10573" s="10">
        <v>1</v>
      </c>
      <c r="N10573" s="10" t="s">
        <v>39031</v>
      </c>
      <c r="O10573" s="10"/>
      <c r="P10573" s="10" t="s">
        <v>46336</v>
      </c>
      <c r="Q10573" s="10"/>
      <c r="R10573" s="10"/>
      <c r="S10573" s="10" t="s">
        <v>53</v>
      </c>
      <c r="T10573" s="10" t="s">
        <v>54</v>
      </c>
    </row>
    <row r="10574" spans="1:20" ht="14.5" x14ac:dyDescent="0.35">
      <c r="A10574" s="10" t="s">
        <v>46337</v>
      </c>
      <c r="B10574" s="10" t="str">
        <f>"9781942496786"</f>
        <v>9781942496786</v>
      </c>
      <c r="C10574" s="10" t="str">
        <f>"9781942496793"</f>
        <v>9781942496793</v>
      </c>
      <c r="D10574" s="10" t="s">
        <v>37580</v>
      </c>
      <c r="E10574" s="10" t="s">
        <v>37581</v>
      </c>
      <c r="F10574" s="10" t="s">
        <v>37623</v>
      </c>
      <c r="G10574" s="10" t="s">
        <v>6317</v>
      </c>
      <c r="H10574" s="11">
        <v>43076</v>
      </c>
      <c r="I10574" s="10">
        <v>2018</v>
      </c>
      <c r="J10574" s="10" t="s">
        <v>37581</v>
      </c>
      <c r="K10574" s="10">
        <v>184</v>
      </c>
      <c r="L10574" s="10" t="s">
        <v>46338</v>
      </c>
      <c r="M10574" s="10">
        <v>1</v>
      </c>
      <c r="N10574" s="10"/>
      <c r="O10574" s="10"/>
      <c r="P10574" s="10"/>
      <c r="Q10574" s="10"/>
      <c r="R10574" s="10" t="s">
        <v>46339</v>
      </c>
      <c r="S10574" s="10" t="s">
        <v>53</v>
      </c>
      <c r="T10574" s="10" t="s">
        <v>54</v>
      </c>
    </row>
    <row r="10575" spans="1:20" ht="14.5" x14ac:dyDescent="0.35">
      <c r="A10575" s="10" t="s">
        <v>46340</v>
      </c>
      <c r="B10575" s="10" t="str">
        <f>"9781620365472"</f>
        <v>9781620365472</v>
      </c>
      <c r="C10575" s="10" t="str">
        <f>"9781000975864"</f>
        <v>9781000975864</v>
      </c>
      <c r="D10575" s="10" t="s">
        <v>6350</v>
      </c>
      <c r="E10575" s="10" t="s">
        <v>6351</v>
      </c>
      <c r="F10575" s="10" t="s">
        <v>748</v>
      </c>
      <c r="G10575" s="10" t="s">
        <v>6352</v>
      </c>
      <c r="H10575" s="11">
        <v>43077</v>
      </c>
      <c r="I10575" s="10">
        <v>2018</v>
      </c>
      <c r="J10575" s="10" t="s">
        <v>6351</v>
      </c>
      <c r="K10575" s="10">
        <v>269</v>
      </c>
      <c r="L10575" s="10" t="s">
        <v>46341</v>
      </c>
      <c r="M10575" s="10">
        <v>1</v>
      </c>
      <c r="N10575" s="10"/>
      <c r="O10575" s="10"/>
      <c r="P10575" s="10" t="s">
        <v>46342</v>
      </c>
      <c r="Q10575" s="10">
        <v>370.11599999999999</v>
      </c>
      <c r="R10575" s="10" t="s">
        <v>46343</v>
      </c>
      <c r="S10575" s="10" t="s">
        <v>53</v>
      </c>
      <c r="T10575" s="10" t="s">
        <v>54</v>
      </c>
    </row>
    <row r="10576" spans="1:20" ht="14.5" x14ac:dyDescent="0.35">
      <c r="A10576" s="10" t="s">
        <v>46344</v>
      </c>
      <c r="B10576" s="10" t="str">
        <f>"9781787434660"</f>
        <v>9781787434660</v>
      </c>
      <c r="C10576" s="10" t="str">
        <f>"9781787544970"</f>
        <v>9781787544970</v>
      </c>
      <c r="D10576" s="10" t="s">
        <v>8699</v>
      </c>
      <c r="E10576" s="10" t="s">
        <v>8699</v>
      </c>
      <c r="F10576" s="10" t="s">
        <v>559</v>
      </c>
      <c r="G10576" s="10" t="s">
        <v>6352</v>
      </c>
      <c r="H10576" s="11">
        <v>43196</v>
      </c>
      <c r="I10576" s="10">
        <v>2018</v>
      </c>
      <c r="J10576" s="10" t="s">
        <v>8699</v>
      </c>
      <c r="K10576" s="10">
        <v>229</v>
      </c>
      <c r="L10576" s="10" t="s">
        <v>46345</v>
      </c>
      <c r="M10576" s="10">
        <v>1</v>
      </c>
      <c r="N10576" s="10"/>
      <c r="O10576" s="10"/>
      <c r="P10576" s="10" t="s">
        <v>27182</v>
      </c>
      <c r="Q10576" s="10" t="s">
        <v>46346</v>
      </c>
      <c r="R10576" s="10" t="s">
        <v>46347</v>
      </c>
      <c r="S10576" s="10" t="s">
        <v>53</v>
      </c>
      <c r="T10576" s="10" t="s">
        <v>39853</v>
      </c>
    </row>
    <row r="10577" spans="1:20" ht="14.5" x14ac:dyDescent="0.35">
      <c r="A10577" s="10" t="s">
        <v>46348</v>
      </c>
      <c r="B10577" s="10" t="str">
        <f>"9781787547032"</f>
        <v>9781787547032</v>
      </c>
      <c r="C10577" s="10" t="str">
        <f>"9781787547049"</f>
        <v>9781787547049</v>
      </c>
      <c r="D10577" s="10" t="s">
        <v>8699</v>
      </c>
      <c r="E10577" s="10" t="s">
        <v>8699</v>
      </c>
      <c r="F10577" s="10" t="s">
        <v>41843</v>
      </c>
      <c r="G10577" s="10" t="s">
        <v>6352</v>
      </c>
      <c r="H10577" s="11">
        <v>43063</v>
      </c>
      <c r="I10577" s="10">
        <v>2017</v>
      </c>
      <c r="J10577" s="10" t="s">
        <v>8699</v>
      </c>
      <c r="K10577" s="10">
        <v>145</v>
      </c>
      <c r="L10577" s="10" t="s">
        <v>46349</v>
      </c>
      <c r="M10577" s="10">
        <v>1</v>
      </c>
      <c r="N10577" s="10" t="s">
        <v>46350</v>
      </c>
      <c r="O10577" s="10">
        <v>4</v>
      </c>
      <c r="P10577" s="10" t="s">
        <v>46351</v>
      </c>
      <c r="Q10577" s="10">
        <v>658.31240000000003</v>
      </c>
      <c r="R10577" s="10" t="s">
        <v>46352</v>
      </c>
      <c r="S10577" s="10" t="s">
        <v>53</v>
      </c>
      <c r="T10577" s="10" t="s">
        <v>6660</v>
      </c>
    </row>
    <row r="10578" spans="1:20" ht="14.5" x14ac:dyDescent="0.35">
      <c r="A10578" s="10" t="s">
        <v>46353</v>
      </c>
      <c r="B10578" s="10" t="str">
        <f>"9780815362791"</f>
        <v>9780815362791</v>
      </c>
      <c r="C10578" s="10" t="str">
        <f>"9781351111294"</f>
        <v>9781351111294</v>
      </c>
      <c r="D10578" s="10" t="s">
        <v>6350</v>
      </c>
      <c r="E10578" s="10" t="s">
        <v>6351</v>
      </c>
      <c r="F10578" s="10" t="s">
        <v>748</v>
      </c>
      <c r="G10578" s="10" t="s">
        <v>6352</v>
      </c>
      <c r="H10578" s="11">
        <v>43081</v>
      </c>
      <c r="I10578" s="10">
        <v>1980</v>
      </c>
      <c r="J10578" s="10" t="s">
        <v>6351</v>
      </c>
      <c r="K10578" s="10">
        <v>123</v>
      </c>
      <c r="L10578" s="10" t="s">
        <v>46354</v>
      </c>
      <c r="M10578" s="10">
        <v>1</v>
      </c>
      <c r="N10578" s="10" t="s">
        <v>16856</v>
      </c>
      <c r="O10578" s="10"/>
      <c r="P10578" s="10" t="s">
        <v>46355</v>
      </c>
      <c r="Q10578" s="10">
        <v>910.01</v>
      </c>
      <c r="R10578" s="10" t="s">
        <v>46356</v>
      </c>
      <c r="S10578" s="10" t="s">
        <v>53</v>
      </c>
      <c r="T10578" s="10" t="s">
        <v>12094</v>
      </c>
    </row>
    <row r="10579" spans="1:20" ht="14.5" x14ac:dyDescent="0.35">
      <c r="A10579" s="10" t="s">
        <v>46357</v>
      </c>
      <c r="B10579" s="10" t="str">
        <f>"9780821422953"</f>
        <v>9780821422953</v>
      </c>
      <c r="C10579" s="10" t="str">
        <f>"9780821446171"</f>
        <v>9780821446171</v>
      </c>
      <c r="D10579" s="10" t="s">
        <v>28711</v>
      </c>
      <c r="E10579" s="10" t="s">
        <v>28711</v>
      </c>
      <c r="F10579" s="10" t="s">
        <v>28712</v>
      </c>
      <c r="G10579" s="10" t="s">
        <v>6317</v>
      </c>
      <c r="H10579" s="11">
        <v>43110</v>
      </c>
      <c r="I10579" s="10">
        <v>2017</v>
      </c>
      <c r="J10579" s="10" t="s">
        <v>28711</v>
      </c>
      <c r="K10579" s="10">
        <v>292</v>
      </c>
      <c r="L10579" s="10" t="s">
        <v>46358</v>
      </c>
      <c r="M10579" s="10">
        <v>1</v>
      </c>
      <c r="N10579" s="10" t="s">
        <v>46359</v>
      </c>
      <c r="O10579" s="10"/>
      <c r="P10579" s="10"/>
      <c r="Q10579" s="10">
        <v>796.043092</v>
      </c>
      <c r="R10579" s="10" t="s">
        <v>46360</v>
      </c>
      <c r="S10579" s="10" t="s">
        <v>53</v>
      </c>
      <c r="T10579" s="10" t="s">
        <v>7340</v>
      </c>
    </row>
    <row r="10580" spans="1:20" ht="14.5" x14ac:dyDescent="0.35">
      <c r="A10580" s="10" t="s">
        <v>46361</v>
      </c>
      <c r="B10580" s="10" t="str">
        <f>"9788021075207"</f>
        <v>9788021075207</v>
      </c>
      <c r="C10580" s="10" t="str">
        <f>"9788021082816"</f>
        <v>9788021082816</v>
      </c>
      <c r="D10580" s="10" t="s">
        <v>45447</v>
      </c>
      <c r="E10580" s="10" t="s">
        <v>45448</v>
      </c>
      <c r="F10580" s="10" t="s">
        <v>4892</v>
      </c>
      <c r="G10580" s="10" t="s">
        <v>30936</v>
      </c>
      <c r="H10580" s="11">
        <v>41821</v>
      </c>
      <c r="I10580" s="10">
        <v>2014</v>
      </c>
      <c r="J10580" s="10" t="s">
        <v>46362</v>
      </c>
      <c r="K10580" s="10">
        <v>148</v>
      </c>
      <c r="L10580" s="10" t="s">
        <v>46363</v>
      </c>
      <c r="M10580" s="10">
        <v>1</v>
      </c>
      <c r="N10580" s="10"/>
      <c r="O10580" s="10"/>
      <c r="P10580" s="10" t="s">
        <v>46364</v>
      </c>
      <c r="Q10580" s="10">
        <v>362.7</v>
      </c>
      <c r="R10580" s="10" t="s">
        <v>46365</v>
      </c>
      <c r="S10580" s="10" t="s">
        <v>4212</v>
      </c>
      <c r="T10580" s="10" t="s">
        <v>6526</v>
      </c>
    </row>
    <row r="10581" spans="1:20" ht="14.5" x14ac:dyDescent="0.35">
      <c r="A10581" s="10" t="s">
        <v>46366</v>
      </c>
      <c r="B10581" s="10" t="str">
        <f>"9788021084629"</f>
        <v>9788021084629</v>
      </c>
      <c r="C10581" s="10" t="str">
        <f>"9788021087736"</f>
        <v>9788021087736</v>
      </c>
      <c r="D10581" s="10" t="s">
        <v>45447</v>
      </c>
      <c r="E10581" s="10" t="s">
        <v>45448</v>
      </c>
      <c r="F10581" s="10" t="s">
        <v>4892</v>
      </c>
      <c r="G10581" s="10" t="s">
        <v>30936</v>
      </c>
      <c r="H10581" s="11">
        <v>42552</v>
      </c>
      <c r="I10581" s="10">
        <v>2017</v>
      </c>
      <c r="J10581" s="10" t="s">
        <v>46362</v>
      </c>
      <c r="K10581" s="10">
        <v>328</v>
      </c>
      <c r="L10581" s="10" t="s">
        <v>46367</v>
      </c>
      <c r="M10581" s="10">
        <v>1</v>
      </c>
      <c r="N10581" s="10"/>
      <c r="O10581" s="10"/>
      <c r="P10581" s="10" t="s">
        <v>46368</v>
      </c>
      <c r="Q10581" s="10">
        <v>371.10199999999998</v>
      </c>
      <c r="R10581" s="10" t="s">
        <v>46369</v>
      </c>
      <c r="S10581" s="10" t="s">
        <v>4212</v>
      </c>
      <c r="T10581" s="10" t="s">
        <v>54</v>
      </c>
    </row>
    <row r="10582" spans="1:20" ht="14.5" x14ac:dyDescent="0.35">
      <c r="A10582" s="10" t="s">
        <v>46370</v>
      </c>
      <c r="B10582" s="10" t="str">
        <f>""</f>
        <v/>
      </c>
      <c r="C10582" s="10" t="str">
        <f>"9781627341943"</f>
        <v>9781627341943</v>
      </c>
      <c r="D10582" s="10" t="s">
        <v>9533</v>
      </c>
      <c r="E10582" s="10" t="s">
        <v>46371</v>
      </c>
      <c r="F10582" s="10" t="s">
        <v>25348</v>
      </c>
      <c r="G10582" s="10" t="s">
        <v>6317</v>
      </c>
      <c r="H10582" s="11">
        <v>43009</v>
      </c>
      <c r="I10582" s="10">
        <v>2017</v>
      </c>
      <c r="J10582" s="10" t="s">
        <v>46371</v>
      </c>
      <c r="K10582" s="10">
        <v>130</v>
      </c>
      <c r="L10582" s="10" t="s">
        <v>46372</v>
      </c>
      <c r="M10582" s="10">
        <v>1</v>
      </c>
      <c r="N10582" s="10"/>
      <c r="O10582" s="10"/>
      <c r="P10582" s="10" t="s">
        <v>46373</v>
      </c>
      <c r="Q10582" s="10">
        <v>618.92858890000002</v>
      </c>
      <c r="R10582" s="10" t="s">
        <v>46374</v>
      </c>
      <c r="S10582" s="10" t="s">
        <v>53</v>
      </c>
      <c r="T10582" s="10" t="s">
        <v>8625</v>
      </c>
    </row>
    <row r="10583" spans="1:20" ht="14.5" x14ac:dyDescent="0.35">
      <c r="A10583" s="10" t="s">
        <v>46375</v>
      </c>
      <c r="B10583" s="10" t="str">
        <f>"9781622733620"</f>
        <v>9781622733620</v>
      </c>
      <c r="C10583" s="10" t="str">
        <f>"9781622733705"</f>
        <v>9781622733705</v>
      </c>
      <c r="D10583" s="10" t="s">
        <v>46007</v>
      </c>
      <c r="E10583" s="10" t="s">
        <v>46008</v>
      </c>
      <c r="F10583" s="10" t="s">
        <v>2319</v>
      </c>
      <c r="G10583" s="10" t="s">
        <v>6317</v>
      </c>
      <c r="H10583" s="11">
        <v>43115</v>
      </c>
      <c r="I10583" s="10">
        <v>2018</v>
      </c>
      <c r="J10583" s="10" t="s">
        <v>46007</v>
      </c>
      <c r="K10583" s="10">
        <v>164</v>
      </c>
      <c r="L10583" s="10" t="s">
        <v>46376</v>
      </c>
      <c r="M10583" s="10">
        <v>1</v>
      </c>
      <c r="N10583" s="10"/>
      <c r="O10583" s="10"/>
      <c r="P10583" s="10" t="s">
        <v>46377</v>
      </c>
      <c r="Q10583" s="10">
        <v>370.9</v>
      </c>
      <c r="R10583" s="10" t="s">
        <v>46378</v>
      </c>
      <c r="S10583" s="10" t="s">
        <v>53</v>
      </c>
      <c r="T10583" s="10" t="s">
        <v>54</v>
      </c>
    </row>
    <row r="10584" spans="1:20" ht="14.5" x14ac:dyDescent="0.35">
      <c r="A10584" s="10" t="s">
        <v>46379</v>
      </c>
      <c r="B10584" s="10" t="str">
        <f>"9782869787223"</f>
        <v>9782869787223</v>
      </c>
      <c r="C10584" s="10" t="str">
        <f>"9782869787513"</f>
        <v>9782869787513</v>
      </c>
      <c r="D10584" s="10" t="s">
        <v>24820</v>
      </c>
      <c r="E10584" s="10" t="s">
        <v>24829</v>
      </c>
      <c r="F10584" s="10" t="s">
        <v>748</v>
      </c>
      <c r="G10584" s="10" t="s">
        <v>24830</v>
      </c>
      <c r="H10584" s="11">
        <v>43067</v>
      </c>
      <c r="I10584" s="10">
        <v>2017</v>
      </c>
      <c r="J10584" s="10" t="s">
        <v>24829</v>
      </c>
      <c r="K10584" s="10">
        <v>219</v>
      </c>
      <c r="L10584" s="10" t="s">
        <v>46380</v>
      </c>
      <c r="M10584" s="10">
        <v>1</v>
      </c>
      <c r="N10584" s="10"/>
      <c r="O10584" s="10"/>
      <c r="P10584" s="10"/>
      <c r="Q10584" s="10"/>
      <c r="R10584" s="10" t="s">
        <v>46381</v>
      </c>
      <c r="S10584" s="10" t="s">
        <v>5404</v>
      </c>
      <c r="T10584" s="10" t="s">
        <v>54</v>
      </c>
    </row>
    <row r="10585" spans="1:20" ht="14.5" x14ac:dyDescent="0.35">
      <c r="A10585" s="10" t="s">
        <v>46382</v>
      </c>
      <c r="B10585" s="10" t="str">
        <f>"9780889774179"</f>
        <v>9780889774179</v>
      </c>
      <c r="C10585" s="10" t="str">
        <f>"9780889774186"</f>
        <v>9780889774186</v>
      </c>
      <c r="D10585" s="10" t="s">
        <v>18420</v>
      </c>
      <c r="E10585" s="10" t="s">
        <v>2528</v>
      </c>
      <c r="F10585" s="10" t="s">
        <v>2529</v>
      </c>
      <c r="G10585" s="10" t="s">
        <v>9536</v>
      </c>
      <c r="H10585" s="11">
        <v>42503</v>
      </c>
      <c r="I10585" s="10">
        <v>2016</v>
      </c>
      <c r="J10585" s="10" t="s">
        <v>2528</v>
      </c>
      <c r="K10585" s="10">
        <v>264</v>
      </c>
      <c r="L10585" s="10" t="s">
        <v>46383</v>
      </c>
      <c r="M10585" s="10">
        <v>1</v>
      </c>
      <c r="N10585" s="10"/>
      <c r="O10585" s="10"/>
      <c r="P10585" s="10"/>
      <c r="Q10585" s="10" t="s">
        <v>46384</v>
      </c>
      <c r="R10585" s="10" t="s">
        <v>46385</v>
      </c>
      <c r="S10585" s="10" t="s">
        <v>53</v>
      </c>
      <c r="T10585" s="10" t="s">
        <v>8346</v>
      </c>
    </row>
    <row r="10586" spans="1:20" ht="14.5" x14ac:dyDescent="0.35">
      <c r="A10586" s="10" t="s">
        <v>46386</v>
      </c>
      <c r="B10586" s="10" t="str">
        <f>"9781350031845"</f>
        <v>9781350031845</v>
      </c>
      <c r="C10586" s="10" t="str">
        <f>"9781350031852"</f>
        <v>9781350031852</v>
      </c>
      <c r="D10586" s="10" t="s">
        <v>13959</v>
      </c>
      <c r="E10586" s="10" t="s">
        <v>13960</v>
      </c>
      <c r="F10586" s="10" t="s">
        <v>139</v>
      </c>
      <c r="G10586" s="10" t="s">
        <v>6352</v>
      </c>
      <c r="H10586" s="11">
        <v>43153</v>
      </c>
      <c r="I10586" s="10">
        <v>2018</v>
      </c>
      <c r="J10586" s="10" t="s">
        <v>14057</v>
      </c>
      <c r="K10586" s="10">
        <v>244</v>
      </c>
      <c r="L10586" s="10" t="s">
        <v>46387</v>
      </c>
      <c r="M10586" s="10">
        <v>1</v>
      </c>
      <c r="N10586" s="10" t="s">
        <v>45615</v>
      </c>
      <c r="O10586" s="10"/>
      <c r="P10586" s="10" t="s">
        <v>46388</v>
      </c>
      <c r="Q10586" s="10">
        <v>378.19799999999998</v>
      </c>
      <c r="R10586" s="10" t="s">
        <v>46389</v>
      </c>
      <c r="S10586" s="10" t="s">
        <v>53</v>
      </c>
      <c r="T10586" s="10" t="s">
        <v>54</v>
      </c>
    </row>
    <row r="10587" spans="1:20" ht="14.5" x14ac:dyDescent="0.35">
      <c r="A10587" s="10" t="s">
        <v>46390</v>
      </c>
      <c r="B10587" s="10" t="str">
        <f>"9788024636375"</f>
        <v>9788024636375</v>
      </c>
      <c r="C10587" s="10" t="str">
        <f>"9788024636511"</f>
        <v>9788024636511</v>
      </c>
      <c r="D10587" s="10" t="s">
        <v>30935</v>
      </c>
      <c r="E10587" s="10" t="s">
        <v>40792</v>
      </c>
      <c r="F10587" s="10" t="s">
        <v>1796</v>
      </c>
      <c r="G10587" s="10" t="s">
        <v>30936</v>
      </c>
      <c r="H10587" s="11">
        <v>42887</v>
      </c>
      <c r="I10587" s="10">
        <v>2017</v>
      </c>
      <c r="J10587" s="10" t="s">
        <v>40792</v>
      </c>
      <c r="K10587" s="10">
        <v>246</v>
      </c>
      <c r="L10587" s="10" t="s">
        <v>46391</v>
      </c>
      <c r="M10587" s="10">
        <v>1</v>
      </c>
      <c r="N10587" s="10"/>
      <c r="O10587" s="10"/>
      <c r="P10587" s="10" t="s">
        <v>46392</v>
      </c>
      <c r="Q10587" s="10">
        <v>370.94400000000002</v>
      </c>
      <c r="R10587" s="10" t="s">
        <v>46393</v>
      </c>
      <c r="S10587" s="10" t="s">
        <v>4212</v>
      </c>
      <c r="T10587" s="10" t="s">
        <v>54</v>
      </c>
    </row>
    <row r="10588" spans="1:20" ht="14.5" x14ac:dyDescent="0.35">
      <c r="A10588" s="10" t="s">
        <v>46394</v>
      </c>
      <c r="B10588" s="10" t="str">
        <f>"9781625310903"</f>
        <v>9781625310903</v>
      </c>
      <c r="C10588" s="10" t="str">
        <f>"9781003841005"</f>
        <v>9781003841005</v>
      </c>
      <c r="D10588" s="10" t="s">
        <v>6350</v>
      </c>
      <c r="E10588" s="10" t="s">
        <v>6351</v>
      </c>
      <c r="F10588" s="10" t="s">
        <v>3967</v>
      </c>
      <c r="G10588" s="10" t="s">
        <v>6352</v>
      </c>
      <c r="H10588" s="11">
        <v>43013</v>
      </c>
      <c r="I10588" s="10">
        <v>2017</v>
      </c>
      <c r="J10588" s="10" t="s">
        <v>6353</v>
      </c>
      <c r="K10588" s="10">
        <v>169</v>
      </c>
      <c r="L10588" s="10" t="s">
        <v>46395</v>
      </c>
      <c r="M10588" s="10">
        <v>1</v>
      </c>
      <c r="N10588" s="10"/>
      <c r="O10588" s="10"/>
      <c r="P10588" s="10"/>
      <c r="Q10588" s="10"/>
      <c r="R10588" s="10" t="s">
        <v>46396</v>
      </c>
      <c r="S10588" s="10" t="s">
        <v>53</v>
      </c>
      <c r="T10588" s="10" t="s">
        <v>54</v>
      </c>
    </row>
    <row r="10589" spans="1:20" ht="14.5" x14ac:dyDescent="0.35">
      <c r="A10589" s="10" t="s">
        <v>46397</v>
      </c>
      <c r="B10589" s="10" t="str">
        <f>"9781416625216"</f>
        <v>9781416625216</v>
      </c>
      <c r="C10589" s="10" t="str">
        <f>"9781416625230"</f>
        <v>9781416625230</v>
      </c>
      <c r="D10589" s="10" t="s">
        <v>10014</v>
      </c>
      <c r="E10589" s="10" t="s">
        <v>10015</v>
      </c>
      <c r="F10589" s="10" t="s">
        <v>201</v>
      </c>
      <c r="G10589" s="10" t="s">
        <v>6317</v>
      </c>
      <c r="H10589" s="11">
        <v>43099</v>
      </c>
      <c r="I10589" s="10">
        <v>2018</v>
      </c>
      <c r="J10589" s="10" t="s">
        <v>10015</v>
      </c>
      <c r="K10589" s="10">
        <v>176</v>
      </c>
      <c r="L10589" s="10" t="s">
        <v>22364</v>
      </c>
      <c r="M10589" s="10">
        <v>1</v>
      </c>
      <c r="N10589" s="10"/>
      <c r="O10589" s="10"/>
      <c r="P10589" s="10" t="s">
        <v>46398</v>
      </c>
      <c r="Q10589" s="10">
        <v>371.14800000000002</v>
      </c>
      <c r="R10589" s="10" t="s">
        <v>46399</v>
      </c>
      <c r="S10589" s="10" t="s">
        <v>53</v>
      </c>
      <c r="T10589" s="10" t="s">
        <v>54</v>
      </c>
    </row>
    <row r="10590" spans="1:20" ht="14.5" x14ac:dyDescent="0.35">
      <c r="A10590" s="10" t="s">
        <v>46400</v>
      </c>
      <c r="B10590" s="10" t="str">
        <f>"9780566092459"</f>
        <v>9780566092459</v>
      </c>
      <c r="C10590" s="10" t="str">
        <f>"9781317152552"</f>
        <v>9781317152552</v>
      </c>
      <c r="D10590" s="10" t="s">
        <v>6350</v>
      </c>
      <c r="E10590" s="10" t="s">
        <v>6351</v>
      </c>
      <c r="F10590" s="10" t="s">
        <v>139</v>
      </c>
      <c r="G10590" s="10" t="s">
        <v>6352</v>
      </c>
      <c r="H10590" s="11">
        <v>40905</v>
      </c>
      <c r="I10590" s="10">
        <v>2011</v>
      </c>
      <c r="J10590" s="10" t="s">
        <v>6353</v>
      </c>
      <c r="K10590" s="10">
        <v>226</v>
      </c>
      <c r="L10590" s="10" t="s">
        <v>46401</v>
      </c>
      <c r="M10590" s="10">
        <v>1</v>
      </c>
      <c r="N10590" s="10"/>
      <c r="O10590" s="10"/>
      <c r="P10590" s="10" t="s">
        <v>46402</v>
      </c>
      <c r="Q10590" s="10">
        <v>745.40710999999999</v>
      </c>
      <c r="R10590" s="10" t="s">
        <v>46403</v>
      </c>
      <c r="S10590" s="10" t="s">
        <v>53</v>
      </c>
      <c r="T10590" s="10" t="s">
        <v>6384</v>
      </c>
    </row>
    <row r="10591" spans="1:20" ht="14.5" x14ac:dyDescent="0.35">
      <c r="A10591" s="10" t="s">
        <v>46404</v>
      </c>
      <c r="B10591" s="10" t="str">
        <f>"9781472946379"</f>
        <v>9781472946379</v>
      </c>
      <c r="C10591" s="10" t="str">
        <f>"9781472946362"</f>
        <v>9781472946362</v>
      </c>
      <c r="D10591" s="10" t="s">
        <v>13959</v>
      </c>
      <c r="E10591" s="10" t="s">
        <v>13960</v>
      </c>
      <c r="F10591" s="10" t="s">
        <v>139</v>
      </c>
      <c r="G10591" s="10" t="s">
        <v>6352</v>
      </c>
      <c r="H10591" s="11">
        <v>43125</v>
      </c>
      <c r="I10591" s="10">
        <v>2018</v>
      </c>
      <c r="J10591" s="10" t="s">
        <v>16948</v>
      </c>
      <c r="K10591" s="10">
        <v>226</v>
      </c>
      <c r="L10591" s="10" t="s">
        <v>46405</v>
      </c>
      <c r="M10591" s="10">
        <v>1</v>
      </c>
      <c r="N10591" s="10"/>
      <c r="O10591" s="10"/>
      <c r="P10591" s="10" t="s">
        <v>46406</v>
      </c>
      <c r="Q10591" s="10">
        <v>371.20699999999999</v>
      </c>
      <c r="R10591" s="10" t="s">
        <v>46407</v>
      </c>
      <c r="S10591" s="10" t="s">
        <v>53</v>
      </c>
      <c r="T10591" s="10" t="s">
        <v>54</v>
      </c>
    </row>
    <row r="10592" spans="1:20" ht="14.5" x14ac:dyDescent="0.35">
      <c r="A10592" s="10" t="s">
        <v>46408</v>
      </c>
      <c r="B10592" s="10" t="str">
        <f>"9781119287735"</f>
        <v>9781119287735</v>
      </c>
      <c r="C10592" s="10" t="str">
        <f>"9781119287766"</f>
        <v>9781119287766</v>
      </c>
      <c r="D10592" s="10" t="s">
        <v>6322</v>
      </c>
      <c r="E10592" s="10" t="s">
        <v>6323</v>
      </c>
      <c r="F10592" s="10" t="s">
        <v>4423</v>
      </c>
      <c r="G10592" s="10" t="s">
        <v>6317</v>
      </c>
      <c r="H10592" s="11">
        <v>43131</v>
      </c>
      <c r="I10592" s="10">
        <v>2018</v>
      </c>
      <c r="J10592" s="10" t="s">
        <v>6324</v>
      </c>
      <c r="K10592" s="10">
        <v>169</v>
      </c>
      <c r="L10592" s="10" t="s">
        <v>46409</v>
      </c>
      <c r="M10592" s="10">
        <v>3</v>
      </c>
      <c r="N10592" s="10"/>
      <c r="O10592" s="10"/>
      <c r="P10592" s="10" t="s">
        <v>46410</v>
      </c>
      <c r="Q10592" s="10" t="s">
        <v>8381</v>
      </c>
      <c r="R10592" s="10" t="s">
        <v>46411</v>
      </c>
      <c r="S10592" s="10" t="s">
        <v>53</v>
      </c>
      <c r="T10592" s="10" t="s">
        <v>54</v>
      </c>
    </row>
    <row r="10593" spans="1:20" ht="14.5" x14ac:dyDescent="0.35">
      <c r="A10593" s="10" t="s">
        <v>46412</v>
      </c>
      <c r="B10593" s="10" t="str">
        <f>"9781620366646"</f>
        <v>9781620366646</v>
      </c>
      <c r="C10593" s="10" t="str">
        <f>"9781000975857"</f>
        <v>9781000975857</v>
      </c>
      <c r="D10593" s="10" t="s">
        <v>6350</v>
      </c>
      <c r="E10593" s="10" t="s">
        <v>6351</v>
      </c>
      <c r="F10593" s="10" t="s">
        <v>748</v>
      </c>
      <c r="G10593" s="10" t="s">
        <v>6352</v>
      </c>
      <c r="H10593" s="11">
        <v>43097</v>
      </c>
      <c r="I10593" s="10">
        <v>2018</v>
      </c>
      <c r="J10593" s="10" t="s">
        <v>6351</v>
      </c>
      <c r="K10593" s="10">
        <v>264</v>
      </c>
      <c r="L10593" s="10" t="s">
        <v>46413</v>
      </c>
      <c r="M10593" s="10">
        <v>1</v>
      </c>
      <c r="N10593" s="10"/>
      <c r="O10593" s="10"/>
      <c r="P10593" s="10" t="s">
        <v>46414</v>
      </c>
      <c r="Q10593" s="10">
        <v>370.15199999999999</v>
      </c>
      <c r="R10593" s="10" t="s">
        <v>46415</v>
      </c>
      <c r="S10593" s="10" t="s">
        <v>53</v>
      </c>
      <c r="T10593" s="10" t="s">
        <v>54</v>
      </c>
    </row>
    <row r="10594" spans="1:20" ht="14.5" x14ac:dyDescent="0.35">
      <c r="A10594" s="10" t="s">
        <v>46416</v>
      </c>
      <c r="B10594" s="10" t="str">
        <f>"9781620365670"</f>
        <v>9781620365670</v>
      </c>
      <c r="C10594" s="10" t="str">
        <f>"9781000972252"</f>
        <v>9781000972252</v>
      </c>
      <c r="D10594" s="10" t="s">
        <v>6350</v>
      </c>
      <c r="E10594" s="10" t="s">
        <v>6351</v>
      </c>
      <c r="F10594" s="10" t="s">
        <v>748</v>
      </c>
      <c r="G10594" s="10" t="s">
        <v>6352</v>
      </c>
      <c r="H10594" s="11">
        <v>43103</v>
      </c>
      <c r="I10594" s="10">
        <v>2018</v>
      </c>
      <c r="J10594" s="10" t="s">
        <v>6351</v>
      </c>
      <c r="K10594" s="10">
        <v>193</v>
      </c>
      <c r="L10594" s="10" t="s">
        <v>46417</v>
      </c>
      <c r="M10594" s="10">
        <v>1</v>
      </c>
      <c r="N10594" s="10"/>
      <c r="O10594" s="10"/>
      <c r="P10594" s="10" t="s">
        <v>46418</v>
      </c>
      <c r="Q10594" s="10">
        <v>378.01</v>
      </c>
      <c r="R10594" s="10" t="s">
        <v>46419</v>
      </c>
      <c r="S10594" s="10" t="s">
        <v>53</v>
      </c>
      <c r="T10594" s="10" t="s">
        <v>54</v>
      </c>
    </row>
    <row r="10595" spans="1:20" ht="14.5" x14ac:dyDescent="0.35">
      <c r="A10595" s="10" t="s">
        <v>46420</v>
      </c>
      <c r="B10595" s="10" t="str">
        <f>"9781620366523"</f>
        <v>9781620366523</v>
      </c>
      <c r="C10595" s="10" t="str">
        <f>"9781000971729"</f>
        <v>9781000971729</v>
      </c>
      <c r="D10595" s="10" t="s">
        <v>6350</v>
      </c>
      <c r="E10595" s="10" t="s">
        <v>6351</v>
      </c>
      <c r="F10595" s="10" t="s">
        <v>748</v>
      </c>
      <c r="G10595" s="10" t="s">
        <v>6352</v>
      </c>
      <c r="H10595" s="11">
        <v>43098</v>
      </c>
      <c r="I10595" s="10">
        <v>2018</v>
      </c>
      <c r="J10595" s="10" t="s">
        <v>6351</v>
      </c>
      <c r="K10595" s="10">
        <v>266</v>
      </c>
      <c r="L10595" s="10" t="s">
        <v>46421</v>
      </c>
      <c r="M10595" s="10">
        <v>1</v>
      </c>
      <c r="N10595" s="10"/>
      <c r="O10595" s="10"/>
      <c r="P10595" s="10" t="s">
        <v>46422</v>
      </c>
      <c r="Q10595" s="10">
        <v>371.39600000000002</v>
      </c>
      <c r="R10595" s="10" t="s">
        <v>7970</v>
      </c>
      <c r="S10595" s="10" t="s">
        <v>53</v>
      </c>
      <c r="T10595" s="10" t="s">
        <v>54</v>
      </c>
    </row>
    <row r="10596" spans="1:20" ht="14.5" x14ac:dyDescent="0.35">
      <c r="A10596" s="10" t="s">
        <v>46423</v>
      </c>
      <c r="B10596" s="10" t="str">
        <f>"9780816691869"</f>
        <v>9780816691869</v>
      </c>
      <c r="C10596" s="10" t="str">
        <f>"9781452955841"</f>
        <v>9781452955841</v>
      </c>
      <c r="D10596" s="10" t="s">
        <v>11428</v>
      </c>
      <c r="E10596" s="10" t="s">
        <v>11428</v>
      </c>
      <c r="F10596" s="10" t="s">
        <v>2186</v>
      </c>
      <c r="G10596" s="10" t="s">
        <v>6317</v>
      </c>
      <c r="H10596" s="11">
        <v>43115</v>
      </c>
      <c r="I10596" s="10">
        <v>2018</v>
      </c>
      <c r="J10596" s="10" t="s">
        <v>11428</v>
      </c>
      <c r="K10596" s="10">
        <v>200</v>
      </c>
      <c r="L10596" s="10" t="s">
        <v>46424</v>
      </c>
      <c r="M10596" s="10">
        <v>1</v>
      </c>
      <c r="N10596" s="10"/>
      <c r="O10596" s="10"/>
      <c r="P10596" s="10" t="s">
        <v>46425</v>
      </c>
      <c r="Q10596" s="10">
        <v>371.33446800000002</v>
      </c>
      <c r="R10596" s="10" t="s">
        <v>46426</v>
      </c>
      <c r="S10596" s="10" t="s">
        <v>53</v>
      </c>
      <c r="T10596" s="10" t="s">
        <v>54</v>
      </c>
    </row>
    <row r="10597" spans="1:20" ht="14.5" x14ac:dyDescent="0.35">
      <c r="A10597" s="10" t="s">
        <v>46427</v>
      </c>
      <c r="B10597" s="10" t="str">
        <f>"9781787540200"</f>
        <v>9781787540200</v>
      </c>
      <c r="C10597" s="10" t="str">
        <f>"9781787540217"</f>
        <v>9781787540217</v>
      </c>
      <c r="D10597" s="10" t="s">
        <v>8699</v>
      </c>
      <c r="E10597" s="10" t="s">
        <v>8699</v>
      </c>
      <c r="F10597" s="10" t="s">
        <v>41843</v>
      </c>
      <c r="G10597" s="10" t="s">
        <v>6352</v>
      </c>
      <c r="H10597" s="11">
        <v>43080</v>
      </c>
      <c r="I10597" s="10">
        <v>2017</v>
      </c>
      <c r="J10597" s="10" t="s">
        <v>8699</v>
      </c>
      <c r="K10597" s="10">
        <v>141</v>
      </c>
      <c r="L10597" s="10" t="s">
        <v>46428</v>
      </c>
      <c r="M10597" s="10">
        <v>1</v>
      </c>
      <c r="N10597" s="10" t="s">
        <v>46429</v>
      </c>
      <c r="O10597" s="10">
        <v>3</v>
      </c>
      <c r="P10597" s="10" t="s">
        <v>46430</v>
      </c>
      <c r="Q10597" s="10">
        <v>371.1</v>
      </c>
      <c r="R10597" s="10" t="s">
        <v>46431</v>
      </c>
      <c r="S10597" s="10" t="s">
        <v>53</v>
      </c>
      <c r="T10597" s="10" t="s">
        <v>54</v>
      </c>
    </row>
    <row r="10598" spans="1:20" ht="14.5" x14ac:dyDescent="0.35">
      <c r="A10598" s="10" t="s">
        <v>46432</v>
      </c>
      <c r="B10598" s="10" t="str">
        <f>"9781945577215"</f>
        <v>9781945577215</v>
      </c>
      <c r="C10598" s="10" t="str">
        <f>"9781945577239"</f>
        <v>9781945577239</v>
      </c>
      <c r="D10598" s="10" t="s">
        <v>27268</v>
      </c>
      <c r="E10598" s="10" t="s">
        <v>46055</v>
      </c>
      <c r="F10598" s="10" t="s">
        <v>29933</v>
      </c>
      <c r="G10598" s="10" t="s">
        <v>6317</v>
      </c>
      <c r="H10598" s="11">
        <v>43077</v>
      </c>
      <c r="I10598" s="10">
        <v>2017</v>
      </c>
      <c r="J10598" s="10" t="s">
        <v>46055</v>
      </c>
      <c r="K10598" s="10">
        <v>105</v>
      </c>
      <c r="L10598" s="10" t="s">
        <v>46433</v>
      </c>
      <c r="M10598" s="10">
        <v>1</v>
      </c>
      <c r="N10598" s="10"/>
      <c r="O10598" s="10"/>
      <c r="P10598" s="10" t="s">
        <v>46434</v>
      </c>
      <c r="Q10598" s="10">
        <v>379.73</v>
      </c>
      <c r="R10598" s="10" t="s">
        <v>46435</v>
      </c>
      <c r="S10598" s="10" t="s">
        <v>53</v>
      </c>
      <c r="T10598" s="10" t="s">
        <v>54</v>
      </c>
    </row>
    <row r="10599" spans="1:20" ht="14.5" x14ac:dyDescent="0.35">
      <c r="A10599" s="10" t="s">
        <v>46436</v>
      </c>
      <c r="B10599" s="10" t="str">
        <f>"9781119260349"</f>
        <v>9781119260349</v>
      </c>
      <c r="C10599" s="10" t="str">
        <f>"9781119260370"</f>
        <v>9781119260370</v>
      </c>
      <c r="D10599" s="10" t="s">
        <v>6322</v>
      </c>
      <c r="E10599" s="10" t="s">
        <v>6323</v>
      </c>
      <c r="F10599" s="10" t="s">
        <v>4423</v>
      </c>
      <c r="G10599" s="10" t="s">
        <v>6352</v>
      </c>
      <c r="H10599" s="11">
        <v>43171</v>
      </c>
      <c r="I10599" s="10">
        <v>2018</v>
      </c>
      <c r="J10599" s="10" t="s">
        <v>41571</v>
      </c>
      <c r="K10599" s="10">
        <v>275</v>
      </c>
      <c r="L10599" s="10" t="s">
        <v>46437</v>
      </c>
      <c r="M10599" s="10">
        <v>1</v>
      </c>
      <c r="N10599" s="10" t="s">
        <v>46438</v>
      </c>
      <c r="O10599" s="10"/>
      <c r="P10599" s="10" t="s">
        <v>46439</v>
      </c>
      <c r="Q10599" s="10">
        <v>658.31240000000003</v>
      </c>
      <c r="R10599" s="10" t="s">
        <v>46440</v>
      </c>
      <c r="S10599" s="10" t="s">
        <v>53</v>
      </c>
      <c r="T10599" s="10" t="s">
        <v>46441</v>
      </c>
    </row>
    <row r="10600" spans="1:20" ht="14.5" x14ac:dyDescent="0.35">
      <c r="A10600" s="10" t="s">
        <v>46442</v>
      </c>
      <c r="B10600" s="10" t="str">
        <f>"9781119426936"</f>
        <v>9781119426936</v>
      </c>
      <c r="C10600" s="10" t="str">
        <f>"9781119426868"</f>
        <v>9781119426868</v>
      </c>
      <c r="D10600" s="10" t="s">
        <v>6322</v>
      </c>
      <c r="E10600" s="10" t="s">
        <v>6323</v>
      </c>
      <c r="F10600" s="10" t="s">
        <v>4423</v>
      </c>
      <c r="G10600" s="10" t="s">
        <v>6317</v>
      </c>
      <c r="H10600" s="11">
        <v>43144</v>
      </c>
      <c r="I10600" s="10">
        <v>2018</v>
      </c>
      <c r="J10600" s="10" t="s">
        <v>6324</v>
      </c>
      <c r="K10600" s="10">
        <v>411</v>
      </c>
      <c r="L10600" s="10" t="s">
        <v>46443</v>
      </c>
      <c r="M10600" s="10">
        <v>3</v>
      </c>
      <c r="N10600" s="10"/>
      <c r="O10600" s="10"/>
      <c r="P10600" s="10"/>
      <c r="Q10600" s="10" t="s">
        <v>11653</v>
      </c>
      <c r="R10600" s="10" t="s">
        <v>46444</v>
      </c>
      <c r="S10600" s="10" t="s">
        <v>53</v>
      </c>
      <c r="T10600" s="10" t="s">
        <v>54</v>
      </c>
    </row>
    <row r="10601" spans="1:20" ht="14.5" x14ac:dyDescent="0.35">
      <c r="A10601" s="10" t="s">
        <v>46445</v>
      </c>
      <c r="B10601" s="10" t="str">
        <f>"9783732902903"</f>
        <v>9783732902903</v>
      </c>
      <c r="C10601" s="10" t="str">
        <f>"9783732996537"</f>
        <v>9783732996537</v>
      </c>
      <c r="D10601" s="10" t="s">
        <v>27189</v>
      </c>
      <c r="E10601" s="10" t="s">
        <v>33245</v>
      </c>
      <c r="F10601" s="10" t="s">
        <v>2925</v>
      </c>
      <c r="G10601" s="10" t="s">
        <v>9998</v>
      </c>
      <c r="H10601" s="11">
        <v>43104</v>
      </c>
      <c r="I10601" s="10">
        <v>2018</v>
      </c>
      <c r="J10601" s="10" t="s">
        <v>33245</v>
      </c>
      <c r="K10601" s="10">
        <v>285</v>
      </c>
      <c r="L10601" s="10" t="s">
        <v>46446</v>
      </c>
      <c r="M10601" s="10"/>
      <c r="N10601" s="10"/>
      <c r="O10601" s="10"/>
      <c r="P10601" s="10" t="s">
        <v>46447</v>
      </c>
      <c r="Q10601" s="10">
        <v>371.10199999999998</v>
      </c>
      <c r="R10601" s="10" t="s">
        <v>46448</v>
      </c>
      <c r="S10601" s="10" t="s">
        <v>1519</v>
      </c>
      <c r="T10601" s="10" t="s">
        <v>54</v>
      </c>
    </row>
    <row r="10602" spans="1:20" ht="14.5" x14ac:dyDescent="0.35">
      <c r="A10602" s="10" t="s">
        <v>46449</v>
      </c>
      <c r="B10602" s="10" t="str">
        <f>"9783732903832"</f>
        <v>9783732903832</v>
      </c>
      <c r="C10602" s="10" t="str">
        <f>"9783732996353"</f>
        <v>9783732996353</v>
      </c>
      <c r="D10602" s="10" t="s">
        <v>27189</v>
      </c>
      <c r="E10602" s="10" t="s">
        <v>33245</v>
      </c>
      <c r="F10602" s="10" t="s">
        <v>2925</v>
      </c>
      <c r="G10602" s="10" t="s">
        <v>9998</v>
      </c>
      <c r="H10602" s="11">
        <v>43104</v>
      </c>
      <c r="I10602" s="10">
        <v>2018</v>
      </c>
      <c r="J10602" s="10" t="s">
        <v>33245</v>
      </c>
      <c r="K10602" s="10">
        <v>122</v>
      </c>
      <c r="L10602" s="10" t="s">
        <v>46450</v>
      </c>
      <c r="M10602" s="10"/>
      <c r="N10602" s="10" t="s">
        <v>46451</v>
      </c>
      <c r="O10602" s="10">
        <v>3</v>
      </c>
      <c r="P10602" s="10" t="s">
        <v>46452</v>
      </c>
      <c r="Q10602" s="10">
        <v>379.43</v>
      </c>
      <c r="R10602" s="10" t="s">
        <v>46453</v>
      </c>
      <c r="S10602" s="10" t="s">
        <v>1519</v>
      </c>
      <c r="T10602" s="10" t="s">
        <v>54</v>
      </c>
    </row>
    <row r="10603" spans="1:20" ht="14.5" x14ac:dyDescent="0.35">
      <c r="A10603" s="10" t="s">
        <v>46454</v>
      </c>
      <c r="B10603" s="10" t="str">
        <f>"9783832543839"</f>
        <v>9783832543839</v>
      </c>
      <c r="C10603" s="10" t="str">
        <f>"9783832593360"</f>
        <v>9783832593360</v>
      </c>
      <c r="D10603" s="10" t="s">
        <v>46455</v>
      </c>
      <c r="E10603" s="10" t="s">
        <v>46455</v>
      </c>
      <c r="F10603" s="10" t="s">
        <v>2925</v>
      </c>
      <c r="G10603" s="10" t="s">
        <v>9998</v>
      </c>
      <c r="H10603" s="11">
        <v>42718</v>
      </c>
      <c r="I10603" s="10">
        <v>2016</v>
      </c>
      <c r="J10603" s="10" t="s">
        <v>46455</v>
      </c>
      <c r="K10603" s="10">
        <v>288</v>
      </c>
      <c r="L10603" s="10" t="s">
        <v>46456</v>
      </c>
      <c r="M10603" s="10">
        <v>1</v>
      </c>
      <c r="N10603" s="10" t="s">
        <v>46457</v>
      </c>
      <c r="O10603" s="10">
        <v>18</v>
      </c>
      <c r="P10603" s="10" t="s">
        <v>46458</v>
      </c>
      <c r="Q10603" s="10">
        <v>570</v>
      </c>
      <c r="R10603" s="10" t="s">
        <v>46459</v>
      </c>
      <c r="S10603" s="10" t="s">
        <v>1519</v>
      </c>
      <c r="T10603" s="10" t="s">
        <v>12662</v>
      </c>
    </row>
    <row r="10604" spans="1:20" ht="14.5" x14ac:dyDescent="0.35">
      <c r="A10604" s="10" t="s">
        <v>46460</v>
      </c>
      <c r="B10604" s="10" t="str">
        <f>"9783832543853"</f>
        <v>9783832543853</v>
      </c>
      <c r="C10604" s="10" t="str">
        <f>"9783832593476"</f>
        <v>9783832593476</v>
      </c>
      <c r="D10604" s="10" t="s">
        <v>46455</v>
      </c>
      <c r="E10604" s="10" t="s">
        <v>46455</v>
      </c>
      <c r="F10604" s="10" t="s">
        <v>2925</v>
      </c>
      <c r="G10604" s="10" t="s">
        <v>9998</v>
      </c>
      <c r="H10604" s="11">
        <v>42719</v>
      </c>
      <c r="I10604" s="10">
        <v>2016</v>
      </c>
      <c r="J10604" s="10" t="s">
        <v>46455</v>
      </c>
      <c r="K10604" s="10">
        <v>231</v>
      </c>
      <c r="L10604" s="10" t="s">
        <v>46461</v>
      </c>
      <c r="M10604" s="10">
        <v>1</v>
      </c>
      <c r="N10604" s="10"/>
      <c r="O10604" s="10"/>
      <c r="P10604" s="10" t="s">
        <v>46462</v>
      </c>
      <c r="Q10604" s="10">
        <v>530.41499999999996</v>
      </c>
      <c r="R10604" s="10" t="s">
        <v>46463</v>
      </c>
      <c r="S10604" s="10" t="s">
        <v>53</v>
      </c>
      <c r="T10604" s="10" t="s">
        <v>11578</v>
      </c>
    </row>
    <row r="10605" spans="1:20" ht="14.5" x14ac:dyDescent="0.35">
      <c r="A10605" s="10" t="s">
        <v>46464</v>
      </c>
      <c r="B10605" s="10" t="str">
        <f>"9783832543822"</f>
        <v>9783832543822</v>
      </c>
      <c r="C10605" s="10" t="str">
        <f>"9783832593490"</f>
        <v>9783832593490</v>
      </c>
      <c r="D10605" s="10" t="s">
        <v>46455</v>
      </c>
      <c r="E10605" s="10" t="s">
        <v>46455</v>
      </c>
      <c r="F10605" s="10" t="s">
        <v>2925</v>
      </c>
      <c r="G10605" s="10" t="s">
        <v>9998</v>
      </c>
      <c r="H10605" s="11">
        <v>42719</v>
      </c>
      <c r="I10605" s="10">
        <v>2016</v>
      </c>
      <c r="J10605" s="10" t="s">
        <v>46455</v>
      </c>
      <c r="K10605" s="10">
        <v>242</v>
      </c>
      <c r="L10605" s="10" t="s">
        <v>46465</v>
      </c>
      <c r="M10605" s="10">
        <v>1</v>
      </c>
      <c r="N10605" s="10" t="s">
        <v>46466</v>
      </c>
      <c r="O10605" s="10">
        <v>212</v>
      </c>
      <c r="P10605" s="10" t="s">
        <v>46467</v>
      </c>
      <c r="Q10605" s="10">
        <v>371.9</v>
      </c>
      <c r="R10605" s="10" t="s">
        <v>11019</v>
      </c>
      <c r="S10605" s="10" t="s">
        <v>1519</v>
      </c>
      <c r="T10605" s="10" t="s">
        <v>54</v>
      </c>
    </row>
    <row r="10606" spans="1:20" ht="14.5" x14ac:dyDescent="0.35">
      <c r="A10606" s="10" t="s">
        <v>46468</v>
      </c>
      <c r="B10606" s="10" t="str">
        <f>"9783832543921"</f>
        <v>9783832543921</v>
      </c>
      <c r="C10606" s="10" t="str">
        <f>"9783832593438"</f>
        <v>9783832593438</v>
      </c>
      <c r="D10606" s="10" t="s">
        <v>46455</v>
      </c>
      <c r="E10606" s="10" t="s">
        <v>46455</v>
      </c>
      <c r="F10606" s="10" t="s">
        <v>2925</v>
      </c>
      <c r="G10606" s="10" t="s">
        <v>9998</v>
      </c>
      <c r="H10606" s="11">
        <v>42719</v>
      </c>
      <c r="I10606" s="10">
        <v>2016</v>
      </c>
      <c r="J10606" s="10" t="s">
        <v>46455</v>
      </c>
      <c r="K10606" s="10">
        <v>340</v>
      </c>
      <c r="L10606" s="10" t="s">
        <v>46469</v>
      </c>
      <c r="M10606" s="10">
        <v>1</v>
      </c>
      <c r="N10606" s="10" t="s">
        <v>46466</v>
      </c>
      <c r="O10606" s="10">
        <v>214</v>
      </c>
      <c r="P10606" s="10" t="s">
        <v>46470</v>
      </c>
      <c r="Q10606" s="10">
        <v>371.9</v>
      </c>
      <c r="R10606" s="10" t="s">
        <v>11019</v>
      </c>
      <c r="S10606" s="10" t="s">
        <v>1519</v>
      </c>
      <c r="T10606" s="10" t="s">
        <v>54</v>
      </c>
    </row>
    <row r="10607" spans="1:20" ht="14.5" x14ac:dyDescent="0.35">
      <c r="A10607" s="10" t="s">
        <v>46471</v>
      </c>
      <c r="B10607" s="10" t="str">
        <f>"9783832539757"</f>
        <v>9783832539757</v>
      </c>
      <c r="C10607" s="10" t="str">
        <f>"9783832593414"</f>
        <v>9783832593414</v>
      </c>
      <c r="D10607" s="10" t="s">
        <v>46455</v>
      </c>
      <c r="E10607" s="10" t="s">
        <v>46455</v>
      </c>
      <c r="F10607" s="10" t="s">
        <v>2925</v>
      </c>
      <c r="G10607" s="10" t="s">
        <v>9998</v>
      </c>
      <c r="H10607" s="11">
        <v>42185</v>
      </c>
      <c r="I10607" s="10">
        <v>2015</v>
      </c>
      <c r="J10607" s="10" t="s">
        <v>46455</v>
      </c>
      <c r="K10607" s="10">
        <v>466</v>
      </c>
      <c r="L10607" s="10" t="s">
        <v>46472</v>
      </c>
      <c r="M10607" s="10">
        <v>1</v>
      </c>
      <c r="N10607" s="10" t="s">
        <v>46466</v>
      </c>
      <c r="O10607" s="10">
        <v>182</v>
      </c>
      <c r="P10607" s="10" t="s">
        <v>46473</v>
      </c>
      <c r="Q10607" s="10">
        <v>6.7</v>
      </c>
      <c r="R10607" s="10" t="s">
        <v>46474</v>
      </c>
      <c r="S10607" s="10" t="s">
        <v>1519</v>
      </c>
      <c r="T10607" s="10" t="s">
        <v>19959</v>
      </c>
    </row>
    <row r="10608" spans="1:20" ht="14.5" x14ac:dyDescent="0.35">
      <c r="A10608" s="10" t="s">
        <v>46475</v>
      </c>
      <c r="B10608" s="10" t="str">
        <f>"9783832541484"</f>
        <v>9783832541484</v>
      </c>
      <c r="C10608" s="10" t="str">
        <f>"9783832593421"</f>
        <v>9783832593421</v>
      </c>
      <c r="D10608" s="10" t="s">
        <v>46455</v>
      </c>
      <c r="E10608" s="10" t="s">
        <v>46455</v>
      </c>
      <c r="F10608" s="10" t="s">
        <v>2925</v>
      </c>
      <c r="G10608" s="10" t="s">
        <v>9998</v>
      </c>
      <c r="H10608" s="11">
        <v>42369</v>
      </c>
      <c r="I10608" s="10">
        <v>2015</v>
      </c>
      <c r="J10608" s="10" t="s">
        <v>46455</v>
      </c>
      <c r="K10608" s="10">
        <v>145</v>
      </c>
      <c r="L10608" s="10" t="s">
        <v>46476</v>
      </c>
      <c r="M10608" s="10">
        <v>1</v>
      </c>
      <c r="N10608" s="10" t="s">
        <v>46466</v>
      </c>
      <c r="O10608" s="10">
        <v>196</v>
      </c>
      <c r="P10608" s="10" t="s">
        <v>46477</v>
      </c>
      <c r="Q10608" s="10">
        <v>540</v>
      </c>
      <c r="R10608" s="10" t="s">
        <v>46478</v>
      </c>
      <c r="S10608" s="10" t="s">
        <v>1519</v>
      </c>
      <c r="T10608" s="10" t="s">
        <v>11298</v>
      </c>
    </row>
    <row r="10609" spans="1:20" ht="14.5" x14ac:dyDescent="0.35">
      <c r="A10609" s="10" t="s">
        <v>46479</v>
      </c>
      <c r="B10609" s="10" t="str">
        <f>"9783832543891"</f>
        <v>9783832543891</v>
      </c>
      <c r="C10609" s="10" t="str">
        <f>"9783832593483"</f>
        <v>9783832593483</v>
      </c>
      <c r="D10609" s="10" t="s">
        <v>46455</v>
      </c>
      <c r="E10609" s="10" t="s">
        <v>46455</v>
      </c>
      <c r="F10609" s="10" t="s">
        <v>2925</v>
      </c>
      <c r="G10609" s="10" t="s">
        <v>9998</v>
      </c>
      <c r="H10609" s="11">
        <v>42719</v>
      </c>
      <c r="I10609" s="10">
        <v>2016</v>
      </c>
      <c r="J10609" s="10" t="s">
        <v>46455</v>
      </c>
      <c r="K10609" s="10">
        <v>375</v>
      </c>
      <c r="L10609" s="10" t="s">
        <v>46480</v>
      </c>
      <c r="M10609" s="10">
        <v>1</v>
      </c>
      <c r="N10609" s="10" t="s">
        <v>46466</v>
      </c>
      <c r="O10609" s="10">
        <v>213</v>
      </c>
      <c r="P10609" s="10" t="s">
        <v>46481</v>
      </c>
      <c r="Q10609" s="10">
        <v>620.00419999999997</v>
      </c>
      <c r="R10609" s="10" t="s">
        <v>46482</v>
      </c>
      <c r="S10609" s="10" t="s">
        <v>1519</v>
      </c>
      <c r="T10609" s="10" t="s">
        <v>46483</v>
      </c>
    </row>
    <row r="10610" spans="1:20" ht="14.5" x14ac:dyDescent="0.35">
      <c r="A10610" s="10" t="s">
        <v>46484</v>
      </c>
      <c r="B10610" s="10" t="str">
        <f>"9783832543112"</f>
        <v>9783832543112</v>
      </c>
      <c r="C10610" s="10" t="str">
        <f>"9783832593247"</f>
        <v>9783832593247</v>
      </c>
      <c r="D10610" s="10" t="s">
        <v>46455</v>
      </c>
      <c r="E10610" s="10" t="s">
        <v>46455</v>
      </c>
      <c r="F10610" s="10" t="s">
        <v>2925</v>
      </c>
      <c r="G10610" s="10" t="s">
        <v>9998</v>
      </c>
      <c r="H10610" s="11">
        <v>42613</v>
      </c>
      <c r="I10610" s="10">
        <v>2016</v>
      </c>
      <c r="J10610" s="10" t="s">
        <v>46455</v>
      </c>
      <c r="K10610" s="10">
        <v>478</v>
      </c>
      <c r="L10610" s="10" t="s">
        <v>46485</v>
      </c>
      <c r="M10610" s="10">
        <v>1</v>
      </c>
      <c r="N10610" s="10" t="s">
        <v>46486</v>
      </c>
      <c r="O10610" s="10">
        <v>4</v>
      </c>
      <c r="P10610" s="10" t="s">
        <v>46487</v>
      </c>
      <c r="Q10610" s="10">
        <v>371.28300000000002</v>
      </c>
      <c r="R10610" s="10" t="s">
        <v>46488</v>
      </c>
      <c r="S10610" s="10" t="s">
        <v>1519</v>
      </c>
      <c r="T10610" s="10" t="s">
        <v>54</v>
      </c>
    </row>
    <row r="10611" spans="1:20" ht="14.5" x14ac:dyDescent="0.35">
      <c r="A10611" s="10" t="s">
        <v>46489</v>
      </c>
      <c r="B10611" s="10" t="str">
        <f>"9783832542139"</f>
        <v>9783832542139</v>
      </c>
      <c r="C10611" s="10" t="str">
        <f>"9783832592745"</f>
        <v>9783832592745</v>
      </c>
      <c r="D10611" s="10" t="s">
        <v>46455</v>
      </c>
      <c r="E10611" s="10" t="s">
        <v>46455</v>
      </c>
      <c r="F10611" s="10" t="s">
        <v>2925</v>
      </c>
      <c r="G10611" s="10" t="s">
        <v>9998</v>
      </c>
      <c r="H10611" s="11">
        <v>42714</v>
      </c>
      <c r="I10611" s="10">
        <v>2016</v>
      </c>
      <c r="J10611" s="10" t="s">
        <v>46455</v>
      </c>
      <c r="K10611" s="10">
        <v>218</v>
      </c>
      <c r="L10611" s="10" t="s">
        <v>46490</v>
      </c>
      <c r="M10611" s="10">
        <v>1</v>
      </c>
      <c r="N10611" s="10"/>
      <c r="O10611" s="10"/>
      <c r="P10611" s="10" t="s">
        <v>46491</v>
      </c>
      <c r="Q10611" s="10">
        <v>792.80700000000002</v>
      </c>
      <c r="R10611" s="10" t="s">
        <v>46492</v>
      </c>
      <c r="S10611" s="10" t="s">
        <v>53</v>
      </c>
      <c r="T10611" s="10" t="s">
        <v>43073</v>
      </c>
    </row>
    <row r="10612" spans="1:20" ht="14.5" x14ac:dyDescent="0.35">
      <c r="A10612" s="10" t="s">
        <v>46493</v>
      </c>
      <c r="B10612" s="10" t="str">
        <f>"9781475815702"</f>
        <v>9781475815702</v>
      </c>
      <c r="C10612" s="10" t="str">
        <f>"9781475815719"</f>
        <v>9781475815719</v>
      </c>
      <c r="D10612" s="10" t="s">
        <v>9752</v>
      </c>
      <c r="E10612" s="10" t="s">
        <v>15187</v>
      </c>
      <c r="F10612" s="10" t="s">
        <v>9754</v>
      </c>
      <c r="G10612" s="10" t="s">
        <v>6317</v>
      </c>
      <c r="H10612" s="11">
        <v>43137</v>
      </c>
      <c r="I10612" s="10">
        <v>2018</v>
      </c>
      <c r="J10612" s="10" t="s">
        <v>15187</v>
      </c>
      <c r="K10612" s="10">
        <v>139</v>
      </c>
      <c r="L10612" s="10" t="s">
        <v>46494</v>
      </c>
      <c r="M10612" s="10">
        <v>1</v>
      </c>
      <c r="N10612" s="10"/>
      <c r="O10612" s="10"/>
      <c r="P10612" s="10" t="s">
        <v>46495</v>
      </c>
      <c r="Q10612" s="10">
        <v>371.33</v>
      </c>
      <c r="R10612" s="10" t="s">
        <v>29942</v>
      </c>
      <c r="S10612" s="10" t="s">
        <v>53</v>
      </c>
      <c r="T10612" s="10" t="s">
        <v>54</v>
      </c>
    </row>
    <row r="10613" spans="1:20" ht="14.5" x14ac:dyDescent="0.35">
      <c r="A10613" s="10" t="s">
        <v>46496</v>
      </c>
      <c r="B10613" s="10" t="str">
        <f>"9783832528553"</f>
        <v>9783832528553</v>
      </c>
      <c r="C10613" s="10" t="str">
        <f>"9783832597825"</f>
        <v>9783832597825</v>
      </c>
      <c r="D10613" s="10" t="s">
        <v>46455</v>
      </c>
      <c r="E10613" s="10" t="s">
        <v>46455</v>
      </c>
      <c r="F10613" s="10" t="s">
        <v>2925</v>
      </c>
      <c r="G10613" s="10" t="s">
        <v>9998</v>
      </c>
      <c r="H10613" s="11">
        <v>40688</v>
      </c>
      <c r="I10613" s="10">
        <v>2011</v>
      </c>
      <c r="J10613" s="10" t="s">
        <v>46455</v>
      </c>
      <c r="K10613" s="10">
        <v>192</v>
      </c>
      <c r="L10613" s="10" t="s">
        <v>46497</v>
      </c>
      <c r="M10613" s="10">
        <v>1</v>
      </c>
      <c r="N10613" s="10"/>
      <c r="O10613" s="10"/>
      <c r="P10613" s="10" t="s">
        <v>46498</v>
      </c>
      <c r="Q10613" s="10">
        <v>371.10199999999998</v>
      </c>
      <c r="R10613" s="10" t="s">
        <v>46499</v>
      </c>
      <c r="S10613" s="10" t="s">
        <v>1519</v>
      </c>
      <c r="T10613" s="10" t="s">
        <v>54</v>
      </c>
    </row>
    <row r="10614" spans="1:20" ht="14.5" x14ac:dyDescent="0.35">
      <c r="A10614" s="10" t="s">
        <v>46500</v>
      </c>
      <c r="B10614" s="10" t="str">
        <f>"9783832530846"</f>
        <v>9783832530846</v>
      </c>
      <c r="C10614" s="10" t="str">
        <f>"9783832597016"</f>
        <v>9783832597016</v>
      </c>
      <c r="D10614" s="10" t="s">
        <v>46455</v>
      </c>
      <c r="E10614" s="10" t="s">
        <v>46455</v>
      </c>
      <c r="F10614" s="10" t="s">
        <v>2925</v>
      </c>
      <c r="G10614" s="10" t="s">
        <v>9998</v>
      </c>
      <c r="H10614" s="11">
        <v>40966</v>
      </c>
      <c r="I10614" s="10">
        <v>2012</v>
      </c>
      <c r="J10614" s="10" t="s">
        <v>46455</v>
      </c>
      <c r="K10614" s="10">
        <v>540</v>
      </c>
      <c r="L10614" s="10" t="s">
        <v>46501</v>
      </c>
      <c r="M10614" s="10">
        <v>1</v>
      </c>
      <c r="N10614" s="10"/>
      <c r="O10614" s="10"/>
      <c r="P10614" s="10" t="s">
        <v>46502</v>
      </c>
      <c r="Q10614" s="10">
        <v>305.43619999999999</v>
      </c>
      <c r="R10614" s="10" t="s">
        <v>46503</v>
      </c>
      <c r="S10614" s="10" t="s">
        <v>1519</v>
      </c>
      <c r="T10614" s="10" t="s">
        <v>46504</v>
      </c>
    </row>
    <row r="10615" spans="1:20" ht="14.5" x14ac:dyDescent="0.35">
      <c r="A10615" s="10" t="s">
        <v>46505</v>
      </c>
      <c r="B10615" s="10" t="str">
        <f>"9783832525798"</f>
        <v>9783832525798</v>
      </c>
      <c r="C10615" s="10" t="str">
        <f>"9783832597429"</f>
        <v>9783832597429</v>
      </c>
      <c r="D10615" s="10" t="s">
        <v>46455</v>
      </c>
      <c r="E10615" s="10" t="s">
        <v>46455</v>
      </c>
      <c r="F10615" s="10" t="s">
        <v>2925</v>
      </c>
      <c r="G10615" s="10" t="s">
        <v>9998</v>
      </c>
      <c r="H10615" s="11">
        <v>40185</v>
      </c>
      <c r="I10615" s="10">
        <v>2010</v>
      </c>
      <c r="J10615" s="10" t="s">
        <v>46455</v>
      </c>
      <c r="K10615" s="10">
        <v>340</v>
      </c>
      <c r="L10615" s="10" t="s">
        <v>46506</v>
      </c>
      <c r="M10615" s="10">
        <v>1</v>
      </c>
      <c r="N10615" s="10"/>
      <c r="O10615" s="10"/>
      <c r="P10615" s="10" t="s">
        <v>46507</v>
      </c>
      <c r="Q10615" s="10">
        <v>371.9</v>
      </c>
      <c r="R10615" s="10" t="s">
        <v>46508</v>
      </c>
      <c r="S10615" s="10" t="s">
        <v>1519</v>
      </c>
      <c r="T10615" s="10" t="s">
        <v>54</v>
      </c>
    </row>
    <row r="10616" spans="1:20" ht="14.5" x14ac:dyDescent="0.35">
      <c r="A10616" s="10" t="s">
        <v>46509</v>
      </c>
      <c r="B10616" s="10" t="str">
        <f>"9783832526252"</f>
        <v>9783832526252</v>
      </c>
      <c r="C10616" s="10" t="str">
        <f>"9783832597658"</f>
        <v>9783832597658</v>
      </c>
      <c r="D10616" s="10" t="s">
        <v>46455</v>
      </c>
      <c r="E10616" s="10" t="s">
        <v>46455</v>
      </c>
      <c r="F10616" s="10" t="s">
        <v>2925</v>
      </c>
      <c r="G10616" s="10" t="s">
        <v>9998</v>
      </c>
      <c r="H10616" s="11">
        <v>40492</v>
      </c>
      <c r="I10616" s="10">
        <v>2010</v>
      </c>
      <c r="J10616" s="10" t="s">
        <v>46455</v>
      </c>
      <c r="K10616" s="10">
        <v>314</v>
      </c>
      <c r="L10616" s="10" t="s">
        <v>46510</v>
      </c>
      <c r="M10616" s="10">
        <v>1</v>
      </c>
      <c r="N10616" s="10"/>
      <c r="O10616" s="10"/>
      <c r="P10616" s="10" t="s">
        <v>46511</v>
      </c>
      <c r="Q10616" s="10">
        <v>370.11700000000002</v>
      </c>
      <c r="R10616" s="10" t="s">
        <v>46512</v>
      </c>
      <c r="S10616" s="10" t="s">
        <v>1519</v>
      </c>
      <c r="T10616" s="10" t="s">
        <v>54</v>
      </c>
    </row>
    <row r="10617" spans="1:20" ht="14.5" x14ac:dyDescent="0.35">
      <c r="A10617" s="10" t="s">
        <v>46513</v>
      </c>
      <c r="B10617" s="10" t="str">
        <f>"9783832529253"</f>
        <v>9783832529253</v>
      </c>
      <c r="C10617" s="10" t="str">
        <f>"9783832597566"</f>
        <v>9783832597566</v>
      </c>
      <c r="D10617" s="10" t="s">
        <v>46455</v>
      </c>
      <c r="E10617" s="10" t="s">
        <v>46455</v>
      </c>
      <c r="F10617" s="10" t="s">
        <v>2925</v>
      </c>
      <c r="G10617" s="10" t="s">
        <v>9998</v>
      </c>
      <c r="H10617" s="11">
        <v>40770</v>
      </c>
      <c r="I10617" s="10">
        <v>2011</v>
      </c>
      <c r="J10617" s="10" t="s">
        <v>46455</v>
      </c>
      <c r="K10617" s="10">
        <v>218</v>
      </c>
      <c r="L10617" s="10" t="s">
        <v>46514</v>
      </c>
      <c r="M10617" s="10">
        <v>1</v>
      </c>
      <c r="N10617" s="10" t="s">
        <v>46466</v>
      </c>
      <c r="O10617" s="10">
        <v>119</v>
      </c>
      <c r="P10617" s="10" t="s">
        <v>46515</v>
      </c>
      <c r="Q10617" s="10">
        <v>530.07799999999997</v>
      </c>
      <c r="R10617" s="10" t="s">
        <v>46516</v>
      </c>
      <c r="S10617" s="10" t="s">
        <v>1519</v>
      </c>
      <c r="T10617" s="10" t="s">
        <v>11108</v>
      </c>
    </row>
    <row r="10618" spans="1:20" ht="14.5" x14ac:dyDescent="0.35">
      <c r="A10618" s="10" t="s">
        <v>46517</v>
      </c>
      <c r="B10618" s="10" t="str">
        <f>"9783832526450"</f>
        <v>9783832526450</v>
      </c>
      <c r="C10618" s="10" t="str">
        <f>"9783832597214"</f>
        <v>9783832597214</v>
      </c>
      <c r="D10618" s="10" t="s">
        <v>46455</v>
      </c>
      <c r="E10618" s="10" t="s">
        <v>46455</v>
      </c>
      <c r="F10618" s="10" t="s">
        <v>2925</v>
      </c>
      <c r="G10618" s="10" t="s">
        <v>9998</v>
      </c>
      <c r="H10618" s="11">
        <v>40466</v>
      </c>
      <c r="I10618" s="10">
        <v>2010</v>
      </c>
      <c r="J10618" s="10" t="s">
        <v>46455</v>
      </c>
      <c r="K10618" s="10">
        <v>206</v>
      </c>
      <c r="L10618" s="10" t="s">
        <v>46518</v>
      </c>
      <c r="M10618" s="10">
        <v>1</v>
      </c>
      <c r="N10618" s="10"/>
      <c r="O10618" s="10"/>
      <c r="P10618" s="10" t="s">
        <v>46519</v>
      </c>
      <c r="Q10618" s="10">
        <v>428.4</v>
      </c>
      <c r="R10618" s="10" t="s">
        <v>46520</v>
      </c>
      <c r="S10618" s="10" t="s">
        <v>1519</v>
      </c>
      <c r="T10618" s="10" t="s">
        <v>6634</v>
      </c>
    </row>
    <row r="10619" spans="1:20" ht="14.5" x14ac:dyDescent="0.35">
      <c r="A10619" s="10" t="s">
        <v>46521</v>
      </c>
      <c r="B10619" s="10" t="str">
        <f>"9783832528041"</f>
        <v>9783832528041</v>
      </c>
      <c r="C10619" s="10" t="str">
        <f>"9783832597139"</f>
        <v>9783832597139</v>
      </c>
      <c r="D10619" s="10" t="s">
        <v>46455</v>
      </c>
      <c r="E10619" s="10" t="s">
        <v>46455</v>
      </c>
      <c r="F10619" s="10" t="s">
        <v>2925</v>
      </c>
      <c r="G10619" s="10" t="s">
        <v>9998</v>
      </c>
      <c r="H10619" s="11">
        <v>40584</v>
      </c>
      <c r="I10619" s="10">
        <v>2011</v>
      </c>
      <c r="J10619" s="10" t="s">
        <v>46455</v>
      </c>
      <c r="K10619" s="10">
        <v>148</v>
      </c>
      <c r="L10619" s="10" t="s">
        <v>46522</v>
      </c>
      <c r="M10619" s="10">
        <v>1</v>
      </c>
      <c r="N10619" s="10" t="s">
        <v>46466</v>
      </c>
      <c r="O10619" s="10">
        <v>112</v>
      </c>
      <c r="P10619" s="10" t="s">
        <v>46523</v>
      </c>
      <c r="Q10619" s="10">
        <v>612</v>
      </c>
      <c r="R10619" s="10" t="s">
        <v>46524</v>
      </c>
      <c r="S10619" s="10" t="s">
        <v>1519</v>
      </c>
      <c r="T10619" s="10" t="s">
        <v>21010</v>
      </c>
    </row>
    <row r="10620" spans="1:20" ht="14.5" x14ac:dyDescent="0.35">
      <c r="A10620" s="10" t="s">
        <v>46525</v>
      </c>
      <c r="B10620" s="10" t="str">
        <f>"9783832528171"</f>
        <v>9783832528171</v>
      </c>
      <c r="C10620" s="10" t="str">
        <f>"9783832597184"</f>
        <v>9783832597184</v>
      </c>
      <c r="D10620" s="10" t="s">
        <v>46455</v>
      </c>
      <c r="E10620" s="10" t="s">
        <v>46455</v>
      </c>
      <c r="F10620" s="10" t="s">
        <v>2925</v>
      </c>
      <c r="G10620" s="10" t="s">
        <v>9998</v>
      </c>
      <c r="H10620" s="11">
        <v>40634</v>
      </c>
      <c r="I10620" s="10">
        <v>2010</v>
      </c>
      <c r="J10620" s="10" t="s">
        <v>46455</v>
      </c>
      <c r="K10620" s="10">
        <v>302</v>
      </c>
      <c r="L10620" s="10" t="s">
        <v>46526</v>
      </c>
      <c r="M10620" s="10">
        <v>1</v>
      </c>
      <c r="N10620" s="10" t="s">
        <v>46466</v>
      </c>
      <c r="O10620" s="10">
        <v>113</v>
      </c>
      <c r="P10620" s="10" t="s">
        <v>46527</v>
      </c>
      <c r="Q10620" s="10">
        <v>658.56200000000001</v>
      </c>
      <c r="R10620" s="10" t="s">
        <v>46528</v>
      </c>
      <c r="S10620" s="10" t="s">
        <v>1519</v>
      </c>
      <c r="T10620" s="10" t="s">
        <v>6660</v>
      </c>
    </row>
    <row r="10621" spans="1:20" ht="14.5" x14ac:dyDescent="0.35">
      <c r="A10621" s="10" t="s">
        <v>46529</v>
      </c>
      <c r="B10621" s="10" t="str">
        <f>"9781475840049"</f>
        <v>9781475840049</v>
      </c>
      <c r="C10621" s="10" t="str">
        <f>"9781475840063"</f>
        <v>9781475840063</v>
      </c>
      <c r="D10621" s="10" t="s">
        <v>9752</v>
      </c>
      <c r="E10621" s="10" t="s">
        <v>15187</v>
      </c>
      <c r="F10621" s="10" t="s">
        <v>9754</v>
      </c>
      <c r="G10621" s="10" t="s">
        <v>6317</v>
      </c>
      <c r="H10621" s="11">
        <v>43056</v>
      </c>
      <c r="I10621" s="10">
        <v>2017</v>
      </c>
      <c r="J10621" s="10" t="s">
        <v>15187</v>
      </c>
      <c r="K10621" s="10">
        <v>141</v>
      </c>
      <c r="L10621" s="10" t="s">
        <v>46530</v>
      </c>
      <c r="M10621" s="10">
        <v>1</v>
      </c>
      <c r="N10621" s="10"/>
      <c r="O10621" s="10"/>
      <c r="P10621" s="10" t="s">
        <v>46531</v>
      </c>
      <c r="Q10621" s="10">
        <v>428.40712730000001</v>
      </c>
      <c r="R10621" s="10" t="s">
        <v>6647</v>
      </c>
      <c r="S10621" s="10" t="s">
        <v>53</v>
      </c>
      <c r="T10621" s="10" t="s">
        <v>6634</v>
      </c>
    </row>
    <row r="10622" spans="1:20" ht="14.5" x14ac:dyDescent="0.35">
      <c r="A10622" s="10" t="s">
        <v>46532</v>
      </c>
      <c r="B10622" s="10" t="str">
        <f>""</f>
        <v/>
      </c>
      <c r="C10622" s="10" t="str">
        <f>"9782808007689"</f>
        <v>9782808007689</v>
      </c>
      <c r="D10622" s="10" t="s">
        <v>29172</v>
      </c>
      <c r="E10622" s="10" t="s">
        <v>29173</v>
      </c>
      <c r="F10622" s="10" t="s">
        <v>29181</v>
      </c>
      <c r="G10622" s="10" t="s">
        <v>28737</v>
      </c>
      <c r="H10622" s="11">
        <v>43097</v>
      </c>
      <c r="I10622" s="10">
        <v>2017</v>
      </c>
      <c r="J10622" s="10" t="s">
        <v>29175</v>
      </c>
      <c r="K10622" s="10">
        <v>67</v>
      </c>
      <c r="L10622" s="10" t="s">
        <v>46533</v>
      </c>
      <c r="M10622" s="10">
        <v>1</v>
      </c>
      <c r="N10622" s="10" t="s">
        <v>29177</v>
      </c>
      <c r="O10622" s="10"/>
      <c r="P10622" s="10"/>
      <c r="Q10622" s="10"/>
      <c r="R10622" s="10" t="s">
        <v>29185</v>
      </c>
      <c r="S10622" s="10" t="s">
        <v>5404</v>
      </c>
      <c r="T10622" s="10" t="s">
        <v>29186</v>
      </c>
    </row>
    <row r="10623" spans="1:20" ht="14.5" x14ac:dyDescent="0.35">
      <c r="A10623" s="10" t="s">
        <v>46534</v>
      </c>
      <c r="B10623" s="10" t="str">
        <f>"9783832525651"</f>
        <v>9783832525651</v>
      </c>
      <c r="C10623" s="10" t="str">
        <f>"9783832599119"</f>
        <v>9783832599119</v>
      </c>
      <c r="D10623" s="10" t="s">
        <v>46455</v>
      </c>
      <c r="E10623" s="10" t="s">
        <v>46455</v>
      </c>
      <c r="F10623" s="10" t="s">
        <v>2925</v>
      </c>
      <c r="G10623" s="10" t="s">
        <v>9998</v>
      </c>
      <c r="H10623" s="11">
        <v>40405</v>
      </c>
      <c r="I10623" s="10">
        <v>2010</v>
      </c>
      <c r="J10623" s="10" t="s">
        <v>46455</v>
      </c>
      <c r="K10623" s="10">
        <v>228</v>
      </c>
      <c r="L10623" s="10" t="s">
        <v>46535</v>
      </c>
      <c r="M10623" s="10">
        <v>1</v>
      </c>
      <c r="N10623" s="10"/>
      <c r="O10623" s="10"/>
      <c r="P10623" s="10" t="s">
        <v>46536</v>
      </c>
      <c r="Q10623" s="10">
        <v>571.6</v>
      </c>
      <c r="R10623" s="10" t="s">
        <v>46537</v>
      </c>
      <c r="S10623" s="10" t="s">
        <v>1519</v>
      </c>
      <c r="T10623" s="10" t="s">
        <v>12662</v>
      </c>
    </row>
    <row r="10624" spans="1:20" ht="14.5" x14ac:dyDescent="0.35">
      <c r="A10624" s="10" t="s">
        <v>46538</v>
      </c>
      <c r="B10624" s="10" t="str">
        <f>"9783832525378"</f>
        <v>9783832525378</v>
      </c>
      <c r="C10624" s="10" t="str">
        <f>"9783832598952"</f>
        <v>9783832598952</v>
      </c>
      <c r="D10624" s="10" t="s">
        <v>46455</v>
      </c>
      <c r="E10624" s="10" t="s">
        <v>46455</v>
      </c>
      <c r="F10624" s="10" t="s">
        <v>2925</v>
      </c>
      <c r="G10624" s="10" t="s">
        <v>9998</v>
      </c>
      <c r="H10624" s="11">
        <v>40405</v>
      </c>
      <c r="I10624" s="10">
        <v>2010</v>
      </c>
      <c r="J10624" s="10" t="s">
        <v>46455</v>
      </c>
      <c r="K10624" s="10">
        <v>294</v>
      </c>
      <c r="L10624" s="10" t="s">
        <v>46539</v>
      </c>
      <c r="M10624" s="10">
        <v>1</v>
      </c>
      <c r="N10624" s="10" t="s">
        <v>46466</v>
      </c>
      <c r="O10624" s="10">
        <v>102</v>
      </c>
      <c r="P10624" s="10" t="s">
        <v>46540</v>
      </c>
      <c r="Q10624" s="10">
        <v>6.33</v>
      </c>
      <c r="R10624" s="10" t="s">
        <v>46541</v>
      </c>
      <c r="S10624" s="10" t="s">
        <v>1519</v>
      </c>
      <c r="T10624" s="10" t="s">
        <v>19959</v>
      </c>
    </row>
    <row r="10625" spans="1:20" ht="14.5" x14ac:dyDescent="0.35">
      <c r="A10625" s="10" t="s">
        <v>46542</v>
      </c>
      <c r="B10625" s="10" t="str">
        <f>"9783832525408"</f>
        <v>9783832525408</v>
      </c>
      <c r="C10625" s="10" t="str">
        <f>"9783832599027"</f>
        <v>9783832599027</v>
      </c>
      <c r="D10625" s="10" t="s">
        <v>46455</v>
      </c>
      <c r="E10625" s="10" t="s">
        <v>46455</v>
      </c>
      <c r="F10625" s="10" t="s">
        <v>2925</v>
      </c>
      <c r="G10625" s="10" t="s">
        <v>9998</v>
      </c>
      <c r="H10625" s="11">
        <v>40405</v>
      </c>
      <c r="I10625" s="10">
        <v>2010</v>
      </c>
      <c r="J10625" s="10" t="s">
        <v>46455</v>
      </c>
      <c r="K10625" s="10">
        <v>196</v>
      </c>
      <c r="L10625" s="10" t="s">
        <v>46543</v>
      </c>
      <c r="M10625" s="10">
        <v>1</v>
      </c>
      <c r="N10625" s="10" t="s">
        <v>46466</v>
      </c>
      <c r="O10625" s="10">
        <v>103</v>
      </c>
      <c r="P10625" s="10" t="s">
        <v>46544</v>
      </c>
      <c r="Q10625" s="10">
        <v>535.15</v>
      </c>
      <c r="R10625" s="10" t="s">
        <v>46545</v>
      </c>
      <c r="S10625" s="10" t="s">
        <v>1519</v>
      </c>
      <c r="T10625" s="10" t="s">
        <v>11108</v>
      </c>
    </row>
    <row r="10626" spans="1:20" ht="14.5" x14ac:dyDescent="0.35">
      <c r="A10626" s="10" t="s">
        <v>46546</v>
      </c>
      <c r="B10626" s="10" t="str">
        <f>"9783832530259"</f>
        <v>9783832530259</v>
      </c>
      <c r="C10626" s="10" t="str">
        <f>"9783832598518"</f>
        <v>9783832598518</v>
      </c>
      <c r="D10626" s="10" t="s">
        <v>46455</v>
      </c>
      <c r="E10626" s="10" t="s">
        <v>46455</v>
      </c>
      <c r="F10626" s="10" t="s">
        <v>2925</v>
      </c>
      <c r="G10626" s="10" t="s">
        <v>9998</v>
      </c>
      <c r="H10626" s="11">
        <v>40889</v>
      </c>
      <c r="I10626" s="10">
        <v>2011</v>
      </c>
      <c r="J10626" s="10" t="s">
        <v>46455</v>
      </c>
      <c r="K10626" s="10">
        <v>244</v>
      </c>
      <c r="L10626" s="10" t="s">
        <v>46547</v>
      </c>
      <c r="M10626" s="10">
        <v>1</v>
      </c>
      <c r="N10626" s="10" t="s">
        <v>46466</v>
      </c>
      <c r="O10626" s="10">
        <v>123</v>
      </c>
      <c r="P10626" s="10" t="s">
        <v>46548</v>
      </c>
      <c r="Q10626" s="10">
        <v>370.15199999999999</v>
      </c>
      <c r="R10626" s="10" t="s">
        <v>46549</v>
      </c>
      <c r="S10626" s="10" t="s">
        <v>1519</v>
      </c>
      <c r="T10626" s="10" t="s">
        <v>54</v>
      </c>
    </row>
    <row r="10627" spans="1:20" ht="14.5" x14ac:dyDescent="0.35">
      <c r="A10627" s="10" t="s">
        <v>46550</v>
      </c>
      <c r="B10627" s="10" t="str">
        <f>"9783832525583"</f>
        <v>9783832525583</v>
      </c>
      <c r="C10627" s="10" t="str">
        <f>"9783832599393"</f>
        <v>9783832599393</v>
      </c>
      <c r="D10627" s="10" t="s">
        <v>46455</v>
      </c>
      <c r="E10627" s="10" t="s">
        <v>46455</v>
      </c>
      <c r="F10627" s="10" t="s">
        <v>2925</v>
      </c>
      <c r="G10627" s="10" t="s">
        <v>9998</v>
      </c>
      <c r="H10627" s="11">
        <v>40420</v>
      </c>
      <c r="I10627" s="10">
        <v>2010</v>
      </c>
      <c r="J10627" s="10" t="s">
        <v>46455</v>
      </c>
      <c r="K10627" s="10">
        <v>420</v>
      </c>
      <c r="L10627" s="10" t="s">
        <v>46551</v>
      </c>
      <c r="M10627" s="10">
        <v>1</v>
      </c>
      <c r="N10627" s="10" t="s">
        <v>46466</v>
      </c>
      <c r="O10627" s="10">
        <v>105</v>
      </c>
      <c r="P10627" s="10" t="s">
        <v>46552</v>
      </c>
      <c r="Q10627" s="10">
        <v>531</v>
      </c>
      <c r="R10627" s="10" t="s">
        <v>46553</v>
      </c>
      <c r="S10627" s="10" t="s">
        <v>1519</v>
      </c>
      <c r="T10627" s="10" t="s">
        <v>46554</v>
      </c>
    </row>
    <row r="10628" spans="1:20" ht="14.5" x14ac:dyDescent="0.35">
      <c r="A10628" s="10" t="s">
        <v>46555</v>
      </c>
      <c r="B10628" s="10" t="str">
        <f>"9783832526054"</f>
        <v>9783832526054</v>
      </c>
      <c r="C10628" s="10" t="str">
        <f>"9783832599508"</f>
        <v>9783832599508</v>
      </c>
      <c r="D10628" s="10" t="s">
        <v>46455</v>
      </c>
      <c r="E10628" s="10" t="s">
        <v>46455</v>
      </c>
      <c r="F10628" s="10" t="s">
        <v>2925</v>
      </c>
      <c r="G10628" s="10" t="s">
        <v>9998</v>
      </c>
      <c r="H10628" s="11">
        <v>40451</v>
      </c>
      <c r="I10628" s="10">
        <v>2010</v>
      </c>
      <c r="J10628" s="10" t="s">
        <v>46455</v>
      </c>
      <c r="K10628" s="10">
        <v>168</v>
      </c>
      <c r="L10628" s="10" t="s">
        <v>46556</v>
      </c>
      <c r="M10628" s="10">
        <v>1</v>
      </c>
      <c r="N10628" s="10"/>
      <c r="O10628" s="10"/>
      <c r="P10628" s="10" t="s">
        <v>46557</v>
      </c>
      <c r="Q10628" s="10">
        <v>570</v>
      </c>
      <c r="R10628" s="10" t="s">
        <v>46558</v>
      </c>
      <c r="S10628" s="10" t="s">
        <v>1519</v>
      </c>
      <c r="T10628" s="10" t="s">
        <v>13819</v>
      </c>
    </row>
    <row r="10629" spans="1:20" ht="14.5" x14ac:dyDescent="0.35">
      <c r="A10629" s="10" t="s">
        <v>46559</v>
      </c>
      <c r="B10629" s="10" t="str">
        <f>"9783832528676"</f>
        <v>9783832528676</v>
      </c>
      <c r="C10629" s="10" t="str">
        <f>"9783832598983"</f>
        <v>9783832598983</v>
      </c>
      <c r="D10629" s="10" t="s">
        <v>46455</v>
      </c>
      <c r="E10629" s="10" t="s">
        <v>46455</v>
      </c>
      <c r="F10629" s="10" t="s">
        <v>2925</v>
      </c>
      <c r="G10629" s="10" t="s">
        <v>9998</v>
      </c>
      <c r="H10629" s="11">
        <v>40714</v>
      </c>
      <c r="I10629" s="10">
        <v>2011</v>
      </c>
      <c r="J10629" s="10" t="s">
        <v>46455</v>
      </c>
      <c r="K10629" s="10">
        <v>238</v>
      </c>
      <c r="L10629" s="10" t="s">
        <v>46560</v>
      </c>
      <c r="M10629" s="10">
        <v>1</v>
      </c>
      <c r="N10629" s="10" t="s">
        <v>46466</v>
      </c>
      <c r="O10629" s="10">
        <v>118</v>
      </c>
      <c r="P10629" s="10" t="s">
        <v>46561</v>
      </c>
      <c r="Q10629" s="10">
        <v>507.1</v>
      </c>
      <c r="R10629" s="10" t="s">
        <v>33559</v>
      </c>
      <c r="S10629" s="10" t="s">
        <v>1519</v>
      </c>
      <c r="T10629" s="10" t="s">
        <v>10979</v>
      </c>
    </row>
    <row r="10630" spans="1:20" ht="14.5" x14ac:dyDescent="0.35">
      <c r="A10630" s="10" t="s">
        <v>46562</v>
      </c>
      <c r="B10630" s="10" t="str">
        <f>"9783832543563"</f>
        <v>9783832543563</v>
      </c>
      <c r="C10630" s="10" t="str">
        <f>"9783832598402"</f>
        <v>9783832598402</v>
      </c>
      <c r="D10630" s="10" t="s">
        <v>46455</v>
      </c>
      <c r="E10630" s="10" t="s">
        <v>46455</v>
      </c>
      <c r="F10630" s="10" t="s">
        <v>2925</v>
      </c>
      <c r="G10630" s="10" t="s">
        <v>9998</v>
      </c>
      <c r="H10630" s="11">
        <v>42704</v>
      </c>
      <c r="I10630" s="10">
        <v>2016</v>
      </c>
      <c r="J10630" s="10" t="s">
        <v>46455</v>
      </c>
      <c r="K10630" s="10">
        <v>210</v>
      </c>
      <c r="L10630" s="10" t="s">
        <v>46563</v>
      </c>
      <c r="M10630" s="10">
        <v>1</v>
      </c>
      <c r="N10630" s="10" t="s">
        <v>46466</v>
      </c>
      <c r="O10630" s="10">
        <v>210</v>
      </c>
      <c r="P10630" s="10" t="s">
        <v>46564</v>
      </c>
      <c r="Q10630" s="10">
        <v>153.94</v>
      </c>
      <c r="R10630" s="10" t="s">
        <v>46565</v>
      </c>
      <c r="S10630" s="10" t="s">
        <v>1519</v>
      </c>
      <c r="T10630" s="10" t="s">
        <v>483</v>
      </c>
    </row>
    <row r="10631" spans="1:20" ht="14.5" x14ac:dyDescent="0.35">
      <c r="A10631" s="10" t="s">
        <v>46566</v>
      </c>
      <c r="B10631" s="10" t="str">
        <f>"9783832532048"</f>
        <v>9783832532048</v>
      </c>
      <c r="C10631" s="10" t="str">
        <f>"9783832598778"</f>
        <v>9783832598778</v>
      </c>
      <c r="D10631" s="10" t="s">
        <v>46455</v>
      </c>
      <c r="E10631" s="10" t="s">
        <v>46455</v>
      </c>
      <c r="F10631" s="10" t="s">
        <v>2925</v>
      </c>
      <c r="G10631" s="10" t="s">
        <v>9998</v>
      </c>
      <c r="H10631" s="11">
        <v>41126</v>
      </c>
      <c r="I10631" s="10">
        <v>2012</v>
      </c>
      <c r="J10631" s="10" t="s">
        <v>46455</v>
      </c>
      <c r="K10631" s="10">
        <v>150</v>
      </c>
      <c r="L10631" s="10" t="s">
        <v>46567</v>
      </c>
      <c r="M10631" s="10">
        <v>1</v>
      </c>
      <c r="N10631" s="10" t="s">
        <v>46568</v>
      </c>
      <c r="O10631" s="10">
        <v>10</v>
      </c>
      <c r="P10631" s="10" t="s">
        <v>46569</v>
      </c>
      <c r="Q10631" s="10" t="s">
        <v>7069</v>
      </c>
      <c r="R10631" s="10" t="s">
        <v>46570</v>
      </c>
      <c r="S10631" s="10" t="s">
        <v>53</v>
      </c>
      <c r="T10631" s="10" t="s">
        <v>54</v>
      </c>
    </row>
    <row r="10632" spans="1:20" ht="14.5" x14ac:dyDescent="0.35">
      <c r="A10632" s="10" t="s">
        <v>46571</v>
      </c>
      <c r="B10632" s="10" t="str">
        <f>"9783832530136"</f>
        <v>9783832530136</v>
      </c>
      <c r="C10632" s="10" t="str">
        <f>"9783832598471"</f>
        <v>9783832598471</v>
      </c>
      <c r="D10632" s="10" t="s">
        <v>46455</v>
      </c>
      <c r="E10632" s="10" t="s">
        <v>46455</v>
      </c>
      <c r="F10632" s="10" t="s">
        <v>2925</v>
      </c>
      <c r="G10632" s="10" t="s">
        <v>9998</v>
      </c>
      <c r="H10632" s="11">
        <v>40887</v>
      </c>
      <c r="I10632" s="10">
        <v>2011</v>
      </c>
      <c r="J10632" s="10" t="s">
        <v>46455</v>
      </c>
      <c r="K10632" s="10">
        <v>250</v>
      </c>
      <c r="L10632" s="10" t="s">
        <v>46572</v>
      </c>
      <c r="M10632" s="10">
        <v>1</v>
      </c>
      <c r="N10632" s="10" t="s">
        <v>46466</v>
      </c>
      <c r="O10632" s="10">
        <v>121</v>
      </c>
      <c r="P10632" s="10" t="s">
        <v>46573</v>
      </c>
      <c r="Q10632" s="10">
        <v>1.4</v>
      </c>
      <c r="R10632" s="10" t="s">
        <v>46574</v>
      </c>
      <c r="S10632" s="10" t="s">
        <v>1519</v>
      </c>
      <c r="T10632" s="10" t="s">
        <v>6601</v>
      </c>
    </row>
    <row r="10633" spans="1:20" ht="14.5" x14ac:dyDescent="0.35">
      <c r="A10633" s="10" t="s">
        <v>46575</v>
      </c>
      <c r="B10633" s="10" t="str">
        <f>"9783832531355"</f>
        <v>9783832531355</v>
      </c>
      <c r="C10633" s="10" t="str">
        <f>"9783832599546"</f>
        <v>9783832599546</v>
      </c>
      <c r="D10633" s="10" t="s">
        <v>46455</v>
      </c>
      <c r="E10633" s="10" t="s">
        <v>46455</v>
      </c>
      <c r="F10633" s="10" t="s">
        <v>2925</v>
      </c>
      <c r="G10633" s="10" t="s">
        <v>9998</v>
      </c>
      <c r="H10633" s="11">
        <v>41029</v>
      </c>
      <c r="I10633" s="10">
        <v>2012</v>
      </c>
      <c r="J10633" s="10" t="s">
        <v>46455</v>
      </c>
      <c r="K10633" s="10">
        <v>170</v>
      </c>
      <c r="L10633" s="10" t="s">
        <v>46576</v>
      </c>
      <c r="M10633" s="10">
        <v>1</v>
      </c>
      <c r="N10633" s="10"/>
      <c r="O10633" s="10"/>
      <c r="P10633" s="10" t="s">
        <v>46577</v>
      </c>
      <c r="Q10633" s="10">
        <v>780.71</v>
      </c>
      <c r="R10633" s="10" t="s">
        <v>44502</v>
      </c>
      <c r="S10633" s="10" t="s">
        <v>1519</v>
      </c>
      <c r="T10633" s="10" t="s">
        <v>6384</v>
      </c>
    </row>
    <row r="10634" spans="1:20" ht="14.5" x14ac:dyDescent="0.35">
      <c r="A10634" s="10" t="s">
        <v>46578</v>
      </c>
      <c r="B10634" s="10" t="str">
        <f>"9783832527181"</f>
        <v>9783832527181</v>
      </c>
      <c r="C10634" s="10" t="str">
        <f>"9783832598242"</f>
        <v>9783832598242</v>
      </c>
      <c r="D10634" s="10" t="s">
        <v>46455</v>
      </c>
      <c r="E10634" s="10" t="s">
        <v>46455</v>
      </c>
      <c r="F10634" s="10" t="s">
        <v>2925</v>
      </c>
      <c r="G10634" s="10" t="s">
        <v>9998</v>
      </c>
      <c r="H10634" s="11">
        <v>40796</v>
      </c>
      <c r="I10634" s="10">
        <v>2011</v>
      </c>
      <c r="J10634" s="10" t="s">
        <v>46455</v>
      </c>
      <c r="K10634" s="10">
        <v>296</v>
      </c>
      <c r="L10634" s="10" t="s">
        <v>46579</v>
      </c>
      <c r="M10634" s="10">
        <v>1</v>
      </c>
      <c r="N10634" s="10"/>
      <c r="O10634" s="10"/>
      <c r="P10634" s="10" t="s">
        <v>46580</v>
      </c>
      <c r="Q10634" s="10">
        <v>302.14</v>
      </c>
      <c r="R10634" s="10" t="s">
        <v>46581</v>
      </c>
      <c r="S10634" s="10" t="s">
        <v>1519</v>
      </c>
      <c r="T10634" s="10" t="s">
        <v>6363</v>
      </c>
    </row>
    <row r="10635" spans="1:20" ht="14.5" x14ac:dyDescent="0.35">
      <c r="A10635" s="10" t="s">
        <v>46582</v>
      </c>
      <c r="B10635" s="10" t="str">
        <f>"9783832529185"</f>
        <v>9783832529185</v>
      </c>
      <c r="C10635" s="10" t="str">
        <f>"9783832598440"</f>
        <v>9783832598440</v>
      </c>
      <c r="D10635" s="10" t="s">
        <v>46455</v>
      </c>
      <c r="E10635" s="10" t="s">
        <v>46455</v>
      </c>
      <c r="F10635" s="10" t="s">
        <v>2925</v>
      </c>
      <c r="G10635" s="10" t="s">
        <v>9998</v>
      </c>
      <c r="H10635" s="11">
        <v>40826</v>
      </c>
      <c r="I10635" s="10">
        <v>2011</v>
      </c>
      <c r="J10635" s="10" t="s">
        <v>46455</v>
      </c>
      <c r="K10635" s="10">
        <v>344</v>
      </c>
      <c r="L10635" s="10" t="s">
        <v>46583</v>
      </c>
      <c r="M10635" s="10">
        <v>1</v>
      </c>
      <c r="N10635" s="10"/>
      <c r="O10635" s="10"/>
      <c r="P10635" s="10" t="s">
        <v>46584</v>
      </c>
      <c r="Q10635" s="10">
        <v>153</v>
      </c>
      <c r="R10635" s="10" t="s">
        <v>46585</v>
      </c>
      <c r="S10635" s="10" t="s">
        <v>1519</v>
      </c>
      <c r="T10635" s="10" t="s">
        <v>483</v>
      </c>
    </row>
    <row r="10636" spans="1:20" ht="14.5" x14ac:dyDescent="0.35">
      <c r="A10636" s="10" t="s">
        <v>46586</v>
      </c>
      <c r="B10636" s="10" t="str">
        <f>"9783832530068"</f>
        <v>9783832530068</v>
      </c>
      <c r="C10636" s="10" t="str">
        <f>"9783832598488"</f>
        <v>9783832598488</v>
      </c>
      <c r="D10636" s="10" t="s">
        <v>46455</v>
      </c>
      <c r="E10636" s="10" t="s">
        <v>46455</v>
      </c>
      <c r="F10636" s="10" t="s">
        <v>2925</v>
      </c>
      <c r="G10636" s="10" t="s">
        <v>9998</v>
      </c>
      <c r="H10636" s="11">
        <v>40887</v>
      </c>
      <c r="I10636" s="10">
        <v>2011</v>
      </c>
      <c r="J10636" s="10" t="s">
        <v>46455</v>
      </c>
      <c r="K10636" s="10">
        <v>200</v>
      </c>
      <c r="L10636" s="10" t="s">
        <v>46587</v>
      </c>
      <c r="M10636" s="10">
        <v>1</v>
      </c>
      <c r="N10636" s="10" t="s">
        <v>46466</v>
      </c>
      <c r="O10636" s="10">
        <v>120</v>
      </c>
      <c r="P10636" s="10" t="s">
        <v>46588</v>
      </c>
      <c r="Q10636" s="10">
        <v>370.15230000000003</v>
      </c>
      <c r="R10636" s="10" t="s">
        <v>46589</v>
      </c>
      <c r="S10636" s="10" t="s">
        <v>1519</v>
      </c>
      <c r="T10636" s="10" t="s">
        <v>54</v>
      </c>
    </row>
    <row r="10637" spans="1:20" ht="14.5" x14ac:dyDescent="0.35">
      <c r="A10637" s="10" t="s">
        <v>46590</v>
      </c>
      <c r="B10637" s="10" t="str">
        <f>"9783832530426"</f>
        <v>9783832530426</v>
      </c>
      <c r="C10637" s="10" t="str">
        <f>"9783832599003"</f>
        <v>9783832599003</v>
      </c>
      <c r="D10637" s="10" t="s">
        <v>46455</v>
      </c>
      <c r="E10637" s="10" t="s">
        <v>46455</v>
      </c>
      <c r="F10637" s="10" t="s">
        <v>2925</v>
      </c>
      <c r="G10637" s="10" t="s">
        <v>9998</v>
      </c>
      <c r="H10637" s="11">
        <v>40908</v>
      </c>
      <c r="I10637" s="10">
        <v>2011</v>
      </c>
      <c r="J10637" s="10" t="s">
        <v>46455</v>
      </c>
      <c r="K10637" s="10">
        <v>324</v>
      </c>
      <c r="L10637" s="10" t="s">
        <v>46591</v>
      </c>
      <c r="M10637" s="10">
        <v>1</v>
      </c>
      <c r="N10637" s="10" t="s">
        <v>46466</v>
      </c>
      <c r="O10637" s="10">
        <v>126</v>
      </c>
      <c r="P10637" s="10" t="s">
        <v>46592</v>
      </c>
      <c r="Q10637" s="10">
        <v>507.1</v>
      </c>
      <c r="R10637" s="10" t="s">
        <v>33559</v>
      </c>
      <c r="S10637" s="10" t="s">
        <v>1519</v>
      </c>
      <c r="T10637" s="10" t="s">
        <v>6800</v>
      </c>
    </row>
    <row r="10638" spans="1:20" ht="14.5" x14ac:dyDescent="0.35">
      <c r="A10638" s="10" t="s">
        <v>46593</v>
      </c>
      <c r="B10638" s="10" t="str">
        <f>"9783832530358"</f>
        <v>9783832530358</v>
      </c>
      <c r="C10638" s="10" t="str">
        <f>"9783832598846"</f>
        <v>9783832598846</v>
      </c>
      <c r="D10638" s="10" t="s">
        <v>46455</v>
      </c>
      <c r="E10638" s="10" t="s">
        <v>46455</v>
      </c>
      <c r="F10638" s="10" t="s">
        <v>2925</v>
      </c>
      <c r="G10638" s="10" t="s">
        <v>9998</v>
      </c>
      <c r="H10638" s="11">
        <v>40893</v>
      </c>
      <c r="I10638" s="10">
        <v>2011</v>
      </c>
      <c r="J10638" s="10" t="s">
        <v>46455</v>
      </c>
      <c r="K10638" s="10">
        <v>264</v>
      </c>
      <c r="L10638" s="10" t="s">
        <v>46594</v>
      </c>
      <c r="M10638" s="10">
        <v>1</v>
      </c>
      <c r="N10638" s="10" t="s">
        <v>46466</v>
      </c>
      <c r="O10638" s="10">
        <v>125</v>
      </c>
      <c r="P10638" s="10" t="s">
        <v>46595</v>
      </c>
      <c r="Q10638" s="10">
        <v>370.71100000000001</v>
      </c>
      <c r="R10638" s="10" t="s">
        <v>46596</v>
      </c>
      <c r="S10638" s="10" t="s">
        <v>1519</v>
      </c>
      <c r="T10638" s="10" t="s">
        <v>54</v>
      </c>
    </row>
    <row r="10639" spans="1:20" ht="14.5" x14ac:dyDescent="0.35">
      <c r="A10639" s="10" t="s">
        <v>46597</v>
      </c>
      <c r="B10639" s="10" t="str">
        <f>"9783832525743"</f>
        <v>9783832525743</v>
      </c>
      <c r="C10639" s="10" t="str">
        <f>"9783832599621"</f>
        <v>9783832599621</v>
      </c>
      <c r="D10639" s="10" t="s">
        <v>46455</v>
      </c>
      <c r="E10639" s="10" t="s">
        <v>46455</v>
      </c>
      <c r="F10639" s="10" t="s">
        <v>2925</v>
      </c>
      <c r="G10639" s="10" t="s">
        <v>9998</v>
      </c>
      <c r="H10639" s="11">
        <v>40451</v>
      </c>
      <c r="I10639" s="10">
        <v>2010</v>
      </c>
      <c r="J10639" s="10" t="s">
        <v>46455</v>
      </c>
      <c r="K10639" s="10">
        <v>444</v>
      </c>
      <c r="L10639" s="10" t="s">
        <v>46598</v>
      </c>
      <c r="M10639" s="10">
        <v>1</v>
      </c>
      <c r="N10639" s="10" t="s">
        <v>46466</v>
      </c>
      <c r="O10639" s="10">
        <v>106</v>
      </c>
      <c r="P10639" s="10" t="s">
        <v>46599</v>
      </c>
      <c r="Q10639" s="10">
        <v>530</v>
      </c>
      <c r="R10639" s="10" t="s">
        <v>46600</v>
      </c>
      <c r="S10639" s="10" t="s">
        <v>1519</v>
      </c>
      <c r="T10639" s="10" t="s">
        <v>11578</v>
      </c>
    </row>
    <row r="10640" spans="1:20" ht="14.5" x14ac:dyDescent="0.35">
      <c r="A10640" s="10" t="s">
        <v>46601</v>
      </c>
      <c r="B10640" s="10" t="str">
        <f>"9783832535483"</f>
        <v>9783832535483</v>
      </c>
      <c r="C10640" s="10" t="str">
        <f>"9783832599201"</f>
        <v>9783832599201</v>
      </c>
      <c r="D10640" s="10" t="s">
        <v>46455</v>
      </c>
      <c r="E10640" s="10" t="s">
        <v>46455</v>
      </c>
      <c r="F10640" s="10" t="s">
        <v>2925</v>
      </c>
      <c r="G10640" s="10" t="s">
        <v>9998</v>
      </c>
      <c r="H10640" s="11">
        <v>41598</v>
      </c>
      <c r="I10640" s="10">
        <v>2013</v>
      </c>
      <c r="J10640" s="10" t="s">
        <v>46455</v>
      </c>
      <c r="K10640" s="10">
        <v>404</v>
      </c>
      <c r="L10640" s="10" t="s">
        <v>46602</v>
      </c>
      <c r="M10640" s="10">
        <v>1</v>
      </c>
      <c r="N10640" s="10" t="s">
        <v>46466</v>
      </c>
      <c r="O10640" s="10">
        <v>157</v>
      </c>
      <c r="P10640" s="10" t="s">
        <v>46603</v>
      </c>
      <c r="Q10640" s="10">
        <v>538</v>
      </c>
      <c r="R10640" s="10" t="s">
        <v>46604</v>
      </c>
      <c r="S10640" s="10" t="s">
        <v>1519</v>
      </c>
      <c r="T10640" s="10" t="s">
        <v>11578</v>
      </c>
    </row>
    <row r="10641" spans="1:20" ht="14.5" x14ac:dyDescent="0.35">
      <c r="A10641" s="10" t="s">
        <v>46605</v>
      </c>
      <c r="B10641" s="10" t="str">
        <f>"9783832530464"</f>
        <v>9783832530464</v>
      </c>
      <c r="C10641" s="10" t="str">
        <f>"9783832598716"</f>
        <v>9783832598716</v>
      </c>
      <c r="D10641" s="10" t="s">
        <v>46455</v>
      </c>
      <c r="E10641" s="10" t="s">
        <v>46455</v>
      </c>
      <c r="F10641" s="10" t="s">
        <v>2925</v>
      </c>
      <c r="G10641" s="10" t="s">
        <v>9998</v>
      </c>
      <c r="H10641" s="11">
        <v>40907</v>
      </c>
      <c r="I10641" s="10">
        <v>2011</v>
      </c>
      <c r="J10641" s="10" t="s">
        <v>46455</v>
      </c>
      <c r="K10641" s="10">
        <v>214</v>
      </c>
      <c r="L10641" s="10" t="s">
        <v>46606</v>
      </c>
      <c r="M10641" s="10">
        <v>1</v>
      </c>
      <c r="N10641" s="10" t="s">
        <v>46466</v>
      </c>
      <c r="O10641" s="10">
        <v>127</v>
      </c>
      <c r="P10641" s="10" t="s">
        <v>46607</v>
      </c>
      <c r="Q10641" s="10">
        <v>540</v>
      </c>
      <c r="R10641" s="10" t="s">
        <v>46608</v>
      </c>
      <c r="S10641" s="10" t="s">
        <v>1519</v>
      </c>
      <c r="T10641" s="10" t="s">
        <v>11298</v>
      </c>
    </row>
    <row r="10642" spans="1:20" ht="14.5" x14ac:dyDescent="0.35">
      <c r="A10642" s="10" t="s">
        <v>46609</v>
      </c>
      <c r="B10642" s="10" t="str">
        <f>"9783832528539"</f>
        <v>9783832528539</v>
      </c>
      <c r="C10642" s="10" t="str">
        <f>"9783832598860"</f>
        <v>9783832598860</v>
      </c>
      <c r="D10642" s="10" t="s">
        <v>46455</v>
      </c>
      <c r="E10642" s="10" t="s">
        <v>46455</v>
      </c>
      <c r="F10642" s="10" t="s">
        <v>2925</v>
      </c>
      <c r="G10642" s="10" t="s">
        <v>9998</v>
      </c>
      <c r="H10642" s="11">
        <v>40704</v>
      </c>
      <c r="I10642" s="10">
        <v>2011</v>
      </c>
      <c r="J10642" s="10" t="s">
        <v>46455</v>
      </c>
      <c r="K10642" s="10">
        <v>232</v>
      </c>
      <c r="L10642" s="10" t="s">
        <v>46610</v>
      </c>
      <c r="M10642" s="10">
        <v>1</v>
      </c>
      <c r="N10642" s="10" t="s">
        <v>46466</v>
      </c>
      <c r="O10642" s="10">
        <v>115</v>
      </c>
      <c r="P10642" s="10" t="s">
        <v>46611</v>
      </c>
      <c r="Q10642" s="10">
        <v>4.6779999999999999</v>
      </c>
      <c r="R10642" s="10" t="s">
        <v>46612</v>
      </c>
      <c r="S10642" s="10" t="s">
        <v>1519</v>
      </c>
      <c r="T10642" s="10" t="s">
        <v>19959</v>
      </c>
    </row>
    <row r="10643" spans="1:20" ht="14.5" x14ac:dyDescent="0.35">
      <c r="A10643" s="10" t="s">
        <v>46613</v>
      </c>
      <c r="B10643" s="10" t="str">
        <f>"9783832527778"</f>
        <v>9783832527778</v>
      </c>
      <c r="C10643" s="10" t="str">
        <f>"9783832599416"</f>
        <v>9783832599416</v>
      </c>
      <c r="D10643" s="10" t="s">
        <v>46455</v>
      </c>
      <c r="E10643" s="10" t="s">
        <v>46455</v>
      </c>
      <c r="F10643" s="10" t="s">
        <v>2925</v>
      </c>
      <c r="G10643" s="10" t="s">
        <v>9998</v>
      </c>
      <c r="H10643" s="11">
        <v>40599</v>
      </c>
      <c r="I10643" s="10">
        <v>2011</v>
      </c>
      <c r="J10643" s="10" t="s">
        <v>46455</v>
      </c>
      <c r="K10643" s="10">
        <v>244</v>
      </c>
      <c r="L10643" s="10" t="s">
        <v>46614</v>
      </c>
      <c r="M10643" s="10">
        <v>1</v>
      </c>
      <c r="N10643" s="10"/>
      <c r="O10643" s="10"/>
      <c r="P10643" s="10" t="s">
        <v>46615</v>
      </c>
      <c r="Q10643" s="10">
        <v>155.41800000000001</v>
      </c>
      <c r="R10643" s="10" t="s">
        <v>46616</v>
      </c>
      <c r="S10643" s="10" t="s">
        <v>1519</v>
      </c>
      <c r="T10643" s="10" t="s">
        <v>483</v>
      </c>
    </row>
    <row r="10644" spans="1:20" ht="14.5" x14ac:dyDescent="0.35">
      <c r="A10644" s="10" t="s">
        <v>46617</v>
      </c>
      <c r="B10644" s="10" t="str">
        <f>"9783832529048"</f>
        <v>9783832529048</v>
      </c>
      <c r="C10644" s="10" t="str">
        <f>"9783832599317"</f>
        <v>9783832599317</v>
      </c>
      <c r="D10644" s="10" t="s">
        <v>46455</v>
      </c>
      <c r="E10644" s="10" t="s">
        <v>46455</v>
      </c>
      <c r="F10644" s="10" t="s">
        <v>2925</v>
      </c>
      <c r="G10644" s="10" t="s">
        <v>9998</v>
      </c>
      <c r="H10644" s="11">
        <v>40918</v>
      </c>
      <c r="I10644" s="10">
        <v>2012</v>
      </c>
      <c r="J10644" s="10" t="s">
        <v>46455</v>
      </c>
      <c r="K10644" s="10">
        <v>344</v>
      </c>
      <c r="L10644" s="10" t="s">
        <v>46618</v>
      </c>
      <c r="M10644" s="10">
        <v>1</v>
      </c>
      <c r="N10644" s="10"/>
      <c r="O10644" s="10"/>
      <c r="P10644" s="10" t="s">
        <v>46619</v>
      </c>
      <c r="Q10644" s="10">
        <v>418.02</v>
      </c>
      <c r="R10644" s="10" t="s">
        <v>46620</v>
      </c>
      <c r="S10644" s="10" t="s">
        <v>1519</v>
      </c>
      <c r="T10644" s="10" t="s">
        <v>6616</v>
      </c>
    </row>
    <row r="10645" spans="1:20" ht="14.5" x14ac:dyDescent="0.35">
      <c r="A10645" s="10" t="s">
        <v>46621</v>
      </c>
      <c r="B10645" s="10" t="str">
        <f>"9783832530204"</f>
        <v>9783832530204</v>
      </c>
      <c r="C10645" s="10" t="str">
        <f>"9783832598433"</f>
        <v>9783832598433</v>
      </c>
      <c r="D10645" s="10" t="s">
        <v>46455</v>
      </c>
      <c r="E10645" s="10" t="s">
        <v>46455</v>
      </c>
      <c r="F10645" s="10" t="s">
        <v>2925</v>
      </c>
      <c r="G10645" s="10" t="s">
        <v>9998</v>
      </c>
      <c r="H10645" s="11">
        <v>40877</v>
      </c>
      <c r="I10645" s="10">
        <v>2011</v>
      </c>
      <c r="J10645" s="10" t="s">
        <v>46455</v>
      </c>
      <c r="K10645" s="10">
        <v>404</v>
      </c>
      <c r="L10645" s="10" t="s">
        <v>46622</v>
      </c>
      <c r="M10645" s="10">
        <v>1</v>
      </c>
      <c r="N10645" s="10" t="s">
        <v>46466</v>
      </c>
      <c r="O10645" s="10">
        <v>122</v>
      </c>
      <c r="P10645" s="10" t="s">
        <v>46623</v>
      </c>
      <c r="Q10645" s="10">
        <v>507.1</v>
      </c>
      <c r="R10645" s="10" t="s">
        <v>46624</v>
      </c>
      <c r="S10645" s="10" t="s">
        <v>1519</v>
      </c>
      <c r="T10645" s="10" t="s">
        <v>10979</v>
      </c>
    </row>
    <row r="10646" spans="1:20" ht="14.5" x14ac:dyDescent="0.35">
      <c r="A10646" s="10" t="s">
        <v>46625</v>
      </c>
      <c r="B10646" s="10" t="str">
        <f>"9783832535582"</f>
        <v>9783832535582</v>
      </c>
      <c r="C10646" s="10" t="str">
        <f>"9783832596019"</f>
        <v>9783832596019</v>
      </c>
      <c r="D10646" s="10" t="s">
        <v>46455</v>
      </c>
      <c r="E10646" s="10" t="s">
        <v>46455</v>
      </c>
      <c r="F10646" s="10" t="s">
        <v>2925</v>
      </c>
      <c r="G10646" s="10" t="s">
        <v>9998</v>
      </c>
      <c r="H10646" s="11">
        <v>41623</v>
      </c>
      <c r="I10646" s="10">
        <v>2013</v>
      </c>
      <c r="J10646" s="10" t="s">
        <v>46455</v>
      </c>
      <c r="K10646" s="10">
        <v>192</v>
      </c>
      <c r="L10646" s="10" t="s">
        <v>46626</v>
      </c>
      <c r="M10646" s="10">
        <v>1</v>
      </c>
      <c r="N10646" s="10" t="s">
        <v>46466</v>
      </c>
      <c r="O10646" s="10">
        <v>158</v>
      </c>
      <c r="P10646" s="10" t="s">
        <v>46627</v>
      </c>
      <c r="Q10646" s="10">
        <v>620.5</v>
      </c>
      <c r="R10646" s="10" t="s">
        <v>46628</v>
      </c>
      <c r="S10646" s="10" t="s">
        <v>1519</v>
      </c>
      <c r="T10646" s="10" t="s">
        <v>11508</v>
      </c>
    </row>
    <row r="10647" spans="1:20" ht="14.5" x14ac:dyDescent="0.35">
      <c r="A10647" s="10" t="s">
        <v>46629</v>
      </c>
      <c r="B10647" s="10" t="str">
        <f>"9781945349058"</f>
        <v>9781945349058</v>
      </c>
      <c r="C10647" s="10" t="str">
        <f>"9781945349065"</f>
        <v>9781945349065</v>
      </c>
      <c r="D10647" s="10" t="s">
        <v>37580</v>
      </c>
      <c r="E10647" s="10" t="s">
        <v>37581</v>
      </c>
      <c r="F10647" s="10" t="s">
        <v>37623</v>
      </c>
      <c r="G10647" s="10" t="s">
        <v>6317</v>
      </c>
      <c r="H10647" s="11">
        <v>43131</v>
      </c>
      <c r="I10647" s="10">
        <v>2018</v>
      </c>
      <c r="J10647" s="10" t="s">
        <v>37581</v>
      </c>
      <c r="K10647" s="10">
        <v>264</v>
      </c>
      <c r="L10647" s="10" t="s">
        <v>45480</v>
      </c>
      <c r="M10647" s="10">
        <v>1</v>
      </c>
      <c r="N10647" s="10" t="s">
        <v>44310</v>
      </c>
      <c r="O10647" s="10"/>
      <c r="P10647" s="10" t="s">
        <v>46630</v>
      </c>
      <c r="Q10647" s="10"/>
      <c r="R10647" s="10" t="s">
        <v>46631</v>
      </c>
      <c r="S10647" s="10" t="s">
        <v>53</v>
      </c>
      <c r="T10647" s="10" t="s">
        <v>54</v>
      </c>
    </row>
    <row r="10648" spans="1:20" ht="14.5" x14ac:dyDescent="0.35">
      <c r="A10648" s="10" t="s">
        <v>46632</v>
      </c>
      <c r="B10648" s="10" t="str">
        <f>"9781620367551"</f>
        <v>9781620367551</v>
      </c>
      <c r="C10648" s="10" t="str">
        <f>"9781000975697"</f>
        <v>9781000975697</v>
      </c>
      <c r="D10648" s="10" t="s">
        <v>6350</v>
      </c>
      <c r="E10648" s="10" t="s">
        <v>6351</v>
      </c>
      <c r="F10648" s="10" t="s">
        <v>748</v>
      </c>
      <c r="G10648" s="10" t="s">
        <v>6352</v>
      </c>
      <c r="H10648" s="11">
        <v>43102</v>
      </c>
      <c r="I10648" s="10">
        <v>2018</v>
      </c>
      <c r="J10648" s="10" t="s">
        <v>6351</v>
      </c>
      <c r="K10648" s="10">
        <v>161</v>
      </c>
      <c r="L10648" s="10" t="s">
        <v>46633</v>
      </c>
      <c r="M10648" s="10">
        <v>1</v>
      </c>
      <c r="N10648" s="10"/>
      <c r="O10648" s="10"/>
      <c r="P10648" s="10" t="s">
        <v>46634</v>
      </c>
      <c r="Q10648" s="10">
        <v>370.15</v>
      </c>
      <c r="R10648" s="10" t="s">
        <v>11395</v>
      </c>
      <c r="S10648" s="10" t="s">
        <v>53</v>
      </c>
      <c r="T10648" s="10" t="s">
        <v>54</v>
      </c>
    </row>
    <row r="10649" spans="1:20" ht="14.5" x14ac:dyDescent="0.35">
      <c r="A10649" s="10" t="s">
        <v>46635</v>
      </c>
      <c r="B10649" s="10" t="str">
        <f>"9783832532772"</f>
        <v>9783832532772</v>
      </c>
      <c r="C10649" s="10" t="str">
        <f>"9783832596637"</f>
        <v>9783832596637</v>
      </c>
      <c r="D10649" s="10" t="s">
        <v>46455</v>
      </c>
      <c r="E10649" s="10" t="s">
        <v>46455</v>
      </c>
      <c r="F10649" s="10" t="s">
        <v>2925</v>
      </c>
      <c r="G10649" s="10" t="s">
        <v>9998</v>
      </c>
      <c r="H10649" s="11">
        <v>41233</v>
      </c>
      <c r="I10649" s="10">
        <v>2012</v>
      </c>
      <c r="J10649" s="10" t="s">
        <v>46455</v>
      </c>
      <c r="K10649" s="10">
        <v>240</v>
      </c>
      <c r="L10649" s="10" t="s">
        <v>46636</v>
      </c>
      <c r="M10649" s="10">
        <v>1</v>
      </c>
      <c r="N10649" s="10" t="s">
        <v>46466</v>
      </c>
      <c r="O10649" s="10">
        <v>138</v>
      </c>
      <c r="P10649" s="10" t="s">
        <v>46637</v>
      </c>
      <c r="Q10649" s="10">
        <v>373</v>
      </c>
      <c r="R10649" s="10" t="s">
        <v>44445</v>
      </c>
      <c r="S10649" s="10" t="s">
        <v>1519</v>
      </c>
      <c r="T10649" s="10" t="s">
        <v>54</v>
      </c>
    </row>
    <row r="10650" spans="1:20" ht="14.5" x14ac:dyDescent="0.35">
      <c r="A10650" s="10" t="s">
        <v>46638</v>
      </c>
      <c r="B10650" s="10" t="str">
        <f>"9783832531423"</f>
        <v>9783832531423</v>
      </c>
      <c r="C10650" s="10" t="str">
        <f>"9783832596934"</f>
        <v>9783832596934</v>
      </c>
      <c r="D10650" s="10" t="s">
        <v>46455</v>
      </c>
      <c r="E10650" s="10" t="s">
        <v>46455</v>
      </c>
      <c r="F10650" s="10" t="s">
        <v>2925</v>
      </c>
      <c r="G10650" s="10" t="s">
        <v>9998</v>
      </c>
      <c r="H10650" s="11">
        <v>41039</v>
      </c>
      <c r="I10650" s="10">
        <v>2012</v>
      </c>
      <c r="J10650" s="10" t="s">
        <v>46455</v>
      </c>
      <c r="K10650" s="10">
        <v>226</v>
      </c>
      <c r="L10650" s="10" t="s">
        <v>46639</v>
      </c>
      <c r="M10650" s="10">
        <v>1</v>
      </c>
      <c r="N10650" s="10"/>
      <c r="O10650" s="10"/>
      <c r="P10650" s="10" t="s">
        <v>46640</v>
      </c>
      <c r="Q10650" s="10">
        <v>302.12</v>
      </c>
      <c r="R10650" s="10" t="s">
        <v>46641</v>
      </c>
      <c r="S10650" s="10" t="s">
        <v>1519</v>
      </c>
      <c r="T10650" s="10" t="s">
        <v>10711</v>
      </c>
    </row>
    <row r="10651" spans="1:20" ht="14.5" x14ac:dyDescent="0.35">
      <c r="A10651" s="10" t="s">
        <v>46642</v>
      </c>
      <c r="B10651" s="10" t="str">
        <f>"9783832535445"</f>
        <v>9783832535445</v>
      </c>
      <c r="C10651" s="10" t="str">
        <f>"9783832596323"</f>
        <v>9783832596323</v>
      </c>
      <c r="D10651" s="10" t="s">
        <v>46455</v>
      </c>
      <c r="E10651" s="10" t="s">
        <v>46455</v>
      </c>
      <c r="F10651" s="10" t="s">
        <v>2925</v>
      </c>
      <c r="G10651" s="10" t="s">
        <v>9998</v>
      </c>
      <c r="H10651" s="11">
        <v>41588</v>
      </c>
      <c r="I10651" s="10">
        <v>2013</v>
      </c>
      <c r="J10651" s="10" t="s">
        <v>46455</v>
      </c>
      <c r="K10651" s="10">
        <v>244</v>
      </c>
      <c r="L10651" s="10" t="s">
        <v>46643</v>
      </c>
      <c r="M10651" s="10">
        <v>1</v>
      </c>
      <c r="N10651" s="10" t="s">
        <v>46466</v>
      </c>
      <c r="O10651" s="10">
        <v>156</v>
      </c>
      <c r="P10651" s="10" t="s">
        <v>46644</v>
      </c>
      <c r="Q10651" s="10">
        <v>540.71</v>
      </c>
      <c r="R10651" s="10" t="s">
        <v>46645</v>
      </c>
      <c r="S10651" s="10" t="s">
        <v>1519</v>
      </c>
      <c r="T10651" s="10" t="s">
        <v>11332</v>
      </c>
    </row>
    <row r="10652" spans="1:20" ht="14.5" x14ac:dyDescent="0.35">
      <c r="A10652" s="10" t="s">
        <v>46646</v>
      </c>
      <c r="B10652" s="10" t="str">
        <f>"9783832532000"</f>
        <v>9783832532000</v>
      </c>
      <c r="C10652" s="10" t="str">
        <f>"9783832596828"</f>
        <v>9783832596828</v>
      </c>
      <c r="D10652" s="10" t="s">
        <v>46455</v>
      </c>
      <c r="E10652" s="10" t="s">
        <v>46455</v>
      </c>
      <c r="F10652" s="10" t="s">
        <v>2925</v>
      </c>
      <c r="G10652" s="10" t="s">
        <v>9998</v>
      </c>
      <c r="H10652" s="11">
        <v>41131</v>
      </c>
      <c r="I10652" s="10">
        <v>2012</v>
      </c>
      <c r="J10652" s="10" t="s">
        <v>46455</v>
      </c>
      <c r="K10652" s="10">
        <v>322</v>
      </c>
      <c r="L10652" s="10" t="s">
        <v>46647</v>
      </c>
      <c r="M10652" s="10">
        <v>1</v>
      </c>
      <c r="N10652" s="10" t="s">
        <v>46466</v>
      </c>
      <c r="O10652" s="10">
        <v>133</v>
      </c>
      <c r="P10652" s="10" t="s">
        <v>46648</v>
      </c>
      <c r="Q10652" s="10">
        <v>510.71</v>
      </c>
      <c r="R10652" s="10" t="s">
        <v>46649</v>
      </c>
      <c r="S10652" s="10" t="s">
        <v>1519</v>
      </c>
      <c r="T10652" s="10" t="s">
        <v>389</v>
      </c>
    </row>
    <row r="10653" spans="1:20" ht="14.5" x14ac:dyDescent="0.35">
      <c r="A10653" s="10" t="s">
        <v>46650</v>
      </c>
      <c r="B10653" s="10" t="str">
        <f>"9783832534998"</f>
        <v>9783832534998</v>
      </c>
      <c r="C10653" s="10" t="str">
        <f>"9783832596101"</f>
        <v>9783832596101</v>
      </c>
      <c r="D10653" s="10" t="s">
        <v>46455</v>
      </c>
      <c r="E10653" s="10" t="s">
        <v>46455</v>
      </c>
      <c r="F10653" s="10" t="s">
        <v>2925</v>
      </c>
      <c r="G10653" s="10" t="s">
        <v>9998</v>
      </c>
      <c r="H10653" s="11">
        <v>41527</v>
      </c>
      <c r="I10653" s="10">
        <v>2013</v>
      </c>
      <c r="J10653" s="10" t="s">
        <v>46455</v>
      </c>
      <c r="K10653" s="10">
        <v>404</v>
      </c>
      <c r="L10653" s="10" t="s">
        <v>46651</v>
      </c>
      <c r="M10653" s="10">
        <v>1</v>
      </c>
      <c r="N10653" s="10"/>
      <c r="O10653" s="10"/>
      <c r="P10653" s="10" t="s">
        <v>46652</v>
      </c>
      <c r="Q10653" s="10">
        <v>530</v>
      </c>
      <c r="R10653" s="10" t="s">
        <v>46600</v>
      </c>
      <c r="S10653" s="10" t="s">
        <v>1519</v>
      </c>
      <c r="T10653" s="10" t="s">
        <v>11108</v>
      </c>
    </row>
    <row r="10654" spans="1:20" ht="14.5" x14ac:dyDescent="0.35">
      <c r="A10654" s="10" t="s">
        <v>46653</v>
      </c>
      <c r="B10654" s="10" t="str">
        <f>"9783832533915"</f>
        <v>9783832533915</v>
      </c>
      <c r="C10654" s="10" t="str">
        <f>"9783832596293"</f>
        <v>9783832596293</v>
      </c>
      <c r="D10654" s="10" t="s">
        <v>46455</v>
      </c>
      <c r="E10654" s="10" t="s">
        <v>46455</v>
      </c>
      <c r="F10654" s="10" t="s">
        <v>2925</v>
      </c>
      <c r="G10654" s="10" t="s">
        <v>9998</v>
      </c>
      <c r="H10654" s="11">
        <v>41408</v>
      </c>
      <c r="I10654" s="10">
        <v>2013</v>
      </c>
      <c r="J10654" s="10" t="s">
        <v>46455</v>
      </c>
      <c r="K10654" s="10">
        <v>248</v>
      </c>
      <c r="L10654" s="10" t="s">
        <v>46654</v>
      </c>
      <c r="M10654" s="10">
        <v>1</v>
      </c>
      <c r="N10654" s="10" t="s">
        <v>46655</v>
      </c>
      <c r="O10654" s="10">
        <v>20</v>
      </c>
      <c r="P10654" s="10" t="s">
        <v>46656</v>
      </c>
      <c r="Q10654" s="10">
        <v>794.8</v>
      </c>
      <c r="R10654" s="10" t="s">
        <v>39526</v>
      </c>
      <c r="S10654" s="10" t="s">
        <v>1519</v>
      </c>
      <c r="T10654" s="10" t="s">
        <v>7340</v>
      </c>
    </row>
    <row r="10655" spans="1:20" ht="14.5" x14ac:dyDescent="0.35">
      <c r="A10655" s="10" t="s">
        <v>46657</v>
      </c>
      <c r="B10655" s="10" t="str">
        <f>"9783832531515"</f>
        <v>9783832531515</v>
      </c>
      <c r="C10655" s="10" t="str">
        <f>"9783832596910"</f>
        <v>9783832596910</v>
      </c>
      <c r="D10655" s="10" t="s">
        <v>46455</v>
      </c>
      <c r="E10655" s="10" t="s">
        <v>46455</v>
      </c>
      <c r="F10655" s="10" t="s">
        <v>2925</v>
      </c>
      <c r="G10655" s="10" t="s">
        <v>9998</v>
      </c>
      <c r="H10655" s="11">
        <v>41050</v>
      </c>
      <c r="I10655" s="10">
        <v>2012</v>
      </c>
      <c r="J10655" s="10" t="s">
        <v>46455</v>
      </c>
      <c r="K10655" s="10">
        <v>270</v>
      </c>
      <c r="L10655" s="10" t="s">
        <v>46658</v>
      </c>
      <c r="M10655" s="10">
        <v>1</v>
      </c>
      <c r="N10655" s="10" t="s">
        <v>46659</v>
      </c>
      <c r="O10655" s="10">
        <v>10</v>
      </c>
      <c r="P10655" s="10" t="s">
        <v>46660</v>
      </c>
      <c r="Q10655" s="10">
        <v>371.04</v>
      </c>
      <c r="R10655" s="10" t="s">
        <v>46661</v>
      </c>
      <c r="S10655" s="10" t="s">
        <v>1519</v>
      </c>
      <c r="T10655" s="10" t="s">
        <v>54</v>
      </c>
    </row>
    <row r="10656" spans="1:20" ht="14.5" x14ac:dyDescent="0.35">
      <c r="A10656" s="10" t="s">
        <v>46662</v>
      </c>
      <c r="B10656" s="10" t="str">
        <f>"9783832532185"</f>
        <v>9783832532185</v>
      </c>
      <c r="C10656" s="10" t="str">
        <f>"9783832596811"</f>
        <v>9783832596811</v>
      </c>
      <c r="D10656" s="10" t="s">
        <v>46455</v>
      </c>
      <c r="E10656" s="10" t="s">
        <v>46455</v>
      </c>
      <c r="F10656" s="10" t="s">
        <v>2925</v>
      </c>
      <c r="G10656" s="10" t="s">
        <v>9998</v>
      </c>
      <c r="H10656" s="11">
        <v>41151</v>
      </c>
      <c r="I10656" s="10">
        <v>2012</v>
      </c>
      <c r="J10656" s="10" t="s">
        <v>46455</v>
      </c>
      <c r="K10656" s="10">
        <v>460</v>
      </c>
      <c r="L10656" s="10" t="s">
        <v>46663</v>
      </c>
      <c r="M10656" s="10">
        <v>1</v>
      </c>
      <c r="N10656" s="10" t="s">
        <v>46466</v>
      </c>
      <c r="O10656" s="10">
        <v>135</v>
      </c>
      <c r="P10656" s="10" t="s">
        <v>46664</v>
      </c>
      <c r="Q10656" s="10">
        <v>371.334</v>
      </c>
      <c r="R10656" s="10" t="s">
        <v>28640</v>
      </c>
      <c r="S10656" s="10" t="s">
        <v>1519</v>
      </c>
      <c r="T10656" s="10" t="s">
        <v>54</v>
      </c>
    </row>
    <row r="10657" spans="1:20" ht="14.5" x14ac:dyDescent="0.35">
      <c r="A10657" s="10" t="s">
        <v>46665</v>
      </c>
      <c r="B10657" s="10" t="str">
        <f>"9783832535087"</f>
        <v>9783832535087</v>
      </c>
      <c r="C10657" s="10" t="str">
        <f>"9783832596040"</f>
        <v>9783832596040</v>
      </c>
      <c r="D10657" s="10" t="s">
        <v>46455</v>
      </c>
      <c r="E10657" s="10" t="s">
        <v>46455</v>
      </c>
      <c r="F10657" s="10" t="s">
        <v>2925</v>
      </c>
      <c r="G10657" s="10" t="s">
        <v>9998</v>
      </c>
      <c r="H10657" s="11">
        <v>41547</v>
      </c>
      <c r="I10657" s="10">
        <v>2013</v>
      </c>
      <c r="J10657" s="10" t="s">
        <v>46455</v>
      </c>
      <c r="K10657" s="10">
        <v>402</v>
      </c>
      <c r="L10657" s="10" t="s">
        <v>46666</v>
      </c>
      <c r="M10657" s="10">
        <v>1</v>
      </c>
      <c r="N10657" s="10" t="s">
        <v>46466</v>
      </c>
      <c r="O10657" s="10">
        <v>154</v>
      </c>
      <c r="P10657" s="10" t="s">
        <v>46667</v>
      </c>
      <c r="Q10657" s="10">
        <v>370.71100000000001</v>
      </c>
      <c r="R10657" s="10" t="s">
        <v>46596</v>
      </c>
      <c r="S10657" s="10" t="s">
        <v>1519</v>
      </c>
      <c r="T10657" s="10" t="s">
        <v>54</v>
      </c>
    </row>
    <row r="10658" spans="1:20" ht="14.5" x14ac:dyDescent="0.35">
      <c r="A10658" s="10" t="s">
        <v>46668</v>
      </c>
      <c r="B10658" s="10" t="str">
        <f>"9783832533281"</f>
        <v>9783832533281</v>
      </c>
      <c r="C10658" s="10" t="str">
        <f>"9783832596477"</f>
        <v>9783832596477</v>
      </c>
      <c r="D10658" s="10" t="s">
        <v>46455</v>
      </c>
      <c r="E10658" s="10" t="s">
        <v>46455</v>
      </c>
      <c r="F10658" s="10" t="s">
        <v>2925</v>
      </c>
      <c r="G10658" s="10" t="s">
        <v>9998</v>
      </c>
      <c r="H10658" s="11">
        <v>41348</v>
      </c>
      <c r="I10658" s="10">
        <v>2013</v>
      </c>
      <c r="J10658" s="10" t="s">
        <v>46455</v>
      </c>
      <c r="K10658" s="10">
        <v>196</v>
      </c>
      <c r="L10658" s="10" t="s">
        <v>46669</v>
      </c>
      <c r="M10658" s="10">
        <v>1</v>
      </c>
      <c r="N10658" s="10" t="s">
        <v>46466</v>
      </c>
      <c r="O10658" s="10">
        <v>144</v>
      </c>
      <c r="P10658" s="10" t="s">
        <v>46670</v>
      </c>
      <c r="Q10658" s="10">
        <v>540</v>
      </c>
      <c r="R10658" s="10" t="s">
        <v>46478</v>
      </c>
      <c r="S10658" s="10" t="s">
        <v>1519</v>
      </c>
      <c r="T10658" s="10" t="s">
        <v>11332</v>
      </c>
    </row>
    <row r="10659" spans="1:20" ht="14.5" x14ac:dyDescent="0.35">
      <c r="A10659" s="10" t="s">
        <v>46671</v>
      </c>
      <c r="B10659" s="10" t="str">
        <f>"9783832532840"</f>
        <v>9783832532840</v>
      </c>
      <c r="C10659" s="10" t="str">
        <f>"9783832596590"</f>
        <v>9783832596590</v>
      </c>
      <c r="D10659" s="10" t="s">
        <v>46455</v>
      </c>
      <c r="E10659" s="10" t="s">
        <v>46455</v>
      </c>
      <c r="F10659" s="10" t="s">
        <v>2925</v>
      </c>
      <c r="G10659" s="10" t="s">
        <v>9998</v>
      </c>
      <c r="H10659" s="11">
        <v>41274</v>
      </c>
      <c r="I10659" s="10">
        <v>2012</v>
      </c>
      <c r="J10659" s="10" t="s">
        <v>46455</v>
      </c>
      <c r="K10659" s="10">
        <v>270</v>
      </c>
      <c r="L10659" s="10" t="s">
        <v>46672</v>
      </c>
      <c r="M10659" s="10">
        <v>1</v>
      </c>
      <c r="N10659" s="10" t="s">
        <v>46466</v>
      </c>
      <c r="O10659" s="10">
        <v>139</v>
      </c>
      <c r="P10659" s="10" t="s">
        <v>46673</v>
      </c>
      <c r="Q10659" s="10">
        <v>3.3</v>
      </c>
      <c r="R10659" s="10" t="s">
        <v>46674</v>
      </c>
      <c r="S10659" s="10" t="s">
        <v>1519</v>
      </c>
      <c r="T10659" s="10" t="s">
        <v>19959</v>
      </c>
    </row>
    <row r="10660" spans="1:20" ht="14.5" x14ac:dyDescent="0.35">
      <c r="A10660" s="10" t="s">
        <v>46675</v>
      </c>
      <c r="B10660" s="10" t="str">
        <f>"9783832535643"</f>
        <v>9783832535643</v>
      </c>
      <c r="C10660" s="10" t="str">
        <f>"9783832596002"</f>
        <v>9783832596002</v>
      </c>
      <c r="D10660" s="10" t="s">
        <v>46455</v>
      </c>
      <c r="E10660" s="10" t="s">
        <v>46455</v>
      </c>
      <c r="F10660" s="10" t="s">
        <v>2925</v>
      </c>
      <c r="G10660" s="10" t="s">
        <v>9998</v>
      </c>
      <c r="H10660" s="11">
        <v>41618</v>
      </c>
      <c r="I10660" s="10">
        <v>2013</v>
      </c>
      <c r="J10660" s="10" t="s">
        <v>46455</v>
      </c>
      <c r="K10660" s="10">
        <v>274</v>
      </c>
      <c r="L10660" s="10" t="s">
        <v>46676</v>
      </c>
      <c r="M10660" s="10">
        <v>1</v>
      </c>
      <c r="N10660" s="10" t="s">
        <v>46466</v>
      </c>
      <c r="O10660" s="10">
        <v>159</v>
      </c>
      <c r="P10660" s="10" t="s">
        <v>46677</v>
      </c>
      <c r="Q10660" s="10">
        <v>370.15230000000003</v>
      </c>
      <c r="R10660" s="10" t="s">
        <v>46678</v>
      </c>
      <c r="S10660" s="10" t="s">
        <v>1519</v>
      </c>
      <c r="T10660" s="10" t="s">
        <v>54</v>
      </c>
    </row>
    <row r="10661" spans="1:20" ht="14.5" x14ac:dyDescent="0.35">
      <c r="A10661" s="10" t="s">
        <v>46679</v>
      </c>
      <c r="B10661" s="10" t="str">
        <f>"9783832531980"</f>
        <v>9783832531980</v>
      </c>
      <c r="C10661" s="10" t="str">
        <f>"9783832596682"</f>
        <v>9783832596682</v>
      </c>
      <c r="D10661" s="10" t="s">
        <v>46455</v>
      </c>
      <c r="E10661" s="10" t="s">
        <v>46455</v>
      </c>
      <c r="F10661" s="10" t="s">
        <v>2925</v>
      </c>
      <c r="G10661" s="10" t="s">
        <v>9998</v>
      </c>
      <c r="H10661" s="11">
        <v>41218</v>
      </c>
      <c r="I10661" s="10">
        <v>2012</v>
      </c>
      <c r="J10661" s="10" t="s">
        <v>46455</v>
      </c>
      <c r="K10661" s="10">
        <v>368</v>
      </c>
      <c r="L10661" s="10" t="s">
        <v>46680</v>
      </c>
      <c r="M10661" s="10">
        <v>1</v>
      </c>
      <c r="N10661" s="10"/>
      <c r="O10661" s="10"/>
      <c r="P10661" s="10" t="s">
        <v>46681</v>
      </c>
      <c r="Q10661" s="10">
        <v>126</v>
      </c>
      <c r="R10661" s="10" t="s">
        <v>46682</v>
      </c>
      <c r="S10661" s="10" t="s">
        <v>1519</v>
      </c>
      <c r="T10661" s="10" t="s">
        <v>6534</v>
      </c>
    </row>
    <row r="10662" spans="1:20" ht="14.5" x14ac:dyDescent="0.35">
      <c r="A10662" s="10" t="s">
        <v>46683</v>
      </c>
      <c r="B10662" s="10" t="str">
        <f>"9783832536589"</f>
        <v>9783832536589</v>
      </c>
      <c r="C10662" s="10" t="str">
        <f>"9783832596095"</f>
        <v>9783832596095</v>
      </c>
      <c r="D10662" s="10" t="s">
        <v>46455</v>
      </c>
      <c r="E10662" s="10" t="s">
        <v>46455</v>
      </c>
      <c r="F10662" s="10" t="s">
        <v>2925</v>
      </c>
      <c r="G10662" s="10" t="s">
        <v>9998</v>
      </c>
      <c r="H10662" s="11">
        <v>41749</v>
      </c>
      <c r="I10662" s="10">
        <v>2014</v>
      </c>
      <c r="J10662" s="10" t="s">
        <v>46455</v>
      </c>
      <c r="K10662" s="10">
        <v>422</v>
      </c>
      <c r="L10662" s="10" t="s">
        <v>46684</v>
      </c>
      <c r="M10662" s="10">
        <v>1</v>
      </c>
      <c r="N10662" s="10" t="s">
        <v>46685</v>
      </c>
      <c r="O10662" s="10">
        <v>7</v>
      </c>
      <c r="P10662" s="10" t="s">
        <v>46686</v>
      </c>
      <c r="Q10662" s="10">
        <v>205</v>
      </c>
      <c r="R10662" s="10" t="s">
        <v>46687</v>
      </c>
      <c r="S10662" s="10" t="s">
        <v>1519</v>
      </c>
      <c r="T10662" s="10" t="s">
        <v>46688</v>
      </c>
    </row>
    <row r="10663" spans="1:20" ht="14.5" x14ac:dyDescent="0.35">
      <c r="A10663" s="10" t="s">
        <v>46689</v>
      </c>
      <c r="B10663" s="10" t="str">
        <f>"9783832533144"</f>
        <v>9783832533144</v>
      </c>
      <c r="C10663" s="10" t="str">
        <f>"9783832596507"</f>
        <v>9783832596507</v>
      </c>
      <c r="D10663" s="10" t="s">
        <v>46455</v>
      </c>
      <c r="E10663" s="10" t="s">
        <v>46455</v>
      </c>
      <c r="F10663" s="10" t="s">
        <v>2925</v>
      </c>
      <c r="G10663" s="10" t="s">
        <v>9998</v>
      </c>
      <c r="H10663" s="11">
        <v>41305</v>
      </c>
      <c r="I10663" s="10">
        <v>2012</v>
      </c>
      <c r="J10663" s="10" t="s">
        <v>46455</v>
      </c>
      <c r="K10663" s="10">
        <v>212</v>
      </c>
      <c r="L10663" s="10" t="s">
        <v>46690</v>
      </c>
      <c r="M10663" s="10">
        <v>1</v>
      </c>
      <c r="N10663" s="10" t="s">
        <v>46466</v>
      </c>
      <c r="O10663" s="10">
        <v>142</v>
      </c>
      <c r="P10663" s="10" t="s">
        <v>46691</v>
      </c>
      <c r="Q10663" s="10">
        <v>540.71</v>
      </c>
      <c r="R10663" s="10" t="s">
        <v>46645</v>
      </c>
      <c r="S10663" s="10" t="s">
        <v>1519</v>
      </c>
      <c r="T10663" s="10" t="s">
        <v>11332</v>
      </c>
    </row>
    <row r="10664" spans="1:20" ht="14.5" x14ac:dyDescent="0.35">
      <c r="A10664" s="10" t="s">
        <v>46692</v>
      </c>
      <c r="B10664" s="10" t="str">
        <f>"9783832539276"</f>
        <v>9783832539276</v>
      </c>
      <c r="C10664" s="10" t="str">
        <f>"9783832596378"</f>
        <v>9783832596378</v>
      </c>
      <c r="D10664" s="10" t="s">
        <v>46455</v>
      </c>
      <c r="E10664" s="10" t="s">
        <v>46455</v>
      </c>
      <c r="F10664" s="10" t="s">
        <v>2925</v>
      </c>
      <c r="G10664" s="10" t="s">
        <v>9998</v>
      </c>
      <c r="H10664" s="11">
        <v>42078</v>
      </c>
      <c r="I10664" s="10">
        <v>2015</v>
      </c>
      <c r="J10664" s="10" t="s">
        <v>46455</v>
      </c>
      <c r="K10664" s="10">
        <v>146</v>
      </c>
      <c r="L10664" s="10" t="s">
        <v>46693</v>
      </c>
      <c r="M10664" s="10">
        <v>1</v>
      </c>
      <c r="N10664" s="10" t="s">
        <v>46466</v>
      </c>
      <c r="O10664" s="10">
        <v>180</v>
      </c>
      <c r="P10664" s="10" t="s">
        <v>46694</v>
      </c>
      <c r="Q10664" s="10">
        <v>540.14</v>
      </c>
      <c r="R10664" s="10" t="s">
        <v>46695</v>
      </c>
      <c r="S10664" s="10" t="s">
        <v>1519</v>
      </c>
      <c r="T10664" s="10" t="s">
        <v>11298</v>
      </c>
    </row>
    <row r="10665" spans="1:20" ht="14.5" x14ac:dyDescent="0.35">
      <c r="A10665" s="10" t="s">
        <v>46696</v>
      </c>
      <c r="B10665" s="10" t="str">
        <f>"9783832534493"</f>
        <v>9783832534493</v>
      </c>
      <c r="C10665" s="10" t="str">
        <f>"9783832596200"</f>
        <v>9783832596200</v>
      </c>
      <c r="D10665" s="10" t="s">
        <v>46455</v>
      </c>
      <c r="E10665" s="10" t="s">
        <v>46455</v>
      </c>
      <c r="F10665" s="10" t="s">
        <v>2925</v>
      </c>
      <c r="G10665" s="10" t="s">
        <v>9998</v>
      </c>
      <c r="H10665" s="11">
        <v>41467</v>
      </c>
      <c r="I10665" s="10">
        <v>2013</v>
      </c>
      <c r="J10665" s="10" t="s">
        <v>46455</v>
      </c>
      <c r="K10665" s="10">
        <v>326</v>
      </c>
      <c r="L10665" s="10" t="s">
        <v>46697</v>
      </c>
      <c r="M10665" s="10">
        <v>1</v>
      </c>
      <c r="N10665" s="10" t="s">
        <v>46466</v>
      </c>
      <c r="O10665" s="10">
        <v>151</v>
      </c>
      <c r="P10665" s="10" t="s">
        <v>46698</v>
      </c>
      <c r="Q10665" s="10">
        <v>370.15199999999999</v>
      </c>
      <c r="R10665" s="10" t="s">
        <v>41006</v>
      </c>
      <c r="S10665" s="10" t="s">
        <v>1519</v>
      </c>
      <c r="T10665" s="10" t="s">
        <v>54</v>
      </c>
    </row>
    <row r="10666" spans="1:20" ht="14.5" x14ac:dyDescent="0.35">
      <c r="A10666" s="10" t="s">
        <v>46699</v>
      </c>
      <c r="B10666" s="10" t="str">
        <f>"9783832535193"</f>
        <v>9783832535193</v>
      </c>
      <c r="C10666" s="10" t="str">
        <f>"9783832596118"</f>
        <v>9783832596118</v>
      </c>
      <c r="D10666" s="10" t="s">
        <v>46455</v>
      </c>
      <c r="E10666" s="10" t="s">
        <v>46455</v>
      </c>
      <c r="F10666" s="10" t="s">
        <v>2925</v>
      </c>
      <c r="G10666" s="10" t="s">
        <v>9998</v>
      </c>
      <c r="H10666" s="11">
        <v>41603</v>
      </c>
      <c r="I10666" s="10">
        <v>2013</v>
      </c>
      <c r="J10666" s="10" t="s">
        <v>46455</v>
      </c>
      <c r="K10666" s="10">
        <v>252</v>
      </c>
      <c r="L10666" s="10" t="s">
        <v>46700</v>
      </c>
      <c r="M10666" s="10">
        <v>1</v>
      </c>
      <c r="N10666" s="10" t="s">
        <v>46466</v>
      </c>
      <c r="O10666" s="10">
        <v>155</v>
      </c>
      <c r="P10666" s="10" t="s">
        <v>46701</v>
      </c>
      <c r="Q10666" s="10">
        <v>1.4330000000000001</v>
      </c>
      <c r="R10666" s="10" t="s">
        <v>46702</v>
      </c>
      <c r="S10666" s="10" t="s">
        <v>1519</v>
      </c>
      <c r="T10666" s="10" t="s">
        <v>46703</v>
      </c>
    </row>
    <row r="10667" spans="1:20" ht="14.5" x14ac:dyDescent="0.35">
      <c r="A10667" s="10" t="s">
        <v>46704</v>
      </c>
      <c r="B10667" s="10" t="str">
        <f>"9783832534394"</f>
        <v>9783832534394</v>
      </c>
      <c r="C10667" s="10" t="str">
        <f>"9783832596194"</f>
        <v>9783832596194</v>
      </c>
      <c r="D10667" s="10" t="s">
        <v>46455</v>
      </c>
      <c r="E10667" s="10" t="s">
        <v>46455</v>
      </c>
      <c r="F10667" s="10" t="s">
        <v>2925</v>
      </c>
      <c r="G10667" s="10" t="s">
        <v>9998</v>
      </c>
      <c r="H10667" s="11">
        <v>41453</v>
      </c>
      <c r="I10667" s="10">
        <v>2012</v>
      </c>
      <c r="J10667" s="10" t="s">
        <v>46455</v>
      </c>
      <c r="K10667" s="10">
        <v>222</v>
      </c>
      <c r="L10667" s="10" t="s">
        <v>46705</v>
      </c>
      <c r="M10667" s="10">
        <v>1</v>
      </c>
      <c r="N10667" s="10" t="s">
        <v>46457</v>
      </c>
      <c r="O10667" s="10">
        <v>4</v>
      </c>
      <c r="P10667" s="10" t="s">
        <v>46706</v>
      </c>
      <c r="Q10667" s="10">
        <v>570</v>
      </c>
      <c r="R10667" s="10" t="s">
        <v>46707</v>
      </c>
      <c r="S10667" s="10" t="s">
        <v>1519</v>
      </c>
      <c r="T10667" s="10" t="s">
        <v>13819</v>
      </c>
    </row>
    <row r="10668" spans="1:20" ht="14.5" x14ac:dyDescent="0.35">
      <c r="A10668" s="10" t="s">
        <v>46708</v>
      </c>
      <c r="B10668" s="10" t="str">
        <f>"9783832534837"</f>
        <v>9783832534837</v>
      </c>
      <c r="C10668" s="10" t="str">
        <f>"9783832596149"</f>
        <v>9783832596149</v>
      </c>
      <c r="D10668" s="10" t="s">
        <v>46455</v>
      </c>
      <c r="E10668" s="10" t="s">
        <v>46455</v>
      </c>
      <c r="F10668" s="10" t="s">
        <v>2925</v>
      </c>
      <c r="G10668" s="10" t="s">
        <v>9998</v>
      </c>
      <c r="H10668" s="11">
        <v>41557</v>
      </c>
      <c r="I10668" s="10">
        <v>2013</v>
      </c>
      <c r="J10668" s="10" t="s">
        <v>46455</v>
      </c>
      <c r="K10668" s="10">
        <v>188</v>
      </c>
      <c r="L10668" s="10" t="s">
        <v>46709</v>
      </c>
      <c r="M10668" s="10">
        <v>1</v>
      </c>
      <c r="N10668" s="10" t="s">
        <v>46466</v>
      </c>
      <c r="O10668" s="10">
        <v>152</v>
      </c>
      <c r="P10668" s="10" t="s">
        <v>46710</v>
      </c>
      <c r="Q10668" s="10">
        <v>1.4</v>
      </c>
      <c r="R10668" s="10" t="s">
        <v>46711</v>
      </c>
      <c r="S10668" s="10" t="s">
        <v>1519</v>
      </c>
      <c r="T10668" s="10" t="s">
        <v>36226</v>
      </c>
    </row>
    <row r="10669" spans="1:20" ht="14.5" x14ac:dyDescent="0.35">
      <c r="A10669" s="10" t="s">
        <v>46712</v>
      </c>
      <c r="B10669" s="10" t="str">
        <f>"9783832533212"</f>
        <v>9783832533212</v>
      </c>
      <c r="C10669" s="10" t="str">
        <f>"9783832596453"</f>
        <v>9783832596453</v>
      </c>
      <c r="D10669" s="10" t="s">
        <v>46455</v>
      </c>
      <c r="E10669" s="10" t="s">
        <v>46455</v>
      </c>
      <c r="F10669" s="10" t="s">
        <v>2925</v>
      </c>
      <c r="G10669" s="10" t="s">
        <v>9998</v>
      </c>
      <c r="H10669" s="11">
        <v>41320</v>
      </c>
      <c r="I10669" s="10">
        <v>2013</v>
      </c>
      <c r="J10669" s="10" t="s">
        <v>46455</v>
      </c>
      <c r="K10669" s="10">
        <v>255</v>
      </c>
      <c r="L10669" s="10" t="s">
        <v>46713</v>
      </c>
      <c r="M10669" s="10">
        <v>1</v>
      </c>
      <c r="N10669" s="10" t="s">
        <v>46466</v>
      </c>
      <c r="O10669" s="10">
        <v>145</v>
      </c>
      <c r="P10669" s="10" t="s">
        <v>46714</v>
      </c>
      <c r="Q10669" s="10">
        <v>540.71</v>
      </c>
      <c r="R10669" s="10" t="s">
        <v>46645</v>
      </c>
      <c r="S10669" s="10" t="s">
        <v>1519</v>
      </c>
      <c r="T10669" s="10" t="s">
        <v>11332</v>
      </c>
    </row>
    <row r="10670" spans="1:20" ht="14.5" x14ac:dyDescent="0.35">
      <c r="A10670" s="10" t="s">
        <v>46715</v>
      </c>
      <c r="B10670" s="10" t="str">
        <f>"9783832533083"</f>
        <v>9783832533083</v>
      </c>
      <c r="C10670" s="10" t="str">
        <f>"9783832596408"</f>
        <v>9783832596408</v>
      </c>
      <c r="D10670" s="10" t="s">
        <v>46455</v>
      </c>
      <c r="E10670" s="10" t="s">
        <v>46455</v>
      </c>
      <c r="F10670" s="10" t="s">
        <v>2925</v>
      </c>
      <c r="G10670" s="10" t="s">
        <v>9998</v>
      </c>
      <c r="H10670" s="11">
        <v>41305</v>
      </c>
      <c r="I10670" s="10">
        <v>2012</v>
      </c>
      <c r="J10670" s="10" t="s">
        <v>46455</v>
      </c>
      <c r="K10670" s="10">
        <v>270</v>
      </c>
      <c r="L10670" s="10" t="s">
        <v>46716</v>
      </c>
      <c r="M10670" s="10">
        <v>1</v>
      </c>
      <c r="N10670" s="10"/>
      <c r="O10670" s="10"/>
      <c r="P10670" s="10" t="s">
        <v>46717</v>
      </c>
      <c r="Q10670" s="10">
        <v>371.334</v>
      </c>
      <c r="R10670" s="10" t="s">
        <v>28640</v>
      </c>
      <c r="S10670" s="10" t="s">
        <v>1519</v>
      </c>
      <c r="T10670" s="10" t="s">
        <v>54</v>
      </c>
    </row>
    <row r="10671" spans="1:20" ht="14.5" x14ac:dyDescent="0.35">
      <c r="A10671" s="10" t="s">
        <v>46718</v>
      </c>
      <c r="B10671" s="10" t="str">
        <f>"9783832532512"</f>
        <v>9783832532512</v>
      </c>
      <c r="C10671" s="10" t="str">
        <f>"9783832596538"</f>
        <v>9783832596538</v>
      </c>
      <c r="D10671" s="10" t="s">
        <v>46455</v>
      </c>
      <c r="E10671" s="10" t="s">
        <v>46455</v>
      </c>
      <c r="F10671" s="10" t="s">
        <v>2925</v>
      </c>
      <c r="G10671" s="10" t="s">
        <v>9998</v>
      </c>
      <c r="H10671" s="11">
        <v>41274</v>
      </c>
      <c r="I10671" s="10">
        <v>2012</v>
      </c>
      <c r="J10671" s="10" t="s">
        <v>46455</v>
      </c>
      <c r="K10671" s="10">
        <v>400</v>
      </c>
      <c r="L10671" s="10" t="s">
        <v>46719</v>
      </c>
      <c r="M10671" s="10">
        <v>1</v>
      </c>
      <c r="N10671" s="10" t="s">
        <v>46466</v>
      </c>
      <c r="O10671" s="10">
        <v>140</v>
      </c>
      <c r="P10671" s="10" t="s">
        <v>46720</v>
      </c>
      <c r="Q10671" s="10">
        <v>370.15230000000003</v>
      </c>
      <c r="R10671" s="10" t="s">
        <v>46721</v>
      </c>
      <c r="S10671" s="10" t="s">
        <v>1519</v>
      </c>
      <c r="T10671" s="10" t="s">
        <v>54</v>
      </c>
    </row>
    <row r="10672" spans="1:20" ht="14.5" x14ac:dyDescent="0.35">
      <c r="A10672" s="10" t="s">
        <v>46722</v>
      </c>
      <c r="B10672" s="10" t="str">
        <f>"9783832542481"</f>
        <v>9783832542481</v>
      </c>
      <c r="C10672" s="10" t="str">
        <f>"9783832596866"</f>
        <v>9783832596866</v>
      </c>
      <c r="D10672" s="10" t="s">
        <v>46455</v>
      </c>
      <c r="E10672" s="10" t="s">
        <v>46455</v>
      </c>
      <c r="F10672" s="10" t="s">
        <v>2925</v>
      </c>
      <c r="G10672" s="10" t="s">
        <v>9998</v>
      </c>
      <c r="H10672" s="11">
        <v>42505</v>
      </c>
      <c r="I10672" s="10">
        <v>2016</v>
      </c>
      <c r="J10672" s="10" t="s">
        <v>46455</v>
      </c>
      <c r="K10672" s="10">
        <v>181</v>
      </c>
      <c r="L10672" s="10" t="s">
        <v>46723</v>
      </c>
      <c r="M10672" s="10">
        <v>1</v>
      </c>
      <c r="N10672" s="10" t="s">
        <v>46466</v>
      </c>
      <c r="O10672" s="10">
        <v>201</v>
      </c>
      <c r="P10672" s="10" t="s">
        <v>46724</v>
      </c>
      <c r="Q10672" s="10">
        <v>370.71100000000001</v>
      </c>
      <c r="R10672" s="10" t="s">
        <v>46596</v>
      </c>
      <c r="S10672" s="10" t="s">
        <v>1519</v>
      </c>
      <c r="T10672" s="10" t="s">
        <v>54</v>
      </c>
    </row>
    <row r="10673" spans="1:20" ht="14.5" x14ac:dyDescent="0.35">
      <c r="A10673" s="10" t="s">
        <v>46725</v>
      </c>
      <c r="B10673" s="10" t="str">
        <f>"9783832532130"</f>
        <v>9783832532130</v>
      </c>
      <c r="C10673" s="10" t="str">
        <f>"9783832596842"</f>
        <v>9783832596842</v>
      </c>
      <c r="D10673" s="10" t="s">
        <v>46455</v>
      </c>
      <c r="E10673" s="10" t="s">
        <v>46455</v>
      </c>
      <c r="F10673" s="10" t="s">
        <v>2925</v>
      </c>
      <c r="G10673" s="10" t="s">
        <v>9998</v>
      </c>
      <c r="H10673" s="11">
        <v>41162</v>
      </c>
      <c r="I10673" s="10">
        <v>2012</v>
      </c>
      <c r="J10673" s="10" t="s">
        <v>46455</v>
      </c>
      <c r="K10673" s="10">
        <v>300</v>
      </c>
      <c r="L10673" s="10" t="s">
        <v>46726</v>
      </c>
      <c r="M10673" s="10">
        <v>1</v>
      </c>
      <c r="N10673" s="10" t="s">
        <v>46466</v>
      </c>
      <c r="O10673" s="10">
        <v>134</v>
      </c>
      <c r="P10673" s="10" t="s">
        <v>46727</v>
      </c>
      <c r="Q10673" s="10">
        <v>507.1</v>
      </c>
      <c r="R10673" s="10" t="s">
        <v>33559</v>
      </c>
      <c r="S10673" s="10" t="s">
        <v>1519</v>
      </c>
      <c r="T10673" s="10" t="s">
        <v>7193</v>
      </c>
    </row>
    <row r="10674" spans="1:20" ht="14.5" x14ac:dyDescent="0.35">
      <c r="A10674" s="10" t="s">
        <v>46728</v>
      </c>
      <c r="B10674" s="10" t="str">
        <f>"9783832532758"</f>
        <v>9783832532758</v>
      </c>
      <c r="C10674" s="10" t="str">
        <f>"9783832596620"</f>
        <v>9783832596620</v>
      </c>
      <c r="D10674" s="10" t="s">
        <v>46455</v>
      </c>
      <c r="E10674" s="10" t="s">
        <v>46455</v>
      </c>
      <c r="F10674" s="10" t="s">
        <v>2925</v>
      </c>
      <c r="G10674" s="10" t="s">
        <v>9998</v>
      </c>
      <c r="H10674" s="11">
        <v>41258</v>
      </c>
      <c r="I10674" s="10">
        <v>2012</v>
      </c>
      <c r="J10674" s="10" t="s">
        <v>46455</v>
      </c>
      <c r="K10674" s="10">
        <v>283</v>
      </c>
      <c r="L10674" s="10" t="s">
        <v>46729</v>
      </c>
      <c r="M10674" s="10">
        <v>1</v>
      </c>
      <c r="N10674" s="10" t="s">
        <v>46466</v>
      </c>
      <c r="O10674" s="10">
        <v>137</v>
      </c>
      <c r="P10674" s="10" t="s">
        <v>46730</v>
      </c>
      <c r="Q10674" s="10">
        <v>536.70000000000005</v>
      </c>
      <c r="R10674" s="10" t="s">
        <v>46731</v>
      </c>
      <c r="S10674" s="10" t="s">
        <v>1519</v>
      </c>
      <c r="T10674" s="10" t="s">
        <v>46732</v>
      </c>
    </row>
    <row r="10675" spans="1:20" ht="14.5" x14ac:dyDescent="0.35">
      <c r="A10675" s="10" t="s">
        <v>46733</v>
      </c>
      <c r="B10675" s="10" t="str">
        <f>"9783832529871"</f>
        <v>9783832529871</v>
      </c>
      <c r="C10675" s="10" t="str">
        <f>"9783832596873"</f>
        <v>9783832596873</v>
      </c>
      <c r="D10675" s="10" t="s">
        <v>46455</v>
      </c>
      <c r="E10675" s="10" t="s">
        <v>46455</v>
      </c>
      <c r="F10675" s="10" t="s">
        <v>2925</v>
      </c>
      <c r="G10675" s="10" t="s">
        <v>9998</v>
      </c>
      <c r="H10675" s="11">
        <v>41064</v>
      </c>
      <c r="I10675" s="10">
        <v>2012</v>
      </c>
      <c r="J10675" s="10" t="s">
        <v>46455</v>
      </c>
      <c r="K10675" s="10">
        <v>774</v>
      </c>
      <c r="L10675" s="10" t="s">
        <v>46734</v>
      </c>
      <c r="M10675" s="10">
        <v>1</v>
      </c>
      <c r="N10675" s="10"/>
      <c r="O10675" s="10"/>
      <c r="P10675" s="10" t="s">
        <v>46735</v>
      </c>
      <c r="Q10675" s="10">
        <v>335.83</v>
      </c>
      <c r="R10675" s="10" t="s">
        <v>46736</v>
      </c>
      <c r="S10675" s="10" t="s">
        <v>1519</v>
      </c>
      <c r="T10675" s="10" t="s">
        <v>46737</v>
      </c>
    </row>
    <row r="10676" spans="1:20" ht="14.5" x14ac:dyDescent="0.35">
      <c r="A10676" s="10" t="s">
        <v>46738</v>
      </c>
      <c r="B10676" s="10" t="str">
        <f>"9781945349010"</f>
        <v>9781945349010</v>
      </c>
      <c r="C10676" s="10" t="str">
        <f>"9781945349027"</f>
        <v>9781945349027</v>
      </c>
      <c r="D10676" s="10" t="s">
        <v>37580</v>
      </c>
      <c r="E10676" s="10" t="s">
        <v>37581</v>
      </c>
      <c r="F10676" s="10" t="s">
        <v>37623</v>
      </c>
      <c r="G10676" s="10" t="s">
        <v>6317</v>
      </c>
      <c r="H10676" s="11">
        <v>43131</v>
      </c>
      <c r="I10676" s="10">
        <v>2018</v>
      </c>
      <c r="J10676" s="10" t="s">
        <v>37581</v>
      </c>
      <c r="K10676" s="10">
        <v>240</v>
      </c>
      <c r="L10676" s="10" t="s">
        <v>46739</v>
      </c>
      <c r="M10676" s="10">
        <v>1</v>
      </c>
      <c r="N10676" s="10"/>
      <c r="O10676" s="10"/>
      <c r="P10676" s="10"/>
      <c r="Q10676" s="10"/>
      <c r="R10676" s="10" t="s">
        <v>46740</v>
      </c>
      <c r="S10676" s="10" t="s">
        <v>53</v>
      </c>
      <c r="T10676" s="10" t="s">
        <v>54</v>
      </c>
    </row>
    <row r="10677" spans="1:20" ht="14.5" x14ac:dyDescent="0.35">
      <c r="A10677" s="10" t="s">
        <v>46741</v>
      </c>
      <c r="B10677" s="10" t="str">
        <f>"9781945349324"</f>
        <v>9781945349324</v>
      </c>
      <c r="C10677" s="10" t="str">
        <f>"9781945349331"</f>
        <v>9781945349331</v>
      </c>
      <c r="D10677" s="10" t="s">
        <v>37580</v>
      </c>
      <c r="E10677" s="10" t="s">
        <v>37581</v>
      </c>
      <c r="F10677" s="10" t="s">
        <v>37623</v>
      </c>
      <c r="G10677" s="10" t="s">
        <v>6317</v>
      </c>
      <c r="H10677" s="11">
        <v>43125</v>
      </c>
      <c r="I10677" s="10">
        <v>2018</v>
      </c>
      <c r="J10677" s="10" t="s">
        <v>37581</v>
      </c>
      <c r="K10677" s="10">
        <v>184</v>
      </c>
      <c r="L10677" s="10" t="s">
        <v>46742</v>
      </c>
      <c r="M10677" s="10">
        <v>1</v>
      </c>
      <c r="N10677" s="10" t="s">
        <v>37586</v>
      </c>
      <c r="O10677" s="10"/>
      <c r="P10677" s="10"/>
      <c r="Q10677" s="10"/>
      <c r="R10677" s="10"/>
      <c r="S10677" s="10" t="s">
        <v>53</v>
      </c>
      <c r="T10677" s="10" t="s">
        <v>54</v>
      </c>
    </row>
    <row r="10678" spans="1:20" ht="14.5" x14ac:dyDescent="0.35">
      <c r="A10678" s="10" t="s">
        <v>46743</v>
      </c>
      <c r="B10678" s="10" t="str">
        <f>"9781138509405"</f>
        <v>9781138509405</v>
      </c>
      <c r="C10678" s="10" t="str">
        <f>"9781351291668"</f>
        <v>9781351291668</v>
      </c>
      <c r="D10678" s="10" t="s">
        <v>6350</v>
      </c>
      <c r="E10678" s="10" t="s">
        <v>6351</v>
      </c>
      <c r="F10678" s="10" t="s">
        <v>748</v>
      </c>
      <c r="G10678" s="10" t="s">
        <v>6352</v>
      </c>
      <c r="H10678" s="11">
        <v>35399</v>
      </c>
      <c r="I10678" s="10">
        <v>1997</v>
      </c>
      <c r="J10678" s="10" t="s">
        <v>6351</v>
      </c>
      <c r="K10678" s="10">
        <v>218</v>
      </c>
      <c r="L10678" s="10" t="s">
        <v>46744</v>
      </c>
      <c r="M10678" s="10">
        <v>1</v>
      </c>
      <c r="N10678" s="10"/>
      <c r="O10678" s="10"/>
      <c r="P10678" s="10" t="s">
        <v>46745</v>
      </c>
      <c r="Q10678" s="10" t="s">
        <v>46746</v>
      </c>
      <c r="R10678" s="10" t="s">
        <v>46747</v>
      </c>
      <c r="S10678" s="10" t="s">
        <v>53</v>
      </c>
      <c r="T10678" s="10" t="s">
        <v>8368</v>
      </c>
    </row>
    <row r="10679" spans="1:20" ht="14.5" x14ac:dyDescent="0.35">
      <c r="A10679" s="10" t="s">
        <v>46748</v>
      </c>
      <c r="B10679" s="10" t="str">
        <f>"9781475831832"</f>
        <v>9781475831832</v>
      </c>
      <c r="C10679" s="10" t="str">
        <f>"9781475831849"</f>
        <v>9781475831849</v>
      </c>
      <c r="D10679" s="10" t="s">
        <v>9752</v>
      </c>
      <c r="E10679" s="10" t="s">
        <v>15187</v>
      </c>
      <c r="F10679" s="10" t="s">
        <v>9754</v>
      </c>
      <c r="G10679" s="10" t="s">
        <v>6317</v>
      </c>
      <c r="H10679" s="11">
        <v>43047</v>
      </c>
      <c r="I10679" s="10">
        <v>2017</v>
      </c>
      <c r="J10679" s="10" t="s">
        <v>15187</v>
      </c>
      <c r="K10679" s="10">
        <v>161</v>
      </c>
      <c r="L10679" s="10" t="s">
        <v>46749</v>
      </c>
      <c r="M10679" s="10">
        <v>1</v>
      </c>
      <c r="N10679" s="10" t="s">
        <v>46750</v>
      </c>
      <c r="O10679" s="10"/>
      <c r="P10679" s="10" t="s">
        <v>46751</v>
      </c>
      <c r="Q10679" s="10">
        <v>370.15230000000003</v>
      </c>
      <c r="R10679" s="10" t="s">
        <v>17506</v>
      </c>
      <c r="S10679" s="10" t="s">
        <v>53</v>
      </c>
      <c r="T10679" s="10" t="s">
        <v>54</v>
      </c>
    </row>
    <row r="10680" spans="1:20" ht="14.5" x14ac:dyDescent="0.35">
      <c r="A10680" s="10" t="s">
        <v>46752</v>
      </c>
      <c r="B10680" s="10" t="str">
        <f>"9781946684080"</f>
        <v>9781946684080</v>
      </c>
      <c r="C10680" s="10" t="str">
        <f>"9781946684110"</f>
        <v>9781946684110</v>
      </c>
      <c r="D10680" s="10" t="s">
        <v>38760</v>
      </c>
      <c r="E10680" s="10" t="s">
        <v>38760</v>
      </c>
      <c r="F10680" s="10" t="s">
        <v>5426</v>
      </c>
      <c r="G10680" s="10" t="s">
        <v>6317</v>
      </c>
      <c r="H10680" s="11">
        <v>43101</v>
      </c>
      <c r="I10680" s="10">
        <v>2018</v>
      </c>
      <c r="J10680" s="10" t="s">
        <v>38760</v>
      </c>
      <c r="K10680" s="10">
        <v>258</v>
      </c>
      <c r="L10680" s="10" t="s">
        <v>46753</v>
      </c>
      <c r="M10680" s="10">
        <v>1</v>
      </c>
      <c r="N10680" s="10" t="s">
        <v>43013</v>
      </c>
      <c r="O10680" s="10"/>
      <c r="P10680" s="10" t="s">
        <v>46754</v>
      </c>
      <c r="Q10680" s="10"/>
      <c r="R10680" s="10"/>
      <c r="S10680" s="10" t="s">
        <v>53</v>
      </c>
      <c r="T10680" s="10" t="s">
        <v>1166</v>
      </c>
    </row>
    <row r="10681" spans="1:20" ht="14.5" x14ac:dyDescent="0.35">
      <c r="A10681" s="10" t="s">
        <v>46755</v>
      </c>
      <c r="B10681" s="10" t="str">
        <f>"9783832538118"</f>
        <v>9783832538118</v>
      </c>
      <c r="C10681" s="10" t="str">
        <f>"9783832595234"</f>
        <v>9783832595234</v>
      </c>
      <c r="D10681" s="10" t="s">
        <v>46455</v>
      </c>
      <c r="E10681" s="10" t="s">
        <v>46455</v>
      </c>
      <c r="F10681" s="10" t="s">
        <v>2925</v>
      </c>
      <c r="G10681" s="10" t="s">
        <v>9998</v>
      </c>
      <c r="H10681" s="11">
        <v>41996</v>
      </c>
      <c r="I10681" s="10">
        <v>2014</v>
      </c>
      <c r="J10681" s="10" t="s">
        <v>46455</v>
      </c>
      <c r="K10681" s="10">
        <v>382</v>
      </c>
      <c r="L10681" s="10" t="s">
        <v>46756</v>
      </c>
      <c r="M10681" s="10">
        <v>1</v>
      </c>
      <c r="N10681" s="10"/>
      <c r="O10681" s="10"/>
      <c r="P10681" s="10" t="s">
        <v>46757</v>
      </c>
      <c r="Q10681" s="10">
        <v>371.39</v>
      </c>
      <c r="R10681" s="10" t="s">
        <v>46758</v>
      </c>
      <c r="S10681" s="10" t="s">
        <v>53</v>
      </c>
      <c r="T10681" s="10" t="s">
        <v>54</v>
      </c>
    </row>
    <row r="10682" spans="1:20" ht="14.5" x14ac:dyDescent="0.35">
      <c r="A10682" s="10" t="s">
        <v>46759</v>
      </c>
      <c r="B10682" s="10" t="str">
        <f>"9783832537777"</f>
        <v>9783832537777</v>
      </c>
      <c r="C10682" s="10" t="str">
        <f>"9783832595531"</f>
        <v>9783832595531</v>
      </c>
      <c r="D10682" s="10" t="s">
        <v>46455</v>
      </c>
      <c r="E10682" s="10" t="s">
        <v>46455</v>
      </c>
      <c r="F10682" s="10" t="s">
        <v>2925</v>
      </c>
      <c r="G10682" s="10" t="s">
        <v>9998</v>
      </c>
      <c r="H10682" s="11">
        <v>41866</v>
      </c>
      <c r="I10682" s="10">
        <v>2014</v>
      </c>
      <c r="J10682" s="10" t="s">
        <v>46455</v>
      </c>
      <c r="K10682" s="10">
        <v>107</v>
      </c>
      <c r="L10682" s="10" t="s">
        <v>46760</v>
      </c>
      <c r="M10682" s="10">
        <v>1</v>
      </c>
      <c r="N10682" s="10" t="s">
        <v>46761</v>
      </c>
      <c r="O10682" s="10">
        <v>68</v>
      </c>
      <c r="P10682" s="10" t="s">
        <v>46762</v>
      </c>
      <c r="Q10682" s="10">
        <v>370.11700000000002</v>
      </c>
      <c r="R10682" s="10" t="s">
        <v>7957</v>
      </c>
      <c r="S10682" s="10" t="s">
        <v>1519</v>
      </c>
      <c r="T10682" s="10" t="s">
        <v>54</v>
      </c>
    </row>
    <row r="10683" spans="1:20" ht="14.5" x14ac:dyDescent="0.35">
      <c r="A10683" s="10" t="s">
        <v>46763</v>
      </c>
      <c r="B10683" s="10" t="str">
        <f>"9783832537852"</f>
        <v>9783832537852</v>
      </c>
      <c r="C10683" s="10" t="str">
        <f>"9783832595784"</f>
        <v>9783832595784</v>
      </c>
      <c r="D10683" s="10" t="s">
        <v>46455</v>
      </c>
      <c r="E10683" s="10" t="s">
        <v>46455</v>
      </c>
      <c r="F10683" s="10" t="s">
        <v>2925</v>
      </c>
      <c r="G10683" s="10" t="s">
        <v>9998</v>
      </c>
      <c r="H10683" s="11">
        <v>41892</v>
      </c>
      <c r="I10683" s="10">
        <v>2014</v>
      </c>
      <c r="J10683" s="10" t="s">
        <v>46455</v>
      </c>
      <c r="K10683" s="10">
        <v>254</v>
      </c>
      <c r="L10683" s="10" t="s">
        <v>46764</v>
      </c>
      <c r="M10683" s="10">
        <v>1</v>
      </c>
      <c r="N10683" s="10" t="s">
        <v>46466</v>
      </c>
      <c r="O10683" s="10">
        <v>171</v>
      </c>
      <c r="P10683" s="10" t="s">
        <v>46765</v>
      </c>
      <c r="Q10683" s="10">
        <v>1.4339999999999999</v>
      </c>
      <c r="R10683" s="10" t="s">
        <v>46766</v>
      </c>
      <c r="S10683" s="10" t="s">
        <v>1519</v>
      </c>
      <c r="T10683" s="10" t="s">
        <v>36226</v>
      </c>
    </row>
    <row r="10684" spans="1:20" ht="14.5" x14ac:dyDescent="0.35">
      <c r="A10684" s="10" t="s">
        <v>46767</v>
      </c>
      <c r="B10684" s="10" t="str">
        <f>"9783832537173"</f>
        <v>9783832537173</v>
      </c>
      <c r="C10684" s="10" t="str">
        <f>"9783832595616"</f>
        <v>9783832595616</v>
      </c>
      <c r="D10684" s="10" t="s">
        <v>46455</v>
      </c>
      <c r="E10684" s="10" t="s">
        <v>46455</v>
      </c>
      <c r="F10684" s="10" t="s">
        <v>2925</v>
      </c>
      <c r="G10684" s="10" t="s">
        <v>9998</v>
      </c>
      <c r="H10684" s="11">
        <v>41805</v>
      </c>
      <c r="I10684" s="10">
        <v>2014</v>
      </c>
      <c r="J10684" s="10" t="s">
        <v>46455</v>
      </c>
      <c r="K10684" s="10">
        <v>226</v>
      </c>
      <c r="L10684" s="10" t="s">
        <v>46768</v>
      </c>
      <c r="M10684" s="10">
        <v>1</v>
      </c>
      <c r="N10684" s="10" t="s">
        <v>46466</v>
      </c>
      <c r="O10684" s="10">
        <v>168</v>
      </c>
      <c r="P10684" s="10" t="s">
        <v>46769</v>
      </c>
      <c r="Q10684" s="10">
        <v>530.07100000000003</v>
      </c>
      <c r="R10684" s="10" t="s">
        <v>46770</v>
      </c>
      <c r="S10684" s="10" t="s">
        <v>1519</v>
      </c>
      <c r="T10684" s="10" t="s">
        <v>11108</v>
      </c>
    </row>
    <row r="10685" spans="1:20" ht="14.5" x14ac:dyDescent="0.35">
      <c r="A10685" s="10" t="s">
        <v>46771</v>
      </c>
      <c r="B10685" s="10" t="str">
        <f>"9783832537159"</f>
        <v>9783832537159</v>
      </c>
      <c r="C10685" s="10" t="str">
        <f>"9783832595678"</f>
        <v>9783832595678</v>
      </c>
      <c r="D10685" s="10" t="s">
        <v>46455</v>
      </c>
      <c r="E10685" s="10" t="s">
        <v>46455</v>
      </c>
      <c r="F10685" s="10" t="s">
        <v>2925</v>
      </c>
      <c r="G10685" s="10" t="s">
        <v>9998</v>
      </c>
      <c r="H10685" s="11">
        <v>41789</v>
      </c>
      <c r="I10685" s="10">
        <v>2014</v>
      </c>
      <c r="J10685" s="10" t="s">
        <v>46455</v>
      </c>
      <c r="K10685" s="10">
        <v>226</v>
      </c>
      <c r="L10685" s="10" t="s">
        <v>46772</v>
      </c>
      <c r="M10685" s="10">
        <v>1</v>
      </c>
      <c r="N10685" s="10" t="s">
        <v>46466</v>
      </c>
      <c r="O10685" s="10">
        <v>167</v>
      </c>
      <c r="P10685" s="10" t="s">
        <v>46773</v>
      </c>
      <c r="Q10685" s="10">
        <v>530.07100000000003</v>
      </c>
      <c r="R10685" s="10" t="s">
        <v>46774</v>
      </c>
      <c r="S10685" s="10" t="s">
        <v>1519</v>
      </c>
      <c r="T10685" s="10" t="s">
        <v>11578</v>
      </c>
    </row>
    <row r="10686" spans="1:20" ht="14.5" x14ac:dyDescent="0.35">
      <c r="A10686" s="10" t="s">
        <v>46775</v>
      </c>
      <c r="B10686" s="10" t="str">
        <f>"9783832537272"</f>
        <v>9783832537272</v>
      </c>
      <c r="C10686" s="10" t="str">
        <f>"9783832595746"</f>
        <v>9783832595746</v>
      </c>
      <c r="D10686" s="10" t="s">
        <v>46455</v>
      </c>
      <c r="E10686" s="10" t="s">
        <v>46455</v>
      </c>
      <c r="F10686" s="10" t="s">
        <v>2925</v>
      </c>
      <c r="G10686" s="10" t="s">
        <v>9998</v>
      </c>
      <c r="H10686" s="11">
        <v>41820</v>
      </c>
      <c r="I10686" s="10">
        <v>2014</v>
      </c>
      <c r="J10686" s="10" t="s">
        <v>46455</v>
      </c>
      <c r="K10686" s="10">
        <v>292</v>
      </c>
      <c r="L10686" s="10" t="s">
        <v>46776</v>
      </c>
      <c r="M10686" s="10">
        <v>1</v>
      </c>
      <c r="N10686" s="10" t="s">
        <v>46466</v>
      </c>
      <c r="O10686" s="10">
        <v>169</v>
      </c>
      <c r="P10686" s="10" t="s">
        <v>46777</v>
      </c>
      <c r="Q10686" s="10">
        <v>540.71199999999999</v>
      </c>
      <c r="R10686" s="10" t="s">
        <v>46778</v>
      </c>
      <c r="S10686" s="10" t="s">
        <v>1519</v>
      </c>
      <c r="T10686" s="10" t="s">
        <v>11332</v>
      </c>
    </row>
    <row r="10687" spans="1:20" ht="14.5" x14ac:dyDescent="0.35">
      <c r="A10687" s="10" t="s">
        <v>46779</v>
      </c>
      <c r="B10687" s="10" t="str">
        <f>"9783832538460"</f>
        <v>9783832538460</v>
      </c>
      <c r="C10687" s="10" t="str">
        <f>"9783832595395"</f>
        <v>9783832595395</v>
      </c>
      <c r="D10687" s="10" t="s">
        <v>46455</v>
      </c>
      <c r="E10687" s="10" t="s">
        <v>46455</v>
      </c>
      <c r="F10687" s="10" t="s">
        <v>2925</v>
      </c>
      <c r="G10687" s="10" t="s">
        <v>9998</v>
      </c>
      <c r="H10687" s="11">
        <v>41993</v>
      </c>
      <c r="I10687" s="10">
        <v>2014</v>
      </c>
      <c r="J10687" s="10" t="s">
        <v>46455</v>
      </c>
      <c r="K10687" s="10">
        <v>598</v>
      </c>
      <c r="L10687" s="10" t="s">
        <v>46780</v>
      </c>
      <c r="M10687" s="10">
        <v>1</v>
      </c>
      <c r="N10687" s="10" t="s">
        <v>46466</v>
      </c>
      <c r="O10687" s="10">
        <v>174</v>
      </c>
      <c r="P10687" s="10" t="s">
        <v>46781</v>
      </c>
      <c r="Q10687" s="10">
        <v>370.71100000000001</v>
      </c>
      <c r="R10687" s="10" t="s">
        <v>46596</v>
      </c>
      <c r="S10687" s="10" t="s">
        <v>1519</v>
      </c>
      <c r="T10687" s="10" t="s">
        <v>54</v>
      </c>
    </row>
    <row r="10688" spans="1:20" ht="14.5" x14ac:dyDescent="0.35">
      <c r="A10688" s="10" t="s">
        <v>46782</v>
      </c>
      <c r="B10688" s="10" t="str">
        <f>"9783832536312"</f>
        <v>9783832536312</v>
      </c>
      <c r="C10688" s="10" t="str">
        <f>"9783832595920"</f>
        <v>9783832595920</v>
      </c>
      <c r="D10688" s="10" t="s">
        <v>46455</v>
      </c>
      <c r="E10688" s="10" t="s">
        <v>46455</v>
      </c>
      <c r="F10688" s="10" t="s">
        <v>2925</v>
      </c>
      <c r="G10688" s="10" t="s">
        <v>9998</v>
      </c>
      <c r="H10688" s="11">
        <v>41685</v>
      </c>
      <c r="I10688" s="10">
        <v>2014</v>
      </c>
      <c r="J10688" s="10" t="s">
        <v>46455</v>
      </c>
      <c r="K10688" s="10">
        <v>136</v>
      </c>
      <c r="L10688" s="10" t="s">
        <v>46783</v>
      </c>
      <c r="M10688" s="10">
        <v>1</v>
      </c>
      <c r="N10688" s="10" t="s">
        <v>46466</v>
      </c>
      <c r="O10688" s="10">
        <v>162</v>
      </c>
      <c r="P10688" s="10" t="s">
        <v>46784</v>
      </c>
      <c r="Q10688" s="10">
        <v>540.71</v>
      </c>
      <c r="R10688" s="10" t="s">
        <v>46645</v>
      </c>
      <c r="S10688" s="10" t="s">
        <v>1519</v>
      </c>
      <c r="T10688" s="10" t="s">
        <v>11298</v>
      </c>
    </row>
    <row r="10689" spans="1:20" ht="14.5" x14ac:dyDescent="0.35">
      <c r="A10689" s="10" t="s">
        <v>46785</v>
      </c>
      <c r="B10689" s="10" t="str">
        <f>"9783832536091"</f>
        <v>9783832536091</v>
      </c>
      <c r="C10689" s="10" t="str">
        <f>"9783832595968"</f>
        <v>9783832595968</v>
      </c>
      <c r="D10689" s="10" t="s">
        <v>46455</v>
      </c>
      <c r="E10689" s="10" t="s">
        <v>46455</v>
      </c>
      <c r="F10689" s="10" t="s">
        <v>2925</v>
      </c>
      <c r="G10689" s="10" t="s">
        <v>9998</v>
      </c>
      <c r="H10689" s="11">
        <v>41666</v>
      </c>
      <c r="I10689" s="10">
        <v>2013</v>
      </c>
      <c r="J10689" s="10" t="s">
        <v>46455</v>
      </c>
      <c r="K10689" s="10">
        <v>260</v>
      </c>
      <c r="L10689" s="10" t="s">
        <v>46786</v>
      </c>
      <c r="M10689" s="10">
        <v>1</v>
      </c>
      <c r="N10689" s="10" t="s">
        <v>46655</v>
      </c>
      <c r="O10689" s="10">
        <v>21</v>
      </c>
      <c r="P10689" s="10" t="s">
        <v>46787</v>
      </c>
      <c r="Q10689" s="10">
        <v>370.15199999999999</v>
      </c>
      <c r="R10689" s="10" t="s">
        <v>46788</v>
      </c>
      <c r="S10689" s="10" t="s">
        <v>1519</v>
      </c>
      <c r="T10689" s="10" t="s">
        <v>54</v>
      </c>
    </row>
    <row r="10690" spans="1:20" ht="14.5" x14ac:dyDescent="0.35">
      <c r="A10690" s="10" t="s">
        <v>46789</v>
      </c>
      <c r="B10690" s="10" t="str">
        <f>"9783832535827"</f>
        <v>9783832535827</v>
      </c>
      <c r="C10690" s="10" t="str">
        <f>"9783832595876"</f>
        <v>9783832595876</v>
      </c>
      <c r="D10690" s="10" t="s">
        <v>46455</v>
      </c>
      <c r="E10690" s="10" t="s">
        <v>46455</v>
      </c>
      <c r="F10690" s="10" t="s">
        <v>2925</v>
      </c>
      <c r="G10690" s="10" t="s">
        <v>9998</v>
      </c>
      <c r="H10690" s="11">
        <v>41628</v>
      </c>
      <c r="I10690" s="10">
        <v>2013</v>
      </c>
      <c r="J10690" s="10" t="s">
        <v>46455</v>
      </c>
      <c r="K10690" s="10">
        <v>300</v>
      </c>
      <c r="L10690" s="10" t="s">
        <v>46790</v>
      </c>
      <c r="M10690" s="10">
        <v>1</v>
      </c>
      <c r="N10690" s="10" t="s">
        <v>46466</v>
      </c>
      <c r="O10690" s="10">
        <v>160</v>
      </c>
      <c r="P10690" s="10" t="s">
        <v>46791</v>
      </c>
      <c r="Q10690" s="10">
        <v>371.33465999999999</v>
      </c>
      <c r="R10690" s="10" t="s">
        <v>46792</v>
      </c>
      <c r="S10690" s="10" t="s">
        <v>1519</v>
      </c>
      <c r="T10690" s="10" t="s">
        <v>54</v>
      </c>
    </row>
    <row r="10691" spans="1:20" ht="14.5" x14ac:dyDescent="0.35">
      <c r="A10691" s="10" t="s">
        <v>46793</v>
      </c>
      <c r="B10691" s="10" t="str">
        <f>"9783832536596"</f>
        <v>9783832536596</v>
      </c>
      <c r="C10691" s="10" t="str">
        <f>"9783832595869"</f>
        <v>9783832595869</v>
      </c>
      <c r="D10691" s="10" t="s">
        <v>46455</v>
      </c>
      <c r="E10691" s="10" t="s">
        <v>46455</v>
      </c>
      <c r="F10691" s="10" t="s">
        <v>2925</v>
      </c>
      <c r="G10691" s="10" t="s">
        <v>9998</v>
      </c>
      <c r="H10691" s="11">
        <v>41711</v>
      </c>
      <c r="I10691" s="10">
        <v>2014</v>
      </c>
      <c r="J10691" s="10" t="s">
        <v>46455</v>
      </c>
      <c r="K10691" s="10">
        <v>118</v>
      </c>
      <c r="L10691" s="10" t="s">
        <v>46794</v>
      </c>
      <c r="M10691" s="10">
        <v>1</v>
      </c>
      <c r="N10691" s="10" t="s">
        <v>46457</v>
      </c>
      <c r="O10691" s="10">
        <v>7</v>
      </c>
      <c r="P10691" s="10" t="s">
        <v>46795</v>
      </c>
      <c r="Q10691" s="10">
        <v>570.71</v>
      </c>
      <c r="R10691" s="10" t="s">
        <v>46796</v>
      </c>
      <c r="S10691" s="10" t="s">
        <v>1519</v>
      </c>
      <c r="T10691" s="10" t="s">
        <v>13819</v>
      </c>
    </row>
    <row r="10692" spans="1:20" ht="14.5" x14ac:dyDescent="0.35">
      <c r="A10692" s="10" t="s">
        <v>46797</v>
      </c>
      <c r="B10692" s="10" t="str">
        <f>"9783832536015"</f>
        <v>9783832536015</v>
      </c>
      <c r="C10692" s="10" t="str">
        <f>"9783832595944"</f>
        <v>9783832595944</v>
      </c>
      <c r="D10692" s="10" t="s">
        <v>46455</v>
      </c>
      <c r="E10692" s="10" t="s">
        <v>46455</v>
      </c>
      <c r="F10692" s="10" t="s">
        <v>2925</v>
      </c>
      <c r="G10692" s="10" t="s">
        <v>9998</v>
      </c>
      <c r="H10692" s="11">
        <v>41639</v>
      </c>
      <c r="I10692" s="10">
        <v>2013</v>
      </c>
      <c r="J10692" s="10" t="s">
        <v>46455</v>
      </c>
      <c r="K10692" s="10">
        <v>162</v>
      </c>
      <c r="L10692" s="10" t="s">
        <v>46798</v>
      </c>
      <c r="M10692" s="10">
        <v>1</v>
      </c>
      <c r="N10692" s="10" t="s">
        <v>46466</v>
      </c>
      <c r="O10692" s="10">
        <v>161</v>
      </c>
      <c r="P10692" s="10" t="s">
        <v>46799</v>
      </c>
      <c r="Q10692" s="10">
        <v>153.9</v>
      </c>
      <c r="R10692" s="10" t="s">
        <v>46800</v>
      </c>
      <c r="S10692" s="10" t="s">
        <v>1519</v>
      </c>
      <c r="T10692" s="10" t="s">
        <v>483</v>
      </c>
    </row>
    <row r="10693" spans="1:20" ht="14.5" x14ac:dyDescent="0.35">
      <c r="A10693" s="10" t="s">
        <v>46801</v>
      </c>
      <c r="B10693" s="10" t="str">
        <f>"9783832539153"</f>
        <v>9783832539153</v>
      </c>
      <c r="C10693" s="10" t="str">
        <f>"9783832595197"</f>
        <v>9783832595197</v>
      </c>
      <c r="D10693" s="10" t="s">
        <v>46455</v>
      </c>
      <c r="E10693" s="10" t="s">
        <v>46455</v>
      </c>
      <c r="F10693" s="10" t="s">
        <v>2925</v>
      </c>
      <c r="G10693" s="10" t="s">
        <v>9998</v>
      </c>
      <c r="H10693" s="11">
        <v>42078</v>
      </c>
      <c r="I10693" s="10">
        <v>2015</v>
      </c>
      <c r="J10693" s="10" t="s">
        <v>46455</v>
      </c>
      <c r="K10693" s="10">
        <v>180</v>
      </c>
      <c r="L10693" s="10" t="s">
        <v>46802</v>
      </c>
      <c r="M10693" s="10">
        <v>1</v>
      </c>
      <c r="N10693" s="10" t="s">
        <v>46466</v>
      </c>
      <c r="O10693" s="10">
        <v>179</v>
      </c>
      <c r="P10693" s="10" t="s">
        <v>46803</v>
      </c>
      <c r="Q10693" s="10">
        <v>530.07100000000003</v>
      </c>
      <c r="R10693" s="10" t="s">
        <v>46804</v>
      </c>
      <c r="S10693" s="10" t="s">
        <v>1519</v>
      </c>
      <c r="T10693" s="10" t="s">
        <v>11578</v>
      </c>
    </row>
    <row r="10694" spans="1:20" ht="14.5" x14ac:dyDescent="0.35">
      <c r="A10694" s="10" t="s">
        <v>46805</v>
      </c>
      <c r="B10694" s="10" t="str">
        <f>"9783832536985"</f>
        <v>9783832536985</v>
      </c>
      <c r="C10694" s="10" t="str">
        <f>"9783832595791"</f>
        <v>9783832595791</v>
      </c>
      <c r="D10694" s="10" t="s">
        <v>46455</v>
      </c>
      <c r="E10694" s="10" t="s">
        <v>46455</v>
      </c>
      <c r="F10694" s="10" t="s">
        <v>2925</v>
      </c>
      <c r="G10694" s="10" t="s">
        <v>9998</v>
      </c>
      <c r="H10694" s="11">
        <v>41774</v>
      </c>
      <c r="I10694" s="10">
        <v>2014</v>
      </c>
      <c r="J10694" s="10" t="s">
        <v>46455</v>
      </c>
      <c r="K10694" s="10">
        <v>302</v>
      </c>
      <c r="L10694" s="10" t="s">
        <v>46806</v>
      </c>
      <c r="M10694" s="10">
        <v>1</v>
      </c>
      <c r="N10694" s="10" t="s">
        <v>46466</v>
      </c>
      <c r="O10694" s="10">
        <v>165</v>
      </c>
      <c r="P10694" s="10" t="s">
        <v>46807</v>
      </c>
      <c r="Q10694" s="10">
        <v>370.71100000000001</v>
      </c>
      <c r="R10694" s="10" t="s">
        <v>46596</v>
      </c>
      <c r="S10694" s="10" t="s">
        <v>1519</v>
      </c>
      <c r="T10694" s="10" t="s">
        <v>54</v>
      </c>
    </row>
    <row r="10695" spans="1:20" ht="14.5" x14ac:dyDescent="0.35">
      <c r="A10695" s="10" t="s">
        <v>46808</v>
      </c>
      <c r="B10695" s="10" t="str">
        <f>"9783832538590"</f>
        <v>9783832538590</v>
      </c>
      <c r="C10695" s="10" t="str">
        <f>"9783832595425"</f>
        <v>9783832595425</v>
      </c>
      <c r="D10695" s="10" t="s">
        <v>46455</v>
      </c>
      <c r="E10695" s="10" t="s">
        <v>46455</v>
      </c>
      <c r="F10695" s="10" t="s">
        <v>2925</v>
      </c>
      <c r="G10695" s="10" t="s">
        <v>9998</v>
      </c>
      <c r="H10695" s="11">
        <v>41993</v>
      </c>
      <c r="I10695" s="10">
        <v>2014</v>
      </c>
      <c r="J10695" s="10" t="s">
        <v>46455</v>
      </c>
      <c r="K10695" s="10">
        <v>206</v>
      </c>
      <c r="L10695" s="10" t="s">
        <v>46809</v>
      </c>
      <c r="M10695" s="10">
        <v>1</v>
      </c>
      <c r="N10695" s="10" t="s">
        <v>46466</v>
      </c>
      <c r="O10695" s="10">
        <v>175</v>
      </c>
      <c r="P10695" s="10" t="s">
        <v>46810</v>
      </c>
      <c r="Q10695" s="10">
        <v>658.31240000000003</v>
      </c>
      <c r="R10695" s="10" t="s">
        <v>46811</v>
      </c>
      <c r="S10695" s="10" t="s">
        <v>1519</v>
      </c>
      <c r="T10695" s="10" t="s">
        <v>6660</v>
      </c>
    </row>
    <row r="10696" spans="1:20" ht="14.5" x14ac:dyDescent="0.35">
      <c r="A10696" s="10" t="s">
        <v>46812</v>
      </c>
      <c r="B10696" s="10" t="str">
        <f>"9783832537630"</f>
        <v>9783832537630</v>
      </c>
      <c r="C10696" s="10" t="str">
        <f>"9783832595579"</f>
        <v>9783832595579</v>
      </c>
      <c r="D10696" s="10" t="s">
        <v>46455</v>
      </c>
      <c r="E10696" s="10" t="s">
        <v>46455</v>
      </c>
      <c r="F10696" s="10" t="s">
        <v>2925</v>
      </c>
      <c r="G10696" s="10" t="s">
        <v>9998</v>
      </c>
      <c r="H10696" s="11">
        <v>41866</v>
      </c>
      <c r="I10696" s="10">
        <v>2014</v>
      </c>
      <c r="J10696" s="10" t="s">
        <v>46455</v>
      </c>
      <c r="K10696" s="10">
        <v>84</v>
      </c>
      <c r="L10696" s="10" t="s">
        <v>46813</v>
      </c>
      <c r="M10696" s="10">
        <v>1</v>
      </c>
      <c r="N10696" s="10" t="s">
        <v>46761</v>
      </c>
      <c r="O10696" s="10">
        <v>67</v>
      </c>
      <c r="P10696" s="10" t="s">
        <v>46814</v>
      </c>
      <c r="Q10696" s="10">
        <v>370.11750000000001</v>
      </c>
      <c r="R10696" s="10" t="s">
        <v>46815</v>
      </c>
      <c r="S10696" s="10" t="s">
        <v>1519</v>
      </c>
      <c r="T10696" s="10" t="s">
        <v>54</v>
      </c>
    </row>
    <row r="10697" spans="1:20" ht="14.5" x14ac:dyDescent="0.35">
      <c r="A10697" s="10" t="s">
        <v>46816</v>
      </c>
      <c r="B10697" s="10" t="str">
        <f>"9783832536817"</f>
        <v>9783832536817</v>
      </c>
      <c r="C10697" s="10" t="str">
        <f>"9783832595845"</f>
        <v>9783832595845</v>
      </c>
      <c r="D10697" s="10" t="s">
        <v>46455</v>
      </c>
      <c r="E10697" s="10" t="s">
        <v>46455</v>
      </c>
      <c r="F10697" s="10" t="s">
        <v>2925</v>
      </c>
      <c r="G10697" s="10" t="s">
        <v>9998</v>
      </c>
      <c r="H10697" s="11">
        <v>41759</v>
      </c>
      <c r="I10697" s="10">
        <v>2014</v>
      </c>
      <c r="J10697" s="10" t="s">
        <v>46455</v>
      </c>
      <c r="K10697" s="10">
        <v>272</v>
      </c>
      <c r="L10697" s="10" t="s">
        <v>46817</v>
      </c>
      <c r="M10697" s="10">
        <v>1</v>
      </c>
      <c r="N10697" s="10" t="s">
        <v>46466</v>
      </c>
      <c r="O10697" s="10">
        <v>164</v>
      </c>
      <c r="P10697" s="10" t="s">
        <v>46818</v>
      </c>
      <c r="Q10697" s="10">
        <v>530.07100000000003</v>
      </c>
      <c r="R10697" s="10" t="s">
        <v>46774</v>
      </c>
      <c r="S10697" s="10" t="s">
        <v>1519</v>
      </c>
      <c r="T10697" s="10" t="s">
        <v>11108</v>
      </c>
    </row>
    <row r="10698" spans="1:20" ht="14.5" x14ac:dyDescent="0.35">
      <c r="A10698" s="10" t="s">
        <v>46819</v>
      </c>
      <c r="B10698" s="10" t="str">
        <f>"9783832536657"</f>
        <v>9783832536657</v>
      </c>
      <c r="C10698" s="10" t="str">
        <f>"9783832595463"</f>
        <v>9783832595463</v>
      </c>
      <c r="D10698" s="10" t="s">
        <v>46455</v>
      </c>
      <c r="E10698" s="10" t="s">
        <v>46455</v>
      </c>
      <c r="F10698" s="10" t="s">
        <v>2925</v>
      </c>
      <c r="G10698" s="10" t="s">
        <v>9998</v>
      </c>
      <c r="H10698" s="11">
        <v>41881</v>
      </c>
      <c r="I10698" s="10">
        <v>2014</v>
      </c>
      <c r="J10698" s="10" t="s">
        <v>46455</v>
      </c>
      <c r="K10698" s="10">
        <v>208</v>
      </c>
      <c r="L10698" s="10" t="s">
        <v>46820</v>
      </c>
      <c r="M10698" s="10">
        <v>1</v>
      </c>
      <c r="N10698" s="10" t="s">
        <v>46761</v>
      </c>
      <c r="O10698" s="10">
        <v>65</v>
      </c>
      <c r="P10698" s="10" t="s">
        <v>46821</v>
      </c>
      <c r="Q10698" s="10">
        <v>393</v>
      </c>
      <c r="R10698" s="10" t="s">
        <v>46822</v>
      </c>
      <c r="S10698" s="10" t="s">
        <v>1519</v>
      </c>
      <c r="T10698" s="10" t="s">
        <v>6363</v>
      </c>
    </row>
    <row r="10699" spans="1:20" ht="14.5" x14ac:dyDescent="0.35">
      <c r="A10699" s="10" t="s">
        <v>46823</v>
      </c>
      <c r="B10699" s="10" t="str">
        <f>"9783832537364"</f>
        <v>9783832537364</v>
      </c>
      <c r="C10699" s="10" t="str">
        <f>"9783832595623"</f>
        <v>9783832595623</v>
      </c>
      <c r="D10699" s="10" t="s">
        <v>46455</v>
      </c>
      <c r="E10699" s="10" t="s">
        <v>46455</v>
      </c>
      <c r="F10699" s="10" t="s">
        <v>2925</v>
      </c>
      <c r="G10699" s="10" t="s">
        <v>9998</v>
      </c>
      <c r="H10699" s="11">
        <v>41838</v>
      </c>
      <c r="I10699" s="10">
        <v>2014</v>
      </c>
      <c r="J10699" s="10" t="s">
        <v>46455</v>
      </c>
      <c r="K10699" s="10">
        <v>424</v>
      </c>
      <c r="L10699" s="10" t="s">
        <v>46824</v>
      </c>
      <c r="M10699" s="10">
        <v>1</v>
      </c>
      <c r="N10699" s="10"/>
      <c r="O10699" s="10"/>
      <c r="P10699" s="10" t="s">
        <v>46825</v>
      </c>
      <c r="Q10699" s="10">
        <v>615.85149999999999</v>
      </c>
      <c r="R10699" s="10" t="s">
        <v>46826</v>
      </c>
      <c r="S10699" s="10" t="s">
        <v>1519</v>
      </c>
      <c r="T10699" s="10" t="s">
        <v>8625</v>
      </c>
    </row>
    <row r="10700" spans="1:20" ht="14.5" x14ac:dyDescent="0.35">
      <c r="A10700" s="10" t="s">
        <v>46827</v>
      </c>
      <c r="B10700" s="10" t="str">
        <f>"9783832539887"</f>
        <v>9783832539887</v>
      </c>
      <c r="C10700" s="10" t="str">
        <f>"9783832595067"</f>
        <v>9783832595067</v>
      </c>
      <c r="D10700" s="10" t="s">
        <v>46455</v>
      </c>
      <c r="E10700" s="10" t="s">
        <v>46455</v>
      </c>
      <c r="F10700" s="10" t="s">
        <v>2925</v>
      </c>
      <c r="G10700" s="10" t="s">
        <v>9998</v>
      </c>
      <c r="H10700" s="11">
        <v>42170</v>
      </c>
      <c r="I10700" s="10">
        <v>2015</v>
      </c>
      <c r="J10700" s="10" t="s">
        <v>46455</v>
      </c>
      <c r="K10700" s="10">
        <v>458</v>
      </c>
      <c r="L10700" s="10" t="s">
        <v>46828</v>
      </c>
      <c r="M10700" s="10">
        <v>1</v>
      </c>
      <c r="N10700" s="10" t="s">
        <v>46466</v>
      </c>
      <c r="O10700" s="10">
        <v>185</v>
      </c>
      <c r="P10700" s="10" t="s">
        <v>46829</v>
      </c>
      <c r="Q10700" s="10">
        <v>530.0711</v>
      </c>
      <c r="R10700" s="10" t="s">
        <v>46830</v>
      </c>
      <c r="S10700" s="10" t="s">
        <v>1519</v>
      </c>
      <c r="T10700" s="10" t="s">
        <v>11578</v>
      </c>
    </row>
    <row r="10701" spans="1:20" ht="14.5" x14ac:dyDescent="0.35">
      <c r="A10701" s="10" t="s">
        <v>46831</v>
      </c>
      <c r="B10701" s="10" t="str">
        <f>"9783832539078"</f>
        <v>9783832539078</v>
      </c>
      <c r="C10701" s="10" t="str">
        <f>"9783832595180"</f>
        <v>9783832595180</v>
      </c>
      <c r="D10701" s="10" t="s">
        <v>46455</v>
      </c>
      <c r="E10701" s="10" t="s">
        <v>46455</v>
      </c>
      <c r="F10701" s="10" t="s">
        <v>2925</v>
      </c>
      <c r="G10701" s="10" t="s">
        <v>9998</v>
      </c>
      <c r="H10701" s="11">
        <v>42063</v>
      </c>
      <c r="I10701" s="10">
        <v>2015</v>
      </c>
      <c r="J10701" s="10" t="s">
        <v>46455</v>
      </c>
      <c r="K10701" s="10">
        <v>248</v>
      </c>
      <c r="L10701" s="10" t="s">
        <v>46832</v>
      </c>
      <c r="M10701" s="10">
        <v>1</v>
      </c>
      <c r="N10701" s="10" t="s">
        <v>46466</v>
      </c>
      <c r="O10701" s="10">
        <v>178</v>
      </c>
      <c r="P10701" s="10" t="s">
        <v>46833</v>
      </c>
      <c r="Q10701" s="10">
        <v>370.71100000000001</v>
      </c>
      <c r="R10701" s="10" t="s">
        <v>46834</v>
      </c>
      <c r="S10701" s="10" t="s">
        <v>1519</v>
      </c>
      <c r="T10701" s="10" t="s">
        <v>54</v>
      </c>
    </row>
    <row r="10702" spans="1:20" ht="14.5" x14ac:dyDescent="0.35">
      <c r="A10702" s="10" t="s">
        <v>46835</v>
      </c>
      <c r="B10702" s="10" t="str">
        <f>"9781138552326"</f>
        <v>9781138552326</v>
      </c>
      <c r="C10702" s="10" t="str">
        <f>"9781351374439"</f>
        <v>9781351374439</v>
      </c>
      <c r="D10702" s="10" t="s">
        <v>6350</v>
      </c>
      <c r="E10702" s="10" t="s">
        <v>6351</v>
      </c>
      <c r="F10702" s="10" t="s">
        <v>3967</v>
      </c>
      <c r="G10702" s="10" t="s">
        <v>6352</v>
      </c>
      <c r="H10702" s="11">
        <v>43069</v>
      </c>
      <c r="I10702" s="10">
        <v>2018</v>
      </c>
      <c r="J10702" s="10" t="s">
        <v>6353</v>
      </c>
      <c r="K10702" s="10">
        <v>185</v>
      </c>
      <c r="L10702" s="10" t="s">
        <v>46836</v>
      </c>
      <c r="M10702" s="10">
        <v>1</v>
      </c>
      <c r="N10702" s="10"/>
      <c r="O10702" s="10"/>
      <c r="P10702" s="10" t="s">
        <v>46837</v>
      </c>
      <c r="Q10702" s="10">
        <v>370.97300000000001</v>
      </c>
      <c r="R10702" s="10" t="s">
        <v>46838</v>
      </c>
      <c r="S10702" s="10" t="s">
        <v>53</v>
      </c>
      <c r="T10702" s="10" t="s">
        <v>54</v>
      </c>
    </row>
    <row r="10703" spans="1:20" ht="14.5" x14ac:dyDescent="0.35">
      <c r="A10703" s="10" t="s">
        <v>46839</v>
      </c>
      <c r="B10703" s="10" t="str">
        <f>"9781787543560"</f>
        <v>9781787543560</v>
      </c>
      <c r="C10703" s="10" t="str">
        <f>"9781787543539"</f>
        <v>9781787543539</v>
      </c>
      <c r="D10703" s="10" t="s">
        <v>8699</v>
      </c>
      <c r="E10703" s="10" t="s">
        <v>8699</v>
      </c>
      <c r="F10703" s="10" t="s">
        <v>559</v>
      </c>
      <c r="G10703" s="10" t="s">
        <v>6352</v>
      </c>
      <c r="H10703" s="11">
        <v>43210</v>
      </c>
      <c r="I10703" s="10">
        <v>2018</v>
      </c>
      <c r="J10703" s="10" t="s">
        <v>8699</v>
      </c>
      <c r="K10703" s="10">
        <v>130</v>
      </c>
      <c r="L10703" s="10" t="s">
        <v>45590</v>
      </c>
      <c r="M10703" s="10">
        <v>1</v>
      </c>
      <c r="N10703" s="10" t="s">
        <v>46840</v>
      </c>
      <c r="O10703" s="10"/>
      <c r="P10703" s="10" t="s">
        <v>46841</v>
      </c>
      <c r="Q10703" s="10">
        <v>300</v>
      </c>
      <c r="R10703" s="10" t="s">
        <v>46842</v>
      </c>
      <c r="S10703" s="10" t="s">
        <v>53</v>
      </c>
      <c r="T10703" s="10" t="s">
        <v>6363</v>
      </c>
    </row>
    <row r="10704" spans="1:20" ht="14.5" x14ac:dyDescent="0.35">
      <c r="A10704" s="10" t="s">
        <v>46843</v>
      </c>
      <c r="B10704" s="10" t="str">
        <f>"9781472948960"</f>
        <v>9781472948960</v>
      </c>
      <c r="C10704" s="10" t="str">
        <f>"9781472948953"</f>
        <v>9781472948953</v>
      </c>
      <c r="D10704" s="10" t="s">
        <v>13959</v>
      </c>
      <c r="E10704" s="10" t="s">
        <v>13960</v>
      </c>
      <c r="F10704" s="10" t="s">
        <v>139</v>
      </c>
      <c r="G10704" s="10" t="s">
        <v>6352</v>
      </c>
      <c r="H10704" s="11">
        <v>43167</v>
      </c>
      <c r="I10704" s="10">
        <v>2018</v>
      </c>
      <c r="J10704" s="10" t="s">
        <v>16948</v>
      </c>
      <c r="K10704" s="10">
        <v>145</v>
      </c>
      <c r="L10704" s="10" t="s">
        <v>19830</v>
      </c>
      <c r="M10704" s="10">
        <v>1</v>
      </c>
      <c r="N10704" s="10"/>
      <c r="O10704" s="10"/>
      <c r="P10704" s="10" t="s">
        <v>46844</v>
      </c>
      <c r="Q10704" s="10">
        <v>371.10199999999998</v>
      </c>
      <c r="R10704" s="10" t="s">
        <v>46845</v>
      </c>
      <c r="S10704" s="10" t="s">
        <v>53</v>
      </c>
      <c r="T10704" s="10" t="s">
        <v>54</v>
      </c>
    </row>
    <row r="10705" spans="1:20" ht="14.5" x14ac:dyDescent="0.35">
      <c r="A10705" s="10" t="s">
        <v>46846</v>
      </c>
      <c r="B10705" s="10" t="str">
        <f>"9781785921759"</f>
        <v>9781785921759</v>
      </c>
      <c r="C10705" s="10" t="str">
        <f>"9781784504465"</f>
        <v>9781784504465</v>
      </c>
      <c r="D10705" s="10" t="s">
        <v>10516</v>
      </c>
      <c r="E10705" s="10" t="s">
        <v>10516</v>
      </c>
      <c r="F10705" s="10" t="s">
        <v>139</v>
      </c>
      <c r="G10705" s="10" t="s">
        <v>6352</v>
      </c>
      <c r="H10705" s="11">
        <v>43152</v>
      </c>
      <c r="I10705" s="10">
        <v>2018</v>
      </c>
      <c r="J10705" s="10" t="s">
        <v>10516</v>
      </c>
      <c r="K10705" s="10">
        <v>210</v>
      </c>
      <c r="L10705" s="10" t="s">
        <v>46847</v>
      </c>
      <c r="M10705" s="10">
        <v>1</v>
      </c>
      <c r="N10705" s="10"/>
      <c r="O10705" s="10"/>
      <c r="P10705" s="10" t="s">
        <v>46848</v>
      </c>
      <c r="Q10705" s="10">
        <v>372.21</v>
      </c>
      <c r="R10705" s="10"/>
      <c r="S10705" s="10" t="s">
        <v>53</v>
      </c>
      <c r="T10705" s="10" t="s">
        <v>54</v>
      </c>
    </row>
    <row r="10706" spans="1:20" ht="14.5" x14ac:dyDescent="0.35">
      <c r="A10706" s="10" t="s">
        <v>46849</v>
      </c>
      <c r="B10706" s="10" t="str">
        <f>"9781416625353"</f>
        <v>9781416625353</v>
      </c>
      <c r="C10706" s="10" t="str">
        <f>"9781416625377"</f>
        <v>9781416625377</v>
      </c>
      <c r="D10706" s="10" t="s">
        <v>10014</v>
      </c>
      <c r="E10706" s="10" t="s">
        <v>10015</v>
      </c>
      <c r="F10706" s="10" t="s">
        <v>201</v>
      </c>
      <c r="G10706" s="10" t="s">
        <v>6317</v>
      </c>
      <c r="H10706" s="11">
        <v>42765</v>
      </c>
      <c r="I10706" s="10">
        <v>2018</v>
      </c>
      <c r="J10706" s="10" t="s">
        <v>10015</v>
      </c>
      <c r="K10706" s="10">
        <v>184</v>
      </c>
      <c r="L10706" s="10" t="s">
        <v>46850</v>
      </c>
      <c r="M10706" s="10">
        <v>1</v>
      </c>
      <c r="N10706" s="10"/>
      <c r="O10706" s="10"/>
      <c r="P10706" s="10" t="s">
        <v>46851</v>
      </c>
      <c r="Q10706" s="10" t="s">
        <v>46852</v>
      </c>
      <c r="R10706" s="10" t="s">
        <v>46853</v>
      </c>
      <c r="S10706" s="10" t="s">
        <v>53</v>
      </c>
      <c r="T10706" s="10" t="s">
        <v>54</v>
      </c>
    </row>
    <row r="10707" spans="1:20" ht="14.5" x14ac:dyDescent="0.35">
      <c r="A10707" s="10" t="s">
        <v>46854</v>
      </c>
      <c r="B10707" s="10" t="str">
        <f>"9781416625278"</f>
        <v>9781416625278</v>
      </c>
      <c r="C10707" s="10" t="str">
        <f>"9781416625292"</f>
        <v>9781416625292</v>
      </c>
      <c r="D10707" s="10" t="s">
        <v>10014</v>
      </c>
      <c r="E10707" s="10" t="s">
        <v>10015</v>
      </c>
      <c r="F10707" s="10" t="s">
        <v>201</v>
      </c>
      <c r="G10707" s="10" t="s">
        <v>6317</v>
      </c>
      <c r="H10707" s="11">
        <v>42765</v>
      </c>
      <c r="I10707" s="10">
        <v>2018</v>
      </c>
      <c r="J10707" s="10" t="s">
        <v>10015</v>
      </c>
      <c r="K10707" s="10">
        <v>208</v>
      </c>
      <c r="L10707" s="10" t="s">
        <v>46855</v>
      </c>
      <c r="M10707" s="10">
        <v>1</v>
      </c>
      <c r="N10707" s="10"/>
      <c r="O10707" s="10"/>
      <c r="P10707" s="10" t="s">
        <v>46856</v>
      </c>
      <c r="Q10707" s="10" t="s">
        <v>10940</v>
      </c>
      <c r="R10707" s="10" t="s">
        <v>46857</v>
      </c>
      <c r="S10707" s="10" t="s">
        <v>53</v>
      </c>
      <c r="T10707" s="10" t="s">
        <v>54</v>
      </c>
    </row>
    <row r="10708" spans="1:20" ht="14.5" x14ac:dyDescent="0.35">
      <c r="A10708" s="10" t="s">
        <v>46858</v>
      </c>
      <c r="B10708" s="10" t="str">
        <f>"9781416624974"</f>
        <v>9781416624974</v>
      </c>
      <c r="C10708" s="10" t="str">
        <f>"9781416624998"</f>
        <v>9781416624998</v>
      </c>
      <c r="D10708" s="10" t="s">
        <v>10014</v>
      </c>
      <c r="E10708" s="10" t="s">
        <v>10015</v>
      </c>
      <c r="F10708" s="10" t="s">
        <v>201</v>
      </c>
      <c r="G10708" s="10" t="s">
        <v>6317</v>
      </c>
      <c r="H10708" s="11">
        <v>43102</v>
      </c>
      <c r="I10708" s="10">
        <v>2018</v>
      </c>
      <c r="J10708" s="10" t="s">
        <v>10015</v>
      </c>
      <c r="K10708" s="10">
        <v>179</v>
      </c>
      <c r="L10708" s="10" t="s">
        <v>46859</v>
      </c>
      <c r="M10708" s="10">
        <v>1</v>
      </c>
      <c r="N10708" s="10"/>
      <c r="O10708" s="10"/>
      <c r="P10708" s="10" t="s">
        <v>46860</v>
      </c>
      <c r="Q10708" s="10">
        <v>371.2</v>
      </c>
      <c r="R10708" s="10" t="s">
        <v>46861</v>
      </c>
      <c r="S10708" s="10" t="s">
        <v>53</v>
      </c>
      <c r="T10708" s="10" t="s">
        <v>54</v>
      </c>
    </row>
    <row r="10709" spans="1:20" ht="14.5" x14ac:dyDescent="0.35">
      <c r="A10709" s="10" t="s">
        <v>46862</v>
      </c>
      <c r="B10709" s="10" t="str">
        <f>"9781475840537"</f>
        <v>9781475840537</v>
      </c>
      <c r="C10709" s="10" t="str">
        <f>"9781475840544"</f>
        <v>9781475840544</v>
      </c>
      <c r="D10709" s="10" t="s">
        <v>9752</v>
      </c>
      <c r="E10709" s="10" t="s">
        <v>15187</v>
      </c>
      <c r="F10709" s="10" t="s">
        <v>9754</v>
      </c>
      <c r="G10709" s="10" t="s">
        <v>6317</v>
      </c>
      <c r="H10709" s="11">
        <v>43133</v>
      </c>
      <c r="I10709" s="10">
        <v>2018</v>
      </c>
      <c r="J10709" s="10" t="s">
        <v>15187</v>
      </c>
      <c r="K10709" s="10">
        <v>145</v>
      </c>
      <c r="L10709" s="10" t="s">
        <v>46863</v>
      </c>
      <c r="M10709" s="10">
        <v>1</v>
      </c>
      <c r="N10709" s="10"/>
      <c r="O10709" s="10"/>
      <c r="P10709" s="10" t="s">
        <v>46864</v>
      </c>
      <c r="Q10709" s="10">
        <v>378.19799999999998</v>
      </c>
      <c r="R10709" s="10" t="s">
        <v>46865</v>
      </c>
      <c r="S10709" s="10" t="s">
        <v>53</v>
      </c>
      <c r="T10709" s="10" t="s">
        <v>54</v>
      </c>
    </row>
    <row r="10710" spans="1:20" ht="14.5" x14ac:dyDescent="0.35">
      <c r="A10710" s="10" t="s">
        <v>46866</v>
      </c>
      <c r="B10710" s="10" t="str">
        <f>"9780813594200"</f>
        <v>9780813594200</v>
      </c>
      <c r="C10710" s="10" t="str">
        <f>"9780813594231"</f>
        <v>9780813594231</v>
      </c>
      <c r="D10710" s="10" t="s">
        <v>12251</v>
      </c>
      <c r="E10710" s="10" t="s">
        <v>12251</v>
      </c>
      <c r="F10710" s="10" t="s">
        <v>12451</v>
      </c>
      <c r="G10710" s="10" t="s">
        <v>6317</v>
      </c>
      <c r="H10710" s="11">
        <v>43146</v>
      </c>
      <c r="I10710" s="10">
        <v>2018</v>
      </c>
      <c r="J10710" s="10" t="s">
        <v>12251</v>
      </c>
      <c r="K10710" s="10">
        <v>208</v>
      </c>
      <c r="L10710" s="10" t="s">
        <v>46867</v>
      </c>
      <c r="M10710" s="10">
        <v>1</v>
      </c>
      <c r="N10710" s="10"/>
      <c r="O10710" s="10"/>
      <c r="P10710" s="10" t="s">
        <v>46868</v>
      </c>
      <c r="Q10710" s="10">
        <v>378.173</v>
      </c>
      <c r="R10710" s="10"/>
      <c r="S10710" s="10" t="s">
        <v>53</v>
      </c>
      <c r="T10710" s="10" t="s">
        <v>54</v>
      </c>
    </row>
    <row r="10711" spans="1:20" ht="14.5" x14ac:dyDescent="0.35">
      <c r="A10711" s="10" t="s">
        <v>46869</v>
      </c>
      <c r="B10711" s="10" t="str">
        <f>"9781474270472"</f>
        <v>9781474270472</v>
      </c>
      <c r="C10711" s="10" t="str">
        <f>"9781474270496"</f>
        <v>9781474270496</v>
      </c>
      <c r="D10711" s="10" t="s">
        <v>13959</v>
      </c>
      <c r="E10711" s="10" t="s">
        <v>13960</v>
      </c>
      <c r="F10711" s="10" t="s">
        <v>139</v>
      </c>
      <c r="G10711" s="10" t="s">
        <v>6352</v>
      </c>
      <c r="H10711" s="11">
        <v>43153</v>
      </c>
      <c r="I10711" s="10">
        <v>2018</v>
      </c>
      <c r="J10711" s="10" t="s">
        <v>14057</v>
      </c>
      <c r="K10711" s="10">
        <v>298</v>
      </c>
      <c r="L10711" s="10" t="s">
        <v>46870</v>
      </c>
      <c r="M10711" s="10">
        <v>1</v>
      </c>
      <c r="N10711" s="10"/>
      <c r="O10711" s="10"/>
      <c r="P10711" s="10" t="s">
        <v>46871</v>
      </c>
      <c r="Q10711" s="10">
        <v>378.12</v>
      </c>
      <c r="R10711" s="10" t="s">
        <v>33442</v>
      </c>
      <c r="S10711" s="10" t="s">
        <v>53</v>
      </c>
      <c r="T10711" s="10" t="s">
        <v>54</v>
      </c>
    </row>
    <row r="10712" spans="1:20" ht="14.5" x14ac:dyDescent="0.35">
      <c r="A10712" s="10" t="s">
        <v>46872</v>
      </c>
      <c r="B10712" s="10" t="str">
        <f>"9780884693123"</f>
        <v>9780884693123</v>
      </c>
      <c r="C10712" s="10" t="str">
        <f>"9780884693147"</f>
        <v>9780884693147</v>
      </c>
      <c r="D10712" s="10" t="s">
        <v>27268</v>
      </c>
      <c r="E10712" s="10" t="s">
        <v>46873</v>
      </c>
      <c r="F10712" s="10" t="s">
        <v>46874</v>
      </c>
      <c r="G10712" s="10" t="s">
        <v>6317</v>
      </c>
      <c r="H10712" s="11">
        <v>42005</v>
      </c>
      <c r="I10712" s="10">
        <v>2015</v>
      </c>
      <c r="J10712" s="10" t="s">
        <v>46873</v>
      </c>
      <c r="K10712" s="10">
        <v>221</v>
      </c>
      <c r="L10712" s="10" t="s">
        <v>46875</v>
      </c>
      <c r="M10712" s="10">
        <v>1</v>
      </c>
      <c r="N10712" s="10"/>
      <c r="O10712" s="10"/>
      <c r="P10712" s="10" t="s">
        <v>46876</v>
      </c>
      <c r="Q10712" s="10">
        <v>230.07117728200001</v>
      </c>
      <c r="R10712" s="10" t="s">
        <v>46877</v>
      </c>
      <c r="S10712" s="10" t="s">
        <v>53</v>
      </c>
      <c r="T10712" s="10" t="s">
        <v>7863</v>
      </c>
    </row>
    <row r="10713" spans="1:20" ht="14.5" x14ac:dyDescent="0.35">
      <c r="A10713" s="10" t="s">
        <v>46878</v>
      </c>
      <c r="B10713" s="10" t="str">
        <f>"9781475837292"</f>
        <v>9781475837292</v>
      </c>
      <c r="C10713" s="10" t="str">
        <f>"9781475837315"</f>
        <v>9781475837315</v>
      </c>
      <c r="D10713" s="10" t="s">
        <v>9752</v>
      </c>
      <c r="E10713" s="10" t="s">
        <v>15187</v>
      </c>
      <c r="F10713" s="10" t="s">
        <v>9754</v>
      </c>
      <c r="G10713" s="10" t="s">
        <v>6317</v>
      </c>
      <c r="H10713" s="11">
        <v>43140</v>
      </c>
      <c r="I10713" s="10">
        <v>2018</v>
      </c>
      <c r="J10713" s="10" t="s">
        <v>15187</v>
      </c>
      <c r="K10713" s="10">
        <v>173</v>
      </c>
      <c r="L10713" s="10" t="s">
        <v>46879</v>
      </c>
      <c r="M10713" s="10">
        <v>1</v>
      </c>
      <c r="N10713" s="10"/>
      <c r="O10713" s="10"/>
      <c r="P10713" s="10" t="s">
        <v>46880</v>
      </c>
      <c r="Q10713" s="10"/>
      <c r="R10713" s="10" t="s">
        <v>46881</v>
      </c>
      <c r="S10713" s="10" t="s">
        <v>53</v>
      </c>
      <c r="T10713" s="10" t="s">
        <v>54</v>
      </c>
    </row>
    <row r="10714" spans="1:20" ht="14.5" x14ac:dyDescent="0.35">
      <c r="A10714" s="10" t="s">
        <v>46882</v>
      </c>
      <c r="B10714" s="10" t="str">
        <f>"9783832539764"</f>
        <v>9783832539764</v>
      </c>
      <c r="C10714" s="10" t="str">
        <f>"9783832594923"</f>
        <v>9783832594923</v>
      </c>
      <c r="D10714" s="10" t="s">
        <v>46455</v>
      </c>
      <c r="E10714" s="10" t="s">
        <v>46455</v>
      </c>
      <c r="F10714" s="10" t="s">
        <v>2925</v>
      </c>
      <c r="G10714" s="10" t="s">
        <v>9998</v>
      </c>
      <c r="H10714" s="11">
        <v>42139</v>
      </c>
      <c r="I10714" s="10">
        <v>2015</v>
      </c>
      <c r="J10714" s="10" t="s">
        <v>46455</v>
      </c>
      <c r="K10714" s="10">
        <v>318</v>
      </c>
      <c r="L10714" s="10" t="s">
        <v>46883</v>
      </c>
      <c r="M10714" s="10">
        <v>1</v>
      </c>
      <c r="N10714" s="10" t="s">
        <v>46466</v>
      </c>
      <c r="O10714" s="10">
        <v>184</v>
      </c>
      <c r="P10714" s="10" t="s">
        <v>46884</v>
      </c>
      <c r="Q10714" s="10">
        <v>540.71</v>
      </c>
      <c r="R10714" s="10" t="s">
        <v>46645</v>
      </c>
      <c r="S10714" s="10" t="s">
        <v>1519</v>
      </c>
      <c r="T10714" s="10" t="s">
        <v>11332</v>
      </c>
    </row>
    <row r="10715" spans="1:20" ht="14.5" x14ac:dyDescent="0.35">
      <c r="A10715" s="10" t="s">
        <v>46885</v>
      </c>
      <c r="B10715" s="10" t="str">
        <f>"9783832542221"</f>
        <v>9783832542221</v>
      </c>
      <c r="C10715" s="10" t="str">
        <f>"9783832593896"</f>
        <v>9783832593896</v>
      </c>
      <c r="D10715" s="10" t="s">
        <v>46455</v>
      </c>
      <c r="E10715" s="10" t="s">
        <v>46455</v>
      </c>
      <c r="F10715" s="10" t="s">
        <v>2925</v>
      </c>
      <c r="G10715" s="10" t="s">
        <v>9998</v>
      </c>
      <c r="H10715" s="11">
        <v>42597</v>
      </c>
      <c r="I10715" s="10">
        <v>2016</v>
      </c>
      <c r="J10715" s="10" t="s">
        <v>46455</v>
      </c>
      <c r="K10715" s="10">
        <v>297</v>
      </c>
      <c r="L10715" s="10" t="s">
        <v>46886</v>
      </c>
      <c r="M10715" s="10">
        <v>1</v>
      </c>
      <c r="N10715" s="10"/>
      <c r="O10715" s="10"/>
      <c r="P10715" s="10" t="s">
        <v>46887</v>
      </c>
      <c r="Q10715" s="10">
        <v>372.21</v>
      </c>
      <c r="R10715" s="10" t="s">
        <v>46888</v>
      </c>
      <c r="S10715" s="10" t="s">
        <v>1519</v>
      </c>
      <c r="T10715" s="10" t="s">
        <v>54</v>
      </c>
    </row>
    <row r="10716" spans="1:20" ht="14.5" x14ac:dyDescent="0.35">
      <c r="A10716" s="10" t="s">
        <v>46889</v>
      </c>
      <c r="B10716" s="10" t="str">
        <f>"9783832540593"</f>
        <v>9783832540593</v>
      </c>
      <c r="C10716" s="10" t="str">
        <f>"9783832594541"</f>
        <v>9783832594541</v>
      </c>
      <c r="D10716" s="10" t="s">
        <v>46455</v>
      </c>
      <c r="E10716" s="10" t="s">
        <v>46455</v>
      </c>
      <c r="F10716" s="10" t="s">
        <v>2925</v>
      </c>
      <c r="G10716" s="10" t="s">
        <v>9998</v>
      </c>
      <c r="H10716" s="11">
        <v>42262</v>
      </c>
      <c r="I10716" s="10">
        <v>2015</v>
      </c>
      <c r="J10716" s="10" t="s">
        <v>46455</v>
      </c>
      <c r="K10716" s="10">
        <v>400</v>
      </c>
      <c r="L10716" s="10" t="s">
        <v>46890</v>
      </c>
      <c r="M10716" s="10">
        <v>1</v>
      </c>
      <c r="N10716" s="10" t="s">
        <v>46466</v>
      </c>
      <c r="O10716" s="10">
        <v>188</v>
      </c>
      <c r="P10716" s="10" t="s">
        <v>46891</v>
      </c>
      <c r="Q10716" s="10">
        <v>540.71</v>
      </c>
      <c r="R10716" s="10" t="s">
        <v>46645</v>
      </c>
      <c r="S10716" s="10" t="s">
        <v>1519</v>
      </c>
      <c r="T10716" s="10" t="s">
        <v>11298</v>
      </c>
    </row>
    <row r="10717" spans="1:20" ht="14.5" x14ac:dyDescent="0.35">
      <c r="A10717" s="10" t="s">
        <v>46892</v>
      </c>
      <c r="B10717" s="10" t="str">
        <f>"9783832543488"</f>
        <v>9783832543488</v>
      </c>
      <c r="C10717" s="10" t="str">
        <f>"9783832593872"</f>
        <v>9783832593872</v>
      </c>
      <c r="D10717" s="10" t="s">
        <v>46455</v>
      </c>
      <c r="E10717" s="10" t="s">
        <v>46455</v>
      </c>
      <c r="F10717" s="10" t="s">
        <v>2925</v>
      </c>
      <c r="G10717" s="10" t="s">
        <v>9998</v>
      </c>
      <c r="H10717" s="11">
        <v>42673</v>
      </c>
      <c r="I10717" s="10">
        <v>2016</v>
      </c>
      <c r="J10717" s="10" t="s">
        <v>46455</v>
      </c>
      <c r="K10717" s="10">
        <v>222</v>
      </c>
      <c r="L10717" s="10" t="s">
        <v>46893</v>
      </c>
      <c r="M10717" s="10">
        <v>1</v>
      </c>
      <c r="N10717" s="10" t="s">
        <v>46466</v>
      </c>
      <c r="O10717" s="10">
        <v>208</v>
      </c>
      <c r="P10717" s="10" t="s">
        <v>46894</v>
      </c>
      <c r="Q10717" s="10">
        <v>616.50609999999995</v>
      </c>
      <c r="R10717" s="10" t="s">
        <v>46895</v>
      </c>
      <c r="S10717" s="10" t="s">
        <v>1519</v>
      </c>
      <c r="T10717" s="10" t="s">
        <v>15489</v>
      </c>
    </row>
    <row r="10718" spans="1:20" ht="14.5" x14ac:dyDescent="0.35">
      <c r="A10718" s="10" t="s">
        <v>46896</v>
      </c>
      <c r="B10718" s="10" t="str">
        <f>"9783832542665"</f>
        <v>9783832542665</v>
      </c>
      <c r="C10718" s="10" t="str">
        <f>"9783832594060"</f>
        <v>9783832594060</v>
      </c>
      <c r="D10718" s="10" t="s">
        <v>46455</v>
      </c>
      <c r="E10718" s="10" t="s">
        <v>46455</v>
      </c>
      <c r="F10718" s="10" t="s">
        <v>2925</v>
      </c>
      <c r="G10718" s="10" t="s">
        <v>9998</v>
      </c>
      <c r="H10718" s="11">
        <v>42521</v>
      </c>
      <c r="I10718" s="10">
        <v>2016</v>
      </c>
      <c r="J10718" s="10" t="s">
        <v>46455</v>
      </c>
      <c r="K10718" s="10">
        <v>278</v>
      </c>
      <c r="L10718" s="10" t="s">
        <v>46897</v>
      </c>
      <c r="M10718" s="10">
        <v>1</v>
      </c>
      <c r="N10718" s="10" t="s">
        <v>46466</v>
      </c>
      <c r="O10718" s="10">
        <v>202</v>
      </c>
      <c r="P10718" s="10" t="s">
        <v>46898</v>
      </c>
      <c r="Q10718" s="10">
        <v>540.71</v>
      </c>
      <c r="R10718" s="10" t="s">
        <v>46645</v>
      </c>
      <c r="S10718" s="10" t="s">
        <v>1519</v>
      </c>
      <c r="T10718" s="10" t="s">
        <v>11332</v>
      </c>
    </row>
    <row r="10719" spans="1:20" ht="14.5" x14ac:dyDescent="0.35">
      <c r="A10719" s="10" t="s">
        <v>46899</v>
      </c>
      <c r="B10719" s="10" t="str">
        <f>"9783832541088"</f>
        <v>9783832541088</v>
      </c>
      <c r="C10719" s="10" t="str">
        <f>"9783832594510"</f>
        <v>9783832594510</v>
      </c>
      <c r="D10719" s="10" t="s">
        <v>46455</v>
      </c>
      <c r="E10719" s="10" t="s">
        <v>46455</v>
      </c>
      <c r="F10719" s="10" t="s">
        <v>2925</v>
      </c>
      <c r="G10719" s="10" t="s">
        <v>9998</v>
      </c>
      <c r="H10719" s="11">
        <v>42267</v>
      </c>
      <c r="I10719" s="10">
        <v>2015</v>
      </c>
      <c r="J10719" s="10" t="s">
        <v>46455</v>
      </c>
      <c r="K10719" s="10">
        <v>214</v>
      </c>
      <c r="L10719" s="10" t="s">
        <v>46900</v>
      </c>
      <c r="M10719" s="10">
        <v>1</v>
      </c>
      <c r="N10719" s="10" t="s">
        <v>46466</v>
      </c>
      <c r="O10719" s="10">
        <v>193</v>
      </c>
      <c r="P10719" s="10" t="s">
        <v>46901</v>
      </c>
      <c r="Q10719" s="10">
        <v>540.71</v>
      </c>
      <c r="R10719" s="10" t="s">
        <v>46902</v>
      </c>
      <c r="S10719" s="10" t="s">
        <v>1519</v>
      </c>
      <c r="T10719" s="10" t="s">
        <v>11332</v>
      </c>
    </row>
    <row r="10720" spans="1:20" ht="14.5" x14ac:dyDescent="0.35">
      <c r="A10720" s="10" t="s">
        <v>46903</v>
      </c>
      <c r="B10720" s="10" t="str">
        <f>"9783832542559"</f>
        <v>9783832542559</v>
      </c>
      <c r="C10720" s="10" t="str">
        <f>"9783832594046"</f>
        <v>9783832594046</v>
      </c>
      <c r="D10720" s="10" t="s">
        <v>46455</v>
      </c>
      <c r="E10720" s="10" t="s">
        <v>46455</v>
      </c>
      <c r="F10720" s="10" t="s">
        <v>2925</v>
      </c>
      <c r="G10720" s="10" t="s">
        <v>9998</v>
      </c>
      <c r="H10720" s="11">
        <v>42541</v>
      </c>
      <c r="I10720" s="10">
        <v>2016</v>
      </c>
      <c r="J10720" s="10" t="s">
        <v>46455</v>
      </c>
      <c r="K10720" s="10">
        <v>270</v>
      </c>
      <c r="L10720" s="10" t="s">
        <v>46904</v>
      </c>
      <c r="M10720" s="10">
        <v>1</v>
      </c>
      <c r="N10720" s="10"/>
      <c r="O10720" s="10"/>
      <c r="P10720" s="10" t="s">
        <v>46905</v>
      </c>
      <c r="Q10720" s="10">
        <v>401.41028499999999</v>
      </c>
      <c r="R10720" s="10" t="s">
        <v>46906</v>
      </c>
      <c r="S10720" s="10" t="s">
        <v>1519</v>
      </c>
      <c r="T10720" s="10" t="s">
        <v>6616</v>
      </c>
    </row>
    <row r="10721" spans="1:20" ht="14.5" x14ac:dyDescent="0.35">
      <c r="A10721" s="10" t="s">
        <v>46907</v>
      </c>
      <c r="B10721" s="10" t="str">
        <f>"9783832543181"</f>
        <v>9783832543181</v>
      </c>
      <c r="C10721" s="10" t="str">
        <f>"9783832593926"</f>
        <v>9783832593926</v>
      </c>
      <c r="D10721" s="10" t="s">
        <v>46455</v>
      </c>
      <c r="E10721" s="10" t="s">
        <v>46455</v>
      </c>
      <c r="F10721" s="10" t="s">
        <v>2925</v>
      </c>
      <c r="G10721" s="10" t="s">
        <v>9998</v>
      </c>
      <c r="H10721" s="11">
        <v>42613</v>
      </c>
      <c r="I10721" s="10">
        <v>2016</v>
      </c>
      <c r="J10721" s="10" t="s">
        <v>46455</v>
      </c>
      <c r="K10721" s="10">
        <v>404</v>
      </c>
      <c r="L10721" s="10" t="s">
        <v>46908</v>
      </c>
      <c r="M10721" s="10">
        <v>1</v>
      </c>
      <c r="N10721" s="10" t="s">
        <v>46466</v>
      </c>
      <c r="O10721" s="10">
        <v>206</v>
      </c>
      <c r="P10721" s="10" t="s">
        <v>46909</v>
      </c>
      <c r="Q10721" s="10">
        <v>540.71</v>
      </c>
      <c r="R10721" s="10" t="s">
        <v>46645</v>
      </c>
      <c r="S10721" s="10" t="s">
        <v>1519</v>
      </c>
      <c r="T10721" s="10" t="s">
        <v>11332</v>
      </c>
    </row>
    <row r="10722" spans="1:20" ht="14.5" x14ac:dyDescent="0.35">
      <c r="A10722" s="10" t="s">
        <v>46910</v>
      </c>
      <c r="B10722" s="10" t="str">
        <f>"9783832539528"</f>
        <v>9783832539528</v>
      </c>
      <c r="C10722" s="10" t="str">
        <f>"9783832594800"</f>
        <v>9783832594800</v>
      </c>
      <c r="D10722" s="10" t="s">
        <v>46455</v>
      </c>
      <c r="E10722" s="10" t="s">
        <v>46455</v>
      </c>
      <c r="F10722" s="10" t="s">
        <v>2925</v>
      </c>
      <c r="G10722" s="10" t="s">
        <v>9998</v>
      </c>
      <c r="H10722" s="11">
        <v>42172</v>
      </c>
      <c r="I10722" s="10">
        <v>2015</v>
      </c>
      <c r="J10722" s="10" t="s">
        <v>46455</v>
      </c>
      <c r="K10722" s="10">
        <v>110</v>
      </c>
      <c r="L10722" s="10" t="s">
        <v>46911</v>
      </c>
      <c r="M10722" s="10">
        <v>1</v>
      </c>
      <c r="N10722" s="10" t="s">
        <v>46912</v>
      </c>
      <c r="O10722" s="10">
        <v>1</v>
      </c>
      <c r="P10722" s="10" t="s">
        <v>46913</v>
      </c>
      <c r="Q10722" s="10">
        <v>370.1</v>
      </c>
      <c r="R10722" s="10" t="s">
        <v>46914</v>
      </c>
      <c r="S10722" s="10" t="s">
        <v>1519</v>
      </c>
      <c r="T10722" s="10" t="s">
        <v>54</v>
      </c>
    </row>
    <row r="10723" spans="1:20" ht="14.5" x14ac:dyDescent="0.35">
      <c r="A10723" s="10" t="s">
        <v>46915</v>
      </c>
      <c r="B10723" s="10" t="str">
        <f>"9783832542177"</f>
        <v>9783832542177</v>
      </c>
      <c r="C10723" s="10" t="str">
        <f>"9783832594114"</f>
        <v>9783832594114</v>
      </c>
      <c r="D10723" s="10" t="s">
        <v>46455</v>
      </c>
      <c r="E10723" s="10" t="s">
        <v>46455</v>
      </c>
      <c r="F10723" s="10" t="s">
        <v>2925</v>
      </c>
      <c r="G10723" s="10" t="s">
        <v>9998</v>
      </c>
      <c r="H10723" s="11">
        <v>42444</v>
      </c>
      <c r="I10723" s="10">
        <v>2016</v>
      </c>
      <c r="J10723" s="10" t="s">
        <v>46455</v>
      </c>
      <c r="K10723" s="10">
        <v>205</v>
      </c>
      <c r="L10723" s="10" t="s">
        <v>46916</v>
      </c>
      <c r="M10723" s="10">
        <v>1</v>
      </c>
      <c r="N10723" s="10" t="s">
        <v>46486</v>
      </c>
      <c r="O10723" s="10">
        <v>3</v>
      </c>
      <c r="P10723" s="10" t="s">
        <v>46917</v>
      </c>
      <c r="Q10723" s="10">
        <v>155.41342</v>
      </c>
      <c r="R10723" s="10" t="s">
        <v>46918</v>
      </c>
      <c r="S10723" s="10" t="s">
        <v>1519</v>
      </c>
      <c r="T10723" s="10" t="s">
        <v>483</v>
      </c>
    </row>
    <row r="10724" spans="1:20" ht="14.5" x14ac:dyDescent="0.35">
      <c r="A10724" s="10" t="s">
        <v>46919</v>
      </c>
      <c r="B10724" s="10" t="str">
        <f>"9783832542283"</f>
        <v>9783832542283</v>
      </c>
      <c r="C10724" s="10" t="str">
        <f>"9783832594152"</f>
        <v>9783832594152</v>
      </c>
      <c r="D10724" s="10" t="s">
        <v>46455</v>
      </c>
      <c r="E10724" s="10" t="s">
        <v>46455</v>
      </c>
      <c r="F10724" s="10" t="s">
        <v>2925</v>
      </c>
      <c r="G10724" s="10" t="s">
        <v>9998</v>
      </c>
      <c r="H10724" s="11">
        <v>42454</v>
      </c>
      <c r="I10724" s="10">
        <v>2016</v>
      </c>
      <c r="J10724" s="10" t="s">
        <v>46455</v>
      </c>
      <c r="K10724" s="10">
        <v>308</v>
      </c>
      <c r="L10724" s="10" t="s">
        <v>46920</v>
      </c>
      <c r="M10724" s="10">
        <v>1</v>
      </c>
      <c r="N10724" s="10" t="s">
        <v>46466</v>
      </c>
      <c r="O10724" s="10">
        <v>198</v>
      </c>
      <c r="P10724" s="10" t="s">
        <v>46921</v>
      </c>
      <c r="Q10724" s="10">
        <v>540.71</v>
      </c>
      <c r="R10724" s="10" t="s">
        <v>46922</v>
      </c>
      <c r="S10724" s="10" t="s">
        <v>1519</v>
      </c>
      <c r="T10724" s="10" t="s">
        <v>11332</v>
      </c>
    </row>
    <row r="10725" spans="1:20" ht="14.5" x14ac:dyDescent="0.35">
      <c r="A10725" s="10" t="s">
        <v>46923</v>
      </c>
      <c r="B10725" s="10" t="str">
        <f>"9783832542412"</f>
        <v>9783832542412</v>
      </c>
      <c r="C10725" s="10" t="str">
        <f>"9783832594145"</f>
        <v>9783832594145</v>
      </c>
      <c r="D10725" s="10" t="s">
        <v>46455</v>
      </c>
      <c r="E10725" s="10" t="s">
        <v>46455</v>
      </c>
      <c r="F10725" s="10" t="s">
        <v>2925</v>
      </c>
      <c r="G10725" s="10" t="s">
        <v>9998</v>
      </c>
      <c r="H10725" s="11">
        <v>42488</v>
      </c>
      <c r="I10725" s="10">
        <v>2016</v>
      </c>
      <c r="J10725" s="10" t="s">
        <v>46455</v>
      </c>
      <c r="K10725" s="10">
        <v>291</v>
      </c>
      <c r="L10725" s="10" t="s">
        <v>46924</v>
      </c>
      <c r="M10725" s="10">
        <v>1</v>
      </c>
      <c r="N10725" s="10" t="s">
        <v>46457</v>
      </c>
      <c r="O10725" s="10">
        <v>15</v>
      </c>
      <c r="P10725" s="10" t="s">
        <v>46925</v>
      </c>
      <c r="Q10725" s="10">
        <v>570.71</v>
      </c>
      <c r="R10725" s="10" t="s">
        <v>46796</v>
      </c>
      <c r="S10725" s="10" t="s">
        <v>1519</v>
      </c>
      <c r="T10725" s="10" t="s">
        <v>13819</v>
      </c>
    </row>
    <row r="10726" spans="1:20" ht="14.5" x14ac:dyDescent="0.35">
      <c r="A10726" s="10" t="s">
        <v>46926</v>
      </c>
      <c r="B10726" s="10" t="str">
        <f>"9783832541446"</f>
        <v>9783832541446</v>
      </c>
      <c r="C10726" s="10" t="str">
        <f>"9783832594404"</f>
        <v>9783832594404</v>
      </c>
      <c r="D10726" s="10" t="s">
        <v>46455</v>
      </c>
      <c r="E10726" s="10" t="s">
        <v>46455</v>
      </c>
      <c r="F10726" s="10" t="s">
        <v>2925</v>
      </c>
      <c r="G10726" s="10" t="s">
        <v>9998</v>
      </c>
      <c r="H10726" s="11">
        <v>42338</v>
      </c>
      <c r="I10726" s="10">
        <v>2015</v>
      </c>
      <c r="J10726" s="10" t="s">
        <v>46455</v>
      </c>
      <c r="K10726" s="10">
        <v>226</v>
      </c>
      <c r="L10726" s="10" t="s">
        <v>46927</v>
      </c>
      <c r="M10726" s="10">
        <v>1</v>
      </c>
      <c r="N10726" s="10" t="s">
        <v>46466</v>
      </c>
      <c r="O10726" s="10">
        <v>195</v>
      </c>
      <c r="P10726" s="10" t="s">
        <v>46928</v>
      </c>
      <c r="Q10726" s="10">
        <v>540.72400000000005</v>
      </c>
      <c r="R10726" s="10" t="s">
        <v>46929</v>
      </c>
      <c r="S10726" s="10" t="s">
        <v>1519</v>
      </c>
      <c r="T10726" s="10" t="s">
        <v>11298</v>
      </c>
    </row>
    <row r="10727" spans="1:20" ht="14.5" x14ac:dyDescent="0.35">
      <c r="A10727" s="10" t="s">
        <v>46930</v>
      </c>
      <c r="B10727" s="10" t="str">
        <f>"9783832541385"</f>
        <v>9783832541385</v>
      </c>
      <c r="C10727" s="10" t="str">
        <f>"9783832594411"</f>
        <v>9783832594411</v>
      </c>
      <c r="D10727" s="10" t="s">
        <v>46455</v>
      </c>
      <c r="E10727" s="10" t="s">
        <v>46455</v>
      </c>
      <c r="F10727" s="10" t="s">
        <v>2925</v>
      </c>
      <c r="G10727" s="10" t="s">
        <v>9998</v>
      </c>
      <c r="H10727" s="11">
        <v>42327</v>
      </c>
      <c r="I10727" s="10">
        <v>2015</v>
      </c>
      <c r="J10727" s="10" t="s">
        <v>46455</v>
      </c>
      <c r="K10727" s="10">
        <v>404</v>
      </c>
      <c r="L10727" s="10" t="s">
        <v>46931</v>
      </c>
      <c r="M10727" s="10">
        <v>1</v>
      </c>
      <c r="N10727" s="10" t="s">
        <v>46457</v>
      </c>
      <c r="O10727" s="10">
        <v>10</v>
      </c>
      <c r="P10727" s="10" t="s">
        <v>46932</v>
      </c>
      <c r="Q10727" s="10">
        <v>507.2</v>
      </c>
      <c r="R10727" s="10" t="s">
        <v>46933</v>
      </c>
      <c r="S10727" s="10" t="s">
        <v>1519</v>
      </c>
      <c r="T10727" s="10" t="s">
        <v>9608</v>
      </c>
    </row>
    <row r="10728" spans="1:20" ht="14.5" x14ac:dyDescent="0.35">
      <c r="A10728" s="10" t="s">
        <v>46934</v>
      </c>
      <c r="B10728" s="10" t="str">
        <f>"9783832542610"</f>
        <v>9783832542610</v>
      </c>
      <c r="C10728" s="10" t="str">
        <f>"9783832594701"</f>
        <v>9783832594701</v>
      </c>
      <c r="D10728" s="10" t="s">
        <v>46455</v>
      </c>
      <c r="E10728" s="10" t="s">
        <v>46455</v>
      </c>
      <c r="F10728" s="10" t="s">
        <v>2925</v>
      </c>
      <c r="G10728" s="10" t="s">
        <v>9998</v>
      </c>
      <c r="H10728" s="11">
        <v>42551</v>
      </c>
      <c r="I10728" s="10">
        <v>2016</v>
      </c>
      <c r="J10728" s="10" t="s">
        <v>46455</v>
      </c>
      <c r="K10728" s="10">
        <v>299</v>
      </c>
      <c r="L10728" s="10" t="s">
        <v>46935</v>
      </c>
      <c r="M10728" s="10">
        <v>1</v>
      </c>
      <c r="N10728" s="10"/>
      <c r="O10728" s="10"/>
      <c r="P10728" s="10" t="s">
        <v>46936</v>
      </c>
      <c r="Q10728" s="10">
        <v>372.63200000000001</v>
      </c>
      <c r="R10728" s="10" t="s">
        <v>46937</v>
      </c>
      <c r="S10728" s="10" t="s">
        <v>1519</v>
      </c>
      <c r="T10728" s="10" t="s">
        <v>54</v>
      </c>
    </row>
    <row r="10729" spans="1:20" ht="14.5" x14ac:dyDescent="0.35">
      <c r="A10729" s="10" t="s">
        <v>46938</v>
      </c>
      <c r="B10729" s="10" t="str">
        <f>"9783832541941"</f>
        <v>9783832541941</v>
      </c>
      <c r="C10729" s="10" t="str">
        <f>"9783832594282"</f>
        <v>9783832594282</v>
      </c>
      <c r="D10729" s="10" t="s">
        <v>46455</v>
      </c>
      <c r="E10729" s="10" t="s">
        <v>46455</v>
      </c>
      <c r="F10729" s="10" t="s">
        <v>2925</v>
      </c>
      <c r="G10729" s="10" t="s">
        <v>9998</v>
      </c>
      <c r="H10729" s="11">
        <v>42400</v>
      </c>
      <c r="I10729" s="10">
        <v>2016</v>
      </c>
      <c r="J10729" s="10" t="s">
        <v>46455</v>
      </c>
      <c r="K10729" s="10">
        <v>232</v>
      </c>
      <c r="L10729" s="10" t="s">
        <v>46939</v>
      </c>
      <c r="M10729" s="10">
        <v>1</v>
      </c>
      <c r="N10729" s="10" t="s">
        <v>46466</v>
      </c>
      <c r="O10729" s="10">
        <v>197</v>
      </c>
      <c r="P10729" s="10" t="s">
        <v>46940</v>
      </c>
      <c r="Q10729" s="10">
        <v>530.07100000000003</v>
      </c>
      <c r="R10729" s="10" t="s">
        <v>46774</v>
      </c>
      <c r="S10729" s="10" t="s">
        <v>1519</v>
      </c>
      <c r="T10729" s="10" t="s">
        <v>11578</v>
      </c>
    </row>
    <row r="10730" spans="1:20" ht="14.5" x14ac:dyDescent="0.35">
      <c r="A10730" s="10" t="s">
        <v>46941</v>
      </c>
      <c r="B10730" s="10" t="str">
        <f>"9783832526740"</f>
        <v>9783832526740</v>
      </c>
      <c r="C10730" s="10" t="str">
        <f>"9783832593766"</f>
        <v>9783832593766</v>
      </c>
      <c r="D10730" s="10" t="s">
        <v>46455</v>
      </c>
      <c r="E10730" s="10" t="s">
        <v>46455</v>
      </c>
      <c r="F10730" s="10" t="s">
        <v>2925</v>
      </c>
      <c r="G10730" s="10" t="s">
        <v>9998</v>
      </c>
      <c r="H10730" s="11">
        <v>40532</v>
      </c>
      <c r="I10730" s="10">
        <v>2010</v>
      </c>
      <c r="J10730" s="10" t="s">
        <v>46455</v>
      </c>
      <c r="K10730" s="10">
        <v>428</v>
      </c>
      <c r="L10730" s="10" t="s">
        <v>46942</v>
      </c>
      <c r="M10730" s="10">
        <v>1</v>
      </c>
      <c r="N10730" s="10" t="s">
        <v>46466</v>
      </c>
      <c r="O10730" s="10">
        <v>108</v>
      </c>
      <c r="P10730" s="10" t="s">
        <v>46943</v>
      </c>
      <c r="Q10730" s="10">
        <v>401.4</v>
      </c>
      <c r="R10730" s="10" t="s">
        <v>46944</v>
      </c>
      <c r="S10730" s="10" t="s">
        <v>1519</v>
      </c>
      <c r="T10730" s="10" t="s">
        <v>6616</v>
      </c>
    </row>
    <row r="10731" spans="1:20" ht="14.5" x14ac:dyDescent="0.35">
      <c r="A10731" s="10" t="s">
        <v>46945</v>
      </c>
      <c r="B10731" s="10" t="str">
        <f>"9783832542542"</f>
        <v>9783832542542</v>
      </c>
      <c r="C10731" s="10" t="str">
        <f>"9783832593971"</f>
        <v>9783832593971</v>
      </c>
      <c r="D10731" s="10" t="s">
        <v>46455</v>
      </c>
      <c r="E10731" s="10" t="s">
        <v>46455</v>
      </c>
      <c r="F10731" s="10" t="s">
        <v>2925</v>
      </c>
      <c r="G10731" s="10" t="s">
        <v>9998</v>
      </c>
      <c r="H10731" s="11">
        <v>42585</v>
      </c>
      <c r="I10731" s="10">
        <v>2016</v>
      </c>
      <c r="J10731" s="10" t="s">
        <v>46455</v>
      </c>
      <c r="K10731" s="10">
        <v>170</v>
      </c>
      <c r="L10731" s="10" t="s">
        <v>46946</v>
      </c>
      <c r="M10731" s="10">
        <v>1</v>
      </c>
      <c r="N10731" s="10"/>
      <c r="O10731" s="10"/>
      <c r="P10731" s="10" t="s">
        <v>46947</v>
      </c>
      <c r="Q10731" s="10">
        <v>649.67999999999995</v>
      </c>
      <c r="R10731" s="10" t="s">
        <v>46948</v>
      </c>
      <c r="S10731" s="10" t="s">
        <v>1519</v>
      </c>
      <c r="T10731" s="10" t="s">
        <v>40487</v>
      </c>
    </row>
    <row r="10732" spans="1:20" ht="14.5" x14ac:dyDescent="0.35">
      <c r="A10732" s="10" t="s">
        <v>46949</v>
      </c>
      <c r="B10732" s="10" t="str">
        <f>"9783832540500"</f>
        <v>9783832540500</v>
      </c>
      <c r="C10732" s="10" t="str">
        <f>"9783832594664"</f>
        <v>9783832594664</v>
      </c>
      <c r="D10732" s="10" t="s">
        <v>46455</v>
      </c>
      <c r="E10732" s="10" t="s">
        <v>46455</v>
      </c>
      <c r="F10732" s="10" t="s">
        <v>2925</v>
      </c>
      <c r="G10732" s="10" t="s">
        <v>9998</v>
      </c>
      <c r="H10732" s="11">
        <v>42215</v>
      </c>
      <c r="I10732" s="10">
        <v>2015</v>
      </c>
      <c r="J10732" s="10" t="s">
        <v>46455</v>
      </c>
      <c r="K10732" s="10">
        <v>98</v>
      </c>
      <c r="L10732" s="10" t="s">
        <v>46950</v>
      </c>
      <c r="M10732" s="10">
        <v>1</v>
      </c>
      <c r="N10732" s="10" t="s">
        <v>46761</v>
      </c>
      <c r="O10732" s="10">
        <v>72</v>
      </c>
      <c r="P10732" s="10" t="s">
        <v>46951</v>
      </c>
      <c r="Q10732" s="10">
        <v>793.30700000000002</v>
      </c>
      <c r="R10732" s="10" t="s">
        <v>46952</v>
      </c>
      <c r="S10732" s="10" t="s">
        <v>1519</v>
      </c>
      <c r="T10732" s="10" t="s">
        <v>7340</v>
      </c>
    </row>
    <row r="10733" spans="1:20" ht="14.5" x14ac:dyDescent="0.35">
      <c r="A10733" s="10" t="s">
        <v>46953</v>
      </c>
      <c r="B10733" s="10" t="str">
        <f>"9783832540692"</f>
        <v>9783832540692</v>
      </c>
      <c r="C10733" s="10" t="str">
        <f>"9783832594688"</f>
        <v>9783832594688</v>
      </c>
      <c r="D10733" s="10" t="s">
        <v>46455</v>
      </c>
      <c r="E10733" s="10" t="s">
        <v>46455</v>
      </c>
      <c r="F10733" s="10" t="s">
        <v>2925</v>
      </c>
      <c r="G10733" s="10" t="s">
        <v>9998</v>
      </c>
      <c r="H10733" s="11">
        <v>42257</v>
      </c>
      <c r="I10733" s="10">
        <v>2015</v>
      </c>
      <c r="J10733" s="10" t="s">
        <v>46455</v>
      </c>
      <c r="K10733" s="10">
        <v>344</v>
      </c>
      <c r="L10733" s="10" t="s">
        <v>46954</v>
      </c>
      <c r="M10733" s="10">
        <v>1</v>
      </c>
      <c r="N10733" s="10"/>
      <c r="O10733" s="10"/>
      <c r="P10733" s="10" t="s">
        <v>46955</v>
      </c>
      <c r="Q10733" s="10">
        <v>302.2244</v>
      </c>
      <c r="R10733" s="10" t="s">
        <v>46956</v>
      </c>
      <c r="S10733" s="10" t="s">
        <v>1519</v>
      </c>
      <c r="T10733" s="10" t="s">
        <v>8412</v>
      </c>
    </row>
    <row r="10734" spans="1:20" ht="14.5" x14ac:dyDescent="0.35">
      <c r="A10734" s="10" t="s">
        <v>46957</v>
      </c>
      <c r="B10734" s="10" t="str">
        <f>"9783832543037"</f>
        <v>9783832543037</v>
      </c>
      <c r="C10734" s="10" t="str">
        <f>"9783832593933"</f>
        <v>9783832593933</v>
      </c>
      <c r="D10734" s="10" t="s">
        <v>46455</v>
      </c>
      <c r="E10734" s="10" t="s">
        <v>46455</v>
      </c>
      <c r="F10734" s="10" t="s">
        <v>2925</v>
      </c>
      <c r="G10734" s="10" t="s">
        <v>9998</v>
      </c>
      <c r="H10734" s="11">
        <v>42582</v>
      </c>
      <c r="I10734" s="10">
        <v>2016</v>
      </c>
      <c r="J10734" s="10" t="s">
        <v>46455</v>
      </c>
      <c r="K10734" s="10">
        <v>173</v>
      </c>
      <c r="L10734" s="10" t="s">
        <v>46958</v>
      </c>
      <c r="M10734" s="10">
        <v>1</v>
      </c>
      <c r="N10734" s="10" t="s">
        <v>46466</v>
      </c>
      <c r="O10734" s="10">
        <v>205</v>
      </c>
      <c r="P10734" s="10" t="s">
        <v>46959</v>
      </c>
      <c r="Q10734" s="10">
        <v>153.43</v>
      </c>
      <c r="R10734" s="10" t="s">
        <v>45504</v>
      </c>
      <c r="S10734" s="10" t="s">
        <v>1519</v>
      </c>
      <c r="T10734" s="10" t="s">
        <v>9448</v>
      </c>
    </row>
    <row r="10735" spans="1:20" ht="14.5" x14ac:dyDescent="0.35">
      <c r="A10735" s="10" t="s">
        <v>46960</v>
      </c>
      <c r="B10735" s="10" t="str">
        <f>"9783832541040"</f>
        <v>9783832541040</v>
      </c>
      <c r="C10735" s="10" t="str">
        <f>"9783832594534"</f>
        <v>9783832594534</v>
      </c>
      <c r="D10735" s="10" t="s">
        <v>46455</v>
      </c>
      <c r="E10735" s="10" t="s">
        <v>46455</v>
      </c>
      <c r="F10735" s="10" t="s">
        <v>2925</v>
      </c>
      <c r="G10735" s="10" t="s">
        <v>9998</v>
      </c>
      <c r="H10735" s="11">
        <v>42277</v>
      </c>
      <c r="I10735" s="10">
        <v>2015</v>
      </c>
      <c r="J10735" s="10" t="s">
        <v>46455</v>
      </c>
      <c r="K10735" s="10">
        <v>264</v>
      </c>
      <c r="L10735" s="10" t="s">
        <v>46961</v>
      </c>
      <c r="M10735" s="10">
        <v>1</v>
      </c>
      <c r="N10735" s="10" t="s">
        <v>46466</v>
      </c>
      <c r="O10735" s="10">
        <v>192</v>
      </c>
      <c r="P10735" s="10" t="s">
        <v>46962</v>
      </c>
      <c r="Q10735" s="10">
        <v>613.70699999999999</v>
      </c>
      <c r="R10735" s="10" t="s">
        <v>46963</v>
      </c>
      <c r="S10735" s="10" t="s">
        <v>1519</v>
      </c>
      <c r="T10735" s="10" t="s">
        <v>6791</v>
      </c>
    </row>
    <row r="10736" spans="1:20" ht="14.5" x14ac:dyDescent="0.35">
      <c r="A10736" s="10" t="s">
        <v>46964</v>
      </c>
      <c r="B10736" s="10" t="str">
        <f>"9783832541927"</f>
        <v>9783832541927</v>
      </c>
      <c r="C10736" s="10" t="str">
        <f>"9783832594305"</f>
        <v>9783832594305</v>
      </c>
      <c r="D10736" s="10" t="s">
        <v>46455</v>
      </c>
      <c r="E10736" s="10" t="s">
        <v>46455</v>
      </c>
      <c r="F10736" s="10" t="s">
        <v>2925</v>
      </c>
      <c r="G10736" s="10" t="s">
        <v>9998</v>
      </c>
      <c r="H10736" s="11">
        <v>42411</v>
      </c>
      <c r="I10736" s="10">
        <v>2016</v>
      </c>
      <c r="J10736" s="10" t="s">
        <v>46455</v>
      </c>
      <c r="K10736" s="10">
        <v>347</v>
      </c>
      <c r="L10736" s="10" t="s">
        <v>46965</v>
      </c>
      <c r="M10736" s="10">
        <v>1</v>
      </c>
      <c r="N10736" s="10" t="s">
        <v>46457</v>
      </c>
      <c r="O10736" s="10">
        <v>13</v>
      </c>
      <c r="P10736" s="10" t="s">
        <v>46966</v>
      </c>
      <c r="Q10736" s="10">
        <v>371.3</v>
      </c>
      <c r="R10736" s="10" t="s">
        <v>46967</v>
      </c>
      <c r="S10736" s="10" t="s">
        <v>1519</v>
      </c>
      <c r="T10736" s="10" t="s">
        <v>54</v>
      </c>
    </row>
    <row r="10737" spans="1:20" ht="14.5" x14ac:dyDescent="0.35">
      <c r="A10737" s="10" t="s">
        <v>46968</v>
      </c>
      <c r="B10737" s="10" t="str">
        <f>"9783832541125"</f>
        <v>9783832541125</v>
      </c>
      <c r="C10737" s="10" t="str">
        <f>"9783832594589"</f>
        <v>9783832594589</v>
      </c>
      <c r="D10737" s="10" t="s">
        <v>46455</v>
      </c>
      <c r="E10737" s="10" t="s">
        <v>46455</v>
      </c>
      <c r="F10737" s="10" t="s">
        <v>2925</v>
      </c>
      <c r="G10737" s="10" t="s">
        <v>9998</v>
      </c>
      <c r="H10737" s="11">
        <v>42272</v>
      </c>
      <c r="I10737" s="10">
        <v>2015</v>
      </c>
      <c r="J10737" s="10" t="s">
        <v>46455</v>
      </c>
      <c r="K10737" s="10">
        <v>460</v>
      </c>
      <c r="L10737" s="10" t="s">
        <v>46969</v>
      </c>
      <c r="M10737" s="10">
        <v>1</v>
      </c>
      <c r="N10737" s="10" t="s">
        <v>46466</v>
      </c>
      <c r="O10737" s="10">
        <v>194</v>
      </c>
      <c r="P10737" s="10" t="s">
        <v>46970</v>
      </c>
      <c r="Q10737" s="10">
        <v>530.07100000000003</v>
      </c>
      <c r="R10737" s="10" t="s">
        <v>46804</v>
      </c>
      <c r="S10737" s="10" t="s">
        <v>1519</v>
      </c>
      <c r="T10737" s="10" t="s">
        <v>11108</v>
      </c>
    </row>
    <row r="10738" spans="1:20" ht="14.5" x14ac:dyDescent="0.35">
      <c r="A10738" s="10" t="s">
        <v>46971</v>
      </c>
      <c r="B10738" s="10" t="str">
        <f>"9783832529314"</f>
        <v>9783832529314</v>
      </c>
      <c r="C10738" s="10" t="str">
        <f>"9783832593827"</f>
        <v>9783832593827</v>
      </c>
      <c r="D10738" s="10" t="s">
        <v>46455</v>
      </c>
      <c r="E10738" s="10" t="s">
        <v>46455</v>
      </c>
      <c r="F10738" s="10" t="s">
        <v>2925</v>
      </c>
      <c r="G10738" s="10" t="s">
        <v>9998</v>
      </c>
      <c r="H10738" s="11">
        <v>40785</v>
      </c>
      <c r="I10738" s="10">
        <v>2014</v>
      </c>
      <c r="J10738" s="10" t="s">
        <v>46455</v>
      </c>
      <c r="K10738" s="10">
        <v>182</v>
      </c>
      <c r="L10738" s="10" t="s">
        <v>46972</v>
      </c>
      <c r="M10738" s="10">
        <v>1</v>
      </c>
      <c r="N10738" s="10"/>
      <c r="O10738" s="10"/>
      <c r="P10738" s="10" t="s">
        <v>46973</v>
      </c>
      <c r="Q10738" s="10">
        <v>613</v>
      </c>
      <c r="R10738" s="10" t="s">
        <v>46974</v>
      </c>
      <c r="S10738" s="10" t="s">
        <v>1519</v>
      </c>
      <c r="T10738" s="10" t="s">
        <v>46975</v>
      </c>
    </row>
    <row r="10739" spans="1:20" ht="14.5" x14ac:dyDescent="0.35">
      <c r="A10739" s="10" t="s">
        <v>46976</v>
      </c>
      <c r="B10739" s="10" t="str">
        <f>"9783832540432"</f>
        <v>9783832540432</v>
      </c>
      <c r="C10739" s="10" t="str">
        <f>"9783832594602"</f>
        <v>9783832594602</v>
      </c>
      <c r="D10739" s="10" t="s">
        <v>46455</v>
      </c>
      <c r="E10739" s="10" t="s">
        <v>46455</v>
      </c>
      <c r="F10739" s="10" t="s">
        <v>2925</v>
      </c>
      <c r="G10739" s="10" t="s">
        <v>9998</v>
      </c>
      <c r="H10739" s="11">
        <v>42244</v>
      </c>
      <c r="I10739" s="10">
        <v>2015</v>
      </c>
      <c r="J10739" s="10" t="s">
        <v>46455</v>
      </c>
      <c r="K10739" s="10">
        <v>414</v>
      </c>
      <c r="L10739" s="10" t="s">
        <v>46977</v>
      </c>
      <c r="M10739" s="10">
        <v>1</v>
      </c>
      <c r="N10739" s="10" t="s">
        <v>46457</v>
      </c>
      <c r="O10739" s="10">
        <v>9</v>
      </c>
      <c r="P10739" s="10" t="s">
        <v>46978</v>
      </c>
      <c r="Q10739" s="10">
        <v>574.07119999999998</v>
      </c>
      <c r="R10739" s="10" t="s">
        <v>46979</v>
      </c>
      <c r="S10739" s="10" t="s">
        <v>1519</v>
      </c>
      <c r="T10739" s="10" t="s">
        <v>13819</v>
      </c>
    </row>
    <row r="10740" spans="1:20" ht="14.5" x14ac:dyDescent="0.35">
      <c r="A10740" s="10" t="s">
        <v>46980</v>
      </c>
      <c r="B10740" s="10" t="str">
        <f>"9783832540579"</f>
        <v>9783832540579</v>
      </c>
      <c r="C10740" s="10" t="str">
        <f>"9783832593759"</f>
        <v>9783832593759</v>
      </c>
      <c r="D10740" s="10" t="s">
        <v>46455</v>
      </c>
      <c r="E10740" s="10" t="s">
        <v>46455</v>
      </c>
      <c r="F10740" s="10" t="s">
        <v>2925</v>
      </c>
      <c r="G10740" s="10" t="s">
        <v>9998</v>
      </c>
      <c r="H10740" s="11">
        <v>42231</v>
      </c>
      <c r="I10740" s="10">
        <v>2015</v>
      </c>
      <c r="J10740" s="10" t="s">
        <v>46455</v>
      </c>
      <c r="K10740" s="10">
        <v>262</v>
      </c>
      <c r="L10740" s="10" t="s">
        <v>46981</v>
      </c>
      <c r="M10740" s="10">
        <v>1</v>
      </c>
      <c r="N10740" s="10" t="s">
        <v>46466</v>
      </c>
      <c r="O10740" s="10">
        <v>187</v>
      </c>
      <c r="P10740" s="10" t="s">
        <v>46982</v>
      </c>
      <c r="Q10740" s="10">
        <v>153.4</v>
      </c>
      <c r="R10740" s="10" t="s">
        <v>46983</v>
      </c>
      <c r="S10740" s="10" t="s">
        <v>1519</v>
      </c>
      <c r="T10740" s="10" t="s">
        <v>483</v>
      </c>
    </row>
    <row r="10741" spans="1:20" ht="14.5" x14ac:dyDescent="0.35">
      <c r="A10741" s="10" t="s">
        <v>46984</v>
      </c>
      <c r="B10741" s="10" t="str">
        <f>"9783832530686"</f>
        <v>9783832530686</v>
      </c>
      <c r="C10741" s="10" t="str">
        <f>"9783832593599"</f>
        <v>9783832593599</v>
      </c>
      <c r="D10741" s="10" t="s">
        <v>46455</v>
      </c>
      <c r="E10741" s="10" t="s">
        <v>46455</v>
      </c>
      <c r="F10741" s="10" t="s">
        <v>2925</v>
      </c>
      <c r="G10741" s="10" t="s">
        <v>9998</v>
      </c>
      <c r="H10741" s="11">
        <v>40936</v>
      </c>
      <c r="I10741" s="10">
        <v>2012</v>
      </c>
      <c r="J10741" s="10" t="s">
        <v>46455</v>
      </c>
      <c r="K10741" s="10">
        <v>204</v>
      </c>
      <c r="L10741" s="10" t="s">
        <v>46985</v>
      </c>
      <c r="M10741" s="10">
        <v>1</v>
      </c>
      <c r="N10741" s="10"/>
      <c r="O10741" s="10"/>
      <c r="P10741" s="10" t="s">
        <v>46986</v>
      </c>
      <c r="Q10741" s="10">
        <v>538.22</v>
      </c>
      <c r="R10741" s="10" t="s">
        <v>46987</v>
      </c>
      <c r="S10741" s="10" t="s">
        <v>1519</v>
      </c>
      <c r="T10741" s="10" t="s">
        <v>11578</v>
      </c>
    </row>
    <row r="10742" spans="1:20" ht="14.5" x14ac:dyDescent="0.35">
      <c r="A10742" s="10" t="s">
        <v>46988</v>
      </c>
      <c r="B10742" s="10" t="str">
        <f>"9783832540869"</f>
        <v>9783832540869</v>
      </c>
      <c r="C10742" s="10" t="str">
        <f>"9783832594527"</f>
        <v>9783832594527</v>
      </c>
      <c r="D10742" s="10" t="s">
        <v>46455</v>
      </c>
      <c r="E10742" s="10" t="s">
        <v>46455</v>
      </c>
      <c r="F10742" s="10" t="s">
        <v>2925</v>
      </c>
      <c r="G10742" s="10" t="s">
        <v>9998</v>
      </c>
      <c r="H10742" s="11">
        <v>42277</v>
      </c>
      <c r="I10742" s="10">
        <v>2015</v>
      </c>
      <c r="J10742" s="10" t="s">
        <v>46455</v>
      </c>
      <c r="K10742" s="10">
        <v>272</v>
      </c>
      <c r="L10742" s="10" t="s">
        <v>46989</v>
      </c>
      <c r="M10742" s="10">
        <v>1</v>
      </c>
      <c r="N10742" s="10" t="s">
        <v>46486</v>
      </c>
      <c r="O10742" s="10">
        <v>2</v>
      </c>
      <c r="P10742" s="10" t="s">
        <v>46990</v>
      </c>
      <c r="Q10742" s="10">
        <v>155.45500000000001</v>
      </c>
      <c r="R10742" s="10" t="s">
        <v>46195</v>
      </c>
      <c r="S10742" s="10" t="s">
        <v>1519</v>
      </c>
      <c r="T10742" s="10" t="s">
        <v>8895</v>
      </c>
    </row>
    <row r="10743" spans="1:20" ht="14.5" x14ac:dyDescent="0.35">
      <c r="A10743" s="10" t="s">
        <v>46991</v>
      </c>
      <c r="B10743" s="10" t="str">
        <f>"9783832540364"</f>
        <v>9783832540364</v>
      </c>
      <c r="C10743" s="10" t="str">
        <f>"9783832594732"</f>
        <v>9783832594732</v>
      </c>
      <c r="D10743" s="10" t="s">
        <v>46455</v>
      </c>
      <c r="E10743" s="10" t="s">
        <v>46455</v>
      </c>
      <c r="F10743" s="10" t="s">
        <v>2925</v>
      </c>
      <c r="G10743" s="10" t="s">
        <v>9998</v>
      </c>
      <c r="H10743" s="11">
        <v>42215</v>
      </c>
      <c r="I10743" s="10">
        <v>2015</v>
      </c>
      <c r="J10743" s="10" t="s">
        <v>46455</v>
      </c>
      <c r="K10743" s="10">
        <v>314</v>
      </c>
      <c r="L10743" s="10" t="s">
        <v>46992</v>
      </c>
      <c r="M10743" s="10">
        <v>1</v>
      </c>
      <c r="N10743" s="10" t="s">
        <v>46993</v>
      </c>
      <c r="O10743" s="10">
        <v>7</v>
      </c>
      <c r="P10743" s="10" t="s">
        <v>46994</v>
      </c>
      <c r="Q10743" s="10">
        <v>306.46129999999999</v>
      </c>
      <c r="R10743" s="10" t="s">
        <v>46995</v>
      </c>
      <c r="S10743" s="10" t="s">
        <v>1519</v>
      </c>
      <c r="T10743" s="10" t="s">
        <v>10711</v>
      </c>
    </row>
    <row r="10744" spans="1:20" ht="14.5" x14ac:dyDescent="0.35">
      <c r="A10744" s="10" t="s">
        <v>46996</v>
      </c>
      <c r="B10744" s="10" t="str">
        <f>"9783832542474"</f>
        <v>9783832542474</v>
      </c>
      <c r="C10744" s="10" t="str">
        <f>"9783832594107"</f>
        <v>9783832594107</v>
      </c>
      <c r="D10744" s="10" t="s">
        <v>46455</v>
      </c>
      <c r="E10744" s="10" t="s">
        <v>46455</v>
      </c>
      <c r="F10744" s="10" t="s">
        <v>2925</v>
      </c>
      <c r="G10744" s="10" t="s">
        <v>9998</v>
      </c>
      <c r="H10744" s="11">
        <v>42494</v>
      </c>
      <c r="I10744" s="10">
        <v>2016</v>
      </c>
      <c r="J10744" s="10" t="s">
        <v>46455</v>
      </c>
      <c r="K10744" s="10">
        <v>224</v>
      </c>
      <c r="L10744" s="10" t="s">
        <v>46997</v>
      </c>
      <c r="M10744" s="10">
        <v>1</v>
      </c>
      <c r="N10744" s="10" t="s">
        <v>46466</v>
      </c>
      <c r="O10744" s="10">
        <v>199</v>
      </c>
      <c r="P10744" s="10" t="s">
        <v>46998</v>
      </c>
      <c r="Q10744" s="10">
        <v>371.10199999999998</v>
      </c>
      <c r="R10744" s="10" t="s">
        <v>18927</v>
      </c>
      <c r="S10744" s="10" t="s">
        <v>1519</v>
      </c>
      <c r="T10744" s="10" t="s">
        <v>54</v>
      </c>
    </row>
    <row r="10745" spans="1:20" ht="14.5" x14ac:dyDescent="0.35">
      <c r="A10745" s="10" t="s">
        <v>46999</v>
      </c>
      <c r="B10745" s="10" t="str">
        <f>"9783832539269"</f>
        <v>9783832539269</v>
      </c>
      <c r="C10745" s="10" t="str">
        <f>"9783832594978"</f>
        <v>9783832594978</v>
      </c>
      <c r="D10745" s="10" t="s">
        <v>46455</v>
      </c>
      <c r="E10745" s="10" t="s">
        <v>46455</v>
      </c>
      <c r="F10745" s="10" t="s">
        <v>2925</v>
      </c>
      <c r="G10745" s="10" t="s">
        <v>9998</v>
      </c>
      <c r="H10745" s="11">
        <v>42118</v>
      </c>
      <c r="I10745" s="10">
        <v>2015</v>
      </c>
      <c r="J10745" s="10" t="s">
        <v>46455</v>
      </c>
      <c r="K10745" s="10">
        <v>234</v>
      </c>
      <c r="L10745" s="10" t="s">
        <v>47000</v>
      </c>
      <c r="M10745" s="10">
        <v>1</v>
      </c>
      <c r="N10745" s="10" t="s">
        <v>46993</v>
      </c>
      <c r="O10745" s="10">
        <v>6</v>
      </c>
      <c r="P10745" s="10" t="s">
        <v>47001</v>
      </c>
      <c r="Q10745" s="10">
        <v>371.90460000000002</v>
      </c>
      <c r="R10745" s="10" t="s">
        <v>18055</v>
      </c>
      <c r="S10745" s="10" t="s">
        <v>1519</v>
      </c>
      <c r="T10745" s="10" t="s">
        <v>54</v>
      </c>
    </row>
    <row r="10746" spans="1:20" ht="14.5" x14ac:dyDescent="0.35">
      <c r="A10746" s="10" t="s">
        <v>47002</v>
      </c>
      <c r="B10746" s="10" t="str">
        <f>"9783832526092"</f>
        <v>9783832526092</v>
      </c>
      <c r="C10746" s="10" t="str">
        <f>"9783832593773"</f>
        <v>9783832593773</v>
      </c>
      <c r="D10746" s="10" t="s">
        <v>46455</v>
      </c>
      <c r="E10746" s="10" t="s">
        <v>46455</v>
      </c>
      <c r="F10746" s="10" t="s">
        <v>2925</v>
      </c>
      <c r="G10746" s="10" t="s">
        <v>9998</v>
      </c>
      <c r="H10746" s="11">
        <v>40451</v>
      </c>
      <c r="I10746" s="10">
        <v>2010</v>
      </c>
      <c r="J10746" s="10" t="s">
        <v>46455</v>
      </c>
      <c r="K10746" s="10">
        <v>202</v>
      </c>
      <c r="L10746" s="10" t="s">
        <v>47003</v>
      </c>
      <c r="M10746" s="10">
        <v>1</v>
      </c>
      <c r="N10746" s="10" t="s">
        <v>46466</v>
      </c>
      <c r="O10746" s="10">
        <v>107</v>
      </c>
      <c r="P10746" s="10" t="s">
        <v>47004</v>
      </c>
      <c r="Q10746" s="10">
        <v>379.15800000000002</v>
      </c>
      <c r="R10746" s="10" t="s">
        <v>46740</v>
      </c>
      <c r="S10746" s="10" t="s">
        <v>1519</v>
      </c>
      <c r="T10746" s="10" t="s">
        <v>54</v>
      </c>
    </row>
    <row r="10747" spans="1:20" ht="14.5" x14ac:dyDescent="0.35">
      <c r="A10747" s="10" t="s">
        <v>47005</v>
      </c>
      <c r="B10747" s="10" t="str">
        <f>"9783832543365"</f>
        <v>9783832543365</v>
      </c>
      <c r="C10747" s="10" t="str">
        <f>"9783832593834"</f>
        <v>9783832593834</v>
      </c>
      <c r="D10747" s="10" t="s">
        <v>46455</v>
      </c>
      <c r="E10747" s="10" t="s">
        <v>46455</v>
      </c>
      <c r="F10747" s="10" t="s">
        <v>2925</v>
      </c>
      <c r="G10747" s="10" t="s">
        <v>9998</v>
      </c>
      <c r="H10747" s="11">
        <v>42683</v>
      </c>
      <c r="I10747" s="10">
        <v>2016</v>
      </c>
      <c r="J10747" s="10" t="s">
        <v>46455</v>
      </c>
      <c r="K10747" s="10">
        <v>171</v>
      </c>
      <c r="L10747" s="10" t="s">
        <v>47006</v>
      </c>
      <c r="M10747" s="10">
        <v>1</v>
      </c>
      <c r="N10747" s="10" t="s">
        <v>46457</v>
      </c>
      <c r="O10747" s="10">
        <v>17</v>
      </c>
      <c r="P10747" s="10" t="s">
        <v>47007</v>
      </c>
      <c r="Q10747" s="10">
        <v>574.5</v>
      </c>
      <c r="R10747" s="10" t="s">
        <v>47008</v>
      </c>
      <c r="S10747" s="10" t="s">
        <v>1519</v>
      </c>
      <c r="T10747" s="10" t="s">
        <v>13819</v>
      </c>
    </row>
    <row r="10748" spans="1:20" ht="14.5" x14ac:dyDescent="0.35">
      <c r="A10748" s="10" t="s">
        <v>47009</v>
      </c>
      <c r="B10748" s="10" t="str">
        <f>"9783832541842"</f>
        <v>9783832541842</v>
      </c>
      <c r="C10748" s="10" t="str">
        <f>"9783832594299"</f>
        <v>9783832594299</v>
      </c>
      <c r="D10748" s="10" t="s">
        <v>46455</v>
      </c>
      <c r="E10748" s="10" t="s">
        <v>46455</v>
      </c>
      <c r="F10748" s="10" t="s">
        <v>2925</v>
      </c>
      <c r="G10748" s="10" t="s">
        <v>9998</v>
      </c>
      <c r="H10748" s="11">
        <v>42400</v>
      </c>
      <c r="I10748" s="10">
        <v>2016</v>
      </c>
      <c r="J10748" s="10" t="s">
        <v>46455</v>
      </c>
      <c r="K10748" s="10">
        <v>398</v>
      </c>
      <c r="L10748" s="10" t="s">
        <v>47010</v>
      </c>
      <c r="M10748" s="10">
        <v>1</v>
      </c>
      <c r="N10748" s="10"/>
      <c r="O10748" s="10"/>
      <c r="P10748" s="10" t="s">
        <v>47011</v>
      </c>
      <c r="Q10748" s="10">
        <v>371.10094299999997</v>
      </c>
      <c r="R10748" s="10" t="s">
        <v>47012</v>
      </c>
      <c r="S10748" s="10" t="s">
        <v>1519</v>
      </c>
      <c r="T10748" s="10" t="s">
        <v>54</v>
      </c>
    </row>
    <row r="10749" spans="1:20" ht="14.5" x14ac:dyDescent="0.35">
      <c r="A10749" s="10" t="s">
        <v>47013</v>
      </c>
      <c r="B10749" s="10" t="str">
        <f>"9783832539795"</f>
        <v>9783832539795</v>
      </c>
      <c r="C10749" s="10" t="str">
        <f>"9783832594961"</f>
        <v>9783832594961</v>
      </c>
      <c r="D10749" s="10" t="s">
        <v>46455</v>
      </c>
      <c r="E10749" s="10" t="s">
        <v>46455</v>
      </c>
      <c r="F10749" s="10" t="s">
        <v>2925</v>
      </c>
      <c r="G10749" s="10" t="s">
        <v>9998</v>
      </c>
      <c r="H10749" s="11">
        <v>42154</v>
      </c>
      <c r="I10749" s="10">
        <v>2015</v>
      </c>
      <c r="J10749" s="10" t="s">
        <v>46455</v>
      </c>
      <c r="K10749" s="10">
        <v>264</v>
      </c>
      <c r="L10749" s="10" t="s">
        <v>47014</v>
      </c>
      <c r="M10749" s="10">
        <v>1</v>
      </c>
      <c r="N10749" s="10" t="s">
        <v>46466</v>
      </c>
      <c r="O10749" s="10">
        <v>186</v>
      </c>
      <c r="P10749" s="10" t="s">
        <v>47015</v>
      </c>
      <c r="Q10749" s="10">
        <v>371.39400000000001</v>
      </c>
      <c r="R10749" s="10" t="s">
        <v>47016</v>
      </c>
      <c r="S10749" s="10" t="s">
        <v>1519</v>
      </c>
      <c r="T10749" s="10" t="s">
        <v>54</v>
      </c>
    </row>
    <row r="10750" spans="1:20" ht="14.5" x14ac:dyDescent="0.35">
      <c r="A10750" s="10" t="s">
        <v>47017</v>
      </c>
      <c r="B10750" s="10" t="str">
        <f>"9783832540821"</f>
        <v>9783832540821</v>
      </c>
      <c r="C10750" s="10" t="str">
        <f>"9783832594596"</f>
        <v>9783832594596</v>
      </c>
      <c r="D10750" s="10" t="s">
        <v>46455</v>
      </c>
      <c r="E10750" s="10" t="s">
        <v>46455</v>
      </c>
      <c r="F10750" s="10" t="s">
        <v>2925</v>
      </c>
      <c r="G10750" s="10" t="s">
        <v>9998</v>
      </c>
      <c r="H10750" s="11">
        <v>42262</v>
      </c>
      <c r="I10750" s="10">
        <v>2015</v>
      </c>
      <c r="J10750" s="10" t="s">
        <v>46455</v>
      </c>
      <c r="K10750" s="10">
        <v>170</v>
      </c>
      <c r="L10750" s="10" t="s">
        <v>47018</v>
      </c>
      <c r="M10750" s="10">
        <v>1</v>
      </c>
      <c r="N10750" s="10" t="s">
        <v>46466</v>
      </c>
      <c r="O10750" s="10">
        <v>191</v>
      </c>
      <c r="P10750" s="10" t="s">
        <v>47019</v>
      </c>
      <c r="Q10750" s="10">
        <v>530.07100000000003</v>
      </c>
      <c r="R10750" s="10" t="s">
        <v>46774</v>
      </c>
      <c r="S10750" s="10" t="s">
        <v>1519</v>
      </c>
      <c r="T10750" s="10" t="s">
        <v>11108</v>
      </c>
    </row>
    <row r="10751" spans="1:20" ht="14.5" x14ac:dyDescent="0.35">
      <c r="A10751" s="10" t="s">
        <v>47020</v>
      </c>
      <c r="B10751" s="10" t="str">
        <f>"9783832539658"</f>
        <v>9783832539658</v>
      </c>
      <c r="C10751" s="10" t="str">
        <f>"9783832594954"</f>
        <v>9783832594954</v>
      </c>
      <c r="D10751" s="10" t="s">
        <v>46455</v>
      </c>
      <c r="E10751" s="10" t="s">
        <v>46455</v>
      </c>
      <c r="F10751" s="10" t="s">
        <v>2925</v>
      </c>
      <c r="G10751" s="10" t="s">
        <v>9998</v>
      </c>
      <c r="H10751" s="11">
        <v>42131</v>
      </c>
      <c r="I10751" s="10">
        <v>2015</v>
      </c>
      <c r="J10751" s="10" t="s">
        <v>46455</v>
      </c>
      <c r="K10751" s="10">
        <v>364</v>
      </c>
      <c r="L10751" s="10" t="s">
        <v>47021</v>
      </c>
      <c r="M10751" s="10">
        <v>1</v>
      </c>
      <c r="N10751" s="10" t="s">
        <v>46466</v>
      </c>
      <c r="O10751" s="10">
        <v>183</v>
      </c>
      <c r="P10751" s="10" t="s">
        <v>47022</v>
      </c>
      <c r="Q10751" s="10">
        <v>540.71</v>
      </c>
      <c r="R10751" s="10" t="s">
        <v>46645</v>
      </c>
      <c r="S10751" s="10" t="s">
        <v>1519</v>
      </c>
      <c r="T10751" s="10" t="s">
        <v>11332</v>
      </c>
    </row>
    <row r="10752" spans="1:20" ht="14.5" x14ac:dyDescent="0.35">
      <c r="A10752" s="10" t="s">
        <v>47023</v>
      </c>
      <c r="B10752" s="10" t="str">
        <f>"9781474282130"</f>
        <v>9781474282130</v>
      </c>
      <c r="C10752" s="10" t="str">
        <f>"9781474282154"</f>
        <v>9781474282154</v>
      </c>
      <c r="D10752" s="10" t="s">
        <v>13959</v>
      </c>
      <c r="E10752" s="10" t="s">
        <v>13960</v>
      </c>
      <c r="F10752" s="10" t="s">
        <v>139</v>
      </c>
      <c r="G10752" s="10" t="s">
        <v>6352</v>
      </c>
      <c r="H10752" s="11">
        <v>43153</v>
      </c>
      <c r="I10752" s="10">
        <v>2020</v>
      </c>
      <c r="J10752" s="10" t="s">
        <v>14057</v>
      </c>
      <c r="K10752" s="10">
        <v>234</v>
      </c>
      <c r="L10752" s="10" t="s">
        <v>47024</v>
      </c>
      <c r="M10752" s="10">
        <v>1</v>
      </c>
      <c r="N10752" s="10"/>
      <c r="O10752" s="10"/>
      <c r="P10752" s="10" t="s">
        <v>47025</v>
      </c>
      <c r="Q10752" s="10">
        <v>322.4209611</v>
      </c>
      <c r="R10752" s="10" t="s">
        <v>47026</v>
      </c>
      <c r="S10752" s="10" t="s">
        <v>53</v>
      </c>
      <c r="T10752" s="10" t="s">
        <v>47027</v>
      </c>
    </row>
    <row r="10753" spans="1:20" ht="14.5" x14ac:dyDescent="0.35">
      <c r="A10753" s="10" t="s">
        <v>47028</v>
      </c>
      <c r="B10753" s="10" t="str">
        <f>"9781787437685"</f>
        <v>9781787437685</v>
      </c>
      <c r="C10753" s="10" t="str">
        <f>"9781787437678"</f>
        <v>9781787437678</v>
      </c>
      <c r="D10753" s="10" t="s">
        <v>8699</v>
      </c>
      <c r="E10753" s="10" t="s">
        <v>8699</v>
      </c>
      <c r="F10753" s="10" t="s">
        <v>559</v>
      </c>
      <c r="G10753" s="10" t="s">
        <v>6352</v>
      </c>
      <c r="H10753" s="11">
        <v>43280</v>
      </c>
      <c r="I10753" s="10">
        <v>2018</v>
      </c>
      <c r="J10753" s="10" t="s">
        <v>8699</v>
      </c>
      <c r="K10753" s="10">
        <v>361</v>
      </c>
      <c r="L10753" s="10" t="s">
        <v>47029</v>
      </c>
      <c r="M10753" s="10">
        <v>1</v>
      </c>
      <c r="N10753" s="10" t="s">
        <v>14534</v>
      </c>
      <c r="O10753" s="10">
        <v>35</v>
      </c>
      <c r="P10753" s="10" t="s">
        <v>28438</v>
      </c>
      <c r="Q10753" s="10">
        <v>370.7</v>
      </c>
      <c r="R10753" s="10" t="s">
        <v>47030</v>
      </c>
      <c r="S10753" s="10" t="s">
        <v>53</v>
      </c>
      <c r="T10753" s="10" t="s">
        <v>54</v>
      </c>
    </row>
    <row r="10754" spans="1:20" ht="14.5" x14ac:dyDescent="0.35">
      <c r="A10754" s="10" t="s">
        <v>47031</v>
      </c>
      <c r="B10754" s="10" t="str">
        <f>"9781944838041"</f>
        <v>9781944838041</v>
      </c>
      <c r="C10754" s="10" t="str">
        <f>"9781944838058"</f>
        <v>9781944838058</v>
      </c>
      <c r="D10754" s="10" t="s">
        <v>263</v>
      </c>
      <c r="E10754" s="10" t="s">
        <v>263</v>
      </c>
      <c r="F10754" s="10" t="s">
        <v>11765</v>
      </c>
      <c r="G10754" s="10" t="s">
        <v>6317</v>
      </c>
      <c r="H10754" s="11">
        <v>43145</v>
      </c>
      <c r="I10754" s="10">
        <v>2017</v>
      </c>
      <c r="J10754" s="10" t="s">
        <v>263</v>
      </c>
      <c r="K10754" s="10">
        <v>185</v>
      </c>
      <c r="L10754" s="10" t="s">
        <v>47032</v>
      </c>
      <c r="M10754" s="10">
        <v>1</v>
      </c>
      <c r="N10754" s="10"/>
      <c r="O10754" s="10"/>
      <c r="P10754" s="10" t="s">
        <v>43614</v>
      </c>
      <c r="Q10754" s="10" t="s">
        <v>47033</v>
      </c>
      <c r="R10754" s="10" t="s">
        <v>47034</v>
      </c>
      <c r="S10754" s="10" t="s">
        <v>53</v>
      </c>
      <c r="T10754" s="10" t="s">
        <v>6472</v>
      </c>
    </row>
    <row r="10755" spans="1:20" ht="14.5" x14ac:dyDescent="0.35">
      <c r="A10755" s="10" t="s">
        <v>47035</v>
      </c>
      <c r="B10755" s="10" t="str">
        <f>"9781785927782"</f>
        <v>9781785927782</v>
      </c>
      <c r="C10755" s="10" t="str">
        <f>"9781784506902"</f>
        <v>9781784506902</v>
      </c>
      <c r="D10755" s="10" t="s">
        <v>10516</v>
      </c>
      <c r="E10755" s="10" t="s">
        <v>10516</v>
      </c>
      <c r="F10755" s="10" t="s">
        <v>139</v>
      </c>
      <c r="G10755" s="10" t="s">
        <v>6352</v>
      </c>
      <c r="H10755" s="11">
        <v>43152</v>
      </c>
      <c r="I10755" s="10">
        <v>2018</v>
      </c>
      <c r="J10755" s="10" t="s">
        <v>10516</v>
      </c>
      <c r="K10755" s="10">
        <v>130</v>
      </c>
      <c r="L10755" s="10" t="s">
        <v>47036</v>
      </c>
      <c r="M10755" s="10">
        <v>1</v>
      </c>
      <c r="N10755" s="10"/>
      <c r="O10755" s="10"/>
      <c r="P10755" s="10"/>
      <c r="Q10755" s="10">
        <v>371.94</v>
      </c>
      <c r="R10755" s="10"/>
      <c r="S10755" s="10" t="s">
        <v>53</v>
      </c>
      <c r="T10755" s="10" t="s">
        <v>54</v>
      </c>
    </row>
    <row r="10756" spans="1:20" ht="14.5" x14ac:dyDescent="0.35">
      <c r="A10756" s="10" t="s">
        <v>47037</v>
      </c>
      <c r="B10756" s="10" t="str">
        <f>"9781941316009"</f>
        <v>9781941316009</v>
      </c>
      <c r="C10756" s="10" t="str">
        <f>"9781941316818"</f>
        <v>9781941316818</v>
      </c>
      <c r="D10756" s="10" t="s">
        <v>3386</v>
      </c>
      <c r="E10756" s="10" t="s">
        <v>3386</v>
      </c>
      <c r="F10756" s="10" t="s">
        <v>9597</v>
      </c>
      <c r="G10756" s="10" t="s">
        <v>6317</v>
      </c>
      <c r="H10756" s="11">
        <v>42064</v>
      </c>
      <c r="I10756" s="10">
        <v>2015</v>
      </c>
      <c r="J10756" s="10" t="s">
        <v>3386</v>
      </c>
      <c r="K10756" s="10">
        <v>146</v>
      </c>
      <c r="L10756" s="10" t="s">
        <v>47038</v>
      </c>
      <c r="M10756" s="10">
        <v>1</v>
      </c>
      <c r="N10756" s="10"/>
      <c r="O10756" s="10"/>
      <c r="P10756" s="10" t="s">
        <v>47039</v>
      </c>
      <c r="Q10756" s="10" t="s">
        <v>24099</v>
      </c>
      <c r="R10756" s="10" t="s">
        <v>47040</v>
      </c>
      <c r="S10756" s="10" t="s">
        <v>53</v>
      </c>
      <c r="T10756" s="10" t="s">
        <v>7193</v>
      </c>
    </row>
    <row r="10757" spans="1:20" ht="14.5" x14ac:dyDescent="0.35">
      <c r="A10757" s="10" t="s">
        <v>47041</v>
      </c>
      <c r="B10757" s="10" t="str">
        <f>"9781474236065"</f>
        <v>9781474236065</v>
      </c>
      <c r="C10757" s="10" t="str">
        <f>"9781474236058"</f>
        <v>9781474236058</v>
      </c>
      <c r="D10757" s="10" t="s">
        <v>13959</v>
      </c>
      <c r="E10757" s="10" t="s">
        <v>13960</v>
      </c>
      <c r="F10757" s="10" t="s">
        <v>139</v>
      </c>
      <c r="G10757" s="10" t="s">
        <v>6352</v>
      </c>
      <c r="H10757" s="11">
        <v>43181</v>
      </c>
      <c r="I10757" s="10">
        <v>2020</v>
      </c>
      <c r="J10757" s="10" t="s">
        <v>14057</v>
      </c>
      <c r="K10757" s="10">
        <v>228</v>
      </c>
      <c r="L10757" s="10" t="s">
        <v>47042</v>
      </c>
      <c r="M10757" s="10">
        <v>1</v>
      </c>
      <c r="N10757" s="10"/>
      <c r="O10757" s="10"/>
      <c r="P10757" s="10" t="s">
        <v>47043</v>
      </c>
      <c r="Q10757" s="10">
        <v>306.43</v>
      </c>
      <c r="R10757" s="10" t="s">
        <v>45982</v>
      </c>
      <c r="S10757" s="10" t="s">
        <v>53</v>
      </c>
      <c r="T10757" s="10" t="s">
        <v>6526</v>
      </c>
    </row>
    <row r="10758" spans="1:20" ht="14.5" x14ac:dyDescent="0.35">
      <c r="A10758" s="10" t="s">
        <v>47044</v>
      </c>
      <c r="B10758" s="10" t="str">
        <f>"9781119277309"</f>
        <v>9781119277309</v>
      </c>
      <c r="C10758" s="10" t="str">
        <f>"9781119277453"</f>
        <v>9781119277453</v>
      </c>
      <c r="D10758" s="10" t="s">
        <v>6322</v>
      </c>
      <c r="E10758" s="10" t="s">
        <v>6323</v>
      </c>
      <c r="F10758" s="10" t="s">
        <v>4423</v>
      </c>
      <c r="G10758" s="10" t="s">
        <v>6317</v>
      </c>
      <c r="H10758" s="11">
        <v>43159</v>
      </c>
      <c r="I10758" s="10">
        <v>2018</v>
      </c>
      <c r="J10758" s="10" t="s">
        <v>6324</v>
      </c>
      <c r="K10758" s="10">
        <v>411</v>
      </c>
      <c r="L10758" s="10" t="s">
        <v>40376</v>
      </c>
      <c r="M10758" s="10">
        <v>1</v>
      </c>
      <c r="N10758" s="10"/>
      <c r="O10758" s="10"/>
      <c r="P10758" s="10"/>
      <c r="Q10758" s="10">
        <v>378.125</v>
      </c>
      <c r="R10758" s="10" t="s">
        <v>47045</v>
      </c>
      <c r="S10758" s="10" t="s">
        <v>53</v>
      </c>
      <c r="T10758" s="10" t="s">
        <v>54</v>
      </c>
    </row>
    <row r="10759" spans="1:20" ht="14.5" x14ac:dyDescent="0.35">
      <c r="A10759" s="10" t="s">
        <v>47046</v>
      </c>
      <c r="B10759" s="10" t="str">
        <f>"9781620365557"</f>
        <v>9781620365557</v>
      </c>
      <c r="C10759" s="10" t="str">
        <f>"9781000973884"</f>
        <v>9781000973884</v>
      </c>
      <c r="D10759" s="10" t="s">
        <v>6350</v>
      </c>
      <c r="E10759" s="10" t="s">
        <v>6351</v>
      </c>
      <c r="F10759" s="10" t="s">
        <v>748</v>
      </c>
      <c r="G10759" s="10" t="s">
        <v>6352</v>
      </c>
      <c r="H10759" s="11">
        <v>43124</v>
      </c>
      <c r="I10759" s="10">
        <v>2018</v>
      </c>
      <c r="J10759" s="10" t="s">
        <v>6351</v>
      </c>
      <c r="K10759" s="10">
        <v>247</v>
      </c>
      <c r="L10759" s="10" t="s">
        <v>47047</v>
      </c>
      <c r="M10759" s="10">
        <v>1</v>
      </c>
      <c r="N10759" s="10"/>
      <c r="O10759" s="10"/>
      <c r="P10759" s="10" t="s">
        <v>12453</v>
      </c>
      <c r="Q10759" s="10">
        <v>370.11700000000002</v>
      </c>
      <c r="R10759" s="10" t="s">
        <v>47048</v>
      </c>
      <c r="S10759" s="10" t="s">
        <v>53</v>
      </c>
      <c r="T10759" s="10" t="s">
        <v>54</v>
      </c>
    </row>
    <row r="10760" spans="1:20" ht="14.5" x14ac:dyDescent="0.35">
      <c r="A10760" s="10" t="s">
        <v>47049</v>
      </c>
      <c r="B10760" s="10" t="str">
        <f>"9781475838817"</f>
        <v>9781475838817</v>
      </c>
      <c r="C10760" s="10" t="str">
        <f>"9781475838831"</f>
        <v>9781475838831</v>
      </c>
      <c r="D10760" s="10" t="s">
        <v>9752</v>
      </c>
      <c r="E10760" s="10" t="s">
        <v>15187</v>
      </c>
      <c r="F10760" s="10" t="s">
        <v>9754</v>
      </c>
      <c r="G10760" s="10" t="s">
        <v>6317</v>
      </c>
      <c r="H10760" s="11">
        <v>43137</v>
      </c>
      <c r="I10760" s="10">
        <v>2018</v>
      </c>
      <c r="J10760" s="10" t="s">
        <v>15187</v>
      </c>
      <c r="K10760" s="10">
        <v>147</v>
      </c>
      <c r="L10760" s="10" t="s">
        <v>47050</v>
      </c>
      <c r="M10760" s="10">
        <v>1</v>
      </c>
      <c r="N10760" s="10"/>
      <c r="O10760" s="10"/>
      <c r="P10760" s="10" t="s">
        <v>47051</v>
      </c>
      <c r="Q10760" s="10">
        <v>371.90446200000002</v>
      </c>
      <c r="R10760" s="10" t="s">
        <v>47052</v>
      </c>
      <c r="S10760" s="10" t="s">
        <v>53</v>
      </c>
      <c r="T10760" s="10" t="s">
        <v>54</v>
      </c>
    </row>
    <row r="10761" spans="1:20" ht="14.5" x14ac:dyDescent="0.35">
      <c r="A10761" s="10" t="s">
        <v>47053</v>
      </c>
      <c r="B10761" s="10" t="str">
        <f>"9781442278387"</f>
        <v>9781442278387</v>
      </c>
      <c r="C10761" s="10" t="str">
        <f>"9781442278394"</f>
        <v>9781442278394</v>
      </c>
      <c r="D10761" s="10" t="s">
        <v>9752</v>
      </c>
      <c r="E10761" s="10" t="s">
        <v>15187</v>
      </c>
      <c r="F10761" s="10" t="s">
        <v>9754</v>
      </c>
      <c r="G10761" s="10" t="s">
        <v>6317</v>
      </c>
      <c r="H10761" s="11">
        <v>43171</v>
      </c>
      <c r="I10761" s="10">
        <v>2018</v>
      </c>
      <c r="J10761" s="10" t="s">
        <v>15187</v>
      </c>
      <c r="K10761" s="10">
        <v>133</v>
      </c>
      <c r="L10761" s="10" t="s">
        <v>47054</v>
      </c>
      <c r="M10761" s="10">
        <v>1</v>
      </c>
      <c r="N10761" s="10" t="s">
        <v>44144</v>
      </c>
      <c r="O10761" s="10"/>
      <c r="P10761" s="10" t="s">
        <v>47055</v>
      </c>
      <c r="Q10761" s="10"/>
      <c r="R10761" s="10" t="s">
        <v>47056</v>
      </c>
      <c r="S10761" s="10" t="s">
        <v>53</v>
      </c>
      <c r="T10761" s="10" t="s">
        <v>4490</v>
      </c>
    </row>
    <row r="10762" spans="1:20" ht="14.5" x14ac:dyDescent="0.35">
      <c r="A10762" s="10" t="s">
        <v>47057</v>
      </c>
      <c r="B10762" s="10" t="str">
        <f>"9781787561076"</f>
        <v>9781787561076</v>
      </c>
      <c r="C10762" s="10" t="str">
        <f>"9781787561083"</f>
        <v>9781787561083</v>
      </c>
      <c r="D10762" s="10" t="s">
        <v>8699</v>
      </c>
      <c r="E10762" s="10" t="s">
        <v>8699</v>
      </c>
      <c r="F10762" s="10" t="s">
        <v>41843</v>
      </c>
      <c r="G10762" s="10" t="s">
        <v>6352</v>
      </c>
      <c r="H10762" s="11">
        <v>43126</v>
      </c>
      <c r="I10762" s="10">
        <v>2018</v>
      </c>
      <c r="J10762" s="10" t="s">
        <v>8699</v>
      </c>
      <c r="K10762" s="10">
        <v>84</v>
      </c>
      <c r="L10762" s="10" t="s">
        <v>47058</v>
      </c>
      <c r="M10762" s="10">
        <v>1</v>
      </c>
      <c r="N10762" s="10" t="s">
        <v>2358</v>
      </c>
      <c r="O10762" s="10">
        <v>2</v>
      </c>
      <c r="P10762" s="10" t="s">
        <v>47059</v>
      </c>
      <c r="Q10762" s="10">
        <v>613</v>
      </c>
      <c r="R10762" s="10" t="s">
        <v>46974</v>
      </c>
      <c r="S10762" s="10" t="s">
        <v>53</v>
      </c>
      <c r="T10762" s="10" t="s">
        <v>46975</v>
      </c>
    </row>
    <row r="10763" spans="1:20" ht="14.5" x14ac:dyDescent="0.35">
      <c r="A10763" s="10" t="s">
        <v>47060</v>
      </c>
      <c r="B10763" s="10" t="str">
        <f>"9781474261692"</f>
        <v>9781474261692</v>
      </c>
      <c r="C10763" s="10" t="str">
        <f>"9781474261708"</f>
        <v>9781474261708</v>
      </c>
      <c r="D10763" s="10" t="s">
        <v>13959</v>
      </c>
      <c r="E10763" s="10" t="s">
        <v>13960</v>
      </c>
      <c r="F10763" s="10" t="s">
        <v>139</v>
      </c>
      <c r="G10763" s="10" t="s">
        <v>6352</v>
      </c>
      <c r="H10763" s="11">
        <v>43181</v>
      </c>
      <c r="I10763" s="10">
        <v>2020</v>
      </c>
      <c r="J10763" s="10" t="s">
        <v>14057</v>
      </c>
      <c r="K10763" s="10">
        <v>188</v>
      </c>
      <c r="L10763" s="10" t="s">
        <v>18387</v>
      </c>
      <c r="M10763" s="10">
        <v>1</v>
      </c>
      <c r="N10763" s="10"/>
      <c r="O10763" s="10"/>
      <c r="P10763" s="10" t="s">
        <v>47061</v>
      </c>
      <c r="Q10763" s="10">
        <v>370.15230000000003</v>
      </c>
      <c r="R10763" s="10" t="s">
        <v>43945</v>
      </c>
      <c r="S10763" s="10" t="s">
        <v>53</v>
      </c>
      <c r="T10763" s="10" t="s">
        <v>54</v>
      </c>
    </row>
    <row r="10764" spans="1:20" ht="14.5" x14ac:dyDescent="0.35">
      <c r="A10764" s="10" t="s">
        <v>47062</v>
      </c>
      <c r="B10764" s="10" t="str">
        <f>"9781945349973"</f>
        <v>9781945349973</v>
      </c>
      <c r="C10764" s="10" t="str">
        <f>"9781945349980"</f>
        <v>9781945349980</v>
      </c>
      <c r="D10764" s="10" t="s">
        <v>37580</v>
      </c>
      <c r="E10764" s="10" t="s">
        <v>37581</v>
      </c>
      <c r="F10764" s="10" t="s">
        <v>37623</v>
      </c>
      <c r="G10764" s="10" t="s">
        <v>6317</v>
      </c>
      <c r="H10764" s="11">
        <v>43150</v>
      </c>
      <c r="I10764" s="10">
        <v>2018</v>
      </c>
      <c r="J10764" s="10" t="s">
        <v>37581</v>
      </c>
      <c r="K10764" s="10">
        <v>136</v>
      </c>
      <c r="L10764" s="10" t="s">
        <v>47063</v>
      </c>
      <c r="M10764" s="10">
        <v>1</v>
      </c>
      <c r="N10764" s="10" t="s">
        <v>47064</v>
      </c>
      <c r="O10764" s="10"/>
      <c r="P10764" s="10" t="s">
        <v>47065</v>
      </c>
      <c r="Q10764" s="10" t="s">
        <v>10085</v>
      </c>
      <c r="R10764" s="10" t="s">
        <v>47066</v>
      </c>
      <c r="S10764" s="10" t="s">
        <v>53</v>
      </c>
      <c r="T10764" s="10" t="s">
        <v>389</v>
      </c>
    </row>
    <row r="10765" spans="1:20" ht="14.5" x14ac:dyDescent="0.35">
      <c r="A10765" s="10" t="s">
        <v>47067</v>
      </c>
      <c r="B10765" s="10" t="str">
        <f>"9781945349522"</f>
        <v>9781945349522</v>
      </c>
      <c r="C10765" s="10" t="str">
        <f>"9781945349539"</f>
        <v>9781945349539</v>
      </c>
      <c r="D10765" s="10" t="s">
        <v>37580</v>
      </c>
      <c r="E10765" s="10" t="s">
        <v>37581</v>
      </c>
      <c r="F10765" s="10" t="s">
        <v>37623</v>
      </c>
      <c r="G10765" s="10" t="s">
        <v>6317</v>
      </c>
      <c r="H10765" s="11">
        <v>43151</v>
      </c>
      <c r="I10765" s="10">
        <v>2018</v>
      </c>
      <c r="J10765" s="10" t="s">
        <v>37581</v>
      </c>
      <c r="K10765" s="10">
        <v>240</v>
      </c>
      <c r="L10765" s="10" t="s">
        <v>47068</v>
      </c>
      <c r="M10765" s="10">
        <v>2</v>
      </c>
      <c r="N10765" s="10"/>
      <c r="O10765" s="10"/>
      <c r="P10765" s="10"/>
      <c r="Q10765" s="10"/>
      <c r="R10765" s="10" t="s">
        <v>47069</v>
      </c>
      <c r="S10765" s="10" t="s">
        <v>53</v>
      </c>
      <c r="T10765" s="10" t="s">
        <v>54</v>
      </c>
    </row>
    <row r="10766" spans="1:20" ht="14.5" x14ac:dyDescent="0.35">
      <c r="A10766" s="10" t="s">
        <v>32319</v>
      </c>
      <c r="B10766" s="10" t="str">
        <f>"9781416625315"</f>
        <v>9781416625315</v>
      </c>
      <c r="C10766" s="10" t="str">
        <f>"9781416625322"</f>
        <v>9781416625322</v>
      </c>
      <c r="D10766" s="10" t="s">
        <v>10014</v>
      </c>
      <c r="E10766" s="10" t="s">
        <v>10015</v>
      </c>
      <c r="F10766" s="10" t="s">
        <v>201</v>
      </c>
      <c r="G10766" s="10" t="s">
        <v>6317</v>
      </c>
      <c r="H10766" s="11">
        <v>43159</v>
      </c>
      <c r="I10766" s="10">
        <v>2018</v>
      </c>
      <c r="J10766" s="10" t="s">
        <v>10015</v>
      </c>
      <c r="K10766" s="10">
        <v>231</v>
      </c>
      <c r="L10766" s="10" t="s">
        <v>16000</v>
      </c>
      <c r="M10766" s="10">
        <v>2</v>
      </c>
      <c r="N10766" s="10"/>
      <c r="O10766" s="10"/>
      <c r="P10766" s="10"/>
      <c r="Q10766" s="10">
        <v>371.10199999999998</v>
      </c>
      <c r="R10766" s="10"/>
      <c r="S10766" s="10" t="s">
        <v>53</v>
      </c>
      <c r="T10766" s="10" t="s">
        <v>54</v>
      </c>
    </row>
    <row r="10767" spans="1:20" ht="14.5" x14ac:dyDescent="0.35">
      <c r="A10767" s="10" t="s">
        <v>47070</v>
      </c>
      <c r="B10767" s="10" t="str">
        <f>"9781787566743"</f>
        <v>9781787566743</v>
      </c>
      <c r="C10767" s="10" t="str">
        <f>"9781787566712"</f>
        <v>9781787566712</v>
      </c>
      <c r="D10767" s="10" t="s">
        <v>8699</v>
      </c>
      <c r="E10767" s="10" t="s">
        <v>8699</v>
      </c>
      <c r="F10767" s="10" t="s">
        <v>559</v>
      </c>
      <c r="G10767" s="10" t="s">
        <v>6352</v>
      </c>
      <c r="H10767" s="11">
        <v>43249</v>
      </c>
      <c r="I10767" s="10">
        <v>2018</v>
      </c>
      <c r="J10767" s="10" t="s">
        <v>8699</v>
      </c>
      <c r="K10767" s="10">
        <v>248</v>
      </c>
      <c r="L10767" s="10" t="s">
        <v>47071</v>
      </c>
      <c r="M10767" s="10">
        <v>1</v>
      </c>
      <c r="N10767" s="10" t="s">
        <v>46840</v>
      </c>
      <c r="O10767" s="10"/>
      <c r="P10767" s="10" t="s">
        <v>11270</v>
      </c>
      <c r="Q10767" s="10">
        <v>370</v>
      </c>
      <c r="R10767" s="10" t="s">
        <v>47072</v>
      </c>
      <c r="S10767" s="10" t="s">
        <v>53</v>
      </c>
      <c r="T10767" s="10" t="s">
        <v>54</v>
      </c>
    </row>
    <row r="10768" spans="1:20" ht="14.5" x14ac:dyDescent="0.35">
      <c r="A10768" s="10" t="s">
        <v>47073</v>
      </c>
      <c r="B10768" s="10" t="str">
        <f>"9781897425763"</f>
        <v>9781897425763</v>
      </c>
      <c r="C10768" s="10" t="str">
        <f>"9781897425770"</f>
        <v>9781897425770</v>
      </c>
      <c r="D10768" s="10" t="s">
        <v>17293</v>
      </c>
      <c r="E10768" s="10" t="s">
        <v>17293</v>
      </c>
      <c r="F10768" s="10" t="s">
        <v>99</v>
      </c>
      <c r="G10768" s="10" t="s">
        <v>9536</v>
      </c>
      <c r="H10768" s="11">
        <v>40391</v>
      </c>
      <c r="I10768" s="10">
        <v>2010</v>
      </c>
      <c r="J10768" s="10" t="s">
        <v>17293</v>
      </c>
      <c r="K10768" s="10">
        <v>350</v>
      </c>
      <c r="L10768" s="10" t="s">
        <v>42260</v>
      </c>
      <c r="M10768" s="10"/>
      <c r="N10768" s="10" t="s">
        <v>47074</v>
      </c>
      <c r="O10768" s="10"/>
      <c r="P10768" s="10" t="s">
        <v>47075</v>
      </c>
      <c r="Q10768" s="10">
        <v>371.358</v>
      </c>
      <c r="R10768" s="10" t="s">
        <v>47076</v>
      </c>
      <c r="S10768" s="10" t="s">
        <v>53</v>
      </c>
      <c r="T10768" s="10" t="s">
        <v>54</v>
      </c>
    </row>
    <row r="10769" spans="1:20" ht="14.5" x14ac:dyDescent="0.35">
      <c r="A10769" s="10" t="s">
        <v>47077</v>
      </c>
      <c r="B10769" s="10" t="str">
        <f>"9781613320792"</f>
        <v>9781613320792</v>
      </c>
      <c r="C10769" s="10" t="str">
        <f>"9781613320815"</f>
        <v>9781613320815</v>
      </c>
      <c r="D10769" s="10" t="s">
        <v>20429</v>
      </c>
      <c r="E10769" s="10" t="s">
        <v>47078</v>
      </c>
      <c r="F10769" s="10" t="s">
        <v>70</v>
      </c>
      <c r="G10769" s="10" t="s">
        <v>6317</v>
      </c>
      <c r="H10769" s="11">
        <v>40483</v>
      </c>
      <c r="I10769" s="10">
        <v>2010</v>
      </c>
      <c r="J10769" s="10" t="s">
        <v>47078</v>
      </c>
      <c r="K10769" s="10">
        <v>659</v>
      </c>
      <c r="L10769" s="10" t="s">
        <v>47079</v>
      </c>
      <c r="M10769" s="10">
        <v>1</v>
      </c>
      <c r="N10769" s="10"/>
      <c r="O10769" s="10"/>
      <c r="P10769" s="10" t="s">
        <v>47080</v>
      </c>
      <c r="Q10769" s="10">
        <v>371.61</v>
      </c>
      <c r="R10769" s="10" t="s">
        <v>47081</v>
      </c>
      <c r="S10769" s="10" t="s">
        <v>53</v>
      </c>
      <c r="T10769" s="10" t="s">
        <v>54</v>
      </c>
    </row>
    <row r="10770" spans="1:20" ht="14.5" x14ac:dyDescent="0.35">
      <c r="A10770" s="10" t="s">
        <v>47082</v>
      </c>
      <c r="B10770" s="10" t="str">
        <f>"9781475841947"</f>
        <v>9781475841947</v>
      </c>
      <c r="C10770" s="10" t="str">
        <f>"9781475841954"</f>
        <v>9781475841954</v>
      </c>
      <c r="D10770" s="10" t="s">
        <v>9752</v>
      </c>
      <c r="E10770" s="10" t="s">
        <v>15187</v>
      </c>
      <c r="F10770" s="10" t="s">
        <v>9754</v>
      </c>
      <c r="G10770" s="10" t="s">
        <v>6317</v>
      </c>
      <c r="H10770" s="11">
        <v>43161</v>
      </c>
      <c r="I10770" s="10">
        <v>2018</v>
      </c>
      <c r="J10770" s="10" t="s">
        <v>15187</v>
      </c>
      <c r="K10770" s="10">
        <v>133</v>
      </c>
      <c r="L10770" s="10" t="s">
        <v>47083</v>
      </c>
      <c r="M10770" s="10">
        <v>1</v>
      </c>
      <c r="N10770" s="10"/>
      <c r="O10770" s="10"/>
      <c r="P10770" s="10" t="s">
        <v>47084</v>
      </c>
      <c r="Q10770" s="10">
        <v>371.9</v>
      </c>
      <c r="R10770" s="10" t="s">
        <v>47085</v>
      </c>
      <c r="S10770" s="10" t="s">
        <v>53</v>
      </c>
      <c r="T10770" s="10" t="s">
        <v>54</v>
      </c>
    </row>
    <row r="10771" spans="1:20" ht="14.5" x14ac:dyDescent="0.35">
      <c r="A10771" s="10" t="s">
        <v>47086</v>
      </c>
      <c r="B10771" s="10" t="str">
        <f>"9781475839869"</f>
        <v>9781475839869</v>
      </c>
      <c r="C10771" s="10" t="str">
        <f>"9781475839883"</f>
        <v>9781475839883</v>
      </c>
      <c r="D10771" s="10" t="s">
        <v>9752</v>
      </c>
      <c r="E10771" s="10" t="s">
        <v>15187</v>
      </c>
      <c r="F10771" s="10" t="s">
        <v>9754</v>
      </c>
      <c r="G10771" s="10" t="s">
        <v>6317</v>
      </c>
      <c r="H10771" s="11">
        <v>43172</v>
      </c>
      <c r="I10771" s="10">
        <v>2018</v>
      </c>
      <c r="J10771" s="10" t="s">
        <v>15187</v>
      </c>
      <c r="K10771" s="10">
        <v>124</v>
      </c>
      <c r="L10771" s="10" t="s">
        <v>43604</v>
      </c>
      <c r="M10771" s="10">
        <v>1</v>
      </c>
      <c r="N10771" s="10"/>
      <c r="O10771" s="10"/>
      <c r="P10771" s="10" t="s">
        <v>47087</v>
      </c>
      <c r="Q10771" s="10">
        <v>302.14071000000001</v>
      </c>
      <c r="R10771" s="10" t="s">
        <v>47088</v>
      </c>
      <c r="S10771" s="10" t="s">
        <v>53</v>
      </c>
      <c r="T10771" s="10" t="s">
        <v>6363</v>
      </c>
    </row>
    <row r="10772" spans="1:20" ht="14.5" x14ac:dyDescent="0.35">
      <c r="A10772" s="10" t="s">
        <v>47089</v>
      </c>
      <c r="B10772" s="10" t="str">
        <f>"9781928331483"</f>
        <v>9781928331483</v>
      </c>
      <c r="C10772" s="10" t="str">
        <f>"9781552505991"</f>
        <v>9781552505991</v>
      </c>
      <c r="D10772" s="10" t="s">
        <v>24820</v>
      </c>
      <c r="E10772" s="10" t="s">
        <v>24825</v>
      </c>
      <c r="F10772" s="10" t="s">
        <v>748</v>
      </c>
      <c r="G10772" s="10" t="s">
        <v>24826</v>
      </c>
      <c r="H10772" s="11">
        <v>43098</v>
      </c>
      <c r="I10772" s="10">
        <v>2017</v>
      </c>
      <c r="J10772" s="10" t="s">
        <v>24825</v>
      </c>
      <c r="K10772" s="10">
        <v>610</v>
      </c>
      <c r="L10772" s="10" t="s">
        <v>47090</v>
      </c>
      <c r="M10772" s="10">
        <v>1</v>
      </c>
      <c r="N10772" s="10"/>
      <c r="O10772" s="10"/>
      <c r="P10772" s="10" t="s">
        <v>47091</v>
      </c>
      <c r="Q10772" s="10">
        <v>70.579729999999998</v>
      </c>
      <c r="R10772" s="10" t="s">
        <v>47092</v>
      </c>
      <c r="S10772" s="10" t="s">
        <v>53</v>
      </c>
      <c r="T10772" s="10" t="s">
        <v>10297</v>
      </c>
    </row>
    <row r="10773" spans="1:20" ht="14.5" x14ac:dyDescent="0.35">
      <c r="A10773" s="10" t="s">
        <v>47093</v>
      </c>
      <c r="B10773" s="10" t="str">
        <f>"9781945349560"</f>
        <v>9781945349560</v>
      </c>
      <c r="C10773" s="10" t="str">
        <f>"9781945349577"</f>
        <v>9781945349577</v>
      </c>
      <c r="D10773" s="10" t="s">
        <v>37580</v>
      </c>
      <c r="E10773" s="10" t="s">
        <v>37581</v>
      </c>
      <c r="F10773" s="10" t="s">
        <v>37623</v>
      </c>
      <c r="G10773" s="10" t="s">
        <v>6317</v>
      </c>
      <c r="H10773" s="11">
        <v>43159</v>
      </c>
      <c r="I10773" s="10">
        <v>2018</v>
      </c>
      <c r="J10773" s="10" t="s">
        <v>37581</v>
      </c>
      <c r="K10773" s="10">
        <v>160</v>
      </c>
      <c r="L10773" s="10" t="s">
        <v>47094</v>
      </c>
      <c r="M10773" s="10">
        <v>1</v>
      </c>
      <c r="N10773" s="10"/>
      <c r="O10773" s="10"/>
      <c r="P10773" s="10"/>
      <c r="Q10773" s="10"/>
      <c r="R10773" s="10"/>
      <c r="S10773" s="10" t="s">
        <v>53</v>
      </c>
      <c r="T10773" s="10" t="s">
        <v>54</v>
      </c>
    </row>
    <row r="10774" spans="1:20" ht="14.5" x14ac:dyDescent="0.35">
      <c r="A10774" s="10" t="s">
        <v>47095</v>
      </c>
      <c r="B10774" s="10" t="str">
        <f>"9781475823653"</f>
        <v>9781475823653</v>
      </c>
      <c r="C10774" s="10" t="str">
        <f>"9781475823677"</f>
        <v>9781475823677</v>
      </c>
      <c r="D10774" s="10" t="s">
        <v>9752</v>
      </c>
      <c r="E10774" s="10" t="s">
        <v>15187</v>
      </c>
      <c r="F10774" s="10" t="s">
        <v>9754</v>
      </c>
      <c r="G10774" s="10" t="s">
        <v>6317</v>
      </c>
      <c r="H10774" s="11">
        <v>42346</v>
      </c>
      <c r="I10774" s="10">
        <v>2015</v>
      </c>
      <c r="J10774" s="10" t="s">
        <v>15187</v>
      </c>
      <c r="K10774" s="10">
        <v>153</v>
      </c>
      <c r="L10774" s="10" t="s">
        <v>47096</v>
      </c>
      <c r="M10774" s="10">
        <v>1</v>
      </c>
      <c r="N10774" s="10"/>
      <c r="O10774" s="10"/>
      <c r="P10774" s="10"/>
      <c r="Q10774" s="10">
        <v>650.1</v>
      </c>
      <c r="R10774" s="10" t="s">
        <v>47097</v>
      </c>
      <c r="S10774" s="10" t="s">
        <v>53</v>
      </c>
      <c r="T10774" s="10" t="s">
        <v>6660</v>
      </c>
    </row>
    <row r="10775" spans="1:20" ht="14.5" x14ac:dyDescent="0.35">
      <c r="A10775" s="10" t="s">
        <v>47098</v>
      </c>
      <c r="B10775" s="10" t="str">
        <f>"9781475813227"</f>
        <v>9781475813227</v>
      </c>
      <c r="C10775" s="10" t="str">
        <f>"9781475813241"</f>
        <v>9781475813241</v>
      </c>
      <c r="D10775" s="10" t="s">
        <v>9752</v>
      </c>
      <c r="E10775" s="10" t="s">
        <v>15187</v>
      </c>
      <c r="F10775" s="10" t="s">
        <v>9754</v>
      </c>
      <c r="G10775" s="10" t="s">
        <v>6317</v>
      </c>
      <c r="H10775" s="11">
        <v>42043</v>
      </c>
      <c r="I10775" s="10">
        <v>2015</v>
      </c>
      <c r="J10775" s="10" t="s">
        <v>15187</v>
      </c>
      <c r="K10775" s="10">
        <v>183</v>
      </c>
      <c r="L10775" s="10" t="s">
        <v>47099</v>
      </c>
      <c r="M10775" s="10">
        <v>1</v>
      </c>
      <c r="N10775" s="10"/>
      <c r="O10775" s="10"/>
      <c r="P10775" s="10" t="s">
        <v>47100</v>
      </c>
      <c r="Q10775" s="10" t="s">
        <v>18744</v>
      </c>
      <c r="R10775" s="10" t="s">
        <v>47101</v>
      </c>
      <c r="S10775" s="10" t="s">
        <v>53</v>
      </c>
      <c r="T10775" s="10" t="s">
        <v>6634</v>
      </c>
    </row>
    <row r="10776" spans="1:20" ht="14.5" x14ac:dyDescent="0.35">
      <c r="A10776" s="10" t="s">
        <v>47102</v>
      </c>
      <c r="B10776" s="10" t="str">
        <f>"9781475818420"</f>
        <v>9781475818420</v>
      </c>
      <c r="C10776" s="10" t="str">
        <f>"9781475818437"</f>
        <v>9781475818437</v>
      </c>
      <c r="D10776" s="10" t="s">
        <v>9752</v>
      </c>
      <c r="E10776" s="10" t="s">
        <v>15187</v>
      </c>
      <c r="F10776" s="10" t="s">
        <v>9754</v>
      </c>
      <c r="G10776" s="10" t="s">
        <v>6317</v>
      </c>
      <c r="H10776" s="11">
        <v>42272</v>
      </c>
      <c r="I10776" s="10">
        <v>2015</v>
      </c>
      <c r="J10776" s="10" t="s">
        <v>15187</v>
      </c>
      <c r="K10776" s="10">
        <v>167</v>
      </c>
      <c r="L10776" s="10" t="s">
        <v>39985</v>
      </c>
      <c r="M10776" s="10">
        <v>1</v>
      </c>
      <c r="N10776" s="10" t="s">
        <v>39986</v>
      </c>
      <c r="O10776" s="10"/>
      <c r="P10776" s="10" t="s">
        <v>47103</v>
      </c>
      <c r="Q10776" s="10" t="s">
        <v>9356</v>
      </c>
      <c r="R10776" s="10" t="s">
        <v>47101</v>
      </c>
      <c r="S10776" s="10" t="s">
        <v>53</v>
      </c>
      <c r="T10776" s="10" t="s">
        <v>54</v>
      </c>
    </row>
    <row r="10777" spans="1:20" ht="14.5" x14ac:dyDescent="0.35">
      <c r="A10777" s="10" t="s">
        <v>47104</v>
      </c>
      <c r="B10777" s="10" t="str">
        <f>"9781475823387"</f>
        <v>9781475823387</v>
      </c>
      <c r="C10777" s="10" t="str">
        <f>"9781475823400"</f>
        <v>9781475823400</v>
      </c>
      <c r="D10777" s="10" t="s">
        <v>9752</v>
      </c>
      <c r="E10777" s="10" t="s">
        <v>15187</v>
      </c>
      <c r="F10777" s="10" t="s">
        <v>9754</v>
      </c>
      <c r="G10777" s="10" t="s">
        <v>6317</v>
      </c>
      <c r="H10777" s="11">
        <v>42346</v>
      </c>
      <c r="I10777" s="10">
        <v>2015</v>
      </c>
      <c r="J10777" s="10" t="s">
        <v>15187</v>
      </c>
      <c r="K10777" s="10">
        <v>173</v>
      </c>
      <c r="L10777" s="10" t="s">
        <v>47105</v>
      </c>
      <c r="M10777" s="10">
        <v>1</v>
      </c>
      <c r="N10777" s="10"/>
      <c r="O10777" s="10"/>
      <c r="P10777" s="10" t="s">
        <v>47106</v>
      </c>
      <c r="Q10777" s="10" t="s">
        <v>9356</v>
      </c>
      <c r="R10777" s="10" t="s">
        <v>47107</v>
      </c>
      <c r="S10777" s="10" t="s">
        <v>53</v>
      </c>
      <c r="T10777" s="10" t="s">
        <v>54</v>
      </c>
    </row>
    <row r="10778" spans="1:20" ht="14.5" x14ac:dyDescent="0.35">
      <c r="A10778" s="10" t="s">
        <v>47108</v>
      </c>
      <c r="B10778" s="10" t="str">
        <f>"9781350042384"</f>
        <v>9781350042384</v>
      </c>
      <c r="C10778" s="10" t="str">
        <f>"9781350042391"</f>
        <v>9781350042391</v>
      </c>
      <c r="D10778" s="10" t="s">
        <v>13959</v>
      </c>
      <c r="E10778" s="10" t="s">
        <v>13960</v>
      </c>
      <c r="F10778" s="10" t="s">
        <v>139</v>
      </c>
      <c r="G10778" s="10" t="s">
        <v>6352</v>
      </c>
      <c r="H10778" s="11">
        <v>43195</v>
      </c>
      <c r="I10778" s="10">
        <v>2020</v>
      </c>
      <c r="J10778" s="10" t="s">
        <v>14057</v>
      </c>
      <c r="K10778" s="10">
        <v>224</v>
      </c>
      <c r="L10778" s="10" t="s">
        <v>47109</v>
      </c>
      <c r="M10778" s="10">
        <v>1</v>
      </c>
      <c r="N10778" s="10" t="s">
        <v>45494</v>
      </c>
      <c r="O10778" s="10"/>
      <c r="P10778" s="10" t="s">
        <v>47110</v>
      </c>
      <c r="Q10778" s="10">
        <v>378.101</v>
      </c>
      <c r="R10778" s="10" t="s">
        <v>47111</v>
      </c>
      <c r="S10778" s="10" t="s">
        <v>53</v>
      </c>
      <c r="T10778" s="10" t="s">
        <v>54</v>
      </c>
    </row>
    <row r="10779" spans="1:20" ht="14.5" x14ac:dyDescent="0.35">
      <c r="A10779" s="10" t="s">
        <v>47112</v>
      </c>
      <c r="B10779" s="10" t="str">
        <f>"9781598575583"</f>
        <v>9781598575583</v>
      </c>
      <c r="C10779" s="10" t="str">
        <f>"9781598575590"</f>
        <v>9781598575590</v>
      </c>
      <c r="D10779" s="10" t="s">
        <v>28876</v>
      </c>
      <c r="E10779" s="10" t="s">
        <v>28877</v>
      </c>
      <c r="F10779" s="10" t="s">
        <v>39534</v>
      </c>
      <c r="G10779" s="10" t="s">
        <v>6317</v>
      </c>
      <c r="H10779" s="11">
        <v>43075</v>
      </c>
      <c r="I10779" s="10">
        <v>2018</v>
      </c>
      <c r="J10779" s="10" t="s">
        <v>28877</v>
      </c>
      <c r="K10779" s="10">
        <v>401</v>
      </c>
      <c r="L10779" s="10" t="s">
        <v>47113</v>
      </c>
      <c r="M10779" s="10">
        <v>2</v>
      </c>
      <c r="N10779" s="10"/>
      <c r="O10779" s="10"/>
      <c r="P10779" s="10" t="s">
        <v>47114</v>
      </c>
      <c r="Q10779" s="10">
        <v>371.90447</v>
      </c>
      <c r="R10779" s="10" t="s">
        <v>47115</v>
      </c>
      <c r="S10779" s="10" t="s">
        <v>53</v>
      </c>
      <c r="T10779" s="10" t="s">
        <v>6448</v>
      </c>
    </row>
    <row r="10780" spans="1:20" ht="14.5" x14ac:dyDescent="0.35">
      <c r="A10780" s="10" t="s">
        <v>47116</v>
      </c>
      <c r="B10780" s="10" t="str">
        <f>"9781475838848"</f>
        <v>9781475838848</v>
      </c>
      <c r="C10780" s="10" t="str">
        <f>"9781475838862"</f>
        <v>9781475838862</v>
      </c>
      <c r="D10780" s="10" t="s">
        <v>9752</v>
      </c>
      <c r="E10780" s="10" t="s">
        <v>15187</v>
      </c>
      <c r="F10780" s="10" t="s">
        <v>9754</v>
      </c>
      <c r="G10780" s="10" t="s">
        <v>6317</v>
      </c>
      <c r="H10780" s="11">
        <v>43153</v>
      </c>
      <c r="I10780" s="10">
        <v>2018</v>
      </c>
      <c r="J10780" s="10" t="s">
        <v>15187</v>
      </c>
      <c r="K10780" s="10">
        <v>148</v>
      </c>
      <c r="L10780" s="10" t="s">
        <v>47117</v>
      </c>
      <c r="M10780" s="10">
        <v>1</v>
      </c>
      <c r="N10780" s="10"/>
      <c r="O10780" s="10"/>
      <c r="P10780" s="10" t="s">
        <v>47084</v>
      </c>
      <c r="Q10780" s="10"/>
      <c r="R10780" s="10" t="s">
        <v>47118</v>
      </c>
      <c r="S10780" s="10" t="s">
        <v>53</v>
      </c>
      <c r="T10780" s="10" t="s">
        <v>54</v>
      </c>
    </row>
    <row r="10781" spans="1:20" ht="14.5" x14ac:dyDescent="0.35">
      <c r="A10781" s="10" t="s">
        <v>47119</v>
      </c>
      <c r="B10781" s="10" t="str">
        <f>"9781441122100"</f>
        <v>9781441122100</v>
      </c>
      <c r="C10781" s="10" t="str">
        <f>"9781441133908"</f>
        <v>9781441133908</v>
      </c>
      <c r="D10781" s="10" t="s">
        <v>13959</v>
      </c>
      <c r="E10781" s="10" t="s">
        <v>13960</v>
      </c>
      <c r="F10781" s="10" t="s">
        <v>139</v>
      </c>
      <c r="G10781" s="10" t="s">
        <v>6352</v>
      </c>
      <c r="H10781" s="11">
        <v>40570</v>
      </c>
      <c r="I10781" s="10">
        <v>2009</v>
      </c>
      <c r="J10781" s="10" t="s">
        <v>13961</v>
      </c>
      <c r="K10781" s="10">
        <v>257</v>
      </c>
      <c r="L10781" s="10" t="s">
        <v>47120</v>
      </c>
      <c r="M10781" s="10">
        <v>1</v>
      </c>
      <c r="N10781" s="10"/>
      <c r="O10781" s="10"/>
      <c r="P10781" s="10" t="s">
        <v>47121</v>
      </c>
      <c r="Q10781" s="10">
        <v>370.94099999999997</v>
      </c>
      <c r="R10781" s="10" t="s">
        <v>47122</v>
      </c>
      <c r="S10781" s="10" t="s">
        <v>53</v>
      </c>
      <c r="T10781" s="10" t="s">
        <v>54</v>
      </c>
    </row>
    <row r="10782" spans="1:20" ht="14.5" x14ac:dyDescent="0.35">
      <c r="A10782" s="10" t="s">
        <v>47123</v>
      </c>
      <c r="B10782" s="10" t="str">
        <f>"9781441134707"</f>
        <v>9781441134707</v>
      </c>
      <c r="C10782" s="10" t="str">
        <f>"9781441105493"</f>
        <v>9781441105493</v>
      </c>
      <c r="D10782" s="10" t="s">
        <v>13959</v>
      </c>
      <c r="E10782" s="10" t="s">
        <v>13960</v>
      </c>
      <c r="F10782" s="10" t="s">
        <v>139</v>
      </c>
      <c r="G10782" s="10" t="s">
        <v>6352</v>
      </c>
      <c r="H10782" s="11">
        <v>40331</v>
      </c>
      <c r="I10782" s="10">
        <v>2010</v>
      </c>
      <c r="J10782" s="10" t="s">
        <v>13961</v>
      </c>
      <c r="K10782" s="10">
        <v>193</v>
      </c>
      <c r="L10782" s="10" t="s">
        <v>47124</v>
      </c>
      <c r="M10782" s="10">
        <v>1</v>
      </c>
      <c r="N10782" s="10"/>
      <c r="O10782" s="10"/>
      <c r="P10782" s="10" t="s">
        <v>47125</v>
      </c>
      <c r="Q10782" s="10" t="s">
        <v>47126</v>
      </c>
      <c r="R10782" s="10" t="s">
        <v>47127</v>
      </c>
      <c r="S10782" s="10" t="s">
        <v>53</v>
      </c>
      <c r="T10782" s="10" t="s">
        <v>7769</v>
      </c>
    </row>
    <row r="10783" spans="1:20" ht="14.5" x14ac:dyDescent="0.35">
      <c r="A10783" s="10" t="s">
        <v>47128</v>
      </c>
      <c r="B10783" s="10" t="str">
        <f>"9780826490964"</f>
        <v>9780826490964</v>
      </c>
      <c r="C10783" s="10" t="str">
        <f>"9781441191182"</f>
        <v>9781441191182</v>
      </c>
      <c r="D10783" s="10" t="s">
        <v>13959</v>
      </c>
      <c r="E10783" s="10" t="s">
        <v>13960</v>
      </c>
      <c r="F10783" s="10" t="s">
        <v>139</v>
      </c>
      <c r="G10783" s="10" t="s">
        <v>6352</v>
      </c>
      <c r="H10783" s="11">
        <v>38972</v>
      </c>
      <c r="I10783" s="10">
        <v>2006</v>
      </c>
      <c r="J10783" s="10" t="s">
        <v>13961</v>
      </c>
      <c r="K10783" s="10">
        <v>199</v>
      </c>
      <c r="L10783" s="10" t="s">
        <v>47120</v>
      </c>
      <c r="M10783" s="10">
        <v>2</v>
      </c>
      <c r="N10783" s="10"/>
      <c r="O10783" s="10"/>
      <c r="P10783" s="10" t="s">
        <v>47129</v>
      </c>
      <c r="Q10783" s="10">
        <v>306.42094100000003</v>
      </c>
      <c r="R10783" s="10" t="s">
        <v>47130</v>
      </c>
      <c r="S10783" s="10" t="s">
        <v>53</v>
      </c>
      <c r="T10783" s="10" t="s">
        <v>6363</v>
      </c>
    </row>
    <row r="10784" spans="1:20" ht="14.5" x14ac:dyDescent="0.35">
      <c r="A10784" s="10" t="s">
        <v>47131</v>
      </c>
      <c r="B10784" s="10" t="str">
        <f>"9781852853471"</f>
        <v>9781852853471</v>
      </c>
      <c r="C10784" s="10" t="str">
        <f>"9780826409904"</f>
        <v>9780826409904</v>
      </c>
      <c r="D10784" s="10" t="s">
        <v>13959</v>
      </c>
      <c r="E10784" s="10" t="s">
        <v>13960</v>
      </c>
      <c r="F10784" s="10" t="s">
        <v>139</v>
      </c>
      <c r="G10784" s="10" t="s">
        <v>6352</v>
      </c>
      <c r="H10784" s="11">
        <v>39048</v>
      </c>
      <c r="I10784" s="10">
        <v>2006</v>
      </c>
      <c r="J10784" s="10" t="s">
        <v>14120</v>
      </c>
      <c r="K10784" s="10">
        <v>257</v>
      </c>
      <c r="L10784" s="10" t="s">
        <v>47132</v>
      </c>
      <c r="M10784" s="10">
        <v>1</v>
      </c>
      <c r="N10784" s="10"/>
      <c r="O10784" s="10"/>
      <c r="P10784" s="10" t="s">
        <v>47133</v>
      </c>
      <c r="Q10784" s="10">
        <v>378.41</v>
      </c>
      <c r="R10784" s="10" t="s">
        <v>47134</v>
      </c>
      <c r="S10784" s="10" t="s">
        <v>53</v>
      </c>
      <c r="T10784" s="10" t="s">
        <v>54</v>
      </c>
    </row>
    <row r="10785" spans="1:20" ht="14.5" x14ac:dyDescent="0.35">
      <c r="A10785" s="10" t="s">
        <v>47135</v>
      </c>
      <c r="B10785" s="10" t="str">
        <f>"9780826495136"</f>
        <v>9780826495136</v>
      </c>
      <c r="C10785" s="10" t="str">
        <f>"9781441112460"</f>
        <v>9781441112460</v>
      </c>
      <c r="D10785" s="10" t="s">
        <v>13959</v>
      </c>
      <c r="E10785" s="10" t="s">
        <v>13960</v>
      </c>
      <c r="F10785" s="10" t="s">
        <v>139</v>
      </c>
      <c r="G10785" s="10" t="s">
        <v>6352</v>
      </c>
      <c r="H10785" s="11">
        <v>39231</v>
      </c>
      <c r="I10785" s="10">
        <v>2007</v>
      </c>
      <c r="J10785" s="10" t="s">
        <v>13961</v>
      </c>
      <c r="K10785" s="10">
        <v>227</v>
      </c>
      <c r="L10785" s="10" t="s">
        <v>47136</v>
      </c>
      <c r="M10785" s="10">
        <v>1</v>
      </c>
      <c r="N10785" s="10"/>
      <c r="O10785" s="10"/>
      <c r="P10785" s="10" t="s">
        <v>47137</v>
      </c>
      <c r="Q10785" s="10">
        <v>379.41</v>
      </c>
      <c r="R10785" s="10" t="s">
        <v>47138</v>
      </c>
      <c r="S10785" s="10" t="s">
        <v>53</v>
      </c>
      <c r="T10785" s="10" t="s">
        <v>54</v>
      </c>
    </row>
    <row r="10786" spans="1:20" ht="14.5" x14ac:dyDescent="0.35">
      <c r="A10786" s="10" t="s">
        <v>47139</v>
      </c>
      <c r="B10786" s="10" t="str">
        <f>"9781847062871"</f>
        <v>9781847062871</v>
      </c>
      <c r="C10786" s="10" t="str">
        <f>"9781441121868"</f>
        <v>9781441121868</v>
      </c>
      <c r="D10786" s="10" t="s">
        <v>13959</v>
      </c>
      <c r="E10786" s="10" t="s">
        <v>13960</v>
      </c>
      <c r="F10786" s="10" t="s">
        <v>139</v>
      </c>
      <c r="G10786" s="10" t="s">
        <v>6352</v>
      </c>
      <c r="H10786" s="11">
        <v>40159</v>
      </c>
      <c r="I10786" s="10">
        <v>2009</v>
      </c>
      <c r="J10786" s="10" t="s">
        <v>13961</v>
      </c>
      <c r="K10786" s="10">
        <v>265</v>
      </c>
      <c r="L10786" s="10" t="s">
        <v>47140</v>
      </c>
      <c r="M10786" s="10">
        <v>1</v>
      </c>
      <c r="N10786" s="10"/>
      <c r="O10786" s="10"/>
      <c r="P10786" s="10" t="s">
        <v>47141</v>
      </c>
      <c r="Q10786" s="10">
        <v>373.22209409999999</v>
      </c>
      <c r="R10786" s="10" t="s">
        <v>47142</v>
      </c>
      <c r="S10786" s="10" t="s">
        <v>53</v>
      </c>
      <c r="T10786" s="10" t="s">
        <v>54</v>
      </c>
    </row>
    <row r="10787" spans="1:20" ht="14.5" x14ac:dyDescent="0.35">
      <c r="A10787" s="10" t="s">
        <v>47143</v>
      </c>
      <c r="B10787" s="10" t="str">
        <f>"9781785922657"</f>
        <v>9781785922657</v>
      </c>
      <c r="C10787" s="10" t="str">
        <f>"9781784505554"</f>
        <v>9781784505554</v>
      </c>
      <c r="D10787" s="10" t="s">
        <v>10516</v>
      </c>
      <c r="E10787" s="10" t="s">
        <v>10516</v>
      </c>
      <c r="F10787" s="10" t="s">
        <v>139</v>
      </c>
      <c r="G10787" s="10" t="s">
        <v>6352</v>
      </c>
      <c r="H10787" s="11">
        <v>43180</v>
      </c>
      <c r="I10787" s="10">
        <v>2018</v>
      </c>
      <c r="J10787" s="10" t="s">
        <v>10516</v>
      </c>
      <c r="K10787" s="10">
        <v>234</v>
      </c>
      <c r="L10787" s="10" t="s">
        <v>47144</v>
      </c>
      <c r="M10787" s="10">
        <v>1</v>
      </c>
      <c r="N10787" s="10"/>
      <c r="O10787" s="10"/>
      <c r="P10787" s="10"/>
      <c r="Q10787" s="10">
        <v>362.76799999999997</v>
      </c>
      <c r="R10787" s="10"/>
      <c r="S10787" s="10" t="s">
        <v>53</v>
      </c>
      <c r="T10787" s="10" t="s">
        <v>6363</v>
      </c>
    </row>
    <row r="10788" spans="1:20" ht="14.5" x14ac:dyDescent="0.35">
      <c r="A10788" s="10" t="s">
        <v>47145</v>
      </c>
      <c r="B10788" s="10" t="str">
        <f>"9781943874170"</f>
        <v>9781943874170</v>
      </c>
      <c r="C10788" s="10" t="str">
        <f>"9781943874330"</f>
        <v>9781943874330</v>
      </c>
      <c r="D10788" s="10" t="s">
        <v>37580</v>
      </c>
      <c r="E10788" s="10" t="s">
        <v>37581</v>
      </c>
      <c r="F10788" s="10" t="s">
        <v>37623</v>
      </c>
      <c r="G10788" s="10" t="s">
        <v>6317</v>
      </c>
      <c r="H10788" s="11">
        <v>43175</v>
      </c>
      <c r="I10788" s="10">
        <v>2018</v>
      </c>
      <c r="J10788" s="10" t="s">
        <v>37581</v>
      </c>
      <c r="K10788" s="10">
        <v>112</v>
      </c>
      <c r="L10788" s="10" t="s">
        <v>47146</v>
      </c>
      <c r="M10788" s="10">
        <v>1</v>
      </c>
      <c r="N10788" s="10" t="s">
        <v>47064</v>
      </c>
      <c r="O10788" s="10"/>
      <c r="P10788" s="10" t="s">
        <v>30495</v>
      </c>
      <c r="Q10788" s="10"/>
      <c r="R10788" s="10" t="s">
        <v>47147</v>
      </c>
      <c r="S10788" s="10" t="s">
        <v>53</v>
      </c>
      <c r="T10788" s="10" t="s">
        <v>389</v>
      </c>
    </row>
    <row r="10789" spans="1:20" ht="14.5" x14ac:dyDescent="0.35">
      <c r="A10789" s="10" t="s">
        <v>47148</v>
      </c>
      <c r="B10789" s="10" t="str">
        <f>"9783832542849"</f>
        <v>9783832542849</v>
      </c>
      <c r="C10789" s="10" t="str">
        <f>"9783832592165"</f>
        <v>9783832592165</v>
      </c>
      <c r="D10789" s="10" t="s">
        <v>46455</v>
      </c>
      <c r="E10789" s="10" t="s">
        <v>46455</v>
      </c>
      <c r="F10789" s="10" t="s">
        <v>2925</v>
      </c>
      <c r="G10789" s="10" t="s">
        <v>9998</v>
      </c>
      <c r="H10789" s="11">
        <v>42579</v>
      </c>
      <c r="I10789" s="10">
        <v>2016</v>
      </c>
      <c r="J10789" s="10" t="s">
        <v>46455</v>
      </c>
      <c r="K10789" s="10">
        <v>188</v>
      </c>
      <c r="L10789" s="10" t="s">
        <v>47149</v>
      </c>
      <c r="M10789" s="10">
        <v>1</v>
      </c>
      <c r="N10789" s="10" t="s">
        <v>47150</v>
      </c>
      <c r="O10789" s="10">
        <v>3</v>
      </c>
      <c r="P10789" s="10" t="s">
        <v>47151</v>
      </c>
      <c r="Q10789" s="10">
        <v>306.36200000000002</v>
      </c>
      <c r="R10789" s="10" t="s">
        <v>47152</v>
      </c>
      <c r="S10789" s="10" t="s">
        <v>1519</v>
      </c>
      <c r="T10789" s="10" t="s">
        <v>6363</v>
      </c>
    </row>
    <row r="10790" spans="1:20" ht="14.5" x14ac:dyDescent="0.35">
      <c r="A10790" s="10" t="s">
        <v>47153</v>
      </c>
      <c r="B10790" s="10" t="str">
        <f>"9783832545918"</f>
        <v>9783832545918</v>
      </c>
      <c r="C10790" s="10" t="str">
        <f>"9783832592431"</f>
        <v>9783832592431</v>
      </c>
      <c r="D10790" s="10" t="s">
        <v>46455</v>
      </c>
      <c r="E10790" s="10" t="s">
        <v>46455</v>
      </c>
      <c r="F10790" s="10" t="s">
        <v>2925</v>
      </c>
      <c r="G10790" s="10" t="s">
        <v>9998</v>
      </c>
      <c r="H10790" s="11">
        <v>43100</v>
      </c>
      <c r="I10790" s="10">
        <v>2017</v>
      </c>
      <c r="J10790" s="10" t="s">
        <v>46455</v>
      </c>
      <c r="K10790" s="10">
        <v>200</v>
      </c>
      <c r="L10790" s="10" t="s">
        <v>47154</v>
      </c>
      <c r="M10790" s="10">
        <v>1</v>
      </c>
      <c r="N10790" s="10" t="s">
        <v>46466</v>
      </c>
      <c r="O10790" s="10">
        <v>247</v>
      </c>
      <c r="P10790" s="10" t="s">
        <v>47155</v>
      </c>
      <c r="Q10790" s="10">
        <v>614.79999999999995</v>
      </c>
      <c r="R10790" s="10" t="s">
        <v>47156</v>
      </c>
      <c r="S10790" s="10" t="s">
        <v>53</v>
      </c>
      <c r="T10790" s="10" t="s">
        <v>47157</v>
      </c>
    </row>
    <row r="10791" spans="1:20" ht="14.5" x14ac:dyDescent="0.35">
      <c r="A10791" s="10" t="s">
        <v>47158</v>
      </c>
      <c r="B10791" s="10" t="str">
        <f>"9781475808193"</f>
        <v>9781475808193</v>
      </c>
      <c r="C10791" s="10" t="str">
        <f>"9781475808216"</f>
        <v>9781475808216</v>
      </c>
      <c r="D10791" s="10" t="s">
        <v>9752</v>
      </c>
      <c r="E10791" s="10" t="s">
        <v>15187</v>
      </c>
      <c r="F10791" s="10" t="s">
        <v>9754</v>
      </c>
      <c r="G10791" s="10" t="s">
        <v>6317</v>
      </c>
      <c r="H10791" s="11">
        <v>43173</v>
      </c>
      <c r="I10791" s="10">
        <v>2018</v>
      </c>
      <c r="J10791" s="10" t="s">
        <v>15187</v>
      </c>
      <c r="K10791" s="10">
        <v>112</v>
      </c>
      <c r="L10791" s="10" t="s">
        <v>47159</v>
      </c>
      <c r="M10791" s="10">
        <v>1</v>
      </c>
      <c r="N10791" s="10" t="s">
        <v>27718</v>
      </c>
      <c r="O10791" s="10"/>
      <c r="P10791" s="10" t="s">
        <v>47160</v>
      </c>
      <c r="Q10791" s="10" t="s">
        <v>14718</v>
      </c>
      <c r="R10791" s="10" t="s">
        <v>47161</v>
      </c>
      <c r="S10791" s="10" t="s">
        <v>53</v>
      </c>
      <c r="T10791" s="10" t="s">
        <v>54</v>
      </c>
    </row>
    <row r="10792" spans="1:20" ht="14.5" x14ac:dyDescent="0.35">
      <c r="A10792" s="10" t="s">
        <v>47162</v>
      </c>
      <c r="B10792" s="10" t="str">
        <f>"9780865718784"</f>
        <v>9780865718784</v>
      </c>
      <c r="C10792" s="10" t="str">
        <f>"9781550926712"</f>
        <v>9781550926712</v>
      </c>
      <c r="D10792" s="10" t="s">
        <v>9533</v>
      </c>
      <c r="E10792" s="10" t="s">
        <v>9534</v>
      </c>
      <c r="F10792" s="10" t="s">
        <v>9535</v>
      </c>
      <c r="G10792" s="10" t="s">
        <v>9536</v>
      </c>
      <c r="H10792" s="11">
        <v>43235</v>
      </c>
      <c r="I10792" s="10">
        <v>2018</v>
      </c>
      <c r="J10792" s="10" t="s">
        <v>9534</v>
      </c>
      <c r="K10792" s="10">
        <v>242</v>
      </c>
      <c r="L10792" s="10" t="s">
        <v>47163</v>
      </c>
      <c r="M10792" s="10">
        <v>1</v>
      </c>
      <c r="N10792" s="10"/>
      <c r="O10792" s="10"/>
      <c r="P10792" s="10" t="s">
        <v>47164</v>
      </c>
      <c r="Q10792" s="10">
        <v>371.93</v>
      </c>
      <c r="R10792" s="10" t="s">
        <v>47165</v>
      </c>
      <c r="S10792" s="10" t="s">
        <v>53</v>
      </c>
      <c r="T10792" s="10" t="s">
        <v>54</v>
      </c>
    </row>
    <row r="10793" spans="1:20" ht="14.5" x14ac:dyDescent="0.35">
      <c r="A10793" s="10" t="s">
        <v>47166</v>
      </c>
      <c r="B10793" s="10" t="str">
        <f>"9780470949382"</f>
        <v>9780470949382</v>
      </c>
      <c r="C10793" s="10" t="str">
        <f>"9781119520016"</f>
        <v>9781119520016</v>
      </c>
      <c r="D10793" s="10" t="s">
        <v>6322</v>
      </c>
      <c r="E10793" s="10" t="s">
        <v>6323</v>
      </c>
      <c r="F10793" s="10" t="s">
        <v>4423</v>
      </c>
      <c r="G10793" s="10" t="s">
        <v>6317</v>
      </c>
      <c r="H10793" s="11">
        <v>41667</v>
      </c>
      <c r="I10793" s="10">
        <v>2013</v>
      </c>
      <c r="J10793" s="10" t="s">
        <v>6323</v>
      </c>
      <c r="K10793" s="10">
        <v>1495</v>
      </c>
      <c r="L10793" s="10" t="s">
        <v>47167</v>
      </c>
      <c r="M10793" s="10">
        <v>4</v>
      </c>
      <c r="N10793" s="10"/>
      <c r="O10793" s="10"/>
      <c r="P10793" s="10"/>
      <c r="Q10793" s="10" t="s">
        <v>15257</v>
      </c>
      <c r="R10793" s="10" t="s">
        <v>47168</v>
      </c>
      <c r="S10793" s="10" t="s">
        <v>53</v>
      </c>
      <c r="T10793" s="10" t="s">
        <v>54</v>
      </c>
    </row>
    <row r="10794" spans="1:20" ht="14.5" x14ac:dyDescent="0.35">
      <c r="A10794" s="10" t="s">
        <v>47169</v>
      </c>
      <c r="B10794" s="10" t="str">
        <f>"9781943360017"</f>
        <v>9781943360017</v>
      </c>
      <c r="C10794" s="10" t="str">
        <f>"9781943360024"</f>
        <v>9781943360024</v>
      </c>
      <c r="D10794" s="10" t="s">
        <v>37594</v>
      </c>
      <c r="E10794" s="10" t="s">
        <v>37594</v>
      </c>
      <c r="F10794" s="10" t="s">
        <v>37623</v>
      </c>
      <c r="G10794" s="10" t="s">
        <v>6317</v>
      </c>
      <c r="H10794" s="11">
        <v>43182</v>
      </c>
      <c r="I10794" s="10">
        <v>2018</v>
      </c>
      <c r="J10794" s="10" t="s">
        <v>37594</v>
      </c>
      <c r="K10794" s="10">
        <v>168</v>
      </c>
      <c r="L10794" s="10" t="s">
        <v>47170</v>
      </c>
      <c r="M10794" s="10">
        <v>1</v>
      </c>
      <c r="N10794" s="10" t="s">
        <v>37637</v>
      </c>
      <c r="O10794" s="10"/>
      <c r="P10794" s="10" t="s">
        <v>47171</v>
      </c>
      <c r="Q10794" s="10">
        <v>372.48</v>
      </c>
      <c r="R10794" s="10" t="s">
        <v>47172</v>
      </c>
      <c r="S10794" s="10" t="s">
        <v>53</v>
      </c>
      <c r="T10794" s="10" t="s">
        <v>54</v>
      </c>
    </row>
    <row r="10795" spans="1:20" ht="14.5" x14ac:dyDescent="0.35">
      <c r="A10795" s="10" t="s">
        <v>47173</v>
      </c>
      <c r="B10795" s="10" t="str">
        <f>"9780470949412"</f>
        <v>9780470949412</v>
      </c>
      <c r="C10795" s="10" t="str">
        <f>"9781119520030"</f>
        <v>9781119520030</v>
      </c>
      <c r="D10795" s="10" t="s">
        <v>6322</v>
      </c>
      <c r="E10795" s="10" t="s">
        <v>6323</v>
      </c>
      <c r="F10795" s="10" t="s">
        <v>4423</v>
      </c>
      <c r="G10795" s="10" t="s">
        <v>6317</v>
      </c>
      <c r="H10795" s="11">
        <v>41667</v>
      </c>
      <c r="I10795" s="10">
        <v>2013</v>
      </c>
      <c r="J10795" s="10" t="s">
        <v>6323</v>
      </c>
      <c r="K10795" s="10">
        <v>1350</v>
      </c>
      <c r="L10795" s="10" t="s">
        <v>47167</v>
      </c>
      <c r="M10795" s="10">
        <v>4</v>
      </c>
      <c r="N10795" s="10"/>
      <c r="O10795" s="10"/>
      <c r="P10795" s="10"/>
      <c r="Q10795" s="10"/>
      <c r="R10795" s="10" t="s">
        <v>47168</v>
      </c>
      <c r="S10795" s="10" t="s">
        <v>53</v>
      </c>
      <c r="T10795" s="10" t="s">
        <v>54</v>
      </c>
    </row>
    <row r="10796" spans="1:20" ht="14.5" x14ac:dyDescent="0.35">
      <c r="A10796" s="10" t="s">
        <v>47174</v>
      </c>
      <c r="B10796" s="10" t="str">
        <f>"9780787978136"</f>
        <v>9780787978136</v>
      </c>
      <c r="C10796" s="10" t="str">
        <f>"9781119520047"</f>
        <v>9781119520047</v>
      </c>
      <c r="D10796" s="10" t="s">
        <v>6322</v>
      </c>
      <c r="E10796" s="10" t="s">
        <v>6323</v>
      </c>
      <c r="F10796" s="10" t="s">
        <v>6339</v>
      </c>
      <c r="G10796" s="10" t="s">
        <v>6317</v>
      </c>
      <c r="H10796" s="11">
        <v>38954</v>
      </c>
      <c r="I10796" s="10">
        <v>2006</v>
      </c>
      <c r="J10796" s="10" t="s">
        <v>6324</v>
      </c>
      <c r="K10796" s="10">
        <v>548</v>
      </c>
      <c r="L10796" s="10" t="s">
        <v>47175</v>
      </c>
      <c r="M10796" s="10">
        <v>1</v>
      </c>
      <c r="N10796" s="10"/>
      <c r="O10796" s="10"/>
      <c r="P10796" s="10" t="s">
        <v>47176</v>
      </c>
      <c r="Q10796" s="10" t="s">
        <v>30521</v>
      </c>
      <c r="R10796" s="10" t="s">
        <v>47177</v>
      </c>
      <c r="S10796" s="10" t="s">
        <v>53</v>
      </c>
      <c r="T10796" s="10" t="s">
        <v>54</v>
      </c>
    </row>
    <row r="10797" spans="1:20" ht="14.5" x14ac:dyDescent="0.35">
      <c r="A10797" s="10" t="s">
        <v>47178</v>
      </c>
      <c r="B10797" s="10" t="str">
        <f>"9780470949399"</f>
        <v>9780470949399</v>
      </c>
      <c r="C10797" s="10" t="str">
        <f>"9781119520009"</f>
        <v>9781119520009</v>
      </c>
      <c r="D10797" s="10" t="s">
        <v>6322</v>
      </c>
      <c r="E10797" s="10" t="s">
        <v>6323</v>
      </c>
      <c r="F10797" s="10" t="s">
        <v>4423</v>
      </c>
      <c r="G10797" s="10" t="s">
        <v>6317</v>
      </c>
      <c r="H10797" s="11">
        <v>41667</v>
      </c>
      <c r="I10797" s="10">
        <v>2013</v>
      </c>
      <c r="J10797" s="10" t="s">
        <v>6323</v>
      </c>
      <c r="K10797" s="10">
        <v>1389</v>
      </c>
      <c r="L10797" s="10" t="s">
        <v>47167</v>
      </c>
      <c r="M10797" s="10">
        <v>4</v>
      </c>
      <c r="N10797" s="10"/>
      <c r="O10797" s="10"/>
      <c r="P10797" s="10"/>
      <c r="Q10797" s="10"/>
      <c r="R10797" s="10" t="s">
        <v>47168</v>
      </c>
      <c r="S10797" s="10" t="s">
        <v>53</v>
      </c>
      <c r="T10797" s="10" t="s">
        <v>54</v>
      </c>
    </row>
    <row r="10798" spans="1:20" ht="14.5" x14ac:dyDescent="0.35">
      <c r="A10798" s="10" t="s">
        <v>47179</v>
      </c>
      <c r="B10798" s="10" t="str">
        <f>"9780470949405"</f>
        <v>9780470949405</v>
      </c>
      <c r="C10798" s="10" t="str">
        <f>"9781119520023"</f>
        <v>9781119520023</v>
      </c>
      <c r="D10798" s="10" t="s">
        <v>6322</v>
      </c>
      <c r="E10798" s="10" t="s">
        <v>6323</v>
      </c>
      <c r="F10798" s="10" t="s">
        <v>4423</v>
      </c>
      <c r="G10798" s="10" t="s">
        <v>6317</v>
      </c>
      <c r="H10798" s="11">
        <v>41667</v>
      </c>
      <c r="I10798" s="10">
        <v>2013</v>
      </c>
      <c r="J10798" s="10" t="s">
        <v>6323</v>
      </c>
      <c r="K10798" s="10">
        <v>1445</v>
      </c>
      <c r="L10798" s="10" t="s">
        <v>47167</v>
      </c>
      <c r="M10798" s="10">
        <v>4</v>
      </c>
      <c r="N10798" s="10"/>
      <c r="O10798" s="10"/>
      <c r="P10798" s="10"/>
      <c r="Q10798" s="10"/>
      <c r="R10798" s="10" t="s">
        <v>47168</v>
      </c>
      <c r="S10798" s="10" t="s">
        <v>53</v>
      </c>
      <c r="T10798" s="10" t="s">
        <v>54</v>
      </c>
    </row>
    <row r="10799" spans="1:20" ht="14.5" x14ac:dyDescent="0.35">
      <c r="A10799" s="10" t="s">
        <v>47180</v>
      </c>
      <c r="B10799" s="10" t="str">
        <f>"9781492645962"</f>
        <v>9781492645962</v>
      </c>
      <c r="C10799" s="10" t="str">
        <f>"9781492645986"</f>
        <v>9781492645986</v>
      </c>
      <c r="D10799" s="10" t="s">
        <v>31621</v>
      </c>
      <c r="E10799" s="10" t="s">
        <v>31622</v>
      </c>
      <c r="F10799" s="10" t="s">
        <v>31623</v>
      </c>
      <c r="G10799" s="10" t="s">
        <v>6317</v>
      </c>
      <c r="H10799" s="11">
        <v>42829</v>
      </c>
      <c r="I10799" s="10">
        <v>2017</v>
      </c>
      <c r="J10799" s="10" t="s">
        <v>31622</v>
      </c>
      <c r="K10799" s="10">
        <v>562</v>
      </c>
      <c r="L10799" s="10" t="s">
        <v>47181</v>
      </c>
      <c r="M10799" s="10">
        <v>7</v>
      </c>
      <c r="N10799" s="10"/>
      <c r="O10799" s="10"/>
      <c r="P10799" s="10" t="s">
        <v>47182</v>
      </c>
      <c r="Q10799" s="10" t="s">
        <v>14668</v>
      </c>
      <c r="R10799" s="10"/>
      <c r="S10799" s="10" t="s">
        <v>53</v>
      </c>
      <c r="T10799" s="10" t="s">
        <v>54</v>
      </c>
    </row>
    <row r="10800" spans="1:20" ht="14.5" x14ac:dyDescent="0.35">
      <c r="A10800" s="10" t="s">
        <v>47183</v>
      </c>
      <c r="B10800" s="10" t="str">
        <f>"9781492645993"</f>
        <v>9781492645993</v>
      </c>
      <c r="C10800" s="10" t="str">
        <f>"9781492646013"</f>
        <v>9781492646013</v>
      </c>
      <c r="D10800" s="10" t="s">
        <v>31621</v>
      </c>
      <c r="E10800" s="10" t="s">
        <v>31622</v>
      </c>
      <c r="F10800" s="10" t="s">
        <v>31623</v>
      </c>
      <c r="G10800" s="10" t="s">
        <v>6317</v>
      </c>
      <c r="H10800" s="11">
        <v>42829</v>
      </c>
      <c r="I10800" s="10">
        <v>2017</v>
      </c>
      <c r="J10800" s="10" t="s">
        <v>31622</v>
      </c>
      <c r="K10800" s="10">
        <v>466</v>
      </c>
      <c r="L10800" s="10" t="s">
        <v>47184</v>
      </c>
      <c r="M10800" s="10">
        <v>5</v>
      </c>
      <c r="N10800" s="10"/>
      <c r="O10800" s="10"/>
      <c r="P10800" s="10"/>
      <c r="Q10800" s="10"/>
      <c r="R10800" s="10"/>
      <c r="S10800" s="10" t="s">
        <v>53</v>
      </c>
      <c r="T10800" s="10" t="s">
        <v>47185</v>
      </c>
    </row>
    <row r="10801" spans="1:20" ht="14.5" x14ac:dyDescent="0.35">
      <c r="A10801" s="10" t="s">
        <v>47186</v>
      </c>
      <c r="B10801" s="10" t="str">
        <f>"9788021060982"</f>
        <v>9788021060982</v>
      </c>
      <c r="C10801" s="10" t="str">
        <f>"9788021086166"</f>
        <v>9788021086166</v>
      </c>
      <c r="D10801" s="10" t="s">
        <v>45447</v>
      </c>
      <c r="E10801" s="10" t="s">
        <v>45448</v>
      </c>
      <c r="F10801" s="10" t="s">
        <v>4892</v>
      </c>
      <c r="G10801" s="10" t="s">
        <v>30936</v>
      </c>
      <c r="H10801" s="11">
        <v>41456</v>
      </c>
      <c r="I10801" s="10">
        <v>2013</v>
      </c>
      <c r="J10801" s="10" t="s">
        <v>46362</v>
      </c>
      <c r="K10801" s="10">
        <v>198</v>
      </c>
      <c r="L10801" s="10" t="s">
        <v>47187</v>
      </c>
      <c r="M10801" s="10">
        <v>1</v>
      </c>
      <c r="N10801" s="10"/>
      <c r="O10801" s="10"/>
      <c r="P10801" s="10" t="s">
        <v>47188</v>
      </c>
      <c r="Q10801" s="10">
        <v>370.81</v>
      </c>
      <c r="R10801" s="10" t="s">
        <v>47189</v>
      </c>
      <c r="S10801" s="10" t="s">
        <v>4212</v>
      </c>
      <c r="T10801" s="10" t="s">
        <v>54</v>
      </c>
    </row>
    <row r="10802" spans="1:20" ht="14.5" x14ac:dyDescent="0.35">
      <c r="A10802" s="10" t="s">
        <v>47190</v>
      </c>
      <c r="B10802" s="10" t="str">
        <f>""</f>
        <v/>
      </c>
      <c r="C10802" s="10" t="str">
        <f>"9789352801442"</f>
        <v>9789352801442</v>
      </c>
      <c r="D10802" s="10" t="s">
        <v>14562</v>
      </c>
      <c r="E10802" s="10" t="s">
        <v>14563</v>
      </c>
      <c r="F10802" s="10" t="s">
        <v>14564</v>
      </c>
      <c r="G10802" s="10" t="s">
        <v>13425</v>
      </c>
      <c r="H10802" s="11">
        <v>43059</v>
      </c>
      <c r="I10802" s="10">
        <v>2016</v>
      </c>
      <c r="J10802" s="10" t="s">
        <v>14563</v>
      </c>
      <c r="K10802" s="10">
        <v>466</v>
      </c>
      <c r="L10802" s="10" t="s">
        <v>47191</v>
      </c>
      <c r="M10802" s="10">
        <v>4</v>
      </c>
      <c r="N10802" s="10"/>
      <c r="O10802" s="10"/>
      <c r="P10802" s="10" t="s">
        <v>47192</v>
      </c>
      <c r="Q10802" s="10">
        <v>300.72000000000003</v>
      </c>
      <c r="R10802" s="10" t="s">
        <v>47193</v>
      </c>
      <c r="S10802" s="10" t="s">
        <v>47194</v>
      </c>
      <c r="T10802" s="10" t="s">
        <v>6363</v>
      </c>
    </row>
    <row r="10803" spans="1:20" ht="14.5" x14ac:dyDescent="0.35">
      <c r="A10803" s="10" t="s">
        <v>47195</v>
      </c>
      <c r="B10803" s="10" t="str">
        <f>""</f>
        <v/>
      </c>
      <c r="C10803" s="10" t="str">
        <f>"9782808007948"</f>
        <v>9782808007948</v>
      </c>
      <c r="D10803" s="10" t="s">
        <v>29172</v>
      </c>
      <c r="E10803" s="10" t="s">
        <v>47196</v>
      </c>
      <c r="F10803" s="10" t="s">
        <v>29181</v>
      </c>
      <c r="G10803" s="10" t="s">
        <v>28737</v>
      </c>
      <c r="H10803" s="11">
        <v>43168</v>
      </c>
      <c r="I10803" s="10">
        <v>2018</v>
      </c>
      <c r="J10803" s="10" t="s">
        <v>47196</v>
      </c>
      <c r="K10803" s="10">
        <v>54</v>
      </c>
      <c r="L10803" s="10" t="s">
        <v>47197</v>
      </c>
      <c r="M10803" s="10">
        <v>1</v>
      </c>
      <c r="N10803" s="10" t="s">
        <v>47198</v>
      </c>
      <c r="O10803" s="10"/>
      <c r="P10803" s="10"/>
      <c r="Q10803" s="10"/>
      <c r="R10803" s="10" t="s">
        <v>47199</v>
      </c>
      <c r="S10803" s="10" t="s">
        <v>1519</v>
      </c>
      <c r="T10803" s="10" t="s">
        <v>47200</v>
      </c>
    </row>
    <row r="10804" spans="1:20" ht="14.5" x14ac:dyDescent="0.35">
      <c r="A10804" s="10" t="s">
        <v>47201</v>
      </c>
      <c r="B10804" s="10" t="str">
        <f>""</f>
        <v/>
      </c>
      <c r="C10804" s="10" t="str">
        <f>"9782808008181"</f>
        <v>9782808008181</v>
      </c>
      <c r="D10804" s="10" t="s">
        <v>29172</v>
      </c>
      <c r="E10804" s="10" t="s">
        <v>47196</v>
      </c>
      <c r="F10804" s="10" t="s">
        <v>29181</v>
      </c>
      <c r="G10804" s="10" t="s">
        <v>28737</v>
      </c>
      <c r="H10804" s="11">
        <v>43168</v>
      </c>
      <c r="I10804" s="10">
        <v>2018</v>
      </c>
      <c r="J10804" s="10" t="s">
        <v>47196</v>
      </c>
      <c r="K10804" s="10">
        <v>50</v>
      </c>
      <c r="L10804" s="10" t="s">
        <v>47202</v>
      </c>
      <c r="M10804" s="10">
        <v>1</v>
      </c>
      <c r="N10804" s="10" t="s">
        <v>47198</v>
      </c>
      <c r="O10804" s="10"/>
      <c r="P10804" s="10"/>
      <c r="Q10804" s="10"/>
      <c r="R10804" s="10" t="s">
        <v>47203</v>
      </c>
      <c r="S10804" s="10" t="s">
        <v>1519</v>
      </c>
      <c r="T10804" s="10" t="s">
        <v>47200</v>
      </c>
    </row>
    <row r="10805" spans="1:20" ht="14.5" x14ac:dyDescent="0.35">
      <c r="A10805" s="10" t="s">
        <v>47204</v>
      </c>
      <c r="B10805" s="10" t="str">
        <f>""</f>
        <v/>
      </c>
      <c r="C10805" s="10" t="str">
        <f>"9782808008204"</f>
        <v>9782808008204</v>
      </c>
      <c r="D10805" s="10" t="s">
        <v>29172</v>
      </c>
      <c r="E10805" s="10" t="s">
        <v>47196</v>
      </c>
      <c r="F10805" s="10" t="s">
        <v>29181</v>
      </c>
      <c r="G10805" s="10" t="s">
        <v>28737</v>
      </c>
      <c r="H10805" s="11">
        <v>43168</v>
      </c>
      <c r="I10805" s="10">
        <v>2018</v>
      </c>
      <c r="J10805" s="10" t="s">
        <v>47196</v>
      </c>
      <c r="K10805" s="10">
        <v>52</v>
      </c>
      <c r="L10805" s="10" t="s">
        <v>47205</v>
      </c>
      <c r="M10805" s="10">
        <v>1</v>
      </c>
      <c r="N10805" s="10" t="s">
        <v>47198</v>
      </c>
      <c r="O10805" s="10"/>
      <c r="P10805" s="10"/>
      <c r="Q10805" s="10"/>
      <c r="R10805" s="10" t="s">
        <v>41625</v>
      </c>
      <c r="S10805" s="10" t="s">
        <v>1519</v>
      </c>
      <c r="T10805" s="10" t="s">
        <v>47200</v>
      </c>
    </row>
    <row r="10806" spans="1:20" ht="14.5" x14ac:dyDescent="0.35">
      <c r="A10806" s="10" t="s">
        <v>47206</v>
      </c>
      <c r="B10806" s="10" t="str">
        <f>""</f>
        <v/>
      </c>
      <c r="C10806" s="10" t="str">
        <f>"9782808008242"</f>
        <v>9782808008242</v>
      </c>
      <c r="D10806" s="10" t="s">
        <v>29172</v>
      </c>
      <c r="E10806" s="10" t="s">
        <v>47196</v>
      </c>
      <c r="F10806" s="10" t="s">
        <v>29181</v>
      </c>
      <c r="G10806" s="10" t="s">
        <v>28737</v>
      </c>
      <c r="H10806" s="11">
        <v>43168</v>
      </c>
      <c r="I10806" s="10">
        <v>2018</v>
      </c>
      <c r="J10806" s="10" t="s">
        <v>47196</v>
      </c>
      <c r="K10806" s="10">
        <v>86</v>
      </c>
      <c r="L10806" s="10" t="s">
        <v>47207</v>
      </c>
      <c r="M10806" s="10">
        <v>1</v>
      </c>
      <c r="N10806" s="10" t="s">
        <v>47198</v>
      </c>
      <c r="O10806" s="10"/>
      <c r="P10806" s="10"/>
      <c r="Q10806" s="10"/>
      <c r="R10806" s="10" t="s">
        <v>47208</v>
      </c>
      <c r="S10806" s="10" t="s">
        <v>1519</v>
      </c>
      <c r="T10806" s="10" t="s">
        <v>47200</v>
      </c>
    </row>
    <row r="10807" spans="1:20" ht="14.5" x14ac:dyDescent="0.35">
      <c r="A10807" s="10" t="s">
        <v>47209</v>
      </c>
      <c r="B10807" s="10" t="str">
        <f>""</f>
        <v/>
      </c>
      <c r="C10807" s="10" t="str">
        <f>"9782808008266"</f>
        <v>9782808008266</v>
      </c>
      <c r="D10807" s="10" t="s">
        <v>29172</v>
      </c>
      <c r="E10807" s="10" t="s">
        <v>47196</v>
      </c>
      <c r="F10807" s="10" t="s">
        <v>29181</v>
      </c>
      <c r="G10807" s="10" t="s">
        <v>28737</v>
      </c>
      <c r="H10807" s="11">
        <v>43168</v>
      </c>
      <c r="I10807" s="10">
        <v>2018</v>
      </c>
      <c r="J10807" s="10" t="s">
        <v>47196</v>
      </c>
      <c r="K10807" s="10">
        <v>54</v>
      </c>
      <c r="L10807" s="10" t="s">
        <v>47210</v>
      </c>
      <c r="M10807" s="10">
        <v>1</v>
      </c>
      <c r="N10807" s="10" t="s">
        <v>47198</v>
      </c>
      <c r="O10807" s="10"/>
      <c r="P10807" s="10"/>
      <c r="Q10807" s="10"/>
      <c r="R10807" s="10" t="s">
        <v>47211</v>
      </c>
      <c r="S10807" s="10" t="s">
        <v>1519</v>
      </c>
      <c r="T10807" s="10" t="s">
        <v>47200</v>
      </c>
    </row>
    <row r="10808" spans="1:20" ht="14.5" x14ac:dyDescent="0.35">
      <c r="A10808" s="10" t="s">
        <v>47212</v>
      </c>
      <c r="B10808" s="10" t="str">
        <f>""</f>
        <v/>
      </c>
      <c r="C10808" s="10" t="str">
        <f>"9782808008396"</f>
        <v>9782808008396</v>
      </c>
      <c r="D10808" s="10" t="s">
        <v>29172</v>
      </c>
      <c r="E10808" s="10" t="s">
        <v>47196</v>
      </c>
      <c r="F10808" s="10" t="s">
        <v>29181</v>
      </c>
      <c r="G10808" s="10" t="s">
        <v>28737</v>
      </c>
      <c r="H10808" s="11">
        <v>43168</v>
      </c>
      <c r="I10808" s="10">
        <v>2018</v>
      </c>
      <c r="J10808" s="10" t="s">
        <v>47196</v>
      </c>
      <c r="K10808" s="10">
        <v>58</v>
      </c>
      <c r="L10808" s="10" t="s">
        <v>47213</v>
      </c>
      <c r="M10808" s="10">
        <v>1</v>
      </c>
      <c r="N10808" s="10" t="s">
        <v>47198</v>
      </c>
      <c r="O10808" s="10"/>
      <c r="P10808" s="10"/>
      <c r="Q10808" s="10"/>
      <c r="R10808" s="10" t="s">
        <v>47214</v>
      </c>
      <c r="S10808" s="10" t="s">
        <v>1519</v>
      </c>
      <c r="T10808" s="10" t="s">
        <v>47200</v>
      </c>
    </row>
    <row r="10809" spans="1:20" ht="14.5" x14ac:dyDescent="0.35">
      <c r="A10809" s="10" t="s">
        <v>47215</v>
      </c>
      <c r="B10809" s="10" t="str">
        <f>""</f>
        <v/>
      </c>
      <c r="C10809" s="10" t="str">
        <f>"9782806299451"</f>
        <v>9782806299451</v>
      </c>
      <c r="D10809" s="10" t="s">
        <v>29172</v>
      </c>
      <c r="E10809" s="10" t="s">
        <v>29173</v>
      </c>
      <c r="F10809" s="10" t="s">
        <v>29181</v>
      </c>
      <c r="G10809" s="10" t="s">
        <v>28737</v>
      </c>
      <c r="H10809" s="11">
        <v>43173</v>
      </c>
      <c r="I10809" s="10">
        <v>2018</v>
      </c>
      <c r="J10809" s="10" t="s">
        <v>31276</v>
      </c>
      <c r="K10809" s="10">
        <v>58</v>
      </c>
      <c r="L10809" s="10" t="s">
        <v>47216</v>
      </c>
      <c r="M10809" s="10">
        <v>1</v>
      </c>
      <c r="N10809" s="10" t="s">
        <v>47217</v>
      </c>
      <c r="O10809" s="10"/>
      <c r="P10809" s="10"/>
      <c r="Q10809" s="10"/>
      <c r="R10809" s="10" t="s">
        <v>43617</v>
      </c>
      <c r="S10809" s="10" t="s">
        <v>119</v>
      </c>
      <c r="T10809" s="10" t="s">
        <v>6526</v>
      </c>
    </row>
    <row r="10810" spans="1:20" ht="14.5" x14ac:dyDescent="0.35">
      <c r="A10810" s="10" t="s">
        <v>47218</v>
      </c>
      <c r="B10810" s="10" t="str">
        <f>"9781138125384"</f>
        <v>9781138125384</v>
      </c>
      <c r="C10810" s="10" t="str">
        <f>"9781317298267"</f>
        <v>9781317298267</v>
      </c>
      <c r="D10810" s="10" t="s">
        <v>6350</v>
      </c>
      <c r="E10810" s="10" t="s">
        <v>6351</v>
      </c>
      <c r="F10810" s="10" t="s">
        <v>5406</v>
      </c>
      <c r="G10810" s="10" t="s">
        <v>6317</v>
      </c>
      <c r="H10810" s="11">
        <v>43133</v>
      </c>
      <c r="I10810" s="10">
        <v>2018</v>
      </c>
      <c r="J10810" s="10" t="s">
        <v>6353</v>
      </c>
      <c r="K10810" s="10">
        <v>173</v>
      </c>
      <c r="L10810" s="10" t="s">
        <v>47219</v>
      </c>
      <c r="M10810" s="10">
        <v>1</v>
      </c>
      <c r="N10810" s="10"/>
      <c r="O10810" s="10"/>
      <c r="P10810" s="10" t="s">
        <v>47220</v>
      </c>
      <c r="Q10810" s="10">
        <v>371.33446780000003</v>
      </c>
      <c r="R10810" s="10" t="s">
        <v>47221</v>
      </c>
      <c r="S10810" s="10" t="s">
        <v>53</v>
      </c>
      <c r="T10810" s="10" t="s">
        <v>54</v>
      </c>
    </row>
    <row r="10811" spans="1:20" ht="14.5" x14ac:dyDescent="0.35">
      <c r="A10811" s="10" t="s">
        <v>47222</v>
      </c>
      <c r="B10811" s="10" t="str">
        <f>"9781786302304"</f>
        <v>9781786302304</v>
      </c>
      <c r="C10811" s="10" t="str">
        <f>"9781119516514"</f>
        <v>9781119516514</v>
      </c>
      <c r="D10811" s="10" t="s">
        <v>6322</v>
      </c>
      <c r="E10811" s="10" t="s">
        <v>6323</v>
      </c>
      <c r="F10811" s="10" t="s">
        <v>4423</v>
      </c>
      <c r="G10811" s="10" t="s">
        <v>6317</v>
      </c>
      <c r="H10811" s="11">
        <v>43186</v>
      </c>
      <c r="I10811" s="10">
        <v>2018</v>
      </c>
      <c r="J10811" s="10" t="s">
        <v>29411</v>
      </c>
      <c r="K10811" s="10">
        <v>355</v>
      </c>
      <c r="L10811" s="10" t="s">
        <v>47223</v>
      </c>
      <c r="M10811" s="10">
        <v>1</v>
      </c>
      <c r="N10811" s="10"/>
      <c r="O10811" s="10"/>
      <c r="P10811" s="10"/>
      <c r="Q10811" s="10">
        <v>370.1</v>
      </c>
      <c r="R10811" s="10" t="s">
        <v>9416</v>
      </c>
      <c r="S10811" s="10" t="s">
        <v>53</v>
      </c>
      <c r="T10811" s="10" t="s">
        <v>54</v>
      </c>
    </row>
    <row r="10812" spans="1:20" ht="14.5" x14ac:dyDescent="0.35">
      <c r="A10812" s="10" t="s">
        <v>47224</v>
      </c>
      <c r="B10812" s="10" t="str">
        <f>"9789386446299"</f>
        <v>9789386446299</v>
      </c>
      <c r="C10812" s="10" t="str">
        <f>"9789386602435"</f>
        <v>9789386602435</v>
      </c>
      <c r="D10812" s="10" t="s">
        <v>14562</v>
      </c>
      <c r="E10812" s="10" t="s">
        <v>14563</v>
      </c>
      <c r="F10812" s="10" t="s">
        <v>14564</v>
      </c>
      <c r="G10812" s="10" t="s">
        <v>13425</v>
      </c>
      <c r="H10812" s="11">
        <v>42870</v>
      </c>
      <c r="I10812" s="10">
        <v>2017</v>
      </c>
      <c r="J10812" s="10" t="s">
        <v>14563</v>
      </c>
      <c r="K10812" s="10">
        <v>307</v>
      </c>
      <c r="L10812" s="10" t="s">
        <v>47225</v>
      </c>
      <c r="M10812" s="10">
        <v>1</v>
      </c>
      <c r="N10812" s="10"/>
      <c r="O10812" s="10"/>
      <c r="P10812" s="10" t="s">
        <v>47226</v>
      </c>
      <c r="Q10812" s="10">
        <v>371.35809499999999</v>
      </c>
      <c r="R10812" s="10" t="s">
        <v>47227</v>
      </c>
      <c r="S10812" s="10" t="s">
        <v>47228</v>
      </c>
      <c r="T10812" s="10" t="s">
        <v>54</v>
      </c>
    </row>
    <row r="10813" spans="1:20" ht="14.5" x14ac:dyDescent="0.35">
      <c r="A10813" s="10" t="s">
        <v>47229</v>
      </c>
      <c r="B10813" s="10" t="str">
        <f>"9781475841336"</f>
        <v>9781475841336</v>
      </c>
      <c r="C10813" s="10" t="str">
        <f>"9781475841350"</f>
        <v>9781475841350</v>
      </c>
      <c r="D10813" s="10" t="s">
        <v>9752</v>
      </c>
      <c r="E10813" s="10" t="s">
        <v>15187</v>
      </c>
      <c r="F10813" s="10" t="s">
        <v>9754</v>
      </c>
      <c r="G10813" s="10" t="s">
        <v>6317</v>
      </c>
      <c r="H10813" s="11">
        <v>43195</v>
      </c>
      <c r="I10813" s="10">
        <v>2018</v>
      </c>
      <c r="J10813" s="10" t="s">
        <v>15187</v>
      </c>
      <c r="K10813" s="10">
        <v>121</v>
      </c>
      <c r="L10813" s="10" t="s">
        <v>47230</v>
      </c>
      <c r="M10813" s="10">
        <v>1</v>
      </c>
      <c r="N10813" s="10"/>
      <c r="O10813" s="10"/>
      <c r="P10813" s="10" t="s">
        <v>47231</v>
      </c>
      <c r="Q10813" s="10">
        <v>658.40920000000006</v>
      </c>
      <c r="R10813" s="10" t="s">
        <v>40404</v>
      </c>
      <c r="S10813" s="10" t="s">
        <v>53</v>
      </c>
      <c r="T10813" s="10" t="s">
        <v>6660</v>
      </c>
    </row>
    <row r="10814" spans="1:20" ht="14.5" x14ac:dyDescent="0.35">
      <c r="A10814" s="10" t="s">
        <v>47232</v>
      </c>
      <c r="B10814" s="10" t="str">
        <f>"9781574417166"</f>
        <v>9781574417166</v>
      </c>
      <c r="C10814" s="10" t="str">
        <f>"9781574417241"</f>
        <v>9781574417241</v>
      </c>
      <c r="D10814" s="10" t="s">
        <v>11525</v>
      </c>
      <c r="E10814" s="10" t="s">
        <v>11526</v>
      </c>
      <c r="F10814" s="10" t="s">
        <v>47233</v>
      </c>
      <c r="G10814" s="10" t="s">
        <v>6317</v>
      </c>
      <c r="H10814" s="11">
        <v>43146</v>
      </c>
      <c r="I10814" s="10">
        <v>2018</v>
      </c>
      <c r="J10814" s="10" t="s">
        <v>11526</v>
      </c>
      <c r="K10814" s="10">
        <v>369</v>
      </c>
      <c r="L10814" s="10" t="s">
        <v>47234</v>
      </c>
      <c r="M10814" s="10">
        <v>1</v>
      </c>
      <c r="N10814" s="10"/>
      <c r="O10814" s="10"/>
      <c r="P10814" s="10" t="s">
        <v>47235</v>
      </c>
      <c r="Q10814" s="10">
        <v>378.76400000000001</v>
      </c>
      <c r="R10814" s="10" t="s">
        <v>47236</v>
      </c>
      <c r="S10814" s="10" t="s">
        <v>53</v>
      </c>
      <c r="T10814" s="10" t="s">
        <v>54</v>
      </c>
    </row>
    <row r="10815" spans="1:20" ht="14.5" x14ac:dyDescent="0.35">
      <c r="A10815" s="10" t="s">
        <v>47237</v>
      </c>
      <c r="B10815" s="10" t="str">
        <f>"9788024635590"</f>
        <v>9788024635590</v>
      </c>
      <c r="C10815" s="10" t="str">
        <f>"9788024635682"</f>
        <v>9788024635682</v>
      </c>
      <c r="D10815" s="10" t="s">
        <v>30935</v>
      </c>
      <c r="E10815" s="10" t="s">
        <v>30935</v>
      </c>
      <c r="F10815" s="10" t="s">
        <v>1796</v>
      </c>
      <c r="G10815" s="10" t="s">
        <v>30936</v>
      </c>
      <c r="H10815" s="11">
        <v>43101</v>
      </c>
      <c r="I10815" s="10">
        <v>2018</v>
      </c>
      <c r="J10815" s="10" t="s">
        <v>30935</v>
      </c>
      <c r="K10815" s="10">
        <v>340</v>
      </c>
      <c r="L10815" s="10" t="s">
        <v>47238</v>
      </c>
      <c r="M10815" s="10">
        <v>1</v>
      </c>
      <c r="N10815" s="10"/>
      <c r="O10815" s="10"/>
      <c r="P10815" s="10" t="s">
        <v>47239</v>
      </c>
      <c r="Q10815" s="10">
        <v>267.3</v>
      </c>
      <c r="R10815" s="10" t="s">
        <v>47240</v>
      </c>
      <c r="S10815" s="10" t="s">
        <v>4212</v>
      </c>
      <c r="T10815" s="10" t="s">
        <v>47241</v>
      </c>
    </row>
    <row r="10816" spans="1:20" ht="14.5" x14ac:dyDescent="0.35">
      <c r="A10816" s="10" t="s">
        <v>47242</v>
      </c>
      <c r="B10816" s="10" t="str">
        <f>"9788024634654"</f>
        <v>9788024634654</v>
      </c>
      <c r="C10816" s="10" t="str">
        <f>"9788024634937"</f>
        <v>9788024634937</v>
      </c>
      <c r="D10816" s="10" t="s">
        <v>30935</v>
      </c>
      <c r="E10816" s="10" t="s">
        <v>30935</v>
      </c>
      <c r="F10816" s="10" t="s">
        <v>1796</v>
      </c>
      <c r="G10816" s="10" t="s">
        <v>30936</v>
      </c>
      <c r="H10816" s="11">
        <v>42736</v>
      </c>
      <c r="I10816" s="10">
        <v>2016</v>
      </c>
      <c r="J10816" s="10" t="s">
        <v>30935</v>
      </c>
      <c r="K10816" s="10">
        <v>170</v>
      </c>
      <c r="L10816" s="10" t="s">
        <v>47243</v>
      </c>
      <c r="M10816" s="10">
        <v>1</v>
      </c>
      <c r="N10816" s="10"/>
      <c r="O10816" s="10"/>
      <c r="P10816" s="10" t="s">
        <v>47244</v>
      </c>
      <c r="Q10816" s="10">
        <v>370.71100000000001</v>
      </c>
      <c r="R10816" s="10" t="s">
        <v>47245</v>
      </c>
      <c r="S10816" s="10" t="s">
        <v>4212</v>
      </c>
      <c r="T10816" s="10" t="s">
        <v>54</v>
      </c>
    </row>
    <row r="10817" spans="1:20" ht="14.5" x14ac:dyDescent="0.35">
      <c r="A10817" s="10" t="s">
        <v>47246</v>
      </c>
      <c r="B10817" s="10" t="str">
        <f>"9781943874347"</f>
        <v>9781943874347</v>
      </c>
      <c r="C10817" s="10" t="str">
        <f>"9781943874293"</f>
        <v>9781943874293</v>
      </c>
      <c r="D10817" s="10" t="s">
        <v>37580</v>
      </c>
      <c r="E10817" s="10" t="s">
        <v>37581</v>
      </c>
      <c r="F10817" s="10" t="s">
        <v>37623</v>
      </c>
      <c r="G10817" s="10" t="s">
        <v>6317</v>
      </c>
      <c r="H10817" s="11">
        <v>43189</v>
      </c>
      <c r="I10817" s="10">
        <v>2018</v>
      </c>
      <c r="J10817" s="10" t="s">
        <v>37581</v>
      </c>
      <c r="K10817" s="10">
        <v>136</v>
      </c>
      <c r="L10817" s="10" t="s">
        <v>47247</v>
      </c>
      <c r="M10817" s="10">
        <v>1</v>
      </c>
      <c r="N10817" s="10" t="s">
        <v>47064</v>
      </c>
      <c r="O10817" s="10"/>
      <c r="P10817" s="10" t="s">
        <v>47065</v>
      </c>
      <c r="Q10817" s="10"/>
      <c r="R10817" s="10" t="s">
        <v>47066</v>
      </c>
      <c r="S10817" s="10" t="s">
        <v>53</v>
      </c>
      <c r="T10817" s="10" t="s">
        <v>389</v>
      </c>
    </row>
    <row r="10818" spans="1:20" ht="14.5" x14ac:dyDescent="0.35">
      <c r="A10818" s="10" t="s">
        <v>25782</v>
      </c>
      <c r="B10818" s="10" t="str">
        <f>"9781119470366"</f>
        <v>9781119470366</v>
      </c>
      <c r="C10818" s="10" t="str">
        <f>"9781119470304"</f>
        <v>9781119470304</v>
      </c>
      <c r="D10818" s="10" t="s">
        <v>6322</v>
      </c>
      <c r="E10818" s="10" t="s">
        <v>6323</v>
      </c>
      <c r="F10818" s="10" t="s">
        <v>4423</v>
      </c>
      <c r="G10818" s="10" t="s">
        <v>6317</v>
      </c>
      <c r="H10818" s="11">
        <v>43228</v>
      </c>
      <c r="I10818" s="10">
        <v>2018</v>
      </c>
      <c r="J10818" s="10" t="s">
        <v>6324</v>
      </c>
      <c r="K10818" s="10">
        <v>547</v>
      </c>
      <c r="L10818" s="10" t="s">
        <v>25783</v>
      </c>
      <c r="M10818" s="10">
        <v>4</v>
      </c>
      <c r="N10818" s="10" t="s">
        <v>15267</v>
      </c>
      <c r="O10818" s="10"/>
      <c r="P10818" s="10"/>
      <c r="Q10818" s="10">
        <v>371.1</v>
      </c>
      <c r="R10818" s="10" t="s">
        <v>47248</v>
      </c>
      <c r="S10818" s="10" t="s">
        <v>53</v>
      </c>
      <c r="T10818" s="10" t="s">
        <v>54</v>
      </c>
    </row>
    <row r="10819" spans="1:20" ht="14.5" x14ac:dyDescent="0.35">
      <c r="A10819" s="10" t="s">
        <v>47249</v>
      </c>
      <c r="B10819" s="10" t="str">
        <f>"9780876596531"</f>
        <v>9780876596531</v>
      </c>
      <c r="C10819" s="10" t="str">
        <f>"9780876596548"</f>
        <v>9780876596548</v>
      </c>
      <c r="D10819" s="10" t="s">
        <v>28876</v>
      </c>
      <c r="E10819" s="10" t="s">
        <v>47250</v>
      </c>
      <c r="F10819" s="10" t="s">
        <v>3456</v>
      </c>
      <c r="G10819" s="10" t="s">
        <v>6317</v>
      </c>
      <c r="H10819" s="11">
        <v>42614</v>
      </c>
      <c r="I10819" s="10">
        <v>2016</v>
      </c>
      <c r="J10819" s="10" t="s">
        <v>47250</v>
      </c>
      <c r="K10819" s="10">
        <v>177</v>
      </c>
      <c r="L10819" s="10" t="s">
        <v>47251</v>
      </c>
      <c r="M10819" s="10">
        <v>1</v>
      </c>
      <c r="N10819" s="10"/>
      <c r="O10819" s="10"/>
      <c r="P10819" s="10" t="s">
        <v>47252</v>
      </c>
      <c r="Q10819" s="10">
        <v>371.94</v>
      </c>
      <c r="R10819" s="10" t="s">
        <v>47253</v>
      </c>
      <c r="S10819" s="10" t="s">
        <v>53</v>
      </c>
      <c r="T10819" s="10" t="s">
        <v>54</v>
      </c>
    </row>
    <row r="10820" spans="1:20" ht="14.5" x14ac:dyDescent="0.35">
      <c r="A10820" s="10" t="s">
        <v>47254</v>
      </c>
      <c r="B10820" s="10" t="str">
        <f>"9780876593066"</f>
        <v>9780876593066</v>
      </c>
      <c r="C10820" s="10" t="str">
        <f>"9780876596777"</f>
        <v>9780876596777</v>
      </c>
      <c r="D10820" s="10" t="s">
        <v>28876</v>
      </c>
      <c r="E10820" s="10" t="s">
        <v>47250</v>
      </c>
      <c r="F10820" s="10" t="s">
        <v>3456</v>
      </c>
      <c r="G10820" s="10" t="s">
        <v>6317</v>
      </c>
      <c r="H10820" s="11">
        <v>40391</v>
      </c>
      <c r="I10820" s="10">
        <v>2010</v>
      </c>
      <c r="J10820" s="10" t="s">
        <v>47250</v>
      </c>
      <c r="K10820" s="10">
        <v>233</v>
      </c>
      <c r="L10820" s="10" t="s">
        <v>47255</v>
      </c>
      <c r="M10820" s="10">
        <v>1</v>
      </c>
      <c r="N10820" s="10" t="s">
        <v>47256</v>
      </c>
      <c r="O10820" s="10"/>
      <c r="P10820" s="10" t="s">
        <v>47257</v>
      </c>
      <c r="Q10820" s="10">
        <v>372.6</v>
      </c>
      <c r="R10820" s="10" t="s">
        <v>47258</v>
      </c>
      <c r="S10820" s="10" t="s">
        <v>53</v>
      </c>
      <c r="T10820" s="10" t="s">
        <v>54</v>
      </c>
    </row>
    <row r="10821" spans="1:20" ht="14.5" x14ac:dyDescent="0.35">
      <c r="A10821" s="10" t="s">
        <v>47259</v>
      </c>
      <c r="B10821" s="10" t="str">
        <f>"9780813589367"</f>
        <v>9780813589367</v>
      </c>
      <c r="C10821" s="10" t="str">
        <f>"9780813589398"</f>
        <v>9780813589398</v>
      </c>
      <c r="D10821" s="10" t="s">
        <v>12251</v>
      </c>
      <c r="E10821" s="10" t="s">
        <v>12251</v>
      </c>
      <c r="F10821" s="10" t="s">
        <v>12451</v>
      </c>
      <c r="G10821" s="10" t="s">
        <v>6317</v>
      </c>
      <c r="H10821" s="11">
        <v>43063</v>
      </c>
      <c r="I10821" s="10">
        <v>2017</v>
      </c>
      <c r="J10821" s="10" t="s">
        <v>12251</v>
      </c>
      <c r="K10821" s="10">
        <v>266</v>
      </c>
      <c r="L10821" s="10" t="s">
        <v>47260</v>
      </c>
      <c r="M10821" s="10">
        <v>1</v>
      </c>
      <c r="N10821" s="10" t="s">
        <v>42697</v>
      </c>
      <c r="O10821" s="10"/>
      <c r="P10821" s="10" t="s">
        <v>13948</v>
      </c>
      <c r="Q10821" s="10">
        <v>378.19829960729999</v>
      </c>
      <c r="R10821" s="10"/>
      <c r="S10821" s="10" t="s">
        <v>53</v>
      </c>
      <c r="T10821" s="10" t="s">
        <v>54</v>
      </c>
    </row>
    <row r="10822" spans="1:20" ht="14.5" x14ac:dyDescent="0.35">
      <c r="A10822" s="10" t="s">
        <v>47261</v>
      </c>
      <c r="B10822" s="10" t="str">
        <f>"9780876594025"</f>
        <v>9780876594025</v>
      </c>
      <c r="C10822" s="10" t="str">
        <f>"9780876594032"</f>
        <v>9780876594032</v>
      </c>
      <c r="D10822" s="10" t="s">
        <v>28876</v>
      </c>
      <c r="E10822" s="10" t="s">
        <v>47250</v>
      </c>
      <c r="F10822" s="10" t="s">
        <v>3456</v>
      </c>
      <c r="G10822" s="10" t="s">
        <v>6317</v>
      </c>
      <c r="H10822" s="11">
        <v>42614</v>
      </c>
      <c r="I10822" s="10">
        <v>2016</v>
      </c>
      <c r="J10822" s="10" t="s">
        <v>47250</v>
      </c>
      <c r="K10822" s="10">
        <v>185</v>
      </c>
      <c r="L10822" s="10" t="s">
        <v>47262</v>
      </c>
      <c r="M10822" s="10">
        <v>1</v>
      </c>
      <c r="N10822" s="10"/>
      <c r="O10822" s="10"/>
      <c r="P10822" s="10" t="s">
        <v>47263</v>
      </c>
      <c r="Q10822" s="10">
        <v>372.35043999999999</v>
      </c>
      <c r="R10822" s="10" t="s">
        <v>47264</v>
      </c>
      <c r="S10822" s="10" t="s">
        <v>53</v>
      </c>
      <c r="T10822" s="10" t="s">
        <v>54</v>
      </c>
    </row>
    <row r="10823" spans="1:20" ht="14.5" x14ac:dyDescent="0.35">
      <c r="A10823" s="10" t="s">
        <v>47265</v>
      </c>
      <c r="B10823" s="10" t="str">
        <f>"9781975500009"</f>
        <v>9781975500009</v>
      </c>
      <c r="C10823" s="10" t="str">
        <f>"9781975500023"</f>
        <v>9781975500023</v>
      </c>
      <c r="D10823" s="10" t="s">
        <v>44271</v>
      </c>
      <c r="E10823" s="10" t="s">
        <v>47266</v>
      </c>
      <c r="F10823" s="10" t="s">
        <v>41227</v>
      </c>
      <c r="G10823" s="10" t="s">
        <v>6317</v>
      </c>
      <c r="H10823" s="11">
        <v>43038</v>
      </c>
      <c r="I10823" s="10">
        <v>2018</v>
      </c>
      <c r="J10823" s="10" t="s">
        <v>47266</v>
      </c>
      <c r="K10823" s="10">
        <v>226</v>
      </c>
      <c r="L10823" s="10" t="s">
        <v>47267</v>
      </c>
      <c r="M10823" s="10">
        <v>1</v>
      </c>
      <c r="N10823" s="10"/>
      <c r="O10823" s="10"/>
      <c r="P10823" s="10" t="s">
        <v>47268</v>
      </c>
      <c r="Q10823" s="10">
        <v>658.40920000000006</v>
      </c>
      <c r="R10823" s="10" t="s">
        <v>40404</v>
      </c>
      <c r="S10823" s="10" t="s">
        <v>53</v>
      </c>
      <c r="T10823" s="10" t="s">
        <v>6660</v>
      </c>
    </row>
    <row r="10824" spans="1:20" ht="14.5" x14ac:dyDescent="0.35">
      <c r="A10824" s="10" t="s">
        <v>47269</v>
      </c>
      <c r="B10824" s="10" t="str">
        <f>"9781945459146"</f>
        <v>9781945459146</v>
      </c>
      <c r="C10824" s="10" t="str">
        <f>"9781945459153"</f>
        <v>9781945459153</v>
      </c>
      <c r="D10824" s="10" t="s">
        <v>44271</v>
      </c>
      <c r="E10824" s="10" t="s">
        <v>44272</v>
      </c>
      <c r="F10824" s="10" t="s">
        <v>41227</v>
      </c>
      <c r="G10824" s="10" t="s">
        <v>6317</v>
      </c>
      <c r="H10824" s="11">
        <v>43179</v>
      </c>
      <c r="I10824" s="10">
        <v>2018</v>
      </c>
      <c r="J10824" s="10" t="s">
        <v>44272</v>
      </c>
      <c r="K10824" s="10">
        <v>170</v>
      </c>
      <c r="L10824" s="10" t="s">
        <v>47270</v>
      </c>
      <c r="M10824" s="10">
        <v>1</v>
      </c>
      <c r="N10824" s="10"/>
      <c r="O10824" s="10"/>
      <c r="P10824" s="10"/>
      <c r="Q10824" s="10">
        <v>378.10300000000001</v>
      </c>
      <c r="R10824" s="10"/>
      <c r="S10824" s="10" t="s">
        <v>53</v>
      </c>
      <c r="T10824" s="10" t="s">
        <v>54</v>
      </c>
    </row>
    <row r="10825" spans="1:20" ht="14.5" x14ac:dyDescent="0.35">
      <c r="A10825" s="10" t="s">
        <v>47271</v>
      </c>
      <c r="B10825" s="10" t="str">
        <f>""</f>
        <v/>
      </c>
      <c r="C10825" s="10" t="str">
        <f>"9782808005364"</f>
        <v>9782808005364</v>
      </c>
      <c r="D10825" s="10" t="s">
        <v>29172</v>
      </c>
      <c r="E10825" s="10" t="s">
        <v>47196</v>
      </c>
      <c r="F10825" s="10" t="s">
        <v>29181</v>
      </c>
      <c r="G10825" s="10" t="s">
        <v>28737</v>
      </c>
      <c r="H10825" s="11">
        <v>43178</v>
      </c>
      <c r="I10825" s="10">
        <v>2018</v>
      </c>
      <c r="J10825" s="10" t="s">
        <v>47196</v>
      </c>
      <c r="K10825" s="10">
        <v>88</v>
      </c>
      <c r="L10825" s="10" t="s">
        <v>47272</v>
      </c>
      <c r="M10825" s="10">
        <v>1</v>
      </c>
      <c r="N10825" s="10" t="s">
        <v>47198</v>
      </c>
      <c r="O10825" s="10"/>
      <c r="P10825" s="10"/>
      <c r="Q10825" s="10"/>
      <c r="R10825" s="10" t="s">
        <v>47273</v>
      </c>
      <c r="S10825" s="10" t="s">
        <v>1519</v>
      </c>
      <c r="T10825" s="10" t="s">
        <v>47200</v>
      </c>
    </row>
    <row r="10826" spans="1:20" ht="14.5" x14ac:dyDescent="0.35">
      <c r="A10826" s="10" t="s">
        <v>47274</v>
      </c>
      <c r="B10826" s="10" t="str">
        <f>""</f>
        <v/>
      </c>
      <c r="C10826" s="10" t="str">
        <f>"9782808005449"</f>
        <v>9782808005449</v>
      </c>
      <c r="D10826" s="10" t="s">
        <v>29172</v>
      </c>
      <c r="E10826" s="10" t="s">
        <v>47196</v>
      </c>
      <c r="F10826" s="10" t="s">
        <v>29181</v>
      </c>
      <c r="G10826" s="10" t="s">
        <v>28737</v>
      </c>
      <c r="H10826" s="11">
        <v>43178</v>
      </c>
      <c r="I10826" s="10">
        <v>2018</v>
      </c>
      <c r="J10826" s="10" t="s">
        <v>47196</v>
      </c>
      <c r="K10826" s="10">
        <v>68</v>
      </c>
      <c r="L10826" s="10" t="s">
        <v>47275</v>
      </c>
      <c r="M10826" s="10">
        <v>1</v>
      </c>
      <c r="N10826" s="10" t="s">
        <v>47198</v>
      </c>
      <c r="O10826" s="10"/>
      <c r="P10826" s="10"/>
      <c r="Q10826" s="10"/>
      <c r="R10826" s="10" t="s">
        <v>47211</v>
      </c>
      <c r="S10826" s="10" t="s">
        <v>1519</v>
      </c>
      <c r="T10826" s="10" t="s">
        <v>47200</v>
      </c>
    </row>
    <row r="10827" spans="1:20" ht="14.5" x14ac:dyDescent="0.35">
      <c r="A10827" s="10" t="s">
        <v>47276</v>
      </c>
      <c r="B10827" s="10" t="str">
        <f>""</f>
        <v/>
      </c>
      <c r="C10827" s="10" t="str">
        <f>"9782808005562"</f>
        <v>9782808005562</v>
      </c>
      <c r="D10827" s="10" t="s">
        <v>29172</v>
      </c>
      <c r="E10827" s="10" t="s">
        <v>47196</v>
      </c>
      <c r="F10827" s="10" t="s">
        <v>29181</v>
      </c>
      <c r="G10827" s="10" t="s">
        <v>28737</v>
      </c>
      <c r="H10827" s="11">
        <v>43178</v>
      </c>
      <c r="I10827" s="10">
        <v>2018</v>
      </c>
      <c r="J10827" s="10" t="s">
        <v>47196</v>
      </c>
      <c r="K10827" s="10">
        <v>58</v>
      </c>
      <c r="L10827" s="10" t="s">
        <v>47277</v>
      </c>
      <c r="M10827" s="10">
        <v>1</v>
      </c>
      <c r="N10827" s="10" t="s">
        <v>47198</v>
      </c>
      <c r="O10827" s="10"/>
      <c r="P10827" s="10"/>
      <c r="Q10827" s="10"/>
      <c r="R10827" s="10" t="s">
        <v>47211</v>
      </c>
      <c r="S10827" s="10" t="s">
        <v>1519</v>
      </c>
      <c r="T10827" s="10" t="s">
        <v>47200</v>
      </c>
    </row>
    <row r="10828" spans="1:20" ht="14.5" x14ac:dyDescent="0.35">
      <c r="A10828" s="10" t="s">
        <v>47278</v>
      </c>
      <c r="B10828" s="10" t="str">
        <f>""</f>
        <v/>
      </c>
      <c r="C10828" s="10" t="str">
        <f>"9782808005807"</f>
        <v>9782808005807</v>
      </c>
      <c r="D10828" s="10" t="s">
        <v>29172</v>
      </c>
      <c r="E10828" s="10" t="s">
        <v>47196</v>
      </c>
      <c r="F10828" s="10" t="s">
        <v>29181</v>
      </c>
      <c r="G10828" s="10" t="s">
        <v>28737</v>
      </c>
      <c r="H10828" s="11">
        <v>43178</v>
      </c>
      <c r="I10828" s="10">
        <v>2018</v>
      </c>
      <c r="J10828" s="10" t="s">
        <v>47196</v>
      </c>
      <c r="K10828" s="10">
        <v>54</v>
      </c>
      <c r="L10828" s="10" t="s">
        <v>47279</v>
      </c>
      <c r="M10828" s="10">
        <v>1</v>
      </c>
      <c r="N10828" s="10" t="s">
        <v>47198</v>
      </c>
      <c r="O10828" s="10"/>
      <c r="P10828" s="10"/>
      <c r="Q10828" s="10"/>
      <c r="R10828" s="10" t="s">
        <v>34484</v>
      </c>
      <c r="S10828" s="10" t="s">
        <v>1519</v>
      </c>
      <c r="T10828" s="10" t="s">
        <v>47200</v>
      </c>
    </row>
    <row r="10829" spans="1:20" ht="14.5" x14ac:dyDescent="0.35">
      <c r="A10829" s="10" t="s">
        <v>47280</v>
      </c>
      <c r="B10829" s="10" t="str">
        <f>"9789838616294"</f>
        <v>9789838616294</v>
      </c>
      <c r="C10829" s="10" t="str">
        <f>"9789838618335"</f>
        <v>9789838618335</v>
      </c>
      <c r="D10829" s="10" t="s">
        <v>40447</v>
      </c>
      <c r="E10829" s="10" t="s">
        <v>40448</v>
      </c>
      <c r="F10829" s="10" t="s">
        <v>47281</v>
      </c>
      <c r="G10829" s="10" t="s">
        <v>40450</v>
      </c>
      <c r="H10829" s="11">
        <v>41534</v>
      </c>
      <c r="I10829" s="10">
        <v>2014</v>
      </c>
      <c r="J10829" s="10">
        <v>2014</v>
      </c>
      <c r="K10829" s="10">
        <v>82</v>
      </c>
      <c r="L10829" s="10" t="s">
        <v>47282</v>
      </c>
      <c r="M10829" s="10"/>
      <c r="N10829" s="10"/>
      <c r="O10829" s="10"/>
      <c r="P10829" s="10" t="s">
        <v>47283</v>
      </c>
      <c r="Q10829" s="10">
        <v>363.70071000000002</v>
      </c>
      <c r="R10829" s="10" t="s">
        <v>47284</v>
      </c>
      <c r="S10829" s="10" t="s">
        <v>47285</v>
      </c>
      <c r="T10829" s="10" t="s">
        <v>3668</v>
      </c>
    </row>
    <row r="10830" spans="1:20" ht="14.5" x14ac:dyDescent="0.35">
      <c r="A10830" s="10" t="s">
        <v>47286</v>
      </c>
      <c r="B10830" s="10" t="str">
        <f>"9789838615525"</f>
        <v>9789838615525</v>
      </c>
      <c r="C10830" s="10" t="str">
        <f>"9789838616621"</f>
        <v>9789838616621</v>
      </c>
      <c r="D10830" s="10" t="s">
        <v>40447</v>
      </c>
      <c r="E10830" s="10" t="s">
        <v>40448</v>
      </c>
      <c r="F10830" s="10" t="s">
        <v>47281</v>
      </c>
      <c r="G10830" s="10" t="s">
        <v>40450</v>
      </c>
      <c r="H10830" s="11">
        <v>40974</v>
      </c>
      <c r="I10830" s="10">
        <v>2012</v>
      </c>
      <c r="J10830" s="10">
        <v>2012</v>
      </c>
      <c r="K10830" s="10">
        <v>241</v>
      </c>
      <c r="L10830" s="10" t="s">
        <v>47287</v>
      </c>
      <c r="M10830" s="10"/>
      <c r="N10830" s="10"/>
      <c r="O10830" s="10"/>
      <c r="P10830" s="10" t="s">
        <v>47288</v>
      </c>
      <c r="Q10830" s="10">
        <v>378.59500000000003</v>
      </c>
      <c r="R10830" s="10" t="s">
        <v>47289</v>
      </c>
      <c r="S10830" s="10" t="s">
        <v>53</v>
      </c>
      <c r="T10830" s="10" t="s">
        <v>54</v>
      </c>
    </row>
    <row r="10831" spans="1:20" ht="14.5" x14ac:dyDescent="0.35">
      <c r="A10831" s="10" t="s">
        <v>47290</v>
      </c>
      <c r="B10831" s="10" t="str">
        <f>"9789838615631"</f>
        <v>9789838615631</v>
      </c>
      <c r="C10831" s="10" t="str">
        <f>"9789838616676"</f>
        <v>9789838616676</v>
      </c>
      <c r="D10831" s="10" t="s">
        <v>40447</v>
      </c>
      <c r="E10831" s="10" t="s">
        <v>40448</v>
      </c>
      <c r="F10831" s="10" t="s">
        <v>47281</v>
      </c>
      <c r="G10831" s="10" t="s">
        <v>40450</v>
      </c>
      <c r="H10831" s="11">
        <v>41051</v>
      </c>
      <c r="I10831" s="10">
        <v>2012</v>
      </c>
      <c r="J10831" s="10">
        <v>2012</v>
      </c>
      <c r="K10831" s="10">
        <v>234</v>
      </c>
      <c r="L10831" s="10" t="s">
        <v>47291</v>
      </c>
      <c r="M10831" s="10"/>
      <c r="N10831" s="10"/>
      <c r="O10831" s="10"/>
      <c r="P10831" s="10" t="s">
        <v>47292</v>
      </c>
      <c r="Q10831" s="10">
        <v>428.00710549299998</v>
      </c>
      <c r="R10831" s="10" t="s">
        <v>47293</v>
      </c>
      <c r="S10831" s="10" t="s">
        <v>53</v>
      </c>
      <c r="T10831" s="10" t="s">
        <v>6616</v>
      </c>
    </row>
    <row r="10832" spans="1:20" ht="14.5" x14ac:dyDescent="0.35">
      <c r="A10832" s="10" t="s">
        <v>47294</v>
      </c>
      <c r="B10832" s="10" t="str">
        <f>"9789838615181"</f>
        <v>9789838615181</v>
      </c>
      <c r="C10832" s="10" t="str">
        <f>"9789838616751"</f>
        <v>9789838616751</v>
      </c>
      <c r="D10832" s="10" t="s">
        <v>40447</v>
      </c>
      <c r="E10832" s="10" t="s">
        <v>40448</v>
      </c>
      <c r="F10832" s="10" t="s">
        <v>47281</v>
      </c>
      <c r="G10832" s="10" t="s">
        <v>40450</v>
      </c>
      <c r="H10832" s="11">
        <v>40704</v>
      </c>
      <c r="I10832" s="10">
        <v>2011</v>
      </c>
      <c r="J10832" s="10">
        <v>2011</v>
      </c>
      <c r="K10832" s="10">
        <v>186</v>
      </c>
      <c r="L10832" s="10" t="s">
        <v>47295</v>
      </c>
      <c r="M10832" s="10"/>
      <c r="N10832" s="10"/>
      <c r="O10832" s="10"/>
      <c r="P10832" s="10" t="s">
        <v>47296</v>
      </c>
      <c r="Q10832" s="10">
        <v>371.9</v>
      </c>
      <c r="R10832" s="10" t="s">
        <v>47297</v>
      </c>
      <c r="S10832" s="10" t="s">
        <v>47285</v>
      </c>
      <c r="T10832" s="10" t="s">
        <v>54</v>
      </c>
    </row>
    <row r="10833" spans="1:20" ht="14.5" x14ac:dyDescent="0.35">
      <c r="A10833" s="10" t="s">
        <v>47298</v>
      </c>
      <c r="B10833" s="10" t="str">
        <f>"9789838615174"</f>
        <v>9789838615174</v>
      </c>
      <c r="C10833" s="10" t="str">
        <f>"9789838616850"</f>
        <v>9789838616850</v>
      </c>
      <c r="D10833" s="10" t="s">
        <v>40447</v>
      </c>
      <c r="E10833" s="10" t="s">
        <v>40448</v>
      </c>
      <c r="F10833" s="10" t="s">
        <v>47281</v>
      </c>
      <c r="G10833" s="10" t="s">
        <v>40450</v>
      </c>
      <c r="H10833" s="11">
        <v>40704</v>
      </c>
      <c r="I10833" s="10">
        <v>2011</v>
      </c>
      <c r="J10833" s="10">
        <v>2011</v>
      </c>
      <c r="K10833" s="10">
        <v>302</v>
      </c>
      <c r="L10833" s="10" t="s">
        <v>47295</v>
      </c>
      <c r="M10833" s="10"/>
      <c r="N10833" s="10"/>
      <c r="O10833" s="10"/>
      <c r="P10833" s="10" t="s">
        <v>47299</v>
      </c>
      <c r="Q10833" s="10">
        <v>371.90960000000001</v>
      </c>
      <c r="R10833" s="10" t="s">
        <v>47300</v>
      </c>
      <c r="S10833" s="10" t="s">
        <v>47285</v>
      </c>
      <c r="T10833" s="10" t="s">
        <v>54</v>
      </c>
    </row>
    <row r="10834" spans="1:20" ht="14.5" x14ac:dyDescent="0.35">
      <c r="A10834" s="10" t="s">
        <v>47301</v>
      </c>
      <c r="B10834" s="10" t="str">
        <f>"9789838618618"</f>
        <v>9789838618618</v>
      </c>
      <c r="C10834" s="10" t="str">
        <f>"9789838619479"</f>
        <v>9789838619479</v>
      </c>
      <c r="D10834" s="10" t="s">
        <v>40447</v>
      </c>
      <c r="E10834" s="10" t="s">
        <v>40448</v>
      </c>
      <c r="F10834" s="10" t="s">
        <v>47281</v>
      </c>
      <c r="G10834" s="10" t="s">
        <v>40450</v>
      </c>
      <c r="H10834" s="11">
        <v>42035</v>
      </c>
      <c r="I10834" s="10">
        <v>2015</v>
      </c>
      <c r="J10834" s="10">
        <v>2015</v>
      </c>
      <c r="K10834" s="10">
        <v>158</v>
      </c>
      <c r="L10834" s="10" t="s">
        <v>47302</v>
      </c>
      <c r="M10834" s="10"/>
      <c r="N10834" s="10"/>
      <c r="O10834" s="10"/>
      <c r="P10834" s="10" t="s">
        <v>47303</v>
      </c>
      <c r="Q10834" s="10">
        <v>618.92858820000004</v>
      </c>
      <c r="R10834" s="10" t="s">
        <v>47304</v>
      </c>
      <c r="S10834" s="10" t="s">
        <v>47285</v>
      </c>
      <c r="T10834" s="10" t="s">
        <v>8681</v>
      </c>
    </row>
    <row r="10835" spans="1:20" ht="14.5" x14ac:dyDescent="0.35">
      <c r="A10835" s="10" t="s">
        <v>47305</v>
      </c>
      <c r="B10835" s="10" t="str">
        <f>"9789838618939"</f>
        <v>9789838618939</v>
      </c>
      <c r="C10835" s="10" t="str">
        <f>"9789674610494"</f>
        <v>9789674610494</v>
      </c>
      <c r="D10835" s="10" t="s">
        <v>40447</v>
      </c>
      <c r="E10835" s="10" t="s">
        <v>40448</v>
      </c>
      <c r="F10835" s="10" t="s">
        <v>47281</v>
      </c>
      <c r="G10835" s="10" t="s">
        <v>40450</v>
      </c>
      <c r="H10835" s="11">
        <v>42163</v>
      </c>
      <c r="I10835" s="10">
        <v>2015</v>
      </c>
      <c r="J10835" s="10">
        <v>2015</v>
      </c>
      <c r="K10835" s="10">
        <v>96</v>
      </c>
      <c r="L10835" s="10" t="s">
        <v>47306</v>
      </c>
      <c r="M10835" s="10"/>
      <c r="N10835" s="10"/>
      <c r="O10835" s="10"/>
      <c r="P10835" s="10" t="s">
        <v>47307</v>
      </c>
      <c r="Q10835" s="10">
        <v>378.59500000000003</v>
      </c>
      <c r="R10835" s="10" t="s">
        <v>47308</v>
      </c>
      <c r="S10835" s="10" t="s">
        <v>53</v>
      </c>
      <c r="T10835" s="10" t="s">
        <v>54</v>
      </c>
    </row>
    <row r="10836" spans="1:20" ht="14.5" x14ac:dyDescent="0.35">
      <c r="A10836" s="10" t="s">
        <v>47309</v>
      </c>
      <c r="B10836" s="10" t="str">
        <f>"9789838618489"</f>
        <v>9789838618489</v>
      </c>
      <c r="C10836" s="10" t="str">
        <f>"9789674610487"</f>
        <v>9789674610487</v>
      </c>
      <c r="D10836" s="10" t="s">
        <v>40447</v>
      </c>
      <c r="E10836" s="10" t="s">
        <v>40448</v>
      </c>
      <c r="F10836" s="10" t="s">
        <v>47281</v>
      </c>
      <c r="G10836" s="10" t="s">
        <v>40450</v>
      </c>
      <c r="H10836" s="11">
        <v>42340</v>
      </c>
      <c r="I10836" s="10">
        <v>2015</v>
      </c>
      <c r="J10836" s="10">
        <v>2015</v>
      </c>
      <c r="K10836" s="10">
        <v>152</v>
      </c>
      <c r="L10836" s="10" t="s">
        <v>47310</v>
      </c>
      <c r="M10836" s="10"/>
      <c r="N10836" s="10"/>
      <c r="O10836" s="10"/>
      <c r="P10836" s="10" t="s">
        <v>47311</v>
      </c>
      <c r="Q10836" s="10">
        <v>378.00972000000002</v>
      </c>
      <c r="R10836" s="10" t="s">
        <v>47312</v>
      </c>
      <c r="S10836" s="10" t="s">
        <v>53</v>
      </c>
      <c r="T10836" s="10" t="s">
        <v>54</v>
      </c>
    </row>
    <row r="10837" spans="1:20" ht="14.5" x14ac:dyDescent="0.35">
      <c r="A10837" s="10" t="s">
        <v>47313</v>
      </c>
      <c r="B10837" s="10" t="str">
        <f>"9789838619240"</f>
        <v>9789838619240</v>
      </c>
      <c r="C10837" s="10" t="str">
        <f>"9789674610531"</f>
        <v>9789674610531</v>
      </c>
      <c r="D10837" s="10" t="s">
        <v>40447</v>
      </c>
      <c r="E10837" s="10" t="s">
        <v>40448</v>
      </c>
      <c r="F10837" s="10" t="s">
        <v>47281</v>
      </c>
      <c r="G10837" s="10" t="s">
        <v>40450</v>
      </c>
      <c r="H10837" s="11">
        <v>42342</v>
      </c>
      <c r="I10837" s="10">
        <v>2015</v>
      </c>
      <c r="J10837" s="10">
        <v>2015</v>
      </c>
      <c r="K10837" s="10">
        <v>166</v>
      </c>
      <c r="L10837" s="10" t="s">
        <v>47314</v>
      </c>
      <c r="M10837" s="10"/>
      <c r="N10837" s="10"/>
      <c r="O10837" s="10"/>
      <c r="P10837" s="10" t="s">
        <v>47315</v>
      </c>
      <c r="Q10837" s="10">
        <v>378.59500000000003</v>
      </c>
      <c r="R10837" s="10" t="s">
        <v>47316</v>
      </c>
      <c r="S10837" s="10" t="s">
        <v>53</v>
      </c>
      <c r="T10837" s="10" t="s">
        <v>54</v>
      </c>
    </row>
    <row r="10838" spans="1:20" ht="14.5" x14ac:dyDescent="0.35">
      <c r="A10838" s="10" t="s">
        <v>47317</v>
      </c>
      <c r="B10838" s="10" t="str">
        <f>"9789838619363"</f>
        <v>9789838619363</v>
      </c>
      <c r="C10838" s="10" t="str">
        <f>"9789674610500"</f>
        <v>9789674610500</v>
      </c>
      <c r="D10838" s="10" t="s">
        <v>40447</v>
      </c>
      <c r="E10838" s="10" t="s">
        <v>40448</v>
      </c>
      <c r="F10838" s="10" t="s">
        <v>47281</v>
      </c>
      <c r="G10838" s="10" t="s">
        <v>40450</v>
      </c>
      <c r="H10838" s="11">
        <v>42186</v>
      </c>
      <c r="I10838" s="10">
        <v>2015</v>
      </c>
      <c r="J10838" s="10">
        <v>2015</v>
      </c>
      <c r="K10838" s="10">
        <v>133</v>
      </c>
      <c r="L10838" s="10" t="s">
        <v>47318</v>
      </c>
      <c r="M10838" s="10"/>
      <c r="N10838" s="10"/>
      <c r="O10838" s="10"/>
      <c r="P10838" s="10" t="s">
        <v>47319</v>
      </c>
      <c r="Q10838" s="10">
        <v>379</v>
      </c>
      <c r="R10838" s="10" t="s">
        <v>9416</v>
      </c>
      <c r="S10838" s="10" t="s">
        <v>47285</v>
      </c>
      <c r="T10838" s="10" t="s">
        <v>54</v>
      </c>
    </row>
    <row r="10839" spans="1:20" ht="14.5" x14ac:dyDescent="0.35">
      <c r="A10839" s="10" t="s">
        <v>47320</v>
      </c>
      <c r="B10839" s="10" t="str">
        <f>"9789674610425"</f>
        <v>9789674610425</v>
      </c>
      <c r="C10839" s="10" t="str">
        <f>"9789674610524"</f>
        <v>9789674610524</v>
      </c>
      <c r="D10839" s="10" t="s">
        <v>40447</v>
      </c>
      <c r="E10839" s="10" t="s">
        <v>40448</v>
      </c>
      <c r="F10839" s="10" t="s">
        <v>47281</v>
      </c>
      <c r="G10839" s="10" t="s">
        <v>40450</v>
      </c>
      <c r="H10839" s="11">
        <v>42474</v>
      </c>
      <c r="I10839" s="10">
        <v>2016</v>
      </c>
      <c r="J10839" s="10">
        <v>2016</v>
      </c>
      <c r="K10839" s="10">
        <v>99</v>
      </c>
      <c r="L10839" s="10" t="s">
        <v>47321</v>
      </c>
      <c r="M10839" s="10"/>
      <c r="N10839" s="10"/>
      <c r="O10839" s="10"/>
      <c r="P10839" s="10" t="s">
        <v>47322</v>
      </c>
      <c r="Q10839" s="10">
        <v>378.59500000000003</v>
      </c>
      <c r="R10839" s="10" t="s">
        <v>47323</v>
      </c>
      <c r="S10839" s="10" t="s">
        <v>53</v>
      </c>
      <c r="T10839" s="10" t="s">
        <v>54</v>
      </c>
    </row>
    <row r="10840" spans="1:20" ht="14.5" x14ac:dyDescent="0.35">
      <c r="A10840" s="10" t="s">
        <v>47324</v>
      </c>
      <c r="B10840" s="10" t="str">
        <f>"9789674610074"</f>
        <v>9789674610074</v>
      </c>
      <c r="C10840" s="10" t="str">
        <f>"9789674610777"</f>
        <v>9789674610777</v>
      </c>
      <c r="D10840" s="10" t="s">
        <v>40447</v>
      </c>
      <c r="E10840" s="10" t="s">
        <v>40448</v>
      </c>
      <c r="F10840" s="10" t="s">
        <v>47281</v>
      </c>
      <c r="G10840" s="10" t="s">
        <v>40450</v>
      </c>
      <c r="H10840" s="11">
        <v>42516</v>
      </c>
      <c r="I10840" s="10">
        <v>2016</v>
      </c>
      <c r="J10840" s="10">
        <v>2016</v>
      </c>
      <c r="K10840" s="10">
        <v>149</v>
      </c>
      <c r="L10840" s="10" t="s">
        <v>47325</v>
      </c>
      <c r="M10840" s="10"/>
      <c r="N10840" s="10"/>
      <c r="O10840" s="10"/>
      <c r="P10840" s="10" t="s">
        <v>47326</v>
      </c>
      <c r="Q10840" s="10">
        <v>616.89075000000003</v>
      </c>
      <c r="R10840" s="10" t="s">
        <v>47327</v>
      </c>
      <c r="S10840" s="10" t="s">
        <v>47285</v>
      </c>
      <c r="T10840" s="10" t="s">
        <v>8681</v>
      </c>
    </row>
    <row r="10841" spans="1:20" ht="14.5" x14ac:dyDescent="0.35">
      <c r="A10841" s="10" t="s">
        <v>47328</v>
      </c>
      <c r="B10841" s="10" t="str">
        <f>"9789838616249"</f>
        <v>9789838616249</v>
      </c>
      <c r="C10841" s="10" t="str">
        <f>"9789674610784"</f>
        <v>9789674610784</v>
      </c>
      <c r="D10841" s="10" t="s">
        <v>40447</v>
      </c>
      <c r="E10841" s="10" t="s">
        <v>40448</v>
      </c>
      <c r="F10841" s="10" t="s">
        <v>47281</v>
      </c>
      <c r="G10841" s="10" t="s">
        <v>40450</v>
      </c>
      <c r="H10841" s="11">
        <v>41537</v>
      </c>
      <c r="I10841" s="10">
        <v>2013</v>
      </c>
      <c r="J10841" s="10">
        <v>2016</v>
      </c>
      <c r="K10841" s="10">
        <v>156</v>
      </c>
      <c r="L10841" s="10" t="s">
        <v>47329</v>
      </c>
      <c r="M10841" s="10"/>
      <c r="N10841" s="10"/>
      <c r="O10841" s="10"/>
      <c r="P10841" s="10" t="s">
        <v>47330</v>
      </c>
      <c r="Q10841" s="10">
        <v>378.59500000000003</v>
      </c>
      <c r="R10841" s="10" t="s">
        <v>47331</v>
      </c>
      <c r="S10841" s="10" t="s">
        <v>53</v>
      </c>
      <c r="T10841" s="10" t="s">
        <v>54</v>
      </c>
    </row>
    <row r="10842" spans="1:20" ht="14.5" x14ac:dyDescent="0.35">
      <c r="A10842" s="10" t="s">
        <v>47332</v>
      </c>
      <c r="B10842" s="10" t="str">
        <f>"9789838614924"</f>
        <v>9789838614924</v>
      </c>
      <c r="C10842" s="10" t="str">
        <f>"9789674610852"</f>
        <v>9789674610852</v>
      </c>
      <c r="D10842" s="10" t="s">
        <v>40447</v>
      </c>
      <c r="E10842" s="10" t="s">
        <v>40448</v>
      </c>
      <c r="F10842" s="10" t="s">
        <v>47281</v>
      </c>
      <c r="G10842" s="10" t="s">
        <v>40450</v>
      </c>
      <c r="H10842" s="11">
        <v>40725</v>
      </c>
      <c r="I10842" s="10">
        <v>2011</v>
      </c>
      <c r="J10842" s="10">
        <v>2011</v>
      </c>
      <c r="K10842" s="10">
        <v>306</v>
      </c>
      <c r="L10842" s="10" t="s">
        <v>47333</v>
      </c>
      <c r="M10842" s="10"/>
      <c r="N10842" s="10"/>
      <c r="O10842" s="10"/>
      <c r="P10842" s="10" t="s">
        <v>47334</v>
      </c>
      <c r="Q10842" s="10">
        <v>428.00705950000003</v>
      </c>
      <c r="R10842" s="10" t="s">
        <v>47335</v>
      </c>
      <c r="S10842" s="10" t="s">
        <v>47285</v>
      </c>
      <c r="T10842" s="10" t="s">
        <v>6616</v>
      </c>
    </row>
    <row r="10843" spans="1:20" ht="14.5" x14ac:dyDescent="0.35">
      <c r="A10843" s="10" t="s">
        <v>47336</v>
      </c>
      <c r="B10843" s="10" t="str">
        <f>"9789674610982"</f>
        <v>9789674610982</v>
      </c>
      <c r="C10843" s="10" t="str">
        <f>"9789674610975"</f>
        <v>9789674610975</v>
      </c>
      <c r="D10843" s="10" t="s">
        <v>40447</v>
      </c>
      <c r="E10843" s="10" t="s">
        <v>40448</v>
      </c>
      <c r="F10843" s="10" t="s">
        <v>47281</v>
      </c>
      <c r="G10843" s="10" t="s">
        <v>40450</v>
      </c>
      <c r="H10843" s="11">
        <v>42689</v>
      </c>
      <c r="I10843" s="10">
        <v>2017</v>
      </c>
      <c r="J10843" s="10">
        <v>2015</v>
      </c>
      <c r="K10843" s="10">
        <v>154</v>
      </c>
      <c r="L10843" s="10" t="s">
        <v>47337</v>
      </c>
      <c r="M10843" s="10"/>
      <c r="N10843" s="10"/>
      <c r="O10843" s="10"/>
      <c r="P10843" s="10" t="s">
        <v>47338</v>
      </c>
      <c r="Q10843" s="10">
        <v>378.10300000000001</v>
      </c>
      <c r="R10843" s="10" t="s">
        <v>47339</v>
      </c>
      <c r="S10843" s="10" t="s">
        <v>53</v>
      </c>
      <c r="T10843" s="10" t="s">
        <v>54</v>
      </c>
    </row>
    <row r="10844" spans="1:20" ht="14.5" x14ac:dyDescent="0.35">
      <c r="A10844" s="10" t="s">
        <v>47340</v>
      </c>
      <c r="B10844" s="10" t="str">
        <f>"9789674611156"</f>
        <v>9789674611156</v>
      </c>
      <c r="C10844" s="10" t="str">
        <f>"9789674611149"</f>
        <v>9789674611149</v>
      </c>
      <c r="D10844" s="10" t="s">
        <v>40447</v>
      </c>
      <c r="E10844" s="10" t="s">
        <v>40448</v>
      </c>
      <c r="F10844" s="10" t="s">
        <v>47281</v>
      </c>
      <c r="G10844" s="10" t="s">
        <v>40450</v>
      </c>
      <c r="H10844" s="11">
        <v>42810</v>
      </c>
      <c r="I10844" s="10">
        <v>2017</v>
      </c>
      <c r="J10844" s="10">
        <v>2017</v>
      </c>
      <c r="K10844" s="10">
        <v>85</v>
      </c>
      <c r="L10844" s="10" t="s">
        <v>47341</v>
      </c>
      <c r="M10844" s="10"/>
      <c r="N10844" s="10"/>
      <c r="O10844" s="10"/>
      <c r="P10844" s="10" t="s">
        <v>47342</v>
      </c>
      <c r="Q10844" s="10">
        <v>418.00285000000002</v>
      </c>
      <c r="R10844" s="10" t="s">
        <v>47343</v>
      </c>
      <c r="S10844" s="10" t="s">
        <v>53</v>
      </c>
      <c r="T10844" s="10" t="s">
        <v>6616</v>
      </c>
    </row>
    <row r="10845" spans="1:20" ht="14.5" x14ac:dyDescent="0.35">
      <c r="A10845" s="10" t="s">
        <v>47344</v>
      </c>
      <c r="B10845" s="10" t="str">
        <f>"9789674610210"</f>
        <v>9789674610210</v>
      </c>
      <c r="C10845" s="10" t="str">
        <f>"9789674610449"</f>
        <v>9789674610449</v>
      </c>
      <c r="D10845" s="10" t="s">
        <v>40447</v>
      </c>
      <c r="E10845" s="10" t="s">
        <v>40448</v>
      </c>
      <c r="F10845" s="10" t="s">
        <v>47281</v>
      </c>
      <c r="G10845" s="10" t="s">
        <v>40450</v>
      </c>
      <c r="H10845" s="11">
        <v>42644</v>
      </c>
      <c r="I10845" s="10">
        <v>2016</v>
      </c>
      <c r="J10845" s="10">
        <v>2017</v>
      </c>
      <c r="K10845" s="10">
        <v>192</v>
      </c>
      <c r="L10845" s="10" t="s">
        <v>47345</v>
      </c>
      <c r="M10845" s="10"/>
      <c r="N10845" s="10"/>
      <c r="O10845" s="10"/>
      <c r="P10845" s="10" t="s">
        <v>47346</v>
      </c>
      <c r="Q10845" s="10">
        <v>428.00705900000003</v>
      </c>
      <c r="R10845" s="10" t="s">
        <v>47347</v>
      </c>
      <c r="S10845" s="10" t="s">
        <v>53</v>
      </c>
      <c r="T10845" s="10" t="s">
        <v>6616</v>
      </c>
    </row>
    <row r="10846" spans="1:20" ht="14.5" x14ac:dyDescent="0.35">
      <c r="A10846" s="10" t="s">
        <v>47348</v>
      </c>
      <c r="B10846" s="10" t="str">
        <f>"9789674611125"</f>
        <v>9789674611125</v>
      </c>
      <c r="C10846" s="10" t="str">
        <f>"9789674611323"</f>
        <v>9789674611323</v>
      </c>
      <c r="D10846" s="10" t="s">
        <v>40447</v>
      </c>
      <c r="E10846" s="10" t="s">
        <v>40448</v>
      </c>
      <c r="F10846" s="10" t="s">
        <v>47281</v>
      </c>
      <c r="G10846" s="10" t="s">
        <v>40450</v>
      </c>
      <c r="H10846" s="11">
        <v>42843</v>
      </c>
      <c r="I10846" s="10">
        <v>2017</v>
      </c>
      <c r="J10846" s="10">
        <v>2017</v>
      </c>
      <c r="K10846" s="10">
        <v>100</v>
      </c>
      <c r="L10846" s="10" t="s">
        <v>47349</v>
      </c>
      <c r="M10846" s="10"/>
      <c r="N10846" s="10"/>
      <c r="O10846" s="10"/>
      <c r="P10846" s="10" t="s">
        <v>47350</v>
      </c>
      <c r="Q10846" s="10">
        <v>418.00709999999998</v>
      </c>
      <c r="R10846" s="10" t="s">
        <v>47351</v>
      </c>
      <c r="S10846" s="10" t="s">
        <v>53</v>
      </c>
      <c r="T10846" s="10" t="s">
        <v>6616</v>
      </c>
    </row>
    <row r="10847" spans="1:20" ht="14.5" x14ac:dyDescent="0.35">
      <c r="A10847" s="10" t="s">
        <v>47352</v>
      </c>
      <c r="B10847" s="10" t="str">
        <f>"9789838614610"</f>
        <v>9789838614610</v>
      </c>
      <c r="C10847" s="10" t="str">
        <f>"9789838618083"</f>
        <v>9789838618083</v>
      </c>
      <c r="D10847" s="10" t="s">
        <v>40447</v>
      </c>
      <c r="E10847" s="10" t="s">
        <v>40448</v>
      </c>
      <c r="F10847" s="10" t="s">
        <v>47281</v>
      </c>
      <c r="G10847" s="10" t="s">
        <v>40450</v>
      </c>
      <c r="H10847" s="11">
        <v>40360</v>
      </c>
      <c r="I10847" s="10">
        <v>2010</v>
      </c>
      <c r="J10847" s="10">
        <v>2010</v>
      </c>
      <c r="K10847" s="10">
        <v>42</v>
      </c>
      <c r="L10847" s="10" t="s">
        <v>47353</v>
      </c>
      <c r="M10847" s="10"/>
      <c r="N10847" s="10"/>
      <c r="O10847" s="10"/>
      <c r="P10847" s="10" t="s">
        <v>47354</v>
      </c>
      <c r="Q10847" s="10">
        <v>378.00700000000001</v>
      </c>
      <c r="R10847" s="10" t="s">
        <v>33773</v>
      </c>
      <c r="S10847" s="10" t="s">
        <v>47285</v>
      </c>
      <c r="T10847" s="10" t="s">
        <v>54</v>
      </c>
    </row>
    <row r="10848" spans="1:20" ht="14.5" x14ac:dyDescent="0.35">
      <c r="A10848" s="10" t="s">
        <v>47355</v>
      </c>
      <c r="B10848" s="10" t="str">
        <f>"9789674610111"</f>
        <v>9789674610111</v>
      </c>
      <c r="C10848" s="10" t="str">
        <f>"9789674610401"</f>
        <v>9789674610401</v>
      </c>
      <c r="D10848" s="10" t="s">
        <v>40447</v>
      </c>
      <c r="E10848" s="10" t="s">
        <v>40448</v>
      </c>
      <c r="F10848" s="10" t="s">
        <v>47281</v>
      </c>
      <c r="G10848" s="10" t="s">
        <v>40450</v>
      </c>
      <c r="H10848" s="11">
        <v>41821</v>
      </c>
      <c r="I10848" s="10">
        <v>2015</v>
      </c>
      <c r="J10848" s="10">
        <v>2014</v>
      </c>
      <c r="K10848" s="10">
        <v>50</v>
      </c>
      <c r="L10848" s="10" t="s">
        <v>47356</v>
      </c>
      <c r="M10848" s="10"/>
      <c r="N10848" s="10"/>
      <c r="O10848" s="10"/>
      <c r="P10848" s="10" t="s">
        <v>47357</v>
      </c>
      <c r="Q10848" s="10">
        <v>510.71</v>
      </c>
      <c r="R10848" s="10" t="s">
        <v>46649</v>
      </c>
      <c r="S10848" s="10" t="s">
        <v>47285</v>
      </c>
      <c r="T10848" s="10" t="s">
        <v>389</v>
      </c>
    </row>
    <row r="10849" spans="1:20" ht="14.5" x14ac:dyDescent="0.35">
      <c r="A10849" s="10" t="s">
        <v>47358</v>
      </c>
      <c r="B10849" s="10" t="str">
        <f>"9789838615877"</f>
        <v>9789838615877</v>
      </c>
      <c r="C10849" s="10" t="str">
        <f>"9789838617888"</f>
        <v>9789838617888</v>
      </c>
      <c r="D10849" s="10" t="s">
        <v>40447</v>
      </c>
      <c r="E10849" s="10" t="s">
        <v>40448</v>
      </c>
      <c r="F10849" s="10" t="s">
        <v>47281</v>
      </c>
      <c r="G10849" s="10" t="s">
        <v>40450</v>
      </c>
      <c r="H10849" s="11">
        <v>41456</v>
      </c>
      <c r="I10849" s="10">
        <v>2013</v>
      </c>
      <c r="J10849" s="10">
        <v>2013</v>
      </c>
      <c r="K10849" s="10">
        <v>32</v>
      </c>
      <c r="L10849" s="10" t="s">
        <v>47359</v>
      </c>
      <c r="M10849" s="10"/>
      <c r="N10849" s="10"/>
      <c r="O10849" s="10"/>
      <c r="P10849" s="10" t="s">
        <v>47360</v>
      </c>
      <c r="Q10849" s="10">
        <v>371.1</v>
      </c>
      <c r="R10849" s="10" t="s">
        <v>45039</v>
      </c>
      <c r="S10849" s="10" t="s">
        <v>47285</v>
      </c>
      <c r="T10849" s="10" t="s">
        <v>54</v>
      </c>
    </row>
    <row r="10850" spans="1:20" ht="14.5" x14ac:dyDescent="0.35">
      <c r="A10850" s="10" t="s">
        <v>47361</v>
      </c>
      <c r="B10850" s="10" t="str">
        <f>"9789838615990"</f>
        <v>9789838615990</v>
      </c>
      <c r="C10850" s="10" t="str">
        <f>"9789838617031"</f>
        <v>9789838617031</v>
      </c>
      <c r="D10850" s="10" t="s">
        <v>40447</v>
      </c>
      <c r="E10850" s="10" t="s">
        <v>40448</v>
      </c>
      <c r="F10850" s="10" t="s">
        <v>47281</v>
      </c>
      <c r="G10850" s="10" t="s">
        <v>40450</v>
      </c>
      <c r="H10850" s="11">
        <v>41368</v>
      </c>
      <c r="I10850" s="10">
        <v>2013</v>
      </c>
      <c r="J10850" s="10">
        <v>2013</v>
      </c>
      <c r="K10850" s="10">
        <v>274</v>
      </c>
      <c r="L10850" s="10" t="s">
        <v>47362</v>
      </c>
      <c r="M10850" s="10"/>
      <c r="N10850" s="10"/>
      <c r="O10850" s="10"/>
      <c r="P10850" s="10" t="s">
        <v>47363</v>
      </c>
      <c r="Q10850" s="10">
        <v>372.6</v>
      </c>
      <c r="R10850" s="10" t="s">
        <v>45391</v>
      </c>
      <c r="S10850" s="10" t="s">
        <v>53</v>
      </c>
      <c r="T10850" s="10" t="s">
        <v>54</v>
      </c>
    </row>
    <row r="10851" spans="1:20" ht="14.5" x14ac:dyDescent="0.35">
      <c r="A10851" s="10" t="s">
        <v>47364</v>
      </c>
      <c r="B10851" s="10" t="str">
        <f>"9789838615624"</f>
        <v>9789838615624</v>
      </c>
      <c r="C10851" s="10" t="str">
        <f>"9789838617062"</f>
        <v>9789838617062</v>
      </c>
      <c r="D10851" s="10" t="s">
        <v>40447</v>
      </c>
      <c r="E10851" s="10" t="s">
        <v>40448</v>
      </c>
      <c r="F10851" s="10" t="s">
        <v>47281</v>
      </c>
      <c r="G10851" s="10" t="s">
        <v>40450</v>
      </c>
      <c r="H10851" s="11">
        <v>41284</v>
      </c>
      <c r="I10851" s="10">
        <v>2013</v>
      </c>
      <c r="J10851" s="10">
        <v>2013</v>
      </c>
      <c r="K10851" s="10">
        <v>197</v>
      </c>
      <c r="L10851" s="10" t="s">
        <v>47365</v>
      </c>
      <c r="M10851" s="10"/>
      <c r="N10851" s="10"/>
      <c r="O10851" s="10"/>
      <c r="P10851" s="10" t="s">
        <v>47366</v>
      </c>
      <c r="Q10851" s="10">
        <v>378</v>
      </c>
      <c r="R10851" s="10" t="s">
        <v>47367</v>
      </c>
      <c r="S10851" s="10" t="s">
        <v>53</v>
      </c>
      <c r="T10851" s="10" t="s">
        <v>54</v>
      </c>
    </row>
    <row r="10852" spans="1:20" ht="14.5" x14ac:dyDescent="0.35">
      <c r="A10852" s="10" t="s">
        <v>47368</v>
      </c>
      <c r="B10852" s="10" t="str">
        <f>"9789838616218"</f>
        <v>9789838616218</v>
      </c>
      <c r="C10852" s="10" t="str">
        <f>"9789838618717"</f>
        <v>9789838618717</v>
      </c>
      <c r="D10852" s="10" t="s">
        <v>40447</v>
      </c>
      <c r="E10852" s="10" t="s">
        <v>40448</v>
      </c>
      <c r="F10852" s="10" t="s">
        <v>47281</v>
      </c>
      <c r="G10852" s="10" t="s">
        <v>40450</v>
      </c>
      <c r="H10852" s="11">
        <v>41572</v>
      </c>
      <c r="I10852" s="10">
        <v>2013</v>
      </c>
      <c r="J10852" s="10">
        <v>2014</v>
      </c>
      <c r="K10852" s="10">
        <v>107</v>
      </c>
      <c r="L10852" s="10" t="s">
        <v>47369</v>
      </c>
      <c r="M10852" s="10"/>
      <c r="N10852" s="10"/>
      <c r="O10852" s="10"/>
      <c r="P10852" s="10" t="s">
        <v>47370</v>
      </c>
      <c r="Q10852" s="10">
        <v>378.59500000000003</v>
      </c>
      <c r="R10852" s="10" t="s">
        <v>47371</v>
      </c>
      <c r="S10852" s="10" t="s">
        <v>53</v>
      </c>
      <c r="T10852" s="10" t="s">
        <v>54</v>
      </c>
    </row>
    <row r="10853" spans="1:20" ht="14.5" x14ac:dyDescent="0.35">
      <c r="A10853" s="10" t="s">
        <v>47372</v>
      </c>
      <c r="B10853" s="10" t="str">
        <f>"9789838616195"</f>
        <v>9789838616195</v>
      </c>
      <c r="C10853" s="10" t="str">
        <f>"9789838618526"</f>
        <v>9789838618526</v>
      </c>
      <c r="D10853" s="10" t="s">
        <v>40447</v>
      </c>
      <c r="E10853" s="10" t="s">
        <v>40448</v>
      </c>
      <c r="F10853" s="10" t="s">
        <v>47281</v>
      </c>
      <c r="G10853" s="10" t="s">
        <v>40450</v>
      </c>
      <c r="H10853" s="11">
        <v>41690</v>
      </c>
      <c r="I10853" s="10">
        <v>2014</v>
      </c>
      <c r="J10853" s="10">
        <v>2014</v>
      </c>
      <c r="K10853" s="10">
        <v>325</v>
      </c>
      <c r="L10853" s="10" t="s">
        <v>47373</v>
      </c>
      <c r="M10853" s="10"/>
      <c r="N10853" s="10"/>
      <c r="O10853" s="10"/>
      <c r="P10853" s="10" t="s">
        <v>47374</v>
      </c>
      <c r="Q10853" s="10">
        <v>370.82095950000001</v>
      </c>
      <c r="R10853" s="10" t="s">
        <v>47375</v>
      </c>
      <c r="S10853" s="10" t="s">
        <v>47285</v>
      </c>
      <c r="T10853" s="10" t="s">
        <v>54</v>
      </c>
    </row>
    <row r="10854" spans="1:20" ht="14.5" x14ac:dyDescent="0.35">
      <c r="A10854" s="10" t="s">
        <v>47376</v>
      </c>
      <c r="B10854" s="10" t="str">
        <f>"9781421426372"</f>
        <v>9781421426372</v>
      </c>
      <c r="C10854" s="10" t="str">
        <f>"9781421426389"</f>
        <v>9781421426389</v>
      </c>
      <c r="D10854" s="10" t="s">
        <v>884</v>
      </c>
      <c r="E10854" s="10" t="s">
        <v>884</v>
      </c>
      <c r="F10854" s="10" t="s">
        <v>885</v>
      </c>
      <c r="G10854" s="10" t="s">
        <v>6317</v>
      </c>
      <c r="H10854" s="11">
        <v>43405</v>
      </c>
      <c r="I10854" s="10">
        <v>2018</v>
      </c>
      <c r="J10854" s="10" t="s">
        <v>884</v>
      </c>
      <c r="K10854" s="10">
        <v>225</v>
      </c>
      <c r="L10854" s="10" t="s">
        <v>47377</v>
      </c>
      <c r="M10854" s="10">
        <v>1</v>
      </c>
      <c r="N10854" s="10" t="s">
        <v>35979</v>
      </c>
      <c r="O10854" s="10"/>
      <c r="P10854" s="10"/>
      <c r="Q10854" s="10"/>
      <c r="R10854" s="10"/>
      <c r="S10854" s="10" t="s">
        <v>53</v>
      </c>
      <c r="T10854" s="10" t="s">
        <v>54</v>
      </c>
    </row>
    <row r="10855" spans="1:20" ht="14.5" x14ac:dyDescent="0.35">
      <c r="A10855" s="10" t="s">
        <v>47378</v>
      </c>
      <c r="B10855" s="10" t="str">
        <f>"9781416625339"</f>
        <v>9781416625339</v>
      </c>
      <c r="C10855" s="10" t="str">
        <f>"9781416625346"</f>
        <v>9781416625346</v>
      </c>
      <c r="D10855" s="10" t="s">
        <v>10014</v>
      </c>
      <c r="E10855" s="10" t="s">
        <v>10015</v>
      </c>
      <c r="F10855" s="10" t="s">
        <v>201</v>
      </c>
      <c r="G10855" s="10" t="s">
        <v>6317</v>
      </c>
      <c r="H10855" s="11">
        <v>43159</v>
      </c>
      <c r="I10855" s="10">
        <v>2018</v>
      </c>
      <c r="J10855" s="10" t="s">
        <v>10015</v>
      </c>
      <c r="K10855" s="10">
        <v>227</v>
      </c>
      <c r="L10855" s="10" t="s">
        <v>47379</v>
      </c>
      <c r="M10855" s="10">
        <v>1</v>
      </c>
      <c r="N10855" s="10"/>
      <c r="O10855" s="10"/>
      <c r="P10855" s="10"/>
      <c r="Q10855" s="10"/>
      <c r="R10855" s="10"/>
      <c r="S10855" s="10" t="s">
        <v>53</v>
      </c>
      <c r="T10855" s="10" t="s">
        <v>54</v>
      </c>
    </row>
    <row r="10856" spans="1:20" ht="14.5" x14ac:dyDescent="0.35">
      <c r="A10856" s="10" t="s">
        <v>47380</v>
      </c>
      <c r="B10856" s="10" t="str">
        <f>"9781416625988"</f>
        <v>9781416625988</v>
      </c>
      <c r="C10856" s="10" t="str">
        <f>"9781416626251"</f>
        <v>9781416626251</v>
      </c>
      <c r="D10856" s="10" t="s">
        <v>10014</v>
      </c>
      <c r="E10856" s="10" t="s">
        <v>10015</v>
      </c>
      <c r="F10856" s="10" t="s">
        <v>201</v>
      </c>
      <c r="G10856" s="10" t="s">
        <v>6317</v>
      </c>
      <c r="H10856" s="11">
        <v>43189</v>
      </c>
      <c r="I10856" s="10">
        <v>2018</v>
      </c>
      <c r="J10856" s="10" t="s">
        <v>10015</v>
      </c>
      <c r="K10856" s="10">
        <v>171</v>
      </c>
      <c r="L10856" s="10" t="s">
        <v>47381</v>
      </c>
      <c r="M10856" s="10">
        <v>1</v>
      </c>
      <c r="N10856" s="10"/>
      <c r="O10856" s="10"/>
      <c r="P10856" s="10"/>
      <c r="Q10856" s="10"/>
      <c r="R10856" s="10"/>
      <c r="S10856" s="10" t="s">
        <v>53</v>
      </c>
      <c r="T10856" s="10" t="s">
        <v>54</v>
      </c>
    </row>
    <row r="10857" spans="1:20" ht="14.5" x14ac:dyDescent="0.35">
      <c r="A10857" s="10" t="s">
        <v>10442</v>
      </c>
      <c r="B10857" s="10" t="str">
        <f>"9781416625865"</f>
        <v>9781416625865</v>
      </c>
      <c r="C10857" s="10" t="str">
        <f>"9781416625889"</f>
        <v>9781416625889</v>
      </c>
      <c r="D10857" s="10" t="s">
        <v>10014</v>
      </c>
      <c r="E10857" s="10" t="s">
        <v>10015</v>
      </c>
      <c r="F10857" s="10" t="s">
        <v>201</v>
      </c>
      <c r="G10857" s="10" t="s">
        <v>6317</v>
      </c>
      <c r="H10857" s="11">
        <v>43189</v>
      </c>
      <c r="I10857" s="10">
        <v>2018</v>
      </c>
      <c r="J10857" s="10" t="s">
        <v>10015</v>
      </c>
      <c r="K10857" s="10">
        <v>363</v>
      </c>
      <c r="L10857" s="10" t="s">
        <v>10443</v>
      </c>
      <c r="M10857" s="10">
        <v>3</v>
      </c>
      <c r="N10857" s="10"/>
      <c r="O10857" s="10"/>
      <c r="P10857" s="10"/>
      <c r="Q10857" s="10"/>
      <c r="R10857" s="10"/>
      <c r="S10857" s="10" t="s">
        <v>53</v>
      </c>
      <c r="T10857" s="10" t="s">
        <v>54</v>
      </c>
    </row>
    <row r="10858" spans="1:20" ht="14.5" x14ac:dyDescent="0.35">
      <c r="A10858" s="10" t="s">
        <v>47382</v>
      </c>
      <c r="B10858" s="10" t="str">
        <f>"9781416625575"</f>
        <v>9781416625575</v>
      </c>
      <c r="C10858" s="10" t="str">
        <f>"9781416625599"</f>
        <v>9781416625599</v>
      </c>
      <c r="D10858" s="10" t="s">
        <v>10014</v>
      </c>
      <c r="E10858" s="10" t="s">
        <v>10015</v>
      </c>
      <c r="F10858" s="10" t="s">
        <v>201</v>
      </c>
      <c r="G10858" s="10" t="s">
        <v>6317</v>
      </c>
      <c r="H10858" s="11">
        <v>43220</v>
      </c>
      <c r="I10858" s="10">
        <v>2018</v>
      </c>
      <c r="J10858" s="10" t="s">
        <v>10015</v>
      </c>
      <c r="K10858" s="10">
        <v>222</v>
      </c>
      <c r="L10858" s="10" t="s">
        <v>47383</v>
      </c>
      <c r="M10858" s="10">
        <v>1</v>
      </c>
      <c r="N10858" s="10"/>
      <c r="O10858" s="10"/>
      <c r="P10858" s="10"/>
      <c r="Q10858" s="10"/>
      <c r="R10858" s="10"/>
      <c r="S10858" s="10" t="s">
        <v>53</v>
      </c>
      <c r="T10858" s="10" t="s">
        <v>54</v>
      </c>
    </row>
    <row r="10859" spans="1:20" ht="14.5" x14ac:dyDescent="0.35">
      <c r="A10859" s="10" t="s">
        <v>47384</v>
      </c>
      <c r="B10859" s="10" t="str">
        <f>"9781416625490"</f>
        <v>9781416625490</v>
      </c>
      <c r="C10859" s="10" t="str">
        <f>"9781416625513"</f>
        <v>9781416625513</v>
      </c>
      <c r="D10859" s="10" t="s">
        <v>10014</v>
      </c>
      <c r="E10859" s="10" t="s">
        <v>10015</v>
      </c>
      <c r="F10859" s="10" t="s">
        <v>201</v>
      </c>
      <c r="G10859" s="10" t="s">
        <v>6317</v>
      </c>
      <c r="H10859" s="11">
        <v>43189</v>
      </c>
      <c r="I10859" s="10">
        <v>2018</v>
      </c>
      <c r="J10859" s="10" t="s">
        <v>10015</v>
      </c>
      <c r="K10859" s="10">
        <v>235</v>
      </c>
      <c r="L10859" s="10" t="s">
        <v>47385</v>
      </c>
      <c r="M10859" s="10">
        <v>1</v>
      </c>
      <c r="N10859" s="10"/>
      <c r="O10859" s="10"/>
      <c r="P10859" s="10"/>
      <c r="Q10859" s="10"/>
      <c r="R10859" s="10"/>
      <c r="S10859" s="10" t="s">
        <v>53</v>
      </c>
      <c r="T10859" s="10" t="s">
        <v>54</v>
      </c>
    </row>
    <row r="10860" spans="1:20" ht="14.5" x14ac:dyDescent="0.35">
      <c r="A10860" s="10" t="s">
        <v>47386</v>
      </c>
      <c r="B10860" s="10" t="str">
        <f>"9781551383286"</f>
        <v>9781551383286</v>
      </c>
      <c r="C10860" s="10" t="str">
        <f>"9781551389295"</f>
        <v>9781551389295</v>
      </c>
      <c r="D10860" s="10" t="s">
        <v>45074</v>
      </c>
      <c r="E10860" s="10" t="s">
        <v>45075</v>
      </c>
      <c r="F10860" s="10" t="s">
        <v>901</v>
      </c>
      <c r="G10860" s="10" t="s">
        <v>9536</v>
      </c>
      <c r="H10860" s="11">
        <v>43159</v>
      </c>
      <c r="I10860" s="10">
        <v>2018</v>
      </c>
      <c r="J10860" s="10" t="s">
        <v>45075</v>
      </c>
      <c r="K10860" s="10">
        <v>173</v>
      </c>
      <c r="L10860" s="10" t="s">
        <v>47387</v>
      </c>
      <c r="M10860" s="10">
        <v>1</v>
      </c>
      <c r="N10860" s="10"/>
      <c r="O10860" s="10"/>
      <c r="P10860" s="10"/>
      <c r="Q10860" s="10" t="s">
        <v>47388</v>
      </c>
      <c r="R10860" s="10" t="s">
        <v>47389</v>
      </c>
      <c r="S10860" s="10" t="s">
        <v>53</v>
      </c>
      <c r="T10860" s="10" t="s">
        <v>6363</v>
      </c>
    </row>
    <row r="10861" spans="1:20" ht="14.5" x14ac:dyDescent="0.35">
      <c r="A10861" s="10" t="s">
        <v>47390</v>
      </c>
      <c r="B10861" s="10" t="str">
        <f>"9781551383293"</f>
        <v>9781551383293</v>
      </c>
      <c r="C10861" s="10" t="str">
        <f>"9781551389301"</f>
        <v>9781551389301</v>
      </c>
      <c r="D10861" s="10" t="s">
        <v>45074</v>
      </c>
      <c r="E10861" s="10" t="s">
        <v>45075</v>
      </c>
      <c r="F10861" s="10" t="s">
        <v>901</v>
      </c>
      <c r="G10861" s="10" t="s">
        <v>9536</v>
      </c>
      <c r="H10861" s="11">
        <v>43159</v>
      </c>
      <c r="I10861" s="10">
        <v>2018</v>
      </c>
      <c r="J10861" s="10" t="s">
        <v>45075</v>
      </c>
      <c r="K10861" s="10">
        <v>143</v>
      </c>
      <c r="L10861" s="10" t="s">
        <v>45076</v>
      </c>
      <c r="M10861" s="10">
        <v>1</v>
      </c>
      <c r="N10861" s="10"/>
      <c r="O10861" s="10"/>
      <c r="P10861" s="10"/>
      <c r="Q10861" s="10"/>
      <c r="R10861" s="10"/>
      <c r="S10861" s="10" t="s">
        <v>53</v>
      </c>
      <c r="T10861" s="10" t="s">
        <v>6634</v>
      </c>
    </row>
    <row r="10862" spans="1:20" ht="14.5" x14ac:dyDescent="0.35">
      <c r="A10862" s="10" t="s">
        <v>47391</v>
      </c>
      <c r="B10862" s="10" t="str">
        <f>"9781551383309"</f>
        <v>9781551383309</v>
      </c>
      <c r="C10862" s="10" t="str">
        <f>"9781551389318"</f>
        <v>9781551389318</v>
      </c>
      <c r="D10862" s="10" t="s">
        <v>45074</v>
      </c>
      <c r="E10862" s="10" t="s">
        <v>45075</v>
      </c>
      <c r="F10862" s="10" t="s">
        <v>901</v>
      </c>
      <c r="G10862" s="10" t="s">
        <v>9536</v>
      </c>
      <c r="H10862" s="11">
        <v>43182</v>
      </c>
      <c r="I10862" s="10">
        <v>2018</v>
      </c>
      <c r="J10862" s="10" t="s">
        <v>45075</v>
      </c>
      <c r="K10862" s="10">
        <v>120</v>
      </c>
      <c r="L10862" s="10" t="s">
        <v>47392</v>
      </c>
      <c r="M10862" s="10">
        <v>1</v>
      </c>
      <c r="N10862" s="10"/>
      <c r="O10862" s="10"/>
      <c r="P10862" s="10"/>
      <c r="Q10862" s="10" t="s">
        <v>8836</v>
      </c>
      <c r="R10862" s="10" t="s">
        <v>25345</v>
      </c>
      <c r="S10862" s="10" t="s">
        <v>53</v>
      </c>
      <c r="T10862" s="10" t="s">
        <v>54</v>
      </c>
    </row>
    <row r="10863" spans="1:20" ht="14.5" x14ac:dyDescent="0.35">
      <c r="A10863" s="10" t="s">
        <v>47393</v>
      </c>
      <c r="B10863" s="10" t="str">
        <f>"9781945349263"</f>
        <v>9781945349263</v>
      </c>
      <c r="C10863" s="10" t="str">
        <f>"9781945349270"</f>
        <v>9781945349270</v>
      </c>
      <c r="D10863" s="10" t="s">
        <v>37580</v>
      </c>
      <c r="E10863" s="10" t="s">
        <v>37581</v>
      </c>
      <c r="F10863" s="10" t="s">
        <v>37623</v>
      </c>
      <c r="G10863" s="10" t="s">
        <v>6317</v>
      </c>
      <c r="H10863" s="11">
        <v>43217</v>
      </c>
      <c r="I10863" s="10">
        <v>2018</v>
      </c>
      <c r="J10863" s="10" t="s">
        <v>37581</v>
      </c>
      <c r="K10863" s="10">
        <v>120</v>
      </c>
      <c r="L10863" s="10" t="s">
        <v>47394</v>
      </c>
      <c r="M10863" s="10">
        <v>1</v>
      </c>
      <c r="N10863" s="10"/>
      <c r="O10863" s="10"/>
      <c r="P10863" s="10" t="s">
        <v>47395</v>
      </c>
      <c r="Q10863" s="10"/>
      <c r="R10863" s="10"/>
      <c r="S10863" s="10" t="s">
        <v>53</v>
      </c>
      <c r="T10863" s="10" t="s">
        <v>54</v>
      </c>
    </row>
    <row r="10864" spans="1:20" ht="14.5" x14ac:dyDescent="0.35">
      <c r="A10864" s="10" t="s">
        <v>47396</v>
      </c>
      <c r="B10864" s="10" t="str">
        <f>""</f>
        <v/>
      </c>
      <c r="C10864" s="10" t="str">
        <f>"9782512008521"</f>
        <v>9782512008521</v>
      </c>
      <c r="D10864" s="10" t="s">
        <v>29172</v>
      </c>
      <c r="E10864" s="10" t="s">
        <v>47397</v>
      </c>
      <c r="F10864" s="10" t="s">
        <v>29181</v>
      </c>
      <c r="G10864" s="10" t="s">
        <v>28737</v>
      </c>
      <c r="H10864" s="11">
        <v>43201</v>
      </c>
      <c r="I10864" s="10">
        <v>2018</v>
      </c>
      <c r="J10864" s="10" t="s">
        <v>47397</v>
      </c>
      <c r="K10864" s="10">
        <v>98</v>
      </c>
      <c r="L10864" s="10" t="s">
        <v>47398</v>
      </c>
      <c r="M10864" s="10">
        <v>1</v>
      </c>
      <c r="N10864" s="10"/>
      <c r="O10864" s="10"/>
      <c r="P10864" s="10"/>
      <c r="Q10864" s="10"/>
      <c r="R10864" s="10" t="s">
        <v>47399</v>
      </c>
      <c r="S10864" s="10" t="s">
        <v>5404</v>
      </c>
      <c r="T10864" s="10" t="s">
        <v>6568</v>
      </c>
    </row>
    <row r="10865" spans="1:20" ht="14.5" x14ac:dyDescent="0.35">
      <c r="A10865" s="10" t="s">
        <v>47400</v>
      </c>
      <c r="B10865" s="10" t="str">
        <f>"9781475839838"</f>
        <v>9781475839838</v>
      </c>
      <c r="C10865" s="10" t="str">
        <f>"9781475839852"</f>
        <v>9781475839852</v>
      </c>
      <c r="D10865" s="10" t="s">
        <v>9752</v>
      </c>
      <c r="E10865" s="10" t="s">
        <v>15187</v>
      </c>
      <c r="F10865" s="10" t="s">
        <v>9754</v>
      </c>
      <c r="G10865" s="10" t="s">
        <v>6317</v>
      </c>
      <c r="H10865" s="11">
        <v>43193</v>
      </c>
      <c r="I10865" s="10">
        <v>2018</v>
      </c>
      <c r="J10865" s="10" t="s">
        <v>15187</v>
      </c>
      <c r="K10865" s="10">
        <v>145</v>
      </c>
      <c r="L10865" s="10" t="s">
        <v>47401</v>
      </c>
      <c r="M10865" s="10">
        <v>1</v>
      </c>
      <c r="N10865" s="10"/>
      <c r="O10865" s="10"/>
      <c r="P10865" s="10" t="s">
        <v>47402</v>
      </c>
      <c r="Q10865" s="10">
        <v>306.70870000000002</v>
      </c>
      <c r="R10865" s="10" t="s">
        <v>47403</v>
      </c>
      <c r="S10865" s="10" t="s">
        <v>53</v>
      </c>
      <c r="T10865" s="10" t="s">
        <v>6363</v>
      </c>
    </row>
    <row r="10866" spans="1:20" ht="14.5" x14ac:dyDescent="0.35">
      <c r="A10866" s="10" t="s">
        <v>47404</v>
      </c>
      <c r="B10866" s="10" t="str">
        <f>"9781785923616"</f>
        <v>9781785923616</v>
      </c>
      <c r="C10866" s="10" t="str">
        <f>"9781784507046"</f>
        <v>9781784507046</v>
      </c>
      <c r="D10866" s="10" t="s">
        <v>10516</v>
      </c>
      <c r="E10866" s="10" t="s">
        <v>10516</v>
      </c>
      <c r="F10866" s="10" t="s">
        <v>139</v>
      </c>
      <c r="G10866" s="10" t="s">
        <v>6352</v>
      </c>
      <c r="H10866" s="11">
        <v>43209</v>
      </c>
      <c r="I10866" s="10">
        <v>2018</v>
      </c>
      <c r="J10866" s="10" t="s">
        <v>10516</v>
      </c>
      <c r="K10866" s="10">
        <v>90</v>
      </c>
      <c r="L10866" s="10" t="s">
        <v>43298</v>
      </c>
      <c r="M10866" s="10">
        <v>1</v>
      </c>
      <c r="N10866" s="10"/>
      <c r="O10866" s="10"/>
      <c r="P10866" s="10" t="s">
        <v>47405</v>
      </c>
      <c r="Q10866" s="10">
        <v>372.11023999999998</v>
      </c>
      <c r="R10866" s="10" t="s">
        <v>47406</v>
      </c>
      <c r="S10866" s="10" t="s">
        <v>53</v>
      </c>
      <c r="T10866" s="10" t="s">
        <v>54</v>
      </c>
    </row>
    <row r="10867" spans="1:20" ht="14.5" x14ac:dyDescent="0.35">
      <c r="A10867" s="10" t="s">
        <v>47407</v>
      </c>
      <c r="B10867" s="10" t="str">
        <f>"9782760326446"</f>
        <v>9782760326446</v>
      </c>
      <c r="C10867" s="10" t="str">
        <f>"9782760326460"</f>
        <v>9782760326460</v>
      </c>
      <c r="D10867" s="10" t="s">
        <v>47408</v>
      </c>
      <c r="E10867" s="10" t="s">
        <v>47408</v>
      </c>
      <c r="F10867" s="10" t="s">
        <v>914</v>
      </c>
      <c r="G10867" s="10" t="s">
        <v>9536</v>
      </c>
      <c r="H10867" s="11">
        <v>43215</v>
      </c>
      <c r="I10867" s="10">
        <v>2018</v>
      </c>
      <c r="J10867" s="10" t="s">
        <v>47408</v>
      </c>
      <c r="K10867" s="10">
        <v>257</v>
      </c>
      <c r="L10867" s="10" t="s">
        <v>47409</v>
      </c>
      <c r="M10867" s="10">
        <v>1</v>
      </c>
      <c r="N10867" s="10" t="s">
        <v>5033</v>
      </c>
      <c r="O10867" s="10"/>
      <c r="P10867" s="10" t="s">
        <v>47410</v>
      </c>
      <c r="Q10867" s="10">
        <v>650.1</v>
      </c>
      <c r="R10867" s="10" t="s">
        <v>47411</v>
      </c>
      <c r="S10867" s="10" t="s">
        <v>5404</v>
      </c>
      <c r="T10867" s="10" t="s">
        <v>6660</v>
      </c>
    </row>
    <row r="10868" spans="1:20" ht="14.5" x14ac:dyDescent="0.35">
      <c r="A10868" s="10" t="s">
        <v>47412</v>
      </c>
      <c r="B10868" s="10" t="str">
        <f>"9781786300164"</f>
        <v>9781786300164</v>
      </c>
      <c r="C10868" s="10" t="str">
        <f>"9781119308164"</f>
        <v>9781119308164</v>
      </c>
      <c r="D10868" s="10" t="s">
        <v>6322</v>
      </c>
      <c r="E10868" s="10" t="s">
        <v>6323</v>
      </c>
      <c r="F10868" s="10" t="s">
        <v>4423</v>
      </c>
      <c r="G10868" s="10" t="s">
        <v>6317</v>
      </c>
      <c r="H10868" s="11">
        <v>43270</v>
      </c>
      <c r="I10868" s="10">
        <v>2018</v>
      </c>
      <c r="J10868" s="10" t="s">
        <v>29411</v>
      </c>
      <c r="K10868" s="10">
        <v>179</v>
      </c>
      <c r="L10868" s="10" t="s">
        <v>47413</v>
      </c>
      <c r="M10868" s="10">
        <v>1</v>
      </c>
      <c r="N10868" s="10"/>
      <c r="O10868" s="10"/>
      <c r="P10868" s="10"/>
      <c r="Q10868" s="10">
        <v>1.3028500000000001</v>
      </c>
      <c r="R10868" s="10" t="s">
        <v>47414</v>
      </c>
      <c r="S10868" s="10" t="s">
        <v>53</v>
      </c>
      <c r="T10868" s="10" t="s">
        <v>6601</v>
      </c>
    </row>
    <row r="10869" spans="1:20" ht="14.5" x14ac:dyDescent="0.35">
      <c r="A10869" s="10" t="s">
        <v>47415</v>
      </c>
      <c r="B10869" s="10" t="str">
        <f>"9780884142508"</f>
        <v>9780884142508</v>
      </c>
      <c r="C10869" s="10" t="str">
        <f>"9780884142492"</f>
        <v>9780884142492</v>
      </c>
      <c r="D10869" s="10" t="s">
        <v>47416</v>
      </c>
      <c r="E10869" s="10" t="s">
        <v>47416</v>
      </c>
      <c r="F10869" s="10" t="s">
        <v>1507</v>
      </c>
      <c r="G10869" s="10" t="s">
        <v>6317</v>
      </c>
      <c r="H10869" s="11">
        <v>42948</v>
      </c>
      <c r="I10869" s="10">
        <v>2018</v>
      </c>
      <c r="J10869" s="10" t="s">
        <v>47417</v>
      </c>
      <c r="K10869" s="10">
        <v>355</v>
      </c>
      <c r="L10869" s="10" t="s">
        <v>47418</v>
      </c>
      <c r="M10869" s="10">
        <v>1</v>
      </c>
      <c r="N10869" s="10" t="s">
        <v>47419</v>
      </c>
      <c r="O10869" s="10">
        <v>89</v>
      </c>
      <c r="P10869" s="10" t="s">
        <v>47420</v>
      </c>
      <c r="Q10869" s="10" t="s">
        <v>47421</v>
      </c>
      <c r="R10869" s="10" t="s">
        <v>47422</v>
      </c>
      <c r="S10869" s="10" t="s">
        <v>53</v>
      </c>
      <c r="T10869" s="10" t="s">
        <v>6616</v>
      </c>
    </row>
    <row r="10870" spans="1:20" ht="14.5" x14ac:dyDescent="0.35">
      <c r="A10870" s="10" t="s">
        <v>47423</v>
      </c>
      <c r="B10870" s="10" t="str">
        <f>"9781620365595"</f>
        <v>9781620365595</v>
      </c>
      <c r="C10870" s="10" t="str">
        <f>"9781000971965"</f>
        <v>9781000971965</v>
      </c>
      <c r="D10870" s="10" t="s">
        <v>6350</v>
      </c>
      <c r="E10870" s="10" t="s">
        <v>6351</v>
      </c>
      <c r="F10870" s="10" t="s">
        <v>748</v>
      </c>
      <c r="G10870" s="10" t="s">
        <v>6352</v>
      </c>
      <c r="H10870" s="11">
        <v>43200</v>
      </c>
      <c r="I10870" s="10">
        <v>2018</v>
      </c>
      <c r="J10870" s="10" t="s">
        <v>6351</v>
      </c>
      <c r="K10870" s="10">
        <v>203</v>
      </c>
      <c r="L10870" s="10" t="s">
        <v>47424</v>
      </c>
      <c r="M10870" s="10">
        <v>1</v>
      </c>
      <c r="N10870" s="10"/>
      <c r="O10870" s="10"/>
      <c r="P10870" s="10"/>
      <c r="Q10870" s="10">
        <v>371.39499999999998</v>
      </c>
      <c r="R10870" s="10" t="s">
        <v>47425</v>
      </c>
      <c r="S10870" s="10" t="s">
        <v>53</v>
      </c>
      <c r="T10870" s="10" t="s">
        <v>54</v>
      </c>
    </row>
    <row r="10871" spans="1:20" ht="14.5" x14ac:dyDescent="0.35">
      <c r="A10871" s="10" t="s">
        <v>43213</v>
      </c>
      <c r="B10871" s="10" t="str">
        <f>"9781787562554"</f>
        <v>9781787562554</v>
      </c>
      <c r="C10871" s="10" t="str">
        <f>"9781787562561"</f>
        <v>9781787562561</v>
      </c>
      <c r="D10871" s="10" t="s">
        <v>8699</v>
      </c>
      <c r="E10871" s="10" t="s">
        <v>8699</v>
      </c>
      <c r="F10871" s="10" t="s">
        <v>41843</v>
      </c>
      <c r="G10871" s="10" t="s">
        <v>6352</v>
      </c>
      <c r="H10871" s="11">
        <v>43154</v>
      </c>
      <c r="I10871" s="10">
        <v>2018</v>
      </c>
      <c r="J10871" s="10" t="s">
        <v>8699</v>
      </c>
      <c r="K10871" s="10">
        <v>119</v>
      </c>
      <c r="L10871" s="10" t="s">
        <v>47426</v>
      </c>
      <c r="M10871" s="10">
        <v>1</v>
      </c>
      <c r="N10871" s="10" t="s">
        <v>47427</v>
      </c>
      <c r="O10871" s="10">
        <v>2</v>
      </c>
      <c r="P10871" s="10" t="s">
        <v>47428</v>
      </c>
      <c r="Q10871" s="10">
        <v>370.11599999999999</v>
      </c>
      <c r="R10871" s="10" t="s">
        <v>43340</v>
      </c>
      <c r="S10871" s="10" t="s">
        <v>53</v>
      </c>
      <c r="T10871" s="10" t="s">
        <v>54</v>
      </c>
    </row>
    <row r="10872" spans="1:20" ht="14.5" x14ac:dyDescent="0.35">
      <c r="A10872" s="10" t="s">
        <v>47429</v>
      </c>
      <c r="B10872" s="10" t="str">
        <f>"9781472949790"</f>
        <v>9781472949790</v>
      </c>
      <c r="C10872" s="10" t="str">
        <f>"9781472949776"</f>
        <v>9781472949776</v>
      </c>
      <c r="D10872" s="10" t="s">
        <v>13959</v>
      </c>
      <c r="E10872" s="10" t="s">
        <v>13960</v>
      </c>
      <c r="F10872" s="10" t="s">
        <v>139</v>
      </c>
      <c r="G10872" s="10" t="s">
        <v>6352</v>
      </c>
      <c r="H10872" s="11">
        <v>43251</v>
      </c>
      <c r="I10872" s="10">
        <v>2018</v>
      </c>
      <c r="J10872" s="10" t="s">
        <v>16948</v>
      </c>
      <c r="K10872" s="10">
        <v>161</v>
      </c>
      <c r="L10872" s="10" t="s">
        <v>47430</v>
      </c>
      <c r="M10872" s="10">
        <v>1</v>
      </c>
      <c r="N10872" s="10"/>
      <c r="O10872" s="10"/>
      <c r="P10872" s="10" t="s">
        <v>47431</v>
      </c>
      <c r="Q10872" s="10">
        <v>371.10199999999998</v>
      </c>
      <c r="R10872" s="10" t="s">
        <v>47432</v>
      </c>
      <c r="S10872" s="10" t="s">
        <v>53</v>
      </c>
      <c r="T10872" s="10" t="s">
        <v>54</v>
      </c>
    </row>
    <row r="10873" spans="1:20" ht="14.5" x14ac:dyDescent="0.35">
      <c r="A10873" s="10" t="s">
        <v>47433</v>
      </c>
      <c r="B10873" s="10" t="str">
        <f>"9781119218418"</f>
        <v>9781119218418</v>
      </c>
      <c r="C10873" s="10" t="str">
        <f>"9781119218425"</f>
        <v>9781119218425</v>
      </c>
      <c r="D10873" s="10" t="s">
        <v>6322</v>
      </c>
      <c r="E10873" s="10" t="s">
        <v>6323</v>
      </c>
      <c r="F10873" s="10" t="s">
        <v>4423</v>
      </c>
      <c r="G10873" s="10" t="s">
        <v>6317</v>
      </c>
      <c r="H10873" s="11">
        <v>43242</v>
      </c>
      <c r="I10873" s="10">
        <v>2019</v>
      </c>
      <c r="J10873" s="10" t="s">
        <v>8436</v>
      </c>
      <c r="K10873" s="10">
        <v>609</v>
      </c>
      <c r="L10873" s="10" t="s">
        <v>47434</v>
      </c>
      <c r="M10873" s="10">
        <v>1</v>
      </c>
      <c r="N10873" s="10"/>
      <c r="O10873" s="10"/>
      <c r="P10873" s="10"/>
      <c r="Q10873" s="10">
        <v>379</v>
      </c>
      <c r="R10873" s="10" t="s">
        <v>47435</v>
      </c>
      <c r="S10873" s="10" t="s">
        <v>53</v>
      </c>
      <c r="T10873" s="10" t="s">
        <v>54</v>
      </c>
    </row>
    <row r="10874" spans="1:20" ht="14.5" x14ac:dyDescent="0.35">
      <c r="A10874" s="10" t="s">
        <v>47436</v>
      </c>
      <c r="B10874" s="10" t="str">
        <f>"9781118966679"</f>
        <v>9781118966679</v>
      </c>
      <c r="C10874" s="10" t="str">
        <f>"9781118966686"</f>
        <v>9781118966686</v>
      </c>
      <c r="D10874" s="10" t="s">
        <v>6322</v>
      </c>
      <c r="E10874" s="10" t="s">
        <v>6323</v>
      </c>
      <c r="F10874" s="10" t="s">
        <v>4423</v>
      </c>
      <c r="G10874" s="10" t="s">
        <v>6317</v>
      </c>
      <c r="H10874" s="11">
        <v>43228</v>
      </c>
      <c r="I10874" s="10">
        <v>2018</v>
      </c>
      <c r="J10874" s="10" t="s">
        <v>8436</v>
      </c>
      <c r="K10874" s="10">
        <v>642</v>
      </c>
      <c r="L10874" s="10" t="s">
        <v>23912</v>
      </c>
      <c r="M10874" s="10">
        <v>1</v>
      </c>
      <c r="N10874" s="10" t="s">
        <v>41092</v>
      </c>
      <c r="O10874" s="10"/>
      <c r="P10874" s="10"/>
      <c r="Q10874" s="10"/>
      <c r="R10874" s="10" t="s">
        <v>47437</v>
      </c>
      <c r="S10874" s="10" t="s">
        <v>53</v>
      </c>
      <c r="T10874" s="10" t="s">
        <v>54</v>
      </c>
    </row>
    <row r="10875" spans="1:20" ht="14.5" x14ac:dyDescent="0.35">
      <c r="A10875" s="10" t="s">
        <v>47438</v>
      </c>
      <c r="B10875" s="10" t="str">
        <f>"9781942496595"</f>
        <v>9781942496595</v>
      </c>
      <c r="C10875" s="10" t="str">
        <f>"9781942496601"</f>
        <v>9781942496601</v>
      </c>
      <c r="D10875" s="10" t="s">
        <v>37580</v>
      </c>
      <c r="E10875" s="10" t="s">
        <v>37581</v>
      </c>
      <c r="F10875" s="10" t="s">
        <v>37623</v>
      </c>
      <c r="G10875" s="10" t="s">
        <v>6317</v>
      </c>
      <c r="H10875" s="11">
        <v>43217</v>
      </c>
      <c r="I10875" s="10">
        <v>2018</v>
      </c>
      <c r="J10875" s="10" t="s">
        <v>37581</v>
      </c>
      <c r="K10875" s="10">
        <v>216</v>
      </c>
      <c r="L10875" s="10" t="s">
        <v>47439</v>
      </c>
      <c r="M10875" s="10">
        <v>1</v>
      </c>
      <c r="N10875" s="10"/>
      <c r="O10875" s="10"/>
      <c r="P10875" s="10" t="s">
        <v>47440</v>
      </c>
      <c r="Q10875" s="10"/>
      <c r="R10875" s="10"/>
      <c r="S10875" s="10" t="s">
        <v>53</v>
      </c>
      <c r="T10875" s="10" t="s">
        <v>54</v>
      </c>
    </row>
    <row r="10876" spans="1:20" ht="14.5" x14ac:dyDescent="0.35">
      <c r="A10876" s="10" t="s">
        <v>47441</v>
      </c>
      <c r="B10876" s="10" t="str">
        <f>""</f>
        <v/>
      </c>
      <c r="C10876" s="10" t="str">
        <f>"9781942072171"</f>
        <v>9781942072171</v>
      </c>
      <c r="D10876" s="10" t="s">
        <v>44271</v>
      </c>
      <c r="E10876" s="10" t="s">
        <v>45130</v>
      </c>
      <c r="F10876" s="10" t="s">
        <v>41227</v>
      </c>
      <c r="G10876" s="10" t="s">
        <v>6317</v>
      </c>
      <c r="H10876" s="11">
        <v>42992</v>
      </c>
      <c r="I10876" s="10">
        <v>2017</v>
      </c>
      <c r="J10876" s="10" t="s">
        <v>45130</v>
      </c>
      <c r="K10876" s="10">
        <v>268</v>
      </c>
      <c r="L10876" s="10" t="s">
        <v>47442</v>
      </c>
      <c r="M10876" s="10">
        <v>1</v>
      </c>
      <c r="N10876" s="10"/>
      <c r="O10876" s="10"/>
      <c r="P10876" s="10" t="s">
        <v>47443</v>
      </c>
      <c r="Q10876" s="10" t="s">
        <v>47444</v>
      </c>
      <c r="R10876" s="10" t="s">
        <v>47445</v>
      </c>
      <c r="S10876" s="10" t="s">
        <v>53</v>
      </c>
      <c r="T10876" s="10" t="s">
        <v>54</v>
      </c>
    </row>
    <row r="10877" spans="1:20" ht="14.5" x14ac:dyDescent="0.35">
      <c r="A10877" s="10" t="s">
        <v>47446</v>
      </c>
      <c r="B10877" s="10" t="str">
        <f>""</f>
        <v/>
      </c>
      <c r="C10877" s="10" t="str">
        <f>"9781942072157"</f>
        <v>9781942072157</v>
      </c>
      <c r="D10877" s="10" t="s">
        <v>44271</v>
      </c>
      <c r="E10877" s="10" t="s">
        <v>45130</v>
      </c>
      <c r="F10877" s="10" t="s">
        <v>41227</v>
      </c>
      <c r="G10877" s="10" t="s">
        <v>6317</v>
      </c>
      <c r="H10877" s="11">
        <v>43090</v>
      </c>
      <c r="I10877" s="10">
        <v>2017</v>
      </c>
      <c r="J10877" s="10" t="s">
        <v>45130</v>
      </c>
      <c r="K10877" s="10">
        <v>237</v>
      </c>
      <c r="L10877" s="10" t="s">
        <v>47447</v>
      </c>
      <c r="M10877" s="10">
        <v>1</v>
      </c>
      <c r="N10877" s="10"/>
      <c r="O10877" s="10"/>
      <c r="P10877" s="10" t="s">
        <v>47448</v>
      </c>
      <c r="Q10877" s="10" t="s">
        <v>39851</v>
      </c>
      <c r="R10877" s="10" t="s">
        <v>47449</v>
      </c>
      <c r="S10877" s="10" t="s">
        <v>53</v>
      </c>
      <c r="T10877" s="10" t="s">
        <v>39853</v>
      </c>
    </row>
    <row r="10878" spans="1:20" ht="14.5" x14ac:dyDescent="0.35">
      <c r="A10878" s="10" t="s">
        <v>47450</v>
      </c>
      <c r="B10878" s="10" t="str">
        <f>""</f>
        <v/>
      </c>
      <c r="C10878" s="10" t="str">
        <f>"9781942072232"</f>
        <v>9781942072232</v>
      </c>
      <c r="D10878" s="10" t="s">
        <v>44271</v>
      </c>
      <c r="E10878" s="10" t="s">
        <v>45130</v>
      </c>
      <c r="F10878" s="10" t="s">
        <v>41227</v>
      </c>
      <c r="G10878" s="10" t="s">
        <v>6317</v>
      </c>
      <c r="H10878" s="11">
        <v>41899</v>
      </c>
      <c r="I10878" s="10">
        <v>2014</v>
      </c>
      <c r="J10878" s="10" t="s">
        <v>45130</v>
      </c>
      <c r="K10878" s="10">
        <v>194</v>
      </c>
      <c r="L10878" s="10" t="s">
        <v>47451</v>
      </c>
      <c r="M10878" s="10">
        <v>1</v>
      </c>
      <c r="N10878" s="10"/>
      <c r="O10878" s="10"/>
      <c r="P10878" s="10" t="s">
        <v>47452</v>
      </c>
      <c r="Q10878" s="10" t="s">
        <v>9298</v>
      </c>
      <c r="R10878" s="10" t="s">
        <v>47453</v>
      </c>
      <c r="S10878" s="10" t="s">
        <v>53</v>
      </c>
      <c r="T10878" s="10" t="s">
        <v>54</v>
      </c>
    </row>
    <row r="10879" spans="1:20" ht="14.5" x14ac:dyDescent="0.35">
      <c r="A10879" s="10" t="s">
        <v>47454</v>
      </c>
      <c r="B10879" s="10" t="str">
        <f>""</f>
        <v/>
      </c>
      <c r="C10879" s="10" t="str">
        <f>"9781942072195"</f>
        <v>9781942072195</v>
      </c>
      <c r="D10879" s="10" t="s">
        <v>44271</v>
      </c>
      <c r="E10879" s="10" t="s">
        <v>45130</v>
      </c>
      <c r="F10879" s="10" t="s">
        <v>41227</v>
      </c>
      <c r="G10879" s="10" t="s">
        <v>6317</v>
      </c>
      <c r="H10879" s="11">
        <v>41046</v>
      </c>
      <c r="I10879" s="10">
        <v>2012</v>
      </c>
      <c r="J10879" s="10" t="s">
        <v>45130</v>
      </c>
      <c r="K10879" s="10">
        <v>250</v>
      </c>
      <c r="L10879" s="10" t="s">
        <v>47455</v>
      </c>
      <c r="M10879" s="10">
        <v>1</v>
      </c>
      <c r="N10879" s="10"/>
      <c r="O10879" s="10"/>
      <c r="P10879" s="10" t="s">
        <v>47456</v>
      </c>
      <c r="Q10879" s="10" t="s">
        <v>22902</v>
      </c>
      <c r="R10879" s="10" t="s">
        <v>47457</v>
      </c>
      <c r="S10879" s="10" t="s">
        <v>53</v>
      </c>
      <c r="T10879" s="10" t="s">
        <v>54</v>
      </c>
    </row>
    <row r="10880" spans="1:20" ht="14.5" x14ac:dyDescent="0.35">
      <c r="A10880" s="10" t="s">
        <v>47458</v>
      </c>
      <c r="B10880" s="10" t="str">
        <f>"9781787546547"</f>
        <v>9781787546547</v>
      </c>
      <c r="C10880" s="10" t="str">
        <f>"9781787546530"</f>
        <v>9781787546530</v>
      </c>
      <c r="D10880" s="10" t="s">
        <v>8699</v>
      </c>
      <c r="E10880" s="10" t="s">
        <v>8699</v>
      </c>
      <c r="F10880" s="10" t="s">
        <v>559</v>
      </c>
      <c r="G10880" s="10" t="s">
        <v>6352</v>
      </c>
      <c r="H10880" s="11">
        <v>43229</v>
      </c>
      <c r="I10880" s="10">
        <v>2018</v>
      </c>
      <c r="J10880" s="10" t="s">
        <v>8699</v>
      </c>
      <c r="K10880" s="10">
        <v>275</v>
      </c>
      <c r="L10880" s="10" t="s">
        <v>47459</v>
      </c>
      <c r="M10880" s="10">
        <v>1</v>
      </c>
      <c r="N10880" s="10" t="s">
        <v>47460</v>
      </c>
      <c r="O10880" s="10"/>
      <c r="P10880" s="10" t="s">
        <v>26825</v>
      </c>
      <c r="Q10880" s="10">
        <v>378.1</v>
      </c>
      <c r="R10880" s="10" t="s">
        <v>47461</v>
      </c>
      <c r="S10880" s="10" t="s">
        <v>53</v>
      </c>
      <c r="T10880" s="10" t="s">
        <v>54</v>
      </c>
    </row>
    <row r="10881" spans="1:20" ht="14.5" x14ac:dyDescent="0.35">
      <c r="A10881" s="10" t="s">
        <v>47462</v>
      </c>
      <c r="B10881" s="10" t="str">
        <f>"9781785923623"</f>
        <v>9781785923623</v>
      </c>
      <c r="C10881" s="10" t="str">
        <f>"9781784507039"</f>
        <v>9781784507039</v>
      </c>
      <c r="D10881" s="10" t="s">
        <v>10516</v>
      </c>
      <c r="E10881" s="10" t="s">
        <v>10516</v>
      </c>
      <c r="F10881" s="10" t="s">
        <v>139</v>
      </c>
      <c r="G10881" s="10" t="s">
        <v>6352</v>
      </c>
      <c r="H10881" s="11">
        <v>43241</v>
      </c>
      <c r="I10881" s="10">
        <v>2018</v>
      </c>
      <c r="J10881" s="10" t="s">
        <v>10516</v>
      </c>
      <c r="K10881" s="10">
        <v>194</v>
      </c>
      <c r="L10881" s="10" t="s">
        <v>47463</v>
      </c>
      <c r="M10881" s="10">
        <v>1</v>
      </c>
      <c r="N10881" s="10"/>
      <c r="O10881" s="10"/>
      <c r="P10881" s="10"/>
      <c r="Q10881" s="10">
        <v>371.92</v>
      </c>
      <c r="R10881" s="10"/>
      <c r="S10881" s="10" t="s">
        <v>53</v>
      </c>
      <c r="T10881" s="10" t="s">
        <v>54</v>
      </c>
    </row>
    <row r="10882" spans="1:20" ht="14.5" x14ac:dyDescent="0.35">
      <c r="A10882" s="10" t="s">
        <v>47464</v>
      </c>
      <c r="B10882" s="10" t="str">
        <f>"9780253033017"</f>
        <v>9780253033017</v>
      </c>
      <c r="C10882" s="10" t="str">
        <f>"9780253033031"</f>
        <v>9780253033031</v>
      </c>
      <c r="D10882" s="10" t="s">
        <v>6358</v>
      </c>
      <c r="E10882" s="10" t="s">
        <v>2455</v>
      </c>
      <c r="F10882" s="10" t="s">
        <v>70</v>
      </c>
      <c r="G10882" s="10" t="s">
        <v>6317</v>
      </c>
      <c r="H10882" s="11">
        <v>43196</v>
      </c>
      <c r="I10882" s="10">
        <v>2018</v>
      </c>
      <c r="J10882" s="10" t="s">
        <v>2455</v>
      </c>
      <c r="K10882" s="10">
        <v>178</v>
      </c>
      <c r="L10882" s="10" t="s">
        <v>47465</v>
      </c>
      <c r="M10882" s="10">
        <v>1</v>
      </c>
      <c r="N10882" s="10" t="s">
        <v>12447</v>
      </c>
      <c r="O10882" s="10"/>
      <c r="P10882" s="10"/>
      <c r="Q10882" s="10">
        <v>370.97471000000002</v>
      </c>
      <c r="R10882" s="10" t="s">
        <v>47466</v>
      </c>
      <c r="S10882" s="10" t="s">
        <v>53</v>
      </c>
      <c r="T10882" s="10" t="s">
        <v>54</v>
      </c>
    </row>
    <row r="10883" spans="1:20" ht="14.5" x14ac:dyDescent="0.35">
      <c r="A10883" s="10" t="s">
        <v>47467</v>
      </c>
      <c r="B10883" s="10" t="str">
        <f>"9781350032897"</f>
        <v>9781350032897</v>
      </c>
      <c r="C10883" s="10" t="str">
        <f>"9781350032880"</f>
        <v>9781350032880</v>
      </c>
      <c r="D10883" s="10" t="s">
        <v>13959</v>
      </c>
      <c r="E10883" s="10" t="s">
        <v>13960</v>
      </c>
      <c r="F10883" s="10" t="s">
        <v>139</v>
      </c>
      <c r="G10883" s="10" t="s">
        <v>6352</v>
      </c>
      <c r="H10883" s="11">
        <v>43265</v>
      </c>
      <c r="I10883" s="10">
        <v>2018</v>
      </c>
      <c r="J10883" s="10" t="s">
        <v>14057</v>
      </c>
      <c r="K10883" s="10">
        <v>262</v>
      </c>
      <c r="L10883" s="10" t="s">
        <v>47468</v>
      </c>
      <c r="M10883" s="10">
        <v>1</v>
      </c>
      <c r="N10883" s="10"/>
      <c r="O10883" s="10"/>
      <c r="P10883" s="10" t="s">
        <v>47469</v>
      </c>
      <c r="Q10883" s="10">
        <v>306.43200000000002</v>
      </c>
      <c r="R10883" s="10" t="s">
        <v>47470</v>
      </c>
      <c r="S10883" s="10" t="s">
        <v>53</v>
      </c>
      <c r="T10883" s="10" t="s">
        <v>6526</v>
      </c>
    </row>
    <row r="10884" spans="1:20" ht="14.5" x14ac:dyDescent="0.35">
      <c r="A10884" s="10" t="s">
        <v>47471</v>
      </c>
      <c r="B10884" s="10" t="str">
        <f>""</f>
        <v/>
      </c>
      <c r="C10884" s="10" t="str">
        <f>"9781975500214"</f>
        <v>9781975500214</v>
      </c>
      <c r="D10884" s="10" t="s">
        <v>44271</v>
      </c>
      <c r="E10884" s="10" t="s">
        <v>47266</v>
      </c>
      <c r="F10884" s="10" t="s">
        <v>41227</v>
      </c>
      <c r="G10884" s="10" t="s">
        <v>6317</v>
      </c>
      <c r="H10884" s="11">
        <v>43172</v>
      </c>
      <c r="I10884" s="10">
        <v>2018</v>
      </c>
      <c r="J10884" s="10" t="s">
        <v>47266</v>
      </c>
      <c r="K10884" s="10">
        <v>411</v>
      </c>
      <c r="L10884" s="10" t="s">
        <v>47472</v>
      </c>
      <c r="M10884" s="10">
        <v>1</v>
      </c>
      <c r="N10884" s="10" t="s">
        <v>47473</v>
      </c>
      <c r="O10884" s="10">
        <v>1</v>
      </c>
      <c r="P10884" s="10" t="s">
        <v>47474</v>
      </c>
      <c r="Q10884" s="10">
        <v>370.1</v>
      </c>
      <c r="R10884" s="10" t="s">
        <v>47475</v>
      </c>
      <c r="S10884" s="10" t="s">
        <v>53</v>
      </c>
      <c r="T10884" s="10" t="s">
        <v>54</v>
      </c>
    </row>
    <row r="10885" spans="1:20" ht="14.5" x14ac:dyDescent="0.35">
      <c r="A10885" s="10" t="s">
        <v>47476</v>
      </c>
      <c r="B10885" s="10" t="str">
        <f>"9781975500634"</f>
        <v>9781975500634</v>
      </c>
      <c r="C10885" s="10" t="str">
        <f>"9781975500641"</f>
        <v>9781975500641</v>
      </c>
      <c r="D10885" s="10" t="s">
        <v>44271</v>
      </c>
      <c r="E10885" s="10" t="s">
        <v>47266</v>
      </c>
      <c r="F10885" s="10" t="s">
        <v>41227</v>
      </c>
      <c r="G10885" s="10" t="s">
        <v>6317</v>
      </c>
      <c r="H10885" s="11">
        <v>43182</v>
      </c>
      <c r="I10885" s="10">
        <v>2018</v>
      </c>
      <c r="J10885" s="10" t="s">
        <v>47266</v>
      </c>
      <c r="K10885" s="10">
        <v>223</v>
      </c>
      <c r="L10885" s="10" t="s">
        <v>47477</v>
      </c>
      <c r="M10885" s="10">
        <v>1</v>
      </c>
      <c r="N10885" s="10" t="s">
        <v>47473</v>
      </c>
      <c r="O10885" s="10">
        <v>2</v>
      </c>
      <c r="P10885" s="10"/>
      <c r="Q10885" s="10" t="s">
        <v>47478</v>
      </c>
      <c r="R10885" s="10" t="s">
        <v>47479</v>
      </c>
      <c r="S10885" s="10" t="s">
        <v>53</v>
      </c>
      <c r="T10885" s="10" t="s">
        <v>4490</v>
      </c>
    </row>
    <row r="10886" spans="1:20" ht="14.5" x14ac:dyDescent="0.35">
      <c r="A10886" s="10" t="s">
        <v>47480</v>
      </c>
      <c r="B10886" s="10" t="str">
        <f>"9781474289771"</f>
        <v>9781474289771</v>
      </c>
      <c r="C10886" s="10" t="str">
        <f>"9781474289788"</f>
        <v>9781474289788</v>
      </c>
      <c r="D10886" s="10" t="s">
        <v>13959</v>
      </c>
      <c r="E10886" s="10" t="s">
        <v>13960</v>
      </c>
      <c r="F10886" s="10" t="s">
        <v>139</v>
      </c>
      <c r="G10886" s="10" t="s">
        <v>6352</v>
      </c>
      <c r="H10886" s="11">
        <v>43265</v>
      </c>
      <c r="I10886" s="10">
        <v>2018</v>
      </c>
      <c r="J10886" s="10" t="s">
        <v>14057</v>
      </c>
      <c r="K10886" s="10">
        <v>198</v>
      </c>
      <c r="L10886" s="10" t="s">
        <v>47481</v>
      </c>
      <c r="M10886" s="10">
        <v>1</v>
      </c>
      <c r="N10886" s="10"/>
      <c r="O10886" s="10"/>
      <c r="P10886" s="10" t="s">
        <v>47482</v>
      </c>
      <c r="Q10886" s="10">
        <v>370.92200000000003</v>
      </c>
      <c r="R10886" s="10" t="s">
        <v>47483</v>
      </c>
      <c r="S10886" s="10" t="s">
        <v>53</v>
      </c>
      <c r="T10886" s="10" t="s">
        <v>54</v>
      </c>
    </row>
    <row r="10887" spans="1:20" ht="14.5" x14ac:dyDescent="0.35">
      <c r="A10887" s="10" t="s">
        <v>47484</v>
      </c>
      <c r="B10887" s="10" t="str">
        <f>"9781943874323"</f>
        <v>9781943874323</v>
      </c>
      <c r="C10887" s="10" t="str">
        <f>"9781945349829"</f>
        <v>9781945349829</v>
      </c>
      <c r="D10887" s="10" t="s">
        <v>37580</v>
      </c>
      <c r="E10887" s="10" t="s">
        <v>37581</v>
      </c>
      <c r="F10887" s="10" t="s">
        <v>37623</v>
      </c>
      <c r="G10887" s="10" t="s">
        <v>6317</v>
      </c>
      <c r="H10887" s="11">
        <v>43245</v>
      </c>
      <c r="I10887" s="10">
        <v>2018</v>
      </c>
      <c r="J10887" s="10" t="s">
        <v>37581</v>
      </c>
      <c r="K10887" s="10">
        <v>200</v>
      </c>
      <c r="L10887" s="10" t="s">
        <v>47485</v>
      </c>
      <c r="M10887" s="10">
        <v>1</v>
      </c>
      <c r="N10887" s="10"/>
      <c r="O10887" s="10"/>
      <c r="P10887" s="10" t="s">
        <v>47486</v>
      </c>
      <c r="Q10887" s="10"/>
      <c r="R10887" s="10" t="s">
        <v>47487</v>
      </c>
      <c r="S10887" s="10" t="s">
        <v>53</v>
      </c>
      <c r="T10887" s="10" t="s">
        <v>54</v>
      </c>
    </row>
    <row r="10888" spans="1:20" ht="14.5" x14ac:dyDescent="0.35">
      <c r="A10888" s="10" t="s">
        <v>47488</v>
      </c>
      <c r="B10888" s="10" t="str">
        <f>""</f>
        <v/>
      </c>
      <c r="C10888" s="10" t="str">
        <f>"9782808008006"</f>
        <v>9782808008006</v>
      </c>
      <c r="D10888" s="10" t="s">
        <v>29172</v>
      </c>
      <c r="E10888" s="10" t="s">
        <v>29173</v>
      </c>
      <c r="F10888" s="10" t="s">
        <v>29181</v>
      </c>
      <c r="G10888" s="10" t="s">
        <v>28737</v>
      </c>
      <c r="H10888" s="11">
        <v>43227</v>
      </c>
      <c r="I10888" s="10">
        <v>2018</v>
      </c>
      <c r="J10888" s="10" t="s">
        <v>29175</v>
      </c>
      <c r="K10888" s="10">
        <v>61</v>
      </c>
      <c r="L10888" s="10" t="s">
        <v>47489</v>
      </c>
      <c r="M10888" s="10">
        <v>1</v>
      </c>
      <c r="N10888" s="10" t="s">
        <v>29177</v>
      </c>
      <c r="O10888" s="10"/>
      <c r="P10888" s="10"/>
      <c r="Q10888" s="10"/>
      <c r="R10888" s="10" t="s">
        <v>13858</v>
      </c>
      <c r="S10888" s="10" t="s">
        <v>5404</v>
      </c>
      <c r="T10888" s="10" t="s">
        <v>29186</v>
      </c>
    </row>
    <row r="10889" spans="1:20" ht="14.5" x14ac:dyDescent="0.35">
      <c r="A10889" s="10" t="s">
        <v>47490</v>
      </c>
      <c r="B10889" s="10" t="str">
        <f>""</f>
        <v/>
      </c>
      <c r="C10889" s="10" t="str">
        <f>"9782808008167"</f>
        <v>9782808008167</v>
      </c>
      <c r="D10889" s="10" t="s">
        <v>29172</v>
      </c>
      <c r="E10889" s="10" t="s">
        <v>29173</v>
      </c>
      <c r="F10889" s="10" t="s">
        <v>29181</v>
      </c>
      <c r="G10889" s="10" t="s">
        <v>28737</v>
      </c>
      <c r="H10889" s="11">
        <v>43124</v>
      </c>
      <c r="I10889" s="10">
        <v>2018</v>
      </c>
      <c r="J10889" s="10" t="s">
        <v>29175</v>
      </c>
      <c r="K10889" s="10">
        <v>63</v>
      </c>
      <c r="L10889" s="10" t="s">
        <v>47491</v>
      </c>
      <c r="M10889" s="10">
        <v>1</v>
      </c>
      <c r="N10889" s="10" t="s">
        <v>29177</v>
      </c>
      <c r="O10889" s="10"/>
      <c r="P10889" s="10"/>
      <c r="Q10889" s="10"/>
      <c r="R10889" s="10" t="s">
        <v>13858</v>
      </c>
      <c r="S10889" s="10" t="s">
        <v>5404</v>
      </c>
      <c r="T10889" s="10" t="s">
        <v>29264</v>
      </c>
    </row>
    <row r="10890" spans="1:20" ht="14.5" x14ac:dyDescent="0.35">
      <c r="A10890" s="10" t="s">
        <v>47492</v>
      </c>
      <c r="B10890" s="10" t="str">
        <f>""</f>
        <v/>
      </c>
      <c r="C10890" s="10" t="str">
        <f>"9781683921912"</f>
        <v>9781683921912</v>
      </c>
      <c r="D10890" s="10" t="s">
        <v>44271</v>
      </c>
      <c r="E10890" s="10" t="s">
        <v>47493</v>
      </c>
      <c r="F10890" s="10" t="s">
        <v>41227</v>
      </c>
      <c r="G10890" s="10" t="s">
        <v>6317</v>
      </c>
      <c r="H10890" s="11">
        <v>42039</v>
      </c>
      <c r="I10890" s="10">
        <v>2017</v>
      </c>
      <c r="J10890" s="10" t="s">
        <v>47493</v>
      </c>
      <c r="K10890" s="10">
        <v>268</v>
      </c>
      <c r="L10890" s="10" t="s">
        <v>47494</v>
      </c>
      <c r="M10890" s="10">
        <v>1</v>
      </c>
      <c r="N10890" s="10" t="s">
        <v>47495</v>
      </c>
      <c r="O10890" s="10"/>
      <c r="P10890" s="10" t="s">
        <v>47496</v>
      </c>
      <c r="Q10890" s="10">
        <v>4</v>
      </c>
      <c r="R10890" s="10" t="s">
        <v>47497</v>
      </c>
      <c r="S10890" s="10" t="s">
        <v>53</v>
      </c>
      <c r="T10890" s="10" t="s">
        <v>19959</v>
      </c>
    </row>
    <row r="10891" spans="1:20" ht="14.5" x14ac:dyDescent="0.35">
      <c r="A10891" s="10" t="s">
        <v>47498</v>
      </c>
      <c r="B10891" s="10" t="str">
        <f>"9781350004863"</f>
        <v>9781350004863</v>
      </c>
      <c r="C10891" s="10" t="str">
        <f>"9781350004894"</f>
        <v>9781350004894</v>
      </c>
      <c r="D10891" s="10" t="s">
        <v>17816</v>
      </c>
      <c r="E10891" s="10" t="s">
        <v>13960</v>
      </c>
      <c r="F10891" s="10" t="s">
        <v>139</v>
      </c>
      <c r="G10891" s="10" t="s">
        <v>6352</v>
      </c>
      <c r="H10891" s="11">
        <v>43148</v>
      </c>
      <c r="I10891" s="10">
        <v>2018</v>
      </c>
      <c r="J10891" s="10" t="s">
        <v>14057</v>
      </c>
      <c r="K10891" s="10">
        <v>277</v>
      </c>
      <c r="L10891" s="10" t="s">
        <v>47499</v>
      </c>
      <c r="M10891" s="10">
        <v>2</v>
      </c>
      <c r="N10891" s="10"/>
      <c r="O10891" s="10"/>
      <c r="P10891" s="10" t="s">
        <v>47500</v>
      </c>
      <c r="Q10891" s="10">
        <v>808.06637000000001</v>
      </c>
      <c r="R10891" s="10" t="s">
        <v>47501</v>
      </c>
      <c r="S10891" s="10" t="s">
        <v>53</v>
      </c>
      <c r="T10891" s="10" t="s">
        <v>6568</v>
      </c>
    </row>
    <row r="10892" spans="1:20" ht="14.5" x14ac:dyDescent="0.35">
      <c r="A10892" s="10" t="s">
        <v>47502</v>
      </c>
      <c r="B10892" s="10" t="str">
        <f>"9780745332932"</f>
        <v>9780745332932</v>
      </c>
      <c r="C10892" s="10" t="str">
        <f>"9781849647656"</f>
        <v>9781849647656</v>
      </c>
      <c r="D10892" s="10" t="s">
        <v>9533</v>
      </c>
      <c r="E10892" s="10" t="s">
        <v>37535</v>
      </c>
      <c r="F10892" s="10" t="s">
        <v>139</v>
      </c>
      <c r="G10892" s="10" t="s">
        <v>6352</v>
      </c>
      <c r="H10892" s="11">
        <v>41369</v>
      </c>
      <c r="I10892" s="10">
        <v>2013</v>
      </c>
      <c r="J10892" s="10" t="s">
        <v>37535</v>
      </c>
      <c r="K10892" s="10">
        <v>189</v>
      </c>
      <c r="L10892" s="10" t="s">
        <v>47503</v>
      </c>
      <c r="M10892" s="10">
        <v>1</v>
      </c>
      <c r="N10892" s="10"/>
      <c r="O10892" s="10"/>
      <c r="P10892" s="10" t="s">
        <v>47504</v>
      </c>
      <c r="Q10892" s="10">
        <v>378.41</v>
      </c>
      <c r="R10892" s="10" t="s">
        <v>47505</v>
      </c>
      <c r="S10892" s="10" t="s">
        <v>53</v>
      </c>
      <c r="T10892" s="10" t="s">
        <v>54</v>
      </c>
    </row>
    <row r="10893" spans="1:20" ht="14.5" x14ac:dyDescent="0.35">
      <c r="A10893" s="10" t="s">
        <v>47506</v>
      </c>
      <c r="B10893" s="10" t="str">
        <f>"9780745399850"</f>
        <v>9780745399850</v>
      </c>
      <c r="C10893" s="10" t="str">
        <f>"9781786801326"</f>
        <v>9781786801326</v>
      </c>
      <c r="D10893" s="10" t="s">
        <v>9533</v>
      </c>
      <c r="E10893" s="10" t="s">
        <v>37535</v>
      </c>
      <c r="F10893" s="10" t="s">
        <v>139</v>
      </c>
      <c r="G10893" s="10" t="s">
        <v>6352</v>
      </c>
      <c r="H10893" s="11">
        <v>43089</v>
      </c>
      <c r="I10893" s="10">
        <v>2018</v>
      </c>
      <c r="J10893" s="10" t="s">
        <v>37535</v>
      </c>
      <c r="K10893" s="10">
        <v>209</v>
      </c>
      <c r="L10893" s="10" t="s">
        <v>47507</v>
      </c>
      <c r="M10893" s="10">
        <v>1</v>
      </c>
      <c r="N10893" s="10" t="s">
        <v>47508</v>
      </c>
      <c r="O10893" s="10"/>
      <c r="P10893" s="10" t="s">
        <v>47509</v>
      </c>
      <c r="Q10893" s="10">
        <v>370.19</v>
      </c>
      <c r="R10893" s="10" t="s">
        <v>47510</v>
      </c>
      <c r="S10893" s="10" t="s">
        <v>53</v>
      </c>
      <c r="T10893" s="10" t="s">
        <v>54</v>
      </c>
    </row>
    <row r="10894" spans="1:20" ht="14.5" x14ac:dyDescent="0.35">
      <c r="A10894" s="10" t="s">
        <v>47511</v>
      </c>
      <c r="B10894" s="10" t="str">
        <f>"9780745399171"</f>
        <v>9780745399171</v>
      </c>
      <c r="C10894" s="10" t="str">
        <f>"9781786802392"</f>
        <v>9781786802392</v>
      </c>
      <c r="D10894" s="10" t="s">
        <v>9533</v>
      </c>
      <c r="E10894" s="10" t="s">
        <v>37535</v>
      </c>
      <c r="F10894" s="10" t="s">
        <v>139</v>
      </c>
      <c r="G10894" s="10" t="s">
        <v>6352</v>
      </c>
      <c r="H10894" s="11">
        <v>43240</v>
      </c>
      <c r="I10894" s="10">
        <v>2018</v>
      </c>
      <c r="J10894" s="10" t="s">
        <v>37535</v>
      </c>
      <c r="K10894" s="10">
        <v>225</v>
      </c>
      <c r="L10894" s="10" t="s">
        <v>47512</v>
      </c>
      <c r="M10894" s="10">
        <v>1</v>
      </c>
      <c r="N10894" s="10"/>
      <c r="O10894" s="10"/>
      <c r="P10894" s="10" t="s">
        <v>47513</v>
      </c>
      <c r="Q10894" s="10">
        <v>658.40071173000001</v>
      </c>
      <c r="R10894" s="10" t="s">
        <v>47514</v>
      </c>
      <c r="S10894" s="10" t="s">
        <v>53</v>
      </c>
      <c r="T10894" s="10" t="s">
        <v>6660</v>
      </c>
    </row>
    <row r="10895" spans="1:20" ht="14.5" x14ac:dyDescent="0.35">
      <c r="A10895" s="10" t="s">
        <v>47515</v>
      </c>
      <c r="B10895" s="10" t="str">
        <f>"9781787567610"</f>
        <v>9781787567610</v>
      </c>
      <c r="C10895" s="10" t="str">
        <f>"9781787567627"</f>
        <v>9781787567627</v>
      </c>
      <c r="D10895" s="10" t="s">
        <v>8699</v>
      </c>
      <c r="E10895" s="10" t="s">
        <v>8699</v>
      </c>
      <c r="F10895" s="10" t="s">
        <v>41843</v>
      </c>
      <c r="G10895" s="10" t="s">
        <v>6352</v>
      </c>
      <c r="H10895" s="11">
        <v>43207</v>
      </c>
      <c r="I10895" s="10">
        <v>2018</v>
      </c>
      <c r="J10895" s="10" t="s">
        <v>8699</v>
      </c>
      <c r="K10895" s="10">
        <v>131</v>
      </c>
      <c r="L10895" s="10" t="s">
        <v>47516</v>
      </c>
      <c r="M10895" s="10">
        <v>1</v>
      </c>
      <c r="N10895" s="10" t="s">
        <v>562</v>
      </c>
      <c r="O10895" s="10">
        <v>2</v>
      </c>
      <c r="P10895" s="10" t="s">
        <v>47517</v>
      </c>
      <c r="Q10895" s="10">
        <v>378.5</v>
      </c>
      <c r="R10895" s="10" t="s">
        <v>47518</v>
      </c>
      <c r="S10895" s="10" t="s">
        <v>53</v>
      </c>
      <c r="T10895" s="10" t="s">
        <v>54</v>
      </c>
    </row>
    <row r="10896" spans="1:20" ht="14.5" x14ac:dyDescent="0.35">
      <c r="A10896" s="10" t="s">
        <v>47519</v>
      </c>
      <c r="B10896" s="10" t="str">
        <f>"9780813595023"</f>
        <v>9780813595023</v>
      </c>
      <c r="C10896" s="10" t="str">
        <f>"9780813595061"</f>
        <v>9780813595061</v>
      </c>
      <c r="D10896" s="10" t="s">
        <v>12251</v>
      </c>
      <c r="E10896" s="10" t="s">
        <v>12251</v>
      </c>
      <c r="F10896" s="10" t="s">
        <v>12451</v>
      </c>
      <c r="G10896" s="10" t="s">
        <v>6317</v>
      </c>
      <c r="H10896" s="11">
        <v>43259</v>
      </c>
      <c r="I10896" s="10">
        <v>2018</v>
      </c>
      <c r="J10896" s="10" t="s">
        <v>12251</v>
      </c>
      <c r="K10896" s="10">
        <v>200</v>
      </c>
      <c r="L10896" s="10" t="s">
        <v>47520</v>
      </c>
      <c r="M10896" s="10">
        <v>1</v>
      </c>
      <c r="N10896" s="10"/>
      <c r="O10896" s="10"/>
      <c r="P10896" s="10" t="s">
        <v>13190</v>
      </c>
      <c r="Q10896" s="10" t="s">
        <v>20825</v>
      </c>
      <c r="R10896" s="10" t="s">
        <v>47521</v>
      </c>
      <c r="S10896" s="10" t="s">
        <v>53</v>
      </c>
      <c r="T10896" s="10" t="s">
        <v>54</v>
      </c>
    </row>
    <row r="10897" spans="1:20" ht="14.5" x14ac:dyDescent="0.35">
      <c r="A10897" s="10" t="s">
        <v>47522</v>
      </c>
      <c r="B10897" s="10" t="str">
        <f>"9781350006126"</f>
        <v>9781350006126</v>
      </c>
      <c r="C10897" s="10" t="str">
        <f>"9781350006119"</f>
        <v>9781350006119</v>
      </c>
      <c r="D10897" s="10" t="s">
        <v>13959</v>
      </c>
      <c r="E10897" s="10" t="s">
        <v>13960</v>
      </c>
      <c r="F10897" s="10" t="s">
        <v>139</v>
      </c>
      <c r="G10897" s="10" t="s">
        <v>6352</v>
      </c>
      <c r="H10897" s="11">
        <v>43265</v>
      </c>
      <c r="I10897" s="10">
        <v>2018</v>
      </c>
      <c r="J10897" s="10" t="s">
        <v>14057</v>
      </c>
      <c r="K10897" s="10">
        <v>236</v>
      </c>
      <c r="L10897" s="10" t="s">
        <v>47523</v>
      </c>
      <c r="M10897" s="10">
        <v>1</v>
      </c>
      <c r="N10897" s="10" t="s">
        <v>45494</v>
      </c>
      <c r="O10897" s="10"/>
      <c r="P10897" s="10" t="s">
        <v>47524</v>
      </c>
      <c r="Q10897" s="10">
        <v>338.92700000000002</v>
      </c>
      <c r="R10897" s="10" t="s">
        <v>47525</v>
      </c>
      <c r="S10897" s="10" t="s">
        <v>53</v>
      </c>
      <c r="T10897" s="10" t="s">
        <v>7901</v>
      </c>
    </row>
    <row r="10898" spans="1:20" ht="14.5" x14ac:dyDescent="0.35">
      <c r="A10898" s="10" t="s">
        <v>47526</v>
      </c>
      <c r="B10898" s="10" t="str">
        <f>"9781350005228"</f>
        <v>9781350005228</v>
      </c>
      <c r="C10898" s="10" t="str">
        <f>"9781350005259"</f>
        <v>9781350005259</v>
      </c>
      <c r="D10898" s="10" t="s">
        <v>13959</v>
      </c>
      <c r="E10898" s="10" t="s">
        <v>13960</v>
      </c>
      <c r="F10898" s="10" t="s">
        <v>139</v>
      </c>
      <c r="G10898" s="10" t="s">
        <v>6352</v>
      </c>
      <c r="H10898" s="11">
        <v>43279</v>
      </c>
      <c r="I10898" s="10">
        <v>2018</v>
      </c>
      <c r="J10898" s="10" t="s">
        <v>14057</v>
      </c>
      <c r="K10898" s="10">
        <v>241</v>
      </c>
      <c r="L10898" s="10" t="s">
        <v>47527</v>
      </c>
      <c r="M10898" s="10">
        <v>1</v>
      </c>
      <c r="N10898" s="10"/>
      <c r="O10898" s="10"/>
      <c r="P10898" s="10" t="s">
        <v>47528</v>
      </c>
      <c r="Q10898" s="10">
        <v>371.2</v>
      </c>
      <c r="R10898" s="10" t="s">
        <v>47529</v>
      </c>
      <c r="S10898" s="10" t="s">
        <v>53</v>
      </c>
      <c r="T10898" s="10" t="s">
        <v>54</v>
      </c>
    </row>
    <row r="10899" spans="1:20" ht="14.5" x14ac:dyDescent="0.35">
      <c r="A10899" s="10" t="s">
        <v>47530</v>
      </c>
      <c r="B10899" s="10" t="str">
        <f>"9781945349348"</f>
        <v>9781945349348</v>
      </c>
      <c r="C10899" s="10" t="str">
        <f>"9781945349355"</f>
        <v>9781945349355</v>
      </c>
      <c r="D10899" s="10" t="s">
        <v>37580</v>
      </c>
      <c r="E10899" s="10" t="s">
        <v>37581</v>
      </c>
      <c r="F10899" s="10" t="s">
        <v>37623</v>
      </c>
      <c r="G10899" s="10" t="s">
        <v>6317</v>
      </c>
      <c r="H10899" s="11">
        <v>43252</v>
      </c>
      <c r="I10899" s="10">
        <v>2018</v>
      </c>
      <c r="J10899" s="10" t="s">
        <v>37581</v>
      </c>
      <c r="K10899" s="10">
        <v>216</v>
      </c>
      <c r="L10899" s="10" t="s">
        <v>47531</v>
      </c>
      <c r="M10899" s="10">
        <v>1</v>
      </c>
      <c r="N10899" s="10"/>
      <c r="O10899" s="10"/>
      <c r="P10899" s="10" t="s">
        <v>47532</v>
      </c>
      <c r="Q10899" s="10"/>
      <c r="R10899" s="10" t="s">
        <v>47533</v>
      </c>
      <c r="S10899" s="10" t="s">
        <v>53</v>
      </c>
      <c r="T10899" s="10" t="s">
        <v>54</v>
      </c>
    </row>
    <row r="10900" spans="1:20" ht="14.5" x14ac:dyDescent="0.35">
      <c r="A10900" s="10" t="s">
        <v>47534</v>
      </c>
      <c r="B10900" s="10" t="str">
        <f>"9781612915494"</f>
        <v>9781612915494</v>
      </c>
      <c r="C10900" s="10" t="str">
        <f>"9781612917238"</f>
        <v>9781612917238</v>
      </c>
      <c r="D10900" s="10" t="s">
        <v>47535</v>
      </c>
      <c r="E10900" s="10" t="s">
        <v>47536</v>
      </c>
      <c r="F10900" s="10" t="s">
        <v>47537</v>
      </c>
      <c r="G10900" s="10" t="s">
        <v>6317</v>
      </c>
      <c r="H10900" s="11">
        <v>41791</v>
      </c>
      <c r="I10900" s="10">
        <v>2014</v>
      </c>
      <c r="J10900" s="10" t="s">
        <v>47536</v>
      </c>
      <c r="K10900" s="10">
        <v>122</v>
      </c>
      <c r="L10900" s="10" t="s">
        <v>47538</v>
      </c>
      <c r="M10900" s="10">
        <v>1</v>
      </c>
      <c r="N10900" s="10"/>
      <c r="O10900" s="10"/>
      <c r="P10900" s="10" t="s">
        <v>47539</v>
      </c>
      <c r="Q10900" s="10" t="s">
        <v>10335</v>
      </c>
      <c r="R10900" s="10"/>
      <c r="S10900" s="10" t="s">
        <v>53</v>
      </c>
      <c r="T10900" s="10" t="s">
        <v>8346</v>
      </c>
    </row>
    <row r="10901" spans="1:20" ht="14.5" x14ac:dyDescent="0.35">
      <c r="A10901" s="10" t="s">
        <v>47540</v>
      </c>
      <c r="B10901" s="10" t="str">
        <f>"9781785924927"</f>
        <v>9781785924927</v>
      </c>
      <c r="C10901" s="10" t="str">
        <f>"9781784508814"</f>
        <v>9781784508814</v>
      </c>
      <c r="D10901" s="10" t="s">
        <v>10516</v>
      </c>
      <c r="E10901" s="10" t="s">
        <v>10516</v>
      </c>
      <c r="F10901" s="10" t="s">
        <v>139</v>
      </c>
      <c r="G10901" s="10" t="s">
        <v>6352</v>
      </c>
      <c r="H10901" s="11">
        <v>43241</v>
      </c>
      <c r="I10901" s="10">
        <v>2018</v>
      </c>
      <c r="J10901" s="10" t="s">
        <v>10516</v>
      </c>
      <c r="K10901" s="10">
        <v>170</v>
      </c>
      <c r="L10901" s="10" t="s">
        <v>47541</v>
      </c>
      <c r="M10901" s="10">
        <v>1</v>
      </c>
      <c r="N10901" s="10"/>
      <c r="O10901" s="10"/>
      <c r="P10901" s="10" t="s">
        <v>47542</v>
      </c>
      <c r="Q10901" s="10">
        <v>155.41800000000001</v>
      </c>
      <c r="R10901" s="10"/>
      <c r="S10901" s="10" t="s">
        <v>53</v>
      </c>
      <c r="T10901" s="10" t="s">
        <v>8510</v>
      </c>
    </row>
    <row r="10902" spans="1:20" ht="14.5" x14ac:dyDescent="0.35">
      <c r="A10902" s="10" t="s">
        <v>47543</v>
      </c>
      <c r="B10902" s="10" t="str">
        <f>"9781475818338"</f>
        <v>9781475818338</v>
      </c>
      <c r="C10902" s="10" t="str">
        <f>"9781475818345"</f>
        <v>9781475818345</v>
      </c>
      <c r="D10902" s="10" t="s">
        <v>9752</v>
      </c>
      <c r="E10902" s="10" t="s">
        <v>15187</v>
      </c>
      <c r="F10902" s="10" t="s">
        <v>9754</v>
      </c>
      <c r="G10902" s="10" t="s">
        <v>6317</v>
      </c>
      <c r="H10902" s="11">
        <v>43264</v>
      </c>
      <c r="I10902" s="10">
        <v>2018</v>
      </c>
      <c r="J10902" s="10" t="s">
        <v>15187</v>
      </c>
      <c r="K10902" s="10">
        <v>59</v>
      </c>
      <c r="L10902" s="10" t="s">
        <v>47544</v>
      </c>
      <c r="M10902" s="10">
        <v>1</v>
      </c>
      <c r="N10902" s="10"/>
      <c r="O10902" s="10"/>
      <c r="P10902" s="10" t="s">
        <v>47545</v>
      </c>
      <c r="Q10902" s="10">
        <v>428.1071</v>
      </c>
      <c r="R10902" s="10" t="s">
        <v>47546</v>
      </c>
      <c r="S10902" s="10" t="s">
        <v>53</v>
      </c>
      <c r="T10902" s="10" t="s">
        <v>6616</v>
      </c>
    </row>
    <row r="10903" spans="1:20" ht="14.5" x14ac:dyDescent="0.35">
      <c r="A10903" s="10" t="s">
        <v>47547</v>
      </c>
      <c r="B10903" s="10" t="str">
        <f>"9788024628592"</f>
        <v>9788024628592</v>
      </c>
      <c r="C10903" s="10" t="str">
        <f>"9788024628752"</f>
        <v>9788024628752</v>
      </c>
      <c r="D10903" s="10" t="s">
        <v>30935</v>
      </c>
      <c r="E10903" s="10" t="s">
        <v>30935</v>
      </c>
      <c r="F10903" s="10" t="s">
        <v>1796</v>
      </c>
      <c r="G10903" s="10" t="s">
        <v>30936</v>
      </c>
      <c r="H10903" s="11">
        <v>42064</v>
      </c>
      <c r="I10903" s="10">
        <v>2015</v>
      </c>
      <c r="J10903" s="10" t="s">
        <v>30935</v>
      </c>
      <c r="K10903" s="10">
        <v>199</v>
      </c>
      <c r="L10903" s="10" t="s">
        <v>47548</v>
      </c>
      <c r="M10903" s="10">
        <v>1</v>
      </c>
      <c r="N10903" s="10"/>
      <c r="O10903" s="10"/>
      <c r="P10903" s="10" t="s">
        <v>47549</v>
      </c>
      <c r="Q10903" s="10">
        <v>797.21</v>
      </c>
      <c r="R10903" s="10" t="s">
        <v>47550</v>
      </c>
      <c r="S10903" s="10" t="s">
        <v>4212</v>
      </c>
      <c r="T10903" s="10" t="s">
        <v>7340</v>
      </c>
    </row>
    <row r="10904" spans="1:20" ht="14.5" x14ac:dyDescent="0.35">
      <c r="A10904" s="10" t="s">
        <v>47551</v>
      </c>
      <c r="B10904" s="10" t="str">
        <f>"9781501334290"</f>
        <v>9781501334290</v>
      </c>
      <c r="C10904" s="10" t="str">
        <f>"9781501334320"</f>
        <v>9781501334320</v>
      </c>
      <c r="D10904" s="10" t="s">
        <v>9777</v>
      </c>
      <c r="E10904" s="10" t="s">
        <v>23825</v>
      </c>
      <c r="F10904" s="10" t="s">
        <v>70</v>
      </c>
      <c r="G10904" s="10" t="s">
        <v>6317</v>
      </c>
      <c r="H10904" s="11">
        <v>43307</v>
      </c>
      <c r="I10904" s="10">
        <v>2018</v>
      </c>
      <c r="J10904" s="10" t="s">
        <v>23825</v>
      </c>
      <c r="K10904" s="10">
        <v>169</v>
      </c>
      <c r="L10904" s="10" t="s">
        <v>47552</v>
      </c>
      <c r="M10904" s="10">
        <v>1</v>
      </c>
      <c r="N10904" s="10"/>
      <c r="O10904" s="10"/>
      <c r="P10904" s="10" t="s">
        <v>47553</v>
      </c>
      <c r="Q10904" s="10">
        <v>370.11200000000002</v>
      </c>
      <c r="R10904" s="10" t="s">
        <v>47554</v>
      </c>
      <c r="S10904" s="10" t="s">
        <v>53</v>
      </c>
      <c r="T10904" s="10" t="s">
        <v>6568</v>
      </c>
    </row>
    <row r="10905" spans="1:20" ht="14.5" x14ac:dyDescent="0.35">
      <c r="A10905" s="10" t="s">
        <v>47555</v>
      </c>
      <c r="B10905" s="10" t="str">
        <f>"9781925495461"</f>
        <v>9781925495461</v>
      </c>
      <c r="C10905" s="10" t="str">
        <f>"9781925495485"</f>
        <v>9781925495485</v>
      </c>
      <c r="D10905" s="10" t="s">
        <v>31249</v>
      </c>
      <c r="E10905" s="10" t="s">
        <v>31250</v>
      </c>
      <c r="F10905" s="10" t="s">
        <v>4712</v>
      </c>
      <c r="G10905" s="10" t="s">
        <v>12975</v>
      </c>
      <c r="H10905" s="11">
        <v>43192</v>
      </c>
      <c r="I10905" s="10">
        <v>2018</v>
      </c>
      <c r="J10905" s="10" t="s">
        <v>31250</v>
      </c>
      <c r="K10905" s="10">
        <v>354</v>
      </c>
      <c r="L10905" s="10" t="s">
        <v>47556</v>
      </c>
      <c r="M10905" s="10">
        <v>1</v>
      </c>
      <c r="N10905" s="10" t="s">
        <v>47557</v>
      </c>
      <c r="O10905" s="10"/>
      <c r="P10905" s="10" t="s">
        <v>47558</v>
      </c>
      <c r="Q10905" s="10">
        <v>379.94</v>
      </c>
      <c r="R10905" s="10" t="s">
        <v>47559</v>
      </c>
      <c r="S10905" s="10" t="s">
        <v>53</v>
      </c>
      <c r="T10905" s="10" t="s">
        <v>54</v>
      </c>
    </row>
    <row r="10906" spans="1:20" ht="14.5" x14ac:dyDescent="0.35">
      <c r="A10906" s="10" t="s">
        <v>47560</v>
      </c>
      <c r="B10906" s="10" t="str">
        <f>"9781743318898"</f>
        <v>9781743318898</v>
      </c>
      <c r="C10906" s="10" t="str">
        <f>"9781925267150"</f>
        <v>9781925267150</v>
      </c>
      <c r="D10906" s="10" t="s">
        <v>47561</v>
      </c>
      <c r="E10906" s="10" t="s">
        <v>47561</v>
      </c>
      <c r="F10906" s="10" t="s">
        <v>674</v>
      </c>
      <c r="G10906" s="10" t="s">
        <v>12975</v>
      </c>
      <c r="H10906" s="11">
        <v>42262</v>
      </c>
      <c r="I10906" s="10">
        <v>2015</v>
      </c>
      <c r="J10906" s="10" t="s">
        <v>47561</v>
      </c>
      <c r="K10906" s="10">
        <v>238</v>
      </c>
      <c r="L10906" s="10" t="s">
        <v>47562</v>
      </c>
      <c r="M10906" s="10">
        <v>1</v>
      </c>
      <c r="N10906" s="10"/>
      <c r="O10906" s="10"/>
      <c r="P10906" s="10" t="s">
        <v>47563</v>
      </c>
      <c r="Q10906" s="10">
        <v>378.94</v>
      </c>
      <c r="R10906" s="10" t="s">
        <v>47564</v>
      </c>
      <c r="S10906" s="10" t="s">
        <v>53</v>
      </c>
      <c r="T10906" s="10" t="s">
        <v>54</v>
      </c>
    </row>
    <row r="10907" spans="1:20" ht="14.5" x14ac:dyDescent="0.35">
      <c r="A10907" s="10" t="s">
        <v>47565</v>
      </c>
      <c r="B10907" s="10" t="str">
        <f>"9781771992077"</f>
        <v>9781771992077</v>
      </c>
      <c r="C10907" s="10" t="str">
        <f>"9781771992084"</f>
        <v>9781771992084</v>
      </c>
      <c r="D10907" s="10" t="s">
        <v>17293</v>
      </c>
      <c r="E10907" s="10" t="s">
        <v>17293</v>
      </c>
      <c r="F10907" s="10" t="s">
        <v>99</v>
      </c>
      <c r="G10907" s="10" t="s">
        <v>9536</v>
      </c>
      <c r="H10907" s="11">
        <v>43220</v>
      </c>
      <c r="I10907" s="10">
        <v>2018</v>
      </c>
      <c r="J10907" s="10" t="s">
        <v>17293</v>
      </c>
      <c r="K10907" s="10">
        <v>225</v>
      </c>
      <c r="L10907" s="10" t="s">
        <v>47566</v>
      </c>
      <c r="M10907" s="10">
        <v>1</v>
      </c>
      <c r="N10907" s="10" t="s">
        <v>17295</v>
      </c>
      <c r="O10907" s="10"/>
      <c r="P10907" s="10" t="s">
        <v>47567</v>
      </c>
      <c r="Q10907" s="10">
        <v>378.17340000000002</v>
      </c>
      <c r="R10907" s="10" t="s">
        <v>47568</v>
      </c>
      <c r="S10907" s="10" t="s">
        <v>53</v>
      </c>
      <c r="T10907" s="10" t="s">
        <v>54</v>
      </c>
    </row>
    <row r="10908" spans="1:20" ht="14.5" x14ac:dyDescent="0.35">
      <c r="A10908" s="10" t="s">
        <v>47569</v>
      </c>
      <c r="B10908" s="10" t="str">
        <f>"9781475834017"</f>
        <v>9781475834017</v>
      </c>
      <c r="C10908" s="10" t="str">
        <f>"9781475834024"</f>
        <v>9781475834024</v>
      </c>
      <c r="D10908" s="10" t="s">
        <v>9752</v>
      </c>
      <c r="E10908" s="10" t="s">
        <v>15187</v>
      </c>
      <c r="F10908" s="10" t="s">
        <v>9754</v>
      </c>
      <c r="G10908" s="10" t="s">
        <v>6317</v>
      </c>
      <c r="H10908" s="11">
        <v>43270</v>
      </c>
      <c r="I10908" s="10">
        <v>2018</v>
      </c>
      <c r="J10908" s="10" t="s">
        <v>15187</v>
      </c>
      <c r="K10908" s="10">
        <v>181</v>
      </c>
      <c r="L10908" s="10" t="s">
        <v>47570</v>
      </c>
      <c r="M10908" s="10">
        <v>1</v>
      </c>
      <c r="N10908" s="10" t="s">
        <v>31474</v>
      </c>
      <c r="O10908" s="10"/>
      <c r="P10908" s="10"/>
      <c r="Q10908" s="10">
        <v>378.15430973000002</v>
      </c>
      <c r="R10908" s="10" t="s">
        <v>47571</v>
      </c>
      <c r="S10908" s="10" t="s">
        <v>53</v>
      </c>
      <c r="T10908" s="10" t="s">
        <v>54</v>
      </c>
    </row>
    <row r="10909" spans="1:20" ht="14.5" x14ac:dyDescent="0.35">
      <c r="A10909" s="10" t="s">
        <v>47572</v>
      </c>
      <c r="B10909" s="10" t="str">
        <f>"9781681251929"</f>
        <v>9781681251929</v>
      </c>
      <c r="C10909" s="10" t="str">
        <f>"9781681252704"</f>
        <v>9781681252704</v>
      </c>
      <c r="D10909" s="10" t="s">
        <v>28876</v>
      </c>
      <c r="E10909" s="10" t="s">
        <v>28877</v>
      </c>
      <c r="F10909" s="10" t="s">
        <v>39534</v>
      </c>
      <c r="G10909" s="10" t="s">
        <v>6317</v>
      </c>
      <c r="H10909" s="11">
        <v>43266</v>
      </c>
      <c r="I10909" s="10">
        <v>2018</v>
      </c>
      <c r="J10909" s="10" t="s">
        <v>28877</v>
      </c>
      <c r="K10909" s="10">
        <v>224</v>
      </c>
      <c r="L10909" s="10" t="s">
        <v>47573</v>
      </c>
      <c r="M10909" s="10">
        <v>1</v>
      </c>
      <c r="N10909" s="10"/>
      <c r="O10909" s="10"/>
      <c r="P10909" s="10" t="s">
        <v>47574</v>
      </c>
      <c r="Q10909" s="10">
        <v>372.21</v>
      </c>
      <c r="R10909" s="10" t="s">
        <v>47575</v>
      </c>
      <c r="S10909" s="10" t="s">
        <v>53</v>
      </c>
      <c r="T10909" s="10" t="s">
        <v>54</v>
      </c>
    </row>
    <row r="10910" spans="1:20" ht="14.5" x14ac:dyDescent="0.35">
      <c r="A10910" s="10" t="s">
        <v>47576</v>
      </c>
      <c r="B10910" s="10" t="str">
        <f>"9781681252247"</f>
        <v>9781681252247</v>
      </c>
      <c r="C10910" s="10" t="str">
        <f>"9781681252865"</f>
        <v>9781681252865</v>
      </c>
      <c r="D10910" s="10" t="s">
        <v>28876</v>
      </c>
      <c r="E10910" s="10" t="s">
        <v>28877</v>
      </c>
      <c r="F10910" s="10" t="s">
        <v>39534</v>
      </c>
      <c r="G10910" s="10" t="s">
        <v>6317</v>
      </c>
      <c r="H10910" s="11">
        <v>43192</v>
      </c>
      <c r="I10910" s="10">
        <v>2018</v>
      </c>
      <c r="J10910" s="10" t="s">
        <v>28877</v>
      </c>
      <c r="K10910" s="10">
        <v>204</v>
      </c>
      <c r="L10910" s="10" t="s">
        <v>47577</v>
      </c>
      <c r="M10910" s="10">
        <v>1</v>
      </c>
      <c r="N10910" s="10"/>
      <c r="O10910" s="10"/>
      <c r="P10910" s="10" t="s">
        <v>47578</v>
      </c>
      <c r="Q10910" s="10">
        <v>371.90460973</v>
      </c>
      <c r="R10910" s="10" t="s">
        <v>47579</v>
      </c>
      <c r="S10910" s="10" t="s">
        <v>53</v>
      </c>
      <c r="T10910" s="10" t="s">
        <v>54</v>
      </c>
    </row>
    <row r="10911" spans="1:20" ht="14.5" x14ac:dyDescent="0.35">
      <c r="A10911" s="10" t="s">
        <v>47580</v>
      </c>
      <c r="B10911" s="10" t="str">
        <f>"9781620366240"</f>
        <v>9781620366240</v>
      </c>
      <c r="C10911" s="10" t="str">
        <f>"9781000974584"</f>
        <v>9781000974584</v>
      </c>
      <c r="D10911" s="10" t="s">
        <v>6350</v>
      </c>
      <c r="E10911" s="10" t="s">
        <v>6351</v>
      </c>
      <c r="F10911" s="10" t="s">
        <v>748</v>
      </c>
      <c r="G10911" s="10" t="s">
        <v>6352</v>
      </c>
      <c r="H10911" s="11">
        <v>43237</v>
      </c>
      <c r="I10911" s="10">
        <v>2018</v>
      </c>
      <c r="J10911" s="10" t="s">
        <v>6351</v>
      </c>
      <c r="K10911" s="10">
        <v>202</v>
      </c>
      <c r="L10911" s="10" t="s">
        <v>47581</v>
      </c>
      <c r="M10911" s="10">
        <v>1</v>
      </c>
      <c r="N10911" s="10" t="s">
        <v>47582</v>
      </c>
      <c r="O10911" s="10"/>
      <c r="P10911" s="10" t="s">
        <v>47583</v>
      </c>
      <c r="Q10911" s="10">
        <v>370.154</v>
      </c>
      <c r="R10911" s="10" t="s">
        <v>47584</v>
      </c>
      <c r="S10911" s="10" t="s">
        <v>53</v>
      </c>
      <c r="T10911" s="10" t="s">
        <v>54</v>
      </c>
    </row>
    <row r="10912" spans="1:20" ht="14.5" x14ac:dyDescent="0.35">
      <c r="A10912" s="10" t="s">
        <v>47585</v>
      </c>
      <c r="B10912" s="10" t="str">
        <f>"9781620366967"</f>
        <v>9781620366967</v>
      </c>
      <c r="C10912" s="10" t="str">
        <f>"9781000975352"</f>
        <v>9781000975352</v>
      </c>
      <c r="D10912" s="10" t="s">
        <v>6350</v>
      </c>
      <c r="E10912" s="10" t="s">
        <v>6351</v>
      </c>
      <c r="F10912" s="10" t="s">
        <v>41227</v>
      </c>
      <c r="G10912" s="10" t="s">
        <v>6317</v>
      </c>
      <c r="H10912" s="11">
        <v>43235</v>
      </c>
      <c r="I10912" s="10">
        <v>2018</v>
      </c>
      <c r="J10912" s="10" t="s">
        <v>6353</v>
      </c>
      <c r="K10912" s="10">
        <v>194</v>
      </c>
      <c r="L10912" s="10" t="s">
        <v>47586</v>
      </c>
      <c r="M10912" s="10">
        <v>1</v>
      </c>
      <c r="N10912" s="10"/>
      <c r="O10912" s="10"/>
      <c r="P10912" s="10" t="s">
        <v>47587</v>
      </c>
      <c r="Q10912" s="10">
        <v>370.15199999999902</v>
      </c>
      <c r="R10912" s="10" t="s">
        <v>47588</v>
      </c>
      <c r="S10912" s="10" t="s">
        <v>53</v>
      </c>
      <c r="T10912" s="10" t="s">
        <v>54</v>
      </c>
    </row>
    <row r="10913" spans="1:20" ht="14.5" x14ac:dyDescent="0.35">
      <c r="A10913" s="10" t="s">
        <v>47589</v>
      </c>
      <c r="B10913" s="10" t="str">
        <f>"9781498580519"</f>
        <v>9781498580519</v>
      </c>
      <c r="C10913" s="10" t="str">
        <f>"9781498580526"</f>
        <v>9781498580526</v>
      </c>
      <c r="D10913" s="10" t="s">
        <v>9752</v>
      </c>
      <c r="E10913" s="10" t="s">
        <v>15182</v>
      </c>
      <c r="F10913" s="10" t="s">
        <v>3460</v>
      </c>
      <c r="G10913" s="10" t="s">
        <v>6317</v>
      </c>
      <c r="H10913" s="11">
        <v>43308</v>
      </c>
      <c r="I10913" s="10">
        <v>2018</v>
      </c>
      <c r="J10913" s="10" t="s">
        <v>15182</v>
      </c>
      <c r="K10913" s="10">
        <v>321</v>
      </c>
      <c r="L10913" s="10" t="s">
        <v>47590</v>
      </c>
      <c r="M10913" s="10">
        <v>1</v>
      </c>
      <c r="N10913" s="10" t="s">
        <v>47591</v>
      </c>
      <c r="O10913" s="10">
        <v>1</v>
      </c>
      <c r="P10913" s="10" t="s">
        <v>47592</v>
      </c>
      <c r="Q10913" s="10">
        <v>370.11700000000002</v>
      </c>
      <c r="R10913" s="10" t="s">
        <v>7957</v>
      </c>
      <c r="S10913" s="10" t="s">
        <v>53</v>
      </c>
      <c r="T10913" s="10" t="s">
        <v>54</v>
      </c>
    </row>
    <row r="10914" spans="1:20" ht="14.5" x14ac:dyDescent="0.35">
      <c r="A10914" s="10" t="s">
        <v>47593</v>
      </c>
      <c r="B10914" s="10" t="str">
        <f>"9781785338632"</f>
        <v>9781785338632</v>
      </c>
      <c r="C10914" s="10" t="str">
        <f>"9781785338649"</f>
        <v>9781785338649</v>
      </c>
      <c r="D10914" s="10" t="s">
        <v>21315</v>
      </c>
      <c r="E10914" s="10" t="s">
        <v>21316</v>
      </c>
      <c r="F10914" s="10" t="s">
        <v>13068</v>
      </c>
      <c r="G10914" s="10" t="s">
        <v>6317</v>
      </c>
      <c r="H10914" s="11">
        <v>43242</v>
      </c>
      <c r="I10914" s="10">
        <v>2018</v>
      </c>
      <c r="J10914" s="10" t="s">
        <v>21316</v>
      </c>
      <c r="K10914" s="10">
        <v>252</v>
      </c>
      <c r="L10914" s="10" t="s">
        <v>47594</v>
      </c>
      <c r="M10914" s="10">
        <v>1</v>
      </c>
      <c r="N10914" s="10" t="s">
        <v>40625</v>
      </c>
      <c r="O10914" s="10">
        <v>4</v>
      </c>
      <c r="P10914" s="10" t="s">
        <v>47595</v>
      </c>
      <c r="Q10914" s="10">
        <v>379</v>
      </c>
      <c r="R10914" s="10" t="s">
        <v>47596</v>
      </c>
      <c r="S10914" s="10" t="s">
        <v>53</v>
      </c>
      <c r="T10914" s="10" t="s">
        <v>54</v>
      </c>
    </row>
    <row r="10915" spans="1:20" ht="14.5" x14ac:dyDescent="0.35">
      <c r="A10915" s="10" t="s">
        <v>47597</v>
      </c>
      <c r="B10915" s="10" t="str">
        <f>"9781498568210"</f>
        <v>9781498568210</v>
      </c>
      <c r="C10915" s="10" t="str">
        <f>"9781498568227"</f>
        <v>9781498568227</v>
      </c>
      <c r="D10915" s="10" t="s">
        <v>9752</v>
      </c>
      <c r="E10915" s="10" t="s">
        <v>15182</v>
      </c>
      <c r="F10915" s="10" t="s">
        <v>9754</v>
      </c>
      <c r="G10915" s="10" t="s">
        <v>6317</v>
      </c>
      <c r="H10915" s="11">
        <v>43296</v>
      </c>
      <c r="I10915" s="10">
        <v>2018</v>
      </c>
      <c r="J10915" s="10" t="s">
        <v>15182</v>
      </c>
      <c r="K10915" s="10">
        <v>321</v>
      </c>
      <c r="L10915" s="10" t="s">
        <v>47598</v>
      </c>
      <c r="M10915" s="10">
        <v>1</v>
      </c>
      <c r="N10915" s="10" t="s">
        <v>47599</v>
      </c>
      <c r="O10915" s="10"/>
      <c r="P10915" s="10" t="s">
        <v>47600</v>
      </c>
      <c r="Q10915" s="10">
        <v>371.9</v>
      </c>
      <c r="R10915" s="10" t="s">
        <v>47601</v>
      </c>
      <c r="S10915" s="10" t="s">
        <v>53</v>
      </c>
      <c r="T10915" s="10" t="s">
        <v>6472</v>
      </c>
    </row>
    <row r="10916" spans="1:20" ht="14.5" x14ac:dyDescent="0.35">
      <c r="A10916" s="10" t="s">
        <v>47602</v>
      </c>
      <c r="B10916" s="10" t="str">
        <f>"9781553796831"</f>
        <v>9781553796831</v>
      </c>
      <c r="C10916" s="10" t="str">
        <f>"9781553797449"</f>
        <v>9781553797449</v>
      </c>
      <c r="D10916" s="10" t="s">
        <v>9533</v>
      </c>
      <c r="E10916" s="10" t="s">
        <v>44894</v>
      </c>
      <c r="F10916" s="10" t="s">
        <v>967</v>
      </c>
      <c r="G10916" s="10" t="s">
        <v>6317</v>
      </c>
      <c r="H10916" s="11">
        <v>43203</v>
      </c>
      <c r="I10916" s="10">
        <v>2018</v>
      </c>
      <c r="J10916" s="10" t="s">
        <v>44894</v>
      </c>
      <c r="K10916" s="10">
        <v>282</v>
      </c>
      <c r="L10916" s="10" t="s">
        <v>47603</v>
      </c>
      <c r="M10916" s="10">
        <v>1</v>
      </c>
      <c r="N10916" s="10" t="s">
        <v>44896</v>
      </c>
      <c r="O10916" s="10">
        <v>3</v>
      </c>
      <c r="P10916" s="10" t="s">
        <v>47604</v>
      </c>
      <c r="Q10916" s="10" t="s">
        <v>45293</v>
      </c>
      <c r="R10916" s="10" t="s">
        <v>47605</v>
      </c>
      <c r="S10916" s="10" t="s">
        <v>53</v>
      </c>
      <c r="T10916" s="10" t="s">
        <v>54</v>
      </c>
    </row>
    <row r="10917" spans="1:20" ht="14.5" x14ac:dyDescent="0.35">
      <c r="A10917" s="10" t="s">
        <v>47606</v>
      </c>
      <c r="B10917" s="10" t="str">
        <f>""</f>
        <v/>
      </c>
      <c r="C10917" s="10" t="str">
        <f>"9781507198919"</f>
        <v>9781507198919</v>
      </c>
      <c r="D10917" s="10" t="s">
        <v>9215</v>
      </c>
      <c r="E10917" s="10" t="s">
        <v>47607</v>
      </c>
      <c r="F10917" s="10" t="s">
        <v>324</v>
      </c>
      <c r="G10917" s="10" t="s">
        <v>6317</v>
      </c>
      <c r="H10917" s="11">
        <v>43053</v>
      </c>
      <c r="I10917" s="10">
        <v>2017</v>
      </c>
      <c r="J10917" s="10" t="s">
        <v>47607</v>
      </c>
      <c r="K10917" s="10">
        <v>59</v>
      </c>
      <c r="L10917" s="10" t="s">
        <v>47608</v>
      </c>
      <c r="M10917" s="10"/>
      <c r="N10917" s="10"/>
      <c r="O10917" s="10"/>
      <c r="P10917" s="10" t="s">
        <v>47609</v>
      </c>
      <c r="Q10917" s="10">
        <v>158.1</v>
      </c>
      <c r="R10917" s="10" t="s">
        <v>47610</v>
      </c>
      <c r="S10917" s="10" t="s">
        <v>5764</v>
      </c>
      <c r="T10917" s="10" t="s">
        <v>483</v>
      </c>
    </row>
    <row r="10918" spans="1:20" ht="14.5" x14ac:dyDescent="0.35">
      <c r="A10918" s="10" t="s">
        <v>47611</v>
      </c>
      <c r="B10918" s="10" t="str">
        <f>"9783832539962"</f>
        <v>9783832539962</v>
      </c>
      <c r="C10918" s="10" t="str">
        <f>"9783832592363"</f>
        <v>9783832592363</v>
      </c>
      <c r="D10918" s="10" t="s">
        <v>46455</v>
      </c>
      <c r="E10918" s="10" t="s">
        <v>46455</v>
      </c>
      <c r="F10918" s="10" t="s">
        <v>2925</v>
      </c>
      <c r="G10918" s="10" t="s">
        <v>9998</v>
      </c>
      <c r="H10918" s="11">
        <v>42186</v>
      </c>
      <c r="I10918" s="10">
        <v>2015</v>
      </c>
      <c r="J10918" s="10" t="s">
        <v>46455</v>
      </c>
      <c r="K10918" s="10">
        <v>714</v>
      </c>
      <c r="L10918" s="10" t="s">
        <v>47612</v>
      </c>
      <c r="M10918" s="10">
        <v>1</v>
      </c>
      <c r="N10918" s="10"/>
      <c r="O10918" s="10"/>
      <c r="P10918" s="10" t="s">
        <v>47613</v>
      </c>
      <c r="Q10918" s="10">
        <v>616.9920194</v>
      </c>
      <c r="R10918" s="10" t="s">
        <v>47614</v>
      </c>
      <c r="S10918" s="10" t="s">
        <v>1519</v>
      </c>
      <c r="T10918" s="10" t="s">
        <v>47615</v>
      </c>
    </row>
    <row r="10919" spans="1:20" ht="14.5" x14ac:dyDescent="0.35">
      <c r="A10919" s="10" t="s">
        <v>47616</v>
      </c>
      <c r="B10919" s="10" t="str">
        <f>"9781475840803"</f>
        <v>9781475840803</v>
      </c>
      <c r="C10919" s="10" t="str">
        <f>"9781475840810"</f>
        <v>9781475840810</v>
      </c>
      <c r="D10919" s="10" t="s">
        <v>9752</v>
      </c>
      <c r="E10919" s="10" t="s">
        <v>15187</v>
      </c>
      <c r="F10919" s="10" t="s">
        <v>9754</v>
      </c>
      <c r="G10919" s="10" t="s">
        <v>6317</v>
      </c>
      <c r="H10919" s="11">
        <v>43269</v>
      </c>
      <c r="I10919" s="10">
        <v>2018</v>
      </c>
      <c r="J10919" s="10" t="s">
        <v>15187</v>
      </c>
      <c r="K10919" s="10">
        <v>145</v>
      </c>
      <c r="L10919" s="10" t="s">
        <v>47617</v>
      </c>
      <c r="M10919" s="10">
        <v>1</v>
      </c>
      <c r="N10919" s="10"/>
      <c r="O10919" s="10"/>
      <c r="P10919" s="10" t="s">
        <v>47618</v>
      </c>
      <c r="Q10919" s="10"/>
      <c r="R10919" s="10" t="s">
        <v>47619</v>
      </c>
      <c r="S10919" s="10" t="s">
        <v>53</v>
      </c>
      <c r="T10919" s="10" t="s">
        <v>54</v>
      </c>
    </row>
    <row r="10920" spans="1:20" ht="14.5" x14ac:dyDescent="0.35">
      <c r="A10920" s="10" t="s">
        <v>47620</v>
      </c>
      <c r="B10920" s="10" t="str">
        <f>"9781620366769"</f>
        <v>9781620366769</v>
      </c>
      <c r="C10920" s="10" t="str">
        <f>"9781000974218"</f>
        <v>9781000974218</v>
      </c>
      <c r="D10920" s="10" t="s">
        <v>6350</v>
      </c>
      <c r="E10920" s="10" t="s">
        <v>6351</v>
      </c>
      <c r="F10920" s="10" t="s">
        <v>748</v>
      </c>
      <c r="G10920" s="10" t="s">
        <v>6352</v>
      </c>
      <c r="H10920" s="11">
        <v>43273</v>
      </c>
      <c r="I10920" s="10">
        <v>2018</v>
      </c>
      <c r="J10920" s="10" t="s">
        <v>6351</v>
      </c>
      <c r="K10920" s="10">
        <v>177</v>
      </c>
      <c r="L10920" s="10" t="s">
        <v>47621</v>
      </c>
      <c r="M10920" s="10">
        <v>1</v>
      </c>
      <c r="N10920" s="10"/>
      <c r="O10920" s="10"/>
      <c r="P10920" s="10" t="s">
        <v>47622</v>
      </c>
      <c r="Q10920" s="10">
        <v>378.1030973</v>
      </c>
      <c r="R10920" s="10" t="s">
        <v>47623</v>
      </c>
      <c r="S10920" s="10" t="s">
        <v>53</v>
      </c>
      <c r="T10920" s="10" t="s">
        <v>54</v>
      </c>
    </row>
    <row r="10921" spans="1:20" ht="14.5" x14ac:dyDescent="0.35">
      <c r="A10921" s="10" t="s">
        <v>47624</v>
      </c>
      <c r="B10921" s="10" t="str">
        <f>"9781620366004"</f>
        <v>9781620366004</v>
      </c>
      <c r="C10921" s="10" t="str">
        <f>"9781000974409"</f>
        <v>9781000974409</v>
      </c>
      <c r="D10921" s="10" t="s">
        <v>6350</v>
      </c>
      <c r="E10921" s="10" t="s">
        <v>6351</v>
      </c>
      <c r="F10921" s="10" t="s">
        <v>748</v>
      </c>
      <c r="G10921" s="10" t="s">
        <v>6352</v>
      </c>
      <c r="H10921" s="11">
        <v>43263</v>
      </c>
      <c r="I10921" s="10">
        <v>2018</v>
      </c>
      <c r="J10921" s="10" t="s">
        <v>6351</v>
      </c>
      <c r="K10921" s="10">
        <v>194</v>
      </c>
      <c r="L10921" s="10" t="s">
        <v>47625</v>
      </c>
      <c r="M10921" s="10">
        <v>1</v>
      </c>
      <c r="N10921" s="10"/>
      <c r="O10921" s="10"/>
      <c r="P10921" s="10" t="s">
        <v>47626</v>
      </c>
      <c r="Q10921" s="10">
        <v>378.73</v>
      </c>
      <c r="R10921" s="10" t="s">
        <v>47623</v>
      </c>
      <c r="S10921" s="10" t="s">
        <v>53</v>
      </c>
      <c r="T10921" s="10" t="s">
        <v>54</v>
      </c>
    </row>
    <row r="10922" spans="1:20" ht="14.5" x14ac:dyDescent="0.35">
      <c r="A10922" s="10" t="s">
        <v>47627</v>
      </c>
      <c r="B10922" s="10" t="str">
        <f>"9780415492591"</f>
        <v>9780415492591</v>
      </c>
      <c r="C10922" s="10" t="str">
        <f>"9781135240790"</f>
        <v>9781135240790</v>
      </c>
      <c r="D10922" s="10" t="s">
        <v>6350</v>
      </c>
      <c r="E10922" s="10" t="s">
        <v>15120</v>
      </c>
      <c r="F10922" s="10" t="s">
        <v>748</v>
      </c>
      <c r="G10922" s="10" t="s">
        <v>6352</v>
      </c>
      <c r="H10922" s="11">
        <v>40151</v>
      </c>
      <c r="I10922" s="10">
        <v>2010</v>
      </c>
      <c r="J10922" s="10" t="s">
        <v>15120</v>
      </c>
      <c r="K10922" s="10">
        <v>139</v>
      </c>
      <c r="L10922" s="10" t="s">
        <v>47628</v>
      </c>
      <c r="M10922" s="10">
        <v>1</v>
      </c>
      <c r="N10922" s="10" t="s">
        <v>47629</v>
      </c>
      <c r="O10922" s="10"/>
      <c r="P10922" s="10" t="s">
        <v>47630</v>
      </c>
      <c r="Q10922" s="10" t="s">
        <v>9356</v>
      </c>
      <c r="R10922" s="10" t="s">
        <v>47101</v>
      </c>
      <c r="S10922" s="10" t="s">
        <v>53</v>
      </c>
      <c r="T10922" s="10" t="s">
        <v>54</v>
      </c>
    </row>
    <row r="10923" spans="1:20" ht="14.5" x14ac:dyDescent="0.35">
      <c r="A10923" s="10" t="s">
        <v>47631</v>
      </c>
      <c r="B10923" s="10" t="str">
        <f>"9781475836899"</f>
        <v>9781475836899</v>
      </c>
      <c r="C10923" s="10" t="str">
        <f>"9781475836912"</f>
        <v>9781475836912</v>
      </c>
      <c r="D10923" s="10" t="s">
        <v>9752</v>
      </c>
      <c r="E10923" s="10" t="s">
        <v>15187</v>
      </c>
      <c r="F10923" s="10" t="s">
        <v>9754</v>
      </c>
      <c r="G10923" s="10" t="s">
        <v>6317</v>
      </c>
      <c r="H10923" s="11">
        <v>43280</v>
      </c>
      <c r="I10923" s="10">
        <v>2018</v>
      </c>
      <c r="J10923" s="10" t="s">
        <v>15187</v>
      </c>
      <c r="K10923" s="10">
        <v>135</v>
      </c>
      <c r="L10923" s="10" t="s">
        <v>47632</v>
      </c>
      <c r="M10923" s="10">
        <v>1</v>
      </c>
      <c r="N10923" s="10"/>
      <c r="O10923" s="10"/>
      <c r="P10923" s="10" t="s">
        <v>47633</v>
      </c>
      <c r="Q10923" s="10">
        <v>809.89499999999998</v>
      </c>
      <c r="R10923" s="10" t="s">
        <v>47634</v>
      </c>
      <c r="S10923" s="10" t="s">
        <v>53</v>
      </c>
      <c r="T10923" s="10" t="s">
        <v>8424</v>
      </c>
    </row>
    <row r="10924" spans="1:20" ht="14.5" x14ac:dyDescent="0.35">
      <c r="A10924" s="10" t="s">
        <v>47635</v>
      </c>
      <c r="B10924" s="10" t="str">
        <f>"9781475843675"</f>
        <v>9781475843675</v>
      </c>
      <c r="C10924" s="10" t="str">
        <f>"9781475843699"</f>
        <v>9781475843699</v>
      </c>
      <c r="D10924" s="10" t="s">
        <v>9752</v>
      </c>
      <c r="E10924" s="10" t="s">
        <v>15187</v>
      </c>
      <c r="F10924" s="10" t="s">
        <v>9754</v>
      </c>
      <c r="G10924" s="10" t="s">
        <v>6317</v>
      </c>
      <c r="H10924" s="11">
        <v>43296</v>
      </c>
      <c r="I10924" s="10">
        <v>2018</v>
      </c>
      <c r="J10924" s="10" t="s">
        <v>15187</v>
      </c>
      <c r="K10924" s="10">
        <v>123</v>
      </c>
      <c r="L10924" s="10" t="s">
        <v>47632</v>
      </c>
      <c r="M10924" s="10">
        <v>1</v>
      </c>
      <c r="N10924" s="10"/>
      <c r="O10924" s="10"/>
      <c r="P10924" s="10" t="s">
        <v>47636</v>
      </c>
      <c r="Q10924" s="10">
        <v>809.89282094999999</v>
      </c>
      <c r="R10924" s="10" t="s">
        <v>47637</v>
      </c>
      <c r="S10924" s="10" t="s">
        <v>53</v>
      </c>
      <c r="T10924" s="10" t="s">
        <v>1166</v>
      </c>
    </row>
    <row r="10925" spans="1:20" ht="14.5" x14ac:dyDescent="0.35">
      <c r="A10925" s="10" t="s">
        <v>47638</v>
      </c>
      <c r="B10925" s="10" t="str">
        <f>"9781882926541"</f>
        <v>9781882926541</v>
      </c>
      <c r="C10925" s="10" t="str">
        <f>"9781497651609"</f>
        <v>9781497651609</v>
      </c>
      <c r="D10925" s="10" t="s">
        <v>6358</v>
      </c>
      <c r="E10925" s="10" t="s">
        <v>41564</v>
      </c>
      <c r="F10925" s="10" t="s">
        <v>70</v>
      </c>
      <c r="G10925" s="10" t="s">
        <v>6317</v>
      </c>
      <c r="H10925" s="11">
        <v>37012</v>
      </c>
      <c r="I10925" s="10">
        <v>2001</v>
      </c>
      <c r="J10925" s="10" t="s">
        <v>41564</v>
      </c>
      <c r="K10925" s="10">
        <v>264</v>
      </c>
      <c r="L10925" s="10" t="s">
        <v>47639</v>
      </c>
      <c r="M10925" s="10">
        <v>1</v>
      </c>
      <c r="N10925" s="10"/>
      <c r="O10925" s="10"/>
      <c r="P10925" s="10" t="s">
        <v>47640</v>
      </c>
      <c r="Q10925" s="10" t="s">
        <v>47641</v>
      </c>
      <c r="R10925" s="10" t="s">
        <v>47642</v>
      </c>
      <c r="S10925" s="10" t="s">
        <v>53</v>
      </c>
      <c r="T10925" s="10" t="s">
        <v>54</v>
      </c>
    </row>
    <row r="10926" spans="1:20" ht="14.5" x14ac:dyDescent="0.35">
      <c r="A10926" s="10" t="s">
        <v>47643</v>
      </c>
      <c r="B10926" s="10" t="str">
        <f>""</f>
        <v/>
      </c>
      <c r="C10926" s="10" t="str">
        <f>"9781975500689"</f>
        <v>9781975500689</v>
      </c>
      <c r="D10926" s="10" t="s">
        <v>44271</v>
      </c>
      <c r="E10926" s="10" t="s">
        <v>47266</v>
      </c>
      <c r="F10926" s="10" t="s">
        <v>41227</v>
      </c>
      <c r="G10926" s="10" t="s">
        <v>6317</v>
      </c>
      <c r="H10926" s="11">
        <v>43192</v>
      </c>
      <c r="I10926" s="10">
        <v>2018</v>
      </c>
      <c r="J10926" s="10" t="s">
        <v>47266</v>
      </c>
      <c r="K10926" s="10">
        <v>229</v>
      </c>
      <c r="L10926" s="10" t="s">
        <v>47644</v>
      </c>
      <c r="M10926" s="10">
        <v>1</v>
      </c>
      <c r="N10926" s="10" t="s">
        <v>47645</v>
      </c>
      <c r="O10926" s="10">
        <v>1</v>
      </c>
      <c r="P10926" s="10" t="s">
        <v>47646</v>
      </c>
      <c r="Q10926" s="10">
        <v>371.96709729999998</v>
      </c>
      <c r="R10926" s="10" t="s">
        <v>47647</v>
      </c>
      <c r="S10926" s="10" t="s">
        <v>53</v>
      </c>
      <c r="T10926" s="10" t="s">
        <v>54</v>
      </c>
    </row>
    <row r="10927" spans="1:20" ht="14.5" x14ac:dyDescent="0.35">
      <c r="A10927" s="10" t="s">
        <v>47648</v>
      </c>
      <c r="B10927" s="10" t="str">
        <f>"9781975500160"</f>
        <v>9781975500160</v>
      </c>
      <c r="C10927" s="10" t="str">
        <f>"9781975500184"</f>
        <v>9781975500184</v>
      </c>
      <c r="D10927" s="10" t="s">
        <v>44271</v>
      </c>
      <c r="E10927" s="10" t="s">
        <v>47266</v>
      </c>
      <c r="F10927" s="10" t="s">
        <v>41227</v>
      </c>
      <c r="G10927" s="10" t="s">
        <v>6317</v>
      </c>
      <c r="H10927" s="11">
        <v>43203</v>
      </c>
      <c r="I10927" s="10">
        <v>2018</v>
      </c>
      <c r="J10927" s="10" t="s">
        <v>47266</v>
      </c>
      <c r="K10927" s="10">
        <v>254</v>
      </c>
      <c r="L10927" s="10" t="s">
        <v>47649</v>
      </c>
      <c r="M10927" s="10">
        <v>1</v>
      </c>
      <c r="N10927" s="10"/>
      <c r="O10927" s="10"/>
      <c r="P10927" s="10"/>
      <c r="Q10927" s="10">
        <v>371.1</v>
      </c>
      <c r="R10927" s="10"/>
      <c r="S10927" s="10" t="s">
        <v>53</v>
      </c>
      <c r="T10927" s="10" t="s">
        <v>54</v>
      </c>
    </row>
    <row r="10928" spans="1:20" ht="14.5" x14ac:dyDescent="0.35">
      <c r="A10928" s="10" t="s">
        <v>47650</v>
      </c>
      <c r="B10928" s="10" t="str">
        <f>"9781975500047"</f>
        <v>9781975500047</v>
      </c>
      <c r="C10928" s="10" t="str">
        <f>"9781975500061"</f>
        <v>9781975500061</v>
      </c>
      <c r="D10928" s="10" t="s">
        <v>44271</v>
      </c>
      <c r="E10928" s="10" t="s">
        <v>47266</v>
      </c>
      <c r="F10928" s="10" t="s">
        <v>41227</v>
      </c>
      <c r="G10928" s="10" t="s">
        <v>6317</v>
      </c>
      <c r="H10928" s="11">
        <v>43264</v>
      </c>
      <c r="I10928" s="10">
        <v>2018</v>
      </c>
      <c r="J10928" s="10" t="s">
        <v>47266</v>
      </c>
      <c r="K10928" s="10">
        <v>234</v>
      </c>
      <c r="L10928" s="10" t="s">
        <v>47651</v>
      </c>
      <c r="M10928" s="10">
        <v>1</v>
      </c>
      <c r="N10928" s="10"/>
      <c r="O10928" s="10"/>
      <c r="P10928" s="10" t="s">
        <v>47652</v>
      </c>
      <c r="Q10928" s="10">
        <v>305.80709999999999</v>
      </c>
      <c r="R10928" s="10" t="s">
        <v>47653</v>
      </c>
      <c r="S10928" s="10" t="s">
        <v>53</v>
      </c>
      <c r="T10928" s="10" t="s">
        <v>6363</v>
      </c>
    </row>
    <row r="10929" spans="1:20" ht="14.5" x14ac:dyDescent="0.35">
      <c r="A10929" s="10" t="s">
        <v>47654</v>
      </c>
      <c r="B10929" s="10" t="str">
        <f>"9781787565890"</f>
        <v>9781787565890</v>
      </c>
      <c r="C10929" s="10" t="str">
        <f>"9781787565906"</f>
        <v>9781787565906</v>
      </c>
      <c r="D10929" s="10" t="s">
        <v>8699</v>
      </c>
      <c r="E10929" s="10" t="s">
        <v>8699</v>
      </c>
      <c r="F10929" s="10" t="s">
        <v>41843</v>
      </c>
      <c r="G10929" s="10" t="s">
        <v>6352</v>
      </c>
      <c r="H10929" s="11">
        <v>43250</v>
      </c>
      <c r="I10929" s="10">
        <v>2018</v>
      </c>
      <c r="J10929" s="10" t="s">
        <v>8699</v>
      </c>
      <c r="K10929" s="10">
        <v>169</v>
      </c>
      <c r="L10929" s="10" t="s">
        <v>47655</v>
      </c>
      <c r="M10929" s="10">
        <v>1</v>
      </c>
      <c r="N10929" s="10" t="s">
        <v>47656</v>
      </c>
      <c r="O10929" s="10">
        <v>2</v>
      </c>
      <c r="P10929" s="10" t="s">
        <v>47657</v>
      </c>
      <c r="Q10929" s="10">
        <v>379.154</v>
      </c>
      <c r="R10929" s="10" t="s">
        <v>47658</v>
      </c>
      <c r="S10929" s="10" t="s">
        <v>53</v>
      </c>
      <c r="T10929" s="10" t="s">
        <v>54</v>
      </c>
    </row>
    <row r="10930" spans="1:20" ht="14.5" x14ac:dyDescent="0.35">
      <c r="A10930" s="10" t="s">
        <v>47659</v>
      </c>
      <c r="B10930" s="10" t="str">
        <f>"9781787568570"</f>
        <v>9781787568570</v>
      </c>
      <c r="C10930" s="10" t="str">
        <f>"9781787568587"</f>
        <v>9781787568587</v>
      </c>
      <c r="D10930" s="10" t="s">
        <v>8699</v>
      </c>
      <c r="E10930" s="10" t="s">
        <v>8699</v>
      </c>
      <c r="F10930" s="10" t="s">
        <v>41843</v>
      </c>
      <c r="G10930" s="10" t="s">
        <v>6352</v>
      </c>
      <c r="H10930" s="11">
        <v>43236</v>
      </c>
      <c r="I10930" s="10">
        <v>2018</v>
      </c>
      <c r="J10930" s="10" t="s">
        <v>8699</v>
      </c>
      <c r="K10930" s="10">
        <v>61</v>
      </c>
      <c r="L10930" s="10" t="s">
        <v>47660</v>
      </c>
      <c r="M10930" s="10">
        <v>1</v>
      </c>
      <c r="N10930" s="10" t="s">
        <v>47661</v>
      </c>
      <c r="O10930" s="10">
        <v>1</v>
      </c>
      <c r="P10930" s="10"/>
      <c r="Q10930" s="10"/>
      <c r="R10930" s="10"/>
      <c r="S10930" s="10" t="s">
        <v>53</v>
      </c>
      <c r="T10930" s="10" t="s">
        <v>54</v>
      </c>
    </row>
    <row r="10931" spans="1:20" ht="14.5" x14ac:dyDescent="0.35">
      <c r="A10931" s="10" t="s">
        <v>47662</v>
      </c>
      <c r="B10931" s="10" t="str">
        <f>"9781475839357"</f>
        <v>9781475839357</v>
      </c>
      <c r="C10931" s="10" t="str">
        <f>"9781475839371"</f>
        <v>9781475839371</v>
      </c>
      <c r="D10931" s="10" t="s">
        <v>9752</v>
      </c>
      <c r="E10931" s="10" t="s">
        <v>15187</v>
      </c>
      <c r="F10931" s="10" t="s">
        <v>9754</v>
      </c>
      <c r="G10931" s="10" t="s">
        <v>6317</v>
      </c>
      <c r="H10931" s="11">
        <v>43327</v>
      </c>
      <c r="I10931" s="10">
        <v>2018</v>
      </c>
      <c r="J10931" s="10" t="s">
        <v>15187</v>
      </c>
      <c r="K10931" s="10">
        <v>109</v>
      </c>
      <c r="L10931" s="10" t="s">
        <v>47663</v>
      </c>
      <c r="M10931" s="10">
        <v>1</v>
      </c>
      <c r="N10931" s="10"/>
      <c r="O10931" s="10"/>
      <c r="P10931" s="10"/>
      <c r="Q10931" s="10">
        <v>371.33446780000003</v>
      </c>
      <c r="R10931" s="10" t="s">
        <v>47664</v>
      </c>
      <c r="S10931" s="10" t="s">
        <v>53</v>
      </c>
      <c r="T10931" s="10" t="s">
        <v>54</v>
      </c>
    </row>
    <row r="10932" spans="1:20" ht="14.5" x14ac:dyDescent="0.35">
      <c r="A10932" s="10" t="s">
        <v>47665</v>
      </c>
      <c r="B10932" s="10" t="str">
        <f>"9781475836547"</f>
        <v>9781475836547</v>
      </c>
      <c r="C10932" s="10" t="str">
        <f>"9781475836561"</f>
        <v>9781475836561</v>
      </c>
      <c r="D10932" s="10" t="s">
        <v>9752</v>
      </c>
      <c r="E10932" s="10" t="s">
        <v>15187</v>
      </c>
      <c r="F10932" s="10" t="s">
        <v>9754</v>
      </c>
      <c r="G10932" s="10" t="s">
        <v>6317</v>
      </c>
      <c r="H10932" s="11">
        <v>43297</v>
      </c>
      <c r="I10932" s="10">
        <v>2018</v>
      </c>
      <c r="J10932" s="10" t="s">
        <v>15187</v>
      </c>
      <c r="K10932" s="10">
        <v>169</v>
      </c>
      <c r="L10932" s="10" t="s">
        <v>47666</v>
      </c>
      <c r="M10932" s="10">
        <v>1</v>
      </c>
      <c r="N10932" s="10"/>
      <c r="O10932" s="10"/>
      <c r="P10932" s="10" t="s">
        <v>47667</v>
      </c>
      <c r="Q10932" s="10">
        <v>371.10199999999998</v>
      </c>
      <c r="R10932" s="10" t="s">
        <v>47668</v>
      </c>
      <c r="S10932" s="10" t="s">
        <v>53</v>
      </c>
      <c r="T10932" s="10" t="s">
        <v>54</v>
      </c>
    </row>
    <row r="10933" spans="1:20" ht="14.5" x14ac:dyDescent="0.35">
      <c r="A10933" s="10" t="s">
        <v>47669</v>
      </c>
      <c r="B10933" s="10" t="str">
        <f>""</f>
        <v/>
      </c>
      <c r="C10933" s="10" t="str">
        <f>"9789628908448"</f>
        <v>9789628908448</v>
      </c>
      <c r="D10933" s="10" t="s">
        <v>47670</v>
      </c>
      <c r="E10933" s="10" t="s">
        <v>47671</v>
      </c>
      <c r="F10933" s="10" t="s">
        <v>535</v>
      </c>
      <c r="G10933" s="10" t="s">
        <v>18251</v>
      </c>
      <c r="H10933" s="11">
        <v>41623</v>
      </c>
      <c r="I10933" s="10">
        <v>2013</v>
      </c>
      <c r="J10933" s="10" t="s">
        <v>47671</v>
      </c>
      <c r="K10933" s="10">
        <v>292</v>
      </c>
      <c r="L10933" s="10" t="s">
        <v>47672</v>
      </c>
      <c r="M10933" s="10">
        <v>1</v>
      </c>
      <c r="N10933" s="10"/>
      <c r="O10933" s="10"/>
      <c r="P10933" s="10" t="s">
        <v>47673</v>
      </c>
      <c r="Q10933" s="10">
        <v>370.94889999999998</v>
      </c>
      <c r="R10933" s="10" t="s">
        <v>47674</v>
      </c>
      <c r="S10933" s="10" t="s">
        <v>53</v>
      </c>
      <c r="T10933" s="10" t="s">
        <v>54</v>
      </c>
    </row>
    <row r="10934" spans="1:20" ht="14.5" x14ac:dyDescent="0.35">
      <c r="A10934" s="10" t="s">
        <v>47675</v>
      </c>
      <c r="B10934" s="10" t="str">
        <f>"9781138068643"</f>
        <v>9781138068643</v>
      </c>
      <c r="C10934" s="10" t="str">
        <f>"9781351654487"</f>
        <v>9781351654487</v>
      </c>
      <c r="D10934" s="10" t="s">
        <v>6350</v>
      </c>
      <c r="E10934" s="10" t="s">
        <v>6351</v>
      </c>
      <c r="F10934" s="10" t="s">
        <v>748</v>
      </c>
      <c r="G10934" s="10" t="s">
        <v>6352</v>
      </c>
      <c r="H10934" s="11">
        <v>43277</v>
      </c>
      <c r="I10934" s="10">
        <v>2018</v>
      </c>
      <c r="J10934" s="10" t="s">
        <v>6351</v>
      </c>
      <c r="K10934" s="10">
        <v>293</v>
      </c>
      <c r="L10934" s="10" t="s">
        <v>47676</v>
      </c>
      <c r="M10934" s="10">
        <v>1</v>
      </c>
      <c r="N10934" s="10" t="s">
        <v>47677</v>
      </c>
      <c r="O10934" s="10"/>
      <c r="P10934" s="10" t="s">
        <v>47678</v>
      </c>
      <c r="Q10934" s="10">
        <v>428.00709999999998</v>
      </c>
      <c r="R10934" s="10" t="s">
        <v>47679</v>
      </c>
      <c r="S10934" s="10" t="s">
        <v>53</v>
      </c>
      <c r="T10934" s="10" t="s">
        <v>6616</v>
      </c>
    </row>
    <row r="10935" spans="1:20" ht="14.5" x14ac:dyDescent="0.35">
      <c r="A10935" s="10" t="s">
        <v>47680</v>
      </c>
      <c r="B10935" s="10" t="str">
        <f>"9780817319892"</f>
        <v>9780817319892</v>
      </c>
      <c r="C10935" s="10" t="str">
        <f>"9780817391911"</f>
        <v>9780817391911</v>
      </c>
      <c r="D10935" s="10" t="s">
        <v>3407</v>
      </c>
      <c r="E10935" s="10" t="s">
        <v>3407</v>
      </c>
      <c r="F10935" s="10" t="s">
        <v>3408</v>
      </c>
      <c r="G10935" s="10" t="s">
        <v>6317</v>
      </c>
      <c r="H10935" s="11">
        <v>43291</v>
      </c>
      <c r="I10935" s="10">
        <v>2018</v>
      </c>
      <c r="J10935" s="10" t="s">
        <v>3407</v>
      </c>
      <c r="K10935" s="10">
        <v>216</v>
      </c>
      <c r="L10935" s="10" t="s">
        <v>47681</v>
      </c>
      <c r="M10935" s="10">
        <v>1</v>
      </c>
      <c r="N10935" s="10"/>
      <c r="O10935" s="10"/>
      <c r="P10935" s="10" t="s">
        <v>47682</v>
      </c>
      <c r="Q10935" s="10"/>
      <c r="R10935" s="10"/>
      <c r="S10935" s="10" t="s">
        <v>53</v>
      </c>
      <c r="T10935" s="10" t="s">
        <v>8625</v>
      </c>
    </row>
    <row r="10936" spans="1:20" ht="14.5" x14ac:dyDescent="0.35">
      <c r="A10936" s="10" t="s">
        <v>47683</v>
      </c>
      <c r="B10936" s="10" t="str">
        <f>"9781945349362"</f>
        <v>9781945349362</v>
      </c>
      <c r="C10936" s="10" t="str">
        <f>"9781945349379"</f>
        <v>9781945349379</v>
      </c>
      <c r="D10936" s="10" t="s">
        <v>37580</v>
      </c>
      <c r="E10936" s="10" t="s">
        <v>37581</v>
      </c>
      <c r="F10936" s="10" t="s">
        <v>37623</v>
      </c>
      <c r="G10936" s="10" t="s">
        <v>6317</v>
      </c>
      <c r="H10936" s="11">
        <v>43287</v>
      </c>
      <c r="I10936" s="10">
        <v>2019</v>
      </c>
      <c r="J10936" s="10" t="s">
        <v>37581</v>
      </c>
      <c r="K10936" s="10">
        <v>192</v>
      </c>
      <c r="L10936" s="10" t="s">
        <v>47684</v>
      </c>
      <c r="M10936" s="10">
        <v>1</v>
      </c>
      <c r="N10936" s="10" t="s">
        <v>44310</v>
      </c>
      <c r="O10936" s="10"/>
      <c r="P10936" s="10" t="s">
        <v>47685</v>
      </c>
      <c r="Q10936" s="10"/>
      <c r="R10936" s="10" t="s">
        <v>47686</v>
      </c>
      <c r="S10936" s="10" t="s">
        <v>53</v>
      </c>
      <c r="T10936" s="10" t="s">
        <v>54</v>
      </c>
    </row>
    <row r="10937" spans="1:20" ht="14.5" x14ac:dyDescent="0.35">
      <c r="A10937" s="10" t="s">
        <v>47687</v>
      </c>
      <c r="B10937" s="10" t="str">
        <f>"9781416625810"</f>
        <v>9781416625810</v>
      </c>
      <c r="C10937" s="10" t="str">
        <f>"9781416625834"</f>
        <v>9781416625834</v>
      </c>
      <c r="D10937" s="10" t="s">
        <v>10014</v>
      </c>
      <c r="E10937" s="10" t="s">
        <v>10015</v>
      </c>
      <c r="F10937" s="10" t="s">
        <v>201</v>
      </c>
      <c r="G10937" s="10" t="s">
        <v>6317</v>
      </c>
      <c r="H10937" s="11">
        <v>43206</v>
      </c>
      <c r="I10937" s="10">
        <v>2018</v>
      </c>
      <c r="J10937" s="10" t="s">
        <v>10015</v>
      </c>
      <c r="K10937" s="10">
        <v>251</v>
      </c>
      <c r="L10937" s="10" t="s">
        <v>12950</v>
      </c>
      <c r="M10937" s="10">
        <v>4</v>
      </c>
      <c r="N10937" s="10"/>
      <c r="O10937" s="10"/>
      <c r="P10937" s="10" t="s">
        <v>47688</v>
      </c>
      <c r="Q10937" s="10">
        <v>371.5</v>
      </c>
      <c r="R10937" s="10" t="s">
        <v>47689</v>
      </c>
      <c r="S10937" s="10" t="s">
        <v>53</v>
      </c>
      <c r="T10937" s="10" t="s">
        <v>54</v>
      </c>
    </row>
    <row r="10938" spans="1:20" ht="14.5" x14ac:dyDescent="0.35">
      <c r="A10938" s="10" t="s">
        <v>47690</v>
      </c>
      <c r="B10938" s="10" t="str">
        <f>"9781416625940"</f>
        <v>9781416625940</v>
      </c>
      <c r="C10938" s="10" t="str">
        <f>"9781416625964"</f>
        <v>9781416625964</v>
      </c>
      <c r="D10938" s="10" t="s">
        <v>10014</v>
      </c>
      <c r="E10938" s="10" t="s">
        <v>10015</v>
      </c>
      <c r="F10938" s="10" t="s">
        <v>201</v>
      </c>
      <c r="G10938" s="10" t="s">
        <v>6317</v>
      </c>
      <c r="H10938" s="11">
        <v>43250</v>
      </c>
      <c r="I10938" s="10">
        <v>2018</v>
      </c>
      <c r="J10938" s="10" t="s">
        <v>10015</v>
      </c>
      <c r="K10938" s="10">
        <v>226</v>
      </c>
      <c r="L10938" s="10" t="s">
        <v>47691</v>
      </c>
      <c r="M10938" s="10">
        <v>1</v>
      </c>
      <c r="N10938" s="10"/>
      <c r="O10938" s="10"/>
      <c r="P10938" s="10" t="s">
        <v>47692</v>
      </c>
      <c r="Q10938" s="10" t="s">
        <v>12010</v>
      </c>
      <c r="R10938" s="10" t="s">
        <v>47693</v>
      </c>
      <c r="S10938" s="10" t="s">
        <v>53</v>
      </c>
      <c r="T10938" s="10" t="s">
        <v>54</v>
      </c>
    </row>
    <row r="10939" spans="1:20" ht="14.5" x14ac:dyDescent="0.35">
      <c r="A10939" s="10" t="s">
        <v>47694</v>
      </c>
      <c r="B10939" s="10" t="str">
        <f>"9781416625902"</f>
        <v>9781416625902</v>
      </c>
      <c r="C10939" s="10" t="str">
        <f>"9781416625926"</f>
        <v>9781416625926</v>
      </c>
      <c r="D10939" s="10" t="s">
        <v>10014</v>
      </c>
      <c r="E10939" s="10" t="s">
        <v>10015</v>
      </c>
      <c r="F10939" s="10" t="s">
        <v>201</v>
      </c>
      <c r="G10939" s="10" t="s">
        <v>6317</v>
      </c>
      <c r="H10939" s="11">
        <v>43220</v>
      </c>
      <c r="I10939" s="10">
        <v>2018</v>
      </c>
      <c r="J10939" s="10" t="s">
        <v>10015</v>
      </c>
      <c r="K10939" s="10">
        <v>258</v>
      </c>
      <c r="L10939" s="10" t="s">
        <v>47695</v>
      </c>
      <c r="M10939" s="10">
        <v>1</v>
      </c>
      <c r="N10939" s="10"/>
      <c r="O10939" s="10"/>
      <c r="P10939" s="10" t="s">
        <v>47696</v>
      </c>
      <c r="Q10939" s="10" t="s">
        <v>8460</v>
      </c>
      <c r="R10939" s="10" t="s">
        <v>47697</v>
      </c>
      <c r="S10939" s="10" t="s">
        <v>53</v>
      </c>
      <c r="T10939" s="10" t="s">
        <v>54</v>
      </c>
    </row>
    <row r="10940" spans="1:20" ht="14.5" x14ac:dyDescent="0.35">
      <c r="A10940" s="10" t="s">
        <v>47698</v>
      </c>
      <c r="B10940" s="10" t="str">
        <f>"9781416625551"</f>
        <v>9781416625551</v>
      </c>
      <c r="C10940" s="10" t="str">
        <f>"9781416625568"</f>
        <v>9781416625568</v>
      </c>
      <c r="D10940" s="10" t="s">
        <v>10014</v>
      </c>
      <c r="E10940" s="10" t="s">
        <v>10015</v>
      </c>
      <c r="F10940" s="10" t="s">
        <v>201</v>
      </c>
      <c r="G10940" s="10" t="s">
        <v>6317</v>
      </c>
      <c r="H10940" s="11">
        <v>43220</v>
      </c>
      <c r="I10940" s="10">
        <v>2018</v>
      </c>
      <c r="J10940" s="10" t="s">
        <v>10015</v>
      </c>
      <c r="K10940" s="10">
        <v>227</v>
      </c>
      <c r="L10940" s="10" t="s">
        <v>47699</v>
      </c>
      <c r="M10940" s="10">
        <v>1</v>
      </c>
      <c r="N10940" s="10"/>
      <c r="O10940" s="10"/>
      <c r="P10940" s="10" t="s">
        <v>47700</v>
      </c>
      <c r="Q10940" s="10" t="s">
        <v>29699</v>
      </c>
      <c r="R10940" s="10" t="s">
        <v>47701</v>
      </c>
      <c r="S10940" s="10" t="s">
        <v>53</v>
      </c>
      <c r="T10940" s="10" t="s">
        <v>54</v>
      </c>
    </row>
    <row r="10941" spans="1:20" ht="14.5" x14ac:dyDescent="0.35">
      <c r="A10941" s="10" t="s">
        <v>47702</v>
      </c>
      <c r="B10941" s="10" t="str">
        <f>"9781475838367"</f>
        <v>9781475838367</v>
      </c>
      <c r="C10941" s="10" t="str">
        <f>"9781475838381"</f>
        <v>9781475838381</v>
      </c>
      <c r="D10941" s="10" t="s">
        <v>9752</v>
      </c>
      <c r="E10941" s="10" t="s">
        <v>15187</v>
      </c>
      <c r="F10941" s="10" t="s">
        <v>9754</v>
      </c>
      <c r="G10941" s="10" t="s">
        <v>6317</v>
      </c>
      <c r="H10941" s="11">
        <v>43336</v>
      </c>
      <c r="I10941" s="10">
        <v>2018</v>
      </c>
      <c r="J10941" s="10" t="s">
        <v>15187</v>
      </c>
      <c r="K10941" s="10">
        <v>238</v>
      </c>
      <c r="L10941" s="10" t="s">
        <v>47703</v>
      </c>
      <c r="M10941" s="10">
        <v>1</v>
      </c>
      <c r="N10941" s="10" t="s">
        <v>44475</v>
      </c>
      <c r="O10941" s="10"/>
      <c r="P10941" s="10" t="s">
        <v>47704</v>
      </c>
      <c r="Q10941" s="10">
        <v>370.11700000000002</v>
      </c>
      <c r="R10941" s="10" t="s">
        <v>7957</v>
      </c>
      <c r="S10941" s="10" t="s">
        <v>53</v>
      </c>
      <c r="T10941" s="10" t="s">
        <v>54</v>
      </c>
    </row>
    <row r="10942" spans="1:20" ht="14.5" x14ac:dyDescent="0.35">
      <c r="A10942" s="10" t="s">
        <v>47705</v>
      </c>
      <c r="B10942" s="10" t="str">
        <f>"9781945349621"</f>
        <v>9781945349621</v>
      </c>
      <c r="C10942" s="10" t="str">
        <f>"9781945349645"</f>
        <v>9781945349645</v>
      </c>
      <c r="D10942" s="10" t="s">
        <v>37580</v>
      </c>
      <c r="E10942" s="10" t="s">
        <v>37581</v>
      </c>
      <c r="F10942" s="10" t="s">
        <v>37623</v>
      </c>
      <c r="G10942" s="10" t="s">
        <v>6317</v>
      </c>
      <c r="H10942" s="11">
        <v>43297</v>
      </c>
      <c r="I10942" s="10">
        <v>2018</v>
      </c>
      <c r="J10942" s="10" t="s">
        <v>37581</v>
      </c>
      <c r="K10942" s="10">
        <v>256</v>
      </c>
      <c r="L10942" s="10" t="s">
        <v>47706</v>
      </c>
      <c r="M10942" s="10">
        <v>1</v>
      </c>
      <c r="N10942" s="10"/>
      <c r="O10942" s="10"/>
      <c r="P10942" s="10" t="s">
        <v>47707</v>
      </c>
      <c r="Q10942" s="10"/>
      <c r="R10942" s="10" t="s">
        <v>47708</v>
      </c>
      <c r="S10942" s="10" t="s">
        <v>53</v>
      </c>
      <c r="T10942" s="10" t="s">
        <v>54</v>
      </c>
    </row>
    <row r="10943" spans="1:20" ht="14.5" x14ac:dyDescent="0.35">
      <c r="A10943" s="10" t="s">
        <v>47709</v>
      </c>
      <c r="B10943" s="10" t="str">
        <f>"9780994132505"</f>
        <v>9780994132505</v>
      </c>
      <c r="C10943" s="10" t="str">
        <f>"9780994132581"</f>
        <v>9780994132581</v>
      </c>
      <c r="D10943" s="10" t="s">
        <v>9215</v>
      </c>
      <c r="E10943" s="10" t="s">
        <v>47710</v>
      </c>
      <c r="F10943" s="10" t="s">
        <v>324</v>
      </c>
      <c r="G10943" s="10" t="s">
        <v>6317</v>
      </c>
      <c r="H10943" s="11">
        <v>42705</v>
      </c>
      <c r="I10943" s="10">
        <v>2016</v>
      </c>
      <c r="J10943" s="10" t="s">
        <v>47710</v>
      </c>
      <c r="K10943" s="10">
        <v>503</v>
      </c>
      <c r="L10943" s="10" t="s">
        <v>47711</v>
      </c>
      <c r="M10943" s="10"/>
      <c r="N10943" s="10"/>
      <c r="O10943" s="10"/>
      <c r="P10943" s="10" t="s">
        <v>47712</v>
      </c>
      <c r="Q10943" s="10">
        <v>378.93</v>
      </c>
      <c r="R10943" s="10" t="s">
        <v>47713</v>
      </c>
      <c r="S10943" s="10" t="s">
        <v>53</v>
      </c>
      <c r="T10943" s="10" t="s">
        <v>54</v>
      </c>
    </row>
    <row r="10944" spans="1:20" ht="14.5" x14ac:dyDescent="0.35">
      <c r="A10944" s="10" t="s">
        <v>47714</v>
      </c>
      <c r="B10944" s="10" t="str">
        <f>"9781912096787"</f>
        <v>9781912096787</v>
      </c>
      <c r="C10944" s="10" t="str">
        <f>"9781912096756"</f>
        <v>9781912096756</v>
      </c>
      <c r="D10944" s="10" t="s">
        <v>9533</v>
      </c>
      <c r="E10944" s="10" t="s">
        <v>26840</v>
      </c>
      <c r="F10944" s="10" t="s">
        <v>47715</v>
      </c>
      <c r="G10944" s="10" t="s">
        <v>6352</v>
      </c>
      <c r="H10944" s="11">
        <v>43276</v>
      </c>
      <c r="I10944" s="10">
        <v>2018</v>
      </c>
      <c r="J10944" s="10" t="s">
        <v>26840</v>
      </c>
      <c r="K10944" s="10">
        <v>146</v>
      </c>
      <c r="L10944" s="10" t="s">
        <v>47716</v>
      </c>
      <c r="M10944" s="10">
        <v>1</v>
      </c>
      <c r="N10944" s="10" t="s">
        <v>47717</v>
      </c>
      <c r="O10944" s="10"/>
      <c r="P10944" s="10" t="s">
        <v>47718</v>
      </c>
      <c r="Q10944" s="10">
        <v>808.06637000000001</v>
      </c>
      <c r="R10944" s="10" t="s">
        <v>47719</v>
      </c>
      <c r="S10944" s="10" t="s">
        <v>53</v>
      </c>
      <c r="T10944" s="10" t="s">
        <v>6568</v>
      </c>
    </row>
    <row r="10945" spans="1:20" ht="14.5" x14ac:dyDescent="0.35">
      <c r="A10945" s="10" t="s">
        <v>47720</v>
      </c>
      <c r="B10945" s="10" t="str">
        <f>"9781119461692"</f>
        <v>9781119461692</v>
      </c>
      <c r="C10945" s="10" t="str">
        <f>"9781119461685"</f>
        <v>9781119461685</v>
      </c>
      <c r="D10945" s="10" t="s">
        <v>6322</v>
      </c>
      <c r="E10945" s="10" t="s">
        <v>6323</v>
      </c>
      <c r="F10945" s="10" t="s">
        <v>4423</v>
      </c>
      <c r="G10945" s="10" t="s">
        <v>6317</v>
      </c>
      <c r="H10945" s="11">
        <v>43319</v>
      </c>
      <c r="I10945" s="10">
        <v>2019</v>
      </c>
      <c r="J10945" s="10" t="s">
        <v>6324</v>
      </c>
      <c r="K10945" s="10">
        <v>323</v>
      </c>
      <c r="L10945" s="10" t="s">
        <v>47721</v>
      </c>
      <c r="M10945" s="10">
        <v>1</v>
      </c>
      <c r="N10945" s="10"/>
      <c r="O10945" s="10"/>
      <c r="P10945" s="10"/>
      <c r="Q10945" s="10"/>
      <c r="R10945" s="10" t="s">
        <v>20755</v>
      </c>
      <c r="S10945" s="10" t="s">
        <v>53</v>
      </c>
      <c r="T10945" s="10" t="s">
        <v>54</v>
      </c>
    </row>
    <row r="10946" spans="1:20" ht="14.5" x14ac:dyDescent="0.35">
      <c r="A10946" s="10" t="s">
        <v>47722</v>
      </c>
      <c r="B10946" s="10" t="str">
        <f>"9781947604049"</f>
        <v>9781947604049</v>
      </c>
      <c r="C10946" s="10" t="str">
        <f>"9781947604056"</f>
        <v>9781947604056</v>
      </c>
      <c r="D10946" s="10" t="s">
        <v>37580</v>
      </c>
      <c r="E10946" s="10" t="s">
        <v>37581</v>
      </c>
      <c r="F10946" s="10" t="s">
        <v>37623</v>
      </c>
      <c r="G10946" s="10" t="s">
        <v>6317</v>
      </c>
      <c r="H10946" s="11">
        <v>43294</v>
      </c>
      <c r="I10946" s="10">
        <v>2019</v>
      </c>
      <c r="J10946" s="10" t="s">
        <v>37581</v>
      </c>
      <c r="K10946" s="10">
        <v>96</v>
      </c>
      <c r="L10946" s="10" t="s">
        <v>47723</v>
      </c>
      <c r="M10946" s="10">
        <v>1</v>
      </c>
      <c r="N10946" s="10" t="s">
        <v>47064</v>
      </c>
      <c r="O10946" s="10"/>
      <c r="P10946" s="10" t="s">
        <v>47724</v>
      </c>
      <c r="Q10946" s="10"/>
      <c r="R10946" s="10"/>
      <c r="S10946" s="10" t="s">
        <v>53</v>
      </c>
      <c r="T10946" s="10" t="s">
        <v>389</v>
      </c>
    </row>
    <row r="10947" spans="1:20" ht="14.5" x14ac:dyDescent="0.35">
      <c r="A10947" s="10" t="s">
        <v>47725</v>
      </c>
      <c r="B10947" s="10" t="str">
        <f>"9781945349904"</f>
        <v>9781945349904</v>
      </c>
      <c r="C10947" s="10" t="str">
        <f>"9781945349911"</f>
        <v>9781945349911</v>
      </c>
      <c r="D10947" s="10" t="s">
        <v>37580</v>
      </c>
      <c r="E10947" s="10" t="s">
        <v>37581</v>
      </c>
      <c r="F10947" s="10" t="s">
        <v>37623</v>
      </c>
      <c r="G10947" s="10" t="s">
        <v>6317</v>
      </c>
      <c r="H10947" s="11">
        <v>43301</v>
      </c>
      <c r="I10947" s="10">
        <v>2019</v>
      </c>
      <c r="J10947" s="10" t="s">
        <v>37581</v>
      </c>
      <c r="K10947" s="10">
        <v>220</v>
      </c>
      <c r="L10947" s="10" t="s">
        <v>47726</v>
      </c>
      <c r="M10947" s="10">
        <v>1</v>
      </c>
      <c r="N10947" s="10" t="s">
        <v>47727</v>
      </c>
      <c r="O10947" s="10"/>
      <c r="P10947" s="10" t="s">
        <v>47728</v>
      </c>
      <c r="Q10947" s="10"/>
      <c r="R10947" s="10" t="s">
        <v>47729</v>
      </c>
      <c r="S10947" s="10" t="s">
        <v>53</v>
      </c>
      <c r="T10947" s="10" t="s">
        <v>54</v>
      </c>
    </row>
    <row r="10948" spans="1:20" ht="14.5" x14ac:dyDescent="0.35">
      <c r="A10948" s="10" t="s">
        <v>47730</v>
      </c>
      <c r="B10948" s="10" t="str">
        <f>"9781526132741"</f>
        <v>9781526132741</v>
      </c>
      <c r="C10948" s="10" t="str">
        <f>"9781526132758"</f>
        <v>9781526132758</v>
      </c>
      <c r="D10948" s="10" t="s">
        <v>16780</v>
      </c>
      <c r="E10948" s="10" t="s">
        <v>16780</v>
      </c>
      <c r="F10948" s="10" t="s">
        <v>2829</v>
      </c>
      <c r="G10948" s="10" t="s">
        <v>6352</v>
      </c>
      <c r="H10948" s="11">
        <v>43269</v>
      </c>
      <c r="I10948" s="10">
        <v>2018</v>
      </c>
      <c r="J10948" s="10" t="s">
        <v>16780</v>
      </c>
      <c r="K10948" s="10">
        <v>232</v>
      </c>
      <c r="L10948" s="10" t="s">
        <v>47731</v>
      </c>
      <c r="M10948" s="10">
        <v>1</v>
      </c>
      <c r="N10948" s="10"/>
      <c r="O10948" s="10"/>
      <c r="P10948" s="10" t="s">
        <v>47732</v>
      </c>
      <c r="Q10948" s="10">
        <v>378.01</v>
      </c>
      <c r="R10948" s="10" t="s">
        <v>47733</v>
      </c>
      <c r="S10948" s="10" t="s">
        <v>53</v>
      </c>
      <c r="T10948" s="10" t="s">
        <v>54</v>
      </c>
    </row>
    <row r="10949" spans="1:20" ht="14.5" x14ac:dyDescent="0.35">
      <c r="A10949" s="10" t="s">
        <v>47734</v>
      </c>
      <c r="B10949" s="10" t="str">
        <f>"9781620365762"</f>
        <v>9781620365762</v>
      </c>
      <c r="C10949" s="10" t="str">
        <f>"9781000976168"</f>
        <v>9781000976168</v>
      </c>
      <c r="D10949" s="10" t="s">
        <v>6350</v>
      </c>
      <c r="E10949" s="10" t="s">
        <v>6351</v>
      </c>
      <c r="F10949" s="10" t="s">
        <v>748</v>
      </c>
      <c r="G10949" s="10" t="s">
        <v>6352</v>
      </c>
      <c r="H10949" s="11">
        <v>43273</v>
      </c>
      <c r="I10949" s="10">
        <v>2018</v>
      </c>
      <c r="J10949" s="10" t="s">
        <v>6351</v>
      </c>
      <c r="K10949" s="10">
        <v>239</v>
      </c>
      <c r="L10949" s="10" t="s">
        <v>47735</v>
      </c>
      <c r="M10949" s="10">
        <v>1</v>
      </c>
      <c r="N10949" s="10"/>
      <c r="O10949" s="10"/>
      <c r="P10949" s="10" t="s">
        <v>47736</v>
      </c>
      <c r="Q10949" s="10">
        <v>378.00700000000001</v>
      </c>
      <c r="R10949" s="10" t="s">
        <v>47737</v>
      </c>
      <c r="S10949" s="10" t="s">
        <v>53</v>
      </c>
      <c r="T10949" s="10" t="s">
        <v>54</v>
      </c>
    </row>
    <row r="10950" spans="1:20" ht="14.5" x14ac:dyDescent="0.35">
      <c r="A10950" s="10" t="s">
        <v>47738</v>
      </c>
      <c r="B10950" s="10" t="str">
        <f>"9781743315712"</f>
        <v>9781743315712</v>
      </c>
      <c r="C10950" s="10" t="str">
        <f>"9781743436868"</f>
        <v>9781743436868</v>
      </c>
      <c r="D10950" s="10" t="s">
        <v>47561</v>
      </c>
      <c r="E10950" s="10" t="s">
        <v>47561</v>
      </c>
      <c r="F10950" s="10" t="s">
        <v>674</v>
      </c>
      <c r="G10950" s="10" t="s">
        <v>12975</v>
      </c>
      <c r="H10950" s="11">
        <v>41760</v>
      </c>
      <c r="I10950" s="10">
        <v>2014</v>
      </c>
      <c r="J10950" s="10" t="s">
        <v>47561</v>
      </c>
      <c r="K10950" s="10">
        <v>273</v>
      </c>
      <c r="L10950" s="10" t="s">
        <v>47739</v>
      </c>
      <c r="M10950" s="10">
        <v>1</v>
      </c>
      <c r="N10950" s="10"/>
      <c r="O10950" s="10"/>
      <c r="P10950" s="10" t="s">
        <v>47740</v>
      </c>
      <c r="Q10950" s="10">
        <v>379.28</v>
      </c>
      <c r="R10950" s="10" t="s">
        <v>47741</v>
      </c>
      <c r="S10950" s="10" t="s">
        <v>53</v>
      </c>
      <c r="T10950" s="10" t="s">
        <v>54</v>
      </c>
    </row>
    <row r="10951" spans="1:20" ht="14.5" x14ac:dyDescent="0.35">
      <c r="A10951" s="10" t="s">
        <v>47742</v>
      </c>
      <c r="B10951" s="10" t="str">
        <f>"9781119496649"</f>
        <v>9781119496649</v>
      </c>
      <c r="C10951" s="10" t="str">
        <f>"9781119496656"</f>
        <v>9781119496656</v>
      </c>
      <c r="D10951" s="10" t="s">
        <v>6322</v>
      </c>
      <c r="E10951" s="10" t="s">
        <v>6323</v>
      </c>
      <c r="F10951" s="10" t="s">
        <v>4423</v>
      </c>
      <c r="G10951" s="10" t="s">
        <v>6317</v>
      </c>
      <c r="H10951" s="11">
        <v>43319</v>
      </c>
      <c r="I10951" s="10">
        <v>2018</v>
      </c>
      <c r="J10951" s="10" t="s">
        <v>6324</v>
      </c>
      <c r="K10951" s="10">
        <v>273</v>
      </c>
      <c r="L10951" s="10" t="s">
        <v>47743</v>
      </c>
      <c r="M10951" s="10">
        <v>1</v>
      </c>
      <c r="N10951" s="10"/>
      <c r="O10951" s="10"/>
      <c r="P10951" s="10" t="s">
        <v>47744</v>
      </c>
      <c r="Q10951" s="10"/>
      <c r="R10951" s="10" t="s">
        <v>47745</v>
      </c>
      <c r="S10951" s="10" t="s">
        <v>53</v>
      </c>
      <c r="T10951" s="10" t="s">
        <v>54</v>
      </c>
    </row>
    <row r="10952" spans="1:20" ht="14.5" x14ac:dyDescent="0.35">
      <c r="A10952" s="10" t="s">
        <v>47746</v>
      </c>
      <c r="B10952" s="10" t="str">
        <f>"9782804197483"</f>
        <v>9782804197483</v>
      </c>
      <c r="C10952" s="10" t="str">
        <f>"9782804197339"</f>
        <v>9782804197339</v>
      </c>
      <c r="D10952" s="10" t="s">
        <v>29172</v>
      </c>
      <c r="E10952" s="10" t="s">
        <v>44795</v>
      </c>
      <c r="F10952" s="10" t="s">
        <v>29181</v>
      </c>
      <c r="G10952" s="10" t="s">
        <v>28737</v>
      </c>
      <c r="H10952" s="11">
        <v>43294</v>
      </c>
      <c r="I10952" s="10">
        <v>2018</v>
      </c>
      <c r="J10952" s="10" t="s">
        <v>44795</v>
      </c>
      <c r="K10952" s="10">
        <v>310</v>
      </c>
      <c r="L10952" s="10" t="s">
        <v>44854</v>
      </c>
      <c r="M10952" s="10">
        <v>1</v>
      </c>
      <c r="N10952" s="10"/>
      <c r="O10952" s="10"/>
      <c r="P10952" s="10" t="s">
        <v>47747</v>
      </c>
      <c r="Q10952" s="10">
        <v>371.19200000000001</v>
      </c>
      <c r="R10952" s="10" t="s">
        <v>47748</v>
      </c>
      <c r="S10952" s="10" t="s">
        <v>5404</v>
      </c>
      <c r="T10952" s="10" t="s">
        <v>54</v>
      </c>
    </row>
    <row r="10953" spans="1:20" ht="14.5" x14ac:dyDescent="0.35">
      <c r="A10953" s="10" t="s">
        <v>47749</v>
      </c>
      <c r="B10953" s="10" t="str">
        <f>"9780738612294"</f>
        <v>9780738612294</v>
      </c>
      <c r="C10953" s="10" t="str">
        <f>"9780738688626"</f>
        <v>9780738688626</v>
      </c>
      <c r="D10953" s="10" t="s">
        <v>28876</v>
      </c>
      <c r="E10953" s="10" t="s">
        <v>43785</v>
      </c>
      <c r="F10953" s="10" t="s">
        <v>39534</v>
      </c>
      <c r="G10953" s="10" t="s">
        <v>6317</v>
      </c>
      <c r="H10953" s="11">
        <v>43031</v>
      </c>
      <c r="I10953" s="10">
        <v>2019</v>
      </c>
      <c r="J10953" s="10" t="s">
        <v>43785</v>
      </c>
      <c r="K10953" s="10">
        <v>243</v>
      </c>
      <c r="L10953" s="10" t="s">
        <v>47750</v>
      </c>
      <c r="M10953" s="10">
        <v>1</v>
      </c>
      <c r="N10953" s="10" t="s">
        <v>47751</v>
      </c>
      <c r="O10953" s="10"/>
      <c r="P10953" s="10" t="s">
        <v>47752</v>
      </c>
      <c r="Q10953" s="10">
        <v>370.11700000000002</v>
      </c>
      <c r="R10953" s="10" t="s">
        <v>47753</v>
      </c>
      <c r="S10953" s="10" t="s">
        <v>53</v>
      </c>
      <c r="T10953" s="10" t="s">
        <v>54</v>
      </c>
    </row>
    <row r="10954" spans="1:20" ht="14.5" x14ac:dyDescent="0.35">
      <c r="A10954" s="10" t="s">
        <v>47754</v>
      </c>
      <c r="B10954" s="10" t="str">
        <f>"9781771992329"</f>
        <v>9781771992329</v>
      </c>
      <c r="C10954" s="10" t="str">
        <f>"9781771992336"</f>
        <v>9781771992336</v>
      </c>
      <c r="D10954" s="10" t="s">
        <v>17293</v>
      </c>
      <c r="E10954" s="10" t="s">
        <v>17293</v>
      </c>
      <c r="F10954" s="10" t="s">
        <v>99</v>
      </c>
      <c r="G10954" s="10" t="s">
        <v>9536</v>
      </c>
      <c r="H10954" s="11">
        <v>43313</v>
      </c>
      <c r="I10954" s="10">
        <v>2018</v>
      </c>
      <c r="J10954" s="10" t="s">
        <v>17293</v>
      </c>
      <c r="K10954" s="10">
        <v>221</v>
      </c>
      <c r="L10954" s="10" t="s">
        <v>47755</v>
      </c>
      <c r="M10954" s="10">
        <v>1</v>
      </c>
      <c r="N10954" s="10" t="s">
        <v>17295</v>
      </c>
      <c r="O10954" s="10"/>
      <c r="P10954" s="10" t="s">
        <v>47756</v>
      </c>
      <c r="Q10954" s="10">
        <v>371.26</v>
      </c>
      <c r="R10954" s="10" t="s">
        <v>47757</v>
      </c>
      <c r="S10954" s="10" t="s">
        <v>53</v>
      </c>
      <c r="T10954" s="10" t="s">
        <v>54</v>
      </c>
    </row>
    <row r="10955" spans="1:20" ht="14.5" x14ac:dyDescent="0.35">
      <c r="A10955" s="10" t="s">
        <v>47758</v>
      </c>
      <c r="B10955" s="10" t="str">
        <f>"9781475840704"</f>
        <v>9781475840704</v>
      </c>
      <c r="C10955" s="10" t="str">
        <f>"9781475840728"</f>
        <v>9781475840728</v>
      </c>
      <c r="D10955" s="10" t="s">
        <v>9752</v>
      </c>
      <c r="E10955" s="10" t="s">
        <v>15187</v>
      </c>
      <c r="F10955" s="10" t="s">
        <v>9754</v>
      </c>
      <c r="G10955" s="10" t="s">
        <v>6317</v>
      </c>
      <c r="H10955" s="11">
        <v>43355</v>
      </c>
      <c r="I10955" s="10">
        <v>2018</v>
      </c>
      <c r="J10955" s="10" t="s">
        <v>15187</v>
      </c>
      <c r="K10955" s="10">
        <v>231</v>
      </c>
      <c r="L10955" s="10" t="s">
        <v>47759</v>
      </c>
      <c r="M10955" s="10">
        <v>1</v>
      </c>
      <c r="N10955" s="10"/>
      <c r="O10955" s="10"/>
      <c r="P10955" s="10" t="s">
        <v>47760</v>
      </c>
      <c r="Q10955" s="10"/>
      <c r="R10955" s="10" t="s">
        <v>47761</v>
      </c>
      <c r="S10955" s="10" t="s">
        <v>53</v>
      </c>
      <c r="T10955" s="10" t="s">
        <v>54</v>
      </c>
    </row>
    <row r="10956" spans="1:20" ht="14.5" x14ac:dyDescent="0.35">
      <c r="A10956" s="10" t="s">
        <v>47762</v>
      </c>
      <c r="B10956" s="10" t="str">
        <f>"9781475841213"</f>
        <v>9781475841213</v>
      </c>
      <c r="C10956" s="10" t="str">
        <f>"9781475841237"</f>
        <v>9781475841237</v>
      </c>
      <c r="D10956" s="10" t="s">
        <v>9752</v>
      </c>
      <c r="E10956" s="10" t="s">
        <v>15187</v>
      </c>
      <c r="F10956" s="10" t="s">
        <v>9754</v>
      </c>
      <c r="G10956" s="10" t="s">
        <v>6317</v>
      </c>
      <c r="H10956" s="11">
        <v>43369</v>
      </c>
      <c r="I10956" s="10">
        <v>2018</v>
      </c>
      <c r="J10956" s="10" t="s">
        <v>15187</v>
      </c>
      <c r="K10956" s="10">
        <v>133</v>
      </c>
      <c r="L10956" s="10" t="s">
        <v>47763</v>
      </c>
      <c r="M10956" s="10">
        <v>1</v>
      </c>
      <c r="N10956" s="10"/>
      <c r="O10956" s="10"/>
      <c r="P10956" s="10" t="s">
        <v>47764</v>
      </c>
      <c r="Q10956" s="10"/>
      <c r="R10956" s="10" t="s">
        <v>6832</v>
      </c>
      <c r="S10956" s="10" t="s">
        <v>53</v>
      </c>
      <c r="T10956" s="10" t="s">
        <v>54</v>
      </c>
    </row>
    <row r="10957" spans="1:20" ht="14.5" x14ac:dyDescent="0.35">
      <c r="A10957" s="10" t="s">
        <v>47765</v>
      </c>
      <c r="B10957" s="10" t="str">
        <f>"9781118955871"</f>
        <v>9781118955871</v>
      </c>
      <c r="C10957" s="10" t="str">
        <f>"9781118955895"</f>
        <v>9781118955895</v>
      </c>
      <c r="D10957" s="10" t="s">
        <v>6322</v>
      </c>
      <c r="E10957" s="10" t="s">
        <v>6323</v>
      </c>
      <c r="F10957" s="10" t="s">
        <v>4423</v>
      </c>
      <c r="G10957" s="10" t="s">
        <v>6317</v>
      </c>
      <c r="H10957" s="11">
        <v>43355</v>
      </c>
      <c r="I10957" s="10">
        <v>2018</v>
      </c>
      <c r="J10957" s="10" t="s">
        <v>8436</v>
      </c>
      <c r="K10957" s="10">
        <v>821</v>
      </c>
      <c r="L10957" s="10" t="s">
        <v>47766</v>
      </c>
      <c r="M10957" s="10">
        <v>1</v>
      </c>
      <c r="N10957" s="10" t="s">
        <v>41092</v>
      </c>
      <c r="O10957" s="10"/>
      <c r="P10957" s="10"/>
      <c r="Q10957" s="10">
        <v>371.10199999999998</v>
      </c>
      <c r="R10957" s="10" t="s">
        <v>47767</v>
      </c>
      <c r="S10957" s="10" t="s">
        <v>53</v>
      </c>
      <c r="T10957" s="10" t="s">
        <v>54</v>
      </c>
    </row>
    <row r="10958" spans="1:20" ht="14.5" x14ac:dyDescent="0.35">
      <c r="A10958" s="10" t="s">
        <v>47768</v>
      </c>
      <c r="B10958" s="10" t="str">
        <f>"9781620365366"</f>
        <v>9781620365366</v>
      </c>
      <c r="C10958" s="10" t="str">
        <f>"9781000975994"</f>
        <v>9781000975994</v>
      </c>
      <c r="D10958" s="10" t="s">
        <v>6350</v>
      </c>
      <c r="E10958" s="10" t="s">
        <v>6351</v>
      </c>
      <c r="F10958" s="10" t="s">
        <v>748</v>
      </c>
      <c r="G10958" s="10" t="s">
        <v>6352</v>
      </c>
      <c r="H10958" s="11">
        <v>43028</v>
      </c>
      <c r="I10958" s="10">
        <v>2017</v>
      </c>
      <c r="J10958" s="10" t="s">
        <v>6351</v>
      </c>
      <c r="K10958" s="10">
        <v>201</v>
      </c>
      <c r="L10958" s="10" t="s">
        <v>47769</v>
      </c>
      <c r="M10958" s="10">
        <v>1</v>
      </c>
      <c r="N10958" s="10"/>
      <c r="O10958" s="10"/>
      <c r="P10958" s="10" t="s">
        <v>47770</v>
      </c>
      <c r="Q10958" s="10">
        <v>374</v>
      </c>
      <c r="R10958" s="10" t="s">
        <v>47771</v>
      </c>
      <c r="S10958" s="10" t="s">
        <v>53</v>
      </c>
      <c r="T10958" s="10" t="s">
        <v>54</v>
      </c>
    </row>
    <row r="10959" spans="1:20" ht="14.5" x14ac:dyDescent="0.35">
      <c r="A10959" s="10" t="s">
        <v>47772</v>
      </c>
      <c r="B10959" s="10" t="str">
        <f>"9781620365328"</f>
        <v>9781620365328</v>
      </c>
      <c r="C10959" s="10" t="str">
        <f>"9781000975987"</f>
        <v>9781000975987</v>
      </c>
      <c r="D10959" s="10" t="s">
        <v>6350</v>
      </c>
      <c r="E10959" s="10" t="s">
        <v>6351</v>
      </c>
      <c r="F10959" s="10" t="s">
        <v>748</v>
      </c>
      <c r="G10959" s="10" t="s">
        <v>6352</v>
      </c>
      <c r="H10959" s="11">
        <v>43028</v>
      </c>
      <c r="I10959" s="10">
        <v>2017</v>
      </c>
      <c r="J10959" s="10" t="s">
        <v>6351</v>
      </c>
      <c r="K10959" s="10">
        <v>189</v>
      </c>
      <c r="L10959" s="10" t="s">
        <v>47769</v>
      </c>
      <c r="M10959" s="10">
        <v>1</v>
      </c>
      <c r="N10959" s="10"/>
      <c r="O10959" s="10"/>
      <c r="P10959" s="10" t="s">
        <v>47773</v>
      </c>
      <c r="Q10959" s="10">
        <v>374</v>
      </c>
      <c r="R10959" s="10" t="s">
        <v>47774</v>
      </c>
      <c r="S10959" s="10" t="s">
        <v>53</v>
      </c>
      <c r="T10959" s="10" t="s">
        <v>10454</v>
      </c>
    </row>
    <row r="10960" spans="1:20" ht="14.5" x14ac:dyDescent="0.35">
      <c r="A10960" s="10" t="s">
        <v>47775</v>
      </c>
      <c r="B10960" s="10" t="str">
        <f>"9781620365281"</f>
        <v>9781620365281</v>
      </c>
      <c r="C10960" s="10" t="str">
        <f>"9781000976120"</f>
        <v>9781000976120</v>
      </c>
      <c r="D10960" s="10" t="s">
        <v>6350</v>
      </c>
      <c r="E10960" s="10" t="s">
        <v>6351</v>
      </c>
      <c r="F10960" s="10" t="s">
        <v>748</v>
      </c>
      <c r="G10960" s="10" t="s">
        <v>6352</v>
      </c>
      <c r="H10960" s="11">
        <v>43028</v>
      </c>
      <c r="I10960" s="10">
        <v>2017</v>
      </c>
      <c r="J10960" s="10" t="s">
        <v>6351</v>
      </c>
      <c r="K10960" s="10">
        <v>185</v>
      </c>
      <c r="L10960" s="10" t="s">
        <v>47769</v>
      </c>
      <c r="M10960" s="10">
        <v>1</v>
      </c>
      <c r="N10960" s="10"/>
      <c r="O10960" s="10"/>
      <c r="P10960" s="10" t="s">
        <v>47770</v>
      </c>
      <c r="Q10960" s="10">
        <v>374</v>
      </c>
      <c r="R10960" s="10" t="s">
        <v>47776</v>
      </c>
      <c r="S10960" s="10" t="s">
        <v>53</v>
      </c>
      <c r="T10960" s="10" t="s">
        <v>54</v>
      </c>
    </row>
    <row r="10961" spans="1:20" ht="14.5" x14ac:dyDescent="0.35">
      <c r="A10961" s="10" t="s">
        <v>47777</v>
      </c>
      <c r="B10961" s="10" t="str">
        <f>"9781620365243"</f>
        <v>9781620365243</v>
      </c>
      <c r="C10961" s="10" t="str">
        <f>"9781000974423"</f>
        <v>9781000974423</v>
      </c>
      <c r="D10961" s="10" t="s">
        <v>6350</v>
      </c>
      <c r="E10961" s="10" t="s">
        <v>6351</v>
      </c>
      <c r="F10961" s="10" t="s">
        <v>748</v>
      </c>
      <c r="G10961" s="10" t="s">
        <v>6352</v>
      </c>
      <c r="H10961" s="11">
        <v>43028</v>
      </c>
      <c r="I10961" s="10">
        <v>2017</v>
      </c>
      <c r="J10961" s="10" t="s">
        <v>6351</v>
      </c>
      <c r="K10961" s="10">
        <v>179</v>
      </c>
      <c r="L10961" s="10" t="s">
        <v>47769</v>
      </c>
      <c r="M10961" s="10">
        <v>1</v>
      </c>
      <c r="N10961" s="10"/>
      <c r="O10961" s="10"/>
      <c r="P10961" s="10" t="s">
        <v>47770</v>
      </c>
      <c r="Q10961" s="10">
        <v>374</v>
      </c>
      <c r="R10961" s="10" t="s">
        <v>47774</v>
      </c>
      <c r="S10961" s="10" t="s">
        <v>53</v>
      </c>
      <c r="T10961" s="10" t="s">
        <v>54</v>
      </c>
    </row>
    <row r="10962" spans="1:20" ht="14.5" x14ac:dyDescent="0.35">
      <c r="A10962" s="10" t="s">
        <v>47778</v>
      </c>
      <c r="B10962" s="10" t="str">
        <f>"9781620367759"</f>
        <v>9781620367759</v>
      </c>
      <c r="C10962" s="10" t="str">
        <f>"9781000975901"</f>
        <v>9781000975901</v>
      </c>
      <c r="D10962" s="10" t="s">
        <v>6350</v>
      </c>
      <c r="E10962" s="10" t="s">
        <v>6351</v>
      </c>
      <c r="F10962" s="10" t="s">
        <v>748</v>
      </c>
      <c r="G10962" s="10" t="s">
        <v>6352</v>
      </c>
      <c r="H10962" s="11">
        <v>43299</v>
      </c>
      <c r="I10962" s="10">
        <v>2018</v>
      </c>
      <c r="J10962" s="10" t="s">
        <v>6351</v>
      </c>
      <c r="K10962" s="10">
        <v>255</v>
      </c>
      <c r="L10962" s="10" t="s">
        <v>47779</v>
      </c>
      <c r="M10962" s="10">
        <v>1</v>
      </c>
      <c r="N10962" s="10"/>
      <c r="O10962" s="10"/>
      <c r="P10962" s="10" t="s">
        <v>47780</v>
      </c>
      <c r="Q10962" s="10">
        <v>378.00700000000001</v>
      </c>
      <c r="R10962" s="10" t="s">
        <v>33773</v>
      </c>
      <c r="S10962" s="10" t="s">
        <v>53</v>
      </c>
      <c r="T10962" s="10" t="s">
        <v>54</v>
      </c>
    </row>
    <row r="10963" spans="1:20" ht="14.5" x14ac:dyDescent="0.35">
      <c r="A10963" s="10" t="s">
        <v>47781</v>
      </c>
      <c r="B10963" s="10" t="str">
        <f>"9780891286882"</f>
        <v>9780891286882</v>
      </c>
      <c r="C10963" s="10" t="str">
        <f>"9780891287964"</f>
        <v>9780891287964</v>
      </c>
      <c r="D10963" s="10" t="s">
        <v>43425</v>
      </c>
      <c r="E10963" s="10" t="s">
        <v>43426</v>
      </c>
      <c r="F10963" s="10" t="s">
        <v>13068</v>
      </c>
      <c r="G10963" s="10" t="s">
        <v>6317</v>
      </c>
      <c r="H10963" s="11">
        <v>43040</v>
      </c>
      <c r="I10963" s="10">
        <v>2018</v>
      </c>
      <c r="J10963" s="10" t="s">
        <v>43426</v>
      </c>
      <c r="K10963" s="10">
        <v>372</v>
      </c>
      <c r="L10963" s="10" t="s">
        <v>47782</v>
      </c>
      <c r="M10963" s="10">
        <v>2</v>
      </c>
      <c r="N10963" s="10"/>
      <c r="O10963" s="10"/>
      <c r="P10963" s="10" t="s">
        <v>47783</v>
      </c>
      <c r="Q10963" s="10">
        <v>371.911</v>
      </c>
      <c r="R10963" s="10" t="s">
        <v>47784</v>
      </c>
      <c r="S10963" s="10" t="s">
        <v>53</v>
      </c>
      <c r="T10963" s="10" t="s">
        <v>6472</v>
      </c>
    </row>
    <row r="10964" spans="1:20" ht="14.5" x14ac:dyDescent="0.35">
      <c r="A10964" s="10" t="s">
        <v>47785</v>
      </c>
      <c r="B10964" s="10" t="str">
        <f>"9789657182918"</f>
        <v>9789657182918</v>
      </c>
      <c r="C10964" s="10" t="str">
        <f>"9789657763933"</f>
        <v>9789657763933</v>
      </c>
      <c r="D10964" s="10" t="s">
        <v>47786</v>
      </c>
      <c r="E10964" s="10" t="s">
        <v>47787</v>
      </c>
      <c r="F10964" s="10" t="s">
        <v>47788</v>
      </c>
      <c r="G10964" s="10" t="s">
        <v>47789</v>
      </c>
      <c r="H10964" s="11">
        <v>39600</v>
      </c>
      <c r="I10964" s="10">
        <v>2008</v>
      </c>
      <c r="J10964" s="10" t="s">
        <v>47787</v>
      </c>
      <c r="K10964" s="10">
        <v>489</v>
      </c>
      <c r="L10964" s="10" t="s">
        <v>47790</v>
      </c>
      <c r="M10964" s="10">
        <v>1</v>
      </c>
      <c r="N10964" s="10"/>
      <c r="O10964" s="10"/>
      <c r="P10964" s="10"/>
      <c r="Q10964" s="10"/>
      <c r="R10964" s="10"/>
      <c r="S10964" s="10" t="s">
        <v>47791</v>
      </c>
      <c r="T10964" s="10" t="s">
        <v>54</v>
      </c>
    </row>
    <row r="10965" spans="1:20" ht="14.5" x14ac:dyDescent="0.35">
      <c r="A10965" s="10" t="s">
        <v>47792</v>
      </c>
      <c r="B10965" s="10" t="str">
        <f>"9780891287353"</f>
        <v>9780891287353</v>
      </c>
      <c r="C10965" s="10" t="str">
        <f>"9780891287377"</f>
        <v>9780891287377</v>
      </c>
      <c r="D10965" s="10" t="s">
        <v>43425</v>
      </c>
      <c r="E10965" s="10" t="s">
        <v>43426</v>
      </c>
      <c r="F10965" s="10" t="s">
        <v>13068</v>
      </c>
      <c r="G10965" s="10" t="s">
        <v>6317</v>
      </c>
      <c r="H10965" s="11">
        <v>42431</v>
      </c>
      <c r="I10965" s="10">
        <v>2016</v>
      </c>
      <c r="J10965" s="10" t="s">
        <v>43426</v>
      </c>
      <c r="K10965" s="10">
        <v>172</v>
      </c>
      <c r="L10965" s="10" t="s">
        <v>47793</v>
      </c>
      <c r="M10965" s="10">
        <v>1</v>
      </c>
      <c r="N10965" s="10"/>
      <c r="O10965" s="10"/>
      <c r="P10965" s="10" t="s">
        <v>47794</v>
      </c>
      <c r="Q10965" s="10" t="s">
        <v>47795</v>
      </c>
      <c r="R10965" s="10" t="s">
        <v>47796</v>
      </c>
      <c r="S10965" s="10" t="s">
        <v>53</v>
      </c>
      <c r="T10965" s="10" t="s">
        <v>6472</v>
      </c>
    </row>
    <row r="10966" spans="1:20" ht="14.5" x14ac:dyDescent="0.35">
      <c r="A10966" s="10" t="s">
        <v>47797</v>
      </c>
      <c r="B10966" s="10" t="str">
        <f>"9780891284888"</f>
        <v>9780891284888</v>
      </c>
      <c r="C10966" s="10" t="str">
        <f>"9780891286547"</f>
        <v>9780891286547</v>
      </c>
      <c r="D10966" s="10" t="s">
        <v>43425</v>
      </c>
      <c r="E10966" s="10" t="s">
        <v>43426</v>
      </c>
      <c r="F10966" s="10" t="s">
        <v>13068</v>
      </c>
      <c r="G10966" s="10" t="s">
        <v>6317</v>
      </c>
      <c r="H10966" s="11">
        <v>41699</v>
      </c>
      <c r="I10966" s="10">
        <v>2014</v>
      </c>
      <c r="J10966" s="10" t="s">
        <v>43426</v>
      </c>
      <c r="K10966" s="10">
        <v>593</v>
      </c>
      <c r="L10966" s="10" t="s">
        <v>47798</v>
      </c>
      <c r="M10966" s="10">
        <v>2</v>
      </c>
      <c r="N10966" s="10"/>
      <c r="O10966" s="10"/>
      <c r="P10966" s="10" t="s">
        <v>47799</v>
      </c>
      <c r="Q10966" s="10" t="s">
        <v>47800</v>
      </c>
      <c r="R10966" s="10" t="s">
        <v>47801</v>
      </c>
      <c r="S10966" s="10" t="s">
        <v>53</v>
      </c>
      <c r="T10966" s="10" t="s">
        <v>6363</v>
      </c>
    </row>
    <row r="10967" spans="1:20" ht="14.5" x14ac:dyDescent="0.35">
      <c r="A10967" s="10" t="s">
        <v>47802</v>
      </c>
      <c r="B10967" s="10" t="str">
        <f>"9780891287391"</f>
        <v>9780891287391</v>
      </c>
      <c r="C10967" s="10" t="str">
        <f>"9780891287414"</f>
        <v>9780891287414</v>
      </c>
      <c r="D10967" s="10" t="s">
        <v>43425</v>
      </c>
      <c r="E10967" s="10" t="s">
        <v>43426</v>
      </c>
      <c r="F10967" s="10" t="s">
        <v>13068</v>
      </c>
      <c r="G10967" s="10" t="s">
        <v>6317</v>
      </c>
      <c r="H10967" s="11">
        <v>42675</v>
      </c>
      <c r="I10967" s="10">
        <v>2017</v>
      </c>
      <c r="J10967" s="10" t="s">
        <v>43426</v>
      </c>
      <c r="K10967" s="10">
        <v>196</v>
      </c>
      <c r="L10967" s="10" t="s">
        <v>47803</v>
      </c>
      <c r="M10967" s="10">
        <v>2</v>
      </c>
      <c r="N10967" s="10"/>
      <c r="O10967" s="10"/>
      <c r="P10967" s="10" t="s">
        <v>47804</v>
      </c>
      <c r="Q10967" s="10" t="s">
        <v>22902</v>
      </c>
      <c r="R10967" s="10" t="s">
        <v>47805</v>
      </c>
      <c r="S10967" s="10" t="s">
        <v>53</v>
      </c>
      <c r="T10967" s="10" t="s">
        <v>54</v>
      </c>
    </row>
    <row r="10968" spans="1:20" ht="14.5" x14ac:dyDescent="0.35">
      <c r="A10968" s="10" t="s">
        <v>47806</v>
      </c>
      <c r="B10968" s="10" t="str">
        <f>"9789292610302"</f>
        <v>9789292610302</v>
      </c>
      <c r="C10968" s="10" t="str">
        <f>"9789292610319"</f>
        <v>9789292610319</v>
      </c>
      <c r="D10968" s="10" t="s">
        <v>41491</v>
      </c>
      <c r="E10968" s="10" t="s">
        <v>41491</v>
      </c>
      <c r="F10968" s="10" t="s">
        <v>530</v>
      </c>
      <c r="G10968" s="10" t="s">
        <v>41492</v>
      </c>
      <c r="H10968" s="11">
        <v>43099</v>
      </c>
      <c r="I10968" s="10">
        <v>2017</v>
      </c>
      <c r="J10968" s="10" t="s">
        <v>41491</v>
      </c>
      <c r="K10968" s="10">
        <v>229</v>
      </c>
      <c r="L10968" s="10"/>
      <c r="M10968" s="10">
        <v>1</v>
      </c>
      <c r="N10968" s="10" t="s">
        <v>42794</v>
      </c>
      <c r="O10968" s="10"/>
      <c r="P10968" s="10" t="s">
        <v>47807</v>
      </c>
      <c r="Q10968" s="10">
        <v>371.26</v>
      </c>
      <c r="R10968" s="10" t="s">
        <v>47808</v>
      </c>
      <c r="S10968" s="10" t="s">
        <v>53</v>
      </c>
      <c r="T10968" s="10" t="s">
        <v>54</v>
      </c>
    </row>
    <row r="10969" spans="1:20" ht="14.5" x14ac:dyDescent="0.35">
      <c r="A10969" s="10" t="s">
        <v>47809</v>
      </c>
      <c r="B10969" s="10" t="str">
        <f>"9789292610326"</f>
        <v>9789292610326</v>
      </c>
      <c r="C10969" s="10" t="str">
        <f>"9789292610333"</f>
        <v>9789292610333</v>
      </c>
      <c r="D10969" s="10" t="s">
        <v>41491</v>
      </c>
      <c r="E10969" s="10" t="s">
        <v>41491</v>
      </c>
      <c r="F10969" s="10" t="s">
        <v>530</v>
      </c>
      <c r="G10969" s="10" t="s">
        <v>41492</v>
      </c>
      <c r="H10969" s="11">
        <v>43099</v>
      </c>
      <c r="I10969" s="10">
        <v>2017</v>
      </c>
      <c r="J10969" s="10" t="s">
        <v>41491</v>
      </c>
      <c r="K10969" s="10">
        <v>170</v>
      </c>
      <c r="L10969" s="10"/>
      <c r="M10969" s="10">
        <v>1</v>
      </c>
      <c r="N10969" s="10" t="s">
        <v>42794</v>
      </c>
      <c r="O10969" s="10"/>
      <c r="P10969" s="10" t="s">
        <v>47810</v>
      </c>
      <c r="Q10969" s="10">
        <v>370.95400000000001</v>
      </c>
      <c r="R10969" s="10" t="s">
        <v>47811</v>
      </c>
      <c r="S10969" s="10" t="s">
        <v>53</v>
      </c>
      <c r="T10969" s="10" t="s">
        <v>54</v>
      </c>
    </row>
    <row r="10970" spans="1:20" ht="14.5" x14ac:dyDescent="0.35">
      <c r="A10970" s="10" t="s">
        <v>47812</v>
      </c>
      <c r="B10970" s="10" t="str">
        <f>"9781945349676"</f>
        <v>9781945349676</v>
      </c>
      <c r="C10970" s="10" t="str">
        <f>"9781945349683"</f>
        <v>9781945349683</v>
      </c>
      <c r="D10970" s="10" t="s">
        <v>37580</v>
      </c>
      <c r="E10970" s="10" t="s">
        <v>37581</v>
      </c>
      <c r="F10970" s="10" t="s">
        <v>37623</v>
      </c>
      <c r="G10970" s="10" t="s">
        <v>6317</v>
      </c>
      <c r="H10970" s="11">
        <v>43329</v>
      </c>
      <c r="I10970" s="10">
        <v>2019</v>
      </c>
      <c r="J10970" s="10" t="s">
        <v>37581</v>
      </c>
      <c r="K10970" s="10">
        <v>224</v>
      </c>
      <c r="L10970" s="10" t="s">
        <v>47813</v>
      </c>
      <c r="M10970" s="10">
        <v>1</v>
      </c>
      <c r="N10970" s="10" t="s">
        <v>44310</v>
      </c>
      <c r="O10970" s="10"/>
      <c r="P10970" s="10" t="s">
        <v>47814</v>
      </c>
      <c r="Q10970" s="10"/>
      <c r="R10970" s="10" t="s">
        <v>47815</v>
      </c>
      <c r="S10970" s="10" t="s">
        <v>53</v>
      </c>
      <c r="T10970" s="10" t="s">
        <v>54</v>
      </c>
    </row>
    <row r="10971" spans="1:20" ht="14.5" x14ac:dyDescent="0.35">
      <c r="A10971" s="10" t="s">
        <v>47816</v>
      </c>
      <c r="B10971" s="10" t="str">
        <f>"9781620365960"</f>
        <v>9781620365960</v>
      </c>
      <c r="C10971" s="10" t="str">
        <f>"9781000976670"</f>
        <v>9781000976670</v>
      </c>
      <c r="D10971" s="10" t="s">
        <v>6350</v>
      </c>
      <c r="E10971" s="10" t="s">
        <v>6351</v>
      </c>
      <c r="F10971" s="10" t="s">
        <v>748</v>
      </c>
      <c r="G10971" s="10" t="s">
        <v>6352</v>
      </c>
      <c r="H10971" s="11">
        <v>43319</v>
      </c>
      <c r="I10971" s="10">
        <v>2018</v>
      </c>
      <c r="J10971" s="10" t="s">
        <v>6351</v>
      </c>
      <c r="K10971" s="10">
        <v>211</v>
      </c>
      <c r="L10971" s="10" t="s">
        <v>47817</v>
      </c>
      <c r="M10971" s="10">
        <v>1</v>
      </c>
      <c r="N10971" s="10"/>
      <c r="O10971" s="10"/>
      <c r="P10971" s="10" t="s">
        <v>47818</v>
      </c>
      <c r="Q10971" s="10">
        <v>378.00700000000001</v>
      </c>
      <c r="R10971" s="10" t="s">
        <v>24676</v>
      </c>
      <c r="S10971" s="10" t="s">
        <v>53</v>
      </c>
      <c r="T10971" s="10" t="s">
        <v>54</v>
      </c>
    </row>
    <row r="10972" spans="1:20" ht="14.5" x14ac:dyDescent="0.35">
      <c r="A10972" s="10" t="s">
        <v>47819</v>
      </c>
      <c r="B10972" s="10" t="str">
        <f>"9788021086623"</f>
        <v>9788021086623</v>
      </c>
      <c r="C10972" s="10" t="str">
        <f>"9788021086630"</f>
        <v>9788021086630</v>
      </c>
      <c r="D10972" s="10" t="s">
        <v>45447</v>
      </c>
      <c r="E10972" s="10" t="s">
        <v>45448</v>
      </c>
      <c r="F10972" s="10" t="s">
        <v>4892</v>
      </c>
      <c r="G10972" s="10" t="s">
        <v>30936</v>
      </c>
      <c r="H10972" s="11">
        <v>42917</v>
      </c>
      <c r="I10972" s="10">
        <v>2017</v>
      </c>
      <c r="J10972" s="10" t="s">
        <v>46362</v>
      </c>
      <c r="K10972" s="10">
        <v>126</v>
      </c>
      <c r="L10972" s="10" t="s">
        <v>47820</v>
      </c>
      <c r="M10972" s="10">
        <v>1</v>
      </c>
      <c r="N10972" s="10"/>
      <c r="O10972" s="10"/>
      <c r="P10972" s="10" t="s">
        <v>47821</v>
      </c>
      <c r="Q10972" s="10">
        <v>709.04</v>
      </c>
      <c r="R10972" s="10" t="s">
        <v>47822</v>
      </c>
      <c r="S10972" s="10" t="s">
        <v>4212</v>
      </c>
      <c r="T10972" s="10" t="s">
        <v>6384</v>
      </c>
    </row>
    <row r="10973" spans="1:20" ht="14.5" x14ac:dyDescent="0.35">
      <c r="A10973" s="10" t="s">
        <v>47823</v>
      </c>
      <c r="B10973" s="10" t="str">
        <f>"9781557538185"</f>
        <v>9781557538185</v>
      </c>
      <c r="C10973" s="10" t="str">
        <f>"9781612495293"</f>
        <v>9781612495293</v>
      </c>
      <c r="D10973" s="10" t="s">
        <v>9533</v>
      </c>
      <c r="E10973" s="10" t="s">
        <v>4024</v>
      </c>
      <c r="F10973" s="10" t="s">
        <v>31319</v>
      </c>
      <c r="G10973" s="10" t="s">
        <v>6317</v>
      </c>
      <c r="H10973" s="11">
        <v>43327</v>
      </c>
      <c r="I10973" s="10">
        <v>2018</v>
      </c>
      <c r="J10973" s="10" t="s">
        <v>4024</v>
      </c>
      <c r="K10973" s="10">
        <v>150</v>
      </c>
      <c r="L10973" s="10" t="s">
        <v>47824</v>
      </c>
      <c r="M10973" s="10">
        <v>1</v>
      </c>
      <c r="N10973" s="10"/>
      <c r="O10973" s="10"/>
      <c r="P10973" s="10" t="s">
        <v>47825</v>
      </c>
      <c r="Q10973" s="10">
        <v>649.80845999999997</v>
      </c>
      <c r="R10973" s="10" t="s">
        <v>47826</v>
      </c>
      <c r="S10973" s="10" t="s">
        <v>53</v>
      </c>
      <c r="T10973" s="10" t="s">
        <v>11762</v>
      </c>
    </row>
    <row r="10974" spans="1:20" ht="14.5" x14ac:dyDescent="0.35">
      <c r="A10974" s="10" t="s">
        <v>47827</v>
      </c>
      <c r="B10974" s="10" t="str">
        <f>"9781416626176"</f>
        <v>9781416626176</v>
      </c>
      <c r="C10974" s="10" t="str">
        <f>"9781416626190"</f>
        <v>9781416626190</v>
      </c>
      <c r="D10974" s="10" t="s">
        <v>10014</v>
      </c>
      <c r="E10974" s="10" t="s">
        <v>10015</v>
      </c>
      <c r="F10974" s="10" t="s">
        <v>201</v>
      </c>
      <c r="G10974" s="10" t="s">
        <v>6317</v>
      </c>
      <c r="H10974" s="11">
        <v>43311</v>
      </c>
      <c r="I10974" s="10">
        <v>2018</v>
      </c>
      <c r="J10974" s="10" t="s">
        <v>10015</v>
      </c>
      <c r="K10974" s="10">
        <v>174</v>
      </c>
      <c r="L10974" s="10" t="s">
        <v>23251</v>
      </c>
      <c r="M10974" s="10">
        <v>1</v>
      </c>
      <c r="N10974" s="10"/>
      <c r="O10974" s="10"/>
      <c r="P10974" s="10" t="s">
        <v>47828</v>
      </c>
      <c r="Q10974" s="10">
        <v>372.43</v>
      </c>
      <c r="R10974" s="10" t="s">
        <v>47829</v>
      </c>
      <c r="S10974" s="10" t="s">
        <v>53</v>
      </c>
      <c r="T10974" s="10" t="s">
        <v>54</v>
      </c>
    </row>
    <row r="10975" spans="1:20" ht="14.5" x14ac:dyDescent="0.35">
      <c r="A10975" s="10" t="s">
        <v>47830</v>
      </c>
      <c r="B10975" s="10" t="str">
        <f>"9781416626121"</f>
        <v>9781416626121</v>
      </c>
      <c r="C10975" s="10" t="str">
        <f>"9781416626145"</f>
        <v>9781416626145</v>
      </c>
      <c r="D10975" s="10" t="s">
        <v>10014</v>
      </c>
      <c r="E10975" s="10" t="s">
        <v>10015</v>
      </c>
      <c r="F10975" s="10" t="s">
        <v>201</v>
      </c>
      <c r="G10975" s="10" t="s">
        <v>6317</v>
      </c>
      <c r="H10975" s="11">
        <v>43311</v>
      </c>
      <c r="I10975" s="10">
        <v>2018</v>
      </c>
      <c r="J10975" s="10" t="s">
        <v>10015</v>
      </c>
      <c r="K10975" s="10">
        <v>304</v>
      </c>
      <c r="L10975" s="10" t="s">
        <v>47831</v>
      </c>
      <c r="M10975" s="10">
        <v>1</v>
      </c>
      <c r="N10975" s="10"/>
      <c r="O10975" s="10"/>
      <c r="P10975" s="10" t="s">
        <v>47832</v>
      </c>
      <c r="Q10975" s="10" t="s">
        <v>9360</v>
      </c>
      <c r="R10975" s="10" t="s">
        <v>47833</v>
      </c>
      <c r="S10975" s="10" t="s">
        <v>53</v>
      </c>
      <c r="T10975" s="10" t="s">
        <v>54</v>
      </c>
    </row>
    <row r="10976" spans="1:20" ht="14.5" x14ac:dyDescent="0.35">
      <c r="A10976" s="10" t="s">
        <v>18111</v>
      </c>
      <c r="B10976" s="10" t="str">
        <f>"9781416626343"</f>
        <v>9781416626343</v>
      </c>
      <c r="C10976" s="10" t="str">
        <f>"9781416626367"</f>
        <v>9781416626367</v>
      </c>
      <c r="D10976" s="10" t="s">
        <v>10014</v>
      </c>
      <c r="E10976" s="10" t="s">
        <v>10015</v>
      </c>
      <c r="F10976" s="10" t="s">
        <v>201</v>
      </c>
      <c r="G10976" s="10" t="s">
        <v>6317</v>
      </c>
      <c r="H10976" s="11">
        <v>43311</v>
      </c>
      <c r="I10976" s="10">
        <v>2018</v>
      </c>
      <c r="J10976" s="10" t="s">
        <v>10015</v>
      </c>
      <c r="K10976" s="10">
        <v>330</v>
      </c>
      <c r="L10976" s="10" t="s">
        <v>10092</v>
      </c>
      <c r="M10976" s="10">
        <v>2</v>
      </c>
      <c r="N10976" s="10"/>
      <c r="O10976" s="10"/>
      <c r="P10976" s="10"/>
      <c r="Q10976" s="10">
        <v>371.10199999999998</v>
      </c>
      <c r="R10976" s="10"/>
      <c r="S10976" s="10" t="s">
        <v>53</v>
      </c>
      <c r="T10976" s="10" t="s">
        <v>54</v>
      </c>
    </row>
    <row r="10977" spans="1:20" ht="14.5" x14ac:dyDescent="0.35">
      <c r="A10977" s="10" t="s">
        <v>47834</v>
      </c>
      <c r="B10977" s="10" t="str">
        <f>"9780891287650"</f>
        <v>9780891287650</v>
      </c>
      <c r="C10977" s="10" t="str">
        <f>"9780891287674"</f>
        <v>9780891287674</v>
      </c>
      <c r="D10977" s="10" t="s">
        <v>43425</v>
      </c>
      <c r="E10977" s="10" t="s">
        <v>43426</v>
      </c>
      <c r="F10977" s="10" t="s">
        <v>13068</v>
      </c>
      <c r="G10977" s="10" t="s">
        <v>6317</v>
      </c>
      <c r="H10977" s="11">
        <v>42948</v>
      </c>
      <c r="I10977" s="10">
        <v>2018</v>
      </c>
      <c r="J10977" s="10" t="s">
        <v>43426</v>
      </c>
      <c r="K10977" s="10">
        <v>462</v>
      </c>
      <c r="L10977" s="10" t="s">
        <v>47835</v>
      </c>
      <c r="M10977" s="10">
        <v>1</v>
      </c>
      <c r="N10977" s="10"/>
      <c r="O10977" s="10"/>
      <c r="P10977" s="10" t="s">
        <v>47836</v>
      </c>
      <c r="Q10977" s="10" t="s">
        <v>41691</v>
      </c>
      <c r="R10977" s="10" t="s">
        <v>47837</v>
      </c>
      <c r="S10977" s="10" t="s">
        <v>53</v>
      </c>
      <c r="T10977" s="10" t="s">
        <v>6526</v>
      </c>
    </row>
    <row r="10978" spans="1:20" ht="14.5" x14ac:dyDescent="0.35">
      <c r="A10978" s="10" t="s">
        <v>47838</v>
      </c>
      <c r="B10978" s="10" t="str">
        <f>"9781620360873"</f>
        <v>9781620360873</v>
      </c>
      <c r="C10978" s="10" t="str">
        <f>"9781000972290"</f>
        <v>9781000972290</v>
      </c>
      <c r="D10978" s="10" t="s">
        <v>6350</v>
      </c>
      <c r="E10978" s="10" t="s">
        <v>6351</v>
      </c>
      <c r="F10978" s="10" t="s">
        <v>748</v>
      </c>
      <c r="G10978" s="10" t="s">
        <v>6352</v>
      </c>
      <c r="H10978" s="11">
        <v>43293</v>
      </c>
      <c r="I10978" s="10">
        <v>2018</v>
      </c>
      <c r="J10978" s="10" t="s">
        <v>6351</v>
      </c>
      <c r="K10978" s="10">
        <v>281</v>
      </c>
      <c r="L10978" s="10" t="s">
        <v>47839</v>
      </c>
      <c r="M10978" s="10">
        <v>1</v>
      </c>
      <c r="N10978" s="10"/>
      <c r="O10978" s="10"/>
      <c r="P10978" s="10" t="s">
        <v>47840</v>
      </c>
      <c r="Q10978" s="10">
        <v>371.19</v>
      </c>
      <c r="R10978" s="10" t="s">
        <v>47841</v>
      </c>
      <c r="S10978" s="10" t="s">
        <v>53</v>
      </c>
      <c r="T10978" s="10" t="s">
        <v>54</v>
      </c>
    </row>
    <row r="10979" spans="1:20" ht="14.5" x14ac:dyDescent="0.35">
      <c r="A10979" s="10" t="s">
        <v>47842</v>
      </c>
      <c r="B10979" s="10" t="str">
        <f>"9781556203855"</f>
        <v>9781556203855</v>
      </c>
      <c r="C10979" s="10" t="str">
        <f>"9781119535294"</f>
        <v>9781119535294</v>
      </c>
      <c r="D10979" s="10" t="s">
        <v>6322</v>
      </c>
      <c r="E10979" s="10" t="s">
        <v>2011</v>
      </c>
      <c r="F10979" s="10" t="s">
        <v>4423</v>
      </c>
      <c r="G10979" s="10" t="s">
        <v>6317</v>
      </c>
      <c r="H10979" s="11">
        <v>43313</v>
      </c>
      <c r="I10979" s="10">
        <v>2019</v>
      </c>
      <c r="J10979" s="10" t="s">
        <v>2011</v>
      </c>
      <c r="K10979" s="10">
        <v>274</v>
      </c>
      <c r="L10979" s="10" t="s">
        <v>47843</v>
      </c>
      <c r="M10979" s="10">
        <v>4</v>
      </c>
      <c r="N10979" s="10"/>
      <c r="O10979" s="10"/>
      <c r="P10979" s="10"/>
      <c r="Q10979" s="10">
        <v>158.30000000000001</v>
      </c>
      <c r="R10979" s="10" t="s">
        <v>43693</v>
      </c>
      <c r="S10979" s="10" t="s">
        <v>53</v>
      </c>
      <c r="T10979" s="10" t="s">
        <v>483</v>
      </c>
    </row>
    <row r="10980" spans="1:20" ht="14.5" x14ac:dyDescent="0.35">
      <c r="A10980" s="10" t="s">
        <v>47844</v>
      </c>
      <c r="B10980" s="10" t="str">
        <f>"9781787541108"</f>
        <v>9781787541108</v>
      </c>
      <c r="C10980" s="10" t="str">
        <f>"9781787438361"</f>
        <v>9781787438361</v>
      </c>
      <c r="D10980" s="10" t="s">
        <v>8699</v>
      </c>
      <c r="E10980" s="10" t="s">
        <v>8699</v>
      </c>
      <c r="F10980" s="10" t="s">
        <v>559</v>
      </c>
      <c r="G10980" s="10" t="s">
        <v>6352</v>
      </c>
      <c r="H10980" s="11">
        <v>43335</v>
      </c>
      <c r="I10980" s="10">
        <v>2018</v>
      </c>
      <c r="J10980" s="10" t="s">
        <v>8699</v>
      </c>
      <c r="K10980" s="10">
        <v>273</v>
      </c>
      <c r="L10980" s="10" t="s">
        <v>47845</v>
      </c>
      <c r="M10980" s="10">
        <v>1</v>
      </c>
      <c r="N10980" s="10" t="s">
        <v>47460</v>
      </c>
      <c r="O10980" s="10"/>
      <c r="P10980" s="10" t="s">
        <v>26825</v>
      </c>
      <c r="Q10980" s="10" t="s">
        <v>8916</v>
      </c>
      <c r="R10980" s="10"/>
      <c r="S10980" s="10" t="s">
        <v>53</v>
      </c>
      <c r="T10980" s="10" t="s">
        <v>54</v>
      </c>
    </row>
    <row r="10981" spans="1:20" ht="14.5" x14ac:dyDescent="0.35">
      <c r="A10981" s="10" t="s">
        <v>47846</v>
      </c>
      <c r="B10981" s="10" t="str">
        <f>"9781475841183"</f>
        <v>9781475841183</v>
      </c>
      <c r="C10981" s="10" t="str">
        <f>"9781475841206"</f>
        <v>9781475841206</v>
      </c>
      <c r="D10981" s="10" t="s">
        <v>9752</v>
      </c>
      <c r="E10981" s="10" t="s">
        <v>15187</v>
      </c>
      <c r="F10981" s="10" t="s">
        <v>9754</v>
      </c>
      <c r="G10981" s="10" t="s">
        <v>6317</v>
      </c>
      <c r="H10981" s="11">
        <v>43369</v>
      </c>
      <c r="I10981" s="10">
        <v>2018</v>
      </c>
      <c r="J10981" s="10" t="s">
        <v>15187</v>
      </c>
      <c r="K10981" s="10">
        <v>109</v>
      </c>
      <c r="L10981" s="10" t="s">
        <v>47763</v>
      </c>
      <c r="M10981" s="10">
        <v>1</v>
      </c>
      <c r="N10981" s="10"/>
      <c r="O10981" s="10"/>
      <c r="P10981" s="10"/>
      <c r="Q10981" s="10"/>
      <c r="R10981" s="10"/>
      <c r="S10981" s="10" t="s">
        <v>53</v>
      </c>
      <c r="T10981" s="10" t="s">
        <v>54</v>
      </c>
    </row>
    <row r="10982" spans="1:20" ht="14.5" x14ac:dyDescent="0.35">
      <c r="A10982" s="10" t="s">
        <v>47847</v>
      </c>
      <c r="B10982" s="10" t="str">
        <f>"9781475842395"</f>
        <v>9781475842395</v>
      </c>
      <c r="C10982" s="10" t="str">
        <f>"9781475842401"</f>
        <v>9781475842401</v>
      </c>
      <c r="D10982" s="10" t="s">
        <v>9752</v>
      </c>
      <c r="E10982" s="10" t="s">
        <v>15187</v>
      </c>
      <c r="F10982" s="10" t="s">
        <v>9754</v>
      </c>
      <c r="G10982" s="10" t="s">
        <v>6317</v>
      </c>
      <c r="H10982" s="11">
        <v>43365</v>
      </c>
      <c r="I10982" s="10">
        <v>2018</v>
      </c>
      <c r="J10982" s="10" t="s">
        <v>15187</v>
      </c>
      <c r="K10982" s="10">
        <v>256</v>
      </c>
      <c r="L10982" s="10" t="s">
        <v>47848</v>
      </c>
      <c r="M10982" s="10">
        <v>1</v>
      </c>
      <c r="N10982" s="10"/>
      <c r="O10982" s="10"/>
      <c r="P10982" s="10" t="s">
        <v>47849</v>
      </c>
      <c r="Q10982" s="10">
        <v>820.93529999999998</v>
      </c>
      <c r="R10982" s="10" t="s">
        <v>47850</v>
      </c>
      <c r="S10982" s="10" t="s">
        <v>53</v>
      </c>
      <c r="T10982" s="10" t="s">
        <v>1166</v>
      </c>
    </row>
    <row r="10983" spans="1:20" ht="14.5" x14ac:dyDescent="0.35">
      <c r="A10983" s="10" t="s">
        <v>47851</v>
      </c>
      <c r="B10983" s="10" t="str">
        <f>"9781475841916"</f>
        <v>9781475841916</v>
      </c>
      <c r="C10983" s="10" t="str">
        <f>"9781475841923"</f>
        <v>9781475841923</v>
      </c>
      <c r="D10983" s="10" t="s">
        <v>9752</v>
      </c>
      <c r="E10983" s="10" t="s">
        <v>15187</v>
      </c>
      <c r="F10983" s="10" t="s">
        <v>9754</v>
      </c>
      <c r="G10983" s="10" t="s">
        <v>6317</v>
      </c>
      <c r="H10983" s="11">
        <v>43373</v>
      </c>
      <c r="I10983" s="10">
        <v>2018</v>
      </c>
      <c r="J10983" s="10" t="s">
        <v>15187</v>
      </c>
      <c r="K10983" s="10">
        <v>93</v>
      </c>
      <c r="L10983" s="10" t="s">
        <v>31591</v>
      </c>
      <c r="M10983" s="10">
        <v>1</v>
      </c>
      <c r="N10983" s="10"/>
      <c r="O10983" s="10"/>
      <c r="P10983" s="10" t="s">
        <v>47852</v>
      </c>
      <c r="Q10983" s="10">
        <v>362.50972999999999</v>
      </c>
      <c r="R10983" s="10" t="s">
        <v>47853</v>
      </c>
      <c r="S10983" s="10" t="s">
        <v>53</v>
      </c>
      <c r="T10983" s="10" t="s">
        <v>27302</v>
      </c>
    </row>
    <row r="10984" spans="1:20" ht="14.5" x14ac:dyDescent="0.35">
      <c r="A10984" s="10" t="s">
        <v>47854</v>
      </c>
      <c r="B10984" s="10" t="str">
        <f>"9781498537018"</f>
        <v>9781498537018</v>
      </c>
      <c r="C10984" s="10" t="str">
        <f>"9781498537025"</f>
        <v>9781498537025</v>
      </c>
      <c r="D10984" s="10" t="s">
        <v>9752</v>
      </c>
      <c r="E10984" s="10" t="s">
        <v>15182</v>
      </c>
      <c r="F10984" s="10" t="s">
        <v>9754</v>
      </c>
      <c r="G10984" s="10" t="s">
        <v>6317</v>
      </c>
      <c r="H10984" s="11">
        <v>43258</v>
      </c>
      <c r="I10984" s="10">
        <v>2018</v>
      </c>
      <c r="J10984" s="10" t="s">
        <v>15182</v>
      </c>
      <c r="K10984" s="10">
        <v>385</v>
      </c>
      <c r="L10984" s="10" t="s">
        <v>47855</v>
      </c>
      <c r="M10984" s="10">
        <v>1</v>
      </c>
      <c r="N10984" s="10"/>
      <c r="O10984" s="10"/>
      <c r="P10984" s="10" t="s">
        <v>47856</v>
      </c>
      <c r="Q10984" s="10">
        <v>378.19819999999999</v>
      </c>
      <c r="R10984" s="10" t="s">
        <v>47857</v>
      </c>
      <c r="S10984" s="10" t="s">
        <v>53</v>
      </c>
      <c r="T10984" s="10" t="s">
        <v>54</v>
      </c>
    </row>
    <row r="10985" spans="1:20" ht="14.5" x14ac:dyDescent="0.35">
      <c r="A10985" s="10" t="s">
        <v>47858</v>
      </c>
      <c r="B10985" s="10" t="str">
        <f>"9781475842029"</f>
        <v>9781475842029</v>
      </c>
      <c r="C10985" s="10" t="str">
        <f>"9781475842036"</f>
        <v>9781475842036</v>
      </c>
      <c r="D10985" s="10" t="s">
        <v>9752</v>
      </c>
      <c r="E10985" s="10" t="s">
        <v>15187</v>
      </c>
      <c r="F10985" s="10" t="s">
        <v>9754</v>
      </c>
      <c r="G10985" s="10" t="s">
        <v>6317</v>
      </c>
      <c r="H10985" s="11">
        <v>43449</v>
      </c>
      <c r="I10985" s="10">
        <v>2019</v>
      </c>
      <c r="J10985" s="10" t="s">
        <v>15187</v>
      </c>
      <c r="K10985" s="10">
        <v>191</v>
      </c>
      <c r="L10985" s="10" t="s">
        <v>43414</v>
      </c>
      <c r="M10985" s="10">
        <v>1</v>
      </c>
      <c r="N10985" s="10"/>
      <c r="O10985" s="10"/>
      <c r="P10985" s="10" t="s">
        <v>47859</v>
      </c>
      <c r="Q10985" s="10"/>
      <c r="R10985" s="10" t="s">
        <v>47860</v>
      </c>
      <c r="S10985" s="10" t="s">
        <v>53</v>
      </c>
      <c r="T10985" s="10" t="s">
        <v>54</v>
      </c>
    </row>
    <row r="10986" spans="1:20" ht="14.5" x14ac:dyDescent="0.35">
      <c r="A10986" s="10" t="s">
        <v>47861</v>
      </c>
      <c r="B10986" s="10" t="str">
        <f>"9781498536165"</f>
        <v>9781498536165</v>
      </c>
      <c r="C10986" s="10" t="str">
        <f>"9781498536172"</f>
        <v>9781498536172</v>
      </c>
      <c r="D10986" s="10" t="s">
        <v>9752</v>
      </c>
      <c r="E10986" s="10" t="s">
        <v>15182</v>
      </c>
      <c r="F10986" s="10" t="s">
        <v>3460</v>
      </c>
      <c r="G10986" s="10" t="s">
        <v>6317</v>
      </c>
      <c r="H10986" s="11">
        <v>43271</v>
      </c>
      <c r="I10986" s="10">
        <v>2018</v>
      </c>
      <c r="J10986" s="10" t="s">
        <v>15182</v>
      </c>
      <c r="K10986" s="10">
        <v>157</v>
      </c>
      <c r="L10986" s="10" t="s">
        <v>47862</v>
      </c>
      <c r="M10986" s="10">
        <v>1</v>
      </c>
      <c r="N10986" s="10"/>
      <c r="O10986" s="10"/>
      <c r="P10986" s="10" t="s">
        <v>47863</v>
      </c>
      <c r="Q10986" s="10">
        <v>378.67622</v>
      </c>
      <c r="R10986" s="10" t="s">
        <v>47864</v>
      </c>
      <c r="S10986" s="10" t="s">
        <v>53</v>
      </c>
      <c r="T10986" s="10" t="s">
        <v>54</v>
      </c>
    </row>
    <row r="10987" spans="1:20" ht="14.5" x14ac:dyDescent="0.35">
      <c r="A10987" s="10" t="s">
        <v>47865</v>
      </c>
      <c r="B10987" s="10" t="str">
        <f>"9781498568241"</f>
        <v>9781498568241</v>
      </c>
      <c r="C10987" s="10" t="str">
        <f>"9781498568258"</f>
        <v>9781498568258</v>
      </c>
      <c r="D10987" s="10" t="s">
        <v>9752</v>
      </c>
      <c r="E10987" s="10" t="s">
        <v>15182</v>
      </c>
      <c r="F10987" s="10" t="s">
        <v>9754</v>
      </c>
      <c r="G10987" s="10" t="s">
        <v>6317</v>
      </c>
      <c r="H10987" s="11">
        <v>43328</v>
      </c>
      <c r="I10987" s="10">
        <v>2018</v>
      </c>
      <c r="J10987" s="10" t="s">
        <v>15182</v>
      </c>
      <c r="K10987" s="10">
        <v>127</v>
      </c>
      <c r="L10987" s="10" t="s">
        <v>47866</v>
      </c>
      <c r="M10987" s="10">
        <v>1</v>
      </c>
      <c r="N10987" s="10"/>
      <c r="O10987" s="10"/>
      <c r="P10987" s="10" t="s">
        <v>47867</v>
      </c>
      <c r="Q10987" s="10">
        <v>303.34099614000002</v>
      </c>
      <c r="R10987" s="10" t="s">
        <v>47868</v>
      </c>
      <c r="S10987" s="10" t="s">
        <v>53</v>
      </c>
      <c r="T10987" s="10" t="s">
        <v>27302</v>
      </c>
    </row>
    <row r="10988" spans="1:20" ht="14.5" x14ac:dyDescent="0.35">
      <c r="A10988" s="10" t="s">
        <v>47869</v>
      </c>
      <c r="B10988" s="10" t="str">
        <f>"9781943360222"</f>
        <v>9781943360222</v>
      </c>
      <c r="C10988" s="10" t="str">
        <f>"9781943360239"</f>
        <v>9781943360239</v>
      </c>
      <c r="D10988" s="10" t="s">
        <v>37594</v>
      </c>
      <c r="E10988" s="10" t="s">
        <v>37594</v>
      </c>
      <c r="F10988" s="10" t="s">
        <v>37623</v>
      </c>
      <c r="G10988" s="10" t="s">
        <v>6317</v>
      </c>
      <c r="H10988" s="11">
        <v>43343</v>
      </c>
      <c r="I10988" s="10">
        <v>2019</v>
      </c>
      <c r="J10988" s="10" t="s">
        <v>37594</v>
      </c>
      <c r="K10988" s="10">
        <v>190</v>
      </c>
      <c r="L10988" s="10" t="s">
        <v>47870</v>
      </c>
      <c r="M10988" s="10">
        <v>1</v>
      </c>
      <c r="N10988" s="10"/>
      <c r="O10988" s="10"/>
      <c r="P10988" s="10" t="s">
        <v>47871</v>
      </c>
      <c r="Q10988" s="10"/>
      <c r="R10988" s="10" t="s">
        <v>47872</v>
      </c>
      <c r="S10988" s="10" t="s">
        <v>53</v>
      </c>
      <c r="T10988" s="10" t="s">
        <v>54</v>
      </c>
    </row>
    <row r="10989" spans="1:20" ht="14.5" x14ac:dyDescent="0.35">
      <c r="A10989" s="10" t="s">
        <v>47873</v>
      </c>
      <c r="B10989" s="10" t="str">
        <f>"9781553797739"</f>
        <v>9781553797739</v>
      </c>
      <c r="C10989" s="10" t="str">
        <f>"9781553797746"</f>
        <v>9781553797746</v>
      </c>
      <c r="D10989" s="10" t="s">
        <v>9533</v>
      </c>
      <c r="E10989" s="10" t="s">
        <v>44894</v>
      </c>
      <c r="F10989" s="10" t="s">
        <v>967</v>
      </c>
      <c r="G10989" s="10" t="s">
        <v>6317</v>
      </c>
      <c r="H10989" s="11">
        <v>43385</v>
      </c>
      <c r="I10989" s="10">
        <v>2018</v>
      </c>
      <c r="J10989" s="10" t="s">
        <v>44894</v>
      </c>
      <c r="K10989" s="10">
        <v>96</v>
      </c>
      <c r="L10989" s="10" t="s">
        <v>47874</v>
      </c>
      <c r="M10989" s="10">
        <v>1</v>
      </c>
      <c r="N10989" s="10"/>
      <c r="O10989" s="10"/>
      <c r="P10989" s="10" t="s">
        <v>47875</v>
      </c>
      <c r="Q10989" s="10" t="s">
        <v>47876</v>
      </c>
      <c r="R10989" s="10" t="s">
        <v>47877</v>
      </c>
      <c r="S10989" s="10" t="s">
        <v>53</v>
      </c>
      <c r="T10989" s="10" t="s">
        <v>4490</v>
      </c>
    </row>
    <row r="10990" spans="1:20" ht="14.5" x14ac:dyDescent="0.35">
      <c r="A10990" s="10" t="s">
        <v>47878</v>
      </c>
      <c r="B10990" s="10" t="str">
        <f>"9781553797517"</f>
        <v>9781553797517</v>
      </c>
      <c r="C10990" s="10" t="str">
        <f>"9781553797906"</f>
        <v>9781553797906</v>
      </c>
      <c r="D10990" s="10" t="s">
        <v>9533</v>
      </c>
      <c r="E10990" s="10" t="s">
        <v>44894</v>
      </c>
      <c r="F10990" s="10" t="s">
        <v>967</v>
      </c>
      <c r="G10990" s="10" t="s">
        <v>6317</v>
      </c>
      <c r="H10990" s="11">
        <v>43678</v>
      </c>
      <c r="I10990" s="10">
        <v>2019</v>
      </c>
      <c r="J10990" s="10" t="s">
        <v>44894</v>
      </c>
      <c r="K10990" s="10">
        <v>220</v>
      </c>
      <c r="L10990" s="10" t="s">
        <v>47879</v>
      </c>
      <c r="M10990" s="10">
        <v>1</v>
      </c>
      <c r="N10990" s="10"/>
      <c r="O10990" s="10"/>
      <c r="P10990" s="10" t="s">
        <v>47880</v>
      </c>
      <c r="Q10990" s="10">
        <v>371.36</v>
      </c>
      <c r="R10990" s="10" t="s">
        <v>47881</v>
      </c>
      <c r="S10990" s="10" t="s">
        <v>53</v>
      </c>
      <c r="T10990" s="10" t="s">
        <v>54</v>
      </c>
    </row>
    <row r="10991" spans="1:20" ht="14.5" x14ac:dyDescent="0.35">
      <c r="A10991" s="10" t="s">
        <v>47882</v>
      </c>
      <c r="B10991" s="10" t="str">
        <f>"9781475842524"</f>
        <v>9781475842524</v>
      </c>
      <c r="C10991" s="10" t="str">
        <f>"9781475842548"</f>
        <v>9781475842548</v>
      </c>
      <c r="D10991" s="10" t="s">
        <v>9752</v>
      </c>
      <c r="E10991" s="10" t="s">
        <v>15187</v>
      </c>
      <c r="F10991" s="10" t="s">
        <v>9754</v>
      </c>
      <c r="G10991" s="10" t="s">
        <v>6317</v>
      </c>
      <c r="H10991" s="11">
        <v>43452</v>
      </c>
      <c r="I10991" s="10">
        <v>2019</v>
      </c>
      <c r="J10991" s="10" t="s">
        <v>15187</v>
      </c>
      <c r="K10991" s="10">
        <v>169</v>
      </c>
      <c r="L10991" s="10" t="s">
        <v>47883</v>
      </c>
      <c r="M10991" s="10">
        <v>1</v>
      </c>
      <c r="N10991" s="10"/>
      <c r="O10991" s="10"/>
      <c r="P10991" s="10" t="s">
        <v>47884</v>
      </c>
      <c r="Q10991" s="10"/>
      <c r="R10991" s="10" t="s">
        <v>47885</v>
      </c>
      <c r="S10991" s="10" t="s">
        <v>53</v>
      </c>
      <c r="T10991" s="10" t="s">
        <v>54</v>
      </c>
    </row>
    <row r="10992" spans="1:20" ht="14.5" x14ac:dyDescent="0.35">
      <c r="A10992" s="10" t="s">
        <v>47886</v>
      </c>
      <c r="B10992" s="10" t="str">
        <f>"9789352806713"</f>
        <v>9789352806713</v>
      </c>
      <c r="C10992" s="10" t="str">
        <f>"9789352806737"</f>
        <v>9789352806737</v>
      </c>
      <c r="D10992" s="10" t="s">
        <v>14562</v>
      </c>
      <c r="E10992" s="10" t="s">
        <v>14563</v>
      </c>
      <c r="F10992" s="10" t="s">
        <v>14564</v>
      </c>
      <c r="G10992" s="10" t="s">
        <v>13425</v>
      </c>
      <c r="H10992" s="11">
        <v>43482</v>
      </c>
      <c r="I10992" s="10">
        <v>2018</v>
      </c>
      <c r="J10992" s="10" t="s">
        <v>14563</v>
      </c>
      <c r="K10992" s="10">
        <v>503</v>
      </c>
      <c r="L10992" s="10" t="s">
        <v>47887</v>
      </c>
      <c r="M10992" s="10">
        <v>1</v>
      </c>
      <c r="N10992" s="10" t="s">
        <v>47888</v>
      </c>
      <c r="O10992" s="10"/>
      <c r="P10992" s="10" t="s">
        <v>47889</v>
      </c>
      <c r="Q10992" s="10">
        <v>378</v>
      </c>
      <c r="R10992" s="10" t="s">
        <v>47890</v>
      </c>
      <c r="S10992" s="10" t="s">
        <v>53</v>
      </c>
      <c r="T10992" s="10" t="s">
        <v>54</v>
      </c>
    </row>
    <row r="10993" spans="1:20" ht="14.5" x14ac:dyDescent="0.35">
      <c r="A10993" s="10" t="s">
        <v>47891</v>
      </c>
      <c r="B10993" s="10" t="str">
        <f>"9781416626435"</f>
        <v>9781416626435</v>
      </c>
      <c r="C10993" s="10" t="str">
        <f>"9781416626459"</f>
        <v>9781416626459</v>
      </c>
      <c r="D10993" s="10" t="s">
        <v>10014</v>
      </c>
      <c r="E10993" s="10" t="s">
        <v>10015</v>
      </c>
      <c r="F10993" s="10" t="s">
        <v>201</v>
      </c>
      <c r="G10993" s="10" t="s">
        <v>6317</v>
      </c>
      <c r="H10993" s="11">
        <v>43342</v>
      </c>
      <c r="I10993" s="10">
        <v>2018</v>
      </c>
      <c r="J10993" s="10" t="s">
        <v>10015</v>
      </c>
      <c r="K10993" s="10">
        <v>180</v>
      </c>
      <c r="L10993" s="10" t="s">
        <v>47892</v>
      </c>
      <c r="M10993" s="10">
        <v>1</v>
      </c>
      <c r="N10993" s="10"/>
      <c r="O10993" s="10"/>
      <c r="P10993" s="10"/>
      <c r="Q10993" s="10" t="s">
        <v>8304</v>
      </c>
      <c r="R10993" s="10"/>
      <c r="S10993" s="10" t="s">
        <v>53</v>
      </c>
      <c r="T10993" s="10" t="s">
        <v>54</v>
      </c>
    </row>
    <row r="10994" spans="1:20" ht="14.5" x14ac:dyDescent="0.35">
      <c r="A10994" s="10" t="s">
        <v>47893</v>
      </c>
      <c r="B10994" s="10" t="str">
        <f>"9781416626480"</f>
        <v>9781416626480</v>
      </c>
      <c r="C10994" s="10" t="str">
        <f>"9781416626503"</f>
        <v>9781416626503</v>
      </c>
      <c r="D10994" s="10" t="s">
        <v>10014</v>
      </c>
      <c r="E10994" s="10" t="s">
        <v>10015</v>
      </c>
      <c r="F10994" s="10" t="s">
        <v>201</v>
      </c>
      <c r="G10994" s="10" t="s">
        <v>6317</v>
      </c>
      <c r="H10994" s="11">
        <v>43342</v>
      </c>
      <c r="I10994" s="10">
        <v>2018</v>
      </c>
      <c r="J10994" s="10" t="s">
        <v>10015</v>
      </c>
      <c r="K10994" s="10">
        <v>160</v>
      </c>
      <c r="L10994" s="10" t="s">
        <v>8278</v>
      </c>
      <c r="M10994" s="10">
        <v>1</v>
      </c>
      <c r="N10994" s="10"/>
      <c r="O10994" s="10"/>
      <c r="P10994" s="10"/>
      <c r="Q10994" s="10">
        <v>371.26</v>
      </c>
      <c r="R10994" s="10"/>
      <c r="S10994" s="10" t="s">
        <v>53</v>
      </c>
      <c r="T10994" s="10" t="s">
        <v>54</v>
      </c>
    </row>
    <row r="10995" spans="1:20" ht="14.5" x14ac:dyDescent="0.35">
      <c r="A10995" s="10" t="s">
        <v>47894</v>
      </c>
      <c r="B10995" s="10" t="str">
        <f>"9781119144366"</f>
        <v>9781119144366</v>
      </c>
      <c r="C10995" s="10" t="str">
        <f>"9781119144380"</f>
        <v>9781119144380</v>
      </c>
      <c r="D10995" s="10" t="s">
        <v>6322</v>
      </c>
      <c r="E10995" s="10" t="s">
        <v>6323</v>
      </c>
      <c r="F10995" s="10" t="s">
        <v>4423</v>
      </c>
      <c r="G10995" s="10" t="s">
        <v>6317</v>
      </c>
      <c r="H10995" s="11">
        <v>43403</v>
      </c>
      <c r="I10995" s="10">
        <v>2019</v>
      </c>
      <c r="J10995" s="10" t="s">
        <v>8436</v>
      </c>
      <c r="K10995" s="10">
        <v>543</v>
      </c>
      <c r="L10995" s="10" t="s">
        <v>47895</v>
      </c>
      <c r="M10995" s="10">
        <v>1</v>
      </c>
      <c r="N10995" s="10" t="s">
        <v>41092</v>
      </c>
      <c r="O10995" s="10"/>
      <c r="P10995" s="10" t="s">
        <v>47896</v>
      </c>
      <c r="Q10995" s="10"/>
      <c r="R10995" s="10" t="s">
        <v>47897</v>
      </c>
      <c r="S10995" s="10" t="s">
        <v>53</v>
      </c>
      <c r="T10995" s="10" t="s">
        <v>54</v>
      </c>
    </row>
    <row r="10996" spans="1:20" ht="14.5" x14ac:dyDescent="0.35">
      <c r="A10996" s="10" t="s">
        <v>47898</v>
      </c>
      <c r="B10996" s="10" t="str">
        <f>"9780128120989"</f>
        <v>9780128120989</v>
      </c>
      <c r="C10996" s="10" t="str">
        <f>"9780128120996"</f>
        <v>9780128120996</v>
      </c>
      <c r="D10996" s="10" t="s">
        <v>8547</v>
      </c>
      <c r="E10996" s="10" t="s">
        <v>8548</v>
      </c>
      <c r="F10996" s="10" t="s">
        <v>1232</v>
      </c>
      <c r="G10996" s="10" t="s">
        <v>6317</v>
      </c>
      <c r="H10996" s="11">
        <v>43336</v>
      </c>
      <c r="I10996" s="10">
        <v>2019</v>
      </c>
      <c r="J10996" s="10" t="s">
        <v>1231</v>
      </c>
      <c r="K10996" s="10">
        <v>486</v>
      </c>
      <c r="L10996" s="10" t="s">
        <v>47899</v>
      </c>
      <c r="M10996" s="10">
        <v>1</v>
      </c>
      <c r="N10996" s="10"/>
      <c r="O10996" s="10"/>
      <c r="P10996" s="10"/>
      <c r="Q10996" s="10">
        <v>153.83000000000001</v>
      </c>
      <c r="R10996" s="10"/>
      <c r="S10996" s="10" t="s">
        <v>53</v>
      </c>
      <c r="T10996" s="10" t="s">
        <v>483</v>
      </c>
    </row>
    <row r="10997" spans="1:20" ht="14.5" x14ac:dyDescent="0.35">
      <c r="A10997" s="10" t="s">
        <v>47900</v>
      </c>
      <c r="B10997" s="10" t="str">
        <f>"9781338298260"</f>
        <v>9781338298260</v>
      </c>
      <c r="C10997" s="10" t="str">
        <f>"9781338355390"</f>
        <v>9781338355390</v>
      </c>
      <c r="D10997" s="10" t="s">
        <v>47901</v>
      </c>
      <c r="E10997" s="10" t="s">
        <v>47902</v>
      </c>
      <c r="F10997" s="10" t="s">
        <v>13068</v>
      </c>
      <c r="G10997" s="10" t="s">
        <v>6317</v>
      </c>
      <c r="H10997" s="11">
        <v>43291</v>
      </c>
      <c r="I10997" s="10">
        <v>2018</v>
      </c>
      <c r="J10997" s="10" t="s">
        <v>47903</v>
      </c>
      <c r="K10997" s="10">
        <v>307</v>
      </c>
      <c r="L10997" s="10" t="s">
        <v>47904</v>
      </c>
      <c r="M10997" s="10">
        <v>1</v>
      </c>
      <c r="N10997" s="10"/>
      <c r="O10997" s="10"/>
      <c r="P10997" s="10" t="s">
        <v>47905</v>
      </c>
      <c r="Q10997" s="10">
        <v>302.2244</v>
      </c>
      <c r="R10997" s="10" t="s">
        <v>47906</v>
      </c>
      <c r="S10997" s="10" t="s">
        <v>53</v>
      </c>
      <c r="T10997" s="10" t="s">
        <v>6526</v>
      </c>
    </row>
    <row r="10998" spans="1:20" ht="14.5" x14ac:dyDescent="0.35">
      <c r="A10998" s="10" t="s">
        <v>47907</v>
      </c>
      <c r="B10998" s="10" t="str">
        <f>"9781475821710"</f>
        <v>9781475821710</v>
      </c>
      <c r="C10998" s="10" t="str">
        <f>"9781475821727"</f>
        <v>9781475821727</v>
      </c>
      <c r="D10998" s="10" t="s">
        <v>9752</v>
      </c>
      <c r="E10998" s="10" t="s">
        <v>15187</v>
      </c>
      <c r="F10998" s="10" t="s">
        <v>9754</v>
      </c>
      <c r="G10998" s="10" t="s">
        <v>6317</v>
      </c>
      <c r="H10998" s="11">
        <v>43373</v>
      </c>
      <c r="I10998" s="10">
        <v>2018</v>
      </c>
      <c r="J10998" s="10" t="s">
        <v>15187</v>
      </c>
      <c r="K10998" s="10">
        <v>189</v>
      </c>
      <c r="L10998" s="10" t="s">
        <v>28303</v>
      </c>
      <c r="M10998" s="10">
        <v>1</v>
      </c>
      <c r="N10998" s="10"/>
      <c r="O10998" s="10"/>
      <c r="P10998" s="10" t="s">
        <v>47908</v>
      </c>
      <c r="Q10998" s="10"/>
      <c r="R10998" s="10" t="s">
        <v>47909</v>
      </c>
      <c r="S10998" s="10" t="s">
        <v>53</v>
      </c>
      <c r="T10998" s="10" t="s">
        <v>5396</v>
      </c>
    </row>
    <row r="10999" spans="1:20" ht="14.5" x14ac:dyDescent="0.35">
      <c r="A10999" s="10" t="s">
        <v>47910</v>
      </c>
      <c r="B10999" s="10" t="str">
        <f>"9781945349157"</f>
        <v>9781945349157</v>
      </c>
      <c r="C10999" s="10" t="str">
        <f>"9781945349164"</f>
        <v>9781945349164</v>
      </c>
      <c r="D10999" s="10" t="s">
        <v>37580</v>
      </c>
      <c r="E10999" s="10" t="s">
        <v>37581</v>
      </c>
      <c r="F10999" s="10" t="s">
        <v>37623</v>
      </c>
      <c r="G10999" s="10" t="s">
        <v>6317</v>
      </c>
      <c r="H10999" s="11">
        <v>43353</v>
      </c>
      <c r="I10999" s="10">
        <v>2019</v>
      </c>
      <c r="J10999" s="10" t="s">
        <v>37581</v>
      </c>
      <c r="K10999" s="10">
        <v>152</v>
      </c>
      <c r="L10999" s="10" t="s">
        <v>47911</v>
      </c>
      <c r="M10999" s="10">
        <v>1</v>
      </c>
      <c r="N10999" s="10" t="s">
        <v>44310</v>
      </c>
      <c r="O10999" s="10"/>
      <c r="P10999" s="10" t="s">
        <v>47912</v>
      </c>
      <c r="Q10999" s="10"/>
      <c r="R10999" s="10"/>
      <c r="S10999" s="10" t="s">
        <v>53</v>
      </c>
      <c r="T10999" s="10" t="s">
        <v>54</v>
      </c>
    </row>
    <row r="11000" spans="1:20" ht="14.5" x14ac:dyDescent="0.35">
      <c r="A11000" s="10" t="s">
        <v>47913</v>
      </c>
      <c r="B11000" s="10" t="str">
        <f>"9781912096930"</f>
        <v>9781912096930</v>
      </c>
      <c r="C11000" s="10" t="str">
        <f>"9781912096916"</f>
        <v>9781912096916</v>
      </c>
      <c r="D11000" s="10" t="s">
        <v>9533</v>
      </c>
      <c r="E11000" s="10" t="s">
        <v>26840</v>
      </c>
      <c r="F11000" s="10" t="s">
        <v>47715</v>
      </c>
      <c r="G11000" s="10" t="s">
        <v>6352</v>
      </c>
      <c r="H11000" s="11">
        <v>43353</v>
      </c>
      <c r="I11000" s="10">
        <v>2018</v>
      </c>
      <c r="J11000" s="10" t="s">
        <v>26840</v>
      </c>
      <c r="K11000" s="10">
        <v>142</v>
      </c>
      <c r="L11000" s="10" t="s">
        <v>47914</v>
      </c>
      <c r="M11000" s="10">
        <v>1</v>
      </c>
      <c r="N11000" s="10" t="s">
        <v>26899</v>
      </c>
      <c r="O11000" s="10"/>
      <c r="P11000" s="10" t="s">
        <v>47915</v>
      </c>
      <c r="Q11000" s="10">
        <v>371.33</v>
      </c>
      <c r="R11000" s="10" t="s">
        <v>47916</v>
      </c>
      <c r="S11000" s="10" t="s">
        <v>53</v>
      </c>
      <c r="T11000" s="10" t="s">
        <v>54</v>
      </c>
    </row>
    <row r="11001" spans="1:20" ht="14.5" x14ac:dyDescent="0.35">
      <c r="A11001" s="10" t="s">
        <v>47917</v>
      </c>
      <c r="B11001" s="10" t="str">
        <f>"9781119083078"</f>
        <v>9781119083078</v>
      </c>
      <c r="C11001" s="10" t="str">
        <f>"9781119082347"</f>
        <v>9781119082347</v>
      </c>
      <c r="D11001" s="10" t="s">
        <v>6322</v>
      </c>
      <c r="E11001" s="10" t="s">
        <v>6323</v>
      </c>
      <c r="F11001" s="10" t="s">
        <v>4423</v>
      </c>
      <c r="G11001" s="10" t="s">
        <v>6317</v>
      </c>
      <c r="H11001" s="11">
        <v>43417</v>
      </c>
      <c r="I11001" s="10">
        <v>2018</v>
      </c>
      <c r="J11001" s="10" t="s">
        <v>8436</v>
      </c>
      <c r="K11001" s="10">
        <v>623</v>
      </c>
      <c r="L11001" s="10" t="s">
        <v>47918</v>
      </c>
      <c r="M11001" s="10">
        <v>1</v>
      </c>
      <c r="N11001" s="10" t="s">
        <v>41092</v>
      </c>
      <c r="O11001" s="10"/>
      <c r="P11001" s="10"/>
      <c r="Q11001" s="10"/>
      <c r="R11001" s="10" t="s">
        <v>47919</v>
      </c>
      <c r="S11001" s="10" t="s">
        <v>53</v>
      </c>
      <c r="T11001" s="10" t="s">
        <v>54</v>
      </c>
    </row>
    <row r="11002" spans="1:20" ht="14.5" x14ac:dyDescent="0.35">
      <c r="A11002" s="10" t="s">
        <v>47920</v>
      </c>
      <c r="B11002" s="10" t="str">
        <f>"9780814345849"</f>
        <v>9780814345849</v>
      </c>
      <c r="C11002" s="10" t="str">
        <f>"9780814345955"</f>
        <v>9780814345955</v>
      </c>
      <c r="D11002" s="10" t="s">
        <v>9215</v>
      </c>
      <c r="E11002" s="10" t="s">
        <v>1563</v>
      </c>
      <c r="F11002" s="10" t="s">
        <v>1564</v>
      </c>
      <c r="G11002" s="10" t="s">
        <v>6317</v>
      </c>
      <c r="H11002" s="11">
        <v>43381</v>
      </c>
      <c r="I11002" s="10">
        <v>2018</v>
      </c>
      <c r="J11002" s="10" t="s">
        <v>1563</v>
      </c>
      <c r="K11002" s="10">
        <v>296</v>
      </c>
      <c r="L11002" s="10" t="s">
        <v>47921</v>
      </c>
      <c r="M11002" s="10"/>
      <c r="N11002" s="10"/>
      <c r="O11002" s="10"/>
      <c r="P11002" s="10" t="s">
        <v>47922</v>
      </c>
      <c r="Q11002" s="10">
        <v>378.77434</v>
      </c>
      <c r="R11002" s="10" t="s">
        <v>47923</v>
      </c>
      <c r="S11002" s="10" t="s">
        <v>53</v>
      </c>
      <c r="T11002" s="10" t="s">
        <v>54</v>
      </c>
    </row>
    <row r="11003" spans="1:20" ht="14.5" x14ac:dyDescent="0.35">
      <c r="A11003" s="10" t="s">
        <v>47924</v>
      </c>
      <c r="B11003" s="10" t="str">
        <f>"9781787437029"</f>
        <v>9781787437029</v>
      </c>
      <c r="C11003" s="10" t="str">
        <f>"9781787437036"</f>
        <v>9781787437036</v>
      </c>
      <c r="D11003" s="10" t="s">
        <v>8699</v>
      </c>
      <c r="E11003" s="10" t="s">
        <v>8699</v>
      </c>
      <c r="F11003" s="10" t="s">
        <v>41843</v>
      </c>
      <c r="G11003" s="10" t="s">
        <v>6352</v>
      </c>
      <c r="H11003" s="11">
        <v>42993</v>
      </c>
      <c r="I11003" s="10">
        <v>2017</v>
      </c>
      <c r="J11003" s="10" t="s">
        <v>8699</v>
      </c>
      <c r="K11003" s="10">
        <v>79</v>
      </c>
      <c r="L11003" s="10" t="s">
        <v>47925</v>
      </c>
      <c r="M11003" s="10">
        <v>1</v>
      </c>
      <c r="N11003" s="10" t="s">
        <v>47926</v>
      </c>
      <c r="O11003" s="10">
        <v>3</v>
      </c>
      <c r="P11003" s="10" t="s">
        <v>47927</v>
      </c>
      <c r="Q11003" s="10">
        <v>362.2</v>
      </c>
      <c r="R11003" s="10" t="s">
        <v>47928</v>
      </c>
      <c r="S11003" s="10" t="s">
        <v>53</v>
      </c>
      <c r="T11003" s="10" t="s">
        <v>12989</v>
      </c>
    </row>
    <row r="11004" spans="1:20" ht="14.5" x14ac:dyDescent="0.35">
      <c r="A11004" s="10" t="s">
        <v>47929</v>
      </c>
      <c r="B11004" s="10" t="str">
        <f>"9781787545496"</f>
        <v>9781787545496</v>
      </c>
      <c r="C11004" s="10" t="str">
        <f>"9781787545502"</f>
        <v>9781787545502</v>
      </c>
      <c r="D11004" s="10" t="s">
        <v>8699</v>
      </c>
      <c r="E11004" s="10" t="s">
        <v>8699</v>
      </c>
      <c r="F11004" s="10" t="s">
        <v>41843</v>
      </c>
      <c r="G11004" s="10" t="s">
        <v>6352</v>
      </c>
      <c r="H11004" s="11">
        <v>43039</v>
      </c>
      <c r="I11004" s="10">
        <v>2018</v>
      </c>
      <c r="J11004" s="10" t="s">
        <v>8699</v>
      </c>
      <c r="K11004" s="10">
        <v>117</v>
      </c>
      <c r="L11004" s="10" t="s">
        <v>47930</v>
      </c>
      <c r="M11004" s="10">
        <v>1</v>
      </c>
      <c r="N11004" s="10" t="s">
        <v>47931</v>
      </c>
      <c r="O11004" s="10">
        <v>2</v>
      </c>
      <c r="P11004" s="10" t="s">
        <v>47932</v>
      </c>
      <c r="Q11004" s="10">
        <v>650.07117300000004</v>
      </c>
      <c r="R11004" s="10" t="s">
        <v>47933</v>
      </c>
      <c r="S11004" s="10" t="s">
        <v>53</v>
      </c>
      <c r="T11004" s="10" t="s">
        <v>6660</v>
      </c>
    </row>
    <row r="11005" spans="1:20" ht="14.5" x14ac:dyDescent="0.35">
      <c r="A11005" s="10" t="s">
        <v>47934</v>
      </c>
      <c r="B11005" s="10" t="str">
        <f>"9781787568815"</f>
        <v>9781787568815</v>
      </c>
      <c r="C11005" s="10" t="str">
        <f>"9781787568822"</f>
        <v>9781787568822</v>
      </c>
      <c r="D11005" s="10" t="s">
        <v>8699</v>
      </c>
      <c r="E11005" s="10" t="s">
        <v>8699</v>
      </c>
      <c r="F11005" s="10" t="s">
        <v>41843</v>
      </c>
      <c r="G11005" s="10" t="s">
        <v>6352</v>
      </c>
      <c r="H11005" s="11">
        <v>43250</v>
      </c>
      <c r="I11005" s="10">
        <v>2018</v>
      </c>
      <c r="J11005" s="10" t="s">
        <v>8699</v>
      </c>
      <c r="K11005" s="10">
        <v>105</v>
      </c>
      <c r="L11005" s="10" t="s">
        <v>47935</v>
      </c>
      <c r="M11005" s="10">
        <v>1</v>
      </c>
      <c r="N11005" s="10" t="s">
        <v>47931</v>
      </c>
      <c r="O11005" s="10">
        <v>1</v>
      </c>
      <c r="P11005" s="10" t="s">
        <v>47936</v>
      </c>
      <c r="Q11005" s="10">
        <v>363.70097299999998</v>
      </c>
      <c r="R11005" s="10" t="s">
        <v>47937</v>
      </c>
      <c r="S11005" s="10" t="s">
        <v>53</v>
      </c>
      <c r="T11005" s="10" t="s">
        <v>47938</v>
      </c>
    </row>
    <row r="11006" spans="1:20" ht="14.5" x14ac:dyDescent="0.35">
      <c r="A11006" s="10" t="s">
        <v>47939</v>
      </c>
      <c r="B11006" s="10" t="str">
        <f>"9781943874088"</f>
        <v>9781943874088</v>
      </c>
      <c r="C11006" s="10" t="str">
        <f>"9781943874095"</f>
        <v>9781943874095</v>
      </c>
      <c r="D11006" s="10" t="s">
        <v>37580</v>
      </c>
      <c r="E11006" s="10" t="s">
        <v>37581</v>
      </c>
      <c r="F11006" s="10" t="s">
        <v>37623</v>
      </c>
      <c r="G11006" s="10" t="s">
        <v>6317</v>
      </c>
      <c r="H11006" s="11">
        <v>43364</v>
      </c>
      <c r="I11006" s="10">
        <v>2019</v>
      </c>
      <c r="J11006" s="10" t="s">
        <v>37581</v>
      </c>
      <c r="K11006" s="10">
        <v>80</v>
      </c>
      <c r="L11006" s="10" t="s">
        <v>47940</v>
      </c>
      <c r="M11006" s="10">
        <v>1</v>
      </c>
      <c r="N11006" s="10" t="s">
        <v>43405</v>
      </c>
      <c r="O11006" s="10"/>
      <c r="P11006" s="10"/>
      <c r="Q11006" s="10"/>
      <c r="R11006" s="10" t="s">
        <v>47941</v>
      </c>
      <c r="S11006" s="10" t="s">
        <v>53</v>
      </c>
      <c r="T11006" s="10" t="s">
        <v>54</v>
      </c>
    </row>
    <row r="11007" spans="1:20" ht="14.5" x14ac:dyDescent="0.35">
      <c r="A11007" s="10" t="s">
        <v>47942</v>
      </c>
      <c r="B11007" s="10" t="str">
        <f>"9781947604117"</f>
        <v>9781947604117</v>
      </c>
      <c r="C11007" s="10" t="str">
        <f>"9781947604124"</f>
        <v>9781947604124</v>
      </c>
      <c r="D11007" s="10" t="s">
        <v>37580</v>
      </c>
      <c r="E11007" s="10" t="s">
        <v>37581</v>
      </c>
      <c r="F11007" s="10" t="s">
        <v>37623</v>
      </c>
      <c r="G11007" s="10" t="s">
        <v>6317</v>
      </c>
      <c r="H11007" s="11">
        <v>43364</v>
      </c>
      <c r="I11007" s="10">
        <v>2019</v>
      </c>
      <c r="J11007" s="10" t="s">
        <v>37581</v>
      </c>
      <c r="K11007" s="10">
        <v>232</v>
      </c>
      <c r="L11007" s="10" t="s">
        <v>47943</v>
      </c>
      <c r="M11007" s="10">
        <v>1</v>
      </c>
      <c r="N11007" s="10"/>
      <c r="O11007" s="10"/>
      <c r="P11007" s="10" t="s">
        <v>47944</v>
      </c>
      <c r="Q11007" s="10"/>
      <c r="R11007" s="10" t="s">
        <v>47945</v>
      </c>
      <c r="S11007" s="10" t="s">
        <v>53</v>
      </c>
      <c r="T11007" s="10" t="s">
        <v>54</v>
      </c>
    </row>
    <row r="11008" spans="1:20" ht="14.5" x14ac:dyDescent="0.35">
      <c r="A11008" s="10" t="s">
        <v>47946</v>
      </c>
      <c r="B11008" s="10" t="str">
        <f>"9780300207309"</f>
        <v>9780300207309</v>
      </c>
      <c r="C11008" s="10" t="str">
        <f>"9780300240917"</f>
        <v>9780300240917</v>
      </c>
      <c r="D11008" s="10" t="s">
        <v>38767</v>
      </c>
      <c r="E11008" s="10" t="s">
        <v>38767</v>
      </c>
      <c r="F11008" s="10" t="s">
        <v>38768</v>
      </c>
      <c r="G11008" s="10" t="s">
        <v>6317</v>
      </c>
      <c r="H11008" s="11">
        <v>43368</v>
      </c>
      <c r="I11008" s="10">
        <v>2018</v>
      </c>
      <c r="J11008" s="10" t="s">
        <v>38767</v>
      </c>
      <c r="K11008" s="10">
        <v>312</v>
      </c>
      <c r="L11008" s="10" t="s">
        <v>47947</v>
      </c>
      <c r="M11008" s="10">
        <v>1</v>
      </c>
      <c r="N11008" s="10"/>
      <c r="O11008" s="10"/>
      <c r="P11008" s="10" t="s">
        <v>47948</v>
      </c>
      <c r="Q11008" s="10" t="s">
        <v>47949</v>
      </c>
      <c r="R11008" s="10" t="s">
        <v>47950</v>
      </c>
      <c r="S11008" s="10" t="s">
        <v>53</v>
      </c>
      <c r="T11008" s="10" t="s">
        <v>15027</v>
      </c>
    </row>
    <row r="11009" spans="1:20" ht="14.5" x14ac:dyDescent="0.35">
      <c r="A11009" s="10" t="s">
        <v>47951</v>
      </c>
      <c r="B11009" s="10" t="str">
        <f>"9781620363591"</f>
        <v>9781620363591</v>
      </c>
      <c r="C11009" s="10" t="str">
        <f>"9781000976113"</f>
        <v>9781000976113</v>
      </c>
      <c r="D11009" s="10" t="s">
        <v>6350</v>
      </c>
      <c r="E11009" s="10" t="s">
        <v>6351</v>
      </c>
      <c r="F11009" s="10" t="s">
        <v>748</v>
      </c>
      <c r="G11009" s="10" t="s">
        <v>6352</v>
      </c>
      <c r="H11009" s="11">
        <v>43350</v>
      </c>
      <c r="I11009" s="10">
        <v>2018</v>
      </c>
      <c r="J11009" s="10" t="s">
        <v>6351</v>
      </c>
      <c r="K11009" s="10">
        <v>289</v>
      </c>
      <c r="L11009" s="10" t="s">
        <v>47952</v>
      </c>
      <c r="M11009" s="10">
        <v>1</v>
      </c>
      <c r="N11009" s="10"/>
      <c r="O11009" s="10"/>
      <c r="P11009" s="10" t="s">
        <v>47953</v>
      </c>
      <c r="Q11009" s="10">
        <v>371.90460000000002</v>
      </c>
      <c r="R11009" s="10" t="s">
        <v>47954</v>
      </c>
      <c r="S11009" s="10" t="s">
        <v>53</v>
      </c>
      <c r="T11009" s="10" t="s">
        <v>54</v>
      </c>
    </row>
    <row r="11010" spans="1:20" ht="14.5" x14ac:dyDescent="0.35">
      <c r="A11010" s="10" t="s">
        <v>47955</v>
      </c>
      <c r="B11010" s="10" t="str">
        <f>""</f>
        <v/>
      </c>
      <c r="C11010" s="10" t="str">
        <f>"9781945459122"</f>
        <v>9781945459122</v>
      </c>
      <c r="D11010" s="10" t="s">
        <v>44271</v>
      </c>
      <c r="E11010" s="10" t="s">
        <v>44272</v>
      </c>
      <c r="F11010" s="10" t="s">
        <v>41227</v>
      </c>
      <c r="G11010" s="10" t="s">
        <v>6317</v>
      </c>
      <c r="H11010" s="11">
        <v>43360</v>
      </c>
      <c r="I11010" s="10">
        <v>2018</v>
      </c>
      <c r="J11010" s="10" t="s">
        <v>44272</v>
      </c>
      <c r="K11010" s="10">
        <v>170</v>
      </c>
      <c r="L11010" s="10" t="s">
        <v>47956</v>
      </c>
      <c r="M11010" s="10">
        <v>2</v>
      </c>
      <c r="N11010" s="10"/>
      <c r="O11010" s="10"/>
      <c r="P11010" s="10" t="s">
        <v>47957</v>
      </c>
      <c r="Q11010" s="10" t="s">
        <v>47958</v>
      </c>
      <c r="R11010" s="10" t="s">
        <v>47959</v>
      </c>
      <c r="S11010" s="10" t="s">
        <v>53</v>
      </c>
      <c r="T11010" s="10" t="s">
        <v>6472</v>
      </c>
    </row>
    <row r="11011" spans="1:20" ht="14.5" x14ac:dyDescent="0.35">
      <c r="A11011" s="10" t="s">
        <v>47960</v>
      </c>
      <c r="B11011" s="10" t="str">
        <f>"9781487503239"</f>
        <v>9781487503239</v>
      </c>
      <c r="C11011" s="10" t="str">
        <f>"9781487517496"</f>
        <v>9781487517496</v>
      </c>
      <c r="D11011" s="10" t="s">
        <v>977</v>
      </c>
      <c r="E11011" s="10" t="s">
        <v>977</v>
      </c>
      <c r="F11011" s="10" t="s">
        <v>901</v>
      </c>
      <c r="G11011" s="10" t="s">
        <v>9536</v>
      </c>
      <c r="H11011" s="11">
        <v>43361</v>
      </c>
      <c r="I11011" s="10">
        <v>2018</v>
      </c>
      <c r="J11011" s="10" t="s">
        <v>977</v>
      </c>
      <c r="K11011" s="10">
        <v>195</v>
      </c>
      <c r="L11011" s="10" t="s">
        <v>47961</v>
      </c>
      <c r="M11011" s="10">
        <v>1</v>
      </c>
      <c r="N11011" s="10"/>
      <c r="O11011" s="10"/>
      <c r="P11011" s="10" t="s">
        <v>47962</v>
      </c>
      <c r="Q11011" s="10" t="s">
        <v>9298</v>
      </c>
      <c r="R11011" s="10" t="s">
        <v>39492</v>
      </c>
      <c r="S11011" s="10" t="s">
        <v>53</v>
      </c>
      <c r="T11011" s="10" t="s">
        <v>54</v>
      </c>
    </row>
    <row r="11012" spans="1:20" ht="14.5" x14ac:dyDescent="0.35">
      <c r="A11012" s="10" t="s">
        <v>47963</v>
      </c>
      <c r="B11012" s="10" t="str">
        <f>"9781475841459"</f>
        <v>9781475841459</v>
      </c>
      <c r="C11012" s="10" t="str">
        <f>"9781475841473"</f>
        <v>9781475841473</v>
      </c>
      <c r="D11012" s="10" t="s">
        <v>9752</v>
      </c>
      <c r="E11012" s="10" t="s">
        <v>15187</v>
      </c>
      <c r="F11012" s="10" t="s">
        <v>9754</v>
      </c>
      <c r="G11012" s="10" t="s">
        <v>6317</v>
      </c>
      <c r="H11012" s="11">
        <v>43387</v>
      </c>
      <c r="I11012" s="10">
        <v>2018</v>
      </c>
      <c r="J11012" s="10" t="s">
        <v>15187</v>
      </c>
      <c r="K11012" s="10">
        <v>145</v>
      </c>
      <c r="L11012" s="10" t="s">
        <v>47964</v>
      </c>
      <c r="M11012" s="10">
        <v>1</v>
      </c>
      <c r="N11012" s="10"/>
      <c r="O11012" s="10"/>
      <c r="P11012" s="10" t="s">
        <v>47965</v>
      </c>
      <c r="Q11012" s="10" t="s">
        <v>10031</v>
      </c>
      <c r="R11012" s="10" t="s">
        <v>47966</v>
      </c>
      <c r="S11012" s="10" t="s">
        <v>53</v>
      </c>
      <c r="T11012" s="10" t="s">
        <v>54</v>
      </c>
    </row>
    <row r="11013" spans="1:20" ht="14.5" x14ac:dyDescent="0.35">
      <c r="A11013" s="10" t="s">
        <v>47967</v>
      </c>
      <c r="B11013" s="10" t="str">
        <f>"9781416626411"</f>
        <v>9781416626411</v>
      </c>
      <c r="C11013" s="10" t="str">
        <f>"9781416626428"</f>
        <v>9781416626428</v>
      </c>
      <c r="D11013" s="10" t="s">
        <v>10014</v>
      </c>
      <c r="E11013" s="10" t="s">
        <v>10015</v>
      </c>
      <c r="F11013" s="10" t="s">
        <v>201</v>
      </c>
      <c r="G11013" s="10" t="s">
        <v>6317</v>
      </c>
      <c r="H11013" s="11">
        <v>43340</v>
      </c>
      <c r="I11013" s="10">
        <v>2018</v>
      </c>
      <c r="J11013" s="10" t="s">
        <v>10015</v>
      </c>
      <c r="K11013" s="10">
        <v>162</v>
      </c>
      <c r="L11013" s="10" t="s">
        <v>43573</v>
      </c>
      <c r="M11013" s="10">
        <v>1</v>
      </c>
      <c r="N11013" s="10"/>
      <c r="O11013" s="10"/>
      <c r="P11013" s="10" t="s">
        <v>47968</v>
      </c>
      <c r="Q11013" s="10" t="s">
        <v>9870</v>
      </c>
      <c r="R11013" s="10" t="s">
        <v>47969</v>
      </c>
      <c r="S11013" s="10" t="s">
        <v>53</v>
      </c>
      <c r="T11013" s="10" t="s">
        <v>54</v>
      </c>
    </row>
    <row r="11014" spans="1:20" ht="14.5" x14ac:dyDescent="0.35">
      <c r="A11014" s="10" t="s">
        <v>47970</v>
      </c>
      <c r="B11014" s="10" t="str">
        <f>"9781416626657"</f>
        <v>9781416626657</v>
      </c>
      <c r="C11014" s="10" t="str">
        <f>"9781416626671"</f>
        <v>9781416626671</v>
      </c>
      <c r="D11014" s="10" t="s">
        <v>10014</v>
      </c>
      <c r="E11014" s="10" t="s">
        <v>10015</v>
      </c>
      <c r="F11014" s="10" t="s">
        <v>201</v>
      </c>
      <c r="G11014" s="10" t="s">
        <v>6317</v>
      </c>
      <c r="H11014" s="11">
        <v>43342</v>
      </c>
      <c r="I11014" s="10">
        <v>2018</v>
      </c>
      <c r="J11014" s="10" t="s">
        <v>10015</v>
      </c>
      <c r="K11014" s="10">
        <v>146</v>
      </c>
      <c r="L11014" s="10" t="s">
        <v>47971</v>
      </c>
      <c r="M11014" s="10">
        <v>1</v>
      </c>
      <c r="N11014" s="10"/>
      <c r="O11014" s="10"/>
      <c r="P11014" s="10" t="s">
        <v>47972</v>
      </c>
      <c r="Q11014" s="10" t="s">
        <v>47973</v>
      </c>
      <c r="R11014" s="10" t="s">
        <v>47974</v>
      </c>
      <c r="S11014" s="10" t="s">
        <v>53</v>
      </c>
      <c r="T11014" s="10" t="s">
        <v>8755</v>
      </c>
    </row>
    <row r="11015" spans="1:20" ht="14.5" x14ac:dyDescent="0.35">
      <c r="A11015" s="10" t="s">
        <v>13291</v>
      </c>
      <c r="B11015" s="10" t="str">
        <f>"9781416626527"</f>
        <v>9781416626527</v>
      </c>
      <c r="C11015" s="10" t="str">
        <f>"9781416626541"</f>
        <v>9781416626541</v>
      </c>
      <c r="D11015" s="10" t="s">
        <v>10014</v>
      </c>
      <c r="E11015" s="10" t="s">
        <v>10015</v>
      </c>
      <c r="F11015" s="10" t="s">
        <v>201</v>
      </c>
      <c r="G11015" s="10" t="s">
        <v>6317</v>
      </c>
      <c r="H11015" s="11">
        <v>43342</v>
      </c>
      <c r="I11015" s="10">
        <v>2018</v>
      </c>
      <c r="J11015" s="10" t="s">
        <v>10015</v>
      </c>
      <c r="K11015" s="10">
        <v>302</v>
      </c>
      <c r="L11015" s="10" t="s">
        <v>13292</v>
      </c>
      <c r="M11015" s="10">
        <v>2</v>
      </c>
      <c r="N11015" s="10"/>
      <c r="O11015" s="10"/>
      <c r="P11015" s="10" t="s">
        <v>47975</v>
      </c>
      <c r="Q11015" s="10">
        <v>371.10199999999998</v>
      </c>
      <c r="R11015" s="10" t="s">
        <v>10445</v>
      </c>
      <c r="S11015" s="10" t="s">
        <v>53</v>
      </c>
      <c r="T11015" s="10" t="s">
        <v>54</v>
      </c>
    </row>
    <row r="11016" spans="1:20" ht="14.5" x14ac:dyDescent="0.35">
      <c r="A11016" s="10" t="s">
        <v>47976</v>
      </c>
      <c r="B11016" s="10" t="str">
        <f>"9781475840377"</f>
        <v>9781475840377</v>
      </c>
      <c r="C11016" s="10" t="str">
        <f>"9781475840391"</f>
        <v>9781475840391</v>
      </c>
      <c r="D11016" s="10" t="s">
        <v>9752</v>
      </c>
      <c r="E11016" s="10" t="s">
        <v>15187</v>
      </c>
      <c r="F11016" s="10" t="s">
        <v>9754</v>
      </c>
      <c r="G11016" s="10" t="s">
        <v>6317</v>
      </c>
      <c r="H11016" s="11">
        <v>43389</v>
      </c>
      <c r="I11016" s="10">
        <v>2018</v>
      </c>
      <c r="J11016" s="10" t="s">
        <v>15187</v>
      </c>
      <c r="K11016" s="10">
        <v>201</v>
      </c>
      <c r="L11016" s="10" t="s">
        <v>47977</v>
      </c>
      <c r="M11016" s="10">
        <v>1</v>
      </c>
      <c r="N11016" s="10"/>
      <c r="O11016" s="10"/>
      <c r="P11016" s="10" t="s">
        <v>47978</v>
      </c>
      <c r="Q11016" s="10">
        <v>370.11700000000002</v>
      </c>
      <c r="R11016" s="10" t="s">
        <v>47979</v>
      </c>
      <c r="S11016" s="10" t="s">
        <v>53</v>
      </c>
      <c r="T11016" s="10" t="s">
        <v>54</v>
      </c>
    </row>
    <row r="11017" spans="1:20" ht="14.5" x14ac:dyDescent="0.35">
      <c r="A11017" s="10" t="s">
        <v>47980</v>
      </c>
      <c r="B11017" s="10" t="str">
        <f>"9781138306431"</f>
        <v>9781138306431</v>
      </c>
      <c r="C11017" s="10" t="str">
        <f>"9781351393706"</f>
        <v>9781351393706</v>
      </c>
      <c r="D11017" s="10" t="s">
        <v>6350</v>
      </c>
      <c r="E11017" s="10" t="s">
        <v>6351</v>
      </c>
      <c r="F11017" s="10" t="s">
        <v>748</v>
      </c>
      <c r="G11017" s="10" t="s">
        <v>6352</v>
      </c>
      <c r="H11017" s="11">
        <v>43220</v>
      </c>
      <c r="I11017" s="10">
        <v>2018</v>
      </c>
      <c r="J11017" s="10" t="s">
        <v>6351</v>
      </c>
      <c r="K11017" s="10">
        <v>201</v>
      </c>
      <c r="L11017" s="10" t="s">
        <v>47981</v>
      </c>
      <c r="M11017" s="10">
        <v>1</v>
      </c>
      <c r="N11017" s="10" t="s">
        <v>47982</v>
      </c>
      <c r="O11017" s="10"/>
      <c r="P11017" s="10" t="s">
        <v>47983</v>
      </c>
      <c r="Q11017" s="10">
        <v>370.71100000000001</v>
      </c>
      <c r="R11017" s="10" t="s">
        <v>47984</v>
      </c>
      <c r="S11017" s="10" t="s">
        <v>53</v>
      </c>
      <c r="T11017" s="10" t="s">
        <v>54</v>
      </c>
    </row>
    <row r="11018" spans="1:20" ht="14.5" x14ac:dyDescent="0.35">
      <c r="A11018" s="10" t="s">
        <v>47985</v>
      </c>
      <c r="B11018" s="10" t="str">
        <f>"9781556203763"</f>
        <v>9781556203763</v>
      </c>
      <c r="C11018" s="10" t="str">
        <f>"9781119535195"</f>
        <v>9781119535195</v>
      </c>
      <c r="D11018" s="10" t="s">
        <v>6322</v>
      </c>
      <c r="E11018" s="10" t="s">
        <v>2011</v>
      </c>
      <c r="F11018" s="10" t="s">
        <v>4423</v>
      </c>
      <c r="G11018" s="10" t="s">
        <v>6317</v>
      </c>
      <c r="H11018" s="11">
        <v>43221</v>
      </c>
      <c r="I11018" s="10">
        <v>2019</v>
      </c>
      <c r="J11018" s="10" t="s">
        <v>2011</v>
      </c>
      <c r="K11018" s="10">
        <v>259</v>
      </c>
      <c r="L11018" s="10" t="s">
        <v>47986</v>
      </c>
      <c r="M11018" s="10">
        <v>1</v>
      </c>
      <c r="N11018" s="10"/>
      <c r="O11018" s="10"/>
      <c r="P11018" s="10"/>
      <c r="Q11018" s="10"/>
      <c r="R11018" s="10" t="s">
        <v>47987</v>
      </c>
      <c r="S11018" s="10" t="s">
        <v>53</v>
      </c>
      <c r="T11018" s="10" t="s">
        <v>54</v>
      </c>
    </row>
    <row r="11019" spans="1:20" ht="14.5" x14ac:dyDescent="0.35">
      <c r="A11019" s="10" t="s">
        <v>47988</v>
      </c>
      <c r="B11019" s="10" t="str">
        <f>"9781119128274"</f>
        <v>9781119128274</v>
      </c>
      <c r="C11019" s="10" t="str">
        <f>"9781119128281"</f>
        <v>9781119128281</v>
      </c>
      <c r="D11019" s="10" t="s">
        <v>6322</v>
      </c>
      <c r="E11019" s="10" t="s">
        <v>6323</v>
      </c>
      <c r="F11019" s="10" t="s">
        <v>4423</v>
      </c>
      <c r="G11019" s="10" t="s">
        <v>6317</v>
      </c>
      <c r="H11019" s="11">
        <v>43424</v>
      </c>
      <c r="I11019" s="10">
        <v>2019</v>
      </c>
      <c r="J11019" s="10" t="s">
        <v>8436</v>
      </c>
      <c r="K11019" s="10">
        <v>667</v>
      </c>
      <c r="L11019" s="10" t="s">
        <v>47989</v>
      </c>
      <c r="M11019" s="10">
        <v>1</v>
      </c>
      <c r="N11019" s="10" t="s">
        <v>41092</v>
      </c>
      <c r="O11019" s="10"/>
      <c r="P11019" s="10"/>
      <c r="Q11019" s="10"/>
      <c r="R11019" s="10" t="s">
        <v>47990</v>
      </c>
      <c r="S11019" s="10" t="s">
        <v>53</v>
      </c>
      <c r="T11019" s="10" t="s">
        <v>54</v>
      </c>
    </row>
    <row r="11020" spans="1:20" ht="14.5" x14ac:dyDescent="0.35">
      <c r="A11020" s="10" t="s">
        <v>47991</v>
      </c>
      <c r="B11020" s="10" t="str">
        <f>"9781947604315"</f>
        <v>9781947604315</v>
      </c>
      <c r="C11020" s="10" t="str">
        <f>"9781947604322"</f>
        <v>9781947604322</v>
      </c>
      <c r="D11020" s="10" t="s">
        <v>37580</v>
      </c>
      <c r="E11020" s="10" t="s">
        <v>37581</v>
      </c>
      <c r="F11020" s="10" t="s">
        <v>37623</v>
      </c>
      <c r="G11020" s="10" t="s">
        <v>6317</v>
      </c>
      <c r="H11020" s="11">
        <v>43364</v>
      </c>
      <c r="I11020" s="10">
        <v>2019</v>
      </c>
      <c r="J11020" s="10" t="s">
        <v>37581</v>
      </c>
      <c r="K11020" s="10">
        <v>360</v>
      </c>
      <c r="L11020" s="10" t="s">
        <v>18671</v>
      </c>
      <c r="M11020" s="10">
        <v>1</v>
      </c>
      <c r="N11020" s="10" t="s">
        <v>44310</v>
      </c>
      <c r="O11020" s="10"/>
      <c r="P11020" s="10" t="s">
        <v>47992</v>
      </c>
      <c r="Q11020" s="10"/>
      <c r="R11020" s="10" t="s">
        <v>44311</v>
      </c>
      <c r="S11020" s="10" t="s">
        <v>53</v>
      </c>
      <c r="T11020" s="10" t="s">
        <v>54</v>
      </c>
    </row>
    <row r="11021" spans="1:20" ht="14.5" x14ac:dyDescent="0.35">
      <c r="A11021" s="10" t="s">
        <v>47993</v>
      </c>
      <c r="B11021" s="10" t="str">
        <f>"9781118931806"</f>
        <v>9781118931806</v>
      </c>
      <c r="C11021" s="10" t="str">
        <f>"9781118931813"</f>
        <v>9781118931813</v>
      </c>
      <c r="D11021" s="10" t="s">
        <v>6322</v>
      </c>
      <c r="E11021" s="10" t="s">
        <v>6323</v>
      </c>
      <c r="F11021" s="10" t="s">
        <v>4423</v>
      </c>
      <c r="G11021" s="10" t="s">
        <v>6317</v>
      </c>
      <c r="H11021" s="11">
        <v>43424</v>
      </c>
      <c r="I11021" s="10">
        <v>2017</v>
      </c>
      <c r="J11021" s="10" t="s">
        <v>8436</v>
      </c>
      <c r="K11021" s="10">
        <v>486</v>
      </c>
      <c r="L11021" s="10" t="s">
        <v>47994</v>
      </c>
      <c r="M11021" s="10">
        <v>1</v>
      </c>
      <c r="N11021" s="10" t="s">
        <v>41092</v>
      </c>
      <c r="O11021" s="10"/>
      <c r="P11021" s="10"/>
      <c r="Q11021" s="10"/>
      <c r="R11021" s="10" t="s">
        <v>47995</v>
      </c>
      <c r="S11021" s="10" t="s">
        <v>53</v>
      </c>
      <c r="T11021" s="10" t="s">
        <v>54</v>
      </c>
    </row>
    <row r="11022" spans="1:20" ht="14.5" x14ac:dyDescent="0.35">
      <c r="A11022" s="10" t="s">
        <v>47996</v>
      </c>
      <c r="B11022" s="10" t="str">
        <f>"9781119527213"</f>
        <v>9781119527213</v>
      </c>
      <c r="C11022" s="10" t="str">
        <f>"9781119527251"</f>
        <v>9781119527251</v>
      </c>
      <c r="D11022" s="10" t="s">
        <v>6322</v>
      </c>
      <c r="E11022" s="10" t="s">
        <v>6323</v>
      </c>
      <c r="F11022" s="10" t="s">
        <v>4423</v>
      </c>
      <c r="G11022" s="10" t="s">
        <v>6352</v>
      </c>
      <c r="H11022" s="11">
        <v>43432</v>
      </c>
      <c r="I11022" s="10">
        <v>2019</v>
      </c>
      <c r="J11022" s="10" t="s">
        <v>6323</v>
      </c>
      <c r="K11022" s="10">
        <v>179</v>
      </c>
      <c r="L11022" s="10" t="s">
        <v>47997</v>
      </c>
      <c r="M11022" s="10">
        <v>1</v>
      </c>
      <c r="N11022" s="10" t="s">
        <v>18839</v>
      </c>
      <c r="O11022" s="10"/>
      <c r="P11022" s="10"/>
      <c r="Q11022" s="10"/>
      <c r="R11022" s="10" t="s">
        <v>47998</v>
      </c>
      <c r="S11022" s="10" t="s">
        <v>53</v>
      </c>
      <c r="T11022" s="10" t="s">
        <v>12015</v>
      </c>
    </row>
    <row r="11023" spans="1:20" ht="14.5" x14ac:dyDescent="0.35">
      <c r="A11023" s="10" t="s">
        <v>47999</v>
      </c>
      <c r="B11023" s="10" t="str">
        <f>"9781787147782"</f>
        <v>9781787147782</v>
      </c>
      <c r="C11023" s="10" t="str">
        <f>"9781787147775"</f>
        <v>9781787147775</v>
      </c>
      <c r="D11023" s="10" t="s">
        <v>8699</v>
      </c>
      <c r="E11023" s="10" t="s">
        <v>8699</v>
      </c>
      <c r="F11023" s="10" t="s">
        <v>559</v>
      </c>
      <c r="G11023" s="10" t="s">
        <v>6352</v>
      </c>
      <c r="H11023" s="11">
        <v>43376</v>
      </c>
      <c r="I11023" s="10">
        <v>2018</v>
      </c>
      <c r="J11023" s="10" t="s">
        <v>8699</v>
      </c>
      <c r="K11023" s="10">
        <v>196</v>
      </c>
      <c r="L11023" s="10" t="s">
        <v>48000</v>
      </c>
      <c r="M11023" s="10">
        <v>1</v>
      </c>
      <c r="N11023" s="10" t="s">
        <v>48001</v>
      </c>
      <c r="O11023" s="10"/>
      <c r="P11023" s="10" t="s">
        <v>11270</v>
      </c>
      <c r="Q11023" s="10">
        <v>371.20010000000002</v>
      </c>
      <c r="R11023" s="10" t="s">
        <v>48002</v>
      </c>
      <c r="S11023" s="10" t="s">
        <v>53</v>
      </c>
      <c r="T11023" s="10" t="s">
        <v>54</v>
      </c>
    </row>
    <row r="11024" spans="1:20" ht="14.5" x14ac:dyDescent="0.35">
      <c r="A11024" s="10" t="s">
        <v>48003</v>
      </c>
      <c r="B11024" s="10" t="str">
        <f>"9781787541306"</f>
        <v>9781787541306</v>
      </c>
      <c r="C11024" s="10" t="str">
        <f>"9781787436909"</f>
        <v>9781787436909</v>
      </c>
      <c r="D11024" s="10" t="s">
        <v>8699</v>
      </c>
      <c r="E11024" s="10" t="s">
        <v>8699</v>
      </c>
      <c r="F11024" s="10" t="s">
        <v>559</v>
      </c>
      <c r="G11024" s="10" t="s">
        <v>6352</v>
      </c>
      <c r="H11024" s="11">
        <v>43367</v>
      </c>
      <c r="I11024" s="10">
        <v>2018</v>
      </c>
      <c r="J11024" s="10" t="s">
        <v>8699</v>
      </c>
      <c r="K11024" s="10">
        <v>203</v>
      </c>
      <c r="L11024" s="10" t="s">
        <v>48004</v>
      </c>
      <c r="M11024" s="10">
        <v>1</v>
      </c>
      <c r="N11024" s="10" t="s">
        <v>46840</v>
      </c>
      <c r="O11024" s="10"/>
      <c r="P11024" s="10" t="s">
        <v>29777</v>
      </c>
      <c r="Q11024" s="10">
        <v>371.9</v>
      </c>
      <c r="R11024" s="10" t="s">
        <v>48005</v>
      </c>
      <c r="S11024" s="10" t="s">
        <v>53</v>
      </c>
      <c r="T11024" s="10" t="s">
        <v>54</v>
      </c>
    </row>
    <row r="11025" spans="1:20" ht="14.5" x14ac:dyDescent="0.35">
      <c r="A11025" s="10" t="s">
        <v>48006</v>
      </c>
      <c r="B11025" s="10" t="str">
        <f>"9781943360253"</f>
        <v>9781943360253</v>
      </c>
      <c r="C11025" s="10" t="str">
        <f>"9781943360260"</f>
        <v>9781943360260</v>
      </c>
      <c r="D11025" s="10" t="s">
        <v>37594</v>
      </c>
      <c r="E11025" s="10" t="s">
        <v>40835</v>
      </c>
      <c r="F11025" s="10" t="s">
        <v>37623</v>
      </c>
      <c r="G11025" s="10" t="s">
        <v>6317</v>
      </c>
      <c r="H11025" s="11">
        <v>43371</v>
      </c>
      <c r="I11025" s="10">
        <v>2019</v>
      </c>
      <c r="J11025" s="10" t="s">
        <v>40835</v>
      </c>
      <c r="K11025" s="10">
        <v>176</v>
      </c>
      <c r="L11025" s="10" t="s">
        <v>48007</v>
      </c>
      <c r="M11025" s="10">
        <v>1</v>
      </c>
      <c r="N11025" s="10"/>
      <c r="O11025" s="10"/>
      <c r="P11025" s="10" t="s">
        <v>48008</v>
      </c>
      <c r="Q11025" s="10"/>
      <c r="R11025" s="10" t="s">
        <v>46740</v>
      </c>
      <c r="S11025" s="10" t="s">
        <v>53</v>
      </c>
      <c r="T11025" s="10" t="s">
        <v>54</v>
      </c>
    </row>
    <row r="11026" spans="1:20" ht="14.5" x14ac:dyDescent="0.35">
      <c r="A11026" s="10" t="s">
        <v>48009</v>
      </c>
      <c r="B11026" s="10" t="str">
        <f>"9781945349836"</f>
        <v>9781945349836</v>
      </c>
      <c r="C11026" s="10" t="str">
        <f>"9781947604001"</f>
        <v>9781947604001</v>
      </c>
      <c r="D11026" s="10" t="s">
        <v>37580</v>
      </c>
      <c r="E11026" s="10" t="s">
        <v>37581</v>
      </c>
      <c r="F11026" s="10" t="s">
        <v>37623</v>
      </c>
      <c r="G11026" s="10" t="s">
        <v>6317</v>
      </c>
      <c r="H11026" s="11">
        <v>43374</v>
      </c>
      <c r="I11026" s="10">
        <v>2019</v>
      </c>
      <c r="J11026" s="10" t="s">
        <v>37581</v>
      </c>
      <c r="K11026" s="10">
        <v>208</v>
      </c>
      <c r="L11026" s="10" t="s">
        <v>48010</v>
      </c>
      <c r="M11026" s="10">
        <v>1</v>
      </c>
      <c r="N11026" s="10"/>
      <c r="O11026" s="10"/>
      <c r="P11026" s="10" t="s">
        <v>48011</v>
      </c>
      <c r="Q11026" s="10"/>
      <c r="R11026" s="10"/>
      <c r="S11026" s="10" t="s">
        <v>53</v>
      </c>
      <c r="T11026" s="10" t="s">
        <v>54</v>
      </c>
    </row>
    <row r="11027" spans="1:20" ht="14.5" x14ac:dyDescent="0.35">
      <c r="A11027" s="10" t="s">
        <v>48012</v>
      </c>
      <c r="B11027" s="10" t="str">
        <f>"9781620362990"</f>
        <v>9781620362990</v>
      </c>
      <c r="C11027" s="10" t="str">
        <f>"9781000971491"</f>
        <v>9781000971491</v>
      </c>
      <c r="D11027" s="10" t="s">
        <v>6350</v>
      </c>
      <c r="E11027" s="10" t="s">
        <v>6351</v>
      </c>
      <c r="F11027" s="10" t="s">
        <v>14733</v>
      </c>
      <c r="G11027" s="10" t="s">
        <v>6317</v>
      </c>
      <c r="H11027" s="11">
        <v>42523</v>
      </c>
      <c r="I11027" s="10">
        <v>2016</v>
      </c>
      <c r="J11027" s="10" t="s">
        <v>6353</v>
      </c>
      <c r="K11027" s="10">
        <v>286</v>
      </c>
      <c r="L11027" s="10" t="s">
        <v>48013</v>
      </c>
      <c r="M11027" s="10">
        <v>1</v>
      </c>
      <c r="N11027" s="10"/>
      <c r="O11027" s="10"/>
      <c r="P11027" s="10" t="s">
        <v>48014</v>
      </c>
      <c r="Q11027" s="10">
        <v>371.10199999999998</v>
      </c>
      <c r="R11027" s="10" t="s">
        <v>48015</v>
      </c>
      <c r="S11027" s="10" t="s">
        <v>53</v>
      </c>
      <c r="T11027" s="10" t="s">
        <v>54</v>
      </c>
    </row>
    <row r="11028" spans="1:20" ht="14.5" x14ac:dyDescent="0.35">
      <c r="A11028" s="10" t="s">
        <v>48016</v>
      </c>
      <c r="B11028" s="10" t="str">
        <f>"9781350040069"</f>
        <v>9781350040069</v>
      </c>
      <c r="C11028" s="10" t="str">
        <f>"9781350040083"</f>
        <v>9781350040083</v>
      </c>
      <c r="D11028" s="10" t="s">
        <v>13959</v>
      </c>
      <c r="E11028" s="10" t="s">
        <v>13960</v>
      </c>
      <c r="F11028" s="10" t="s">
        <v>139</v>
      </c>
      <c r="G11028" s="10" t="s">
        <v>6352</v>
      </c>
      <c r="H11028" s="11">
        <v>43377</v>
      </c>
      <c r="I11028" s="10">
        <v>2018</v>
      </c>
      <c r="J11028" s="10" t="s">
        <v>14057</v>
      </c>
      <c r="K11028" s="10">
        <v>260</v>
      </c>
      <c r="L11028" s="10" t="s">
        <v>48017</v>
      </c>
      <c r="M11028" s="10">
        <v>1</v>
      </c>
      <c r="N11028" s="10" t="s">
        <v>45593</v>
      </c>
      <c r="O11028" s="10"/>
      <c r="P11028" s="10" t="s">
        <v>48018</v>
      </c>
      <c r="Q11028" s="10">
        <v>379</v>
      </c>
      <c r="R11028" s="10" t="s">
        <v>48019</v>
      </c>
      <c r="S11028" s="10" t="s">
        <v>53</v>
      </c>
      <c r="T11028" s="10" t="s">
        <v>54</v>
      </c>
    </row>
    <row r="11029" spans="1:20" ht="14.5" x14ac:dyDescent="0.35">
      <c r="A11029" s="10" t="s">
        <v>47555</v>
      </c>
      <c r="B11029" s="10" t="str">
        <f>"9781925495461"</f>
        <v>9781925495461</v>
      </c>
      <c r="C11029" s="10" t="str">
        <f>"9781925495515"</f>
        <v>9781925495515</v>
      </c>
      <c r="D11029" s="10" t="s">
        <v>12973</v>
      </c>
      <c r="E11029" s="10" t="s">
        <v>31250</v>
      </c>
      <c r="F11029" s="10" t="s">
        <v>1150</v>
      </c>
      <c r="G11029" s="10" t="s">
        <v>12975</v>
      </c>
      <c r="H11029" s="11">
        <v>43191</v>
      </c>
      <c r="I11029" s="10">
        <v>2018</v>
      </c>
      <c r="J11029" s="10" t="s">
        <v>31250</v>
      </c>
      <c r="K11029" s="10">
        <v>354</v>
      </c>
      <c r="L11029" s="10" t="s">
        <v>47556</v>
      </c>
      <c r="M11029" s="10">
        <v>1</v>
      </c>
      <c r="N11029" s="10"/>
      <c r="O11029" s="10"/>
      <c r="P11029" s="10" t="s">
        <v>47558</v>
      </c>
      <c r="Q11029" s="10">
        <v>379.94</v>
      </c>
      <c r="R11029" s="10" t="s">
        <v>48020</v>
      </c>
      <c r="S11029" s="10" t="s">
        <v>53</v>
      </c>
      <c r="T11029" s="10" t="s">
        <v>54</v>
      </c>
    </row>
    <row r="11030" spans="1:20" ht="14.5" x14ac:dyDescent="0.35">
      <c r="A11030" s="10" t="s">
        <v>48021</v>
      </c>
      <c r="B11030" s="10" t="str">
        <f>"9781475842944"</f>
        <v>9781475842944</v>
      </c>
      <c r="C11030" s="10" t="str">
        <f>"9781475842968"</f>
        <v>9781475842968</v>
      </c>
      <c r="D11030" s="10" t="s">
        <v>9752</v>
      </c>
      <c r="E11030" s="10" t="s">
        <v>15187</v>
      </c>
      <c r="F11030" s="10" t="s">
        <v>9754</v>
      </c>
      <c r="G11030" s="10" t="s">
        <v>6317</v>
      </c>
      <c r="H11030" s="11">
        <v>43418</v>
      </c>
      <c r="I11030" s="10">
        <v>2018</v>
      </c>
      <c r="J11030" s="10" t="s">
        <v>15187</v>
      </c>
      <c r="K11030" s="10">
        <v>169</v>
      </c>
      <c r="L11030" s="10" t="s">
        <v>48022</v>
      </c>
      <c r="M11030" s="10">
        <v>2</v>
      </c>
      <c r="N11030" s="10"/>
      <c r="O11030" s="10"/>
      <c r="P11030" s="10" t="s">
        <v>48023</v>
      </c>
      <c r="Q11030" s="10"/>
      <c r="R11030" s="10" t="s">
        <v>48024</v>
      </c>
      <c r="S11030" s="10" t="s">
        <v>53</v>
      </c>
      <c r="T11030" s="10" t="s">
        <v>54</v>
      </c>
    </row>
    <row r="11031" spans="1:20" ht="14.5" x14ac:dyDescent="0.35">
      <c r="A11031" s="10" t="s">
        <v>48025</v>
      </c>
      <c r="B11031" s="10" t="str">
        <f>"9781138283640"</f>
        <v>9781138283640</v>
      </c>
      <c r="C11031" s="10" t="str">
        <f>"9781351981217"</f>
        <v>9781351981217</v>
      </c>
      <c r="D11031" s="10" t="s">
        <v>6350</v>
      </c>
      <c r="E11031" s="10" t="s">
        <v>6351</v>
      </c>
      <c r="F11031" s="10" t="s">
        <v>3967</v>
      </c>
      <c r="G11031" s="10" t="s">
        <v>6352</v>
      </c>
      <c r="H11031" s="11">
        <v>11140</v>
      </c>
      <c r="I11031" s="10">
        <v>1930</v>
      </c>
      <c r="J11031" s="10" t="s">
        <v>6353</v>
      </c>
      <c r="K11031" s="10">
        <v>299</v>
      </c>
      <c r="L11031" s="10" t="s">
        <v>48026</v>
      </c>
      <c r="M11031" s="10">
        <v>1</v>
      </c>
      <c r="N11031" s="10" t="s">
        <v>45769</v>
      </c>
      <c r="O11031" s="10"/>
      <c r="P11031" s="10" t="s">
        <v>48027</v>
      </c>
      <c r="Q11031" s="10">
        <v>370.15</v>
      </c>
      <c r="R11031" s="10" t="s">
        <v>19020</v>
      </c>
      <c r="S11031" s="10" t="s">
        <v>53</v>
      </c>
      <c r="T11031" s="10" t="s">
        <v>54</v>
      </c>
    </row>
    <row r="11032" spans="1:20" ht="14.5" x14ac:dyDescent="0.35">
      <c r="A11032" s="10" t="s">
        <v>48028</v>
      </c>
      <c r="B11032" s="10" t="str">
        <f>"9781475835038"</f>
        <v>9781475835038</v>
      </c>
      <c r="C11032" s="10" t="str">
        <f>"9781475835045"</f>
        <v>9781475835045</v>
      </c>
      <c r="D11032" s="10" t="s">
        <v>9752</v>
      </c>
      <c r="E11032" s="10" t="s">
        <v>15187</v>
      </c>
      <c r="F11032" s="10" t="s">
        <v>9754</v>
      </c>
      <c r="G11032" s="10" t="s">
        <v>6317</v>
      </c>
      <c r="H11032" s="11">
        <v>43409</v>
      </c>
      <c r="I11032" s="10">
        <v>2018</v>
      </c>
      <c r="J11032" s="10" t="s">
        <v>15187</v>
      </c>
      <c r="K11032" s="10">
        <v>209</v>
      </c>
      <c r="L11032" s="10" t="s">
        <v>45439</v>
      </c>
      <c r="M11032" s="10">
        <v>1</v>
      </c>
      <c r="N11032" s="10"/>
      <c r="O11032" s="10"/>
      <c r="P11032" s="10" t="s">
        <v>48029</v>
      </c>
      <c r="Q11032" s="10">
        <v>370.11709730000001</v>
      </c>
      <c r="R11032" s="10" t="s">
        <v>48030</v>
      </c>
      <c r="S11032" s="10" t="s">
        <v>53</v>
      </c>
      <c r="T11032" s="10" t="s">
        <v>54</v>
      </c>
    </row>
    <row r="11033" spans="1:20" ht="14.5" x14ac:dyDescent="0.35">
      <c r="A11033" s="10" t="s">
        <v>48031</v>
      </c>
      <c r="B11033" s="10" t="str">
        <f>"9781475840889"</f>
        <v>9781475840889</v>
      </c>
      <c r="C11033" s="10" t="str">
        <f>"9781475840902"</f>
        <v>9781475840902</v>
      </c>
      <c r="D11033" s="10" t="s">
        <v>9752</v>
      </c>
      <c r="E11033" s="10" t="s">
        <v>15187</v>
      </c>
      <c r="F11033" s="10" t="s">
        <v>9754</v>
      </c>
      <c r="G11033" s="10" t="s">
        <v>6317</v>
      </c>
      <c r="H11033" s="11">
        <v>43404</v>
      </c>
      <c r="I11033" s="10">
        <v>2018</v>
      </c>
      <c r="J11033" s="10" t="s">
        <v>15187</v>
      </c>
      <c r="K11033" s="10">
        <v>142</v>
      </c>
      <c r="L11033" s="10" t="s">
        <v>48032</v>
      </c>
      <c r="M11033" s="10">
        <v>1</v>
      </c>
      <c r="N11033" s="10"/>
      <c r="O11033" s="10"/>
      <c r="P11033" s="10" t="s">
        <v>48033</v>
      </c>
      <c r="Q11033" s="10">
        <v>372.4</v>
      </c>
      <c r="R11033" s="10" t="s">
        <v>48034</v>
      </c>
      <c r="S11033" s="10" t="s">
        <v>53</v>
      </c>
      <c r="T11033" s="10" t="s">
        <v>54</v>
      </c>
    </row>
    <row r="11034" spans="1:20" ht="14.5" x14ac:dyDescent="0.35">
      <c r="A11034" s="10" t="s">
        <v>48035</v>
      </c>
      <c r="B11034" s="10" t="str">
        <f>"9781787692558"</f>
        <v>9781787692558</v>
      </c>
      <c r="C11034" s="10" t="str">
        <f>"9781787692565"</f>
        <v>9781787692565</v>
      </c>
      <c r="D11034" s="10" t="s">
        <v>8699</v>
      </c>
      <c r="E11034" s="10" t="s">
        <v>8699</v>
      </c>
      <c r="F11034" s="10" t="s">
        <v>41843</v>
      </c>
      <c r="G11034" s="10" t="s">
        <v>6352</v>
      </c>
      <c r="H11034" s="11">
        <v>43340</v>
      </c>
      <c r="I11034" s="10">
        <v>2018</v>
      </c>
      <c r="J11034" s="10" t="s">
        <v>8699</v>
      </c>
      <c r="K11034" s="10">
        <v>121</v>
      </c>
      <c r="L11034" s="10" t="s">
        <v>48036</v>
      </c>
      <c r="M11034" s="10">
        <v>1</v>
      </c>
      <c r="N11034" s="10" t="s">
        <v>48037</v>
      </c>
      <c r="O11034" s="10">
        <v>2</v>
      </c>
      <c r="P11034" s="10" t="s">
        <v>48038</v>
      </c>
      <c r="Q11034" s="10">
        <v>371.2</v>
      </c>
      <c r="R11034" s="10" t="s">
        <v>18815</v>
      </c>
      <c r="S11034" s="10" t="s">
        <v>53</v>
      </c>
      <c r="T11034" s="10" t="s">
        <v>54</v>
      </c>
    </row>
    <row r="11035" spans="1:20" ht="14.5" x14ac:dyDescent="0.35">
      <c r="A11035" s="10" t="s">
        <v>48039</v>
      </c>
      <c r="B11035" s="10" t="str">
        <f>"9781787697096"</f>
        <v>9781787697096</v>
      </c>
      <c r="C11035" s="10" t="str">
        <f>"9781787697102"</f>
        <v>9781787697102</v>
      </c>
      <c r="D11035" s="10" t="s">
        <v>8699</v>
      </c>
      <c r="E11035" s="10" t="s">
        <v>8699</v>
      </c>
      <c r="F11035" s="10" t="s">
        <v>41843</v>
      </c>
      <c r="G11035" s="10" t="s">
        <v>6352</v>
      </c>
      <c r="H11035" s="11">
        <v>43329</v>
      </c>
      <c r="I11035" s="10">
        <v>2018</v>
      </c>
      <c r="J11035" s="10" t="s">
        <v>8699</v>
      </c>
      <c r="K11035" s="10">
        <v>129</v>
      </c>
      <c r="L11035" s="10" t="s">
        <v>48040</v>
      </c>
      <c r="M11035" s="10">
        <v>1</v>
      </c>
      <c r="N11035" s="10" t="s">
        <v>48041</v>
      </c>
      <c r="O11035" s="10">
        <v>3</v>
      </c>
      <c r="P11035" s="10" t="s">
        <v>48042</v>
      </c>
      <c r="Q11035" s="10">
        <v>370.113</v>
      </c>
      <c r="R11035" s="10" t="s">
        <v>48043</v>
      </c>
      <c r="S11035" s="10" t="s">
        <v>53</v>
      </c>
      <c r="T11035" s="10" t="s">
        <v>54</v>
      </c>
    </row>
    <row r="11036" spans="1:20" ht="14.5" x14ac:dyDescent="0.35">
      <c r="A11036" s="10" t="s">
        <v>48044</v>
      </c>
      <c r="B11036" s="10" t="str">
        <f>"9781614489030"</f>
        <v>9781614489030</v>
      </c>
      <c r="C11036" s="10" t="str">
        <f>"9781614485780"</f>
        <v>9781614485780</v>
      </c>
      <c r="D11036" s="10" t="s">
        <v>6358</v>
      </c>
      <c r="E11036" s="10" t="s">
        <v>48045</v>
      </c>
      <c r="F11036" s="10" t="s">
        <v>39534</v>
      </c>
      <c r="G11036" s="10" t="s">
        <v>6317</v>
      </c>
      <c r="H11036" s="11">
        <v>41640</v>
      </c>
      <c r="I11036" s="10">
        <v>2014</v>
      </c>
      <c r="J11036" s="10" t="s">
        <v>48045</v>
      </c>
      <c r="K11036" s="10">
        <v>144</v>
      </c>
      <c r="L11036" s="10" t="s">
        <v>48046</v>
      </c>
      <c r="M11036" s="10">
        <v>1</v>
      </c>
      <c r="N11036" s="10"/>
      <c r="O11036" s="10"/>
      <c r="P11036" s="10" t="s">
        <v>48047</v>
      </c>
      <c r="Q11036" s="10">
        <v>955</v>
      </c>
      <c r="R11036" s="10" t="s">
        <v>48048</v>
      </c>
      <c r="S11036" s="10" t="s">
        <v>53</v>
      </c>
      <c r="T11036" s="10" t="s">
        <v>4490</v>
      </c>
    </row>
    <row r="11037" spans="1:20" ht="14.5" x14ac:dyDescent="0.35">
      <c r="A11037" s="10" t="s">
        <v>48049</v>
      </c>
      <c r="B11037" s="10" t="str">
        <f>"9781945349881"</f>
        <v>9781945349881</v>
      </c>
      <c r="C11037" s="10" t="str">
        <f>"9781945349898"</f>
        <v>9781945349898</v>
      </c>
      <c r="D11037" s="10" t="s">
        <v>37580</v>
      </c>
      <c r="E11037" s="10" t="s">
        <v>37581</v>
      </c>
      <c r="F11037" s="10" t="s">
        <v>37623</v>
      </c>
      <c r="G11037" s="10" t="s">
        <v>6317</v>
      </c>
      <c r="H11037" s="11">
        <v>43392</v>
      </c>
      <c r="I11037" s="10">
        <v>2019</v>
      </c>
      <c r="J11037" s="10" t="s">
        <v>37581</v>
      </c>
      <c r="K11037" s="10">
        <v>128</v>
      </c>
      <c r="L11037" s="10" t="s">
        <v>43976</v>
      </c>
      <c r="M11037" s="10">
        <v>1</v>
      </c>
      <c r="N11037" s="10"/>
      <c r="O11037" s="10"/>
      <c r="P11037" s="10" t="s">
        <v>48050</v>
      </c>
      <c r="Q11037" s="10"/>
      <c r="R11037" s="10" t="s">
        <v>48051</v>
      </c>
      <c r="S11037" s="10" t="s">
        <v>53</v>
      </c>
      <c r="T11037" s="10" t="s">
        <v>54</v>
      </c>
    </row>
    <row r="11038" spans="1:20" ht="14.5" x14ac:dyDescent="0.35">
      <c r="A11038" s="10" t="s">
        <v>48052</v>
      </c>
      <c r="B11038" s="10" t="str">
        <f>"9781787692466"</f>
        <v>9781787692466</v>
      </c>
      <c r="C11038" s="10" t="str">
        <f>"9781787692459"</f>
        <v>9781787692459</v>
      </c>
      <c r="D11038" s="10" t="s">
        <v>8699</v>
      </c>
      <c r="E11038" s="10" t="s">
        <v>8699</v>
      </c>
      <c r="F11038" s="10" t="s">
        <v>559</v>
      </c>
      <c r="G11038" s="10" t="s">
        <v>6352</v>
      </c>
      <c r="H11038" s="11">
        <v>43385</v>
      </c>
      <c r="I11038" s="10">
        <v>2019</v>
      </c>
      <c r="J11038" s="10" t="s">
        <v>8699</v>
      </c>
      <c r="K11038" s="10">
        <v>177</v>
      </c>
      <c r="L11038" s="10" t="s">
        <v>48053</v>
      </c>
      <c r="M11038" s="10">
        <v>1</v>
      </c>
      <c r="N11038" s="10"/>
      <c r="O11038" s="10"/>
      <c r="P11038" s="10" t="s">
        <v>48054</v>
      </c>
      <c r="Q11038" s="10">
        <v>370</v>
      </c>
      <c r="R11038" s="10" t="s">
        <v>48055</v>
      </c>
      <c r="S11038" s="10" t="s">
        <v>53</v>
      </c>
      <c r="T11038" s="10" t="s">
        <v>54</v>
      </c>
    </row>
    <row r="11039" spans="1:20" ht="14.5" x14ac:dyDescent="0.35">
      <c r="A11039" s="10" t="s">
        <v>48056</v>
      </c>
      <c r="B11039" s="10" t="str">
        <f>""</f>
        <v/>
      </c>
      <c r="C11039" s="10" t="str">
        <f>"9780838916926"</f>
        <v>9780838916926</v>
      </c>
      <c r="D11039" s="10" t="s">
        <v>15366</v>
      </c>
      <c r="E11039" s="10" t="s">
        <v>382</v>
      </c>
      <c r="F11039" s="10" t="s">
        <v>324</v>
      </c>
      <c r="G11039" s="10" t="s">
        <v>6317</v>
      </c>
      <c r="H11039" s="11">
        <v>43110</v>
      </c>
      <c r="I11039" s="10">
        <v>2018</v>
      </c>
      <c r="J11039" s="10" t="s">
        <v>382</v>
      </c>
      <c r="K11039" s="10">
        <v>169</v>
      </c>
      <c r="L11039" s="10" t="s">
        <v>48057</v>
      </c>
      <c r="M11039" s="10">
        <v>1</v>
      </c>
      <c r="N11039" s="10"/>
      <c r="O11039" s="10"/>
      <c r="P11039" s="10" t="s">
        <v>48058</v>
      </c>
      <c r="Q11039" s="10">
        <v>28.708659999999998</v>
      </c>
      <c r="R11039" s="10" t="s">
        <v>48059</v>
      </c>
      <c r="S11039" s="10" t="s">
        <v>53</v>
      </c>
      <c r="T11039" s="10" t="s">
        <v>6601</v>
      </c>
    </row>
    <row r="11040" spans="1:20" ht="14.5" x14ac:dyDescent="0.35">
      <c r="A11040" s="10" t="s">
        <v>48060</v>
      </c>
      <c r="B11040" s="10" t="str">
        <f>"9781350043572"</f>
        <v>9781350043572</v>
      </c>
      <c r="C11040" s="10" t="str">
        <f>"9781350043589"</f>
        <v>9781350043589</v>
      </c>
      <c r="D11040" s="10" t="s">
        <v>13959</v>
      </c>
      <c r="E11040" s="10" t="s">
        <v>13960</v>
      </c>
      <c r="F11040" s="10" t="s">
        <v>139</v>
      </c>
      <c r="G11040" s="10" t="s">
        <v>6352</v>
      </c>
      <c r="H11040" s="11">
        <v>43307</v>
      </c>
      <c r="I11040" s="10">
        <v>2018</v>
      </c>
      <c r="J11040" s="10" t="s">
        <v>14057</v>
      </c>
      <c r="K11040" s="10">
        <v>292</v>
      </c>
      <c r="L11040" s="10" t="s">
        <v>48061</v>
      </c>
      <c r="M11040" s="10">
        <v>1</v>
      </c>
      <c r="N11040" s="10" t="s">
        <v>45494</v>
      </c>
      <c r="O11040" s="10"/>
      <c r="P11040" s="10" t="s">
        <v>48062</v>
      </c>
      <c r="Q11040" s="10" t="s">
        <v>10227</v>
      </c>
      <c r="R11040" s="10" t="s">
        <v>48063</v>
      </c>
      <c r="S11040" s="10" t="s">
        <v>53</v>
      </c>
      <c r="T11040" s="10" t="s">
        <v>54</v>
      </c>
    </row>
    <row r="11041" spans="1:20" ht="14.5" x14ac:dyDescent="0.35">
      <c r="A11041" s="10" t="s">
        <v>48064</v>
      </c>
      <c r="B11041" s="10" t="str">
        <f>"9781474278850"</f>
        <v>9781474278850</v>
      </c>
      <c r="C11041" s="10" t="str">
        <f>"9781474278843"</f>
        <v>9781474278843</v>
      </c>
      <c r="D11041" s="10" t="s">
        <v>13959</v>
      </c>
      <c r="E11041" s="10" t="s">
        <v>13960</v>
      </c>
      <c r="F11041" s="10" t="s">
        <v>139</v>
      </c>
      <c r="G11041" s="10" t="s">
        <v>6352</v>
      </c>
      <c r="H11041" s="11">
        <v>43321</v>
      </c>
      <c r="I11041" s="10">
        <v>2018</v>
      </c>
      <c r="J11041" s="10" t="s">
        <v>14057</v>
      </c>
      <c r="K11041" s="10">
        <v>224</v>
      </c>
      <c r="L11041" s="10" t="s">
        <v>48065</v>
      </c>
      <c r="M11041" s="10">
        <v>1</v>
      </c>
      <c r="N11041" s="10" t="s">
        <v>45789</v>
      </c>
      <c r="O11041" s="10"/>
      <c r="P11041" s="10" t="s">
        <v>48066</v>
      </c>
      <c r="Q11041" s="10">
        <v>370.11399999999998</v>
      </c>
      <c r="R11041" s="10" t="s">
        <v>48067</v>
      </c>
      <c r="S11041" s="10" t="s">
        <v>53</v>
      </c>
      <c r="T11041" s="10" t="s">
        <v>54</v>
      </c>
    </row>
    <row r="11042" spans="1:20" ht="14.5" x14ac:dyDescent="0.35">
      <c r="A11042" s="10" t="s">
        <v>48068</v>
      </c>
      <c r="B11042" s="10" t="str">
        <f>"9781785923777"</f>
        <v>9781785923777</v>
      </c>
      <c r="C11042" s="10" t="str">
        <f>"9781784507251"</f>
        <v>9781784507251</v>
      </c>
      <c r="D11042" s="10" t="s">
        <v>10516</v>
      </c>
      <c r="E11042" s="10" t="s">
        <v>10516</v>
      </c>
      <c r="F11042" s="10" t="s">
        <v>139</v>
      </c>
      <c r="G11042" s="10" t="s">
        <v>6352</v>
      </c>
      <c r="H11042" s="11">
        <v>43391</v>
      </c>
      <c r="I11042" s="10">
        <v>2018</v>
      </c>
      <c r="J11042" s="10" t="s">
        <v>10516</v>
      </c>
      <c r="K11042" s="10">
        <v>322</v>
      </c>
      <c r="L11042" s="10" t="s">
        <v>48069</v>
      </c>
      <c r="M11042" s="10">
        <v>1</v>
      </c>
      <c r="N11042" s="10"/>
      <c r="O11042" s="10"/>
      <c r="P11042" s="10"/>
      <c r="Q11042" s="10">
        <v>371.9144</v>
      </c>
      <c r="R11042" s="10"/>
      <c r="S11042" s="10" t="s">
        <v>53</v>
      </c>
      <c r="T11042" s="10" t="s">
        <v>54</v>
      </c>
    </row>
    <row r="11043" spans="1:20" ht="14.5" x14ac:dyDescent="0.35">
      <c r="A11043" s="10" t="s">
        <v>48070</v>
      </c>
      <c r="B11043" s="10" t="str">
        <f>"9781408133187"</f>
        <v>9781408133187</v>
      </c>
      <c r="C11043" s="10" t="str">
        <f>"9781408165508"</f>
        <v>9781408165508</v>
      </c>
      <c r="D11043" s="10" t="s">
        <v>13959</v>
      </c>
      <c r="E11043" s="10" t="s">
        <v>13960</v>
      </c>
      <c r="F11043" s="10" t="s">
        <v>139</v>
      </c>
      <c r="G11043" s="10" t="s">
        <v>6352</v>
      </c>
      <c r="H11043" s="11">
        <v>40791</v>
      </c>
      <c r="I11043" s="10">
        <v>2011</v>
      </c>
      <c r="J11043" s="10" t="s">
        <v>13960</v>
      </c>
      <c r="K11043" s="10">
        <v>253</v>
      </c>
      <c r="L11043" s="10" t="s">
        <v>48071</v>
      </c>
      <c r="M11043" s="10">
        <v>1</v>
      </c>
      <c r="N11043" s="10"/>
      <c r="O11043" s="10"/>
      <c r="P11043" s="10" t="s">
        <v>48072</v>
      </c>
      <c r="Q11043" s="10">
        <v>613.71087</v>
      </c>
      <c r="R11043" s="10" t="s">
        <v>48073</v>
      </c>
      <c r="S11043" s="10" t="s">
        <v>53</v>
      </c>
      <c r="T11043" s="10" t="s">
        <v>6791</v>
      </c>
    </row>
    <row r="11044" spans="1:20" ht="14.5" x14ac:dyDescent="0.35">
      <c r="A11044" s="10" t="s">
        <v>48074</v>
      </c>
      <c r="B11044" s="10" t="str">
        <f>"9781681250847"</f>
        <v>9781681250847</v>
      </c>
      <c r="C11044" s="10" t="str">
        <f>"9781681253121"</f>
        <v>9781681253121</v>
      </c>
      <c r="D11044" s="10" t="s">
        <v>28876</v>
      </c>
      <c r="E11044" s="10" t="s">
        <v>28877</v>
      </c>
      <c r="F11044" s="10" t="s">
        <v>39534</v>
      </c>
      <c r="G11044" s="10" t="s">
        <v>6317</v>
      </c>
      <c r="H11044" s="11">
        <v>43344</v>
      </c>
      <c r="I11044" s="10">
        <v>2018</v>
      </c>
      <c r="J11044" s="10" t="s">
        <v>28877</v>
      </c>
      <c r="K11044" s="10">
        <v>217</v>
      </c>
      <c r="L11044" s="10" t="s">
        <v>48075</v>
      </c>
      <c r="M11044" s="10">
        <v>2</v>
      </c>
      <c r="N11044" s="10"/>
      <c r="O11044" s="10"/>
      <c r="P11044" s="10" t="s">
        <v>48076</v>
      </c>
      <c r="Q11044" s="10" t="s">
        <v>47388</v>
      </c>
      <c r="R11044" s="10" t="s">
        <v>48077</v>
      </c>
      <c r="S11044" s="10" t="s">
        <v>53</v>
      </c>
      <c r="T11044" s="10" t="s">
        <v>6526</v>
      </c>
    </row>
    <row r="11045" spans="1:20" ht="14.5" x14ac:dyDescent="0.35">
      <c r="A11045" s="10" t="s">
        <v>48078</v>
      </c>
      <c r="B11045" s="10" t="str">
        <f>"9781912508242"</f>
        <v>9781912508242</v>
      </c>
      <c r="C11045" s="10" t="str">
        <f>"9781912508266"</f>
        <v>9781912508266</v>
      </c>
      <c r="D11045" s="10" t="s">
        <v>9533</v>
      </c>
      <c r="E11045" s="10" t="s">
        <v>26840</v>
      </c>
      <c r="F11045" s="10" t="s">
        <v>47715</v>
      </c>
      <c r="G11045" s="10" t="s">
        <v>6352</v>
      </c>
      <c r="H11045" s="11">
        <v>43390</v>
      </c>
      <c r="I11045" s="10">
        <v>2018</v>
      </c>
      <c r="J11045" s="10" t="s">
        <v>26840</v>
      </c>
      <c r="K11045" s="10">
        <v>104</v>
      </c>
      <c r="L11045" s="10" t="s">
        <v>48079</v>
      </c>
      <c r="M11045" s="10">
        <v>1</v>
      </c>
      <c r="N11045" s="10" t="s">
        <v>29029</v>
      </c>
      <c r="O11045" s="10"/>
      <c r="P11045" s="10" t="s">
        <v>48080</v>
      </c>
      <c r="Q11045" s="10">
        <v>372.21071000000001</v>
      </c>
      <c r="R11045" s="10" t="s">
        <v>48081</v>
      </c>
      <c r="S11045" s="10" t="s">
        <v>53</v>
      </c>
      <c r="T11045" s="10" t="s">
        <v>54</v>
      </c>
    </row>
    <row r="11046" spans="1:20" ht="14.5" x14ac:dyDescent="0.35">
      <c r="A11046" s="10" t="s">
        <v>48082</v>
      </c>
      <c r="B11046" s="10" t="str">
        <f>"9781786303042"</f>
        <v>9781786303042</v>
      </c>
      <c r="C11046" s="10" t="str">
        <f>"9781119557067"</f>
        <v>9781119557067</v>
      </c>
      <c r="D11046" s="10" t="s">
        <v>6322</v>
      </c>
      <c r="E11046" s="10" t="s">
        <v>6323</v>
      </c>
      <c r="F11046" s="10" t="s">
        <v>4423</v>
      </c>
      <c r="G11046" s="10" t="s">
        <v>6317</v>
      </c>
      <c r="H11046" s="11">
        <v>43452</v>
      </c>
      <c r="I11046" s="10">
        <v>2019</v>
      </c>
      <c r="J11046" s="10" t="s">
        <v>29411</v>
      </c>
      <c r="K11046" s="10">
        <v>300</v>
      </c>
      <c r="L11046" s="10" t="s">
        <v>48083</v>
      </c>
      <c r="M11046" s="10">
        <v>1</v>
      </c>
      <c r="N11046" s="10"/>
      <c r="O11046" s="10"/>
      <c r="P11046" s="10"/>
      <c r="Q11046" s="10">
        <v>370.11</v>
      </c>
      <c r="R11046" s="10" t="s">
        <v>48084</v>
      </c>
      <c r="S11046" s="10" t="s">
        <v>53</v>
      </c>
      <c r="T11046" s="10" t="s">
        <v>54</v>
      </c>
    </row>
    <row r="11047" spans="1:20" ht="14.5" x14ac:dyDescent="0.35">
      <c r="A11047" s="10" t="s">
        <v>48085</v>
      </c>
      <c r="B11047" s="10" t="str">
        <f>"9781787690783"</f>
        <v>9781787690783</v>
      </c>
      <c r="C11047" s="10" t="str">
        <f>"9781787690776"</f>
        <v>9781787690776</v>
      </c>
      <c r="D11047" s="10" t="s">
        <v>8699</v>
      </c>
      <c r="E11047" s="10" t="s">
        <v>8699</v>
      </c>
      <c r="F11047" s="10" t="s">
        <v>559</v>
      </c>
      <c r="G11047" s="10" t="s">
        <v>6352</v>
      </c>
      <c r="H11047" s="11">
        <v>43403</v>
      </c>
      <c r="I11047" s="10">
        <v>2018</v>
      </c>
      <c r="J11047" s="10" t="s">
        <v>8699</v>
      </c>
      <c r="K11047" s="10">
        <v>237</v>
      </c>
      <c r="L11047" s="10" t="s">
        <v>48086</v>
      </c>
      <c r="M11047" s="10">
        <v>1</v>
      </c>
      <c r="N11047" s="10" t="s">
        <v>14542</v>
      </c>
      <c r="O11047" s="10">
        <v>20</v>
      </c>
      <c r="P11047" s="10" t="s">
        <v>48087</v>
      </c>
      <c r="Q11047" s="10">
        <v>306.43</v>
      </c>
      <c r="R11047" s="10" t="s">
        <v>48088</v>
      </c>
      <c r="S11047" s="10" t="s">
        <v>53</v>
      </c>
      <c r="T11047" s="10" t="s">
        <v>6363</v>
      </c>
    </row>
    <row r="11048" spans="1:20" ht="14.5" x14ac:dyDescent="0.35">
      <c r="A11048" s="10" t="s">
        <v>48089</v>
      </c>
      <c r="B11048" s="10" t="str">
        <f>""</f>
        <v/>
      </c>
      <c r="C11048" s="10" t="str">
        <f>"9781501728969"</f>
        <v>9781501728969</v>
      </c>
      <c r="D11048" s="10" t="s">
        <v>9533</v>
      </c>
      <c r="E11048" s="10" t="s">
        <v>5258</v>
      </c>
      <c r="F11048" s="10" t="s">
        <v>2536</v>
      </c>
      <c r="G11048" s="10" t="s">
        <v>6317</v>
      </c>
      <c r="H11048" s="11">
        <v>43419</v>
      </c>
      <c r="I11048" s="10">
        <v>2018</v>
      </c>
      <c r="J11048" s="10" t="s">
        <v>5258</v>
      </c>
      <c r="K11048" s="10">
        <v>216</v>
      </c>
      <c r="L11048" s="10" t="s">
        <v>48090</v>
      </c>
      <c r="M11048" s="10">
        <v>1</v>
      </c>
      <c r="N11048" s="10"/>
      <c r="O11048" s="10"/>
      <c r="P11048" s="10" t="s">
        <v>48091</v>
      </c>
      <c r="Q11048" s="10">
        <v>344.73077999999998</v>
      </c>
      <c r="R11048" s="10" t="s">
        <v>48092</v>
      </c>
      <c r="S11048" s="10" t="s">
        <v>53</v>
      </c>
      <c r="T11048" s="10" t="s">
        <v>5396</v>
      </c>
    </row>
    <row r="11049" spans="1:20" ht="14.5" x14ac:dyDescent="0.35">
      <c r="A11049" s="10" t="s">
        <v>48093</v>
      </c>
      <c r="B11049" s="10" t="str">
        <f>"9781350059900"</f>
        <v>9781350059900</v>
      </c>
      <c r="C11049" s="10" t="str">
        <f>"9781350059917"</f>
        <v>9781350059917</v>
      </c>
      <c r="D11049" s="10" t="s">
        <v>13959</v>
      </c>
      <c r="E11049" s="10" t="s">
        <v>13960</v>
      </c>
      <c r="F11049" s="10" t="s">
        <v>139</v>
      </c>
      <c r="G11049" s="10" t="s">
        <v>6352</v>
      </c>
      <c r="H11049" s="11">
        <v>43405</v>
      </c>
      <c r="I11049" s="10">
        <v>2019</v>
      </c>
      <c r="J11049" s="10" t="s">
        <v>14057</v>
      </c>
      <c r="K11049" s="10">
        <v>166</v>
      </c>
      <c r="L11049" s="10" t="s">
        <v>42844</v>
      </c>
      <c r="M11049" s="10">
        <v>1</v>
      </c>
      <c r="N11049" s="10"/>
      <c r="O11049" s="10"/>
      <c r="P11049" s="10" t="s">
        <v>48094</v>
      </c>
      <c r="Q11049" s="10">
        <v>370.1</v>
      </c>
      <c r="R11049" s="10" t="s">
        <v>48095</v>
      </c>
      <c r="S11049" s="10" t="s">
        <v>53</v>
      </c>
      <c r="T11049" s="10" t="s">
        <v>54</v>
      </c>
    </row>
    <row r="11050" spans="1:20" ht="14.5" x14ac:dyDescent="0.35">
      <c r="A11050" s="10" t="s">
        <v>48096</v>
      </c>
      <c r="B11050" s="10" t="str">
        <f>"9781947604292"</f>
        <v>9781947604292</v>
      </c>
      <c r="C11050" s="10" t="str">
        <f>"9781947604308"</f>
        <v>9781947604308</v>
      </c>
      <c r="D11050" s="10" t="s">
        <v>37580</v>
      </c>
      <c r="E11050" s="10" t="s">
        <v>37581</v>
      </c>
      <c r="F11050" s="10" t="s">
        <v>37623</v>
      </c>
      <c r="G11050" s="10" t="s">
        <v>6317</v>
      </c>
      <c r="H11050" s="11">
        <v>43399</v>
      </c>
      <c r="I11050" s="10">
        <v>2019</v>
      </c>
      <c r="J11050" s="10" t="s">
        <v>37581</v>
      </c>
      <c r="K11050" s="10">
        <v>224</v>
      </c>
      <c r="L11050" s="10" t="s">
        <v>48097</v>
      </c>
      <c r="M11050" s="10">
        <v>1</v>
      </c>
      <c r="N11050" s="10"/>
      <c r="O11050" s="10"/>
      <c r="P11050" s="10" t="s">
        <v>48098</v>
      </c>
      <c r="Q11050" s="10" t="s">
        <v>9954</v>
      </c>
      <c r="R11050" s="10" t="s">
        <v>7483</v>
      </c>
      <c r="S11050" s="10" t="s">
        <v>53</v>
      </c>
      <c r="T11050" s="10" t="s">
        <v>54</v>
      </c>
    </row>
    <row r="11051" spans="1:20" ht="14.5" x14ac:dyDescent="0.35">
      <c r="A11051" s="10" t="s">
        <v>48099</v>
      </c>
      <c r="B11051" s="10" t="str">
        <f>"9789462701540"</f>
        <v>9789462701540</v>
      </c>
      <c r="C11051" s="10" t="str">
        <f>"9789461662644"</f>
        <v>9789461662644</v>
      </c>
      <c r="D11051" s="10" t="s">
        <v>28735</v>
      </c>
      <c r="E11051" s="10" t="s">
        <v>28735</v>
      </c>
      <c r="F11051" s="10" t="s">
        <v>28736</v>
      </c>
      <c r="G11051" s="10" t="s">
        <v>28737</v>
      </c>
      <c r="H11051" s="11">
        <v>43282</v>
      </c>
      <c r="I11051" s="10">
        <v>2018</v>
      </c>
      <c r="J11051" s="10" t="s">
        <v>28735</v>
      </c>
      <c r="K11051" s="10">
        <v>114</v>
      </c>
      <c r="L11051" s="10" t="s">
        <v>48100</v>
      </c>
      <c r="M11051" s="10">
        <v>1</v>
      </c>
      <c r="N11051" s="10" t="s">
        <v>48101</v>
      </c>
      <c r="O11051" s="10" t="s">
        <v>48102</v>
      </c>
      <c r="P11051" s="10"/>
      <c r="Q11051" s="10"/>
      <c r="R11051" s="10" t="s">
        <v>48103</v>
      </c>
      <c r="S11051" s="10" t="s">
        <v>3107</v>
      </c>
      <c r="T11051" s="10" t="s">
        <v>54</v>
      </c>
    </row>
    <row r="11052" spans="1:20" ht="14.5" x14ac:dyDescent="0.35">
      <c r="A11052" s="10" t="s">
        <v>48104</v>
      </c>
      <c r="B11052" s="10" t="str">
        <f>"9781620366929"</f>
        <v>9781620366929</v>
      </c>
      <c r="C11052" s="10" t="str">
        <f>"9781000973921"</f>
        <v>9781000973921</v>
      </c>
      <c r="D11052" s="10" t="s">
        <v>6350</v>
      </c>
      <c r="E11052" s="10" t="s">
        <v>6351</v>
      </c>
      <c r="F11052" s="10" t="s">
        <v>748</v>
      </c>
      <c r="G11052" s="10" t="s">
        <v>6352</v>
      </c>
      <c r="H11052" s="11">
        <v>43378</v>
      </c>
      <c r="I11052" s="10">
        <v>2018</v>
      </c>
      <c r="J11052" s="10" t="s">
        <v>6351</v>
      </c>
      <c r="K11052" s="10">
        <v>178</v>
      </c>
      <c r="L11052" s="10" t="s">
        <v>48105</v>
      </c>
      <c r="M11052" s="10">
        <v>1</v>
      </c>
      <c r="N11052" s="10"/>
      <c r="O11052" s="10"/>
      <c r="P11052" s="10"/>
      <c r="Q11052" s="10">
        <v>370.71100000000001</v>
      </c>
      <c r="R11052" s="10" t="s">
        <v>44825</v>
      </c>
      <c r="S11052" s="10" t="s">
        <v>53</v>
      </c>
      <c r="T11052" s="10" t="s">
        <v>54</v>
      </c>
    </row>
    <row r="11053" spans="1:20" ht="14.5" x14ac:dyDescent="0.35">
      <c r="A11053" s="10" t="s">
        <v>48106</v>
      </c>
      <c r="B11053" s="10" t="str">
        <f>"9781620368664"</f>
        <v>9781620368664</v>
      </c>
      <c r="C11053" s="10" t="str">
        <f>"9781000971903"</f>
        <v>9781000971903</v>
      </c>
      <c r="D11053" s="10" t="s">
        <v>6350</v>
      </c>
      <c r="E11053" s="10" t="s">
        <v>6351</v>
      </c>
      <c r="F11053" s="10" t="s">
        <v>748</v>
      </c>
      <c r="G11053" s="10" t="s">
        <v>6352</v>
      </c>
      <c r="H11053" s="11">
        <v>43375</v>
      </c>
      <c r="I11053" s="10">
        <v>2018</v>
      </c>
      <c r="J11053" s="10" t="s">
        <v>6351</v>
      </c>
      <c r="K11053" s="10">
        <v>386</v>
      </c>
      <c r="L11053" s="10" t="s">
        <v>44211</v>
      </c>
      <c r="M11053" s="10">
        <v>1</v>
      </c>
      <c r="N11053" s="10"/>
      <c r="O11053" s="10"/>
      <c r="P11053" s="10" t="s">
        <v>48107</v>
      </c>
      <c r="Q11053" s="10">
        <v>371.39</v>
      </c>
      <c r="R11053" s="10" t="s">
        <v>48108</v>
      </c>
      <c r="S11053" s="10" t="s">
        <v>53</v>
      </c>
      <c r="T11053" s="10" t="s">
        <v>54</v>
      </c>
    </row>
    <row r="11054" spans="1:20" ht="14.5" x14ac:dyDescent="0.35">
      <c r="A11054" s="10" t="s">
        <v>48109</v>
      </c>
      <c r="B11054" s="10" t="str">
        <f>"9781910391983"</f>
        <v>9781910391983</v>
      </c>
      <c r="C11054" s="10" t="str">
        <f>"9781911106005"</f>
        <v>9781911106005</v>
      </c>
      <c r="D11054" s="10" t="s">
        <v>9533</v>
      </c>
      <c r="E11054" s="10" t="s">
        <v>26840</v>
      </c>
      <c r="F11054" s="10" t="s">
        <v>47715</v>
      </c>
      <c r="G11054" s="10" t="s">
        <v>6352</v>
      </c>
      <c r="H11054" s="11">
        <v>43381</v>
      </c>
      <c r="I11054" s="10">
        <v>2018</v>
      </c>
      <c r="J11054" s="10" t="s">
        <v>26840</v>
      </c>
      <c r="K11054" s="10">
        <v>236</v>
      </c>
      <c r="L11054" s="10" t="s">
        <v>48110</v>
      </c>
      <c r="M11054" s="10">
        <v>1</v>
      </c>
      <c r="N11054" s="10" t="s">
        <v>20888</v>
      </c>
      <c r="O11054" s="10"/>
      <c r="P11054" s="10" t="s">
        <v>48111</v>
      </c>
      <c r="Q11054" s="10">
        <v>378.17939999999999</v>
      </c>
      <c r="R11054" s="10" t="s">
        <v>48112</v>
      </c>
      <c r="S11054" s="10" t="s">
        <v>53</v>
      </c>
      <c r="T11054" s="10" t="s">
        <v>54</v>
      </c>
    </row>
    <row r="11055" spans="1:20" ht="14.5" x14ac:dyDescent="0.35">
      <c r="A11055" s="10" t="s">
        <v>48113</v>
      </c>
      <c r="B11055" s="10" t="str">
        <f>"9781506382098"</f>
        <v>9781506382098</v>
      </c>
      <c r="C11055" s="10" t="str">
        <f>"9781506382111"</f>
        <v>9781506382111</v>
      </c>
      <c r="D11055" s="10" t="s">
        <v>22210</v>
      </c>
      <c r="E11055" s="10" t="s">
        <v>22211</v>
      </c>
      <c r="F11055" s="10" t="s">
        <v>333</v>
      </c>
      <c r="G11055" s="10" t="s">
        <v>6317</v>
      </c>
      <c r="H11055" s="11">
        <v>43241</v>
      </c>
      <c r="I11055" s="10">
        <v>2018</v>
      </c>
      <c r="J11055" s="10" t="s">
        <v>22211</v>
      </c>
      <c r="K11055" s="10">
        <v>249</v>
      </c>
      <c r="L11055" s="10" t="s">
        <v>48114</v>
      </c>
      <c r="M11055" s="10">
        <v>1</v>
      </c>
      <c r="N11055" s="10"/>
      <c r="O11055" s="10"/>
      <c r="P11055" s="10" t="s">
        <v>48115</v>
      </c>
      <c r="Q11055" s="10">
        <v>371.26</v>
      </c>
      <c r="R11055" s="10"/>
      <c r="S11055" s="10" t="s">
        <v>53</v>
      </c>
      <c r="T11055" s="10" t="s">
        <v>54</v>
      </c>
    </row>
    <row r="11056" spans="1:20" ht="14.5" x14ac:dyDescent="0.35">
      <c r="A11056" s="10" t="s">
        <v>48116</v>
      </c>
      <c r="B11056" s="10" t="str">
        <f>"9781452271903"</f>
        <v>9781452271903</v>
      </c>
      <c r="C11056" s="10" t="str">
        <f>"9781483304366"</f>
        <v>9781483304366</v>
      </c>
      <c r="D11056" s="10" t="s">
        <v>22210</v>
      </c>
      <c r="E11056" s="10" t="s">
        <v>22211</v>
      </c>
      <c r="F11056" s="10" t="s">
        <v>333</v>
      </c>
      <c r="G11056" s="10" t="s">
        <v>6317</v>
      </c>
      <c r="H11056" s="11">
        <v>41456</v>
      </c>
      <c r="I11056" s="10">
        <v>2013</v>
      </c>
      <c r="J11056" s="10" t="s">
        <v>22211</v>
      </c>
      <c r="K11056" s="10">
        <v>145</v>
      </c>
      <c r="L11056" s="10" t="s">
        <v>48117</v>
      </c>
      <c r="M11056" s="10">
        <v>1</v>
      </c>
      <c r="N11056" s="10"/>
      <c r="O11056" s="10"/>
      <c r="P11056" s="10" t="s">
        <v>48118</v>
      </c>
      <c r="Q11056" s="10">
        <v>370.113</v>
      </c>
      <c r="R11056" s="10" t="s">
        <v>48119</v>
      </c>
      <c r="S11056" s="10" t="s">
        <v>53</v>
      </c>
      <c r="T11056" s="10" t="s">
        <v>54</v>
      </c>
    </row>
    <row r="11057" spans="1:20" ht="14.5" x14ac:dyDescent="0.35">
      <c r="A11057" s="10" t="s">
        <v>48120</v>
      </c>
      <c r="B11057" s="10" t="str">
        <f>""</f>
        <v/>
      </c>
      <c r="C11057" s="10" t="str">
        <f>"9781787697287"</f>
        <v>9781787697287</v>
      </c>
      <c r="D11057" s="10" t="s">
        <v>8699</v>
      </c>
      <c r="E11057" s="10" t="s">
        <v>8699</v>
      </c>
      <c r="F11057" s="10" t="s">
        <v>41843</v>
      </c>
      <c r="G11057" s="10" t="s">
        <v>6352</v>
      </c>
      <c r="H11057" s="11">
        <v>43347</v>
      </c>
      <c r="I11057" s="10">
        <v>2018</v>
      </c>
      <c r="J11057" s="10" t="s">
        <v>8699</v>
      </c>
      <c r="K11057" s="10">
        <v>93</v>
      </c>
      <c r="L11057" s="10" t="s">
        <v>48121</v>
      </c>
      <c r="M11057" s="10">
        <v>1</v>
      </c>
      <c r="N11057" s="10" t="s">
        <v>48122</v>
      </c>
      <c r="O11057" s="10">
        <v>2</v>
      </c>
      <c r="P11057" s="10" t="s">
        <v>48123</v>
      </c>
      <c r="Q11057" s="10">
        <v>371.33</v>
      </c>
      <c r="R11057" s="10" t="s">
        <v>48124</v>
      </c>
      <c r="S11057" s="10" t="s">
        <v>53</v>
      </c>
      <c r="T11057" s="10" t="s">
        <v>54</v>
      </c>
    </row>
    <row r="11058" spans="1:20" ht="14.5" x14ac:dyDescent="0.35">
      <c r="A11058" s="10" t="s">
        <v>48125</v>
      </c>
      <c r="B11058" s="10" t="str">
        <f>"9781786302281"</f>
        <v>9781786302281</v>
      </c>
      <c r="C11058" s="10" t="str">
        <f>"9781119563396"</f>
        <v>9781119563396</v>
      </c>
      <c r="D11058" s="10" t="s">
        <v>6322</v>
      </c>
      <c r="E11058" s="10" t="s">
        <v>6323</v>
      </c>
      <c r="F11058" s="10" t="s">
        <v>4423</v>
      </c>
      <c r="G11058" s="10" t="s">
        <v>6317</v>
      </c>
      <c r="H11058" s="11">
        <v>43452</v>
      </c>
      <c r="I11058" s="10">
        <v>2018</v>
      </c>
      <c r="J11058" s="10" t="s">
        <v>29411</v>
      </c>
      <c r="K11058" s="10">
        <v>295</v>
      </c>
      <c r="L11058" s="10" t="s">
        <v>48126</v>
      </c>
      <c r="M11058" s="10">
        <v>1</v>
      </c>
      <c r="N11058" s="10"/>
      <c r="O11058" s="10"/>
      <c r="P11058" s="10"/>
      <c r="Q11058" s="10">
        <v>370.72</v>
      </c>
      <c r="R11058" s="10" t="s">
        <v>48127</v>
      </c>
      <c r="S11058" s="10" t="s">
        <v>53</v>
      </c>
      <c r="T11058" s="10" t="s">
        <v>54</v>
      </c>
    </row>
    <row r="11059" spans="1:20" ht="14.5" x14ac:dyDescent="0.35">
      <c r="A11059" s="10" t="s">
        <v>48128</v>
      </c>
      <c r="B11059" s="10" t="str">
        <f>"9781475844047"</f>
        <v>9781475844047</v>
      </c>
      <c r="C11059" s="10" t="str">
        <f>"9781475844061"</f>
        <v>9781475844061</v>
      </c>
      <c r="D11059" s="10" t="s">
        <v>9752</v>
      </c>
      <c r="E11059" s="10" t="s">
        <v>15187</v>
      </c>
      <c r="F11059" s="10" t="s">
        <v>9754</v>
      </c>
      <c r="G11059" s="10" t="s">
        <v>6317</v>
      </c>
      <c r="H11059" s="11">
        <v>43420</v>
      </c>
      <c r="I11059" s="10">
        <v>2018</v>
      </c>
      <c r="J11059" s="10" t="s">
        <v>15187</v>
      </c>
      <c r="K11059" s="10">
        <v>224</v>
      </c>
      <c r="L11059" s="10" t="s">
        <v>48129</v>
      </c>
      <c r="M11059" s="10">
        <v>2</v>
      </c>
      <c r="N11059" s="10" t="s">
        <v>15952</v>
      </c>
      <c r="O11059" s="10"/>
      <c r="P11059" s="10" t="s">
        <v>48130</v>
      </c>
      <c r="Q11059" s="10" t="s">
        <v>22247</v>
      </c>
      <c r="R11059" s="10" t="s">
        <v>48131</v>
      </c>
      <c r="S11059" s="10" t="s">
        <v>53</v>
      </c>
      <c r="T11059" s="10" t="s">
        <v>54</v>
      </c>
    </row>
    <row r="11060" spans="1:20" ht="14.5" x14ac:dyDescent="0.35">
      <c r="A11060" s="10" t="s">
        <v>48132</v>
      </c>
      <c r="B11060" s="10" t="str">
        <f>"9781945349850"</f>
        <v>9781945349850</v>
      </c>
      <c r="C11060" s="10" t="str">
        <f>"9781945349867"</f>
        <v>9781945349867</v>
      </c>
      <c r="D11060" s="10" t="s">
        <v>37580</v>
      </c>
      <c r="E11060" s="10" t="s">
        <v>37581</v>
      </c>
      <c r="F11060" s="10" t="s">
        <v>37623</v>
      </c>
      <c r="G11060" s="10" t="s">
        <v>6317</v>
      </c>
      <c r="H11060" s="11">
        <v>43413</v>
      </c>
      <c r="I11060" s="10">
        <v>2019</v>
      </c>
      <c r="J11060" s="10" t="s">
        <v>37581</v>
      </c>
      <c r="K11060" s="10">
        <v>136</v>
      </c>
      <c r="L11060" s="10" t="s">
        <v>48133</v>
      </c>
      <c r="M11060" s="10">
        <v>1</v>
      </c>
      <c r="N11060" s="10" t="s">
        <v>47727</v>
      </c>
      <c r="O11060" s="10"/>
      <c r="P11060" s="10" t="s">
        <v>48134</v>
      </c>
      <c r="Q11060" s="10"/>
      <c r="R11060" s="10" t="s">
        <v>48135</v>
      </c>
      <c r="S11060" s="10" t="s">
        <v>53</v>
      </c>
      <c r="T11060" s="10" t="s">
        <v>54</v>
      </c>
    </row>
    <row r="11061" spans="1:20" ht="14.5" x14ac:dyDescent="0.35">
      <c r="A11061" s="10" t="s">
        <v>48136</v>
      </c>
      <c r="B11061" s="10" t="str">
        <f>"9781350023604"</f>
        <v>9781350023604</v>
      </c>
      <c r="C11061" s="10" t="str">
        <f>"9781350023628"</f>
        <v>9781350023628</v>
      </c>
      <c r="D11061" s="10" t="s">
        <v>13959</v>
      </c>
      <c r="E11061" s="10" t="s">
        <v>13960</v>
      </c>
      <c r="F11061" s="10" t="s">
        <v>139</v>
      </c>
      <c r="G11061" s="10" t="s">
        <v>6352</v>
      </c>
      <c r="H11061" s="11">
        <v>43433</v>
      </c>
      <c r="I11061" s="10">
        <v>2020</v>
      </c>
      <c r="J11061" s="10" t="s">
        <v>14057</v>
      </c>
      <c r="K11061" s="10">
        <v>248</v>
      </c>
      <c r="L11061" s="10" t="s">
        <v>48137</v>
      </c>
      <c r="M11061" s="10">
        <v>1</v>
      </c>
      <c r="N11061" s="10"/>
      <c r="O11061" s="10"/>
      <c r="P11061" s="10" t="s">
        <v>48138</v>
      </c>
      <c r="Q11061" s="10">
        <v>379.15800000000002</v>
      </c>
      <c r="R11061" s="10" t="s">
        <v>48139</v>
      </c>
      <c r="S11061" s="10" t="s">
        <v>53</v>
      </c>
      <c r="T11061" s="10" t="s">
        <v>54</v>
      </c>
    </row>
    <row r="11062" spans="1:20" ht="14.5" x14ac:dyDescent="0.35">
      <c r="A11062" s="10" t="s">
        <v>48140</v>
      </c>
      <c r="B11062" s="10" t="str">
        <f>"9781787694262"</f>
        <v>9781787694262</v>
      </c>
      <c r="C11062" s="10" t="str">
        <f>"9781787694231"</f>
        <v>9781787694231</v>
      </c>
      <c r="D11062" s="10" t="s">
        <v>8699</v>
      </c>
      <c r="E11062" s="10" t="s">
        <v>8699</v>
      </c>
      <c r="F11062" s="10" t="s">
        <v>559</v>
      </c>
      <c r="G11062" s="10" t="s">
        <v>6352</v>
      </c>
      <c r="H11062" s="11">
        <v>43417</v>
      </c>
      <c r="I11062" s="10">
        <v>2019</v>
      </c>
      <c r="J11062" s="10" t="s">
        <v>8699</v>
      </c>
      <c r="K11062" s="10">
        <v>138</v>
      </c>
      <c r="L11062" s="10" t="s">
        <v>48141</v>
      </c>
      <c r="M11062" s="10">
        <v>1</v>
      </c>
      <c r="N11062" s="10" t="s">
        <v>48142</v>
      </c>
      <c r="O11062" s="10"/>
      <c r="P11062" s="10" t="s">
        <v>48143</v>
      </c>
      <c r="Q11062" s="10">
        <v>370</v>
      </c>
      <c r="R11062" s="10" t="s">
        <v>9416</v>
      </c>
      <c r="S11062" s="10" t="s">
        <v>53</v>
      </c>
      <c r="T11062" s="10" t="s">
        <v>48144</v>
      </c>
    </row>
    <row r="11063" spans="1:20" ht="14.5" x14ac:dyDescent="0.35">
      <c r="A11063" s="10" t="s">
        <v>48145</v>
      </c>
      <c r="B11063" s="10" t="str">
        <f>"9781475840957"</f>
        <v>9781475840957</v>
      </c>
      <c r="C11063" s="10" t="str">
        <f>"9781475840964"</f>
        <v>9781475840964</v>
      </c>
      <c r="D11063" s="10" t="s">
        <v>9752</v>
      </c>
      <c r="E11063" s="10" t="s">
        <v>15187</v>
      </c>
      <c r="F11063" s="10" t="s">
        <v>9754</v>
      </c>
      <c r="G11063" s="10" t="s">
        <v>6317</v>
      </c>
      <c r="H11063" s="11">
        <v>43410</v>
      </c>
      <c r="I11063" s="10">
        <v>2018</v>
      </c>
      <c r="J11063" s="10" t="s">
        <v>15187</v>
      </c>
      <c r="K11063" s="10">
        <v>139</v>
      </c>
      <c r="L11063" s="10" t="s">
        <v>48146</v>
      </c>
      <c r="M11063" s="10">
        <v>1</v>
      </c>
      <c r="N11063" s="10"/>
      <c r="O11063" s="10"/>
      <c r="P11063" s="10" t="s">
        <v>48147</v>
      </c>
      <c r="Q11063" s="10">
        <v>371.20120882970002</v>
      </c>
      <c r="R11063" s="10" t="s">
        <v>48148</v>
      </c>
      <c r="S11063" s="10" t="s">
        <v>53</v>
      </c>
      <c r="T11063" s="10" t="s">
        <v>54</v>
      </c>
    </row>
    <row r="11064" spans="1:20" ht="14.5" x14ac:dyDescent="0.35">
      <c r="A11064" s="10" t="s">
        <v>48149</v>
      </c>
      <c r="B11064" s="10" t="str">
        <f>"9788024639864"</f>
        <v>9788024639864</v>
      </c>
      <c r="C11064" s="10" t="str">
        <f>"9788024640150"</f>
        <v>9788024640150</v>
      </c>
      <c r="D11064" s="10" t="s">
        <v>30935</v>
      </c>
      <c r="E11064" s="10" t="s">
        <v>30935</v>
      </c>
      <c r="F11064" s="10" t="s">
        <v>1796</v>
      </c>
      <c r="G11064" s="10" t="s">
        <v>30936</v>
      </c>
      <c r="H11064" s="11">
        <v>43282</v>
      </c>
      <c r="I11064" s="10">
        <v>2018</v>
      </c>
      <c r="J11064" s="10" t="s">
        <v>30935</v>
      </c>
      <c r="K11064" s="10">
        <v>225</v>
      </c>
      <c r="L11064" s="10" t="s">
        <v>48150</v>
      </c>
      <c r="M11064" s="10">
        <v>2</v>
      </c>
      <c r="N11064" s="10"/>
      <c r="O11064" s="10"/>
      <c r="P11064" s="10" t="s">
        <v>48151</v>
      </c>
      <c r="Q11064" s="10">
        <v>796.09437000000003</v>
      </c>
      <c r="R11064" s="10" t="s">
        <v>48152</v>
      </c>
      <c r="S11064" s="10" t="s">
        <v>4212</v>
      </c>
      <c r="T11064" s="10" t="s">
        <v>7340</v>
      </c>
    </row>
    <row r="11065" spans="1:20" ht="14.5" x14ac:dyDescent="0.35">
      <c r="A11065" s="10" t="s">
        <v>48153</v>
      </c>
      <c r="B11065" s="10" t="str">
        <f>"9789004377172"</f>
        <v>9789004377172</v>
      </c>
      <c r="C11065" s="10" t="str">
        <f>"9789004377189"</f>
        <v>9789004377189</v>
      </c>
      <c r="D11065" s="10" t="s">
        <v>8564</v>
      </c>
      <c r="E11065" s="10" t="s">
        <v>8565</v>
      </c>
      <c r="F11065" s="10" t="s">
        <v>1420</v>
      </c>
      <c r="G11065" s="10" t="s">
        <v>6317</v>
      </c>
      <c r="H11065" s="11">
        <v>43216</v>
      </c>
      <c r="I11065" s="10">
        <v>2018</v>
      </c>
      <c r="J11065" s="10" t="s">
        <v>33259</v>
      </c>
      <c r="K11065" s="10">
        <v>172</v>
      </c>
      <c r="L11065" s="10" t="s">
        <v>48154</v>
      </c>
      <c r="M11065" s="10">
        <v>1</v>
      </c>
      <c r="N11065" s="10" t="s">
        <v>48155</v>
      </c>
      <c r="O11065" s="10">
        <v>7</v>
      </c>
      <c r="P11065" s="10"/>
      <c r="Q11065" s="10"/>
      <c r="R11065" s="10"/>
      <c r="S11065" s="10" t="s">
        <v>53</v>
      </c>
      <c r="T11065" s="10" t="s">
        <v>54</v>
      </c>
    </row>
    <row r="11066" spans="1:20" ht="14.5" x14ac:dyDescent="0.35">
      <c r="A11066" s="10" t="s">
        <v>48156</v>
      </c>
      <c r="B11066" s="10" t="str">
        <f>"9789004376663"</f>
        <v>9789004376663</v>
      </c>
      <c r="C11066" s="10" t="str">
        <f>"9789004376670"</f>
        <v>9789004376670</v>
      </c>
      <c r="D11066" s="10" t="s">
        <v>8564</v>
      </c>
      <c r="E11066" s="10" t="s">
        <v>8565</v>
      </c>
      <c r="F11066" s="10" t="s">
        <v>1420</v>
      </c>
      <c r="G11066" s="10" t="s">
        <v>6317</v>
      </c>
      <c r="H11066" s="11">
        <v>43286</v>
      </c>
      <c r="I11066" s="10">
        <v>2018</v>
      </c>
      <c r="J11066" s="10" t="s">
        <v>33259</v>
      </c>
      <c r="K11066" s="10">
        <v>128</v>
      </c>
      <c r="L11066" s="10" t="s">
        <v>48157</v>
      </c>
      <c r="M11066" s="10">
        <v>1</v>
      </c>
      <c r="N11066" s="10" t="s">
        <v>33332</v>
      </c>
      <c r="O11066" s="10">
        <v>17</v>
      </c>
      <c r="P11066" s="10"/>
      <c r="Q11066" s="10" t="s">
        <v>48158</v>
      </c>
      <c r="R11066" s="10" t="s">
        <v>48159</v>
      </c>
      <c r="S11066" s="10" t="s">
        <v>53</v>
      </c>
      <c r="T11066" s="10" t="s">
        <v>6384</v>
      </c>
    </row>
    <row r="11067" spans="1:20" ht="14.5" x14ac:dyDescent="0.35">
      <c r="A11067" s="10" t="s">
        <v>48160</v>
      </c>
      <c r="B11067" s="10" t="str">
        <f>"9789004368415"</f>
        <v>9789004368415</v>
      </c>
      <c r="C11067" s="10" t="str">
        <f>"9789004368422"</f>
        <v>9789004368422</v>
      </c>
      <c r="D11067" s="10" t="s">
        <v>8564</v>
      </c>
      <c r="E11067" s="10" t="s">
        <v>8565</v>
      </c>
      <c r="F11067" s="10" t="s">
        <v>1420</v>
      </c>
      <c r="G11067" s="10" t="s">
        <v>6317</v>
      </c>
      <c r="H11067" s="11">
        <v>43216</v>
      </c>
      <c r="I11067" s="10">
        <v>2018</v>
      </c>
      <c r="J11067" s="10" t="s">
        <v>33259</v>
      </c>
      <c r="K11067" s="10">
        <v>365</v>
      </c>
      <c r="L11067" s="10" t="s">
        <v>48161</v>
      </c>
      <c r="M11067" s="10">
        <v>1</v>
      </c>
      <c r="N11067" s="10" t="s">
        <v>33307</v>
      </c>
      <c r="O11067" s="10">
        <v>36</v>
      </c>
      <c r="P11067" s="10" t="s">
        <v>48162</v>
      </c>
      <c r="Q11067" s="10">
        <v>507.10730000000001</v>
      </c>
      <c r="R11067" s="10" t="s">
        <v>48163</v>
      </c>
      <c r="S11067" s="10" t="s">
        <v>53</v>
      </c>
      <c r="T11067" s="10" t="s">
        <v>9608</v>
      </c>
    </row>
    <row r="11068" spans="1:20" ht="14.5" x14ac:dyDescent="0.35">
      <c r="A11068" s="10" t="s">
        <v>48164</v>
      </c>
      <c r="B11068" s="10" t="str">
        <f>"9789004373006"</f>
        <v>9789004373006</v>
      </c>
      <c r="C11068" s="10" t="str">
        <f>"9789004373013"</f>
        <v>9789004373013</v>
      </c>
      <c r="D11068" s="10" t="s">
        <v>8564</v>
      </c>
      <c r="E11068" s="10" t="s">
        <v>8565</v>
      </c>
      <c r="F11068" s="10" t="s">
        <v>1420</v>
      </c>
      <c r="G11068" s="10" t="s">
        <v>6317</v>
      </c>
      <c r="H11068" s="11">
        <v>43229</v>
      </c>
      <c r="I11068" s="10">
        <v>2018</v>
      </c>
      <c r="J11068" s="10" t="s">
        <v>33259</v>
      </c>
      <c r="K11068" s="10">
        <v>190</v>
      </c>
      <c r="L11068" s="10" t="s">
        <v>48165</v>
      </c>
      <c r="M11068" s="10">
        <v>1</v>
      </c>
      <c r="N11068" s="10" t="s">
        <v>33404</v>
      </c>
      <c r="O11068" s="10">
        <v>16</v>
      </c>
      <c r="P11068" s="10" t="s">
        <v>48166</v>
      </c>
      <c r="Q11068" s="10"/>
      <c r="R11068" s="10" t="s">
        <v>48167</v>
      </c>
      <c r="S11068" s="10" t="s">
        <v>53</v>
      </c>
      <c r="T11068" s="10" t="s">
        <v>6601</v>
      </c>
    </row>
    <row r="11069" spans="1:20" ht="14.5" x14ac:dyDescent="0.35">
      <c r="A11069" s="10" t="s">
        <v>48168</v>
      </c>
      <c r="B11069" s="10" t="str">
        <f>"9789004366053"</f>
        <v>9789004366053</v>
      </c>
      <c r="C11069" s="10" t="str">
        <f>"9789004366077"</f>
        <v>9789004366077</v>
      </c>
      <c r="D11069" s="10" t="s">
        <v>8564</v>
      </c>
      <c r="E11069" s="10" t="s">
        <v>8565</v>
      </c>
      <c r="F11069" s="10" t="s">
        <v>1420</v>
      </c>
      <c r="G11069" s="10" t="s">
        <v>6317</v>
      </c>
      <c r="H11069" s="11">
        <v>43209</v>
      </c>
      <c r="I11069" s="10">
        <v>2018</v>
      </c>
      <c r="J11069" s="10" t="s">
        <v>33259</v>
      </c>
      <c r="K11069" s="10">
        <v>310</v>
      </c>
      <c r="L11069" s="10" t="s">
        <v>48169</v>
      </c>
      <c r="M11069" s="10">
        <v>1</v>
      </c>
      <c r="N11069" s="10"/>
      <c r="O11069" s="10"/>
      <c r="P11069" s="10"/>
      <c r="Q11069" s="10"/>
      <c r="R11069" s="10" t="s">
        <v>48170</v>
      </c>
      <c r="S11069" s="10" t="s">
        <v>53</v>
      </c>
      <c r="T11069" s="10" t="s">
        <v>54</v>
      </c>
    </row>
    <row r="11070" spans="1:20" ht="14.5" x14ac:dyDescent="0.35">
      <c r="A11070" s="10" t="s">
        <v>48171</v>
      </c>
      <c r="B11070" s="10" t="str">
        <f>"9789004372559"</f>
        <v>9789004372559</v>
      </c>
      <c r="C11070" s="10" t="str">
        <f>"9789004372573"</f>
        <v>9789004372573</v>
      </c>
      <c r="D11070" s="10" t="s">
        <v>8564</v>
      </c>
      <c r="E11070" s="10" t="s">
        <v>8565</v>
      </c>
      <c r="F11070" s="10" t="s">
        <v>1420</v>
      </c>
      <c r="G11070" s="10" t="s">
        <v>6317</v>
      </c>
      <c r="H11070" s="11">
        <v>43237</v>
      </c>
      <c r="I11070" s="10">
        <v>2018</v>
      </c>
      <c r="J11070" s="10" t="s">
        <v>33259</v>
      </c>
      <c r="K11070" s="10">
        <v>150</v>
      </c>
      <c r="L11070" s="10" t="s">
        <v>48172</v>
      </c>
      <c r="M11070" s="10">
        <v>1</v>
      </c>
      <c r="N11070" s="10"/>
      <c r="O11070" s="10"/>
      <c r="P11070" s="10" t="s">
        <v>48173</v>
      </c>
      <c r="Q11070" s="10">
        <v>371.10199999999998</v>
      </c>
      <c r="R11070" s="10" t="s">
        <v>48174</v>
      </c>
      <c r="S11070" s="10" t="s">
        <v>53</v>
      </c>
      <c r="T11070" s="10" t="s">
        <v>54</v>
      </c>
    </row>
    <row r="11071" spans="1:20" ht="14.5" x14ac:dyDescent="0.35">
      <c r="A11071" s="10" t="s">
        <v>48175</v>
      </c>
      <c r="B11071" s="10" t="str">
        <f>"9789004384491"</f>
        <v>9789004384491</v>
      </c>
      <c r="C11071" s="10" t="str">
        <f>"9789004384507"</f>
        <v>9789004384507</v>
      </c>
      <c r="D11071" s="10" t="s">
        <v>8564</v>
      </c>
      <c r="E11071" s="10" t="s">
        <v>8565</v>
      </c>
      <c r="F11071" s="10" t="s">
        <v>1420</v>
      </c>
      <c r="G11071" s="10" t="s">
        <v>6317</v>
      </c>
      <c r="H11071" s="11">
        <v>43349</v>
      </c>
      <c r="I11071" s="10">
        <v>2018</v>
      </c>
      <c r="J11071" s="10" t="s">
        <v>33259</v>
      </c>
      <c r="K11071" s="10">
        <v>159</v>
      </c>
      <c r="L11071" s="10" t="s">
        <v>48176</v>
      </c>
      <c r="M11071" s="10">
        <v>1</v>
      </c>
      <c r="N11071" s="10" t="s">
        <v>33414</v>
      </c>
      <c r="O11071" s="10">
        <v>27</v>
      </c>
      <c r="P11071" s="10" t="s">
        <v>48177</v>
      </c>
      <c r="Q11071" s="10">
        <v>371.39</v>
      </c>
      <c r="R11071" s="10" t="s">
        <v>48178</v>
      </c>
      <c r="S11071" s="10" t="s">
        <v>53</v>
      </c>
      <c r="T11071" s="10" t="s">
        <v>54</v>
      </c>
    </row>
    <row r="11072" spans="1:20" ht="14.5" x14ac:dyDescent="0.35">
      <c r="A11072" s="10" t="s">
        <v>48179</v>
      </c>
      <c r="B11072" s="10" t="str">
        <f>"9789004375222"</f>
        <v>9789004375222</v>
      </c>
      <c r="C11072" s="10" t="str">
        <f>"9789004375239"</f>
        <v>9789004375239</v>
      </c>
      <c r="D11072" s="10" t="s">
        <v>8564</v>
      </c>
      <c r="E11072" s="10" t="s">
        <v>8565</v>
      </c>
      <c r="F11072" s="10" t="s">
        <v>1420</v>
      </c>
      <c r="G11072" s="10" t="s">
        <v>6317</v>
      </c>
      <c r="H11072" s="11">
        <v>43349</v>
      </c>
      <c r="I11072" s="10">
        <v>2018</v>
      </c>
      <c r="J11072" s="10" t="s">
        <v>33259</v>
      </c>
      <c r="K11072" s="10">
        <v>149</v>
      </c>
      <c r="L11072" s="10" t="s">
        <v>48180</v>
      </c>
      <c r="M11072" s="10">
        <v>1</v>
      </c>
      <c r="N11072" s="10" t="s">
        <v>33414</v>
      </c>
      <c r="O11072" s="10">
        <v>25</v>
      </c>
      <c r="P11072" s="10" t="s">
        <v>48181</v>
      </c>
      <c r="Q11072" s="10">
        <v>303.66000000000003</v>
      </c>
      <c r="R11072" s="10" t="s">
        <v>48182</v>
      </c>
      <c r="S11072" s="10" t="s">
        <v>53</v>
      </c>
      <c r="T11072" s="10" t="s">
        <v>13527</v>
      </c>
    </row>
    <row r="11073" spans="1:20" ht="14.5" x14ac:dyDescent="0.35">
      <c r="A11073" s="10" t="s">
        <v>48183</v>
      </c>
      <c r="B11073" s="10" t="str">
        <f>"9789004381391"</f>
        <v>9789004381391</v>
      </c>
      <c r="C11073" s="10" t="str">
        <f>"9789004381407"</f>
        <v>9789004381407</v>
      </c>
      <c r="D11073" s="10" t="s">
        <v>8564</v>
      </c>
      <c r="E11073" s="10" t="s">
        <v>8565</v>
      </c>
      <c r="F11073" s="10" t="s">
        <v>1420</v>
      </c>
      <c r="G11073" s="10" t="s">
        <v>6317</v>
      </c>
      <c r="H11073" s="11">
        <v>43300</v>
      </c>
      <c r="I11073" s="10">
        <v>2018</v>
      </c>
      <c r="J11073" s="10" t="s">
        <v>33259</v>
      </c>
      <c r="K11073" s="10">
        <v>221</v>
      </c>
      <c r="L11073" s="10" t="s">
        <v>48184</v>
      </c>
      <c r="M11073" s="10">
        <v>1</v>
      </c>
      <c r="N11073" s="10" t="s">
        <v>40818</v>
      </c>
      <c r="O11073" s="10">
        <v>8</v>
      </c>
      <c r="P11073" s="10" t="s">
        <v>48185</v>
      </c>
      <c r="Q11073" s="10"/>
      <c r="R11073" s="10" t="s">
        <v>48186</v>
      </c>
      <c r="S11073" s="10" t="s">
        <v>53</v>
      </c>
      <c r="T11073" s="10" t="s">
        <v>6363</v>
      </c>
    </row>
    <row r="11074" spans="1:20" ht="14.5" x14ac:dyDescent="0.35">
      <c r="A11074" s="10" t="s">
        <v>48187</v>
      </c>
      <c r="B11074" s="10" t="str">
        <f>"9789004383432"</f>
        <v>9789004383432</v>
      </c>
      <c r="C11074" s="10" t="str">
        <f>"9789004383449"</f>
        <v>9789004383449</v>
      </c>
      <c r="D11074" s="10" t="s">
        <v>8564</v>
      </c>
      <c r="E11074" s="10" t="s">
        <v>8565</v>
      </c>
      <c r="F11074" s="10" t="s">
        <v>1420</v>
      </c>
      <c r="G11074" s="10" t="s">
        <v>6317</v>
      </c>
      <c r="H11074" s="11">
        <v>43328</v>
      </c>
      <c r="I11074" s="10">
        <v>2018</v>
      </c>
      <c r="J11074" s="10" t="s">
        <v>33259</v>
      </c>
      <c r="K11074" s="10">
        <v>211</v>
      </c>
      <c r="L11074" s="10" t="s">
        <v>48188</v>
      </c>
      <c r="M11074" s="10">
        <v>1</v>
      </c>
      <c r="N11074" s="10" t="s">
        <v>33455</v>
      </c>
      <c r="O11074" s="10">
        <v>47</v>
      </c>
      <c r="P11074" s="10" t="s">
        <v>48189</v>
      </c>
      <c r="Q11074" s="10">
        <v>323.60000000000002</v>
      </c>
      <c r="R11074" s="10" t="s">
        <v>48190</v>
      </c>
      <c r="S11074" s="10" t="s">
        <v>53</v>
      </c>
      <c r="T11074" s="10" t="s">
        <v>4859</v>
      </c>
    </row>
    <row r="11075" spans="1:20" ht="14.5" x14ac:dyDescent="0.35">
      <c r="A11075" s="10" t="s">
        <v>48191</v>
      </c>
      <c r="B11075" s="10" t="str">
        <f>"9789004375949"</f>
        <v>9789004375949</v>
      </c>
      <c r="C11075" s="10" t="str">
        <f>"9789004372948"</f>
        <v>9789004372948</v>
      </c>
      <c r="D11075" s="10" t="s">
        <v>8564</v>
      </c>
      <c r="E11075" s="10" t="s">
        <v>8565</v>
      </c>
      <c r="F11075" s="10" t="s">
        <v>1420</v>
      </c>
      <c r="G11075" s="10" t="s">
        <v>6317</v>
      </c>
      <c r="H11075" s="11">
        <v>43265</v>
      </c>
      <c r="I11075" s="10">
        <v>2018</v>
      </c>
      <c r="J11075" s="10" t="s">
        <v>33259</v>
      </c>
      <c r="K11075" s="10">
        <v>109</v>
      </c>
      <c r="L11075" s="10" t="s">
        <v>48192</v>
      </c>
      <c r="M11075" s="10">
        <v>1</v>
      </c>
      <c r="N11075" s="10"/>
      <c r="O11075" s="10"/>
      <c r="P11075" s="10"/>
      <c r="Q11075" s="10"/>
      <c r="R11075" s="10" t="s">
        <v>48193</v>
      </c>
      <c r="S11075" s="10" t="s">
        <v>53</v>
      </c>
      <c r="T11075" s="10" t="s">
        <v>54</v>
      </c>
    </row>
    <row r="11076" spans="1:20" ht="14.5" x14ac:dyDescent="0.35">
      <c r="A11076" s="10" t="s">
        <v>48194</v>
      </c>
      <c r="B11076" s="10" t="str">
        <f>"9789004380042"</f>
        <v>9789004380042</v>
      </c>
      <c r="C11076" s="10" t="str">
        <f>"9789004380059"</f>
        <v>9789004380059</v>
      </c>
      <c r="D11076" s="10" t="s">
        <v>8564</v>
      </c>
      <c r="E11076" s="10" t="s">
        <v>8565</v>
      </c>
      <c r="F11076" s="10" t="s">
        <v>1420</v>
      </c>
      <c r="G11076" s="10" t="s">
        <v>6317</v>
      </c>
      <c r="H11076" s="11">
        <v>43342</v>
      </c>
      <c r="I11076" s="10">
        <v>2018</v>
      </c>
      <c r="J11076" s="10" t="s">
        <v>33259</v>
      </c>
      <c r="K11076" s="10">
        <v>156</v>
      </c>
      <c r="L11076" s="10" t="s">
        <v>48195</v>
      </c>
      <c r="M11076" s="10">
        <v>1</v>
      </c>
      <c r="N11076" s="10" t="s">
        <v>33837</v>
      </c>
      <c r="O11076" s="10">
        <v>6</v>
      </c>
      <c r="P11076" s="10" t="s">
        <v>48196</v>
      </c>
      <c r="Q11076" s="10"/>
      <c r="R11076" s="10" t="s">
        <v>48197</v>
      </c>
      <c r="S11076" s="10" t="s">
        <v>53</v>
      </c>
      <c r="T11076" s="10" t="s">
        <v>54</v>
      </c>
    </row>
    <row r="11077" spans="1:20" ht="14.5" x14ac:dyDescent="0.35">
      <c r="A11077" s="10" t="s">
        <v>48198</v>
      </c>
      <c r="B11077" s="10" t="str">
        <f>"9789004367319"</f>
        <v>9789004367319</v>
      </c>
      <c r="C11077" s="10" t="str">
        <f>"9789004367326"</f>
        <v>9789004367326</v>
      </c>
      <c r="D11077" s="10" t="s">
        <v>8564</v>
      </c>
      <c r="E11077" s="10" t="s">
        <v>8565</v>
      </c>
      <c r="F11077" s="10" t="s">
        <v>1420</v>
      </c>
      <c r="G11077" s="10" t="s">
        <v>6317</v>
      </c>
      <c r="H11077" s="11">
        <v>43216</v>
      </c>
      <c r="I11077" s="10">
        <v>2018</v>
      </c>
      <c r="J11077" s="10" t="s">
        <v>33259</v>
      </c>
      <c r="K11077" s="10">
        <v>163</v>
      </c>
      <c r="L11077" s="10" t="s">
        <v>48199</v>
      </c>
      <c r="M11077" s="10">
        <v>1</v>
      </c>
      <c r="N11077" s="10" t="s">
        <v>33268</v>
      </c>
      <c r="O11077" s="10">
        <v>14</v>
      </c>
      <c r="P11077" s="10" t="s">
        <v>48200</v>
      </c>
      <c r="Q11077" s="10">
        <v>174.93719999999999</v>
      </c>
      <c r="R11077" s="10" t="s">
        <v>48201</v>
      </c>
      <c r="S11077" s="10" t="s">
        <v>53</v>
      </c>
      <c r="T11077" s="10" t="s">
        <v>6521</v>
      </c>
    </row>
    <row r="11078" spans="1:20" ht="14.5" x14ac:dyDescent="0.35">
      <c r="A11078" s="10" t="s">
        <v>48202</v>
      </c>
      <c r="B11078" s="10" t="str">
        <f>"9789004375192"</f>
        <v>9789004375192</v>
      </c>
      <c r="C11078" s="10" t="str">
        <f>"9789004375208"</f>
        <v>9789004375208</v>
      </c>
      <c r="D11078" s="10" t="s">
        <v>8564</v>
      </c>
      <c r="E11078" s="10" t="s">
        <v>8565</v>
      </c>
      <c r="F11078" s="10" t="s">
        <v>1420</v>
      </c>
      <c r="G11078" s="10" t="s">
        <v>6317</v>
      </c>
      <c r="H11078" s="11">
        <v>43252</v>
      </c>
      <c r="I11078" s="10">
        <v>2018</v>
      </c>
      <c r="J11078" s="10" t="s">
        <v>33259</v>
      </c>
      <c r="K11078" s="10">
        <v>326</v>
      </c>
      <c r="L11078" s="10" t="s">
        <v>48203</v>
      </c>
      <c r="M11078" s="10">
        <v>1</v>
      </c>
      <c r="N11078" s="10"/>
      <c r="O11078" s="10"/>
      <c r="P11078" s="10"/>
      <c r="Q11078" s="10" t="s">
        <v>22125</v>
      </c>
      <c r="R11078" s="10" t="s">
        <v>48204</v>
      </c>
      <c r="S11078" s="10" t="s">
        <v>53</v>
      </c>
      <c r="T11078" s="10" t="s">
        <v>54</v>
      </c>
    </row>
    <row r="11079" spans="1:20" ht="14.5" x14ac:dyDescent="0.35">
      <c r="A11079" s="10" t="s">
        <v>48205</v>
      </c>
      <c r="B11079" s="10" t="str">
        <f>"9789004368309"</f>
        <v>9789004368309</v>
      </c>
      <c r="C11079" s="10" t="str">
        <f>"9789004368323"</f>
        <v>9789004368323</v>
      </c>
      <c r="D11079" s="10" t="s">
        <v>8564</v>
      </c>
      <c r="E11079" s="10" t="s">
        <v>8565</v>
      </c>
      <c r="F11079" s="10" t="s">
        <v>1420</v>
      </c>
      <c r="G11079" s="10" t="s">
        <v>6317</v>
      </c>
      <c r="H11079" s="11">
        <v>43252</v>
      </c>
      <c r="I11079" s="10">
        <v>2018</v>
      </c>
      <c r="J11079" s="10" t="s">
        <v>33259</v>
      </c>
      <c r="K11079" s="10">
        <v>286</v>
      </c>
      <c r="L11079" s="10" t="s">
        <v>48206</v>
      </c>
      <c r="M11079" s="10">
        <v>1</v>
      </c>
      <c r="N11079" s="10"/>
      <c r="O11079" s="10"/>
      <c r="P11079" s="10" t="s">
        <v>48207</v>
      </c>
      <c r="Q11079" s="10">
        <v>370.11700000000002</v>
      </c>
      <c r="R11079" s="10" t="s">
        <v>48208</v>
      </c>
      <c r="S11079" s="10" t="s">
        <v>53</v>
      </c>
      <c r="T11079" s="10" t="s">
        <v>54</v>
      </c>
    </row>
    <row r="11080" spans="1:20" ht="14.5" x14ac:dyDescent="0.35">
      <c r="A11080" s="10" t="s">
        <v>48209</v>
      </c>
      <c r="B11080" s="10" t="str">
        <f>"9789004365391"</f>
        <v>9789004365391</v>
      </c>
      <c r="C11080" s="10" t="str">
        <f>"9789004365407"</f>
        <v>9789004365407</v>
      </c>
      <c r="D11080" s="10" t="s">
        <v>8564</v>
      </c>
      <c r="E11080" s="10" t="s">
        <v>8565</v>
      </c>
      <c r="F11080" s="10" t="s">
        <v>1420</v>
      </c>
      <c r="G11080" s="10" t="s">
        <v>6317</v>
      </c>
      <c r="H11080" s="11">
        <v>43202</v>
      </c>
      <c r="I11080" s="10">
        <v>2018</v>
      </c>
      <c r="J11080" s="10" t="s">
        <v>33259</v>
      </c>
      <c r="K11080" s="10">
        <v>256</v>
      </c>
      <c r="L11080" s="10" t="s">
        <v>48210</v>
      </c>
      <c r="M11080" s="10">
        <v>1</v>
      </c>
      <c r="N11080" s="10" t="s">
        <v>33321</v>
      </c>
      <c r="O11080" s="10">
        <v>10</v>
      </c>
      <c r="P11080" s="10" t="s">
        <v>48211</v>
      </c>
      <c r="Q11080" s="10">
        <v>370.96800000000002</v>
      </c>
      <c r="R11080" s="10" t="s">
        <v>48212</v>
      </c>
      <c r="S11080" s="10" t="s">
        <v>53</v>
      </c>
      <c r="T11080" s="10" t="s">
        <v>54</v>
      </c>
    </row>
    <row r="11081" spans="1:20" ht="14.5" x14ac:dyDescent="0.35">
      <c r="A11081" s="10" t="s">
        <v>48213</v>
      </c>
      <c r="B11081" s="10" t="str">
        <f>"9789004365117"</f>
        <v>9789004365117</v>
      </c>
      <c r="C11081" s="10" t="str">
        <f>"9789004365155"</f>
        <v>9789004365155</v>
      </c>
      <c r="D11081" s="10" t="s">
        <v>8564</v>
      </c>
      <c r="E11081" s="10" t="s">
        <v>8565</v>
      </c>
      <c r="F11081" s="10" t="s">
        <v>1420</v>
      </c>
      <c r="G11081" s="10" t="s">
        <v>6317</v>
      </c>
      <c r="H11081" s="11">
        <v>43252</v>
      </c>
      <c r="I11081" s="10">
        <v>2018</v>
      </c>
      <c r="J11081" s="10" t="s">
        <v>33259</v>
      </c>
      <c r="K11081" s="10">
        <v>74</v>
      </c>
      <c r="L11081" s="10" t="s">
        <v>48214</v>
      </c>
      <c r="M11081" s="10">
        <v>1</v>
      </c>
      <c r="N11081" s="10"/>
      <c r="O11081" s="10"/>
      <c r="P11081" s="10"/>
      <c r="Q11081" s="10">
        <v>371.2</v>
      </c>
      <c r="R11081" s="10" t="s">
        <v>48215</v>
      </c>
      <c r="S11081" s="10" t="s">
        <v>53</v>
      </c>
      <c r="T11081" s="10" t="s">
        <v>54</v>
      </c>
    </row>
    <row r="11082" spans="1:20" ht="14.5" x14ac:dyDescent="0.35">
      <c r="A11082" s="10" t="s">
        <v>48216</v>
      </c>
      <c r="B11082" s="10" t="str">
        <f>"9789004366091"</f>
        <v>9789004366091</v>
      </c>
      <c r="C11082" s="10" t="str">
        <f>"9789004366107"</f>
        <v>9789004366107</v>
      </c>
      <c r="D11082" s="10" t="s">
        <v>8564</v>
      </c>
      <c r="E11082" s="10" t="s">
        <v>8565</v>
      </c>
      <c r="F11082" s="10" t="s">
        <v>1420</v>
      </c>
      <c r="G11082" s="10" t="s">
        <v>6317</v>
      </c>
      <c r="H11082" s="11">
        <v>43174</v>
      </c>
      <c r="I11082" s="10">
        <v>2018</v>
      </c>
      <c r="J11082" s="10" t="s">
        <v>33259</v>
      </c>
      <c r="K11082" s="10">
        <v>210</v>
      </c>
      <c r="L11082" s="10" t="s">
        <v>48217</v>
      </c>
      <c r="M11082" s="10">
        <v>1</v>
      </c>
      <c r="N11082" s="10" t="s">
        <v>33257</v>
      </c>
      <c r="O11082" s="10">
        <v>40</v>
      </c>
      <c r="P11082" s="10" t="s">
        <v>48218</v>
      </c>
      <c r="Q11082" s="10">
        <v>338.43378000000001</v>
      </c>
      <c r="R11082" s="10" t="s">
        <v>48219</v>
      </c>
      <c r="S11082" s="10" t="s">
        <v>53</v>
      </c>
      <c r="T11082" s="10" t="s">
        <v>14975</v>
      </c>
    </row>
    <row r="11083" spans="1:20" ht="14.5" x14ac:dyDescent="0.35">
      <c r="A11083" s="10" t="s">
        <v>48220</v>
      </c>
      <c r="B11083" s="10" t="str">
        <f>"9789004368460"</f>
        <v>9789004368460</v>
      </c>
      <c r="C11083" s="10" t="str">
        <f>"9789004368484"</f>
        <v>9789004368484</v>
      </c>
      <c r="D11083" s="10" t="s">
        <v>8564</v>
      </c>
      <c r="E11083" s="10" t="s">
        <v>8565</v>
      </c>
      <c r="F11083" s="10" t="s">
        <v>1420</v>
      </c>
      <c r="G11083" s="10" t="s">
        <v>6317</v>
      </c>
      <c r="H11083" s="11">
        <v>43286</v>
      </c>
      <c r="I11083" s="10">
        <v>2018</v>
      </c>
      <c r="J11083" s="10" t="s">
        <v>33259</v>
      </c>
      <c r="K11083" s="10">
        <v>92</v>
      </c>
      <c r="L11083" s="10" t="s">
        <v>48221</v>
      </c>
      <c r="M11083" s="10">
        <v>1</v>
      </c>
      <c r="N11083" s="10"/>
      <c r="O11083" s="10"/>
      <c r="P11083" s="10"/>
      <c r="Q11083" s="10"/>
      <c r="R11083" s="10" t="s">
        <v>10073</v>
      </c>
      <c r="S11083" s="10" t="s">
        <v>53</v>
      </c>
      <c r="T11083" s="10" t="s">
        <v>54</v>
      </c>
    </row>
    <row r="11084" spans="1:20" ht="14.5" x14ac:dyDescent="0.35">
      <c r="A11084" s="10" t="s">
        <v>48222</v>
      </c>
      <c r="B11084" s="10" t="str">
        <f>"9789004369597"</f>
        <v>9789004369597</v>
      </c>
      <c r="C11084" s="10" t="str">
        <f>"9789004369603"</f>
        <v>9789004369603</v>
      </c>
      <c r="D11084" s="10" t="s">
        <v>8564</v>
      </c>
      <c r="E11084" s="10" t="s">
        <v>8565</v>
      </c>
      <c r="F11084" s="10" t="s">
        <v>1420</v>
      </c>
      <c r="G11084" s="10" t="s">
        <v>6317</v>
      </c>
      <c r="H11084" s="11">
        <v>43209</v>
      </c>
      <c r="I11084" s="10">
        <v>2018</v>
      </c>
      <c r="J11084" s="10" t="s">
        <v>33259</v>
      </c>
      <c r="K11084" s="10">
        <v>293</v>
      </c>
      <c r="L11084" s="10" t="s">
        <v>48223</v>
      </c>
      <c r="M11084" s="10">
        <v>1</v>
      </c>
      <c r="N11084" s="10" t="s">
        <v>33404</v>
      </c>
      <c r="O11084" s="10">
        <v>15</v>
      </c>
      <c r="P11084" s="10"/>
      <c r="Q11084" s="10"/>
      <c r="R11084" s="10" t="s">
        <v>48224</v>
      </c>
      <c r="S11084" s="10" t="s">
        <v>53</v>
      </c>
      <c r="T11084" s="10" t="s">
        <v>54</v>
      </c>
    </row>
    <row r="11085" spans="1:20" ht="14.5" x14ac:dyDescent="0.35">
      <c r="A11085" s="10" t="s">
        <v>48225</v>
      </c>
      <c r="B11085" s="10" t="str">
        <f>"9789004377905"</f>
        <v>9789004377905</v>
      </c>
      <c r="C11085" s="10" t="str">
        <f>"9789004377912"</f>
        <v>9789004377912</v>
      </c>
      <c r="D11085" s="10" t="s">
        <v>8564</v>
      </c>
      <c r="E11085" s="10" t="s">
        <v>8565</v>
      </c>
      <c r="F11085" s="10" t="s">
        <v>1420</v>
      </c>
      <c r="G11085" s="10" t="s">
        <v>6317</v>
      </c>
      <c r="H11085" s="11">
        <v>43307</v>
      </c>
      <c r="I11085" s="10">
        <v>2018</v>
      </c>
      <c r="J11085" s="10" t="s">
        <v>33259</v>
      </c>
      <c r="K11085" s="10">
        <v>244</v>
      </c>
      <c r="L11085" s="10" t="s">
        <v>48226</v>
      </c>
      <c r="M11085" s="10">
        <v>1</v>
      </c>
      <c r="N11085" s="10" t="s">
        <v>33751</v>
      </c>
      <c r="O11085" s="10">
        <v>61</v>
      </c>
      <c r="P11085" s="10"/>
      <c r="Q11085" s="10"/>
      <c r="R11085" s="10" t="s">
        <v>48227</v>
      </c>
      <c r="S11085" s="10" t="s">
        <v>53</v>
      </c>
      <c r="T11085" s="10" t="s">
        <v>54</v>
      </c>
    </row>
    <row r="11086" spans="1:20" ht="14.5" x14ac:dyDescent="0.35">
      <c r="A11086" s="10" t="s">
        <v>48228</v>
      </c>
      <c r="B11086" s="10" t="str">
        <f>"9789004368354"</f>
        <v>9789004368354</v>
      </c>
      <c r="C11086" s="10" t="str">
        <f>"9789004368361"</f>
        <v>9789004368361</v>
      </c>
      <c r="D11086" s="10" t="s">
        <v>8564</v>
      </c>
      <c r="E11086" s="10" t="s">
        <v>8565</v>
      </c>
      <c r="F11086" s="10" t="s">
        <v>1420</v>
      </c>
      <c r="G11086" s="10" t="s">
        <v>6317</v>
      </c>
      <c r="H11086" s="11">
        <v>43229</v>
      </c>
      <c r="I11086" s="10">
        <v>2018</v>
      </c>
      <c r="J11086" s="10" t="s">
        <v>33259</v>
      </c>
      <c r="K11086" s="10">
        <v>230</v>
      </c>
      <c r="L11086" s="10" t="s">
        <v>48229</v>
      </c>
      <c r="M11086" s="10">
        <v>1</v>
      </c>
      <c r="N11086" s="10" t="s">
        <v>43520</v>
      </c>
      <c r="O11086" s="10">
        <v>5</v>
      </c>
      <c r="P11086" s="10" t="s">
        <v>48230</v>
      </c>
      <c r="Q11086" s="10">
        <v>370.19600000000003</v>
      </c>
      <c r="R11086" s="10" t="s">
        <v>48231</v>
      </c>
      <c r="S11086" s="10" t="s">
        <v>53</v>
      </c>
      <c r="T11086" s="10" t="s">
        <v>54</v>
      </c>
    </row>
    <row r="11087" spans="1:20" ht="14.5" x14ac:dyDescent="0.35">
      <c r="A11087" s="10" t="s">
        <v>48232</v>
      </c>
      <c r="B11087" s="10" t="str">
        <f>"9789004364608"</f>
        <v>9789004364608</v>
      </c>
      <c r="C11087" s="10" t="str">
        <f>"9789004364622"</f>
        <v>9789004364622</v>
      </c>
      <c r="D11087" s="10" t="s">
        <v>8564</v>
      </c>
      <c r="E11087" s="10" t="s">
        <v>8565</v>
      </c>
      <c r="F11087" s="10" t="s">
        <v>1420</v>
      </c>
      <c r="G11087" s="10" t="s">
        <v>6317</v>
      </c>
      <c r="H11087" s="11">
        <v>43252</v>
      </c>
      <c r="I11087" s="10">
        <v>2018</v>
      </c>
      <c r="J11087" s="10" t="s">
        <v>33259</v>
      </c>
      <c r="K11087" s="10">
        <v>195</v>
      </c>
      <c r="L11087" s="10" t="s">
        <v>42700</v>
      </c>
      <c r="M11087" s="10">
        <v>1</v>
      </c>
      <c r="N11087" s="10"/>
      <c r="O11087" s="10"/>
      <c r="P11087" s="10"/>
      <c r="Q11087" s="10">
        <v>370.11599999999999</v>
      </c>
      <c r="R11087" s="10" t="s">
        <v>48233</v>
      </c>
      <c r="S11087" s="10" t="s">
        <v>53</v>
      </c>
      <c r="T11087" s="10" t="s">
        <v>54</v>
      </c>
    </row>
    <row r="11088" spans="1:20" ht="14.5" x14ac:dyDescent="0.35">
      <c r="A11088" s="10" t="s">
        <v>48234</v>
      </c>
      <c r="B11088" s="10" t="str">
        <f>"9789004386594"</f>
        <v>9789004386594</v>
      </c>
      <c r="C11088" s="10" t="str">
        <f>"9789004386969"</f>
        <v>9789004386969</v>
      </c>
      <c r="D11088" s="10" t="s">
        <v>8564</v>
      </c>
      <c r="E11088" s="10" t="s">
        <v>8565</v>
      </c>
      <c r="F11088" s="10" t="s">
        <v>1420</v>
      </c>
      <c r="G11088" s="10" t="s">
        <v>6317</v>
      </c>
      <c r="H11088" s="11">
        <v>43363</v>
      </c>
      <c r="I11088" s="10">
        <v>2018</v>
      </c>
      <c r="J11088" s="10" t="s">
        <v>33259</v>
      </c>
      <c r="K11088" s="10">
        <v>241</v>
      </c>
      <c r="L11088" s="10" t="s">
        <v>48235</v>
      </c>
      <c r="M11088" s="10">
        <v>1</v>
      </c>
      <c r="N11088" s="10"/>
      <c r="O11088" s="10"/>
      <c r="P11088" s="10" t="s">
        <v>48236</v>
      </c>
      <c r="Q11088" s="10"/>
      <c r="R11088" s="10" t="s">
        <v>48237</v>
      </c>
      <c r="S11088" s="10" t="s">
        <v>53</v>
      </c>
      <c r="T11088" s="10" t="s">
        <v>54</v>
      </c>
    </row>
    <row r="11089" spans="1:20" ht="14.5" x14ac:dyDescent="0.35">
      <c r="A11089" s="10" t="s">
        <v>48238</v>
      </c>
      <c r="B11089" s="10" t="str">
        <f>"9789004364479"</f>
        <v>9789004364479</v>
      </c>
      <c r="C11089" s="10" t="str">
        <f>"9789004364486"</f>
        <v>9789004364486</v>
      </c>
      <c r="D11089" s="10" t="s">
        <v>8564</v>
      </c>
      <c r="E11089" s="10" t="s">
        <v>8565</v>
      </c>
      <c r="F11089" s="10" t="s">
        <v>1420</v>
      </c>
      <c r="G11089" s="10" t="s">
        <v>6317</v>
      </c>
      <c r="H11089" s="11">
        <v>43181</v>
      </c>
      <c r="I11089" s="10">
        <v>2018</v>
      </c>
      <c r="J11089" s="10" t="s">
        <v>33259</v>
      </c>
      <c r="K11089" s="10">
        <v>186</v>
      </c>
      <c r="L11089" s="10" t="s">
        <v>48239</v>
      </c>
      <c r="M11089" s="10">
        <v>1</v>
      </c>
      <c r="N11089" s="10" t="s">
        <v>42639</v>
      </c>
      <c r="O11089" s="10">
        <v>2</v>
      </c>
      <c r="P11089" s="10"/>
      <c r="Q11089" s="10"/>
      <c r="R11089" s="10"/>
      <c r="S11089" s="10" t="s">
        <v>53</v>
      </c>
      <c r="T11089" s="10" t="s">
        <v>54</v>
      </c>
    </row>
    <row r="11090" spans="1:20" ht="14.5" x14ac:dyDescent="0.35">
      <c r="A11090" s="10" t="s">
        <v>48240</v>
      </c>
      <c r="B11090" s="10" t="str">
        <f>"9789004365353"</f>
        <v>9789004365353</v>
      </c>
      <c r="C11090" s="10" t="str">
        <f>"9789004365360"</f>
        <v>9789004365360</v>
      </c>
      <c r="D11090" s="10" t="s">
        <v>8564</v>
      </c>
      <c r="E11090" s="10" t="s">
        <v>8565</v>
      </c>
      <c r="F11090" s="10" t="s">
        <v>1420</v>
      </c>
      <c r="G11090" s="10" t="s">
        <v>6317</v>
      </c>
      <c r="H11090" s="11">
        <v>43139</v>
      </c>
      <c r="I11090" s="10">
        <v>2018</v>
      </c>
      <c r="J11090" s="10" t="s">
        <v>33259</v>
      </c>
      <c r="K11090" s="10">
        <v>165</v>
      </c>
      <c r="L11090" s="10" t="s">
        <v>48241</v>
      </c>
      <c r="M11090" s="10">
        <v>1</v>
      </c>
      <c r="N11090" s="10" t="s">
        <v>48242</v>
      </c>
      <c r="O11090" s="10">
        <v>2</v>
      </c>
      <c r="P11090" s="10" t="s">
        <v>48243</v>
      </c>
      <c r="Q11090" s="10"/>
      <c r="R11090" s="10" t="s">
        <v>48244</v>
      </c>
      <c r="S11090" s="10" t="s">
        <v>53</v>
      </c>
      <c r="T11090" s="10" t="s">
        <v>6363</v>
      </c>
    </row>
    <row r="11091" spans="1:20" ht="14.5" x14ac:dyDescent="0.35">
      <c r="A11091" s="10" t="s">
        <v>48245</v>
      </c>
      <c r="B11091" s="10" t="str">
        <f>"9789004380660"</f>
        <v>9789004380660</v>
      </c>
      <c r="C11091" s="10" t="str">
        <f>"9789004380677"</f>
        <v>9789004380677</v>
      </c>
      <c r="D11091" s="10" t="s">
        <v>8564</v>
      </c>
      <c r="E11091" s="10" t="s">
        <v>8565</v>
      </c>
      <c r="F11091" s="10" t="s">
        <v>1420</v>
      </c>
      <c r="G11091" s="10" t="s">
        <v>6317</v>
      </c>
      <c r="H11091" s="11">
        <v>43363</v>
      </c>
      <c r="I11091" s="10">
        <v>2018</v>
      </c>
      <c r="J11091" s="10" t="s">
        <v>33259</v>
      </c>
      <c r="K11091" s="10">
        <v>182</v>
      </c>
      <c r="L11091" s="10" t="s">
        <v>48246</v>
      </c>
      <c r="M11091" s="10">
        <v>1</v>
      </c>
      <c r="N11091" s="10"/>
      <c r="O11091" s="10"/>
      <c r="P11091" s="10"/>
      <c r="Q11091" s="10"/>
      <c r="R11091" s="10" t="s">
        <v>48247</v>
      </c>
      <c r="S11091" s="10" t="s">
        <v>53</v>
      </c>
      <c r="T11091" s="10" t="s">
        <v>54</v>
      </c>
    </row>
    <row r="11092" spans="1:20" ht="14.5" x14ac:dyDescent="0.35">
      <c r="A11092" s="10" t="s">
        <v>48248</v>
      </c>
      <c r="B11092" s="10" t="str">
        <f>"9789004366237"</f>
        <v>9789004366237</v>
      </c>
      <c r="C11092" s="10" t="str">
        <f>"9789004366251"</f>
        <v>9789004366251</v>
      </c>
      <c r="D11092" s="10" t="s">
        <v>8564</v>
      </c>
      <c r="E11092" s="10" t="s">
        <v>8565</v>
      </c>
      <c r="F11092" s="10" t="s">
        <v>1420</v>
      </c>
      <c r="G11092" s="10" t="s">
        <v>6317</v>
      </c>
      <c r="H11092" s="11">
        <v>43160</v>
      </c>
      <c r="I11092" s="10">
        <v>2018</v>
      </c>
      <c r="J11092" s="10" t="s">
        <v>33259</v>
      </c>
      <c r="K11092" s="10">
        <v>191</v>
      </c>
      <c r="L11092" s="10" t="s">
        <v>48249</v>
      </c>
      <c r="M11092" s="10">
        <v>1</v>
      </c>
      <c r="N11092" s="10" t="s">
        <v>33696</v>
      </c>
      <c r="O11092" s="10">
        <v>10</v>
      </c>
      <c r="P11092" s="10"/>
      <c r="Q11092" s="10">
        <v>809.38738000000001</v>
      </c>
      <c r="R11092" s="10" t="s">
        <v>48250</v>
      </c>
      <c r="S11092" s="10" t="s">
        <v>53</v>
      </c>
      <c r="T11092" s="10" t="s">
        <v>1166</v>
      </c>
    </row>
    <row r="11093" spans="1:20" ht="14.5" x14ac:dyDescent="0.35">
      <c r="A11093" s="10" t="s">
        <v>48251</v>
      </c>
      <c r="B11093" s="10" t="str">
        <f>"9789004384934"</f>
        <v>9789004384934</v>
      </c>
      <c r="C11093" s="10" t="str">
        <f>"9789004384941"</f>
        <v>9789004384941</v>
      </c>
      <c r="D11093" s="10" t="s">
        <v>8564</v>
      </c>
      <c r="E11093" s="10" t="s">
        <v>8565</v>
      </c>
      <c r="F11093" s="10" t="s">
        <v>1420</v>
      </c>
      <c r="G11093" s="10" t="s">
        <v>6317</v>
      </c>
      <c r="H11093" s="11">
        <v>43363</v>
      </c>
      <c r="I11093" s="10">
        <v>2018</v>
      </c>
      <c r="J11093" s="10" t="s">
        <v>33259</v>
      </c>
      <c r="K11093" s="10">
        <v>159</v>
      </c>
      <c r="L11093" s="10" t="s">
        <v>48252</v>
      </c>
      <c r="M11093" s="10">
        <v>1</v>
      </c>
      <c r="N11093" s="10" t="s">
        <v>44161</v>
      </c>
      <c r="O11093" s="10">
        <v>129</v>
      </c>
      <c r="P11093" s="10"/>
      <c r="Q11093" s="10"/>
      <c r="R11093" s="10" t="s">
        <v>48253</v>
      </c>
      <c r="S11093" s="10" t="s">
        <v>53</v>
      </c>
      <c r="T11093" s="10" t="s">
        <v>54</v>
      </c>
    </row>
    <row r="11094" spans="1:20" ht="14.5" x14ac:dyDescent="0.35">
      <c r="A11094" s="10" t="s">
        <v>48254</v>
      </c>
      <c r="B11094" s="10" t="str">
        <f>"9789004379657"</f>
        <v>9789004379657</v>
      </c>
      <c r="C11094" s="10" t="str">
        <f>"9789004379664"</f>
        <v>9789004379664</v>
      </c>
      <c r="D11094" s="10" t="s">
        <v>8564</v>
      </c>
      <c r="E11094" s="10" t="s">
        <v>8565</v>
      </c>
      <c r="F11094" s="10" t="s">
        <v>1420</v>
      </c>
      <c r="G11094" s="10" t="s">
        <v>6317</v>
      </c>
      <c r="H11094" s="11">
        <v>43349</v>
      </c>
      <c r="I11094" s="10">
        <v>2018</v>
      </c>
      <c r="J11094" s="10" t="s">
        <v>33259</v>
      </c>
      <c r="K11094" s="10">
        <v>249</v>
      </c>
      <c r="L11094" s="10" t="s">
        <v>48255</v>
      </c>
      <c r="M11094" s="10">
        <v>1</v>
      </c>
      <c r="N11094" s="10" t="s">
        <v>33408</v>
      </c>
      <c r="O11094" s="10">
        <v>10</v>
      </c>
      <c r="P11094" s="10"/>
      <c r="Q11094" s="10"/>
      <c r="R11094" s="10" t="s">
        <v>48256</v>
      </c>
      <c r="S11094" s="10" t="s">
        <v>53</v>
      </c>
      <c r="T11094" s="10" t="s">
        <v>54</v>
      </c>
    </row>
    <row r="11095" spans="1:20" ht="14.5" x14ac:dyDescent="0.35">
      <c r="A11095" s="10" t="s">
        <v>48257</v>
      </c>
      <c r="B11095" s="10" t="str">
        <f>"9789004368101"</f>
        <v>9789004368101</v>
      </c>
      <c r="C11095" s="10" t="str">
        <f>"9789004368118"</f>
        <v>9789004368118</v>
      </c>
      <c r="D11095" s="10" t="s">
        <v>8564</v>
      </c>
      <c r="E11095" s="10" t="s">
        <v>8565</v>
      </c>
      <c r="F11095" s="10" t="s">
        <v>1420</v>
      </c>
      <c r="G11095" s="10" t="s">
        <v>6317</v>
      </c>
      <c r="H11095" s="11">
        <v>43181</v>
      </c>
      <c r="I11095" s="10">
        <v>2018</v>
      </c>
      <c r="J11095" s="10" t="s">
        <v>33259</v>
      </c>
      <c r="K11095" s="10">
        <v>138</v>
      </c>
      <c r="L11095" s="10" t="s">
        <v>48258</v>
      </c>
      <c r="M11095" s="10">
        <v>1</v>
      </c>
      <c r="N11095" s="10" t="s">
        <v>33404</v>
      </c>
      <c r="O11095" s="10">
        <v>14</v>
      </c>
      <c r="P11095" s="10"/>
      <c r="Q11095" s="10"/>
      <c r="R11095" s="10" t="s">
        <v>48259</v>
      </c>
      <c r="S11095" s="10" t="s">
        <v>53</v>
      </c>
      <c r="T11095" s="10" t="s">
        <v>54</v>
      </c>
    </row>
    <row r="11096" spans="1:20" ht="14.5" x14ac:dyDescent="0.35">
      <c r="A11096" s="10" t="s">
        <v>48260</v>
      </c>
      <c r="B11096" s="10" t="str">
        <f>"9789004366732"</f>
        <v>9789004366732</v>
      </c>
      <c r="C11096" s="10" t="str">
        <f>"9789004366749"</f>
        <v>9789004366749</v>
      </c>
      <c r="D11096" s="10" t="s">
        <v>8564</v>
      </c>
      <c r="E11096" s="10" t="s">
        <v>8565</v>
      </c>
      <c r="F11096" s="10" t="s">
        <v>1420</v>
      </c>
      <c r="G11096" s="10" t="s">
        <v>6317</v>
      </c>
      <c r="H11096" s="11">
        <v>43202</v>
      </c>
      <c r="I11096" s="10">
        <v>2018</v>
      </c>
      <c r="J11096" s="10" t="s">
        <v>33259</v>
      </c>
      <c r="K11096" s="10">
        <v>227</v>
      </c>
      <c r="L11096" s="10" t="s">
        <v>48261</v>
      </c>
      <c r="M11096" s="10">
        <v>1</v>
      </c>
      <c r="N11096" s="10" t="s">
        <v>33455</v>
      </c>
      <c r="O11096" s="10">
        <v>46</v>
      </c>
      <c r="P11096" s="10"/>
      <c r="Q11096" s="10"/>
      <c r="R11096" s="10" t="s">
        <v>48262</v>
      </c>
      <c r="S11096" s="10" t="s">
        <v>53</v>
      </c>
      <c r="T11096" s="10" t="s">
        <v>54</v>
      </c>
    </row>
    <row r="11097" spans="1:20" ht="14.5" x14ac:dyDescent="0.35">
      <c r="A11097" s="10" t="s">
        <v>48263</v>
      </c>
      <c r="B11097" s="10" t="str">
        <f>"9781787548411"</f>
        <v>9781787548411</v>
      </c>
      <c r="C11097" s="10" t="str">
        <f>"9781787548428"</f>
        <v>9781787548428</v>
      </c>
      <c r="D11097" s="10" t="s">
        <v>8699</v>
      </c>
      <c r="E11097" s="10" t="s">
        <v>8699</v>
      </c>
      <c r="F11097" s="10" t="s">
        <v>559</v>
      </c>
      <c r="G11097" s="10" t="s">
        <v>6352</v>
      </c>
      <c r="H11097" s="11">
        <v>43416</v>
      </c>
      <c r="I11097" s="10">
        <v>2019</v>
      </c>
      <c r="J11097" s="10" t="s">
        <v>8699</v>
      </c>
      <c r="K11097" s="10">
        <v>266</v>
      </c>
      <c r="L11097" s="10" t="s">
        <v>48264</v>
      </c>
      <c r="M11097" s="10">
        <v>1</v>
      </c>
      <c r="N11097" s="10" t="s">
        <v>18965</v>
      </c>
      <c r="O11097" s="10">
        <v>21</v>
      </c>
      <c r="P11097" s="10" t="s">
        <v>48265</v>
      </c>
      <c r="Q11097" s="10">
        <v>378.19829960729999</v>
      </c>
      <c r="R11097" s="10" t="s">
        <v>48266</v>
      </c>
      <c r="S11097" s="10" t="s">
        <v>53</v>
      </c>
      <c r="T11097" s="10" t="s">
        <v>54</v>
      </c>
    </row>
    <row r="11098" spans="1:20" ht="14.5" x14ac:dyDescent="0.35">
      <c r="A11098" s="10" t="s">
        <v>26822</v>
      </c>
      <c r="B11098" s="10" t="str">
        <f>"9781787692787"</f>
        <v>9781787692787</v>
      </c>
      <c r="C11098" s="10" t="str">
        <f>"9781787692794"</f>
        <v>9781787692794</v>
      </c>
      <c r="D11098" s="10" t="s">
        <v>8699</v>
      </c>
      <c r="E11098" s="10" t="s">
        <v>8699</v>
      </c>
      <c r="F11098" s="10" t="s">
        <v>559</v>
      </c>
      <c r="G11098" s="10" t="s">
        <v>6352</v>
      </c>
      <c r="H11098" s="11">
        <v>43416</v>
      </c>
      <c r="I11098" s="10">
        <v>2019</v>
      </c>
      <c r="J11098" s="10" t="s">
        <v>8699</v>
      </c>
      <c r="K11098" s="10">
        <v>260</v>
      </c>
      <c r="L11098" s="10" t="s">
        <v>26823</v>
      </c>
      <c r="M11098" s="10">
        <v>1</v>
      </c>
      <c r="N11098" s="10" t="s">
        <v>43353</v>
      </c>
      <c r="O11098" s="10">
        <v>4</v>
      </c>
      <c r="P11098" s="10" t="s">
        <v>26825</v>
      </c>
      <c r="Q11098" s="10">
        <v>378.00720000000001</v>
      </c>
      <c r="R11098" s="10" t="s">
        <v>33773</v>
      </c>
      <c r="S11098" s="10" t="s">
        <v>53</v>
      </c>
      <c r="T11098" s="10" t="s">
        <v>54</v>
      </c>
    </row>
    <row r="11099" spans="1:20" ht="14.5" x14ac:dyDescent="0.35">
      <c r="A11099" s="10" t="s">
        <v>48267</v>
      </c>
      <c r="B11099" s="10" t="str">
        <f>"9781787560055"</f>
        <v>9781787560055</v>
      </c>
      <c r="C11099" s="10" t="str">
        <f>"9781787560048"</f>
        <v>9781787560048</v>
      </c>
      <c r="D11099" s="10" t="s">
        <v>8699</v>
      </c>
      <c r="E11099" s="10" t="s">
        <v>8699</v>
      </c>
      <c r="F11099" s="10" t="s">
        <v>559</v>
      </c>
      <c r="G11099" s="10" t="s">
        <v>6352</v>
      </c>
      <c r="H11099" s="11">
        <v>43416</v>
      </c>
      <c r="I11099" s="10">
        <v>2019</v>
      </c>
      <c r="J11099" s="10" t="s">
        <v>8699</v>
      </c>
      <c r="K11099" s="10">
        <v>217</v>
      </c>
      <c r="L11099" s="10" t="s">
        <v>48268</v>
      </c>
      <c r="M11099" s="10">
        <v>1</v>
      </c>
      <c r="N11099" s="10" t="s">
        <v>47460</v>
      </c>
      <c r="O11099" s="10"/>
      <c r="P11099" s="10" t="s">
        <v>48269</v>
      </c>
      <c r="Q11099" s="10" t="s">
        <v>16056</v>
      </c>
      <c r="R11099" s="10" t="s">
        <v>48270</v>
      </c>
      <c r="S11099" s="10" t="s">
        <v>53</v>
      </c>
      <c r="T11099" s="10" t="s">
        <v>54</v>
      </c>
    </row>
    <row r="11100" spans="1:20" ht="14.5" x14ac:dyDescent="0.35">
      <c r="A11100" s="10" t="s">
        <v>48271</v>
      </c>
      <c r="B11100" s="10" t="str">
        <f>"9781771991919"</f>
        <v>9781771991919</v>
      </c>
      <c r="C11100" s="10" t="str">
        <f>"9781771991933"</f>
        <v>9781771991933</v>
      </c>
      <c r="D11100" s="10" t="s">
        <v>17293</v>
      </c>
      <c r="E11100" s="10" t="s">
        <v>17293</v>
      </c>
      <c r="F11100" s="10" t="s">
        <v>99</v>
      </c>
      <c r="G11100" s="10" t="s">
        <v>9536</v>
      </c>
      <c r="H11100" s="11">
        <v>43414</v>
      </c>
      <c r="I11100" s="10">
        <v>2018</v>
      </c>
      <c r="J11100" s="10" t="s">
        <v>17293</v>
      </c>
      <c r="K11100" s="10">
        <v>409</v>
      </c>
      <c r="L11100" s="10" t="s">
        <v>48272</v>
      </c>
      <c r="M11100" s="10">
        <v>1</v>
      </c>
      <c r="N11100" s="10"/>
      <c r="O11100" s="10"/>
      <c r="P11100" s="10" t="s">
        <v>48273</v>
      </c>
      <c r="Q11100" s="10" t="s">
        <v>7335</v>
      </c>
      <c r="R11100" s="10" t="s">
        <v>33589</v>
      </c>
      <c r="S11100" s="10" t="s">
        <v>53</v>
      </c>
      <c r="T11100" s="10" t="s">
        <v>54</v>
      </c>
    </row>
    <row r="11101" spans="1:20" ht="14.5" x14ac:dyDescent="0.35">
      <c r="A11101" s="10" t="s">
        <v>48274</v>
      </c>
      <c r="B11101" s="10" t="str">
        <f>"9781119374428"</f>
        <v>9781119374428</v>
      </c>
      <c r="C11101" s="10" t="str">
        <f>"9781119374565"</f>
        <v>9781119374565</v>
      </c>
      <c r="D11101" s="10" t="s">
        <v>6322</v>
      </c>
      <c r="E11101" s="10" t="s">
        <v>6323</v>
      </c>
      <c r="F11101" s="10" t="s">
        <v>4423</v>
      </c>
      <c r="G11101" s="10" t="s">
        <v>6317</v>
      </c>
      <c r="H11101" s="11">
        <v>43424</v>
      </c>
      <c r="I11101" s="10">
        <v>2019</v>
      </c>
      <c r="J11101" s="10" t="s">
        <v>6324</v>
      </c>
      <c r="K11101" s="10">
        <v>363</v>
      </c>
      <c r="L11101" s="10" t="s">
        <v>24764</v>
      </c>
      <c r="M11101" s="10">
        <v>1</v>
      </c>
      <c r="N11101" s="10"/>
      <c r="O11101" s="10"/>
      <c r="P11101" s="10"/>
      <c r="Q11101" s="10"/>
      <c r="R11101" s="10" t="s">
        <v>48275</v>
      </c>
      <c r="S11101" s="10" t="s">
        <v>53</v>
      </c>
      <c r="T11101" s="10" t="s">
        <v>54</v>
      </c>
    </row>
    <row r="11102" spans="1:20" ht="14.5" x14ac:dyDescent="0.35">
      <c r="A11102" s="10" t="s">
        <v>48276</v>
      </c>
      <c r="B11102" s="10" t="str">
        <f>"9782804706364"</f>
        <v>9782804706364</v>
      </c>
      <c r="C11102" s="10" t="str">
        <f>"9782804706371"</f>
        <v>9782804706371</v>
      </c>
      <c r="D11102" s="10" t="s">
        <v>29172</v>
      </c>
      <c r="E11102" s="10" t="s">
        <v>48277</v>
      </c>
      <c r="F11102" s="10" t="s">
        <v>31602</v>
      </c>
      <c r="G11102" s="10" t="s">
        <v>28737</v>
      </c>
      <c r="H11102" s="11">
        <v>43402</v>
      </c>
      <c r="I11102" s="10">
        <v>2018</v>
      </c>
      <c r="J11102" s="10" t="s">
        <v>48277</v>
      </c>
      <c r="K11102" s="10">
        <v>111</v>
      </c>
      <c r="L11102" s="10" t="s">
        <v>48278</v>
      </c>
      <c r="M11102" s="10">
        <v>1</v>
      </c>
      <c r="N11102" s="10"/>
      <c r="O11102" s="10"/>
      <c r="P11102" s="10" t="s">
        <v>48279</v>
      </c>
      <c r="Q11102" s="10">
        <v>570.76</v>
      </c>
      <c r="R11102" s="10" t="s">
        <v>46796</v>
      </c>
      <c r="S11102" s="10" t="s">
        <v>5404</v>
      </c>
      <c r="T11102" s="10" t="s">
        <v>13819</v>
      </c>
    </row>
    <row r="11103" spans="1:20" ht="14.5" x14ac:dyDescent="0.35">
      <c r="A11103" s="10" t="s">
        <v>48280</v>
      </c>
      <c r="B11103" s="10" t="str">
        <f>"9781138328365"</f>
        <v>9781138328365</v>
      </c>
      <c r="C11103" s="10" t="str">
        <f>"9780429828508"</f>
        <v>9780429828508</v>
      </c>
      <c r="D11103" s="10" t="s">
        <v>6350</v>
      </c>
      <c r="E11103" s="10" t="s">
        <v>6351</v>
      </c>
      <c r="F11103" s="10" t="s">
        <v>3967</v>
      </c>
      <c r="G11103" s="10" t="s">
        <v>6352</v>
      </c>
      <c r="H11103" s="11">
        <v>36526</v>
      </c>
      <c r="I11103" s="10">
        <v>2000</v>
      </c>
      <c r="J11103" s="10" t="s">
        <v>6353</v>
      </c>
      <c r="K11103" s="10">
        <v>180</v>
      </c>
      <c r="L11103" s="10" t="s">
        <v>48281</v>
      </c>
      <c r="M11103" s="10">
        <v>1</v>
      </c>
      <c r="N11103" s="10" t="s">
        <v>16856</v>
      </c>
      <c r="O11103" s="10"/>
      <c r="P11103" s="10" t="s">
        <v>48282</v>
      </c>
      <c r="Q11103" s="10">
        <v>379.260941</v>
      </c>
      <c r="R11103" s="10" t="s">
        <v>48283</v>
      </c>
      <c r="S11103" s="10" t="s">
        <v>53</v>
      </c>
      <c r="T11103" s="10" t="s">
        <v>54</v>
      </c>
    </row>
    <row r="11104" spans="1:20" ht="14.5" x14ac:dyDescent="0.35">
      <c r="A11104" s="10" t="s">
        <v>48284</v>
      </c>
      <c r="B11104" s="10" t="str">
        <f>"9781620366684"</f>
        <v>9781620366684</v>
      </c>
      <c r="C11104" s="10" t="str">
        <f>"9781000974416"</f>
        <v>9781000974416</v>
      </c>
      <c r="D11104" s="10" t="s">
        <v>6350</v>
      </c>
      <c r="E11104" s="10" t="s">
        <v>6351</v>
      </c>
      <c r="F11104" s="10" t="s">
        <v>748</v>
      </c>
      <c r="G11104" s="10" t="s">
        <v>6352</v>
      </c>
      <c r="H11104" s="11">
        <v>43402</v>
      </c>
      <c r="I11104" s="10">
        <v>2018</v>
      </c>
      <c r="J11104" s="10" t="s">
        <v>6351</v>
      </c>
      <c r="K11104" s="10">
        <v>194</v>
      </c>
      <c r="L11104" s="10" t="s">
        <v>43679</v>
      </c>
      <c r="M11104" s="10">
        <v>1</v>
      </c>
      <c r="N11104" s="10"/>
      <c r="O11104" s="10"/>
      <c r="P11104" s="10" t="s">
        <v>48285</v>
      </c>
      <c r="Q11104" s="10">
        <v>378.12</v>
      </c>
      <c r="R11104" s="10" t="s">
        <v>48286</v>
      </c>
      <c r="S11104" s="10" t="s">
        <v>53</v>
      </c>
      <c r="T11104" s="10" t="s">
        <v>54</v>
      </c>
    </row>
    <row r="11105" spans="1:20" ht="14.5" x14ac:dyDescent="0.35">
      <c r="A11105" s="10" t="s">
        <v>48287</v>
      </c>
      <c r="B11105" s="10" t="str">
        <f>"9780823282463"</f>
        <v>9780823282463</v>
      </c>
      <c r="C11105" s="10" t="str">
        <f>"9780823282487"</f>
        <v>9780823282487</v>
      </c>
      <c r="D11105" s="10" t="s">
        <v>34735</v>
      </c>
      <c r="E11105" s="10" t="s">
        <v>34735</v>
      </c>
      <c r="F11105" s="10" t="s">
        <v>70</v>
      </c>
      <c r="G11105" s="10" t="s">
        <v>6317</v>
      </c>
      <c r="H11105" s="11">
        <v>43473</v>
      </c>
      <c r="I11105" s="10">
        <v>2019</v>
      </c>
      <c r="J11105" s="10" t="s">
        <v>34735</v>
      </c>
      <c r="K11105" s="10">
        <v>257</v>
      </c>
      <c r="L11105" s="10" t="s">
        <v>48288</v>
      </c>
      <c r="M11105" s="10">
        <v>1</v>
      </c>
      <c r="N11105" s="10"/>
      <c r="O11105" s="10"/>
      <c r="P11105" s="10" t="s">
        <v>48289</v>
      </c>
      <c r="Q11105" s="10">
        <v>808.04207116999999</v>
      </c>
      <c r="R11105" s="10" t="s">
        <v>48290</v>
      </c>
      <c r="S11105" s="10" t="s">
        <v>53</v>
      </c>
      <c r="T11105" s="10" t="s">
        <v>9143</v>
      </c>
    </row>
    <row r="11106" spans="1:20" ht="14.5" x14ac:dyDescent="0.35">
      <c r="A11106" s="10" t="s">
        <v>48291</v>
      </c>
      <c r="B11106" s="10" t="str">
        <f>"9781787543263"</f>
        <v>9781787543263</v>
      </c>
      <c r="C11106" s="10" t="str">
        <f>"9781787543256"</f>
        <v>9781787543256</v>
      </c>
      <c r="D11106" s="10" t="s">
        <v>8699</v>
      </c>
      <c r="E11106" s="10" t="s">
        <v>8699</v>
      </c>
      <c r="F11106" s="10" t="s">
        <v>559</v>
      </c>
      <c r="G11106" s="10" t="s">
        <v>6352</v>
      </c>
      <c r="H11106" s="11">
        <v>43426</v>
      </c>
      <c r="I11106" s="10">
        <v>2019</v>
      </c>
      <c r="J11106" s="10" t="s">
        <v>8699</v>
      </c>
      <c r="K11106" s="10">
        <v>232</v>
      </c>
      <c r="L11106" s="10" t="s">
        <v>48292</v>
      </c>
      <c r="M11106" s="10">
        <v>1</v>
      </c>
      <c r="N11106" s="10"/>
      <c r="O11106" s="10"/>
      <c r="P11106" s="10" t="s">
        <v>29384</v>
      </c>
      <c r="Q11106" s="10" t="s">
        <v>32568</v>
      </c>
      <c r="R11106" s="10" t="s">
        <v>48293</v>
      </c>
      <c r="S11106" s="10" t="s">
        <v>53</v>
      </c>
      <c r="T11106" s="10" t="s">
        <v>54</v>
      </c>
    </row>
    <row r="11107" spans="1:20" ht="14.5" x14ac:dyDescent="0.35">
      <c r="A11107" s="10" t="s">
        <v>48294</v>
      </c>
      <c r="B11107" s="10" t="str">
        <f>"9781787560857"</f>
        <v>9781787560857</v>
      </c>
      <c r="C11107" s="10" t="str">
        <f>"9781787560840"</f>
        <v>9781787560840</v>
      </c>
      <c r="D11107" s="10" t="s">
        <v>8699</v>
      </c>
      <c r="E11107" s="10" t="s">
        <v>8699</v>
      </c>
      <c r="F11107" s="10" t="s">
        <v>559</v>
      </c>
      <c r="G11107" s="10" t="s">
        <v>6352</v>
      </c>
      <c r="H11107" s="11">
        <v>43434</v>
      </c>
      <c r="I11107" s="10">
        <v>2019</v>
      </c>
      <c r="J11107" s="10" t="s">
        <v>8699</v>
      </c>
      <c r="K11107" s="10">
        <v>178</v>
      </c>
      <c r="L11107" s="10" t="s">
        <v>28837</v>
      </c>
      <c r="M11107" s="10">
        <v>1</v>
      </c>
      <c r="N11107" s="10" t="s">
        <v>14554</v>
      </c>
      <c r="O11107" s="10">
        <v>30</v>
      </c>
      <c r="P11107" s="10" t="s">
        <v>48295</v>
      </c>
      <c r="Q11107" s="10" t="s">
        <v>19648</v>
      </c>
      <c r="R11107" s="10" t="s">
        <v>48296</v>
      </c>
      <c r="S11107" s="10" t="s">
        <v>53</v>
      </c>
      <c r="T11107" s="10" t="s">
        <v>13739</v>
      </c>
    </row>
    <row r="11108" spans="1:20" ht="14.5" x14ac:dyDescent="0.35">
      <c r="A11108" s="10" t="s">
        <v>48297</v>
      </c>
      <c r="B11108" s="10" t="str">
        <f>""</f>
        <v/>
      </c>
      <c r="C11108" s="10" t="str">
        <f>"9781682177761"</f>
        <v>9781682177761</v>
      </c>
      <c r="D11108" s="10" t="s">
        <v>48298</v>
      </c>
      <c r="E11108" s="10" t="s">
        <v>48298</v>
      </c>
      <c r="F11108" s="10" t="s">
        <v>48299</v>
      </c>
      <c r="G11108" s="10" t="s">
        <v>6317</v>
      </c>
      <c r="H11108" s="11">
        <v>43312</v>
      </c>
      <c r="I11108" s="10">
        <v>2018</v>
      </c>
      <c r="J11108" s="10" t="s">
        <v>48298</v>
      </c>
      <c r="K11108" s="10">
        <v>1650</v>
      </c>
      <c r="L11108" s="10" t="s">
        <v>48300</v>
      </c>
      <c r="M11108" s="10">
        <v>9</v>
      </c>
      <c r="N11108" s="10"/>
      <c r="O11108" s="10"/>
      <c r="P11108" s="10" t="s">
        <v>48301</v>
      </c>
      <c r="Q11108" s="10">
        <v>379.15350973</v>
      </c>
      <c r="R11108" s="10" t="s">
        <v>48302</v>
      </c>
      <c r="S11108" s="10" t="s">
        <v>53</v>
      </c>
      <c r="T11108" s="10" t="s">
        <v>54</v>
      </c>
    </row>
    <row r="11109" spans="1:20" ht="14.5" x14ac:dyDescent="0.35">
      <c r="A11109" s="10" t="s">
        <v>48303</v>
      </c>
      <c r="B11109" s="10" t="str">
        <f>"9781945349959"</f>
        <v>9781945349959</v>
      </c>
      <c r="C11109" s="10" t="str">
        <f>"9781945349966"</f>
        <v>9781945349966</v>
      </c>
      <c r="D11109" s="10" t="s">
        <v>37580</v>
      </c>
      <c r="E11109" s="10" t="s">
        <v>37581</v>
      </c>
      <c r="F11109" s="10" t="s">
        <v>37623</v>
      </c>
      <c r="G11109" s="10" t="s">
        <v>6317</v>
      </c>
      <c r="H11109" s="11">
        <v>43413</v>
      </c>
      <c r="I11109" s="10">
        <v>2019</v>
      </c>
      <c r="J11109" s="10" t="s">
        <v>37581</v>
      </c>
      <c r="K11109" s="10">
        <v>240</v>
      </c>
      <c r="L11109" s="10" t="s">
        <v>48304</v>
      </c>
      <c r="M11109" s="10">
        <v>1</v>
      </c>
      <c r="N11109" s="10"/>
      <c r="O11109" s="10"/>
      <c r="P11109" s="10" t="s">
        <v>19301</v>
      </c>
      <c r="Q11109" s="10"/>
      <c r="R11109" s="10" t="s">
        <v>48305</v>
      </c>
      <c r="S11109" s="10" t="s">
        <v>53</v>
      </c>
      <c r="T11109" s="10" t="s">
        <v>54</v>
      </c>
    </row>
    <row r="11110" spans="1:20" ht="14.5" x14ac:dyDescent="0.35">
      <c r="A11110" s="10" t="s">
        <v>48306</v>
      </c>
      <c r="B11110" s="10" t="str">
        <f>"9781483381084"</f>
        <v>9781483381084</v>
      </c>
      <c r="C11110" s="10" t="str">
        <f>"9781506322315"</f>
        <v>9781506322315</v>
      </c>
      <c r="D11110" s="10" t="s">
        <v>22210</v>
      </c>
      <c r="E11110" s="10" t="s">
        <v>22211</v>
      </c>
      <c r="F11110" s="10" t="s">
        <v>333</v>
      </c>
      <c r="G11110" s="10" t="s">
        <v>6317</v>
      </c>
      <c r="H11110" s="11">
        <v>42354</v>
      </c>
      <c r="I11110" s="10">
        <v>2016</v>
      </c>
      <c r="J11110" s="10" t="s">
        <v>22211</v>
      </c>
      <c r="K11110" s="10">
        <v>153</v>
      </c>
      <c r="L11110" s="10" t="s">
        <v>48307</v>
      </c>
      <c r="M11110" s="10">
        <v>1</v>
      </c>
      <c r="N11110" s="10"/>
      <c r="O11110" s="10"/>
      <c r="P11110" s="10" t="s">
        <v>19301</v>
      </c>
      <c r="Q11110" s="10">
        <v>371.10199999999998</v>
      </c>
      <c r="R11110" s="10"/>
      <c r="S11110" s="10" t="s">
        <v>53</v>
      </c>
      <c r="T11110" s="10" t="s">
        <v>54</v>
      </c>
    </row>
    <row r="11111" spans="1:20" ht="14.5" x14ac:dyDescent="0.35">
      <c r="A11111" s="10" t="s">
        <v>48308</v>
      </c>
      <c r="B11111" s="10" t="str">
        <f>"9781483316772"</f>
        <v>9781483316772</v>
      </c>
      <c r="C11111" s="10" t="str">
        <f>"9781483388212"</f>
        <v>9781483388212</v>
      </c>
      <c r="D11111" s="10" t="s">
        <v>22210</v>
      </c>
      <c r="E11111" s="10" t="s">
        <v>22211</v>
      </c>
      <c r="F11111" s="10" t="s">
        <v>333</v>
      </c>
      <c r="G11111" s="10" t="s">
        <v>6317</v>
      </c>
      <c r="H11111" s="11">
        <v>42081</v>
      </c>
      <c r="I11111" s="10">
        <v>2015</v>
      </c>
      <c r="J11111" s="10" t="s">
        <v>22211</v>
      </c>
      <c r="K11111" s="10">
        <v>185</v>
      </c>
      <c r="L11111" s="10" t="s">
        <v>48309</v>
      </c>
      <c r="M11111" s="10">
        <v>1</v>
      </c>
      <c r="N11111" s="10"/>
      <c r="O11111" s="10"/>
      <c r="P11111" s="10" t="s">
        <v>11128</v>
      </c>
      <c r="Q11111" s="10">
        <v>371.10239999999999</v>
      </c>
      <c r="R11111" s="10" t="s">
        <v>48310</v>
      </c>
      <c r="S11111" s="10" t="s">
        <v>53</v>
      </c>
      <c r="T11111" s="10" t="s">
        <v>54</v>
      </c>
    </row>
    <row r="11112" spans="1:20" ht="14.5" x14ac:dyDescent="0.35">
      <c r="A11112" s="10" t="s">
        <v>48311</v>
      </c>
      <c r="B11112" s="10" t="str">
        <f>"9789004388970"</f>
        <v>9789004388970</v>
      </c>
      <c r="C11112" s="10" t="str">
        <f>"9789004388987"</f>
        <v>9789004388987</v>
      </c>
      <c r="D11112" s="10" t="s">
        <v>8564</v>
      </c>
      <c r="E11112" s="10" t="s">
        <v>8565</v>
      </c>
      <c r="F11112" s="10" t="s">
        <v>1420</v>
      </c>
      <c r="G11112" s="10" t="s">
        <v>6317</v>
      </c>
      <c r="H11112" s="11">
        <v>43384</v>
      </c>
      <c r="I11112" s="10">
        <v>2018</v>
      </c>
      <c r="J11112" s="10" t="s">
        <v>33259</v>
      </c>
      <c r="K11112" s="10">
        <v>226</v>
      </c>
      <c r="L11112" s="10" t="s">
        <v>45036</v>
      </c>
      <c r="M11112" s="10">
        <v>1</v>
      </c>
      <c r="N11112" s="10"/>
      <c r="O11112" s="10"/>
      <c r="P11112" s="10" t="s">
        <v>48312</v>
      </c>
      <c r="Q11112" s="10" t="s">
        <v>9298</v>
      </c>
      <c r="R11112" s="10" t="s">
        <v>48313</v>
      </c>
      <c r="S11112" s="10" t="s">
        <v>53</v>
      </c>
      <c r="T11112" s="10" t="s">
        <v>54</v>
      </c>
    </row>
    <row r="11113" spans="1:20" ht="14.5" x14ac:dyDescent="0.35">
      <c r="A11113" s="10" t="s">
        <v>48314</v>
      </c>
      <c r="B11113" s="10" t="str">
        <f>"9789004390225"</f>
        <v>9789004390225</v>
      </c>
      <c r="C11113" s="10" t="str">
        <f>"9789004390232"</f>
        <v>9789004390232</v>
      </c>
      <c r="D11113" s="10" t="s">
        <v>8564</v>
      </c>
      <c r="E11113" s="10" t="s">
        <v>8565</v>
      </c>
      <c r="F11113" s="10" t="s">
        <v>1420</v>
      </c>
      <c r="G11113" s="10" t="s">
        <v>6317</v>
      </c>
      <c r="H11113" s="11">
        <v>43384</v>
      </c>
      <c r="I11113" s="10">
        <v>2019</v>
      </c>
      <c r="J11113" s="10" t="s">
        <v>33259</v>
      </c>
      <c r="K11113" s="10">
        <v>178</v>
      </c>
      <c r="L11113" s="10" t="s">
        <v>48315</v>
      </c>
      <c r="M11113" s="10">
        <v>1</v>
      </c>
      <c r="N11113" s="10"/>
      <c r="O11113" s="10"/>
      <c r="P11113" s="10" t="s">
        <v>48316</v>
      </c>
      <c r="Q11113" s="10">
        <v>510.71</v>
      </c>
      <c r="R11113" s="10" t="s">
        <v>33292</v>
      </c>
      <c r="S11113" s="10" t="s">
        <v>53</v>
      </c>
      <c r="T11113" s="10" t="s">
        <v>389</v>
      </c>
    </row>
    <row r="11114" spans="1:20" ht="14.5" x14ac:dyDescent="0.35">
      <c r="A11114" s="10" t="s">
        <v>48317</v>
      </c>
      <c r="B11114" s="10" t="str">
        <f>"9789004381254"</f>
        <v>9789004381254</v>
      </c>
      <c r="C11114" s="10" t="str">
        <f>"9789004381261"</f>
        <v>9789004381261</v>
      </c>
      <c r="D11114" s="10" t="s">
        <v>8564</v>
      </c>
      <c r="E11114" s="10" t="s">
        <v>8565</v>
      </c>
      <c r="F11114" s="10" t="s">
        <v>1420</v>
      </c>
      <c r="G11114" s="10" t="s">
        <v>6317</v>
      </c>
      <c r="H11114" s="11">
        <v>43391</v>
      </c>
      <c r="I11114" s="10">
        <v>2019</v>
      </c>
      <c r="J11114" s="10" t="s">
        <v>33259</v>
      </c>
      <c r="K11114" s="10">
        <v>179</v>
      </c>
      <c r="L11114" s="10" t="s">
        <v>48318</v>
      </c>
      <c r="M11114" s="10">
        <v>1</v>
      </c>
      <c r="N11114" s="10" t="s">
        <v>43520</v>
      </c>
      <c r="O11114" s="10">
        <v>6</v>
      </c>
      <c r="P11114" s="10"/>
      <c r="Q11114" s="10"/>
      <c r="R11114" s="10" t="s">
        <v>48319</v>
      </c>
      <c r="S11114" s="10" t="s">
        <v>53</v>
      </c>
      <c r="T11114" s="10" t="s">
        <v>54</v>
      </c>
    </row>
    <row r="11115" spans="1:20" ht="14.5" x14ac:dyDescent="0.35">
      <c r="A11115" s="10" t="s">
        <v>48320</v>
      </c>
      <c r="B11115" s="10" t="str">
        <f>"9789004389304"</f>
        <v>9789004389304</v>
      </c>
      <c r="C11115" s="10" t="str">
        <f>"9789004389311"</f>
        <v>9789004389311</v>
      </c>
      <c r="D11115" s="10" t="s">
        <v>8564</v>
      </c>
      <c r="E11115" s="10" t="s">
        <v>8565</v>
      </c>
      <c r="F11115" s="10" t="s">
        <v>1420</v>
      </c>
      <c r="G11115" s="10" t="s">
        <v>6317</v>
      </c>
      <c r="H11115" s="11">
        <v>43391</v>
      </c>
      <c r="I11115" s="10">
        <v>2019</v>
      </c>
      <c r="J11115" s="10" t="s">
        <v>33259</v>
      </c>
      <c r="K11115" s="10">
        <v>233</v>
      </c>
      <c r="L11115" s="10" t="s">
        <v>48321</v>
      </c>
      <c r="M11115" s="10">
        <v>1</v>
      </c>
      <c r="N11115" s="10" t="s">
        <v>33696</v>
      </c>
      <c r="O11115" s="10">
        <v>11</v>
      </c>
      <c r="P11115" s="10"/>
      <c r="Q11115" s="10"/>
      <c r="R11115" s="10" t="s">
        <v>48322</v>
      </c>
      <c r="S11115" s="10" t="s">
        <v>53</v>
      </c>
      <c r="T11115" s="10" t="s">
        <v>54</v>
      </c>
    </row>
    <row r="11116" spans="1:20" ht="14.5" x14ac:dyDescent="0.35">
      <c r="A11116" s="10" t="s">
        <v>48323</v>
      </c>
      <c r="B11116" s="10" t="str">
        <f>"9789042038271"</f>
        <v>9789042038271</v>
      </c>
      <c r="C11116" s="10" t="str">
        <f>"9789401210720"</f>
        <v>9789401210720</v>
      </c>
      <c r="D11116" s="10" t="s">
        <v>8564</v>
      </c>
      <c r="E11116" s="10" t="s">
        <v>8565</v>
      </c>
      <c r="F11116" s="10" t="s">
        <v>1420</v>
      </c>
      <c r="G11116" s="10" t="s">
        <v>6317</v>
      </c>
      <c r="H11116" s="11">
        <v>41640</v>
      </c>
      <c r="I11116" s="10">
        <v>2014</v>
      </c>
      <c r="J11116" s="10" t="s">
        <v>16400</v>
      </c>
      <c r="K11116" s="10">
        <v>376</v>
      </c>
      <c r="L11116" s="10" t="s">
        <v>48324</v>
      </c>
      <c r="M11116" s="10">
        <v>1</v>
      </c>
      <c r="N11116" s="10" t="s">
        <v>48325</v>
      </c>
      <c r="O11116" s="10">
        <v>10</v>
      </c>
      <c r="P11116" s="10" t="s">
        <v>48326</v>
      </c>
      <c r="Q11116" s="10">
        <v>590</v>
      </c>
      <c r="R11116" s="10" t="s">
        <v>48327</v>
      </c>
      <c r="S11116" s="10" t="s">
        <v>53</v>
      </c>
      <c r="T11116" s="10" t="s">
        <v>12825</v>
      </c>
    </row>
    <row r="11117" spans="1:20" ht="14.5" x14ac:dyDescent="0.35">
      <c r="A11117" s="10" t="s">
        <v>48328</v>
      </c>
      <c r="B11117" s="10" t="str">
        <f>"9789004384729"</f>
        <v>9789004384729</v>
      </c>
      <c r="C11117" s="10" t="str">
        <f>"9789004384712"</f>
        <v>9789004384712</v>
      </c>
      <c r="D11117" s="10" t="s">
        <v>8564</v>
      </c>
      <c r="E11117" s="10" t="s">
        <v>8565</v>
      </c>
      <c r="F11117" s="10" t="s">
        <v>1420</v>
      </c>
      <c r="G11117" s="10" t="s">
        <v>6317</v>
      </c>
      <c r="H11117" s="11">
        <v>43405</v>
      </c>
      <c r="I11117" s="10">
        <v>2019</v>
      </c>
      <c r="J11117" s="10" t="s">
        <v>33259</v>
      </c>
      <c r="K11117" s="10">
        <v>170</v>
      </c>
      <c r="L11117" s="10" t="s">
        <v>48329</v>
      </c>
      <c r="M11117" s="10">
        <v>1</v>
      </c>
      <c r="N11117" s="10" t="s">
        <v>33576</v>
      </c>
      <c r="O11117" s="10">
        <v>6</v>
      </c>
      <c r="P11117" s="10" t="s">
        <v>48330</v>
      </c>
      <c r="Q11117" s="10">
        <v>371.19</v>
      </c>
      <c r="R11117" s="10" t="s">
        <v>48331</v>
      </c>
      <c r="S11117" s="10" t="s">
        <v>53</v>
      </c>
      <c r="T11117" s="10" t="s">
        <v>54</v>
      </c>
    </row>
    <row r="11118" spans="1:20" ht="14.5" x14ac:dyDescent="0.35">
      <c r="A11118" s="10" t="s">
        <v>48332</v>
      </c>
      <c r="B11118" s="10" t="str">
        <f>""</f>
        <v/>
      </c>
      <c r="C11118" s="10" t="str">
        <f>"9781501709739"</f>
        <v>9781501709739</v>
      </c>
      <c r="D11118" s="10" t="s">
        <v>9533</v>
      </c>
      <c r="E11118" s="10" t="s">
        <v>5258</v>
      </c>
      <c r="F11118" s="10" t="s">
        <v>2536</v>
      </c>
      <c r="G11118" s="10" t="s">
        <v>6317</v>
      </c>
      <c r="H11118" s="11">
        <v>43449</v>
      </c>
      <c r="I11118" s="10">
        <v>2018</v>
      </c>
      <c r="J11118" s="10" t="s">
        <v>5258</v>
      </c>
      <c r="K11118" s="10">
        <v>257</v>
      </c>
      <c r="L11118" s="10" t="s">
        <v>48333</v>
      </c>
      <c r="M11118" s="10">
        <v>1</v>
      </c>
      <c r="N11118" s="10"/>
      <c r="O11118" s="10"/>
      <c r="P11118" s="10" t="s">
        <v>48334</v>
      </c>
      <c r="Q11118" s="10">
        <v>378.74090339999901</v>
      </c>
      <c r="R11118" s="10" t="s">
        <v>48335</v>
      </c>
      <c r="S11118" s="10" t="s">
        <v>53</v>
      </c>
      <c r="T11118" s="10" t="s">
        <v>54</v>
      </c>
    </row>
    <row r="11119" spans="1:20" ht="14.5" x14ac:dyDescent="0.35">
      <c r="A11119" s="10" t="s">
        <v>48336</v>
      </c>
      <c r="B11119" s="10" t="str">
        <f>""</f>
        <v/>
      </c>
      <c r="C11119" s="10" t="str">
        <f>"9781789730685"</f>
        <v>9781789730685</v>
      </c>
      <c r="D11119" s="10" t="s">
        <v>8699</v>
      </c>
      <c r="E11119" s="10" t="s">
        <v>8699</v>
      </c>
      <c r="F11119" s="10" t="s">
        <v>41843</v>
      </c>
      <c r="G11119" s="10" t="s">
        <v>6352</v>
      </c>
      <c r="H11119" s="11">
        <v>43396</v>
      </c>
      <c r="I11119" s="10">
        <v>2018</v>
      </c>
      <c r="J11119" s="10" t="s">
        <v>8699</v>
      </c>
      <c r="K11119" s="10">
        <v>141</v>
      </c>
      <c r="L11119" s="10" t="s">
        <v>48337</v>
      </c>
      <c r="M11119" s="10">
        <v>1</v>
      </c>
      <c r="N11119" s="10" t="s">
        <v>48338</v>
      </c>
      <c r="O11119" s="10">
        <v>5</v>
      </c>
      <c r="P11119" s="10" t="s">
        <v>48339</v>
      </c>
      <c r="Q11119" s="10"/>
      <c r="R11119" s="10" t="s">
        <v>48340</v>
      </c>
      <c r="S11119" s="10" t="s">
        <v>53</v>
      </c>
      <c r="T11119" s="10" t="s">
        <v>54</v>
      </c>
    </row>
    <row r="11120" spans="1:20" ht="14.5" x14ac:dyDescent="0.35">
      <c r="A11120" s="10" t="s">
        <v>48341</v>
      </c>
      <c r="B11120" s="10" t="str">
        <f>"9781681252285"</f>
        <v>9781681252285</v>
      </c>
      <c r="C11120" s="10" t="str">
        <f>"9781681253183"</f>
        <v>9781681253183</v>
      </c>
      <c r="D11120" s="10" t="s">
        <v>28876</v>
      </c>
      <c r="E11120" s="10" t="s">
        <v>28877</v>
      </c>
      <c r="F11120" s="10" t="s">
        <v>39534</v>
      </c>
      <c r="G11120" s="10" t="s">
        <v>6317</v>
      </c>
      <c r="H11120" s="11">
        <v>43367</v>
      </c>
      <c r="I11120" s="10">
        <v>2019</v>
      </c>
      <c r="J11120" s="10" t="s">
        <v>28877</v>
      </c>
      <c r="K11120" s="10">
        <v>208</v>
      </c>
      <c r="L11120" s="10" t="s">
        <v>48342</v>
      </c>
      <c r="M11120" s="10">
        <v>1</v>
      </c>
      <c r="N11120" s="10"/>
      <c r="O11120" s="10"/>
      <c r="P11120" s="10" t="s">
        <v>48343</v>
      </c>
      <c r="Q11120" s="10">
        <v>372.21</v>
      </c>
      <c r="R11120" s="10" t="s">
        <v>48344</v>
      </c>
      <c r="S11120" s="10" t="s">
        <v>53</v>
      </c>
      <c r="T11120" s="10" t="s">
        <v>54</v>
      </c>
    </row>
    <row r="11121" spans="1:20" ht="14.5" x14ac:dyDescent="0.35">
      <c r="A11121" s="10" t="s">
        <v>48345</v>
      </c>
      <c r="B11121" s="10" t="str">
        <f>"9781498543477"</f>
        <v>9781498543477</v>
      </c>
      <c r="C11121" s="10" t="str">
        <f>"9781498543484"</f>
        <v>9781498543484</v>
      </c>
      <c r="D11121" s="10" t="s">
        <v>9752</v>
      </c>
      <c r="E11121" s="10" t="s">
        <v>15182</v>
      </c>
      <c r="F11121" s="10" t="s">
        <v>9754</v>
      </c>
      <c r="G11121" s="10" t="s">
        <v>6317</v>
      </c>
      <c r="H11121" s="11">
        <v>43419</v>
      </c>
      <c r="I11121" s="10">
        <v>2018</v>
      </c>
      <c r="J11121" s="10" t="s">
        <v>15182</v>
      </c>
      <c r="K11121" s="10">
        <v>209</v>
      </c>
      <c r="L11121" s="10" t="s">
        <v>48346</v>
      </c>
      <c r="M11121" s="10">
        <v>1</v>
      </c>
      <c r="N11121" s="10"/>
      <c r="O11121" s="10"/>
      <c r="P11121" s="10" t="s">
        <v>48347</v>
      </c>
      <c r="Q11121" s="10">
        <v>378.83</v>
      </c>
      <c r="R11121" s="10" t="s">
        <v>48348</v>
      </c>
      <c r="S11121" s="10" t="s">
        <v>53</v>
      </c>
      <c r="T11121" s="10" t="s">
        <v>54</v>
      </c>
    </row>
    <row r="11122" spans="1:20" ht="14.5" x14ac:dyDescent="0.35">
      <c r="A11122" s="10" t="s">
        <v>48349</v>
      </c>
      <c r="B11122" s="10" t="str">
        <f>"9781787565562"</f>
        <v>9781787565562</v>
      </c>
      <c r="C11122" s="10" t="str">
        <f>"9781787565555"</f>
        <v>9781787565555</v>
      </c>
      <c r="D11122" s="10" t="s">
        <v>8699</v>
      </c>
      <c r="E11122" s="10" t="s">
        <v>8699</v>
      </c>
      <c r="F11122" s="10" t="s">
        <v>559</v>
      </c>
      <c r="G11122" s="10" t="s">
        <v>6352</v>
      </c>
      <c r="H11122" s="11">
        <v>43434</v>
      </c>
      <c r="I11122" s="10">
        <v>2019</v>
      </c>
      <c r="J11122" s="10" t="s">
        <v>8699</v>
      </c>
      <c r="K11122" s="10">
        <v>336</v>
      </c>
      <c r="L11122" s="10" t="s">
        <v>48350</v>
      </c>
      <c r="M11122" s="10">
        <v>1</v>
      </c>
      <c r="N11122" s="10" t="s">
        <v>48351</v>
      </c>
      <c r="O11122" s="10"/>
      <c r="P11122" s="10" t="s">
        <v>29384</v>
      </c>
      <c r="Q11122" s="10" t="s">
        <v>11314</v>
      </c>
      <c r="R11122" s="10" t="s">
        <v>48352</v>
      </c>
      <c r="S11122" s="10" t="s">
        <v>53</v>
      </c>
      <c r="T11122" s="10" t="s">
        <v>54</v>
      </c>
    </row>
    <row r="11123" spans="1:20" ht="14.5" x14ac:dyDescent="0.35">
      <c r="A11123" s="10" t="s">
        <v>48353</v>
      </c>
      <c r="B11123" s="10" t="str">
        <f>""</f>
        <v/>
      </c>
      <c r="C11123" s="10" t="str">
        <f>"9781975501006"</f>
        <v>9781975501006</v>
      </c>
      <c r="D11123" s="10" t="s">
        <v>44271</v>
      </c>
      <c r="E11123" s="10" t="s">
        <v>47266</v>
      </c>
      <c r="F11123" s="10" t="s">
        <v>41227</v>
      </c>
      <c r="G11123" s="10" t="s">
        <v>6317</v>
      </c>
      <c r="H11123" s="11">
        <v>43397</v>
      </c>
      <c r="I11123" s="10">
        <v>2019</v>
      </c>
      <c r="J11123" s="10" t="s">
        <v>47266</v>
      </c>
      <c r="K11123" s="10">
        <v>208</v>
      </c>
      <c r="L11123" s="10" t="s">
        <v>48354</v>
      </c>
      <c r="M11123" s="10">
        <v>1</v>
      </c>
      <c r="N11123" s="10" t="s">
        <v>48355</v>
      </c>
      <c r="O11123" s="10">
        <v>2</v>
      </c>
      <c r="P11123" s="10" t="s">
        <v>48356</v>
      </c>
      <c r="Q11123" s="10">
        <v>371.10199999999998</v>
      </c>
      <c r="R11123" s="10" t="s">
        <v>48357</v>
      </c>
      <c r="S11123" s="10" t="s">
        <v>53</v>
      </c>
      <c r="T11123" s="10" t="s">
        <v>54</v>
      </c>
    </row>
    <row r="11124" spans="1:20" ht="14.5" x14ac:dyDescent="0.35">
      <c r="A11124" s="10" t="s">
        <v>48358</v>
      </c>
      <c r="B11124" s="10" t="str">
        <f>"9781473906471"</f>
        <v>9781473906471</v>
      </c>
      <c r="C11124" s="10" t="str">
        <f>"9781473953109"</f>
        <v>9781473953109</v>
      </c>
      <c r="D11124" s="10" t="s">
        <v>9325</v>
      </c>
      <c r="E11124" s="10" t="s">
        <v>9326</v>
      </c>
      <c r="F11124" s="10" t="s">
        <v>139</v>
      </c>
      <c r="G11124" s="10" t="s">
        <v>6352</v>
      </c>
      <c r="H11124" s="11">
        <v>42419</v>
      </c>
      <c r="I11124" s="10">
        <v>2016</v>
      </c>
      <c r="J11124" s="10" t="s">
        <v>9326</v>
      </c>
      <c r="K11124" s="10">
        <v>163</v>
      </c>
      <c r="L11124" s="10" t="s">
        <v>48359</v>
      </c>
      <c r="M11124" s="10">
        <v>1</v>
      </c>
      <c r="N11124" s="10"/>
      <c r="O11124" s="10"/>
      <c r="P11124" s="10" t="s">
        <v>48360</v>
      </c>
      <c r="Q11124" s="10">
        <v>372.21</v>
      </c>
      <c r="R11124" s="10" t="s">
        <v>24042</v>
      </c>
      <c r="S11124" s="10" t="s">
        <v>53</v>
      </c>
      <c r="T11124" s="10" t="s">
        <v>54</v>
      </c>
    </row>
    <row r="11125" spans="1:20" ht="14.5" x14ac:dyDescent="0.35">
      <c r="A11125" s="10" t="s">
        <v>48361</v>
      </c>
      <c r="B11125" s="10" t="str">
        <f>"9781473961692"</f>
        <v>9781473961692</v>
      </c>
      <c r="C11125" s="10" t="str">
        <f>"9781473988224"</f>
        <v>9781473988224</v>
      </c>
      <c r="D11125" s="10" t="s">
        <v>9325</v>
      </c>
      <c r="E11125" s="10" t="s">
        <v>9326</v>
      </c>
      <c r="F11125" s="10" t="s">
        <v>139</v>
      </c>
      <c r="G11125" s="10" t="s">
        <v>6352</v>
      </c>
      <c r="H11125" s="11">
        <v>42770</v>
      </c>
      <c r="I11125" s="10">
        <v>2017</v>
      </c>
      <c r="J11125" s="10" t="s">
        <v>18376</v>
      </c>
      <c r="K11125" s="10">
        <v>217</v>
      </c>
      <c r="L11125" s="10" t="s">
        <v>48362</v>
      </c>
      <c r="M11125" s="10">
        <v>1</v>
      </c>
      <c r="N11125" s="10"/>
      <c r="O11125" s="10"/>
      <c r="P11125" s="10" t="s">
        <v>48363</v>
      </c>
      <c r="Q11125" s="10">
        <v>370.28500000000003</v>
      </c>
      <c r="R11125" s="10" t="s">
        <v>48364</v>
      </c>
      <c r="S11125" s="10" t="s">
        <v>53</v>
      </c>
      <c r="T11125" s="10" t="s">
        <v>54</v>
      </c>
    </row>
    <row r="11126" spans="1:20" ht="14.5" x14ac:dyDescent="0.35">
      <c r="A11126" s="10" t="s">
        <v>48365</v>
      </c>
      <c r="B11126" s="10" t="str">
        <f>"9781446274897"</f>
        <v>9781446274897</v>
      </c>
      <c r="C11126" s="10" t="str">
        <f>"9781473916944"</f>
        <v>9781473916944</v>
      </c>
      <c r="D11126" s="10" t="s">
        <v>9325</v>
      </c>
      <c r="E11126" s="10" t="s">
        <v>9326</v>
      </c>
      <c r="F11126" s="10" t="s">
        <v>139</v>
      </c>
      <c r="G11126" s="10" t="s">
        <v>6352</v>
      </c>
      <c r="H11126" s="11">
        <v>42040</v>
      </c>
      <c r="I11126" s="10">
        <v>2015</v>
      </c>
      <c r="J11126" s="10" t="s">
        <v>9326</v>
      </c>
      <c r="K11126" s="10">
        <v>201</v>
      </c>
      <c r="L11126" s="10" t="s">
        <v>48366</v>
      </c>
      <c r="M11126" s="10">
        <v>1</v>
      </c>
      <c r="N11126" s="10"/>
      <c r="O11126" s="10"/>
      <c r="P11126" s="10" t="s">
        <v>48367</v>
      </c>
      <c r="Q11126" s="10">
        <v>371.90460000000002</v>
      </c>
      <c r="R11126" s="10" t="s">
        <v>48368</v>
      </c>
      <c r="S11126" s="10" t="s">
        <v>53</v>
      </c>
      <c r="T11126" s="10" t="s">
        <v>54</v>
      </c>
    </row>
    <row r="11127" spans="1:20" ht="14.5" x14ac:dyDescent="0.35">
      <c r="A11127" s="10" t="s">
        <v>48369</v>
      </c>
      <c r="B11127" s="10" t="str">
        <f>"9781526405883"</f>
        <v>9781526405883</v>
      </c>
      <c r="C11127" s="10" t="str">
        <f>"9781526426901"</f>
        <v>9781526426901</v>
      </c>
      <c r="D11127" s="10" t="s">
        <v>9325</v>
      </c>
      <c r="E11127" s="10" t="s">
        <v>9326</v>
      </c>
      <c r="F11127" s="10" t="s">
        <v>139</v>
      </c>
      <c r="G11127" s="10" t="s">
        <v>6352</v>
      </c>
      <c r="H11127" s="11">
        <v>43102</v>
      </c>
      <c r="I11127" s="10">
        <v>2018</v>
      </c>
      <c r="J11127" s="10" t="s">
        <v>9326</v>
      </c>
      <c r="K11127" s="10">
        <v>153</v>
      </c>
      <c r="L11127" s="10" t="s">
        <v>48370</v>
      </c>
      <c r="M11127" s="10">
        <v>1</v>
      </c>
      <c r="N11127" s="10" t="s">
        <v>25467</v>
      </c>
      <c r="O11127" s="10"/>
      <c r="P11127" s="10" t="s">
        <v>48371</v>
      </c>
      <c r="Q11127" s="10">
        <v>808.02</v>
      </c>
      <c r="R11127" s="10" t="s">
        <v>45620</v>
      </c>
      <c r="S11127" s="10" t="s">
        <v>53</v>
      </c>
      <c r="T11127" s="10" t="s">
        <v>10454</v>
      </c>
    </row>
    <row r="11128" spans="1:20" ht="14.5" x14ac:dyDescent="0.35">
      <c r="A11128" s="10" t="s">
        <v>48372</v>
      </c>
      <c r="B11128" s="10" t="str">
        <f>"9781446273296"</f>
        <v>9781446273296</v>
      </c>
      <c r="C11128" s="10" t="str">
        <f>"9781473944107"</f>
        <v>9781473944107</v>
      </c>
      <c r="D11128" s="10" t="s">
        <v>9325</v>
      </c>
      <c r="E11128" s="10" t="s">
        <v>9326</v>
      </c>
      <c r="F11128" s="10" t="s">
        <v>139</v>
      </c>
      <c r="G11128" s="10" t="s">
        <v>6352</v>
      </c>
      <c r="H11128" s="11">
        <v>42563</v>
      </c>
      <c r="I11128" s="10">
        <v>2016</v>
      </c>
      <c r="J11128" s="10" t="s">
        <v>9326</v>
      </c>
      <c r="K11128" s="10">
        <v>233</v>
      </c>
      <c r="L11128" s="10" t="s">
        <v>48373</v>
      </c>
      <c r="M11128" s="10">
        <v>1</v>
      </c>
      <c r="N11128" s="10"/>
      <c r="O11128" s="10"/>
      <c r="P11128" s="10" t="s">
        <v>48374</v>
      </c>
      <c r="Q11128" s="10" t="s">
        <v>9360</v>
      </c>
      <c r="R11128" s="10"/>
      <c r="S11128" s="10" t="s">
        <v>53</v>
      </c>
      <c r="T11128" s="10" t="s">
        <v>54</v>
      </c>
    </row>
    <row r="11129" spans="1:20" ht="14.5" x14ac:dyDescent="0.35">
      <c r="A11129" s="10" t="s">
        <v>48375</v>
      </c>
      <c r="B11129" s="10" t="str">
        <f>"9781506367545"</f>
        <v>9781506367545</v>
      </c>
      <c r="C11129" s="10" t="str">
        <f>"9781506367538"</f>
        <v>9781506367538</v>
      </c>
      <c r="D11129" s="10" t="s">
        <v>22210</v>
      </c>
      <c r="E11129" s="10" t="s">
        <v>22211</v>
      </c>
      <c r="F11129" s="10" t="s">
        <v>333</v>
      </c>
      <c r="G11129" s="10" t="s">
        <v>6317</v>
      </c>
      <c r="H11129" s="11">
        <v>43014</v>
      </c>
      <c r="I11129" s="10">
        <v>2018</v>
      </c>
      <c r="J11129" s="10" t="s">
        <v>22211</v>
      </c>
      <c r="K11129" s="10">
        <v>217</v>
      </c>
      <c r="L11129" s="10" t="s">
        <v>48376</v>
      </c>
      <c r="M11129" s="10">
        <v>1</v>
      </c>
      <c r="N11129" s="10"/>
      <c r="O11129" s="10"/>
      <c r="P11129" s="10" t="s">
        <v>48377</v>
      </c>
      <c r="Q11129" s="10">
        <v>371.2</v>
      </c>
      <c r="R11129" s="10" t="s">
        <v>48378</v>
      </c>
      <c r="S11129" s="10" t="s">
        <v>53</v>
      </c>
      <c r="T11129" s="10" t="s">
        <v>54</v>
      </c>
    </row>
    <row r="11130" spans="1:20" ht="14.5" x14ac:dyDescent="0.35">
      <c r="A11130" s="10" t="s">
        <v>48379</v>
      </c>
      <c r="B11130" s="10" t="str">
        <f>"9781506360164"</f>
        <v>9781506360164</v>
      </c>
      <c r="C11130" s="10" t="str">
        <f>"9781506360157"</f>
        <v>9781506360157</v>
      </c>
      <c r="D11130" s="10" t="s">
        <v>22210</v>
      </c>
      <c r="E11130" s="10" t="s">
        <v>22211</v>
      </c>
      <c r="F11130" s="10" t="s">
        <v>333</v>
      </c>
      <c r="G11130" s="10" t="s">
        <v>6317</v>
      </c>
      <c r="H11130" s="11">
        <v>43014</v>
      </c>
      <c r="I11130" s="10">
        <v>2018</v>
      </c>
      <c r="J11130" s="10" t="s">
        <v>22211</v>
      </c>
      <c r="K11130" s="10">
        <v>225</v>
      </c>
      <c r="L11130" s="10" t="s">
        <v>48380</v>
      </c>
      <c r="M11130" s="10">
        <v>1</v>
      </c>
      <c r="N11130" s="10" t="s">
        <v>46256</v>
      </c>
      <c r="O11130" s="10"/>
      <c r="P11130" s="10" t="s">
        <v>48381</v>
      </c>
      <c r="Q11130" s="10">
        <v>373.13339999999999</v>
      </c>
      <c r="R11130" s="10" t="s">
        <v>48382</v>
      </c>
      <c r="S11130" s="10" t="s">
        <v>53</v>
      </c>
      <c r="T11130" s="10" t="s">
        <v>54</v>
      </c>
    </row>
    <row r="11131" spans="1:20" ht="14.5" x14ac:dyDescent="0.35">
      <c r="A11131" s="10" t="s">
        <v>48383</v>
      </c>
      <c r="B11131" s="10" t="str">
        <f>"9781506344928"</f>
        <v>9781506344928</v>
      </c>
      <c r="C11131" s="10" t="str">
        <f>"9781506344935"</f>
        <v>9781506344935</v>
      </c>
      <c r="D11131" s="10" t="s">
        <v>22210</v>
      </c>
      <c r="E11131" s="10" t="s">
        <v>22211</v>
      </c>
      <c r="F11131" s="10" t="s">
        <v>333</v>
      </c>
      <c r="G11131" s="10" t="s">
        <v>6317</v>
      </c>
      <c r="H11131" s="11">
        <v>42676</v>
      </c>
      <c r="I11131" s="10">
        <v>2017</v>
      </c>
      <c r="J11131" s="10" t="s">
        <v>22211</v>
      </c>
      <c r="K11131" s="10">
        <v>201</v>
      </c>
      <c r="L11131" s="10" t="s">
        <v>48384</v>
      </c>
      <c r="M11131" s="10">
        <v>1</v>
      </c>
      <c r="N11131" s="10"/>
      <c r="O11131" s="10"/>
      <c r="P11131" s="10" t="s">
        <v>48385</v>
      </c>
      <c r="Q11131" s="10">
        <v>371.14800000000002</v>
      </c>
      <c r="R11131" s="10" t="s">
        <v>48386</v>
      </c>
      <c r="S11131" s="10" t="s">
        <v>53</v>
      </c>
      <c r="T11131" s="10" t="s">
        <v>54</v>
      </c>
    </row>
    <row r="11132" spans="1:20" ht="14.5" x14ac:dyDescent="0.35">
      <c r="A11132" s="10" t="s">
        <v>48387</v>
      </c>
      <c r="B11132" s="10" t="str">
        <f>"9781506338071"</f>
        <v>9781506338071</v>
      </c>
      <c r="C11132" s="10" t="str">
        <f>"9781506338316"</f>
        <v>9781506338316</v>
      </c>
      <c r="D11132" s="10" t="s">
        <v>22210</v>
      </c>
      <c r="E11132" s="10" t="s">
        <v>22211</v>
      </c>
      <c r="F11132" s="10" t="s">
        <v>333</v>
      </c>
      <c r="G11132" s="10" t="s">
        <v>6317</v>
      </c>
      <c r="H11132" s="11">
        <v>42607</v>
      </c>
      <c r="I11132" s="10">
        <v>2017</v>
      </c>
      <c r="J11132" s="10" t="s">
        <v>22211</v>
      </c>
      <c r="K11132" s="10">
        <v>97</v>
      </c>
      <c r="L11132" s="10" t="s">
        <v>48388</v>
      </c>
      <c r="M11132" s="10">
        <v>1</v>
      </c>
      <c r="N11132" s="10"/>
      <c r="O11132" s="10"/>
      <c r="P11132" s="10" t="s">
        <v>48389</v>
      </c>
      <c r="Q11132" s="10">
        <v>428.00710729999997</v>
      </c>
      <c r="R11132" s="10"/>
      <c r="S11132" s="10" t="s">
        <v>53</v>
      </c>
      <c r="T11132" s="10" t="s">
        <v>6616</v>
      </c>
    </row>
    <row r="11133" spans="1:20" ht="14.5" x14ac:dyDescent="0.35">
      <c r="A11133" s="10" t="s">
        <v>48390</v>
      </c>
      <c r="B11133" s="10" t="str">
        <f>"9781506393759"</f>
        <v>9781506393759</v>
      </c>
      <c r="C11133" s="10" t="str">
        <f>"9781506393773"</f>
        <v>9781506393773</v>
      </c>
      <c r="D11133" s="10" t="s">
        <v>22210</v>
      </c>
      <c r="E11133" s="10" t="s">
        <v>22211</v>
      </c>
      <c r="F11133" s="10" t="s">
        <v>333</v>
      </c>
      <c r="G11133" s="10" t="s">
        <v>6317</v>
      </c>
      <c r="H11133" s="11">
        <v>43199</v>
      </c>
      <c r="I11133" s="10">
        <v>2018</v>
      </c>
      <c r="J11133" s="10" t="s">
        <v>22211</v>
      </c>
      <c r="K11133" s="10">
        <v>513</v>
      </c>
      <c r="L11133" s="10" t="s">
        <v>48391</v>
      </c>
      <c r="M11133" s="10">
        <v>1</v>
      </c>
      <c r="N11133" s="10"/>
      <c r="O11133" s="10"/>
      <c r="P11133" s="10"/>
      <c r="Q11133" s="10">
        <v>371.26</v>
      </c>
      <c r="R11133" s="10" t="s">
        <v>48392</v>
      </c>
      <c r="S11133" s="10" t="s">
        <v>53</v>
      </c>
      <c r="T11133" s="10" t="s">
        <v>54</v>
      </c>
    </row>
    <row r="11134" spans="1:20" ht="14.5" x14ac:dyDescent="0.35">
      <c r="A11134" s="10" t="s">
        <v>48393</v>
      </c>
      <c r="B11134" s="10" t="str">
        <f>"9781506380155"</f>
        <v>9781506380155</v>
      </c>
      <c r="C11134" s="10" t="str">
        <f>"9781506380148"</f>
        <v>9781506380148</v>
      </c>
      <c r="D11134" s="10" t="s">
        <v>22210</v>
      </c>
      <c r="E11134" s="10" t="s">
        <v>22211</v>
      </c>
      <c r="F11134" s="10" t="s">
        <v>333</v>
      </c>
      <c r="G11134" s="10" t="s">
        <v>6317</v>
      </c>
      <c r="H11134" s="11">
        <v>43074</v>
      </c>
      <c r="I11134" s="10">
        <v>2018</v>
      </c>
      <c r="J11134" s="10" t="s">
        <v>22211</v>
      </c>
      <c r="K11134" s="10">
        <v>241</v>
      </c>
      <c r="L11134" s="10" t="s">
        <v>48394</v>
      </c>
      <c r="M11134" s="10">
        <v>1</v>
      </c>
      <c r="N11134" s="10"/>
      <c r="O11134" s="10"/>
      <c r="P11134" s="10" t="s">
        <v>48395</v>
      </c>
      <c r="Q11134" s="10">
        <v>371.2</v>
      </c>
      <c r="R11134" s="10" t="s">
        <v>48396</v>
      </c>
      <c r="S11134" s="10" t="s">
        <v>53</v>
      </c>
      <c r="T11134" s="10" t="s">
        <v>54</v>
      </c>
    </row>
    <row r="11135" spans="1:20" ht="14.5" x14ac:dyDescent="0.35">
      <c r="A11135" s="10" t="s">
        <v>48397</v>
      </c>
      <c r="B11135" s="10" t="str">
        <f>"9781506399140"</f>
        <v>9781506399140</v>
      </c>
      <c r="C11135" s="10" t="str">
        <f>"9781506399133"</f>
        <v>9781506399133</v>
      </c>
      <c r="D11135" s="10" t="s">
        <v>22210</v>
      </c>
      <c r="E11135" s="10" t="s">
        <v>22211</v>
      </c>
      <c r="F11135" s="10" t="s">
        <v>333</v>
      </c>
      <c r="G11135" s="10" t="s">
        <v>6317</v>
      </c>
      <c r="H11135" s="11">
        <v>43194</v>
      </c>
      <c r="I11135" s="10">
        <v>2018</v>
      </c>
      <c r="J11135" s="10" t="s">
        <v>22211</v>
      </c>
      <c r="K11135" s="10">
        <v>217</v>
      </c>
      <c r="L11135" s="10" t="s">
        <v>48398</v>
      </c>
      <c r="M11135" s="10">
        <v>1</v>
      </c>
      <c r="N11135" s="10" t="s">
        <v>46256</v>
      </c>
      <c r="O11135" s="10"/>
      <c r="P11135" s="10" t="s">
        <v>48399</v>
      </c>
      <c r="Q11135" s="10">
        <v>371.3</v>
      </c>
      <c r="R11135" s="10" t="s">
        <v>48400</v>
      </c>
      <c r="S11135" s="10" t="s">
        <v>53</v>
      </c>
      <c r="T11135" s="10" t="s">
        <v>54</v>
      </c>
    </row>
    <row r="11136" spans="1:20" ht="14.5" x14ac:dyDescent="0.35">
      <c r="A11136" s="10" t="s">
        <v>48401</v>
      </c>
      <c r="B11136" s="10" t="str">
        <f>"9781506345345"</f>
        <v>9781506345345</v>
      </c>
      <c r="C11136" s="10" t="str">
        <f>"9781506346014"</f>
        <v>9781506346014</v>
      </c>
      <c r="D11136" s="10" t="s">
        <v>22210</v>
      </c>
      <c r="E11136" s="10" t="s">
        <v>22211</v>
      </c>
      <c r="F11136" s="10" t="s">
        <v>333</v>
      </c>
      <c r="G11136" s="10" t="s">
        <v>6317</v>
      </c>
      <c r="H11136" s="11">
        <v>42794</v>
      </c>
      <c r="I11136" s="10">
        <v>2017</v>
      </c>
      <c r="J11136" s="10" t="s">
        <v>22211</v>
      </c>
      <c r="K11136" s="10">
        <v>265</v>
      </c>
      <c r="L11136" s="10" t="s">
        <v>48402</v>
      </c>
      <c r="M11136" s="10">
        <v>1</v>
      </c>
      <c r="N11136" s="10"/>
      <c r="O11136" s="10"/>
      <c r="P11136" s="10" t="s">
        <v>48403</v>
      </c>
      <c r="Q11136" s="10" t="s">
        <v>7335</v>
      </c>
      <c r="R11136" s="10" t="s">
        <v>48404</v>
      </c>
      <c r="S11136" s="10" t="s">
        <v>53</v>
      </c>
      <c r="T11136" s="10" t="s">
        <v>54</v>
      </c>
    </row>
    <row r="11137" spans="1:20" ht="14.5" x14ac:dyDescent="0.35">
      <c r="A11137" s="10" t="s">
        <v>48405</v>
      </c>
      <c r="B11137" s="10" t="str">
        <f>"9781452292137"</f>
        <v>9781452292137</v>
      </c>
      <c r="C11137" s="10" t="str">
        <f>"9781483320472"</f>
        <v>9781483320472</v>
      </c>
      <c r="D11137" s="10" t="s">
        <v>22210</v>
      </c>
      <c r="E11137" s="10" t="s">
        <v>22211</v>
      </c>
      <c r="F11137" s="10" t="s">
        <v>333</v>
      </c>
      <c r="G11137" s="10" t="s">
        <v>6317</v>
      </c>
      <c r="H11137" s="11">
        <v>42542</v>
      </c>
      <c r="I11137" s="10">
        <v>2017</v>
      </c>
      <c r="J11137" s="10" t="s">
        <v>22211</v>
      </c>
      <c r="K11137" s="10">
        <v>121</v>
      </c>
      <c r="L11137" s="10" t="s">
        <v>48406</v>
      </c>
      <c r="M11137" s="10">
        <v>1</v>
      </c>
      <c r="N11137" s="10"/>
      <c r="O11137" s="10"/>
      <c r="P11137" s="10" t="s">
        <v>48407</v>
      </c>
      <c r="Q11137" s="10">
        <v>371.2</v>
      </c>
      <c r="R11137" s="10" t="s">
        <v>48408</v>
      </c>
      <c r="S11137" s="10" t="s">
        <v>53</v>
      </c>
      <c r="T11137" s="10" t="s">
        <v>54</v>
      </c>
    </row>
    <row r="11138" spans="1:20" ht="14.5" x14ac:dyDescent="0.35">
      <c r="A11138" s="10" t="s">
        <v>48409</v>
      </c>
      <c r="B11138" s="10" t="str">
        <f>"9781506333472"</f>
        <v>9781506333472</v>
      </c>
      <c r="C11138" s="10" t="str">
        <f>"9781506334851"</f>
        <v>9781506334851</v>
      </c>
      <c r="D11138" s="10" t="s">
        <v>22210</v>
      </c>
      <c r="E11138" s="10" t="s">
        <v>22211</v>
      </c>
      <c r="F11138" s="10" t="s">
        <v>333</v>
      </c>
      <c r="G11138" s="10" t="s">
        <v>6317</v>
      </c>
      <c r="H11138" s="11">
        <v>42486</v>
      </c>
      <c r="I11138" s="10">
        <v>2016</v>
      </c>
      <c r="J11138" s="10" t="s">
        <v>22211</v>
      </c>
      <c r="K11138" s="10">
        <v>273</v>
      </c>
      <c r="L11138" s="10" t="s">
        <v>48410</v>
      </c>
      <c r="M11138" s="10">
        <v>1</v>
      </c>
      <c r="N11138" s="10"/>
      <c r="O11138" s="10"/>
      <c r="P11138" s="10" t="s">
        <v>48411</v>
      </c>
      <c r="Q11138" s="10">
        <v>371</v>
      </c>
      <c r="R11138" s="10" t="s">
        <v>48412</v>
      </c>
      <c r="S11138" s="10" t="s">
        <v>53</v>
      </c>
      <c r="T11138" s="10" t="s">
        <v>54</v>
      </c>
    </row>
    <row r="11139" spans="1:20" ht="14.5" x14ac:dyDescent="0.35">
      <c r="A11139" s="10" t="s">
        <v>48413</v>
      </c>
      <c r="B11139" s="10" t="str">
        <f>"9781544318639"</f>
        <v>9781544318639</v>
      </c>
      <c r="C11139" s="10" t="str">
        <f>"9781544318615"</f>
        <v>9781544318615</v>
      </c>
      <c r="D11139" s="10" t="s">
        <v>22210</v>
      </c>
      <c r="E11139" s="10" t="s">
        <v>22211</v>
      </c>
      <c r="F11139" s="10" t="s">
        <v>333</v>
      </c>
      <c r="G11139" s="10" t="s">
        <v>6317</v>
      </c>
      <c r="H11139" s="11">
        <v>43175</v>
      </c>
      <c r="I11139" s="10">
        <v>2018</v>
      </c>
      <c r="J11139" s="10" t="s">
        <v>22211</v>
      </c>
      <c r="K11139" s="10">
        <v>177</v>
      </c>
      <c r="L11139" s="10" t="s">
        <v>48414</v>
      </c>
      <c r="M11139" s="10">
        <v>1</v>
      </c>
      <c r="N11139" s="10" t="s">
        <v>46256</v>
      </c>
      <c r="O11139" s="10"/>
      <c r="P11139" s="10"/>
      <c r="Q11139" s="10">
        <v>371.3</v>
      </c>
      <c r="R11139" s="10"/>
      <c r="S11139" s="10" t="s">
        <v>53</v>
      </c>
      <c r="T11139" s="10" t="s">
        <v>54</v>
      </c>
    </row>
    <row r="11140" spans="1:20" ht="14.5" x14ac:dyDescent="0.35">
      <c r="A11140" s="10" t="s">
        <v>48415</v>
      </c>
      <c r="B11140" s="10" t="str">
        <f>"9781506363288"</f>
        <v>9781506363288</v>
      </c>
      <c r="C11140" s="10" t="str">
        <f>"9781506363271"</f>
        <v>9781506363271</v>
      </c>
      <c r="D11140" s="10" t="s">
        <v>22210</v>
      </c>
      <c r="E11140" s="10" t="s">
        <v>22211</v>
      </c>
      <c r="F11140" s="10" t="s">
        <v>333</v>
      </c>
      <c r="G11140" s="10" t="s">
        <v>6317</v>
      </c>
      <c r="H11140" s="11">
        <v>43048</v>
      </c>
      <c r="I11140" s="10">
        <v>2018</v>
      </c>
      <c r="J11140" s="10" t="s">
        <v>22211</v>
      </c>
      <c r="K11140" s="10">
        <v>257</v>
      </c>
      <c r="L11140" s="10" t="s">
        <v>48416</v>
      </c>
      <c r="M11140" s="10">
        <v>1</v>
      </c>
      <c r="N11140" s="10" t="s">
        <v>46256</v>
      </c>
      <c r="O11140" s="10"/>
      <c r="P11140" s="10"/>
      <c r="Q11140" s="10" t="s">
        <v>10213</v>
      </c>
      <c r="R11140" s="10"/>
      <c r="S11140" s="10" t="s">
        <v>53</v>
      </c>
      <c r="T11140" s="10" t="s">
        <v>54</v>
      </c>
    </row>
    <row r="11141" spans="1:20" ht="14.5" x14ac:dyDescent="0.35">
      <c r="A11141" s="10" t="s">
        <v>48417</v>
      </c>
      <c r="B11141" s="10" t="str">
        <f>"9781506337159"</f>
        <v>9781506337159</v>
      </c>
      <c r="C11141" s="10" t="str">
        <f>"9781506337869"</f>
        <v>9781506337869</v>
      </c>
      <c r="D11141" s="10" t="s">
        <v>22210</v>
      </c>
      <c r="E11141" s="10" t="s">
        <v>22211</v>
      </c>
      <c r="F11141" s="10" t="s">
        <v>333</v>
      </c>
      <c r="G11141" s="10" t="s">
        <v>6317</v>
      </c>
      <c r="H11141" s="11">
        <v>42607</v>
      </c>
      <c r="I11141" s="10">
        <v>2017</v>
      </c>
      <c r="J11141" s="10" t="s">
        <v>22211</v>
      </c>
      <c r="K11141" s="10">
        <v>113</v>
      </c>
      <c r="L11141" s="10" t="s">
        <v>48418</v>
      </c>
      <c r="M11141" s="10">
        <v>1</v>
      </c>
      <c r="N11141" s="10"/>
      <c r="O11141" s="10"/>
      <c r="P11141" s="10" t="s">
        <v>48419</v>
      </c>
      <c r="Q11141" s="10">
        <v>428.00710729999997</v>
      </c>
      <c r="R11141" s="10"/>
      <c r="S11141" s="10" t="s">
        <v>53</v>
      </c>
      <c r="T11141" s="10" t="s">
        <v>6616</v>
      </c>
    </row>
    <row r="11142" spans="1:20" ht="14.5" x14ac:dyDescent="0.35">
      <c r="A11142" s="10" t="s">
        <v>48420</v>
      </c>
      <c r="B11142" s="10" t="str">
        <f>"9781506337166"</f>
        <v>9781506337166</v>
      </c>
      <c r="C11142" s="10" t="str">
        <f>"9781506337821"</f>
        <v>9781506337821</v>
      </c>
      <c r="D11142" s="10" t="s">
        <v>22210</v>
      </c>
      <c r="E11142" s="10" t="s">
        <v>22211</v>
      </c>
      <c r="F11142" s="10" t="s">
        <v>333</v>
      </c>
      <c r="G11142" s="10" t="s">
        <v>6317</v>
      </c>
      <c r="H11142" s="11">
        <v>42607</v>
      </c>
      <c r="I11142" s="10">
        <v>2017</v>
      </c>
      <c r="J11142" s="10" t="s">
        <v>22211</v>
      </c>
      <c r="K11142" s="10">
        <v>105</v>
      </c>
      <c r="L11142" s="10" t="s">
        <v>48421</v>
      </c>
      <c r="M11142" s="10">
        <v>1</v>
      </c>
      <c r="N11142" s="10"/>
      <c r="O11142" s="10"/>
      <c r="P11142" s="10" t="s">
        <v>48422</v>
      </c>
      <c r="Q11142" s="10">
        <v>428.24</v>
      </c>
      <c r="R11142" s="10"/>
      <c r="S11142" s="10" t="s">
        <v>53</v>
      </c>
      <c r="T11142" s="10" t="s">
        <v>6616</v>
      </c>
    </row>
    <row r="11143" spans="1:20" ht="14.5" x14ac:dyDescent="0.35">
      <c r="A11143" s="10" t="s">
        <v>48423</v>
      </c>
      <c r="B11143" s="10" t="str">
        <f>"9781506353647"</f>
        <v>9781506353647</v>
      </c>
      <c r="C11143" s="10" t="str">
        <f>"9781506353661"</f>
        <v>9781506353661</v>
      </c>
      <c r="D11143" s="10" t="s">
        <v>22210</v>
      </c>
      <c r="E11143" s="10" t="s">
        <v>22211</v>
      </c>
      <c r="F11143" s="10" t="s">
        <v>333</v>
      </c>
      <c r="G11143" s="10" t="s">
        <v>6317</v>
      </c>
      <c r="H11143" s="11">
        <v>43091</v>
      </c>
      <c r="I11143" s="10">
        <v>2018</v>
      </c>
      <c r="J11143" s="10" t="s">
        <v>22211</v>
      </c>
      <c r="K11143" s="10">
        <v>210</v>
      </c>
      <c r="L11143" s="10" t="s">
        <v>30773</v>
      </c>
      <c r="M11143" s="10">
        <v>1</v>
      </c>
      <c r="N11143" s="10"/>
      <c r="O11143" s="10"/>
      <c r="P11143" s="10"/>
      <c r="Q11143" s="10">
        <v>372.35043999999999</v>
      </c>
      <c r="R11143" s="10"/>
      <c r="S11143" s="10" t="s">
        <v>53</v>
      </c>
      <c r="T11143" s="10" t="s">
        <v>54</v>
      </c>
    </row>
    <row r="11144" spans="1:20" ht="14.5" x14ac:dyDescent="0.35">
      <c r="A11144" s="10" t="s">
        <v>48424</v>
      </c>
      <c r="B11144" s="10" t="str">
        <f>"9781506335971"</f>
        <v>9781506335971</v>
      </c>
      <c r="C11144" s="10" t="str">
        <f>"9781506335988"</f>
        <v>9781506335988</v>
      </c>
      <c r="D11144" s="10" t="s">
        <v>22210</v>
      </c>
      <c r="E11144" s="10" t="s">
        <v>22211</v>
      </c>
      <c r="F11144" s="10" t="s">
        <v>333</v>
      </c>
      <c r="G11144" s="10" t="s">
        <v>6317</v>
      </c>
      <c r="H11144" s="11">
        <v>42495</v>
      </c>
      <c r="I11144" s="10">
        <v>2016</v>
      </c>
      <c r="J11144" s="10" t="s">
        <v>22211</v>
      </c>
      <c r="K11144" s="10">
        <v>225</v>
      </c>
      <c r="L11144" s="10" t="s">
        <v>48425</v>
      </c>
      <c r="M11144" s="10">
        <v>1</v>
      </c>
      <c r="N11144" s="10" t="s">
        <v>46256</v>
      </c>
      <c r="O11144" s="10"/>
      <c r="P11144" s="10" t="s">
        <v>48426</v>
      </c>
      <c r="Q11144" s="10"/>
      <c r="R11144" s="10"/>
      <c r="S11144" s="10" t="s">
        <v>53</v>
      </c>
      <c r="T11144" s="10" t="s">
        <v>54</v>
      </c>
    </row>
    <row r="11145" spans="1:20" ht="14.5" x14ac:dyDescent="0.35">
      <c r="A11145" s="10" t="s">
        <v>48427</v>
      </c>
      <c r="B11145" s="10" t="str">
        <f>"9781483358178"</f>
        <v>9781483358178</v>
      </c>
      <c r="C11145" s="10" t="str">
        <f>"9781506300986"</f>
        <v>9781506300986</v>
      </c>
      <c r="D11145" s="10" t="s">
        <v>22210</v>
      </c>
      <c r="E11145" s="10" t="s">
        <v>22211</v>
      </c>
      <c r="F11145" s="10" t="s">
        <v>333</v>
      </c>
      <c r="G11145" s="10" t="s">
        <v>6317</v>
      </c>
      <c r="H11145" s="11">
        <v>42181</v>
      </c>
      <c r="I11145" s="10">
        <v>2016</v>
      </c>
      <c r="J11145" s="10" t="s">
        <v>22211</v>
      </c>
      <c r="K11145" s="10">
        <v>329</v>
      </c>
      <c r="L11145" s="10" t="s">
        <v>48428</v>
      </c>
      <c r="M11145" s="10">
        <v>1</v>
      </c>
      <c r="N11145" s="10"/>
      <c r="O11145" s="10"/>
      <c r="P11145" s="10" t="s">
        <v>48429</v>
      </c>
      <c r="Q11145" s="10" t="s">
        <v>48430</v>
      </c>
      <c r="R11145" s="10"/>
      <c r="S11145" s="10" t="s">
        <v>53</v>
      </c>
      <c r="T11145" s="10" t="s">
        <v>54</v>
      </c>
    </row>
    <row r="11146" spans="1:20" ht="14.5" x14ac:dyDescent="0.35">
      <c r="A11146" s="10" t="s">
        <v>48431</v>
      </c>
      <c r="B11146" s="10" t="str">
        <f>"9781483319735"</f>
        <v>9781483319735</v>
      </c>
      <c r="C11146" s="10" t="str">
        <f>"9781483393681"</f>
        <v>9781483393681</v>
      </c>
      <c r="D11146" s="10" t="s">
        <v>22210</v>
      </c>
      <c r="E11146" s="10" t="s">
        <v>22211</v>
      </c>
      <c r="F11146" s="10" t="s">
        <v>333</v>
      </c>
      <c r="G11146" s="10" t="s">
        <v>6317</v>
      </c>
      <c r="H11146" s="11">
        <v>42157</v>
      </c>
      <c r="I11146" s="10">
        <v>2015</v>
      </c>
      <c r="J11146" s="10" t="s">
        <v>22211</v>
      </c>
      <c r="K11146" s="10">
        <v>281</v>
      </c>
      <c r="L11146" s="10" t="s">
        <v>48432</v>
      </c>
      <c r="M11146" s="10">
        <v>1</v>
      </c>
      <c r="N11146" s="10"/>
      <c r="O11146" s="10"/>
      <c r="P11146" s="10" t="s">
        <v>19549</v>
      </c>
      <c r="Q11146" s="10" t="s">
        <v>14718</v>
      </c>
      <c r="R11146" s="10"/>
      <c r="S11146" s="10" t="s">
        <v>53</v>
      </c>
      <c r="T11146" s="10" t="s">
        <v>54</v>
      </c>
    </row>
    <row r="11147" spans="1:20" ht="14.5" x14ac:dyDescent="0.35">
      <c r="A11147" s="10" t="s">
        <v>48433</v>
      </c>
      <c r="B11147" s="10" t="str">
        <f>"9781483339481"</f>
        <v>9781483339481</v>
      </c>
      <c r="C11147" s="10" t="str">
        <f>"9781483339498"</f>
        <v>9781483339498</v>
      </c>
      <c r="D11147" s="10" t="s">
        <v>22210</v>
      </c>
      <c r="E11147" s="10" t="s">
        <v>22211</v>
      </c>
      <c r="F11147" s="10" t="s">
        <v>333</v>
      </c>
      <c r="G11147" s="10" t="s">
        <v>6317</v>
      </c>
      <c r="H11147" s="11">
        <v>42325</v>
      </c>
      <c r="I11147" s="10">
        <v>2016</v>
      </c>
      <c r="J11147" s="10" t="s">
        <v>22211</v>
      </c>
      <c r="K11147" s="10">
        <v>233</v>
      </c>
      <c r="L11147" s="10" t="s">
        <v>43538</v>
      </c>
      <c r="M11147" s="10">
        <v>1</v>
      </c>
      <c r="N11147" s="10"/>
      <c r="O11147" s="10"/>
      <c r="P11147" s="10" t="s">
        <v>48434</v>
      </c>
      <c r="Q11147" s="10">
        <v>371.39400000000001</v>
      </c>
      <c r="R11147" s="10" t="s">
        <v>48435</v>
      </c>
      <c r="S11147" s="10" t="s">
        <v>53</v>
      </c>
      <c r="T11147" s="10" t="s">
        <v>54</v>
      </c>
    </row>
    <row r="11148" spans="1:20" ht="14.5" x14ac:dyDescent="0.35">
      <c r="A11148" s="10" t="s">
        <v>48436</v>
      </c>
      <c r="B11148" s="10" t="str">
        <f>"9781483358970"</f>
        <v>9781483358970</v>
      </c>
      <c r="C11148" s="10" t="str">
        <f>"9781506301860"</f>
        <v>9781506301860</v>
      </c>
      <c r="D11148" s="10" t="s">
        <v>22210</v>
      </c>
      <c r="E11148" s="10" t="s">
        <v>22211</v>
      </c>
      <c r="F11148" s="10" t="s">
        <v>333</v>
      </c>
      <c r="G11148" s="10" t="s">
        <v>6317</v>
      </c>
      <c r="H11148" s="11">
        <v>42192</v>
      </c>
      <c r="I11148" s="10">
        <v>2016</v>
      </c>
      <c r="J11148" s="10" t="s">
        <v>22211</v>
      </c>
      <c r="K11148" s="10">
        <v>233</v>
      </c>
      <c r="L11148" s="10" t="s">
        <v>48437</v>
      </c>
      <c r="M11148" s="10">
        <v>1</v>
      </c>
      <c r="N11148" s="10" t="s">
        <v>46256</v>
      </c>
      <c r="O11148" s="10"/>
      <c r="P11148" s="10" t="s">
        <v>48438</v>
      </c>
      <c r="Q11148" s="10" t="s">
        <v>48439</v>
      </c>
      <c r="R11148" s="10"/>
      <c r="S11148" s="10" t="s">
        <v>53</v>
      </c>
      <c r="T11148" s="10" t="s">
        <v>6498</v>
      </c>
    </row>
    <row r="11149" spans="1:20" ht="14.5" x14ac:dyDescent="0.35">
      <c r="A11149" s="10" t="s">
        <v>48440</v>
      </c>
      <c r="B11149" s="10" t="str">
        <f>"9781483371870"</f>
        <v>9781483371870</v>
      </c>
      <c r="C11149" s="10" t="str">
        <f>"9781483371887"</f>
        <v>9781483371887</v>
      </c>
      <c r="D11149" s="10" t="s">
        <v>22210</v>
      </c>
      <c r="E11149" s="10" t="s">
        <v>22211</v>
      </c>
      <c r="F11149" s="10" t="s">
        <v>333</v>
      </c>
      <c r="G11149" s="10" t="s">
        <v>6317</v>
      </c>
      <c r="H11149" s="11">
        <v>42019</v>
      </c>
      <c r="I11149" s="10">
        <v>2015</v>
      </c>
      <c r="J11149" s="10" t="s">
        <v>22211</v>
      </c>
      <c r="K11149" s="10">
        <v>65</v>
      </c>
      <c r="L11149" s="10" t="s">
        <v>48441</v>
      </c>
      <c r="M11149" s="10">
        <v>1</v>
      </c>
      <c r="N11149" s="10" t="s">
        <v>43544</v>
      </c>
      <c r="O11149" s="10"/>
      <c r="P11149" s="10" t="s">
        <v>48442</v>
      </c>
      <c r="Q11149" s="10">
        <v>371.33097299999997</v>
      </c>
      <c r="R11149" s="10"/>
      <c r="S11149" s="10" t="s">
        <v>53</v>
      </c>
      <c r="T11149" s="10" t="s">
        <v>54</v>
      </c>
    </row>
    <row r="11150" spans="1:20" ht="14.5" x14ac:dyDescent="0.35">
      <c r="A11150" s="10" t="s">
        <v>48443</v>
      </c>
      <c r="B11150" s="10" t="str">
        <f>"9781506328751"</f>
        <v>9781506328751</v>
      </c>
      <c r="C11150" s="10" t="str">
        <f>"9781506342979"</f>
        <v>9781506342979</v>
      </c>
      <c r="D11150" s="10" t="s">
        <v>22210</v>
      </c>
      <c r="E11150" s="10" t="s">
        <v>22211</v>
      </c>
      <c r="F11150" s="10" t="s">
        <v>333</v>
      </c>
      <c r="G11150" s="10" t="s">
        <v>6317</v>
      </c>
      <c r="H11150" s="11">
        <v>42676</v>
      </c>
      <c r="I11150" s="10">
        <v>2017</v>
      </c>
      <c r="J11150" s="10" t="s">
        <v>22211</v>
      </c>
      <c r="K11150" s="10">
        <v>241</v>
      </c>
      <c r="L11150" s="10" t="s">
        <v>48444</v>
      </c>
      <c r="M11150" s="10">
        <v>1</v>
      </c>
      <c r="N11150" s="10"/>
      <c r="O11150" s="10"/>
      <c r="P11150" s="10"/>
      <c r="Q11150" s="10">
        <v>371.2</v>
      </c>
      <c r="R11150" s="10"/>
      <c r="S11150" s="10" t="s">
        <v>53</v>
      </c>
      <c r="T11150" s="10" t="s">
        <v>54</v>
      </c>
    </row>
    <row r="11151" spans="1:20" ht="14.5" x14ac:dyDescent="0.35">
      <c r="A11151" s="10" t="s">
        <v>48445</v>
      </c>
      <c r="B11151" s="10" t="str">
        <f>"9781483380261"</f>
        <v>9781483380261</v>
      </c>
      <c r="C11151" s="10" t="str">
        <f>"9781483380278"</f>
        <v>9781483380278</v>
      </c>
      <c r="D11151" s="10" t="s">
        <v>22210</v>
      </c>
      <c r="E11151" s="10" t="s">
        <v>22211</v>
      </c>
      <c r="F11151" s="10" t="s">
        <v>333</v>
      </c>
      <c r="G11151" s="10" t="s">
        <v>6317</v>
      </c>
      <c r="H11151" s="11">
        <v>42019</v>
      </c>
      <c r="I11151" s="10">
        <v>2015</v>
      </c>
      <c r="J11151" s="10" t="s">
        <v>22211</v>
      </c>
      <c r="K11151" s="10">
        <v>73</v>
      </c>
      <c r="L11151" s="10" t="s">
        <v>48446</v>
      </c>
      <c r="M11151" s="10">
        <v>1</v>
      </c>
      <c r="N11151" s="10" t="s">
        <v>43544</v>
      </c>
      <c r="O11151" s="10"/>
      <c r="P11151" s="10" t="s">
        <v>48447</v>
      </c>
      <c r="Q11151" s="10" t="s">
        <v>8748</v>
      </c>
      <c r="R11151" s="10" t="s">
        <v>48448</v>
      </c>
      <c r="S11151" s="10" t="s">
        <v>53</v>
      </c>
      <c r="T11151" s="10" t="s">
        <v>54</v>
      </c>
    </row>
    <row r="11152" spans="1:20" ht="14.5" x14ac:dyDescent="0.35">
      <c r="A11152" s="10" t="s">
        <v>48449</v>
      </c>
      <c r="B11152" s="10" t="str">
        <f>"9781483379920"</f>
        <v>9781483379920</v>
      </c>
      <c r="C11152" s="10" t="str">
        <f>"9781483379937"</f>
        <v>9781483379937</v>
      </c>
      <c r="D11152" s="10" t="s">
        <v>22210</v>
      </c>
      <c r="E11152" s="10" t="s">
        <v>22211</v>
      </c>
      <c r="F11152" s="10" t="s">
        <v>333</v>
      </c>
      <c r="G11152" s="10" t="s">
        <v>6317</v>
      </c>
      <c r="H11152" s="11">
        <v>42019</v>
      </c>
      <c r="I11152" s="10">
        <v>2015</v>
      </c>
      <c r="J11152" s="10" t="s">
        <v>22211</v>
      </c>
      <c r="K11152" s="10">
        <v>81</v>
      </c>
      <c r="L11152" s="10" t="s">
        <v>48450</v>
      </c>
      <c r="M11152" s="10">
        <v>1</v>
      </c>
      <c r="N11152" s="10" t="s">
        <v>43544</v>
      </c>
      <c r="O11152" s="10"/>
      <c r="P11152" s="10" t="s">
        <v>48451</v>
      </c>
      <c r="Q11152" s="10" t="s">
        <v>7299</v>
      </c>
      <c r="R11152" s="10" t="s">
        <v>48452</v>
      </c>
      <c r="S11152" s="10" t="s">
        <v>53</v>
      </c>
      <c r="T11152" s="10" t="s">
        <v>54</v>
      </c>
    </row>
    <row r="11153" spans="1:20" ht="14.5" x14ac:dyDescent="0.35">
      <c r="A11153" s="10" t="s">
        <v>48453</v>
      </c>
      <c r="B11153" s="10" t="str">
        <f>"9781483373881"</f>
        <v>9781483373881</v>
      </c>
      <c r="C11153" s="10" t="str">
        <f>"9781483386928"</f>
        <v>9781483386928</v>
      </c>
      <c r="D11153" s="10" t="s">
        <v>22210</v>
      </c>
      <c r="E11153" s="10" t="s">
        <v>22211</v>
      </c>
      <c r="F11153" s="10" t="s">
        <v>333</v>
      </c>
      <c r="G11153" s="10" t="s">
        <v>6317</v>
      </c>
      <c r="H11153" s="11">
        <v>42041</v>
      </c>
      <c r="I11153" s="10">
        <v>2015</v>
      </c>
      <c r="J11153" s="10" t="s">
        <v>22211</v>
      </c>
      <c r="K11153" s="10">
        <v>153</v>
      </c>
      <c r="L11153" s="10" t="s">
        <v>46267</v>
      </c>
      <c r="M11153" s="10">
        <v>1</v>
      </c>
      <c r="N11153" s="10"/>
      <c r="O11153" s="10"/>
      <c r="P11153" s="10" t="s">
        <v>48454</v>
      </c>
      <c r="Q11153" s="10">
        <v>371.1</v>
      </c>
      <c r="R11153" s="10" t="s">
        <v>18240</v>
      </c>
      <c r="S11153" s="10" t="s">
        <v>53</v>
      </c>
      <c r="T11153" s="10" t="s">
        <v>54</v>
      </c>
    </row>
    <row r="11154" spans="1:20" ht="14.5" x14ac:dyDescent="0.35">
      <c r="A11154" s="10" t="s">
        <v>48455</v>
      </c>
      <c r="B11154" s="10" t="str">
        <f>"9781506323022"</f>
        <v>9781506323022</v>
      </c>
      <c r="C11154" s="10" t="str">
        <f>"9781506323039"</f>
        <v>9781506323039</v>
      </c>
      <c r="D11154" s="10" t="s">
        <v>22210</v>
      </c>
      <c r="E11154" s="10" t="s">
        <v>22211</v>
      </c>
      <c r="F11154" s="10" t="s">
        <v>333</v>
      </c>
      <c r="G11154" s="10" t="s">
        <v>6317</v>
      </c>
      <c r="H11154" s="11">
        <v>42404</v>
      </c>
      <c r="I11154" s="10">
        <v>2016</v>
      </c>
      <c r="J11154" s="10" t="s">
        <v>22211</v>
      </c>
      <c r="K11154" s="10">
        <v>73</v>
      </c>
      <c r="L11154" s="10" t="s">
        <v>48456</v>
      </c>
      <c r="M11154" s="10">
        <v>1</v>
      </c>
      <c r="N11154" s="10" t="s">
        <v>43544</v>
      </c>
      <c r="O11154" s="10"/>
      <c r="P11154" s="10" t="s">
        <v>48457</v>
      </c>
      <c r="Q11154" s="10">
        <v>428.00785000000002</v>
      </c>
      <c r="R11154" s="10" t="s">
        <v>48458</v>
      </c>
      <c r="S11154" s="10" t="s">
        <v>53</v>
      </c>
      <c r="T11154" s="10" t="s">
        <v>6616</v>
      </c>
    </row>
    <row r="11155" spans="1:20" ht="14.5" x14ac:dyDescent="0.35">
      <c r="A11155" s="10" t="s">
        <v>48459</v>
      </c>
      <c r="B11155" s="10" t="str">
        <f>"9781483392424"</f>
        <v>9781483392424</v>
      </c>
      <c r="C11155" s="10" t="str">
        <f>"9781483392431"</f>
        <v>9781483392431</v>
      </c>
      <c r="D11155" s="10" t="s">
        <v>22210</v>
      </c>
      <c r="E11155" s="10" t="s">
        <v>22211</v>
      </c>
      <c r="F11155" s="10" t="s">
        <v>333</v>
      </c>
      <c r="G11155" s="10" t="s">
        <v>6317</v>
      </c>
      <c r="H11155" s="11">
        <v>42257</v>
      </c>
      <c r="I11155" s="10">
        <v>2016</v>
      </c>
      <c r="J11155" s="10" t="s">
        <v>22211</v>
      </c>
      <c r="K11155" s="10">
        <v>81</v>
      </c>
      <c r="L11155" s="10" t="s">
        <v>48460</v>
      </c>
      <c r="M11155" s="10">
        <v>1</v>
      </c>
      <c r="N11155" s="10" t="s">
        <v>43544</v>
      </c>
      <c r="O11155" s="10"/>
      <c r="P11155" s="10" t="s">
        <v>48461</v>
      </c>
      <c r="Q11155" s="10">
        <v>371.2</v>
      </c>
      <c r="R11155" s="10" t="s">
        <v>48462</v>
      </c>
      <c r="S11155" s="10" t="s">
        <v>53</v>
      </c>
      <c r="T11155" s="10" t="s">
        <v>54</v>
      </c>
    </row>
    <row r="11156" spans="1:20" ht="14.5" x14ac:dyDescent="0.35">
      <c r="A11156" s="10" t="s">
        <v>48463</v>
      </c>
      <c r="B11156" s="10" t="str">
        <f>"9781483319896"</f>
        <v>9781483319896</v>
      </c>
      <c r="C11156" s="10" t="str">
        <f>"9781483386409"</f>
        <v>9781483386409</v>
      </c>
      <c r="D11156" s="10" t="s">
        <v>22210</v>
      </c>
      <c r="E11156" s="10" t="s">
        <v>22211</v>
      </c>
      <c r="F11156" s="10" t="s">
        <v>333</v>
      </c>
      <c r="G11156" s="10" t="s">
        <v>6317</v>
      </c>
      <c r="H11156" s="11">
        <v>42103</v>
      </c>
      <c r="I11156" s="10">
        <v>2015</v>
      </c>
      <c r="J11156" s="10" t="s">
        <v>22211</v>
      </c>
      <c r="K11156" s="10">
        <v>313</v>
      </c>
      <c r="L11156" s="10" t="s">
        <v>48464</v>
      </c>
      <c r="M11156" s="10">
        <v>1</v>
      </c>
      <c r="N11156" s="10"/>
      <c r="O11156" s="10"/>
      <c r="P11156" s="10" t="s">
        <v>48465</v>
      </c>
      <c r="Q11156" s="10" t="s">
        <v>48466</v>
      </c>
      <c r="R11156" s="10" t="s">
        <v>48467</v>
      </c>
      <c r="S11156" s="10" t="s">
        <v>53</v>
      </c>
      <c r="T11156" s="10" t="s">
        <v>54</v>
      </c>
    </row>
    <row r="11157" spans="1:20" ht="14.5" x14ac:dyDescent="0.35">
      <c r="A11157" s="10" t="s">
        <v>48468</v>
      </c>
      <c r="B11157" s="10" t="str">
        <f>"9781475839395"</f>
        <v>9781475839395</v>
      </c>
      <c r="C11157" s="10" t="str">
        <f>"9781475839401"</f>
        <v>9781475839401</v>
      </c>
      <c r="D11157" s="10" t="s">
        <v>9752</v>
      </c>
      <c r="E11157" s="10" t="s">
        <v>15187</v>
      </c>
      <c r="F11157" s="10" t="s">
        <v>9754</v>
      </c>
      <c r="G11157" s="10" t="s">
        <v>6317</v>
      </c>
      <c r="H11157" s="11">
        <v>43431</v>
      </c>
      <c r="I11157" s="10">
        <v>2019</v>
      </c>
      <c r="J11157" s="10" t="s">
        <v>15187</v>
      </c>
      <c r="K11157" s="10">
        <v>113</v>
      </c>
      <c r="L11157" s="10" t="s">
        <v>48469</v>
      </c>
      <c r="M11157" s="10">
        <v>1</v>
      </c>
      <c r="N11157" s="10" t="s">
        <v>27718</v>
      </c>
      <c r="O11157" s="10"/>
      <c r="P11157" s="10" t="s">
        <v>48470</v>
      </c>
      <c r="Q11157" s="10" t="s">
        <v>20959</v>
      </c>
      <c r="R11157" s="10" t="s">
        <v>48471</v>
      </c>
      <c r="S11157" s="10" t="s">
        <v>53</v>
      </c>
      <c r="T11157" s="10" t="s">
        <v>54</v>
      </c>
    </row>
    <row r="11158" spans="1:20" ht="14.5" x14ac:dyDescent="0.35">
      <c r="A11158" s="10" t="s">
        <v>48472</v>
      </c>
      <c r="B11158" s="10" t="str">
        <f>"9781475837056"</f>
        <v>9781475837056</v>
      </c>
      <c r="C11158" s="10" t="str">
        <f>"9781475837063"</f>
        <v>9781475837063</v>
      </c>
      <c r="D11158" s="10" t="s">
        <v>9752</v>
      </c>
      <c r="E11158" s="10" t="s">
        <v>15187</v>
      </c>
      <c r="F11158" s="10" t="s">
        <v>9754</v>
      </c>
      <c r="G11158" s="10" t="s">
        <v>6317</v>
      </c>
      <c r="H11158" s="11">
        <v>43448</v>
      </c>
      <c r="I11158" s="10">
        <v>2018</v>
      </c>
      <c r="J11158" s="10" t="s">
        <v>15187</v>
      </c>
      <c r="K11158" s="10">
        <v>140</v>
      </c>
      <c r="L11158" s="10" t="s">
        <v>48473</v>
      </c>
      <c r="M11158" s="10">
        <v>1</v>
      </c>
      <c r="N11158" s="10"/>
      <c r="O11158" s="10"/>
      <c r="P11158" s="10" t="s">
        <v>48474</v>
      </c>
      <c r="Q11158" s="10"/>
      <c r="R11158" s="10" t="s">
        <v>48475</v>
      </c>
      <c r="S11158" s="10" t="s">
        <v>53</v>
      </c>
      <c r="T11158" s="10" t="s">
        <v>6616</v>
      </c>
    </row>
    <row r="11159" spans="1:20" ht="14.5" x14ac:dyDescent="0.35">
      <c r="A11159" s="10" t="s">
        <v>48476</v>
      </c>
      <c r="B11159" s="10" t="str">
        <f>"9781475848359"</f>
        <v>9781475848359</v>
      </c>
      <c r="C11159" s="10" t="str">
        <f>"9781475848373"</f>
        <v>9781475848373</v>
      </c>
      <c r="D11159" s="10" t="s">
        <v>9752</v>
      </c>
      <c r="E11159" s="10" t="s">
        <v>15187</v>
      </c>
      <c r="F11159" s="10" t="s">
        <v>9754</v>
      </c>
      <c r="G11159" s="10" t="s">
        <v>6317</v>
      </c>
      <c r="H11159" s="11">
        <v>43455</v>
      </c>
      <c r="I11159" s="10">
        <v>2018</v>
      </c>
      <c r="J11159" s="10" t="s">
        <v>15187</v>
      </c>
      <c r="K11159" s="10">
        <v>120</v>
      </c>
      <c r="L11159" s="10" t="s">
        <v>48477</v>
      </c>
      <c r="M11159" s="10">
        <v>1</v>
      </c>
      <c r="N11159" s="10"/>
      <c r="O11159" s="10"/>
      <c r="P11159" s="10" t="s">
        <v>48478</v>
      </c>
      <c r="Q11159" s="10">
        <v>372.43</v>
      </c>
      <c r="R11159" s="10" t="s">
        <v>48479</v>
      </c>
      <c r="S11159" s="10" t="s">
        <v>53</v>
      </c>
      <c r="T11159" s="10" t="s">
        <v>54</v>
      </c>
    </row>
    <row r="11160" spans="1:20" ht="14.5" x14ac:dyDescent="0.35">
      <c r="A11160" s="10" t="s">
        <v>48480</v>
      </c>
      <c r="B11160" s="10" t="str">
        <f>"9789004384019"</f>
        <v>9789004384019</v>
      </c>
      <c r="C11160" s="10" t="str">
        <f>"9789004384064"</f>
        <v>9789004384064</v>
      </c>
      <c r="D11160" s="10" t="s">
        <v>8564</v>
      </c>
      <c r="E11160" s="10" t="s">
        <v>8565</v>
      </c>
      <c r="F11160" s="10" t="s">
        <v>1420</v>
      </c>
      <c r="G11160" s="10" t="s">
        <v>6317</v>
      </c>
      <c r="H11160" s="11">
        <v>43370</v>
      </c>
      <c r="I11160" s="10">
        <v>2018</v>
      </c>
      <c r="J11160" s="10" t="s">
        <v>33259</v>
      </c>
      <c r="K11160" s="10">
        <v>129</v>
      </c>
      <c r="L11160" s="10" t="s">
        <v>48481</v>
      </c>
      <c r="M11160" s="10">
        <v>1</v>
      </c>
      <c r="N11160" s="10"/>
      <c r="O11160" s="10"/>
      <c r="P11160" s="10"/>
      <c r="Q11160" s="10"/>
      <c r="R11160" s="10" t="s">
        <v>48482</v>
      </c>
      <c r="S11160" s="10" t="s">
        <v>53</v>
      </c>
      <c r="T11160" s="10" t="s">
        <v>54</v>
      </c>
    </row>
    <row r="11161" spans="1:20" ht="14.5" x14ac:dyDescent="0.35">
      <c r="A11161" s="10" t="s">
        <v>48483</v>
      </c>
      <c r="B11161" s="10" t="str">
        <f>"9789004383883"</f>
        <v>9789004383883</v>
      </c>
      <c r="C11161" s="10" t="str">
        <f>"9789004383890"</f>
        <v>9789004383890</v>
      </c>
      <c r="D11161" s="10" t="s">
        <v>8564</v>
      </c>
      <c r="E11161" s="10" t="s">
        <v>8565</v>
      </c>
      <c r="F11161" s="10" t="s">
        <v>1420</v>
      </c>
      <c r="G11161" s="10" t="s">
        <v>6317</v>
      </c>
      <c r="H11161" s="11">
        <v>43426</v>
      </c>
      <c r="I11161" s="10">
        <v>2019</v>
      </c>
      <c r="J11161" s="10" t="s">
        <v>33259</v>
      </c>
      <c r="K11161" s="10">
        <v>262</v>
      </c>
      <c r="L11161" s="10" t="s">
        <v>48484</v>
      </c>
      <c r="M11161" s="10">
        <v>1</v>
      </c>
      <c r="N11161" s="10"/>
      <c r="O11161" s="10"/>
      <c r="P11161" s="10"/>
      <c r="Q11161" s="10">
        <v>371.9</v>
      </c>
      <c r="R11161" s="10" t="s">
        <v>48485</v>
      </c>
      <c r="S11161" s="10" t="s">
        <v>53</v>
      </c>
      <c r="T11161" s="10" t="s">
        <v>54</v>
      </c>
    </row>
    <row r="11162" spans="1:20" ht="14.5" x14ac:dyDescent="0.35">
      <c r="A11162" s="10" t="s">
        <v>48486</v>
      </c>
      <c r="B11162" s="10" t="str">
        <f>"9781498557726"</f>
        <v>9781498557726</v>
      </c>
      <c r="C11162" s="10" t="str">
        <f>"9781498557733"</f>
        <v>9781498557733</v>
      </c>
      <c r="D11162" s="10" t="s">
        <v>9752</v>
      </c>
      <c r="E11162" s="10" t="s">
        <v>15182</v>
      </c>
      <c r="F11162" s="10" t="s">
        <v>3460</v>
      </c>
      <c r="G11162" s="10" t="s">
        <v>6317</v>
      </c>
      <c r="H11162" s="11">
        <v>43413</v>
      </c>
      <c r="I11162" s="10">
        <v>2019</v>
      </c>
      <c r="J11162" s="10" t="s">
        <v>15182</v>
      </c>
      <c r="K11162" s="10">
        <v>186</v>
      </c>
      <c r="L11162" s="10" t="s">
        <v>48487</v>
      </c>
      <c r="M11162" s="10">
        <v>1</v>
      </c>
      <c r="N11162" s="10" t="s">
        <v>40055</v>
      </c>
      <c r="O11162" s="10"/>
      <c r="P11162" s="10" t="s">
        <v>48488</v>
      </c>
      <c r="Q11162" s="10">
        <v>378.12088999999997</v>
      </c>
      <c r="R11162" s="10" t="s">
        <v>48489</v>
      </c>
      <c r="S11162" s="10" t="s">
        <v>53</v>
      </c>
      <c r="T11162" s="10" t="s">
        <v>54</v>
      </c>
    </row>
    <row r="11163" spans="1:20" ht="14.5" x14ac:dyDescent="0.35">
      <c r="A11163" s="10" t="s">
        <v>48490</v>
      </c>
      <c r="B11163" s="10" t="str">
        <f>"9781498551304"</f>
        <v>9781498551304</v>
      </c>
      <c r="C11163" s="10" t="str">
        <f>"9781498551311"</f>
        <v>9781498551311</v>
      </c>
      <c r="D11163" s="10" t="s">
        <v>9752</v>
      </c>
      <c r="E11163" s="10" t="s">
        <v>15182</v>
      </c>
      <c r="F11163" s="10" t="s">
        <v>3460</v>
      </c>
      <c r="G11163" s="10" t="s">
        <v>6317</v>
      </c>
      <c r="H11163" s="11">
        <v>43427</v>
      </c>
      <c r="I11163" s="10">
        <v>2019</v>
      </c>
      <c r="J11163" s="10" t="s">
        <v>15182</v>
      </c>
      <c r="K11163" s="10">
        <v>161</v>
      </c>
      <c r="L11163" s="10" t="s">
        <v>48491</v>
      </c>
      <c r="M11163" s="10">
        <v>1</v>
      </c>
      <c r="N11163" s="10" t="s">
        <v>40055</v>
      </c>
      <c r="O11163" s="10"/>
      <c r="P11163" s="10" t="s">
        <v>48492</v>
      </c>
      <c r="Q11163" s="10">
        <v>371.82996000000003</v>
      </c>
      <c r="R11163" s="10" t="s">
        <v>48493</v>
      </c>
      <c r="S11163" s="10" t="s">
        <v>53</v>
      </c>
      <c r="T11163" s="10" t="s">
        <v>54</v>
      </c>
    </row>
    <row r="11164" spans="1:20" ht="14.5" x14ac:dyDescent="0.35">
      <c r="A11164" s="10" t="s">
        <v>48494</v>
      </c>
      <c r="B11164" s="10" t="str">
        <f>"9781498565059"</f>
        <v>9781498565059</v>
      </c>
      <c r="C11164" s="10" t="str">
        <f>"9781498565066"</f>
        <v>9781498565066</v>
      </c>
      <c r="D11164" s="10" t="s">
        <v>9752</v>
      </c>
      <c r="E11164" s="10" t="s">
        <v>15182</v>
      </c>
      <c r="F11164" s="10" t="s">
        <v>9754</v>
      </c>
      <c r="G11164" s="10" t="s">
        <v>6317</v>
      </c>
      <c r="H11164" s="11">
        <v>43409</v>
      </c>
      <c r="I11164" s="10">
        <v>2019</v>
      </c>
      <c r="J11164" s="10" t="s">
        <v>15182</v>
      </c>
      <c r="K11164" s="10">
        <v>131</v>
      </c>
      <c r="L11164" s="10" t="s">
        <v>48495</v>
      </c>
      <c r="M11164" s="10">
        <v>1</v>
      </c>
      <c r="N11164" s="10"/>
      <c r="O11164" s="10"/>
      <c r="P11164" s="10" t="s">
        <v>48496</v>
      </c>
      <c r="Q11164" s="10" t="s">
        <v>7335</v>
      </c>
      <c r="R11164" s="10" t="s">
        <v>48497</v>
      </c>
      <c r="S11164" s="10" t="s">
        <v>53</v>
      </c>
      <c r="T11164" s="10" t="s">
        <v>54</v>
      </c>
    </row>
    <row r="11165" spans="1:20" ht="14.5" x14ac:dyDescent="0.35">
      <c r="A11165" s="10" t="s">
        <v>48498</v>
      </c>
      <c r="B11165" s="10" t="str">
        <f>"9781947604216"</f>
        <v>9781947604216</v>
      </c>
      <c r="C11165" s="10" t="str">
        <f>"9781947604223"</f>
        <v>9781947604223</v>
      </c>
      <c r="D11165" s="10" t="s">
        <v>37580</v>
      </c>
      <c r="E11165" s="10" t="s">
        <v>37581</v>
      </c>
      <c r="F11165" s="10" t="s">
        <v>37623</v>
      </c>
      <c r="G11165" s="10" t="s">
        <v>6317</v>
      </c>
      <c r="H11165" s="11">
        <v>43441</v>
      </c>
      <c r="I11165" s="10">
        <v>2019</v>
      </c>
      <c r="J11165" s="10" t="s">
        <v>37581</v>
      </c>
      <c r="K11165" s="10">
        <v>248</v>
      </c>
      <c r="L11165" s="10" t="s">
        <v>37658</v>
      </c>
      <c r="M11165" s="10">
        <v>1</v>
      </c>
      <c r="N11165" s="10"/>
      <c r="O11165" s="10"/>
      <c r="P11165" s="10" t="s">
        <v>48499</v>
      </c>
      <c r="Q11165" s="10"/>
      <c r="R11165" s="10" t="s">
        <v>48500</v>
      </c>
      <c r="S11165" s="10" t="s">
        <v>53</v>
      </c>
      <c r="T11165" s="10" t="s">
        <v>54</v>
      </c>
    </row>
    <row r="11166" spans="1:20" ht="14.5" x14ac:dyDescent="0.35">
      <c r="A11166" s="10" t="s">
        <v>48501</v>
      </c>
      <c r="B11166" s="10" t="str">
        <f>"9782804705893"</f>
        <v>9782804705893</v>
      </c>
      <c r="C11166" s="10" t="str">
        <f>"9782804705909"</f>
        <v>9782804705909</v>
      </c>
      <c r="D11166" s="10" t="s">
        <v>29172</v>
      </c>
      <c r="E11166" s="10" t="s">
        <v>48277</v>
      </c>
      <c r="F11166" s="10" t="s">
        <v>29181</v>
      </c>
      <c r="G11166" s="10" t="s">
        <v>28737</v>
      </c>
      <c r="H11166" s="11">
        <v>43434</v>
      </c>
      <c r="I11166" s="10">
        <v>2018</v>
      </c>
      <c r="J11166" s="10" t="s">
        <v>48277</v>
      </c>
      <c r="K11166" s="10">
        <v>297</v>
      </c>
      <c r="L11166" s="10" t="s">
        <v>48502</v>
      </c>
      <c r="M11166" s="10">
        <v>1</v>
      </c>
      <c r="N11166" s="10"/>
      <c r="O11166" s="10"/>
      <c r="P11166" s="10"/>
      <c r="Q11166" s="10"/>
      <c r="R11166" s="10" t="s">
        <v>13469</v>
      </c>
      <c r="S11166" s="10" t="s">
        <v>5404</v>
      </c>
      <c r="T11166" s="10" t="s">
        <v>54</v>
      </c>
    </row>
    <row r="11167" spans="1:20" ht="14.5" x14ac:dyDescent="0.35">
      <c r="A11167" s="10" t="s">
        <v>48503</v>
      </c>
      <c r="B11167" s="10" t="str">
        <f>"9781936763092"</f>
        <v>9781936763092</v>
      </c>
      <c r="C11167" s="10" t="str">
        <f>"9781936763122"</f>
        <v>9781936763122</v>
      </c>
      <c r="D11167" s="10" t="s">
        <v>37580</v>
      </c>
      <c r="E11167" s="10" t="s">
        <v>37581</v>
      </c>
      <c r="F11167" s="10" t="s">
        <v>37623</v>
      </c>
      <c r="G11167" s="10" t="s">
        <v>6317</v>
      </c>
      <c r="H11167" s="11">
        <v>43453</v>
      </c>
      <c r="I11167" s="10">
        <v>2019</v>
      </c>
      <c r="J11167" s="10" t="s">
        <v>37581</v>
      </c>
      <c r="K11167" s="10">
        <v>144</v>
      </c>
      <c r="L11167" s="10" t="s">
        <v>23196</v>
      </c>
      <c r="M11167" s="10">
        <v>1</v>
      </c>
      <c r="N11167" s="10"/>
      <c r="O11167" s="10"/>
      <c r="P11167" s="10" t="s">
        <v>48504</v>
      </c>
      <c r="Q11167" s="10"/>
      <c r="R11167" s="10" t="s">
        <v>48505</v>
      </c>
      <c r="S11167" s="10" t="s">
        <v>53</v>
      </c>
      <c r="T11167" s="10" t="s">
        <v>6660</v>
      </c>
    </row>
    <row r="11168" spans="1:20" ht="14.5" x14ac:dyDescent="0.35">
      <c r="A11168" s="10" t="s">
        <v>48506</v>
      </c>
      <c r="B11168" s="10" t="str">
        <f>"9781620362297"</f>
        <v>9781620362297</v>
      </c>
      <c r="C11168" s="10" t="str">
        <f>"9781000976434"</f>
        <v>9781000976434</v>
      </c>
      <c r="D11168" s="10" t="s">
        <v>6350</v>
      </c>
      <c r="E11168" s="10" t="s">
        <v>6351</v>
      </c>
      <c r="F11168" s="10" t="s">
        <v>748</v>
      </c>
      <c r="G11168" s="10" t="s">
        <v>6352</v>
      </c>
      <c r="H11168" s="11">
        <v>43425</v>
      </c>
      <c r="I11168" s="10">
        <v>2019</v>
      </c>
      <c r="J11168" s="10" t="s">
        <v>6351</v>
      </c>
      <c r="K11168" s="10">
        <v>264</v>
      </c>
      <c r="L11168" s="10" t="s">
        <v>41004</v>
      </c>
      <c r="M11168" s="10">
        <v>2</v>
      </c>
      <c r="N11168" s="10"/>
      <c r="O11168" s="10"/>
      <c r="P11168" s="10" t="s">
        <v>48507</v>
      </c>
      <c r="Q11168" s="10">
        <v>371.26</v>
      </c>
      <c r="R11168" s="10" t="s">
        <v>48508</v>
      </c>
      <c r="S11168" s="10" t="s">
        <v>53</v>
      </c>
      <c r="T11168" s="10" t="s">
        <v>54</v>
      </c>
    </row>
    <row r="11169" spans="1:20" ht="14.5" x14ac:dyDescent="0.35">
      <c r="A11169" s="10" t="s">
        <v>48509</v>
      </c>
      <c r="B11169" s="10" t="str">
        <f>""</f>
        <v/>
      </c>
      <c r="C11169" s="10" t="str">
        <f>"9781975500290"</f>
        <v>9781975500290</v>
      </c>
      <c r="D11169" s="10" t="s">
        <v>44271</v>
      </c>
      <c r="E11169" s="10" t="s">
        <v>47266</v>
      </c>
      <c r="F11169" s="10" t="s">
        <v>41227</v>
      </c>
      <c r="G11169" s="10" t="s">
        <v>6317</v>
      </c>
      <c r="H11169" s="11">
        <v>43397</v>
      </c>
      <c r="I11169" s="10">
        <v>2018</v>
      </c>
      <c r="J11169" s="10" t="s">
        <v>47266</v>
      </c>
      <c r="K11169" s="10">
        <v>181</v>
      </c>
      <c r="L11169" s="10" t="s">
        <v>48510</v>
      </c>
      <c r="M11169" s="10">
        <v>1</v>
      </c>
      <c r="N11169" s="10" t="s">
        <v>48511</v>
      </c>
      <c r="O11169" s="10">
        <v>2</v>
      </c>
      <c r="P11169" s="10" t="s">
        <v>48512</v>
      </c>
      <c r="Q11169" s="10">
        <v>363.70071000000002</v>
      </c>
      <c r="R11169" s="10" t="s">
        <v>47284</v>
      </c>
      <c r="S11169" s="10" t="s">
        <v>53</v>
      </c>
      <c r="T11169" s="10" t="s">
        <v>3668</v>
      </c>
    </row>
    <row r="11170" spans="1:20" ht="14.5" x14ac:dyDescent="0.35">
      <c r="A11170" s="10" t="s">
        <v>48513</v>
      </c>
      <c r="B11170" s="10" t="str">
        <f>"9781620365007"</f>
        <v>9781620365007</v>
      </c>
      <c r="C11170" s="10" t="str">
        <f>"9781000971606"</f>
        <v>9781000971606</v>
      </c>
      <c r="D11170" s="10" t="s">
        <v>6350</v>
      </c>
      <c r="E11170" s="10" t="s">
        <v>6351</v>
      </c>
      <c r="F11170" s="10" t="s">
        <v>748</v>
      </c>
      <c r="G11170" s="10" t="s">
        <v>6352</v>
      </c>
      <c r="H11170" s="11">
        <v>43424</v>
      </c>
      <c r="I11170" s="10">
        <v>2019</v>
      </c>
      <c r="J11170" s="10" t="s">
        <v>6351</v>
      </c>
      <c r="K11170" s="10">
        <v>129</v>
      </c>
      <c r="L11170" s="10" t="s">
        <v>33978</v>
      </c>
      <c r="M11170" s="10">
        <v>1</v>
      </c>
      <c r="N11170" s="10"/>
      <c r="O11170" s="10"/>
      <c r="P11170" s="10" t="s">
        <v>48514</v>
      </c>
      <c r="Q11170" s="10">
        <v>370.15230000000003</v>
      </c>
      <c r="R11170" s="10" t="s">
        <v>11395</v>
      </c>
      <c r="S11170" s="10" t="s">
        <v>53</v>
      </c>
      <c r="T11170" s="10" t="s">
        <v>54</v>
      </c>
    </row>
    <row r="11171" spans="1:20" ht="14.5" x14ac:dyDescent="0.35">
      <c r="A11171" s="10" t="s">
        <v>48515</v>
      </c>
      <c r="B11171" s="10" t="str">
        <f>""</f>
        <v/>
      </c>
      <c r="C11171" s="10" t="str">
        <f>"9781975501471"</f>
        <v>9781975501471</v>
      </c>
      <c r="D11171" s="10" t="s">
        <v>44271</v>
      </c>
      <c r="E11171" s="10" t="s">
        <v>47266</v>
      </c>
      <c r="F11171" s="10" t="s">
        <v>41227</v>
      </c>
      <c r="G11171" s="10" t="s">
        <v>6317</v>
      </c>
      <c r="H11171" s="11">
        <v>43397</v>
      </c>
      <c r="I11171" s="10">
        <v>2019</v>
      </c>
      <c r="J11171" s="10" t="s">
        <v>47266</v>
      </c>
      <c r="K11171" s="10">
        <v>65</v>
      </c>
      <c r="L11171" s="10" t="s">
        <v>47472</v>
      </c>
      <c r="M11171" s="10">
        <v>1</v>
      </c>
      <c r="N11171" s="10" t="s">
        <v>47473</v>
      </c>
      <c r="O11171" s="10">
        <v>3</v>
      </c>
      <c r="P11171" s="10" t="s">
        <v>48516</v>
      </c>
      <c r="Q11171" s="10">
        <v>370.1</v>
      </c>
      <c r="R11171" s="10" t="s">
        <v>48067</v>
      </c>
      <c r="S11171" s="10" t="s">
        <v>53</v>
      </c>
      <c r="T11171" s="10" t="s">
        <v>54</v>
      </c>
    </row>
    <row r="11172" spans="1:20" ht="14.5" x14ac:dyDescent="0.35">
      <c r="A11172" s="10" t="s">
        <v>48517</v>
      </c>
      <c r="B11172" s="10" t="str">
        <f>"9781498524872"</f>
        <v>9781498524872</v>
      </c>
      <c r="C11172" s="10" t="str">
        <f>"9781498524889"</f>
        <v>9781498524889</v>
      </c>
      <c r="D11172" s="10" t="s">
        <v>9752</v>
      </c>
      <c r="E11172" s="10" t="s">
        <v>15182</v>
      </c>
      <c r="F11172" s="10" t="s">
        <v>9754</v>
      </c>
      <c r="G11172" s="10" t="s">
        <v>6317</v>
      </c>
      <c r="H11172" s="11">
        <v>43445</v>
      </c>
      <c r="I11172" s="10">
        <v>2019</v>
      </c>
      <c r="J11172" s="10" t="s">
        <v>15182</v>
      </c>
      <c r="K11172" s="10">
        <v>133</v>
      </c>
      <c r="L11172" s="10" t="s">
        <v>48518</v>
      </c>
      <c r="M11172" s="10">
        <v>1</v>
      </c>
      <c r="N11172" s="10"/>
      <c r="O11172" s="10"/>
      <c r="P11172" s="10" t="s">
        <v>48519</v>
      </c>
      <c r="Q11172" s="10">
        <v>371.822</v>
      </c>
      <c r="R11172" s="10" t="s">
        <v>48520</v>
      </c>
      <c r="S11172" s="10" t="s">
        <v>53</v>
      </c>
      <c r="T11172" s="10" t="s">
        <v>54</v>
      </c>
    </row>
    <row r="11173" spans="1:20" ht="14.5" x14ac:dyDescent="0.35">
      <c r="A11173" s="10" t="s">
        <v>48521</v>
      </c>
      <c r="B11173" s="10" t="str">
        <f>"9781787546769"</f>
        <v>9781787546769</v>
      </c>
      <c r="C11173" s="10" t="str">
        <f>"9781787546752"</f>
        <v>9781787546752</v>
      </c>
      <c r="D11173" s="10" t="s">
        <v>8699</v>
      </c>
      <c r="E11173" s="10" t="s">
        <v>8699</v>
      </c>
      <c r="F11173" s="10" t="s">
        <v>559</v>
      </c>
      <c r="G11173" s="10" t="s">
        <v>6352</v>
      </c>
      <c r="H11173" s="11">
        <v>43441</v>
      </c>
      <c r="I11173" s="10">
        <v>2019</v>
      </c>
      <c r="J11173" s="10" t="s">
        <v>8699</v>
      </c>
      <c r="K11173" s="10">
        <v>340</v>
      </c>
      <c r="L11173" s="10" t="s">
        <v>48522</v>
      </c>
      <c r="M11173" s="10">
        <v>1</v>
      </c>
      <c r="N11173" s="10" t="s">
        <v>48001</v>
      </c>
      <c r="O11173" s="10"/>
      <c r="P11173" s="10" t="s">
        <v>11270</v>
      </c>
      <c r="Q11173" s="10">
        <v>371.2</v>
      </c>
      <c r="R11173" s="10" t="s">
        <v>48523</v>
      </c>
      <c r="S11173" s="10" t="s">
        <v>53</v>
      </c>
      <c r="T11173" s="10" t="s">
        <v>54</v>
      </c>
    </row>
    <row r="11174" spans="1:20" ht="14.5" x14ac:dyDescent="0.35">
      <c r="A11174" s="10" t="s">
        <v>48524</v>
      </c>
      <c r="B11174" s="10" t="str">
        <f>"9781785923456"</f>
        <v>9781785923456</v>
      </c>
      <c r="C11174" s="10" t="str">
        <f>"9781784506735"</f>
        <v>9781784506735</v>
      </c>
      <c r="D11174" s="10" t="s">
        <v>10516</v>
      </c>
      <c r="E11174" s="10" t="s">
        <v>10516</v>
      </c>
      <c r="F11174" s="10" t="s">
        <v>139</v>
      </c>
      <c r="G11174" s="10" t="s">
        <v>6352</v>
      </c>
      <c r="H11174" s="11">
        <v>43486</v>
      </c>
      <c r="I11174" s="10">
        <v>2019</v>
      </c>
      <c r="J11174" s="10" t="s">
        <v>10516</v>
      </c>
      <c r="K11174" s="10">
        <v>234</v>
      </c>
      <c r="L11174" s="10" t="s">
        <v>48525</v>
      </c>
      <c r="M11174" s="10">
        <v>1</v>
      </c>
      <c r="N11174" s="10"/>
      <c r="O11174" s="10"/>
      <c r="P11174" s="10"/>
      <c r="Q11174" s="10">
        <v>378.00866400000001</v>
      </c>
      <c r="R11174" s="10"/>
      <c r="S11174" s="10" t="s">
        <v>53</v>
      </c>
      <c r="T11174" s="10" t="s">
        <v>54</v>
      </c>
    </row>
    <row r="11175" spans="1:20" ht="14.5" x14ac:dyDescent="0.35">
      <c r="A11175" s="10" t="s">
        <v>48526</v>
      </c>
      <c r="B11175" s="10" t="str">
        <f>"9789004389625"</f>
        <v>9789004389625</v>
      </c>
      <c r="C11175" s="10" t="str">
        <f>"9789004389632"</f>
        <v>9789004389632</v>
      </c>
      <c r="D11175" s="10" t="s">
        <v>8564</v>
      </c>
      <c r="E11175" s="10" t="s">
        <v>8565</v>
      </c>
      <c r="F11175" s="10" t="s">
        <v>1420</v>
      </c>
      <c r="G11175" s="10" t="s">
        <v>6317</v>
      </c>
      <c r="H11175" s="11">
        <v>43433</v>
      </c>
      <c r="I11175" s="10">
        <v>2019</v>
      </c>
      <c r="J11175" s="10" t="s">
        <v>33259</v>
      </c>
      <c r="K11175" s="10">
        <v>275</v>
      </c>
      <c r="L11175" s="10" t="s">
        <v>48527</v>
      </c>
      <c r="M11175" s="10">
        <v>1</v>
      </c>
      <c r="N11175" s="10" t="s">
        <v>33257</v>
      </c>
      <c r="O11175" s="10">
        <v>42</v>
      </c>
      <c r="P11175" s="10" t="s">
        <v>48528</v>
      </c>
      <c r="Q11175" s="10">
        <v>378</v>
      </c>
      <c r="R11175" s="10" t="s">
        <v>48529</v>
      </c>
      <c r="S11175" s="10" t="s">
        <v>53</v>
      </c>
      <c r="T11175" s="10" t="s">
        <v>54</v>
      </c>
    </row>
    <row r="11176" spans="1:20" ht="14.5" x14ac:dyDescent="0.35">
      <c r="A11176" s="10" t="s">
        <v>48530</v>
      </c>
      <c r="B11176" s="10" t="str">
        <f>"9789004389335"</f>
        <v>9789004389335</v>
      </c>
      <c r="C11176" s="10" t="str">
        <f>"9789004389342"</f>
        <v>9789004389342</v>
      </c>
      <c r="D11176" s="10" t="s">
        <v>8564</v>
      </c>
      <c r="E11176" s="10" t="s">
        <v>8565</v>
      </c>
      <c r="F11176" s="10" t="s">
        <v>1420</v>
      </c>
      <c r="G11176" s="10" t="s">
        <v>6317</v>
      </c>
      <c r="H11176" s="11">
        <v>43433</v>
      </c>
      <c r="I11176" s="10">
        <v>2019</v>
      </c>
      <c r="J11176" s="10" t="s">
        <v>33259</v>
      </c>
      <c r="K11176" s="10">
        <v>250</v>
      </c>
      <c r="L11176" s="10" t="s">
        <v>48531</v>
      </c>
      <c r="M11176" s="10">
        <v>1</v>
      </c>
      <c r="N11176" s="10"/>
      <c r="O11176" s="10"/>
      <c r="P11176" s="10" t="s">
        <v>48532</v>
      </c>
      <c r="Q11176" s="10">
        <v>378.4</v>
      </c>
      <c r="R11176" s="10" t="s">
        <v>48533</v>
      </c>
      <c r="S11176" s="10" t="s">
        <v>53</v>
      </c>
      <c r="T11176" s="10" t="s">
        <v>54</v>
      </c>
    </row>
    <row r="11177" spans="1:20" ht="14.5" x14ac:dyDescent="0.35">
      <c r="A11177" s="10" t="s">
        <v>48534</v>
      </c>
      <c r="B11177" s="10" t="str">
        <f>"9782759822928"</f>
        <v>9782759822928</v>
      </c>
      <c r="C11177" s="10" t="str">
        <f>"9782759822935"</f>
        <v>9782759822935</v>
      </c>
      <c r="D11177" s="10" t="s">
        <v>48535</v>
      </c>
      <c r="E11177" s="10" t="s">
        <v>48535</v>
      </c>
      <c r="F11177" s="10" t="s">
        <v>48536</v>
      </c>
      <c r="G11177" s="10" t="s">
        <v>31597</v>
      </c>
      <c r="H11177" s="11">
        <v>43440</v>
      </c>
      <c r="I11177" s="10">
        <v>2018</v>
      </c>
      <c r="J11177" s="10" t="s">
        <v>48535</v>
      </c>
      <c r="K11177" s="10">
        <v>146</v>
      </c>
      <c r="L11177" s="10" t="s">
        <v>48537</v>
      </c>
      <c r="M11177" s="10">
        <v>1</v>
      </c>
      <c r="N11177" s="10" t="s">
        <v>48538</v>
      </c>
      <c r="O11177" s="10"/>
      <c r="P11177" s="10" t="s">
        <v>48539</v>
      </c>
      <c r="Q11177" s="10"/>
      <c r="R11177" s="10" t="s">
        <v>48540</v>
      </c>
      <c r="S11177" s="10" t="s">
        <v>5404</v>
      </c>
      <c r="T11177" s="10" t="s">
        <v>11298</v>
      </c>
    </row>
    <row r="11178" spans="1:20" ht="14.5" x14ac:dyDescent="0.35">
      <c r="A11178" s="10" t="s">
        <v>48541</v>
      </c>
      <c r="B11178" s="10" t="str">
        <f>"9781786303424"</f>
        <v>9781786303424</v>
      </c>
      <c r="C11178" s="10" t="str">
        <f>"9781119571865"</f>
        <v>9781119571865</v>
      </c>
      <c r="D11178" s="10" t="s">
        <v>6322</v>
      </c>
      <c r="E11178" s="10" t="s">
        <v>6323</v>
      </c>
      <c r="F11178" s="10" t="s">
        <v>4423</v>
      </c>
      <c r="G11178" s="10" t="s">
        <v>6317</v>
      </c>
      <c r="H11178" s="11">
        <v>43502</v>
      </c>
      <c r="I11178" s="10">
        <v>2018</v>
      </c>
      <c r="J11178" s="10" t="s">
        <v>6323</v>
      </c>
      <c r="K11178" s="10">
        <v>242</v>
      </c>
      <c r="L11178" s="10" t="s">
        <v>48542</v>
      </c>
      <c r="M11178" s="10">
        <v>1</v>
      </c>
      <c r="N11178" s="10"/>
      <c r="O11178" s="10"/>
      <c r="P11178" s="10" t="s">
        <v>48543</v>
      </c>
      <c r="Q11178" s="10" t="s">
        <v>48544</v>
      </c>
      <c r="R11178" s="10" t="s">
        <v>9026</v>
      </c>
      <c r="S11178" s="10" t="s">
        <v>53</v>
      </c>
      <c r="T11178" s="10" t="s">
        <v>54</v>
      </c>
    </row>
    <row r="11179" spans="1:20" ht="14.5" x14ac:dyDescent="0.35">
      <c r="A11179" s="10" t="s">
        <v>48545</v>
      </c>
      <c r="B11179" s="10" t="str">
        <f>"9781119508182"</f>
        <v>9781119508182</v>
      </c>
      <c r="C11179" s="10" t="str">
        <f>"9781119508168"</f>
        <v>9781119508168</v>
      </c>
      <c r="D11179" s="10" t="s">
        <v>6322</v>
      </c>
      <c r="E11179" s="10" t="s">
        <v>6323</v>
      </c>
      <c r="F11179" s="10" t="s">
        <v>4423</v>
      </c>
      <c r="G11179" s="10" t="s">
        <v>6317</v>
      </c>
      <c r="H11179" s="11">
        <v>43445</v>
      </c>
      <c r="I11179" s="10">
        <v>2019</v>
      </c>
      <c r="J11179" s="10" t="s">
        <v>6323</v>
      </c>
      <c r="K11179" s="10">
        <v>249</v>
      </c>
      <c r="L11179" s="10" t="s">
        <v>48546</v>
      </c>
      <c r="M11179" s="10">
        <v>1</v>
      </c>
      <c r="N11179" s="10"/>
      <c r="O11179" s="10"/>
      <c r="P11179" s="10" t="s">
        <v>48547</v>
      </c>
      <c r="Q11179" s="10">
        <v>650.1019</v>
      </c>
      <c r="R11179" s="10" t="s">
        <v>48548</v>
      </c>
      <c r="S11179" s="10" t="s">
        <v>53</v>
      </c>
      <c r="T11179" s="10" t="s">
        <v>6660</v>
      </c>
    </row>
    <row r="11180" spans="1:20" ht="14.5" x14ac:dyDescent="0.35">
      <c r="A11180" s="10" t="s">
        <v>48549</v>
      </c>
      <c r="B11180" s="10" t="str">
        <f>"9783732904334"</f>
        <v>9783732904334</v>
      </c>
      <c r="C11180" s="10" t="str">
        <f>"9783732995691"</f>
        <v>9783732995691</v>
      </c>
      <c r="D11180" s="10" t="s">
        <v>27189</v>
      </c>
      <c r="E11180" s="10" t="s">
        <v>33245</v>
      </c>
      <c r="F11180" s="10" t="s">
        <v>2925</v>
      </c>
      <c r="G11180" s="10" t="s">
        <v>9998</v>
      </c>
      <c r="H11180" s="11">
        <v>43651</v>
      </c>
      <c r="I11180" s="10">
        <v>2018</v>
      </c>
      <c r="J11180" s="10" t="s">
        <v>33245</v>
      </c>
      <c r="K11180" s="10">
        <v>519</v>
      </c>
      <c r="L11180" s="10" t="s">
        <v>48550</v>
      </c>
      <c r="M11180" s="10"/>
      <c r="N11180" s="10" t="s">
        <v>48551</v>
      </c>
      <c r="O11180" s="10">
        <v>4</v>
      </c>
      <c r="P11180" s="10" t="s">
        <v>48552</v>
      </c>
      <c r="Q11180" s="10"/>
      <c r="R11180" s="10" t="s">
        <v>48553</v>
      </c>
      <c r="S11180" s="10" t="s">
        <v>53</v>
      </c>
      <c r="T11180" s="10" t="s">
        <v>6363</v>
      </c>
    </row>
    <row r="11181" spans="1:20" ht="14.5" x14ac:dyDescent="0.35">
      <c r="A11181" s="10" t="s">
        <v>48554</v>
      </c>
      <c r="B11181" s="10" t="str">
        <f>""</f>
        <v/>
      </c>
      <c r="C11181" s="10" t="str">
        <f>"9782808014427"</f>
        <v>9782808014427</v>
      </c>
      <c r="D11181" s="10" t="s">
        <v>29172</v>
      </c>
      <c r="E11181" s="10" t="s">
        <v>29173</v>
      </c>
      <c r="F11181" s="10" t="s">
        <v>29181</v>
      </c>
      <c r="G11181" s="10" t="s">
        <v>28737</v>
      </c>
      <c r="H11181" s="11">
        <v>43448</v>
      </c>
      <c r="I11181" s="10">
        <v>2018</v>
      </c>
      <c r="J11181" s="10" t="s">
        <v>29175</v>
      </c>
      <c r="K11181" s="10">
        <v>64</v>
      </c>
      <c r="L11181" s="10" t="s">
        <v>48555</v>
      </c>
      <c r="M11181" s="10">
        <v>1</v>
      </c>
      <c r="N11181" s="10" t="s">
        <v>29177</v>
      </c>
      <c r="O11181" s="10"/>
      <c r="P11181" s="10"/>
      <c r="Q11181" s="10"/>
      <c r="R11181" s="10" t="s">
        <v>44139</v>
      </c>
      <c r="S11181" s="10" t="s">
        <v>5404</v>
      </c>
      <c r="T11181" s="10" t="s">
        <v>29264</v>
      </c>
    </row>
    <row r="11182" spans="1:20" ht="14.5" x14ac:dyDescent="0.35">
      <c r="A11182" s="10" t="s">
        <v>48556</v>
      </c>
      <c r="B11182" s="10" t="str">
        <f>""</f>
        <v/>
      </c>
      <c r="C11182" s="10" t="str">
        <f>"9782808014564"</f>
        <v>9782808014564</v>
      </c>
      <c r="D11182" s="10" t="s">
        <v>29172</v>
      </c>
      <c r="E11182" s="10" t="s">
        <v>29173</v>
      </c>
      <c r="F11182" s="10" t="s">
        <v>29181</v>
      </c>
      <c r="G11182" s="10" t="s">
        <v>28737</v>
      </c>
      <c r="H11182" s="11">
        <v>43448</v>
      </c>
      <c r="I11182" s="10">
        <v>2018</v>
      </c>
      <c r="J11182" s="10" t="s">
        <v>29175</v>
      </c>
      <c r="K11182" s="10">
        <v>52</v>
      </c>
      <c r="L11182" s="10" t="s">
        <v>48557</v>
      </c>
      <c r="M11182" s="10">
        <v>1</v>
      </c>
      <c r="N11182" s="10" t="s">
        <v>29177</v>
      </c>
      <c r="O11182" s="10"/>
      <c r="P11182" s="10"/>
      <c r="Q11182" s="10"/>
      <c r="R11182" s="10" t="s">
        <v>44139</v>
      </c>
      <c r="S11182" s="10" t="s">
        <v>5404</v>
      </c>
      <c r="T11182" s="10" t="s">
        <v>29264</v>
      </c>
    </row>
    <row r="11183" spans="1:20" ht="14.5" x14ac:dyDescent="0.35">
      <c r="A11183" s="10" t="s">
        <v>48558</v>
      </c>
      <c r="B11183" s="10" t="str">
        <f>""</f>
        <v/>
      </c>
      <c r="C11183" s="10" t="str">
        <f>"9782808014809"</f>
        <v>9782808014809</v>
      </c>
      <c r="D11183" s="10" t="s">
        <v>29172</v>
      </c>
      <c r="E11183" s="10" t="s">
        <v>29173</v>
      </c>
      <c r="F11183" s="10" t="s">
        <v>29181</v>
      </c>
      <c r="G11183" s="10" t="s">
        <v>28737</v>
      </c>
      <c r="H11183" s="11">
        <v>43448</v>
      </c>
      <c r="I11183" s="10">
        <v>2018</v>
      </c>
      <c r="J11183" s="10" t="s">
        <v>29175</v>
      </c>
      <c r="K11183" s="10">
        <v>56</v>
      </c>
      <c r="L11183" s="10" t="s">
        <v>48559</v>
      </c>
      <c r="M11183" s="10">
        <v>1</v>
      </c>
      <c r="N11183" s="10" t="s">
        <v>29177</v>
      </c>
      <c r="O11183" s="10"/>
      <c r="P11183" s="10"/>
      <c r="Q11183" s="10"/>
      <c r="R11183" s="10" t="s">
        <v>48560</v>
      </c>
      <c r="S11183" s="10" t="s">
        <v>5404</v>
      </c>
      <c r="T11183" s="10" t="s">
        <v>29264</v>
      </c>
    </row>
    <row r="11184" spans="1:20" ht="14.5" x14ac:dyDescent="0.35">
      <c r="A11184" s="10" t="s">
        <v>48561</v>
      </c>
      <c r="B11184" s="10" t="str">
        <f>"9789004388895"</f>
        <v>9789004388895</v>
      </c>
      <c r="C11184" s="10" t="str">
        <f>"9789004388901"</f>
        <v>9789004388901</v>
      </c>
      <c r="D11184" s="10" t="s">
        <v>8564</v>
      </c>
      <c r="E11184" s="10" t="s">
        <v>8565</v>
      </c>
      <c r="F11184" s="10" t="s">
        <v>1420</v>
      </c>
      <c r="G11184" s="10" t="s">
        <v>6317</v>
      </c>
      <c r="H11184" s="11">
        <v>43384</v>
      </c>
      <c r="I11184" s="10">
        <v>2018</v>
      </c>
      <c r="J11184" s="10" t="s">
        <v>33259</v>
      </c>
      <c r="K11184" s="10">
        <v>257</v>
      </c>
      <c r="L11184" s="10" t="s">
        <v>45766</v>
      </c>
      <c r="M11184" s="10">
        <v>1</v>
      </c>
      <c r="N11184" s="10"/>
      <c r="O11184" s="10"/>
      <c r="P11184" s="10"/>
      <c r="Q11184" s="10"/>
      <c r="R11184" s="10" t="s">
        <v>48562</v>
      </c>
      <c r="S11184" s="10" t="s">
        <v>53</v>
      </c>
      <c r="T11184" s="10" t="s">
        <v>54</v>
      </c>
    </row>
    <row r="11185" spans="1:20" ht="14.5" x14ac:dyDescent="0.35">
      <c r="A11185" s="10" t="s">
        <v>48563</v>
      </c>
      <c r="B11185" s="10" t="str">
        <f>"9789004388185"</f>
        <v>9789004388185</v>
      </c>
      <c r="C11185" s="10" t="str">
        <f>"9789004388192"</f>
        <v>9789004388192</v>
      </c>
      <c r="D11185" s="10" t="s">
        <v>8564</v>
      </c>
      <c r="E11185" s="10" t="s">
        <v>8565</v>
      </c>
      <c r="F11185" s="10" t="s">
        <v>1420</v>
      </c>
      <c r="G11185" s="10" t="s">
        <v>6317</v>
      </c>
      <c r="H11185" s="11">
        <v>43363</v>
      </c>
      <c r="I11185" s="10">
        <v>2018</v>
      </c>
      <c r="J11185" s="10" t="s">
        <v>33259</v>
      </c>
      <c r="K11185" s="10">
        <v>202</v>
      </c>
      <c r="L11185" s="10" t="s">
        <v>48564</v>
      </c>
      <c r="M11185" s="10">
        <v>1</v>
      </c>
      <c r="N11185" s="10" t="s">
        <v>33332</v>
      </c>
      <c r="O11185" s="10">
        <v>18</v>
      </c>
      <c r="P11185" s="10"/>
      <c r="Q11185" s="10"/>
      <c r="R11185" s="10"/>
      <c r="S11185" s="10" t="s">
        <v>53</v>
      </c>
      <c r="T11185" s="10" t="s">
        <v>54</v>
      </c>
    </row>
    <row r="11186" spans="1:20" ht="14.5" x14ac:dyDescent="0.35">
      <c r="A11186" s="10" t="s">
        <v>48565</v>
      </c>
      <c r="B11186" s="10" t="str">
        <f>"9789004391628"</f>
        <v>9789004391628</v>
      </c>
      <c r="C11186" s="10" t="str">
        <f>"9789004391635"</f>
        <v>9789004391635</v>
      </c>
      <c r="D11186" s="10" t="s">
        <v>8564</v>
      </c>
      <c r="E11186" s="10" t="s">
        <v>8565</v>
      </c>
      <c r="F11186" s="10" t="s">
        <v>1420</v>
      </c>
      <c r="G11186" s="10" t="s">
        <v>6317</v>
      </c>
      <c r="H11186" s="11">
        <v>43433</v>
      </c>
      <c r="I11186" s="10">
        <v>2019</v>
      </c>
      <c r="J11186" s="10" t="s">
        <v>33259</v>
      </c>
      <c r="K11186" s="10">
        <v>252</v>
      </c>
      <c r="L11186" s="10" t="s">
        <v>48566</v>
      </c>
      <c r="M11186" s="10">
        <v>1</v>
      </c>
      <c r="N11186" s="10" t="s">
        <v>33291</v>
      </c>
      <c r="O11186" s="10">
        <v>33</v>
      </c>
      <c r="P11186" s="10"/>
      <c r="Q11186" s="10"/>
      <c r="R11186" s="10" t="s">
        <v>48567</v>
      </c>
      <c r="S11186" s="10" t="s">
        <v>53</v>
      </c>
      <c r="T11186" s="10" t="s">
        <v>54</v>
      </c>
    </row>
    <row r="11187" spans="1:20" ht="14.5" x14ac:dyDescent="0.35">
      <c r="A11187" s="10" t="s">
        <v>48568</v>
      </c>
      <c r="B11187" s="10" t="str">
        <f>"9789004391406"</f>
        <v>9789004391406</v>
      </c>
      <c r="C11187" s="10" t="str">
        <f>"9789004391413"</f>
        <v>9789004391413</v>
      </c>
      <c r="D11187" s="10" t="s">
        <v>8564</v>
      </c>
      <c r="E11187" s="10" t="s">
        <v>8565</v>
      </c>
      <c r="F11187" s="10" t="s">
        <v>1420</v>
      </c>
      <c r="G11187" s="10" t="s">
        <v>6317</v>
      </c>
      <c r="H11187" s="11">
        <v>43405</v>
      </c>
      <c r="I11187" s="10">
        <v>2019</v>
      </c>
      <c r="J11187" s="10" t="s">
        <v>33259</v>
      </c>
      <c r="K11187" s="10">
        <v>249</v>
      </c>
      <c r="L11187" s="10" t="s">
        <v>48569</v>
      </c>
      <c r="M11187" s="10">
        <v>1</v>
      </c>
      <c r="N11187" s="10" t="s">
        <v>43647</v>
      </c>
      <c r="O11187" s="10">
        <v>2</v>
      </c>
      <c r="P11187" s="10"/>
      <c r="Q11187" s="10"/>
      <c r="R11187" s="10" t="s">
        <v>48570</v>
      </c>
      <c r="S11187" s="10" t="s">
        <v>53</v>
      </c>
      <c r="T11187" s="10" t="s">
        <v>54</v>
      </c>
    </row>
    <row r="11188" spans="1:20" ht="14.5" x14ac:dyDescent="0.35">
      <c r="A11188" s="10" t="s">
        <v>48571</v>
      </c>
      <c r="B11188" s="10" t="str">
        <f>"9789004389564"</f>
        <v>9789004389564</v>
      </c>
      <c r="C11188" s="10" t="str">
        <f>"9789004389571"</f>
        <v>9789004389571</v>
      </c>
      <c r="D11188" s="10" t="s">
        <v>8564</v>
      </c>
      <c r="E11188" s="10" t="s">
        <v>8565</v>
      </c>
      <c r="F11188" s="10" t="s">
        <v>1420</v>
      </c>
      <c r="G11188" s="10" t="s">
        <v>6317</v>
      </c>
      <c r="H11188" s="11">
        <v>43440</v>
      </c>
      <c r="I11188" s="10">
        <v>2019</v>
      </c>
      <c r="J11188" s="10" t="s">
        <v>8565</v>
      </c>
      <c r="K11188" s="10">
        <v>275</v>
      </c>
      <c r="L11188" s="10" t="s">
        <v>48572</v>
      </c>
      <c r="M11188" s="10">
        <v>1</v>
      </c>
      <c r="N11188" s="10" t="s">
        <v>33751</v>
      </c>
      <c r="O11188" s="10">
        <v>62</v>
      </c>
      <c r="P11188" s="10" t="s">
        <v>48573</v>
      </c>
      <c r="Q11188" s="10"/>
      <c r="R11188" s="10" t="s">
        <v>48574</v>
      </c>
      <c r="S11188" s="10" t="s">
        <v>53</v>
      </c>
      <c r="T11188" s="10" t="s">
        <v>6384</v>
      </c>
    </row>
    <row r="11189" spans="1:20" ht="14.5" x14ac:dyDescent="0.35">
      <c r="A11189" s="10" t="s">
        <v>48575</v>
      </c>
      <c r="B11189" s="10" t="str">
        <f>"9789004387706"</f>
        <v>9789004387706</v>
      </c>
      <c r="C11189" s="10" t="str">
        <f>"9789004387720"</f>
        <v>9789004387720</v>
      </c>
      <c r="D11189" s="10" t="s">
        <v>8564</v>
      </c>
      <c r="E11189" s="10" t="s">
        <v>8565</v>
      </c>
      <c r="F11189" s="10" t="s">
        <v>1420</v>
      </c>
      <c r="G11189" s="10" t="s">
        <v>6317</v>
      </c>
      <c r="H11189" s="11">
        <v>43384</v>
      </c>
      <c r="I11189" s="10">
        <v>2019</v>
      </c>
      <c r="J11189" s="10" t="s">
        <v>33259</v>
      </c>
      <c r="K11189" s="10">
        <v>157</v>
      </c>
      <c r="L11189" s="10" t="s">
        <v>48576</v>
      </c>
      <c r="M11189" s="10">
        <v>1</v>
      </c>
      <c r="N11189" s="10" t="s">
        <v>33408</v>
      </c>
      <c r="O11189" s="10">
        <v>11</v>
      </c>
      <c r="P11189" s="10"/>
      <c r="Q11189" s="10" t="s">
        <v>9954</v>
      </c>
      <c r="R11189" s="10" t="s">
        <v>48577</v>
      </c>
      <c r="S11189" s="10" t="s">
        <v>53</v>
      </c>
      <c r="T11189" s="10" t="s">
        <v>54</v>
      </c>
    </row>
    <row r="11190" spans="1:20" ht="14.5" x14ac:dyDescent="0.35">
      <c r="A11190" s="10" t="s">
        <v>48578</v>
      </c>
      <c r="B11190" s="10" t="str">
        <f>"9789004376144"</f>
        <v>9789004376144</v>
      </c>
      <c r="C11190" s="10" t="str">
        <f>"9789004389472"</f>
        <v>9789004389472</v>
      </c>
      <c r="D11190" s="10" t="s">
        <v>8564</v>
      </c>
      <c r="E11190" s="10" t="s">
        <v>8565</v>
      </c>
      <c r="F11190" s="10" t="s">
        <v>1420</v>
      </c>
      <c r="G11190" s="10" t="s">
        <v>6317</v>
      </c>
      <c r="H11190" s="11">
        <v>43384</v>
      </c>
      <c r="I11190" s="10">
        <v>2019</v>
      </c>
      <c r="J11190" s="10" t="s">
        <v>33259</v>
      </c>
      <c r="K11190" s="10">
        <v>167</v>
      </c>
      <c r="L11190" s="10" t="s">
        <v>48579</v>
      </c>
      <c r="M11190" s="10">
        <v>1</v>
      </c>
      <c r="N11190" s="10" t="s">
        <v>44161</v>
      </c>
      <c r="O11190" s="10">
        <v>131</v>
      </c>
      <c r="P11190" s="10"/>
      <c r="Q11190" s="10" t="s">
        <v>13084</v>
      </c>
      <c r="R11190" s="10" t="s">
        <v>48580</v>
      </c>
      <c r="S11190" s="10" t="s">
        <v>53</v>
      </c>
      <c r="T11190" s="10" t="s">
        <v>54</v>
      </c>
    </row>
    <row r="11191" spans="1:20" ht="14.5" x14ac:dyDescent="0.35">
      <c r="A11191" s="10" t="s">
        <v>48581</v>
      </c>
      <c r="B11191" s="10" t="str">
        <f>"9789004388857"</f>
        <v>9789004388857</v>
      </c>
      <c r="C11191" s="10" t="str">
        <f>"9789004388864"</f>
        <v>9789004388864</v>
      </c>
      <c r="D11191" s="10" t="s">
        <v>8564</v>
      </c>
      <c r="E11191" s="10" t="s">
        <v>8565</v>
      </c>
      <c r="F11191" s="10" t="s">
        <v>1420</v>
      </c>
      <c r="G11191" s="10" t="s">
        <v>6317</v>
      </c>
      <c r="H11191" s="11">
        <v>43405</v>
      </c>
      <c r="I11191" s="10">
        <v>2019</v>
      </c>
      <c r="J11191" s="10" t="s">
        <v>33259</v>
      </c>
      <c r="K11191" s="10">
        <v>247</v>
      </c>
      <c r="L11191" s="10" t="s">
        <v>45766</v>
      </c>
      <c r="M11191" s="10">
        <v>1</v>
      </c>
      <c r="N11191" s="10"/>
      <c r="O11191" s="10"/>
      <c r="P11191" s="10" t="s">
        <v>48582</v>
      </c>
      <c r="Q11191" s="10">
        <v>370.71550000000002</v>
      </c>
      <c r="R11191" s="10" t="s">
        <v>48583</v>
      </c>
      <c r="S11191" s="10" t="s">
        <v>53</v>
      </c>
      <c r="T11191" s="10" t="s">
        <v>54</v>
      </c>
    </row>
    <row r="11192" spans="1:20" ht="14.5" x14ac:dyDescent="0.35">
      <c r="A11192" s="10" t="s">
        <v>48584</v>
      </c>
      <c r="B11192" s="10" t="str">
        <f>"9789004392564"</f>
        <v>9789004392564</v>
      </c>
      <c r="C11192" s="10" t="str">
        <f>"9789004392571"</f>
        <v>9789004392571</v>
      </c>
      <c r="D11192" s="10" t="s">
        <v>8564</v>
      </c>
      <c r="E11192" s="10" t="s">
        <v>8565</v>
      </c>
      <c r="F11192" s="10" t="s">
        <v>1420</v>
      </c>
      <c r="G11192" s="10" t="s">
        <v>6317</v>
      </c>
      <c r="H11192" s="11">
        <v>43398</v>
      </c>
      <c r="I11192" s="10">
        <v>2019</v>
      </c>
      <c r="J11192" s="10" t="s">
        <v>33259</v>
      </c>
      <c r="K11192" s="10">
        <v>145</v>
      </c>
      <c r="L11192" s="10" t="s">
        <v>48585</v>
      </c>
      <c r="M11192" s="10">
        <v>1</v>
      </c>
      <c r="N11192" s="10" t="s">
        <v>33291</v>
      </c>
      <c r="O11192" s="10">
        <v>34</v>
      </c>
      <c r="P11192" s="10"/>
      <c r="Q11192" s="10"/>
      <c r="R11192" s="10" t="s">
        <v>48586</v>
      </c>
      <c r="S11192" s="10" t="s">
        <v>53</v>
      </c>
      <c r="T11192" s="10" t="s">
        <v>54</v>
      </c>
    </row>
    <row r="11193" spans="1:20" ht="14.5" x14ac:dyDescent="0.35">
      <c r="A11193" s="10" t="s">
        <v>48587</v>
      </c>
      <c r="B11193" s="10" t="str">
        <f>"9789004387362"</f>
        <v>9789004387362</v>
      </c>
      <c r="C11193" s="10" t="str">
        <f>"9789004387379"</f>
        <v>9789004387379</v>
      </c>
      <c r="D11193" s="10" t="s">
        <v>8564</v>
      </c>
      <c r="E11193" s="10" t="s">
        <v>8565</v>
      </c>
      <c r="F11193" s="10" t="s">
        <v>1420</v>
      </c>
      <c r="G11193" s="10" t="s">
        <v>6317</v>
      </c>
      <c r="H11193" s="11">
        <v>43384</v>
      </c>
      <c r="I11193" s="10">
        <v>2018</v>
      </c>
      <c r="J11193" s="10" t="s">
        <v>33259</v>
      </c>
      <c r="K11193" s="10">
        <v>142</v>
      </c>
      <c r="L11193" s="10" t="s">
        <v>48588</v>
      </c>
      <c r="M11193" s="10">
        <v>1</v>
      </c>
      <c r="N11193" s="10" t="s">
        <v>48589</v>
      </c>
      <c r="O11193" s="10">
        <v>8</v>
      </c>
      <c r="P11193" s="10"/>
      <c r="Q11193" s="10">
        <v>428.24029000000002</v>
      </c>
      <c r="R11193" s="10" t="s">
        <v>48590</v>
      </c>
      <c r="S11193" s="10" t="s">
        <v>53</v>
      </c>
      <c r="T11193" s="10" t="s">
        <v>6616</v>
      </c>
    </row>
    <row r="11194" spans="1:20" ht="14.5" x14ac:dyDescent="0.35">
      <c r="A11194" s="10" t="s">
        <v>48591</v>
      </c>
      <c r="B11194" s="10" t="str">
        <f>"9789004388413"</f>
        <v>9789004388413</v>
      </c>
      <c r="C11194" s="10" t="str">
        <f>"9789004388420"</f>
        <v>9789004388420</v>
      </c>
      <c r="D11194" s="10" t="s">
        <v>8564</v>
      </c>
      <c r="E11194" s="10" t="s">
        <v>8565</v>
      </c>
      <c r="F11194" s="10" t="s">
        <v>1420</v>
      </c>
      <c r="G11194" s="10" t="s">
        <v>6317</v>
      </c>
      <c r="H11194" s="11">
        <v>43433</v>
      </c>
      <c r="I11194" s="10">
        <v>2019</v>
      </c>
      <c r="J11194" s="10" t="s">
        <v>33259</v>
      </c>
      <c r="K11194" s="10">
        <v>145</v>
      </c>
      <c r="L11194" s="10" t="s">
        <v>48592</v>
      </c>
      <c r="M11194" s="10">
        <v>1</v>
      </c>
      <c r="N11194" s="10" t="s">
        <v>33307</v>
      </c>
      <c r="O11194" s="10">
        <v>38</v>
      </c>
      <c r="P11194" s="10"/>
      <c r="Q11194" s="10"/>
      <c r="R11194" s="10" t="s">
        <v>48593</v>
      </c>
      <c r="S11194" s="10" t="s">
        <v>53</v>
      </c>
      <c r="T11194" s="10" t="s">
        <v>54</v>
      </c>
    </row>
    <row r="11195" spans="1:20" ht="14.5" x14ac:dyDescent="0.35">
      <c r="A11195" s="10" t="s">
        <v>48594</v>
      </c>
      <c r="B11195" s="10" t="str">
        <f>"9789004391499"</f>
        <v>9789004391499</v>
      </c>
      <c r="C11195" s="10" t="str">
        <f>"9789004391505"</f>
        <v>9789004391505</v>
      </c>
      <c r="D11195" s="10" t="s">
        <v>8564</v>
      </c>
      <c r="E11195" s="10" t="s">
        <v>8565</v>
      </c>
      <c r="F11195" s="10" t="s">
        <v>1420</v>
      </c>
      <c r="G11195" s="10" t="s">
        <v>6317</v>
      </c>
      <c r="H11195" s="11">
        <v>43433</v>
      </c>
      <c r="I11195" s="10">
        <v>2019</v>
      </c>
      <c r="J11195" s="10" t="s">
        <v>33259</v>
      </c>
      <c r="K11195" s="10">
        <v>167</v>
      </c>
      <c r="L11195" s="10" t="s">
        <v>48595</v>
      </c>
      <c r="M11195" s="10">
        <v>1</v>
      </c>
      <c r="N11195" s="10" t="s">
        <v>33307</v>
      </c>
      <c r="O11195" s="10">
        <v>40</v>
      </c>
      <c r="P11195" s="10"/>
      <c r="Q11195" s="10"/>
      <c r="R11195" s="10" t="s">
        <v>48596</v>
      </c>
      <c r="S11195" s="10" t="s">
        <v>53</v>
      </c>
      <c r="T11195" s="10" t="s">
        <v>54</v>
      </c>
    </row>
    <row r="11196" spans="1:20" ht="14.5" x14ac:dyDescent="0.35">
      <c r="A11196" s="10" t="s">
        <v>48597</v>
      </c>
      <c r="B11196" s="10" t="str">
        <f>"9789004389656"</f>
        <v>9789004389656</v>
      </c>
      <c r="C11196" s="10" t="str">
        <f>"9789004389663"</f>
        <v>9789004389663</v>
      </c>
      <c r="D11196" s="10" t="s">
        <v>8564</v>
      </c>
      <c r="E11196" s="10" t="s">
        <v>8565</v>
      </c>
      <c r="F11196" s="10" t="s">
        <v>1420</v>
      </c>
      <c r="G11196" s="10" t="s">
        <v>6317</v>
      </c>
      <c r="H11196" s="11">
        <v>43433</v>
      </c>
      <c r="I11196" s="10">
        <v>2019</v>
      </c>
      <c r="J11196" s="10" t="s">
        <v>33259</v>
      </c>
      <c r="K11196" s="10">
        <v>305</v>
      </c>
      <c r="L11196" s="10" t="s">
        <v>48598</v>
      </c>
      <c r="M11196" s="10">
        <v>1</v>
      </c>
      <c r="N11196" s="10" t="s">
        <v>33751</v>
      </c>
      <c r="O11196" s="10">
        <v>63</v>
      </c>
      <c r="P11196" s="10"/>
      <c r="Q11196" s="10"/>
      <c r="R11196" s="10" t="s">
        <v>48599</v>
      </c>
      <c r="S11196" s="10" t="s">
        <v>53</v>
      </c>
      <c r="T11196" s="10" t="s">
        <v>54</v>
      </c>
    </row>
    <row r="11197" spans="1:20" ht="14.5" x14ac:dyDescent="0.35">
      <c r="A11197" s="10" t="s">
        <v>48600</v>
      </c>
      <c r="B11197" s="10" t="str">
        <f>"9781943874729"</f>
        <v>9781943874729</v>
      </c>
      <c r="C11197" s="10" t="str">
        <f>"9781943874736"</f>
        <v>9781943874736</v>
      </c>
      <c r="D11197" s="10" t="s">
        <v>37580</v>
      </c>
      <c r="E11197" s="10" t="s">
        <v>37581</v>
      </c>
      <c r="F11197" s="10" t="s">
        <v>37623</v>
      </c>
      <c r="G11197" s="10" t="s">
        <v>6317</v>
      </c>
      <c r="H11197" s="11">
        <v>43460</v>
      </c>
      <c r="I11197" s="10">
        <v>2019</v>
      </c>
      <c r="J11197" s="10" t="s">
        <v>37581</v>
      </c>
      <c r="K11197" s="10">
        <v>304</v>
      </c>
      <c r="L11197" s="10" t="s">
        <v>44020</v>
      </c>
      <c r="M11197" s="10">
        <v>1</v>
      </c>
      <c r="N11197" s="10"/>
      <c r="O11197" s="10"/>
      <c r="P11197" s="10" t="s">
        <v>48601</v>
      </c>
      <c r="Q11197" s="10"/>
      <c r="R11197" s="10" t="s">
        <v>48602</v>
      </c>
      <c r="S11197" s="10" t="s">
        <v>53</v>
      </c>
      <c r="T11197" s="10" t="s">
        <v>54</v>
      </c>
    </row>
    <row r="11198" spans="1:20" ht="14.5" x14ac:dyDescent="0.35">
      <c r="A11198" s="10" t="s">
        <v>48603</v>
      </c>
      <c r="B11198" s="10" t="str">
        <f>"9781498583954"</f>
        <v>9781498583954</v>
      </c>
      <c r="C11198" s="10" t="str">
        <f>"9781498583961"</f>
        <v>9781498583961</v>
      </c>
      <c r="D11198" s="10" t="s">
        <v>9752</v>
      </c>
      <c r="E11198" s="10" t="s">
        <v>15182</v>
      </c>
      <c r="F11198" s="10" t="s">
        <v>9754</v>
      </c>
      <c r="G11198" s="10" t="s">
        <v>6317</v>
      </c>
      <c r="H11198" s="11">
        <v>43432</v>
      </c>
      <c r="I11198" s="10">
        <v>2019</v>
      </c>
      <c r="J11198" s="10" t="s">
        <v>15182</v>
      </c>
      <c r="K11198" s="10">
        <v>209</v>
      </c>
      <c r="L11198" s="10" t="s">
        <v>48604</v>
      </c>
      <c r="M11198" s="10">
        <v>1</v>
      </c>
      <c r="N11198" s="10"/>
      <c r="O11198" s="10"/>
      <c r="P11198" s="10" t="s">
        <v>48605</v>
      </c>
      <c r="Q11198" s="10">
        <v>372.6044</v>
      </c>
      <c r="R11198" s="10" t="s">
        <v>48606</v>
      </c>
      <c r="S11198" s="10" t="s">
        <v>53</v>
      </c>
      <c r="T11198" s="10" t="s">
        <v>8717</v>
      </c>
    </row>
    <row r="11199" spans="1:20" ht="14.5" x14ac:dyDescent="0.35">
      <c r="A11199" s="10" t="s">
        <v>48607</v>
      </c>
      <c r="B11199" s="10" t="str">
        <f>"9781787697782"</f>
        <v>9781787697782</v>
      </c>
      <c r="C11199" s="10" t="str">
        <f>"9781787697775"</f>
        <v>9781787697775</v>
      </c>
      <c r="D11199" s="10" t="s">
        <v>8699</v>
      </c>
      <c r="E11199" s="10" t="s">
        <v>8699</v>
      </c>
      <c r="F11199" s="10" t="s">
        <v>559</v>
      </c>
      <c r="G11199" s="10" t="s">
        <v>6352</v>
      </c>
      <c r="H11199" s="11">
        <v>43469</v>
      </c>
      <c r="I11199" s="10">
        <v>2019</v>
      </c>
      <c r="J11199" s="10" t="s">
        <v>8699</v>
      </c>
      <c r="K11199" s="10">
        <v>132</v>
      </c>
      <c r="L11199" s="10" t="s">
        <v>48608</v>
      </c>
      <c r="M11199" s="10">
        <v>1</v>
      </c>
      <c r="N11199" s="10" t="s">
        <v>48609</v>
      </c>
      <c r="O11199" s="10"/>
      <c r="P11199" s="10" t="s">
        <v>11270</v>
      </c>
      <c r="Q11199" s="10">
        <v>371.2</v>
      </c>
      <c r="R11199" s="10" t="s">
        <v>44825</v>
      </c>
      <c r="S11199" s="10" t="s">
        <v>53</v>
      </c>
      <c r="T11199" s="10" t="s">
        <v>54</v>
      </c>
    </row>
    <row r="11200" spans="1:20" ht="14.5" x14ac:dyDescent="0.35">
      <c r="A11200" s="10" t="s">
        <v>48610</v>
      </c>
      <c r="B11200" s="10" t="str">
        <f>"9781787560413"</f>
        <v>9781787560413</v>
      </c>
      <c r="C11200" s="10" t="str">
        <f>"9781787560406"</f>
        <v>9781787560406</v>
      </c>
      <c r="D11200" s="10" t="s">
        <v>8699</v>
      </c>
      <c r="E11200" s="10" t="s">
        <v>8699</v>
      </c>
      <c r="F11200" s="10" t="s">
        <v>559</v>
      </c>
      <c r="G11200" s="10" t="s">
        <v>6352</v>
      </c>
      <c r="H11200" s="11">
        <v>43472</v>
      </c>
      <c r="I11200" s="10">
        <v>2019</v>
      </c>
      <c r="J11200" s="10" t="s">
        <v>8699</v>
      </c>
      <c r="K11200" s="10">
        <v>247</v>
      </c>
      <c r="L11200" s="10" t="s">
        <v>46304</v>
      </c>
      <c r="M11200" s="10">
        <v>1</v>
      </c>
      <c r="N11200" s="10" t="s">
        <v>14550</v>
      </c>
      <c r="O11200" s="10">
        <v>34</v>
      </c>
      <c r="P11200" s="10" t="s">
        <v>48295</v>
      </c>
      <c r="Q11200" s="10">
        <v>371.9</v>
      </c>
      <c r="R11200" s="10" t="s">
        <v>48611</v>
      </c>
      <c r="S11200" s="10" t="s">
        <v>53</v>
      </c>
      <c r="T11200" s="10" t="s">
        <v>54</v>
      </c>
    </row>
    <row r="11201" spans="1:20" ht="14.5" x14ac:dyDescent="0.35">
      <c r="A11201" s="10" t="s">
        <v>48612</v>
      </c>
      <c r="B11201" s="10" t="str">
        <f>""</f>
        <v/>
      </c>
      <c r="C11201" s="10" t="str">
        <f>"9781338163315"</f>
        <v>9781338163315</v>
      </c>
      <c r="D11201" s="10" t="s">
        <v>47901</v>
      </c>
      <c r="E11201" s="10" t="s">
        <v>48613</v>
      </c>
      <c r="F11201" s="10" t="s">
        <v>13068</v>
      </c>
      <c r="G11201" s="10" t="s">
        <v>6317</v>
      </c>
      <c r="H11201" s="11">
        <v>42922</v>
      </c>
      <c r="I11201" s="10">
        <v>2017</v>
      </c>
      <c r="J11201" s="10" t="s">
        <v>47903</v>
      </c>
      <c r="K11201" s="10">
        <v>159</v>
      </c>
      <c r="L11201" s="10" t="s">
        <v>48614</v>
      </c>
      <c r="M11201" s="10">
        <v>1</v>
      </c>
      <c r="N11201" s="10"/>
      <c r="O11201" s="10"/>
      <c r="P11201" s="10" t="s">
        <v>48615</v>
      </c>
      <c r="Q11201" s="10">
        <v>370.19312000000002</v>
      </c>
      <c r="R11201" s="10" t="s">
        <v>48616</v>
      </c>
      <c r="S11201" s="10" t="s">
        <v>53</v>
      </c>
      <c r="T11201" s="10" t="s">
        <v>54</v>
      </c>
    </row>
    <row r="11202" spans="1:20" ht="14.5" x14ac:dyDescent="0.35">
      <c r="A11202" s="10" t="s">
        <v>48617</v>
      </c>
      <c r="B11202" s="10" t="str">
        <f>""</f>
        <v/>
      </c>
      <c r="C11202" s="10" t="str">
        <f>"9781338158304"</f>
        <v>9781338158304</v>
      </c>
      <c r="D11202" s="10" t="s">
        <v>47901</v>
      </c>
      <c r="E11202" s="10" t="s">
        <v>48613</v>
      </c>
      <c r="F11202" s="10" t="s">
        <v>13068</v>
      </c>
      <c r="G11202" s="10" t="s">
        <v>6317</v>
      </c>
      <c r="H11202" s="11">
        <v>42690</v>
      </c>
      <c r="I11202" s="10">
        <v>2016</v>
      </c>
      <c r="J11202" s="10" t="s">
        <v>47903</v>
      </c>
      <c r="K11202" s="10">
        <v>212</v>
      </c>
      <c r="L11202" s="10" t="s">
        <v>48618</v>
      </c>
      <c r="M11202" s="10">
        <v>2</v>
      </c>
      <c r="N11202" s="10"/>
      <c r="O11202" s="10"/>
      <c r="P11202" s="10" t="s">
        <v>48619</v>
      </c>
      <c r="Q11202" s="10">
        <v>372.4</v>
      </c>
      <c r="R11202" s="10" t="s">
        <v>48620</v>
      </c>
      <c r="S11202" s="10" t="s">
        <v>53</v>
      </c>
      <c r="T11202" s="10" t="s">
        <v>54</v>
      </c>
    </row>
    <row r="11203" spans="1:20" ht="14.5" x14ac:dyDescent="0.35">
      <c r="A11203" s="10" t="s">
        <v>48621</v>
      </c>
      <c r="B11203" s="10" t="str">
        <f>""</f>
        <v/>
      </c>
      <c r="C11203" s="10" t="str">
        <f>"9781338126891"</f>
        <v>9781338126891</v>
      </c>
      <c r="D11203" s="10" t="s">
        <v>47901</v>
      </c>
      <c r="E11203" s="10" t="s">
        <v>48613</v>
      </c>
      <c r="F11203" s="10" t="s">
        <v>13068</v>
      </c>
      <c r="G11203" s="10" t="s">
        <v>6317</v>
      </c>
      <c r="H11203" s="11">
        <v>43018</v>
      </c>
      <c r="I11203" s="10">
        <v>2017</v>
      </c>
      <c r="J11203" s="10" t="s">
        <v>47903</v>
      </c>
      <c r="K11203" s="10">
        <v>383</v>
      </c>
      <c r="L11203" s="10" t="s">
        <v>48622</v>
      </c>
      <c r="M11203" s="10">
        <v>1</v>
      </c>
      <c r="N11203" s="10"/>
      <c r="O11203" s="10"/>
      <c r="P11203" s="10" t="s">
        <v>48623</v>
      </c>
      <c r="Q11203" s="10">
        <v>372.4</v>
      </c>
      <c r="R11203" s="10" t="s">
        <v>48624</v>
      </c>
      <c r="S11203" s="10" t="s">
        <v>53</v>
      </c>
      <c r="T11203" s="10" t="s">
        <v>54</v>
      </c>
    </row>
    <row r="11204" spans="1:20" ht="14.5" x14ac:dyDescent="0.35">
      <c r="A11204" s="10" t="s">
        <v>48625</v>
      </c>
      <c r="B11204" s="10" t="str">
        <f>""</f>
        <v/>
      </c>
      <c r="C11204" s="10" t="str">
        <f>"9781338277296"</f>
        <v>9781338277296</v>
      </c>
      <c r="D11204" s="10" t="s">
        <v>47901</v>
      </c>
      <c r="E11204" s="10" t="s">
        <v>48613</v>
      </c>
      <c r="F11204" s="10" t="s">
        <v>13068</v>
      </c>
      <c r="G11204" s="10" t="s">
        <v>6317</v>
      </c>
      <c r="H11204" s="11">
        <v>43208</v>
      </c>
      <c r="I11204" s="10">
        <v>2018</v>
      </c>
      <c r="J11204" s="10" t="s">
        <v>47903</v>
      </c>
      <c r="K11204" s="10">
        <v>545</v>
      </c>
      <c r="L11204" s="10" t="s">
        <v>48626</v>
      </c>
      <c r="M11204" s="10">
        <v>1</v>
      </c>
      <c r="N11204" s="10"/>
      <c r="O11204" s="10"/>
      <c r="P11204" s="10" t="s">
        <v>48627</v>
      </c>
      <c r="Q11204" s="10">
        <v>372.4</v>
      </c>
      <c r="R11204" s="10" t="s">
        <v>48628</v>
      </c>
      <c r="S11204" s="10" t="s">
        <v>53</v>
      </c>
      <c r="T11204" s="10" t="s">
        <v>54</v>
      </c>
    </row>
    <row r="11205" spans="1:20" ht="14.5" x14ac:dyDescent="0.35">
      <c r="A11205" s="10" t="s">
        <v>48629</v>
      </c>
      <c r="B11205" s="10" t="str">
        <f>""</f>
        <v/>
      </c>
      <c r="C11205" s="10" t="str">
        <f>"9781338206562"</f>
        <v>9781338206562</v>
      </c>
      <c r="D11205" s="10" t="s">
        <v>47901</v>
      </c>
      <c r="E11205" s="10" t="s">
        <v>48613</v>
      </c>
      <c r="F11205" s="10" t="s">
        <v>13068</v>
      </c>
      <c r="G11205" s="10" t="s">
        <v>6317</v>
      </c>
      <c r="H11205" s="11">
        <v>42916</v>
      </c>
      <c r="I11205" s="10">
        <v>2017</v>
      </c>
      <c r="J11205" s="10" t="s">
        <v>47903</v>
      </c>
      <c r="K11205" s="10">
        <v>157</v>
      </c>
      <c r="L11205" s="10" t="s">
        <v>48630</v>
      </c>
      <c r="M11205" s="10">
        <v>1</v>
      </c>
      <c r="N11205" s="10"/>
      <c r="O11205" s="10"/>
      <c r="P11205" s="10" t="s">
        <v>48631</v>
      </c>
      <c r="Q11205" s="10">
        <v>372.62299999999999</v>
      </c>
      <c r="R11205" s="10" t="s">
        <v>48632</v>
      </c>
      <c r="S11205" s="10" t="s">
        <v>53</v>
      </c>
      <c r="T11205" s="10" t="s">
        <v>54</v>
      </c>
    </row>
    <row r="11206" spans="1:20" ht="14.5" x14ac:dyDescent="0.35">
      <c r="A11206" s="10" t="s">
        <v>48633</v>
      </c>
      <c r="B11206" s="10" t="str">
        <f>""</f>
        <v/>
      </c>
      <c r="C11206" s="10" t="str">
        <f>"9781789736786"</f>
        <v>9781789736786</v>
      </c>
      <c r="D11206" s="10" t="s">
        <v>8699</v>
      </c>
      <c r="E11206" s="10" t="s">
        <v>8699</v>
      </c>
      <c r="F11206" s="10" t="s">
        <v>41843</v>
      </c>
      <c r="G11206" s="10" t="s">
        <v>6352</v>
      </c>
      <c r="H11206" s="11">
        <v>43431</v>
      </c>
      <c r="I11206" s="10">
        <v>2018</v>
      </c>
      <c r="J11206" s="10" t="s">
        <v>8699</v>
      </c>
      <c r="K11206" s="10">
        <v>75</v>
      </c>
      <c r="L11206" s="10" t="s">
        <v>48634</v>
      </c>
      <c r="M11206" s="10">
        <v>1</v>
      </c>
      <c r="N11206" s="10" t="s">
        <v>48635</v>
      </c>
      <c r="O11206" s="10">
        <v>5</v>
      </c>
      <c r="P11206" s="10" t="s">
        <v>48636</v>
      </c>
      <c r="Q11206" s="10">
        <v>371.33</v>
      </c>
      <c r="R11206" s="10" t="s">
        <v>48637</v>
      </c>
      <c r="S11206" s="10" t="s">
        <v>53</v>
      </c>
      <c r="T11206" s="10" t="s">
        <v>54</v>
      </c>
    </row>
    <row r="11207" spans="1:20" ht="14.5" x14ac:dyDescent="0.35">
      <c r="A11207" s="10" t="s">
        <v>48638</v>
      </c>
      <c r="B11207" s="10" t="str">
        <f>""</f>
        <v/>
      </c>
      <c r="C11207" s="10" t="str">
        <f>"9781938113499"</f>
        <v>9781938113499</v>
      </c>
      <c r="D11207" s="10" t="s">
        <v>9533</v>
      </c>
      <c r="E11207" s="10" t="s">
        <v>5950</v>
      </c>
      <c r="F11207" s="10" t="s">
        <v>25348</v>
      </c>
      <c r="G11207" s="10" t="s">
        <v>6317</v>
      </c>
      <c r="H11207" s="11">
        <v>43613</v>
      </c>
      <c r="I11207" s="10">
        <v>2018</v>
      </c>
      <c r="J11207" s="10" t="s">
        <v>5950</v>
      </c>
      <c r="K11207" s="10">
        <v>174</v>
      </c>
      <c r="L11207" s="10" t="s">
        <v>48639</v>
      </c>
      <c r="M11207" s="10">
        <v>3</v>
      </c>
      <c r="N11207" s="10"/>
      <c r="O11207" s="10"/>
      <c r="P11207" s="10" t="s">
        <v>48640</v>
      </c>
      <c r="Q11207" s="10">
        <v>362.71</v>
      </c>
      <c r="R11207" s="10" t="s">
        <v>48641</v>
      </c>
      <c r="S11207" s="10" t="s">
        <v>53</v>
      </c>
      <c r="T11207" s="10" t="s">
        <v>6363</v>
      </c>
    </row>
    <row r="11208" spans="1:20" ht="14.5" x14ac:dyDescent="0.35">
      <c r="A11208" s="10" t="s">
        <v>48642</v>
      </c>
      <c r="B11208" s="10" t="str">
        <f>"9781475840148"</f>
        <v>9781475840148</v>
      </c>
      <c r="C11208" s="10" t="str">
        <f>"9781475840155"</f>
        <v>9781475840155</v>
      </c>
      <c r="D11208" s="10" t="s">
        <v>9752</v>
      </c>
      <c r="E11208" s="10" t="s">
        <v>15187</v>
      </c>
      <c r="F11208" s="10" t="s">
        <v>9754</v>
      </c>
      <c r="G11208" s="10" t="s">
        <v>6317</v>
      </c>
      <c r="H11208" s="11">
        <v>43455</v>
      </c>
      <c r="I11208" s="10">
        <v>2018</v>
      </c>
      <c r="J11208" s="10" t="s">
        <v>15187</v>
      </c>
      <c r="K11208" s="10">
        <v>171</v>
      </c>
      <c r="L11208" s="10" t="s">
        <v>41157</v>
      </c>
      <c r="M11208" s="10">
        <v>1</v>
      </c>
      <c r="N11208" s="10"/>
      <c r="O11208" s="10"/>
      <c r="P11208" s="10" t="s">
        <v>48643</v>
      </c>
      <c r="Q11208" s="10">
        <v>371.10199999999998</v>
      </c>
      <c r="R11208" s="10" t="s">
        <v>7101</v>
      </c>
      <c r="S11208" s="10" t="s">
        <v>53</v>
      </c>
      <c r="T11208" s="10" t="s">
        <v>54</v>
      </c>
    </row>
    <row r="11209" spans="1:20" ht="14.5" x14ac:dyDescent="0.35">
      <c r="A11209" s="10" t="s">
        <v>48644</v>
      </c>
      <c r="B11209" s="10" t="str">
        <f>"9789027201119"</f>
        <v>9789027201119</v>
      </c>
      <c r="C11209" s="10" t="str">
        <f>"9789027263803"</f>
        <v>9789027263803</v>
      </c>
      <c r="D11209" s="10" t="s">
        <v>17335</v>
      </c>
      <c r="E11209" s="10" t="s">
        <v>17336</v>
      </c>
      <c r="F11209" s="10" t="s">
        <v>17385</v>
      </c>
      <c r="G11209" s="10" t="s">
        <v>9233</v>
      </c>
      <c r="H11209" s="11">
        <v>43449</v>
      </c>
      <c r="I11209" s="10">
        <v>2018</v>
      </c>
      <c r="J11209" s="10" t="s">
        <v>17336</v>
      </c>
      <c r="K11209" s="10">
        <v>260</v>
      </c>
      <c r="L11209" s="10" t="s">
        <v>48645</v>
      </c>
      <c r="M11209" s="10">
        <v>1</v>
      </c>
      <c r="N11209" s="10" t="s">
        <v>48646</v>
      </c>
      <c r="O11209" s="10">
        <v>18</v>
      </c>
      <c r="P11209" s="10" t="s">
        <v>48647</v>
      </c>
      <c r="Q11209" s="10">
        <v>361.37</v>
      </c>
      <c r="R11209" s="10" t="s">
        <v>48648</v>
      </c>
      <c r="S11209" s="10" t="s">
        <v>53</v>
      </c>
      <c r="T11209" s="10" t="s">
        <v>6472</v>
      </c>
    </row>
    <row r="11210" spans="1:20" ht="14.5" x14ac:dyDescent="0.35">
      <c r="A11210" s="10" t="s">
        <v>48649</v>
      </c>
      <c r="B11210" s="10" t="str">
        <f>"9781947604513"</f>
        <v>9781947604513</v>
      </c>
      <c r="C11210" s="10" t="str">
        <f>"9781947604520"</f>
        <v>9781947604520</v>
      </c>
      <c r="D11210" s="10" t="s">
        <v>37580</v>
      </c>
      <c r="E11210" s="10" t="s">
        <v>37581</v>
      </c>
      <c r="F11210" s="10" t="s">
        <v>37623</v>
      </c>
      <c r="G11210" s="10" t="s">
        <v>6317</v>
      </c>
      <c r="H11210" s="11">
        <v>43465</v>
      </c>
      <c r="I11210" s="10">
        <v>2019</v>
      </c>
      <c r="J11210" s="10" t="s">
        <v>37581</v>
      </c>
      <c r="K11210" s="10">
        <v>240</v>
      </c>
      <c r="L11210" s="10" t="s">
        <v>44408</v>
      </c>
      <c r="M11210" s="10">
        <v>1</v>
      </c>
      <c r="N11210" s="10"/>
      <c r="O11210" s="10"/>
      <c r="P11210" s="10" t="s">
        <v>48650</v>
      </c>
      <c r="Q11210" s="10"/>
      <c r="R11210" s="10" t="s">
        <v>48651</v>
      </c>
      <c r="S11210" s="10" t="s">
        <v>53</v>
      </c>
      <c r="T11210" s="10" t="s">
        <v>54</v>
      </c>
    </row>
    <row r="11211" spans="1:20" ht="14.5" x14ac:dyDescent="0.35">
      <c r="A11211" s="10" t="s">
        <v>48652</v>
      </c>
      <c r="B11211" s="10" t="str">
        <f>""</f>
        <v/>
      </c>
      <c r="C11211" s="10" t="str">
        <f>"9788024641027"</f>
        <v>9788024641027</v>
      </c>
      <c r="D11211" s="10" t="s">
        <v>30935</v>
      </c>
      <c r="E11211" s="10" t="s">
        <v>30935</v>
      </c>
      <c r="F11211" s="10" t="s">
        <v>1796</v>
      </c>
      <c r="G11211" s="10" t="s">
        <v>30936</v>
      </c>
      <c r="H11211" s="11">
        <v>43405</v>
      </c>
      <c r="I11211" s="10">
        <v>2018</v>
      </c>
      <c r="J11211" s="10" t="s">
        <v>30935</v>
      </c>
      <c r="K11211" s="10">
        <v>198</v>
      </c>
      <c r="L11211" s="10" t="s">
        <v>48653</v>
      </c>
      <c r="M11211" s="10">
        <v>1</v>
      </c>
      <c r="N11211" s="10"/>
      <c r="O11211" s="10"/>
      <c r="P11211" s="10" t="s">
        <v>48654</v>
      </c>
      <c r="Q11211" s="10">
        <v>781.1</v>
      </c>
      <c r="R11211" s="10" t="s">
        <v>48655</v>
      </c>
      <c r="S11211" s="10" t="s">
        <v>4212</v>
      </c>
      <c r="T11211" s="10" t="s">
        <v>6384</v>
      </c>
    </row>
    <row r="11212" spans="1:20" ht="14.5" x14ac:dyDescent="0.35">
      <c r="A11212" s="10" t="s">
        <v>48656</v>
      </c>
      <c r="B11212" s="10" t="str">
        <f>"9781138723405"</f>
        <v>9781138723405</v>
      </c>
      <c r="C11212" s="10" t="str">
        <f>"9781351756815"</f>
        <v>9781351756815</v>
      </c>
      <c r="D11212" s="10" t="s">
        <v>6350</v>
      </c>
      <c r="E11212" s="10" t="s">
        <v>6351</v>
      </c>
      <c r="F11212" s="10" t="s">
        <v>3967</v>
      </c>
      <c r="G11212" s="10" t="s">
        <v>6352</v>
      </c>
      <c r="H11212" s="11">
        <v>37622</v>
      </c>
      <c r="I11212" s="10">
        <v>2003</v>
      </c>
      <c r="J11212" s="10" t="s">
        <v>6353</v>
      </c>
      <c r="K11212" s="10">
        <v>266</v>
      </c>
      <c r="L11212" s="10" t="s">
        <v>48657</v>
      </c>
      <c r="M11212" s="10">
        <v>1</v>
      </c>
      <c r="N11212" s="10"/>
      <c r="O11212" s="10"/>
      <c r="P11212" s="10" t="s">
        <v>48658</v>
      </c>
      <c r="Q11212" s="10" t="s">
        <v>48659</v>
      </c>
      <c r="R11212" s="10" t="s">
        <v>48660</v>
      </c>
      <c r="S11212" s="10" t="s">
        <v>53</v>
      </c>
      <c r="T11212" s="10" t="s">
        <v>12436</v>
      </c>
    </row>
    <row r="11213" spans="1:20" ht="14.5" x14ac:dyDescent="0.35">
      <c r="A11213" s="10" t="s">
        <v>48661</v>
      </c>
      <c r="B11213" s="10" t="str">
        <f>"9781948908184"</f>
        <v>9781948908184</v>
      </c>
      <c r="C11213" s="10" t="str">
        <f>"9781948908191"</f>
        <v>9781948908191</v>
      </c>
      <c r="D11213" s="10" t="s">
        <v>20156</v>
      </c>
      <c r="E11213" s="10" t="s">
        <v>40511</v>
      </c>
      <c r="F11213" s="10" t="s">
        <v>324</v>
      </c>
      <c r="G11213" s="10" t="s">
        <v>6317</v>
      </c>
      <c r="H11213" s="11">
        <v>43488</v>
      </c>
      <c r="I11213" s="10">
        <v>2019</v>
      </c>
      <c r="J11213" s="10" t="s">
        <v>40511</v>
      </c>
      <c r="K11213" s="10">
        <v>156</v>
      </c>
      <c r="L11213" s="10" t="s">
        <v>48662</v>
      </c>
      <c r="M11213" s="10">
        <v>1</v>
      </c>
      <c r="N11213" s="10"/>
      <c r="O11213" s="10"/>
      <c r="P11213" s="10" t="s">
        <v>46868</v>
      </c>
      <c r="Q11213" s="10" t="s">
        <v>48663</v>
      </c>
      <c r="R11213" s="10" t="s">
        <v>48664</v>
      </c>
      <c r="S11213" s="10" t="s">
        <v>53</v>
      </c>
      <c r="T11213" s="10" t="s">
        <v>54</v>
      </c>
    </row>
    <row r="11214" spans="1:20" ht="14.5" x14ac:dyDescent="0.35">
      <c r="A11214" s="10" t="s">
        <v>48665</v>
      </c>
      <c r="B11214" s="10" t="str">
        <f>""</f>
        <v/>
      </c>
      <c r="C11214" s="10" t="str">
        <f>"9782808014403"</f>
        <v>9782808014403</v>
      </c>
      <c r="D11214" s="10" t="s">
        <v>29172</v>
      </c>
      <c r="E11214" s="10" t="s">
        <v>29173</v>
      </c>
      <c r="F11214" s="10" t="s">
        <v>29181</v>
      </c>
      <c r="G11214" s="10" t="s">
        <v>28737</v>
      </c>
      <c r="H11214" s="11">
        <v>43453</v>
      </c>
      <c r="I11214" s="10">
        <v>2018</v>
      </c>
      <c r="J11214" s="10" t="s">
        <v>29175</v>
      </c>
      <c r="K11214" s="10">
        <v>62</v>
      </c>
      <c r="L11214" s="10" t="s">
        <v>48666</v>
      </c>
      <c r="M11214" s="10">
        <v>1</v>
      </c>
      <c r="N11214" s="10" t="s">
        <v>29177</v>
      </c>
      <c r="O11214" s="10"/>
      <c r="P11214" s="10"/>
      <c r="Q11214" s="10"/>
      <c r="R11214" s="10" t="s">
        <v>48667</v>
      </c>
      <c r="S11214" s="10" t="s">
        <v>5404</v>
      </c>
      <c r="T11214" s="10" t="s">
        <v>29264</v>
      </c>
    </row>
    <row r="11215" spans="1:20" ht="14.5" x14ac:dyDescent="0.35">
      <c r="A11215" s="10" t="s">
        <v>48668</v>
      </c>
      <c r="B11215" s="10" t="str">
        <f>"9781787546561"</f>
        <v>9781787546561</v>
      </c>
      <c r="C11215" s="10" t="str">
        <f>"9781787546578"</f>
        <v>9781787546578</v>
      </c>
      <c r="D11215" s="10" t="s">
        <v>8699</v>
      </c>
      <c r="E11215" s="10" t="s">
        <v>8699</v>
      </c>
      <c r="F11215" s="10" t="s">
        <v>559</v>
      </c>
      <c r="G11215" s="10" t="s">
        <v>6352</v>
      </c>
      <c r="H11215" s="11">
        <v>43483</v>
      </c>
      <c r="I11215" s="10">
        <v>2019</v>
      </c>
      <c r="J11215" s="10" t="s">
        <v>8699</v>
      </c>
      <c r="K11215" s="10">
        <v>313</v>
      </c>
      <c r="L11215" s="10" t="s">
        <v>48669</v>
      </c>
      <c r="M11215" s="10">
        <v>1</v>
      </c>
      <c r="N11215" s="10"/>
      <c r="O11215" s="10"/>
      <c r="P11215" s="10" t="s">
        <v>48670</v>
      </c>
      <c r="Q11215" s="10">
        <v>378.1</v>
      </c>
      <c r="R11215" s="10" t="s">
        <v>48671</v>
      </c>
      <c r="S11215" s="10" t="s">
        <v>53</v>
      </c>
      <c r="T11215" s="10" t="s">
        <v>54</v>
      </c>
    </row>
    <row r="11216" spans="1:20" ht="14.5" x14ac:dyDescent="0.35">
      <c r="A11216" s="10" t="s">
        <v>48672</v>
      </c>
      <c r="B11216" s="10" t="str">
        <f>"9781787148000"</f>
        <v>9781787148000</v>
      </c>
      <c r="C11216" s="10" t="str">
        <f>"9781787147997"</f>
        <v>9781787147997</v>
      </c>
      <c r="D11216" s="10" t="s">
        <v>8699</v>
      </c>
      <c r="E11216" s="10" t="s">
        <v>8699</v>
      </c>
      <c r="F11216" s="10" t="s">
        <v>559</v>
      </c>
      <c r="G11216" s="10" t="s">
        <v>6352</v>
      </c>
      <c r="H11216" s="11">
        <v>43479</v>
      </c>
      <c r="I11216" s="10">
        <v>2019</v>
      </c>
      <c r="J11216" s="10" t="s">
        <v>8699</v>
      </c>
      <c r="K11216" s="10">
        <v>228</v>
      </c>
      <c r="L11216" s="10" t="s">
        <v>48673</v>
      </c>
      <c r="M11216" s="10">
        <v>1</v>
      </c>
      <c r="N11216" s="10" t="s">
        <v>29541</v>
      </c>
      <c r="O11216" s="10">
        <v>15</v>
      </c>
      <c r="P11216" s="10" t="s">
        <v>48674</v>
      </c>
      <c r="Q11216" s="10" t="s">
        <v>48675</v>
      </c>
      <c r="R11216" s="10" t="s">
        <v>48676</v>
      </c>
      <c r="S11216" s="10" t="s">
        <v>53</v>
      </c>
      <c r="T11216" s="10" t="s">
        <v>6472</v>
      </c>
    </row>
    <row r="11217" spans="1:20" ht="14.5" x14ac:dyDescent="0.35">
      <c r="A11217" s="10" t="s">
        <v>48677</v>
      </c>
      <c r="B11217" s="10" t="str">
        <f>"9781119082552"</f>
        <v>9781119082552</v>
      </c>
      <c r="C11217" s="10" t="str">
        <f>"9781119082682"</f>
        <v>9781119082682</v>
      </c>
      <c r="D11217" s="10" t="s">
        <v>6322</v>
      </c>
      <c r="E11217" s="10" t="s">
        <v>6323</v>
      </c>
      <c r="F11217" s="10" t="s">
        <v>4423</v>
      </c>
      <c r="G11217" s="10" t="s">
        <v>6317</v>
      </c>
      <c r="H11217" s="11">
        <v>43543</v>
      </c>
      <c r="I11217" s="10">
        <v>2019</v>
      </c>
      <c r="J11217" s="10" t="s">
        <v>8436</v>
      </c>
      <c r="K11217" s="10">
        <v>716</v>
      </c>
      <c r="L11217" s="10" t="s">
        <v>48678</v>
      </c>
      <c r="M11217" s="10">
        <v>1</v>
      </c>
      <c r="N11217" s="10" t="s">
        <v>41092</v>
      </c>
      <c r="O11217" s="10"/>
      <c r="P11217" s="10"/>
      <c r="Q11217" s="10">
        <v>371.19</v>
      </c>
      <c r="R11217" s="10" t="s">
        <v>7275</v>
      </c>
      <c r="S11217" s="10" t="s">
        <v>53</v>
      </c>
      <c r="T11217" s="10" t="s">
        <v>54</v>
      </c>
    </row>
    <row r="11218" spans="1:20" ht="14.5" x14ac:dyDescent="0.35">
      <c r="A11218" s="10" t="s">
        <v>48679</v>
      </c>
      <c r="B11218" s="10" t="str">
        <f>"9781942876236"</f>
        <v>9781942876236</v>
      </c>
      <c r="C11218" s="10" t="str">
        <f>"9781942876403"</f>
        <v>9781942876403</v>
      </c>
      <c r="D11218" s="10" t="s">
        <v>24820</v>
      </c>
      <c r="E11218" s="10" t="s">
        <v>48680</v>
      </c>
      <c r="F11218" s="10" t="s">
        <v>748</v>
      </c>
      <c r="G11218" s="10" t="s">
        <v>24822</v>
      </c>
      <c r="H11218" s="11">
        <v>43220</v>
      </c>
      <c r="I11218" s="10">
        <v>2018</v>
      </c>
      <c r="J11218" s="10" t="s">
        <v>48680</v>
      </c>
      <c r="K11218" s="10">
        <v>220</v>
      </c>
      <c r="L11218" s="10" t="s">
        <v>48681</v>
      </c>
      <c r="M11218" s="10">
        <v>1</v>
      </c>
      <c r="N11218" s="10"/>
      <c r="O11218" s="10"/>
      <c r="P11218" s="10" t="s">
        <v>48682</v>
      </c>
      <c r="Q11218" s="10">
        <v>370.96710999999999</v>
      </c>
      <c r="R11218" s="10" t="s">
        <v>48683</v>
      </c>
      <c r="S11218" s="10" t="s">
        <v>53</v>
      </c>
      <c r="T11218" s="10" t="s">
        <v>54</v>
      </c>
    </row>
    <row r="11219" spans="1:20" ht="14.5" x14ac:dyDescent="0.35">
      <c r="A11219" s="10" t="s">
        <v>48684</v>
      </c>
      <c r="B11219" s="10" t="str">
        <f>"9780253039798"</f>
        <v>9780253039798</v>
      </c>
      <c r="C11219" s="10" t="str">
        <f>"9780253039811"</f>
        <v>9780253039811</v>
      </c>
      <c r="D11219" s="10" t="s">
        <v>6358</v>
      </c>
      <c r="E11219" s="10" t="s">
        <v>2455</v>
      </c>
      <c r="F11219" s="10" t="s">
        <v>3101</v>
      </c>
      <c r="G11219" s="10" t="s">
        <v>6317</v>
      </c>
      <c r="H11219" s="11">
        <v>43489</v>
      </c>
      <c r="I11219" s="10">
        <v>2019</v>
      </c>
      <c r="J11219" s="10" t="s">
        <v>2455</v>
      </c>
      <c r="K11219" s="10">
        <v>255</v>
      </c>
      <c r="L11219" s="10" t="s">
        <v>48685</v>
      </c>
      <c r="M11219" s="10">
        <v>1</v>
      </c>
      <c r="N11219" s="10" t="s">
        <v>48686</v>
      </c>
      <c r="O11219" s="10"/>
      <c r="P11219" s="10" t="s">
        <v>48687</v>
      </c>
      <c r="Q11219" s="10">
        <v>297.07100000000003</v>
      </c>
      <c r="R11219" s="10" t="s">
        <v>48688</v>
      </c>
      <c r="S11219" s="10" t="s">
        <v>53</v>
      </c>
      <c r="T11219" s="10" t="s">
        <v>8346</v>
      </c>
    </row>
    <row r="11220" spans="1:20" ht="14.5" x14ac:dyDescent="0.35">
      <c r="A11220" s="10" t="s">
        <v>48689</v>
      </c>
      <c r="B11220" s="10" t="str">
        <f>"9781620365205"</f>
        <v>9781620365205</v>
      </c>
      <c r="C11220" s="10" t="str">
        <f>"9781000975109"</f>
        <v>9781000975109</v>
      </c>
      <c r="D11220" s="10" t="s">
        <v>6350</v>
      </c>
      <c r="E11220" s="10" t="s">
        <v>6351</v>
      </c>
      <c r="F11220" s="10" t="s">
        <v>748</v>
      </c>
      <c r="G11220" s="10" t="s">
        <v>6352</v>
      </c>
      <c r="H11220" s="11">
        <v>43425</v>
      </c>
      <c r="I11220" s="10">
        <v>2019</v>
      </c>
      <c r="J11220" s="10" t="s">
        <v>6351</v>
      </c>
      <c r="K11220" s="10">
        <v>248</v>
      </c>
      <c r="L11220" s="10" t="s">
        <v>48690</v>
      </c>
      <c r="M11220" s="10">
        <v>1</v>
      </c>
      <c r="N11220" s="10"/>
      <c r="O11220" s="10"/>
      <c r="P11220" s="10"/>
      <c r="Q11220" s="10"/>
      <c r="R11220" s="10" t="s">
        <v>7970</v>
      </c>
      <c r="S11220" s="10" t="s">
        <v>53</v>
      </c>
      <c r="T11220" s="10" t="s">
        <v>54</v>
      </c>
    </row>
    <row r="11221" spans="1:20" ht="14.5" x14ac:dyDescent="0.35">
      <c r="A11221" s="10" t="s">
        <v>48691</v>
      </c>
      <c r="B11221" s="10" t="str">
        <f>"9781556203749"</f>
        <v>9781556203749</v>
      </c>
      <c r="C11221" s="10" t="str">
        <f>"9781119535348"</f>
        <v>9781119535348</v>
      </c>
      <c r="D11221" s="10" t="s">
        <v>6322</v>
      </c>
      <c r="E11221" s="10" t="s">
        <v>2011</v>
      </c>
      <c r="F11221" s="10" t="s">
        <v>4423</v>
      </c>
      <c r="G11221" s="10" t="s">
        <v>6317</v>
      </c>
      <c r="H11221" s="11">
        <v>43435</v>
      </c>
      <c r="I11221" s="10">
        <v>2019</v>
      </c>
      <c r="J11221" s="10" t="s">
        <v>2011</v>
      </c>
      <c r="K11221" s="10">
        <v>342</v>
      </c>
      <c r="L11221" s="10" t="s">
        <v>48692</v>
      </c>
      <c r="M11221" s="10">
        <v>1</v>
      </c>
      <c r="N11221" s="10"/>
      <c r="O11221" s="10"/>
      <c r="P11221" s="10" t="s">
        <v>48693</v>
      </c>
      <c r="Q11221" s="10"/>
      <c r="R11221" s="10" t="s">
        <v>48694</v>
      </c>
      <c r="S11221" s="10" t="s">
        <v>53</v>
      </c>
      <c r="T11221" s="10" t="s">
        <v>8625</v>
      </c>
    </row>
    <row r="11222" spans="1:20" ht="14.5" x14ac:dyDescent="0.35">
      <c r="A11222" s="10" t="s">
        <v>48695</v>
      </c>
      <c r="B11222" s="10" t="str">
        <f>""</f>
        <v/>
      </c>
      <c r="C11222" s="10" t="str">
        <f>"9782808015059"</f>
        <v>9782808015059</v>
      </c>
      <c r="D11222" s="10" t="s">
        <v>29172</v>
      </c>
      <c r="E11222" s="10" t="s">
        <v>29173</v>
      </c>
      <c r="F11222" s="10" t="s">
        <v>29181</v>
      </c>
      <c r="G11222" s="10" t="s">
        <v>28737</v>
      </c>
      <c r="H11222" s="11">
        <v>43473</v>
      </c>
      <c r="I11222" s="10">
        <v>2019</v>
      </c>
      <c r="J11222" s="10" t="s">
        <v>29175</v>
      </c>
      <c r="K11222" s="10">
        <v>58</v>
      </c>
      <c r="L11222" s="10" t="s">
        <v>48559</v>
      </c>
      <c r="M11222" s="10">
        <v>1</v>
      </c>
      <c r="N11222" s="10" t="s">
        <v>29177</v>
      </c>
      <c r="O11222" s="10"/>
      <c r="P11222" s="10"/>
      <c r="Q11222" s="10"/>
      <c r="R11222" s="10" t="s">
        <v>44139</v>
      </c>
      <c r="S11222" s="10" t="s">
        <v>5404</v>
      </c>
      <c r="T11222" s="10" t="s">
        <v>29264</v>
      </c>
    </row>
    <row r="11223" spans="1:20" ht="14.5" x14ac:dyDescent="0.35">
      <c r="A11223" s="10" t="s">
        <v>48696</v>
      </c>
      <c r="B11223" s="10" t="str">
        <f>""</f>
        <v/>
      </c>
      <c r="C11223" s="10" t="str">
        <f>"9782808015110"</f>
        <v>9782808015110</v>
      </c>
      <c r="D11223" s="10" t="s">
        <v>29172</v>
      </c>
      <c r="E11223" s="10" t="s">
        <v>29173</v>
      </c>
      <c r="F11223" s="10" t="s">
        <v>29181</v>
      </c>
      <c r="G11223" s="10" t="s">
        <v>28737</v>
      </c>
      <c r="H11223" s="11">
        <v>43473</v>
      </c>
      <c r="I11223" s="10">
        <v>2019</v>
      </c>
      <c r="J11223" s="10" t="s">
        <v>29175</v>
      </c>
      <c r="K11223" s="10">
        <v>70</v>
      </c>
      <c r="L11223" s="10" t="s">
        <v>48697</v>
      </c>
      <c r="M11223" s="10">
        <v>1</v>
      </c>
      <c r="N11223" s="10" t="s">
        <v>29177</v>
      </c>
      <c r="O11223" s="10"/>
      <c r="P11223" s="10"/>
      <c r="Q11223" s="10"/>
      <c r="R11223" s="10" t="s">
        <v>48698</v>
      </c>
      <c r="S11223" s="10" t="s">
        <v>5404</v>
      </c>
      <c r="T11223" s="10" t="s">
        <v>29264</v>
      </c>
    </row>
    <row r="11224" spans="1:20" ht="14.5" x14ac:dyDescent="0.35">
      <c r="A11224" s="10" t="s">
        <v>48699</v>
      </c>
      <c r="B11224" s="10" t="str">
        <f>"9781472951540"</f>
        <v>9781472951540</v>
      </c>
      <c r="C11224" s="10" t="str">
        <f>"9781472951564"</f>
        <v>9781472951564</v>
      </c>
      <c r="D11224" s="10" t="s">
        <v>13959</v>
      </c>
      <c r="E11224" s="10" t="s">
        <v>13960</v>
      </c>
      <c r="F11224" s="10" t="s">
        <v>139</v>
      </c>
      <c r="G11224" s="10" t="s">
        <v>6352</v>
      </c>
      <c r="H11224" s="11">
        <v>43349</v>
      </c>
      <c r="I11224" s="10">
        <v>2018</v>
      </c>
      <c r="J11224" s="10" t="s">
        <v>16948</v>
      </c>
      <c r="K11224" s="10">
        <v>225</v>
      </c>
      <c r="L11224" s="10" t="s">
        <v>48700</v>
      </c>
      <c r="M11224" s="10">
        <v>1</v>
      </c>
      <c r="N11224" s="10"/>
      <c r="O11224" s="10"/>
      <c r="P11224" s="10" t="s">
        <v>48701</v>
      </c>
      <c r="Q11224" s="10">
        <v>372.37</v>
      </c>
      <c r="R11224" s="10" t="s">
        <v>48702</v>
      </c>
      <c r="S11224" s="10" t="s">
        <v>53</v>
      </c>
      <c r="T11224" s="10" t="s">
        <v>54</v>
      </c>
    </row>
    <row r="11225" spans="1:20" ht="14.5" x14ac:dyDescent="0.35">
      <c r="A11225" s="10" t="s">
        <v>48703</v>
      </c>
      <c r="B11225" s="10" t="str">
        <f>"9781138570085"</f>
        <v>9781138570085</v>
      </c>
      <c r="C11225" s="10" t="str">
        <f>"9781351336673"</f>
        <v>9781351336673</v>
      </c>
      <c r="D11225" s="10" t="s">
        <v>6350</v>
      </c>
      <c r="E11225" s="10" t="s">
        <v>6351</v>
      </c>
      <c r="F11225" s="10" t="s">
        <v>748</v>
      </c>
      <c r="G11225" s="10" t="s">
        <v>6352</v>
      </c>
      <c r="H11225" s="11">
        <v>43483</v>
      </c>
      <c r="I11225" s="10">
        <v>2019</v>
      </c>
      <c r="J11225" s="10" t="s">
        <v>6351</v>
      </c>
      <c r="K11225" s="10">
        <v>245</v>
      </c>
      <c r="L11225" s="10" t="s">
        <v>48704</v>
      </c>
      <c r="M11225" s="10">
        <v>1</v>
      </c>
      <c r="N11225" s="10"/>
      <c r="O11225" s="10"/>
      <c r="P11225" s="10" t="s">
        <v>48705</v>
      </c>
      <c r="Q11225" s="10">
        <v>371.92</v>
      </c>
      <c r="R11225" s="10" t="s">
        <v>6577</v>
      </c>
      <c r="S11225" s="10" t="s">
        <v>53</v>
      </c>
      <c r="T11225" s="10" t="s">
        <v>54</v>
      </c>
    </row>
    <row r="11226" spans="1:20" ht="14.5" x14ac:dyDescent="0.35">
      <c r="A11226" s="10" t="s">
        <v>48706</v>
      </c>
      <c r="B11226" s="10" t="str">
        <f>"9781138320680"</f>
        <v>9781138320680</v>
      </c>
      <c r="C11226" s="10" t="str">
        <f>"9780429841736"</f>
        <v>9780429841736</v>
      </c>
      <c r="D11226" s="10" t="s">
        <v>6350</v>
      </c>
      <c r="E11226" s="10" t="s">
        <v>6351</v>
      </c>
      <c r="F11226" s="10" t="s">
        <v>3967</v>
      </c>
      <c r="G11226" s="10" t="s">
        <v>6352</v>
      </c>
      <c r="H11226" s="11">
        <v>43474</v>
      </c>
      <c r="I11226" s="10">
        <v>2019</v>
      </c>
      <c r="J11226" s="10" t="s">
        <v>6353</v>
      </c>
      <c r="K11226" s="10">
        <v>322</v>
      </c>
      <c r="L11226" s="10" t="s">
        <v>48707</v>
      </c>
      <c r="M11226" s="10">
        <v>1</v>
      </c>
      <c r="N11226" s="10" t="s">
        <v>37434</v>
      </c>
      <c r="O11226" s="10"/>
      <c r="P11226" s="10" t="s">
        <v>48708</v>
      </c>
      <c r="Q11226" s="10">
        <v>428.00709999999998</v>
      </c>
      <c r="R11226" s="10" t="s">
        <v>48709</v>
      </c>
      <c r="S11226" s="10" t="s">
        <v>53</v>
      </c>
      <c r="T11226" s="10" t="s">
        <v>6616</v>
      </c>
    </row>
    <row r="11227" spans="1:20" ht="14.5" x14ac:dyDescent="0.35">
      <c r="A11227" s="10" t="s">
        <v>48710</v>
      </c>
      <c r="B11227" s="10" t="str">
        <f>"9781551383323"</f>
        <v>9781551383323</v>
      </c>
      <c r="C11227" s="10" t="str">
        <f>"9781551389332"</f>
        <v>9781551389332</v>
      </c>
      <c r="D11227" s="10" t="s">
        <v>45074</v>
      </c>
      <c r="E11227" s="10" t="s">
        <v>45075</v>
      </c>
      <c r="F11227" s="10" t="s">
        <v>901</v>
      </c>
      <c r="G11227" s="10" t="s">
        <v>9536</v>
      </c>
      <c r="H11227" s="11">
        <v>43431</v>
      </c>
      <c r="I11227" s="10">
        <v>2018</v>
      </c>
      <c r="J11227" s="10" t="s">
        <v>45075</v>
      </c>
      <c r="K11227" s="10">
        <v>142</v>
      </c>
      <c r="L11227" s="10" t="s">
        <v>48711</v>
      </c>
      <c r="M11227" s="10">
        <v>1</v>
      </c>
      <c r="N11227" s="10"/>
      <c r="O11227" s="10"/>
      <c r="P11227" s="10" t="s">
        <v>48712</v>
      </c>
      <c r="Q11227" s="10">
        <v>510.71</v>
      </c>
      <c r="R11227" s="10" t="s">
        <v>48713</v>
      </c>
      <c r="S11227" s="10" t="s">
        <v>53</v>
      </c>
      <c r="T11227" s="10" t="s">
        <v>389</v>
      </c>
    </row>
    <row r="11228" spans="1:20" ht="14.5" x14ac:dyDescent="0.35">
      <c r="A11228" s="10" t="s">
        <v>48714</v>
      </c>
      <c r="B11228" s="10" t="str">
        <f>"9781551383347"</f>
        <v>9781551383347</v>
      </c>
      <c r="C11228" s="10" t="str">
        <f>"9781551389349"</f>
        <v>9781551389349</v>
      </c>
      <c r="D11228" s="10" t="s">
        <v>45074</v>
      </c>
      <c r="E11228" s="10" t="s">
        <v>45075</v>
      </c>
      <c r="F11228" s="10" t="s">
        <v>901</v>
      </c>
      <c r="G11228" s="10" t="s">
        <v>9536</v>
      </c>
      <c r="H11228" s="11">
        <v>43373</v>
      </c>
      <c r="I11228" s="10">
        <v>2018</v>
      </c>
      <c r="J11228" s="10" t="s">
        <v>45075</v>
      </c>
      <c r="K11228" s="10">
        <v>130</v>
      </c>
      <c r="L11228" s="10" t="s">
        <v>48715</v>
      </c>
      <c r="M11228" s="10">
        <v>1</v>
      </c>
      <c r="N11228" s="10"/>
      <c r="O11228" s="10"/>
      <c r="P11228" s="10"/>
      <c r="Q11228" s="10">
        <v>371.30279999999999</v>
      </c>
      <c r="R11228" s="10" t="s">
        <v>48716</v>
      </c>
      <c r="S11228" s="10" t="s">
        <v>53</v>
      </c>
      <c r="T11228" s="10" t="s">
        <v>54</v>
      </c>
    </row>
    <row r="11229" spans="1:20" ht="14.5" x14ac:dyDescent="0.35">
      <c r="A11229" s="10" t="s">
        <v>48717</v>
      </c>
      <c r="B11229" s="10" t="str">
        <f>"9781551383354"</f>
        <v>9781551383354</v>
      </c>
      <c r="C11229" s="10" t="str">
        <f>"9781551389356"</f>
        <v>9781551389356</v>
      </c>
      <c r="D11229" s="10" t="s">
        <v>45074</v>
      </c>
      <c r="E11229" s="10" t="s">
        <v>45075</v>
      </c>
      <c r="F11229" s="10" t="s">
        <v>901</v>
      </c>
      <c r="G11229" s="10" t="s">
        <v>9536</v>
      </c>
      <c r="H11229" s="11">
        <v>43360</v>
      </c>
      <c r="I11229" s="10">
        <v>2018</v>
      </c>
      <c r="J11229" s="10" t="s">
        <v>45075</v>
      </c>
      <c r="K11229" s="10">
        <v>130</v>
      </c>
      <c r="L11229" s="10" t="s">
        <v>48718</v>
      </c>
      <c r="M11229" s="10">
        <v>3</v>
      </c>
      <c r="N11229" s="10"/>
      <c r="O11229" s="10"/>
      <c r="P11229" s="10" t="s">
        <v>48719</v>
      </c>
      <c r="Q11229" s="10">
        <v>371.10199999999998</v>
      </c>
      <c r="R11229" s="10" t="s">
        <v>48720</v>
      </c>
      <c r="S11229" s="10" t="s">
        <v>53</v>
      </c>
      <c r="T11229" s="10" t="s">
        <v>54</v>
      </c>
    </row>
    <row r="11230" spans="1:20" ht="14.5" x14ac:dyDescent="0.35">
      <c r="A11230" s="10" t="s">
        <v>48721</v>
      </c>
      <c r="B11230" s="10" t="str">
        <f>"9781780239897"</f>
        <v>9781780239897</v>
      </c>
      <c r="C11230" s="10" t="str">
        <f>"9781789140163"</f>
        <v>9781789140163</v>
      </c>
      <c r="D11230" s="10" t="s">
        <v>48722</v>
      </c>
      <c r="E11230" s="10" t="s">
        <v>48723</v>
      </c>
      <c r="F11230" s="10" t="s">
        <v>139</v>
      </c>
      <c r="G11230" s="10" t="s">
        <v>6352</v>
      </c>
      <c r="H11230" s="11">
        <v>43419</v>
      </c>
      <c r="I11230" s="10">
        <v>2021</v>
      </c>
      <c r="J11230" s="10" t="s">
        <v>48723</v>
      </c>
      <c r="K11230" s="10">
        <v>192</v>
      </c>
      <c r="L11230" s="10" t="s">
        <v>48724</v>
      </c>
      <c r="M11230" s="10">
        <v>1</v>
      </c>
      <c r="N11230" s="10"/>
      <c r="O11230" s="10"/>
      <c r="P11230" s="10" t="s">
        <v>48725</v>
      </c>
      <c r="Q11230" s="10">
        <v>155.41300000000001</v>
      </c>
      <c r="R11230" s="10"/>
      <c r="S11230" s="10" t="s">
        <v>53</v>
      </c>
      <c r="T11230" s="10" t="s">
        <v>48726</v>
      </c>
    </row>
    <row r="11231" spans="1:20" ht="14.5" x14ac:dyDescent="0.35">
      <c r="A11231" s="10" t="s">
        <v>48727</v>
      </c>
      <c r="B11231" s="10" t="str">
        <f>"9781138049055"</f>
        <v>9781138049055</v>
      </c>
      <c r="C11231" s="10" t="str">
        <f>"9781351690058"</f>
        <v>9781351690058</v>
      </c>
      <c r="D11231" s="10" t="s">
        <v>6350</v>
      </c>
      <c r="E11231" s="10" t="s">
        <v>6351</v>
      </c>
      <c r="F11231" s="10" t="s">
        <v>748</v>
      </c>
      <c r="G11231" s="10" t="s">
        <v>6352</v>
      </c>
      <c r="H11231" s="11">
        <v>43481</v>
      </c>
      <c r="I11231" s="10">
        <v>2019</v>
      </c>
      <c r="J11231" s="10" t="s">
        <v>6351</v>
      </c>
      <c r="K11231" s="10">
        <v>195</v>
      </c>
      <c r="L11231" s="10" t="s">
        <v>48728</v>
      </c>
      <c r="M11231" s="10">
        <v>1</v>
      </c>
      <c r="N11231" s="10" t="s">
        <v>48729</v>
      </c>
      <c r="O11231" s="10"/>
      <c r="P11231" s="10" t="s">
        <v>48730</v>
      </c>
      <c r="Q11231" s="10">
        <v>305.80072100000001</v>
      </c>
      <c r="R11231" s="10" t="s">
        <v>48731</v>
      </c>
      <c r="S11231" s="10" t="s">
        <v>53</v>
      </c>
      <c r="T11231" s="10" t="s">
        <v>9993</v>
      </c>
    </row>
    <row r="11232" spans="1:20" ht="14.5" x14ac:dyDescent="0.35">
      <c r="A11232" s="10" t="s">
        <v>48732</v>
      </c>
      <c r="B11232" s="10" t="str">
        <f>"9781119533207"</f>
        <v>9781119533207</v>
      </c>
      <c r="C11232" s="10" t="str">
        <f>"9781119533214"</f>
        <v>9781119533214</v>
      </c>
      <c r="D11232" s="10" t="s">
        <v>6322</v>
      </c>
      <c r="E11232" s="10" t="s">
        <v>6323</v>
      </c>
      <c r="F11232" s="10" t="s">
        <v>4423</v>
      </c>
      <c r="G11232" s="10" t="s">
        <v>6317</v>
      </c>
      <c r="H11232" s="11">
        <v>43508</v>
      </c>
      <c r="I11232" s="10">
        <v>2019</v>
      </c>
      <c r="J11232" s="10" t="s">
        <v>6323</v>
      </c>
      <c r="K11232" s="10">
        <v>643</v>
      </c>
      <c r="L11232" s="10" t="s">
        <v>48733</v>
      </c>
      <c r="M11232" s="10">
        <v>3</v>
      </c>
      <c r="N11232" s="10" t="s">
        <v>18778</v>
      </c>
      <c r="O11232" s="10"/>
      <c r="P11232" s="10"/>
      <c r="Q11232" s="10">
        <v>618.928</v>
      </c>
      <c r="R11232" s="10" t="s">
        <v>48734</v>
      </c>
      <c r="S11232" s="10" t="s">
        <v>53</v>
      </c>
      <c r="T11232" s="10" t="s">
        <v>8625</v>
      </c>
    </row>
    <row r="11233" spans="1:20" ht="14.5" x14ac:dyDescent="0.35">
      <c r="A11233" s="10" t="s">
        <v>48735</v>
      </c>
      <c r="B11233" s="10" t="str">
        <f>"9781472945389"</f>
        <v>9781472945389</v>
      </c>
      <c r="C11233" s="10" t="str">
        <f>"9781472945372"</f>
        <v>9781472945372</v>
      </c>
      <c r="D11233" s="10" t="s">
        <v>13959</v>
      </c>
      <c r="E11233" s="10" t="s">
        <v>13960</v>
      </c>
      <c r="F11233" s="10" t="s">
        <v>139</v>
      </c>
      <c r="G11233" s="10" t="s">
        <v>6352</v>
      </c>
      <c r="H11233" s="11">
        <v>43349</v>
      </c>
      <c r="I11233" s="10">
        <v>2018</v>
      </c>
      <c r="J11233" s="10" t="s">
        <v>16948</v>
      </c>
      <c r="K11233" s="10">
        <v>240</v>
      </c>
      <c r="L11233" s="10" t="s">
        <v>48736</v>
      </c>
      <c r="M11233" s="10">
        <v>1</v>
      </c>
      <c r="N11233" s="10" t="s">
        <v>48737</v>
      </c>
      <c r="O11233" s="10"/>
      <c r="P11233" s="10" t="s">
        <v>48738</v>
      </c>
      <c r="Q11233" s="10">
        <v>371.2011</v>
      </c>
      <c r="R11233" s="10" t="s">
        <v>48739</v>
      </c>
      <c r="S11233" s="10" t="s">
        <v>53</v>
      </c>
      <c r="T11233" s="10" t="s">
        <v>54</v>
      </c>
    </row>
    <row r="11234" spans="1:20" ht="14.5" x14ac:dyDescent="0.35">
      <c r="A11234" s="10" t="s">
        <v>48740</v>
      </c>
      <c r="B11234" s="10" t="str">
        <f>"9781350006430"</f>
        <v>9781350006430</v>
      </c>
      <c r="C11234" s="10" t="str">
        <f>"9781350006416"</f>
        <v>9781350006416</v>
      </c>
      <c r="D11234" s="10" t="s">
        <v>13959</v>
      </c>
      <c r="E11234" s="10" t="s">
        <v>13960</v>
      </c>
      <c r="F11234" s="10" t="s">
        <v>139</v>
      </c>
      <c r="G11234" s="10" t="s">
        <v>6352</v>
      </c>
      <c r="H11234" s="11">
        <v>43363</v>
      </c>
      <c r="I11234" s="10">
        <v>2018</v>
      </c>
      <c r="J11234" s="10" t="s">
        <v>14057</v>
      </c>
      <c r="K11234" s="10">
        <v>188</v>
      </c>
      <c r="L11234" s="10" t="s">
        <v>48741</v>
      </c>
      <c r="M11234" s="10">
        <v>1</v>
      </c>
      <c r="N11234" s="10"/>
      <c r="O11234" s="10"/>
      <c r="P11234" s="10" t="s">
        <v>48742</v>
      </c>
      <c r="Q11234" s="10">
        <v>371.20028500000001</v>
      </c>
      <c r="R11234" s="10" t="s">
        <v>48743</v>
      </c>
      <c r="S11234" s="10" t="s">
        <v>53</v>
      </c>
      <c r="T11234" s="10" t="s">
        <v>54</v>
      </c>
    </row>
    <row r="11235" spans="1:20" ht="14.5" x14ac:dyDescent="0.35">
      <c r="A11235" s="10" t="s">
        <v>48744</v>
      </c>
      <c r="B11235" s="10" t="str">
        <f>"9788021083264"</f>
        <v>9788021083264</v>
      </c>
      <c r="C11235" s="10" t="str">
        <f>"9788021091290"</f>
        <v>9788021091290</v>
      </c>
      <c r="D11235" s="10" t="s">
        <v>45447</v>
      </c>
      <c r="E11235" s="10" t="s">
        <v>45448</v>
      </c>
      <c r="F11235" s="10" t="s">
        <v>4892</v>
      </c>
      <c r="G11235" s="10" t="s">
        <v>30936</v>
      </c>
      <c r="H11235" s="11">
        <v>42552</v>
      </c>
      <c r="I11235" s="10">
        <v>2016</v>
      </c>
      <c r="J11235" s="10" t="s">
        <v>46362</v>
      </c>
      <c r="K11235" s="10">
        <v>142</v>
      </c>
      <c r="L11235" s="10" t="s">
        <v>47820</v>
      </c>
      <c r="M11235" s="10">
        <v>1</v>
      </c>
      <c r="N11235" s="10"/>
      <c r="O11235" s="10"/>
      <c r="P11235" s="10" t="s">
        <v>48745</v>
      </c>
      <c r="Q11235" s="10">
        <v>371.33</v>
      </c>
      <c r="R11235" s="10" t="s">
        <v>29942</v>
      </c>
      <c r="S11235" s="10" t="s">
        <v>4212</v>
      </c>
      <c r="T11235" s="10" t="s">
        <v>54</v>
      </c>
    </row>
    <row r="11236" spans="1:20" ht="14.5" x14ac:dyDescent="0.35">
      <c r="A11236" s="10" t="s">
        <v>48746</v>
      </c>
      <c r="B11236" s="10" t="str">
        <f>"9789004389717"</f>
        <v>9789004389717</v>
      </c>
      <c r="C11236" s="10" t="str">
        <f>"9789004389724"</f>
        <v>9789004389724</v>
      </c>
      <c r="D11236" s="10" t="s">
        <v>8564</v>
      </c>
      <c r="E11236" s="10" t="s">
        <v>8565</v>
      </c>
      <c r="F11236" s="10" t="s">
        <v>1420</v>
      </c>
      <c r="G11236" s="10" t="s">
        <v>6317</v>
      </c>
      <c r="H11236" s="11">
        <v>43482</v>
      </c>
      <c r="I11236" s="10">
        <v>2019</v>
      </c>
      <c r="J11236" s="10" t="s">
        <v>33259</v>
      </c>
      <c r="K11236" s="10">
        <v>112</v>
      </c>
      <c r="L11236" s="10" t="s">
        <v>33349</v>
      </c>
      <c r="M11236" s="10">
        <v>1</v>
      </c>
      <c r="N11236" s="10"/>
      <c r="O11236" s="10"/>
      <c r="P11236" s="10"/>
      <c r="Q11236" s="10">
        <v>370.11750000000001</v>
      </c>
      <c r="R11236" s="10" t="s">
        <v>48747</v>
      </c>
      <c r="S11236" s="10" t="s">
        <v>53</v>
      </c>
      <c r="T11236" s="10" t="s">
        <v>54</v>
      </c>
    </row>
    <row r="11237" spans="1:20" ht="14.5" x14ac:dyDescent="0.35">
      <c r="A11237" s="10" t="s">
        <v>48748</v>
      </c>
      <c r="B11237" s="10" t="str">
        <f>"9789004383210"</f>
        <v>9789004383210</v>
      </c>
      <c r="C11237" s="10" t="str">
        <f>"9789004383227"</f>
        <v>9789004383227</v>
      </c>
      <c r="D11237" s="10" t="s">
        <v>8564</v>
      </c>
      <c r="E11237" s="10" t="s">
        <v>8565</v>
      </c>
      <c r="F11237" s="10" t="s">
        <v>1420</v>
      </c>
      <c r="G11237" s="10" t="s">
        <v>6317</v>
      </c>
      <c r="H11237" s="11">
        <v>43293</v>
      </c>
      <c r="I11237" s="10">
        <v>2018</v>
      </c>
      <c r="J11237" s="10" t="s">
        <v>33259</v>
      </c>
      <c r="K11237" s="10">
        <v>188</v>
      </c>
      <c r="L11237" s="10" t="s">
        <v>44392</v>
      </c>
      <c r="M11237" s="10">
        <v>1</v>
      </c>
      <c r="N11237" s="10" t="s">
        <v>33307</v>
      </c>
      <c r="O11237" s="10">
        <v>37</v>
      </c>
      <c r="P11237" s="10"/>
      <c r="Q11237" s="10"/>
      <c r="R11237" s="10" t="s">
        <v>48749</v>
      </c>
      <c r="S11237" s="10" t="s">
        <v>53</v>
      </c>
      <c r="T11237" s="10" t="s">
        <v>54</v>
      </c>
    </row>
    <row r="11238" spans="1:20" ht="14.5" x14ac:dyDescent="0.35">
      <c r="A11238" s="10" t="s">
        <v>48750</v>
      </c>
      <c r="B11238" s="10" t="str">
        <f>"9789004394810"</f>
        <v>9789004394810</v>
      </c>
      <c r="C11238" s="10" t="str">
        <f>"9789004394827"</f>
        <v>9789004394827</v>
      </c>
      <c r="D11238" s="10" t="s">
        <v>8564</v>
      </c>
      <c r="E11238" s="10" t="s">
        <v>8565</v>
      </c>
      <c r="F11238" s="10" t="s">
        <v>1420</v>
      </c>
      <c r="G11238" s="10" t="s">
        <v>6317</v>
      </c>
      <c r="H11238" s="11">
        <v>43482</v>
      </c>
      <c r="I11238" s="10">
        <v>2019</v>
      </c>
      <c r="J11238" s="10" t="s">
        <v>33259</v>
      </c>
      <c r="K11238" s="10">
        <v>299</v>
      </c>
      <c r="L11238" s="10" t="s">
        <v>48751</v>
      </c>
      <c r="M11238" s="10">
        <v>1</v>
      </c>
      <c r="N11238" s="10" t="s">
        <v>45033</v>
      </c>
      <c r="O11238" s="10">
        <v>5</v>
      </c>
      <c r="P11238" s="10" t="s">
        <v>48752</v>
      </c>
      <c r="Q11238" s="10">
        <v>352.36720000000003</v>
      </c>
      <c r="R11238" s="10" t="s">
        <v>48753</v>
      </c>
      <c r="S11238" s="10" t="s">
        <v>53</v>
      </c>
      <c r="T11238" s="10" t="s">
        <v>48754</v>
      </c>
    </row>
    <row r="11239" spans="1:20" ht="14.5" x14ac:dyDescent="0.35">
      <c r="A11239" s="10" t="s">
        <v>48755</v>
      </c>
      <c r="B11239" s="10" t="str">
        <f>"9789004390997"</f>
        <v>9789004390997</v>
      </c>
      <c r="C11239" s="10" t="str">
        <f>"9789004391000"</f>
        <v>9789004391000</v>
      </c>
      <c r="D11239" s="10" t="s">
        <v>8564</v>
      </c>
      <c r="E11239" s="10" t="s">
        <v>8565</v>
      </c>
      <c r="F11239" s="10" t="s">
        <v>1420</v>
      </c>
      <c r="G11239" s="10" t="s">
        <v>6317</v>
      </c>
      <c r="H11239" s="11">
        <v>43363</v>
      </c>
      <c r="I11239" s="10">
        <v>2018</v>
      </c>
      <c r="J11239" s="10" t="s">
        <v>33259</v>
      </c>
      <c r="K11239" s="10">
        <v>185</v>
      </c>
      <c r="L11239" s="10" t="s">
        <v>48756</v>
      </c>
      <c r="M11239" s="10">
        <v>1</v>
      </c>
      <c r="N11239" s="10" t="s">
        <v>33307</v>
      </c>
      <c r="O11239" s="10">
        <v>39</v>
      </c>
      <c r="P11239" s="10"/>
      <c r="Q11239" s="10"/>
      <c r="R11239" s="10" t="s">
        <v>48757</v>
      </c>
      <c r="S11239" s="10" t="s">
        <v>53</v>
      </c>
      <c r="T11239" s="10" t="s">
        <v>54</v>
      </c>
    </row>
    <row r="11240" spans="1:20" ht="14.5" x14ac:dyDescent="0.35">
      <c r="A11240" s="10" t="s">
        <v>48758</v>
      </c>
      <c r="B11240" s="10" t="str">
        <f>"9789004389731"</f>
        <v>9789004389731</v>
      </c>
      <c r="C11240" s="10" t="str">
        <f>"9789004394377"</f>
        <v>9789004394377</v>
      </c>
      <c r="D11240" s="10" t="s">
        <v>8564</v>
      </c>
      <c r="E11240" s="10" t="s">
        <v>8565</v>
      </c>
      <c r="F11240" s="10" t="s">
        <v>1420</v>
      </c>
      <c r="G11240" s="10" t="s">
        <v>6317</v>
      </c>
      <c r="H11240" s="11">
        <v>43454</v>
      </c>
      <c r="I11240" s="10">
        <v>2019</v>
      </c>
      <c r="J11240" s="10" t="s">
        <v>8565</v>
      </c>
      <c r="K11240" s="10">
        <v>137</v>
      </c>
      <c r="L11240" s="10" t="s">
        <v>48759</v>
      </c>
      <c r="M11240" s="10">
        <v>1</v>
      </c>
      <c r="N11240" s="10" t="s">
        <v>33837</v>
      </c>
      <c r="O11240" s="10">
        <v>7</v>
      </c>
      <c r="P11240" s="10" t="s">
        <v>48760</v>
      </c>
      <c r="Q11240" s="10"/>
      <c r="R11240" s="10" t="s">
        <v>48761</v>
      </c>
      <c r="S11240" s="10" t="s">
        <v>53</v>
      </c>
      <c r="T11240" s="10" t="s">
        <v>6616</v>
      </c>
    </row>
    <row r="11241" spans="1:20" ht="14.5" x14ac:dyDescent="0.35">
      <c r="A11241" s="10" t="s">
        <v>48762</v>
      </c>
      <c r="B11241" s="10" t="str">
        <f>"9789004394094"</f>
        <v>9789004394094</v>
      </c>
      <c r="C11241" s="10" t="str">
        <f>"9789004394100"</f>
        <v>9789004394100</v>
      </c>
      <c r="D11241" s="10" t="s">
        <v>8564</v>
      </c>
      <c r="E11241" s="10" t="s">
        <v>8565</v>
      </c>
      <c r="F11241" s="10" t="s">
        <v>1420</v>
      </c>
      <c r="G11241" s="10" t="s">
        <v>6317</v>
      </c>
      <c r="H11241" s="11">
        <v>43433</v>
      </c>
      <c r="I11241" s="10">
        <v>2019</v>
      </c>
      <c r="J11241" s="10" t="s">
        <v>33259</v>
      </c>
      <c r="K11241" s="10">
        <v>167</v>
      </c>
      <c r="L11241" s="10" t="s">
        <v>48763</v>
      </c>
      <c r="M11241" s="10">
        <v>1</v>
      </c>
      <c r="N11241" s="10" t="s">
        <v>48764</v>
      </c>
      <c r="O11241" s="10">
        <v>10</v>
      </c>
      <c r="P11241" s="10" t="s">
        <v>48765</v>
      </c>
      <c r="Q11241" s="10">
        <v>813.08766093530005</v>
      </c>
      <c r="R11241" s="10" t="s">
        <v>48766</v>
      </c>
      <c r="S11241" s="10" t="s">
        <v>53</v>
      </c>
      <c r="T11241" s="10" t="s">
        <v>1166</v>
      </c>
    </row>
    <row r="11242" spans="1:20" ht="14.5" x14ac:dyDescent="0.35">
      <c r="A11242" s="10" t="s">
        <v>48767</v>
      </c>
      <c r="B11242" s="10" t="str">
        <f>"9789004392465"</f>
        <v>9789004392465</v>
      </c>
      <c r="C11242" s="10" t="str">
        <f>"9789004392472"</f>
        <v>9789004392472</v>
      </c>
      <c r="D11242" s="10" t="s">
        <v>8564</v>
      </c>
      <c r="E11242" s="10" t="s">
        <v>8565</v>
      </c>
      <c r="F11242" s="10" t="s">
        <v>1420</v>
      </c>
      <c r="G11242" s="10" t="s">
        <v>6317</v>
      </c>
      <c r="H11242" s="11">
        <v>43433</v>
      </c>
      <c r="I11242" s="10">
        <v>2019</v>
      </c>
      <c r="J11242" s="10" t="s">
        <v>33259</v>
      </c>
      <c r="K11242" s="10">
        <v>212</v>
      </c>
      <c r="L11242" s="10" t="s">
        <v>48768</v>
      </c>
      <c r="M11242" s="10">
        <v>1</v>
      </c>
      <c r="N11242" s="10"/>
      <c r="O11242" s="10"/>
      <c r="P11242" s="10"/>
      <c r="Q11242" s="10"/>
      <c r="R11242" s="10" t="s">
        <v>48769</v>
      </c>
      <c r="S11242" s="10" t="s">
        <v>53</v>
      </c>
      <c r="T11242" s="10" t="s">
        <v>54</v>
      </c>
    </row>
    <row r="11243" spans="1:20" ht="14.5" x14ac:dyDescent="0.35">
      <c r="A11243" s="10" t="s">
        <v>48770</v>
      </c>
      <c r="B11243" s="10" t="str">
        <f>"9780814339350"</f>
        <v>9780814339350</v>
      </c>
      <c r="C11243" s="10" t="str">
        <f>"9780814339367"</f>
        <v>9780814339367</v>
      </c>
      <c r="D11243" s="10" t="s">
        <v>9215</v>
      </c>
      <c r="E11243" s="10" t="s">
        <v>1563</v>
      </c>
      <c r="F11243" s="10" t="s">
        <v>1564</v>
      </c>
      <c r="G11243" s="10" t="s">
        <v>6317</v>
      </c>
      <c r="H11243" s="11">
        <v>43549</v>
      </c>
      <c r="I11243" s="10">
        <v>2019</v>
      </c>
      <c r="J11243" s="10" t="s">
        <v>1563</v>
      </c>
      <c r="K11243" s="10">
        <v>479</v>
      </c>
      <c r="L11243" s="10" t="s">
        <v>48771</v>
      </c>
      <c r="M11243" s="10"/>
      <c r="N11243" s="10" t="s">
        <v>48772</v>
      </c>
      <c r="O11243" s="10"/>
      <c r="P11243" s="10" t="s">
        <v>48773</v>
      </c>
      <c r="Q11243" s="10">
        <v>398.2</v>
      </c>
      <c r="R11243" s="10" t="s">
        <v>48774</v>
      </c>
      <c r="S11243" s="10" t="s">
        <v>53</v>
      </c>
      <c r="T11243" s="10" t="s">
        <v>9546</v>
      </c>
    </row>
    <row r="11244" spans="1:20" ht="14.5" x14ac:dyDescent="0.35">
      <c r="A11244" s="10" t="s">
        <v>48775</v>
      </c>
      <c r="B11244" s="10" t="str">
        <f>"9781787560611"</f>
        <v>9781787560611</v>
      </c>
      <c r="C11244" s="10" t="str">
        <f>"9781787560628"</f>
        <v>9781787560628</v>
      </c>
      <c r="D11244" s="10" t="s">
        <v>8699</v>
      </c>
      <c r="E11244" s="10" t="s">
        <v>8699</v>
      </c>
      <c r="F11244" s="10" t="s">
        <v>559</v>
      </c>
      <c r="G11244" s="10" t="s">
        <v>6352</v>
      </c>
      <c r="H11244" s="11">
        <v>43500</v>
      </c>
      <c r="I11244" s="10">
        <v>2019</v>
      </c>
      <c r="J11244" s="10" t="s">
        <v>8699</v>
      </c>
      <c r="K11244" s="10">
        <v>308</v>
      </c>
      <c r="L11244" s="10" t="s">
        <v>48776</v>
      </c>
      <c r="M11244" s="10">
        <v>1</v>
      </c>
      <c r="N11244" s="10" t="s">
        <v>29541</v>
      </c>
      <c r="O11244" s="10">
        <v>16</v>
      </c>
      <c r="P11244" s="10" t="s">
        <v>48777</v>
      </c>
      <c r="Q11244" s="10">
        <v>371.90474</v>
      </c>
      <c r="R11244" s="10" t="s">
        <v>48475</v>
      </c>
      <c r="S11244" s="10" t="s">
        <v>53</v>
      </c>
      <c r="T11244" s="10" t="s">
        <v>54</v>
      </c>
    </row>
    <row r="11245" spans="1:20" ht="14.5" x14ac:dyDescent="0.35">
      <c r="A11245" s="10" t="s">
        <v>48778</v>
      </c>
      <c r="B11245" s="10" t="str">
        <f>"9781787569027"</f>
        <v>9781787569027</v>
      </c>
      <c r="C11245" s="10" t="str">
        <f>"9781787568990"</f>
        <v>9781787568990</v>
      </c>
      <c r="D11245" s="10" t="s">
        <v>8699</v>
      </c>
      <c r="E11245" s="10" t="s">
        <v>8699</v>
      </c>
      <c r="F11245" s="10" t="s">
        <v>559</v>
      </c>
      <c r="G11245" s="10" t="s">
        <v>6352</v>
      </c>
      <c r="H11245" s="11">
        <v>43493</v>
      </c>
      <c r="I11245" s="10">
        <v>2019</v>
      </c>
      <c r="J11245" s="10" t="s">
        <v>8699</v>
      </c>
      <c r="K11245" s="10">
        <v>176</v>
      </c>
      <c r="L11245" s="10" t="s">
        <v>48779</v>
      </c>
      <c r="M11245" s="10">
        <v>1</v>
      </c>
      <c r="N11245" s="10" t="s">
        <v>48780</v>
      </c>
      <c r="O11245" s="10"/>
      <c r="P11245" s="10" t="s">
        <v>26825</v>
      </c>
      <c r="Q11245" s="10">
        <v>378.12022999999999</v>
      </c>
      <c r="R11245" s="10" t="s">
        <v>48781</v>
      </c>
      <c r="S11245" s="10" t="s">
        <v>53</v>
      </c>
      <c r="T11245" s="10" t="s">
        <v>54</v>
      </c>
    </row>
    <row r="11246" spans="1:20" ht="14.5" x14ac:dyDescent="0.35">
      <c r="A11246" s="10" t="s">
        <v>48782</v>
      </c>
      <c r="B11246" s="10" t="str">
        <f>"9781421428628"</f>
        <v>9781421428628</v>
      </c>
      <c r="C11246" s="10" t="str">
        <f>"9781421428635"</f>
        <v>9781421428635</v>
      </c>
      <c r="D11246" s="10" t="s">
        <v>884</v>
      </c>
      <c r="E11246" s="10" t="s">
        <v>884</v>
      </c>
      <c r="F11246" s="10" t="s">
        <v>885</v>
      </c>
      <c r="G11246" s="10" t="s">
        <v>6317</v>
      </c>
      <c r="H11246" s="11">
        <v>43578</v>
      </c>
      <c r="I11246" s="10">
        <v>2019</v>
      </c>
      <c r="J11246" s="10" t="s">
        <v>884</v>
      </c>
      <c r="K11246" s="10">
        <v>215</v>
      </c>
      <c r="L11246" s="10" t="s">
        <v>48783</v>
      </c>
      <c r="M11246" s="10">
        <v>1</v>
      </c>
      <c r="N11246" s="10" t="s">
        <v>35979</v>
      </c>
      <c r="O11246" s="10"/>
      <c r="P11246" s="10" t="s">
        <v>48784</v>
      </c>
      <c r="Q11246" s="10">
        <v>378.10109999999997</v>
      </c>
      <c r="R11246" s="10" t="s">
        <v>48785</v>
      </c>
      <c r="S11246" s="10" t="s">
        <v>53</v>
      </c>
      <c r="T11246" s="10" t="s">
        <v>54</v>
      </c>
    </row>
    <row r="11247" spans="1:20" ht="14.5" x14ac:dyDescent="0.35">
      <c r="A11247" s="10" t="s">
        <v>48786</v>
      </c>
      <c r="B11247" s="10" t="str">
        <f>""</f>
        <v/>
      </c>
      <c r="C11247" s="10" t="str">
        <f>"9781789736960"</f>
        <v>9781789736960</v>
      </c>
      <c r="D11247" s="10" t="s">
        <v>8699</v>
      </c>
      <c r="E11247" s="10" t="s">
        <v>8699</v>
      </c>
      <c r="F11247" s="10" t="s">
        <v>41843</v>
      </c>
      <c r="G11247" s="10" t="s">
        <v>6352</v>
      </c>
      <c r="H11247" s="11">
        <v>43437</v>
      </c>
      <c r="I11247" s="10">
        <v>2018</v>
      </c>
      <c r="J11247" s="10" t="s">
        <v>8699</v>
      </c>
      <c r="K11247" s="10">
        <v>101</v>
      </c>
      <c r="L11247" s="10" t="s">
        <v>48787</v>
      </c>
      <c r="M11247" s="10">
        <v>1</v>
      </c>
      <c r="N11247" s="10" t="s">
        <v>47661</v>
      </c>
      <c r="O11247" s="10">
        <v>3</v>
      </c>
      <c r="P11247" s="10" t="s">
        <v>48788</v>
      </c>
      <c r="Q11247" s="10">
        <v>174.4</v>
      </c>
      <c r="R11247" s="10" t="s">
        <v>48789</v>
      </c>
      <c r="S11247" s="10" t="s">
        <v>53</v>
      </c>
      <c r="T11247" s="10" t="s">
        <v>12423</v>
      </c>
    </row>
    <row r="11248" spans="1:20" ht="14.5" x14ac:dyDescent="0.35">
      <c r="A11248" s="10" t="s">
        <v>48790</v>
      </c>
      <c r="B11248" s="10" t="str">
        <f>""</f>
        <v/>
      </c>
      <c r="C11248" s="10" t="str">
        <f>"9781789737202"</f>
        <v>9781789737202</v>
      </c>
      <c r="D11248" s="10" t="s">
        <v>8699</v>
      </c>
      <c r="E11248" s="10" t="s">
        <v>8699</v>
      </c>
      <c r="F11248" s="10" t="s">
        <v>41843</v>
      </c>
      <c r="G11248" s="10" t="s">
        <v>6352</v>
      </c>
      <c r="H11248" s="11">
        <v>43441</v>
      </c>
      <c r="I11248" s="10">
        <v>2018</v>
      </c>
      <c r="J11248" s="10" t="s">
        <v>8699</v>
      </c>
      <c r="K11248" s="10">
        <v>127</v>
      </c>
      <c r="L11248" s="10" t="s">
        <v>48791</v>
      </c>
      <c r="M11248" s="10">
        <v>1</v>
      </c>
      <c r="N11248" s="10" t="s">
        <v>48792</v>
      </c>
      <c r="O11248" s="10">
        <v>2</v>
      </c>
      <c r="P11248" s="10" t="s">
        <v>48793</v>
      </c>
      <c r="Q11248" s="10">
        <v>810.9</v>
      </c>
      <c r="R11248" s="10" t="s">
        <v>48794</v>
      </c>
      <c r="S11248" s="10" t="s">
        <v>53</v>
      </c>
      <c r="T11248" s="10" t="s">
        <v>1166</v>
      </c>
    </row>
    <row r="11249" spans="1:20" ht="14.5" x14ac:dyDescent="0.35">
      <c r="A11249" s="10" t="s">
        <v>48795</v>
      </c>
      <c r="B11249" s="10" t="str">
        <f>""</f>
        <v/>
      </c>
      <c r="C11249" s="10" t="str">
        <f>"9781789737226"</f>
        <v>9781789737226</v>
      </c>
      <c r="D11249" s="10" t="s">
        <v>8699</v>
      </c>
      <c r="E11249" s="10" t="s">
        <v>8699</v>
      </c>
      <c r="F11249" s="10" t="s">
        <v>41843</v>
      </c>
      <c r="G11249" s="10" t="s">
        <v>6352</v>
      </c>
      <c r="H11249" s="11">
        <v>43446</v>
      </c>
      <c r="I11249" s="10">
        <v>2018</v>
      </c>
      <c r="J11249" s="10" t="s">
        <v>8699</v>
      </c>
      <c r="K11249" s="10">
        <v>69</v>
      </c>
      <c r="L11249" s="10" t="s">
        <v>48796</v>
      </c>
      <c r="M11249" s="10">
        <v>1</v>
      </c>
      <c r="N11249" s="10" t="s">
        <v>48797</v>
      </c>
      <c r="O11249" s="12">
        <v>45355</v>
      </c>
      <c r="P11249" s="10" t="s">
        <v>48798</v>
      </c>
      <c r="Q11249" s="10">
        <v>370.97300000000001</v>
      </c>
      <c r="R11249" s="10" t="s">
        <v>48799</v>
      </c>
      <c r="S11249" s="10" t="s">
        <v>53</v>
      </c>
      <c r="T11249" s="10" t="s">
        <v>54</v>
      </c>
    </row>
    <row r="11250" spans="1:20" ht="14.5" x14ac:dyDescent="0.35">
      <c r="A11250" s="10" t="s">
        <v>48800</v>
      </c>
      <c r="B11250" s="10" t="str">
        <f>"9781119098591"</f>
        <v>9781119098591</v>
      </c>
      <c r="C11250" s="10" t="str">
        <f>"9781119098614"</f>
        <v>9781119098614</v>
      </c>
      <c r="D11250" s="10" t="s">
        <v>6322</v>
      </c>
      <c r="E11250" s="10" t="s">
        <v>6323</v>
      </c>
      <c r="F11250" s="10" t="s">
        <v>4423</v>
      </c>
      <c r="G11250" s="10" t="s">
        <v>6317</v>
      </c>
      <c r="H11250" s="11">
        <v>43564</v>
      </c>
      <c r="I11250" s="10">
        <v>2019</v>
      </c>
      <c r="J11250" s="10" t="s">
        <v>8436</v>
      </c>
      <c r="K11250" s="10">
        <v>605</v>
      </c>
      <c r="L11250" s="10" t="s">
        <v>48801</v>
      </c>
      <c r="M11250" s="10">
        <v>1</v>
      </c>
      <c r="N11250" s="10" t="s">
        <v>41092</v>
      </c>
      <c r="O11250" s="10"/>
      <c r="P11250" s="10"/>
      <c r="Q11250" s="10"/>
      <c r="R11250" s="10" t="s">
        <v>27923</v>
      </c>
      <c r="S11250" s="10" t="s">
        <v>53</v>
      </c>
      <c r="T11250" s="10" t="s">
        <v>8755</v>
      </c>
    </row>
    <row r="11251" spans="1:20" ht="14.5" x14ac:dyDescent="0.35">
      <c r="A11251" s="10" t="s">
        <v>48802</v>
      </c>
      <c r="B11251" s="10" t="str">
        <f>""</f>
        <v/>
      </c>
      <c r="C11251" s="10" t="str">
        <f>"9788024639994"</f>
        <v>9788024639994</v>
      </c>
      <c r="D11251" s="10" t="s">
        <v>30935</v>
      </c>
      <c r="E11251" s="10" t="s">
        <v>30935</v>
      </c>
      <c r="F11251" s="10" t="s">
        <v>1796</v>
      </c>
      <c r="G11251" s="10" t="s">
        <v>30936</v>
      </c>
      <c r="H11251" s="11">
        <v>43435</v>
      </c>
      <c r="I11251" s="10">
        <v>2018</v>
      </c>
      <c r="J11251" s="10" t="s">
        <v>30935</v>
      </c>
      <c r="K11251" s="10">
        <v>149</v>
      </c>
      <c r="L11251" s="10" t="s">
        <v>48803</v>
      </c>
      <c r="M11251" s="10">
        <v>1</v>
      </c>
      <c r="N11251" s="10"/>
      <c r="O11251" s="10"/>
      <c r="P11251" s="10" t="s">
        <v>48804</v>
      </c>
      <c r="Q11251" s="10">
        <v>796.42499999999995</v>
      </c>
      <c r="R11251" s="10" t="s">
        <v>48805</v>
      </c>
      <c r="S11251" s="10" t="s">
        <v>4212</v>
      </c>
      <c r="T11251" s="10" t="s">
        <v>7340</v>
      </c>
    </row>
    <row r="11252" spans="1:20" ht="14.5" x14ac:dyDescent="0.35">
      <c r="A11252" s="10" t="s">
        <v>48806</v>
      </c>
      <c r="B11252" s="10" t="str">
        <f>"9781947604230"</f>
        <v>9781947604230</v>
      </c>
      <c r="C11252" s="10" t="str">
        <f>"9781947604247"</f>
        <v>9781947604247</v>
      </c>
      <c r="D11252" s="10" t="s">
        <v>37580</v>
      </c>
      <c r="E11252" s="10" t="s">
        <v>37581</v>
      </c>
      <c r="F11252" s="10" t="s">
        <v>37623</v>
      </c>
      <c r="G11252" s="10" t="s">
        <v>6317</v>
      </c>
      <c r="H11252" s="11">
        <v>43504</v>
      </c>
      <c r="I11252" s="10">
        <v>2019</v>
      </c>
      <c r="J11252" s="10" t="s">
        <v>37581</v>
      </c>
      <c r="K11252" s="10">
        <v>208</v>
      </c>
      <c r="L11252" s="10" t="s">
        <v>48807</v>
      </c>
      <c r="M11252" s="10">
        <v>1</v>
      </c>
      <c r="N11252" s="10"/>
      <c r="O11252" s="10"/>
      <c r="P11252" s="10" t="s">
        <v>48808</v>
      </c>
      <c r="Q11252" s="10"/>
      <c r="R11252" s="10"/>
      <c r="S11252" s="10" t="s">
        <v>53</v>
      </c>
      <c r="T11252" s="10" t="s">
        <v>54</v>
      </c>
    </row>
    <row r="11253" spans="1:20" ht="14.5" x14ac:dyDescent="0.35">
      <c r="A11253" s="10" t="s">
        <v>48809</v>
      </c>
      <c r="B11253" s="10" t="str">
        <f>"9781119148067"</f>
        <v>9781119148067</v>
      </c>
      <c r="C11253" s="10" t="str">
        <f>"9781119148074"</f>
        <v>9781119148074</v>
      </c>
      <c r="D11253" s="10" t="s">
        <v>6322</v>
      </c>
      <c r="E11253" s="10" t="s">
        <v>6323</v>
      </c>
      <c r="F11253" s="10" t="s">
        <v>4423</v>
      </c>
      <c r="G11253" s="10" t="s">
        <v>6317</v>
      </c>
      <c r="H11253" s="11">
        <v>43578</v>
      </c>
      <c r="I11253" s="10">
        <v>2019</v>
      </c>
      <c r="J11253" s="10" t="s">
        <v>8436</v>
      </c>
      <c r="K11253" s="10">
        <v>763</v>
      </c>
      <c r="L11253" s="10" t="s">
        <v>48810</v>
      </c>
      <c r="M11253" s="10">
        <v>1</v>
      </c>
      <c r="N11253" s="10"/>
      <c r="O11253" s="10"/>
      <c r="P11253" s="10"/>
      <c r="Q11253" s="10"/>
      <c r="R11253" s="10" t="s">
        <v>21693</v>
      </c>
      <c r="S11253" s="10" t="s">
        <v>53</v>
      </c>
      <c r="T11253" s="10" t="s">
        <v>54</v>
      </c>
    </row>
    <row r="11254" spans="1:20" ht="14.5" x14ac:dyDescent="0.35">
      <c r="A11254" s="10" t="s">
        <v>48811</v>
      </c>
      <c r="B11254" s="10" t="str">
        <f>"9781620368541"</f>
        <v>9781620368541</v>
      </c>
      <c r="C11254" s="10" t="str">
        <f>"9781000974768"</f>
        <v>9781000974768</v>
      </c>
      <c r="D11254" s="10" t="s">
        <v>6350</v>
      </c>
      <c r="E11254" s="10" t="s">
        <v>6351</v>
      </c>
      <c r="F11254" s="10" t="s">
        <v>41227</v>
      </c>
      <c r="G11254" s="10" t="s">
        <v>6317</v>
      </c>
      <c r="H11254" s="11">
        <v>43482</v>
      </c>
      <c r="I11254" s="10">
        <v>2019</v>
      </c>
      <c r="J11254" s="10" t="s">
        <v>6353</v>
      </c>
      <c r="K11254" s="10">
        <v>314</v>
      </c>
      <c r="L11254" s="10" t="s">
        <v>48812</v>
      </c>
      <c r="M11254" s="10">
        <v>1</v>
      </c>
      <c r="N11254" s="10"/>
      <c r="O11254" s="10"/>
      <c r="P11254" s="10" t="s">
        <v>48813</v>
      </c>
      <c r="Q11254" s="10">
        <v>378.10300000000001</v>
      </c>
      <c r="R11254" s="10" t="s">
        <v>48814</v>
      </c>
      <c r="S11254" s="10" t="s">
        <v>53</v>
      </c>
      <c r="T11254" s="10" t="s">
        <v>54</v>
      </c>
    </row>
    <row r="11255" spans="1:20" ht="14.5" x14ac:dyDescent="0.35">
      <c r="A11255" s="10" t="s">
        <v>48815</v>
      </c>
      <c r="B11255" s="10" t="str">
        <f>"9781620366882"</f>
        <v>9781620366882</v>
      </c>
      <c r="C11255" s="10" t="str">
        <f>"9781000972108"</f>
        <v>9781000972108</v>
      </c>
      <c r="D11255" s="10" t="s">
        <v>6350</v>
      </c>
      <c r="E11255" s="10" t="s">
        <v>6351</v>
      </c>
      <c r="F11255" s="10" t="s">
        <v>748</v>
      </c>
      <c r="G11255" s="10" t="s">
        <v>6352</v>
      </c>
      <c r="H11255" s="11">
        <v>43482</v>
      </c>
      <c r="I11255" s="10">
        <v>2019</v>
      </c>
      <c r="J11255" s="10" t="s">
        <v>6351</v>
      </c>
      <c r="K11255" s="10">
        <v>343</v>
      </c>
      <c r="L11255" s="10" t="s">
        <v>48816</v>
      </c>
      <c r="M11255" s="10">
        <v>1</v>
      </c>
      <c r="N11255" s="10"/>
      <c r="O11255" s="10"/>
      <c r="P11255" s="10" t="s">
        <v>48817</v>
      </c>
      <c r="Q11255" s="10">
        <v>378.125</v>
      </c>
      <c r="R11255" s="10" t="s">
        <v>48818</v>
      </c>
      <c r="S11255" s="10" t="s">
        <v>53</v>
      </c>
      <c r="T11255" s="10" t="s">
        <v>54</v>
      </c>
    </row>
    <row r="11256" spans="1:20" ht="14.5" x14ac:dyDescent="0.35">
      <c r="A11256" s="10" t="s">
        <v>48819</v>
      </c>
      <c r="B11256" s="10" t="str">
        <f>"9789004394285"</f>
        <v>9789004394285</v>
      </c>
      <c r="C11256" s="10" t="str">
        <f>"9789004394278"</f>
        <v>9789004394278</v>
      </c>
      <c r="D11256" s="10" t="s">
        <v>8564</v>
      </c>
      <c r="E11256" s="10" t="s">
        <v>8565</v>
      </c>
      <c r="F11256" s="10" t="s">
        <v>1420</v>
      </c>
      <c r="G11256" s="10" t="s">
        <v>6317</v>
      </c>
      <c r="H11256" s="11">
        <v>43503</v>
      </c>
      <c r="I11256" s="10">
        <v>2019</v>
      </c>
      <c r="J11256" s="10" t="s">
        <v>33259</v>
      </c>
      <c r="K11256" s="10">
        <v>124</v>
      </c>
      <c r="L11256" s="10" t="s">
        <v>48820</v>
      </c>
      <c r="M11256" s="10">
        <v>1</v>
      </c>
      <c r="N11256" s="10"/>
      <c r="O11256" s="10"/>
      <c r="P11256" s="10" t="s">
        <v>48821</v>
      </c>
      <c r="Q11256" s="10"/>
      <c r="R11256" s="10"/>
      <c r="S11256" s="10" t="s">
        <v>53</v>
      </c>
      <c r="T11256" s="10" t="s">
        <v>54</v>
      </c>
    </row>
    <row r="11257" spans="1:20" ht="14.5" x14ac:dyDescent="0.35">
      <c r="A11257" s="10" t="s">
        <v>48822</v>
      </c>
      <c r="B11257" s="10" t="str">
        <f>"9789004393806"</f>
        <v>9789004393806</v>
      </c>
      <c r="C11257" s="10" t="str">
        <f>"9789004393813"</f>
        <v>9789004393813</v>
      </c>
      <c r="D11257" s="10" t="s">
        <v>8564</v>
      </c>
      <c r="E11257" s="10" t="s">
        <v>8565</v>
      </c>
      <c r="F11257" s="10" t="s">
        <v>1420</v>
      </c>
      <c r="G11257" s="10" t="s">
        <v>6317</v>
      </c>
      <c r="H11257" s="11">
        <v>43482</v>
      </c>
      <c r="I11257" s="10">
        <v>2019</v>
      </c>
      <c r="J11257" s="10" t="s">
        <v>33259</v>
      </c>
      <c r="K11257" s="10">
        <v>282</v>
      </c>
      <c r="L11257" s="10" t="s">
        <v>48823</v>
      </c>
      <c r="M11257" s="10">
        <v>1</v>
      </c>
      <c r="N11257" s="10"/>
      <c r="O11257" s="10"/>
      <c r="P11257" s="10" t="s">
        <v>48824</v>
      </c>
      <c r="Q11257" s="10">
        <v>341.44</v>
      </c>
      <c r="R11257" s="10" t="s">
        <v>48825</v>
      </c>
      <c r="S11257" s="10" t="s">
        <v>53</v>
      </c>
      <c r="T11257" s="10" t="s">
        <v>5396</v>
      </c>
    </row>
    <row r="11258" spans="1:20" ht="14.5" x14ac:dyDescent="0.35">
      <c r="A11258" s="10" t="s">
        <v>48826</v>
      </c>
      <c r="B11258" s="10" t="str">
        <f>"9789004381759"</f>
        <v>9789004381759</v>
      </c>
      <c r="C11258" s="10" t="str">
        <f>"9789004381766"</f>
        <v>9789004381766</v>
      </c>
      <c r="D11258" s="10" t="s">
        <v>8564</v>
      </c>
      <c r="E11258" s="10" t="s">
        <v>8565</v>
      </c>
      <c r="F11258" s="10" t="s">
        <v>1420</v>
      </c>
      <c r="G11258" s="10" t="s">
        <v>6317</v>
      </c>
      <c r="H11258" s="11">
        <v>43349</v>
      </c>
      <c r="I11258" s="10">
        <v>2018</v>
      </c>
      <c r="J11258" s="10" t="s">
        <v>33259</v>
      </c>
      <c r="K11258" s="10">
        <v>176</v>
      </c>
      <c r="L11258" s="10" t="s">
        <v>48827</v>
      </c>
      <c r="M11258" s="10">
        <v>1</v>
      </c>
      <c r="N11258" s="10"/>
      <c r="O11258" s="10"/>
      <c r="P11258" s="10" t="s">
        <v>48828</v>
      </c>
      <c r="Q11258" s="10">
        <v>510.19</v>
      </c>
      <c r="R11258" s="10" t="s">
        <v>48829</v>
      </c>
      <c r="S11258" s="10" t="s">
        <v>53</v>
      </c>
      <c r="T11258" s="10" t="s">
        <v>389</v>
      </c>
    </row>
    <row r="11259" spans="1:20" ht="14.5" x14ac:dyDescent="0.35">
      <c r="A11259" s="10" t="s">
        <v>48830</v>
      </c>
      <c r="B11259" s="10" t="str">
        <f>"9789004375338"</f>
        <v>9789004375338</v>
      </c>
      <c r="C11259" s="10" t="str">
        <f>"9789004375352"</f>
        <v>9789004375352</v>
      </c>
      <c r="D11259" s="10" t="s">
        <v>8564</v>
      </c>
      <c r="E11259" s="10" t="s">
        <v>8565</v>
      </c>
      <c r="F11259" s="10" t="s">
        <v>1420</v>
      </c>
      <c r="G11259" s="10" t="s">
        <v>6317</v>
      </c>
      <c r="H11259" s="11">
        <v>43293</v>
      </c>
      <c r="I11259" s="10">
        <v>2018</v>
      </c>
      <c r="J11259" s="10" t="s">
        <v>8565</v>
      </c>
      <c r="K11259" s="10">
        <v>222</v>
      </c>
      <c r="L11259" s="10" t="s">
        <v>48831</v>
      </c>
      <c r="M11259" s="10">
        <v>1</v>
      </c>
      <c r="N11259" s="10" t="s">
        <v>29088</v>
      </c>
      <c r="O11259" s="10">
        <v>24</v>
      </c>
      <c r="P11259" s="10" t="s">
        <v>48832</v>
      </c>
      <c r="Q11259" s="10">
        <v>378.42574000000002</v>
      </c>
      <c r="R11259" s="10" t="s">
        <v>48833</v>
      </c>
      <c r="S11259" s="10" t="s">
        <v>53</v>
      </c>
      <c r="T11259" s="10" t="s">
        <v>54</v>
      </c>
    </row>
    <row r="11260" spans="1:20" ht="14.5" x14ac:dyDescent="0.35">
      <c r="A11260" s="10" t="s">
        <v>48834</v>
      </c>
      <c r="B11260" s="10" t="str">
        <f>"9781629221359"</f>
        <v>9781629221359</v>
      </c>
      <c r="C11260" s="10" t="str">
        <f>"9781629221342"</f>
        <v>9781629221342</v>
      </c>
      <c r="D11260" s="10" t="s">
        <v>27268</v>
      </c>
      <c r="E11260" s="10" t="s">
        <v>43796</v>
      </c>
      <c r="F11260" s="10" t="s">
        <v>29933</v>
      </c>
      <c r="G11260" s="10" t="s">
        <v>6317</v>
      </c>
      <c r="H11260" s="11">
        <v>43497</v>
      </c>
      <c r="I11260" s="10">
        <v>2019</v>
      </c>
      <c r="J11260" s="10" t="s">
        <v>48835</v>
      </c>
      <c r="K11260" s="10">
        <v>229</v>
      </c>
      <c r="L11260" s="10" t="s">
        <v>48836</v>
      </c>
      <c r="M11260" s="10">
        <v>1</v>
      </c>
      <c r="N11260" s="10" t="s">
        <v>48837</v>
      </c>
      <c r="O11260" s="10"/>
      <c r="P11260" s="10" t="s">
        <v>48838</v>
      </c>
      <c r="Q11260" s="10">
        <v>378.00920000000002</v>
      </c>
      <c r="R11260" s="10" t="s">
        <v>48839</v>
      </c>
      <c r="S11260" s="10" t="s">
        <v>53</v>
      </c>
      <c r="T11260" s="10" t="s">
        <v>54</v>
      </c>
    </row>
    <row r="11261" spans="1:20" ht="14.5" x14ac:dyDescent="0.35">
      <c r="A11261" s="10" t="s">
        <v>48840</v>
      </c>
      <c r="B11261" s="10" t="str">
        <f>"9781119173212"</f>
        <v>9781119173212</v>
      </c>
      <c r="C11261" s="10" t="str">
        <f>"9781119173229"</f>
        <v>9781119173229</v>
      </c>
      <c r="D11261" s="10" t="s">
        <v>6322</v>
      </c>
      <c r="E11261" s="10" t="s">
        <v>6323</v>
      </c>
      <c r="F11261" s="10" t="s">
        <v>4423</v>
      </c>
      <c r="G11261" s="10" t="s">
        <v>6317</v>
      </c>
      <c r="H11261" s="11">
        <v>43578</v>
      </c>
      <c r="I11261" s="10">
        <v>2019</v>
      </c>
      <c r="J11261" s="10" t="s">
        <v>8436</v>
      </c>
      <c r="K11261" s="10">
        <v>751</v>
      </c>
      <c r="L11261" s="10" t="s">
        <v>48841</v>
      </c>
      <c r="M11261" s="10">
        <v>1</v>
      </c>
      <c r="N11261" s="10"/>
      <c r="O11261" s="10"/>
      <c r="P11261" s="10"/>
      <c r="Q11261" s="10">
        <v>371.39</v>
      </c>
      <c r="R11261" s="10" t="s">
        <v>48842</v>
      </c>
      <c r="S11261" s="10" t="s">
        <v>53</v>
      </c>
      <c r="T11261" s="10" t="s">
        <v>54</v>
      </c>
    </row>
    <row r="11262" spans="1:20" ht="14.5" x14ac:dyDescent="0.35">
      <c r="A11262" s="10" t="s">
        <v>48843</v>
      </c>
      <c r="B11262" s="10" t="str">
        <f>"9781421428789"</f>
        <v>9781421428789</v>
      </c>
      <c r="C11262" s="10" t="str">
        <f>"9781421428796"</f>
        <v>9781421428796</v>
      </c>
      <c r="D11262" s="10" t="s">
        <v>884</v>
      </c>
      <c r="E11262" s="10" t="s">
        <v>884</v>
      </c>
      <c r="F11262" s="10" t="s">
        <v>885</v>
      </c>
      <c r="G11262" s="10" t="s">
        <v>6317</v>
      </c>
      <c r="H11262" s="11">
        <v>43536</v>
      </c>
      <c r="I11262" s="10">
        <v>2019</v>
      </c>
      <c r="J11262" s="10" t="s">
        <v>884</v>
      </c>
      <c r="K11262" s="10">
        <v>201</v>
      </c>
      <c r="L11262" s="10" t="s">
        <v>48844</v>
      </c>
      <c r="M11262" s="10">
        <v>1</v>
      </c>
      <c r="N11262" s="10" t="s">
        <v>35979</v>
      </c>
      <c r="O11262" s="10"/>
      <c r="P11262" s="10"/>
      <c r="Q11262" s="10" t="s">
        <v>10227</v>
      </c>
      <c r="R11262" s="10"/>
      <c r="S11262" s="10" t="s">
        <v>53</v>
      </c>
      <c r="T11262" s="10" t="s">
        <v>54</v>
      </c>
    </row>
    <row r="11263" spans="1:20" ht="14.5" x14ac:dyDescent="0.35">
      <c r="A11263" s="10" t="s">
        <v>48845</v>
      </c>
      <c r="B11263" s="10" t="str">
        <f>"9781947604650"</f>
        <v>9781947604650</v>
      </c>
      <c r="C11263" s="10" t="str">
        <f>"9781947604667"</f>
        <v>9781947604667</v>
      </c>
      <c r="D11263" s="10" t="s">
        <v>37580</v>
      </c>
      <c r="E11263" s="10" t="s">
        <v>37581</v>
      </c>
      <c r="F11263" s="10" t="s">
        <v>37623</v>
      </c>
      <c r="G11263" s="10" t="s">
        <v>6317</v>
      </c>
      <c r="H11263" s="11">
        <v>43507</v>
      </c>
      <c r="I11263" s="10">
        <v>2019</v>
      </c>
      <c r="J11263" s="10" t="s">
        <v>37581</v>
      </c>
      <c r="K11263" s="10">
        <v>280</v>
      </c>
      <c r="L11263" s="10" t="s">
        <v>26282</v>
      </c>
      <c r="M11263" s="10">
        <v>1</v>
      </c>
      <c r="N11263" s="10"/>
      <c r="O11263" s="10"/>
      <c r="P11263" s="10" t="s">
        <v>48846</v>
      </c>
      <c r="Q11263" s="10"/>
      <c r="R11263" s="10"/>
      <c r="S11263" s="10" t="s">
        <v>53</v>
      </c>
      <c r="T11263" s="10" t="s">
        <v>54</v>
      </c>
    </row>
    <row r="11264" spans="1:20" ht="14.5" x14ac:dyDescent="0.35">
      <c r="A11264" s="10" t="s">
        <v>48847</v>
      </c>
      <c r="B11264" s="10" t="str">
        <f>"9781947604636"</f>
        <v>9781947604636</v>
      </c>
      <c r="C11264" s="10" t="str">
        <f>"9781947604643"</f>
        <v>9781947604643</v>
      </c>
      <c r="D11264" s="10" t="s">
        <v>37580</v>
      </c>
      <c r="E11264" s="10" t="s">
        <v>37581</v>
      </c>
      <c r="F11264" s="10" t="s">
        <v>37623</v>
      </c>
      <c r="G11264" s="10" t="s">
        <v>6317</v>
      </c>
      <c r="H11264" s="11">
        <v>43507</v>
      </c>
      <c r="I11264" s="10">
        <v>2019</v>
      </c>
      <c r="J11264" s="10" t="s">
        <v>37581</v>
      </c>
      <c r="K11264" s="10">
        <v>272</v>
      </c>
      <c r="L11264" s="10" t="s">
        <v>26282</v>
      </c>
      <c r="M11264" s="10">
        <v>1</v>
      </c>
      <c r="N11264" s="10"/>
      <c r="O11264" s="10"/>
      <c r="P11264" s="10" t="s">
        <v>48846</v>
      </c>
      <c r="Q11264" s="10"/>
      <c r="R11264" s="10"/>
      <c r="S11264" s="10" t="s">
        <v>53</v>
      </c>
      <c r="T11264" s="10" t="s">
        <v>54</v>
      </c>
    </row>
    <row r="11265" spans="1:20" ht="14.5" x14ac:dyDescent="0.35">
      <c r="A11265" s="10" t="s">
        <v>48848</v>
      </c>
      <c r="B11265" s="10" t="str">
        <f>""</f>
        <v/>
      </c>
      <c r="C11265" s="10" t="str">
        <f>"9781626812574"</f>
        <v>9781626812574</v>
      </c>
      <c r="D11265" s="10" t="s">
        <v>6358</v>
      </c>
      <c r="E11265" s="10" t="s">
        <v>48849</v>
      </c>
      <c r="F11265" s="10" t="s">
        <v>70</v>
      </c>
      <c r="G11265" s="10" t="s">
        <v>6317</v>
      </c>
      <c r="H11265" s="11">
        <v>38992</v>
      </c>
      <c r="I11265" s="10">
        <v>2006</v>
      </c>
      <c r="J11265" s="10" t="s">
        <v>48849</v>
      </c>
      <c r="K11265" s="10">
        <v>255</v>
      </c>
      <c r="L11265" s="10" t="s">
        <v>48850</v>
      </c>
      <c r="M11265" s="10">
        <v>1</v>
      </c>
      <c r="N11265" s="10"/>
      <c r="O11265" s="10"/>
      <c r="P11265" s="10" t="s">
        <v>48851</v>
      </c>
      <c r="Q11265" s="10" t="s">
        <v>48852</v>
      </c>
      <c r="R11265" s="10" t="s">
        <v>48853</v>
      </c>
      <c r="S11265" s="10" t="s">
        <v>53</v>
      </c>
      <c r="T11265" s="10" t="s">
        <v>48854</v>
      </c>
    </row>
    <row r="11266" spans="1:20" ht="14.5" x14ac:dyDescent="0.35">
      <c r="A11266" s="10" t="s">
        <v>48855</v>
      </c>
      <c r="B11266" s="10" t="str">
        <f>"9780522871098"</f>
        <v>9780522871098</v>
      </c>
      <c r="C11266" s="10" t="str">
        <f>"9780522871104"</f>
        <v>9780522871104</v>
      </c>
      <c r="D11266" s="10" t="s">
        <v>48856</v>
      </c>
      <c r="E11266" s="10" t="s">
        <v>48856</v>
      </c>
      <c r="F11266" s="10" t="s">
        <v>1150</v>
      </c>
      <c r="G11266" s="10" t="s">
        <v>12975</v>
      </c>
      <c r="H11266" s="11">
        <v>42723</v>
      </c>
      <c r="I11266" s="10">
        <v>2016</v>
      </c>
      <c r="J11266" s="10" t="s">
        <v>48857</v>
      </c>
      <c r="K11266" s="10">
        <v>215</v>
      </c>
      <c r="L11266" s="10" t="s">
        <v>48858</v>
      </c>
      <c r="M11266" s="10">
        <v>1</v>
      </c>
      <c r="N11266" s="10"/>
      <c r="O11266" s="10"/>
      <c r="P11266" s="10" t="s">
        <v>48859</v>
      </c>
      <c r="Q11266" s="10">
        <v>378.01</v>
      </c>
      <c r="R11266" s="10" t="s">
        <v>48860</v>
      </c>
      <c r="S11266" s="10" t="s">
        <v>53</v>
      </c>
      <c r="T11266" s="10" t="s">
        <v>54</v>
      </c>
    </row>
    <row r="11267" spans="1:20" ht="14.5" x14ac:dyDescent="0.35">
      <c r="A11267" s="10" t="s">
        <v>48861</v>
      </c>
      <c r="B11267" s="10" t="str">
        <f>"9780522870411"</f>
        <v>9780522870411</v>
      </c>
      <c r="C11267" s="10" t="str">
        <f>"9780522870428"</f>
        <v>9780522870428</v>
      </c>
      <c r="D11267" s="10" t="s">
        <v>48856</v>
      </c>
      <c r="E11267" s="10" t="s">
        <v>48856</v>
      </c>
      <c r="F11267" s="10" t="s">
        <v>1150</v>
      </c>
      <c r="G11267" s="10" t="s">
        <v>12975</v>
      </c>
      <c r="H11267" s="11">
        <v>42753</v>
      </c>
      <c r="I11267" s="10">
        <v>2017</v>
      </c>
      <c r="J11267" s="10" t="s">
        <v>48857</v>
      </c>
      <c r="K11267" s="10">
        <v>304</v>
      </c>
      <c r="L11267" s="10" t="s">
        <v>48862</v>
      </c>
      <c r="M11267" s="10">
        <v>1</v>
      </c>
      <c r="N11267" s="10"/>
      <c r="O11267" s="10"/>
      <c r="P11267" s="10"/>
      <c r="Q11267" s="10">
        <v>373.94</v>
      </c>
      <c r="R11267" s="10" t="s">
        <v>48863</v>
      </c>
      <c r="S11267" s="10" t="s">
        <v>53</v>
      </c>
      <c r="T11267" s="10" t="s">
        <v>54</v>
      </c>
    </row>
    <row r="11268" spans="1:20" ht="14.5" x14ac:dyDescent="0.35">
      <c r="A11268" s="10" t="s">
        <v>48864</v>
      </c>
      <c r="B11268" s="10" t="str">
        <f>"9781438474717"</f>
        <v>9781438474717</v>
      </c>
      <c r="C11268" s="10" t="str">
        <f>"9781438474724"</f>
        <v>9781438474724</v>
      </c>
      <c r="D11268" s="10" t="s">
        <v>37676</v>
      </c>
      <c r="E11268" s="10" t="s">
        <v>37677</v>
      </c>
      <c r="F11268" s="10" t="s">
        <v>5707</v>
      </c>
      <c r="G11268" s="10" t="s">
        <v>6317</v>
      </c>
      <c r="H11268" s="11">
        <v>43497</v>
      </c>
      <c r="I11268" s="10">
        <v>2019</v>
      </c>
      <c r="J11268" s="10" t="s">
        <v>37677</v>
      </c>
      <c r="K11268" s="10">
        <v>158</v>
      </c>
      <c r="L11268" s="10" t="s">
        <v>48865</v>
      </c>
      <c r="M11268" s="10">
        <v>1</v>
      </c>
      <c r="N11268" s="10" t="s">
        <v>48866</v>
      </c>
      <c r="O11268" s="10"/>
      <c r="P11268" s="10" t="s">
        <v>48867</v>
      </c>
      <c r="Q11268" s="10">
        <v>966.70049607299995</v>
      </c>
      <c r="R11268" s="10" t="s">
        <v>48868</v>
      </c>
      <c r="S11268" s="10" t="s">
        <v>53</v>
      </c>
      <c r="T11268" s="10" t="s">
        <v>4490</v>
      </c>
    </row>
    <row r="11269" spans="1:20" ht="14.5" x14ac:dyDescent="0.35">
      <c r="A11269" s="10" t="s">
        <v>48869</v>
      </c>
      <c r="B11269" s="10" t="str">
        <f>"9781503608429"</f>
        <v>9781503608429</v>
      </c>
      <c r="C11269" s="10" t="str">
        <f>"9781503608825"</f>
        <v>9781503608825</v>
      </c>
      <c r="D11269" s="10" t="s">
        <v>16213</v>
      </c>
      <c r="E11269" s="10" t="s">
        <v>16213</v>
      </c>
      <c r="F11269" s="10" t="s">
        <v>16214</v>
      </c>
      <c r="G11269" s="10" t="s">
        <v>6317</v>
      </c>
      <c r="H11269" s="11">
        <v>43557</v>
      </c>
      <c r="I11269" s="10">
        <v>2019</v>
      </c>
      <c r="J11269" s="10" t="s">
        <v>16213</v>
      </c>
      <c r="K11269" s="10">
        <v>274</v>
      </c>
      <c r="L11269" s="10" t="s">
        <v>48870</v>
      </c>
      <c r="M11269" s="10">
        <v>1</v>
      </c>
      <c r="N11269" s="10"/>
      <c r="O11269" s="10"/>
      <c r="P11269" s="10" t="s">
        <v>48871</v>
      </c>
      <c r="Q11269" s="10"/>
      <c r="R11269" s="10" t="s">
        <v>48872</v>
      </c>
      <c r="S11269" s="10" t="s">
        <v>53</v>
      </c>
      <c r="T11269" s="10" t="s">
        <v>54</v>
      </c>
    </row>
    <row r="11270" spans="1:20" ht="14.5" x14ac:dyDescent="0.35">
      <c r="A11270" s="10" t="s">
        <v>48873</v>
      </c>
      <c r="B11270" s="10" t="str">
        <f>"9781119399964"</f>
        <v>9781119399964</v>
      </c>
      <c r="C11270" s="10" t="str">
        <f>"9781119399469"</f>
        <v>9781119399469</v>
      </c>
      <c r="D11270" s="10" t="s">
        <v>6322</v>
      </c>
      <c r="E11270" s="10" t="s">
        <v>6323</v>
      </c>
      <c r="F11270" s="10" t="s">
        <v>4423</v>
      </c>
      <c r="G11270" s="10" t="s">
        <v>6317</v>
      </c>
      <c r="H11270" s="11">
        <v>43550</v>
      </c>
      <c r="I11270" s="10">
        <v>2019</v>
      </c>
      <c r="J11270" s="10" t="s">
        <v>8436</v>
      </c>
      <c r="K11270" s="10">
        <v>635</v>
      </c>
      <c r="L11270" s="10" t="s">
        <v>22436</v>
      </c>
      <c r="M11270" s="10">
        <v>1</v>
      </c>
      <c r="N11270" s="10" t="s">
        <v>41092</v>
      </c>
      <c r="O11270" s="10"/>
      <c r="P11270" s="10"/>
      <c r="Q11270" s="10"/>
      <c r="R11270" s="10" t="s">
        <v>7283</v>
      </c>
      <c r="S11270" s="10" t="s">
        <v>53</v>
      </c>
      <c r="T11270" s="10" t="s">
        <v>54</v>
      </c>
    </row>
    <row r="11271" spans="1:20" ht="14.5" x14ac:dyDescent="0.35">
      <c r="A11271" s="10" t="s">
        <v>48874</v>
      </c>
      <c r="B11271" s="10" t="str">
        <f>"9789004390089"</f>
        <v>9789004390089</v>
      </c>
      <c r="C11271" s="10" t="str">
        <f>"9789004390096"</f>
        <v>9789004390096</v>
      </c>
      <c r="D11271" s="10" t="s">
        <v>8564</v>
      </c>
      <c r="E11271" s="10" t="s">
        <v>8565</v>
      </c>
      <c r="F11271" s="10" t="s">
        <v>1420</v>
      </c>
      <c r="G11271" s="10" t="s">
        <v>6317</v>
      </c>
      <c r="H11271" s="11">
        <v>43503</v>
      </c>
      <c r="I11271" s="10">
        <v>2019</v>
      </c>
      <c r="J11271" s="10" t="s">
        <v>33259</v>
      </c>
      <c r="K11271" s="10">
        <v>289</v>
      </c>
      <c r="L11271" s="10" t="s">
        <v>48875</v>
      </c>
      <c r="M11271" s="10">
        <v>1</v>
      </c>
      <c r="N11271" s="10"/>
      <c r="O11271" s="10"/>
      <c r="P11271" s="10" t="s">
        <v>48876</v>
      </c>
      <c r="Q11271" s="10">
        <v>700.71</v>
      </c>
      <c r="R11271" s="10" t="s">
        <v>48877</v>
      </c>
      <c r="S11271" s="10" t="s">
        <v>53</v>
      </c>
      <c r="T11271" s="10" t="s">
        <v>6384</v>
      </c>
    </row>
    <row r="11272" spans="1:20" ht="14.5" x14ac:dyDescent="0.35">
      <c r="A11272" s="10" t="s">
        <v>48878</v>
      </c>
      <c r="B11272" s="10" t="str">
        <f>"9789004396425"</f>
        <v>9789004396425</v>
      </c>
      <c r="C11272" s="10" t="str">
        <f>"9789004396449"</f>
        <v>9789004396449</v>
      </c>
      <c r="D11272" s="10" t="s">
        <v>8564</v>
      </c>
      <c r="E11272" s="10" t="s">
        <v>8565</v>
      </c>
      <c r="F11272" s="10" t="s">
        <v>1420</v>
      </c>
      <c r="G11272" s="10" t="s">
        <v>6317</v>
      </c>
      <c r="H11272" s="11">
        <v>43510</v>
      </c>
      <c r="I11272" s="10">
        <v>2019</v>
      </c>
      <c r="J11272" s="10" t="s">
        <v>33259</v>
      </c>
      <c r="K11272" s="10">
        <v>255</v>
      </c>
      <c r="L11272" s="10" t="s">
        <v>48879</v>
      </c>
      <c r="M11272" s="10">
        <v>1</v>
      </c>
      <c r="N11272" s="10" t="s">
        <v>43647</v>
      </c>
      <c r="O11272" s="10">
        <v>3</v>
      </c>
      <c r="P11272" s="10"/>
      <c r="Q11272" s="10"/>
      <c r="R11272" s="10"/>
      <c r="S11272" s="10" t="s">
        <v>53</v>
      </c>
      <c r="T11272" s="10" t="s">
        <v>54</v>
      </c>
    </row>
    <row r="11273" spans="1:20" ht="14.5" x14ac:dyDescent="0.35">
      <c r="A11273" s="10" t="s">
        <v>48880</v>
      </c>
      <c r="B11273" s="10" t="str">
        <f>"9780522870558"</f>
        <v>9780522870558</v>
      </c>
      <c r="C11273" s="10" t="str">
        <f>"9780522870572"</f>
        <v>9780522870572</v>
      </c>
      <c r="D11273" s="10" t="s">
        <v>48856</v>
      </c>
      <c r="E11273" s="10" t="s">
        <v>48856</v>
      </c>
      <c r="F11273" s="10" t="s">
        <v>1150</v>
      </c>
      <c r="G11273" s="10" t="s">
        <v>12975</v>
      </c>
      <c r="H11273" s="11">
        <v>42569</v>
      </c>
      <c r="I11273" s="10">
        <v>2016</v>
      </c>
      <c r="J11273" s="10" t="s">
        <v>48857</v>
      </c>
      <c r="K11273" s="10">
        <v>130</v>
      </c>
      <c r="L11273" s="10" t="s">
        <v>48881</v>
      </c>
      <c r="M11273" s="10">
        <v>1</v>
      </c>
      <c r="N11273" s="10"/>
      <c r="O11273" s="10"/>
      <c r="P11273" s="10" t="s">
        <v>48882</v>
      </c>
      <c r="Q11273" s="10">
        <v>378</v>
      </c>
      <c r="R11273" s="10" t="s">
        <v>13495</v>
      </c>
      <c r="S11273" s="10" t="s">
        <v>53</v>
      </c>
      <c r="T11273" s="10" t="s">
        <v>54</v>
      </c>
    </row>
    <row r="11274" spans="1:20" ht="14.5" x14ac:dyDescent="0.35">
      <c r="A11274" s="10" t="s">
        <v>48883</v>
      </c>
      <c r="B11274" s="10" t="str">
        <f>"9780522871395"</f>
        <v>9780522871395</v>
      </c>
      <c r="C11274" s="10" t="str">
        <f>"9780522871418"</f>
        <v>9780522871418</v>
      </c>
      <c r="D11274" s="10" t="s">
        <v>48856</v>
      </c>
      <c r="E11274" s="10" t="s">
        <v>48856</v>
      </c>
      <c r="F11274" s="10" t="s">
        <v>1150</v>
      </c>
      <c r="G11274" s="10" t="s">
        <v>12975</v>
      </c>
      <c r="H11274" s="11">
        <v>42814</v>
      </c>
      <c r="I11274" s="10">
        <v>2017</v>
      </c>
      <c r="J11274" s="10" t="s">
        <v>48857</v>
      </c>
      <c r="K11274" s="10">
        <v>131</v>
      </c>
      <c r="L11274" s="10" t="s">
        <v>48884</v>
      </c>
      <c r="M11274" s="10">
        <v>1</v>
      </c>
      <c r="N11274" s="10"/>
      <c r="O11274" s="10"/>
      <c r="P11274" s="10"/>
      <c r="Q11274" s="10"/>
      <c r="R11274" s="10" t="s">
        <v>48885</v>
      </c>
      <c r="S11274" s="10" t="s">
        <v>53</v>
      </c>
      <c r="T11274" s="10" t="s">
        <v>54</v>
      </c>
    </row>
    <row r="11275" spans="1:20" ht="14.5" x14ac:dyDescent="0.35">
      <c r="A11275" s="10" t="s">
        <v>48886</v>
      </c>
      <c r="B11275" s="10" t="str">
        <f>"9782870099445"</f>
        <v>9782870099445</v>
      </c>
      <c r="C11275" s="10" t="str">
        <f>"9782804701277"</f>
        <v>9782804701277</v>
      </c>
      <c r="D11275" s="10" t="s">
        <v>29172</v>
      </c>
      <c r="E11275" s="10" t="s">
        <v>48277</v>
      </c>
      <c r="F11275" s="10" t="s">
        <v>29181</v>
      </c>
      <c r="G11275" s="10" t="s">
        <v>28737</v>
      </c>
      <c r="H11275" s="11">
        <v>41571</v>
      </c>
      <c r="I11275" s="10">
        <v>2013</v>
      </c>
      <c r="J11275" s="10" t="s">
        <v>48277</v>
      </c>
      <c r="K11275" s="10">
        <v>160</v>
      </c>
      <c r="L11275" s="10" t="s">
        <v>48887</v>
      </c>
      <c r="M11275" s="10">
        <v>1</v>
      </c>
      <c r="N11275" s="10"/>
      <c r="O11275" s="10"/>
      <c r="P11275" s="10"/>
      <c r="Q11275" s="10"/>
      <c r="R11275" s="10" t="s">
        <v>48888</v>
      </c>
      <c r="S11275" s="10" t="s">
        <v>5404</v>
      </c>
      <c r="T11275" s="10" t="s">
        <v>483</v>
      </c>
    </row>
    <row r="11276" spans="1:20" ht="14.5" x14ac:dyDescent="0.35">
      <c r="A11276" s="10" t="s">
        <v>48889</v>
      </c>
      <c r="B11276" s="10" t="str">
        <f>"9781421427416"</f>
        <v>9781421427416</v>
      </c>
      <c r="C11276" s="10" t="str">
        <f>"9781421427423"</f>
        <v>9781421427423</v>
      </c>
      <c r="D11276" s="10" t="s">
        <v>884</v>
      </c>
      <c r="E11276" s="10" t="s">
        <v>884</v>
      </c>
      <c r="F11276" s="10" t="s">
        <v>885</v>
      </c>
      <c r="G11276" s="10" t="s">
        <v>6317</v>
      </c>
      <c r="H11276" s="11">
        <v>43550</v>
      </c>
      <c r="I11276" s="10">
        <v>2019</v>
      </c>
      <c r="J11276" s="10" t="s">
        <v>884</v>
      </c>
      <c r="K11276" s="10">
        <v>281</v>
      </c>
      <c r="L11276" s="10" t="s">
        <v>48890</v>
      </c>
      <c r="M11276" s="10">
        <v>1</v>
      </c>
      <c r="N11276" s="10"/>
      <c r="O11276" s="10"/>
      <c r="P11276" s="10" t="s">
        <v>48891</v>
      </c>
      <c r="Q11276" s="10">
        <v>378.73</v>
      </c>
      <c r="R11276" s="10"/>
      <c r="S11276" s="10" t="s">
        <v>53</v>
      </c>
      <c r="T11276" s="10" t="s">
        <v>54</v>
      </c>
    </row>
    <row r="11277" spans="1:20" ht="14.5" x14ac:dyDescent="0.35">
      <c r="A11277" s="10" t="s">
        <v>48892</v>
      </c>
      <c r="B11277" s="10" t="str">
        <f>"9781787697324"</f>
        <v>9781787697324</v>
      </c>
      <c r="C11277" s="10" t="str">
        <f>"9781787697331"</f>
        <v>9781787697331</v>
      </c>
      <c r="D11277" s="10" t="s">
        <v>8699</v>
      </c>
      <c r="E11277" s="10" t="s">
        <v>8699</v>
      </c>
      <c r="F11277" s="10" t="s">
        <v>559</v>
      </c>
      <c r="G11277" s="10" t="s">
        <v>6352</v>
      </c>
      <c r="H11277" s="11">
        <v>43521</v>
      </c>
      <c r="I11277" s="10">
        <v>2019</v>
      </c>
      <c r="J11277" s="10" t="s">
        <v>8699</v>
      </c>
      <c r="K11277" s="10">
        <v>214</v>
      </c>
      <c r="L11277" s="10" t="s">
        <v>48893</v>
      </c>
      <c r="M11277" s="10">
        <v>1</v>
      </c>
      <c r="N11277" s="10" t="s">
        <v>17877</v>
      </c>
      <c r="O11277" s="10">
        <v>32</v>
      </c>
      <c r="P11277" s="10" t="s">
        <v>29384</v>
      </c>
      <c r="Q11277" s="10">
        <v>371.1</v>
      </c>
      <c r="R11277" s="10" t="s">
        <v>48894</v>
      </c>
      <c r="S11277" s="10" t="s">
        <v>53</v>
      </c>
      <c r="T11277" s="10" t="s">
        <v>54</v>
      </c>
    </row>
    <row r="11278" spans="1:20" ht="14.5" x14ac:dyDescent="0.35">
      <c r="A11278" s="10" t="s">
        <v>48895</v>
      </c>
      <c r="B11278" s="10" t="str">
        <f>""</f>
        <v/>
      </c>
      <c r="C11278" s="10" t="str">
        <f>"9782364932104"</f>
        <v>9782364932104</v>
      </c>
      <c r="D11278" s="10" t="s">
        <v>48896</v>
      </c>
      <c r="E11278" s="10" t="s">
        <v>48897</v>
      </c>
      <c r="F11278" s="10" t="s">
        <v>48898</v>
      </c>
      <c r="G11278" s="10" t="s">
        <v>31597</v>
      </c>
      <c r="H11278" s="11">
        <v>40252</v>
      </c>
      <c r="I11278" s="10">
        <v>2010</v>
      </c>
      <c r="J11278" s="10" t="s">
        <v>48897</v>
      </c>
      <c r="K11278" s="10">
        <v>184</v>
      </c>
      <c r="L11278" s="10" t="s">
        <v>48899</v>
      </c>
      <c r="M11278" s="10">
        <v>1</v>
      </c>
      <c r="N11278" s="10"/>
      <c r="O11278" s="10"/>
      <c r="P11278" s="10" t="s">
        <v>48900</v>
      </c>
      <c r="Q11278" s="10">
        <v>507.1</v>
      </c>
      <c r="R11278" s="10" t="s">
        <v>33559</v>
      </c>
      <c r="S11278" s="10" t="s">
        <v>5404</v>
      </c>
      <c r="T11278" s="10" t="s">
        <v>9608</v>
      </c>
    </row>
    <row r="11279" spans="1:20" ht="14.5" x14ac:dyDescent="0.35">
      <c r="A11279" s="10" t="s">
        <v>48901</v>
      </c>
      <c r="B11279" s="10" t="str">
        <f>""</f>
        <v/>
      </c>
      <c r="C11279" s="10" t="str">
        <f>"9782364933392"</f>
        <v>9782364933392</v>
      </c>
      <c r="D11279" s="10" t="s">
        <v>48896</v>
      </c>
      <c r="E11279" s="10" t="s">
        <v>48897</v>
      </c>
      <c r="F11279" s="10" t="s">
        <v>48898</v>
      </c>
      <c r="G11279" s="10" t="s">
        <v>31597</v>
      </c>
      <c r="H11279" s="11">
        <v>41065</v>
      </c>
      <c r="I11279" s="10">
        <v>2012</v>
      </c>
      <c r="J11279" s="10" t="s">
        <v>48897</v>
      </c>
      <c r="K11279" s="10">
        <v>110</v>
      </c>
      <c r="L11279" s="10" t="s">
        <v>48902</v>
      </c>
      <c r="M11279" s="10">
        <v>1</v>
      </c>
      <c r="N11279" s="10"/>
      <c r="O11279" s="10"/>
      <c r="P11279" s="10" t="s">
        <v>48903</v>
      </c>
      <c r="Q11279" s="10">
        <v>620.001171</v>
      </c>
      <c r="R11279" s="10" t="s">
        <v>48904</v>
      </c>
      <c r="S11279" s="10" t="s">
        <v>5404</v>
      </c>
      <c r="T11279" s="10" t="s">
        <v>40915</v>
      </c>
    </row>
    <row r="11280" spans="1:20" ht="14.5" x14ac:dyDescent="0.35">
      <c r="A11280" s="10" t="s">
        <v>48905</v>
      </c>
      <c r="B11280" s="10" t="str">
        <f>""</f>
        <v/>
      </c>
      <c r="C11280" s="10" t="str">
        <f>"9782364934016"</f>
        <v>9782364934016</v>
      </c>
      <c r="D11280" s="10" t="s">
        <v>48896</v>
      </c>
      <c r="E11280" s="10" t="s">
        <v>48897</v>
      </c>
      <c r="F11280" s="10" t="s">
        <v>48898</v>
      </c>
      <c r="G11280" s="10" t="s">
        <v>31597</v>
      </c>
      <c r="H11280" s="11">
        <v>41383</v>
      </c>
      <c r="I11280" s="10">
        <v>2013</v>
      </c>
      <c r="J11280" s="10" t="s">
        <v>48897</v>
      </c>
      <c r="K11280" s="10">
        <v>148</v>
      </c>
      <c r="L11280" s="10" t="s">
        <v>48906</v>
      </c>
      <c r="M11280" s="10">
        <v>1</v>
      </c>
      <c r="N11280" s="10"/>
      <c r="O11280" s="10"/>
      <c r="P11280" s="10" t="s">
        <v>48907</v>
      </c>
      <c r="Q11280" s="10">
        <v>332</v>
      </c>
      <c r="R11280" s="10" t="s">
        <v>48908</v>
      </c>
      <c r="S11280" s="10" t="s">
        <v>5404</v>
      </c>
      <c r="T11280" s="10" t="s">
        <v>10311</v>
      </c>
    </row>
    <row r="11281" spans="1:20" ht="14.5" x14ac:dyDescent="0.35">
      <c r="A11281" s="10" t="s">
        <v>48909</v>
      </c>
      <c r="B11281" s="10" t="str">
        <f>""</f>
        <v/>
      </c>
      <c r="C11281" s="10" t="str">
        <f>"9782364934221"</f>
        <v>9782364934221</v>
      </c>
      <c r="D11281" s="10" t="s">
        <v>48896</v>
      </c>
      <c r="E11281" s="10" t="s">
        <v>48897</v>
      </c>
      <c r="F11281" s="10" t="s">
        <v>48898</v>
      </c>
      <c r="G11281" s="10" t="s">
        <v>31597</v>
      </c>
      <c r="H11281" s="11">
        <v>41989</v>
      </c>
      <c r="I11281" s="10">
        <v>2014</v>
      </c>
      <c r="J11281" s="10" t="s">
        <v>48897</v>
      </c>
      <c r="K11281" s="10">
        <v>164</v>
      </c>
      <c r="L11281" s="10" t="s">
        <v>48910</v>
      </c>
      <c r="M11281" s="10">
        <v>1</v>
      </c>
      <c r="N11281" s="10"/>
      <c r="O11281" s="10"/>
      <c r="P11281" s="10" t="s">
        <v>48911</v>
      </c>
      <c r="Q11281" s="10">
        <v>658</v>
      </c>
      <c r="R11281" s="10" t="s">
        <v>48912</v>
      </c>
      <c r="S11281" s="10" t="s">
        <v>5404</v>
      </c>
      <c r="T11281" s="10" t="s">
        <v>6660</v>
      </c>
    </row>
    <row r="11282" spans="1:20" ht="14.5" x14ac:dyDescent="0.35">
      <c r="A11282" s="10" t="s">
        <v>48913</v>
      </c>
      <c r="B11282" s="10" t="str">
        <f>""</f>
        <v/>
      </c>
      <c r="C11282" s="10" t="str">
        <f>"9782364933873"</f>
        <v>9782364933873</v>
      </c>
      <c r="D11282" s="10" t="s">
        <v>48896</v>
      </c>
      <c r="E11282" s="10" t="s">
        <v>48897</v>
      </c>
      <c r="F11282" s="10" t="s">
        <v>48898</v>
      </c>
      <c r="G11282" s="10" t="s">
        <v>31597</v>
      </c>
      <c r="H11282" s="11">
        <v>41207</v>
      </c>
      <c r="I11282" s="10">
        <v>2012</v>
      </c>
      <c r="J11282" s="10" t="s">
        <v>48897</v>
      </c>
      <c r="K11282" s="10">
        <v>256</v>
      </c>
      <c r="L11282" s="10" t="s">
        <v>48914</v>
      </c>
      <c r="M11282" s="10">
        <v>1</v>
      </c>
      <c r="N11282" s="10"/>
      <c r="O11282" s="10"/>
      <c r="P11282" s="10" t="s">
        <v>48915</v>
      </c>
      <c r="Q11282" s="10">
        <v>4.21</v>
      </c>
      <c r="R11282" s="10" t="s">
        <v>48916</v>
      </c>
      <c r="S11282" s="10" t="s">
        <v>5404</v>
      </c>
      <c r="T11282" s="10" t="s">
        <v>19959</v>
      </c>
    </row>
    <row r="11283" spans="1:20" ht="14.5" x14ac:dyDescent="0.35">
      <c r="A11283" s="10" t="s">
        <v>48917</v>
      </c>
      <c r="B11283" s="10" t="str">
        <f>"9781416626282"</f>
        <v>9781416626282</v>
      </c>
      <c r="C11283" s="10" t="str">
        <f>"9781416626305"</f>
        <v>9781416626305</v>
      </c>
      <c r="D11283" s="10" t="s">
        <v>10014</v>
      </c>
      <c r="E11283" s="10" t="s">
        <v>10015</v>
      </c>
      <c r="F11283" s="10" t="s">
        <v>201</v>
      </c>
      <c r="G11283" s="10" t="s">
        <v>6317</v>
      </c>
      <c r="H11283" s="11">
        <v>43424</v>
      </c>
      <c r="I11283" s="10">
        <v>2018</v>
      </c>
      <c r="J11283" s="10" t="s">
        <v>10015</v>
      </c>
      <c r="K11283" s="10">
        <v>202</v>
      </c>
      <c r="L11283" s="10" t="s">
        <v>48918</v>
      </c>
      <c r="M11283" s="10">
        <v>1</v>
      </c>
      <c r="N11283" s="10"/>
      <c r="O11283" s="10"/>
      <c r="P11283" s="10" t="s">
        <v>48919</v>
      </c>
      <c r="Q11283" s="10" t="s">
        <v>6942</v>
      </c>
      <c r="R11283" s="10" t="s">
        <v>48920</v>
      </c>
      <c r="S11283" s="10" t="s">
        <v>53</v>
      </c>
      <c r="T11283" s="10" t="s">
        <v>54</v>
      </c>
    </row>
    <row r="11284" spans="1:20" ht="14.5" x14ac:dyDescent="0.35">
      <c r="A11284" s="10" t="s">
        <v>48921</v>
      </c>
      <c r="B11284" s="10" t="str">
        <f>"9781416627005"</f>
        <v>9781416627005</v>
      </c>
      <c r="C11284" s="10" t="str">
        <f>"9781416627029"</f>
        <v>9781416627029</v>
      </c>
      <c r="D11284" s="10" t="s">
        <v>10014</v>
      </c>
      <c r="E11284" s="10" t="s">
        <v>10015</v>
      </c>
      <c r="F11284" s="10" t="s">
        <v>201</v>
      </c>
      <c r="G11284" s="10" t="s">
        <v>6317</v>
      </c>
      <c r="H11284" s="11">
        <v>43495</v>
      </c>
      <c r="I11284" s="10">
        <v>2019</v>
      </c>
      <c r="J11284" s="10" t="s">
        <v>10015</v>
      </c>
      <c r="K11284" s="10">
        <v>250</v>
      </c>
      <c r="L11284" s="10" t="s">
        <v>48922</v>
      </c>
      <c r="M11284" s="10">
        <v>1</v>
      </c>
      <c r="N11284" s="10"/>
      <c r="O11284" s="10"/>
      <c r="P11284" s="10"/>
      <c r="Q11284" s="10"/>
      <c r="R11284" s="10"/>
      <c r="S11284" s="10" t="s">
        <v>53</v>
      </c>
      <c r="T11284" s="10" t="s">
        <v>54</v>
      </c>
    </row>
    <row r="11285" spans="1:20" ht="14.5" x14ac:dyDescent="0.35">
      <c r="A11285" s="10" t="s">
        <v>48923</v>
      </c>
      <c r="B11285" s="10" t="str">
        <f>"9781416626473"</f>
        <v>9781416626473</v>
      </c>
      <c r="C11285" s="10" t="str">
        <f>"9781416626985"</f>
        <v>9781416626985</v>
      </c>
      <c r="D11285" s="10" t="s">
        <v>10014</v>
      </c>
      <c r="E11285" s="10" t="s">
        <v>10015</v>
      </c>
      <c r="F11285" s="10" t="s">
        <v>201</v>
      </c>
      <c r="G11285" s="10" t="s">
        <v>6317</v>
      </c>
      <c r="H11285" s="11">
        <v>43327</v>
      </c>
      <c r="I11285" s="10">
        <v>2018</v>
      </c>
      <c r="J11285" s="10" t="s">
        <v>10015</v>
      </c>
      <c r="K11285" s="10">
        <v>194</v>
      </c>
      <c r="L11285" s="10" t="s">
        <v>48924</v>
      </c>
      <c r="M11285" s="10">
        <v>1</v>
      </c>
      <c r="N11285" s="10"/>
      <c r="O11285" s="10"/>
      <c r="P11285" s="10" t="s">
        <v>48925</v>
      </c>
      <c r="Q11285" s="10" t="s">
        <v>12394</v>
      </c>
      <c r="R11285" s="10" t="s">
        <v>48926</v>
      </c>
      <c r="S11285" s="10" t="s">
        <v>53</v>
      </c>
      <c r="T11285" s="10" t="s">
        <v>54</v>
      </c>
    </row>
    <row r="11286" spans="1:20" ht="14.5" x14ac:dyDescent="0.35">
      <c r="A11286" s="10" t="s">
        <v>48927</v>
      </c>
      <c r="B11286" s="10" t="str">
        <f>"9781416626893"</f>
        <v>9781416626893</v>
      </c>
      <c r="C11286" s="10" t="str">
        <f>"9781416626916"</f>
        <v>9781416626916</v>
      </c>
      <c r="D11286" s="10" t="s">
        <v>10014</v>
      </c>
      <c r="E11286" s="10" t="s">
        <v>10015</v>
      </c>
      <c r="F11286" s="10" t="s">
        <v>201</v>
      </c>
      <c r="G11286" s="10" t="s">
        <v>6317</v>
      </c>
      <c r="H11286" s="11">
        <v>43403</v>
      </c>
      <c r="I11286" s="10">
        <v>2018</v>
      </c>
      <c r="J11286" s="10" t="s">
        <v>10015</v>
      </c>
      <c r="K11286" s="10">
        <v>93</v>
      </c>
      <c r="L11286" s="10" t="s">
        <v>15760</v>
      </c>
      <c r="M11286" s="10">
        <v>1</v>
      </c>
      <c r="N11286" s="10"/>
      <c r="O11286" s="10"/>
      <c r="P11286" s="10"/>
      <c r="Q11286" s="10"/>
      <c r="R11286" s="10"/>
      <c r="S11286" s="10" t="s">
        <v>53</v>
      </c>
      <c r="T11286" s="10" t="s">
        <v>54</v>
      </c>
    </row>
    <row r="11287" spans="1:20" ht="14.5" x14ac:dyDescent="0.35">
      <c r="A11287" s="10" t="s">
        <v>48928</v>
      </c>
      <c r="B11287" s="10" t="str">
        <f>"9781416627234"</f>
        <v>9781416627234</v>
      </c>
      <c r="C11287" s="10" t="str">
        <f>"9781416627241"</f>
        <v>9781416627241</v>
      </c>
      <c r="D11287" s="10" t="s">
        <v>10014</v>
      </c>
      <c r="E11287" s="10" t="s">
        <v>10015</v>
      </c>
      <c r="F11287" s="10" t="s">
        <v>201</v>
      </c>
      <c r="G11287" s="10" t="s">
        <v>6317</v>
      </c>
      <c r="H11287" s="11">
        <v>43500</v>
      </c>
      <c r="I11287" s="10">
        <v>2019</v>
      </c>
      <c r="J11287" s="10" t="s">
        <v>10015</v>
      </c>
      <c r="K11287" s="10">
        <v>250</v>
      </c>
      <c r="L11287" s="10" t="s">
        <v>48929</v>
      </c>
      <c r="M11287" s="10">
        <v>1</v>
      </c>
      <c r="N11287" s="10"/>
      <c r="O11287" s="10"/>
      <c r="P11287" s="10" t="s">
        <v>48930</v>
      </c>
      <c r="Q11287" s="10" t="s">
        <v>38241</v>
      </c>
      <c r="R11287" s="10" t="s">
        <v>42082</v>
      </c>
      <c r="S11287" s="10" t="s">
        <v>53</v>
      </c>
      <c r="T11287" s="10" t="s">
        <v>54</v>
      </c>
    </row>
    <row r="11288" spans="1:20" ht="14.5" x14ac:dyDescent="0.35">
      <c r="A11288" s="10" t="s">
        <v>48931</v>
      </c>
      <c r="B11288" s="10" t="str">
        <f>"9781416627142"</f>
        <v>9781416627142</v>
      </c>
      <c r="C11288" s="10" t="str">
        <f>"9781416627159"</f>
        <v>9781416627159</v>
      </c>
      <c r="D11288" s="10" t="s">
        <v>10014</v>
      </c>
      <c r="E11288" s="10" t="s">
        <v>10015</v>
      </c>
      <c r="F11288" s="10" t="s">
        <v>201</v>
      </c>
      <c r="G11288" s="10" t="s">
        <v>6317</v>
      </c>
      <c r="H11288" s="11">
        <v>43524</v>
      </c>
      <c r="I11288" s="10">
        <v>2019</v>
      </c>
      <c r="J11288" s="10" t="s">
        <v>10015</v>
      </c>
      <c r="K11288" s="10">
        <v>162</v>
      </c>
      <c r="L11288" s="10" t="s">
        <v>48932</v>
      </c>
      <c r="M11288" s="10">
        <v>1</v>
      </c>
      <c r="N11288" s="10"/>
      <c r="O11288" s="10"/>
      <c r="P11288" s="10"/>
      <c r="Q11288" s="10"/>
      <c r="R11288" s="10"/>
      <c r="S11288" s="10" t="s">
        <v>53</v>
      </c>
      <c r="T11288" s="10" t="s">
        <v>54</v>
      </c>
    </row>
    <row r="11289" spans="1:20" ht="14.5" x14ac:dyDescent="0.35">
      <c r="A11289" s="10" t="s">
        <v>48933</v>
      </c>
      <c r="B11289" s="10" t="str">
        <f>"9781416626817"</f>
        <v>9781416626817</v>
      </c>
      <c r="C11289" s="10" t="str">
        <f>"9781416626831"</f>
        <v>9781416626831</v>
      </c>
      <c r="D11289" s="10" t="s">
        <v>10014</v>
      </c>
      <c r="E11289" s="10" t="s">
        <v>10015</v>
      </c>
      <c r="F11289" s="10" t="s">
        <v>201</v>
      </c>
      <c r="G11289" s="10" t="s">
        <v>6317</v>
      </c>
      <c r="H11289" s="11">
        <v>43403</v>
      </c>
      <c r="I11289" s="10">
        <v>2018</v>
      </c>
      <c r="J11289" s="10" t="s">
        <v>10015</v>
      </c>
      <c r="K11289" s="10">
        <v>250</v>
      </c>
      <c r="L11289" s="10" t="s">
        <v>48934</v>
      </c>
      <c r="M11289" s="10">
        <v>1</v>
      </c>
      <c r="N11289" s="10"/>
      <c r="O11289" s="10"/>
      <c r="P11289" s="10"/>
      <c r="Q11289" s="10" t="s">
        <v>12498</v>
      </c>
      <c r="R11289" s="10"/>
      <c r="S11289" s="10" t="s">
        <v>53</v>
      </c>
      <c r="T11289" s="10" t="s">
        <v>54</v>
      </c>
    </row>
    <row r="11290" spans="1:20" ht="14.5" x14ac:dyDescent="0.35">
      <c r="A11290" s="10" t="s">
        <v>48935</v>
      </c>
      <c r="B11290" s="10" t="str">
        <f>"9781416626947"</f>
        <v>9781416626947</v>
      </c>
      <c r="C11290" s="10" t="str">
        <f>"9781416626961"</f>
        <v>9781416626961</v>
      </c>
      <c r="D11290" s="10" t="s">
        <v>10014</v>
      </c>
      <c r="E11290" s="10" t="s">
        <v>10015</v>
      </c>
      <c r="F11290" s="10" t="s">
        <v>201</v>
      </c>
      <c r="G11290" s="10" t="s">
        <v>6317</v>
      </c>
      <c r="H11290" s="11">
        <v>43403</v>
      </c>
      <c r="I11290" s="10">
        <v>2018</v>
      </c>
      <c r="J11290" s="10" t="s">
        <v>10015</v>
      </c>
      <c r="K11290" s="10">
        <v>146</v>
      </c>
      <c r="L11290" s="10" t="s">
        <v>48936</v>
      </c>
      <c r="M11290" s="10">
        <v>1</v>
      </c>
      <c r="N11290" s="10"/>
      <c r="O11290" s="10"/>
      <c r="P11290" s="10"/>
      <c r="Q11290" s="10"/>
      <c r="R11290" s="10"/>
      <c r="S11290" s="10" t="s">
        <v>53</v>
      </c>
      <c r="T11290" s="10" t="s">
        <v>54</v>
      </c>
    </row>
    <row r="11291" spans="1:20" ht="14.5" x14ac:dyDescent="0.35">
      <c r="A11291" s="10" t="s">
        <v>15776</v>
      </c>
      <c r="B11291" s="10" t="str">
        <f>"9781416626565"</f>
        <v>9781416626565</v>
      </c>
      <c r="C11291" s="10" t="str">
        <f>"9781416626589"</f>
        <v>9781416626589</v>
      </c>
      <c r="D11291" s="10" t="s">
        <v>10014</v>
      </c>
      <c r="E11291" s="10" t="s">
        <v>10015</v>
      </c>
      <c r="F11291" s="10" t="s">
        <v>201</v>
      </c>
      <c r="G11291" s="10" t="s">
        <v>6317</v>
      </c>
      <c r="H11291" s="11">
        <v>43373</v>
      </c>
      <c r="I11291" s="10">
        <v>2018</v>
      </c>
      <c r="J11291" s="10" t="s">
        <v>10015</v>
      </c>
      <c r="K11291" s="10">
        <v>234</v>
      </c>
      <c r="L11291" s="10" t="s">
        <v>15777</v>
      </c>
      <c r="M11291" s="10">
        <v>2</v>
      </c>
      <c r="N11291" s="10"/>
      <c r="O11291" s="10"/>
      <c r="P11291" s="10"/>
      <c r="Q11291" s="10" t="s">
        <v>15779</v>
      </c>
      <c r="R11291" s="10"/>
      <c r="S11291" s="10" t="s">
        <v>53</v>
      </c>
      <c r="T11291" s="10" t="s">
        <v>54</v>
      </c>
    </row>
    <row r="11292" spans="1:20" ht="14.5" x14ac:dyDescent="0.35">
      <c r="A11292" s="10" t="s">
        <v>48937</v>
      </c>
      <c r="B11292" s="10" t="str">
        <f>"9781416627043"</f>
        <v>9781416627043</v>
      </c>
      <c r="C11292" s="10" t="str">
        <f>"9781416627050"</f>
        <v>9781416627050</v>
      </c>
      <c r="D11292" s="10" t="s">
        <v>10014</v>
      </c>
      <c r="E11292" s="10" t="s">
        <v>10015</v>
      </c>
      <c r="F11292" s="10" t="s">
        <v>201</v>
      </c>
      <c r="G11292" s="10" t="s">
        <v>6317</v>
      </c>
      <c r="H11292" s="11">
        <v>43522</v>
      </c>
      <c r="I11292" s="10">
        <v>2019</v>
      </c>
      <c r="J11292" s="10" t="s">
        <v>10015</v>
      </c>
      <c r="K11292" s="10">
        <v>178</v>
      </c>
      <c r="L11292" s="10" t="s">
        <v>17477</v>
      </c>
      <c r="M11292" s="10">
        <v>1</v>
      </c>
      <c r="N11292" s="10"/>
      <c r="O11292" s="10"/>
      <c r="P11292" s="10" t="s">
        <v>48938</v>
      </c>
      <c r="Q11292" s="10" t="s">
        <v>12854</v>
      </c>
      <c r="R11292" s="10" t="s">
        <v>48939</v>
      </c>
      <c r="S11292" s="10" t="s">
        <v>53</v>
      </c>
      <c r="T11292" s="10" t="s">
        <v>54</v>
      </c>
    </row>
    <row r="11293" spans="1:20" ht="14.5" x14ac:dyDescent="0.35">
      <c r="A11293" s="10" t="s">
        <v>48940</v>
      </c>
      <c r="B11293" s="10" t="str">
        <f>"9781416626770"</f>
        <v>9781416626770</v>
      </c>
      <c r="C11293" s="10" t="str">
        <f>"9781416626794"</f>
        <v>9781416626794</v>
      </c>
      <c r="D11293" s="10" t="s">
        <v>10014</v>
      </c>
      <c r="E11293" s="10" t="s">
        <v>10015</v>
      </c>
      <c r="F11293" s="10" t="s">
        <v>201</v>
      </c>
      <c r="G11293" s="10" t="s">
        <v>6317</v>
      </c>
      <c r="H11293" s="11">
        <v>43446</v>
      </c>
      <c r="I11293" s="10">
        <v>2019</v>
      </c>
      <c r="J11293" s="10" t="s">
        <v>10015</v>
      </c>
      <c r="K11293" s="10">
        <v>290</v>
      </c>
      <c r="L11293" s="10" t="s">
        <v>48941</v>
      </c>
      <c r="M11293" s="10">
        <v>2</v>
      </c>
      <c r="N11293" s="10"/>
      <c r="O11293" s="10"/>
      <c r="P11293" s="10" t="s">
        <v>48942</v>
      </c>
      <c r="Q11293" s="10">
        <v>371.39</v>
      </c>
      <c r="R11293" s="10" t="s">
        <v>48943</v>
      </c>
      <c r="S11293" s="10" t="s">
        <v>53</v>
      </c>
      <c r="T11293" s="10" t="s">
        <v>54</v>
      </c>
    </row>
    <row r="11294" spans="1:20" ht="14.5" x14ac:dyDescent="0.35">
      <c r="A11294" s="10" t="s">
        <v>48944</v>
      </c>
      <c r="B11294" s="10" t="str">
        <f>"9781416626992"</f>
        <v>9781416626992</v>
      </c>
      <c r="C11294" s="10" t="str">
        <f>"9781416627227"</f>
        <v>9781416627227</v>
      </c>
      <c r="D11294" s="10" t="s">
        <v>10014</v>
      </c>
      <c r="E11294" s="10" t="s">
        <v>10015</v>
      </c>
      <c r="F11294" s="10" t="s">
        <v>201</v>
      </c>
      <c r="G11294" s="10" t="s">
        <v>6317</v>
      </c>
      <c r="H11294" s="11">
        <v>43495</v>
      </c>
      <c r="I11294" s="10">
        <v>2019</v>
      </c>
      <c r="J11294" s="10" t="s">
        <v>10015</v>
      </c>
      <c r="K11294" s="10">
        <v>206</v>
      </c>
      <c r="L11294" s="10" t="s">
        <v>48945</v>
      </c>
      <c r="M11294" s="10">
        <v>1</v>
      </c>
      <c r="N11294" s="10"/>
      <c r="O11294" s="10"/>
      <c r="P11294" s="10"/>
      <c r="Q11294" s="10"/>
      <c r="R11294" s="10"/>
      <c r="S11294" s="10" t="s">
        <v>53</v>
      </c>
      <c r="T11294" s="10" t="s">
        <v>54</v>
      </c>
    </row>
    <row r="11295" spans="1:20" ht="14.5" x14ac:dyDescent="0.35">
      <c r="A11295" s="10" t="s">
        <v>48946</v>
      </c>
      <c r="B11295" s="10" t="str">
        <f>"9781416626732"</f>
        <v>9781416626732</v>
      </c>
      <c r="C11295" s="10" t="str">
        <f>"9781416626756"</f>
        <v>9781416626756</v>
      </c>
      <c r="D11295" s="10" t="s">
        <v>10014</v>
      </c>
      <c r="E11295" s="10" t="s">
        <v>10015</v>
      </c>
      <c r="F11295" s="10" t="s">
        <v>201</v>
      </c>
      <c r="G11295" s="10" t="s">
        <v>6317</v>
      </c>
      <c r="H11295" s="11">
        <v>43373</v>
      </c>
      <c r="I11295" s="10">
        <v>2018</v>
      </c>
      <c r="J11295" s="10" t="s">
        <v>10015</v>
      </c>
      <c r="K11295" s="10">
        <v>230</v>
      </c>
      <c r="L11295" s="10" t="s">
        <v>48947</v>
      </c>
      <c r="M11295" s="10">
        <v>1</v>
      </c>
      <c r="N11295" s="10"/>
      <c r="O11295" s="10"/>
      <c r="P11295" s="10"/>
      <c r="Q11295" s="10" t="s">
        <v>15735</v>
      </c>
      <c r="R11295" s="10"/>
      <c r="S11295" s="10" t="s">
        <v>53</v>
      </c>
      <c r="T11295" s="10" t="s">
        <v>54</v>
      </c>
    </row>
    <row r="11296" spans="1:20" ht="14.5" x14ac:dyDescent="0.35">
      <c r="A11296" s="10" t="s">
        <v>48948</v>
      </c>
      <c r="B11296" s="10" t="str">
        <f>"9781416626855"</f>
        <v>9781416626855</v>
      </c>
      <c r="C11296" s="10" t="str">
        <f>"9781416626879"</f>
        <v>9781416626879</v>
      </c>
      <c r="D11296" s="10" t="s">
        <v>10014</v>
      </c>
      <c r="E11296" s="10" t="s">
        <v>10015</v>
      </c>
      <c r="F11296" s="10" t="s">
        <v>201</v>
      </c>
      <c r="G11296" s="10" t="s">
        <v>6317</v>
      </c>
      <c r="H11296" s="11">
        <v>43446</v>
      </c>
      <c r="I11296" s="10">
        <v>2018</v>
      </c>
      <c r="J11296" s="10" t="s">
        <v>10015</v>
      </c>
      <c r="K11296" s="10">
        <v>222</v>
      </c>
      <c r="L11296" s="10" t="s">
        <v>48949</v>
      </c>
      <c r="M11296" s="10">
        <v>1</v>
      </c>
      <c r="N11296" s="10"/>
      <c r="O11296" s="10"/>
      <c r="P11296" s="10" t="s">
        <v>48950</v>
      </c>
      <c r="Q11296" s="10">
        <v>371.92</v>
      </c>
      <c r="R11296" s="10" t="s">
        <v>48951</v>
      </c>
      <c r="S11296" s="10" t="s">
        <v>53</v>
      </c>
      <c r="T11296" s="10" t="s">
        <v>54</v>
      </c>
    </row>
    <row r="11297" spans="1:20" ht="14.5" x14ac:dyDescent="0.35">
      <c r="A11297" s="10" t="s">
        <v>48952</v>
      </c>
      <c r="B11297" s="10" t="str">
        <f>"9781416627074"</f>
        <v>9781416627074</v>
      </c>
      <c r="C11297" s="10" t="str">
        <f>"9781416627395"</f>
        <v>9781416627395</v>
      </c>
      <c r="D11297" s="10" t="s">
        <v>10014</v>
      </c>
      <c r="E11297" s="10" t="s">
        <v>10015</v>
      </c>
      <c r="F11297" s="10" t="s">
        <v>201</v>
      </c>
      <c r="G11297" s="10" t="s">
        <v>6317</v>
      </c>
      <c r="H11297" s="11">
        <v>43495</v>
      </c>
      <c r="I11297" s="10">
        <v>2019</v>
      </c>
      <c r="J11297" s="10" t="s">
        <v>10015</v>
      </c>
      <c r="K11297" s="10">
        <v>210</v>
      </c>
      <c r="L11297" s="10" t="s">
        <v>48953</v>
      </c>
      <c r="M11297" s="10">
        <v>1</v>
      </c>
      <c r="N11297" s="10"/>
      <c r="O11297" s="10"/>
      <c r="P11297" s="10"/>
      <c r="Q11297" s="10"/>
      <c r="R11297" s="10"/>
      <c r="S11297" s="10" t="s">
        <v>53</v>
      </c>
      <c r="T11297" s="10" t="s">
        <v>54</v>
      </c>
    </row>
    <row r="11298" spans="1:20" ht="14.5" x14ac:dyDescent="0.35">
      <c r="A11298" s="10" t="s">
        <v>48954</v>
      </c>
      <c r="B11298" s="10" t="str">
        <f>"9781416626619"</f>
        <v>9781416626619</v>
      </c>
      <c r="C11298" s="10" t="str">
        <f>"9781416626633"</f>
        <v>9781416626633</v>
      </c>
      <c r="D11298" s="10" t="s">
        <v>10014</v>
      </c>
      <c r="E11298" s="10" t="s">
        <v>10015</v>
      </c>
      <c r="F11298" s="10" t="s">
        <v>201</v>
      </c>
      <c r="G11298" s="10" t="s">
        <v>6317</v>
      </c>
      <c r="H11298" s="11">
        <v>43451</v>
      </c>
      <c r="I11298" s="10">
        <v>2019</v>
      </c>
      <c r="J11298" s="10" t="s">
        <v>10015</v>
      </c>
      <c r="K11298" s="10">
        <v>258</v>
      </c>
      <c r="L11298" s="10" t="s">
        <v>41067</v>
      </c>
      <c r="M11298" s="10">
        <v>1</v>
      </c>
      <c r="N11298" s="10"/>
      <c r="O11298" s="10"/>
      <c r="P11298" s="10" t="s">
        <v>48955</v>
      </c>
      <c r="Q11298" s="10" t="s">
        <v>8460</v>
      </c>
      <c r="R11298" s="10" t="s">
        <v>48956</v>
      </c>
      <c r="S11298" s="10" t="s">
        <v>53</v>
      </c>
      <c r="T11298" s="10" t="s">
        <v>54</v>
      </c>
    </row>
    <row r="11299" spans="1:20" ht="14.5" x14ac:dyDescent="0.35">
      <c r="A11299" s="10" t="s">
        <v>48957</v>
      </c>
      <c r="B11299" s="10" t="str">
        <f>"9780195160314"</f>
        <v>9780195160314</v>
      </c>
      <c r="C11299" s="10" t="str">
        <f>"9780195344615"</f>
        <v>9780195344615</v>
      </c>
      <c r="D11299" s="10" t="s">
        <v>9122</v>
      </c>
      <c r="E11299" s="10" t="s">
        <v>9133</v>
      </c>
      <c r="F11299" s="10" t="s">
        <v>330</v>
      </c>
      <c r="G11299" s="10" t="s">
        <v>6317</v>
      </c>
      <c r="H11299" s="11">
        <v>37525</v>
      </c>
      <c r="I11299" s="10">
        <v>2001</v>
      </c>
      <c r="J11299" s="10" t="s">
        <v>9133</v>
      </c>
      <c r="K11299" s="10">
        <v>261</v>
      </c>
      <c r="L11299" s="10" t="s">
        <v>48958</v>
      </c>
      <c r="M11299" s="10">
        <v>1</v>
      </c>
      <c r="N11299" s="10"/>
      <c r="O11299" s="10"/>
      <c r="P11299" s="10" t="s">
        <v>48959</v>
      </c>
      <c r="Q11299" s="10" t="s">
        <v>6942</v>
      </c>
      <c r="R11299" s="10" t="s">
        <v>24651</v>
      </c>
      <c r="S11299" s="10" t="s">
        <v>53</v>
      </c>
      <c r="T11299" s="10" t="s">
        <v>54</v>
      </c>
    </row>
    <row r="11300" spans="1:20" ht="14.5" x14ac:dyDescent="0.35">
      <c r="A11300" s="10" t="s">
        <v>48960</v>
      </c>
      <c r="B11300" s="10" t="str">
        <f>"9781947604094"</f>
        <v>9781947604094</v>
      </c>
      <c r="C11300" s="10" t="str">
        <f>"9781947604100"</f>
        <v>9781947604100</v>
      </c>
      <c r="D11300" s="10" t="s">
        <v>37580</v>
      </c>
      <c r="E11300" s="10" t="s">
        <v>37581</v>
      </c>
      <c r="F11300" s="10" t="s">
        <v>37623</v>
      </c>
      <c r="G11300" s="10" t="s">
        <v>6317</v>
      </c>
      <c r="H11300" s="11">
        <v>43524</v>
      </c>
      <c r="I11300" s="10">
        <v>2019</v>
      </c>
      <c r="J11300" s="10" t="s">
        <v>37581</v>
      </c>
      <c r="K11300" s="10">
        <v>176</v>
      </c>
      <c r="L11300" s="10" t="s">
        <v>48961</v>
      </c>
      <c r="M11300" s="10">
        <v>1</v>
      </c>
      <c r="N11300" s="10"/>
      <c r="O11300" s="10"/>
      <c r="P11300" s="10" t="s">
        <v>48962</v>
      </c>
      <c r="Q11300" s="10"/>
      <c r="R11300" s="10"/>
      <c r="S11300" s="10" t="s">
        <v>53</v>
      </c>
      <c r="T11300" s="10" t="s">
        <v>389</v>
      </c>
    </row>
    <row r="11301" spans="1:20" ht="14.5" x14ac:dyDescent="0.35">
      <c r="A11301" s="10" t="s">
        <v>48963</v>
      </c>
      <c r="B11301" s="10" t="str">
        <f>""</f>
        <v/>
      </c>
      <c r="C11301" s="10" t="str">
        <f>"9782364934993"</f>
        <v>9782364934993</v>
      </c>
      <c r="D11301" s="10" t="s">
        <v>48896</v>
      </c>
      <c r="E11301" s="10" t="s">
        <v>48897</v>
      </c>
      <c r="F11301" s="10" t="s">
        <v>48898</v>
      </c>
      <c r="G11301" s="10" t="s">
        <v>31597</v>
      </c>
      <c r="H11301" s="11">
        <v>42353</v>
      </c>
      <c r="I11301" s="10">
        <v>2016</v>
      </c>
      <c r="J11301" s="10" t="s">
        <v>48897</v>
      </c>
      <c r="K11301" s="10">
        <v>250</v>
      </c>
      <c r="L11301" s="10" t="s">
        <v>48964</v>
      </c>
      <c r="M11301" s="10">
        <v>1</v>
      </c>
      <c r="N11301" s="10"/>
      <c r="O11301" s="10"/>
      <c r="P11301" s="10" t="s">
        <v>48965</v>
      </c>
      <c r="Q11301" s="10">
        <v>5.0999999999999996</v>
      </c>
      <c r="R11301" s="10" t="s">
        <v>48966</v>
      </c>
      <c r="S11301" s="10" t="s">
        <v>5404</v>
      </c>
      <c r="T11301" s="10" t="s">
        <v>19959</v>
      </c>
    </row>
    <row r="11302" spans="1:20" ht="14.5" x14ac:dyDescent="0.35">
      <c r="A11302" s="10" t="s">
        <v>48967</v>
      </c>
      <c r="B11302" s="10" t="str">
        <f>""</f>
        <v/>
      </c>
      <c r="C11302" s="10" t="str">
        <f>"9782364934269"</f>
        <v>9782364934269</v>
      </c>
      <c r="D11302" s="10" t="s">
        <v>48896</v>
      </c>
      <c r="E11302" s="10" t="s">
        <v>48897</v>
      </c>
      <c r="F11302" s="10" t="s">
        <v>48898</v>
      </c>
      <c r="G11302" s="10" t="s">
        <v>31597</v>
      </c>
      <c r="H11302" s="11">
        <v>41989</v>
      </c>
      <c r="I11302" s="10">
        <v>2014</v>
      </c>
      <c r="J11302" s="10" t="s">
        <v>48897</v>
      </c>
      <c r="K11302" s="10">
        <v>80</v>
      </c>
      <c r="L11302" s="10" t="s">
        <v>48968</v>
      </c>
      <c r="M11302" s="10">
        <v>1</v>
      </c>
      <c r="N11302" s="10"/>
      <c r="O11302" s="10"/>
      <c r="P11302" s="10" t="s">
        <v>48969</v>
      </c>
      <c r="Q11302" s="10">
        <v>620.001171</v>
      </c>
      <c r="R11302" s="10" t="s">
        <v>48970</v>
      </c>
      <c r="S11302" s="10" t="s">
        <v>5404</v>
      </c>
      <c r="T11302" s="10" t="s">
        <v>48971</v>
      </c>
    </row>
    <row r="11303" spans="1:20" ht="14.5" x14ac:dyDescent="0.35">
      <c r="A11303" s="10" t="s">
        <v>48972</v>
      </c>
      <c r="B11303" s="10" t="str">
        <f>"9781945349782"</f>
        <v>9781945349782</v>
      </c>
      <c r="C11303" s="10" t="str">
        <f>"9781945349799"</f>
        <v>9781945349799</v>
      </c>
      <c r="D11303" s="10" t="s">
        <v>37580</v>
      </c>
      <c r="E11303" s="10" t="s">
        <v>37581</v>
      </c>
      <c r="F11303" s="10" t="s">
        <v>37623</v>
      </c>
      <c r="G11303" s="10" t="s">
        <v>6317</v>
      </c>
      <c r="H11303" s="11">
        <v>43532</v>
      </c>
      <c r="I11303" s="10">
        <v>2019</v>
      </c>
      <c r="J11303" s="10" t="s">
        <v>37581</v>
      </c>
      <c r="K11303" s="10">
        <v>120</v>
      </c>
      <c r="L11303" s="10" t="s">
        <v>48973</v>
      </c>
      <c r="M11303" s="10">
        <v>1</v>
      </c>
      <c r="N11303" s="10"/>
      <c r="O11303" s="10"/>
      <c r="P11303" s="10" t="s">
        <v>24353</v>
      </c>
      <c r="Q11303" s="10"/>
      <c r="R11303" s="10"/>
      <c r="S11303" s="10" t="s">
        <v>53</v>
      </c>
      <c r="T11303" s="10" t="s">
        <v>389</v>
      </c>
    </row>
    <row r="11304" spans="1:20" ht="14.5" x14ac:dyDescent="0.35">
      <c r="A11304" s="10" t="s">
        <v>48974</v>
      </c>
      <c r="B11304" s="10" t="str">
        <f>"9781947604421"</f>
        <v>9781947604421</v>
      </c>
      <c r="C11304" s="10" t="str">
        <f>"9781947604438"</f>
        <v>9781947604438</v>
      </c>
      <c r="D11304" s="10" t="s">
        <v>37580</v>
      </c>
      <c r="E11304" s="10" t="s">
        <v>37581</v>
      </c>
      <c r="F11304" s="10" t="s">
        <v>37623</v>
      </c>
      <c r="G11304" s="10" t="s">
        <v>6317</v>
      </c>
      <c r="H11304" s="11">
        <v>43532</v>
      </c>
      <c r="I11304" s="10">
        <v>2019</v>
      </c>
      <c r="J11304" s="10" t="s">
        <v>37581</v>
      </c>
      <c r="K11304" s="10">
        <v>144</v>
      </c>
      <c r="L11304" s="10" t="s">
        <v>48975</v>
      </c>
      <c r="M11304" s="10">
        <v>1</v>
      </c>
      <c r="N11304" s="10"/>
      <c r="O11304" s="10"/>
      <c r="P11304" s="10" t="s">
        <v>48976</v>
      </c>
      <c r="Q11304" s="10"/>
      <c r="R11304" s="10"/>
      <c r="S11304" s="10" t="s">
        <v>53</v>
      </c>
      <c r="T11304" s="10" t="s">
        <v>54</v>
      </c>
    </row>
    <row r="11305" spans="1:20" ht="14.5" x14ac:dyDescent="0.35">
      <c r="A11305" s="10" t="s">
        <v>48977</v>
      </c>
      <c r="B11305" s="10" t="str">
        <f>"9781138485358"</f>
        <v>9781138485358</v>
      </c>
      <c r="C11305" s="10" t="str">
        <f>"9781351049665"</f>
        <v>9781351049665</v>
      </c>
      <c r="D11305" s="10" t="s">
        <v>6350</v>
      </c>
      <c r="E11305" s="10" t="s">
        <v>6351</v>
      </c>
      <c r="F11305" s="10" t="s">
        <v>748</v>
      </c>
      <c r="G11305" s="10" t="s">
        <v>6352</v>
      </c>
      <c r="H11305" s="11">
        <v>43497</v>
      </c>
      <c r="I11305" s="10">
        <v>2019</v>
      </c>
      <c r="J11305" s="10" t="s">
        <v>6351</v>
      </c>
      <c r="K11305" s="10">
        <v>312</v>
      </c>
      <c r="L11305" s="10" t="s">
        <v>48978</v>
      </c>
      <c r="M11305" s="10">
        <v>1</v>
      </c>
      <c r="N11305" s="10" t="s">
        <v>6954</v>
      </c>
      <c r="O11305" s="10">
        <v>37</v>
      </c>
      <c r="P11305" s="10" t="s">
        <v>48979</v>
      </c>
      <c r="Q11305" s="10">
        <v>306.44</v>
      </c>
      <c r="R11305" s="10" t="s">
        <v>48980</v>
      </c>
      <c r="S11305" s="10" t="s">
        <v>53</v>
      </c>
      <c r="T11305" s="10" t="s">
        <v>6363</v>
      </c>
    </row>
    <row r="11306" spans="1:20" ht="14.5" x14ac:dyDescent="0.35">
      <c r="A11306" s="10" t="s">
        <v>48981</v>
      </c>
      <c r="B11306" s="10" t="str">
        <f>"9781416627081"</f>
        <v>9781416627081</v>
      </c>
      <c r="C11306" s="10" t="str">
        <f>"9781416627104"</f>
        <v>9781416627104</v>
      </c>
      <c r="D11306" s="10" t="s">
        <v>10014</v>
      </c>
      <c r="E11306" s="10" t="s">
        <v>10015</v>
      </c>
      <c r="F11306" s="10" t="s">
        <v>201</v>
      </c>
      <c r="G11306" s="10" t="s">
        <v>6317</v>
      </c>
      <c r="H11306" s="11">
        <v>43524</v>
      </c>
      <c r="I11306" s="10">
        <v>2019</v>
      </c>
      <c r="J11306" s="10" t="s">
        <v>10015</v>
      </c>
      <c r="K11306" s="10">
        <v>239</v>
      </c>
      <c r="L11306" s="10" t="s">
        <v>13299</v>
      </c>
      <c r="M11306" s="10">
        <v>1</v>
      </c>
      <c r="N11306" s="10"/>
      <c r="O11306" s="10"/>
      <c r="P11306" s="10"/>
      <c r="Q11306" s="10"/>
      <c r="R11306" s="10"/>
      <c r="S11306" s="10" t="s">
        <v>53</v>
      </c>
      <c r="T11306" s="10" t="s">
        <v>54</v>
      </c>
    </row>
    <row r="11307" spans="1:20" ht="14.5" x14ac:dyDescent="0.35">
      <c r="A11307" s="10" t="s">
        <v>48982</v>
      </c>
      <c r="B11307" s="10" t="str">
        <f>"9789463002226"</f>
        <v>9789463002226</v>
      </c>
      <c r="C11307" s="10" t="str">
        <f>"9789463002233"</f>
        <v>9789463002233</v>
      </c>
      <c r="D11307" s="10" t="s">
        <v>8564</v>
      </c>
      <c r="E11307" s="10" t="s">
        <v>8565</v>
      </c>
      <c r="F11307" s="10" t="s">
        <v>1420</v>
      </c>
      <c r="G11307" s="10" t="s">
        <v>6317</v>
      </c>
      <c r="H11307" s="11">
        <v>42005</v>
      </c>
      <c r="I11307" s="10">
        <v>2015</v>
      </c>
      <c r="J11307" s="10" t="s">
        <v>33259</v>
      </c>
      <c r="K11307" s="10">
        <v>197</v>
      </c>
      <c r="L11307" s="10" t="s">
        <v>48983</v>
      </c>
      <c r="M11307" s="10">
        <v>1</v>
      </c>
      <c r="N11307" s="10" t="s">
        <v>33404</v>
      </c>
      <c r="O11307" s="10">
        <v>11</v>
      </c>
      <c r="P11307" s="10"/>
      <c r="Q11307" s="10"/>
      <c r="R11307" s="10"/>
      <c r="S11307" s="10" t="s">
        <v>53</v>
      </c>
      <c r="T11307" s="10" t="s">
        <v>54</v>
      </c>
    </row>
    <row r="11308" spans="1:20" ht="14.5" x14ac:dyDescent="0.35">
      <c r="A11308" s="10" t="s">
        <v>48984</v>
      </c>
      <c r="B11308" s="10" t="str">
        <f>"9789004391253"</f>
        <v>9789004391253</v>
      </c>
      <c r="C11308" s="10" t="str">
        <f>"9789004394698"</f>
        <v>9789004394698</v>
      </c>
      <c r="D11308" s="10" t="s">
        <v>8564</v>
      </c>
      <c r="E11308" s="10" t="s">
        <v>8565</v>
      </c>
      <c r="F11308" s="10" t="s">
        <v>1420</v>
      </c>
      <c r="G11308" s="10" t="s">
        <v>6317</v>
      </c>
      <c r="H11308" s="11">
        <v>43503</v>
      </c>
      <c r="I11308" s="10">
        <v>2019</v>
      </c>
      <c r="J11308" s="10" t="s">
        <v>33259</v>
      </c>
      <c r="K11308" s="10">
        <v>98</v>
      </c>
      <c r="L11308" s="10" t="s">
        <v>48985</v>
      </c>
      <c r="M11308" s="10">
        <v>1</v>
      </c>
      <c r="N11308" s="10" t="s">
        <v>48986</v>
      </c>
      <c r="O11308" s="10">
        <v>1</v>
      </c>
      <c r="P11308" s="10"/>
      <c r="Q11308" s="10"/>
      <c r="R11308" s="10"/>
      <c r="S11308" s="10" t="s">
        <v>53</v>
      </c>
      <c r="T11308" s="10" t="s">
        <v>54</v>
      </c>
    </row>
    <row r="11309" spans="1:20" ht="14.5" x14ac:dyDescent="0.35">
      <c r="A11309" s="10" t="s">
        <v>48987</v>
      </c>
      <c r="B11309" s="10" t="str">
        <f>"9781787695443"</f>
        <v>9781787695443</v>
      </c>
      <c r="C11309" s="10" t="str">
        <f>"9781787695436"</f>
        <v>9781787695436</v>
      </c>
      <c r="D11309" s="10" t="s">
        <v>8699</v>
      </c>
      <c r="E11309" s="10" t="s">
        <v>8699</v>
      </c>
      <c r="F11309" s="10" t="s">
        <v>559</v>
      </c>
      <c r="G11309" s="10" t="s">
        <v>6352</v>
      </c>
      <c r="H11309" s="11">
        <v>43530</v>
      </c>
      <c r="I11309" s="10">
        <v>2019</v>
      </c>
      <c r="J11309" s="10" t="s">
        <v>8699</v>
      </c>
      <c r="K11309" s="10">
        <v>218</v>
      </c>
      <c r="L11309" s="10" t="s">
        <v>48988</v>
      </c>
      <c r="M11309" s="10">
        <v>1</v>
      </c>
      <c r="N11309" s="10" t="s">
        <v>46840</v>
      </c>
      <c r="O11309" s="10"/>
      <c r="P11309" s="10" t="s">
        <v>11270</v>
      </c>
      <c r="Q11309" s="10">
        <v>370</v>
      </c>
      <c r="R11309" s="10" t="s">
        <v>43340</v>
      </c>
      <c r="S11309" s="10" t="s">
        <v>53</v>
      </c>
      <c r="T11309" s="10" t="s">
        <v>54</v>
      </c>
    </row>
    <row r="11310" spans="1:20" ht="14.5" x14ac:dyDescent="0.35">
      <c r="A11310" s="10" t="s">
        <v>48989</v>
      </c>
      <c r="B11310" s="10" t="str">
        <f>"9781787695382"</f>
        <v>9781787695382</v>
      </c>
      <c r="C11310" s="10" t="str">
        <f>"9781787695375"</f>
        <v>9781787695375</v>
      </c>
      <c r="D11310" s="10" t="s">
        <v>8699</v>
      </c>
      <c r="E11310" s="10" t="s">
        <v>8699</v>
      </c>
      <c r="F11310" s="10" t="s">
        <v>559</v>
      </c>
      <c r="G11310" s="10" t="s">
        <v>6352</v>
      </c>
      <c r="H11310" s="11">
        <v>43535</v>
      </c>
      <c r="I11310" s="10">
        <v>2019</v>
      </c>
      <c r="J11310" s="10" t="s">
        <v>8699</v>
      </c>
      <c r="K11310" s="10">
        <v>271</v>
      </c>
      <c r="L11310" s="10" t="s">
        <v>48990</v>
      </c>
      <c r="M11310" s="10">
        <v>1</v>
      </c>
      <c r="N11310" s="10"/>
      <c r="O11310" s="10"/>
      <c r="P11310" s="10" t="s">
        <v>48991</v>
      </c>
      <c r="Q11310" s="10">
        <v>371.39</v>
      </c>
      <c r="R11310" s="10" t="s">
        <v>7970</v>
      </c>
      <c r="S11310" s="10" t="s">
        <v>53</v>
      </c>
      <c r="T11310" s="10" t="s">
        <v>54</v>
      </c>
    </row>
    <row r="11311" spans="1:20" ht="14.5" x14ac:dyDescent="0.35">
      <c r="A11311" s="10" t="s">
        <v>48992</v>
      </c>
      <c r="B11311" s="10" t="str">
        <f>"9781785924699"</f>
        <v>9781785924699</v>
      </c>
      <c r="C11311" s="10" t="str">
        <f>"9781784508555"</f>
        <v>9781784508555</v>
      </c>
      <c r="D11311" s="10" t="s">
        <v>10516</v>
      </c>
      <c r="E11311" s="10" t="s">
        <v>10516</v>
      </c>
      <c r="F11311" s="10" t="s">
        <v>139</v>
      </c>
      <c r="G11311" s="10" t="s">
        <v>6352</v>
      </c>
      <c r="H11311" s="11">
        <v>43573</v>
      </c>
      <c r="I11311" s="10">
        <v>2019</v>
      </c>
      <c r="J11311" s="10" t="s">
        <v>10516</v>
      </c>
      <c r="K11311" s="10">
        <v>122</v>
      </c>
      <c r="L11311" s="10" t="s">
        <v>46161</v>
      </c>
      <c r="M11311" s="10">
        <v>1</v>
      </c>
      <c r="N11311" s="10"/>
      <c r="O11311" s="10"/>
      <c r="P11311" s="10" t="s">
        <v>48993</v>
      </c>
      <c r="Q11311" s="10">
        <v>372.21</v>
      </c>
      <c r="R11311" s="10" t="s">
        <v>48994</v>
      </c>
      <c r="S11311" s="10" t="s">
        <v>53</v>
      </c>
      <c r="T11311" s="10" t="s">
        <v>54</v>
      </c>
    </row>
    <row r="11312" spans="1:20" ht="14.5" x14ac:dyDescent="0.35">
      <c r="A11312" s="10" t="s">
        <v>48995</v>
      </c>
      <c r="B11312" s="10" t="str">
        <f>"9781785922374"</f>
        <v>9781785922374</v>
      </c>
      <c r="C11312" s="10" t="str">
        <f>"9781784505158"</f>
        <v>9781784505158</v>
      </c>
      <c r="D11312" s="10" t="s">
        <v>10516</v>
      </c>
      <c r="E11312" s="10" t="s">
        <v>10516</v>
      </c>
      <c r="F11312" s="10" t="s">
        <v>139</v>
      </c>
      <c r="G11312" s="10" t="s">
        <v>6352</v>
      </c>
      <c r="H11312" s="11">
        <v>43517</v>
      </c>
      <c r="I11312" s="10">
        <v>2019</v>
      </c>
      <c r="J11312" s="10" t="s">
        <v>10516</v>
      </c>
      <c r="K11312" s="10">
        <v>274</v>
      </c>
      <c r="L11312" s="10" t="s">
        <v>48996</v>
      </c>
      <c r="M11312" s="10">
        <v>1</v>
      </c>
      <c r="N11312" s="10"/>
      <c r="O11312" s="10"/>
      <c r="P11312" s="10"/>
      <c r="Q11312" s="10">
        <v>372.21</v>
      </c>
      <c r="R11312" s="10"/>
      <c r="S11312" s="10" t="s">
        <v>53</v>
      </c>
      <c r="T11312" s="10" t="s">
        <v>54</v>
      </c>
    </row>
    <row r="11313" spans="1:20" ht="14.5" x14ac:dyDescent="0.35">
      <c r="A11313" s="10" t="s">
        <v>48997</v>
      </c>
      <c r="B11313" s="10" t="str">
        <f>"9781938113284"</f>
        <v>9781938113284</v>
      </c>
      <c r="C11313" s="10" t="str">
        <f>"9781938113475"</f>
        <v>9781938113475</v>
      </c>
      <c r="D11313" s="10" t="s">
        <v>9533</v>
      </c>
      <c r="E11313" s="10" t="s">
        <v>5950</v>
      </c>
      <c r="F11313" s="10" t="s">
        <v>48998</v>
      </c>
      <c r="G11313" s="10" t="s">
        <v>6317</v>
      </c>
      <c r="H11313" s="11">
        <v>42766</v>
      </c>
      <c r="I11313" s="10">
        <v>2017</v>
      </c>
      <c r="J11313" s="10" t="s">
        <v>5950</v>
      </c>
      <c r="K11313" s="10">
        <v>148</v>
      </c>
      <c r="L11313" s="10" t="s">
        <v>48999</v>
      </c>
      <c r="M11313" s="10">
        <v>1</v>
      </c>
      <c r="N11313" s="10"/>
      <c r="O11313" s="10"/>
      <c r="P11313" s="10" t="s">
        <v>49000</v>
      </c>
      <c r="Q11313" s="10">
        <v>372.21</v>
      </c>
      <c r="R11313" s="10" t="s">
        <v>24042</v>
      </c>
      <c r="S11313" s="10" t="s">
        <v>53</v>
      </c>
      <c r="T11313" s="10" t="s">
        <v>54</v>
      </c>
    </row>
    <row r="11314" spans="1:20" ht="14.5" x14ac:dyDescent="0.35">
      <c r="A11314" s="10" t="s">
        <v>49001</v>
      </c>
      <c r="B11314" s="10" t="str">
        <f>"9781421428734"</f>
        <v>9781421428734</v>
      </c>
      <c r="C11314" s="10" t="str">
        <f>"9781421428741"</f>
        <v>9781421428741</v>
      </c>
      <c r="D11314" s="10" t="s">
        <v>884</v>
      </c>
      <c r="E11314" s="10" t="s">
        <v>884</v>
      </c>
      <c r="F11314" s="10" t="s">
        <v>885</v>
      </c>
      <c r="G11314" s="10" t="s">
        <v>6317</v>
      </c>
      <c r="H11314" s="11">
        <v>43606</v>
      </c>
      <c r="I11314" s="10">
        <v>2019</v>
      </c>
      <c r="J11314" s="10" t="s">
        <v>884</v>
      </c>
      <c r="K11314" s="10">
        <v>313</v>
      </c>
      <c r="L11314" s="10" t="s">
        <v>49002</v>
      </c>
      <c r="M11314" s="10">
        <v>1</v>
      </c>
      <c r="N11314" s="10"/>
      <c r="O11314" s="10"/>
      <c r="P11314" s="10"/>
      <c r="Q11314" s="10">
        <v>379</v>
      </c>
      <c r="R11314" s="10"/>
      <c r="S11314" s="10" t="s">
        <v>53</v>
      </c>
      <c r="T11314" s="10" t="s">
        <v>54</v>
      </c>
    </row>
    <row r="11315" spans="1:20" ht="14.5" x14ac:dyDescent="0.35">
      <c r="A11315" s="10" t="s">
        <v>49003</v>
      </c>
      <c r="B11315" s="10" t="str">
        <f>"9781681252452"</f>
        <v>9781681252452</v>
      </c>
      <c r="C11315" s="10" t="str">
        <f>"9781681253275"</f>
        <v>9781681253275</v>
      </c>
      <c r="D11315" s="10" t="s">
        <v>28876</v>
      </c>
      <c r="E11315" s="10" t="s">
        <v>28877</v>
      </c>
      <c r="F11315" s="10" t="s">
        <v>39534</v>
      </c>
      <c r="G11315" s="10" t="s">
        <v>6317</v>
      </c>
      <c r="H11315" s="11">
        <v>43466</v>
      </c>
      <c r="I11315" s="10">
        <v>2018</v>
      </c>
      <c r="J11315" s="10" t="s">
        <v>28877</v>
      </c>
      <c r="K11315" s="10">
        <v>305</v>
      </c>
      <c r="L11315" s="10" t="s">
        <v>49004</v>
      </c>
      <c r="M11315" s="10">
        <v>1</v>
      </c>
      <c r="N11315" s="10"/>
      <c r="O11315" s="10"/>
      <c r="P11315" s="10" t="s">
        <v>49005</v>
      </c>
      <c r="Q11315" s="10">
        <v>371.92</v>
      </c>
      <c r="R11315" s="10" t="s">
        <v>49006</v>
      </c>
      <c r="S11315" s="10" t="s">
        <v>53</v>
      </c>
      <c r="T11315" s="10" t="s">
        <v>54</v>
      </c>
    </row>
    <row r="11316" spans="1:20" ht="14.5" x14ac:dyDescent="0.35">
      <c r="A11316" s="10" t="s">
        <v>49007</v>
      </c>
      <c r="B11316" s="10" t="str">
        <f>"9781620368381"</f>
        <v>9781620368381</v>
      </c>
      <c r="C11316" s="10" t="str">
        <f>"9781000973129"</f>
        <v>9781000973129</v>
      </c>
      <c r="D11316" s="10" t="s">
        <v>6350</v>
      </c>
      <c r="E11316" s="10" t="s">
        <v>6351</v>
      </c>
      <c r="F11316" s="10" t="s">
        <v>748</v>
      </c>
      <c r="G11316" s="10" t="s">
        <v>6352</v>
      </c>
      <c r="H11316" s="11">
        <v>43405</v>
      </c>
      <c r="I11316" s="10">
        <v>2019</v>
      </c>
      <c r="J11316" s="10" t="s">
        <v>6351</v>
      </c>
      <c r="K11316" s="10">
        <v>226</v>
      </c>
      <c r="L11316" s="10" t="s">
        <v>49008</v>
      </c>
      <c r="M11316" s="10">
        <v>1</v>
      </c>
      <c r="N11316" s="10"/>
      <c r="O11316" s="10"/>
      <c r="P11316" s="10" t="s">
        <v>49009</v>
      </c>
      <c r="Q11316" s="10">
        <v>378.10109999999997</v>
      </c>
      <c r="R11316" s="10" t="s">
        <v>49010</v>
      </c>
      <c r="S11316" s="10" t="s">
        <v>53</v>
      </c>
      <c r="T11316" s="10" t="s">
        <v>54</v>
      </c>
    </row>
    <row r="11317" spans="1:20" ht="14.5" x14ac:dyDescent="0.35">
      <c r="A11317" s="10" t="s">
        <v>49011</v>
      </c>
      <c r="B11317" s="10" t="str">
        <f>"9781138370272"</f>
        <v>9781138370272</v>
      </c>
      <c r="C11317" s="10" t="str">
        <f>"9780429765964"</f>
        <v>9780429765964</v>
      </c>
      <c r="D11317" s="10" t="s">
        <v>6350</v>
      </c>
      <c r="E11317" s="10" t="s">
        <v>6351</v>
      </c>
      <c r="F11317" s="10" t="s">
        <v>3967</v>
      </c>
      <c r="G11317" s="10" t="s">
        <v>6352</v>
      </c>
      <c r="H11317" s="11">
        <v>43557</v>
      </c>
      <c r="I11317" s="10">
        <v>2019</v>
      </c>
      <c r="J11317" s="10" t="s">
        <v>6353</v>
      </c>
      <c r="K11317" s="10">
        <v>211</v>
      </c>
      <c r="L11317" s="10" t="s">
        <v>49012</v>
      </c>
      <c r="M11317" s="10">
        <v>1</v>
      </c>
      <c r="N11317" s="10" t="s">
        <v>49013</v>
      </c>
      <c r="O11317" s="10"/>
      <c r="P11317" s="10" t="s">
        <v>49014</v>
      </c>
      <c r="Q11317" s="10" t="s">
        <v>8067</v>
      </c>
      <c r="R11317" s="10" t="s">
        <v>49015</v>
      </c>
      <c r="S11317" s="10" t="s">
        <v>53</v>
      </c>
      <c r="T11317" s="10" t="s">
        <v>54</v>
      </c>
    </row>
    <row r="11318" spans="1:20" ht="14.5" x14ac:dyDescent="0.35">
      <c r="A11318" s="10" t="s">
        <v>49016</v>
      </c>
      <c r="B11318" s="10" t="str">
        <f>"9781787546141"</f>
        <v>9781787546141</v>
      </c>
      <c r="C11318" s="10" t="str">
        <f>"9781787546158"</f>
        <v>9781787546158</v>
      </c>
      <c r="D11318" s="10" t="s">
        <v>8699</v>
      </c>
      <c r="E11318" s="10" t="s">
        <v>8699</v>
      </c>
      <c r="F11318" s="10" t="s">
        <v>559</v>
      </c>
      <c r="G11318" s="10" t="s">
        <v>6352</v>
      </c>
      <c r="H11318" s="11">
        <v>43549</v>
      </c>
      <c r="I11318" s="10">
        <v>2019</v>
      </c>
      <c r="J11318" s="10" t="s">
        <v>8699</v>
      </c>
      <c r="K11318" s="10">
        <v>291</v>
      </c>
      <c r="L11318" s="10" t="s">
        <v>49017</v>
      </c>
      <c r="M11318" s="10">
        <v>1</v>
      </c>
      <c r="N11318" s="10" t="s">
        <v>16389</v>
      </c>
      <c r="O11318" s="10">
        <v>20</v>
      </c>
      <c r="P11318" s="10" t="s">
        <v>28438</v>
      </c>
      <c r="Q11318" s="10"/>
      <c r="R11318" s="10" t="s">
        <v>49018</v>
      </c>
      <c r="S11318" s="10" t="s">
        <v>53</v>
      </c>
      <c r="T11318" s="10" t="s">
        <v>54</v>
      </c>
    </row>
    <row r="11319" spans="1:20" ht="14.5" x14ac:dyDescent="0.35">
      <c r="A11319" s="10" t="s">
        <v>25277</v>
      </c>
      <c r="B11319" s="10" t="str">
        <f>"9781119561804"</f>
        <v>9781119561804</v>
      </c>
      <c r="C11319" s="10" t="str">
        <f>"9781119561866"</f>
        <v>9781119561866</v>
      </c>
      <c r="D11319" s="10" t="s">
        <v>6322</v>
      </c>
      <c r="E11319" s="10" t="s">
        <v>6323</v>
      </c>
      <c r="F11319" s="10" t="s">
        <v>4423</v>
      </c>
      <c r="G11319" s="10" t="s">
        <v>6317</v>
      </c>
      <c r="H11319" s="11">
        <v>43557</v>
      </c>
      <c r="I11319" s="10">
        <v>2019</v>
      </c>
      <c r="J11319" s="10" t="s">
        <v>6324</v>
      </c>
      <c r="K11319" s="10">
        <v>351</v>
      </c>
      <c r="L11319" s="10" t="s">
        <v>25278</v>
      </c>
      <c r="M11319" s="10">
        <v>3</v>
      </c>
      <c r="N11319" s="10"/>
      <c r="O11319" s="10"/>
      <c r="P11319" s="10"/>
      <c r="Q11319" s="10" t="s">
        <v>14668</v>
      </c>
      <c r="R11319" s="10" t="s">
        <v>49019</v>
      </c>
      <c r="S11319" s="10" t="s">
        <v>53</v>
      </c>
      <c r="T11319" s="10" t="s">
        <v>54</v>
      </c>
    </row>
    <row r="11320" spans="1:20" ht="14.5" x14ac:dyDescent="0.35">
      <c r="A11320" s="10" t="s">
        <v>49020</v>
      </c>
      <c r="B11320" s="10" t="str">
        <f>"9781416627258"</f>
        <v>9781416627258</v>
      </c>
      <c r="C11320" s="10" t="str">
        <f>"9781416627272"</f>
        <v>9781416627272</v>
      </c>
      <c r="D11320" s="10" t="s">
        <v>10014</v>
      </c>
      <c r="E11320" s="10" t="s">
        <v>10015</v>
      </c>
      <c r="F11320" s="10" t="s">
        <v>201</v>
      </c>
      <c r="G11320" s="10" t="s">
        <v>6317</v>
      </c>
      <c r="H11320" s="11">
        <v>43554</v>
      </c>
      <c r="I11320" s="10">
        <v>2019</v>
      </c>
      <c r="J11320" s="10" t="s">
        <v>10015</v>
      </c>
      <c r="K11320" s="10">
        <v>242</v>
      </c>
      <c r="L11320" s="10" t="s">
        <v>49021</v>
      </c>
      <c r="M11320" s="10">
        <v>1</v>
      </c>
      <c r="N11320" s="10"/>
      <c r="O11320" s="10"/>
      <c r="P11320" s="10"/>
      <c r="Q11320" s="10">
        <v>371.10199999999998</v>
      </c>
      <c r="R11320" s="10"/>
      <c r="S11320" s="10" t="s">
        <v>53</v>
      </c>
      <c r="T11320" s="10" t="s">
        <v>54</v>
      </c>
    </row>
    <row r="11321" spans="1:20" ht="14.5" x14ac:dyDescent="0.35">
      <c r="A11321" s="10" t="s">
        <v>49022</v>
      </c>
      <c r="B11321" s="10" t="str">
        <f>"9781616480073"</f>
        <v>9781616480073</v>
      </c>
      <c r="C11321" s="10" t="str">
        <f>"9781616480080"</f>
        <v>9781616480080</v>
      </c>
      <c r="D11321" s="10" t="s">
        <v>43425</v>
      </c>
      <c r="E11321" s="10" t="s">
        <v>43425</v>
      </c>
      <c r="F11321" s="10" t="s">
        <v>49023</v>
      </c>
      <c r="G11321" s="10" t="s">
        <v>6317</v>
      </c>
      <c r="H11321" s="11">
        <v>43468</v>
      </c>
      <c r="I11321" s="10">
        <v>2019</v>
      </c>
      <c r="J11321" s="10" t="s">
        <v>43425</v>
      </c>
      <c r="K11321" s="10">
        <v>347</v>
      </c>
      <c r="L11321" s="10" t="s">
        <v>47782</v>
      </c>
      <c r="M11321" s="10">
        <v>1</v>
      </c>
      <c r="N11321" s="10"/>
      <c r="O11321" s="10"/>
      <c r="P11321" s="10" t="s">
        <v>49024</v>
      </c>
      <c r="Q11321" s="10" t="s">
        <v>49025</v>
      </c>
      <c r="R11321" s="10" t="s">
        <v>49026</v>
      </c>
      <c r="S11321" s="10" t="s">
        <v>53</v>
      </c>
      <c r="T11321" s="10" t="s">
        <v>6363</v>
      </c>
    </row>
    <row r="11322" spans="1:20" ht="14.5" x14ac:dyDescent="0.35">
      <c r="A11322" s="10" t="s">
        <v>49027</v>
      </c>
      <c r="B11322" s="10" t="str">
        <f>"9781517904340"</f>
        <v>9781517904340</v>
      </c>
      <c r="C11322" s="10" t="str">
        <f>"9781452960296"</f>
        <v>9781452960296</v>
      </c>
      <c r="D11322" s="10" t="s">
        <v>11428</v>
      </c>
      <c r="E11322" s="10" t="s">
        <v>11428</v>
      </c>
      <c r="F11322" s="10" t="s">
        <v>2186</v>
      </c>
      <c r="G11322" s="10" t="s">
        <v>6317</v>
      </c>
      <c r="H11322" s="11">
        <v>43543</v>
      </c>
      <c r="I11322" s="10">
        <v>2019</v>
      </c>
      <c r="J11322" s="10" t="s">
        <v>11428</v>
      </c>
      <c r="K11322" s="10">
        <v>230</v>
      </c>
      <c r="L11322" s="10" t="s">
        <v>49028</v>
      </c>
      <c r="M11322" s="10">
        <v>1</v>
      </c>
      <c r="N11322" s="10"/>
      <c r="O11322" s="10"/>
      <c r="P11322" s="10" t="s">
        <v>49029</v>
      </c>
      <c r="Q11322" s="10">
        <v>379.11109773110002</v>
      </c>
      <c r="R11322" s="10" t="s">
        <v>49030</v>
      </c>
      <c r="S11322" s="10" t="s">
        <v>53</v>
      </c>
      <c r="T11322" s="10" t="s">
        <v>54</v>
      </c>
    </row>
    <row r="11323" spans="1:20" ht="14.5" x14ac:dyDescent="0.35">
      <c r="A11323" s="10" t="s">
        <v>49031</v>
      </c>
      <c r="B11323" s="10" t="str">
        <f>"9781789738353"</f>
        <v>9781789738353</v>
      </c>
      <c r="C11323" s="10" t="str">
        <f>"9781789738360"</f>
        <v>9781789738360</v>
      </c>
      <c r="D11323" s="10" t="s">
        <v>8699</v>
      </c>
      <c r="E11323" s="10" t="s">
        <v>8699</v>
      </c>
      <c r="F11323" s="10" t="s">
        <v>41843</v>
      </c>
      <c r="G11323" s="10" t="s">
        <v>6352</v>
      </c>
      <c r="H11323" s="11">
        <v>43511</v>
      </c>
      <c r="I11323" s="10">
        <v>2019</v>
      </c>
      <c r="J11323" s="10" t="s">
        <v>8699</v>
      </c>
      <c r="K11323" s="10">
        <v>215</v>
      </c>
      <c r="L11323" s="10" t="s">
        <v>49032</v>
      </c>
      <c r="M11323" s="10">
        <v>1</v>
      </c>
      <c r="N11323" s="10" t="s">
        <v>47427</v>
      </c>
      <c r="O11323" s="10">
        <v>1</v>
      </c>
      <c r="P11323" s="10" t="s">
        <v>49033</v>
      </c>
      <c r="Q11323" s="10">
        <v>658.3</v>
      </c>
      <c r="R11323" s="10" t="s">
        <v>15662</v>
      </c>
      <c r="S11323" s="10" t="s">
        <v>53</v>
      </c>
      <c r="T11323" s="10" t="s">
        <v>6660</v>
      </c>
    </row>
    <row r="11324" spans="1:20" ht="14.5" x14ac:dyDescent="0.35">
      <c r="A11324" s="10" t="s">
        <v>49034</v>
      </c>
      <c r="B11324" s="10" t="str">
        <f>"9781943874309"</f>
        <v>9781943874309</v>
      </c>
      <c r="C11324" s="10" t="str">
        <f>"9781943874316"</f>
        <v>9781943874316</v>
      </c>
      <c r="D11324" s="10" t="s">
        <v>37580</v>
      </c>
      <c r="E11324" s="10" t="s">
        <v>37581</v>
      </c>
      <c r="F11324" s="10" t="s">
        <v>37623</v>
      </c>
      <c r="G11324" s="10" t="s">
        <v>6317</v>
      </c>
      <c r="H11324" s="11">
        <v>43546</v>
      </c>
      <c r="I11324" s="10">
        <v>2019</v>
      </c>
      <c r="J11324" s="10" t="s">
        <v>37581</v>
      </c>
      <c r="K11324" s="10">
        <v>256</v>
      </c>
      <c r="L11324" s="10" t="s">
        <v>49035</v>
      </c>
      <c r="M11324" s="10">
        <v>1</v>
      </c>
      <c r="N11324" s="10"/>
      <c r="O11324" s="10"/>
      <c r="P11324" s="10" t="s">
        <v>49036</v>
      </c>
      <c r="Q11324" s="10"/>
      <c r="R11324" s="10"/>
      <c r="S11324" s="10" t="s">
        <v>53</v>
      </c>
      <c r="T11324" s="10" t="s">
        <v>54</v>
      </c>
    </row>
    <row r="11325" spans="1:20" ht="14.5" x14ac:dyDescent="0.35">
      <c r="A11325" s="10" t="s">
        <v>49037</v>
      </c>
      <c r="B11325" s="10" t="str">
        <f>"9781947604193"</f>
        <v>9781947604193</v>
      </c>
      <c r="C11325" s="10" t="str">
        <f>"9781947604209"</f>
        <v>9781947604209</v>
      </c>
      <c r="D11325" s="10" t="s">
        <v>37580</v>
      </c>
      <c r="E11325" s="10" t="s">
        <v>37581</v>
      </c>
      <c r="F11325" s="10" t="s">
        <v>37623</v>
      </c>
      <c r="G11325" s="10" t="s">
        <v>6317</v>
      </c>
      <c r="H11325" s="11">
        <v>43553</v>
      </c>
      <c r="I11325" s="10">
        <v>2019</v>
      </c>
      <c r="J11325" s="10" t="s">
        <v>37581</v>
      </c>
      <c r="K11325" s="10">
        <v>160</v>
      </c>
      <c r="L11325" s="10" t="s">
        <v>44416</v>
      </c>
      <c r="M11325" s="10">
        <v>1</v>
      </c>
      <c r="N11325" s="10"/>
      <c r="O11325" s="10"/>
      <c r="P11325" s="10" t="s">
        <v>49038</v>
      </c>
      <c r="Q11325" s="10"/>
      <c r="R11325" s="10" t="s">
        <v>49039</v>
      </c>
      <c r="S11325" s="10" t="s">
        <v>53</v>
      </c>
      <c r="T11325" s="10" t="s">
        <v>54</v>
      </c>
    </row>
    <row r="11326" spans="1:20" ht="14.5" x14ac:dyDescent="0.35">
      <c r="A11326" s="10" t="s">
        <v>49040</v>
      </c>
      <c r="B11326" s="10" t="str">
        <f>"9781947604018"</f>
        <v>9781947604018</v>
      </c>
      <c r="C11326" s="10" t="str">
        <f>"9781947604025"</f>
        <v>9781947604025</v>
      </c>
      <c r="D11326" s="10" t="s">
        <v>37580</v>
      </c>
      <c r="E11326" s="10" t="s">
        <v>37581</v>
      </c>
      <c r="F11326" s="10" t="s">
        <v>37623</v>
      </c>
      <c r="G11326" s="10" t="s">
        <v>6317</v>
      </c>
      <c r="H11326" s="11">
        <v>43553</v>
      </c>
      <c r="I11326" s="10">
        <v>2019</v>
      </c>
      <c r="J11326" s="10" t="s">
        <v>37581</v>
      </c>
      <c r="K11326" s="10">
        <v>128</v>
      </c>
      <c r="L11326" s="10" t="s">
        <v>49041</v>
      </c>
      <c r="M11326" s="10">
        <v>1</v>
      </c>
      <c r="N11326" s="10" t="s">
        <v>47064</v>
      </c>
      <c r="O11326" s="10"/>
      <c r="P11326" s="10" t="s">
        <v>49042</v>
      </c>
      <c r="Q11326" s="10"/>
      <c r="R11326" s="10"/>
      <c r="S11326" s="10" t="s">
        <v>53</v>
      </c>
      <c r="T11326" s="10" t="s">
        <v>54</v>
      </c>
    </row>
    <row r="11327" spans="1:20" ht="14.5" x14ac:dyDescent="0.35">
      <c r="A11327" s="10" t="s">
        <v>49043</v>
      </c>
      <c r="B11327" s="10" t="str">
        <f>"9781942496151"</f>
        <v>9781942496151</v>
      </c>
      <c r="C11327" s="10" t="str">
        <f>"9781942496168"</f>
        <v>9781942496168</v>
      </c>
      <c r="D11327" s="10" t="s">
        <v>37580</v>
      </c>
      <c r="E11327" s="10" t="s">
        <v>37581</v>
      </c>
      <c r="F11327" s="10" t="s">
        <v>37623</v>
      </c>
      <c r="G11327" s="10" t="s">
        <v>6317</v>
      </c>
      <c r="H11327" s="11">
        <v>43553</v>
      </c>
      <c r="I11327" s="10">
        <v>2019</v>
      </c>
      <c r="J11327" s="10" t="s">
        <v>37581</v>
      </c>
      <c r="K11327" s="10">
        <v>152</v>
      </c>
      <c r="L11327" s="10" t="s">
        <v>49044</v>
      </c>
      <c r="M11327" s="10">
        <v>1</v>
      </c>
      <c r="N11327" s="10" t="s">
        <v>37586</v>
      </c>
      <c r="O11327" s="10"/>
      <c r="P11327" s="10"/>
      <c r="Q11327" s="10"/>
      <c r="R11327" s="10"/>
      <c r="S11327" s="10" t="s">
        <v>53</v>
      </c>
      <c r="T11327" s="10" t="s">
        <v>54</v>
      </c>
    </row>
    <row r="11328" spans="1:20" ht="14.5" x14ac:dyDescent="0.35">
      <c r="A11328" s="10" t="s">
        <v>49045</v>
      </c>
      <c r="B11328" s="10" t="str">
        <f>"9789004365193"</f>
        <v>9789004365193</v>
      </c>
      <c r="C11328" s="10" t="str">
        <f>"9789004365209"</f>
        <v>9789004365209</v>
      </c>
      <c r="D11328" s="10" t="s">
        <v>8564</v>
      </c>
      <c r="E11328" s="10" t="s">
        <v>8565</v>
      </c>
      <c r="F11328" s="10" t="s">
        <v>1420</v>
      </c>
      <c r="G11328" s="10" t="s">
        <v>6317</v>
      </c>
      <c r="H11328" s="11">
        <v>43202</v>
      </c>
      <c r="I11328" s="10">
        <v>2018</v>
      </c>
      <c r="J11328" s="10" t="s">
        <v>33259</v>
      </c>
      <c r="K11328" s="10">
        <v>199</v>
      </c>
      <c r="L11328" s="10" t="s">
        <v>49046</v>
      </c>
      <c r="M11328" s="10">
        <v>1</v>
      </c>
      <c r="N11328" s="10" t="s">
        <v>42639</v>
      </c>
      <c r="O11328" s="10">
        <v>3</v>
      </c>
      <c r="P11328" s="10" t="s">
        <v>49047</v>
      </c>
      <c r="Q11328" s="10" t="s">
        <v>8916</v>
      </c>
      <c r="R11328" s="10" t="s">
        <v>49048</v>
      </c>
      <c r="S11328" s="10" t="s">
        <v>53</v>
      </c>
      <c r="T11328" s="10" t="s">
        <v>54</v>
      </c>
    </row>
    <row r="11329" spans="1:20" ht="14.5" x14ac:dyDescent="0.35">
      <c r="A11329" s="10" t="s">
        <v>49049</v>
      </c>
      <c r="B11329" s="10" t="str">
        <f>"9789004367401"</f>
        <v>9789004367401</v>
      </c>
      <c r="C11329" s="10" t="str">
        <f>"9789004367418"</f>
        <v>9789004367418</v>
      </c>
      <c r="D11329" s="10" t="s">
        <v>8564</v>
      </c>
      <c r="E11329" s="10" t="s">
        <v>8565</v>
      </c>
      <c r="F11329" s="10" t="s">
        <v>1420</v>
      </c>
      <c r="G11329" s="10" t="s">
        <v>6317</v>
      </c>
      <c r="H11329" s="11">
        <v>43146</v>
      </c>
      <c r="I11329" s="10">
        <v>2018</v>
      </c>
      <c r="J11329" s="10" t="s">
        <v>33259</v>
      </c>
      <c r="K11329" s="10">
        <v>297</v>
      </c>
      <c r="L11329" s="10" t="s">
        <v>49050</v>
      </c>
      <c r="M11329" s="10">
        <v>1</v>
      </c>
      <c r="N11329" s="10" t="s">
        <v>44161</v>
      </c>
      <c r="O11329" s="10">
        <v>125</v>
      </c>
      <c r="P11329" s="10"/>
      <c r="Q11329" s="10"/>
      <c r="R11329" s="10" t="s">
        <v>49051</v>
      </c>
      <c r="S11329" s="10" t="s">
        <v>53</v>
      </c>
      <c r="T11329" s="10" t="s">
        <v>54</v>
      </c>
    </row>
    <row r="11330" spans="1:20" ht="14.5" x14ac:dyDescent="0.35">
      <c r="A11330" s="10" t="s">
        <v>49052</v>
      </c>
      <c r="B11330" s="10" t="str">
        <f>"9789463511872"</f>
        <v>9789463511872</v>
      </c>
      <c r="C11330" s="10" t="str">
        <f>"9789463511889"</f>
        <v>9789463511889</v>
      </c>
      <c r="D11330" s="10" t="s">
        <v>8564</v>
      </c>
      <c r="E11330" s="10" t="s">
        <v>8565</v>
      </c>
      <c r="F11330" s="10" t="s">
        <v>1420</v>
      </c>
      <c r="G11330" s="10" t="s">
        <v>6317</v>
      </c>
      <c r="H11330" s="11">
        <v>43050</v>
      </c>
      <c r="I11330" s="10">
        <v>2018</v>
      </c>
      <c r="J11330" s="10" t="s">
        <v>33259</v>
      </c>
      <c r="K11330" s="10">
        <v>175</v>
      </c>
      <c r="L11330" s="10" t="s">
        <v>49053</v>
      </c>
      <c r="M11330" s="10">
        <v>1</v>
      </c>
      <c r="N11330" s="10" t="s">
        <v>48589</v>
      </c>
      <c r="O11330" s="10">
        <v>6</v>
      </c>
      <c r="P11330" s="10" t="s">
        <v>49054</v>
      </c>
      <c r="Q11330" s="10">
        <v>370</v>
      </c>
      <c r="R11330" s="10" t="s">
        <v>49055</v>
      </c>
      <c r="S11330" s="10" t="s">
        <v>53</v>
      </c>
      <c r="T11330" s="10" t="s">
        <v>54</v>
      </c>
    </row>
    <row r="11331" spans="1:20" ht="14.5" x14ac:dyDescent="0.35">
      <c r="A11331" s="10" t="s">
        <v>49056</v>
      </c>
      <c r="B11331" s="10" t="str">
        <f>""</f>
        <v/>
      </c>
      <c r="C11331" s="10" t="str">
        <f>"9780692009109"</f>
        <v>9780692009109</v>
      </c>
      <c r="D11331" s="10" t="s">
        <v>43658</v>
      </c>
      <c r="E11331" s="10" t="s">
        <v>49057</v>
      </c>
      <c r="F11331" s="10" t="s">
        <v>31602</v>
      </c>
      <c r="G11331" s="10" t="s">
        <v>49058</v>
      </c>
      <c r="H11331" s="11">
        <v>41815</v>
      </c>
      <c r="I11331" s="10">
        <v>2007</v>
      </c>
      <c r="J11331" s="10" t="s">
        <v>49059</v>
      </c>
      <c r="K11331" s="10">
        <v>88</v>
      </c>
      <c r="L11331" s="10" t="s">
        <v>49060</v>
      </c>
      <c r="M11331" s="10"/>
      <c r="N11331" s="10"/>
      <c r="O11331" s="10"/>
      <c r="P11331" s="10" t="s">
        <v>49061</v>
      </c>
      <c r="Q11331" s="10">
        <v>597.91999999999996</v>
      </c>
      <c r="R11331" s="10" t="s">
        <v>49062</v>
      </c>
      <c r="S11331" s="10" t="s">
        <v>119</v>
      </c>
      <c r="T11331" s="10" t="s">
        <v>11497</v>
      </c>
    </row>
    <row r="11332" spans="1:20" ht="14.5" x14ac:dyDescent="0.35">
      <c r="A11332" s="10" t="s">
        <v>49063</v>
      </c>
      <c r="B11332" s="10" t="str">
        <f>"9780300243703"</f>
        <v>9780300243703</v>
      </c>
      <c r="C11332" s="10" t="str">
        <f>"9780300245509"</f>
        <v>9780300245509</v>
      </c>
      <c r="D11332" s="10" t="s">
        <v>38767</v>
      </c>
      <c r="E11332" s="10" t="s">
        <v>38767</v>
      </c>
      <c r="F11332" s="10" t="s">
        <v>38768</v>
      </c>
      <c r="G11332" s="10" t="s">
        <v>6317</v>
      </c>
      <c r="H11332" s="11">
        <v>43557</v>
      </c>
      <c r="I11332" s="10">
        <v>2019</v>
      </c>
      <c r="J11332" s="10" t="s">
        <v>38767</v>
      </c>
      <c r="K11332" s="10">
        <v>187</v>
      </c>
      <c r="L11332" s="10" t="s">
        <v>49064</v>
      </c>
      <c r="M11332" s="10">
        <v>1</v>
      </c>
      <c r="N11332" s="10"/>
      <c r="O11332" s="10"/>
      <c r="P11332" s="10" t="s">
        <v>49065</v>
      </c>
      <c r="Q11332" s="10">
        <v>200.71100000000001</v>
      </c>
      <c r="R11332" s="10" t="s">
        <v>49066</v>
      </c>
      <c r="S11332" s="10" t="s">
        <v>53</v>
      </c>
      <c r="T11332" s="10" t="s">
        <v>7863</v>
      </c>
    </row>
    <row r="11333" spans="1:20" ht="14.5" x14ac:dyDescent="0.35">
      <c r="A11333" s="10" t="s">
        <v>49067</v>
      </c>
      <c r="B11333" s="10" t="str">
        <f>"9789004388338"</f>
        <v>9789004388338</v>
      </c>
      <c r="C11333" s="10" t="str">
        <f>"9789004388345"</f>
        <v>9789004388345</v>
      </c>
      <c r="D11333" s="10" t="s">
        <v>8564</v>
      </c>
      <c r="E11333" s="10" t="s">
        <v>8565</v>
      </c>
      <c r="F11333" s="10" t="s">
        <v>1420</v>
      </c>
      <c r="G11333" s="10" t="s">
        <v>6317</v>
      </c>
      <c r="H11333" s="11">
        <v>43398</v>
      </c>
      <c r="I11333" s="10">
        <v>2019</v>
      </c>
      <c r="J11333" s="10" t="s">
        <v>33259</v>
      </c>
      <c r="K11333" s="10">
        <v>202</v>
      </c>
      <c r="L11333" s="10" t="s">
        <v>49068</v>
      </c>
      <c r="M11333" s="10">
        <v>1</v>
      </c>
      <c r="N11333" s="10"/>
      <c r="O11333" s="10"/>
      <c r="P11333" s="10" t="s">
        <v>49069</v>
      </c>
      <c r="Q11333" s="10">
        <v>374.00189999999998</v>
      </c>
      <c r="R11333" s="10" t="s">
        <v>49070</v>
      </c>
      <c r="S11333" s="10" t="s">
        <v>53</v>
      </c>
      <c r="T11333" s="10" t="s">
        <v>54</v>
      </c>
    </row>
    <row r="11334" spans="1:20" ht="14.5" x14ac:dyDescent="0.35">
      <c r="A11334" s="10" t="s">
        <v>49071</v>
      </c>
      <c r="B11334" s="10" t="str">
        <f>"9789004393066"</f>
        <v>9789004393066</v>
      </c>
      <c r="C11334" s="10" t="str">
        <f>"9789004393073"</f>
        <v>9789004393073</v>
      </c>
      <c r="D11334" s="10" t="s">
        <v>8564</v>
      </c>
      <c r="E11334" s="10" t="s">
        <v>8565</v>
      </c>
      <c r="F11334" s="10" t="s">
        <v>1420</v>
      </c>
      <c r="G11334" s="10" t="s">
        <v>6317</v>
      </c>
      <c r="H11334" s="11">
        <v>43538</v>
      </c>
      <c r="I11334" s="10">
        <v>2019</v>
      </c>
      <c r="J11334" s="10" t="s">
        <v>33259</v>
      </c>
      <c r="K11334" s="10">
        <v>301</v>
      </c>
      <c r="L11334" s="10" t="s">
        <v>49072</v>
      </c>
      <c r="M11334" s="10">
        <v>1</v>
      </c>
      <c r="N11334" s="10"/>
      <c r="O11334" s="10"/>
      <c r="P11334" s="10" t="s">
        <v>49073</v>
      </c>
      <c r="Q11334" s="10"/>
      <c r="R11334" s="10" t="s">
        <v>49074</v>
      </c>
      <c r="S11334" s="10" t="s">
        <v>53</v>
      </c>
      <c r="T11334" s="10" t="s">
        <v>54</v>
      </c>
    </row>
    <row r="11335" spans="1:20" ht="14.5" x14ac:dyDescent="0.35">
      <c r="A11335" s="10" t="s">
        <v>49075</v>
      </c>
      <c r="B11335" s="10" t="str">
        <f>"9789004400788"</f>
        <v>9789004400788</v>
      </c>
      <c r="C11335" s="10" t="str">
        <f>"9789004400795"</f>
        <v>9789004400795</v>
      </c>
      <c r="D11335" s="10" t="s">
        <v>8564</v>
      </c>
      <c r="E11335" s="10" t="s">
        <v>8565</v>
      </c>
      <c r="F11335" s="10" t="s">
        <v>1420</v>
      </c>
      <c r="G11335" s="10" t="s">
        <v>6317</v>
      </c>
      <c r="H11335" s="11">
        <v>43545</v>
      </c>
      <c r="I11335" s="10">
        <v>2019</v>
      </c>
      <c r="J11335" s="10" t="s">
        <v>33259</v>
      </c>
      <c r="K11335" s="10">
        <v>259</v>
      </c>
      <c r="L11335" s="10" t="s">
        <v>49076</v>
      </c>
      <c r="M11335" s="10">
        <v>1</v>
      </c>
      <c r="N11335" s="10" t="s">
        <v>49077</v>
      </c>
      <c r="O11335" s="10">
        <v>1</v>
      </c>
      <c r="P11335" s="10" t="s">
        <v>49078</v>
      </c>
      <c r="Q11335" s="10">
        <v>331.1</v>
      </c>
      <c r="R11335" s="10" t="s">
        <v>49079</v>
      </c>
      <c r="S11335" s="10" t="s">
        <v>53</v>
      </c>
      <c r="T11335" s="10" t="s">
        <v>7545</v>
      </c>
    </row>
    <row r="11336" spans="1:20" ht="14.5" x14ac:dyDescent="0.35">
      <c r="A11336" s="10" t="s">
        <v>49080</v>
      </c>
      <c r="B11336" s="10" t="str">
        <f>"9781947604773"</f>
        <v>9781947604773</v>
      </c>
      <c r="C11336" s="10" t="str">
        <f>"9781947604780"</f>
        <v>9781947604780</v>
      </c>
      <c r="D11336" s="10" t="s">
        <v>37580</v>
      </c>
      <c r="E11336" s="10" t="s">
        <v>37581</v>
      </c>
      <c r="F11336" s="10" t="s">
        <v>37623</v>
      </c>
      <c r="G11336" s="10" t="s">
        <v>6317</v>
      </c>
      <c r="H11336" s="11">
        <v>43567</v>
      </c>
      <c r="I11336" s="10">
        <v>2019</v>
      </c>
      <c r="J11336" s="10" t="s">
        <v>37581</v>
      </c>
      <c r="K11336" s="10">
        <v>176</v>
      </c>
      <c r="L11336" s="10" t="s">
        <v>49081</v>
      </c>
      <c r="M11336" s="10">
        <v>1</v>
      </c>
      <c r="N11336" s="10"/>
      <c r="O11336" s="10"/>
      <c r="P11336" s="10" t="s">
        <v>49082</v>
      </c>
      <c r="Q11336" s="10"/>
      <c r="R11336" s="10" t="s">
        <v>49083</v>
      </c>
      <c r="S11336" s="10" t="s">
        <v>53</v>
      </c>
      <c r="T11336" s="10" t="s">
        <v>54</v>
      </c>
    </row>
    <row r="11337" spans="1:20" ht="14.5" x14ac:dyDescent="0.35">
      <c r="A11337" s="10" t="s">
        <v>49084</v>
      </c>
      <c r="B11337" s="10" t="str">
        <f>"9781634000352"</f>
        <v>9781634000352</v>
      </c>
      <c r="C11337" s="10" t="str">
        <f>"9781634000710"</f>
        <v>9781634000710</v>
      </c>
      <c r="D11337" s="10" t="s">
        <v>36103</v>
      </c>
      <c r="E11337" s="10" t="s">
        <v>49085</v>
      </c>
      <c r="F11337" s="10" t="s">
        <v>49086</v>
      </c>
      <c r="G11337" s="10" t="s">
        <v>6317</v>
      </c>
      <c r="H11337" s="11">
        <v>43344</v>
      </c>
      <c r="I11337" s="10">
        <v>2018</v>
      </c>
      <c r="J11337" s="10" t="s">
        <v>49085</v>
      </c>
      <c r="K11337" s="10">
        <v>162</v>
      </c>
      <c r="L11337" s="10" t="s">
        <v>49087</v>
      </c>
      <c r="M11337" s="10">
        <v>1</v>
      </c>
      <c r="N11337" s="10"/>
      <c r="O11337" s="10"/>
      <c r="P11337" s="10" t="s">
        <v>49088</v>
      </c>
      <c r="Q11337" s="10">
        <v>25.567699999999999</v>
      </c>
      <c r="R11337" s="10" t="s">
        <v>49089</v>
      </c>
      <c r="S11337" s="10" t="s">
        <v>53</v>
      </c>
      <c r="T11337" s="10" t="s">
        <v>10302</v>
      </c>
    </row>
    <row r="11338" spans="1:20" ht="14.5" x14ac:dyDescent="0.35">
      <c r="A11338" s="10" t="s">
        <v>49090</v>
      </c>
      <c r="B11338" s="10" t="str">
        <f>"9780367189242"</f>
        <v>9780367189242</v>
      </c>
      <c r="C11338" s="10" t="str">
        <f>"9780429583285"</f>
        <v>9780429583285</v>
      </c>
      <c r="D11338" s="10" t="s">
        <v>6350</v>
      </c>
      <c r="E11338" s="10" t="s">
        <v>6351</v>
      </c>
      <c r="F11338" s="10" t="s">
        <v>3967</v>
      </c>
      <c r="G11338" s="10" t="s">
        <v>6352</v>
      </c>
      <c r="H11338" s="11">
        <v>43570</v>
      </c>
      <c r="I11338" s="10">
        <v>2019</v>
      </c>
      <c r="J11338" s="10" t="s">
        <v>6353</v>
      </c>
      <c r="K11338" s="10">
        <v>155</v>
      </c>
      <c r="L11338" s="10" t="s">
        <v>49091</v>
      </c>
      <c r="M11338" s="10">
        <v>1</v>
      </c>
      <c r="N11338" s="10"/>
      <c r="O11338" s="10"/>
      <c r="P11338" s="10" t="s">
        <v>49092</v>
      </c>
      <c r="Q11338" s="10">
        <v>370.15339999999998</v>
      </c>
      <c r="R11338" s="10" t="s">
        <v>49093</v>
      </c>
      <c r="S11338" s="10" t="s">
        <v>53</v>
      </c>
      <c r="T11338" s="10" t="s">
        <v>54</v>
      </c>
    </row>
    <row r="11339" spans="1:20" ht="14.5" x14ac:dyDescent="0.35">
      <c r="A11339" s="10" t="s">
        <v>49094</v>
      </c>
      <c r="B11339" s="10" t="str">
        <f>"9781912508440"</f>
        <v>9781912508440</v>
      </c>
      <c r="C11339" s="10" t="str">
        <f>"9781912508471"</f>
        <v>9781912508471</v>
      </c>
      <c r="D11339" s="10" t="s">
        <v>9533</v>
      </c>
      <c r="E11339" s="10" t="s">
        <v>26840</v>
      </c>
      <c r="F11339" s="10" t="s">
        <v>44053</v>
      </c>
      <c r="G11339" s="10" t="s">
        <v>6352</v>
      </c>
      <c r="H11339" s="11">
        <v>43558</v>
      </c>
      <c r="I11339" s="10">
        <v>2019</v>
      </c>
      <c r="J11339" s="10" t="s">
        <v>26840</v>
      </c>
      <c r="K11339" s="10">
        <v>156</v>
      </c>
      <c r="L11339" s="10" t="s">
        <v>49095</v>
      </c>
      <c r="M11339" s="10">
        <v>1</v>
      </c>
      <c r="N11339" s="10" t="s">
        <v>49096</v>
      </c>
      <c r="O11339" s="10"/>
      <c r="P11339" s="10" t="s">
        <v>49097</v>
      </c>
      <c r="Q11339" s="10">
        <v>371.2</v>
      </c>
      <c r="R11339" s="10" t="s">
        <v>49098</v>
      </c>
      <c r="S11339" s="10" t="s">
        <v>53</v>
      </c>
      <c r="T11339" s="10" t="s">
        <v>54</v>
      </c>
    </row>
    <row r="11340" spans="1:20" ht="14.5" x14ac:dyDescent="0.35">
      <c r="A11340" s="10" t="s">
        <v>49099</v>
      </c>
      <c r="B11340" s="10" t="str">
        <f>"9781625311665"</f>
        <v>9781625311665</v>
      </c>
      <c r="C11340" s="10" t="str">
        <f>"9781003841456"</f>
        <v>9781003841456</v>
      </c>
      <c r="D11340" s="10" t="s">
        <v>6350</v>
      </c>
      <c r="E11340" s="10" t="s">
        <v>6351</v>
      </c>
      <c r="F11340" s="10" t="s">
        <v>3967</v>
      </c>
      <c r="G11340" s="10" t="s">
        <v>6352</v>
      </c>
      <c r="H11340" s="11">
        <v>43556</v>
      </c>
      <c r="I11340" s="10">
        <v>2019</v>
      </c>
      <c r="J11340" s="10" t="s">
        <v>6353</v>
      </c>
      <c r="K11340" s="10">
        <v>237</v>
      </c>
      <c r="L11340" s="10" t="s">
        <v>49100</v>
      </c>
      <c r="M11340" s="10">
        <v>1</v>
      </c>
      <c r="N11340" s="10"/>
      <c r="O11340" s="10"/>
      <c r="P11340" s="10"/>
      <c r="Q11340" s="10"/>
      <c r="R11340" s="10"/>
      <c r="S11340" s="10" t="s">
        <v>53</v>
      </c>
      <c r="T11340" s="10" t="s">
        <v>54</v>
      </c>
    </row>
    <row r="11341" spans="1:20" ht="14.5" x14ac:dyDescent="0.35">
      <c r="A11341" s="10" t="s">
        <v>49101</v>
      </c>
      <c r="B11341" s="10" t="str">
        <f>"9781912508778"</f>
        <v>9781912508778</v>
      </c>
      <c r="C11341" s="10" t="str">
        <f>"9781912508808"</f>
        <v>9781912508808</v>
      </c>
      <c r="D11341" s="10" t="s">
        <v>9533</v>
      </c>
      <c r="E11341" s="10" t="s">
        <v>26840</v>
      </c>
      <c r="F11341" s="10" t="s">
        <v>44053</v>
      </c>
      <c r="G11341" s="10" t="s">
        <v>6352</v>
      </c>
      <c r="H11341" s="11">
        <v>43560</v>
      </c>
      <c r="I11341" s="10">
        <v>2019</v>
      </c>
      <c r="J11341" s="10" t="s">
        <v>26840</v>
      </c>
      <c r="K11341" s="10">
        <v>146</v>
      </c>
      <c r="L11341" s="10" t="s">
        <v>49102</v>
      </c>
      <c r="M11341" s="10">
        <v>1</v>
      </c>
      <c r="N11341" s="10"/>
      <c r="O11341" s="10"/>
      <c r="P11341" s="10" t="s">
        <v>49103</v>
      </c>
      <c r="Q11341" s="10">
        <v>378.19713000000002</v>
      </c>
      <c r="R11341" s="10" t="s">
        <v>49104</v>
      </c>
      <c r="S11341" s="10" t="s">
        <v>53</v>
      </c>
      <c r="T11341" s="10" t="s">
        <v>49105</v>
      </c>
    </row>
    <row r="11342" spans="1:20" ht="14.5" x14ac:dyDescent="0.35">
      <c r="A11342" s="10" t="s">
        <v>49106</v>
      </c>
      <c r="B11342" s="10" t="str">
        <f>"9780262039093"</f>
        <v>9780262039093</v>
      </c>
      <c r="C11342" s="10" t="str">
        <f>"9780262350273"</f>
        <v>9780262350273</v>
      </c>
      <c r="D11342" s="10" t="s">
        <v>36415</v>
      </c>
      <c r="E11342" s="10" t="s">
        <v>36415</v>
      </c>
      <c r="F11342" s="10" t="s">
        <v>612</v>
      </c>
      <c r="G11342" s="10" t="s">
        <v>6317</v>
      </c>
      <c r="H11342" s="11">
        <v>43578</v>
      </c>
      <c r="I11342" s="10">
        <v>2019</v>
      </c>
      <c r="J11342" s="10" t="s">
        <v>36415</v>
      </c>
      <c r="K11342" s="10">
        <v>231</v>
      </c>
      <c r="L11342" s="10" t="s">
        <v>49107</v>
      </c>
      <c r="M11342" s="10">
        <v>1</v>
      </c>
      <c r="N11342" s="10" t="s">
        <v>36417</v>
      </c>
      <c r="O11342" s="10"/>
      <c r="P11342" s="10"/>
      <c r="Q11342" s="10" t="s">
        <v>9870</v>
      </c>
      <c r="R11342" s="10"/>
      <c r="S11342" s="10" t="s">
        <v>53</v>
      </c>
      <c r="T11342" s="10" t="s">
        <v>54</v>
      </c>
    </row>
    <row r="11343" spans="1:20" ht="14.5" x14ac:dyDescent="0.35">
      <c r="A11343" s="10" t="s">
        <v>49108</v>
      </c>
      <c r="B11343" s="10" t="str">
        <f>"9783736999534"</f>
        <v>9783736999534</v>
      </c>
      <c r="C11343" s="10" t="str">
        <f>"9783736989535"</f>
        <v>9783736989535</v>
      </c>
      <c r="D11343" s="10" t="s">
        <v>27189</v>
      </c>
      <c r="E11343" s="10" t="s">
        <v>49109</v>
      </c>
      <c r="F11343" s="10" t="s">
        <v>722</v>
      </c>
      <c r="G11343" s="10" t="s">
        <v>9998</v>
      </c>
      <c r="H11343" s="11">
        <v>43553</v>
      </c>
      <c r="I11343" s="10">
        <v>2019</v>
      </c>
      <c r="J11343" s="10" t="s">
        <v>49109</v>
      </c>
      <c r="K11343" s="10">
        <v>169</v>
      </c>
      <c r="L11343" s="10" t="s">
        <v>49110</v>
      </c>
      <c r="M11343" s="10">
        <v>1</v>
      </c>
      <c r="N11343" s="10" t="s">
        <v>49111</v>
      </c>
      <c r="O11343" s="10">
        <v>14</v>
      </c>
      <c r="P11343" s="10" t="s">
        <v>49112</v>
      </c>
      <c r="Q11343" s="10">
        <v>370.11700000000002</v>
      </c>
      <c r="R11343" s="10" t="s">
        <v>49113</v>
      </c>
      <c r="S11343" s="10" t="s">
        <v>53</v>
      </c>
      <c r="T11343" s="10" t="s">
        <v>54</v>
      </c>
    </row>
    <row r="11344" spans="1:20" ht="14.5" x14ac:dyDescent="0.35">
      <c r="A11344" s="10" t="s">
        <v>49114</v>
      </c>
      <c r="B11344" s="10" t="str">
        <f>"9781119271840"</f>
        <v>9781119271840</v>
      </c>
      <c r="C11344" s="10" t="str">
        <f>"9781119271864"</f>
        <v>9781119271864</v>
      </c>
      <c r="D11344" s="10" t="s">
        <v>6322</v>
      </c>
      <c r="E11344" s="10" t="s">
        <v>6323</v>
      </c>
      <c r="F11344" s="10" t="s">
        <v>4423</v>
      </c>
      <c r="G11344" s="10" t="s">
        <v>6317</v>
      </c>
      <c r="H11344" s="11">
        <v>43525</v>
      </c>
      <c r="I11344" s="10">
        <v>2019</v>
      </c>
      <c r="J11344" s="10" t="s">
        <v>6324</v>
      </c>
      <c r="K11344" s="10">
        <v>1211</v>
      </c>
      <c r="L11344" s="10" t="s">
        <v>49115</v>
      </c>
      <c r="M11344" s="10">
        <v>6</v>
      </c>
      <c r="N11344" s="10"/>
      <c r="O11344" s="10"/>
      <c r="P11344" s="10"/>
      <c r="Q11344" s="10"/>
      <c r="R11344" s="10" t="s">
        <v>49116</v>
      </c>
      <c r="S11344" s="10" t="s">
        <v>53</v>
      </c>
      <c r="T11344" s="10" t="s">
        <v>54</v>
      </c>
    </row>
    <row r="11345" spans="1:20" ht="14.5" x14ac:dyDescent="0.35">
      <c r="A11345" s="10" t="s">
        <v>49117</v>
      </c>
      <c r="B11345" s="10" t="str">
        <f>"9781138370258"</f>
        <v>9781138370258</v>
      </c>
      <c r="C11345" s="10" t="str">
        <f>"9780429766022"</f>
        <v>9780429766022</v>
      </c>
      <c r="D11345" s="10" t="s">
        <v>6350</v>
      </c>
      <c r="E11345" s="10" t="s">
        <v>6351</v>
      </c>
      <c r="F11345" s="10" t="s">
        <v>748</v>
      </c>
      <c r="G11345" s="10" t="s">
        <v>6352</v>
      </c>
      <c r="H11345" s="11">
        <v>43584</v>
      </c>
      <c r="I11345" s="10">
        <v>2019</v>
      </c>
      <c r="J11345" s="10" t="s">
        <v>6351</v>
      </c>
      <c r="K11345" s="10">
        <v>205</v>
      </c>
      <c r="L11345" s="10" t="s">
        <v>49012</v>
      </c>
      <c r="M11345" s="10">
        <v>1</v>
      </c>
      <c r="N11345" s="10" t="s">
        <v>49013</v>
      </c>
      <c r="O11345" s="10"/>
      <c r="P11345" s="10" t="s">
        <v>49014</v>
      </c>
      <c r="Q11345" s="10">
        <v>370.15339999999998</v>
      </c>
      <c r="R11345" s="10" t="s">
        <v>49118</v>
      </c>
      <c r="S11345" s="10" t="s">
        <v>53</v>
      </c>
      <c r="T11345" s="10" t="s">
        <v>54</v>
      </c>
    </row>
    <row r="11346" spans="1:20" ht="14.5" x14ac:dyDescent="0.35">
      <c r="A11346" s="10" t="s">
        <v>49119</v>
      </c>
      <c r="B11346" s="10" t="str">
        <f>"9781416626602"</f>
        <v>9781416626602</v>
      </c>
      <c r="C11346" s="10" t="str">
        <f>"9781416627609"</f>
        <v>9781416627609</v>
      </c>
      <c r="D11346" s="10" t="s">
        <v>10014</v>
      </c>
      <c r="E11346" s="10" t="s">
        <v>10015</v>
      </c>
      <c r="F11346" s="10" t="s">
        <v>201</v>
      </c>
      <c r="G11346" s="10" t="s">
        <v>6317</v>
      </c>
      <c r="H11346" s="11">
        <v>43552</v>
      </c>
      <c r="I11346" s="10">
        <v>2019</v>
      </c>
      <c r="J11346" s="10" t="s">
        <v>10015</v>
      </c>
      <c r="K11346" s="10">
        <v>235</v>
      </c>
      <c r="L11346" s="10" t="s">
        <v>49120</v>
      </c>
      <c r="M11346" s="10">
        <v>1</v>
      </c>
      <c r="N11346" s="10"/>
      <c r="O11346" s="10"/>
      <c r="P11346" s="10" t="s">
        <v>49121</v>
      </c>
      <c r="Q11346" s="10">
        <v>371.10199999999998</v>
      </c>
      <c r="R11346" s="10" t="s">
        <v>49122</v>
      </c>
      <c r="S11346" s="10" t="s">
        <v>53</v>
      </c>
      <c r="T11346" s="10" t="s">
        <v>54</v>
      </c>
    </row>
    <row r="11347" spans="1:20" ht="14.5" x14ac:dyDescent="0.35">
      <c r="A11347" s="10" t="s">
        <v>49123</v>
      </c>
      <c r="B11347" s="10" t="str">
        <f>"9781945349652"</f>
        <v>9781945349652</v>
      </c>
      <c r="C11347" s="10" t="str">
        <f>"9781945349669"</f>
        <v>9781945349669</v>
      </c>
      <c r="D11347" s="10" t="s">
        <v>37580</v>
      </c>
      <c r="E11347" s="10" t="s">
        <v>37581</v>
      </c>
      <c r="F11347" s="10" t="s">
        <v>37623</v>
      </c>
      <c r="G11347" s="10" t="s">
        <v>6317</v>
      </c>
      <c r="H11347" s="11">
        <v>43539</v>
      </c>
      <c r="I11347" s="10">
        <v>2019</v>
      </c>
      <c r="J11347" s="10" t="s">
        <v>37581</v>
      </c>
      <c r="K11347" s="10">
        <v>152</v>
      </c>
      <c r="L11347" s="10" t="s">
        <v>49124</v>
      </c>
      <c r="M11347" s="10">
        <v>1</v>
      </c>
      <c r="N11347" s="10"/>
      <c r="O11347" s="10"/>
      <c r="P11347" s="10" t="s">
        <v>49125</v>
      </c>
      <c r="Q11347" s="10"/>
      <c r="R11347" s="10" t="s">
        <v>49126</v>
      </c>
      <c r="S11347" s="10" t="s">
        <v>53</v>
      </c>
      <c r="T11347" s="10" t="s">
        <v>389</v>
      </c>
    </row>
    <row r="11348" spans="1:20" ht="14.5" x14ac:dyDescent="0.35">
      <c r="A11348" s="10" t="s">
        <v>49127</v>
      </c>
      <c r="B11348" s="10" t="str">
        <f>"9781620367599"</f>
        <v>9781620367599</v>
      </c>
      <c r="C11348" s="10" t="str">
        <f>"9781000974010"</f>
        <v>9781000974010</v>
      </c>
      <c r="D11348" s="10" t="s">
        <v>6350</v>
      </c>
      <c r="E11348" s="10" t="s">
        <v>6351</v>
      </c>
      <c r="F11348" s="10" t="s">
        <v>748</v>
      </c>
      <c r="G11348" s="10" t="s">
        <v>6352</v>
      </c>
      <c r="H11348" s="11">
        <v>43559</v>
      </c>
      <c r="I11348" s="10">
        <v>2019</v>
      </c>
      <c r="J11348" s="10" t="s">
        <v>6351</v>
      </c>
      <c r="K11348" s="10">
        <v>287</v>
      </c>
      <c r="L11348" s="10" t="s">
        <v>49128</v>
      </c>
      <c r="M11348" s="10">
        <v>1</v>
      </c>
      <c r="N11348" s="10"/>
      <c r="O11348" s="10"/>
      <c r="P11348" s="10" t="s">
        <v>49129</v>
      </c>
      <c r="Q11348" s="10">
        <v>371.39</v>
      </c>
      <c r="R11348" s="10" t="s">
        <v>44213</v>
      </c>
      <c r="S11348" s="10" t="s">
        <v>53</v>
      </c>
      <c r="T11348" s="10" t="s">
        <v>54</v>
      </c>
    </row>
    <row r="11349" spans="1:20" ht="14.5" x14ac:dyDescent="0.35">
      <c r="A11349" s="10" t="s">
        <v>49130</v>
      </c>
      <c r="B11349" s="10" t="str">
        <f>"9781119551188"</f>
        <v>9781119551188</v>
      </c>
      <c r="C11349" s="10" t="str">
        <f>"9781119551201"</f>
        <v>9781119551201</v>
      </c>
      <c r="D11349" s="10" t="s">
        <v>6322</v>
      </c>
      <c r="E11349" s="10" t="s">
        <v>6323</v>
      </c>
      <c r="F11349" s="10" t="s">
        <v>4423</v>
      </c>
      <c r="G11349" s="10" t="s">
        <v>6317</v>
      </c>
      <c r="H11349" s="11">
        <v>43564</v>
      </c>
      <c r="I11349" s="10">
        <v>2019</v>
      </c>
      <c r="J11349" s="10" t="s">
        <v>6324</v>
      </c>
      <c r="K11349" s="10">
        <v>2327</v>
      </c>
      <c r="L11349" s="10" t="s">
        <v>49115</v>
      </c>
      <c r="M11349" s="10">
        <v>6</v>
      </c>
      <c r="N11349" s="10"/>
      <c r="O11349" s="10"/>
      <c r="P11349" s="10"/>
      <c r="Q11349" s="10">
        <v>344.73074000000003</v>
      </c>
      <c r="R11349" s="10" t="s">
        <v>49116</v>
      </c>
      <c r="S11349" s="10" t="s">
        <v>53</v>
      </c>
      <c r="T11349" s="10" t="s">
        <v>5396</v>
      </c>
    </row>
    <row r="11350" spans="1:20" ht="14.5" x14ac:dyDescent="0.35">
      <c r="A11350" s="10" t="s">
        <v>49114</v>
      </c>
      <c r="B11350" s="10" t="str">
        <f>"9781119271871"</f>
        <v>9781119271871</v>
      </c>
      <c r="C11350" s="10" t="str">
        <f>"9781119271895"</f>
        <v>9781119271895</v>
      </c>
      <c r="D11350" s="10" t="s">
        <v>6322</v>
      </c>
      <c r="E11350" s="10" t="s">
        <v>6323</v>
      </c>
      <c r="F11350" s="10" t="s">
        <v>4423</v>
      </c>
      <c r="G11350" s="10" t="s">
        <v>6317</v>
      </c>
      <c r="H11350" s="11">
        <v>43525</v>
      </c>
      <c r="I11350" s="10">
        <v>2019</v>
      </c>
      <c r="J11350" s="10" t="s">
        <v>6324</v>
      </c>
      <c r="K11350" s="10">
        <v>1123</v>
      </c>
      <c r="L11350" s="10" t="s">
        <v>49115</v>
      </c>
      <c r="M11350" s="10">
        <v>6</v>
      </c>
      <c r="N11350" s="10"/>
      <c r="O11350" s="10"/>
      <c r="P11350" s="10"/>
      <c r="Q11350" s="10"/>
      <c r="R11350" s="10" t="s">
        <v>49116</v>
      </c>
      <c r="S11350" s="10" t="s">
        <v>53</v>
      </c>
      <c r="T11350" s="10" t="s">
        <v>54</v>
      </c>
    </row>
    <row r="11351" spans="1:20" ht="14.5" x14ac:dyDescent="0.35">
      <c r="A11351" s="10" t="s">
        <v>49131</v>
      </c>
      <c r="B11351" s="10" t="str">
        <f>"9781785925221"</f>
        <v>9781785925221</v>
      </c>
      <c r="C11351" s="10" t="str">
        <f>"9781784509118"</f>
        <v>9781784509118</v>
      </c>
      <c r="D11351" s="10" t="s">
        <v>10516</v>
      </c>
      <c r="E11351" s="10" t="s">
        <v>10516</v>
      </c>
      <c r="F11351" s="10" t="s">
        <v>139</v>
      </c>
      <c r="G11351" s="10" t="s">
        <v>6352</v>
      </c>
      <c r="H11351" s="11">
        <v>43637</v>
      </c>
      <c r="I11351" s="10">
        <v>2019</v>
      </c>
      <c r="J11351" s="10" t="s">
        <v>10516</v>
      </c>
      <c r="K11351" s="10">
        <v>138</v>
      </c>
      <c r="L11351" s="10" t="s">
        <v>45829</v>
      </c>
      <c r="M11351" s="10">
        <v>1</v>
      </c>
      <c r="N11351" s="10"/>
      <c r="O11351" s="10"/>
      <c r="P11351" s="10" t="s">
        <v>49132</v>
      </c>
      <c r="Q11351" s="10">
        <v>371.9144</v>
      </c>
      <c r="R11351" s="10"/>
      <c r="S11351" s="10" t="s">
        <v>53</v>
      </c>
      <c r="T11351" s="10" t="s">
        <v>54</v>
      </c>
    </row>
    <row r="11352" spans="1:20" ht="14.5" x14ac:dyDescent="0.35">
      <c r="A11352" s="10" t="s">
        <v>49133</v>
      </c>
      <c r="B11352" s="10" t="str">
        <f>"9781620368046"</f>
        <v>9781620368046</v>
      </c>
      <c r="C11352" s="10" t="str">
        <f>"9781000972542"</f>
        <v>9781000972542</v>
      </c>
      <c r="D11352" s="10" t="s">
        <v>6350</v>
      </c>
      <c r="E11352" s="10" t="s">
        <v>6351</v>
      </c>
      <c r="F11352" s="10" t="s">
        <v>748</v>
      </c>
      <c r="G11352" s="10" t="s">
        <v>6352</v>
      </c>
      <c r="H11352" s="11">
        <v>43549</v>
      </c>
      <c r="I11352" s="10">
        <v>2019</v>
      </c>
      <c r="J11352" s="10" t="s">
        <v>6351</v>
      </c>
      <c r="K11352" s="10">
        <v>184</v>
      </c>
      <c r="L11352" s="10" t="s">
        <v>49134</v>
      </c>
      <c r="M11352" s="10">
        <v>1</v>
      </c>
      <c r="N11352" s="10"/>
      <c r="O11352" s="10"/>
      <c r="P11352" s="10" t="s">
        <v>49135</v>
      </c>
      <c r="Q11352" s="10">
        <v>371.39499999999998</v>
      </c>
      <c r="R11352" s="10" t="s">
        <v>49136</v>
      </c>
      <c r="S11352" s="10" t="s">
        <v>53</v>
      </c>
      <c r="T11352" s="10" t="s">
        <v>54</v>
      </c>
    </row>
    <row r="11353" spans="1:20" ht="14.5" x14ac:dyDescent="0.35">
      <c r="A11353" s="10" t="s">
        <v>49137</v>
      </c>
      <c r="B11353" s="10" t="str">
        <f>"9781416627166"</f>
        <v>9781416627166</v>
      </c>
      <c r="C11353" s="10" t="str">
        <f>"9781416627180"</f>
        <v>9781416627180</v>
      </c>
      <c r="D11353" s="10" t="s">
        <v>10014</v>
      </c>
      <c r="E11353" s="10" t="s">
        <v>10015</v>
      </c>
      <c r="F11353" s="10" t="s">
        <v>201</v>
      </c>
      <c r="G11353" s="10" t="s">
        <v>6317</v>
      </c>
      <c r="H11353" s="11">
        <v>43585</v>
      </c>
      <c r="I11353" s="10">
        <v>2019</v>
      </c>
      <c r="J11353" s="10" t="s">
        <v>10015</v>
      </c>
      <c r="K11353" s="10">
        <v>146</v>
      </c>
      <c r="L11353" s="10" t="s">
        <v>49138</v>
      </c>
      <c r="M11353" s="10">
        <v>1</v>
      </c>
      <c r="N11353" s="10"/>
      <c r="O11353" s="10"/>
      <c r="P11353" s="10" t="s">
        <v>49139</v>
      </c>
      <c r="Q11353" s="10" t="s">
        <v>7299</v>
      </c>
      <c r="R11353" s="10" t="s">
        <v>49140</v>
      </c>
      <c r="S11353" s="10" t="s">
        <v>53</v>
      </c>
      <c r="T11353" s="10" t="s">
        <v>54</v>
      </c>
    </row>
    <row r="11354" spans="1:20" ht="14.5" x14ac:dyDescent="0.35">
      <c r="A11354" s="10" t="s">
        <v>49141</v>
      </c>
      <c r="B11354" s="10" t="str">
        <f>"9781947604353"</f>
        <v>9781947604353</v>
      </c>
      <c r="C11354" s="10" t="str">
        <f>"9781947604360"</f>
        <v>9781947604360</v>
      </c>
      <c r="D11354" s="10" t="s">
        <v>37580</v>
      </c>
      <c r="E11354" s="10" t="s">
        <v>37581</v>
      </c>
      <c r="F11354" s="10" t="s">
        <v>37623</v>
      </c>
      <c r="G11354" s="10" t="s">
        <v>6317</v>
      </c>
      <c r="H11354" s="11">
        <v>43581</v>
      </c>
      <c r="I11354" s="10">
        <v>2019</v>
      </c>
      <c r="J11354" s="10" t="s">
        <v>37581</v>
      </c>
      <c r="K11354" s="10">
        <v>200</v>
      </c>
      <c r="L11354" s="10" t="s">
        <v>49142</v>
      </c>
      <c r="M11354" s="10">
        <v>1</v>
      </c>
      <c r="N11354" s="10" t="s">
        <v>44310</v>
      </c>
      <c r="O11354" s="10"/>
      <c r="P11354" s="10" t="s">
        <v>49143</v>
      </c>
      <c r="Q11354" s="10"/>
      <c r="R11354" s="10" t="s">
        <v>49144</v>
      </c>
      <c r="S11354" s="10" t="s">
        <v>53</v>
      </c>
      <c r="T11354" s="10" t="s">
        <v>54</v>
      </c>
    </row>
    <row r="11355" spans="1:20" ht="14.5" x14ac:dyDescent="0.35">
      <c r="A11355" s="10" t="s">
        <v>49145</v>
      </c>
      <c r="B11355" s="10" t="str">
        <f>"9781138851498"</f>
        <v>9781138851498</v>
      </c>
      <c r="C11355" s="10" t="str">
        <f>"9781317529866"</f>
        <v>9781317529866</v>
      </c>
      <c r="D11355" s="10" t="s">
        <v>6350</v>
      </c>
      <c r="E11355" s="10" t="s">
        <v>6351</v>
      </c>
      <c r="F11355" s="10" t="s">
        <v>748</v>
      </c>
      <c r="G11355" s="10" t="s">
        <v>6352</v>
      </c>
      <c r="H11355" s="11">
        <v>43578</v>
      </c>
      <c r="I11355" s="10">
        <v>2019</v>
      </c>
      <c r="J11355" s="10" t="s">
        <v>6351</v>
      </c>
      <c r="K11355" s="10">
        <v>259</v>
      </c>
      <c r="L11355" s="10" t="s">
        <v>49146</v>
      </c>
      <c r="M11355" s="10">
        <v>1</v>
      </c>
      <c r="N11355" s="10" t="s">
        <v>49147</v>
      </c>
      <c r="O11355" s="10"/>
      <c r="P11355" s="10" t="s">
        <v>49148</v>
      </c>
      <c r="Q11355" s="10" t="s">
        <v>22166</v>
      </c>
      <c r="R11355" s="10" t="s">
        <v>49149</v>
      </c>
      <c r="S11355" s="10" t="s">
        <v>53</v>
      </c>
      <c r="T11355" s="10" t="s">
        <v>54</v>
      </c>
    </row>
    <row r="11356" spans="1:20" ht="14.5" x14ac:dyDescent="0.35">
      <c r="A11356" s="10" t="s">
        <v>49150</v>
      </c>
      <c r="B11356" s="10" t="str">
        <f>"9781138385009"</f>
        <v>9781138385009</v>
      </c>
      <c r="C11356" s="10" t="str">
        <f>"9780429763762"</f>
        <v>9780429763762</v>
      </c>
      <c r="D11356" s="10" t="s">
        <v>6350</v>
      </c>
      <c r="E11356" s="10" t="s">
        <v>6351</v>
      </c>
      <c r="F11356" s="10" t="s">
        <v>3967</v>
      </c>
      <c r="G11356" s="10" t="s">
        <v>6352</v>
      </c>
      <c r="H11356" s="11">
        <v>36342</v>
      </c>
      <c r="I11356" s="10">
        <v>1999</v>
      </c>
      <c r="J11356" s="10" t="s">
        <v>6353</v>
      </c>
      <c r="K11356" s="10">
        <v>236</v>
      </c>
      <c r="L11356" s="10" t="s">
        <v>49151</v>
      </c>
      <c r="M11356" s="10">
        <v>1</v>
      </c>
      <c r="N11356" s="10" t="s">
        <v>16856</v>
      </c>
      <c r="O11356" s="10"/>
      <c r="P11356" s="10" t="s">
        <v>49152</v>
      </c>
      <c r="Q11356" s="10">
        <v>378.19822094099999</v>
      </c>
      <c r="R11356" s="10" t="s">
        <v>49153</v>
      </c>
      <c r="S11356" s="10" t="s">
        <v>53</v>
      </c>
      <c r="T11356" s="10" t="s">
        <v>54</v>
      </c>
    </row>
    <row r="11357" spans="1:20" ht="14.5" x14ac:dyDescent="0.35">
      <c r="A11357" s="10" t="s">
        <v>49154</v>
      </c>
      <c r="B11357" s="10" t="str">
        <f>"9781416627340"</f>
        <v>9781416627340</v>
      </c>
      <c r="C11357" s="10" t="str">
        <f>"9781416627364"</f>
        <v>9781416627364</v>
      </c>
      <c r="D11357" s="10" t="s">
        <v>10014</v>
      </c>
      <c r="E11357" s="10" t="s">
        <v>10015</v>
      </c>
      <c r="F11357" s="10" t="s">
        <v>201</v>
      </c>
      <c r="G11357" s="10" t="s">
        <v>6317</v>
      </c>
      <c r="H11357" s="11">
        <v>43565</v>
      </c>
      <c r="I11357" s="10">
        <v>2019</v>
      </c>
      <c r="J11357" s="10" t="s">
        <v>10015</v>
      </c>
      <c r="K11357" s="10">
        <v>202</v>
      </c>
      <c r="L11357" s="10" t="s">
        <v>49155</v>
      </c>
      <c r="M11357" s="10">
        <v>1</v>
      </c>
      <c r="N11357" s="10"/>
      <c r="O11357" s="10"/>
      <c r="P11357" s="10" t="s">
        <v>49156</v>
      </c>
      <c r="Q11357" s="10" t="s">
        <v>6942</v>
      </c>
      <c r="R11357" s="10" t="s">
        <v>49157</v>
      </c>
      <c r="S11357" s="10" t="s">
        <v>53</v>
      </c>
      <c r="T11357" s="10" t="s">
        <v>54</v>
      </c>
    </row>
    <row r="11358" spans="1:20" ht="14.5" x14ac:dyDescent="0.35">
      <c r="A11358" s="10" t="s">
        <v>49158</v>
      </c>
      <c r="B11358" s="10" t="str">
        <f>"9781601389657"</f>
        <v>9781601389657</v>
      </c>
      <c r="C11358" s="10" t="str">
        <f>"9781601389688"</f>
        <v>9781601389688</v>
      </c>
      <c r="D11358" s="10" t="s">
        <v>43658</v>
      </c>
      <c r="E11358" s="10" t="s">
        <v>43659</v>
      </c>
      <c r="F11358" s="10" t="s">
        <v>49159</v>
      </c>
      <c r="G11358" s="10" t="s">
        <v>6317</v>
      </c>
      <c r="H11358" s="11">
        <v>42734</v>
      </c>
      <c r="I11358" s="10">
        <v>2016</v>
      </c>
      <c r="J11358" s="10" t="s">
        <v>49160</v>
      </c>
      <c r="K11358" s="10">
        <v>278</v>
      </c>
      <c r="L11358" s="10" t="s">
        <v>49161</v>
      </c>
      <c r="M11358" s="10"/>
      <c r="N11358" s="10"/>
      <c r="O11358" s="10"/>
      <c r="P11358" s="10" t="s">
        <v>49162</v>
      </c>
      <c r="Q11358" s="10">
        <v>378.125</v>
      </c>
      <c r="R11358" s="10" t="s">
        <v>49163</v>
      </c>
      <c r="S11358" s="10" t="s">
        <v>53</v>
      </c>
      <c r="T11358" s="10" t="s">
        <v>54</v>
      </c>
    </row>
    <row r="11359" spans="1:20" ht="14.5" x14ac:dyDescent="0.35">
      <c r="A11359" s="10" t="s">
        <v>49164</v>
      </c>
      <c r="B11359" s="10" t="str">
        <f>"9781501715297"</f>
        <v>9781501715297</v>
      </c>
      <c r="C11359" s="10" t="str">
        <f>"9781501715303"</f>
        <v>9781501715303</v>
      </c>
      <c r="D11359" s="10" t="s">
        <v>9533</v>
      </c>
      <c r="E11359" s="10" t="s">
        <v>5258</v>
      </c>
      <c r="F11359" s="10" t="s">
        <v>2536</v>
      </c>
      <c r="G11359" s="10" t="s">
        <v>6317</v>
      </c>
      <c r="H11359" s="11">
        <v>43600</v>
      </c>
      <c r="I11359" s="10">
        <v>2019</v>
      </c>
      <c r="J11359" s="10" t="s">
        <v>5258</v>
      </c>
      <c r="K11359" s="10">
        <v>108</v>
      </c>
      <c r="L11359" s="10" t="s">
        <v>49165</v>
      </c>
      <c r="M11359" s="10">
        <v>1</v>
      </c>
      <c r="N11359" s="10"/>
      <c r="O11359" s="10"/>
      <c r="P11359" s="10" t="s">
        <v>49166</v>
      </c>
      <c r="Q11359" s="10">
        <v>616.89008349999995</v>
      </c>
      <c r="R11359" s="10" t="s">
        <v>49167</v>
      </c>
      <c r="S11359" s="10" t="s">
        <v>53</v>
      </c>
      <c r="T11359" s="10" t="s">
        <v>8510</v>
      </c>
    </row>
    <row r="11360" spans="1:20" ht="14.5" x14ac:dyDescent="0.35">
      <c r="A11360" s="10" t="s">
        <v>49168</v>
      </c>
      <c r="B11360" s="10" t="str">
        <f>"9781681252315"</f>
        <v>9781681252315</v>
      </c>
      <c r="C11360" s="10" t="str">
        <f>"9781681252391"</f>
        <v>9781681252391</v>
      </c>
      <c r="D11360" s="10" t="s">
        <v>28876</v>
      </c>
      <c r="E11360" s="10" t="s">
        <v>28877</v>
      </c>
      <c r="F11360" s="10" t="s">
        <v>39534</v>
      </c>
      <c r="G11360" s="10" t="s">
        <v>6317</v>
      </c>
      <c r="H11360" s="11">
        <v>43497</v>
      </c>
      <c r="I11360" s="10">
        <v>2019</v>
      </c>
      <c r="J11360" s="10" t="s">
        <v>28877</v>
      </c>
      <c r="K11360" s="10">
        <v>265</v>
      </c>
      <c r="L11360" s="10" t="s">
        <v>49169</v>
      </c>
      <c r="M11360" s="10">
        <v>1</v>
      </c>
      <c r="N11360" s="10"/>
      <c r="O11360" s="10"/>
      <c r="P11360" s="10" t="s">
        <v>49170</v>
      </c>
      <c r="Q11360" s="10">
        <v>372.6</v>
      </c>
      <c r="R11360" s="10" t="s">
        <v>49171</v>
      </c>
      <c r="S11360" s="10" t="s">
        <v>53</v>
      </c>
      <c r="T11360" s="10" t="s">
        <v>54</v>
      </c>
    </row>
    <row r="11361" spans="1:20" ht="14.5" x14ac:dyDescent="0.35">
      <c r="A11361" s="10" t="s">
        <v>49172</v>
      </c>
      <c r="B11361" s="10" t="str">
        <f>"9781785924811"</f>
        <v>9781785924811</v>
      </c>
      <c r="C11361" s="10" t="str">
        <f>"9781784508692"</f>
        <v>9781784508692</v>
      </c>
      <c r="D11361" s="10" t="s">
        <v>10516</v>
      </c>
      <c r="E11361" s="10" t="s">
        <v>10516</v>
      </c>
      <c r="F11361" s="10" t="s">
        <v>139</v>
      </c>
      <c r="G11361" s="10" t="s">
        <v>6352</v>
      </c>
      <c r="H11361" s="11">
        <v>43606</v>
      </c>
      <c r="I11361" s="10">
        <v>2019</v>
      </c>
      <c r="J11361" s="10" t="s">
        <v>10516</v>
      </c>
      <c r="K11361" s="10">
        <v>146</v>
      </c>
      <c r="L11361" s="10" t="s">
        <v>49173</v>
      </c>
      <c r="M11361" s="10">
        <v>1</v>
      </c>
      <c r="N11361" s="10"/>
      <c r="O11361" s="10"/>
      <c r="P11361" s="10"/>
      <c r="Q11361" s="10"/>
      <c r="R11361" s="10"/>
      <c r="S11361" s="10" t="s">
        <v>53</v>
      </c>
      <c r="T11361" s="10" t="s">
        <v>49174</v>
      </c>
    </row>
    <row r="11362" spans="1:20" ht="14.5" x14ac:dyDescent="0.35">
      <c r="A11362" s="10" t="s">
        <v>49175</v>
      </c>
      <c r="B11362" s="10" t="str">
        <f>"9781787699083"</f>
        <v>9781787699083</v>
      </c>
      <c r="C11362" s="10" t="str">
        <f>"9781787699076"</f>
        <v>9781787699076</v>
      </c>
      <c r="D11362" s="10" t="s">
        <v>8699</v>
      </c>
      <c r="E11362" s="10" t="s">
        <v>8699</v>
      </c>
      <c r="F11362" s="10" t="s">
        <v>559</v>
      </c>
      <c r="G11362" s="10" t="s">
        <v>6352</v>
      </c>
      <c r="H11362" s="11">
        <v>43579</v>
      </c>
      <c r="I11362" s="10">
        <v>2019</v>
      </c>
      <c r="J11362" s="10" t="s">
        <v>8699</v>
      </c>
      <c r="K11362" s="10">
        <v>166</v>
      </c>
      <c r="L11362" s="10" t="s">
        <v>49176</v>
      </c>
      <c r="M11362" s="10">
        <v>1</v>
      </c>
      <c r="N11362" s="10" t="s">
        <v>48780</v>
      </c>
      <c r="O11362" s="10"/>
      <c r="P11362" s="10" t="s">
        <v>26825</v>
      </c>
      <c r="Q11362" s="10">
        <v>378</v>
      </c>
      <c r="R11362" s="10" t="s">
        <v>49177</v>
      </c>
      <c r="S11362" s="10" t="s">
        <v>53</v>
      </c>
      <c r="T11362" s="10" t="s">
        <v>54</v>
      </c>
    </row>
    <row r="11363" spans="1:20" ht="14.5" x14ac:dyDescent="0.35">
      <c r="A11363" s="10" t="s">
        <v>49178</v>
      </c>
      <c r="B11363" s="10" t="str">
        <f>"9780522862386"</f>
        <v>9780522862386</v>
      </c>
      <c r="C11363" s="10" t="str">
        <f>"9780522864274"</f>
        <v>9780522864274</v>
      </c>
      <c r="D11363" s="10" t="s">
        <v>48856</v>
      </c>
      <c r="E11363" s="10" t="s">
        <v>49179</v>
      </c>
      <c r="F11363" s="10" t="s">
        <v>1150</v>
      </c>
      <c r="G11363" s="10" t="s">
        <v>12975</v>
      </c>
      <c r="H11363" s="11">
        <v>41395</v>
      </c>
      <c r="I11363" s="10">
        <v>2013</v>
      </c>
      <c r="J11363" s="10" t="s">
        <v>49180</v>
      </c>
      <c r="K11363" s="10">
        <v>210</v>
      </c>
      <c r="L11363" s="10" t="s">
        <v>49181</v>
      </c>
      <c r="M11363" s="10">
        <v>1</v>
      </c>
      <c r="N11363" s="10"/>
      <c r="O11363" s="10"/>
      <c r="P11363" s="10" t="s">
        <v>49182</v>
      </c>
      <c r="Q11363" s="10">
        <v>375.00109939999999</v>
      </c>
      <c r="R11363" s="10" t="s">
        <v>49183</v>
      </c>
      <c r="S11363" s="10" t="s">
        <v>53</v>
      </c>
      <c r="T11363" s="10" t="s">
        <v>54</v>
      </c>
    </row>
    <row r="11364" spans="1:20" ht="14.5" x14ac:dyDescent="0.35">
      <c r="A11364" s="10" t="s">
        <v>49184</v>
      </c>
      <c r="B11364" s="10" t="str">
        <f>"9780522871906"</f>
        <v>9780522871906</v>
      </c>
      <c r="C11364" s="10" t="str">
        <f>"9780522871913"</f>
        <v>9780522871913</v>
      </c>
      <c r="D11364" s="10" t="s">
        <v>48856</v>
      </c>
      <c r="E11364" s="10" t="s">
        <v>48856</v>
      </c>
      <c r="F11364" s="10" t="s">
        <v>1150</v>
      </c>
      <c r="G11364" s="10" t="s">
        <v>12975</v>
      </c>
      <c r="H11364" s="11">
        <v>43010</v>
      </c>
      <c r="I11364" s="10">
        <v>2017</v>
      </c>
      <c r="J11364" s="10" t="s">
        <v>49185</v>
      </c>
      <c r="K11364" s="10">
        <v>315</v>
      </c>
      <c r="L11364" s="10" t="s">
        <v>49186</v>
      </c>
      <c r="M11364" s="10">
        <v>1</v>
      </c>
      <c r="N11364" s="10"/>
      <c r="O11364" s="10"/>
      <c r="P11364" s="10" t="s">
        <v>49187</v>
      </c>
      <c r="Q11364" s="10">
        <v>378.94</v>
      </c>
      <c r="R11364" s="10" t="s">
        <v>49188</v>
      </c>
      <c r="S11364" s="10" t="s">
        <v>53</v>
      </c>
      <c r="T11364" s="10" t="s">
        <v>54</v>
      </c>
    </row>
    <row r="11365" spans="1:20" ht="14.5" x14ac:dyDescent="0.35">
      <c r="A11365" s="10" t="s">
        <v>49189</v>
      </c>
      <c r="B11365" s="10" t="str">
        <f>"9781838670924"</f>
        <v>9781838670924</v>
      </c>
      <c r="C11365" s="10" t="str">
        <f>"9781838670931"</f>
        <v>9781838670931</v>
      </c>
      <c r="D11365" s="10" t="s">
        <v>8699</v>
      </c>
      <c r="E11365" s="10" t="s">
        <v>8699</v>
      </c>
      <c r="F11365" s="10" t="s">
        <v>41843</v>
      </c>
      <c r="G11365" s="10" t="s">
        <v>6352</v>
      </c>
      <c r="H11365" s="11">
        <v>43550</v>
      </c>
      <c r="I11365" s="10">
        <v>2019</v>
      </c>
      <c r="J11365" s="10" t="s">
        <v>8699</v>
      </c>
      <c r="K11365" s="10">
        <v>124</v>
      </c>
      <c r="L11365" s="10" t="s">
        <v>49190</v>
      </c>
      <c r="M11365" s="10">
        <v>1</v>
      </c>
      <c r="N11365" s="10" t="s">
        <v>47427</v>
      </c>
      <c r="O11365" s="10">
        <v>3</v>
      </c>
      <c r="P11365" s="10" t="s">
        <v>49191</v>
      </c>
      <c r="Q11365" s="10">
        <v>371.35</v>
      </c>
      <c r="R11365" s="10" t="s">
        <v>32754</v>
      </c>
      <c r="S11365" s="10" t="s">
        <v>53</v>
      </c>
      <c r="T11365" s="10" t="s">
        <v>54</v>
      </c>
    </row>
    <row r="11366" spans="1:20" ht="14.5" x14ac:dyDescent="0.35">
      <c r="A11366" s="10" t="s">
        <v>49192</v>
      </c>
      <c r="B11366" s="10" t="str">
        <f>"9781838673413"</f>
        <v>9781838673413</v>
      </c>
      <c r="C11366" s="10" t="str">
        <f>"9781838673420"</f>
        <v>9781838673420</v>
      </c>
      <c r="D11366" s="10" t="s">
        <v>8699</v>
      </c>
      <c r="E11366" s="10" t="s">
        <v>8699</v>
      </c>
      <c r="F11366" s="10" t="s">
        <v>41843</v>
      </c>
      <c r="G11366" s="10" t="s">
        <v>6352</v>
      </c>
      <c r="H11366" s="11">
        <v>43546</v>
      </c>
      <c r="I11366" s="10">
        <v>2019</v>
      </c>
      <c r="J11366" s="10" t="s">
        <v>8699</v>
      </c>
      <c r="K11366" s="10">
        <v>79</v>
      </c>
      <c r="L11366" s="10" t="s">
        <v>49193</v>
      </c>
      <c r="M11366" s="10">
        <v>1</v>
      </c>
      <c r="N11366" s="10" t="s">
        <v>49194</v>
      </c>
      <c r="O11366" s="10">
        <v>1</v>
      </c>
      <c r="P11366" s="10" t="s">
        <v>49195</v>
      </c>
      <c r="Q11366" s="10">
        <v>370.72</v>
      </c>
      <c r="R11366" s="10" t="s">
        <v>49196</v>
      </c>
      <c r="S11366" s="10" t="s">
        <v>53</v>
      </c>
      <c r="T11366" s="10" t="s">
        <v>54</v>
      </c>
    </row>
    <row r="11367" spans="1:20" ht="14.5" x14ac:dyDescent="0.35">
      <c r="A11367" s="10" t="s">
        <v>49197</v>
      </c>
      <c r="B11367" s="10" t="str">
        <f>"9781620368220"</f>
        <v>9781620368220</v>
      </c>
      <c r="C11367" s="10" t="str">
        <f>"9781000973242"</f>
        <v>9781000973242</v>
      </c>
      <c r="D11367" s="10" t="s">
        <v>6350</v>
      </c>
      <c r="E11367" s="10" t="s">
        <v>6351</v>
      </c>
      <c r="F11367" s="10" t="s">
        <v>748</v>
      </c>
      <c r="G11367" s="10" t="s">
        <v>6352</v>
      </c>
      <c r="H11367" s="11">
        <v>43570</v>
      </c>
      <c r="I11367" s="10">
        <v>2019</v>
      </c>
      <c r="J11367" s="10" t="s">
        <v>6351</v>
      </c>
      <c r="K11367" s="10">
        <v>250</v>
      </c>
      <c r="L11367" s="10" t="s">
        <v>49198</v>
      </c>
      <c r="M11367" s="10">
        <v>1</v>
      </c>
      <c r="N11367" s="10"/>
      <c r="O11367" s="10"/>
      <c r="P11367" s="10" t="s">
        <v>49199</v>
      </c>
      <c r="Q11367" s="10">
        <v>378.125</v>
      </c>
      <c r="R11367" s="10" t="s">
        <v>47623</v>
      </c>
      <c r="S11367" s="10" t="s">
        <v>53</v>
      </c>
      <c r="T11367" s="10" t="s">
        <v>54</v>
      </c>
    </row>
    <row r="11368" spans="1:20" ht="14.5" x14ac:dyDescent="0.35">
      <c r="A11368" s="10" t="s">
        <v>49200</v>
      </c>
      <c r="B11368" s="10" t="str">
        <f>"9781975500702"</f>
        <v>9781975500702</v>
      </c>
      <c r="C11368" s="10" t="str">
        <f>"9781975500726"</f>
        <v>9781975500726</v>
      </c>
      <c r="D11368" s="10" t="s">
        <v>44271</v>
      </c>
      <c r="E11368" s="10" t="s">
        <v>47266</v>
      </c>
      <c r="F11368" s="10" t="s">
        <v>41227</v>
      </c>
      <c r="G11368" s="10" t="s">
        <v>6317</v>
      </c>
      <c r="H11368" s="11">
        <v>43528</v>
      </c>
      <c r="I11368" s="10">
        <v>2019</v>
      </c>
      <c r="J11368" s="10" t="s">
        <v>47266</v>
      </c>
      <c r="K11368" s="10">
        <v>331</v>
      </c>
      <c r="L11368" s="10" t="s">
        <v>49201</v>
      </c>
      <c r="M11368" s="10">
        <v>1</v>
      </c>
      <c r="N11368" s="10"/>
      <c r="O11368" s="10"/>
      <c r="P11368" s="10" t="s">
        <v>49202</v>
      </c>
      <c r="Q11368" s="10">
        <v>379.13</v>
      </c>
      <c r="R11368" s="10" t="s">
        <v>49203</v>
      </c>
      <c r="S11368" s="10" t="s">
        <v>53</v>
      </c>
      <c r="T11368" s="10" t="s">
        <v>6472</v>
      </c>
    </row>
    <row r="11369" spans="1:20" ht="14.5" x14ac:dyDescent="0.35">
      <c r="A11369" s="10" t="s">
        <v>49204</v>
      </c>
      <c r="B11369" s="10" t="str">
        <f>"9781947604179"</f>
        <v>9781947604179</v>
      </c>
      <c r="C11369" s="10" t="str">
        <f>"9781947604186"</f>
        <v>9781947604186</v>
      </c>
      <c r="D11369" s="10" t="s">
        <v>37580</v>
      </c>
      <c r="E11369" s="10" t="s">
        <v>37581</v>
      </c>
      <c r="F11369" s="10" t="s">
        <v>37623</v>
      </c>
      <c r="G11369" s="10" t="s">
        <v>6317</v>
      </c>
      <c r="H11369" s="11">
        <v>43588</v>
      </c>
      <c r="I11369" s="10">
        <v>2019</v>
      </c>
      <c r="J11369" s="10" t="s">
        <v>37581</v>
      </c>
      <c r="K11369" s="10">
        <v>168</v>
      </c>
      <c r="L11369" s="10" t="s">
        <v>49205</v>
      </c>
      <c r="M11369" s="10">
        <v>1</v>
      </c>
      <c r="N11369" s="10"/>
      <c r="O11369" s="10"/>
      <c r="P11369" s="10" t="s">
        <v>49206</v>
      </c>
      <c r="Q11369" s="10"/>
      <c r="R11369" s="10" t="s">
        <v>49207</v>
      </c>
      <c r="S11369" s="10" t="s">
        <v>53</v>
      </c>
      <c r="T11369" s="10" t="s">
        <v>54</v>
      </c>
    </row>
    <row r="11370" spans="1:20" ht="14.5" x14ac:dyDescent="0.35">
      <c r="A11370" s="10" t="s">
        <v>49208</v>
      </c>
      <c r="B11370" s="10" t="str">
        <f>"9781947604155"</f>
        <v>9781947604155</v>
      </c>
      <c r="C11370" s="10" t="str">
        <f>"9781947604162"</f>
        <v>9781947604162</v>
      </c>
      <c r="D11370" s="10" t="s">
        <v>37580</v>
      </c>
      <c r="E11370" s="10" t="s">
        <v>37581</v>
      </c>
      <c r="F11370" s="10" t="s">
        <v>37623</v>
      </c>
      <c r="G11370" s="10" t="s">
        <v>6317</v>
      </c>
      <c r="H11370" s="11">
        <v>43588</v>
      </c>
      <c r="I11370" s="10">
        <v>2019</v>
      </c>
      <c r="J11370" s="10" t="s">
        <v>37581</v>
      </c>
      <c r="K11370" s="10">
        <v>312</v>
      </c>
      <c r="L11370" s="10" t="s">
        <v>49209</v>
      </c>
      <c r="M11370" s="10">
        <v>1</v>
      </c>
      <c r="N11370" s="10"/>
      <c r="O11370" s="10"/>
      <c r="P11370" s="10" t="s">
        <v>49210</v>
      </c>
      <c r="Q11370" s="10"/>
      <c r="R11370" s="10" t="s">
        <v>49211</v>
      </c>
      <c r="S11370" s="10" t="s">
        <v>53</v>
      </c>
      <c r="T11370" s="10" t="s">
        <v>54</v>
      </c>
    </row>
    <row r="11371" spans="1:20" ht="14.5" x14ac:dyDescent="0.35">
      <c r="A11371" s="10" t="s">
        <v>49212</v>
      </c>
      <c r="B11371" s="10" t="str">
        <f>"9789004397033"</f>
        <v>9789004397033</v>
      </c>
      <c r="C11371" s="10" t="str">
        <f>"9789004397040"</f>
        <v>9789004397040</v>
      </c>
      <c r="D11371" s="10" t="s">
        <v>8564</v>
      </c>
      <c r="E11371" s="10" t="s">
        <v>8565</v>
      </c>
      <c r="F11371" s="10" t="s">
        <v>1420</v>
      </c>
      <c r="G11371" s="10" t="s">
        <v>6317</v>
      </c>
      <c r="H11371" s="11">
        <v>43497</v>
      </c>
      <c r="I11371" s="10">
        <v>2019</v>
      </c>
      <c r="J11371" s="10" t="s">
        <v>33259</v>
      </c>
      <c r="K11371" s="10">
        <v>181</v>
      </c>
      <c r="L11371" s="10" t="s">
        <v>49213</v>
      </c>
      <c r="M11371" s="10">
        <v>1</v>
      </c>
      <c r="N11371" s="10" t="s">
        <v>49214</v>
      </c>
      <c r="O11371" s="10">
        <v>4</v>
      </c>
      <c r="P11371" s="10" t="s">
        <v>49215</v>
      </c>
      <c r="Q11371" s="10">
        <v>370.89960730000001</v>
      </c>
      <c r="R11371" s="10" t="s">
        <v>49216</v>
      </c>
      <c r="S11371" s="10" t="s">
        <v>53</v>
      </c>
      <c r="T11371" s="10" t="s">
        <v>54</v>
      </c>
    </row>
    <row r="11372" spans="1:20" ht="14.5" x14ac:dyDescent="0.35">
      <c r="A11372" s="10" t="s">
        <v>49217</v>
      </c>
      <c r="B11372" s="10" t="str">
        <f>"9789004400092"</f>
        <v>9789004400092</v>
      </c>
      <c r="C11372" s="10" t="str">
        <f>"9789004400115"</f>
        <v>9789004400115</v>
      </c>
      <c r="D11372" s="10" t="s">
        <v>8564</v>
      </c>
      <c r="E11372" s="10" t="s">
        <v>8565</v>
      </c>
      <c r="F11372" s="10" t="s">
        <v>1420</v>
      </c>
      <c r="G11372" s="10" t="s">
        <v>6317</v>
      </c>
      <c r="H11372" s="11">
        <v>43559</v>
      </c>
      <c r="I11372" s="10">
        <v>2019</v>
      </c>
      <c r="J11372" s="10" t="s">
        <v>33259</v>
      </c>
      <c r="K11372" s="10">
        <v>242</v>
      </c>
      <c r="L11372" s="10" t="s">
        <v>49218</v>
      </c>
      <c r="M11372" s="10">
        <v>1</v>
      </c>
      <c r="N11372" s="10"/>
      <c r="O11372" s="10"/>
      <c r="P11372" s="10"/>
      <c r="Q11372" s="10"/>
      <c r="R11372" s="10" t="s">
        <v>49219</v>
      </c>
      <c r="S11372" s="10" t="s">
        <v>53</v>
      </c>
      <c r="T11372" s="10" t="s">
        <v>54</v>
      </c>
    </row>
    <row r="11373" spans="1:20" ht="14.5" x14ac:dyDescent="0.35">
      <c r="A11373" s="10" t="s">
        <v>49220</v>
      </c>
      <c r="B11373" s="10" t="str">
        <f>"9788770220620"</f>
        <v>9788770220620</v>
      </c>
      <c r="C11373" s="10" t="str">
        <f>"9781000794984"</f>
        <v>9781000794984</v>
      </c>
      <c r="D11373" s="10" t="s">
        <v>6350</v>
      </c>
      <c r="E11373" s="10" t="s">
        <v>37560</v>
      </c>
      <c r="F11373" s="10" t="s">
        <v>37561</v>
      </c>
      <c r="G11373" s="10" t="s">
        <v>37405</v>
      </c>
      <c r="H11373" s="11">
        <v>43555</v>
      </c>
      <c r="I11373" s="10">
        <v>2018</v>
      </c>
      <c r="J11373" s="10" t="s">
        <v>37560</v>
      </c>
      <c r="K11373" s="10">
        <v>155</v>
      </c>
      <c r="L11373" s="10" t="s">
        <v>49221</v>
      </c>
      <c r="M11373" s="10">
        <v>1</v>
      </c>
      <c r="N11373" s="10" t="s">
        <v>49222</v>
      </c>
      <c r="O11373" s="10"/>
      <c r="P11373" s="10" t="s">
        <v>49223</v>
      </c>
      <c r="Q11373" s="10">
        <v>371.35</v>
      </c>
      <c r="R11373" s="10" t="s">
        <v>49224</v>
      </c>
      <c r="S11373" s="10" t="s">
        <v>53</v>
      </c>
      <c r="T11373" s="10" t="s">
        <v>54</v>
      </c>
    </row>
    <row r="11374" spans="1:20" ht="14.5" x14ac:dyDescent="0.35">
      <c r="A11374" s="10" t="s">
        <v>49225</v>
      </c>
      <c r="B11374" s="10" t="str">
        <f>"9781786303400"</f>
        <v>9781786303400</v>
      </c>
      <c r="C11374" s="10" t="str">
        <f>"9781119618171"</f>
        <v>9781119618171</v>
      </c>
      <c r="D11374" s="10" t="s">
        <v>6322</v>
      </c>
      <c r="E11374" s="10" t="s">
        <v>6323</v>
      </c>
      <c r="F11374" s="10" t="s">
        <v>4423</v>
      </c>
      <c r="G11374" s="10" t="s">
        <v>6317</v>
      </c>
      <c r="H11374" s="11">
        <v>43676</v>
      </c>
      <c r="I11374" s="10">
        <v>2019</v>
      </c>
      <c r="J11374" s="10" t="s">
        <v>29411</v>
      </c>
      <c r="K11374" s="10">
        <v>259</v>
      </c>
      <c r="L11374" s="10" t="s">
        <v>49226</v>
      </c>
      <c r="M11374" s="10">
        <v>1</v>
      </c>
      <c r="N11374" s="10"/>
      <c r="O11374" s="10"/>
      <c r="P11374" s="10"/>
      <c r="Q11374" s="10"/>
      <c r="R11374" s="10" t="s">
        <v>9026</v>
      </c>
      <c r="S11374" s="10" t="s">
        <v>53</v>
      </c>
      <c r="T11374" s="10" t="s">
        <v>54</v>
      </c>
    </row>
    <row r="11375" spans="1:20" ht="14.5" x14ac:dyDescent="0.35">
      <c r="A11375" s="10" t="s">
        <v>49227</v>
      </c>
      <c r="B11375" s="10" t="str">
        <f>""</f>
        <v/>
      </c>
      <c r="C11375" s="10" t="str">
        <f>"9781501736650"</f>
        <v>9781501736650</v>
      </c>
      <c r="D11375" s="10" t="s">
        <v>9533</v>
      </c>
      <c r="E11375" s="10" t="s">
        <v>5258</v>
      </c>
      <c r="F11375" s="10" t="s">
        <v>2536</v>
      </c>
      <c r="G11375" s="10" t="s">
        <v>6317</v>
      </c>
      <c r="H11375" s="11">
        <v>43631</v>
      </c>
      <c r="I11375" s="10">
        <v>2019</v>
      </c>
      <c r="J11375" s="10" t="s">
        <v>5258</v>
      </c>
      <c r="K11375" s="10">
        <v>310</v>
      </c>
      <c r="L11375" s="10" t="s">
        <v>49228</v>
      </c>
      <c r="M11375" s="10">
        <v>1</v>
      </c>
      <c r="N11375" s="10" t="s">
        <v>49229</v>
      </c>
      <c r="O11375" s="10"/>
      <c r="P11375" s="10" t="s">
        <v>49230</v>
      </c>
      <c r="Q11375" s="10">
        <v>378.73</v>
      </c>
      <c r="R11375" s="10" t="s">
        <v>49231</v>
      </c>
      <c r="S11375" s="10" t="s">
        <v>53</v>
      </c>
      <c r="T11375" s="10" t="s">
        <v>54</v>
      </c>
    </row>
    <row r="11376" spans="1:20" ht="14.5" x14ac:dyDescent="0.35">
      <c r="A11376" s="10" t="s">
        <v>49232</v>
      </c>
      <c r="B11376" s="10" t="str">
        <f>"9782760550872"</f>
        <v>9782760550872</v>
      </c>
      <c r="C11376" s="10" t="str">
        <f>"9782760550889"</f>
        <v>9782760550889</v>
      </c>
      <c r="D11376" s="10" t="s">
        <v>44658</v>
      </c>
      <c r="E11376" s="10" t="s">
        <v>44659</v>
      </c>
      <c r="F11376" s="10" t="s">
        <v>49233</v>
      </c>
      <c r="G11376" s="10" t="s">
        <v>9536</v>
      </c>
      <c r="H11376" s="11">
        <v>43523</v>
      </c>
      <c r="I11376" s="10">
        <v>2019</v>
      </c>
      <c r="J11376" s="10" t="s">
        <v>44659</v>
      </c>
      <c r="K11376" s="10">
        <v>216</v>
      </c>
      <c r="L11376" s="10" t="s">
        <v>45135</v>
      </c>
      <c r="M11376" s="10">
        <v>1</v>
      </c>
      <c r="N11376" s="10" t="s">
        <v>49234</v>
      </c>
      <c r="O11376" s="10"/>
      <c r="P11376" s="10" t="s">
        <v>49235</v>
      </c>
      <c r="Q11376" s="10">
        <v>371.35</v>
      </c>
      <c r="R11376" s="10" t="s">
        <v>49236</v>
      </c>
      <c r="S11376" s="10" t="s">
        <v>5404</v>
      </c>
      <c r="T11376" s="10" t="s">
        <v>54</v>
      </c>
    </row>
    <row r="11377" spans="1:20" ht="14.5" x14ac:dyDescent="0.35">
      <c r="A11377" s="10" t="s">
        <v>49237</v>
      </c>
      <c r="B11377" s="10" t="str">
        <f>"9781787569942"</f>
        <v>9781787569942</v>
      </c>
      <c r="C11377" s="10" t="str">
        <f>"9781787569935"</f>
        <v>9781787569935</v>
      </c>
      <c r="D11377" s="10" t="s">
        <v>8699</v>
      </c>
      <c r="E11377" s="10" t="s">
        <v>8699</v>
      </c>
      <c r="F11377" s="10" t="s">
        <v>559</v>
      </c>
      <c r="G11377" s="10" t="s">
        <v>6352</v>
      </c>
      <c r="H11377" s="11">
        <v>43600</v>
      </c>
      <c r="I11377" s="10">
        <v>2019</v>
      </c>
      <c r="J11377" s="10" t="s">
        <v>8699</v>
      </c>
      <c r="K11377" s="10">
        <v>180</v>
      </c>
      <c r="L11377" s="10" t="s">
        <v>49238</v>
      </c>
      <c r="M11377" s="10">
        <v>1</v>
      </c>
      <c r="N11377" s="10" t="s">
        <v>47460</v>
      </c>
      <c r="O11377" s="10"/>
      <c r="P11377" s="10" t="s">
        <v>49239</v>
      </c>
      <c r="Q11377" s="10"/>
      <c r="R11377" s="10" t="s">
        <v>12199</v>
      </c>
      <c r="S11377" s="10" t="s">
        <v>53</v>
      </c>
      <c r="T11377" s="10" t="s">
        <v>54</v>
      </c>
    </row>
    <row r="11378" spans="1:20" ht="14.5" x14ac:dyDescent="0.35">
      <c r="A11378" s="10" t="s">
        <v>49240</v>
      </c>
      <c r="B11378" s="10" t="str">
        <f>""</f>
        <v/>
      </c>
      <c r="C11378" s="10" t="str">
        <f>"9789386602909"</f>
        <v>9789386602909</v>
      </c>
      <c r="D11378" s="10" t="s">
        <v>14562</v>
      </c>
      <c r="E11378" s="10" t="s">
        <v>14563</v>
      </c>
      <c r="F11378" s="10" t="s">
        <v>14564</v>
      </c>
      <c r="G11378" s="10" t="s">
        <v>13425</v>
      </c>
      <c r="H11378" s="11">
        <v>42842</v>
      </c>
      <c r="I11378" s="10">
        <v>2016</v>
      </c>
      <c r="J11378" s="10" t="s">
        <v>14563</v>
      </c>
      <c r="K11378" s="10">
        <v>137</v>
      </c>
      <c r="L11378" s="10" t="s">
        <v>49241</v>
      </c>
      <c r="M11378" s="10">
        <v>1</v>
      </c>
      <c r="N11378" s="10"/>
      <c r="O11378" s="10"/>
      <c r="P11378" s="10" t="s">
        <v>49242</v>
      </c>
      <c r="Q11378" s="10">
        <v>686.225445369</v>
      </c>
      <c r="R11378" s="10" t="s">
        <v>49243</v>
      </c>
      <c r="S11378" s="10" t="s">
        <v>47194</v>
      </c>
      <c r="T11378" s="10" t="s">
        <v>49244</v>
      </c>
    </row>
    <row r="11379" spans="1:20" ht="14.5" x14ac:dyDescent="0.35">
      <c r="A11379" s="10" t="s">
        <v>49245</v>
      </c>
      <c r="B11379" s="10" t="str">
        <f>"9789352804375"</f>
        <v>9789352804375</v>
      </c>
      <c r="C11379" s="10" t="str">
        <f>"9789352804382"</f>
        <v>9789352804382</v>
      </c>
      <c r="D11379" s="10" t="s">
        <v>14562</v>
      </c>
      <c r="E11379" s="10" t="s">
        <v>14563</v>
      </c>
      <c r="F11379" s="10" t="s">
        <v>14564</v>
      </c>
      <c r="G11379" s="10" t="s">
        <v>13425</v>
      </c>
      <c r="H11379" s="11">
        <v>43145</v>
      </c>
      <c r="I11379" s="10">
        <v>2017</v>
      </c>
      <c r="J11379" s="10" t="s">
        <v>14563</v>
      </c>
      <c r="K11379" s="10">
        <v>287</v>
      </c>
      <c r="L11379" s="10" t="s">
        <v>49246</v>
      </c>
      <c r="M11379" s="10">
        <v>1</v>
      </c>
      <c r="N11379" s="10"/>
      <c r="O11379" s="10"/>
      <c r="P11379" s="10" t="s">
        <v>49247</v>
      </c>
      <c r="Q11379" s="10">
        <v>363.70071000000002</v>
      </c>
      <c r="R11379" s="10" t="s">
        <v>47284</v>
      </c>
      <c r="S11379" s="10" t="s">
        <v>47228</v>
      </c>
      <c r="T11379" s="10" t="s">
        <v>3668</v>
      </c>
    </row>
    <row r="11380" spans="1:20" ht="14.5" x14ac:dyDescent="0.35">
      <c r="A11380" s="10" t="s">
        <v>49248</v>
      </c>
      <c r="B11380" s="10" t="str">
        <f>"9789352804344"</f>
        <v>9789352804344</v>
      </c>
      <c r="C11380" s="10" t="str">
        <f>"9789352804351"</f>
        <v>9789352804351</v>
      </c>
      <c r="D11380" s="10" t="s">
        <v>14562</v>
      </c>
      <c r="E11380" s="10" t="s">
        <v>14563</v>
      </c>
      <c r="F11380" s="10" t="s">
        <v>14564</v>
      </c>
      <c r="G11380" s="10" t="s">
        <v>13425</v>
      </c>
      <c r="H11380" s="11">
        <v>43114</v>
      </c>
      <c r="I11380" s="10">
        <v>2017</v>
      </c>
      <c r="J11380" s="10" t="s">
        <v>14563</v>
      </c>
      <c r="K11380" s="10">
        <v>239</v>
      </c>
      <c r="L11380" s="10" t="s">
        <v>49249</v>
      </c>
      <c r="M11380" s="10">
        <v>1</v>
      </c>
      <c r="N11380" s="10"/>
      <c r="O11380" s="10"/>
      <c r="P11380" s="10" t="s">
        <v>49250</v>
      </c>
      <c r="Q11380" s="10">
        <v>371.90460000000002</v>
      </c>
      <c r="R11380" s="10" t="s">
        <v>18055</v>
      </c>
      <c r="S11380" s="10" t="s">
        <v>47228</v>
      </c>
      <c r="T11380" s="10" t="s">
        <v>54</v>
      </c>
    </row>
    <row r="11381" spans="1:20" ht="14.5" x14ac:dyDescent="0.35">
      <c r="A11381" s="10" t="s">
        <v>49251</v>
      </c>
      <c r="B11381" s="10" t="str">
        <f>"9781574405804"</f>
        <v>9781574405804</v>
      </c>
      <c r="C11381" s="10" t="str">
        <f>"9781574407648"</f>
        <v>9781574407648</v>
      </c>
      <c r="D11381" s="10" t="s">
        <v>49252</v>
      </c>
      <c r="E11381" s="10" t="s">
        <v>49252</v>
      </c>
      <c r="F11381" s="10" t="s">
        <v>13068</v>
      </c>
      <c r="G11381" s="10" t="s">
        <v>6317</v>
      </c>
      <c r="H11381" s="11">
        <v>43556</v>
      </c>
      <c r="I11381" s="10">
        <v>2019</v>
      </c>
      <c r="J11381" s="10" t="s">
        <v>49252</v>
      </c>
      <c r="K11381" s="10">
        <v>78</v>
      </c>
      <c r="L11381" s="10" t="s">
        <v>49253</v>
      </c>
      <c r="M11381" s="10">
        <v>1</v>
      </c>
      <c r="N11381" s="10"/>
      <c r="O11381" s="10"/>
      <c r="P11381" s="10" t="s">
        <v>49254</v>
      </c>
      <c r="Q11381" s="10">
        <v>28.70711</v>
      </c>
      <c r="R11381" s="10" t="s">
        <v>49255</v>
      </c>
      <c r="S11381" s="10" t="s">
        <v>53</v>
      </c>
      <c r="T11381" s="10" t="s">
        <v>16990</v>
      </c>
    </row>
    <row r="11382" spans="1:20" ht="14.5" x14ac:dyDescent="0.35">
      <c r="A11382" s="10" t="s">
        <v>49256</v>
      </c>
      <c r="B11382" s="10" t="str">
        <f>"9781138370319"</f>
        <v>9781138370319</v>
      </c>
      <c r="C11382" s="10" t="str">
        <f>"9780429765872"</f>
        <v>9780429765872</v>
      </c>
      <c r="D11382" s="10" t="s">
        <v>6350</v>
      </c>
      <c r="E11382" s="10" t="s">
        <v>6351</v>
      </c>
      <c r="F11382" s="10" t="s">
        <v>3967</v>
      </c>
      <c r="G11382" s="10" t="s">
        <v>6352</v>
      </c>
      <c r="H11382" s="11">
        <v>43640</v>
      </c>
      <c r="I11382" s="10">
        <v>2019</v>
      </c>
      <c r="J11382" s="10" t="s">
        <v>6353</v>
      </c>
      <c r="K11382" s="10">
        <v>284</v>
      </c>
      <c r="L11382" s="10" t="s">
        <v>49012</v>
      </c>
      <c r="M11382" s="10">
        <v>1</v>
      </c>
      <c r="N11382" s="10" t="s">
        <v>49013</v>
      </c>
      <c r="O11382" s="10"/>
      <c r="P11382" s="10"/>
      <c r="Q11382" s="10"/>
      <c r="R11382" s="10"/>
      <c r="S11382" s="10" t="s">
        <v>53</v>
      </c>
      <c r="T11382" s="10" t="s">
        <v>54</v>
      </c>
    </row>
    <row r="11383" spans="1:20" ht="14.5" x14ac:dyDescent="0.35">
      <c r="A11383" s="10" t="s">
        <v>49257</v>
      </c>
      <c r="B11383" s="10" t="str">
        <f>"9781138391659"</f>
        <v>9781138391659</v>
      </c>
      <c r="C11383" s="10" t="str">
        <f>"9780429749414"</f>
        <v>9780429749414</v>
      </c>
      <c r="D11383" s="10" t="s">
        <v>6350</v>
      </c>
      <c r="E11383" s="10" t="s">
        <v>6351</v>
      </c>
      <c r="F11383" s="10" t="s">
        <v>3967</v>
      </c>
      <c r="G11383" s="10" t="s">
        <v>6352</v>
      </c>
      <c r="H11383" s="11">
        <v>43599</v>
      </c>
      <c r="I11383" s="10">
        <v>2019</v>
      </c>
      <c r="J11383" s="10" t="s">
        <v>6353</v>
      </c>
      <c r="K11383" s="10">
        <v>209</v>
      </c>
      <c r="L11383" s="10" t="s">
        <v>49258</v>
      </c>
      <c r="M11383" s="10">
        <v>1</v>
      </c>
      <c r="N11383" s="10" t="s">
        <v>49259</v>
      </c>
      <c r="O11383" s="10"/>
      <c r="P11383" s="10"/>
      <c r="Q11383" s="10">
        <v>372.89095950000001</v>
      </c>
      <c r="R11383" s="10"/>
      <c r="S11383" s="10" t="s">
        <v>53</v>
      </c>
      <c r="T11383" s="10" t="s">
        <v>54</v>
      </c>
    </row>
    <row r="11384" spans="1:20" ht="14.5" x14ac:dyDescent="0.35">
      <c r="A11384" s="10" t="s">
        <v>49260</v>
      </c>
      <c r="B11384" s="10" t="str">
        <f>"9781416627647"</f>
        <v>9781416627647</v>
      </c>
      <c r="C11384" s="10" t="str">
        <f>"9781416627760"</f>
        <v>9781416627760</v>
      </c>
      <c r="D11384" s="10" t="s">
        <v>10014</v>
      </c>
      <c r="E11384" s="10" t="s">
        <v>10015</v>
      </c>
      <c r="F11384" s="10" t="s">
        <v>201</v>
      </c>
      <c r="G11384" s="10" t="s">
        <v>6317</v>
      </c>
      <c r="H11384" s="11">
        <v>43615</v>
      </c>
      <c r="I11384" s="10">
        <v>2019</v>
      </c>
      <c r="J11384" s="10" t="s">
        <v>10015</v>
      </c>
      <c r="K11384" s="10">
        <v>146</v>
      </c>
      <c r="L11384" s="10" t="s">
        <v>15760</v>
      </c>
      <c r="M11384" s="10">
        <v>1</v>
      </c>
      <c r="N11384" s="10"/>
      <c r="O11384" s="10"/>
      <c r="P11384" s="10" t="s">
        <v>49261</v>
      </c>
      <c r="Q11384" s="10" t="s">
        <v>11202</v>
      </c>
      <c r="R11384" s="10" t="s">
        <v>49262</v>
      </c>
      <c r="S11384" s="10" t="s">
        <v>53</v>
      </c>
      <c r="T11384" s="10" t="s">
        <v>54</v>
      </c>
    </row>
    <row r="11385" spans="1:20" ht="14.5" x14ac:dyDescent="0.35">
      <c r="A11385" s="10" t="s">
        <v>49263</v>
      </c>
      <c r="B11385" s="10" t="str">
        <f>"9781598133271"</f>
        <v>9781598133271</v>
      </c>
      <c r="C11385" s="10" t="str">
        <f>"9781598133301"</f>
        <v>9781598133301</v>
      </c>
      <c r="D11385" s="10" t="s">
        <v>9215</v>
      </c>
      <c r="E11385" s="10" t="s">
        <v>49264</v>
      </c>
      <c r="F11385" s="10" t="s">
        <v>324</v>
      </c>
      <c r="G11385" s="10" t="s">
        <v>6317</v>
      </c>
      <c r="H11385" s="11">
        <v>43586</v>
      </c>
      <c r="I11385" s="10">
        <v>2019</v>
      </c>
      <c r="J11385" s="10" t="s">
        <v>49264</v>
      </c>
      <c r="K11385" s="10">
        <v>418</v>
      </c>
      <c r="L11385" s="10" t="s">
        <v>49265</v>
      </c>
      <c r="M11385" s="10"/>
      <c r="N11385" s="10"/>
      <c r="O11385" s="10"/>
      <c r="P11385" s="10" t="s">
        <v>49266</v>
      </c>
      <c r="Q11385" s="10">
        <v>378.73</v>
      </c>
      <c r="R11385" s="10" t="s">
        <v>49267</v>
      </c>
      <c r="S11385" s="10" t="s">
        <v>53</v>
      </c>
      <c r="T11385" s="10" t="s">
        <v>54</v>
      </c>
    </row>
    <row r="11386" spans="1:20" ht="14.5" x14ac:dyDescent="0.35">
      <c r="A11386" s="10" t="s">
        <v>49268</v>
      </c>
      <c r="B11386" s="10" t="str">
        <f>"9781620368268"</f>
        <v>9781620368268</v>
      </c>
      <c r="C11386" s="10" t="str">
        <f>"9781000974447"</f>
        <v>9781000974447</v>
      </c>
      <c r="D11386" s="10" t="s">
        <v>6350</v>
      </c>
      <c r="E11386" s="10" t="s">
        <v>6351</v>
      </c>
      <c r="F11386" s="10" t="s">
        <v>748</v>
      </c>
      <c r="G11386" s="10" t="s">
        <v>6352</v>
      </c>
      <c r="H11386" s="11">
        <v>43593</v>
      </c>
      <c r="I11386" s="10">
        <v>2019</v>
      </c>
      <c r="J11386" s="10" t="s">
        <v>6351</v>
      </c>
      <c r="K11386" s="10">
        <v>304</v>
      </c>
      <c r="L11386" s="10" t="s">
        <v>49269</v>
      </c>
      <c r="M11386" s="10">
        <v>1</v>
      </c>
      <c r="N11386" s="10"/>
      <c r="O11386" s="10"/>
      <c r="P11386" s="10" t="s">
        <v>49270</v>
      </c>
      <c r="Q11386" s="10">
        <v>370.11599999999999</v>
      </c>
      <c r="R11386" s="10" t="s">
        <v>49271</v>
      </c>
      <c r="S11386" s="10" t="s">
        <v>53</v>
      </c>
      <c r="T11386" s="10" t="s">
        <v>54</v>
      </c>
    </row>
    <row r="11387" spans="1:20" ht="14.5" x14ac:dyDescent="0.35">
      <c r="A11387" s="10" t="s">
        <v>49272</v>
      </c>
      <c r="B11387" s="10" t="str">
        <f>"9781838671174"</f>
        <v>9781838671174</v>
      </c>
      <c r="C11387" s="10" t="str">
        <f>"9781838671167"</f>
        <v>9781838671167</v>
      </c>
      <c r="D11387" s="10" t="s">
        <v>8699</v>
      </c>
      <c r="E11387" s="10" t="s">
        <v>8699</v>
      </c>
      <c r="F11387" s="10" t="s">
        <v>559</v>
      </c>
      <c r="G11387" s="10" t="s">
        <v>6352</v>
      </c>
      <c r="H11387" s="11">
        <v>43606</v>
      </c>
      <c r="I11387" s="10">
        <v>2019</v>
      </c>
      <c r="J11387" s="10" t="s">
        <v>8699</v>
      </c>
      <c r="K11387" s="10">
        <v>288</v>
      </c>
      <c r="L11387" s="10" t="s">
        <v>49273</v>
      </c>
      <c r="M11387" s="10">
        <v>1</v>
      </c>
      <c r="N11387" s="10" t="s">
        <v>46840</v>
      </c>
      <c r="O11387" s="10"/>
      <c r="P11387" s="10" t="s">
        <v>26825</v>
      </c>
      <c r="Q11387" s="10"/>
      <c r="R11387" s="10" t="s">
        <v>49274</v>
      </c>
      <c r="S11387" s="10" t="s">
        <v>53</v>
      </c>
      <c r="T11387" s="10" t="s">
        <v>54</v>
      </c>
    </row>
    <row r="11388" spans="1:20" ht="14.5" x14ac:dyDescent="0.35">
      <c r="A11388" s="10" t="s">
        <v>49275</v>
      </c>
      <c r="B11388" s="10" t="str">
        <f>"9781416627555"</f>
        <v>9781416627555</v>
      </c>
      <c r="C11388" s="10" t="str">
        <f>"9781416627579"</f>
        <v>9781416627579</v>
      </c>
      <c r="D11388" s="10" t="s">
        <v>10014</v>
      </c>
      <c r="E11388" s="10" t="s">
        <v>10015</v>
      </c>
      <c r="F11388" s="10" t="s">
        <v>201</v>
      </c>
      <c r="G11388" s="10" t="s">
        <v>6317</v>
      </c>
      <c r="H11388" s="11">
        <v>43608</v>
      </c>
      <c r="I11388" s="10">
        <v>2019</v>
      </c>
      <c r="J11388" s="10" t="s">
        <v>10015</v>
      </c>
      <c r="K11388" s="10">
        <v>178</v>
      </c>
      <c r="L11388" s="10" t="s">
        <v>49276</v>
      </c>
      <c r="M11388" s="10">
        <v>1</v>
      </c>
      <c r="N11388" s="10"/>
      <c r="O11388" s="10"/>
      <c r="P11388" s="10" t="s">
        <v>49277</v>
      </c>
      <c r="Q11388" s="10">
        <v>370.71100000000001</v>
      </c>
      <c r="R11388" s="10" t="s">
        <v>49278</v>
      </c>
      <c r="S11388" s="10" t="s">
        <v>53</v>
      </c>
      <c r="T11388" s="10" t="s">
        <v>54</v>
      </c>
    </row>
    <row r="11389" spans="1:20" ht="14.5" x14ac:dyDescent="0.35">
      <c r="A11389" s="10" t="s">
        <v>49279</v>
      </c>
      <c r="B11389" s="10" t="str">
        <f>"9781119521846"</f>
        <v>9781119521846</v>
      </c>
      <c r="C11389" s="10" t="str">
        <f>"9781119521853"</f>
        <v>9781119521853</v>
      </c>
      <c r="D11389" s="10" t="s">
        <v>6322</v>
      </c>
      <c r="E11389" s="10" t="s">
        <v>6323</v>
      </c>
      <c r="F11389" s="10" t="s">
        <v>4423</v>
      </c>
      <c r="G11389" s="10" t="s">
        <v>6317</v>
      </c>
      <c r="H11389" s="11">
        <v>43621</v>
      </c>
      <c r="I11389" s="10">
        <v>2019</v>
      </c>
      <c r="J11389" s="10" t="s">
        <v>6324</v>
      </c>
      <c r="K11389" s="10">
        <v>355</v>
      </c>
      <c r="L11389" s="10" t="s">
        <v>49280</v>
      </c>
      <c r="M11389" s="10">
        <v>1</v>
      </c>
      <c r="N11389" s="10"/>
      <c r="O11389" s="10"/>
      <c r="P11389" s="10"/>
      <c r="Q11389" s="10">
        <v>371.10199999999998</v>
      </c>
      <c r="R11389" s="10" t="s">
        <v>41006</v>
      </c>
      <c r="S11389" s="10" t="s">
        <v>53</v>
      </c>
      <c r="T11389" s="10" t="s">
        <v>54</v>
      </c>
    </row>
    <row r="11390" spans="1:20" ht="14.5" x14ac:dyDescent="0.35">
      <c r="A11390" s="10" t="s">
        <v>49281</v>
      </c>
      <c r="B11390" s="10" t="str">
        <f>"9781681252933"</f>
        <v>9781681252933</v>
      </c>
      <c r="C11390" s="10" t="str">
        <f>"9781681252957"</f>
        <v>9781681252957</v>
      </c>
      <c r="D11390" s="10" t="s">
        <v>28876</v>
      </c>
      <c r="E11390" s="10" t="s">
        <v>28877</v>
      </c>
      <c r="F11390" s="10" t="s">
        <v>39534</v>
      </c>
      <c r="G11390" s="10" t="s">
        <v>6317</v>
      </c>
      <c r="H11390" s="11">
        <v>43525</v>
      </c>
      <c r="I11390" s="10">
        <v>2018</v>
      </c>
      <c r="J11390" s="10" t="s">
        <v>28877</v>
      </c>
      <c r="K11390" s="10">
        <v>336</v>
      </c>
      <c r="L11390" s="10" t="s">
        <v>49282</v>
      </c>
      <c r="M11390" s="10">
        <v>1</v>
      </c>
      <c r="N11390" s="10"/>
      <c r="O11390" s="10"/>
      <c r="P11390" s="10" t="s">
        <v>49283</v>
      </c>
      <c r="Q11390" s="10">
        <v>371.90460000000002</v>
      </c>
      <c r="R11390" s="10" t="s">
        <v>49284</v>
      </c>
      <c r="S11390" s="10" t="s">
        <v>53</v>
      </c>
      <c r="T11390" s="10" t="s">
        <v>54</v>
      </c>
    </row>
    <row r="11391" spans="1:20" ht="14.5" x14ac:dyDescent="0.35">
      <c r="A11391" s="10" t="s">
        <v>49285</v>
      </c>
      <c r="B11391" s="10" t="str">
        <f>"9781416626695"</f>
        <v>9781416626695</v>
      </c>
      <c r="C11391" s="10" t="str">
        <f>"9781416626718"</f>
        <v>9781416626718</v>
      </c>
      <c r="D11391" s="10" t="s">
        <v>10014</v>
      </c>
      <c r="E11391" s="10" t="s">
        <v>10015</v>
      </c>
      <c r="F11391" s="10" t="s">
        <v>201</v>
      </c>
      <c r="G11391" s="10" t="s">
        <v>6317</v>
      </c>
      <c r="H11391" s="11">
        <v>43598</v>
      </c>
      <c r="I11391" s="10">
        <v>2019</v>
      </c>
      <c r="J11391" s="10" t="s">
        <v>10015</v>
      </c>
      <c r="K11391" s="10">
        <v>200</v>
      </c>
      <c r="L11391" s="10" t="s">
        <v>21331</v>
      </c>
      <c r="M11391" s="10">
        <v>2</v>
      </c>
      <c r="N11391" s="10"/>
      <c r="O11391" s="10"/>
      <c r="P11391" s="10" t="s">
        <v>49286</v>
      </c>
      <c r="Q11391" s="10" t="s">
        <v>8376</v>
      </c>
      <c r="R11391" s="10" t="s">
        <v>49287</v>
      </c>
      <c r="S11391" s="10" t="s">
        <v>53</v>
      </c>
      <c r="T11391" s="10" t="s">
        <v>54</v>
      </c>
    </row>
    <row r="11392" spans="1:20" ht="14.5" x14ac:dyDescent="0.35">
      <c r="A11392" s="10" t="s">
        <v>49288</v>
      </c>
      <c r="B11392" s="10" t="str">
        <f>"9788793609181"</f>
        <v>9788793609181</v>
      </c>
      <c r="C11392" s="10" t="str">
        <f>"9781000793390"</f>
        <v>9781000793390</v>
      </c>
      <c r="D11392" s="10" t="s">
        <v>6350</v>
      </c>
      <c r="E11392" s="10" t="s">
        <v>37560</v>
      </c>
      <c r="F11392" s="10" t="s">
        <v>3967</v>
      </c>
      <c r="G11392" s="10" t="s">
        <v>6352</v>
      </c>
      <c r="H11392" s="11">
        <v>43069</v>
      </c>
      <c r="I11392" s="10">
        <v>2017</v>
      </c>
      <c r="J11392" s="10" t="s">
        <v>37560</v>
      </c>
      <c r="K11392" s="10">
        <v>192</v>
      </c>
      <c r="L11392" s="10" t="s">
        <v>49289</v>
      </c>
      <c r="M11392" s="10">
        <v>1</v>
      </c>
      <c r="N11392" s="10"/>
      <c r="O11392" s="10"/>
      <c r="P11392" s="10" t="s">
        <v>49290</v>
      </c>
      <c r="Q11392" s="10">
        <v>378.24</v>
      </c>
      <c r="R11392" s="10" t="s">
        <v>8464</v>
      </c>
      <c r="S11392" s="10" t="s">
        <v>53</v>
      </c>
      <c r="T11392" s="10" t="s">
        <v>54</v>
      </c>
    </row>
    <row r="11393" spans="1:20" ht="14.5" x14ac:dyDescent="0.35">
      <c r="A11393" s="10" t="s">
        <v>49291</v>
      </c>
      <c r="B11393" s="10" t="str">
        <f>""</f>
        <v/>
      </c>
      <c r="C11393" s="10" t="str">
        <f>"9780702263613"</f>
        <v>9780702263613</v>
      </c>
      <c r="D11393" s="10" t="s">
        <v>9215</v>
      </c>
      <c r="E11393" s="10" t="s">
        <v>25358</v>
      </c>
      <c r="F11393" s="10" t="s">
        <v>324</v>
      </c>
      <c r="G11393" s="10" t="s">
        <v>6317</v>
      </c>
      <c r="H11393" s="11">
        <v>43557</v>
      </c>
      <c r="I11393" s="10">
        <v>2019</v>
      </c>
      <c r="J11393" s="10" t="s">
        <v>25358</v>
      </c>
      <c r="K11393" s="10">
        <v>257</v>
      </c>
      <c r="L11393" s="10" t="s">
        <v>49292</v>
      </c>
      <c r="M11393" s="10"/>
      <c r="N11393" s="10"/>
      <c r="O11393" s="10"/>
      <c r="P11393" s="10" t="s">
        <v>49293</v>
      </c>
      <c r="Q11393" s="10">
        <v>649.58000000000004</v>
      </c>
      <c r="R11393" s="10" t="s">
        <v>49294</v>
      </c>
      <c r="S11393" s="10" t="s">
        <v>53</v>
      </c>
      <c r="T11393" s="10" t="s">
        <v>9843</v>
      </c>
    </row>
    <row r="11394" spans="1:20" ht="14.5" x14ac:dyDescent="0.35">
      <c r="A11394" s="10" t="s">
        <v>49295</v>
      </c>
      <c r="B11394" s="10" t="str">
        <f>"9781620368428"</f>
        <v>9781620368428</v>
      </c>
      <c r="C11394" s="10" t="str">
        <f>"9781000975659"</f>
        <v>9781000975659</v>
      </c>
      <c r="D11394" s="10" t="s">
        <v>6350</v>
      </c>
      <c r="E11394" s="10" t="s">
        <v>6351</v>
      </c>
      <c r="F11394" s="10" t="s">
        <v>748</v>
      </c>
      <c r="G11394" s="10" t="s">
        <v>6352</v>
      </c>
      <c r="H11394" s="11">
        <v>43605</v>
      </c>
      <c r="I11394" s="10">
        <v>2019</v>
      </c>
      <c r="J11394" s="10" t="s">
        <v>6351</v>
      </c>
      <c r="K11394" s="10">
        <v>168</v>
      </c>
      <c r="L11394" s="10" t="s">
        <v>43679</v>
      </c>
      <c r="M11394" s="10">
        <v>1</v>
      </c>
      <c r="N11394" s="10"/>
      <c r="O11394" s="10"/>
      <c r="P11394" s="10" t="s">
        <v>49296</v>
      </c>
      <c r="Q11394" s="10">
        <v>374.4</v>
      </c>
      <c r="R11394" s="10" t="s">
        <v>6480</v>
      </c>
      <c r="S11394" s="10" t="s">
        <v>53</v>
      </c>
      <c r="T11394" s="10" t="s">
        <v>54</v>
      </c>
    </row>
    <row r="11395" spans="1:20" ht="14.5" x14ac:dyDescent="0.35">
      <c r="A11395" s="10" t="s">
        <v>49297</v>
      </c>
      <c r="B11395" s="10" t="str">
        <f>"9781787695245"</f>
        <v>9781787695245</v>
      </c>
      <c r="C11395" s="10" t="str">
        <f>"9781787695252"</f>
        <v>9781787695252</v>
      </c>
      <c r="D11395" s="10" t="s">
        <v>8699</v>
      </c>
      <c r="E11395" s="10" t="s">
        <v>8699</v>
      </c>
      <c r="F11395" s="10" t="s">
        <v>559</v>
      </c>
      <c r="G11395" s="10" t="s">
        <v>6352</v>
      </c>
      <c r="H11395" s="11">
        <v>43620</v>
      </c>
      <c r="I11395" s="10">
        <v>2019</v>
      </c>
      <c r="J11395" s="10" t="s">
        <v>8699</v>
      </c>
      <c r="K11395" s="10">
        <v>270</v>
      </c>
      <c r="L11395" s="10" t="s">
        <v>49298</v>
      </c>
      <c r="M11395" s="10">
        <v>1</v>
      </c>
      <c r="N11395" s="10" t="s">
        <v>22927</v>
      </c>
      <c r="O11395" s="10">
        <v>13</v>
      </c>
      <c r="P11395" s="10" t="s">
        <v>29777</v>
      </c>
      <c r="Q11395" s="10">
        <v>302</v>
      </c>
      <c r="R11395" s="10" t="s">
        <v>49299</v>
      </c>
      <c r="S11395" s="10" t="s">
        <v>53</v>
      </c>
      <c r="T11395" s="10" t="s">
        <v>6526</v>
      </c>
    </row>
    <row r="11396" spans="1:20" ht="14.5" x14ac:dyDescent="0.35">
      <c r="A11396" s="10" t="s">
        <v>49300</v>
      </c>
      <c r="B11396" s="10" t="str">
        <f>"9781416616665"</f>
        <v>9781416616665</v>
      </c>
      <c r="C11396" s="10" t="str">
        <f>"9781416616689"</f>
        <v>9781416616689</v>
      </c>
      <c r="D11396" s="10" t="s">
        <v>10014</v>
      </c>
      <c r="E11396" s="10" t="s">
        <v>10015</v>
      </c>
      <c r="F11396" s="10" t="s">
        <v>201</v>
      </c>
      <c r="G11396" s="10" t="s">
        <v>6317</v>
      </c>
      <c r="H11396" s="11">
        <v>43604</v>
      </c>
      <c r="I11396" s="10">
        <v>2019</v>
      </c>
      <c r="J11396" s="10" t="s">
        <v>10015</v>
      </c>
      <c r="K11396" s="10">
        <v>151</v>
      </c>
      <c r="L11396" s="10" t="s">
        <v>49301</v>
      </c>
      <c r="M11396" s="10">
        <v>1</v>
      </c>
      <c r="N11396" s="10"/>
      <c r="O11396" s="10"/>
      <c r="P11396" s="10" t="s">
        <v>49302</v>
      </c>
      <c r="Q11396" s="10">
        <v>371.82691199999999</v>
      </c>
      <c r="R11396" s="10" t="s">
        <v>49303</v>
      </c>
      <c r="S11396" s="10" t="s">
        <v>53</v>
      </c>
      <c r="T11396" s="10" t="s">
        <v>54</v>
      </c>
    </row>
    <row r="11397" spans="1:20" ht="14.5" x14ac:dyDescent="0.35">
      <c r="A11397" s="10" t="s">
        <v>49304</v>
      </c>
      <c r="B11397" s="10" t="str">
        <f>"9781942496861"</f>
        <v>9781942496861</v>
      </c>
      <c r="C11397" s="10" t="str">
        <f>"9781942496878"</f>
        <v>9781942496878</v>
      </c>
      <c r="D11397" s="10" t="s">
        <v>37580</v>
      </c>
      <c r="E11397" s="10" t="s">
        <v>37581</v>
      </c>
      <c r="F11397" s="10" t="s">
        <v>37623</v>
      </c>
      <c r="G11397" s="10" t="s">
        <v>6317</v>
      </c>
      <c r="H11397" s="11">
        <v>43595</v>
      </c>
      <c r="I11397" s="10">
        <v>2019</v>
      </c>
      <c r="J11397" s="10" t="s">
        <v>37581</v>
      </c>
      <c r="K11397" s="10">
        <v>264</v>
      </c>
      <c r="L11397" s="10" t="s">
        <v>42195</v>
      </c>
      <c r="M11397" s="10">
        <v>1</v>
      </c>
      <c r="N11397" s="10"/>
      <c r="O11397" s="10"/>
      <c r="P11397" s="10" t="s">
        <v>49305</v>
      </c>
      <c r="Q11397" s="10"/>
      <c r="R11397" s="10" t="s">
        <v>49306</v>
      </c>
      <c r="S11397" s="10" t="s">
        <v>53</v>
      </c>
      <c r="T11397" s="10" t="s">
        <v>54</v>
      </c>
    </row>
    <row r="11398" spans="1:20" ht="14.5" x14ac:dyDescent="0.35">
      <c r="A11398" s="10" t="s">
        <v>49307</v>
      </c>
      <c r="B11398" s="10" t="str">
        <f>""</f>
        <v/>
      </c>
      <c r="C11398" s="10" t="str">
        <f>"9781975500375"</f>
        <v>9781975500375</v>
      </c>
      <c r="D11398" s="10" t="s">
        <v>44271</v>
      </c>
      <c r="E11398" s="10" t="s">
        <v>47266</v>
      </c>
      <c r="F11398" s="10" t="s">
        <v>41227</v>
      </c>
      <c r="G11398" s="10" t="s">
        <v>6317</v>
      </c>
      <c r="H11398" s="11">
        <v>43524</v>
      </c>
      <c r="I11398" s="10">
        <v>2019</v>
      </c>
      <c r="J11398" s="10" t="s">
        <v>47266</v>
      </c>
      <c r="K11398" s="10">
        <v>241</v>
      </c>
      <c r="L11398" s="10" t="s">
        <v>49308</v>
      </c>
      <c r="M11398" s="10">
        <v>1</v>
      </c>
      <c r="N11398" s="10" t="s">
        <v>47473</v>
      </c>
      <c r="O11398" s="10">
        <v>2</v>
      </c>
      <c r="P11398" s="10" t="s">
        <v>49309</v>
      </c>
      <c r="Q11398" s="10">
        <v>378.19810973</v>
      </c>
      <c r="R11398" s="10" t="s">
        <v>49310</v>
      </c>
      <c r="S11398" s="10" t="s">
        <v>53</v>
      </c>
      <c r="T11398" s="10" t="s">
        <v>54</v>
      </c>
    </row>
    <row r="11399" spans="1:20" ht="14.5" x14ac:dyDescent="0.35">
      <c r="A11399" s="10" t="s">
        <v>49311</v>
      </c>
      <c r="B11399" s="10" t="str">
        <f>"9781138384545"</f>
        <v>9781138384545</v>
      </c>
      <c r="C11399" s="10" t="str">
        <f>"9780429764127"</f>
        <v>9780429764127</v>
      </c>
      <c r="D11399" s="10" t="s">
        <v>6350</v>
      </c>
      <c r="E11399" s="10" t="s">
        <v>6351</v>
      </c>
      <c r="F11399" s="10" t="s">
        <v>3967</v>
      </c>
      <c r="G11399" s="10" t="s">
        <v>6352</v>
      </c>
      <c r="H11399" s="11">
        <v>43627</v>
      </c>
      <c r="I11399" s="10">
        <v>2019</v>
      </c>
      <c r="J11399" s="10" t="s">
        <v>6353</v>
      </c>
      <c r="K11399" s="10">
        <v>179</v>
      </c>
      <c r="L11399" s="10" t="s">
        <v>49312</v>
      </c>
      <c r="M11399" s="10">
        <v>1</v>
      </c>
      <c r="N11399" s="10" t="s">
        <v>48729</v>
      </c>
      <c r="O11399" s="10"/>
      <c r="P11399" s="10" t="s">
        <v>49313</v>
      </c>
      <c r="Q11399" s="10">
        <v>372.21</v>
      </c>
      <c r="R11399" s="10" t="s">
        <v>49314</v>
      </c>
      <c r="S11399" s="10" t="s">
        <v>53</v>
      </c>
      <c r="T11399" s="10" t="s">
        <v>54</v>
      </c>
    </row>
    <row r="11400" spans="1:20" ht="14.5" x14ac:dyDescent="0.35">
      <c r="A11400" s="10" t="s">
        <v>49315</v>
      </c>
      <c r="B11400" s="10" t="str">
        <f>"9781119544890"</f>
        <v>9781119544890</v>
      </c>
      <c r="C11400" s="10" t="str">
        <f>"9781119544944"</f>
        <v>9781119544944</v>
      </c>
      <c r="D11400" s="10" t="s">
        <v>6322</v>
      </c>
      <c r="E11400" s="10" t="s">
        <v>6323</v>
      </c>
      <c r="F11400" s="10" t="s">
        <v>4423</v>
      </c>
      <c r="G11400" s="10" t="s">
        <v>6317</v>
      </c>
      <c r="H11400" s="11">
        <v>43621</v>
      </c>
      <c r="I11400" s="10">
        <v>2019</v>
      </c>
      <c r="J11400" s="10" t="s">
        <v>6324</v>
      </c>
      <c r="K11400" s="10">
        <v>289</v>
      </c>
      <c r="L11400" s="10" t="s">
        <v>49316</v>
      </c>
      <c r="M11400" s="10">
        <v>1</v>
      </c>
      <c r="N11400" s="10"/>
      <c r="O11400" s="10"/>
      <c r="P11400" s="10"/>
      <c r="Q11400" s="10">
        <v>371.334</v>
      </c>
      <c r="R11400" s="10" t="s">
        <v>12537</v>
      </c>
      <c r="S11400" s="10" t="s">
        <v>53</v>
      </c>
      <c r="T11400" s="10" t="s">
        <v>54</v>
      </c>
    </row>
    <row r="11401" spans="1:20" ht="14.5" x14ac:dyDescent="0.35">
      <c r="A11401" s="10" t="s">
        <v>49317</v>
      </c>
      <c r="B11401" s="10" t="str">
        <f>"9781786303073"</f>
        <v>9781786303073</v>
      </c>
      <c r="C11401" s="10" t="str">
        <f>"9781119629481"</f>
        <v>9781119629481</v>
      </c>
      <c r="D11401" s="10" t="s">
        <v>6322</v>
      </c>
      <c r="E11401" s="10" t="s">
        <v>6323</v>
      </c>
      <c r="F11401" s="10" t="s">
        <v>4423</v>
      </c>
      <c r="G11401" s="10" t="s">
        <v>6317</v>
      </c>
      <c r="H11401" s="11">
        <v>43634</v>
      </c>
      <c r="I11401" s="10">
        <v>2019</v>
      </c>
      <c r="J11401" s="10" t="s">
        <v>29411</v>
      </c>
      <c r="K11401" s="10">
        <v>231</v>
      </c>
      <c r="L11401" s="10" t="s">
        <v>49318</v>
      </c>
      <c r="M11401" s="10">
        <v>1</v>
      </c>
      <c r="N11401" s="10"/>
      <c r="O11401" s="10"/>
      <c r="P11401" s="10"/>
      <c r="Q11401" s="10">
        <v>401.41</v>
      </c>
      <c r="R11401" s="10" t="s">
        <v>49319</v>
      </c>
      <c r="S11401" s="10" t="s">
        <v>53</v>
      </c>
      <c r="T11401" s="10" t="s">
        <v>6616</v>
      </c>
    </row>
    <row r="11402" spans="1:20" ht="14.5" x14ac:dyDescent="0.35">
      <c r="A11402" s="10" t="s">
        <v>49320</v>
      </c>
      <c r="B11402" s="10" t="str">
        <f>"9781942496847"</f>
        <v>9781942496847</v>
      </c>
      <c r="C11402" s="10" t="str">
        <f>"9781942496854"</f>
        <v>9781942496854</v>
      </c>
      <c r="D11402" s="10" t="s">
        <v>37580</v>
      </c>
      <c r="E11402" s="10" t="s">
        <v>37581</v>
      </c>
      <c r="F11402" s="10" t="s">
        <v>37623</v>
      </c>
      <c r="G11402" s="10" t="s">
        <v>6317</v>
      </c>
      <c r="H11402" s="11">
        <v>43630</v>
      </c>
      <c r="I11402" s="10">
        <v>2019</v>
      </c>
      <c r="J11402" s="10" t="s">
        <v>37581</v>
      </c>
      <c r="K11402" s="10">
        <v>152</v>
      </c>
      <c r="L11402" s="10" t="s">
        <v>49321</v>
      </c>
      <c r="M11402" s="10">
        <v>1</v>
      </c>
      <c r="N11402" s="10"/>
      <c r="O11402" s="10"/>
      <c r="P11402" s="10" t="s">
        <v>49322</v>
      </c>
      <c r="Q11402" s="10"/>
      <c r="R11402" s="10" t="s">
        <v>49323</v>
      </c>
      <c r="S11402" s="10" t="s">
        <v>53</v>
      </c>
      <c r="T11402" s="10" t="s">
        <v>54</v>
      </c>
    </row>
    <row r="11403" spans="1:20" ht="14.5" x14ac:dyDescent="0.35">
      <c r="A11403" s="10" t="s">
        <v>49324</v>
      </c>
      <c r="B11403" s="10" t="str">
        <f>""</f>
        <v/>
      </c>
      <c r="C11403" s="10" t="str">
        <f>"9783838271453"</f>
        <v>9783838271453</v>
      </c>
      <c r="D11403" s="10" t="s">
        <v>27189</v>
      </c>
      <c r="E11403" s="10" t="s">
        <v>28981</v>
      </c>
      <c r="F11403" s="10" t="s">
        <v>2925</v>
      </c>
      <c r="G11403" s="10" t="s">
        <v>9998</v>
      </c>
      <c r="H11403" s="11">
        <v>43027</v>
      </c>
      <c r="I11403" s="10">
        <v>2018</v>
      </c>
      <c r="J11403" s="10" t="s">
        <v>28981</v>
      </c>
      <c r="K11403" s="10">
        <v>219</v>
      </c>
      <c r="L11403" s="10" t="s">
        <v>49325</v>
      </c>
      <c r="M11403" s="10"/>
      <c r="N11403" s="10" t="s">
        <v>49326</v>
      </c>
      <c r="O11403" s="10">
        <v>65</v>
      </c>
      <c r="P11403" s="10" t="s">
        <v>49327</v>
      </c>
      <c r="Q11403" s="10">
        <v>440</v>
      </c>
      <c r="R11403" s="10" t="s">
        <v>49328</v>
      </c>
      <c r="S11403" s="10" t="s">
        <v>1519</v>
      </c>
      <c r="T11403" s="10" t="s">
        <v>6616</v>
      </c>
    </row>
    <row r="11404" spans="1:20" ht="14.5" x14ac:dyDescent="0.35">
      <c r="A11404" s="10" t="s">
        <v>49329</v>
      </c>
      <c r="B11404" s="10" t="str">
        <f>""</f>
        <v/>
      </c>
      <c r="C11404" s="10" t="str">
        <f>"9783838272450"</f>
        <v>9783838272450</v>
      </c>
      <c r="D11404" s="10" t="s">
        <v>27189</v>
      </c>
      <c r="E11404" s="10" t="s">
        <v>28981</v>
      </c>
      <c r="F11404" s="10" t="s">
        <v>2925</v>
      </c>
      <c r="G11404" s="10" t="s">
        <v>9998</v>
      </c>
      <c r="H11404" s="11">
        <v>43585</v>
      </c>
      <c r="I11404" s="10">
        <v>2019</v>
      </c>
      <c r="J11404" s="10" t="s">
        <v>28981</v>
      </c>
      <c r="K11404" s="10">
        <v>369</v>
      </c>
      <c r="L11404" s="10" t="s">
        <v>49330</v>
      </c>
      <c r="M11404" s="10"/>
      <c r="N11404" s="10"/>
      <c r="O11404" s="10"/>
      <c r="P11404" s="10" t="s">
        <v>49331</v>
      </c>
      <c r="Q11404" s="10">
        <v>155.4</v>
      </c>
      <c r="R11404" s="10" t="s">
        <v>49332</v>
      </c>
      <c r="S11404" s="10" t="s">
        <v>53</v>
      </c>
      <c r="T11404" s="10" t="s">
        <v>483</v>
      </c>
    </row>
    <row r="11405" spans="1:20" ht="14.5" x14ac:dyDescent="0.35">
      <c r="A11405" s="10" t="s">
        <v>49333</v>
      </c>
      <c r="B11405" s="10" t="str">
        <f>""</f>
        <v/>
      </c>
      <c r="C11405" s="10" t="str">
        <f>"9783838268323"</f>
        <v>9783838268323</v>
      </c>
      <c r="D11405" s="10" t="s">
        <v>27189</v>
      </c>
      <c r="E11405" s="10" t="s">
        <v>28981</v>
      </c>
      <c r="F11405" s="10" t="s">
        <v>2925</v>
      </c>
      <c r="G11405" s="10" t="s">
        <v>9998</v>
      </c>
      <c r="H11405" s="11">
        <v>42644</v>
      </c>
      <c r="I11405" s="10">
        <v>2016</v>
      </c>
      <c r="J11405" s="10" t="s">
        <v>28981</v>
      </c>
      <c r="K11405" s="10">
        <v>231</v>
      </c>
      <c r="L11405" s="10" t="s">
        <v>49334</v>
      </c>
      <c r="M11405" s="10"/>
      <c r="N11405" s="10"/>
      <c r="O11405" s="10"/>
      <c r="P11405" s="10" t="s">
        <v>49335</v>
      </c>
      <c r="Q11405" s="10">
        <v>378.43</v>
      </c>
      <c r="R11405" s="10" t="s">
        <v>49336</v>
      </c>
      <c r="S11405" s="10" t="s">
        <v>53</v>
      </c>
      <c r="T11405" s="10" t="s">
        <v>54</v>
      </c>
    </row>
    <row r="11406" spans="1:20" ht="14.5" x14ac:dyDescent="0.35">
      <c r="A11406" s="10" t="s">
        <v>49337</v>
      </c>
      <c r="B11406" s="10" t="str">
        <f>"9789004398047"</f>
        <v>9789004398047</v>
      </c>
      <c r="C11406" s="10" t="str">
        <f>"9789004398061"</f>
        <v>9789004398061</v>
      </c>
      <c r="D11406" s="10" t="s">
        <v>8564</v>
      </c>
      <c r="E11406" s="10" t="s">
        <v>8565</v>
      </c>
      <c r="F11406" s="10" t="s">
        <v>1420</v>
      </c>
      <c r="G11406" s="10" t="s">
        <v>6317</v>
      </c>
      <c r="H11406" s="11">
        <v>43552</v>
      </c>
      <c r="I11406" s="10">
        <v>2019</v>
      </c>
      <c r="J11406" s="10" t="s">
        <v>33259</v>
      </c>
      <c r="K11406" s="10">
        <v>104</v>
      </c>
      <c r="L11406" s="10" t="s">
        <v>49338</v>
      </c>
      <c r="M11406" s="10">
        <v>1</v>
      </c>
      <c r="N11406" s="10" t="s">
        <v>33751</v>
      </c>
      <c r="O11406" s="10">
        <v>66</v>
      </c>
      <c r="P11406" s="10"/>
      <c r="Q11406" s="10"/>
      <c r="R11406" s="10" t="s">
        <v>49339</v>
      </c>
      <c r="S11406" s="10" t="s">
        <v>53</v>
      </c>
      <c r="T11406" s="10" t="s">
        <v>54</v>
      </c>
    </row>
    <row r="11407" spans="1:20" ht="14.5" x14ac:dyDescent="0.35">
      <c r="A11407" s="10" t="s">
        <v>49340</v>
      </c>
      <c r="B11407" s="10" t="str">
        <f>"9789353283087"</f>
        <v>9789353283087</v>
      </c>
      <c r="C11407" s="10" t="str">
        <f>"9789353283100"</f>
        <v>9789353283100</v>
      </c>
      <c r="D11407" s="10" t="s">
        <v>14562</v>
      </c>
      <c r="E11407" s="10" t="s">
        <v>14563</v>
      </c>
      <c r="F11407" s="10" t="s">
        <v>14564</v>
      </c>
      <c r="G11407" s="10" t="s">
        <v>13425</v>
      </c>
      <c r="H11407" s="11">
        <v>43722</v>
      </c>
      <c r="I11407" s="10">
        <v>2019</v>
      </c>
      <c r="J11407" s="10" t="s">
        <v>14563</v>
      </c>
      <c r="K11407" s="10">
        <v>257</v>
      </c>
      <c r="L11407" s="10" t="s">
        <v>49341</v>
      </c>
      <c r="M11407" s="10">
        <v>1</v>
      </c>
      <c r="N11407" s="10"/>
      <c r="O11407" s="10"/>
      <c r="P11407" s="10" t="s">
        <v>49342</v>
      </c>
      <c r="Q11407" s="10" t="s">
        <v>29095</v>
      </c>
      <c r="R11407" s="10" t="s">
        <v>49343</v>
      </c>
      <c r="S11407" s="10" t="s">
        <v>53</v>
      </c>
      <c r="T11407" s="10" t="s">
        <v>54</v>
      </c>
    </row>
    <row r="11408" spans="1:20" ht="14.5" x14ac:dyDescent="0.35">
      <c r="A11408" s="10" t="s">
        <v>49344</v>
      </c>
      <c r="B11408" s="10" t="str">
        <f>"9781942496113"</f>
        <v>9781942496113</v>
      </c>
      <c r="C11408" s="10" t="str">
        <f>"9781942496120"</f>
        <v>9781942496120</v>
      </c>
      <c r="D11408" s="10" t="s">
        <v>37580</v>
      </c>
      <c r="E11408" s="10" t="s">
        <v>37581</v>
      </c>
      <c r="F11408" s="10" t="s">
        <v>37623</v>
      </c>
      <c r="G11408" s="10" t="s">
        <v>6317</v>
      </c>
      <c r="H11408" s="11">
        <v>41837</v>
      </c>
      <c r="I11408" s="10">
        <v>2015</v>
      </c>
      <c r="J11408" s="10" t="s">
        <v>37581</v>
      </c>
      <c r="K11408" s="10">
        <v>80</v>
      </c>
      <c r="L11408" s="10" t="s">
        <v>49345</v>
      </c>
      <c r="M11408" s="10">
        <v>1</v>
      </c>
      <c r="N11408" s="10" t="s">
        <v>37586</v>
      </c>
      <c r="O11408" s="10"/>
      <c r="P11408" s="10"/>
      <c r="Q11408" s="10" t="s">
        <v>15735</v>
      </c>
      <c r="R11408" s="10" t="s">
        <v>47881</v>
      </c>
      <c r="S11408" s="10" t="s">
        <v>53</v>
      </c>
      <c r="T11408" s="10" t="s">
        <v>54</v>
      </c>
    </row>
    <row r="11409" spans="1:20" ht="14.5" x14ac:dyDescent="0.35">
      <c r="A11409" s="10" t="s">
        <v>49346</v>
      </c>
      <c r="B11409" s="10" t="str">
        <f>"9780255367790"</f>
        <v>9780255367790</v>
      </c>
      <c r="C11409" s="10" t="str">
        <f>"9780255367806"</f>
        <v>9780255367806</v>
      </c>
      <c r="D11409" s="10" t="s">
        <v>9533</v>
      </c>
      <c r="E11409" s="10" t="s">
        <v>46124</v>
      </c>
      <c r="F11409" s="10" t="s">
        <v>139</v>
      </c>
      <c r="G11409" s="10" t="s">
        <v>6352</v>
      </c>
      <c r="H11409" s="11">
        <v>43622</v>
      </c>
      <c r="I11409" s="10">
        <v>2019</v>
      </c>
      <c r="J11409" s="10" t="s">
        <v>46124</v>
      </c>
      <c r="K11409" s="10">
        <v>203</v>
      </c>
      <c r="L11409" s="10" t="s">
        <v>49347</v>
      </c>
      <c r="M11409" s="10">
        <v>1</v>
      </c>
      <c r="N11409" s="10"/>
      <c r="O11409" s="10"/>
      <c r="P11409" s="10" t="s">
        <v>49348</v>
      </c>
      <c r="Q11409" s="10">
        <v>379.11099999999999</v>
      </c>
      <c r="R11409" s="10" t="s">
        <v>44773</v>
      </c>
      <c r="S11409" s="10" t="s">
        <v>53</v>
      </c>
      <c r="T11409" s="10" t="s">
        <v>54</v>
      </c>
    </row>
    <row r="11410" spans="1:20" ht="14.5" x14ac:dyDescent="0.35">
      <c r="A11410" s="10" t="s">
        <v>49349</v>
      </c>
      <c r="B11410" s="10" t="str">
        <f>"9781936765447"</f>
        <v>9781936765447</v>
      </c>
      <c r="C11410" s="10" t="str">
        <f>"9781934009567"</f>
        <v>9781934009567</v>
      </c>
      <c r="D11410" s="10" t="s">
        <v>37580</v>
      </c>
      <c r="E11410" s="10" t="s">
        <v>37581</v>
      </c>
      <c r="F11410" s="10" t="s">
        <v>37623</v>
      </c>
      <c r="G11410" s="10" t="s">
        <v>6317</v>
      </c>
      <c r="H11410" s="11">
        <v>43630</v>
      </c>
      <c r="I11410" s="10">
        <v>2019</v>
      </c>
      <c r="J11410" s="10" t="s">
        <v>37581</v>
      </c>
      <c r="K11410" s="10">
        <v>216</v>
      </c>
      <c r="L11410" s="10" t="s">
        <v>23588</v>
      </c>
      <c r="M11410" s="10">
        <v>1</v>
      </c>
      <c r="N11410" s="10"/>
      <c r="O11410" s="10"/>
      <c r="P11410" s="10" t="s">
        <v>49350</v>
      </c>
      <c r="Q11410" s="10"/>
      <c r="R11410" s="10" t="s">
        <v>49351</v>
      </c>
      <c r="S11410" s="10" t="s">
        <v>53</v>
      </c>
      <c r="T11410" s="10" t="s">
        <v>54</v>
      </c>
    </row>
    <row r="11411" spans="1:20" ht="14.5" x14ac:dyDescent="0.35">
      <c r="A11411" s="10" t="s">
        <v>49352</v>
      </c>
      <c r="B11411" s="10" t="str">
        <f>"9781949539158"</f>
        <v>9781949539158</v>
      </c>
      <c r="C11411" s="10" t="str">
        <f>"9781949539165"</f>
        <v>9781949539165</v>
      </c>
      <c r="D11411" s="10" t="s">
        <v>37580</v>
      </c>
      <c r="E11411" s="10" t="s">
        <v>37581</v>
      </c>
      <c r="F11411" s="10" t="s">
        <v>37623</v>
      </c>
      <c r="G11411" s="10" t="s">
        <v>6317</v>
      </c>
      <c r="H11411" s="11">
        <v>43647</v>
      </c>
      <c r="I11411" s="10">
        <v>2019</v>
      </c>
      <c r="J11411" s="10" t="s">
        <v>37581</v>
      </c>
      <c r="K11411" s="10">
        <v>200</v>
      </c>
      <c r="L11411" s="10" t="s">
        <v>49353</v>
      </c>
      <c r="M11411" s="10">
        <v>3</v>
      </c>
      <c r="N11411" s="10"/>
      <c r="O11411" s="10"/>
      <c r="P11411" s="10" t="s">
        <v>49354</v>
      </c>
      <c r="Q11411" s="10">
        <v>370.154</v>
      </c>
      <c r="R11411" s="10" t="s">
        <v>49355</v>
      </c>
      <c r="S11411" s="10" t="s">
        <v>53</v>
      </c>
      <c r="T11411" s="10" t="s">
        <v>54</v>
      </c>
    </row>
    <row r="11412" spans="1:20" ht="14.5" x14ac:dyDescent="0.35">
      <c r="A11412" s="10" t="s">
        <v>49356</v>
      </c>
      <c r="B11412" s="10" t="str">
        <f>"9781551383392"</f>
        <v>9781551383392</v>
      </c>
      <c r="C11412" s="10" t="str">
        <f>"9781551389394"</f>
        <v>9781551389394</v>
      </c>
      <c r="D11412" s="10" t="s">
        <v>45074</v>
      </c>
      <c r="E11412" s="10" t="s">
        <v>45075</v>
      </c>
      <c r="F11412" s="10" t="s">
        <v>901</v>
      </c>
      <c r="G11412" s="10" t="s">
        <v>9536</v>
      </c>
      <c r="H11412" s="11">
        <v>43488</v>
      </c>
      <c r="I11412" s="10">
        <v>2019</v>
      </c>
      <c r="J11412" s="10" t="s">
        <v>45075</v>
      </c>
      <c r="K11412" s="10">
        <v>146</v>
      </c>
      <c r="L11412" s="10" t="s">
        <v>45712</v>
      </c>
      <c r="M11412" s="10">
        <v>1</v>
      </c>
      <c r="N11412" s="10"/>
      <c r="O11412" s="10"/>
      <c r="P11412" s="10" t="s">
        <v>49357</v>
      </c>
      <c r="Q11412" s="10">
        <v>372.62299999999999</v>
      </c>
      <c r="R11412" s="10" t="s">
        <v>49358</v>
      </c>
      <c r="S11412" s="10" t="s">
        <v>53</v>
      </c>
      <c r="T11412" s="10" t="s">
        <v>54</v>
      </c>
    </row>
    <row r="11413" spans="1:20" ht="14.5" x14ac:dyDescent="0.35">
      <c r="A11413" s="10" t="s">
        <v>49359</v>
      </c>
      <c r="B11413" s="10" t="str">
        <f>"9781551383408"</f>
        <v>9781551383408</v>
      </c>
      <c r="C11413" s="10" t="str">
        <f>"9781551389400"</f>
        <v>9781551389400</v>
      </c>
      <c r="D11413" s="10" t="s">
        <v>45074</v>
      </c>
      <c r="E11413" s="10" t="s">
        <v>45075</v>
      </c>
      <c r="F11413" s="10" t="s">
        <v>901</v>
      </c>
      <c r="G11413" s="10" t="s">
        <v>9536</v>
      </c>
      <c r="H11413" s="11">
        <v>43497</v>
      </c>
      <c r="I11413" s="10">
        <v>2019</v>
      </c>
      <c r="J11413" s="10" t="s">
        <v>45075</v>
      </c>
      <c r="K11413" s="10">
        <v>170</v>
      </c>
      <c r="L11413" s="10" t="s">
        <v>49360</v>
      </c>
      <c r="M11413" s="10">
        <v>1</v>
      </c>
      <c r="N11413" s="10"/>
      <c r="O11413" s="10"/>
      <c r="P11413" s="10" t="s">
        <v>49361</v>
      </c>
      <c r="Q11413" s="10">
        <v>370.15230000000003</v>
      </c>
      <c r="R11413" s="10" t="s">
        <v>49362</v>
      </c>
      <c r="S11413" s="10" t="s">
        <v>53</v>
      </c>
      <c r="T11413" s="10" t="s">
        <v>6640</v>
      </c>
    </row>
    <row r="11414" spans="1:20" ht="14.5" x14ac:dyDescent="0.35">
      <c r="A11414" s="10" t="s">
        <v>49363</v>
      </c>
      <c r="B11414" s="10" t="str">
        <f>"9781551383385"</f>
        <v>9781551383385</v>
      </c>
      <c r="C11414" s="10" t="str">
        <f>"9781551389387"</f>
        <v>9781551389387</v>
      </c>
      <c r="D11414" s="10" t="s">
        <v>45074</v>
      </c>
      <c r="E11414" s="10" t="s">
        <v>45075</v>
      </c>
      <c r="F11414" s="10" t="s">
        <v>901</v>
      </c>
      <c r="G11414" s="10" t="s">
        <v>9536</v>
      </c>
      <c r="H11414" s="11">
        <v>43488</v>
      </c>
      <c r="I11414" s="10">
        <v>2019</v>
      </c>
      <c r="J11414" s="10" t="s">
        <v>45075</v>
      </c>
      <c r="K11414" s="10">
        <v>170</v>
      </c>
      <c r="L11414" s="10" t="s">
        <v>45084</v>
      </c>
      <c r="M11414" s="10">
        <v>1</v>
      </c>
      <c r="N11414" s="10"/>
      <c r="O11414" s="10"/>
      <c r="P11414" s="10" t="s">
        <v>49364</v>
      </c>
      <c r="Q11414" s="10">
        <v>372.61</v>
      </c>
      <c r="R11414" s="10" t="s">
        <v>49365</v>
      </c>
      <c r="S11414" s="10" t="s">
        <v>53</v>
      </c>
      <c r="T11414" s="10" t="s">
        <v>54</v>
      </c>
    </row>
    <row r="11415" spans="1:20" ht="14.5" x14ac:dyDescent="0.35">
      <c r="A11415" s="10" t="s">
        <v>49366</v>
      </c>
      <c r="B11415" s="10" t="str">
        <f>"9781787438590"</f>
        <v>9781787438590</v>
      </c>
      <c r="C11415" s="10" t="str">
        <f>"9781787438583"</f>
        <v>9781787438583</v>
      </c>
      <c r="D11415" s="10" t="s">
        <v>8699</v>
      </c>
      <c r="E11415" s="10" t="s">
        <v>8699</v>
      </c>
      <c r="F11415" s="10" t="s">
        <v>559</v>
      </c>
      <c r="G11415" s="10" t="s">
        <v>6352</v>
      </c>
      <c r="H11415" s="11">
        <v>43643</v>
      </c>
      <c r="I11415" s="10">
        <v>2019</v>
      </c>
      <c r="J11415" s="10" t="s">
        <v>8699</v>
      </c>
      <c r="K11415" s="10">
        <v>163</v>
      </c>
      <c r="L11415" s="10" t="s">
        <v>49367</v>
      </c>
      <c r="M11415" s="10">
        <v>1</v>
      </c>
      <c r="N11415" s="10" t="s">
        <v>47460</v>
      </c>
      <c r="O11415" s="10"/>
      <c r="P11415" s="10" t="s">
        <v>49368</v>
      </c>
      <c r="Q11415" s="10">
        <v>378.1</v>
      </c>
      <c r="R11415" s="10" t="s">
        <v>49369</v>
      </c>
      <c r="S11415" s="10" t="s">
        <v>53</v>
      </c>
      <c r="T11415" s="10" t="s">
        <v>54</v>
      </c>
    </row>
    <row r="11416" spans="1:20" ht="14.5" x14ac:dyDescent="0.35">
      <c r="A11416" s="10" t="s">
        <v>49370</v>
      </c>
      <c r="B11416" s="10" t="str">
        <f>"9781138385511"</f>
        <v>9781138385511</v>
      </c>
      <c r="C11416" s="10" t="str">
        <f>"9780429762833"</f>
        <v>9780429762833</v>
      </c>
      <c r="D11416" s="10" t="s">
        <v>6350</v>
      </c>
      <c r="E11416" s="10" t="s">
        <v>6351</v>
      </c>
      <c r="F11416" s="10" t="s">
        <v>3967</v>
      </c>
      <c r="G11416" s="10" t="s">
        <v>6352</v>
      </c>
      <c r="H11416" s="11">
        <v>43641</v>
      </c>
      <c r="I11416" s="10">
        <v>2019</v>
      </c>
      <c r="J11416" s="10" t="s">
        <v>6353</v>
      </c>
      <c r="K11416" s="10">
        <v>259</v>
      </c>
      <c r="L11416" s="10" t="s">
        <v>49371</v>
      </c>
      <c r="M11416" s="10">
        <v>1</v>
      </c>
      <c r="N11416" s="10" t="s">
        <v>49372</v>
      </c>
      <c r="O11416" s="10"/>
      <c r="P11416" s="10" t="s">
        <v>49373</v>
      </c>
      <c r="Q11416" s="10">
        <v>338.92700000000002</v>
      </c>
      <c r="R11416" s="10" t="s">
        <v>49374</v>
      </c>
      <c r="S11416" s="10" t="s">
        <v>53</v>
      </c>
      <c r="T11416" s="10" t="s">
        <v>7545</v>
      </c>
    </row>
    <row r="11417" spans="1:20" ht="14.5" x14ac:dyDescent="0.35">
      <c r="A11417" s="10" t="s">
        <v>49375</v>
      </c>
      <c r="B11417" s="10" t="str">
        <f>"9781912508570"</f>
        <v>9781912508570</v>
      </c>
      <c r="C11417" s="10" t="str">
        <f>"9781912508594"</f>
        <v>9781912508594</v>
      </c>
      <c r="D11417" s="10" t="s">
        <v>9533</v>
      </c>
      <c r="E11417" s="10" t="s">
        <v>26840</v>
      </c>
      <c r="F11417" s="10" t="s">
        <v>44053</v>
      </c>
      <c r="G11417" s="10" t="s">
        <v>6352</v>
      </c>
      <c r="H11417" s="11">
        <v>43626</v>
      </c>
      <c r="I11417" s="10">
        <v>2019</v>
      </c>
      <c r="J11417" s="10" t="s">
        <v>26840</v>
      </c>
      <c r="K11417" s="10">
        <v>94</v>
      </c>
      <c r="L11417" s="10" t="s">
        <v>49376</v>
      </c>
      <c r="M11417" s="10">
        <v>1</v>
      </c>
      <c r="N11417" s="10" t="s">
        <v>47717</v>
      </c>
      <c r="O11417" s="10"/>
      <c r="P11417" s="10" t="s">
        <v>49377</v>
      </c>
      <c r="Q11417" s="10">
        <v>370.71100000000001</v>
      </c>
      <c r="R11417" s="10" t="s">
        <v>49378</v>
      </c>
      <c r="S11417" s="10" t="s">
        <v>53</v>
      </c>
      <c r="T11417" s="10" t="s">
        <v>54</v>
      </c>
    </row>
    <row r="11418" spans="1:20" ht="14.5" x14ac:dyDescent="0.35">
      <c r="A11418" s="10" t="s">
        <v>49379</v>
      </c>
      <c r="B11418" s="10" t="str">
        <f>"9781838678159"</f>
        <v>9781838678159</v>
      </c>
      <c r="C11418" s="10" t="str">
        <f>"9781838678166"</f>
        <v>9781838678166</v>
      </c>
      <c r="D11418" s="10" t="s">
        <v>8699</v>
      </c>
      <c r="E11418" s="10" t="s">
        <v>8699</v>
      </c>
      <c r="F11418" s="10" t="s">
        <v>41843</v>
      </c>
      <c r="G11418" s="10" t="s">
        <v>6352</v>
      </c>
      <c r="H11418" s="11">
        <v>43615</v>
      </c>
      <c r="I11418" s="10">
        <v>2019</v>
      </c>
      <c r="J11418" s="10" t="s">
        <v>8699</v>
      </c>
      <c r="K11418" s="10">
        <v>104</v>
      </c>
      <c r="L11418" s="10" t="s">
        <v>49380</v>
      </c>
      <c r="M11418" s="10">
        <v>1</v>
      </c>
      <c r="N11418" s="10" t="s">
        <v>48635</v>
      </c>
      <c r="O11418" s="10">
        <v>3</v>
      </c>
      <c r="P11418" s="10" t="s">
        <v>49381</v>
      </c>
      <c r="Q11418" s="10">
        <v>4</v>
      </c>
      <c r="R11418" s="10" t="s">
        <v>49382</v>
      </c>
      <c r="S11418" s="10" t="s">
        <v>53</v>
      </c>
      <c r="T11418" s="10" t="s">
        <v>49383</v>
      </c>
    </row>
    <row r="11419" spans="1:20" ht="14.5" x14ac:dyDescent="0.35">
      <c r="A11419" s="10" t="s">
        <v>49384</v>
      </c>
      <c r="B11419" s="10" t="str">
        <f>"9781838676834"</f>
        <v>9781838676834</v>
      </c>
      <c r="C11419" s="10" t="str">
        <f>"9781838676841"</f>
        <v>9781838676841</v>
      </c>
      <c r="D11419" s="10" t="s">
        <v>8699</v>
      </c>
      <c r="E11419" s="10" t="s">
        <v>8699</v>
      </c>
      <c r="F11419" s="10" t="s">
        <v>41843</v>
      </c>
      <c r="G11419" s="10" t="s">
        <v>6352</v>
      </c>
      <c r="H11419" s="11">
        <v>43600</v>
      </c>
      <c r="I11419" s="10">
        <v>2019</v>
      </c>
      <c r="J11419" s="10" t="s">
        <v>8699</v>
      </c>
      <c r="K11419" s="10">
        <v>69</v>
      </c>
      <c r="L11419" s="10" t="s">
        <v>49385</v>
      </c>
      <c r="M11419" s="10">
        <v>1</v>
      </c>
      <c r="N11419" s="10" t="s">
        <v>48797</v>
      </c>
      <c r="O11419" s="10">
        <v>2</v>
      </c>
      <c r="P11419" s="10" t="s">
        <v>49386</v>
      </c>
      <c r="Q11419" s="10">
        <v>378</v>
      </c>
      <c r="R11419" s="10" t="s">
        <v>12345</v>
      </c>
      <c r="S11419" s="10" t="s">
        <v>53</v>
      </c>
      <c r="T11419" s="10" t="s">
        <v>54</v>
      </c>
    </row>
    <row r="11420" spans="1:20" ht="14.5" x14ac:dyDescent="0.35">
      <c r="A11420" s="10" t="s">
        <v>49387</v>
      </c>
      <c r="B11420" s="10" t="str">
        <f>"9781787694125"</f>
        <v>9781787694125</v>
      </c>
      <c r="C11420" s="10" t="str">
        <f>"9781787694118"</f>
        <v>9781787694118</v>
      </c>
      <c r="D11420" s="10" t="s">
        <v>8699</v>
      </c>
      <c r="E11420" s="10" t="s">
        <v>8699</v>
      </c>
      <c r="F11420" s="10" t="s">
        <v>559</v>
      </c>
      <c r="G11420" s="10" t="s">
        <v>6352</v>
      </c>
      <c r="H11420" s="11">
        <v>43647</v>
      </c>
      <c r="I11420" s="10">
        <v>2019</v>
      </c>
      <c r="J11420" s="10" t="s">
        <v>8699</v>
      </c>
      <c r="K11420" s="10">
        <v>253</v>
      </c>
      <c r="L11420" s="10" t="s">
        <v>49388</v>
      </c>
      <c r="M11420" s="10">
        <v>1</v>
      </c>
      <c r="N11420" s="10" t="s">
        <v>46840</v>
      </c>
      <c r="O11420" s="10"/>
      <c r="P11420" s="10" t="s">
        <v>49389</v>
      </c>
      <c r="Q11420" s="10">
        <v>378</v>
      </c>
      <c r="R11420" s="10" t="s">
        <v>41358</v>
      </c>
      <c r="S11420" s="10" t="s">
        <v>53</v>
      </c>
      <c r="T11420" s="10" t="s">
        <v>54</v>
      </c>
    </row>
    <row r="11421" spans="1:20" ht="14.5" x14ac:dyDescent="0.35">
      <c r="A11421" s="10" t="s">
        <v>49390</v>
      </c>
      <c r="B11421" s="10" t="str">
        <f>"9781947604445"</f>
        <v>9781947604445</v>
      </c>
      <c r="C11421" s="10" t="str">
        <f>"9781947604452"</f>
        <v>9781947604452</v>
      </c>
      <c r="D11421" s="10" t="s">
        <v>37580</v>
      </c>
      <c r="E11421" s="10" t="s">
        <v>37581</v>
      </c>
      <c r="F11421" s="10" t="s">
        <v>37623</v>
      </c>
      <c r="G11421" s="10" t="s">
        <v>6317</v>
      </c>
      <c r="H11421" s="11">
        <v>43654</v>
      </c>
      <c r="I11421" s="10">
        <v>2020</v>
      </c>
      <c r="J11421" s="10" t="s">
        <v>37581</v>
      </c>
      <c r="K11421" s="10">
        <v>248</v>
      </c>
      <c r="L11421" s="10" t="s">
        <v>49391</v>
      </c>
      <c r="M11421" s="10">
        <v>2</v>
      </c>
      <c r="N11421" s="10"/>
      <c r="O11421" s="10"/>
      <c r="P11421" s="10" t="s">
        <v>49392</v>
      </c>
      <c r="Q11421" s="10"/>
      <c r="R11421" s="10" t="s">
        <v>49351</v>
      </c>
      <c r="S11421" s="10" t="s">
        <v>53</v>
      </c>
      <c r="T11421" s="10" t="s">
        <v>54</v>
      </c>
    </row>
    <row r="11422" spans="1:20" ht="14.5" x14ac:dyDescent="0.35">
      <c r="A11422" s="10" t="s">
        <v>49393</v>
      </c>
      <c r="B11422" s="10" t="str">
        <f>"9781416627845"</f>
        <v>9781416627845</v>
      </c>
      <c r="C11422" s="10" t="str">
        <f>"9781416627869"</f>
        <v>9781416627869</v>
      </c>
      <c r="D11422" s="10" t="s">
        <v>10014</v>
      </c>
      <c r="E11422" s="10" t="s">
        <v>10015</v>
      </c>
      <c r="F11422" s="10" t="s">
        <v>201</v>
      </c>
      <c r="G11422" s="10" t="s">
        <v>6317</v>
      </c>
      <c r="H11422" s="11">
        <v>43640</v>
      </c>
      <c r="I11422" s="10">
        <v>2019</v>
      </c>
      <c r="J11422" s="10" t="s">
        <v>10015</v>
      </c>
      <c r="K11422" s="10">
        <v>130</v>
      </c>
      <c r="L11422" s="10" t="s">
        <v>49394</v>
      </c>
      <c r="M11422" s="10">
        <v>1</v>
      </c>
      <c r="N11422" s="10"/>
      <c r="O11422" s="10"/>
      <c r="P11422" s="10" t="s">
        <v>49395</v>
      </c>
      <c r="Q11422" s="10">
        <v>371.20699999999999</v>
      </c>
      <c r="R11422" s="10" t="s">
        <v>33311</v>
      </c>
      <c r="S11422" s="10" t="s">
        <v>53</v>
      </c>
      <c r="T11422" s="10" t="s">
        <v>54</v>
      </c>
    </row>
    <row r="11423" spans="1:20" ht="14.5" x14ac:dyDescent="0.35">
      <c r="A11423" s="10" t="s">
        <v>49396</v>
      </c>
      <c r="B11423" s="10" t="str">
        <f>"9781787560451"</f>
        <v>9781787560451</v>
      </c>
      <c r="C11423" s="10" t="str">
        <f>"9781787560444"</f>
        <v>9781787560444</v>
      </c>
      <c r="D11423" s="10" t="s">
        <v>8699</v>
      </c>
      <c r="E11423" s="10" t="s">
        <v>8699</v>
      </c>
      <c r="F11423" s="10" t="s">
        <v>559</v>
      </c>
      <c r="G11423" s="10" t="s">
        <v>6352</v>
      </c>
      <c r="H11423" s="11">
        <v>43656</v>
      </c>
      <c r="I11423" s="10">
        <v>2019</v>
      </c>
      <c r="J11423" s="10" t="s">
        <v>8699</v>
      </c>
      <c r="K11423" s="10">
        <v>328</v>
      </c>
      <c r="L11423" s="10" t="s">
        <v>49397</v>
      </c>
      <c r="M11423" s="10">
        <v>1</v>
      </c>
      <c r="N11423" s="10" t="s">
        <v>48001</v>
      </c>
      <c r="O11423" s="10"/>
      <c r="P11423" s="10" t="s">
        <v>11270</v>
      </c>
      <c r="Q11423" s="10"/>
      <c r="R11423" s="10" t="s">
        <v>49398</v>
      </c>
      <c r="S11423" s="10" t="s">
        <v>53</v>
      </c>
      <c r="T11423" s="10" t="s">
        <v>54</v>
      </c>
    </row>
    <row r="11424" spans="1:20" ht="14.5" x14ac:dyDescent="0.35">
      <c r="A11424" s="10" t="s">
        <v>49399</v>
      </c>
      <c r="B11424" s="10" t="str">
        <f>"9781947604339"</f>
        <v>9781947604339</v>
      </c>
      <c r="C11424" s="10" t="str">
        <f>"9781947604346"</f>
        <v>9781947604346</v>
      </c>
      <c r="D11424" s="10" t="s">
        <v>37580</v>
      </c>
      <c r="E11424" s="10" t="s">
        <v>37581</v>
      </c>
      <c r="F11424" s="10" t="s">
        <v>37623</v>
      </c>
      <c r="G11424" s="10" t="s">
        <v>6317</v>
      </c>
      <c r="H11424" s="11">
        <v>43654</v>
      </c>
      <c r="I11424" s="10">
        <v>2020</v>
      </c>
      <c r="J11424" s="10" t="s">
        <v>37581</v>
      </c>
      <c r="K11424" s="10">
        <v>144</v>
      </c>
      <c r="L11424" s="10" t="s">
        <v>49400</v>
      </c>
      <c r="M11424" s="10">
        <v>1</v>
      </c>
      <c r="N11424" s="10"/>
      <c r="O11424" s="10"/>
      <c r="P11424" s="10" t="s">
        <v>49401</v>
      </c>
      <c r="Q11424" s="10"/>
      <c r="R11424" s="10" t="s">
        <v>49402</v>
      </c>
      <c r="S11424" s="10" t="s">
        <v>53</v>
      </c>
      <c r="T11424" s="10" t="s">
        <v>54</v>
      </c>
    </row>
    <row r="11425" spans="1:20" ht="14.5" x14ac:dyDescent="0.35">
      <c r="A11425" s="10" t="s">
        <v>49403</v>
      </c>
      <c r="B11425" s="10" t="str">
        <f>"9782763742519"</f>
        <v>9782763742519</v>
      </c>
      <c r="C11425" s="10" t="str">
        <f>"9782763742526"</f>
        <v>9782763742526</v>
      </c>
      <c r="D11425" s="10" t="s">
        <v>44215</v>
      </c>
      <c r="E11425" s="10" t="s">
        <v>44215</v>
      </c>
      <c r="F11425" s="10" t="s">
        <v>49233</v>
      </c>
      <c r="G11425" s="10" t="s">
        <v>9536</v>
      </c>
      <c r="H11425" s="11">
        <v>43647</v>
      </c>
      <c r="I11425" s="10">
        <v>2019</v>
      </c>
      <c r="J11425" s="10" t="s">
        <v>44215</v>
      </c>
      <c r="K11425" s="10">
        <v>238</v>
      </c>
      <c r="L11425" s="10" t="s">
        <v>49404</v>
      </c>
      <c r="M11425" s="10">
        <v>1</v>
      </c>
      <c r="N11425" s="10"/>
      <c r="O11425" s="10"/>
      <c r="P11425" s="10"/>
      <c r="Q11425" s="10"/>
      <c r="R11425" s="10" t="s">
        <v>49405</v>
      </c>
      <c r="S11425" s="10" t="s">
        <v>5404</v>
      </c>
      <c r="T11425" s="10" t="s">
        <v>54</v>
      </c>
    </row>
    <row r="11426" spans="1:20" ht="14.5" x14ac:dyDescent="0.35">
      <c r="A11426" s="10" t="s">
        <v>49406</v>
      </c>
      <c r="B11426" s="10" t="str">
        <f>"9782763738581"</f>
        <v>9782763738581</v>
      </c>
      <c r="C11426" s="10" t="str">
        <f>"9782763738598"</f>
        <v>9782763738598</v>
      </c>
      <c r="D11426" s="10" t="s">
        <v>44215</v>
      </c>
      <c r="E11426" s="10" t="s">
        <v>44215</v>
      </c>
      <c r="F11426" s="10" t="s">
        <v>49233</v>
      </c>
      <c r="G11426" s="10" t="s">
        <v>9536</v>
      </c>
      <c r="H11426" s="11">
        <v>43282</v>
      </c>
      <c r="I11426" s="10">
        <v>2018</v>
      </c>
      <c r="J11426" s="10" t="s">
        <v>44215</v>
      </c>
      <c r="K11426" s="10">
        <v>148</v>
      </c>
      <c r="L11426" s="10" t="s">
        <v>49407</v>
      </c>
      <c r="M11426" s="10">
        <v>1</v>
      </c>
      <c r="N11426" s="10"/>
      <c r="O11426" s="10"/>
      <c r="P11426" s="10"/>
      <c r="Q11426" s="10"/>
      <c r="R11426" s="10" t="s">
        <v>49408</v>
      </c>
      <c r="S11426" s="10" t="s">
        <v>5404</v>
      </c>
      <c r="T11426" s="10" t="s">
        <v>54</v>
      </c>
    </row>
    <row r="11427" spans="1:20" ht="14.5" x14ac:dyDescent="0.35">
      <c r="A11427" s="10" t="s">
        <v>49409</v>
      </c>
      <c r="B11427" s="10" t="str">
        <f>"9781975501433"</f>
        <v>9781975501433</v>
      </c>
      <c r="C11427" s="10" t="str">
        <f>"9781975501457"</f>
        <v>9781975501457</v>
      </c>
      <c r="D11427" s="10" t="s">
        <v>44271</v>
      </c>
      <c r="E11427" s="10" t="s">
        <v>47266</v>
      </c>
      <c r="F11427" s="10" t="s">
        <v>41227</v>
      </c>
      <c r="G11427" s="10" t="s">
        <v>6317</v>
      </c>
      <c r="H11427" s="11">
        <v>43535</v>
      </c>
      <c r="I11427" s="10">
        <v>2019</v>
      </c>
      <c r="J11427" s="10" t="s">
        <v>47266</v>
      </c>
      <c r="K11427" s="10">
        <v>315</v>
      </c>
      <c r="L11427" s="10" t="s">
        <v>49410</v>
      </c>
      <c r="M11427" s="10">
        <v>1</v>
      </c>
      <c r="N11427" s="10"/>
      <c r="O11427" s="10"/>
      <c r="P11427" s="10" t="s">
        <v>49411</v>
      </c>
      <c r="Q11427" s="10" t="s">
        <v>7335</v>
      </c>
      <c r="R11427" s="10" t="s">
        <v>49412</v>
      </c>
      <c r="S11427" s="10" t="s">
        <v>53</v>
      </c>
      <c r="T11427" s="10" t="s">
        <v>54</v>
      </c>
    </row>
    <row r="11428" spans="1:20" ht="14.5" x14ac:dyDescent="0.35">
      <c r="A11428" s="10" t="s">
        <v>49413</v>
      </c>
      <c r="B11428" s="10" t="str">
        <f>"9781620368909"</f>
        <v>9781620368909</v>
      </c>
      <c r="C11428" s="10" t="str">
        <f>"9781000972801"</f>
        <v>9781000972801</v>
      </c>
      <c r="D11428" s="10" t="s">
        <v>6350</v>
      </c>
      <c r="E11428" s="10" t="s">
        <v>6351</v>
      </c>
      <c r="F11428" s="10" t="s">
        <v>748</v>
      </c>
      <c r="G11428" s="10" t="s">
        <v>6352</v>
      </c>
      <c r="H11428" s="11">
        <v>43637</v>
      </c>
      <c r="I11428" s="10">
        <v>2019</v>
      </c>
      <c r="J11428" s="10" t="s">
        <v>6351</v>
      </c>
      <c r="K11428" s="10">
        <v>220</v>
      </c>
      <c r="L11428" s="10" t="s">
        <v>49414</v>
      </c>
      <c r="M11428" s="10">
        <v>1</v>
      </c>
      <c r="N11428" s="10"/>
      <c r="O11428" s="10"/>
      <c r="P11428" s="10" t="s">
        <v>49415</v>
      </c>
      <c r="Q11428" s="10">
        <v>808.06637799999999</v>
      </c>
      <c r="R11428" s="10" t="s">
        <v>49416</v>
      </c>
      <c r="S11428" s="10" t="s">
        <v>53</v>
      </c>
      <c r="T11428" s="10" t="s">
        <v>8424</v>
      </c>
    </row>
    <row r="11429" spans="1:20" ht="14.5" x14ac:dyDescent="0.35">
      <c r="A11429" s="10" t="s">
        <v>49417</v>
      </c>
      <c r="B11429" s="10" t="str">
        <f>"9781947604674"</f>
        <v>9781947604674</v>
      </c>
      <c r="C11429" s="10" t="str">
        <f>"9781947604681"</f>
        <v>9781947604681</v>
      </c>
      <c r="D11429" s="10" t="s">
        <v>37580</v>
      </c>
      <c r="E11429" s="10" t="s">
        <v>37581</v>
      </c>
      <c r="F11429" s="10" t="s">
        <v>37623</v>
      </c>
      <c r="G11429" s="10" t="s">
        <v>6317</v>
      </c>
      <c r="H11429" s="11">
        <v>43661</v>
      </c>
      <c r="I11429" s="10">
        <v>2020</v>
      </c>
      <c r="J11429" s="10" t="s">
        <v>37581</v>
      </c>
      <c r="K11429" s="10">
        <v>128</v>
      </c>
      <c r="L11429" s="10" t="s">
        <v>49418</v>
      </c>
      <c r="M11429" s="10">
        <v>1</v>
      </c>
      <c r="N11429" s="10"/>
      <c r="O11429" s="10"/>
      <c r="P11429" s="10" t="s">
        <v>49419</v>
      </c>
      <c r="Q11429" s="10"/>
      <c r="R11429" s="10"/>
      <c r="S11429" s="10" t="s">
        <v>53</v>
      </c>
      <c r="T11429" s="10" t="s">
        <v>54</v>
      </c>
    </row>
    <row r="11430" spans="1:20" ht="14.5" x14ac:dyDescent="0.35">
      <c r="A11430" s="10" t="s">
        <v>49420</v>
      </c>
      <c r="B11430" s="10" t="str">
        <f>"9781949539257"</f>
        <v>9781949539257</v>
      </c>
      <c r="C11430" s="10" t="str">
        <f>"9781949539264"</f>
        <v>9781949539264</v>
      </c>
      <c r="D11430" s="10" t="s">
        <v>37580</v>
      </c>
      <c r="E11430" s="10" t="s">
        <v>37581</v>
      </c>
      <c r="F11430" s="10" t="s">
        <v>37623</v>
      </c>
      <c r="G11430" s="10" t="s">
        <v>6317</v>
      </c>
      <c r="H11430" s="11">
        <v>43661</v>
      </c>
      <c r="I11430" s="10">
        <v>2020</v>
      </c>
      <c r="J11430" s="10" t="s">
        <v>37581</v>
      </c>
      <c r="K11430" s="10">
        <v>168</v>
      </c>
      <c r="L11430" s="10" t="s">
        <v>49421</v>
      </c>
      <c r="M11430" s="10">
        <v>1</v>
      </c>
      <c r="N11430" s="10"/>
      <c r="O11430" s="10"/>
      <c r="P11430" s="10"/>
      <c r="Q11430" s="10"/>
      <c r="R11430" s="10"/>
      <c r="S11430" s="10" t="s">
        <v>53</v>
      </c>
      <c r="T11430" s="10" t="s">
        <v>54</v>
      </c>
    </row>
    <row r="11431" spans="1:20" ht="14.5" x14ac:dyDescent="0.35">
      <c r="A11431" s="10" t="s">
        <v>49422</v>
      </c>
      <c r="B11431" s="10" t="str">
        <f>"9781623493851"</f>
        <v>9781623493851</v>
      </c>
      <c r="C11431" s="10" t="str">
        <f>"9781623493868"</f>
        <v>9781623493868</v>
      </c>
      <c r="D11431" s="10" t="s">
        <v>23853</v>
      </c>
      <c r="E11431" s="10" t="s">
        <v>23854</v>
      </c>
      <c r="F11431" s="10" t="s">
        <v>3126</v>
      </c>
      <c r="G11431" s="10" t="s">
        <v>6317</v>
      </c>
      <c r="H11431" s="11">
        <v>42475</v>
      </c>
      <c r="I11431" s="10">
        <v>2016</v>
      </c>
      <c r="J11431" s="10" t="s">
        <v>23854</v>
      </c>
      <c r="K11431" s="10">
        <v>146</v>
      </c>
      <c r="L11431" s="10" t="s">
        <v>49423</v>
      </c>
      <c r="M11431" s="10">
        <v>1</v>
      </c>
      <c r="N11431" s="10" t="s">
        <v>34040</v>
      </c>
      <c r="O11431" s="10">
        <v>124</v>
      </c>
      <c r="P11431" s="10" t="s">
        <v>49424</v>
      </c>
      <c r="Q11431" s="10">
        <v>378.00920000000002</v>
      </c>
      <c r="R11431" s="10" t="s">
        <v>49425</v>
      </c>
      <c r="S11431" s="10" t="s">
        <v>53</v>
      </c>
      <c r="T11431" s="10" t="s">
        <v>54</v>
      </c>
    </row>
    <row r="11432" spans="1:20" ht="14.5" x14ac:dyDescent="0.35">
      <c r="A11432" s="10" t="s">
        <v>49426</v>
      </c>
      <c r="B11432" s="10" t="str">
        <f>"9781138370296"</f>
        <v>9781138370296</v>
      </c>
      <c r="C11432" s="10" t="str">
        <f>"9780429765926"</f>
        <v>9780429765926</v>
      </c>
      <c r="D11432" s="10" t="s">
        <v>6350</v>
      </c>
      <c r="E11432" s="10" t="s">
        <v>6351</v>
      </c>
      <c r="F11432" s="10" t="s">
        <v>3967</v>
      </c>
      <c r="G11432" s="10" t="s">
        <v>6352</v>
      </c>
      <c r="H11432" s="11">
        <v>43692</v>
      </c>
      <c r="I11432" s="10">
        <v>2020</v>
      </c>
      <c r="J11432" s="10" t="s">
        <v>6353</v>
      </c>
      <c r="K11432" s="10">
        <v>249</v>
      </c>
      <c r="L11432" s="10" t="s">
        <v>49012</v>
      </c>
      <c r="M11432" s="10">
        <v>1</v>
      </c>
      <c r="N11432" s="10" t="s">
        <v>49013</v>
      </c>
      <c r="O11432" s="10"/>
      <c r="P11432" s="10" t="s">
        <v>49427</v>
      </c>
      <c r="Q11432" s="10">
        <v>370.15339999999998</v>
      </c>
      <c r="R11432" s="10" t="s">
        <v>49015</v>
      </c>
      <c r="S11432" s="10" t="s">
        <v>53</v>
      </c>
      <c r="T11432" s="10" t="s">
        <v>54</v>
      </c>
    </row>
    <row r="11433" spans="1:20" ht="14.5" x14ac:dyDescent="0.35">
      <c r="A11433" s="10" t="s">
        <v>49428</v>
      </c>
      <c r="B11433" s="10" t="str">
        <f>"9781119236719"</f>
        <v>9781119236719</v>
      </c>
      <c r="C11433" s="10" t="str">
        <f>"9781119236764"</f>
        <v>9781119236764</v>
      </c>
      <c r="D11433" s="10" t="s">
        <v>6322</v>
      </c>
      <c r="E11433" s="10" t="s">
        <v>6323</v>
      </c>
      <c r="F11433" s="10" t="s">
        <v>4423</v>
      </c>
      <c r="G11433" s="10" t="s">
        <v>6317</v>
      </c>
      <c r="H11433" s="11">
        <v>43690</v>
      </c>
      <c r="I11433" s="10">
        <v>2019</v>
      </c>
      <c r="J11433" s="10" t="s">
        <v>8436</v>
      </c>
      <c r="K11433" s="10">
        <v>682</v>
      </c>
      <c r="L11433" s="10" t="s">
        <v>33624</v>
      </c>
      <c r="M11433" s="10">
        <v>1</v>
      </c>
      <c r="N11433" s="10" t="s">
        <v>41092</v>
      </c>
      <c r="O11433" s="10"/>
      <c r="P11433" s="10"/>
      <c r="Q11433" s="10" t="s">
        <v>7335</v>
      </c>
      <c r="R11433" s="10" t="s">
        <v>49429</v>
      </c>
      <c r="S11433" s="10" t="s">
        <v>53</v>
      </c>
      <c r="T11433" s="10" t="s">
        <v>54</v>
      </c>
    </row>
    <row r="11434" spans="1:20" ht="14.5" x14ac:dyDescent="0.35">
      <c r="A11434" s="10" t="s">
        <v>49430</v>
      </c>
      <c r="B11434" s="10" t="str">
        <f>"9781908684417"</f>
        <v>9781908684417</v>
      </c>
      <c r="C11434" s="10" t="str">
        <f>"9781789559996"</f>
        <v>9781789559996</v>
      </c>
      <c r="D11434" s="10" t="s">
        <v>49431</v>
      </c>
      <c r="E11434" s="10" t="s">
        <v>49432</v>
      </c>
      <c r="F11434" s="10" t="s">
        <v>139</v>
      </c>
      <c r="G11434" s="10" t="s">
        <v>6352</v>
      </c>
      <c r="H11434" s="11">
        <v>41883</v>
      </c>
      <c r="I11434" s="10">
        <v>2014</v>
      </c>
      <c r="J11434" s="10" t="s">
        <v>49432</v>
      </c>
      <c r="K11434" s="10">
        <v>97</v>
      </c>
      <c r="L11434" s="10" t="s">
        <v>49433</v>
      </c>
      <c r="M11434" s="10">
        <v>1</v>
      </c>
      <c r="N11434" s="10"/>
      <c r="O11434" s="10"/>
      <c r="P11434" s="10" t="s">
        <v>49434</v>
      </c>
      <c r="Q11434" s="10">
        <v>302.23018999999999</v>
      </c>
      <c r="R11434" s="10" t="s">
        <v>49435</v>
      </c>
      <c r="S11434" s="10" t="s">
        <v>53</v>
      </c>
      <c r="T11434" s="10" t="s">
        <v>6363</v>
      </c>
    </row>
    <row r="11435" spans="1:20" ht="14.5" x14ac:dyDescent="0.35">
      <c r="A11435" s="10" t="s">
        <v>49436</v>
      </c>
      <c r="B11435" s="10" t="str">
        <f>"9780367279523"</f>
        <v>9780367279523</v>
      </c>
      <c r="C11435" s="10" t="str">
        <f>"9781000024586"</f>
        <v>9781000024586</v>
      </c>
      <c r="D11435" s="10" t="s">
        <v>6350</v>
      </c>
      <c r="E11435" s="10" t="s">
        <v>6351</v>
      </c>
      <c r="F11435" s="10" t="s">
        <v>3967</v>
      </c>
      <c r="G11435" s="10" t="s">
        <v>6352</v>
      </c>
      <c r="H11435" s="11">
        <v>43675</v>
      </c>
      <c r="I11435" s="10">
        <v>2020</v>
      </c>
      <c r="J11435" s="10" t="s">
        <v>6353</v>
      </c>
      <c r="K11435" s="10">
        <v>249</v>
      </c>
      <c r="L11435" s="10" t="s">
        <v>49437</v>
      </c>
      <c r="M11435" s="10">
        <v>1</v>
      </c>
      <c r="N11435" s="10"/>
      <c r="O11435" s="10"/>
      <c r="P11435" s="10" t="s">
        <v>49438</v>
      </c>
      <c r="Q11435" s="10">
        <v>379.26</v>
      </c>
      <c r="R11435" s="10" t="s">
        <v>49439</v>
      </c>
      <c r="S11435" s="10" t="s">
        <v>53</v>
      </c>
      <c r="T11435" s="10" t="s">
        <v>54</v>
      </c>
    </row>
    <row r="11436" spans="1:20" ht="14.5" x14ac:dyDescent="0.35">
      <c r="A11436" s="10" t="s">
        <v>49440</v>
      </c>
      <c r="B11436" s="10" t="str">
        <f>""</f>
        <v/>
      </c>
      <c r="C11436" s="10" t="str">
        <f>"9789048550067"</f>
        <v>9789048550067</v>
      </c>
      <c r="D11436" s="10" t="s">
        <v>13287</v>
      </c>
      <c r="E11436" s="10" t="s">
        <v>13287</v>
      </c>
      <c r="F11436" s="10" t="s">
        <v>1818</v>
      </c>
      <c r="G11436" s="10" t="s">
        <v>9233</v>
      </c>
      <c r="H11436" s="11">
        <v>43665</v>
      </c>
      <c r="I11436" s="10">
        <v>2019</v>
      </c>
      <c r="J11436" s="10" t="s">
        <v>13287</v>
      </c>
      <c r="K11436" s="10">
        <v>177</v>
      </c>
      <c r="L11436" s="10" t="s">
        <v>49441</v>
      </c>
      <c r="M11436" s="10">
        <v>1</v>
      </c>
      <c r="N11436" s="10" t="s">
        <v>46319</v>
      </c>
      <c r="O11436" s="10"/>
      <c r="P11436" s="10" t="s">
        <v>49442</v>
      </c>
      <c r="Q11436" s="10"/>
      <c r="R11436" s="10" t="s">
        <v>49443</v>
      </c>
      <c r="S11436" s="10" t="s">
        <v>53</v>
      </c>
      <c r="T11436" s="10" t="s">
        <v>54</v>
      </c>
    </row>
    <row r="11437" spans="1:20" ht="14.5" x14ac:dyDescent="0.35">
      <c r="A11437" s="10" t="s">
        <v>49444</v>
      </c>
      <c r="B11437" s="10" t="str">
        <f>"9781416627944"</f>
        <v>9781416627944</v>
      </c>
      <c r="C11437" s="10" t="str">
        <f>"9781416627968"</f>
        <v>9781416627968</v>
      </c>
      <c r="D11437" s="10" t="s">
        <v>10014</v>
      </c>
      <c r="E11437" s="10" t="s">
        <v>10015</v>
      </c>
      <c r="F11437" s="10" t="s">
        <v>201</v>
      </c>
      <c r="G11437" s="10" t="s">
        <v>6317</v>
      </c>
      <c r="H11437" s="11">
        <v>43676</v>
      </c>
      <c r="I11437" s="10">
        <v>2019</v>
      </c>
      <c r="J11437" s="10" t="s">
        <v>10015</v>
      </c>
      <c r="K11437" s="10">
        <v>170</v>
      </c>
      <c r="L11437" s="10" t="s">
        <v>10452</v>
      </c>
      <c r="M11437" s="10">
        <v>1</v>
      </c>
      <c r="N11437" s="10"/>
      <c r="O11437" s="10"/>
      <c r="P11437" s="10" t="s">
        <v>49445</v>
      </c>
      <c r="Q11437" s="10">
        <v>370.15339999999998</v>
      </c>
      <c r="R11437" s="10" t="s">
        <v>49446</v>
      </c>
      <c r="S11437" s="10" t="s">
        <v>53</v>
      </c>
      <c r="T11437" s="10" t="s">
        <v>54</v>
      </c>
    </row>
    <row r="11438" spans="1:20" ht="14.5" x14ac:dyDescent="0.35">
      <c r="A11438" s="10" t="s">
        <v>49447</v>
      </c>
      <c r="B11438" s="10" t="str">
        <f>"9781416627982"</f>
        <v>9781416627982</v>
      </c>
      <c r="C11438" s="10" t="str">
        <f>"9781416628002"</f>
        <v>9781416628002</v>
      </c>
      <c r="D11438" s="10" t="s">
        <v>10014</v>
      </c>
      <c r="E11438" s="10" t="s">
        <v>10015</v>
      </c>
      <c r="F11438" s="10" t="s">
        <v>201</v>
      </c>
      <c r="G11438" s="10" t="s">
        <v>6317</v>
      </c>
      <c r="H11438" s="11">
        <v>43668</v>
      </c>
      <c r="I11438" s="10">
        <v>2019</v>
      </c>
      <c r="J11438" s="10" t="s">
        <v>10015</v>
      </c>
      <c r="K11438" s="10">
        <v>138</v>
      </c>
      <c r="L11438" s="10" t="s">
        <v>26832</v>
      </c>
      <c r="M11438" s="10">
        <v>1</v>
      </c>
      <c r="N11438" s="10"/>
      <c r="O11438" s="10"/>
      <c r="P11438" s="10" t="s">
        <v>49448</v>
      </c>
      <c r="Q11438" s="10">
        <v>370.15199999999999</v>
      </c>
      <c r="R11438" s="10" t="s">
        <v>49449</v>
      </c>
      <c r="S11438" s="10" t="s">
        <v>53</v>
      </c>
      <c r="T11438" s="10" t="s">
        <v>54</v>
      </c>
    </row>
    <row r="11439" spans="1:20" ht="14.5" x14ac:dyDescent="0.35">
      <c r="A11439" s="10" t="s">
        <v>49450</v>
      </c>
      <c r="B11439" s="10" t="str">
        <f>"9789004398870"</f>
        <v>9789004398870</v>
      </c>
      <c r="C11439" s="10" t="str">
        <f>"9789004398887"</f>
        <v>9789004398887</v>
      </c>
      <c r="D11439" s="10" t="s">
        <v>8564</v>
      </c>
      <c r="E11439" s="10" t="s">
        <v>8565</v>
      </c>
      <c r="F11439" s="10" t="s">
        <v>1420</v>
      </c>
      <c r="G11439" s="10" t="s">
        <v>6317</v>
      </c>
      <c r="H11439" s="11">
        <v>43552</v>
      </c>
      <c r="I11439" s="10">
        <v>2019</v>
      </c>
      <c r="J11439" s="10" t="s">
        <v>33259</v>
      </c>
      <c r="K11439" s="10">
        <v>197</v>
      </c>
      <c r="L11439" s="10" t="s">
        <v>49451</v>
      </c>
      <c r="M11439" s="10">
        <v>1</v>
      </c>
      <c r="N11439" s="10"/>
      <c r="O11439" s="10"/>
      <c r="P11439" s="10" t="s">
        <v>49452</v>
      </c>
      <c r="Q11439" s="10">
        <v>343.09944000000002</v>
      </c>
      <c r="R11439" s="10" t="s">
        <v>49453</v>
      </c>
      <c r="S11439" s="10" t="s">
        <v>53</v>
      </c>
      <c r="T11439" s="10" t="s">
        <v>5396</v>
      </c>
    </row>
    <row r="11440" spans="1:20" ht="14.5" x14ac:dyDescent="0.35">
      <c r="A11440" s="10" t="s">
        <v>49454</v>
      </c>
      <c r="B11440" s="10" t="str">
        <f>"9780367308575"</f>
        <v>9780367308575</v>
      </c>
      <c r="C11440" s="10" t="str">
        <f>"9781000230628"</f>
        <v>9781000230628</v>
      </c>
      <c r="D11440" s="10" t="s">
        <v>6350</v>
      </c>
      <c r="E11440" s="10" t="s">
        <v>6351</v>
      </c>
      <c r="F11440" s="10" t="s">
        <v>3967</v>
      </c>
      <c r="G11440" s="10" t="s">
        <v>6352</v>
      </c>
      <c r="H11440" s="11">
        <v>29037</v>
      </c>
      <c r="I11440" s="10">
        <v>1980</v>
      </c>
      <c r="J11440" s="10" t="s">
        <v>6353</v>
      </c>
      <c r="K11440" s="10">
        <v>276</v>
      </c>
      <c r="L11440" s="10" t="s">
        <v>49455</v>
      </c>
      <c r="M11440" s="10">
        <v>1</v>
      </c>
      <c r="N11440" s="10"/>
      <c r="O11440" s="10"/>
      <c r="P11440" s="10" t="s">
        <v>49456</v>
      </c>
      <c r="Q11440" s="10">
        <v>378.19810973</v>
      </c>
      <c r="R11440" s="10" t="s">
        <v>49457</v>
      </c>
      <c r="S11440" s="10" t="s">
        <v>53</v>
      </c>
      <c r="T11440" s="10" t="s">
        <v>54</v>
      </c>
    </row>
    <row r="11441" spans="1:20" ht="14.5" x14ac:dyDescent="0.35">
      <c r="A11441" s="10" t="s">
        <v>49458</v>
      </c>
      <c r="B11441" s="10" t="str">
        <f>"9781787560659"</f>
        <v>9781787560659</v>
      </c>
      <c r="C11441" s="10" t="str">
        <f>"9781787560666"</f>
        <v>9781787560666</v>
      </c>
      <c r="D11441" s="10" t="s">
        <v>8699</v>
      </c>
      <c r="E11441" s="10" t="s">
        <v>8699</v>
      </c>
      <c r="F11441" s="10" t="s">
        <v>559</v>
      </c>
      <c r="G11441" s="10" t="s">
        <v>6352</v>
      </c>
      <c r="H11441" s="11">
        <v>43671</v>
      </c>
      <c r="I11441" s="10">
        <v>2019</v>
      </c>
      <c r="J11441" s="10" t="s">
        <v>8699</v>
      </c>
      <c r="K11441" s="10">
        <v>324</v>
      </c>
      <c r="L11441" s="10" t="s">
        <v>48776</v>
      </c>
      <c r="M11441" s="10">
        <v>1</v>
      </c>
      <c r="N11441" s="10" t="s">
        <v>29541</v>
      </c>
      <c r="O11441" s="10">
        <v>17</v>
      </c>
      <c r="P11441" s="10" t="s">
        <v>27182</v>
      </c>
      <c r="Q11441" s="10">
        <v>378</v>
      </c>
      <c r="R11441" s="10" t="s">
        <v>18055</v>
      </c>
      <c r="S11441" s="10" t="s">
        <v>53</v>
      </c>
      <c r="T11441" s="10" t="s">
        <v>54</v>
      </c>
    </row>
    <row r="11442" spans="1:20" ht="14.5" x14ac:dyDescent="0.35">
      <c r="A11442" s="10" t="s">
        <v>49459</v>
      </c>
      <c r="B11442" s="10" t="str">
        <f>"9781789739008"</f>
        <v>9781789739008</v>
      </c>
      <c r="C11442" s="10" t="str">
        <f>"9781789738995"</f>
        <v>9781789738995</v>
      </c>
      <c r="D11442" s="10" t="s">
        <v>8699</v>
      </c>
      <c r="E11442" s="10" t="s">
        <v>8699</v>
      </c>
      <c r="F11442" s="10" t="s">
        <v>559</v>
      </c>
      <c r="G11442" s="10" t="s">
        <v>6352</v>
      </c>
      <c r="H11442" s="11">
        <v>43675</v>
      </c>
      <c r="I11442" s="10">
        <v>2019</v>
      </c>
      <c r="J11442" s="10" t="s">
        <v>8699</v>
      </c>
      <c r="K11442" s="10">
        <v>247</v>
      </c>
      <c r="L11442" s="10" t="s">
        <v>49273</v>
      </c>
      <c r="M11442" s="10">
        <v>1</v>
      </c>
      <c r="N11442" s="10"/>
      <c r="O11442" s="10"/>
      <c r="P11442" s="10" t="s">
        <v>49460</v>
      </c>
      <c r="Q11442" s="10">
        <v>379.15802856300002</v>
      </c>
      <c r="R11442" s="10" t="s">
        <v>49461</v>
      </c>
      <c r="S11442" s="10" t="s">
        <v>53</v>
      </c>
      <c r="T11442" s="10" t="s">
        <v>54</v>
      </c>
    </row>
    <row r="11443" spans="1:20" ht="14.5" x14ac:dyDescent="0.35">
      <c r="A11443" s="10" t="s">
        <v>49462</v>
      </c>
      <c r="B11443" s="10" t="str">
        <f>"9781785922602"</f>
        <v>9781785922602</v>
      </c>
      <c r="C11443" s="10" t="str">
        <f>"9781784505462"</f>
        <v>9781784505462</v>
      </c>
      <c r="D11443" s="10" t="s">
        <v>10516</v>
      </c>
      <c r="E11443" s="10" t="s">
        <v>10516</v>
      </c>
      <c r="F11443" s="10" t="s">
        <v>139</v>
      </c>
      <c r="G11443" s="10" t="s">
        <v>6352</v>
      </c>
      <c r="H11443" s="11">
        <v>43698</v>
      </c>
      <c r="I11443" s="10">
        <v>2019</v>
      </c>
      <c r="J11443" s="10" t="s">
        <v>10516</v>
      </c>
      <c r="K11443" s="10">
        <v>314</v>
      </c>
      <c r="L11443" s="10" t="s">
        <v>49463</v>
      </c>
      <c r="M11443" s="10">
        <v>1</v>
      </c>
      <c r="N11443" s="10"/>
      <c r="O11443" s="10"/>
      <c r="P11443" s="10"/>
      <c r="Q11443" s="10">
        <v>372.21094099999999</v>
      </c>
      <c r="R11443" s="10"/>
      <c r="S11443" s="10" t="s">
        <v>53</v>
      </c>
      <c r="T11443" s="10" t="s">
        <v>54</v>
      </c>
    </row>
    <row r="11444" spans="1:20" ht="14.5" x14ac:dyDescent="0.35">
      <c r="A11444" s="10" t="s">
        <v>49464</v>
      </c>
      <c r="B11444" s="10" t="str">
        <f>"9781945349935"</f>
        <v>9781945349935</v>
      </c>
      <c r="C11444" s="10" t="str">
        <f>"9781945349942"</f>
        <v>9781945349942</v>
      </c>
      <c r="D11444" s="10" t="s">
        <v>37580</v>
      </c>
      <c r="E11444" s="10" t="s">
        <v>37581</v>
      </c>
      <c r="F11444" s="10" t="s">
        <v>37623</v>
      </c>
      <c r="G11444" s="10" t="s">
        <v>6317</v>
      </c>
      <c r="H11444" s="11">
        <v>41865</v>
      </c>
      <c r="I11444" s="10">
        <v>2019</v>
      </c>
      <c r="J11444" s="10" t="s">
        <v>37581</v>
      </c>
      <c r="K11444" s="10">
        <v>248</v>
      </c>
      <c r="L11444" s="10" t="s">
        <v>49465</v>
      </c>
      <c r="M11444" s="10">
        <v>1</v>
      </c>
      <c r="N11444" s="10"/>
      <c r="O11444" s="10"/>
      <c r="P11444" s="10" t="s">
        <v>49466</v>
      </c>
      <c r="Q11444" s="10"/>
      <c r="R11444" s="10" t="s">
        <v>49467</v>
      </c>
      <c r="S11444" s="10" t="s">
        <v>53</v>
      </c>
      <c r="T11444" s="10" t="s">
        <v>54</v>
      </c>
    </row>
    <row r="11445" spans="1:20" ht="14.5" x14ac:dyDescent="0.35">
      <c r="A11445" s="10" t="s">
        <v>49468</v>
      </c>
      <c r="B11445" s="10" t="str">
        <f>"9781787697201"</f>
        <v>9781787697201</v>
      </c>
      <c r="C11445" s="10" t="str">
        <f>"9781787697171"</f>
        <v>9781787697171</v>
      </c>
      <c r="D11445" s="10" t="s">
        <v>8699</v>
      </c>
      <c r="E11445" s="10" t="s">
        <v>8699</v>
      </c>
      <c r="F11445" s="10" t="s">
        <v>559</v>
      </c>
      <c r="G11445" s="10" t="s">
        <v>6352</v>
      </c>
      <c r="H11445" s="11">
        <v>43683</v>
      </c>
      <c r="I11445" s="10">
        <v>2019</v>
      </c>
      <c r="J11445" s="10" t="s">
        <v>8699</v>
      </c>
      <c r="K11445" s="10">
        <v>247</v>
      </c>
      <c r="L11445" s="10" t="s">
        <v>49469</v>
      </c>
      <c r="M11445" s="10">
        <v>1</v>
      </c>
      <c r="N11445" s="10" t="s">
        <v>46840</v>
      </c>
      <c r="O11445" s="10"/>
      <c r="P11445" s="10" t="s">
        <v>49368</v>
      </c>
      <c r="Q11445" s="10">
        <v>371.1</v>
      </c>
      <c r="R11445" s="10" t="s">
        <v>49470</v>
      </c>
      <c r="S11445" s="10" t="s">
        <v>53</v>
      </c>
      <c r="T11445" s="10" t="s">
        <v>54</v>
      </c>
    </row>
    <row r="11446" spans="1:20" ht="14.5" x14ac:dyDescent="0.35">
      <c r="A11446" s="10" t="s">
        <v>49471</v>
      </c>
      <c r="B11446" s="10" t="str">
        <f>"9781787566927"</f>
        <v>9781787566927</v>
      </c>
      <c r="C11446" s="10" t="str">
        <f>"9781787566910"</f>
        <v>9781787566910</v>
      </c>
      <c r="D11446" s="10" t="s">
        <v>8699</v>
      </c>
      <c r="E11446" s="10" t="s">
        <v>8699</v>
      </c>
      <c r="F11446" s="10" t="s">
        <v>559</v>
      </c>
      <c r="G11446" s="10" t="s">
        <v>6352</v>
      </c>
      <c r="H11446" s="11">
        <v>43678</v>
      </c>
      <c r="I11446" s="10">
        <v>2019</v>
      </c>
      <c r="J11446" s="10" t="s">
        <v>8699</v>
      </c>
      <c r="K11446" s="10">
        <v>313</v>
      </c>
      <c r="L11446" s="10" t="s">
        <v>49472</v>
      </c>
      <c r="M11446" s="10">
        <v>1</v>
      </c>
      <c r="N11446" s="10"/>
      <c r="O11446" s="10"/>
      <c r="P11446" s="10" t="s">
        <v>49473</v>
      </c>
      <c r="Q11446" s="10">
        <v>658</v>
      </c>
      <c r="R11446" s="10" t="s">
        <v>18801</v>
      </c>
      <c r="S11446" s="10" t="s">
        <v>53</v>
      </c>
      <c r="T11446" s="10" t="s">
        <v>6660</v>
      </c>
    </row>
    <row r="11447" spans="1:20" ht="14.5" x14ac:dyDescent="0.35">
      <c r="A11447" s="10" t="s">
        <v>49474</v>
      </c>
      <c r="B11447" s="10" t="str">
        <f>"9781949539332"</f>
        <v>9781949539332</v>
      </c>
      <c r="C11447" s="10" t="str">
        <f>"9781949539349"</f>
        <v>9781949539349</v>
      </c>
      <c r="D11447" s="10" t="s">
        <v>37580</v>
      </c>
      <c r="E11447" s="10" t="s">
        <v>37581</v>
      </c>
      <c r="F11447" s="10" t="s">
        <v>37623</v>
      </c>
      <c r="G11447" s="10" t="s">
        <v>6317</v>
      </c>
      <c r="H11447" s="11">
        <v>43679</v>
      </c>
      <c r="I11447" s="10">
        <v>2020</v>
      </c>
      <c r="J11447" s="10" t="s">
        <v>37581</v>
      </c>
      <c r="K11447" s="10">
        <v>248</v>
      </c>
      <c r="L11447" s="10" t="s">
        <v>45564</v>
      </c>
      <c r="M11447" s="10">
        <v>1</v>
      </c>
      <c r="N11447" s="10"/>
      <c r="O11447" s="10"/>
      <c r="P11447" s="10"/>
      <c r="Q11447" s="10"/>
      <c r="R11447" s="10"/>
      <c r="S11447" s="10" t="s">
        <v>53</v>
      </c>
      <c r="T11447" s="10" t="s">
        <v>54</v>
      </c>
    </row>
    <row r="11448" spans="1:20" ht="14.5" x14ac:dyDescent="0.35">
      <c r="A11448" s="10" t="s">
        <v>49475</v>
      </c>
      <c r="B11448" s="10" t="str">
        <f>"9782706141935"</f>
        <v>9782706141935</v>
      </c>
      <c r="C11448" s="10" t="str">
        <f>"9782706145391"</f>
        <v>9782706145391</v>
      </c>
      <c r="D11448" s="10" t="s">
        <v>49476</v>
      </c>
      <c r="E11448" s="10" t="s">
        <v>49477</v>
      </c>
      <c r="F11448" s="10" t="s">
        <v>49478</v>
      </c>
      <c r="G11448" s="10" t="s">
        <v>31597</v>
      </c>
      <c r="H11448" s="11">
        <v>43181</v>
      </c>
      <c r="I11448" s="10">
        <v>2018</v>
      </c>
      <c r="J11448" s="10" t="s">
        <v>49477</v>
      </c>
      <c r="K11448" s="10">
        <v>210</v>
      </c>
      <c r="L11448" s="10" t="s">
        <v>49479</v>
      </c>
      <c r="M11448" s="10">
        <v>1</v>
      </c>
      <c r="N11448" s="10"/>
      <c r="O11448" s="10"/>
      <c r="P11448" s="10" t="s">
        <v>49480</v>
      </c>
      <c r="Q11448" s="10">
        <v>371.9</v>
      </c>
      <c r="R11448" s="10" t="s">
        <v>49481</v>
      </c>
      <c r="S11448" s="10" t="s">
        <v>5404</v>
      </c>
      <c r="T11448" s="10" t="s">
        <v>54</v>
      </c>
    </row>
    <row r="11449" spans="1:20" ht="14.5" x14ac:dyDescent="0.35">
      <c r="A11449" s="10" t="s">
        <v>49482</v>
      </c>
      <c r="B11449" s="10" t="str">
        <f>"9782706126598"</f>
        <v>9782706126598</v>
      </c>
      <c r="C11449" s="10" t="str">
        <f>"9782706126604"</f>
        <v>9782706126604</v>
      </c>
      <c r="D11449" s="10" t="s">
        <v>49476</v>
      </c>
      <c r="E11449" s="10" t="s">
        <v>49477</v>
      </c>
      <c r="F11449" s="10" t="s">
        <v>49478</v>
      </c>
      <c r="G11449" s="10" t="s">
        <v>31597</v>
      </c>
      <c r="H11449" s="11">
        <v>42838</v>
      </c>
      <c r="I11449" s="10">
        <v>2017</v>
      </c>
      <c r="J11449" s="10" t="s">
        <v>49477</v>
      </c>
      <c r="K11449" s="10">
        <v>224</v>
      </c>
      <c r="L11449" s="10" t="s">
        <v>49483</v>
      </c>
      <c r="M11449" s="10">
        <v>1</v>
      </c>
      <c r="N11449" s="10"/>
      <c r="O11449" s="10"/>
      <c r="P11449" s="10" t="s">
        <v>49484</v>
      </c>
      <c r="Q11449" s="10">
        <v>371.9</v>
      </c>
      <c r="R11449" s="10" t="s">
        <v>49485</v>
      </c>
      <c r="S11449" s="10" t="s">
        <v>5404</v>
      </c>
      <c r="T11449" s="10" t="s">
        <v>54</v>
      </c>
    </row>
    <row r="11450" spans="1:20" ht="14.5" x14ac:dyDescent="0.35">
      <c r="A11450" s="10" t="s">
        <v>49486</v>
      </c>
      <c r="B11450" s="10" t="str">
        <f>"9781611179941"</f>
        <v>9781611179941</v>
      </c>
      <c r="C11450" s="10" t="str">
        <f>"9781611179958"</f>
        <v>9781611179958</v>
      </c>
      <c r="D11450" s="10" t="s">
        <v>31285</v>
      </c>
      <c r="E11450" s="10" t="s">
        <v>31285</v>
      </c>
      <c r="F11450" s="10" t="s">
        <v>3189</v>
      </c>
      <c r="G11450" s="10" t="s">
        <v>6317</v>
      </c>
      <c r="H11450" s="11">
        <v>43691</v>
      </c>
      <c r="I11450" s="10">
        <v>2020</v>
      </c>
      <c r="J11450" s="10" t="s">
        <v>31285</v>
      </c>
      <c r="K11450" s="10">
        <v>231</v>
      </c>
      <c r="L11450" s="10" t="s">
        <v>14610</v>
      </c>
      <c r="M11450" s="10">
        <v>1</v>
      </c>
      <c r="N11450" s="10" t="s">
        <v>31296</v>
      </c>
      <c r="O11450" s="10"/>
      <c r="P11450" s="10" t="s">
        <v>49487</v>
      </c>
      <c r="Q11450" s="10">
        <v>70.449650000000005</v>
      </c>
      <c r="R11450" s="10"/>
      <c r="S11450" s="10" t="s">
        <v>53</v>
      </c>
      <c r="T11450" s="10" t="s">
        <v>5920</v>
      </c>
    </row>
    <row r="11451" spans="1:20" ht="14.5" x14ac:dyDescent="0.35">
      <c r="A11451" s="10" t="s">
        <v>49488</v>
      </c>
      <c r="B11451" s="10" t="str">
        <f>"9781138048706"</f>
        <v>9781138048706</v>
      </c>
      <c r="C11451" s="10" t="str">
        <f>"9781351690676"</f>
        <v>9781351690676</v>
      </c>
      <c r="D11451" s="10" t="s">
        <v>6350</v>
      </c>
      <c r="E11451" s="10" t="s">
        <v>6351</v>
      </c>
      <c r="F11451" s="10" t="s">
        <v>3967</v>
      </c>
      <c r="G11451" s="10" t="s">
        <v>6352</v>
      </c>
      <c r="H11451" s="11">
        <v>43709</v>
      </c>
      <c r="I11451" s="10">
        <v>2020</v>
      </c>
      <c r="J11451" s="10" t="s">
        <v>6353</v>
      </c>
      <c r="K11451" s="10">
        <v>249</v>
      </c>
      <c r="L11451" s="10" t="s">
        <v>49489</v>
      </c>
      <c r="M11451" s="10">
        <v>2</v>
      </c>
      <c r="N11451" s="10"/>
      <c r="O11451" s="10"/>
      <c r="P11451" s="10" t="s">
        <v>49490</v>
      </c>
      <c r="Q11451" s="10">
        <v>808.04200000000003</v>
      </c>
      <c r="R11451" s="10" t="s">
        <v>49491</v>
      </c>
      <c r="S11451" s="10" t="s">
        <v>53</v>
      </c>
      <c r="T11451" s="10" t="s">
        <v>6568</v>
      </c>
    </row>
    <row r="11452" spans="1:20" ht="14.5" x14ac:dyDescent="0.35">
      <c r="A11452" s="10" t="s">
        <v>49492</v>
      </c>
      <c r="B11452" s="10" t="str">
        <f>"9780367188702"</f>
        <v>9780367188702</v>
      </c>
      <c r="C11452" s="10" t="str">
        <f>"9780429583520"</f>
        <v>9780429583520</v>
      </c>
      <c r="D11452" s="10" t="s">
        <v>6350</v>
      </c>
      <c r="E11452" s="10" t="s">
        <v>6351</v>
      </c>
      <c r="F11452" s="10" t="s">
        <v>748</v>
      </c>
      <c r="G11452" s="10" t="s">
        <v>6352</v>
      </c>
      <c r="H11452" s="11">
        <v>43708</v>
      </c>
      <c r="I11452" s="10">
        <v>2020</v>
      </c>
      <c r="J11452" s="10" t="s">
        <v>6351</v>
      </c>
      <c r="K11452" s="10">
        <v>375</v>
      </c>
      <c r="L11452" s="10" t="s">
        <v>49493</v>
      </c>
      <c r="M11452" s="10">
        <v>1</v>
      </c>
      <c r="N11452" s="10" t="s">
        <v>49494</v>
      </c>
      <c r="O11452" s="10"/>
      <c r="P11452" s="10" t="s">
        <v>49495</v>
      </c>
      <c r="Q11452" s="10">
        <v>796.50710000000004</v>
      </c>
      <c r="R11452" s="10" t="s">
        <v>49496</v>
      </c>
      <c r="S11452" s="10" t="s">
        <v>53</v>
      </c>
      <c r="T11452" s="10" t="s">
        <v>7340</v>
      </c>
    </row>
    <row r="11453" spans="1:20" ht="14.5" x14ac:dyDescent="0.35">
      <c r="A11453" s="10" t="s">
        <v>49497</v>
      </c>
      <c r="B11453" s="10" t="str">
        <f>"9781786303929"</f>
        <v>9781786303929</v>
      </c>
      <c r="C11453" s="10" t="str">
        <f>"9781119644323"</f>
        <v>9781119644323</v>
      </c>
      <c r="D11453" s="10" t="s">
        <v>6322</v>
      </c>
      <c r="E11453" s="10" t="s">
        <v>6323</v>
      </c>
      <c r="F11453" s="10" t="s">
        <v>4423</v>
      </c>
      <c r="G11453" s="10" t="s">
        <v>6317</v>
      </c>
      <c r="H11453" s="11">
        <v>43676</v>
      </c>
      <c r="I11453" s="10">
        <v>2019</v>
      </c>
      <c r="J11453" s="10" t="s">
        <v>29411</v>
      </c>
      <c r="K11453" s="10">
        <v>393</v>
      </c>
      <c r="L11453" s="10" t="s">
        <v>49498</v>
      </c>
      <c r="M11453" s="10">
        <v>1</v>
      </c>
      <c r="N11453" s="10"/>
      <c r="O11453" s="10"/>
      <c r="P11453" s="10"/>
      <c r="Q11453" s="10">
        <v>370.1</v>
      </c>
      <c r="R11453" s="10" t="s">
        <v>48067</v>
      </c>
      <c r="S11453" s="10" t="s">
        <v>53</v>
      </c>
      <c r="T11453" s="10" t="s">
        <v>54</v>
      </c>
    </row>
    <row r="11454" spans="1:20" ht="14.5" x14ac:dyDescent="0.35">
      <c r="A11454" s="10" t="s">
        <v>49499</v>
      </c>
      <c r="B11454" s="10" t="str">
        <f>"9781786303660"</f>
        <v>9781786303660</v>
      </c>
      <c r="C11454" s="10" t="str">
        <f>"9781119644330"</f>
        <v>9781119644330</v>
      </c>
      <c r="D11454" s="10" t="s">
        <v>6322</v>
      </c>
      <c r="E11454" s="10" t="s">
        <v>6323</v>
      </c>
      <c r="F11454" s="10" t="s">
        <v>4423</v>
      </c>
      <c r="G11454" s="10" t="s">
        <v>6317</v>
      </c>
      <c r="H11454" s="11">
        <v>43676</v>
      </c>
      <c r="I11454" s="10">
        <v>2019</v>
      </c>
      <c r="J11454" s="10" t="s">
        <v>29411</v>
      </c>
      <c r="K11454" s="10">
        <v>341</v>
      </c>
      <c r="L11454" s="10" t="s">
        <v>49500</v>
      </c>
      <c r="M11454" s="10">
        <v>1</v>
      </c>
      <c r="N11454" s="10"/>
      <c r="O11454" s="10"/>
      <c r="P11454" s="10"/>
      <c r="Q11454" s="10">
        <v>370.11500000000001</v>
      </c>
      <c r="R11454" s="10" t="s">
        <v>49501</v>
      </c>
      <c r="S11454" s="10" t="s">
        <v>53</v>
      </c>
      <c r="T11454" s="10" t="s">
        <v>54</v>
      </c>
    </row>
    <row r="11455" spans="1:20" ht="14.5" x14ac:dyDescent="0.35">
      <c r="A11455" s="10" t="s">
        <v>49502</v>
      </c>
      <c r="B11455" s="10" t="str">
        <f>"9781138291263"</f>
        <v>9781138291263</v>
      </c>
      <c r="C11455" s="10" t="str">
        <f>"9781351967495"</f>
        <v>9781351967495</v>
      </c>
      <c r="D11455" s="10" t="s">
        <v>6350</v>
      </c>
      <c r="E11455" s="10" t="s">
        <v>6351</v>
      </c>
      <c r="F11455" s="10" t="s">
        <v>748</v>
      </c>
      <c r="G11455" s="10" t="s">
        <v>6352</v>
      </c>
      <c r="H11455" s="11">
        <v>43676</v>
      </c>
      <c r="I11455" s="10">
        <v>2020</v>
      </c>
      <c r="J11455" s="10" t="s">
        <v>6351</v>
      </c>
      <c r="K11455" s="10">
        <v>190</v>
      </c>
      <c r="L11455" s="10" t="s">
        <v>49503</v>
      </c>
      <c r="M11455" s="10">
        <v>1</v>
      </c>
      <c r="N11455" s="10" t="s">
        <v>6954</v>
      </c>
      <c r="O11455" s="10"/>
      <c r="P11455" s="10" t="s">
        <v>49504</v>
      </c>
      <c r="Q11455" s="10">
        <v>370.11700000000002</v>
      </c>
      <c r="R11455" s="10" t="s">
        <v>49505</v>
      </c>
      <c r="S11455" s="10" t="s">
        <v>53</v>
      </c>
      <c r="T11455" s="10" t="s">
        <v>54</v>
      </c>
    </row>
    <row r="11456" spans="1:20" ht="14.5" x14ac:dyDescent="0.35">
      <c r="A11456" s="10" t="s">
        <v>49506</v>
      </c>
      <c r="B11456" s="10" t="str">
        <f>"9781622737437"</f>
        <v>9781622737437</v>
      </c>
      <c r="C11456" s="10" t="str">
        <f>"9781622738144"</f>
        <v>9781622738144</v>
      </c>
      <c r="D11456" s="10" t="s">
        <v>46007</v>
      </c>
      <c r="E11456" s="10" t="s">
        <v>46008</v>
      </c>
      <c r="F11456" s="10" t="s">
        <v>49507</v>
      </c>
      <c r="G11456" s="10" t="s">
        <v>6317</v>
      </c>
      <c r="H11456" s="11">
        <v>43845</v>
      </c>
      <c r="I11456" s="10">
        <v>2020</v>
      </c>
      <c r="J11456" s="10" t="s">
        <v>46007</v>
      </c>
      <c r="K11456" s="10">
        <v>321</v>
      </c>
      <c r="L11456" s="10" t="s">
        <v>49508</v>
      </c>
      <c r="M11456" s="10">
        <v>1</v>
      </c>
      <c r="N11456" s="10" t="s">
        <v>49509</v>
      </c>
      <c r="O11456" s="10"/>
      <c r="P11456" s="10" t="s">
        <v>49510</v>
      </c>
      <c r="Q11456" s="10">
        <v>378.19826941999997</v>
      </c>
      <c r="R11456" s="10" t="s">
        <v>49511</v>
      </c>
      <c r="S11456" s="10" t="s">
        <v>53</v>
      </c>
      <c r="T11456" s="10" t="s">
        <v>54</v>
      </c>
    </row>
    <row r="11457" spans="1:20" ht="14.5" x14ac:dyDescent="0.35">
      <c r="A11457" s="10" t="s">
        <v>49512</v>
      </c>
      <c r="B11457" s="10" t="str">
        <f>"9781608684182"</f>
        <v>9781608684182</v>
      </c>
      <c r="C11457" s="10" t="str">
        <f>"9781608684199"</f>
        <v>9781608684199</v>
      </c>
      <c r="D11457" s="10" t="s">
        <v>49513</v>
      </c>
      <c r="E11457" s="10" t="s">
        <v>49513</v>
      </c>
      <c r="F11457" s="10" t="s">
        <v>49514</v>
      </c>
      <c r="G11457" s="10" t="s">
        <v>6317</v>
      </c>
      <c r="H11457" s="11">
        <v>42493</v>
      </c>
      <c r="I11457" s="10">
        <v>2016</v>
      </c>
      <c r="J11457" s="10" t="s">
        <v>49513</v>
      </c>
      <c r="K11457" s="10">
        <v>213</v>
      </c>
      <c r="L11457" s="10" t="s">
        <v>49515</v>
      </c>
      <c r="M11457" s="10">
        <v>1</v>
      </c>
      <c r="N11457" s="10"/>
      <c r="O11457" s="10"/>
      <c r="P11457" s="10" t="s">
        <v>49516</v>
      </c>
      <c r="Q11457" s="10">
        <v>371.10092200000003</v>
      </c>
      <c r="R11457" s="10" t="s">
        <v>49517</v>
      </c>
      <c r="S11457" s="10" t="s">
        <v>53</v>
      </c>
      <c r="T11457" s="10" t="s">
        <v>54</v>
      </c>
    </row>
    <row r="11458" spans="1:20" ht="14.5" x14ac:dyDescent="0.35">
      <c r="A11458" s="10" t="s">
        <v>49518</v>
      </c>
      <c r="B11458" s="10" t="str">
        <f>"9781416627517"</f>
        <v>9781416627517</v>
      </c>
      <c r="C11458" s="10" t="str">
        <f>"9781416627531"</f>
        <v>9781416627531</v>
      </c>
      <c r="D11458" s="10" t="s">
        <v>10014</v>
      </c>
      <c r="E11458" s="10" t="s">
        <v>10015</v>
      </c>
      <c r="F11458" s="10" t="s">
        <v>201</v>
      </c>
      <c r="G11458" s="10" t="s">
        <v>6317</v>
      </c>
      <c r="H11458" s="11">
        <v>43670</v>
      </c>
      <c r="I11458" s="10">
        <v>2019</v>
      </c>
      <c r="J11458" s="10" t="s">
        <v>10015</v>
      </c>
      <c r="K11458" s="10">
        <v>274</v>
      </c>
      <c r="L11458" s="10" t="s">
        <v>49519</v>
      </c>
      <c r="M11458" s="10">
        <v>1</v>
      </c>
      <c r="N11458" s="10"/>
      <c r="O11458" s="10"/>
      <c r="P11458" s="10" t="s">
        <v>49520</v>
      </c>
      <c r="Q11458" s="10">
        <v>370.71100000000001</v>
      </c>
      <c r="R11458" s="10" t="s">
        <v>49521</v>
      </c>
      <c r="S11458" s="10" t="s">
        <v>53</v>
      </c>
      <c r="T11458" s="10" t="s">
        <v>54</v>
      </c>
    </row>
    <row r="11459" spans="1:20" ht="14.5" x14ac:dyDescent="0.35">
      <c r="A11459" s="10" t="s">
        <v>49522</v>
      </c>
      <c r="B11459" s="10" t="str">
        <f>"9781975501235"</f>
        <v>9781975501235</v>
      </c>
      <c r="C11459" s="10" t="str">
        <f>"9781975501242"</f>
        <v>9781975501242</v>
      </c>
      <c r="D11459" s="10" t="s">
        <v>44271</v>
      </c>
      <c r="E11459" s="10" t="s">
        <v>47266</v>
      </c>
      <c r="F11459" s="10" t="s">
        <v>41227</v>
      </c>
      <c r="G11459" s="10" t="s">
        <v>6317</v>
      </c>
      <c r="H11459" s="11">
        <v>43665</v>
      </c>
      <c r="I11459" s="10">
        <v>2019</v>
      </c>
      <c r="J11459" s="10" t="s">
        <v>47266</v>
      </c>
      <c r="K11459" s="10">
        <v>157</v>
      </c>
      <c r="L11459" s="10" t="s">
        <v>49523</v>
      </c>
      <c r="M11459" s="10">
        <v>1</v>
      </c>
      <c r="N11459" s="10" t="s">
        <v>47473</v>
      </c>
      <c r="O11459" s="10">
        <v>2</v>
      </c>
      <c r="P11459" s="10" t="s">
        <v>49524</v>
      </c>
      <c r="Q11459" s="10" t="s">
        <v>49525</v>
      </c>
      <c r="R11459" s="10" t="s">
        <v>49526</v>
      </c>
      <c r="S11459" s="10" t="s">
        <v>53</v>
      </c>
      <c r="T11459" s="10" t="s">
        <v>54</v>
      </c>
    </row>
    <row r="11460" spans="1:20" ht="14.5" x14ac:dyDescent="0.35">
      <c r="A11460" s="10" t="s">
        <v>49527</v>
      </c>
      <c r="B11460" s="10" t="str">
        <f>"9789004398474"</f>
        <v>9789004398474</v>
      </c>
      <c r="C11460" s="10" t="str">
        <f>"9789004398481"</f>
        <v>9789004398481</v>
      </c>
      <c r="D11460" s="10" t="s">
        <v>8564</v>
      </c>
      <c r="E11460" s="10" t="s">
        <v>8565</v>
      </c>
      <c r="F11460" s="10" t="s">
        <v>1420</v>
      </c>
      <c r="G11460" s="10" t="s">
        <v>6317</v>
      </c>
      <c r="H11460" s="11">
        <v>43594</v>
      </c>
      <c r="I11460" s="10">
        <v>2019</v>
      </c>
      <c r="J11460" s="10" t="s">
        <v>33259</v>
      </c>
      <c r="K11460" s="10">
        <v>251</v>
      </c>
      <c r="L11460" s="10" t="s">
        <v>49528</v>
      </c>
      <c r="M11460" s="10">
        <v>1</v>
      </c>
      <c r="N11460" s="10" t="s">
        <v>33369</v>
      </c>
      <c r="O11460" s="10">
        <v>11</v>
      </c>
      <c r="P11460" s="10" t="s">
        <v>49529</v>
      </c>
      <c r="Q11460" s="10">
        <v>378.101</v>
      </c>
      <c r="R11460" s="10" t="s">
        <v>49530</v>
      </c>
      <c r="S11460" s="10" t="s">
        <v>53</v>
      </c>
      <c r="T11460" s="10" t="s">
        <v>54</v>
      </c>
    </row>
    <row r="11461" spans="1:20" ht="14.5" x14ac:dyDescent="0.35">
      <c r="A11461" s="10" t="s">
        <v>49531</v>
      </c>
      <c r="B11461" s="10" t="str">
        <f>"9789004407527"</f>
        <v>9789004407527</v>
      </c>
      <c r="C11461" s="10" t="str">
        <f>"9789004407534"</f>
        <v>9789004407534</v>
      </c>
      <c r="D11461" s="10" t="s">
        <v>8564</v>
      </c>
      <c r="E11461" s="10" t="s">
        <v>8565</v>
      </c>
      <c r="F11461" s="10" t="s">
        <v>1420</v>
      </c>
      <c r="G11461" s="10" t="s">
        <v>6317</v>
      </c>
      <c r="H11461" s="11">
        <v>43664</v>
      </c>
      <c r="I11461" s="10">
        <v>2019</v>
      </c>
      <c r="J11461" s="10" t="s">
        <v>33259</v>
      </c>
      <c r="K11461" s="10">
        <v>244</v>
      </c>
      <c r="L11461" s="10" t="s">
        <v>49532</v>
      </c>
      <c r="M11461" s="10">
        <v>1</v>
      </c>
      <c r="N11461" s="10" t="s">
        <v>33455</v>
      </c>
      <c r="O11461" s="10">
        <v>48</v>
      </c>
      <c r="P11461" s="10" t="s">
        <v>49533</v>
      </c>
      <c r="Q11461" s="10">
        <v>370.94896999999997</v>
      </c>
      <c r="R11461" s="10" t="s">
        <v>49534</v>
      </c>
      <c r="S11461" s="10" t="s">
        <v>53</v>
      </c>
      <c r="T11461" s="10" t="s">
        <v>54</v>
      </c>
    </row>
    <row r="11462" spans="1:20" ht="14.5" x14ac:dyDescent="0.35">
      <c r="A11462" s="10" t="s">
        <v>49535</v>
      </c>
      <c r="B11462" s="10" t="str">
        <f>"9789004396180"</f>
        <v>9789004396180</v>
      </c>
      <c r="C11462" s="10" t="str">
        <f>"9789004400467"</f>
        <v>9789004400467</v>
      </c>
      <c r="D11462" s="10" t="s">
        <v>8564</v>
      </c>
      <c r="E11462" s="10" t="s">
        <v>8565</v>
      </c>
      <c r="F11462" s="10" t="s">
        <v>1420</v>
      </c>
      <c r="G11462" s="10" t="s">
        <v>6317</v>
      </c>
      <c r="H11462" s="11">
        <v>43622</v>
      </c>
      <c r="I11462" s="10">
        <v>2019</v>
      </c>
      <c r="J11462" s="10" t="s">
        <v>33259</v>
      </c>
      <c r="K11462" s="10">
        <v>522</v>
      </c>
      <c r="L11462" s="10" t="s">
        <v>42844</v>
      </c>
      <c r="M11462" s="10">
        <v>1</v>
      </c>
      <c r="N11462" s="10" t="s">
        <v>49536</v>
      </c>
      <c r="O11462" s="10">
        <v>1</v>
      </c>
      <c r="P11462" s="10"/>
      <c r="Q11462" s="10">
        <v>378.00099999999998</v>
      </c>
      <c r="R11462" s="10" t="s">
        <v>49537</v>
      </c>
      <c r="S11462" s="10" t="s">
        <v>53</v>
      </c>
      <c r="T11462" s="10" t="s">
        <v>54</v>
      </c>
    </row>
    <row r="11463" spans="1:20" ht="14.5" x14ac:dyDescent="0.35">
      <c r="A11463" s="10" t="s">
        <v>49538</v>
      </c>
      <c r="B11463" s="10" t="str">
        <f>"9789004407961"</f>
        <v>9789004407961</v>
      </c>
      <c r="C11463" s="10" t="str">
        <f>"9789004407985"</f>
        <v>9789004407985</v>
      </c>
      <c r="D11463" s="10" t="s">
        <v>8564</v>
      </c>
      <c r="E11463" s="10" t="s">
        <v>8565</v>
      </c>
      <c r="F11463" s="10" t="s">
        <v>1420</v>
      </c>
      <c r="G11463" s="10" t="s">
        <v>6317</v>
      </c>
      <c r="H11463" s="11">
        <v>43643</v>
      </c>
      <c r="I11463" s="10">
        <v>2019</v>
      </c>
      <c r="J11463" s="10" t="s">
        <v>33259</v>
      </c>
      <c r="K11463" s="10">
        <v>174</v>
      </c>
      <c r="L11463" s="10" t="s">
        <v>49539</v>
      </c>
      <c r="M11463" s="10">
        <v>1</v>
      </c>
      <c r="N11463" s="10" t="s">
        <v>45171</v>
      </c>
      <c r="O11463" s="10">
        <v>11</v>
      </c>
      <c r="P11463" s="10"/>
      <c r="Q11463" s="10"/>
      <c r="R11463" s="10"/>
      <c r="S11463" s="10" t="s">
        <v>53</v>
      </c>
      <c r="T11463" s="10" t="s">
        <v>54</v>
      </c>
    </row>
    <row r="11464" spans="1:20" ht="14.5" x14ac:dyDescent="0.35">
      <c r="A11464" s="10" t="s">
        <v>49540</v>
      </c>
      <c r="B11464" s="10" t="str">
        <f>"9789004399976"</f>
        <v>9789004399976</v>
      </c>
      <c r="C11464" s="10" t="str">
        <f>"9789004399990"</f>
        <v>9789004399990</v>
      </c>
      <c r="D11464" s="10" t="s">
        <v>8564</v>
      </c>
      <c r="E11464" s="10" t="s">
        <v>8565</v>
      </c>
      <c r="F11464" s="10" t="s">
        <v>1420</v>
      </c>
      <c r="G11464" s="10" t="s">
        <v>6317</v>
      </c>
      <c r="H11464" s="11">
        <v>43594</v>
      </c>
      <c r="I11464" s="10">
        <v>2019</v>
      </c>
      <c r="J11464" s="10" t="s">
        <v>33259</v>
      </c>
      <c r="K11464" s="10">
        <v>410</v>
      </c>
      <c r="L11464" s="10" t="s">
        <v>49541</v>
      </c>
      <c r="M11464" s="10">
        <v>1</v>
      </c>
      <c r="N11464" s="10"/>
      <c r="O11464" s="10"/>
      <c r="P11464" s="10"/>
      <c r="Q11464" s="10">
        <v>507.1</v>
      </c>
      <c r="R11464" s="10"/>
      <c r="S11464" s="10" t="s">
        <v>53</v>
      </c>
      <c r="T11464" s="10" t="s">
        <v>21206</v>
      </c>
    </row>
    <row r="11465" spans="1:20" ht="14.5" x14ac:dyDescent="0.35">
      <c r="A11465" s="10" t="s">
        <v>49542</v>
      </c>
      <c r="B11465" s="10" t="str">
        <f>"9789004388703"</f>
        <v>9789004388703</v>
      </c>
      <c r="C11465" s="10" t="str">
        <f>"9789004404588"</f>
        <v>9789004404588</v>
      </c>
      <c r="D11465" s="10" t="s">
        <v>8564</v>
      </c>
      <c r="E11465" s="10" t="s">
        <v>8565</v>
      </c>
      <c r="F11465" s="10" t="s">
        <v>1420</v>
      </c>
      <c r="G11465" s="10" t="s">
        <v>6317</v>
      </c>
      <c r="H11465" s="11">
        <v>43629</v>
      </c>
      <c r="I11465" s="10">
        <v>2019</v>
      </c>
      <c r="J11465" s="10" t="s">
        <v>33259</v>
      </c>
      <c r="K11465" s="10">
        <v>173</v>
      </c>
      <c r="L11465" s="10" t="s">
        <v>49543</v>
      </c>
      <c r="M11465" s="10">
        <v>1</v>
      </c>
      <c r="N11465" s="10" t="s">
        <v>33837</v>
      </c>
      <c r="O11465" s="10">
        <v>8</v>
      </c>
      <c r="P11465" s="10"/>
      <c r="Q11465" s="10"/>
      <c r="R11465" s="10"/>
      <c r="S11465" s="10" t="s">
        <v>53</v>
      </c>
      <c r="T11465" s="10" t="s">
        <v>54</v>
      </c>
    </row>
    <row r="11466" spans="1:20" ht="14.5" x14ac:dyDescent="0.35">
      <c r="A11466" s="10" t="s">
        <v>49544</v>
      </c>
      <c r="B11466" s="10" t="str">
        <f>"9789004390119"</f>
        <v>9789004390119</v>
      </c>
      <c r="C11466" s="10" t="str">
        <f>"9789004390126"</f>
        <v>9789004390126</v>
      </c>
      <c r="D11466" s="10" t="s">
        <v>8564</v>
      </c>
      <c r="E11466" s="10" t="s">
        <v>8565</v>
      </c>
      <c r="F11466" s="10" t="s">
        <v>1420</v>
      </c>
      <c r="G11466" s="10" t="s">
        <v>6317</v>
      </c>
      <c r="H11466" s="11">
        <v>43531</v>
      </c>
      <c r="I11466" s="10">
        <v>2019</v>
      </c>
      <c r="J11466" s="10" t="s">
        <v>33259</v>
      </c>
      <c r="K11466" s="10">
        <v>266</v>
      </c>
      <c r="L11466" s="10" t="s">
        <v>49545</v>
      </c>
      <c r="M11466" s="10">
        <v>1</v>
      </c>
      <c r="N11466" s="10"/>
      <c r="O11466" s="10"/>
      <c r="P11466" s="10" t="s">
        <v>49546</v>
      </c>
      <c r="Q11466" s="10">
        <v>650.0711</v>
      </c>
      <c r="R11466" s="10" t="s">
        <v>49547</v>
      </c>
      <c r="S11466" s="10" t="s">
        <v>53</v>
      </c>
      <c r="T11466" s="10" t="s">
        <v>6660</v>
      </c>
    </row>
    <row r="11467" spans="1:20" ht="14.5" x14ac:dyDescent="0.35">
      <c r="A11467" s="10" t="s">
        <v>49548</v>
      </c>
      <c r="B11467" s="10" t="str">
        <f>"9789004410442"</f>
        <v>9789004410442</v>
      </c>
      <c r="C11467" s="10" t="str">
        <f>"9789004410459"</f>
        <v>9789004410459</v>
      </c>
      <c r="D11467" s="10" t="s">
        <v>8564</v>
      </c>
      <c r="E11467" s="10" t="s">
        <v>8565</v>
      </c>
      <c r="F11467" s="10" t="s">
        <v>1420</v>
      </c>
      <c r="G11467" s="10" t="s">
        <v>6317</v>
      </c>
      <c r="H11467" s="11">
        <v>43657</v>
      </c>
      <c r="I11467" s="10">
        <v>2019</v>
      </c>
      <c r="J11467" s="10" t="s">
        <v>33259</v>
      </c>
      <c r="K11467" s="10">
        <v>314</v>
      </c>
      <c r="L11467" s="10" t="s">
        <v>33532</v>
      </c>
      <c r="M11467" s="10">
        <v>1</v>
      </c>
      <c r="N11467" s="10" t="s">
        <v>33533</v>
      </c>
      <c r="O11467" s="10">
        <v>8</v>
      </c>
      <c r="P11467" s="10"/>
      <c r="Q11467" s="10"/>
      <c r="R11467" s="10"/>
      <c r="S11467" s="10" t="s">
        <v>53</v>
      </c>
      <c r="T11467" s="10" t="s">
        <v>54</v>
      </c>
    </row>
    <row r="11468" spans="1:20" ht="14.5" x14ac:dyDescent="0.35">
      <c r="A11468" s="10" t="s">
        <v>49549</v>
      </c>
      <c r="B11468" s="10" t="str">
        <f>"9789004401860"</f>
        <v>9789004401860</v>
      </c>
      <c r="C11468" s="10" t="str">
        <f>"9789004401891"</f>
        <v>9789004401891</v>
      </c>
      <c r="D11468" s="10" t="s">
        <v>8564</v>
      </c>
      <c r="E11468" s="10" t="s">
        <v>8565</v>
      </c>
      <c r="F11468" s="10" t="s">
        <v>1420</v>
      </c>
      <c r="G11468" s="10" t="s">
        <v>6317</v>
      </c>
      <c r="H11468" s="11">
        <v>43622</v>
      </c>
      <c r="I11468" s="10">
        <v>2019</v>
      </c>
      <c r="J11468" s="10" t="s">
        <v>33259</v>
      </c>
      <c r="K11468" s="10">
        <v>312</v>
      </c>
      <c r="L11468" s="10" t="s">
        <v>49550</v>
      </c>
      <c r="M11468" s="10">
        <v>1</v>
      </c>
      <c r="N11468" s="10" t="s">
        <v>40825</v>
      </c>
      <c r="O11468" s="10">
        <v>5</v>
      </c>
      <c r="P11468" s="10" t="s">
        <v>49551</v>
      </c>
      <c r="Q11468" s="10"/>
      <c r="R11468" s="10" t="s">
        <v>49552</v>
      </c>
      <c r="S11468" s="10" t="s">
        <v>53</v>
      </c>
      <c r="T11468" s="10" t="s">
        <v>54</v>
      </c>
    </row>
    <row r="11469" spans="1:20" ht="14.5" x14ac:dyDescent="0.35">
      <c r="A11469" s="10" t="s">
        <v>49553</v>
      </c>
      <c r="B11469" s="10" t="str">
        <f>"9789004410480"</f>
        <v>9789004410480</v>
      </c>
      <c r="C11469" s="10" t="str">
        <f>"9789004410497"</f>
        <v>9789004410497</v>
      </c>
      <c r="D11469" s="10" t="s">
        <v>8564</v>
      </c>
      <c r="E11469" s="10" t="s">
        <v>8565</v>
      </c>
      <c r="F11469" s="10" t="s">
        <v>1420</v>
      </c>
      <c r="G11469" s="10" t="s">
        <v>6317</v>
      </c>
      <c r="H11469" s="11">
        <v>43629</v>
      </c>
      <c r="I11469" s="10">
        <v>2019</v>
      </c>
      <c r="J11469" s="10" t="s">
        <v>33259</v>
      </c>
      <c r="K11469" s="10">
        <v>322</v>
      </c>
      <c r="L11469" s="10" t="s">
        <v>49554</v>
      </c>
      <c r="M11469" s="10">
        <v>1</v>
      </c>
      <c r="N11469" s="10" t="s">
        <v>49077</v>
      </c>
      <c r="O11469" s="10">
        <v>3</v>
      </c>
      <c r="P11469" s="10" t="s">
        <v>49555</v>
      </c>
      <c r="Q11469" s="10"/>
      <c r="R11469" s="10"/>
      <c r="S11469" s="10" t="s">
        <v>53</v>
      </c>
      <c r="T11469" s="10" t="s">
        <v>6534</v>
      </c>
    </row>
    <row r="11470" spans="1:20" ht="14.5" x14ac:dyDescent="0.35">
      <c r="A11470" s="10" t="s">
        <v>49556</v>
      </c>
      <c r="B11470" s="10" t="str">
        <f>"9789004401990"</f>
        <v>9789004401990</v>
      </c>
      <c r="C11470" s="10" t="str">
        <f>"9789004402010"</f>
        <v>9789004402010</v>
      </c>
      <c r="D11470" s="10" t="s">
        <v>8564</v>
      </c>
      <c r="E11470" s="10" t="s">
        <v>8565</v>
      </c>
      <c r="F11470" s="10" t="s">
        <v>1420</v>
      </c>
      <c r="G11470" s="10" t="s">
        <v>6317</v>
      </c>
      <c r="H11470" s="11">
        <v>43657</v>
      </c>
      <c r="I11470" s="10">
        <v>2019</v>
      </c>
      <c r="J11470" s="10" t="s">
        <v>33259</v>
      </c>
      <c r="K11470" s="10">
        <v>461</v>
      </c>
      <c r="L11470" s="10" t="s">
        <v>33755</v>
      </c>
      <c r="M11470" s="10">
        <v>1</v>
      </c>
      <c r="N11470" s="10" t="s">
        <v>45171</v>
      </c>
      <c r="O11470" s="10">
        <v>10</v>
      </c>
      <c r="P11470" s="10"/>
      <c r="Q11470" s="10"/>
      <c r="R11470" s="10" t="s">
        <v>49557</v>
      </c>
      <c r="S11470" s="10" t="s">
        <v>53</v>
      </c>
      <c r="T11470" s="10" t="s">
        <v>54</v>
      </c>
    </row>
    <row r="11471" spans="1:20" ht="14.5" x14ac:dyDescent="0.35">
      <c r="A11471" s="10" t="s">
        <v>49558</v>
      </c>
      <c r="B11471" s="10" t="str">
        <f>"9789004394162"</f>
        <v>9789004394162</v>
      </c>
      <c r="C11471" s="10" t="str">
        <f>"9789004394179"</f>
        <v>9789004394179</v>
      </c>
      <c r="D11471" s="10" t="s">
        <v>8564</v>
      </c>
      <c r="E11471" s="10" t="s">
        <v>8565</v>
      </c>
      <c r="F11471" s="10" t="s">
        <v>1420</v>
      </c>
      <c r="G11471" s="10" t="s">
        <v>6317</v>
      </c>
      <c r="H11471" s="11">
        <v>43531</v>
      </c>
      <c r="I11471" s="10">
        <v>2019</v>
      </c>
      <c r="J11471" s="10" t="s">
        <v>33259</v>
      </c>
      <c r="K11471" s="10">
        <v>184</v>
      </c>
      <c r="L11471" s="10" t="s">
        <v>49559</v>
      </c>
      <c r="M11471" s="10">
        <v>1</v>
      </c>
      <c r="N11471" s="10" t="s">
        <v>33307</v>
      </c>
      <c r="O11471" s="10">
        <v>41</v>
      </c>
      <c r="P11471" s="10" t="s">
        <v>49560</v>
      </c>
      <c r="Q11471" s="10"/>
      <c r="R11471" s="10" t="s">
        <v>49561</v>
      </c>
      <c r="S11471" s="10" t="s">
        <v>53</v>
      </c>
      <c r="T11471" s="10" t="s">
        <v>6534</v>
      </c>
    </row>
    <row r="11472" spans="1:20" ht="14.5" x14ac:dyDescent="0.35">
      <c r="A11472" s="10" t="s">
        <v>49562</v>
      </c>
      <c r="B11472" s="10" t="str">
        <f>"9789004387232"</f>
        <v>9789004387232</v>
      </c>
      <c r="C11472" s="10" t="str">
        <f>"9789004401365"</f>
        <v>9789004401365</v>
      </c>
      <c r="D11472" s="10" t="s">
        <v>8564</v>
      </c>
      <c r="E11472" s="10" t="s">
        <v>8565</v>
      </c>
      <c r="F11472" s="10" t="s">
        <v>1420</v>
      </c>
      <c r="G11472" s="10" t="s">
        <v>6317</v>
      </c>
      <c r="H11472" s="11">
        <v>43594</v>
      </c>
      <c r="I11472" s="10">
        <v>2019</v>
      </c>
      <c r="J11472" s="10" t="s">
        <v>33259</v>
      </c>
      <c r="K11472" s="10">
        <v>141</v>
      </c>
      <c r="L11472" s="10" t="s">
        <v>49563</v>
      </c>
      <c r="M11472" s="10">
        <v>1</v>
      </c>
      <c r="N11472" s="10" t="s">
        <v>33332</v>
      </c>
      <c r="O11472" s="10">
        <v>19</v>
      </c>
      <c r="P11472" s="10" t="s">
        <v>49564</v>
      </c>
      <c r="Q11472" s="10"/>
      <c r="R11472" s="10" t="s">
        <v>49565</v>
      </c>
      <c r="S11472" s="10" t="s">
        <v>53</v>
      </c>
      <c r="T11472" s="10" t="s">
        <v>54</v>
      </c>
    </row>
    <row r="11473" spans="1:20" ht="14.5" x14ac:dyDescent="0.35">
      <c r="A11473" s="10" t="s">
        <v>49566</v>
      </c>
      <c r="B11473" s="10" t="str">
        <f>"9789004396616"</f>
        <v>9789004396616</v>
      </c>
      <c r="C11473" s="10" t="str">
        <f>"9789004399273"</f>
        <v>9789004399273</v>
      </c>
      <c r="D11473" s="10" t="s">
        <v>8564</v>
      </c>
      <c r="E11473" s="10" t="s">
        <v>8565</v>
      </c>
      <c r="F11473" s="10" t="s">
        <v>1420</v>
      </c>
      <c r="G11473" s="10" t="s">
        <v>6317</v>
      </c>
      <c r="H11473" s="11">
        <v>43594</v>
      </c>
      <c r="I11473" s="10">
        <v>2019</v>
      </c>
      <c r="J11473" s="10" t="s">
        <v>33259</v>
      </c>
      <c r="K11473" s="10">
        <v>297</v>
      </c>
      <c r="L11473" s="10" t="s">
        <v>49567</v>
      </c>
      <c r="M11473" s="10">
        <v>1</v>
      </c>
      <c r="N11473" s="10" t="s">
        <v>33637</v>
      </c>
      <c r="O11473" s="10">
        <v>12</v>
      </c>
      <c r="P11473" s="10"/>
      <c r="Q11473" s="10"/>
      <c r="R11473" s="10" t="s">
        <v>49568</v>
      </c>
      <c r="S11473" s="10" t="s">
        <v>53</v>
      </c>
      <c r="T11473" s="10" t="s">
        <v>54</v>
      </c>
    </row>
    <row r="11474" spans="1:20" ht="14.5" x14ac:dyDescent="0.35">
      <c r="A11474" s="10" t="s">
        <v>49569</v>
      </c>
      <c r="B11474" s="10" t="str">
        <f>"9789004405349"</f>
        <v>9789004405349</v>
      </c>
      <c r="C11474" s="10" t="str">
        <f>"9789004405363"</f>
        <v>9789004405363</v>
      </c>
      <c r="D11474" s="10" t="s">
        <v>8564</v>
      </c>
      <c r="E11474" s="10" t="s">
        <v>8565</v>
      </c>
      <c r="F11474" s="10" t="s">
        <v>1420</v>
      </c>
      <c r="G11474" s="10" t="s">
        <v>6317</v>
      </c>
      <c r="H11474" s="11">
        <v>43622</v>
      </c>
      <c r="I11474" s="10">
        <v>2019</v>
      </c>
      <c r="J11474" s="10" t="s">
        <v>33259</v>
      </c>
      <c r="K11474" s="10">
        <v>344</v>
      </c>
      <c r="L11474" s="10" t="s">
        <v>49570</v>
      </c>
      <c r="M11474" s="10">
        <v>1</v>
      </c>
      <c r="N11474" s="10"/>
      <c r="O11474" s="10"/>
      <c r="P11474" s="10"/>
      <c r="Q11474" s="10"/>
      <c r="R11474" s="10" t="s">
        <v>49571</v>
      </c>
      <c r="S11474" s="10" t="s">
        <v>53</v>
      </c>
      <c r="T11474" s="10" t="s">
        <v>54</v>
      </c>
    </row>
    <row r="11475" spans="1:20" ht="14.5" x14ac:dyDescent="0.35">
      <c r="A11475" s="10" t="s">
        <v>49572</v>
      </c>
      <c r="B11475" s="10" t="str">
        <f>"9789004410206"</f>
        <v>9789004410206</v>
      </c>
      <c r="C11475" s="10" t="str">
        <f>"9789004410213"</f>
        <v>9789004410213</v>
      </c>
      <c r="D11475" s="10" t="s">
        <v>8564</v>
      </c>
      <c r="E11475" s="10" t="s">
        <v>8565</v>
      </c>
      <c r="F11475" s="10" t="s">
        <v>1420</v>
      </c>
      <c r="G11475" s="10" t="s">
        <v>6317</v>
      </c>
      <c r="H11475" s="11">
        <v>43664</v>
      </c>
      <c r="I11475" s="10">
        <v>2019</v>
      </c>
      <c r="J11475" s="10" t="s">
        <v>33259</v>
      </c>
      <c r="K11475" s="10">
        <v>161</v>
      </c>
      <c r="L11475" s="10" t="s">
        <v>49573</v>
      </c>
      <c r="M11475" s="10">
        <v>1</v>
      </c>
      <c r="N11475" s="10"/>
      <c r="O11475" s="10"/>
      <c r="P11475" s="10" t="s">
        <v>49574</v>
      </c>
      <c r="Q11475" s="10">
        <v>370.72</v>
      </c>
      <c r="R11475" s="10" t="s">
        <v>49575</v>
      </c>
      <c r="S11475" s="10" t="s">
        <v>53</v>
      </c>
      <c r="T11475" s="10" t="s">
        <v>54</v>
      </c>
    </row>
    <row r="11476" spans="1:20" ht="14.5" x14ac:dyDescent="0.35">
      <c r="A11476" s="10" t="s">
        <v>49576</v>
      </c>
      <c r="B11476" s="10" t="str">
        <f>"9789004390409"</f>
        <v>9789004390409</v>
      </c>
      <c r="C11476" s="10" t="str">
        <f>"9789004398092"</f>
        <v>9789004398092</v>
      </c>
      <c r="D11476" s="10" t="s">
        <v>8564</v>
      </c>
      <c r="E11476" s="10" t="s">
        <v>8565</v>
      </c>
      <c r="F11476" s="10" t="s">
        <v>1420</v>
      </c>
      <c r="G11476" s="10" t="s">
        <v>6317</v>
      </c>
      <c r="H11476" s="11">
        <v>43643</v>
      </c>
      <c r="I11476" s="10">
        <v>2019</v>
      </c>
      <c r="J11476" s="10" t="s">
        <v>33259</v>
      </c>
      <c r="K11476" s="10">
        <v>219</v>
      </c>
      <c r="L11476" s="10" t="s">
        <v>49577</v>
      </c>
      <c r="M11476" s="10">
        <v>1</v>
      </c>
      <c r="N11476" s="10" t="s">
        <v>44161</v>
      </c>
      <c r="O11476" s="10">
        <v>132</v>
      </c>
      <c r="P11476" s="10"/>
      <c r="Q11476" s="10"/>
      <c r="R11476" s="10" t="s">
        <v>49578</v>
      </c>
      <c r="S11476" s="10" t="s">
        <v>53</v>
      </c>
      <c r="T11476" s="10" t="s">
        <v>54</v>
      </c>
    </row>
    <row r="11477" spans="1:20" ht="14.5" x14ac:dyDescent="0.35">
      <c r="A11477" s="10" t="s">
        <v>49579</v>
      </c>
      <c r="B11477" s="10" t="str">
        <f>"9789004396340"</f>
        <v>9789004396340</v>
      </c>
      <c r="C11477" s="10" t="str">
        <f>"9789004396685"</f>
        <v>9789004396685</v>
      </c>
      <c r="D11477" s="10" t="s">
        <v>8564</v>
      </c>
      <c r="E11477" s="10" t="s">
        <v>8565</v>
      </c>
      <c r="F11477" s="10" t="s">
        <v>1420</v>
      </c>
      <c r="G11477" s="10" t="s">
        <v>6317</v>
      </c>
      <c r="H11477" s="11">
        <v>43643</v>
      </c>
      <c r="I11477" s="10">
        <v>2019</v>
      </c>
      <c r="J11477" s="10" t="s">
        <v>33259</v>
      </c>
      <c r="K11477" s="10">
        <v>459</v>
      </c>
      <c r="L11477" s="10" t="s">
        <v>49580</v>
      </c>
      <c r="M11477" s="10">
        <v>1</v>
      </c>
      <c r="N11477" s="10" t="s">
        <v>49581</v>
      </c>
      <c r="O11477" s="10">
        <v>4</v>
      </c>
      <c r="P11477" s="10"/>
      <c r="Q11477" s="10"/>
      <c r="R11477" s="10" t="s">
        <v>49582</v>
      </c>
      <c r="S11477" s="10" t="s">
        <v>53</v>
      </c>
      <c r="T11477" s="10" t="s">
        <v>54</v>
      </c>
    </row>
    <row r="11478" spans="1:20" ht="14.5" x14ac:dyDescent="0.35">
      <c r="A11478" s="10" t="s">
        <v>49583</v>
      </c>
      <c r="B11478" s="10" t="str">
        <f>"9789004394131"</f>
        <v>9789004394131</v>
      </c>
      <c r="C11478" s="10" t="str">
        <f>"9789004394148"</f>
        <v>9789004394148</v>
      </c>
      <c r="D11478" s="10" t="s">
        <v>8564</v>
      </c>
      <c r="E11478" s="10" t="s">
        <v>8565</v>
      </c>
      <c r="F11478" s="10" t="s">
        <v>1420</v>
      </c>
      <c r="G11478" s="10" t="s">
        <v>6317</v>
      </c>
      <c r="H11478" s="11">
        <v>43614</v>
      </c>
      <c r="I11478" s="10">
        <v>2019</v>
      </c>
      <c r="J11478" s="10" t="s">
        <v>33259</v>
      </c>
      <c r="K11478" s="10">
        <v>424</v>
      </c>
      <c r="L11478" s="10" t="s">
        <v>49584</v>
      </c>
      <c r="M11478" s="10">
        <v>1</v>
      </c>
      <c r="N11478" s="10" t="s">
        <v>49585</v>
      </c>
      <c r="O11478" s="10">
        <v>8</v>
      </c>
      <c r="P11478" s="10" t="s">
        <v>49586</v>
      </c>
      <c r="Q11478" s="10">
        <v>956.94</v>
      </c>
      <c r="R11478" s="10" t="s">
        <v>49587</v>
      </c>
      <c r="S11478" s="10" t="s">
        <v>53</v>
      </c>
      <c r="T11478" s="10" t="s">
        <v>4490</v>
      </c>
    </row>
    <row r="11479" spans="1:20" ht="14.5" x14ac:dyDescent="0.35">
      <c r="A11479" s="10" t="s">
        <v>49588</v>
      </c>
      <c r="B11479" s="10" t="str">
        <f>"9789004396364"</f>
        <v>9789004396364</v>
      </c>
      <c r="C11479" s="10" t="str">
        <f>"9789004401303"</f>
        <v>9789004401303</v>
      </c>
      <c r="D11479" s="10" t="s">
        <v>8564</v>
      </c>
      <c r="E11479" s="10" t="s">
        <v>8565</v>
      </c>
      <c r="F11479" s="10" t="s">
        <v>1420</v>
      </c>
      <c r="G11479" s="10" t="s">
        <v>6317</v>
      </c>
      <c r="H11479" s="11">
        <v>43614</v>
      </c>
      <c r="I11479" s="10">
        <v>2019</v>
      </c>
      <c r="J11479" s="10" t="s">
        <v>33259</v>
      </c>
      <c r="K11479" s="10">
        <v>335</v>
      </c>
      <c r="L11479" s="10" t="s">
        <v>49589</v>
      </c>
      <c r="M11479" s="10">
        <v>1</v>
      </c>
      <c r="N11479" s="10"/>
      <c r="O11479" s="10"/>
      <c r="P11479" s="10"/>
      <c r="Q11479" s="10"/>
      <c r="R11479" s="10" t="s">
        <v>49590</v>
      </c>
      <c r="S11479" s="10" t="s">
        <v>53</v>
      </c>
      <c r="T11479" s="10" t="s">
        <v>54</v>
      </c>
    </row>
    <row r="11480" spans="1:20" ht="14.5" x14ac:dyDescent="0.35">
      <c r="A11480" s="10" t="s">
        <v>49591</v>
      </c>
      <c r="B11480" s="10" t="str">
        <f>"9789004402355"</f>
        <v>9789004402355</v>
      </c>
      <c r="C11480" s="10" t="str">
        <f>"9789004402379"</f>
        <v>9789004402379</v>
      </c>
      <c r="D11480" s="10" t="s">
        <v>8564</v>
      </c>
      <c r="E11480" s="10" t="s">
        <v>8565</v>
      </c>
      <c r="F11480" s="10" t="s">
        <v>1420</v>
      </c>
      <c r="G11480" s="10" t="s">
        <v>6317</v>
      </c>
      <c r="H11480" s="11">
        <v>43566</v>
      </c>
      <c r="I11480" s="10">
        <v>2019</v>
      </c>
      <c r="J11480" s="10" t="s">
        <v>33259</v>
      </c>
      <c r="K11480" s="10">
        <v>310</v>
      </c>
      <c r="L11480" s="10" t="s">
        <v>49592</v>
      </c>
      <c r="M11480" s="10">
        <v>1</v>
      </c>
      <c r="N11480" s="10" t="s">
        <v>44385</v>
      </c>
      <c r="O11480" s="10">
        <v>4</v>
      </c>
      <c r="P11480" s="10"/>
      <c r="Q11480" s="10"/>
      <c r="R11480" s="10"/>
      <c r="S11480" s="10" t="s">
        <v>53</v>
      </c>
      <c r="T11480" s="10" t="s">
        <v>54</v>
      </c>
    </row>
    <row r="11481" spans="1:20" ht="14.5" x14ac:dyDescent="0.35">
      <c r="A11481" s="10" t="s">
        <v>49593</v>
      </c>
      <c r="B11481" s="10" t="str">
        <f>"9781945349805"</f>
        <v>9781945349805</v>
      </c>
      <c r="C11481" s="10" t="str">
        <f>"9781945349812"</f>
        <v>9781945349812</v>
      </c>
      <c r="D11481" s="10" t="s">
        <v>37580</v>
      </c>
      <c r="E11481" s="10" t="s">
        <v>37581</v>
      </c>
      <c r="F11481" s="10" t="s">
        <v>37623</v>
      </c>
      <c r="G11481" s="10" t="s">
        <v>6317</v>
      </c>
      <c r="H11481" s="11">
        <v>43691</v>
      </c>
      <c r="I11481" s="10">
        <v>2020</v>
      </c>
      <c r="J11481" s="10" t="s">
        <v>37581</v>
      </c>
      <c r="K11481" s="10">
        <v>168</v>
      </c>
      <c r="L11481" s="10" t="s">
        <v>49594</v>
      </c>
      <c r="M11481" s="10">
        <v>1</v>
      </c>
      <c r="N11481" s="10" t="s">
        <v>44310</v>
      </c>
      <c r="O11481" s="10"/>
      <c r="P11481" s="10" t="s">
        <v>49595</v>
      </c>
      <c r="Q11481" s="10">
        <v>707.1</v>
      </c>
      <c r="R11481" s="10"/>
      <c r="S11481" s="10" t="s">
        <v>53</v>
      </c>
      <c r="T11481" s="10" t="s">
        <v>6384</v>
      </c>
    </row>
    <row r="11482" spans="1:20" ht="14.5" x14ac:dyDescent="0.35">
      <c r="A11482" s="10" t="s">
        <v>49596</v>
      </c>
      <c r="B11482" s="10" t="str">
        <f>"9781947604810"</f>
        <v>9781947604810</v>
      </c>
      <c r="C11482" s="10" t="str">
        <f>"9781947604827"</f>
        <v>9781947604827</v>
      </c>
      <c r="D11482" s="10" t="s">
        <v>37580</v>
      </c>
      <c r="E11482" s="10" t="s">
        <v>37581</v>
      </c>
      <c r="F11482" s="10" t="s">
        <v>37623</v>
      </c>
      <c r="G11482" s="10" t="s">
        <v>6317</v>
      </c>
      <c r="H11482" s="11">
        <v>43691</v>
      </c>
      <c r="I11482" s="10">
        <v>2020</v>
      </c>
      <c r="J11482" s="10" t="s">
        <v>37581</v>
      </c>
      <c r="K11482" s="10">
        <v>192</v>
      </c>
      <c r="L11482" s="10" t="s">
        <v>49597</v>
      </c>
      <c r="M11482" s="10">
        <v>1</v>
      </c>
      <c r="N11482" s="10"/>
      <c r="O11482" s="10"/>
      <c r="P11482" s="10" t="s">
        <v>49598</v>
      </c>
      <c r="Q11482" s="10"/>
      <c r="R11482" s="10"/>
      <c r="S11482" s="10" t="s">
        <v>53</v>
      </c>
      <c r="T11482" s="10" t="s">
        <v>54</v>
      </c>
    </row>
    <row r="11483" spans="1:20" ht="14.5" x14ac:dyDescent="0.35">
      <c r="A11483" s="10" t="s">
        <v>49599</v>
      </c>
      <c r="B11483" s="10" t="str">
        <f>"9781416628200"</f>
        <v>9781416628200</v>
      </c>
      <c r="C11483" s="10" t="str">
        <f>"9781416628224"</f>
        <v>9781416628224</v>
      </c>
      <c r="D11483" s="10" t="s">
        <v>10014</v>
      </c>
      <c r="E11483" s="10" t="s">
        <v>10015</v>
      </c>
      <c r="F11483" s="10" t="s">
        <v>201</v>
      </c>
      <c r="G11483" s="10" t="s">
        <v>6317</v>
      </c>
      <c r="H11483" s="11">
        <v>43707</v>
      </c>
      <c r="I11483" s="10">
        <v>2019</v>
      </c>
      <c r="J11483" s="10" t="s">
        <v>10015</v>
      </c>
      <c r="K11483" s="10">
        <v>146</v>
      </c>
      <c r="L11483" s="10" t="s">
        <v>49600</v>
      </c>
      <c r="M11483" s="10">
        <v>1</v>
      </c>
      <c r="N11483" s="10"/>
      <c r="O11483" s="10"/>
      <c r="P11483" s="10" t="s">
        <v>49601</v>
      </c>
      <c r="Q11483" s="10">
        <v>371.82996072999998</v>
      </c>
      <c r="R11483" s="10" t="s">
        <v>49602</v>
      </c>
      <c r="S11483" s="10" t="s">
        <v>53</v>
      </c>
      <c r="T11483" s="10" t="s">
        <v>54</v>
      </c>
    </row>
    <row r="11484" spans="1:20" ht="14.5" x14ac:dyDescent="0.35">
      <c r="A11484" s="10" t="s">
        <v>49603</v>
      </c>
      <c r="B11484" s="10" t="str">
        <f>"9788024620213"</f>
        <v>9788024620213</v>
      </c>
      <c r="C11484" s="10" t="str">
        <f>"9788024643700"</f>
        <v>9788024643700</v>
      </c>
      <c r="D11484" s="10" t="s">
        <v>30935</v>
      </c>
      <c r="E11484" s="10" t="s">
        <v>30935</v>
      </c>
      <c r="F11484" s="10" t="s">
        <v>1796</v>
      </c>
      <c r="G11484" s="10" t="s">
        <v>30936</v>
      </c>
      <c r="H11484" s="11">
        <v>40969</v>
      </c>
      <c r="I11484" s="10">
        <v>2019</v>
      </c>
      <c r="J11484" s="10" t="s">
        <v>30935</v>
      </c>
      <c r="K11484" s="10">
        <v>190</v>
      </c>
      <c r="L11484" s="10" t="s">
        <v>49604</v>
      </c>
      <c r="M11484" s="10">
        <v>1</v>
      </c>
      <c r="N11484" s="10"/>
      <c r="O11484" s="10"/>
      <c r="P11484" s="10" t="s">
        <v>49605</v>
      </c>
      <c r="Q11484" s="10">
        <v>370.94850000000002</v>
      </c>
      <c r="R11484" s="10" t="s">
        <v>49606</v>
      </c>
      <c r="S11484" s="10" t="s">
        <v>4212</v>
      </c>
      <c r="T11484" s="10" t="s">
        <v>54</v>
      </c>
    </row>
    <row r="11485" spans="1:20" ht="14.5" x14ac:dyDescent="0.35">
      <c r="A11485" s="10" t="s">
        <v>49607</v>
      </c>
      <c r="B11485" s="10" t="str">
        <f>"9781975500948"</f>
        <v>9781975500948</v>
      </c>
      <c r="C11485" s="10" t="str">
        <f>"9781975500979"</f>
        <v>9781975500979</v>
      </c>
      <c r="D11485" s="10" t="s">
        <v>44271</v>
      </c>
      <c r="E11485" s="10" t="s">
        <v>47266</v>
      </c>
      <c r="F11485" s="10" t="s">
        <v>41227</v>
      </c>
      <c r="G11485" s="10" t="s">
        <v>6317</v>
      </c>
      <c r="H11485" s="11">
        <v>43524</v>
      </c>
      <c r="I11485" s="10">
        <v>2019</v>
      </c>
      <c r="J11485" s="10" t="s">
        <v>47266</v>
      </c>
      <c r="K11485" s="10">
        <v>362</v>
      </c>
      <c r="L11485" s="10" t="s">
        <v>49608</v>
      </c>
      <c r="M11485" s="10">
        <v>1</v>
      </c>
      <c r="N11485" s="10" t="s">
        <v>49609</v>
      </c>
      <c r="O11485" s="10"/>
      <c r="P11485" s="10" t="s">
        <v>49610</v>
      </c>
      <c r="Q11485" s="10">
        <v>378.12</v>
      </c>
      <c r="R11485" s="10" t="s">
        <v>49611</v>
      </c>
      <c r="S11485" s="10" t="s">
        <v>53</v>
      </c>
      <c r="T11485" s="10" t="s">
        <v>54</v>
      </c>
    </row>
    <row r="11486" spans="1:20" ht="14.5" x14ac:dyDescent="0.35">
      <c r="A11486" s="10" t="s">
        <v>49612</v>
      </c>
      <c r="B11486" s="10" t="str">
        <f>"9789004393431"</f>
        <v>9789004393431</v>
      </c>
      <c r="C11486" s="10" t="str">
        <f>"9789004393455"</f>
        <v>9789004393455</v>
      </c>
      <c r="D11486" s="10" t="s">
        <v>8564</v>
      </c>
      <c r="E11486" s="10" t="s">
        <v>8565</v>
      </c>
      <c r="F11486" s="10" t="s">
        <v>1420</v>
      </c>
      <c r="G11486" s="10" t="s">
        <v>6317</v>
      </c>
      <c r="H11486" s="11">
        <v>43454</v>
      </c>
      <c r="I11486" s="10">
        <v>2019</v>
      </c>
      <c r="J11486" s="10" t="s">
        <v>33259</v>
      </c>
      <c r="K11486" s="10">
        <v>109</v>
      </c>
      <c r="L11486" s="10" t="s">
        <v>49567</v>
      </c>
      <c r="M11486" s="10">
        <v>1</v>
      </c>
      <c r="N11486" s="10" t="s">
        <v>33637</v>
      </c>
      <c r="O11486" s="10">
        <v>11</v>
      </c>
      <c r="P11486" s="10"/>
      <c r="Q11486" s="10"/>
      <c r="R11486" s="10" t="s">
        <v>49613</v>
      </c>
      <c r="S11486" s="10" t="s">
        <v>53</v>
      </c>
      <c r="T11486" s="10" t="s">
        <v>54</v>
      </c>
    </row>
    <row r="11487" spans="1:20" ht="14.5" x14ac:dyDescent="0.35">
      <c r="A11487" s="10" t="s">
        <v>49614</v>
      </c>
      <c r="B11487" s="10" t="str">
        <f>"9789004382084"</f>
        <v>9789004382084</v>
      </c>
      <c r="C11487" s="10" t="str">
        <f>"9789004382091"</f>
        <v>9789004382091</v>
      </c>
      <c r="D11487" s="10" t="s">
        <v>8564</v>
      </c>
      <c r="E11487" s="10" t="s">
        <v>8565</v>
      </c>
      <c r="F11487" s="10" t="s">
        <v>1420</v>
      </c>
      <c r="G11487" s="10" t="s">
        <v>6317</v>
      </c>
      <c r="H11487" s="11">
        <v>43314</v>
      </c>
      <c r="I11487" s="10">
        <v>2018</v>
      </c>
      <c r="J11487" s="10" t="s">
        <v>33259</v>
      </c>
      <c r="K11487" s="10">
        <v>304</v>
      </c>
      <c r="L11487" s="10" t="s">
        <v>49615</v>
      </c>
      <c r="M11487" s="10">
        <v>1</v>
      </c>
      <c r="N11487" s="10" t="s">
        <v>33257</v>
      </c>
      <c r="O11487" s="10">
        <v>41</v>
      </c>
      <c r="P11487" s="10" t="s">
        <v>49616</v>
      </c>
      <c r="Q11487" s="10">
        <v>378.07119999999998</v>
      </c>
      <c r="R11487" s="10" t="s">
        <v>49617</v>
      </c>
      <c r="S11487" s="10" t="s">
        <v>53</v>
      </c>
      <c r="T11487" s="10" t="s">
        <v>54</v>
      </c>
    </row>
    <row r="11488" spans="1:20" ht="14.5" x14ac:dyDescent="0.35">
      <c r="A11488" s="10" t="s">
        <v>49618</v>
      </c>
      <c r="B11488" s="10" t="str">
        <f>"9789004380875"</f>
        <v>9789004380875</v>
      </c>
      <c r="C11488" s="10" t="str">
        <f>"9789004380882"</f>
        <v>9789004380882</v>
      </c>
      <c r="D11488" s="10" t="s">
        <v>8564</v>
      </c>
      <c r="E11488" s="10" t="s">
        <v>8565</v>
      </c>
      <c r="F11488" s="10" t="s">
        <v>1420</v>
      </c>
      <c r="G11488" s="10" t="s">
        <v>6317</v>
      </c>
      <c r="H11488" s="11">
        <v>43342</v>
      </c>
      <c r="I11488" s="10">
        <v>2018</v>
      </c>
      <c r="J11488" s="10" t="s">
        <v>8565</v>
      </c>
      <c r="K11488" s="10">
        <v>213</v>
      </c>
      <c r="L11488" s="10" t="s">
        <v>49619</v>
      </c>
      <c r="M11488" s="10">
        <v>1</v>
      </c>
      <c r="N11488" s="10" t="s">
        <v>48589</v>
      </c>
      <c r="O11488" s="10">
        <v>7</v>
      </c>
      <c r="P11488" s="10" t="s">
        <v>49620</v>
      </c>
      <c r="Q11488" s="10"/>
      <c r="R11488" s="10"/>
      <c r="S11488" s="10" t="s">
        <v>53</v>
      </c>
      <c r="T11488" s="10" t="s">
        <v>6616</v>
      </c>
    </row>
    <row r="11489" spans="1:20" ht="14.5" x14ac:dyDescent="0.35">
      <c r="A11489" s="10" t="s">
        <v>49621</v>
      </c>
      <c r="B11489" s="10" t="str">
        <f>"9789004381025"</f>
        <v>9789004381025</v>
      </c>
      <c r="C11489" s="10" t="str">
        <f>"9789004381032"</f>
        <v>9789004381032</v>
      </c>
      <c r="D11489" s="10" t="s">
        <v>8564</v>
      </c>
      <c r="E11489" s="10" t="s">
        <v>8565</v>
      </c>
      <c r="F11489" s="10" t="s">
        <v>1420</v>
      </c>
      <c r="G11489" s="10" t="s">
        <v>6317</v>
      </c>
      <c r="H11489" s="11">
        <v>43307</v>
      </c>
      <c r="I11489" s="10">
        <v>2018</v>
      </c>
      <c r="J11489" s="10" t="s">
        <v>33259</v>
      </c>
      <c r="K11489" s="10">
        <v>200</v>
      </c>
      <c r="L11489" s="10" t="s">
        <v>49622</v>
      </c>
      <c r="M11489" s="10">
        <v>1</v>
      </c>
      <c r="N11489" s="10" t="s">
        <v>44385</v>
      </c>
      <c r="O11489" s="10">
        <v>3</v>
      </c>
      <c r="P11489" s="10" t="s">
        <v>49623</v>
      </c>
      <c r="Q11489" s="10">
        <v>306.43</v>
      </c>
      <c r="R11489" s="10" t="s">
        <v>45982</v>
      </c>
      <c r="S11489" s="10" t="s">
        <v>53</v>
      </c>
      <c r="T11489" s="10" t="s">
        <v>6472</v>
      </c>
    </row>
    <row r="11490" spans="1:20" ht="14.5" x14ac:dyDescent="0.35">
      <c r="A11490" s="10" t="s">
        <v>49624</v>
      </c>
      <c r="B11490" s="10" t="str">
        <f>"9781785923210"</f>
        <v>9781785923210</v>
      </c>
      <c r="C11490" s="10" t="str">
        <f>"9781784506346"</f>
        <v>9781784506346</v>
      </c>
      <c r="D11490" s="10" t="s">
        <v>10516</v>
      </c>
      <c r="E11490" s="10" t="s">
        <v>10516</v>
      </c>
      <c r="F11490" s="10" t="s">
        <v>139</v>
      </c>
      <c r="G11490" s="10" t="s">
        <v>6352</v>
      </c>
      <c r="H11490" s="11">
        <v>43698</v>
      </c>
      <c r="I11490" s="10">
        <v>2019</v>
      </c>
      <c r="J11490" s="10" t="s">
        <v>10516</v>
      </c>
      <c r="K11490" s="10">
        <v>210</v>
      </c>
      <c r="L11490" s="10" t="s">
        <v>49625</v>
      </c>
      <c r="M11490" s="10">
        <v>1</v>
      </c>
      <c r="N11490" s="10"/>
      <c r="O11490" s="10"/>
      <c r="P11490" s="10" t="s">
        <v>49626</v>
      </c>
      <c r="Q11490" s="10">
        <v>371.94</v>
      </c>
      <c r="R11490" s="10" t="s">
        <v>49627</v>
      </c>
      <c r="S11490" s="10" t="s">
        <v>53</v>
      </c>
      <c r="T11490" s="10" t="s">
        <v>54</v>
      </c>
    </row>
    <row r="11491" spans="1:20" ht="14.5" x14ac:dyDescent="0.35">
      <c r="A11491" s="10" t="s">
        <v>49628</v>
      </c>
      <c r="B11491" s="10" t="str">
        <f>"9789004401099"</f>
        <v>9789004401099</v>
      </c>
      <c r="C11491" s="10" t="str">
        <f>"9789004401105"</f>
        <v>9789004401105</v>
      </c>
      <c r="D11491" s="10" t="s">
        <v>8564</v>
      </c>
      <c r="E11491" s="10" t="s">
        <v>8565</v>
      </c>
      <c r="F11491" s="10" t="s">
        <v>1420</v>
      </c>
      <c r="G11491" s="10" t="s">
        <v>6317</v>
      </c>
      <c r="H11491" s="11">
        <v>43636</v>
      </c>
      <c r="I11491" s="10">
        <v>2019</v>
      </c>
      <c r="J11491" s="10" t="s">
        <v>33259</v>
      </c>
      <c r="K11491" s="10">
        <v>191</v>
      </c>
      <c r="L11491" s="10" t="s">
        <v>49629</v>
      </c>
      <c r="M11491" s="10">
        <v>1</v>
      </c>
      <c r="N11491" s="10" t="s">
        <v>33419</v>
      </c>
      <c r="O11491" s="10">
        <v>72</v>
      </c>
      <c r="P11491" s="10"/>
      <c r="Q11491" s="10"/>
      <c r="R11491" s="10" t="s">
        <v>49630</v>
      </c>
      <c r="S11491" s="10" t="s">
        <v>53</v>
      </c>
      <c r="T11491" s="10" t="s">
        <v>54</v>
      </c>
    </row>
    <row r="11492" spans="1:20" ht="14.5" x14ac:dyDescent="0.35">
      <c r="A11492" s="10" t="s">
        <v>49631</v>
      </c>
      <c r="B11492" s="10" t="str">
        <f>"9789004385665"</f>
        <v>9789004385665</v>
      </c>
      <c r="C11492" s="10" t="str">
        <f>"9789004385672"</f>
        <v>9789004385672</v>
      </c>
      <c r="D11492" s="10" t="s">
        <v>8564</v>
      </c>
      <c r="E11492" s="10" t="s">
        <v>8565</v>
      </c>
      <c r="F11492" s="10" t="s">
        <v>1420</v>
      </c>
      <c r="G11492" s="10" t="s">
        <v>6317</v>
      </c>
      <c r="H11492" s="11">
        <v>43678</v>
      </c>
      <c r="I11492" s="10">
        <v>2019</v>
      </c>
      <c r="J11492" s="10" t="s">
        <v>33259</v>
      </c>
      <c r="K11492" s="10">
        <v>137</v>
      </c>
      <c r="L11492" s="10" t="s">
        <v>49632</v>
      </c>
      <c r="M11492" s="10">
        <v>1</v>
      </c>
      <c r="N11492" s="10" t="s">
        <v>44161</v>
      </c>
      <c r="O11492" s="10">
        <v>134</v>
      </c>
      <c r="P11492" s="10"/>
      <c r="Q11492" s="10"/>
      <c r="R11492" s="10" t="s">
        <v>27179</v>
      </c>
      <c r="S11492" s="10" t="s">
        <v>53</v>
      </c>
      <c r="T11492" s="10" t="s">
        <v>54</v>
      </c>
    </row>
    <row r="11493" spans="1:20" ht="14.5" x14ac:dyDescent="0.35">
      <c r="A11493" s="10" t="s">
        <v>49633</v>
      </c>
      <c r="B11493" s="10" t="str">
        <f>"9789004398207"</f>
        <v>9789004398207</v>
      </c>
      <c r="C11493" s="10" t="str">
        <f>"9789004408180"</f>
        <v>9789004408180</v>
      </c>
      <c r="D11493" s="10" t="s">
        <v>8564</v>
      </c>
      <c r="E11493" s="10" t="s">
        <v>8565</v>
      </c>
      <c r="F11493" s="10" t="s">
        <v>1420</v>
      </c>
      <c r="G11493" s="10" t="s">
        <v>6317</v>
      </c>
      <c r="H11493" s="11">
        <v>43678</v>
      </c>
      <c r="I11493" s="10">
        <v>2019</v>
      </c>
      <c r="J11493" s="10" t="s">
        <v>33259</v>
      </c>
      <c r="K11493" s="10">
        <v>232</v>
      </c>
      <c r="L11493" s="10" t="s">
        <v>49634</v>
      </c>
      <c r="M11493" s="10">
        <v>1</v>
      </c>
      <c r="N11493" s="10"/>
      <c r="O11493" s="10"/>
      <c r="P11493" s="10"/>
      <c r="Q11493" s="10"/>
      <c r="R11493" s="10" t="s">
        <v>49635</v>
      </c>
      <c r="S11493" s="10" t="s">
        <v>53</v>
      </c>
      <c r="T11493" s="10" t="s">
        <v>54</v>
      </c>
    </row>
    <row r="11494" spans="1:20" ht="14.5" x14ac:dyDescent="0.35">
      <c r="A11494" s="10" t="s">
        <v>49636</v>
      </c>
      <c r="B11494" s="10" t="str">
        <f>"9789004405318"</f>
        <v>9789004405318</v>
      </c>
      <c r="C11494" s="10" t="str">
        <f>"9789004405325"</f>
        <v>9789004405325</v>
      </c>
      <c r="D11494" s="10" t="s">
        <v>8564</v>
      </c>
      <c r="E11494" s="10" t="s">
        <v>8565</v>
      </c>
      <c r="F11494" s="10" t="s">
        <v>1420</v>
      </c>
      <c r="G11494" s="10" t="s">
        <v>6317</v>
      </c>
      <c r="H11494" s="11">
        <v>43692</v>
      </c>
      <c r="I11494" s="10">
        <v>2019</v>
      </c>
      <c r="J11494" s="10" t="s">
        <v>33259</v>
      </c>
      <c r="K11494" s="10">
        <v>367</v>
      </c>
      <c r="L11494" s="10" t="s">
        <v>49637</v>
      </c>
      <c r="M11494" s="10">
        <v>1</v>
      </c>
      <c r="N11494" s="10"/>
      <c r="O11494" s="10"/>
      <c r="P11494" s="10" t="s">
        <v>49638</v>
      </c>
      <c r="Q11494" s="10">
        <v>370.1</v>
      </c>
      <c r="R11494" s="10" t="s">
        <v>49639</v>
      </c>
      <c r="S11494" s="10" t="s">
        <v>53</v>
      </c>
      <c r="T11494" s="10" t="s">
        <v>54</v>
      </c>
    </row>
    <row r="11495" spans="1:20" ht="14.5" x14ac:dyDescent="0.35">
      <c r="A11495" s="10" t="s">
        <v>49640</v>
      </c>
      <c r="B11495" s="10" t="str">
        <f>"9789004410978"</f>
        <v>9789004410978</v>
      </c>
      <c r="C11495" s="10" t="str">
        <f>"9789004410985"</f>
        <v>9789004410985</v>
      </c>
      <c r="D11495" s="10" t="s">
        <v>8564</v>
      </c>
      <c r="E11495" s="10" t="s">
        <v>8565</v>
      </c>
      <c r="F11495" s="10" t="s">
        <v>1420</v>
      </c>
      <c r="G11495" s="10" t="s">
        <v>6317</v>
      </c>
      <c r="H11495" s="11">
        <v>43692</v>
      </c>
      <c r="I11495" s="10">
        <v>2019</v>
      </c>
      <c r="J11495" s="10" t="s">
        <v>33259</v>
      </c>
      <c r="K11495" s="10">
        <v>275</v>
      </c>
      <c r="L11495" s="10" t="s">
        <v>49641</v>
      </c>
      <c r="M11495" s="10">
        <v>1</v>
      </c>
      <c r="N11495" s="10" t="s">
        <v>33404</v>
      </c>
      <c r="O11495" s="10">
        <v>17</v>
      </c>
      <c r="P11495" s="10"/>
      <c r="Q11495" s="10"/>
      <c r="R11495" s="10"/>
      <c r="S11495" s="10" t="s">
        <v>53</v>
      </c>
      <c r="T11495" s="10" t="s">
        <v>54</v>
      </c>
    </row>
    <row r="11496" spans="1:20" ht="14.5" x14ac:dyDescent="0.35">
      <c r="A11496" s="10" t="s">
        <v>49642</v>
      </c>
      <c r="B11496" s="10" t="str">
        <f>"9781785924194"</f>
        <v>9781785924194</v>
      </c>
      <c r="C11496" s="10" t="str">
        <f>"9781784507855"</f>
        <v>9781784507855</v>
      </c>
      <c r="D11496" s="10" t="s">
        <v>10516</v>
      </c>
      <c r="E11496" s="10" t="s">
        <v>10516</v>
      </c>
      <c r="F11496" s="10" t="s">
        <v>139</v>
      </c>
      <c r="G11496" s="10" t="s">
        <v>6352</v>
      </c>
      <c r="H11496" s="11">
        <v>43759</v>
      </c>
      <c r="I11496" s="10">
        <v>2019</v>
      </c>
      <c r="J11496" s="10" t="s">
        <v>10516</v>
      </c>
      <c r="K11496" s="10">
        <v>234</v>
      </c>
      <c r="L11496" s="10" t="s">
        <v>49643</v>
      </c>
      <c r="M11496" s="10">
        <v>1</v>
      </c>
      <c r="N11496" s="10"/>
      <c r="O11496" s="10"/>
      <c r="P11496" s="10"/>
      <c r="Q11496" s="10">
        <v>371.580941</v>
      </c>
      <c r="R11496" s="10"/>
      <c r="S11496" s="10" t="s">
        <v>53</v>
      </c>
      <c r="T11496" s="10" t="s">
        <v>54</v>
      </c>
    </row>
    <row r="11497" spans="1:20" ht="14.5" x14ac:dyDescent="0.35">
      <c r="A11497" s="10" t="s">
        <v>49644</v>
      </c>
      <c r="B11497" s="10" t="str">
        <f>"9781785928192"</f>
        <v>9781785928192</v>
      </c>
      <c r="C11497" s="10" t="str">
        <f>"9781784509149"</f>
        <v>9781784509149</v>
      </c>
      <c r="D11497" s="10" t="s">
        <v>10516</v>
      </c>
      <c r="E11497" s="10" t="s">
        <v>10516</v>
      </c>
      <c r="F11497" s="10" t="s">
        <v>139</v>
      </c>
      <c r="G11497" s="10" t="s">
        <v>6352</v>
      </c>
      <c r="H11497" s="11">
        <v>43759</v>
      </c>
      <c r="I11497" s="10">
        <v>2019</v>
      </c>
      <c r="J11497" s="10" t="s">
        <v>10516</v>
      </c>
      <c r="K11497" s="10">
        <v>226</v>
      </c>
      <c r="L11497" s="10" t="s">
        <v>49645</v>
      </c>
      <c r="M11497" s="10">
        <v>1</v>
      </c>
      <c r="N11497" s="10"/>
      <c r="O11497" s="10"/>
      <c r="P11497" s="10"/>
      <c r="Q11497" s="10">
        <v>372.21</v>
      </c>
      <c r="R11497" s="10"/>
      <c r="S11497" s="10" t="s">
        <v>53</v>
      </c>
      <c r="T11497" s="10" t="s">
        <v>54</v>
      </c>
    </row>
    <row r="11498" spans="1:20" ht="14.5" x14ac:dyDescent="0.35">
      <c r="A11498" s="10" t="s">
        <v>49646</v>
      </c>
      <c r="B11498" s="10" t="str">
        <f>"9781787433922"</f>
        <v>9781787433922</v>
      </c>
      <c r="C11498" s="10" t="str">
        <f>"9781787433915"</f>
        <v>9781787433915</v>
      </c>
      <c r="D11498" s="10" t="s">
        <v>8699</v>
      </c>
      <c r="E11498" s="10" t="s">
        <v>8699</v>
      </c>
      <c r="F11498" s="10" t="s">
        <v>559</v>
      </c>
      <c r="G11498" s="10" t="s">
        <v>6352</v>
      </c>
      <c r="H11498" s="11">
        <v>43703</v>
      </c>
      <c r="I11498" s="10">
        <v>2019</v>
      </c>
      <c r="J11498" s="10" t="s">
        <v>8699</v>
      </c>
      <c r="K11498" s="10">
        <v>306</v>
      </c>
      <c r="L11498" s="10" t="s">
        <v>49647</v>
      </c>
      <c r="M11498" s="10">
        <v>1</v>
      </c>
      <c r="N11498" s="10" t="s">
        <v>14534</v>
      </c>
      <c r="O11498" s="10">
        <v>36</v>
      </c>
      <c r="P11498" s="10" t="s">
        <v>28438</v>
      </c>
      <c r="Q11498" s="10">
        <v>370.7</v>
      </c>
      <c r="R11498" s="10" t="s">
        <v>22595</v>
      </c>
      <c r="S11498" s="10" t="s">
        <v>53</v>
      </c>
      <c r="T11498" s="10" t="s">
        <v>54</v>
      </c>
    </row>
    <row r="11499" spans="1:20" ht="14.5" x14ac:dyDescent="0.35">
      <c r="A11499" s="10" t="s">
        <v>49648</v>
      </c>
      <c r="B11499" s="10" t="str">
        <f>"9781416627487"</f>
        <v>9781416627487</v>
      </c>
      <c r="C11499" s="10" t="str">
        <f>"9781416628422"</f>
        <v>9781416628422</v>
      </c>
      <c r="D11499" s="10" t="s">
        <v>10014</v>
      </c>
      <c r="E11499" s="10" t="s">
        <v>10015</v>
      </c>
      <c r="F11499" s="10" t="s">
        <v>201</v>
      </c>
      <c r="G11499" s="10" t="s">
        <v>6317</v>
      </c>
      <c r="H11499" s="11">
        <v>43682</v>
      </c>
      <c r="I11499" s="10">
        <v>2019</v>
      </c>
      <c r="J11499" s="10" t="s">
        <v>10015</v>
      </c>
      <c r="K11499" s="10">
        <v>285</v>
      </c>
      <c r="L11499" s="10" t="s">
        <v>49649</v>
      </c>
      <c r="M11499" s="10">
        <v>1</v>
      </c>
      <c r="N11499" s="10"/>
      <c r="O11499" s="10"/>
      <c r="P11499" s="10" t="s">
        <v>49650</v>
      </c>
      <c r="Q11499" s="10">
        <v>372.6</v>
      </c>
      <c r="R11499" s="10" t="s">
        <v>49651</v>
      </c>
      <c r="S11499" s="10" t="s">
        <v>53</v>
      </c>
      <c r="T11499" s="10" t="s">
        <v>54</v>
      </c>
    </row>
    <row r="11500" spans="1:20" ht="14.5" x14ac:dyDescent="0.35">
      <c r="A11500" s="10" t="s">
        <v>49652</v>
      </c>
      <c r="B11500" s="10" t="str">
        <f>"9783832536619"</f>
        <v>9783832536619</v>
      </c>
      <c r="C11500" s="10" t="str">
        <f>"9783832591748"</f>
        <v>9783832591748</v>
      </c>
      <c r="D11500" s="10" t="s">
        <v>46455</v>
      </c>
      <c r="E11500" s="10" t="s">
        <v>46455</v>
      </c>
      <c r="F11500" s="10" t="s">
        <v>2925</v>
      </c>
      <c r="G11500" s="10" t="s">
        <v>9998</v>
      </c>
      <c r="H11500" s="11">
        <v>41711</v>
      </c>
      <c r="I11500" s="10">
        <v>2014</v>
      </c>
      <c r="J11500" s="10" t="s">
        <v>46455</v>
      </c>
      <c r="K11500" s="10">
        <v>288</v>
      </c>
      <c r="L11500" s="10" t="s">
        <v>49653</v>
      </c>
      <c r="M11500" s="10">
        <v>1</v>
      </c>
      <c r="N11500" s="10"/>
      <c r="O11500" s="10"/>
      <c r="P11500" s="10" t="s">
        <v>49654</v>
      </c>
      <c r="Q11500" s="10">
        <v>401.9</v>
      </c>
      <c r="R11500" s="10" t="s">
        <v>49655</v>
      </c>
      <c r="S11500" s="10" t="s">
        <v>1519</v>
      </c>
      <c r="T11500" s="10" t="s">
        <v>6616</v>
      </c>
    </row>
    <row r="11501" spans="1:20" ht="14.5" x14ac:dyDescent="0.35">
      <c r="A11501" s="10" t="s">
        <v>49656</v>
      </c>
      <c r="B11501" s="10" t="str">
        <f>"9783832535957"</f>
        <v>9783832535957</v>
      </c>
      <c r="C11501" s="10" t="str">
        <f>"9783832595906"</f>
        <v>9783832595906</v>
      </c>
      <c r="D11501" s="10" t="s">
        <v>46455</v>
      </c>
      <c r="E11501" s="10" t="s">
        <v>46455</v>
      </c>
      <c r="F11501" s="10" t="s">
        <v>2925</v>
      </c>
      <c r="G11501" s="10" t="s">
        <v>9998</v>
      </c>
      <c r="H11501" s="11">
        <v>41698</v>
      </c>
      <c r="I11501" s="10">
        <v>2014</v>
      </c>
      <c r="J11501" s="10" t="s">
        <v>46455</v>
      </c>
      <c r="K11501" s="10">
        <v>222</v>
      </c>
      <c r="L11501" s="10" t="s">
        <v>49657</v>
      </c>
      <c r="M11501" s="10">
        <v>1</v>
      </c>
      <c r="N11501" s="10" t="s">
        <v>49658</v>
      </c>
      <c r="O11501" s="10">
        <v>8</v>
      </c>
      <c r="P11501" s="10" t="s">
        <v>49659</v>
      </c>
      <c r="Q11501" s="10">
        <v>784.96</v>
      </c>
      <c r="R11501" s="10" t="s">
        <v>49660</v>
      </c>
      <c r="S11501" s="10" t="s">
        <v>1519</v>
      </c>
      <c r="T11501" s="10" t="s">
        <v>6384</v>
      </c>
    </row>
    <row r="11502" spans="1:20" ht="14.5" x14ac:dyDescent="0.35">
      <c r="A11502" s="10" t="s">
        <v>49661</v>
      </c>
      <c r="B11502" s="10" t="str">
        <f>"9781947604391"</f>
        <v>9781947604391</v>
      </c>
      <c r="C11502" s="10" t="str">
        <f>"9781947604407"</f>
        <v>9781947604407</v>
      </c>
      <c r="D11502" s="10" t="s">
        <v>37580</v>
      </c>
      <c r="E11502" s="10" t="s">
        <v>37581</v>
      </c>
      <c r="F11502" s="10" t="s">
        <v>37623</v>
      </c>
      <c r="G11502" s="10" t="s">
        <v>6317</v>
      </c>
      <c r="H11502" s="11">
        <v>43707</v>
      </c>
      <c r="I11502" s="10">
        <v>2020</v>
      </c>
      <c r="J11502" s="10" t="s">
        <v>37581</v>
      </c>
      <c r="K11502" s="10">
        <v>144</v>
      </c>
      <c r="L11502" s="10" t="s">
        <v>30637</v>
      </c>
      <c r="M11502" s="10">
        <v>1</v>
      </c>
      <c r="N11502" s="10"/>
      <c r="O11502" s="10"/>
      <c r="P11502" s="10" t="s">
        <v>49662</v>
      </c>
      <c r="Q11502" s="10"/>
      <c r="R11502" s="10" t="s">
        <v>49663</v>
      </c>
      <c r="S11502" s="10" t="s">
        <v>53</v>
      </c>
      <c r="T11502" s="10" t="s">
        <v>54</v>
      </c>
    </row>
    <row r="11503" spans="1:20" ht="14.5" x14ac:dyDescent="0.35">
      <c r="A11503" s="10" t="s">
        <v>49664</v>
      </c>
      <c r="B11503" s="10" t="str">
        <f>"9781557538062"</f>
        <v>9781557538062</v>
      </c>
      <c r="C11503" s="10" t="str">
        <f>"9781612495910"</f>
        <v>9781612495910</v>
      </c>
      <c r="D11503" s="10" t="s">
        <v>9533</v>
      </c>
      <c r="E11503" s="10" t="s">
        <v>4024</v>
      </c>
      <c r="F11503" s="10" t="s">
        <v>31319</v>
      </c>
      <c r="G11503" s="10" t="s">
        <v>6317</v>
      </c>
      <c r="H11503" s="11">
        <v>43692</v>
      </c>
      <c r="I11503" s="10">
        <v>2019</v>
      </c>
      <c r="J11503" s="10" t="s">
        <v>4024</v>
      </c>
      <c r="K11503" s="10">
        <v>152</v>
      </c>
      <c r="L11503" s="10" t="s">
        <v>49665</v>
      </c>
      <c r="M11503" s="10">
        <v>1</v>
      </c>
      <c r="N11503" s="10"/>
      <c r="O11503" s="10"/>
      <c r="P11503" s="10" t="s">
        <v>49666</v>
      </c>
      <c r="Q11503" s="10">
        <v>370.1</v>
      </c>
      <c r="R11503" s="10" t="s">
        <v>49667</v>
      </c>
      <c r="S11503" s="10" t="s">
        <v>53</v>
      </c>
      <c r="T11503" s="10" t="s">
        <v>54</v>
      </c>
    </row>
    <row r="11504" spans="1:20" ht="14.5" x14ac:dyDescent="0.35">
      <c r="A11504" s="10" t="s">
        <v>49668</v>
      </c>
      <c r="B11504" s="10" t="str">
        <f>"9781416627715"</f>
        <v>9781416627715</v>
      </c>
      <c r="C11504" s="10" t="str">
        <f>"9781416627739"</f>
        <v>9781416627739</v>
      </c>
      <c r="D11504" s="10" t="s">
        <v>10014</v>
      </c>
      <c r="E11504" s="10" t="s">
        <v>10015</v>
      </c>
      <c r="F11504" s="10" t="s">
        <v>201</v>
      </c>
      <c r="G11504" s="10" t="s">
        <v>6317</v>
      </c>
      <c r="H11504" s="11">
        <v>43691</v>
      </c>
      <c r="I11504" s="10">
        <v>2019</v>
      </c>
      <c r="J11504" s="10" t="s">
        <v>10015</v>
      </c>
      <c r="K11504" s="10">
        <v>141</v>
      </c>
      <c r="L11504" s="10" t="s">
        <v>49669</v>
      </c>
      <c r="M11504" s="10">
        <v>1</v>
      </c>
      <c r="N11504" s="10"/>
      <c r="O11504" s="10"/>
      <c r="P11504" s="10" t="s">
        <v>49670</v>
      </c>
      <c r="Q11504" s="10">
        <v>371.20119999999997</v>
      </c>
      <c r="R11504" s="10" t="s">
        <v>49671</v>
      </c>
      <c r="S11504" s="10" t="s">
        <v>53</v>
      </c>
      <c r="T11504" s="10" t="s">
        <v>54</v>
      </c>
    </row>
    <row r="11505" spans="1:20" ht="14.5" x14ac:dyDescent="0.35">
      <c r="A11505" s="10" t="s">
        <v>49672</v>
      </c>
      <c r="B11505" s="10" t="str">
        <f>"9781416627906"</f>
        <v>9781416627906</v>
      </c>
      <c r="C11505" s="10" t="str">
        <f>"9781416627920"</f>
        <v>9781416627920</v>
      </c>
      <c r="D11505" s="10" t="s">
        <v>10014</v>
      </c>
      <c r="E11505" s="10" t="s">
        <v>10015</v>
      </c>
      <c r="F11505" s="10" t="s">
        <v>201</v>
      </c>
      <c r="G11505" s="10" t="s">
        <v>6317</v>
      </c>
      <c r="H11505" s="11">
        <v>43697</v>
      </c>
      <c r="I11505" s="10">
        <v>2019</v>
      </c>
      <c r="J11505" s="10" t="s">
        <v>10015</v>
      </c>
      <c r="K11505" s="10">
        <v>128</v>
      </c>
      <c r="L11505" s="10" t="s">
        <v>49673</v>
      </c>
      <c r="M11505" s="10">
        <v>1</v>
      </c>
      <c r="N11505" s="10"/>
      <c r="O11505" s="10"/>
      <c r="P11505" s="10" t="s">
        <v>49674</v>
      </c>
      <c r="Q11505" s="10">
        <v>371.2</v>
      </c>
      <c r="R11505" s="10" t="s">
        <v>49675</v>
      </c>
      <c r="S11505" s="10" t="s">
        <v>53</v>
      </c>
      <c r="T11505" s="10" t="s">
        <v>54</v>
      </c>
    </row>
    <row r="11506" spans="1:20" ht="14.5" x14ac:dyDescent="0.35">
      <c r="A11506" s="10" t="s">
        <v>49676</v>
      </c>
      <c r="B11506" s="10" t="str">
        <f>""</f>
        <v/>
      </c>
      <c r="C11506" s="10" t="str">
        <f>"9781975500849"</f>
        <v>9781975500849</v>
      </c>
      <c r="D11506" s="10" t="s">
        <v>44271</v>
      </c>
      <c r="E11506" s="10" t="s">
        <v>47266</v>
      </c>
      <c r="F11506" s="10" t="s">
        <v>41227</v>
      </c>
      <c r="G11506" s="10" t="s">
        <v>6317</v>
      </c>
      <c r="H11506" s="11">
        <v>43664</v>
      </c>
      <c r="I11506" s="10">
        <v>2019</v>
      </c>
      <c r="J11506" s="10" t="s">
        <v>47266</v>
      </c>
      <c r="K11506" s="10">
        <v>213</v>
      </c>
      <c r="L11506" s="10" t="s">
        <v>49677</v>
      </c>
      <c r="M11506" s="10">
        <v>1</v>
      </c>
      <c r="N11506" s="10"/>
      <c r="O11506" s="10"/>
      <c r="P11506" s="10" t="s">
        <v>49678</v>
      </c>
      <c r="Q11506" s="10">
        <v>174</v>
      </c>
      <c r="R11506" s="10" t="s">
        <v>49679</v>
      </c>
      <c r="S11506" s="10" t="s">
        <v>53</v>
      </c>
      <c r="T11506" s="10" t="s">
        <v>6534</v>
      </c>
    </row>
    <row r="11507" spans="1:20" ht="14.5" x14ac:dyDescent="0.35">
      <c r="A11507" s="10" t="s">
        <v>49680</v>
      </c>
      <c r="B11507" s="10" t="str">
        <f>"9781416627678"</f>
        <v>9781416627678</v>
      </c>
      <c r="C11507" s="10" t="str">
        <f>"9781416627692"</f>
        <v>9781416627692</v>
      </c>
      <c r="D11507" s="10" t="s">
        <v>10014</v>
      </c>
      <c r="E11507" s="10" t="s">
        <v>10015</v>
      </c>
      <c r="F11507" s="10" t="s">
        <v>201</v>
      </c>
      <c r="G11507" s="10" t="s">
        <v>6317</v>
      </c>
      <c r="H11507" s="11">
        <v>43691</v>
      </c>
      <c r="I11507" s="10">
        <v>2019</v>
      </c>
      <c r="J11507" s="10" t="s">
        <v>10015</v>
      </c>
      <c r="K11507" s="10">
        <v>178</v>
      </c>
      <c r="L11507" s="10" t="s">
        <v>49681</v>
      </c>
      <c r="M11507" s="10">
        <v>1</v>
      </c>
      <c r="N11507" s="10"/>
      <c r="O11507" s="10"/>
      <c r="P11507" s="10" t="s">
        <v>49682</v>
      </c>
      <c r="Q11507" s="10">
        <v>371.10199999999998</v>
      </c>
      <c r="R11507" s="10" t="s">
        <v>49683</v>
      </c>
      <c r="S11507" s="10" t="s">
        <v>53</v>
      </c>
      <c r="T11507" s="10" t="s">
        <v>54</v>
      </c>
    </row>
    <row r="11508" spans="1:20" ht="14.5" x14ac:dyDescent="0.35">
      <c r="A11508" s="10" t="s">
        <v>49684</v>
      </c>
      <c r="B11508" s="10" t="str">
        <f>"9781838671334"</f>
        <v>9781838671334</v>
      </c>
      <c r="C11508" s="10" t="str">
        <f>"9781838671303"</f>
        <v>9781838671303</v>
      </c>
      <c r="D11508" s="10" t="s">
        <v>8699</v>
      </c>
      <c r="E11508" s="10" t="s">
        <v>8699</v>
      </c>
      <c r="F11508" s="10" t="s">
        <v>559</v>
      </c>
      <c r="G11508" s="10" t="s">
        <v>6352</v>
      </c>
      <c r="H11508" s="11">
        <v>43713</v>
      </c>
      <c r="I11508" s="10">
        <v>2019</v>
      </c>
      <c r="J11508" s="10" t="s">
        <v>8699</v>
      </c>
      <c r="K11508" s="10">
        <v>193</v>
      </c>
      <c r="L11508" s="10" t="s">
        <v>49685</v>
      </c>
      <c r="M11508" s="10">
        <v>1</v>
      </c>
      <c r="N11508" s="10" t="s">
        <v>47460</v>
      </c>
      <c r="O11508" s="10"/>
      <c r="P11508" s="10" t="s">
        <v>26825</v>
      </c>
      <c r="Q11508" s="10">
        <v>378.1</v>
      </c>
      <c r="R11508" s="10" t="s">
        <v>49686</v>
      </c>
      <c r="S11508" s="10" t="s">
        <v>53</v>
      </c>
      <c r="T11508" s="10" t="s">
        <v>54</v>
      </c>
    </row>
    <row r="11509" spans="1:20" ht="14.5" x14ac:dyDescent="0.35">
      <c r="A11509" s="10" t="s">
        <v>49687</v>
      </c>
      <c r="B11509" s="10" t="str">
        <f>"9781138232976"</f>
        <v>9781138232976</v>
      </c>
      <c r="C11509" s="10" t="str">
        <f>"9781315310923"</f>
        <v>9781315310923</v>
      </c>
      <c r="D11509" s="10" t="s">
        <v>6350</v>
      </c>
      <c r="E11509" s="10" t="s">
        <v>6351</v>
      </c>
      <c r="F11509" s="10" t="s">
        <v>748</v>
      </c>
      <c r="G11509" s="10" t="s">
        <v>6352</v>
      </c>
      <c r="H11509" s="11">
        <v>43712</v>
      </c>
      <c r="I11509" s="10">
        <v>2020</v>
      </c>
      <c r="J11509" s="10" t="s">
        <v>6351</v>
      </c>
      <c r="K11509" s="10">
        <v>207</v>
      </c>
      <c r="L11509" s="10" t="s">
        <v>49688</v>
      </c>
      <c r="M11509" s="10">
        <v>1</v>
      </c>
      <c r="N11509" s="10" t="s">
        <v>49689</v>
      </c>
      <c r="O11509" s="10"/>
      <c r="P11509" s="10" t="s">
        <v>49690</v>
      </c>
      <c r="Q11509" s="10">
        <v>371.71300000000002</v>
      </c>
      <c r="R11509" s="10" t="s">
        <v>49118</v>
      </c>
      <c r="S11509" s="10" t="s">
        <v>53</v>
      </c>
      <c r="T11509" s="10" t="s">
        <v>54</v>
      </c>
    </row>
    <row r="11510" spans="1:20" ht="14.5" x14ac:dyDescent="0.35">
      <c r="A11510" s="10" t="s">
        <v>49691</v>
      </c>
      <c r="B11510" s="10" t="str">
        <f>"9781839090592"</f>
        <v>9781839090592</v>
      </c>
      <c r="C11510" s="10" t="str">
        <f>"9781839090608"</f>
        <v>9781839090608</v>
      </c>
      <c r="D11510" s="10" t="s">
        <v>8699</v>
      </c>
      <c r="E11510" s="10" t="s">
        <v>8699</v>
      </c>
      <c r="F11510" s="10" t="s">
        <v>41843</v>
      </c>
      <c r="G11510" s="10" t="s">
        <v>6352</v>
      </c>
      <c r="H11510" s="11">
        <v>43662</v>
      </c>
      <c r="I11510" s="10">
        <v>2019</v>
      </c>
      <c r="J11510" s="10" t="s">
        <v>8699</v>
      </c>
      <c r="K11510" s="10">
        <v>99</v>
      </c>
      <c r="L11510" s="10" t="s">
        <v>49692</v>
      </c>
      <c r="M11510" s="10">
        <v>1</v>
      </c>
      <c r="N11510" s="10" t="s">
        <v>562</v>
      </c>
      <c r="O11510" s="10">
        <v>3</v>
      </c>
      <c r="P11510" s="10" t="s">
        <v>49693</v>
      </c>
      <c r="Q11510" s="10">
        <v>303.48399999999998</v>
      </c>
      <c r="R11510" s="10" t="s">
        <v>49694</v>
      </c>
      <c r="S11510" s="10" t="s">
        <v>53</v>
      </c>
      <c r="T11510" s="10" t="s">
        <v>6363</v>
      </c>
    </row>
    <row r="11511" spans="1:20" ht="14.5" x14ac:dyDescent="0.35">
      <c r="A11511" s="10" t="s">
        <v>49695</v>
      </c>
      <c r="B11511" s="10" t="str">
        <f>"9781839090653"</f>
        <v>9781839090653</v>
      </c>
      <c r="C11511" s="10" t="str">
        <f>"9781839090660"</f>
        <v>9781839090660</v>
      </c>
      <c r="D11511" s="10" t="s">
        <v>8699</v>
      </c>
      <c r="E11511" s="10" t="s">
        <v>8699</v>
      </c>
      <c r="F11511" s="10" t="s">
        <v>41843</v>
      </c>
      <c r="G11511" s="10" t="s">
        <v>6352</v>
      </c>
      <c r="H11511" s="11">
        <v>43651</v>
      </c>
      <c r="I11511" s="10">
        <v>2019</v>
      </c>
      <c r="J11511" s="10" t="s">
        <v>8699</v>
      </c>
      <c r="K11511" s="10">
        <v>105</v>
      </c>
      <c r="L11511" s="10" t="s">
        <v>49696</v>
      </c>
      <c r="M11511" s="10">
        <v>1</v>
      </c>
      <c r="N11511" s="10" t="s">
        <v>49697</v>
      </c>
      <c r="O11511" s="10">
        <v>3</v>
      </c>
      <c r="P11511" s="10" t="s">
        <v>49698</v>
      </c>
      <c r="Q11511" s="10">
        <v>658.40300000000002</v>
      </c>
      <c r="R11511" s="10" t="s">
        <v>49699</v>
      </c>
      <c r="S11511" s="10" t="s">
        <v>53</v>
      </c>
      <c r="T11511" s="10" t="s">
        <v>6660</v>
      </c>
    </row>
    <row r="11512" spans="1:20" ht="14.5" x14ac:dyDescent="0.35">
      <c r="A11512" s="10" t="s">
        <v>49700</v>
      </c>
      <c r="B11512" s="10" t="str">
        <f>"9781839090875"</f>
        <v>9781839090875</v>
      </c>
      <c r="C11512" s="10" t="str">
        <f>"9781839090882"</f>
        <v>9781839090882</v>
      </c>
      <c r="D11512" s="10" t="s">
        <v>8699</v>
      </c>
      <c r="E11512" s="10" t="s">
        <v>8699</v>
      </c>
      <c r="F11512" s="10" t="s">
        <v>41843</v>
      </c>
      <c r="G11512" s="10" t="s">
        <v>6352</v>
      </c>
      <c r="H11512" s="11">
        <v>43665</v>
      </c>
      <c r="I11512" s="10">
        <v>2019</v>
      </c>
      <c r="J11512" s="10" t="s">
        <v>8699</v>
      </c>
      <c r="K11512" s="10">
        <v>117</v>
      </c>
      <c r="L11512" s="10" t="s">
        <v>49701</v>
      </c>
      <c r="M11512" s="10">
        <v>1</v>
      </c>
      <c r="N11512" s="10" t="s">
        <v>49702</v>
      </c>
      <c r="O11512" s="10">
        <v>5</v>
      </c>
      <c r="P11512" s="10" t="s">
        <v>49703</v>
      </c>
      <c r="Q11512" s="10">
        <v>650.14</v>
      </c>
      <c r="R11512" s="10" t="s">
        <v>49704</v>
      </c>
      <c r="S11512" s="10" t="s">
        <v>53</v>
      </c>
      <c r="T11512" s="10" t="s">
        <v>6660</v>
      </c>
    </row>
    <row r="11513" spans="1:20" ht="14.5" x14ac:dyDescent="0.35">
      <c r="A11513" s="10" t="s">
        <v>49705</v>
      </c>
      <c r="B11513" s="10" t="str">
        <f>"9781839092251"</f>
        <v>9781839092251</v>
      </c>
      <c r="C11513" s="10" t="str">
        <f>"9781839092268"</f>
        <v>9781839092268</v>
      </c>
      <c r="D11513" s="10" t="s">
        <v>8699</v>
      </c>
      <c r="E11513" s="10" t="s">
        <v>8699</v>
      </c>
      <c r="F11513" s="10" t="s">
        <v>41843</v>
      </c>
      <c r="G11513" s="10" t="s">
        <v>6352</v>
      </c>
      <c r="H11513" s="11">
        <v>43676</v>
      </c>
      <c r="I11513" s="10">
        <v>2019</v>
      </c>
      <c r="J11513" s="10" t="s">
        <v>8699</v>
      </c>
      <c r="K11513" s="10">
        <v>89</v>
      </c>
      <c r="L11513" s="10" t="s">
        <v>49706</v>
      </c>
      <c r="M11513" s="10">
        <v>1</v>
      </c>
      <c r="N11513" s="10" t="s">
        <v>48635</v>
      </c>
      <c r="O11513" s="10">
        <v>4</v>
      </c>
      <c r="P11513" s="10" t="s">
        <v>49707</v>
      </c>
      <c r="Q11513" s="10">
        <v>370.72</v>
      </c>
      <c r="R11513" s="10" t="s">
        <v>49708</v>
      </c>
      <c r="S11513" s="10" t="s">
        <v>53</v>
      </c>
      <c r="T11513" s="10" t="s">
        <v>54</v>
      </c>
    </row>
    <row r="11514" spans="1:20" ht="14.5" x14ac:dyDescent="0.35">
      <c r="A11514" s="10" t="s">
        <v>49709</v>
      </c>
      <c r="B11514" s="10" t="str">
        <f>"9781416628040"</f>
        <v>9781416628040</v>
      </c>
      <c r="C11514" s="10" t="str">
        <f>"9781416628446"</f>
        <v>9781416628446</v>
      </c>
      <c r="D11514" s="10" t="s">
        <v>10014</v>
      </c>
      <c r="E11514" s="10" t="s">
        <v>10015</v>
      </c>
      <c r="F11514" s="10" t="s">
        <v>201</v>
      </c>
      <c r="G11514" s="10" t="s">
        <v>6317</v>
      </c>
      <c r="H11514" s="11">
        <v>43707</v>
      </c>
      <c r="I11514" s="10">
        <v>2019</v>
      </c>
      <c r="J11514" s="10" t="s">
        <v>10015</v>
      </c>
      <c r="K11514" s="10">
        <v>161</v>
      </c>
      <c r="L11514" s="10" t="s">
        <v>49710</v>
      </c>
      <c r="M11514" s="10">
        <v>1</v>
      </c>
      <c r="N11514" s="10"/>
      <c r="O11514" s="10"/>
      <c r="P11514" s="10"/>
      <c r="Q11514" s="10"/>
      <c r="R11514" s="10"/>
      <c r="S11514" s="10" t="s">
        <v>53</v>
      </c>
      <c r="T11514" s="10" t="s">
        <v>54</v>
      </c>
    </row>
    <row r="11515" spans="1:20" ht="14.5" x14ac:dyDescent="0.35">
      <c r="A11515" s="10" t="s">
        <v>49711</v>
      </c>
      <c r="B11515" s="10" t="str">
        <f>"9781416628057"</f>
        <v>9781416628057</v>
      </c>
      <c r="C11515" s="10" t="str">
        <f>"9781416628071"</f>
        <v>9781416628071</v>
      </c>
      <c r="D11515" s="10" t="s">
        <v>10014</v>
      </c>
      <c r="E11515" s="10" t="s">
        <v>10015</v>
      </c>
      <c r="F11515" s="10" t="s">
        <v>201</v>
      </c>
      <c r="G11515" s="10" t="s">
        <v>6317</v>
      </c>
      <c r="H11515" s="11">
        <v>43699</v>
      </c>
      <c r="I11515" s="10">
        <v>2019</v>
      </c>
      <c r="J11515" s="10" t="s">
        <v>10015</v>
      </c>
      <c r="K11515" s="10">
        <v>178</v>
      </c>
      <c r="L11515" s="10" t="s">
        <v>49712</v>
      </c>
      <c r="M11515" s="10">
        <v>1</v>
      </c>
      <c r="N11515" s="10"/>
      <c r="O11515" s="10"/>
      <c r="P11515" s="10" t="s">
        <v>49713</v>
      </c>
      <c r="Q11515" s="10">
        <v>371.2011</v>
      </c>
      <c r="R11515" s="10" t="s">
        <v>49714</v>
      </c>
      <c r="S11515" s="10" t="s">
        <v>53</v>
      </c>
      <c r="T11515" s="10" t="s">
        <v>54</v>
      </c>
    </row>
    <row r="11516" spans="1:20" ht="14.5" x14ac:dyDescent="0.35">
      <c r="A11516" s="10" t="s">
        <v>49715</v>
      </c>
      <c r="B11516" s="10" t="str">
        <f>""</f>
        <v/>
      </c>
      <c r="C11516" s="10" t="str">
        <f>"9781564845191"</f>
        <v>9781564845191</v>
      </c>
      <c r="D11516" s="10" t="s">
        <v>9533</v>
      </c>
      <c r="E11516" s="10" t="s">
        <v>45783</v>
      </c>
      <c r="F11516" s="10" t="s">
        <v>25348</v>
      </c>
      <c r="G11516" s="10" t="s">
        <v>6317</v>
      </c>
      <c r="H11516" s="11">
        <v>42267</v>
      </c>
      <c r="I11516" s="10">
        <v>2015</v>
      </c>
      <c r="J11516" s="10" t="s">
        <v>45783</v>
      </c>
      <c r="K11516" s="10">
        <v>69</v>
      </c>
      <c r="L11516" s="10" t="s">
        <v>49716</v>
      </c>
      <c r="M11516" s="10">
        <v>1</v>
      </c>
      <c r="N11516" s="10"/>
      <c r="O11516" s="10"/>
      <c r="P11516" s="10" t="s">
        <v>49717</v>
      </c>
      <c r="Q11516" s="10">
        <v>372.11020000000002</v>
      </c>
      <c r="R11516" s="10" t="s">
        <v>25527</v>
      </c>
      <c r="S11516" s="10" t="s">
        <v>53</v>
      </c>
      <c r="T11516" s="10" t="s">
        <v>54</v>
      </c>
    </row>
    <row r="11517" spans="1:20" ht="14.5" x14ac:dyDescent="0.35">
      <c r="A11517" s="10" t="s">
        <v>49718</v>
      </c>
      <c r="B11517" s="10" t="str">
        <f>""</f>
        <v/>
      </c>
      <c r="C11517" s="10" t="str">
        <f>"9781564846815"</f>
        <v>9781564846815</v>
      </c>
      <c r="D11517" s="10" t="s">
        <v>9533</v>
      </c>
      <c r="E11517" s="10" t="s">
        <v>45783</v>
      </c>
      <c r="F11517" s="10" t="s">
        <v>25348</v>
      </c>
      <c r="G11517" s="10" t="s">
        <v>6317</v>
      </c>
      <c r="H11517" s="11">
        <v>43220</v>
      </c>
      <c r="I11517" s="10">
        <v>2018</v>
      </c>
      <c r="J11517" s="10" t="s">
        <v>45783</v>
      </c>
      <c r="K11517" s="10">
        <v>135</v>
      </c>
      <c r="L11517" s="10" t="s">
        <v>49719</v>
      </c>
      <c r="M11517" s="10">
        <v>1</v>
      </c>
      <c r="N11517" s="10"/>
      <c r="O11517" s="10"/>
      <c r="P11517" s="10" t="s">
        <v>49720</v>
      </c>
      <c r="Q11517" s="10">
        <v>372.41699999999997</v>
      </c>
      <c r="R11517" s="10" t="s">
        <v>49721</v>
      </c>
      <c r="S11517" s="10" t="s">
        <v>53</v>
      </c>
      <c r="T11517" s="10" t="s">
        <v>54</v>
      </c>
    </row>
    <row r="11518" spans="1:20" ht="14.5" x14ac:dyDescent="0.35">
      <c r="A11518" s="10" t="s">
        <v>49722</v>
      </c>
      <c r="B11518" s="10" t="str">
        <f>""</f>
        <v/>
      </c>
      <c r="C11518" s="10" t="str">
        <f>"9781564847072"</f>
        <v>9781564847072</v>
      </c>
      <c r="D11518" s="10" t="s">
        <v>9533</v>
      </c>
      <c r="E11518" s="10" t="s">
        <v>45783</v>
      </c>
      <c r="F11518" s="10" t="s">
        <v>25348</v>
      </c>
      <c r="G11518" s="10" t="s">
        <v>6317</v>
      </c>
      <c r="H11518" s="11">
        <v>43516</v>
      </c>
      <c r="I11518" s="10">
        <v>2019</v>
      </c>
      <c r="J11518" s="10" t="s">
        <v>45783</v>
      </c>
      <c r="K11518" s="10">
        <v>96</v>
      </c>
      <c r="L11518" s="10" t="s">
        <v>49723</v>
      </c>
      <c r="M11518" s="10">
        <v>1</v>
      </c>
      <c r="N11518" s="10" t="s">
        <v>49724</v>
      </c>
      <c r="O11518" s="10"/>
      <c r="P11518" s="10" t="s">
        <v>49725</v>
      </c>
      <c r="Q11518" s="10">
        <v>27.809729999999998</v>
      </c>
      <c r="R11518" s="10" t="s">
        <v>49726</v>
      </c>
      <c r="S11518" s="10" t="s">
        <v>53</v>
      </c>
      <c r="T11518" s="10" t="s">
        <v>10302</v>
      </c>
    </row>
    <row r="11519" spans="1:20" ht="14.5" x14ac:dyDescent="0.35">
      <c r="A11519" s="10" t="s">
        <v>49727</v>
      </c>
      <c r="B11519" s="10" t="str">
        <f>""</f>
        <v/>
      </c>
      <c r="C11519" s="10" t="str">
        <f>"9781564847966"</f>
        <v>9781564847966</v>
      </c>
      <c r="D11519" s="10" t="s">
        <v>9533</v>
      </c>
      <c r="E11519" s="10" t="s">
        <v>45783</v>
      </c>
      <c r="F11519" s="10" t="s">
        <v>25348</v>
      </c>
      <c r="G11519" s="10" t="s">
        <v>6317</v>
      </c>
      <c r="H11519" s="11">
        <v>43630</v>
      </c>
      <c r="I11519" s="10">
        <v>2019</v>
      </c>
      <c r="J11519" s="10" t="s">
        <v>45783</v>
      </c>
      <c r="K11519" s="10">
        <v>117</v>
      </c>
      <c r="L11519" s="10" t="s">
        <v>49728</v>
      </c>
      <c r="M11519" s="10">
        <v>1</v>
      </c>
      <c r="N11519" s="10"/>
      <c r="O11519" s="10"/>
      <c r="P11519" s="10" t="s">
        <v>49729</v>
      </c>
      <c r="Q11519" s="10">
        <v>371.33699999999999</v>
      </c>
      <c r="R11519" s="10" t="s">
        <v>44871</v>
      </c>
      <c r="S11519" s="10" t="s">
        <v>53</v>
      </c>
      <c r="T11519" s="10" t="s">
        <v>54</v>
      </c>
    </row>
    <row r="11520" spans="1:20" ht="14.5" x14ac:dyDescent="0.35">
      <c r="A11520" s="10" t="s">
        <v>49730</v>
      </c>
      <c r="B11520" s="10" t="str">
        <f>""</f>
        <v/>
      </c>
      <c r="C11520" s="10" t="str">
        <f>"9781564846631"</f>
        <v>9781564846631</v>
      </c>
      <c r="D11520" s="10" t="s">
        <v>9533</v>
      </c>
      <c r="E11520" s="10" t="s">
        <v>45783</v>
      </c>
      <c r="F11520" s="10" t="s">
        <v>25348</v>
      </c>
      <c r="G11520" s="10" t="s">
        <v>6317</v>
      </c>
      <c r="H11520" s="11">
        <v>43199</v>
      </c>
      <c r="I11520" s="10">
        <v>2018</v>
      </c>
      <c r="J11520" s="10" t="s">
        <v>45783</v>
      </c>
      <c r="K11520" s="10">
        <v>118</v>
      </c>
      <c r="L11520" s="10" t="s">
        <v>49731</v>
      </c>
      <c r="M11520" s="10">
        <v>1</v>
      </c>
      <c r="N11520" s="10"/>
      <c r="O11520" s="10"/>
      <c r="P11520" s="10" t="s">
        <v>49732</v>
      </c>
      <c r="Q11520" s="10">
        <v>371.33</v>
      </c>
      <c r="R11520" s="10" t="s">
        <v>49733</v>
      </c>
      <c r="S11520" s="10" t="s">
        <v>53</v>
      </c>
      <c r="T11520" s="10" t="s">
        <v>54</v>
      </c>
    </row>
    <row r="11521" spans="1:20" ht="14.5" x14ac:dyDescent="0.35">
      <c r="A11521" s="10" t="s">
        <v>49734</v>
      </c>
      <c r="B11521" s="10" t="str">
        <f>""</f>
        <v/>
      </c>
      <c r="C11521" s="10" t="str">
        <f>"9781564846679"</f>
        <v>9781564846679</v>
      </c>
      <c r="D11521" s="10" t="s">
        <v>9533</v>
      </c>
      <c r="E11521" s="10" t="s">
        <v>45783</v>
      </c>
      <c r="F11521" s="10" t="s">
        <v>25348</v>
      </c>
      <c r="G11521" s="10" t="s">
        <v>6317</v>
      </c>
      <c r="H11521" s="11">
        <v>43196</v>
      </c>
      <c r="I11521" s="10">
        <v>2018</v>
      </c>
      <c r="J11521" s="10" t="s">
        <v>45783</v>
      </c>
      <c r="K11521" s="10">
        <v>184</v>
      </c>
      <c r="L11521" s="10" t="s">
        <v>49735</v>
      </c>
      <c r="M11521" s="10">
        <v>1</v>
      </c>
      <c r="N11521" s="10"/>
      <c r="O11521" s="10"/>
      <c r="P11521" s="10" t="s">
        <v>49736</v>
      </c>
      <c r="Q11521" s="10">
        <v>371.90460000000002</v>
      </c>
      <c r="R11521" s="10" t="s">
        <v>49737</v>
      </c>
      <c r="S11521" s="10" t="s">
        <v>53</v>
      </c>
      <c r="T11521" s="10" t="s">
        <v>54</v>
      </c>
    </row>
    <row r="11522" spans="1:20" ht="14.5" x14ac:dyDescent="0.35">
      <c r="A11522" s="10" t="s">
        <v>49738</v>
      </c>
      <c r="B11522" s="10" t="str">
        <f>""</f>
        <v/>
      </c>
      <c r="C11522" s="10" t="str">
        <f>"9781564846785"</f>
        <v>9781564846785</v>
      </c>
      <c r="D11522" s="10" t="s">
        <v>9533</v>
      </c>
      <c r="E11522" s="10" t="s">
        <v>45783</v>
      </c>
      <c r="F11522" s="10" t="s">
        <v>25348</v>
      </c>
      <c r="G11522" s="10" t="s">
        <v>6317</v>
      </c>
      <c r="H11522" s="11">
        <v>43265</v>
      </c>
      <c r="I11522" s="10">
        <v>2018</v>
      </c>
      <c r="J11522" s="10" t="s">
        <v>45783</v>
      </c>
      <c r="K11522" s="10">
        <v>215</v>
      </c>
      <c r="L11522" s="10" t="s">
        <v>49739</v>
      </c>
      <c r="M11522" s="10">
        <v>1</v>
      </c>
      <c r="N11522" s="10"/>
      <c r="O11522" s="10"/>
      <c r="P11522" s="10" t="s">
        <v>49740</v>
      </c>
      <c r="Q11522" s="10">
        <v>371.33</v>
      </c>
      <c r="R11522" s="10" t="s">
        <v>29942</v>
      </c>
      <c r="S11522" s="10" t="s">
        <v>53</v>
      </c>
      <c r="T11522" s="10" t="s">
        <v>54</v>
      </c>
    </row>
    <row r="11523" spans="1:20" ht="14.5" x14ac:dyDescent="0.35">
      <c r="A11523" s="10" t="s">
        <v>49741</v>
      </c>
      <c r="B11523" s="10" t="str">
        <f>""</f>
        <v/>
      </c>
      <c r="C11523" s="10" t="str">
        <f>"9781564845399"</f>
        <v>9781564845399</v>
      </c>
      <c r="D11523" s="10" t="s">
        <v>9533</v>
      </c>
      <c r="E11523" s="10" t="s">
        <v>45783</v>
      </c>
      <c r="F11523" s="10" t="s">
        <v>25348</v>
      </c>
      <c r="G11523" s="10" t="s">
        <v>6317</v>
      </c>
      <c r="H11523" s="11">
        <v>42096</v>
      </c>
      <c r="I11523" s="10">
        <v>2014</v>
      </c>
      <c r="J11523" s="10" t="s">
        <v>45783</v>
      </c>
      <c r="K11523" s="10">
        <v>153</v>
      </c>
      <c r="L11523" s="10" t="s">
        <v>49716</v>
      </c>
      <c r="M11523" s="10">
        <v>1</v>
      </c>
      <c r="N11523" s="10"/>
      <c r="O11523" s="10"/>
      <c r="P11523" s="10" t="s">
        <v>49742</v>
      </c>
      <c r="Q11523" s="10">
        <v>371.39400000000001</v>
      </c>
      <c r="R11523" s="10" t="s">
        <v>49743</v>
      </c>
      <c r="S11523" s="10" t="s">
        <v>53</v>
      </c>
      <c r="T11523" s="10" t="s">
        <v>54</v>
      </c>
    </row>
    <row r="11524" spans="1:20" ht="14.5" x14ac:dyDescent="0.35">
      <c r="A11524" s="10" t="s">
        <v>49744</v>
      </c>
      <c r="B11524" s="10" t="str">
        <f>""</f>
        <v/>
      </c>
      <c r="C11524" s="10" t="str">
        <f>"9781564847119"</f>
        <v>9781564847119</v>
      </c>
      <c r="D11524" s="10" t="s">
        <v>9533</v>
      </c>
      <c r="E11524" s="10" t="s">
        <v>45783</v>
      </c>
      <c r="F11524" s="10" t="s">
        <v>25348</v>
      </c>
      <c r="G11524" s="10" t="s">
        <v>6317</v>
      </c>
      <c r="H11524" s="11">
        <v>43434</v>
      </c>
      <c r="I11524" s="10">
        <v>2018</v>
      </c>
      <c r="J11524" s="10" t="s">
        <v>45783</v>
      </c>
      <c r="K11524" s="10">
        <v>103</v>
      </c>
      <c r="L11524" s="10" t="s">
        <v>49745</v>
      </c>
      <c r="M11524" s="10">
        <v>1</v>
      </c>
      <c r="N11524" s="10" t="s">
        <v>49746</v>
      </c>
      <c r="O11524" s="10"/>
      <c r="P11524" s="10" t="s">
        <v>49747</v>
      </c>
      <c r="Q11524" s="10">
        <v>371.33</v>
      </c>
      <c r="R11524" s="10" t="s">
        <v>49748</v>
      </c>
      <c r="S11524" s="10" t="s">
        <v>53</v>
      </c>
      <c r="T11524" s="10" t="s">
        <v>54</v>
      </c>
    </row>
    <row r="11525" spans="1:20" ht="14.5" x14ac:dyDescent="0.35">
      <c r="A11525" s="10" t="s">
        <v>49749</v>
      </c>
      <c r="B11525" s="10" t="str">
        <f>""</f>
        <v/>
      </c>
      <c r="C11525" s="10" t="str">
        <f>"9781564846358"</f>
        <v>9781564846358</v>
      </c>
      <c r="D11525" s="10" t="s">
        <v>9533</v>
      </c>
      <c r="E11525" s="10" t="s">
        <v>45783</v>
      </c>
      <c r="F11525" s="10" t="s">
        <v>25348</v>
      </c>
      <c r="G11525" s="10" t="s">
        <v>6317</v>
      </c>
      <c r="H11525" s="11">
        <v>42962</v>
      </c>
      <c r="I11525" s="10">
        <v>2017</v>
      </c>
      <c r="J11525" s="10" t="s">
        <v>45783</v>
      </c>
      <c r="K11525" s="10">
        <v>190</v>
      </c>
      <c r="L11525" s="10" t="s">
        <v>49750</v>
      </c>
      <c r="M11525" s="10">
        <v>1</v>
      </c>
      <c r="N11525" s="10"/>
      <c r="O11525" s="10"/>
      <c r="P11525" s="10" t="s">
        <v>49751</v>
      </c>
      <c r="Q11525" s="10">
        <v>370.15699999999998</v>
      </c>
      <c r="R11525" s="10" t="s">
        <v>49752</v>
      </c>
      <c r="S11525" s="10" t="s">
        <v>53</v>
      </c>
      <c r="T11525" s="10" t="s">
        <v>54</v>
      </c>
    </row>
    <row r="11526" spans="1:20" ht="14.5" x14ac:dyDescent="0.35">
      <c r="A11526" s="10" t="s">
        <v>49753</v>
      </c>
      <c r="B11526" s="10" t="str">
        <f>""</f>
        <v/>
      </c>
      <c r="C11526" s="10" t="str">
        <f>"9781564845276"</f>
        <v>9781564845276</v>
      </c>
      <c r="D11526" s="10" t="s">
        <v>9533</v>
      </c>
      <c r="E11526" s="10" t="s">
        <v>45783</v>
      </c>
      <c r="F11526" s="10" t="s">
        <v>25348</v>
      </c>
      <c r="G11526" s="10" t="s">
        <v>6317</v>
      </c>
      <c r="H11526" s="11">
        <v>42114</v>
      </c>
      <c r="I11526" s="10">
        <v>2015</v>
      </c>
      <c r="J11526" s="10" t="s">
        <v>45783</v>
      </c>
      <c r="K11526" s="10">
        <v>49</v>
      </c>
      <c r="L11526" s="10" t="s">
        <v>49716</v>
      </c>
      <c r="M11526" s="10">
        <v>1</v>
      </c>
      <c r="N11526" s="10"/>
      <c r="O11526" s="10"/>
      <c r="P11526" s="10" t="s">
        <v>49754</v>
      </c>
      <c r="Q11526" s="10">
        <v>507.1</v>
      </c>
      <c r="R11526" s="10" t="s">
        <v>33559</v>
      </c>
      <c r="S11526" s="10" t="s">
        <v>53</v>
      </c>
      <c r="T11526" s="10" t="s">
        <v>9608</v>
      </c>
    </row>
    <row r="11527" spans="1:20" ht="14.5" x14ac:dyDescent="0.35">
      <c r="A11527" s="10" t="s">
        <v>49755</v>
      </c>
      <c r="B11527" s="10" t="str">
        <f>""</f>
        <v/>
      </c>
      <c r="C11527" s="10" t="str">
        <f>"9781564845788"</f>
        <v>9781564845788</v>
      </c>
      <c r="D11527" s="10" t="s">
        <v>9533</v>
      </c>
      <c r="E11527" s="10" t="s">
        <v>45783</v>
      </c>
      <c r="F11527" s="10" t="s">
        <v>25348</v>
      </c>
      <c r="G11527" s="10" t="s">
        <v>6317</v>
      </c>
      <c r="H11527" s="11">
        <v>42429</v>
      </c>
      <c r="I11527" s="10">
        <v>2016</v>
      </c>
      <c r="J11527" s="10" t="s">
        <v>45783</v>
      </c>
      <c r="K11527" s="10">
        <v>78</v>
      </c>
      <c r="L11527" s="10" t="s">
        <v>49756</v>
      </c>
      <c r="M11527" s="10">
        <v>1</v>
      </c>
      <c r="N11527" s="10"/>
      <c r="O11527" s="10"/>
      <c r="P11527" s="10" t="s">
        <v>49757</v>
      </c>
      <c r="Q11527" s="10">
        <v>371.33</v>
      </c>
      <c r="R11527" s="10" t="s">
        <v>49758</v>
      </c>
      <c r="S11527" s="10" t="s">
        <v>53</v>
      </c>
      <c r="T11527" s="10" t="s">
        <v>54</v>
      </c>
    </row>
    <row r="11528" spans="1:20" ht="14.5" x14ac:dyDescent="0.35">
      <c r="A11528" s="10" t="s">
        <v>49759</v>
      </c>
      <c r="B11528" s="10" t="str">
        <f>""</f>
        <v/>
      </c>
      <c r="C11528" s="10" t="str">
        <f>"9781564847355"</f>
        <v>9781564847355</v>
      </c>
      <c r="D11528" s="10" t="s">
        <v>9533</v>
      </c>
      <c r="E11528" s="10" t="s">
        <v>45783</v>
      </c>
      <c r="F11528" s="10" t="s">
        <v>25348</v>
      </c>
      <c r="G11528" s="10" t="s">
        <v>6317</v>
      </c>
      <c r="H11528" s="11">
        <v>43510</v>
      </c>
      <c r="I11528" s="10">
        <v>2019</v>
      </c>
      <c r="J11528" s="10" t="s">
        <v>45783</v>
      </c>
      <c r="K11528" s="10">
        <v>126</v>
      </c>
      <c r="L11528" s="10" t="s">
        <v>49760</v>
      </c>
      <c r="M11528" s="10">
        <v>1</v>
      </c>
      <c r="N11528" s="10"/>
      <c r="O11528" s="10"/>
      <c r="P11528" s="10" t="s">
        <v>49761</v>
      </c>
      <c r="Q11528" s="10">
        <v>372.4</v>
      </c>
      <c r="R11528" s="10" t="s">
        <v>49762</v>
      </c>
      <c r="S11528" s="10" t="s">
        <v>53</v>
      </c>
      <c r="T11528" s="10" t="s">
        <v>54</v>
      </c>
    </row>
    <row r="11529" spans="1:20" ht="14.5" x14ac:dyDescent="0.35">
      <c r="A11529" s="10" t="s">
        <v>49763</v>
      </c>
      <c r="B11529" s="10" t="str">
        <f>""</f>
        <v/>
      </c>
      <c r="C11529" s="10" t="str">
        <f>"9781564847157"</f>
        <v>9781564847157</v>
      </c>
      <c r="D11529" s="10" t="s">
        <v>9533</v>
      </c>
      <c r="E11529" s="10" t="s">
        <v>45783</v>
      </c>
      <c r="F11529" s="10" t="s">
        <v>25348</v>
      </c>
      <c r="G11529" s="10" t="s">
        <v>6317</v>
      </c>
      <c r="H11529" s="11">
        <v>43565</v>
      </c>
      <c r="I11529" s="10">
        <v>2018</v>
      </c>
      <c r="J11529" s="10" t="s">
        <v>45783</v>
      </c>
      <c r="K11529" s="10">
        <v>86</v>
      </c>
      <c r="L11529" s="10" t="s">
        <v>49764</v>
      </c>
      <c r="M11529" s="10">
        <v>1</v>
      </c>
      <c r="N11529" s="10" t="s">
        <v>49746</v>
      </c>
      <c r="O11529" s="10"/>
      <c r="P11529" s="10" t="s">
        <v>49765</v>
      </c>
      <c r="Q11529" s="10">
        <v>371.33</v>
      </c>
      <c r="R11529" s="10" t="s">
        <v>49766</v>
      </c>
      <c r="S11529" s="10" t="s">
        <v>53</v>
      </c>
      <c r="T11529" s="10" t="s">
        <v>54</v>
      </c>
    </row>
    <row r="11530" spans="1:20" ht="14.5" x14ac:dyDescent="0.35">
      <c r="A11530" s="10" t="s">
        <v>49767</v>
      </c>
      <c r="B11530" s="10" t="str">
        <f>""</f>
        <v/>
      </c>
      <c r="C11530" s="10" t="str">
        <f>"9781564845535"</f>
        <v>9781564845535</v>
      </c>
      <c r="D11530" s="10" t="s">
        <v>9533</v>
      </c>
      <c r="E11530" s="10" t="s">
        <v>45783</v>
      </c>
      <c r="F11530" s="10" t="s">
        <v>25348</v>
      </c>
      <c r="G11530" s="10" t="s">
        <v>6317</v>
      </c>
      <c r="H11530" s="11">
        <v>41666</v>
      </c>
      <c r="I11530" s="10">
        <v>2014</v>
      </c>
      <c r="J11530" s="10" t="s">
        <v>45783</v>
      </c>
      <c r="K11530" s="10">
        <v>252</v>
      </c>
      <c r="L11530" s="10" t="s">
        <v>49768</v>
      </c>
      <c r="M11530" s="10">
        <v>1</v>
      </c>
      <c r="N11530" s="10"/>
      <c r="O11530" s="10"/>
      <c r="P11530" s="10" t="s">
        <v>49769</v>
      </c>
      <c r="Q11530" s="10">
        <v>371.334</v>
      </c>
      <c r="R11530" s="10" t="s">
        <v>49770</v>
      </c>
      <c r="S11530" s="10" t="s">
        <v>53</v>
      </c>
      <c r="T11530" s="10" t="s">
        <v>54</v>
      </c>
    </row>
    <row r="11531" spans="1:20" ht="14.5" x14ac:dyDescent="0.35">
      <c r="A11531" s="10" t="s">
        <v>49771</v>
      </c>
      <c r="B11531" s="10" t="str">
        <f>""</f>
        <v/>
      </c>
      <c r="C11531" s="10" t="str">
        <f>"9781564845214"</f>
        <v>9781564845214</v>
      </c>
      <c r="D11531" s="10" t="s">
        <v>9533</v>
      </c>
      <c r="E11531" s="10" t="s">
        <v>45783</v>
      </c>
      <c r="F11531" s="10" t="s">
        <v>25348</v>
      </c>
      <c r="G11531" s="10" t="s">
        <v>6317</v>
      </c>
      <c r="H11531" s="11">
        <v>42420</v>
      </c>
      <c r="I11531" s="10">
        <v>2015</v>
      </c>
      <c r="J11531" s="10" t="s">
        <v>45783</v>
      </c>
      <c r="K11531" s="10">
        <v>64</v>
      </c>
      <c r="L11531" s="10" t="s">
        <v>49716</v>
      </c>
      <c r="M11531" s="10">
        <v>1</v>
      </c>
      <c r="N11531" s="10"/>
      <c r="O11531" s="10"/>
      <c r="P11531" s="10" t="s">
        <v>49772</v>
      </c>
      <c r="Q11531" s="10">
        <v>428.00709999999998</v>
      </c>
      <c r="R11531" s="10" t="s">
        <v>45391</v>
      </c>
      <c r="S11531" s="10" t="s">
        <v>53</v>
      </c>
      <c r="T11531" s="10" t="s">
        <v>6634</v>
      </c>
    </row>
    <row r="11532" spans="1:20" ht="14.5" x14ac:dyDescent="0.35">
      <c r="A11532" s="10" t="s">
        <v>49773</v>
      </c>
      <c r="B11532" s="10" t="str">
        <f>""</f>
        <v/>
      </c>
      <c r="C11532" s="10" t="str">
        <f>"9781564845849"</f>
        <v>9781564845849</v>
      </c>
      <c r="D11532" s="10" t="s">
        <v>9533</v>
      </c>
      <c r="E11532" s="10" t="s">
        <v>45783</v>
      </c>
      <c r="F11532" s="10" t="s">
        <v>25348</v>
      </c>
      <c r="G11532" s="10" t="s">
        <v>6317</v>
      </c>
      <c r="H11532" s="11">
        <v>42613</v>
      </c>
      <c r="I11532" s="10">
        <v>2016</v>
      </c>
      <c r="J11532" s="10" t="s">
        <v>45783</v>
      </c>
      <c r="K11532" s="10">
        <v>101</v>
      </c>
      <c r="L11532" s="10" t="s">
        <v>49756</v>
      </c>
      <c r="M11532" s="10">
        <v>1</v>
      </c>
      <c r="N11532" s="10"/>
      <c r="O11532" s="10"/>
      <c r="P11532" s="10" t="s">
        <v>49757</v>
      </c>
      <c r="Q11532" s="10">
        <v>371.33</v>
      </c>
      <c r="R11532" s="10" t="s">
        <v>49774</v>
      </c>
      <c r="S11532" s="10" t="s">
        <v>53</v>
      </c>
      <c r="T11532" s="10" t="s">
        <v>54</v>
      </c>
    </row>
    <row r="11533" spans="1:20" ht="14.5" x14ac:dyDescent="0.35">
      <c r="A11533" s="10" t="s">
        <v>49775</v>
      </c>
      <c r="B11533" s="10" t="str">
        <f>""</f>
        <v/>
      </c>
      <c r="C11533" s="10" t="str">
        <f>"9781564845474"</f>
        <v>9781564845474</v>
      </c>
      <c r="D11533" s="10" t="s">
        <v>9533</v>
      </c>
      <c r="E11533" s="10" t="s">
        <v>45783</v>
      </c>
      <c r="F11533" s="10" t="s">
        <v>25348</v>
      </c>
      <c r="G11533" s="10" t="s">
        <v>6317</v>
      </c>
      <c r="H11533" s="11">
        <v>41715</v>
      </c>
      <c r="I11533" s="10">
        <v>2014</v>
      </c>
      <c r="J11533" s="10" t="s">
        <v>45783</v>
      </c>
      <c r="K11533" s="10">
        <v>218</v>
      </c>
      <c r="L11533" s="10" t="s">
        <v>49776</v>
      </c>
      <c r="M11533" s="10">
        <v>1</v>
      </c>
      <c r="N11533" s="10"/>
      <c r="O11533" s="10"/>
      <c r="P11533" s="10" t="s">
        <v>49777</v>
      </c>
      <c r="Q11533" s="10">
        <v>371.334</v>
      </c>
      <c r="R11533" s="10" t="s">
        <v>49774</v>
      </c>
      <c r="S11533" s="10" t="s">
        <v>53</v>
      </c>
      <c r="T11533" s="10" t="s">
        <v>54</v>
      </c>
    </row>
    <row r="11534" spans="1:20" ht="14.5" x14ac:dyDescent="0.35">
      <c r="A11534" s="10" t="s">
        <v>49778</v>
      </c>
      <c r="B11534" s="10" t="str">
        <f>""</f>
        <v/>
      </c>
      <c r="C11534" s="10" t="str">
        <f>"9781564846914"</f>
        <v>9781564846914</v>
      </c>
      <c r="D11534" s="10" t="s">
        <v>9533</v>
      </c>
      <c r="E11534" s="10" t="s">
        <v>45783</v>
      </c>
      <c r="F11534" s="10" t="s">
        <v>25348</v>
      </c>
      <c r="G11534" s="10" t="s">
        <v>6317</v>
      </c>
      <c r="H11534" s="11">
        <v>43280</v>
      </c>
      <c r="I11534" s="10">
        <v>2018</v>
      </c>
      <c r="J11534" s="10" t="s">
        <v>45783</v>
      </c>
      <c r="K11534" s="10">
        <v>56</v>
      </c>
      <c r="L11534" s="10" t="s">
        <v>45784</v>
      </c>
      <c r="M11534" s="10">
        <v>1</v>
      </c>
      <c r="N11534" s="10"/>
      <c r="O11534" s="10"/>
      <c r="P11534" s="10" t="s">
        <v>49779</v>
      </c>
      <c r="Q11534" s="10">
        <v>371.33</v>
      </c>
      <c r="R11534" s="10" t="s">
        <v>49780</v>
      </c>
      <c r="S11534" s="10" t="s">
        <v>53</v>
      </c>
      <c r="T11534" s="10" t="s">
        <v>54</v>
      </c>
    </row>
    <row r="11535" spans="1:20" ht="14.5" x14ac:dyDescent="0.35">
      <c r="A11535" s="10" t="s">
        <v>49781</v>
      </c>
      <c r="B11535" s="10" t="str">
        <f>""</f>
        <v/>
      </c>
      <c r="C11535" s="10" t="str">
        <f>"9781564846419"</f>
        <v>9781564846419</v>
      </c>
      <c r="D11535" s="10" t="s">
        <v>9533</v>
      </c>
      <c r="E11535" s="10" t="s">
        <v>45783</v>
      </c>
      <c r="F11535" s="10" t="s">
        <v>25348</v>
      </c>
      <c r="G11535" s="10" t="s">
        <v>6317</v>
      </c>
      <c r="H11535" s="11">
        <v>43054</v>
      </c>
      <c r="I11535" s="10">
        <v>2017</v>
      </c>
      <c r="J11535" s="10" t="s">
        <v>45783</v>
      </c>
      <c r="K11535" s="10">
        <v>125</v>
      </c>
      <c r="L11535" s="10" t="s">
        <v>49782</v>
      </c>
      <c r="M11535" s="10">
        <v>1</v>
      </c>
      <c r="N11535" s="10" t="s">
        <v>49783</v>
      </c>
      <c r="O11535" s="10"/>
      <c r="P11535" s="10" t="s">
        <v>49784</v>
      </c>
      <c r="Q11535" s="10">
        <v>27.802849999999999</v>
      </c>
      <c r="R11535" s="10" t="s">
        <v>49785</v>
      </c>
      <c r="S11535" s="10" t="s">
        <v>53</v>
      </c>
      <c r="T11535" s="10" t="s">
        <v>10302</v>
      </c>
    </row>
    <row r="11536" spans="1:20" ht="14.5" x14ac:dyDescent="0.35">
      <c r="A11536" s="10" t="s">
        <v>49786</v>
      </c>
      <c r="B11536" s="10" t="str">
        <f>""</f>
        <v/>
      </c>
      <c r="C11536" s="10" t="str">
        <f>"9781564846594"</f>
        <v>9781564846594</v>
      </c>
      <c r="D11536" s="10" t="s">
        <v>9533</v>
      </c>
      <c r="E11536" s="10" t="s">
        <v>45783</v>
      </c>
      <c r="F11536" s="10" t="s">
        <v>25348</v>
      </c>
      <c r="G11536" s="10" t="s">
        <v>6317</v>
      </c>
      <c r="H11536" s="11">
        <v>42915</v>
      </c>
      <c r="I11536" s="10">
        <v>2017</v>
      </c>
      <c r="J11536" s="10" t="s">
        <v>45783</v>
      </c>
      <c r="K11536" s="10">
        <v>61</v>
      </c>
      <c r="L11536" s="10" t="s">
        <v>49787</v>
      </c>
      <c r="M11536" s="10">
        <v>1</v>
      </c>
      <c r="N11536" s="10"/>
      <c r="O11536" s="10"/>
      <c r="P11536" s="10" t="s">
        <v>49788</v>
      </c>
      <c r="Q11536" s="10">
        <v>371.33</v>
      </c>
      <c r="R11536" s="10" t="s">
        <v>29942</v>
      </c>
      <c r="S11536" s="10" t="s">
        <v>53</v>
      </c>
      <c r="T11536" s="10" t="s">
        <v>54</v>
      </c>
    </row>
    <row r="11537" spans="1:20" ht="14.5" x14ac:dyDescent="0.35">
      <c r="A11537" s="10" t="s">
        <v>49789</v>
      </c>
      <c r="B11537" s="10" t="str">
        <f>""</f>
        <v/>
      </c>
      <c r="C11537" s="10" t="str">
        <f>"9781564845870"</f>
        <v>9781564845870</v>
      </c>
      <c r="D11537" s="10" t="s">
        <v>9533</v>
      </c>
      <c r="E11537" s="10" t="s">
        <v>45783</v>
      </c>
      <c r="F11537" s="10" t="s">
        <v>25348</v>
      </c>
      <c r="G11537" s="10" t="s">
        <v>6317</v>
      </c>
      <c r="H11537" s="11">
        <v>42613</v>
      </c>
      <c r="I11537" s="10">
        <v>2016</v>
      </c>
      <c r="J11537" s="10" t="s">
        <v>45783</v>
      </c>
      <c r="K11537" s="10">
        <v>108</v>
      </c>
      <c r="L11537" s="10" t="s">
        <v>49756</v>
      </c>
      <c r="M11537" s="10">
        <v>1</v>
      </c>
      <c r="N11537" s="10"/>
      <c r="O11537" s="10"/>
      <c r="P11537" s="10" t="s">
        <v>49757</v>
      </c>
      <c r="Q11537" s="10">
        <v>371.33</v>
      </c>
      <c r="R11537" s="10" t="s">
        <v>49774</v>
      </c>
      <c r="S11537" s="10" t="s">
        <v>53</v>
      </c>
      <c r="T11537" s="10" t="s">
        <v>54</v>
      </c>
    </row>
    <row r="11538" spans="1:20" ht="14.5" x14ac:dyDescent="0.35">
      <c r="A11538" s="10" t="s">
        <v>49790</v>
      </c>
      <c r="B11538" s="10" t="str">
        <f>""</f>
        <v/>
      </c>
      <c r="C11538" s="10" t="str">
        <f>"9781564847461"</f>
        <v>9781564847461</v>
      </c>
      <c r="D11538" s="10" t="s">
        <v>9533</v>
      </c>
      <c r="E11538" s="10" t="s">
        <v>45783</v>
      </c>
      <c r="F11538" s="10" t="s">
        <v>25348</v>
      </c>
      <c r="G11538" s="10" t="s">
        <v>6317</v>
      </c>
      <c r="H11538" s="11">
        <v>43451</v>
      </c>
      <c r="I11538" s="10">
        <v>2018</v>
      </c>
      <c r="J11538" s="10" t="s">
        <v>45783</v>
      </c>
      <c r="K11538" s="10">
        <v>243</v>
      </c>
      <c r="L11538" s="10" t="s">
        <v>49791</v>
      </c>
      <c r="M11538" s="10">
        <v>1</v>
      </c>
      <c r="N11538" s="10"/>
      <c r="O11538" s="10"/>
      <c r="P11538" s="10" t="s">
        <v>49792</v>
      </c>
      <c r="Q11538" s="10">
        <v>371.10199999999998</v>
      </c>
      <c r="R11538" s="10" t="s">
        <v>49793</v>
      </c>
      <c r="S11538" s="10" t="s">
        <v>53</v>
      </c>
      <c r="T11538" s="10" t="s">
        <v>54</v>
      </c>
    </row>
    <row r="11539" spans="1:20" ht="14.5" x14ac:dyDescent="0.35">
      <c r="A11539" s="10" t="s">
        <v>49794</v>
      </c>
      <c r="B11539" s="10" t="str">
        <f>""</f>
        <v/>
      </c>
      <c r="C11539" s="10" t="str">
        <f>"9781564847027"</f>
        <v>9781564847027</v>
      </c>
      <c r="D11539" s="10" t="s">
        <v>9533</v>
      </c>
      <c r="E11539" s="10" t="s">
        <v>45783</v>
      </c>
      <c r="F11539" s="10" t="s">
        <v>25348</v>
      </c>
      <c r="G11539" s="10" t="s">
        <v>6317</v>
      </c>
      <c r="H11539" s="11">
        <v>43427</v>
      </c>
      <c r="I11539" s="10">
        <v>2018</v>
      </c>
      <c r="J11539" s="10" t="s">
        <v>45783</v>
      </c>
      <c r="K11539" s="10">
        <v>145</v>
      </c>
      <c r="L11539" s="10" t="s">
        <v>49795</v>
      </c>
      <c r="M11539" s="10">
        <v>1</v>
      </c>
      <c r="N11539" s="10"/>
      <c r="O11539" s="10"/>
      <c r="P11539" s="10" t="s">
        <v>49796</v>
      </c>
      <c r="Q11539" s="10">
        <v>370.15199999999999</v>
      </c>
      <c r="R11539" s="10" t="s">
        <v>49797</v>
      </c>
      <c r="S11539" s="10" t="s">
        <v>53</v>
      </c>
      <c r="T11539" s="10" t="s">
        <v>54</v>
      </c>
    </row>
    <row r="11540" spans="1:20" ht="14.5" x14ac:dyDescent="0.35">
      <c r="A11540" s="10" t="s">
        <v>49798</v>
      </c>
      <c r="B11540" s="10" t="str">
        <f>""</f>
        <v/>
      </c>
      <c r="C11540" s="10" t="str">
        <f>"9781564847232"</f>
        <v>9781564847232</v>
      </c>
      <c r="D11540" s="10" t="s">
        <v>9533</v>
      </c>
      <c r="E11540" s="10" t="s">
        <v>45783</v>
      </c>
      <c r="F11540" s="10" t="s">
        <v>25348</v>
      </c>
      <c r="G11540" s="10" t="s">
        <v>6317</v>
      </c>
      <c r="H11540" s="11">
        <v>43443</v>
      </c>
      <c r="I11540" s="10">
        <v>2018</v>
      </c>
      <c r="J11540" s="10" t="s">
        <v>45783</v>
      </c>
      <c r="K11540" s="10">
        <v>261</v>
      </c>
      <c r="L11540" s="10" t="s">
        <v>49799</v>
      </c>
      <c r="M11540" s="10">
        <v>2</v>
      </c>
      <c r="N11540" s="10"/>
      <c r="O11540" s="10"/>
      <c r="P11540" s="10" t="s">
        <v>49800</v>
      </c>
      <c r="Q11540" s="10">
        <v>371.33</v>
      </c>
      <c r="R11540" s="10" t="s">
        <v>49801</v>
      </c>
      <c r="S11540" s="10" t="s">
        <v>53</v>
      </c>
      <c r="T11540" s="10" t="s">
        <v>54</v>
      </c>
    </row>
    <row r="11541" spans="1:20" ht="14.5" x14ac:dyDescent="0.35">
      <c r="A11541" s="10" t="s">
        <v>49802</v>
      </c>
      <c r="B11541" s="10" t="str">
        <f>""</f>
        <v/>
      </c>
      <c r="C11541" s="10" t="str">
        <f>"9781564845450"</f>
        <v>9781564845450</v>
      </c>
      <c r="D11541" s="10" t="s">
        <v>9533</v>
      </c>
      <c r="E11541" s="10" t="s">
        <v>45783</v>
      </c>
      <c r="F11541" s="10" t="s">
        <v>25348</v>
      </c>
      <c r="G11541" s="10" t="s">
        <v>6317</v>
      </c>
      <c r="H11541" s="11">
        <v>41840</v>
      </c>
      <c r="I11541" s="10">
        <v>2014</v>
      </c>
      <c r="J11541" s="10" t="s">
        <v>45783</v>
      </c>
      <c r="K11541" s="10">
        <v>215</v>
      </c>
      <c r="L11541" s="10" t="s">
        <v>49803</v>
      </c>
      <c r="M11541" s="10">
        <v>1</v>
      </c>
      <c r="N11541" s="10"/>
      <c r="O11541" s="10"/>
      <c r="P11541" s="10" t="s">
        <v>49804</v>
      </c>
      <c r="Q11541" s="10" t="s">
        <v>49805</v>
      </c>
      <c r="R11541" s="10" t="s">
        <v>49806</v>
      </c>
      <c r="S11541" s="10" t="s">
        <v>53</v>
      </c>
      <c r="T11541" s="10" t="s">
        <v>54</v>
      </c>
    </row>
    <row r="11542" spans="1:20" ht="14.5" x14ac:dyDescent="0.35">
      <c r="A11542" s="10" t="s">
        <v>49807</v>
      </c>
      <c r="B11542" s="10" t="str">
        <f>""</f>
        <v/>
      </c>
      <c r="C11542" s="10" t="str">
        <f>"9781564847287"</f>
        <v>9781564847287</v>
      </c>
      <c r="D11542" s="10" t="s">
        <v>9533</v>
      </c>
      <c r="E11542" s="10" t="s">
        <v>45783</v>
      </c>
      <c r="F11542" s="10" t="s">
        <v>25348</v>
      </c>
      <c r="G11542" s="10" t="s">
        <v>6317</v>
      </c>
      <c r="H11542" s="11">
        <v>43386</v>
      </c>
      <c r="I11542" s="10">
        <v>2018</v>
      </c>
      <c r="J11542" s="10" t="s">
        <v>45783</v>
      </c>
      <c r="K11542" s="10">
        <v>193</v>
      </c>
      <c r="L11542" s="10" t="s">
        <v>49808</v>
      </c>
      <c r="M11542" s="10">
        <v>1</v>
      </c>
      <c r="N11542" s="10"/>
      <c r="O11542" s="10"/>
      <c r="P11542" s="10" t="s">
        <v>49809</v>
      </c>
      <c r="Q11542" s="10">
        <v>371.334</v>
      </c>
      <c r="R11542" s="10" t="s">
        <v>49810</v>
      </c>
      <c r="S11542" s="10" t="s">
        <v>53</v>
      </c>
      <c r="T11542" s="10" t="s">
        <v>54</v>
      </c>
    </row>
    <row r="11543" spans="1:20" ht="14.5" x14ac:dyDescent="0.35">
      <c r="A11543" s="10" t="s">
        <v>49811</v>
      </c>
      <c r="B11543" s="10" t="str">
        <f>""</f>
        <v/>
      </c>
      <c r="C11543" s="10" t="str">
        <f>"9781564847393"</f>
        <v>9781564847393</v>
      </c>
      <c r="D11543" s="10" t="s">
        <v>9533</v>
      </c>
      <c r="E11543" s="10" t="s">
        <v>45783</v>
      </c>
      <c r="F11543" s="10" t="s">
        <v>25348</v>
      </c>
      <c r="G11543" s="10" t="s">
        <v>6317</v>
      </c>
      <c r="H11543" s="11">
        <v>43599</v>
      </c>
      <c r="I11543" s="10">
        <v>2019</v>
      </c>
      <c r="J11543" s="10" t="s">
        <v>45783</v>
      </c>
      <c r="K11543" s="10">
        <v>261</v>
      </c>
      <c r="L11543" s="10" t="s">
        <v>49812</v>
      </c>
      <c r="M11543" s="10">
        <v>1</v>
      </c>
      <c r="N11543" s="10" t="s">
        <v>49813</v>
      </c>
      <c r="O11543" s="10"/>
      <c r="P11543" s="10" t="s">
        <v>49814</v>
      </c>
      <c r="Q11543" s="10">
        <v>371.33</v>
      </c>
      <c r="R11543" s="10" t="s">
        <v>49815</v>
      </c>
      <c r="S11543" s="10" t="s">
        <v>53</v>
      </c>
      <c r="T11543" s="10" t="s">
        <v>54</v>
      </c>
    </row>
    <row r="11544" spans="1:20" ht="14.5" x14ac:dyDescent="0.35">
      <c r="A11544" s="10" t="s">
        <v>49816</v>
      </c>
      <c r="B11544" s="10" t="str">
        <f>""</f>
        <v/>
      </c>
      <c r="C11544" s="10" t="str">
        <f>"9781564845818"</f>
        <v>9781564845818</v>
      </c>
      <c r="D11544" s="10" t="s">
        <v>9533</v>
      </c>
      <c r="E11544" s="10" t="s">
        <v>45783</v>
      </c>
      <c r="F11544" s="10" t="s">
        <v>25348</v>
      </c>
      <c r="G11544" s="10" t="s">
        <v>6317</v>
      </c>
      <c r="H11544" s="11">
        <v>42429</v>
      </c>
      <c r="I11544" s="10">
        <v>2016</v>
      </c>
      <c r="J11544" s="10" t="s">
        <v>45783</v>
      </c>
      <c r="K11544" s="10">
        <v>80</v>
      </c>
      <c r="L11544" s="10" t="s">
        <v>49756</v>
      </c>
      <c r="M11544" s="10">
        <v>1</v>
      </c>
      <c r="N11544" s="10"/>
      <c r="O11544" s="10"/>
      <c r="P11544" s="10" t="s">
        <v>49757</v>
      </c>
      <c r="Q11544" s="10">
        <v>371.33</v>
      </c>
      <c r="R11544" s="10" t="s">
        <v>49817</v>
      </c>
      <c r="S11544" s="10" t="s">
        <v>53</v>
      </c>
      <c r="T11544" s="10" t="s">
        <v>54</v>
      </c>
    </row>
    <row r="11545" spans="1:20" ht="14.5" x14ac:dyDescent="0.35">
      <c r="A11545" s="10" t="s">
        <v>49818</v>
      </c>
      <c r="B11545" s="10" t="str">
        <f>"9781425809249"</f>
        <v>9781425809249</v>
      </c>
      <c r="C11545" s="10" t="str">
        <f>"9781425895112"</f>
        <v>9781425895112</v>
      </c>
      <c r="D11545" s="10" t="s">
        <v>49819</v>
      </c>
      <c r="E11545" s="10" t="s">
        <v>49820</v>
      </c>
      <c r="F11545" s="10" t="s">
        <v>49821</v>
      </c>
      <c r="G11545" s="10" t="s">
        <v>6317</v>
      </c>
      <c r="H11545" s="11">
        <v>41275</v>
      </c>
      <c r="I11545" s="10">
        <v>2013</v>
      </c>
      <c r="J11545" s="10" t="s">
        <v>49820</v>
      </c>
      <c r="K11545" s="10">
        <v>242</v>
      </c>
      <c r="L11545" s="10" t="s">
        <v>49822</v>
      </c>
      <c r="M11545" s="10">
        <v>1</v>
      </c>
      <c r="N11545" s="10" t="s">
        <v>49823</v>
      </c>
      <c r="O11545" s="10"/>
      <c r="P11545" s="10" t="s">
        <v>49824</v>
      </c>
      <c r="Q11545" s="10"/>
      <c r="R11545" s="10" t="s">
        <v>49825</v>
      </c>
      <c r="S11545" s="10" t="s">
        <v>53</v>
      </c>
      <c r="T11545" s="10" t="s">
        <v>54</v>
      </c>
    </row>
    <row r="11546" spans="1:20" ht="14.5" x14ac:dyDescent="0.35">
      <c r="A11546" s="10" t="s">
        <v>49826</v>
      </c>
      <c r="B11546" s="10" t="str">
        <f>"9781425809263"</f>
        <v>9781425809263</v>
      </c>
      <c r="C11546" s="10" t="str">
        <f>"9781425895136"</f>
        <v>9781425895136</v>
      </c>
      <c r="D11546" s="10" t="s">
        <v>49819</v>
      </c>
      <c r="E11546" s="10" t="s">
        <v>49820</v>
      </c>
      <c r="F11546" s="10" t="s">
        <v>49821</v>
      </c>
      <c r="G11546" s="10" t="s">
        <v>6317</v>
      </c>
      <c r="H11546" s="11">
        <v>41275</v>
      </c>
      <c r="I11546" s="10">
        <v>2013</v>
      </c>
      <c r="J11546" s="10" t="s">
        <v>49820</v>
      </c>
      <c r="K11546" s="10">
        <v>242</v>
      </c>
      <c r="L11546" s="10" t="s">
        <v>49827</v>
      </c>
      <c r="M11546" s="10">
        <v>1</v>
      </c>
      <c r="N11546" s="10" t="s">
        <v>49823</v>
      </c>
      <c r="O11546" s="10"/>
      <c r="P11546" s="10" t="s">
        <v>49828</v>
      </c>
      <c r="Q11546" s="10"/>
      <c r="R11546" s="10" t="s">
        <v>49829</v>
      </c>
      <c r="S11546" s="10" t="s">
        <v>53</v>
      </c>
      <c r="T11546" s="10" t="s">
        <v>54</v>
      </c>
    </row>
    <row r="11547" spans="1:20" ht="14.5" x14ac:dyDescent="0.35">
      <c r="A11547" s="10" t="s">
        <v>49830</v>
      </c>
      <c r="B11547" s="10" t="str">
        <f>"9781425809270"</f>
        <v>9781425809270</v>
      </c>
      <c r="C11547" s="10" t="str">
        <f>"9781425895143"</f>
        <v>9781425895143</v>
      </c>
      <c r="D11547" s="10" t="s">
        <v>49819</v>
      </c>
      <c r="E11547" s="10" t="s">
        <v>49820</v>
      </c>
      <c r="F11547" s="10" t="s">
        <v>49821</v>
      </c>
      <c r="G11547" s="10" t="s">
        <v>6317</v>
      </c>
      <c r="H11547" s="11">
        <v>41275</v>
      </c>
      <c r="I11547" s="10">
        <v>2013</v>
      </c>
      <c r="J11547" s="10" t="s">
        <v>49820</v>
      </c>
      <c r="K11547" s="10">
        <v>242</v>
      </c>
      <c r="L11547" s="10" t="s">
        <v>49827</v>
      </c>
      <c r="M11547" s="10">
        <v>1</v>
      </c>
      <c r="N11547" s="10" t="s">
        <v>49823</v>
      </c>
      <c r="O11547" s="10"/>
      <c r="P11547" s="10" t="s">
        <v>49831</v>
      </c>
      <c r="Q11547" s="10"/>
      <c r="R11547" s="10" t="s">
        <v>49825</v>
      </c>
      <c r="S11547" s="10" t="s">
        <v>53</v>
      </c>
      <c r="T11547" s="10" t="s">
        <v>54</v>
      </c>
    </row>
    <row r="11548" spans="1:20" ht="14.5" x14ac:dyDescent="0.35">
      <c r="A11548" s="10" t="s">
        <v>49832</v>
      </c>
      <c r="B11548" s="10" t="str">
        <f>"9781425809218"</f>
        <v>9781425809218</v>
      </c>
      <c r="C11548" s="10" t="str">
        <f>"9781425895082"</f>
        <v>9781425895082</v>
      </c>
      <c r="D11548" s="10" t="s">
        <v>49819</v>
      </c>
      <c r="E11548" s="10" t="s">
        <v>49820</v>
      </c>
      <c r="F11548" s="10" t="s">
        <v>49821</v>
      </c>
      <c r="G11548" s="10" t="s">
        <v>6317</v>
      </c>
      <c r="H11548" s="11">
        <v>41275</v>
      </c>
      <c r="I11548" s="10">
        <v>2013</v>
      </c>
      <c r="J11548" s="10" t="s">
        <v>49820</v>
      </c>
      <c r="K11548" s="10">
        <v>250</v>
      </c>
      <c r="L11548" s="10" t="s">
        <v>49833</v>
      </c>
      <c r="M11548" s="10">
        <v>1</v>
      </c>
      <c r="N11548" s="10" t="s">
        <v>49823</v>
      </c>
      <c r="O11548" s="10"/>
      <c r="P11548" s="10" t="s">
        <v>49834</v>
      </c>
      <c r="Q11548" s="10"/>
      <c r="R11548" s="10" t="s">
        <v>49825</v>
      </c>
      <c r="S11548" s="10" t="s">
        <v>53</v>
      </c>
      <c r="T11548" s="10" t="s">
        <v>54</v>
      </c>
    </row>
    <row r="11549" spans="1:20" ht="14.5" x14ac:dyDescent="0.35">
      <c r="A11549" s="10" t="s">
        <v>49835</v>
      </c>
      <c r="B11549" s="10" t="str">
        <f>"9781425811662"</f>
        <v>9781425811662</v>
      </c>
      <c r="C11549" s="10" t="str">
        <f>"9781425895426"</f>
        <v>9781425895426</v>
      </c>
      <c r="D11549" s="10" t="s">
        <v>49819</v>
      </c>
      <c r="E11549" s="10" t="s">
        <v>49820</v>
      </c>
      <c r="F11549" s="10" t="s">
        <v>49821</v>
      </c>
      <c r="G11549" s="10" t="s">
        <v>6317</v>
      </c>
      <c r="H11549" s="11">
        <v>41913</v>
      </c>
      <c r="I11549" s="10">
        <v>2015</v>
      </c>
      <c r="J11549" s="10" t="s">
        <v>49820</v>
      </c>
      <c r="K11549" s="10">
        <v>210</v>
      </c>
      <c r="L11549" s="10" t="s">
        <v>49822</v>
      </c>
      <c r="M11549" s="10">
        <v>1</v>
      </c>
      <c r="N11549" s="10" t="s">
        <v>49823</v>
      </c>
      <c r="O11549" s="10"/>
      <c r="P11549" s="10" t="s">
        <v>49836</v>
      </c>
      <c r="Q11549" s="10"/>
      <c r="R11549" s="10" t="s">
        <v>49825</v>
      </c>
      <c r="S11549" s="10" t="s">
        <v>53</v>
      </c>
      <c r="T11549" s="10" t="s">
        <v>54</v>
      </c>
    </row>
    <row r="11550" spans="1:20" ht="14.5" x14ac:dyDescent="0.35">
      <c r="A11550" s="10" t="s">
        <v>49837</v>
      </c>
      <c r="B11550" s="10" t="str">
        <f>"9781425811709"</f>
        <v>9781425811709</v>
      </c>
      <c r="C11550" s="10" t="str">
        <f>"9781425895464"</f>
        <v>9781425895464</v>
      </c>
      <c r="D11550" s="10" t="s">
        <v>49819</v>
      </c>
      <c r="E11550" s="10" t="s">
        <v>49820</v>
      </c>
      <c r="F11550" s="10" t="s">
        <v>49821</v>
      </c>
      <c r="G11550" s="10" t="s">
        <v>6317</v>
      </c>
      <c r="H11550" s="11">
        <v>41913</v>
      </c>
      <c r="I11550" s="10">
        <v>2015</v>
      </c>
      <c r="J11550" s="10" t="s">
        <v>49820</v>
      </c>
      <c r="K11550" s="10">
        <v>210</v>
      </c>
      <c r="L11550" s="10" t="s">
        <v>49833</v>
      </c>
      <c r="M11550" s="10">
        <v>1</v>
      </c>
      <c r="N11550" s="10" t="s">
        <v>49823</v>
      </c>
      <c r="O11550" s="10"/>
      <c r="P11550" s="10" t="s">
        <v>49838</v>
      </c>
      <c r="Q11550" s="10"/>
      <c r="R11550" s="10" t="s">
        <v>49825</v>
      </c>
      <c r="S11550" s="10" t="s">
        <v>53</v>
      </c>
      <c r="T11550" s="10" t="s">
        <v>54</v>
      </c>
    </row>
    <row r="11551" spans="1:20" ht="14.5" x14ac:dyDescent="0.35">
      <c r="A11551" s="10" t="s">
        <v>49839</v>
      </c>
      <c r="B11551" s="10" t="str">
        <f>"9781425811716"</f>
        <v>9781425811716</v>
      </c>
      <c r="C11551" s="10" t="str">
        <f>"9781425895471"</f>
        <v>9781425895471</v>
      </c>
      <c r="D11551" s="10" t="s">
        <v>49819</v>
      </c>
      <c r="E11551" s="10" t="s">
        <v>49820</v>
      </c>
      <c r="F11551" s="10" t="s">
        <v>49821</v>
      </c>
      <c r="G11551" s="10" t="s">
        <v>6317</v>
      </c>
      <c r="H11551" s="11">
        <v>41913</v>
      </c>
      <c r="I11551" s="10">
        <v>2015</v>
      </c>
      <c r="J11551" s="10" t="s">
        <v>49820</v>
      </c>
      <c r="K11551" s="10">
        <v>210</v>
      </c>
      <c r="L11551" s="10" t="s">
        <v>49833</v>
      </c>
      <c r="M11551" s="10">
        <v>1</v>
      </c>
      <c r="N11551" s="10" t="s">
        <v>49823</v>
      </c>
      <c r="O11551" s="10"/>
      <c r="P11551" s="10" t="s">
        <v>49838</v>
      </c>
      <c r="Q11551" s="10"/>
      <c r="R11551" s="10" t="s">
        <v>49825</v>
      </c>
      <c r="S11551" s="10" t="s">
        <v>53</v>
      </c>
      <c r="T11551" s="10" t="s">
        <v>54</v>
      </c>
    </row>
    <row r="11552" spans="1:20" ht="14.5" x14ac:dyDescent="0.35">
      <c r="A11552" s="10" t="s">
        <v>49840</v>
      </c>
      <c r="B11552" s="10" t="str">
        <f>"9781425811723"</f>
        <v>9781425811723</v>
      </c>
      <c r="C11552" s="10" t="str">
        <f>"9781425895488"</f>
        <v>9781425895488</v>
      </c>
      <c r="D11552" s="10" t="s">
        <v>49819</v>
      </c>
      <c r="E11552" s="10" t="s">
        <v>49820</v>
      </c>
      <c r="F11552" s="10" t="s">
        <v>49821</v>
      </c>
      <c r="G11552" s="10" t="s">
        <v>6317</v>
      </c>
      <c r="H11552" s="11">
        <v>41913</v>
      </c>
      <c r="I11552" s="10">
        <v>2015</v>
      </c>
      <c r="J11552" s="10" t="s">
        <v>49820</v>
      </c>
      <c r="K11552" s="10">
        <v>210</v>
      </c>
      <c r="L11552" s="10" t="s">
        <v>49822</v>
      </c>
      <c r="M11552" s="10">
        <v>1</v>
      </c>
      <c r="N11552" s="10" t="s">
        <v>49823</v>
      </c>
      <c r="O11552" s="10"/>
      <c r="P11552" s="10" t="s">
        <v>49841</v>
      </c>
      <c r="Q11552" s="10"/>
      <c r="R11552" s="10" t="s">
        <v>49842</v>
      </c>
      <c r="S11552" s="10" t="s">
        <v>53</v>
      </c>
      <c r="T11552" s="10" t="s">
        <v>6616</v>
      </c>
    </row>
    <row r="11553" spans="1:20" ht="14.5" x14ac:dyDescent="0.35">
      <c r="A11553" s="10" t="s">
        <v>49843</v>
      </c>
      <c r="B11553" s="10" t="str">
        <f>"9781425811785"</f>
        <v>9781425811785</v>
      </c>
      <c r="C11553" s="10" t="str">
        <f>"9781425895549"</f>
        <v>9781425895549</v>
      </c>
      <c r="D11553" s="10" t="s">
        <v>49819</v>
      </c>
      <c r="E11553" s="10" t="s">
        <v>49820</v>
      </c>
      <c r="F11553" s="10" t="s">
        <v>49821</v>
      </c>
      <c r="G11553" s="10" t="s">
        <v>6317</v>
      </c>
      <c r="H11553" s="11">
        <v>41791</v>
      </c>
      <c r="I11553" s="10">
        <v>2014</v>
      </c>
      <c r="J11553" s="10" t="s">
        <v>49820</v>
      </c>
      <c r="K11553" s="10">
        <v>162</v>
      </c>
      <c r="L11553" s="10" t="s">
        <v>49844</v>
      </c>
      <c r="M11553" s="10">
        <v>1</v>
      </c>
      <c r="N11553" s="10" t="s">
        <v>49845</v>
      </c>
      <c r="O11553" s="10"/>
      <c r="P11553" s="10" t="s">
        <v>49846</v>
      </c>
      <c r="Q11553" s="10">
        <v>372.24099999999999</v>
      </c>
      <c r="R11553" s="10" t="s">
        <v>49847</v>
      </c>
      <c r="S11553" s="10" t="s">
        <v>53</v>
      </c>
      <c r="T11553" s="10" t="s">
        <v>54</v>
      </c>
    </row>
    <row r="11554" spans="1:20" ht="14.5" x14ac:dyDescent="0.35">
      <c r="A11554" s="10" t="s">
        <v>49843</v>
      </c>
      <c r="B11554" s="10" t="str">
        <f>"9781425811792"</f>
        <v>9781425811792</v>
      </c>
      <c r="C11554" s="10" t="str">
        <f>"9781425895556"</f>
        <v>9781425895556</v>
      </c>
      <c r="D11554" s="10" t="s">
        <v>49819</v>
      </c>
      <c r="E11554" s="10" t="s">
        <v>49820</v>
      </c>
      <c r="F11554" s="10" t="s">
        <v>49821</v>
      </c>
      <c r="G11554" s="10" t="s">
        <v>6317</v>
      </c>
      <c r="H11554" s="11">
        <v>41791</v>
      </c>
      <c r="I11554" s="10">
        <v>2014</v>
      </c>
      <c r="J11554" s="10" t="s">
        <v>49820</v>
      </c>
      <c r="K11554" s="10">
        <v>162</v>
      </c>
      <c r="L11554" s="10" t="s">
        <v>49844</v>
      </c>
      <c r="M11554" s="10">
        <v>1</v>
      </c>
      <c r="N11554" s="10" t="s">
        <v>49845</v>
      </c>
      <c r="O11554" s="10"/>
      <c r="P11554" s="10" t="s">
        <v>49846</v>
      </c>
      <c r="Q11554" s="10">
        <v>372.24099999999999</v>
      </c>
      <c r="R11554" s="10" t="s">
        <v>49848</v>
      </c>
      <c r="S11554" s="10" t="s">
        <v>53</v>
      </c>
      <c r="T11554" s="10" t="s">
        <v>54</v>
      </c>
    </row>
    <row r="11555" spans="1:20" ht="14.5" x14ac:dyDescent="0.35">
      <c r="A11555" s="10" t="s">
        <v>49843</v>
      </c>
      <c r="B11555" s="10" t="str">
        <f>"9781425811808"</f>
        <v>9781425811808</v>
      </c>
      <c r="C11555" s="10" t="str">
        <f>"9781425895563"</f>
        <v>9781425895563</v>
      </c>
      <c r="D11555" s="10" t="s">
        <v>49819</v>
      </c>
      <c r="E11555" s="10" t="s">
        <v>49820</v>
      </c>
      <c r="F11555" s="10" t="s">
        <v>49821</v>
      </c>
      <c r="G11555" s="10" t="s">
        <v>6317</v>
      </c>
      <c r="H11555" s="11">
        <v>41791</v>
      </c>
      <c r="I11555" s="10">
        <v>2014</v>
      </c>
      <c r="J11555" s="10" t="s">
        <v>49820</v>
      </c>
      <c r="K11555" s="10">
        <v>154</v>
      </c>
      <c r="L11555" s="10" t="s">
        <v>49844</v>
      </c>
      <c r="M11555" s="10">
        <v>1</v>
      </c>
      <c r="N11555" s="10" t="s">
        <v>49845</v>
      </c>
      <c r="O11555" s="10"/>
      <c r="P11555" s="10" t="s">
        <v>49846</v>
      </c>
      <c r="Q11555" s="10">
        <v>372.24099999999999</v>
      </c>
      <c r="R11555" s="10" t="s">
        <v>49849</v>
      </c>
      <c r="S11555" s="10" t="s">
        <v>53</v>
      </c>
      <c r="T11555" s="10" t="s">
        <v>54</v>
      </c>
    </row>
    <row r="11556" spans="1:20" ht="14.5" x14ac:dyDescent="0.35">
      <c r="A11556" s="10" t="s">
        <v>49843</v>
      </c>
      <c r="B11556" s="10" t="str">
        <f>"9781425811815"</f>
        <v>9781425811815</v>
      </c>
      <c r="C11556" s="10" t="str">
        <f>"9781425895570"</f>
        <v>9781425895570</v>
      </c>
      <c r="D11556" s="10" t="s">
        <v>49819</v>
      </c>
      <c r="E11556" s="10" t="s">
        <v>49820</v>
      </c>
      <c r="F11556" s="10" t="s">
        <v>49821</v>
      </c>
      <c r="G11556" s="10" t="s">
        <v>6317</v>
      </c>
      <c r="H11556" s="11">
        <v>41791</v>
      </c>
      <c r="I11556" s="10">
        <v>2014</v>
      </c>
      <c r="J11556" s="10" t="s">
        <v>49820</v>
      </c>
      <c r="K11556" s="10">
        <v>154</v>
      </c>
      <c r="L11556" s="10" t="s">
        <v>49844</v>
      </c>
      <c r="M11556" s="10">
        <v>1</v>
      </c>
      <c r="N11556" s="10" t="s">
        <v>49845</v>
      </c>
      <c r="O11556" s="10"/>
      <c r="P11556" s="10" t="s">
        <v>49846</v>
      </c>
      <c r="Q11556" s="10">
        <v>372.24099999999999</v>
      </c>
      <c r="R11556" s="10" t="s">
        <v>49850</v>
      </c>
      <c r="S11556" s="10" t="s">
        <v>53</v>
      </c>
      <c r="T11556" s="10" t="s">
        <v>54</v>
      </c>
    </row>
    <row r="11557" spans="1:20" ht="14.5" x14ac:dyDescent="0.35">
      <c r="A11557" s="10" t="s">
        <v>49843</v>
      </c>
      <c r="B11557" s="10" t="str">
        <f>"9781425811839"</f>
        <v>9781425811839</v>
      </c>
      <c r="C11557" s="10" t="str">
        <f>"9781425895594"</f>
        <v>9781425895594</v>
      </c>
      <c r="D11557" s="10" t="s">
        <v>49819</v>
      </c>
      <c r="E11557" s="10" t="s">
        <v>49820</v>
      </c>
      <c r="F11557" s="10" t="s">
        <v>49821</v>
      </c>
      <c r="G11557" s="10" t="s">
        <v>6317</v>
      </c>
      <c r="H11557" s="11">
        <v>41791</v>
      </c>
      <c r="I11557" s="10">
        <v>2014</v>
      </c>
      <c r="J11557" s="10" t="s">
        <v>49820</v>
      </c>
      <c r="K11557" s="10">
        <v>162</v>
      </c>
      <c r="L11557" s="10" t="s">
        <v>49844</v>
      </c>
      <c r="M11557" s="10">
        <v>1</v>
      </c>
      <c r="N11557" s="10" t="s">
        <v>49845</v>
      </c>
      <c r="O11557" s="10"/>
      <c r="P11557" s="10" t="s">
        <v>49846</v>
      </c>
      <c r="Q11557" s="10">
        <v>372.24099999999999</v>
      </c>
      <c r="R11557" s="10" t="s">
        <v>49851</v>
      </c>
      <c r="S11557" s="10" t="s">
        <v>53</v>
      </c>
      <c r="T11557" s="10" t="s">
        <v>54</v>
      </c>
    </row>
    <row r="11558" spans="1:20" ht="14.5" x14ac:dyDescent="0.35">
      <c r="A11558" s="10" t="s">
        <v>49852</v>
      </c>
      <c r="B11558" s="10" t="str">
        <f>"9781425811860"</f>
        <v>9781425811860</v>
      </c>
      <c r="C11558" s="10" t="str">
        <f>"9781425895624"</f>
        <v>9781425895624</v>
      </c>
      <c r="D11558" s="10" t="s">
        <v>49819</v>
      </c>
      <c r="E11558" s="10" t="s">
        <v>49820</v>
      </c>
      <c r="F11558" s="10" t="s">
        <v>49853</v>
      </c>
      <c r="G11558" s="10" t="s">
        <v>6317</v>
      </c>
      <c r="H11558" s="11">
        <v>42005</v>
      </c>
      <c r="I11558" s="10">
        <v>2015</v>
      </c>
      <c r="J11558" s="10" t="s">
        <v>49820</v>
      </c>
      <c r="K11558" s="10">
        <v>162</v>
      </c>
      <c r="L11558" s="10" t="s">
        <v>49854</v>
      </c>
      <c r="M11558" s="10">
        <v>2</v>
      </c>
      <c r="N11558" s="10" t="s">
        <v>49855</v>
      </c>
      <c r="O11558" s="10"/>
      <c r="P11558" s="10" t="s">
        <v>49856</v>
      </c>
      <c r="Q11558" s="10"/>
      <c r="R11558" s="10" t="s">
        <v>49857</v>
      </c>
      <c r="S11558" s="10" t="s">
        <v>53</v>
      </c>
      <c r="T11558" s="10" t="s">
        <v>54</v>
      </c>
    </row>
    <row r="11559" spans="1:20" ht="14.5" x14ac:dyDescent="0.35">
      <c r="A11559" s="10" t="s">
        <v>49858</v>
      </c>
      <c r="B11559" s="10" t="str">
        <f>"9781425811877"</f>
        <v>9781425811877</v>
      </c>
      <c r="C11559" s="10" t="str">
        <f>"9781425895631"</f>
        <v>9781425895631</v>
      </c>
      <c r="D11559" s="10" t="s">
        <v>49819</v>
      </c>
      <c r="E11559" s="10" t="s">
        <v>49820</v>
      </c>
      <c r="F11559" s="10" t="s">
        <v>49821</v>
      </c>
      <c r="G11559" s="10" t="s">
        <v>6317</v>
      </c>
      <c r="H11559" s="11">
        <v>41640</v>
      </c>
      <c r="I11559" s="10">
        <v>2014</v>
      </c>
      <c r="J11559" s="10" t="s">
        <v>49820</v>
      </c>
      <c r="K11559" s="10">
        <v>234</v>
      </c>
      <c r="L11559" s="10" t="s">
        <v>47383</v>
      </c>
      <c r="M11559" s="10">
        <v>1</v>
      </c>
      <c r="N11559" s="10" t="s">
        <v>49859</v>
      </c>
      <c r="O11559" s="10"/>
      <c r="P11559" s="10" t="s">
        <v>49860</v>
      </c>
      <c r="Q11559" s="10"/>
      <c r="R11559" s="10" t="s">
        <v>46649</v>
      </c>
      <c r="S11559" s="10" t="s">
        <v>53</v>
      </c>
      <c r="T11559" s="10" t="s">
        <v>389</v>
      </c>
    </row>
    <row r="11560" spans="1:20" ht="14.5" x14ac:dyDescent="0.35">
      <c r="A11560" s="10" t="s">
        <v>49861</v>
      </c>
      <c r="B11560" s="10" t="str">
        <f>"9781425811884"</f>
        <v>9781425811884</v>
      </c>
      <c r="C11560" s="10" t="str">
        <f>"9781425895648"</f>
        <v>9781425895648</v>
      </c>
      <c r="D11560" s="10" t="s">
        <v>49819</v>
      </c>
      <c r="E11560" s="10" t="s">
        <v>49820</v>
      </c>
      <c r="F11560" s="10" t="s">
        <v>49821</v>
      </c>
      <c r="G11560" s="10" t="s">
        <v>6317</v>
      </c>
      <c r="H11560" s="11">
        <v>41913</v>
      </c>
      <c r="I11560" s="10">
        <v>2015</v>
      </c>
      <c r="J11560" s="10" t="s">
        <v>49820</v>
      </c>
      <c r="K11560" s="10">
        <v>258</v>
      </c>
      <c r="L11560" s="10" t="s">
        <v>49862</v>
      </c>
      <c r="M11560" s="10">
        <v>2</v>
      </c>
      <c r="N11560" s="10" t="s">
        <v>49855</v>
      </c>
      <c r="O11560" s="10"/>
      <c r="P11560" s="10" t="s">
        <v>49863</v>
      </c>
      <c r="Q11560" s="10"/>
      <c r="R11560" s="10" t="s">
        <v>45391</v>
      </c>
      <c r="S11560" s="10" t="s">
        <v>53</v>
      </c>
      <c r="T11560" s="10" t="s">
        <v>54</v>
      </c>
    </row>
    <row r="11561" spans="1:20" ht="14.5" x14ac:dyDescent="0.35">
      <c r="A11561" s="10" t="s">
        <v>49864</v>
      </c>
      <c r="B11561" s="10" t="str">
        <f>"9781425811921"</f>
        <v>9781425811921</v>
      </c>
      <c r="C11561" s="10" t="str">
        <f>"9781425895686"</f>
        <v>9781425895686</v>
      </c>
      <c r="D11561" s="10" t="s">
        <v>49819</v>
      </c>
      <c r="E11561" s="10" t="s">
        <v>49820</v>
      </c>
      <c r="F11561" s="10" t="s">
        <v>49821</v>
      </c>
      <c r="G11561" s="10" t="s">
        <v>6317</v>
      </c>
      <c r="H11561" s="11">
        <v>42005</v>
      </c>
      <c r="I11561" s="10">
        <v>2015</v>
      </c>
      <c r="J11561" s="10" t="s">
        <v>49820</v>
      </c>
      <c r="K11561" s="10">
        <v>226</v>
      </c>
      <c r="L11561" s="10" t="s">
        <v>49865</v>
      </c>
      <c r="M11561" s="10">
        <v>2</v>
      </c>
      <c r="N11561" s="10" t="s">
        <v>49855</v>
      </c>
      <c r="O11561" s="10"/>
      <c r="P11561" s="10" t="s">
        <v>49866</v>
      </c>
      <c r="Q11561" s="10"/>
      <c r="R11561" s="10" t="s">
        <v>29942</v>
      </c>
      <c r="S11561" s="10" t="s">
        <v>53</v>
      </c>
      <c r="T11561" s="10" t="s">
        <v>54</v>
      </c>
    </row>
    <row r="11562" spans="1:20" ht="14.5" x14ac:dyDescent="0.35">
      <c r="A11562" s="10" t="s">
        <v>49843</v>
      </c>
      <c r="B11562" s="10" t="str">
        <f>"9781425811846"</f>
        <v>9781425811846</v>
      </c>
      <c r="C11562" s="10" t="str">
        <f>"9781425895600"</f>
        <v>9781425895600</v>
      </c>
      <c r="D11562" s="10" t="s">
        <v>49819</v>
      </c>
      <c r="E11562" s="10" t="s">
        <v>49820</v>
      </c>
      <c r="F11562" s="10" t="s">
        <v>49821</v>
      </c>
      <c r="G11562" s="10" t="s">
        <v>6317</v>
      </c>
      <c r="H11562" s="11">
        <v>41791</v>
      </c>
      <c r="I11562" s="10">
        <v>2014</v>
      </c>
      <c r="J11562" s="10" t="s">
        <v>49820</v>
      </c>
      <c r="K11562" s="10">
        <v>162</v>
      </c>
      <c r="L11562" s="10" t="s">
        <v>49844</v>
      </c>
      <c r="M11562" s="10">
        <v>1</v>
      </c>
      <c r="N11562" s="10" t="s">
        <v>49845</v>
      </c>
      <c r="O11562" s="10"/>
      <c r="P11562" s="10" t="s">
        <v>49867</v>
      </c>
      <c r="Q11562" s="10">
        <v>370.71</v>
      </c>
      <c r="R11562" s="10" t="s">
        <v>49868</v>
      </c>
      <c r="S11562" s="10" t="s">
        <v>53</v>
      </c>
      <c r="T11562" s="10" t="s">
        <v>54</v>
      </c>
    </row>
    <row r="11563" spans="1:20" ht="14.5" x14ac:dyDescent="0.35">
      <c r="A11563" s="10" t="s">
        <v>49869</v>
      </c>
      <c r="B11563" s="10" t="str">
        <f>"9781425811907"</f>
        <v>9781425811907</v>
      </c>
      <c r="C11563" s="10" t="str">
        <f>"9781425895662"</f>
        <v>9781425895662</v>
      </c>
      <c r="D11563" s="10" t="s">
        <v>49819</v>
      </c>
      <c r="E11563" s="10" t="s">
        <v>49820</v>
      </c>
      <c r="F11563" s="10" t="s">
        <v>49821</v>
      </c>
      <c r="G11563" s="10" t="s">
        <v>6317</v>
      </c>
      <c r="H11563" s="11">
        <v>41791</v>
      </c>
      <c r="I11563" s="10">
        <v>2014</v>
      </c>
      <c r="J11563" s="10" t="s">
        <v>49820</v>
      </c>
      <c r="K11563" s="10">
        <v>218</v>
      </c>
      <c r="L11563" s="10" t="s">
        <v>49870</v>
      </c>
      <c r="M11563" s="10">
        <v>2</v>
      </c>
      <c r="N11563" s="10" t="s">
        <v>49855</v>
      </c>
      <c r="O11563" s="10"/>
      <c r="P11563" s="10" t="s">
        <v>49871</v>
      </c>
      <c r="Q11563" s="10"/>
      <c r="R11563" s="10" t="s">
        <v>49872</v>
      </c>
      <c r="S11563" s="10" t="s">
        <v>53</v>
      </c>
      <c r="T11563" s="10" t="s">
        <v>54</v>
      </c>
    </row>
    <row r="11564" spans="1:20" ht="14.5" x14ac:dyDescent="0.35">
      <c r="A11564" s="10" t="s">
        <v>49873</v>
      </c>
      <c r="B11564" s="10" t="str">
        <f>"9781425811952"</f>
        <v>9781425811952</v>
      </c>
      <c r="C11564" s="10" t="str">
        <f>"9781425895716"</f>
        <v>9781425895716</v>
      </c>
      <c r="D11564" s="10" t="s">
        <v>49819</v>
      </c>
      <c r="E11564" s="10" t="s">
        <v>49820</v>
      </c>
      <c r="F11564" s="10" t="s">
        <v>49821</v>
      </c>
      <c r="G11564" s="10" t="s">
        <v>6317</v>
      </c>
      <c r="H11564" s="11">
        <v>41913</v>
      </c>
      <c r="I11564" s="10">
        <v>2015</v>
      </c>
      <c r="J11564" s="10" t="s">
        <v>49820</v>
      </c>
      <c r="K11564" s="10">
        <v>170</v>
      </c>
      <c r="L11564" s="10" t="s">
        <v>49874</v>
      </c>
      <c r="M11564" s="10">
        <v>1</v>
      </c>
      <c r="N11564" s="10" t="s">
        <v>49855</v>
      </c>
      <c r="O11564" s="10"/>
      <c r="P11564" s="10" t="s">
        <v>49875</v>
      </c>
      <c r="Q11564" s="10"/>
      <c r="R11564" s="10" t="s">
        <v>7483</v>
      </c>
      <c r="S11564" s="10" t="s">
        <v>53</v>
      </c>
      <c r="T11564" s="10" t="s">
        <v>54</v>
      </c>
    </row>
    <row r="11565" spans="1:20" ht="14.5" x14ac:dyDescent="0.35">
      <c r="A11565" s="10" t="s">
        <v>49876</v>
      </c>
      <c r="B11565" s="10" t="str">
        <f>"9781425811969"</f>
        <v>9781425811969</v>
      </c>
      <c r="C11565" s="10" t="str">
        <f>"9781425895723"</f>
        <v>9781425895723</v>
      </c>
      <c r="D11565" s="10" t="s">
        <v>49819</v>
      </c>
      <c r="E11565" s="10" t="s">
        <v>49820</v>
      </c>
      <c r="F11565" s="10" t="s">
        <v>49821</v>
      </c>
      <c r="G11565" s="10" t="s">
        <v>6317</v>
      </c>
      <c r="H11565" s="11">
        <v>41730</v>
      </c>
      <c r="I11565" s="10">
        <v>2014</v>
      </c>
      <c r="J11565" s="10" t="s">
        <v>49820</v>
      </c>
      <c r="K11565" s="10">
        <v>290</v>
      </c>
      <c r="L11565" s="10" t="s">
        <v>49877</v>
      </c>
      <c r="M11565" s="10">
        <v>1</v>
      </c>
      <c r="N11565" s="10" t="s">
        <v>49878</v>
      </c>
      <c r="O11565" s="10"/>
      <c r="P11565" s="10" t="s">
        <v>49879</v>
      </c>
      <c r="Q11565" s="10">
        <v>372.7</v>
      </c>
      <c r="R11565" s="10" t="s">
        <v>19338</v>
      </c>
      <c r="S11565" s="10" t="s">
        <v>53</v>
      </c>
      <c r="T11565" s="10" t="s">
        <v>6448</v>
      </c>
    </row>
    <row r="11566" spans="1:20" ht="14.5" x14ac:dyDescent="0.35">
      <c r="A11566" s="10" t="s">
        <v>49880</v>
      </c>
      <c r="B11566" s="10" t="str">
        <f>"9781425811976"</f>
        <v>9781425811976</v>
      </c>
      <c r="C11566" s="10" t="str">
        <f>"9781425895730"</f>
        <v>9781425895730</v>
      </c>
      <c r="D11566" s="10" t="s">
        <v>49819</v>
      </c>
      <c r="E11566" s="10" t="s">
        <v>49820</v>
      </c>
      <c r="F11566" s="10" t="s">
        <v>49821</v>
      </c>
      <c r="G11566" s="10" t="s">
        <v>6317</v>
      </c>
      <c r="H11566" s="11">
        <v>41730</v>
      </c>
      <c r="I11566" s="10">
        <v>2014</v>
      </c>
      <c r="J11566" s="10" t="s">
        <v>49820</v>
      </c>
      <c r="K11566" s="10">
        <v>306</v>
      </c>
      <c r="L11566" s="10" t="s">
        <v>49881</v>
      </c>
      <c r="M11566" s="10">
        <v>1</v>
      </c>
      <c r="N11566" s="10" t="s">
        <v>49878</v>
      </c>
      <c r="O11566" s="10"/>
      <c r="P11566" s="10" t="s">
        <v>49882</v>
      </c>
      <c r="Q11566" s="10">
        <v>372.7</v>
      </c>
      <c r="R11566" s="10" t="s">
        <v>19338</v>
      </c>
      <c r="S11566" s="10" t="s">
        <v>53</v>
      </c>
      <c r="T11566" s="10" t="s">
        <v>7425</v>
      </c>
    </row>
    <row r="11567" spans="1:20" ht="14.5" x14ac:dyDescent="0.35">
      <c r="A11567" s="10" t="s">
        <v>49883</v>
      </c>
      <c r="B11567" s="10" t="str">
        <f>"9781425812072"</f>
        <v>9781425812072</v>
      </c>
      <c r="C11567" s="10" t="str">
        <f>"9781425895839"</f>
        <v>9781425895839</v>
      </c>
      <c r="D11567" s="10" t="s">
        <v>49819</v>
      </c>
      <c r="E11567" s="10" t="s">
        <v>49820</v>
      </c>
      <c r="F11567" s="10" t="s">
        <v>49821</v>
      </c>
      <c r="G11567" s="10" t="s">
        <v>6317</v>
      </c>
      <c r="H11567" s="11">
        <v>42095</v>
      </c>
      <c r="I11567" s="10">
        <v>2015</v>
      </c>
      <c r="J11567" s="10" t="s">
        <v>49820</v>
      </c>
      <c r="K11567" s="10">
        <v>242</v>
      </c>
      <c r="L11567" s="10" t="s">
        <v>49884</v>
      </c>
      <c r="M11567" s="10">
        <v>2</v>
      </c>
      <c r="N11567" s="10" t="s">
        <v>49855</v>
      </c>
      <c r="O11567" s="10"/>
      <c r="P11567" s="10" t="s">
        <v>49885</v>
      </c>
      <c r="Q11567" s="10"/>
      <c r="R11567" s="10" t="s">
        <v>46649</v>
      </c>
      <c r="S11567" s="10" t="s">
        <v>53</v>
      </c>
      <c r="T11567" s="10" t="s">
        <v>389</v>
      </c>
    </row>
    <row r="11568" spans="1:20" ht="14.5" x14ac:dyDescent="0.35">
      <c r="A11568" s="10" t="s">
        <v>49886</v>
      </c>
      <c r="B11568" s="10" t="str">
        <f>"9781425812096"</f>
        <v>9781425812096</v>
      </c>
      <c r="C11568" s="10" t="str">
        <f>"9781425895853"</f>
        <v>9781425895853</v>
      </c>
      <c r="D11568" s="10" t="s">
        <v>49819</v>
      </c>
      <c r="E11568" s="10" t="s">
        <v>49820</v>
      </c>
      <c r="F11568" s="10" t="s">
        <v>49821</v>
      </c>
      <c r="G11568" s="10" t="s">
        <v>6317</v>
      </c>
      <c r="H11568" s="11">
        <v>41944</v>
      </c>
      <c r="I11568" s="10">
        <v>2015</v>
      </c>
      <c r="J11568" s="10" t="s">
        <v>49820</v>
      </c>
      <c r="K11568" s="10">
        <v>178</v>
      </c>
      <c r="L11568" s="10" t="s">
        <v>49887</v>
      </c>
      <c r="M11568" s="10">
        <v>2</v>
      </c>
      <c r="N11568" s="10" t="s">
        <v>49855</v>
      </c>
      <c r="O11568" s="10"/>
      <c r="P11568" s="10" t="s">
        <v>49888</v>
      </c>
      <c r="Q11568" s="10"/>
      <c r="R11568" s="10" t="s">
        <v>49889</v>
      </c>
      <c r="S11568" s="10" t="s">
        <v>53</v>
      </c>
      <c r="T11568" s="10" t="s">
        <v>5557</v>
      </c>
    </row>
    <row r="11569" spans="1:20" ht="14.5" x14ac:dyDescent="0.35">
      <c r="A11569" s="10" t="s">
        <v>49890</v>
      </c>
      <c r="B11569" s="10" t="str">
        <f>"9781425812102"</f>
        <v>9781425812102</v>
      </c>
      <c r="C11569" s="10" t="str">
        <f>"9781425895860"</f>
        <v>9781425895860</v>
      </c>
      <c r="D11569" s="10" t="s">
        <v>49819</v>
      </c>
      <c r="E11569" s="10" t="s">
        <v>49820</v>
      </c>
      <c r="F11569" s="10" t="s">
        <v>49821</v>
      </c>
      <c r="G11569" s="10" t="s">
        <v>6317</v>
      </c>
      <c r="H11569" s="11">
        <v>42856</v>
      </c>
      <c r="I11569" s="10">
        <v>2017</v>
      </c>
      <c r="J11569" s="10" t="s">
        <v>49820</v>
      </c>
      <c r="K11569" s="10">
        <v>210</v>
      </c>
      <c r="L11569" s="10" t="s">
        <v>49887</v>
      </c>
      <c r="M11569" s="10">
        <v>2</v>
      </c>
      <c r="N11569" s="10" t="s">
        <v>49855</v>
      </c>
      <c r="O11569" s="10"/>
      <c r="P11569" s="10" t="s">
        <v>49891</v>
      </c>
      <c r="Q11569" s="10"/>
      <c r="R11569" s="10" t="s">
        <v>49892</v>
      </c>
      <c r="S11569" s="10" t="s">
        <v>53</v>
      </c>
      <c r="T11569" s="10" t="s">
        <v>54</v>
      </c>
    </row>
    <row r="11570" spans="1:20" ht="14.5" x14ac:dyDescent="0.35">
      <c r="A11570" s="10" t="s">
        <v>49893</v>
      </c>
      <c r="B11570" s="10" t="str">
        <f>"9781425806903"</f>
        <v>9781425806903</v>
      </c>
      <c r="C11570" s="10" t="str">
        <f>"9781425895914"</f>
        <v>9781425895914</v>
      </c>
      <c r="D11570" s="10" t="s">
        <v>49819</v>
      </c>
      <c r="E11570" s="10" t="s">
        <v>49820</v>
      </c>
      <c r="F11570" s="10" t="s">
        <v>49821</v>
      </c>
      <c r="G11570" s="10" t="s">
        <v>6317</v>
      </c>
      <c r="H11570" s="11">
        <v>41275</v>
      </c>
      <c r="I11570" s="10">
        <v>2013</v>
      </c>
      <c r="J11570" s="10" t="s">
        <v>49820</v>
      </c>
      <c r="K11570" s="10">
        <v>202</v>
      </c>
      <c r="L11570" s="10" t="s">
        <v>49894</v>
      </c>
      <c r="M11570" s="10">
        <v>1</v>
      </c>
      <c r="N11570" s="10" t="s">
        <v>49895</v>
      </c>
      <c r="O11570" s="10"/>
      <c r="P11570" s="10" t="s">
        <v>49896</v>
      </c>
      <c r="Q11570" s="10">
        <v>371.30779999999999</v>
      </c>
      <c r="R11570" s="10" t="s">
        <v>49829</v>
      </c>
      <c r="S11570" s="10" t="s">
        <v>53</v>
      </c>
      <c r="T11570" s="10" t="s">
        <v>54</v>
      </c>
    </row>
    <row r="11571" spans="1:20" ht="14.5" x14ac:dyDescent="0.35">
      <c r="A11571" s="10" t="s">
        <v>49897</v>
      </c>
      <c r="B11571" s="10" t="str">
        <f>"9781425811020"</f>
        <v>9781425811020</v>
      </c>
      <c r="C11571" s="10" t="str">
        <f>"9781425895952"</f>
        <v>9781425895952</v>
      </c>
      <c r="D11571" s="10" t="s">
        <v>49819</v>
      </c>
      <c r="E11571" s="10" t="s">
        <v>49820</v>
      </c>
      <c r="F11571" s="10" t="s">
        <v>49821</v>
      </c>
      <c r="G11571" s="10" t="s">
        <v>6317</v>
      </c>
      <c r="H11571" s="11">
        <v>41640</v>
      </c>
      <c r="I11571" s="10">
        <v>2014</v>
      </c>
      <c r="J11571" s="10" t="s">
        <v>49820</v>
      </c>
      <c r="K11571" s="10">
        <v>170</v>
      </c>
      <c r="L11571" s="10" t="s">
        <v>49898</v>
      </c>
      <c r="M11571" s="10">
        <v>1</v>
      </c>
      <c r="N11571" s="10" t="s">
        <v>49895</v>
      </c>
      <c r="O11571" s="10"/>
      <c r="P11571" s="10" t="s">
        <v>49899</v>
      </c>
      <c r="Q11571" s="10">
        <v>372.6</v>
      </c>
      <c r="R11571" s="10" t="s">
        <v>49900</v>
      </c>
      <c r="S11571" s="10" t="s">
        <v>53</v>
      </c>
      <c r="T11571" s="10" t="s">
        <v>6634</v>
      </c>
    </row>
    <row r="11572" spans="1:20" ht="14.5" x14ac:dyDescent="0.35">
      <c r="A11572" s="10" t="s">
        <v>49901</v>
      </c>
      <c r="B11572" s="10" t="str">
        <f>"9781425812911"</f>
        <v>9781425812911</v>
      </c>
      <c r="C11572" s="10" t="str">
        <f>"9781425896126"</f>
        <v>9781425896126</v>
      </c>
      <c r="D11572" s="10" t="s">
        <v>49819</v>
      </c>
      <c r="E11572" s="10" t="s">
        <v>49820</v>
      </c>
      <c r="F11572" s="10" t="s">
        <v>49821</v>
      </c>
      <c r="G11572" s="10" t="s">
        <v>6317</v>
      </c>
      <c r="H11572" s="11">
        <v>41640</v>
      </c>
      <c r="I11572" s="10">
        <v>2014</v>
      </c>
      <c r="J11572" s="10" t="s">
        <v>49820</v>
      </c>
      <c r="K11572" s="10">
        <v>155</v>
      </c>
      <c r="L11572" s="10" t="s">
        <v>49902</v>
      </c>
      <c r="M11572" s="10">
        <v>1</v>
      </c>
      <c r="N11572" s="10" t="s">
        <v>49903</v>
      </c>
      <c r="O11572" s="10"/>
      <c r="P11572" s="10" t="s">
        <v>49904</v>
      </c>
      <c r="Q11572" s="10"/>
      <c r="R11572" s="10" t="s">
        <v>19338</v>
      </c>
      <c r="S11572" s="10" t="s">
        <v>53</v>
      </c>
      <c r="T11572" s="10" t="s">
        <v>389</v>
      </c>
    </row>
    <row r="11573" spans="1:20" ht="14.5" x14ac:dyDescent="0.35">
      <c r="A11573" s="10" t="s">
        <v>49905</v>
      </c>
      <c r="B11573" s="10" t="str">
        <f>"9781425812904"</f>
        <v>9781425812904</v>
      </c>
      <c r="C11573" s="10" t="str">
        <f>"9781425896119"</f>
        <v>9781425896119</v>
      </c>
      <c r="D11573" s="10" t="s">
        <v>49819</v>
      </c>
      <c r="E11573" s="10" t="s">
        <v>49820</v>
      </c>
      <c r="F11573" s="10" t="s">
        <v>49821</v>
      </c>
      <c r="G11573" s="10" t="s">
        <v>6317</v>
      </c>
      <c r="H11573" s="11">
        <v>41640</v>
      </c>
      <c r="I11573" s="10">
        <v>2014</v>
      </c>
      <c r="J11573" s="10" t="s">
        <v>49820</v>
      </c>
      <c r="K11573" s="10">
        <v>139</v>
      </c>
      <c r="L11573" s="10" t="s">
        <v>49902</v>
      </c>
      <c r="M11573" s="10">
        <v>1</v>
      </c>
      <c r="N11573" s="10" t="s">
        <v>49903</v>
      </c>
      <c r="O11573" s="10"/>
      <c r="P11573" s="10" t="s">
        <v>49904</v>
      </c>
      <c r="Q11573" s="10"/>
      <c r="R11573" s="10" t="s">
        <v>45354</v>
      </c>
      <c r="S11573" s="10" t="s">
        <v>53</v>
      </c>
      <c r="T11573" s="10" t="s">
        <v>389</v>
      </c>
    </row>
    <row r="11574" spans="1:20" ht="14.5" x14ac:dyDescent="0.35">
      <c r="A11574" s="10" t="s">
        <v>49906</v>
      </c>
      <c r="B11574" s="10" t="str">
        <f>"9781425812935"</f>
        <v>9781425812935</v>
      </c>
      <c r="C11574" s="10" t="str">
        <f>"9781425896140"</f>
        <v>9781425896140</v>
      </c>
      <c r="D11574" s="10" t="s">
        <v>49819</v>
      </c>
      <c r="E11574" s="10" t="s">
        <v>49820</v>
      </c>
      <c r="F11574" s="10" t="s">
        <v>49821</v>
      </c>
      <c r="G11574" s="10" t="s">
        <v>6317</v>
      </c>
      <c r="H11574" s="11">
        <v>41640</v>
      </c>
      <c r="I11574" s="10">
        <v>2014</v>
      </c>
      <c r="J11574" s="10" t="s">
        <v>49820</v>
      </c>
      <c r="K11574" s="10">
        <v>139</v>
      </c>
      <c r="L11574" s="10" t="s">
        <v>49902</v>
      </c>
      <c r="M11574" s="10">
        <v>1</v>
      </c>
      <c r="N11574" s="10" t="s">
        <v>49903</v>
      </c>
      <c r="O11574" s="10"/>
      <c r="P11574" s="10" t="s">
        <v>49907</v>
      </c>
      <c r="Q11574" s="10"/>
      <c r="R11574" s="10" t="s">
        <v>46649</v>
      </c>
      <c r="S11574" s="10" t="s">
        <v>53</v>
      </c>
      <c r="T11574" s="10" t="s">
        <v>389</v>
      </c>
    </row>
    <row r="11575" spans="1:20" ht="14.5" x14ac:dyDescent="0.35">
      <c r="A11575" s="10" t="s">
        <v>49908</v>
      </c>
      <c r="B11575" s="10" t="str">
        <f>"9781425812928"</f>
        <v>9781425812928</v>
      </c>
      <c r="C11575" s="10" t="str">
        <f>"9781425896133"</f>
        <v>9781425896133</v>
      </c>
      <c r="D11575" s="10" t="s">
        <v>49819</v>
      </c>
      <c r="E11575" s="10" t="s">
        <v>49820</v>
      </c>
      <c r="F11575" s="10" t="s">
        <v>49821</v>
      </c>
      <c r="G11575" s="10" t="s">
        <v>6317</v>
      </c>
      <c r="H11575" s="11">
        <v>41640</v>
      </c>
      <c r="I11575" s="10">
        <v>2014</v>
      </c>
      <c r="J11575" s="10" t="s">
        <v>49820</v>
      </c>
      <c r="K11575" s="10">
        <v>122</v>
      </c>
      <c r="L11575" s="10" t="s">
        <v>49902</v>
      </c>
      <c r="M11575" s="10">
        <v>1</v>
      </c>
      <c r="N11575" s="10" t="s">
        <v>49903</v>
      </c>
      <c r="O11575" s="10"/>
      <c r="P11575" s="10" t="s">
        <v>49904</v>
      </c>
      <c r="Q11575" s="10"/>
      <c r="R11575" s="10" t="s">
        <v>19338</v>
      </c>
      <c r="S11575" s="10" t="s">
        <v>53</v>
      </c>
      <c r="T11575" s="10" t="s">
        <v>389</v>
      </c>
    </row>
    <row r="11576" spans="1:20" ht="14.5" x14ac:dyDescent="0.35">
      <c r="A11576" s="10" t="s">
        <v>49909</v>
      </c>
      <c r="B11576" s="10" t="str">
        <f>"9781425813147"</f>
        <v>9781425813147</v>
      </c>
      <c r="C11576" s="10" t="str">
        <f>"9781425896225"</f>
        <v>9781425896225</v>
      </c>
      <c r="D11576" s="10" t="s">
        <v>49819</v>
      </c>
      <c r="E11576" s="10" t="s">
        <v>49820</v>
      </c>
      <c r="F11576" s="10" t="s">
        <v>49821</v>
      </c>
      <c r="G11576" s="10" t="s">
        <v>6317</v>
      </c>
      <c r="H11576" s="11">
        <v>41730</v>
      </c>
      <c r="I11576" s="10">
        <v>2014</v>
      </c>
      <c r="J11576" s="10" t="s">
        <v>49820</v>
      </c>
      <c r="K11576" s="10">
        <v>226</v>
      </c>
      <c r="L11576" s="10" t="s">
        <v>49910</v>
      </c>
      <c r="M11576" s="10">
        <v>1</v>
      </c>
      <c r="N11576" s="10" t="s">
        <v>49895</v>
      </c>
      <c r="O11576" s="10"/>
      <c r="P11576" s="10" t="s">
        <v>49911</v>
      </c>
      <c r="Q11576" s="10">
        <v>371.33</v>
      </c>
      <c r="R11576" s="10" t="s">
        <v>49912</v>
      </c>
      <c r="S11576" s="10" t="s">
        <v>53</v>
      </c>
      <c r="T11576" s="10" t="s">
        <v>54</v>
      </c>
    </row>
    <row r="11577" spans="1:20" ht="14.5" x14ac:dyDescent="0.35">
      <c r="A11577" s="10" t="s">
        <v>49913</v>
      </c>
      <c r="B11577" s="10" t="str">
        <f>"9781425813116"</f>
        <v>9781425813116</v>
      </c>
      <c r="C11577" s="10" t="str">
        <f>"9781425896201"</f>
        <v>9781425896201</v>
      </c>
      <c r="D11577" s="10" t="s">
        <v>49819</v>
      </c>
      <c r="E11577" s="10" t="s">
        <v>49820</v>
      </c>
      <c r="F11577" s="10" t="s">
        <v>49821</v>
      </c>
      <c r="G11577" s="10" t="s">
        <v>6317</v>
      </c>
      <c r="H11577" s="11">
        <v>41730</v>
      </c>
      <c r="I11577" s="10">
        <v>2014</v>
      </c>
      <c r="J11577" s="10" t="s">
        <v>49820</v>
      </c>
      <c r="K11577" s="10">
        <v>226</v>
      </c>
      <c r="L11577" s="10" t="s">
        <v>49914</v>
      </c>
      <c r="M11577" s="10">
        <v>1</v>
      </c>
      <c r="N11577" s="10" t="s">
        <v>49878</v>
      </c>
      <c r="O11577" s="10"/>
      <c r="P11577" s="10" t="s">
        <v>49915</v>
      </c>
      <c r="Q11577" s="10">
        <v>372.6</v>
      </c>
      <c r="R11577" s="10" t="s">
        <v>16794</v>
      </c>
      <c r="S11577" s="10" t="s">
        <v>53</v>
      </c>
      <c r="T11577" s="10" t="s">
        <v>54</v>
      </c>
    </row>
    <row r="11578" spans="1:20" ht="14.5" x14ac:dyDescent="0.35">
      <c r="A11578" s="10" t="s">
        <v>49916</v>
      </c>
      <c r="B11578" s="10" t="str">
        <f>"9781425813529"</f>
        <v>9781425813529</v>
      </c>
      <c r="C11578" s="10" t="str">
        <f>"9781425896591"</f>
        <v>9781425896591</v>
      </c>
      <c r="D11578" s="10" t="s">
        <v>49819</v>
      </c>
      <c r="E11578" s="10" t="s">
        <v>49820</v>
      </c>
      <c r="F11578" s="10" t="s">
        <v>49821</v>
      </c>
      <c r="G11578" s="10" t="s">
        <v>6317</v>
      </c>
      <c r="H11578" s="11">
        <v>42095</v>
      </c>
      <c r="I11578" s="10">
        <v>2015</v>
      </c>
      <c r="J11578" s="10" t="s">
        <v>49820</v>
      </c>
      <c r="K11578" s="10">
        <v>122</v>
      </c>
      <c r="L11578" s="10" t="s">
        <v>49917</v>
      </c>
      <c r="M11578" s="10">
        <v>1</v>
      </c>
      <c r="N11578" s="10" t="s">
        <v>49918</v>
      </c>
      <c r="O11578" s="10"/>
      <c r="P11578" s="10" t="s">
        <v>49919</v>
      </c>
      <c r="Q11578" s="10"/>
      <c r="R11578" s="10" t="s">
        <v>49920</v>
      </c>
      <c r="S11578" s="10" t="s">
        <v>53</v>
      </c>
      <c r="T11578" s="10" t="s">
        <v>4859</v>
      </c>
    </row>
    <row r="11579" spans="1:20" ht="14.5" x14ac:dyDescent="0.35">
      <c r="A11579" s="10" t="s">
        <v>49921</v>
      </c>
      <c r="B11579" s="10" t="str">
        <f>"9781425813536"</f>
        <v>9781425813536</v>
      </c>
      <c r="C11579" s="10" t="str">
        <f>"9781425896607"</f>
        <v>9781425896607</v>
      </c>
      <c r="D11579" s="10" t="s">
        <v>49819</v>
      </c>
      <c r="E11579" s="10" t="s">
        <v>49820</v>
      </c>
      <c r="F11579" s="10" t="s">
        <v>49821</v>
      </c>
      <c r="G11579" s="10" t="s">
        <v>6317</v>
      </c>
      <c r="H11579" s="11">
        <v>42095</v>
      </c>
      <c r="I11579" s="10">
        <v>2015</v>
      </c>
      <c r="J11579" s="10" t="s">
        <v>49820</v>
      </c>
      <c r="K11579" s="10">
        <v>122</v>
      </c>
      <c r="L11579" s="10" t="s">
        <v>49917</v>
      </c>
      <c r="M11579" s="10">
        <v>1</v>
      </c>
      <c r="N11579" s="10" t="s">
        <v>49918</v>
      </c>
      <c r="O11579" s="10"/>
      <c r="P11579" s="10" t="s">
        <v>49922</v>
      </c>
      <c r="Q11579" s="10"/>
      <c r="R11579" s="10" t="s">
        <v>49923</v>
      </c>
      <c r="S11579" s="10" t="s">
        <v>53</v>
      </c>
      <c r="T11579" s="10" t="s">
        <v>4859</v>
      </c>
    </row>
    <row r="11580" spans="1:20" ht="14.5" x14ac:dyDescent="0.35">
      <c r="A11580" s="10" t="s">
        <v>49924</v>
      </c>
      <c r="B11580" s="10" t="str">
        <f>"9781425816445"</f>
        <v>9781425816445</v>
      </c>
      <c r="C11580" s="10" t="str">
        <f>"9781425896690"</f>
        <v>9781425896690</v>
      </c>
      <c r="D11580" s="10" t="s">
        <v>49819</v>
      </c>
      <c r="E11580" s="10" t="s">
        <v>49820</v>
      </c>
      <c r="F11580" s="10" t="s">
        <v>49821</v>
      </c>
      <c r="G11580" s="10" t="s">
        <v>6317</v>
      </c>
      <c r="H11580" s="11">
        <v>42767</v>
      </c>
      <c r="I11580" s="10">
        <v>2017</v>
      </c>
      <c r="J11580" s="10" t="s">
        <v>49820</v>
      </c>
      <c r="K11580" s="10">
        <v>162</v>
      </c>
      <c r="L11580" s="10" t="s">
        <v>49925</v>
      </c>
      <c r="M11580" s="10">
        <v>1</v>
      </c>
      <c r="N11580" s="10" t="s">
        <v>49926</v>
      </c>
      <c r="O11580" s="10"/>
      <c r="P11580" s="10" t="s">
        <v>49927</v>
      </c>
      <c r="Q11580" s="10"/>
      <c r="R11580" s="10" t="s">
        <v>46649</v>
      </c>
      <c r="S11580" s="10" t="s">
        <v>53</v>
      </c>
      <c r="T11580" s="10" t="s">
        <v>389</v>
      </c>
    </row>
    <row r="11581" spans="1:20" ht="14.5" x14ac:dyDescent="0.35">
      <c r="A11581" s="10" t="s">
        <v>49928</v>
      </c>
      <c r="B11581" s="10" t="str">
        <f>"9781425816469"</f>
        <v>9781425816469</v>
      </c>
      <c r="C11581" s="10" t="str">
        <f>"9781425896713"</f>
        <v>9781425896713</v>
      </c>
      <c r="D11581" s="10" t="s">
        <v>49819</v>
      </c>
      <c r="E11581" s="10" t="s">
        <v>49820</v>
      </c>
      <c r="F11581" s="10" t="s">
        <v>49821</v>
      </c>
      <c r="G11581" s="10" t="s">
        <v>6317</v>
      </c>
      <c r="H11581" s="11">
        <v>42767</v>
      </c>
      <c r="I11581" s="10">
        <v>2017</v>
      </c>
      <c r="J11581" s="10" t="s">
        <v>49820</v>
      </c>
      <c r="K11581" s="10">
        <v>162</v>
      </c>
      <c r="L11581" s="10" t="s">
        <v>49929</v>
      </c>
      <c r="M11581" s="10">
        <v>1</v>
      </c>
      <c r="N11581" s="10" t="s">
        <v>49926</v>
      </c>
      <c r="O11581" s="10"/>
      <c r="P11581" s="10" t="s">
        <v>49930</v>
      </c>
      <c r="Q11581" s="10"/>
      <c r="R11581" s="10" t="s">
        <v>49931</v>
      </c>
      <c r="S11581" s="10" t="s">
        <v>53</v>
      </c>
      <c r="T11581" s="10" t="s">
        <v>6363</v>
      </c>
    </row>
    <row r="11582" spans="1:20" ht="14.5" x14ac:dyDescent="0.35">
      <c r="A11582" s="10" t="s">
        <v>49932</v>
      </c>
      <c r="B11582" s="10" t="str">
        <f>"9781425810504"</f>
        <v>9781425810504</v>
      </c>
      <c r="C11582" s="10" t="str">
        <f>"9781425896942"</f>
        <v>9781425896942</v>
      </c>
      <c r="D11582" s="10" t="s">
        <v>49819</v>
      </c>
      <c r="E11582" s="10" t="s">
        <v>49820</v>
      </c>
      <c r="F11582" s="10" t="s">
        <v>49821</v>
      </c>
      <c r="G11582" s="10" t="s">
        <v>6317</v>
      </c>
      <c r="H11582" s="11">
        <v>41640</v>
      </c>
      <c r="I11582" s="10">
        <v>2014</v>
      </c>
      <c r="J11582" s="10" t="s">
        <v>49820</v>
      </c>
      <c r="K11582" s="10">
        <v>210</v>
      </c>
      <c r="L11582" s="10" t="s">
        <v>49933</v>
      </c>
      <c r="M11582" s="10">
        <v>1</v>
      </c>
      <c r="N11582" s="10" t="s">
        <v>49895</v>
      </c>
      <c r="O11582" s="10"/>
      <c r="P11582" s="10" t="s">
        <v>49934</v>
      </c>
      <c r="Q11582" s="10">
        <v>371.39</v>
      </c>
      <c r="R11582" s="10" t="s">
        <v>24651</v>
      </c>
      <c r="S11582" s="10" t="s">
        <v>53</v>
      </c>
      <c r="T11582" s="10" t="s">
        <v>54</v>
      </c>
    </row>
    <row r="11583" spans="1:20" ht="14.5" x14ac:dyDescent="0.35">
      <c r="A11583" s="10" t="s">
        <v>49935</v>
      </c>
      <c r="B11583" s="10" t="str">
        <f>"9781425814496"</f>
        <v>9781425814496</v>
      </c>
      <c r="C11583" s="10" t="str">
        <f>"9781425897000"</f>
        <v>9781425897000</v>
      </c>
      <c r="D11583" s="10" t="s">
        <v>49819</v>
      </c>
      <c r="E11583" s="10" t="s">
        <v>49820</v>
      </c>
      <c r="F11583" s="10" t="s">
        <v>49821</v>
      </c>
      <c r="G11583" s="10" t="s">
        <v>6317</v>
      </c>
      <c r="H11583" s="11">
        <v>41791</v>
      </c>
      <c r="I11583" s="10">
        <v>2014</v>
      </c>
      <c r="J11583" s="10" t="s">
        <v>49820</v>
      </c>
      <c r="K11583" s="10">
        <v>274</v>
      </c>
      <c r="L11583" s="10" t="s">
        <v>49936</v>
      </c>
      <c r="M11583" s="10">
        <v>1</v>
      </c>
      <c r="N11583" s="10" t="s">
        <v>49895</v>
      </c>
      <c r="O11583" s="10"/>
      <c r="P11583" s="10" t="s">
        <v>49937</v>
      </c>
      <c r="Q11583" s="10"/>
      <c r="R11583" s="10" t="s">
        <v>28381</v>
      </c>
      <c r="S11583" s="10" t="s">
        <v>53</v>
      </c>
      <c r="T11583" s="10" t="s">
        <v>54</v>
      </c>
    </row>
    <row r="11584" spans="1:20" ht="14.5" x14ac:dyDescent="0.35">
      <c r="A11584" s="10" t="s">
        <v>49938</v>
      </c>
      <c r="B11584" s="10" t="str">
        <f>"9781425810962"</f>
        <v>9781425810962</v>
      </c>
      <c r="C11584" s="10" t="str">
        <f>"9781425896973"</f>
        <v>9781425896973</v>
      </c>
      <c r="D11584" s="10" t="s">
        <v>49819</v>
      </c>
      <c r="E11584" s="10" t="s">
        <v>49820</v>
      </c>
      <c r="F11584" s="10" t="s">
        <v>49821</v>
      </c>
      <c r="G11584" s="10" t="s">
        <v>6317</v>
      </c>
      <c r="H11584" s="11">
        <v>41548</v>
      </c>
      <c r="I11584" s="10">
        <v>2014</v>
      </c>
      <c r="J11584" s="10" t="s">
        <v>49820</v>
      </c>
      <c r="K11584" s="10">
        <v>99</v>
      </c>
      <c r="L11584" s="10" t="s">
        <v>49939</v>
      </c>
      <c r="M11584" s="10">
        <v>1</v>
      </c>
      <c r="N11584" s="10" t="s">
        <v>49940</v>
      </c>
      <c r="O11584" s="10"/>
      <c r="P11584" s="10" t="s">
        <v>49941</v>
      </c>
      <c r="Q11584" s="10">
        <v>372.46499999999997</v>
      </c>
      <c r="R11584" s="10" t="s">
        <v>49942</v>
      </c>
      <c r="S11584" s="10" t="s">
        <v>53</v>
      </c>
      <c r="T11584" s="10" t="s">
        <v>54</v>
      </c>
    </row>
    <row r="11585" spans="1:20" ht="14.5" x14ac:dyDescent="0.35">
      <c r="A11585" s="10" t="s">
        <v>49943</v>
      </c>
      <c r="B11585" s="10" t="str">
        <f>"9781425810986"</f>
        <v>9781425810986</v>
      </c>
      <c r="C11585" s="10" t="str">
        <f>"9781425896980"</f>
        <v>9781425896980</v>
      </c>
      <c r="D11585" s="10" t="s">
        <v>49819</v>
      </c>
      <c r="E11585" s="10" t="s">
        <v>49820</v>
      </c>
      <c r="F11585" s="10" t="s">
        <v>49821</v>
      </c>
      <c r="G11585" s="10" t="s">
        <v>6317</v>
      </c>
      <c r="H11585" s="11">
        <v>41548</v>
      </c>
      <c r="I11585" s="10">
        <v>2014</v>
      </c>
      <c r="J11585" s="10" t="s">
        <v>49820</v>
      </c>
      <c r="K11585" s="10">
        <v>99</v>
      </c>
      <c r="L11585" s="10" t="s">
        <v>49939</v>
      </c>
      <c r="M11585" s="10">
        <v>1</v>
      </c>
      <c r="N11585" s="10" t="s">
        <v>49940</v>
      </c>
      <c r="O11585" s="10"/>
      <c r="P11585" s="10" t="s">
        <v>49944</v>
      </c>
      <c r="Q11585" s="10">
        <v>372.46499999999997</v>
      </c>
      <c r="R11585" s="10" t="s">
        <v>49945</v>
      </c>
      <c r="S11585" s="10" t="s">
        <v>53</v>
      </c>
      <c r="T11585" s="10" t="s">
        <v>54</v>
      </c>
    </row>
    <row r="11586" spans="1:20" ht="14.5" x14ac:dyDescent="0.35">
      <c r="A11586" s="10" t="s">
        <v>49946</v>
      </c>
      <c r="B11586" s="10" t="str">
        <f>"9781425814748"</f>
        <v>9781425814748</v>
      </c>
      <c r="C11586" s="10" t="str">
        <f>"9781425897475"</f>
        <v>9781425897475</v>
      </c>
      <c r="D11586" s="10" t="s">
        <v>49819</v>
      </c>
      <c r="E11586" s="10" t="s">
        <v>49820</v>
      </c>
      <c r="F11586" s="10" t="s">
        <v>49821</v>
      </c>
      <c r="G11586" s="10" t="s">
        <v>6317</v>
      </c>
      <c r="H11586" s="11">
        <v>42041</v>
      </c>
      <c r="I11586" s="10">
        <v>2015</v>
      </c>
      <c r="J11586" s="10" t="s">
        <v>49820</v>
      </c>
      <c r="K11586" s="10">
        <v>114</v>
      </c>
      <c r="L11586" s="10" t="s">
        <v>49947</v>
      </c>
      <c r="M11586" s="10">
        <v>1</v>
      </c>
      <c r="N11586" s="10" t="s">
        <v>49948</v>
      </c>
      <c r="O11586" s="10"/>
      <c r="P11586" s="10" t="s">
        <v>49949</v>
      </c>
      <c r="Q11586" s="10"/>
      <c r="R11586" s="10" t="s">
        <v>49950</v>
      </c>
      <c r="S11586" s="10" t="s">
        <v>53</v>
      </c>
      <c r="T11586" s="10" t="s">
        <v>6616</v>
      </c>
    </row>
    <row r="11587" spans="1:20" ht="14.5" x14ac:dyDescent="0.35">
      <c r="A11587" s="10" t="s">
        <v>49951</v>
      </c>
      <c r="B11587" s="10" t="str">
        <f>"9781425817305"</f>
        <v>9781425817305</v>
      </c>
      <c r="C11587" s="10" t="str">
        <f>"9781425830281"</f>
        <v>9781425830281</v>
      </c>
      <c r="D11587" s="10" t="s">
        <v>49819</v>
      </c>
      <c r="E11587" s="10" t="s">
        <v>49820</v>
      </c>
      <c r="F11587" s="10" t="s">
        <v>49821</v>
      </c>
      <c r="G11587" s="10" t="s">
        <v>6317</v>
      </c>
      <c r="H11587" s="11">
        <v>42948</v>
      </c>
      <c r="I11587" s="10">
        <v>2018</v>
      </c>
      <c r="J11587" s="10" t="s">
        <v>49820</v>
      </c>
      <c r="K11587" s="10">
        <v>146</v>
      </c>
      <c r="L11587" s="10" t="s">
        <v>49952</v>
      </c>
      <c r="M11587" s="10">
        <v>1</v>
      </c>
      <c r="N11587" s="10" t="s">
        <v>49859</v>
      </c>
      <c r="O11587" s="10"/>
      <c r="P11587" s="10" t="s">
        <v>49953</v>
      </c>
      <c r="Q11587" s="10"/>
      <c r="R11587" s="10" t="s">
        <v>19338</v>
      </c>
      <c r="S11587" s="10" t="s">
        <v>53</v>
      </c>
      <c r="T11587" s="10" t="s">
        <v>389</v>
      </c>
    </row>
    <row r="11588" spans="1:20" ht="14.5" x14ac:dyDescent="0.35">
      <c r="A11588" s="10" t="s">
        <v>49954</v>
      </c>
      <c r="B11588" s="10" t="str">
        <f>"9781425815080"</f>
        <v>9781425815080</v>
      </c>
      <c r="C11588" s="10" t="str">
        <f>"9781425897581"</f>
        <v>9781425897581</v>
      </c>
      <c r="D11588" s="10" t="s">
        <v>49819</v>
      </c>
      <c r="E11588" s="10" t="s">
        <v>49820</v>
      </c>
      <c r="F11588" s="10" t="s">
        <v>49821</v>
      </c>
      <c r="G11588" s="10" t="s">
        <v>6317</v>
      </c>
      <c r="H11588" s="11">
        <v>42401</v>
      </c>
      <c r="I11588" s="10">
        <v>2016</v>
      </c>
      <c r="J11588" s="10" t="s">
        <v>49820</v>
      </c>
      <c r="K11588" s="10">
        <v>226</v>
      </c>
      <c r="L11588" s="10" t="s">
        <v>49955</v>
      </c>
      <c r="M11588" s="10">
        <v>1</v>
      </c>
      <c r="N11588" s="10" t="s">
        <v>49895</v>
      </c>
      <c r="O11588" s="10"/>
      <c r="P11588" s="10" t="s">
        <v>49956</v>
      </c>
      <c r="Q11588" s="10">
        <v>510.71</v>
      </c>
      <c r="R11588" s="10" t="s">
        <v>46649</v>
      </c>
      <c r="S11588" s="10" t="s">
        <v>53</v>
      </c>
      <c r="T11588" s="10" t="s">
        <v>389</v>
      </c>
    </row>
    <row r="11589" spans="1:20" ht="14.5" x14ac:dyDescent="0.35">
      <c r="A11589" s="10" t="s">
        <v>49957</v>
      </c>
      <c r="B11589" s="10" t="str">
        <f>"9781425815127"</f>
        <v>9781425815127</v>
      </c>
      <c r="C11589" s="10" t="str">
        <f>"9781425897604"</f>
        <v>9781425897604</v>
      </c>
      <c r="D11589" s="10" t="s">
        <v>49819</v>
      </c>
      <c r="E11589" s="10" t="s">
        <v>49820</v>
      </c>
      <c r="F11589" s="10" t="s">
        <v>49821</v>
      </c>
      <c r="G11589" s="10" t="s">
        <v>6317</v>
      </c>
      <c r="H11589" s="11">
        <v>42278</v>
      </c>
      <c r="I11589" s="10">
        <v>2016</v>
      </c>
      <c r="J11589" s="10" t="s">
        <v>49820</v>
      </c>
      <c r="K11589" s="10">
        <v>226</v>
      </c>
      <c r="L11589" s="10" t="s">
        <v>47383</v>
      </c>
      <c r="M11589" s="10">
        <v>1</v>
      </c>
      <c r="N11589" s="10" t="s">
        <v>49859</v>
      </c>
      <c r="O11589" s="10"/>
      <c r="P11589" s="10" t="s">
        <v>49958</v>
      </c>
      <c r="Q11589" s="10"/>
      <c r="R11589" s="10" t="s">
        <v>46649</v>
      </c>
      <c r="S11589" s="10" t="s">
        <v>53</v>
      </c>
      <c r="T11589" s="10" t="s">
        <v>389</v>
      </c>
    </row>
    <row r="11590" spans="1:20" ht="14.5" x14ac:dyDescent="0.35">
      <c r="A11590" s="10" t="s">
        <v>49959</v>
      </c>
      <c r="B11590" s="10" t="str">
        <f>"9781425814786"</f>
        <v>9781425814786</v>
      </c>
      <c r="C11590" s="10" t="str">
        <f>"9781425897512"</f>
        <v>9781425897512</v>
      </c>
      <c r="D11590" s="10" t="s">
        <v>49819</v>
      </c>
      <c r="E11590" s="10" t="s">
        <v>49820</v>
      </c>
      <c r="F11590" s="10" t="s">
        <v>49821</v>
      </c>
      <c r="G11590" s="10" t="s">
        <v>6317</v>
      </c>
      <c r="H11590" s="11">
        <v>42217</v>
      </c>
      <c r="I11590" s="10">
        <v>2015</v>
      </c>
      <c r="J11590" s="10" t="s">
        <v>49820</v>
      </c>
      <c r="K11590" s="10">
        <v>322</v>
      </c>
      <c r="L11590" s="10" t="s">
        <v>49854</v>
      </c>
      <c r="M11590" s="10">
        <v>1</v>
      </c>
      <c r="N11590" s="10" t="s">
        <v>49895</v>
      </c>
      <c r="O11590" s="10"/>
      <c r="P11590" s="10" t="s">
        <v>49960</v>
      </c>
      <c r="Q11590" s="10">
        <v>372.62299999999999</v>
      </c>
      <c r="R11590" s="10"/>
      <c r="S11590" s="10" t="s">
        <v>53</v>
      </c>
      <c r="T11590" s="10" t="s">
        <v>54</v>
      </c>
    </row>
    <row r="11591" spans="1:20" ht="14.5" x14ac:dyDescent="0.35">
      <c r="A11591" s="10" t="s">
        <v>49961</v>
      </c>
      <c r="B11591" s="10" t="str">
        <f>"9781425814670"</f>
        <v>9781425814670</v>
      </c>
      <c r="C11591" s="10" t="str">
        <f>"9781425897734"</f>
        <v>9781425897734</v>
      </c>
      <c r="D11591" s="10" t="s">
        <v>49819</v>
      </c>
      <c r="E11591" s="10" t="s">
        <v>49820</v>
      </c>
      <c r="F11591" s="10" t="s">
        <v>49821</v>
      </c>
      <c r="G11591" s="10" t="s">
        <v>6317</v>
      </c>
      <c r="H11591" s="11">
        <v>42373</v>
      </c>
      <c r="I11591" s="10">
        <v>2016</v>
      </c>
      <c r="J11591" s="10" t="s">
        <v>49820</v>
      </c>
      <c r="K11591" s="10">
        <v>170</v>
      </c>
      <c r="L11591" s="10" t="s">
        <v>49962</v>
      </c>
      <c r="M11591" s="10">
        <v>1</v>
      </c>
      <c r="N11591" s="10" t="s">
        <v>49918</v>
      </c>
      <c r="O11591" s="10"/>
      <c r="P11591" s="10" t="s">
        <v>49963</v>
      </c>
      <c r="Q11591" s="10"/>
      <c r="R11591" s="10" t="s">
        <v>49964</v>
      </c>
      <c r="S11591" s="10" t="s">
        <v>53</v>
      </c>
      <c r="T11591" s="10" t="s">
        <v>54</v>
      </c>
    </row>
    <row r="11592" spans="1:20" ht="14.5" x14ac:dyDescent="0.35">
      <c r="A11592" s="10" t="s">
        <v>49965</v>
      </c>
      <c r="B11592" s="10" t="str">
        <f>"9781425814373"</f>
        <v>9781425814373</v>
      </c>
      <c r="C11592" s="10" t="str">
        <f>"9781425897796"</f>
        <v>9781425897796</v>
      </c>
      <c r="D11592" s="10" t="s">
        <v>49819</v>
      </c>
      <c r="E11592" s="10" t="s">
        <v>49820</v>
      </c>
      <c r="F11592" s="10" t="s">
        <v>49821</v>
      </c>
      <c r="G11592" s="10" t="s">
        <v>6317</v>
      </c>
      <c r="H11592" s="11">
        <v>42041</v>
      </c>
      <c r="I11592" s="10">
        <v>2015</v>
      </c>
      <c r="J11592" s="10" t="s">
        <v>49820</v>
      </c>
      <c r="K11592" s="10">
        <v>114</v>
      </c>
      <c r="L11592" s="10" t="s">
        <v>49966</v>
      </c>
      <c r="M11592" s="10">
        <v>1</v>
      </c>
      <c r="N11592" s="10" t="s">
        <v>49948</v>
      </c>
      <c r="O11592" s="10"/>
      <c r="P11592" s="10" t="s">
        <v>49967</v>
      </c>
      <c r="Q11592" s="10"/>
      <c r="R11592" s="10" t="s">
        <v>49968</v>
      </c>
      <c r="S11592" s="10" t="s">
        <v>53</v>
      </c>
      <c r="T11592" s="10" t="s">
        <v>54</v>
      </c>
    </row>
    <row r="11593" spans="1:20" ht="14.5" x14ac:dyDescent="0.35">
      <c r="A11593" s="10" t="s">
        <v>49969</v>
      </c>
      <c r="B11593" s="10" t="str">
        <f>"9781425814397"</f>
        <v>9781425814397</v>
      </c>
      <c r="C11593" s="10" t="str">
        <f>"9781425897819"</f>
        <v>9781425897819</v>
      </c>
      <c r="D11593" s="10" t="s">
        <v>49819</v>
      </c>
      <c r="E11593" s="10" t="s">
        <v>49820</v>
      </c>
      <c r="F11593" s="10" t="s">
        <v>49821</v>
      </c>
      <c r="G11593" s="10" t="s">
        <v>6317</v>
      </c>
      <c r="H11593" s="11">
        <v>42041</v>
      </c>
      <c r="I11593" s="10">
        <v>2015</v>
      </c>
      <c r="J11593" s="10" t="s">
        <v>49820</v>
      </c>
      <c r="K11593" s="10">
        <v>122</v>
      </c>
      <c r="L11593" s="10" t="s">
        <v>49970</v>
      </c>
      <c r="M11593" s="10">
        <v>1</v>
      </c>
      <c r="N11593" s="10" t="s">
        <v>49948</v>
      </c>
      <c r="O11593" s="10"/>
      <c r="P11593" s="10" t="s">
        <v>49971</v>
      </c>
      <c r="Q11593" s="10"/>
      <c r="R11593" s="10" t="s">
        <v>49968</v>
      </c>
      <c r="S11593" s="10" t="s">
        <v>53</v>
      </c>
      <c r="T11593" s="10" t="s">
        <v>54</v>
      </c>
    </row>
    <row r="11594" spans="1:20" ht="14.5" x14ac:dyDescent="0.35">
      <c r="A11594" s="10" t="s">
        <v>49972</v>
      </c>
      <c r="B11594" s="10" t="str">
        <f>"9781425815516"</f>
        <v>9781425815516</v>
      </c>
      <c r="C11594" s="10" t="str">
        <f>"9781425897833"</f>
        <v>9781425897833</v>
      </c>
      <c r="D11594" s="10" t="s">
        <v>49819</v>
      </c>
      <c r="E11594" s="10" t="s">
        <v>49820</v>
      </c>
      <c r="F11594" s="10" t="s">
        <v>49821</v>
      </c>
      <c r="G11594" s="10" t="s">
        <v>6317</v>
      </c>
      <c r="H11594" s="11">
        <v>42401</v>
      </c>
      <c r="I11594" s="10">
        <v>2016</v>
      </c>
      <c r="J11594" s="10" t="s">
        <v>49820</v>
      </c>
      <c r="K11594" s="10">
        <v>130</v>
      </c>
      <c r="L11594" s="10" t="s">
        <v>49973</v>
      </c>
      <c r="M11594" s="10">
        <v>1</v>
      </c>
      <c r="N11594" s="10" t="s">
        <v>49974</v>
      </c>
      <c r="O11594" s="10"/>
      <c r="P11594" s="10"/>
      <c r="Q11594" s="10"/>
      <c r="R11594" s="10" t="s">
        <v>49847</v>
      </c>
      <c r="S11594" s="10" t="s">
        <v>53</v>
      </c>
      <c r="T11594" s="10" t="s">
        <v>54</v>
      </c>
    </row>
    <row r="11595" spans="1:20" ht="14.5" x14ac:dyDescent="0.35">
      <c r="A11595" s="10" t="s">
        <v>49975</v>
      </c>
      <c r="B11595" s="10" t="str">
        <f>"9781425815523"</f>
        <v>9781425815523</v>
      </c>
      <c r="C11595" s="10" t="str">
        <f>"9781425897840"</f>
        <v>9781425897840</v>
      </c>
      <c r="D11595" s="10" t="s">
        <v>49819</v>
      </c>
      <c r="E11595" s="10" t="s">
        <v>49820</v>
      </c>
      <c r="F11595" s="10" t="s">
        <v>49821</v>
      </c>
      <c r="G11595" s="10" t="s">
        <v>6317</v>
      </c>
      <c r="H11595" s="11">
        <v>42401</v>
      </c>
      <c r="I11595" s="10">
        <v>2016</v>
      </c>
      <c r="J11595" s="10" t="s">
        <v>49820</v>
      </c>
      <c r="K11595" s="10">
        <v>130</v>
      </c>
      <c r="L11595" s="10" t="s">
        <v>49973</v>
      </c>
      <c r="M11595" s="10">
        <v>1</v>
      </c>
      <c r="N11595" s="10" t="s">
        <v>49974</v>
      </c>
      <c r="O11595" s="10"/>
      <c r="P11595" s="10"/>
      <c r="Q11595" s="10"/>
      <c r="R11595" s="10" t="s">
        <v>49848</v>
      </c>
      <c r="S11595" s="10" t="s">
        <v>53</v>
      </c>
      <c r="T11595" s="10" t="s">
        <v>54</v>
      </c>
    </row>
    <row r="11596" spans="1:20" ht="14.5" x14ac:dyDescent="0.35">
      <c r="A11596" s="10" t="s">
        <v>49976</v>
      </c>
      <c r="B11596" s="10" t="str">
        <f>"9781425815547"</f>
        <v>9781425815547</v>
      </c>
      <c r="C11596" s="10" t="str">
        <f>"9781425897864"</f>
        <v>9781425897864</v>
      </c>
      <c r="D11596" s="10" t="s">
        <v>49819</v>
      </c>
      <c r="E11596" s="10" t="s">
        <v>49820</v>
      </c>
      <c r="F11596" s="10" t="s">
        <v>49821</v>
      </c>
      <c r="G11596" s="10" t="s">
        <v>6317</v>
      </c>
      <c r="H11596" s="11">
        <v>42401</v>
      </c>
      <c r="I11596" s="10">
        <v>2016</v>
      </c>
      <c r="J11596" s="10" t="s">
        <v>49820</v>
      </c>
      <c r="K11596" s="10">
        <v>130</v>
      </c>
      <c r="L11596" s="10" t="s">
        <v>49854</v>
      </c>
      <c r="M11596" s="10">
        <v>1</v>
      </c>
      <c r="N11596" s="10" t="s">
        <v>49974</v>
      </c>
      <c r="O11596" s="10"/>
      <c r="P11596" s="10"/>
      <c r="Q11596" s="10"/>
      <c r="R11596" s="10" t="s">
        <v>49850</v>
      </c>
      <c r="S11596" s="10" t="s">
        <v>53</v>
      </c>
      <c r="T11596" s="10" t="s">
        <v>54</v>
      </c>
    </row>
    <row r="11597" spans="1:20" ht="14.5" x14ac:dyDescent="0.35">
      <c r="A11597" s="10" t="s">
        <v>49977</v>
      </c>
      <c r="B11597" s="10" t="str">
        <f>"9781425815554"</f>
        <v>9781425815554</v>
      </c>
      <c r="C11597" s="10" t="str">
        <f>"9781425897871"</f>
        <v>9781425897871</v>
      </c>
      <c r="D11597" s="10" t="s">
        <v>49819</v>
      </c>
      <c r="E11597" s="10" t="s">
        <v>49820</v>
      </c>
      <c r="F11597" s="10" t="s">
        <v>49821</v>
      </c>
      <c r="G11597" s="10" t="s">
        <v>6317</v>
      </c>
      <c r="H11597" s="11">
        <v>42401</v>
      </c>
      <c r="I11597" s="10">
        <v>2016</v>
      </c>
      <c r="J11597" s="10" t="s">
        <v>49820</v>
      </c>
      <c r="K11597" s="10">
        <v>130</v>
      </c>
      <c r="L11597" s="10" t="s">
        <v>49854</v>
      </c>
      <c r="M11597" s="10">
        <v>1</v>
      </c>
      <c r="N11597" s="10" t="s">
        <v>49974</v>
      </c>
      <c r="O11597" s="10"/>
      <c r="P11597" s="10" t="s">
        <v>49978</v>
      </c>
      <c r="Q11597" s="10"/>
      <c r="R11597" s="10" t="s">
        <v>49979</v>
      </c>
      <c r="S11597" s="10" t="s">
        <v>53</v>
      </c>
      <c r="T11597" s="10" t="s">
        <v>54</v>
      </c>
    </row>
    <row r="11598" spans="1:20" ht="14.5" x14ac:dyDescent="0.35">
      <c r="A11598" s="10" t="s">
        <v>49980</v>
      </c>
      <c r="B11598" s="10" t="str">
        <f>"9781425809836"</f>
        <v>9781425809836</v>
      </c>
      <c r="C11598" s="10" t="str">
        <f>"9781433384004"</f>
        <v>9781433384004</v>
      </c>
      <c r="D11598" s="10" t="s">
        <v>49819</v>
      </c>
      <c r="E11598" s="10" t="s">
        <v>49820</v>
      </c>
      <c r="F11598" s="10" t="s">
        <v>49821</v>
      </c>
      <c r="G11598" s="10" t="s">
        <v>6317</v>
      </c>
      <c r="H11598" s="11">
        <v>41275</v>
      </c>
      <c r="I11598" s="10">
        <v>2013</v>
      </c>
      <c r="J11598" s="10" t="s">
        <v>49820</v>
      </c>
      <c r="K11598" s="10">
        <v>155</v>
      </c>
      <c r="L11598" s="10" t="s">
        <v>49981</v>
      </c>
      <c r="M11598" s="10">
        <v>1</v>
      </c>
      <c r="N11598" s="10" t="s">
        <v>49982</v>
      </c>
      <c r="O11598" s="10"/>
      <c r="P11598" s="10" t="s">
        <v>49983</v>
      </c>
      <c r="Q11598" s="10"/>
      <c r="R11598" s="10" t="s">
        <v>49984</v>
      </c>
      <c r="S11598" s="10" t="s">
        <v>53</v>
      </c>
      <c r="T11598" s="10" t="s">
        <v>54</v>
      </c>
    </row>
    <row r="11599" spans="1:20" ht="14.5" x14ac:dyDescent="0.35">
      <c r="A11599" s="10" t="s">
        <v>49985</v>
      </c>
      <c r="B11599" s="10" t="str">
        <f>"9781425809843"</f>
        <v>9781425809843</v>
      </c>
      <c r="C11599" s="10" t="str">
        <f>"9781433384011"</f>
        <v>9781433384011</v>
      </c>
      <c r="D11599" s="10" t="s">
        <v>49819</v>
      </c>
      <c r="E11599" s="10" t="s">
        <v>49820</v>
      </c>
      <c r="F11599" s="10" t="s">
        <v>49821</v>
      </c>
      <c r="G11599" s="10" t="s">
        <v>6317</v>
      </c>
      <c r="H11599" s="11">
        <v>41275</v>
      </c>
      <c r="I11599" s="10">
        <v>2013</v>
      </c>
      <c r="J11599" s="10" t="s">
        <v>49820</v>
      </c>
      <c r="K11599" s="10">
        <v>155</v>
      </c>
      <c r="L11599" s="10" t="s">
        <v>49986</v>
      </c>
      <c r="M11599" s="10">
        <v>1</v>
      </c>
      <c r="N11599" s="10" t="s">
        <v>49982</v>
      </c>
      <c r="O11599" s="10"/>
      <c r="P11599" s="10" t="s">
        <v>49987</v>
      </c>
      <c r="Q11599" s="10"/>
      <c r="R11599" s="10" t="s">
        <v>49988</v>
      </c>
      <c r="S11599" s="10" t="s">
        <v>53</v>
      </c>
      <c r="T11599" s="10" t="s">
        <v>1166</v>
      </c>
    </row>
    <row r="11600" spans="1:20" ht="14.5" x14ac:dyDescent="0.35">
      <c r="A11600" s="10" t="s">
        <v>49989</v>
      </c>
      <c r="B11600" s="10" t="str">
        <f>"9781425809867"</f>
        <v>9781425809867</v>
      </c>
      <c r="C11600" s="10" t="str">
        <f>"9781433384035"</f>
        <v>9781433384035</v>
      </c>
      <c r="D11600" s="10" t="s">
        <v>49819</v>
      </c>
      <c r="E11600" s="10" t="s">
        <v>49820</v>
      </c>
      <c r="F11600" s="10" t="s">
        <v>49821</v>
      </c>
      <c r="G11600" s="10" t="s">
        <v>6317</v>
      </c>
      <c r="H11600" s="11">
        <v>41275</v>
      </c>
      <c r="I11600" s="10">
        <v>2013</v>
      </c>
      <c r="J11600" s="10" t="s">
        <v>49820</v>
      </c>
      <c r="K11600" s="10">
        <v>155</v>
      </c>
      <c r="L11600" s="10" t="s">
        <v>49822</v>
      </c>
      <c r="M11600" s="10">
        <v>1</v>
      </c>
      <c r="N11600" s="10" t="s">
        <v>49982</v>
      </c>
      <c r="O11600" s="10"/>
      <c r="P11600" s="10"/>
      <c r="Q11600" s="10"/>
      <c r="R11600" s="10" t="s">
        <v>49990</v>
      </c>
      <c r="S11600" s="10" t="s">
        <v>53</v>
      </c>
      <c r="T11600" s="10" t="s">
        <v>49991</v>
      </c>
    </row>
    <row r="11601" spans="1:20" ht="14.5" x14ac:dyDescent="0.35">
      <c r="A11601" s="10" t="s">
        <v>49992</v>
      </c>
      <c r="B11601" s="10" t="str">
        <f>"9781425833121"</f>
        <v>9781425833121</v>
      </c>
      <c r="C11601" s="10" t="str">
        <f>"9781425855154"</f>
        <v>9781425855154</v>
      </c>
      <c r="D11601" s="10" t="s">
        <v>49819</v>
      </c>
      <c r="E11601" s="10" t="s">
        <v>49820</v>
      </c>
      <c r="F11601" s="10" t="s">
        <v>49821</v>
      </c>
      <c r="G11601" s="10" t="s">
        <v>6317</v>
      </c>
      <c r="H11601" s="11">
        <v>43467</v>
      </c>
      <c r="I11601" s="10">
        <v>2019</v>
      </c>
      <c r="J11601" s="10" t="s">
        <v>49820</v>
      </c>
      <c r="K11601" s="10">
        <v>242</v>
      </c>
      <c r="L11601" s="10" t="s">
        <v>49993</v>
      </c>
      <c r="M11601" s="10">
        <v>1</v>
      </c>
      <c r="N11601" s="10" t="s">
        <v>49823</v>
      </c>
      <c r="O11601" s="10"/>
      <c r="P11601" s="10"/>
      <c r="Q11601" s="10"/>
      <c r="R11601" s="10" t="s">
        <v>49850</v>
      </c>
      <c r="S11601" s="10" t="s">
        <v>53</v>
      </c>
      <c r="T11601" s="10" t="s">
        <v>6634</v>
      </c>
    </row>
    <row r="11602" spans="1:20" ht="14.5" x14ac:dyDescent="0.35">
      <c r="A11602" s="10" t="s">
        <v>49994</v>
      </c>
      <c r="B11602" s="10" t="str">
        <f>"9781425815561"</f>
        <v>9781425815561</v>
      </c>
      <c r="C11602" s="10" t="str">
        <f>"9781480755987"</f>
        <v>9781480755987</v>
      </c>
      <c r="D11602" s="10" t="s">
        <v>49819</v>
      </c>
      <c r="E11602" s="10" t="s">
        <v>49820</v>
      </c>
      <c r="F11602" s="10" t="s">
        <v>49821</v>
      </c>
      <c r="G11602" s="10" t="s">
        <v>6317</v>
      </c>
      <c r="H11602" s="11">
        <v>42430</v>
      </c>
      <c r="I11602" s="10">
        <v>2016</v>
      </c>
      <c r="J11602" s="10" t="s">
        <v>49820</v>
      </c>
      <c r="K11602" s="10">
        <v>130</v>
      </c>
      <c r="L11602" s="10" t="s">
        <v>49947</v>
      </c>
      <c r="M11602" s="10">
        <v>1</v>
      </c>
      <c r="N11602" s="10" t="s">
        <v>49948</v>
      </c>
      <c r="O11602" s="10"/>
      <c r="P11602" s="10" t="s">
        <v>49995</v>
      </c>
      <c r="Q11602" s="10"/>
      <c r="R11602" s="10" t="s">
        <v>46649</v>
      </c>
      <c r="S11602" s="10" t="s">
        <v>53</v>
      </c>
      <c r="T11602" s="10" t="s">
        <v>389</v>
      </c>
    </row>
    <row r="11603" spans="1:20" ht="14.5" x14ac:dyDescent="0.35">
      <c r="A11603" s="10" t="s">
        <v>49996</v>
      </c>
      <c r="B11603" s="10" t="str">
        <f>"9781425814427"</f>
        <v>9781425814427</v>
      </c>
      <c r="C11603" s="10" t="str">
        <f>"9781480755994"</f>
        <v>9781480755994</v>
      </c>
      <c r="D11603" s="10" t="s">
        <v>49819</v>
      </c>
      <c r="E11603" s="10" t="s">
        <v>49820</v>
      </c>
      <c r="F11603" s="10" t="s">
        <v>49821</v>
      </c>
      <c r="G11603" s="10" t="s">
        <v>6317</v>
      </c>
      <c r="H11603" s="11">
        <v>42430</v>
      </c>
      <c r="I11603" s="10">
        <v>2016</v>
      </c>
      <c r="J11603" s="10" t="s">
        <v>49820</v>
      </c>
      <c r="K11603" s="10">
        <v>130</v>
      </c>
      <c r="L11603" s="10" t="s">
        <v>49997</v>
      </c>
      <c r="M11603" s="10">
        <v>1</v>
      </c>
      <c r="N11603" s="10" t="s">
        <v>49948</v>
      </c>
      <c r="O11603" s="10"/>
      <c r="P11603" s="10" t="s">
        <v>49998</v>
      </c>
      <c r="Q11603" s="10"/>
      <c r="R11603" s="10" t="s">
        <v>45354</v>
      </c>
      <c r="S11603" s="10" t="s">
        <v>53</v>
      </c>
      <c r="T11603" s="10" t="s">
        <v>389</v>
      </c>
    </row>
    <row r="11604" spans="1:20" ht="14.5" x14ac:dyDescent="0.35">
      <c r="A11604" s="10" t="s">
        <v>49999</v>
      </c>
      <c r="B11604" s="10" t="str">
        <f>"9781425814434"</f>
        <v>9781425814434</v>
      </c>
      <c r="C11604" s="10" t="str">
        <f>"9781480756007"</f>
        <v>9781480756007</v>
      </c>
      <c r="D11604" s="10" t="s">
        <v>49819</v>
      </c>
      <c r="E11604" s="10" t="s">
        <v>49820</v>
      </c>
      <c r="F11604" s="10" t="s">
        <v>49821</v>
      </c>
      <c r="G11604" s="10" t="s">
        <v>6317</v>
      </c>
      <c r="H11604" s="11">
        <v>42430</v>
      </c>
      <c r="I11604" s="10">
        <v>2016</v>
      </c>
      <c r="J11604" s="10" t="s">
        <v>49820</v>
      </c>
      <c r="K11604" s="10">
        <v>130</v>
      </c>
      <c r="L11604" s="10" t="s">
        <v>49966</v>
      </c>
      <c r="M11604" s="10">
        <v>1</v>
      </c>
      <c r="N11604" s="10" t="s">
        <v>49948</v>
      </c>
      <c r="O11604" s="10"/>
      <c r="P11604" s="10" t="s">
        <v>50000</v>
      </c>
      <c r="Q11604" s="10"/>
      <c r="R11604" s="10" t="s">
        <v>46649</v>
      </c>
      <c r="S11604" s="10" t="s">
        <v>53</v>
      </c>
      <c r="T11604" s="10" t="s">
        <v>389</v>
      </c>
    </row>
    <row r="11605" spans="1:20" ht="14.5" x14ac:dyDescent="0.35">
      <c r="A11605" s="10" t="s">
        <v>50001</v>
      </c>
      <c r="B11605" s="10" t="str">
        <f>"9781425814441"</f>
        <v>9781425814441</v>
      </c>
      <c r="C11605" s="10" t="str">
        <f>"9781480756014"</f>
        <v>9781480756014</v>
      </c>
      <c r="D11605" s="10" t="s">
        <v>49819</v>
      </c>
      <c r="E11605" s="10" t="s">
        <v>49820</v>
      </c>
      <c r="F11605" s="10" t="s">
        <v>49821</v>
      </c>
      <c r="G11605" s="10" t="s">
        <v>6317</v>
      </c>
      <c r="H11605" s="11">
        <v>42430</v>
      </c>
      <c r="I11605" s="10">
        <v>2016</v>
      </c>
      <c r="J11605" s="10" t="s">
        <v>49820</v>
      </c>
      <c r="K11605" s="10">
        <v>130</v>
      </c>
      <c r="L11605" s="10" t="s">
        <v>50002</v>
      </c>
      <c r="M11605" s="10">
        <v>1</v>
      </c>
      <c r="N11605" s="10" t="s">
        <v>49948</v>
      </c>
      <c r="O11605" s="10"/>
      <c r="P11605" s="10" t="s">
        <v>50003</v>
      </c>
      <c r="Q11605" s="10"/>
      <c r="R11605" s="10" t="s">
        <v>46649</v>
      </c>
      <c r="S11605" s="10" t="s">
        <v>53</v>
      </c>
      <c r="T11605" s="10" t="s">
        <v>389</v>
      </c>
    </row>
    <row r="11606" spans="1:20" ht="14.5" x14ac:dyDescent="0.35">
      <c r="A11606" s="10" t="s">
        <v>50004</v>
      </c>
      <c r="B11606" s="10" t="str">
        <f>"9781425814458"</f>
        <v>9781425814458</v>
      </c>
      <c r="C11606" s="10" t="str">
        <f>"9781480756021"</f>
        <v>9781480756021</v>
      </c>
      <c r="D11606" s="10" t="s">
        <v>49819</v>
      </c>
      <c r="E11606" s="10" t="s">
        <v>49820</v>
      </c>
      <c r="F11606" s="10" t="s">
        <v>49821</v>
      </c>
      <c r="G11606" s="10" t="s">
        <v>6317</v>
      </c>
      <c r="H11606" s="11">
        <v>42430</v>
      </c>
      <c r="I11606" s="10">
        <v>2016</v>
      </c>
      <c r="J11606" s="10" t="s">
        <v>49820</v>
      </c>
      <c r="K11606" s="10">
        <v>130</v>
      </c>
      <c r="L11606" s="10" t="s">
        <v>50005</v>
      </c>
      <c r="M11606" s="10">
        <v>1</v>
      </c>
      <c r="N11606" s="10" t="s">
        <v>49948</v>
      </c>
      <c r="O11606" s="10"/>
      <c r="P11606" s="10" t="s">
        <v>50006</v>
      </c>
      <c r="Q11606" s="10"/>
      <c r="R11606" s="10" t="s">
        <v>44590</v>
      </c>
      <c r="S11606" s="10" t="s">
        <v>53</v>
      </c>
      <c r="T11606" s="10" t="s">
        <v>389</v>
      </c>
    </row>
    <row r="11607" spans="1:20" ht="14.5" x14ac:dyDescent="0.35">
      <c r="A11607" s="10" t="s">
        <v>50007</v>
      </c>
      <c r="B11607" s="10" t="str">
        <f>"9781425855567"</f>
        <v>9781425855567</v>
      </c>
      <c r="C11607" s="10" t="str">
        <f>"9781480759381"</f>
        <v>9781480759381</v>
      </c>
      <c r="D11607" s="10" t="s">
        <v>49819</v>
      </c>
      <c r="E11607" s="10" t="s">
        <v>50008</v>
      </c>
      <c r="F11607" s="10" t="s">
        <v>49821</v>
      </c>
      <c r="G11607" s="10" t="s">
        <v>6317</v>
      </c>
      <c r="H11607" s="11">
        <v>42979</v>
      </c>
      <c r="I11607" s="10">
        <v>2018</v>
      </c>
      <c r="J11607" s="10" t="s">
        <v>50008</v>
      </c>
      <c r="K11607" s="10">
        <v>35</v>
      </c>
      <c r="L11607" s="10" t="s">
        <v>50009</v>
      </c>
      <c r="M11607" s="10">
        <v>1</v>
      </c>
      <c r="N11607" s="10" t="s">
        <v>50010</v>
      </c>
      <c r="O11607" s="10"/>
      <c r="P11607" s="10" t="s">
        <v>50011</v>
      </c>
      <c r="Q11607" s="10"/>
      <c r="R11607" s="10"/>
      <c r="S11607" s="10" t="s">
        <v>53</v>
      </c>
      <c r="T11607" s="10" t="s">
        <v>50012</v>
      </c>
    </row>
    <row r="11608" spans="1:20" ht="14.5" x14ac:dyDescent="0.35">
      <c r="A11608" s="10" t="s">
        <v>50013</v>
      </c>
      <c r="B11608" s="10" t="str">
        <f>"9781425813567"</f>
        <v>9781425813567</v>
      </c>
      <c r="C11608" s="10" t="str">
        <f>"9781493861903"</f>
        <v>9781493861903</v>
      </c>
      <c r="D11608" s="10" t="s">
        <v>49819</v>
      </c>
      <c r="E11608" s="10" t="s">
        <v>49820</v>
      </c>
      <c r="F11608" s="10" t="s">
        <v>49821</v>
      </c>
      <c r="G11608" s="10" t="s">
        <v>6317</v>
      </c>
      <c r="H11608" s="11">
        <v>42156</v>
      </c>
      <c r="I11608" s="10">
        <v>2015</v>
      </c>
      <c r="J11608" s="10" t="s">
        <v>49820</v>
      </c>
      <c r="K11608" s="10">
        <v>130</v>
      </c>
      <c r="L11608" s="10" t="s">
        <v>50014</v>
      </c>
      <c r="M11608" s="10">
        <v>1</v>
      </c>
      <c r="N11608" s="10" t="s">
        <v>50015</v>
      </c>
      <c r="O11608" s="10"/>
      <c r="P11608" s="10" t="s">
        <v>50016</v>
      </c>
      <c r="Q11608" s="10"/>
      <c r="R11608" s="10" t="s">
        <v>13053</v>
      </c>
      <c r="S11608" s="10" t="s">
        <v>53</v>
      </c>
      <c r="T11608" s="10" t="s">
        <v>54</v>
      </c>
    </row>
    <row r="11609" spans="1:20" ht="14.5" x14ac:dyDescent="0.35">
      <c r="A11609" s="10" t="s">
        <v>50017</v>
      </c>
      <c r="B11609" s="10" t="str">
        <f>"9781425813574"</f>
        <v>9781425813574</v>
      </c>
      <c r="C11609" s="10" t="str">
        <f>"9781493862030"</f>
        <v>9781493862030</v>
      </c>
      <c r="D11609" s="10" t="s">
        <v>49819</v>
      </c>
      <c r="E11609" s="10" t="s">
        <v>49820</v>
      </c>
      <c r="F11609" s="10" t="s">
        <v>49821</v>
      </c>
      <c r="G11609" s="10" t="s">
        <v>6317</v>
      </c>
      <c r="H11609" s="11">
        <v>42156</v>
      </c>
      <c r="I11609" s="10">
        <v>2015</v>
      </c>
      <c r="J11609" s="10" t="s">
        <v>49820</v>
      </c>
      <c r="K11609" s="10">
        <v>130</v>
      </c>
      <c r="L11609" s="10" t="s">
        <v>50014</v>
      </c>
      <c r="M11609" s="10">
        <v>1</v>
      </c>
      <c r="N11609" s="10" t="s">
        <v>50015</v>
      </c>
      <c r="O11609" s="10"/>
      <c r="P11609" s="10" t="s">
        <v>50016</v>
      </c>
      <c r="Q11609" s="10"/>
      <c r="R11609" s="10" t="s">
        <v>13053</v>
      </c>
      <c r="S11609" s="10" t="s">
        <v>53</v>
      </c>
      <c r="T11609" s="10" t="s">
        <v>54</v>
      </c>
    </row>
    <row r="11610" spans="1:20" ht="14.5" x14ac:dyDescent="0.35">
      <c r="A11610" s="10" t="s">
        <v>50018</v>
      </c>
      <c r="B11610" s="10" t="str">
        <f>"9781425813581"</f>
        <v>9781425813581</v>
      </c>
      <c r="C11610" s="10" t="str">
        <f>"9781493862160"</f>
        <v>9781493862160</v>
      </c>
      <c r="D11610" s="10" t="s">
        <v>49819</v>
      </c>
      <c r="E11610" s="10" t="s">
        <v>49820</v>
      </c>
      <c r="F11610" s="10" t="s">
        <v>49821</v>
      </c>
      <c r="G11610" s="10" t="s">
        <v>6317</v>
      </c>
      <c r="H11610" s="11">
        <v>42156</v>
      </c>
      <c r="I11610" s="10">
        <v>2015</v>
      </c>
      <c r="J11610" s="10" t="s">
        <v>49820</v>
      </c>
      <c r="K11610" s="10">
        <v>130</v>
      </c>
      <c r="L11610" s="10" t="s">
        <v>50014</v>
      </c>
      <c r="M11610" s="10">
        <v>1</v>
      </c>
      <c r="N11610" s="10" t="s">
        <v>50015</v>
      </c>
      <c r="O11610" s="10"/>
      <c r="P11610" s="10" t="s">
        <v>50016</v>
      </c>
      <c r="Q11610" s="10"/>
      <c r="R11610" s="10" t="s">
        <v>13053</v>
      </c>
      <c r="S11610" s="10" t="s">
        <v>53</v>
      </c>
      <c r="T11610" s="10" t="s">
        <v>54</v>
      </c>
    </row>
    <row r="11611" spans="1:20" ht="14.5" x14ac:dyDescent="0.35">
      <c r="A11611" s="10" t="s">
        <v>50019</v>
      </c>
      <c r="B11611" s="10" t="str">
        <f>"9781425813598"</f>
        <v>9781425813598</v>
      </c>
      <c r="C11611" s="10" t="str">
        <f>"9781493862290"</f>
        <v>9781493862290</v>
      </c>
      <c r="D11611" s="10" t="s">
        <v>49819</v>
      </c>
      <c r="E11611" s="10" t="s">
        <v>49820</v>
      </c>
      <c r="F11611" s="10" t="s">
        <v>49821</v>
      </c>
      <c r="G11611" s="10" t="s">
        <v>6317</v>
      </c>
      <c r="H11611" s="11">
        <v>42156</v>
      </c>
      <c r="I11611" s="10">
        <v>2015</v>
      </c>
      <c r="J11611" s="10" t="s">
        <v>49820</v>
      </c>
      <c r="K11611" s="10">
        <v>130</v>
      </c>
      <c r="L11611" s="10" t="s">
        <v>50014</v>
      </c>
      <c r="M11611" s="10">
        <v>1</v>
      </c>
      <c r="N11611" s="10" t="s">
        <v>50015</v>
      </c>
      <c r="O11611" s="10"/>
      <c r="P11611" s="10" t="s">
        <v>50016</v>
      </c>
      <c r="Q11611" s="10"/>
      <c r="R11611" s="10" t="s">
        <v>13053</v>
      </c>
      <c r="S11611" s="10" t="s">
        <v>53</v>
      </c>
      <c r="T11611" s="10" t="s">
        <v>54</v>
      </c>
    </row>
    <row r="11612" spans="1:20" ht="14.5" x14ac:dyDescent="0.35">
      <c r="A11612" s="10" t="s">
        <v>50020</v>
      </c>
      <c r="B11612" s="10" t="str">
        <f>"9781425813611"</f>
        <v>9781425813611</v>
      </c>
      <c r="C11612" s="10" t="str">
        <f>"9781493862559"</f>
        <v>9781493862559</v>
      </c>
      <c r="D11612" s="10" t="s">
        <v>49819</v>
      </c>
      <c r="E11612" s="10" t="s">
        <v>49820</v>
      </c>
      <c r="F11612" s="10" t="s">
        <v>49821</v>
      </c>
      <c r="G11612" s="10" t="s">
        <v>6317</v>
      </c>
      <c r="H11612" s="11">
        <v>42156</v>
      </c>
      <c r="I11612" s="10">
        <v>2015</v>
      </c>
      <c r="J11612" s="10" t="s">
        <v>49820</v>
      </c>
      <c r="K11612" s="10">
        <v>130</v>
      </c>
      <c r="L11612" s="10" t="s">
        <v>50014</v>
      </c>
      <c r="M11612" s="10">
        <v>1</v>
      </c>
      <c r="N11612" s="10" t="s">
        <v>50015</v>
      </c>
      <c r="O11612" s="10"/>
      <c r="P11612" s="10" t="s">
        <v>50016</v>
      </c>
      <c r="Q11612" s="10"/>
      <c r="R11612" s="10" t="s">
        <v>13053</v>
      </c>
      <c r="S11612" s="10" t="s">
        <v>53</v>
      </c>
      <c r="T11612" s="10" t="s">
        <v>54</v>
      </c>
    </row>
    <row r="11613" spans="1:20" ht="14.5" x14ac:dyDescent="0.35">
      <c r="A11613" s="10" t="s">
        <v>50021</v>
      </c>
      <c r="B11613" s="10" t="str">
        <f>"9781425813925"</f>
        <v>9781425813925</v>
      </c>
      <c r="C11613" s="10" t="str">
        <f>"9781493884995"</f>
        <v>9781493884995</v>
      </c>
      <c r="D11613" s="10" t="s">
        <v>49819</v>
      </c>
      <c r="E11613" s="10" t="s">
        <v>49820</v>
      </c>
      <c r="F11613" s="10" t="s">
        <v>49821</v>
      </c>
      <c r="G11613" s="10" t="s">
        <v>6317</v>
      </c>
      <c r="H11613" s="11">
        <v>43192</v>
      </c>
      <c r="I11613" s="10">
        <v>2018</v>
      </c>
      <c r="J11613" s="10" t="s">
        <v>49820</v>
      </c>
      <c r="K11613" s="10">
        <v>210</v>
      </c>
      <c r="L11613" s="10" t="s">
        <v>50022</v>
      </c>
      <c r="M11613" s="10">
        <v>1</v>
      </c>
      <c r="N11613" s="10" t="s">
        <v>49823</v>
      </c>
      <c r="O11613" s="10"/>
      <c r="P11613" s="10" t="s">
        <v>50023</v>
      </c>
      <c r="Q11613" s="10"/>
      <c r="R11613" s="10" t="s">
        <v>50024</v>
      </c>
      <c r="S11613" s="10" t="s">
        <v>53</v>
      </c>
      <c r="T11613" s="10" t="s">
        <v>54</v>
      </c>
    </row>
    <row r="11614" spans="1:20" ht="14.5" x14ac:dyDescent="0.35">
      <c r="A11614" s="10" t="s">
        <v>50025</v>
      </c>
      <c r="B11614" s="10" t="str">
        <f>"9781425813932"</f>
        <v>9781425813932</v>
      </c>
      <c r="C11614" s="10" t="str">
        <f>"9781493885008"</f>
        <v>9781493885008</v>
      </c>
      <c r="D11614" s="10" t="s">
        <v>49819</v>
      </c>
      <c r="E11614" s="10" t="s">
        <v>49820</v>
      </c>
      <c r="F11614" s="10" t="s">
        <v>49821</v>
      </c>
      <c r="G11614" s="10" t="s">
        <v>6317</v>
      </c>
      <c r="H11614" s="11">
        <v>43192</v>
      </c>
      <c r="I11614" s="10">
        <v>2018</v>
      </c>
      <c r="J11614" s="10" t="s">
        <v>49820</v>
      </c>
      <c r="K11614" s="10">
        <v>210</v>
      </c>
      <c r="L11614" s="10" t="s">
        <v>50022</v>
      </c>
      <c r="M11614" s="10">
        <v>1</v>
      </c>
      <c r="N11614" s="10" t="s">
        <v>49823</v>
      </c>
      <c r="O11614" s="10"/>
      <c r="P11614" s="10" t="s">
        <v>50023</v>
      </c>
      <c r="Q11614" s="10"/>
      <c r="R11614" s="10" t="s">
        <v>50024</v>
      </c>
      <c r="S11614" s="10" t="s">
        <v>53</v>
      </c>
      <c r="T11614" s="10" t="s">
        <v>54</v>
      </c>
    </row>
    <row r="11615" spans="1:20" ht="14.5" x14ac:dyDescent="0.35">
      <c r="A11615" s="10" t="s">
        <v>50026</v>
      </c>
      <c r="B11615" s="10" t="str">
        <f>"9781425813949"</f>
        <v>9781425813949</v>
      </c>
      <c r="C11615" s="10" t="str">
        <f>"9781493885015"</f>
        <v>9781493885015</v>
      </c>
      <c r="D11615" s="10" t="s">
        <v>49819</v>
      </c>
      <c r="E11615" s="10" t="s">
        <v>49820</v>
      </c>
      <c r="F11615" s="10" t="s">
        <v>49821</v>
      </c>
      <c r="G11615" s="10" t="s">
        <v>6317</v>
      </c>
      <c r="H11615" s="11">
        <v>43192</v>
      </c>
      <c r="I11615" s="10">
        <v>2018</v>
      </c>
      <c r="J11615" s="10" t="s">
        <v>49820</v>
      </c>
      <c r="K11615" s="10">
        <v>218</v>
      </c>
      <c r="L11615" s="10" t="s">
        <v>50027</v>
      </c>
      <c r="M11615" s="10">
        <v>1</v>
      </c>
      <c r="N11615" s="10" t="s">
        <v>49823</v>
      </c>
      <c r="O11615" s="10"/>
      <c r="P11615" s="10" t="s">
        <v>50028</v>
      </c>
      <c r="Q11615" s="10"/>
      <c r="R11615" s="10" t="s">
        <v>50024</v>
      </c>
      <c r="S11615" s="10" t="s">
        <v>53</v>
      </c>
      <c r="T11615" s="10" t="s">
        <v>54</v>
      </c>
    </row>
    <row r="11616" spans="1:20" ht="14.5" x14ac:dyDescent="0.35">
      <c r="A11616" s="10" t="s">
        <v>50029</v>
      </c>
      <c r="B11616" s="10" t="str">
        <f>"9781425813970"</f>
        <v>9781425813970</v>
      </c>
      <c r="C11616" s="10" t="str">
        <f>"9781493885046"</f>
        <v>9781493885046</v>
      </c>
      <c r="D11616" s="10" t="s">
        <v>49819</v>
      </c>
      <c r="E11616" s="10" t="s">
        <v>49820</v>
      </c>
      <c r="F11616" s="10" t="s">
        <v>49821</v>
      </c>
      <c r="G11616" s="10" t="s">
        <v>6317</v>
      </c>
      <c r="H11616" s="11">
        <v>43192</v>
      </c>
      <c r="I11616" s="10">
        <v>2018</v>
      </c>
      <c r="J11616" s="10" t="s">
        <v>49820</v>
      </c>
      <c r="K11616" s="10">
        <v>218</v>
      </c>
      <c r="L11616" s="10" t="s">
        <v>50030</v>
      </c>
      <c r="M11616" s="10">
        <v>1</v>
      </c>
      <c r="N11616" s="10" t="s">
        <v>49823</v>
      </c>
      <c r="O11616" s="10"/>
      <c r="P11616" s="10" t="s">
        <v>50031</v>
      </c>
      <c r="Q11616" s="10"/>
      <c r="R11616" s="10" t="s">
        <v>50024</v>
      </c>
      <c r="S11616" s="10" t="s">
        <v>53</v>
      </c>
      <c r="T11616" s="10" t="s">
        <v>54</v>
      </c>
    </row>
    <row r="11617" spans="1:20" ht="14.5" x14ac:dyDescent="0.35">
      <c r="A11617" s="10" t="s">
        <v>50032</v>
      </c>
      <c r="B11617" s="10" t="str">
        <f>"9781425814069"</f>
        <v>9781425814069</v>
      </c>
      <c r="C11617" s="10" t="str">
        <f>"9781493885060"</f>
        <v>9781493885060</v>
      </c>
      <c r="D11617" s="10" t="s">
        <v>49819</v>
      </c>
      <c r="E11617" s="10" t="s">
        <v>49820</v>
      </c>
      <c r="F11617" s="10" t="s">
        <v>49821</v>
      </c>
      <c r="G11617" s="10" t="s">
        <v>6317</v>
      </c>
      <c r="H11617" s="11">
        <v>43192</v>
      </c>
      <c r="I11617" s="10">
        <v>2018</v>
      </c>
      <c r="J11617" s="10" t="s">
        <v>49820</v>
      </c>
      <c r="K11617" s="10">
        <v>210</v>
      </c>
      <c r="L11617" s="10" t="s">
        <v>50033</v>
      </c>
      <c r="M11617" s="10">
        <v>1</v>
      </c>
      <c r="N11617" s="10" t="s">
        <v>49823</v>
      </c>
      <c r="O11617" s="10"/>
      <c r="P11617" s="10" t="s">
        <v>50034</v>
      </c>
      <c r="Q11617" s="10"/>
      <c r="R11617" s="10" t="s">
        <v>50035</v>
      </c>
      <c r="S11617" s="10" t="s">
        <v>53</v>
      </c>
      <c r="T11617" s="10" t="s">
        <v>5557</v>
      </c>
    </row>
    <row r="11618" spans="1:20" ht="14.5" x14ac:dyDescent="0.35">
      <c r="A11618" s="10" t="s">
        <v>50036</v>
      </c>
      <c r="B11618" s="10" t="str">
        <f>"9781425814083"</f>
        <v>9781425814083</v>
      </c>
      <c r="C11618" s="10" t="str">
        <f>"9781493885084"</f>
        <v>9781493885084</v>
      </c>
      <c r="D11618" s="10" t="s">
        <v>49819</v>
      </c>
      <c r="E11618" s="10" t="s">
        <v>49820</v>
      </c>
      <c r="F11618" s="10" t="s">
        <v>49821</v>
      </c>
      <c r="G11618" s="10" t="s">
        <v>6317</v>
      </c>
      <c r="H11618" s="11">
        <v>43192</v>
      </c>
      <c r="I11618" s="10">
        <v>2018</v>
      </c>
      <c r="J11618" s="10" t="s">
        <v>49820</v>
      </c>
      <c r="K11618" s="10">
        <v>218</v>
      </c>
      <c r="L11618" s="10" t="s">
        <v>50037</v>
      </c>
      <c r="M11618" s="10">
        <v>1</v>
      </c>
      <c r="N11618" s="10" t="s">
        <v>49823</v>
      </c>
      <c r="O11618" s="10"/>
      <c r="P11618" s="10" t="s">
        <v>50038</v>
      </c>
      <c r="Q11618" s="10"/>
      <c r="R11618" s="10" t="s">
        <v>50035</v>
      </c>
      <c r="S11618" s="10" t="s">
        <v>53</v>
      </c>
      <c r="T11618" s="10" t="s">
        <v>5557</v>
      </c>
    </row>
    <row r="11619" spans="1:20" ht="14.5" x14ac:dyDescent="0.35">
      <c r="A11619" s="10" t="s">
        <v>50039</v>
      </c>
      <c r="B11619" s="10" t="str">
        <f>"9781425814090"</f>
        <v>9781425814090</v>
      </c>
      <c r="C11619" s="10" t="str">
        <f>"9781493885091"</f>
        <v>9781493885091</v>
      </c>
      <c r="D11619" s="10" t="s">
        <v>49819</v>
      </c>
      <c r="E11619" s="10" t="s">
        <v>49820</v>
      </c>
      <c r="F11619" s="10" t="s">
        <v>49821</v>
      </c>
      <c r="G11619" s="10" t="s">
        <v>6317</v>
      </c>
      <c r="H11619" s="11">
        <v>43192</v>
      </c>
      <c r="I11619" s="10">
        <v>2018</v>
      </c>
      <c r="J11619" s="10" t="s">
        <v>49820</v>
      </c>
      <c r="K11619" s="10">
        <v>218</v>
      </c>
      <c r="L11619" s="10" t="s">
        <v>50040</v>
      </c>
      <c r="M11619" s="10">
        <v>1</v>
      </c>
      <c r="N11619" s="10" t="s">
        <v>49823</v>
      </c>
      <c r="O11619" s="10"/>
      <c r="P11619" s="10" t="s">
        <v>50041</v>
      </c>
      <c r="Q11619" s="10"/>
      <c r="R11619" s="10" t="s">
        <v>50035</v>
      </c>
      <c r="S11619" s="10" t="s">
        <v>53</v>
      </c>
      <c r="T11619" s="10" t="s">
        <v>5557</v>
      </c>
    </row>
    <row r="11620" spans="1:20" ht="14.5" x14ac:dyDescent="0.35">
      <c r="A11620" s="10" t="s">
        <v>50042</v>
      </c>
      <c r="B11620" s="10" t="str">
        <f>"9781642903768"</f>
        <v>9781642903768</v>
      </c>
      <c r="C11620" s="10" t="str">
        <f>"9781642903782"</f>
        <v>9781642903782</v>
      </c>
      <c r="D11620" s="10" t="s">
        <v>49819</v>
      </c>
      <c r="E11620" s="10" t="s">
        <v>49820</v>
      </c>
      <c r="F11620" s="10" t="s">
        <v>49821</v>
      </c>
      <c r="G11620" s="10" t="s">
        <v>6317</v>
      </c>
      <c r="H11620" s="11">
        <v>43546</v>
      </c>
      <c r="I11620" s="10">
        <v>2019</v>
      </c>
      <c r="J11620" s="10" t="s">
        <v>49820</v>
      </c>
      <c r="K11620" s="10">
        <v>378</v>
      </c>
      <c r="L11620" s="10" t="s">
        <v>47383</v>
      </c>
      <c r="M11620" s="10">
        <v>2</v>
      </c>
      <c r="N11620" s="10" t="s">
        <v>49859</v>
      </c>
      <c r="O11620" s="10"/>
      <c r="P11620" s="10" t="s">
        <v>50043</v>
      </c>
      <c r="Q11620" s="10"/>
      <c r="R11620" s="10" t="s">
        <v>19338</v>
      </c>
      <c r="S11620" s="10" t="s">
        <v>53</v>
      </c>
      <c r="T11620" s="10" t="s">
        <v>389</v>
      </c>
    </row>
    <row r="11621" spans="1:20" ht="14.5" x14ac:dyDescent="0.35">
      <c r="A11621" s="10" t="s">
        <v>50044</v>
      </c>
      <c r="B11621" s="10" t="str">
        <f>"9781425814120"</f>
        <v>9781425814120</v>
      </c>
      <c r="C11621" s="10" t="str">
        <f>"9781493885121"</f>
        <v>9781493885121</v>
      </c>
      <c r="D11621" s="10" t="s">
        <v>49819</v>
      </c>
      <c r="E11621" s="10" t="s">
        <v>49820</v>
      </c>
      <c r="F11621" s="10" t="s">
        <v>49821</v>
      </c>
      <c r="G11621" s="10" t="s">
        <v>6317</v>
      </c>
      <c r="H11621" s="11">
        <v>43192</v>
      </c>
      <c r="I11621" s="10">
        <v>2018</v>
      </c>
      <c r="J11621" s="10" t="s">
        <v>49820</v>
      </c>
      <c r="K11621" s="10">
        <v>218</v>
      </c>
      <c r="L11621" s="10" t="s">
        <v>50045</v>
      </c>
      <c r="M11621" s="10">
        <v>1</v>
      </c>
      <c r="N11621" s="10" t="s">
        <v>49823</v>
      </c>
      <c r="O11621" s="10"/>
      <c r="P11621" s="10" t="s">
        <v>50046</v>
      </c>
      <c r="Q11621" s="10"/>
      <c r="R11621" s="10" t="s">
        <v>50035</v>
      </c>
      <c r="S11621" s="10" t="s">
        <v>53</v>
      </c>
      <c r="T11621" s="10" t="s">
        <v>5557</v>
      </c>
    </row>
    <row r="11622" spans="1:20" ht="14.5" x14ac:dyDescent="0.35">
      <c r="A11622" s="10" t="s">
        <v>50047</v>
      </c>
      <c r="B11622" s="10" t="str">
        <f>"9781425811686"</f>
        <v>9781425811686</v>
      </c>
      <c r="C11622" s="10" t="str">
        <f>"9781425895440"</f>
        <v>9781425895440</v>
      </c>
      <c r="D11622" s="10" t="s">
        <v>49819</v>
      </c>
      <c r="E11622" s="10" t="s">
        <v>49820</v>
      </c>
      <c r="F11622" s="10" t="s">
        <v>49821</v>
      </c>
      <c r="G11622" s="10" t="s">
        <v>6317</v>
      </c>
      <c r="H11622" s="11">
        <v>41913</v>
      </c>
      <c r="I11622" s="10">
        <v>2015</v>
      </c>
      <c r="J11622" s="10" t="s">
        <v>49820</v>
      </c>
      <c r="K11622" s="10">
        <v>210</v>
      </c>
      <c r="L11622" s="10" t="s">
        <v>49822</v>
      </c>
      <c r="M11622" s="10">
        <v>1</v>
      </c>
      <c r="N11622" s="10" t="s">
        <v>49823</v>
      </c>
      <c r="O11622" s="10"/>
      <c r="P11622" s="10" t="s">
        <v>49841</v>
      </c>
      <c r="Q11622" s="10"/>
      <c r="R11622" s="10" t="s">
        <v>49842</v>
      </c>
      <c r="S11622" s="10" t="s">
        <v>53</v>
      </c>
      <c r="T11622" s="10" t="s">
        <v>6616</v>
      </c>
    </row>
    <row r="11623" spans="1:20" ht="14.5" x14ac:dyDescent="0.35">
      <c r="A11623" s="10" t="s">
        <v>50048</v>
      </c>
      <c r="B11623" s="10" t="str">
        <f>"9781425811853"</f>
        <v>9781425811853</v>
      </c>
      <c r="C11623" s="10" t="str">
        <f>"9781425895617"</f>
        <v>9781425895617</v>
      </c>
      <c r="D11623" s="10" t="s">
        <v>49819</v>
      </c>
      <c r="E11623" s="10" t="s">
        <v>49820</v>
      </c>
      <c r="F11623" s="10" t="s">
        <v>49821</v>
      </c>
      <c r="G11623" s="10" t="s">
        <v>6317</v>
      </c>
      <c r="H11623" s="11">
        <v>41730</v>
      </c>
      <c r="I11623" s="10">
        <v>2014</v>
      </c>
      <c r="J11623" s="10" t="s">
        <v>49820</v>
      </c>
      <c r="K11623" s="10">
        <v>307</v>
      </c>
      <c r="L11623" s="10" t="s">
        <v>50049</v>
      </c>
      <c r="M11623" s="10">
        <v>3</v>
      </c>
      <c r="N11623" s="10" t="s">
        <v>49895</v>
      </c>
      <c r="O11623" s="10"/>
      <c r="P11623" s="10" t="s">
        <v>50050</v>
      </c>
      <c r="Q11623" s="10"/>
      <c r="R11623" s="10" t="s">
        <v>6647</v>
      </c>
      <c r="S11623" s="10" t="s">
        <v>53</v>
      </c>
      <c r="T11623" s="10" t="s">
        <v>54</v>
      </c>
    </row>
    <row r="11624" spans="1:20" ht="14.5" x14ac:dyDescent="0.35">
      <c r="A11624" s="10" t="s">
        <v>50051</v>
      </c>
      <c r="B11624" s="10" t="str">
        <f>"9781425809997"</f>
        <v>9781425809997</v>
      </c>
      <c r="C11624" s="10" t="str">
        <f>"9781425896058"</f>
        <v>9781425896058</v>
      </c>
      <c r="D11624" s="10" t="s">
        <v>49819</v>
      </c>
      <c r="E11624" s="10" t="s">
        <v>49820</v>
      </c>
      <c r="F11624" s="10" t="s">
        <v>49821</v>
      </c>
      <c r="G11624" s="10" t="s">
        <v>6317</v>
      </c>
      <c r="H11624" s="11">
        <v>42186</v>
      </c>
      <c r="I11624" s="10">
        <v>2015</v>
      </c>
      <c r="J11624" s="10" t="s">
        <v>49820</v>
      </c>
      <c r="K11624" s="10">
        <v>250</v>
      </c>
      <c r="L11624" s="10" t="s">
        <v>50052</v>
      </c>
      <c r="M11624" s="10">
        <v>1</v>
      </c>
      <c r="N11624" s="10" t="s">
        <v>49895</v>
      </c>
      <c r="O11624" s="10"/>
      <c r="P11624" s="10" t="s">
        <v>50053</v>
      </c>
      <c r="Q11624" s="10">
        <v>428.00709999999998</v>
      </c>
      <c r="R11624" s="10" t="s">
        <v>45391</v>
      </c>
      <c r="S11624" s="10" t="s">
        <v>53</v>
      </c>
      <c r="T11624" s="10" t="s">
        <v>6634</v>
      </c>
    </row>
    <row r="11625" spans="1:20" ht="14.5" x14ac:dyDescent="0.35">
      <c r="A11625" s="10" t="s">
        <v>50054</v>
      </c>
      <c r="B11625" s="10" t="str">
        <f>"9781425812881"</f>
        <v>9781425812881</v>
      </c>
      <c r="C11625" s="10" t="str">
        <f>"9781425896096"</f>
        <v>9781425896096</v>
      </c>
      <c r="D11625" s="10" t="s">
        <v>49819</v>
      </c>
      <c r="E11625" s="10" t="s">
        <v>49820</v>
      </c>
      <c r="F11625" s="10" t="s">
        <v>49821</v>
      </c>
      <c r="G11625" s="10" t="s">
        <v>6317</v>
      </c>
      <c r="H11625" s="11">
        <v>41640</v>
      </c>
      <c r="I11625" s="10">
        <v>2014</v>
      </c>
      <c r="J11625" s="10" t="s">
        <v>49820</v>
      </c>
      <c r="K11625" s="10">
        <v>147</v>
      </c>
      <c r="L11625" s="10" t="s">
        <v>49902</v>
      </c>
      <c r="M11625" s="10">
        <v>1</v>
      </c>
      <c r="N11625" s="10" t="s">
        <v>49903</v>
      </c>
      <c r="O11625" s="10"/>
      <c r="P11625" s="10" t="s">
        <v>49904</v>
      </c>
      <c r="Q11625" s="10"/>
      <c r="R11625" s="10" t="s">
        <v>45354</v>
      </c>
      <c r="S11625" s="10" t="s">
        <v>53</v>
      </c>
      <c r="T11625" s="10" t="s">
        <v>389</v>
      </c>
    </row>
    <row r="11626" spans="1:20" ht="14.5" x14ac:dyDescent="0.35">
      <c r="A11626" s="10" t="s">
        <v>50055</v>
      </c>
      <c r="B11626" s="10" t="str">
        <f>"9781425812874"</f>
        <v>9781425812874</v>
      </c>
      <c r="C11626" s="10" t="str">
        <f>"9781425896089"</f>
        <v>9781425896089</v>
      </c>
      <c r="D11626" s="10" t="s">
        <v>49819</v>
      </c>
      <c r="E11626" s="10" t="s">
        <v>49820</v>
      </c>
      <c r="F11626" s="10" t="s">
        <v>49821</v>
      </c>
      <c r="G11626" s="10" t="s">
        <v>6317</v>
      </c>
      <c r="H11626" s="11">
        <v>41640</v>
      </c>
      <c r="I11626" s="10">
        <v>2014</v>
      </c>
      <c r="J11626" s="10" t="s">
        <v>49820</v>
      </c>
      <c r="K11626" s="10">
        <v>139</v>
      </c>
      <c r="L11626" s="10" t="s">
        <v>49902</v>
      </c>
      <c r="M11626" s="10">
        <v>1</v>
      </c>
      <c r="N11626" s="10" t="s">
        <v>49903</v>
      </c>
      <c r="O11626" s="10"/>
      <c r="P11626" s="10" t="s">
        <v>49904</v>
      </c>
      <c r="Q11626" s="10"/>
      <c r="R11626" s="10" t="s">
        <v>45354</v>
      </c>
      <c r="S11626" s="10" t="s">
        <v>53</v>
      </c>
      <c r="T11626" s="10" t="s">
        <v>389</v>
      </c>
    </row>
    <row r="11627" spans="1:20" ht="14.5" x14ac:dyDescent="0.35">
      <c r="A11627" s="10" t="s">
        <v>50056</v>
      </c>
      <c r="B11627" s="10" t="str">
        <f>"9781425814366"</f>
        <v>9781425814366</v>
      </c>
      <c r="C11627" s="10" t="str">
        <f>"9781425897789"</f>
        <v>9781425897789</v>
      </c>
      <c r="D11627" s="10" t="s">
        <v>49819</v>
      </c>
      <c r="E11627" s="10" t="s">
        <v>49820</v>
      </c>
      <c r="F11627" s="10" t="s">
        <v>49821</v>
      </c>
      <c r="G11627" s="10" t="s">
        <v>6317</v>
      </c>
      <c r="H11627" s="11">
        <v>42041</v>
      </c>
      <c r="I11627" s="10">
        <v>2015</v>
      </c>
      <c r="J11627" s="10" t="s">
        <v>49820</v>
      </c>
      <c r="K11627" s="10">
        <v>122</v>
      </c>
      <c r="L11627" s="10" t="s">
        <v>50057</v>
      </c>
      <c r="M11627" s="10">
        <v>1</v>
      </c>
      <c r="N11627" s="10" t="s">
        <v>49948</v>
      </c>
      <c r="O11627" s="10"/>
      <c r="P11627" s="10" t="s">
        <v>50058</v>
      </c>
      <c r="Q11627" s="10"/>
      <c r="R11627" s="10" t="s">
        <v>49968</v>
      </c>
      <c r="S11627" s="10" t="s">
        <v>53</v>
      </c>
      <c r="T11627" s="10" t="s">
        <v>54</v>
      </c>
    </row>
    <row r="11628" spans="1:20" ht="14.5" x14ac:dyDescent="0.35">
      <c r="A11628" s="10" t="s">
        <v>50059</v>
      </c>
      <c r="B11628" s="10" t="str">
        <f>"9781425814380"</f>
        <v>9781425814380</v>
      </c>
      <c r="C11628" s="10" t="str">
        <f>"9781425897802"</f>
        <v>9781425897802</v>
      </c>
      <c r="D11628" s="10" t="s">
        <v>49819</v>
      </c>
      <c r="E11628" s="10" t="s">
        <v>49820</v>
      </c>
      <c r="F11628" s="10" t="s">
        <v>49821</v>
      </c>
      <c r="G11628" s="10" t="s">
        <v>6317</v>
      </c>
      <c r="H11628" s="11">
        <v>42041</v>
      </c>
      <c r="I11628" s="10">
        <v>2015</v>
      </c>
      <c r="J11628" s="10" t="s">
        <v>49820</v>
      </c>
      <c r="K11628" s="10">
        <v>122</v>
      </c>
      <c r="L11628" s="10" t="s">
        <v>50060</v>
      </c>
      <c r="M11628" s="10">
        <v>1</v>
      </c>
      <c r="N11628" s="10" t="s">
        <v>49948</v>
      </c>
      <c r="O11628" s="10"/>
      <c r="P11628" s="10" t="s">
        <v>50061</v>
      </c>
      <c r="Q11628" s="10"/>
      <c r="R11628" s="10" t="s">
        <v>49968</v>
      </c>
      <c r="S11628" s="10" t="s">
        <v>53</v>
      </c>
      <c r="T11628" s="10" t="s">
        <v>54</v>
      </c>
    </row>
    <row r="11629" spans="1:20" ht="14.5" x14ac:dyDescent="0.35">
      <c r="A11629" s="10" t="s">
        <v>50062</v>
      </c>
      <c r="B11629" s="10" t="str">
        <f>"9781425815530"</f>
        <v>9781425815530</v>
      </c>
      <c r="C11629" s="10" t="str">
        <f>"9781425897857"</f>
        <v>9781425897857</v>
      </c>
      <c r="D11629" s="10" t="s">
        <v>49819</v>
      </c>
      <c r="E11629" s="10" t="s">
        <v>49820</v>
      </c>
      <c r="F11629" s="10" t="s">
        <v>49821</v>
      </c>
      <c r="G11629" s="10" t="s">
        <v>6317</v>
      </c>
      <c r="H11629" s="11">
        <v>42401</v>
      </c>
      <c r="I11629" s="10">
        <v>2016</v>
      </c>
      <c r="J11629" s="10" t="s">
        <v>49820</v>
      </c>
      <c r="K11629" s="10">
        <v>130</v>
      </c>
      <c r="L11629" s="10" t="s">
        <v>49854</v>
      </c>
      <c r="M11629" s="10">
        <v>1</v>
      </c>
      <c r="N11629" s="10" t="s">
        <v>49974</v>
      </c>
      <c r="O11629" s="10"/>
      <c r="P11629" s="10" t="s">
        <v>49978</v>
      </c>
      <c r="Q11629" s="10"/>
      <c r="R11629" s="10" t="s">
        <v>49979</v>
      </c>
      <c r="S11629" s="10" t="s">
        <v>53</v>
      </c>
      <c r="T11629" s="10" t="s">
        <v>54</v>
      </c>
    </row>
    <row r="11630" spans="1:20" ht="14.5" x14ac:dyDescent="0.35">
      <c r="A11630" s="10" t="s">
        <v>50063</v>
      </c>
      <c r="B11630" s="10" t="str">
        <f>"9781425815509"</f>
        <v>9781425815509</v>
      </c>
      <c r="C11630" s="10" t="str">
        <f>"9781425897826"</f>
        <v>9781425897826</v>
      </c>
      <c r="D11630" s="10" t="s">
        <v>49819</v>
      </c>
      <c r="E11630" s="10" t="s">
        <v>49820</v>
      </c>
      <c r="F11630" s="10" t="s">
        <v>49821</v>
      </c>
      <c r="G11630" s="10" t="s">
        <v>6317</v>
      </c>
      <c r="H11630" s="11">
        <v>42401</v>
      </c>
      <c r="I11630" s="10">
        <v>2016</v>
      </c>
      <c r="J11630" s="10" t="s">
        <v>49820</v>
      </c>
      <c r="K11630" s="10">
        <v>130</v>
      </c>
      <c r="L11630" s="10" t="s">
        <v>49973</v>
      </c>
      <c r="M11630" s="10">
        <v>1</v>
      </c>
      <c r="N11630" s="10" t="s">
        <v>49974</v>
      </c>
      <c r="O11630" s="10"/>
      <c r="P11630" s="10" t="s">
        <v>50064</v>
      </c>
      <c r="Q11630" s="10"/>
      <c r="R11630" s="10" t="s">
        <v>50065</v>
      </c>
      <c r="S11630" s="10" t="s">
        <v>53</v>
      </c>
      <c r="T11630" s="10" t="s">
        <v>54</v>
      </c>
    </row>
    <row r="11631" spans="1:20" ht="14.5" x14ac:dyDescent="0.35">
      <c r="A11631" s="10" t="s">
        <v>50066</v>
      </c>
      <c r="B11631" s="10" t="str">
        <f>"9781425809850"</f>
        <v>9781425809850</v>
      </c>
      <c r="C11631" s="10" t="str">
        <f>"9781433384028"</f>
        <v>9781433384028</v>
      </c>
      <c r="D11631" s="10" t="s">
        <v>49819</v>
      </c>
      <c r="E11631" s="10" t="s">
        <v>49820</v>
      </c>
      <c r="F11631" s="10" t="s">
        <v>49821</v>
      </c>
      <c r="G11631" s="10" t="s">
        <v>6317</v>
      </c>
      <c r="H11631" s="11">
        <v>41275</v>
      </c>
      <c r="I11631" s="10">
        <v>2013</v>
      </c>
      <c r="J11631" s="10" t="s">
        <v>49820</v>
      </c>
      <c r="K11631" s="10">
        <v>155</v>
      </c>
      <c r="L11631" s="10" t="s">
        <v>49986</v>
      </c>
      <c r="M11631" s="10">
        <v>1</v>
      </c>
      <c r="N11631" s="10" t="s">
        <v>49982</v>
      </c>
      <c r="O11631" s="10"/>
      <c r="P11631" s="10" t="s">
        <v>50067</v>
      </c>
      <c r="Q11631" s="10"/>
      <c r="R11631" s="10" t="s">
        <v>49984</v>
      </c>
      <c r="S11631" s="10" t="s">
        <v>53</v>
      </c>
      <c r="T11631" s="10" t="s">
        <v>54</v>
      </c>
    </row>
    <row r="11632" spans="1:20" ht="14.5" x14ac:dyDescent="0.35">
      <c r="A11632" s="10" t="s">
        <v>50068</v>
      </c>
      <c r="B11632" s="10" t="str">
        <f>"9781425813963"</f>
        <v>9781425813963</v>
      </c>
      <c r="C11632" s="10" t="str">
        <f>"9781493885039"</f>
        <v>9781493885039</v>
      </c>
      <c r="D11632" s="10" t="s">
        <v>49819</v>
      </c>
      <c r="E11632" s="10" t="s">
        <v>49820</v>
      </c>
      <c r="F11632" s="10" t="s">
        <v>49821</v>
      </c>
      <c r="G11632" s="10" t="s">
        <v>6317</v>
      </c>
      <c r="H11632" s="11">
        <v>43192</v>
      </c>
      <c r="I11632" s="10">
        <v>2018</v>
      </c>
      <c r="J11632" s="10" t="s">
        <v>49820</v>
      </c>
      <c r="K11632" s="10">
        <v>218</v>
      </c>
      <c r="L11632" s="10" t="s">
        <v>50069</v>
      </c>
      <c r="M11632" s="10">
        <v>1</v>
      </c>
      <c r="N11632" s="10" t="s">
        <v>49823</v>
      </c>
      <c r="O11632" s="10"/>
      <c r="P11632" s="10" t="s">
        <v>50070</v>
      </c>
      <c r="Q11632" s="10"/>
      <c r="R11632" s="10" t="s">
        <v>50024</v>
      </c>
      <c r="S11632" s="10" t="s">
        <v>53</v>
      </c>
      <c r="T11632" s="10" t="s">
        <v>54</v>
      </c>
    </row>
    <row r="11633" spans="1:20" ht="14.5" x14ac:dyDescent="0.35">
      <c r="A11633" s="10" t="s">
        <v>50071</v>
      </c>
      <c r="B11633" s="10" t="str">
        <f>"9781425814076"</f>
        <v>9781425814076</v>
      </c>
      <c r="C11633" s="10" t="str">
        <f>"9781493885077"</f>
        <v>9781493885077</v>
      </c>
      <c r="D11633" s="10" t="s">
        <v>49819</v>
      </c>
      <c r="E11633" s="10" t="s">
        <v>49820</v>
      </c>
      <c r="F11633" s="10" t="s">
        <v>49821</v>
      </c>
      <c r="G11633" s="10" t="s">
        <v>6317</v>
      </c>
      <c r="H11633" s="11">
        <v>43192</v>
      </c>
      <c r="I11633" s="10">
        <v>2018</v>
      </c>
      <c r="J11633" s="10" t="s">
        <v>49820</v>
      </c>
      <c r="K11633" s="10">
        <v>210</v>
      </c>
      <c r="L11633" s="10" t="s">
        <v>50033</v>
      </c>
      <c r="M11633" s="10">
        <v>1</v>
      </c>
      <c r="N11633" s="10" t="s">
        <v>49823</v>
      </c>
      <c r="O11633" s="10"/>
      <c r="P11633" s="10" t="s">
        <v>50034</v>
      </c>
      <c r="Q11633" s="10"/>
      <c r="R11633" s="10" t="s">
        <v>50035</v>
      </c>
      <c r="S11633" s="10" t="s">
        <v>53</v>
      </c>
      <c r="T11633" s="10" t="s">
        <v>5557</v>
      </c>
    </row>
    <row r="11634" spans="1:20" ht="14.5" x14ac:dyDescent="0.35">
      <c r="A11634" s="10" t="s">
        <v>50072</v>
      </c>
      <c r="B11634" s="10" t="str">
        <f>"9781425814106"</f>
        <v>9781425814106</v>
      </c>
      <c r="C11634" s="10" t="str">
        <f>"9781493885107"</f>
        <v>9781493885107</v>
      </c>
      <c r="D11634" s="10" t="s">
        <v>49819</v>
      </c>
      <c r="E11634" s="10" t="s">
        <v>49820</v>
      </c>
      <c r="F11634" s="10" t="s">
        <v>49821</v>
      </c>
      <c r="G11634" s="10" t="s">
        <v>6317</v>
      </c>
      <c r="H11634" s="11">
        <v>43192</v>
      </c>
      <c r="I11634" s="10">
        <v>2018</v>
      </c>
      <c r="J11634" s="10" t="s">
        <v>49820</v>
      </c>
      <c r="K11634" s="10">
        <v>218</v>
      </c>
      <c r="L11634" s="10" t="s">
        <v>50033</v>
      </c>
      <c r="M11634" s="10">
        <v>1</v>
      </c>
      <c r="N11634" s="10" t="s">
        <v>49823</v>
      </c>
      <c r="O11634" s="10"/>
      <c r="P11634" s="10" t="s">
        <v>50034</v>
      </c>
      <c r="Q11634" s="10"/>
      <c r="R11634" s="10" t="s">
        <v>50035</v>
      </c>
      <c r="S11634" s="10" t="s">
        <v>53</v>
      </c>
      <c r="T11634" s="10" t="s">
        <v>5557</v>
      </c>
    </row>
    <row r="11635" spans="1:20" ht="14.5" x14ac:dyDescent="0.35">
      <c r="A11635" s="10" t="s">
        <v>50073</v>
      </c>
      <c r="B11635" s="10" t="str">
        <f>"9781425817329"</f>
        <v>9781425817329</v>
      </c>
      <c r="C11635" s="10" t="str">
        <f>"9781425830304"</f>
        <v>9781425830304</v>
      </c>
      <c r="D11635" s="10" t="s">
        <v>49819</v>
      </c>
      <c r="E11635" s="10" t="s">
        <v>49820</v>
      </c>
      <c r="F11635" s="10" t="s">
        <v>49821</v>
      </c>
      <c r="G11635" s="10" t="s">
        <v>6317</v>
      </c>
      <c r="H11635" s="11">
        <v>43221</v>
      </c>
      <c r="I11635" s="10">
        <v>2018</v>
      </c>
      <c r="J11635" s="10" t="s">
        <v>49820</v>
      </c>
      <c r="K11635" s="10">
        <v>154</v>
      </c>
      <c r="L11635" s="10" t="s">
        <v>50074</v>
      </c>
      <c r="M11635" s="10">
        <v>1</v>
      </c>
      <c r="N11635" s="10" t="s">
        <v>49918</v>
      </c>
      <c r="O11635" s="10"/>
      <c r="P11635" s="10" t="s">
        <v>50075</v>
      </c>
      <c r="Q11635" s="10"/>
      <c r="R11635" s="10" t="s">
        <v>50076</v>
      </c>
      <c r="S11635" s="10" t="s">
        <v>53</v>
      </c>
      <c r="T11635" s="10" t="s">
        <v>54</v>
      </c>
    </row>
    <row r="11636" spans="1:20" ht="14.5" x14ac:dyDescent="0.35">
      <c r="A11636" s="10" t="s">
        <v>50077</v>
      </c>
      <c r="B11636" s="10" t="str">
        <f>"9781425833022"</f>
        <v>9781425833022</v>
      </c>
      <c r="C11636" s="10" t="str">
        <f>"9781425855055"</f>
        <v>9781425855055</v>
      </c>
      <c r="D11636" s="10" t="s">
        <v>49819</v>
      </c>
      <c r="E11636" s="10" t="s">
        <v>49820</v>
      </c>
      <c r="F11636" s="10" t="s">
        <v>49821</v>
      </c>
      <c r="G11636" s="10" t="s">
        <v>6317</v>
      </c>
      <c r="H11636" s="11">
        <v>43160</v>
      </c>
      <c r="I11636" s="10">
        <v>2018</v>
      </c>
      <c r="J11636" s="10" t="s">
        <v>49820</v>
      </c>
      <c r="K11636" s="10">
        <v>210</v>
      </c>
      <c r="L11636" s="10" t="s">
        <v>50078</v>
      </c>
      <c r="M11636" s="10">
        <v>1</v>
      </c>
      <c r="N11636" s="10" t="s">
        <v>49823</v>
      </c>
      <c r="O11636" s="10"/>
      <c r="P11636" s="10" t="s">
        <v>50079</v>
      </c>
      <c r="Q11636" s="10"/>
      <c r="R11636" s="10" t="s">
        <v>49825</v>
      </c>
      <c r="S11636" s="10" t="s">
        <v>53</v>
      </c>
      <c r="T11636" s="10" t="s">
        <v>54</v>
      </c>
    </row>
    <row r="11637" spans="1:20" ht="14.5" x14ac:dyDescent="0.35">
      <c r="A11637" s="10" t="s">
        <v>50080</v>
      </c>
      <c r="B11637" s="10" t="str">
        <f>"9781425809256"</f>
        <v>9781425809256</v>
      </c>
      <c r="C11637" s="10" t="str">
        <f>"9781425895129"</f>
        <v>9781425895129</v>
      </c>
      <c r="D11637" s="10" t="s">
        <v>49819</v>
      </c>
      <c r="E11637" s="10" t="s">
        <v>49820</v>
      </c>
      <c r="F11637" s="10" t="s">
        <v>49821</v>
      </c>
      <c r="G11637" s="10" t="s">
        <v>6317</v>
      </c>
      <c r="H11637" s="11">
        <v>41275</v>
      </c>
      <c r="I11637" s="10">
        <v>2013</v>
      </c>
      <c r="J11637" s="10" t="s">
        <v>49820</v>
      </c>
      <c r="K11637" s="10">
        <v>242</v>
      </c>
      <c r="L11637" s="10" t="s">
        <v>49827</v>
      </c>
      <c r="M11637" s="10">
        <v>1</v>
      </c>
      <c r="N11637" s="10" t="s">
        <v>49823</v>
      </c>
      <c r="O11637" s="10"/>
      <c r="P11637" s="10" t="s">
        <v>50081</v>
      </c>
      <c r="Q11637" s="10"/>
      <c r="R11637" s="10" t="s">
        <v>13053</v>
      </c>
      <c r="S11637" s="10" t="s">
        <v>53</v>
      </c>
      <c r="T11637" s="10" t="s">
        <v>54</v>
      </c>
    </row>
    <row r="11638" spans="1:20" ht="14.5" x14ac:dyDescent="0.35">
      <c r="A11638" s="10" t="s">
        <v>50082</v>
      </c>
      <c r="B11638" s="10" t="str">
        <f>"9781425809829"</f>
        <v>9781425809829</v>
      </c>
      <c r="C11638" s="10" t="str">
        <f>"9781425895150"</f>
        <v>9781425895150</v>
      </c>
      <c r="D11638" s="10" t="s">
        <v>49819</v>
      </c>
      <c r="E11638" s="10" t="s">
        <v>49820</v>
      </c>
      <c r="F11638" s="10" t="s">
        <v>49821</v>
      </c>
      <c r="G11638" s="10" t="s">
        <v>6317</v>
      </c>
      <c r="H11638" s="11">
        <v>41275</v>
      </c>
      <c r="I11638" s="10">
        <v>2013</v>
      </c>
      <c r="J11638" s="10" t="s">
        <v>49820</v>
      </c>
      <c r="K11638" s="10">
        <v>155</v>
      </c>
      <c r="L11638" s="10" t="s">
        <v>50083</v>
      </c>
      <c r="M11638" s="10">
        <v>1</v>
      </c>
      <c r="N11638" s="10" t="s">
        <v>49982</v>
      </c>
      <c r="O11638" s="10"/>
      <c r="P11638" s="10" t="s">
        <v>50084</v>
      </c>
      <c r="Q11638" s="10"/>
      <c r="R11638" s="10" t="s">
        <v>49984</v>
      </c>
      <c r="S11638" s="10" t="s">
        <v>53</v>
      </c>
      <c r="T11638" s="10" t="s">
        <v>54</v>
      </c>
    </row>
    <row r="11639" spans="1:20" ht="14.5" x14ac:dyDescent="0.35">
      <c r="A11639" s="10" t="s">
        <v>50085</v>
      </c>
      <c r="B11639" s="10" t="str">
        <f>"9781425811679"</f>
        <v>9781425811679</v>
      </c>
      <c r="C11639" s="10" t="str">
        <f>"9781425895433"</f>
        <v>9781425895433</v>
      </c>
      <c r="D11639" s="10" t="s">
        <v>49819</v>
      </c>
      <c r="E11639" s="10" t="s">
        <v>49820</v>
      </c>
      <c r="F11639" s="10" t="s">
        <v>49821</v>
      </c>
      <c r="G11639" s="10" t="s">
        <v>6317</v>
      </c>
      <c r="H11639" s="11">
        <v>41913</v>
      </c>
      <c r="I11639" s="10">
        <v>2015</v>
      </c>
      <c r="J11639" s="10" t="s">
        <v>49820</v>
      </c>
      <c r="K11639" s="10">
        <v>210</v>
      </c>
      <c r="L11639" s="10" t="s">
        <v>49822</v>
      </c>
      <c r="M11639" s="10">
        <v>1</v>
      </c>
      <c r="N11639" s="10" t="s">
        <v>49823</v>
      </c>
      <c r="O11639" s="10"/>
      <c r="P11639" s="10" t="s">
        <v>49841</v>
      </c>
      <c r="Q11639" s="10"/>
      <c r="R11639" s="10" t="s">
        <v>49842</v>
      </c>
      <c r="S11639" s="10" t="s">
        <v>53</v>
      </c>
      <c r="T11639" s="10" t="s">
        <v>6616</v>
      </c>
    </row>
    <row r="11640" spans="1:20" ht="14.5" x14ac:dyDescent="0.35">
      <c r="A11640" s="10" t="s">
        <v>50086</v>
      </c>
      <c r="B11640" s="10" t="str">
        <f>"9781425811693"</f>
        <v>9781425811693</v>
      </c>
      <c r="C11640" s="10" t="str">
        <f>"9781425895457"</f>
        <v>9781425895457</v>
      </c>
      <c r="D11640" s="10" t="s">
        <v>49819</v>
      </c>
      <c r="E11640" s="10" t="s">
        <v>49820</v>
      </c>
      <c r="F11640" s="10" t="s">
        <v>49821</v>
      </c>
      <c r="G11640" s="10" t="s">
        <v>6317</v>
      </c>
      <c r="H11640" s="11">
        <v>41913</v>
      </c>
      <c r="I11640" s="10">
        <v>2015</v>
      </c>
      <c r="J11640" s="10" t="s">
        <v>49820</v>
      </c>
      <c r="K11640" s="10">
        <v>210</v>
      </c>
      <c r="L11640" s="10" t="s">
        <v>49833</v>
      </c>
      <c r="M11640" s="10">
        <v>1</v>
      </c>
      <c r="N11640" s="10" t="s">
        <v>49823</v>
      </c>
      <c r="O11640" s="10"/>
      <c r="P11640" s="10" t="s">
        <v>49838</v>
      </c>
      <c r="Q11640" s="10"/>
      <c r="R11640" s="10" t="s">
        <v>49825</v>
      </c>
      <c r="S11640" s="10" t="s">
        <v>53</v>
      </c>
      <c r="T11640" s="10" t="s">
        <v>54</v>
      </c>
    </row>
    <row r="11641" spans="1:20" ht="14.5" x14ac:dyDescent="0.35">
      <c r="A11641" s="10" t="s">
        <v>49843</v>
      </c>
      <c r="B11641" s="10" t="str">
        <f>"9781425811822"</f>
        <v>9781425811822</v>
      </c>
      <c r="C11641" s="10" t="str">
        <f>"9781425895587"</f>
        <v>9781425895587</v>
      </c>
      <c r="D11641" s="10" t="s">
        <v>49819</v>
      </c>
      <c r="E11641" s="10" t="s">
        <v>49820</v>
      </c>
      <c r="F11641" s="10" t="s">
        <v>49821</v>
      </c>
      <c r="G11641" s="10" t="s">
        <v>6317</v>
      </c>
      <c r="H11641" s="11">
        <v>41791</v>
      </c>
      <c r="I11641" s="10">
        <v>2014</v>
      </c>
      <c r="J11641" s="10" t="s">
        <v>49820</v>
      </c>
      <c r="K11641" s="10">
        <v>154</v>
      </c>
      <c r="L11641" s="10" t="s">
        <v>49844</v>
      </c>
      <c r="M11641" s="10">
        <v>1</v>
      </c>
      <c r="N11641" s="10" t="s">
        <v>49845</v>
      </c>
      <c r="O11641" s="10"/>
      <c r="P11641" s="10" t="s">
        <v>50087</v>
      </c>
      <c r="Q11641" s="10">
        <v>371.10199999999998</v>
      </c>
      <c r="R11641" s="10" t="s">
        <v>18113</v>
      </c>
      <c r="S11641" s="10" t="s">
        <v>53</v>
      </c>
      <c r="T11641" s="10" t="s">
        <v>54</v>
      </c>
    </row>
    <row r="11642" spans="1:20" ht="14.5" x14ac:dyDescent="0.35">
      <c r="A11642" s="10" t="s">
        <v>50088</v>
      </c>
      <c r="B11642" s="10" t="str">
        <f>"9781425810511"</f>
        <v>9781425810511</v>
      </c>
      <c r="C11642" s="10" t="str">
        <f>"9781425895280"</f>
        <v>9781425895280</v>
      </c>
      <c r="D11642" s="10" t="s">
        <v>49819</v>
      </c>
      <c r="E11642" s="10" t="s">
        <v>49820</v>
      </c>
      <c r="F11642" s="10" t="s">
        <v>49821</v>
      </c>
      <c r="G11642" s="10" t="s">
        <v>6317</v>
      </c>
      <c r="H11642" s="11">
        <v>41426</v>
      </c>
      <c r="I11642" s="10">
        <v>2013</v>
      </c>
      <c r="J11642" s="10" t="s">
        <v>49820</v>
      </c>
      <c r="K11642" s="10">
        <v>195</v>
      </c>
      <c r="L11642" s="10" t="s">
        <v>50089</v>
      </c>
      <c r="M11642" s="10">
        <v>1</v>
      </c>
      <c r="N11642" s="10" t="s">
        <v>50090</v>
      </c>
      <c r="O11642" s="10"/>
      <c r="P11642" s="10" t="s">
        <v>50091</v>
      </c>
      <c r="Q11642" s="10"/>
      <c r="R11642" s="10" t="s">
        <v>45354</v>
      </c>
      <c r="S11642" s="10" t="s">
        <v>53</v>
      </c>
      <c r="T11642" s="10" t="s">
        <v>389</v>
      </c>
    </row>
    <row r="11643" spans="1:20" ht="14.5" x14ac:dyDescent="0.35">
      <c r="A11643" s="10" t="s">
        <v>50092</v>
      </c>
      <c r="B11643" s="10" t="str">
        <f>"9781425812898"</f>
        <v>9781425812898</v>
      </c>
      <c r="C11643" s="10" t="str">
        <f>"9781425896102"</f>
        <v>9781425896102</v>
      </c>
      <c r="D11643" s="10" t="s">
        <v>49819</v>
      </c>
      <c r="E11643" s="10" t="s">
        <v>49820</v>
      </c>
      <c r="F11643" s="10" t="s">
        <v>49821</v>
      </c>
      <c r="G11643" s="10" t="s">
        <v>6317</v>
      </c>
      <c r="H11643" s="11">
        <v>41640</v>
      </c>
      <c r="I11643" s="10">
        <v>2014</v>
      </c>
      <c r="J11643" s="10" t="s">
        <v>49820</v>
      </c>
      <c r="K11643" s="10">
        <v>163</v>
      </c>
      <c r="L11643" s="10" t="s">
        <v>49902</v>
      </c>
      <c r="M11643" s="10">
        <v>1</v>
      </c>
      <c r="N11643" s="10" t="s">
        <v>49903</v>
      </c>
      <c r="O11643" s="10"/>
      <c r="P11643" s="10" t="s">
        <v>49904</v>
      </c>
      <c r="Q11643" s="10"/>
      <c r="R11643" s="10" t="s">
        <v>45354</v>
      </c>
      <c r="S11643" s="10" t="s">
        <v>53</v>
      </c>
      <c r="T11643" s="10" t="s">
        <v>389</v>
      </c>
    </row>
    <row r="11644" spans="1:20" ht="14.5" x14ac:dyDescent="0.35">
      <c r="A11644" s="10" t="s">
        <v>50093</v>
      </c>
      <c r="B11644" s="10" t="str">
        <f>"9781425813154"</f>
        <v>9781425813154</v>
      </c>
      <c r="C11644" s="10" t="str">
        <f>"9781425896232"</f>
        <v>9781425896232</v>
      </c>
      <c r="D11644" s="10" t="s">
        <v>49819</v>
      </c>
      <c r="E11644" s="10" t="s">
        <v>49820</v>
      </c>
      <c r="F11644" s="10" t="s">
        <v>49821</v>
      </c>
      <c r="G11644" s="10" t="s">
        <v>6317</v>
      </c>
      <c r="H11644" s="11">
        <v>41791</v>
      </c>
      <c r="I11644" s="10">
        <v>2014</v>
      </c>
      <c r="J11644" s="10" t="s">
        <v>49820</v>
      </c>
      <c r="K11644" s="10">
        <v>162</v>
      </c>
      <c r="L11644" s="10" t="s">
        <v>50094</v>
      </c>
      <c r="M11644" s="10">
        <v>1</v>
      </c>
      <c r="N11644" s="10" t="s">
        <v>49895</v>
      </c>
      <c r="O11644" s="10"/>
      <c r="P11644" s="10" t="s">
        <v>50095</v>
      </c>
      <c r="Q11644" s="10"/>
      <c r="R11644" s="10" t="s">
        <v>33311</v>
      </c>
      <c r="S11644" s="10" t="s">
        <v>53</v>
      </c>
      <c r="T11644" s="10" t="s">
        <v>54</v>
      </c>
    </row>
    <row r="11645" spans="1:20" ht="14.5" x14ac:dyDescent="0.35">
      <c r="A11645" s="10" t="s">
        <v>50096</v>
      </c>
      <c r="B11645" s="10" t="str">
        <f>"9781425810191"</f>
        <v>9781425810191</v>
      </c>
      <c r="C11645" s="10" t="str">
        <f>"9781425896331"</f>
        <v>9781425896331</v>
      </c>
      <c r="D11645" s="10" t="s">
        <v>49819</v>
      </c>
      <c r="E11645" s="10" t="s">
        <v>49820</v>
      </c>
      <c r="F11645" s="10" t="s">
        <v>49821</v>
      </c>
      <c r="G11645" s="10" t="s">
        <v>6317</v>
      </c>
      <c r="H11645" s="11">
        <v>41548</v>
      </c>
      <c r="I11645" s="10">
        <v>2014</v>
      </c>
      <c r="J11645" s="10" t="s">
        <v>49820</v>
      </c>
      <c r="K11645" s="10">
        <v>211</v>
      </c>
      <c r="L11645" s="10" t="s">
        <v>50097</v>
      </c>
      <c r="M11645" s="10">
        <v>1</v>
      </c>
      <c r="N11645" s="10" t="s">
        <v>49918</v>
      </c>
      <c r="O11645" s="10"/>
      <c r="P11645" s="10" t="s">
        <v>50098</v>
      </c>
      <c r="Q11645" s="10"/>
      <c r="R11645" s="10" t="s">
        <v>50099</v>
      </c>
      <c r="S11645" s="10" t="s">
        <v>53</v>
      </c>
      <c r="T11645" s="10" t="s">
        <v>54</v>
      </c>
    </row>
    <row r="11646" spans="1:20" ht="14.5" x14ac:dyDescent="0.35">
      <c r="A11646" s="10" t="s">
        <v>50100</v>
      </c>
      <c r="B11646" s="10" t="str">
        <f>"9781425813161"</f>
        <v>9781425813161</v>
      </c>
      <c r="C11646" s="10" t="str">
        <f>"9781425896249"</f>
        <v>9781425896249</v>
      </c>
      <c r="D11646" s="10" t="s">
        <v>49819</v>
      </c>
      <c r="E11646" s="10" t="s">
        <v>49820</v>
      </c>
      <c r="F11646" s="10" t="s">
        <v>49821</v>
      </c>
      <c r="G11646" s="10" t="s">
        <v>6317</v>
      </c>
      <c r="H11646" s="11">
        <v>41791</v>
      </c>
      <c r="I11646" s="10">
        <v>2014</v>
      </c>
      <c r="J11646" s="10" t="s">
        <v>49820</v>
      </c>
      <c r="K11646" s="10">
        <v>258</v>
      </c>
      <c r="L11646" s="10" t="s">
        <v>50101</v>
      </c>
      <c r="M11646" s="10">
        <v>1</v>
      </c>
      <c r="N11646" s="10" t="s">
        <v>49895</v>
      </c>
      <c r="O11646" s="10"/>
      <c r="P11646" s="10" t="s">
        <v>50102</v>
      </c>
      <c r="Q11646" s="10"/>
      <c r="R11646" s="10" t="s">
        <v>49964</v>
      </c>
      <c r="S11646" s="10" t="s">
        <v>53</v>
      </c>
      <c r="T11646" s="10" t="s">
        <v>54</v>
      </c>
    </row>
    <row r="11647" spans="1:20" ht="14.5" x14ac:dyDescent="0.35">
      <c r="A11647" s="10" t="s">
        <v>50103</v>
      </c>
      <c r="B11647" s="10" t="str">
        <f>"9781425813604"</f>
        <v>9781425813604</v>
      </c>
      <c r="C11647" s="10" t="str">
        <f>"9781493862429"</f>
        <v>9781493862429</v>
      </c>
      <c r="D11647" s="10" t="s">
        <v>49819</v>
      </c>
      <c r="E11647" s="10" t="s">
        <v>49820</v>
      </c>
      <c r="F11647" s="10" t="s">
        <v>49821</v>
      </c>
      <c r="G11647" s="10" t="s">
        <v>6317</v>
      </c>
      <c r="H11647" s="11">
        <v>42156</v>
      </c>
      <c r="I11647" s="10">
        <v>2015</v>
      </c>
      <c r="J11647" s="10" t="s">
        <v>49820</v>
      </c>
      <c r="K11647" s="10">
        <v>130</v>
      </c>
      <c r="L11647" s="10" t="s">
        <v>50014</v>
      </c>
      <c r="M11647" s="10">
        <v>1</v>
      </c>
      <c r="N11647" s="10" t="s">
        <v>50015</v>
      </c>
      <c r="O11647" s="10"/>
      <c r="P11647" s="10" t="s">
        <v>50016</v>
      </c>
      <c r="Q11647" s="10"/>
      <c r="R11647" s="10" t="s">
        <v>13053</v>
      </c>
      <c r="S11647" s="10" t="s">
        <v>53</v>
      </c>
      <c r="T11647" s="10" t="s">
        <v>54</v>
      </c>
    </row>
    <row r="11648" spans="1:20" ht="14.5" x14ac:dyDescent="0.35">
      <c r="A11648" s="10" t="s">
        <v>50104</v>
      </c>
      <c r="B11648" s="10" t="str">
        <f>"9781425809881"</f>
        <v>9781425809881</v>
      </c>
      <c r="C11648" s="10" t="str">
        <f>"9781433384059"</f>
        <v>9781433384059</v>
      </c>
      <c r="D11648" s="10" t="s">
        <v>49819</v>
      </c>
      <c r="E11648" s="10" t="s">
        <v>49820</v>
      </c>
      <c r="F11648" s="10" t="s">
        <v>49821</v>
      </c>
      <c r="G11648" s="10" t="s">
        <v>6317</v>
      </c>
      <c r="H11648" s="11">
        <v>41275</v>
      </c>
      <c r="I11648" s="10">
        <v>2013</v>
      </c>
      <c r="J11648" s="10" t="s">
        <v>49820</v>
      </c>
      <c r="K11648" s="10">
        <v>155</v>
      </c>
      <c r="L11648" s="10" t="s">
        <v>49986</v>
      </c>
      <c r="M11648" s="10">
        <v>1</v>
      </c>
      <c r="N11648" s="10" t="s">
        <v>49982</v>
      </c>
      <c r="O11648" s="10"/>
      <c r="P11648" s="10" t="s">
        <v>50105</v>
      </c>
      <c r="Q11648" s="10"/>
      <c r="R11648" s="10" t="s">
        <v>49984</v>
      </c>
      <c r="S11648" s="10" t="s">
        <v>53</v>
      </c>
      <c r="T11648" s="10" t="s">
        <v>54</v>
      </c>
    </row>
    <row r="11649" spans="1:20" ht="14.5" x14ac:dyDescent="0.35">
      <c r="A11649" s="10" t="s">
        <v>50106</v>
      </c>
      <c r="B11649" s="10" t="str">
        <f>"9781425814113"</f>
        <v>9781425814113</v>
      </c>
      <c r="C11649" s="10" t="str">
        <f>"9781493885114"</f>
        <v>9781493885114</v>
      </c>
      <c r="D11649" s="10" t="s">
        <v>49819</v>
      </c>
      <c r="E11649" s="10" t="s">
        <v>49820</v>
      </c>
      <c r="F11649" s="10" t="s">
        <v>49821</v>
      </c>
      <c r="G11649" s="10" t="s">
        <v>6317</v>
      </c>
      <c r="H11649" s="11">
        <v>43192</v>
      </c>
      <c r="I11649" s="10">
        <v>2018</v>
      </c>
      <c r="J11649" s="10" t="s">
        <v>49820</v>
      </c>
      <c r="K11649" s="10">
        <v>218</v>
      </c>
      <c r="L11649" s="10" t="s">
        <v>50033</v>
      </c>
      <c r="M11649" s="10">
        <v>1</v>
      </c>
      <c r="N11649" s="10" t="s">
        <v>49823</v>
      </c>
      <c r="O11649" s="10"/>
      <c r="P11649" s="10" t="s">
        <v>50034</v>
      </c>
      <c r="Q11649" s="10"/>
      <c r="R11649" s="10" t="s">
        <v>50035</v>
      </c>
      <c r="S11649" s="10" t="s">
        <v>53</v>
      </c>
      <c r="T11649" s="10" t="s">
        <v>5557</v>
      </c>
    </row>
    <row r="11650" spans="1:20" ht="14.5" x14ac:dyDescent="0.35">
      <c r="A11650" s="10" t="s">
        <v>50107</v>
      </c>
      <c r="B11650" s="10" t="str">
        <f>"9781425813956"</f>
        <v>9781425813956</v>
      </c>
      <c r="C11650" s="10" t="str">
        <f>"9781493885022"</f>
        <v>9781493885022</v>
      </c>
      <c r="D11650" s="10" t="s">
        <v>49819</v>
      </c>
      <c r="E11650" s="10" t="s">
        <v>49820</v>
      </c>
      <c r="F11650" s="10" t="s">
        <v>49821</v>
      </c>
      <c r="G11650" s="10" t="s">
        <v>6317</v>
      </c>
      <c r="H11650" s="11">
        <v>43192</v>
      </c>
      <c r="I11650" s="10">
        <v>2018</v>
      </c>
      <c r="J11650" s="10" t="s">
        <v>49820</v>
      </c>
      <c r="K11650" s="10">
        <v>218</v>
      </c>
      <c r="L11650" s="10" t="s">
        <v>50027</v>
      </c>
      <c r="M11650" s="10">
        <v>1</v>
      </c>
      <c r="N11650" s="10" t="s">
        <v>49823</v>
      </c>
      <c r="O11650" s="10"/>
      <c r="P11650" s="10" t="s">
        <v>50028</v>
      </c>
      <c r="Q11650" s="10"/>
      <c r="R11650" s="10" t="s">
        <v>50024</v>
      </c>
      <c r="S11650" s="10" t="s">
        <v>53</v>
      </c>
      <c r="T11650" s="10" t="s">
        <v>54</v>
      </c>
    </row>
    <row r="11651" spans="1:20" ht="14.5" x14ac:dyDescent="0.35">
      <c r="A11651" s="10" t="s">
        <v>50108</v>
      </c>
      <c r="B11651" s="10" t="str">
        <f>"9781425813987"</f>
        <v>9781425813987</v>
      </c>
      <c r="C11651" s="10" t="str">
        <f>"9781493885053"</f>
        <v>9781493885053</v>
      </c>
      <c r="D11651" s="10" t="s">
        <v>49819</v>
      </c>
      <c r="E11651" s="10" t="s">
        <v>49820</v>
      </c>
      <c r="F11651" s="10" t="s">
        <v>49821</v>
      </c>
      <c r="G11651" s="10" t="s">
        <v>6317</v>
      </c>
      <c r="H11651" s="11">
        <v>43192</v>
      </c>
      <c r="I11651" s="10">
        <v>2018</v>
      </c>
      <c r="J11651" s="10" t="s">
        <v>49820</v>
      </c>
      <c r="K11651" s="10">
        <v>218</v>
      </c>
      <c r="L11651" s="10" t="s">
        <v>50109</v>
      </c>
      <c r="M11651" s="10">
        <v>1</v>
      </c>
      <c r="N11651" s="10" t="s">
        <v>49823</v>
      </c>
      <c r="O11651" s="10"/>
      <c r="P11651" s="10" t="s">
        <v>50023</v>
      </c>
      <c r="Q11651" s="10"/>
      <c r="R11651" s="10" t="s">
        <v>50024</v>
      </c>
      <c r="S11651" s="10" t="s">
        <v>53</v>
      </c>
      <c r="T11651" s="10" t="s">
        <v>54</v>
      </c>
    </row>
    <row r="11652" spans="1:20" ht="14.5" x14ac:dyDescent="0.35">
      <c r="A11652" s="10" t="s">
        <v>50110</v>
      </c>
      <c r="B11652" s="10" t="str">
        <f>"9781425833060"</f>
        <v>9781425833060</v>
      </c>
      <c r="C11652" s="10" t="str">
        <f>"9781425855093"</f>
        <v>9781425855093</v>
      </c>
      <c r="D11652" s="10" t="s">
        <v>49819</v>
      </c>
      <c r="E11652" s="10" t="s">
        <v>49820</v>
      </c>
      <c r="F11652" s="10" t="s">
        <v>49821</v>
      </c>
      <c r="G11652" s="10" t="s">
        <v>6317</v>
      </c>
      <c r="H11652" s="11">
        <v>43160</v>
      </c>
      <c r="I11652" s="10">
        <v>2018</v>
      </c>
      <c r="J11652" s="10" t="s">
        <v>49820</v>
      </c>
      <c r="K11652" s="10">
        <v>218</v>
      </c>
      <c r="L11652" s="10" t="s">
        <v>49997</v>
      </c>
      <c r="M11652" s="10">
        <v>1</v>
      </c>
      <c r="N11652" s="10" t="s">
        <v>49823</v>
      </c>
      <c r="O11652" s="10"/>
      <c r="P11652" s="10" t="s">
        <v>50111</v>
      </c>
      <c r="Q11652" s="10"/>
      <c r="R11652" s="10" t="s">
        <v>49825</v>
      </c>
      <c r="S11652" s="10" t="s">
        <v>53</v>
      </c>
      <c r="T11652" s="10" t="s">
        <v>54</v>
      </c>
    </row>
    <row r="11653" spans="1:20" ht="14.5" x14ac:dyDescent="0.35">
      <c r="A11653" s="10" t="s">
        <v>50112</v>
      </c>
      <c r="B11653" s="10" t="str">
        <f>"9781425833015"</f>
        <v>9781425833015</v>
      </c>
      <c r="C11653" s="10" t="str">
        <f>"9781425855048"</f>
        <v>9781425855048</v>
      </c>
      <c r="D11653" s="10" t="s">
        <v>49819</v>
      </c>
      <c r="E11653" s="10" t="s">
        <v>49820</v>
      </c>
      <c r="F11653" s="10" t="s">
        <v>49821</v>
      </c>
      <c r="G11653" s="10" t="s">
        <v>6317</v>
      </c>
      <c r="H11653" s="11">
        <v>43160</v>
      </c>
      <c r="I11653" s="10">
        <v>2018</v>
      </c>
      <c r="J11653" s="10" t="s">
        <v>49820</v>
      </c>
      <c r="K11653" s="10">
        <v>210</v>
      </c>
      <c r="L11653" s="10" t="s">
        <v>49936</v>
      </c>
      <c r="M11653" s="10">
        <v>1</v>
      </c>
      <c r="N11653" s="10" t="s">
        <v>49823</v>
      </c>
      <c r="O11653" s="10"/>
      <c r="P11653" s="10" t="s">
        <v>50113</v>
      </c>
      <c r="Q11653" s="10"/>
      <c r="R11653" s="10" t="s">
        <v>49825</v>
      </c>
      <c r="S11653" s="10" t="s">
        <v>53</v>
      </c>
      <c r="T11653" s="10" t="s">
        <v>54</v>
      </c>
    </row>
    <row r="11654" spans="1:20" ht="14.5" x14ac:dyDescent="0.35">
      <c r="A11654" s="10" t="s">
        <v>50114</v>
      </c>
      <c r="B11654" s="10" t="str">
        <f>"9781425833077"</f>
        <v>9781425833077</v>
      </c>
      <c r="C11654" s="10" t="str">
        <f>"9781425855109"</f>
        <v>9781425855109</v>
      </c>
      <c r="D11654" s="10" t="s">
        <v>49819</v>
      </c>
      <c r="E11654" s="10" t="s">
        <v>49820</v>
      </c>
      <c r="F11654" s="10" t="s">
        <v>49821</v>
      </c>
      <c r="G11654" s="10" t="s">
        <v>6317</v>
      </c>
      <c r="H11654" s="11">
        <v>43160</v>
      </c>
      <c r="I11654" s="10">
        <v>2018</v>
      </c>
      <c r="J11654" s="10" t="s">
        <v>49820</v>
      </c>
      <c r="K11654" s="10">
        <v>218</v>
      </c>
      <c r="L11654" s="10" t="s">
        <v>50115</v>
      </c>
      <c r="M11654" s="10">
        <v>1</v>
      </c>
      <c r="N11654" s="10" t="s">
        <v>49823</v>
      </c>
      <c r="O11654" s="10"/>
      <c r="P11654" s="10" t="s">
        <v>50116</v>
      </c>
      <c r="Q11654" s="10"/>
      <c r="R11654" s="10" t="s">
        <v>49825</v>
      </c>
      <c r="S11654" s="10" t="s">
        <v>53</v>
      </c>
      <c r="T11654" s="10" t="s">
        <v>54</v>
      </c>
    </row>
    <row r="11655" spans="1:20" ht="14.5" x14ac:dyDescent="0.35">
      <c r="A11655" s="10" t="s">
        <v>50117</v>
      </c>
      <c r="B11655" s="10" t="str">
        <f>"9781425807573"</f>
        <v>9781425807573</v>
      </c>
      <c r="C11655" s="10" t="str">
        <f>"9781425894726"</f>
        <v>9781425894726</v>
      </c>
      <c r="D11655" s="10" t="s">
        <v>49819</v>
      </c>
      <c r="E11655" s="10" t="s">
        <v>49820</v>
      </c>
      <c r="F11655" s="10" t="s">
        <v>49821</v>
      </c>
      <c r="G11655" s="10" t="s">
        <v>6317</v>
      </c>
      <c r="H11655" s="11">
        <v>41548</v>
      </c>
      <c r="I11655" s="10">
        <v>2014</v>
      </c>
      <c r="J11655" s="10" t="s">
        <v>49820</v>
      </c>
      <c r="K11655" s="10">
        <v>154</v>
      </c>
      <c r="L11655" s="10" t="s">
        <v>50118</v>
      </c>
      <c r="M11655" s="10">
        <v>1</v>
      </c>
      <c r="N11655" s="10" t="s">
        <v>49895</v>
      </c>
      <c r="O11655" s="10"/>
      <c r="P11655" s="10" t="s">
        <v>50119</v>
      </c>
      <c r="Q11655" s="10">
        <v>303.490905</v>
      </c>
      <c r="R11655" s="10" t="s">
        <v>50120</v>
      </c>
      <c r="S11655" s="10" t="s">
        <v>53</v>
      </c>
      <c r="T11655" s="10" t="s">
        <v>9993</v>
      </c>
    </row>
    <row r="11656" spans="1:20" ht="14.5" x14ac:dyDescent="0.35">
      <c r="A11656" s="10" t="s">
        <v>50121</v>
      </c>
      <c r="B11656" s="10" t="str">
        <f>"9781425809225"</f>
        <v>9781425809225</v>
      </c>
      <c r="C11656" s="10" t="str">
        <f>"9781425895099"</f>
        <v>9781425895099</v>
      </c>
      <c r="D11656" s="10" t="s">
        <v>49819</v>
      </c>
      <c r="E11656" s="10" t="s">
        <v>49820</v>
      </c>
      <c r="F11656" s="10" t="s">
        <v>49821</v>
      </c>
      <c r="G11656" s="10" t="s">
        <v>6317</v>
      </c>
      <c r="H11656" s="11">
        <v>41275</v>
      </c>
      <c r="I11656" s="10">
        <v>2013</v>
      </c>
      <c r="J11656" s="10" t="s">
        <v>49820</v>
      </c>
      <c r="K11656" s="10">
        <v>242</v>
      </c>
      <c r="L11656" s="10" t="s">
        <v>49833</v>
      </c>
      <c r="M11656" s="10">
        <v>1</v>
      </c>
      <c r="N11656" s="10" t="s">
        <v>49823</v>
      </c>
      <c r="O11656" s="10"/>
      <c r="P11656" s="10" t="s">
        <v>50122</v>
      </c>
      <c r="Q11656" s="10"/>
      <c r="R11656" s="10" t="s">
        <v>13053</v>
      </c>
      <c r="S11656" s="10" t="s">
        <v>53</v>
      </c>
      <c r="T11656" s="10" t="s">
        <v>54</v>
      </c>
    </row>
    <row r="11657" spans="1:20" ht="14.5" x14ac:dyDescent="0.35">
      <c r="A11657" s="10" t="s">
        <v>50123</v>
      </c>
      <c r="B11657" s="10" t="str">
        <f>"9781425810948"</f>
        <v>9781425810948</v>
      </c>
      <c r="C11657" s="10" t="str">
        <f>"9781425896966"</f>
        <v>9781425896966</v>
      </c>
      <c r="D11657" s="10" t="s">
        <v>49819</v>
      </c>
      <c r="E11657" s="10" t="s">
        <v>49820</v>
      </c>
      <c r="F11657" s="10" t="s">
        <v>49821</v>
      </c>
      <c r="G11657" s="10" t="s">
        <v>6317</v>
      </c>
      <c r="H11657" s="11">
        <v>41548</v>
      </c>
      <c r="I11657" s="10">
        <v>2014</v>
      </c>
      <c r="J11657" s="10" t="s">
        <v>49820</v>
      </c>
      <c r="K11657" s="10">
        <v>99</v>
      </c>
      <c r="L11657" s="10" t="s">
        <v>49939</v>
      </c>
      <c r="M11657" s="10">
        <v>1</v>
      </c>
      <c r="N11657" s="10" t="s">
        <v>49940</v>
      </c>
      <c r="O11657" s="10"/>
      <c r="P11657" s="10" t="s">
        <v>50124</v>
      </c>
      <c r="Q11657" s="10">
        <v>372.46499999999997</v>
      </c>
      <c r="R11657" s="10" t="s">
        <v>50125</v>
      </c>
      <c r="S11657" s="10" t="s">
        <v>53</v>
      </c>
      <c r="T11657" s="10" t="s">
        <v>54</v>
      </c>
    </row>
    <row r="11658" spans="1:20" ht="14.5" x14ac:dyDescent="0.35">
      <c r="A11658" s="10" t="s">
        <v>50126</v>
      </c>
      <c r="B11658" s="10" t="str">
        <f>"9781425811006"</f>
        <v>9781425811006</v>
      </c>
      <c r="C11658" s="10" t="str">
        <f>"9781425896997"</f>
        <v>9781425896997</v>
      </c>
      <c r="D11658" s="10" t="s">
        <v>49819</v>
      </c>
      <c r="E11658" s="10" t="s">
        <v>49820</v>
      </c>
      <c r="F11658" s="10" t="s">
        <v>49821</v>
      </c>
      <c r="G11658" s="10" t="s">
        <v>6317</v>
      </c>
      <c r="H11658" s="11">
        <v>41548</v>
      </c>
      <c r="I11658" s="10">
        <v>2014</v>
      </c>
      <c r="J11658" s="10" t="s">
        <v>49820</v>
      </c>
      <c r="K11658" s="10">
        <v>99</v>
      </c>
      <c r="L11658" s="10" t="s">
        <v>49939</v>
      </c>
      <c r="M11658" s="10">
        <v>1</v>
      </c>
      <c r="N11658" s="10" t="s">
        <v>49940</v>
      </c>
      <c r="O11658" s="10"/>
      <c r="P11658" s="10" t="s">
        <v>50124</v>
      </c>
      <c r="Q11658" s="10">
        <v>372.46499999999997</v>
      </c>
      <c r="R11658" s="10" t="s">
        <v>50125</v>
      </c>
      <c r="S11658" s="10" t="s">
        <v>53</v>
      </c>
      <c r="T11658" s="10" t="s">
        <v>54</v>
      </c>
    </row>
    <row r="11659" spans="1:20" ht="14.5" x14ac:dyDescent="0.35">
      <c r="A11659" s="10" t="s">
        <v>50127</v>
      </c>
      <c r="B11659" s="10" t="str">
        <f>"9781425809874"</f>
        <v>9781425809874</v>
      </c>
      <c r="C11659" s="10" t="str">
        <f>"9781433384042"</f>
        <v>9781433384042</v>
      </c>
      <c r="D11659" s="10" t="s">
        <v>49819</v>
      </c>
      <c r="E11659" s="10" t="s">
        <v>49820</v>
      </c>
      <c r="F11659" s="10" t="s">
        <v>49821</v>
      </c>
      <c r="G11659" s="10" t="s">
        <v>6317</v>
      </c>
      <c r="H11659" s="11">
        <v>41275</v>
      </c>
      <c r="I11659" s="10">
        <v>2013</v>
      </c>
      <c r="J11659" s="10" t="s">
        <v>49820</v>
      </c>
      <c r="K11659" s="10">
        <v>155</v>
      </c>
      <c r="L11659" s="10" t="s">
        <v>49986</v>
      </c>
      <c r="M11659" s="10">
        <v>1</v>
      </c>
      <c r="N11659" s="10" t="s">
        <v>49982</v>
      </c>
      <c r="O11659" s="10"/>
      <c r="P11659" s="10" t="s">
        <v>50105</v>
      </c>
      <c r="Q11659" s="10"/>
      <c r="R11659" s="10" t="s">
        <v>49984</v>
      </c>
      <c r="S11659" s="10" t="s">
        <v>53</v>
      </c>
      <c r="T11659" s="10" t="s">
        <v>54</v>
      </c>
    </row>
    <row r="11660" spans="1:20" ht="14.5" x14ac:dyDescent="0.35">
      <c r="A11660" s="10" t="s">
        <v>50128</v>
      </c>
      <c r="B11660" s="10" t="str">
        <f>"9781425833039"</f>
        <v>9781425833039</v>
      </c>
      <c r="C11660" s="10" t="str">
        <f>"9781425855062"</f>
        <v>9781425855062</v>
      </c>
      <c r="D11660" s="10" t="s">
        <v>49819</v>
      </c>
      <c r="E11660" s="10" t="s">
        <v>49820</v>
      </c>
      <c r="F11660" s="10" t="s">
        <v>49821</v>
      </c>
      <c r="G11660" s="10" t="s">
        <v>6317</v>
      </c>
      <c r="H11660" s="11">
        <v>43160</v>
      </c>
      <c r="I11660" s="10">
        <v>2018</v>
      </c>
      <c r="J11660" s="10" t="s">
        <v>49820</v>
      </c>
      <c r="K11660" s="10">
        <v>210</v>
      </c>
      <c r="L11660" s="10" t="s">
        <v>49947</v>
      </c>
      <c r="M11660" s="10">
        <v>1</v>
      </c>
      <c r="N11660" s="10" t="s">
        <v>49823</v>
      </c>
      <c r="O11660" s="10"/>
      <c r="P11660" s="10" t="s">
        <v>50129</v>
      </c>
      <c r="Q11660" s="10"/>
      <c r="R11660" s="10" t="s">
        <v>49825</v>
      </c>
      <c r="S11660" s="10" t="s">
        <v>53</v>
      </c>
      <c r="T11660" s="10" t="s">
        <v>54</v>
      </c>
    </row>
    <row r="11661" spans="1:20" ht="14.5" x14ac:dyDescent="0.35">
      <c r="A11661" s="10" t="s">
        <v>50130</v>
      </c>
      <c r="B11661" s="10" t="str">
        <f>"9781425833046"</f>
        <v>9781425833046</v>
      </c>
      <c r="C11661" s="10" t="str">
        <f>"9781425855079"</f>
        <v>9781425855079</v>
      </c>
      <c r="D11661" s="10" t="s">
        <v>49819</v>
      </c>
      <c r="E11661" s="10" t="s">
        <v>49820</v>
      </c>
      <c r="F11661" s="10" t="s">
        <v>49821</v>
      </c>
      <c r="G11661" s="10" t="s">
        <v>6317</v>
      </c>
      <c r="H11661" s="11">
        <v>43160</v>
      </c>
      <c r="I11661" s="10">
        <v>2018</v>
      </c>
      <c r="J11661" s="10" t="s">
        <v>49820</v>
      </c>
      <c r="K11661" s="10">
        <v>218</v>
      </c>
      <c r="L11661" s="10" t="s">
        <v>50131</v>
      </c>
      <c r="M11661" s="10">
        <v>1</v>
      </c>
      <c r="N11661" s="10" t="s">
        <v>49823</v>
      </c>
      <c r="O11661" s="10"/>
      <c r="P11661" s="10" t="s">
        <v>50132</v>
      </c>
      <c r="Q11661" s="10"/>
      <c r="R11661" s="10" t="s">
        <v>49825</v>
      </c>
      <c r="S11661" s="10" t="s">
        <v>53</v>
      </c>
      <c r="T11661" s="10" t="s">
        <v>54</v>
      </c>
    </row>
    <row r="11662" spans="1:20" ht="14.5" x14ac:dyDescent="0.35">
      <c r="A11662" s="10" t="s">
        <v>50133</v>
      </c>
      <c r="B11662" s="10" t="str">
        <f>"9781425833053"</f>
        <v>9781425833053</v>
      </c>
      <c r="C11662" s="10" t="str">
        <f>"9781425855086"</f>
        <v>9781425855086</v>
      </c>
      <c r="D11662" s="10" t="s">
        <v>49819</v>
      </c>
      <c r="E11662" s="10" t="s">
        <v>49820</v>
      </c>
      <c r="F11662" s="10" t="s">
        <v>49821</v>
      </c>
      <c r="G11662" s="10" t="s">
        <v>6317</v>
      </c>
      <c r="H11662" s="11">
        <v>43160</v>
      </c>
      <c r="I11662" s="10">
        <v>2018</v>
      </c>
      <c r="J11662" s="10" t="s">
        <v>49820</v>
      </c>
      <c r="K11662" s="10">
        <v>218</v>
      </c>
      <c r="L11662" s="10" t="s">
        <v>50134</v>
      </c>
      <c r="M11662" s="10">
        <v>1</v>
      </c>
      <c r="N11662" s="10" t="s">
        <v>49823</v>
      </c>
      <c r="O11662" s="10"/>
      <c r="P11662" s="10" t="s">
        <v>50135</v>
      </c>
      <c r="Q11662" s="10"/>
      <c r="R11662" s="10" t="s">
        <v>49825</v>
      </c>
      <c r="S11662" s="10" t="s">
        <v>53</v>
      </c>
      <c r="T11662" s="10" t="s">
        <v>54</v>
      </c>
    </row>
    <row r="11663" spans="1:20" ht="14.5" x14ac:dyDescent="0.35">
      <c r="A11663" s="10" t="s">
        <v>50136</v>
      </c>
      <c r="B11663" s="10" t="str">
        <f>"9781425817282"</f>
        <v>9781425817282</v>
      </c>
      <c r="C11663" s="10" t="str">
        <f>"9781425830267"</f>
        <v>9781425830267</v>
      </c>
      <c r="D11663" s="10" t="s">
        <v>49819</v>
      </c>
      <c r="E11663" s="10" t="s">
        <v>49820</v>
      </c>
      <c r="F11663" s="10" t="s">
        <v>49821</v>
      </c>
      <c r="G11663" s="10" t="s">
        <v>6317</v>
      </c>
      <c r="H11663" s="11">
        <v>42948</v>
      </c>
      <c r="I11663" s="10">
        <v>2018</v>
      </c>
      <c r="J11663" s="10" t="s">
        <v>49820</v>
      </c>
      <c r="K11663" s="10">
        <v>146</v>
      </c>
      <c r="L11663" s="10" t="s">
        <v>50137</v>
      </c>
      <c r="M11663" s="10">
        <v>1</v>
      </c>
      <c r="N11663" s="10" t="s">
        <v>49859</v>
      </c>
      <c r="O11663" s="10"/>
      <c r="P11663" s="10" t="s">
        <v>50138</v>
      </c>
      <c r="Q11663" s="10"/>
      <c r="R11663" s="10" t="s">
        <v>30003</v>
      </c>
      <c r="S11663" s="10" t="s">
        <v>53</v>
      </c>
      <c r="T11663" s="10" t="s">
        <v>389</v>
      </c>
    </row>
    <row r="11664" spans="1:20" ht="14.5" x14ac:dyDescent="0.35">
      <c r="A11664" s="10" t="s">
        <v>50139</v>
      </c>
      <c r="B11664" s="10" t="str">
        <f>"9781425817299"</f>
        <v>9781425817299</v>
      </c>
      <c r="C11664" s="10" t="str">
        <f>"9781425830274"</f>
        <v>9781425830274</v>
      </c>
      <c r="D11664" s="10" t="s">
        <v>49819</v>
      </c>
      <c r="E11664" s="10" t="s">
        <v>49820</v>
      </c>
      <c r="F11664" s="10" t="s">
        <v>49821</v>
      </c>
      <c r="G11664" s="10" t="s">
        <v>6317</v>
      </c>
      <c r="H11664" s="11">
        <v>42948</v>
      </c>
      <c r="I11664" s="10">
        <v>2018</v>
      </c>
      <c r="J11664" s="10" t="s">
        <v>49820</v>
      </c>
      <c r="K11664" s="10">
        <v>138</v>
      </c>
      <c r="L11664" s="10" t="s">
        <v>50137</v>
      </c>
      <c r="M11664" s="10">
        <v>1</v>
      </c>
      <c r="N11664" s="10" t="s">
        <v>49859</v>
      </c>
      <c r="O11664" s="10"/>
      <c r="P11664" s="10" t="s">
        <v>50138</v>
      </c>
      <c r="Q11664" s="10"/>
      <c r="R11664" s="10" t="s">
        <v>30003</v>
      </c>
      <c r="S11664" s="10" t="s">
        <v>53</v>
      </c>
      <c r="T11664" s="10" t="s">
        <v>389</v>
      </c>
    </row>
    <row r="11665" spans="1:20" ht="14.5" x14ac:dyDescent="0.35">
      <c r="A11665" s="10" t="s">
        <v>50140</v>
      </c>
      <c r="B11665" s="10" t="str">
        <f>"9781425817336"</f>
        <v>9781425817336</v>
      </c>
      <c r="C11665" s="10" t="str">
        <f>"9781425830311"</f>
        <v>9781425830311</v>
      </c>
      <c r="D11665" s="10" t="s">
        <v>49819</v>
      </c>
      <c r="E11665" s="10" t="s">
        <v>49820</v>
      </c>
      <c r="F11665" s="10" t="s">
        <v>49821</v>
      </c>
      <c r="G11665" s="10" t="s">
        <v>6317</v>
      </c>
      <c r="H11665" s="11">
        <v>43221</v>
      </c>
      <c r="I11665" s="10">
        <v>2018</v>
      </c>
      <c r="J11665" s="10" t="s">
        <v>49820</v>
      </c>
      <c r="K11665" s="10">
        <v>162</v>
      </c>
      <c r="L11665" s="10" t="s">
        <v>50074</v>
      </c>
      <c r="M11665" s="10">
        <v>1</v>
      </c>
      <c r="N11665" s="10" t="s">
        <v>49918</v>
      </c>
      <c r="O11665" s="10"/>
      <c r="P11665" s="10" t="s">
        <v>50141</v>
      </c>
      <c r="Q11665" s="10"/>
      <c r="R11665" s="10" t="s">
        <v>44862</v>
      </c>
      <c r="S11665" s="10" t="s">
        <v>53</v>
      </c>
      <c r="T11665" s="10" t="s">
        <v>54</v>
      </c>
    </row>
    <row r="11666" spans="1:20" ht="14.5" x14ac:dyDescent="0.35">
      <c r="A11666" s="10" t="s">
        <v>50142</v>
      </c>
      <c r="B11666" s="10" t="str">
        <f>"9781425817343"</f>
        <v>9781425817343</v>
      </c>
      <c r="C11666" s="10" t="str">
        <f>"9781425830328"</f>
        <v>9781425830328</v>
      </c>
      <c r="D11666" s="10" t="s">
        <v>49819</v>
      </c>
      <c r="E11666" s="10" t="s">
        <v>49820</v>
      </c>
      <c r="F11666" s="10" t="s">
        <v>49821</v>
      </c>
      <c r="G11666" s="10" t="s">
        <v>6317</v>
      </c>
      <c r="H11666" s="11">
        <v>43221</v>
      </c>
      <c r="I11666" s="10">
        <v>2018</v>
      </c>
      <c r="J11666" s="10" t="s">
        <v>49820</v>
      </c>
      <c r="K11666" s="10">
        <v>162</v>
      </c>
      <c r="L11666" s="10" t="s">
        <v>50074</v>
      </c>
      <c r="M11666" s="10">
        <v>1</v>
      </c>
      <c r="N11666" s="10" t="s">
        <v>49918</v>
      </c>
      <c r="O11666" s="10"/>
      <c r="P11666" s="10" t="s">
        <v>50141</v>
      </c>
      <c r="Q11666" s="10"/>
      <c r="R11666" s="10" t="s">
        <v>44862</v>
      </c>
      <c r="S11666" s="10" t="s">
        <v>53</v>
      </c>
      <c r="T11666" s="10" t="s">
        <v>54</v>
      </c>
    </row>
    <row r="11667" spans="1:20" ht="14.5" x14ac:dyDescent="0.35">
      <c r="A11667" s="10" t="s">
        <v>50143</v>
      </c>
      <c r="B11667" s="10" t="str">
        <f>"9781425816261"</f>
        <v>9781425816261</v>
      </c>
      <c r="C11667" s="10" t="str">
        <f>"9781425835248"</f>
        <v>9781425835248</v>
      </c>
      <c r="D11667" s="10" t="s">
        <v>49819</v>
      </c>
      <c r="E11667" s="10" t="s">
        <v>49820</v>
      </c>
      <c r="F11667" s="10" t="s">
        <v>49821</v>
      </c>
      <c r="G11667" s="10" t="s">
        <v>6317</v>
      </c>
      <c r="H11667" s="11">
        <v>42737</v>
      </c>
      <c r="I11667" s="10">
        <v>2017</v>
      </c>
      <c r="J11667" s="10" t="s">
        <v>49820</v>
      </c>
      <c r="K11667" s="10">
        <v>138</v>
      </c>
      <c r="L11667" s="10" t="s">
        <v>50144</v>
      </c>
      <c r="M11667" s="10">
        <v>1</v>
      </c>
      <c r="N11667" s="10" t="s">
        <v>49918</v>
      </c>
      <c r="O11667" s="10"/>
      <c r="P11667" s="10" t="s">
        <v>50145</v>
      </c>
      <c r="Q11667" s="10"/>
      <c r="R11667" s="10" t="s">
        <v>50146</v>
      </c>
      <c r="S11667" s="10" t="s">
        <v>53</v>
      </c>
      <c r="T11667" s="10" t="s">
        <v>6616</v>
      </c>
    </row>
    <row r="11668" spans="1:20" ht="14.5" x14ac:dyDescent="0.35">
      <c r="A11668" s="10" t="s">
        <v>50147</v>
      </c>
      <c r="B11668" s="10" t="str">
        <f>"9781425816254"</f>
        <v>9781425816254</v>
      </c>
      <c r="C11668" s="10" t="str">
        <f>"9781425835231"</f>
        <v>9781425835231</v>
      </c>
      <c r="D11668" s="10" t="s">
        <v>49819</v>
      </c>
      <c r="E11668" s="10" t="s">
        <v>49820</v>
      </c>
      <c r="F11668" s="10" t="s">
        <v>49821</v>
      </c>
      <c r="G11668" s="10" t="s">
        <v>6317</v>
      </c>
      <c r="H11668" s="11">
        <v>42737</v>
      </c>
      <c r="I11668" s="10">
        <v>2017</v>
      </c>
      <c r="J11668" s="10" t="s">
        <v>49820</v>
      </c>
      <c r="K11668" s="10">
        <v>138</v>
      </c>
      <c r="L11668" s="10" t="s">
        <v>50144</v>
      </c>
      <c r="M11668" s="10">
        <v>1</v>
      </c>
      <c r="N11668" s="10" t="s">
        <v>49918</v>
      </c>
      <c r="O11668" s="10"/>
      <c r="P11668" s="10" t="s">
        <v>50145</v>
      </c>
      <c r="Q11668" s="10"/>
      <c r="R11668" s="10" t="s">
        <v>50146</v>
      </c>
      <c r="S11668" s="10" t="s">
        <v>53</v>
      </c>
      <c r="T11668" s="10" t="s">
        <v>6616</v>
      </c>
    </row>
    <row r="11669" spans="1:20" ht="14.5" x14ac:dyDescent="0.35">
      <c r="A11669" s="10" t="s">
        <v>50148</v>
      </c>
      <c r="B11669" s="10" t="str">
        <f>"9781425817008"</f>
        <v>9781425817008</v>
      </c>
      <c r="C11669" s="10" t="str">
        <f>"9781425835361"</f>
        <v>9781425835361</v>
      </c>
      <c r="D11669" s="10" t="s">
        <v>49819</v>
      </c>
      <c r="E11669" s="10" t="s">
        <v>49820</v>
      </c>
      <c r="F11669" s="10" t="s">
        <v>49821</v>
      </c>
      <c r="G11669" s="10" t="s">
        <v>6317</v>
      </c>
      <c r="H11669" s="11">
        <v>43160</v>
      </c>
      <c r="I11669" s="10">
        <v>2018</v>
      </c>
      <c r="J11669" s="10" t="s">
        <v>49820</v>
      </c>
      <c r="K11669" s="10">
        <v>138</v>
      </c>
      <c r="L11669" s="10" t="s">
        <v>50149</v>
      </c>
      <c r="M11669" s="10">
        <v>1</v>
      </c>
      <c r="N11669" s="10" t="s">
        <v>49918</v>
      </c>
      <c r="O11669" s="10"/>
      <c r="P11669" s="10" t="s">
        <v>50150</v>
      </c>
      <c r="Q11669" s="10"/>
      <c r="R11669" s="10" t="s">
        <v>44862</v>
      </c>
      <c r="S11669" s="10" t="s">
        <v>53</v>
      </c>
      <c r="T11669" s="10" t="s">
        <v>54</v>
      </c>
    </row>
    <row r="11670" spans="1:20" ht="14.5" x14ac:dyDescent="0.35">
      <c r="A11670" s="10" t="s">
        <v>50151</v>
      </c>
      <c r="B11670" s="10" t="str">
        <f>"9781425817015"</f>
        <v>9781425817015</v>
      </c>
      <c r="C11670" s="10" t="str">
        <f>"9781425835378"</f>
        <v>9781425835378</v>
      </c>
      <c r="D11670" s="10" t="s">
        <v>49819</v>
      </c>
      <c r="E11670" s="10" t="s">
        <v>49820</v>
      </c>
      <c r="F11670" s="10" t="s">
        <v>49821</v>
      </c>
      <c r="G11670" s="10" t="s">
        <v>6317</v>
      </c>
      <c r="H11670" s="11">
        <v>43160</v>
      </c>
      <c r="I11670" s="10">
        <v>2018</v>
      </c>
      <c r="J11670" s="10" t="s">
        <v>49820</v>
      </c>
      <c r="K11670" s="10">
        <v>138</v>
      </c>
      <c r="L11670" s="10" t="s">
        <v>50149</v>
      </c>
      <c r="M11670" s="10">
        <v>1</v>
      </c>
      <c r="N11670" s="10" t="s">
        <v>49918</v>
      </c>
      <c r="O11670" s="10"/>
      <c r="P11670" s="10" t="s">
        <v>50150</v>
      </c>
      <c r="Q11670" s="10"/>
      <c r="R11670" s="10" t="s">
        <v>44862</v>
      </c>
      <c r="S11670" s="10" t="s">
        <v>53</v>
      </c>
      <c r="T11670" s="10" t="s">
        <v>54</v>
      </c>
    </row>
    <row r="11671" spans="1:20" ht="14.5" x14ac:dyDescent="0.35">
      <c r="A11671" s="10" t="s">
        <v>50152</v>
      </c>
      <c r="B11671" s="10" t="str">
        <f>"9781425833091"</f>
        <v>9781425833091</v>
      </c>
      <c r="C11671" s="10" t="str">
        <f>"9781425855123"</f>
        <v>9781425855123</v>
      </c>
      <c r="D11671" s="10" t="s">
        <v>49819</v>
      </c>
      <c r="E11671" s="10" t="s">
        <v>49820</v>
      </c>
      <c r="F11671" s="10" t="s">
        <v>49821</v>
      </c>
      <c r="G11671" s="10" t="s">
        <v>6317</v>
      </c>
      <c r="H11671" s="11">
        <v>43467</v>
      </c>
      <c r="I11671" s="10">
        <v>2019</v>
      </c>
      <c r="J11671" s="10" t="s">
        <v>49820</v>
      </c>
      <c r="K11671" s="10">
        <v>242</v>
      </c>
      <c r="L11671" s="10" t="s">
        <v>49993</v>
      </c>
      <c r="M11671" s="10">
        <v>1</v>
      </c>
      <c r="N11671" s="10" t="s">
        <v>49823</v>
      </c>
      <c r="O11671" s="10"/>
      <c r="P11671" s="10" t="s">
        <v>50153</v>
      </c>
      <c r="Q11671" s="10"/>
      <c r="R11671" s="10" t="s">
        <v>49825</v>
      </c>
      <c r="S11671" s="10" t="s">
        <v>53</v>
      </c>
      <c r="T11671" s="10" t="s">
        <v>54</v>
      </c>
    </row>
    <row r="11672" spans="1:20" ht="14.5" x14ac:dyDescent="0.35">
      <c r="A11672" s="10" t="s">
        <v>50154</v>
      </c>
      <c r="B11672" s="10" t="str">
        <f>"9781425833084"</f>
        <v>9781425833084</v>
      </c>
      <c r="C11672" s="10" t="str">
        <f>"9781425855116"</f>
        <v>9781425855116</v>
      </c>
      <c r="D11672" s="10" t="s">
        <v>49819</v>
      </c>
      <c r="E11672" s="10" t="s">
        <v>49820</v>
      </c>
      <c r="F11672" s="10" t="s">
        <v>49821</v>
      </c>
      <c r="G11672" s="10" t="s">
        <v>6317</v>
      </c>
      <c r="H11672" s="11">
        <v>43467</v>
      </c>
      <c r="I11672" s="10">
        <v>2019</v>
      </c>
      <c r="J11672" s="10" t="s">
        <v>49820</v>
      </c>
      <c r="K11672" s="10">
        <v>210</v>
      </c>
      <c r="L11672" s="10" t="s">
        <v>49993</v>
      </c>
      <c r="M11672" s="10">
        <v>1</v>
      </c>
      <c r="N11672" s="10" t="s">
        <v>49823</v>
      </c>
      <c r="O11672" s="10"/>
      <c r="P11672" s="10" t="s">
        <v>50153</v>
      </c>
      <c r="Q11672" s="10"/>
      <c r="R11672" s="10" t="s">
        <v>49825</v>
      </c>
      <c r="S11672" s="10" t="s">
        <v>53</v>
      </c>
      <c r="T11672" s="10" t="s">
        <v>54</v>
      </c>
    </row>
    <row r="11673" spans="1:20" ht="14.5" x14ac:dyDescent="0.35">
      <c r="A11673" s="10" t="s">
        <v>50155</v>
      </c>
      <c r="B11673" s="10" t="str">
        <f>"9781425833107"</f>
        <v>9781425833107</v>
      </c>
      <c r="C11673" s="10" t="str">
        <f>"9781425855130"</f>
        <v>9781425855130</v>
      </c>
      <c r="D11673" s="10" t="s">
        <v>49819</v>
      </c>
      <c r="E11673" s="10" t="s">
        <v>49820</v>
      </c>
      <c r="F11673" s="10" t="s">
        <v>49821</v>
      </c>
      <c r="G11673" s="10" t="s">
        <v>6317</v>
      </c>
      <c r="H11673" s="11">
        <v>43467</v>
      </c>
      <c r="I11673" s="10">
        <v>2019</v>
      </c>
      <c r="J11673" s="10" t="s">
        <v>49820</v>
      </c>
      <c r="K11673" s="10">
        <v>242</v>
      </c>
      <c r="L11673" s="10" t="s">
        <v>49993</v>
      </c>
      <c r="M11673" s="10">
        <v>1</v>
      </c>
      <c r="N11673" s="10" t="s">
        <v>49823</v>
      </c>
      <c r="O11673" s="10"/>
      <c r="P11673" s="10" t="s">
        <v>50153</v>
      </c>
      <c r="Q11673" s="10"/>
      <c r="R11673" s="10" t="s">
        <v>49825</v>
      </c>
      <c r="S11673" s="10" t="s">
        <v>53</v>
      </c>
      <c r="T11673" s="10" t="s">
        <v>54</v>
      </c>
    </row>
    <row r="11674" spans="1:20" ht="14.5" x14ac:dyDescent="0.35">
      <c r="A11674" s="10" t="s">
        <v>50156</v>
      </c>
      <c r="B11674" s="10" t="str">
        <f>"9781425833114"</f>
        <v>9781425833114</v>
      </c>
      <c r="C11674" s="10" t="str">
        <f>"9781425855147"</f>
        <v>9781425855147</v>
      </c>
      <c r="D11674" s="10" t="s">
        <v>49819</v>
      </c>
      <c r="E11674" s="10" t="s">
        <v>49820</v>
      </c>
      <c r="F11674" s="10" t="s">
        <v>49821</v>
      </c>
      <c r="G11674" s="10" t="s">
        <v>6317</v>
      </c>
      <c r="H11674" s="11">
        <v>43467</v>
      </c>
      <c r="I11674" s="10">
        <v>2019</v>
      </c>
      <c r="J11674" s="10" t="s">
        <v>49820</v>
      </c>
      <c r="K11674" s="10">
        <v>242</v>
      </c>
      <c r="L11674" s="10" t="s">
        <v>49993</v>
      </c>
      <c r="M11674" s="10">
        <v>1</v>
      </c>
      <c r="N11674" s="10" t="s">
        <v>49823</v>
      </c>
      <c r="O11674" s="10"/>
      <c r="P11674" s="10" t="s">
        <v>50153</v>
      </c>
      <c r="Q11674" s="10"/>
      <c r="R11674" s="10" t="s">
        <v>49825</v>
      </c>
      <c r="S11674" s="10" t="s">
        <v>53</v>
      </c>
      <c r="T11674" s="10" t="s">
        <v>54</v>
      </c>
    </row>
    <row r="11675" spans="1:20" ht="14.5" x14ac:dyDescent="0.35">
      <c r="A11675" s="10" t="s">
        <v>50157</v>
      </c>
      <c r="B11675" s="10" t="str">
        <f>"9781425833138"</f>
        <v>9781425833138</v>
      </c>
      <c r="C11675" s="10" t="str">
        <f>"9781425855161"</f>
        <v>9781425855161</v>
      </c>
      <c r="D11675" s="10" t="s">
        <v>49819</v>
      </c>
      <c r="E11675" s="10" t="s">
        <v>49820</v>
      </c>
      <c r="F11675" s="10" t="s">
        <v>49821</v>
      </c>
      <c r="G11675" s="10" t="s">
        <v>6317</v>
      </c>
      <c r="H11675" s="11">
        <v>43467</v>
      </c>
      <c r="I11675" s="10">
        <v>2019</v>
      </c>
      <c r="J11675" s="10" t="s">
        <v>49820</v>
      </c>
      <c r="K11675" s="10">
        <v>242</v>
      </c>
      <c r="L11675" s="10" t="s">
        <v>49993</v>
      </c>
      <c r="M11675" s="10">
        <v>1</v>
      </c>
      <c r="N11675" s="10" t="s">
        <v>49823</v>
      </c>
      <c r="O11675" s="10"/>
      <c r="P11675" s="10" t="s">
        <v>50153</v>
      </c>
      <c r="Q11675" s="10"/>
      <c r="R11675" s="10" t="s">
        <v>49825</v>
      </c>
      <c r="S11675" s="10" t="s">
        <v>53</v>
      </c>
      <c r="T11675" s="10" t="s">
        <v>54</v>
      </c>
    </row>
    <row r="11676" spans="1:20" ht="14.5" x14ac:dyDescent="0.35">
      <c r="A11676" s="10" t="s">
        <v>50158</v>
      </c>
      <c r="B11676" s="10" t="str">
        <f>"9781425833145"</f>
        <v>9781425833145</v>
      </c>
      <c r="C11676" s="10" t="str">
        <f>"9781425855178"</f>
        <v>9781425855178</v>
      </c>
      <c r="D11676" s="10" t="s">
        <v>49819</v>
      </c>
      <c r="E11676" s="10" t="s">
        <v>49820</v>
      </c>
      <c r="F11676" s="10" t="s">
        <v>49821</v>
      </c>
      <c r="G11676" s="10" t="s">
        <v>6317</v>
      </c>
      <c r="H11676" s="11">
        <v>43467</v>
      </c>
      <c r="I11676" s="10">
        <v>2019</v>
      </c>
      <c r="J11676" s="10" t="s">
        <v>49820</v>
      </c>
      <c r="K11676" s="10">
        <v>242</v>
      </c>
      <c r="L11676" s="10" t="s">
        <v>49993</v>
      </c>
      <c r="M11676" s="10">
        <v>1</v>
      </c>
      <c r="N11676" s="10" t="s">
        <v>49823</v>
      </c>
      <c r="O11676" s="10"/>
      <c r="P11676" s="10" t="s">
        <v>50153</v>
      </c>
      <c r="Q11676" s="10"/>
      <c r="R11676" s="10" t="s">
        <v>49825</v>
      </c>
      <c r="S11676" s="10" t="s">
        <v>53</v>
      </c>
      <c r="T11676" s="10" t="s">
        <v>54</v>
      </c>
    </row>
    <row r="11677" spans="1:20" ht="14.5" x14ac:dyDescent="0.35">
      <c r="A11677" s="10" t="s">
        <v>50159</v>
      </c>
      <c r="B11677" s="10" t="str">
        <f>"9781978801882"</f>
        <v>9781978801882</v>
      </c>
      <c r="C11677" s="10" t="str">
        <f>"9781978801912"</f>
        <v>9781978801912</v>
      </c>
      <c r="D11677" s="10" t="s">
        <v>12251</v>
      </c>
      <c r="E11677" s="10" t="s">
        <v>12251</v>
      </c>
      <c r="F11677" s="10" t="s">
        <v>12451</v>
      </c>
      <c r="G11677" s="10" t="s">
        <v>6317</v>
      </c>
      <c r="H11677" s="11">
        <v>43658</v>
      </c>
      <c r="I11677" s="10">
        <v>2019</v>
      </c>
      <c r="J11677" s="10" t="s">
        <v>12251</v>
      </c>
      <c r="K11677" s="10">
        <v>199</v>
      </c>
      <c r="L11677" s="10" t="s">
        <v>50160</v>
      </c>
      <c r="M11677" s="10">
        <v>1</v>
      </c>
      <c r="N11677" s="10" t="s">
        <v>42697</v>
      </c>
      <c r="O11677" s="10"/>
      <c r="P11677" s="10" t="s">
        <v>40313</v>
      </c>
      <c r="Q11677" s="10" t="s">
        <v>14668</v>
      </c>
      <c r="R11677" s="10"/>
      <c r="S11677" s="10" t="s">
        <v>53</v>
      </c>
      <c r="T11677" s="10" t="s">
        <v>54</v>
      </c>
    </row>
    <row r="11678" spans="1:20" ht="14.5" x14ac:dyDescent="0.35">
      <c r="A11678" s="10" t="s">
        <v>50161</v>
      </c>
      <c r="B11678" s="10" t="str">
        <f>"9781947604551"</f>
        <v>9781947604551</v>
      </c>
      <c r="C11678" s="10" t="str">
        <f>"9781947604568"</f>
        <v>9781947604568</v>
      </c>
      <c r="D11678" s="10" t="s">
        <v>37580</v>
      </c>
      <c r="E11678" s="10" t="s">
        <v>37581</v>
      </c>
      <c r="F11678" s="10" t="s">
        <v>37623</v>
      </c>
      <c r="G11678" s="10" t="s">
        <v>6317</v>
      </c>
      <c r="H11678" s="11">
        <v>43721</v>
      </c>
      <c r="I11678" s="10">
        <v>2020</v>
      </c>
      <c r="J11678" s="10" t="s">
        <v>37581</v>
      </c>
      <c r="K11678" s="10">
        <v>248</v>
      </c>
      <c r="L11678" s="10" t="s">
        <v>50162</v>
      </c>
      <c r="M11678" s="10">
        <v>1</v>
      </c>
      <c r="N11678" s="10"/>
      <c r="O11678" s="10"/>
      <c r="P11678" s="10" t="s">
        <v>50163</v>
      </c>
      <c r="Q11678" s="10"/>
      <c r="R11678" s="10"/>
      <c r="S11678" s="10" t="s">
        <v>53</v>
      </c>
      <c r="T11678" s="10" t="s">
        <v>50164</v>
      </c>
    </row>
    <row r="11679" spans="1:20" ht="14.5" x14ac:dyDescent="0.35">
      <c r="A11679" s="10" t="s">
        <v>50165</v>
      </c>
      <c r="B11679" s="10" t="str">
        <f>"9781947604575"</f>
        <v>9781947604575</v>
      </c>
      <c r="C11679" s="10" t="str">
        <f>"9781947604582"</f>
        <v>9781947604582</v>
      </c>
      <c r="D11679" s="10" t="s">
        <v>37580</v>
      </c>
      <c r="E11679" s="10" t="s">
        <v>37581</v>
      </c>
      <c r="F11679" s="10" t="s">
        <v>37623</v>
      </c>
      <c r="G11679" s="10" t="s">
        <v>6317</v>
      </c>
      <c r="H11679" s="11">
        <v>43721</v>
      </c>
      <c r="I11679" s="10">
        <v>2020</v>
      </c>
      <c r="J11679" s="10" t="s">
        <v>37581</v>
      </c>
      <c r="K11679" s="10">
        <v>160</v>
      </c>
      <c r="L11679" s="10" t="s">
        <v>50166</v>
      </c>
      <c r="M11679" s="10">
        <v>1</v>
      </c>
      <c r="N11679" s="10"/>
      <c r="O11679" s="10"/>
      <c r="P11679" s="10" t="s">
        <v>50167</v>
      </c>
      <c r="Q11679" s="10"/>
      <c r="R11679" s="10" t="s">
        <v>50168</v>
      </c>
      <c r="S11679" s="10" t="s">
        <v>53</v>
      </c>
      <c r="T11679" s="10" t="s">
        <v>54</v>
      </c>
    </row>
    <row r="11680" spans="1:20" ht="14.5" x14ac:dyDescent="0.35">
      <c r="A11680" s="10" t="s">
        <v>50169</v>
      </c>
      <c r="B11680" s="10" t="str">
        <f>"9781620367636"</f>
        <v>9781620367636</v>
      </c>
      <c r="C11680" s="10" t="str">
        <f>"9781000972412"</f>
        <v>9781000972412</v>
      </c>
      <c r="D11680" s="10" t="s">
        <v>6350</v>
      </c>
      <c r="E11680" s="10" t="s">
        <v>6351</v>
      </c>
      <c r="F11680" s="10" t="s">
        <v>3967</v>
      </c>
      <c r="G11680" s="10" t="s">
        <v>6352</v>
      </c>
      <c r="H11680" s="11">
        <v>43677</v>
      </c>
      <c r="I11680" s="10">
        <v>2019</v>
      </c>
      <c r="J11680" s="10" t="s">
        <v>6353</v>
      </c>
      <c r="K11680" s="10">
        <v>298</v>
      </c>
      <c r="L11680" s="10" t="s">
        <v>50170</v>
      </c>
      <c r="M11680" s="10">
        <v>1</v>
      </c>
      <c r="N11680" s="10"/>
      <c r="O11680" s="10"/>
      <c r="P11680" s="10"/>
      <c r="Q11680" s="10">
        <v>378.19799999999998</v>
      </c>
      <c r="R11680" s="10" t="s">
        <v>50171</v>
      </c>
      <c r="S11680" s="10" t="s">
        <v>53</v>
      </c>
      <c r="T11680" s="10" t="s">
        <v>54</v>
      </c>
    </row>
    <row r="11681" spans="1:20" ht="14.5" x14ac:dyDescent="0.35">
      <c r="A11681" s="10" t="s">
        <v>50172</v>
      </c>
      <c r="B11681" s="10" t="str">
        <f>"9789004409392"</f>
        <v>9789004409392</v>
      </c>
      <c r="C11681" s="10" t="str">
        <f>"9789004412651"</f>
        <v>9789004412651</v>
      </c>
      <c r="D11681" s="10" t="s">
        <v>8564</v>
      </c>
      <c r="E11681" s="10" t="s">
        <v>8565</v>
      </c>
      <c r="F11681" s="10" t="s">
        <v>1420</v>
      </c>
      <c r="G11681" s="10" t="s">
        <v>6317</v>
      </c>
      <c r="H11681" s="11">
        <v>43699</v>
      </c>
      <c r="I11681" s="10">
        <v>2019</v>
      </c>
      <c r="J11681" s="10" t="s">
        <v>33259</v>
      </c>
      <c r="K11681" s="10">
        <v>138</v>
      </c>
      <c r="L11681" s="10" t="s">
        <v>50173</v>
      </c>
      <c r="M11681" s="10">
        <v>1</v>
      </c>
      <c r="N11681" s="10" t="s">
        <v>50174</v>
      </c>
      <c r="O11681" s="10">
        <v>1</v>
      </c>
      <c r="P11681" s="10"/>
      <c r="Q11681" s="10"/>
      <c r="R11681" s="10" t="s">
        <v>50175</v>
      </c>
      <c r="S11681" s="10" t="s">
        <v>53</v>
      </c>
      <c r="T11681" s="10" t="s">
        <v>54</v>
      </c>
    </row>
    <row r="11682" spans="1:20" ht="14.5" x14ac:dyDescent="0.35">
      <c r="A11682" s="10" t="s">
        <v>50176</v>
      </c>
      <c r="B11682" s="10" t="str">
        <f>"9789004418691"</f>
        <v>9789004418691</v>
      </c>
      <c r="C11682" s="10" t="str">
        <f>"9789004418707"</f>
        <v>9789004418707</v>
      </c>
      <c r="D11682" s="10" t="s">
        <v>8564</v>
      </c>
      <c r="E11682" s="10" t="s">
        <v>8565</v>
      </c>
      <c r="F11682" s="10" t="s">
        <v>1420</v>
      </c>
      <c r="G11682" s="10" t="s">
        <v>6317</v>
      </c>
      <c r="H11682" s="11">
        <v>43699</v>
      </c>
      <c r="I11682" s="10">
        <v>2019</v>
      </c>
      <c r="J11682" s="10" t="s">
        <v>33259</v>
      </c>
      <c r="K11682" s="10">
        <v>282</v>
      </c>
      <c r="L11682" s="10" t="s">
        <v>50177</v>
      </c>
      <c r="M11682" s="10">
        <v>1</v>
      </c>
      <c r="N11682" s="10" t="s">
        <v>49077</v>
      </c>
      <c r="O11682" s="10">
        <v>4</v>
      </c>
      <c r="P11682" s="10"/>
      <c r="Q11682" s="10"/>
      <c r="R11682" s="10"/>
      <c r="S11682" s="10" t="s">
        <v>53</v>
      </c>
      <c r="T11682" s="10" t="s">
        <v>54</v>
      </c>
    </row>
    <row r="11683" spans="1:20" ht="14.5" x14ac:dyDescent="0.35">
      <c r="A11683" s="10" t="s">
        <v>50178</v>
      </c>
      <c r="B11683" s="10" t="str">
        <f>"9789004393677"</f>
        <v>9789004393677</v>
      </c>
      <c r="C11683" s="10" t="str">
        <f>"9789004409231"</f>
        <v>9789004409231</v>
      </c>
      <c r="D11683" s="10" t="s">
        <v>8564</v>
      </c>
      <c r="E11683" s="10" t="s">
        <v>8565</v>
      </c>
      <c r="F11683" s="10" t="s">
        <v>1420</v>
      </c>
      <c r="G11683" s="10" t="s">
        <v>6317</v>
      </c>
      <c r="H11683" s="11">
        <v>43699</v>
      </c>
      <c r="I11683" s="10">
        <v>2019</v>
      </c>
      <c r="J11683" s="10" t="s">
        <v>33259</v>
      </c>
      <c r="K11683" s="10">
        <v>251</v>
      </c>
      <c r="L11683" s="10" t="s">
        <v>50179</v>
      </c>
      <c r="M11683" s="10">
        <v>1</v>
      </c>
      <c r="N11683" s="10" t="s">
        <v>44161</v>
      </c>
      <c r="O11683" s="10">
        <v>133</v>
      </c>
      <c r="P11683" s="10"/>
      <c r="Q11683" s="10"/>
      <c r="R11683" s="10" t="s">
        <v>50180</v>
      </c>
      <c r="S11683" s="10" t="s">
        <v>53</v>
      </c>
      <c r="T11683" s="10" t="s">
        <v>54</v>
      </c>
    </row>
    <row r="11684" spans="1:20" ht="14.5" x14ac:dyDescent="0.35">
      <c r="A11684" s="10" t="s">
        <v>50181</v>
      </c>
      <c r="B11684" s="10" t="str">
        <f>"9789004415706"</f>
        <v>9789004415706</v>
      </c>
      <c r="C11684" s="10" t="str">
        <f>"9789004415720"</f>
        <v>9789004415720</v>
      </c>
      <c r="D11684" s="10" t="s">
        <v>8564</v>
      </c>
      <c r="E11684" s="10" t="s">
        <v>8565</v>
      </c>
      <c r="F11684" s="10" t="s">
        <v>1420</v>
      </c>
      <c r="G11684" s="10" t="s">
        <v>6317</v>
      </c>
      <c r="H11684" s="11">
        <v>43706</v>
      </c>
      <c r="I11684" s="10">
        <v>2019</v>
      </c>
      <c r="J11684" s="10" t="s">
        <v>33259</v>
      </c>
      <c r="K11684" s="10">
        <v>108</v>
      </c>
      <c r="L11684" s="10" t="s">
        <v>50182</v>
      </c>
      <c r="M11684" s="10">
        <v>1</v>
      </c>
      <c r="N11684" s="10" t="s">
        <v>50183</v>
      </c>
      <c r="O11684" s="10">
        <v>2</v>
      </c>
      <c r="P11684" s="10" t="s">
        <v>50184</v>
      </c>
      <c r="Q11684" s="10">
        <v>378.19819999999999</v>
      </c>
      <c r="R11684" s="10" t="s">
        <v>50185</v>
      </c>
      <c r="S11684" s="10" t="s">
        <v>53</v>
      </c>
      <c r="T11684" s="10" t="s">
        <v>54</v>
      </c>
    </row>
    <row r="11685" spans="1:20" ht="14.5" x14ac:dyDescent="0.35">
      <c r="A11685" s="10" t="s">
        <v>50186</v>
      </c>
      <c r="B11685" s="10" t="str">
        <f>"9789004405394"</f>
        <v>9789004405394</v>
      </c>
      <c r="C11685" s="10" t="str">
        <f>"9789004405400"</f>
        <v>9789004405400</v>
      </c>
      <c r="D11685" s="10" t="s">
        <v>8564</v>
      </c>
      <c r="E11685" s="10" t="s">
        <v>8565</v>
      </c>
      <c r="F11685" s="10" t="s">
        <v>1420</v>
      </c>
      <c r="G11685" s="10" t="s">
        <v>6317</v>
      </c>
      <c r="H11685" s="11">
        <v>43699</v>
      </c>
      <c r="I11685" s="10">
        <v>2019</v>
      </c>
      <c r="J11685" s="10" t="s">
        <v>33259</v>
      </c>
      <c r="K11685" s="10">
        <v>388</v>
      </c>
      <c r="L11685" s="10" t="s">
        <v>50187</v>
      </c>
      <c r="M11685" s="10">
        <v>1</v>
      </c>
      <c r="N11685" s="10"/>
      <c r="O11685" s="10"/>
      <c r="P11685" s="10"/>
      <c r="Q11685" s="10"/>
      <c r="R11685" s="10" t="s">
        <v>50188</v>
      </c>
      <c r="S11685" s="10" t="s">
        <v>53</v>
      </c>
      <c r="T11685" s="10" t="s">
        <v>54</v>
      </c>
    </row>
    <row r="11686" spans="1:20" ht="14.5" x14ac:dyDescent="0.35">
      <c r="A11686" s="10" t="s">
        <v>50189</v>
      </c>
      <c r="B11686" s="10" t="str">
        <f>"9789004391581"</f>
        <v>9789004391581</v>
      </c>
      <c r="C11686" s="10" t="str">
        <f>"9789004391598"</f>
        <v>9789004391598</v>
      </c>
      <c r="D11686" s="10" t="s">
        <v>8564</v>
      </c>
      <c r="E11686" s="10" t="s">
        <v>8565</v>
      </c>
      <c r="F11686" s="10" t="s">
        <v>1420</v>
      </c>
      <c r="G11686" s="10" t="s">
        <v>6317</v>
      </c>
      <c r="H11686" s="11">
        <v>43601</v>
      </c>
      <c r="I11686" s="10">
        <v>2019</v>
      </c>
      <c r="J11686" s="10" t="s">
        <v>33259</v>
      </c>
      <c r="K11686" s="10">
        <v>344</v>
      </c>
      <c r="L11686" s="10" t="s">
        <v>43619</v>
      </c>
      <c r="M11686" s="10">
        <v>1</v>
      </c>
      <c r="N11686" s="10" t="s">
        <v>33408</v>
      </c>
      <c r="O11686" s="10">
        <v>12</v>
      </c>
      <c r="P11686" s="10"/>
      <c r="Q11686" s="10"/>
      <c r="R11686" s="10" t="s">
        <v>50190</v>
      </c>
      <c r="S11686" s="10" t="s">
        <v>53</v>
      </c>
      <c r="T11686" s="10" t="s">
        <v>54</v>
      </c>
    </row>
    <row r="11687" spans="1:20" ht="14.5" x14ac:dyDescent="0.35">
      <c r="A11687" s="10" t="s">
        <v>50191</v>
      </c>
      <c r="B11687" s="10" t="str">
        <f>"9789004389953"</f>
        <v>9789004389953</v>
      </c>
      <c r="C11687" s="10" t="str">
        <f>"9789004389960"</f>
        <v>9789004389960</v>
      </c>
      <c r="D11687" s="10" t="s">
        <v>8564</v>
      </c>
      <c r="E11687" s="10" t="s">
        <v>8565</v>
      </c>
      <c r="F11687" s="10" t="s">
        <v>1420</v>
      </c>
      <c r="G11687" s="10" t="s">
        <v>6317</v>
      </c>
      <c r="H11687" s="11">
        <v>43636</v>
      </c>
      <c r="I11687" s="10">
        <v>2019</v>
      </c>
      <c r="J11687" s="10" t="s">
        <v>33259</v>
      </c>
      <c r="K11687" s="10">
        <v>89</v>
      </c>
      <c r="L11687" s="10" t="s">
        <v>50192</v>
      </c>
      <c r="M11687" s="10">
        <v>1</v>
      </c>
      <c r="N11687" s="10" t="s">
        <v>33751</v>
      </c>
      <c r="O11687" s="10">
        <v>65</v>
      </c>
      <c r="P11687" s="10"/>
      <c r="Q11687" s="10"/>
      <c r="R11687" s="10"/>
      <c r="S11687" s="10" t="s">
        <v>53</v>
      </c>
      <c r="T11687" s="10" t="s">
        <v>54</v>
      </c>
    </row>
    <row r="11688" spans="1:20" ht="14.5" x14ac:dyDescent="0.35">
      <c r="A11688" s="10" t="s">
        <v>50193</v>
      </c>
      <c r="B11688" s="10" t="str">
        <f>"9781493888313"</f>
        <v>9781493888313</v>
      </c>
      <c r="C11688" s="10" t="str">
        <f>"9781493888337"</f>
        <v>9781493888337</v>
      </c>
      <c r="D11688" s="10" t="s">
        <v>49819</v>
      </c>
      <c r="E11688" s="10" t="s">
        <v>49820</v>
      </c>
      <c r="F11688" s="10" t="s">
        <v>49821</v>
      </c>
      <c r="G11688" s="10" t="s">
        <v>6317</v>
      </c>
      <c r="H11688" s="11">
        <v>43374</v>
      </c>
      <c r="I11688" s="10">
        <v>2019</v>
      </c>
      <c r="J11688" s="10" t="s">
        <v>49820</v>
      </c>
      <c r="K11688" s="10">
        <v>178</v>
      </c>
      <c r="L11688" s="10" t="s">
        <v>50194</v>
      </c>
      <c r="M11688" s="10">
        <v>1</v>
      </c>
      <c r="N11688" s="10" t="s">
        <v>49895</v>
      </c>
      <c r="O11688" s="10"/>
      <c r="P11688" s="10" t="s">
        <v>50195</v>
      </c>
      <c r="Q11688" s="10">
        <v>428.00709999999998</v>
      </c>
      <c r="R11688" s="10" t="s">
        <v>50196</v>
      </c>
      <c r="S11688" s="10" t="s">
        <v>53</v>
      </c>
      <c r="T11688" s="10" t="s">
        <v>6616</v>
      </c>
    </row>
    <row r="11689" spans="1:20" ht="14.5" x14ac:dyDescent="0.35">
      <c r="A11689" s="10" t="s">
        <v>50197</v>
      </c>
      <c r="B11689" s="10" t="str">
        <f>"9781138556539"</f>
        <v>9781138556539</v>
      </c>
      <c r="C11689" s="10" t="str">
        <f>"9781351368360"</f>
        <v>9781351368360</v>
      </c>
      <c r="D11689" s="10" t="s">
        <v>6350</v>
      </c>
      <c r="E11689" s="10" t="s">
        <v>6351</v>
      </c>
      <c r="F11689" s="10" t="s">
        <v>3967</v>
      </c>
      <c r="G11689" s="10" t="s">
        <v>6352</v>
      </c>
      <c r="H11689" s="11">
        <v>43717</v>
      </c>
      <c r="I11689" s="10">
        <v>2020</v>
      </c>
      <c r="J11689" s="10" t="s">
        <v>50198</v>
      </c>
      <c r="K11689" s="10">
        <v>343</v>
      </c>
      <c r="L11689" s="10" t="s">
        <v>50199</v>
      </c>
      <c r="M11689" s="10">
        <v>1</v>
      </c>
      <c r="N11689" s="10" t="s">
        <v>50200</v>
      </c>
      <c r="O11689" s="10"/>
      <c r="P11689" s="10" t="s">
        <v>50201</v>
      </c>
      <c r="Q11689" s="10">
        <v>378.01</v>
      </c>
      <c r="R11689" s="10" t="s">
        <v>50202</v>
      </c>
      <c r="S11689" s="10" t="s">
        <v>53</v>
      </c>
      <c r="T11689" s="10" t="s">
        <v>54</v>
      </c>
    </row>
    <row r="11690" spans="1:20" ht="14.5" x14ac:dyDescent="0.35">
      <c r="A11690" s="10" t="s">
        <v>50203</v>
      </c>
      <c r="B11690" s="10" t="str">
        <f>""</f>
        <v/>
      </c>
      <c r="C11690" s="10" t="str">
        <f>"9781501742088"</f>
        <v>9781501742088</v>
      </c>
      <c r="D11690" s="10" t="s">
        <v>9533</v>
      </c>
      <c r="E11690" s="10" t="s">
        <v>5258</v>
      </c>
      <c r="F11690" s="10" t="s">
        <v>2536</v>
      </c>
      <c r="G11690" s="10" t="s">
        <v>6317</v>
      </c>
      <c r="H11690" s="11">
        <v>43723</v>
      </c>
      <c r="I11690" s="10">
        <v>2019</v>
      </c>
      <c r="J11690" s="10" t="s">
        <v>5258</v>
      </c>
      <c r="K11690" s="10">
        <v>288</v>
      </c>
      <c r="L11690" s="10" t="s">
        <v>50204</v>
      </c>
      <c r="M11690" s="10">
        <v>1</v>
      </c>
      <c r="N11690" s="10" t="s">
        <v>49229</v>
      </c>
      <c r="O11690" s="10"/>
      <c r="P11690" s="10" t="s">
        <v>50205</v>
      </c>
      <c r="Q11690" s="10">
        <v>650.07117300000004</v>
      </c>
      <c r="R11690" s="10" t="s">
        <v>50206</v>
      </c>
      <c r="S11690" s="10" t="s">
        <v>53</v>
      </c>
      <c r="T11690" s="10" t="s">
        <v>6660</v>
      </c>
    </row>
    <row r="11691" spans="1:20" ht="14.5" x14ac:dyDescent="0.35">
      <c r="A11691" s="10" t="s">
        <v>50207</v>
      </c>
      <c r="B11691" s="10" t="str">
        <f>"9781421432915"</f>
        <v>9781421432915</v>
      </c>
      <c r="C11691" s="10" t="str">
        <f>"9781421432922"</f>
        <v>9781421432922</v>
      </c>
      <c r="D11691" s="10" t="s">
        <v>884</v>
      </c>
      <c r="E11691" s="10" t="s">
        <v>884</v>
      </c>
      <c r="F11691" s="10" t="s">
        <v>885</v>
      </c>
      <c r="G11691" s="10" t="s">
        <v>6317</v>
      </c>
      <c r="H11691" s="11">
        <v>43781</v>
      </c>
      <c r="I11691" s="10">
        <v>2019</v>
      </c>
      <c r="J11691" s="10" t="s">
        <v>884</v>
      </c>
      <c r="K11691" s="10">
        <v>321</v>
      </c>
      <c r="L11691" s="10" t="s">
        <v>50208</v>
      </c>
      <c r="M11691" s="10">
        <v>1</v>
      </c>
      <c r="N11691" s="10"/>
      <c r="O11691" s="10"/>
      <c r="P11691" s="10"/>
      <c r="Q11691" s="10" t="s">
        <v>50209</v>
      </c>
      <c r="R11691" s="10"/>
      <c r="S11691" s="10" t="s">
        <v>53</v>
      </c>
      <c r="T11691" s="10" t="s">
        <v>54</v>
      </c>
    </row>
    <row r="11692" spans="1:20" ht="14.5" x14ac:dyDescent="0.35">
      <c r="A11692" s="10" t="s">
        <v>50210</v>
      </c>
      <c r="B11692" s="10" t="str">
        <f>"9781947604612"</f>
        <v>9781947604612</v>
      </c>
      <c r="C11692" s="10" t="str">
        <f>"9781947604629"</f>
        <v>9781947604629</v>
      </c>
      <c r="D11692" s="10" t="s">
        <v>37580</v>
      </c>
      <c r="E11692" s="10" t="s">
        <v>37581</v>
      </c>
      <c r="F11692" s="10" t="s">
        <v>37623</v>
      </c>
      <c r="G11692" s="10" t="s">
        <v>6317</v>
      </c>
      <c r="H11692" s="11">
        <v>43728</v>
      </c>
      <c r="I11692" s="10">
        <v>2020</v>
      </c>
      <c r="J11692" s="10" t="s">
        <v>37581</v>
      </c>
      <c r="K11692" s="10">
        <v>176</v>
      </c>
      <c r="L11692" s="10" t="s">
        <v>50211</v>
      </c>
      <c r="M11692" s="10">
        <v>1</v>
      </c>
      <c r="N11692" s="10"/>
      <c r="O11692" s="10"/>
      <c r="P11692" s="10" t="s">
        <v>50212</v>
      </c>
      <c r="Q11692" s="10"/>
      <c r="R11692" s="10" t="s">
        <v>50213</v>
      </c>
      <c r="S11692" s="10" t="s">
        <v>53</v>
      </c>
      <c r="T11692" s="10" t="s">
        <v>54</v>
      </c>
    </row>
    <row r="11693" spans="1:20" ht="14.5" x14ac:dyDescent="0.35">
      <c r="A11693" s="10" t="s">
        <v>50214</v>
      </c>
      <c r="B11693" s="10" t="str">
        <f>"9781947604896"</f>
        <v>9781947604896</v>
      </c>
      <c r="C11693" s="10" t="str">
        <f>"9781947604902"</f>
        <v>9781947604902</v>
      </c>
      <c r="D11693" s="10" t="s">
        <v>37580</v>
      </c>
      <c r="E11693" s="10" t="s">
        <v>37581</v>
      </c>
      <c r="F11693" s="10" t="s">
        <v>37623</v>
      </c>
      <c r="G11693" s="10" t="s">
        <v>6317</v>
      </c>
      <c r="H11693" s="11">
        <v>43728</v>
      </c>
      <c r="I11693" s="10">
        <v>2020</v>
      </c>
      <c r="J11693" s="10" t="s">
        <v>37581</v>
      </c>
      <c r="K11693" s="10">
        <v>280</v>
      </c>
      <c r="L11693" s="10" t="s">
        <v>50215</v>
      </c>
      <c r="M11693" s="10">
        <v>2</v>
      </c>
      <c r="N11693" s="10"/>
      <c r="O11693" s="10"/>
      <c r="P11693" s="10" t="s">
        <v>50216</v>
      </c>
      <c r="Q11693" s="10"/>
      <c r="R11693" s="10" t="s">
        <v>19395</v>
      </c>
      <c r="S11693" s="10" t="s">
        <v>53</v>
      </c>
      <c r="T11693" s="10" t="s">
        <v>54</v>
      </c>
    </row>
    <row r="11694" spans="1:20" ht="14.5" x14ac:dyDescent="0.35">
      <c r="A11694" s="10" t="s">
        <v>50217</v>
      </c>
      <c r="B11694" s="10" t="str">
        <f>"9781683503309"</f>
        <v>9781683503309</v>
      </c>
      <c r="C11694" s="10" t="str">
        <f>"9781683503323"</f>
        <v>9781683503323</v>
      </c>
      <c r="D11694" s="10" t="s">
        <v>6358</v>
      </c>
      <c r="E11694" s="10" t="s">
        <v>48045</v>
      </c>
      <c r="F11694" s="10" t="s">
        <v>70</v>
      </c>
      <c r="G11694" s="10" t="s">
        <v>6317</v>
      </c>
      <c r="H11694" s="11">
        <v>42983</v>
      </c>
      <c r="I11694" s="10">
        <v>2017</v>
      </c>
      <c r="J11694" s="10" t="s">
        <v>48045</v>
      </c>
      <c r="K11694" s="10">
        <v>102</v>
      </c>
      <c r="L11694" s="10" t="s">
        <v>50218</v>
      </c>
      <c r="M11694" s="10">
        <v>1</v>
      </c>
      <c r="N11694" s="10"/>
      <c r="O11694" s="10"/>
      <c r="P11694" s="10"/>
      <c r="Q11694" s="10"/>
      <c r="R11694" s="10" t="s">
        <v>50219</v>
      </c>
      <c r="S11694" s="10" t="s">
        <v>53</v>
      </c>
      <c r="T11694" s="10" t="s">
        <v>8755</v>
      </c>
    </row>
    <row r="11695" spans="1:20" ht="14.5" x14ac:dyDescent="0.35">
      <c r="A11695" s="10" t="s">
        <v>50220</v>
      </c>
      <c r="B11695" s="10" t="str">
        <f>"9781787560239"</f>
        <v>9781787560239</v>
      </c>
      <c r="C11695" s="10" t="str">
        <f>"9781787560208"</f>
        <v>9781787560208</v>
      </c>
      <c r="D11695" s="10" t="s">
        <v>8699</v>
      </c>
      <c r="E11695" s="10" t="s">
        <v>8699</v>
      </c>
      <c r="F11695" s="10" t="s">
        <v>559</v>
      </c>
      <c r="G11695" s="10" t="s">
        <v>6352</v>
      </c>
      <c r="H11695" s="11">
        <v>43735</v>
      </c>
      <c r="I11695" s="10">
        <v>2019</v>
      </c>
      <c r="J11695" s="10" t="s">
        <v>8699</v>
      </c>
      <c r="K11695" s="10">
        <v>150</v>
      </c>
      <c r="L11695" s="10" t="s">
        <v>50221</v>
      </c>
      <c r="M11695" s="10">
        <v>1</v>
      </c>
      <c r="N11695" s="10" t="s">
        <v>46840</v>
      </c>
      <c r="O11695" s="10"/>
      <c r="P11695" s="10" t="s">
        <v>29384</v>
      </c>
      <c r="Q11695" s="10">
        <v>371.1</v>
      </c>
      <c r="R11695" s="10" t="s">
        <v>50222</v>
      </c>
      <c r="S11695" s="10" t="s">
        <v>53</v>
      </c>
      <c r="T11695" s="10" t="s">
        <v>54</v>
      </c>
    </row>
    <row r="11696" spans="1:20" ht="14.5" x14ac:dyDescent="0.35">
      <c r="A11696" s="10" t="s">
        <v>50223</v>
      </c>
      <c r="B11696" s="10" t="str">
        <f>"9781838674168"</f>
        <v>9781838674168</v>
      </c>
      <c r="C11696" s="10" t="str">
        <f>"9781838674175"</f>
        <v>9781838674175</v>
      </c>
      <c r="D11696" s="10" t="s">
        <v>8699</v>
      </c>
      <c r="E11696" s="10" t="s">
        <v>8699</v>
      </c>
      <c r="F11696" s="10" t="s">
        <v>559</v>
      </c>
      <c r="G11696" s="10" t="s">
        <v>6352</v>
      </c>
      <c r="H11696" s="11">
        <v>43735</v>
      </c>
      <c r="I11696" s="10">
        <v>2019</v>
      </c>
      <c r="J11696" s="10" t="s">
        <v>8699</v>
      </c>
      <c r="K11696" s="10">
        <v>345</v>
      </c>
      <c r="L11696" s="10" t="s">
        <v>17790</v>
      </c>
      <c r="M11696" s="10">
        <v>1</v>
      </c>
      <c r="N11696" s="10" t="s">
        <v>14534</v>
      </c>
      <c r="O11696" s="10">
        <v>37</v>
      </c>
      <c r="P11696" s="10" t="s">
        <v>28438</v>
      </c>
      <c r="Q11696" s="10">
        <v>370.7</v>
      </c>
      <c r="R11696" s="10" t="s">
        <v>50224</v>
      </c>
      <c r="S11696" s="10" t="s">
        <v>53</v>
      </c>
      <c r="T11696" s="10" t="s">
        <v>54</v>
      </c>
    </row>
    <row r="11697" spans="1:20" ht="14.5" x14ac:dyDescent="0.35">
      <c r="A11697" s="10" t="s">
        <v>50225</v>
      </c>
      <c r="B11697" s="10" t="str">
        <f>"9781912508617"</f>
        <v>9781912508617</v>
      </c>
      <c r="C11697" s="10" t="str">
        <f>"9781912508631"</f>
        <v>9781912508631</v>
      </c>
      <c r="D11697" s="10" t="s">
        <v>9533</v>
      </c>
      <c r="E11697" s="10" t="s">
        <v>26840</v>
      </c>
      <c r="F11697" s="10" t="s">
        <v>44053</v>
      </c>
      <c r="G11697" s="10" t="s">
        <v>6352</v>
      </c>
      <c r="H11697" s="11">
        <v>43724</v>
      </c>
      <c r="I11697" s="10">
        <v>2019</v>
      </c>
      <c r="J11697" s="10" t="s">
        <v>26840</v>
      </c>
      <c r="K11697" s="10">
        <v>124</v>
      </c>
      <c r="L11697" s="10" t="s">
        <v>49376</v>
      </c>
      <c r="M11697" s="10">
        <v>1</v>
      </c>
      <c r="N11697" s="10" t="s">
        <v>47717</v>
      </c>
      <c r="O11697" s="10"/>
      <c r="P11697" s="10" t="s">
        <v>50226</v>
      </c>
      <c r="Q11697" s="10">
        <v>370.14</v>
      </c>
      <c r="R11697" s="10" t="s">
        <v>12113</v>
      </c>
      <c r="S11697" s="10" t="s">
        <v>53</v>
      </c>
      <c r="T11697" s="10" t="s">
        <v>54</v>
      </c>
    </row>
    <row r="11698" spans="1:20" ht="14.5" x14ac:dyDescent="0.35">
      <c r="A11698" s="10" t="s">
        <v>50227</v>
      </c>
      <c r="B11698" s="10" t="str">
        <f>"9781517902032"</f>
        <v>9781517902032</v>
      </c>
      <c r="C11698" s="10" t="str">
        <f>"9781452960210"</f>
        <v>9781452960210</v>
      </c>
      <c r="D11698" s="10" t="s">
        <v>11428</v>
      </c>
      <c r="E11698" s="10" t="s">
        <v>11428</v>
      </c>
      <c r="F11698" s="10" t="s">
        <v>2186</v>
      </c>
      <c r="G11698" s="10" t="s">
        <v>6317</v>
      </c>
      <c r="H11698" s="11">
        <v>43669</v>
      </c>
      <c r="I11698" s="10">
        <v>2019</v>
      </c>
      <c r="J11698" s="10" t="s">
        <v>11428</v>
      </c>
      <c r="K11698" s="10">
        <v>281</v>
      </c>
      <c r="L11698" s="10" t="s">
        <v>50228</v>
      </c>
      <c r="M11698" s="10">
        <v>1</v>
      </c>
      <c r="N11698" s="10"/>
      <c r="O11698" s="10"/>
      <c r="P11698" s="10" t="s">
        <v>50229</v>
      </c>
      <c r="Q11698" s="10">
        <v>378.00972999999999</v>
      </c>
      <c r="R11698" s="10" t="s">
        <v>50230</v>
      </c>
      <c r="S11698" s="10" t="s">
        <v>53</v>
      </c>
      <c r="T11698" s="10" t="s">
        <v>54</v>
      </c>
    </row>
    <row r="11699" spans="1:20" ht="14.5" x14ac:dyDescent="0.35">
      <c r="A11699" s="10" t="s">
        <v>50231</v>
      </c>
      <c r="B11699" s="10" t="str">
        <f>"9781943360277"</f>
        <v>9781943360277</v>
      </c>
      <c r="C11699" s="10" t="str">
        <f>"9781943360284"</f>
        <v>9781943360284</v>
      </c>
      <c r="D11699" s="10" t="s">
        <v>37594</v>
      </c>
      <c r="E11699" s="10" t="s">
        <v>37594</v>
      </c>
      <c r="F11699" s="10" t="s">
        <v>37623</v>
      </c>
      <c r="G11699" s="10" t="s">
        <v>6317</v>
      </c>
      <c r="H11699" s="11">
        <v>43738</v>
      </c>
      <c r="I11699" s="10">
        <v>2020</v>
      </c>
      <c r="J11699" s="10" t="s">
        <v>37594</v>
      </c>
      <c r="K11699" s="10">
        <v>184</v>
      </c>
      <c r="L11699" s="10" t="s">
        <v>50232</v>
      </c>
      <c r="M11699" s="10">
        <v>1</v>
      </c>
      <c r="N11699" s="10"/>
      <c r="O11699" s="10"/>
      <c r="P11699" s="10" t="s">
        <v>50233</v>
      </c>
      <c r="Q11699" s="10">
        <v>370.11700000000002</v>
      </c>
      <c r="R11699" s="10" t="s">
        <v>18699</v>
      </c>
      <c r="S11699" s="10" t="s">
        <v>53</v>
      </c>
      <c r="T11699" s="10" t="s">
        <v>54</v>
      </c>
    </row>
    <row r="11700" spans="1:20" ht="14.5" x14ac:dyDescent="0.35">
      <c r="A11700" s="10" t="s">
        <v>50234</v>
      </c>
      <c r="B11700" s="10" t="str">
        <f>"9781978801820"</f>
        <v>9781978801820</v>
      </c>
      <c r="C11700" s="10" t="str">
        <f>"9781978801868"</f>
        <v>9781978801868</v>
      </c>
      <c r="D11700" s="10" t="s">
        <v>12251</v>
      </c>
      <c r="E11700" s="10" t="s">
        <v>12251</v>
      </c>
      <c r="F11700" s="10" t="s">
        <v>12451</v>
      </c>
      <c r="G11700" s="10" t="s">
        <v>6317</v>
      </c>
      <c r="H11700" s="11">
        <v>43749</v>
      </c>
      <c r="I11700" s="10">
        <v>2020</v>
      </c>
      <c r="J11700" s="10" t="s">
        <v>12251</v>
      </c>
      <c r="K11700" s="10">
        <v>191</v>
      </c>
      <c r="L11700" s="10" t="s">
        <v>50235</v>
      </c>
      <c r="M11700" s="10">
        <v>1</v>
      </c>
      <c r="N11700" s="10"/>
      <c r="O11700" s="10"/>
      <c r="P11700" s="10" t="s">
        <v>18361</v>
      </c>
      <c r="Q11700" s="10" t="s">
        <v>7307</v>
      </c>
      <c r="R11700" s="10"/>
      <c r="S11700" s="10" t="s">
        <v>53</v>
      </c>
      <c r="T11700" s="10" t="s">
        <v>54</v>
      </c>
    </row>
    <row r="11701" spans="1:20" ht="14.5" x14ac:dyDescent="0.35">
      <c r="A11701" s="10" t="s">
        <v>50236</v>
      </c>
      <c r="B11701" s="10" t="str">
        <f>"9781910190753"</f>
        <v>9781910190753</v>
      </c>
      <c r="C11701" s="10" t="str">
        <f>"9781910190760"</f>
        <v>9781910190760</v>
      </c>
      <c r="D11701" s="10" t="s">
        <v>50237</v>
      </c>
      <c r="E11701" s="10" t="s">
        <v>50237</v>
      </c>
      <c r="F11701" s="10" t="s">
        <v>2405</v>
      </c>
      <c r="G11701" s="10" t="s">
        <v>6352</v>
      </c>
      <c r="H11701" s="11">
        <v>43132</v>
      </c>
      <c r="I11701" s="10">
        <v>2018</v>
      </c>
      <c r="J11701" s="10" t="s">
        <v>50237</v>
      </c>
      <c r="K11701" s="10">
        <v>122</v>
      </c>
      <c r="L11701" s="10" t="s">
        <v>50238</v>
      </c>
      <c r="M11701" s="10">
        <v>1</v>
      </c>
      <c r="N11701" s="10"/>
      <c r="O11701" s="10"/>
      <c r="P11701" s="10" t="s">
        <v>50239</v>
      </c>
      <c r="Q11701" s="10">
        <v>378.15499999999997</v>
      </c>
      <c r="R11701" s="10" t="s">
        <v>50240</v>
      </c>
      <c r="S11701" s="10" t="s">
        <v>53</v>
      </c>
      <c r="T11701" s="10" t="s">
        <v>54</v>
      </c>
    </row>
    <row r="11702" spans="1:20" ht="14.5" x14ac:dyDescent="0.35">
      <c r="A11702" s="10" t="s">
        <v>50241</v>
      </c>
      <c r="B11702" s="10" t="str">
        <f>"9782763743530"</f>
        <v>9782763743530</v>
      </c>
      <c r="C11702" s="10" t="str">
        <f>"9782763743547"</f>
        <v>9782763743547</v>
      </c>
      <c r="D11702" s="10" t="s">
        <v>44215</v>
      </c>
      <c r="E11702" s="10" t="s">
        <v>44215</v>
      </c>
      <c r="F11702" s="10" t="s">
        <v>49233</v>
      </c>
      <c r="G11702" s="10" t="s">
        <v>9536</v>
      </c>
      <c r="H11702" s="11">
        <v>43647</v>
      </c>
      <c r="I11702" s="10">
        <v>2019</v>
      </c>
      <c r="J11702" s="10" t="s">
        <v>44215</v>
      </c>
      <c r="K11702" s="10">
        <v>264</v>
      </c>
      <c r="L11702" s="10" t="s">
        <v>50242</v>
      </c>
      <c r="M11702" s="10">
        <v>1</v>
      </c>
      <c r="N11702" s="10"/>
      <c r="O11702" s="10"/>
      <c r="P11702" s="10" t="s">
        <v>50243</v>
      </c>
      <c r="Q11702" s="10">
        <v>370.11309713999998</v>
      </c>
      <c r="R11702" s="10" t="s">
        <v>50244</v>
      </c>
      <c r="S11702" s="10" t="s">
        <v>5404</v>
      </c>
      <c r="T11702" s="10" t="s">
        <v>54</v>
      </c>
    </row>
    <row r="11703" spans="1:20" ht="14.5" x14ac:dyDescent="0.35">
      <c r="A11703" s="10" t="s">
        <v>50245</v>
      </c>
      <c r="B11703" s="10" t="str">
        <f>"9781416628095"</f>
        <v>9781416628095</v>
      </c>
      <c r="C11703" s="10" t="str">
        <f>"9781416628118"</f>
        <v>9781416628118</v>
      </c>
      <c r="D11703" s="10" t="s">
        <v>10014</v>
      </c>
      <c r="E11703" s="10" t="s">
        <v>10015</v>
      </c>
      <c r="F11703" s="10" t="s">
        <v>201</v>
      </c>
      <c r="G11703" s="10" t="s">
        <v>6317</v>
      </c>
      <c r="H11703" s="11">
        <v>43738</v>
      </c>
      <c r="I11703" s="10">
        <v>2019</v>
      </c>
      <c r="J11703" s="10" t="s">
        <v>10015</v>
      </c>
      <c r="K11703" s="10">
        <v>170</v>
      </c>
      <c r="L11703" s="10" t="s">
        <v>50246</v>
      </c>
      <c r="M11703" s="10">
        <v>1</v>
      </c>
      <c r="N11703" s="10"/>
      <c r="O11703" s="10"/>
      <c r="P11703" s="10" t="s">
        <v>50247</v>
      </c>
      <c r="Q11703" s="10">
        <v>371.90460000000002</v>
      </c>
      <c r="R11703" s="10" t="s">
        <v>18055</v>
      </c>
      <c r="S11703" s="10" t="s">
        <v>53</v>
      </c>
      <c r="T11703" s="10" t="s">
        <v>54</v>
      </c>
    </row>
    <row r="11704" spans="1:20" ht="14.5" x14ac:dyDescent="0.35">
      <c r="A11704" s="10" t="s">
        <v>50248</v>
      </c>
      <c r="B11704" s="10" t="str">
        <f>"9781416627883"</f>
        <v>9781416627883</v>
      </c>
      <c r="C11704" s="10" t="str">
        <f>"9781416627890"</f>
        <v>9781416627890</v>
      </c>
      <c r="D11704" s="10" t="s">
        <v>10014</v>
      </c>
      <c r="E11704" s="10" t="s">
        <v>10015</v>
      </c>
      <c r="F11704" s="10" t="s">
        <v>201</v>
      </c>
      <c r="G11704" s="10" t="s">
        <v>6317</v>
      </c>
      <c r="H11704" s="11">
        <v>43731</v>
      </c>
      <c r="I11704" s="10">
        <v>2019</v>
      </c>
      <c r="J11704" s="10" t="s">
        <v>10015</v>
      </c>
      <c r="K11704" s="10">
        <v>226</v>
      </c>
      <c r="L11704" s="10" t="s">
        <v>50249</v>
      </c>
      <c r="M11704" s="10">
        <v>1</v>
      </c>
      <c r="N11704" s="10"/>
      <c r="O11704" s="10"/>
      <c r="P11704" s="10" t="s">
        <v>50250</v>
      </c>
      <c r="Q11704" s="10">
        <v>370.71100000000001</v>
      </c>
      <c r="R11704" s="10" t="s">
        <v>46596</v>
      </c>
      <c r="S11704" s="10" t="s">
        <v>53</v>
      </c>
      <c r="T11704" s="10" t="s">
        <v>54</v>
      </c>
    </row>
    <row r="11705" spans="1:20" ht="14.5" x14ac:dyDescent="0.35">
      <c r="A11705" s="10" t="s">
        <v>50251</v>
      </c>
      <c r="B11705" s="10" t="str">
        <f>"9789004409774"</f>
        <v>9789004409774</v>
      </c>
      <c r="C11705" s="10" t="str">
        <f>"9789004409781"</f>
        <v>9789004409781</v>
      </c>
      <c r="D11705" s="10" t="s">
        <v>8564</v>
      </c>
      <c r="E11705" s="10" t="s">
        <v>8565</v>
      </c>
      <c r="F11705" s="10" t="s">
        <v>1420</v>
      </c>
      <c r="G11705" s="10" t="s">
        <v>6317</v>
      </c>
      <c r="H11705" s="11">
        <v>43745</v>
      </c>
      <c r="I11705" s="10">
        <v>2019</v>
      </c>
      <c r="J11705" s="10" t="s">
        <v>8565</v>
      </c>
      <c r="K11705" s="10">
        <v>211</v>
      </c>
      <c r="L11705" s="10" t="s">
        <v>50252</v>
      </c>
      <c r="M11705" s="10">
        <v>1</v>
      </c>
      <c r="N11705" s="10"/>
      <c r="O11705" s="10"/>
      <c r="P11705" s="10"/>
      <c r="Q11705" s="10"/>
      <c r="R11705" s="10"/>
      <c r="S11705" s="10" t="s">
        <v>53</v>
      </c>
      <c r="T11705" s="10" t="s">
        <v>54</v>
      </c>
    </row>
    <row r="11706" spans="1:20" ht="14.5" x14ac:dyDescent="0.35">
      <c r="A11706" s="10" t="s">
        <v>50253</v>
      </c>
      <c r="B11706" s="10" t="str">
        <f>"9789004413092"</f>
        <v>9789004413092</v>
      </c>
      <c r="C11706" s="10" t="str">
        <f>"9789004413108"</f>
        <v>9789004413108</v>
      </c>
      <c r="D11706" s="10" t="s">
        <v>8564</v>
      </c>
      <c r="E11706" s="10" t="s">
        <v>8565</v>
      </c>
      <c r="F11706" s="10" t="s">
        <v>1420</v>
      </c>
      <c r="G11706" s="10" t="s">
        <v>6317</v>
      </c>
      <c r="H11706" s="11">
        <v>43727</v>
      </c>
      <c r="I11706" s="10">
        <v>2019</v>
      </c>
      <c r="J11706" s="10" t="s">
        <v>33259</v>
      </c>
      <c r="K11706" s="10">
        <v>151</v>
      </c>
      <c r="L11706" s="10" t="s">
        <v>50254</v>
      </c>
      <c r="M11706" s="10">
        <v>1</v>
      </c>
      <c r="N11706" s="10"/>
      <c r="O11706" s="10"/>
      <c r="P11706" s="10" t="s">
        <v>50255</v>
      </c>
      <c r="Q11706" s="10">
        <v>371.1</v>
      </c>
      <c r="R11706" s="10" t="s">
        <v>45039</v>
      </c>
      <c r="S11706" s="10" t="s">
        <v>53</v>
      </c>
      <c r="T11706" s="10" t="s">
        <v>54</v>
      </c>
    </row>
    <row r="11707" spans="1:20" ht="14.5" x14ac:dyDescent="0.35">
      <c r="A11707" s="10" t="s">
        <v>26822</v>
      </c>
      <c r="B11707" s="10" t="str">
        <f>"9781838678425"</f>
        <v>9781838678425</v>
      </c>
      <c r="C11707" s="10" t="str">
        <f>"9781838678418"</f>
        <v>9781838678418</v>
      </c>
      <c r="D11707" s="10" t="s">
        <v>8699</v>
      </c>
      <c r="E11707" s="10" t="s">
        <v>8699</v>
      </c>
      <c r="F11707" s="10" t="s">
        <v>559</v>
      </c>
      <c r="G11707" s="10" t="s">
        <v>6352</v>
      </c>
      <c r="H11707" s="11">
        <v>43745</v>
      </c>
      <c r="I11707" s="10">
        <v>2019</v>
      </c>
      <c r="J11707" s="10" t="s">
        <v>8699</v>
      </c>
      <c r="K11707" s="10">
        <v>243</v>
      </c>
      <c r="L11707" s="10" t="s">
        <v>26823</v>
      </c>
      <c r="M11707" s="10">
        <v>1</v>
      </c>
      <c r="N11707" s="10" t="s">
        <v>43353</v>
      </c>
      <c r="O11707" s="10">
        <v>5</v>
      </c>
      <c r="P11707" s="10" t="s">
        <v>28438</v>
      </c>
      <c r="Q11707" s="10">
        <v>378.00720000000001</v>
      </c>
      <c r="R11707" s="10" t="s">
        <v>33773</v>
      </c>
      <c r="S11707" s="10" t="s">
        <v>53</v>
      </c>
      <c r="T11707" s="10" t="s">
        <v>54</v>
      </c>
    </row>
    <row r="11708" spans="1:20" ht="14.5" x14ac:dyDescent="0.35">
      <c r="A11708" s="10" t="s">
        <v>50256</v>
      </c>
      <c r="B11708" s="10" t="str">
        <f>""</f>
        <v/>
      </c>
      <c r="C11708" s="10" t="str">
        <f>"9781564847843"</f>
        <v>9781564847843</v>
      </c>
      <c r="D11708" s="10" t="s">
        <v>9533</v>
      </c>
      <c r="E11708" s="10" t="s">
        <v>45783</v>
      </c>
      <c r="F11708" s="10" t="s">
        <v>25348</v>
      </c>
      <c r="G11708" s="10" t="s">
        <v>6317</v>
      </c>
      <c r="H11708" s="11">
        <v>43731</v>
      </c>
      <c r="I11708" s="10">
        <v>2019</v>
      </c>
      <c r="J11708" s="10" t="s">
        <v>45783</v>
      </c>
      <c r="K11708" s="10">
        <v>159</v>
      </c>
      <c r="L11708" s="10" t="s">
        <v>50257</v>
      </c>
      <c r="M11708" s="10">
        <v>1</v>
      </c>
      <c r="N11708" s="10"/>
      <c r="O11708" s="10"/>
      <c r="P11708" s="10" t="s">
        <v>50258</v>
      </c>
      <c r="Q11708" s="10">
        <v>371.33</v>
      </c>
      <c r="R11708" s="10" t="s">
        <v>29942</v>
      </c>
      <c r="S11708" s="10" t="s">
        <v>53</v>
      </c>
      <c r="T11708" s="10" t="s">
        <v>54</v>
      </c>
    </row>
    <row r="11709" spans="1:20" ht="14.5" x14ac:dyDescent="0.35">
      <c r="A11709" s="10" t="s">
        <v>50259</v>
      </c>
      <c r="B11709" s="10" t="str">
        <f>"9781119596721"</f>
        <v>9781119596721</v>
      </c>
      <c r="C11709" s="10" t="str">
        <f>"9781119596752"</f>
        <v>9781119596752</v>
      </c>
      <c r="D11709" s="10" t="s">
        <v>6322</v>
      </c>
      <c r="E11709" s="10" t="s">
        <v>6323</v>
      </c>
      <c r="F11709" s="10" t="s">
        <v>4423</v>
      </c>
      <c r="G11709" s="10" t="s">
        <v>6317</v>
      </c>
      <c r="H11709" s="11">
        <v>43739</v>
      </c>
      <c r="I11709" s="10">
        <v>2019</v>
      </c>
      <c r="J11709" s="10" t="s">
        <v>6324</v>
      </c>
      <c r="K11709" s="10">
        <v>364</v>
      </c>
      <c r="L11709" s="10" t="s">
        <v>50260</v>
      </c>
      <c r="M11709" s="10">
        <v>1</v>
      </c>
      <c r="N11709" s="10"/>
      <c r="O11709" s="10"/>
      <c r="P11709" s="10"/>
      <c r="Q11709" s="10"/>
      <c r="R11709" s="10" t="s">
        <v>50261</v>
      </c>
      <c r="S11709" s="10" t="s">
        <v>53</v>
      </c>
      <c r="T11709" s="10" t="s">
        <v>54</v>
      </c>
    </row>
    <row r="11710" spans="1:20" ht="14.5" x14ac:dyDescent="0.35">
      <c r="A11710" s="10" t="s">
        <v>50262</v>
      </c>
      <c r="B11710" s="10" t="str">
        <f>"9788024617848"</f>
        <v>9788024617848</v>
      </c>
      <c r="C11710" s="10" t="str">
        <f>"9788024643717"</f>
        <v>9788024643717</v>
      </c>
      <c r="D11710" s="10" t="s">
        <v>30935</v>
      </c>
      <c r="E11710" s="10" t="s">
        <v>30935</v>
      </c>
      <c r="F11710" s="10" t="s">
        <v>1796</v>
      </c>
      <c r="G11710" s="10" t="s">
        <v>30936</v>
      </c>
      <c r="H11710" s="11">
        <v>40360</v>
      </c>
      <c r="I11710" s="10">
        <v>2013</v>
      </c>
      <c r="J11710" s="10" t="s">
        <v>30935</v>
      </c>
      <c r="K11710" s="10">
        <v>228</v>
      </c>
      <c r="L11710" s="10" t="s">
        <v>50263</v>
      </c>
      <c r="M11710" s="10">
        <v>1</v>
      </c>
      <c r="N11710" s="10"/>
      <c r="O11710" s="10"/>
      <c r="P11710" s="10" t="s">
        <v>50264</v>
      </c>
      <c r="Q11710" s="10">
        <v>370.94099999999997</v>
      </c>
      <c r="R11710" s="10" t="s">
        <v>50265</v>
      </c>
      <c r="S11710" s="10" t="s">
        <v>4212</v>
      </c>
      <c r="T11710" s="10" t="s">
        <v>54</v>
      </c>
    </row>
    <row r="11711" spans="1:20" ht="14.5" x14ac:dyDescent="0.35">
      <c r="A11711" s="10" t="s">
        <v>50266</v>
      </c>
      <c r="B11711" s="10" t="str">
        <f>"9781138325357"</f>
        <v>9781138325357</v>
      </c>
      <c r="C11711" s="10" t="str">
        <f>"9780429833694"</f>
        <v>9780429833694</v>
      </c>
      <c r="D11711" s="10" t="s">
        <v>6350</v>
      </c>
      <c r="E11711" s="10" t="s">
        <v>6351</v>
      </c>
      <c r="F11711" s="10" t="s">
        <v>3967</v>
      </c>
      <c r="G11711" s="10" t="s">
        <v>6352</v>
      </c>
      <c r="H11711" s="11">
        <v>43733</v>
      </c>
      <c r="I11711" s="10">
        <v>2020</v>
      </c>
      <c r="J11711" s="10" t="s">
        <v>6353</v>
      </c>
      <c r="K11711" s="10">
        <v>217</v>
      </c>
      <c r="L11711" s="10" t="s">
        <v>50267</v>
      </c>
      <c r="M11711" s="10">
        <v>1</v>
      </c>
      <c r="N11711" s="10" t="s">
        <v>6954</v>
      </c>
      <c r="O11711" s="10"/>
      <c r="P11711" s="10" t="s">
        <v>50268</v>
      </c>
      <c r="Q11711" s="10">
        <v>304.20710000000003</v>
      </c>
      <c r="R11711" s="10" t="s">
        <v>50269</v>
      </c>
      <c r="S11711" s="10" t="s">
        <v>53</v>
      </c>
      <c r="T11711" s="10" t="s">
        <v>27302</v>
      </c>
    </row>
    <row r="11712" spans="1:20" ht="14.5" x14ac:dyDescent="0.35">
      <c r="A11712" s="10" t="s">
        <v>50270</v>
      </c>
      <c r="B11712" s="10" t="str">
        <f>"9781949539196"</f>
        <v>9781949539196</v>
      </c>
      <c r="C11712" s="10" t="str">
        <f>"9781949539202"</f>
        <v>9781949539202</v>
      </c>
      <c r="D11712" s="10" t="s">
        <v>37580</v>
      </c>
      <c r="E11712" s="10" t="s">
        <v>37581</v>
      </c>
      <c r="F11712" s="10" t="s">
        <v>37623</v>
      </c>
      <c r="G11712" s="10" t="s">
        <v>6317</v>
      </c>
      <c r="H11712" s="11">
        <v>43752</v>
      </c>
      <c r="I11712" s="10">
        <v>2020</v>
      </c>
      <c r="J11712" s="10" t="s">
        <v>37581</v>
      </c>
      <c r="K11712" s="10">
        <v>208</v>
      </c>
      <c r="L11712" s="10" t="s">
        <v>47485</v>
      </c>
      <c r="M11712" s="10">
        <v>1</v>
      </c>
      <c r="N11712" s="10"/>
      <c r="O11712" s="10"/>
      <c r="P11712" s="10"/>
      <c r="Q11712" s="10"/>
      <c r="R11712" s="10"/>
      <c r="S11712" s="10" t="s">
        <v>53</v>
      </c>
      <c r="T11712" s="10" t="s">
        <v>54</v>
      </c>
    </row>
    <row r="11713" spans="1:20" ht="14.5" x14ac:dyDescent="0.35">
      <c r="A11713" s="10" t="s">
        <v>50271</v>
      </c>
      <c r="B11713" s="10" t="str">
        <f>"9780309057813"</f>
        <v>9780309057813</v>
      </c>
      <c r="C11713" s="10" t="str">
        <f>"9780309174749"</f>
        <v>9780309174749</v>
      </c>
      <c r="D11713" s="10" t="s">
        <v>36547</v>
      </c>
      <c r="E11713" s="10" t="s">
        <v>36547</v>
      </c>
      <c r="F11713" s="10" t="s">
        <v>36548</v>
      </c>
      <c r="G11713" s="10" t="s">
        <v>6317</v>
      </c>
      <c r="H11713" s="11">
        <v>35915</v>
      </c>
      <c r="I11713" s="10">
        <v>1998</v>
      </c>
      <c r="J11713" s="10" t="s">
        <v>36547</v>
      </c>
      <c r="K11713" s="10">
        <v>1270</v>
      </c>
      <c r="L11713" s="10" t="s">
        <v>50272</v>
      </c>
      <c r="M11713" s="10">
        <v>1</v>
      </c>
      <c r="N11713" s="10"/>
      <c r="O11713" s="10"/>
      <c r="P11713" s="10"/>
      <c r="Q11713" s="10"/>
      <c r="R11713" s="10"/>
      <c r="S11713" s="10" t="s">
        <v>53</v>
      </c>
      <c r="T11713" s="10" t="s">
        <v>54</v>
      </c>
    </row>
    <row r="11714" spans="1:20" ht="14.5" x14ac:dyDescent="0.35">
      <c r="A11714" s="10" t="s">
        <v>50273</v>
      </c>
      <c r="B11714" s="10" t="str">
        <f>"9780309065351"</f>
        <v>9780309065351</v>
      </c>
      <c r="C11714" s="10" t="str">
        <f>"9780309184397"</f>
        <v>9780309184397</v>
      </c>
      <c r="D11714" s="10" t="s">
        <v>36547</v>
      </c>
      <c r="E11714" s="10" t="s">
        <v>36547</v>
      </c>
      <c r="F11714" s="10" t="s">
        <v>36548</v>
      </c>
      <c r="G11714" s="10" t="s">
        <v>6317</v>
      </c>
      <c r="H11714" s="11">
        <v>36510</v>
      </c>
      <c r="I11714" s="10">
        <v>1999</v>
      </c>
      <c r="J11714" s="10" t="s">
        <v>36547</v>
      </c>
      <c r="K11714" s="10">
        <v>107</v>
      </c>
      <c r="L11714" s="10" t="s">
        <v>50274</v>
      </c>
      <c r="M11714" s="10">
        <v>1</v>
      </c>
      <c r="N11714" s="10"/>
      <c r="O11714" s="10"/>
      <c r="P11714" s="10" t="s">
        <v>50275</v>
      </c>
      <c r="Q11714" s="10"/>
      <c r="R11714" s="10"/>
      <c r="S11714" s="10" t="s">
        <v>53</v>
      </c>
      <c r="T11714" s="10" t="s">
        <v>389</v>
      </c>
    </row>
    <row r="11715" spans="1:20" ht="14.5" x14ac:dyDescent="0.35">
      <c r="A11715" s="10" t="s">
        <v>50276</v>
      </c>
      <c r="B11715" s="10" t="str">
        <f>"9780309061339"</f>
        <v>9780309061339</v>
      </c>
      <c r="C11715" s="10" t="str">
        <f>"9780309173827"</f>
        <v>9780309173827</v>
      </c>
      <c r="D11715" s="10" t="s">
        <v>36547</v>
      </c>
      <c r="E11715" s="10" t="s">
        <v>36547</v>
      </c>
      <c r="F11715" s="10" t="s">
        <v>36548</v>
      </c>
      <c r="G11715" s="10" t="s">
        <v>6317</v>
      </c>
      <c r="H11715" s="11">
        <v>36021</v>
      </c>
      <c r="I11715" s="10">
        <v>1998</v>
      </c>
      <c r="J11715" s="10" t="s">
        <v>36547</v>
      </c>
      <c r="K11715" s="10">
        <v>71</v>
      </c>
      <c r="L11715" s="10" t="s">
        <v>50277</v>
      </c>
      <c r="M11715" s="10">
        <v>1</v>
      </c>
      <c r="N11715" s="10"/>
      <c r="O11715" s="10"/>
      <c r="P11715" s="10" t="s">
        <v>50278</v>
      </c>
      <c r="Q11715" s="10"/>
      <c r="R11715" s="10"/>
      <c r="S11715" s="10" t="s">
        <v>53</v>
      </c>
      <c r="T11715" s="10" t="s">
        <v>389</v>
      </c>
    </row>
    <row r="11716" spans="1:20" ht="14.5" x14ac:dyDescent="0.35">
      <c r="A11716" s="10" t="s">
        <v>50279</v>
      </c>
      <c r="B11716" s="10" t="str">
        <f>"9781440869778"</f>
        <v>9781440869778</v>
      </c>
      <c r="C11716" s="10" t="str">
        <f>"9798216100782"</f>
        <v>9798216100782</v>
      </c>
      <c r="D11716" s="10" t="s">
        <v>9777</v>
      </c>
      <c r="E11716" s="10" t="s">
        <v>9792</v>
      </c>
      <c r="F11716" s="10" t="s">
        <v>70</v>
      </c>
      <c r="G11716" s="10" t="s">
        <v>6317</v>
      </c>
      <c r="H11716" s="11">
        <v>43749</v>
      </c>
      <c r="I11716" s="10">
        <v>2019</v>
      </c>
      <c r="J11716" s="10" t="s">
        <v>9792</v>
      </c>
      <c r="K11716" s="10">
        <v>200</v>
      </c>
      <c r="L11716" s="10"/>
      <c r="M11716" s="10">
        <v>1</v>
      </c>
      <c r="N11716" s="10"/>
      <c r="O11716" s="10"/>
      <c r="P11716" s="10"/>
      <c r="Q11716" s="10"/>
      <c r="R11716" s="10" t="s">
        <v>50280</v>
      </c>
      <c r="S11716" s="10" t="s">
        <v>53</v>
      </c>
      <c r="T11716" s="10" t="s">
        <v>54</v>
      </c>
    </row>
    <row r="11717" spans="1:20" ht="14.5" x14ac:dyDescent="0.35">
      <c r="A11717" s="10" t="s">
        <v>50281</v>
      </c>
      <c r="B11717" s="10" t="str">
        <f>""</f>
        <v/>
      </c>
      <c r="C11717" s="10" t="str">
        <f>"9781463229481"</f>
        <v>9781463229481</v>
      </c>
      <c r="D11717" s="10" t="s">
        <v>9995</v>
      </c>
      <c r="E11717" s="10" t="s">
        <v>50282</v>
      </c>
      <c r="F11717" s="10" t="s">
        <v>2510</v>
      </c>
      <c r="G11717" s="10" t="s">
        <v>9998</v>
      </c>
      <c r="H11717" s="11">
        <v>43467</v>
      </c>
      <c r="I11717" s="10">
        <v>2010</v>
      </c>
      <c r="J11717" s="10" t="s">
        <v>50282</v>
      </c>
      <c r="K11717" s="10">
        <v>19</v>
      </c>
      <c r="L11717" s="10" t="s">
        <v>50283</v>
      </c>
      <c r="M11717" s="10">
        <v>1</v>
      </c>
      <c r="N11717" s="10" t="s">
        <v>50284</v>
      </c>
      <c r="O11717" s="10"/>
      <c r="P11717" s="10" t="s">
        <v>50285</v>
      </c>
      <c r="Q11717" s="10">
        <v>170.9</v>
      </c>
      <c r="R11717" s="10" t="s">
        <v>50286</v>
      </c>
      <c r="S11717" s="10" t="s">
        <v>53</v>
      </c>
      <c r="T11717" s="10" t="s">
        <v>6534</v>
      </c>
    </row>
    <row r="11718" spans="1:20" ht="14.5" x14ac:dyDescent="0.35">
      <c r="A11718" s="10" t="s">
        <v>50287</v>
      </c>
      <c r="B11718" s="10" t="str">
        <f>"9781787436954"</f>
        <v>9781787436954</v>
      </c>
      <c r="C11718" s="10" t="str">
        <f>"9781787436947"</f>
        <v>9781787436947</v>
      </c>
      <c r="D11718" s="10" t="s">
        <v>8699</v>
      </c>
      <c r="E11718" s="10" t="s">
        <v>8699</v>
      </c>
      <c r="F11718" s="10" t="s">
        <v>559</v>
      </c>
      <c r="G11718" s="10" t="s">
        <v>6352</v>
      </c>
      <c r="H11718" s="11">
        <v>43747</v>
      </c>
      <c r="I11718" s="10">
        <v>2019</v>
      </c>
      <c r="J11718" s="10" t="s">
        <v>8699</v>
      </c>
      <c r="K11718" s="10">
        <v>285</v>
      </c>
      <c r="L11718" s="10" t="s">
        <v>50288</v>
      </c>
      <c r="M11718" s="10">
        <v>1</v>
      </c>
      <c r="N11718" s="10" t="s">
        <v>50289</v>
      </c>
      <c r="O11718" s="10"/>
      <c r="P11718" s="10" t="s">
        <v>50290</v>
      </c>
      <c r="Q11718" s="10">
        <v>370.8</v>
      </c>
      <c r="R11718" s="10" t="s">
        <v>50291</v>
      </c>
      <c r="S11718" s="10" t="s">
        <v>53</v>
      </c>
      <c r="T11718" s="10" t="s">
        <v>54</v>
      </c>
    </row>
    <row r="11719" spans="1:20" ht="14.5" x14ac:dyDescent="0.35">
      <c r="A11719" s="10" t="s">
        <v>50292</v>
      </c>
      <c r="B11719" s="10" t="str">
        <f>"9781416627067"</f>
        <v>9781416627067</v>
      </c>
      <c r="C11719" s="10" t="str">
        <f>"9781416627296"</f>
        <v>9781416627296</v>
      </c>
      <c r="D11719" s="10" t="s">
        <v>10014</v>
      </c>
      <c r="E11719" s="10" t="s">
        <v>10015</v>
      </c>
      <c r="F11719" s="10" t="s">
        <v>201</v>
      </c>
      <c r="G11719" s="10" t="s">
        <v>6317</v>
      </c>
      <c r="H11719" s="11">
        <v>43495</v>
      </c>
      <c r="I11719" s="10">
        <v>2019</v>
      </c>
      <c r="J11719" s="10" t="s">
        <v>10015</v>
      </c>
      <c r="K11719" s="10">
        <v>218</v>
      </c>
      <c r="L11719" s="10" t="s">
        <v>50293</v>
      </c>
      <c r="M11719" s="10">
        <v>1</v>
      </c>
      <c r="N11719" s="10"/>
      <c r="O11719" s="10"/>
      <c r="P11719" s="10"/>
      <c r="Q11719" s="10"/>
      <c r="R11719" s="10"/>
      <c r="S11719" s="10" t="s">
        <v>53</v>
      </c>
      <c r="T11719" s="10" t="s">
        <v>54</v>
      </c>
    </row>
    <row r="11720" spans="1:20" ht="14.5" x14ac:dyDescent="0.35">
      <c r="A11720" s="10" t="s">
        <v>50294</v>
      </c>
      <c r="B11720" s="10" t="str">
        <f>"9781975501884"</f>
        <v>9781975501884</v>
      </c>
      <c r="C11720" s="10" t="str">
        <f>"9781975501907"</f>
        <v>9781975501907</v>
      </c>
      <c r="D11720" s="10" t="s">
        <v>44271</v>
      </c>
      <c r="E11720" s="10" t="s">
        <v>47266</v>
      </c>
      <c r="F11720" s="10" t="s">
        <v>41227</v>
      </c>
      <c r="G11720" s="10" t="s">
        <v>6317</v>
      </c>
      <c r="H11720" s="11">
        <v>43725</v>
      </c>
      <c r="I11720" s="10">
        <v>2020</v>
      </c>
      <c r="J11720" s="10" t="s">
        <v>47266</v>
      </c>
      <c r="K11720" s="10">
        <v>233</v>
      </c>
      <c r="L11720" s="10" t="s">
        <v>50295</v>
      </c>
      <c r="M11720" s="10">
        <v>1</v>
      </c>
      <c r="N11720" s="10" t="s">
        <v>48355</v>
      </c>
      <c r="O11720" s="10"/>
      <c r="P11720" s="10" t="s">
        <v>50296</v>
      </c>
      <c r="Q11720" s="10">
        <v>371.82900000000001</v>
      </c>
      <c r="R11720" s="10" t="s">
        <v>45982</v>
      </c>
      <c r="S11720" s="10" t="s">
        <v>53</v>
      </c>
      <c r="T11720" s="10" t="s">
        <v>54</v>
      </c>
    </row>
    <row r="11721" spans="1:20" ht="14.5" x14ac:dyDescent="0.35">
      <c r="A11721" s="10" t="s">
        <v>50297</v>
      </c>
      <c r="B11721" s="10" t="str">
        <f>"9781839093821"</f>
        <v>9781839093821</v>
      </c>
      <c r="C11721" s="10" t="str">
        <f>"9781839093838"</f>
        <v>9781839093838</v>
      </c>
      <c r="D11721" s="10" t="s">
        <v>8699</v>
      </c>
      <c r="E11721" s="10" t="s">
        <v>8699</v>
      </c>
      <c r="F11721" s="10" t="s">
        <v>41843</v>
      </c>
      <c r="G11721" s="10" t="s">
        <v>6352</v>
      </c>
      <c r="H11721" s="11">
        <v>43700</v>
      </c>
      <c r="I11721" s="10">
        <v>2019</v>
      </c>
      <c r="J11721" s="10" t="s">
        <v>8699</v>
      </c>
      <c r="K11721" s="10">
        <v>79</v>
      </c>
      <c r="L11721" s="10" t="s">
        <v>50298</v>
      </c>
      <c r="M11721" s="10">
        <v>1</v>
      </c>
      <c r="N11721" s="10" t="s">
        <v>50299</v>
      </c>
      <c r="O11721" s="10">
        <v>2</v>
      </c>
      <c r="P11721" s="10" t="s">
        <v>50300</v>
      </c>
      <c r="Q11721" s="10">
        <v>6.8</v>
      </c>
      <c r="R11721" s="10" t="s">
        <v>50301</v>
      </c>
      <c r="S11721" s="10" t="s">
        <v>53</v>
      </c>
      <c r="T11721" s="10" t="s">
        <v>50302</v>
      </c>
    </row>
    <row r="11722" spans="1:20" ht="14.5" x14ac:dyDescent="0.35">
      <c r="A11722" s="10" t="s">
        <v>50303</v>
      </c>
      <c r="B11722" s="10" t="str">
        <f>"9781634000581"</f>
        <v>9781634000581</v>
      </c>
      <c r="C11722" s="10" t="str">
        <f>"9781634001038"</f>
        <v>9781634001038</v>
      </c>
      <c r="D11722" s="10" t="s">
        <v>36103</v>
      </c>
      <c r="E11722" s="10" t="s">
        <v>49085</v>
      </c>
      <c r="F11722" s="10" t="s">
        <v>49086</v>
      </c>
      <c r="G11722" s="10" t="s">
        <v>6317</v>
      </c>
      <c r="H11722" s="11">
        <v>43252</v>
      </c>
      <c r="I11722" s="10">
        <v>2018</v>
      </c>
      <c r="J11722" s="10" t="s">
        <v>49085</v>
      </c>
      <c r="K11722" s="10">
        <v>219</v>
      </c>
      <c r="L11722" s="10" t="s">
        <v>50304</v>
      </c>
      <c r="M11722" s="10">
        <v>1</v>
      </c>
      <c r="N11722" s="10"/>
      <c r="O11722" s="10"/>
      <c r="P11722" s="10" t="s">
        <v>50305</v>
      </c>
      <c r="Q11722" s="10">
        <v>20.710999999999999</v>
      </c>
      <c r="R11722" s="10" t="s">
        <v>50306</v>
      </c>
      <c r="S11722" s="10" t="s">
        <v>53</v>
      </c>
      <c r="T11722" s="10" t="s">
        <v>10302</v>
      </c>
    </row>
    <row r="11723" spans="1:20" ht="14.5" x14ac:dyDescent="0.35">
      <c r="A11723" s="10" t="s">
        <v>50307</v>
      </c>
      <c r="B11723" s="10" t="str">
        <f>"9781138364745"</f>
        <v>9781138364745</v>
      </c>
      <c r="C11723" s="10" t="str">
        <f>"9780429775130"</f>
        <v>9780429775130</v>
      </c>
      <c r="D11723" s="10" t="s">
        <v>6350</v>
      </c>
      <c r="E11723" s="10" t="s">
        <v>6351</v>
      </c>
      <c r="F11723" s="10" t="s">
        <v>748</v>
      </c>
      <c r="G11723" s="10" t="s">
        <v>6352</v>
      </c>
      <c r="H11723" s="11">
        <v>43752</v>
      </c>
      <c r="I11723" s="10">
        <v>2020</v>
      </c>
      <c r="J11723" s="10" t="s">
        <v>6351</v>
      </c>
      <c r="K11723" s="10">
        <v>241</v>
      </c>
      <c r="L11723" s="10" t="s">
        <v>50308</v>
      </c>
      <c r="M11723" s="10">
        <v>1</v>
      </c>
      <c r="N11723" s="10"/>
      <c r="O11723" s="10"/>
      <c r="P11723" s="10" t="s">
        <v>50309</v>
      </c>
      <c r="Q11723" s="10">
        <v>371.35</v>
      </c>
      <c r="R11723" s="10" t="s">
        <v>9026</v>
      </c>
      <c r="S11723" s="10" t="s">
        <v>53</v>
      </c>
      <c r="T11723" s="10" t="s">
        <v>54</v>
      </c>
    </row>
    <row r="11724" spans="1:20" ht="14.5" x14ac:dyDescent="0.35">
      <c r="A11724" s="10" t="s">
        <v>50310</v>
      </c>
      <c r="B11724" s="10" t="str">
        <f>"9781947604759"</f>
        <v>9781947604759</v>
      </c>
      <c r="C11724" s="10" t="str">
        <f>"9781947604766"</f>
        <v>9781947604766</v>
      </c>
      <c r="D11724" s="10" t="s">
        <v>37580</v>
      </c>
      <c r="E11724" s="10" t="s">
        <v>37581</v>
      </c>
      <c r="F11724" s="10" t="s">
        <v>37623</v>
      </c>
      <c r="G11724" s="10" t="s">
        <v>6317</v>
      </c>
      <c r="H11724" s="11">
        <v>43759</v>
      </c>
      <c r="I11724" s="10">
        <v>2020</v>
      </c>
      <c r="J11724" s="10" t="s">
        <v>37581</v>
      </c>
      <c r="K11724" s="10">
        <v>144</v>
      </c>
      <c r="L11724" s="10" t="s">
        <v>50311</v>
      </c>
      <c r="M11724" s="10">
        <v>1</v>
      </c>
      <c r="N11724" s="10"/>
      <c r="O11724" s="10"/>
      <c r="P11724" s="10" t="s">
        <v>50312</v>
      </c>
      <c r="Q11724" s="10"/>
      <c r="R11724" s="10"/>
      <c r="S11724" s="10" t="s">
        <v>53</v>
      </c>
      <c r="T11724" s="10" t="s">
        <v>54</v>
      </c>
    </row>
    <row r="11725" spans="1:20" ht="14.5" x14ac:dyDescent="0.35">
      <c r="A11725" s="10" t="s">
        <v>50313</v>
      </c>
      <c r="B11725" s="10" t="str">
        <f>"9781138615588"</f>
        <v>9781138615588</v>
      </c>
      <c r="C11725" s="10" t="str">
        <f>"9780429871450"</f>
        <v>9780429871450</v>
      </c>
      <c r="D11725" s="10" t="s">
        <v>6350</v>
      </c>
      <c r="E11725" s="10" t="s">
        <v>6351</v>
      </c>
      <c r="F11725" s="10" t="s">
        <v>748</v>
      </c>
      <c r="G11725" s="10" t="s">
        <v>6352</v>
      </c>
      <c r="H11725" s="11">
        <v>43746</v>
      </c>
      <c r="I11725" s="10">
        <v>2020</v>
      </c>
      <c r="J11725" s="10" t="s">
        <v>6351</v>
      </c>
      <c r="K11725" s="10">
        <v>247</v>
      </c>
      <c r="L11725" s="10" t="s">
        <v>50314</v>
      </c>
      <c r="M11725" s="10">
        <v>1</v>
      </c>
      <c r="N11725" s="10" t="s">
        <v>24679</v>
      </c>
      <c r="O11725" s="10"/>
      <c r="P11725" s="10" t="s">
        <v>50315</v>
      </c>
      <c r="Q11725" s="10">
        <v>370.8997</v>
      </c>
      <c r="R11725" s="10" t="s">
        <v>50316</v>
      </c>
      <c r="S11725" s="10" t="s">
        <v>53</v>
      </c>
      <c r="T11725" s="10" t="s">
        <v>16298</v>
      </c>
    </row>
    <row r="11726" spans="1:20" ht="14.5" x14ac:dyDescent="0.35">
      <c r="A11726" s="10" t="s">
        <v>50317</v>
      </c>
      <c r="B11726" s="10" t="str">
        <f>"9781838675981"</f>
        <v>9781838675981</v>
      </c>
      <c r="C11726" s="10" t="str">
        <f>"9781838675974"</f>
        <v>9781838675974</v>
      </c>
      <c r="D11726" s="10" t="s">
        <v>8699</v>
      </c>
      <c r="E11726" s="10" t="s">
        <v>8699</v>
      </c>
      <c r="F11726" s="10" t="s">
        <v>559</v>
      </c>
      <c r="G11726" s="10" t="s">
        <v>6352</v>
      </c>
      <c r="H11726" s="11">
        <v>43759</v>
      </c>
      <c r="I11726" s="10">
        <v>2019</v>
      </c>
      <c r="J11726" s="10" t="s">
        <v>8699</v>
      </c>
      <c r="K11726" s="10">
        <v>231</v>
      </c>
      <c r="L11726" s="10" t="s">
        <v>50318</v>
      </c>
      <c r="M11726" s="10">
        <v>1</v>
      </c>
      <c r="N11726" s="10" t="s">
        <v>17877</v>
      </c>
      <c r="O11726" s="10">
        <v>33</v>
      </c>
      <c r="P11726" s="10" t="s">
        <v>28438</v>
      </c>
      <c r="Q11726" s="10">
        <v>370.1</v>
      </c>
      <c r="R11726" s="10" t="s">
        <v>50319</v>
      </c>
      <c r="S11726" s="10" t="s">
        <v>53</v>
      </c>
      <c r="T11726" s="10" t="s">
        <v>54</v>
      </c>
    </row>
    <row r="11727" spans="1:20" ht="14.5" x14ac:dyDescent="0.35">
      <c r="A11727" s="10" t="s">
        <v>50320</v>
      </c>
      <c r="B11727" s="10" t="str">
        <f>"9781787751323"</f>
        <v>9781787751323</v>
      </c>
      <c r="C11727" s="10" t="str">
        <f>"9781787751330"</f>
        <v>9781787751330</v>
      </c>
      <c r="D11727" s="10" t="s">
        <v>10516</v>
      </c>
      <c r="E11727" s="10" t="s">
        <v>10516</v>
      </c>
      <c r="F11727" s="10" t="s">
        <v>139</v>
      </c>
      <c r="G11727" s="10" t="s">
        <v>6352</v>
      </c>
      <c r="H11727" s="11">
        <v>43818</v>
      </c>
      <c r="I11727" s="10">
        <v>2019</v>
      </c>
      <c r="J11727" s="10" t="s">
        <v>10516</v>
      </c>
      <c r="K11727" s="10">
        <v>242</v>
      </c>
      <c r="L11727" s="10" t="s">
        <v>50321</v>
      </c>
      <c r="M11727" s="10">
        <v>1</v>
      </c>
      <c r="N11727" s="10"/>
      <c r="O11727" s="10"/>
      <c r="P11727" s="10" t="s">
        <v>50322</v>
      </c>
      <c r="Q11727" s="10" t="s">
        <v>10605</v>
      </c>
      <c r="R11727" s="10"/>
      <c r="S11727" s="10" t="s">
        <v>53</v>
      </c>
      <c r="T11727" s="10" t="s">
        <v>8681</v>
      </c>
    </row>
    <row r="11728" spans="1:20" ht="14.5" x14ac:dyDescent="0.35">
      <c r="A11728" s="10" t="s">
        <v>50323</v>
      </c>
      <c r="B11728" s="10" t="str">
        <f>"9781947604599"</f>
        <v>9781947604599</v>
      </c>
      <c r="C11728" s="10" t="str">
        <f>"9781947604605"</f>
        <v>9781947604605</v>
      </c>
      <c r="D11728" s="10" t="s">
        <v>37580</v>
      </c>
      <c r="E11728" s="10" t="s">
        <v>37581</v>
      </c>
      <c r="F11728" s="10" t="s">
        <v>37623</v>
      </c>
      <c r="G11728" s="10" t="s">
        <v>6317</v>
      </c>
      <c r="H11728" s="11">
        <v>43763</v>
      </c>
      <c r="I11728" s="10">
        <v>2020</v>
      </c>
      <c r="J11728" s="10" t="s">
        <v>37581</v>
      </c>
      <c r="K11728" s="10">
        <v>192</v>
      </c>
      <c r="L11728" s="10" t="s">
        <v>46742</v>
      </c>
      <c r="M11728" s="10">
        <v>1</v>
      </c>
      <c r="N11728" s="10"/>
      <c r="O11728" s="10"/>
      <c r="P11728" s="10" t="s">
        <v>50324</v>
      </c>
      <c r="Q11728" s="10"/>
      <c r="R11728" s="10"/>
      <c r="S11728" s="10" t="s">
        <v>53</v>
      </c>
      <c r="T11728" s="10" t="s">
        <v>54</v>
      </c>
    </row>
    <row r="11729" spans="1:20" ht="14.5" x14ac:dyDescent="0.35">
      <c r="A11729" s="10" t="s">
        <v>50325</v>
      </c>
      <c r="B11729" s="10" t="str">
        <f>"9781620364673"</f>
        <v>9781620364673</v>
      </c>
      <c r="C11729" s="10" t="str">
        <f>"9781000972511"</f>
        <v>9781000972511</v>
      </c>
      <c r="D11729" s="10" t="s">
        <v>6350</v>
      </c>
      <c r="E11729" s="10" t="s">
        <v>6351</v>
      </c>
      <c r="F11729" s="10" t="s">
        <v>748</v>
      </c>
      <c r="G11729" s="10" t="s">
        <v>6352</v>
      </c>
      <c r="H11729" s="11">
        <v>43748</v>
      </c>
      <c r="I11729" s="10">
        <v>2019</v>
      </c>
      <c r="J11729" s="10" t="s">
        <v>6351</v>
      </c>
      <c r="K11729" s="10">
        <v>299</v>
      </c>
      <c r="L11729" s="10" t="s">
        <v>43683</v>
      </c>
      <c r="M11729" s="10">
        <v>1</v>
      </c>
      <c r="N11729" s="10"/>
      <c r="O11729" s="10"/>
      <c r="P11729" s="10" t="s">
        <v>50326</v>
      </c>
      <c r="Q11729" s="10">
        <v>361.37097299999999</v>
      </c>
      <c r="R11729" s="10" t="s">
        <v>50327</v>
      </c>
      <c r="S11729" s="10" t="s">
        <v>53</v>
      </c>
      <c r="T11729" s="10" t="s">
        <v>6472</v>
      </c>
    </row>
    <row r="11730" spans="1:20" ht="14.5" x14ac:dyDescent="0.35">
      <c r="A11730" s="10" t="s">
        <v>50328</v>
      </c>
      <c r="B11730" s="10" t="str">
        <f>"9780367172893"</f>
        <v>9780367172893</v>
      </c>
      <c r="C11730" s="10" t="str">
        <f>"9780429508356"</f>
        <v>9780429508356</v>
      </c>
      <c r="D11730" s="10" t="s">
        <v>6350</v>
      </c>
      <c r="E11730" s="10" t="s">
        <v>6351</v>
      </c>
      <c r="F11730" s="10" t="s">
        <v>3967</v>
      </c>
      <c r="G11730" s="10" t="s">
        <v>6352</v>
      </c>
      <c r="H11730" s="11">
        <v>43759</v>
      </c>
      <c r="I11730" s="10">
        <v>2020</v>
      </c>
      <c r="J11730" s="10" t="s">
        <v>6353</v>
      </c>
      <c r="K11730" s="10">
        <v>243</v>
      </c>
      <c r="L11730" s="10" t="s">
        <v>50329</v>
      </c>
      <c r="M11730" s="10">
        <v>1</v>
      </c>
      <c r="N11730" s="10" t="s">
        <v>50330</v>
      </c>
      <c r="O11730" s="10"/>
      <c r="P11730" s="10" t="s">
        <v>50331</v>
      </c>
      <c r="Q11730" s="10">
        <v>155.19999999999999</v>
      </c>
      <c r="R11730" s="10" t="s">
        <v>50332</v>
      </c>
      <c r="S11730" s="10" t="s">
        <v>53</v>
      </c>
      <c r="T11730" s="10" t="s">
        <v>483</v>
      </c>
    </row>
    <row r="11731" spans="1:20" ht="14.5" x14ac:dyDescent="0.35">
      <c r="A11731" s="10" t="s">
        <v>50333</v>
      </c>
      <c r="B11731" s="10" t="str">
        <f>""</f>
        <v/>
      </c>
      <c r="C11731" s="10" t="str">
        <f>"9781564847430"</f>
        <v>9781564847430</v>
      </c>
      <c r="D11731" s="10" t="s">
        <v>9533</v>
      </c>
      <c r="E11731" s="10" t="s">
        <v>45783</v>
      </c>
      <c r="F11731" s="10" t="s">
        <v>25348</v>
      </c>
      <c r="G11731" s="10" t="s">
        <v>6317</v>
      </c>
      <c r="H11731" s="11">
        <v>43703</v>
      </c>
      <c r="I11731" s="10">
        <v>2019</v>
      </c>
      <c r="J11731" s="10" t="s">
        <v>45783</v>
      </c>
      <c r="K11731" s="10">
        <v>254</v>
      </c>
      <c r="L11731" s="10" t="s">
        <v>49812</v>
      </c>
      <c r="M11731" s="10">
        <v>1</v>
      </c>
      <c r="N11731" s="10" t="s">
        <v>50334</v>
      </c>
      <c r="O11731" s="10"/>
      <c r="P11731" s="10" t="s">
        <v>50335</v>
      </c>
      <c r="Q11731" s="10">
        <v>371.33</v>
      </c>
      <c r="R11731" s="10" t="s">
        <v>50336</v>
      </c>
      <c r="S11731" s="10" t="s">
        <v>53</v>
      </c>
      <c r="T11731" s="10" t="s">
        <v>54</v>
      </c>
    </row>
    <row r="11732" spans="1:20" ht="14.5" x14ac:dyDescent="0.35">
      <c r="A11732" s="10" t="s">
        <v>50337</v>
      </c>
      <c r="B11732" s="10" t="str">
        <f>"9781642670929"</f>
        <v>9781642670929</v>
      </c>
      <c r="C11732" s="10" t="str">
        <f>"9781000970753"</f>
        <v>9781000970753</v>
      </c>
      <c r="D11732" s="10" t="s">
        <v>6350</v>
      </c>
      <c r="E11732" s="10" t="s">
        <v>6351</v>
      </c>
      <c r="F11732" s="10" t="s">
        <v>748</v>
      </c>
      <c r="G11732" s="10" t="s">
        <v>6352</v>
      </c>
      <c r="H11732" s="11">
        <v>43746</v>
      </c>
      <c r="I11732" s="10">
        <v>2019</v>
      </c>
      <c r="J11732" s="10" t="s">
        <v>6351</v>
      </c>
      <c r="K11732" s="10">
        <v>266</v>
      </c>
      <c r="L11732" s="10" t="s">
        <v>50338</v>
      </c>
      <c r="M11732" s="10">
        <v>1</v>
      </c>
      <c r="N11732" s="10"/>
      <c r="O11732" s="10"/>
      <c r="P11732" s="10" t="s">
        <v>50339</v>
      </c>
      <c r="Q11732" s="10">
        <v>378.73</v>
      </c>
      <c r="R11732" s="10" t="s">
        <v>47623</v>
      </c>
      <c r="S11732" s="10" t="s">
        <v>53</v>
      </c>
      <c r="T11732" s="10" t="s">
        <v>54</v>
      </c>
    </row>
    <row r="11733" spans="1:20" ht="14.5" x14ac:dyDescent="0.35">
      <c r="A11733" s="10" t="s">
        <v>50340</v>
      </c>
      <c r="B11733" s="10" t="str">
        <f>"9781912508938"</f>
        <v>9781912508938</v>
      </c>
      <c r="C11733" s="10" t="str">
        <f>"9781912508952"</f>
        <v>9781912508952</v>
      </c>
      <c r="D11733" s="10" t="s">
        <v>9533</v>
      </c>
      <c r="E11733" s="10" t="s">
        <v>26840</v>
      </c>
      <c r="F11733" s="10" t="s">
        <v>44053</v>
      </c>
      <c r="G11733" s="10" t="s">
        <v>6352</v>
      </c>
      <c r="H11733" s="11">
        <v>43747</v>
      </c>
      <c r="I11733" s="10">
        <v>2019</v>
      </c>
      <c r="J11733" s="10" t="s">
        <v>26840</v>
      </c>
      <c r="K11733" s="10">
        <v>120</v>
      </c>
      <c r="L11733" s="10" t="s">
        <v>50341</v>
      </c>
      <c r="M11733" s="10">
        <v>1</v>
      </c>
      <c r="N11733" s="10" t="s">
        <v>50342</v>
      </c>
      <c r="O11733" s="10"/>
      <c r="P11733" s="10" t="s">
        <v>50343</v>
      </c>
      <c r="Q11733" s="10">
        <v>371.14400000000001</v>
      </c>
      <c r="R11733" s="10" t="s">
        <v>42196</v>
      </c>
      <c r="S11733" s="10" t="s">
        <v>53</v>
      </c>
      <c r="T11733" s="10" t="s">
        <v>54</v>
      </c>
    </row>
    <row r="11734" spans="1:20" ht="14.5" x14ac:dyDescent="0.35">
      <c r="A11734" s="10" t="s">
        <v>50344</v>
      </c>
      <c r="B11734" s="10" t="str">
        <f>"9781789736342"</f>
        <v>9781789736342</v>
      </c>
      <c r="C11734" s="10" t="str">
        <f>"9781789736335"</f>
        <v>9781789736335</v>
      </c>
      <c r="D11734" s="10" t="s">
        <v>8699</v>
      </c>
      <c r="E11734" s="10" t="s">
        <v>8699</v>
      </c>
      <c r="F11734" s="10" t="s">
        <v>559</v>
      </c>
      <c r="G11734" s="10" t="s">
        <v>6352</v>
      </c>
      <c r="H11734" s="11">
        <v>43762</v>
      </c>
      <c r="I11734" s="10">
        <v>2019</v>
      </c>
      <c r="J11734" s="10" t="s">
        <v>8699</v>
      </c>
      <c r="K11734" s="10">
        <v>182</v>
      </c>
      <c r="L11734" s="10" t="s">
        <v>50345</v>
      </c>
      <c r="M11734" s="10">
        <v>1</v>
      </c>
      <c r="N11734" s="10" t="s">
        <v>46840</v>
      </c>
      <c r="O11734" s="10"/>
      <c r="P11734" s="10" t="s">
        <v>28438</v>
      </c>
      <c r="Q11734" s="10" t="s">
        <v>50346</v>
      </c>
      <c r="R11734" s="10" t="s">
        <v>50347</v>
      </c>
      <c r="S11734" s="10" t="s">
        <v>53</v>
      </c>
      <c r="T11734" s="10" t="s">
        <v>6472</v>
      </c>
    </row>
    <row r="11735" spans="1:20" ht="14.5" x14ac:dyDescent="0.35">
      <c r="A11735" s="10" t="s">
        <v>50348</v>
      </c>
      <c r="B11735" s="10" t="str">
        <f>"9781620368947"</f>
        <v>9781620368947</v>
      </c>
      <c r="C11735" s="10" t="str">
        <f>"9781000971446"</f>
        <v>9781000971446</v>
      </c>
      <c r="D11735" s="10" t="s">
        <v>6350</v>
      </c>
      <c r="E11735" s="10" t="s">
        <v>6351</v>
      </c>
      <c r="F11735" s="10" t="s">
        <v>41227</v>
      </c>
      <c r="G11735" s="10" t="s">
        <v>6317</v>
      </c>
      <c r="H11735" s="11">
        <v>43734</v>
      </c>
      <c r="I11735" s="10">
        <v>2019</v>
      </c>
      <c r="J11735" s="10" t="s">
        <v>6353</v>
      </c>
      <c r="K11735" s="10">
        <v>296</v>
      </c>
      <c r="L11735" s="10" t="s">
        <v>26239</v>
      </c>
      <c r="M11735" s="10">
        <v>1</v>
      </c>
      <c r="N11735" s="10"/>
      <c r="O11735" s="10"/>
      <c r="P11735" s="10" t="s">
        <v>50349</v>
      </c>
      <c r="Q11735" s="10">
        <v>378.125</v>
      </c>
      <c r="R11735" s="10" t="s">
        <v>50350</v>
      </c>
      <c r="S11735" s="10" t="s">
        <v>53</v>
      </c>
      <c r="T11735" s="10" t="s">
        <v>54</v>
      </c>
    </row>
    <row r="11736" spans="1:20" ht="14.5" x14ac:dyDescent="0.35">
      <c r="A11736" s="10" t="s">
        <v>50351</v>
      </c>
      <c r="B11736" s="10" t="str">
        <f>"9781473959514"</f>
        <v>9781473959514</v>
      </c>
      <c r="C11736" s="10" t="str">
        <f>"9781473968202"</f>
        <v>9781473968202</v>
      </c>
      <c r="D11736" s="10" t="s">
        <v>9325</v>
      </c>
      <c r="E11736" s="10" t="s">
        <v>9326</v>
      </c>
      <c r="F11736" s="10" t="s">
        <v>139</v>
      </c>
      <c r="G11736" s="10" t="s">
        <v>6352</v>
      </c>
      <c r="H11736" s="11">
        <v>42611</v>
      </c>
      <c r="I11736" s="10">
        <v>2016</v>
      </c>
      <c r="J11736" s="10" t="s">
        <v>18376</v>
      </c>
      <c r="K11736" s="10">
        <v>201</v>
      </c>
      <c r="L11736" s="10" t="s">
        <v>50352</v>
      </c>
      <c r="M11736" s="10">
        <v>1</v>
      </c>
      <c r="N11736" s="10"/>
      <c r="O11736" s="10"/>
      <c r="P11736" s="10" t="s">
        <v>50353</v>
      </c>
      <c r="Q11736" s="10">
        <v>372.21</v>
      </c>
      <c r="R11736" s="10" t="s">
        <v>44808</v>
      </c>
      <c r="S11736" s="10" t="s">
        <v>53</v>
      </c>
      <c r="T11736" s="10" t="s">
        <v>54</v>
      </c>
    </row>
    <row r="11737" spans="1:20" ht="14.5" x14ac:dyDescent="0.35">
      <c r="A11737" s="10" t="s">
        <v>50354</v>
      </c>
      <c r="B11737" s="10" t="str">
        <f>"9781473973022"</f>
        <v>9781473973022</v>
      </c>
      <c r="C11737" s="10" t="str">
        <f>"9781526412089"</f>
        <v>9781526412089</v>
      </c>
      <c r="D11737" s="10" t="s">
        <v>9325</v>
      </c>
      <c r="E11737" s="10" t="s">
        <v>9326</v>
      </c>
      <c r="F11737" s="10" t="s">
        <v>139</v>
      </c>
      <c r="G11737" s="10" t="s">
        <v>6352</v>
      </c>
      <c r="H11737" s="11">
        <v>42857</v>
      </c>
      <c r="I11737" s="10">
        <v>2017</v>
      </c>
      <c r="J11737" s="10" t="s">
        <v>18376</v>
      </c>
      <c r="K11737" s="10">
        <v>209</v>
      </c>
      <c r="L11737" s="10" t="s">
        <v>50355</v>
      </c>
      <c r="M11737" s="10">
        <v>1</v>
      </c>
      <c r="N11737" s="10"/>
      <c r="O11737" s="10"/>
      <c r="P11737" s="10" t="s">
        <v>50356</v>
      </c>
      <c r="Q11737" s="10">
        <v>373.11020000000002</v>
      </c>
      <c r="R11737" s="10" t="s">
        <v>40243</v>
      </c>
      <c r="S11737" s="10" t="s">
        <v>53</v>
      </c>
      <c r="T11737" s="10" t="s">
        <v>54</v>
      </c>
    </row>
    <row r="11738" spans="1:20" ht="14.5" x14ac:dyDescent="0.35">
      <c r="A11738" s="10" t="s">
        <v>50357</v>
      </c>
      <c r="B11738" s="10" t="str">
        <f>"9781526424747"</f>
        <v>9781526424747</v>
      </c>
      <c r="C11738" s="10" t="str">
        <f>"9781526448552"</f>
        <v>9781526448552</v>
      </c>
      <c r="D11738" s="10" t="s">
        <v>9325</v>
      </c>
      <c r="E11738" s="10" t="s">
        <v>9326</v>
      </c>
      <c r="F11738" s="10" t="s">
        <v>139</v>
      </c>
      <c r="G11738" s="10" t="s">
        <v>6352</v>
      </c>
      <c r="H11738" s="11">
        <v>43637</v>
      </c>
      <c r="I11738" s="10">
        <v>2018</v>
      </c>
      <c r="J11738" s="10" t="s">
        <v>18376</v>
      </c>
      <c r="K11738" s="10">
        <v>145</v>
      </c>
      <c r="L11738" s="10" t="s">
        <v>50358</v>
      </c>
      <c r="M11738" s="10">
        <v>1</v>
      </c>
      <c r="N11738" s="10"/>
      <c r="O11738" s="10"/>
      <c r="P11738" s="10" t="s">
        <v>50359</v>
      </c>
      <c r="Q11738" s="10" t="s">
        <v>14673</v>
      </c>
      <c r="R11738" s="10" t="s">
        <v>50360</v>
      </c>
      <c r="S11738" s="10" t="s">
        <v>53</v>
      </c>
      <c r="T11738" s="10" t="s">
        <v>54</v>
      </c>
    </row>
    <row r="11739" spans="1:20" ht="14.5" x14ac:dyDescent="0.35">
      <c r="A11739" s="10" t="s">
        <v>50361</v>
      </c>
      <c r="B11739" s="10" t="str">
        <f>"9781473999114"</f>
        <v>9781473999114</v>
      </c>
      <c r="C11739" s="10" t="str">
        <f>"9781526414793"</f>
        <v>9781526414793</v>
      </c>
      <c r="D11739" s="10" t="s">
        <v>9325</v>
      </c>
      <c r="E11739" s="10" t="s">
        <v>9326</v>
      </c>
      <c r="F11739" s="10" t="s">
        <v>139</v>
      </c>
      <c r="G11739" s="10" t="s">
        <v>6352</v>
      </c>
      <c r="H11739" s="11">
        <v>42956</v>
      </c>
      <c r="I11739" s="10">
        <v>2017</v>
      </c>
      <c r="J11739" s="10" t="s">
        <v>18376</v>
      </c>
      <c r="K11739" s="10">
        <v>249</v>
      </c>
      <c r="L11739" s="10" t="s">
        <v>50362</v>
      </c>
      <c r="M11739" s="10">
        <v>1</v>
      </c>
      <c r="N11739" s="10"/>
      <c r="O11739" s="10"/>
      <c r="P11739" s="10" t="s">
        <v>50363</v>
      </c>
      <c r="Q11739" s="10">
        <v>371.10199999999998</v>
      </c>
      <c r="R11739" s="10" t="s">
        <v>50364</v>
      </c>
      <c r="S11739" s="10" t="s">
        <v>53</v>
      </c>
      <c r="T11739" s="10" t="s">
        <v>54</v>
      </c>
    </row>
    <row r="11740" spans="1:20" ht="14.5" x14ac:dyDescent="0.35">
      <c r="A11740" s="10" t="s">
        <v>50365</v>
      </c>
      <c r="B11740" s="10" t="str">
        <f>"9781681252568"</f>
        <v>9781681252568</v>
      </c>
      <c r="C11740" s="10" t="str">
        <f>"9781681252629"</f>
        <v>9781681252629</v>
      </c>
      <c r="D11740" s="10" t="s">
        <v>28876</v>
      </c>
      <c r="E11740" s="10" t="s">
        <v>28877</v>
      </c>
      <c r="F11740" s="10" t="s">
        <v>39534</v>
      </c>
      <c r="G11740" s="10" t="s">
        <v>6317</v>
      </c>
      <c r="H11740" s="11">
        <v>43709</v>
      </c>
      <c r="I11740" s="10">
        <v>2020</v>
      </c>
      <c r="J11740" s="10" t="s">
        <v>28877</v>
      </c>
      <c r="K11740" s="10">
        <v>297</v>
      </c>
      <c r="L11740" s="10" t="s">
        <v>50366</v>
      </c>
      <c r="M11740" s="10">
        <v>2</v>
      </c>
      <c r="N11740" s="10"/>
      <c r="O11740" s="10"/>
      <c r="P11740" s="10" t="s">
        <v>50367</v>
      </c>
      <c r="Q11740" s="10">
        <v>372.21</v>
      </c>
      <c r="R11740" s="10" t="s">
        <v>50368</v>
      </c>
      <c r="S11740" s="10" t="s">
        <v>53</v>
      </c>
      <c r="T11740" s="10" t="s">
        <v>54</v>
      </c>
    </row>
    <row r="11741" spans="1:20" ht="14.5" x14ac:dyDescent="0.35">
      <c r="A11741" s="10" t="s">
        <v>50369</v>
      </c>
      <c r="B11741" s="10" t="str">
        <f>"9781780263090"</f>
        <v>9781780263090</v>
      </c>
      <c r="C11741" s="10" t="str">
        <f>"9781780263106"</f>
        <v>9781780263106</v>
      </c>
      <c r="D11741" s="10" t="s">
        <v>9533</v>
      </c>
      <c r="E11741" s="10" t="s">
        <v>50370</v>
      </c>
      <c r="F11741" s="10" t="s">
        <v>748</v>
      </c>
      <c r="G11741" s="10" t="s">
        <v>6352</v>
      </c>
      <c r="H11741" s="11">
        <v>42450</v>
      </c>
      <c r="I11741" s="10">
        <v>2016</v>
      </c>
      <c r="J11741" s="10" t="s">
        <v>50370</v>
      </c>
      <c r="K11741" s="10">
        <v>94</v>
      </c>
      <c r="L11741" s="10" t="s">
        <v>50371</v>
      </c>
      <c r="M11741" s="10">
        <v>1</v>
      </c>
      <c r="N11741" s="10" t="s">
        <v>50372</v>
      </c>
      <c r="O11741" s="10"/>
      <c r="P11741" s="10" t="s">
        <v>50373</v>
      </c>
      <c r="Q11741" s="10">
        <v>370.1</v>
      </c>
      <c r="R11741" s="10" t="s">
        <v>48067</v>
      </c>
      <c r="S11741" s="10" t="s">
        <v>53</v>
      </c>
      <c r="T11741" s="10" t="s">
        <v>54</v>
      </c>
    </row>
    <row r="11742" spans="1:20" ht="14.5" x14ac:dyDescent="0.35">
      <c r="A11742" s="10" t="s">
        <v>50374</v>
      </c>
      <c r="B11742" s="10" t="str">
        <f>"9781416628286"</f>
        <v>9781416628286</v>
      </c>
      <c r="C11742" s="10" t="str">
        <f>"9781416628309"</f>
        <v>9781416628309</v>
      </c>
      <c r="D11742" s="10" t="s">
        <v>10014</v>
      </c>
      <c r="E11742" s="10" t="s">
        <v>10015</v>
      </c>
      <c r="F11742" s="10" t="s">
        <v>201</v>
      </c>
      <c r="G11742" s="10" t="s">
        <v>6317</v>
      </c>
      <c r="H11742" s="11">
        <v>43768</v>
      </c>
      <c r="I11742" s="10">
        <v>2020</v>
      </c>
      <c r="J11742" s="10" t="s">
        <v>10015</v>
      </c>
      <c r="K11742" s="10">
        <v>186</v>
      </c>
      <c r="L11742" s="10" t="s">
        <v>50375</v>
      </c>
      <c r="M11742" s="10">
        <v>1</v>
      </c>
      <c r="N11742" s="10"/>
      <c r="O11742" s="10"/>
      <c r="P11742" s="10"/>
      <c r="Q11742" s="10"/>
      <c r="R11742" s="10"/>
      <c r="S11742" s="10" t="s">
        <v>53</v>
      </c>
      <c r="T11742" s="10" t="s">
        <v>54</v>
      </c>
    </row>
    <row r="11743" spans="1:20" ht="14.5" x14ac:dyDescent="0.35">
      <c r="A11743" s="10" t="s">
        <v>50376</v>
      </c>
      <c r="B11743" s="10" t="str">
        <f>"9781506399379"</f>
        <v>9781506399379</v>
      </c>
      <c r="C11743" s="10" t="str">
        <f>"9781506399393"</f>
        <v>9781506399393</v>
      </c>
      <c r="D11743" s="10" t="s">
        <v>22210</v>
      </c>
      <c r="E11743" s="10" t="s">
        <v>22211</v>
      </c>
      <c r="F11743" s="10" t="s">
        <v>333</v>
      </c>
      <c r="G11743" s="10" t="s">
        <v>6317</v>
      </c>
      <c r="H11743" s="11">
        <v>43026</v>
      </c>
      <c r="I11743" s="10">
        <v>2017</v>
      </c>
      <c r="J11743" s="10" t="s">
        <v>22211</v>
      </c>
      <c r="K11743" s="10">
        <v>121</v>
      </c>
      <c r="L11743" s="10" t="s">
        <v>23983</v>
      </c>
      <c r="M11743" s="10">
        <v>1</v>
      </c>
      <c r="N11743" s="10"/>
      <c r="O11743" s="10"/>
      <c r="P11743" s="10" t="s">
        <v>50377</v>
      </c>
      <c r="Q11743" s="10">
        <v>370.11700000000002</v>
      </c>
      <c r="R11743" s="10" t="s">
        <v>50378</v>
      </c>
      <c r="S11743" s="10" t="s">
        <v>53</v>
      </c>
      <c r="T11743" s="10" t="s">
        <v>54</v>
      </c>
    </row>
    <row r="11744" spans="1:20" ht="14.5" x14ac:dyDescent="0.35">
      <c r="A11744" s="10" t="s">
        <v>50379</v>
      </c>
      <c r="B11744" s="10" t="str">
        <f>"9781506317144"</f>
        <v>9781506317144</v>
      </c>
      <c r="C11744" s="10" t="str">
        <f>"9781506317137"</f>
        <v>9781506317137</v>
      </c>
      <c r="D11744" s="10" t="s">
        <v>22210</v>
      </c>
      <c r="E11744" s="10" t="s">
        <v>22211</v>
      </c>
      <c r="F11744" s="10" t="s">
        <v>333</v>
      </c>
      <c r="G11744" s="10" t="s">
        <v>6317</v>
      </c>
      <c r="H11744" s="11">
        <v>42585</v>
      </c>
      <c r="I11744" s="10">
        <v>2017</v>
      </c>
      <c r="J11744" s="10" t="s">
        <v>22211</v>
      </c>
      <c r="K11744" s="10">
        <v>145</v>
      </c>
      <c r="L11744" s="10" t="s">
        <v>50380</v>
      </c>
      <c r="M11744" s="10">
        <v>1</v>
      </c>
      <c r="N11744" s="10"/>
      <c r="O11744" s="10"/>
      <c r="P11744" s="10" t="s">
        <v>50381</v>
      </c>
      <c r="Q11744" s="10">
        <v>371.8</v>
      </c>
      <c r="R11744" s="10" t="s">
        <v>50382</v>
      </c>
      <c r="S11744" s="10" t="s">
        <v>53</v>
      </c>
      <c r="T11744" s="10" t="s">
        <v>54</v>
      </c>
    </row>
    <row r="11745" spans="1:20" ht="14.5" x14ac:dyDescent="0.35">
      <c r="A11745" s="10" t="s">
        <v>50383</v>
      </c>
      <c r="B11745" s="10" t="str">
        <f>"9781506360706"</f>
        <v>9781506360706</v>
      </c>
      <c r="C11745" s="10" t="str">
        <f>"9781506374314"</f>
        <v>9781506374314</v>
      </c>
      <c r="D11745" s="10" t="s">
        <v>22210</v>
      </c>
      <c r="E11745" s="10" t="s">
        <v>22211</v>
      </c>
      <c r="F11745" s="10" t="s">
        <v>333</v>
      </c>
      <c r="G11745" s="10" t="s">
        <v>6317</v>
      </c>
      <c r="H11745" s="11">
        <v>42646</v>
      </c>
      <c r="I11745" s="10">
        <v>2017</v>
      </c>
      <c r="J11745" s="10" t="s">
        <v>22211</v>
      </c>
      <c r="K11745" s="10">
        <v>209</v>
      </c>
      <c r="L11745" s="10" t="s">
        <v>50384</v>
      </c>
      <c r="M11745" s="10">
        <v>1</v>
      </c>
      <c r="N11745" s="10" t="s">
        <v>43548</v>
      </c>
      <c r="O11745" s="10"/>
      <c r="P11745" s="10" t="s">
        <v>50385</v>
      </c>
      <c r="Q11745" s="10">
        <v>372.6044</v>
      </c>
      <c r="R11745" s="10" t="s">
        <v>50386</v>
      </c>
      <c r="S11745" s="10" t="s">
        <v>53</v>
      </c>
      <c r="T11745" s="10" t="s">
        <v>54</v>
      </c>
    </row>
    <row r="11746" spans="1:20" ht="14.5" x14ac:dyDescent="0.35">
      <c r="A11746" s="10" t="s">
        <v>50387</v>
      </c>
      <c r="B11746" s="10" t="str">
        <f>"9781506325255"</f>
        <v>9781506325255</v>
      </c>
      <c r="C11746" s="10" t="str">
        <f>"9781506387475"</f>
        <v>9781506387475</v>
      </c>
      <c r="D11746" s="10" t="s">
        <v>22210</v>
      </c>
      <c r="E11746" s="10" t="s">
        <v>22211</v>
      </c>
      <c r="F11746" s="10" t="s">
        <v>333</v>
      </c>
      <c r="G11746" s="10" t="s">
        <v>6317</v>
      </c>
      <c r="H11746" s="11">
        <v>42769</v>
      </c>
      <c r="I11746" s="10">
        <v>2017</v>
      </c>
      <c r="J11746" s="10" t="s">
        <v>22211</v>
      </c>
      <c r="K11746" s="10">
        <v>225</v>
      </c>
      <c r="L11746" s="10" t="s">
        <v>50388</v>
      </c>
      <c r="M11746" s="10">
        <v>1</v>
      </c>
      <c r="N11746" s="10"/>
      <c r="O11746" s="10"/>
      <c r="P11746" s="10" t="s">
        <v>50389</v>
      </c>
      <c r="Q11746" s="10">
        <v>370.11700000000002</v>
      </c>
      <c r="R11746" s="10" t="s">
        <v>50390</v>
      </c>
      <c r="S11746" s="10" t="s">
        <v>53</v>
      </c>
      <c r="T11746" s="10" t="s">
        <v>54</v>
      </c>
    </row>
    <row r="11747" spans="1:20" ht="14.5" x14ac:dyDescent="0.35">
      <c r="A11747" s="10" t="s">
        <v>50391</v>
      </c>
      <c r="B11747" s="10" t="str">
        <f>"9781544361628"</f>
        <v>9781544361628</v>
      </c>
      <c r="C11747" s="10" t="str">
        <f>"9781544375069"</f>
        <v>9781544375069</v>
      </c>
      <c r="D11747" s="10" t="s">
        <v>22210</v>
      </c>
      <c r="E11747" s="10" t="s">
        <v>22211</v>
      </c>
      <c r="F11747" s="10" t="s">
        <v>333</v>
      </c>
      <c r="G11747" s="10" t="s">
        <v>6317</v>
      </c>
      <c r="H11747" s="11">
        <v>43661</v>
      </c>
      <c r="I11747" s="10">
        <v>2020</v>
      </c>
      <c r="J11747" s="10" t="s">
        <v>22211</v>
      </c>
      <c r="K11747" s="10">
        <v>305</v>
      </c>
      <c r="L11747" s="10" t="s">
        <v>50392</v>
      </c>
      <c r="M11747" s="10">
        <v>1</v>
      </c>
      <c r="N11747" s="10" t="s">
        <v>43548</v>
      </c>
      <c r="O11747" s="10"/>
      <c r="P11747" s="10" t="s">
        <v>50393</v>
      </c>
      <c r="Q11747" s="10">
        <v>372.46499999999997</v>
      </c>
      <c r="R11747" s="10" t="s">
        <v>50394</v>
      </c>
      <c r="S11747" s="10" t="s">
        <v>53</v>
      </c>
      <c r="T11747" s="10" t="s">
        <v>54</v>
      </c>
    </row>
    <row r="11748" spans="1:20" ht="14.5" x14ac:dyDescent="0.35">
      <c r="A11748" s="10" t="s">
        <v>50395</v>
      </c>
      <c r="B11748" s="10" t="str">
        <f>"9781506318264"</f>
        <v>9781506318264</v>
      </c>
      <c r="C11748" s="10" t="str">
        <f>"9781506318271"</f>
        <v>9781506318271</v>
      </c>
      <c r="D11748" s="10" t="s">
        <v>22210</v>
      </c>
      <c r="E11748" s="10" t="s">
        <v>22211</v>
      </c>
      <c r="F11748" s="10" t="s">
        <v>333</v>
      </c>
      <c r="G11748" s="10" t="s">
        <v>6317</v>
      </c>
      <c r="H11748" s="11">
        <v>42404</v>
      </c>
      <c r="I11748" s="10">
        <v>2016</v>
      </c>
      <c r="J11748" s="10" t="s">
        <v>22211</v>
      </c>
      <c r="K11748" s="10">
        <v>65</v>
      </c>
      <c r="L11748" s="10" t="s">
        <v>50396</v>
      </c>
      <c r="M11748" s="10">
        <v>1</v>
      </c>
      <c r="N11748" s="10" t="s">
        <v>43544</v>
      </c>
      <c r="O11748" s="10"/>
      <c r="P11748" s="10" t="s">
        <v>50397</v>
      </c>
      <c r="Q11748" s="10" t="s">
        <v>50398</v>
      </c>
      <c r="R11748" s="10" t="s">
        <v>50399</v>
      </c>
      <c r="S11748" s="10" t="s">
        <v>53</v>
      </c>
      <c r="T11748" s="10" t="s">
        <v>54</v>
      </c>
    </row>
    <row r="11749" spans="1:20" ht="14.5" x14ac:dyDescent="0.35">
      <c r="A11749" s="10" t="s">
        <v>50400</v>
      </c>
      <c r="B11749" s="10" t="str">
        <f>"9781506333465"</f>
        <v>9781506333465</v>
      </c>
      <c r="C11749" s="10" t="str">
        <f>"9781506334899"</f>
        <v>9781506334899</v>
      </c>
      <c r="D11749" s="10" t="s">
        <v>22210</v>
      </c>
      <c r="E11749" s="10" t="s">
        <v>22211</v>
      </c>
      <c r="F11749" s="10" t="s">
        <v>333</v>
      </c>
      <c r="G11749" s="10" t="s">
        <v>6317</v>
      </c>
      <c r="H11749" s="11">
        <v>42473</v>
      </c>
      <c r="I11749" s="10">
        <v>2016</v>
      </c>
      <c r="J11749" s="10" t="s">
        <v>22211</v>
      </c>
      <c r="K11749" s="10">
        <v>201</v>
      </c>
      <c r="L11749" s="10" t="s">
        <v>50401</v>
      </c>
      <c r="M11749" s="10">
        <v>1</v>
      </c>
      <c r="N11749" s="10"/>
      <c r="O11749" s="10"/>
      <c r="P11749" s="10" t="s">
        <v>50402</v>
      </c>
      <c r="Q11749" s="10">
        <v>371.10199999999998</v>
      </c>
      <c r="R11749" s="10" t="s">
        <v>50403</v>
      </c>
      <c r="S11749" s="10" t="s">
        <v>53</v>
      </c>
      <c r="T11749" s="10" t="s">
        <v>54</v>
      </c>
    </row>
    <row r="11750" spans="1:20" ht="14.5" x14ac:dyDescent="0.35">
      <c r="A11750" s="10" t="s">
        <v>50404</v>
      </c>
      <c r="B11750" s="10" t="str">
        <f>"9781506346960"</f>
        <v>9781506346960</v>
      </c>
      <c r="C11750" s="10" t="str">
        <f>"9781506390406"</f>
        <v>9781506390406</v>
      </c>
      <c r="D11750" s="10" t="s">
        <v>22210</v>
      </c>
      <c r="E11750" s="10" t="s">
        <v>22211</v>
      </c>
      <c r="F11750" s="10" t="s">
        <v>333</v>
      </c>
      <c r="G11750" s="10" t="s">
        <v>6317</v>
      </c>
      <c r="H11750" s="11">
        <v>42789</v>
      </c>
      <c r="I11750" s="10">
        <v>2017</v>
      </c>
      <c r="J11750" s="10" t="s">
        <v>22211</v>
      </c>
      <c r="K11750" s="10">
        <v>169</v>
      </c>
      <c r="L11750" s="10" t="s">
        <v>50405</v>
      </c>
      <c r="M11750" s="10">
        <v>1</v>
      </c>
      <c r="N11750" s="10"/>
      <c r="O11750" s="10"/>
      <c r="P11750" s="10" t="s">
        <v>50406</v>
      </c>
      <c r="Q11750" s="10">
        <v>371.2</v>
      </c>
      <c r="R11750" s="10" t="s">
        <v>47693</v>
      </c>
      <c r="S11750" s="10" t="s">
        <v>53</v>
      </c>
      <c r="T11750" s="10" t="s">
        <v>54</v>
      </c>
    </row>
    <row r="11751" spans="1:20" ht="14.5" x14ac:dyDescent="0.35">
      <c r="A11751" s="10" t="s">
        <v>50407</v>
      </c>
      <c r="B11751" s="10" t="str">
        <f>"9781506388656"</f>
        <v>9781506388656</v>
      </c>
      <c r="C11751" s="10" t="str">
        <f>"9781506388649"</f>
        <v>9781506388649</v>
      </c>
      <c r="D11751" s="10" t="s">
        <v>22210</v>
      </c>
      <c r="E11751" s="10" t="s">
        <v>22211</v>
      </c>
      <c r="F11751" s="10" t="s">
        <v>333</v>
      </c>
      <c r="G11751" s="10" t="s">
        <v>6317</v>
      </c>
      <c r="H11751" s="11">
        <v>43503</v>
      </c>
      <c r="I11751" s="10">
        <v>2019</v>
      </c>
      <c r="J11751" s="10" t="s">
        <v>22211</v>
      </c>
      <c r="K11751" s="10">
        <v>225</v>
      </c>
      <c r="L11751" s="10" t="s">
        <v>50408</v>
      </c>
      <c r="M11751" s="10">
        <v>1</v>
      </c>
      <c r="N11751" s="10" t="s">
        <v>46256</v>
      </c>
      <c r="O11751" s="10"/>
      <c r="P11751" s="10" t="s">
        <v>50409</v>
      </c>
      <c r="Q11751" s="10">
        <v>370.15339999999998</v>
      </c>
      <c r="R11751" s="10"/>
      <c r="S11751" s="10" t="s">
        <v>53</v>
      </c>
      <c r="T11751" s="10" t="s">
        <v>54</v>
      </c>
    </row>
    <row r="11752" spans="1:20" ht="14.5" x14ac:dyDescent="0.35">
      <c r="A11752" s="10" t="s">
        <v>50410</v>
      </c>
      <c r="B11752" s="10" t="str">
        <f>"9781544345697"</f>
        <v>9781544345697</v>
      </c>
      <c r="C11752" s="10" t="str">
        <f>"9781544345680"</f>
        <v>9781544345680</v>
      </c>
      <c r="D11752" s="10" t="s">
        <v>22210</v>
      </c>
      <c r="E11752" s="10" t="s">
        <v>22211</v>
      </c>
      <c r="F11752" s="10" t="s">
        <v>333</v>
      </c>
      <c r="G11752" s="10" t="s">
        <v>6317</v>
      </c>
      <c r="H11752" s="11">
        <v>43656</v>
      </c>
      <c r="I11752" s="10">
        <v>2020</v>
      </c>
      <c r="J11752" s="10" t="s">
        <v>22211</v>
      </c>
      <c r="K11752" s="10">
        <v>217</v>
      </c>
      <c r="L11752" s="10" t="s">
        <v>50411</v>
      </c>
      <c r="M11752" s="10">
        <v>1</v>
      </c>
      <c r="N11752" s="10"/>
      <c r="O11752" s="10"/>
      <c r="P11752" s="10" t="s">
        <v>50412</v>
      </c>
      <c r="Q11752" s="10">
        <v>371.2011</v>
      </c>
      <c r="R11752" s="10" t="s">
        <v>50413</v>
      </c>
      <c r="S11752" s="10" t="s">
        <v>53</v>
      </c>
      <c r="T11752" s="10" t="s">
        <v>54</v>
      </c>
    </row>
    <row r="11753" spans="1:20" ht="14.5" x14ac:dyDescent="0.35">
      <c r="A11753" s="10" t="s">
        <v>50414</v>
      </c>
      <c r="B11753" s="10" t="str">
        <f>"9781506356372"</f>
        <v>9781506356372</v>
      </c>
      <c r="C11753" s="10" t="str">
        <f>"9781506356389"</f>
        <v>9781506356389</v>
      </c>
      <c r="D11753" s="10" t="s">
        <v>22210</v>
      </c>
      <c r="E11753" s="10" t="s">
        <v>22211</v>
      </c>
      <c r="F11753" s="10" t="s">
        <v>333</v>
      </c>
      <c r="G11753" s="10" t="s">
        <v>6317</v>
      </c>
      <c r="H11753" s="11">
        <v>42818</v>
      </c>
      <c r="I11753" s="10">
        <v>2017</v>
      </c>
      <c r="J11753" s="10" t="s">
        <v>22211</v>
      </c>
      <c r="K11753" s="10">
        <v>225</v>
      </c>
      <c r="L11753" s="10" t="s">
        <v>50415</v>
      </c>
      <c r="M11753" s="10">
        <v>1</v>
      </c>
      <c r="N11753" s="10" t="s">
        <v>46256</v>
      </c>
      <c r="O11753" s="10"/>
      <c r="P11753" s="10" t="s">
        <v>50416</v>
      </c>
      <c r="Q11753" s="10">
        <v>302.23070999999999</v>
      </c>
      <c r="R11753" s="10" t="s">
        <v>50417</v>
      </c>
      <c r="S11753" s="10" t="s">
        <v>53</v>
      </c>
      <c r="T11753" s="10" t="s">
        <v>6363</v>
      </c>
    </row>
    <row r="11754" spans="1:20" ht="14.5" x14ac:dyDescent="0.35">
      <c r="A11754" s="10" t="s">
        <v>50418</v>
      </c>
      <c r="B11754" s="10" t="str">
        <f>"9781544336756"</f>
        <v>9781544336756</v>
      </c>
      <c r="C11754" s="10" t="str">
        <f>"9781544336770"</f>
        <v>9781544336770</v>
      </c>
      <c r="D11754" s="10" t="s">
        <v>22210</v>
      </c>
      <c r="E11754" s="10" t="s">
        <v>22211</v>
      </c>
      <c r="F11754" s="10" t="s">
        <v>333</v>
      </c>
      <c r="G11754" s="10" t="s">
        <v>6317</v>
      </c>
      <c r="H11754" s="11">
        <v>43545</v>
      </c>
      <c r="I11754" s="10">
        <v>2019</v>
      </c>
      <c r="J11754" s="10" t="s">
        <v>22211</v>
      </c>
      <c r="K11754" s="10">
        <v>152</v>
      </c>
      <c r="L11754" s="10" t="s">
        <v>50419</v>
      </c>
      <c r="M11754" s="10">
        <v>1</v>
      </c>
      <c r="N11754" s="10"/>
      <c r="O11754" s="10"/>
      <c r="P11754" s="10" t="s">
        <v>50420</v>
      </c>
      <c r="Q11754" s="10">
        <v>370.71172999999999</v>
      </c>
      <c r="R11754" s="10" t="s">
        <v>46272</v>
      </c>
      <c r="S11754" s="10" t="s">
        <v>53</v>
      </c>
      <c r="T11754" s="10" t="s">
        <v>54</v>
      </c>
    </row>
    <row r="11755" spans="1:20" ht="14.5" x14ac:dyDescent="0.35">
      <c r="A11755" s="10" t="s">
        <v>50421</v>
      </c>
      <c r="B11755" s="10" t="str">
        <f>"9781506325323"</f>
        <v>9781506325323</v>
      </c>
      <c r="C11755" s="10" t="str">
        <f>"9781506325330"</f>
        <v>9781506325330</v>
      </c>
      <c r="D11755" s="10" t="s">
        <v>22210</v>
      </c>
      <c r="E11755" s="10" t="s">
        <v>22211</v>
      </c>
      <c r="F11755" s="10" t="s">
        <v>333</v>
      </c>
      <c r="G11755" s="10" t="s">
        <v>6317</v>
      </c>
      <c r="H11755" s="11">
        <v>42976</v>
      </c>
      <c r="I11755" s="10">
        <v>2018</v>
      </c>
      <c r="J11755" s="10" t="s">
        <v>22211</v>
      </c>
      <c r="K11755" s="10">
        <v>161</v>
      </c>
      <c r="L11755" s="10" t="s">
        <v>50422</v>
      </c>
      <c r="M11755" s="10">
        <v>1</v>
      </c>
      <c r="N11755" s="10" t="s">
        <v>50423</v>
      </c>
      <c r="O11755" s="10"/>
      <c r="P11755" s="10" t="s">
        <v>50424</v>
      </c>
      <c r="Q11755" s="10">
        <v>371.2</v>
      </c>
      <c r="R11755" s="10" t="s">
        <v>50425</v>
      </c>
      <c r="S11755" s="10" t="s">
        <v>53</v>
      </c>
      <c r="T11755" s="10" t="s">
        <v>54</v>
      </c>
    </row>
    <row r="11756" spans="1:20" ht="14.5" x14ac:dyDescent="0.35">
      <c r="A11756" s="10" t="s">
        <v>50426</v>
      </c>
      <c r="B11756" s="10" t="str">
        <f>"9781506321523"</f>
        <v>9781506321523</v>
      </c>
      <c r="C11756" s="10" t="str">
        <f>"9781506310015"</f>
        <v>9781506310015</v>
      </c>
      <c r="D11756" s="10" t="s">
        <v>22210</v>
      </c>
      <c r="E11756" s="10" t="s">
        <v>22211</v>
      </c>
      <c r="F11756" s="10" t="s">
        <v>333</v>
      </c>
      <c r="G11756" s="10" t="s">
        <v>6317</v>
      </c>
      <c r="H11756" s="11">
        <v>42292</v>
      </c>
      <c r="I11756" s="10">
        <v>2016</v>
      </c>
      <c r="J11756" s="10" t="s">
        <v>22211</v>
      </c>
      <c r="K11756" s="10">
        <v>217</v>
      </c>
      <c r="L11756" s="10" t="s">
        <v>50427</v>
      </c>
      <c r="M11756" s="10">
        <v>1</v>
      </c>
      <c r="N11756" s="10"/>
      <c r="O11756" s="10"/>
      <c r="P11756" s="10" t="s">
        <v>50428</v>
      </c>
      <c r="Q11756" s="10"/>
      <c r="R11756" s="10" t="s">
        <v>50429</v>
      </c>
      <c r="S11756" s="10" t="s">
        <v>53</v>
      </c>
      <c r="T11756" s="10" t="s">
        <v>54</v>
      </c>
    </row>
    <row r="11757" spans="1:20" ht="14.5" x14ac:dyDescent="0.35">
      <c r="A11757" s="10" t="s">
        <v>50430</v>
      </c>
      <c r="B11757" s="10" t="str">
        <f>"9781138354791"</f>
        <v>9781138354791</v>
      </c>
      <c r="C11757" s="10" t="str">
        <f>"9780429755293"</f>
        <v>9780429755293</v>
      </c>
      <c r="D11757" s="10" t="s">
        <v>6350</v>
      </c>
      <c r="E11757" s="10" t="s">
        <v>6351</v>
      </c>
      <c r="F11757" s="10" t="s">
        <v>3967</v>
      </c>
      <c r="G11757" s="10" t="s">
        <v>6352</v>
      </c>
      <c r="H11757" s="11">
        <v>43773</v>
      </c>
      <c r="I11757" s="10">
        <v>2020</v>
      </c>
      <c r="J11757" s="10" t="s">
        <v>6353</v>
      </c>
      <c r="K11757" s="10">
        <v>155</v>
      </c>
      <c r="L11757" s="10" t="s">
        <v>50431</v>
      </c>
      <c r="M11757" s="10">
        <v>2</v>
      </c>
      <c r="N11757" s="10"/>
      <c r="O11757" s="10"/>
      <c r="P11757" s="10" t="s">
        <v>50432</v>
      </c>
      <c r="Q11757" s="10">
        <v>1.4330000000000001</v>
      </c>
      <c r="R11757" s="10" t="s">
        <v>15710</v>
      </c>
      <c r="S11757" s="10" t="s">
        <v>53</v>
      </c>
      <c r="T11757" s="10" t="s">
        <v>19372</v>
      </c>
    </row>
    <row r="11758" spans="1:20" ht="14.5" x14ac:dyDescent="0.35">
      <c r="A11758" s="10" t="s">
        <v>50433</v>
      </c>
      <c r="B11758" s="10" t="str">
        <f>"9781949539318"</f>
        <v>9781949539318</v>
      </c>
      <c r="C11758" s="10" t="str">
        <f>"9781949539325"</f>
        <v>9781949539325</v>
      </c>
      <c r="D11758" s="10" t="s">
        <v>37580</v>
      </c>
      <c r="E11758" s="10" t="s">
        <v>37581</v>
      </c>
      <c r="F11758" s="10" t="s">
        <v>37623</v>
      </c>
      <c r="G11758" s="10" t="s">
        <v>6317</v>
      </c>
      <c r="H11758" s="11">
        <v>43777</v>
      </c>
      <c r="I11758" s="10">
        <v>2020</v>
      </c>
      <c r="J11758" s="10" t="s">
        <v>37581</v>
      </c>
      <c r="K11758" s="10">
        <v>152</v>
      </c>
      <c r="L11758" s="10" t="s">
        <v>50434</v>
      </c>
      <c r="M11758" s="10">
        <v>1</v>
      </c>
      <c r="N11758" s="10"/>
      <c r="O11758" s="10"/>
      <c r="P11758" s="10" t="s">
        <v>50435</v>
      </c>
      <c r="Q11758" s="10">
        <v>371.10199999999998</v>
      </c>
      <c r="R11758" s="10" t="s">
        <v>50436</v>
      </c>
      <c r="S11758" s="10" t="s">
        <v>53</v>
      </c>
      <c r="T11758" s="10" t="s">
        <v>54</v>
      </c>
    </row>
    <row r="11759" spans="1:20" ht="14.5" x14ac:dyDescent="0.35">
      <c r="A11759" s="10" t="s">
        <v>50437</v>
      </c>
      <c r="B11759" s="10" t="str">
        <f>"9781978801509"</f>
        <v>9781978801509</v>
      </c>
      <c r="C11759" s="10" t="str">
        <f>"9781978801547"</f>
        <v>9781978801547</v>
      </c>
      <c r="D11759" s="10" t="s">
        <v>12251</v>
      </c>
      <c r="E11759" s="10" t="s">
        <v>12251</v>
      </c>
      <c r="F11759" s="10" t="s">
        <v>12451</v>
      </c>
      <c r="G11759" s="10" t="s">
        <v>6317</v>
      </c>
      <c r="H11759" s="11">
        <v>43409</v>
      </c>
      <c r="I11759" s="10">
        <v>2019</v>
      </c>
      <c r="J11759" s="10" t="s">
        <v>12251</v>
      </c>
      <c r="K11759" s="10">
        <v>129</v>
      </c>
      <c r="L11759" s="10" t="s">
        <v>17550</v>
      </c>
      <c r="M11759" s="10">
        <v>1</v>
      </c>
      <c r="N11759" s="10"/>
      <c r="O11759" s="10"/>
      <c r="P11759" s="10" t="s">
        <v>50438</v>
      </c>
      <c r="Q11759" s="10">
        <v>378.101</v>
      </c>
      <c r="R11759" s="10" t="s">
        <v>50439</v>
      </c>
      <c r="S11759" s="10" t="s">
        <v>53</v>
      </c>
      <c r="T11759" s="10" t="s">
        <v>54</v>
      </c>
    </row>
    <row r="11760" spans="1:20" ht="14.5" x14ac:dyDescent="0.35">
      <c r="A11760" s="10" t="s">
        <v>50440</v>
      </c>
      <c r="B11760" s="10" t="str">
        <f>"9780813590264"</f>
        <v>9780813590264</v>
      </c>
      <c r="C11760" s="10" t="str">
        <f>"9780813590288"</f>
        <v>9780813590288</v>
      </c>
      <c r="D11760" s="10" t="s">
        <v>12251</v>
      </c>
      <c r="E11760" s="10" t="s">
        <v>12251</v>
      </c>
      <c r="F11760" s="10" t="s">
        <v>12451</v>
      </c>
      <c r="G11760" s="10" t="s">
        <v>6317</v>
      </c>
      <c r="H11760" s="11">
        <v>43500</v>
      </c>
      <c r="I11760" s="10">
        <v>2019</v>
      </c>
      <c r="J11760" s="10" t="s">
        <v>12251</v>
      </c>
      <c r="K11760" s="10">
        <v>217</v>
      </c>
      <c r="L11760" s="10" t="s">
        <v>50441</v>
      </c>
      <c r="M11760" s="10">
        <v>1</v>
      </c>
      <c r="N11760" s="10" t="s">
        <v>50442</v>
      </c>
      <c r="O11760" s="10"/>
      <c r="P11760" s="10" t="s">
        <v>21059</v>
      </c>
      <c r="Q11760" s="10">
        <v>379.26097299999998</v>
      </c>
      <c r="R11760" s="10"/>
      <c r="S11760" s="10" t="s">
        <v>53</v>
      </c>
      <c r="T11760" s="10" t="s">
        <v>54</v>
      </c>
    </row>
    <row r="11761" spans="1:20" ht="14.5" x14ac:dyDescent="0.35">
      <c r="A11761" s="10" t="s">
        <v>50443</v>
      </c>
      <c r="B11761" s="10" t="str">
        <f>"9780813593500"</f>
        <v>9780813593500</v>
      </c>
      <c r="C11761" s="10" t="str">
        <f>"9780813593531"</f>
        <v>9780813593531</v>
      </c>
      <c r="D11761" s="10" t="s">
        <v>12251</v>
      </c>
      <c r="E11761" s="10" t="s">
        <v>12251</v>
      </c>
      <c r="F11761" s="10" t="s">
        <v>12451</v>
      </c>
      <c r="G11761" s="10" t="s">
        <v>6317</v>
      </c>
      <c r="H11761" s="11">
        <v>43588</v>
      </c>
      <c r="I11761" s="10">
        <v>2019</v>
      </c>
      <c r="J11761" s="10" t="s">
        <v>12251</v>
      </c>
      <c r="K11761" s="10">
        <v>217</v>
      </c>
      <c r="L11761" s="10" t="s">
        <v>50444</v>
      </c>
      <c r="M11761" s="10">
        <v>1</v>
      </c>
      <c r="N11761" s="10" t="s">
        <v>42697</v>
      </c>
      <c r="O11761" s="10"/>
      <c r="P11761" s="10" t="s">
        <v>19049</v>
      </c>
      <c r="Q11761" s="10"/>
      <c r="R11761" s="10"/>
      <c r="S11761" s="10" t="s">
        <v>53</v>
      </c>
      <c r="T11761" s="10" t="s">
        <v>54</v>
      </c>
    </row>
    <row r="11762" spans="1:20" ht="14.5" x14ac:dyDescent="0.35">
      <c r="A11762" s="10" t="s">
        <v>50445</v>
      </c>
      <c r="B11762" s="10" t="str">
        <f>"9781978805682"</f>
        <v>9781978805682</v>
      </c>
      <c r="C11762" s="10" t="str">
        <f>"9781978805712"</f>
        <v>9781978805712</v>
      </c>
      <c r="D11762" s="10" t="s">
        <v>12251</v>
      </c>
      <c r="E11762" s="10" t="s">
        <v>12251</v>
      </c>
      <c r="F11762" s="10" t="s">
        <v>12451</v>
      </c>
      <c r="G11762" s="10" t="s">
        <v>6317</v>
      </c>
      <c r="H11762" s="11">
        <v>43770</v>
      </c>
      <c r="I11762" s="10">
        <v>2020</v>
      </c>
      <c r="J11762" s="10" t="s">
        <v>12251</v>
      </c>
      <c r="K11762" s="10">
        <v>281</v>
      </c>
      <c r="L11762" s="10" t="s">
        <v>50446</v>
      </c>
      <c r="M11762" s="10">
        <v>1</v>
      </c>
      <c r="N11762" s="10"/>
      <c r="O11762" s="10"/>
      <c r="P11762" s="10" t="s">
        <v>30774</v>
      </c>
      <c r="Q11762" s="10" t="s">
        <v>24099</v>
      </c>
      <c r="R11762" s="10"/>
      <c r="S11762" s="10" t="s">
        <v>53</v>
      </c>
      <c r="T11762" s="10" t="s">
        <v>9608</v>
      </c>
    </row>
    <row r="11763" spans="1:20" ht="14.5" x14ac:dyDescent="0.35">
      <c r="A11763" s="10" t="s">
        <v>50447</v>
      </c>
      <c r="B11763" s="10" t="str">
        <f>"9780813599922"</f>
        <v>9780813599922</v>
      </c>
      <c r="C11763" s="10" t="str">
        <f>"9780813599953"</f>
        <v>9780813599953</v>
      </c>
      <c r="D11763" s="10" t="s">
        <v>12251</v>
      </c>
      <c r="E11763" s="10" t="s">
        <v>12251</v>
      </c>
      <c r="F11763" s="10" t="s">
        <v>12451</v>
      </c>
      <c r="G11763" s="10" t="s">
        <v>6317</v>
      </c>
      <c r="H11763" s="11">
        <v>43350</v>
      </c>
      <c r="I11763" s="10">
        <v>2018</v>
      </c>
      <c r="J11763" s="10" t="s">
        <v>12251</v>
      </c>
      <c r="K11763" s="10">
        <v>193</v>
      </c>
      <c r="L11763" s="10" t="s">
        <v>50448</v>
      </c>
      <c r="M11763" s="10">
        <v>1</v>
      </c>
      <c r="N11763" s="10"/>
      <c r="O11763" s="10"/>
      <c r="P11763" s="10" t="s">
        <v>19049</v>
      </c>
      <c r="Q11763" s="10"/>
      <c r="R11763" s="10"/>
      <c r="S11763" s="10" t="s">
        <v>53</v>
      </c>
      <c r="T11763" s="10" t="s">
        <v>54</v>
      </c>
    </row>
    <row r="11764" spans="1:20" ht="14.5" x14ac:dyDescent="0.35">
      <c r="A11764" s="10" t="s">
        <v>50449</v>
      </c>
      <c r="B11764" s="10" t="str">
        <f>"9781838671051"</f>
        <v>9781838671051</v>
      </c>
      <c r="C11764" s="10" t="str">
        <f>"9781838671020"</f>
        <v>9781838671020</v>
      </c>
      <c r="D11764" s="10" t="s">
        <v>8699</v>
      </c>
      <c r="E11764" s="10" t="s">
        <v>8699</v>
      </c>
      <c r="F11764" s="10" t="s">
        <v>559</v>
      </c>
      <c r="G11764" s="10" t="s">
        <v>6352</v>
      </c>
      <c r="H11764" s="11">
        <v>43770</v>
      </c>
      <c r="I11764" s="10">
        <v>2020</v>
      </c>
      <c r="J11764" s="10" t="s">
        <v>8699</v>
      </c>
      <c r="K11764" s="10">
        <v>169</v>
      </c>
      <c r="L11764" s="10" t="s">
        <v>50450</v>
      </c>
      <c r="M11764" s="10">
        <v>1</v>
      </c>
      <c r="N11764" s="10" t="s">
        <v>46840</v>
      </c>
      <c r="O11764" s="10"/>
      <c r="P11764" s="10" t="s">
        <v>50451</v>
      </c>
      <c r="Q11764" s="10">
        <v>379.2</v>
      </c>
      <c r="R11764" s="10" t="s">
        <v>50452</v>
      </c>
      <c r="S11764" s="10" t="s">
        <v>53</v>
      </c>
      <c r="T11764" s="10" t="s">
        <v>54</v>
      </c>
    </row>
    <row r="11765" spans="1:20" ht="14.5" x14ac:dyDescent="0.35">
      <c r="A11765" s="10" t="s">
        <v>50453</v>
      </c>
      <c r="B11765" s="10" t="str">
        <f>"9789004396159"</f>
        <v>9789004396159</v>
      </c>
      <c r="C11765" s="10" t="str">
        <f>"9789004416765"</f>
        <v>9789004416765</v>
      </c>
      <c r="D11765" s="10" t="s">
        <v>8564</v>
      </c>
      <c r="E11765" s="10" t="s">
        <v>8565</v>
      </c>
      <c r="F11765" s="10" t="s">
        <v>1420</v>
      </c>
      <c r="G11765" s="10" t="s">
        <v>6317</v>
      </c>
      <c r="H11765" s="11">
        <v>43734</v>
      </c>
      <c r="I11765" s="10">
        <v>2020</v>
      </c>
      <c r="J11765" s="10" t="s">
        <v>33259</v>
      </c>
      <c r="K11765" s="10">
        <v>128</v>
      </c>
      <c r="L11765" s="10" t="s">
        <v>50454</v>
      </c>
      <c r="M11765" s="10">
        <v>1</v>
      </c>
      <c r="N11765" s="10" t="s">
        <v>48242</v>
      </c>
      <c r="O11765" s="10">
        <v>3</v>
      </c>
      <c r="P11765" s="10" t="s">
        <v>50455</v>
      </c>
      <c r="Q11765" s="10"/>
      <c r="R11765" s="10" t="s">
        <v>50456</v>
      </c>
      <c r="S11765" s="10" t="s">
        <v>53</v>
      </c>
      <c r="T11765" s="10" t="s">
        <v>54</v>
      </c>
    </row>
    <row r="11766" spans="1:20" ht="14.5" x14ac:dyDescent="0.35">
      <c r="A11766" s="10" t="s">
        <v>50457</v>
      </c>
      <c r="B11766" s="10" t="str">
        <f>"9781947604797"</f>
        <v>9781947604797</v>
      </c>
      <c r="C11766" s="10" t="str">
        <f>"9781947604803"</f>
        <v>9781947604803</v>
      </c>
      <c r="D11766" s="10" t="s">
        <v>37580</v>
      </c>
      <c r="E11766" s="10" t="s">
        <v>37581</v>
      </c>
      <c r="F11766" s="10" t="s">
        <v>37623</v>
      </c>
      <c r="G11766" s="10" t="s">
        <v>6317</v>
      </c>
      <c r="H11766" s="11">
        <v>43777</v>
      </c>
      <c r="I11766" s="10">
        <v>2020</v>
      </c>
      <c r="J11766" s="10" t="s">
        <v>37581</v>
      </c>
      <c r="K11766" s="10">
        <v>248</v>
      </c>
      <c r="L11766" s="10" t="s">
        <v>43444</v>
      </c>
      <c r="M11766" s="10">
        <v>1</v>
      </c>
      <c r="N11766" s="10"/>
      <c r="O11766" s="10"/>
      <c r="P11766" s="10" t="s">
        <v>50458</v>
      </c>
      <c r="Q11766" s="10"/>
      <c r="R11766" s="10" t="s">
        <v>50459</v>
      </c>
      <c r="S11766" s="10" t="s">
        <v>53</v>
      </c>
      <c r="T11766" s="10" t="s">
        <v>54</v>
      </c>
    </row>
    <row r="11767" spans="1:20" ht="14.5" x14ac:dyDescent="0.35">
      <c r="A11767" s="10" t="s">
        <v>50460</v>
      </c>
      <c r="B11767" s="10" t="str">
        <f>"9789292617486"</f>
        <v>9789292617486</v>
      </c>
      <c r="C11767" s="10" t="str">
        <f>"9789292617493"</f>
        <v>9789292617493</v>
      </c>
      <c r="D11767" s="10" t="s">
        <v>41491</v>
      </c>
      <c r="E11767" s="10" t="s">
        <v>41491</v>
      </c>
      <c r="F11767" s="10" t="s">
        <v>530</v>
      </c>
      <c r="G11767" s="10" t="s">
        <v>41492</v>
      </c>
      <c r="H11767" s="11">
        <v>43829</v>
      </c>
      <c r="I11767" s="10">
        <v>2019</v>
      </c>
      <c r="J11767" s="10" t="s">
        <v>41491</v>
      </c>
      <c r="K11767" s="10">
        <v>52</v>
      </c>
      <c r="L11767" s="10"/>
      <c r="M11767" s="10">
        <v>1</v>
      </c>
      <c r="N11767" s="10"/>
      <c r="O11767" s="10"/>
      <c r="P11767" s="10" t="s">
        <v>50461</v>
      </c>
      <c r="Q11767" s="10">
        <v>370</v>
      </c>
      <c r="R11767" s="10" t="s">
        <v>13858</v>
      </c>
      <c r="S11767" s="10" t="s">
        <v>53</v>
      </c>
      <c r="T11767" s="10" t="s">
        <v>54</v>
      </c>
    </row>
    <row r="11768" spans="1:20" ht="14.5" x14ac:dyDescent="0.35">
      <c r="A11768" s="10" t="s">
        <v>50462</v>
      </c>
      <c r="B11768" s="10" t="str">
        <f>"9781501716270"</f>
        <v>9781501716270</v>
      </c>
      <c r="C11768" s="10" t="str">
        <f>"9781501716287"</f>
        <v>9781501716287</v>
      </c>
      <c r="D11768" s="10" t="s">
        <v>9533</v>
      </c>
      <c r="E11768" s="10" t="s">
        <v>5258</v>
      </c>
      <c r="F11768" s="10" t="s">
        <v>2536</v>
      </c>
      <c r="G11768" s="10" t="s">
        <v>6317</v>
      </c>
      <c r="H11768" s="11">
        <v>43936</v>
      </c>
      <c r="I11768" s="10">
        <v>2020</v>
      </c>
      <c r="J11768" s="10" t="s">
        <v>5258</v>
      </c>
      <c r="K11768" s="10">
        <v>559</v>
      </c>
      <c r="L11768" s="10" t="s">
        <v>50463</v>
      </c>
      <c r="M11768" s="10">
        <v>1</v>
      </c>
      <c r="N11768" s="10"/>
      <c r="O11768" s="10"/>
      <c r="P11768" s="10" t="s">
        <v>50464</v>
      </c>
      <c r="Q11768" s="10">
        <v>595.70920000000001</v>
      </c>
      <c r="R11768" s="10" t="s">
        <v>50465</v>
      </c>
      <c r="S11768" s="10" t="s">
        <v>53</v>
      </c>
      <c r="T11768" s="10" t="s">
        <v>11497</v>
      </c>
    </row>
    <row r="11769" spans="1:20" ht="14.5" x14ac:dyDescent="0.35">
      <c r="A11769" s="10" t="s">
        <v>50466</v>
      </c>
      <c r="B11769" s="10" t="str">
        <f>"9781501748394"</f>
        <v>9781501748394</v>
      </c>
      <c r="C11769" s="10" t="str">
        <f>"9781501748417"</f>
        <v>9781501748417</v>
      </c>
      <c r="D11769" s="10" t="s">
        <v>9533</v>
      </c>
      <c r="E11769" s="10" t="s">
        <v>5258</v>
      </c>
      <c r="F11769" s="10" t="s">
        <v>2536</v>
      </c>
      <c r="G11769" s="10" t="s">
        <v>6317</v>
      </c>
      <c r="H11769" s="11">
        <v>43936</v>
      </c>
      <c r="I11769" s="10">
        <v>2021</v>
      </c>
      <c r="J11769" s="10" t="s">
        <v>5258</v>
      </c>
      <c r="K11769" s="10">
        <v>272</v>
      </c>
      <c r="L11769" s="10" t="s">
        <v>38142</v>
      </c>
      <c r="M11769" s="10">
        <v>1</v>
      </c>
      <c r="N11769" s="10" t="s">
        <v>49229</v>
      </c>
      <c r="O11769" s="10"/>
      <c r="P11769" s="10" t="s">
        <v>50467</v>
      </c>
      <c r="Q11769" s="10">
        <v>371.01097309045002</v>
      </c>
      <c r="R11769" s="10" t="s">
        <v>50468</v>
      </c>
      <c r="S11769" s="10" t="s">
        <v>53</v>
      </c>
      <c r="T11769" s="10" t="s">
        <v>54</v>
      </c>
    </row>
    <row r="11770" spans="1:20" ht="14.5" x14ac:dyDescent="0.35">
      <c r="A11770" s="10" t="s">
        <v>50469</v>
      </c>
      <c r="B11770" s="10" t="str">
        <f>"9780801439483"</f>
        <v>9780801439483</v>
      </c>
      <c r="C11770" s="10" t="str">
        <f>"9781501723841"</f>
        <v>9781501723841</v>
      </c>
      <c r="D11770" s="10" t="s">
        <v>9533</v>
      </c>
      <c r="E11770" s="10" t="s">
        <v>5258</v>
      </c>
      <c r="F11770" s="10" t="s">
        <v>2536</v>
      </c>
      <c r="G11770" s="10" t="s">
        <v>6317</v>
      </c>
      <c r="H11770" s="11">
        <v>37194</v>
      </c>
      <c r="I11770" s="10">
        <v>2001</v>
      </c>
      <c r="J11770" s="10" t="s">
        <v>5258</v>
      </c>
      <c r="K11770" s="10">
        <v>258</v>
      </c>
      <c r="L11770" s="10" t="s">
        <v>50470</v>
      </c>
      <c r="M11770" s="10">
        <v>1</v>
      </c>
      <c r="N11770" s="10"/>
      <c r="O11770" s="10"/>
      <c r="P11770" s="10" t="s">
        <v>50471</v>
      </c>
      <c r="Q11770" s="10" t="s">
        <v>32577</v>
      </c>
      <c r="R11770" s="10" t="s">
        <v>50472</v>
      </c>
      <c r="S11770" s="10" t="s">
        <v>53</v>
      </c>
      <c r="T11770" s="10" t="s">
        <v>23083</v>
      </c>
    </row>
    <row r="11771" spans="1:20" ht="14.5" x14ac:dyDescent="0.35">
      <c r="A11771" s="10" t="s">
        <v>50473</v>
      </c>
      <c r="B11771" s="10" t="str">
        <f>"9781938113635"</f>
        <v>9781938113635</v>
      </c>
      <c r="C11771" s="10" t="str">
        <f>"9781938113642"</f>
        <v>9781938113642</v>
      </c>
      <c r="D11771" s="10" t="s">
        <v>9533</v>
      </c>
      <c r="E11771" s="10" t="s">
        <v>5950</v>
      </c>
      <c r="F11771" s="10" t="s">
        <v>25348</v>
      </c>
      <c r="G11771" s="10" t="s">
        <v>6317</v>
      </c>
      <c r="H11771" s="11">
        <v>44061</v>
      </c>
      <c r="I11771" s="10">
        <v>2020</v>
      </c>
      <c r="J11771" s="10" t="s">
        <v>5950</v>
      </c>
      <c r="K11771" s="10">
        <v>238</v>
      </c>
      <c r="L11771" s="10" t="s">
        <v>50474</v>
      </c>
      <c r="M11771" s="10">
        <v>1</v>
      </c>
      <c r="N11771" s="10"/>
      <c r="O11771" s="10"/>
      <c r="P11771" s="10" t="s">
        <v>50475</v>
      </c>
      <c r="Q11771" s="10">
        <v>810.80354999999895</v>
      </c>
      <c r="R11771" s="10" t="s">
        <v>50476</v>
      </c>
      <c r="S11771" s="10" t="s">
        <v>53</v>
      </c>
      <c r="T11771" s="10" t="s">
        <v>1166</v>
      </c>
    </row>
    <row r="11772" spans="1:20" ht="14.5" x14ac:dyDescent="0.35">
      <c r="A11772" s="10" t="s">
        <v>50477</v>
      </c>
      <c r="B11772" s="10" t="str">
        <f>"9781785926136"</f>
        <v>9781785926136</v>
      </c>
      <c r="C11772" s="10" t="str">
        <f>"9781785926143"</f>
        <v>9781785926143</v>
      </c>
      <c r="D11772" s="10" t="s">
        <v>10516</v>
      </c>
      <c r="E11772" s="10" t="s">
        <v>10516</v>
      </c>
      <c r="F11772" s="10" t="s">
        <v>139</v>
      </c>
      <c r="G11772" s="10" t="s">
        <v>6352</v>
      </c>
      <c r="H11772" s="11">
        <v>43818</v>
      </c>
      <c r="I11772" s="10">
        <v>2019</v>
      </c>
      <c r="J11772" s="10" t="s">
        <v>10516</v>
      </c>
      <c r="K11772" s="10">
        <v>274</v>
      </c>
      <c r="L11772" s="10" t="s">
        <v>50478</v>
      </c>
      <c r="M11772" s="10">
        <v>1</v>
      </c>
      <c r="N11772" s="10"/>
      <c r="O11772" s="10"/>
      <c r="P11772" s="10"/>
      <c r="Q11772" s="10">
        <v>372.50490000000002</v>
      </c>
      <c r="R11772" s="10"/>
      <c r="S11772" s="10" t="s">
        <v>53</v>
      </c>
      <c r="T11772" s="10" t="s">
        <v>54</v>
      </c>
    </row>
    <row r="11773" spans="1:20" ht="14.5" x14ac:dyDescent="0.35">
      <c r="A11773" s="10" t="s">
        <v>50479</v>
      </c>
      <c r="B11773" s="10" t="str">
        <f>""</f>
        <v/>
      </c>
      <c r="C11773" s="10" t="str">
        <f>"9781938113468"</f>
        <v>9781938113468</v>
      </c>
      <c r="D11773" s="10" t="s">
        <v>9533</v>
      </c>
      <c r="E11773" s="10" t="s">
        <v>5950</v>
      </c>
      <c r="F11773" s="10" t="s">
        <v>25348</v>
      </c>
      <c r="G11773" s="10" t="s">
        <v>6317</v>
      </c>
      <c r="H11773" s="11">
        <v>43767</v>
      </c>
      <c r="I11773" s="10">
        <v>2019</v>
      </c>
      <c r="J11773" s="10" t="s">
        <v>5950</v>
      </c>
      <c r="K11773" s="10">
        <v>176</v>
      </c>
      <c r="L11773" s="10" t="s">
        <v>50480</v>
      </c>
      <c r="M11773" s="10">
        <v>1</v>
      </c>
      <c r="N11773" s="10"/>
      <c r="O11773" s="10"/>
      <c r="P11773" s="10" t="s">
        <v>50481</v>
      </c>
      <c r="Q11773" s="10">
        <v>372.21</v>
      </c>
      <c r="R11773" s="10" t="s">
        <v>50482</v>
      </c>
      <c r="S11773" s="10" t="s">
        <v>53</v>
      </c>
      <c r="T11773" s="10" t="s">
        <v>54</v>
      </c>
    </row>
    <row r="11774" spans="1:20" ht="14.5" x14ac:dyDescent="0.35">
      <c r="A11774" s="10" t="s">
        <v>50483</v>
      </c>
      <c r="B11774" s="10" t="str">
        <f>""</f>
        <v/>
      </c>
      <c r="C11774" s="10" t="str">
        <f>"9781938113604"</f>
        <v>9781938113604</v>
      </c>
      <c r="D11774" s="10" t="s">
        <v>9533</v>
      </c>
      <c r="E11774" s="10" t="s">
        <v>5950</v>
      </c>
      <c r="F11774" s="10" t="s">
        <v>25348</v>
      </c>
      <c r="G11774" s="10" t="s">
        <v>6317</v>
      </c>
      <c r="H11774" s="11">
        <v>43767</v>
      </c>
      <c r="I11774" s="10">
        <v>2019</v>
      </c>
      <c r="J11774" s="10" t="s">
        <v>5950</v>
      </c>
      <c r="K11774" s="10">
        <v>178</v>
      </c>
      <c r="L11774" s="10" t="s">
        <v>50484</v>
      </c>
      <c r="M11774" s="10">
        <v>1</v>
      </c>
      <c r="N11774" s="10"/>
      <c r="O11774" s="10"/>
      <c r="P11774" s="10"/>
      <c r="Q11774" s="10"/>
      <c r="R11774" s="10"/>
      <c r="S11774" s="10" t="s">
        <v>53</v>
      </c>
      <c r="T11774" s="10" t="s">
        <v>54</v>
      </c>
    </row>
    <row r="11775" spans="1:20" ht="14.5" x14ac:dyDescent="0.35">
      <c r="A11775" s="10" t="s">
        <v>50485</v>
      </c>
      <c r="B11775" s="10" t="str">
        <f>"9781938113390"</f>
        <v>9781938113390</v>
      </c>
      <c r="C11775" s="10" t="str">
        <f>"9781938113406"</f>
        <v>9781938113406</v>
      </c>
      <c r="D11775" s="10" t="s">
        <v>9533</v>
      </c>
      <c r="E11775" s="10" t="s">
        <v>5950</v>
      </c>
      <c r="F11775" s="10" t="s">
        <v>25348</v>
      </c>
      <c r="G11775" s="10" t="s">
        <v>6317</v>
      </c>
      <c r="H11775" s="11">
        <v>43767</v>
      </c>
      <c r="I11775" s="10">
        <v>2019</v>
      </c>
      <c r="J11775" s="10" t="s">
        <v>5950</v>
      </c>
      <c r="K11775" s="10">
        <v>159</v>
      </c>
      <c r="L11775" s="10" t="s">
        <v>50486</v>
      </c>
      <c r="M11775" s="10">
        <v>1</v>
      </c>
      <c r="N11775" s="10" t="s">
        <v>50487</v>
      </c>
      <c r="O11775" s="10"/>
      <c r="P11775" s="10" t="s">
        <v>50488</v>
      </c>
      <c r="Q11775" s="10">
        <v>155.41800000000001</v>
      </c>
      <c r="R11775" s="10" t="s">
        <v>42367</v>
      </c>
      <c r="S11775" s="10" t="s">
        <v>53</v>
      </c>
      <c r="T11775" s="10" t="s">
        <v>6640</v>
      </c>
    </row>
    <row r="11776" spans="1:20" ht="14.5" x14ac:dyDescent="0.35">
      <c r="A11776" s="10" t="s">
        <v>50489</v>
      </c>
      <c r="B11776" s="10" t="str">
        <f>"9781938113192"</f>
        <v>9781938113192</v>
      </c>
      <c r="C11776" s="10" t="str">
        <f>"9781938113598"</f>
        <v>9781938113598</v>
      </c>
      <c r="D11776" s="10" t="s">
        <v>9533</v>
      </c>
      <c r="E11776" s="10" t="s">
        <v>5950</v>
      </c>
      <c r="F11776" s="10" t="s">
        <v>88</v>
      </c>
      <c r="G11776" s="10" t="s">
        <v>6317</v>
      </c>
      <c r="H11776" s="11">
        <v>43767</v>
      </c>
      <c r="I11776" s="10">
        <v>2016</v>
      </c>
      <c r="J11776" s="10" t="s">
        <v>5950</v>
      </c>
      <c r="K11776" s="10">
        <v>140</v>
      </c>
      <c r="L11776" s="10" t="s">
        <v>50490</v>
      </c>
      <c r="M11776" s="10">
        <v>1</v>
      </c>
      <c r="N11776" s="10"/>
      <c r="O11776" s="10"/>
      <c r="P11776" s="10" t="s">
        <v>50491</v>
      </c>
      <c r="Q11776" s="10">
        <v>371.10230000000001</v>
      </c>
      <c r="R11776" s="10" t="s">
        <v>50492</v>
      </c>
      <c r="S11776" s="10" t="s">
        <v>53</v>
      </c>
      <c r="T11776" s="10" t="s">
        <v>54</v>
      </c>
    </row>
    <row r="11777" spans="1:20" ht="14.5" x14ac:dyDescent="0.35">
      <c r="A11777" s="10" t="s">
        <v>50493</v>
      </c>
      <c r="B11777" s="10" t="str">
        <f>"9788073089214"</f>
        <v>9788073089214</v>
      </c>
      <c r="C11777" s="10" t="str">
        <f>"9788073089221"</f>
        <v>9788073089221</v>
      </c>
      <c r="D11777" s="10" t="s">
        <v>45230</v>
      </c>
      <c r="E11777" s="10" t="s">
        <v>50494</v>
      </c>
      <c r="F11777" s="10" t="s">
        <v>1796</v>
      </c>
      <c r="G11777" s="10" t="s">
        <v>30936</v>
      </c>
      <c r="H11777" s="11">
        <v>43647</v>
      </c>
      <c r="I11777" s="10">
        <v>2019</v>
      </c>
      <c r="J11777" s="10" t="s">
        <v>50493</v>
      </c>
      <c r="K11777" s="10">
        <v>208</v>
      </c>
      <c r="L11777" s="10" t="s">
        <v>50495</v>
      </c>
      <c r="M11777" s="10">
        <v>1</v>
      </c>
      <c r="N11777" s="10"/>
      <c r="O11777" s="10"/>
      <c r="P11777" s="10" t="s">
        <v>50496</v>
      </c>
      <c r="Q11777" s="10">
        <v>378</v>
      </c>
      <c r="R11777" s="10" t="s">
        <v>50497</v>
      </c>
      <c r="S11777" s="10" t="s">
        <v>4212</v>
      </c>
      <c r="T11777" s="10" t="s">
        <v>54</v>
      </c>
    </row>
    <row r="11778" spans="1:20" ht="14.5" x14ac:dyDescent="0.35">
      <c r="A11778" s="10" t="s">
        <v>50498</v>
      </c>
      <c r="B11778" s="10" t="str">
        <f>"9788073086503"</f>
        <v>9788073086503</v>
      </c>
      <c r="C11778" s="10" t="str">
        <f>"9788073088293"</f>
        <v>9788073088293</v>
      </c>
      <c r="D11778" s="10" t="s">
        <v>45230</v>
      </c>
      <c r="E11778" s="10" t="s">
        <v>50494</v>
      </c>
      <c r="F11778" s="10" t="s">
        <v>1796</v>
      </c>
      <c r="G11778" s="10" t="s">
        <v>30936</v>
      </c>
      <c r="H11778" s="11">
        <v>42552</v>
      </c>
      <c r="I11778" s="10">
        <v>2016</v>
      </c>
      <c r="J11778" s="10" t="s">
        <v>50499</v>
      </c>
      <c r="K11778" s="10">
        <v>340</v>
      </c>
      <c r="L11778" s="10" t="s">
        <v>50500</v>
      </c>
      <c r="M11778" s="10">
        <v>1</v>
      </c>
      <c r="N11778" s="10"/>
      <c r="O11778" s="10"/>
      <c r="P11778" s="10" t="s">
        <v>50501</v>
      </c>
      <c r="Q11778" s="10">
        <v>128.19999999999999</v>
      </c>
      <c r="R11778" s="10" t="s">
        <v>50502</v>
      </c>
      <c r="S11778" s="10" t="s">
        <v>4212</v>
      </c>
      <c r="T11778" s="10" t="s">
        <v>6534</v>
      </c>
    </row>
    <row r="11779" spans="1:20" ht="14.5" x14ac:dyDescent="0.35">
      <c r="A11779" s="10" t="s">
        <v>50503</v>
      </c>
      <c r="B11779" s="10" t="str">
        <f>"9788073084936"</f>
        <v>9788073084936</v>
      </c>
      <c r="C11779" s="10" t="str">
        <f>"9788073088279"</f>
        <v>9788073088279</v>
      </c>
      <c r="D11779" s="10" t="s">
        <v>45230</v>
      </c>
      <c r="E11779" s="10" t="s">
        <v>50494</v>
      </c>
      <c r="F11779" s="10" t="s">
        <v>1796</v>
      </c>
      <c r="G11779" s="10" t="s">
        <v>30936</v>
      </c>
      <c r="H11779" s="11">
        <v>41456</v>
      </c>
      <c r="I11779" s="10">
        <v>2013</v>
      </c>
      <c r="J11779" s="10" t="s">
        <v>50504</v>
      </c>
      <c r="K11779" s="10">
        <v>172</v>
      </c>
      <c r="L11779" s="10" t="s">
        <v>50505</v>
      </c>
      <c r="M11779" s="10">
        <v>1</v>
      </c>
      <c r="N11779" s="10"/>
      <c r="O11779" s="10"/>
      <c r="P11779" s="10" t="s">
        <v>50506</v>
      </c>
      <c r="Q11779" s="10">
        <v>370.11599999999999</v>
      </c>
      <c r="R11779" s="10" t="s">
        <v>31027</v>
      </c>
      <c r="S11779" s="10" t="s">
        <v>4212</v>
      </c>
      <c r="T11779" s="10" t="s">
        <v>54</v>
      </c>
    </row>
    <row r="11780" spans="1:20" ht="14.5" x14ac:dyDescent="0.35">
      <c r="A11780" s="10" t="s">
        <v>50507</v>
      </c>
      <c r="B11780" s="10" t="str">
        <f>"9781464812347"</f>
        <v>9781464812347</v>
      </c>
      <c r="C11780" s="10" t="str">
        <f>"9781464812354"</f>
        <v>9781464812354</v>
      </c>
      <c r="D11780" s="10" t="s">
        <v>14731</v>
      </c>
      <c r="E11780" s="10" t="s">
        <v>14732</v>
      </c>
      <c r="F11780" s="10" t="s">
        <v>11765</v>
      </c>
      <c r="G11780" s="10" t="s">
        <v>6317</v>
      </c>
      <c r="H11780" s="11">
        <v>43740</v>
      </c>
      <c r="I11780" s="10">
        <v>2020</v>
      </c>
      <c r="J11780" s="10" t="s">
        <v>14732</v>
      </c>
      <c r="K11780" s="10">
        <v>335</v>
      </c>
      <c r="L11780" s="10" t="s">
        <v>50508</v>
      </c>
      <c r="M11780" s="10">
        <v>1</v>
      </c>
      <c r="N11780" s="10"/>
      <c r="O11780" s="10"/>
      <c r="P11780" s="10" t="s">
        <v>50509</v>
      </c>
      <c r="Q11780" s="10">
        <v>370.19097699999998</v>
      </c>
      <c r="R11780" s="10" t="s">
        <v>50510</v>
      </c>
      <c r="S11780" s="10" t="s">
        <v>53</v>
      </c>
      <c r="T11780" s="10" t="s">
        <v>54</v>
      </c>
    </row>
    <row r="11781" spans="1:20" ht="14.5" x14ac:dyDescent="0.35">
      <c r="A11781" s="10" t="s">
        <v>50511</v>
      </c>
      <c r="B11781" s="10" t="str">
        <f>"9781938113536"</f>
        <v>9781938113536</v>
      </c>
      <c r="C11781" s="10" t="str">
        <f>"9781938113543"</f>
        <v>9781938113543</v>
      </c>
      <c r="D11781" s="10" t="s">
        <v>9533</v>
      </c>
      <c r="E11781" s="10" t="s">
        <v>5950</v>
      </c>
      <c r="F11781" s="10" t="s">
        <v>25348</v>
      </c>
      <c r="G11781" s="10" t="s">
        <v>6317</v>
      </c>
      <c r="H11781" s="11">
        <v>43753</v>
      </c>
      <c r="I11781" s="10">
        <v>2019</v>
      </c>
      <c r="J11781" s="10" t="s">
        <v>5950</v>
      </c>
      <c r="K11781" s="10">
        <v>139</v>
      </c>
      <c r="L11781" s="10" t="s">
        <v>50512</v>
      </c>
      <c r="M11781" s="10">
        <v>1</v>
      </c>
      <c r="N11781" s="10"/>
      <c r="O11781" s="10"/>
      <c r="P11781" s="10" t="s">
        <v>50513</v>
      </c>
      <c r="Q11781" s="10">
        <v>372.21</v>
      </c>
      <c r="R11781" s="10" t="s">
        <v>50514</v>
      </c>
      <c r="S11781" s="10" t="s">
        <v>53</v>
      </c>
      <c r="T11781" s="10" t="s">
        <v>54</v>
      </c>
    </row>
    <row r="11782" spans="1:20" ht="14.5" x14ac:dyDescent="0.35">
      <c r="A11782" s="10" t="s">
        <v>50515</v>
      </c>
      <c r="B11782" s="10" t="str">
        <f>"9782763743776"</f>
        <v>9782763743776</v>
      </c>
      <c r="C11782" s="10" t="str">
        <f>"9782763743783"</f>
        <v>9782763743783</v>
      </c>
      <c r="D11782" s="10" t="s">
        <v>44215</v>
      </c>
      <c r="E11782" s="10" t="s">
        <v>44215</v>
      </c>
      <c r="F11782" s="10" t="s">
        <v>49233</v>
      </c>
      <c r="G11782" s="10" t="s">
        <v>9536</v>
      </c>
      <c r="H11782" s="11">
        <v>43647</v>
      </c>
      <c r="I11782" s="10">
        <v>2019</v>
      </c>
      <c r="J11782" s="10" t="s">
        <v>44215</v>
      </c>
      <c r="K11782" s="10">
        <v>118</v>
      </c>
      <c r="L11782" s="10" t="s">
        <v>50516</v>
      </c>
      <c r="M11782" s="10">
        <v>1</v>
      </c>
      <c r="N11782" s="10"/>
      <c r="O11782" s="10"/>
      <c r="P11782" s="10" t="s">
        <v>50517</v>
      </c>
      <c r="Q11782" s="10">
        <v>370.11200000000002</v>
      </c>
      <c r="R11782" s="10" t="s">
        <v>39476</v>
      </c>
      <c r="S11782" s="10" t="s">
        <v>5404</v>
      </c>
      <c r="T11782" s="10" t="s">
        <v>54</v>
      </c>
    </row>
    <row r="11783" spans="1:20" ht="14.5" x14ac:dyDescent="0.35">
      <c r="A11783" s="10" t="s">
        <v>50518</v>
      </c>
      <c r="B11783" s="10" t="str">
        <f>"9788024642833"</f>
        <v>9788024642833</v>
      </c>
      <c r="C11783" s="10" t="str">
        <f>"9788024643120"</f>
        <v>9788024643120</v>
      </c>
      <c r="D11783" s="10" t="s">
        <v>30935</v>
      </c>
      <c r="E11783" s="10" t="s">
        <v>30935</v>
      </c>
      <c r="F11783" s="10" t="s">
        <v>1796</v>
      </c>
      <c r="G11783" s="10" t="s">
        <v>30936</v>
      </c>
      <c r="H11783" s="11">
        <v>43586</v>
      </c>
      <c r="I11783" s="10">
        <v>2019</v>
      </c>
      <c r="J11783" s="10" t="s">
        <v>30935</v>
      </c>
      <c r="K11783" s="10">
        <v>305</v>
      </c>
      <c r="L11783" s="10" t="s">
        <v>50519</v>
      </c>
      <c r="M11783" s="10">
        <v>1</v>
      </c>
      <c r="N11783" s="10"/>
      <c r="O11783" s="10"/>
      <c r="P11783" s="10" t="s">
        <v>50520</v>
      </c>
      <c r="Q11783" s="10">
        <v>797.21</v>
      </c>
      <c r="R11783" s="10" t="s">
        <v>50521</v>
      </c>
      <c r="S11783" s="10" t="s">
        <v>4212</v>
      </c>
      <c r="T11783" s="10" t="s">
        <v>7340</v>
      </c>
    </row>
    <row r="11784" spans="1:20" ht="14.5" x14ac:dyDescent="0.35">
      <c r="A11784" s="10" t="s">
        <v>50522</v>
      </c>
      <c r="B11784" s="10" t="str">
        <f>"9781787697386"</f>
        <v>9781787697386</v>
      </c>
      <c r="C11784" s="10" t="str">
        <f>"9781787697355"</f>
        <v>9781787697355</v>
      </c>
      <c r="D11784" s="10" t="s">
        <v>8699</v>
      </c>
      <c r="E11784" s="10" t="s">
        <v>8699</v>
      </c>
      <c r="F11784" s="10" t="s">
        <v>559</v>
      </c>
      <c r="G11784" s="10" t="s">
        <v>6352</v>
      </c>
      <c r="H11784" s="11">
        <v>43783</v>
      </c>
      <c r="I11784" s="10">
        <v>2020</v>
      </c>
      <c r="J11784" s="10" t="s">
        <v>8699</v>
      </c>
      <c r="K11784" s="10">
        <v>174</v>
      </c>
      <c r="L11784" s="10" t="s">
        <v>50523</v>
      </c>
      <c r="M11784" s="10">
        <v>1</v>
      </c>
      <c r="N11784" s="10" t="s">
        <v>48609</v>
      </c>
      <c r="O11784" s="10"/>
      <c r="P11784" s="10" t="s">
        <v>50524</v>
      </c>
      <c r="Q11784" s="10">
        <v>371</v>
      </c>
      <c r="R11784" s="10" t="s">
        <v>6738</v>
      </c>
      <c r="S11784" s="10" t="s">
        <v>53</v>
      </c>
      <c r="T11784" s="10" t="s">
        <v>54</v>
      </c>
    </row>
    <row r="11785" spans="1:20" ht="14.5" x14ac:dyDescent="0.35">
      <c r="A11785" s="10" t="s">
        <v>50525</v>
      </c>
      <c r="B11785" s="10" t="str">
        <f>"9781433691591"</f>
        <v>9781433691591</v>
      </c>
      <c r="C11785" s="10" t="str">
        <f>"9781433691607"</f>
        <v>9781433691607</v>
      </c>
      <c r="D11785" s="10" t="s">
        <v>50526</v>
      </c>
      <c r="E11785" s="10" t="s">
        <v>50526</v>
      </c>
      <c r="F11785" s="10" t="s">
        <v>403</v>
      </c>
      <c r="G11785" s="10" t="s">
        <v>6317</v>
      </c>
      <c r="H11785" s="11">
        <v>43040</v>
      </c>
      <c r="I11785" s="10">
        <v>2017</v>
      </c>
      <c r="J11785" s="10" t="s">
        <v>50527</v>
      </c>
      <c r="K11785" s="10">
        <v>163</v>
      </c>
      <c r="L11785" s="10" t="s">
        <v>50528</v>
      </c>
      <c r="M11785" s="10">
        <v>1</v>
      </c>
      <c r="N11785" s="10"/>
      <c r="O11785" s="10"/>
      <c r="P11785" s="10" t="s">
        <v>50529</v>
      </c>
      <c r="Q11785" s="10">
        <v>230.0711</v>
      </c>
      <c r="R11785" s="10" t="s">
        <v>50530</v>
      </c>
      <c r="S11785" s="10" t="s">
        <v>53</v>
      </c>
      <c r="T11785" s="10" t="s">
        <v>8346</v>
      </c>
    </row>
    <row r="11786" spans="1:20" ht="14.5" x14ac:dyDescent="0.35">
      <c r="A11786" s="10" t="s">
        <v>50531</v>
      </c>
      <c r="B11786" s="10" t="str">
        <f>"9781949539219"</f>
        <v>9781949539219</v>
      </c>
      <c r="C11786" s="10" t="str">
        <f>"9781949539226"</f>
        <v>9781949539226</v>
      </c>
      <c r="D11786" s="10" t="s">
        <v>37580</v>
      </c>
      <c r="E11786" s="10" t="s">
        <v>37581</v>
      </c>
      <c r="F11786" s="10" t="s">
        <v>37623</v>
      </c>
      <c r="G11786" s="10" t="s">
        <v>6317</v>
      </c>
      <c r="H11786" s="11">
        <v>43791</v>
      </c>
      <c r="I11786" s="10">
        <v>2020</v>
      </c>
      <c r="J11786" s="10" t="s">
        <v>37581</v>
      </c>
      <c r="K11786" s="10">
        <v>192</v>
      </c>
      <c r="L11786" s="10" t="s">
        <v>50532</v>
      </c>
      <c r="M11786" s="10">
        <v>1</v>
      </c>
      <c r="N11786" s="10"/>
      <c r="O11786" s="10"/>
      <c r="P11786" s="10" t="s">
        <v>48134</v>
      </c>
      <c r="Q11786" s="10">
        <v>370.154</v>
      </c>
      <c r="R11786" s="10" t="s">
        <v>50533</v>
      </c>
      <c r="S11786" s="10" t="s">
        <v>53</v>
      </c>
      <c r="T11786" s="10" t="s">
        <v>54</v>
      </c>
    </row>
    <row r="11787" spans="1:20" ht="14.5" x14ac:dyDescent="0.35">
      <c r="A11787" s="10" t="s">
        <v>50534</v>
      </c>
      <c r="B11787" s="10" t="str">
        <f>"9781949539011"</f>
        <v>9781949539011</v>
      </c>
      <c r="C11787" s="10" t="str">
        <f>"9781949539028"</f>
        <v>9781949539028</v>
      </c>
      <c r="D11787" s="10" t="s">
        <v>37580</v>
      </c>
      <c r="E11787" s="10" t="s">
        <v>37581</v>
      </c>
      <c r="F11787" s="10" t="s">
        <v>37623</v>
      </c>
      <c r="G11787" s="10" t="s">
        <v>6317</v>
      </c>
      <c r="H11787" s="11">
        <v>43784</v>
      </c>
      <c r="I11787" s="10">
        <v>2020</v>
      </c>
      <c r="J11787" s="10" t="s">
        <v>37581</v>
      </c>
      <c r="K11787" s="10">
        <v>200</v>
      </c>
      <c r="L11787" s="10" t="s">
        <v>50535</v>
      </c>
      <c r="M11787" s="10">
        <v>1</v>
      </c>
      <c r="N11787" s="10"/>
      <c r="O11787" s="10"/>
      <c r="P11787" s="10" t="s">
        <v>50536</v>
      </c>
      <c r="Q11787" s="10">
        <v>507.12729999999999</v>
      </c>
      <c r="R11787" s="10" t="s">
        <v>50537</v>
      </c>
      <c r="S11787" s="10" t="s">
        <v>53</v>
      </c>
      <c r="T11787" s="10" t="s">
        <v>9608</v>
      </c>
    </row>
    <row r="11788" spans="1:20" ht="14.5" x14ac:dyDescent="0.35">
      <c r="A11788" s="10" t="s">
        <v>50538</v>
      </c>
      <c r="B11788" s="10" t="str">
        <f>"9789004413597"</f>
        <v>9789004413597</v>
      </c>
      <c r="C11788" s="10" t="str">
        <f>"9789004413603"</f>
        <v>9789004413603</v>
      </c>
      <c r="D11788" s="10" t="s">
        <v>8564</v>
      </c>
      <c r="E11788" s="10" t="s">
        <v>8565</v>
      </c>
      <c r="F11788" s="10" t="s">
        <v>1420</v>
      </c>
      <c r="G11788" s="10" t="s">
        <v>6317</v>
      </c>
      <c r="H11788" s="11">
        <v>43790</v>
      </c>
      <c r="I11788" s="10">
        <v>2020</v>
      </c>
      <c r="J11788" s="10" t="s">
        <v>8565</v>
      </c>
      <c r="K11788" s="10">
        <v>312</v>
      </c>
      <c r="L11788" s="10" t="s">
        <v>50539</v>
      </c>
      <c r="M11788" s="10">
        <v>1</v>
      </c>
      <c r="N11788" s="10"/>
      <c r="O11788" s="10"/>
      <c r="P11788" s="10" t="s">
        <v>50540</v>
      </c>
      <c r="Q11788" s="10">
        <v>370.11599999999999</v>
      </c>
      <c r="R11788" s="10" t="s">
        <v>31027</v>
      </c>
      <c r="S11788" s="10" t="s">
        <v>53</v>
      </c>
      <c r="T11788" s="10" t="s">
        <v>54</v>
      </c>
    </row>
    <row r="11789" spans="1:20" ht="14.5" x14ac:dyDescent="0.35">
      <c r="A11789" s="10" t="s">
        <v>50541</v>
      </c>
      <c r="B11789" s="10" t="str">
        <f>"9789004408838"</f>
        <v>9789004408838</v>
      </c>
      <c r="C11789" s="10" t="str">
        <f>"9789004408845"</f>
        <v>9789004408845</v>
      </c>
      <c r="D11789" s="10" t="s">
        <v>8564</v>
      </c>
      <c r="E11789" s="10" t="s">
        <v>8565</v>
      </c>
      <c r="F11789" s="10" t="s">
        <v>1420</v>
      </c>
      <c r="G11789" s="10" t="s">
        <v>6317</v>
      </c>
      <c r="H11789" s="11">
        <v>43776</v>
      </c>
      <c r="I11789" s="10">
        <v>2020</v>
      </c>
      <c r="J11789" s="10" t="s">
        <v>33259</v>
      </c>
      <c r="K11789" s="10">
        <v>475</v>
      </c>
      <c r="L11789" s="10" t="s">
        <v>50542</v>
      </c>
      <c r="M11789" s="10">
        <v>1</v>
      </c>
      <c r="N11789" s="10"/>
      <c r="O11789" s="10"/>
      <c r="P11789" s="10"/>
      <c r="Q11789" s="10"/>
      <c r="R11789" s="10" t="s">
        <v>50543</v>
      </c>
      <c r="S11789" s="10" t="s">
        <v>53</v>
      </c>
      <c r="T11789" s="10" t="s">
        <v>54</v>
      </c>
    </row>
    <row r="11790" spans="1:20" ht="14.5" x14ac:dyDescent="0.35">
      <c r="A11790" s="10" t="s">
        <v>50544</v>
      </c>
      <c r="B11790" s="10" t="str">
        <f>"9789004323261"</f>
        <v>9789004323261</v>
      </c>
      <c r="C11790" s="10" t="str">
        <f>"9789004410138"</f>
        <v>9789004410138</v>
      </c>
      <c r="D11790" s="10" t="s">
        <v>8564</v>
      </c>
      <c r="E11790" s="10" t="s">
        <v>8565</v>
      </c>
      <c r="F11790" s="10" t="s">
        <v>1420</v>
      </c>
      <c r="G11790" s="10" t="s">
        <v>6317</v>
      </c>
      <c r="H11790" s="11">
        <v>43790</v>
      </c>
      <c r="I11790" s="10">
        <v>2020</v>
      </c>
      <c r="J11790" s="10" t="s">
        <v>8565</v>
      </c>
      <c r="K11790" s="10">
        <v>342</v>
      </c>
      <c r="L11790" s="10" t="s">
        <v>50545</v>
      </c>
      <c r="M11790" s="10">
        <v>1</v>
      </c>
      <c r="N11790" s="10" t="s">
        <v>50546</v>
      </c>
      <c r="O11790" s="10">
        <v>88</v>
      </c>
      <c r="P11790" s="10"/>
      <c r="Q11790" s="10">
        <v>370.90210000000002</v>
      </c>
      <c r="R11790" s="10"/>
      <c r="S11790" s="10" t="s">
        <v>53</v>
      </c>
      <c r="T11790" s="10" t="s">
        <v>54</v>
      </c>
    </row>
    <row r="11791" spans="1:20" ht="14.5" x14ac:dyDescent="0.35">
      <c r="A11791" s="10" t="s">
        <v>50547</v>
      </c>
      <c r="B11791" s="10" t="str">
        <f>"9781642670042"</f>
        <v>9781642670042</v>
      </c>
      <c r="C11791" s="10" t="str">
        <f>"9781000973945"</f>
        <v>9781000973945</v>
      </c>
      <c r="D11791" s="10" t="s">
        <v>6350</v>
      </c>
      <c r="E11791" s="10" t="s">
        <v>6351</v>
      </c>
      <c r="F11791" s="10" t="s">
        <v>41227</v>
      </c>
      <c r="G11791" s="10" t="s">
        <v>6317</v>
      </c>
      <c r="H11791" s="11">
        <v>43773</v>
      </c>
      <c r="I11791" s="10">
        <v>2020</v>
      </c>
      <c r="J11791" s="10" t="s">
        <v>6353</v>
      </c>
      <c r="K11791" s="10">
        <v>376</v>
      </c>
      <c r="L11791" s="10" t="s">
        <v>50548</v>
      </c>
      <c r="M11791" s="10">
        <v>1</v>
      </c>
      <c r="N11791" s="10"/>
      <c r="O11791" s="10"/>
      <c r="P11791" s="10" t="s">
        <v>50549</v>
      </c>
      <c r="Q11791" s="10">
        <v>375.00099999999998</v>
      </c>
      <c r="R11791" s="10" t="s">
        <v>50550</v>
      </c>
      <c r="S11791" s="10" t="s">
        <v>53</v>
      </c>
      <c r="T11791" s="10" t="s">
        <v>54</v>
      </c>
    </row>
    <row r="11792" spans="1:20" ht="14.5" x14ac:dyDescent="0.35">
      <c r="A11792" s="10" t="s">
        <v>50551</v>
      </c>
      <c r="B11792" s="10" t="str">
        <f>"9780113316526"</f>
        <v>9780113316526</v>
      </c>
      <c r="C11792" s="10" t="str">
        <f>"9780113316533"</f>
        <v>9780113316533</v>
      </c>
      <c r="D11792" s="10" t="s">
        <v>43658</v>
      </c>
      <c r="E11792" s="10" t="s">
        <v>50552</v>
      </c>
      <c r="F11792" s="10" t="s">
        <v>139</v>
      </c>
      <c r="G11792" s="10" t="s">
        <v>6352</v>
      </c>
      <c r="H11792" s="11">
        <v>43787</v>
      </c>
      <c r="I11792" s="10">
        <v>2019</v>
      </c>
      <c r="J11792" s="10" t="s">
        <v>50553</v>
      </c>
      <c r="K11792" s="10">
        <v>60</v>
      </c>
      <c r="L11792" s="10" t="s">
        <v>50554</v>
      </c>
      <c r="M11792" s="10"/>
      <c r="N11792" s="10"/>
      <c r="O11792" s="10"/>
      <c r="P11792" s="10" t="s">
        <v>50555</v>
      </c>
      <c r="Q11792" s="10">
        <v>658.40380760000005</v>
      </c>
      <c r="R11792" s="10" t="s">
        <v>50556</v>
      </c>
      <c r="S11792" s="10" t="s">
        <v>53</v>
      </c>
      <c r="T11792" s="10" t="s">
        <v>50557</v>
      </c>
    </row>
    <row r="11793" spans="1:20" ht="14.5" x14ac:dyDescent="0.35">
      <c r="A11793" s="10" t="s">
        <v>50558</v>
      </c>
      <c r="B11793" s="10" t="str">
        <f>"9781839096389"</f>
        <v>9781839096389</v>
      </c>
      <c r="C11793" s="10" t="str">
        <f>"9781839096396"</f>
        <v>9781839096396</v>
      </c>
      <c r="D11793" s="10" t="s">
        <v>8699</v>
      </c>
      <c r="E11793" s="10" t="s">
        <v>8699</v>
      </c>
      <c r="F11793" s="10" t="s">
        <v>41843</v>
      </c>
      <c r="G11793" s="10" t="s">
        <v>6352</v>
      </c>
      <c r="H11793" s="11">
        <v>43735</v>
      </c>
      <c r="I11793" s="10">
        <v>2019</v>
      </c>
      <c r="J11793" s="10" t="s">
        <v>8699</v>
      </c>
      <c r="K11793" s="10">
        <v>45</v>
      </c>
      <c r="L11793" s="10" t="s">
        <v>50559</v>
      </c>
      <c r="M11793" s="10">
        <v>1</v>
      </c>
      <c r="N11793" s="10" t="s">
        <v>50560</v>
      </c>
      <c r="O11793" s="10">
        <v>3</v>
      </c>
      <c r="P11793" s="10" t="s">
        <v>50561</v>
      </c>
      <c r="Q11793" s="10">
        <v>810.80354999999997</v>
      </c>
      <c r="R11793" s="10" t="s">
        <v>13858</v>
      </c>
      <c r="S11793" s="10" t="s">
        <v>53</v>
      </c>
      <c r="T11793" s="10" t="s">
        <v>1166</v>
      </c>
    </row>
    <row r="11794" spans="1:20" ht="14.5" x14ac:dyDescent="0.35">
      <c r="A11794" s="10" t="s">
        <v>50562</v>
      </c>
      <c r="B11794" s="10" t="str">
        <f>"9781839094224"</f>
        <v>9781839094224</v>
      </c>
      <c r="C11794" s="10" t="str">
        <f>"9781839094231"</f>
        <v>9781839094231</v>
      </c>
      <c r="D11794" s="10" t="s">
        <v>8699</v>
      </c>
      <c r="E11794" s="10" t="s">
        <v>8699</v>
      </c>
      <c r="F11794" s="10" t="s">
        <v>41843</v>
      </c>
      <c r="G11794" s="10" t="s">
        <v>6352</v>
      </c>
      <c r="H11794" s="11">
        <v>43721</v>
      </c>
      <c r="I11794" s="10">
        <v>2019</v>
      </c>
      <c r="J11794" s="10" t="s">
        <v>8699</v>
      </c>
      <c r="K11794" s="10">
        <v>169</v>
      </c>
      <c r="L11794" s="10" t="s">
        <v>50563</v>
      </c>
      <c r="M11794" s="10">
        <v>1</v>
      </c>
      <c r="N11794" s="10" t="s">
        <v>48338</v>
      </c>
      <c r="O11794" s="10">
        <v>5</v>
      </c>
      <c r="P11794" s="10" t="s">
        <v>50564</v>
      </c>
      <c r="Q11794" s="10">
        <v>658.40920000000006</v>
      </c>
      <c r="R11794" s="10" t="s">
        <v>40404</v>
      </c>
      <c r="S11794" s="10" t="s">
        <v>53</v>
      </c>
      <c r="T11794" s="10" t="s">
        <v>6660</v>
      </c>
    </row>
    <row r="11795" spans="1:20" ht="14.5" x14ac:dyDescent="0.35">
      <c r="A11795" s="10" t="s">
        <v>50565</v>
      </c>
      <c r="B11795" s="10" t="str">
        <f>"9781839093883"</f>
        <v>9781839093883</v>
      </c>
      <c r="C11795" s="10" t="str">
        <f>"9781839093890"</f>
        <v>9781839093890</v>
      </c>
      <c r="D11795" s="10" t="s">
        <v>8699</v>
      </c>
      <c r="E11795" s="10" t="s">
        <v>8699</v>
      </c>
      <c r="F11795" s="10" t="s">
        <v>41843</v>
      </c>
      <c r="G11795" s="10" t="s">
        <v>6352</v>
      </c>
      <c r="H11795" s="11">
        <v>43734</v>
      </c>
      <c r="I11795" s="10">
        <v>2019</v>
      </c>
      <c r="J11795" s="10" t="s">
        <v>8699</v>
      </c>
      <c r="K11795" s="10">
        <v>161</v>
      </c>
      <c r="L11795" s="10" t="s">
        <v>50566</v>
      </c>
      <c r="M11795" s="10">
        <v>1</v>
      </c>
      <c r="N11795" s="10" t="s">
        <v>50567</v>
      </c>
      <c r="O11795" s="10">
        <v>2</v>
      </c>
      <c r="P11795" s="10" t="s">
        <v>50568</v>
      </c>
      <c r="Q11795" s="10">
        <v>306.44900000000001</v>
      </c>
      <c r="R11795" s="10" t="s">
        <v>50569</v>
      </c>
      <c r="S11795" s="10" t="s">
        <v>53</v>
      </c>
      <c r="T11795" s="10" t="s">
        <v>8412</v>
      </c>
    </row>
    <row r="11796" spans="1:20" ht="14.5" x14ac:dyDescent="0.35">
      <c r="A11796" s="10" t="s">
        <v>50570</v>
      </c>
      <c r="B11796" s="10" t="str">
        <f>"9781975501969"</f>
        <v>9781975501969</v>
      </c>
      <c r="C11796" s="10" t="str">
        <f>"9781975501983"</f>
        <v>9781975501983</v>
      </c>
      <c r="D11796" s="10" t="s">
        <v>44271</v>
      </c>
      <c r="E11796" s="10" t="s">
        <v>47266</v>
      </c>
      <c r="F11796" s="10" t="s">
        <v>41227</v>
      </c>
      <c r="G11796" s="10" t="s">
        <v>6317</v>
      </c>
      <c r="H11796" s="11">
        <v>43773</v>
      </c>
      <c r="I11796" s="10">
        <v>2019</v>
      </c>
      <c r="J11796" s="10" t="s">
        <v>47266</v>
      </c>
      <c r="K11796" s="10">
        <v>250</v>
      </c>
      <c r="L11796" s="10" t="s">
        <v>50571</v>
      </c>
      <c r="M11796" s="10">
        <v>1</v>
      </c>
      <c r="N11796" s="10"/>
      <c r="O11796" s="10"/>
      <c r="P11796" s="10" t="s">
        <v>50572</v>
      </c>
      <c r="Q11796" s="10">
        <v>305.89607000000001</v>
      </c>
      <c r="R11796" s="10" t="s">
        <v>50573</v>
      </c>
      <c r="S11796" s="10" t="s">
        <v>53</v>
      </c>
      <c r="T11796" s="10" t="s">
        <v>13501</v>
      </c>
    </row>
    <row r="11797" spans="1:20" ht="14.5" x14ac:dyDescent="0.35">
      <c r="A11797" s="10" t="s">
        <v>50574</v>
      </c>
      <c r="B11797" s="10" t="str">
        <f>""</f>
        <v/>
      </c>
      <c r="C11797" s="10" t="str">
        <f>"9781975502188"</f>
        <v>9781975502188</v>
      </c>
      <c r="D11797" s="10" t="s">
        <v>44271</v>
      </c>
      <c r="E11797" s="10" t="s">
        <v>47266</v>
      </c>
      <c r="F11797" s="10" t="s">
        <v>41227</v>
      </c>
      <c r="G11797" s="10" t="s">
        <v>6317</v>
      </c>
      <c r="H11797" s="11">
        <v>43773</v>
      </c>
      <c r="I11797" s="10">
        <v>2020</v>
      </c>
      <c r="J11797" s="10" t="s">
        <v>47266</v>
      </c>
      <c r="K11797" s="10">
        <v>163</v>
      </c>
      <c r="L11797" s="10" t="s">
        <v>25378</v>
      </c>
      <c r="M11797" s="10">
        <v>1</v>
      </c>
      <c r="N11797" s="10"/>
      <c r="O11797" s="10"/>
      <c r="P11797" s="10" t="s">
        <v>50575</v>
      </c>
      <c r="Q11797" s="10">
        <v>370.9794</v>
      </c>
      <c r="R11797" s="10" t="s">
        <v>50576</v>
      </c>
      <c r="S11797" s="10" t="s">
        <v>53</v>
      </c>
      <c r="T11797" s="10" t="s">
        <v>54</v>
      </c>
    </row>
    <row r="11798" spans="1:20" ht="14.5" x14ac:dyDescent="0.35">
      <c r="A11798" s="10" t="s">
        <v>50577</v>
      </c>
      <c r="B11798" s="10" t="str">
        <f>"9781119575733"</f>
        <v>9781119575733</v>
      </c>
      <c r="C11798" s="10" t="str">
        <f>"9781119575719"</f>
        <v>9781119575719</v>
      </c>
      <c r="D11798" s="10" t="s">
        <v>6322</v>
      </c>
      <c r="E11798" s="10" t="s">
        <v>6323</v>
      </c>
      <c r="F11798" s="10" t="s">
        <v>4423</v>
      </c>
      <c r="G11798" s="10" t="s">
        <v>6317</v>
      </c>
      <c r="H11798" s="11">
        <v>43816</v>
      </c>
      <c r="I11798" s="10">
        <v>2020</v>
      </c>
      <c r="J11798" s="10" t="s">
        <v>6324</v>
      </c>
      <c r="K11798" s="10">
        <v>290</v>
      </c>
      <c r="L11798" s="10" t="s">
        <v>50578</v>
      </c>
      <c r="M11798" s="10">
        <v>1</v>
      </c>
      <c r="N11798" s="10"/>
      <c r="O11798" s="10"/>
      <c r="P11798" s="10"/>
      <c r="Q11798" s="10">
        <v>510.71199999999999</v>
      </c>
      <c r="R11798" s="10" t="s">
        <v>13858</v>
      </c>
      <c r="S11798" s="10" t="s">
        <v>53</v>
      </c>
      <c r="T11798" s="10" t="s">
        <v>389</v>
      </c>
    </row>
    <row r="11799" spans="1:20" ht="14.5" x14ac:dyDescent="0.35">
      <c r="A11799" s="10" t="s">
        <v>50579</v>
      </c>
      <c r="B11799" s="10" t="str">
        <f>"9781787548534"</f>
        <v>9781787548534</v>
      </c>
      <c r="C11799" s="10" t="str">
        <f>"9781787548541"</f>
        <v>9781787548541</v>
      </c>
      <c r="D11799" s="10" t="s">
        <v>8699</v>
      </c>
      <c r="E11799" s="10" t="s">
        <v>8699</v>
      </c>
      <c r="F11799" s="10" t="s">
        <v>559</v>
      </c>
      <c r="G11799" s="10" t="s">
        <v>6352</v>
      </c>
      <c r="H11799" s="11">
        <v>43794</v>
      </c>
      <c r="I11799" s="10">
        <v>2020</v>
      </c>
      <c r="J11799" s="10" t="s">
        <v>8699</v>
      </c>
      <c r="K11799" s="10">
        <v>305</v>
      </c>
      <c r="L11799" s="10" t="s">
        <v>50580</v>
      </c>
      <c r="M11799" s="10">
        <v>1</v>
      </c>
      <c r="N11799" s="10" t="s">
        <v>14534</v>
      </c>
      <c r="O11799" s="10">
        <v>38</v>
      </c>
      <c r="P11799" s="10" t="s">
        <v>28438</v>
      </c>
      <c r="Q11799" s="10">
        <v>338.47370000000001</v>
      </c>
      <c r="R11799" s="10" t="s">
        <v>50581</v>
      </c>
      <c r="S11799" s="10" t="s">
        <v>53</v>
      </c>
      <c r="T11799" s="10" t="s">
        <v>7901</v>
      </c>
    </row>
    <row r="11800" spans="1:20" ht="14.5" x14ac:dyDescent="0.35">
      <c r="A11800" s="10" t="s">
        <v>50582</v>
      </c>
      <c r="B11800" s="10" t="str">
        <f>"9781838679781"</f>
        <v>9781838679781</v>
      </c>
      <c r="C11800" s="10" t="str">
        <f>"9781838679774"</f>
        <v>9781838679774</v>
      </c>
      <c r="D11800" s="10" t="s">
        <v>8699</v>
      </c>
      <c r="E11800" s="10" t="s">
        <v>8699</v>
      </c>
      <c r="F11800" s="10" t="s">
        <v>559</v>
      </c>
      <c r="G11800" s="10" t="s">
        <v>6352</v>
      </c>
      <c r="H11800" s="11">
        <v>43795</v>
      </c>
      <c r="I11800" s="10">
        <v>2020</v>
      </c>
      <c r="J11800" s="10" t="s">
        <v>8699</v>
      </c>
      <c r="K11800" s="10">
        <v>231</v>
      </c>
      <c r="L11800" s="10" t="s">
        <v>43344</v>
      </c>
      <c r="M11800" s="10">
        <v>1</v>
      </c>
      <c r="N11800" s="10" t="s">
        <v>14550</v>
      </c>
      <c r="O11800" s="10">
        <v>35</v>
      </c>
      <c r="P11800" s="10" t="s">
        <v>48295</v>
      </c>
      <c r="Q11800" s="10">
        <v>371.9</v>
      </c>
      <c r="R11800" s="10" t="s">
        <v>50583</v>
      </c>
      <c r="S11800" s="10" t="s">
        <v>53</v>
      </c>
      <c r="T11800" s="10" t="s">
        <v>54</v>
      </c>
    </row>
    <row r="11801" spans="1:20" ht="14.5" x14ac:dyDescent="0.35">
      <c r="A11801" s="10" t="s">
        <v>50584</v>
      </c>
      <c r="B11801" s="10" t="str">
        <f>"9781553798774"</f>
        <v>9781553798774</v>
      </c>
      <c r="C11801" s="10" t="str">
        <f>"9781553798828"</f>
        <v>9781553798828</v>
      </c>
      <c r="D11801" s="10" t="s">
        <v>9533</v>
      </c>
      <c r="E11801" s="10" t="s">
        <v>44894</v>
      </c>
      <c r="F11801" s="10" t="s">
        <v>967</v>
      </c>
      <c r="G11801" s="10" t="s">
        <v>6317</v>
      </c>
      <c r="H11801" s="11">
        <v>43767</v>
      </c>
      <c r="I11801" s="10">
        <v>2019</v>
      </c>
      <c r="J11801" s="10" t="s">
        <v>44894</v>
      </c>
      <c r="K11801" s="10">
        <v>170</v>
      </c>
      <c r="L11801" s="10" t="s">
        <v>50585</v>
      </c>
      <c r="M11801" s="10">
        <v>1</v>
      </c>
      <c r="N11801" s="10"/>
      <c r="O11801" s="10"/>
      <c r="P11801" s="10" t="s">
        <v>50586</v>
      </c>
      <c r="Q11801" s="10" t="s">
        <v>23141</v>
      </c>
      <c r="R11801" s="10" t="s">
        <v>46233</v>
      </c>
      <c r="S11801" s="10" t="s">
        <v>53</v>
      </c>
      <c r="T11801" s="10" t="s">
        <v>8424</v>
      </c>
    </row>
    <row r="11802" spans="1:20" ht="14.5" x14ac:dyDescent="0.35">
      <c r="A11802" s="10" t="s">
        <v>50587</v>
      </c>
      <c r="B11802" s="10" t="str">
        <f>"9781416628248"</f>
        <v>9781416628248</v>
      </c>
      <c r="C11802" s="10" t="str">
        <f>"9781416628262"</f>
        <v>9781416628262</v>
      </c>
      <c r="D11802" s="10" t="s">
        <v>10014</v>
      </c>
      <c r="E11802" s="10" t="s">
        <v>10015</v>
      </c>
      <c r="F11802" s="10" t="s">
        <v>201</v>
      </c>
      <c r="G11802" s="10" t="s">
        <v>6317</v>
      </c>
      <c r="H11802" s="11">
        <v>43788</v>
      </c>
      <c r="I11802" s="10">
        <v>2019</v>
      </c>
      <c r="J11802" s="10" t="s">
        <v>10015</v>
      </c>
      <c r="K11802" s="10">
        <v>186</v>
      </c>
      <c r="L11802" s="10" t="s">
        <v>50588</v>
      </c>
      <c r="M11802" s="10">
        <v>1</v>
      </c>
      <c r="N11802" s="10"/>
      <c r="O11802" s="10"/>
      <c r="P11802" s="10" t="s">
        <v>50589</v>
      </c>
      <c r="Q11802" s="10">
        <v>371.10239999999999</v>
      </c>
      <c r="R11802" s="10" t="s">
        <v>48577</v>
      </c>
      <c r="S11802" s="10" t="s">
        <v>53</v>
      </c>
      <c r="T11802" s="10" t="s">
        <v>54</v>
      </c>
    </row>
    <row r="11803" spans="1:20" ht="14.5" x14ac:dyDescent="0.35">
      <c r="A11803" s="10" t="s">
        <v>50590</v>
      </c>
      <c r="B11803" s="10" t="str">
        <f>"9781138321168"</f>
        <v>9781138321168</v>
      </c>
      <c r="C11803" s="10" t="str">
        <f>"9780429840838"</f>
        <v>9780429840838</v>
      </c>
      <c r="D11803" s="10" t="s">
        <v>6350</v>
      </c>
      <c r="E11803" s="10" t="s">
        <v>6351</v>
      </c>
      <c r="F11803" s="10" t="s">
        <v>748</v>
      </c>
      <c r="G11803" s="10" t="s">
        <v>6352</v>
      </c>
      <c r="H11803" s="11">
        <v>43797</v>
      </c>
      <c r="I11803" s="10">
        <v>2020</v>
      </c>
      <c r="J11803" s="10" t="s">
        <v>6351</v>
      </c>
      <c r="K11803" s="10">
        <v>189</v>
      </c>
      <c r="L11803" s="10" t="s">
        <v>50591</v>
      </c>
      <c r="M11803" s="10">
        <v>1</v>
      </c>
      <c r="N11803" s="10" t="s">
        <v>50592</v>
      </c>
      <c r="O11803" s="10"/>
      <c r="P11803" s="10" t="s">
        <v>50593</v>
      </c>
      <c r="Q11803" s="10">
        <v>371.95</v>
      </c>
      <c r="R11803" s="10" t="s">
        <v>50594</v>
      </c>
      <c r="S11803" s="10" t="s">
        <v>53</v>
      </c>
      <c r="T11803" s="10" t="s">
        <v>54</v>
      </c>
    </row>
    <row r="11804" spans="1:20" ht="14.5" x14ac:dyDescent="0.35">
      <c r="A11804" s="10" t="s">
        <v>50595</v>
      </c>
      <c r="B11804" s="10" t="str">
        <f>"9781472578372"</f>
        <v>9781472578372</v>
      </c>
      <c r="C11804" s="10" t="str">
        <f>"9781472578402"</f>
        <v>9781472578402</v>
      </c>
      <c r="D11804" s="10" t="s">
        <v>13959</v>
      </c>
      <c r="E11804" s="10" t="s">
        <v>13960</v>
      </c>
      <c r="F11804" s="10" t="s">
        <v>139</v>
      </c>
      <c r="G11804" s="10" t="s">
        <v>6352</v>
      </c>
      <c r="H11804" s="11">
        <v>42061</v>
      </c>
      <c r="I11804" s="10">
        <v>2015</v>
      </c>
      <c r="J11804" s="10" t="s">
        <v>14057</v>
      </c>
      <c r="K11804" s="10">
        <v>185</v>
      </c>
      <c r="L11804" s="10" t="s">
        <v>50596</v>
      </c>
      <c r="M11804" s="10">
        <v>1</v>
      </c>
      <c r="N11804" s="10"/>
      <c r="O11804" s="10"/>
      <c r="P11804" s="10" t="s">
        <v>50597</v>
      </c>
      <c r="Q11804" s="10" t="s">
        <v>14668</v>
      </c>
      <c r="R11804" s="10" t="s">
        <v>50598</v>
      </c>
      <c r="S11804" s="10" t="s">
        <v>53</v>
      </c>
      <c r="T11804" s="10" t="s">
        <v>54</v>
      </c>
    </row>
    <row r="11805" spans="1:20" ht="14.5" x14ac:dyDescent="0.35">
      <c r="A11805" s="10" t="s">
        <v>50599</v>
      </c>
      <c r="B11805" s="10" t="str">
        <f>"9781472596468"</f>
        <v>9781472596468</v>
      </c>
      <c r="C11805" s="10" t="str">
        <f>"9781472596482"</f>
        <v>9781472596482</v>
      </c>
      <c r="D11805" s="10" t="s">
        <v>13959</v>
      </c>
      <c r="E11805" s="10" t="s">
        <v>13960</v>
      </c>
      <c r="F11805" s="10" t="s">
        <v>139</v>
      </c>
      <c r="G11805" s="10" t="s">
        <v>6352</v>
      </c>
      <c r="H11805" s="11">
        <v>42355</v>
      </c>
      <c r="I11805" s="10">
        <v>2016</v>
      </c>
      <c r="J11805" s="10" t="s">
        <v>14057</v>
      </c>
      <c r="K11805" s="10">
        <v>213</v>
      </c>
      <c r="L11805" s="10" t="s">
        <v>46182</v>
      </c>
      <c r="M11805" s="10">
        <v>1</v>
      </c>
      <c r="N11805" s="10"/>
      <c r="O11805" s="10"/>
      <c r="P11805" s="10" t="s">
        <v>50600</v>
      </c>
      <c r="Q11805" s="10" t="s">
        <v>9007</v>
      </c>
      <c r="R11805" s="10" t="s">
        <v>50601</v>
      </c>
      <c r="S11805" s="10" t="s">
        <v>53</v>
      </c>
      <c r="T11805" s="10" t="s">
        <v>54</v>
      </c>
    </row>
    <row r="11806" spans="1:20" ht="14.5" x14ac:dyDescent="0.35">
      <c r="A11806" s="10" t="s">
        <v>50602</v>
      </c>
      <c r="B11806" s="10" t="str">
        <f>"9781472591470"</f>
        <v>9781472591470</v>
      </c>
      <c r="C11806" s="10" t="str">
        <f>"9781472591500"</f>
        <v>9781472591500</v>
      </c>
      <c r="D11806" s="10" t="s">
        <v>13959</v>
      </c>
      <c r="E11806" s="10" t="s">
        <v>13960</v>
      </c>
      <c r="F11806" s="10" t="s">
        <v>139</v>
      </c>
      <c r="G11806" s="10" t="s">
        <v>6352</v>
      </c>
      <c r="H11806" s="11">
        <v>42425</v>
      </c>
      <c r="I11806" s="10">
        <v>2016</v>
      </c>
      <c r="J11806" s="10" t="s">
        <v>43476</v>
      </c>
      <c r="K11806" s="10">
        <v>313</v>
      </c>
      <c r="L11806" s="10" t="s">
        <v>50603</v>
      </c>
      <c r="M11806" s="10">
        <v>1</v>
      </c>
      <c r="N11806" s="10"/>
      <c r="O11806" s="10"/>
      <c r="P11806" s="10" t="s">
        <v>50604</v>
      </c>
      <c r="Q11806" s="10" t="s">
        <v>50605</v>
      </c>
      <c r="R11806" s="10" t="s">
        <v>50606</v>
      </c>
      <c r="S11806" s="10" t="s">
        <v>53</v>
      </c>
      <c r="T11806" s="10" t="s">
        <v>6384</v>
      </c>
    </row>
    <row r="11807" spans="1:20" ht="14.5" x14ac:dyDescent="0.35">
      <c r="A11807" s="10" t="s">
        <v>50607</v>
      </c>
      <c r="B11807" s="10" t="str">
        <f>"9781472535719"</f>
        <v>9781472535719</v>
      </c>
      <c r="C11807" s="10" t="str">
        <f>"9781472535740"</f>
        <v>9781472535740</v>
      </c>
      <c r="D11807" s="10" t="s">
        <v>13959</v>
      </c>
      <c r="E11807" s="10" t="s">
        <v>13960</v>
      </c>
      <c r="F11807" s="10" t="s">
        <v>139</v>
      </c>
      <c r="G11807" s="10" t="s">
        <v>6352</v>
      </c>
      <c r="H11807" s="11">
        <v>42089</v>
      </c>
      <c r="I11807" s="10">
        <v>2015</v>
      </c>
      <c r="J11807" s="10" t="s">
        <v>14057</v>
      </c>
      <c r="K11807" s="10">
        <v>233</v>
      </c>
      <c r="L11807" s="10" t="s">
        <v>50608</v>
      </c>
      <c r="M11807" s="10">
        <v>1</v>
      </c>
      <c r="N11807" s="10" t="s">
        <v>50609</v>
      </c>
      <c r="O11807" s="10"/>
      <c r="P11807" s="10" t="s">
        <v>50610</v>
      </c>
      <c r="Q11807" s="10">
        <v>910.71</v>
      </c>
      <c r="R11807" s="10" t="s">
        <v>50611</v>
      </c>
      <c r="S11807" s="10" t="s">
        <v>53</v>
      </c>
      <c r="T11807" s="10" t="s">
        <v>12094</v>
      </c>
    </row>
    <row r="11808" spans="1:20" ht="14.5" x14ac:dyDescent="0.35">
      <c r="A11808" s="10" t="s">
        <v>50612</v>
      </c>
      <c r="B11808" s="10" t="str">
        <f>"9789633863275"</f>
        <v>9789633863275</v>
      </c>
      <c r="C11808" s="10" t="str">
        <f>"9789633863282"</f>
        <v>9789633863282</v>
      </c>
      <c r="D11808" s="10" t="s">
        <v>34625</v>
      </c>
      <c r="E11808" s="10" t="s">
        <v>34626</v>
      </c>
      <c r="F11808" s="10" t="s">
        <v>3239</v>
      </c>
      <c r="G11808" s="10" t="s">
        <v>34627</v>
      </c>
      <c r="H11808" s="11">
        <v>43747</v>
      </c>
      <c r="I11808" s="10">
        <v>2019</v>
      </c>
      <c r="J11808" s="10" t="s">
        <v>34626</v>
      </c>
      <c r="K11808" s="10">
        <v>289</v>
      </c>
      <c r="L11808" s="10" t="s">
        <v>50613</v>
      </c>
      <c r="M11808" s="10">
        <v>1</v>
      </c>
      <c r="N11808" s="10"/>
      <c r="O11808" s="10"/>
      <c r="P11808" s="10" t="s">
        <v>50614</v>
      </c>
      <c r="Q11808" s="10"/>
      <c r="R11808" s="10" t="s">
        <v>12345</v>
      </c>
      <c r="S11808" s="10" t="s">
        <v>53</v>
      </c>
      <c r="T11808" s="10" t="s">
        <v>54</v>
      </c>
    </row>
    <row r="11809" spans="1:20" ht="14.5" x14ac:dyDescent="0.35">
      <c r="A11809" s="10" t="s">
        <v>50615</v>
      </c>
      <c r="B11809" s="10" t="str">
        <f>"9781949539356"</f>
        <v>9781949539356</v>
      </c>
      <c r="C11809" s="10" t="str">
        <f>"9781949539363"</f>
        <v>9781949539363</v>
      </c>
      <c r="D11809" s="10" t="s">
        <v>37580</v>
      </c>
      <c r="E11809" s="10" t="s">
        <v>37581</v>
      </c>
      <c r="F11809" s="10" t="s">
        <v>37623</v>
      </c>
      <c r="G11809" s="10" t="s">
        <v>6317</v>
      </c>
      <c r="H11809" s="11">
        <v>43805</v>
      </c>
      <c r="I11809" s="10">
        <v>2020</v>
      </c>
      <c r="J11809" s="10" t="s">
        <v>37581</v>
      </c>
      <c r="K11809" s="10">
        <v>216</v>
      </c>
      <c r="L11809" s="10" t="s">
        <v>50616</v>
      </c>
      <c r="M11809" s="10">
        <v>1</v>
      </c>
      <c r="N11809" s="10"/>
      <c r="O11809" s="10"/>
      <c r="P11809" s="10" t="s">
        <v>50617</v>
      </c>
      <c r="Q11809" s="10">
        <v>371.20119999999997</v>
      </c>
      <c r="R11809" s="10" t="s">
        <v>49671</v>
      </c>
      <c r="S11809" s="10" t="s">
        <v>53</v>
      </c>
      <c r="T11809" s="10" t="s">
        <v>54</v>
      </c>
    </row>
    <row r="11810" spans="1:20" ht="14.5" x14ac:dyDescent="0.35">
      <c r="A11810" s="10" t="s">
        <v>50618</v>
      </c>
      <c r="B11810" s="10" t="str">
        <f>"9781839092985"</f>
        <v>9781839092985</v>
      </c>
      <c r="C11810" s="10" t="str">
        <f>"9781839092978"</f>
        <v>9781839092978</v>
      </c>
      <c r="D11810" s="10" t="s">
        <v>8699</v>
      </c>
      <c r="E11810" s="10" t="s">
        <v>8699</v>
      </c>
      <c r="F11810" s="10" t="s">
        <v>559</v>
      </c>
      <c r="G11810" s="10" t="s">
        <v>6352</v>
      </c>
      <c r="H11810" s="11">
        <v>43805</v>
      </c>
      <c r="I11810" s="10">
        <v>2020</v>
      </c>
      <c r="J11810" s="10" t="s">
        <v>8699</v>
      </c>
      <c r="K11810" s="10">
        <v>321</v>
      </c>
      <c r="L11810" s="10" t="s">
        <v>16600</v>
      </c>
      <c r="M11810" s="10">
        <v>1</v>
      </c>
      <c r="N11810" s="10"/>
      <c r="O11810" s="10"/>
      <c r="P11810" s="10" t="s">
        <v>28438</v>
      </c>
      <c r="Q11810" s="10">
        <v>370.1</v>
      </c>
      <c r="R11810" s="10" t="s">
        <v>50619</v>
      </c>
      <c r="S11810" s="10" t="s">
        <v>53</v>
      </c>
      <c r="T11810" s="10" t="s">
        <v>54</v>
      </c>
    </row>
    <row r="11811" spans="1:20" ht="14.5" x14ac:dyDescent="0.35">
      <c r="A11811" s="10" t="s">
        <v>50620</v>
      </c>
      <c r="B11811" s="10" t="str">
        <f>"9780875807294"</f>
        <v>9780875807294</v>
      </c>
      <c r="C11811" s="10" t="str">
        <f>"9781609091897"</f>
        <v>9781609091897</v>
      </c>
      <c r="D11811" s="10" t="s">
        <v>9533</v>
      </c>
      <c r="E11811" s="10" t="s">
        <v>5258</v>
      </c>
      <c r="F11811" s="10" t="s">
        <v>2536</v>
      </c>
      <c r="G11811" s="10" t="s">
        <v>6317</v>
      </c>
      <c r="H11811" s="11">
        <v>42592</v>
      </c>
      <c r="I11811" s="10">
        <v>2016</v>
      </c>
      <c r="J11811" s="10" t="s">
        <v>5258</v>
      </c>
      <c r="K11811" s="10">
        <v>319</v>
      </c>
      <c r="L11811" s="10" t="s">
        <v>50621</v>
      </c>
      <c r="M11811" s="10">
        <v>1</v>
      </c>
      <c r="N11811" s="10" t="s">
        <v>50622</v>
      </c>
      <c r="O11811" s="10"/>
      <c r="P11811" s="10" t="s">
        <v>50623</v>
      </c>
      <c r="Q11811" s="10" t="s">
        <v>50624</v>
      </c>
      <c r="R11811" s="10" t="s">
        <v>50625</v>
      </c>
      <c r="S11811" s="10" t="s">
        <v>53</v>
      </c>
      <c r="T11811" s="10" t="s">
        <v>54</v>
      </c>
    </row>
    <row r="11812" spans="1:20" ht="14.5" x14ac:dyDescent="0.35">
      <c r="A11812" s="10" t="s">
        <v>50626</v>
      </c>
      <c r="B11812" s="10" t="str">
        <f>"9789766378622"</f>
        <v>9789766378622</v>
      </c>
      <c r="C11812" s="10" t="str">
        <f>"9789766379612"</f>
        <v>9789766379612</v>
      </c>
      <c r="D11812" s="10" t="s">
        <v>50627</v>
      </c>
      <c r="E11812" s="10" t="s">
        <v>50627</v>
      </c>
      <c r="F11812" s="10" t="s">
        <v>626</v>
      </c>
      <c r="G11812" s="10" t="s">
        <v>40714</v>
      </c>
      <c r="H11812" s="11">
        <v>42917</v>
      </c>
      <c r="I11812" s="10">
        <v>2017</v>
      </c>
      <c r="J11812" s="10" t="s">
        <v>50627</v>
      </c>
      <c r="K11812" s="10">
        <v>169</v>
      </c>
      <c r="L11812" s="10" t="s">
        <v>50628</v>
      </c>
      <c r="M11812" s="10">
        <v>1</v>
      </c>
      <c r="N11812" s="10"/>
      <c r="O11812" s="10"/>
      <c r="P11812" s="10" t="s">
        <v>50629</v>
      </c>
      <c r="Q11812" s="10">
        <v>370.97289999999998</v>
      </c>
      <c r="R11812" s="10" t="s">
        <v>50630</v>
      </c>
      <c r="S11812" s="10" t="s">
        <v>53</v>
      </c>
      <c r="T11812" s="10" t="s">
        <v>54</v>
      </c>
    </row>
    <row r="11813" spans="1:20" ht="14.5" x14ac:dyDescent="0.35">
      <c r="A11813" s="10" t="s">
        <v>50631</v>
      </c>
      <c r="B11813" s="10" t="str">
        <f>"9781614720393"</f>
        <v>9781614720393</v>
      </c>
      <c r="C11813" s="10" t="str">
        <f>"9781614720126"</f>
        <v>9781614720126</v>
      </c>
      <c r="D11813" s="10" t="s">
        <v>50632</v>
      </c>
      <c r="E11813" s="10" t="s">
        <v>50633</v>
      </c>
      <c r="F11813" s="10" t="s">
        <v>50634</v>
      </c>
      <c r="G11813" s="10" t="s">
        <v>6317</v>
      </c>
      <c r="H11813" s="11">
        <v>43313</v>
      </c>
      <c r="I11813" s="10">
        <v>2018</v>
      </c>
      <c r="J11813" s="10" t="s">
        <v>50635</v>
      </c>
      <c r="K11813" s="10">
        <v>246</v>
      </c>
      <c r="L11813" s="10" t="s">
        <v>50636</v>
      </c>
      <c r="M11813" s="10">
        <v>1</v>
      </c>
      <c r="N11813" s="10"/>
      <c r="O11813" s="10"/>
      <c r="P11813" s="10" t="s">
        <v>50637</v>
      </c>
      <c r="Q11813" s="10">
        <v>428.00709999999998</v>
      </c>
      <c r="R11813" s="10" t="s">
        <v>50638</v>
      </c>
      <c r="S11813" s="10" t="s">
        <v>53</v>
      </c>
      <c r="T11813" s="10" t="s">
        <v>6616</v>
      </c>
    </row>
    <row r="11814" spans="1:20" ht="14.5" x14ac:dyDescent="0.35">
      <c r="A11814" s="10" t="s">
        <v>50639</v>
      </c>
      <c r="B11814" s="10" t="str">
        <f>"9781614720270"</f>
        <v>9781614720270</v>
      </c>
      <c r="C11814" s="10" t="str">
        <f>"9781614728863"</f>
        <v>9781614728863</v>
      </c>
      <c r="D11814" s="10" t="s">
        <v>50632</v>
      </c>
      <c r="E11814" s="10" t="s">
        <v>50633</v>
      </c>
      <c r="F11814" s="10" t="s">
        <v>50634</v>
      </c>
      <c r="G11814" s="10" t="s">
        <v>6317</v>
      </c>
      <c r="H11814" s="11">
        <v>43101</v>
      </c>
      <c r="I11814" s="10">
        <v>2018</v>
      </c>
      <c r="J11814" s="10" t="s">
        <v>50635</v>
      </c>
      <c r="K11814" s="10">
        <v>260</v>
      </c>
      <c r="L11814" s="10" t="s">
        <v>50640</v>
      </c>
      <c r="M11814" s="10">
        <v>1</v>
      </c>
      <c r="N11814" s="10"/>
      <c r="O11814" s="10"/>
      <c r="P11814" s="10" t="s">
        <v>50641</v>
      </c>
      <c r="Q11814" s="10">
        <v>809</v>
      </c>
      <c r="R11814" s="10" t="s">
        <v>50642</v>
      </c>
      <c r="S11814" s="10" t="s">
        <v>53</v>
      </c>
      <c r="T11814" s="10" t="s">
        <v>1166</v>
      </c>
    </row>
    <row r="11815" spans="1:20" ht="14.5" x14ac:dyDescent="0.35">
      <c r="A11815" s="10" t="s">
        <v>50643</v>
      </c>
      <c r="B11815" s="10" t="str">
        <f>"9781464814181"</f>
        <v>9781464814181</v>
      </c>
      <c r="C11815" s="10" t="str">
        <f>"9781464814198"</f>
        <v>9781464814198</v>
      </c>
      <c r="D11815" s="10" t="s">
        <v>14731</v>
      </c>
      <c r="E11815" s="10" t="s">
        <v>14732</v>
      </c>
      <c r="F11815" s="10" t="s">
        <v>11765</v>
      </c>
      <c r="G11815" s="10" t="s">
        <v>6317</v>
      </c>
      <c r="H11815" s="11">
        <v>43739</v>
      </c>
      <c r="I11815" s="10">
        <v>2019</v>
      </c>
      <c r="J11815" s="10" t="s">
        <v>14732</v>
      </c>
      <c r="K11815" s="10">
        <v>353</v>
      </c>
      <c r="L11815" s="10" t="s">
        <v>50644</v>
      </c>
      <c r="M11815" s="10">
        <v>1</v>
      </c>
      <c r="N11815" s="10"/>
      <c r="O11815" s="10"/>
      <c r="P11815" s="10" t="s">
        <v>50645</v>
      </c>
      <c r="Q11815" s="10">
        <v>371.26</v>
      </c>
      <c r="R11815" s="10" t="s">
        <v>50646</v>
      </c>
      <c r="S11815" s="10" t="s">
        <v>53</v>
      </c>
      <c r="T11815" s="10" t="s">
        <v>54</v>
      </c>
    </row>
    <row r="11816" spans="1:20" ht="14.5" x14ac:dyDescent="0.35">
      <c r="A11816" s="10" t="s">
        <v>50647</v>
      </c>
      <c r="B11816" s="10" t="str">
        <f>"9781949539233"</f>
        <v>9781949539233</v>
      </c>
      <c r="C11816" s="10" t="str">
        <f>"9781949539240"</f>
        <v>9781949539240</v>
      </c>
      <c r="D11816" s="10" t="s">
        <v>37580</v>
      </c>
      <c r="E11816" s="10" t="s">
        <v>37581</v>
      </c>
      <c r="F11816" s="10" t="s">
        <v>37623</v>
      </c>
      <c r="G11816" s="10" t="s">
        <v>6317</v>
      </c>
      <c r="H11816" s="11">
        <v>43756</v>
      </c>
      <c r="I11816" s="10">
        <v>2020</v>
      </c>
      <c r="J11816" s="10" t="s">
        <v>37581</v>
      </c>
      <c r="K11816" s="10">
        <v>152</v>
      </c>
      <c r="L11816" s="10" t="s">
        <v>50648</v>
      </c>
      <c r="M11816" s="10">
        <v>1</v>
      </c>
      <c r="N11816" s="10"/>
      <c r="O11816" s="10"/>
      <c r="P11816" s="10" t="s">
        <v>50649</v>
      </c>
      <c r="Q11816" s="10">
        <v>370.71100000000001</v>
      </c>
      <c r="R11816" s="10" t="s">
        <v>50650</v>
      </c>
      <c r="S11816" s="10" t="s">
        <v>53</v>
      </c>
      <c r="T11816" s="10" t="s">
        <v>54</v>
      </c>
    </row>
    <row r="11817" spans="1:20" ht="14.5" x14ac:dyDescent="0.35">
      <c r="A11817" s="10" t="s">
        <v>50651</v>
      </c>
      <c r="B11817" s="10" t="str">
        <f>"9781943360185"</f>
        <v>9781943360185</v>
      </c>
      <c r="C11817" s="10" t="str">
        <f>"9781943360192"</f>
        <v>9781943360192</v>
      </c>
      <c r="D11817" s="10" t="s">
        <v>37594</v>
      </c>
      <c r="E11817" s="10" t="s">
        <v>37594</v>
      </c>
      <c r="F11817" s="10" t="s">
        <v>37623</v>
      </c>
      <c r="G11817" s="10" t="s">
        <v>6317</v>
      </c>
      <c r="H11817" s="11">
        <v>43791</v>
      </c>
      <c r="I11817" s="10">
        <v>2020</v>
      </c>
      <c r="J11817" s="10" t="s">
        <v>37594</v>
      </c>
      <c r="K11817" s="10">
        <v>272</v>
      </c>
      <c r="L11817" s="10" t="s">
        <v>50652</v>
      </c>
      <c r="M11817" s="10">
        <v>1</v>
      </c>
      <c r="N11817" s="10"/>
      <c r="O11817" s="10"/>
      <c r="P11817" s="10" t="s">
        <v>50653</v>
      </c>
      <c r="Q11817" s="10">
        <v>370.11</v>
      </c>
      <c r="R11817" s="10" t="s">
        <v>50654</v>
      </c>
      <c r="S11817" s="10" t="s">
        <v>53</v>
      </c>
      <c r="T11817" s="10" t="s">
        <v>54</v>
      </c>
    </row>
    <row r="11818" spans="1:20" ht="14.5" x14ac:dyDescent="0.35">
      <c r="A11818" s="10" t="s">
        <v>50655</v>
      </c>
      <c r="B11818" s="10" t="str">
        <f>"9781949539431"</f>
        <v>9781949539431</v>
      </c>
      <c r="C11818" s="10" t="str">
        <f>"9781949539448"</f>
        <v>9781949539448</v>
      </c>
      <c r="D11818" s="10" t="s">
        <v>37580</v>
      </c>
      <c r="E11818" s="10" t="s">
        <v>37581</v>
      </c>
      <c r="F11818" s="10" t="s">
        <v>37623</v>
      </c>
      <c r="G11818" s="10" t="s">
        <v>6317</v>
      </c>
      <c r="H11818" s="11">
        <v>43816</v>
      </c>
      <c r="I11818" s="10">
        <v>2020</v>
      </c>
      <c r="J11818" s="10" t="s">
        <v>37581</v>
      </c>
      <c r="K11818" s="10">
        <v>200</v>
      </c>
      <c r="L11818" s="10" t="s">
        <v>42214</v>
      </c>
      <c r="M11818" s="10">
        <v>1</v>
      </c>
      <c r="N11818" s="10"/>
      <c r="O11818" s="10"/>
      <c r="P11818" s="10" t="s">
        <v>50656</v>
      </c>
      <c r="Q11818" s="10">
        <v>370.15199999999999</v>
      </c>
      <c r="R11818" s="10" t="s">
        <v>50657</v>
      </c>
      <c r="S11818" s="10" t="s">
        <v>53</v>
      </c>
      <c r="T11818" s="10" t="s">
        <v>54</v>
      </c>
    </row>
    <row r="11819" spans="1:20" ht="14.5" x14ac:dyDescent="0.35">
      <c r="A11819" s="10" t="s">
        <v>50658</v>
      </c>
      <c r="B11819" s="10" t="str">
        <f>"9781949539417"</f>
        <v>9781949539417</v>
      </c>
      <c r="C11819" s="10" t="str">
        <f>"9781949539424"</f>
        <v>9781949539424</v>
      </c>
      <c r="D11819" s="10" t="s">
        <v>37580</v>
      </c>
      <c r="E11819" s="10" t="s">
        <v>37581</v>
      </c>
      <c r="F11819" s="10" t="s">
        <v>37623</v>
      </c>
      <c r="G11819" s="10" t="s">
        <v>6317</v>
      </c>
      <c r="H11819" s="11">
        <v>43823</v>
      </c>
      <c r="I11819" s="10">
        <v>2020</v>
      </c>
      <c r="J11819" s="10" t="s">
        <v>37581</v>
      </c>
      <c r="K11819" s="10">
        <v>160</v>
      </c>
      <c r="L11819" s="10" t="s">
        <v>50659</v>
      </c>
      <c r="M11819" s="10">
        <v>1</v>
      </c>
      <c r="N11819" s="10"/>
      <c r="O11819" s="10"/>
      <c r="P11819" s="10" t="s">
        <v>50660</v>
      </c>
      <c r="Q11819" s="10">
        <v>371.10219999999998</v>
      </c>
      <c r="R11819" s="10" t="s">
        <v>12113</v>
      </c>
      <c r="S11819" s="10" t="s">
        <v>53</v>
      </c>
      <c r="T11819" s="10" t="s">
        <v>54</v>
      </c>
    </row>
    <row r="11820" spans="1:20" ht="14.5" x14ac:dyDescent="0.35">
      <c r="A11820" s="10" t="s">
        <v>50661</v>
      </c>
      <c r="B11820" s="10" t="str">
        <f>"9781620368862"</f>
        <v>9781620368862</v>
      </c>
      <c r="C11820" s="10" t="str">
        <f>"9781000973297"</f>
        <v>9781000973297</v>
      </c>
      <c r="D11820" s="10" t="s">
        <v>6350</v>
      </c>
      <c r="E11820" s="10" t="s">
        <v>6351</v>
      </c>
      <c r="F11820" s="10" t="s">
        <v>748</v>
      </c>
      <c r="G11820" s="10" t="s">
        <v>6352</v>
      </c>
      <c r="H11820" s="11">
        <v>43817</v>
      </c>
      <c r="I11820" s="10">
        <v>2020</v>
      </c>
      <c r="J11820" s="10" t="s">
        <v>6351</v>
      </c>
      <c r="K11820" s="10">
        <v>249</v>
      </c>
      <c r="L11820" s="10" t="s">
        <v>50662</v>
      </c>
      <c r="M11820" s="10">
        <v>1</v>
      </c>
      <c r="N11820" s="10"/>
      <c r="O11820" s="10"/>
      <c r="P11820" s="10" t="s">
        <v>50663</v>
      </c>
      <c r="Q11820" s="10">
        <v>378.101</v>
      </c>
      <c r="R11820" s="10" t="s">
        <v>50664</v>
      </c>
      <c r="S11820" s="10" t="s">
        <v>53</v>
      </c>
      <c r="T11820" s="10" t="s">
        <v>54</v>
      </c>
    </row>
    <row r="11821" spans="1:20" ht="14.5" x14ac:dyDescent="0.35">
      <c r="A11821" s="10" t="s">
        <v>50665</v>
      </c>
      <c r="B11821" s="10" t="str">
        <f>"9780367331344"</f>
        <v>9780367331344</v>
      </c>
      <c r="C11821" s="10" t="str">
        <f>"9781000766493"</f>
        <v>9781000766493</v>
      </c>
      <c r="D11821" s="10" t="s">
        <v>6350</v>
      </c>
      <c r="E11821" s="10" t="s">
        <v>6351</v>
      </c>
      <c r="F11821" s="10" t="s">
        <v>748</v>
      </c>
      <c r="G11821" s="10" t="s">
        <v>6352</v>
      </c>
      <c r="H11821" s="11">
        <v>43809</v>
      </c>
      <c r="I11821" s="10">
        <v>2020</v>
      </c>
      <c r="J11821" s="10" t="s">
        <v>6351</v>
      </c>
      <c r="K11821" s="10">
        <v>201</v>
      </c>
      <c r="L11821" s="10" t="s">
        <v>50666</v>
      </c>
      <c r="M11821" s="10">
        <v>3</v>
      </c>
      <c r="N11821" s="10"/>
      <c r="O11821" s="10"/>
      <c r="P11821" s="10" t="s">
        <v>50667</v>
      </c>
      <c r="Q11821" s="10">
        <v>371.30281000000002</v>
      </c>
      <c r="R11821" s="10" t="s">
        <v>50668</v>
      </c>
      <c r="S11821" s="10" t="s">
        <v>53</v>
      </c>
      <c r="T11821" s="10" t="s">
        <v>54</v>
      </c>
    </row>
    <row r="11822" spans="1:20" ht="14.5" x14ac:dyDescent="0.35">
      <c r="A11822" s="10" t="s">
        <v>50669</v>
      </c>
      <c r="B11822" s="10" t="str">
        <f>"9781119472421"</f>
        <v>9781119472421</v>
      </c>
      <c r="C11822" s="10" t="str">
        <f>"9781119472407"</f>
        <v>9781119472407</v>
      </c>
      <c r="D11822" s="10" t="s">
        <v>6322</v>
      </c>
      <c r="E11822" s="10" t="s">
        <v>6323</v>
      </c>
      <c r="F11822" s="10" t="s">
        <v>4423</v>
      </c>
      <c r="G11822" s="10" t="s">
        <v>6352</v>
      </c>
      <c r="H11822" s="11">
        <v>43864</v>
      </c>
      <c r="I11822" s="10">
        <v>2020</v>
      </c>
      <c r="J11822" s="10" t="s">
        <v>8436</v>
      </c>
      <c r="K11822" s="10">
        <v>526</v>
      </c>
      <c r="L11822" s="10" t="s">
        <v>50670</v>
      </c>
      <c r="M11822" s="10">
        <v>1</v>
      </c>
      <c r="N11822" s="10" t="s">
        <v>50671</v>
      </c>
      <c r="O11822" s="10"/>
      <c r="P11822" s="10"/>
      <c r="Q11822" s="10"/>
      <c r="R11822" s="10" t="s">
        <v>50672</v>
      </c>
      <c r="S11822" s="10" t="s">
        <v>53</v>
      </c>
      <c r="T11822" s="10" t="s">
        <v>6634</v>
      </c>
    </row>
    <row r="11823" spans="1:20" ht="14.5" x14ac:dyDescent="0.35">
      <c r="A11823" s="10" t="s">
        <v>50673</v>
      </c>
      <c r="B11823" s="10" t="str">
        <f>"9780830851706"</f>
        <v>9780830851706</v>
      </c>
      <c r="C11823" s="10" t="str">
        <f>"9780830883059"</f>
        <v>9780830883059</v>
      </c>
      <c r="D11823" s="10" t="s">
        <v>42835</v>
      </c>
      <c r="E11823" s="10" t="s">
        <v>42835</v>
      </c>
      <c r="F11823" s="10" t="s">
        <v>42836</v>
      </c>
      <c r="G11823" s="10" t="s">
        <v>6317</v>
      </c>
      <c r="H11823" s="11">
        <v>42864</v>
      </c>
      <c r="I11823" s="10">
        <v>2017</v>
      </c>
      <c r="J11823" s="10" t="s">
        <v>42835</v>
      </c>
      <c r="K11823" s="10">
        <v>111</v>
      </c>
      <c r="L11823" s="10" t="s">
        <v>50674</v>
      </c>
      <c r="M11823" s="10">
        <v>1</v>
      </c>
      <c r="N11823" s="10" t="s">
        <v>50675</v>
      </c>
      <c r="O11823" s="10"/>
      <c r="P11823" s="10"/>
      <c r="Q11823" s="10"/>
      <c r="R11823" s="10" t="s">
        <v>50676</v>
      </c>
      <c r="S11823" s="10" t="s">
        <v>53</v>
      </c>
      <c r="T11823" s="10" t="s">
        <v>7863</v>
      </c>
    </row>
    <row r="11824" spans="1:20" ht="14.5" x14ac:dyDescent="0.35">
      <c r="A11824" s="10" t="s">
        <v>18896</v>
      </c>
      <c r="B11824" s="10" t="str">
        <f>"9781119595847"</f>
        <v>9781119595847</v>
      </c>
      <c r="C11824" s="10" t="str">
        <f>"9781119595786"</f>
        <v>9781119595786</v>
      </c>
      <c r="D11824" s="10" t="s">
        <v>6322</v>
      </c>
      <c r="E11824" s="10" t="s">
        <v>6323</v>
      </c>
      <c r="F11824" s="10" t="s">
        <v>4423</v>
      </c>
      <c r="G11824" s="10" t="s">
        <v>6317</v>
      </c>
      <c r="H11824" s="11">
        <v>43859</v>
      </c>
      <c r="I11824" s="10">
        <v>2020</v>
      </c>
      <c r="J11824" s="10" t="s">
        <v>6324</v>
      </c>
      <c r="K11824" s="10">
        <v>194</v>
      </c>
      <c r="L11824" s="10" t="s">
        <v>7403</v>
      </c>
      <c r="M11824" s="10">
        <v>2</v>
      </c>
      <c r="N11824" s="10"/>
      <c r="O11824" s="10"/>
      <c r="P11824" s="10" t="s">
        <v>50677</v>
      </c>
      <c r="Q11824" s="10">
        <v>371.2</v>
      </c>
      <c r="R11824" s="10" t="s">
        <v>18898</v>
      </c>
      <c r="S11824" s="10" t="s">
        <v>53</v>
      </c>
      <c r="T11824" s="10" t="s">
        <v>54</v>
      </c>
    </row>
    <row r="11825" spans="1:20" ht="14.5" x14ac:dyDescent="0.35">
      <c r="A11825" s="10" t="s">
        <v>50678</v>
      </c>
      <c r="B11825" s="10" t="str">
        <f>"9781786304889"</f>
        <v>9781786304889</v>
      </c>
      <c r="C11825" s="10" t="str">
        <f>"9781119681533"</f>
        <v>9781119681533</v>
      </c>
      <c r="D11825" s="10" t="s">
        <v>6322</v>
      </c>
      <c r="E11825" s="10" t="s">
        <v>6323</v>
      </c>
      <c r="F11825" s="10" t="s">
        <v>4423</v>
      </c>
      <c r="G11825" s="10" t="s">
        <v>6317</v>
      </c>
      <c r="H11825" s="11">
        <v>43832</v>
      </c>
      <c r="I11825" s="10">
        <v>2020</v>
      </c>
      <c r="J11825" s="10" t="s">
        <v>6323</v>
      </c>
      <c r="K11825" s="10">
        <v>205</v>
      </c>
      <c r="L11825" s="10" t="s">
        <v>50679</v>
      </c>
      <c r="M11825" s="10">
        <v>1</v>
      </c>
      <c r="N11825" s="10"/>
      <c r="O11825" s="10"/>
      <c r="P11825" s="10"/>
      <c r="Q11825" s="10">
        <v>1.4</v>
      </c>
      <c r="R11825" s="10" t="s">
        <v>44942</v>
      </c>
      <c r="S11825" s="10" t="s">
        <v>53</v>
      </c>
      <c r="T11825" s="10" t="s">
        <v>6601</v>
      </c>
    </row>
    <row r="11826" spans="1:20" ht="14.5" x14ac:dyDescent="0.35">
      <c r="A11826" s="10" t="s">
        <v>50680</v>
      </c>
      <c r="B11826" s="10" t="str">
        <f>""</f>
        <v/>
      </c>
      <c r="C11826" s="10" t="str">
        <f>"9781564847676"</f>
        <v>9781564847676</v>
      </c>
      <c r="D11826" s="10" t="s">
        <v>9533</v>
      </c>
      <c r="E11826" s="10" t="s">
        <v>45783</v>
      </c>
      <c r="F11826" s="10" t="s">
        <v>25348</v>
      </c>
      <c r="G11826" s="10" t="s">
        <v>6317</v>
      </c>
      <c r="H11826" s="11">
        <v>43524</v>
      </c>
      <c r="I11826" s="10">
        <v>2019</v>
      </c>
      <c r="J11826" s="10" t="s">
        <v>45783</v>
      </c>
      <c r="K11826" s="10">
        <v>105</v>
      </c>
      <c r="L11826" s="10" t="s">
        <v>50681</v>
      </c>
      <c r="M11826" s="10">
        <v>1</v>
      </c>
      <c r="N11826" s="10"/>
      <c r="O11826" s="10"/>
      <c r="P11826" s="10" t="s">
        <v>50682</v>
      </c>
      <c r="Q11826" s="10">
        <v>371.33</v>
      </c>
      <c r="R11826" s="10" t="s">
        <v>50683</v>
      </c>
      <c r="S11826" s="10" t="s">
        <v>53</v>
      </c>
      <c r="T11826" s="10" t="s">
        <v>54</v>
      </c>
    </row>
    <row r="11827" spans="1:20" ht="14.5" x14ac:dyDescent="0.35">
      <c r="A11827" s="10" t="s">
        <v>50684</v>
      </c>
      <c r="B11827" s="10" t="str">
        <f>"9781978802124"</f>
        <v>9781978802124</v>
      </c>
      <c r="C11827" s="10" t="str">
        <f>"9781978802162"</f>
        <v>9781978802162</v>
      </c>
      <c r="D11827" s="10" t="s">
        <v>12251</v>
      </c>
      <c r="E11827" s="10" t="s">
        <v>12251</v>
      </c>
      <c r="F11827" s="10" t="s">
        <v>12451</v>
      </c>
      <c r="G11827" s="10" t="s">
        <v>6317</v>
      </c>
      <c r="H11827" s="11">
        <v>43875</v>
      </c>
      <c r="I11827" s="10">
        <v>2020</v>
      </c>
      <c r="J11827" s="10" t="s">
        <v>12251</v>
      </c>
      <c r="K11827" s="10">
        <v>257</v>
      </c>
      <c r="L11827" s="10" t="s">
        <v>50685</v>
      </c>
      <c r="M11827" s="10">
        <v>1</v>
      </c>
      <c r="N11827" s="10"/>
      <c r="O11827" s="10"/>
      <c r="P11827" s="10" t="s">
        <v>50686</v>
      </c>
      <c r="Q11827" s="10">
        <v>796.09199999999998</v>
      </c>
      <c r="R11827" s="10"/>
      <c r="S11827" s="10" t="s">
        <v>53</v>
      </c>
      <c r="T11827" s="10" t="s">
        <v>7340</v>
      </c>
    </row>
    <row r="11828" spans="1:20" ht="14.5" x14ac:dyDescent="0.35">
      <c r="A11828" s="10" t="s">
        <v>50687</v>
      </c>
      <c r="B11828" s="10" t="str">
        <f>"9781839099946"</f>
        <v>9781839099946</v>
      </c>
      <c r="C11828" s="10" t="str">
        <f>"9781839099953"</f>
        <v>9781839099953</v>
      </c>
      <c r="D11828" s="10" t="s">
        <v>8699</v>
      </c>
      <c r="E11828" s="10" t="s">
        <v>8699</v>
      </c>
      <c r="F11828" s="10" t="s">
        <v>41843</v>
      </c>
      <c r="G11828" s="10" t="s">
        <v>6352</v>
      </c>
      <c r="H11828" s="11">
        <v>43769</v>
      </c>
      <c r="I11828" s="10">
        <v>2019</v>
      </c>
      <c r="J11828" s="10" t="s">
        <v>8699</v>
      </c>
      <c r="K11828" s="10">
        <v>117</v>
      </c>
      <c r="L11828" s="10" t="s">
        <v>49190</v>
      </c>
      <c r="M11828" s="10">
        <v>1</v>
      </c>
      <c r="N11828" s="10" t="s">
        <v>50567</v>
      </c>
      <c r="O11828" s="12">
        <v>45355</v>
      </c>
      <c r="P11828" s="10" t="s">
        <v>50688</v>
      </c>
      <c r="Q11828" s="10">
        <v>658</v>
      </c>
      <c r="R11828" s="10" t="s">
        <v>50689</v>
      </c>
      <c r="S11828" s="10" t="s">
        <v>53</v>
      </c>
      <c r="T11828" s="10" t="s">
        <v>6660</v>
      </c>
    </row>
    <row r="11829" spans="1:20" ht="14.5" x14ac:dyDescent="0.35">
      <c r="A11829" s="10" t="s">
        <v>50690</v>
      </c>
      <c r="B11829" s="10" t="str">
        <f>"9781839097720"</f>
        <v>9781839097720</v>
      </c>
      <c r="C11829" s="10" t="str">
        <f>"9781839097737"</f>
        <v>9781839097737</v>
      </c>
      <c r="D11829" s="10" t="s">
        <v>8699</v>
      </c>
      <c r="E11829" s="10" t="s">
        <v>8699</v>
      </c>
      <c r="F11829" s="10" t="s">
        <v>41843</v>
      </c>
      <c r="G11829" s="10" t="s">
        <v>6352</v>
      </c>
      <c r="H11829" s="11">
        <v>43762</v>
      </c>
      <c r="I11829" s="10">
        <v>2019</v>
      </c>
      <c r="J11829" s="10" t="s">
        <v>8699</v>
      </c>
      <c r="K11829" s="10">
        <v>81</v>
      </c>
      <c r="L11829" s="10" t="s">
        <v>50691</v>
      </c>
      <c r="M11829" s="10">
        <v>1</v>
      </c>
      <c r="N11829" s="10" t="s">
        <v>50692</v>
      </c>
      <c r="O11829" s="10">
        <v>4</v>
      </c>
      <c r="P11829" s="10" t="s">
        <v>50693</v>
      </c>
      <c r="Q11829" s="10">
        <v>374</v>
      </c>
      <c r="R11829" s="10" t="s">
        <v>11901</v>
      </c>
      <c r="S11829" s="10" t="s">
        <v>53</v>
      </c>
      <c r="T11829" s="10" t="s">
        <v>54</v>
      </c>
    </row>
    <row r="11830" spans="1:20" ht="14.5" x14ac:dyDescent="0.35">
      <c r="A11830" s="10" t="s">
        <v>50694</v>
      </c>
      <c r="B11830" s="10" t="str">
        <f>"9789004406865"</f>
        <v>9789004406865</v>
      </c>
      <c r="C11830" s="10" t="str">
        <f>"9789004406872"</f>
        <v>9789004406872</v>
      </c>
      <c r="D11830" s="10" t="s">
        <v>8564</v>
      </c>
      <c r="E11830" s="10" t="s">
        <v>8565</v>
      </c>
      <c r="F11830" s="10" t="s">
        <v>1420</v>
      </c>
      <c r="G11830" s="10" t="s">
        <v>6317</v>
      </c>
      <c r="H11830" s="11">
        <v>43804</v>
      </c>
      <c r="I11830" s="10">
        <v>2020</v>
      </c>
      <c r="J11830" s="10" t="s">
        <v>33259</v>
      </c>
      <c r="K11830" s="10">
        <v>222</v>
      </c>
      <c r="L11830" s="10" t="s">
        <v>50695</v>
      </c>
      <c r="M11830" s="10">
        <v>1</v>
      </c>
      <c r="N11830" s="10"/>
      <c r="O11830" s="10"/>
      <c r="P11830" s="10"/>
      <c r="Q11830" s="10"/>
      <c r="R11830" s="10" t="s">
        <v>50696</v>
      </c>
      <c r="S11830" s="10" t="s">
        <v>53</v>
      </c>
      <c r="T11830" s="10" t="s">
        <v>54</v>
      </c>
    </row>
    <row r="11831" spans="1:20" ht="14.5" x14ac:dyDescent="0.35">
      <c r="A11831" s="10" t="s">
        <v>50697</v>
      </c>
      <c r="B11831" s="10" t="str">
        <f>"9789004388727"</f>
        <v>9789004388727</v>
      </c>
      <c r="C11831" s="10" t="str">
        <f>"9789004417311"</f>
        <v>9789004417311</v>
      </c>
      <c r="D11831" s="10" t="s">
        <v>8564</v>
      </c>
      <c r="E11831" s="10" t="s">
        <v>8565</v>
      </c>
      <c r="F11831" s="10" t="s">
        <v>1420</v>
      </c>
      <c r="G11831" s="10" t="s">
        <v>6317</v>
      </c>
      <c r="H11831" s="11">
        <v>43770</v>
      </c>
      <c r="I11831" s="10">
        <v>2020</v>
      </c>
      <c r="J11831" s="10" t="s">
        <v>33259</v>
      </c>
      <c r="K11831" s="10">
        <v>319</v>
      </c>
      <c r="L11831" s="10" t="s">
        <v>50698</v>
      </c>
      <c r="M11831" s="10">
        <v>1</v>
      </c>
      <c r="N11831" s="10" t="s">
        <v>40818</v>
      </c>
      <c r="O11831" s="10">
        <v>9</v>
      </c>
      <c r="P11831" s="10"/>
      <c r="Q11831" s="10"/>
      <c r="R11831" s="10" t="s">
        <v>50699</v>
      </c>
      <c r="S11831" s="10" t="s">
        <v>53</v>
      </c>
      <c r="T11831" s="10" t="s">
        <v>54</v>
      </c>
    </row>
    <row r="11832" spans="1:20" ht="14.5" x14ac:dyDescent="0.35">
      <c r="A11832" s="10" t="s">
        <v>50700</v>
      </c>
      <c r="B11832" s="10" t="str">
        <f>"9789004396104"</f>
        <v>9789004396104</v>
      </c>
      <c r="C11832" s="10" t="str">
        <f>"9789004419551"</f>
        <v>9789004419551</v>
      </c>
      <c r="D11832" s="10" t="s">
        <v>8564</v>
      </c>
      <c r="E11832" s="10" t="s">
        <v>8565</v>
      </c>
      <c r="F11832" s="10" t="s">
        <v>1420</v>
      </c>
      <c r="G11832" s="10" t="s">
        <v>6317</v>
      </c>
      <c r="H11832" s="11">
        <v>43797</v>
      </c>
      <c r="I11832" s="10">
        <v>2020</v>
      </c>
      <c r="J11832" s="10" t="s">
        <v>33259</v>
      </c>
      <c r="K11832" s="10">
        <v>234</v>
      </c>
      <c r="L11832" s="10" t="s">
        <v>50701</v>
      </c>
      <c r="M11832" s="10">
        <v>1</v>
      </c>
      <c r="N11832" s="10" t="s">
        <v>50702</v>
      </c>
      <c r="O11832" s="10">
        <v>6</v>
      </c>
      <c r="P11832" s="10"/>
      <c r="Q11832" s="10"/>
      <c r="R11832" s="10" t="s">
        <v>50703</v>
      </c>
      <c r="S11832" s="10" t="s">
        <v>53</v>
      </c>
      <c r="T11832" s="10" t="s">
        <v>54</v>
      </c>
    </row>
    <row r="11833" spans="1:20" ht="14.5" x14ac:dyDescent="0.35">
      <c r="A11833" s="10" t="s">
        <v>50704</v>
      </c>
      <c r="B11833" s="10" t="str">
        <f>"9780300237139"</f>
        <v>9780300237139</v>
      </c>
      <c r="C11833" s="10" t="str">
        <f>"9780300248814"</f>
        <v>9780300248814</v>
      </c>
      <c r="D11833" s="10" t="s">
        <v>38767</v>
      </c>
      <c r="E11833" s="10" t="s">
        <v>38767</v>
      </c>
      <c r="F11833" s="10" t="s">
        <v>38768</v>
      </c>
      <c r="G11833" s="10" t="s">
        <v>6317</v>
      </c>
      <c r="H11833" s="11">
        <v>43837</v>
      </c>
      <c r="I11833" s="10">
        <v>2020</v>
      </c>
      <c r="J11833" s="10" t="s">
        <v>38767</v>
      </c>
      <c r="K11833" s="10">
        <v>287</v>
      </c>
      <c r="L11833" s="10" t="s">
        <v>50705</v>
      </c>
      <c r="M11833" s="10">
        <v>1</v>
      </c>
      <c r="N11833" s="10"/>
      <c r="O11833" s="10"/>
      <c r="P11833" s="10"/>
      <c r="Q11833" s="10">
        <v>510.1</v>
      </c>
      <c r="R11833" s="10" t="s">
        <v>50706</v>
      </c>
      <c r="S11833" s="10" t="s">
        <v>53</v>
      </c>
      <c r="T11833" s="10" t="s">
        <v>389</v>
      </c>
    </row>
    <row r="11834" spans="1:20" ht="14.5" x14ac:dyDescent="0.35">
      <c r="A11834" s="10" t="s">
        <v>50707</v>
      </c>
      <c r="B11834" s="10" t="str">
        <f>""</f>
        <v/>
      </c>
      <c r="C11834" s="10" t="str">
        <f>"9781975502652"</f>
        <v>9781975502652</v>
      </c>
      <c r="D11834" s="10" t="s">
        <v>44271</v>
      </c>
      <c r="E11834" s="10" t="s">
        <v>47266</v>
      </c>
      <c r="F11834" s="10" t="s">
        <v>41227</v>
      </c>
      <c r="G11834" s="10" t="s">
        <v>6317</v>
      </c>
      <c r="H11834" s="11">
        <v>43819</v>
      </c>
      <c r="I11834" s="10">
        <v>2019</v>
      </c>
      <c r="J11834" s="10" t="s">
        <v>47266</v>
      </c>
      <c r="K11834" s="10">
        <v>239</v>
      </c>
      <c r="L11834" s="10" t="s">
        <v>50708</v>
      </c>
      <c r="M11834" s="10">
        <v>1</v>
      </c>
      <c r="N11834" s="10" t="s">
        <v>47473</v>
      </c>
      <c r="O11834" s="10"/>
      <c r="P11834" s="10" t="s">
        <v>50709</v>
      </c>
      <c r="Q11834" s="10">
        <v>378.19684999999902</v>
      </c>
      <c r="R11834" s="10" t="s">
        <v>50710</v>
      </c>
      <c r="S11834" s="10" t="s">
        <v>53</v>
      </c>
      <c r="T11834" s="10" t="s">
        <v>54</v>
      </c>
    </row>
    <row r="11835" spans="1:20" ht="14.5" x14ac:dyDescent="0.35">
      <c r="A11835" s="10" t="s">
        <v>50711</v>
      </c>
      <c r="B11835" s="10" t="str">
        <f>"9789004389748"</f>
        <v>9789004389748</v>
      </c>
      <c r="C11835" s="10" t="str">
        <f>"9789004422506"</f>
        <v>9789004422506</v>
      </c>
      <c r="D11835" s="10" t="s">
        <v>8564</v>
      </c>
      <c r="E11835" s="10" t="s">
        <v>8565</v>
      </c>
      <c r="F11835" s="10" t="s">
        <v>1420</v>
      </c>
      <c r="G11835" s="10" t="s">
        <v>6317</v>
      </c>
      <c r="H11835" s="11">
        <v>43818</v>
      </c>
      <c r="I11835" s="10">
        <v>2020</v>
      </c>
      <c r="J11835" s="10" t="s">
        <v>33259</v>
      </c>
      <c r="K11835" s="10">
        <v>209</v>
      </c>
      <c r="L11835" s="10" t="s">
        <v>33759</v>
      </c>
      <c r="M11835" s="10">
        <v>1</v>
      </c>
      <c r="N11835" s="10" t="s">
        <v>33751</v>
      </c>
      <c r="O11835" s="10">
        <v>67</v>
      </c>
      <c r="P11835" s="10"/>
      <c r="Q11835" s="10"/>
      <c r="R11835" s="10" t="s">
        <v>50712</v>
      </c>
      <c r="S11835" s="10" t="s">
        <v>53</v>
      </c>
      <c r="T11835" s="10" t="s">
        <v>54</v>
      </c>
    </row>
    <row r="11836" spans="1:20" ht="14.5" x14ac:dyDescent="0.35">
      <c r="A11836" s="10" t="s">
        <v>50713</v>
      </c>
      <c r="B11836" s="10" t="str">
        <f>"9789004411463"</f>
        <v>9789004411463</v>
      </c>
      <c r="C11836" s="10" t="str">
        <f>"9789004411470"</f>
        <v>9789004411470</v>
      </c>
      <c r="D11836" s="10" t="s">
        <v>8564</v>
      </c>
      <c r="E11836" s="10" t="s">
        <v>8565</v>
      </c>
      <c r="F11836" s="10" t="s">
        <v>1420</v>
      </c>
      <c r="G11836" s="10" t="s">
        <v>6317</v>
      </c>
      <c r="H11836" s="11">
        <v>43818</v>
      </c>
      <c r="I11836" s="10">
        <v>2020</v>
      </c>
      <c r="J11836" s="10" t="s">
        <v>33259</v>
      </c>
      <c r="K11836" s="10">
        <v>275</v>
      </c>
      <c r="L11836" s="10" t="s">
        <v>50714</v>
      </c>
      <c r="M11836" s="10">
        <v>1</v>
      </c>
      <c r="N11836" s="10" t="s">
        <v>45010</v>
      </c>
      <c r="O11836" s="10">
        <v>9</v>
      </c>
      <c r="P11836" s="10"/>
      <c r="Q11836" s="10"/>
      <c r="R11836" s="10" t="s">
        <v>50715</v>
      </c>
      <c r="S11836" s="10" t="s">
        <v>53</v>
      </c>
      <c r="T11836" s="10" t="s">
        <v>54</v>
      </c>
    </row>
    <row r="11837" spans="1:20" ht="14.5" x14ac:dyDescent="0.35">
      <c r="A11837" s="10" t="s">
        <v>50716</v>
      </c>
      <c r="B11837" s="10" t="str">
        <f>"9781416628378"</f>
        <v>9781416628378</v>
      </c>
      <c r="C11837" s="10" t="str">
        <f>"9781416628392"</f>
        <v>9781416628392</v>
      </c>
      <c r="D11837" s="10" t="s">
        <v>10014</v>
      </c>
      <c r="E11837" s="10" t="s">
        <v>10015</v>
      </c>
      <c r="F11837" s="10" t="s">
        <v>201</v>
      </c>
      <c r="G11837" s="10" t="s">
        <v>6317</v>
      </c>
      <c r="H11837" s="11">
        <v>43810</v>
      </c>
      <c r="I11837" s="10">
        <v>2020</v>
      </c>
      <c r="J11837" s="10" t="s">
        <v>10015</v>
      </c>
      <c r="K11837" s="10">
        <v>210</v>
      </c>
      <c r="L11837" s="10" t="s">
        <v>32281</v>
      </c>
      <c r="M11837" s="10">
        <v>1</v>
      </c>
      <c r="N11837" s="10"/>
      <c r="O11837" s="10"/>
      <c r="P11837" s="10" t="s">
        <v>50717</v>
      </c>
      <c r="Q11837" s="10">
        <v>370.15339999999901</v>
      </c>
      <c r="R11837" s="10" t="s">
        <v>43957</v>
      </c>
      <c r="S11837" s="10" t="s">
        <v>53</v>
      </c>
      <c r="T11837" s="10" t="s">
        <v>54</v>
      </c>
    </row>
    <row r="11838" spans="1:20" ht="14.5" x14ac:dyDescent="0.35">
      <c r="A11838" s="10" t="s">
        <v>50718</v>
      </c>
      <c r="B11838" s="10" t="str">
        <f>"9781412981316"</f>
        <v>9781412981316</v>
      </c>
      <c r="C11838" s="10" t="str">
        <f>"9781452206899"</f>
        <v>9781452206899</v>
      </c>
      <c r="D11838" s="10" t="s">
        <v>22210</v>
      </c>
      <c r="E11838" s="10" t="s">
        <v>22211</v>
      </c>
      <c r="F11838" s="10" t="s">
        <v>333</v>
      </c>
      <c r="G11838" s="10" t="s">
        <v>6317</v>
      </c>
      <c r="H11838" s="11">
        <v>40142</v>
      </c>
      <c r="I11838" s="10">
        <v>2010</v>
      </c>
      <c r="J11838" s="10" t="s">
        <v>22211</v>
      </c>
      <c r="K11838" s="10">
        <v>97</v>
      </c>
      <c r="L11838" s="10" t="s">
        <v>7403</v>
      </c>
      <c r="M11838" s="10">
        <v>1</v>
      </c>
      <c r="N11838" s="10"/>
      <c r="O11838" s="10"/>
      <c r="P11838" s="10" t="s">
        <v>50719</v>
      </c>
      <c r="Q11838" s="10">
        <v>371.2</v>
      </c>
      <c r="R11838" s="10"/>
      <c r="S11838" s="10" t="s">
        <v>53</v>
      </c>
      <c r="T11838" s="10" t="s">
        <v>54</v>
      </c>
    </row>
    <row r="11839" spans="1:20" ht="14.5" x14ac:dyDescent="0.35">
      <c r="A11839" s="10" t="s">
        <v>50720</v>
      </c>
      <c r="B11839" s="10" t="str">
        <f>"9781483358130"</f>
        <v>9781483358130</v>
      </c>
      <c r="C11839" s="10" t="str">
        <f>"9781483379777"</f>
        <v>9781483379777</v>
      </c>
      <c r="D11839" s="10" t="s">
        <v>22210</v>
      </c>
      <c r="E11839" s="10" t="s">
        <v>22211</v>
      </c>
      <c r="F11839" s="10" t="s">
        <v>333</v>
      </c>
      <c r="G11839" s="10" t="s">
        <v>6317</v>
      </c>
      <c r="H11839" s="11">
        <v>41864</v>
      </c>
      <c r="I11839" s="10">
        <v>2014</v>
      </c>
      <c r="J11839" s="10" t="s">
        <v>22211</v>
      </c>
      <c r="K11839" s="10">
        <v>217</v>
      </c>
      <c r="L11839" s="10" t="s">
        <v>50721</v>
      </c>
      <c r="M11839" s="10">
        <v>1</v>
      </c>
      <c r="N11839" s="10"/>
      <c r="O11839" s="10"/>
      <c r="P11839" s="10" t="s">
        <v>50722</v>
      </c>
      <c r="Q11839" s="10">
        <v>371.8</v>
      </c>
      <c r="R11839" s="10"/>
      <c r="S11839" s="10" t="s">
        <v>53</v>
      </c>
      <c r="T11839" s="10" t="s">
        <v>54</v>
      </c>
    </row>
    <row r="11840" spans="1:20" ht="14.5" x14ac:dyDescent="0.35">
      <c r="A11840" s="10" t="s">
        <v>50723</v>
      </c>
      <c r="B11840" s="10" t="str">
        <f>"9788024644073"</f>
        <v>9788024644073</v>
      </c>
      <c r="C11840" s="10" t="str">
        <f>"9788024644370"</f>
        <v>9788024644370</v>
      </c>
      <c r="D11840" s="10" t="s">
        <v>30935</v>
      </c>
      <c r="E11840" s="10" t="s">
        <v>30935</v>
      </c>
      <c r="F11840" s="10" t="s">
        <v>1796</v>
      </c>
      <c r="G11840" s="10" t="s">
        <v>30936</v>
      </c>
      <c r="H11840" s="11">
        <v>43770</v>
      </c>
      <c r="I11840" s="10">
        <v>2019</v>
      </c>
      <c r="J11840" s="10" t="s">
        <v>30935</v>
      </c>
      <c r="K11840" s="10">
        <v>164</v>
      </c>
      <c r="L11840" s="10" t="s">
        <v>50724</v>
      </c>
      <c r="M11840" s="10">
        <v>1</v>
      </c>
      <c r="N11840" s="10"/>
      <c r="O11840" s="10"/>
      <c r="P11840" s="10" t="s">
        <v>50725</v>
      </c>
      <c r="Q11840" s="10">
        <v>372.37</v>
      </c>
      <c r="R11840" s="10" t="s">
        <v>50726</v>
      </c>
      <c r="S11840" s="10" t="s">
        <v>4212</v>
      </c>
      <c r="T11840" s="10" t="s">
        <v>54</v>
      </c>
    </row>
    <row r="11841" spans="1:20" ht="14.5" x14ac:dyDescent="0.35">
      <c r="A11841" s="10" t="s">
        <v>50727</v>
      </c>
      <c r="B11841" s="10" t="str">
        <f>"9781839822865"</f>
        <v>9781839822865</v>
      </c>
      <c r="C11841" s="10" t="str">
        <f>"9781839822872"</f>
        <v>9781839822872</v>
      </c>
      <c r="D11841" s="10" t="s">
        <v>8699</v>
      </c>
      <c r="E11841" s="10" t="s">
        <v>8699</v>
      </c>
      <c r="F11841" s="10" t="s">
        <v>41843</v>
      </c>
      <c r="G11841" s="10" t="s">
        <v>6352</v>
      </c>
      <c r="H11841" s="11">
        <v>43789</v>
      </c>
      <c r="I11841" s="10">
        <v>2019</v>
      </c>
      <c r="J11841" s="10" t="s">
        <v>8699</v>
      </c>
      <c r="K11841" s="10">
        <v>59</v>
      </c>
      <c r="L11841" s="10" t="s">
        <v>50728</v>
      </c>
      <c r="M11841" s="10">
        <v>1</v>
      </c>
      <c r="N11841" s="10" t="s">
        <v>48797</v>
      </c>
      <c r="O11841" s="10">
        <v>4</v>
      </c>
      <c r="P11841" s="10" t="s">
        <v>50729</v>
      </c>
      <c r="Q11841" s="10">
        <v>379</v>
      </c>
      <c r="R11841" s="10" t="s">
        <v>50730</v>
      </c>
      <c r="S11841" s="10" t="s">
        <v>53</v>
      </c>
      <c r="T11841" s="10" t="s">
        <v>54</v>
      </c>
    </row>
    <row r="11842" spans="1:20" ht="14.5" x14ac:dyDescent="0.35">
      <c r="A11842" s="10" t="s">
        <v>50731</v>
      </c>
      <c r="B11842" s="10" t="str">
        <f>"9781416628453"</f>
        <v>9781416628453</v>
      </c>
      <c r="C11842" s="10" t="str">
        <f>"9781416628477"</f>
        <v>9781416628477</v>
      </c>
      <c r="D11842" s="10" t="s">
        <v>10014</v>
      </c>
      <c r="E11842" s="10" t="s">
        <v>10015</v>
      </c>
      <c r="F11842" s="10" t="s">
        <v>201</v>
      </c>
      <c r="G11842" s="10" t="s">
        <v>6317</v>
      </c>
      <c r="H11842" s="11">
        <v>43829</v>
      </c>
      <c r="I11842" s="10">
        <v>2020</v>
      </c>
      <c r="J11842" s="10" t="s">
        <v>10015</v>
      </c>
      <c r="K11842" s="10">
        <v>194</v>
      </c>
      <c r="L11842" s="10" t="s">
        <v>50732</v>
      </c>
      <c r="M11842" s="10">
        <v>1</v>
      </c>
      <c r="N11842" s="10"/>
      <c r="O11842" s="10"/>
      <c r="P11842" s="10" t="s">
        <v>50733</v>
      </c>
      <c r="Q11842" s="10">
        <v>428.00709999999998</v>
      </c>
      <c r="R11842" s="10" t="s">
        <v>50196</v>
      </c>
      <c r="S11842" s="10" t="s">
        <v>53</v>
      </c>
      <c r="T11842" s="10" t="s">
        <v>6616</v>
      </c>
    </row>
    <row r="11843" spans="1:20" ht="14.5" x14ac:dyDescent="0.35">
      <c r="A11843" s="10" t="s">
        <v>50734</v>
      </c>
      <c r="B11843" s="10" t="str">
        <f>"9781975501198"</f>
        <v>9781975501198</v>
      </c>
      <c r="C11843" s="10" t="str">
        <f>"9781975501204"</f>
        <v>9781975501204</v>
      </c>
      <c r="D11843" s="10" t="s">
        <v>44271</v>
      </c>
      <c r="E11843" s="10" t="s">
        <v>47266</v>
      </c>
      <c r="F11843" s="10" t="s">
        <v>41227</v>
      </c>
      <c r="G11843" s="10" t="s">
        <v>6317</v>
      </c>
      <c r="H11843" s="11">
        <v>43818</v>
      </c>
      <c r="I11843" s="10">
        <v>2019</v>
      </c>
      <c r="J11843" s="10" t="s">
        <v>47266</v>
      </c>
      <c r="K11843" s="10">
        <v>233</v>
      </c>
      <c r="L11843" s="10" t="s">
        <v>50735</v>
      </c>
      <c r="M11843" s="10">
        <v>1</v>
      </c>
      <c r="N11843" s="10" t="s">
        <v>50736</v>
      </c>
      <c r="O11843" s="10"/>
      <c r="P11843" s="10"/>
      <c r="Q11843" s="10">
        <v>378.73</v>
      </c>
      <c r="R11843" s="10" t="s">
        <v>50737</v>
      </c>
      <c r="S11843" s="10" t="s">
        <v>53</v>
      </c>
      <c r="T11843" s="10" t="s">
        <v>54</v>
      </c>
    </row>
    <row r="11844" spans="1:20" ht="14.5" x14ac:dyDescent="0.35">
      <c r="A11844" s="10" t="s">
        <v>50738</v>
      </c>
      <c r="B11844" s="10" t="str">
        <f>""</f>
        <v/>
      </c>
      <c r="C11844" s="10" t="str">
        <f>"9781975502690"</f>
        <v>9781975502690</v>
      </c>
      <c r="D11844" s="10" t="s">
        <v>44271</v>
      </c>
      <c r="E11844" s="10" t="s">
        <v>47266</v>
      </c>
      <c r="F11844" s="10" t="s">
        <v>41227</v>
      </c>
      <c r="G11844" s="10" t="s">
        <v>6317</v>
      </c>
      <c r="H11844" s="11">
        <v>43819</v>
      </c>
      <c r="I11844" s="10">
        <v>2019</v>
      </c>
      <c r="J11844" s="10" t="s">
        <v>47266</v>
      </c>
      <c r="K11844" s="10">
        <v>287</v>
      </c>
      <c r="L11844" s="10" t="s">
        <v>50708</v>
      </c>
      <c r="M11844" s="10">
        <v>1</v>
      </c>
      <c r="N11844" s="10" t="s">
        <v>47473</v>
      </c>
      <c r="O11844" s="10"/>
      <c r="P11844" s="10" t="s">
        <v>50739</v>
      </c>
      <c r="Q11844" s="10">
        <v>378.19684999999902</v>
      </c>
      <c r="R11844" s="10" t="s">
        <v>50710</v>
      </c>
      <c r="S11844" s="10" t="s">
        <v>53</v>
      </c>
      <c r="T11844" s="10" t="s">
        <v>54</v>
      </c>
    </row>
    <row r="11845" spans="1:20" ht="14.5" x14ac:dyDescent="0.35">
      <c r="A11845" s="10" t="s">
        <v>50740</v>
      </c>
      <c r="B11845" s="10" t="str">
        <f>"9789004421776"</f>
        <v>9789004421776</v>
      </c>
      <c r="C11845" s="10" t="str">
        <f>"9789004421783"</f>
        <v>9789004421783</v>
      </c>
      <c r="D11845" s="10" t="s">
        <v>8564</v>
      </c>
      <c r="E11845" s="10" t="s">
        <v>8565</v>
      </c>
      <c r="F11845" s="10" t="s">
        <v>1420</v>
      </c>
      <c r="G11845" s="10" t="s">
        <v>6317</v>
      </c>
      <c r="H11845" s="11">
        <v>43811</v>
      </c>
      <c r="I11845" s="10">
        <v>2020</v>
      </c>
      <c r="J11845" s="10" t="s">
        <v>33259</v>
      </c>
      <c r="K11845" s="10">
        <v>221</v>
      </c>
      <c r="L11845" s="10" t="s">
        <v>50741</v>
      </c>
      <c r="M11845" s="10">
        <v>1</v>
      </c>
      <c r="N11845" s="10"/>
      <c r="O11845" s="10"/>
      <c r="P11845" s="10" t="s">
        <v>50742</v>
      </c>
      <c r="Q11845" s="10">
        <v>418.00709999999998</v>
      </c>
      <c r="R11845" s="10" t="s">
        <v>50743</v>
      </c>
      <c r="S11845" s="10" t="s">
        <v>53</v>
      </c>
      <c r="T11845" s="10" t="s">
        <v>6616</v>
      </c>
    </row>
    <row r="11846" spans="1:20" ht="14.5" x14ac:dyDescent="0.35">
      <c r="A11846" s="10" t="s">
        <v>50744</v>
      </c>
      <c r="B11846" s="10" t="str">
        <f>"9789004423428"</f>
        <v>9789004423428</v>
      </c>
      <c r="C11846" s="10" t="str">
        <f>"9789004423435"</f>
        <v>9789004423435</v>
      </c>
      <c r="D11846" s="10" t="s">
        <v>8564</v>
      </c>
      <c r="E11846" s="10" t="s">
        <v>8565</v>
      </c>
      <c r="F11846" s="10" t="s">
        <v>1420</v>
      </c>
      <c r="G11846" s="10" t="s">
        <v>6317</v>
      </c>
      <c r="H11846" s="11">
        <v>43818</v>
      </c>
      <c r="I11846" s="10">
        <v>2020</v>
      </c>
      <c r="J11846" s="10" t="s">
        <v>33259</v>
      </c>
      <c r="K11846" s="10">
        <v>292</v>
      </c>
      <c r="L11846" s="10" t="s">
        <v>50745</v>
      </c>
      <c r="M11846" s="10">
        <v>1</v>
      </c>
      <c r="N11846" s="10" t="s">
        <v>33257</v>
      </c>
      <c r="O11846" s="10">
        <v>44</v>
      </c>
      <c r="P11846" s="10" t="s">
        <v>50746</v>
      </c>
      <c r="Q11846" s="10">
        <v>378.04</v>
      </c>
      <c r="R11846" s="10" t="s">
        <v>50747</v>
      </c>
      <c r="S11846" s="10" t="s">
        <v>53</v>
      </c>
      <c r="T11846" s="10" t="s">
        <v>54</v>
      </c>
    </row>
    <row r="11847" spans="1:20" ht="14.5" x14ac:dyDescent="0.35">
      <c r="A11847" s="10" t="s">
        <v>50748</v>
      </c>
      <c r="B11847" s="10" t="str">
        <f>"9789004419964"</f>
        <v>9789004419964</v>
      </c>
      <c r="C11847" s="10" t="str">
        <f>"9789004419971"</f>
        <v>9789004419971</v>
      </c>
      <c r="D11847" s="10" t="s">
        <v>8564</v>
      </c>
      <c r="E11847" s="10" t="s">
        <v>8565</v>
      </c>
      <c r="F11847" s="10" t="s">
        <v>1420</v>
      </c>
      <c r="G11847" s="10" t="s">
        <v>6317</v>
      </c>
      <c r="H11847" s="11">
        <v>43818</v>
      </c>
      <c r="I11847" s="10">
        <v>2020</v>
      </c>
      <c r="J11847" s="10" t="s">
        <v>33259</v>
      </c>
      <c r="K11847" s="10">
        <v>422</v>
      </c>
      <c r="L11847" s="10" t="s">
        <v>50749</v>
      </c>
      <c r="M11847" s="10">
        <v>1</v>
      </c>
      <c r="N11847" s="10" t="s">
        <v>33419</v>
      </c>
      <c r="O11847" s="10">
        <v>73</v>
      </c>
      <c r="P11847" s="10" t="s">
        <v>50750</v>
      </c>
      <c r="Q11847" s="10">
        <v>370.15230000000003</v>
      </c>
      <c r="R11847" s="10" t="s">
        <v>50751</v>
      </c>
      <c r="S11847" s="10" t="s">
        <v>53</v>
      </c>
      <c r="T11847" s="10" t="s">
        <v>54</v>
      </c>
    </row>
    <row r="11848" spans="1:20" ht="14.5" x14ac:dyDescent="0.35">
      <c r="A11848" s="10" t="s">
        <v>19785</v>
      </c>
      <c r="B11848" s="10" t="str">
        <f>"9781119490487"</f>
        <v>9781119490487</v>
      </c>
      <c r="C11848" s="10" t="str">
        <f>"9781119490517"</f>
        <v>9781119490517</v>
      </c>
      <c r="D11848" s="10" t="s">
        <v>6322</v>
      </c>
      <c r="E11848" s="10" t="s">
        <v>6323</v>
      </c>
      <c r="F11848" s="10" t="s">
        <v>4423</v>
      </c>
      <c r="G11848" s="10" t="s">
        <v>6317</v>
      </c>
      <c r="H11848" s="11">
        <v>43866</v>
      </c>
      <c r="I11848" s="10">
        <v>2020</v>
      </c>
      <c r="J11848" s="10" t="s">
        <v>6324</v>
      </c>
      <c r="K11848" s="10">
        <v>595</v>
      </c>
      <c r="L11848" s="10" t="s">
        <v>50752</v>
      </c>
      <c r="M11848" s="10">
        <v>4</v>
      </c>
      <c r="N11848" s="10"/>
      <c r="O11848" s="10"/>
      <c r="P11848" s="10"/>
      <c r="Q11848" s="10">
        <v>374</v>
      </c>
      <c r="R11848" s="10" t="s">
        <v>24765</v>
      </c>
      <c r="S11848" s="10" t="s">
        <v>53</v>
      </c>
      <c r="T11848" s="10" t="s">
        <v>54</v>
      </c>
    </row>
    <row r="11849" spans="1:20" ht="14.5" x14ac:dyDescent="0.35">
      <c r="A11849" s="10" t="s">
        <v>50753</v>
      </c>
      <c r="B11849" s="10" t="str">
        <f>""</f>
        <v/>
      </c>
      <c r="C11849" s="10" t="str">
        <f>"9781564847713"</f>
        <v>9781564847713</v>
      </c>
      <c r="D11849" s="10" t="s">
        <v>9533</v>
      </c>
      <c r="E11849" s="10" t="s">
        <v>45783</v>
      </c>
      <c r="F11849" s="10" t="s">
        <v>25348</v>
      </c>
      <c r="G11849" s="10" t="s">
        <v>6317</v>
      </c>
      <c r="H11849" s="11">
        <v>43617</v>
      </c>
      <c r="I11849" s="10">
        <v>2019</v>
      </c>
      <c r="J11849" s="10" t="s">
        <v>45783</v>
      </c>
      <c r="K11849" s="10">
        <v>146</v>
      </c>
      <c r="L11849" s="10" t="s">
        <v>50754</v>
      </c>
      <c r="M11849" s="10">
        <v>1</v>
      </c>
      <c r="N11849" s="10"/>
      <c r="O11849" s="10"/>
      <c r="P11849" s="10" t="s">
        <v>50755</v>
      </c>
      <c r="Q11849" s="10">
        <v>371.33</v>
      </c>
      <c r="R11849" s="10" t="s">
        <v>50756</v>
      </c>
      <c r="S11849" s="10" t="s">
        <v>53</v>
      </c>
      <c r="T11849" s="10" t="s">
        <v>54</v>
      </c>
    </row>
    <row r="11850" spans="1:20" ht="14.5" x14ac:dyDescent="0.35">
      <c r="A11850" s="10" t="s">
        <v>50757</v>
      </c>
      <c r="B11850" s="10" t="str">
        <f>"9789657008232"</f>
        <v>9789657008232</v>
      </c>
      <c r="C11850" s="10" t="str">
        <f>"9789657008249"</f>
        <v>9789657008249</v>
      </c>
      <c r="D11850" s="10" t="s">
        <v>47786</v>
      </c>
      <c r="E11850" s="10" t="s">
        <v>47787</v>
      </c>
      <c r="F11850" s="10" t="s">
        <v>47788</v>
      </c>
      <c r="G11850" s="10" t="s">
        <v>47789</v>
      </c>
      <c r="H11850" s="11">
        <v>43473</v>
      </c>
      <c r="I11850" s="10">
        <v>2019</v>
      </c>
      <c r="J11850" s="10" t="s">
        <v>47787</v>
      </c>
      <c r="K11850" s="10">
        <v>296</v>
      </c>
      <c r="L11850" s="10" t="s">
        <v>50758</v>
      </c>
      <c r="M11850" s="10">
        <v>1</v>
      </c>
      <c r="N11850" s="10"/>
      <c r="O11850" s="10"/>
      <c r="P11850" s="10" t="s">
        <v>50759</v>
      </c>
      <c r="Q11850" s="10">
        <v>370.89924000000002</v>
      </c>
      <c r="R11850" s="10" t="s">
        <v>50760</v>
      </c>
      <c r="S11850" s="10" t="s">
        <v>53</v>
      </c>
      <c r="T11850" s="10" t="s">
        <v>54</v>
      </c>
    </row>
    <row r="11851" spans="1:20" ht="14.5" x14ac:dyDescent="0.35">
      <c r="A11851" s="10" t="s">
        <v>50761</v>
      </c>
      <c r="B11851" s="10" t="str">
        <f>"9781949539738"</f>
        <v>9781949539738</v>
      </c>
      <c r="C11851" s="10" t="str">
        <f>"9781949539745"</f>
        <v>9781949539745</v>
      </c>
      <c r="D11851" s="10" t="s">
        <v>37580</v>
      </c>
      <c r="E11851" s="10" t="s">
        <v>37581</v>
      </c>
      <c r="F11851" s="10" t="s">
        <v>37623</v>
      </c>
      <c r="G11851" s="10" t="s">
        <v>6317</v>
      </c>
      <c r="H11851" s="11">
        <v>43846</v>
      </c>
      <c r="I11851" s="10">
        <v>2020</v>
      </c>
      <c r="J11851" s="10" t="s">
        <v>37581</v>
      </c>
      <c r="K11851" s="10">
        <v>288</v>
      </c>
      <c r="L11851" s="10" t="s">
        <v>50762</v>
      </c>
      <c r="M11851" s="10">
        <v>1</v>
      </c>
      <c r="N11851" s="10"/>
      <c r="O11851" s="10"/>
      <c r="P11851" s="10" t="s">
        <v>50763</v>
      </c>
      <c r="Q11851" s="10">
        <v>370.71100000000001</v>
      </c>
      <c r="R11851" s="10" t="s">
        <v>50764</v>
      </c>
      <c r="S11851" s="10" t="s">
        <v>53</v>
      </c>
      <c r="T11851" s="10" t="s">
        <v>54</v>
      </c>
    </row>
    <row r="11852" spans="1:20" ht="14.5" x14ac:dyDescent="0.35">
      <c r="A11852" s="10" t="s">
        <v>50765</v>
      </c>
      <c r="B11852" s="10" t="str">
        <f>"9781620367438"</f>
        <v>9781620367438</v>
      </c>
      <c r="C11852" s="10" t="str">
        <f>"9781000973440"</f>
        <v>9781000973440</v>
      </c>
      <c r="D11852" s="10" t="s">
        <v>6350</v>
      </c>
      <c r="E11852" s="10" t="s">
        <v>6351</v>
      </c>
      <c r="F11852" s="10" t="s">
        <v>748</v>
      </c>
      <c r="G11852" s="10" t="s">
        <v>6352</v>
      </c>
      <c r="H11852" s="11">
        <v>43843</v>
      </c>
      <c r="I11852" s="10">
        <v>2020</v>
      </c>
      <c r="J11852" s="10" t="s">
        <v>6351</v>
      </c>
      <c r="K11852" s="10">
        <v>291</v>
      </c>
      <c r="L11852" s="10" t="s">
        <v>50766</v>
      </c>
      <c r="M11852" s="10">
        <v>1</v>
      </c>
      <c r="N11852" s="10"/>
      <c r="O11852" s="10"/>
      <c r="P11852" s="10" t="s">
        <v>50767</v>
      </c>
      <c r="Q11852" s="10" t="s">
        <v>14582</v>
      </c>
      <c r="R11852" s="10" t="s">
        <v>20377</v>
      </c>
      <c r="S11852" s="10" t="s">
        <v>53</v>
      </c>
      <c r="T11852" s="10" t="s">
        <v>54</v>
      </c>
    </row>
    <row r="11853" spans="1:20" ht="14.5" x14ac:dyDescent="0.35">
      <c r="A11853" s="10" t="s">
        <v>50768</v>
      </c>
      <c r="B11853" s="10" t="str">
        <f>"9781416628507"</f>
        <v>9781416628507</v>
      </c>
      <c r="C11853" s="10" t="str">
        <f>"9781416628521"</f>
        <v>9781416628521</v>
      </c>
      <c r="D11853" s="10" t="s">
        <v>10014</v>
      </c>
      <c r="E11853" s="10" t="s">
        <v>10015</v>
      </c>
      <c r="F11853" s="10" t="s">
        <v>201</v>
      </c>
      <c r="G11853" s="10" t="s">
        <v>6317</v>
      </c>
      <c r="H11853" s="11">
        <v>43860</v>
      </c>
      <c r="I11853" s="10">
        <v>2020</v>
      </c>
      <c r="J11853" s="10" t="s">
        <v>10015</v>
      </c>
      <c r="K11853" s="10">
        <v>182</v>
      </c>
      <c r="L11853" s="10" t="s">
        <v>50769</v>
      </c>
      <c r="M11853" s="10">
        <v>1</v>
      </c>
      <c r="N11853" s="10"/>
      <c r="O11853" s="10"/>
      <c r="P11853" s="10" t="s">
        <v>50770</v>
      </c>
      <c r="Q11853" s="10">
        <v>371.2</v>
      </c>
      <c r="R11853" s="10" t="s">
        <v>50771</v>
      </c>
      <c r="S11853" s="10" t="s">
        <v>53</v>
      </c>
      <c r="T11853" s="10" t="s">
        <v>54</v>
      </c>
    </row>
    <row r="11854" spans="1:20" ht="14.5" x14ac:dyDescent="0.35">
      <c r="A11854" s="10" t="s">
        <v>50772</v>
      </c>
      <c r="B11854" s="10" t="str">
        <f>"9781416628323"</f>
        <v>9781416628323</v>
      </c>
      <c r="C11854" s="10" t="str">
        <f>"9781416628354"</f>
        <v>9781416628354</v>
      </c>
      <c r="D11854" s="10" t="s">
        <v>10014</v>
      </c>
      <c r="E11854" s="10" t="s">
        <v>10015</v>
      </c>
      <c r="F11854" s="10" t="s">
        <v>201</v>
      </c>
      <c r="G11854" s="10" t="s">
        <v>6317</v>
      </c>
      <c r="H11854" s="11">
        <v>43860</v>
      </c>
      <c r="I11854" s="10">
        <v>2020</v>
      </c>
      <c r="J11854" s="10" t="s">
        <v>10015</v>
      </c>
      <c r="K11854" s="10">
        <v>162</v>
      </c>
      <c r="L11854" s="10" t="s">
        <v>50773</v>
      </c>
      <c r="M11854" s="10">
        <v>1</v>
      </c>
      <c r="N11854" s="10"/>
      <c r="O11854" s="10"/>
      <c r="P11854" s="10" t="s">
        <v>50774</v>
      </c>
      <c r="Q11854" s="10">
        <v>370.11709730000001</v>
      </c>
      <c r="R11854" s="10" t="s">
        <v>50775</v>
      </c>
      <c r="S11854" s="10" t="s">
        <v>53</v>
      </c>
      <c r="T11854" s="10" t="s">
        <v>54</v>
      </c>
    </row>
    <row r="11855" spans="1:20" ht="14.5" x14ac:dyDescent="0.35">
      <c r="A11855" s="10" t="s">
        <v>50776</v>
      </c>
      <c r="B11855" s="10" t="str">
        <f>"9781416628620"</f>
        <v>9781416628620</v>
      </c>
      <c r="C11855" s="10" t="str">
        <f>"9781416628651"</f>
        <v>9781416628651</v>
      </c>
      <c r="D11855" s="10" t="s">
        <v>10014</v>
      </c>
      <c r="E11855" s="10" t="s">
        <v>10015</v>
      </c>
      <c r="F11855" s="10" t="s">
        <v>201</v>
      </c>
      <c r="G11855" s="10" t="s">
        <v>6317</v>
      </c>
      <c r="H11855" s="11">
        <v>43852</v>
      </c>
      <c r="I11855" s="10">
        <v>2020</v>
      </c>
      <c r="J11855" s="10" t="s">
        <v>10015</v>
      </c>
      <c r="K11855" s="10">
        <v>154</v>
      </c>
      <c r="L11855" s="10" t="s">
        <v>50777</v>
      </c>
      <c r="M11855" s="10">
        <v>1</v>
      </c>
      <c r="N11855" s="10"/>
      <c r="O11855" s="10"/>
      <c r="P11855" s="10" t="s">
        <v>50778</v>
      </c>
      <c r="Q11855" s="10">
        <v>370.15230000000003</v>
      </c>
      <c r="R11855" s="10" t="s">
        <v>50779</v>
      </c>
      <c r="S11855" s="10" t="s">
        <v>53</v>
      </c>
      <c r="T11855" s="10" t="s">
        <v>54</v>
      </c>
    </row>
    <row r="11856" spans="1:20" ht="14.5" x14ac:dyDescent="0.35">
      <c r="A11856" s="10" t="s">
        <v>50780</v>
      </c>
      <c r="B11856" s="10" t="str">
        <f>"9781947604971"</f>
        <v>9781947604971</v>
      </c>
      <c r="C11856" s="10" t="str">
        <f>"9781947604988"</f>
        <v>9781947604988</v>
      </c>
      <c r="D11856" s="10" t="s">
        <v>37580</v>
      </c>
      <c r="E11856" s="10" t="s">
        <v>37581</v>
      </c>
      <c r="F11856" s="10" t="s">
        <v>37623</v>
      </c>
      <c r="G11856" s="10" t="s">
        <v>6317</v>
      </c>
      <c r="H11856" s="11">
        <v>43861</v>
      </c>
      <c r="I11856" s="10">
        <v>2020</v>
      </c>
      <c r="J11856" s="10" t="s">
        <v>37581</v>
      </c>
      <c r="K11856" s="10">
        <v>224</v>
      </c>
      <c r="L11856" s="10" t="s">
        <v>50781</v>
      </c>
      <c r="M11856" s="10">
        <v>1</v>
      </c>
      <c r="N11856" s="10"/>
      <c r="O11856" s="10"/>
      <c r="P11856" s="10" t="s">
        <v>50782</v>
      </c>
      <c r="Q11856" s="10">
        <v>428.00711999999999</v>
      </c>
      <c r="R11856" s="10" t="s">
        <v>50783</v>
      </c>
      <c r="S11856" s="10" t="s">
        <v>53</v>
      </c>
      <c r="T11856" s="10" t="s">
        <v>6634</v>
      </c>
    </row>
    <row r="11857" spans="1:20" ht="14.5" x14ac:dyDescent="0.35">
      <c r="A11857" s="10" t="s">
        <v>50784</v>
      </c>
      <c r="B11857" s="10" t="str">
        <f>"9781551383415"</f>
        <v>9781551383415</v>
      </c>
      <c r="C11857" s="10" t="str">
        <f>"9781551389424"</f>
        <v>9781551389424</v>
      </c>
      <c r="D11857" s="10" t="s">
        <v>45074</v>
      </c>
      <c r="E11857" s="10" t="s">
        <v>45075</v>
      </c>
      <c r="F11857" s="10" t="s">
        <v>901</v>
      </c>
      <c r="G11857" s="10" t="s">
        <v>9536</v>
      </c>
      <c r="H11857" s="11">
        <v>43840</v>
      </c>
      <c r="I11857" s="10">
        <v>2020</v>
      </c>
      <c r="J11857" s="10" t="s">
        <v>45075</v>
      </c>
      <c r="K11857" s="10">
        <v>170</v>
      </c>
      <c r="L11857" s="10" t="s">
        <v>45084</v>
      </c>
      <c r="M11857" s="10">
        <v>1</v>
      </c>
      <c r="N11857" s="10"/>
      <c r="O11857" s="10"/>
      <c r="P11857" s="10" t="s">
        <v>50785</v>
      </c>
      <c r="Q11857" s="10">
        <v>370.11500000000001</v>
      </c>
      <c r="R11857" s="10" t="s">
        <v>50786</v>
      </c>
      <c r="S11857" s="10" t="s">
        <v>53</v>
      </c>
      <c r="T11857" s="10" t="s">
        <v>54</v>
      </c>
    </row>
    <row r="11858" spans="1:20" ht="14.5" x14ac:dyDescent="0.35">
      <c r="A11858" s="10" t="s">
        <v>50787</v>
      </c>
      <c r="B11858" s="10" t="str">
        <f>"9780367146115"</f>
        <v>9780367146115</v>
      </c>
      <c r="C11858" s="10" t="str">
        <f>"9780429629235"</f>
        <v>9780429629235</v>
      </c>
      <c r="D11858" s="10" t="s">
        <v>6350</v>
      </c>
      <c r="E11858" s="10" t="s">
        <v>6351</v>
      </c>
      <c r="F11858" s="10" t="s">
        <v>748</v>
      </c>
      <c r="G11858" s="10" t="s">
        <v>6352</v>
      </c>
      <c r="H11858" s="11">
        <v>43864</v>
      </c>
      <c r="I11858" s="10">
        <v>2020</v>
      </c>
      <c r="J11858" s="10" t="s">
        <v>6351</v>
      </c>
      <c r="K11858" s="10">
        <v>517</v>
      </c>
      <c r="L11858" s="10" t="s">
        <v>50788</v>
      </c>
      <c r="M11858" s="10">
        <v>1</v>
      </c>
      <c r="N11858" s="10" t="s">
        <v>50789</v>
      </c>
      <c r="O11858" s="10"/>
      <c r="P11858" s="10" t="s">
        <v>50790</v>
      </c>
      <c r="Q11858" s="10">
        <v>371.90448600000002</v>
      </c>
      <c r="R11858" s="10" t="s">
        <v>50791</v>
      </c>
      <c r="S11858" s="10" t="s">
        <v>53</v>
      </c>
      <c r="T11858" s="10" t="s">
        <v>6752</v>
      </c>
    </row>
    <row r="11859" spans="1:20" ht="14.5" x14ac:dyDescent="0.35">
      <c r="A11859" s="10" t="s">
        <v>50792</v>
      </c>
      <c r="B11859" s="10" t="str">
        <f>"9781913063016"</f>
        <v>9781913063016</v>
      </c>
      <c r="C11859" s="10" t="str">
        <f>"9781913063047"</f>
        <v>9781913063047</v>
      </c>
      <c r="D11859" s="10" t="s">
        <v>9533</v>
      </c>
      <c r="E11859" s="10" t="s">
        <v>26840</v>
      </c>
      <c r="F11859" s="10" t="s">
        <v>44053</v>
      </c>
      <c r="G11859" s="10" t="s">
        <v>6352</v>
      </c>
      <c r="H11859" s="11">
        <v>43854</v>
      </c>
      <c r="I11859" s="10">
        <v>2020</v>
      </c>
      <c r="J11859" s="10" t="s">
        <v>26840</v>
      </c>
      <c r="K11859" s="10">
        <v>144</v>
      </c>
      <c r="L11859" s="10" t="s">
        <v>49102</v>
      </c>
      <c r="M11859" s="10">
        <v>1</v>
      </c>
      <c r="N11859" s="10" t="s">
        <v>50793</v>
      </c>
      <c r="O11859" s="10"/>
      <c r="P11859" s="10" t="s">
        <v>50794</v>
      </c>
      <c r="Q11859" s="10">
        <v>374</v>
      </c>
      <c r="R11859" s="10" t="s">
        <v>50795</v>
      </c>
      <c r="S11859" s="10" t="s">
        <v>53</v>
      </c>
      <c r="T11859" s="10" t="s">
        <v>54</v>
      </c>
    </row>
    <row r="11860" spans="1:20" ht="14.5" x14ac:dyDescent="0.35">
      <c r="A11860" s="10" t="s">
        <v>50796</v>
      </c>
      <c r="B11860" s="10" t="str">
        <f>"9781913063054"</f>
        <v>9781913063054</v>
      </c>
      <c r="C11860" s="10" t="str">
        <f>"9781913063078"</f>
        <v>9781913063078</v>
      </c>
      <c r="D11860" s="10" t="s">
        <v>9533</v>
      </c>
      <c r="E11860" s="10" t="s">
        <v>26840</v>
      </c>
      <c r="F11860" s="10" t="s">
        <v>44053</v>
      </c>
      <c r="G11860" s="10" t="s">
        <v>6352</v>
      </c>
      <c r="H11860" s="11">
        <v>43854</v>
      </c>
      <c r="I11860" s="10">
        <v>2020</v>
      </c>
      <c r="J11860" s="10" t="s">
        <v>26840</v>
      </c>
      <c r="K11860" s="10">
        <v>142</v>
      </c>
      <c r="L11860" s="10" t="s">
        <v>49102</v>
      </c>
      <c r="M11860" s="10">
        <v>1</v>
      </c>
      <c r="N11860" s="10" t="s">
        <v>50797</v>
      </c>
      <c r="O11860" s="10"/>
      <c r="P11860" s="10" t="s">
        <v>50798</v>
      </c>
      <c r="Q11860" s="10">
        <v>371.10019</v>
      </c>
      <c r="R11860" s="10" t="s">
        <v>47432</v>
      </c>
      <c r="S11860" s="10" t="s">
        <v>53</v>
      </c>
      <c r="T11860" s="10" t="s">
        <v>54</v>
      </c>
    </row>
    <row r="11861" spans="1:20" ht="14.5" x14ac:dyDescent="0.35">
      <c r="A11861" s="10" t="s">
        <v>50799</v>
      </c>
      <c r="B11861" s="10" t="str">
        <f>""</f>
        <v/>
      </c>
      <c r="C11861" s="10" t="str">
        <f>"9781564847591"</f>
        <v>9781564847591</v>
      </c>
      <c r="D11861" s="10" t="s">
        <v>9533</v>
      </c>
      <c r="E11861" s="10" t="s">
        <v>45783</v>
      </c>
      <c r="F11861" s="10" t="s">
        <v>25348</v>
      </c>
      <c r="G11861" s="10" t="s">
        <v>6317</v>
      </c>
      <c r="H11861" s="11">
        <v>43493</v>
      </c>
      <c r="I11861" s="10">
        <v>2019</v>
      </c>
      <c r="J11861" s="10" t="s">
        <v>45783</v>
      </c>
      <c r="K11861" s="10">
        <v>31</v>
      </c>
      <c r="L11861" s="10" t="s">
        <v>50800</v>
      </c>
      <c r="M11861" s="10">
        <v>1</v>
      </c>
      <c r="N11861" s="10"/>
      <c r="O11861" s="10"/>
      <c r="P11861" s="10" t="s">
        <v>50801</v>
      </c>
      <c r="Q11861" s="10">
        <v>4.07099999999999</v>
      </c>
      <c r="R11861" s="10" t="s">
        <v>50802</v>
      </c>
      <c r="S11861" s="10" t="s">
        <v>53</v>
      </c>
      <c r="T11861" s="10" t="s">
        <v>19959</v>
      </c>
    </row>
    <row r="11862" spans="1:20" ht="14.5" x14ac:dyDescent="0.35">
      <c r="A11862" s="10" t="s">
        <v>50803</v>
      </c>
      <c r="B11862" s="10" t="str">
        <f>"9781975501495"</f>
        <v>9781975501495</v>
      </c>
      <c r="C11862" s="10" t="str">
        <f>"9781975501518"</f>
        <v>9781975501518</v>
      </c>
      <c r="D11862" s="10" t="s">
        <v>44271</v>
      </c>
      <c r="E11862" s="10" t="s">
        <v>47266</v>
      </c>
      <c r="F11862" s="10" t="s">
        <v>41227</v>
      </c>
      <c r="G11862" s="10" t="s">
        <v>6317</v>
      </c>
      <c r="H11862" s="11">
        <v>43860</v>
      </c>
      <c r="I11862" s="10">
        <v>2020</v>
      </c>
      <c r="J11862" s="10" t="s">
        <v>47266</v>
      </c>
      <c r="K11862" s="10">
        <v>143</v>
      </c>
      <c r="L11862" s="10" t="s">
        <v>50804</v>
      </c>
      <c r="M11862" s="10">
        <v>1</v>
      </c>
      <c r="N11862" s="10"/>
      <c r="O11862" s="10"/>
      <c r="P11862" s="10" t="s">
        <v>50805</v>
      </c>
      <c r="Q11862" s="10" t="s">
        <v>50806</v>
      </c>
      <c r="R11862" s="10" t="s">
        <v>50807</v>
      </c>
      <c r="S11862" s="10" t="s">
        <v>53</v>
      </c>
      <c r="T11862" s="10" t="s">
        <v>54</v>
      </c>
    </row>
    <row r="11863" spans="1:20" ht="14.5" x14ac:dyDescent="0.35">
      <c r="A11863" s="10" t="s">
        <v>50808</v>
      </c>
      <c r="B11863" s="10" t="str">
        <f>"9789004422971"</f>
        <v>9789004422971</v>
      </c>
      <c r="C11863" s="10" t="str">
        <f>"9789004422988"</f>
        <v>9789004422988</v>
      </c>
      <c r="D11863" s="10" t="s">
        <v>8564</v>
      </c>
      <c r="E11863" s="10" t="s">
        <v>8565</v>
      </c>
      <c r="F11863" s="10" t="s">
        <v>1420</v>
      </c>
      <c r="G11863" s="10" t="s">
        <v>6317</v>
      </c>
      <c r="H11863" s="11">
        <v>43860</v>
      </c>
      <c r="I11863" s="10">
        <v>2020</v>
      </c>
      <c r="J11863" s="10" t="s">
        <v>33259</v>
      </c>
      <c r="K11863" s="10">
        <v>411</v>
      </c>
      <c r="L11863" s="10" t="s">
        <v>50809</v>
      </c>
      <c r="M11863" s="10">
        <v>1</v>
      </c>
      <c r="N11863" s="10"/>
      <c r="O11863" s="10"/>
      <c r="P11863" s="10"/>
      <c r="Q11863" s="10"/>
      <c r="R11863" s="10" t="s">
        <v>50810</v>
      </c>
      <c r="S11863" s="10" t="s">
        <v>53</v>
      </c>
      <c r="T11863" s="10" t="s">
        <v>54</v>
      </c>
    </row>
    <row r="11864" spans="1:20" ht="14.5" x14ac:dyDescent="0.35">
      <c r="A11864" s="10" t="s">
        <v>50811</v>
      </c>
      <c r="B11864" s="10" t="str">
        <f>"9789004408517"</f>
        <v>9789004408517</v>
      </c>
      <c r="C11864" s="10" t="str">
        <f>"9789004424784"</f>
        <v>9789004424784</v>
      </c>
      <c r="D11864" s="10" t="s">
        <v>8564</v>
      </c>
      <c r="E11864" s="10" t="s">
        <v>8565</v>
      </c>
      <c r="F11864" s="10" t="s">
        <v>1420</v>
      </c>
      <c r="G11864" s="10" t="s">
        <v>6317</v>
      </c>
      <c r="H11864" s="11">
        <v>43860</v>
      </c>
      <c r="I11864" s="10">
        <v>2020</v>
      </c>
      <c r="J11864" s="10" t="s">
        <v>33259</v>
      </c>
      <c r="K11864" s="10">
        <v>153</v>
      </c>
      <c r="L11864" s="10" t="s">
        <v>50812</v>
      </c>
      <c r="M11864" s="10">
        <v>1</v>
      </c>
      <c r="N11864" s="10" t="s">
        <v>42639</v>
      </c>
      <c r="O11864" s="10">
        <v>4</v>
      </c>
      <c r="P11864" s="10"/>
      <c r="Q11864" s="10"/>
      <c r="R11864" s="10" t="s">
        <v>32906</v>
      </c>
      <c r="S11864" s="10" t="s">
        <v>53</v>
      </c>
      <c r="T11864" s="10" t="s">
        <v>54</v>
      </c>
    </row>
    <row r="11865" spans="1:20" ht="14.5" x14ac:dyDescent="0.35">
      <c r="A11865" s="10" t="s">
        <v>50813</v>
      </c>
      <c r="B11865" s="10" t="str">
        <f>"9789004399327"</f>
        <v>9789004399327</v>
      </c>
      <c r="C11865" s="10" t="str">
        <f>"9789004415133"</f>
        <v>9789004415133</v>
      </c>
      <c r="D11865" s="10" t="s">
        <v>8564</v>
      </c>
      <c r="E11865" s="10" t="s">
        <v>8565</v>
      </c>
      <c r="F11865" s="10" t="s">
        <v>1420</v>
      </c>
      <c r="G11865" s="10" t="s">
        <v>6317</v>
      </c>
      <c r="H11865" s="11">
        <v>43874</v>
      </c>
      <c r="I11865" s="10">
        <v>2020</v>
      </c>
      <c r="J11865" s="10" t="s">
        <v>33259</v>
      </c>
      <c r="K11865" s="10">
        <v>266</v>
      </c>
      <c r="L11865" s="10" t="s">
        <v>50814</v>
      </c>
      <c r="M11865" s="10">
        <v>1</v>
      </c>
      <c r="N11865" s="10" t="s">
        <v>33637</v>
      </c>
      <c r="O11865" s="10">
        <v>13</v>
      </c>
      <c r="P11865" s="10"/>
      <c r="Q11865" s="10"/>
      <c r="R11865" s="10" t="s">
        <v>50815</v>
      </c>
      <c r="S11865" s="10" t="s">
        <v>53</v>
      </c>
      <c r="T11865" s="10" t="s">
        <v>54</v>
      </c>
    </row>
    <row r="11866" spans="1:20" ht="14.5" x14ac:dyDescent="0.35">
      <c r="A11866" s="10" t="s">
        <v>50816</v>
      </c>
      <c r="B11866" s="10" t="str">
        <f>"9789004396111"</f>
        <v>9789004396111</v>
      </c>
      <c r="C11866" s="10" t="str">
        <f>"9789004421585"</f>
        <v>9789004421585</v>
      </c>
      <c r="D11866" s="10" t="s">
        <v>8564</v>
      </c>
      <c r="E11866" s="10" t="s">
        <v>8565</v>
      </c>
      <c r="F11866" s="10" t="s">
        <v>1420</v>
      </c>
      <c r="G11866" s="10" t="s">
        <v>6317</v>
      </c>
      <c r="H11866" s="11">
        <v>43818</v>
      </c>
      <c r="I11866" s="10">
        <v>2020</v>
      </c>
      <c r="J11866" s="10" t="s">
        <v>33259</v>
      </c>
      <c r="K11866" s="10">
        <v>459</v>
      </c>
      <c r="L11866" s="10" t="s">
        <v>50817</v>
      </c>
      <c r="M11866" s="10">
        <v>1</v>
      </c>
      <c r="N11866" s="10" t="s">
        <v>33404</v>
      </c>
      <c r="O11866" s="10">
        <v>18</v>
      </c>
      <c r="P11866" s="10"/>
      <c r="Q11866" s="10"/>
      <c r="R11866" s="10" t="s">
        <v>33559</v>
      </c>
      <c r="S11866" s="10" t="s">
        <v>53</v>
      </c>
      <c r="T11866" s="10" t="s">
        <v>54</v>
      </c>
    </row>
    <row r="11867" spans="1:20" ht="14.5" x14ac:dyDescent="0.35">
      <c r="A11867" s="10" t="s">
        <v>50818</v>
      </c>
      <c r="B11867" s="10" t="str">
        <f>"9781416628668"</f>
        <v>9781416628668</v>
      </c>
      <c r="C11867" s="10" t="str">
        <f>"9781416628682"</f>
        <v>9781416628682</v>
      </c>
      <c r="D11867" s="10" t="s">
        <v>10014</v>
      </c>
      <c r="E11867" s="10" t="s">
        <v>10015</v>
      </c>
      <c r="F11867" s="10" t="s">
        <v>201</v>
      </c>
      <c r="G11867" s="10" t="s">
        <v>6317</v>
      </c>
      <c r="H11867" s="11">
        <v>43860</v>
      </c>
      <c r="I11867" s="10">
        <v>2020</v>
      </c>
      <c r="J11867" s="10" t="s">
        <v>10015</v>
      </c>
      <c r="K11867" s="10">
        <v>194</v>
      </c>
      <c r="L11867" s="10" t="s">
        <v>50819</v>
      </c>
      <c r="M11867" s="10">
        <v>1</v>
      </c>
      <c r="N11867" s="10"/>
      <c r="O11867" s="10"/>
      <c r="P11867" s="10" t="s">
        <v>50820</v>
      </c>
      <c r="Q11867" s="10">
        <v>370.11700000000002</v>
      </c>
      <c r="R11867" s="10" t="s">
        <v>50821</v>
      </c>
      <c r="S11867" s="10" t="s">
        <v>53</v>
      </c>
      <c r="T11867" s="10" t="s">
        <v>54</v>
      </c>
    </row>
    <row r="11868" spans="1:20" ht="14.5" x14ac:dyDescent="0.35">
      <c r="A11868" s="10" t="s">
        <v>50822</v>
      </c>
      <c r="B11868" s="10" t="str">
        <f>"9781620367292"</f>
        <v>9781620367292</v>
      </c>
      <c r="C11868" s="10" t="str">
        <f>"9781000973358"</f>
        <v>9781000973358</v>
      </c>
      <c r="D11868" s="10" t="s">
        <v>6350</v>
      </c>
      <c r="E11868" s="10" t="s">
        <v>6351</v>
      </c>
      <c r="F11868" s="10" t="s">
        <v>748</v>
      </c>
      <c r="G11868" s="10" t="s">
        <v>6352</v>
      </c>
      <c r="H11868" s="11">
        <v>43850</v>
      </c>
      <c r="I11868" s="10">
        <v>2020</v>
      </c>
      <c r="J11868" s="10" t="s">
        <v>6351</v>
      </c>
      <c r="K11868" s="10">
        <v>291</v>
      </c>
      <c r="L11868" s="10" t="s">
        <v>50823</v>
      </c>
      <c r="M11868" s="10">
        <v>1</v>
      </c>
      <c r="N11868" s="10"/>
      <c r="O11868" s="10"/>
      <c r="P11868" s="10"/>
      <c r="Q11868" s="10">
        <v>378.17344678000001</v>
      </c>
      <c r="R11868" s="10" t="s">
        <v>50824</v>
      </c>
      <c r="S11868" s="10" t="s">
        <v>53</v>
      </c>
      <c r="T11868" s="10" t="s">
        <v>54</v>
      </c>
    </row>
    <row r="11869" spans="1:20" ht="14.5" x14ac:dyDescent="0.35">
      <c r="A11869" s="10" t="s">
        <v>50825</v>
      </c>
      <c r="B11869" s="10" t="str">
        <f>"9781138389939"</f>
        <v>9781138389939</v>
      </c>
      <c r="C11869" s="10" t="str">
        <f>"9780429752582"</f>
        <v>9780429752582</v>
      </c>
      <c r="D11869" s="10" t="s">
        <v>6350</v>
      </c>
      <c r="E11869" s="10" t="s">
        <v>6351</v>
      </c>
      <c r="F11869" s="10" t="s">
        <v>3967</v>
      </c>
      <c r="G11869" s="10" t="s">
        <v>6352</v>
      </c>
      <c r="H11869" s="11">
        <v>43867</v>
      </c>
      <c r="I11869" s="10">
        <v>2020</v>
      </c>
      <c r="J11869" s="10" t="s">
        <v>6353</v>
      </c>
      <c r="K11869" s="10">
        <v>461</v>
      </c>
      <c r="L11869" s="10" t="s">
        <v>50826</v>
      </c>
      <c r="M11869" s="10">
        <v>1</v>
      </c>
      <c r="N11869" s="10" t="s">
        <v>24504</v>
      </c>
      <c r="O11869" s="10"/>
      <c r="P11869" s="10" t="s">
        <v>50827</v>
      </c>
      <c r="Q11869" s="10">
        <v>370.15230000000003</v>
      </c>
      <c r="R11869" s="10" t="s">
        <v>43945</v>
      </c>
      <c r="S11869" s="10" t="s">
        <v>53</v>
      </c>
      <c r="T11869" s="10" t="s">
        <v>54</v>
      </c>
    </row>
    <row r="11870" spans="1:20" ht="14.5" x14ac:dyDescent="0.35">
      <c r="A11870" s="10" t="s">
        <v>50828</v>
      </c>
      <c r="B11870" s="10" t="str">
        <f>"9780113316328"</f>
        <v>9780113316328</v>
      </c>
      <c r="C11870" s="10" t="str">
        <f>"9780113316335"</f>
        <v>9780113316335</v>
      </c>
      <c r="D11870" s="10" t="s">
        <v>43658</v>
      </c>
      <c r="E11870" s="10" t="s">
        <v>50552</v>
      </c>
      <c r="F11870" s="10" t="s">
        <v>139</v>
      </c>
      <c r="G11870" s="10" t="s">
        <v>6352</v>
      </c>
      <c r="H11870" s="11">
        <v>43861</v>
      </c>
      <c r="I11870" s="10">
        <v>2020</v>
      </c>
      <c r="J11870" s="10" t="s">
        <v>50553</v>
      </c>
      <c r="K11870" s="10">
        <v>161</v>
      </c>
      <c r="L11870" s="10" t="s">
        <v>50829</v>
      </c>
      <c r="M11870" s="10"/>
      <c r="N11870" s="10"/>
      <c r="O11870" s="10"/>
      <c r="P11870" s="10" t="s">
        <v>50555</v>
      </c>
      <c r="Q11870" s="10">
        <v>658.40380760000005</v>
      </c>
      <c r="R11870" s="10" t="s">
        <v>50830</v>
      </c>
      <c r="S11870" s="10" t="s">
        <v>53</v>
      </c>
      <c r="T11870" s="10" t="s">
        <v>50831</v>
      </c>
    </row>
    <row r="11871" spans="1:20" ht="14.5" x14ac:dyDescent="0.35">
      <c r="A11871" s="10" t="s">
        <v>50832</v>
      </c>
      <c r="B11871" s="10" t="str">
        <f>"9780367140175"</f>
        <v>9780367140175</v>
      </c>
      <c r="C11871" s="10" t="str">
        <f>"9780429639029"</f>
        <v>9780429639029</v>
      </c>
      <c r="D11871" s="10" t="s">
        <v>6350</v>
      </c>
      <c r="E11871" s="10" t="s">
        <v>6351</v>
      </c>
      <c r="F11871" s="10" t="s">
        <v>3967</v>
      </c>
      <c r="G11871" s="10" t="s">
        <v>6352</v>
      </c>
      <c r="H11871" s="11">
        <v>43874</v>
      </c>
      <c r="I11871" s="10">
        <v>2020</v>
      </c>
      <c r="J11871" s="10" t="s">
        <v>6353</v>
      </c>
      <c r="K11871" s="10">
        <v>181</v>
      </c>
      <c r="L11871" s="10" t="s">
        <v>50833</v>
      </c>
      <c r="M11871" s="10">
        <v>1</v>
      </c>
      <c r="N11871" s="10"/>
      <c r="O11871" s="10"/>
      <c r="P11871" s="10" t="s">
        <v>50834</v>
      </c>
      <c r="Q11871" s="10">
        <v>370.15100000000001</v>
      </c>
      <c r="R11871" s="10" t="s">
        <v>50835</v>
      </c>
      <c r="S11871" s="10" t="s">
        <v>53</v>
      </c>
      <c r="T11871" s="10" t="s">
        <v>54</v>
      </c>
    </row>
    <row r="11872" spans="1:20" ht="14.5" x14ac:dyDescent="0.35">
      <c r="A11872" s="10" t="s">
        <v>50836</v>
      </c>
      <c r="B11872" s="10" t="str">
        <f>"9783832539580"</f>
        <v>9783832539580</v>
      </c>
      <c r="C11872" s="10" t="str">
        <f>"9783832587758"</f>
        <v>9783832587758</v>
      </c>
      <c r="D11872" s="10" t="s">
        <v>46455</v>
      </c>
      <c r="E11872" s="10" t="s">
        <v>46455</v>
      </c>
      <c r="F11872" s="10" t="s">
        <v>2925</v>
      </c>
      <c r="G11872" s="10" t="s">
        <v>9998</v>
      </c>
      <c r="H11872" s="11">
        <v>42124</v>
      </c>
      <c r="I11872" s="10">
        <v>2015</v>
      </c>
      <c r="J11872" s="10" t="s">
        <v>46455</v>
      </c>
      <c r="K11872" s="10">
        <v>231</v>
      </c>
      <c r="L11872" s="10" t="s">
        <v>50837</v>
      </c>
      <c r="M11872" s="10">
        <v>1</v>
      </c>
      <c r="N11872" s="10" t="s">
        <v>50838</v>
      </c>
      <c r="O11872" s="10">
        <v>54</v>
      </c>
      <c r="P11872" s="10" t="s">
        <v>50839</v>
      </c>
      <c r="Q11872" s="10">
        <v>615.19000000000005</v>
      </c>
      <c r="R11872" s="10" t="s">
        <v>50840</v>
      </c>
      <c r="S11872" s="10" t="s">
        <v>1519</v>
      </c>
      <c r="T11872" s="10" t="s">
        <v>15489</v>
      </c>
    </row>
    <row r="11873" spans="1:20" ht="14.5" x14ac:dyDescent="0.35">
      <c r="A11873" s="10" t="s">
        <v>50841</v>
      </c>
      <c r="B11873" s="10" t="str">
        <f>"9781975502713"</f>
        <v>9781975502713</v>
      </c>
      <c r="C11873" s="10" t="str">
        <f>"9781975502737"</f>
        <v>9781975502737</v>
      </c>
      <c r="D11873" s="10" t="s">
        <v>44271</v>
      </c>
      <c r="E11873" s="10" t="s">
        <v>47266</v>
      </c>
      <c r="F11873" s="10" t="s">
        <v>41227</v>
      </c>
      <c r="G11873" s="10" t="s">
        <v>6317</v>
      </c>
      <c r="H11873" s="11">
        <v>43851</v>
      </c>
      <c r="I11873" s="10">
        <v>2020</v>
      </c>
      <c r="J11873" s="10" t="s">
        <v>47266</v>
      </c>
      <c r="K11873" s="10">
        <v>126</v>
      </c>
      <c r="L11873" s="10" t="s">
        <v>50842</v>
      </c>
      <c r="M11873" s="10">
        <v>1</v>
      </c>
      <c r="N11873" s="10"/>
      <c r="O11873" s="10"/>
      <c r="P11873" s="10" t="s">
        <v>50843</v>
      </c>
      <c r="Q11873" s="10">
        <v>378.19829960729999</v>
      </c>
      <c r="R11873" s="10" t="s">
        <v>50844</v>
      </c>
      <c r="S11873" s="10" t="s">
        <v>53</v>
      </c>
      <c r="T11873" s="10" t="s">
        <v>54</v>
      </c>
    </row>
    <row r="11874" spans="1:20" ht="14.5" x14ac:dyDescent="0.35">
      <c r="A11874" s="10" t="s">
        <v>50845</v>
      </c>
      <c r="B11874" s="10" t="str">
        <f>"9780113316441"</f>
        <v>9780113316441</v>
      </c>
      <c r="C11874" s="10" t="str">
        <f>"9780113316458"</f>
        <v>9780113316458</v>
      </c>
      <c r="D11874" s="10" t="s">
        <v>43658</v>
      </c>
      <c r="E11874" s="10" t="s">
        <v>50552</v>
      </c>
      <c r="F11874" s="10" t="s">
        <v>139</v>
      </c>
      <c r="G11874" s="10" t="s">
        <v>6352</v>
      </c>
      <c r="H11874" s="11">
        <v>43861</v>
      </c>
      <c r="I11874" s="10">
        <v>2020</v>
      </c>
      <c r="J11874" s="10" t="s">
        <v>50553</v>
      </c>
      <c r="K11874" s="10">
        <v>161</v>
      </c>
      <c r="L11874" s="10" t="s">
        <v>50829</v>
      </c>
      <c r="M11874" s="10"/>
      <c r="N11874" s="10"/>
      <c r="O11874" s="10"/>
      <c r="P11874" s="10" t="s">
        <v>50846</v>
      </c>
      <c r="Q11874" s="10">
        <v>658.40380000000005</v>
      </c>
      <c r="R11874" s="10" t="s">
        <v>50847</v>
      </c>
      <c r="S11874" s="10" t="s">
        <v>53</v>
      </c>
      <c r="T11874" s="10" t="s">
        <v>50831</v>
      </c>
    </row>
    <row r="11875" spans="1:20" ht="14.5" x14ac:dyDescent="0.35">
      <c r="A11875" s="10" t="s">
        <v>50848</v>
      </c>
      <c r="B11875" s="10" t="str">
        <f>"9781942401179"</f>
        <v>9781942401179</v>
      </c>
      <c r="C11875" s="10" t="str">
        <f>"9781942401186"</f>
        <v>9781942401186</v>
      </c>
      <c r="D11875" s="10" t="s">
        <v>13287</v>
      </c>
      <c r="E11875" s="10" t="s">
        <v>50849</v>
      </c>
      <c r="F11875" s="10" t="s">
        <v>3587</v>
      </c>
      <c r="G11875" s="10" t="s">
        <v>6352</v>
      </c>
      <c r="H11875" s="11">
        <v>42753</v>
      </c>
      <c r="I11875" s="10">
        <v>2017</v>
      </c>
      <c r="J11875" s="10" t="s">
        <v>50849</v>
      </c>
      <c r="K11875" s="10">
        <v>119</v>
      </c>
      <c r="L11875" s="10" t="s">
        <v>50850</v>
      </c>
      <c r="M11875" s="10">
        <v>1</v>
      </c>
      <c r="N11875" s="10" t="s">
        <v>50851</v>
      </c>
      <c r="O11875" s="10"/>
      <c r="P11875" s="10" t="s">
        <v>18993</v>
      </c>
      <c r="Q11875" s="10">
        <v>378.00099999999998</v>
      </c>
      <c r="R11875" s="10" t="s">
        <v>50852</v>
      </c>
      <c r="S11875" s="10" t="s">
        <v>53</v>
      </c>
      <c r="T11875" s="10" t="s">
        <v>54</v>
      </c>
    </row>
    <row r="11876" spans="1:20" ht="14.5" x14ac:dyDescent="0.35">
      <c r="A11876" s="10" t="s">
        <v>50853</v>
      </c>
      <c r="B11876" s="10" t="str">
        <f>"9780300227383"</f>
        <v>9780300227383</v>
      </c>
      <c r="C11876" s="10" t="str">
        <f>"9780300252736"</f>
        <v>9780300252736</v>
      </c>
      <c r="D11876" s="10" t="s">
        <v>38767</v>
      </c>
      <c r="E11876" s="10" t="s">
        <v>38767</v>
      </c>
      <c r="F11876" s="10" t="s">
        <v>38768</v>
      </c>
      <c r="G11876" s="10" t="s">
        <v>6317</v>
      </c>
      <c r="H11876" s="11">
        <v>43872</v>
      </c>
      <c r="I11876" s="10">
        <v>2020</v>
      </c>
      <c r="J11876" s="10" t="s">
        <v>38767</v>
      </c>
      <c r="K11876" s="10">
        <v>201</v>
      </c>
      <c r="L11876" s="10" t="s">
        <v>50854</v>
      </c>
      <c r="M11876" s="10">
        <v>1</v>
      </c>
      <c r="N11876" s="10"/>
      <c r="O11876" s="10"/>
      <c r="P11876" s="10" t="s">
        <v>50855</v>
      </c>
      <c r="Q11876" s="10">
        <v>507.1</v>
      </c>
      <c r="R11876" s="10" t="s">
        <v>50856</v>
      </c>
      <c r="S11876" s="10" t="s">
        <v>53</v>
      </c>
      <c r="T11876" s="10" t="s">
        <v>7193</v>
      </c>
    </row>
    <row r="11877" spans="1:20" ht="14.5" x14ac:dyDescent="0.35">
      <c r="A11877" s="10" t="s">
        <v>50857</v>
      </c>
      <c r="B11877" s="10" t="str">
        <f>"9781943360178"</f>
        <v>9781943360178</v>
      </c>
      <c r="C11877" s="10" t="str">
        <f>"9781943360499"</f>
        <v>9781943360499</v>
      </c>
      <c r="D11877" s="10" t="s">
        <v>37594</v>
      </c>
      <c r="E11877" s="10" t="s">
        <v>37594</v>
      </c>
      <c r="F11877" s="10" t="s">
        <v>37623</v>
      </c>
      <c r="G11877" s="10" t="s">
        <v>6317</v>
      </c>
      <c r="H11877" s="11">
        <v>42964</v>
      </c>
      <c r="I11877" s="10">
        <v>2017</v>
      </c>
      <c r="J11877" s="10" t="s">
        <v>37594</v>
      </c>
      <c r="K11877" s="10">
        <v>232</v>
      </c>
      <c r="L11877" s="10" t="s">
        <v>18671</v>
      </c>
      <c r="M11877" s="10">
        <v>1</v>
      </c>
      <c r="N11877" s="10"/>
      <c r="O11877" s="10"/>
      <c r="P11877" s="10" t="s">
        <v>50858</v>
      </c>
      <c r="Q11877" s="10">
        <v>428.00709999999901</v>
      </c>
      <c r="R11877" s="10" t="s">
        <v>45391</v>
      </c>
      <c r="S11877" s="10" t="s">
        <v>53</v>
      </c>
      <c r="T11877" s="10" t="s">
        <v>6634</v>
      </c>
    </row>
    <row r="11878" spans="1:20" ht="14.5" x14ac:dyDescent="0.35">
      <c r="A11878" s="10" t="s">
        <v>50859</v>
      </c>
      <c r="B11878" s="10" t="str">
        <f>"9781949539639"</f>
        <v>9781949539639</v>
      </c>
      <c r="C11878" s="10" t="str">
        <f>"9781949539646"</f>
        <v>9781949539646</v>
      </c>
      <c r="D11878" s="10" t="s">
        <v>37580</v>
      </c>
      <c r="E11878" s="10" t="s">
        <v>37581</v>
      </c>
      <c r="F11878" s="10" t="s">
        <v>37623</v>
      </c>
      <c r="G11878" s="10" t="s">
        <v>6317</v>
      </c>
      <c r="H11878" s="11">
        <v>43875</v>
      </c>
      <c r="I11878" s="10">
        <v>2020</v>
      </c>
      <c r="J11878" s="10" t="s">
        <v>37581</v>
      </c>
      <c r="K11878" s="10">
        <v>440</v>
      </c>
      <c r="L11878" s="10" t="s">
        <v>50860</v>
      </c>
      <c r="M11878" s="10">
        <v>1</v>
      </c>
      <c r="N11878" s="10"/>
      <c r="O11878" s="10"/>
      <c r="P11878" s="10" t="s">
        <v>50861</v>
      </c>
      <c r="Q11878" s="10">
        <v>371.1</v>
      </c>
      <c r="R11878" s="10" t="s">
        <v>46431</v>
      </c>
      <c r="S11878" s="10" t="s">
        <v>53</v>
      </c>
      <c r="T11878" s="10" t="s">
        <v>54</v>
      </c>
    </row>
    <row r="11879" spans="1:20" ht="14.5" x14ac:dyDescent="0.35">
      <c r="A11879" s="10" t="s">
        <v>50862</v>
      </c>
      <c r="B11879" s="10" t="str">
        <f>"9782763748450"</f>
        <v>9782763748450</v>
      </c>
      <c r="C11879" s="10" t="str">
        <f>"9782763748467"</f>
        <v>9782763748467</v>
      </c>
      <c r="D11879" s="10" t="s">
        <v>44215</v>
      </c>
      <c r="E11879" s="10" t="s">
        <v>44215</v>
      </c>
      <c r="F11879" s="10" t="s">
        <v>49233</v>
      </c>
      <c r="G11879" s="10" t="s">
        <v>9536</v>
      </c>
      <c r="H11879" s="11">
        <v>43852</v>
      </c>
      <c r="I11879" s="10">
        <v>2020</v>
      </c>
      <c r="J11879" s="10" t="s">
        <v>44215</v>
      </c>
      <c r="K11879" s="10">
        <v>118</v>
      </c>
      <c r="L11879" s="10" t="s">
        <v>50516</v>
      </c>
      <c r="M11879" s="10">
        <v>1</v>
      </c>
      <c r="N11879" s="10"/>
      <c r="O11879" s="10"/>
      <c r="P11879" s="10" t="s">
        <v>50863</v>
      </c>
      <c r="Q11879" s="10">
        <v>378.01</v>
      </c>
      <c r="R11879" s="10" t="s">
        <v>47733</v>
      </c>
      <c r="S11879" s="10" t="s">
        <v>5404</v>
      </c>
      <c r="T11879" s="10" t="s">
        <v>54</v>
      </c>
    </row>
    <row r="11880" spans="1:20" ht="14.5" x14ac:dyDescent="0.35">
      <c r="A11880" s="10" t="s">
        <v>50864</v>
      </c>
      <c r="B11880" s="10" t="str">
        <f>""</f>
        <v/>
      </c>
      <c r="C11880" s="10" t="str">
        <f>"9781975501327"</f>
        <v>9781975501327</v>
      </c>
      <c r="D11880" s="10" t="s">
        <v>44271</v>
      </c>
      <c r="E11880" s="10" t="s">
        <v>47266</v>
      </c>
      <c r="F11880" s="10" t="s">
        <v>41227</v>
      </c>
      <c r="G11880" s="10" t="s">
        <v>6317</v>
      </c>
      <c r="H11880" s="11">
        <v>43851</v>
      </c>
      <c r="I11880" s="10">
        <v>2020</v>
      </c>
      <c r="J11880" s="10" t="s">
        <v>47266</v>
      </c>
      <c r="K11880" s="10">
        <v>377</v>
      </c>
      <c r="L11880" s="10" t="s">
        <v>50865</v>
      </c>
      <c r="M11880" s="10">
        <v>1</v>
      </c>
      <c r="N11880" s="10" t="s">
        <v>50866</v>
      </c>
      <c r="O11880" s="10"/>
      <c r="P11880" s="10" t="s">
        <v>50867</v>
      </c>
      <c r="Q11880" s="10">
        <v>305.23</v>
      </c>
      <c r="R11880" s="10" t="s">
        <v>50868</v>
      </c>
      <c r="S11880" s="10" t="s">
        <v>53</v>
      </c>
      <c r="T11880" s="10" t="s">
        <v>6363</v>
      </c>
    </row>
    <row r="11881" spans="1:20" ht="14.5" x14ac:dyDescent="0.35">
      <c r="A11881" s="10" t="s">
        <v>50869</v>
      </c>
      <c r="B11881" s="10" t="str">
        <f>"9781975503307"</f>
        <v>9781975503307</v>
      </c>
      <c r="C11881" s="10" t="str">
        <f>"9781975503321"</f>
        <v>9781975503321</v>
      </c>
      <c r="D11881" s="10" t="s">
        <v>44271</v>
      </c>
      <c r="E11881" s="10" t="s">
        <v>47266</v>
      </c>
      <c r="F11881" s="10" t="s">
        <v>41227</v>
      </c>
      <c r="G11881" s="10" t="s">
        <v>6317</v>
      </c>
      <c r="H11881" s="11">
        <v>43847</v>
      </c>
      <c r="I11881" s="10">
        <v>2020</v>
      </c>
      <c r="J11881" s="10" t="s">
        <v>47266</v>
      </c>
      <c r="K11881" s="10">
        <v>267</v>
      </c>
      <c r="L11881" s="10" t="s">
        <v>50870</v>
      </c>
      <c r="M11881" s="10">
        <v>1</v>
      </c>
      <c r="N11881" s="10"/>
      <c r="O11881" s="10"/>
      <c r="P11881" s="10" t="s">
        <v>50871</v>
      </c>
      <c r="Q11881" s="10">
        <v>428.00709999999998</v>
      </c>
      <c r="R11881" s="10" t="s">
        <v>45391</v>
      </c>
      <c r="S11881" s="10" t="s">
        <v>53</v>
      </c>
      <c r="T11881" s="10" t="s">
        <v>6634</v>
      </c>
    </row>
    <row r="11882" spans="1:20" ht="14.5" x14ac:dyDescent="0.35">
      <c r="A11882" s="10" t="s">
        <v>50872</v>
      </c>
      <c r="B11882" s="10" t="str">
        <f>"9789004422193"</f>
        <v>9789004422193</v>
      </c>
      <c r="C11882" s="10" t="str">
        <f>"9789004422209"</f>
        <v>9789004422209</v>
      </c>
      <c r="D11882" s="10" t="s">
        <v>8564</v>
      </c>
      <c r="E11882" s="10" t="s">
        <v>8565</v>
      </c>
      <c r="F11882" s="10" t="s">
        <v>1420</v>
      </c>
      <c r="G11882" s="10" t="s">
        <v>6317</v>
      </c>
      <c r="H11882" s="11">
        <v>43867</v>
      </c>
      <c r="I11882" s="10">
        <v>2020</v>
      </c>
      <c r="J11882" s="10" t="s">
        <v>33259</v>
      </c>
      <c r="K11882" s="10">
        <v>208</v>
      </c>
      <c r="L11882" s="10" t="s">
        <v>50873</v>
      </c>
      <c r="M11882" s="10">
        <v>1</v>
      </c>
      <c r="N11882" s="10" t="s">
        <v>33414</v>
      </c>
      <c r="O11882" s="10">
        <v>30</v>
      </c>
      <c r="P11882" s="10" t="s">
        <v>50874</v>
      </c>
      <c r="Q11882" s="10">
        <v>378.00700000000001</v>
      </c>
      <c r="R11882" s="10" t="s">
        <v>33773</v>
      </c>
      <c r="S11882" s="10" t="s">
        <v>53</v>
      </c>
      <c r="T11882" s="10" t="s">
        <v>54</v>
      </c>
    </row>
    <row r="11883" spans="1:20" ht="14.5" x14ac:dyDescent="0.35">
      <c r="A11883" s="10" t="s">
        <v>50875</v>
      </c>
      <c r="B11883" s="10" t="str">
        <f>"9789004388741"</f>
        <v>9789004388741</v>
      </c>
      <c r="C11883" s="10" t="str">
        <f>"9789004422315"</f>
        <v>9789004422315</v>
      </c>
      <c r="D11883" s="10" t="s">
        <v>8564</v>
      </c>
      <c r="E11883" s="10" t="s">
        <v>8565</v>
      </c>
      <c r="F11883" s="10" t="s">
        <v>1420</v>
      </c>
      <c r="G11883" s="10" t="s">
        <v>6317</v>
      </c>
      <c r="H11883" s="11">
        <v>43874</v>
      </c>
      <c r="I11883" s="10">
        <v>2020</v>
      </c>
      <c r="J11883" s="10" t="s">
        <v>33259</v>
      </c>
      <c r="K11883" s="10">
        <v>118</v>
      </c>
      <c r="L11883" s="10" t="s">
        <v>50876</v>
      </c>
      <c r="M11883" s="10">
        <v>1</v>
      </c>
      <c r="N11883" s="10" t="s">
        <v>50877</v>
      </c>
      <c r="O11883" s="10">
        <v>4</v>
      </c>
      <c r="P11883" s="10"/>
      <c r="Q11883" s="10"/>
      <c r="R11883" s="10" t="s">
        <v>50878</v>
      </c>
      <c r="S11883" s="10" t="s">
        <v>53</v>
      </c>
      <c r="T11883" s="10" t="s">
        <v>54</v>
      </c>
    </row>
    <row r="11884" spans="1:20" ht="14.5" x14ac:dyDescent="0.35">
      <c r="A11884" s="10" t="s">
        <v>50879</v>
      </c>
      <c r="B11884" s="10" t="str">
        <f>"9781551383446"</f>
        <v>9781551383446</v>
      </c>
      <c r="C11884" s="10" t="str">
        <f>"9781551389431"</f>
        <v>9781551389431</v>
      </c>
      <c r="D11884" s="10" t="s">
        <v>45074</v>
      </c>
      <c r="E11884" s="10" t="s">
        <v>45075</v>
      </c>
      <c r="F11884" s="10" t="s">
        <v>901</v>
      </c>
      <c r="G11884" s="10" t="s">
        <v>9536</v>
      </c>
      <c r="H11884" s="11">
        <v>43867</v>
      </c>
      <c r="I11884" s="10">
        <v>2020</v>
      </c>
      <c r="J11884" s="10" t="s">
        <v>45075</v>
      </c>
      <c r="K11884" s="10">
        <v>199</v>
      </c>
      <c r="L11884" s="10" t="s">
        <v>47387</v>
      </c>
      <c r="M11884" s="10">
        <v>1</v>
      </c>
      <c r="N11884" s="10"/>
      <c r="O11884" s="10"/>
      <c r="P11884" s="10"/>
      <c r="Q11884" s="10"/>
      <c r="R11884" s="10" t="s">
        <v>35626</v>
      </c>
      <c r="S11884" s="10" t="s">
        <v>53</v>
      </c>
      <c r="T11884" s="10" t="s">
        <v>54</v>
      </c>
    </row>
    <row r="11885" spans="1:20" ht="14.5" x14ac:dyDescent="0.35">
      <c r="A11885" s="10" t="s">
        <v>50880</v>
      </c>
      <c r="B11885" s="10" t="str">
        <f>"9781949539110"</f>
        <v>9781949539110</v>
      </c>
      <c r="C11885" s="10" t="str">
        <f>"9781949539127"</f>
        <v>9781949539127</v>
      </c>
      <c r="D11885" s="10" t="s">
        <v>37580</v>
      </c>
      <c r="E11885" s="10" t="s">
        <v>37581</v>
      </c>
      <c r="F11885" s="10" t="s">
        <v>37623</v>
      </c>
      <c r="G11885" s="10" t="s">
        <v>6317</v>
      </c>
      <c r="H11885" s="11">
        <v>43882</v>
      </c>
      <c r="I11885" s="10">
        <v>2020</v>
      </c>
      <c r="J11885" s="10" t="s">
        <v>37581</v>
      </c>
      <c r="K11885" s="10">
        <v>240</v>
      </c>
      <c r="L11885" s="10" t="s">
        <v>50881</v>
      </c>
      <c r="M11885" s="10">
        <v>1</v>
      </c>
      <c r="N11885" s="10"/>
      <c r="O11885" s="10"/>
      <c r="P11885" s="10" t="s">
        <v>50882</v>
      </c>
      <c r="Q11885" s="10" t="s">
        <v>8067</v>
      </c>
      <c r="R11885" s="10" t="s">
        <v>50883</v>
      </c>
      <c r="S11885" s="10" t="s">
        <v>53</v>
      </c>
      <c r="T11885" s="10" t="s">
        <v>54</v>
      </c>
    </row>
    <row r="11886" spans="1:20" ht="14.5" x14ac:dyDescent="0.35">
      <c r="A11886" s="10" t="s">
        <v>50884</v>
      </c>
      <c r="B11886" s="10" t="str">
        <f>"9781947604254"</f>
        <v>9781947604254</v>
      </c>
      <c r="C11886" s="10" t="str">
        <f>"9781947604261"</f>
        <v>9781947604261</v>
      </c>
      <c r="D11886" s="10" t="s">
        <v>37580</v>
      </c>
      <c r="E11886" s="10" t="s">
        <v>37581</v>
      </c>
      <c r="F11886" s="10" t="s">
        <v>37623</v>
      </c>
      <c r="G11886" s="10" t="s">
        <v>6317</v>
      </c>
      <c r="H11886" s="11">
        <v>43886</v>
      </c>
      <c r="I11886" s="10">
        <v>2020</v>
      </c>
      <c r="J11886" s="10" t="s">
        <v>37581</v>
      </c>
      <c r="K11886" s="10">
        <v>200</v>
      </c>
      <c r="L11886" s="10" t="s">
        <v>50885</v>
      </c>
      <c r="M11886" s="10">
        <v>1</v>
      </c>
      <c r="N11886" s="10"/>
      <c r="O11886" s="10"/>
      <c r="P11886" s="10" t="s">
        <v>50886</v>
      </c>
      <c r="Q11886" s="10"/>
      <c r="R11886" s="10" t="s">
        <v>50887</v>
      </c>
      <c r="S11886" s="10" t="s">
        <v>53</v>
      </c>
      <c r="T11886" s="10" t="s">
        <v>54</v>
      </c>
    </row>
    <row r="11887" spans="1:20" ht="14.5" x14ac:dyDescent="0.35">
      <c r="A11887" s="10" t="s">
        <v>50888</v>
      </c>
      <c r="B11887" s="10" t="str">
        <f>"9781943360338"</f>
        <v>9781943360338</v>
      </c>
      <c r="C11887" s="10" t="str">
        <f>"9781943360345"</f>
        <v>9781943360345</v>
      </c>
      <c r="D11887" s="10" t="s">
        <v>37594</v>
      </c>
      <c r="E11887" s="10" t="s">
        <v>37594</v>
      </c>
      <c r="F11887" s="10" t="s">
        <v>37623</v>
      </c>
      <c r="G11887" s="10" t="s">
        <v>6317</v>
      </c>
      <c r="H11887" s="11">
        <v>43903</v>
      </c>
      <c r="I11887" s="10">
        <v>2020</v>
      </c>
      <c r="J11887" s="10" t="s">
        <v>37594</v>
      </c>
      <c r="K11887" s="10">
        <v>304</v>
      </c>
      <c r="L11887" s="10" t="s">
        <v>18671</v>
      </c>
      <c r="M11887" s="10">
        <v>1</v>
      </c>
      <c r="N11887" s="10"/>
      <c r="O11887" s="10"/>
      <c r="P11887" s="10"/>
      <c r="Q11887" s="10"/>
      <c r="R11887" s="10"/>
      <c r="S11887" s="10" t="s">
        <v>53</v>
      </c>
      <c r="T11887" s="10" t="s">
        <v>54</v>
      </c>
    </row>
    <row r="11888" spans="1:20" ht="14.5" x14ac:dyDescent="0.35">
      <c r="A11888" s="10" t="s">
        <v>50889</v>
      </c>
      <c r="B11888" s="10" t="str">
        <f>"9781416628736"</f>
        <v>9781416628736</v>
      </c>
      <c r="C11888" s="10" t="str">
        <f>"9781416629269"</f>
        <v>9781416629269</v>
      </c>
      <c r="D11888" s="10" t="s">
        <v>10014</v>
      </c>
      <c r="E11888" s="10" t="s">
        <v>10015</v>
      </c>
      <c r="F11888" s="10" t="s">
        <v>201</v>
      </c>
      <c r="G11888" s="10" t="s">
        <v>6317</v>
      </c>
      <c r="H11888" s="11">
        <v>43889</v>
      </c>
      <c r="I11888" s="10">
        <v>2020</v>
      </c>
      <c r="J11888" s="10" t="s">
        <v>10015</v>
      </c>
      <c r="K11888" s="10">
        <v>210</v>
      </c>
      <c r="L11888" s="10" t="s">
        <v>50890</v>
      </c>
      <c r="M11888" s="10">
        <v>1</v>
      </c>
      <c r="N11888" s="10"/>
      <c r="O11888" s="10"/>
      <c r="P11888" s="10" t="s">
        <v>50891</v>
      </c>
      <c r="Q11888" s="10">
        <v>371.1</v>
      </c>
      <c r="R11888" s="10" t="s">
        <v>50892</v>
      </c>
      <c r="S11888" s="10" t="s">
        <v>53</v>
      </c>
      <c r="T11888" s="10" t="s">
        <v>54</v>
      </c>
    </row>
    <row r="11889" spans="1:20" ht="14.5" x14ac:dyDescent="0.35">
      <c r="A11889" s="10" t="s">
        <v>50893</v>
      </c>
      <c r="B11889" s="10" t="str">
        <f>"9780367255237"</f>
        <v>9780367255237</v>
      </c>
      <c r="C11889" s="10" t="str">
        <f>"9781000033663"</f>
        <v>9781000033663</v>
      </c>
      <c r="D11889" s="10" t="s">
        <v>6350</v>
      </c>
      <c r="E11889" s="10" t="s">
        <v>6351</v>
      </c>
      <c r="F11889" s="10" t="s">
        <v>3967</v>
      </c>
      <c r="G11889" s="10" t="s">
        <v>6352</v>
      </c>
      <c r="H11889" s="11">
        <v>43886</v>
      </c>
      <c r="I11889" s="10">
        <v>2020</v>
      </c>
      <c r="J11889" s="10" t="s">
        <v>6353</v>
      </c>
      <c r="K11889" s="10">
        <v>241</v>
      </c>
      <c r="L11889" s="10" t="s">
        <v>50894</v>
      </c>
      <c r="M11889" s="10">
        <v>2</v>
      </c>
      <c r="N11889" s="10"/>
      <c r="O11889" s="10"/>
      <c r="P11889" s="10" t="s">
        <v>50895</v>
      </c>
      <c r="Q11889" s="10"/>
      <c r="R11889" s="10"/>
      <c r="S11889" s="10" t="s">
        <v>53</v>
      </c>
      <c r="T11889" s="10" t="s">
        <v>54</v>
      </c>
    </row>
    <row r="11890" spans="1:20" ht="14.5" x14ac:dyDescent="0.35">
      <c r="A11890" s="10" t="s">
        <v>50896</v>
      </c>
      <c r="B11890" s="10" t="str">
        <f>"9780367862077"</f>
        <v>9780367862077</v>
      </c>
      <c r="C11890" s="10" t="str">
        <f>"9781000038040"</f>
        <v>9781000038040</v>
      </c>
      <c r="D11890" s="10" t="s">
        <v>6350</v>
      </c>
      <c r="E11890" s="10" t="s">
        <v>6351</v>
      </c>
      <c r="F11890" s="10" t="s">
        <v>3967</v>
      </c>
      <c r="G11890" s="10" t="s">
        <v>6352</v>
      </c>
      <c r="H11890" s="11">
        <v>43889</v>
      </c>
      <c r="I11890" s="10">
        <v>2020</v>
      </c>
      <c r="J11890" s="10" t="s">
        <v>6353</v>
      </c>
      <c r="K11890" s="10">
        <v>183</v>
      </c>
      <c r="L11890" s="10" t="s">
        <v>50897</v>
      </c>
      <c r="M11890" s="10">
        <v>1</v>
      </c>
      <c r="N11890" s="10"/>
      <c r="O11890" s="10"/>
      <c r="P11890" s="10" t="s">
        <v>50898</v>
      </c>
      <c r="Q11890" s="10">
        <v>370.91732000000002</v>
      </c>
      <c r="R11890" s="10" t="s">
        <v>39280</v>
      </c>
      <c r="S11890" s="10" t="s">
        <v>53</v>
      </c>
      <c r="T11890" s="10" t="s">
        <v>54</v>
      </c>
    </row>
    <row r="11891" spans="1:20" ht="14.5" x14ac:dyDescent="0.35">
      <c r="A11891" s="10" t="s">
        <v>50899</v>
      </c>
      <c r="B11891" s="10" t="str">
        <f>"9781416628491"</f>
        <v>9781416628491</v>
      </c>
      <c r="C11891" s="10" t="str">
        <f>"9781416628927"</f>
        <v>9781416628927</v>
      </c>
      <c r="D11891" s="10" t="s">
        <v>10014</v>
      </c>
      <c r="E11891" s="10" t="s">
        <v>10015</v>
      </c>
      <c r="F11891" s="10" t="s">
        <v>201</v>
      </c>
      <c r="G11891" s="10" t="s">
        <v>6317</v>
      </c>
      <c r="H11891" s="11">
        <v>43889</v>
      </c>
      <c r="I11891" s="10">
        <v>2020</v>
      </c>
      <c r="J11891" s="10" t="s">
        <v>10015</v>
      </c>
      <c r="K11891" s="10">
        <v>226</v>
      </c>
      <c r="L11891" s="10" t="s">
        <v>50900</v>
      </c>
      <c r="M11891" s="10">
        <v>1</v>
      </c>
      <c r="N11891" s="10"/>
      <c r="O11891" s="10"/>
      <c r="P11891" s="10" t="s">
        <v>50901</v>
      </c>
      <c r="Q11891" s="10">
        <v>370.11700000000002</v>
      </c>
      <c r="R11891" s="10" t="s">
        <v>49113</v>
      </c>
      <c r="S11891" s="10" t="s">
        <v>53</v>
      </c>
      <c r="T11891" s="10" t="s">
        <v>54</v>
      </c>
    </row>
    <row r="11892" spans="1:20" ht="14.5" x14ac:dyDescent="0.35">
      <c r="A11892" s="10" t="s">
        <v>50902</v>
      </c>
      <c r="B11892" s="10" t="str">
        <f>"9781119142881"</f>
        <v>9781119142881</v>
      </c>
      <c r="C11892" s="10" t="str">
        <f>"9781119142935"</f>
        <v>9781119142935</v>
      </c>
      <c r="D11892" s="10" t="s">
        <v>6322</v>
      </c>
      <c r="E11892" s="10" t="s">
        <v>6323</v>
      </c>
      <c r="F11892" s="10" t="s">
        <v>4423</v>
      </c>
      <c r="G11892" s="10" t="s">
        <v>6317</v>
      </c>
      <c r="H11892" s="11">
        <v>43900</v>
      </c>
      <c r="I11892" s="10">
        <v>2019</v>
      </c>
      <c r="J11892" s="10" t="s">
        <v>8436</v>
      </c>
      <c r="K11892" s="10">
        <v>640</v>
      </c>
      <c r="L11892" s="10" t="s">
        <v>50903</v>
      </c>
      <c r="M11892" s="10">
        <v>1</v>
      </c>
      <c r="N11892" s="10"/>
      <c r="O11892" s="10"/>
      <c r="P11892" s="10"/>
      <c r="Q11892" s="10">
        <v>371.10199999999998</v>
      </c>
      <c r="R11892" s="10" t="s">
        <v>7101</v>
      </c>
      <c r="S11892" s="10" t="s">
        <v>53</v>
      </c>
      <c r="T11892" s="10" t="s">
        <v>54</v>
      </c>
    </row>
    <row r="11893" spans="1:20" ht="14.5" x14ac:dyDescent="0.35">
      <c r="A11893" s="10" t="s">
        <v>50904</v>
      </c>
      <c r="B11893" s="10" t="str">
        <f>"9780745340678"</f>
        <v>9780745340678</v>
      </c>
      <c r="C11893" s="10" t="str">
        <f>"9781786805744"</f>
        <v>9781786805744</v>
      </c>
      <c r="D11893" s="10" t="s">
        <v>9533</v>
      </c>
      <c r="E11893" s="10" t="s">
        <v>37535</v>
      </c>
      <c r="F11893" s="10" t="s">
        <v>139</v>
      </c>
      <c r="G11893" s="10" t="s">
        <v>6352</v>
      </c>
      <c r="H11893" s="11">
        <v>43881</v>
      </c>
      <c r="I11893" s="10">
        <v>2020</v>
      </c>
      <c r="J11893" s="10" t="s">
        <v>37535</v>
      </c>
      <c r="K11893" s="10">
        <v>273</v>
      </c>
      <c r="L11893" s="10" t="s">
        <v>50905</v>
      </c>
      <c r="M11893" s="10">
        <v>1</v>
      </c>
      <c r="N11893" s="10"/>
      <c r="O11893" s="10"/>
      <c r="P11893" s="10" t="s">
        <v>50906</v>
      </c>
      <c r="Q11893" s="10">
        <v>306.43200000000002</v>
      </c>
      <c r="R11893" s="10" t="s">
        <v>50907</v>
      </c>
      <c r="S11893" s="10" t="s">
        <v>53</v>
      </c>
      <c r="T11893" s="10" t="s">
        <v>6526</v>
      </c>
    </row>
    <row r="11894" spans="1:20" ht="14.5" x14ac:dyDescent="0.35">
      <c r="A11894" s="10" t="s">
        <v>50908</v>
      </c>
      <c r="B11894" s="10" t="str">
        <f>"9788021094109"</f>
        <v>9788021094109</v>
      </c>
      <c r="C11894" s="10" t="str">
        <f>"9788021094116"</f>
        <v>9788021094116</v>
      </c>
      <c r="D11894" s="10" t="s">
        <v>45447</v>
      </c>
      <c r="E11894" s="10" t="s">
        <v>45448</v>
      </c>
      <c r="F11894" s="10" t="s">
        <v>4892</v>
      </c>
      <c r="G11894" s="10" t="s">
        <v>30936</v>
      </c>
      <c r="H11894" s="11">
        <v>43647</v>
      </c>
      <c r="I11894" s="10">
        <v>2019</v>
      </c>
      <c r="J11894" s="10" t="s">
        <v>46362</v>
      </c>
      <c r="K11894" s="10">
        <v>223</v>
      </c>
      <c r="L11894" s="10" t="s">
        <v>50909</v>
      </c>
      <c r="M11894" s="10">
        <v>1</v>
      </c>
      <c r="N11894" s="10" t="s">
        <v>50910</v>
      </c>
      <c r="O11894" s="10">
        <v>495</v>
      </c>
      <c r="P11894" s="10" t="s">
        <v>50911</v>
      </c>
      <c r="Q11894" s="10">
        <v>370.94369999999901</v>
      </c>
      <c r="R11894" s="10" t="s">
        <v>50912</v>
      </c>
      <c r="S11894" s="10" t="s">
        <v>4212</v>
      </c>
      <c r="T11894" s="10" t="s">
        <v>54</v>
      </c>
    </row>
    <row r="11895" spans="1:20" ht="14.5" x14ac:dyDescent="0.35">
      <c r="A11895" s="10" t="s">
        <v>50913</v>
      </c>
      <c r="B11895" s="10" t="str">
        <f>"9780113316366"</f>
        <v>9780113316366</v>
      </c>
      <c r="C11895" s="10" t="str">
        <f>"9780113316373"</f>
        <v>9780113316373</v>
      </c>
      <c r="D11895" s="10" t="s">
        <v>43658</v>
      </c>
      <c r="E11895" s="10" t="s">
        <v>50552</v>
      </c>
      <c r="F11895" s="10" t="s">
        <v>139</v>
      </c>
      <c r="G11895" s="10" t="s">
        <v>6352</v>
      </c>
      <c r="H11895" s="11">
        <v>43882</v>
      </c>
      <c r="I11895" s="10">
        <v>2020</v>
      </c>
      <c r="J11895" s="10" t="s">
        <v>50553</v>
      </c>
      <c r="K11895" s="10">
        <v>232</v>
      </c>
      <c r="L11895" s="10" t="s">
        <v>50829</v>
      </c>
      <c r="M11895" s="10"/>
      <c r="N11895" s="10"/>
      <c r="O11895" s="10"/>
      <c r="P11895" s="10" t="s">
        <v>50555</v>
      </c>
      <c r="Q11895" s="10">
        <v>658.40380760000005</v>
      </c>
      <c r="R11895" s="10" t="s">
        <v>50914</v>
      </c>
      <c r="S11895" s="10" t="s">
        <v>53</v>
      </c>
      <c r="T11895" s="10" t="s">
        <v>50915</v>
      </c>
    </row>
    <row r="11896" spans="1:20" ht="14.5" x14ac:dyDescent="0.35">
      <c r="A11896" s="10" t="s">
        <v>50916</v>
      </c>
      <c r="B11896" s="10" t="str">
        <f>"9780113316403"</f>
        <v>9780113316403</v>
      </c>
      <c r="C11896" s="10" t="str">
        <f>"9780113316410"</f>
        <v>9780113316410</v>
      </c>
      <c r="D11896" s="10" t="s">
        <v>43658</v>
      </c>
      <c r="E11896" s="10" t="s">
        <v>50552</v>
      </c>
      <c r="F11896" s="10" t="s">
        <v>139</v>
      </c>
      <c r="G11896" s="10" t="s">
        <v>6352</v>
      </c>
      <c r="H11896" s="11">
        <v>43882</v>
      </c>
      <c r="I11896" s="10">
        <v>2020</v>
      </c>
      <c r="J11896" s="10" t="s">
        <v>50553</v>
      </c>
      <c r="K11896" s="10">
        <v>153</v>
      </c>
      <c r="L11896" s="10" t="s">
        <v>50829</v>
      </c>
      <c r="M11896" s="10"/>
      <c r="N11896" s="10"/>
      <c r="O11896" s="10"/>
      <c r="P11896" s="10" t="s">
        <v>50555</v>
      </c>
      <c r="Q11896" s="10">
        <v>658.40380760000005</v>
      </c>
      <c r="R11896" s="10" t="s">
        <v>50914</v>
      </c>
      <c r="S11896" s="10" t="s">
        <v>53</v>
      </c>
      <c r="T11896" s="10" t="s">
        <v>50917</v>
      </c>
    </row>
    <row r="11897" spans="1:20" ht="14.5" x14ac:dyDescent="0.35">
      <c r="A11897" s="10" t="s">
        <v>50918</v>
      </c>
      <c r="B11897" s="10" t="str">
        <f>"9781416628583"</f>
        <v>9781416628583</v>
      </c>
      <c r="C11897" s="10" t="str">
        <f>"9781416628606"</f>
        <v>9781416628606</v>
      </c>
      <c r="D11897" s="10" t="s">
        <v>10014</v>
      </c>
      <c r="E11897" s="10" t="s">
        <v>10015</v>
      </c>
      <c r="F11897" s="10" t="s">
        <v>201</v>
      </c>
      <c r="G11897" s="10" t="s">
        <v>6317</v>
      </c>
      <c r="H11897" s="11">
        <v>43873</v>
      </c>
      <c r="I11897" s="10">
        <v>2020</v>
      </c>
      <c r="J11897" s="10" t="s">
        <v>10015</v>
      </c>
      <c r="K11897" s="10">
        <v>261</v>
      </c>
      <c r="L11897" s="10" t="s">
        <v>50919</v>
      </c>
      <c r="M11897" s="10">
        <v>2</v>
      </c>
      <c r="N11897" s="10"/>
      <c r="O11897" s="10"/>
      <c r="P11897" s="10" t="s">
        <v>50920</v>
      </c>
      <c r="Q11897" s="10">
        <v>370.15230000000003</v>
      </c>
      <c r="R11897" s="10" t="s">
        <v>19383</v>
      </c>
      <c r="S11897" s="10" t="s">
        <v>53</v>
      </c>
      <c r="T11897" s="10" t="s">
        <v>54</v>
      </c>
    </row>
    <row r="11898" spans="1:20" ht="14.5" x14ac:dyDescent="0.35">
      <c r="A11898" s="10" t="s">
        <v>50921</v>
      </c>
      <c r="B11898" s="10" t="str">
        <f>"9781949539455"</f>
        <v>9781949539455</v>
      </c>
      <c r="C11898" s="10" t="str">
        <f>"9781949539462"</f>
        <v>9781949539462</v>
      </c>
      <c r="D11898" s="10" t="s">
        <v>37580</v>
      </c>
      <c r="E11898" s="10" t="s">
        <v>37581</v>
      </c>
      <c r="F11898" s="10" t="s">
        <v>37623</v>
      </c>
      <c r="G11898" s="10" t="s">
        <v>6317</v>
      </c>
      <c r="H11898" s="11">
        <v>43896</v>
      </c>
      <c r="I11898" s="10">
        <v>2020</v>
      </c>
      <c r="J11898" s="10" t="s">
        <v>37581</v>
      </c>
      <c r="K11898" s="10">
        <v>288</v>
      </c>
      <c r="L11898" s="10" t="s">
        <v>20682</v>
      </c>
      <c r="M11898" s="10">
        <v>1</v>
      </c>
      <c r="N11898" s="10"/>
      <c r="O11898" s="10"/>
      <c r="P11898" s="10" t="s">
        <v>50922</v>
      </c>
      <c r="Q11898" s="10">
        <v>371.27199999999999</v>
      </c>
      <c r="R11898" s="10" t="s">
        <v>50923</v>
      </c>
      <c r="S11898" s="10" t="s">
        <v>53</v>
      </c>
      <c r="T11898" s="10" t="s">
        <v>54</v>
      </c>
    </row>
    <row r="11899" spans="1:20" ht="14.5" x14ac:dyDescent="0.35">
      <c r="A11899" s="10" t="s">
        <v>50924</v>
      </c>
      <c r="B11899" s="10" t="str">
        <f>"9789004375116"</f>
        <v>9789004375116</v>
      </c>
      <c r="C11899" s="10" t="str">
        <f>"9789004375123"</f>
        <v>9789004375123</v>
      </c>
      <c r="D11899" s="10" t="s">
        <v>8564</v>
      </c>
      <c r="E11899" s="10" t="s">
        <v>8565</v>
      </c>
      <c r="F11899" s="10" t="s">
        <v>1420</v>
      </c>
      <c r="G11899" s="10" t="s">
        <v>6317</v>
      </c>
      <c r="H11899" s="11">
        <v>43286</v>
      </c>
      <c r="I11899" s="10">
        <v>2018</v>
      </c>
      <c r="J11899" s="10" t="s">
        <v>33259</v>
      </c>
      <c r="K11899" s="10">
        <v>194</v>
      </c>
      <c r="L11899" s="10" t="s">
        <v>50925</v>
      </c>
      <c r="M11899" s="10">
        <v>1</v>
      </c>
      <c r="N11899" s="10"/>
      <c r="O11899" s="10"/>
      <c r="P11899" s="10"/>
      <c r="Q11899" s="10"/>
      <c r="R11899" s="10" t="s">
        <v>41334</v>
      </c>
      <c r="S11899" s="10" t="s">
        <v>53</v>
      </c>
      <c r="T11899" s="10" t="s">
        <v>54</v>
      </c>
    </row>
    <row r="11900" spans="1:20" ht="14.5" x14ac:dyDescent="0.35">
      <c r="A11900" s="10" t="s">
        <v>50926</v>
      </c>
      <c r="B11900" s="10" t="str">
        <f>"9789004393332"</f>
        <v>9789004393332</v>
      </c>
      <c r="C11900" s="10" t="str">
        <f>"9789004393349"</f>
        <v>9789004393349</v>
      </c>
      <c r="D11900" s="10" t="s">
        <v>8564</v>
      </c>
      <c r="E11900" s="10" t="s">
        <v>8565</v>
      </c>
      <c r="F11900" s="10" t="s">
        <v>1420</v>
      </c>
      <c r="G11900" s="10" t="s">
        <v>6317</v>
      </c>
      <c r="H11900" s="11">
        <v>43545</v>
      </c>
      <c r="I11900" s="10">
        <v>2019</v>
      </c>
      <c r="J11900" s="10" t="s">
        <v>33259</v>
      </c>
      <c r="K11900" s="10">
        <v>325</v>
      </c>
      <c r="L11900" s="10" t="s">
        <v>50927</v>
      </c>
      <c r="M11900" s="10">
        <v>1</v>
      </c>
      <c r="N11900" s="10" t="s">
        <v>33751</v>
      </c>
      <c r="O11900" s="10">
        <v>64</v>
      </c>
      <c r="P11900" s="10"/>
      <c r="Q11900" s="10"/>
      <c r="R11900" s="10" t="s">
        <v>50928</v>
      </c>
      <c r="S11900" s="10" t="s">
        <v>53</v>
      </c>
      <c r="T11900" s="10" t="s">
        <v>54</v>
      </c>
    </row>
    <row r="11901" spans="1:20" ht="14.5" x14ac:dyDescent="0.35">
      <c r="A11901" s="10" t="s">
        <v>50929</v>
      </c>
      <c r="B11901" s="10" t="str">
        <f>"9789629371890"</f>
        <v>9789629371890</v>
      </c>
      <c r="C11901" s="10" t="str">
        <f>"9789629374952"</f>
        <v>9789629374952</v>
      </c>
      <c r="D11901" s="10" t="s">
        <v>9215</v>
      </c>
      <c r="E11901" s="10" t="s">
        <v>50930</v>
      </c>
      <c r="F11901" s="10" t="s">
        <v>324</v>
      </c>
      <c r="G11901" s="10" t="s">
        <v>6317</v>
      </c>
      <c r="H11901" s="11">
        <v>40695</v>
      </c>
      <c r="I11901" s="10">
        <v>2011</v>
      </c>
      <c r="J11901" s="10" t="s">
        <v>50930</v>
      </c>
      <c r="K11901" s="10">
        <v>378</v>
      </c>
      <c r="L11901" s="10" t="s">
        <v>50931</v>
      </c>
      <c r="M11901" s="10"/>
      <c r="N11901" s="10"/>
      <c r="O11901" s="10"/>
      <c r="P11901" s="10" t="s">
        <v>50932</v>
      </c>
      <c r="Q11901" s="10">
        <v>378.125</v>
      </c>
      <c r="R11901" s="10" t="s">
        <v>39492</v>
      </c>
      <c r="S11901" s="10" t="s">
        <v>53</v>
      </c>
      <c r="T11901" s="10" t="s">
        <v>54</v>
      </c>
    </row>
    <row r="11902" spans="1:20" ht="14.5" x14ac:dyDescent="0.35">
      <c r="A11902" s="10" t="s">
        <v>50933</v>
      </c>
      <c r="B11902" s="10" t="str">
        <f>"9789629371357"</f>
        <v>9789629371357</v>
      </c>
      <c r="C11902" s="10" t="str">
        <f>"9789629374648"</f>
        <v>9789629374648</v>
      </c>
      <c r="D11902" s="10" t="s">
        <v>9215</v>
      </c>
      <c r="E11902" s="10" t="s">
        <v>50930</v>
      </c>
      <c r="F11902" s="10" t="s">
        <v>324</v>
      </c>
      <c r="G11902" s="10" t="s">
        <v>6317</v>
      </c>
      <c r="H11902" s="11">
        <v>39569</v>
      </c>
      <c r="I11902" s="10">
        <v>2008</v>
      </c>
      <c r="J11902" s="10" t="s">
        <v>50930</v>
      </c>
      <c r="K11902" s="10">
        <v>198</v>
      </c>
      <c r="L11902" s="10" t="s">
        <v>50934</v>
      </c>
      <c r="M11902" s="10"/>
      <c r="N11902" s="10"/>
      <c r="O11902" s="10"/>
      <c r="P11902" s="10" t="s">
        <v>50935</v>
      </c>
      <c r="Q11902" s="10">
        <v>428.00712512500002</v>
      </c>
      <c r="R11902" s="10" t="s">
        <v>50936</v>
      </c>
      <c r="S11902" s="10" t="s">
        <v>53</v>
      </c>
      <c r="T11902" s="10" t="s">
        <v>6616</v>
      </c>
    </row>
    <row r="11903" spans="1:20" ht="14.5" x14ac:dyDescent="0.35">
      <c r="A11903" s="10" t="s">
        <v>50937</v>
      </c>
      <c r="B11903" s="10" t="str">
        <f>"9789629372057"</f>
        <v>9789629372057</v>
      </c>
      <c r="C11903" s="10" t="str">
        <f>"9789629375010"</f>
        <v>9789629375010</v>
      </c>
      <c r="D11903" s="10" t="s">
        <v>9215</v>
      </c>
      <c r="E11903" s="10" t="s">
        <v>50930</v>
      </c>
      <c r="F11903" s="10" t="s">
        <v>324</v>
      </c>
      <c r="G11903" s="10" t="s">
        <v>6317</v>
      </c>
      <c r="H11903" s="11">
        <v>41091</v>
      </c>
      <c r="I11903" s="10">
        <v>2012</v>
      </c>
      <c r="J11903" s="10" t="s">
        <v>50930</v>
      </c>
      <c r="K11903" s="10">
        <v>275</v>
      </c>
      <c r="L11903" s="10" t="s">
        <v>50938</v>
      </c>
      <c r="M11903" s="10"/>
      <c r="N11903" s="10"/>
      <c r="O11903" s="10"/>
      <c r="P11903" s="10" t="s">
        <v>50939</v>
      </c>
      <c r="Q11903" s="10">
        <v>404.20830000000001</v>
      </c>
      <c r="R11903" s="10" t="s">
        <v>50940</v>
      </c>
      <c r="S11903" s="10" t="s">
        <v>53</v>
      </c>
      <c r="T11903" s="10" t="s">
        <v>6616</v>
      </c>
    </row>
    <row r="11904" spans="1:20" ht="14.5" x14ac:dyDescent="0.35">
      <c r="A11904" s="10" t="s">
        <v>50941</v>
      </c>
      <c r="B11904" s="10" t="str">
        <f>"9781119271918"</f>
        <v>9781119271918</v>
      </c>
      <c r="C11904" s="10" t="str">
        <f>"9781119271963"</f>
        <v>9781119271963</v>
      </c>
      <c r="D11904" s="10" t="s">
        <v>6322</v>
      </c>
      <c r="E11904" s="10" t="s">
        <v>6323</v>
      </c>
      <c r="F11904" s="10" t="s">
        <v>4423</v>
      </c>
      <c r="G11904" s="10" t="s">
        <v>6317</v>
      </c>
      <c r="H11904" s="11">
        <v>43907</v>
      </c>
      <c r="I11904" s="10">
        <v>2020</v>
      </c>
      <c r="J11904" s="10" t="s">
        <v>6324</v>
      </c>
      <c r="K11904" s="10">
        <v>1059</v>
      </c>
      <c r="L11904" s="10" t="s">
        <v>49115</v>
      </c>
      <c r="M11904" s="10">
        <v>6</v>
      </c>
      <c r="N11904" s="10"/>
      <c r="O11904" s="10"/>
      <c r="P11904" s="10"/>
      <c r="Q11904" s="10">
        <v>344.73074000000003</v>
      </c>
      <c r="R11904" s="10" t="s">
        <v>49116</v>
      </c>
      <c r="S11904" s="10" t="s">
        <v>53</v>
      </c>
      <c r="T11904" s="10" t="s">
        <v>5396</v>
      </c>
    </row>
    <row r="11905" spans="1:20" ht="14.5" x14ac:dyDescent="0.35">
      <c r="A11905" s="10" t="s">
        <v>50942</v>
      </c>
      <c r="B11905" s="10" t="str">
        <f>"9781975502355"</f>
        <v>9781975502355</v>
      </c>
      <c r="C11905" s="10" t="str">
        <f>"9781975502379"</f>
        <v>9781975502379</v>
      </c>
      <c r="D11905" s="10" t="s">
        <v>44271</v>
      </c>
      <c r="E11905" s="10" t="s">
        <v>47266</v>
      </c>
      <c r="F11905" s="10" t="s">
        <v>41227</v>
      </c>
      <c r="G11905" s="10" t="s">
        <v>6317</v>
      </c>
      <c r="H11905" s="11">
        <v>43880</v>
      </c>
      <c r="I11905" s="10">
        <v>2020</v>
      </c>
      <c r="J11905" s="10" t="s">
        <v>47266</v>
      </c>
      <c r="K11905" s="10">
        <v>255</v>
      </c>
      <c r="L11905" s="10" t="s">
        <v>50943</v>
      </c>
      <c r="M11905" s="10">
        <v>1</v>
      </c>
      <c r="N11905" s="10"/>
      <c r="O11905" s="10"/>
      <c r="P11905" s="10" t="s">
        <v>50944</v>
      </c>
      <c r="Q11905" s="10">
        <v>371.10199999999998</v>
      </c>
      <c r="R11905" s="10" t="s">
        <v>50945</v>
      </c>
      <c r="S11905" s="10" t="s">
        <v>53</v>
      </c>
      <c r="T11905" s="10" t="s">
        <v>54</v>
      </c>
    </row>
    <row r="11906" spans="1:20" ht="14.5" x14ac:dyDescent="0.35">
      <c r="A11906" s="10" t="s">
        <v>50946</v>
      </c>
      <c r="B11906" s="10" t="str">
        <f>"9781138370326"</f>
        <v>9781138370326</v>
      </c>
      <c r="C11906" s="10" t="str">
        <f>"9780429765841"</f>
        <v>9780429765841</v>
      </c>
      <c r="D11906" s="10" t="s">
        <v>6350</v>
      </c>
      <c r="E11906" s="10" t="s">
        <v>6351</v>
      </c>
      <c r="F11906" s="10" t="s">
        <v>3967</v>
      </c>
      <c r="G11906" s="10" t="s">
        <v>6352</v>
      </c>
      <c r="H11906" s="11">
        <v>43894</v>
      </c>
      <c r="I11906" s="10">
        <v>2020</v>
      </c>
      <c r="J11906" s="10" t="s">
        <v>6353</v>
      </c>
      <c r="K11906" s="10">
        <v>315</v>
      </c>
      <c r="L11906" s="10" t="s">
        <v>49012</v>
      </c>
      <c r="M11906" s="10">
        <v>1</v>
      </c>
      <c r="N11906" s="10" t="s">
        <v>49013</v>
      </c>
      <c r="O11906" s="10"/>
      <c r="P11906" s="10" t="s">
        <v>50947</v>
      </c>
      <c r="Q11906" s="10">
        <v>370.15230000000003</v>
      </c>
      <c r="R11906" s="10" t="s">
        <v>19383</v>
      </c>
      <c r="S11906" s="10" t="s">
        <v>53</v>
      </c>
      <c r="T11906" s="10" t="s">
        <v>54</v>
      </c>
    </row>
    <row r="11907" spans="1:20" ht="14.5" x14ac:dyDescent="0.35">
      <c r="A11907" s="10" t="s">
        <v>50948</v>
      </c>
      <c r="B11907" s="10" t="str">
        <f>""</f>
        <v/>
      </c>
      <c r="C11907" s="10" t="str">
        <f>"9781564848192"</f>
        <v>9781564848192</v>
      </c>
      <c r="D11907" s="10" t="s">
        <v>9533</v>
      </c>
      <c r="E11907" s="10" t="s">
        <v>45783</v>
      </c>
      <c r="F11907" s="10" t="s">
        <v>25348</v>
      </c>
      <c r="G11907" s="10" t="s">
        <v>6317</v>
      </c>
      <c r="H11907" s="11">
        <v>43913</v>
      </c>
      <c r="I11907" s="10">
        <v>2020</v>
      </c>
      <c r="J11907" s="10" t="s">
        <v>45783</v>
      </c>
      <c r="K11907" s="10">
        <v>158</v>
      </c>
      <c r="L11907" s="10" t="s">
        <v>50949</v>
      </c>
      <c r="M11907" s="10">
        <v>1</v>
      </c>
      <c r="N11907" s="10"/>
      <c r="O11907" s="10"/>
      <c r="P11907" s="10" t="s">
        <v>50950</v>
      </c>
      <c r="Q11907" s="10" t="s">
        <v>19565</v>
      </c>
      <c r="R11907" s="10" t="s">
        <v>33559</v>
      </c>
      <c r="S11907" s="10" t="s">
        <v>53</v>
      </c>
      <c r="T11907" s="10" t="s">
        <v>54</v>
      </c>
    </row>
    <row r="11908" spans="1:20" ht="14.5" x14ac:dyDescent="0.35">
      <c r="A11908" s="10" t="s">
        <v>50951</v>
      </c>
      <c r="B11908" s="10" t="str">
        <f>"9781614729327"</f>
        <v>9781614729327</v>
      </c>
      <c r="C11908" s="10" t="str">
        <f>"9781614729334"</f>
        <v>9781614729334</v>
      </c>
      <c r="D11908" s="10" t="s">
        <v>50632</v>
      </c>
      <c r="E11908" s="10" t="s">
        <v>50633</v>
      </c>
      <c r="F11908" s="10" t="s">
        <v>50634</v>
      </c>
      <c r="G11908" s="10" t="s">
        <v>6317</v>
      </c>
      <c r="H11908" s="11">
        <v>41523</v>
      </c>
      <c r="I11908" s="10">
        <v>2013</v>
      </c>
      <c r="J11908" s="10" t="s">
        <v>50635</v>
      </c>
      <c r="K11908" s="10">
        <v>187</v>
      </c>
      <c r="L11908" s="10" t="s">
        <v>50952</v>
      </c>
      <c r="M11908" s="10">
        <v>1</v>
      </c>
      <c r="N11908" s="10"/>
      <c r="O11908" s="10"/>
      <c r="P11908" s="10" t="s">
        <v>50953</v>
      </c>
      <c r="Q11908" s="10">
        <v>345.512490243</v>
      </c>
      <c r="R11908" s="10" t="s">
        <v>50954</v>
      </c>
      <c r="S11908" s="10" t="s">
        <v>53</v>
      </c>
      <c r="T11908" s="10" t="s">
        <v>5396</v>
      </c>
    </row>
    <row r="11909" spans="1:20" ht="14.5" x14ac:dyDescent="0.35">
      <c r="A11909" s="10" t="s">
        <v>50955</v>
      </c>
      <c r="B11909" s="10" t="str">
        <f>""</f>
        <v/>
      </c>
      <c r="C11909" s="10" t="str">
        <f>"9781839824890"</f>
        <v>9781839824890</v>
      </c>
      <c r="D11909" s="10" t="s">
        <v>8699</v>
      </c>
      <c r="E11909" s="10" t="s">
        <v>8699</v>
      </c>
      <c r="F11909" s="10" t="s">
        <v>41843</v>
      </c>
      <c r="G11909" s="10" t="s">
        <v>6352</v>
      </c>
      <c r="H11909" s="11">
        <v>43854</v>
      </c>
      <c r="I11909" s="10">
        <v>2020</v>
      </c>
      <c r="J11909" s="10" t="s">
        <v>8699</v>
      </c>
      <c r="K11909" s="10">
        <v>92</v>
      </c>
      <c r="L11909" s="10" t="s">
        <v>50956</v>
      </c>
      <c r="M11909" s="10">
        <v>1</v>
      </c>
      <c r="N11909" s="10"/>
      <c r="O11909" s="10"/>
      <c r="P11909" s="10" t="s">
        <v>50957</v>
      </c>
      <c r="Q11909" s="10">
        <v>370.71</v>
      </c>
      <c r="R11909" s="10" t="s">
        <v>49868</v>
      </c>
      <c r="S11909" s="10" t="s">
        <v>53</v>
      </c>
      <c r="T11909" s="10" t="s">
        <v>54</v>
      </c>
    </row>
    <row r="11910" spans="1:20" ht="14.5" x14ac:dyDescent="0.35">
      <c r="A11910" s="10" t="s">
        <v>50958</v>
      </c>
      <c r="B11910" s="10" t="str">
        <f>""</f>
        <v/>
      </c>
      <c r="C11910" s="10" t="str">
        <f>"9781839825293"</f>
        <v>9781839825293</v>
      </c>
      <c r="D11910" s="10" t="s">
        <v>8699</v>
      </c>
      <c r="E11910" s="10" t="s">
        <v>8699</v>
      </c>
      <c r="F11910" s="10" t="s">
        <v>41843</v>
      </c>
      <c r="G11910" s="10" t="s">
        <v>6352</v>
      </c>
      <c r="H11910" s="11">
        <v>43854</v>
      </c>
      <c r="I11910" s="10">
        <v>2020</v>
      </c>
      <c r="J11910" s="10" t="s">
        <v>8699</v>
      </c>
      <c r="K11910" s="10">
        <v>137</v>
      </c>
      <c r="L11910" s="10" t="s">
        <v>31358</v>
      </c>
      <c r="M11910" s="10">
        <v>1</v>
      </c>
      <c r="N11910" s="10"/>
      <c r="O11910" s="10"/>
      <c r="P11910" s="10" t="s">
        <v>50959</v>
      </c>
      <c r="Q11910" s="10">
        <v>306.43200000000002</v>
      </c>
      <c r="R11910" s="10" t="s">
        <v>50907</v>
      </c>
      <c r="S11910" s="10" t="s">
        <v>53</v>
      </c>
      <c r="T11910" s="10" t="s">
        <v>6472</v>
      </c>
    </row>
    <row r="11911" spans="1:20" ht="14.5" x14ac:dyDescent="0.35">
      <c r="A11911" s="10" t="s">
        <v>50960</v>
      </c>
      <c r="B11911" s="10" t="str">
        <f>"9781949539653"</f>
        <v>9781949539653</v>
      </c>
      <c r="C11911" s="10" t="str">
        <f>"9781949539660"</f>
        <v>9781949539660</v>
      </c>
      <c r="D11911" s="10" t="s">
        <v>37580</v>
      </c>
      <c r="E11911" s="10" t="s">
        <v>37581</v>
      </c>
      <c r="F11911" s="10" t="s">
        <v>37623</v>
      </c>
      <c r="G11911" s="10" t="s">
        <v>6317</v>
      </c>
      <c r="H11911" s="11">
        <v>43903</v>
      </c>
      <c r="I11911" s="10">
        <v>2020</v>
      </c>
      <c r="J11911" s="10" t="s">
        <v>37581</v>
      </c>
      <c r="K11911" s="10">
        <v>184</v>
      </c>
      <c r="L11911" s="10" t="s">
        <v>50961</v>
      </c>
      <c r="M11911" s="10">
        <v>1</v>
      </c>
      <c r="N11911" s="10"/>
      <c r="O11911" s="10"/>
      <c r="P11911" s="10" t="s">
        <v>50962</v>
      </c>
      <c r="Q11911" s="10">
        <v>373</v>
      </c>
      <c r="R11911" s="10" t="s">
        <v>44445</v>
      </c>
      <c r="S11911" s="10" t="s">
        <v>53</v>
      </c>
      <c r="T11911" s="10" t="s">
        <v>54</v>
      </c>
    </row>
    <row r="11912" spans="1:20" ht="14.5" x14ac:dyDescent="0.35">
      <c r="A11912" s="10" t="s">
        <v>50963</v>
      </c>
      <c r="B11912" s="10" t="str">
        <f>"9781119651031"</f>
        <v>9781119651031</v>
      </c>
      <c r="C11912" s="10" t="str">
        <f>"9781119651062"</f>
        <v>9781119651062</v>
      </c>
      <c r="D11912" s="10" t="s">
        <v>6322</v>
      </c>
      <c r="E11912" s="10" t="s">
        <v>6323</v>
      </c>
      <c r="F11912" s="10" t="s">
        <v>4423</v>
      </c>
      <c r="G11912" s="10" t="s">
        <v>6317</v>
      </c>
      <c r="H11912" s="11">
        <v>43914</v>
      </c>
      <c r="I11912" s="10">
        <v>2020</v>
      </c>
      <c r="J11912" s="10" t="s">
        <v>6324</v>
      </c>
      <c r="K11912" s="10">
        <v>338</v>
      </c>
      <c r="L11912" s="10" t="s">
        <v>50964</v>
      </c>
      <c r="M11912" s="10">
        <v>1</v>
      </c>
      <c r="N11912" s="10"/>
      <c r="O11912" s="10"/>
      <c r="P11912" s="10"/>
      <c r="Q11912" s="10">
        <v>371.20699999999999</v>
      </c>
      <c r="R11912" s="10" t="s">
        <v>41435</v>
      </c>
      <c r="S11912" s="10" t="s">
        <v>53</v>
      </c>
      <c r="T11912" s="10" t="s">
        <v>54</v>
      </c>
    </row>
    <row r="11913" spans="1:20" ht="14.5" x14ac:dyDescent="0.35">
      <c r="A11913" s="10" t="s">
        <v>50965</v>
      </c>
      <c r="B11913" s="10" t="str">
        <f>"9781528915908"</f>
        <v>9781528915908</v>
      </c>
      <c r="C11913" s="10" t="str">
        <f>"9781528916899"</f>
        <v>9781528916899</v>
      </c>
      <c r="D11913" s="10" t="s">
        <v>9215</v>
      </c>
      <c r="E11913" s="10" t="s">
        <v>50966</v>
      </c>
      <c r="F11913" s="10" t="s">
        <v>324</v>
      </c>
      <c r="G11913" s="10" t="s">
        <v>6317</v>
      </c>
      <c r="H11913" s="11">
        <v>43921</v>
      </c>
      <c r="I11913" s="10">
        <v>2020</v>
      </c>
      <c r="J11913" s="10" t="s">
        <v>50966</v>
      </c>
      <c r="K11913" s="10">
        <v>57</v>
      </c>
      <c r="L11913" s="10" t="s">
        <v>50967</v>
      </c>
      <c r="M11913" s="10"/>
      <c r="N11913" s="10"/>
      <c r="O11913" s="10"/>
      <c r="P11913" s="10" t="s">
        <v>50968</v>
      </c>
      <c r="Q11913" s="10">
        <v>362.173068</v>
      </c>
      <c r="R11913" s="10" t="s">
        <v>50969</v>
      </c>
      <c r="S11913" s="10" t="s">
        <v>53</v>
      </c>
      <c r="T11913" s="10" t="s">
        <v>50970</v>
      </c>
    </row>
    <row r="11914" spans="1:20" ht="14.5" x14ac:dyDescent="0.35">
      <c r="A11914" s="10" t="s">
        <v>50971</v>
      </c>
      <c r="B11914" s="10" t="str">
        <f>"9789462700697"</f>
        <v>9789462700697</v>
      </c>
      <c r="C11914" s="10" t="str">
        <f>"9789461663405"</f>
        <v>9789461663405</v>
      </c>
      <c r="D11914" s="10" t="s">
        <v>28735</v>
      </c>
      <c r="E11914" s="10" t="s">
        <v>28735</v>
      </c>
      <c r="F11914" s="10" t="s">
        <v>28736</v>
      </c>
      <c r="G11914" s="10" t="s">
        <v>28737</v>
      </c>
      <c r="H11914" s="11">
        <v>42450</v>
      </c>
      <c r="I11914" s="10">
        <v>2016</v>
      </c>
      <c r="J11914" s="10" t="s">
        <v>28735</v>
      </c>
      <c r="K11914" s="10">
        <v>289</v>
      </c>
      <c r="L11914" s="10" t="s">
        <v>50972</v>
      </c>
      <c r="M11914" s="10">
        <v>1</v>
      </c>
      <c r="N11914" s="10" t="s">
        <v>50973</v>
      </c>
      <c r="O11914" s="10">
        <v>22</v>
      </c>
      <c r="P11914" s="10" t="s">
        <v>50974</v>
      </c>
      <c r="Q11914" s="10"/>
      <c r="R11914" s="10" t="s">
        <v>50975</v>
      </c>
      <c r="S11914" s="10" t="s">
        <v>3107</v>
      </c>
      <c r="T11914" s="10" t="s">
        <v>6363</v>
      </c>
    </row>
    <row r="11915" spans="1:20" ht="14.5" x14ac:dyDescent="0.35">
      <c r="A11915" s="10" t="s">
        <v>50976</v>
      </c>
      <c r="B11915" s="10" t="str">
        <f>"9789462701304"</f>
        <v>9789462701304</v>
      </c>
      <c r="C11915" s="10" t="str">
        <f>"9789461663382"</f>
        <v>9789461663382</v>
      </c>
      <c r="D11915" s="10" t="s">
        <v>28735</v>
      </c>
      <c r="E11915" s="10" t="s">
        <v>28735</v>
      </c>
      <c r="F11915" s="10" t="s">
        <v>28736</v>
      </c>
      <c r="G11915" s="10" t="s">
        <v>28737</v>
      </c>
      <c r="H11915" s="11">
        <v>43185</v>
      </c>
      <c r="I11915" s="10">
        <v>2018</v>
      </c>
      <c r="J11915" s="10" t="s">
        <v>28735</v>
      </c>
      <c r="K11915" s="10">
        <v>345</v>
      </c>
      <c r="L11915" s="10" t="s">
        <v>50977</v>
      </c>
      <c r="M11915" s="10">
        <v>1</v>
      </c>
      <c r="N11915" s="10" t="s">
        <v>50973</v>
      </c>
      <c r="O11915" s="10">
        <v>24</v>
      </c>
      <c r="P11915" s="10" t="s">
        <v>50978</v>
      </c>
      <c r="Q11915" s="10"/>
      <c r="R11915" s="10" t="s">
        <v>50979</v>
      </c>
      <c r="S11915" s="10" t="s">
        <v>3107</v>
      </c>
      <c r="T11915" s="10" t="s">
        <v>6534</v>
      </c>
    </row>
    <row r="11916" spans="1:20" ht="14.5" x14ac:dyDescent="0.35">
      <c r="A11916" s="10" t="s">
        <v>50980</v>
      </c>
      <c r="B11916" s="10" t="str">
        <f>"9789004412309"</f>
        <v>9789004412309</v>
      </c>
      <c r="C11916" s="10" t="str">
        <f>"9789004412316"</f>
        <v>9789004412316</v>
      </c>
      <c r="D11916" s="10" t="s">
        <v>8564</v>
      </c>
      <c r="E11916" s="10" t="s">
        <v>8565</v>
      </c>
      <c r="F11916" s="10" t="s">
        <v>1420</v>
      </c>
      <c r="G11916" s="10" t="s">
        <v>6317</v>
      </c>
      <c r="H11916" s="11">
        <v>43860</v>
      </c>
      <c r="I11916" s="10">
        <v>2020</v>
      </c>
      <c r="J11916" s="10" t="s">
        <v>33259</v>
      </c>
      <c r="K11916" s="10">
        <v>150</v>
      </c>
      <c r="L11916" s="10" t="s">
        <v>50981</v>
      </c>
      <c r="M11916" s="10">
        <v>1</v>
      </c>
      <c r="N11916" s="10" t="s">
        <v>33414</v>
      </c>
      <c r="O11916" s="10">
        <v>28</v>
      </c>
      <c r="P11916" s="10"/>
      <c r="Q11916" s="10"/>
      <c r="R11916" s="10"/>
      <c r="S11916" s="10" t="s">
        <v>53</v>
      </c>
      <c r="T11916" s="10" t="s">
        <v>54</v>
      </c>
    </row>
    <row r="11917" spans="1:20" ht="14.5" x14ac:dyDescent="0.35">
      <c r="A11917" s="10" t="s">
        <v>50982</v>
      </c>
      <c r="B11917" s="10" t="str">
        <f>"9789004389762"</f>
        <v>9789004389762</v>
      </c>
      <c r="C11917" s="10" t="str">
        <f>"9789004424494"</f>
        <v>9789004424494</v>
      </c>
      <c r="D11917" s="10" t="s">
        <v>8564</v>
      </c>
      <c r="E11917" s="10" t="s">
        <v>8565</v>
      </c>
      <c r="F11917" s="10" t="s">
        <v>1420</v>
      </c>
      <c r="G11917" s="10" t="s">
        <v>6317</v>
      </c>
      <c r="H11917" s="11">
        <v>43860</v>
      </c>
      <c r="I11917" s="10">
        <v>2020</v>
      </c>
      <c r="J11917" s="10" t="s">
        <v>33259</v>
      </c>
      <c r="K11917" s="10">
        <v>282</v>
      </c>
      <c r="L11917" s="10" t="s">
        <v>33728</v>
      </c>
      <c r="M11917" s="10">
        <v>1</v>
      </c>
      <c r="N11917" s="10" t="s">
        <v>50983</v>
      </c>
      <c r="O11917" s="10">
        <v>1</v>
      </c>
      <c r="P11917" s="10"/>
      <c r="Q11917" s="10"/>
      <c r="R11917" s="10"/>
      <c r="S11917" s="10" t="s">
        <v>53</v>
      </c>
      <c r="T11917" s="10" t="s">
        <v>54</v>
      </c>
    </row>
    <row r="11918" spans="1:20" ht="14.5" x14ac:dyDescent="0.35">
      <c r="A11918" s="10" t="s">
        <v>50984</v>
      </c>
      <c r="B11918" s="10" t="str">
        <f>"9781138295421"</f>
        <v>9781138295421</v>
      </c>
      <c r="C11918" s="10" t="str">
        <f>"9781351586740"</f>
        <v>9781351586740</v>
      </c>
      <c r="D11918" s="10" t="s">
        <v>6350</v>
      </c>
      <c r="E11918" s="10" t="s">
        <v>6351</v>
      </c>
      <c r="F11918" s="10" t="s">
        <v>748</v>
      </c>
      <c r="G11918" s="10" t="s">
        <v>6352</v>
      </c>
      <c r="H11918" s="11">
        <v>43889</v>
      </c>
      <c r="I11918" s="10">
        <v>2020</v>
      </c>
      <c r="J11918" s="10" t="s">
        <v>6351</v>
      </c>
      <c r="K11918" s="10">
        <v>743</v>
      </c>
      <c r="L11918" s="10" t="s">
        <v>50985</v>
      </c>
      <c r="M11918" s="10">
        <v>1</v>
      </c>
      <c r="N11918" s="10" t="s">
        <v>24504</v>
      </c>
      <c r="O11918" s="10"/>
      <c r="P11918" s="10" t="s">
        <v>50986</v>
      </c>
      <c r="Q11918" s="10">
        <v>370.15</v>
      </c>
      <c r="R11918" s="10" t="s">
        <v>6415</v>
      </c>
      <c r="S11918" s="10" t="s">
        <v>53</v>
      </c>
      <c r="T11918" s="10" t="s">
        <v>54</v>
      </c>
    </row>
    <row r="11919" spans="1:20" ht="14.5" x14ac:dyDescent="0.35">
      <c r="A11919" s="10" t="s">
        <v>50987</v>
      </c>
      <c r="B11919" s="10" t="str">
        <f>"9781604919752"</f>
        <v>9781604919752</v>
      </c>
      <c r="C11919" s="10" t="str">
        <f>"9781604919776"</f>
        <v>9781604919776</v>
      </c>
      <c r="D11919" s="10" t="s">
        <v>9533</v>
      </c>
      <c r="E11919" s="10" t="s">
        <v>15260</v>
      </c>
      <c r="F11919" s="10" t="s">
        <v>25348</v>
      </c>
      <c r="G11919" s="10" t="s">
        <v>6317</v>
      </c>
      <c r="H11919" s="11">
        <v>43892</v>
      </c>
      <c r="I11919" s="10">
        <v>2020</v>
      </c>
      <c r="J11919" s="10" t="s">
        <v>15260</v>
      </c>
      <c r="K11919" s="10">
        <v>181</v>
      </c>
      <c r="L11919" s="10" t="s">
        <v>50988</v>
      </c>
      <c r="M11919" s="10">
        <v>1</v>
      </c>
      <c r="N11919" s="10"/>
      <c r="O11919" s="10"/>
      <c r="P11919" s="10" t="s">
        <v>50989</v>
      </c>
      <c r="Q11919" s="10">
        <v>658.40920000000006</v>
      </c>
      <c r="R11919" s="10" t="s">
        <v>40404</v>
      </c>
      <c r="S11919" s="10" t="s">
        <v>53</v>
      </c>
      <c r="T11919" s="10" t="s">
        <v>6660</v>
      </c>
    </row>
    <row r="11920" spans="1:20" ht="14.5" x14ac:dyDescent="0.35">
      <c r="A11920" s="10" t="s">
        <v>50990</v>
      </c>
      <c r="B11920" s="10" t="str">
        <f>"9789629371425"</f>
        <v>9789629371425</v>
      </c>
      <c r="C11920" s="10" t="str">
        <f>"9789629374693"</f>
        <v>9789629374693</v>
      </c>
      <c r="D11920" s="10" t="s">
        <v>9215</v>
      </c>
      <c r="E11920" s="10" t="s">
        <v>50930</v>
      </c>
      <c r="F11920" s="10" t="s">
        <v>324</v>
      </c>
      <c r="G11920" s="10" t="s">
        <v>6317</v>
      </c>
      <c r="H11920" s="11">
        <v>39264</v>
      </c>
      <c r="I11920" s="10">
        <v>2007</v>
      </c>
      <c r="J11920" s="10" t="s">
        <v>50930</v>
      </c>
      <c r="K11920" s="10">
        <v>210</v>
      </c>
      <c r="L11920" s="10" t="s">
        <v>50991</v>
      </c>
      <c r="M11920" s="10"/>
      <c r="N11920" s="10"/>
      <c r="O11920" s="10"/>
      <c r="P11920" s="10" t="s">
        <v>50992</v>
      </c>
      <c r="Q11920" s="10">
        <v>371.20299999999901</v>
      </c>
      <c r="R11920" s="10" t="s">
        <v>50993</v>
      </c>
      <c r="S11920" s="10" t="s">
        <v>53</v>
      </c>
      <c r="T11920" s="10" t="s">
        <v>54</v>
      </c>
    </row>
    <row r="11921" spans="1:20" ht="14.5" x14ac:dyDescent="0.35">
      <c r="A11921" s="10" t="s">
        <v>50994</v>
      </c>
      <c r="B11921" s="10" t="str">
        <f>"9781416628750"</f>
        <v>9781416628750</v>
      </c>
      <c r="C11921" s="10" t="str">
        <f>"9781416628767"</f>
        <v>9781416628767</v>
      </c>
      <c r="D11921" s="10" t="s">
        <v>10014</v>
      </c>
      <c r="E11921" s="10" t="s">
        <v>10015</v>
      </c>
      <c r="F11921" s="10" t="s">
        <v>201</v>
      </c>
      <c r="G11921" s="10" t="s">
        <v>6317</v>
      </c>
      <c r="H11921" s="11">
        <v>43920</v>
      </c>
      <c r="I11921" s="10">
        <v>2020</v>
      </c>
      <c r="J11921" s="10" t="s">
        <v>10015</v>
      </c>
      <c r="K11921" s="10">
        <v>178</v>
      </c>
      <c r="L11921" s="10" t="s">
        <v>50995</v>
      </c>
      <c r="M11921" s="10">
        <v>1</v>
      </c>
      <c r="N11921" s="10"/>
      <c r="O11921" s="10"/>
      <c r="P11921" s="10" t="s">
        <v>50996</v>
      </c>
      <c r="Q11921" s="10">
        <v>370.11500000000001</v>
      </c>
      <c r="R11921" s="10" t="s">
        <v>50997</v>
      </c>
      <c r="S11921" s="10" t="s">
        <v>53</v>
      </c>
      <c r="T11921" s="10" t="s">
        <v>54</v>
      </c>
    </row>
    <row r="11922" spans="1:20" ht="14.5" x14ac:dyDescent="0.35">
      <c r="A11922" s="10" t="s">
        <v>50998</v>
      </c>
      <c r="B11922" s="10" t="str">
        <f>"9781951075255"</f>
        <v>9781951075255</v>
      </c>
      <c r="C11922" s="10" t="str">
        <f>"9781951075262"</f>
        <v>9781951075262</v>
      </c>
      <c r="D11922" s="10" t="s">
        <v>37580</v>
      </c>
      <c r="E11922" s="10" t="s">
        <v>37581</v>
      </c>
      <c r="F11922" s="10" t="s">
        <v>37623</v>
      </c>
      <c r="G11922" s="10" t="s">
        <v>6317</v>
      </c>
      <c r="H11922" s="11">
        <v>43910</v>
      </c>
      <c r="I11922" s="10">
        <v>2020</v>
      </c>
      <c r="J11922" s="10" t="s">
        <v>37581</v>
      </c>
      <c r="K11922" s="10">
        <v>128</v>
      </c>
      <c r="L11922" s="10" t="s">
        <v>50999</v>
      </c>
      <c r="M11922" s="10">
        <v>1</v>
      </c>
      <c r="N11922" s="10"/>
      <c r="O11922" s="10"/>
      <c r="P11922" s="10" t="s">
        <v>51000</v>
      </c>
      <c r="Q11922" s="10">
        <v>372.7</v>
      </c>
      <c r="R11922" s="10" t="s">
        <v>51001</v>
      </c>
      <c r="S11922" s="10" t="s">
        <v>53</v>
      </c>
      <c r="T11922" s="10" t="s">
        <v>7425</v>
      </c>
    </row>
    <row r="11923" spans="1:20" ht="14.5" x14ac:dyDescent="0.35">
      <c r="A11923" s="10" t="s">
        <v>51002</v>
      </c>
      <c r="B11923" s="10" t="str">
        <f>"9780367001162"</f>
        <v>9780367001162</v>
      </c>
      <c r="C11923" s="10" t="str">
        <f>"9780429813665"</f>
        <v>9780429813665</v>
      </c>
      <c r="D11923" s="10" t="s">
        <v>6350</v>
      </c>
      <c r="E11923" s="10" t="s">
        <v>6351</v>
      </c>
      <c r="F11923" s="10" t="s">
        <v>3967</v>
      </c>
      <c r="G11923" s="10" t="s">
        <v>6352</v>
      </c>
      <c r="H11923" s="11">
        <v>43909</v>
      </c>
      <c r="I11923" s="10">
        <v>2020</v>
      </c>
      <c r="J11923" s="10" t="s">
        <v>6353</v>
      </c>
      <c r="K11923" s="10">
        <v>623</v>
      </c>
      <c r="L11923" s="10" t="s">
        <v>51003</v>
      </c>
      <c r="M11923" s="10">
        <v>1</v>
      </c>
      <c r="N11923" s="10" t="s">
        <v>24504</v>
      </c>
      <c r="O11923" s="10"/>
      <c r="P11923" s="10" t="s">
        <v>51004</v>
      </c>
      <c r="Q11923" s="10">
        <v>370.15199999999999</v>
      </c>
      <c r="R11923" s="10" t="s">
        <v>41006</v>
      </c>
      <c r="S11923" s="10" t="s">
        <v>53</v>
      </c>
      <c r="T11923" s="10" t="s">
        <v>54</v>
      </c>
    </row>
    <row r="11924" spans="1:20" ht="14.5" x14ac:dyDescent="0.35">
      <c r="A11924" s="10" t="s">
        <v>51005</v>
      </c>
      <c r="B11924" s="10" t="str">
        <f>"9781949539394"</f>
        <v>9781949539394</v>
      </c>
      <c r="C11924" s="10" t="str">
        <f>"9781949539400"</f>
        <v>9781949539400</v>
      </c>
      <c r="D11924" s="10" t="s">
        <v>37580</v>
      </c>
      <c r="E11924" s="10" t="s">
        <v>37581</v>
      </c>
      <c r="F11924" s="10" t="s">
        <v>37623</v>
      </c>
      <c r="G11924" s="10" t="s">
        <v>6317</v>
      </c>
      <c r="H11924" s="11">
        <v>43928</v>
      </c>
      <c r="I11924" s="10">
        <v>2020</v>
      </c>
      <c r="J11924" s="10" t="s">
        <v>37581</v>
      </c>
      <c r="K11924" s="10">
        <v>224</v>
      </c>
      <c r="L11924" s="10" t="s">
        <v>51006</v>
      </c>
      <c r="M11924" s="10">
        <v>1</v>
      </c>
      <c r="N11924" s="10"/>
      <c r="O11924" s="10"/>
      <c r="P11924" s="10" t="s">
        <v>51007</v>
      </c>
      <c r="Q11924" s="10">
        <v>371.10230000000001</v>
      </c>
      <c r="R11924" s="10" t="s">
        <v>51008</v>
      </c>
      <c r="S11924" s="10" t="s">
        <v>53</v>
      </c>
      <c r="T11924" s="10" t="s">
        <v>54</v>
      </c>
    </row>
    <row r="11925" spans="1:20" ht="14.5" x14ac:dyDescent="0.35">
      <c r="A11925" s="10" t="s">
        <v>51009</v>
      </c>
      <c r="B11925" s="10" t="str">
        <f>"9781949539592"</f>
        <v>9781949539592</v>
      </c>
      <c r="C11925" s="10" t="str">
        <f>"9781949539608"</f>
        <v>9781949539608</v>
      </c>
      <c r="D11925" s="10" t="s">
        <v>37580</v>
      </c>
      <c r="E11925" s="10" t="s">
        <v>37581</v>
      </c>
      <c r="F11925" s="10" t="s">
        <v>37623</v>
      </c>
      <c r="G11925" s="10" t="s">
        <v>6317</v>
      </c>
      <c r="H11925" s="11">
        <v>43924</v>
      </c>
      <c r="I11925" s="10">
        <v>2020</v>
      </c>
      <c r="J11925" s="10" t="s">
        <v>37581</v>
      </c>
      <c r="K11925" s="10">
        <v>200</v>
      </c>
      <c r="L11925" s="10" t="s">
        <v>41593</v>
      </c>
      <c r="M11925" s="10">
        <v>1</v>
      </c>
      <c r="N11925" s="10"/>
      <c r="O11925" s="10"/>
      <c r="P11925" s="10" t="s">
        <v>51010</v>
      </c>
      <c r="Q11925" s="10">
        <v>371.10199999999998</v>
      </c>
      <c r="R11925" s="10" t="s">
        <v>51011</v>
      </c>
      <c r="S11925" s="10" t="s">
        <v>53</v>
      </c>
      <c r="T11925" s="10" t="s">
        <v>54</v>
      </c>
    </row>
    <row r="11926" spans="1:20" ht="14.5" x14ac:dyDescent="0.35">
      <c r="A11926" s="10" t="s">
        <v>51012</v>
      </c>
      <c r="B11926" s="10" t="str">
        <f>"9781642670561"</f>
        <v>9781642670561</v>
      </c>
      <c r="C11926" s="10" t="str">
        <f>"9781000972696"</f>
        <v>9781000972696</v>
      </c>
      <c r="D11926" s="10" t="s">
        <v>6350</v>
      </c>
      <c r="E11926" s="10" t="s">
        <v>6351</v>
      </c>
      <c r="F11926" s="10" t="s">
        <v>748</v>
      </c>
      <c r="G11926" s="10" t="s">
        <v>6352</v>
      </c>
      <c r="H11926" s="11">
        <v>43893</v>
      </c>
      <c r="I11926" s="10">
        <v>2020</v>
      </c>
      <c r="J11926" s="10" t="s">
        <v>6351</v>
      </c>
      <c r="K11926" s="10">
        <v>240</v>
      </c>
      <c r="L11926" s="10" t="s">
        <v>51013</v>
      </c>
      <c r="M11926" s="10">
        <v>1</v>
      </c>
      <c r="N11926" s="10" t="s">
        <v>51014</v>
      </c>
      <c r="O11926" s="10"/>
      <c r="P11926" s="10"/>
      <c r="Q11926" s="10">
        <v>370.11599999999999</v>
      </c>
      <c r="R11926" s="10" t="s">
        <v>8200</v>
      </c>
      <c r="S11926" s="10" t="s">
        <v>53</v>
      </c>
      <c r="T11926" s="10" t="s">
        <v>54</v>
      </c>
    </row>
    <row r="11927" spans="1:20" ht="14.5" x14ac:dyDescent="0.35">
      <c r="A11927" s="10" t="s">
        <v>51015</v>
      </c>
      <c r="B11927" s="10" t="str">
        <f>""</f>
        <v/>
      </c>
      <c r="C11927" s="10" t="str">
        <f>"9781942072393"</f>
        <v>9781942072393</v>
      </c>
      <c r="D11927" s="10" t="s">
        <v>44271</v>
      </c>
      <c r="E11927" s="10" t="s">
        <v>45130</v>
      </c>
      <c r="F11927" s="10" t="s">
        <v>41227</v>
      </c>
      <c r="G11927" s="10" t="s">
        <v>6317</v>
      </c>
      <c r="H11927" s="11">
        <v>43900</v>
      </c>
      <c r="I11927" s="10">
        <v>2020</v>
      </c>
      <c r="J11927" s="10" t="s">
        <v>45130</v>
      </c>
      <c r="K11927" s="10">
        <v>169</v>
      </c>
      <c r="L11927" s="10" t="s">
        <v>51016</v>
      </c>
      <c r="M11927" s="10">
        <v>1</v>
      </c>
      <c r="N11927" s="10"/>
      <c r="O11927" s="10"/>
      <c r="P11927" s="10" t="s">
        <v>51017</v>
      </c>
      <c r="Q11927" s="10">
        <v>370.15230000000003</v>
      </c>
      <c r="R11927" s="10" t="s">
        <v>49449</v>
      </c>
      <c r="S11927" s="10" t="s">
        <v>53</v>
      </c>
      <c r="T11927" s="10" t="s">
        <v>54</v>
      </c>
    </row>
    <row r="11928" spans="1:20" ht="14.5" x14ac:dyDescent="0.35">
      <c r="A11928" s="10" t="s">
        <v>51018</v>
      </c>
      <c r="B11928" s="10" t="str">
        <f>"9781642671049"</f>
        <v>9781642671049</v>
      </c>
      <c r="C11928" s="10" t="str">
        <f>"9781000973204"</f>
        <v>9781000973204</v>
      </c>
      <c r="D11928" s="10" t="s">
        <v>6350</v>
      </c>
      <c r="E11928" s="10" t="s">
        <v>6351</v>
      </c>
      <c r="F11928" s="10" t="s">
        <v>41227</v>
      </c>
      <c r="G11928" s="10" t="s">
        <v>6317</v>
      </c>
      <c r="H11928" s="11">
        <v>43889</v>
      </c>
      <c r="I11928" s="10">
        <v>2020</v>
      </c>
      <c r="J11928" s="10" t="s">
        <v>6353</v>
      </c>
      <c r="K11928" s="10">
        <v>321</v>
      </c>
      <c r="L11928" s="10" t="s">
        <v>51019</v>
      </c>
      <c r="M11928" s="10">
        <v>2</v>
      </c>
      <c r="N11928" s="10"/>
      <c r="O11928" s="10"/>
      <c r="P11928" s="10" t="s">
        <v>51020</v>
      </c>
      <c r="Q11928" s="10">
        <v>378.19499999999903</v>
      </c>
      <c r="R11928" s="10" t="s">
        <v>51021</v>
      </c>
      <c r="S11928" s="10" t="s">
        <v>53</v>
      </c>
      <c r="T11928" s="10" t="s">
        <v>54</v>
      </c>
    </row>
    <row r="11929" spans="1:20" ht="14.5" x14ac:dyDescent="0.35">
      <c r="A11929" s="10" t="s">
        <v>51022</v>
      </c>
      <c r="B11929" s="10" t="str">
        <f>"9780367421564"</f>
        <v>9780367421564</v>
      </c>
      <c r="C11929" s="10" t="str">
        <f>"9781000043518"</f>
        <v>9781000043518</v>
      </c>
      <c r="D11929" s="10" t="s">
        <v>6350</v>
      </c>
      <c r="E11929" s="10" t="s">
        <v>6351</v>
      </c>
      <c r="F11929" s="10" t="s">
        <v>3967</v>
      </c>
      <c r="G11929" s="10" t="s">
        <v>6352</v>
      </c>
      <c r="H11929" s="11">
        <v>43915</v>
      </c>
      <c r="I11929" s="10">
        <v>2020</v>
      </c>
      <c r="J11929" s="10" t="s">
        <v>6353</v>
      </c>
      <c r="K11929" s="10">
        <v>261</v>
      </c>
      <c r="L11929" s="10" t="s">
        <v>14194</v>
      </c>
      <c r="M11929" s="10">
        <v>1</v>
      </c>
      <c r="N11929" s="10"/>
      <c r="O11929" s="10"/>
      <c r="P11929" s="10" t="s">
        <v>51023</v>
      </c>
      <c r="Q11929" s="10">
        <v>371.9</v>
      </c>
      <c r="R11929" s="10" t="s">
        <v>47052</v>
      </c>
      <c r="S11929" s="10" t="s">
        <v>53</v>
      </c>
      <c r="T11929" s="10" t="s">
        <v>54</v>
      </c>
    </row>
    <row r="11930" spans="1:20" ht="14.5" x14ac:dyDescent="0.35">
      <c r="A11930" s="10" t="s">
        <v>51024</v>
      </c>
      <c r="B11930" s="10" t="str">
        <f>"9781416628545"</f>
        <v>9781416628545</v>
      </c>
      <c r="C11930" s="10" t="str">
        <f>"9781416628569"</f>
        <v>9781416628569</v>
      </c>
      <c r="D11930" s="10" t="s">
        <v>10014</v>
      </c>
      <c r="E11930" s="10" t="s">
        <v>10015</v>
      </c>
      <c r="F11930" s="10" t="s">
        <v>201</v>
      </c>
      <c r="G11930" s="10" t="s">
        <v>6317</v>
      </c>
      <c r="H11930" s="11">
        <v>43906</v>
      </c>
      <c r="I11930" s="10">
        <v>2020</v>
      </c>
      <c r="J11930" s="10" t="s">
        <v>10015</v>
      </c>
      <c r="K11930" s="10">
        <v>194</v>
      </c>
      <c r="L11930" s="10" t="s">
        <v>51025</v>
      </c>
      <c r="M11930" s="10">
        <v>1</v>
      </c>
      <c r="N11930" s="10"/>
      <c r="O11930" s="10"/>
      <c r="P11930" s="10" t="s">
        <v>51026</v>
      </c>
      <c r="Q11930" s="10">
        <v>370.154</v>
      </c>
      <c r="R11930" s="10" t="s">
        <v>22655</v>
      </c>
      <c r="S11930" s="10" t="s">
        <v>53</v>
      </c>
      <c r="T11930" s="10" t="s">
        <v>54</v>
      </c>
    </row>
    <row r="11931" spans="1:20" ht="14.5" x14ac:dyDescent="0.35">
      <c r="A11931" s="10" t="s">
        <v>51027</v>
      </c>
      <c r="B11931" s="10" t="str">
        <f>"9781839821714"</f>
        <v>9781839821714</v>
      </c>
      <c r="C11931" s="10" t="str">
        <f>"9781839821684"</f>
        <v>9781839821684</v>
      </c>
      <c r="D11931" s="10" t="s">
        <v>8699</v>
      </c>
      <c r="E11931" s="10" t="s">
        <v>8699</v>
      </c>
      <c r="F11931" s="10" t="s">
        <v>559</v>
      </c>
      <c r="G11931" s="10" t="s">
        <v>6352</v>
      </c>
      <c r="H11931" s="11">
        <v>43902</v>
      </c>
      <c r="I11931" s="10">
        <v>2020</v>
      </c>
      <c r="J11931" s="10" t="s">
        <v>8699</v>
      </c>
      <c r="K11931" s="10">
        <v>167</v>
      </c>
      <c r="L11931" s="10" t="s">
        <v>51028</v>
      </c>
      <c r="M11931" s="10">
        <v>1</v>
      </c>
      <c r="N11931" s="10" t="s">
        <v>47460</v>
      </c>
      <c r="O11931" s="10"/>
      <c r="P11931" s="10" t="s">
        <v>51029</v>
      </c>
      <c r="Q11931" s="10"/>
      <c r="R11931" s="10" t="s">
        <v>51030</v>
      </c>
      <c r="S11931" s="10" t="s">
        <v>53</v>
      </c>
      <c r="T11931" s="10" t="s">
        <v>6363</v>
      </c>
    </row>
    <row r="11932" spans="1:20" ht="14.5" x14ac:dyDescent="0.35">
      <c r="A11932" s="10" t="s">
        <v>51031</v>
      </c>
      <c r="B11932" s="10" t="str">
        <f>""</f>
        <v/>
      </c>
      <c r="C11932" s="10" t="str">
        <f>"9782808021906"</f>
        <v>9782808021906</v>
      </c>
      <c r="D11932" s="10" t="s">
        <v>29172</v>
      </c>
      <c r="E11932" s="10" t="s">
        <v>47196</v>
      </c>
      <c r="F11932" s="10" t="s">
        <v>29181</v>
      </c>
      <c r="G11932" s="10" t="s">
        <v>28737</v>
      </c>
      <c r="H11932" s="11">
        <v>43871</v>
      </c>
      <c r="I11932" s="10">
        <v>2020</v>
      </c>
      <c r="J11932" s="10" t="s">
        <v>47196</v>
      </c>
      <c r="K11932" s="10">
        <v>66</v>
      </c>
      <c r="L11932" s="10" t="s">
        <v>51032</v>
      </c>
      <c r="M11932" s="10">
        <v>1</v>
      </c>
      <c r="N11932" s="10" t="s">
        <v>47198</v>
      </c>
      <c r="O11932" s="10"/>
      <c r="P11932" s="10"/>
      <c r="Q11932" s="10"/>
      <c r="R11932" s="10" t="s">
        <v>51033</v>
      </c>
      <c r="S11932" s="10" t="s">
        <v>1519</v>
      </c>
      <c r="T11932" s="10" t="s">
        <v>6568</v>
      </c>
    </row>
    <row r="11933" spans="1:20" ht="14.5" x14ac:dyDescent="0.35">
      <c r="A11933" s="10" t="s">
        <v>51034</v>
      </c>
      <c r="B11933" s="10" t="str">
        <f>""</f>
        <v/>
      </c>
      <c r="C11933" s="10" t="str">
        <f>"9782808022002"</f>
        <v>9782808022002</v>
      </c>
      <c r="D11933" s="10" t="s">
        <v>29172</v>
      </c>
      <c r="E11933" s="10" t="s">
        <v>47196</v>
      </c>
      <c r="F11933" s="10" t="s">
        <v>29181</v>
      </c>
      <c r="G11933" s="10" t="s">
        <v>28737</v>
      </c>
      <c r="H11933" s="11">
        <v>43871</v>
      </c>
      <c r="I11933" s="10">
        <v>2020</v>
      </c>
      <c r="J11933" s="10" t="s">
        <v>47196</v>
      </c>
      <c r="K11933" s="10">
        <v>62</v>
      </c>
      <c r="L11933" s="10" t="s">
        <v>51032</v>
      </c>
      <c r="M11933" s="10">
        <v>1</v>
      </c>
      <c r="N11933" s="10" t="s">
        <v>47198</v>
      </c>
      <c r="O11933" s="10"/>
      <c r="P11933" s="10"/>
      <c r="Q11933" s="10"/>
      <c r="R11933" s="10" t="s">
        <v>51035</v>
      </c>
      <c r="S11933" s="10" t="s">
        <v>1519</v>
      </c>
      <c r="T11933" s="10" t="s">
        <v>6568</v>
      </c>
    </row>
    <row r="11934" spans="1:20" ht="14.5" x14ac:dyDescent="0.35">
      <c r="A11934" s="10" t="s">
        <v>51036</v>
      </c>
      <c r="B11934" s="10" t="str">
        <f>"9781945349768"</f>
        <v>9781945349768</v>
      </c>
      <c r="C11934" s="10" t="str">
        <f>"9781945349775"</f>
        <v>9781945349775</v>
      </c>
      <c r="D11934" s="10" t="s">
        <v>37580</v>
      </c>
      <c r="E11934" s="10" t="s">
        <v>37581</v>
      </c>
      <c r="F11934" s="10" t="s">
        <v>37623</v>
      </c>
      <c r="G11934" s="10" t="s">
        <v>6317</v>
      </c>
      <c r="H11934" s="11">
        <v>43924</v>
      </c>
      <c r="I11934" s="10">
        <v>2020</v>
      </c>
      <c r="J11934" s="10" t="s">
        <v>37581</v>
      </c>
      <c r="K11934" s="10">
        <v>136</v>
      </c>
      <c r="L11934" s="10" t="s">
        <v>51037</v>
      </c>
      <c r="M11934" s="10">
        <v>1</v>
      </c>
      <c r="N11934" s="10" t="s">
        <v>44310</v>
      </c>
      <c r="O11934" s="10"/>
      <c r="P11934" s="10"/>
      <c r="Q11934" s="10"/>
      <c r="R11934" s="10" t="s">
        <v>51038</v>
      </c>
      <c r="S11934" s="10" t="s">
        <v>53</v>
      </c>
      <c r="T11934" s="10" t="s">
        <v>54</v>
      </c>
    </row>
    <row r="11935" spans="1:20" ht="14.5" x14ac:dyDescent="0.35">
      <c r="A11935" s="10" t="s">
        <v>51039</v>
      </c>
      <c r="B11935" s="10" t="str">
        <f>""</f>
        <v/>
      </c>
      <c r="C11935" s="10" t="str">
        <f>"9782808020565"</f>
        <v>9782808020565</v>
      </c>
      <c r="D11935" s="10" t="s">
        <v>29172</v>
      </c>
      <c r="E11935" s="10" t="s">
        <v>47196</v>
      </c>
      <c r="F11935" s="10" t="s">
        <v>29181</v>
      </c>
      <c r="G11935" s="10" t="s">
        <v>28737</v>
      </c>
      <c r="H11935" s="11">
        <v>43784</v>
      </c>
      <c r="I11935" s="10">
        <v>2019</v>
      </c>
      <c r="J11935" s="10" t="s">
        <v>47196</v>
      </c>
      <c r="K11935" s="10">
        <v>60</v>
      </c>
      <c r="L11935" s="10" t="s">
        <v>51032</v>
      </c>
      <c r="M11935" s="10">
        <v>1</v>
      </c>
      <c r="N11935" s="10" t="s">
        <v>47198</v>
      </c>
      <c r="O11935" s="10"/>
      <c r="P11935" s="10"/>
      <c r="Q11935" s="10"/>
      <c r="R11935" s="10" t="s">
        <v>51040</v>
      </c>
      <c r="S11935" s="10" t="s">
        <v>1519</v>
      </c>
      <c r="T11935" s="10" t="s">
        <v>6568</v>
      </c>
    </row>
    <row r="11936" spans="1:20" ht="14.5" x14ac:dyDescent="0.35">
      <c r="A11936" s="10" t="s">
        <v>51041</v>
      </c>
      <c r="B11936" s="10" t="str">
        <f>""</f>
        <v/>
      </c>
      <c r="C11936" s="10" t="str">
        <f>"9782808021081"</f>
        <v>9782808021081</v>
      </c>
      <c r="D11936" s="10" t="s">
        <v>29172</v>
      </c>
      <c r="E11936" s="10" t="s">
        <v>47196</v>
      </c>
      <c r="F11936" s="10" t="s">
        <v>29181</v>
      </c>
      <c r="G11936" s="10" t="s">
        <v>28737</v>
      </c>
      <c r="H11936" s="11">
        <v>43784</v>
      </c>
      <c r="I11936" s="10">
        <v>2019</v>
      </c>
      <c r="J11936" s="10" t="s">
        <v>47196</v>
      </c>
      <c r="K11936" s="10">
        <v>58</v>
      </c>
      <c r="L11936" s="10" t="s">
        <v>51032</v>
      </c>
      <c r="M11936" s="10">
        <v>1</v>
      </c>
      <c r="N11936" s="10" t="s">
        <v>47198</v>
      </c>
      <c r="O11936" s="10"/>
      <c r="P11936" s="10"/>
      <c r="Q11936" s="10"/>
      <c r="R11936" s="10" t="s">
        <v>51042</v>
      </c>
      <c r="S11936" s="10" t="s">
        <v>1519</v>
      </c>
      <c r="T11936" s="10" t="s">
        <v>6568</v>
      </c>
    </row>
    <row r="11937" spans="1:20" ht="14.5" x14ac:dyDescent="0.35">
      <c r="A11937" s="10" t="s">
        <v>51043</v>
      </c>
      <c r="B11937" s="10" t="str">
        <f>""</f>
        <v/>
      </c>
      <c r="C11937" s="10" t="str">
        <f>"9782808021371"</f>
        <v>9782808021371</v>
      </c>
      <c r="D11937" s="10" t="s">
        <v>29172</v>
      </c>
      <c r="E11937" s="10" t="s">
        <v>47196</v>
      </c>
      <c r="F11937" s="10" t="s">
        <v>29181</v>
      </c>
      <c r="G11937" s="10" t="s">
        <v>28737</v>
      </c>
      <c r="H11937" s="11">
        <v>43802</v>
      </c>
      <c r="I11937" s="10">
        <v>2019</v>
      </c>
      <c r="J11937" s="10" t="s">
        <v>47196</v>
      </c>
      <c r="K11937" s="10">
        <v>60</v>
      </c>
      <c r="L11937" s="10" t="s">
        <v>51044</v>
      </c>
      <c r="M11937" s="10">
        <v>1</v>
      </c>
      <c r="N11937" s="10" t="s">
        <v>47198</v>
      </c>
      <c r="O11937" s="10"/>
      <c r="P11937" s="10"/>
      <c r="Q11937" s="10"/>
      <c r="R11937" s="10" t="s">
        <v>51045</v>
      </c>
      <c r="S11937" s="10" t="s">
        <v>1519</v>
      </c>
      <c r="T11937" s="10" t="s">
        <v>6568</v>
      </c>
    </row>
    <row r="11938" spans="1:20" ht="14.5" x14ac:dyDescent="0.35">
      <c r="A11938" s="10" t="s">
        <v>51046</v>
      </c>
      <c r="B11938" s="10" t="str">
        <f>"9781416628811"</f>
        <v>9781416628811</v>
      </c>
      <c r="C11938" s="10" t="str">
        <f>"9781416628835"</f>
        <v>9781416628835</v>
      </c>
      <c r="D11938" s="10" t="s">
        <v>10014</v>
      </c>
      <c r="E11938" s="10" t="s">
        <v>10015</v>
      </c>
      <c r="F11938" s="10" t="s">
        <v>201</v>
      </c>
      <c r="G11938" s="10" t="s">
        <v>6317</v>
      </c>
      <c r="H11938" s="11">
        <v>43920</v>
      </c>
      <c r="I11938" s="10">
        <v>2020</v>
      </c>
      <c r="J11938" s="10" t="s">
        <v>10015</v>
      </c>
      <c r="K11938" s="10">
        <v>186</v>
      </c>
      <c r="L11938" s="10" t="s">
        <v>42811</v>
      </c>
      <c r="M11938" s="10">
        <v>1</v>
      </c>
      <c r="N11938" s="10"/>
      <c r="O11938" s="10"/>
      <c r="P11938" s="10" t="s">
        <v>51047</v>
      </c>
      <c r="Q11938" s="10">
        <v>371.20119999999997</v>
      </c>
      <c r="R11938" s="10" t="s">
        <v>51048</v>
      </c>
      <c r="S11938" s="10" t="s">
        <v>53</v>
      </c>
      <c r="T11938" s="10" t="s">
        <v>54</v>
      </c>
    </row>
    <row r="11939" spans="1:20" ht="14.5" x14ac:dyDescent="0.35">
      <c r="A11939" s="10" t="s">
        <v>51049</v>
      </c>
      <c r="B11939" s="10" t="str">
        <f>"9781838677220"</f>
        <v>9781838677220</v>
      </c>
      <c r="C11939" s="10" t="str">
        <f>"9781838677213"</f>
        <v>9781838677213</v>
      </c>
      <c r="D11939" s="10" t="s">
        <v>8699</v>
      </c>
      <c r="E11939" s="10" t="s">
        <v>8699</v>
      </c>
      <c r="F11939" s="10" t="s">
        <v>559</v>
      </c>
      <c r="G11939" s="10" t="s">
        <v>6352</v>
      </c>
      <c r="H11939" s="11">
        <v>43924</v>
      </c>
      <c r="I11939" s="10">
        <v>2020</v>
      </c>
      <c r="J11939" s="10" t="s">
        <v>8699</v>
      </c>
      <c r="K11939" s="10">
        <v>214</v>
      </c>
      <c r="L11939" s="10" t="s">
        <v>45590</v>
      </c>
      <c r="M11939" s="10">
        <v>1</v>
      </c>
      <c r="N11939" s="10"/>
      <c r="O11939" s="10"/>
      <c r="P11939" s="10" t="s">
        <v>29384</v>
      </c>
      <c r="Q11939" s="10">
        <v>371.1</v>
      </c>
      <c r="R11939" s="10" t="s">
        <v>18815</v>
      </c>
      <c r="S11939" s="10" t="s">
        <v>53</v>
      </c>
      <c r="T11939" s="10" t="s">
        <v>54</v>
      </c>
    </row>
    <row r="11940" spans="1:20" ht="14.5" x14ac:dyDescent="0.35">
      <c r="A11940" s="10" t="s">
        <v>51050</v>
      </c>
      <c r="B11940" s="10" t="str">
        <f>"9781839825019"</f>
        <v>9781839825019</v>
      </c>
      <c r="C11940" s="10" t="str">
        <f>"9781839824982"</f>
        <v>9781839824982</v>
      </c>
      <c r="D11940" s="10" t="s">
        <v>8699</v>
      </c>
      <c r="E11940" s="10" t="s">
        <v>8699</v>
      </c>
      <c r="F11940" s="10" t="s">
        <v>559</v>
      </c>
      <c r="G11940" s="10" t="s">
        <v>6352</v>
      </c>
      <c r="H11940" s="11">
        <v>43908</v>
      </c>
      <c r="I11940" s="10">
        <v>2020</v>
      </c>
      <c r="J11940" s="10" t="s">
        <v>8699</v>
      </c>
      <c r="K11940" s="10">
        <v>169</v>
      </c>
      <c r="L11940" s="10" t="s">
        <v>51051</v>
      </c>
      <c r="M11940" s="10">
        <v>1</v>
      </c>
      <c r="N11940" s="10" t="s">
        <v>47460</v>
      </c>
      <c r="O11940" s="10"/>
      <c r="P11940" s="10" t="s">
        <v>26825</v>
      </c>
      <c r="Q11940" s="10"/>
      <c r="R11940" s="10" t="s">
        <v>47733</v>
      </c>
      <c r="S11940" s="10" t="s">
        <v>53</v>
      </c>
      <c r="T11940" s="10" t="s">
        <v>54</v>
      </c>
    </row>
    <row r="11941" spans="1:20" ht="14.5" x14ac:dyDescent="0.35">
      <c r="A11941" s="10" t="s">
        <v>51052</v>
      </c>
      <c r="B11941" s="10" t="str">
        <f>"9781787699427"</f>
        <v>9781787699427</v>
      </c>
      <c r="C11941" s="10" t="str">
        <f>"9781787699434"</f>
        <v>9781787699434</v>
      </c>
      <c r="D11941" s="10" t="s">
        <v>8699</v>
      </c>
      <c r="E11941" s="10" t="s">
        <v>8699</v>
      </c>
      <c r="F11941" s="10" t="s">
        <v>559</v>
      </c>
      <c r="G11941" s="10" t="s">
        <v>6352</v>
      </c>
      <c r="H11941" s="11">
        <v>43908</v>
      </c>
      <c r="I11941" s="10">
        <v>2020</v>
      </c>
      <c r="J11941" s="10" t="s">
        <v>8699</v>
      </c>
      <c r="K11941" s="10">
        <v>196</v>
      </c>
      <c r="L11941" s="10" t="s">
        <v>51053</v>
      </c>
      <c r="M11941" s="10">
        <v>1</v>
      </c>
      <c r="N11941" s="10" t="s">
        <v>29541</v>
      </c>
      <c r="O11941" s="10">
        <v>18</v>
      </c>
      <c r="P11941" s="10" t="s">
        <v>26825</v>
      </c>
      <c r="Q11941" s="10" t="s">
        <v>22828</v>
      </c>
      <c r="R11941" s="10" t="s">
        <v>51054</v>
      </c>
      <c r="S11941" s="10" t="s">
        <v>53</v>
      </c>
      <c r="T11941" s="10" t="s">
        <v>14975</v>
      </c>
    </row>
    <row r="11942" spans="1:20" ht="14.5" x14ac:dyDescent="0.35">
      <c r="A11942" s="10" t="s">
        <v>51055</v>
      </c>
      <c r="B11942" s="10" t="str">
        <f>"9781943874392"</f>
        <v>9781943874392</v>
      </c>
      <c r="C11942" s="10" t="str">
        <f>"9781943874408"</f>
        <v>9781943874408</v>
      </c>
      <c r="D11942" s="10" t="s">
        <v>37580</v>
      </c>
      <c r="E11942" s="10" t="s">
        <v>37581</v>
      </c>
      <c r="F11942" s="10" t="s">
        <v>37623</v>
      </c>
      <c r="G11942" s="10" t="s">
        <v>6317</v>
      </c>
      <c r="H11942" s="11">
        <v>43931</v>
      </c>
      <c r="I11942" s="10">
        <v>2020</v>
      </c>
      <c r="J11942" s="10" t="s">
        <v>37581</v>
      </c>
      <c r="K11942" s="10">
        <v>264</v>
      </c>
      <c r="L11942" s="10" t="s">
        <v>51056</v>
      </c>
      <c r="M11942" s="10">
        <v>1</v>
      </c>
      <c r="N11942" s="10" t="s">
        <v>47064</v>
      </c>
      <c r="O11942" s="10"/>
      <c r="P11942" s="10"/>
      <c r="Q11942" s="10"/>
      <c r="R11942" s="10" t="s">
        <v>51057</v>
      </c>
      <c r="S11942" s="10" t="s">
        <v>53</v>
      </c>
      <c r="T11942" s="10" t="s">
        <v>54</v>
      </c>
    </row>
    <row r="11943" spans="1:20" ht="14.5" x14ac:dyDescent="0.35">
      <c r="A11943" s="10" t="s">
        <v>51058</v>
      </c>
      <c r="B11943" s="10" t="str">
        <f>"9781620369708"</f>
        <v>9781620369708</v>
      </c>
      <c r="C11943" s="10" t="str">
        <f>"9781000973372"</f>
        <v>9781000973372</v>
      </c>
      <c r="D11943" s="10" t="s">
        <v>6350</v>
      </c>
      <c r="E11943" s="10" t="s">
        <v>6351</v>
      </c>
      <c r="F11943" s="10" t="s">
        <v>748</v>
      </c>
      <c r="G11943" s="10" t="s">
        <v>6352</v>
      </c>
      <c r="H11943" s="11">
        <v>43889</v>
      </c>
      <c r="I11943" s="10">
        <v>2020</v>
      </c>
      <c r="J11943" s="10" t="s">
        <v>6351</v>
      </c>
      <c r="K11943" s="10">
        <v>194</v>
      </c>
      <c r="L11943" s="10" t="s">
        <v>51059</v>
      </c>
      <c r="M11943" s="10">
        <v>1</v>
      </c>
      <c r="N11943" s="10"/>
      <c r="O11943" s="10"/>
      <c r="P11943" s="10" t="s">
        <v>51060</v>
      </c>
      <c r="Q11943" s="10">
        <v>378.73</v>
      </c>
      <c r="R11943" s="10" t="s">
        <v>47623</v>
      </c>
      <c r="S11943" s="10" t="s">
        <v>53</v>
      </c>
      <c r="T11943" s="10" t="s">
        <v>54</v>
      </c>
    </row>
    <row r="11944" spans="1:20" ht="14.5" x14ac:dyDescent="0.35">
      <c r="A11944" s="10" t="s">
        <v>51061</v>
      </c>
      <c r="B11944" s="10" t="str">
        <f>"9781912508815"</f>
        <v>9781912508815</v>
      </c>
      <c r="C11944" s="10" t="str">
        <f>"9781912508846"</f>
        <v>9781912508846</v>
      </c>
      <c r="D11944" s="10" t="s">
        <v>9533</v>
      </c>
      <c r="E11944" s="10" t="s">
        <v>26840</v>
      </c>
      <c r="F11944" s="10" t="s">
        <v>44053</v>
      </c>
      <c r="G11944" s="10" t="s">
        <v>6352</v>
      </c>
      <c r="H11944" s="11">
        <v>44013</v>
      </c>
      <c r="I11944" s="10">
        <v>2020</v>
      </c>
      <c r="J11944" s="10" t="s">
        <v>26840</v>
      </c>
      <c r="K11944" s="10">
        <v>156</v>
      </c>
      <c r="L11944" s="10" t="s">
        <v>51062</v>
      </c>
      <c r="M11944" s="10">
        <v>1</v>
      </c>
      <c r="N11944" s="10" t="s">
        <v>51063</v>
      </c>
      <c r="O11944" s="10"/>
      <c r="P11944" s="10" t="s">
        <v>51064</v>
      </c>
      <c r="Q11944" s="10">
        <v>372.01</v>
      </c>
      <c r="R11944" s="10" t="s">
        <v>51065</v>
      </c>
      <c r="S11944" s="10" t="s">
        <v>53</v>
      </c>
      <c r="T11944" s="10" t="s">
        <v>54</v>
      </c>
    </row>
    <row r="11945" spans="1:20" ht="14.5" x14ac:dyDescent="0.35">
      <c r="A11945" s="10" t="s">
        <v>51066</v>
      </c>
      <c r="B11945" s="10" t="str">
        <f>""</f>
        <v/>
      </c>
      <c r="C11945" s="10" t="str">
        <f>"9781464813399"</f>
        <v>9781464813399</v>
      </c>
      <c r="D11945" s="10" t="s">
        <v>14731</v>
      </c>
      <c r="E11945" s="10" t="s">
        <v>14732</v>
      </c>
      <c r="F11945" s="10" t="s">
        <v>11765</v>
      </c>
      <c r="G11945" s="10" t="s">
        <v>6317</v>
      </c>
      <c r="H11945" s="11">
        <v>43826</v>
      </c>
      <c r="I11945" s="10">
        <v>2019</v>
      </c>
      <c r="J11945" s="10" t="s">
        <v>14732</v>
      </c>
      <c r="K11945" s="10">
        <v>385</v>
      </c>
      <c r="L11945" s="10" t="s">
        <v>51067</v>
      </c>
      <c r="M11945" s="10">
        <v>1</v>
      </c>
      <c r="N11945" s="10" t="s">
        <v>51068</v>
      </c>
      <c r="O11945" s="10"/>
      <c r="P11945" s="10" t="s">
        <v>51069</v>
      </c>
      <c r="Q11945" s="10">
        <v>370.95400000000001</v>
      </c>
      <c r="R11945" s="10" t="s">
        <v>51070</v>
      </c>
      <c r="S11945" s="10" t="s">
        <v>53</v>
      </c>
      <c r="T11945" s="10" t="s">
        <v>54</v>
      </c>
    </row>
    <row r="11946" spans="1:20" ht="14.5" x14ac:dyDescent="0.35">
      <c r="A11946" s="10" t="s">
        <v>51071</v>
      </c>
      <c r="B11946" s="10" t="str">
        <f>"9781839098512"</f>
        <v>9781839098512</v>
      </c>
      <c r="C11946" s="10" t="str">
        <f>"9781839098505"</f>
        <v>9781839098505</v>
      </c>
      <c r="D11946" s="10" t="s">
        <v>8699</v>
      </c>
      <c r="E11946" s="10" t="s">
        <v>8699</v>
      </c>
      <c r="F11946" s="10" t="s">
        <v>559</v>
      </c>
      <c r="G11946" s="10" t="s">
        <v>6352</v>
      </c>
      <c r="H11946" s="11">
        <v>43920</v>
      </c>
      <c r="I11946" s="10">
        <v>2020</v>
      </c>
      <c r="J11946" s="10" t="s">
        <v>8699</v>
      </c>
      <c r="K11946" s="10">
        <v>185</v>
      </c>
      <c r="L11946" s="10" t="s">
        <v>51072</v>
      </c>
      <c r="M11946" s="10">
        <v>1</v>
      </c>
      <c r="N11946" s="10"/>
      <c r="O11946" s="10"/>
      <c r="P11946" s="10" t="s">
        <v>28438</v>
      </c>
      <c r="Q11946" s="10">
        <v>370.7</v>
      </c>
      <c r="R11946" s="10" t="s">
        <v>18815</v>
      </c>
      <c r="S11946" s="10" t="s">
        <v>53</v>
      </c>
      <c r="T11946" s="10" t="s">
        <v>54</v>
      </c>
    </row>
    <row r="11947" spans="1:20" ht="14.5" x14ac:dyDescent="0.35">
      <c r="A11947" s="10" t="s">
        <v>51073</v>
      </c>
      <c r="B11947" s="10" t="str">
        <f>"9782343099750"</f>
        <v>9782343099750</v>
      </c>
      <c r="C11947" s="10" t="str">
        <f>"9782140028076"</f>
        <v>9782140028076</v>
      </c>
      <c r="D11947" s="10" t="s">
        <v>31595</v>
      </c>
      <c r="E11947" s="10" t="s">
        <v>51074</v>
      </c>
      <c r="F11947" s="10" t="s">
        <v>194</v>
      </c>
      <c r="G11947" s="10" t="s">
        <v>31597</v>
      </c>
      <c r="H11947" s="11">
        <v>42750</v>
      </c>
      <c r="I11947" s="10">
        <v>2017</v>
      </c>
      <c r="J11947" s="10" t="s">
        <v>51075</v>
      </c>
      <c r="K11947" s="10">
        <v>332</v>
      </c>
      <c r="L11947" s="10" t="s">
        <v>51076</v>
      </c>
      <c r="M11947" s="10">
        <v>1</v>
      </c>
      <c r="N11947" s="10" t="s">
        <v>51077</v>
      </c>
      <c r="O11947" s="10"/>
      <c r="P11947" s="10" t="s">
        <v>51078</v>
      </c>
      <c r="Q11947" s="10">
        <v>810.80978200000004</v>
      </c>
      <c r="R11947" s="10" t="s">
        <v>51079</v>
      </c>
      <c r="S11947" s="10" t="s">
        <v>53</v>
      </c>
      <c r="T11947" s="10" t="s">
        <v>1166</v>
      </c>
    </row>
    <row r="11948" spans="1:20" ht="14.5" x14ac:dyDescent="0.35">
      <c r="A11948" s="10" t="s">
        <v>51080</v>
      </c>
      <c r="B11948" s="10" t="str">
        <f>"9782296962392"</f>
        <v>9782296962392</v>
      </c>
      <c r="C11948" s="10" t="str">
        <f>"9782296494701"</f>
        <v>9782296494701</v>
      </c>
      <c r="D11948" s="10" t="s">
        <v>31595</v>
      </c>
      <c r="E11948" s="10" t="s">
        <v>51074</v>
      </c>
      <c r="F11948" s="10" t="s">
        <v>194</v>
      </c>
      <c r="G11948" s="10" t="s">
        <v>31597</v>
      </c>
      <c r="H11948" s="11">
        <v>41061</v>
      </c>
      <c r="I11948" s="10">
        <v>2012</v>
      </c>
      <c r="J11948" s="10" t="s">
        <v>51074</v>
      </c>
      <c r="K11948" s="10">
        <v>258</v>
      </c>
      <c r="L11948" s="10" t="s">
        <v>51081</v>
      </c>
      <c r="M11948" s="10">
        <v>1</v>
      </c>
      <c r="N11948" s="10" t="s">
        <v>51082</v>
      </c>
      <c r="O11948" s="10"/>
      <c r="P11948" s="10" t="s">
        <v>51083</v>
      </c>
      <c r="Q11948" s="10">
        <v>448.00700000000001</v>
      </c>
      <c r="R11948" s="10" t="s">
        <v>51084</v>
      </c>
      <c r="S11948" s="10" t="s">
        <v>5404</v>
      </c>
      <c r="T11948" s="10" t="s">
        <v>6616</v>
      </c>
    </row>
    <row r="11949" spans="1:20" ht="14.5" x14ac:dyDescent="0.35">
      <c r="A11949" s="10" t="s">
        <v>51085</v>
      </c>
      <c r="B11949" s="10" t="str">
        <f>"9782343042695"</f>
        <v>9782343042695</v>
      </c>
      <c r="C11949" s="10" t="str">
        <f>"9782336355948"</f>
        <v>9782336355948</v>
      </c>
      <c r="D11949" s="10" t="s">
        <v>31595</v>
      </c>
      <c r="E11949" s="10" t="s">
        <v>51074</v>
      </c>
      <c r="F11949" s="10" t="s">
        <v>194</v>
      </c>
      <c r="G11949" s="10" t="s">
        <v>31597</v>
      </c>
      <c r="H11949" s="11">
        <v>41883</v>
      </c>
      <c r="I11949" s="10">
        <v>2014</v>
      </c>
      <c r="J11949" s="10" t="s">
        <v>51074</v>
      </c>
      <c r="K11949" s="10">
        <v>284</v>
      </c>
      <c r="L11949" s="10" t="s">
        <v>51086</v>
      </c>
      <c r="M11949" s="10">
        <v>1</v>
      </c>
      <c r="N11949" s="10"/>
      <c r="O11949" s="10"/>
      <c r="P11949" s="10"/>
      <c r="Q11949" s="10"/>
      <c r="R11949" s="10"/>
      <c r="S11949" s="10" t="s">
        <v>5404</v>
      </c>
      <c r="T11949" s="10" t="s">
        <v>6568</v>
      </c>
    </row>
    <row r="11950" spans="1:20" ht="14.5" x14ac:dyDescent="0.35">
      <c r="A11950" s="10" t="s">
        <v>51087</v>
      </c>
      <c r="B11950" s="10" t="str">
        <f>"9781138047631"</f>
        <v>9781138047631</v>
      </c>
      <c r="C11950" s="10" t="str">
        <f>"9781351692601"</f>
        <v>9781351692601</v>
      </c>
      <c r="D11950" s="10" t="s">
        <v>6350</v>
      </c>
      <c r="E11950" s="10" t="s">
        <v>6351</v>
      </c>
      <c r="F11950" s="10" t="s">
        <v>748</v>
      </c>
      <c r="G11950" s="10" t="s">
        <v>6352</v>
      </c>
      <c r="H11950" s="11">
        <v>43941</v>
      </c>
      <c r="I11950" s="10">
        <v>2020</v>
      </c>
      <c r="J11950" s="10" t="s">
        <v>6351</v>
      </c>
      <c r="K11950" s="10">
        <v>685</v>
      </c>
      <c r="L11950" s="10" t="s">
        <v>51088</v>
      </c>
      <c r="M11950" s="10">
        <v>1</v>
      </c>
      <c r="N11950" s="10"/>
      <c r="O11950" s="10"/>
      <c r="P11950" s="10" t="s">
        <v>51089</v>
      </c>
      <c r="Q11950" s="10">
        <v>956</v>
      </c>
      <c r="R11950" s="10" t="s">
        <v>51090</v>
      </c>
      <c r="S11950" s="10" t="s">
        <v>53</v>
      </c>
      <c r="T11950" s="10" t="s">
        <v>4490</v>
      </c>
    </row>
    <row r="11951" spans="1:20" ht="14.5" x14ac:dyDescent="0.35">
      <c r="A11951" s="10" t="s">
        <v>51091</v>
      </c>
      <c r="B11951" s="10" t="str">
        <f>"9780813944821"</f>
        <v>9780813944821</v>
      </c>
      <c r="C11951" s="10" t="str">
        <f>"9780813944838"</f>
        <v>9780813944838</v>
      </c>
      <c r="D11951" s="10" t="s">
        <v>9533</v>
      </c>
      <c r="E11951" s="10" t="s">
        <v>39170</v>
      </c>
      <c r="F11951" s="10" t="s">
        <v>3798</v>
      </c>
      <c r="G11951" s="10" t="s">
        <v>6317</v>
      </c>
      <c r="H11951" s="11">
        <v>44096</v>
      </c>
      <c r="I11951" s="10">
        <v>2021</v>
      </c>
      <c r="J11951" s="10" t="s">
        <v>39170</v>
      </c>
      <c r="K11951" s="10">
        <v>433</v>
      </c>
      <c r="L11951" s="10" t="s">
        <v>51092</v>
      </c>
      <c r="M11951" s="10">
        <v>1</v>
      </c>
      <c r="N11951" s="10"/>
      <c r="O11951" s="10"/>
      <c r="P11951" s="10" t="s">
        <v>51093</v>
      </c>
      <c r="Q11951" s="10">
        <v>378.75545099999999</v>
      </c>
      <c r="R11951" s="10" t="s">
        <v>51094</v>
      </c>
      <c r="S11951" s="10" t="s">
        <v>53</v>
      </c>
      <c r="T11951" s="10" t="s">
        <v>54</v>
      </c>
    </row>
    <row r="11952" spans="1:20" ht="14.5" x14ac:dyDescent="0.35">
      <c r="A11952" s="10" t="s">
        <v>51095</v>
      </c>
      <c r="B11952" s="10" t="str">
        <f>"9781119651475"</f>
        <v>9781119651475</v>
      </c>
      <c r="C11952" s="10" t="str">
        <f>"9781119651482"</f>
        <v>9781119651482</v>
      </c>
      <c r="D11952" s="10" t="s">
        <v>6322</v>
      </c>
      <c r="E11952" s="10" t="s">
        <v>6323</v>
      </c>
      <c r="F11952" s="10" t="s">
        <v>4423</v>
      </c>
      <c r="G11952" s="10" t="s">
        <v>6317</v>
      </c>
      <c r="H11952" s="11">
        <v>43942</v>
      </c>
      <c r="I11952" s="10">
        <v>2020</v>
      </c>
      <c r="J11952" s="10" t="s">
        <v>25195</v>
      </c>
      <c r="K11952" s="10">
        <v>259</v>
      </c>
      <c r="L11952" s="10" t="s">
        <v>51096</v>
      </c>
      <c r="M11952" s="10">
        <v>1</v>
      </c>
      <c r="N11952" s="10"/>
      <c r="O11952" s="10"/>
      <c r="P11952" s="10"/>
      <c r="Q11952" s="10">
        <v>378.38097299999998</v>
      </c>
      <c r="R11952" s="10" t="s">
        <v>51097</v>
      </c>
      <c r="S11952" s="10" t="s">
        <v>53</v>
      </c>
      <c r="T11952" s="10" t="s">
        <v>54</v>
      </c>
    </row>
    <row r="11953" spans="1:20" ht="14.5" x14ac:dyDescent="0.35">
      <c r="A11953" s="10" t="s">
        <v>51098</v>
      </c>
      <c r="B11953" s="10" t="str">
        <f>"9789004429079"</f>
        <v>9789004429079</v>
      </c>
      <c r="C11953" s="10" t="str">
        <f>"9789004429086"</f>
        <v>9789004429086</v>
      </c>
      <c r="D11953" s="10" t="s">
        <v>8564</v>
      </c>
      <c r="E11953" s="10" t="s">
        <v>8565</v>
      </c>
      <c r="F11953" s="10" t="s">
        <v>1420</v>
      </c>
      <c r="G11953" s="10" t="s">
        <v>6317</v>
      </c>
      <c r="H11953" s="11">
        <v>43916</v>
      </c>
      <c r="I11953" s="10">
        <v>2020</v>
      </c>
      <c r="J11953" s="10" t="s">
        <v>33259</v>
      </c>
      <c r="K11953" s="10">
        <v>167</v>
      </c>
      <c r="L11953" s="10" t="s">
        <v>51099</v>
      </c>
      <c r="M11953" s="10">
        <v>1</v>
      </c>
      <c r="N11953" s="10"/>
      <c r="O11953" s="10"/>
      <c r="P11953" s="10" t="s">
        <v>51100</v>
      </c>
      <c r="Q11953" s="10">
        <v>371.14800000000002</v>
      </c>
      <c r="R11953" s="10" t="s">
        <v>45873</v>
      </c>
      <c r="S11953" s="10" t="s">
        <v>53</v>
      </c>
      <c r="T11953" s="10" t="s">
        <v>54</v>
      </c>
    </row>
    <row r="11954" spans="1:20" ht="14.5" x14ac:dyDescent="0.35">
      <c r="A11954" s="10" t="s">
        <v>51101</v>
      </c>
      <c r="B11954" s="10" t="str">
        <f>"9789004389816"</f>
        <v>9789004389816</v>
      </c>
      <c r="C11954" s="10" t="str">
        <f>"9789004424555"</f>
        <v>9789004424555</v>
      </c>
      <c r="D11954" s="10" t="s">
        <v>8564</v>
      </c>
      <c r="E11954" s="10" t="s">
        <v>8565</v>
      </c>
      <c r="F11954" s="10" t="s">
        <v>1420</v>
      </c>
      <c r="G11954" s="10" t="s">
        <v>6317</v>
      </c>
      <c r="H11954" s="11">
        <v>43916</v>
      </c>
      <c r="I11954" s="10">
        <v>2020</v>
      </c>
      <c r="J11954" s="10" t="s">
        <v>33259</v>
      </c>
      <c r="K11954" s="10">
        <v>249</v>
      </c>
      <c r="L11954" s="10" t="s">
        <v>51102</v>
      </c>
      <c r="M11954" s="10">
        <v>1</v>
      </c>
      <c r="N11954" s="10" t="s">
        <v>44388</v>
      </c>
      <c r="O11954" s="10">
        <v>6</v>
      </c>
      <c r="P11954" s="10"/>
      <c r="Q11954" s="10"/>
      <c r="R11954" s="10" t="s">
        <v>51103</v>
      </c>
      <c r="S11954" s="10" t="s">
        <v>53</v>
      </c>
      <c r="T11954" s="10" t="s">
        <v>54</v>
      </c>
    </row>
    <row r="11955" spans="1:20" ht="14.5" x14ac:dyDescent="0.35">
      <c r="A11955" s="10" t="s">
        <v>51104</v>
      </c>
      <c r="B11955" s="10" t="str">
        <f>"9781416628859"</f>
        <v>9781416628859</v>
      </c>
      <c r="C11955" s="10" t="str">
        <f>"9781416628866"</f>
        <v>9781416628866</v>
      </c>
      <c r="D11955" s="10" t="s">
        <v>10014</v>
      </c>
      <c r="E11955" s="10" t="s">
        <v>10015</v>
      </c>
      <c r="F11955" s="10" t="s">
        <v>201</v>
      </c>
      <c r="G11955" s="10" t="s">
        <v>6317</v>
      </c>
      <c r="H11955" s="11">
        <v>43951</v>
      </c>
      <c r="I11955" s="10">
        <v>2020</v>
      </c>
      <c r="J11955" s="10" t="s">
        <v>10015</v>
      </c>
      <c r="K11955" s="10">
        <v>174</v>
      </c>
      <c r="L11955" s="10" t="s">
        <v>47691</v>
      </c>
      <c r="M11955" s="10">
        <v>1</v>
      </c>
      <c r="N11955" s="10"/>
      <c r="O11955" s="10"/>
      <c r="P11955" s="10" t="s">
        <v>51105</v>
      </c>
      <c r="Q11955" s="10">
        <v>371.2</v>
      </c>
      <c r="R11955" s="10" t="s">
        <v>51106</v>
      </c>
      <c r="S11955" s="10" t="s">
        <v>53</v>
      </c>
      <c r="T11955" s="10" t="s">
        <v>54</v>
      </c>
    </row>
    <row r="11956" spans="1:20" ht="14.5" x14ac:dyDescent="0.35">
      <c r="A11956" s="10" t="s">
        <v>51107</v>
      </c>
      <c r="B11956" s="10" t="str">
        <f>"9781949199505"</f>
        <v>9781949199505</v>
      </c>
      <c r="C11956" s="10" t="str">
        <f>"9781949199529"</f>
        <v>9781949199529</v>
      </c>
      <c r="D11956" s="10" t="s">
        <v>38760</v>
      </c>
      <c r="E11956" s="10" t="s">
        <v>38760</v>
      </c>
      <c r="F11956" s="10" t="s">
        <v>5426</v>
      </c>
      <c r="G11956" s="10" t="s">
        <v>6317</v>
      </c>
      <c r="H11956" s="11">
        <v>43887</v>
      </c>
      <c r="I11956" s="10">
        <v>2020</v>
      </c>
      <c r="J11956" s="10" t="s">
        <v>38760</v>
      </c>
      <c r="K11956" s="10">
        <v>181</v>
      </c>
      <c r="L11956" s="10" t="s">
        <v>51108</v>
      </c>
      <c r="M11956" s="10">
        <v>1</v>
      </c>
      <c r="N11956" s="10" t="s">
        <v>43013</v>
      </c>
      <c r="O11956" s="10"/>
      <c r="P11956" s="10" t="s">
        <v>40284</v>
      </c>
      <c r="Q11956" s="10">
        <v>370.11500000000001</v>
      </c>
      <c r="R11956" s="10" t="s">
        <v>51109</v>
      </c>
      <c r="S11956" s="10" t="s">
        <v>53</v>
      </c>
      <c r="T11956" s="10" t="s">
        <v>54</v>
      </c>
    </row>
    <row r="11957" spans="1:20" ht="14.5" x14ac:dyDescent="0.35">
      <c r="A11957" s="10" t="s">
        <v>51110</v>
      </c>
      <c r="B11957" s="10" t="str">
        <f>"9781913063856"</f>
        <v>9781913063856</v>
      </c>
      <c r="C11957" s="10" t="str">
        <f>"9781913063870"</f>
        <v>9781913063870</v>
      </c>
      <c r="D11957" s="10" t="s">
        <v>9533</v>
      </c>
      <c r="E11957" s="10" t="s">
        <v>26840</v>
      </c>
      <c r="F11957" s="10" t="s">
        <v>44053</v>
      </c>
      <c r="G11957" s="10" t="s">
        <v>6352</v>
      </c>
      <c r="H11957" s="11">
        <v>44013</v>
      </c>
      <c r="I11957" s="10">
        <v>2020</v>
      </c>
      <c r="J11957" s="10" t="s">
        <v>26840</v>
      </c>
      <c r="K11957" s="10">
        <v>138</v>
      </c>
      <c r="L11957" s="10" t="s">
        <v>51111</v>
      </c>
      <c r="M11957" s="10">
        <v>1</v>
      </c>
      <c r="N11957" s="10" t="s">
        <v>49096</v>
      </c>
      <c r="O11957" s="10"/>
      <c r="P11957" s="10" t="s">
        <v>51112</v>
      </c>
      <c r="Q11957" s="10" t="s">
        <v>6942</v>
      </c>
      <c r="R11957" s="10" t="s">
        <v>42765</v>
      </c>
      <c r="S11957" s="10" t="s">
        <v>53</v>
      </c>
      <c r="T11957" s="10" t="s">
        <v>54</v>
      </c>
    </row>
    <row r="11958" spans="1:20" ht="14.5" x14ac:dyDescent="0.35">
      <c r="A11958" s="10" t="s">
        <v>51113</v>
      </c>
      <c r="B11958" s="10" t="str">
        <f>""</f>
        <v/>
      </c>
      <c r="C11958" s="10" t="str">
        <f>"9783838272924"</f>
        <v>9783838272924</v>
      </c>
      <c r="D11958" s="10" t="s">
        <v>27189</v>
      </c>
      <c r="E11958" s="10" t="s">
        <v>28981</v>
      </c>
      <c r="F11958" s="10" t="s">
        <v>2925</v>
      </c>
      <c r="G11958" s="10" t="s">
        <v>9998</v>
      </c>
      <c r="H11958" s="11">
        <v>43524</v>
      </c>
      <c r="I11958" s="10">
        <v>2019</v>
      </c>
      <c r="J11958" s="10" t="s">
        <v>28981</v>
      </c>
      <c r="K11958" s="10">
        <v>287</v>
      </c>
      <c r="L11958" s="10" t="s">
        <v>51114</v>
      </c>
      <c r="M11958" s="10"/>
      <c r="N11958" s="10" t="s">
        <v>49326</v>
      </c>
      <c r="O11958" s="10">
        <v>67</v>
      </c>
      <c r="P11958" s="10" t="s">
        <v>51115</v>
      </c>
      <c r="Q11958" s="10">
        <v>306.44600000000003</v>
      </c>
      <c r="R11958" s="10" t="s">
        <v>51116</v>
      </c>
      <c r="S11958" s="10" t="s">
        <v>1519</v>
      </c>
      <c r="T11958" s="10" t="s">
        <v>8412</v>
      </c>
    </row>
    <row r="11959" spans="1:20" ht="14.5" x14ac:dyDescent="0.35">
      <c r="A11959" s="10" t="s">
        <v>51117</v>
      </c>
      <c r="B11959" s="10" t="str">
        <f>"9781474290807"</f>
        <v>9781474290807</v>
      </c>
      <c r="C11959" s="10" t="str">
        <f>"9781474290821"</f>
        <v>9781474290821</v>
      </c>
      <c r="D11959" s="10" t="s">
        <v>13959</v>
      </c>
      <c r="E11959" s="10" t="s">
        <v>13960</v>
      </c>
      <c r="F11959" s="10" t="s">
        <v>139</v>
      </c>
      <c r="G11959" s="10" t="s">
        <v>6352</v>
      </c>
      <c r="H11959" s="11">
        <v>42985</v>
      </c>
      <c r="I11959" s="10">
        <v>2017</v>
      </c>
      <c r="J11959" s="10" t="s">
        <v>14057</v>
      </c>
      <c r="K11959" s="10">
        <v>216</v>
      </c>
      <c r="L11959" s="10" t="s">
        <v>51118</v>
      </c>
      <c r="M11959" s="10">
        <v>1</v>
      </c>
      <c r="N11959" s="10"/>
      <c r="O11959" s="10"/>
      <c r="P11959" s="10" t="s">
        <v>51119</v>
      </c>
      <c r="Q11959" s="10">
        <v>302.23083000000003</v>
      </c>
      <c r="R11959" s="10" t="s">
        <v>51120</v>
      </c>
      <c r="S11959" s="10" t="s">
        <v>53</v>
      </c>
      <c r="T11959" s="10" t="s">
        <v>6526</v>
      </c>
    </row>
    <row r="11960" spans="1:20" ht="14.5" x14ac:dyDescent="0.35">
      <c r="A11960" s="10" t="s">
        <v>51121</v>
      </c>
      <c r="B11960" s="10" t="str">
        <f>"9781350051027"</f>
        <v>9781350051027</v>
      </c>
      <c r="C11960" s="10" t="str">
        <f>"9781849665483"</f>
        <v>9781849665483</v>
      </c>
      <c r="D11960" s="10" t="s">
        <v>13959</v>
      </c>
      <c r="E11960" s="10" t="s">
        <v>13960</v>
      </c>
      <c r="F11960" s="10" t="s">
        <v>139</v>
      </c>
      <c r="G11960" s="10" t="s">
        <v>6352</v>
      </c>
      <c r="H11960" s="11">
        <v>42999</v>
      </c>
      <c r="I11960" s="10">
        <v>2016</v>
      </c>
      <c r="J11960" s="10" t="s">
        <v>14057</v>
      </c>
      <c r="K11960" s="10">
        <v>217</v>
      </c>
      <c r="L11960" s="10" t="s">
        <v>51122</v>
      </c>
      <c r="M11960" s="10">
        <v>1</v>
      </c>
      <c r="N11960" s="10"/>
      <c r="O11960" s="10"/>
      <c r="P11960" s="10" t="s">
        <v>51123</v>
      </c>
      <c r="Q11960" s="10">
        <v>378.16109419999998</v>
      </c>
      <c r="R11960" s="10" t="s">
        <v>51124</v>
      </c>
      <c r="S11960" s="10" t="s">
        <v>53</v>
      </c>
      <c r="T11960" s="10" t="s">
        <v>54</v>
      </c>
    </row>
    <row r="11961" spans="1:20" ht="14.5" x14ac:dyDescent="0.35">
      <c r="A11961" s="10" t="s">
        <v>51125</v>
      </c>
      <c r="B11961" s="10" t="str">
        <f>"9788024619019"</f>
        <v>9788024619019</v>
      </c>
      <c r="C11961" s="10" t="str">
        <f>"9788024645728"</f>
        <v>9788024645728</v>
      </c>
      <c r="D11961" s="10" t="s">
        <v>30935</v>
      </c>
      <c r="E11961" s="10" t="s">
        <v>30935</v>
      </c>
      <c r="F11961" s="10" t="s">
        <v>1796</v>
      </c>
      <c r="G11961" s="10" t="s">
        <v>30936</v>
      </c>
      <c r="H11961" s="11">
        <v>40544</v>
      </c>
      <c r="I11961" s="10">
        <v>2011</v>
      </c>
      <c r="J11961" s="10" t="s">
        <v>30935</v>
      </c>
      <c r="K11961" s="10">
        <v>166</v>
      </c>
      <c r="L11961" s="10" t="s">
        <v>51126</v>
      </c>
      <c r="M11961" s="10">
        <v>1</v>
      </c>
      <c r="N11961" s="10"/>
      <c r="O11961" s="10"/>
      <c r="P11961" s="10"/>
      <c r="Q11961" s="10"/>
      <c r="R11961" s="10"/>
      <c r="S11961" s="10" t="s">
        <v>4212</v>
      </c>
      <c r="T11961" s="10" t="s">
        <v>54</v>
      </c>
    </row>
    <row r="11962" spans="1:20" ht="14.5" x14ac:dyDescent="0.35">
      <c r="A11962" s="10" t="s">
        <v>51127</v>
      </c>
      <c r="B11962" s="10" t="str">
        <f>""</f>
        <v/>
      </c>
      <c r="C11962" s="10" t="str">
        <f>"9781472506337"</f>
        <v>9781472506337</v>
      </c>
      <c r="D11962" s="10" t="s">
        <v>13959</v>
      </c>
      <c r="E11962" s="10" t="s">
        <v>13960</v>
      </c>
      <c r="F11962" s="10" t="s">
        <v>139</v>
      </c>
      <c r="G11962" s="10" t="s">
        <v>6352</v>
      </c>
      <c r="H11962" s="11">
        <v>42047</v>
      </c>
      <c r="I11962" s="10">
        <v>2015</v>
      </c>
      <c r="J11962" s="10" t="s">
        <v>14057</v>
      </c>
      <c r="K11962" s="10">
        <v>156</v>
      </c>
      <c r="L11962" s="10" t="s">
        <v>51128</v>
      </c>
      <c r="M11962" s="10">
        <v>1</v>
      </c>
      <c r="N11962" s="10"/>
      <c r="O11962" s="10"/>
      <c r="P11962" s="10" t="s">
        <v>51129</v>
      </c>
      <c r="Q11962" s="10">
        <v>372.21</v>
      </c>
      <c r="R11962" s="10" t="s">
        <v>51130</v>
      </c>
      <c r="S11962" s="10" t="s">
        <v>53</v>
      </c>
      <c r="T11962" s="10" t="s">
        <v>54</v>
      </c>
    </row>
    <row r="11963" spans="1:20" ht="14.5" x14ac:dyDescent="0.35">
      <c r="A11963" s="10" t="s">
        <v>51131</v>
      </c>
      <c r="B11963" s="10" t="str">
        <f>"9781642670844"</f>
        <v>9781642670844</v>
      </c>
      <c r="C11963" s="10" t="str">
        <f>"9781000971590"</f>
        <v>9781000971590</v>
      </c>
      <c r="D11963" s="10" t="s">
        <v>6350</v>
      </c>
      <c r="E11963" s="10" t="s">
        <v>6351</v>
      </c>
      <c r="F11963" s="10" t="s">
        <v>748</v>
      </c>
      <c r="G11963" s="10" t="s">
        <v>6352</v>
      </c>
      <c r="H11963" s="11">
        <v>43917</v>
      </c>
      <c r="I11963" s="10">
        <v>2020</v>
      </c>
      <c r="J11963" s="10" t="s">
        <v>6351</v>
      </c>
      <c r="K11963" s="10">
        <v>200</v>
      </c>
      <c r="L11963" s="10" t="s">
        <v>51132</v>
      </c>
      <c r="M11963" s="10">
        <v>1</v>
      </c>
      <c r="N11963" s="10"/>
      <c r="O11963" s="10"/>
      <c r="P11963" s="10" t="s">
        <v>51133</v>
      </c>
      <c r="Q11963" s="10">
        <v>371.33499999999998</v>
      </c>
      <c r="R11963" s="10" t="s">
        <v>51134</v>
      </c>
      <c r="S11963" s="10" t="s">
        <v>53</v>
      </c>
      <c r="T11963" s="10" t="s">
        <v>54</v>
      </c>
    </row>
    <row r="11964" spans="1:20" ht="14.5" x14ac:dyDescent="0.35">
      <c r="A11964" s="10" t="s">
        <v>51135</v>
      </c>
      <c r="B11964" s="10" t="str">
        <f>"9781119572053"</f>
        <v>9781119572053</v>
      </c>
      <c r="C11964" s="10" t="str">
        <f>"9781119572091"</f>
        <v>9781119572091</v>
      </c>
      <c r="D11964" s="10" t="s">
        <v>6322</v>
      </c>
      <c r="E11964" s="10" t="s">
        <v>6323</v>
      </c>
      <c r="F11964" s="10" t="s">
        <v>4423</v>
      </c>
      <c r="G11964" s="10" t="s">
        <v>6317</v>
      </c>
      <c r="H11964" s="11">
        <v>43949</v>
      </c>
      <c r="I11964" s="10">
        <v>2020</v>
      </c>
      <c r="J11964" s="10" t="s">
        <v>6324</v>
      </c>
      <c r="K11964" s="10">
        <v>465</v>
      </c>
      <c r="L11964" s="10" t="s">
        <v>51136</v>
      </c>
      <c r="M11964" s="10">
        <v>1</v>
      </c>
      <c r="N11964" s="10" t="s">
        <v>51137</v>
      </c>
      <c r="O11964" s="10"/>
      <c r="P11964" s="10" t="s">
        <v>51138</v>
      </c>
      <c r="Q11964" s="10"/>
      <c r="R11964" s="10" t="s">
        <v>51139</v>
      </c>
      <c r="S11964" s="10" t="s">
        <v>53</v>
      </c>
      <c r="T11964" s="10" t="s">
        <v>54</v>
      </c>
    </row>
    <row r="11965" spans="1:20" ht="14.5" x14ac:dyDescent="0.35">
      <c r="A11965" s="10" t="s">
        <v>51140</v>
      </c>
      <c r="B11965" s="10" t="str">
        <f>"9781119570103"</f>
        <v>9781119570103</v>
      </c>
      <c r="C11965" s="10" t="str">
        <f>"9781119570196"</f>
        <v>9781119570196</v>
      </c>
      <c r="D11965" s="10" t="s">
        <v>6322</v>
      </c>
      <c r="E11965" s="10" t="s">
        <v>6323</v>
      </c>
      <c r="F11965" s="10" t="s">
        <v>4423</v>
      </c>
      <c r="G11965" s="10" t="s">
        <v>6317</v>
      </c>
      <c r="H11965" s="11">
        <v>43949</v>
      </c>
      <c r="I11965" s="10">
        <v>2020</v>
      </c>
      <c r="J11965" s="10" t="s">
        <v>6324</v>
      </c>
      <c r="K11965" s="10">
        <v>595</v>
      </c>
      <c r="L11965" s="10" t="s">
        <v>51141</v>
      </c>
      <c r="M11965" s="10">
        <v>1</v>
      </c>
      <c r="N11965" s="10" t="s">
        <v>51137</v>
      </c>
      <c r="O11965" s="10"/>
      <c r="P11965" s="10"/>
      <c r="Q11965" s="10"/>
      <c r="R11965" s="10" t="s">
        <v>51142</v>
      </c>
      <c r="S11965" s="10" t="s">
        <v>53</v>
      </c>
      <c r="T11965" s="10" t="s">
        <v>54</v>
      </c>
    </row>
    <row r="11966" spans="1:20" ht="14.5" x14ac:dyDescent="0.35">
      <c r="A11966" s="10" t="s">
        <v>51143</v>
      </c>
      <c r="B11966" s="10" t="str">
        <f>"9781119686774"</f>
        <v>9781119686774</v>
      </c>
      <c r="C11966" s="10" t="str">
        <f>"9781119686866"</f>
        <v>9781119686866</v>
      </c>
      <c r="D11966" s="10" t="s">
        <v>6322</v>
      </c>
      <c r="E11966" s="10" t="s">
        <v>6323</v>
      </c>
      <c r="F11966" s="10" t="s">
        <v>4423</v>
      </c>
      <c r="G11966" s="10" t="s">
        <v>6317</v>
      </c>
      <c r="H11966" s="11">
        <v>43956</v>
      </c>
      <c r="I11966" s="10">
        <v>2020</v>
      </c>
      <c r="J11966" s="10" t="s">
        <v>6324</v>
      </c>
      <c r="K11966" s="10">
        <v>435</v>
      </c>
      <c r="L11966" s="10" t="s">
        <v>40376</v>
      </c>
      <c r="M11966" s="10">
        <v>2</v>
      </c>
      <c r="N11966" s="10"/>
      <c r="O11966" s="10"/>
      <c r="P11966" s="10"/>
      <c r="Q11966" s="10" t="s">
        <v>9298</v>
      </c>
      <c r="R11966" s="10" t="s">
        <v>46865</v>
      </c>
      <c r="S11966" s="10" t="s">
        <v>53</v>
      </c>
      <c r="T11966" s="10" t="s">
        <v>54</v>
      </c>
    </row>
    <row r="11967" spans="1:20" ht="14.5" x14ac:dyDescent="0.35">
      <c r="A11967" s="10" t="s">
        <v>51144</v>
      </c>
      <c r="B11967" s="10" t="str">
        <f>"9781119573296"</f>
        <v>9781119573296</v>
      </c>
      <c r="C11967" s="10" t="str">
        <f>"9781119573241"</f>
        <v>9781119573241</v>
      </c>
      <c r="D11967" s="10" t="s">
        <v>6322</v>
      </c>
      <c r="E11967" s="10" t="s">
        <v>6323</v>
      </c>
      <c r="F11967" s="10" t="s">
        <v>4423</v>
      </c>
      <c r="G11967" s="10" t="s">
        <v>6317</v>
      </c>
      <c r="H11967" s="11">
        <v>43949</v>
      </c>
      <c r="I11967" s="10">
        <v>2020</v>
      </c>
      <c r="J11967" s="10" t="s">
        <v>6324</v>
      </c>
      <c r="K11967" s="10">
        <v>537</v>
      </c>
      <c r="L11967" s="10" t="s">
        <v>51145</v>
      </c>
      <c r="M11967" s="10">
        <v>1</v>
      </c>
      <c r="N11967" s="10" t="s">
        <v>51137</v>
      </c>
      <c r="O11967" s="10"/>
      <c r="P11967" s="10" t="s">
        <v>51146</v>
      </c>
      <c r="Q11967" s="10">
        <v>510.71199999999999</v>
      </c>
      <c r="R11967" s="10" t="s">
        <v>51147</v>
      </c>
      <c r="S11967" s="10" t="s">
        <v>53</v>
      </c>
      <c r="T11967" s="10" t="s">
        <v>389</v>
      </c>
    </row>
    <row r="11968" spans="1:20" ht="14.5" x14ac:dyDescent="0.35">
      <c r="A11968" s="10" t="s">
        <v>51148</v>
      </c>
      <c r="B11968" s="10" t="str">
        <f>"9781118736500"</f>
        <v>9781118736500</v>
      </c>
      <c r="C11968" s="10" t="str">
        <f>"9781118736708"</f>
        <v>9781118736708</v>
      </c>
      <c r="D11968" s="10" t="s">
        <v>6322</v>
      </c>
      <c r="E11968" s="10" t="s">
        <v>6323</v>
      </c>
      <c r="F11968" s="10" t="s">
        <v>4423</v>
      </c>
      <c r="G11968" s="10" t="s">
        <v>6317</v>
      </c>
      <c r="H11968" s="11">
        <v>43921</v>
      </c>
      <c r="I11968" s="10">
        <v>2020</v>
      </c>
      <c r="J11968" s="10" t="s">
        <v>8436</v>
      </c>
      <c r="K11968" s="10">
        <v>203</v>
      </c>
      <c r="L11968" s="10" t="s">
        <v>51149</v>
      </c>
      <c r="M11968" s="10">
        <v>1</v>
      </c>
      <c r="N11968" s="10"/>
      <c r="O11968" s="10"/>
      <c r="P11968" s="10"/>
      <c r="Q11968" s="10">
        <v>302.34300000000002</v>
      </c>
      <c r="R11968" s="10" t="s">
        <v>51150</v>
      </c>
      <c r="S11968" s="10" t="s">
        <v>53</v>
      </c>
      <c r="T11968" s="10" t="s">
        <v>6363</v>
      </c>
    </row>
    <row r="11969" spans="1:20" ht="14.5" x14ac:dyDescent="0.35">
      <c r="A11969" s="10" t="s">
        <v>51151</v>
      </c>
      <c r="B11969" s="10" t="str">
        <f>""</f>
        <v/>
      </c>
      <c r="C11969" s="10" t="str">
        <f>"9783838272788"</f>
        <v>9783838272788</v>
      </c>
      <c r="D11969" s="10" t="s">
        <v>27189</v>
      </c>
      <c r="E11969" s="10" t="s">
        <v>28981</v>
      </c>
      <c r="F11969" s="10" t="s">
        <v>2925</v>
      </c>
      <c r="G11969" s="10" t="s">
        <v>9998</v>
      </c>
      <c r="H11969" s="11">
        <v>43769</v>
      </c>
      <c r="I11969" s="10">
        <v>2019</v>
      </c>
      <c r="J11969" s="10" t="s">
        <v>28981</v>
      </c>
      <c r="K11969" s="10">
        <v>221</v>
      </c>
      <c r="L11969" s="10" t="s">
        <v>51152</v>
      </c>
      <c r="M11969" s="10"/>
      <c r="N11969" s="10"/>
      <c r="O11969" s="10"/>
      <c r="P11969" s="10" t="s">
        <v>51153</v>
      </c>
      <c r="Q11969" s="10">
        <v>177.62</v>
      </c>
      <c r="R11969" s="10" t="s">
        <v>51154</v>
      </c>
      <c r="S11969" s="10" t="s">
        <v>1519</v>
      </c>
      <c r="T11969" s="10" t="s">
        <v>6534</v>
      </c>
    </row>
    <row r="11970" spans="1:20" ht="14.5" x14ac:dyDescent="0.35">
      <c r="A11970" s="10" t="s">
        <v>51155</v>
      </c>
      <c r="B11970" s="10" t="str">
        <f>"9781416628934"</f>
        <v>9781416628934</v>
      </c>
      <c r="C11970" s="10" t="str">
        <f>"9781416628965"</f>
        <v>9781416628965</v>
      </c>
      <c r="D11970" s="10" t="s">
        <v>10014</v>
      </c>
      <c r="E11970" s="10" t="s">
        <v>10015</v>
      </c>
      <c r="F11970" s="10" t="s">
        <v>201</v>
      </c>
      <c r="G11970" s="10" t="s">
        <v>6317</v>
      </c>
      <c r="H11970" s="11">
        <v>43951</v>
      </c>
      <c r="I11970" s="10">
        <v>2020</v>
      </c>
      <c r="J11970" s="10" t="s">
        <v>10015</v>
      </c>
      <c r="K11970" s="10">
        <v>185</v>
      </c>
      <c r="L11970" s="10" t="s">
        <v>51156</v>
      </c>
      <c r="M11970" s="10">
        <v>1</v>
      </c>
      <c r="N11970" s="10"/>
      <c r="O11970" s="10"/>
      <c r="P11970" s="10" t="s">
        <v>51157</v>
      </c>
      <c r="Q11970" s="10">
        <v>370.154</v>
      </c>
      <c r="R11970" s="10" t="s">
        <v>22655</v>
      </c>
      <c r="S11970" s="10" t="s">
        <v>53</v>
      </c>
      <c r="T11970" s="10" t="s">
        <v>54</v>
      </c>
    </row>
    <row r="11971" spans="1:20" ht="14.5" x14ac:dyDescent="0.35">
      <c r="A11971" s="10" t="s">
        <v>51158</v>
      </c>
      <c r="B11971" s="10" t="str">
        <f>"9789004423183"</f>
        <v>9789004423183</v>
      </c>
      <c r="C11971" s="10" t="str">
        <f>"9789004432215"</f>
        <v>9789004432215</v>
      </c>
      <c r="D11971" s="10" t="s">
        <v>8564</v>
      </c>
      <c r="E11971" s="10" t="s">
        <v>8565</v>
      </c>
      <c r="F11971" s="10" t="s">
        <v>1420</v>
      </c>
      <c r="G11971" s="10" t="s">
        <v>6317</v>
      </c>
      <c r="H11971" s="11">
        <v>43923</v>
      </c>
      <c r="I11971" s="10">
        <v>2020</v>
      </c>
      <c r="J11971" s="10" t="s">
        <v>33259</v>
      </c>
      <c r="K11971" s="10">
        <v>139</v>
      </c>
      <c r="L11971" s="10" t="s">
        <v>51159</v>
      </c>
      <c r="M11971" s="10">
        <v>1</v>
      </c>
      <c r="N11971" s="10" t="s">
        <v>50983</v>
      </c>
      <c r="O11971" s="10">
        <v>2</v>
      </c>
      <c r="P11971" s="10"/>
      <c r="Q11971" s="10"/>
      <c r="R11971" s="10" t="s">
        <v>33311</v>
      </c>
      <c r="S11971" s="10" t="s">
        <v>53</v>
      </c>
      <c r="T11971" s="10" t="s">
        <v>54</v>
      </c>
    </row>
    <row r="11972" spans="1:20" ht="14.5" x14ac:dyDescent="0.35">
      <c r="A11972" s="10" t="s">
        <v>51160</v>
      </c>
      <c r="B11972" s="10" t="str">
        <f>"9781416629009"</f>
        <v>9781416629009</v>
      </c>
      <c r="C11972" s="10" t="str">
        <f>"9781416629023"</f>
        <v>9781416629023</v>
      </c>
      <c r="D11972" s="10" t="s">
        <v>10014</v>
      </c>
      <c r="E11972" s="10" t="s">
        <v>10015</v>
      </c>
      <c r="F11972" s="10" t="s">
        <v>201</v>
      </c>
      <c r="G11972" s="10" t="s">
        <v>6317</v>
      </c>
      <c r="H11972" s="11">
        <v>43951</v>
      </c>
      <c r="I11972" s="10">
        <v>2020</v>
      </c>
      <c r="J11972" s="10" t="s">
        <v>10015</v>
      </c>
      <c r="K11972" s="10">
        <v>225</v>
      </c>
      <c r="L11972" s="10" t="s">
        <v>51161</v>
      </c>
      <c r="M11972" s="10">
        <v>2</v>
      </c>
      <c r="N11972" s="10"/>
      <c r="O11972" s="10"/>
      <c r="P11972" s="10" t="s">
        <v>51162</v>
      </c>
      <c r="Q11972" s="10">
        <v>371.82694209729999</v>
      </c>
      <c r="R11972" s="10" t="s">
        <v>51163</v>
      </c>
      <c r="S11972" s="10" t="s">
        <v>53</v>
      </c>
      <c r="T11972" s="10" t="s">
        <v>54</v>
      </c>
    </row>
    <row r="11973" spans="1:20" ht="14.5" x14ac:dyDescent="0.35">
      <c r="A11973" s="10" t="s">
        <v>51164</v>
      </c>
      <c r="B11973" s="10" t="str">
        <f>""</f>
        <v/>
      </c>
      <c r="C11973" s="10" t="str">
        <f>"9781975502850"</f>
        <v>9781975502850</v>
      </c>
      <c r="D11973" s="10" t="s">
        <v>44271</v>
      </c>
      <c r="E11973" s="10" t="s">
        <v>47266</v>
      </c>
      <c r="F11973" s="10" t="s">
        <v>41227</v>
      </c>
      <c r="G11973" s="10" t="s">
        <v>6317</v>
      </c>
      <c r="H11973" s="11">
        <v>43907</v>
      </c>
      <c r="I11973" s="10">
        <v>2020</v>
      </c>
      <c r="J11973" s="10" t="s">
        <v>47266</v>
      </c>
      <c r="K11973" s="10">
        <v>149</v>
      </c>
      <c r="L11973" s="10" t="s">
        <v>51165</v>
      </c>
      <c r="M11973" s="10">
        <v>1</v>
      </c>
      <c r="N11973" s="10" t="s">
        <v>51166</v>
      </c>
      <c r="O11973" s="10">
        <v>3</v>
      </c>
      <c r="P11973" s="10" t="s">
        <v>51167</v>
      </c>
      <c r="Q11973" s="10">
        <v>1.42</v>
      </c>
      <c r="R11973" s="10" t="s">
        <v>19520</v>
      </c>
      <c r="S11973" s="10" t="s">
        <v>53</v>
      </c>
      <c r="T11973" s="10" t="s">
        <v>19372</v>
      </c>
    </row>
    <row r="11974" spans="1:20" ht="14.5" x14ac:dyDescent="0.35">
      <c r="A11974" s="10" t="s">
        <v>51168</v>
      </c>
      <c r="B11974" s="10" t="str">
        <f>"9781947604858"</f>
        <v>9781947604858</v>
      </c>
      <c r="C11974" s="10" t="str">
        <f>"9781947604865"</f>
        <v>9781947604865</v>
      </c>
      <c r="D11974" s="10" t="s">
        <v>37580</v>
      </c>
      <c r="E11974" s="10" t="s">
        <v>37581</v>
      </c>
      <c r="F11974" s="10" t="s">
        <v>37623</v>
      </c>
      <c r="G11974" s="10" t="s">
        <v>6317</v>
      </c>
      <c r="H11974" s="11">
        <v>43952</v>
      </c>
      <c r="I11974" s="10">
        <v>2020</v>
      </c>
      <c r="J11974" s="10" t="s">
        <v>37581</v>
      </c>
      <c r="K11974" s="10">
        <v>256</v>
      </c>
      <c r="L11974" s="10" t="s">
        <v>51169</v>
      </c>
      <c r="M11974" s="10">
        <v>1</v>
      </c>
      <c r="N11974" s="10"/>
      <c r="O11974" s="10"/>
      <c r="P11974" s="10" t="s">
        <v>51170</v>
      </c>
      <c r="Q11974" s="10"/>
      <c r="R11974" s="10" t="s">
        <v>51171</v>
      </c>
      <c r="S11974" s="10" t="s">
        <v>53</v>
      </c>
      <c r="T11974" s="10" t="s">
        <v>54</v>
      </c>
    </row>
    <row r="11975" spans="1:20" ht="14.5" x14ac:dyDescent="0.35">
      <c r="A11975" s="10" t="s">
        <v>51172</v>
      </c>
      <c r="B11975" s="10" t="str">
        <f>"9781947604131"</f>
        <v>9781947604131</v>
      </c>
      <c r="C11975" s="10" t="str">
        <f>"9781947604148"</f>
        <v>9781947604148</v>
      </c>
      <c r="D11975" s="10" t="s">
        <v>37580</v>
      </c>
      <c r="E11975" s="10" t="s">
        <v>37581</v>
      </c>
      <c r="F11975" s="10" t="s">
        <v>37623</v>
      </c>
      <c r="G11975" s="10" t="s">
        <v>6317</v>
      </c>
      <c r="H11975" s="11">
        <v>43959</v>
      </c>
      <c r="I11975" s="10">
        <v>2020</v>
      </c>
      <c r="J11975" s="10" t="s">
        <v>37581</v>
      </c>
      <c r="K11975" s="10">
        <v>296</v>
      </c>
      <c r="L11975" s="10" t="s">
        <v>37640</v>
      </c>
      <c r="M11975" s="10">
        <v>1</v>
      </c>
      <c r="N11975" s="10"/>
      <c r="O11975" s="10"/>
      <c r="P11975" s="10" t="s">
        <v>51173</v>
      </c>
      <c r="Q11975" s="10"/>
      <c r="R11975" s="10" t="s">
        <v>51174</v>
      </c>
      <c r="S11975" s="10" t="s">
        <v>53</v>
      </c>
      <c r="T11975" s="10" t="s">
        <v>54</v>
      </c>
    </row>
    <row r="11976" spans="1:20" ht="14.5" x14ac:dyDescent="0.35">
      <c r="A11976" s="10" t="s">
        <v>51175</v>
      </c>
      <c r="B11976" s="10" t="str">
        <f>"9781949539677"</f>
        <v>9781949539677</v>
      </c>
      <c r="C11976" s="10" t="str">
        <f>"9781949539684"</f>
        <v>9781949539684</v>
      </c>
      <c r="D11976" s="10" t="s">
        <v>37580</v>
      </c>
      <c r="E11976" s="10" t="s">
        <v>37581</v>
      </c>
      <c r="F11976" s="10" t="s">
        <v>37623</v>
      </c>
      <c r="G11976" s="10" t="s">
        <v>6317</v>
      </c>
      <c r="H11976" s="11">
        <v>43970</v>
      </c>
      <c r="I11976" s="10">
        <v>2020</v>
      </c>
      <c r="J11976" s="10" t="s">
        <v>37581</v>
      </c>
      <c r="K11976" s="10">
        <v>192</v>
      </c>
      <c r="L11976" s="10" t="s">
        <v>51176</v>
      </c>
      <c r="M11976" s="10">
        <v>1</v>
      </c>
      <c r="N11976" s="10"/>
      <c r="O11976" s="10"/>
      <c r="P11976" s="10" t="s">
        <v>51177</v>
      </c>
      <c r="Q11976" s="10">
        <v>370.11309729999999</v>
      </c>
      <c r="R11976" s="10" t="s">
        <v>51178</v>
      </c>
      <c r="S11976" s="10" t="s">
        <v>53</v>
      </c>
      <c r="T11976" s="10" t="s">
        <v>54</v>
      </c>
    </row>
    <row r="11977" spans="1:20" ht="14.5" x14ac:dyDescent="0.35">
      <c r="A11977" s="10" t="s">
        <v>51179</v>
      </c>
      <c r="B11977" s="10" t="str">
        <f>"9781838671419"</f>
        <v>9781838671419</v>
      </c>
      <c r="C11977" s="10" t="str">
        <f>"9781838671389"</f>
        <v>9781838671389</v>
      </c>
      <c r="D11977" s="10" t="s">
        <v>8699</v>
      </c>
      <c r="E11977" s="10" t="s">
        <v>8699</v>
      </c>
      <c r="F11977" s="10" t="s">
        <v>559</v>
      </c>
      <c r="G11977" s="10" t="s">
        <v>6352</v>
      </c>
      <c r="H11977" s="11">
        <v>43952</v>
      </c>
      <c r="I11977" s="10">
        <v>2020</v>
      </c>
      <c r="J11977" s="10" t="s">
        <v>8699</v>
      </c>
      <c r="K11977" s="10">
        <v>257</v>
      </c>
      <c r="L11977" s="10" t="s">
        <v>51180</v>
      </c>
      <c r="M11977" s="10">
        <v>1</v>
      </c>
      <c r="N11977" s="10"/>
      <c r="O11977" s="10"/>
      <c r="P11977" s="10" t="s">
        <v>26825</v>
      </c>
      <c r="Q11977" s="10">
        <v>378.19781999999998</v>
      </c>
      <c r="R11977" s="10" t="s">
        <v>51181</v>
      </c>
      <c r="S11977" s="10" t="s">
        <v>53</v>
      </c>
      <c r="T11977" s="10" t="s">
        <v>54</v>
      </c>
    </row>
    <row r="11978" spans="1:20" ht="14.5" x14ac:dyDescent="0.35">
      <c r="A11978" s="10" t="s">
        <v>51182</v>
      </c>
      <c r="B11978" s="10" t="str">
        <f>"9780253054937"</f>
        <v>9780253054937</v>
      </c>
      <c r="C11978" s="10" t="str">
        <f>"9780253054944"</f>
        <v>9780253054944</v>
      </c>
      <c r="D11978" s="10" t="s">
        <v>2455</v>
      </c>
      <c r="E11978" s="10" t="s">
        <v>2455</v>
      </c>
      <c r="F11978" s="10" t="s">
        <v>3101</v>
      </c>
      <c r="G11978" s="10" t="s">
        <v>6317</v>
      </c>
      <c r="H11978" s="11">
        <v>43984</v>
      </c>
      <c r="I11978" s="10">
        <v>2020</v>
      </c>
      <c r="J11978" s="10" t="s">
        <v>2455</v>
      </c>
      <c r="K11978" s="10">
        <v>193</v>
      </c>
      <c r="L11978" s="10" t="s">
        <v>51183</v>
      </c>
      <c r="M11978" s="10"/>
      <c r="N11978" s="10" t="s">
        <v>51184</v>
      </c>
      <c r="O11978" s="10"/>
      <c r="P11978" s="10" t="s">
        <v>51185</v>
      </c>
      <c r="Q11978" s="10">
        <v>69.09772255</v>
      </c>
      <c r="R11978" s="10" t="s">
        <v>51186</v>
      </c>
      <c r="S11978" s="10" t="s">
        <v>53</v>
      </c>
      <c r="T11978" s="10" t="s">
        <v>6410</v>
      </c>
    </row>
    <row r="11979" spans="1:20" ht="14.5" x14ac:dyDescent="0.35">
      <c r="A11979" s="10" t="s">
        <v>51187</v>
      </c>
      <c r="B11979" s="10" t="str">
        <f>"9789814881678"</f>
        <v>9789814881678</v>
      </c>
      <c r="C11979" s="10" t="str">
        <f>"9789814881685"</f>
        <v>9789814881685</v>
      </c>
      <c r="D11979" s="10" t="s">
        <v>24757</v>
      </c>
      <c r="E11979" s="10" t="s">
        <v>24757</v>
      </c>
      <c r="F11979" s="10" t="s">
        <v>549</v>
      </c>
      <c r="G11979" s="10" t="s">
        <v>8573</v>
      </c>
      <c r="H11979" s="11">
        <v>43951</v>
      </c>
      <c r="I11979" s="10">
        <v>2020</v>
      </c>
      <c r="J11979" s="10" t="s">
        <v>24757</v>
      </c>
      <c r="K11979" s="10">
        <v>39</v>
      </c>
      <c r="L11979" s="10" t="s">
        <v>51188</v>
      </c>
      <c r="M11979" s="10">
        <v>1</v>
      </c>
      <c r="N11979" s="10"/>
      <c r="O11979" s="10"/>
      <c r="P11979" s="10" t="s">
        <v>51189</v>
      </c>
      <c r="Q11979" s="10">
        <v>378.36200000000002</v>
      </c>
      <c r="R11979" s="10" t="s">
        <v>51190</v>
      </c>
      <c r="S11979" s="10" t="s">
        <v>53</v>
      </c>
      <c r="T11979" s="10" t="s">
        <v>54</v>
      </c>
    </row>
    <row r="11980" spans="1:20" ht="14.5" x14ac:dyDescent="0.35">
      <c r="A11980" s="10" t="s">
        <v>51191</v>
      </c>
      <c r="B11980" s="10" t="str">
        <f>"9789004429123"</f>
        <v>9789004429123</v>
      </c>
      <c r="C11980" s="10" t="str">
        <f>"9789004431263"</f>
        <v>9789004431263</v>
      </c>
      <c r="D11980" s="10" t="s">
        <v>8564</v>
      </c>
      <c r="E11980" s="10" t="s">
        <v>8565</v>
      </c>
      <c r="F11980" s="10" t="s">
        <v>1420</v>
      </c>
      <c r="G11980" s="10" t="s">
        <v>6317</v>
      </c>
      <c r="H11980" s="11">
        <v>43944</v>
      </c>
      <c r="I11980" s="10">
        <v>2020</v>
      </c>
      <c r="J11980" s="10" t="s">
        <v>33259</v>
      </c>
      <c r="K11980" s="10">
        <v>233</v>
      </c>
      <c r="L11980" s="10" t="s">
        <v>51192</v>
      </c>
      <c r="M11980" s="10">
        <v>1</v>
      </c>
      <c r="N11980" s="10" t="s">
        <v>51193</v>
      </c>
      <c r="O11980" s="10">
        <v>4</v>
      </c>
      <c r="P11980" s="10"/>
      <c r="Q11980" s="10"/>
      <c r="R11980" s="10"/>
      <c r="S11980" s="10" t="s">
        <v>53</v>
      </c>
      <c r="T11980" s="10" t="s">
        <v>54</v>
      </c>
    </row>
    <row r="11981" spans="1:20" ht="14.5" x14ac:dyDescent="0.35">
      <c r="A11981" s="10" t="s">
        <v>51194</v>
      </c>
      <c r="B11981" s="10" t="str">
        <f>"9789004403376"</f>
        <v>9789004403376</v>
      </c>
      <c r="C11981" s="10" t="str">
        <f>"9781848880276"</f>
        <v>9781848880276</v>
      </c>
      <c r="D11981" s="10" t="s">
        <v>8564</v>
      </c>
      <c r="E11981" s="10" t="s">
        <v>8565</v>
      </c>
      <c r="F11981" s="10" t="s">
        <v>1420</v>
      </c>
      <c r="G11981" s="10" t="s">
        <v>6317</v>
      </c>
      <c r="H11981" s="11">
        <v>43949</v>
      </c>
      <c r="I11981" s="10">
        <v>2010</v>
      </c>
      <c r="J11981" s="10" t="s">
        <v>8565</v>
      </c>
      <c r="K11981" s="10">
        <v>180</v>
      </c>
      <c r="L11981" s="10" t="s">
        <v>51195</v>
      </c>
      <c r="M11981" s="10">
        <v>1</v>
      </c>
      <c r="N11981" s="10"/>
      <c r="O11981" s="10"/>
      <c r="P11981" s="10"/>
      <c r="Q11981" s="10"/>
      <c r="R11981" s="10"/>
      <c r="S11981" s="10" t="s">
        <v>53</v>
      </c>
      <c r="T11981" s="10" t="s">
        <v>6526</v>
      </c>
    </row>
    <row r="11982" spans="1:20" ht="14.5" x14ac:dyDescent="0.35">
      <c r="A11982" s="10" t="s">
        <v>51196</v>
      </c>
      <c r="B11982" s="10" t="str">
        <f>"9780367476489"</f>
        <v>9780367476489</v>
      </c>
      <c r="C11982" s="10" t="str">
        <f>"9781000059632"</f>
        <v>9781000059632</v>
      </c>
      <c r="D11982" s="10" t="s">
        <v>6350</v>
      </c>
      <c r="E11982" s="10" t="s">
        <v>6351</v>
      </c>
      <c r="F11982" s="10" t="s">
        <v>3967</v>
      </c>
      <c r="G11982" s="10" t="s">
        <v>6352</v>
      </c>
      <c r="H11982" s="11">
        <v>43965</v>
      </c>
      <c r="I11982" s="10">
        <v>2020</v>
      </c>
      <c r="J11982" s="10" t="s">
        <v>50198</v>
      </c>
      <c r="K11982" s="10">
        <v>305</v>
      </c>
      <c r="L11982" s="10" t="s">
        <v>51197</v>
      </c>
      <c r="M11982" s="10">
        <v>1</v>
      </c>
      <c r="N11982" s="10"/>
      <c r="O11982" s="10"/>
      <c r="P11982" s="10" t="s">
        <v>51198</v>
      </c>
      <c r="Q11982" s="10">
        <v>5.8</v>
      </c>
      <c r="R11982" s="10" t="s">
        <v>51199</v>
      </c>
      <c r="S11982" s="10" t="s">
        <v>53</v>
      </c>
      <c r="T11982" s="10" t="s">
        <v>19959</v>
      </c>
    </row>
    <row r="11983" spans="1:20" ht="14.5" x14ac:dyDescent="0.35">
      <c r="A11983" s="10" t="s">
        <v>51200</v>
      </c>
      <c r="B11983" s="10" t="str">
        <f>"9781119590651"</f>
        <v>9781119590651</v>
      </c>
      <c r="C11983" s="10" t="str">
        <f>"9781119590682"</f>
        <v>9781119590682</v>
      </c>
      <c r="D11983" s="10" t="s">
        <v>6322</v>
      </c>
      <c r="E11983" s="10" t="s">
        <v>6323</v>
      </c>
      <c r="F11983" s="10" t="s">
        <v>4423</v>
      </c>
      <c r="G11983" s="10" t="s">
        <v>6317</v>
      </c>
      <c r="H11983" s="11">
        <v>43963</v>
      </c>
      <c r="I11983" s="10">
        <v>2020</v>
      </c>
      <c r="J11983" s="10" t="s">
        <v>6324</v>
      </c>
      <c r="K11983" s="10">
        <v>631</v>
      </c>
      <c r="L11983" s="10" t="s">
        <v>51201</v>
      </c>
      <c r="M11983" s="10">
        <v>1</v>
      </c>
      <c r="N11983" s="10"/>
      <c r="O11983" s="10"/>
      <c r="P11983" s="10"/>
      <c r="Q11983" s="10">
        <v>500</v>
      </c>
      <c r="R11983" s="10" t="s">
        <v>51202</v>
      </c>
      <c r="S11983" s="10" t="s">
        <v>53</v>
      </c>
      <c r="T11983" s="10" t="s">
        <v>21206</v>
      </c>
    </row>
    <row r="11984" spans="1:20" ht="14.5" x14ac:dyDescent="0.35">
      <c r="A11984" s="10" t="s">
        <v>51203</v>
      </c>
      <c r="B11984" s="10" t="str">
        <f>""</f>
        <v/>
      </c>
      <c r="C11984" s="10" t="str">
        <f>"9781564848437"</f>
        <v>9781564848437</v>
      </c>
      <c r="D11984" s="10" t="s">
        <v>9533</v>
      </c>
      <c r="E11984" s="10" t="s">
        <v>45783</v>
      </c>
      <c r="F11984" s="10" t="s">
        <v>25348</v>
      </c>
      <c r="G11984" s="10" t="s">
        <v>6317</v>
      </c>
      <c r="H11984" s="11">
        <v>43956</v>
      </c>
      <c r="I11984" s="10">
        <v>2020</v>
      </c>
      <c r="J11984" s="10" t="s">
        <v>45783</v>
      </c>
      <c r="K11984" s="10">
        <v>183</v>
      </c>
      <c r="L11984" s="10" t="s">
        <v>51204</v>
      </c>
      <c r="M11984" s="10">
        <v>1</v>
      </c>
      <c r="N11984" s="10"/>
      <c r="O11984" s="10"/>
      <c r="P11984" s="10" t="s">
        <v>51205</v>
      </c>
      <c r="Q11984" s="10">
        <v>371.3</v>
      </c>
      <c r="R11984" s="10" t="s">
        <v>45623</v>
      </c>
      <c r="S11984" s="10" t="s">
        <v>53</v>
      </c>
      <c r="T11984" s="10" t="s">
        <v>54</v>
      </c>
    </row>
    <row r="11985" spans="1:20" ht="14.5" x14ac:dyDescent="0.35">
      <c r="A11985" s="10" t="s">
        <v>51206</v>
      </c>
      <c r="B11985" s="10" t="str">
        <f>"9780367349790"</f>
        <v>9780367349790</v>
      </c>
      <c r="C11985" s="10" t="str">
        <f>"9781000053555"</f>
        <v>9781000053555</v>
      </c>
      <c r="D11985" s="10" t="s">
        <v>6350</v>
      </c>
      <c r="E11985" s="10" t="s">
        <v>6351</v>
      </c>
      <c r="F11985" s="10" t="s">
        <v>3967</v>
      </c>
      <c r="G11985" s="10" t="s">
        <v>6352</v>
      </c>
      <c r="H11985" s="11">
        <v>43949</v>
      </c>
      <c r="I11985" s="10">
        <v>2020</v>
      </c>
      <c r="J11985" s="10" t="s">
        <v>6353</v>
      </c>
      <c r="K11985" s="10">
        <v>379</v>
      </c>
      <c r="L11985" s="10" t="s">
        <v>51207</v>
      </c>
      <c r="M11985" s="10">
        <v>4</v>
      </c>
      <c r="N11985" s="10"/>
      <c r="O11985" s="10"/>
      <c r="P11985" s="10" t="s">
        <v>51208</v>
      </c>
      <c r="Q11985" s="10">
        <v>808.00710000000004</v>
      </c>
      <c r="R11985" s="10" t="s">
        <v>51209</v>
      </c>
      <c r="S11985" s="10" t="s">
        <v>53</v>
      </c>
      <c r="T11985" s="10" t="s">
        <v>1166</v>
      </c>
    </row>
    <row r="11986" spans="1:20" ht="14.5" x14ac:dyDescent="0.35">
      <c r="A11986" s="10" t="s">
        <v>51210</v>
      </c>
      <c r="B11986" s="10" t="str">
        <f>"9781951075019"</f>
        <v>9781951075019</v>
      </c>
      <c r="C11986" s="10" t="str">
        <f>"9781951075026"</f>
        <v>9781951075026</v>
      </c>
      <c r="D11986" s="10" t="s">
        <v>37580</v>
      </c>
      <c r="E11986" s="10" t="s">
        <v>37581</v>
      </c>
      <c r="F11986" s="10" t="s">
        <v>37623</v>
      </c>
      <c r="G11986" s="10" t="s">
        <v>6317</v>
      </c>
      <c r="H11986" s="11">
        <v>43959</v>
      </c>
      <c r="I11986" s="10">
        <v>2020</v>
      </c>
      <c r="J11986" s="10" t="s">
        <v>37581</v>
      </c>
      <c r="K11986" s="10">
        <v>224</v>
      </c>
      <c r="L11986" s="10" t="s">
        <v>51211</v>
      </c>
      <c r="M11986" s="10">
        <v>1</v>
      </c>
      <c r="N11986" s="10"/>
      <c r="O11986" s="10"/>
      <c r="P11986" s="10"/>
      <c r="Q11986" s="10">
        <v>306.43</v>
      </c>
      <c r="R11986" s="10"/>
      <c r="S11986" s="10" t="s">
        <v>53</v>
      </c>
      <c r="T11986" s="10" t="s">
        <v>6363</v>
      </c>
    </row>
    <row r="11987" spans="1:20" ht="14.5" x14ac:dyDescent="0.35">
      <c r="A11987" s="10" t="s">
        <v>51212</v>
      </c>
      <c r="B11987" s="10" t="str">
        <f>"9781416629443"</f>
        <v>9781416629443</v>
      </c>
      <c r="C11987" s="10" t="str">
        <f>"9781416629474"</f>
        <v>9781416629474</v>
      </c>
      <c r="D11987" s="10" t="s">
        <v>10014</v>
      </c>
      <c r="E11987" s="10" t="s">
        <v>10015</v>
      </c>
      <c r="F11987" s="10" t="s">
        <v>201</v>
      </c>
      <c r="G11987" s="10" t="s">
        <v>6317</v>
      </c>
      <c r="H11987" s="11">
        <v>43981</v>
      </c>
      <c r="I11987" s="10">
        <v>2020</v>
      </c>
      <c r="J11987" s="10" t="s">
        <v>10015</v>
      </c>
      <c r="K11987" s="10">
        <v>146</v>
      </c>
      <c r="L11987" s="10" t="s">
        <v>15760</v>
      </c>
      <c r="M11987" s="10">
        <v>1</v>
      </c>
      <c r="N11987" s="10"/>
      <c r="O11987" s="10"/>
      <c r="P11987" s="10"/>
      <c r="Q11987" s="10"/>
      <c r="R11987" s="10"/>
      <c r="S11987" s="10" t="s">
        <v>53</v>
      </c>
      <c r="T11987" s="10" t="s">
        <v>54</v>
      </c>
    </row>
    <row r="11988" spans="1:20" ht="14.5" x14ac:dyDescent="0.35">
      <c r="A11988" s="10" t="s">
        <v>51213</v>
      </c>
      <c r="B11988" s="10" t="str">
        <f>"9789027205575"</f>
        <v>9789027205575</v>
      </c>
      <c r="C11988" s="10" t="str">
        <f>"9789027261144"</f>
        <v>9789027261144</v>
      </c>
      <c r="D11988" s="10" t="s">
        <v>17335</v>
      </c>
      <c r="E11988" s="10" t="s">
        <v>17336</v>
      </c>
      <c r="F11988" s="10" t="s">
        <v>17385</v>
      </c>
      <c r="G11988" s="10" t="s">
        <v>9233</v>
      </c>
      <c r="H11988" s="11">
        <v>43986</v>
      </c>
      <c r="I11988" s="10">
        <v>2020</v>
      </c>
      <c r="J11988" s="10" t="s">
        <v>17336</v>
      </c>
      <c r="K11988" s="10">
        <v>324</v>
      </c>
      <c r="L11988" s="10" t="s">
        <v>51214</v>
      </c>
      <c r="M11988" s="10">
        <v>1</v>
      </c>
      <c r="N11988" s="10" t="s">
        <v>17461</v>
      </c>
      <c r="O11988" s="10">
        <v>54</v>
      </c>
      <c r="P11988" s="10" t="s">
        <v>51215</v>
      </c>
      <c r="Q11988" s="10">
        <v>401.93</v>
      </c>
      <c r="R11988" s="10" t="s">
        <v>51216</v>
      </c>
      <c r="S11988" s="10" t="s">
        <v>53</v>
      </c>
      <c r="T11988" s="10" t="s">
        <v>6616</v>
      </c>
    </row>
    <row r="11989" spans="1:20" ht="14.5" x14ac:dyDescent="0.35">
      <c r="A11989" s="10" t="s">
        <v>51217</v>
      </c>
      <c r="B11989" s="10" t="str">
        <f>"9780367076368"</f>
        <v>9780367076368</v>
      </c>
      <c r="C11989" s="10" t="str">
        <f>"9780429664274"</f>
        <v>9780429664274</v>
      </c>
      <c r="D11989" s="10" t="s">
        <v>6350</v>
      </c>
      <c r="E11989" s="10" t="s">
        <v>6351</v>
      </c>
      <c r="F11989" s="10" t="s">
        <v>748</v>
      </c>
      <c r="G11989" s="10" t="s">
        <v>6352</v>
      </c>
      <c r="H11989" s="11">
        <v>43983</v>
      </c>
      <c r="I11989" s="10">
        <v>2020</v>
      </c>
      <c r="J11989" s="10" t="s">
        <v>6351</v>
      </c>
      <c r="K11989" s="10">
        <v>223</v>
      </c>
      <c r="L11989" s="10" t="s">
        <v>51218</v>
      </c>
      <c r="M11989" s="10">
        <v>1</v>
      </c>
      <c r="N11989" s="10"/>
      <c r="O11989" s="10"/>
      <c r="P11989" s="10" t="s">
        <v>51219</v>
      </c>
      <c r="Q11989" s="10">
        <v>371.82691399999999</v>
      </c>
      <c r="R11989" s="10" t="s">
        <v>51220</v>
      </c>
      <c r="S11989" s="10" t="s">
        <v>53</v>
      </c>
      <c r="T11989" s="10" t="s">
        <v>54</v>
      </c>
    </row>
    <row r="11990" spans="1:20" ht="14.5" x14ac:dyDescent="0.35">
      <c r="A11990" s="10" t="s">
        <v>51221</v>
      </c>
      <c r="B11990" s="10" t="str">
        <f>"9782763749112"</f>
        <v>9782763749112</v>
      </c>
      <c r="C11990" s="10" t="str">
        <f>"9782763749129"</f>
        <v>9782763749129</v>
      </c>
      <c r="D11990" s="10" t="s">
        <v>44215</v>
      </c>
      <c r="E11990" s="10" t="s">
        <v>44215</v>
      </c>
      <c r="F11990" s="10" t="s">
        <v>49233</v>
      </c>
      <c r="G11990" s="10" t="s">
        <v>9536</v>
      </c>
      <c r="H11990" s="11">
        <v>44013</v>
      </c>
      <c r="I11990" s="10">
        <v>2020</v>
      </c>
      <c r="J11990" s="10" t="s">
        <v>44215</v>
      </c>
      <c r="K11990" s="10">
        <v>222</v>
      </c>
      <c r="L11990" s="10" t="s">
        <v>51222</v>
      </c>
      <c r="M11990" s="10">
        <v>1</v>
      </c>
      <c r="N11990" s="10"/>
      <c r="O11990" s="10"/>
      <c r="P11990" s="10" t="s">
        <v>51223</v>
      </c>
      <c r="Q11990" s="10">
        <v>370.11399999999998</v>
      </c>
      <c r="R11990" s="10" t="s">
        <v>51224</v>
      </c>
      <c r="S11990" s="10" t="s">
        <v>5404</v>
      </c>
      <c r="T11990" s="10" t="s">
        <v>54</v>
      </c>
    </row>
    <row r="11991" spans="1:20" ht="14.5" x14ac:dyDescent="0.35">
      <c r="A11991" s="10" t="s">
        <v>51225</v>
      </c>
      <c r="B11991" s="10" t="str">
        <f>"9781975502799"</f>
        <v>9781975502799</v>
      </c>
      <c r="C11991" s="10" t="str">
        <f>"9781975502812"</f>
        <v>9781975502812</v>
      </c>
      <c r="D11991" s="10" t="s">
        <v>44271</v>
      </c>
      <c r="E11991" s="10" t="s">
        <v>47266</v>
      </c>
      <c r="F11991" s="10" t="s">
        <v>41227</v>
      </c>
      <c r="G11991" s="10" t="s">
        <v>6317</v>
      </c>
      <c r="H11991" s="11">
        <v>43938</v>
      </c>
      <c r="I11991" s="10">
        <v>2020</v>
      </c>
      <c r="J11991" s="10" t="s">
        <v>47266</v>
      </c>
      <c r="K11991" s="10">
        <v>171</v>
      </c>
      <c r="L11991" s="10" t="s">
        <v>51165</v>
      </c>
      <c r="M11991" s="10">
        <v>1</v>
      </c>
      <c r="N11991" s="10" t="s">
        <v>51166</v>
      </c>
      <c r="O11991" s="10">
        <v>4</v>
      </c>
      <c r="P11991" s="10" t="s">
        <v>51167</v>
      </c>
      <c r="Q11991" s="10">
        <v>1.42</v>
      </c>
      <c r="R11991" s="10" t="s">
        <v>19520</v>
      </c>
      <c r="S11991" s="10" t="s">
        <v>53</v>
      </c>
      <c r="T11991" s="10" t="s">
        <v>19372</v>
      </c>
    </row>
    <row r="11992" spans="1:20" ht="14.5" x14ac:dyDescent="0.35">
      <c r="A11992" s="10" t="s">
        <v>51226</v>
      </c>
      <c r="B11992" s="10" t="str">
        <f>"9781913063535"</f>
        <v>9781913063535</v>
      </c>
      <c r="C11992" s="10" t="str">
        <f>"9781913063559"</f>
        <v>9781913063559</v>
      </c>
      <c r="D11992" s="10" t="s">
        <v>9533</v>
      </c>
      <c r="E11992" s="10" t="s">
        <v>26840</v>
      </c>
      <c r="F11992" s="10" t="s">
        <v>44053</v>
      </c>
      <c r="G11992" s="10" t="s">
        <v>6352</v>
      </c>
      <c r="H11992" s="11">
        <v>43956</v>
      </c>
      <c r="I11992" s="10">
        <v>2020</v>
      </c>
      <c r="J11992" s="10" t="s">
        <v>26840</v>
      </c>
      <c r="K11992" s="10">
        <v>136</v>
      </c>
      <c r="L11992" s="10" t="s">
        <v>51227</v>
      </c>
      <c r="M11992" s="10">
        <v>1</v>
      </c>
      <c r="N11992" s="10" t="s">
        <v>49096</v>
      </c>
      <c r="O11992" s="10"/>
      <c r="P11992" s="10" t="s">
        <v>51228</v>
      </c>
      <c r="Q11992" s="10">
        <v>371.10019</v>
      </c>
      <c r="R11992" s="10" t="s">
        <v>50712</v>
      </c>
      <c r="S11992" s="10" t="s">
        <v>53</v>
      </c>
      <c r="T11992" s="10" t="s">
        <v>54</v>
      </c>
    </row>
    <row r="11993" spans="1:20" ht="14.5" x14ac:dyDescent="0.35">
      <c r="A11993" s="10" t="s">
        <v>51229</v>
      </c>
      <c r="B11993" s="10" t="str">
        <f>"9781913063771"</f>
        <v>9781913063771</v>
      </c>
      <c r="C11993" s="10" t="str">
        <f>"9781913063801"</f>
        <v>9781913063801</v>
      </c>
      <c r="D11993" s="10" t="s">
        <v>9533</v>
      </c>
      <c r="E11993" s="10" t="s">
        <v>26840</v>
      </c>
      <c r="F11993" s="10" t="s">
        <v>44053</v>
      </c>
      <c r="G11993" s="10" t="s">
        <v>6352</v>
      </c>
      <c r="H11993" s="11">
        <v>43952</v>
      </c>
      <c r="I11993" s="10">
        <v>2020</v>
      </c>
      <c r="J11993" s="10" t="s">
        <v>26840</v>
      </c>
      <c r="K11993" s="10">
        <v>96</v>
      </c>
      <c r="L11993" s="10" t="s">
        <v>51230</v>
      </c>
      <c r="M11993" s="10">
        <v>1</v>
      </c>
      <c r="N11993" s="10" t="s">
        <v>51231</v>
      </c>
      <c r="O11993" s="10"/>
      <c r="P11993" s="10" t="s">
        <v>51232</v>
      </c>
      <c r="Q11993" s="10">
        <v>378</v>
      </c>
      <c r="R11993" s="10" t="s">
        <v>39492</v>
      </c>
      <c r="S11993" s="10" t="s">
        <v>53</v>
      </c>
      <c r="T11993" s="10" t="s">
        <v>54</v>
      </c>
    </row>
    <row r="11994" spans="1:20" ht="14.5" x14ac:dyDescent="0.35">
      <c r="A11994" s="10" t="s">
        <v>51233</v>
      </c>
      <c r="B11994" s="10" t="str">
        <f>"9781913063733"</f>
        <v>9781913063733</v>
      </c>
      <c r="C11994" s="10" t="str">
        <f>"9781913063764"</f>
        <v>9781913063764</v>
      </c>
      <c r="D11994" s="10" t="s">
        <v>9533</v>
      </c>
      <c r="E11994" s="10" t="s">
        <v>26840</v>
      </c>
      <c r="F11994" s="10" t="s">
        <v>44053</v>
      </c>
      <c r="G11994" s="10" t="s">
        <v>6352</v>
      </c>
      <c r="H11994" s="11">
        <v>43941</v>
      </c>
      <c r="I11994" s="10">
        <v>2020</v>
      </c>
      <c r="J11994" s="10" t="s">
        <v>26840</v>
      </c>
      <c r="K11994" s="10">
        <v>100</v>
      </c>
      <c r="L11994" s="10" t="s">
        <v>51234</v>
      </c>
      <c r="M11994" s="10">
        <v>1</v>
      </c>
      <c r="N11994" s="10" t="s">
        <v>51231</v>
      </c>
      <c r="O11994" s="10"/>
      <c r="P11994" s="10" t="s">
        <v>51235</v>
      </c>
      <c r="Q11994" s="10">
        <v>378.17500000000001</v>
      </c>
      <c r="R11994" s="10" t="s">
        <v>51236</v>
      </c>
      <c r="S11994" s="10" t="s">
        <v>53</v>
      </c>
      <c r="T11994" s="10" t="s">
        <v>54</v>
      </c>
    </row>
    <row r="11995" spans="1:20" ht="14.5" x14ac:dyDescent="0.35">
      <c r="A11995" s="10" t="s">
        <v>51237</v>
      </c>
      <c r="B11995" s="10" t="str">
        <f>"9781913063818"</f>
        <v>9781913063818</v>
      </c>
      <c r="C11995" s="10" t="str">
        <f>"9781913063849"</f>
        <v>9781913063849</v>
      </c>
      <c r="D11995" s="10" t="s">
        <v>9533</v>
      </c>
      <c r="E11995" s="10" t="s">
        <v>26840</v>
      </c>
      <c r="F11995" s="10" t="s">
        <v>44053</v>
      </c>
      <c r="G11995" s="10" t="s">
        <v>6352</v>
      </c>
      <c r="H11995" s="11">
        <v>43941</v>
      </c>
      <c r="I11995" s="10">
        <v>2020</v>
      </c>
      <c r="J11995" s="10" t="s">
        <v>26840</v>
      </c>
      <c r="K11995" s="10">
        <v>92</v>
      </c>
      <c r="L11995" s="10" t="s">
        <v>51238</v>
      </c>
      <c r="M11995" s="10">
        <v>1</v>
      </c>
      <c r="N11995" s="10" t="s">
        <v>51231</v>
      </c>
      <c r="O11995" s="10"/>
      <c r="P11995" s="10" t="s">
        <v>51239</v>
      </c>
      <c r="Q11995" s="10">
        <v>378.19900000000001</v>
      </c>
      <c r="R11995" s="10" t="s">
        <v>51240</v>
      </c>
      <c r="S11995" s="10" t="s">
        <v>53</v>
      </c>
      <c r="T11995" s="10" t="s">
        <v>54</v>
      </c>
    </row>
    <row r="11996" spans="1:20" ht="14.5" x14ac:dyDescent="0.35">
      <c r="A11996" s="10" t="s">
        <v>51241</v>
      </c>
      <c r="B11996" s="10" t="str">
        <f>"9781787698949"</f>
        <v>9781787698949</v>
      </c>
      <c r="C11996" s="10" t="str">
        <f>"9781787698932"</f>
        <v>9781787698932</v>
      </c>
      <c r="D11996" s="10" t="s">
        <v>8699</v>
      </c>
      <c r="E11996" s="10" t="s">
        <v>8699</v>
      </c>
      <c r="F11996" s="10" t="s">
        <v>559</v>
      </c>
      <c r="G11996" s="10" t="s">
        <v>6352</v>
      </c>
      <c r="H11996" s="11">
        <v>43977</v>
      </c>
      <c r="I11996" s="10">
        <v>2020</v>
      </c>
      <c r="J11996" s="10" t="s">
        <v>8699</v>
      </c>
      <c r="K11996" s="10">
        <v>210</v>
      </c>
      <c r="L11996" s="10" t="s">
        <v>51242</v>
      </c>
      <c r="M11996" s="10">
        <v>1</v>
      </c>
      <c r="N11996" s="10" t="s">
        <v>48609</v>
      </c>
      <c r="O11996" s="10"/>
      <c r="P11996" s="10" t="s">
        <v>51243</v>
      </c>
      <c r="Q11996" s="10"/>
      <c r="R11996" s="10" t="s">
        <v>30801</v>
      </c>
      <c r="S11996" s="10" t="s">
        <v>53</v>
      </c>
      <c r="T11996" s="10" t="s">
        <v>54</v>
      </c>
    </row>
    <row r="11997" spans="1:20" ht="14.5" x14ac:dyDescent="0.35">
      <c r="A11997" s="10" t="s">
        <v>51244</v>
      </c>
      <c r="B11997" s="10" t="str">
        <f>"9781839828430"</f>
        <v>9781839828430</v>
      </c>
      <c r="C11997" s="10" t="str">
        <f>"9781839828409"</f>
        <v>9781839828409</v>
      </c>
      <c r="D11997" s="10" t="s">
        <v>8699</v>
      </c>
      <c r="E11997" s="10" t="s">
        <v>8699</v>
      </c>
      <c r="F11997" s="10" t="s">
        <v>559</v>
      </c>
      <c r="G11997" s="10" t="s">
        <v>6352</v>
      </c>
      <c r="H11997" s="11">
        <v>43977</v>
      </c>
      <c r="I11997" s="10">
        <v>2020</v>
      </c>
      <c r="J11997" s="10" t="s">
        <v>8699</v>
      </c>
      <c r="K11997" s="10">
        <v>145</v>
      </c>
      <c r="L11997" s="10" t="s">
        <v>51245</v>
      </c>
      <c r="M11997" s="10">
        <v>1</v>
      </c>
      <c r="N11997" s="10" t="s">
        <v>46840</v>
      </c>
      <c r="O11997" s="10"/>
      <c r="P11997" s="10" t="s">
        <v>51246</v>
      </c>
      <c r="Q11997" s="10">
        <v>155.19999999999999</v>
      </c>
      <c r="R11997" s="10" t="s">
        <v>51247</v>
      </c>
      <c r="S11997" s="10" t="s">
        <v>53</v>
      </c>
      <c r="T11997" s="10" t="s">
        <v>6492</v>
      </c>
    </row>
    <row r="11998" spans="1:20" ht="14.5" x14ac:dyDescent="0.35">
      <c r="A11998" s="10" t="s">
        <v>51248</v>
      </c>
      <c r="B11998" s="10" t="str">
        <f>"9781789736403"</f>
        <v>9781789736403</v>
      </c>
      <c r="C11998" s="10" t="str">
        <f>"9781789736410"</f>
        <v>9781789736410</v>
      </c>
      <c r="D11998" s="10" t="s">
        <v>8699</v>
      </c>
      <c r="E11998" s="10" t="s">
        <v>8699</v>
      </c>
      <c r="F11998" s="10" t="s">
        <v>559</v>
      </c>
      <c r="G11998" s="10" t="s">
        <v>6352</v>
      </c>
      <c r="H11998" s="11">
        <v>43978</v>
      </c>
      <c r="I11998" s="10">
        <v>2020</v>
      </c>
      <c r="J11998" s="10" t="s">
        <v>8699</v>
      </c>
      <c r="K11998" s="10">
        <v>269</v>
      </c>
      <c r="L11998" s="10" t="s">
        <v>51053</v>
      </c>
      <c r="M11998" s="10">
        <v>1</v>
      </c>
      <c r="N11998" s="10" t="s">
        <v>29541</v>
      </c>
      <c r="O11998" s="10">
        <v>19</v>
      </c>
      <c r="P11998" s="10" t="s">
        <v>27182</v>
      </c>
      <c r="Q11998" s="10">
        <v>338.92700000000002</v>
      </c>
      <c r="R11998" s="10" t="s">
        <v>49374</v>
      </c>
      <c r="S11998" s="10" t="s">
        <v>53</v>
      </c>
      <c r="T11998" s="10" t="s">
        <v>7901</v>
      </c>
    </row>
    <row r="11999" spans="1:20" ht="14.5" x14ac:dyDescent="0.35">
      <c r="A11999" s="10" t="s">
        <v>51249</v>
      </c>
      <c r="B11999" s="10" t="str">
        <f>"9781551383460"</f>
        <v>9781551383460</v>
      </c>
      <c r="C11999" s="10" t="str">
        <f>"9781551389455"</f>
        <v>9781551389455</v>
      </c>
      <c r="D11999" s="10" t="s">
        <v>45074</v>
      </c>
      <c r="E11999" s="10" t="s">
        <v>45075</v>
      </c>
      <c r="F11999" s="10" t="s">
        <v>901</v>
      </c>
      <c r="G11999" s="10" t="s">
        <v>9536</v>
      </c>
      <c r="H11999" s="11">
        <v>44012</v>
      </c>
      <c r="I11999" s="10">
        <v>2020</v>
      </c>
      <c r="J11999" s="10" t="s">
        <v>45075</v>
      </c>
      <c r="K11999" s="10">
        <v>141</v>
      </c>
      <c r="L11999" s="10" t="s">
        <v>51250</v>
      </c>
      <c r="M11999" s="10">
        <v>1</v>
      </c>
      <c r="N11999" s="10"/>
      <c r="O11999" s="10"/>
      <c r="P11999" s="10"/>
      <c r="Q11999" s="10"/>
      <c r="R11999" s="10"/>
      <c r="S11999" s="10" t="s">
        <v>53</v>
      </c>
      <c r="T11999" s="10" t="s">
        <v>54</v>
      </c>
    </row>
    <row r="12000" spans="1:20" ht="14.5" x14ac:dyDescent="0.35">
      <c r="A12000" s="10" t="s">
        <v>51251</v>
      </c>
      <c r="B12000" s="10" t="str">
        <f>"9781138614710"</f>
        <v>9781138614710</v>
      </c>
      <c r="C12000" s="10" t="str">
        <f>"9780429874178"</f>
        <v>9780429874178</v>
      </c>
      <c r="D12000" s="10" t="s">
        <v>6350</v>
      </c>
      <c r="E12000" s="10" t="s">
        <v>6351</v>
      </c>
      <c r="F12000" s="10" t="s">
        <v>3967</v>
      </c>
      <c r="G12000" s="10" t="s">
        <v>6352</v>
      </c>
      <c r="H12000" s="11">
        <v>43970</v>
      </c>
      <c r="I12000" s="10">
        <v>2020</v>
      </c>
      <c r="J12000" s="10" t="s">
        <v>6353</v>
      </c>
      <c r="K12000" s="10">
        <v>189</v>
      </c>
      <c r="L12000" s="10" t="s">
        <v>51252</v>
      </c>
      <c r="M12000" s="10">
        <v>1</v>
      </c>
      <c r="N12000" s="10"/>
      <c r="O12000" s="10"/>
      <c r="P12000" s="10" t="s">
        <v>51253</v>
      </c>
      <c r="Q12000" s="10">
        <v>371.358</v>
      </c>
      <c r="R12000" s="10" t="s">
        <v>51254</v>
      </c>
      <c r="S12000" s="10" t="s">
        <v>53</v>
      </c>
      <c r="T12000" s="10" t="s">
        <v>54</v>
      </c>
    </row>
    <row r="12001" spans="1:20" ht="14.5" x14ac:dyDescent="0.35">
      <c r="A12001" s="10" t="s">
        <v>51255</v>
      </c>
      <c r="B12001" s="10" t="str">
        <f>"9781416629146"</f>
        <v>9781416629146</v>
      </c>
      <c r="C12001" s="10" t="str">
        <f>"9781416629160"</f>
        <v>9781416629160</v>
      </c>
      <c r="D12001" s="10" t="s">
        <v>10014</v>
      </c>
      <c r="E12001" s="10" t="s">
        <v>10015</v>
      </c>
      <c r="F12001" s="10" t="s">
        <v>201</v>
      </c>
      <c r="G12001" s="10" t="s">
        <v>6317</v>
      </c>
      <c r="H12001" s="11">
        <v>43977</v>
      </c>
      <c r="I12001" s="10">
        <v>2020</v>
      </c>
      <c r="J12001" s="10" t="s">
        <v>10015</v>
      </c>
      <c r="K12001" s="10">
        <v>180</v>
      </c>
      <c r="L12001" s="10" t="s">
        <v>51256</v>
      </c>
      <c r="M12001" s="10">
        <v>1</v>
      </c>
      <c r="N12001" s="10"/>
      <c r="O12001" s="10"/>
      <c r="P12001" s="10"/>
      <c r="Q12001" s="10"/>
      <c r="R12001" s="10"/>
      <c r="S12001" s="10" t="s">
        <v>53</v>
      </c>
      <c r="T12001" s="10" t="s">
        <v>54</v>
      </c>
    </row>
    <row r="12002" spans="1:20" ht="14.5" x14ac:dyDescent="0.35">
      <c r="A12002" s="10" t="s">
        <v>51257</v>
      </c>
      <c r="B12002" s="10" t="str">
        <f>"9781416628996"</f>
        <v>9781416628996</v>
      </c>
      <c r="C12002" s="10" t="str">
        <f>"9781416629375"</f>
        <v>9781416629375</v>
      </c>
      <c r="D12002" s="10" t="s">
        <v>10014</v>
      </c>
      <c r="E12002" s="10" t="s">
        <v>10015</v>
      </c>
      <c r="F12002" s="10" t="s">
        <v>201</v>
      </c>
      <c r="G12002" s="10" t="s">
        <v>6317</v>
      </c>
      <c r="H12002" s="11">
        <v>43981</v>
      </c>
      <c r="I12002" s="10">
        <v>2020</v>
      </c>
      <c r="J12002" s="10" t="s">
        <v>10015</v>
      </c>
      <c r="K12002" s="10">
        <v>250</v>
      </c>
      <c r="L12002" s="10" t="s">
        <v>51258</v>
      </c>
      <c r="M12002" s="10">
        <v>1</v>
      </c>
      <c r="N12002" s="10"/>
      <c r="O12002" s="10"/>
      <c r="P12002" s="10"/>
      <c r="Q12002" s="10"/>
      <c r="R12002" s="10"/>
      <c r="S12002" s="10" t="s">
        <v>53</v>
      </c>
      <c r="T12002" s="10" t="s">
        <v>54</v>
      </c>
    </row>
    <row r="12003" spans="1:20" ht="14.5" x14ac:dyDescent="0.35">
      <c r="A12003" s="10" t="s">
        <v>51259</v>
      </c>
      <c r="B12003" s="10" t="str">
        <f>"9781951075392"</f>
        <v>9781951075392</v>
      </c>
      <c r="C12003" s="10" t="str">
        <f>"9781951075408"</f>
        <v>9781951075408</v>
      </c>
      <c r="D12003" s="10" t="s">
        <v>37580</v>
      </c>
      <c r="E12003" s="10" t="s">
        <v>37581</v>
      </c>
      <c r="F12003" s="10" t="s">
        <v>37623</v>
      </c>
      <c r="G12003" s="10" t="s">
        <v>6317</v>
      </c>
      <c r="H12003" s="11">
        <v>43987</v>
      </c>
      <c r="I12003" s="10">
        <v>2020</v>
      </c>
      <c r="J12003" s="10" t="s">
        <v>37581</v>
      </c>
      <c r="K12003" s="10">
        <v>176</v>
      </c>
      <c r="L12003" s="10" t="s">
        <v>51260</v>
      </c>
      <c r="M12003" s="10">
        <v>1</v>
      </c>
      <c r="N12003" s="10"/>
      <c r="O12003" s="10"/>
      <c r="P12003" s="10"/>
      <c r="Q12003" s="10"/>
      <c r="R12003" s="10"/>
      <c r="S12003" s="10" t="s">
        <v>53</v>
      </c>
      <c r="T12003" s="10" t="s">
        <v>54</v>
      </c>
    </row>
    <row r="12004" spans="1:20" ht="14.5" x14ac:dyDescent="0.35">
      <c r="A12004" s="10" t="s">
        <v>51261</v>
      </c>
      <c r="B12004" s="10" t="str">
        <f>"9781789736380"</f>
        <v>9781789736380</v>
      </c>
      <c r="C12004" s="10" t="str">
        <f>"9781789736359"</f>
        <v>9781789736359</v>
      </c>
      <c r="D12004" s="10" t="s">
        <v>8699</v>
      </c>
      <c r="E12004" s="10" t="s">
        <v>8699</v>
      </c>
      <c r="F12004" s="10" t="s">
        <v>559</v>
      </c>
      <c r="G12004" s="10" t="s">
        <v>6352</v>
      </c>
      <c r="H12004" s="11">
        <v>43984</v>
      </c>
      <c r="I12004" s="10">
        <v>2020</v>
      </c>
      <c r="J12004" s="10" t="s">
        <v>8699</v>
      </c>
      <c r="K12004" s="10">
        <v>241</v>
      </c>
      <c r="L12004" s="10" t="s">
        <v>51262</v>
      </c>
      <c r="M12004" s="10">
        <v>1</v>
      </c>
      <c r="N12004" s="10" t="s">
        <v>46840</v>
      </c>
      <c r="O12004" s="10"/>
      <c r="P12004" s="10" t="s">
        <v>28438</v>
      </c>
      <c r="Q12004" s="10">
        <v>371.20119999999997</v>
      </c>
      <c r="R12004" s="10" t="s">
        <v>51263</v>
      </c>
      <c r="S12004" s="10" t="s">
        <v>53</v>
      </c>
      <c r="T12004" s="10" t="s">
        <v>54</v>
      </c>
    </row>
    <row r="12005" spans="1:20" ht="14.5" x14ac:dyDescent="0.35">
      <c r="A12005" s="10" t="s">
        <v>51264</v>
      </c>
      <c r="B12005" s="10" t="str">
        <f>"9781789731507"</f>
        <v>9781789731507</v>
      </c>
      <c r="C12005" s="10" t="str">
        <f>"9781789731491"</f>
        <v>9781789731491</v>
      </c>
      <c r="D12005" s="10" t="s">
        <v>8699</v>
      </c>
      <c r="E12005" s="10" t="s">
        <v>8699</v>
      </c>
      <c r="F12005" s="10" t="s">
        <v>559</v>
      </c>
      <c r="G12005" s="10" t="s">
        <v>6352</v>
      </c>
      <c r="H12005" s="11">
        <v>43990</v>
      </c>
      <c r="I12005" s="10">
        <v>2020</v>
      </c>
      <c r="J12005" s="10" t="s">
        <v>8699</v>
      </c>
      <c r="K12005" s="10">
        <v>189</v>
      </c>
      <c r="L12005" s="10" t="s">
        <v>51265</v>
      </c>
      <c r="M12005" s="10">
        <v>1</v>
      </c>
      <c r="N12005" s="10" t="s">
        <v>46840</v>
      </c>
      <c r="O12005" s="10"/>
      <c r="P12005" s="10" t="s">
        <v>28438</v>
      </c>
      <c r="Q12005" s="10">
        <v>370.7</v>
      </c>
      <c r="R12005" s="10" t="s">
        <v>18882</v>
      </c>
      <c r="S12005" s="10" t="s">
        <v>53</v>
      </c>
      <c r="T12005" s="10" t="s">
        <v>54</v>
      </c>
    </row>
    <row r="12006" spans="1:20" ht="14.5" x14ac:dyDescent="0.35">
      <c r="A12006" s="10" t="s">
        <v>51266</v>
      </c>
      <c r="B12006" s="10" t="str">
        <f>"9789004403826"</f>
        <v>9789004403826</v>
      </c>
      <c r="C12006" s="10" t="str">
        <f>"9781848880061"</f>
        <v>9781848880061</v>
      </c>
      <c r="D12006" s="10" t="s">
        <v>8564</v>
      </c>
      <c r="E12006" s="10" t="s">
        <v>8565</v>
      </c>
      <c r="F12006" s="10" t="s">
        <v>1420</v>
      </c>
      <c r="G12006" s="10" t="s">
        <v>6317</v>
      </c>
      <c r="H12006" s="11">
        <v>43969</v>
      </c>
      <c r="I12006" s="10">
        <v>2009</v>
      </c>
      <c r="J12006" s="10" t="s">
        <v>8565</v>
      </c>
      <c r="K12006" s="10">
        <v>258</v>
      </c>
      <c r="L12006" s="10" t="s">
        <v>51267</v>
      </c>
      <c r="M12006" s="10">
        <v>1</v>
      </c>
      <c r="N12006" s="10"/>
      <c r="O12006" s="10"/>
      <c r="P12006" s="10"/>
      <c r="Q12006" s="10"/>
      <c r="R12006" s="10"/>
      <c r="S12006" s="10" t="s">
        <v>53</v>
      </c>
      <c r="T12006" s="10" t="s">
        <v>6472</v>
      </c>
    </row>
    <row r="12007" spans="1:20" ht="14.5" x14ac:dyDescent="0.35">
      <c r="A12007" s="10" t="s">
        <v>51268</v>
      </c>
      <c r="B12007" s="10" t="str">
        <f>"9789004429482"</f>
        <v>9789004429482</v>
      </c>
      <c r="C12007" s="10" t="str">
        <f>"9789004429499"</f>
        <v>9789004429499</v>
      </c>
      <c r="D12007" s="10" t="s">
        <v>8564</v>
      </c>
      <c r="E12007" s="10" t="s">
        <v>8565</v>
      </c>
      <c r="F12007" s="10" t="s">
        <v>1420</v>
      </c>
      <c r="G12007" s="10" t="s">
        <v>6317</v>
      </c>
      <c r="H12007" s="11">
        <v>43974</v>
      </c>
      <c r="I12007" s="10">
        <v>2020</v>
      </c>
      <c r="J12007" s="10" t="s">
        <v>33259</v>
      </c>
      <c r="K12007" s="10">
        <v>407</v>
      </c>
      <c r="L12007" s="10" t="s">
        <v>51269</v>
      </c>
      <c r="M12007" s="10">
        <v>1</v>
      </c>
      <c r="N12007" s="10"/>
      <c r="O12007" s="10"/>
      <c r="P12007" s="10"/>
      <c r="Q12007" s="10"/>
      <c r="R12007" s="10"/>
      <c r="S12007" s="10" t="s">
        <v>53</v>
      </c>
      <c r="T12007" s="10" t="s">
        <v>54</v>
      </c>
    </row>
    <row r="12008" spans="1:20" ht="14.5" x14ac:dyDescent="0.35">
      <c r="A12008" s="10" t="s">
        <v>51270</v>
      </c>
      <c r="B12008" s="10" t="str">
        <f>"9789004403758"</f>
        <v>9789004403758</v>
      </c>
      <c r="C12008" s="10" t="str">
        <f>"9781848880467"</f>
        <v>9781848880467</v>
      </c>
      <c r="D12008" s="10" t="s">
        <v>8564</v>
      </c>
      <c r="E12008" s="10" t="s">
        <v>8565</v>
      </c>
      <c r="F12008" s="10" t="s">
        <v>1420</v>
      </c>
      <c r="G12008" s="10" t="s">
        <v>6317</v>
      </c>
      <c r="H12008" s="11">
        <v>43969</v>
      </c>
      <c r="I12008" s="10">
        <v>2010</v>
      </c>
      <c r="J12008" s="10" t="s">
        <v>8565</v>
      </c>
      <c r="K12008" s="10">
        <v>241</v>
      </c>
      <c r="L12008" s="10" t="s">
        <v>51271</v>
      </c>
      <c r="M12008" s="10">
        <v>1</v>
      </c>
      <c r="N12008" s="10"/>
      <c r="O12008" s="10"/>
      <c r="P12008" s="10"/>
      <c r="Q12008" s="10"/>
      <c r="R12008" s="10"/>
      <c r="S12008" s="10" t="s">
        <v>53</v>
      </c>
      <c r="T12008" s="10" t="s">
        <v>51272</v>
      </c>
    </row>
    <row r="12009" spans="1:20" ht="14.5" x14ac:dyDescent="0.35">
      <c r="A12009" s="10" t="s">
        <v>51273</v>
      </c>
      <c r="B12009" s="10" t="str">
        <f>"9789004432956"</f>
        <v>9789004432956</v>
      </c>
      <c r="C12009" s="10" t="str">
        <f>"9789004432963"</f>
        <v>9789004432963</v>
      </c>
      <c r="D12009" s="10" t="s">
        <v>8564</v>
      </c>
      <c r="E12009" s="10" t="s">
        <v>8565</v>
      </c>
      <c r="F12009" s="10" t="s">
        <v>1420</v>
      </c>
      <c r="G12009" s="10" t="s">
        <v>6317</v>
      </c>
      <c r="H12009" s="11">
        <v>43923</v>
      </c>
      <c r="I12009" s="10">
        <v>2020</v>
      </c>
      <c r="J12009" s="10" t="s">
        <v>33259</v>
      </c>
      <c r="K12009" s="10">
        <v>193</v>
      </c>
      <c r="L12009" s="10" t="s">
        <v>51274</v>
      </c>
      <c r="M12009" s="10">
        <v>1</v>
      </c>
      <c r="N12009" s="10" t="s">
        <v>33663</v>
      </c>
      <c r="O12009" s="10">
        <v>33</v>
      </c>
      <c r="P12009" s="10"/>
      <c r="Q12009" s="10"/>
      <c r="R12009" s="10"/>
      <c r="S12009" s="10" t="s">
        <v>53</v>
      </c>
      <c r="T12009" s="10" t="s">
        <v>54</v>
      </c>
    </row>
    <row r="12010" spans="1:20" ht="14.5" x14ac:dyDescent="0.35">
      <c r="A12010" s="10" t="s">
        <v>51275</v>
      </c>
      <c r="B12010" s="10" t="str">
        <f>"9789004432437"</f>
        <v>9789004432437</v>
      </c>
      <c r="C12010" s="10" t="str">
        <f>"9789004432758"</f>
        <v>9789004432758</v>
      </c>
      <c r="D12010" s="10" t="s">
        <v>8564</v>
      </c>
      <c r="E12010" s="10" t="s">
        <v>8565</v>
      </c>
      <c r="F12010" s="10" t="s">
        <v>1420</v>
      </c>
      <c r="G12010" s="10" t="s">
        <v>6317</v>
      </c>
      <c r="H12010" s="11">
        <v>43958</v>
      </c>
      <c r="I12010" s="10">
        <v>2020</v>
      </c>
      <c r="J12010" s="10" t="s">
        <v>33259</v>
      </c>
      <c r="K12010" s="10">
        <v>156</v>
      </c>
      <c r="L12010" s="10" t="s">
        <v>51276</v>
      </c>
      <c r="M12010" s="10">
        <v>1</v>
      </c>
      <c r="N12010" s="10" t="s">
        <v>50183</v>
      </c>
      <c r="O12010" s="10">
        <v>3</v>
      </c>
      <c r="P12010" s="10"/>
      <c r="Q12010" s="10"/>
      <c r="R12010" s="10"/>
      <c r="S12010" s="10" t="s">
        <v>53</v>
      </c>
      <c r="T12010" s="10" t="s">
        <v>54</v>
      </c>
    </row>
    <row r="12011" spans="1:20" ht="14.5" x14ac:dyDescent="0.35">
      <c r="A12011" s="10" t="s">
        <v>51277</v>
      </c>
      <c r="B12011" s="10" t="str">
        <f>""</f>
        <v/>
      </c>
      <c r="C12011" s="10" t="str">
        <f>"9781564848277"</f>
        <v>9781564848277</v>
      </c>
      <c r="D12011" s="10" t="s">
        <v>9533</v>
      </c>
      <c r="E12011" s="10" t="s">
        <v>45783</v>
      </c>
      <c r="F12011" s="10" t="s">
        <v>25348</v>
      </c>
      <c r="G12011" s="10" t="s">
        <v>6317</v>
      </c>
      <c r="H12011" s="11">
        <v>43900</v>
      </c>
      <c r="I12011" s="10">
        <v>2020</v>
      </c>
      <c r="J12011" s="10" t="s">
        <v>45783</v>
      </c>
      <c r="K12011" s="10">
        <v>139</v>
      </c>
      <c r="L12011" s="10" t="s">
        <v>51278</v>
      </c>
      <c r="M12011" s="10">
        <v>1</v>
      </c>
      <c r="N12011" s="10"/>
      <c r="O12011" s="10"/>
      <c r="P12011" s="10" t="s">
        <v>51279</v>
      </c>
      <c r="Q12011" s="10">
        <v>371.33</v>
      </c>
      <c r="R12011" s="10" t="s">
        <v>51280</v>
      </c>
      <c r="S12011" s="10" t="s">
        <v>53</v>
      </c>
      <c r="T12011" s="10" t="s">
        <v>54</v>
      </c>
    </row>
    <row r="12012" spans="1:20" ht="14.5" x14ac:dyDescent="0.35">
      <c r="A12012" s="10" t="s">
        <v>51281</v>
      </c>
      <c r="B12012" s="10" t="str">
        <f>""</f>
        <v/>
      </c>
      <c r="C12012" s="10" t="str">
        <f>"9781564848550"</f>
        <v>9781564848550</v>
      </c>
      <c r="D12012" s="10" t="s">
        <v>9533</v>
      </c>
      <c r="E12012" s="10" t="s">
        <v>45783</v>
      </c>
      <c r="F12012" s="10" t="s">
        <v>25348</v>
      </c>
      <c r="G12012" s="10" t="s">
        <v>6317</v>
      </c>
      <c r="H12012" s="11">
        <v>43913</v>
      </c>
      <c r="I12012" s="10">
        <v>2020</v>
      </c>
      <c r="J12012" s="10" t="s">
        <v>45783</v>
      </c>
      <c r="K12012" s="10">
        <v>62</v>
      </c>
      <c r="L12012" s="10" t="s">
        <v>45784</v>
      </c>
      <c r="M12012" s="10">
        <v>1</v>
      </c>
      <c r="N12012" s="10"/>
      <c r="O12012" s="10"/>
      <c r="P12012" s="10" t="s">
        <v>51282</v>
      </c>
      <c r="Q12012" s="10">
        <v>371.33</v>
      </c>
      <c r="R12012" s="10" t="s">
        <v>45786</v>
      </c>
      <c r="S12012" s="10" t="s">
        <v>53</v>
      </c>
      <c r="T12012" s="10" t="s">
        <v>54</v>
      </c>
    </row>
    <row r="12013" spans="1:20" ht="14.5" x14ac:dyDescent="0.35">
      <c r="A12013" s="10" t="s">
        <v>51283</v>
      </c>
      <c r="B12013" s="10" t="str">
        <f>"9781975501389"</f>
        <v>9781975501389</v>
      </c>
      <c r="C12013" s="10" t="str">
        <f>"9781975501402"</f>
        <v>9781975501402</v>
      </c>
      <c r="D12013" s="10" t="s">
        <v>44271</v>
      </c>
      <c r="E12013" s="10" t="s">
        <v>47266</v>
      </c>
      <c r="F12013" s="10" t="s">
        <v>41227</v>
      </c>
      <c r="G12013" s="10" t="s">
        <v>6317</v>
      </c>
      <c r="H12013" s="11">
        <v>43942</v>
      </c>
      <c r="I12013" s="10">
        <v>2020</v>
      </c>
      <c r="J12013" s="10" t="s">
        <v>47266</v>
      </c>
      <c r="K12013" s="10">
        <v>209</v>
      </c>
      <c r="L12013" s="10" t="s">
        <v>51284</v>
      </c>
      <c r="M12013" s="10">
        <v>1</v>
      </c>
      <c r="N12013" s="10"/>
      <c r="O12013" s="10"/>
      <c r="P12013" s="10" t="s">
        <v>51285</v>
      </c>
      <c r="Q12013" s="10">
        <v>306.43</v>
      </c>
      <c r="R12013" s="10" t="s">
        <v>22554</v>
      </c>
      <c r="S12013" s="10" t="s">
        <v>53</v>
      </c>
      <c r="T12013" s="10" t="s">
        <v>6472</v>
      </c>
    </row>
    <row r="12014" spans="1:20" ht="14.5" x14ac:dyDescent="0.35">
      <c r="A12014" s="10" t="s">
        <v>51286</v>
      </c>
      <c r="B12014" s="10" t="str">
        <f>"9781975500788"</f>
        <v>9781975500788</v>
      </c>
      <c r="C12014" s="10" t="str">
        <f>"9781975500801"</f>
        <v>9781975500801</v>
      </c>
      <c r="D12014" s="10" t="s">
        <v>44271</v>
      </c>
      <c r="E12014" s="10" t="s">
        <v>47266</v>
      </c>
      <c r="F12014" s="10" t="s">
        <v>41227</v>
      </c>
      <c r="G12014" s="10" t="s">
        <v>6317</v>
      </c>
      <c r="H12014" s="11">
        <v>43952</v>
      </c>
      <c r="I12014" s="10">
        <v>2020</v>
      </c>
      <c r="J12014" s="10" t="s">
        <v>47266</v>
      </c>
      <c r="K12014" s="10">
        <v>245</v>
      </c>
      <c r="L12014" s="10" t="s">
        <v>51287</v>
      </c>
      <c r="M12014" s="10">
        <v>1</v>
      </c>
      <c r="N12014" s="10" t="s">
        <v>47473</v>
      </c>
      <c r="O12014" s="10"/>
      <c r="P12014" s="10" t="s">
        <v>51288</v>
      </c>
      <c r="Q12014" s="10">
        <v>207.5</v>
      </c>
      <c r="R12014" s="10" t="s">
        <v>14307</v>
      </c>
      <c r="S12014" s="10" t="s">
        <v>53</v>
      </c>
      <c r="T12014" s="10" t="s">
        <v>8346</v>
      </c>
    </row>
    <row r="12015" spans="1:20" ht="14.5" x14ac:dyDescent="0.35">
      <c r="A12015" s="10" t="s">
        <v>51289</v>
      </c>
      <c r="B12015" s="10" t="str">
        <f>"9781839827938"</f>
        <v>9781839827938</v>
      </c>
      <c r="C12015" s="10" t="str">
        <f>"9781839827907"</f>
        <v>9781839827907</v>
      </c>
      <c r="D12015" s="10" t="s">
        <v>8699</v>
      </c>
      <c r="E12015" s="10" t="s">
        <v>8699</v>
      </c>
      <c r="F12015" s="10" t="s">
        <v>559</v>
      </c>
      <c r="G12015" s="10" t="s">
        <v>6352</v>
      </c>
      <c r="H12015" s="11">
        <v>43997</v>
      </c>
      <c r="I12015" s="10">
        <v>2020</v>
      </c>
      <c r="J12015" s="10" t="s">
        <v>8699</v>
      </c>
      <c r="K12015" s="10">
        <v>200</v>
      </c>
      <c r="L12015" s="10" t="s">
        <v>51290</v>
      </c>
      <c r="M12015" s="10">
        <v>1</v>
      </c>
      <c r="N12015" s="10" t="s">
        <v>46840</v>
      </c>
      <c r="O12015" s="10"/>
      <c r="P12015" s="10" t="s">
        <v>28438</v>
      </c>
      <c r="Q12015" s="10">
        <v>370.7</v>
      </c>
      <c r="R12015" s="10" t="s">
        <v>8464</v>
      </c>
      <c r="S12015" s="10" t="s">
        <v>53</v>
      </c>
      <c r="T12015" s="10" t="s">
        <v>54</v>
      </c>
    </row>
    <row r="12016" spans="1:20" ht="14.5" x14ac:dyDescent="0.35">
      <c r="A12016" s="10" t="s">
        <v>51291</v>
      </c>
      <c r="B12016" s="10" t="str">
        <f>"9781742232911"</f>
        <v>9781742232911</v>
      </c>
      <c r="C12016" s="10" t="str">
        <f>"9781742245867"</f>
        <v>9781742245867</v>
      </c>
      <c r="D12016" s="10" t="s">
        <v>9215</v>
      </c>
      <c r="E12016" s="10" t="s">
        <v>22531</v>
      </c>
      <c r="F12016" s="10" t="s">
        <v>674</v>
      </c>
      <c r="G12016" s="10" t="s">
        <v>12975</v>
      </c>
      <c r="H12016" s="11">
        <v>41061</v>
      </c>
      <c r="I12016" s="10">
        <v>2012</v>
      </c>
      <c r="J12016" s="10" t="s">
        <v>22532</v>
      </c>
      <c r="K12016" s="10">
        <v>241</v>
      </c>
      <c r="L12016" s="10" t="s">
        <v>51292</v>
      </c>
      <c r="M12016" s="10"/>
      <c r="N12016" s="10"/>
      <c r="O12016" s="10"/>
      <c r="P12016" s="10" t="s">
        <v>51293</v>
      </c>
      <c r="Q12016" s="10">
        <v>371.8</v>
      </c>
      <c r="R12016" s="10" t="s">
        <v>51294</v>
      </c>
      <c r="S12016" s="10" t="s">
        <v>53</v>
      </c>
      <c r="T12016" s="10" t="s">
        <v>54</v>
      </c>
    </row>
    <row r="12017" spans="1:20" ht="14.5" x14ac:dyDescent="0.35">
      <c r="A12017" s="10" t="s">
        <v>51295</v>
      </c>
      <c r="B12017" s="10" t="str">
        <f>"9788024634128"</f>
        <v>9788024634128</v>
      </c>
      <c r="C12017" s="10" t="str">
        <f>"9788024634463"</f>
        <v>9788024634463</v>
      </c>
      <c r="D12017" s="10" t="s">
        <v>30935</v>
      </c>
      <c r="E12017" s="10" t="s">
        <v>30935</v>
      </c>
      <c r="F12017" s="10" t="s">
        <v>1796</v>
      </c>
      <c r="G12017" s="10" t="s">
        <v>30936</v>
      </c>
      <c r="H12017" s="11">
        <v>43466</v>
      </c>
      <c r="I12017" s="10">
        <v>2019</v>
      </c>
      <c r="J12017" s="10" t="s">
        <v>30935</v>
      </c>
      <c r="K12017" s="10">
        <v>315</v>
      </c>
      <c r="L12017" s="10" t="s">
        <v>51296</v>
      </c>
      <c r="M12017" s="10">
        <v>1</v>
      </c>
      <c r="N12017" s="10"/>
      <c r="O12017" s="10"/>
      <c r="P12017" s="10"/>
      <c r="Q12017" s="10"/>
      <c r="R12017" s="10"/>
      <c r="S12017" s="10" t="s">
        <v>4212</v>
      </c>
      <c r="T12017" s="10" t="s">
        <v>54</v>
      </c>
    </row>
    <row r="12018" spans="1:20" ht="14.5" x14ac:dyDescent="0.35">
      <c r="A12018" s="10" t="s">
        <v>51297</v>
      </c>
      <c r="B12018" s="10" t="str">
        <f>"9788024638720"</f>
        <v>9788024638720</v>
      </c>
      <c r="C12018" s="10" t="str">
        <f>"9788024639284"</f>
        <v>9788024639284</v>
      </c>
      <c r="D12018" s="10" t="s">
        <v>30935</v>
      </c>
      <c r="E12018" s="10" t="s">
        <v>30935</v>
      </c>
      <c r="F12018" s="10" t="s">
        <v>1796</v>
      </c>
      <c r="G12018" s="10" t="s">
        <v>30936</v>
      </c>
      <c r="H12018" s="11">
        <v>43313</v>
      </c>
      <c r="I12018" s="10">
        <v>2018</v>
      </c>
      <c r="J12018" s="10" t="s">
        <v>30935</v>
      </c>
      <c r="K12018" s="10">
        <v>131</v>
      </c>
      <c r="L12018" s="10" t="s">
        <v>51298</v>
      </c>
      <c r="M12018" s="10">
        <v>1</v>
      </c>
      <c r="N12018" s="10"/>
      <c r="O12018" s="10"/>
      <c r="P12018" s="10"/>
      <c r="Q12018" s="10"/>
      <c r="R12018" s="10"/>
      <c r="S12018" s="10" t="s">
        <v>4212</v>
      </c>
      <c r="T12018" s="10" t="s">
        <v>6601</v>
      </c>
    </row>
    <row r="12019" spans="1:20" ht="14.5" x14ac:dyDescent="0.35">
      <c r="A12019" s="10" t="s">
        <v>51299</v>
      </c>
      <c r="B12019" s="10" t="str">
        <f>"9789004433847"</f>
        <v>9789004433847</v>
      </c>
      <c r="C12019" s="10" t="str">
        <f>"9789004433854"</f>
        <v>9789004433854</v>
      </c>
      <c r="D12019" s="10" t="s">
        <v>8564</v>
      </c>
      <c r="E12019" s="10" t="s">
        <v>8565</v>
      </c>
      <c r="F12019" s="10" t="s">
        <v>1420</v>
      </c>
      <c r="G12019" s="10" t="s">
        <v>6317</v>
      </c>
      <c r="H12019" s="11">
        <v>43986</v>
      </c>
      <c r="I12019" s="10">
        <v>2020</v>
      </c>
      <c r="J12019" s="10" t="s">
        <v>33259</v>
      </c>
      <c r="K12019" s="10">
        <v>165</v>
      </c>
      <c r="L12019" s="10" t="s">
        <v>51300</v>
      </c>
      <c r="M12019" s="10">
        <v>1</v>
      </c>
      <c r="N12019" s="10" t="s">
        <v>33663</v>
      </c>
      <c r="O12019" s="10">
        <v>34</v>
      </c>
      <c r="P12019" s="10" t="s">
        <v>51301</v>
      </c>
      <c r="Q12019" s="10">
        <v>593.6</v>
      </c>
      <c r="R12019" s="10" t="s">
        <v>51302</v>
      </c>
      <c r="S12019" s="10" t="s">
        <v>53</v>
      </c>
      <c r="T12019" s="10" t="s">
        <v>11497</v>
      </c>
    </row>
    <row r="12020" spans="1:20" ht="14.5" x14ac:dyDescent="0.35">
      <c r="A12020" s="10" t="s">
        <v>51303</v>
      </c>
      <c r="B12020" s="10" t="str">
        <f>"9789004432727"</f>
        <v>9789004432727</v>
      </c>
      <c r="C12020" s="10" t="str">
        <f>"9789004432734"</f>
        <v>9789004432734</v>
      </c>
      <c r="D12020" s="10" t="s">
        <v>8564</v>
      </c>
      <c r="E12020" s="10" t="s">
        <v>8565</v>
      </c>
      <c r="F12020" s="10" t="s">
        <v>1420</v>
      </c>
      <c r="G12020" s="10" t="s">
        <v>6317</v>
      </c>
      <c r="H12020" s="11">
        <v>43986</v>
      </c>
      <c r="I12020" s="10">
        <v>2020</v>
      </c>
      <c r="J12020" s="10" t="s">
        <v>33259</v>
      </c>
      <c r="K12020" s="10">
        <v>221</v>
      </c>
      <c r="L12020" s="10" t="s">
        <v>51304</v>
      </c>
      <c r="M12020" s="10">
        <v>1</v>
      </c>
      <c r="N12020" s="10"/>
      <c r="O12020" s="10"/>
      <c r="P12020" s="10" t="s">
        <v>51305</v>
      </c>
      <c r="Q12020" s="10">
        <v>371.94</v>
      </c>
      <c r="R12020" s="10" t="s">
        <v>51306</v>
      </c>
      <c r="S12020" s="10" t="s">
        <v>53</v>
      </c>
      <c r="T12020" s="10" t="s">
        <v>54</v>
      </c>
    </row>
    <row r="12021" spans="1:20" ht="14.5" x14ac:dyDescent="0.35">
      <c r="A12021" s="10" t="s">
        <v>51307</v>
      </c>
      <c r="B12021" s="10" t="str">
        <f>"9781416629108"</f>
        <v>9781416629108</v>
      </c>
      <c r="C12021" s="10" t="str">
        <f>"9781416629139"</f>
        <v>9781416629139</v>
      </c>
      <c r="D12021" s="10" t="s">
        <v>10014</v>
      </c>
      <c r="E12021" s="10" t="s">
        <v>10015</v>
      </c>
      <c r="F12021" s="10" t="s">
        <v>201</v>
      </c>
      <c r="G12021" s="10" t="s">
        <v>6317</v>
      </c>
      <c r="H12021" s="11">
        <v>44012</v>
      </c>
      <c r="I12021" s="10">
        <v>2020</v>
      </c>
      <c r="J12021" s="10" t="s">
        <v>10015</v>
      </c>
      <c r="K12021" s="10">
        <v>178</v>
      </c>
      <c r="L12021" s="10" t="s">
        <v>51308</v>
      </c>
      <c r="M12021" s="10">
        <v>1</v>
      </c>
      <c r="N12021" s="10"/>
      <c r="O12021" s="10"/>
      <c r="P12021" s="10" t="s">
        <v>51309</v>
      </c>
      <c r="Q12021" s="10">
        <v>370.15230000000003</v>
      </c>
      <c r="R12021" s="10" t="s">
        <v>51310</v>
      </c>
      <c r="S12021" s="10" t="s">
        <v>53</v>
      </c>
      <c r="T12021" s="10" t="s">
        <v>54</v>
      </c>
    </row>
    <row r="12022" spans="1:20" ht="14.5" x14ac:dyDescent="0.35">
      <c r="A12022" s="10" t="s">
        <v>51311</v>
      </c>
      <c r="B12022" s="10" t="str">
        <f>"9781913063610"</f>
        <v>9781913063610</v>
      </c>
      <c r="C12022" s="10" t="str">
        <f>"9781913063641"</f>
        <v>9781913063641</v>
      </c>
      <c r="D12022" s="10" t="s">
        <v>9533</v>
      </c>
      <c r="E12022" s="10" t="s">
        <v>26840</v>
      </c>
      <c r="F12022" s="10" t="s">
        <v>44053</v>
      </c>
      <c r="G12022" s="10" t="s">
        <v>6352</v>
      </c>
      <c r="H12022" s="11">
        <v>43987</v>
      </c>
      <c r="I12022" s="10">
        <v>2020</v>
      </c>
      <c r="J12022" s="10" t="s">
        <v>26840</v>
      </c>
      <c r="K12022" s="10">
        <v>128</v>
      </c>
      <c r="L12022" s="10" t="s">
        <v>51312</v>
      </c>
      <c r="M12022" s="10">
        <v>1</v>
      </c>
      <c r="N12022" s="10" t="s">
        <v>51313</v>
      </c>
      <c r="O12022" s="10"/>
      <c r="P12022" s="10" t="s">
        <v>51314</v>
      </c>
      <c r="Q12022" s="10">
        <v>306.85000000000002</v>
      </c>
      <c r="R12022" s="10" t="s">
        <v>51315</v>
      </c>
      <c r="S12022" s="10" t="s">
        <v>53</v>
      </c>
      <c r="T12022" s="10" t="s">
        <v>6363</v>
      </c>
    </row>
    <row r="12023" spans="1:20" ht="14.5" x14ac:dyDescent="0.35">
      <c r="A12023" s="10" t="s">
        <v>51316</v>
      </c>
      <c r="B12023" s="10" t="str">
        <f>"9781789736441"</f>
        <v>9781789736441</v>
      </c>
      <c r="C12023" s="10" t="str">
        <f>"9781789736434"</f>
        <v>9781789736434</v>
      </c>
      <c r="D12023" s="10" t="s">
        <v>8699</v>
      </c>
      <c r="E12023" s="10" t="s">
        <v>8699</v>
      </c>
      <c r="F12023" s="10" t="s">
        <v>559</v>
      </c>
      <c r="G12023" s="10" t="s">
        <v>6352</v>
      </c>
      <c r="H12023" s="11">
        <v>44001</v>
      </c>
      <c r="I12023" s="10">
        <v>2020</v>
      </c>
      <c r="J12023" s="10" t="s">
        <v>8699</v>
      </c>
      <c r="K12023" s="10">
        <v>205</v>
      </c>
      <c r="L12023" s="10" t="s">
        <v>51053</v>
      </c>
      <c r="M12023" s="10">
        <v>1</v>
      </c>
      <c r="N12023" s="10" t="s">
        <v>29541</v>
      </c>
      <c r="O12023" s="10">
        <v>20</v>
      </c>
      <c r="P12023" s="10" t="s">
        <v>49239</v>
      </c>
      <c r="Q12023" s="10">
        <v>378</v>
      </c>
      <c r="R12023" s="10" t="s">
        <v>51317</v>
      </c>
      <c r="S12023" s="10" t="s">
        <v>53</v>
      </c>
      <c r="T12023" s="10" t="s">
        <v>54</v>
      </c>
    </row>
    <row r="12024" spans="1:20" ht="14.5" x14ac:dyDescent="0.35">
      <c r="A12024" s="10" t="s">
        <v>51318</v>
      </c>
      <c r="B12024" s="10" t="str">
        <f>"9781838677244"</f>
        <v>9781838677244</v>
      </c>
      <c r="C12024" s="10" t="str">
        <f>"9781838677237"</f>
        <v>9781838677237</v>
      </c>
      <c r="D12024" s="10" t="s">
        <v>8699</v>
      </c>
      <c r="E12024" s="10" t="s">
        <v>8699</v>
      </c>
      <c r="F12024" s="10" t="s">
        <v>559</v>
      </c>
      <c r="G12024" s="10" t="s">
        <v>6352</v>
      </c>
      <c r="H12024" s="11">
        <v>43999</v>
      </c>
      <c r="I12024" s="10">
        <v>2020</v>
      </c>
      <c r="J12024" s="10" t="s">
        <v>8699</v>
      </c>
      <c r="K12024" s="10">
        <v>391</v>
      </c>
      <c r="L12024" s="10" t="s">
        <v>17790</v>
      </c>
      <c r="M12024" s="10">
        <v>1</v>
      </c>
      <c r="N12024" s="10" t="s">
        <v>14534</v>
      </c>
      <c r="O12024" s="10">
        <v>39</v>
      </c>
      <c r="P12024" s="10" t="s">
        <v>28438</v>
      </c>
      <c r="Q12024" s="10">
        <v>370.7</v>
      </c>
      <c r="R12024" s="10" t="s">
        <v>50224</v>
      </c>
      <c r="S12024" s="10" t="s">
        <v>53</v>
      </c>
      <c r="T12024" s="10" t="s">
        <v>54</v>
      </c>
    </row>
    <row r="12025" spans="1:20" ht="14.5" x14ac:dyDescent="0.35">
      <c r="A12025" s="10" t="s">
        <v>51319</v>
      </c>
      <c r="B12025" s="10" t="str">
        <f>"9789004433878"</f>
        <v>9789004433878</v>
      </c>
      <c r="C12025" s="10" t="str">
        <f>"9789004433885"</f>
        <v>9789004433885</v>
      </c>
      <c r="D12025" s="10" t="s">
        <v>8564</v>
      </c>
      <c r="E12025" s="10" t="s">
        <v>8565</v>
      </c>
      <c r="F12025" s="10" t="s">
        <v>1420</v>
      </c>
      <c r="G12025" s="10" t="s">
        <v>6317</v>
      </c>
      <c r="H12025" s="11">
        <v>43993</v>
      </c>
      <c r="I12025" s="10">
        <v>2020</v>
      </c>
      <c r="J12025" s="10" t="s">
        <v>8565</v>
      </c>
      <c r="K12025" s="10">
        <v>186</v>
      </c>
      <c r="L12025" s="10" t="s">
        <v>51320</v>
      </c>
      <c r="M12025" s="10">
        <v>1</v>
      </c>
      <c r="N12025" s="10" t="s">
        <v>33257</v>
      </c>
      <c r="O12025" s="10">
        <v>46</v>
      </c>
      <c r="P12025" s="10" t="s">
        <v>51321</v>
      </c>
      <c r="Q12025" s="10"/>
      <c r="R12025" s="10" t="s">
        <v>51322</v>
      </c>
      <c r="S12025" s="10" t="s">
        <v>53</v>
      </c>
      <c r="T12025" s="10" t="s">
        <v>54</v>
      </c>
    </row>
    <row r="12026" spans="1:20" ht="14.5" x14ac:dyDescent="0.35">
      <c r="A12026" s="10" t="s">
        <v>51323</v>
      </c>
      <c r="B12026" s="10" t="str">
        <f>"9780271078335"</f>
        <v>9780271078335</v>
      </c>
      <c r="C12026" s="10" t="str">
        <f>"9780271079752"</f>
        <v>9780271079752</v>
      </c>
      <c r="D12026" s="10" t="s">
        <v>51324</v>
      </c>
      <c r="E12026" s="10" t="s">
        <v>6087</v>
      </c>
      <c r="F12026" s="10" t="s">
        <v>51325</v>
      </c>
      <c r="G12026" s="10" t="s">
        <v>6317</v>
      </c>
      <c r="H12026" s="11">
        <v>42839</v>
      </c>
      <c r="I12026" s="10">
        <v>2017</v>
      </c>
      <c r="J12026" s="10" t="s">
        <v>6087</v>
      </c>
      <c r="K12026" s="10">
        <v>236</v>
      </c>
      <c r="L12026" s="10" t="s">
        <v>51326</v>
      </c>
      <c r="M12026" s="10">
        <v>1</v>
      </c>
      <c r="N12026" s="10" t="s">
        <v>51327</v>
      </c>
      <c r="O12026" s="10"/>
      <c r="P12026" s="10"/>
      <c r="Q12026" s="10"/>
      <c r="R12026" s="10" t="s">
        <v>51328</v>
      </c>
      <c r="S12026" s="10" t="s">
        <v>53</v>
      </c>
      <c r="T12026" s="10" t="s">
        <v>8717</v>
      </c>
    </row>
    <row r="12027" spans="1:20" ht="14.5" x14ac:dyDescent="0.35">
      <c r="A12027" s="10" t="s">
        <v>51329</v>
      </c>
      <c r="B12027" s="10" t="str">
        <f>"9781839094651"</f>
        <v>9781839094651</v>
      </c>
      <c r="C12027" s="10" t="str">
        <f>"9781839094644"</f>
        <v>9781839094644</v>
      </c>
      <c r="D12027" s="10" t="s">
        <v>8699</v>
      </c>
      <c r="E12027" s="10" t="s">
        <v>8699</v>
      </c>
      <c r="F12027" s="10" t="s">
        <v>559</v>
      </c>
      <c r="G12027" s="10" t="s">
        <v>6352</v>
      </c>
      <c r="H12027" s="11">
        <v>44005</v>
      </c>
      <c r="I12027" s="10">
        <v>2020</v>
      </c>
      <c r="J12027" s="10" t="s">
        <v>8699</v>
      </c>
      <c r="K12027" s="10">
        <v>320</v>
      </c>
      <c r="L12027" s="10" t="s">
        <v>51330</v>
      </c>
      <c r="M12027" s="10">
        <v>1</v>
      </c>
      <c r="N12027" s="10" t="s">
        <v>29541</v>
      </c>
      <c r="O12027" s="10">
        <v>21</v>
      </c>
      <c r="P12027" s="10" t="s">
        <v>27182</v>
      </c>
      <c r="Q12027" s="10">
        <v>378</v>
      </c>
      <c r="R12027" s="10" t="s">
        <v>51331</v>
      </c>
      <c r="S12027" s="10" t="s">
        <v>53</v>
      </c>
      <c r="T12027" s="10" t="s">
        <v>54</v>
      </c>
    </row>
    <row r="12028" spans="1:20" ht="14.5" x14ac:dyDescent="0.35">
      <c r="A12028" s="10" t="s">
        <v>51332</v>
      </c>
      <c r="B12028" s="10" t="str">
        <f>"9780367406912"</f>
        <v>9780367406912</v>
      </c>
      <c r="C12028" s="10" t="str">
        <f>"9781000082470"</f>
        <v>9781000082470</v>
      </c>
      <c r="D12028" s="10" t="s">
        <v>6350</v>
      </c>
      <c r="E12028" s="10" t="s">
        <v>6351</v>
      </c>
      <c r="F12028" s="10" t="s">
        <v>3967</v>
      </c>
      <c r="G12028" s="10" t="s">
        <v>6352</v>
      </c>
      <c r="H12028" s="11">
        <v>44019</v>
      </c>
      <c r="I12028" s="10">
        <v>2021</v>
      </c>
      <c r="J12028" s="10" t="s">
        <v>6353</v>
      </c>
      <c r="K12028" s="10">
        <v>197</v>
      </c>
      <c r="L12028" s="10" t="s">
        <v>51333</v>
      </c>
      <c r="M12028" s="10">
        <v>1</v>
      </c>
      <c r="N12028" s="10"/>
      <c r="O12028" s="10"/>
      <c r="P12028" s="10" t="s">
        <v>51334</v>
      </c>
      <c r="Q12028" s="10">
        <v>371.90973000000002</v>
      </c>
      <c r="R12028" s="10" t="s">
        <v>51335</v>
      </c>
      <c r="S12028" s="10" t="s">
        <v>53</v>
      </c>
      <c r="T12028" s="10" t="s">
        <v>54</v>
      </c>
    </row>
    <row r="12029" spans="1:20" ht="14.5" x14ac:dyDescent="0.35">
      <c r="A12029" s="10" t="s">
        <v>51336</v>
      </c>
      <c r="B12029" s="10" t="str">
        <f>"9780367029524"</f>
        <v>9780367029524</v>
      </c>
      <c r="C12029" s="10" t="str">
        <f>"9780429672255"</f>
        <v>9780429672255</v>
      </c>
      <c r="D12029" s="10" t="s">
        <v>6350</v>
      </c>
      <c r="E12029" s="10" t="s">
        <v>6351</v>
      </c>
      <c r="F12029" s="10" t="s">
        <v>3967</v>
      </c>
      <c r="G12029" s="10" t="s">
        <v>6352</v>
      </c>
      <c r="H12029" s="11">
        <v>44027</v>
      </c>
      <c r="I12029" s="10">
        <v>2021</v>
      </c>
      <c r="J12029" s="10" t="s">
        <v>6353</v>
      </c>
      <c r="K12029" s="10">
        <v>313</v>
      </c>
      <c r="L12029" s="10" t="s">
        <v>51337</v>
      </c>
      <c r="M12029" s="10">
        <v>3</v>
      </c>
      <c r="N12029" s="10" t="s">
        <v>8813</v>
      </c>
      <c r="O12029" s="10"/>
      <c r="P12029" s="10" t="s">
        <v>51338</v>
      </c>
      <c r="Q12029" s="10">
        <v>304.2</v>
      </c>
      <c r="R12029" s="10" t="s">
        <v>51339</v>
      </c>
      <c r="S12029" s="10" t="s">
        <v>53</v>
      </c>
      <c r="T12029" s="10" t="s">
        <v>6363</v>
      </c>
    </row>
    <row r="12030" spans="1:20" ht="14.5" x14ac:dyDescent="0.35">
      <c r="A12030" s="10" t="s">
        <v>51340</v>
      </c>
      <c r="B12030" s="10" t="str">
        <f>"9783035802771"</f>
        <v>9783035802771</v>
      </c>
      <c r="C12030" s="10" t="str">
        <f>"9783035803556"</f>
        <v>9783035803556</v>
      </c>
      <c r="D12030" s="10" t="s">
        <v>27189</v>
      </c>
      <c r="E12030" s="10" t="s">
        <v>46043</v>
      </c>
      <c r="F12030" s="10" t="s">
        <v>51341</v>
      </c>
      <c r="G12030" s="10" t="s">
        <v>16676</v>
      </c>
      <c r="H12030" s="11">
        <v>43968</v>
      </c>
      <c r="I12030" s="10">
        <v>2020</v>
      </c>
      <c r="J12030" s="10" t="s">
        <v>46043</v>
      </c>
      <c r="K12030" s="10">
        <v>328</v>
      </c>
      <c r="L12030" s="10" t="s">
        <v>51342</v>
      </c>
      <c r="M12030" s="10"/>
      <c r="N12030" s="10"/>
      <c r="O12030" s="10"/>
      <c r="P12030" s="10" t="s">
        <v>51343</v>
      </c>
      <c r="Q12030" s="10">
        <v>370.1</v>
      </c>
      <c r="R12030" s="10" t="s">
        <v>48067</v>
      </c>
      <c r="S12030" s="10" t="s">
        <v>1519</v>
      </c>
      <c r="T12030" s="10" t="s">
        <v>54</v>
      </c>
    </row>
    <row r="12031" spans="1:20" ht="14.5" x14ac:dyDescent="0.35">
      <c r="A12031" s="10" t="s">
        <v>51344</v>
      </c>
      <c r="B12031" s="10" t="str">
        <f>"9781949539615"</f>
        <v>9781949539615</v>
      </c>
      <c r="C12031" s="10" t="str">
        <f>"9781949539622"</f>
        <v>9781949539622</v>
      </c>
      <c r="D12031" s="10" t="s">
        <v>37580</v>
      </c>
      <c r="E12031" s="10" t="s">
        <v>37581</v>
      </c>
      <c r="F12031" s="10" t="s">
        <v>37623</v>
      </c>
      <c r="G12031" s="10" t="s">
        <v>6317</v>
      </c>
      <c r="H12031" s="11">
        <v>44019</v>
      </c>
      <c r="I12031" s="10">
        <v>2021</v>
      </c>
      <c r="J12031" s="10" t="s">
        <v>37581</v>
      </c>
      <c r="K12031" s="10">
        <v>200</v>
      </c>
      <c r="L12031" s="10" t="s">
        <v>51345</v>
      </c>
      <c r="M12031" s="10">
        <v>1</v>
      </c>
      <c r="N12031" s="10"/>
      <c r="O12031" s="10"/>
      <c r="P12031" s="10" t="s">
        <v>51346</v>
      </c>
      <c r="Q12031" s="10">
        <v>370.71100000000001</v>
      </c>
      <c r="R12031" s="10" t="s">
        <v>51347</v>
      </c>
      <c r="S12031" s="10" t="s">
        <v>53</v>
      </c>
      <c r="T12031" s="10" t="s">
        <v>54</v>
      </c>
    </row>
    <row r="12032" spans="1:20" ht="14.5" x14ac:dyDescent="0.35">
      <c r="A12032" s="10" t="s">
        <v>51348</v>
      </c>
      <c r="B12032" s="10" t="str">
        <f>"9781949539295"</f>
        <v>9781949539295</v>
      </c>
      <c r="C12032" s="10" t="str">
        <f>"9781949539301"</f>
        <v>9781949539301</v>
      </c>
      <c r="D12032" s="10" t="s">
        <v>37580</v>
      </c>
      <c r="E12032" s="10" t="s">
        <v>37581</v>
      </c>
      <c r="F12032" s="10" t="s">
        <v>37623</v>
      </c>
      <c r="G12032" s="10" t="s">
        <v>6317</v>
      </c>
      <c r="H12032" s="11">
        <v>44020</v>
      </c>
      <c r="I12032" s="10">
        <v>2021</v>
      </c>
      <c r="J12032" s="10" t="s">
        <v>37581</v>
      </c>
      <c r="K12032" s="10">
        <v>152</v>
      </c>
      <c r="L12032" s="10" t="s">
        <v>51349</v>
      </c>
      <c r="M12032" s="10">
        <v>1</v>
      </c>
      <c r="N12032" s="10"/>
      <c r="O12032" s="10"/>
      <c r="P12032" s="10" t="s">
        <v>51350</v>
      </c>
      <c r="Q12032" s="10">
        <v>371.20699999999999</v>
      </c>
      <c r="R12032" s="10" t="s">
        <v>51351</v>
      </c>
      <c r="S12032" s="10" t="s">
        <v>53</v>
      </c>
      <c r="T12032" s="10" t="s">
        <v>54</v>
      </c>
    </row>
    <row r="12033" spans="1:20" ht="14.5" x14ac:dyDescent="0.35">
      <c r="A12033" s="10" t="s">
        <v>51352</v>
      </c>
      <c r="B12033" s="10" t="str">
        <f>"9781137411891"</f>
        <v>9781137411891</v>
      </c>
      <c r="C12033" s="10" t="str">
        <f>"9781137411907"</f>
        <v>9781137411907</v>
      </c>
      <c r="D12033" s="10" t="s">
        <v>13959</v>
      </c>
      <c r="E12033" s="10" t="s">
        <v>13960</v>
      </c>
      <c r="F12033" s="10" t="s">
        <v>139</v>
      </c>
      <c r="G12033" s="10" t="s">
        <v>6352</v>
      </c>
      <c r="H12033" s="11">
        <v>42725</v>
      </c>
      <c r="I12033" s="10">
        <v>2017</v>
      </c>
      <c r="J12033" s="10" t="s">
        <v>39618</v>
      </c>
      <c r="K12033" s="10">
        <v>239</v>
      </c>
      <c r="L12033" s="10" t="s">
        <v>51353</v>
      </c>
      <c r="M12033" s="10">
        <v>1</v>
      </c>
      <c r="N12033" s="10" t="s">
        <v>39620</v>
      </c>
      <c r="O12033" s="10"/>
      <c r="P12033" s="10" t="s">
        <v>11360</v>
      </c>
      <c r="Q12033" s="10">
        <v>378</v>
      </c>
      <c r="R12033" s="10" t="s">
        <v>51354</v>
      </c>
      <c r="S12033" s="10" t="s">
        <v>53</v>
      </c>
      <c r="T12033" s="10" t="s">
        <v>54</v>
      </c>
    </row>
    <row r="12034" spans="1:20" ht="14.5" x14ac:dyDescent="0.35">
      <c r="A12034" s="10" t="s">
        <v>51355</v>
      </c>
      <c r="B12034" s="10" t="str">
        <f>"9780230392106"</f>
        <v>9780230392106</v>
      </c>
      <c r="C12034" s="10" t="str">
        <f>"9780230392113"</f>
        <v>9780230392113</v>
      </c>
      <c r="D12034" s="10" t="s">
        <v>13959</v>
      </c>
      <c r="E12034" s="10" t="s">
        <v>13960</v>
      </c>
      <c r="F12034" s="10" t="s">
        <v>139</v>
      </c>
      <c r="G12034" s="10" t="s">
        <v>6352</v>
      </c>
      <c r="H12034" s="11">
        <v>42018</v>
      </c>
      <c r="I12034" s="10">
        <v>2015</v>
      </c>
      <c r="J12034" s="10" t="s">
        <v>39618</v>
      </c>
      <c r="K12034" s="10">
        <v>354</v>
      </c>
      <c r="L12034" s="10" t="s">
        <v>51356</v>
      </c>
      <c r="M12034" s="10">
        <v>1</v>
      </c>
      <c r="N12034" s="10" t="s">
        <v>43888</v>
      </c>
      <c r="O12034" s="10"/>
      <c r="P12034" s="10"/>
      <c r="Q12034" s="10">
        <v>808.06637799999999</v>
      </c>
      <c r="R12034" s="10" t="s">
        <v>13858</v>
      </c>
      <c r="S12034" s="10" t="s">
        <v>53</v>
      </c>
      <c r="T12034" s="10" t="s">
        <v>1166</v>
      </c>
    </row>
    <row r="12035" spans="1:20" ht="14.5" x14ac:dyDescent="0.35">
      <c r="A12035" s="10" t="s">
        <v>51357</v>
      </c>
      <c r="B12035" s="10" t="str">
        <f>"9781137497697"</f>
        <v>9781137497697</v>
      </c>
      <c r="C12035" s="10" t="str">
        <f>"9781137497703"</f>
        <v>9781137497703</v>
      </c>
      <c r="D12035" s="10" t="s">
        <v>13959</v>
      </c>
      <c r="E12035" s="10" t="s">
        <v>13960</v>
      </c>
      <c r="F12035" s="10" t="s">
        <v>139</v>
      </c>
      <c r="G12035" s="10" t="s">
        <v>6352</v>
      </c>
      <c r="H12035" s="11">
        <v>42636</v>
      </c>
      <c r="I12035" s="10">
        <v>2017</v>
      </c>
      <c r="J12035" s="10" t="s">
        <v>14057</v>
      </c>
      <c r="K12035" s="10">
        <v>240</v>
      </c>
      <c r="L12035" s="10" t="s">
        <v>51358</v>
      </c>
      <c r="M12035" s="10">
        <v>1</v>
      </c>
      <c r="N12035" s="10" t="s">
        <v>43888</v>
      </c>
      <c r="O12035" s="10"/>
      <c r="P12035" s="10" t="s">
        <v>43889</v>
      </c>
      <c r="Q12035" s="10">
        <v>808.06637799999999</v>
      </c>
      <c r="R12035" s="10" t="s">
        <v>45620</v>
      </c>
      <c r="S12035" s="10" t="s">
        <v>53</v>
      </c>
      <c r="T12035" s="10" t="s">
        <v>6568</v>
      </c>
    </row>
    <row r="12036" spans="1:20" ht="14.5" x14ac:dyDescent="0.35">
      <c r="A12036" s="10" t="s">
        <v>51359</v>
      </c>
      <c r="B12036" s="10" t="str">
        <f>"9781119653325"</f>
        <v>9781119653325</v>
      </c>
      <c r="C12036" s="10" t="str">
        <f>"9781119653318"</f>
        <v>9781119653318</v>
      </c>
      <c r="D12036" s="10" t="s">
        <v>6322</v>
      </c>
      <c r="E12036" s="10" t="s">
        <v>6323</v>
      </c>
      <c r="F12036" s="10" t="s">
        <v>4423</v>
      </c>
      <c r="G12036" s="10" t="s">
        <v>6317</v>
      </c>
      <c r="H12036" s="11">
        <v>44027</v>
      </c>
      <c r="I12036" s="10">
        <v>2020</v>
      </c>
      <c r="J12036" s="10" t="s">
        <v>6324</v>
      </c>
      <c r="K12036" s="10">
        <v>322</v>
      </c>
      <c r="L12036" s="10" t="s">
        <v>51360</v>
      </c>
      <c r="M12036" s="10">
        <v>2</v>
      </c>
      <c r="N12036" s="10"/>
      <c r="O12036" s="10"/>
      <c r="P12036" s="10"/>
      <c r="Q12036" s="10">
        <v>371.14800000000002</v>
      </c>
      <c r="R12036" s="10" t="s">
        <v>51361</v>
      </c>
      <c r="S12036" s="10" t="s">
        <v>53</v>
      </c>
      <c r="T12036" s="10" t="s">
        <v>54</v>
      </c>
    </row>
    <row r="12037" spans="1:20" ht="14.5" x14ac:dyDescent="0.35">
      <c r="A12037" s="10" t="s">
        <v>51362</v>
      </c>
      <c r="B12037" s="10" t="str">
        <f>"9780367481049"</f>
        <v>9780367481049</v>
      </c>
      <c r="C12037" s="10" t="str">
        <f>"9781000175141"</f>
        <v>9781000175141</v>
      </c>
      <c r="D12037" s="10" t="s">
        <v>6350</v>
      </c>
      <c r="E12037" s="10" t="s">
        <v>6351</v>
      </c>
      <c r="F12037" s="10" t="s">
        <v>3967</v>
      </c>
      <c r="G12037" s="10" t="s">
        <v>6352</v>
      </c>
      <c r="H12037" s="11">
        <v>44075</v>
      </c>
      <c r="I12037" s="10">
        <v>2021</v>
      </c>
      <c r="J12037" s="10" t="s">
        <v>6353</v>
      </c>
      <c r="K12037" s="10">
        <v>207</v>
      </c>
      <c r="L12037" s="10" t="s">
        <v>51363</v>
      </c>
      <c r="M12037" s="10">
        <v>1</v>
      </c>
      <c r="N12037" s="10" t="s">
        <v>6954</v>
      </c>
      <c r="O12037" s="10"/>
      <c r="P12037" s="10" t="s">
        <v>51364</v>
      </c>
      <c r="Q12037" s="10" t="s">
        <v>37883</v>
      </c>
      <c r="R12037" s="10" t="s">
        <v>51365</v>
      </c>
      <c r="S12037" s="10" t="s">
        <v>53</v>
      </c>
      <c r="T12037" s="10" t="s">
        <v>22958</v>
      </c>
    </row>
    <row r="12038" spans="1:20" ht="14.5" x14ac:dyDescent="0.35">
      <c r="A12038" s="10" t="s">
        <v>51366</v>
      </c>
      <c r="B12038" s="10" t="str">
        <f>"9781789736489"</f>
        <v>9781789736489</v>
      </c>
      <c r="C12038" s="10" t="str">
        <f>"9781789736496"</f>
        <v>9781789736496</v>
      </c>
      <c r="D12038" s="10" t="s">
        <v>8699</v>
      </c>
      <c r="E12038" s="10" t="s">
        <v>8699</v>
      </c>
      <c r="F12038" s="10" t="s">
        <v>559</v>
      </c>
      <c r="G12038" s="10" t="s">
        <v>6352</v>
      </c>
      <c r="H12038" s="11">
        <v>44025</v>
      </c>
      <c r="I12038" s="10">
        <v>2020</v>
      </c>
      <c r="J12038" s="10" t="s">
        <v>8699</v>
      </c>
      <c r="K12038" s="10">
        <v>225</v>
      </c>
      <c r="L12038" s="10" t="s">
        <v>51053</v>
      </c>
      <c r="M12038" s="10">
        <v>1</v>
      </c>
      <c r="N12038" s="10" t="s">
        <v>29541</v>
      </c>
      <c r="O12038" s="10">
        <v>22</v>
      </c>
      <c r="P12038" s="10" t="s">
        <v>27182</v>
      </c>
      <c r="Q12038" s="10">
        <v>378.1</v>
      </c>
      <c r="R12038" s="10" t="s">
        <v>18815</v>
      </c>
      <c r="S12038" s="10" t="s">
        <v>53</v>
      </c>
      <c r="T12038" s="10" t="s">
        <v>54</v>
      </c>
    </row>
    <row r="12039" spans="1:20" ht="14.5" x14ac:dyDescent="0.35">
      <c r="A12039" s="10" t="s">
        <v>51367</v>
      </c>
      <c r="B12039" s="10" t="str">
        <f>"9781557538048"</f>
        <v>9781557538048</v>
      </c>
      <c r="C12039" s="10" t="str">
        <f>"9781612495873"</f>
        <v>9781612495873</v>
      </c>
      <c r="D12039" s="10" t="s">
        <v>9533</v>
      </c>
      <c r="E12039" s="10" t="s">
        <v>4024</v>
      </c>
      <c r="F12039" s="10" t="s">
        <v>31319</v>
      </c>
      <c r="G12039" s="10" t="s">
        <v>6317</v>
      </c>
      <c r="H12039" s="11">
        <v>44058</v>
      </c>
      <c r="I12039" s="10">
        <v>2020</v>
      </c>
      <c r="J12039" s="10" t="s">
        <v>4024</v>
      </c>
      <c r="K12039" s="10">
        <v>441</v>
      </c>
      <c r="L12039" s="10" t="s">
        <v>51368</v>
      </c>
      <c r="M12039" s="10">
        <v>1</v>
      </c>
      <c r="N12039" s="10"/>
      <c r="O12039" s="10"/>
      <c r="P12039" s="10" t="s">
        <v>51369</v>
      </c>
      <c r="Q12039" s="10">
        <v>378.17</v>
      </c>
      <c r="R12039" s="10" t="s">
        <v>51370</v>
      </c>
      <c r="S12039" s="10" t="s">
        <v>53</v>
      </c>
      <c r="T12039" s="10" t="s">
        <v>54</v>
      </c>
    </row>
    <row r="12040" spans="1:20" ht="14.5" x14ac:dyDescent="0.35">
      <c r="A12040" s="10" t="s">
        <v>51371</v>
      </c>
      <c r="B12040" s="10" t="str">
        <f>"9789004432031"</f>
        <v>9789004432031</v>
      </c>
      <c r="C12040" s="10" t="str">
        <f>"9789004432048"</f>
        <v>9789004432048</v>
      </c>
      <c r="D12040" s="10" t="s">
        <v>8564</v>
      </c>
      <c r="E12040" s="10" t="s">
        <v>8565</v>
      </c>
      <c r="F12040" s="10" t="s">
        <v>1420</v>
      </c>
      <c r="G12040" s="10" t="s">
        <v>6317</v>
      </c>
      <c r="H12040" s="11">
        <v>44000</v>
      </c>
      <c r="I12040" s="10">
        <v>2020</v>
      </c>
      <c r="J12040" s="10" t="s">
        <v>33259</v>
      </c>
      <c r="K12040" s="10">
        <v>342</v>
      </c>
      <c r="L12040" s="10" t="s">
        <v>51372</v>
      </c>
      <c r="M12040" s="10">
        <v>1</v>
      </c>
      <c r="N12040" s="10" t="s">
        <v>51373</v>
      </c>
      <c r="O12040" s="10">
        <v>1</v>
      </c>
      <c r="P12040" s="10"/>
      <c r="Q12040" s="10"/>
      <c r="R12040" s="10" t="s">
        <v>51374</v>
      </c>
      <c r="S12040" s="10" t="s">
        <v>53</v>
      </c>
      <c r="T12040" s="10" t="s">
        <v>54</v>
      </c>
    </row>
    <row r="12041" spans="1:20" ht="14.5" x14ac:dyDescent="0.35">
      <c r="A12041" s="10" t="s">
        <v>51375</v>
      </c>
      <c r="B12041" s="10" t="str">
        <f>"9789027207111"</f>
        <v>9789027207111</v>
      </c>
      <c r="C12041" s="10" t="str">
        <f>"9789027260970"</f>
        <v>9789027260970</v>
      </c>
      <c r="D12041" s="10" t="s">
        <v>17335</v>
      </c>
      <c r="E12041" s="10" t="s">
        <v>17336</v>
      </c>
      <c r="F12041" s="10" t="s">
        <v>17385</v>
      </c>
      <c r="G12041" s="10" t="s">
        <v>9233</v>
      </c>
      <c r="H12041" s="11">
        <v>44042</v>
      </c>
      <c r="I12041" s="10">
        <v>2020</v>
      </c>
      <c r="J12041" s="10" t="s">
        <v>17336</v>
      </c>
      <c r="K12041" s="10">
        <v>212</v>
      </c>
      <c r="L12041" s="10" t="s">
        <v>51376</v>
      </c>
      <c r="M12041" s="10">
        <v>1</v>
      </c>
      <c r="N12041" s="10"/>
      <c r="O12041" s="10"/>
      <c r="P12041" s="10" t="s">
        <v>51377</v>
      </c>
      <c r="Q12041" s="10">
        <v>418</v>
      </c>
      <c r="R12041" s="10" t="s">
        <v>51378</v>
      </c>
      <c r="S12041" s="10" t="s">
        <v>53</v>
      </c>
      <c r="T12041" s="10" t="s">
        <v>6616</v>
      </c>
    </row>
    <row r="12042" spans="1:20" ht="14.5" x14ac:dyDescent="0.35">
      <c r="A12042" s="10" t="s">
        <v>51379</v>
      </c>
      <c r="B12042" s="10" t="str">
        <f>"9781138542938"</f>
        <v>9781138542938</v>
      </c>
      <c r="C12042" s="10" t="str">
        <f>"9781351007597"</f>
        <v>9781351007597</v>
      </c>
      <c r="D12042" s="10" t="s">
        <v>6350</v>
      </c>
      <c r="E12042" s="10" t="s">
        <v>6351</v>
      </c>
      <c r="F12042" s="10" t="s">
        <v>748</v>
      </c>
      <c r="G12042" s="10" t="s">
        <v>6352</v>
      </c>
      <c r="H12042" s="11">
        <v>44046</v>
      </c>
      <c r="I12042" s="10">
        <v>2021</v>
      </c>
      <c r="J12042" s="10" t="s">
        <v>6351</v>
      </c>
      <c r="K12042" s="10">
        <v>215</v>
      </c>
      <c r="L12042" s="10" t="s">
        <v>51380</v>
      </c>
      <c r="M12042" s="10">
        <v>1</v>
      </c>
      <c r="N12042" s="10"/>
      <c r="O12042" s="10"/>
      <c r="P12042" s="10" t="s">
        <v>51381</v>
      </c>
      <c r="Q12042" s="10">
        <v>362.10425700000002</v>
      </c>
      <c r="R12042" s="10" t="s">
        <v>51382</v>
      </c>
      <c r="S12042" s="10" t="s">
        <v>53</v>
      </c>
      <c r="T12042" s="10" t="s">
        <v>8493</v>
      </c>
    </row>
    <row r="12043" spans="1:20" ht="14.5" x14ac:dyDescent="0.35">
      <c r="A12043" s="10" t="s">
        <v>51383</v>
      </c>
      <c r="B12043" s="10" t="str">
        <f>"9781620368503"</f>
        <v>9781620368503</v>
      </c>
      <c r="C12043" s="10" t="str">
        <f>"9781000974546"</f>
        <v>9781000974546</v>
      </c>
      <c r="D12043" s="10" t="s">
        <v>6350</v>
      </c>
      <c r="E12043" s="10" t="s">
        <v>6351</v>
      </c>
      <c r="F12043" s="10" t="s">
        <v>748</v>
      </c>
      <c r="G12043" s="10" t="s">
        <v>6352</v>
      </c>
      <c r="H12043" s="11">
        <v>44021</v>
      </c>
      <c r="I12043" s="10">
        <v>2020</v>
      </c>
      <c r="J12043" s="10" t="s">
        <v>6351</v>
      </c>
      <c r="K12043" s="10">
        <v>279</v>
      </c>
      <c r="L12043" s="10" t="s">
        <v>51384</v>
      </c>
      <c r="M12043" s="10">
        <v>1</v>
      </c>
      <c r="N12043" s="10"/>
      <c r="O12043" s="10"/>
      <c r="P12043" s="10" t="s">
        <v>51385</v>
      </c>
      <c r="Q12043" s="10">
        <v>374</v>
      </c>
      <c r="R12043" s="10" t="s">
        <v>6337</v>
      </c>
      <c r="S12043" s="10" t="s">
        <v>53</v>
      </c>
      <c r="T12043" s="10" t="s">
        <v>54</v>
      </c>
    </row>
    <row r="12044" spans="1:20" ht="14.5" x14ac:dyDescent="0.35">
      <c r="A12044" s="10" t="s">
        <v>51386</v>
      </c>
      <c r="B12044" s="10" t="str">
        <f>"9781949539936"</f>
        <v>9781949539936</v>
      </c>
      <c r="C12044" s="10" t="str">
        <f>"9781949539943"</f>
        <v>9781949539943</v>
      </c>
      <c r="D12044" s="10" t="s">
        <v>37580</v>
      </c>
      <c r="E12044" s="10" t="s">
        <v>37581</v>
      </c>
      <c r="F12044" s="10" t="s">
        <v>37623</v>
      </c>
      <c r="G12044" s="10" t="s">
        <v>6317</v>
      </c>
      <c r="H12044" s="11">
        <v>44033</v>
      </c>
      <c r="I12044" s="10">
        <v>2021</v>
      </c>
      <c r="J12044" s="10" t="s">
        <v>37581</v>
      </c>
      <c r="K12044" s="10">
        <v>192</v>
      </c>
      <c r="L12044" s="10" t="s">
        <v>51387</v>
      </c>
      <c r="M12044" s="10">
        <v>1</v>
      </c>
      <c r="N12044" s="10"/>
      <c r="O12044" s="10"/>
      <c r="P12044" s="10" t="s">
        <v>51388</v>
      </c>
      <c r="Q12044" s="10">
        <v>370.15</v>
      </c>
      <c r="R12044" s="10" t="s">
        <v>13858</v>
      </c>
      <c r="S12044" s="10" t="s">
        <v>53</v>
      </c>
      <c r="T12044" s="10" t="s">
        <v>54</v>
      </c>
    </row>
    <row r="12045" spans="1:20" ht="14.5" x14ac:dyDescent="0.35">
      <c r="A12045" s="10" t="s">
        <v>51389</v>
      </c>
      <c r="B12045" s="10" t="str">
        <f>""</f>
        <v/>
      </c>
      <c r="C12045" s="10" t="str">
        <f>"9781938113888"</f>
        <v>9781938113888</v>
      </c>
      <c r="D12045" s="10" t="s">
        <v>9533</v>
      </c>
      <c r="E12045" s="10" t="s">
        <v>5950</v>
      </c>
      <c r="F12045" s="10" t="s">
        <v>25348</v>
      </c>
      <c r="G12045" s="10" t="s">
        <v>6317</v>
      </c>
      <c r="H12045" s="11">
        <v>44089</v>
      </c>
      <c r="I12045" s="10">
        <v>2020</v>
      </c>
      <c r="J12045" s="10" t="s">
        <v>5950</v>
      </c>
      <c r="K12045" s="10">
        <v>181</v>
      </c>
      <c r="L12045" s="10" t="s">
        <v>51390</v>
      </c>
      <c r="M12045" s="10">
        <v>1</v>
      </c>
      <c r="N12045" s="10"/>
      <c r="O12045" s="10"/>
      <c r="P12045" s="10" t="s">
        <v>51391</v>
      </c>
      <c r="Q12045" s="10">
        <v>372.21</v>
      </c>
      <c r="R12045" s="10" t="s">
        <v>51392</v>
      </c>
      <c r="S12045" s="10" t="s">
        <v>53</v>
      </c>
      <c r="T12045" s="10" t="s">
        <v>54</v>
      </c>
    </row>
    <row r="12046" spans="1:20" ht="14.5" x14ac:dyDescent="0.35">
      <c r="A12046" s="10" t="s">
        <v>51393</v>
      </c>
      <c r="B12046" s="10" t="str">
        <f>"9781975502911"</f>
        <v>9781975502911</v>
      </c>
      <c r="C12046" s="10" t="str">
        <f>"9781975502935"</f>
        <v>9781975502935</v>
      </c>
      <c r="D12046" s="10" t="s">
        <v>44271</v>
      </c>
      <c r="E12046" s="10" t="s">
        <v>47266</v>
      </c>
      <c r="F12046" s="10" t="s">
        <v>41227</v>
      </c>
      <c r="G12046" s="10" t="s">
        <v>6317</v>
      </c>
      <c r="H12046" s="11">
        <v>43984</v>
      </c>
      <c r="I12046" s="10">
        <v>2020</v>
      </c>
      <c r="J12046" s="10" t="s">
        <v>47266</v>
      </c>
      <c r="K12046" s="10">
        <v>195</v>
      </c>
      <c r="L12046" s="10" t="s">
        <v>51394</v>
      </c>
      <c r="M12046" s="10">
        <v>1</v>
      </c>
      <c r="N12046" s="10" t="s">
        <v>48355</v>
      </c>
      <c r="O12046" s="10"/>
      <c r="P12046" s="10" t="s">
        <v>51395</v>
      </c>
      <c r="Q12046" s="10">
        <v>370.1</v>
      </c>
      <c r="R12046" s="10" t="s">
        <v>48067</v>
      </c>
      <c r="S12046" s="10" t="s">
        <v>53</v>
      </c>
      <c r="T12046" s="10" t="s">
        <v>54</v>
      </c>
    </row>
    <row r="12047" spans="1:20" ht="14.5" x14ac:dyDescent="0.35">
      <c r="A12047" s="10" t="s">
        <v>51396</v>
      </c>
      <c r="B12047" s="10" t="str">
        <f>"9781559570435"</f>
        <v>9781559570435</v>
      </c>
      <c r="C12047" s="10" t="str">
        <f>"9781559570442"</f>
        <v>9781559570442</v>
      </c>
      <c r="D12047" s="10" t="s">
        <v>51397</v>
      </c>
      <c r="E12047" s="10" t="s">
        <v>51398</v>
      </c>
      <c r="F12047" s="10" t="s">
        <v>51399</v>
      </c>
      <c r="G12047" s="10" t="s">
        <v>6317</v>
      </c>
      <c r="H12047" s="11">
        <v>42401</v>
      </c>
      <c r="I12047" s="10">
        <v>2016</v>
      </c>
      <c r="J12047" s="10" t="s">
        <v>51400</v>
      </c>
      <c r="K12047" s="10">
        <v>104</v>
      </c>
      <c r="L12047" s="10" t="s">
        <v>51401</v>
      </c>
      <c r="M12047" s="10">
        <v>1</v>
      </c>
      <c r="N12047" s="10"/>
      <c r="O12047" s="10"/>
      <c r="P12047" s="10" t="s">
        <v>51402</v>
      </c>
      <c r="Q12047" s="10">
        <v>371.93</v>
      </c>
      <c r="R12047" s="10" t="s">
        <v>51403</v>
      </c>
      <c r="S12047" s="10" t="s">
        <v>53</v>
      </c>
      <c r="T12047" s="10" t="s">
        <v>54</v>
      </c>
    </row>
    <row r="12048" spans="1:20" ht="14.5" x14ac:dyDescent="0.35">
      <c r="A12048" s="10" t="s">
        <v>51404</v>
      </c>
      <c r="B12048" s="10" t="str">
        <f>"9781839094392"</f>
        <v>9781839094392</v>
      </c>
      <c r="C12048" s="10" t="str">
        <f>"9781839094385"</f>
        <v>9781839094385</v>
      </c>
      <c r="D12048" s="10" t="s">
        <v>8699</v>
      </c>
      <c r="E12048" s="10" t="s">
        <v>8699</v>
      </c>
      <c r="F12048" s="10" t="s">
        <v>559</v>
      </c>
      <c r="G12048" s="10" t="s">
        <v>6352</v>
      </c>
      <c r="H12048" s="11">
        <v>44036</v>
      </c>
      <c r="I12048" s="10">
        <v>2020</v>
      </c>
      <c r="J12048" s="10" t="s">
        <v>8699</v>
      </c>
      <c r="K12048" s="10">
        <v>268</v>
      </c>
      <c r="L12048" s="10" t="s">
        <v>51330</v>
      </c>
      <c r="M12048" s="10">
        <v>1</v>
      </c>
      <c r="N12048" s="10" t="s">
        <v>29541</v>
      </c>
      <c r="O12048" s="10">
        <v>23</v>
      </c>
      <c r="P12048" s="10" t="s">
        <v>26825</v>
      </c>
      <c r="Q12048" s="10">
        <v>378.1</v>
      </c>
      <c r="R12048" s="10" t="s">
        <v>51405</v>
      </c>
      <c r="S12048" s="10" t="s">
        <v>53</v>
      </c>
      <c r="T12048" s="10" t="s">
        <v>54</v>
      </c>
    </row>
    <row r="12049" spans="1:20" ht="14.5" x14ac:dyDescent="0.35">
      <c r="A12049" s="10" t="s">
        <v>51406</v>
      </c>
      <c r="B12049" s="10" t="str">
        <f>"9780761938828"</f>
        <v>9780761938828</v>
      </c>
      <c r="C12049" s="10" t="str">
        <f>"9781452214016"</f>
        <v>9781452214016</v>
      </c>
      <c r="D12049" s="10" t="s">
        <v>22210</v>
      </c>
      <c r="E12049" s="10" t="s">
        <v>22211</v>
      </c>
      <c r="F12049" s="10" t="s">
        <v>333</v>
      </c>
      <c r="G12049" s="10" t="s">
        <v>6317</v>
      </c>
      <c r="H12049" s="11">
        <v>38052</v>
      </c>
      <c r="I12049" s="10">
        <v>2004</v>
      </c>
      <c r="J12049" s="10" t="s">
        <v>22211</v>
      </c>
      <c r="K12049" s="10">
        <v>217</v>
      </c>
      <c r="L12049" s="10" t="s">
        <v>51407</v>
      </c>
      <c r="M12049" s="10">
        <v>1</v>
      </c>
      <c r="N12049" s="10"/>
      <c r="O12049" s="10"/>
      <c r="P12049" s="10" t="s">
        <v>51408</v>
      </c>
      <c r="Q12049" s="10" t="s">
        <v>51409</v>
      </c>
      <c r="R12049" s="10" t="s">
        <v>51410</v>
      </c>
      <c r="S12049" s="10" t="s">
        <v>53</v>
      </c>
      <c r="T12049" s="10" t="s">
        <v>6363</v>
      </c>
    </row>
    <row r="12050" spans="1:20" ht="14.5" x14ac:dyDescent="0.35">
      <c r="A12050" s="10" t="s">
        <v>51411</v>
      </c>
      <c r="B12050" s="10" t="str">
        <f>"9781544367149"</f>
        <v>9781544367149</v>
      </c>
      <c r="C12050" s="10" t="str">
        <f>"9781071813805"</f>
        <v>9781071813805</v>
      </c>
      <c r="D12050" s="10" t="s">
        <v>22210</v>
      </c>
      <c r="E12050" s="10" t="s">
        <v>22211</v>
      </c>
      <c r="F12050" s="10" t="s">
        <v>333</v>
      </c>
      <c r="G12050" s="10" t="s">
        <v>6317</v>
      </c>
      <c r="H12050" s="11">
        <v>43976</v>
      </c>
      <c r="I12050" s="10">
        <v>2020</v>
      </c>
      <c r="J12050" s="10" t="s">
        <v>22211</v>
      </c>
      <c r="K12050" s="10">
        <v>169</v>
      </c>
      <c r="L12050" s="10" t="s">
        <v>51412</v>
      </c>
      <c r="M12050" s="10">
        <v>1</v>
      </c>
      <c r="N12050" s="10" t="s">
        <v>43548</v>
      </c>
      <c r="O12050" s="10"/>
      <c r="P12050" s="10" t="s">
        <v>51413</v>
      </c>
      <c r="Q12050" s="10">
        <v>372.4</v>
      </c>
      <c r="R12050" s="10"/>
      <c r="S12050" s="10" t="s">
        <v>53</v>
      </c>
      <c r="T12050" s="10" t="s">
        <v>54</v>
      </c>
    </row>
    <row r="12051" spans="1:20" ht="14.5" x14ac:dyDescent="0.35">
      <c r="A12051" s="10" t="s">
        <v>51414</v>
      </c>
      <c r="B12051" s="10" t="str">
        <f>"9781412927307"</f>
        <v>9781412927307</v>
      </c>
      <c r="C12051" s="10" t="str">
        <f>"9781452209722"</f>
        <v>9781452209722</v>
      </c>
      <c r="D12051" s="10" t="s">
        <v>22210</v>
      </c>
      <c r="E12051" s="10" t="s">
        <v>22211</v>
      </c>
      <c r="F12051" s="10" t="s">
        <v>333</v>
      </c>
      <c r="G12051" s="10" t="s">
        <v>6317</v>
      </c>
      <c r="H12051" s="11">
        <v>38819</v>
      </c>
      <c r="I12051" s="10">
        <v>2007</v>
      </c>
      <c r="J12051" s="10" t="s">
        <v>22211</v>
      </c>
      <c r="K12051" s="10">
        <v>185</v>
      </c>
      <c r="L12051" s="10" t="s">
        <v>22294</v>
      </c>
      <c r="M12051" s="10">
        <v>1</v>
      </c>
      <c r="N12051" s="10"/>
      <c r="O12051" s="10"/>
      <c r="P12051" s="10" t="s">
        <v>51415</v>
      </c>
      <c r="Q12051" s="10">
        <v>371.33</v>
      </c>
      <c r="R12051" s="10" t="s">
        <v>51416</v>
      </c>
      <c r="S12051" s="10" t="s">
        <v>53</v>
      </c>
      <c r="T12051" s="10" t="s">
        <v>54</v>
      </c>
    </row>
    <row r="12052" spans="1:20" ht="14.5" x14ac:dyDescent="0.35">
      <c r="A12052" s="10" t="s">
        <v>51417</v>
      </c>
      <c r="B12052" s="10" t="str">
        <f>"9781071803066"</f>
        <v>9781071803066</v>
      </c>
      <c r="C12052" s="10" t="str">
        <f>"9781071803097"</f>
        <v>9781071803097</v>
      </c>
      <c r="D12052" s="10" t="s">
        <v>22210</v>
      </c>
      <c r="E12052" s="10" t="s">
        <v>22211</v>
      </c>
      <c r="F12052" s="10" t="s">
        <v>333</v>
      </c>
      <c r="G12052" s="10" t="s">
        <v>6317</v>
      </c>
      <c r="H12052" s="11">
        <v>43976</v>
      </c>
      <c r="I12052" s="10">
        <v>2020</v>
      </c>
      <c r="J12052" s="10" t="s">
        <v>22211</v>
      </c>
      <c r="K12052" s="10">
        <v>257</v>
      </c>
      <c r="L12052" s="10" t="s">
        <v>51418</v>
      </c>
      <c r="M12052" s="10">
        <v>1</v>
      </c>
      <c r="N12052" s="10"/>
      <c r="O12052" s="10"/>
      <c r="P12052" s="10" t="s">
        <v>51419</v>
      </c>
      <c r="Q12052" s="10">
        <v>344.73077999999998</v>
      </c>
      <c r="R12052" s="10" t="s">
        <v>51420</v>
      </c>
      <c r="S12052" s="10" t="s">
        <v>53</v>
      </c>
      <c r="T12052" s="10" t="s">
        <v>5396</v>
      </c>
    </row>
    <row r="12053" spans="1:20" ht="14.5" x14ac:dyDescent="0.35">
      <c r="A12053" s="10" t="s">
        <v>51421</v>
      </c>
      <c r="B12053" s="10" t="str">
        <f>"9781544367163"</f>
        <v>9781544367163</v>
      </c>
      <c r="C12053" s="10" t="str">
        <f>"9781071802014"</f>
        <v>9781071802014</v>
      </c>
      <c r="D12053" s="10" t="s">
        <v>22210</v>
      </c>
      <c r="E12053" s="10" t="s">
        <v>22211</v>
      </c>
      <c r="F12053" s="10" t="s">
        <v>333</v>
      </c>
      <c r="G12053" s="10" t="s">
        <v>6317</v>
      </c>
      <c r="H12053" s="11">
        <v>43882</v>
      </c>
      <c r="I12053" s="10">
        <v>2020</v>
      </c>
      <c r="J12053" s="10" t="s">
        <v>22211</v>
      </c>
      <c r="K12053" s="10">
        <v>169</v>
      </c>
      <c r="L12053" s="10" t="s">
        <v>51412</v>
      </c>
      <c r="M12053" s="10">
        <v>1</v>
      </c>
      <c r="N12053" s="10" t="s">
        <v>43548</v>
      </c>
      <c r="O12053" s="10"/>
      <c r="P12053" s="10" t="s">
        <v>51422</v>
      </c>
      <c r="Q12053" s="10">
        <v>372.6</v>
      </c>
      <c r="R12053" s="10" t="s">
        <v>51423</v>
      </c>
      <c r="S12053" s="10" t="s">
        <v>53</v>
      </c>
      <c r="T12053" s="10" t="s">
        <v>54</v>
      </c>
    </row>
    <row r="12054" spans="1:20" ht="14.5" x14ac:dyDescent="0.35">
      <c r="A12054" s="10" t="s">
        <v>51424</v>
      </c>
      <c r="B12054" s="10" t="str">
        <f>"9781412972918"</f>
        <v>9781412972918</v>
      </c>
      <c r="C12054" s="10" t="str">
        <f>"9781452211305"</f>
        <v>9781452211305</v>
      </c>
      <c r="D12054" s="10" t="s">
        <v>22210</v>
      </c>
      <c r="E12054" s="10" t="s">
        <v>22211</v>
      </c>
      <c r="F12054" s="10" t="s">
        <v>333</v>
      </c>
      <c r="G12054" s="10" t="s">
        <v>6317</v>
      </c>
      <c r="H12054" s="11">
        <v>40154</v>
      </c>
      <c r="I12054" s="10">
        <v>2010</v>
      </c>
      <c r="J12054" s="10" t="s">
        <v>22211</v>
      </c>
      <c r="K12054" s="10">
        <v>185</v>
      </c>
      <c r="L12054" s="10" t="s">
        <v>51425</v>
      </c>
      <c r="M12054" s="10">
        <v>1</v>
      </c>
      <c r="N12054" s="10"/>
      <c r="O12054" s="10"/>
      <c r="P12054" s="10" t="s">
        <v>51426</v>
      </c>
      <c r="Q12054" s="10" t="s">
        <v>6920</v>
      </c>
      <c r="R12054" s="10" t="s">
        <v>51427</v>
      </c>
      <c r="S12054" s="10" t="s">
        <v>53</v>
      </c>
      <c r="T12054" s="10" t="s">
        <v>54</v>
      </c>
    </row>
    <row r="12055" spans="1:20" ht="14.5" x14ac:dyDescent="0.35">
      <c r="A12055" s="10" t="s">
        <v>51428</v>
      </c>
      <c r="B12055" s="10" t="str">
        <f>"9781544355085"</f>
        <v>9781544355085</v>
      </c>
      <c r="C12055" s="10" t="str">
        <f>"9781544355122"</f>
        <v>9781544355122</v>
      </c>
      <c r="D12055" s="10" t="s">
        <v>22210</v>
      </c>
      <c r="E12055" s="10" t="s">
        <v>22211</v>
      </c>
      <c r="F12055" s="10" t="s">
        <v>333</v>
      </c>
      <c r="G12055" s="10" t="s">
        <v>6317</v>
      </c>
      <c r="H12055" s="11">
        <v>43916</v>
      </c>
      <c r="I12055" s="10">
        <v>2020</v>
      </c>
      <c r="J12055" s="10" t="s">
        <v>22211</v>
      </c>
      <c r="K12055" s="10">
        <v>209</v>
      </c>
      <c r="L12055" s="10" t="s">
        <v>51429</v>
      </c>
      <c r="M12055" s="10">
        <v>1</v>
      </c>
      <c r="N12055" s="10"/>
      <c r="O12055" s="10"/>
      <c r="P12055" s="10"/>
      <c r="Q12055" s="10">
        <v>371.2</v>
      </c>
      <c r="R12055" s="10" t="s">
        <v>22502</v>
      </c>
      <c r="S12055" s="10" t="s">
        <v>53</v>
      </c>
      <c r="T12055" s="10" t="s">
        <v>54</v>
      </c>
    </row>
    <row r="12056" spans="1:20" ht="14.5" x14ac:dyDescent="0.35">
      <c r="A12056" s="10" t="s">
        <v>51430</v>
      </c>
      <c r="B12056" s="10" t="str">
        <f>"9781506392523"</f>
        <v>9781506392523</v>
      </c>
      <c r="C12056" s="10" t="str">
        <f>"9781506392530"</f>
        <v>9781506392530</v>
      </c>
      <c r="D12056" s="10" t="s">
        <v>22210</v>
      </c>
      <c r="E12056" s="10" t="s">
        <v>22211</v>
      </c>
      <c r="F12056" s="10" t="s">
        <v>333</v>
      </c>
      <c r="G12056" s="10" t="s">
        <v>6317</v>
      </c>
      <c r="H12056" s="11">
        <v>43047</v>
      </c>
      <c r="I12056" s="10">
        <v>2018</v>
      </c>
      <c r="J12056" s="10" t="s">
        <v>22211</v>
      </c>
      <c r="K12056" s="10">
        <v>169</v>
      </c>
      <c r="L12056" s="10" t="s">
        <v>51431</v>
      </c>
      <c r="M12056" s="10">
        <v>1</v>
      </c>
      <c r="N12056" s="10" t="s">
        <v>46256</v>
      </c>
      <c r="O12056" s="10"/>
      <c r="P12056" s="10"/>
      <c r="Q12056" s="10">
        <v>370</v>
      </c>
      <c r="R12056" s="10" t="s">
        <v>51432</v>
      </c>
      <c r="S12056" s="10" t="s">
        <v>53</v>
      </c>
      <c r="T12056" s="10" t="s">
        <v>54</v>
      </c>
    </row>
    <row r="12057" spans="1:20" ht="14.5" x14ac:dyDescent="0.35">
      <c r="A12057" s="10" t="s">
        <v>51433</v>
      </c>
      <c r="B12057" s="10" t="str">
        <f>"9781483358185"</f>
        <v>9781483358185</v>
      </c>
      <c r="C12057" s="10" t="str">
        <f>"9781506343068"</f>
        <v>9781506343068</v>
      </c>
      <c r="D12057" s="10" t="s">
        <v>22210</v>
      </c>
      <c r="E12057" s="10" t="s">
        <v>22211</v>
      </c>
      <c r="F12057" s="10" t="s">
        <v>333</v>
      </c>
      <c r="G12057" s="10" t="s">
        <v>6317</v>
      </c>
      <c r="H12057" s="11">
        <v>42976</v>
      </c>
      <c r="I12057" s="10">
        <v>2018</v>
      </c>
      <c r="J12057" s="10" t="s">
        <v>22211</v>
      </c>
      <c r="K12057" s="10">
        <v>241</v>
      </c>
      <c r="L12057" s="10" t="s">
        <v>51434</v>
      </c>
      <c r="M12057" s="10">
        <v>1</v>
      </c>
      <c r="N12057" s="10" t="s">
        <v>46256</v>
      </c>
      <c r="O12057" s="10"/>
      <c r="P12057" s="10" t="s">
        <v>51435</v>
      </c>
      <c r="Q12057" s="10"/>
      <c r="R12057" s="10" t="s">
        <v>51436</v>
      </c>
      <c r="S12057" s="10" t="s">
        <v>53</v>
      </c>
      <c r="T12057" s="10" t="s">
        <v>6363</v>
      </c>
    </row>
    <row r="12058" spans="1:20" ht="14.5" x14ac:dyDescent="0.35">
      <c r="A12058" s="10" t="s">
        <v>51437</v>
      </c>
      <c r="B12058" s="10" t="str">
        <f>"9781506339573"</f>
        <v>9781506339573</v>
      </c>
      <c r="C12058" s="10" t="str">
        <f>"9781506374291"</f>
        <v>9781506374291</v>
      </c>
      <c r="D12058" s="10" t="s">
        <v>22210</v>
      </c>
      <c r="E12058" s="10" t="s">
        <v>22211</v>
      </c>
      <c r="F12058" s="10" t="s">
        <v>333</v>
      </c>
      <c r="G12058" s="10" t="s">
        <v>6317</v>
      </c>
      <c r="H12058" s="11">
        <v>42643</v>
      </c>
      <c r="I12058" s="10">
        <v>2017</v>
      </c>
      <c r="J12058" s="10" t="s">
        <v>22211</v>
      </c>
      <c r="K12058" s="10">
        <v>273</v>
      </c>
      <c r="L12058" s="10" t="s">
        <v>51438</v>
      </c>
      <c r="M12058" s="10">
        <v>1</v>
      </c>
      <c r="N12058" s="10" t="s">
        <v>43548</v>
      </c>
      <c r="O12058" s="10"/>
      <c r="P12058" s="10" t="s">
        <v>51439</v>
      </c>
      <c r="Q12058" s="10">
        <v>372.47</v>
      </c>
      <c r="R12058" s="10" t="s">
        <v>51440</v>
      </c>
      <c r="S12058" s="10" t="s">
        <v>53</v>
      </c>
      <c r="T12058" s="10" t="s">
        <v>54</v>
      </c>
    </row>
    <row r="12059" spans="1:20" ht="14.5" x14ac:dyDescent="0.35">
      <c r="A12059" s="10" t="s">
        <v>51441</v>
      </c>
      <c r="B12059" s="10" t="str">
        <f>"9781544327242"</f>
        <v>9781544327242</v>
      </c>
      <c r="C12059" s="10" t="str">
        <f>"9781544327259"</f>
        <v>9781544327259</v>
      </c>
      <c r="D12059" s="10" t="s">
        <v>22210</v>
      </c>
      <c r="E12059" s="10" t="s">
        <v>22211</v>
      </c>
      <c r="F12059" s="10" t="s">
        <v>333</v>
      </c>
      <c r="G12059" s="10" t="s">
        <v>6317</v>
      </c>
      <c r="H12059" s="11">
        <v>43403</v>
      </c>
      <c r="I12059" s="10">
        <v>2019</v>
      </c>
      <c r="J12059" s="10" t="s">
        <v>22211</v>
      </c>
      <c r="K12059" s="10">
        <v>289</v>
      </c>
      <c r="L12059" s="10" t="s">
        <v>50392</v>
      </c>
      <c r="M12059" s="10">
        <v>1</v>
      </c>
      <c r="N12059" s="10" t="s">
        <v>43548</v>
      </c>
      <c r="O12059" s="10"/>
      <c r="P12059" s="10" t="s">
        <v>51442</v>
      </c>
      <c r="Q12059" s="10"/>
      <c r="R12059" s="10"/>
      <c r="S12059" s="10" t="s">
        <v>53</v>
      </c>
      <c r="T12059" s="10" t="s">
        <v>54</v>
      </c>
    </row>
    <row r="12060" spans="1:20" ht="14.5" x14ac:dyDescent="0.35">
      <c r="A12060" s="10" t="s">
        <v>51443</v>
      </c>
      <c r="B12060" s="10" t="str">
        <f>"9781506376622"</f>
        <v>9781506376622</v>
      </c>
      <c r="C12060" s="10" t="str">
        <f>"9781506376639"</f>
        <v>9781506376639</v>
      </c>
      <c r="D12060" s="10" t="s">
        <v>22210</v>
      </c>
      <c r="E12060" s="10" t="s">
        <v>22211</v>
      </c>
      <c r="F12060" s="10" t="s">
        <v>333</v>
      </c>
      <c r="G12060" s="10" t="s">
        <v>6317</v>
      </c>
      <c r="H12060" s="11">
        <v>43294</v>
      </c>
      <c r="I12060" s="10">
        <v>2019</v>
      </c>
      <c r="J12060" s="10" t="s">
        <v>22211</v>
      </c>
      <c r="K12060" s="10">
        <v>225</v>
      </c>
      <c r="L12060" s="10" t="s">
        <v>51444</v>
      </c>
      <c r="M12060" s="10">
        <v>1</v>
      </c>
      <c r="N12060" s="10" t="s">
        <v>46256</v>
      </c>
      <c r="O12060" s="10"/>
      <c r="P12060" s="10" t="s">
        <v>51445</v>
      </c>
      <c r="Q12060" s="10"/>
      <c r="R12060" s="10"/>
      <c r="S12060" s="10" t="s">
        <v>53</v>
      </c>
      <c r="T12060" s="10" t="s">
        <v>54</v>
      </c>
    </row>
    <row r="12061" spans="1:20" ht="14.5" x14ac:dyDescent="0.35">
      <c r="A12061" s="10" t="s">
        <v>51446</v>
      </c>
      <c r="B12061" s="10" t="str">
        <f>"9781506376332"</f>
        <v>9781506376332</v>
      </c>
      <c r="C12061" s="10" t="str">
        <f>"9781506376356"</f>
        <v>9781506376356</v>
      </c>
      <c r="D12061" s="10" t="s">
        <v>22210</v>
      </c>
      <c r="E12061" s="10" t="s">
        <v>22211</v>
      </c>
      <c r="F12061" s="10" t="s">
        <v>333</v>
      </c>
      <c r="G12061" s="10" t="s">
        <v>6317</v>
      </c>
      <c r="H12061" s="11">
        <v>42971</v>
      </c>
      <c r="I12061" s="10">
        <v>2018</v>
      </c>
      <c r="J12061" s="10" t="s">
        <v>22211</v>
      </c>
      <c r="K12061" s="10">
        <v>225</v>
      </c>
      <c r="L12061" s="10" t="s">
        <v>51447</v>
      </c>
      <c r="M12061" s="10">
        <v>1</v>
      </c>
      <c r="N12061" s="10"/>
      <c r="O12061" s="10"/>
      <c r="P12061" s="10"/>
      <c r="Q12061" s="10">
        <v>302.07119999999998</v>
      </c>
      <c r="R12061" s="10"/>
      <c r="S12061" s="10" t="s">
        <v>53</v>
      </c>
      <c r="T12061" s="10" t="s">
        <v>6363</v>
      </c>
    </row>
    <row r="12062" spans="1:20" ht="14.5" x14ac:dyDescent="0.35">
      <c r="A12062" s="10" t="s">
        <v>51448</v>
      </c>
      <c r="B12062" s="10" t="str">
        <f>"9781071813928"</f>
        <v>9781071813928</v>
      </c>
      <c r="C12062" s="10" t="str">
        <f>"9781071802120"</f>
        <v>9781071802120</v>
      </c>
      <c r="D12062" s="10" t="s">
        <v>22210</v>
      </c>
      <c r="E12062" s="10" t="s">
        <v>22211</v>
      </c>
      <c r="F12062" s="10" t="s">
        <v>333</v>
      </c>
      <c r="G12062" s="10" t="s">
        <v>6317</v>
      </c>
      <c r="H12062" s="11">
        <v>43951</v>
      </c>
      <c r="I12062" s="10">
        <v>2020</v>
      </c>
      <c r="J12062" s="10" t="s">
        <v>22211</v>
      </c>
      <c r="K12062" s="10">
        <v>225</v>
      </c>
      <c r="L12062" s="10" t="s">
        <v>19582</v>
      </c>
      <c r="M12062" s="10">
        <v>1</v>
      </c>
      <c r="N12062" s="10"/>
      <c r="O12062" s="10"/>
      <c r="P12062" s="10" t="s">
        <v>51449</v>
      </c>
      <c r="Q12062" s="10">
        <v>371.10199999999998</v>
      </c>
      <c r="R12062" s="10"/>
      <c r="S12062" s="10" t="s">
        <v>53</v>
      </c>
      <c r="T12062" s="10" t="s">
        <v>54</v>
      </c>
    </row>
    <row r="12063" spans="1:20" ht="14.5" x14ac:dyDescent="0.35">
      <c r="A12063" s="10" t="s">
        <v>51450</v>
      </c>
      <c r="B12063" s="10" t="str">
        <f>"9781544384856"</f>
        <v>9781544384856</v>
      </c>
      <c r="C12063" s="10" t="str">
        <f>"9781544398860"</f>
        <v>9781544398860</v>
      </c>
      <c r="D12063" s="10" t="s">
        <v>22210</v>
      </c>
      <c r="E12063" s="10" t="s">
        <v>22211</v>
      </c>
      <c r="F12063" s="10" t="s">
        <v>333</v>
      </c>
      <c r="G12063" s="10" t="s">
        <v>6317</v>
      </c>
      <c r="H12063" s="11">
        <v>43871</v>
      </c>
      <c r="I12063" s="10">
        <v>2020</v>
      </c>
      <c r="J12063" s="10" t="s">
        <v>22211</v>
      </c>
      <c r="K12063" s="10">
        <v>265</v>
      </c>
      <c r="L12063" s="10" t="s">
        <v>51451</v>
      </c>
      <c r="M12063" s="10">
        <v>1</v>
      </c>
      <c r="N12063" s="10" t="s">
        <v>43548</v>
      </c>
      <c r="O12063" s="10"/>
      <c r="P12063" s="10" t="s">
        <v>51452</v>
      </c>
      <c r="Q12063" s="10">
        <v>372.64044000000001</v>
      </c>
      <c r="R12063" s="10"/>
      <c r="S12063" s="10" t="s">
        <v>53</v>
      </c>
      <c r="T12063" s="10" t="s">
        <v>6568</v>
      </c>
    </row>
    <row r="12064" spans="1:20" ht="14.5" x14ac:dyDescent="0.35">
      <c r="A12064" s="10" t="s">
        <v>51453</v>
      </c>
      <c r="B12064" s="10" t="str">
        <f>"9781506385990"</f>
        <v>9781506385990</v>
      </c>
      <c r="C12064" s="10" t="str">
        <f>"9781506385983"</f>
        <v>9781506385983</v>
      </c>
      <c r="D12064" s="10" t="s">
        <v>22210</v>
      </c>
      <c r="E12064" s="10" t="s">
        <v>22211</v>
      </c>
      <c r="F12064" s="10" t="s">
        <v>333</v>
      </c>
      <c r="G12064" s="10" t="s">
        <v>6317</v>
      </c>
      <c r="H12064" s="11">
        <v>42971</v>
      </c>
      <c r="I12064" s="10">
        <v>2018</v>
      </c>
      <c r="J12064" s="10" t="s">
        <v>22211</v>
      </c>
      <c r="K12064" s="10">
        <v>233</v>
      </c>
      <c r="L12064" s="10" t="s">
        <v>23285</v>
      </c>
      <c r="M12064" s="10">
        <v>1</v>
      </c>
      <c r="N12064" s="10"/>
      <c r="O12064" s="10"/>
      <c r="P12064" s="10" t="s">
        <v>51454</v>
      </c>
      <c r="Q12064" s="10">
        <v>371.10239999999999</v>
      </c>
      <c r="R12064" s="10"/>
      <c r="S12064" s="10" t="s">
        <v>53</v>
      </c>
      <c r="T12064" s="10" t="s">
        <v>54</v>
      </c>
    </row>
    <row r="12065" spans="1:20" ht="14.5" x14ac:dyDescent="0.35">
      <c r="A12065" s="10" t="s">
        <v>51455</v>
      </c>
      <c r="B12065" s="10" t="str">
        <f>"9781412998796"</f>
        <v>9781412998796</v>
      </c>
      <c r="C12065" s="10" t="str">
        <f>"9781452283715"</f>
        <v>9781452283715</v>
      </c>
      <c r="D12065" s="10" t="s">
        <v>22210</v>
      </c>
      <c r="E12065" s="10" t="s">
        <v>22211</v>
      </c>
      <c r="F12065" s="10" t="s">
        <v>333</v>
      </c>
      <c r="G12065" s="10" t="s">
        <v>6317</v>
      </c>
      <c r="H12065" s="11">
        <v>41185</v>
      </c>
      <c r="I12065" s="10">
        <v>2013</v>
      </c>
      <c r="J12065" s="10" t="s">
        <v>22211</v>
      </c>
      <c r="K12065" s="10">
        <v>95</v>
      </c>
      <c r="L12065" s="10" t="s">
        <v>51456</v>
      </c>
      <c r="M12065" s="10">
        <v>1</v>
      </c>
      <c r="N12065" s="10"/>
      <c r="O12065" s="10"/>
      <c r="P12065" s="10" t="s">
        <v>51457</v>
      </c>
      <c r="Q12065" s="10"/>
      <c r="R12065" s="10"/>
      <c r="S12065" s="10" t="s">
        <v>53</v>
      </c>
      <c r="T12065" s="10" t="s">
        <v>54</v>
      </c>
    </row>
    <row r="12066" spans="1:20" ht="14.5" x14ac:dyDescent="0.35">
      <c r="A12066" s="10" t="s">
        <v>51458</v>
      </c>
      <c r="B12066" s="10" t="str">
        <f>"9781506350271"</f>
        <v>9781506350271</v>
      </c>
      <c r="C12066" s="10" t="str">
        <f>"9781506350356"</f>
        <v>9781506350356</v>
      </c>
      <c r="D12066" s="10" t="s">
        <v>22210</v>
      </c>
      <c r="E12066" s="10" t="s">
        <v>22211</v>
      </c>
      <c r="F12066" s="10" t="s">
        <v>333</v>
      </c>
      <c r="G12066" s="10" t="s">
        <v>6317</v>
      </c>
      <c r="H12066" s="11">
        <v>42522</v>
      </c>
      <c r="I12066" s="10">
        <v>2016</v>
      </c>
      <c r="J12066" s="10" t="s">
        <v>22211</v>
      </c>
      <c r="K12066" s="10">
        <v>97</v>
      </c>
      <c r="L12066" s="10" t="s">
        <v>7403</v>
      </c>
      <c r="M12066" s="10">
        <v>1</v>
      </c>
      <c r="N12066" s="10"/>
      <c r="O12066" s="10"/>
      <c r="P12066" s="10" t="s">
        <v>51459</v>
      </c>
      <c r="Q12066" s="10">
        <v>370.97300000000001</v>
      </c>
      <c r="R12066" s="10"/>
      <c r="S12066" s="10" t="s">
        <v>53</v>
      </c>
      <c r="T12066" s="10" t="s">
        <v>54</v>
      </c>
    </row>
    <row r="12067" spans="1:20" ht="14.5" x14ac:dyDescent="0.35">
      <c r="A12067" s="10" t="s">
        <v>51460</v>
      </c>
      <c r="B12067" s="10" t="str">
        <f>"9781506376424"</f>
        <v>9781506376424</v>
      </c>
      <c r="C12067" s="10" t="str">
        <f>"9781506376417"</f>
        <v>9781506376417</v>
      </c>
      <c r="D12067" s="10" t="s">
        <v>22210</v>
      </c>
      <c r="E12067" s="10" t="s">
        <v>22211</v>
      </c>
      <c r="F12067" s="10" t="s">
        <v>333</v>
      </c>
      <c r="G12067" s="10" t="s">
        <v>6317</v>
      </c>
      <c r="H12067" s="11">
        <v>42872</v>
      </c>
      <c r="I12067" s="10">
        <v>2017</v>
      </c>
      <c r="J12067" s="10" t="s">
        <v>22211</v>
      </c>
      <c r="K12067" s="10">
        <v>281</v>
      </c>
      <c r="L12067" s="10" t="s">
        <v>51461</v>
      </c>
      <c r="M12067" s="10">
        <v>1</v>
      </c>
      <c r="N12067" s="10" t="s">
        <v>46256</v>
      </c>
      <c r="O12067" s="10"/>
      <c r="P12067" s="10" t="s">
        <v>51462</v>
      </c>
      <c r="Q12067" s="10"/>
      <c r="R12067" s="10"/>
      <c r="S12067" s="10" t="s">
        <v>53</v>
      </c>
      <c r="T12067" s="10" t="s">
        <v>54</v>
      </c>
    </row>
    <row r="12068" spans="1:20" ht="14.5" x14ac:dyDescent="0.35">
      <c r="A12068" s="10" t="s">
        <v>51463</v>
      </c>
      <c r="B12068" s="10" t="str">
        <f>"9781506376578"</f>
        <v>9781506376578</v>
      </c>
      <c r="C12068" s="10" t="str">
        <f>"9781506376561"</f>
        <v>9781506376561</v>
      </c>
      <c r="D12068" s="10" t="s">
        <v>22210</v>
      </c>
      <c r="E12068" s="10" t="s">
        <v>22211</v>
      </c>
      <c r="F12068" s="10" t="s">
        <v>333</v>
      </c>
      <c r="G12068" s="10" t="s">
        <v>6317</v>
      </c>
      <c r="H12068" s="11">
        <v>43987</v>
      </c>
      <c r="I12068" s="10">
        <v>2020</v>
      </c>
      <c r="J12068" s="10" t="s">
        <v>22211</v>
      </c>
      <c r="K12068" s="10">
        <v>225</v>
      </c>
      <c r="L12068" s="10" t="s">
        <v>51464</v>
      </c>
      <c r="M12068" s="10">
        <v>1</v>
      </c>
      <c r="N12068" s="10" t="s">
        <v>46256</v>
      </c>
      <c r="O12068" s="10"/>
      <c r="P12068" s="10" t="s">
        <v>51465</v>
      </c>
      <c r="Q12068" s="10">
        <v>371.3</v>
      </c>
      <c r="R12068" s="10"/>
      <c r="S12068" s="10" t="s">
        <v>53</v>
      </c>
      <c r="T12068" s="10" t="s">
        <v>54</v>
      </c>
    </row>
    <row r="12069" spans="1:20" ht="14.5" x14ac:dyDescent="0.35">
      <c r="A12069" s="10" t="s">
        <v>51466</v>
      </c>
      <c r="B12069" s="10" t="str">
        <f>"9781544337258"</f>
        <v>9781544337258</v>
      </c>
      <c r="C12069" s="10" t="str">
        <f>"9781544337272"</f>
        <v>9781544337272</v>
      </c>
      <c r="D12069" s="10" t="s">
        <v>22210</v>
      </c>
      <c r="E12069" s="10" t="s">
        <v>22211</v>
      </c>
      <c r="F12069" s="10" t="s">
        <v>333</v>
      </c>
      <c r="G12069" s="10" t="s">
        <v>6317</v>
      </c>
      <c r="H12069" s="11">
        <v>43662</v>
      </c>
      <c r="I12069" s="10">
        <v>2020</v>
      </c>
      <c r="J12069" s="10" t="s">
        <v>22211</v>
      </c>
      <c r="K12069" s="10">
        <v>201</v>
      </c>
      <c r="L12069" s="10" t="s">
        <v>51467</v>
      </c>
      <c r="M12069" s="10">
        <v>1</v>
      </c>
      <c r="N12069" s="10"/>
      <c r="O12069" s="10"/>
      <c r="P12069" s="10"/>
      <c r="Q12069" s="10"/>
      <c r="R12069" s="10"/>
      <c r="S12069" s="10" t="s">
        <v>53</v>
      </c>
      <c r="T12069" s="10" t="s">
        <v>54</v>
      </c>
    </row>
    <row r="12070" spans="1:20" ht="14.5" x14ac:dyDescent="0.35">
      <c r="A12070" s="10" t="s">
        <v>51468</v>
      </c>
      <c r="B12070" s="10" t="str">
        <f>"9781452235240"</f>
        <v>9781452235240</v>
      </c>
      <c r="C12070" s="10" t="str">
        <f>"9781544302973"</f>
        <v>9781544302973</v>
      </c>
      <c r="D12070" s="10" t="s">
        <v>22210</v>
      </c>
      <c r="E12070" s="10" t="s">
        <v>22211</v>
      </c>
      <c r="F12070" s="10" t="s">
        <v>333</v>
      </c>
      <c r="G12070" s="10" t="s">
        <v>6317</v>
      </c>
      <c r="H12070" s="11">
        <v>41234</v>
      </c>
      <c r="I12070" s="10">
        <v>2013</v>
      </c>
      <c r="J12070" s="10" t="s">
        <v>22211</v>
      </c>
      <c r="K12070" s="10">
        <v>177</v>
      </c>
      <c r="L12070" s="10" t="s">
        <v>51469</v>
      </c>
      <c r="M12070" s="10">
        <v>1</v>
      </c>
      <c r="N12070" s="10"/>
      <c r="O12070" s="10"/>
      <c r="P12070" s="10" t="s">
        <v>51470</v>
      </c>
      <c r="Q12070" s="10"/>
      <c r="R12070" s="10" t="s">
        <v>51471</v>
      </c>
      <c r="S12070" s="10" t="s">
        <v>53</v>
      </c>
      <c r="T12070" s="10" t="s">
        <v>54</v>
      </c>
    </row>
    <row r="12071" spans="1:20" ht="14.5" x14ac:dyDescent="0.35">
      <c r="A12071" s="10" t="s">
        <v>51472</v>
      </c>
      <c r="B12071" s="10" t="str">
        <f>"9781506339443"</f>
        <v>9781506339443</v>
      </c>
      <c r="C12071" s="10" t="str">
        <f>"9781506343976"</f>
        <v>9781506343976</v>
      </c>
      <c r="D12071" s="10" t="s">
        <v>22210</v>
      </c>
      <c r="E12071" s="10" t="s">
        <v>22211</v>
      </c>
      <c r="F12071" s="10" t="s">
        <v>333</v>
      </c>
      <c r="G12071" s="10" t="s">
        <v>6317</v>
      </c>
      <c r="H12071" s="11">
        <v>42436</v>
      </c>
      <c r="I12071" s="10">
        <v>2016</v>
      </c>
      <c r="J12071" s="10" t="s">
        <v>22211</v>
      </c>
      <c r="K12071" s="10">
        <v>217</v>
      </c>
      <c r="L12071" s="10" t="s">
        <v>51473</v>
      </c>
      <c r="M12071" s="10">
        <v>2</v>
      </c>
      <c r="N12071" s="10" t="s">
        <v>43548</v>
      </c>
      <c r="O12071" s="10"/>
      <c r="P12071" s="10" t="s">
        <v>51474</v>
      </c>
      <c r="Q12071" s="10">
        <v>372.47</v>
      </c>
      <c r="R12071" s="10" t="s">
        <v>44862</v>
      </c>
      <c r="S12071" s="10" t="s">
        <v>53</v>
      </c>
      <c r="T12071" s="10" t="s">
        <v>54</v>
      </c>
    </row>
    <row r="12072" spans="1:20" ht="14.5" x14ac:dyDescent="0.35">
      <c r="A12072" s="10" t="s">
        <v>51475</v>
      </c>
      <c r="B12072" s="10" t="str">
        <f>"9781544377629"</f>
        <v>9781544377629</v>
      </c>
      <c r="C12072" s="10" t="str">
        <f>"9781544360843"</f>
        <v>9781544360843</v>
      </c>
      <c r="D12072" s="10" t="s">
        <v>22210</v>
      </c>
      <c r="E12072" s="10" t="s">
        <v>22211</v>
      </c>
      <c r="F12072" s="10" t="s">
        <v>333</v>
      </c>
      <c r="G12072" s="10" t="s">
        <v>6317</v>
      </c>
      <c r="H12072" s="11">
        <v>43725</v>
      </c>
      <c r="I12072" s="10">
        <v>2020</v>
      </c>
      <c r="J12072" s="10" t="s">
        <v>22211</v>
      </c>
      <c r="K12072" s="10">
        <v>131</v>
      </c>
      <c r="L12072" s="10" t="s">
        <v>51476</v>
      </c>
      <c r="M12072" s="10">
        <v>1</v>
      </c>
      <c r="N12072" s="10" t="s">
        <v>46256</v>
      </c>
      <c r="O12072" s="10"/>
      <c r="P12072" s="10"/>
      <c r="Q12072" s="10"/>
      <c r="R12072" s="10" t="s">
        <v>51477</v>
      </c>
      <c r="S12072" s="10" t="s">
        <v>53</v>
      </c>
      <c r="T12072" s="10" t="s">
        <v>54</v>
      </c>
    </row>
    <row r="12073" spans="1:20" ht="14.5" x14ac:dyDescent="0.35">
      <c r="A12073" s="10" t="s">
        <v>51478</v>
      </c>
      <c r="B12073" s="10" t="str">
        <f>"9781506384528"</f>
        <v>9781506384528</v>
      </c>
      <c r="C12073" s="10" t="str">
        <f>"9781506384542"</f>
        <v>9781506384542</v>
      </c>
      <c r="D12073" s="10" t="s">
        <v>22210</v>
      </c>
      <c r="E12073" s="10" t="s">
        <v>22211</v>
      </c>
      <c r="F12073" s="10" t="s">
        <v>333</v>
      </c>
      <c r="G12073" s="10" t="s">
        <v>6317</v>
      </c>
      <c r="H12073" s="11">
        <v>43138</v>
      </c>
      <c r="I12073" s="10">
        <v>2018</v>
      </c>
      <c r="J12073" s="10" t="s">
        <v>22211</v>
      </c>
      <c r="K12073" s="10">
        <v>201</v>
      </c>
      <c r="L12073" s="10" t="s">
        <v>51479</v>
      </c>
      <c r="M12073" s="10">
        <v>1</v>
      </c>
      <c r="N12073" s="10"/>
      <c r="O12073" s="10"/>
      <c r="P12073" s="10" t="s">
        <v>51480</v>
      </c>
      <c r="Q12073" s="10">
        <v>370.15280973</v>
      </c>
      <c r="R12073" s="10" t="s">
        <v>51481</v>
      </c>
      <c r="S12073" s="10" t="s">
        <v>53</v>
      </c>
      <c r="T12073" s="10" t="s">
        <v>54</v>
      </c>
    </row>
    <row r="12074" spans="1:20" ht="14.5" x14ac:dyDescent="0.35">
      <c r="A12074" s="10" t="s">
        <v>51482</v>
      </c>
      <c r="B12074" s="10" t="str">
        <f>"9781412977470"</f>
        <v>9781412977470</v>
      </c>
      <c r="C12074" s="10" t="str">
        <f>"9781452231044"</f>
        <v>9781452231044</v>
      </c>
      <c r="D12074" s="10" t="s">
        <v>22210</v>
      </c>
      <c r="E12074" s="10" t="s">
        <v>22211</v>
      </c>
      <c r="F12074" s="10" t="s">
        <v>333</v>
      </c>
      <c r="G12074" s="10" t="s">
        <v>6317</v>
      </c>
      <c r="H12074" s="11">
        <v>40238</v>
      </c>
      <c r="I12074" s="10">
        <v>2010</v>
      </c>
      <c r="J12074" s="10" t="s">
        <v>22211</v>
      </c>
      <c r="K12074" s="10">
        <v>185</v>
      </c>
      <c r="L12074" s="10" t="s">
        <v>51483</v>
      </c>
      <c r="M12074" s="10">
        <v>3</v>
      </c>
      <c r="N12074" s="10"/>
      <c r="O12074" s="10"/>
      <c r="P12074" s="10" t="s">
        <v>51484</v>
      </c>
      <c r="Q12074" s="10" t="s">
        <v>8748</v>
      </c>
      <c r="R12074" s="10" t="s">
        <v>51485</v>
      </c>
      <c r="S12074" s="10" t="s">
        <v>53</v>
      </c>
      <c r="T12074" s="10" t="s">
        <v>54</v>
      </c>
    </row>
    <row r="12075" spans="1:20" ht="14.5" x14ac:dyDescent="0.35">
      <c r="A12075" s="10" t="s">
        <v>51486</v>
      </c>
      <c r="B12075" s="10" t="str">
        <f>"9781483368979"</f>
        <v>9781483368979</v>
      </c>
      <c r="C12075" s="10" t="str">
        <f>"9781506300535"</f>
        <v>9781506300535</v>
      </c>
      <c r="D12075" s="10" t="s">
        <v>22210</v>
      </c>
      <c r="E12075" s="10" t="s">
        <v>22211</v>
      </c>
      <c r="F12075" s="10" t="s">
        <v>333</v>
      </c>
      <c r="G12075" s="10" t="s">
        <v>6317</v>
      </c>
      <c r="H12075" s="11">
        <v>42444</v>
      </c>
      <c r="I12075" s="10">
        <v>2016</v>
      </c>
      <c r="J12075" s="10" t="s">
        <v>22211</v>
      </c>
      <c r="K12075" s="10">
        <v>321</v>
      </c>
      <c r="L12075" s="10" t="s">
        <v>51487</v>
      </c>
      <c r="M12075" s="10">
        <v>1</v>
      </c>
      <c r="N12075" s="10"/>
      <c r="O12075" s="10"/>
      <c r="P12075" s="10" t="s">
        <v>51488</v>
      </c>
      <c r="Q12075" s="10" t="s">
        <v>22489</v>
      </c>
      <c r="R12075" s="10" t="s">
        <v>51489</v>
      </c>
      <c r="S12075" s="10" t="s">
        <v>53</v>
      </c>
      <c r="T12075" s="10" t="s">
        <v>54</v>
      </c>
    </row>
    <row r="12076" spans="1:20" ht="14.5" x14ac:dyDescent="0.35">
      <c r="A12076" s="10" t="s">
        <v>51490</v>
      </c>
      <c r="B12076" s="10" t="str">
        <f>"9781506338835"</f>
        <v>9781506338835</v>
      </c>
      <c r="C12076" s="10" t="str">
        <f>"9781506338996"</f>
        <v>9781506338996</v>
      </c>
      <c r="D12076" s="10" t="s">
        <v>22210</v>
      </c>
      <c r="E12076" s="10" t="s">
        <v>22211</v>
      </c>
      <c r="F12076" s="10" t="s">
        <v>333</v>
      </c>
      <c r="G12076" s="10" t="s">
        <v>6317</v>
      </c>
      <c r="H12076" s="11">
        <v>42320</v>
      </c>
      <c r="I12076" s="10">
        <v>2016</v>
      </c>
      <c r="J12076" s="10" t="s">
        <v>22211</v>
      </c>
      <c r="K12076" s="10">
        <v>185</v>
      </c>
      <c r="L12076" s="10" t="s">
        <v>51491</v>
      </c>
      <c r="M12076" s="10">
        <v>1</v>
      </c>
      <c r="N12076" s="10" t="s">
        <v>51492</v>
      </c>
      <c r="O12076" s="10" t="s">
        <v>51493</v>
      </c>
      <c r="P12076" s="10" t="s">
        <v>51494</v>
      </c>
      <c r="Q12076" s="10">
        <v>371.10219999999998</v>
      </c>
      <c r="R12076" s="10" t="s">
        <v>51495</v>
      </c>
      <c r="S12076" s="10" t="s">
        <v>53</v>
      </c>
      <c r="T12076" s="10" t="s">
        <v>54</v>
      </c>
    </row>
    <row r="12077" spans="1:20" ht="14.5" x14ac:dyDescent="0.35">
      <c r="A12077" s="10" t="s">
        <v>51496</v>
      </c>
      <c r="B12077" s="10" t="str">
        <f>"9781506357379"</f>
        <v>9781506357379</v>
      </c>
      <c r="C12077" s="10" t="str">
        <f>"9781506382715"</f>
        <v>9781506382715</v>
      </c>
      <c r="D12077" s="10" t="s">
        <v>22210</v>
      </c>
      <c r="E12077" s="10" t="s">
        <v>22211</v>
      </c>
      <c r="F12077" s="10" t="s">
        <v>333</v>
      </c>
      <c r="G12077" s="10" t="s">
        <v>6317</v>
      </c>
      <c r="H12077" s="11">
        <v>42901</v>
      </c>
      <c r="I12077" s="10">
        <v>2018</v>
      </c>
      <c r="J12077" s="10" t="s">
        <v>22211</v>
      </c>
      <c r="K12077" s="10">
        <v>193</v>
      </c>
      <c r="L12077" s="10" t="s">
        <v>51497</v>
      </c>
      <c r="M12077" s="10">
        <v>1</v>
      </c>
      <c r="N12077" s="10"/>
      <c r="O12077" s="10"/>
      <c r="P12077" s="10" t="s">
        <v>51498</v>
      </c>
      <c r="Q12077" s="10"/>
      <c r="R12077" s="10" t="s">
        <v>51499</v>
      </c>
      <c r="S12077" s="10" t="s">
        <v>53</v>
      </c>
      <c r="T12077" s="10" t="s">
        <v>54</v>
      </c>
    </row>
    <row r="12078" spans="1:20" ht="14.5" x14ac:dyDescent="0.35">
      <c r="A12078" s="10" t="s">
        <v>51500</v>
      </c>
      <c r="B12078" s="10" t="str">
        <f>"9781506377803"</f>
        <v>9781506377803</v>
      </c>
      <c r="C12078" s="10" t="str">
        <f>"9781506377834"</f>
        <v>9781506377834</v>
      </c>
      <c r="D12078" s="10" t="s">
        <v>22210</v>
      </c>
      <c r="E12078" s="10" t="s">
        <v>22211</v>
      </c>
      <c r="F12078" s="10" t="s">
        <v>333</v>
      </c>
      <c r="G12078" s="10" t="s">
        <v>6317</v>
      </c>
      <c r="H12078" s="11">
        <v>42972</v>
      </c>
      <c r="I12078" s="10">
        <v>2018</v>
      </c>
      <c r="J12078" s="10" t="s">
        <v>22211</v>
      </c>
      <c r="K12078" s="10">
        <v>241</v>
      </c>
      <c r="L12078" s="10" t="s">
        <v>51501</v>
      </c>
      <c r="M12078" s="10">
        <v>1</v>
      </c>
      <c r="N12078" s="10"/>
      <c r="O12078" s="10"/>
      <c r="P12078" s="10" t="s">
        <v>51502</v>
      </c>
      <c r="Q12078" s="10">
        <v>371.2011</v>
      </c>
      <c r="R12078" s="10" t="s">
        <v>51503</v>
      </c>
      <c r="S12078" s="10" t="s">
        <v>53</v>
      </c>
      <c r="T12078" s="10" t="s">
        <v>54</v>
      </c>
    </row>
    <row r="12079" spans="1:20" ht="14.5" x14ac:dyDescent="0.35">
      <c r="A12079" s="10" t="s">
        <v>51504</v>
      </c>
      <c r="B12079" s="10" t="str">
        <f>"9781544342269"</f>
        <v>9781544342269</v>
      </c>
      <c r="C12079" s="10" t="str">
        <f>"9781544342252"</f>
        <v>9781544342252</v>
      </c>
      <c r="D12079" s="10" t="s">
        <v>22210</v>
      </c>
      <c r="E12079" s="10" t="s">
        <v>22211</v>
      </c>
      <c r="F12079" s="10" t="s">
        <v>333</v>
      </c>
      <c r="G12079" s="10" t="s">
        <v>6317</v>
      </c>
      <c r="H12079" s="11">
        <v>43795</v>
      </c>
      <c r="I12079" s="10">
        <v>2020</v>
      </c>
      <c r="J12079" s="10" t="s">
        <v>22211</v>
      </c>
      <c r="K12079" s="10">
        <v>153</v>
      </c>
      <c r="L12079" s="10" t="s">
        <v>41437</v>
      </c>
      <c r="M12079" s="10">
        <v>1</v>
      </c>
      <c r="N12079" s="10"/>
      <c r="O12079" s="10"/>
      <c r="P12079" s="10" t="s">
        <v>51505</v>
      </c>
      <c r="Q12079" s="10">
        <v>379.26</v>
      </c>
      <c r="R12079" s="10"/>
      <c r="S12079" s="10" t="s">
        <v>53</v>
      </c>
      <c r="T12079" s="10" t="s">
        <v>54</v>
      </c>
    </row>
    <row r="12080" spans="1:20" ht="14.5" x14ac:dyDescent="0.35">
      <c r="A12080" s="10" t="s">
        <v>51506</v>
      </c>
      <c r="B12080" s="10" t="str">
        <f>"9781506398433"</f>
        <v>9781506398433</v>
      </c>
      <c r="C12080" s="10" t="str">
        <f>"9781506398440"</f>
        <v>9781506398440</v>
      </c>
      <c r="D12080" s="10" t="s">
        <v>22210</v>
      </c>
      <c r="E12080" s="10" t="s">
        <v>22211</v>
      </c>
      <c r="F12080" s="10" t="s">
        <v>333</v>
      </c>
      <c r="G12080" s="10" t="s">
        <v>6317</v>
      </c>
      <c r="H12080" s="11">
        <v>43209</v>
      </c>
      <c r="I12080" s="10">
        <v>2018</v>
      </c>
      <c r="J12080" s="10" t="s">
        <v>22211</v>
      </c>
      <c r="K12080" s="10">
        <v>305</v>
      </c>
      <c r="L12080" s="10" t="s">
        <v>51507</v>
      </c>
      <c r="M12080" s="10">
        <v>1</v>
      </c>
      <c r="N12080" s="10"/>
      <c r="O12080" s="10"/>
      <c r="P12080" s="10" t="s">
        <v>51508</v>
      </c>
      <c r="Q12080" s="10">
        <v>370.15699999999998</v>
      </c>
      <c r="R12080" s="10" t="s">
        <v>51509</v>
      </c>
      <c r="S12080" s="10" t="s">
        <v>53</v>
      </c>
      <c r="T12080" s="10" t="s">
        <v>54</v>
      </c>
    </row>
    <row r="12081" spans="1:20" ht="14.5" x14ac:dyDescent="0.35">
      <c r="A12081" s="10" t="s">
        <v>51510</v>
      </c>
      <c r="B12081" s="10" t="str">
        <f>"9781544330471"</f>
        <v>9781544330471</v>
      </c>
      <c r="C12081" s="10" t="str">
        <f>"9781544330488"</f>
        <v>9781544330488</v>
      </c>
      <c r="D12081" s="10" t="s">
        <v>22210</v>
      </c>
      <c r="E12081" s="10" t="s">
        <v>22211</v>
      </c>
      <c r="F12081" s="10" t="s">
        <v>333</v>
      </c>
      <c r="G12081" s="10" t="s">
        <v>6317</v>
      </c>
      <c r="H12081" s="11">
        <v>43290</v>
      </c>
      <c r="I12081" s="10">
        <v>2018</v>
      </c>
      <c r="J12081" s="10" t="s">
        <v>22211</v>
      </c>
      <c r="K12081" s="10">
        <v>258</v>
      </c>
      <c r="L12081" s="10" t="s">
        <v>51511</v>
      </c>
      <c r="M12081" s="10">
        <v>1</v>
      </c>
      <c r="N12081" s="10" t="s">
        <v>46256</v>
      </c>
      <c r="O12081" s="10"/>
      <c r="P12081" s="10" t="s">
        <v>51512</v>
      </c>
      <c r="Q12081" s="10">
        <v>372.13299999999998</v>
      </c>
      <c r="R12081" s="10" t="s">
        <v>51513</v>
      </c>
      <c r="S12081" s="10" t="s">
        <v>53</v>
      </c>
      <c r="T12081" s="10" t="s">
        <v>54</v>
      </c>
    </row>
    <row r="12082" spans="1:20" ht="14.5" x14ac:dyDescent="0.35">
      <c r="A12082" s="10" t="s">
        <v>51514</v>
      </c>
      <c r="B12082" s="10" t="str">
        <f>"9781544381244"</f>
        <v>9781544381244</v>
      </c>
      <c r="C12082" s="10" t="str">
        <f>"9781544381237"</f>
        <v>9781544381237</v>
      </c>
      <c r="D12082" s="10" t="s">
        <v>22210</v>
      </c>
      <c r="E12082" s="10" t="s">
        <v>22211</v>
      </c>
      <c r="F12082" s="10" t="s">
        <v>333</v>
      </c>
      <c r="G12082" s="10" t="s">
        <v>6317</v>
      </c>
      <c r="H12082" s="11">
        <v>43761</v>
      </c>
      <c r="I12082" s="10">
        <v>2020</v>
      </c>
      <c r="J12082" s="10" t="s">
        <v>22211</v>
      </c>
      <c r="K12082" s="10">
        <v>226</v>
      </c>
      <c r="L12082" s="10" t="s">
        <v>28754</v>
      </c>
      <c r="M12082" s="10">
        <v>1</v>
      </c>
      <c r="N12082" s="10"/>
      <c r="O12082" s="10"/>
      <c r="P12082" s="10" t="s">
        <v>51515</v>
      </c>
      <c r="Q12082" s="10"/>
      <c r="R12082" s="10" t="s">
        <v>51516</v>
      </c>
      <c r="S12082" s="10" t="s">
        <v>53</v>
      </c>
      <c r="T12082" s="10" t="s">
        <v>54</v>
      </c>
    </row>
    <row r="12083" spans="1:20" ht="14.5" x14ac:dyDescent="0.35">
      <c r="A12083" s="10" t="s">
        <v>51517</v>
      </c>
      <c r="B12083" s="10" t="str">
        <f>"9781506389172"</f>
        <v>9781506389172</v>
      </c>
      <c r="C12083" s="10" t="str">
        <f>"9781506389165"</f>
        <v>9781506389165</v>
      </c>
      <c r="D12083" s="10" t="s">
        <v>22210</v>
      </c>
      <c r="E12083" s="10" t="s">
        <v>22211</v>
      </c>
      <c r="F12083" s="10" t="s">
        <v>333</v>
      </c>
      <c r="G12083" s="10" t="s">
        <v>6317</v>
      </c>
      <c r="H12083" s="11">
        <v>43728</v>
      </c>
      <c r="I12083" s="10">
        <v>2020</v>
      </c>
      <c r="J12083" s="10" t="s">
        <v>22211</v>
      </c>
      <c r="K12083" s="10">
        <v>225</v>
      </c>
      <c r="L12083" s="10" t="s">
        <v>51518</v>
      </c>
      <c r="M12083" s="10">
        <v>1</v>
      </c>
      <c r="N12083" s="10" t="s">
        <v>46256</v>
      </c>
      <c r="O12083" s="10"/>
      <c r="P12083" s="10" t="s">
        <v>51519</v>
      </c>
      <c r="Q12083" s="10">
        <v>371.33446781999999</v>
      </c>
      <c r="R12083" s="10" t="s">
        <v>51520</v>
      </c>
      <c r="S12083" s="10" t="s">
        <v>53</v>
      </c>
      <c r="T12083" s="10" t="s">
        <v>54</v>
      </c>
    </row>
    <row r="12084" spans="1:20" ht="14.5" x14ac:dyDescent="0.35">
      <c r="A12084" s="10" t="s">
        <v>51521</v>
      </c>
      <c r="B12084" s="10" t="str">
        <f>"9781506328157"</f>
        <v>9781506328157</v>
      </c>
      <c r="C12084" s="10" t="str">
        <f>"9781506328140"</f>
        <v>9781506328140</v>
      </c>
      <c r="D12084" s="10" t="s">
        <v>22210</v>
      </c>
      <c r="E12084" s="10" t="s">
        <v>22211</v>
      </c>
      <c r="F12084" s="10" t="s">
        <v>333</v>
      </c>
      <c r="G12084" s="10" t="s">
        <v>6317</v>
      </c>
      <c r="H12084" s="11">
        <v>43266</v>
      </c>
      <c r="I12084" s="10">
        <v>2018</v>
      </c>
      <c r="J12084" s="10" t="s">
        <v>22211</v>
      </c>
      <c r="K12084" s="10">
        <v>177</v>
      </c>
      <c r="L12084" s="10" t="s">
        <v>51522</v>
      </c>
      <c r="M12084" s="10">
        <v>1</v>
      </c>
      <c r="N12084" s="10" t="s">
        <v>50423</v>
      </c>
      <c r="O12084" s="10"/>
      <c r="P12084" s="10" t="s">
        <v>51523</v>
      </c>
      <c r="Q12084" s="10" t="s">
        <v>7299</v>
      </c>
      <c r="R12084" s="10" t="s">
        <v>51524</v>
      </c>
      <c r="S12084" s="10" t="s">
        <v>53</v>
      </c>
      <c r="T12084" s="10" t="s">
        <v>54</v>
      </c>
    </row>
    <row r="12085" spans="1:20" ht="14.5" x14ac:dyDescent="0.35">
      <c r="A12085" s="10" t="s">
        <v>51525</v>
      </c>
      <c r="B12085" s="10" t="str">
        <f>"9781483386058"</f>
        <v>9781483386058</v>
      </c>
      <c r="C12085" s="10" t="str">
        <f>"9781506344065"</f>
        <v>9781506344065</v>
      </c>
      <c r="D12085" s="10" t="s">
        <v>22210</v>
      </c>
      <c r="E12085" s="10" t="s">
        <v>22211</v>
      </c>
      <c r="F12085" s="10" t="s">
        <v>333</v>
      </c>
      <c r="G12085" s="10" t="s">
        <v>6317</v>
      </c>
      <c r="H12085" s="11">
        <v>42685</v>
      </c>
      <c r="I12085" s="10">
        <v>2017</v>
      </c>
      <c r="J12085" s="10" t="s">
        <v>22211</v>
      </c>
      <c r="K12085" s="10">
        <v>265</v>
      </c>
      <c r="L12085" s="10" t="s">
        <v>51526</v>
      </c>
      <c r="M12085" s="10">
        <v>1</v>
      </c>
      <c r="N12085" s="10" t="s">
        <v>43548</v>
      </c>
      <c r="O12085" s="10"/>
      <c r="P12085" s="10" t="s">
        <v>51527</v>
      </c>
      <c r="Q12085" s="10"/>
      <c r="R12085" s="10" t="s">
        <v>51528</v>
      </c>
      <c r="S12085" s="10" t="s">
        <v>53</v>
      </c>
      <c r="T12085" s="10" t="s">
        <v>54</v>
      </c>
    </row>
    <row r="12086" spans="1:20" ht="14.5" x14ac:dyDescent="0.35">
      <c r="A12086" s="10" t="s">
        <v>51529</v>
      </c>
      <c r="B12086" s="10" t="str">
        <f>"9781544338378"</f>
        <v>9781544338378</v>
      </c>
      <c r="C12086" s="10" t="str">
        <f>"9781544338415"</f>
        <v>9781544338415</v>
      </c>
      <c r="D12086" s="10" t="s">
        <v>22210</v>
      </c>
      <c r="E12086" s="10" t="s">
        <v>22211</v>
      </c>
      <c r="F12086" s="10" t="s">
        <v>333</v>
      </c>
      <c r="G12086" s="10" t="s">
        <v>6317</v>
      </c>
      <c r="H12086" s="11">
        <v>43616</v>
      </c>
      <c r="I12086" s="10">
        <v>2019</v>
      </c>
      <c r="J12086" s="10" t="s">
        <v>22211</v>
      </c>
      <c r="K12086" s="10">
        <v>161</v>
      </c>
      <c r="L12086" s="10" t="s">
        <v>51530</v>
      </c>
      <c r="M12086" s="10">
        <v>1</v>
      </c>
      <c r="N12086" s="10"/>
      <c r="O12086" s="10"/>
      <c r="P12086" s="10" t="s">
        <v>51531</v>
      </c>
      <c r="Q12086" s="10">
        <v>371.4</v>
      </c>
      <c r="R12086" s="10" t="s">
        <v>51532</v>
      </c>
      <c r="S12086" s="10" t="s">
        <v>53</v>
      </c>
      <c r="T12086" s="10" t="s">
        <v>54</v>
      </c>
    </row>
    <row r="12087" spans="1:20" ht="14.5" x14ac:dyDescent="0.35">
      <c r="A12087" s="10" t="s">
        <v>51533</v>
      </c>
      <c r="B12087" s="10" t="str">
        <f>"9781452240862"</f>
        <v>9781452240862</v>
      </c>
      <c r="C12087" s="10" t="str">
        <f>"9781452279954"</f>
        <v>9781452279954</v>
      </c>
      <c r="D12087" s="10" t="s">
        <v>22210</v>
      </c>
      <c r="E12087" s="10" t="s">
        <v>22211</v>
      </c>
      <c r="F12087" s="10" t="s">
        <v>333</v>
      </c>
      <c r="G12087" s="10" t="s">
        <v>6317</v>
      </c>
      <c r="H12087" s="11">
        <v>41073</v>
      </c>
      <c r="I12087" s="10">
        <v>2012</v>
      </c>
      <c r="J12087" s="10" t="s">
        <v>22211</v>
      </c>
      <c r="K12087" s="10">
        <v>273</v>
      </c>
      <c r="L12087" s="10" t="s">
        <v>48437</v>
      </c>
      <c r="M12087" s="10">
        <v>1</v>
      </c>
      <c r="N12087" s="10" t="s">
        <v>46256</v>
      </c>
      <c r="O12087" s="10"/>
      <c r="P12087" s="10" t="s">
        <v>51534</v>
      </c>
      <c r="Q12087" s="10">
        <v>371.3</v>
      </c>
      <c r="R12087" s="10" t="s">
        <v>51535</v>
      </c>
      <c r="S12087" s="10" t="s">
        <v>53</v>
      </c>
      <c r="T12087" s="10" t="s">
        <v>54</v>
      </c>
    </row>
    <row r="12088" spans="1:20" ht="14.5" x14ac:dyDescent="0.35">
      <c r="A12088" s="10" t="s">
        <v>51536</v>
      </c>
      <c r="B12088" s="10" t="str">
        <f>"9781506398488"</f>
        <v>9781506398488</v>
      </c>
      <c r="C12088" s="10" t="str">
        <f>"9781506398495"</f>
        <v>9781506398495</v>
      </c>
      <c r="D12088" s="10" t="s">
        <v>22210</v>
      </c>
      <c r="E12088" s="10" t="s">
        <v>22211</v>
      </c>
      <c r="F12088" s="10" t="s">
        <v>333</v>
      </c>
      <c r="G12088" s="10" t="s">
        <v>6317</v>
      </c>
      <c r="H12088" s="11">
        <v>43258</v>
      </c>
      <c r="I12088" s="10">
        <v>2018</v>
      </c>
      <c r="J12088" s="10" t="s">
        <v>22211</v>
      </c>
      <c r="K12088" s="10">
        <v>249</v>
      </c>
      <c r="L12088" s="10" t="s">
        <v>51537</v>
      </c>
      <c r="M12088" s="10">
        <v>1</v>
      </c>
      <c r="N12088" s="10"/>
      <c r="O12088" s="10"/>
      <c r="P12088" s="10" t="s">
        <v>51538</v>
      </c>
      <c r="Q12088" s="10">
        <v>371.10219999999998</v>
      </c>
      <c r="R12088" s="10" t="s">
        <v>51539</v>
      </c>
      <c r="S12088" s="10" t="s">
        <v>53</v>
      </c>
      <c r="T12088" s="10" t="s">
        <v>54</v>
      </c>
    </row>
    <row r="12089" spans="1:20" ht="14.5" x14ac:dyDescent="0.35">
      <c r="A12089" s="10" t="s">
        <v>51540</v>
      </c>
      <c r="B12089" s="10" t="str">
        <f>"9781483345802"</f>
        <v>9781483345802</v>
      </c>
      <c r="C12089" s="10" t="str">
        <f>"9781483383606"</f>
        <v>9781483383606</v>
      </c>
      <c r="D12089" s="10" t="s">
        <v>22210</v>
      </c>
      <c r="E12089" s="10" t="s">
        <v>22211</v>
      </c>
      <c r="F12089" s="10" t="s">
        <v>333</v>
      </c>
      <c r="G12089" s="10" t="s">
        <v>6317</v>
      </c>
      <c r="H12089" s="11">
        <v>41891</v>
      </c>
      <c r="I12089" s="10">
        <v>2014</v>
      </c>
      <c r="J12089" s="10" t="s">
        <v>22211</v>
      </c>
      <c r="K12089" s="10">
        <v>201</v>
      </c>
      <c r="L12089" s="10" t="s">
        <v>51438</v>
      </c>
      <c r="M12089" s="10">
        <v>1</v>
      </c>
      <c r="N12089" s="10" t="s">
        <v>43548</v>
      </c>
      <c r="O12089" s="10"/>
      <c r="P12089" s="10" t="s">
        <v>51541</v>
      </c>
      <c r="Q12089" s="10">
        <v>372.44</v>
      </c>
      <c r="R12089" s="10"/>
      <c r="S12089" s="10" t="s">
        <v>53</v>
      </c>
      <c r="T12089" s="10" t="s">
        <v>54</v>
      </c>
    </row>
    <row r="12090" spans="1:20" ht="14.5" x14ac:dyDescent="0.35">
      <c r="A12090" s="10" t="s">
        <v>51542</v>
      </c>
      <c r="B12090" s="10" t="str">
        <f>"9781452202563"</f>
        <v>9781452202563</v>
      </c>
      <c r="C12090" s="10" t="str">
        <f>"9781544304304"</f>
        <v>9781544304304</v>
      </c>
      <c r="D12090" s="10" t="s">
        <v>22210</v>
      </c>
      <c r="E12090" s="10" t="s">
        <v>22211</v>
      </c>
      <c r="F12090" s="10" t="s">
        <v>333</v>
      </c>
      <c r="G12090" s="10" t="s">
        <v>6317</v>
      </c>
      <c r="H12090" s="11">
        <v>41353</v>
      </c>
      <c r="I12090" s="10">
        <v>2013</v>
      </c>
      <c r="J12090" s="10" t="s">
        <v>22211</v>
      </c>
      <c r="K12090" s="10">
        <v>217</v>
      </c>
      <c r="L12090" s="10" t="s">
        <v>51543</v>
      </c>
      <c r="M12090" s="10">
        <v>1</v>
      </c>
      <c r="N12090" s="10"/>
      <c r="O12090" s="10"/>
      <c r="P12090" s="10" t="s">
        <v>51544</v>
      </c>
      <c r="Q12090" s="10">
        <v>371.36</v>
      </c>
      <c r="R12090" s="10" t="s">
        <v>51545</v>
      </c>
      <c r="S12090" s="10" t="s">
        <v>53</v>
      </c>
      <c r="T12090" s="10" t="s">
        <v>54</v>
      </c>
    </row>
    <row r="12091" spans="1:20" ht="14.5" x14ac:dyDescent="0.35">
      <c r="A12091" s="10" t="s">
        <v>51546</v>
      </c>
      <c r="B12091" s="10" t="str">
        <f>"9781506399423"</f>
        <v>9781506399423</v>
      </c>
      <c r="C12091" s="10" t="str">
        <f>"9781506399447"</f>
        <v>9781506399447</v>
      </c>
      <c r="D12091" s="10" t="s">
        <v>22210</v>
      </c>
      <c r="E12091" s="10" t="s">
        <v>22211</v>
      </c>
      <c r="F12091" s="10" t="s">
        <v>333</v>
      </c>
      <c r="G12091" s="10" t="s">
        <v>6317</v>
      </c>
      <c r="H12091" s="11">
        <v>43241</v>
      </c>
      <c r="I12091" s="10">
        <v>2018</v>
      </c>
      <c r="J12091" s="10" t="s">
        <v>22211</v>
      </c>
      <c r="K12091" s="10">
        <v>169</v>
      </c>
      <c r="L12091" s="10" t="s">
        <v>51547</v>
      </c>
      <c r="M12091" s="10">
        <v>1</v>
      </c>
      <c r="N12091" s="10"/>
      <c r="O12091" s="10"/>
      <c r="P12091" s="10" t="s">
        <v>51548</v>
      </c>
      <c r="Q12091" s="10">
        <v>371.27</v>
      </c>
      <c r="R12091" s="10" t="s">
        <v>51549</v>
      </c>
      <c r="S12091" s="10" t="s">
        <v>53</v>
      </c>
      <c r="T12091" s="10" t="s">
        <v>54</v>
      </c>
    </row>
    <row r="12092" spans="1:20" ht="14.5" x14ac:dyDescent="0.35">
      <c r="A12092" s="10" t="s">
        <v>51550</v>
      </c>
      <c r="B12092" s="10" t="str">
        <f>"9781483350974"</f>
        <v>9781483350974</v>
      </c>
      <c r="C12092" s="10" t="str">
        <f>"9781483353760"</f>
        <v>9781483353760</v>
      </c>
      <c r="D12092" s="10" t="s">
        <v>22210</v>
      </c>
      <c r="E12092" s="10" t="s">
        <v>22211</v>
      </c>
      <c r="F12092" s="10" t="s">
        <v>333</v>
      </c>
      <c r="G12092" s="10" t="s">
        <v>6317</v>
      </c>
      <c r="H12092" s="11">
        <v>41816</v>
      </c>
      <c r="I12092" s="10">
        <v>2014</v>
      </c>
      <c r="J12092" s="10" t="s">
        <v>22211</v>
      </c>
      <c r="K12092" s="10">
        <v>177</v>
      </c>
      <c r="L12092" s="10" t="s">
        <v>51551</v>
      </c>
      <c r="M12092" s="10">
        <v>2</v>
      </c>
      <c r="N12092" s="10"/>
      <c r="O12092" s="10"/>
      <c r="P12092" s="10" t="s">
        <v>51552</v>
      </c>
      <c r="Q12092" s="10"/>
      <c r="R12092" s="10" t="s">
        <v>51553</v>
      </c>
      <c r="S12092" s="10" t="s">
        <v>53</v>
      </c>
      <c r="T12092" s="10" t="s">
        <v>54</v>
      </c>
    </row>
    <row r="12093" spans="1:20" ht="14.5" x14ac:dyDescent="0.35">
      <c r="A12093" s="10" t="s">
        <v>51554</v>
      </c>
      <c r="B12093" s="10" t="str">
        <f>"9781506376523"</f>
        <v>9781506376523</v>
      </c>
      <c r="C12093" s="10" t="str">
        <f>"9781506376516"</f>
        <v>9781506376516</v>
      </c>
      <c r="D12093" s="10" t="s">
        <v>22210</v>
      </c>
      <c r="E12093" s="10" t="s">
        <v>22211</v>
      </c>
      <c r="F12093" s="10" t="s">
        <v>333</v>
      </c>
      <c r="G12093" s="10" t="s">
        <v>6317</v>
      </c>
      <c r="H12093" s="11">
        <v>42774</v>
      </c>
      <c r="I12093" s="10">
        <v>2017</v>
      </c>
      <c r="J12093" s="10" t="s">
        <v>22211</v>
      </c>
      <c r="K12093" s="10">
        <v>209</v>
      </c>
      <c r="L12093" s="10" t="s">
        <v>51555</v>
      </c>
      <c r="M12093" s="10">
        <v>1</v>
      </c>
      <c r="N12093" s="10" t="s">
        <v>46256</v>
      </c>
      <c r="O12093" s="10"/>
      <c r="P12093" s="10" t="s">
        <v>51462</v>
      </c>
      <c r="Q12093" s="10">
        <v>371.10199999999998</v>
      </c>
      <c r="R12093" s="10" t="s">
        <v>51556</v>
      </c>
      <c r="S12093" s="10" t="s">
        <v>53</v>
      </c>
      <c r="T12093" s="10" t="s">
        <v>54</v>
      </c>
    </row>
    <row r="12094" spans="1:20" ht="14.5" x14ac:dyDescent="0.35">
      <c r="A12094" s="10" t="s">
        <v>51557</v>
      </c>
      <c r="B12094" s="10" t="str">
        <f>"9781483392363"</f>
        <v>9781483392363</v>
      </c>
      <c r="C12094" s="10" t="str">
        <f>"9781506336954"</f>
        <v>9781506336954</v>
      </c>
      <c r="D12094" s="10" t="s">
        <v>22210</v>
      </c>
      <c r="E12094" s="10" t="s">
        <v>22211</v>
      </c>
      <c r="F12094" s="10" t="s">
        <v>333</v>
      </c>
      <c r="G12094" s="10" t="s">
        <v>6317</v>
      </c>
      <c r="H12094" s="11">
        <v>42454</v>
      </c>
      <c r="I12094" s="10">
        <v>2016</v>
      </c>
      <c r="J12094" s="10" t="s">
        <v>22211</v>
      </c>
      <c r="K12094" s="10">
        <v>161</v>
      </c>
      <c r="L12094" s="10" t="s">
        <v>51558</v>
      </c>
      <c r="M12094" s="10">
        <v>1</v>
      </c>
      <c r="N12094" s="10"/>
      <c r="O12094" s="10"/>
      <c r="P12094" s="10" t="s">
        <v>51559</v>
      </c>
      <c r="Q12094" s="10">
        <v>372.3</v>
      </c>
      <c r="R12094" s="10" t="s">
        <v>51560</v>
      </c>
      <c r="S12094" s="10" t="s">
        <v>53</v>
      </c>
      <c r="T12094" s="10" t="s">
        <v>54</v>
      </c>
    </row>
    <row r="12095" spans="1:20" ht="14.5" x14ac:dyDescent="0.35">
      <c r="A12095" s="10" t="s">
        <v>51561</v>
      </c>
      <c r="B12095" s="10" t="str">
        <f>"9781412997904"</f>
        <v>9781412997904</v>
      </c>
      <c r="C12095" s="10" t="str">
        <f>"9781452279275"</f>
        <v>9781452279275</v>
      </c>
      <c r="D12095" s="10" t="s">
        <v>22210</v>
      </c>
      <c r="E12095" s="10" t="s">
        <v>22211</v>
      </c>
      <c r="F12095" s="10" t="s">
        <v>333</v>
      </c>
      <c r="G12095" s="10" t="s">
        <v>6317</v>
      </c>
      <c r="H12095" s="11">
        <v>40963</v>
      </c>
      <c r="I12095" s="10">
        <v>2012</v>
      </c>
      <c r="J12095" s="10" t="s">
        <v>22211</v>
      </c>
      <c r="K12095" s="10">
        <v>217</v>
      </c>
      <c r="L12095" s="10" t="s">
        <v>26250</v>
      </c>
      <c r="M12095" s="10">
        <v>1</v>
      </c>
      <c r="N12095" s="10"/>
      <c r="O12095" s="10"/>
      <c r="P12095" s="10" t="s">
        <v>51562</v>
      </c>
      <c r="Q12095" s="10" t="s">
        <v>15735</v>
      </c>
      <c r="R12095" s="10" t="s">
        <v>51563</v>
      </c>
      <c r="S12095" s="10" t="s">
        <v>53</v>
      </c>
      <c r="T12095" s="10" t="s">
        <v>54</v>
      </c>
    </row>
    <row r="12096" spans="1:20" ht="14.5" x14ac:dyDescent="0.35">
      <c r="A12096" s="10" t="s">
        <v>51564</v>
      </c>
      <c r="B12096" s="10" t="str">
        <f>"9781483388793"</f>
        <v>9781483388793</v>
      </c>
      <c r="C12096" s="10" t="str">
        <f>"9781506301440"</f>
        <v>9781506301440</v>
      </c>
      <c r="D12096" s="10" t="s">
        <v>22210</v>
      </c>
      <c r="E12096" s="10" t="s">
        <v>22211</v>
      </c>
      <c r="F12096" s="10" t="s">
        <v>333</v>
      </c>
      <c r="G12096" s="10" t="s">
        <v>6317</v>
      </c>
      <c r="H12096" s="11">
        <v>42391</v>
      </c>
      <c r="I12096" s="10">
        <v>2016</v>
      </c>
      <c r="J12096" s="10" t="s">
        <v>22211</v>
      </c>
      <c r="K12096" s="10">
        <v>153</v>
      </c>
      <c r="L12096" s="10" t="s">
        <v>51565</v>
      </c>
      <c r="M12096" s="10">
        <v>1</v>
      </c>
      <c r="N12096" s="10"/>
      <c r="O12096" s="10"/>
      <c r="P12096" s="10"/>
      <c r="Q12096" s="10" t="s">
        <v>51566</v>
      </c>
      <c r="R12096" s="10" t="s">
        <v>51567</v>
      </c>
      <c r="S12096" s="10" t="s">
        <v>53</v>
      </c>
      <c r="T12096" s="10" t="s">
        <v>54</v>
      </c>
    </row>
    <row r="12097" spans="1:20" ht="14.5" x14ac:dyDescent="0.35">
      <c r="A12097" s="10" t="s">
        <v>51568</v>
      </c>
      <c r="B12097" s="10" t="str">
        <f>"9781506325422"</f>
        <v>9781506325422</v>
      </c>
      <c r="C12097" s="10" t="str">
        <f>"9781506325439"</f>
        <v>9781506325439</v>
      </c>
      <c r="D12097" s="10" t="s">
        <v>22210</v>
      </c>
      <c r="E12097" s="10" t="s">
        <v>22211</v>
      </c>
      <c r="F12097" s="10" t="s">
        <v>333</v>
      </c>
      <c r="G12097" s="10" t="s">
        <v>6317</v>
      </c>
      <c r="H12097" s="11">
        <v>42962</v>
      </c>
      <c r="I12097" s="10">
        <v>2018</v>
      </c>
      <c r="J12097" s="10" t="s">
        <v>22211</v>
      </c>
      <c r="K12097" s="10">
        <v>121</v>
      </c>
      <c r="L12097" s="10" t="s">
        <v>51569</v>
      </c>
      <c r="M12097" s="10">
        <v>1</v>
      </c>
      <c r="N12097" s="10" t="s">
        <v>50423</v>
      </c>
      <c r="O12097" s="10"/>
      <c r="P12097" s="10" t="s">
        <v>51570</v>
      </c>
      <c r="Q12097" s="10">
        <v>371.20709489699999</v>
      </c>
      <c r="R12097" s="10" t="s">
        <v>51571</v>
      </c>
      <c r="S12097" s="10" t="s">
        <v>53</v>
      </c>
      <c r="T12097" s="10" t="s">
        <v>54</v>
      </c>
    </row>
    <row r="12098" spans="1:20" ht="14.5" x14ac:dyDescent="0.35">
      <c r="A12098" s="10" t="s">
        <v>51572</v>
      </c>
      <c r="B12098" s="10" t="str">
        <f>"9781506389639"</f>
        <v>9781506389639</v>
      </c>
      <c r="C12098" s="10" t="str">
        <f>"9781544321929"</f>
        <v>9781544321929</v>
      </c>
      <c r="D12098" s="10" t="s">
        <v>22210</v>
      </c>
      <c r="E12098" s="10" t="s">
        <v>22211</v>
      </c>
      <c r="F12098" s="10" t="s">
        <v>333</v>
      </c>
      <c r="G12098" s="10" t="s">
        <v>6317</v>
      </c>
      <c r="H12098" s="11">
        <v>43194</v>
      </c>
      <c r="I12098" s="10">
        <v>2018</v>
      </c>
      <c r="J12098" s="10" t="s">
        <v>22211</v>
      </c>
      <c r="K12098" s="10">
        <v>217</v>
      </c>
      <c r="L12098" s="10" t="s">
        <v>51573</v>
      </c>
      <c r="M12098" s="10">
        <v>1</v>
      </c>
      <c r="N12098" s="10" t="s">
        <v>43548</v>
      </c>
      <c r="O12098" s="10"/>
      <c r="P12098" s="10" t="s">
        <v>51574</v>
      </c>
      <c r="Q12098" s="10">
        <v>372.6</v>
      </c>
      <c r="R12098" s="10" t="s">
        <v>51575</v>
      </c>
      <c r="S12098" s="10" t="s">
        <v>53</v>
      </c>
      <c r="T12098" s="10" t="s">
        <v>54</v>
      </c>
    </row>
    <row r="12099" spans="1:20" ht="14.5" x14ac:dyDescent="0.35">
      <c r="A12099" s="10" t="s">
        <v>51576</v>
      </c>
      <c r="B12099" s="10" t="str">
        <f>"9781544381398"</f>
        <v>9781544381398</v>
      </c>
      <c r="C12099" s="10" t="str">
        <f>"9781544381367"</f>
        <v>9781544381367</v>
      </c>
      <c r="D12099" s="10" t="s">
        <v>22210</v>
      </c>
      <c r="E12099" s="10" t="s">
        <v>22211</v>
      </c>
      <c r="F12099" s="10" t="s">
        <v>333</v>
      </c>
      <c r="G12099" s="10" t="s">
        <v>6317</v>
      </c>
      <c r="H12099" s="11">
        <v>43948</v>
      </c>
      <c r="I12099" s="10">
        <v>2020</v>
      </c>
      <c r="J12099" s="10" t="s">
        <v>22211</v>
      </c>
      <c r="K12099" s="10">
        <v>193</v>
      </c>
      <c r="L12099" s="10" t="s">
        <v>51577</v>
      </c>
      <c r="M12099" s="10">
        <v>1</v>
      </c>
      <c r="N12099" s="10"/>
      <c r="O12099" s="10"/>
      <c r="P12099" s="10" t="s">
        <v>51578</v>
      </c>
      <c r="Q12099" s="10">
        <v>371.2</v>
      </c>
      <c r="R12099" s="10"/>
      <c r="S12099" s="10" t="s">
        <v>53</v>
      </c>
      <c r="T12099" s="10" t="s">
        <v>54</v>
      </c>
    </row>
    <row r="12100" spans="1:20" ht="14.5" x14ac:dyDescent="0.35">
      <c r="A12100" s="10" t="s">
        <v>51579</v>
      </c>
      <c r="B12100" s="10" t="str">
        <f>"9781506399492"</f>
        <v>9781506399492</v>
      </c>
      <c r="C12100" s="10" t="str">
        <f>"9781506399508"</f>
        <v>9781506399508</v>
      </c>
      <c r="D12100" s="10" t="s">
        <v>22210</v>
      </c>
      <c r="E12100" s="10" t="s">
        <v>22211</v>
      </c>
      <c r="F12100" s="10" t="s">
        <v>333</v>
      </c>
      <c r="G12100" s="10" t="s">
        <v>6317</v>
      </c>
      <c r="H12100" s="11">
        <v>43376</v>
      </c>
      <c r="I12100" s="10">
        <v>2019</v>
      </c>
      <c r="J12100" s="10" t="s">
        <v>22211</v>
      </c>
      <c r="K12100" s="10">
        <v>225</v>
      </c>
      <c r="L12100" s="10" t="s">
        <v>23285</v>
      </c>
      <c r="M12100" s="10">
        <v>1</v>
      </c>
      <c r="N12100" s="10"/>
      <c r="O12100" s="10"/>
      <c r="P12100" s="10" t="s">
        <v>51580</v>
      </c>
      <c r="Q12100" s="10">
        <v>371.2</v>
      </c>
      <c r="R12100" s="10" t="s">
        <v>51581</v>
      </c>
      <c r="S12100" s="10" t="s">
        <v>53</v>
      </c>
      <c r="T12100" s="10" t="s">
        <v>54</v>
      </c>
    </row>
    <row r="12101" spans="1:20" ht="14.5" x14ac:dyDescent="0.35">
      <c r="A12101" s="10" t="s">
        <v>51582</v>
      </c>
      <c r="B12101" s="10" t="str">
        <f>"9781544324982"</f>
        <v>9781544324982</v>
      </c>
      <c r="C12101" s="10" t="str">
        <f>"9781544325019"</f>
        <v>9781544325019</v>
      </c>
      <c r="D12101" s="10" t="s">
        <v>22210</v>
      </c>
      <c r="E12101" s="10" t="s">
        <v>22211</v>
      </c>
      <c r="F12101" s="10" t="s">
        <v>333</v>
      </c>
      <c r="G12101" s="10" t="s">
        <v>6317</v>
      </c>
      <c r="H12101" s="11">
        <v>43279</v>
      </c>
      <c r="I12101" s="10">
        <v>2018</v>
      </c>
      <c r="J12101" s="10" t="s">
        <v>22211</v>
      </c>
      <c r="K12101" s="10">
        <v>241</v>
      </c>
      <c r="L12101" s="10" t="s">
        <v>51387</v>
      </c>
      <c r="M12101" s="10">
        <v>1</v>
      </c>
      <c r="N12101" s="10"/>
      <c r="O12101" s="10"/>
      <c r="P12101" s="10" t="s">
        <v>51583</v>
      </c>
      <c r="Q12101" s="10">
        <v>371.2</v>
      </c>
      <c r="R12101" s="10" t="s">
        <v>51584</v>
      </c>
      <c r="S12101" s="10" t="s">
        <v>53</v>
      </c>
      <c r="T12101" s="10" t="s">
        <v>54</v>
      </c>
    </row>
    <row r="12102" spans="1:20" ht="14.5" x14ac:dyDescent="0.35">
      <c r="A12102" s="10" t="s">
        <v>51585</v>
      </c>
      <c r="B12102" s="10" t="str">
        <f>"9781544330525"</f>
        <v>9781544330525</v>
      </c>
      <c r="C12102" s="10" t="str">
        <f>"9781544330518"</f>
        <v>9781544330518</v>
      </c>
      <c r="D12102" s="10" t="s">
        <v>22210</v>
      </c>
      <c r="E12102" s="10" t="s">
        <v>22211</v>
      </c>
      <c r="F12102" s="10" t="s">
        <v>333</v>
      </c>
      <c r="G12102" s="10" t="s">
        <v>6317</v>
      </c>
      <c r="H12102" s="11">
        <v>43574</v>
      </c>
      <c r="I12102" s="10">
        <v>2019</v>
      </c>
      <c r="J12102" s="10" t="s">
        <v>22211</v>
      </c>
      <c r="K12102" s="10">
        <v>265</v>
      </c>
      <c r="L12102" s="10" t="s">
        <v>51511</v>
      </c>
      <c r="M12102" s="10">
        <v>1</v>
      </c>
      <c r="N12102" s="10" t="s">
        <v>46256</v>
      </c>
      <c r="O12102" s="10"/>
      <c r="P12102" s="10" t="s">
        <v>51586</v>
      </c>
      <c r="Q12102" s="10">
        <v>428.00711999999999</v>
      </c>
      <c r="R12102" s="10" t="s">
        <v>51587</v>
      </c>
      <c r="S12102" s="10" t="s">
        <v>53</v>
      </c>
      <c r="T12102" s="10" t="s">
        <v>6498</v>
      </c>
    </row>
    <row r="12103" spans="1:20" ht="14.5" x14ac:dyDescent="0.35">
      <c r="A12103" s="10" t="s">
        <v>51588</v>
      </c>
      <c r="B12103" s="10" t="str">
        <f>"9781544361154"</f>
        <v>9781544361154</v>
      </c>
      <c r="C12103" s="10" t="str">
        <f>"9781544371900"</f>
        <v>9781544371900</v>
      </c>
      <c r="D12103" s="10" t="s">
        <v>22210</v>
      </c>
      <c r="E12103" s="10" t="s">
        <v>22211</v>
      </c>
      <c r="F12103" s="10" t="s">
        <v>333</v>
      </c>
      <c r="G12103" s="10" t="s">
        <v>6317</v>
      </c>
      <c r="H12103" s="11">
        <v>43495</v>
      </c>
      <c r="I12103" s="10">
        <v>2019</v>
      </c>
      <c r="J12103" s="10" t="s">
        <v>22211</v>
      </c>
      <c r="K12103" s="10">
        <v>249</v>
      </c>
      <c r="L12103" s="10" t="s">
        <v>51589</v>
      </c>
      <c r="M12103" s="10">
        <v>1</v>
      </c>
      <c r="N12103" s="10" t="s">
        <v>43548</v>
      </c>
      <c r="O12103" s="10"/>
      <c r="P12103" s="10" t="s">
        <v>51590</v>
      </c>
      <c r="Q12103" s="10"/>
      <c r="R12103" s="10" t="s">
        <v>51591</v>
      </c>
      <c r="S12103" s="10" t="s">
        <v>53</v>
      </c>
      <c r="T12103" s="10" t="s">
        <v>54</v>
      </c>
    </row>
    <row r="12104" spans="1:20" ht="14.5" x14ac:dyDescent="0.35">
      <c r="A12104" s="10" t="s">
        <v>51592</v>
      </c>
      <c r="B12104" s="10" t="str">
        <f>"9781506340418"</f>
        <v>9781506340418</v>
      </c>
      <c r="C12104" s="10" t="str">
        <f>"9781506340463"</f>
        <v>9781506340463</v>
      </c>
      <c r="D12104" s="10" t="s">
        <v>22210</v>
      </c>
      <c r="E12104" s="10" t="s">
        <v>22211</v>
      </c>
      <c r="F12104" s="10" t="s">
        <v>333</v>
      </c>
      <c r="G12104" s="10" t="s">
        <v>6317</v>
      </c>
      <c r="H12104" s="11">
        <v>43081</v>
      </c>
      <c r="I12104" s="10">
        <v>2018</v>
      </c>
      <c r="J12104" s="10" t="s">
        <v>22211</v>
      </c>
      <c r="K12104" s="10">
        <v>161</v>
      </c>
      <c r="L12104" s="10" t="s">
        <v>51593</v>
      </c>
      <c r="M12104" s="10">
        <v>1</v>
      </c>
      <c r="N12104" s="10"/>
      <c r="O12104" s="10"/>
      <c r="P12104" s="10" t="s">
        <v>51594</v>
      </c>
      <c r="Q12104" s="10">
        <v>371.10219999999998</v>
      </c>
      <c r="R12104" s="10" t="s">
        <v>51595</v>
      </c>
      <c r="S12104" s="10" t="s">
        <v>53</v>
      </c>
      <c r="T12104" s="10" t="s">
        <v>54</v>
      </c>
    </row>
    <row r="12105" spans="1:20" ht="14.5" x14ac:dyDescent="0.35">
      <c r="A12105" s="10" t="s">
        <v>51596</v>
      </c>
      <c r="B12105" s="10" t="str">
        <f>"9781506335834"</f>
        <v>9781506335834</v>
      </c>
      <c r="C12105" s="10" t="str">
        <f>"9781506335865"</f>
        <v>9781506335865</v>
      </c>
      <c r="D12105" s="10" t="s">
        <v>22210</v>
      </c>
      <c r="E12105" s="10" t="s">
        <v>22211</v>
      </c>
      <c r="F12105" s="10" t="s">
        <v>333</v>
      </c>
      <c r="G12105" s="10" t="s">
        <v>6317</v>
      </c>
      <c r="H12105" s="11">
        <v>42930</v>
      </c>
      <c r="I12105" s="10">
        <v>2018</v>
      </c>
      <c r="J12105" s="10" t="s">
        <v>22211</v>
      </c>
      <c r="K12105" s="10">
        <v>145</v>
      </c>
      <c r="L12105" s="10" t="s">
        <v>51597</v>
      </c>
      <c r="M12105" s="10">
        <v>1</v>
      </c>
      <c r="N12105" s="10"/>
      <c r="O12105" s="10"/>
      <c r="P12105" s="10" t="s">
        <v>51598</v>
      </c>
      <c r="Q12105" s="10"/>
      <c r="R12105" s="10" t="s">
        <v>51599</v>
      </c>
      <c r="S12105" s="10" t="s">
        <v>53</v>
      </c>
      <c r="T12105" s="10" t="s">
        <v>54</v>
      </c>
    </row>
    <row r="12106" spans="1:20" ht="14.5" x14ac:dyDescent="0.35">
      <c r="A12106" s="10" t="s">
        <v>51600</v>
      </c>
      <c r="B12106" s="10" t="str">
        <f>"9781506391649"</f>
        <v>9781506391649</v>
      </c>
      <c r="C12106" s="10" t="str">
        <f>"9781506391632"</f>
        <v>9781506391632</v>
      </c>
      <c r="D12106" s="10" t="s">
        <v>22210</v>
      </c>
      <c r="E12106" s="10" t="s">
        <v>22211</v>
      </c>
      <c r="F12106" s="10" t="s">
        <v>333</v>
      </c>
      <c r="G12106" s="10" t="s">
        <v>6317</v>
      </c>
      <c r="H12106" s="11">
        <v>43367</v>
      </c>
      <c r="I12106" s="10">
        <v>2019</v>
      </c>
      <c r="J12106" s="10" t="s">
        <v>22211</v>
      </c>
      <c r="K12106" s="10">
        <v>305</v>
      </c>
      <c r="L12106" s="10" t="s">
        <v>51601</v>
      </c>
      <c r="M12106" s="10">
        <v>1</v>
      </c>
      <c r="N12106" s="10" t="s">
        <v>46256</v>
      </c>
      <c r="O12106" s="10"/>
      <c r="P12106" s="10" t="s">
        <v>51602</v>
      </c>
      <c r="Q12106" s="10">
        <v>371.37</v>
      </c>
      <c r="R12106" s="10" t="s">
        <v>51603</v>
      </c>
      <c r="S12106" s="10" t="s">
        <v>53</v>
      </c>
      <c r="T12106" s="10" t="s">
        <v>54</v>
      </c>
    </row>
    <row r="12107" spans="1:20" ht="14.5" x14ac:dyDescent="0.35">
      <c r="A12107" s="10" t="s">
        <v>51604</v>
      </c>
      <c r="B12107" s="10" t="str">
        <f>"9781506333793"</f>
        <v>9781506333793</v>
      </c>
      <c r="C12107" s="10" t="str">
        <f>"9781506335070"</f>
        <v>9781506335070</v>
      </c>
      <c r="D12107" s="10" t="s">
        <v>22210</v>
      </c>
      <c r="E12107" s="10" t="s">
        <v>22211</v>
      </c>
      <c r="F12107" s="10" t="s">
        <v>333</v>
      </c>
      <c r="G12107" s="10" t="s">
        <v>6317</v>
      </c>
      <c r="H12107" s="11">
        <v>42481</v>
      </c>
      <c r="I12107" s="10">
        <v>2016</v>
      </c>
      <c r="J12107" s="10" t="s">
        <v>22211</v>
      </c>
      <c r="K12107" s="10">
        <v>273</v>
      </c>
      <c r="L12107" s="10" t="s">
        <v>51605</v>
      </c>
      <c r="M12107" s="10">
        <v>1</v>
      </c>
      <c r="N12107" s="10"/>
      <c r="O12107" s="10"/>
      <c r="P12107" s="10" t="s">
        <v>51606</v>
      </c>
      <c r="Q12107" s="10" t="s">
        <v>15735</v>
      </c>
      <c r="R12107" s="10" t="s">
        <v>51607</v>
      </c>
      <c r="S12107" s="10" t="s">
        <v>53</v>
      </c>
      <c r="T12107" s="10" t="s">
        <v>54</v>
      </c>
    </row>
    <row r="12108" spans="1:20" ht="14.5" x14ac:dyDescent="0.35">
      <c r="A12108" s="10" t="s">
        <v>51608</v>
      </c>
      <c r="B12108" s="10" t="str">
        <f>"9781412992220"</f>
        <v>9781412992220</v>
      </c>
      <c r="C12108" s="10" t="str">
        <f>"9781452268903"</f>
        <v>9781452268903</v>
      </c>
      <c r="D12108" s="10" t="s">
        <v>22210</v>
      </c>
      <c r="E12108" s="10" t="s">
        <v>22211</v>
      </c>
      <c r="F12108" s="10" t="s">
        <v>333</v>
      </c>
      <c r="G12108" s="10" t="s">
        <v>6317</v>
      </c>
      <c r="H12108" s="11">
        <v>40807</v>
      </c>
      <c r="I12108" s="10">
        <v>2011</v>
      </c>
      <c r="J12108" s="10" t="s">
        <v>22211</v>
      </c>
      <c r="K12108" s="10">
        <v>217</v>
      </c>
      <c r="L12108" s="10" t="s">
        <v>51609</v>
      </c>
      <c r="M12108" s="10">
        <v>1</v>
      </c>
      <c r="N12108" s="10"/>
      <c r="O12108" s="10"/>
      <c r="P12108" s="10" t="s">
        <v>51610</v>
      </c>
      <c r="Q12108" s="10"/>
      <c r="R12108" s="10"/>
      <c r="S12108" s="10" t="s">
        <v>53</v>
      </c>
      <c r="T12108" s="10" t="s">
        <v>54</v>
      </c>
    </row>
    <row r="12109" spans="1:20" ht="14.5" x14ac:dyDescent="0.35">
      <c r="A12109" s="10" t="s">
        <v>51611</v>
      </c>
      <c r="B12109" s="10" t="str">
        <f>"9781506386393"</f>
        <v>9781506386393</v>
      </c>
      <c r="C12109" s="10" t="str">
        <f>"9781506386386"</f>
        <v>9781506386386</v>
      </c>
      <c r="D12109" s="10" t="s">
        <v>22210</v>
      </c>
      <c r="E12109" s="10" t="s">
        <v>22211</v>
      </c>
      <c r="F12109" s="10" t="s">
        <v>333</v>
      </c>
      <c r="G12109" s="10" t="s">
        <v>6317</v>
      </c>
      <c r="H12109" s="11">
        <v>43364</v>
      </c>
      <c r="I12109" s="10">
        <v>2019</v>
      </c>
      <c r="J12109" s="10" t="s">
        <v>22211</v>
      </c>
      <c r="K12109" s="10">
        <v>241</v>
      </c>
      <c r="L12109" s="10" t="s">
        <v>51612</v>
      </c>
      <c r="M12109" s="10">
        <v>1</v>
      </c>
      <c r="N12109" s="10"/>
      <c r="O12109" s="10"/>
      <c r="P12109" s="10" t="s">
        <v>51613</v>
      </c>
      <c r="Q12109" s="10">
        <v>372.67700000000002</v>
      </c>
      <c r="R12109" s="10" t="s">
        <v>51614</v>
      </c>
      <c r="S12109" s="10" t="s">
        <v>53</v>
      </c>
      <c r="T12109" s="10" t="s">
        <v>54</v>
      </c>
    </row>
    <row r="12110" spans="1:20" ht="14.5" x14ac:dyDescent="0.35">
      <c r="A12110" s="10" t="s">
        <v>51615</v>
      </c>
      <c r="B12110" s="10" t="str">
        <f>"9781452257822"</f>
        <v>9781452257822</v>
      </c>
      <c r="C12110" s="10" t="str">
        <f>"9781483304274"</f>
        <v>9781483304274</v>
      </c>
      <c r="D12110" s="10" t="s">
        <v>22210</v>
      </c>
      <c r="E12110" s="10" t="s">
        <v>22211</v>
      </c>
      <c r="F12110" s="10" t="s">
        <v>333</v>
      </c>
      <c r="G12110" s="10" t="s">
        <v>6317</v>
      </c>
      <c r="H12110" s="11">
        <v>41346</v>
      </c>
      <c r="I12110" s="10">
        <v>2013</v>
      </c>
      <c r="J12110" s="10" t="s">
        <v>22211</v>
      </c>
      <c r="K12110" s="10">
        <v>233</v>
      </c>
      <c r="L12110" s="10" t="s">
        <v>51616</v>
      </c>
      <c r="M12110" s="10">
        <v>1</v>
      </c>
      <c r="N12110" s="10"/>
      <c r="O12110" s="10"/>
      <c r="P12110" s="10" t="s">
        <v>51617</v>
      </c>
      <c r="Q12110" s="10">
        <v>372.6</v>
      </c>
      <c r="R12110" s="10" t="s">
        <v>16794</v>
      </c>
      <c r="S12110" s="10" t="s">
        <v>53</v>
      </c>
      <c r="T12110" s="10" t="s">
        <v>54</v>
      </c>
    </row>
    <row r="12111" spans="1:20" ht="14.5" x14ac:dyDescent="0.35">
      <c r="A12111" s="10" t="s">
        <v>51618</v>
      </c>
      <c r="B12111" s="10" t="str">
        <f>"9781506311234"</f>
        <v>9781506311234</v>
      </c>
      <c r="C12111" s="10" t="str">
        <f>"9781506344096"</f>
        <v>9781506344096</v>
      </c>
      <c r="D12111" s="10" t="s">
        <v>22210</v>
      </c>
      <c r="E12111" s="10" t="s">
        <v>22211</v>
      </c>
      <c r="F12111" s="10" t="s">
        <v>333</v>
      </c>
      <c r="G12111" s="10" t="s">
        <v>6317</v>
      </c>
      <c r="H12111" s="11">
        <v>43314</v>
      </c>
      <c r="I12111" s="10">
        <v>2019</v>
      </c>
      <c r="J12111" s="10" t="s">
        <v>22211</v>
      </c>
      <c r="K12111" s="10">
        <v>249</v>
      </c>
      <c r="L12111" s="10" t="s">
        <v>51619</v>
      </c>
      <c r="M12111" s="10">
        <v>1</v>
      </c>
      <c r="N12111" s="10" t="s">
        <v>43548</v>
      </c>
      <c r="O12111" s="10"/>
      <c r="P12111" s="10" t="s">
        <v>51620</v>
      </c>
      <c r="Q12111" s="10">
        <v>428.00711999999999</v>
      </c>
      <c r="R12111" s="10" t="s">
        <v>51621</v>
      </c>
      <c r="S12111" s="10" t="s">
        <v>53</v>
      </c>
      <c r="T12111" s="10" t="s">
        <v>6498</v>
      </c>
    </row>
    <row r="12112" spans="1:20" ht="14.5" x14ac:dyDescent="0.35">
      <c r="A12112" s="10" t="s">
        <v>51622</v>
      </c>
      <c r="B12112" s="10" t="str">
        <f>"9781544361468"</f>
        <v>9781544361468</v>
      </c>
      <c r="C12112" s="10" t="str">
        <f>"9781544394169"</f>
        <v>9781544394169</v>
      </c>
      <c r="D12112" s="10" t="s">
        <v>22210</v>
      </c>
      <c r="E12112" s="10" t="s">
        <v>22211</v>
      </c>
      <c r="F12112" s="10" t="s">
        <v>333</v>
      </c>
      <c r="G12112" s="10" t="s">
        <v>6317</v>
      </c>
      <c r="H12112" s="11">
        <v>43826</v>
      </c>
      <c r="I12112" s="10">
        <v>2020</v>
      </c>
      <c r="J12112" s="10" t="s">
        <v>22211</v>
      </c>
      <c r="K12112" s="10">
        <v>145</v>
      </c>
      <c r="L12112" s="10" t="s">
        <v>51623</v>
      </c>
      <c r="M12112" s="10">
        <v>1</v>
      </c>
      <c r="N12112" s="10"/>
      <c r="O12112" s="10"/>
      <c r="P12112" s="10" t="s">
        <v>51624</v>
      </c>
      <c r="Q12112" s="10">
        <v>371.26</v>
      </c>
      <c r="R12112" s="10" t="s">
        <v>51625</v>
      </c>
      <c r="S12112" s="10" t="s">
        <v>53</v>
      </c>
      <c r="T12112" s="10" t="s">
        <v>54</v>
      </c>
    </row>
    <row r="12113" spans="1:20" ht="14.5" x14ac:dyDescent="0.35">
      <c r="A12113" s="10" t="s">
        <v>51626</v>
      </c>
      <c r="B12113" s="10" t="str">
        <f>"9781544324128"</f>
        <v>9781544324128</v>
      </c>
      <c r="C12113" s="10" t="str">
        <f>"9781544324265"</f>
        <v>9781544324265</v>
      </c>
      <c r="D12113" s="10" t="s">
        <v>22210</v>
      </c>
      <c r="E12113" s="10" t="s">
        <v>22211</v>
      </c>
      <c r="F12113" s="10" t="s">
        <v>333</v>
      </c>
      <c r="G12113" s="10" t="s">
        <v>6317</v>
      </c>
      <c r="H12113" s="11">
        <v>43346</v>
      </c>
      <c r="I12113" s="10">
        <v>2019</v>
      </c>
      <c r="J12113" s="10" t="s">
        <v>22211</v>
      </c>
      <c r="K12113" s="10">
        <v>353</v>
      </c>
      <c r="L12113" s="10" t="s">
        <v>51627</v>
      </c>
      <c r="M12113" s="10">
        <v>1</v>
      </c>
      <c r="N12113" s="10" t="s">
        <v>43548</v>
      </c>
      <c r="O12113" s="10"/>
      <c r="P12113" s="10" t="s">
        <v>51628</v>
      </c>
      <c r="Q12113" s="10" t="s">
        <v>17202</v>
      </c>
      <c r="R12113" s="10" t="s">
        <v>51629</v>
      </c>
      <c r="S12113" s="10" t="s">
        <v>53</v>
      </c>
      <c r="T12113" s="10" t="s">
        <v>54</v>
      </c>
    </row>
    <row r="12114" spans="1:20" ht="14.5" x14ac:dyDescent="0.35">
      <c r="A12114" s="10" t="s">
        <v>51630</v>
      </c>
      <c r="B12114" s="10" t="str">
        <f>"9781452299280"</f>
        <v>9781452299280</v>
      </c>
      <c r="C12114" s="10" t="str">
        <f>"9781452299242"</f>
        <v>9781452299242</v>
      </c>
      <c r="D12114" s="10" t="s">
        <v>22210</v>
      </c>
      <c r="E12114" s="10" t="s">
        <v>22211</v>
      </c>
      <c r="F12114" s="10" t="s">
        <v>333</v>
      </c>
      <c r="G12114" s="10" t="s">
        <v>6317</v>
      </c>
      <c r="H12114" s="11">
        <v>41610</v>
      </c>
      <c r="I12114" s="10">
        <v>2014</v>
      </c>
      <c r="J12114" s="10" t="s">
        <v>22211</v>
      </c>
      <c r="K12114" s="10">
        <v>393</v>
      </c>
      <c r="L12114" s="10" t="s">
        <v>23175</v>
      </c>
      <c r="M12114" s="10">
        <v>3</v>
      </c>
      <c r="N12114" s="10"/>
      <c r="O12114" s="10"/>
      <c r="P12114" s="10" t="s">
        <v>51631</v>
      </c>
      <c r="Q12114" s="10">
        <v>507.1</v>
      </c>
      <c r="R12114" s="10" t="s">
        <v>51632</v>
      </c>
      <c r="S12114" s="10" t="s">
        <v>53</v>
      </c>
      <c r="T12114" s="10" t="s">
        <v>10979</v>
      </c>
    </row>
    <row r="12115" spans="1:20" ht="14.5" x14ac:dyDescent="0.35">
      <c r="A12115" s="10" t="s">
        <v>51633</v>
      </c>
      <c r="B12115" s="10" t="str">
        <f>"9781452218755"</f>
        <v>9781452218755</v>
      </c>
      <c r="C12115" s="10" t="str">
        <f>"9781452277035"</f>
        <v>9781452277035</v>
      </c>
      <c r="D12115" s="10" t="s">
        <v>22210</v>
      </c>
      <c r="E12115" s="10" t="s">
        <v>22211</v>
      </c>
      <c r="F12115" s="10" t="s">
        <v>333</v>
      </c>
      <c r="G12115" s="10" t="s">
        <v>6317</v>
      </c>
      <c r="H12115" s="11">
        <v>40921</v>
      </c>
      <c r="I12115" s="10">
        <v>2012</v>
      </c>
      <c r="J12115" s="10" t="s">
        <v>22211</v>
      </c>
      <c r="K12115" s="10">
        <v>201</v>
      </c>
      <c r="L12115" s="10" t="s">
        <v>51634</v>
      </c>
      <c r="M12115" s="10">
        <v>1</v>
      </c>
      <c r="N12115" s="10"/>
      <c r="O12115" s="10"/>
      <c r="P12115" s="10" t="s">
        <v>51635</v>
      </c>
      <c r="Q12115" s="10" t="s">
        <v>9360</v>
      </c>
      <c r="R12115" s="10" t="s">
        <v>51636</v>
      </c>
      <c r="S12115" s="10" t="s">
        <v>53</v>
      </c>
      <c r="T12115" s="10" t="s">
        <v>54</v>
      </c>
    </row>
    <row r="12116" spans="1:20" ht="14.5" x14ac:dyDescent="0.35">
      <c r="A12116" s="10" t="s">
        <v>51637</v>
      </c>
      <c r="B12116" s="10" t="str">
        <f>"9781483383897"</f>
        <v>9781483383897</v>
      </c>
      <c r="C12116" s="10" t="str">
        <f>"9781506302225"</f>
        <v>9781506302225</v>
      </c>
      <c r="D12116" s="10" t="s">
        <v>22210</v>
      </c>
      <c r="E12116" s="10" t="s">
        <v>22211</v>
      </c>
      <c r="F12116" s="10" t="s">
        <v>333</v>
      </c>
      <c r="G12116" s="10" t="s">
        <v>6317</v>
      </c>
      <c r="H12116" s="11">
        <v>42517</v>
      </c>
      <c r="I12116" s="10">
        <v>2016</v>
      </c>
      <c r="J12116" s="10" t="s">
        <v>22211</v>
      </c>
      <c r="K12116" s="10">
        <v>137</v>
      </c>
      <c r="L12116" s="10" t="s">
        <v>51638</v>
      </c>
      <c r="M12116" s="10">
        <v>1</v>
      </c>
      <c r="N12116" s="10"/>
      <c r="O12116" s="10"/>
      <c r="P12116" s="10"/>
      <c r="Q12116" s="10">
        <v>370.71100000000001</v>
      </c>
      <c r="R12116" s="10" t="s">
        <v>51639</v>
      </c>
      <c r="S12116" s="10" t="s">
        <v>53</v>
      </c>
      <c r="T12116" s="10" t="s">
        <v>54</v>
      </c>
    </row>
    <row r="12117" spans="1:20" ht="14.5" x14ac:dyDescent="0.35">
      <c r="A12117" s="10" t="s">
        <v>51640</v>
      </c>
      <c r="B12117" s="10" t="str">
        <f>"9781544317977"</f>
        <v>9781544317977</v>
      </c>
      <c r="C12117" s="10" t="str">
        <f>"9781544317984"</f>
        <v>9781544317984</v>
      </c>
      <c r="D12117" s="10" t="s">
        <v>22210</v>
      </c>
      <c r="E12117" s="10" t="s">
        <v>22211</v>
      </c>
      <c r="F12117" s="10" t="s">
        <v>333</v>
      </c>
      <c r="G12117" s="10" t="s">
        <v>6317</v>
      </c>
      <c r="H12117" s="11">
        <v>43916</v>
      </c>
      <c r="I12117" s="10">
        <v>2020</v>
      </c>
      <c r="J12117" s="10" t="s">
        <v>22211</v>
      </c>
      <c r="K12117" s="10">
        <v>217</v>
      </c>
      <c r="L12117" s="10" t="s">
        <v>51641</v>
      </c>
      <c r="M12117" s="10">
        <v>1</v>
      </c>
      <c r="N12117" s="10"/>
      <c r="O12117" s="10"/>
      <c r="P12117" s="10" t="s">
        <v>50677</v>
      </c>
      <c r="Q12117" s="10">
        <v>371.20699999999999</v>
      </c>
      <c r="R12117" s="10"/>
      <c r="S12117" s="10" t="s">
        <v>53</v>
      </c>
      <c r="T12117" s="10" t="s">
        <v>54</v>
      </c>
    </row>
    <row r="12118" spans="1:20" ht="14.5" x14ac:dyDescent="0.35">
      <c r="A12118" s="10" t="s">
        <v>51642</v>
      </c>
      <c r="B12118" s="10" t="str">
        <f>"9781452274416"</f>
        <v>9781452274416</v>
      </c>
      <c r="C12118" s="10" t="str">
        <f>"9781452240251"</f>
        <v>9781452240251</v>
      </c>
      <c r="D12118" s="10" t="s">
        <v>22210</v>
      </c>
      <c r="E12118" s="10" t="s">
        <v>22211</v>
      </c>
      <c r="F12118" s="10" t="s">
        <v>333</v>
      </c>
      <c r="G12118" s="10" t="s">
        <v>6317</v>
      </c>
      <c r="H12118" s="11">
        <v>41408</v>
      </c>
      <c r="I12118" s="10">
        <v>2013</v>
      </c>
      <c r="J12118" s="10" t="s">
        <v>22211</v>
      </c>
      <c r="K12118" s="10">
        <v>145</v>
      </c>
      <c r="L12118" s="10" t="s">
        <v>51643</v>
      </c>
      <c r="M12118" s="10">
        <v>1</v>
      </c>
      <c r="N12118" s="10"/>
      <c r="O12118" s="10"/>
      <c r="P12118" s="10" t="s">
        <v>51644</v>
      </c>
      <c r="Q12118" s="10" t="s">
        <v>8460</v>
      </c>
      <c r="R12118" s="10" t="s">
        <v>51645</v>
      </c>
      <c r="S12118" s="10" t="s">
        <v>53</v>
      </c>
      <c r="T12118" s="10" t="s">
        <v>54</v>
      </c>
    </row>
    <row r="12119" spans="1:20" ht="14.5" x14ac:dyDescent="0.35">
      <c r="A12119" s="10" t="s">
        <v>51646</v>
      </c>
      <c r="B12119" s="10" t="str">
        <f>"9789004435834"</f>
        <v>9789004435834</v>
      </c>
      <c r="C12119" s="10" t="str">
        <f>"9789004435841"</f>
        <v>9789004435841</v>
      </c>
      <c r="D12119" s="10" t="s">
        <v>8564</v>
      </c>
      <c r="E12119" s="10" t="s">
        <v>8565</v>
      </c>
      <c r="F12119" s="10" t="s">
        <v>1420</v>
      </c>
      <c r="G12119" s="10" t="s">
        <v>6317</v>
      </c>
      <c r="H12119" s="11">
        <v>44014</v>
      </c>
      <c r="I12119" s="10">
        <v>2020</v>
      </c>
      <c r="J12119" s="10" t="s">
        <v>33259</v>
      </c>
      <c r="K12119" s="10">
        <v>321</v>
      </c>
      <c r="L12119" s="10" t="s">
        <v>51647</v>
      </c>
      <c r="M12119" s="10">
        <v>1</v>
      </c>
      <c r="N12119" s="10" t="s">
        <v>33257</v>
      </c>
      <c r="O12119" s="10">
        <v>47</v>
      </c>
      <c r="P12119" s="10" t="s">
        <v>51648</v>
      </c>
      <c r="Q12119" s="10">
        <v>371.82691399999999</v>
      </c>
      <c r="R12119" s="10" t="s">
        <v>51649</v>
      </c>
      <c r="S12119" s="10" t="s">
        <v>53</v>
      </c>
      <c r="T12119" s="10" t="s">
        <v>54</v>
      </c>
    </row>
    <row r="12120" spans="1:20" ht="14.5" x14ac:dyDescent="0.35">
      <c r="A12120" s="10" t="s">
        <v>51650</v>
      </c>
      <c r="B12120" s="10" t="str">
        <f>"9781544367156"</f>
        <v>9781544367156</v>
      </c>
      <c r="C12120" s="10" t="str">
        <f>"9781071818633"</f>
        <v>9781071818633</v>
      </c>
      <c r="D12120" s="10" t="s">
        <v>22210</v>
      </c>
      <c r="E12120" s="10" t="s">
        <v>22211</v>
      </c>
      <c r="F12120" s="10" t="s">
        <v>333</v>
      </c>
      <c r="G12120" s="10" t="s">
        <v>6317</v>
      </c>
      <c r="H12120" s="11">
        <v>44063</v>
      </c>
      <c r="I12120" s="10">
        <v>2021</v>
      </c>
      <c r="J12120" s="10" t="s">
        <v>22211</v>
      </c>
      <c r="K12120" s="10">
        <v>177</v>
      </c>
      <c r="L12120" s="10" t="s">
        <v>51412</v>
      </c>
      <c r="M12120" s="10">
        <v>1</v>
      </c>
      <c r="N12120" s="10" t="s">
        <v>43548</v>
      </c>
      <c r="O12120" s="10"/>
      <c r="P12120" s="10" t="s">
        <v>51651</v>
      </c>
      <c r="Q12120" s="10">
        <v>372.4</v>
      </c>
      <c r="R12120" s="10" t="s">
        <v>51652</v>
      </c>
      <c r="S12120" s="10" t="s">
        <v>53</v>
      </c>
      <c r="T12120" s="10" t="s">
        <v>54</v>
      </c>
    </row>
    <row r="12121" spans="1:20" ht="14.5" x14ac:dyDescent="0.35">
      <c r="A12121" s="10" t="s">
        <v>51653</v>
      </c>
      <c r="B12121" s="10" t="str">
        <f>"9781553797067"</f>
        <v>9781553797067</v>
      </c>
      <c r="C12121" s="10" t="str">
        <f>"9781553799368"</f>
        <v>9781553799368</v>
      </c>
      <c r="D12121" s="10" t="s">
        <v>28876</v>
      </c>
      <c r="E12121" s="10" t="s">
        <v>44894</v>
      </c>
      <c r="F12121" s="10" t="s">
        <v>39534</v>
      </c>
      <c r="G12121" s="10" t="s">
        <v>9536</v>
      </c>
      <c r="H12121" s="11">
        <v>42975</v>
      </c>
      <c r="I12121" s="10">
        <v>2017</v>
      </c>
      <c r="J12121" s="10" t="s">
        <v>44894</v>
      </c>
      <c r="K12121" s="10">
        <v>329</v>
      </c>
      <c r="L12121" s="10" t="s">
        <v>51654</v>
      </c>
      <c r="M12121" s="10">
        <v>1</v>
      </c>
      <c r="N12121" s="10" t="s">
        <v>51655</v>
      </c>
      <c r="O12121" s="10"/>
      <c r="P12121" s="10" t="s">
        <v>51656</v>
      </c>
      <c r="Q12121" s="10">
        <v>372.35</v>
      </c>
      <c r="R12121" s="10" t="s">
        <v>51657</v>
      </c>
      <c r="S12121" s="10" t="s">
        <v>53</v>
      </c>
      <c r="T12121" s="10" t="s">
        <v>54</v>
      </c>
    </row>
    <row r="12122" spans="1:20" ht="14.5" x14ac:dyDescent="0.35">
      <c r="A12122" s="10" t="s">
        <v>51658</v>
      </c>
      <c r="B12122" s="10" t="str">
        <f>"9781416629290"</f>
        <v>9781416629290</v>
      </c>
      <c r="C12122" s="10" t="str">
        <f>"9781416629320"</f>
        <v>9781416629320</v>
      </c>
      <c r="D12122" s="10" t="s">
        <v>10014</v>
      </c>
      <c r="E12122" s="10" t="s">
        <v>10015</v>
      </c>
      <c r="F12122" s="10" t="s">
        <v>201</v>
      </c>
      <c r="G12122" s="10" t="s">
        <v>6317</v>
      </c>
      <c r="H12122" s="11">
        <v>44036</v>
      </c>
      <c r="I12122" s="10">
        <v>2020</v>
      </c>
      <c r="J12122" s="10" t="s">
        <v>10015</v>
      </c>
      <c r="K12122" s="10">
        <v>154</v>
      </c>
      <c r="L12122" s="10" t="s">
        <v>51659</v>
      </c>
      <c r="M12122" s="10">
        <v>1</v>
      </c>
      <c r="N12122" s="10"/>
      <c r="O12122" s="10"/>
      <c r="P12122" s="10" t="s">
        <v>51660</v>
      </c>
      <c r="Q12122" s="10">
        <v>371.90460000000002</v>
      </c>
      <c r="R12122" s="10" t="s">
        <v>18055</v>
      </c>
      <c r="S12122" s="10" t="s">
        <v>53</v>
      </c>
      <c r="T12122" s="10" t="s">
        <v>54</v>
      </c>
    </row>
    <row r="12123" spans="1:20" ht="14.5" x14ac:dyDescent="0.35">
      <c r="A12123" s="10" t="s">
        <v>51661</v>
      </c>
      <c r="B12123" s="10" t="str">
        <f>"9781938113895"</f>
        <v>9781938113895</v>
      </c>
      <c r="C12123" s="10" t="str">
        <f>"9781938113901"</f>
        <v>9781938113901</v>
      </c>
      <c r="D12123" s="10" t="s">
        <v>9533</v>
      </c>
      <c r="E12123" s="10" t="s">
        <v>5950</v>
      </c>
      <c r="F12123" s="10" t="s">
        <v>25348</v>
      </c>
      <c r="G12123" s="10" t="s">
        <v>6317</v>
      </c>
      <c r="H12123" s="11">
        <v>44293</v>
      </c>
      <c r="I12123" s="10">
        <v>2021</v>
      </c>
      <c r="J12123" s="10" t="s">
        <v>5950</v>
      </c>
      <c r="K12123" s="10">
        <v>202</v>
      </c>
      <c r="L12123" s="10" t="s">
        <v>51662</v>
      </c>
      <c r="M12123" s="10">
        <v>1</v>
      </c>
      <c r="N12123" s="10"/>
      <c r="O12123" s="10"/>
      <c r="P12123" s="10" t="s">
        <v>51663</v>
      </c>
      <c r="Q12123" s="10" t="s">
        <v>12394</v>
      </c>
      <c r="R12123" s="10" t="s">
        <v>51664</v>
      </c>
      <c r="S12123" s="10" t="s">
        <v>53</v>
      </c>
      <c r="T12123" s="10" t="s">
        <v>54</v>
      </c>
    </row>
    <row r="12124" spans="1:20" ht="14.5" x14ac:dyDescent="0.35">
      <c r="A12124" s="10" t="s">
        <v>51665</v>
      </c>
      <c r="B12124" s="10" t="str">
        <f>"9780367491130"</f>
        <v>9780367491130</v>
      </c>
      <c r="C12124" s="10" t="str">
        <f>"9781000074017"</f>
        <v>9781000074017</v>
      </c>
      <c r="D12124" s="10" t="s">
        <v>6350</v>
      </c>
      <c r="E12124" s="10" t="s">
        <v>6351</v>
      </c>
      <c r="F12124" s="10" t="s">
        <v>3967</v>
      </c>
      <c r="G12124" s="10" t="s">
        <v>6352</v>
      </c>
      <c r="H12124" s="11">
        <v>44050</v>
      </c>
      <c r="I12124" s="10">
        <v>2021</v>
      </c>
      <c r="J12124" s="10" t="s">
        <v>6353</v>
      </c>
      <c r="K12124" s="10">
        <v>101</v>
      </c>
      <c r="L12124" s="10" t="s">
        <v>51666</v>
      </c>
      <c r="M12124" s="10">
        <v>1</v>
      </c>
      <c r="N12124" s="10" t="s">
        <v>51667</v>
      </c>
      <c r="O12124" s="10"/>
      <c r="P12124" s="10" t="s">
        <v>51668</v>
      </c>
      <c r="Q12124" s="10">
        <v>616.89165000000003</v>
      </c>
      <c r="R12124" s="10" t="s">
        <v>51669</v>
      </c>
      <c r="S12124" s="10" t="s">
        <v>53</v>
      </c>
      <c r="T12124" s="10" t="s">
        <v>8681</v>
      </c>
    </row>
    <row r="12125" spans="1:20" ht="14.5" x14ac:dyDescent="0.35">
      <c r="A12125" s="10" t="s">
        <v>51670</v>
      </c>
      <c r="B12125" s="10" t="str">
        <f>"9781642670202"</f>
        <v>9781642670202</v>
      </c>
      <c r="C12125" s="10" t="str">
        <f>"9781000973068"</f>
        <v>9781000973068</v>
      </c>
      <c r="D12125" s="10" t="s">
        <v>6350</v>
      </c>
      <c r="E12125" s="10" t="s">
        <v>6351</v>
      </c>
      <c r="F12125" s="10" t="s">
        <v>748</v>
      </c>
      <c r="G12125" s="10" t="s">
        <v>6352</v>
      </c>
      <c r="H12125" s="11">
        <v>43992</v>
      </c>
      <c r="I12125" s="10">
        <v>2020</v>
      </c>
      <c r="J12125" s="10" t="s">
        <v>6351</v>
      </c>
      <c r="K12125" s="10">
        <v>206</v>
      </c>
      <c r="L12125" s="10" t="s">
        <v>51671</v>
      </c>
      <c r="M12125" s="10">
        <v>1</v>
      </c>
      <c r="N12125" s="10"/>
      <c r="O12125" s="10"/>
      <c r="P12125" s="10" t="s">
        <v>51672</v>
      </c>
      <c r="Q12125" s="10">
        <v>370.71100000000001</v>
      </c>
      <c r="R12125" s="10" t="s">
        <v>51673</v>
      </c>
      <c r="S12125" s="10" t="s">
        <v>53</v>
      </c>
      <c r="T12125" s="10" t="s">
        <v>54</v>
      </c>
    </row>
    <row r="12126" spans="1:20" ht="14.5" x14ac:dyDescent="0.35">
      <c r="A12126" s="10" t="s">
        <v>51674</v>
      </c>
      <c r="B12126" s="10" t="str">
        <f>"9781975502041"</f>
        <v>9781975502041</v>
      </c>
      <c r="C12126" s="10" t="str">
        <f>"9781975502065"</f>
        <v>9781975502065</v>
      </c>
      <c r="D12126" s="10" t="s">
        <v>44271</v>
      </c>
      <c r="E12126" s="10" t="s">
        <v>47266</v>
      </c>
      <c r="F12126" s="10" t="s">
        <v>41227</v>
      </c>
      <c r="G12126" s="10" t="s">
        <v>6317</v>
      </c>
      <c r="H12126" s="11">
        <v>43994</v>
      </c>
      <c r="I12126" s="10">
        <v>2020</v>
      </c>
      <c r="J12126" s="10" t="s">
        <v>47266</v>
      </c>
      <c r="K12126" s="10">
        <v>363</v>
      </c>
      <c r="L12126" s="10" t="s">
        <v>51675</v>
      </c>
      <c r="M12126" s="10">
        <v>1</v>
      </c>
      <c r="N12126" s="10" t="s">
        <v>51676</v>
      </c>
      <c r="O12126" s="10"/>
      <c r="P12126" s="10" t="s">
        <v>51677</v>
      </c>
      <c r="Q12126" s="10" t="s">
        <v>20959</v>
      </c>
      <c r="R12126" s="10" t="s">
        <v>51678</v>
      </c>
      <c r="S12126" s="10" t="s">
        <v>53</v>
      </c>
      <c r="T12126" s="10" t="s">
        <v>54</v>
      </c>
    </row>
    <row r="12127" spans="1:20" ht="14.5" x14ac:dyDescent="0.35">
      <c r="A12127" s="10" t="s">
        <v>51679</v>
      </c>
      <c r="B12127" s="10" t="str">
        <f>"9789027207418"</f>
        <v>9789027207418</v>
      </c>
      <c r="C12127" s="10" t="str">
        <f>"9789027260864"</f>
        <v>9789027260864</v>
      </c>
      <c r="D12127" s="10" t="s">
        <v>17335</v>
      </c>
      <c r="E12127" s="10" t="s">
        <v>17336</v>
      </c>
      <c r="F12127" s="10" t="s">
        <v>17385</v>
      </c>
      <c r="G12127" s="10" t="s">
        <v>9233</v>
      </c>
      <c r="H12127" s="11">
        <v>44049</v>
      </c>
      <c r="I12127" s="10">
        <v>2020</v>
      </c>
      <c r="J12127" s="10" t="s">
        <v>17336</v>
      </c>
      <c r="K12127" s="10">
        <v>242</v>
      </c>
      <c r="L12127" s="10" t="s">
        <v>51680</v>
      </c>
      <c r="M12127" s="10">
        <v>1</v>
      </c>
      <c r="N12127" s="10" t="s">
        <v>51681</v>
      </c>
      <c r="O12127" s="10">
        <v>109</v>
      </c>
      <c r="P12127" s="10" t="s">
        <v>16077</v>
      </c>
      <c r="Q12127" s="10">
        <v>418.00709999999901</v>
      </c>
      <c r="R12127" s="10" t="s">
        <v>51216</v>
      </c>
      <c r="S12127" s="10" t="s">
        <v>53</v>
      </c>
      <c r="T12127" s="10" t="s">
        <v>6616</v>
      </c>
    </row>
    <row r="12128" spans="1:20" ht="14.5" x14ac:dyDescent="0.35">
      <c r="A12128" s="10" t="s">
        <v>51682</v>
      </c>
      <c r="B12128" s="10" t="str">
        <f>"9781416629238"</f>
        <v>9781416629238</v>
      </c>
      <c r="C12128" s="10" t="str">
        <f>"9781416629245"</f>
        <v>9781416629245</v>
      </c>
      <c r="D12128" s="10" t="s">
        <v>10014</v>
      </c>
      <c r="E12128" s="10" t="s">
        <v>10015</v>
      </c>
      <c r="F12128" s="10" t="s">
        <v>201</v>
      </c>
      <c r="G12128" s="10" t="s">
        <v>6317</v>
      </c>
      <c r="H12128" s="11">
        <v>44046</v>
      </c>
      <c r="I12128" s="10">
        <v>2020</v>
      </c>
      <c r="J12128" s="10" t="s">
        <v>10015</v>
      </c>
      <c r="K12128" s="10">
        <v>162</v>
      </c>
      <c r="L12128" s="10" t="s">
        <v>51683</v>
      </c>
      <c r="M12128" s="10">
        <v>2</v>
      </c>
      <c r="N12128" s="10"/>
      <c r="O12128" s="10"/>
      <c r="P12128" s="10" t="s">
        <v>51684</v>
      </c>
      <c r="Q12128" s="10">
        <v>371.20299999999901</v>
      </c>
      <c r="R12128" s="10" t="s">
        <v>51685</v>
      </c>
      <c r="S12128" s="10" t="s">
        <v>53</v>
      </c>
      <c r="T12128" s="10" t="s">
        <v>54</v>
      </c>
    </row>
    <row r="12129" spans="1:20" ht="14.5" x14ac:dyDescent="0.35">
      <c r="A12129" s="10" t="s">
        <v>51686</v>
      </c>
      <c r="B12129" s="10" t="str">
        <f>"9781786306494"</f>
        <v>9781786306494</v>
      </c>
      <c r="C12129" s="10" t="str">
        <f>"9781119751410"</f>
        <v>9781119751410</v>
      </c>
      <c r="D12129" s="10" t="s">
        <v>6322</v>
      </c>
      <c r="E12129" s="10" t="s">
        <v>6323</v>
      </c>
      <c r="F12129" s="10" t="s">
        <v>4423</v>
      </c>
      <c r="G12129" s="10" t="s">
        <v>6317</v>
      </c>
      <c r="H12129" s="11">
        <v>44117</v>
      </c>
      <c r="I12129" s="10">
        <v>2020</v>
      </c>
      <c r="J12129" s="10" t="s">
        <v>29411</v>
      </c>
      <c r="K12129" s="10">
        <v>301</v>
      </c>
      <c r="L12129" s="10" t="s">
        <v>51687</v>
      </c>
      <c r="M12129" s="10">
        <v>1</v>
      </c>
      <c r="N12129" s="10"/>
      <c r="O12129" s="10"/>
      <c r="P12129" s="10"/>
      <c r="Q12129" s="10">
        <v>720.71</v>
      </c>
      <c r="R12129" s="10" t="s">
        <v>51688</v>
      </c>
      <c r="S12129" s="10" t="s">
        <v>53</v>
      </c>
      <c r="T12129" s="10" t="s">
        <v>2769</v>
      </c>
    </row>
    <row r="12130" spans="1:20" ht="14.5" x14ac:dyDescent="0.35">
      <c r="A12130" s="10" t="s">
        <v>51689</v>
      </c>
      <c r="B12130" s="10" t="str">
        <f>"9780367521257"</f>
        <v>9780367521257</v>
      </c>
      <c r="C12130" s="10" t="str">
        <f>"9781000092615"</f>
        <v>9781000092615</v>
      </c>
      <c r="D12130" s="10" t="s">
        <v>6350</v>
      </c>
      <c r="E12130" s="10" t="s">
        <v>6351</v>
      </c>
      <c r="F12130" s="10" t="s">
        <v>748</v>
      </c>
      <c r="G12130" s="10" t="s">
        <v>6352</v>
      </c>
      <c r="H12130" s="11">
        <v>44034</v>
      </c>
      <c r="I12130" s="10">
        <v>2021</v>
      </c>
      <c r="J12130" s="10" t="s">
        <v>6351</v>
      </c>
      <c r="K12130" s="10">
        <v>269</v>
      </c>
      <c r="L12130" s="10" t="s">
        <v>51690</v>
      </c>
      <c r="M12130" s="10">
        <v>1</v>
      </c>
      <c r="N12130" s="10"/>
      <c r="O12130" s="10"/>
      <c r="P12130" s="10" t="s">
        <v>51691</v>
      </c>
      <c r="Q12130" s="10">
        <v>371.90460940999998</v>
      </c>
      <c r="R12130" s="10" t="s">
        <v>51692</v>
      </c>
      <c r="S12130" s="10" t="s">
        <v>53</v>
      </c>
      <c r="T12130" s="10" t="s">
        <v>54</v>
      </c>
    </row>
    <row r="12131" spans="1:20" ht="14.5" x14ac:dyDescent="0.35">
      <c r="A12131" s="10" t="s">
        <v>51693</v>
      </c>
      <c r="B12131" s="10" t="str">
        <f>"9781839094279"</f>
        <v>9781839094279</v>
      </c>
      <c r="C12131" s="10" t="str">
        <f>"9781839094286"</f>
        <v>9781839094286</v>
      </c>
      <c r="D12131" s="10" t="s">
        <v>8699</v>
      </c>
      <c r="E12131" s="10" t="s">
        <v>8699</v>
      </c>
      <c r="F12131" s="10" t="s">
        <v>559</v>
      </c>
      <c r="G12131" s="10" t="s">
        <v>6352</v>
      </c>
      <c r="H12131" s="11">
        <v>44046</v>
      </c>
      <c r="I12131" s="10">
        <v>2020</v>
      </c>
      <c r="J12131" s="10" t="s">
        <v>8699</v>
      </c>
      <c r="K12131" s="10">
        <v>223</v>
      </c>
      <c r="L12131" s="10" t="s">
        <v>51330</v>
      </c>
      <c r="M12131" s="10">
        <v>1</v>
      </c>
      <c r="N12131" s="10" t="s">
        <v>29541</v>
      </c>
      <c r="O12131" s="10">
        <v>24</v>
      </c>
      <c r="P12131" s="10" t="s">
        <v>26825</v>
      </c>
      <c r="Q12131" s="10">
        <v>378.1</v>
      </c>
      <c r="R12131" s="10" t="s">
        <v>51694</v>
      </c>
      <c r="S12131" s="10" t="s">
        <v>53</v>
      </c>
      <c r="T12131" s="10" t="s">
        <v>54</v>
      </c>
    </row>
    <row r="12132" spans="1:20" ht="14.5" x14ac:dyDescent="0.35">
      <c r="A12132" s="10" t="s">
        <v>51695</v>
      </c>
      <c r="B12132" s="10" t="str">
        <f>"9781951075057"</f>
        <v>9781951075057</v>
      </c>
      <c r="C12132" s="10" t="str">
        <f>"9781951075064"</f>
        <v>9781951075064</v>
      </c>
      <c r="D12132" s="10" t="s">
        <v>37580</v>
      </c>
      <c r="E12132" s="10" t="s">
        <v>37581</v>
      </c>
      <c r="F12132" s="10" t="s">
        <v>37623</v>
      </c>
      <c r="G12132" s="10" t="s">
        <v>6317</v>
      </c>
      <c r="H12132" s="11">
        <v>44057</v>
      </c>
      <c r="I12132" s="10">
        <v>2021</v>
      </c>
      <c r="J12132" s="10" t="s">
        <v>37581</v>
      </c>
      <c r="K12132" s="10">
        <v>152</v>
      </c>
      <c r="L12132" s="10" t="s">
        <v>51696</v>
      </c>
      <c r="M12132" s="10">
        <v>1</v>
      </c>
      <c r="N12132" s="10"/>
      <c r="O12132" s="10"/>
      <c r="P12132" s="10"/>
      <c r="Q12132" s="10"/>
      <c r="R12132" s="10"/>
      <c r="S12132" s="10" t="s">
        <v>53</v>
      </c>
      <c r="T12132" s="10" t="s">
        <v>54</v>
      </c>
    </row>
    <row r="12133" spans="1:20" ht="14.5" x14ac:dyDescent="0.35">
      <c r="A12133" s="10" t="s">
        <v>51697</v>
      </c>
      <c r="B12133" s="10" t="str">
        <f>"9781951075279"</f>
        <v>9781951075279</v>
      </c>
      <c r="C12133" s="10" t="str">
        <f>"9781951075286"</f>
        <v>9781951075286</v>
      </c>
      <c r="D12133" s="10" t="s">
        <v>37580</v>
      </c>
      <c r="E12133" s="10" t="s">
        <v>37581</v>
      </c>
      <c r="F12133" s="10" t="s">
        <v>37623</v>
      </c>
      <c r="G12133" s="10" t="s">
        <v>6317</v>
      </c>
      <c r="H12133" s="11">
        <v>44043</v>
      </c>
      <c r="I12133" s="10">
        <v>2021</v>
      </c>
      <c r="J12133" s="10" t="s">
        <v>37581</v>
      </c>
      <c r="K12133" s="10">
        <v>136</v>
      </c>
      <c r="L12133" s="10" t="s">
        <v>51698</v>
      </c>
      <c r="M12133" s="10">
        <v>1</v>
      </c>
      <c r="N12133" s="10"/>
      <c r="O12133" s="10"/>
      <c r="P12133" s="10" t="s">
        <v>51699</v>
      </c>
      <c r="Q12133" s="10">
        <v>372.7</v>
      </c>
      <c r="R12133" s="10" t="s">
        <v>30801</v>
      </c>
      <c r="S12133" s="10" t="s">
        <v>53</v>
      </c>
      <c r="T12133" s="10" t="s">
        <v>7425</v>
      </c>
    </row>
    <row r="12134" spans="1:20" ht="14.5" x14ac:dyDescent="0.35">
      <c r="A12134" s="10" t="s">
        <v>51700</v>
      </c>
      <c r="B12134" s="10" t="str">
        <f>"9781624121340"</f>
        <v>9781624121340</v>
      </c>
      <c r="C12134" s="10" t="str">
        <f>"9781624121388"</f>
        <v>9781624121388</v>
      </c>
      <c r="D12134" s="10" t="s">
        <v>51701</v>
      </c>
      <c r="E12134" s="10" t="s">
        <v>51701</v>
      </c>
      <c r="F12134" s="10" t="s">
        <v>51702</v>
      </c>
      <c r="G12134" s="10" t="s">
        <v>6317</v>
      </c>
      <c r="H12134" s="11">
        <v>44042</v>
      </c>
      <c r="I12134" s="10">
        <v>2020</v>
      </c>
      <c r="J12134" s="10" t="s">
        <v>51701</v>
      </c>
      <c r="K12134" s="10">
        <v>145</v>
      </c>
      <c r="L12134" s="10" t="s">
        <v>51703</v>
      </c>
      <c r="M12134" s="10">
        <v>1</v>
      </c>
      <c r="N12134" s="10"/>
      <c r="O12134" s="10"/>
      <c r="P12134" s="10" t="s">
        <v>51704</v>
      </c>
      <c r="Q12134" s="10">
        <v>378.17344678000001</v>
      </c>
      <c r="R12134" s="10" t="s">
        <v>35337</v>
      </c>
      <c r="S12134" s="10" t="s">
        <v>53</v>
      </c>
      <c r="T12134" s="10" t="s">
        <v>54</v>
      </c>
    </row>
    <row r="12135" spans="1:20" ht="14.5" x14ac:dyDescent="0.35">
      <c r="A12135" s="10" t="s">
        <v>51705</v>
      </c>
      <c r="B12135" s="10" t="str">
        <f>"9780367196486"</f>
        <v>9780367196486</v>
      </c>
      <c r="C12135" s="10" t="str">
        <f>"9780429512117"</f>
        <v>9780429512117</v>
      </c>
      <c r="D12135" s="10" t="s">
        <v>6350</v>
      </c>
      <c r="E12135" s="10" t="s">
        <v>6351</v>
      </c>
      <c r="F12135" s="10" t="s">
        <v>3967</v>
      </c>
      <c r="G12135" s="10" t="s">
        <v>6352</v>
      </c>
      <c r="H12135" s="11">
        <v>44032</v>
      </c>
      <c r="I12135" s="10">
        <v>2020</v>
      </c>
      <c r="J12135" s="10" t="s">
        <v>6353</v>
      </c>
      <c r="K12135" s="10">
        <v>175</v>
      </c>
      <c r="L12135" s="10" t="s">
        <v>51706</v>
      </c>
      <c r="M12135" s="10">
        <v>1</v>
      </c>
      <c r="N12135" s="10" t="s">
        <v>51707</v>
      </c>
      <c r="O12135" s="10"/>
      <c r="P12135" s="10" t="s">
        <v>51708</v>
      </c>
      <c r="Q12135" s="10">
        <v>306.76</v>
      </c>
      <c r="R12135" s="10" t="s">
        <v>51709</v>
      </c>
      <c r="S12135" s="10" t="s">
        <v>53</v>
      </c>
      <c r="T12135" s="10" t="s">
        <v>6363</v>
      </c>
    </row>
    <row r="12136" spans="1:20" ht="14.5" x14ac:dyDescent="0.35">
      <c r="A12136" s="10" t="s">
        <v>51710</v>
      </c>
      <c r="B12136" s="10" t="str">
        <f>"9781949539998"</f>
        <v>9781949539998</v>
      </c>
      <c r="C12136" s="10" t="str">
        <f>"9781947604834"</f>
        <v>9781947604834</v>
      </c>
      <c r="D12136" s="10" t="s">
        <v>37580</v>
      </c>
      <c r="E12136" s="10" t="s">
        <v>37581</v>
      </c>
      <c r="F12136" s="10" t="s">
        <v>37623</v>
      </c>
      <c r="G12136" s="10" t="s">
        <v>6317</v>
      </c>
      <c r="H12136" s="11">
        <v>44064</v>
      </c>
      <c r="I12136" s="10">
        <v>2021</v>
      </c>
      <c r="J12136" s="10" t="s">
        <v>37581</v>
      </c>
      <c r="K12136" s="10">
        <v>168</v>
      </c>
      <c r="L12136" s="10" t="s">
        <v>51711</v>
      </c>
      <c r="M12136" s="10">
        <v>1</v>
      </c>
      <c r="N12136" s="10"/>
      <c r="O12136" s="10"/>
      <c r="P12136" s="10" t="s">
        <v>51712</v>
      </c>
      <c r="Q12136" s="10">
        <v>371.39400000000001</v>
      </c>
      <c r="R12136" s="10" t="s">
        <v>29826</v>
      </c>
      <c r="S12136" s="10" t="s">
        <v>53</v>
      </c>
      <c r="T12136" s="10" t="s">
        <v>54</v>
      </c>
    </row>
    <row r="12137" spans="1:20" ht="14.5" x14ac:dyDescent="0.35">
      <c r="A12137" s="10" t="s">
        <v>51713</v>
      </c>
      <c r="B12137" s="10" t="str">
        <f>"9781975501532"</f>
        <v>9781975501532</v>
      </c>
      <c r="C12137" s="10" t="str">
        <f>"9781975501556"</f>
        <v>9781975501556</v>
      </c>
      <c r="D12137" s="10" t="s">
        <v>44271</v>
      </c>
      <c r="E12137" s="10" t="s">
        <v>47266</v>
      </c>
      <c r="F12137" s="10" t="s">
        <v>41227</v>
      </c>
      <c r="G12137" s="10" t="s">
        <v>6317</v>
      </c>
      <c r="H12137" s="11">
        <v>44012</v>
      </c>
      <c r="I12137" s="10">
        <v>2020</v>
      </c>
      <c r="J12137" s="10" t="s">
        <v>47266</v>
      </c>
      <c r="K12137" s="10">
        <v>129</v>
      </c>
      <c r="L12137" s="10" t="s">
        <v>51714</v>
      </c>
      <c r="M12137" s="10">
        <v>1</v>
      </c>
      <c r="N12137" s="10" t="s">
        <v>50736</v>
      </c>
      <c r="O12137" s="10"/>
      <c r="P12137" s="10" t="s">
        <v>51715</v>
      </c>
      <c r="Q12137" s="10">
        <v>371.10199999999998</v>
      </c>
      <c r="R12137" s="10" t="s">
        <v>51716</v>
      </c>
      <c r="S12137" s="10" t="s">
        <v>53</v>
      </c>
      <c r="T12137" s="10" t="s">
        <v>54</v>
      </c>
    </row>
    <row r="12138" spans="1:20" ht="14.5" x14ac:dyDescent="0.35">
      <c r="A12138" s="10" t="s">
        <v>51717</v>
      </c>
      <c r="B12138" s="10" t="str">
        <f>"9781787695368"</f>
        <v>9781787695368</v>
      </c>
      <c r="C12138" s="10" t="str">
        <f>"9781787695337"</f>
        <v>9781787695337</v>
      </c>
      <c r="D12138" s="10" t="s">
        <v>8699</v>
      </c>
      <c r="E12138" s="10" t="s">
        <v>8699</v>
      </c>
      <c r="F12138" s="10" t="s">
        <v>559</v>
      </c>
      <c r="G12138" s="10" t="s">
        <v>6352</v>
      </c>
      <c r="H12138" s="11">
        <v>44049</v>
      </c>
      <c r="I12138" s="10">
        <v>2020</v>
      </c>
      <c r="J12138" s="10" t="s">
        <v>8699</v>
      </c>
      <c r="K12138" s="10">
        <v>257</v>
      </c>
      <c r="L12138" s="10" t="s">
        <v>51718</v>
      </c>
      <c r="M12138" s="10">
        <v>1</v>
      </c>
      <c r="N12138" s="10" t="s">
        <v>47460</v>
      </c>
      <c r="O12138" s="10"/>
      <c r="P12138" s="10" t="s">
        <v>26825</v>
      </c>
      <c r="Q12138" s="10">
        <v>370</v>
      </c>
      <c r="R12138" s="10" t="s">
        <v>51719</v>
      </c>
      <c r="S12138" s="10" t="s">
        <v>53</v>
      </c>
      <c r="T12138" s="10" t="s">
        <v>54</v>
      </c>
    </row>
    <row r="12139" spans="1:20" ht="14.5" x14ac:dyDescent="0.35">
      <c r="A12139" s="10" t="s">
        <v>51720</v>
      </c>
      <c r="B12139" s="10" t="str">
        <f>"9789004405509"</f>
        <v>9789004405509</v>
      </c>
      <c r="C12139" s="10" t="str">
        <f>"9789004405516"</f>
        <v>9789004405516</v>
      </c>
      <c r="D12139" s="10" t="s">
        <v>8564</v>
      </c>
      <c r="E12139" s="10" t="s">
        <v>8565</v>
      </c>
      <c r="F12139" s="10" t="s">
        <v>1420</v>
      </c>
      <c r="G12139" s="10" t="s">
        <v>6317</v>
      </c>
      <c r="H12139" s="11">
        <v>43601</v>
      </c>
      <c r="I12139" s="10">
        <v>2019</v>
      </c>
      <c r="J12139" s="10" t="s">
        <v>33259</v>
      </c>
      <c r="K12139" s="10">
        <v>211</v>
      </c>
      <c r="L12139" s="10" t="s">
        <v>51721</v>
      </c>
      <c r="M12139" s="10">
        <v>1</v>
      </c>
      <c r="N12139" s="10" t="s">
        <v>33716</v>
      </c>
      <c r="O12139" s="10">
        <v>16</v>
      </c>
      <c r="P12139" s="10" t="s">
        <v>51722</v>
      </c>
      <c r="Q12139" s="10">
        <v>601</v>
      </c>
      <c r="R12139" s="10" t="s">
        <v>51723</v>
      </c>
      <c r="S12139" s="10" t="s">
        <v>53</v>
      </c>
      <c r="T12139" s="10" t="s">
        <v>11508</v>
      </c>
    </row>
    <row r="12140" spans="1:20" ht="14.5" x14ac:dyDescent="0.35">
      <c r="A12140" s="10" t="s">
        <v>51724</v>
      </c>
      <c r="B12140" s="10" t="str">
        <f>"9781138054400"</f>
        <v>9781138054400</v>
      </c>
      <c r="C12140" s="10" t="str">
        <f>"9781351681353"</f>
        <v>9781351681353</v>
      </c>
      <c r="D12140" s="10" t="s">
        <v>6350</v>
      </c>
      <c r="E12140" s="10" t="s">
        <v>6351</v>
      </c>
      <c r="F12140" s="10" t="s">
        <v>3967</v>
      </c>
      <c r="G12140" s="10" t="s">
        <v>6352</v>
      </c>
      <c r="H12140" s="11">
        <v>44097</v>
      </c>
      <c r="I12140" s="10">
        <v>2021</v>
      </c>
      <c r="J12140" s="10" t="s">
        <v>6353</v>
      </c>
      <c r="K12140" s="10">
        <v>229</v>
      </c>
      <c r="L12140" s="10" t="s">
        <v>51725</v>
      </c>
      <c r="M12140" s="10">
        <v>2</v>
      </c>
      <c r="N12140" s="10"/>
      <c r="O12140" s="10"/>
      <c r="P12140" s="10" t="s">
        <v>51726</v>
      </c>
      <c r="Q12140" s="10">
        <v>371.35</v>
      </c>
      <c r="R12140" s="10" t="s">
        <v>32754</v>
      </c>
      <c r="S12140" s="10" t="s">
        <v>53</v>
      </c>
      <c r="T12140" s="10" t="s">
        <v>54</v>
      </c>
    </row>
    <row r="12141" spans="1:20" ht="14.5" x14ac:dyDescent="0.35">
      <c r="A12141" s="10" t="s">
        <v>51727</v>
      </c>
      <c r="B12141" s="10" t="str">
        <f>"9789004396005"</f>
        <v>9789004396005</v>
      </c>
      <c r="C12141" s="10" t="str">
        <f>"9789004436848"</f>
        <v>9789004436848</v>
      </c>
      <c r="D12141" s="10" t="s">
        <v>8564</v>
      </c>
      <c r="E12141" s="10" t="s">
        <v>8565</v>
      </c>
      <c r="F12141" s="10" t="s">
        <v>1420</v>
      </c>
      <c r="G12141" s="10" t="s">
        <v>6317</v>
      </c>
      <c r="H12141" s="11">
        <v>44042</v>
      </c>
      <c r="I12141" s="10">
        <v>2020</v>
      </c>
      <c r="J12141" s="10" t="s">
        <v>33259</v>
      </c>
      <c r="K12141" s="10">
        <v>215</v>
      </c>
      <c r="L12141" s="10" t="s">
        <v>51728</v>
      </c>
      <c r="M12141" s="10">
        <v>1</v>
      </c>
      <c r="N12141" s="10" t="s">
        <v>33751</v>
      </c>
      <c r="O12141" s="10">
        <v>68</v>
      </c>
      <c r="P12141" s="10"/>
      <c r="Q12141" s="10"/>
      <c r="R12141" s="10" t="s">
        <v>33559</v>
      </c>
      <c r="S12141" s="10" t="s">
        <v>53</v>
      </c>
      <c r="T12141" s="10" t="s">
        <v>54</v>
      </c>
    </row>
    <row r="12142" spans="1:20" ht="14.5" x14ac:dyDescent="0.35">
      <c r="A12142" s="10" t="s">
        <v>51729</v>
      </c>
      <c r="B12142" s="10" t="str">
        <f>"9789004432451"</f>
        <v>9789004432451</v>
      </c>
      <c r="C12142" s="10" t="str">
        <f>"9789004432468"</f>
        <v>9789004432468</v>
      </c>
      <c r="D12142" s="10" t="s">
        <v>8564</v>
      </c>
      <c r="E12142" s="10" t="s">
        <v>8565</v>
      </c>
      <c r="F12142" s="10" t="s">
        <v>1420</v>
      </c>
      <c r="G12142" s="10" t="s">
        <v>6317</v>
      </c>
      <c r="H12142" s="11">
        <v>44008</v>
      </c>
      <c r="I12142" s="10">
        <v>2020</v>
      </c>
      <c r="J12142" s="10" t="s">
        <v>33259</v>
      </c>
      <c r="K12142" s="10">
        <v>118</v>
      </c>
      <c r="L12142" s="10" t="s">
        <v>51730</v>
      </c>
      <c r="M12142" s="10">
        <v>1</v>
      </c>
      <c r="N12142" s="10" t="s">
        <v>33856</v>
      </c>
      <c r="O12142" s="10">
        <v>5</v>
      </c>
      <c r="P12142" s="10"/>
      <c r="Q12142" s="10"/>
      <c r="R12142" s="10"/>
      <c r="S12142" s="10" t="s">
        <v>53</v>
      </c>
      <c r="T12142" s="10" t="s">
        <v>54</v>
      </c>
    </row>
    <row r="12143" spans="1:20" ht="14.5" x14ac:dyDescent="0.35">
      <c r="A12143" s="10" t="s">
        <v>51731</v>
      </c>
      <c r="B12143" s="10" t="str">
        <f>"9789004436312"</f>
        <v>9789004436312</v>
      </c>
      <c r="C12143" s="10" t="str">
        <f>"9789004436329"</f>
        <v>9789004436329</v>
      </c>
      <c r="D12143" s="10" t="s">
        <v>8564</v>
      </c>
      <c r="E12143" s="10" t="s">
        <v>8565</v>
      </c>
      <c r="F12143" s="10" t="s">
        <v>1420</v>
      </c>
      <c r="G12143" s="10" t="s">
        <v>6317</v>
      </c>
      <c r="H12143" s="11">
        <v>44042</v>
      </c>
      <c r="I12143" s="10">
        <v>2020</v>
      </c>
      <c r="J12143" s="10" t="s">
        <v>33259</v>
      </c>
      <c r="K12143" s="10">
        <v>300</v>
      </c>
      <c r="L12143" s="10" t="s">
        <v>51732</v>
      </c>
      <c r="M12143" s="10">
        <v>1</v>
      </c>
      <c r="N12143" s="10" t="s">
        <v>49214</v>
      </c>
      <c r="O12143" s="10">
        <v>7</v>
      </c>
      <c r="P12143" s="10" t="s">
        <v>51733</v>
      </c>
      <c r="Q12143" s="10">
        <v>306.20972999999998</v>
      </c>
      <c r="R12143" s="10" t="s">
        <v>51734</v>
      </c>
      <c r="S12143" s="10" t="s">
        <v>53</v>
      </c>
      <c r="T12143" s="10" t="s">
        <v>13501</v>
      </c>
    </row>
    <row r="12144" spans="1:20" ht="14.5" x14ac:dyDescent="0.35">
      <c r="A12144" s="10" t="s">
        <v>51735</v>
      </c>
      <c r="B12144" s="10" t="str">
        <f>"9789004436541"</f>
        <v>9789004436541</v>
      </c>
      <c r="C12144" s="10" t="str">
        <f>"9789004436558"</f>
        <v>9789004436558</v>
      </c>
      <c r="D12144" s="10" t="s">
        <v>8564</v>
      </c>
      <c r="E12144" s="10" t="s">
        <v>8565</v>
      </c>
      <c r="F12144" s="10" t="s">
        <v>1420</v>
      </c>
      <c r="G12144" s="10" t="s">
        <v>6317</v>
      </c>
      <c r="H12144" s="11">
        <v>44008</v>
      </c>
      <c r="I12144" s="10">
        <v>2020</v>
      </c>
      <c r="J12144" s="10" t="s">
        <v>33259</v>
      </c>
      <c r="K12144" s="10">
        <v>285</v>
      </c>
      <c r="L12144" s="10" t="s">
        <v>51736</v>
      </c>
      <c r="M12144" s="10">
        <v>1</v>
      </c>
      <c r="N12144" s="10" t="s">
        <v>51737</v>
      </c>
      <c r="O12144" s="10">
        <v>1</v>
      </c>
      <c r="P12144" s="10" t="s">
        <v>51738</v>
      </c>
      <c r="Q12144" s="10">
        <v>378.01</v>
      </c>
      <c r="R12144" s="10" t="s">
        <v>47733</v>
      </c>
      <c r="S12144" s="10" t="s">
        <v>53</v>
      </c>
      <c r="T12144" s="10" t="s">
        <v>54</v>
      </c>
    </row>
    <row r="12145" spans="1:20" ht="14.5" x14ac:dyDescent="0.35">
      <c r="A12145" s="10" t="s">
        <v>51739</v>
      </c>
      <c r="B12145" s="10" t="str">
        <f>"9789004429833"</f>
        <v>9789004429833</v>
      </c>
      <c r="C12145" s="10" t="str">
        <f>"9789004429840"</f>
        <v>9789004429840</v>
      </c>
      <c r="D12145" s="10" t="s">
        <v>8564</v>
      </c>
      <c r="E12145" s="10" t="s">
        <v>8565</v>
      </c>
      <c r="F12145" s="10" t="s">
        <v>1420</v>
      </c>
      <c r="G12145" s="10" t="s">
        <v>6317</v>
      </c>
      <c r="H12145" s="11">
        <v>43930</v>
      </c>
      <c r="I12145" s="10">
        <v>2020</v>
      </c>
      <c r="J12145" s="10" t="s">
        <v>33259</v>
      </c>
      <c r="K12145" s="10">
        <v>120</v>
      </c>
      <c r="L12145" s="10" t="s">
        <v>51740</v>
      </c>
      <c r="M12145" s="10">
        <v>1</v>
      </c>
      <c r="N12145" s="10" t="s">
        <v>50877</v>
      </c>
      <c r="O12145" s="10">
        <v>3</v>
      </c>
      <c r="P12145" s="10"/>
      <c r="Q12145" s="10"/>
      <c r="R12145" s="10" t="s">
        <v>51741</v>
      </c>
      <c r="S12145" s="10" t="s">
        <v>53</v>
      </c>
      <c r="T12145" s="10" t="s">
        <v>54</v>
      </c>
    </row>
    <row r="12146" spans="1:20" ht="14.5" x14ac:dyDescent="0.35">
      <c r="A12146" s="10" t="s">
        <v>51742</v>
      </c>
      <c r="B12146" s="10" t="str">
        <f>"9789004422575"</f>
        <v>9789004422575</v>
      </c>
      <c r="C12146" s="10" t="str">
        <f>"9789004422582"</f>
        <v>9789004422582</v>
      </c>
      <c r="D12146" s="10" t="s">
        <v>8564</v>
      </c>
      <c r="E12146" s="10" t="s">
        <v>8565</v>
      </c>
      <c r="F12146" s="10" t="s">
        <v>1420</v>
      </c>
      <c r="G12146" s="10" t="s">
        <v>6317</v>
      </c>
      <c r="H12146" s="11">
        <v>43930</v>
      </c>
      <c r="I12146" s="10">
        <v>2020</v>
      </c>
      <c r="J12146" s="10" t="s">
        <v>33259</v>
      </c>
      <c r="K12146" s="10">
        <v>350</v>
      </c>
      <c r="L12146" s="10" t="s">
        <v>51743</v>
      </c>
      <c r="M12146" s="10">
        <v>1</v>
      </c>
      <c r="N12146" s="10" t="s">
        <v>33369</v>
      </c>
      <c r="O12146" s="10">
        <v>12</v>
      </c>
      <c r="P12146" s="10" t="s">
        <v>51744</v>
      </c>
      <c r="Q12146" s="10">
        <v>379</v>
      </c>
      <c r="R12146" s="10" t="s">
        <v>51745</v>
      </c>
      <c r="S12146" s="10" t="s">
        <v>53</v>
      </c>
      <c r="T12146" s="10" t="s">
        <v>54</v>
      </c>
    </row>
    <row r="12147" spans="1:20" ht="14.5" x14ac:dyDescent="0.35">
      <c r="A12147" s="10" t="s">
        <v>51746</v>
      </c>
      <c r="B12147" s="10" t="str">
        <f>"9789004396029"</f>
        <v>9789004396029</v>
      </c>
      <c r="C12147" s="10" t="str">
        <f>"9789004421721"</f>
        <v>9789004421721</v>
      </c>
      <c r="D12147" s="10" t="s">
        <v>8564</v>
      </c>
      <c r="E12147" s="10" t="s">
        <v>8565</v>
      </c>
      <c r="F12147" s="10" t="s">
        <v>1420</v>
      </c>
      <c r="G12147" s="10" t="s">
        <v>6317</v>
      </c>
      <c r="H12147" s="11">
        <v>43974</v>
      </c>
      <c r="I12147" s="10">
        <v>2020</v>
      </c>
      <c r="J12147" s="10" t="s">
        <v>33259</v>
      </c>
      <c r="K12147" s="10">
        <v>272</v>
      </c>
      <c r="L12147" s="10" t="s">
        <v>51747</v>
      </c>
      <c r="M12147" s="10">
        <v>1</v>
      </c>
      <c r="N12147" s="10"/>
      <c r="O12147" s="10"/>
      <c r="P12147" s="10"/>
      <c r="Q12147" s="10"/>
      <c r="R12147" s="10" t="s">
        <v>51748</v>
      </c>
      <c r="S12147" s="10" t="s">
        <v>53</v>
      </c>
      <c r="T12147" s="10" t="s">
        <v>54</v>
      </c>
    </row>
    <row r="12148" spans="1:20" ht="14.5" x14ac:dyDescent="0.35">
      <c r="A12148" s="10" t="s">
        <v>51749</v>
      </c>
      <c r="B12148" s="10" t="str">
        <f>"9789004403505"</f>
        <v>9789004403505</v>
      </c>
      <c r="C12148" s="10" t="str">
        <f>"9781848880870"</f>
        <v>9781848880870</v>
      </c>
      <c r="D12148" s="10" t="s">
        <v>8564</v>
      </c>
      <c r="E12148" s="10" t="s">
        <v>8565</v>
      </c>
      <c r="F12148" s="10" t="s">
        <v>1420</v>
      </c>
      <c r="G12148" s="10" t="s">
        <v>6317</v>
      </c>
      <c r="H12148" s="11">
        <v>43921</v>
      </c>
      <c r="I12148" s="10">
        <v>2011</v>
      </c>
      <c r="J12148" s="10" t="s">
        <v>8565</v>
      </c>
      <c r="K12148" s="10">
        <v>193</v>
      </c>
      <c r="L12148" s="10" t="s">
        <v>51750</v>
      </c>
      <c r="M12148" s="10">
        <v>1</v>
      </c>
      <c r="N12148" s="10"/>
      <c r="O12148" s="10"/>
      <c r="P12148" s="10" t="s">
        <v>51751</v>
      </c>
      <c r="Q12148" s="10">
        <v>306.44028546779998</v>
      </c>
      <c r="R12148" s="10" t="s">
        <v>51752</v>
      </c>
      <c r="S12148" s="10" t="s">
        <v>53</v>
      </c>
      <c r="T12148" s="10" t="s">
        <v>51753</v>
      </c>
    </row>
    <row r="12149" spans="1:20" ht="14.5" x14ac:dyDescent="0.35">
      <c r="A12149" s="10" t="s">
        <v>51754</v>
      </c>
      <c r="B12149" s="10" t="str">
        <f>"9781551383439"</f>
        <v>9781551383439</v>
      </c>
      <c r="C12149" s="10" t="str">
        <f>"9781551389448"</f>
        <v>9781551389448</v>
      </c>
      <c r="D12149" s="10" t="s">
        <v>45074</v>
      </c>
      <c r="E12149" s="10" t="s">
        <v>45075</v>
      </c>
      <c r="F12149" s="10" t="s">
        <v>901</v>
      </c>
      <c r="G12149" s="10" t="s">
        <v>9536</v>
      </c>
      <c r="H12149" s="11">
        <v>44068</v>
      </c>
      <c r="I12149" s="10">
        <v>2020</v>
      </c>
      <c r="J12149" s="10" t="s">
        <v>45075</v>
      </c>
      <c r="K12149" s="10">
        <v>199</v>
      </c>
      <c r="L12149" s="10" t="s">
        <v>51755</v>
      </c>
      <c r="M12149" s="10">
        <v>2</v>
      </c>
      <c r="N12149" s="10"/>
      <c r="O12149" s="10"/>
      <c r="P12149" s="10" t="s">
        <v>51756</v>
      </c>
      <c r="Q12149" s="10">
        <v>371.90460000000002</v>
      </c>
      <c r="R12149" s="10" t="s">
        <v>51757</v>
      </c>
      <c r="S12149" s="10" t="s">
        <v>53</v>
      </c>
      <c r="T12149" s="10" t="s">
        <v>54</v>
      </c>
    </row>
    <row r="12150" spans="1:20" ht="14.5" x14ac:dyDescent="0.35">
      <c r="A12150" s="10" t="s">
        <v>51758</v>
      </c>
      <c r="B12150" s="10" t="str">
        <f>"9781839094538"</f>
        <v>9781839094538</v>
      </c>
      <c r="C12150" s="10" t="str">
        <f>"9781839094545"</f>
        <v>9781839094545</v>
      </c>
      <c r="D12150" s="10" t="s">
        <v>8699</v>
      </c>
      <c r="E12150" s="10" t="s">
        <v>8699</v>
      </c>
      <c r="F12150" s="10" t="s">
        <v>559</v>
      </c>
      <c r="G12150" s="10" t="s">
        <v>6352</v>
      </c>
      <c r="H12150" s="11">
        <v>44069</v>
      </c>
      <c r="I12150" s="10">
        <v>2020</v>
      </c>
      <c r="J12150" s="10" t="s">
        <v>8699</v>
      </c>
      <c r="K12150" s="10">
        <v>225</v>
      </c>
      <c r="L12150" s="10" t="s">
        <v>51759</v>
      </c>
      <c r="M12150" s="10">
        <v>1</v>
      </c>
      <c r="N12150" s="10" t="s">
        <v>29541</v>
      </c>
      <c r="O12150" s="10">
        <v>26</v>
      </c>
      <c r="P12150" s="10" t="s">
        <v>49239</v>
      </c>
      <c r="Q12150" s="10">
        <v>370.7</v>
      </c>
      <c r="R12150" s="10" t="s">
        <v>51760</v>
      </c>
      <c r="S12150" s="10" t="s">
        <v>53</v>
      </c>
      <c r="T12150" s="10" t="s">
        <v>54</v>
      </c>
    </row>
    <row r="12151" spans="1:20" ht="14.5" x14ac:dyDescent="0.35">
      <c r="A12151" s="10" t="s">
        <v>51761</v>
      </c>
      <c r="B12151" s="10" t="str">
        <f>"9781839094354"</f>
        <v>9781839094354</v>
      </c>
      <c r="C12151" s="10" t="str">
        <f>"9781839094347"</f>
        <v>9781839094347</v>
      </c>
      <c r="D12151" s="10" t="s">
        <v>8699</v>
      </c>
      <c r="E12151" s="10" t="s">
        <v>8699</v>
      </c>
      <c r="F12151" s="10" t="s">
        <v>559</v>
      </c>
      <c r="G12151" s="10" t="s">
        <v>6352</v>
      </c>
      <c r="H12151" s="11">
        <v>44062</v>
      </c>
      <c r="I12151" s="10">
        <v>2020</v>
      </c>
      <c r="J12151" s="10" t="s">
        <v>8699</v>
      </c>
      <c r="K12151" s="10">
        <v>193</v>
      </c>
      <c r="L12151" s="10" t="s">
        <v>51762</v>
      </c>
      <c r="M12151" s="10">
        <v>1</v>
      </c>
      <c r="N12151" s="10" t="s">
        <v>29541</v>
      </c>
      <c r="O12151" s="10">
        <v>25</v>
      </c>
      <c r="P12151" s="10" t="s">
        <v>27178</v>
      </c>
      <c r="Q12151" s="10">
        <v>370.7</v>
      </c>
      <c r="R12151" s="10" t="s">
        <v>41358</v>
      </c>
      <c r="S12151" s="10" t="s">
        <v>53</v>
      </c>
      <c r="T12151" s="10" t="s">
        <v>54</v>
      </c>
    </row>
    <row r="12152" spans="1:20" ht="14.5" x14ac:dyDescent="0.35">
      <c r="A12152" s="10" t="s">
        <v>51763</v>
      </c>
      <c r="B12152" s="10" t="str">
        <f>"9781553797074"</f>
        <v>9781553797074</v>
      </c>
      <c r="C12152" s="10" t="str">
        <f>"9781553799375"</f>
        <v>9781553799375</v>
      </c>
      <c r="D12152" s="10" t="s">
        <v>28876</v>
      </c>
      <c r="E12152" s="10" t="s">
        <v>44894</v>
      </c>
      <c r="F12152" s="10" t="s">
        <v>967</v>
      </c>
      <c r="G12152" s="10" t="s">
        <v>9536</v>
      </c>
      <c r="H12152" s="11">
        <v>42982</v>
      </c>
      <c r="I12152" s="10">
        <v>2017</v>
      </c>
      <c r="J12152" s="10" t="s">
        <v>44894</v>
      </c>
      <c r="K12152" s="10">
        <v>365</v>
      </c>
      <c r="L12152" s="10" t="s">
        <v>51654</v>
      </c>
      <c r="M12152" s="10">
        <v>1</v>
      </c>
      <c r="N12152" s="10" t="s">
        <v>51655</v>
      </c>
      <c r="O12152" s="10"/>
      <c r="P12152" s="10" t="s">
        <v>51764</v>
      </c>
      <c r="Q12152" s="10">
        <v>372.35</v>
      </c>
      <c r="R12152" s="10" t="s">
        <v>51765</v>
      </c>
      <c r="S12152" s="10" t="s">
        <v>53</v>
      </c>
      <c r="T12152" s="10" t="s">
        <v>54</v>
      </c>
    </row>
    <row r="12153" spans="1:20" ht="14.5" x14ac:dyDescent="0.35">
      <c r="A12153" s="10" t="s">
        <v>51766</v>
      </c>
      <c r="B12153" s="10" t="str">
        <f>"9780367001957"</f>
        <v>9780367001957</v>
      </c>
      <c r="C12153" s="10" t="str">
        <f>"9780429683886"</f>
        <v>9780429683886</v>
      </c>
      <c r="D12153" s="10" t="s">
        <v>6350</v>
      </c>
      <c r="E12153" s="10" t="s">
        <v>6351</v>
      </c>
      <c r="F12153" s="10" t="s">
        <v>748</v>
      </c>
      <c r="G12153" s="10" t="s">
        <v>6352</v>
      </c>
      <c r="H12153" s="11">
        <v>44110</v>
      </c>
      <c r="I12153" s="10">
        <v>2021</v>
      </c>
      <c r="J12153" s="10" t="s">
        <v>6351</v>
      </c>
      <c r="K12153" s="10">
        <v>303</v>
      </c>
      <c r="L12153" s="10" t="s">
        <v>51767</v>
      </c>
      <c r="M12153" s="10">
        <v>1</v>
      </c>
      <c r="N12153" s="10"/>
      <c r="O12153" s="10"/>
      <c r="P12153" s="10" t="s">
        <v>51768</v>
      </c>
      <c r="Q12153" s="10">
        <v>371.82994600000001</v>
      </c>
      <c r="R12153" s="10" t="s">
        <v>51769</v>
      </c>
      <c r="S12153" s="10" t="s">
        <v>53</v>
      </c>
      <c r="T12153" s="10" t="s">
        <v>54</v>
      </c>
    </row>
    <row r="12154" spans="1:20" ht="14.5" x14ac:dyDescent="0.35">
      <c r="A12154" s="10" t="s">
        <v>51770</v>
      </c>
      <c r="B12154" s="10" t="str">
        <f>"9781620369746"</f>
        <v>9781620369746</v>
      </c>
      <c r="C12154" s="10" t="str">
        <f>"9781000973860"</f>
        <v>9781000973860</v>
      </c>
      <c r="D12154" s="10" t="s">
        <v>6350</v>
      </c>
      <c r="E12154" s="10" t="s">
        <v>6351</v>
      </c>
      <c r="F12154" s="10" t="s">
        <v>748</v>
      </c>
      <c r="G12154" s="10" t="s">
        <v>6352</v>
      </c>
      <c r="H12154" s="11">
        <v>44050</v>
      </c>
      <c r="I12154" s="10">
        <v>2020</v>
      </c>
      <c r="J12154" s="10" t="s">
        <v>6351</v>
      </c>
      <c r="K12154" s="10">
        <v>179</v>
      </c>
      <c r="L12154" s="10" t="s">
        <v>51771</v>
      </c>
      <c r="M12154" s="10">
        <v>1</v>
      </c>
      <c r="N12154" s="10"/>
      <c r="O12154" s="10"/>
      <c r="P12154" s="10" t="s">
        <v>51772</v>
      </c>
      <c r="Q12154" s="10">
        <v>378.19828296999998</v>
      </c>
      <c r="R12154" s="10" t="s">
        <v>51773</v>
      </c>
      <c r="S12154" s="10" t="s">
        <v>53</v>
      </c>
      <c r="T12154" s="10" t="s">
        <v>54</v>
      </c>
    </row>
    <row r="12155" spans="1:20" ht="14.5" x14ac:dyDescent="0.35">
      <c r="A12155" s="10" t="s">
        <v>51774</v>
      </c>
      <c r="B12155" s="10" t="str">
        <f>"9781071814956"</f>
        <v>9781071814956</v>
      </c>
      <c r="C12155" s="10" t="str">
        <f>"9781071814918"</f>
        <v>9781071814918</v>
      </c>
      <c r="D12155" s="10" t="s">
        <v>22210</v>
      </c>
      <c r="E12155" s="10" t="s">
        <v>22211</v>
      </c>
      <c r="F12155" s="10" t="s">
        <v>333</v>
      </c>
      <c r="G12155" s="10" t="s">
        <v>6317</v>
      </c>
      <c r="H12155" s="11">
        <v>43992</v>
      </c>
      <c r="I12155" s="10">
        <v>2021</v>
      </c>
      <c r="J12155" s="10" t="s">
        <v>22211</v>
      </c>
      <c r="K12155" s="10">
        <v>233</v>
      </c>
      <c r="L12155" s="10" t="s">
        <v>51775</v>
      </c>
      <c r="M12155" s="10">
        <v>1</v>
      </c>
      <c r="N12155" s="10"/>
      <c r="O12155" s="10"/>
      <c r="P12155" s="10" t="s">
        <v>51776</v>
      </c>
      <c r="Q12155" s="10">
        <v>428.00712729999998</v>
      </c>
      <c r="R12155" s="10" t="s">
        <v>51777</v>
      </c>
      <c r="S12155" s="10" t="s">
        <v>53</v>
      </c>
      <c r="T12155" s="10" t="s">
        <v>6616</v>
      </c>
    </row>
    <row r="12156" spans="1:20" ht="14.5" x14ac:dyDescent="0.35">
      <c r="A12156" s="10" t="s">
        <v>51778</v>
      </c>
      <c r="B12156" s="10" t="str">
        <f>"9781839094736"</f>
        <v>9781839094736</v>
      </c>
      <c r="C12156" s="10" t="str">
        <f>"9781839094743"</f>
        <v>9781839094743</v>
      </c>
      <c r="D12156" s="10" t="s">
        <v>8699</v>
      </c>
      <c r="E12156" s="10" t="s">
        <v>8699</v>
      </c>
      <c r="F12156" s="10" t="s">
        <v>559</v>
      </c>
      <c r="G12156" s="10" t="s">
        <v>6352</v>
      </c>
      <c r="H12156" s="11">
        <v>44071</v>
      </c>
      <c r="I12156" s="10">
        <v>2020</v>
      </c>
      <c r="J12156" s="10" t="s">
        <v>8699</v>
      </c>
      <c r="K12156" s="10">
        <v>254</v>
      </c>
      <c r="L12156" s="10" t="s">
        <v>51779</v>
      </c>
      <c r="M12156" s="10">
        <v>1</v>
      </c>
      <c r="N12156" s="10" t="s">
        <v>29541</v>
      </c>
      <c r="O12156" s="10">
        <v>27</v>
      </c>
      <c r="P12156" s="10" t="s">
        <v>26825</v>
      </c>
      <c r="Q12156" s="10">
        <v>378</v>
      </c>
      <c r="R12156" s="10" t="s">
        <v>12345</v>
      </c>
      <c r="S12156" s="10" t="s">
        <v>53</v>
      </c>
      <c r="T12156" s="10" t="s">
        <v>54</v>
      </c>
    </row>
    <row r="12157" spans="1:20" ht="14.5" x14ac:dyDescent="0.35">
      <c r="A12157" s="10" t="s">
        <v>51780</v>
      </c>
      <c r="B12157" s="10" t="str">
        <f>"9781787697720"</f>
        <v>9781787697720</v>
      </c>
      <c r="C12157" s="10" t="str">
        <f>"9781787697713"</f>
        <v>9781787697713</v>
      </c>
      <c r="D12157" s="10" t="s">
        <v>8699</v>
      </c>
      <c r="E12157" s="10" t="s">
        <v>8699</v>
      </c>
      <c r="F12157" s="10" t="s">
        <v>559</v>
      </c>
      <c r="G12157" s="10" t="s">
        <v>6352</v>
      </c>
      <c r="H12157" s="11">
        <v>44077</v>
      </c>
      <c r="I12157" s="10">
        <v>2020</v>
      </c>
      <c r="J12157" s="10" t="s">
        <v>8699</v>
      </c>
      <c r="K12157" s="10">
        <v>273</v>
      </c>
      <c r="L12157" s="10" t="s">
        <v>51781</v>
      </c>
      <c r="M12157" s="10">
        <v>1</v>
      </c>
      <c r="N12157" s="10" t="s">
        <v>29541</v>
      </c>
      <c r="O12157" s="10">
        <v>28</v>
      </c>
      <c r="P12157" s="10" t="s">
        <v>26825</v>
      </c>
      <c r="Q12157" s="10">
        <v>303.48200000000003</v>
      </c>
      <c r="R12157" s="10" t="s">
        <v>51782</v>
      </c>
      <c r="S12157" s="10" t="s">
        <v>53</v>
      </c>
      <c r="T12157" s="10" t="s">
        <v>6526</v>
      </c>
    </row>
    <row r="12158" spans="1:20" ht="14.5" x14ac:dyDescent="0.35">
      <c r="A12158" s="10" t="s">
        <v>51783</v>
      </c>
      <c r="B12158" s="10" t="str">
        <f>"9781119638896"</f>
        <v>9781119638896</v>
      </c>
      <c r="C12158" s="10" t="str">
        <f>"9781119638919"</f>
        <v>9781119638919</v>
      </c>
      <c r="D12158" s="10" t="s">
        <v>6322</v>
      </c>
      <c r="E12158" s="10" t="s">
        <v>6323</v>
      </c>
      <c r="F12158" s="10" t="s">
        <v>4423</v>
      </c>
      <c r="G12158" s="10" t="s">
        <v>6317</v>
      </c>
      <c r="H12158" s="11">
        <v>44068</v>
      </c>
      <c r="I12158" s="10">
        <v>2020</v>
      </c>
      <c r="J12158" s="10" t="s">
        <v>6324</v>
      </c>
      <c r="K12158" s="10">
        <v>195</v>
      </c>
      <c r="L12158" s="10" t="s">
        <v>51784</v>
      </c>
      <c r="M12158" s="10">
        <v>1</v>
      </c>
      <c r="N12158" s="10"/>
      <c r="O12158" s="10"/>
      <c r="P12158" s="10"/>
      <c r="Q12158" s="10">
        <v>371.2</v>
      </c>
      <c r="R12158" s="10" t="s">
        <v>18815</v>
      </c>
      <c r="S12158" s="10" t="s">
        <v>53</v>
      </c>
      <c r="T12158" s="10" t="s">
        <v>54</v>
      </c>
    </row>
    <row r="12159" spans="1:20" ht="14.5" x14ac:dyDescent="0.35">
      <c r="A12159" s="10" t="s">
        <v>51785</v>
      </c>
      <c r="B12159" s="10" t="str">
        <f>"9786140321335"</f>
        <v>9786140321335</v>
      </c>
      <c r="C12159" s="10" t="str">
        <f>"9786144259962"</f>
        <v>9786144259962</v>
      </c>
      <c r="D12159" s="10" t="s">
        <v>51786</v>
      </c>
      <c r="E12159" s="10" t="s">
        <v>51786</v>
      </c>
      <c r="F12159" s="10" t="s">
        <v>51787</v>
      </c>
      <c r="G12159" s="10" t="s">
        <v>51788</v>
      </c>
      <c r="H12159" s="11">
        <v>44013</v>
      </c>
      <c r="I12159" s="10">
        <v>2019</v>
      </c>
      <c r="J12159" s="10" t="s">
        <v>51789</v>
      </c>
      <c r="K12159" s="10">
        <v>159</v>
      </c>
      <c r="L12159" s="10" t="s">
        <v>51790</v>
      </c>
      <c r="M12159" s="10">
        <v>1</v>
      </c>
      <c r="N12159" s="10"/>
      <c r="O12159" s="10"/>
      <c r="P12159" s="10"/>
      <c r="Q12159" s="10"/>
      <c r="R12159" s="10"/>
      <c r="S12159" s="10" t="s">
        <v>5841</v>
      </c>
      <c r="T12159" s="10" t="s">
        <v>54</v>
      </c>
    </row>
    <row r="12160" spans="1:20" ht="14.5" x14ac:dyDescent="0.35">
      <c r="A12160" s="10" t="s">
        <v>51791</v>
      </c>
      <c r="B12160" s="10" t="str">
        <f>"9780367143534"</f>
        <v>9780367143534</v>
      </c>
      <c r="C12160" s="10" t="str">
        <f>"9780429631832"</f>
        <v>9780429631832</v>
      </c>
      <c r="D12160" s="10" t="s">
        <v>6350</v>
      </c>
      <c r="E12160" s="10" t="s">
        <v>6351</v>
      </c>
      <c r="F12160" s="10" t="s">
        <v>3967</v>
      </c>
      <c r="G12160" s="10" t="s">
        <v>6352</v>
      </c>
      <c r="H12160" s="11">
        <v>44132</v>
      </c>
      <c r="I12160" s="10">
        <v>2020</v>
      </c>
      <c r="J12160" s="10" t="s">
        <v>6353</v>
      </c>
      <c r="K12160" s="10">
        <v>172</v>
      </c>
      <c r="L12160" s="10" t="s">
        <v>51792</v>
      </c>
      <c r="M12160" s="10">
        <v>1</v>
      </c>
      <c r="N12160" s="10" t="s">
        <v>25302</v>
      </c>
      <c r="O12160" s="10"/>
      <c r="P12160" s="10" t="s">
        <v>51793</v>
      </c>
      <c r="Q12160" s="10">
        <v>418.00711719999998</v>
      </c>
      <c r="R12160" s="10" t="s">
        <v>51794</v>
      </c>
      <c r="S12160" s="10" t="s">
        <v>53</v>
      </c>
      <c r="T12160" s="10" t="s">
        <v>6616</v>
      </c>
    </row>
    <row r="12161" spans="1:20" ht="14.5" x14ac:dyDescent="0.35">
      <c r="A12161" s="10" t="s">
        <v>51795</v>
      </c>
      <c r="B12161" s="10" t="str">
        <f>"9781119629900"</f>
        <v>9781119629900</v>
      </c>
      <c r="C12161" s="10" t="str">
        <f>"9781119629917"</f>
        <v>9781119629917</v>
      </c>
      <c r="D12161" s="10" t="s">
        <v>6322</v>
      </c>
      <c r="E12161" s="10" t="s">
        <v>6323</v>
      </c>
      <c r="F12161" s="10" t="s">
        <v>4423</v>
      </c>
      <c r="G12161" s="10" t="s">
        <v>6317</v>
      </c>
      <c r="H12161" s="11">
        <v>44090</v>
      </c>
      <c r="I12161" s="10">
        <v>2020</v>
      </c>
      <c r="J12161" s="10" t="s">
        <v>6324</v>
      </c>
      <c r="K12161" s="10">
        <v>355</v>
      </c>
      <c r="L12161" s="10" t="s">
        <v>51796</v>
      </c>
      <c r="M12161" s="10">
        <v>3</v>
      </c>
      <c r="N12161" s="10"/>
      <c r="O12161" s="10"/>
      <c r="P12161" s="10" t="s">
        <v>51797</v>
      </c>
      <c r="Q12161" s="10">
        <v>530</v>
      </c>
      <c r="R12161" s="10" t="s">
        <v>51798</v>
      </c>
      <c r="S12161" s="10" t="s">
        <v>53</v>
      </c>
      <c r="T12161" s="10" t="s">
        <v>11108</v>
      </c>
    </row>
    <row r="12162" spans="1:20" ht="14.5" x14ac:dyDescent="0.35">
      <c r="A12162" s="10" t="s">
        <v>51799</v>
      </c>
      <c r="B12162" s="10" t="str">
        <f>"9781119632566"</f>
        <v>9781119632566</v>
      </c>
      <c r="C12162" s="10" t="str">
        <f>"9781119632658"</f>
        <v>9781119632658</v>
      </c>
      <c r="D12162" s="10" t="s">
        <v>6322</v>
      </c>
      <c r="E12162" s="10" t="s">
        <v>6323</v>
      </c>
      <c r="F12162" s="10" t="s">
        <v>4423</v>
      </c>
      <c r="G12162" s="10" t="s">
        <v>6317</v>
      </c>
      <c r="H12162" s="11">
        <v>44090</v>
      </c>
      <c r="I12162" s="10">
        <v>2020</v>
      </c>
      <c r="J12162" s="10" t="s">
        <v>6324</v>
      </c>
      <c r="K12162" s="10">
        <v>432</v>
      </c>
      <c r="L12162" s="10" t="s">
        <v>51800</v>
      </c>
      <c r="M12162" s="10">
        <v>3</v>
      </c>
      <c r="N12162" s="10" t="s">
        <v>51801</v>
      </c>
      <c r="O12162" s="10"/>
      <c r="P12162" s="10" t="s">
        <v>51802</v>
      </c>
      <c r="Q12162" s="10">
        <v>540</v>
      </c>
      <c r="R12162" s="10" t="s">
        <v>51803</v>
      </c>
      <c r="S12162" s="10" t="s">
        <v>53</v>
      </c>
      <c r="T12162" s="10" t="s">
        <v>11332</v>
      </c>
    </row>
    <row r="12163" spans="1:20" ht="14.5" x14ac:dyDescent="0.35">
      <c r="A12163" s="10" t="s">
        <v>51804</v>
      </c>
      <c r="B12163" s="10" t="str">
        <f>"9789027207487"</f>
        <v>9789027207487</v>
      </c>
      <c r="C12163" s="10" t="str">
        <f>"9789027260802"</f>
        <v>9789027260802</v>
      </c>
      <c r="D12163" s="10" t="s">
        <v>17335</v>
      </c>
      <c r="E12163" s="10" t="s">
        <v>17336</v>
      </c>
      <c r="F12163" s="10" t="s">
        <v>17385</v>
      </c>
      <c r="G12163" s="10" t="s">
        <v>9233</v>
      </c>
      <c r="H12163" s="11">
        <v>44091</v>
      </c>
      <c r="I12163" s="10">
        <v>2020</v>
      </c>
      <c r="J12163" s="10" t="s">
        <v>17336</v>
      </c>
      <c r="K12163" s="10">
        <v>209</v>
      </c>
      <c r="L12163" s="10" t="s">
        <v>51805</v>
      </c>
      <c r="M12163" s="10">
        <v>1</v>
      </c>
      <c r="N12163" s="10" t="s">
        <v>51681</v>
      </c>
      <c r="O12163" s="10">
        <v>110</v>
      </c>
      <c r="P12163" s="10" t="s">
        <v>29034</v>
      </c>
      <c r="Q12163" s="10">
        <v>370.71100000000001</v>
      </c>
      <c r="R12163" s="10" t="s">
        <v>44825</v>
      </c>
      <c r="S12163" s="10" t="s">
        <v>53</v>
      </c>
      <c r="T12163" s="10" t="s">
        <v>54</v>
      </c>
    </row>
    <row r="12164" spans="1:20" ht="14.5" x14ac:dyDescent="0.35">
      <c r="A12164" s="10" t="s">
        <v>51806</v>
      </c>
      <c r="B12164" s="10" t="str">
        <f>"9781978818378"</f>
        <v>9781978818378</v>
      </c>
      <c r="C12164" s="10" t="str">
        <f>"9781978818408"</f>
        <v>9781978818408</v>
      </c>
      <c r="D12164" s="10" t="s">
        <v>12251</v>
      </c>
      <c r="E12164" s="10" t="s">
        <v>12251</v>
      </c>
      <c r="F12164" s="10" t="s">
        <v>12451</v>
      </c>
      <c r="G12164" s="10" t="s">
        <v>6317</v>
      </c>
      <c r="H12164" s="11">
        <v>44120</v>
      </c>
      <c r="I12164" s="10">
        <v>2021</v>
      </c>
      <c r="J12164" s="10" t="s">
        <v>12251</v>
      </c>
      <c r="K12164" s="10">
        <v>166</v>
      </c>
      <c r="L12164" s="10" t="s">
        <v>51807</v>
      </c>
      <c r="M12164" s="10">
        <v>1</v>
      </c>
      <c r="N12164" s="10"/>
      <c r="O12164" s="10"/>
      <c r="P12164" s="10" t="s">
        <v>51808</v>
      </c>
      <c r="Q12164" s="10">
        <v>378.77615500000002</v>
      </c>
      <c r="R12164" s="10" t="s">
        <v>51809</v>
      </c>
      <c r="S12164" s="10" t="s">
        <v>53</v>
      </c>
      <c r="T12164" s="10" t="s">
        <v>54</v>
      </c>
    </row>
    <row r="12165" spans="1:20" ht="14.5" x14ac:dyDescent="0.35">
      <c r="A12165" s="10" t="s">
        <v>51810</v>
      </c>
      <c r="B12165" s="10" t="str">
        <f>"9781951075231"</f>
        <v>9781951075231</v>
      </c>
      <c r="C12165" s="10" t="str">
        <f>"9781951075248"</f>
        <v>9781951075248</v>
      </c>
      <c r="D12165" s="10" t="s">
        <v>37580</v>
      </c>
      <c r="E12165" s="10" t="s">
        <v>37581</v>
      </c>
      <c r="F12165" s="10" t="s">
        <v>37623</v>
      </c>
      <c r="G12165" s="10" t="s">
        <v>6317</v>
      </c>
      <c r="H12165" s="11">
        <v>44088</v>
      </c>
      <c r="I12165" s="10">
        <v>2021</v>
      </c>
      <c r="J12165" s="10" t="s">
        <v>37581</v>
      </c>
      <c r="K12165" s="10">
        <v>168</v>
      </c>
      <c r="L12165" s="10" t="s">
        <v>51811</v>
      </c>
      <c r="M12165" s="10">
        <v>1</v>
      </c>
      <c r="N12165" s="10"/>
      <c r="O12165" s="10"/>
      <c r="P12165" s="10" t="s">
        <v>51812</v>
      </c>
      <c r="Q12165" s="10">
        <v>372.7</v>
      </c>
      <c r="R12165" s="10" t="s">
        <v>51001</v>
      </c>
      <c r="S12165" s="10" t="s">
        <v>53</v>
      </c>
      <c r="T12165" s="10" t="s">
        <v>6448</v>
      </c>
    </row>
    <row r="12166" spans="1:20" ht="14.5" x14ac:dyDescent="0.35">
      <c r="A12166" s="10" t="s">
        <v>51813</v>
      </c>
      <c r="B12166" s="10" t="str">
        <f>"9781553797098"</f>
        <v>9781553797098</v>
      </c>
      <c r="C12166" s="10" t="str">
        <f>"9781553799382"</f>
        <v>9781553799382</v>
      </c>
      <c r="D12166" s="10" t="s">
        <v>9533</v>
      </c>
      <c r="E12166" s="10" t="s">
        <v>44894</v>
      </c>
      <c r="F12166" s="10" t="s">
        <v>25348</v>
      </c>
      <c r="G12166" s="10" t="s">
        <v>9536</v>
      </c>
      <c r="H12166" s="11">
        <v>43008</v>
      </c>
      <c r="I12166" s="10">
        <v>2017</v>
      </c>
      <c r="J12166" s="10" t="s">
        <v>44894</v>
      </c>
      <c r="K12166" s="10">
        <v>361</v>
      </c>
      <c r="L12166" s="10" t="s">
        <v>51654</v>
      </c>
      <c r="M12166" s="10">
        <v>1</v>
      </c>
      <c r="N12166" s="10" t="s">
        <v>51655</v>
      </c>
      <c r="O12166" s="10"/>
      <c r="P12166" s="10" t="s">
        <v>51656</v>
      </c>
      <c r="Q12166" s="10">
        <v>372.35</v>
      </c>
      <c r="R12166" s="10" t="s">
        <v>51765</v>
      </c>
      <c r="S12166" s="10" t="s">
        <v>53</v>
      </c>
      <c r="T12166" s="10" t="s">
        <v>54</v>
      </c>
    </row>
    <row r="12167" spans="1:20" ht="14.5" x14ac:dyDescent="0.35">
      <c r="A12167" s="10" t="s">
        <v>51814</v>
      </c>
      <c r="B12167" s="10" t="str">
        <f>"9781553797128"</f>
        <v>9781553797128</v>
      </c>
      <c r="C12167" s="10" t="str">
        <f>"9781553799412"</f>
        <v>9781553799412</v>
      </c>
      <c r="D12167" s="10" t="s">
        <v>9533</v>
      </c>
      <c r="E12167" s="10" t="s">
        <v>44894</v>
      </c>
      <c r="F12167" s="10" t="s">
        <v>25348</v>
      </c>
      <c r="G12167" s="10" t="s">
        <v>9536</v>
      </c>
      <c r="H12167" s="11">
        <v>43132</v>
      </c>
      <c r="I12167" s="10">
        <v>2018</v>
      </c>
      <c r="J12167" s="10" t="s">
        <v>44894</v>
      </c>
      <c r="K12167" s="10">
        <v>359</v>
      </c>
      <c r="L12167" s="10" t="s">
        <v>51654</v>
      </c>
      <c r="M12167" s="10">
        <v>1</v>
      </c>
      <c r="N12167" s="10" t="s">
        <v>51655</v>
      </c>
      <c r="O12167" s="10"/>
      <c r="P12167" s="10" t="s">
        <v>51815</v>
      </c>
      <c r="Q12167" s="10">
        <v>372.35043999999999</v>
      </c>
      <c r="R12167" s="10" t="s">
        <v>51816</v>
      </c>
      <c r="S12167" s="10" t="s">
        <v>53</v>
      </c>
      <c r="T12167" s="10" t="s">
        <v>54</v>
      </c>
    </row>
    <row r="12168" spans="1:20" ht="14.5" x14ac:dyDescent="0.35">
      <c r="A12168" s="10" t="s">
        <v>51817</v>
      </c>
      <c r="B12168" s="10" t="str">
        <f>"9781684034741"</f>
        <v>9781684034741</v>
      </c>
      <c r="C12168" s="10" t="str">
        <f>"9781684034758"</f>
        <v>9781684034758</v>
      </c>
      <c r="D12168" s="10" t="s">
        <v>51818</v>
      </c>
      <c r="E12168" s="10" t="s">
        <v>51819</v>
      </c>
      <c r="F12168" s="10" t="s">
        <v>2612</v>
      </c>
      <c r="G12168" s="10" t="s">
        <v>6317</v>
      </c>
      <c r="H12168" s="11">
        <v>44075</v>
      </c>
      <c r="I12168" s="10">
        <v>2020</v>
      </c>
      <c r="J12168" s="10" t="s">
        <v>51819</v>
      </c>
      <c r="K12168" s="10">
        <v>226</v>
      </c>
      <c r="L12168" s="10" t="s">
        <v>51820</v>
      </c>
      <c r="M12168" s="10">
        <v>1</v>
      </c>
      <c r="N12168" s="10"/>
      <c r="O12168" s="10"/>
      <c r="P12168" s="10" t="s">
        <v>51821</v>
      </c>
      <c r="Q12168" s="10">
        <v>371.15339999999998</v>
      </c>
      <c r="R12168" s="10" t="s">
        <v>51822</v>
      </c>
      <c r="S12168" s="10" t="s">
        <v>53</v>
      </c>
      <c r="T12168" s="10" t="s">
        <v>54</v>
      </c>
    </row>
    <row r="12169" spans="1:20" ht="14.5" x14ac:dyDescent="0.35">
      <c r="A12169" s="10" t="s">
        <v>51823</v>
      </c>
      <c r="B12169" s="10" t="str">
        <f>"9789004437258"</f>
        <v>9789004437258</v>
      </c>
      <c r="C12169" s="10" t="str">
        <f>"9789004437265"</f>
        <v>9789004437265</v>
      </c>
      <c r="D12169" s="10" t="s">
        <v>8564</v>
      </c>
      <c r="E12169" s="10" t="s">
        <v>8565</v>
      </c>
      <c r="F12169" s="10" t="s">
        <v>1420</v>
      </c>
      <c r="G12169" s="10" t="s">
        <v>6317</v>
      </c>
      <c r="H12169" s="11">
        <v>44063</v>
      </c>
      <c r="I12169" s="10">
        <v>2020</v>
      </c>
      <c r="J12169" s="10" t="s">
        <v>33259</v>
      </c>
      <c r="K12169" s="10">
        <v>124</v>
      </c>
      <c r="L12169" s="10" t="s">
        <v>51824</v>
      </c>
      <c r="M12169" s="10">
        <v>1</v>
      </c>
      <c r="N12169" s="10" t="s">
        <v>43365</v>
      </c>
      <c r="O12169" s="10">
        <v>8</v>
      </c>
      <c r="P12169" s="10"/>
      <c r="Q12169" s="10"/>
      <c r="R12169" s="10"/>
      <c r="S12169" s="10" t="s">
        <v>53</v>
      </c>
      <c r="T12169" s="10" t="s">
        <v>54</v>
      </c>
    </row>
    <row r="12170" spans="1:20" ht="14.5" x14ac:dyDescent="0.35">
      <c r="A12170" s="10" t="s">
        <v>51825</v>
      </c>
      <c r="B12170" s="10" t="str">
        <f>"9789004441637"</f>
        <v>9789004441637</v>
      </c>
      <c r="C12170" s="10" t="str">
        <f>"9789004441651"</f>
        <v>9789004441651</v>
      </c>
      <c r="D12170" s="10" t="s">
        <v>8564</v>
      </c>
      <c r="E12170" s="10" t="s">
        <v>8565</v>
      </c>
      <c r="F12170" s="10" t="s">
        <v>1420</v>
      </c>
      <c r="G12170" s="10" t="s">
        <v>6317</v>
      </c>
      <c r="H12170" s="11">
        <v>44063</v>
      </c>
      <c r="I12170" s="10">
        <v>2020</v>
      </c>
      <c r="J12170" s="10" t="s">
        <v>33259</v>
      </c>
      <c r="K12170" s="10">
        <v>213</v>
      </c>
      <c r="L12170" s="10" t="s">
        <v>51826</v>
      </c>
      <c r="M12170" s="10">
        <v>1</v>
      </c>
      <c r="N12170" s="10" t="s">
        <v>50183</v>
      </c>
      <c r="O12170" s="10">
        <v>4</v>
      </c>
      <c r="P12170" s="10"/>
      <c r="Q12170" s="10"/>
      <c r="R12170" s="10"/>
      <c r="S12170" s="10" t="s">
        <v>53</v>
      </c>
      <c r="T12170" s="10" t="s">
        <v>54</v>
      </c>
    </row>
    <row r="12171" spans="1:20" ht="14.5" x14ac:dyDescent="0.35">
      <c r="A12171" s="10" t="s">
        <v>51827</v>
      </c>
      <c r="B12171" s="10" t="str">
        <f>"9789004436640"</f>
        <v>9789004436640</v>
      </c>
      <c r="C12171" s="10" t="str">
        <f>"9789004436657"</f>
        <v>9789004436657</v>
      </c>
      <c r="D12171" s="10" t="s">
        <v>8564</v>
      </c>
      <c r="E12171" s="10" t="s">
        <v>8565</v>
      </c>
      <c r="F12171" s="10" t="s">
        <v>1420</v>
      </c>
      <c r="G12171" s="10" t="s">
        <v>6317</v>
      </c>
      <c r="H12171" s="11">
        <v>44063</v>
      </c>
      <c r="I12171" s="10">
        <v>2020</v>
      </c>
      <c r="J12171" s="10" t="s">
        <v>33259</v>
      </c>
      <c r="K12171" s="10">
        <v>212</v>
      </c>
      <c r="L12171" s="10" t="s">
        <v>51828</v>
      </c>
      <c r="M12171" s="10">
        <v>1</v>
      </c>
      <c r="N12171" s="10" t="s">
        <v>33404</v>
      </c>
      <c r="O12171" s="10">
        <v>19</v>
      </c>
      <c r="P12171" s="10"/>
      <c r="Q12171" s="10"/>
      <c r="R12171" s="10" t="s">
        <v>51829</v>
      </c>
      <c r="S12171" s="10" t="s">
        <v>53</v>
      </c>
      <c r="T12171" s="10" t="s">
        <v>54</v>
      </c>
    </row>
    <row r="12172" spans="1:20" ht="14.5" x14ac:dyDescent="0.35">
      <c r="A12172" s="10" t="s">
        <v>51830</v>
      </c>
      <c r="B12172" s="10" t="str">
        <f>"9781416629580"</f>
        <v>9781416629580</v>
      </c>
      <c r="C12172" s="10" t="str">
        <f>"9781416629603"</f>
        <v>9781416629603</v>
      </c>
      <c r="D12172" s="10" t="s">
        <v>10014</v>
      </c>
      <c r="E12172" s="10" t="s">
        <v>10015</v>
      </c>
      <c r="F12172" s="10" t="s">
        <v>201</v>
      </c>
      <c r="G12172" s="10" t="s">
        <v>6317</v>
      </c>
      <c r="H12172" s="11">
        <v>44069</v>
      </c>
      <c r="I12172" s="10">
        <v>2020</v>
      </c>
      <c r="J12172" s="10" t="s">
        <v>10015</v>
      </c>
      <c r="K12172" s="10">
        <v>130</v>
      </c>
      <c r="L12172" s="10" t="s">
        <v>51831</v>
      </c>
      <c r="M12172" s="10">
        <v>1</v>
      </c>
      <c r="N12172" s="10"/>
      <c r="O12172" s="10"/>
      <c r="P12172" s="10" t="s">
        <v>51832</v>
      </c>
      <c r="Q12172" s="10">
        <v>371.20119999999901</v>
      </c>
      <c r="R12172" s="10" t="s">
        <v>49671</v>
      </c>
      <c r="S12172" s="10" t="s">
        <v>53</v>
      </c>
      <c r="T12172" s="10" t="s">
        <v>54</v>
      </c>
    </row>
    <row r="12173" spans="1:20" ht="14.5" x14ac:dyDescent="0.35">
      <c r="A12173" s="10" t="s">
        <v>51833</v>
      </c>
      <c r="B12173" s="10" t="str">
        <f>"9781553797104"</f>
        <v>9781553797104</v>
      </c>
      <c r="C12173" s="10" t="str">
        <f>"9781553799399"</f>
        <v>9781553799399</v>
      </c>
      <c r="D12173" s="10" t="s">
        <v>9533</v>
      </c>
      <c r="E12173" s="10" t="s">
        <v>44894</v>
      </c>
      <c r="F12173" s="10" t="s">
        <v>25348</v>
      </c>
      <c r="G12173" s="10" t="s">
        <v>9536</v>
      </c>
      <c r="H12173" s="11">
        <v>43101</v>
      </c>
      <c r="I12173" s="10">
        <v>2018</v>
      </c>
      <c r="J12173" s="10" t="s">
        <v>44894</v>
      </c>
      <c r="K12173" s="10">
        <v>349</v>
      </c>
      <c r="L12173" s="10" t="s">
        <v>51654</v>
      </c>
      <c r="M12173" s="10">
        <v>1</v>
      </c>
      <c r="N12173" s="10" t="s">
        <v>51655</v>
      </c>
      <c r="O12173" s="10"/>
      <c r="P12173" s="10" t="s">
        <v>51815</v>
      </c>
      <c r="Q12173" s="10">
        <v>372.35043999999999</v>
      </c>
      <c r="R12173" s="10" t="s">
        <v>51816</v>
      </c>
      <c r="S12173" s="10" t="s">
        <v>53</v>
      </c>
      <c r="T12173" s="10" t="s">
        <v>54</v>
      </c>
    </row>
    <row r="12174" spans="1:20" ht="14.5" x14ac:dyDescent="0.35">
      <c r="A12174" s="10" t="s">
        <v>51834</v>
      </c>
      <c r="B12174" s="10" t="str">
        <f>"9781553797111"</f>
        <v>9781553797111</v>
      </c>
      <c r="C12174" s="10" t="str">
        <f>"9781553799405"</f>
        <v>9781553799405</v>
      </c>
      <c r="D12174" s="10" t="s">
        <v>9533</v>
      </c>
      <c r="E12174" s="10" t="s">
        <v>44894</v>
      </c>
      <c r="F12174" s="10" t="s">
        <v>25348</v>
      </c>
      <c r="G12174" s="10" t="s">
        <v>9536</v>
      </c>
      <c r="H12174" s="11">
        <v>43213</v>
      </c>
      <c r="I12174" s="10">
        <v>2018</v>
      </c>
      <c r="J12174" s="10" t="s">
        <v>44894</v>
      </c>
      <c r="K12174" s="10">
        <v>343</v>
      </c>
      <c r="L12174" s="10" t="s">
        <v>51654</v>
      </c>
      <c r="M12174" s="10">
        <v>1</v>
      </c>
      <c r="N12174" s="10" t="s">
        <v>51655</v>
      </c>
      <c r="O12174" s="10"/>
      <c r="P12174" s="10" t="s">
        <v>51815</v>
      </c>
      <c r="Q12174" s="10">
        <v>372.35043999999999</v>
      </c>
      <c r="R12174" s="10" t="s">
        <v>51816</v>
      </c>
      <c r="S12174" s="10" t="s">
        <v>53</v>
      </c>
      <c r="T12174" s="10" t="s">
        <v>54</v>
      </c>
    </row>
    <row r="12175" spans="1:20" ht="14.5" x14ac:dyDescent="0.35">
      <c r="A12175" s="10" t="s">
        <v>51835</v>
      </c>
      <c r="B12175" s="10" t="str">
        <f>"9781919985602"</f>
        <v>9781919985602</v>
      </c>
      <c r="C12175" s="10" t="str">
        <f>"9781919985619"</f>
        <v>9781919985619</v>
      </c>
      <c r="D12175" s="10" t="s">
        <v>51836</v>
      </c>
      <c r="E12175" s="10" t="s">
        <v>51836</v>
      </c>
      <c r="F12175" s="10" t="s">
        <v>51837</v>
      </c>
      <c r="G12175" s="10" t="s">
        <v>24826</v>
      </c>
      <c r="H12175" s="11">
        <v>42125</v>
      </c>
      <c r="I12175" s="10">
        <v>2015</v>
      </c>
      <c r="J12175" s="10" t="s">
        <v>51836</v>
      </c>
      <c r="K12175" s="10">
        <v>259</v>
      </c>
      <c r="L12175" s="10" t="s">
        <v>51838</v>
      </c>
      <c r="M12175" s="10">
        <v>1</v>
      </c>
      <c r="N12175" s="10"/>
      <c r="O12175" s="10"/>
      <c r="P12175" s="10"/>
      <c r="Q12175" s="10"/>
      <c r="R12175" s="10"/>
      <c r="S12175" s="10" t="s">
        <v>51839</v>
      </c>
      <c r="T12175" s="10" t="s">
        <v>54</v>
      </c>
    </row>
    <row r="12176" spans="1:20" ht="14.5" x14ac:dyDescent="0.35">
      <c r="A12176" s="10" t="s">
        <v>51840</v>
      </c>
      <c r="B12176" s="10" t="str">
        <f>"9781920689827"</f>
        <v>9781920689827</v>
      </c>
      <c r="C12176" s="10" t="str">
        <f>"9781920689834"</f>
        <v>9781920689834</v>
      </c>
      <c r="D12176" s="10" t="s">
        <v>51836</v>
      </c>
      <c r="E12176" s="10" t="s">
        <v>51836</v>
      </c>
      <c r="F12176" s="10" t="s">
        <v>51837</v>
      </c>
      <c r="G12176" s="10" t="s">
        <v>24826</v>
      </c>
      <c r="H12176" s="11">
        <v>42186</v>
      </c>
      <c r="I12176" s="10">
        <v>2015</v>
      </c>
      <c r="J12176" s="10" t="s">
        <v>51836</v>
      </c>
      <c r="K12176" s="10">
        <v>189</v>
      </c>
      <c r="L12176" s="10" t="s">
        <v>51841</v>
      </c>
      <c r="M12176" s="10">
        <v>1</v>
      </c>
      <c r="N12176" s="10"/>
      <c r="O12176" s="10"/>
      <c r="P12176" s="10" t="s">
        <v>51842</v>
      </c>
      <c r="Q12176" s="10">
        <v>306.43096800000001</v>
      </c>
      <c r="R12176" s="10" t="s">
        <v>51843</v>
      </c>
      <c r="S12176" s="10" t="s">
        <v>53</v>
      </c>
      <c r="T12176" s="10" t="s">
        <v>6472</v>
      </c>
    </row>
    <row r="12177" spans="1:20" ht="14.5" x14ac:dyDescent="0.35">
      <c r="A12177" s="10" t="s">
        <v>51844</v>
      </c>
      <c r="B12177" s="10" t="str">
        <f>"9781928314561"</f>
        <v>9781928314561</v>
      </c>
      <c r="C12177" s="10" t="str">
        <f>"9781928314578"</f>
        <v>9781928314578</v>
      </c>
      <c r="D12177" s="10" t="s">
        <v>51836</v>
      </c>
      <c r="E12177" s="10" t="s">
        <v>51836</v>
      </c>
      <c r="F12177" s="10" t="s">
        <v>51837</v>
      </c>
      <c r="G12177" s="10" t="s">
        <v>24826</v>
      </c>
      <c r="H12177" s="11">
        <v>43997</v>
      </c>
      <c r="I12177" s="10">
        <v>2020</v>
      </c>
      <c r="J12177" s="10" t="s">
        <v>51836</v>
      </c>
      <c r="K12177" s="10">
        <v>391</v>
      </c>
      <c r="L12177" s="10" t="s">
        <v>51845</v>
      </c>
      <c r="M12177" s="10">
        <v>1</v>
      </c>
      <c r="N12177" s="10"/>
      <c r="O12177" s="10"/>
      <c r="P12177" s="10" t="s">
        <v>51846</v>
      </c>
      <c r="Q12177" s="10">
        <v>378.01</v>
      </c>
      <c r="R12177" s="10" t="s">
        <v>47733</v>
      </c>
      <c r="S12177" s="10" t="s">
        <v>53</v>
      </c>
      <c r="T12177" s="10" t="s">
        <v>54</v>
      </c>
    </row>
    <row r="12178" spans="1:20" ht="14.5" x14ac:dyDescent="0.35">
      <c r="A12178" s="10" t="s">
        <v>51847</v>
      </c>
      <c r="B12178" s="10" t="str">
        <f>"9781928357414"</f>
        <v>9781928357414</v>
      </c>
      <c r="C12178" s="10" t="str">
        <f>"9781928357421"</f>
        <v>9781928357421</v>
      </c>
      <c r="D12178" s="10" t="s">
        <v>51836</v>
      </c>
      <c r="E12178" s="10" t="s">
        <v>51836</v>
      </c>
      <c r="F12178" s="10" t="s">
        <v>51837</v>
      </c>
      <c r="G12178" s="10" t="s">
        <v>24826</v>
      </c>
      <c r="H12178" s="11">
        <v>42917</v>
      </c>
      <c r="I12178" s="10">
        <v>2017</v>
      </c>
      <c r="J12178" s="10" t="s">
        <v>51836</v>
      </c>
      <c r="K12178" s="10">
        <v>248</v>
      </c>
      <c r="L12178" s="10" t="s">
        <v>51848</v>
      </c>
      <c r="M12178" s="10">
        <v>1</v>
      </c>
      <c r="N12178" s="10"/>
      <c r="O12178" s="10"/>
      <c r="P12178" s="10" t="s">
        <v>51849</v>
      </c>
      <c r="Q12178" s="10">
        <v>378.68</v>
      </c>
      <c r="R12178" s="10" t="s">
        <v>40564</v>
      </c>
      <c r="S12178" s="10" t="s">
        <v>53</v>
      </c>
      <c r="T12178" s="10" t="s">
        <v>54</v>
      </c>
    </row>
    <row r="12179" spans="1:20" ht="14.5" x14ac:dyDescent="0.35">
      <c r="A12179" s="10" t="s">
        <v>51850</v>
      </c>
      <c r="B12179" s="10" t="str">
        <f>"9781928357964"</f>
        <v>9781928357964</v>
      </c>
      <c r="C12179" s="10" t="str">
        <f>"9781928357971"</f>
        <v>9781928357971</v>
      </c>
      <c r="D12179" s="10" t="s">
        <v>51836</v>
      </c>
      <c r="E12179" s="10" t="s">
        <v>51836</v>
      </c>
      <c r="F12179" s="10" t="s">
        <v>51837</v>
      </c>
      <c r="G12179" s="10" t="s">
        <v>24826</v>
      </c>
      <c r="H12179" s="11">
        <v>43434</v>
      </c>
      <c r="I12179" s="10">
        <v>2018</v>
      </c>
      <c r="J12179" s="10" t="s">
        <v>51836</v>
      </c>
      <c r="K12179" s="10">
        <v>296</v>
      </c>
      <c r="L12179" s="10" t="s">
        <v>51851</v>
      </c>
      <c r="M12179" s="10">
        <v>1</v>
      </c>
      <c r="N12179" s="10"/>
      <c r="O12179" s="10"/>
      <c r="P12179" s="10" t="s">
        <v>51852</v>
      </c>
      <c r="Q12179" s="10">
        <v>370.71096799999901</v>
      </c>
      <c r="R12179" s="10" t="s">
        <v>51853</v>
      </c>
      <c r="S12179" s="10" t="s">
        <v>53</v>
      </c>
      <c r="T12179" s="10" t="s">
        <v>54</v>
      </c>
    </row>
    <row r="12180" spans="1:20" ht="14.5" x14ac:dyDescent="0.35">
      <c r="A12180" s="10" t="s">
        <v>51854</v>
      </c>
      <c r="B12180" s="10" t="str">
        <f>"9781928480327"</f>
        <v>9781928480327</v>
      </c>
      <c r="C12180" s="10" t="str">
        <f>"9781928480334"</f>
        <v>9781928480334</v>
      </c>
      <c r="D12180" s="10" t="s">
        <v>51836</v>
      </c>
      <c r="E12180" s="10" t="s">
        <v>51836</v>
      </c>
      <c r="F12180" s="10" t="s">
        <v>51837</v>
      </c>
      <c r="G12180" s="10" t="s">
        <v>24826</v>
      </c>
      <c r="H12180" s="11">
        <v>43780</v>
      </c>
      <c r="I12180" s="10">
        <v>2019</v>
      </c>
      <c r="J12180" s="10" t="s">
        <v>51836</v>
      </c>
      <c r="K12180" s="10">
        <v>153</v>
      </c>
      <c r="L12180" s="10" t="s">
        <v>51855</v>
      </c>
      <c r="M12180" s="10">
        <v>1</v>
      </c>
      <c r="N12180" s="10"/>
      <c r="O12180" s="10"/>
      <c r="P12180" s="10" t="s">
        <v>51856</v>
      </c>
      <c r="Q12180" s="10">
        <v>370.72</v>
      </c>
      <c r="R12180" s="10" t="s">
        <v>51857</v>
      </c>
      <c r="S12180" s="10" t="s">
        <v>53</v>
      </c>
      <c r="T12180" s="10" t="s">
        <v>54</v>
      </c>
    </row>
    <row r="12181" spans="1:20" ht="14.5" x14ac:dyDescent="0.35">
      <c r="A12181" s="10" t="s">
        <v>51858</v>
      </c>
      <c r="B12181" s="10" t="str">
        <f>"9781928480365"</f>
        <v>9781928480365</v>
      </c>
      <c r="C12181" s="10" t="str">
        <f>"9781928480372"</f>
        <v>9781928480372</v>
      </c>
      <c r="D12181" s="10" t="s">
        <v>51836</v>
      </c>
      <c r="E12181" s="10" t="s">
        <v>51836</v>
      </c>
      <c r="F12181" s="10" t="s">
        <v>51837</v>
      </c>
      <c r="G12181" s="10" t="s">
        <v>24826</v>
      </c>
      <c r="H12181" s="11">
        <v>43810</v>
      </c>
      <c r="I12181" s="10">
        <v>2019</v>
      </c>
      <c r="J12181" s="10" t="s">
        <v>51836</v>
      </c>
      <c r="K12181" s="10">
        <v>217</v>
      </c>
      <c r="L12181" s="10" t="s">
        <v>51859</v>
      </c>
      <c r="M12181" s="10">
        <v>1</v>
      </c>
      <c r="N12181" s="10"/>
      <c r="O12181" s="10"/>
      <c r="P12181" s="10" t="s">
        <v>51860</v>
      </c>
      <c r="Q12181" s="10">
        <v>510.71</v>
      </c>
      <c r="R12181" s="10" t="s">
        <v>51861</v>
      </c>
      <c r="S12181" s="10" t="s">
        <v>53</v>
      </c>
      <c r="T12181" s="10" t="s">
        <v>389</v>
      </c>
    </row>
    <row r="12182" spans="1:20" ht="14.5" x14ac:dyDescent="0.35">
      <c r="A12182" s="10" t="s">
        <v>51862</v>
      </c>
      <c r="B12182" s="10" t="str">
        <f>"9781928480389"</f>
        <v>9781928480389</v>
      </c>
      <c r="C12182" s="10" t="str">
        <f>"9781928480396"</f>
        <v>9781928480396</v>
      </c>
      <c r="D12182" s="10" t="s">
        <v>51836</v>
      </c>
      <c r="E12182" s="10" t="s">
        <v>51836</v>
      </c>
      <c r="F12182" s="10" t="s">
        <v>51837</v>
      </c>
      <c r="G12182" s="10" t="s">
        <v>24826</v>
      </c>
      <c r="H12182" s="11">
        <v>43784</v>
      </c>
      <c r="I12182" s="10">
        <v>2019</v>
      </c>
      <c r="J12182" s="10" t="s">
        <v>51836</v>
      </c>
      <c r="K12182" s="10">
        <v>432</v>
      </c>
      <c r="L12182" s="10" t="s">
        <v>51863</v>
      </c>
      <c r="M12182" s="10">
        <v>1</v>
      </c>
      <c r="N12182" s="10"/>
      <c r="O12182" s="10"/>
      <c r="P12182" s="10" t="s">
        <v>51864</v>
      </c>
      <c r="Q12182" s="10">
        <v>378.68</v>
      </c>
      <c r="R12182" s="10" t="s">
        <v>40564</v>
      </c>
      <c r="S12182" s="10" t="s">
        <v>53</v>
      </c>
      <c r="T12182" s="10" t="s">
        <v>54</v>
      </c>
    </row>
    <row r="12183" spans="1:20" ht="14.5" x14ac:dyDescent="0.35">
      <c r="A12183" s="10" t="s">
        <v>51865</v>
      </c>
      <c r="B12183" s="10" t="str">
        <f>"9781642671483"</f>
        <v>9781642671483</v>
      </c>
      <c r="C12183" s="10" t="str">
        <f>"9781000973655"</f>
        <v>9781000973655</v>
      </c>
      <c r="D12183" s="10" t="s">
        <v>6350</v>
      </c>
      <c r="E12183" s="10" t="s">
        <v>6351</v>
      </c>
      <c r="F12183" s="10" t="s">
        <v>41227</v>
      </c>
      <c r="G12183" s="10" t="s">
        <v>6317</v>
      </c>
      <c r="H12183" s="11">
        <v>44012</v>
      </c>
      <c r="I12183" s="10">
        <v>2020</v>
      </c>
      <c r="J12183" s="10" t="s">
        <v>6353</v>
      </c>
      <c r="K12183" s="10">
        <v>357</v>
      </c>
      <c r="L12183" s="10" t="s">
        <v>51866</v>
      </c>
      <c r="M12183" s="10">
        <v>2</v>
      </c>
      <c r="N12183" s="10"/>
      <c r="O12183" s="10"/>
      <c r="P12183" s="10" t="s">
        <v>51867</v>
      </c>
      <c r="Q12183" s="10">
        <v>378.17344678000001</v>
      </c>
      <c r="R12183" s="10" t="s">
        <v>51868</v>
      </c>
      <c r="S12183" s="10" t="s">
        <v>53</v>
      </c>
      <c r="T12183" s="10" t="s">
        <v>54</v>
      </c>
    </row>
    <row r="12184" spans="1:20" ht="14.5" x14ac:dyDescent="0.35">
      <c r="A12184" s="10" t="s">
        <v>43776</v>
      </c>
      <c r="B12184" s="10" t="str">
        <f>"9781838670016"</f>
        <v>9781838670016</v>
      </c>
      <c r="C12184" s="10" t="str">
        <f>"9781838670023"</f>
        <v>9781838670023</v>
      </c>
      <c r="D12184" s="10" t="s">
        <v>8699</v>
      </c>
      <c r="E12184" s="10" t="s">
        <v>8699</v>
      </c>
      <c r="F12184" s="10" t="s">
        <v>559</v>
      </c>
      <c r="G12184" s="10" t="s">
        <v>6352</v>
      </c>
      <c r="H12184" s="11">
        <v>44085</v>
      </c>
      <c r="I12184" s="10">
        <v>2020</v>
      </c>
      <c r="J12184" s="10" t="s">
        <v>8699</v>
      </c>
      <c r="K12184" s="10">
        <v>257</v>
      </c>
      <c r="L12184" s="10" t="s">
        <v>51869</v>
      </c>
      <c r="M12184" s="10">
        <v>1</v>
      </c>
      <c r="N12184" s="10" t="s">
        <v>43778</v>
      </c>
      <c r="O12184" s="10">
        <v>20</v>
      </c>
      <c r="P12184" s="10" t="s">
        <v>25927</v>
      </c>
      <c r="Q12184" s="10">
        <v>658</v>
      </c>
      <c r="R12184" s="10" t="s">
        <v>51870</v>
      </c>
      <c r="S12184" s="10" t="s">
        <v>53</v>
      </c>
      <c r="T12184" s="10" t="s">
        <v>6660</v>
      </c>
    </row>
    <row r="12185" spans="1:20" ht="14.5" x14ac:dyDescent="0.35">
      <c r="A12185" s="10" t="s">
        <v>51871</v>
      </c>
      <c r="B12185" s="10" t="str">
        <f>"9781789735666"</f>
        <v>9781789735666</v>
      </c>
      <c r="C12185" s="10" t="str">
        <f>"9781789735635"</f>
        <v>9781789735635</v>
      </c>
      <c r="D12185" s="10" t="s">
        <v>8699</v>
      </c>
      <c r="E12185" s="10" t="s">
        <v>8699</v>
      </c>
      <c r="F12185" s="10" t="s">
        <v>559</v>
      </c>
      <c r="G12185" s="10" t="s">
        <v>6352</v>
      </c>
      <c r="H12185" s="11">
        <v>44088</v>
      </c>
      <c r="I12185" s="10">
        <v>2020</v>
      </c>
      <c r="J12185" s="10" t="s">
        <v>8699</v>
      </c>
      <c r="K12185" s="10">
        <v>278</v>
      </c>
      <c r="L12185" s="10" t="s">
        <v>51872</v>
      </c>
      <c r="M12185" s="10">
        <v>1</v>
      </c>
      <c r="N12185" s="10"/>
      <c r="O12185" s="10"/>
      <c r="P12185" s="10" t="s">
        <v>28438</v>
      </c>
      <c r="Q12185" s="10">
        <v>370.7</v>
      </c>
      <c r="R12185" s="10" t="s">
        <v>51873</v>
      </c>
      <c r="S12185" s="10" t="s">
        <v>53</v>
      </c>
      <c r="T12185" s="10" t="s">
        <v>54</v>
      </c>
    </row>
    <row r="12186" spans="1:20" ht="14.5" x14ac:dyDescent="0.35">
      <c r="A12186" s="10" t="s">
        <v>51874</v>
      </c>
      <c r="B12186" s="10" t="str">
        <f>"9781416629382"</f>
        <v>9781416629382</v>
      </c>
      <c r="C12186" s="10" t="str">
        <f>"9781416629405"</f>
        <v>9781416629405</v>
      </c>
      <c r="D12186" s="10" t="s">
        <v>10014</v>
      </c>
      <c r="E12186" s="10" t="s">
        <v>10015</v>
      </c>
      <c r="F12186" s="10" t="s">
        <v>201</v>
      </c>
      <c r="G12186" s="10" t="s">
        <v>6317</v>
      </c>
      <c r="H12186" s="11">
        <v>44074</v>
      </c>
      <c r="I12186" s="10">
        <v>2020</v>
      </c>
      <c r="J12186" s="10" t="s">
        <v>10015</v>
      </c>
      <c r="K12186" s="10">
        <v>186</v>
      </c>
      <c r="L12186" s="10" t="s">
        <v>10016</v>
      </c>
      <c r="M12186" s="10">
        <v>2</v>
      </c>
      <c r="N12186" s="10"/>
      <c r="O12186" s="10"/>
      <c r="P12186" s="10" t="s">
        <v>51875</v>
      </c>
      <c r="Q12186" s="10">
        <v>371.20097299999998</v>
      </c>
      <c r="R12186" s="10" t="s">
        <v>51876</v>
      </c>
      <c r="S12186" s="10" t="s">
        <v>53</v>
      </c>
      <c r="T12186" s="10" t="s">
        <v>54</v>
      </c>
    </row>
    <row r="12187" spans="1:20" ht="14.5" x14ac:dyDescent="0.35">
      <c r="A12187" s="10" t="s">
        <v>51877</v>
      </c>
      <c r="B12187" s="10" t="str">
        <f>"9781951075132"</f>
        <v>9781951075132</v>
      </c>
      <c r="C12187" s="10" t="str">
        <f>"9781951075149"</f>
        <v>9781951075149</v>
      </c>
      <c r="D12187" s="10" t="s">
        <v>37580</v>
      </c>
      <c r="E12187" s="10" t="s">
        <v>37581</v>
      </c>
      <c r="F12187" s="10" t="s">
        <v>37623</v>
      </c>
      <c r="G12187" s="10" t="s">
        <v>6317</v>
      </c>
      <c r="H12187" s="11">
        <v>44099</v>
      </c>
      <c r="I12187" s="10">
        <v>2021</v>
      </c>
      <c r="J12187" s="10" t="s">
        <v>37581</v>
      </c>
      <c r="K12187" s="10">
        <v>200</v>
      </c>
      <c r="L12187" s="10" t="s">
        <v>51878</v>
      </c>
      <c r="M12187" s="10">
        <v>1</v>
      </c>
      <c r="N12187" s="10"/>
      <c r="O12187" s="10"/>
      <c r="P12187" s="10"/>
      <c r="Q12187" s="10"/>
      <c r="R12187" s="10"/>
      <c r="S12187" s="10" t="s">
        <v>53</v>
      </c>
      <c r="T12187" s="10" t="s">
        <v>54</v>
      </c>
    </row>
    <row r="12188" spans="1:20" ht="14.5" x14ac:dyDescent="0.35">
      <c r="A12188" s="10" t="s">
        <v>51879</v>
      </c>
      <c r="B12188" s="10" t="str">
        <f>"9781551383453"</f>
        <v>9781551383453</v>
      </c>
      <c r="C12188" s="10" t="str">
        <f>"9781551389462"</f>
        <v>9781551389462</v>
      </c>
      <c r="D12188" s="10" t="s">
        <v>45074</v>
      </c>
      <c r="E12188" s="10" t="s">
        <v>45075</v>
      </c>
      <c r="F12188" s="10" t="s">
        <v>901</v>
      </c>
      <c r="G12188" s="10" t="s">
        <v>9536</v>
      </c>
      <c r="H12188" s="11">
        <v>44103</v>
      </c>
      <c r="I12188" s="10">
        <v>2020</v>
      </c>
      <c r="J12188" s="10" t="s">
        <v>45075</v>
      </c>
      <c r="K12188" s="10">
        <v>150</v>
      </c>
      <c r="L12188" s="10" t="s">
        <v>45996</v>
      </c>
      <c r="M12188" s="10">
        <v>1</v>
      </c>
      <c r="N12188" s="10"/>
      <c r="O12188" s="10"/>
      <c r="P12188" s="10"/>
      <c r="Q12188" s="10"/>
      <c r="R12188" s="10"/>
      <c r="S12188" s="10" t="s">
        <v>53</v>
      </c>
      <c r="T12188" s="10" t="s">
        <v>54</v>
      </c>
    </row>
    <row r="12189" spans="1:20" ht="14.5" x14ac:dyDescent="0.35">
      <c r="A12189" s="10" t="s">
        <v>51880</v>
      </c>
      <c r="B12189" s="10" t="str">
        <f>""</f>
        <v/>
      </c>
      <c r="C12189" s="10" t="str">
        <f>"9783838265421"</f>
        <v>9783838265421</v>
      </c>
      <c r="D12189" s="10" t="s">
        <v>27189</v>
      </c>
      <c r="E12189" s="10" t="s">
        <v>28981</v>
      </c>
      <c r="F12189" s="10" t="s">
        <v>2925</v>
      </c>
      <c r="G12189" s="10" t="s">
        <v>9998</v>
      </c>
      <c r="H12189" s="11">
        <v>41913</v>
      </c>
      <c r="I12189" s="10">
        <v>2014</v>
      </c>
      <c r="J12189" s="10" t="s">
        <v>28981</v>
      </c>
      <c r="K12189" s="10">
        <v>187</v>
      </c>
      <c r="L12189" s="10" t="s">
        <v>51881</v>
      </c>
      <c r="M12189" s="10"/>
      <c r="N12189" s="10" t="s">
        <v>51882</v>
      </c>
      <c r="O12189" s="10">
        <v>17</v>
      </c>
      <c r="P12189" s="10" t="s">
        <v>51883</v>
      </c>
      <c r="Q12189" s="10">
        <v>371.97</v>
      </c>
      <c r="R12189" s="10" t="s">
        <v>51884</v>
      </c>
      <c r="S12189" s="10" t="s">
        <v>1519</v>
      </c>
      <c r="T12189" s="10" t="s">
        <v>54</v>
      </c>
    </row>
    <row r="12190" spans="1:20" ht="14.5" x14ac:dyDescent="0.35">
      <c r="A12190" s="10" t="s">
        <v>51885</v>
      </c>
      <c r="B12190" s="10" t="str">
        <f>""</f>
        <v/>
      </c>
      <c r="C12190" s="10" t="str">
        <f>"9783838266282"</f>
        <v>9783838266282</v>
      </c>
      <c r="D12190" s="10" t="s">
        <v>27189</v>
      </c>
      <c r="E12190" s="10" t="s">
        <v>28981</v>
      </c>
      <c r="F12190" s="10" t="s">
        <v>2925</v>
      </c>
      <c r="G12190" s="10" t="s">
        <v>9998</v>
      </c>
      <c r="H12190" s="11">
        <v>41852</v>
      </c>
      <c r="I12190" s="10">
        <v>2014</v>
      </c>
      <c r="J12190" s="10" t="s">
        <v>28981</v>
      </c>
      <c r="K12190" s="10">
        <v>199</v>
      </c>
      <c r="L12190" s="10" t="s">
        <v>51886</v>
      </c>
      <c r="M12190" s="10"/>
      <c r="N12190" s="10" t="s">
        <v>51887</v>
      </c>
      <c r="O12190" s="10">
        <v>5</v>
      </c>
      <c r="P12190" s="10" t="s">
        <v>51888</v>
      </c>
      <c r="Q12190" s="10">
        <v>372.6</v>
      </c>
      <c r="R12190" s="10" t="s">
        <v>51889</v>
      </c>
      <c r="S12190" s="10" t="s">
        <v>1519</v>
      </c>
      <c r="T12190" s="10" t="s">
        <v>6881</v>
      </c>
    </row>
    <row r="12191" spans="1:20" ht="14.5" x14ac:dyDescent="0.35">
      <c r="A12191" s="10" t="s">
        <v>51890</v>
      </c>
      <c r="B12191" s="10" t="str">
        <f>""</f>
        <v/>
      </c>
      <c r="C12191" s="10" t="str">
        <f>"9783838274706"</f>
        <v>9783838274706</v>
      </c>
      <c r="D12191" s="10" t="s">
        <v>27189</v>
      </c>
      <c r="E12191" s="10" t="s">
        <v>28981</v>
      </c>
      <c r="F12191" s="10" t="s">
        <v>2925</v>
      </c>
      <c r="G12191" s="10" t="s">
        <v>9998</v>
      </c>
      <c r="H12191" s="11">
        <v>43980</v>
      </c>
      <c r="I12191" s="10">
        <v>2020</v>
      </c>
      <c r="J12191" s="10" t="s">
        <v>28981</v>
      </c>
      <c r="K12191" s="10">
        <v>131</v>
      </c>
      <c r="L12191" s="10" t="s">
        <v>51891</v>
      </c>
      <c r="M12191" s="10"/>
      <c r="N12191" s="10" t="s">
        <v>51892</v>
      </c>
      <c r="O12191" s="10">
        <v>20</v>
      </c>
      <c r="P12191" s="10" t="s">
        <v>51893</v>
      </c>
      <c r="Q12191" s="10">
        <v>338.47370000000001</v>
      </c>
      <c r="R12191" s="10" t="s">
        <v>51894</v>
      </c>
      <c r="S12191" s="10" t="s">
        <v>1519</v>
      </c>
      <c r="T12191" s="10" t="s">
        <v>14975</v>
      </c>
    </row>
    <row r="12192" spans="1:20" ht="14.5" x14ac:dyDescent="0.35">
      <c r="A12192" s="10" t="s">
        <v>51895</v>
      </c>
      <c r="B12192" s="10" t="str">
        <f>""</f>
        <v/>
      </c>
      <c r="C12192" s="10" t="str">
        <f>"9783838274515"</f>
        <v>9783838274515</v>
      </c>
      <c r="D12192" s="10" t="s">
        <v>27189</v>
      </c>
      <c r="E12192" s="10" t="s">
        <v>28981</v>
      </c>
      <c r="F12192" s="10" t="s">
        <v>2925</v>
      </c>
      <c r="G12192" s="10" t="s">
        <v>9998</v>
      </c>
      <c r="H12192" s="11">
        <v>44002</v>
      </c>
      <c r="I12192" s="10">
        <v>2020</v>
      </c>
      <c r="J12192" s="10" t="s">
        <v>28981</v>
      </c>
      <c r="K12192" s="10">
        <v>171</v>
      </c>
      <c r="L12192" s="10" t="s">
        <v>51896</v>
      </c>
      <c r="M12192" s="10"/>
      <c r="N12192" s="10" t="s">
        <v>51892</v>
      </c>
      <c r="O12192" s="10">
        <v>9</v>
      </c>
      <c r="P12192" s="10" t="s">
        <v>51897</v>
      </c>
      <c r="Q12192" s="10">
        <v>401.41</v>
      </c>
      <c r="R12192" s="10" t="s">
        <v>51898</v>
      </c>
      <c r="S12192" s="10" t="s">
        <v>1519</v>
      </c>
      <c r="T12192" s="10" t="s">
        <v>8412</v>
      </c>
    </row>
    <row r="12193" spans="1:20" ht="14.5" x14ac:dyDescent="0.35">
      <c r="A12193" s="10" t="s">
        <v>51899</v>
      </c>
      <c r="B12193" s="10" t="str">
        <f>"9781421439099"</f>
        <v>9781421439099</v>
      </c>
      <c r="C12193" s="10" t="str">
        <f>"9781421439105"</f>
        <v>9781421439105</v>
      </c>
      <c r="D12193" s="10" t="s">
        <v>884</v>
      </c>
      <c r="E12193" s="10" t="s">
        <v>884</v>
      </c>
      <c r="F12193" s="10" t="s">
        <v>885</v>
      </c>
      <c r="G12193" s="10" t="s">
        <v>6317</v>
      </c>
      <c r="H12193" s="11">
        <v>44131</v>
      </c>
      <c r="I12193" s="10">
        <v>2020</v>
      </c>
      <c r="J12193" s="10" t="s">
        <v>884</v>
      </c>
      <c r="K12193" s="10">
        <v>309</v>
      </c>
      <c r="L12193" s="10" t="s">
        <v>34855</v>
      </c>
      <c r="M12193" s="10">
        <v>1</v>
      </c>
      <c r="N12193" s="10"/>
      <c r="O12193" s="10"/>
      <c r="P12193" s="10"/>
      <c r="Q12193" s="10">
        <v>378.12509729999999</v>
      </c>
      <c r="R12193" s="10"/>
      <c r="S12193" s="10" t="s">
        <v>53</v>
      </c>
      <c r="T12193" s="10" t="s">
        <v>54</v>
      </c>
    </row>
    <row r="12194" spans="1:20" ht="14.5" x14ac:dyDescent="0.35">
      <c r="A12194" s="10" t="s">
        <v>51900</v>
      </c>
      <c r="B12194" s="10" t="str">
        <f>"9781898823582"</f>
        <v>9781898823582</v>
      </c>
      <c r="C12194" s="10" t="str">
        <f>"9781898823599"</f>
        <v>9781898823599</v>
      </c>
      <c r="D12194" s="10" t="s">
        <v>13287</v>
      </c>
      <c r="E12194" s="10" t="s">
        <v>13287</v>
      </c>
      <c r="F12194" s="10" t="s">
        <v>1818</v>
      </c>
      <c r="G12194" s="10" t="s">
        <v>9233</v>
      </c>
      <c r="H12194" s="11">
        <v>42644</v>
      </c>
      <c r="I12194" s="10">
        <v>2016</v>
      </c>
      <c r="J12194" s="10" t="s">
        <v>13287</v>
      </c>
      <c r="K12194" s="10">
        <v>349</v>
      </c>
      <c r="L12194" s="10" t="s">
        <v>51901</v>
      </c>
      <c r="M12194" s="10">
        <v>1</v>
      </c>
      <c r="N12194" s="10"/>
      <c r="O12194" s="10"/>
      <c r="P12194" s="10" t="s">
        <v>51902</v>
      </c>
      <c r="Q12194" s="10">
        <v>952.00704099999996</v>
      </c>
      <c r="R12194" s="10"/>
      <c r="S12194" s="10" t="s">
        <v>53</v>
      </c>
      <c r="T12194" s="10" t="s">
        <v>4490</v>
      </c>
    </row>
    <row r="12195" spans="1:20" ht="14.5" x14ac:dyDescent="0.35">
      <c r="A12195" s="10" t="s">
        <v>51903</v>
      </c>
      <c r="B12195" s="10" t="str">
        <f>"9781978817234"</f>
        <v>9781978817234</v>
      </c>
      <c r="C12195" s="10" t="str">
        <f>"9781978817265"</f>
        <v>9781978817265</v>
      </c>
      <c r="D12195" s="10" t="s">
        <v>12251</v>
      </c>
      <c r="E12195" s="10" t="s">
        <v>12251</v>
      </c>
      <c r="F12195" s="10" t="s">
        <v>12451</v>
      </c>
      <c r="G12195" s="10" t="s">
        <v>6317</v>
      </c>
      <c r="H12195" s="11">
        <v>44148</v>
      </c>
      <c r="I12195" s="10">
        <v>2021</v>
      </c>
      <c r="J12195" s="10" t="s">
        <v>12251</v>
      </c>
      <c r="K12195" s="10">
        <v>197</v>
      </c>
      <c r="L12195" s="10" t="s">
        <v>51904</v>
      </c>
      <c r="M12195" s="10">
        <v>1</v>
      </c>
      <c r="N12195" s="10"/>
      <c r="O12195" s="10"/>
      <c r="P12195" s="10" t="s">
        <v>51905</v>
      </c>
      <c r="Q12195" s="10">
        <v>610.71172999999999</v>
      </c>
      <c r="R12195" s="10"/>
      <c r="S12195" s="10" t="s">
        <v>53</v>
      </c>
      <c r="T12195" s="10" t="s">
        <v>8625</v>
      </c>
    </row>
    <row r="12196" spans="1:20" ht="14.5" x14ac:dyDescent="0.35">
      <c r="A12196" s="10" t="s">
        <v>51906</v>
      </c>
      <c r="B12196" s="10" t="str">
        <f>"9781975502317"</f>
        <v>9781975502317</v>
      </c>
      <c r="C12196" s="10" t="str">
        <f>"9781975502331"</f>
        <v>9781975502331</v>
      </c>
      <c r="D12196" s="10" t="s">
        <v>44271</v>
      </c>
      <c r="E12196" s="10" t="s">
        <v>47266</v>
      </c>
      <c r="F12196" s="10" t="s">
        <v>41227</v>
      </c>
      <c r="G12196" s="10" t="s">
        <v>6317</v>
      </c>
      <c r="H12196" s="11">
        <v>44049</v>
      </c>
      <c r="I12196" s="10">
        <v>2020</v>
      </c>
      <c r="J12196" s="10" t="s">
        <v>47266</v>
      </c>
      <c r="K12196" s="10">
        <v>229</v>
      </c>
      <c r="L12196" s="10" t="s">
        <v>51907</v>
      </c>
      <c r="M12196" s="10">
        <v>1</v>
      </c>
      <c r="N12196" s="10"/>
      <c r="O12196" s="10"/>
      <c r="P12196" s="10" t="s">
        <v>51908</v>
      </c>
      <c r="Q12196" s="10">
        <v>302.23</v>
      </c>
      <c r="R12196" s="10" t="s">
        <v>51909</v>
      </c>
      <c r="S12196" s="10" t="s">
        <v>53</v>
      </c>
      <c r="T12196" s="10" t="s">
        <v>6363</v>
      </c>
    </row>
    <row r="12197" spans="1:20" ht="14.5" x14ac:dyDescent="0.35">
      <c r="A12197" s="10" t="s">
        <v>51910</v>
      </c>
      <c r="B12197" s="10" t="str">
        <f>""</f>
        <v/>
      </c>
      <c r="C12197" s="10" t="str">
        <f>"9781975503017"</f>
        <v>9781975503017</v>
      </c>
      <c r="D12197" s="10" t="s">
        <v>44271</v>
      </c>
      <c r="E12197" s="10" t="s">
        <v>47266</v>
      </c>
      <c r="F12197" s="10" t="s">
        <v>41227</v>
      </c>
      <c r="G12197" s="10" t="s">
        <v>6317</v>
      </c>
      <c r="H12197" s="11">
        <v>44050</v>
      </c>
      <c r="I12197" s="10">
        <v>2020</v>
      </c>
      <c r="J12197" s="10" t="s">
        <v>47266</v>
      </c>
      <c r="K12197" s="10">
        <v>299</v>
      </c>
      <c r="L12197" s="10" t="s">
        <v>51911</v>
      </c>
      <c r="M12197" s="10">
        <v>1</v>
      </c>
      <c r="N12197" s="10"/>
      <c r="O12197" s="10"/>
      <c r="P12197" s="10" t="s">
        <v>51912</v>
      </c>
      <c r="Q12197" s="10">
        <v>361.70972999999998</v>
      </c>
      <c r="R12197" s="10" t="s">
        <v>51913</v>
      </c>
      <c r="S12197" s="10" t="s">
        <v>53</v>
      </c>
      <c r="T12197" s="10" t="s">
        <v>6472</v>
      </c>
    </row>
    <row r="12198" spans="1:20" ht="14.5" x14ac:dyDescent="0.35">
      <c r="A12198" s="10" t="s">
        <v>51914</v>
      </c>
      <c r="B12198" s="10" t="str">
        <f>"9781913063696"</f>
        <v>9781913063696</v>
      </c>
      <c r="C12198" s="10" t="str">
        <f>"9781913063719"</f>
        <v>9781913063719</v>
      </c>
      <c r="D12198" s="10" t="s">
        <v>9533</v>
      </c>
      <c r="E12198" s="10" t="s">
        <v>26840</v>
      </c>
      <c r="F12198" s="10" t="s">
        <v>44053</v>
      </c>
      <c r="G12198" s="10" t="s">
        <v>6352</v>
      </c>
      <c r="H12198" s="11">
        <v>44081</v>
      </c>
      <c r="I12198" s="10">
        <v>2020</v>
      </c>
      <c r="J12198" s="10" t="s">
        <v>26840</v>
      </c>
      <c r="K12198" s="10">
        <v>163</v>
      </c>
      <c r="L12198" s="10" t="s">
        <v>51915</v>
      </c>
      <c r="M12198" s="10">
        <v>1</v>
      </c>
      <c r="N12198" s="10"/>
      <c r="O12198" s="10"/>
      <c r="P12198" s="10" t="s">
        <v>51916</v>
      </c>
      <c r="Q12198" s="10">
        <v>378</v>
      </c>
      <c r="R12198" s="10" t="s">
        <v>51917</v>
      </c>
      <c r="S12198" s="10" t="s">
        <v>53</v>
      </c>
      <c r="T12198" s="10" t="s">
        <v>54</v>
      </c>
    </row>
    <row r="12199" spans="1:20" ht="14.5" x14ac:dyDescent="0.35">
      <c r="A12199" s="10" t="s">
        <v>51918</v>
      </c>
      <c r="B12199" s="10" t="str">
        <f>"9781416629498"</f>
        <v>9781416629498</v>
      </c>
      <c r="C12199" s="10" t="str">
        <f>"9781416629528"</f>
        <v>9781416629528</v>
      </c>
      <c r="D12199" s="10" t="s">
        <v>10014</v>
      </c>
      <c r="E12199" s="10" t="s">
        <v>10015</v>
      </c>
      <c r="F12199" s="10" t="s">
        <v>201</v>
      </c>
      <c r="G12199" s="10" t="s">
        <v>6317</v>
      </c>
      <c r="H12199" s="11">
        <v>44346</v>
      </c>
      <c r="I12199" s="10">
        <v>2020</v>
      </c>
      <c r="J12199" s="10" t="s">
        <v>10015</v>
      </c>
      <c r="K12199" s="10">
        <v>234</v>
      </c>
      <c r="L12199" s="10" t="s">
        <v>16000</v>
      </c>
      <c r="M12199" s="10">
        <v>1</v>
      </c>
      <c r="N12199" s="10"/>
      <c r="O12199" s="10"/>
      <c r="P12199" s="10"/>
      <c r="Q12199" s="10"/>
      <c r="R12199" s="10"/>
      <c r="S12199" s="10" t="s">
        <v>53</v>
      </c>
      <c r="T12199" s="10" t="s">
        <v>54</v>
      </c>
    </row>
    <row r="12200" spans="1:20" ht="14.5" x14ac:dyDescent="0.35">
      <c r="A12200" s="10" t="s">
        <v>51919</v>
      </c>
      <c r="B12200" s="10" t="str">
        <f>"9781786304940"</f>
        <v>9781786304940</v>
      </c>
      <c r="C12200" s="10" t="str">
        <f>"9781119777328"</f>
        <v>9781119777328</v>
      </c>
      <c r="D12200" s="10" t="s">
        <v>6322</v>
      </c>
      <c r="E12200" s="10" t="s">
        <v>6323</v>
      </c>
      <c r="F12200" s="10" t="s">
        <v>4423</v>
      </c>
      <c r="G12200" s="10" t="s">
        <v>6317</v>
      </c>
      <c r="H12200" s="11">
        <v>44138</v>
      </c>
      <c r="I12200" s="10">
        <v>2020</v>
      </c>
      <c r="J12200" s="10" t="s">
        <v>29411</v>
      </c>
      <c r="K12200" s="10">
        <v>261</v>
      </c>
      <c r="L12200" s="10" t="s">
        <v>49226</v>
      </c>
      <c r="M12200" s="10">
        <v>1</v>
      </c>
      <c r="N12200" s="10"/>
      <c r="O12200" s="10"/>
      <c r="P12200" s="10"/>
      <c r="Q12200" s="10"/>
      <c r="R12200" s="10" t="s">
        <v>7101</v>
      </c>
      <c r="S12200" s="10" t="s">
        <v>53</v>
      </c>
      <c r="T12200" s="10" t="s">
        <v>54</v>
      </c>
    </row>
    <row r="12201" spans="1:20" ht="14.5" x14ac:dyDescent="0.35">
      <c r="A12201" s="10" t="s">
        <v>51920</v>
      </c>
      <c r="B12201" s="10" t="str">
        <f>"9781839097836"</f>
        <v>9781839097836</v>
      </c>
      <c r="C12201" s="10" t="str">
        <f>"9781839097829"</f>
        <v>9781839097829</v>
      </c>
      <c r="D12201" s="10" t="s">
        <v>8699</v>
      </c>
      <c r="E12201" s="10" t="s">
        <v>8699</v>
      </c>
      <c r="F12201" s="10" t="s">
        <v>559</v>
      </c>
      <c r="G12201" s="10" t="s">
        <v>6352</v>
      </c>
      <c r="H12201" s="11">
        <v>44090</v>
      </c>
      <c r="I12201" s="10">
        <v>2020</v>
      </c>
      <c r="J12201" s="10" t="s">
        <v>8699</v>
      </c>
      <c r="K12201" s="10">
        <v>216</v>
      </c>
      <c r="L12201" s="10" t="s">
        <v>51759</v>
      </c>
      <c r="M12201" s="10">
        <v>1</v>
      </c>
      <c r="N12201" s="10" t="s">
        <v>29541</v>
      </c>
      <c r="O12201" s="10">
        <v>29</v>
      </c>
      <c r="P12201" s="10" t="s">
        <v>49239</v>
      </c>
      <c r="Q12201" s="10">
        <v>22.3</v>
      </c>
      <c r="R12201" s="10" t="s">
        <v>51921</v>
      </c>
      <c r="S12201" s="10" t="s">
        <v>53</v>
      </c>
      <c r="T12201" s="10" t="s">
        <v>8777</v>
      </c>
    </row>
    <row r="12202" spans="1:20" ht="14.5" x14ac:dyDescent="0.35">
      <c r="A12202" s="10" t="s">
        <v>51922</v>
      </c>
      <c r="B12202" s="10" t="str">
        <f>"9781839094613"</f>
        <v>9781839094613</v>
      </c>
      <c r="C12202" s="10" t="str">
        <f>"9781839094606"</f>
        <v>9781839094606</v>
      </c>
      <c r="D12202" s="10" t="s">
        <v>8699</v>
      </c>
      <c r="E12202" s="10" t="s">
        <v>8699</v>
      </c>
      <c r="F12202" s="10" t="s">
        <v>559</v>
      </c>
      <c r="G12202" s="10" t="s">
        <v>6352</v>
      </c>
      <c r="H12202" s="11">
        <v>44097</v>
      </c>
      <c r="I12202" s="10">
        <v>2020</v>
      </c>
      <c r="J12202" s="10" t="s">
        <v>8699</v>
      </c>
      <c r="K12202" s="10">
        <v>218</v>
      </c>
      <c r="L12202" s="10" t="s">
        <v>51762</v>
      </c>
      <c r="M12202" s="10">
        <v>1</v>
      </c>
      <c r="N12202" s="10" t="s">
        <v>29541</v>
      </c>
      <c r="O12202" s="10">
        <v>30</v>
      </c>
      <c r="P12202" s="10" t="s">
        <v>26825</v>
      </c>
      <c r="Q12202" s="10">
        <v>370.7</v>
      </c>
      <c r="R12202" s="10" t="s">
        <v>4608</v>
      </c>
      <c r="S12202" s="10" t="s">
        <v>53</v>
      </c>
      <c r="T12202" s="10" t="s">
        <v>54</v>
      </c>
    </row>
    <row r="12203" spans="1:20" ht="14.5" x14ac:dyDescent="0.35">
      <c r="A12203" s="10" t="s">
        <v>51923</v>
      </c>
      <c r="B12203" s="10" t="str">
        <f>"9781612496511"</f>
        <v>9781612496511</v>
      </c>
      <c r="C12203" s="10" t="str">
        <f>"9781612496498"</f>
        <v>9781612496498</v>
      </c>
      <c r="D12203" s="10" t="s">
        <v>9533</v>
      </c>
      <c r="E12203" s="10" t="s">
        <v>4024</v>
      </c>
      <c r="F12203" s="10" t="s">
        <v>31319</v>
      </c>
      <c r="G12203" s="10" t="s">
        <v>6317</v>
      </c>
      <c r="H12203" s="11">
        <v>44331</v>
      </c>
      <c r="I12203" s="10">
        <v>2021</v>
      </c>
      <c r="J12203" s="10" t="s">
        <v>4024</v>
      </c>
      <c r="K12203" s="10">
        <v>375</v>
      </c>
      <c r="L12203" s="10" t="s">
        <v>51924</v>
      </c>
      <c r="M12203" s="10">
        <v>1</v>
      </c>
      <c r="N12203" s="10" t="s">
        <v>51925</v>
      </c>
      <c r="O12203" s="10"/>
      <c r="P12203" s="10" t="s">
        <v>51926</v>
      </c>
      <c r="Q12203" s="10" t="s">
        <v>16871</v>
      </c>
      <c r="R12203" s="10" t="s">
        <v>51927</v>
      </c>
      <c r="S12203" s="10" t="s">
        <v>53</v>
      </c>
      <c r="T12203" s="10" t="s">
        <v>51928</v>
      </c>
    </row>
    <row r="12204" spans="1:20" ht="14.5" x14ac:dyDescent="0.35">
      <c r="A12204" s="10" t="s">
        <v>51929</v>
      </c>
      <c r="B12204" s="10" t="str">
        <f>"9781978818422"</f>
        <v>9781978818422</v>
      </c>
      <c r="C12204" s="10" t="str">
        <f>"9781978818453"</f>
        <v>9781978818453</v>
      </c>
      <c r="D12204" s="10" t="s">
        <v>12251</v>
      </c>
      <c r="E12204" s="10" t="s">
        <v>12251</v>
      </c>
      <c r="F12204" s="10" t="s">
        <v>12451</v>
      </c>
      <c r="G12204" s="10" t="s">
        <v>6317</v>
      </c>
      <c r="H12204" s="11">
        <v>44120</v>
      </c>
      <c r="I12204" s="10">
        <v>2021</v>
      </c>
      <c r="J12204" s="10" t="s">
        <v>12251</v>
      </c>
      <c r="K12204" s="10">
        <v>233</v>
      </c>
      <c r="L12204" s="10" t="s">
        <v>51930</v>
      </c>
      <c r="M12204" s="10">
        <v>1</v>
      </c>
      <c r="N12204" s="10"/>
      <c r="O12204" s="10"/>
      <c r="P12204" s="10" t="s">
        <v>13190</v>
      </c>
      <c r="Q12204" s="10"/>
      <c r="R12204" s="10"/>
      <c r="S12204" s="10" t="s">
        <v>53</v>
      </c>
      <c r="T12204" s="10" t="s">
        <v>54</v>
      </c>
    </row>
    <row r="12205" spans="1:20" ht="14.5" x14ac:dyDescent="0.35">
      <c r="A12205" s="10" t="s">
        <v>51931</v>
      </c>
      <c r="B12205" s="10" t="str">
        <f>"9780253050212"</f>
        <v>9780253050212</v>
      </c>
      <c r="C12205" s="10" t="str">
        <f>"9780253050229"</f>
        <v>9780253050229</v>
      </c>
      <c r="D12205" s="10" t="s">
        <v>2455</v>
      </c>
      <c r="E12205" s="10" t="s">
        <v>2455</v>
      </c>
      <c r="F12205" s="10" t="s">
        <v>3101</v>
      </c>
      <c r="G12205" s="10" t="s">
        <v>6317</v>
      </c>
      <c r="H12205" s="11">
        <v>44110</v>
      </c>
      <c r="I12205" s="10">
        <v>2020</v>
      </c>
      <c r="J12205" s="10" t="s">
        <v>2455</v>
      </c>
      <c r="K12205" s="10">
        <v>302</v>
      </c>
      <c r="L12205" s="10" t="s">
        <v>51932</v>
      </c>
      <c r="M12205" s="10"/>
      <c r="N12205" s="10"/>
      <c r="O12205" s="10"/>
      <c r="P12205" s="10" t="s">
        <v>51933</v>
      </c>
      <c r="Q12205" s="10">
        <v>25.060013000000001</v>
      </c>
      <c r="R12205" s="10" t="s">
        <v>51934</v>
      </c>
      <c r="S12205" s="10" t="s">
        <v>53</v>
      </c>
      <c r="T12205" s="10" t="s">
        <v>18470</v>
      </c>
    </row>
    <row r="12206" spans="1:20" ht="14.5" x14ac:dyDescent="0.35">
      <c r="A12206" s="10" t="s">
        <v>51935</v>
      </c>
      <c r="B12206" s="10" t="str">
        <f>"9781620367513"</f>
        <v>9781620367513</v>
      </c>
      <c r="C12206" s="10" t="str">
        <f>"9781000974621"</f>
        <v>9781000974621</v>
      </c>
      <c r="D12206" s="10" t="s">
        <v>6350</v>
      </c>
      <c r="E12206" s="10" t="s">
        <v>6351</v>
      </c>
      <c r="F12206" s="10" t="s">
        <v>41227</v>
      </c>
      <c r="G12206" s="10" t="s">
        <v>6317</v>
      </c>
      <c r="H12206" s="11">
        <v>44097</v>
      </c>
      <c r="I12206" s="10">
        <v>2020</v>
      </c>
      <c r="J12206" s="10" t="s">
        <v>6353</v>
      </c>
      <c r="K12206" s="10">
        <v>327</v>
      </c>
      <c r="L12206" s="10" t="s">
        <v>51936</v>
      </c>
      <c r="M12206" s="10">
        <v>1</v>
      </c>
      <c r="N12206" s="10"/>
      <c r="O12206" s="10"/>
      <c r="P12206" s="10" t="s">
        <v>51937</v>
      </c>
      <c r="Q12206" s="10">
        <v>371.2</v>
      </c>
      <c r="R12206" s="10" t="s">
        <v>51938</v>
      </c>
      <c r="S12206" s="10" t="s">
        <v>53</v>
      </c>
      <c r="T12206" s="10" t="s">
        <v>54</v>
      </c>
    </row>
    <row r="12207" spans="1:20" ht="14.5" x14ac:dyDescent="0.35">
      <c r="A12207" s="10" t="s">
        <v>51939</v>
      </c>
      <c r="B12207" s="10" t="str">
        <f>"9789004389809"</f>
        <v>9789004389809</v>
      </c>
      <c r="C12207" s="10" t="str">
        <f>"9789004430716"</f>
        <v>9789004430716</v>
      </c>
      <c r="D12207" s="10" t="s">
        <v>8564</v>
      </c>
      <c r="E12207" s="10" t="s">
        <v>8565</v>
      </c>
      <c r="F12207" s="10" t="s">
        <v>1420</v>
      </c>
      <c r="G12207" s="10" t="s">
        <v>6317</v>
      </c>
      <c r="H12207" s="11">
        <v>44049</v>
      </c>
      <c r="I12207" s="10">
        <v>2020</v>
      </c>
      <c r="J12207" s="10" t="s">
        <v>33259</v>
      </c>
      <c r="K12207" s="10">
        <v>372</v>
      </c>
      <c r="L12207" s="10" t="s">
        <v>51940</v>
      </c>
      <c r="M12207" s="10">
        <v>1</v>
      </c>
      <c r="N12207" s="10" t="s">
        <v>44388</v>
      </c>
      <c r="O12207" s="10">
        <v>7</v>
      </c>
      <c r="P12207" s="10" t="s">
        <v>51941</v>
      </c>
      <c r="Q12207" s="10">
        <v>700.71</v>
      </c>
      <c r="R12207" s="10" t="s">
        <v>51942</v>
      </c>
      <c r="S12207" s="10" t="s">
        <v>53</v>
      </c>
      <c r="T12207" s="10" t="s">
        <v>6384</v>
      </c>
    </row>
    <row r="12208" spans="1:20" ht="14.5" x14ac:dyDescent="0.35">
      <c r="A12208" s="10" t="s">
        <v>51943</v>
      </c>
      <c r="B12208" s="10" t="str">
        <f>"9781838672362"</f>
        <v>9781838672362</v>
      </c>
      <c r="C12208" s="10" t="str">
        <f>"9781838672379"</f>
        <v>9781838672379</v>
      </c>
      <c r="D12208" s="10" t="s">
        <v>8699</v>
      </c>
      <c r="E12208" s="10" t="s">
        <v>8699</v>
      </c>
      <c r="F12208" s="10" t="s">
        <v>559</v>
      </c>
      <c r="G12208" s="10" t="s">
        <v>6352</v>
      </c>
      <c r="H12208" s="11">
        <v>44109</v>
      </c>
      <c r="I12208" s="10">
        <v>2020</v>
      </c>
      <c r="J12208" s="10" t="s">
        <v>8699</v>
      </c>
      <c r="K12208" s="10">
        <v>238</v>
      </c>
      <c r="L12208" s="10" t="s">
        <v>51944</v>
      </c>
      <c r="M12208" s="10">
        <v>1</v>
      </c>
      <c r="N12208" s="10" t="s">
        <v>51945</v>
      </c>
      <c r="O12208" s="10">
        <v>24</v>
      </c>
      <c r="P12208" s="10" t="s">
        <v>51946</v>
      </c>
      <c r="Q12208" s="10"/>
      <c r="R12208" s="10" t="s">
        <v>51947</v>
      </c>
      <c r="S12208" s="10" t="s">
        <v>53</v>
      </c>
      <c r="T12208" s="10" t="s">
        <v>6660</v>
      </c>
    </row>
    <row r="12209" spans="1:20" ht="14.5" x14ac:dyDescent="0.35">
      <c r="A12209" s="10" t="s">
        <v>51948</v>
      </c>
      <c r="B12209" s="10" t="str">
        <f>"9780813596792"</f>
        <v>9780813596792</v>
      </c>
      <c r="C12209" s="10" t="str">
        <f>"9780813596822"</f>
        <v>9780813596822</v>
      </c>
      <c r="D12209" s="10" t="s">
        <v>12251</v>
      </c>
      <c r="E12209" s="10" t="s">
        <v>12251</v>
      </c>
      <c r="F12209" s="10" t="s">
        <v>12451</v>
      </c>
      <c r="G12209" s="10" t="s">
        <v>6317</v>
      </c>
      <c r="H12209" s="11">
        <v>44001</v>
      </c>
      <c r="I12209" s="10">
        <v>2020</v>
      </c>
      <c r="J12209" s="10" t="s">
        <v>12251</v>
      </c>
      <c r="K12209" s="10">
        <v>306</v>
      </c>
      <c r="L12209" s="10" t="s">
        <v>51949</v>
      </c>
      <c r="M12209" s="10">
        <v>1</v>
      </c>
      <c r="N12209" s="10"/>
      <c r="O12209" s="10"/>
      <c r="P12209" s="10" t="s">
        <v>18361</v>
      </c>
      <c r="Q12209" s="10">
        <v>378.101</v>
      </c>
      <c r="R12209" s="10" t="s">
        <v>51950</v>
      </c>
      <c r="S12209" s="10" t="s">
        <v>53</v>
      </c>
      <c r="T12209" s="10" t="s">
        <v>54</v>
      </c>
    </row>
    <row r="12210" spans="1:20" ht="14.5" x14ac:dyDescent="0.35">
      <c r="A12210" s="10" t="s">
        <v>51951</v>
      </c>
      <c r="B12210" s="10" t="str">
        <f>"9781119600084"</f>
        <v>9781119600084</v>
      </c>
      <c r="C12210" s="10" t="str">
        <f>"9781119600190"</f>
        <v>9781119600190</v>
      </c>
      <c r="D12210" s="10" t="s">
        <v>6322</v>
      </c>
      <c r="E12210" s="10" t="s">
        <v>6323</v>
      </c>
      <c r="F12210" s="10" t="s">
        <v>4423</v>
      </c>
      <c r="G12210" s="10" t="s">
        <v>6317</v>
      </c>
      <c r="H12210" s="11">
        <v>44117</v>
      </c>
      <c r="I12210" s="10">
        <v>2020</v>
      </c>
      <c r="J12210" s="10" t="s">
        <v>6324</v>
      </c>
      <c r="K12210" s="10">
        <v>336</v>
      </c>
      <c r="L12210" s="10" t="s">
        <v>51952</v>
      </c>
      <c r="M12210" s="10">
        <v>3</v>
      </c>
      <c r="N12210" s="10" t="s">
        <v>15267</v>
      </c>
      <c r="O12210" s="10"/>
      <c r="P12210" s="10"/>
      <c r="Q12210" s="10">
        <v>707.12</v>
      </c>
      <c r="R12210" s="10" t="s">
        <v>51953</v>
      </c>
      <c r="S12210" s="10" t="s">
        <v>53</v>
      </c>
      <c r="T12210" s="10" t="s">
        <v>6384</v>
      </c>
    </row>
    <row r="12211" spans="1:20" ht="14.5" x14ac:dyDescent="0.35">
      <c r="A12211" s="10" t="s">
        <v>51954</v>
      </c>
      <c r="B12211" s="10" t="str">
        <f>""</f>
        <v/>
      </c>
      <c r="C12211" s="10" t="str">
        <f>"9783838275222"</f>
        <v>9783838275222</v>
      </c>
      <c r="D12211" s="10" t="s">
        <v>27189</v>
      </c>
      <c r="E12211" s="10" t="s">
        <v>28981</v>
      </c>
      <c r="F12211" s="10" t="s">
        <v>2925</v>
      </c>
      <c r="G12211" s="10" t="s">
        <v>9998</v>
      </c>
      <c r="H12211" s="11">
        <v>44116</v>
      </c>
      <c r="I12211" s="10">
        <v>2020</v>
      </c>
      <c r="J12211" s="10" t="s">
        <v>28981</v>
      </c>
      <c r="K12211" s="10">
        <v>131</v>
      </c>
      <c r="L12211" s="10" t="s">
        <v>51955</v>
      </c>
      <c r="M12211" s="10"/>
      <c r="N12211" s="10"/>
      <c r="O12211" s="10"/>
      <c r="P12211" s="10" t="s">
        <v>51956</v>
      </c>
      <c r="Q12211" s="10">
        <v>302.20711</v>
      </c>
      <c r="R12211" s="10" t="s">
        <v>51957</v>
      </c>
      <c r="S12211" s="10" t="s">
        <v>1519</v>
      </c>
      <c r="T12211" s="10" t="s">
        <v>6363</v>
      </c>
    </row>
    <row r="12212" spans="1:20" ht="14.5" x14ac:dyDescent="0.35">
      <c r="A12212" s="10" t="s">
        <v>51958</v>
      </c>
      <c r="B12212" s="10" t="str">
        <f>"9781119783145"</f>
        <v>9781119783145</v>
      </c>
      <c r="C12212" s="10" t="str">
        <f>"9781119783176"</f>
        <v>9781119783176</v>
      </c>
      <c r="D12212" s="10" t="s">
        <v>6322</v>
      </c>
      <c r="E12212" s="10" t="s">
        <v>6323</v>
      </c>
      <c r="F12212" s="10" t="s">
        <v>4423</v>
      </c>
      <c r="G12212" s="10" t="s">
        <v>6317</v>
      </c>
      <c r="H12212" s="11">
        <v>44124</v>
      </c>
      <c r="I12212" s="10">
        <v>2021</v>
      </c>
      <c r="J12212" s="10" t="s">
        <v>6324</v>
      </c>
      <c r="K12212" s="10">
        <v>147</v>
      </c>
      <c r="L12212" s="10" t="s">
        <v>51959</v>
      </c>
      <c r="M12212" s="10">
        <v>1</v>
      </c>
      <c r="N12212" s="10"/>
      <c r="O12212" s="10"/>
      <c r="P12212" s="10"/>
      <c r="Q12212" s="10">
        <v>371.358</v>
      </c>
      <c r="R12212" s="10" t="s">
        <v>12537</v>
      </c>
      <c r="S12212" s="10" t="s">
        <v>53</v>
      </c>
      <c r="T12212" s="10" t="s">
        <v>54</v>
      </c>
    </row>
    <row r="12213" spans="1:20" ht="14.5" x14ac:dyDescent="0.35">
      <c r="A12213" s="10" t="s">
        <v>51960</v>
      </c>
      <c r="B12213" s="10" t="str">
        <f>"9789004440319"</f>
        <v>9789004440319</v>
      </c>
      <c r="C12213" s="10" t="str">
        <f>"9789004440326"</f>
        <v>9789004440326</v>
      </c>
      <c r="D12213" s="10" t="s">
        <v>8564</v>
      </c>
      <c r="E12213" s="10" t="s">
        <v>8565</v>
      </c>
      <c r="F12213" s="10" t="s">
        <v>1420</v>
      </c>
      <c r="G12213" s="10" t="s">
        <v>6317</v>
      </c>
      <c r="H12213" s="11">
        <v>44084</v>
      </c>
      <c r="I12213" s="10">
        <v>2020</v>
      </c>
      <c r="J12213" s="10" t="s">
        <v>33259</v>
      </c>
      <c r="K12213" s="10">
        <v>367</v>
      </c>
      <c r="L12213" s="10" t="s">
        <v>51961</v>
      </c>
      <c r="M12213" s="10">
        <v>1</v>
      </c>
      <c r="N12213" s="10" t="s">
        <v>33257</v>
      </c>
      <c r="O12213" s="10">
        <v>48</v>
      </c>
      <c r="P12213" s="10" t="s">
        <v>51962</v>
      </c>
      <c r="Q12213" s="10">
        <v>370.11599999999999</v>
      </c>
      <c r="R12213" s="10" t="s">
        <v>51963</v>
      </c>
      <c r="S12213" s="10" t="s">
        <v>53</v>
      </c>
      <c r="T12213" s="10" t="s">
        <v>54</v>
      </c>
    </row>
    <row r="12214" spans="1:20" ht="14.5" x14ac:dyDescent="0.35">
      <c r="A12214" s="10" t="s">
        <v>51964</v>
      </c>
      <c r="B12214" s="10" t="str">
        <f>"9789004443051"</f>
        <v>9789004443051</v>
      </c>
      <c r="C12214" s="10" t="str">
        <f>"9789004443068"</f>
        <v>9789004443068</v>
      </c>
      <c r="D12214" s="10" t="s">
        <v>8564</v>
      </c>
      <c r="E12214" s="10" t="s">
        <v>8565</v>
      </c>
      <c r="F12214" s="10" t="s">
        <v>1420</v>
      </c>
      <c r="G12214" s="10" t="s">
        <v>6317</v>
      </c>
      <c r="H12214" s="11">
        <v>44084</v>
      </c>
      <c r="I12214" s="10">
        <v>2021</v>
      </c>
      <c r="J12214" s="10" t="s">
        <v>33259</v>
      </c>
      <c r="K12214" s="10">
        <v>279</v>
      </c>
      <c r="L12214" s="10" t="s">
        <v>22089</v>
      </c>
      <c r="M12214" s="10">
        <v>1</v>
      </c>
      <c r="N12214" s="10" t="s">
        <v>33663</v>
      </c>
      <c r="O12214" s="10">
        <v>36</v>
      </c>
      <c r="P12214" s="10" t="s">
        <v>51965</v>
      </c>
      <c r="Q12214" s="10">
        <v>813.6</v>
      </c>
      <c r="R12214" s="10" t="s">
        <v>51966</v>
      </c>
      <c r="S12214" s="10" t="s">
        <v>53</v>
      </c>
      <c r="T12214" s="10" t="s">
        <v>1166</v>
      </c>
    </row>
    <row r="12215" spans="1:20" ht="14.5" x14ac:dyDescent="0.35">
      <c r="A12215" s="10" t="s">
        <v>51967</v>
      </c>
      <c r="B12215" s="10" t="str">
        <f>"9789004444508"</f>
        <v>9789004444508</v>
      </c>
      <c r="C12215" s="10" t="str">
        <f>"9789004444515"</f>
        <v>9789004444515</v>
      </c>
      <c r="D12215" s="10" t="s">
        <v>8564</v>
      </c>
      <c r="E12215" s="10" t="s">
        <v>8565</v>
      </c>
      <c r="F12215" s="10" t="s">
        <v>1420</v>
      </c>
      <c r="G12215" s="10" t="s">
        <v>6317</v>
      </c>
      <c r="H12215" s="11">
        <v>44091</v>
      </c>
      <c r="I12215" s="10">
        <v>2020</v>
      </c>
      <c r="J12215" s="10" t="s">
        <v>33259</v>
      </c>
      <c r="K12215" s="10">
        <v>198</v>
      </c>
      <c r="L12215" s="10" t="s">
        <v>51968</v>
      </c>
      <c r="M12215" s="10">
        <v>1</v>
      </c>
      <c r="N12215" s="10" t="s">
        <v>51969</v>
      </c>
      <c r="O12215" s="10">
        <v>1</v>
      </c>
      <c r="P12215" s="10" t="s">
        <v>51970</v>
      </c>
      <c r="Q12215" s="10">
        <v>370.15339999999998</v>
      </c>
      <c r="R12215" s="10" t="s">
        <v>51971</v>
      </c>
      <c r="S12215" s="10" t="s">
        <v>53</v>
      </c>
      <c r="T12215" s="10" t="s">
        <v>54</v>
      </c>
    </row>
    <row r="12216" spans="1:20" ht="14.5" x14ac:dyDescent="0.35">
      <c r="A12216" s="10" t="s">
        <v>51972</v>
      </c>
      <c r="B12216" s="10" t="str">
        <f>"9781913063092"</f>
        <v>9781913063092</v>
      </c>
      <c r="C12216" s="10" t="str">
        <f>"9781913063122"</f>
        <v>9781913063122</v>
      </c>
      <c r="D12216" s="10" t="s">
        <v>9533</v>
      </c>
      <c r="E12216" s="10" t="s">
        <v>26840</v>
      </c>
      <c r="F12216" s="10" t="s">
        <v>44053</v>
      </c>
      <c r="G12216" s="10" t="s">
        <v>6352</v>
      </c>
      <c r="H12216" s="11">
        <v>43843</v>
      </c>
      <c r="I12216" s="10">
        <v>2020</v>
      </c>
      <c r="J12216" s="10" t="s">
        <v>26840</v>
      </c>
      <c r="K12216" s="10">
        <v>188</v>
      </c>
      <c r="L12216" s="10" t="s">
        <v>49095</v>
      </c>
      <c r="M12216" s="10">
        <v>1</v>
      </c>
      <c r="N12216" s="10" t="s">
        <v>49096</v>
      </c>
      <c r="O12216" s="10"/>
      <c r="P12216" s="10" t="s">
        <v>51973</v>
      </c>
      <c r="Q12216" s="10">
        <v>373.12599999999998</v>
      </c>
      <c r="R12216" s="10" t="s">
        <v>51974</v>
      </c>
      <c r="S12216" s="10" t="s">
        <v>53</v>
      </c>
      <c r="T12216" s="10" t="s">
        <v>54</v>
      </c>
    </row>
    <row r="12217" spans="1:20" ht="14.5" x14ac:dyDescent="0.35">
      <c r="A12217" s="10" t="s">
        <v>51975</v>
      </c>
      <c r="B12217" s="10" t="str">
        <f>"9781416629481"</f>
        <v>9781416629481</v>
      </c>
      <c r="C12217" s="10" t="str">
        <f>"9781416629641"</f>
        <v>9781416629641</v>
      </c>
      <c r="D12217" s="10" t="s">
        <v>10014</v>
      </c>
      <c r="E12217" s="10" t="s">
        <v>10015</v>
      </c>
      <c r="F12217" s="10" t="s">
        <v>201</v>
      </c>
      <c r="G12217" s="10" t="s">
        <v>6317</v>
      </c>
      <c r="H12217" s="11">
        <v>44104</v>
      </c>
      <c r="I12217" s="10">
        <v>2020</v>
      </c>
      <c r="J12217" s="10" t="s">
        <v>10015</v>
      </c>
      <c r="K12217" s="10">
        <v>203</v>
      </c>
      <c r="L12217" s="10" t="s">
        <v>51976</v>
      </c>
      <c r="M12217" s="10">
        <v>1</v>
      </c>
      <c r="N12217" s="10"/>
      <c r="O12217" s="10"/>
      <c r="P12217" s="10" t="s">
        <v>51977</v>
      </c>
      <c r="Q12217" s="10">
        <v>371.9</v>
      </c>
      <c r="R12217" s="10" t="s">
        <v>51978</v>
      </c>
      <c r="S12217" s="10" t="s">
        <v>53</v>
      </c>
      <c r="T12217" s="10" t="s">
        <v>54</v>
      </c>
    </row>
    <row r="12218" spans="1:20" ht="14.5" x14ac:dyDescent="0.35">
      <c r="A12218" s="10" t="s">
        <v>51979</v>
      </c>
      <c r="B12218" s="10" t="str">
        <f>"9781988066028"</f>
        <v>9781988066028</v>
      </c>
      <c r="C12218" s="10" t="str">
        <f>"9781988066035"</f>
        <v>9781988066035</v>
      </c>
      <c r="D12218" s="10" t="s">
        <v>51980</v>
      </c>
      <c r="E12218" s="10" t="s">
        <v>51981</v>
      </c>
      <c r="F12218" s="10" t="s">
        <v>901</v>
      </c>
      <c r="G12218" s="10" t="s">
        <v>9536</v>
      </c>
      <c r="H12218" s="11">
        <v>42278</v>
      </c>
      <c r="I12218" s="10">
        <v>2016</v>
      </c>
      <c r="J12218" s="10" t="s">
        <v>51981</v>
      </c>
      <c r="K12218" s="10">
        <v>49</v>
      </c>
      <c r="L12218" s="10" t="s">
        <v>51982</v>
      </c>
      <c r="M12218" s="10">
        <v>1</v>
      </c>
      <c r="N12218" s="10"/>
      <c r="O12218" s="10"/>
      <c r="P12218" s="10" t="s">
        <v>51983</v>
      </c>
      <c r="Q12218" s="10">
        <v>378.19425067999998</v>
      </c>
      <c r="R12218" s="10" t="s">
        <v>51984</v>
      </c>
      <c r="S12218" s="10" t="s">
        <v>53</v>
      </c>
      <c r="T12218" s="10" t="s">
        <v>54</v>
      </c>
    </row>
    <row r="12219" spans="1:20" ht="14.5" x14ac:dyDescent="0.35">
      <c r="A12219" s="10" t="s">
        <v>51985</v>
      </c>
      <c r="B12219" s="10" t="str">
        <f>"9781988066080"</f>
        <v>9781988066080</v>
      </c>
      <c r="C12219" s="10" t="str">
        <f>"9781988066097"</f>
        <v>9781988066097</v>
      </c>
      <c r="D12219" s="10" t="s">
        <v>51980</v>
      </c>
      <c r="E12219" s="10" t="s">
        <v>51981</v>
      </c>
      <c r="F12219" s="10" t="s">
        <v>901</v>
      </c>
      <c r="G12219" s="10" t="s">
        <v>9536</v>
      </c>
      <c r="H12219" s="11">
        <v>42369</v>
      </c>
      <c r="I12219" s="10">
        <v>2016</v>
      </c>
      <c r="J12219" s="10" t="s">
        <v>51981</v>
      </c>
      <c r="K12219" s="10">
        <v>171</v>
      </c>
      <c r="L12219" s="10" t="s">
        <v>51986</v>
      </c>
      <c r="M12219" s="10">
        <v>1</v>
      </c>
      <c r="N12219" s="10"/>
      <c r="O12219" s="10"/>
      <c r="P12219" s="10" t="s">
        <v>51987</v>
      </c>
      <c r="Q12219" s="10">
        <v>650.14</v>
      </c>
      <c r="R12219" s="10" t="s">
        <v>51988</v>
      </c>
      <c r="S12219" s="10" t="s">
        <v>53</v>
      </c>
      <c r="T12219" s="10" t="s">
        <v>6660</v>
      </c>
    </row>
    <row r="12220" spans="1:20" ht="14.5" x14ac:dyDescent="0.35">
      <c r="A12220" s="10" t="s">
        <v>51989</v>
      </c>
      <c r="B12220" s="10" t="str">
        <f>"9780981165233"</f>
        <v>9780981165233</v>
      </c>
      <c r="C12220" s="10" t="str">
        <f>"9780981165240"</f>
        <v>9780981165240</v>
      </c>
      <c r="D12220" s="10" t="s">
        <v>51980</v>
      </c>
      <c r="E12220" s="10" t="s">
        <v>51981</v>
      </c>
      <c r="F12220" s="10" t="s">
        <v>901</v>
      </c>
      <c r="G12220" s="10" t="s">
        <v>9536</v>
      </c>
      <c r="H12220" s="11">
        <v>41641</v>
      </c>
      <c r="I12220" s="10">
        <v>2014</v>
      </c>
      <c r="J12220" s="10" t="s">
        <v>51981</v>
      </c>
      <c r="K12220" s="10">
        <v>710</v>
      </c>
      <c r="L12220" s="10" t="s">
        <v>51990</v>
      </c>
      <c r="M12220" s="10">
        <v>1</v>
      </c>
      <c r="N12220" s="10"/>
      <c r="O12220" s="10"/>
      <c r="P12220" s="10" t="s">
        <v>51991</v>
      </c>
      <c r="Q12220" s="10">
        <v>331.702</v>
      </c>
      <c r="R12220" s="10" t="s">
        <v>51992</v>
      </c>
      <c r="S12220" s="10" t="s">
        <v>53</v>
      </c>
      <c r="T12220" s="10" t="s">
        <v>7545</v>
      </c>
    </row>
    <row r="12221" spans="1:20" ht="14.5" x14ac:dyDescent="0.35">
      <c r="A12221" s="10" t="s">
        <v>51993</v>
      </c>
      <c r="B12221" s="10" t="str">
        <f>"9781988066141"</f>
        <v>9781988066141</v>
      </c>
      <c r="C12221" s="10" t="str">
        <f>"9781988066158"</f>
        <v>9781988066158</v>
      </c>
      <c r="D12221" s="10" t="s">
        <v>51980</v>
      </c>
      <c r="E12221" s="10" t="s">
        <v>51981</v>
      </c>
      <c r="F12221" s="10" t="s">
        <v>901</v>
      </c>
      <c r="G12221" s="10" t="s">
        <v>9536</v>
      </c>
      <c r="H12221" s="11">
        <v>42611</v>
      </c>
      <c r="I12221" s="10">
        <v>2016</v>
      </c>
      <c r="J12221" s="10" t="s">
        <v>51981</v>
      </c>
      <c r="K12221" s="10">
        <v>152</v>
      </c>
      <c r="L12221" s="10" t="s">
        <v>51994</v>
      </c>
      <c r="M12221" s="10">
        <v>1</v>
      </c>
      <c r="N12221" s="10"/>
      <c r="O12221" s="10"/>
      <c r="P12221" s="10" t="s">
        <v>51995</v>
      </c>
      <c r="Q12221" s="10">
        <v>306.36</v>
      </c>
      <c r="R12221" s="10" t="s">
        <v>51996</v>
      </c>
      <c r="S12221" s="10" t="s">
        <v>53</v>
      </c>
      <c r="T12221" s="10" t="s">
        <v>27302</v>
      </c>
    </row>
    <row r="12222" spans="1:20" ht="14.5" x14ac:dyDescent="0.35">
      <c r="A12222" s="10" t="s">
        <v>51997</v>
      </c>
      <c r="B12222" s="10" t="str">
        <f>"9781988066059"</f>
        <v>9781988066059</v>
      </c>
      <c r="C12222" s="10" t="str">
        <f>"9781988066066"</f>
        <v>9781988066066</v>
      </c>
      <c r="D12222" s="10" t="s">
        <v>51980</v>
      </c>
      <c r="E12222" s="10" t="s">
        <v>51981</v>
      </c>
      <c r="F12222" s="10" t="s">
        <v>901</v>
      </c>
      <c r="G12222" s="10" t="s">
        <v>9536</v>
      </c>
      <c r="H12222" s="11">
        <v>42521</v>
      </c>
      <c r="I12222" s="10">
        <v>2016</v>
      </c>
      <c r="J12222" s="10" t="s">
        <v>51981</v>
      </c>
      <c r="K12222" s="10">
        <v>103</v>
      </c>
      <c r="L12222" s="10" t="s">
        <v>51998</v>
      </c>
      <c r="M12222" s="10">
        <v>1</v>
      </c>
      <c r="N12222" s="10"/>
      <c r="O12222" s="10"/>
      <c r="P12222" s="10" t="s">
        <v>51995</v>
      </c>
      <c r="Q12222" s="10">
        <v>306.36</v>
      </c>
      <c r="R12222" s="10" t="s">
        <v>51999</v>
      </c>
      <c r="S12222" s="10" t="s">
        <v>53</v>
      </c>
      <c r="T12222" s="10" t="s">
        <v>10957</v>
      </c>
    </row>
    <row r="12223" spans="1:20" ht="14.5" x14ac:dyDescent="0.35">
      <c r="A12223" s="10" t="s">
        <v>52000</v>
      </c>
      <c r="B12223" s="10" t="str">
        <f>"9781988066349"</f>
        <v>9781988066349</v>
      </c>
      <c r="C12223" s="10" t="str">
        <f>"9781988066363"</f>
        <v>9781988066363</v>
      </c>
      <c r="D12223" s="10" t="s">
        <v>51980</v>
      </c>
      <c r="E12223" s="10" t="s">
        <v>51981</v>
      </c>
      <c r="F12223" s="10" t="s">
        <v>901</v>
      </c>
      <c r="G12223" s="10" t="s">
        <v>9536</v>
      </c>
      <c r="H12223" s="11">
        <v>43493</v>
      </c>
      <c r="I12223" s="10">
        <v>2019</v>
      </c>
      <c r="J12223" s="10" t="s">
        <v>51981</v>
      </c>
      <c r="K12223" s="10">
        <v>505</v>
      </c>
      <c r="L12223" s="10" t="s">
        <v>52001</v>
      </c>
      <c r="M12223" s="10">
        <v>1</v>
      </c>
      <c r="N12223" s="10"/>
      <c r="O12223" s="10"/>
      <c r="P12223" s="10" t="s">
        <v>52002</v>
      </c>
      <c r="Q12223" s="10">
        <v>331.70207099999999</v>
      </c>
      <c r="R12223" s="10" t="s">
        <v>52003</v>
      </c>
      <c r="S12223" s="10" t="s">
        <v>53</v>
      </c>
      <c r="T12223" s="10" t="s">
        <v>7545</v>
      </c>
    </row>
    <row r="12224" spans="1:20" ht="14.5" x14ac:dyDescent="0.35">
      <c r="A12224" s="10" t="s">
        <v>52004</v>
      </c>
      <c r="B12224" s="10" t="str">
        <f>""</f>
        <v/>
      </c>
      <c r="C12224" s="10" t="str">
        <f>"9781988066004"</f>
        <v>9781988066004</v>
      </c>
      <c r="D12224" s="10" t="s">
        <v>51980</v>
      </c>
      <c r="E12224" s="10" t="s">
        <v>51981</v>
      </c>
      <c r="F12224" s="10" t="s">
        <v>901</v>
      </c>
      <c r="G12224" s="10" t="s">
        <v>9536</v>
      </c>
      <c r="H12224" s="11">
        <v>42278</v>
      </c>
      <c r="I12224" s="10">
        <v>2016</v>
      </c>
      <c r="J12224" s="10" t="s">
        <v>51981</v>
      </c>
      <c r="K12224" s="10">
        <v>55</v>
      </c>
      <c r="L12224" s="10" t="s">
        <v>51982</v>
      </c>
      <c r="M12224" s="10">
        <v>1</v>
      </c>
      <c r="N12224" s="10"/>
      <c r="O12224" s="10"/>
      <c r="P12224" s="10" t="s">
        <v>52005</v>
      </c>
      <c r="Q12224" s="10">
        <v>378.19425067999998</v>
      </c>
      <c r="R12224" s="10" t="s">
        <v>52006</v>
      </c>
      <c r="S12224" s="10" t="s">
        <v>53</v>
      </c>
      <c r="T12224" s="10" t="s">
        <v>54</v>
      </c>
    </row>
    <row r="12225" spans="1:20" ht="14.5" x14ac:dyDescent="0.35">
      <c r="A12225" s="10" t="s">
        <v>52007</v>
      </c>
      <c r="B12225" s="10" t="str">
        <f>"9780113316489"</f>
        <v>9780113316489</v>
      </c>
      <c r="C12225" s="10" t="str">
        <f>"9780113316496"</f>
        <v>9780113316496</v>
      </c>
      <c r="D12225" s="10" t="s">
        <v>43658</v>
      </c>
      <c r="E12225" s="10" t="s">
        <v>50552</v>
      </c>
      <c r="F12225" s="10" t="s">
        <v>139</v>
      </c>
      <c r="G12225" s="10" t="s">
        <v>6352</v>
      </c>
      <c r="H12225" s="11">
        <v>44099</v>
      </c>
      <c r="I12225" s="10">
        <v>2020</v>
      </c>
      <c r="J12225" s="10" t="s">
        <v>50553</v>
      </c>
      <c r="K12225" s="10">
        <v>228</v>
      </c>
      <c r="L12225" s="10" t="s">
        <v>50829</v>
      </c>
      <c r="M12225" s="10"/>
      <c r="N12225" s="10"/>
      <c r="O12225" s="10"/>
      <c r="P12225" s="10" t="s">
        <v>50555</v>
      </c>
      <c r="Q12225" s="10">
        <v>4.0679999999999996</v>
      </c>
      <c r="R12225" s="10" t="s">
        <v>52008</v>
      </c>
      <c r="S12225" s="10" t="s">
        <v>53</v>
      </c>
      <c r="T12225" s="10" t="s">
        <v>37225</v>
      </c>
    </row>
    <row r="12226" spans="1:20" ht="14.5" x14ac:dyDescent="0.35">
      <c r="A12226" s="10" t="s">
        <v>52009</v>
      </c>
      <c r="B12226" s="10" t="str">
        <f>"9780253051561"</f>
        <v>9780253051561</v>
      </c>
      <c r="C12226" s="10" t="str">
        <f>"9780253051547"</f>
        <v>9780253051547</v>
      </c>
      <c r="D12226" s="10" t="s">
        <v>2455</v>
      </c>
      <c r="E12226" s="10" t="s">
        <v>2455</v>
      </c>
      <c r="F12226" s="10" t="s">
        <v>3101</v>
      </c>
      <c r="G12226" s="10" t="s">
        <v>6317</v>
      </c>
      <c r="H12226" s="11">
        <v>44166</v>
      </c>
      <c r="I12226" s="10">
        <v>2020</v>
      </c>
      <c r="J12226" s="10" t="s">
        <v>2455</v>
      </c>
      <c r="K12226" s="10">
        <v>210</v>
      </c>
      <c r="L12226" s="10" t="s">
        <v>52010</v>
      </c>
      <c r="M12226" s="10"/>
      <c r="N12226" s="10" t="s">
        <v>51184</v>
      </c>
      <c r="O12226" s="10"/>
      <c r="P12226" s="10" t="s">
        <v>52011</v>
      </c>
      <c r="Q12226" s="10">
        <v>378</v>
      </c>
      <c r="R12226" s="10" t="s">
        <v>52012</v>
      </c>
      <c r="S12226" s="10" t="s">
        <v>53</v>
      </c>
      <c r="T12226" s="10" t="s">
        <v>54</v>
      </c>
    </row>
    <row r="12227" spans="1:20" ht="14.5" x14ac:dyDescent="0.35">
      <c r="A12227" s="10" t="s">
        <v>52013</v>
      </c>
      <c r="B12227" s="10" t="str">
        <f>"9781949199819"</f>
        <v>9781949199819</v>
      </c>
      <c r="C12227" s="10" t="str">
        <f>"9781949199833"</f>
        <v>9781949199833</v>
      </c>
      <c r="D12227" s="10" t="s">
        <v>38760</v>
      </c>
      <c r="E12227" s="10" t="s">
        <v>38760</v>
      </c>
      <c r="F12227" s="10" t="s">
        <v>5426</v>
      </c>
      <c r="G12227" s="10" t="s">
        <v>6317</v>
      </c>
      <c r="H12227" s="11">
        <v>44166</v>
      </c>
      <c r="I12227" s="10">
        <v>2020</v>
      </c>
      <c r="J12227" s="10" t="s">
        <v>38760</v>
      </c>
      <c r="K12227" s="10">
        <v>270</v>
      </c>
      <c r="L12227" s="10" t="s">
        <v>52014</v>
      </c>
      <c r="M12227" s="10">
        <v>1</v>
      </c>
      <c r="N12227" s="10" t="s">
        <v>43013</v>
      </c>
      <c r="O12227" s="10"/>
      <c r="P12227" s="10" t="s">
        <v>39253</v>
      </c>
      <c r="Q12227" s="10">
        <v>371.27209729999998</v>
      </c>
      <c r="R12227" s="10"/>
      <c r="S12227" s="10" t="s">
        <v>53</v>
      </c>
      <c r="T12227" s="10" t="s">
        <v>54</v>
      </c>
    </row>
    <row r="12228" spans="1:20" ht="14.5" x14ac:dyDescent="0.35">
      <c r="A12228" s="10" t="s">
        <v>52015</v>
      </c>
      <c r="B12228" s="10" t="str">
        <f>"9781789735963"</f>
        <v>9781789735963</v>
      </c>
      <c r="C12228" s="10" t="str">
        <f>"9781789735970"</f>
        <v>9781789735970</v>
      </c>
      <c r="D12228" s="10" t="s">
        <v>8699</v>
      </c>
      <c r="E12228" s="10" t="s">
        <v>8699</v>
      </c>
      <c r="F12228" s="10" t="s">
        <v>559</v>
      </c>
      <c r="G12228" s="10" t="s">
        <v>6352</v>
      </c>
      <c r="H12228" s="11">
        <v>44123</v>
      </c>
      <c r="I12228" s="10">
        <v>2020</v>
      </c>
      <c r="J12228" s="10" t="s">
        <v>8699</v>
      </c>
      <c r="K12228" s="10">
        <v>273</v>
      </c>
      <c r="L12228" s="10" t="s">
        <v>52016</v>
      </c>
      <c r="M12228" s="10">
        <v>1</v>
      </c>
      <c r="N12228" s="10"/>
      <c r="O12228" s="10"/>
      <c r="P12228" s="10" t="s">
        <v>28438</v>
      </c>
      <c r="Q12228" s="10">
        <v>372.67700000000002</v>
      </c>
      <c r="R12228" s="10" t="s">
        <v>52017</v>
      </c>
      <c r="S12228" s="10" t="s">
        <v>53</v>
      </c>
      <c r="T12228" s="10" t="s">
        <v>54</v>
      </c>
    </row>
    <row r="12229" spans="1:20" ht="14.5" x14ac:dyDescent="0.35">
      <c r="A12229" s="10" t="s">
        <v>52018</v>
      </c>
      <c r="B12229" s="10" t="str">
        <f>"9781620369388"</f>
        <v>9781620369388</v>
      </c>
      <c r="C12229" s="10" t="str">
        <f>"9781000973624"</f>
        <v>9781000973624</v>
      </c>
      <c r="D12229" s="10" t="s">
        <v>6350</v>
      </c>
      <c r="E12229" s="10" t="s">
        <v>6351</v>
      </c>
      <c r="F12229" s="10" t="s">
        <v>748</v>
      </c>
      <c r="G12229" s="10" t="s">
        <v>6352</v>
      </c>
      <c r="H12229" s="11">
        <v>44088</v>
      </c>
      <c r="I12229" s="10">
        <v>2020</v>
      </c>
      <c r="J12229" s="10" t="s">
        <v>6351</v>
      </c>
      <c r="K12229" s="10">
        <v>233</v>
      </c>
      <c r="L12229" s="10" t="s">
        <v>52019</v>
      </c>
      <c r="M12229" s="10">
        <v>1</v>
      </c>
      <c r="N12229" s="10"/>
      <c r="O12229" s="10"/>
      <c r="P12229" s="10" t="s">
        <v>52020</v>
      </c>
      <c r="Q12229" s="10">
        <v>378.101</v>
      </c>
      <c r="R12229" s="10" t="s">
        <v>51950</v>
      </c>
      <c r="S12229" s="10" t="s">
        <v>53</v>
      </c>
      <c r="T12229" s="10" t="s">
        <v>54</v>
      </c>
    </row>
    <row r="12230" spans="1:20" ht="14.5" x14ac:dyDescent="0.35">
      <c r="A12230" s="10" t="s">
        <v>52021</v>
      </c>
      <c r="B12230" s="10" t="str">
        <f>"9781975503079"</f>
        <v>9781975503079</v>
      </c>
      <c r="C12230" s="10" t="str">
        <f>"9781975503093"</f>
        <v>9781975503093</v>
      </c>
      <c r="D12230" s="10" t="s">
        <v>44271</v>
      </c>
      <c r="E12230" s="10" t="s">
        <v>47266</v>
      </c>
      <c r="F12230" s="10" t="s">
        <v>41227</v>
      </c>
      <c r="G12230" s="10" t="s">
        <v>6317</v>
      </c>
      <c r="H12230" s="11">
        <v>44095</v>
      </c>
      <c r="I12230" s="10">
        <v>2021</v>
      </c>
      <c r="J12230" s="10" t="s">
        <v>47266</v>
      </c>
      <c r="K12230" s="10">
        <v>253</v>
      </c>
      <c r="L12230" s="10" t="s">
        <v>52022</v>
      </c>
      <c r="M12230" s="10">
        <v>1</v>
      </c>
      <c r="N12230" s="10"/>
      <c r="O12230" s="10"/>
      <c r="P12230" s="10" t="s">
        <v>52023</v>
      </c>
      <c r="Q12230" s="10">
        <v>371.10230000000001</v>
      </c>
      <c r="R12230" s="10" t="s">
        <v>52024</v>
      </c>
      <c r="S12230" s="10" t="s">
        <v>53</v>
      </c>
      <c r="T12230" s="10" t="s">
        <v>54</v>
      </c>
    </row>
    <row r="12231" spans="1:20" ht="14.5" x14ac:dyDescent="0.35">
      <c r="A12231" s="10" t="s">
        <v>52025</v>
      </c>
      <c r="B12231" s="10" t="str">
        <f>"9781421439365"</f>
        <v>9781421439365</v>
      </c>
      <c r="C12231" s="10" t="str">
        <f>"9781421439372"</f>
        <v>9781421439372</v>
      </c>
      <c r="D12231" s="10" t="s">
        <v>884</v>
      </c>
      <c r="E12231" s="10" t="s">
        <v>884</v>
      </c>
      <c r="F12231" s="10" t="s">
        <v>885</v>
      </c>
      <c r="G12231" s="10" t="s">
        <v>6317</v>
      </c>
      <c r="H12231" s="11">
        <v>44138</v>
      </c>
      <c r="I12231" s="10">
        <v>2020</v>
      </c>
      <c r="J12231" s="10" t="s">
        <v>884</v>
      </c>
      <c r="K12231" s="10">
        <v>207</v>
      </c>
      <c r="L12231" s="10" t="s">
        <v>52026</v>
      </c>
      <c r="M12231" s="10">
        <v>1</v>
      </c>
      <c r="N12231" s="10"/>
      <c r="O12231" s="10"/>
      <c r="P12231" s="10" t="s">
        <v>52027</v>
      </c>
      <c r="Q12231" s="10">
        <v>378.19799999999998</v>
      </c>
      <c r="R12231" s="10" t="s">
        <v>52028</v>
      </c>
      <c r="S12231" s="10" t="s">
        <v>53</v>
      </c>
      <c r="T12231" s="10" t="s">
        <v>54</v>
      </c>
    </row>
    <row r="12232" spans="1:20" ht="14.5" x14ac:dyDescent="0.35">
      <c r="A12232" s="10" t="s">
        <v>52029</v>
      </c>
      <c r="B12232" s="10" t="str">
        <f>""</f>
        <v/>
      </c>
      <c r="C12232" s="10" t="str">
        <f>"9781839522031"</f>
        <v>9781839522031</v>
      </c>
      <c r="D12232" s="10" t="s">
        <v>52030</v>
      </c>
      <c r="E12232" s="10" t="s">
        <v>52031</v>
      </c>
      <c r="F12232" s="10" t="s">
        <v>139</v>
      </c>
      <c r="G12232" s="10" t="s">
        <v>6352</v>
      </c>
      <c r="H12232" s="11">
        <v>44113</v>
      </c>
      <c r="I12232" s="10">
        <v>2020</v>
      </c>
      <c r="J12232" s="10" t="s">
        <v>52031</v>
      </c>
      <c r="K12232" s="10">
        <v>77</v>
      </c>
      <c r="L12232" s="10" t="s">
        <v>52032</v>
      </c>
      <c r="M12232" s="10">
        <v>1</v>
      </c>
      <c r="N12232" s="10"/>
      <c r="O12232" s="10"/>
      <c r="P12232" s="10" t="s">
        <v>52033</v>
      </c>
      <c r="Q12232" s="10">
        <v>371.82</v>
      </c>
      <c r="R12232" s="10" t="s">
        <v>52034</v>
      </c>
      <c r="S12232" s="10" t="s">
        <v>53</v>
      </c>
      <c r="T12232" s="10" t="s">
        <v>54</v>
      </c>
    </row>
    <row r="12233" spans="1:20" ht="14.5" x14ac:dyDescent="0.35">
      <c r="A12233" s="10" t="s">
        <v>52035</v>
      </c>
      <c r="B12233" s="10" t="str">
        <f>"9781620367476"</f>
        <v>9781620367476</v>
      </c>
      <c r="C12233" s="10" t="str">
        <f>"9781000972344"</f>
        <v>9781000972344</v>
      </c>
      <c r="D12233" s="10" t="s">
        <v>6350</v>
      </c>
      <c r="E12233" s="10" t="s">
        <v>6351</v>
      </c>
      <c r="F12233" s="10" t="s">
        <v>748</v>
      </c>
      <c r="G12233" s="10" t="s">
        <v>6352</v>
      </c>
      <c r="H12233" s="11">
        <v>44119</v>
      </c>
      <c r="I12233" s="10">
        <v>2020</v>
      </c>
      <c r="J12233" s="10" t="s">
        <v>6351</v>
      </c>
      <c r="K12233" s="10">
        <v>191</v>
      </c>
      <c r="L12233" s="10" t="s">
        <v>52036</v>
      </c>
      <c r="M12233" s="10">
        <v>1</v>
      </c>
      <c r="N12233" s="10"/>
      <c r="O12233" s="10"/>
      <c r="P12233" s="10" t="s">
        <v>52037</v>
      </c>
      <c r="Q12233" s="10">
        <v>378.19799999999998</v>
      </c>
      <c r="R12233" s="10" t="s">
        <v>40393</v>
      </c>
      <c r="S12233" s="10" t="s">
        <v>53</v>
      </c>
      <c r="T12233" s="10" t="s">
        <v>54</v>
      </c>
    </row>
    <row r="12234" spans="1:20" ht="14.5" x14ac:dyDescent="0.35">
      <c r="A12234" s="10" t="s">
        <v>52038</v>
      </c>
      <c r="B12234" s="10" t="str">
        <f>"9781938113352"</f>
        <v>9781938113352</v>
      </c>
      <c r="C12234" s="10" t="str">
        <f>"9781938113871"</f>
        <v>9781938113871</v>
      </c>
      <c r="D12234" s="10" t="s">
        <v>9533</v>
      </c>
      <c r="E12234" s="10" t="s">
        <v>5950</v>
      </c>
      <c r="F12234" s="10" t="s">
        <v>25348</v>
      </c>
      <c r="G12234" s="10" t="s">
        <v>6317</v>
      </c>
      <c r="H12234" s="11">
        <v>44138</v>
      </c>
      <c r="I12234" s="10">
        <v>2018</v>
      </c>
      <c r="J12234" s="10" t="s">
        <v>5950</v>
      </c>
      <c r="K12234" s="10">
        <v>86</v>
      </c>
      <c r="L12234" s="10" t="s">
        <v>52039</v>
      </c>
      <c r="M12234" s="10">
        <v>1</v>
      </c>
      <c r="N12234" s="10" t="s">
        <v>52040</v>
      </c>
      <c r="O12234" s="10"/>
      <c r="P12234" s="10" t="s">
        <v>52041</v>
      </c>
      <c r="Q12234" s="10">
        <v>362.71209729999998</v>
      </c>
      <c r="R12234" s="10" t="s">
        <v>52042</v>
      </c>
      <c r="S12234" s="10" t="s">
        <v>53</v>
      </c>
      <c r="T12234" s="10" t="s">
        <v>6363</v>
      </c>
    </row>
    <row r="12235" spans="1:20" ht="14.5" x14ac:dyDescent="0.35">
      <c r="A12235" s="10" t="s">
        <v>52043</v>
      </c>
      <c r="B12235" s="10" t="str">
        <f>"9789004444584"</f>
        <v>9789004444584</v>
      </c>
      <c r="C12235" s="10" t="str">
        <f>"9789004444591"</f>
        <v>9789004444591</v>
      </c>
      <c r="D12235" s="10" t="s">
        <v>8564</v>
      </c>
      <c r="E12235" s="10" t="s">
        <v>8565</v>
      </c>
      <c r="F12235" s="10" t="s">
        <v>1420</v>
      </c>
      <c r="G12235" s="10" t="s">
        <v>6317</v>
      </c>
      <c r="H12235" s="11">
        <v>44119</v>
      </c>
      <c r="I12235" s="10">
        <v>2021</v>
      </c>
      <c r="J12235" s="10" t="s">
        <v>33259</v>
      </c>
      <c r="K12235" s="10">
        <v>335</v>
      </c>
      <c r="L12235" s="10" t="s">
        <v>52044</v>
      </c>
      <c r="M12235" s="10">
        <v>1</v>
      </c>
      <c r="N12235" s="10"/>
      <c r="O12235" s="10"/>
      <c r="P12235" s="10" t="s">
        <v>52045</v>
      </c>
      <c r="Q12235" s="10">
        <v>370.15199999999999</v>
      </c>
      <c r="R12235" s="10" t="s">
        <v>52046</v>
      </c>
      <c r="S12235" s="10" t="s">
        <v>53</v>
      </c>
      <c r="T12235" s="10" t="s">
        <v>54</v>
      </c>
    </row>
    <row r="12236" spans="1:20" ht="14.5" x14ac:dyDescent="0.35">
      <c r="A12236" s="10" t="s">
        <v>52047</v>
      </c>
      <c r="B12236" s="10" t="str">
        <f>"9789004442863"</f>
        <v>9789004442863</v>
      </c>
      <c r="C12236" s="10" t="str">
        <f>"9789004442870"</f>
        <v>9789004442870</v>
      </c>
      <c r="D12236" s="10" t="s">
        <v>8564</v>
      </c>
      <c r="E12236" s="10" t="s">
        <v>8565</v>
      </c>
      <c r="F12236" s="10" t="s">
        <v>1420</v>
      </c>
      <c r="G12236" s="10" t="s">
        <v>6317</v>
      </c>
      <c r="H12236" s="11">
        <v>44119</v>
      </c>
      <c r="I12236" s="10">
        <v>2021</v>
      </c>
      <c r="J12236" s="10" t="s">
        <v>33259</v>
      </c>
      <c r="K12236" s="10">
        <v>280</v>
      </c>
      <c r="L12236" s="10" t="s">
        <v>52048</v>
      </c>
      <c r="M12236" s="10">
        <v>1</v>
      </c>
      <c r="N12236" s="10" t="s">
        <v>49214</v>
      </c>
      <c r="O12236" s="10">
        <v>8</v>
      </c>
      <c r="P12236" s="10" t="s">
        <v>52049</v>
      </c>
      <c r="Q12236" s="10">
        <v>700.10299999999995</v>
      </c>
      <c r="R12236" s="10" t="s">
        <v>52050</v>
      </c>
      <c r="S12236" s="10" t="s">
        <v>53</v>
      </c>
      <c r="T12236" s="10" t="s">
        <v>6384</v>
      </c>
    </row>
    <row r="12237" spans="1:20" ht="14.5" x14ac:dyDescent="0.35">
      <c r="A12237" s="10" t="s">
        <v>52051</v>
      </c>
      <c r="B12237" s="10" t="str">
        <f>"9789004445314"</f>
        <v>9789004445314</v>
      </c>
      <c r="C12237" s="10" t="str">
        <f>"9789004445321"</f>
        <v>9789004445321</v>
      </c>
      <c r="D12237" s="10" t="s">
        <v>8564</v>
      </c>
      <c r="E12237" s="10" t="s">
        <v>8565</v>
      </c>
      <c r="F12237" s="10" t="s">
        <v>1420</v>
      </c>
      <c r="G12237" s="10" t="s">
        <v>6317</v>
      </c>
      <c r="H12237" s="11">
        <v>44119</v>
      </c>
      <c r="I12237" s="10">
        <v>2021</v>
      </c>
      <c r="J12237" s="10" t="s">
        <v>33259</v>
      </c>
      <c r="K12237" s="10">
        <v>279</v>
      </c>
      <c r="L12237" s="10" t="s">
        <v>52052</v>
      </c>
      <c r="M12237" s="10">
        <v>1</v>
      </c>
      <c r="N12237" s="10"/>
      <c r="O12237" s="10"/>
      <c r="P12237" s="10" t="s">
        <v>52053</v>
      </c>
      <c r="Q12237" s="10">
        <v>371.10230000000001</v>
      </c>
      <c r="R12237" s="10" t="s">
        <v>25345</v>
      </c>
      <c r="S12237" s="10" t="s">
        <v>53</v>
      </c>
      <c r="T12237" s="10" t="s">
        <v>54</v>
      </c>
    </row>
    <row r="12238" spans="1:20" ht="14.5" x14ac:dyDescent="0.35">
      <c r="A12238" s="10" t="s">
        <v>52054</v>
      </c>
      <c r="B12238" s="10" t="str">
        <f>"9789004436503"</f>
        <v>9789004436503</v>
      </c>
      <c r="C12238" s="10" t="str">
        <f>"9789004436510"</f>
        <v>9789004436510</v>
      </c>
      <c r="D12238" s="10" t="s">
        <v>8564</v>
      </c>
      <c r="E12238" s="10" t="s">
        <v>8565</v>
      </c>
      <c r="F12238" s="10" t="s">
        <v>1420</v>
      </c>
      <c r="G12238" s="10" t="s">
        <v>6317</v>
      </c>
      <c r="H12238" s="11">
        <v>44112</v>
      </c>
      <c r="I12238" s="10">
        <v>2021</v>
      </c>
      <c r="J12238" s="10" t="s">
        <v>33259</v>
      </c>
      <c r="K12238" s="10">
        <v>130</v>
      </c>
      <c r="L12238" s="10" t="s">
        <v>52055</v>
      </c>
      <c r="M12238" s="10">
        <v>1</v>
      </c>
      <c r="N12238" s="10" t="s">
        <v>52056</v>
      </c>
      <c r="O12238" s="10">
        <v>4</v>
      </c>
      <c r="P12238" s="10" t="s">
        <v>52057</v>
      </c>
      <c r="Q12238" s="10">
        <v>371.3</v>
      </c>
      <c r="R12238" s="10" t="s">
        <v>29542</v>
      </c>
      <c r="S12238" s="10" t="s">
        <v>53</v>
      </c>
      <c r="T12238" s="10" t="s">
        <v>54</v>
      </c>
    </row>
    <row r="12239" spans="1:20" ht="14.5" x14ac:dyDescent="0.35">
      <c r="A12239" s="10" t="s">
        <v>52058</v>
      </c>
      <c r="B12239" s="10" t="str">
        <f>"9789004396371"</f>
        <v>9789004396371</v>
      </c>
      <c r="C12239" s="10" t="str">
        <f>"9789004444287"</f>
        <v>9789004444287</v>
      </c>
      <c r="D12239" s="10" t="s">
        <v>8564</v>
      </c>
      <c r="E12239" s="10" t="s">
        <v>8565</v>
      </c>
      <c r="F12239" s="10" t="s">
        <v>1420</v>
      </c>
      <c r="G12239" s="10" t="s">
        <v>6317</v>
      </c>
      <c r="H12239" s="11">
        <v>44112</v>
      </c>
      <c r="I12239" s="10">
        <v>2021</v>
      </c>
      <c r="J12239" s="10" t="s">
        <v>33259</v>
      </c>
      <c r="K12239" s="10">
        <v>214</v>
      </c>
      <c r="L12239" s="10" t="s">
        <v>52059</v>
      </c>
      <c r="M12239" s="10">
        <v>1</v>
      </c>
      <c r="N12239" s="10"/>
      <c r="O12239" s="10"/>
      <c r="P12239" s="10"/>
      <c r="Q12239" s="10"/>
      <c r="R12239" s="10" t="s">
        <v>20401</v>
      </c>
      <c r="S12239" s="10" t="s">
        <v>53</v>
      </c>
      <c r="T12239" s="10" t="s">
        <v>54</v>
      </c>
    </row>
    <row r="12240" spans="1:20" ht="14.5" x14ac:dyDescent="0.35">
      <c r="A12240" s="10" t="s">
        <v>52060</v>
      </c>
      <c r="B12240" s="10" t="str">
        <f>"9781951075071"</f>
        <v>9781951075071</v>
      </c>
      <c r="C12240" s="10" t="str">
        <f>"9781951075088"</f>
        <v>9781951075088</v>
      </c>
      <c r="D12240" s="10" t="s">
        <v>37580</v>
      </c>
      <c r="E12240" s="10" t="s">
        <v>37581</v>
      </c>
      <c r="F12240" s="10" t="s">
        <v>37623</v>
      </c>
      <c r="G12240" s="10" t="s">
        <v>6317</v>
      </c>
      <c r="H12240" s="11">
        <v>44138</v>
      </c>
      <c r="I12240" s="10">
        <v>2021</v>
      </c>
      <c r="J12240" s="10" t="s">
        <v>37581</v>
      </c>
      <c r="K12240" s="10">
        <v>280</v>
      </c>
      <c r="L12240" s="10" t="s">
        <v>52061</v>
      </c>
      <c r="M12240" s="10">
        <v>1</v>
      </c>
      <c r="N12240" s="10"/>
      <c r="O12240" s="10"/>
      <c r="P12240" s="10" t="s">
        <v>52062</v>
      </c>
      <c r="Q12240" s="10">
        <v>371.7</v>
      </c>
      <c r="R12240" s="10" t="s">
        <v>52063</v>
      </c>
      <c r="S12240" s="10" t="s">
        <v>53</v>
      </c>
      <c r="T12240" s="10" t="s">
        <v>54</v>
      </c>
    </row>
    <row r="12241" spans="1:20" ht="14.5" x14ac:dyDescent="0.35">
      <c r="A12241" s="10" t="s">
        <v>52064</v>
      </c>
      <c r="B12241" s="10" t="str">
        <f>"9781642670363"</f>
        <v>9781642670363</v>
      </c>
      <c r="C12241" s="10" t="str">
        <f>"9781000975185"</f>
        <v>9781000975185</v>
      </c>
      <c r="D12241" s="10" t="s">
        <v>6350</v>
      </c>
      <c r="E12241" s="10" t="s">
        <v>6351</v>
      </c>
      <c r="F12241" s="10" t="s">
        <v>748</v>
      </c>
      <c r="G12241" s="10" t="s">
        <v>6352</v>
      </c>
      <c r="H12241" s="11">
        <v>44127</v>
      </c>
      <c r="I12241" s="10">
        <v>2020</v>
      </c>
      <c r="J12241" s="10" t="s">
        <v>6351</v>
      </c>
      <c r="K12241" s="10">
        <v>145</v>
      </c>
      <c r="L12241" s="10" t="s">
        <v>52065</v>
      </c>
      <c r="M12241" s="10">
        <v>1</v>
      </c>
      <c r="N12241" s="10"/>
      <c r="O12241" s="10"/>
      <c r="P12241" s="10" t="s">
        <v>52066</v>
      </c>
      <c r="Q12241" s="10">
        <v>303.37200000000001</v>
      </c>
      <c r="R12241" s="10" t="s">
        <v>12199</v>
      </c>
      <c r="S12241" s="10" t="s">
        <v>53</v>
      </c>
      <c r="T12241" s="10" t="s">
        <v>6526</v>
      </c>
    </row>
    <row r="12242" spans="1:20" ht="14.5" x14ac:dyDescent="0.35">
      <c r="A12242" s="10" t="s">
        <v>52067</v>
      </c>
      <c r="B12242" s="10" t="str">
        <f>""</f>
        <v/>
      </c>
      <c r="C12242" s="10" t="str">
        <f>"9781633481084"</f>
        <v>9781633481084</v>
      </c>
      <c r="D12242" s="10" t="s">
        <v>43658</v>
      </c>
      <c r="E12242" s="10" t="s">
        <v>52068</v>
      </c>
      <c r="F12242" s="10" t="s">
        <v>52069</v>
      </c>
      <c r="G12242" s="10" t="s">
        <v>6317</v>
      </c>
      <c r="H12242" s="11">
        <v>43510</v>
      </c>
      <c r="I12242" s="10">
        <v>2019</v>
      </c>
      <c r="J12242" s="10" t="s">
        <v>52068</v>
      </c>
      <c r="K12242" s="10">
        <v>44</v>
      </c>
      <c r="L12242" s="10" t="s">
        <v>52070</v>
      </c>
      <c r="M12242" s="10"/>
      <c r="N12242" s="10"/>
      <c r="O12242" s="10"/>
      <c r="P12242" s="10" t="s">
        <v>52071</v>
      </c>
      <c r="Q12242" s="10">
        <v>658.81200000000001</v>
      </c>
      <c r="R12242" s="10" t="s">
        <v>52072</v>
      </c>
      <c r="S12242" s="10" t="s">
        <v>53</v>
      </c>
      <c r="T12242" s="10" t="s">
        <v>6660</v>
      </c>
    </row>
    <row r="12243" spans="1:20" ht="14.5" x14ac:dyDescent="0.35">
      <c r="A12243" s="10" t="s">
        <v>52073</v>
      </c>
      <c r="B12243" s="10" t="str">
        <f>""</f>
        <v/>
      </c>
      <c r="C12243" s="10" t="str">
        <f>"9781633481077"</f>
        <v>9781633481077</v>
      </c>
      <c r="D12243" s="10" t="s">
        <v>43658</v>
      </c>
      <c r="E12243" s="10" t="s">
        <v>52068</v>
      </c>
      <c r="F12243" s="10" t="s">
        <v>52069</v>
      </c>
      <c r="G12243" s="10" t="s">
        <v>6317</v>
      </c>
      <c r="H12243" s="11">
        <v>43510</v>
      </c>
      <c r="I12243" s="10">
        <v>2019</v>
      </c>
      <c r="J12243" s="10" t="s">
        <v>52068</v>
      </c>
      <c r="K12243" s="10">
        <v>47</v>
      </c>
      <c r="L12243" s="10" t="s">
        <v>52070</v>
      </c>
      <c r="M12243" s="10"/>
      <c r="N12243" s="10"/>
      <c r="O12243" s="10"/>
      <c r="P12243" s="10" t="s">
        <v>52074</v>
      </c>
      <c r="Q12243" s="10">
        <v>384.55799999999999</v>
      </c>
      <c r="R12243" s="10" t="s">
        <v>52075</v>
      </c>
      <c r="S12243" s="10" t="s">
        <v>53</v>
      </c>
      <c r="T12243" s="10" t="s">
        <v>46441</v>
      </c>
    </row>
    <row r="12244" spans="1:20" ht="14.5" x14ac:dyDescent="0.35">
      <c r="A12244" s="10" t="s">
        <v>52076</v>
      </c>
      <c r="B12244" s="10" t="str">
        <f>"9781928480709"</f>
        <v>9781928480709</v>
      </c>
      <c r="C12244" s="10" t="str">
        <f>"9781928480716"</f>
        <v>9781928480716</v>
      </c>
      <c r="D12244" s="10" t="s">
        <v>51836</v>
      </c>
      <c r="E12244" s="10" t="s">
        <v>51836</v>
      </c>
      <c r="F12244" s="10" t="s">
        <v>51837</v>
      </c>
      <c r="G12244" s="10" t="s">
        <v>24826</v>
      </c>
      <c r="H12244" s="11">
        <v>44123</v>
      </c>
      <c r="I12244" s="10">
        <v>2020</v>
      </c>
      <c r="J12244" s="10" t="s">
        <v>51836</v>
      </c>
      <c r="K12244" s="10">
        <v>287</v>
      </c>
      <c r="L12244" s="10" t="s">
        <v>52077</v>
      </c>
      <c r="M12244" s="10">
        <v>1</v>
      </c>
      <c r="N12244" s="10"/>
      <c r="O12244" s="10"/>
      <c r="P12244" s="10" t="s">
        <v>52078</v>
      </c>
      <c r="Q12244" s="10">
        <v>379.6</v>
      </c>
      <c r="R12244" s="10" t="s">
        <v>52079</v>
      </c>
      <c r="S12244" s="10" t="s">
        <v>53</v>
      </c>
      <c r="T12244" s="10" t="s">
        <v>54</v>
      </c>
    </row>
    <row r="12245" spans="1:20" ht="14.5" x14ac:dyDescent="0.35">
      <c r="A12245" s="10" t="s">
        <v>52080</v>
      </c>
      <c r="B12245" s="10" t="str">
        <f>"9789004445758"</f>
        <v>9789004445758</v>
      </c>
      <c r="C12245" s="10" t="str">
        <f>"9789004445765"</f>
        <v>9789004445765</v>
      </c>
      <c r="D12245" s="10" t="s">
        <v>8564</v>
      </c>
      <c r="E12245" s="10" t="s">
        <v>8565</v>
      </c>
      <c r="F12245" s="10" t="s">
        <v>1420</v>
      </c>
      <c r="G12245" s="10" t="s">
        <v>6317</v>
      </c>
      <c r="H12245" s="11">
        <v>44133</v>
      </c>
      <c r="I12245" s="10">
        <v>2021</v>
      </c>
      <c r="J12245" s="10" t="s">
        <v>33259</v>
      </c>
      <c r="K12245" s="10">
        <v>228</v>
      </c>
      <c r="L12245" s="10" t="s">
        <v>52081</v>
      </c>
      <c r="M12245" s="10">
        <v>1</v>
      </c>
      <c r="N12245" s="10" t="s">
        <v>33663</v>
      </c>
      <c r="O12245" s="10">
        <v>37</v>
      </c>
      <c r="P12245" s="10" t="s">
        <v>52082</v>
      </c>
      <c r="Q12245" s="10">
        <v>813.6</v>
      </c>
      <c r="R12245" s="10" t="s">
        <v>52083</v>
      </c>
      <c r="S12245" s="10" t="s">
        <v>53</v>
      </c>
      <c r="T12245" s="10" t="s">
        <v>1166</v>
      </c>
    </row>
    <row r="12246" spans="1:20" ht="14.5" x14ac:dyDescent="0.35">
      <c r="A12246" s="10" t="s">
        <v>52084</v>
      </c>
      <c r="B12246" s="10" t="str">
        <f>"9789004426955"</f>
        <v>9789004426955</v>
      </c>
      <c r="C12246" s="10" t="str">
        <f>"9789004443419"</f>
        <v>9789004443419</v>
      </c>
      <c r="D12246" s="10" t="s">
        <v>8564</v>
      </c>
      <c r="E12246" s="10" t="s">
        <v>8565</v>
      </c>
      <c r="F12246" s="10" t="s">
        <v>1420</v>
      </c>
      <c r="G12246" s="10" t="s">
        <v>6317</v>
      </c>
      <c r="H12246" s="11">
        <v>44098</v>
      </c>
      <c r="I12246" s="10">
        <v>2021</v>
      </c>
      <c r="J12246" s="10" t="s">
        <v>33259</v>
      </c>
      <c r="K12246" s="10">
        <v>228</v>
      </c>
      <c r="L12246" s="10" t="s">
        <v>52085</v>
      </c>
      <c r="M12246" s="10">
        <v>1</v>
      </c>
      <c r="N12246" s="10" t="s">
        <v>48589</v>
      </c>
      <c r="O12246" s="10">
        <v>10</v>
      </c>
      <c r="P12246" s="10"/>
      <c r="Q12246" s="10"/>
      <c r="R12246" s="10" t="s">
        <v>52086</v>
      </c>
      <c r="S12246" s="10" t="s">
        <v>53</v>
      </c>
      <c r="T12246" s="10" t="s">
        <v>54</v>
      </c>
    </row>
    <row r="12247" spans="1:20" ht="14.5" x14ac:dyDescent="0.35">
      <c r="A12247" s="10" t="s">
        <v>52087</v>
      </c>
      <c r="B12247" s="10" t="str">
        <f>"9781119756866"</f>
        <v>9781119756866</v>
      </c>
      <c r="C12247" s="10" t="str">
        <f>"9781119756880"</f>
        <v>9781119756880</v>
      </c>
      <c r="D12247" s="10" t="s">
        <v>6322</v>
      </c>
      <c r="E12247" s="10" t="s">
        <v>6323</v>
      </c>
      <c r="F12247" s="10" t="s">
        <v>4423</v>
      </c>
      <c r="G12247" s="10" t="s">
        <v>6317</v>
      </c>
      <c r="H12247" s="11">
        <v>44152</v>
      </c>
      <c r="I12247" s="10">
        <v>2021</v>
      </c>
      <c r="J12247" s="10" t="s">
        <v>25195</v>
      </c>
      <c r="K12247" s="10">
        <v>419</v>
      </c>
      <c r="L12247" s="10" t="s">
        <v>52088</v>
      </c>
      <c r="M12247" s="10">
        <v>2</v>
      </c>
      <c r="N12247" s="10"/>
      <c r="O12247" s="10"/>
      <c r="P12247" s="10"/>
      <c r="Q12247" s="10">
        <v>371.33446780000003</v>
      </c>
      <c r="R12247" s="10" t="s">
        <v>52089</v>
      </c>
      <c r="S12247" s="10" t="s">
        <v>53</v>
      </c>
      <c r="T12247" s="10" t="s">
        <v>54</v>
      </c>
    </row>
    <row r="12248" spans="1:20" ht="14.5" x14ac:dyDescent="0.35">
      <c r="A12248" s="10" t="s">
        <v>52090</v>
      </c>
      <c r="B12248" s="10" t="str">
        <f>"9781421439389"</f>
        <v>9781421439389</v>
      </c>
      <c r="C12248" s="10" t="str">
        <f>"9781421439396"</f>
        <v>9781421439396</v>
      </c>
      <c r="D12248" s="10" t="s">
        <v>884</v>
      </c>
      <c r="E12248" s="10" t="s">
        <v>884</v>
      </c>
      <c r="F12248" s="10" t="s">
        <v>885</v>
      </c>
      <c r="G12248" s="10" t="s">
        <v>6317</v>
      </c>
      <c r="H12248" s="11">
        <v>44159</v>
      </c>
      <c r="I12248" s="10">
        <v>2020</v>
      </c>
      <c r="J12248" s="10" t="s">
        <v>884</v>
      </c>
      <c r="K12248" s="10">
        <v>269</v>
      </c>
      <c r="L12248" s="10" t="s">
        <v>52091</v>
      </c>
      <c r="M12248" s="10">
        <v>1</v>
      </c>
      <c r="N12248" s="10"/>
      <c r="O12248" s="10"/>
      <c r="P12248" s="10" t="s">
        <v>52092</v>
      </c>
      <c r="Q12248" s="10">
        <v>378.00819999999999</v>
      </c>
      <c r="R12248" s="10" t="s">
        <v>52093</v>
      </c>
      <c r="S12248" s="10" t="s">
        <v>53</v>
      </c>
      <c r="T12248" s="10" t="s">
        <v>54</v>
      </c>
    </row>
    <row r="12249" spans="1:20" ht="14.5" x14ac:dyDescent="0.35">
      <c r="A12249" s="10" t="s">
        <v>52094</v>
      </c>
      <c r="B12249" s="10" t="str">
        <f>"9780367205140"</f>
        <v>9780367205140</v>
      </c>
      <c r="C12249" s="10" t="str">
        <f>"9780429520549"</f>
        <v>9780429520549</v>
      </c>
      <c r="D12249" s="10" t="s">
        <v>6350</v>
      </c>
      <c r="E12249" s="10" t="s">
        <v>6351</v>
      </c>
      <c r="F12249" s="10" t="s">
        <v>748</v>
      </c>
      <c r="G12249" s="10" t="s">
        <v>6352</v>
      </c>
      <c r="H12249" s="11">
        <v>44165</v>
      </c>
      <c r="I12249" s="10">
        <v>2021</v>
      </c>
      <c r="J12249" s="10" t="s">
        <v>6351</v>
      </c>
      <c r="K12249" s="10">
        <v>261</v>
      </c>
      <c r="L12249" s="10" t="s">
        <v>52095</v>
      </c>
      <c r="M12249" s="10">
        <v>1</v>
      </c>
      <c r="N12249" s="10"/>
      <c r="O12249" s="10"/>
      <c r="P12249" s="10" t="s">
        <v>52096</v>
      </c>
      <c r="Q12249" s="10">
        <v>613</v>
      </c>
      <c r="R12249" s="10" t="s">
        <v>52097</v>
      </c>
      <c r="S12249" s="10" t="s">
        <v>53</v>
      </c>
      <c r="T12249" s="10" t="s">
        <v>8493</v>
      </c>
    </row>
    <row r="12250" spans="1:20" ht="14.5" x14ac:dyDescent="0.35">
      <c r="A12250" s="10" t="s">
        <v>52098</v>
      </c>
      <c r="B12250" s="10" t="str">
        <f>"9789004414730"</f>
        <v>9789004414730</v>
      </c>
      <c r="C12250" s="10" t="str">
        <f>"9789004445253"</f>
        <v>9789004445253</v>
      </c>
      <c r="D12250" s="10" t="s">
        <v>8564</v>
      </c>
      <c r="E12250" s="10" t="s">
        <v>8565</v>
      </c>
      <c r="F12250" s="10" t="s">
        <v>1420</v>
      </c>
      <c r="G12250" s="10" t="s">
        <v>6317</v>
      </c>
      <c r="H12250" s="11">
        <v>44133</v>
      </c>
      <c r="I12250" s="10">
        <v>2021</v>
      </c>
      <c r="J12250" s="10" t="s">
        <v>33259</v>
      </c>
      <c r="K12250" s="10">
        <v>200</v>
      </c>
      <c r="L12250" s="10" t="s">
        <v>52099</v>
      </c>
      <c r="M12250" s="10">
        <v>1</v>
      </c>
      <c r="N12250" s="10" t="s">
        <v>33856</v>
      </c>
      <c r="O12250" s="10">
        <v>7</v>
      </c>
      <c r="P12250" s="10"/>
      <c r="Q12250" s="10" t="s">
        <v>9584</v>
      </c>
      <c r="R12250" s="10"/>
      <c r="S12250" s="10" t="s">
        <v>53</v>
      </c>
      <c r="T12250" s="10" t="s">
        <v>54</v>
      </c>
    </row>
    <row r="12251" spans="1:20" ht="14.5" x14ac:dyDescent="0.35">
      <c r="A12251" s="10" t="s">
        <v>52100</v>
      </c>
      <c r="B12251" s="10" t="str">
        <f>"9789004420649"</f>
        <v>9789004420649</v>
      </c>
      <c r="C12251" s="10" t="str">
        <f>"9789004434783"</f>
        <v>9789004434783</v>
      </c>
      <c r="D12251" s="10" t="s">
        <v>8564</v>
      </c>
      <c r="E12251" s="10" t="s">
        <v>8565</v>
      </c>
      <c r="F12251" s="10" t="s">
        <v>1420</v>
      </c>
      <c r="G12251" s="10" t="s">
        <v>6317</v>
      </c>
      <c r="H12251" s="11">
        <v>44133</v>
      </c>
      <c r="I12251" s="10">
        <v>2021</v>
      </c>
      <c r="J12251" s="10" t="s">
        <v>33259</v>
      </c>
      <c r="K12251" s="10">
        <v>224</v>
      </c>
      <c r="L12251" s="10" t="s">
        <v>52101</v>
      </c>
      <c r="M12251" s="10">
        <v>1</v>
      </c>
      <c r="N12251" s="10" t="s">
        <v>33307</v>
      </c>
      <c r="O12251" s="10">
        <v>47</v>
      </c>
      <c r="P12251" s="10"/>
      <c r="Q12251" s="10"/>
      <c r="R12251" s="10"/>
      <c r="S12251" s="10" t="s">
        <v>53</v>
      </c>
      <c r="T12251" s="10" t="s">
        <v>54</v>
      </c>
    </row>
    <row r="12252" spans="1:20" ht="14.5" x14ac:dyDescent="0.35">
      <c r="A12252" s="10" t="s">
        <v>52102</v>
      </c>
      <c r="B12252" s="10" t="str">
        <f>"9789004391215"</f>
        <v>9789004391215</v>
      </c>
      <c r="C12252" s="10" t="str">
        <f>"9789004445178"</f>
        <v>9789004445178</v>
      </c>
      <c r="D12252" s="10" t="s">
        <v>8564</v>
      </c>
      <c r="E12252" s="10" t="s">
        <v>8565</v>
      </c>
      <c r="F12252" s="10" t="s">
        <v>1420</v>
      </c>
      <c r="G12252" s="10" t="s">
        <v>6317</v>
      </c>
      <c r="H12252" s="11">
        <v>44133</v>
      </c>
      <c r="I12252" s="10">
        <v>2021</v>
      </c>
      <c r="J12252" s="10" t="s">
        <v>33259</v>
      </c>
      <c r="K12252" s="10">
        <v>142</v>
      </c>
      <c r="L12252" s="10" t="s">
        <v>52099</v>
      </c>
      <c r="M12252" s="10">
        <v>1</v>
      </c>
      <c r="N12252" s="10" t="s">
        <v>33856</v>
      </c>
      <c r="O12252" s="10">
        <v>6</v>
      </c>
      <c r="P12252" s="10"/>
      <c r="Q12252" s="10" t="s">
        <v>9584</v>
      </c>
      <c r="R12252" s="10"/>
      <c r="S12252" s="10" t="s">
        <v>53</v>
      </c>
      <c r="T12252" s="10" t="s">
        <v>54</v>
      </c>
    </row>
    <row r="12253" spans="1:20" ht="14.5" x14ac:dyDescent="0.35">
      <c r="A12253" s="10" t="s">
        <v>52103</v>
      </c>
      <c r="B12253" s="10" t="str">
        <f>"9781781194331"</f>
        <v>9781781194331</v>
      </c>
      <c r="C12253" s="10" t="str">
        <f>"9781781194317"</f>
        <v>9781781194317</v>
      </c>
      <c r="D12253" s="10" t="s">
        <v>43658</v>
      </c>
      <c r="E12253" s="10" t="s">
        <v>52104</v>
      </c>
      <c r="F12253" s="10" t="s">
        <v>31602</v>
      </c>
      <c r="G12253" s="10" t="s">
        <v>49058</v>
      </c>
      <c r="H12253" s="11">
        <v>44075</v>
      </c>
      <c r="I12253" s="10">
        <v>2020</v>
      </c>
      <c r="J12253" s="10" t="s">
        <v>52104</v>
      </c>
      <c r="K12253" s="10">
        <v>798</v>
      </c>
      <c r="L12253" s="10" t="s">
        <v>52105</v>
      </c>
      <c r="M12253" s="10"/>
      <c r="N12253" s="10"/>
      <c r="O12253" s="10"/>
      <c r="P12253" s="10" t="s">
        <v>52106</v>
      </c>
      <c r="Q12253" s="10">
        <v>658.31240000000003</v>
      </c>
      <c r="R12253" s="10" t="s">
        <v>52107</v>
      </c>
      <c r="S12253" s="10" t="s">
        <v>53</v>
      </c>
      <c r="T12253" s="10" t="s">
        <v>6660</v>
      </c>
    </row>
    <row r="12254" spans="1:20" ht="14.5" x14ac:dyDescent="0.35">
      <c r="A12254" s="10" t="s">
        <v>52108</v>
      </c>
      <c r="B12254" s="10" t="str">
        <f>"9781839827136"</f>
        <v>9781839827136</v>
      </c>
      <c r="C12254" s="10" t="str">
        <f>"9781839827129"</f>
        <v>9781839827129</v>
      </c>
      <c r="D12254" s="10" t="s">
        <v>8699</v>
      </c>
      <c r="E12254" s="10" t="s">
        <v>8699</v>
      </c>
      <c r="F12254" s="10" t="s">
        <v>559</v>
      </c>
      <c r="G12254" s="10" t="s">
        <v>6352</v>
      </c>
      <c r="H12254" s="11">
        <v>44147</v>
      </c>
      <c r="I12254" s="10">
        <v>2021</v>
      </c>
      <c r="J12254" s="10" t="s">
        <v>8699</v>
      </c>
      <c r="K12254" s="10">
        <v>172</v>
      </c>
      <c r="L12254" s="10" t="s">
        <v>51762</v>
      </c>
      <c r="M12254" s="10">
        <v>1</v>
      </c>
      <c r="N12254" s="10" t="s">
        <v>29541</v>
      </c>
      <c r="O12254" s="10">
        <v>33</v>
      </c>
      <c r="P12254" s="10" t="s">
        <v>27182</v>
      </c>
      <c r="Q12254" s="10">
        <v>378.17344678000001</v>
      </c>
      <c r="R12254" s="10" t="s">
        <v>52109</v>
      </c>
      <c r="S12254" s="10" t="s">
        <v>53</v>
      </c>
      <c r="T12254" s="10" t="s">
        <v>54</v>
      </c>
    </row>
    <row r="12255" spans="1:20" ht="14.5" x14ac:dyDescent="0.35">
      <c r="A12255" s="10" t="s">
        <v>52110</v>
      </c>
      <c r="B12255" s="10" t="str">
        <f>"9781938113550"</f>
        <v>9781938113550</v>
      </c>
      <c r="C12255" s="10" t="str">
        <f>"9781938113567"</f>
        <v>9781938113567</v>
      </c>
      <c r="D12255" s="10" t="s">
        <v>9533</v>
      </c>
      <c r="E12255" s="10" t="s">
        <v>5950</v>
      </c>
      <c r="F12255" s="10" t="s">
        <v>25348</v>
      </c>
      <c r="G12255" s="10" t="s">
        <v>6317</v>
      </c>
      <c r="H12255" s="11">
        <v>44138</v>
      </c>
      <c r="I12255" s="10">
        <v>2020</v>
      </c>
      <c r="J12255" s="10" t="s">
        <v>5950</v>
      </c>
      <c r="K12255" s="10">
        <v>187</v>
      </c>
      <c r="L12255" s="10" t="s">
        <v>52111</v>
      </c>
      <c r="M12255" s="10">
        <v>1</v>
      </c>
      <c r="N12255" s="10"/>
      <c r="O12255" s="10"/>
      <c r="P12255" s="10" t="s">
        <v>52112</v>
      </c>
      <c r="Q12255" s="10">
        <v>372.21</v>
      </c>
      <c r="R12255" s="10" t="s">
        <v>24042</v>
      </c>
      <c r="S12255" s="10" t="s">
        <v>53</v>
      </c>
      <c r="T12255" s="10" t="s">
        <v>54</v>
      </c>
    </row>
    <row r="12256" spans="1:20" ht="14.5" x14ac:dyDescent="0.35">
      <c r="A12256" s="10" t="s">
        <v>52113</v>
      </c>
      <c r="B12256" s="10" t="str">
        <f>"9781421439037"</f>
        <v>9781421439037</v>
      </c>
      <c r="C12256" s="10" t="str">
        <f>"9781421439044"</f>
        <v>9781421439044</v>
      </c>
      <c r="D12256" s="10" t="s">
        <v>884</v>
      </c>
      <c r="E12256" s="10" t="s">
        <v>884</v>
      </c>
      <c r="F12256" s="10" t="s">
        <v>885</v>
      </c>
      <c r="G12256" s="10" t="s">
        <v>6317</v>
      </c>
      <c r="H12256" s="11">
        <v>44138</v>
      </c>
      <c r="I12256" s="10">
        <v>2020</v>
      </c>
      <c r="J12256" s="10" t="s">
        <v>884</v>
      </c>
      <c r="K12256" s="10">
        <v>337</v>
      </c>
      <c r="L12256" s="10" t="s">
        <v>52114</v>
      </c>
      <c r="M12256" s="10">
        <v>1</v>
      </c>
      <c r="N12256" s="10"/>
      <c r="O12256" s="10"/>
      <c r="P12256" s="10" t="s">
        <v>52115</v>
      </c>
      <c r="Q12256" s="10" t="s">
        <v>7307</v>
      </c>
      <c r="R12256" s="10" t="s">
        <v>52116</v>
      </c>
      <c r="S12256" s="10" t="s">
        <v>53</v>
      </c>
      <c r="T12256" s="10" t="s">
        <v>54</v>
      </c>
    </row>
    <row r="12257" spans="1:20" ht="14.5" x14ac:dyDescent="0.35">
      <c r="A12257" s="10" t="s">
        <v>52117</v>
      </c>
      <c r="B12257" s="10" t="str">
        <f>"9781786305794"</f>
        <v>9781786305794</v>
      </c>
      <c r="C12257" s="10" t="str">
        <f>"9781119788447"</f>
        <v>9781119788447</v>
      </c>
      <c r="D12257" s="10" t="s">
        <v>6322</v>
      </c>
      <c r="E12257" s="10" t="s">
        <v>6323</v>
      </c>
      <c r="F12257" s="10" t="s">
        <v>4423</v>
      </c>
      <c r="G12257" s="10" t="s">
        <v>6317</v>
      </c>
      <c r="H12257" s="11">
        <v>44187</v>
      </c>
      <c r="I12257" s="10">
        <v>2021</v>
      </c>
      <c r="J12257" s="10" t="s">
        <v>29411</v>
      </c>
      <c r="K12257" s="10">
        <v>235</v>
      </c>
      <c r="L12257" s="10" t="s">
        <v>52118</v>
      </c>
      <c r="M12257" s="10">
        <v>1</v>
      </c>
      <c r="N12257" s="10"/>
      <c r="O12257" s="10"/>
      <c r="P12257" s="10"/>
      <c r="Q12257" s="10">
        <v>306.45</v>
      </c>
      <c r="R12257" s="10" t="s">
        <v>52119</v>
      </c>
      <c r="S12257" s="10" t="s">
        <v>53</v>
      </c>
      <c r="T12257" s="10" t="s">
        <v>6363</v>
      </c>
    </row>
    <row r="12258" spans="1:20" ht="14.5" x14ac:dyDescent="0.35">
      <c r="A12258" s="10" t="s">
        <v>52120</v>
      </c>
      <c r="B12258" s="10" t="str">
        <f>"9781786305718"</f>
        <v>9781786305718</v>
      </c>
      <c r="C12258" s="10" t="str">
        <f>"9781119788416"</f>
        <v>9781119788416</v>
      </c>
      <c r="D12258" s="10" t="s">
        <v>6322</v>
      </c>
      <c r="E12258" s="10" t="s">
        <v>6323</v>
      </c>
      <c r="F12258" s="10" t="s">
        <v>4423</v>
      </c>
      <c r="G12258" s="10" t="s">
        <v>6317</v>
      </c>
      <c r="H12258" s="11">
        <v>44180</v>
      </c>
      <c r="I12258" s="10">
        <v>2020</v>
      </c>
      <c r="J12258" s="10" t="s">
        <v>29411</v>
      </c>
      <c r="K12258" s="10">
        <v>257</v>
      </c>
      <c r="L12258" s="10" t="s">
        <v>52121</v>
      </c>
      <c r="M12258" s="10">
        <v>1</v>
      </c>
      <c r="N12258" s="10"/>
      <c r="O12258" s="10"/>
      <c r="P12258" s="10"/>
      <c r="Q12258" s="10"/>
      <c r="R12258" s="10" t="s">
        <v>52122</v>
      </c>
      <c r="S12258" s="10" t="s">
        <v>53</v>
      </c>
      <c r="T12258" s="10" t="s">
        <v>6472</v>
      </c>
    </row>
    <row r="12259" spans="1:20" ht="14.5" x14ac:dyDescent="0.35">
      <c r="A12259" s="10" t="s">
        <v>52123</v>
      </c>
      <c r="B12259" s="10" t="str">
        <f>""</f>
        <v/>
      </c>
      <c r="C12259" s="10" t="str">
        <f>"9780935302905"</f>
        <v>9780935302905</v>
      </c>
      <c r="D12259" s="10" t="s">
        <v>31256</v>
      </c>
      <c r="E12259" s="10" t="s">
        <v>279</v>
      </c>
      <c r="F12259" s="10" t="s">
        <v>31258</v>
      </c>
      <c r="G12259" s="10" t="s">
        <v>6317</v>
      </c>
      <c r="H12259" s="11">
        <v>44925</v>
      </c>
      <c r="I12259" s="10">
        <v>2020</v>
      </c>
      <c r="J12259" s="10" t="s">
        <v>279</v>
      </c>
      <c r="K12259" s="10">
        <v>359</v>
      </c>
      <c r="L12259" s="10" t="s">
        <v>52124</v>
      </c>
      <c r="M12259" s="10">
        <v>1</v>
      </c>
      <c r="N12259" s="10"/>
      <c r="O12259" s="10"/>
      <c r="P12259" s="10"/>
      <c r="Q12259" s="10">
        <v>378</v>
      </c>
      <c r="R12259" s="10" t="s">
        <v>52125</v>
      </c>
      <c r="S12259" s="10" t="s">
        <v>53</v>
      </c>
      <c r="T12259" s="10" t="s">
        <v>54</v>
      </c>
    </row>
    <row r="12260" spans="1:20" ht="14.5" x14ac:dyDescent="0.35">
      <c r="A12260" s="10" t="s">
        <v>52126</v>
      </c>
      <c r="B12260" s="10" t="str">
        <f>"9789027207555"</f>
        <v>9789027207555</v>
      </c>
      <c r="C12260" s="10" t="str">
        <f>"9789027260741"</f>
        <v>9789027260741</v>
      </c>
      <c r="D12260" s="10" t="s">
        <v>17335</v>
      </c>
      <c r="E12260" s="10" t="s">
        <v>17336</v>
      </c>
      <c r="F12260" s="10" t="s">
        <v>17385</v>
      </c>
      <c r="G12260" s="10" t="s">
        <v>9233</v>
      </c>
      <c r="H12260" s="11">
        <v>44147</v>
      </c>
      <c r="I12260" s="10">
        <v>2020</v>
      </c>
      <c r="J12260" s="10" t="s">
        <v>17336</v>
      </c>
      <c r="K12260" s="10">
        <v>215</v>
      </c>
      <c r="L12260" s="10" t="s">
        <v>52127</v>
      </c>
      <c r="M12260" s="10">
        <v>1</v>
      </c>
      <c r="N12260" s="10" t="s">
        <v>51681</v>
      </c>
      <c r="O12260" s="10">
        <v>111</v>
      </c>
      <c r="P12260" s="10" t="s">
        <v>52128</v>
      </c>
      <c r="Q12260" s="10">
        <v>418.02</v>
      </c>
      <c r="R12260" s="10" t="s">
        <v>52129</v>
      </c>
      <c r="S12260" s="10" t="s">
        <v>53</v>
      </c>
      <c r="T12260" s="10" t="s">
        <v>6616</v>
      </c>
    </row>
    <row r="12261" spans="1:20" ht="14.5" x14ac:dyDescent="0.35">
      <c r="A12261" s="10" t="s">
        <v>52130</v>
      </c>
      <c r="B12261" s="10" t="str">
        <f>"9781553395546"</f>
        <v>9781553395546</v>
      </c>
      <c r="C12261" s="10" t="str">
        <f>"9781553395560"</f>
        <v>9781553395560</v>
      </c>
      <c r="D12261" s="10" t="s">
        <v>36164</v>
      </c>
      <c r="E12261" s="10" t="s">
        <v>52131</v>
      </c>
      <c r="F12261" s="10" t="s">
        <v>4536</v>
      </c>
      <c r="G12261" s="10" t="s">
        <v>9536</v>
      </c>
      <c r="H12261" s="11">
        <v>44134</v>
      </c>
      <c r="I12261" s="10">
        <v>2020</v>
      </c>
      <c r="J12261" s="10" t="s">
        <v>52131</v>
      </c>
      <c r="K12261" s="10">
        <v>319</v>
      </c>
      <c r="L12261" s="10" t="s">
        <v>52132</v>
      </c>
      <c r="M12261" s="10">
        <v>1</v>
      </c>
      <c r="N12261" s="10" t="s">
        <v>41811</v>
      </c>
      <c r="O12261" s="10">
        <v>201</v>
      </c>
      <c r="P12261" s="10" t="s">
        <v>52133</v>
      </c>
      <c r="Q12261" s="10">
        <v>379.15499999999997</v>
      </c>
      <c r="R12261" s="10" t="s">
        <v>52134</v>
      </c>
      <c r="S12261" s="10" t="s">
        <v>53</v>
      </c>
      <c r="T12261" s="10" t="s">
        <v>54</v>
      </c>
    </row>
    <row r="12262" spans="1:20" ht="14.5" x14ac:dyDescent="0.35">
      <c r="A12262" s="10" t="s">
        <v>52135</v>
      </c>
      <c r="B12262" s="10" t="str">
        <f>"9781839826733"</f>
        <v>9781839826733</v>
      </c>
      <c r="C12262" s="10" t="str">
        <f>"9781839826740"</f>
        <v>9781839826740</v>
      </c>
      <c r="D12262" s="10" t="s">
        <v>8699</v>
      </c>
      <c r="E12262" s="10" t="s">
        <v>8699</v>
      </c>
      <c r="F12262" s="10" t="s">
        <v>559</v>
      </c>
      <c r="G12262" s="10" t="s">
        <v>6352</v>
      </c>
      <c r="H12262" s="11">
        <v>44151</v>
      </c>
      <c r="I12262" s="10">
        <v>2021</v>
      </c>
      <c r="J12262" s="10" t="s">
        <v>8699</v>
      </c>
      <c r="K12262" s="10">
        <v>211</v>
      </c>
      <c r="L12262" s="10" t="s">
        <v>52136</v>
      </c>
      <c r="M12262" s="10">
        <v>1</v>
      </c>
      <c r="N12262" s="10"/>
      <c r="O12262" s="10"/>
      <c r="P12262" s="10" t="s">
        <v>26825</v>
      </c>
      <c r="Q12262" s="10">
        <v>378.19824999999997</v>
      </c>
      <c r="R12262" s="10" t="s">
        <v>52137</v>
      </c>
      <c r="S12262" s="10" t="s">
        <v>53</v>
      </c>
      <c r="T12262" s="10" t="s">
        <v>54</v>
      </c>
    </row>
    <row r="12263" spans="1:20" ht="14.5" x14ac:dyDescent="0.35">
      <c r="A12263" s="10" t="s">
        <v>52138</v>
      </c>
      <c r="B12263" s="10" t="str">
        <f>"9781951075194"</f>
        <v>9781951075194</v>
      </c>
      <c r="C12263" s="10" t="str">
        <f>"9781951075200"</f>
        <v>9781951075200</v>
      </c>
      <c r="D12263" s="10" t="s">
        <v>37580</v>
      </c>
      <c r="E12263" s="10" t="s">
        <v>37581</v>
      </c>
      <c r="F12263" s="10" t="s">
        <v>37623</v>
      </c>
      <c r="G12263" s="10" t="s">
        <v>6317</v>
      </c>
      <c r="H12263" s="11">
        <v>44155</v>
      </c>
      <c r="I12263" s="10">
        <v>2021</v>
      </c>
      <c r="J12263" s="10" t="s">
        <v>37581</v>
      </c>
      <c r="K12263" s="10">
        <v>136</v>
      </c>
      <c r="L12263" s="10" t="s">
        <v>52139</v>
      </c>
      <c r="M12263" s="10">
        <v>1</v>
      </c>
      <c r="N12263" s="10"/>
      <c r="O12263" s="10"/>
      <c r="P12263" s="10" t="s">
        <v>52140</v>
      </c>
      <c r="Q12263" s="10">
        <v>370.71100000000001</v>
      </c>
      <c r="R12263" s="10" t="s">
        <v>52141</v>
      </c>
      <c r="S12263" s="10" t="s">
        <v>53</v>
      </c>
      <c r="T12263" s="10" t="s">
        <v>54</v>
      </c>
    </row>
    <row r="12264" spans="1:20" ht="14.5" x14ac:dyDescent="0.35">
      <c r="A12264" s="10" t="s">
        <v>52142</v>
      </c>
      <c r="B12264" s="10" t="str">
        <f>"9781913453411"</f>
        <v>9781913453411</v>
      </c>
      <c r="C12264" s="10" t="str">
        <f>"9781913453442"</f>
        <v>9781913453442</v>
      </c>
      <c r="D12264" s="10" t="s">
        <v>9533</v>
      </c>
      <c r="E12264" s="10" t="s">
        <v>26840</v>
      </c>
      <c r="F12264" s="10" t="s">
        <v>44053</v>
      </c>
      <c r="G12264" s="10" t="s">
        <v>6352</v>
      </c>
      <c r="H12264" s="11">
        <v>44147</v>
      </c>
      <c r="I12264" s="10">
        <v>2020</v>
      </c>
      <c r="J12264" s="10" t="s">
        <v>26840</v>
      </c>
      <c r="K12264" s="10">
        <v>118</v>
      </c>
      <c r="L12264" s="10" t="s">
        <v>52143</v>
      </c>
      <c r="M12264" s="10">
        <v>1</v>
      </c>
      <c r="N12264" s="10" t="s">
        <v>50342</v>
      </c>
      <c r="O12264" s="10"/>
      <c r="P12264" s="10" t="s">
        <v>52144</v>
      </c>
      <c r="Q12264" s="10">
        <v>374</v>
      </c>
      <c r="R12264" s="10" t="s">
        <v>52145</v>
      </c>
      <c r="S12264" s="10" t="s">
        <v>53</v>
      </c>
      <c r="T12264" s="10" t="s">
        <v>54</v>
      </c>
    </row>
    <row r="12265" spans="1:20" ht="14.5" x14ac:dyDescent="0.35">
      <c r="A12265" s="10" t="s">
        <v>52146</v>
      </c>
      <c r="B12265" s="10" t="str">
        <f>"9781138680463"</f>
        <v>9781138680463</v>
      </c>
      <c r="C12265" s="10" t="str">
        <f>"9781317190776"</f>
        <v>9781317190776</v>
      </c>
      <c r="D12265" s="10" t="s">
        <v>6350</v>
      </c>
      <c r="E12265" s="10" t="s">
        <v>6351</v>
      </c>
      <c r="F12265" s="10" t="s">
        <v>3967</v>
      </c>
      <c r="G12265" s="10" t="s">
        <v>6352</v>
      </c>
      <c r="H12265" s="11">
        <v>43593</v>
      </c>
      <c r="I12265" s="10">
        <v>2021</v>
      </c>
      <c r="J12265" s="10" t="s">
        <v>6353</v>
      </c>
      <c r="K12265" s="10">
        <v>229</v>
      </c>
      <c r="L12265" s="10" t="s">
        <v>52147</v>
      </c>
      <c r="M12265" s="10">
        <v>1</v>
      </c>
      <c r="N12265" s="10" t="s">
        <v>49689</v>
      </c>
      <c r="O12265" s="10"/>
      <c r="P12265" s="10" t="s">
        <v>52148</v>
      </c>
      <c r="Q12265" s="10">
        <v>158.13</v>
      </c>
      <c r="R12265" s="10" t="s">
        <v>52149</v>
      </c>
      <c r="S12265" s="10" t="s">
        <v>53</v>
      </c>
      <c r="T12265" s="10" t="s">
        <v>8895</v>
      </c>
    </row>
    <row r="12266" spans="1:20" ht="14.5" x14ac:dyDescent="0.35">
      <c r="A12266" s="10" t="s">
        <v>52150</v>
      </c>
      <c r="B12266" s="10" t="str">
        <f>"9789004392892"</f>
        <v>9789004392892</v>
      </c>
      <c r="C12266" s="10" t="str">
        <f>"9789004438064"</f>
        <v>9789004438064</v>
      </c>
      <c r="D12266" s="10" t="s">
        <v>8564</v>
      </c>
      <c r="E12266" s="10" t="s">
        <v>8565</v>
      </c>
      <c r="F12266" s="10" t="s">
        <v>1420</v>
      </c>
      <c r="G12266" s="10" t="s">
        <v>6317</v>
      </c>
      <c r="H12266" s="11">
        <v>44147</v>
      </c>
      <c r="I12266" s="10">
        <v>2021</v>
      </c>
      <c r="J12266" s="10" t="s">
        <v>33259</v>
      </c>
      <c r="K12266" s="10">
        <v>396</v>
      </c>
      <c r="L12266" s="10" t="s">
        <v>52151</v>
      </c>
      <c r="M12266" s="10">
        <v>1</v>
      </c>
      <c r="N12266" s="10" t="s">
        <v>44388</v>
      </c>
      <c r="O12266" s="10">
        <v>8</v>
      </c>
      <c r="P12266" s="10"/>
      <c r="Q12266" s="10"/>
      <c r="R12266" s="10" t="s">
        <v>52152</v>
      </c>
      <c r="S12266" s="10" t="s">
        <v>53</v>
      </c>
      <c r="T12266" s="10" t="s">
        <v>54</v>
      </c>
    </row>
    <row r="12267" spans="1:20" ht="14.5" x14ac:dyDescent="0.35">
      <c r="A12267" s="10" t="s">
        <v>52153</v>
      </c>
      <c r="B12267" s="10" t="str">
        <f>"9789004426054"</f>
        <v>9789004426054</v>
      </c>
      <c r="C12267" s="10" t="str">
        <f>"9789004446182"</f>
        <v>9789004446182</v>
      </c>
      <c r="D12267" s="10" t="s">
        <v>8564</v>
      </c>
      <c r="E12267" s="10" t="s">
        <v>8565</v>
      </c>
      <c r="F12267" s="10" t="s">
        <v>1420</v>
      </c>
      <c r="G12267" s="10" t="s">
        <v>6317</v>
      </c>
      <c r="H12267" s="11">
        <v>44147</v>
      </c>
      <c r="I12267" s="10">
        <v>2021</v>
      </c>
      <c r="J12267" s="10" t="s">
        <v>33259</v>
      </c>
      <c r="K12267" s="10">
        <v>178</v>
      </c>
      <c r="L12267" s="10" t="s">
        <v>52154</v>
      </c>
      <c r="M12267" s="10">
        <v>1</v>
      </c>
      <c r="N12267" s="10" t="s">
        <v>50183</v>
      </c>
      <c r="O12267" s="10">
        <v>5</v>
      </c>
      <c r="P12267" s="10" t="s">
        <v>52155</v>
      </c>
      <c r="Q12267" s="10">
        <v>304.87299999999999</v>
      </c>
      <c r="R12267" s="10" t="s">
        <v>52156</v>
      </c>
      <c r="S12267" s="10" t="s">
        <v>53</v>
      </c>
      <c r="T12267" s="10" t="s">
        <v>13527</v>
      </c>
    </row>
    <row r="12268" spans="1:20" ht="14.5" x14ac:dyDescent="0.35">
      <c r="A12268" s="10" t="s">
        <v>52157</v>
      </c>
      <c r="B12268" s="10" t="str">
        <f>"9789004399785"</f>
        <v>9789004399785</v>
      </c>
      <c r="C12268" s="10" t="str">
        <f>"9789004399792"</f>
        <v>9789004399792</v>
      </c>
      <c r="D12268" s="10" t="s">
        <v>8564</v>
      </c>
      <c r="E12268" s="10" t="s">
        <v>8565</v>
      </c>
      <c r="F12268" s="10" t="s">
        <v>1420</v>
      </c>
      <c r="G12268" s="10" t="s">
        <v>6317</v>
      </c>
      <c r="H12268" s="11">
        <v>44147</v>
      </c>
      <c r="I12268" s="10">
        <v>2021</v>
      </c>
      <c r="J12268" s="10" t="s">
        <v>33259</v>
      </c>
      <c r="K12268" s="10">
        <v>326</v>
      </c>
      <c r="L12268" s="10" t="s">
        <v>52158</v>
      </c>
      <c r="M12268" s="10">
        <v>1</v>
      </c>
      <c r="N12268" s="10"/>
      <c r="O12268" s="10"/>
      <c r="P12268" s="10" t="s">
        <v>52159</v>
      </c>
      <c r="Q12268" s="10">
        <v>302.2</v>
      </c>
      <c r="R12268" s="10" t="s">
        <v>52160</v>
      </c>
      <c r="S12268" s="10" t="s">
        <v>53</v>
      </c>
      <c r="T12268" s="10" t="s">
        <v>6363</v>
      </c>
    </row>
    <row r="12269" spans="1:20" ht="14.5" x14ac:dyDescent="0.35">
      <c r="A12269" s="10" t="s">
        <v>52161</v>
      </c>
      <c r="B12269" s="10" t="str">
        <f>"9781800434813"</f>
        <v>9781800434813</v>
      </c>
      <c r="C12269" s="10" t="str">
        <f>"9781800434820"</f>
        <v>9781800434820</v>
      </c>
      <c r="D12269" s="10" t="s">
        <v>8699</v>
      </c>
      <c r="E12269" s="10" t="s">
        <v>8699</v>
      </c>
      <c r="F12269" s="10" t="s">
        <v>559</v>
      </c>
      <c r="G12269" s="10" t="s">
        <v>6352</v>
      </c>
      <c r="H12269" s="11">
        <v>44158</v>
      </c>
      <c r="I12269" s="10">
        <v>2021</v>
      </c>
      <c r="J12269" s="10" t="s">
        <v>8699</v>
      </c>
      <c r="K12269" s="10">
        <v>207</v>
      </c>
      <c r="L12269" s="10" t="s">
        <v>48673</v>
      </c>
      <c r="M12269" s="10">
        <v>1</v>
      </c>
      <c r="N12269" s="10" t="s">
        <v>29541</v>
      </c>
      <c r="O12269" s="10">
        <v>34</v>
      </c>
      <c r="P12269" s="10" t="s">
        <v>27182</v>
      </c>
      <c r="Q12269" s="10" t="s">
        <v>20476</v>
      </c>
      <c r="R12269" s="10" t="s">
        <v>52162</v>
      </c>
      <c r="S12269" s="10" t="s">
        <v>53</v>
      </c>
      <c r="T12269" s="10" t="s">
        <v>54</v>
      </c>
    </row>
    <row r="12270" spans="1:20" ht="14.5" x14ac:dyDescent="0.35">
      <c r="A12270" s="10" t="s">
        <v>52163</v>
      </c>
      <c r="B12270" s="10" t="str">
        <f>"9781913453091"</f>
        <v>9781913453091</v>
      </c>
      <c r="C12270" s="10" t="str">
        <f>"9781913453121"</f>
        <v>9781913453121</v>
      </c>
      <c r="D12270" s="10" t="s">
        <v>9533</v>
      </c>
      <c r="E12270" s="10" t="s">
        <v>26840</v>
      </c>
      <c r="F12270" s="10" t="s">
        <v>44053</v>
      </c>
      <c r="G12270" s="10" t="s">
        <v>6352</v>
      </c>
      <c r="H12270" s="11">
        <v>44151</v>
      </c>
      <c r="I12270" s="10">
        <v>2020</v>
      </c>
      <c r="J12270" s="10" t="s">
        <v>26840</v>
      </c>
      <c r="K12270" s="10">
        <v>120</v>
      </c>
      <c r="L12270" s="10" t="s">
        <v>52164</v>
      </c>
      <c r="M12270" s="10">
        <v>1</v>
      </c>
      <c r="N12270" s="10" t="s">
        <v>50342</v>
      </c>
      <c r="O12270" s="10"/>
      <c r="P12270" s="10" t="s">
        <v>52165</v>
      </c>
      <c r="Q12270" s="10">
        <v>374</v>
      </c>
      <c r="R12270" s="10" t="s">
        <v>52166</v>
      </c>
      <c r="S12270" s="10" t="s">
        <v>53</v>
      </c>
      <c r="T12270" s="10" t="s">
        <v>54</v>
      </c>
    </row>
    <row r="12271" spans="1:20" ht="14.5" x14ac:dyDescent="0.35">
      <c r="A12271" s="10" t="s">
        <v>52167</v>
      </c>
      <c r="B12271" s="10" t="str">
        <f>""</f>
        <v/>
      </c>
      <c r="C12271" s="10" t="str">
        <f>"9783838264875"</f>
        <v>9783838264875</v>
      </c>
      <c r="D12271" s="10" t="s">
        <v>27189</v>
      </c>
      <c r="E12271" s="10" t="s">
        <v>28981</v>
      </c>
      <c r="F12271" s="10" t="s">
        <v>2925</v>
      </c>
      <c r="G12271" s="10" t="s">
        <v>9998</v>
      </c>
      <c r="H12271" s="11">
        <v>41548</v>
      </c>
      <c r="I12271" s="10">
        <v>2013</v>
      </c>
      <c r="J12271" s="10" t="s">
        <v>28981</v>
      </c>
      <c r="K12271" s="10">
        <v>277</v>
      </c>
      <c r="L12271" s="10" t="s">
        <v>52168</v>
      </c>
      <c r="M12271" s="10"/>
      <c r="N12271" s="10" t="s">
        <v>49326</v>
      </c>
      <c r="O12271" s="10">
        <v>43</v>
      </c>
      <c r="P12271" s="10" t="s">
        <v>52169</v>
      </c>
      <c r="Q12271" s="10">
        <v>418.00709999999998</v>
      </c>
      <c r="R12271" s="10" t="s">
        <v>47351</v>
      </c>
      <c r="S12271" s="10" t="s">
        <v>1519</v>
      </c>
      <c r="T12271" s="10" t="s">
        <v>6616</v>
      </c>
    </row>
    <row r="12272" spans="1:20" ht="14.5" x14ac:dyDescent="0.35">
      <c r="A12272" s="10" t="s">
        <v>52170</v>
      </c>
      <c r="B12272" s="10" t="str">
        <f>"9780113315406"</f>
        <v>9780113315406</v>
      </c>
      <c r="C12272" s="10" t="str">
        <f>"9780113315413"</f>
        <v>9780113315413</v>
      </c>
      <c r="D12272" s="10" t="s">
        <v>43658</v>
      </c>
      <c r="E12272" s="10" t="s">
        <v>50552</v>
      </c>
      <c r="F12272" s="10" t="s">
        <v>139</v>
      </c>
      <c r="G12272" s="10" t="s">
        <v>6352</v>
      </c>
      <c r="H12272" s="11">
        <v>44153</v>
      </c>
      <c r="I12272" s="10">
        <v>2020</v>
      </c>
      <c r="J12272" s="10" t="s">
        <v>50553</v>
      </c>
      <c r="K12272" s="10">
        <v>37</v>
      </c>
      <c r="L12272" s="10" t="s">
        <v>50829</v>
      </c>
      <c r="M12272" s="10"/>
      <c r="N12272" s="10"/>
      <c r="O12272" s="10"/>
      <c r="P12272" s="10"/>
      <c r="Q12272" s="10"/>
      <c r="R12272" s="10"/>
      <c r="S12272" s="10" t="s">
        <v>53</v>
      </c>
      <c r="T12272" s="10" t="s">
        <v>8755</v>
      </c>
    </row>
    <row r="12273" spans="1:20" ht="14.5" x14ac:dyDescent="0.35">
      <c r="A12273" s="10" t="s">
        <v>52171</v>
      </c>
      <c r="B12273" s="10" t="str">
        <f>"9789004445369"</f>
        <v>9789004445369</v>
      </c>
      <c r="C12273" s="10" t="str">
        <f>"9789004445376"</f>
        <v>9789004445376</v>
      </c>
      <c r="D12273" s="10" t="s">
        <v>8564</v>
      </c>
      <c r="E12273" s="10" t="s">
        <v>8565</v>
      </c>
      <c r="F12273" s="10" t="s">
        <v>1420</v>
      </c>
      <c r="G12273" s="10" t="s">
        <v>6317</v>
      </c>
      <c r="H12273" s="11">
        <v>44154</v>
      </c>
      <c r="I12273" s="10">
        <v>2021</v>
      </c>
      <c r="J12273" s="10" t="s">
        <v>33259</v>
      </c>
      <c r="K12273" s="10">
        <v>86</v>
      </c>
      <c r="L12273" s="10" t="s">
        <v>52172</v>
      </c>
      <c r="M12273" s="10">
        <v>1</v>
      </c>
      <c r="N12273" s="10" t="s">
        <v>48986</v>
      </c>
      <c r="O12273" s="10">
        <v>4</v>
      </c>
      <c r="P12273" s="10"/>
      <c r="Q12273" s="10"/>
      <c r="R12273" s="10" t="s">
        <v>52173</v>
      </c>
      <c r="S12273" s="10" t="s">
        <v>53</v>
      </c>
      <c r="T12273" s="10" t="s">
        <v>54</v>
      </c>
    </row>
    <row r="12274" spans="1:20" ht="14.5" x14ac:dyDescent="0.35">
      <c r="A12274" s="10" t="s">
        <v>52174</v>
      </c>
      <c r="B12274" s="10" t="str">
        <f>"9781975502478"</f>
        <v>9781975502478</v>
      </c>
      <c r="C12274" s="10" t="str">
        <f>"9781975502492"</f>
        <v>9781975502492</v>
      </c>
      <c r="D12274" s="10" t="s">
        <v>44271</v>
      </c>
      <c r="E12274" s="10" t="s">
        <v>47266</v>
      </c>
      <c r="F12274" s="10" t="s">
        <v>41227</v>
      </c>
      <c r="G12274" s="10" t="s">
        <v>6317</v>
      </c>
      <c r="H12274" s="11">
        <v>44102</v>
      </c>
      <c r="I12274" s="10">
        <v>2020</v>
      </c>
      <c r="J12274" s="10" t="s">
        <v>47266</v>
      </c>
      <c r="K12274" s="10">
        <v>239</v>
      </c>
      <c r="L12274" s="10" t="s">
        <v>52175</v>
      </c>
      <c r="M12274" s="10">
        <v>1</v>
      </c>
      <c r="N12274" s="10" t="s">
        <v>48511</v>
      </c>
      <c r="O12274" s="10">
        <v>5</v>
      </c>
      <c r="P12274" s="10"/>
      <c r="Q12274" s="10">
        <v>300.72000000000003</v>
      </c>
      <c r="R12274" s="10" t="s">
        <v>52176</v>
      </c>
      <c r="S12274" s="10" t="s">
        <v>53</v>
      </c>
      <c r="T12274" s="10" t="s">
        <v>6363</v>
      </c>
    </row>
    <row r="12275" spans="1:20" ht="14.5" x14ac:dyDescent="0.35">
      <c r="A12275" s="10" t="s">
        <v>52177</v>
      </c>
      <c r="B12275" s="10" t="str">
        <f>"9781416629658"</f>
        <v>9781416629658</v>
      </c>
      <c r="C12275" s="10" t="str">
        <f>"9781416629672"</f>
        <v>9781416629672</v>
      </c>
      <c r="D12275" s="10" t="s">
        <v>10014</v>
      </c>
      <c r="E12275" s="10" t="s">
        <v>10015</v>
      </c>
      <c r="F12275" s="10" t="s">
        <v>201</v>
      </c>
      <c r="G12275" s="10" t="s">
        <v>6317</v>
      </c>
      <c r="H12275" s="11">
        <v>44160</v>
      </c>
      <c r="I12275" s="10">
        <v>2021</v>
      </c>
      <c r="J12275" s="10" t="s">
        <v>10015</v>
      </c>
      <c r="K12275" s="10">
        <v>152</v>
      </c>
      <c r="L12275" s="10" t="s">
        <v>52178</v>
      </c>
      <c r="M12275" s="10">
        <v>1</v>
      </c>
      <c r="N12275" s="10"/>
      <c r="O12275" s="10"/>
      <c r="P12275" s="10" t="s">
        <v>52179</v>
      </c>
      <c r="Q12275" s="10">
        <v>371.26</v>
      </c>
      <c r="R12275" s="10" t="s">
        <v>52180</v>
      </c>
      <c r="S12275" s="10" t="s">
        <v>53</v>
      </c>
      <c r="T12275" s="10" t="s">
        <v>54</v>
      </c>
    </row>
    <row r="12276" spans="1:20" ht="14.5" x14ac:dyDescent="0.35">
      <c r="A12276" s="10" t="s">
        <v>52181</v>
      </c>
      <c r="B12276" s="10" t="str">
        <f>"9781787699304"</f>
        <v>9781787699304</v>
      </c>
      <c r="C12276" s="10" t="str">
        <f>"9781787699311"</f>
        <v>9781787699311</v>
      </c>
      <c r="D12276" s="10" t="s">
        <v>8699</v>
      </c>
      <c r="E12276" s="10" t="s">
        <v>8699</v>
      </c>
      <c r="F12276" s="10" t="s">
        <v>559</v>
      </c>
      <c r="G12276" s="10" t="s">
        <v>6352</v>
      </c>
      <c r="H12276" s="11">
        <v>44165</v>
      </c>
      <c r="I12276" s="10">
        <v>2021</v>
      </c>
      <c r="J12276" s="10" t="s">
        <v>8699</v>
      </c>
      <c r="K12276" s="10">
        <v>257</v>
      </c>
      <c r="L12276" s="10" t="s">
        <v>52182</v>
      </c>
      <c r="M12276" s="10">
        <v>1</v>
      </c>
      <c r="N12276" s="10"/>
      <c r="O12276" s="10"/>
      <c r="P12276" s="10" t="s">
        <v>27182</v>
      </c>
      <c r="Q12276" s="10" t="s">
        <v>52183</v>
      </c>
      <c r="R12276" s="10" t="s">
        <v>52184</v>
      </c>
      <c r="S12276" s="10" t="s">
        <v>53</v>
      </c>
      <c r="T12276" s="10" t="s">
        <v>54</v>
      </c>
    </row>
    <row r="12277" spans="1:20" ht="14.5" x14ac:dyDescent="0.35">
      <c r="A12277" s="10" t="s">
        <v>52185</v>
      </c>
      <c r="B12277" s="10" t="str">
        <f>"9781625311511"</f>
        <v>9781625311511</v>
      </c>
      <c r="C12277" s="10" t="str">
        <f>"9781003840060"</f>
        <v>9781003840060</v>
      </c>
      <c r="D12277" s="10" t="s">
        <v>6350</v>
      </c>
      <c r="E12277" s="10" t="s">
        <v>6351</v>
      </c>
      <c r="F12277" s="10" t="s">
        <v>3967</v>
      </c>
      <c r="G12277" s="10" t="s">
        <v>6352</v>
      </c>
      <c r="H12277" s="11">
        <v>44176</v>
      </c>
      <c r="I12277" s="10">
        <v>2020</v>
      </c>
      <c r="J12277" s="10" t="s">
        <v>6353</v>
      </c>
      <c r="K12277" s="10">
        <v>231</v>
      </c>
      <c r="L12277" s="10" t="s">
        <v>52186</v>
      </c>
      <c r="M12277" s="10">
        <v>1</v>
      </c>
      <c r="N12277" s="10"/>
      <c r="O12277" s="10"/>
      <c r="P12277" s="10"/>
      <c r="Q12277" s="10">
        <v>372.43</v>
      </c>
      <c r="R12277" s="10"/>
      <c r="S12277" s="10" t="s">
        <v>53</v>
      </c>
      <c r="T12277" s="10" t="s">
        <v>54</v>
      </c>
    </row>
    <row r="12278" spans="1:20" ht="14.5" x14ac:dyDescent="0.35">
      <c r="A12278" s="10" t="s">
        <v>52187</v>
      </c>
      <c r="B12278" s="10" t="str">
        <f>"9781642670400"</f>
        <v>9781642670400</v>
      </c>
      <c r="C12278" s="10" t="str">
        <f>"9781000976489"</f>
        <v>9781000976489</v>
      </c>
      <c r="D12278" s="10" t="s">
        <v>6350</v>
      </c>
      <c r="E12278" s="10" t="s">
        <v>6351</v>
      </c>
      <c r="F12278" s="10" t="s">
        <v>748</v>
      </c>
      <c r="G12278" s="10" t="s">
        <v>6352</v>
      </c>
      <c r="H12278" s="11">
        <v>44141</v>
      </c>
      <c r="I12278" s="10">
        <v>2021</v>
      </c>
      <c r="J12278" s="10" t="s">
        <v>6351</v>
      </c>
      <c r="K12278" s="10">
        <v>277</v>
      </c>
      <c r="L12278" s="10" t="s">
        <v>52188</v>
      </c>
      <c r="M12278" s="10">
        <v>1</v>
      </c>
      <c r="N12278" s="10"/>
      <c r="O12278" s="10"/>
      <c r="P12278" s="10" t="s">
        <v>52189</v>
      </c>
      <c r="Q12278" s="10">
        <v>378.17344678000001</v>
      </c>
      <c r="R12278" s="10" t="s">
        <v>12537</v>
      </c>
      <c r="S12278" s="10" t="s">
        <v>53</v>
      </c>
      <c r="T12278" s="10" t="s">
        <v>54</v>
      </c>
    </row>
    <row r="12279" spans="1:20" ht="14.5" x14ac:dyDescent="0.35">
      <c r="A12279" s="10" t="s">
        <v>52190</v>
      </c>
      <c r="B12279" s="10" t="str">
        <f>"9781938113833"</f>
        <v>9781938113833</v>
      </c>
      <c r="C12279" s="10" t="str">
        <f>"9781938113840"</f>
        <v>9781938113840</v>
      </c>
      <c r="D12279" s="10" t="s">
        <v>9533</v>
      </c>
      <c r="E12279" s="10" t="s">
        <v>5950</v>
      </c>
      <c r="F12279" s="10" t="s">
        <v>25348</v>
      </c>
      <c r="G12279" s="10" t="s">
        <v>6317</v>
      </c>
      <c r="H12279" s="11">
        <v>44306</v>
      </c>
      <c r="I12279" s="10">
        <v>2021</v>
      </c>
      <c r="J12279" s="10" t="s">
        <v>5950</v>
      </c>
      <c r="K12279" s="10">
        <v>208</v>
      </c>
      <c r="L12279" s="10" t="s">
        <v>52191</v>
      </c>
      <c r="M12279" s="10">
        <v>1</v>
      </c>
      <c r="N12279" s="10"/>
      <c r="O12279" s="10"/>
      <c r="P12279" s="10" t="s">
        <v>52192</v>
      </c>
      <c r="Q12279" s="10">
        <v>418.00709999999998</v>
      </c>
      <c r="R12279" s="10" t="s">
        <v>52193</v>
      </c>
      <c r="S12279" s="10" t="s">
        <v>53</v>
      </c>
      <c r="T12279" s="10" t="s">
        <v>6616</v>
      </c>
    </row>
    <row r="12280" spans="1:20" ht="14.5" x14ac:dyDescent="0.35">
      <c r="A12280" s="10" t="s">
        <v>52194</v>
      </c>
      <c r="B12280" s="10" t="str">
        <f>""</f>
        <v/>
      </c>
      <c r="C12280" s="10" t="str">
        <f>"9781564848789"</f>
        <v>9781564848789</v>
      </c>
      <c r="D12280" s="10" t="s">
        <v>9533</v>
      </c>
      <c r="E12280" s="10" t="s">
        <v>45783</v>
      </c>
      <c r="F12280" s="10" t="s">
        <v>25348</v>
      </c>
      <c r="G12280" s="10" t="s">
        <v>6317</v>
      </c>
      <c r="H12280" s="11">
        <v>44173</v>
      </c>
      <c r="I12280" s="10">
        <v>2020</v>
      </c>
      <c r="J12280" s="10" t="s">
        <v>45783</v>
      </c>
      <c r="K12280" s="10">
        <v>192</v>
      </c>
      <c r="L12280" s="10" t="s">
        <v>52195</v>
      </c>
      <c r="M12280" s="10">
        <v>1</v>
      </c>
      <c r="N12280" s="10"/>
      <c r="O12280" s="10"/>
      <c r="P12280" s="10" t="s">
        <v>52196</v>
      </c>
      <c r="Q12280" s="10">
        <v>371.33</v>
      </c>
      <c r="R12280" s="10" t="s">
        <v>52197</v>
      </c>
      <c r="S12280" s="10" t="s">
        <v>53</v>
      </c>
      <c r="T12280" s="10" t="s">
        <v>54</v>
      </c>
    </row>
    <row r="12281" spans="1:20" ht="14.5" x14ac:dyDescent="0.35">
      <c r="A12281" s="10" t="s">
        <v>52198</v>
      </c>
      <c r="B12281" s="10" t="str">
        <f>"9781137385192"</f>
        <v>9781137385192</v>
      </c>
      <c r="C12281" s="10" t="str">
        <f>"9781137385215"</f>
        <v>9781137385215</v>
      </c>
      <c r="D12281" s="10" t="s">
        <v>13959</v>
      </c>
      <c r="E12281" s="10" t="s">
        <v>13960</v>
      </c>
      <c r="F12281" s="10" t="s">
        <v>139</v>
      </c>
      <c r="G12281" s="10" t="s">
        <v>6352</v>
      </c>
      <c r="H12281" s="11">
        <v>42103</v>
      </c>
      <c r="I12281" s="10">
        <v>2015</v>
      </c>
      <c r="J12281" s="10" t="s">
        <v>39618</v>
      </c>
      <c r="K12281" s="10">
        <v>175</v>
      </c>
      <c r="L12281" s="10" t="s">
        <v>52199</v>
      </c>
      <c r="M12281" s="10">
        <v>1</v>
      </c>
      <c r="N12281" s="10" t="s">
        <v>43888</v>
      </c>
      <c r="O12281" s="10"/>
      <c r="P12281" s="10" t="s">
        <v>43889</v>
      </c>
      <c r="Q12281" s="10">
        <v>378.2</v>
      </c>
      <c r="R12281" s="10" t="s">
        <v>52200</v>
      </c>
      <c r="S12281" s="10" t="s">
        <v>53</v>
      </c>
      <c r="T12281" s="10" t="s">
        <v>54</v>
      </c>
    </row>
    <row r="12282" spans="1:20" ht="14.5" x14ac:dyDescent="0.35">
      <c r="A12282" s="10" t="s">
        <v>52201</v>
      </c>
      <c r="B12282" s="10" t="str">
        <f>"9781943360314"</f>
        <v>9781943360314</v>
      </c>
      <c r="C12282" s="10" t="str">
        <f>"9781943360321"</f>
        <v>9781943360321</v>
      </c>
      <c r="D12282" s="10" t="s">
        <v>37594</v>
      </c>
      <c r="E12282" s="10" t="s">
        <v>37594</v>
      </c>
      <c r="F12282" s="10" t="s">
        <v>37623</v>
      </c>
      <c r="G12282" s="10" t="s">
        <v>6317</v>
      </c>
      <c r="H12282" s="11">
        <v>44131</v>
      </c>
      <c r="I12282" s="10">
        <v>2021</v>
      </c>
      <c r="J12282" s="10" t="s">
        <v>37594</v>
      </c>
      <c r="K12282" s="10">
        <v>176</v>
      </c>
      <c r="L12282" s="10" t="s">
        <v>52202</v>
      </c>
      <c r="M12282" s="10">
        <v>1</v>
      </c>
      <c r="N12282" s="10"/>
      <c r="O12282" s="10"/>
      <c r="P12282" s="10" t="s">
        <v>52203</v>
      </c>
      <c r="Q12282" s="10">
        <v>379.15499999999997</v>
      </c>
      <c r="R12282" s="10" t="s">
        <v>52204</v>
      </c>
      <c r="S12282" s="10" t="s">
        <v>53</v>
      </c>
      <c r="T12282" s="10" t="s">
        <v>54</v>
      </c>
    </row>
    <row r="12283" spans="1:20" ht="14.5" x14ac:dyDescent="0.35">
      <c r="A12283" s="10" t="s">
        <v>52205</v>
      </c>
      <c r="B12283" s="10" t="str">
        <f>"9788024626260"</f>
        <v>9788024626260</v>
      </c>
      <c r="C12283" s="10" t="str">
        <f>"9788024626598"</f>
        <v>9788024626598</v>
      </c>
      <c r="D12283" s="10" t="s">
        <v>30935</v>
      </c>
      <c r="E12283" s="10" t="s">
        <v>30935</v>
      </c>
      <c r="F12283" s="10" t="s">
        <v>1796</v>
      </c>
      <c r="G12283" s="10" t="s">
        <v>30936</v>
      </c>
      <c r="H12283" s="11">
        <v>41944</v>
      </c>
      <c r="I12283" s="10">
        <v>2020</v>
      </c>
      <c r="J12283" s="10" t="s">
        <v>30935</v>
      </c>
      <c r="K12283" s="10">
        <v>179</v>
      </c>
      <c r="L12283" s="10" t="s">
        <v>52206</v>
      </c>
      <c r="M12283" s="10">
        <v>1</v>
      </c>
      <c r="N12283" s="10"/>
      <c r="O12283" s="10"/>
      <c r="P12283" s="10"/>
      <c r="Q12283" s="10"/>
      <c r="R12283" s="10"/>
      <c r="S12283" s="10" t="s">
        <v>4212</v>
      </c>
      <c r="T12283" s="10" t="s">
        <v>54</v>
      </c>
    </row>
    <row r="12284" spans="1:20" ht="14.5" x14ac:dyDescent="0.35">
      <c r="A12284" s="10" t="s">
        <v>52207</v>
      </c>
      <c r="B12284" s="10" t="str">
        <f>""</f>
        <v/>
      </c>
      <c r="C12284" s="10" t="str">
        <f>"9789048553099"</f>
        <v>9789048553099</v>
      </c>
      <c r="D12284" s="10" t="s">
        <v>13287</v>
      </c>
      <c r="E12284" s="10" t="s">
        <v>13287</v>
      </c>
      <c r="F12284" s="10" t="s">
        <v>1818</v>
      </c>
      <c r="G12284" s="10" t="s">
        <v>9233</v>
      </c>
      <c r="H12284" s="11">
        <v>44159</v>
      </c>
      <c r="I12284" s="10">
        <v>2020</v>
      </c>
      <c r="J12284" s="10" t="s">
        <v>13287</v>
      </c>
      <c r="K12284" s="10">
        <v>292</v>
      </c>
      <c r="L12284" s="10" t="s">
        <v>52208</v>
      </c>
      <c r="M12284" s="10">
        <v>1</v>
      </c>
      <c r="N12284" s="10" t="s">
        <v>46319</v>
      </c>
      <c r="O12284" s="10"/>
      <c r="P12284" s="10" t="s">
        <v>52209</v>
      </c>
      <c r="Q12284" s="10">
        <v>307.76</v>
      </c>
      <c r="R12284" s="10" t="s">
        <v>52210</v>
      </c>
      <c r="S12284" s="10" t="s">
        <v>53</v>
      </c>
      <c r="T12284" s="10" t="s">
        <v>6363</v>
      </c>
    </row>
    <row r="12285" spans="1:20" ht="14.5" x14ac:dyDescent="0.35">
      <c r="A12285" s="10" t="s">
        <v>52211</v>
      </c>
      <c r="B12285" s="10" t="str">
        <f>"9781526435033"</f>
        <v>9781526435033</v>
      </c>
      <c r="C12285" s="10" t="str">
        <f>"9781526451101"</f>
        <v>9781526451101</v>
      </c>
      <c r="D12285" s="10" t="s">
        <v>9325</v>
      </c>
      <c r="E12285" s="10" t="s">
        <v>9326</v>
      </c>
      <c r="F12285" s="10" t="s">
        <v>139</v>
      </c>
      <c r="G12285" s="10" t="s">
        <v>6352</v>
      </c>
      <c r="H12285" s="11">
        <v>43462</v>
      </c>
      <c r="I12285" s="10">
        <v>2018</v>
      </c>
      <c r="J12285" s="10" t="s">
        <v>18376</v>
      </c>
      <c r="K12285" s="10">
        <v>217</v>
      </c>
      <c r="L12285" s="10" t="s">
        <v>52212</v>
      </c>
      <c r="M12285" s="10">
        <v>1</v>
      </c>
      <c r="N12285" s="10"/>
      <c r="O12285" s="10"/>
      <c r="P12285" s="10" t="s">
        <v>52213</v>
      </c>
      <c r="Q12285" s="10">
        <v>372.35043999999999</v>
      </c>
      <c r="R12285" s="10" t="s">
        <v>52214</v>
      </c>
      <c r="S12285" s="10" t="s">
        <v>53</v>
      </c>
      <c r="T12285" s="10" t="s">
        <v>7425</v>
      </c>
    </row>
    <row r="12286" spans="1:20" ht="14.5" x14ac:dyDescent="0.35">
      <c r="A12286" s="10" t="s">
        <v>52215</v>
      </c>
      <c r="B12286" s="10" t="str">
        <f>"9781526460172"</f>
        <v>9781526460172</v>
      </c>
      <c r="C12286" s="10" t="str">
        <f>"9781526461643"</f>
        <v>9781526461643</v>
      </c>
      <c r="D12286" s="10" t="s">
        <v>9325</v>
      </c>
      <c r="E12286" s="10" t="s">
        <v>9326</v>
      </c>
      <c r="F12286" s="10" t="s">
        <v>139</v>
      </c>
      <c r="G12286" s="10" t="s">
        <v>6352</v>
      </c>
      <c r="H12286" s="11">
        <v>43475</v>
      </c>
      <c r="I12286" s="10">
        <v>2019</v>
      </c>
      <c r="J12286" s="10" t="s">
        <v>18376</v>
      </c>
      <c r="K12286" s="10">
        <v>177</v>
      </c>
      <c r="L12286" s="10" t="s">
        <v>52216</v>
      </c>
      <c r="M12286" s="10">
        <v>2</v>
      </c>
      <c r="N12286" s="10"/>
      <c r="O12286" s="10"/>
      <c r="P12286" s="10" t="s">
        <v>52217</v>
      </c>
      <c r="Q12286" s="10" t="s">
        <v>52218</v>
      </c>
      <c r="R12286" s="10" t="s">
        <v>52219</v>
      </c>
      <c r="S12286" s="10" t="s">
        <v>53</v>
      </c>
      <c r="T12286" s="10" t="s">
        <v>54</v>
      </c>
    </row>
    <row r="12287" spans="1:20" ht="14.5" x14ac:dyDescent="0.35">
      <c r="A12287" s="10" t="s">
        <v>52220</v>
      </c>
      <c r="B12287" s="10" t="str">
        <f>"9781473912557"</f>
        <v>9781473912557</v>
      </c>
      <c r="C12287" s="10" t="str">
        <f>"9781473952485"</f>
        <v>9781473952485</v>
      </c>
      <c r="D12287" s="10" t="s">
        <v>9325</v>
      </c>
      <c r="E12287" s="10" t="s">
        <v>9326</v>
      </c>
      <c r="F12287" s="10" t="s">
        <v>139</v>
      </c>
      <c r="G12287" s="10" t="s">
        <v>6352</v>
      </c>
      <c r="H12287" s="11">
        <v>42306</v>
      </c>
      <c r="I12287" s="10">
        <v>2015</v>
      </c>
      <c r="J12287" s="10" t="s">
        <v>9326</v>
      </c>
      <c r="K12287" s="10">
        <v>193</v>
      </c>
      <c r="L12287" s="10" t="s">
        <v>52221</v>
      </c>
      <c r="M12287" s="10">
        <v>2</v>
      </c>
      <c r="N12287" s="10"/>
      <c r="O12287" s="10"/>
      <c r="P12287" s="10" t="s">
        <v>52222</v>
      </c>
      <c r="Q12287" s="10">
        <v>372.11020000000002</v>
      </c>
      <c r="R12287" s="10" t="s">
        <v>52223</v>
      </c>
      <c r="S12287" s="10" t="s">
        <v>53</v>
      </c>
      <c r="T12287" s="10" t="s">
        <v>54</v>
      </c>
    </row>
    <row r="12288" spans="1:20" ht="14.5" x14ac:dyDescent="0.35">
      <c r="A12288" s="10" t="s">
        <v>52224</v>
      </c>
      <c r="B12288" s="10" t="str">
        <f>"9781526411280"</f>
        <v>9781526411280</v>
      </c>
      <c r="C12288" s="10" t="str">
        <f>"9781526450494"</f>
        <v>9781526450494</v>
      </c>
      <c r="D12288" s="10" t="s">
        <v>9325</v>
      </c>
      <c r="E12288" s="10" t="s">
        <v>9326</v>
      </c>
      <c r="F12288" s="10" t="s">
        <v>139</v>
      </c>
      <c r="G12288" s="10" t="s">
        <v>6352</v>
      </c>
      <c r="H12288" s="11">
        <v>43218</v>
      </c>
      <c r="I12288" s="10">
        <v>2018</v>
      </c>
      <c r="J12288" s="10" t="s">
        <v>9326</v>
      </c>
      <c r="K12288" s="10">
        <v>145</v>
      </c>
      <c r="L12288" s="10" t="s">
        <v>52225</v>
      </c>
      <c r="M12288" s="10">
        <v>1</v>
      </c>
      <c r="N12288" s="10" t="s">
        <v>25467</v>
      </c>
      <c r="O12288" s="10"/>
      <c r="P12288" s="10" t="s">
        <v>52226</v>
      </c>
      <c r="Q12288" s="10" t="s">
        <v>27260</v>
      </c>
      <c r="R12288" s="10" t="s">
        <v>52227</v>
      </c>
      <c r="S12288" s="10" t="s">
        <v>53</v>
      </c>
      <c r="T12288" s="10" t="s">
        <v>54</v>
      </c>
    </row>
    <row r="12289" spans="1:20" ht="14.5" x14ac:dyDescent="0.35">
      <c r="A12289" s="10" t="s">
        <v>52228</v>
      </c>
      <c r="B12289" s="10" t="str">
        <f>"9781446282519"</f>
        <v>9781446282519</v>
      </c>
      <c r="C12289" s="10" t="str">
        <f>"9781473926783"</f>
        <v>9781473926783</v>
      </c>
      <c r="D12289" s="10" t="s">
        <v>9325</v>
      </c>
      <c r="E12289" s="10" t="s">
        <v>9326</v>
      </c>
      <c r="F12289" s="10" t="s">
        <v>139</v>
      </c>
      <c r="G12289" s="10" t="s">
        <v>6352</v>
      </c>
      <c r="H12289" s="11">
        <v>42209</v>
      </c>
      <c r="I12289" s="10">
        <v>2015</v>
      </c>
      <c r="J12289" s="10" t="s">
        <v>9326</v>
      </c>
      <c r="K12289" s="10">
        <v>313</v>
      </c>
      <c r="L12289" s="10" t="s">
        <v>52229</v>
      </c>
      <c r="M12289" s="10">
        <v>2</v>
      </c>
      <c r="N12289" s="10" t="s">
        <v>19436</v>
      </c>
      <c r="O12289" s="10"/>
      <c r="P12289" s="10" t="s">
        <v>52230</v>
      </c>
      <c r="Q12289" s="10">
        <v>4.0712000000000002</v>
      </c>
      <c r="R12289" s="10" t="s">
        <v>52231</v>
      </c>
      <c r="S12289" s="10" t="s">
        <v>53</v>
      </c>
      <c r="T12289" s="10" t="s">
        <v>52232</v>
      </c>
    </row>
    <row r="12290" spans="1:20" ht="14.5" x14ac:dyDescent="0.35">
      <c r="A12290" s="10" t="s">
        <v>52233</v>
      </c>
      <c r="B12290" s="10" t="str">
        <f>"9781446273708"</f>
        <v>9781446273708</v>
      </c>
      <c r="C12290" s="10" t="str">
        <f>"9781473916906"</f>
        <v>9781473916906</v>
      </c>
      <c r="D12290" s="10" t="s">
        <v>9325</v>
      </c>
      <c r="E12290" s="10" t="s">
        <v>9326</v>
      </c>
      <c r="F12290" s="10" t="s">
        <v>139</v>
      </c>
      <c r="G12290" s="10" t="s">
        <v>6352</v>
      </c>
      <c r="H12290" s="11">
        <v>42040</v>
      </c>
      <c r="I12290" s="10">
        <v>2015</v>
      </c>
      <c r="J12290" s="10" t="s">
        <v>9326</v>
      </c>
      <c r="K12290" s="10">
        <v>217</v>
      </c>
      <c r="L12290" s="10" t="s">
        <v>52234</v>
      </c>
      <c r="M12290" s="10">
        <v>1</v>
      </c>
      <c r="N12290" s="10"/>
      <c r="O12290" s="10"/>
      <c r="P12290" s="10" t="s">
        <v>52235</v>
      </c>
      <c r="Q12290" s="10">
        <v>371.30279999999999</v>
      </c>
      <c r="R12290" s="10" t="s">
        <v>31569</v>
      </c>
      <c r="S12290" s="10" t="s">
        <v>53</v>
      </c>
      <c r="T12290" s="10" t="s">
        <v>54</v>
      </c>
    </row>
    <row r="12291" spans="1:20" ht="14.5" x14ac:dyDescent="0.35">
      <c r="A12291" s="10" t="s">
        <v>52236</v>
      </c>
      <c r="B12291" s="10" t="str">
        <f>"9781526441690"</f>
        <v>9781526441690</v>
      </c>
      <c r="C12291" s="10" t="str">
        <f>"9781526454867"</f>
        <v>9781526454867</v>
      </c>
      <c r="D12291" s="10" t="s">
        <v>9325</v>
      </c>
      <c r="E12291" s="10" t="s">
        <v>9326</v>
      </c>
      <c r="F12291" s="10" t="s">
        <v>139</v>
      </c>
      <c r="G12291" s="10" t="s">
        <v>6352</v>
      </c>
      <c r="H12291" s="11">
        <v>43463</v>
      </c>
      <c r="I12291" s="10">
        <v>2019</v>
      </c>
      <c r="J12291" s="10" t="s">
        <v>18376</v>
      </c>
      <c r="K12291" s="10">
        <v>153</v>
      </c>
      <c r="L12291" s="10" t="s">
        <v>52237</v>
      </c>
      <c r="M12291" s="10">
        <v>1</v>
      </c>
      <c r="N12291" s="10" t="s">
        <v>52238</v>
      </c>
      <c r="O12291" s="10"/>
      <c r="P12291" s="10" t="s">
        <v>52239</v>
      </c>
      <c r="Q12291" s="10">
        <v>372.47</v>
      </c>
      <c r="R12291" s="10" t="s">
        <v>49964</v>
      </c>
      <c r="S12291" s="10" t="s">
        <v>53</v>
      </c>
      <c r="T12291" s="10" t="s">
        <v>54</v>
      </c>
    </row>
    <row r="12292" spans="1:20" ht="14.5" x14ac:dyDescent="0.35">
      <c r="A12292" s="10" t="s">
        <v>52240</v>
      </c>
      <c r="B12292" s="10" t="str">
        <f>"9781526404138"</f>
        <v>9781526404138</v>
      </c>
      <c r="C12292" s="10" t="str">
        <f>"9781526447777"</f>
        <v>9781526447777</v>
      </c>
      <c r="D12292" s="10" t="s">
        <v>9325</v>
      </c>
      <c r="E12292" s="10" t="s">
        <v>9326</v>
      </c>
      <c r="F12292" s="10" t="s">
        <v>139</v>
      </c>
      <c r="G12292" s="10" t="s">
        <v>6352</v>
      </c>
      <c r="H12292" s="11">
        <v>43158</v>
      </c>
      <c r="I12292" s="10">
        <v>2018</v>
      </c>
      <c r="J12292" s="10" t="s">
        <v>18376</v>
      </c>
      <c r="K12292" s="10">
        <v>305</v>
      </c>
      <c r="L12292" s="10" t="s">
        <v>52241</v>
      </c>
      <c r="M12292" s="10">
        <v>1</v>
      </c>
      <c r="N12292" s="10"/>
      <c r="O12292" s="10"/>
      <c r="P12292" s="10" t="s">
        <v>52242</v>
      </c>
      <c r="Q12292" s="10" t="s">
        <v>16264</v>
      </c>
      <c r="R12292" s="10" t="s">
        <v>52243</v>
      </c>
      <c r="S12292" s="10" t="s">
        <v>53</v>
      </c>
      <c r="T12292" s="10" t="s">
        <v>7425</v>
      </c>
    </row>
    <row r="12293" spans="1:20" ht="14.5" x14ac:dyDescent="0.35">
      <c r="A12293" s="10" t="s">
        <v>52244</v>
      </c>
      <c r="B12293" s="10" t="str">
        <f>"9781473989368"</f>
        <v>9781473989368</v>
      </c>
      <c r="C12293" s="10" t="str">
        <f>"9781526425799"</f>
        <v>9781526425799</v>
      </c>
      <c r="D12293" s="10" t="s">
        <v>9325</v>
      </c>
      <c r="E12293" s="10" t="s">
        <v>9326</v>
      </c>
      <c r="F12293" s="10" t="s">
        <v>139</v>
      </c>
      <c r="G12293" s="10" t="s">
        <v>6352</v>
      </c>
      <c r="H12293" s="11">
        <v>43046</v>
      </c>
      <c r="I12293" s="10">
        <v>2017</v>
      </c>
      <c r="J12293" s="10" t="s">
        <v>9326</v>
      </c>
      <c r="K12293" s="10">
        <v>161</v>
      </c>
      <c r="L12293" s="10" t="s">
        <v>52245</v>
      </c>
      <c r="M12293" s="10">
        <v>1</v>
      </c>
      <c r="N12293" s="10"/>
      <c r="O12293" s="10"/>
      <c r="P12293" s="10" t="s">
        <v>52246</v>
      </c>
      <c r="Q12293" s="10">
        <v>305.23</v>
      </c>
      <c r="R12293" s="10" t="s">
        <v>52247</v>
      </c>
      <c r="S12293" s="10" t="s">
        <v>53</v>
      </c>
      <c r="T12293" s="10" t="s">
        <v>6363</v>
      </c>
    </row>
    <row r="12294" spans="1:20" ht="14.5" x14ac:dyDescent="0.35">
      <c r="A12294" s="10" t="s">
        <v>52248</v>
      </c>
      <c r="B12294" s="10" t="str">
        <f>"9781526427786"</f>
        <v>9781526427786</v>
      </c>
      <c r="C12294" s="10" t="str">
        <f>"9781526428721"</f>
        <v>9781526428721</v>
      </c>
      <c r="D12294" s="10" t="s">
        <v>9325</v>
      </c>
      <c r="E12294" s="10" t="s">
        <v>9326</v>
      </c>
      <c r="F12294" s="10" t="s">
        <v>139</v>
      </c>
      <c r="G12294" s="10" t="s">
        <v>6352</v>
      </c>
      <c r="H12294" s="11">
        <v>43102</v>
      </c>
      <c r="I12294" s="10">
        <v>2018</v>
      </c>
      <c r="J12294" s="10" t="s">
        <v>18376</v>
      </c>
      <c r="K12294" s="10">
        <v>229</v>
      </c>
      <c r="L12294" s="10" t="s">
        <v>52249</v>
      </c>
      <c r="M12294" s="10">
        <v>3</v>
      </c>
      <c r="N12294" s="10"/>
      <c r="O12294" s="10"/>
      <c r="P12294" s="10" t="s">
        <v>52250</v>
      </c>
      <c r="Q12294" s="10">
        <v>378.16170942000002</v>
      </c>
      <c r="R12294" s="10" t="s">
        <v>52251</v>
      </c>
      <c r="S12294" s="10" t="s">
        <v>53</v>
      </c>
      <c r="T12294" s="10" t="s">
        <v>54</v>
      </c>
    </row>
    <row r="12295" spans="1:20" ht="14.5" x14ac:dyDescent="0.35">
      <c r="A12295" s="10" t="s">
        <v>52252</v>
      </c>
      <c r="B12295" s="10" t="str">
        <f>"9781473970403"</f>
        <v>9781473970403</v>
      </c>
      <c r="C12295" s="10" t="str">
        <f>"9781526412447"</f>
        <v>9781526412447</v>
      </c>
      <c r="D12295" s="10" t="s">
        <v>9325</v>
      </c>
      <c r="E12295" s="10" t="s">
        <v>9326</v>
      </c>
      <c r="F12295" s="10" t="s">
        <v>139</v>
      </c>
      <c r="G12295" s="10" t="s">
        <v>6352</v>
      </c>
      <c r="H12295" s="11">
        <v>42908</v>
      </c>
      <c r="I12295" s="10">
        <v>2017</v>
      </c>
      <c r="J12295" s="10" t="s">
        <v>18376</v>
      </c>
      <c r="K12295" s="10">
        <v>177</v>
      </c>
      <c r="L12295" s="10" t="s">
        <v>52253</v>
      </c>
      <c r="M12295" s="10">
        <v>2</v>
      </c>
      <c r="N12295" s="10" t="s">
        <v>52254</v>
      </c>
      <c r="O12295" s="10"/>
      <c r="P12295" s="10" t="s">
        <v>52255</v>
      </c>
      <c r="Q12295" s="10">
        <v>372.34044</v>
      </c>
      <c r="R12295" s="10" t="s">
        <v>52256</v>
      </c>
      <c r="S12295" s="10" t="s">
        <v>53</v>
      </c>
      <c r="T12295" s="10" t="s">
        <v>21304</v>
      </c>
    </row>
    <row r="12296" spans="1:20" ht="14.5" x14ac:dyDescent="0.35">
      <c r="A12296" s="10" t="s">
        <v>52257</v>
      </c>
      <c r="B12296" s="10" t="str">
        <f>"9781473948839"</f>
        <v>9781473948839</v>
      </c>
      <c r="C12296" s="10" t="str">
        <f>"9781526418388"</f>
        <v>9781526418388</v>
      </c>
      <c r="D12296" s="10" t="s">
        <v>9325</v>
      </c>
      <c r="E12296" s="10" t="s">
        <v>9326</v>
      </c>
      <c r="F12296" s="10" t="s">
        <v>139</v>
      </c>
      <c r="G12296" s="10" t="s">
        <v>6352</v>
      </c>
      <c r="H12296" s="11">
        <v>43080</v>
      </c>
      <c r="I12296" s="10">
        <v>2018</v>
      </c>
      <c r="J12296" s="10" t="s">
        <v>9326</v>
      </c>
      <c r="K12296" s="10">
        <v>209</v>
      </c>
      <c r="L12296" s="10" t="s">
        <v>52258</v>
      </c>
      <c r="M12296" s="10">
        <v>1</v>
      </c>
      <c r="N12296" s="10"/>
      <c r="O12296" s="10"/>
      <c r="P12296" s="10" t="s">
        <v>52259</v>
      </c>
      <c r="Q12296" s="10">
        <v>371.90472094099999</v>
      </c>
      <c r="R12296" s="10" t="s">
        <v>52260</v>
      </c>
      <c r="S12296" s="10" t="s">
        <v>53</v>
      </c>
      <c r="T12296" s="10" t="s">
        <v>54</v>
      </c>
    </row>
    <row r="12297" spans="1:20" ht="14.5" x14ac:dyDescent="0.35">
      <c r="A12297" s="10" t="s">
        <v>52261</v>
      </c>
      <c r="B12297" s="10" t="str">
        <f>"9781473913073"</f>
        <v>9781473913073</v>
      </c>
      <c r="C12297" s="10" t="str">
        <f>"9781473917590"</f>
        <v>9781473917590</v>
      </c>
      <c r="D12297" s="10" t="s">
        <v>9325</v>
      </c>
      <c r="E12297" s="10" t="s">
        <v>9326</v>
      </c>
      <c r="F12297" s="10" t="s">
        <v>139</v>
      </c>
      <c r="G12297" s="10" t="s">
        <v>6352</v>
      </c>
      <c r="H12297" s="11">
        <v>42125</v>
      </c>
      <c r="I12297" s="10">
        <v>2015</v>
      </c>
      <c r="J12297" s="10" t="s">
        <v>18376</v>
      </c>
      <c r="K12297" s="10">
        <v>169</v>
      </c>
      <c r="L12297" s="10" t="s">
        <v>52262</v>
      </c>
      <c r="M12297" s="10">
        <v>3</v>
      </c>
      <c r="N12297" s="10"/>
      <c r="O12297" s="10"/>
      <c r="P12297" s="10" t="s">
        <v>52263</v>
      </c>
      <c r="Q12297" s="10">
        <v>372.11020940999998</v>
      </c>
      <c r="R12297" s="10" t="s">
        <v>52264</v>
      </c>
      <c r="S12297" s="10" t="s">
        <v>53</v>
      </c>
      <c r="T12297" s="10" t="s">
        <v>54</v>
      </c>
    </row>
    <row r="12298" spans="1:20" ht="14.5" x14ac:dyDescent="0.35">
      <c r="A12298" s="10" t="s">
        <v>52265</v>
      </c>
      <c r="B12298" s="10" t="str">
        <f>"9781473912779"</f>
        <v>9781473912779</v>
      </c>
      <c r="C12298" s="10" t="str">
        <f>"9781473952560"</f>
        <v>9781473952560</v>
      </c>
      <c r="D12298" s="10" t="s">
        <v>9325</v>
      </c>
      <c r="E12298" s="10" t="s">
        <v>9326</v>
      </c>
      <c r="F12298" s="10" t="s">
        <v>139</v>
      </c>
      <c r="G12298" s="10" t="s">
        <v>6352</v>
      </c>
      <c r="H12298" s="11">
        <v>42363</v>
      </c>
      <c r="I12298" s="10">
        <v>2016</v>
      </c>
      <c r="J12298" s="10" t="s">
        <v>9326</v>
      </c>
      <c r="K12298" s="10">
        <v>313</v>
      </c>
      <c r="L12298" s="10" t="s">
        <v>52266</v>
      </c>
      <c r="M12298" s="10">
        <v>2</v>
      </c>
      <c r="N12298" s="10"/>
      <c r="O12298" s="10"/>
      <c r="P12298" s="10" t="s">
        <v>52267</v>
      </c>
      <c r="Q12298" s="10">
        <v>371.33467539999998</v>
      </c>
      <c r="R12298" s="10" t="s">
        <v>52268</v>
      </c>
      <c r="S12298" s="10" t="s">
        <v>53</v>
      </c>
      <c r="T12298" s="10" t="s">
        <v>54</v>
      </c>
    </row>
    <row r="12299" spans="1:20" ht="14.5" x14ac:dyDescent="0.35">
      <c r="A12299" s="10" t="s">
        <v>52269</v>
      </c>
      <c r="B12299" s="10" t="str">
        <f>"9781526408389"</f>
        <v>9781526408389</v>
      </c>
      <c r="C12299" s="10" t="str">
        <f>"9781526451019"</f>
        <v>9781526451019</v>
      </c>
      <c r="D12299" s="10" t="s">
        <v>9325</v>
      </c>
      <c r="E12299" s="10" t="s">
        <v>9326</v>
      </c>
      <c r="F12299" s="10" t="s">
        <v>139</v>
      </c>
      <c r="G12299" s="10" t="s">
        <v>6352</v>
      </c>
      <c r="H12299" s="11">
        <v>43334</v>
      </c>
      <c r="I12299" s="10">
        <v>2009</v>
      </c>
      <c r="J12299" s="10" t="s">
        <v>9326</v>
      </c>
      <c r="K12299" s="10">
        <v>601</v>
      </c>
      <c r="L12299" s="10" t="s">
        <v>52270</v>
      </c>
      <c r="M12299" s="10">
        <v>2</v>
      </c>
      <c r="N12299" s="10" t="s">
        <v>18589</v>
      </c>
      <c r="O12299" s="10"/>
      <c r="P12299" s="10" t="s">
        <v>52271</v>
      </c>
      <c r="Q12299" s="10">
        <v>372.89104409409998</v>
      </c>
      <c r="R12299" s="10" t="s">
        <v>52272</v>
      </c>
      <c r="S12299" s="10" t="s">
        <v>53</v>
      </c>
      <c r="T12299" s="10" t="s">
        <v>13912</v>
      </c>
    </row>
    <row r="12300" spans="1:20" ht="14.5" x14ac:dyDescent="0.35">
      <c r="A12300" s="10" t="s">
        <v>52273</v>
      </c>
      <c r="B12300" s="10" t="str">
        <f>"9781526460196"</f>
        <v>9781526460196</v>
      </c>
      <c r="C12300" s="10" t="str">
        <f>"9781526461605"</f>
        <v>9781526461605</v>
      </c>
      <c r="D12300" s="10" t="s">
        <v>9325</v>
      </c>
      <c r="E12300" s="10" t="s">
        <v>9326</v>
      </c>
      <c r="F12300" s="10" t="s">
        <v>139</v>
      </c>
      <c r="G12300" s="10" t="s">
        <v>6352</v>
      </c>
      <c r="H12300" s="11">
        <v>43449</v>
      </c>
      <c r="I12300" s="10">
        <v>2018</v>
      </c>
      <c r="J12300" s="10" t="s">
        <v>18376</v>
      </c>
      <c r="K12300" s="10">
        <v>185</v>
      </c>
      <c r="L12300" s="10" t="s">
        <v>52274</v>
      </c>
      <c r="M12300" s="10">
        <v>1</v>
      </c>
      <c r="N12300" s="10"/>
      <c r="O12300" s="10"/>
      <c r="P12300" s="10" t="s">
        <v>52275</v>
      </c>
      <c r="Q12300" s="10">
        <v>370.71100000000001</v>
      </c>
      <c r="R12300" s="10" t="s">
        <v>44825</v>
      </c>
      <c r="S12300" s="10" t="s">
        <v>53</v>
      </c>
      <c r="T12300" s="10" t="s">
        <v>54</v>
      </c>
    </row>
    <row r="12301" spans="1:20" ht="14.5" x14ac:dyDescent="0.35">
      <c r="A12301" s="10" t="s">
        <v>52276</v>
      </c>
      <c r="B12301" s="10" t="str">
        <f>"9781526408273"</f>
        <v>9781526408273</v>
      </c>
      <c r="C12301" s="10" t="str">
        <f>"9781526451743"</f>
        <v>9781526451743</v>
      </c>
      <c r="D12301" s="10" t="s">
        <v>9325</v>
      </c>
      <c r="E12301" s="10" t="s">
        <v>9326</v>
      </c>
      <c r="F12301" s="10" t="s">
        <v>139</v>
      </c>
      <c r="G12301" s="10" t="s">
        <v>6352</v>
      </c>
      <c r="H12301" s="11">
        <v>43419</v>
      </c>
      <c r="I12301" s="10">
        <v>2019</v>
      </c>
      <c r="J12301" s="10" t="s">
        <v>9326</v>
      </c>
      <c r="K12301" s="10">
        <v>201</v>
      </c>
      <c r="L12301" s="10" t="s">
        <v>52277</v>
      </c>
      <c r="M12301" s="10">
        <v>1</v>
      </c>
      <c r="N12301" s="10"/>
      <c r="O12301" s="10"/>
      <c r="P12301" s="10" t="s">
        <v>52278</v>
      </c>
      <c r="Q12301" s="10">
        <v>305.23107199999998</v>
      </c>
      <c r="R12301" s="10" t="s">
        <v>52279</v>
      </c>
      <c r="S12301" s="10" t="s">
        <v>53</v>
      </c>
      <c r="T12301" s="10" t="s">
        <v>6472</v>
      </c>
    </row>
    <row r="12302" spans="1:20" ht="14.5" x14ac:dyDescent="0.35">
      <c r="A12302" s="10" t="s">
        <v>52280</v>
      </c>
      <c r="B12302" s="10" t="str">
        <f>"9781473918894"</f>
        <v>9781473918894</v>
      </c>
      <c r="C12302" s="10" t="str">
        <f>"9781473998438"</f>
        <v>9781473998438</v>
      </c>
      <c r="D12302" s="10" t="s">
        <v>9325</v>
      </c>
      <c r="E12302" s="10" t="s">
        <v>9326</v>
      </c>
      <c r="F12302" s="10" t="s">
        <v>139</v>
      </c>
      <c r="G12302" s="10" t="s">
        <v>6352</v>
      </c>
      <c r="H12302" s="11">
        <v>42770</v>
      </c>
      <c r="I12302" s="10">
        <v>2017</v>
      </c>
      <c r="J12302" s="10" t="s">
        <v>9326</v>
      </c>
      <c r="K12302" s="10">
        <v>153</v>
      </c>
      <c r="L12302" s="10" t="s">
        <v>11877</v>
      </c>
      <c r="M12302" s="10">
        <v>2</v>
      </c>
      <c r="N12302" s="10"/>
      <c r="O12302" s="10"/>
      <c r="P12302" s="10" t="s">
        <v>52281</v>
      </c>
      <c r="Q12302" s="10">
        <v>372.46509409999999</v>
      </c>
      <c r="R12302" s="10" t="s">
        <v>52282</v>
      </c>
      <c r="S12302" s="10" t="s">
        <v>53</v>
      </c>
      <c r="T12302" s="10" t="s">
        <v>54</v>
      </c>
    </row>
    <row r="12303" spans="1:20" ht="14.5" x14ac:dyDescent="0.35">
      <c r="A12303" s="10" t="s">
        <v>52283</v>
      </c>
      <c r="B12303" s="10" t="str">
        <f>"9781446295120"</f>
        <v>9781446295120</v>
      </c>
      <c r="C12303" s="10" t="str">
        <f>"9781473916814"</f>
        <v>9781473916814</v>
      </c>
      <c r="D12303" s="10" t="s">
        <v>9325</v>
      </c>
      <c r="E12303" s="10" t="s">
        <v>9326</v>
      </c>
      <c r="F12303" s="10" t="s">
        <v>139</v>
      </c>
      <c r="G12303" s="10" t="s">
        <v>6352</v>
      </c>
      <c r="H12303" s="11">
        <v>42040</v>
      </c>
      <c r="I12303" s="10">
        <v>2015</v>
      </c>
      <c r="J12303" s="10" t="s">
        <v>9326</v>
      </c>
      <c r="K12303" s="10">
        <v>233</v>
      </c>
      <c r="L12303" s="10" t="s">
        <v>52284</v>
      </c>
      <c r="M12303" s="10">
        <v>2</v>
      </c>
      <c r="N12303" s="10"/>
      <c r="O12303" s="10"/>
      <c r="P12303" s="10" t="s">
        <v>52285</v>
      </c>
      <c r="Q12303" s="10">
        <v>372.65044</v>
      </c>
      <c r="R12303" s="10" t="s">
        <v>52286</v>
      </c>
      <c r="S12303" s="10" t="s">
        <v>53</v>
      </c>
      <c r="T12303" s="10" t="s">
        <v>54</v>
      </c>
    </row>
    <row r="12304" spans="1:20" ht="14.5" x14ac:dyDescent="0.35">
      <c r="A12304" s="10" t="s">
        <v>52287</v>
      </c>
      <c r="B12304" s="10" t="str">
        <f>"9781473995048"</f>
        <v>9781473995048</v>
      </c>
      <c r="C12304" s="10" t="str">
        <f>"9781526462985"</f>
        <v>9781526462985</v>
      </c>
      <c r="D12304" s="10" t="s">
        <v>9325</v>
      </c>
      <c r="E12304" s="10" t="s">
        <v>9326</v>
      </c>
      <c r="F12304" s="10" t="s">
        <v>139</v>
      </c>
      <c r="G12304" s="10" t="s">
        <v>6352</v>
      </c>
      <c r="H12304" s="11">
        <v>43435</v>
      </c>
      <c r="I12304" s="10">
        <v>2019</v>
      </c>
      <c r="J12304" s="10" t="s">
        <v>9326</v>
      </c>
      <c r="K12304" s="10">
        <v>225</v>
      </c>
      <c r="L12304" s="10" t="s">
        <v>52288</v>
      </c>
      <c r="M12304" s="10">
        <v>1</v>
      </c>
      <c r="N12304" s="10"/>
      <c r="O12304" s="10"/>
      <c r="P12304" s="10" t="s">
        <v>52289</v>
      </c>
      <c r="Q12304" s="10">
        <v>370.15230000000003</v>
      </c>
      <c r="R12304" s="10" t="s">
        <v>52290</v>
      </c>
      <c r="S12304" s="10" t="s">
        <v>53</v>
      </c>
      <c r="T12304" s="10" t="s">
        <v>54</v>
      </c>
    </row>
    <row r="12305" spans="1:20" ht="14.5" x14ac:dyDescent="0.35">
      <c r="A12305" s="10" t="s">
        <v>52291</v>
      </c>
      <c r="B12305" s="10" t="str">
        <f>"9789264952010"</f>
        <v>9789264952010</v>
      </c>
      <c r="C12305" s="10" t="str">
        <f>"9789264892736"</f>
        <v>9789264892736</v>
      </c>
      <c r="D12305" s="10" t="s">
        <v>52292</v>
      </c>
      <c r="E12305" s="10" t="s">
        <v>52293</v>
      </c>
      <c r="F12305" s="10" t="s">
        <v>194</v>
      </c>
      <c r="G12305" s="10" t="s">
        <v>31597</v>
      </c>
      <c r="H12305" s="11">
        <v>43566</v>
      </c>
      <c r="I12305" s="10">
        <v>2019</v>
      </c>
      <c r="J12305" s="10" t="s">
        <v>52292</v>
      </c>
      <c r="K12305" s="10">
        <v>166</v>
      </c>
      <c r="L12305" s="10" t="s">
        <v>52292</v>
      </c>
      <c r="M12305" s="10">
        <v>1</v>
      </c>
      <c r="N12305" s="10"/>
      <c r="O12305" s="10"/>
      <c r="P12305" s="10" t="s">
        <v>52294</v>
      </c>
      <c r="Q12305" s="10">
        <v>370.71100000000001</v>
      </c>
      <c r="R12305" s="10" t="s">
        <v>46596</v>
      </c>
      <c r="S12305" s="10" t="s">
        <v>53</v>
      </c>
      <c r="T12305" s="10" t="s">
        <v>54</v>
      </c>
    </row>
    <row r="12306" spans="1:20" ht="14.5" x14ac:dyDescent="0.35">
      <c r="A12306" s="10" t="s">
        <v>52295</v>
      </c>
      <c r="B12306" s="10" t="str">
        <f>"9789264637344"</f>
        <v>9789264637344</v>
      </c>
      <c r="C12306" s="10" t="str">
        <f>"9789264778375"</f>
        <v>9789264778375</v>
      </c>
      <c r="D12306" s="10" t="s">
        <v>52292</v>
      </c>
      <c r="E12306" s="10" t="s">
        <v>52293</v>
      </c>
      <c r="F12306" s="10" t="s">
        <v>194</v>
      </c>
      <c r="G12306" s="10" t="s">
        <v>31597</v>
      </c>
      <c r="H12306" s="11">
        <v>43565</v>
      </c>
      <c r="I12306" s="10">
        <v>2019</v>
      </c>
      <c r="J12306" s="10" t="s">
        <v>52292</v>
      </c>
      <c r="K12306" s="10">
        <v>120</v>
      </c>
      <c r="L12306" s="10" t="s">
        <v>52292</v>
      </c>
      <c r="M12306" s="10">
        <v>1</v>
      </c>
      <c r="N12306" s="10"/>
      <c r="O12306" s="10"/>
      <c r="P12306" s="10" t="s">
        <v>52296</v>
      </c>
      <c r="Q12306" s="10">
        <v>378.1035</v>
      </c>
      <c r="R12306" s="10" t="s">
        <v>52297</v>
      </c>
      <c r="S12306" s="10" t="s">
        <v>53</v>
      </c>
      <c r="T12306" s="10" t="s">
        <v>54</v>
      </c>
    </row>
    <row r="12307" spans="1:20" ht="14.5" x14ac:dyDescent="0.35">
      <c r="A12307" s="10" t="s">
        <v>52298</v>
      </c>
      <c r="B12307" s="10" t="str">
        <f>"9789264563087"</f>
        <v>9789264563087</v>
      </c>
      <c r="C12307" s="10" t="str">
        <f>"9789264959941"</f>
        <v>9789264959941</v>
      </c>
      <c r="D12307" s="10" t="s">
        <v>52292</v>
      </c>
      <c r="E12307" s="10" t="s">
        <v>52293</v>
      </c>
      <c r="F12307" s="10" t="s">
        <v>194</v>
      </c>
      <c r="G12307" s="10" t="s">
        <v>31597</v>
      </c>
      <c r="H12307" s="11">
        <v>43739</v>
      </c>
      <c r="I12307" s="10">
        <v>2019</v>
      </c>
      <c r="J12307" s="10" t="s">
        <v>52292</v>
      </c>
      <c r="K12307" s="10">
        <v>284</v>
      </c>
      <c r="L12307" s="10" t="s">
        <v>52292</v>
      </c>
      <c r="M12307" s="10">
        <v>1</v>
      </c>
      <c r="N12307" s="10"/>
      <c r="O12307" s="10"/>
      <c r="P12307" s="10" t="s">
        <v>52299</v>
      </c>
      <c r="Q12307" s="10">
        <v>306</v>
      </c>
      <c r="R12307" s="10" t="s">
        <v>52300</v>
      </c>
      <c r="S12307" s="10" t="s">
        <v>53</v>
      </c>
      <c r="T12307" s="10" t="s">
        <v>6363</v>
      </c>
    </row>
    <row r="12308" spans="1:20" ht="14.5" x14ac:dyDescent="0.35">
      <c r="A12308" s="10" t="s">
        <v>52301</v>
      </c>
      <c r="B12308" s="10" t="str">
        <f>"9789264309364"</f>
        <v>9789264309364</v>
      </c>
      <c r="C12308" s="10" t="str">
        <f>"9789264309371"</f>
        <v>9789264309371</v>
      </c>
      <c r="D12308" s="10" t="s">
        <v>52292</v>
      </c>
      <c r="E12308" s="10" t="s">
        <v>52293</v>
      </c>
      <c r="F12308" s="10" t="s">
        <v>194</v>
      </c>
      <c r="G12308" s="10" t="s">
        <v>31597</v>
      </c>
      <c r="H12308" s="11">
        <v>43475</v>
      </c>
      <c r="I12308" s="10">
        <v>2019</v>
      </c>
      <c r="J12308" s="10" t="s">
        <v>52292</v>
      </c>
      <c r="K12308" s="10">
        <v>206</v>
      </c>
      <c r="L12308" s="10" t="s">
        <v>52292</v>
      </c>
      <c r="M12308" s="10">
        <v>1</v>
      </c>
      <c r="N12308" s="10"/>
      <c r="O12308" s="10"/>
      <c r="P12308" s="10" t="s">
        <v>52302</v>
      </c>
      <c r="Q12308" s="10">
        <v>378</v>
      </c>
      <c r="R12308" s="10" t="s">
        <v>52303</v>
      </c>
      <c r="S12308" s="10" t="s">
        <v>53</v>
      </c>
      <c r="T12308" s="10" t="s">
        <v>54</v>
      </c>
    </row>
    <row r="12309" spans="1:20" ht="14.5" x14ac:dyDescent="0.35">
      <c r="A12309" s="10" t="s">
        <v>52304</v>
      </c>
      <c r="B12309" s="10" t="str">
        <f>"9789264309043"</f>
        <v>9789264309043</v>
      </c>
      <c r="C12309" s="10" t="str">
        <f>"9789264309050"</f>
        <v>9789264309050</v>
      </c>
      <c r="D12309" s="10" t="s">
        <v>52292</v>
      </c>
      <c r="E12309" s="10" t="s">
        <v>52293</v>
      </c>
      <c r="F12309" s="10" t="s">
        <v>194</v>
      </c>
      <c r="G12309" s="10" t="s">
        <v>31597</v>
      </c>
      <c r="H12309" s="11">
        <v>43455</v>
      </c>
      <c r="I12309" s="10">
        <v>2018</v>
      </c>
      <c r="J12309" s="10" t="s">
        <v>52292</v>
      </c>
      <c r="K12309" s="10">
        <v>184</v>
      </c>
      <c r="L12309" s="10" t="s">
        <v>52292</v>
      </c>
      <c r="M12309" s="10">
        <v>1</v>
      </c>
      <c r="N12309" s="10"/>
      <c r="O12309" s="10"/>
      <c r="P12309" s="10" t="s">
        <v>52305</v>
      </c>
      <c r="Q12309" s="10">
        <v>370</v>
      </c>
      <c r="R12309" s="10" t="s">
        <v>52306</v>
      </c>
      <c r="S12309" s="10" t="s">
        <v>53</v>
      </c>
      <c r="T12309" s="10" t="s">
        <v>54</v>
      </c>
    </row>
    <row r="12310" spans="1:20" ht="14.5" x14ac:dyDescent="0.35">
      <c r="A12310" s="10" t="s">
        <v>52307</v>
      </c>
      <c r="B12310" s="10" t="str">
        <f>"9789264661950"</f>
        <v>9789264661950</v>
      </c>
      <c r="C12310" s="10" t="str">
        <f>"9789264312548"</f>
        <v>9789264312548</v>
      </c>
      <c r="D12310" s="10" t="s">
        <v>52292</v>
      </c>
      <c r="E12310" s="10" t="s">
        <v>52293</v>
      </c>
      <c r="F12310" s="10" t="s">
        <v>194</v>
      </c>
      <c r="G12310" s="10" t="s">
        <v>31597</v>
      </c>
      <c r="H12310" s="11">
        <v>43531</v>
      </c>
      <c r="I12310" s="10">
        <v>2019</v>
      </c>
      <c r="J12310" s="10" t="s">
        <v>52292</v>
      </c>
      <c r="K12310" s="10">
        <v>218</v>
      </c>
      <c r="L12310" s="10" t="s">
        <v>52292</v>
      </c>
      <c r="M12310" s="10">
        <v>1</v>
      </c>
      <c r="N12310" s="10"/>
      <c r="O12310" s="10"/>
      <c r="P12310" s="10" t="s">
        <v>52308</v>
      </c>
      <c r="Q12310" s="10">
        <v>378.72</v>
      </c>
      <c r="R12310" s="10" t="s">
        <v>52309</v>
      </c>
      <c r="S12310" s="10" t="s">
        <v>53</v>
      </c>
      <c r="T12310" s="10" t="s">
        <v>54</v>
      </c>
    </row>
    <row r="12311" spans="1:20" ht="14.5" x14ac:dyDescent="0.35">
      <c r="A12311" s="10" t="s">
        <v>52310</v>
      </c>
      <c r="B12311" s="10" t="str">
        <f>"9789264889569"</f>
        <v>9789264889569</v>
      </c>
      <c r="C12311" s="10" t="str">
        <f>"9789264313873"</f>
        <v>9789264313873</v>
      </c>
      <c r="D12311" s="10" t="s">
        <v>52292</v>
      </c>
      <c r="E12311" s="10" t="s">
        <v>52311</v>
      </c>
      <c r="F12311" s="10" t="s">
        <v>194</v>
      </c>
      <c r="G12311" s="10" t="s">
        <v>31597</v>
      </c>
      <c r="H12311" s="11">
        <v>43574</v>
      </c>
      <c r="I12311" s="10">
        <v>2019</v>
      </c>
      <c r="J12311" s="10" t="s">
        <v>52311</v>
      </c>
      <c r="K12311" s="10">
        <v>83</v>
      </c>
      <c r="L12311" s="10" t="s">
        <v>52312</v>
      </c>
      <c r="M12311" s="10">
        <v>1</v>
      </c>
      <c r="N12311" s="10"/>
      <c r="O12311" s="10"/>
      <c r="P12311" s="10" t="s">
        <v>52313</v>
      </c>
      <c r="Q12311" s="10">
        <v>372.21</v>
      </c>
      <c r="R12311" s="10" t="s">
        <v>24042</v>
      </c>
      <c r="S12311" s="10" t="s">
        <v>53</v>
      </c>
      <c r="T12311" s="10" t="s">
        <v>54</v>
      </c>
    </row>
    <row r="12312" spans="1:20" ht="14.5" x14ac:dyDescent="0.35">
      <c r="A12312" s="10" t="s">
        <v>52314</v>
      </c>
      <c r="B12312" s="10" t="str">
        <f>"9789264249493"</f>
        <v>9789264249493</v>
      </c>
      <c r="C12312" s="10" t="str">
        <f>"9789264249509"</f>
        <v>9789264249509</v>
      </c>
      <c r="D12312" s="10" t="s">
        <v>52292</v>
      </c>
      <c r="E12312" s="10" t="s">
        <v>52293</v>
      </c>
      <c r="F12312" s="10" t="s">
        <v>194</v>
      </c>
      <c r="G12312" s="10" t="s">
        <v>31597</v>
      </c>
      <c r="H12312" s="11">
        <v>42355</v>
      </c>
      <c r="I12312" s="10">
        <v>2015</v>
      </c>
      <c r="J12312" s="10" t="s">
        <v>52292</v>
      </c>
      <c r="K12312" s="10">
        <v>124</v>
      </c>
      <c r="L12312" s="10" t="s">
        <v>52292</v>
      </c>
      <c r="M12312" s="10">
        <v>1</v>
      </c>
      <c r="N12312" s="10"/>
      <c r="O12312" s="10"/>
      <c r="P12312" s="10" t="s">
        <v>52315</v>
      </c>
      <c r="Q12312" s="10">
        <v>354.81150006000001</v>
      </c>
      <c r="R12312" s="10" t="s">
        <v>52316</v>
      </c>
      <c r="S12312" s="10" t="s">
        <v>53</v>
      </c>
      <c r="T12312" s="10" t="s">
        <v>7807</v>
      </c>
    </row>
    <row r="12313" spans="1:20" ht="14.5" x14ac:dyDescent="0.35">
      <c r="A12313" s="10" t="s">
        <v>52317</v>
      </c>
      <c r="B12313" s="10" t="str">
        <f>"9781906004293"</f>
        <v>9781906004293</v>
      </c>
      <c r="C12313" s="10" t="str">
        <f>"9781906004729"</f>
        <v>9781906004729</v>
      </c>
      <c r="D12313" s="10" t="s">
        <v>52318</v>
      </c>
      <c r="E12313" s="10" t="s">
        <v>52319</v>
      </c>
      <c r="F12313" s="10" t="s">
        <v>2723</v>
      </c>
      <c r="G12313" s="10" t="s">
        <v>49058</v>
      </c>
      <c r="H12313" s="11">
        <v>42125</v>
      </c>
      <c r="I12313" s="10">
        <v>2014</v>
      </c>
      <c r="J12313" s="10" t="s">
        <v>52319</v>
      </c>
      <c r="K12313" s="10">
        <v>129</v>
      </c>
      <c r="L12313" s="10" t="s">
        <v>52318</v>
      </c>
      <c r="M12313" s="10">
        <v>1</v>
      </c>
      <c r="N12313" s="10"/>
      <c r="O12313" s="10"/>
      <c r="P12313" s="10" t="s">
        <v>52320</v>
      </c>
      <c r="Q12313" s="10">
        <v>371.10239999999999</v>
      </c>
      <c r="R12313" s="10" t="s">
        <v>52321</v>
      </c>
      <c r="S12313" s="10" t="s">
        <v>53</v>
      </c>
      <c r="T12313" s="10" t="s">
        <v>54</v>
      </c>
    </row>
    <row r="12314" spans="1:20" ht="14.5" x14ac:dyDescent="0.35">
      <c r="A12314" s="10" t="s">
        <v>52322</v>
      </c>
      <c r="B12314" s="10" t="str">
        <f>"9781906004262"</f>
        <v>9781906004262</v>
      </c>
      <c r="C12314" s="10" t="str">
        <f>"9781906004699"</f>
        <v>9781906004699</v>
      </c>
      <c r="D12314" s="10" t="s">
        <v>52318</v>
      </c>
      <c r="E12314" s="10" t="s">
        <v>52319</v>
      </c>
      <c r="F12314" s="10" t="s">
        <v>2723</v>
      </c>
      <c r="G12314" s="10" t="s">
        <v>49058</v>
      </c>
      <c r="H12314" s="11">
        <v>41456</v>
      </c>
      <c r="I12314" s="10">
        <v>2013</v>
      </c>
      <c r="J12314" s="10" t="s">
        <v>52319</v>
      </c>
      <c r="K12314" s="10">
        <v>170</v>
      </c>
      <c r="L12314" s="10" t="s">
        <v>52323</v>
      </c>
      <c r="M12314" s="10">
        <v>1</v>
      </c>
      <c r="N12314" s="10"/>
      <c r="O12314" s="10"/>
      <c r="P12314" s="10" t="s">
        <v>52324</v>
      </c>
      <c r="Q12314" s="10">
        <v>306.44</v>
      </c>
      <c r="R12314" s="10" t="s">
        <v>14503</v>
      </c>
      <c r="S12314" s="10" t="s">
        <v>53</v>
      </c>
      <c r="T12314" s="10" t="s">
        <v>8412</v>
      </c>
    </row>
    <row r="12315" spans="1:20" ht="14.5" x14ac:dyDescent="0.35">
      <c r="A12315" s="10" t="s">
        <v>52325</v>
      </c>
      <c r="B12315" s="10" t="str">
        <f>"9781906004286"</f>
        <v>9781906004286</v>
      </c>
      <c r="C12315" s="10" t="str">
        <f>"9781906004620"</f>
        <v>9781906004620</v>
      </c>
      <c r="D12315" s="10" t="s">
        <v>52318</v>
      </c>
      <c r="E12315" s="10" t="s">
        <v>52319</v>
      </c>
      <c r="F12315" s="10" t="s">
        <v>2723</v>
      </c>
      <c r="G12315" s="10" t="s">
        <v>49058</v>
      </c>
      <c r="H12315" s="11">
        <v>41456</v>
      </c>
      <c r="I12315" s="10">
        <v>2013</v>
      </c>
      <c r="J12315" s="10" t="s">
        <v>52319</v>
      </c>
      <c r="K12315" s="10">
        <v>126</v>
      </c>
      <c r="L12315" s="10" t="s">
        <v>52326</v>
      </c>
      <c r="M12315" s="10">
        <v>1</v>
      </c>
      <c r="N12315" s="10"/>
      <c r="O12315" s="10"/>
      <c r="P12315" s="10" t="s">
        <v>52327</v>
      </c>
      <c r="Q12315" s="10">
        <v>649.10799999999995</v>
      </c>
      <c r="R12315" s="10" t="s">
        <v>52328</v>
      </c>
      <c r="S12315" s="10" t="s">
        <v>53</v>
      </c>
      <c r="T12315" s="10" t="s">
        <v>9843</v>
      </c>
    </row>
    <row r="12316" spans="1:20" ht="14.5" x14ac:dyDescent="0.35">
      <c r="A12316" s="10" t="s">
        <v>52329</v>
      </c>
      <c r="B12316" s="10" t="str">
        <f>"9781906004392"</f>
        <v>9781906004392</v>
      </c>
      <c r="C12316" s="10" t="str">
        <f>"9781906004675"</f>
        <v>9781906004675</v>
      </c>
      <c r="D12316" s="10" t="s">
        <v>52318</v>
      </c>
      <c r="E12316" s="10" t="s">
        <v>52319</v>
      </c>
      <c r="F12316" s="10" t="s">
        <v>2723</v>
      </c>
      <c r="G12316" s="10" t="s">
        <v>49058</v>
      </c>
      <c r="H12316" s="11">
        <v>42795</v>
      </c>
      <c r="I12316" s="10">
        <v>2017</v>
      </c>
      <c r="J12316" s="10" t="s">
        <v>52319</v>
      </c>
      <c r="K12316" s="10">
        <v>170</v>
      </c>
      <c r="L12316" s="10" t="s">
        <v>52330</v>
      </c>
      <c r="M12316" s="10">
        <v>1</v>
      </c>
      <c r="N12316" s="10"/>
      <c r="O12316" s="10"/>
      <c r="P12316" s="10" t="s">
        <v>52331</v>
      </c>
      <c r="Q12316" s="10">
        <v>372.21</v>
      </c>
      <c r="R12316" s="10" t="s">
        <v>24042</v>
      </c>
      <c r="S12316" s="10" t="s">
        <v>53</v>
      </c>
      <c r="T12316" s="10" t="s">
        <v>54</v>
      </c>
    </row>
    <row r="12317" spans="1:20" ht="14.5" x14ac:dyDescent="0.35">
      <c r="A12317" s="10" t="s">
        <v>52332</v>
      </c>
      <c r="B12317" s="10" t="str">
        <f>"9781906004538"</f>
        <v>9781906004538</v>
      </c>
      <c r="C12317" s="10" t="str">
        <f>"9781906004613"</f>
        <v>9781906004613</v>
      </c>
      <c r="D12317" s="10" t="s">
        <v>52318</v>
      </c>
      <c r="E12317" s="10" t="s">
        <v>52319</v>
      </c>
      <c r="F12317" s="10" t="s">
        <v>2723</v>
      </c>
      <c r="G12317" s="10" t="s">
        <v>49058</v>
      </c>
      <c r="H12317" s="11">
        <v>43725</v>
      </c>
      <c r="I12317" s="10">
        <v>2019</v>
      </c>
      <c r="J12317" s="10" t="s">
        <v>52319</v>
      </c>
      <c r="K12317" s="10">
        <v>72</v>
      </c>
      <c r="L12317" s="10" t="s">
        <v>52333</v>
      </c>
      <c r="M12317" s="10">
        <v>1</v>
      </c>
      <c r="N12317" s="10"/>
      <c r="O12317" s="10"/>
      <c r="P12317" s="10" t="s">
        <v>52334</v>
      </c>
      <c r="Q12317" s="10">
        <v>372.21</v>
      </c>
      <c r="R12317" s="10" t="s">
        <v>24042</v>
      </c>
      <c r="S12317" s="10" t="s">
        <v>53</v>
      </c>
      <c r="T12317" s="10" t="s">
        <v>54</v>
      </c>
    </row>
    <row r="12318" spans="1:20" ht="14.5" x14ac:dyDescent="0.35">
      <c r="A12318" s="10" t="s">
        <v>52335</v>
      </c>
      <c r="B12318" s="10" t="str">
        <f>"9781906004514"</f>
        <v>9781906004514</v>
      </c>
      <c r="C12318" s="10" t="str">
        <f>"9781906004712"</f>
        <v>9781906004712</v>
      </c>
      <c r="D12318" s="10" t="s">
        <v>52318</v>
      </c>
      <c r="E12318" s="10" t="s">
        <v>52319</v>
      </c>
      <c r="F12318" s="10" t="s">
        <v>2723</v>
      </c>
      <c r="G12318" s="10" t="s">
        <v>49058</v>
      </c>
      <c r="H12318" s="11">
        <v>43808</v>
      </c>
      <c r="I12318" s="10">
        <v>2019</v>
      </c>
      <c r="J12318" s="10" t="s">
        <v>52319</v>
      </c>
      <c r="K12318" s="10">
        <v>99</v>
      </c>
      <c r="L12318" s="10" t="s">
        <v>52336</v>
      </c>
      <c r="M12318" s="10">
        <v>1</v>
      </c>
      <c r="N12318" s="10"/>
      <c r="O12318" s="10"/>
      <c r="P12318" s="10" t="s">
        <v>52337</v>
      </c>
      <c r="Q12318" s="10">
        <v>372.21</v>
      </c>
      <c r="R12318" s="10" t="s">
        <v>24042</v>
      </c>
      <c r="S12318" s="10" t="s">
        <v>53</v>
      </c>
      <c r="T12318" s="10" t="s">
        <v>54</v>
      </c>
    </row>
    <row r="12319" spans="1:20" ht="14.5" x14ac:dyDescent="0.35">
      <c r="A12319" s="10" t="s">
        <v>52338</v>
      </c>
      <c r="B12319" s="10" t="str">
        <f>"9781906004330"</f>
        <v>9781906004330</v>
      </c>
      <c r="C12319" s="10" t="str">
        <f>"9781906004651"</f>
        <v>9781906004651</v>
      </c>
      <c r="D12319" s="10" t="s">
        <v>52318</v>
      </c>
      <c r="E12319" s="10" t="s">
        <v>52319</v>
      </c>
      <c r="F12319" s="10" t="s">
        <v>2723</v>
      </c>
      <c r="G12319" s="10" t="s">
        <v>49058</v>
      </c>
      <c r="H12319" s="11">
        <v>42186</v>
      </c>
      <c r="I12319" s="10">
        <v>2015</v>
      </c>
      <c r="J12319" s="10" t="s">
        <v>52319</v>
      </c>
      <c r="K12319" s="10">
        <v>82</v>
      </c>
      <c r="L12319" s="10" t="s">
        <v>52339</v>
      </c>
      <c r="M12319" s="10">
        <v>1</v>
      </c>
      <c r="N12319" s="10"/>
      <c r="O12319" s="10"/>
      <c r="P12319" s="10" t="s">
        <v>52340</v>
      </c>
      <c r="Q12319" s="10">
        <v>362.70420000000001</v>
      </c>
      <c r="R12319" s="10" t="s">
        <v>52341</v>
      </c>
      <c r="S12319" s="10" t="s">
        <v>53</v>
      </c>
      <c r="T12319" s="10" t="s">
        <v>6363</v>
      </c>
    </row>
    <row r="12320" spans="1:20" ht="14.5" x14ac:dyDescent="0.35">
      <c r="A12320" s="10" t="s">
        <v>52342</v>
      </c>
      <c r="B12320" s="10" t="str">
        <f>"9781906004309"</f>
        <v>9781906004309</v>
      </c>
      <c r="C12320" s="10" t="str">
        <f>"9781906004774"</f>
        <v>9781906004774</v>
      </c>
      <c r="D12320" s="10" t="s">
        <v>52318</v>
      </c>
      <c r="E12320" s="10" t="s">
        <v>52319</v>
      </c>
      <c r="F12320" s="10" t="s">
        <v>2723</v>
      </c>
      <c r="G12320" s="10" t="s">
        <v>49058</v>
      </c>
      <c r="H12320" s="11">
        <v>41821</v>
      </c>
      <c r="I12320" s="10">
        <v>2014</v>
      </c>
      <c r="J12320" s="10" t="s">
        <v>52319</v>
      </c>
      <c r="K12320" s="10">
        <v>153</v>
      </c>
      <c r="L12320" s="10" t="s">
        <v>52343</v>
      </c>
      <c r="M12320" s="10">
        <v>1</v>
      </c>
      <c r="N12320" s="10"/>
      <c r="O12320" s="10"/>
      <c r="P12320" s="10" t="s">
        <v>52344</v>
      </c>
      <c r="Q12320" s="10">
        <v>362.70941699999997</v>
      </c>
      <c r="R12320" s="10" t="s">
        <v>52345</v>
      </c>
      <c r="S12320" s="10" t="s">
        <v>53</v>
      </c>
      <c r="T12320" s="10" t="s">
        <v>6363</v>
      </c>
    </row>
    <row r="12321" spans="1:20" ht="14.5" x14ac:dyDescent="0.35">
      <c r="A12321" s="10" t="s">
        <v>52346</v>
      </c>
      <c r="B12321" s="10" t="str">
        <f>"9781906004569"</f>
        <v>9781906004569</v>
      </c>
      <c r="C12321" s="10" t="str">
        <f>"9781906004668"</f>
        <v>9781906004668</v>
      </c>
      <c r="D12321" s="10" t="s">
        <v>52318</v>
      </c>
      <c r="E12321" s="10" t="s">
        <v>52319</v>
      </c>
      <c r="F12321" s="10" t="s">
        <v>2723</v>
      </c>
      <c r="G12321" s="10" t="s">
        <v>49058</v>
      </c>
      <c r="H12321" s="11">
        <v>43950</v>
      </c>
      <c r="I12321" s="10">
        <v>2020</v>
      </c>
      <c r="J12321" s="10" t="s">
        <v>52319</v>
      </c>
      <c r="K12321" s="10">
        <v>88</v>
      </c>
      <c r="L12321" s="10" t="s">
        <v>52347</v>
      </c>
      <c r="M12321" s="10">
        <v>1</v>
      </c>
      <c r="N12321" s="10"/>
      <c r="O12321" s="10"/>
      <c r="P12321" s="10" t="s">
        <v>52348</v>
      </c>
      <c r="Q12321" s="10">
        <v>372.21</v>
      </c>
      <c r="R12321" s="10" t="s">
        <v>24042</v>
      </c>
      <c r="S12321" s="10" t="s">
        <v>53</v>
      </c>
      <c r="T12321" s="10" t="s">
        <v>54</v>
      </c>
    </row>
    <row r="12322" spans="1:20" ht="14.5" x14ac:dyDescent="0.35">
      <c r="A12322" s="10" t="s">
        <v>52349</v>
      </c>
      <c r="B12322" s="10" t="str">
        <f>"9781906004439"</f>
        <v>9781906004439</v>
      </c>
      <c r="C12322" s="10" t="str">
        <f>"9781906004644"</f>
        <v>9781906004644</v>
      </c>
      <c r="D12322" s="10" t="s">
        <v>52318</v>
      </c>
      <c r="E12322" s="10" t="s">
        <v>52319</v>
      </c>
      <c r="F12322" s="10" t="s">
        <v>2723</v>
      </c>
      <c r="G12322" s="10" t="s">
        <v>49058</v>
      </c>
      <c r="H12322" s="11">
        <v>43432</v>
      </c>
      <c r="I12322" s="10">
        <v>2013</v>
      </c>
      <c r="J12322" s="10" t="s">
        <v>52319</v>
      </c>
      <c r="K12322" s="10">
        <v>230</v>
      </c>
      <c r="L12322" s="10" t="s">
        <v>52323</v>
      </c>
      <c r="M12322" s="10">
        <v>1</v>
      </c>
      <c r="N12322" s="10"/>
      <c r="O12322" s="10"/>
      <c r="P12322" s="10" t="s">
        <v>52350</v>
      </c>
      <c r="Q12322" s="10">
        <v>372.21</v>
      </c>
      <c r="R12322" s="10" t="s">
        <v>24042</v>
      </c>
      <c r="S12322" s="10" t="s">
        <v>53</v>
      </c>
      <c r="T12322" s="10" t="s">
        <v>54</v>
      </c>
    </row>
    <row r="12323" spans="1:20" ht="14.5" x14ac:dyDescent="0.35">
      <c r="A12323" s="10" t="s">
        <v>52351</v>
      </c>
      <c r="B12323" s="10" t="str">
        <f>"9781906004378"</f>
        <v>9781906004378</v>
      </c>
      <c r="C12323" s="10" t="str">
        <f>"9781906004682"</f>
        <v>9781906004682</v>
      </c>
      <c r="D12323" s="10" t="s">
        <v>52318</v>
      </c>
      <c r="E12323" s="10" t="s">
        <v>52319</v>
      </c>
      <c r="F12323" s="10" t="s">
        <v>2723</v>
      </c>
      <c r="G12323" s="10" t="s">
        <v>49058</v>
      </c>
      <c r="H12323" s="11">
        <v>42552</v>
      </c>
      <c r="I12323" s="10">
        <v>2016</v>
      </c>
      <c r="J12323" s="10" t="s">
        <v>52319</v>
      </c>
      <c r="K12323" s="10">
        <v>149</v>
      </c>
      <c r="L12323" s="10" t="s">
        <v>52318</v>
      </c>
      <c r="M12323" s="10">
        <v>1</v>
      </c>
      <c r="N12323" s="10"/>
      <c r="O12323" s="10"/>
      <c r="P12323" s="10" t="s">
        <v>52352</v>
      </c>
      <c r="Q12323" s="10">
        <v>305.23099999999999</v>
      </c>
      <c r="R12323" s="10" t="s">
        <v>52353</v>
      </c>
      <c r="S12323" s="10" t="s">
        <v>53</v>
      </c>
      <c r="T12323" s="10" t="s">
        <v>6363</v>
      </c>
    </row>
    <row r="12324" spans="1:20" ht="14.5" x14ac:dyDescent="0.35">
      <c r="A12324" s="10" t="s">
        <v>52354</v>
      </c>
      <c r="B12324" s="10" t="str">
        <f>"9781906004477"</f>
        <v>9781906004477</v>
      </c>
      <c r="C12324" s="10" t="str">
        <f>"9781906004798"</f>
        <v>9781906004798</v>
      </c>
      <c r="D12324" s="10" t="s">
        <v>52318</v>
      </c>
      <c r="E12324" s="10" t="s">
        <v>52319</v>
      </c>
      <c r="F12324" s="10" t="s">
        <v>2723</v>
      </c>
      <c r="G12324" s="10" t="s">
        <v>49058</v>
      </c>
      <c r="H12324" s="11">
        <v>43282</v>
      </c>
      <c r="I12324" s="10">
        <v>2018</v>
      </c>
      <c r="J12324" s="10" t="s">
        <v>52319</v>
      </c>
      <c r="K12324" s="10">
        <v>144</v>
      </c>
      <c r="L12324" s="10" t="s">
        <v>52318</v>
      </c>
      <c r="M12324" s="10">
        <v>4</v>
      </c>
      <c r="N12324" s="10"/>
      <c r="O12324" s="10"/>
      <c r="P12324" s="10" t="s">
        <v>52355</v>
      </c>
      <c r="Q12324" s="10">
        <v>362.70941699999997</v>
      </c>
      <c r="R12324" s="10" t="s">
        <v>52345</v>
      </c>
      <c r="S12324" s="10" t="s">
        <v>53</v>
      </c>
      <c r="T12324" s="10" t="s">
        <v>6363</v>
      </c>
    </row>
    <row r="12325" spans="1:20" ht="14.5" x14ac:dyDescent="0.35">
      <c r="A12325" s="10" t="s">
        <v>52356</v>
      </c>
      <c r="B12325" s="10" t="str">
        <f>"9780367353674"</f>
        <v>9780367353674</v>
      </c>
      <c r="C12325" s="10" t="str">
        <f>"9781000290936"</f>
        <v>9781000290936</v>
      </c>
      <c r="D12325" s="10" t="s">
        <v>6350</v>
      </c>
      <c r="E12325" s="10" t="s">
        <v>6351</v>
      </c>
      <c r="F12325" s="10" t="s">
        <v>748</v>
      </c>
      <c r="G12325" s="10" t="s">
        <v>6352</v>
      </c>
      <c r="H12325" s="11">
        <v>44195</v>
      </c>
      <c r="I12325" s="10">
        <v>2021</v>
      </c>
      <c r="J12325" s="10" t="s">
        <v>6351</v>
      </c>
      <c r="K12325" s="10">
        <v>539</v>
      </c>
      <c r="L12325" s="10" t="s">
        <v>52357</v>
      </c>
      <c r="M12325" s="10">
        <v>1</v>
      </c>
      <c r="N12325" s="10" t="s">
        <v>8846</v>
      </c>
      <c r="O12325" s="10"/>
      <c r="P12325" s="10" t="s">
        <v>52358</v>
      </c>
      <c r="Q12325" s="10">
        <v>370.15023000000002</v>
      </c>
      <c r="R12325" s="10" t="s">
        <v>52359</v>
      </c>
      <c r="S12325" s="10" t="s">
        <v>53</v>
      </c>
      <c r="T12325" s="10" t="s">
        <v>54</v>
      </c>
    </row>
    <row r="12326" spans="1:20" ht="14.5" x14ac:dyDescent="0.35">
      <c r="A12326" s="10" t="s">
        <v>52360</v>
      </c>
      <c r="B12326" s="10" t="str">
        <f>"9781137024190"</f>
        <v>9781137024190</v>
      </c>
      <c r="C12326" s="10" t="str">
        <f>"9781137024206"</f>
        <v>9781137024206</v>
      </c>
      <c r="D12326" s="10" t="s">
        <v>13959</v>
      </c>
      <c r="E12326" s="10" t="s">
        <v>13960</v>
      </c>
      <c r="F12326" s="10" t="s">
        <v>139</v>
      </c>
      <c r="G12326" s="10" t="s">
        <v>6352</v>
      </c>
      <c r="H12326" s="11">
        <v>41507</v>
      </c>
      <c r="I12326" s="10">
        <v>2013</v>
      </c>
      <c r="J12326" s="10" t="s">
        <v>39618</v>
      </c>
      <c r="K12326" s="10">
        <v>255</v>
      </c>
      <c r="L12326" s="10" t="s">
        <v>52361</v>
      </c>
      <c r="M12326" s="10">
        <v>1</v>
      </c>
      <c r="N12326" s="10" t="s">
        <v>43888</v>
      </c>
      <c r="O12326" s="10"/>
      <c r="P12326" s="10" t="s">
        <v>43889</v>
      </c>
      <c r="Q12326" s="10">
        <v>378.24200000000002</v>
      </c>
      <c r="R12326" s="10" t="s">
        <v>8464</v>
      </c>
      <c r="S12326" s="10" t="s">
        <v>53</v>
      </c>
      <c r="T12326" s="10" t="s">
        <v>54</v>
      </c>
    </row>
    <row r="12327" spans="1:20" ht="14.5" x14ac:dyDescent="0.35">
      <c r="A12327" s="10" t="s">
        <v>52362</v>
      </c>
      <c r="B12327" s="10" t="str">
        <f>"9789004396142"</f>
        <v>9789004396142</v>
      </c>
      <c r="C12327" s="10" t="str">
        <f>"9789004447769"</f>
        <v>9789004447769</v>
      </c>
      <c r="D12327" s="10" t="s">
        <v>8564</v>
      </c>
      <c r="E12327" s="10" t="s">
        <v>8565</v>
      </c>
      <c r="F12327" s="10" t="s">
        <v>1420</v>
      </c>
      <c r="G12327" s="10" t="s">
        <v>6317</v>
      </c>
      <c r="H12327" s="11">
        <v>44168</v>
      </c>
      <c r="I12327" s="10">
        <v>2021</v>
      </c>
      <c r="J12327" s="10" t="s">
        <v>33259</v>
      </c>
      <c r="K12327" s="10">
        <v>134</v>
      </c>
      <c r="L12327" s="10" t="s">
        <v>50454</v>
      </c>
      <c r="M12327" s="10">
        <v>1</v>
      </c>
      <c r="N12327" s="10" t="s">
        <v>48986</v>
      </c>
      <c r="O12327" s="10">
        <v>5</v>
      </c>
      <c r="P12327" s="10"/>
      <c r="Q12327" s="10"/>
      <c r="R12327" s="10" t="s">
        <v>52363</v>
      </c>
      <c r="S12327" s="10" t="s">
        <v>53</v>
      </c>
      <c r="T12327" s="10" t="s">
        <v>54</v>
      </c>
    </row>
    <row r="12328" spans="1:20" ht="14.5" x14ac:dyDescent="0.35">
      <c r="A12328" s="10" t="s">
        <v>52364</v>
      </c>
      <c r="B12328" s="10" t="str">
        <f>"9789004446380"</f>
        <v>9789004446380</v>
      </c>
      <c r="C12328" s="10" t="str">
        <f>"9789004446397"</f>
        <v>9789004446397</v>
      </c>
      <c r="D12328" s="10" t="s">
        <v>8564</v>
      </c>
      <c r="E12328" s="10" t="s">
        <v>8565</v>
      </c>
      <c r="F12328" s="10" t="s">
        <v>1420</v>
      </c>
      <c r="G12328" s="10" t="s">
        <v>6317</v>
      </c>
      <c r="H12328" s="11">
        <v>44168</v>
      </c>
      <c r="I12328" s="10">
        <v>2021</v>
      </c>
      <c r="J12328" s="10" t="s">
        <v>33259</v>
      </c>
      <c r="K12328" s="10">
        <v>169</v>
      </c>
      <c r="L12328" s="10" t="s">
        <v>52365</v>
      </c>
      <c r="M12328" s="10">
        <v>1</v>
      </c>
      <c r="N12328" s="10"/>
      <c r="O12328" s="10"/>
      <c r="P12328" s="10"/>
      <c r="Q12328" s="10"/>
      <c r="R12328" s="10"/>
      <c r="S12328" s="10" t="s">
        <v>53</v>
      </c>
      <c r="T12328" s="10" t="s">
        <v>54</v>
      </c>
    </row>
    <row r="12329" spans="1:20" ht="14.5" x14ac:dyDescent="0.35">
      <c r="A12329" s="10" t="s">
        <v>52366</v>
      </c>
      <c r="B12329" s="10" t="str">
        <f>"9781421440347"</f>
        <v>9781421440347</v>
      </c>
      <c r="C12329" s="10" t="str">
        <f>"9781421440354"</f>
        <v>9781421440354</v>
      </c>
      <c r="D12329" s="10" t="s">
        <v>884</v>
      </c>
      <c r="E12329" s="10" t="s">
        <v>884</v>
      </c>
      <c r="F12329" s="10" t="s">
        <v>885</v>
      </c>
      <c r="G12329" s="10" t="s">
        <v>6317</v>
      </c>
      <c r="H12329" s="11">
        <v>44208</v>
      </c>
      <c r="I12329" s="10">
        <v>2020</v>
      </c>
      <c r="J12329" s="10" t="s">
        <v>884</v>
      </c>
      <c r="K12329" s="10">
        <v>257</v>
      </c>
      <c r="L12329" s="10" t="s">
        <v>52367</v>
      </c>
      <c r="M12329" s="10">
        <v>1</v>
      </c>
      <c r="N12329" s="10" t="s">
        <v>35979</v>
      </c>
      <c r="O12329" s="10"/>
      <c r="P12329" s="10"/>
      <c r="Q12329" s="10">
        <v>378.101</v>
      </c>
      <c r="R12329" s="10"/>
      <c r="S12329" s="10" t="s">
        <v>53</v>
      </c>
      <c r="T12329" s="10" t="s">
        <v>54</v>
      </c>
    </row>
    <row r="12330" spans="1:20" ht="14.5" x14ac:dyDescent="0.35">
      <c r="A12330" s="10" t="s">
        <v>52368</v>
      </c>
      <c r="B12330" s="10" t="str">
        <f>"9780367360603"</f>
        <v>9780367360603</v>
      </c>
      <c r="C12330" s="10" t="str">
        <f>"9781000328547"</f>
        <v>9781000328547</v>
      </c>
      <c r="D12330" s="10" t="s">
        <v>6350</v>
      </c>
      <c r="E12330" s="10" t="s">
        <v>6351</v>
      </c>
      <c r="F12330" s="10" t="s">
        <v>3967</v>
      </c>
      <c r="G12330" s="10" t="s">
        <v>6352</v>
      </c>
      <c r="H12330" s="11">
        <v>44166</v>
      </c>
      <c r="I12330" s="10">
        <v>2021</v>
      </c>
      <c r="J12330" s="10" t="s">
        <v>6353</v>
      </c>
      <c r="K12330" s="10">
        <v>263</v>
      </c>
      <c r="L12330" s="10" t="s">
        <v>52369</v>
      </c>
      <c r="M12330" s="10">
        <v>1</v>
      </c>
      <c r="N12330" s="10" t="s">
        <v>52370</v>
      </c>
      <c r="O12330" s="10"/>
      <c r="P12330" s="10" t="s">
        <v>52371</v>
      </c>
      <c r="Q12330" s="10">
        <v>378.6</v>
      </c>
      <c r="R12330" s="10" t="s">
        <v>52372</v>
      </c>
      <c r="S12330" s="10" t="s">
        <v>53</v>
      </c>
      <c r="T12330" s="10" t="s">
        <v>54</v>
      </c>
    </row>
    <row r="12331" spans="1:20" ht="14.5" x14ac:dyDescent="0.35">
      <c r="A12331" s="10" t="s">
        <v>52373</v>
      </c>
      <c r="B12331" s="10" t="str">
        <f>"9788021085183"</f>
        <v>9788021085183</v>
      </c>
      <c r="C12331" s="10" t="str">
        <f>"9788021085190"</f>
        <v>9788021085190</v>
      </c>
      <c r="D12331" s="10" t="s">
        <v>45447</v>
      </c>
      <c r="E12331" s="10" t="s">
        <v>45448</v>
      </c>
      <c r="F12331" s="10" t="s">
        <v>4892</v>
      </c>
      <c r="G12331" s="10" t="s">
        <v>30936</v>
      </c>
      <c r="H12331" s="11">
        <v>42552</v>
      </c>
      <c r="I12331" s="10">
        <v>2016</v>
      </c>
      <c r="J12331" s="10" t="s">
        <v>46362</v>
      </c>
      <c r="K12331" s="10">
        <v>172</v>
      </c>
      <c r="L12331" s="10" t="s">
        <v>52374</v>
      </c>
      <c r="M12331" s="10">
        <v>1</v>
      </c>
      <c r="N12331" s="10"/>
      <c r="O12331" s="10"/>
      <c r="P12331" s="10" t="s">
        <v>52375</v>
      </c>
      <c r="Q12331" s="10">
        <v>613.71094000000005</v>
      </c>
      <c r="R12331" s="10" t="s">
        <v>52376</v>
      </c>
      <c r="S12331" s="10" t="s">
        <v>53</v>
      </c>
      <c r="T12331" s="10" t="s">
        <v>7023</v>
      </c>
    </row>
    <row r="12332" spans="1:20" ht="14.5" x14ac:dyDescent="0.35">
      <c r="A12332" s="10" t="s">
        <v>11208</v>
      </c>
      <c r="B12332" s="10" t="str">
        <f>"9781416629696"</f>
        <v>9781416629696</v>
      </c>
      <c r="C12332" s="10" t="str">
        <f>"9781416629702"</f>
        <v>9781416629702</v>
      </c>
      <c r="D12332" s="10" t="s">
        <v>10014</v>
      </c>
      <c r="E12332" s="10" t="s">
        <v>10015</v>
      </c>
      <c r="F12332" s="10" t="s">
        <v>201</v>
      </c>
      <c r="G12332" s="10" t="s">
        <v>6317</v>
      </c>
      <c r="H12332" s="11">
        <v>44181</v>
      </c>
      <c r="I12332" s="10">
        <v>2021</v>
      </c>
      <c r="J12332" s="10" t="s">
        <v>10015</v>
      </c>
      <c r="K12332" s="10">
        <v>146</v>
      </c>
      <c r="L12332" s="10" t="s">
        <v>52377</v>
      </c>
      <c r="M12332" s="10">
        <v>2</v>
      </c>
      <c r="N12332" s="10"/>
      <c r="O12332" s="10"/>
      <c r="P12332" s="10" t="s">
        <v>52378</v>
      </c>
      <c r="Q12332" s="10">
        <v>371.10199999999998</v>
      </c>
      <c r="R12332" s="10" t="s">
        <v>11211</v>
      </c>
      <c r="S12332" s="10" t="s">
        <v>53</v>
      </c>
      <c r="T12332" s="10" t="s">
        <v>54</v>
      </c>
    </row>
    <row r="12333" spans="1:20" ht="14.5" x14ac:dyDescent="0.35">
      <c r="A12333" s="10" t="s">
        <v>52379</v>
      </c>
      <c r="B12333" s="10" t="str">
        <f>"9781978809178"</f>
        <v>9781978809178</v>
      </c>
      <c r="C12333" s="10" t="str">
        <f>"9781978809208"</f>
        <v>9781978809208</v>
      </c>
      <c r="D12333" s="10" t="s">
        <v>12251</v>
      </c>
      <c r="E12333" s="10" t="s">
        <v>12251</v>
      </c>
      <c r="F12333" s="10" t="s">
        <v>12451</v>
      </c>
      <c r="G12333" s="10" t="s">
        <v>6317</v>
      </c>
      <c r="H12333" s="11">
        <v>44211</v>
      </c>
      <c r="I12333" s="10">
        <v>2021</v>
      </c>
      <c r="J12333" s="10" t="s">
        <v>12251</v>
      </c>
      <c r="K12333" s="10">
        <v>253</v>
      </c>
      <c r="L12333" s="10" t="s">
        <v>52380</v>
      </c>
      <c r="M12333" s="10">
        <v>1</v>
      </c>
      <c r="N12333" s="10" t="s">
        <v>42697</v>
      </c>
      <c r="O12333" s="10"/>
      <c r="P12333" s="10" t="s">
        <v>13852</v>
      </c>
      <c r="Q12333" s="10" t="s">
        <v>52381</v>
      </c>
      <c r="R12333" s="10" t="s">
        <v>52382</v>
      </c>
      <c r="S12333" s="10" t="s">
        <v>53</v>
      </c>
      <c r="T12333" s="10" t="s">
        <v>6472</v>
      </c>
    </row>
    <row r="12334" spans="1:20" ht="14.5" x14ac:dyDescent="0.35">
      <c r="A12334" s="10" t="s">
        <v>52383</v>
      </c>
      <c r="B12334" s="10" t="str">
        <f>"9780367687212"</f>
        <v>9780367687212</v>
      </c>
      <c r="C12334" s="10" t="str">
        <f>"9781000359015"</f>
        <v>9781000359015</v>
      </c>
      <c r="D12334" s="10" t="s">
        <v>6350</v>
      </c>
      <c r="E12334" s="10" t="s">
        <v>6351</v>
      </c>
      <c r="F12334" s="10" t="s">
        <v>748</v>
      </c>
      <c r="G12334" s="10" t="s">
        <v>6352</v>
      </c>
      <c r="H12334" s="11">
        <v>44196</v>
      </c>
      <c r="I12334" s="10">
        <v>2021</v>
      </c>
      <c r="J12334" s="10" t="s">
        <v>6351</v>
      </c>
      <c r="K12334" s="10">
        <v>201</v>
      </c>
      <c r="L12334" s="10" t="s">
        <v>52384</v>
      </c>
      <c r="M12334" s="10">
        <v>1</v>
      </c>
      <c r="N12334" s="10"/>
      <c r="O12334" s="10"/>
      <c r="P12334" s="10"/>
      <c r="Q12334" s="10"/>
      <c r="R12334" s="10" t="s">
        <v>7034</v>
      </c>
      <c r="S12334" s="10" t="s">
        <v>53</v>
      </c>
      <c r="T12334" s="10" t="s">
        <v>54</v>
      </c>
    </row>
    <row r="12335" spans="1:20" ht="14.5" x14ac:dyDescent="0.35">
      <c r="A12335" s="10" t="s">
        <v>52385</v>
      </c>
      <c r="B12335" s="10" t="str">
        <f>"9781571819383"</f>
        <v>9781571819383</v>
      </c>
      <c r="C12335" s="10" t="str">
        <f>"9781789204186"</f>
        <v>9781789204186</v>
      </c>
      <c r="D12335" s="10" t="s">
        <v>21315</v>
      </c>
      <c r="E12335" s="10" t="s">
        <v>21316</v>
      </c>
      <c r="F12335" s="10" t="s">
        <v>13068</v>
      </c>
      <c r="G12335" s="10" t="s">
        <v>6317</v>
      </c>
      <c r="H12335" s="11">
        <v>35704</v>
      </c>
      <c r="I12335" s="10">
        <v>1997</v>
      </c>
      <c r="J12335" s="10" t="s">
        <v>21316</v>
      </c>
      <c r="K12335" s="10">
        <v>310</v>
      </c>
      <c r="L12335" s="10" t="s">
        <v>52386</v>
      </c>
      <c r="M12335" s="10">
        <v>1</v>
      </c>
      <c r="N12335" s="10" t="s">
        <v>52387</v>
      </c>
      <c r="O12335" s="10">
        <v>1</v>
      </c>
      <c r="P12335" s="10" t="s">
        <v>52388</v>
      </c>
      <c r="Q12335" s="10">
        <v>370.94315499999999</v>
      </c>
      <c r="R12335" s="10" t="s">
        <v>52389</v>
      </c>
      <c r="S12335" s="10" t="s">
        <v>53</v>
      </c>
      <c r="T12335" s="10" t="s">
        <v>54</v>
      </c>
    </row>
    <row r="12336" spans="1:20" ht="14.5" x14ac:dyDescent="0.35">
      <c r="A12336" s="10" t="s">
        <v>52390</v>
      </c>
      <c r="B12336" s="10" t="str">
        <f>"9789004442412"</f>
        <v>9789004442412</v>
      </c>
      <c r="C12336" s="10" t="str">
        <f>"9789004444058"</f>
        <v>9789004444058</v>
      </c>
      <c r="D12336" s="10" t="s">
        <v>8564</v>
      </c>
      <c r="E12336" s="10" t="s">
        <v>8565</v>
      </c>
      <c r="F12336" s="10" t="s">
        <v>1420</v>
      </c>
      <c r="G12336" s="10" t="s">
        <v>6317</v>
      </c>
      <c r="H12336" s="11">
        <v>44175</v>
      </c>
      <c r="I12336" s="10">
        <v>2021</v>
      </c>
      <c r="J12336" s="10" t="s">
        <v>8565</v>
      </c>
      <c r="K12336" s="10">
        <v>519</v>
      </c>
      <c r="L12336" s="10" t="s">
        <v>52391</v>
      </c>
      <c r="M12336" s="10">
        <v>1</v>
      </c>
      <c r="N12336" s="10" t="s">
        <v>29088</v>
      </c>
      <c r="O12336" s="10">
        <v>31</v>
      </c>
      <c r="P12336" s="10"/>
      <c r="Q12336" s="10"/>
      <c r="R12336" s="10"/>
      <c r="S12336" s="10" t="s">
        <v>53</v>
      </c>
      <c r="T12336" s="10" t="s">
        <v>54</v>
      </c>
    </row>
    <row r="12337" spans="1:20" ht="14.5" x14ac:dyDescent="0.35">
      <c r="A12337" s="10" t="s">
        <v>52392</v>
      </c>
      <c r="B12337" s="10" t="str">
        <f>""</f>
        <v/>
      </c>
      <c r="C12337" s="10" t="str">
        <f>"9781800711273"</f>
        <v>9781800711273</v>
      </c>
      <c r="D12337" s="10" t="s">
        <v>8699</v>
      </c>
      <c r="E12337" s="10" t="s">
        <v>8699</v>
      </c>
      <c r="F12337" s="10" t="s">
        <v>41843</v>
      </c>
      <c r="G12337" s="10" t="s">
        <v>6352</v>
      </c>
      <c r="H12337" s="11">
        <v>44034</v>
      </c>
      <c r="I12337" s="10">
        <v>2020</v>
      </c>
      <c r="J12337" s="10" t="s">
        <v>8699</v>
      </c>
      <c r="K12337" s="10">
        <v>77</v>
      </c>
      <c r="L12337" s="10" t="s">
        <v>52393</v>
      </c>
      <c r="M12337" s="10">
        <v>1</v>
      </c>
      <c r="N12337" s="10" t="s">
        <v>49194</v>
      </c>
      <c r="O12337" s="10">
        <v>3</v>
      </c>
      <c r="P12337" s="10" t="s">
        <v>52394</v>
      </c>
      <c r="Q12337" s="10">
        <v>304.80720000000002</v>
      </c>
      <c r="R12337" s="10" t="s">
        <v>52395</v>
      </c>
      <c r="S12337" s="10" t="s">
        <v>53</v>
      </c>
      <c r="T12337" s="10" t="s">
        <v>13501</v>
      </c>
    </row>
    <row r="12338" spans="1:20" ht="14.5" x14ac:dyDescent="0.35">
      <c r="A12338" s="10" t="s">
        <v>52396</v>
      </c>
      <c r="B12338" s="10" t="str">
        <f>""</f>
        <v/>
      </c>
      <c r="C12338" s="10" t="str">
        <f>"9781800711839"</f>
        <v>9781800711839</v>
      </c>
      <c r="D12338" s="10" t="s">
        <v>8699</v>
      </c>
      <c r="E12338" s="10" t="s">
        <v>8699</v>
      </c>
      <c r="F12338" s="10" t="s">
        <v>41843</v>
      </c>
      <c r="G12338" s="10" t="s">
        <v>6352</v>
      </c>
      <c r="H12338" s="11">
        <v>44056</v>
      </c>
      <c r="I12338" s="10">
        <v>2020</v>
      </c>
      <c r="J12338" s="10" t="s">
        <v>8699</v>
      </c>
      <c r="K12338" s="10">
        <v>137</v>
      </c>
      <c r="L12338" s="10" t="s">
        <v>52397</v>
      </c>
      <c r="M12338" s="10">
        <v>1</v>
      </c>
      <c r="N12338" s="10" t="s">
        <v>50567</v>
      </c>
      <c r="O12338" s="10">
        <v>3</v>
      </c>
      <c r="P12338" s="10" t="s">
        <v>52398</v>
      </c>
      <c r="Q12338" s="10">
        <v>428.00709999999998</v>
      </c>
      <c r="R12338" s="10" t="s">
        <v>52399</v>
      </c>
      <c r="S12338" s="10" t="s">
        <v>53</v>
      </c>
      <c r="T12338" s="10" t="s">
        <v>6634</v>
      </c>
    </row>
    <row r="12339" spans="1:20" ht="14.5" x14ac:dyDescent="0.35">
      <c r="A12339" s="10" t="s">
        <v>52400</v>
      </c>
      <c r="B12339" s="10" t="str">
        <f>""</f>
        <v/>
      </c>
      <c r="C12339" s="10" t="str">
        <f>"9781800713390"</f>
        <v>9781800713390</v>
      </c>
      <c r="D12339" s="10" t="s">
        <v>8699</v>
      </c>
      <c r="E12339" s="10" t="s">
        <v>8699</v>
      </c>
      <c r="F12339" s="10" t="s">
        <v>41843</v>
      </c>
      <c r="G12339" s="10" t="s">
        <v>6352</v>
      </c>
      <c r="H12339" s="11">
        <v>44050</v>
      </c>
      <c r="I12339" s="10">
        <v>2020</v>
      </c>
      <c r="J12339" s="10" t="s">
        <v>8699</v>
      </c>
      <c r="K12339" s="10">
        <v>249</v>
      </c>
      <c r="L12339" s="10" t="s">
        <v>52401</v>
      </c>
      <c r="M12339" s="10">
        <v>1</v>
      </c>
      <c r="N12339" s="10" t="s">
        <v>52402</v>
      </c>
      <c r="O12339" s="12">
        <v>45418</v>
      </c>
      <c r="P12339" s="10" t="s">
        <v>52403</v>
      </c>
      <c r="Q12339" s="10">
        <v>371.33446780000003</v>
      </c>
      <c r="R12339" s="10" t="s">
        <v>42111</v>
      </c>
      <c r="S12339" s="10" t="s">
        <v>53</v>
      </c>
      <c r="T12339" s="10" t="s">
        <v>54</v>
      </c>
    </row>
    <row r="12340" spans="1:20" ht="14.5" x14ac:dyDescent="0.35">
      <c r="A12340" s="10" t="s">
        <v>52404</v>
      </c>
      <c r="B12340" s="10" t="str">
        <f>""</f>
        <v/>
      </c>
      <c r="C12340" s="10" t="str">
        <f>"9781800711655"</f>
        <v>9781800711655</v>
      </c>
      <c r="D12340" s="10" t="s">
        <v>8699</v>
      </c>
      <c r="E12340" s="10" t="s">
        <v>8699</v>
      </c>
      <c r="F12340" s="10" t="s">
        <v>41843</v>
      </c>
      <c r="G12340" s="10" t="s">
        <v>6352</v>
      </c>
      <c r="H12340" s="11">
        <v>44035</v>
      </c>
      <c r="I12340" s="10">
        <v>2020</v>
      </c>
      <c r="J12340" s="10" t="s">
        <v>8699</v>
      </c>
      <c r="K12340" s="10">
        <v>97</v>
      </c>
      <c r="L12340" s="10" t="s">
        <v>52405</v>
      </c>
      <c r="M12340" s="10">
        <v>1</v>
      </c>
      <c r="N12340" s="10" t="s">
        <v>48338</v>
      </c>
      <c r="O12340" s="10">
        <v>4</v>
      </c>
      <c r="P12340" s="10" t="s">
        <v>52406</v>
      </c>
      <c r="Q12340" s="10">
        <v>152.18860000000001</v>
      </c>
      <c r="R12340" s="10" t="s">
        <v>52407</v>
      </c>
      <c r="S12340" s="10" t="s">
        <v>53</v>
      </c>
      <c r="T12340" s="10" t="s">
        <v>10711</v>
      </c>
    </row>
    <row r="12341" spans="1:20" ht="14.5" x14ac:dyDescent="0.35">
      <c r="A12341" s="10" t="s">
        <v>52408</v>
      </c>
      <c r="B12341" s="10" t="str">
        <f>""</f>
        <v/>
      </c>
      <c r="C12341" s="10" t="str">
        <f>"9781800713413"</f>
        <v>9781800713413</v>
      </c>
      <c r="D12341" s="10" t="s">
        <v>8699</v>
      </c>
      <c r="E12341" s="10" t="s">
        <v>8699</v>
      </c>
      <c r="F12341" s="10" t="s">
        <v>41843</v>
      </c>
      <c r="G12341" s="10" t="s">
        <v>6352</v>
      </c>
      <c r="H12341" s="11">
        <v>44053</v>
      </c>
      <c r="I12341" s="10">
        <v>2020</v>
      </c>
      <c r="J12341" s="10" t="s">
        <v>8699</v>
      </c>
      <c r="K12341" s="10">
        <v>225</v>
      </c>
      <c r="L12341" s="10" t="s">
        <v>52401</v>
      </c>
      <c r="M12341" s="10">
        <v>1</v>
      </c>
      <c r="N12341" s="10" t="s">
        <v>52402</v>
      </c>
      <c r="O12341" s="12">
        <v>45481</v>
      </c>
      <c r="P12341" s="10" t="s">
        <v>52403</v>
      </c>
      <c r="Q12341" s="10">
        <v>371.33446780000003</v>
      </c>
      <c r="R12341" s="10" t="s">
        <v>42111</v>
      </c>
      <c r="S12341" s="10" t="s">
        <v>53</v>
      </c>
      <c r="T12341" s="10" t="s">
        <v>54</v>
      </c>
    </row>
    <row r="12342" spans="1:20" ht="14.5" x14ac:dyDescent="0.35">
      <c r="A12342" s="10" t="s">
        <v>52409</v>
      </c>
      <c r="B12342" s="10" t="str">
        <f>""</f>
        <v/>
      </c>
      <c r="C12342" s="10" t="str">
        <f>"9781800713796"</f>
        <v>9781800713796</v>
      </c>
      <c r="D12342" s="10" t="s">
        <v>8699</v>
      </c>
      <c r="E12342" s="10" t="s">
        <v>8699</v>
      </c>
      <c r="F12342" s="10" t="s">
        <v>41843</v>
      </c>
      <c r="G12342" s="10" t="s">
        <v>6352</v>
      </c>
      <c r="H12342" s="11">
        <v>44056</v>
      </c>
      <c r="I12342" s="10">
        <v>2020</v>
      </c>
      <c r="J12342" s="10" t="s">
        <v>8699</v>
      </c>
      <c r="K12342" s="10">
        <v>89</v>
      </c>
      <c r="L12342" s="10" t="s">
        <v>52410</v>
      </c>
      <c r="M12342" s="10">
        <v>1</v>
      </c>
      <c r="N12342" s="10" t="s">
        <v>48122</v>
      </c>
      <c r="O12342" s="10">
        <v>3</v>
      </c>
      <c r="P12342" s="10" t="s">
        <v>52411</v>
      </c>
      <c r="Q12342" s="10">
        <v>371.334</v>
      </c>
      <c r="R12342" s="10" t="s">
        <v>28640</v>
      </c>
      <c r="S12342" s="10" t="s">
        <v>53</v>
      </c>
      <c r="T12342" s="10" t="s">
        <v>54</v>
      </c>
    </row>
    <row r="12343" spans="1:20" ht="14.5" x14ac:dyDescent="0.35">
      <c r="A12343" s="10" t="s">
        <v>52412</v>
      </c>
      <c r="B12343" s="10" t="str">
        <f>""</f>
        <v/>
      </c>
      <c r="C12343" s="10" t="str">
        <f>"9781800439955"</f>
        <v>9781800439955</v>
      </c>
      <c r="D12343" s="10" t="s">
        <v>8699</v>
      </c>
      <c r="E12343" s="10" t="s">
        <v>8699</v>
      </c>
      <c r="F12343" s="10" t="s">
        <v>41843</v>
      </c>
      <c r="G12343" s="10" t="s">
        <v>6352</v>
      </c>
      <c r="H12343" s="11">
        <v>44021</v>
      </c>
      <c r="I12343" s="10">
        <v>2020</v>
      </c>
      <c r="J12343" s="10" t="s">
        <v>8699</v>
      </c>
      <c r="K12343" s="10">
        <v>115</v>
      </c>
      <c r="L12343" s="10" t="s">
        <v>52413</v>
      </c>
      <c r="M12343" s="10">
        <v>1</v>
      </c>
      <c r="N12343" s="10" t="s">
        <v>48792</v>
      </c>
      <c r="O12343" s="10">
        <v>1</v>
      </c>
      <c r="P12343" s="10" t="s">
        <v>52414</v>
      </c>
      <c r="Q12343" s="10">
        <v>371.38400000000001</v>
      </c>
      <c r="R12343" s="10" t="s">
        <v>17739</v>
      </c>
      <c r="S12343" s="10" t="s">
        <v>53</v>
      </c>
      <c r="T12343" s="10" t="s">
        <v>54</v>
      </c>
    </row>
    <row r="12344" spans="1:20" ht="14.5" x14ac:dyDescent="0.35">
      <c r="A12344" s="10" t="s">
        <v>52415</v>
      </c>
      <c r="B12344" s="10" t="str">
        <f>""</f>
        <v/>
      </c>
      <c r="C12344" s="10" t="str">
        <f>"9781800714335"</f>
        <v>9781800714335</v>
      </c>
      <c r="D12344" s="10" t="s">
        <v>8699</v>
      </c>
      <c r="E12344" s="10" t="s">
        <v>8699</v>
      </c>
      <c r="F12344" s="10" t="s">
        <v>41843</v>
      </c>
      <c r="G12344" s="10" t="s">
        <v>6352</v>
      </c>
      <c r="H12344" s="11">
        <v>44077</v>
      </c>
      <c r="I12344" s="10">
        <v>2020</v>
      </c>
      <c r="J12344" s="10" t="s">
        <v>8699</v>
      </c>
      <c r="K12344" s="10">
        <v>101</v>
      </c>
      <c r="L12344" s="10" t="s">
        <v>52416</v>
      </c>
      <c r="M12344" s="10">
        <v>1</v>
      </c>
      <c r="N12344" s="10" t="s">
        <v>48338</v>
      </c>
      <c r="O12344" s="10">
        <v>5</v>
      </c>
      <c r="P12344" s="10" t="s">
        <v>52417</v>
      </c>
      <c r="Q12344" s="10">
        <v>371.20699999999999</v>
      </c>
      <c r="R12344" s="10" t="s">
        <v>52418</v>
      </c>
      <c r="S12344" s="10" t="s">
        <v>53</v>
      </c>
      <c r="T12344" s="10" t="s">
        <v>54</v>
      </c>
    </row>
    <row r="12345" spans="1:20" ht="14.5" x14ac:dyDescent="0.35">
      <c r="A12345" s="10" t="s">
        <v>52419</v>
      </c>
      <c r="B12345" s="10" t="str">
        <f>"9781937604059"</f>
        <v>9781937604059</v>
      </c>
      <c r="C12345" s="10" t="str">
        <f>"9781736206386"</f>
        <v>9781736206386</v>
      </c>
      <c r="D12345" s="10" t="s">
        <v>52420</v>
      </c>
      <c r="E12345" s="10" t="s">
        <v>52421</v>
      </c>
      <c r="F12345" s="10" t="s">
        <v>879</v>
      </c>
      <c r="G12345" s="10" t="s">
        <v>6317</v>
      </c>
      <c r="H12345" s="11">
        <v>41456</v>
      </c>
      <c r="I12345" s="10">
        <v>2013</v>
      </c>
      <c r="J12345" s="10" t="s">
        <v>52421</v>
      </c>
      <c r="K12345" s="10">
        <v>239</v>
      </c>
      <c r="L12345" s="10" t="s">
        <v>52422</v>
      </c>
      <c r="M12345" s="10">
        <v>1</v>
      </c>
      <c r="N12345" s="10"/>
      <c r="O12345" s="10"/>
      <c r="P12345" s="10" t="s">
        <v>52423</v>
      </c>
      <c r="Q12345" s="10" t="s">
        <v>52424</v>
      </c>
      <c r="R12345" s="10" t="s">
        <v>52425</v>
      </c>
      <c r="S12345" s="10" t="s">
        <v>53</v>
      </c>
      <c r="T12345" s="10" t="s">
        <v>6472</v>
      </c>
    </row>
    <row r="12346" spans="1:20" ht="14.5" x14ac:dyDescent="0.35">
      <c r="A12346" s="10" t="s">
        <v>52426</v>
      </c>
      <c r="B12346" s="10" t="str">
        <f>"9780996506847"</f>
        <v>9780996506847</v>
      </c>
      <c r="C12346" s="10" t="str">
        <f>"9781736206430"</f>
        <v>9781736206430</v>
      </c>
      <c r="D12346" s="10" t="s">
        <v>52420</v>
      </c>
      <c r="E12346" s="10" t="s">
        <v>52421</v>
      </c>
      <c r="F12346" s="10" t="s">
        <v>879</v>
      </c>
      <c r="G12346" s="10" t="s">
        <v>6317</v>
      </c>
      <c r="H12346" s="11">
        <v>42552</v>
      </c>
      <c r="I12346" s="10">
        <v>2016</v>
      </c>
      <c r="J12346" s="10" t="s">
        <v>52421</v>
      </c>
      <c r="K12346" s="10">
        <v>284</v>
      </c>
      <c r="L12346" s="10" t="s">
        <v>52427</v>
      </c>
      <c r="M12346" s="10">
        <v>2</v>
      </c>
      <c r="N12346" s="10"/>
      <c r="O12346" s="10"/>
      <c r="P12346" s="10" t="s">
        <v>52428</v>
      </c>
      <c r="Q12346" s="10">
        <v>362.3</v>
      </c>
      <c r="R12346" s="10" t="s">
        <v>52429</v>
      </c>
      <c r="S12346" s="10" t="s">
        <v>53</v>
      </c>
      <c r="T12346" s="10" t="s">
        <v>6363</v>
      </c>
    </row>
    <row r="12347" spans="1:20" ht="14.5" x14ac:dyDescent="0.35">
      <c r="A12347" s="10" t="s">
        <v>52430</v>
      </c>
      <c r="B12347" s="10" t="str">
        <f>"9781937604110"</f>
        <v>9781937604110</v>
      </c>
      <c r="C12347" s="10" t="str">
        <f>"9781736206423"</f>
        <v>9781736206423</v>
      </c>
      <c r="D12347" s="10" t="s">
        <v>52420</v>
      </c>
      <c r="E12347" s="10" t="s">
        <v>52421</v>
      </c>
      <c r="F12347" s="10" t="s">
        <v>879</v>
      </c>
      <c r="G12347" s="10" t="s">
        <v>6317</v>
      </c>
      <c r="H12347" s="11">
        <v>42005</v>
      </c>
      <c r="I12347" s="10">
        <v>2015</v>
      </c>
      <c r="J12347" s="10" t="s">
        <v>52421</v>
      </c>
      <c r="K12347" s="10">
        <v>324</v>
      </c>
      <c r="L12347" s="10" t="s">
        <v>52431</v>
      </c>
      <c r="M12347" s="10">
        <v>1</v>
      </c>
      <c r="N12347" s="10"/>
      <c r="O12347" s="10"/>
      <c r="P12347" s="10" t="s">
        <v>52432</v>
      </c>
      <c r="Q12347" s="10">
        <v>658.30087409730004</v>
      </c>
      <c r="R12347" s="10" t="s">
        <v>52433</v>
      </c>
      <c r="S12347" s="10" t="s">
        <v>53</v>
      </c>
      <c r="T12347" s="10" t="s">
        <v>10957</v>
      </c>
    </row>
    <row r="12348" spans="1:20" ht="14.5" x14ac:dyDescent="0.35">
      <c r="A12348" s="10" t="s">
        <v>52434</v>
      </c>
      <c r="B12348" s="10" t="str">
        <f>"9780940898004"</f>
        <v>9780940898004</v>
      </c>
      <c r="C12348" s="10" t="str">
        <f>"9781736206331"</f>
        <v>9781736206331</v>
      </c>
      <c r="D12348" s="10" t="s">
        <v>52420</v>
      </c>
      <c r="E12348" s="10" t="s">
        <v>52421</v>
      </c>
      <c r="F12348" s="10" t="s">
        <v>879</v>
      </c>
      <c r="G12348" s="10" t="s">
        <v>6317</v>
      </c>
      <c r="H12348" s="11">
        <v>41640</v>
      </c>
      <c r="I12348" s="10">
        <v>2014</v>
      </c>
      <c r="J12348" s="10" t="s">
        <v>52421</v>
      </c>
      <c r="K12348" s="10">
        <v>113</v>
      </c>
      <c r="L12348" s="10" t="s">
        <v>52435</v>
      </c>
      <c r="M12348" s="10">
        <v>2</v>
      </c>
      <c r="N12348" s="10"/>
      <c r="O12348" s="10"/>
      <c r="P12348" s="10" t="s">
        <v>52436</v>
      </c>
      <c r="Q12348" s="10">
        <v>616.85879999999997</v>
      </c>
      <c r="R12348" s="10" t="s">
        <v>52437</v>
      </c>
      <c r="S12348" s="10" t="s">
        <v>53</v>
      </c>
      <c r="T12348" s="10" t="s">
        <v>8625</v>
      </c>
    </row>
    <row r="12349" spans="1:20" ht="14.5" x14ac:dyDescent="0.35">
      <c r="A12349" s="10" t="s">
        <v>52438</v>
      </c>
      <c r="B12349" s="10" t="str">
        <f>"9780996506816"</f>
        <v>9780996506816</v>
      </c>
      <c r="C12349" s="10" t="str">
        <f>"9781736206447"</f>
        <v>9781736206447</v>
      </c>
      <c r="D12349" s="10" t="s">
        <v>52420</v>
      </c>
      <c r="E12349" s="10" t="s">
        <v>52421</v>
      </c>
      <c r="F12349" s="10" t="s">
        <v>879</v>
      </c>
      <c r="G12349" s="10" t="s">
        <v>6317</v>
      </c>
      <c r="H12349" s="11">
        <v>42552</v>
      </c>
      <c r="I12349" s="10">
        <v>2016</v>
      </c>
      <c r="J12349" s="10" t="s">
        <v>52421</v>
      </c>
      <c r="K12349" s="10">
        <v>236</v>
      </c>
      <c r="L12349" s="10" t="s">
        <v>52439</v>
      </c>
      <c r="M12349" s="10">
        <v>1</v>
      </c>
      <c r="N12349" s="10"/>
      <c r="O12349" s="10"/>
      <c r="P12349" s="10" t="s">
        <v>52440</v>
      </c>
      <c r="Q12349" s="10">
        <v>362.3</v>
      </c>
      <c r="R12349" s="10" t="s">
        <v>52441</v>
      </c>
      <c r="S12349" s="10" t="s">
        <v>53</v>
      </c>
      <c r="T12349" s="10" t="s">
        <v>6363</v>
      </c>
    </row>
    <row r="12350" spans="1:20" ht="14.5" x14ac:dyDescent="0.35">
      <c r="A12350" s="10" t="s">
        <v>52442</v>
      </c>
      <c r="B12350" s="10" t="str">
        <f>"9780996506809"</f>
        <v>9780996506809</v>
      </c>
      <c r="C12350" s="10" t="str">
        <f>"9781736206409"</f>
        <v>9781736206409</v>
      </c>
      <c r="D12350" s="10" t="s">
        <v>52420</v>
      </c>
      <c r="E12350" s="10" t="s">
        <v>52421</v>
      </c>
      <c r="F12350" s="10" t="s">
        <v>879</v>
      </c>
      <c r="G12350" s="10" t="s">
        <v>6317</v>
      </c>
      <c r="H12350" s="11">
        <v>42005</v>
      </c>
      <c r="I12350" s="10">
        <v>2015</v>
      </c>
      <c r="J12350" s="10" t="s">
        <v>52421</v>
      </c>
      <c r="K12350" s="10">
        <v>109</v>
      </c>
      <c r="L12350" s="10" t="s">
        <v>52443</v>
      </c>
      <c r="M12350" s="10">
        <v>1</v>
      </c>
      <c r="N12350" s="10"/>
      <c r="O12350" s="10"/>
      <c r="P12350" s="10" t="s">
        <v>52444</v>
      </c>
      <c r="Q12350" s="10">
        <v>362.38</v>
      </c>
      <c r="R12350" s="10" t="s">
        <v>52445</v>
      </c>
      <c r="S12350" s="10" t="s">
        <v>53</v>
      </c>
      <c r="T12350" s="10" t="s">
        <v>6363</v>
      </c>
    </row>
    <row r="12351" spans="1:20" ht="14.5" x14ac:dyDescent="0.35">
      <c r="A12351" s="10" t="s">
        <v>52446</v>
      </c>
      <c r="B12351" s="10" t="str">
        <f>"9781620367216"</f>
        <v>9781620367216</v>
      </c>
      <c r="C12351" s="10" t="str">
        <f>"9781000974126"</f>
        <v>9781000974126</v>
      </c>
      <c r="D12351" s="10" t="s">
        <v>6350</v>
      </c>
      <c r="E12351" s="10" t="s">
        <v>6351</v>
      </c>
      <c r="F12351" s="10" t="s">
        <v>748</v>
      </c>
      <c r="G12351" s="10" t="s">
        <v>6352</v>
      </c>
      <c r="H12351" s="11">
        <v>44194</v>
      </c>
      <c r="I12351" s="10">
        <v>2021</v>
      </c>
      <c r="J12351" s="10" t="s">
        <v>6351</v>
      </c>
      <c r="K12351" s="10">
        <v>265</v>
      </c>
      <c r="L12351" s="10" t="s">
        <v>52447</v>
      </c>
      <c r="M12351" s="10">
        <v>1</v>
      </c>
      <c r="N12351" s="10" t="s">
        <v>47582</v>
      </c>
      <c r="O12351" s="10"/>
      <c r="P12351" s="10" t="s">
        <v>52448</v>
      </c>
      <c r="Q12351" s="10">
        <v>371.33446780000003</v>
      </c>
      <c r="R12351" s="10" t="s">
        <v>52449</v>
      </c>
      <c r="S12351" s="10" t="s">
        <v>53</v>
      </c>
      <c r="T12351" s="10" t="s">
        <v>54</v>
      </c>
    </row>
    <row r="12352" spans="1:20" ht="14.5" x14ac:dyDescent="0.35">
      <c r="A12352" s="10" t="s">
        <v>52450</v>
      </c>
      <c r="B12352" s="10" t="str">
        <f>"9781421439761"</f>
        <v>9781421439761</v>
      </c>
      <c r="C12352" s="10" t="str">
        <f>"9781421439778"</f>
        <v>9781421439778</v>
      </c>
      <c r="D12352" s="10" t="s">
        <v>884</v>
      </c>
      <c r="E12352" s="10" t="s">
        <v>884</v>
      </c>
      <c r="F12352" s="10" t="s">
        <v>885</v>
      </c>
      <c r="G12352" s="10" t="s">
        <v>6317</v>
      </c>
      <c r="H12352" s="11">
        <v>44215</v>
      </c>
      <c r="I12352" s="10">
        <v>2021</v>
      </c>
      <c r="J12352" s="10" t="s">
        <v>884</v>
      </c>
      <c r="K12352" s="10">
        <v>409</v>
      </c>
      <c r="L12352" s="10" t="s">
        <v>52451</v>
      </c>
      <c r="M12352" s="10">
        <v>1</v>
      </c>
      <c r="N12352" s="10"/>
      <c r="O12352" s="10"/>
      <c r="P12352" s="10" t="s">
        <v>52452</v>
      </c>
      <c r="Q12352" s="10">
        <v>378.2</v>
      </c>
      <c r="R12352" s="10" t="s">
        <v>20401</v>
      </c>
      <c r="S12352" s="10" t="s">
        <v>53</v>
      </c>
      <c r="T12352" s="10" t="s">
        <v>54</v>
      </c>
    </row>
    <row r="12353" spans="1:20" ht="14.5" x14ac:dyDescent="0.35">
      <c r="A12353" s="10" t="s">
        <v>52453</v>
      </c>
      <c r="B12353" s="10" t="str">
        <f>"9789004445413"</f>
        <v>9789004445413</v>
      </c>
      <c r="C12353" s="10" t="str">
        <f>"9789004445420"</f>
        <v>9789004445420</v>
      </c>
      <c r="D12353" s="10" t="s">
        <v>8564</v>
      </c>
      <c r="E12353" s="10" t="s">
        <v>8565</v>
      </c>
      <c r="F12353" s="10" t="s">
        <v>1420</v>
      </c>
      <c r="G12353" s="10" t="s">
        <v>6317</v>
      </c>
      <c r="H12353" s="11">
        <v>44182</v>
      </c>
      <c r="I12353" s="10">
        <v>2021</v>
      </c>
      <c r="J12353" s="10" t="s">
        <v>33259</v>
      </c>
      <c r="K12353" s="10">
        <v>232</v>
      </c>
      <c r="L12353" s="10" t="s">
        <v>52454</v>
      </c>
      <c r="M12353" s="10">
        <v>1</v>
      </c>
      <c r="N12353" s="10" t="s">
        <v>33257</v>
      </c>
      <c r="O12353" s="10">
        <v>49</v>
      </c>
      <c r="P12353" s="10" t="s">
        <v>52455</v>
      </c>
      <c r="Q12353" s="10">
        <v>378.4</v>
      </c>
      <c r="R12353" s="10" t="s">
        <v>52456</v>
      </c>
      <c r="S12353" s="10" t="s">
        <v>53</v>
      </c>
      <c r="T12353" s="10" t="s">
        <v>54</v>
      </c>
    </row>
    <row r="12354" spans="1:20" ht="14.5" x14ac:dyDescent="0.35">
      <c r="A12354" s="10" t="s">
        <v>52457</v>
      </c>
      <c r="B12354" s="10" t="str">
        <f>"9789004427204"</f>
        <v>9789004427204</v>
      </c>
      <c r="C12354" s="10" t="str">
        <f>"9789004447820"</f>
        <v>9789004447820</v>
      </c>
      <c r="D12354" s="10" t="s">
        <v>8564</v>
      </c>
      <c r="E12354" s="10" t="s">
        <v>8565</v>
      </c>
      <c r="F12354" s="10" t="s">
        <v>1420</v>
      </c>
      <c r="G12354" s="10" t="s">
        <v>6317</v>
      </c>
      <c r="H12354" s="11">
        <v>44182</v>
      </c>
      <c r="I12354" s="10">
        <v>2021</v>
      </c>
      <c r="J12354" s="10" t="s">
        <v>33259</v>
      </c>
      <c r="K12354" s="10">
        <v>242</v>
      </c>
      <c r="L12354" s="10" t="s">
        <v>52458</v>
      </c>
      <c r="M12354" s="10">
        <v>1</v>
      </c>
      <c r="N12354" s="10" t="s">
        <v>33751</v>
      </c>
      <c r="O12354" s="10">
        <v>70</v>
      </c>
      <c r="P12354" s="10"/>
      <c r="Q12354" s="10"/>
      <c r="R12354" s="10" t="s">
        <v>33589</v>
      </c>
      <c r="S12354" s="10" t="s">
        <v>53</v>
      </c>
      <c r="T12354" s="10" t="s">
        <v>54</v>
      </c>
    </row>
    <row r="12355" spans="1:20" ht="14.5" x14ac:dyDescent="0.35">
      <c r="A12355" s="10" t="s">
        <v>52459</v>
      </c>
      <c r="B12355" s="10" t="str">
        <f>"9789004424197"</f>
        <v>9789004424197</v>
      </c>
      <c r="C12355" s="10" t="str">
        <f>"9789004424210"</f>
        <v>9789004424210</v>
      </c>
      <c r="D12355" s="10" t="s">
        <v>8564</v>
      </c>
      <c r="E12355" s="10" t="s">
        <v>8565</v>
      </c>
      <c r="F12355" s="10" t="s">
        <v>1420</v>
      </c>
      <c r="G12355" s="10" t="s">
        <v>6317</v>
      </c>
      <c r="H12355" s="11">
        <v>43974</v>
      </c>
      <c r="I12355" s="10">
        <v>2020</v>
      </c>
      <c r="J12355" s="10" t="s">
        <v>33259</v>
      </c>
      <c r="K12355" s="10">
        <v>418</v>
      </c>
      <c r="L12355" s="10" t="s">
        <v>52460</v>
      </c>
      <c r="M12355" s="10">
        <v>2</v>
      </c>
      <c r="N12355" s="10"/>
      <c r="O12355" s="10"/>
      <c r="P12355" s="10"/>
      <c r="Q12355" s="10"/>
      <c r="R12355" s="10" t="s">
        <v>52461</v>
      </c>
      <c r="S12355" s="10" t="s">
        <v>53</v>
      </c>
      <c r="T12355" s="10" t="s">
        <v>54</v>
      </c>
    </row>
    <row r="12356" spans="1:20" ht="14.5" x14ac:dyDescent="0.35">
      <c r="A12356" s="10" t="s">
        <v>52462</v>
      </c>
      <c r="B12356" s="10" t="str">
        <f>"9781620368343"</f>
        <v>9781620368343</v>
      </c>
      <c r="C12356" s="10" t="str">
        <f>"9781000971811"</f>
        <v>9781000971811</v>
      </c>
      <c r="D12356" s="10" t="s">
        <v>6350</v>
      </c>
      <c r="E12356" s="10" t="s">
        <v>6351</v>
      </c>
      <c r="F12356" s="10" t="s">
        <v>748</v>
      </c>
      <c r="G12356" s="10" t="s">
        <v>6352</v>
      </c>
      <c r="H12356" s="11">
        <v>44179</v>
      </c>
      <c r="I12356" s="10">
        <v>2021</v>
      </c>
      <c r="J12356" s="10" t="s">
        <v>6351</v>
      </c>
      <c r="K12356" s="10">
        <v>209</v>
      </c>
      <c r="L12356" s="10" t="s">
        <v>52463</v>
      </c>
      <c r="M12356" s="10">
        <v>1</v>
      </c>
      <c r="N12356" s="10"/>
      <c r="O12356" s="10"/>
      <c r="P12356" s="10" t="s">
        <v>52464</v>
      </c>
      <c r="Q12356" s="10">
        <v>378.125</v>
      </c>
      <c r="R12356" s="10" t="s">
        <v>52465</v>
      </c>
      <c r="S12356" s="10" t="s">
        <v>53</v>
      </c>
      <c r="T12356" s="10" t="s">
        <v>54</v>
      </c>
    </row>
    <row r="12357" spans="1:20" ht="14.5" x14ac:dyDescent="0.35">
      <c r="A12357" s="10" t="s">
        <v>52466</v>
      </c>
      <c r="B12357" s="10" t="str">
        <f>"9780253051479"</f>
        <v>9780253051479</v>
      </c>
      <c r="C12357" s="10" t="str">
        <f>"9780253051455"</f>
        <v>9780253051455</v>
      </c>
      <c r="D12357" s="10" t="s">
        <v>2455</v>
      </c>
      <c r="E12357" s="10" t="s">
        <v>2455</v>
      </c>
      <c r="F12357" s="10" t="s">
        <v>3101</v>
      </c>
      <c r="G12357" s="10" t="s">
        <v>6317</v>
      </c>
      <c r="H12357" s="11">
        <v>44208</v>
      </c>
      <c r="I12357" s="10">
        <v>2020</v>
      </c>
      <c r="J12357" s="10" t="s">
        <v>2455</v>
      </c>
      <c r="K12357" s="10">
        <v>263</v>
      </c>
      <c r="L12357" s="10" t="s">
        <v>52467</v>
      </c>
      <c r="M12357" s="10"/>
      <c r="N12357" s="10"/>
      <c r="O12357" s="10"/>
      <c r="P12357" s="10" t="s">
        <v>52468</v>
      </c>
      <c r="Q12357" s="10" t="s">
        <v>19760</v>
      </c>
      <c r="R12357" s="10" t="s">
        <v>52469</v>
      </c>
      <c r="S12357" s="10" t="s">
        <v>53</v>
      </c>
      <c r="T12357" s="10" t="s">
        <v>54</v>
      </c>
    </row>
    <row r="12358" spans="1:20" ht="14.5" x14ac:dyDescent="0.35">
      <c r="A12358" s="10" t="s">
        <v>52470</v>
      </c>
      <c r="B12358" s="10" t="str">
        <f>"9781951075415"</f>
        <v>9781951075415</v>
      </c>
      <c r="C12358" s="10" t="str">
        <f>"9781951075422"</f>
        <v>9781951075422</v>
      </c>
      <c r="D12358" s="10" t="s">
        <v>37580</v>
      </c>
      <c r="E12358" s="10" t="s">
        <v>37581</v>
      </c>
      <c r="F12358" s="10" t="s">
        <v>37623</v>
      </c>
      <c r="G12358" s="10" t="s">
        <v>6317</v>
      </c>
      <c r="H12358" s="11">
        <v>44195</v>
      </c>
      <c r="I12358" s="10">
        <v>2021</v>
      </c>
      <c r="J12358" s="10" t="s">
        <v>37581</v>
      </c>
      <c r="K12358" s="10">
        <v>272</v>
      </c>
      <c r="L12358" s="10" t="s">
        <v>26266</v>
      </c>
      <c r="M12358" s="10">
        <v>1</v>
      </c>
      <c r="N12358" s="10"/>
      <c r="O12358" s="10"/>
      <c r="P12358" s="10"/>
      <c r="Q12358" s="10"/>
      <c r="R12358" s="10"/>
      <c r="S12358" s="10" t="s">
        <v>53</v>
      </c>
      <c r="T12358" s="10" t="s">
        <v>54</v>
      </c>
    </row>
    <row r="12359" spans="1:20" ht="14.5" x14ac:dyDescent="0.35">
      <c r="A12359" s="10" t="s">
        <v>52471</v>
      </c>
      <c r="B12359" s="10" t="str">
        <f>"9781943360376"</f>
        <v>9781943360376</v>
      </c>
      <c r="C12359" s="10" t="str">
        <f>"9781943360383"</f>
        <v>9781943360383</v>
      </c>
      <c r="D12359" s="10" t="s">
        <v>37594</v>
      </c>
      <c r="E12359" s="10" t="s">
        <v>40835</v>
      </c>
      <c r="F12359" s="10" t="s">
        <v>37623</v>
      </c>
      <c r="G12359" s="10" t="s">
        <v>6317</v>
      </c>
      <c r="H12359" s="11">
        <v>44189</v>
      </c>
      <c r="I12359" s="10">
        <v>2021</v>
      </c>
      <c r="J12359" s="10" t="s">
        <v>40835</v>
      </c>
      <c r="K12359" s="10">
        <v>232</v>
      </c>
      <c r="L12359" s="10" t="s">
        <v>52472</v>
      </c>
      <c r="M12359" s="10">
        <v>1</v>
      </c>
      <c r="N12359" s="10"/>
      <c r="O12359" s="10"/>
      <c r="P12359" s="10" t="s">
        <v>52473</v>
      </c>
      <c r="Q12359" s="10"/>
      <c r="R12359" s="10" t="s">
        <v>46740</v>
      </c>
      <c r="S12359" s="10" t="s">
        <v>53</v>
      </c>
      <c r="T12359" s="10" t="s">
        <v>54</v>
      </c>
    </row>
    <row r="12360" spans="1:20" ht="14.5" x14ac:dyDescent="0.35">
      <c r="A12360" s="10" t="s">
        <v>52474</v>
      </c>
      <c r="B12360" s="10" t="str">
        <f>"9781683502494"</f>
        <v>9781683502494</v>
      </c>
      <c r="C12360" s="10" t="str">
        <f>"9781683502500"</f>
        <v>9781683502500</v>
      </c>
      <c r="D12360" s="10" t="s">
        <v>6358</v>
      </c>
      <c r="E12360" s="10" t="s">
        <v>48045</v>
      </c>
      <c r="F12360" s="10" t="s">
        <v>70</v>
      </c>
      <c r="G12360" s="10" t="s">
        <v>6317</v>
      </c>
      <c r="H12360" s="11">
        <v>42913</v>
      </c>
      <c r="I12360" s="10">
        <v>2017</v>
      </c>
      <c r="J12360" s="10" t="s">
        <v>48045</v>
      </c>
      <c r="K12360" s="10">
        <v>131</v>
      </c>
      <c r="L12360" s="10" t="s">
        <v>52475</v>
      </c>
      <c r="M12360" s="10">
        <v>1</v>
      </c>
      <c r="N12360" s="10"/>
      <c r="O12360" s="10"/>
      <c r="P12360" s="10" t="s">
        <v>52476</v>
      </c>
      <c r="Q12360" s="10"/>
      <c r="R12360" s="10" t="s">
        <v>52477</v>
      </c>
      <c r="S12360" s="10" t="s">
        <v>53</v>
      </c>
      <c r="T12360" s="10" t="s">
        <v>6534</v>
      </c>
    </row>
    <row r="12361" spans="1:20" ht="14.5" x14ac:dyDescent="0.35">
      <c r="A12361" s="10" t="s">
        <v>52478</v>
      </c>
      <c r="B12361" s="10" t="str">
        <f>"9781683502159"</f>
        <v>9781683502159</v>
      </c>
      <c r="C12361" s="10" t="str">
        <f>"9781683502166"</f>
        <v>9781683502166</v>
      </c>
      <c r="D12361" s="10" t="s">
        <v>6358</v>
      </c>
      <c r="E12361" s="10" t="s">
        <v>48045</v>
      </c>
      <c r="F12361" s="10" t="s">
        <v>70</v>
      </c>
      <c r="G12361" s="10" t="s">
        <v>6317</v>
      </c>
      <c r="H12361" s="11">
        <v>42892</v>
      </c>
      <c r="I12361" s="10">
        <v>2017</v>
      </c>
      <c r="J12361" s="10" t="s">
        <v>48045</v>
      </c>
      <c r="K12361" s="10">
        <v>202</v>
      </c>
      <c r="L12361" s="10" t="s">
        <v>52479</v>
      </c>
      <c r="M12361" s="10">
        <v>1</v>
      </c>
      <c r="N12361" s="10"/>
      <c r="O12361" s="10"/>
      <c r="P12361" s="10" t="s">
        <v>52480</v>
      </c>
      <c r="Q12361" s="10">
        <v>610.71172999999999</v>
      </c>
      <c r="R12361" s="10" t="s">
        <v>52481</v>
      </c>
      <c r="S12361" s="10" t="s">
        <v>53</v>
      </c>
      <c r="T12361" s="10" t="s">
        <v>8625</v>
      </c>
    </row>
    <row r="12362" spans="1:20" ht="14.5" x14ac:dyDescent="0.35">
      <c r="A12362" s="10" t="s">
        <v>52482</v>
      </c>
      <c r="B12362" s="10" t="str">
        <f>"9781683504726"</f>
        <v>9781683504726</v>
      </c>
      <c r="C12362" s="10" t="str">
        <f>"9781683504733"</f>
        <v>9781683504733</v>
      </c>
      <c r="D12362" s="10" t="s">
        <v>6358</v>
      </c>
      <c r="E12362" s="10" t="s">
        <v>48045</v>
      </c>
      <c r="F12362" s="10" t="s">
        <v>39534</v>
      </c>
      <c r="G12362" s="10" t="s">
        <v>6317</v>
      </c>
      <c r="H12362" s="11">
        <v>43004</v>
      </c>
      <c r="I12362" s="10">
        <v>2017</v>
      </c>
      <c r="J12362" s="10" t="s">
        <v>48045</v>
      </c>
      <c r="K12362" s="10">
        <v>205</v>
      </c>
      <c r="L12362" s="10" t="s">
        <v>52483</v>
      </c>
      <c r="M12362" s="10">
        <v>1</v>
      </c>
      <c r="N12362" s="10"/>
      <c r="O12362" s="10"/>
      <c r="P12362" s="10" t="s">
        <v>52476</v>
      </c>
      <c r="Q12362" s="10">
        <v>177.7</v>
      </c>
      <c r="R12362" s="10" t="s">
        <v>52484</v>
      </c>
      <c r="S12362" s="10" t="s">
        <v>53</v>
      </c>
      <c r="T12362" s="10" t="s">
        <v>6534</v>
      </c>
    </row>
    <row r="12363" spans="1:20" ht="14.5" x14ac:dyDescent="0.35">
      <c r="A12363" s="10" t="s">
        <v>52485</v>
      </c>
      <c r="B12363" s="10" t="str">
        <f>"9781683508533"</f>
        <v>9781683508533</v>
      </c>
      <c r="C12363" s="10" t="str">
        <f>"9781683508540"</f>
        <v>9781683508540</v>
      </c>
      <c r="D12363" s="10" t="s">
        <v>6358</v>
      </c>
      <c r="E12363" s="10" t="s">
        <v>48045</v>
      </c>
      <c r="F12363" s="10" t="s">
        <v>70</v>
      </c>
      <c r="G12363" s="10" t="s">
        <v>6317</v>
      </c>
      <c r="H12363" s="11">
        <v>43333</v>
      </c>
      <c r="I12363" s="10">
        <v>2018</v>
      </c>
      <c r="J12363" s="10" t="s">
        <v>48045</v>
      </c>
      <c r="K12363" s="10">
        <v>255</v>
      </c>
      <c r="L12363" s="10" t="s">
        <v>52479</v>
      </c>
      <c r="M12363" s="10">
        <v>1</v>
      </c>
      <c r="N12363" s="10"/>
      <c r="O12363" s="10"/>
      <c r="P12363" s="10"/>
      <c r="Q12363" s="10"/>
      <c r="R12363" s="10" t="s">
        <v>52481</v>
      </c>
      <c r="S12363" s="10" t="s">
        <v>53</v>
      </c>
      <c r="T12363" s="10" t="s">
        <v>52486</v>
      </c>
    </row>
    <row r="12364" spans="1:20" ht="14.5" x14ac:dyDescent="0.35">
      <c r="A12364" s="10" t="s">
        <v>52487</v>
      </c>
      <c r="B12364" s="10" t="str">
        <f>"9781630470517"</f>
        <v>9781630470517</v>
      </c>
      <c r="C12364" s="10" t="str">
        <f>"9781630470531"</f>
        <v>9781630470531</v>
      </c>
      <c r="D12364" s="10" t="s">
        <v>6358</v>
      </c>
      <c r="E12364" s="10" t="s">
        <v>48045</v>
      </c>
      <c r="F12364" s="10" t="s">
        <v>39534</v>
      </c>
      <c r="G12364" s="10" t="s">
        <v>6317</v>
      </c>
      <c r="H12364" s="11">
        <v>41828</v>
      </c>
      <c r="I12364" s="10">
        <v>2014</v>
      </c>
      <c r="J12364" s="10" t="s">
        <v>48045</v>
      </c>
      <c r="K12364" s="10">
        <v>142</v>
      </c>
      <c r="L12364" s="10" t="s">
        <v>52488</v>
      </c>
      <c r="M12364" s="10">
        <v>1</v>
      </c>
      <c r="N12364" s="10"/>
      <c r="O12364" s="10"/>
      <c r="P12364" s="10" t="s">
        <v>52489</v>
      </c>
      <c r="Q12364" s="10">
        <v>618.92891799999995</v>
      </c>
      <c r="R12364" s="10" t="s">
        <v>52490</v>
      </c>
      <c r="S12364" s="10" t="s">
        <v>53</v>
      </c>
      <c r="T12364" s="10" t="s">
        <v>8681</v>
      </c>
    </row>
    <row r="12365" spans="1:20" ht="14.5" x14ac:dyDescent="0.35">
      <c r="A12365" s="10" t="s">
        <v>52491</v>
      </c>
      <c r="B12365" s="10" t="str">
        <f>"9781630475420"</f>
        <v>9781630475420</v>
      </c>
      <c r="C12365" s="10" t="str">
        <f>"9781630475437"</f>
        <v>9781630475437</v>
      </c>
      <c r="D12365" s="10" t="s">
        <v>6358</v>
      </c>
      <c r="E12365" s="10" t="s">
        <v>48045</v>
      </c>
      <c r="F12365" s="10" t="s">
        <v>70</v>
      </c>
      <c r="G12365" s="10" t="s">
        <v>6317</v>
      </c>
      <c r="H12365" s="11">
        <v>42080</v>
      </c>
      <c r="I12365" s="10">
        <v>2015</v>
      </c>
      <c r="J12365" s="10" t="s">
        <v>48045</v>
      </c>
      <c r="K12365" s="10">
        <v>339</v>
      </c>
      <c r="L12365" s="10"/>
      <c r="M12365" s="10">
        <v>1</v>
      </c>
      <c r="N12365" s="10"/>
      <c r="O12365" s="10"/>
      <c r="P12365" s="10" t="s">
        <v>52492</v>
      </c>
      <c r="Q12365" s="10">
        <v>371.19499999999999</v>
      </c>
      <c r="R12365" s="10" t="s">
        <v>8075</v>
      </c>
      <c r="S12365" s="10" t="s">
        <v>53</v>
      </c>
      <c r="T12365" s="10" t="s">
        <v>54</v>
      </c>
    </row>
    <row r="12366" spans="1:20" ht="14.5" x14ac:dyDescent="0.35">
      <c r="A12366" s="10" t="s">
        <v>52493</v>
      </c>
      <c r="B12366" s="10" t="str">
        <f>"9781978807662"</f>
        <v>9781978807662</v>
      </c>
      <c r="C12366" s="10" t="str">
        <f>"9781978809536"</f>
        <v>9781978809536</v>
      </c>
      <c r="D12366" s="10" t="s">
        <v>12251</v>
      </c>
      <c r="E12366" s="10" t="s">
        <v>12251</v>
      </c>
      <c r="F12366" s="10" t="s">
        <v>12451</v>
      </c>
      <c r="G12366" s="10" t="s">
        <v>6317</v>
      </c>
      <c r="H12366" s="11">
        <v>44239</v>
      </c>
      <c r="I12366" s="10">
        <v>2021</v>
      </c>
      <c r="J12366" s="10" t="s">
        <v>12251</v>
      </c>
      <c r="K12366" s="10">
        <v>223</v>
      </c>
      <c r="L12366" s="10" t="s">
        <v>28019</v>
      </c>
      <c r="M12366" s="10">
        <v>1</v>
      </c>
      <c r="N12366" s="10" t="s">
        <v>50442</v>
      </c>
      <c r="O12366" s="10"/>
      <c r="P12366" s="10" t="s">
        <v>52494</v>
      </c>
      <c r="Q12366" s="10">
        <v>378.19799999999998</v>
      </c>
      <c r="R12366" s="10" t="s">
        <v>52495</v>
      </c>
      <c r="S12366" s="10" t="s">
        <v>53</v>
      </c>
      <c r="T12366" s="10" t="s">
        <v>54</v>
      </c>
    </row>
    <row r="12367" spans="1:20" ht="14.5" x14ac:dyDescent="0.35">
      <c r="A12367" s="10" t="s">
        <v>52496</v>
      </c>
      <c r="B12367" s="10" t="str">
        <f>"9781975503628"</f>
        <v>9781975503628</v>
      </c>
      <c r="C12367" s="10" t="str">
        <f>"9781975503642"</f>
        <v>9781975503642</v>
      </c>
      <c r="D12367" s="10" t="s">
        <v>44271</v>
      </c>
      <c r="E12367" s="10" t="s">
        <v>47266</v>
      </c>
      <c r="F12367" s="10" t="s">
        <v>41227</v>
      </c>
      <c r="G12367" s="10" t="s">
        <v>6317</v>
      </c>
      <c r="H12367" s="11">
        <v>44204</v>
      </c>
      <c r="I12367" s="10">
        <v>2021</v>
      </c>
      <c r="J12367" s="10" t="s">
        <v>47266</v>
      </c>
      <c r="K12367" s="10">
        <v>203</v>
      </c>
      <c r="L12367" s="10" t="s">
        <v>52497</v>
      </c>
      <c r="M12367" s="10">
        <v>1</v>
      </c>
      <c r="N12367" s="10" t="s">
        <v>52498</v>
      </c>
      <c r="O12367" s="10"/>
      <c r="P12367" s="10" t="s">
        <v>52499</v>
      </c>
      <c r="Q12367" s="10">
        <v>428.40710000000001</v>
      </c>
      <c r="R12367" s="10" t="s">
        <v>52500</v>
      </c>
      <c r="S12367" s="10" t="s">
        <v>53</v>
      </c>
      <c r="T12367" s="10" t="s">
        <v>6634</v>
      </c>
    </row>
    <row r="12368" spans="1:20" ht="14.5" x14ac:dyDescent="0.35">
      <c r="A12368" s="10" t="s">
        <v>52501</v>
      </c>
      <c r="B12368" s="10" t="str">
        <f>"9781952812170"</f>
        <v>9781952812170</v>
      </c>
      <c r="C12368" s="10" t="str">
        <f>"9781952812187"</f>
        <v>9781952812187</v>
      </c>
      <c r="D12368" s="10" t="s">
        <v>37580</v>
      </c>
      <c r="E12368" s="10" t="s">
        <v>37581</v>
      </c>
      <c r="F12368" s="10" t="s">
        <v>37623</v>
      </c>
      <c r="G12368" s="10" t="s">
        <v>6317</v>
      </c>
      <c r="H12368" s="11">
        <v>44218</v>
      </c>
      <c r="I12368" s="10">
        <v>2021</v>
      </c>
      <c r="J12368" s="10" t="s">
        <v>37581</v>
      </c>
      <c r="K12368" s="10">
        <v>236</v>
      </c>
      <c r="L12368" s="10" t="s">
        <v>52502</v>
      </c>
      <c r="M12368" s="10">
        <v>1</v>
      </c>
      <c r="N12368" s="10"/>
      <c r="O12368" s="10"/>
      <c r="P12368" s="10" t="s">
        <v>52503</v>
      </c>
      <c r="Q12368" s="10">
        <v>371.20699999999999</v>
      </c>
      <c r="R12368" s="10" t="s">
        <v>30801</v>
      </c>
      <c r="S12368" s="10" t="s">
        <v>53</v>
      </c>
      <c r="T12368" s="10" t="s">
        <v>54</v>
      </c>
    </row>
    <row r="12369" spans="1:20" ht="14.5" x14ac:dyDescent="0.35">
      <c r="A12369" s="10" t="s">
        <v>52504</v>
      </c>
      <c r="B12369" s="10" t="str">
        <f>"9781951075118"</f>
        <v>9781951075118</v>
      </c>
      <c r="C12369" s="10" t="str">
        <f>"9781951075125"</f>
        <v>9781951075125</v>
      </c>
      <c r="D12369" s="10" t="s">
        <v>37580</v>
      </c>
      <c r="E12369" s="10" t="s">
        <v>37581</v>
      </c>
      <c r="F12369" s="10" t="s">
        <v>37623</v>
      </c>
      <c r="G12369" s="10" t="s">
        <v>6317</v>
      </c>
      <c r="H12369" s="11">
        <v>44211</v>
      </c>
      <c r="I12369" s="10">
        <v>2021</v>
      </c>
      <c r="J12369" s="10" t="s">
        <v>37581</v>
      </c>
      <c r="K12369" s="10">
        <v>272</v>
      </c>
      <c r="L12369" s="10" t="s">
        <v>52505</v>
      </c>
      <c r="M12369" s="10">
        <v>1</v>
      </c>
      <c r="N12369" s="10"/>
      <c r="O12369" s="10"/>
      <c r="P12369" s="10" t="s">
        <v>52506</v>
      </c>
      <c r="Q12369" s="10">
        <v>362.20830000000001</v>
      </c>
      <c r="R12369" s="10" t="s">
        <v>52507</v>
      </c>
      <c r="S12369" s="10" t="s">
        <v>53</v>
      </c>
      <c r="T12369" s="10" t="s">
        <v>52508</v>
      </c>
    </row>
    <row r="12370" spans="1:20" ht="14.5" x14ac:dyDescent="0.35">
      <c r="A12370" s="10" t="s">
        <v>52509</v>
      </c>
      <c r="B12370" s="10" t="str">
        <f>"9781119771883"</f>
        <v>9781119771883</v>
      </c>
      <c r="C12370" s="10" t="str">
        <f>"9781119771890"</f>
        <v>9781119771890</v>
      </c>
      <c r="D12370" s="10" t="s">
        <v>6322</v>
      </c>
      <c r="E12370" s="10" t="s">
        <v>6323</v>
      </c>
      <c r="F12370" s="10" t="s">
        <v>4423</v>
      </c>
      <c r="G12370" s="10" t="s">
        <v>6317</v>
      </c>
      <c r="H12370" s="11">
        <v>44230</v>
      </c>
      <c r="I12370" s="10">
        <v>2021</v>
      </c>
      <c r="J12370" s="10" t="s">
        <v>6323</v>
      </c>
      <c r="K12370" s="10">
        <v>315</v>
      </c>
      <c r="L12370" s="10" t="s">
        <v>52510</v>
      </c>
      <c r="M12370" s="10">
        <v>1</v>
      </c>
      <c r="N12370" s="10" t="s">
        <v>18778</v>
      </c>
      <c r="O12370" s="10"/>
      <c r="P12370" s="10"/>
      <c r="Q12370" s="10" t="s">
        <v>52511</v>
      </c>
      <c r="R12370" s="10" t="s">
        <v>52512</v>
      </c>
      <c r="S12370" s="10" t="s">
        <v>53</v>
      </c>
      <c r="T12370" s="10" t="s">
        <v>483</v>
      </c>
    </row>
    <row r="12371" spans="1:20" ht="14.5" x14ac:dyDescent="0.35">
      <c r="A12371" s="10" t="s">
        <v>52513</v>
      </c>
      <c r="B12371" s="10" t="str">
        <f>"9781800434776"</f>
        <v>9781800434776</v>
      </c>
      <c r="C12371" s="10" t="str">
        <f>"9781800434783"</f>
        <v>9781800434783</v>
      </c>
      <c r="D12371" s="10" t="s">
        <v>8699</v>
      </c>
      <c r="E12371" s="10" t="s">
        <v>8699</v>
      </c>
      <c r="F12371" s="10" t="s">
        <v>559</v>
      </c>
      <c r="G12371" s="10" t="s">
        <v>6352</v>
      </c>
      <c r="H12371" s="11">
        <v>44216</v>
      </c>
      <c r="I12371" s="10">
        <v>2021</v>
      </c>
      <c r="J12371" s="10" t="s">
        <v>8699</v>
      </c>
      <c r="K12371" s="10">
        <v>163</v>
      </c>
      <c r="L12371" s="10" t="s">
        <v>48673</v>
      </c>
      <c r="M12371" s="10">
        <v>1</v>
      </c>
      <c r="N12371" s="10" t="s">
        <v>29541</v>
      </c>
      <c r="O12371" s="10">
        <v>36</v>
      </c>
      <c r="P12371" s="10" t="s">
        <v>26825</v>
      </c>
      <c r="Q12371" s="10">
        <v>370</v>
      </c>
      <c r="R12371" s="10" t="s">
        <v>52514</v>
      </c>
      <c r="S12371" s="10" t="s">
        <v>53</v>
      </c>
      <c r="T12371" s="10" t="s">
        <v>54</v>
      </c>
    </row>
    <row r="12372" spans="1:20" ht="14.5" x14ac:dyDescent="0.35">
      <c r="A12372" s="10" t="s">
        <v>52515</v>
      </c>
      <c r="B12372" s="10" t="str">
        <f>"9781416629801"</f>
        <v>9781416629801</v>
      </c>
      <c r="C12372" s="10" t="str">
        <f>"9781416629825"</f>
        <v>9781416629825</v>
      </c>
      <c r="D12372" s="10" t="s">
        <v>10014</v>
      </c>
      <c r="E12372" s="10" t="s">
        <v>10015</v>
      </c>
      <c r="F12372" s="10" t="s">
        <v>201</v>
      </c>
      <c r="G12372" s="10" t="s">
        <v>6317</v>
      </c>
      <c r="H12372" s="11">
        <v>44222</v>
      </c>
      <c r="I12372" s="10">
        <v>2021</v>
      </c>
      <c r="J12372" s="10" t="s">
        <v>10015</v>
      </c>
      <c r="K12372" s="10">
        <v>210</v>
      </c>
      <c r="L12372" s="10" t="s">
        <v>28703</v>
      </c>
      <c r="M12372" s="10">
        <v>1</v>
      </c>
      <c r="N12372" s="10"/>
      <c r="O12372" s="10"/>
      <c r="P12372" s="10" t="s">
        <v>52516</v>
      </c>
      <c r="Q12372" s="10">
        <v>371.26</v>
      </c>
      <c r="R12372" s="10" t="s">
        <v>52517</v>
      </c>
      <c r="S12372" s="10" t="s">
        <v>53</v>
      </c>
      <c r="T12372" s="10" t="s">
        <v>54</v>
      </c>
    </row>
    <row r="12373" spans="1:20" ht="14.5" x14ac:dyDescent="0.35">
      <c r="A12373" s="10" t="s">
        <v>52518</v>
      </c>
      <c r="B12373" s="10" t="str">
        <f>"9781071838679"</f>
        <v>9781071838679</v>
      </c>
      <c r="C12373" s="10" t="str">
        <f>"9781071838549"</f>
        <v>9781071838549</v>
      </c>
      <c r="D12373" s="10" t="s">
        <v>22210</v>
      </c>
      <c r="E12373" s="10" t="s">
        <v>22211</v>
      </c>
      <c r="F12373" s="10" t="s">
        <v>333</v>
      </c>
      <c r="G12373" s="10" t="s">
        <v>6317</v>
      </c>
      <c r="H12373" s="11">
        <v>44098</v>
      </c>
      <c r="I12373" s="10">
        <v>2021</v>
      </c>
      <c r="J12373" s="10" t="s">
        <v>22211</v>
      </c>
      <c r="K12373" s="10">
        <v>201</v>
      </c>
      <c r="L12373" s="10" t="s">
        <v>52519</v>
      </c>
      <c r="M12373" s="10">
        <v>1</v>
      </c>
      <c r="N12373" s="10"/>
      <c r="O12373" s="10"/>
      <c r="P12373" s="10" t="s">
        <v>52520</v>
      </c>
      <c r="Q12373" s="10">
        <v>378.17500000000001</v>
      </c>
      <c r="R12373" s="10"/>
      <c r="S12373" s="10" t="s">
        <v>53</v>
      </c>
      <c r="T12373" s="10" t="s">
        <v>54</v>
      </c>
    </row>
    <row r="12374" spans="1:20" ht="14.5" x14ac:dyDescent="0.35">
      <c r="A12374" s="10" t="s">
        <v>52521</v>
      </c>
      <c r="B12374" s="10" t="str">
        <f>"9781949539714"</f>
        <v>9781949539714</v>
      </c>
      <c r="C12374" s="10" t="str">
        <f>"9781949539721"</f>
        <v>9781949539721</v>
      </c>
      <c r="D12374" s="10" t="s">
        <v>37580</v>
      </c>
      <c r="E12374" s="10" t="s">
        <v>37581</v>
      </c>
      <c r="F12374" s="10" t="s">
        <v>37623</v>
      </c>
      <c r="G12374" s="10" t="s">
        <v>6317</v>
      </c>
      <c r="H12374" s="11">
        <v>44221</v>
      </c>
      <c r="I12374" s="10">
        <v>2021</v>
      </c>
      <c r="J12374" s="10" t="s">
        <v>37581</v>
      </c>
      <c r="K12374" s="10">
        <v>168</v>
      </c>
      <c r="L12374" s="10" t="s">
        <v>52522</v>
      </c>
      <c r="M12374" s="10">
        <v>1</v>
      </c>
      <c r="N12374" s="10"/>
      <c r="O12374" s="10"/>
      <c r="P12374" s="10" t="s">
        <v>52523</v>
      </c>
      <c r="Q12374" s="10">
        <v>370.71100000000001</v>
      </c>
      <c r="R12374" s="10" t="s">
        <v>52524</v>
      </c>
      <c r="S12374" s="10" t="s">
        <v>53</v>
      </c>
      <c r="T12374" s="10" t="s">
        <v>54</v>
      </c>
    </row>
    <row r="12375" spans="1:20" ht="14.5" x14ac:dyDescent="0.35">
      <c r="A12375" s="10" t="s">
        <v>52525</v>
      </c>
      <c r="B12375" s="10" t="str">
        <f>"9781800439450"</f>
        <v>9781800439450</v>
      </c>
      <c r="C12375" s="10" t="str">
        <f>"9781800439467"</f>
        <v>9781800439467</v>
      </c>
      <c r="D12375" s="10" t="s">
        <v>8699</v>
      </c>
      <c r="E12375" s="10" t="s">
        <v>8699</v>
      </c>
      <c r="F12375" s="10" t="s">
        <v>559</v>
      </c>
      <c r="G12375" s="10" t="s">
        <v>6352</v>
      </c>
      <c r="H12375" s="11">
        <v>44228</v>
      </c>
      <c r="I12375" s="10">
        <v>2021</v>
      </c>
      <c r="J12375" s="10" t="s">
        <v>8699</v>
      </c>
      <c r="K12375" s="10">
        <v>295</v>
      </c>
      <c r="L12375" s="10" t="s">
        <v>51118</v>
      </c>
      <c r="M12375" s="10">
        <v>1</v>
      </c>
      <c r="N12375" s="10"/>
      <c r="O12375" s="10"/>
      <c r="P12375" s="10" t="s">
        <v>51246</v>
      </c>
      <c r="Q12375" s="10">
        <v>370</v>
      </c>
      <c r="R12375" s="10" t="s">
        <v>52526</v>
      </c>
      <c r="S12375" s="10" t="s">
        <v>53</v>
      </c>
      <c r="T12375" s="10" t="s">
        <v>54</v>
      </c>
    </row>
    <row r="12376" spans="1:20" ht="14.5" x14ac:dyDescent="0.35">
      <c r="A12376" s="10" t="s">
        <v>52527</v>
      </c>
      <c r="B12376" s="10" t="str">
        <f>"9781928480860"</f>
        <v>9781928480860</v>
      </c>
      <c r="C12376" s="10" t="str">
        <f>"9781928480877"</f>
        <v>9781928480877</v>
      </c>
      <c r="D12376" s="10" t="s">
        <v>51836</v>
      </c>
      <c r="E12376" s="10" t="s">
        <v>51836</v>
      </c>
      <c r="F12376" s="10" t="s">
        <v>51837</v>
      </c>
      <c r="G12376" s="10" t="s">
        <v>24826</v>
      </c>
      <c r="H12376" s="11">
        <v>44542</v>
      </c>
      <c r="I12376" s="10">
        <v>2020</v>
      </c>
      <c r="J12376" s="10" t="s">
        <v>51836</v>
      </c>
      <c r="K12376" s="10">
        <v>313</v>
      </c>
      <c r="L12376" s="10" t="s">
        <v>52528</v>
      </c>
      <c r="M12376" s="10">
        <v>1</v>
      </c>
      <c r="N12376" s="10" t="s">
        <v>52529</v>
      </c>
      <c r="O12376" s="10">
        <v>2</v>
      </c>
      <c r="P12376" s="10" t="s">
        <v>52530</v>
      </c>
      <c r="Q12376" s="10">
        <v>378.62</v>
      </c>
      <c r="R12376" s="10" t="s">
        <v>52531</v>
      </c>
      <c r="S12376" s="10" t="s">
        <v>53</v>
      </c>
      <c r="T12376" s="10" t="s">
        <v>54</v>
      </c>
    </row>
    <row r="12377" spans="1:20" ht="14.5" x14ac:dyDescent="0.35">
      <c r="A12377" s="10" t="s">
        <v>52532</v>
      </c>
      <c r="B12377" s="10" t="str">
        <f>"9781928480969"</f>
        <v>9781928480969</v>
      </c>
      <c r="C12377" s="10" t="str">
        <f>"9781928480976"</f>
        <v>9781928480976</v>
      </c>
      <c r="D12377" s="10" t="s">
        <v>51836</v>
      </c>
      <c r="E12377" s="10" t="s">
        <v>51836</v>
      </c>
      <c r="F12377" s="10" t="s">
        <v>51837</v>
      </c>
      <c r="G12377" s="10" t="s">
        <v>24826</v>
      </c>
      <c r="H12377" s="11">
        <v>44196</v>
      </c>
      <c r="I12377" s="10">
        <v>2020</v>
      </c>
      <c r="J12377" s="10" t="s">
        <v>51836</v>
      </c>
      <c r="K12377" s="10">
        <v>320</v>
      </c>
      <c r="L12377" s="10" t="s">
        <v>52533</v>
      </c>
      <c r="M12377" s="10">
        <v>1</v>
      </c>
      <c r="N12377" s="10"/>
      <c r="O12377" s="10"/>
      <c r="P12377" s="10" t="s">
        <v>52534</v>
      </c>
      <c r="Q12377" s="10">
        <v>418.007068</v>
      </c>
      <c r="R12377" s="10" t="s">
        <v>52535</v>
      </c>
      <c r="S12377" s="10" t="s">
        <v>53</v>
      </c>
      <c r="T12377" s="10" t="s">
        <v>6616</v>
      </c>
    </row>
    <row r="12378" spans="1:20" ht="14.5" x14ac:dyDescent="0.35">
      <c r="A12378" s="10" t="s">
        <v>52536</v>
      </c>
      <c r="B12378" s="10" t="str">
        <f>"9781928357766"</f>
        <v>9781928357766</v>
      </c>
      <c r="C12378" s="10" t="str">
        <f>"9781928357773"</f>
        <v>9781928357773</v>
      </c>
      <c r="D12378" s="10" t="s">
        <v>51836</v>
      </c>
      <c r="E12378" s="10" t="s">
        <v>51836</v>
      </c>
      <c r="F12378" s="10" t="s">
        <v>51837</v>
      </c>
      <c r="G12378" s="10" t="s">
        <v>24826</v>
      </c>
      <c r="H12378" s="11">
        <v>44542</v>
      </c>
      <c r="I12378" s="10">
        <v>2020</v>
      </c>
      <c r="J12378" s="10" t="s">
        <v>51836</v>
      </c>
      <c r="K12378" s="10">
        <v>184</v>
      </c>
      <c r="L12378" s="10" t="s">
        <v>43041</v>
      </c>
      <c r="M12378" s="10">
        <v>1</v>
      </c>
      <c r="N12378" s="10"/>
      <c r="O12378" s="10"/>
      <c r="P12378" s="10" t="s">
        <v>52537</v>
      </c>
      <c r="Q12378" s="10">
        <v>297.77</v>
      </c>
      <c r="R12378" s="10" t="s">
        <v>52538</v>
      </c>
      <c r="S12378" s="10" t="s">
        <v>53</v>
      </c>
      <c r="T12378" s="10" t="s">
        <v>46688</v>
      </c>
    </row>
    <row r="12379" spans="1:20" ht="14.5" x14ac:dyDescent="0.35">
      <c r="A12379" s="10" t="s">
        <v>52539</v>
      </c>
      <c r="B12379" s="10" t="str">
        <f>"9781928480921"</f>
        <v>9781928480921</v>
      </c>
      <c r="C12379" s="10" t="str">
        <f>"9781928480938"</f>
        <v>9781928480938</v>
      </c>
      <c r="D12379" s="10" t="s">
        <v>51836</v>
      </c>
      <c r="E12379" s="10" t="s">
        <v>51836</v>
      </c>
      <c r="F12379" s="10" t="s">
        <v>51837</v>
      </c>
      <c r="G12379" s="10" t="s">
        <v>24826</v>
      </c>
      <c r="H12379" s="11">
        <v>44542</v>
      </c>
      <c r="I12379" s="10">
        <v>2020</v>
      </c>
      <c r="J12379" s="10" t="s">
        <v>51836</v>
      </c>
      <c r="K12379" s="10">
        <v>180</v>
      </c>
      <c r="L12379" s="10" t="s">
        <v>52540</v>
      </c>
      <c r="M12379" s="10">
        <v>1</v>
      </c>
      <c r="N12379" s="10"/>
      <c r="O12379" s="10"/>
      <c r="P12379" s="10" t="s">
        <v>52541</v>
      </c>
      <c r="Q12379" s="10">
        <v>370.71096799999998</v>
      </c>
      <c r="R12379" s="10" t="s">
        <v>52542</v>
      </c>
      <c r="S12379" s="10" t="s">
        <v>53</v>
      </c>
      <c r="T12379" s="10" t="s">
        <v>54</v>
      </c>
    </row>
    <row r="12380" spans="1:20" ht="14.5" x14ac:dyDescent="0.35">
      <c r="A12380" s="10" t="s">
        <v>52543</v>
      </c>
      <c r="B12380" s="10" t="str">
        <f>"9781913453015"</f>
        <v>9781913453015</v>
      </c>
      <c r="C12380" s="10" t="str">
        <f>"9781913453039"</f>
        <v>9781913453039</v>
      </c>
      <c r="D12380" s="10" t="s">
        <v>9533</v>
      </c>
      <c r="E12380" s="10" t="s">
        <v>26840</v>
      </c>
      <c r="F12380" s="10" t="s">
        <v>44053</v>
      </c>
      <c r="G12380" s="10" t="s">
        <v>6352</v>
      </c>
      <c r="H12380" s="11">
        <v>44278</v>
      </c>
      <c r="I12380" s="10">
        <v>2021</v>
      </c>
      <c r="J12380" s="10" t="s">
        <v>26840</v>
      </c>
      <c r="K12380" s="10">
        <v>69</v>
      </c>
      <c r="L12380" s="10" t="s">
        <v>52544</v>
      </c>
      <c r="M12380" s="10">
        <v>1</v>
      </c>
      <c r="N12380" s="10" t="s">
        <v>29029</v>
      </c>
      <c r="O12380" s="10"/>
      <c r="P12380" s="10" t="s">
        <v>52545</v>
      </c>
      <c r="Q12380" s="10">
        <v>372.70440000000002</v>
      </c>
      <c r="R12380" s="10" t="s">
        <v>19338</v>
      </c>
      <c r="S12380" s="10" t="s">
        <v>53</v>
      </c>
      <c r="T12380" s="10" t="s">
        <v>6448</v>
      </c>
    </row>
    <row r="12381" spans="1:20" ht="14.5" x14ac:dyDescent="0.35">
      <c r="A12381" s="10" t="s">
        <v>52546</v>
      </c>
      <c r="B12381" s="10" t="str">
        <f>"9781642670806"</f>
        <v>9781642670806</v>
      </c>
      <c r="C12381" s="10" t="str">
        <f>"9781000974478"</f>
        <v>9781000974478</v>
      </c>
      <c r="D12381" s="10" t="s">
        <v>6350</v>
      </c>
      <c r="E12381" s="10" t="s">
        <v>6351</v>
      </c>
      <c r="F12381" s="10" t="s">
        <v>748</v>
      </c>
      <c r="G12381" s="10" t="s">
        <v>6352</v>
      </c>
      <c r="H12381" s="11">
        <v>44239</v>
      </c>
      <c r="I12381" s="10">
        <v>2021</v>
      </c>
      <c r="J12381" s="10" t="s">
        <v>6351</v>
      </c>
      <c r="K12381" s="10">
        <v>169</v>
      </c>
      <c r="L12381" s="10" t="s">
        <v>52547</v>
      </c>
      <c r="M12381" s="10">
        <v>1</v>
      </c>
      <c r="N12381" s="10"/>
      <c r="O12381" s="10"/>
      <c r="P12381" s="10" t="s">
        <v>52548</v>
      </c>
      <c r="Q12381" s="10">
        <v>378.125</v>
      </c>
      <c r="R12381" s="10" t="s">
        <v>11395</v>
      </c>
      <c r="S12381" s="10" t="s">
        <v>53</v>
      </c>
      <c r="T12381" s="10" t="s">
        <v>54</v>
      </c>
    </row>
    <row r="12382" spans="1:20" ht="14.5" x14ac:dyDescent="0.35">
      <c r="A12382" s="10" t="s">
        <v>52549</v>
      </c>
      <c r="B12382" s="10" t="str">
        <f>"9781800434516"</f>
        <v>9781800434516</v>
      </c>
      <c r="C12382" s="10" t="str">
        <f>"9781800434486"</f>
        <v>9781800434486</v>
      </c>
      <c r="D12382" s="10" t="s">
        <v>8699</v>
      </c>
      <c r="E12382" s="10" t="s">
        <v>8699</v>
      </c>
      <c r="F12382" s="10" t="s">
        <v>559</v>
      </c>
      <c r="G12382" s="10" t="s">
        <v>6352</v>
      </c>
      <c r="H12382" s="11">
        <v>44235</v>
      </c>
      <c r="I12382" s="10">
        <v>2021</v>
      </c>
      <c r="J12382" s="10" t="s">
        <v>8699</v>
      </c>
      <c r="K12382" s="10">
        <v>249</v>
      </c>
      <c r="L12382" s="10" t="s">
        <v>52550</v>
      </c>
      <c r="M12382" s="10">
        <v>1</v>
      </c>
      <c r="N12382" s="10" t="s">
        <v>47460</v>
      </c>
      <c r="O12382" s="10"/>
      <c r="P12382" s="10" t="s">
        <v>27182</v>
      </c>
      <c r="Q12382" s="10">
        <v>378</v>
      </c>
      <c r="R12382" s="10" t="s">
        <v>18055</v>
      </c>
      <c r="S12382" s="10" t="s">
        <v>53</v>
      </c>
      <c r="T12382" s="10" t="s">
        <v>54</v>
      </c>
    </row>
    <row r="12383" spans="1:20" ht="14.5" x14ac:dyDescent="0.35">
      <c r="A12383" s="10" t="s">
        <v>52551</v>
      </c>
      <c r="B12383" s="10" t="str">
        <f>""</f>
        <v/>
      </c>
      <c r="C12383" s="10" t="str">
        <f>"9789048553976"</f>
        <v>9789048553976</v>
      </c>
      <c r="D12383" s="10" t="s">
        <v>13287</v>
      </c>
      <c r="E12383" s="10" t="s">
        <v>13287</v>
      </c>
      <c r="F12383" s="10" t="s">
        <v>1818</v>
      </c>
      <c r="G12383" s="10" t="s">
        <v>9233</v>
      </c>
      <c r="H12383" s="11">
        <v>44063</v>
      </c>
      <c r="I12383" s="10">
        <v>2020</v>
      </c>
      <c r="J12383" s="10" t="s">
        <v>13287</v>
      </c>
      <c r="K12383" s="10">
        <v>209</v>
      </c>
      <c r="L12383" s="10" t="s">
        <v>52552</v>
      </c>
      <c r="M12383" s="10">
        <v>1</v>
      </c>
      <c r="N12383" s="10" t="s">
        <v>46319</v>
      </c>
      <c r="O12383" s="10"/>
      <c r="P12383" s="10" t="s">
        <v>52553</v>
      </c>
      <c r="Q12383" s="10">
        <v>1.42</v>
      </c>
      <c r="R12383" s="10" t="s">
        <v>52554</v>
      </c>
      <c r="S12383" s="10" t="s">
        <v>53</v>
      </c>
      <c r="T12383" s="10" t="s">
        <v>12559</v>
      </c>
    </row>
    <row r="12384" spans="1:20" ht="14.5" x14ac:dyDescent="0.35">
      <c r="A12384" s="10" t="s">
        <v>52555</v>
      </c>
      <c r="B12384" s="10" t="str">
        <f>"9781952812071"</f>
        <v>9781952812071</v>
      </c>
      <c r="C12384" s="10" t="str">
        <f>"9781952812088"</f>
        <v>9781952812088</v>
      </c>
      <c r="D12384" s="10" t="s">
        <v>37580</v>
      </c>
      <c r="E12384" s="10" t="s">
        <v>37581</v>
      </c>
      <c r="F12384" s="10" t="s">
        <v>37623</v>
      </c>
      <c r="G12384" s="10" t="s">
        <v>6317</v>
      </c>
      <c r="H12384" s="11">
        <v>44246</v>
      </c>
      <c r="I12384" s="10">
        <v>2021</v>
      </c>
      <c r="J12384" s="10" t="s">
        <v>37581</v>
      </c>
      <c r="K12384" s="10">
        <v>168</v>
      </c>
      <c r="L12384" s="10" t="s">
        <v>42214</v>
      </c>
      <c r="M12384" s="10">
        <v>1</v>
      </c>
      <c r="N12384" s="10"/>
      <c r="O12384" s="10"/>
      <c r="P12384" s="10" t="s">
        <v>52556</v>
      </c>
      <c r="Q12384" s="10">
        <v>371.2</v>
      </c>
      <c r="R12384" s="10" t="s">
        <v>52557</v>
      </c>
      <c r="S12384" s="10" t="s">
        <v>53</v>
      </c>
      <c r="T12384" s="10" t="s">
        <v>54</v>
      </c>
    </row>
    <row r="12385" spans="1:20" ht="14.5" x14ac:dyDescent="0.35">
      <c r="A12385" s="10" t="s">
        <v>52558</v>
      </c>
      <c r="B12385" s="10" t="str">
        <f>"9781990995002"</f>
        <v>9781990995002</v>
      </c>
      <c r="C12385" s="10" t="str">
        <f>"9781990995019"</f>
        <v>9781990995019</v>
      </c>
      <c r="D12385" s="10" t="s">
        <v>51836</v>
      </c>
      <c r="E12385" s="10" t="s">
        <v>52559</v>
      </c>
      <c r="F12385" s="10" t="s">
        <v>51837</v>
      </c>
      <c r="G12385" s="10" t="s">
        <v>24826</v>
      </c>
      <c r="H12385" s="11">
        <v>44542</v>
      </c>
      <c r="I12385" s="10">
        <v>2020</v>
      </c>
      <c r="J12385" s="10" t="s">
        <v>52559</v>
      </c>
      <c r="K12385" s="10">
        <v>469</v>
      </c>
      <c r="L12385" s="10" t="s">
        <v>52560</v>
      </c>
      <c r="M12385" s="10">
        <v>1</v>
      </c>
      <c r="N12385" s="10"/>
      <c r="O12385" s="10"/>
      <c r="P12385" s="10" t="s">
        <v>52561</v>
      </c>
      <c r="Q12385" s="10">
        <v>378.68</v>
      </c>
      <c r="R12385" s="10" t="s">
        <v>40564</v>
      </c>
      <c r="S12385" s="10" t="s">
        <v>53</v>
      </c>
      <c r="T12385" s="10" t="s">
        <v>54</v>
      </c>
    </row>
    <row r="12386" spans="1:20" ht="14.5" x14ac:dyDescent="0.35">
      <c r="A12386" s="10" t="s">
        <v>52562</v>
      </c>
      <c r="B12386" s="10" t="str">
        <f>"9781913063573"</f>
        <v>9781913063573</v>
      </c>
      <c r="C12386" s="10" t="str">
        <f>"9781913063603"</f>
        <v>9781913063603</v>
      </c>
      <c r="D12386" s="10" t="s">
        <v>9533</v>
      </c>
      <c r="E12386" s="10" t="s">
        <v>26840</v>
      </c>
      <c r="F12386" s="10" t="s">
        <v>44053</v>
      </c>
      <c r="G12386" s="10" t="s">
        <v>6352</v>
      </c>
      <c r="H12386" s="11">
        <v>44249</v>
      </c>
      <c r="I12386" s="10">
        <v>2021</v>
      </c>
      <c r="J12386" s="10" t="s">
        <v>26840</v>
      </c>
      <c r="K12386" s="10">
        <v>118</v>
      </c>
      <c r="L12386" s="10" t="s">
        <v>52563</v>
      </c>
      <c r="M12386" s="10">
        <v>1</v>
      </c>
      <c r="N12386" s="10" t="s">
        <v>49096</v>
      </c>
      <c r="O12386" s="10"/>
      <c r="P12386" s="10" t="s">
        <v>52564</v>
      </c>
      <c r="Q12386" s="10">
        <v>371.8</v>
      </c>
      <c r="R12386" s="10" t="s">
        <v>52565</v>
      </c>
      <c r="S12386" s="10" t="s">
        <v>53</v>
      </c>
      <c r="T12386" s="10" t="s">
        <v>54</v>
      </c>
    </row>
    <row r="12387" spans="1:20" ht="14.5" x14ac:dyDescent="0.35">
      <c r="A12387" s="10" t="s">
        <v>52566</v>
      </c>
      <c r="B12387" s="10" t="str">
        <f>"9781913453176"</f>
        <v>9781913453176</v>
      </c>
      <c r="C12387" s="10" t="str">
        <f>"9781913453206"</f>
        <v>9781913453206</v>
      </c>
      <c r="D12387" s="10" t="s">
        <v>9533</v>
      </c>
      <c r="E12387" s="10" t="s">
        <v>26840</v>
      </c>
      <c r="F12387" s="10" t="s">
        <v>44053</v>
      </c>
      <c r="G12387" s="10" t="s">
        <v>6352</v>
      </c>
      <c r="H12387" s="11">
        <v>44249</v>
      </c>
      <c r="I12387" s="10">
        <v>2021</v>
      </c>
      <c r="J12387" s="10" t="s">
        <v>26840</v>
      </c>
      <c r="K12387" s="10">
        <v>202</v>
      </c>
      <c r="L12387" s="10" t="s">
        <v>51312</v>
      </c>
      <c r="M12387" s="10">
        <v>1</v>
      </c>
      <c r="N12387" s="10"/>
      <c r="O12387" s="10"/>
      <c r="P12387" s="10" t="s">
        <v>52567</v>
      </c>
      <c r="Q12387" s="10">
        <v>372.19094200000001</v>
      </c>
      <c r="R12387" s="10" t="s">
        <v>52568</v>
      </c>
      <c r="S12387" s="10" t="s">
        <v>53</v>
      </c>
      <c r="T12387" s="10" t="s">
        <v>54</v>
      </c>
    </row>
    <row r="12388" spans="1:20" ht="14.5" x14ac:dyDescent="0.35">
      <c r="A12388" s="10" t="s">
        <v>52569</v>
      </c>
      <c r="B12388" s="10" t="str">
        <f>"9781913453497"</f>
        <v>9781913453497</v>
      </c>
      <c r="C12388" s="10" t="str">
        <f>"9781913453510"</f>
        <v>9781913453510</v>
      </c>
      <c r="D12388" s="10" t="s">
        <v>9533</v>
      </c>
      <c r="E12388" s="10" t="s">
        <v>26840</v>
      </c>
      <c r="F12388" s="10" t="s">
        <v>44053</v>
      </c>
      <c r="G12388" s="10" t="s">
        <v>6352</v>
      </c>
      <c r="H12388" s="11">
        <v>44239</v>
      </c>
      <c r="I12388" s="10">
        <v>2021</v>
      </c>
      <c r="J12388" s="10" t="s">
        <v>26840</v>
      </c>
      <c r="K12388" s="10">
        <v>244</v>
      </c>
      <c r="L12388" s="10" t="s">
        <v>52570</v>
      </c>
      <c r="M12388" s="10">
        <v>1</v>
      </c>
      <c r="N12388" s="10"/>
      <c r="O12388" s="10"/>
      <c r="P12388" s="10" t="s">
        <v>52571</v>
      </c>
      <c r="Q12388" s="10">
        <v>370.11599999999999</v>
      </c>
      <c r="R12388" s="10" t="s">
        <v>52572</v>
      </c>
      <c r="S12388" s="10" t="s">
        <v>53</v>
      </c>
      <c r="T12388" s="10" t="s">
        <v>54</v>
      </c>
    </row>
    <row r="12389" spans="1:20" ht="14.5" x14ac:dyDescent="0.35">
      <c r="A12389" s="10" t="s">
        <v>52573</v>
      </c>
      <c r="B12389" s="10" t="str">
        <f>"9781909280779"</f>
        <v>9781909280779</v>
      </c>
      <c r="C12389" s="10" t="str">
        <f>"9781912611287"</f>
        <v>9781912611287</v>
      </c>
      <c r="D12389" s="10" t="s">
        <v>19500</v>
      </c>
      <c r="E12389" s="10" t="s">
        <v>21828</v>
      </c>
      <c r="F12389" s="10" t="s">
        <v>20587</v>
      </c>
      <c r="G12389" s="10" t="s">
        <v>6352</v>
      </c>
      <c r="H12389" s="11">
        <v>42552</v>
      </c>
      <c r="I12389" s="10">
        <v>2016</v>
      </c>
      <c r="J12389" s="10" t="s">
        <v>21828</v>
      </c>
      <c r="K12389" s="10">
        <v>40</v>
      </c>
      <c r="L12389" s="10" t="s">
        <v>52574</v>
      </c>
      <c r="M12389" s="10">
        <v>2</v>
      </c>
      <c r="N12389" s="10"/>
      <c r="O12389" s="10"/>
      <c r="P12389" s="10" t="s">
        <v>52575</v>
      </c>
      <c r="Q12389" s="10">
        <v>372.21</v>
      </c>
      <c r="R12389" s="10" t="s">
        <v>51120</v>
      </c>
      <c r="S12389" s="10" t="s">
        <v>53</v>
      </c>
      <c r="T12389" s="10" t="s">
        <v>54</v>
      </c>
    </row>
    <row r="12390" spans="1:20" ht="14.5" x14ac:dyDescent="0.35">
      <c r="A12390" s="10" t="s">
        <v>52576</v>
      </c>
      <c r="B12390" s="10" t="str">
        <f>"9781912611201"</f>
        <v>9781912611201</v>
      </c>
      <c r="C12390" s="10" t="str">
        <f>"9781912611386"</f>
        <v>9781912611386</v>
      </c>
      <c r="D12390" s="10" t="s">
        <v>19500</v>
      </c>
      <c r="E12390" s="10" t="s">
        <v>21828</v>
      </c>
      <c r="F12390" s="10" t="s">
        <v>20587</v>
      </c>
      <c r="G12390" s="10" t="s">
        <v>6352</v>
      </c>
      <c r="H12390" s="11">
        <v>43893</v>
      </c>
      <c r="I12390" s="10">
        <v>2020</v>
      </c>
      <c r="J12390" s="10" t="s">
        <v>21828</v>
      </c>
      <c r="K12390" s="10">
        <v>57</v>
      </c>
      <c r="L12390" s="10" t="s">
        <v>52577</v>
      </c>
      <c r="M12390" s="10">
        <v>1</v>
      </c>
      <c r="N12390" s="10" t="s">
        <v>52578</v>
      </c>
      <c r="O12390" s="10">
        <v>2</v>
      </c>
      <c r="P12390" s="10" t="s">
        <v>52579</v>
      </c>
      <c r="Q12390" s="10">
        <v>370.15339999999998</v>
      </c>
      <c r="R12390" s="10" t="s">
        <v>24042</v>
      </c>
      <c r="S12390" s="10" t="s">
        <v>53</v>
      </c>
      <c r="T12390" s="10" t="s">
        <v>54</v>
      </c>
    </row>
    <row r="12391" spans="1:20" ht="14.5" x14ac:dyDescent="0.35">
      <c r="A12391" s="10" t="s">
        <v>52580</v>
      </c>
      <c r="B12391" s="10" t="str">
        <f>"9781912611010"</f>
        <v>9781912611010</v>
      </c>
      <c r="C12391" s="10" t="str">
        <f>"9781912611300"</f>
        <v>9781912611300</v>
      </c>
      <c r="D12391" s="10" t="s">
        <v>19500</v>
      </c>
      <c r="E12391" s="10" t="s">
        <v>21828</v>
      </c>
      <c r="F12391" s="10" t="s">
        <v>20587</v>
      </c>
      <c r="G12391" s="10" t="s">
        <v>6352</v>
      </c>
      <c r="H12391" s="11">
        <v>43282</v>
      </c>
      <c r="I12391" s="10">
        <v>2018</v>
      </c>
      <c r="J12391" s="10" t="s">
        <v>21828</v>
      </c>
      <c r="K12391" s="10">
        <v>74</v>
      </c>
      <c r="L12391" s="10" t="s">
        <v>52581</v>
      </c>
      <c r="M12391" s="10">
        <v>1</v>
      </c>
      <c r="N12391" s="10" t="s">
        <v>52582</v>
      </c>
      <c r="O12391" s="10">
        <v>5</v>
      </c>
      <c r="P12391" s="10" t="s">
        <v>52583</v>
      </c>
      <c r="Q12391" s="10">
        <v>306.44091129999998</v>
      </c>
      <c r="R12391" s="10" t="s">
        <v>52584</v>
      </c>
      <c r="S12391" s="10" t="s">
        <v>53</v>
      </c>
      <c r="T12391" s="10" t="s">
        <v>6472</v>
      </c>
    </row>
    <row r="12392" spans="1:20" ht="14.5" x14ac:dyDescent="0.35">
      <c r="A12392" s="10" t="s">
        <v>52585</v>
      </c>
      <c r="B12392" s="10" t="str">
        <f>"9781898823988"</f>
        <v>9781898823988</v>
      </c>
      <c r="C12392" s="10" t="str">
        <f>"9781898823995"</f>
        <v>9781898823995</v>
      </c>
      <c r="D12392" s="10" t="s">
        <v>13287</v>
      </c>
      <c r="E12392" s="10" t="s">
        <v>13287</v>
      </c>
      <c r="F12392" s="10" t="s">
        <v>1818</v>
      </c>
      <c r="G12392" s="10" t="s">
        <v>9233</v>
      </c>
      <c r="H12392" s="11">
        <v>43524</v>
      </c>
      <c r="I12392" s="10">
        <v>2019</v>
      </c>
      <c r="J12392" s="10" t="s">
        <v>13287</v>
      </c>
      <c r="K12392" s="10">
        <v>180</v>
      </c>
      <c r="L12392" s="10" t="s">
        <v>52586</v>
      </c>
      <c r="M12392" s="10">
        <v>1</v>
      </c>
      <c r="N12392" s="10"/>
      <c r="O12392" s="10"/>
      <c r="P12392" s="10"/>
      <c r="Q12392" s="10">
        <v>952.048092</v>
      </c>
      <c r="R12392" s="10" t="s">
        <v>52587</v>
      </c>
      <c r="S12392" s="10" t="s">
        <v>53</v>
      </c>
      <c r="T12392" s="10" t="s">
        <v>4490</v>
      </c>
    </row>
    <row r="12393" spans="1:20" ht="14.5" x14ac:dyDescent="0.35">
      <c r="A12393" s="10" t="s">
        <v>52588</v>
      </c>
      <c r="B12393" s="10" t="str">
        <f>"9781913453138"</f>
        <v>9781913453138</v>
      </c>
      <c r="C12393" s="10" t="str">
        <f>"9781913453169"</f>
        <v>9781913453169</v>
      </c>
      <c r="D12393" s="10" t="s">
        <v>9533</v>
      </c>
      <c r="E12393" s="10" t="s">
        <v>26840</v>
      </c>
      <c r="F12393" s="10" t="s">
        <v>44053</v>
      </c>
      <c r="G12393" s="10" t="s">
        <v>6352</v>
      </c>
      <c r="H12393" s="11">
        <v>44279</v>
      </c>
      <c r="I12393" s="10">
        <v>2021</v>
      </c>
      <c r="J12393" s="10" t="s">
        <v>26840</v>
      </c>
      <c r="K12393" s="10">
        <v>234</v>
      </c>
      <c r="L12393" s="10" t="s">
        <v>52589</v>
      </c>
      <c r="M12393" s="10">
        <v>1</v>
      </c>
      <c r="N12393" s="10" t="s">
        <v>49096</v>
      </c>
      <c r="O12393" s="10"/>
      <c r="P12393" s="10" t="s">
        <v>52590</v>
      </c>
      <c r="Q12393" s="10" t="s">
        <v>8836</v>
      </c>
      <c r="R12393" s="10" t="s">
        <v>52591</v>
      </c>
      <c r="S12393" s="10" t="s">
        <v>53</v>
      </c>
      <c r="T12393" s="10" t="s">
        <v>54</v>
      </c>
    </row>
    <row r="12394" spans="1:20" ht="14.5" x14ac:dyDescent="0.35">
      <c r="A12394" s="10" t="s">
        <v>52592</v>
      </c>
      <c r="B12394" s="10" t="str">
        <f>"9789004449152"</f>
        <v>9789004449152</v>
      </c>
      <c r="C12394" s="10" t="str">
        <f>"9789004449169"</f>
        <v>9789004449169</v>
      </c>
      <c r="D12394" s="10" t="s">
        <v>8564</v>
      </c>
      <c r="E12394" s="10" t="s">
        <v>8565</v>
      </c>
      <c r="F12394" s="10" t="s">
        <v>1420</v>
      </c>
      <c r="G12394" s="10" t="s">
        <v>6317</v>
      </c>
      <c r="H12394" s="11">
        <v>44203</v>
      </c>
      <c r="I12394" s="10">
        <v>2021</v>
      </c>
      <c r="J12394" s="10" t="s">
        <v>33259</v>
      </c>
      <c r="K12394" s="10">
        <v>145</v>
      </c>
      <c r="L12394" s="10" t="s">
        <v>52593</v>
      </c>
      <c r="M12394" s="10">
        <v>1</v>
      </c>
      <c r="N12394" s="10" t="s">
        <v>51193</v>
      </c>
      <c r="O12394" s="10">
        <v>7</v>
      </c>
      <c r="P12394" s="10"/>
      <c r="Q12394" s="10"/>
      <c r="R12394" s="10"/>
      <c r="S12394" s="10" t="s">
        <v>53</v>
      </c>
      <c r="T12394" s="10" t="s">
        <v>54</v>
      </c>
    </row>
    <row r="12395" spans="1:20" ht="14.5" x14ac:dyDescent="0.35">
      <c r="A12395" s="10" t="s">
        <v>52594</v>
      </c>
      <c r="B12395" s="10" t="str">
        <f>"9789004447042"</f>
        <v>9789004447042</v>
      </c>
      <c r="C12395" s="10" t="str">
        <f>"9789004447059"</f>
        <v>9789004447059</v>
      </c>
      <c r="D12395" s="10" t="s">
        <v>8564</v>
      </c>
      <c r="E12395" s="10" t="s">
        <v>8565</v>
      </c>
      <c r="F12395" s="10" t="s">
        <v>1420</v>
      </c>
      <c r="G12395" s="10" t="s">
        <v>6317</v>
      </c>
      <c r="H12395" s="11">
        <v>44211</v>
      </c>
      <c r="I12395" s="10">
        <v>2021</v>
      </c>
      <c r="J12395" s="10" t="s">
        <v>33259</v>
      </c>
      <c r="K12395" s="10">
        <v>219</v>
      </c>
      <c r="L12395" s="10" t="s">
        <v>52595</v>
      </c>
      <c r="M12395" s="10">
        <v>1</v>
      </c>
      <c r="N12395" s="10"/>
      <c r="O12395" s="10"/>
      <c r="P12395" s="10" t="s">
        <v>52596</v>
      </c>
      <c r="Q12395" s="10">
        <v>378.101</v>
      </c>
      <c r="R12395" s="10" t="s">
        <v>52597</v>
      </c>
      <c r="S12395" s="10" t="s">
        <v>53</v>
      </c>
      <c r="T12395" s="10" t="s">
        <v>54</v>
      </c>
    </row>
    <row r="12396" spans="1:20" ht="14.5" x14ac:dyDescent="0.35">
      <c r="A12396" s="10" t="s">
        <v>52598</v>
      </c>
      <c r="B12396" s="10" t="str">
        <f>"9789004459854"</f>
        <v>9789004459854</v>
      </c>
      <c r="C12396" s="10" t="str">
        <f>"9789004459861"</f>
        <v>9789004459861</v>
      </c>
      <c r="D12396" s="10" t="s">
        <v>8564</v>
      </c>
      <c r="E12396" s="10" t="s">
        <v>8565</v>
      </c>
      <c r="F12396" s="10" t="s">
        <v>1420</v>
      </c>
      <c r="G12396" s="10" t="s">
        <v>6317</v>
      </c>
      <c r="H12396" s="11">
        <v>44245</v>
      </c>
      <c r="I12396" s="10">
        <v>2021</v>
      </c>
      <c r="J12396" s="10" t="s">
        <v>33259</v>
      </c>
      <c r="K12396" s="10">
        <v>172</v>
      </c>
      <c r="L12396" s="10" t="s">
        <v>52599</v>
      </c>
      <c r="M12396" s="10">
        <v>1</v>
      </c>
      <c r="N12396" s="10" t="s">
        <v>45027</v>
      </c>
      <c r="O12396" s="10">
        <v>8</v>
      </c>
      <c r="P12396" s="10" t="s">
        <v>52600</v>
      </c>
      <c r="Q12396" s="10">
        <v>658.40920000000006</v>
      </c>
      <c r="R12396" s="10" t="s">
        <v>40404</v>
      </c>
      <c r="S12396" s="10" t="s">
        <v>53</v>
      </c>
      <c r="T12396" s="10" t="s">
        <v>6660</v>
      </c>
    </row>
    <row r="12397" spans="1:20" ht="14.5" x14ac:dyDescent="0.35">
      <c r="A12397" s="10" t="s">
        <v>52601</v>
      </c>
      <c r="B12397" s="10" t="str">
        <f>"9789004458796"</f>
        <v>9789004458796</v>
      </c>
      <c r="C12397" s="10" t="str">
        <f>"9789004458819"</f>
        <v>9789004458819</v>
      </c>
      <c r="D12397" s="10" t="s">
        <v>8564</v>
      </c>
      <c r="E12397" s="10" t="s">
        <v>8565</v>
      </c>
      <c r="F12397" s="10" t="s">
        <v>1420</v>
      </c>
      <c r="G12397" s="10" t="s">
        <v>6317</v>
      </c>
      <c r="H12397" s="11">
        <v>44203</v>
      </c>
      <c r="I12397" s="10">
        <v>2021</v>
      </c>
      <c r="J12397" s="10" t="s">
        <v>33259</v>
      </c>
      <c r="K12397" s="10">
        <v>97</v>
      </c>
      <c r="L12397" s="10" t="s">
        <v>42844</v>
      </c>
      <c r="M12397" s="10">
        <v>1</v>
      </c>
      <c r="N12397" s="10" t="s">
        <v>48986</v>
      </c>
      <c r="O12397" s="10">
        <v>7</v>
      </c>
      <c r="P12397" s="10"/>
      <c r="Q12397" s="10"/>
      <c r="R12397" s="10" t="s">
        <v>52602</v>
      </c>
      <c r="S12397" s="10" t="s">
        <v>53</v>
      </c>
      <c r="T12397" s="10" t="s">
        <v>54</v>
      </c>
    </row>
    <row r="12398" spans="1:20" ht="14.5" x14ac:dyDescent="0.35">
      <c r="A12398" s="10" t="s">
        <v>52603</v>
      </c>
      <c r="B12398" s="10" t="str">
        <f>"9789004448483"</f>
        <v>9789004448483</v>
      </c>
      <c r="C12398" s="10" t="str">
        <f>"9789004448490"</f>
        <v>9789004448490</v>
      </c>
      <c r="D12398" s="10" t="s">
        <v>8564</v>
      </c>
      <c r="E12398" s="10" t="s">
        <v>8565</v>
      </c>
      <c r="F12398" s="10" t="s">
        <v>1420</v>
      </c>
      <c r="G12398" s="10" t="s">
        <v>6317</v>
      </c>
      <c r="H12398" s="11">
        <v>44203</v>
      </c>
      <c r="I12398" s="10">
        <v>2021</v>
      </c>
      <c r="J12398" s="10" t="s">
        <v>33259</v>
      </c>
      <c r="K12398" s="10">
        <v>390</v>
      </c>
      <c r="L12398" s="10" t="s">
        <v>52604</v>
      </c>
      <c r="M12398" s="10">
        <v>1</v>
      </c>
      <c r="N12398" s="10" t="s">
        <v>48242</v>
      </c>
      <c r="O12398" s="10">
        <v>6</v>
      </c>
      <c r="P12398" s="10" t="s">
        <v>52605</v>
      </c>
      <c r="Q12398" s="10">
        <v>302.23</v>
      </c>
      <c r="R12398" s="10" t="s">
        <v>52606</v>
      </c>
      <c r="S12398" s="10" t="s">
        <v>53</v>
      </c>
      <c r="T12398" s="10" t="s">
        <v>6363</v>
      </c>
    </row>
    <row r="12399" spans="1:20" ht="14.5" x14ac:dyDescent="0.35">
      <c r="A12399" s="10" t="s">
        <v>52607</v>
      </c>
      <c r="B12399" s="10" t="str">
        <f>"9789004459359"</f>
        <v>9789004459359</v>
      </c>
      <c r="C12399" s="10" t="str">
        <f>"9789004459366"</f>
        <v>9789004459366</v>
      </c>
      <c r="D12399" s="10" t="s">
        <v>8564</v>
      </c>
      <c r="E12399" s="10" t="s">
        <v>8565</v>
      </c>
      <c r="F12399" s="10" t="s">
        <v>1420</v>
      </c>
      <c r="G12399" s="10" t="s">
        <v>6317</v>
      </c>
      <c r="H12399" s="11">
        <v>44203</v>
      </c>
      <c r="I12399" s="10">
        <v>2021</v>
      </c>
      <c r="J12399" s="10" t="s">
        <v>33259</v>
      </c>
      <c r="K12399" s="10">
        <v>254</v>
      </c>
      <c r="L12399" s="10" t="s">
        <v>52608</v>
      </c>
      <c r="M12399" s="10">
        <v>1</v>
      </c>
      <c r="N12399" s="10" t="s">
        <v>33663</v>
      </c>
      <c r="O12399" s="10">
        <v>40</v>
      </c>
      <c r="P12399" s="10" t="s">
        <v>52609</v>
      </c>
      <c r="Q12399" s="10">
        <v>813.6</v>
      </c>
      <c r="R12399" s="10" t="s">
        <v>52610</v>
      </c>
      <c r="S12399" s="10" t="s">
        <v>53</v>
      </c>
      <c r="T12399" s="10" t="s">
        <v>1166</v>
      </c>
    </row>
    <row r="12400" spans="1:20" ht="14.5" x14ac:dyDescent="0.35">
      <c r="A12400" s="10" t="s">
        <v>52611</v>
      </c>
      <c r="B12400" s="10" t="str">
        <f>"9789004395954"</f>
        <v>9789004395954</v>
      </c>
      <c r="C12400" s="10" t="str">
        <f>"9789004457096"</f>
        <v>9789004457096</v>
      </c>
      <c r="D12400" s="10" t="s">
        <v>8564</v>
      </c>
      <c r="E12400" s="10" t="s">
        <v>8565</v>
      </c>
      <c r="F12400" s="10" t="s">
        <v>1420</v>
      </c>
      <c r="G12400" s="10" t="s">
        <v>6317</v>
      </c>
      <c r="H12400" s="11">
        <v>44224</v>
      </c>
      <c r="I12400" s="10">
        <v>2021</v>
      </c>
      <c r="J12400" s="10" t="s">
        <v>33259</v>
      </c>
      <c r="K12400" s="10">
        <v>110</v>
      </c>
      <c r="L12400" s="10" t="s">
        <v>52612</v>
      </c>
      <c r="M12400" s="10">
        <v>1</v>
      </c>
      <c r="N12400" s="10" t="s">
        <v>48986</v>
      </c>
      <c r="O12400" s="10">
        <v>6</v>
      </c>
      <c r="P12400" s="10"/>
      <c r="Q12400" s="10"/>
      <c r="R12400" s="10" t="s">
        <v>52613</v>
      </c>
      <c r="S12400" s="10" t="s">
        <v>53</v>
      </c>
      <c r="T12400" s="10" t="s">
        <v>54</v>
      </c>
    </row>
    <row r="12401" spans="1:20" ht="14.5" x14ac:dyDescent="0.35">
      <c r="A12401" s="10" t="s">
        <v>52614</v>
      </c>
      <c r="B12401" s="10" t="str">
        <f>"9781683626220"</f>
        <v>9781683626220</v>
      </c>
      <c r="C12401" s="10" t="str">
        <f>"9781683626268"</f>
        <v>9781683626268</v>
      </c>
      <c r="D12401" s="10" t="s">
        <v>9533</v>
      </c>
      <c r="E12401" s="10" t="s">
        <v>52615</v>
      </c>
      <c r="F12401" s="10" t="s">
        <v>25348</v>
      </c>
      <c r="G12401" s="10" t="s">
        <v>6317</v>
      </c>
      <c r="H12401" s="11">
        <v>44228</v>
      </c>
      <c r="I12401" s="10">
        <v>2020</v>
      </c>
      <c r="J12401" s="10" t="s">
        <v>52615</v>
      </c>
      <c r="K12401" s="10">
        <v>496</v>
      </c>
      <c r="L12401" s="10" t="s">
        <v>50260</v>
      </c>
      <c r="M12401" s="10">
        <v>1</v>
      </c>
      <c r="N12401" s="10"/>
      <c r="O12401" s="10"/>
      <c r="P12401" s="10" t="s">
        <v>52616</v>
      </c>
      <c r="Q12401" s="10">
        <v>371.10239999999999</v>
      </c>
      <c r="R12401" s="10" t="s">
        <v>52617</v>
      </c>
      <c r="S12401" s="10" t="s">
        <v>53</v>
      </c>
      <c r="T12401" s="10" t="s">
        <v>54</v>
      </c>
    </row>
    <row r="12402" spans="1:20" ht="14.5" x14ac:dyDescent="0.35">
      <c r="A12402" s="10" t="s">
        <v>52618</v>
      </c>
      <c r="B12402" s="10" t="str">
        <f>""</f>
        <v/>
      </c>
      <c r="C12402" s="10" t="str">
        <f>"9781800716827"</f>
        <v>9781800716827</v>
      </c>
      <c r="D12402" s="10" t="s">
        <v>8699</v>
      </c>
      <c r="E12402" s="10" t="s">
        <v>8699</v>
      </c>
      <c r="F12402" s="10" t="s">
        <v>41843</v>
      </c>
      <c r="G12402" s="10" t="s">
        <v>6352</v>
      </c>
      <c r="H12402" s="11">
        <v>44137</v>
      </c>
      <c r="I12402" s="10">
        <v>2020</v>
      </c>
      <c r="J12402" s="10" t="s">
        <v>8699</v>
      </c>
      <c r="K12402" s="10">
        <v>75</v>
      </c>
      <c r="L12402" s="10" t="s">
        <v>52619</v>
      </c>
      <c r="M12402" s="10">
        <v>1</v>
      </c>
      <c r="N12402" s="10" t="s">
        <v>49194</v>
      </c>
      <c r="O12402" s="10">
        <v>4</v>
      </c>
      <c r="P12402" s="10" t="s">
        <v>52620</v>
      </c>
      <c r="Q12402" s="10">
        <v>658.40560000000005</v>
      </c>
      <c r="R12402" s="10" t="s">
        <v>44037</v>
      </c>
      <c r="S12402" s="10" t="s">
        <v>53</v>
      </c>
      <c r="T12402" s="10" t="s">
        <v>6660</v>
      </c>
    </row>
    <row r="12403" spans="1:20" ht="14.5" x14ac:dyDescent="0.35">
      <c r="A12403" s="10" t="s">
        <v>52621</v>
      </c>
      <c r="B12403" s="10" t="str">
        <f>""</f>
        <v/>
      </c>
      <c r="C12403" s="10" t="str">
        <f>"9781800716520"</f>
        <v>9781800716520</v>
      </c>
      <c r="D12403" s="10" t="s">
        <v>8699</v>
      </c>
      <c r="E12403" s="10" t="s">
        <v>8699</v>
      </c>
      <c r="F12403" s="10" t="s">
        <v>41843</v>
      </c>
      <c r="G12403" s="10" t="s">
        <v>6352</v>
      </c>
      <c r="H12403" s="11">
        <v>44180</v>
      </c>
      <c r="I12403" s="10">
        <v>2020</v>
      </c>
      <c r="J12403" s="10" t="s">
        <v>8699</v>
      </c>
      <c r="K12403" s="10">
        <v>113</v>
      </c>
      <c r="L12403" s="10" t="s">
        <v>52622</v>
      </c>
      <c r="M12403" s="10">
        <v>1</v>
      </c>
      <c r="N12403" s="10" t="s">
        <v>50567</v>
      </c>
      <c r="O12403" s="10">
        <v>4</v>
      </c>
      <c r="P12403" s="10" t="s">
        <v>52623</v>
      </c>
      <c r="Q12403" s="10">
        <v>371.10199999999998</v>
      </c>
      <c r="R12403" s="10" t="s">
        <v>49683</v>
      </c>
      <c r="S12403" s="10" t="s">
        <v>53</v>
      </c>
      <c r="T12403" s="10" t="s">
        <v>54</v>
      </c>
    </row>
    <row r="12404" spans="1:20" ht="14.5" x14ac:dyDescent="0.35">
      <c r="A12404" s="10" t="s">
        <v>52624</v>
      </c>
      <c r="B12404" s="10" t="str">
        <f>""</f>
        <v/>
      </c>
      <c r="C12404" s="10" t="str">
        <f>"9781801171007"</f>
        <v>9781801171007</v>
      </c>
      <c r="D12404" s="10" t="s">
        <v>8699</v>
      </c>
      <c r="E12404" s="10" t="s">
        <v>8699</v>
      </c>
      <c r="F12404" s="10" t="s">
        <v>41843</v>
      </c>
      <c r="G12404" s="10" t="s">
        <v>6352</v>
      </c>
      <c r="H12404" s="11">
        <v>44188</v>
      </c>
      <c r="I12404" s="10">
        <v>2020</v>
      </c>
      <c r="J12404" s="10" t="s">
        <v>8699</v>
      </c>
      <c r="K12404" s="10">
        <v>258</v>
      </c>
      <c r="L12404" s="10" t="s">
        <v>52625</v>
      </c>
      <c r="M12404" s="10">
        <v>1</v>
      </c>
      <c r="N12404" s="10" t="s">
        <v>52626</v>
      </c>
      <c r="O12404" s="10">
        <v>4</v>
      </c>
      <c r="P12404" s="10" t="s">
        <v>52627</v>
      </c>
      <c r="Q12404" s="10">
        <v>371.10199999999998</v>
      </c>
      <c r="R12404" s="10" t="s">
        <v>18113</v>
      </c>
      <c r="S12404" s="10" t="s">
        <v>53</v>
      </c>
      <c r="T12404" s="10" t="s">
        <v>54</v>
      </c>
    </row>
    <row r="12405" spans="1:20" ht="14.5" x14ac:dyDescent="0.35">
      <c r="A12405" s="10" t="s">
        <v>52628</v>
      </c>
      <c r="B12405" s="10" t="str">
        <f>""</f>
        <v/>
      </c>
      <c r="C12405" s="10" t="str">
        <f>"9781800712355"</f>
        <v>9781800712355</v>
      </c>
      <c r="D12405" s="10" t="s">
        <v>8699</v>
      </c>
      <c r="E12405" s="10" t="s">
        <v>8699</v>
      </c>
      <c r="F12405" s="10" t="s">
        <v>41843</v>
      </c>
      <c r="G12405" s="10" t="s">
        <v>6352</v>
      </c>
      <c r="H12405" s="11">
        <v>44139</v>
      </c>
      <c r="I12405" s="10">
        <v>2020</v>
      </c>
      <c r="J12405" s="10" t="s">
        <v>8699</v>
      </c>
      <c r="K12405" s="10">
        <v>85</v>
      </c>
      <c r="L12405" s="10" t="s">
        <v>52629</v>
      </c>
      <c r="M12405" s="10">
        <v>1</v>
      </c>
      <c r="N12405" s="10" t="s">
        <v>48041</v>
      </c>
      <c r="O12405" s="10">
        <v>4</v>
      </c>
      <c r="P12405" s="10" t="s">
        <v>52630</v>
      </c>
      <c r="Q12405" s="10">
        <v>370.113</v>
      </c>
      <c r="R12405" s="10" t="s">
        <v>52631</v>
      </c>
      <c r="S12405" s="10" t="s">
        <v>53</v>
      </c>
      <c r="T12405" s="10" t="s">
        <v>54</v>
      </c>
    </row>
    <row r="12406" spans="1:20" ht="14.5" x14ac:dyDescent="0.35">
      <c r="A12406" s="10" t="s">
        <v>52632</v>
      </c>
      <c r="B12406" s="10" t="str">
        <f>""</f>
        <v/>
      </c>
      <c r="C12406" s="10" t="str">
        <f>"9781800719125"</f>
        <v>9781800719125</v>
      </c>
      <c r="D12406" s="10" t="s">
        <v>8699</v>
      </c>
      <c r="E12406" s="10" t="s">
        <v>8699</v>
      </c>
      <c r="F12406" s="10" t="s">
        <v>41843</v>
      </c>
      <c r="G12406" s="10" t="s">
        <v>6352</v>
      </c>
      <c r="H12406" s="11">
        <v>44174</v>
      </c>
      <c r="I12406" s="10">
        <v>2020</v>
      </c>
      <c r="J12406" s="10" t="s">
        <v>8699</v>
      </c>
      <c r="K12406" s="10">
        <v>122</v>
      </c>
      <c r="L12406" s="10" t="s">
        <v>52633</v>
      </c>
      <c r="M12406" s="10">
        <v>1</v>
      </c>
      <c r="N12406" s="10" t="s">
        <v>48041</v>
      </c>
      <c r="O12406" s="10">
        <v>5</v>
      </c>
      <c r="P12406" s="10" t="s">
        <v>52634</v>
      </c>
      <c r="Q12406" s="10">
        <v>370.113</v>
      </c>
      <c r="R12406" s="10" t="s">
        <v>33570</v>
      </c>
      <c r="S12406" s="10" t="s">
        <v>53</v>
      </c>
      <c r="T12406" s="10" t="s">
        <v>54</v>
      </c>
    </row>
    <row r="12407" spans="1:20" ht="14.5" x14ac:dyDescent="0.35">
      <c r="A12407" s="10" t="s">
        <v>52635</v>
      </c>
      <c r="B12407" s="10" t="str">
        <f>""</f>
        <v/>
      </c>
      <c r="C12407" s="10" t="str">
        <f>"9781800719682"</f>
        <v>9781800719682</v>
      </c>
      <c r="D12407" s="10" t="s">
        <v>8699</v>
      </c>
      <c r="E12407" s="10" t="s">
        <v>8699</v>
      </c>
      <c r="F12407" s="10" t="s">
        <v>41843</v>
      </c>
      <c r="G12407" s="10" t="s">
        <v>6352</v>
      </c>
      <c r="H12407" s="11">
        <v>44188</v>
      </c>
      <c r="I12407" s="10">
        <v>2020</v>
      </c>
      <c r="J12407" s="10" t="s">
        <v>8699</v>
      </c>
      <c r="K12407" s="10">
        <v>101</v>
      </c>
      <c r="L12407" s="10" t="s">
        <v>52636</v>
      </c>
      <c r="M12407" s="10">
        <v>1</v>
      </c>
      <c r="N12407" s="10" t="s">
        <v>52402</v>
      </c>
      <c r="O12407" s="12">
        <v>45545</v>
      </c>
      <c r="P12407" s="10" t="s">
        <v>52637</v>
      </c>
      <c r="Q12407" s="10">
        <v>617.51</v>
      </c>
      <c r="R12407" s="10" t="s">
        <v>46933</v>
      </c>
      <c r="S12407" s="10" t="s">
        <v>53</v>
      </c>
      <c r="T12407" s="10" t="s">
        <v>52638</v>
      </c>
    </row>
    <row r="12408" spans="1:20" ht="14.5" x14ac:dyDescent="0.35">
      <c r="A12408" s="10" t="s">
        <v>52639</v>
      </c>
      <c r="B12408" s="10" t="str">
        <f>""</f>
        <v/>
      </c>
      <c r="C12408" s="10" t="str">
        <f>"9783838274546"</f>
        <v>9783838274546</v>
      </c>
      <c r="D12408" s="10" t="s">
        <v>27189</v>
      </c>
      <c r="E12408" s="10" t="s">
        <v>28981</v>
      </c>
      <c r="F12408" s="10" t="s">
        <v>2925</v>
      </c>
      <c r="G12408" s="10" t="s">
        <v>9998</v>
      </c>
      <c r="H12408" s="11">
        <v>44271</v>
      </c>
      <c r="I12408" s="10">
        <v>2018</v>
      </c>
      <c r="J12408" s="10" t="s">
        <v>28981</v>
      </c>
      <c r="K12408" s="10">
        <v>179</v>
      </c>
      <c r="L12408" s="10" t="s">
        <v>52640</v>
      </c>
      <c r="M12408" s="10"/>
      <c r="N12408" s="10"/>
      <c r="O12408" s="10"/>
      <c r="P12408" s="10" t="s">
        <v>52641</v>
      </c>
      <c r="Q12408" s="10">
        <v>155.4</v>
      </c>
      <c r="R12408" s="10" t="s">
        <v>49332</v>
      </c>
      <c r="S12408" s="10" t="s">
        <v>53</v>
      </c>
      <c r="T12408" s="10" t="s">
        <v>483</v>
      </c>
    </row>
    <row r="12409" spans="1:20" ht="14.5" x14ac:dyDescent="0.35">
      <c r="A12409" s="10" t="s">
        <v>52642</v>
      </c>
      <c r="B12409" s="10" t="str">
        <f>"9780873539753"</f>
        <v>9780873539753</v>
      </c>
      <c r="C12409" s="10" t="str">
        <f>"9780873539753"</f>
        <v>9780873539753</v>
      </c>
      <c r="D12409" s="10" t="s">
        <v>509</v>
      </c>
      <c r="E12409" s="10" t="s">
        <v>509</v>
      </c>
      <c r="F12409" s="10" t="s">
        <v>52643</v>
      </c>
      <c r="G12409" s="10" t="s">
        <v>6317</v>
      </c>
      <c r="H12409" s="11">
        <v>42946</v>
      </c>
      <c r="I12409" s="10">
        <v>2017</v>
      </c>
      <c r="J12409" s="10" t="s">
        <v>509</v>
      </c>
      <c r="K12409" s="10">
        <v>244</v>
      </c>
      <c r="L12409" s="10" t="s">
        <v>52644</v>
      </c>
      <c r="M12409" s="10">
        <v>1</v>
      </c>
      <c r="N12409" s="10" t="s">
        <v>52645</v>
      </c>
      <c r="O12409" s="10"/>
      <c r="P12409" s="10" t="s">
        <v>52646</v>
      </c>
      <c r="Q12409" s="10">
        <v>510.71</v>
      </c>
      <c r="R12409" s="10" t="s">
        <v>52647</v>
      </c>
      <c r="S12409" s="10" t="s">
        <v>53</v>
      </c>
      <c r="T12409" s="10" t="s">
        <v>389</v>
      </c>
    </row>
    <row r="12410" spans="1:20" ht="14.5" x14ac:dyDescent="0.35">
      <c r="A12410" s="10" t="s">
        <v>52648</v>
      </c>
      <c r="B12410" s="10" t="str">
        <f>"9781119257585"</f>
        <v>9781119257585</v>
      </c>
      <c r="C12410" s="10" t="str">
        <f>"9781119257592"</f>
        <v>9781119257592</v>
      </c>
      <c r="D12410" s="10" t="s">
        <v>6322</v>
      </c>
      <c r="E12410" s="10" t="s">
        <v>6323</v>
      </c>
      <c r="F12410" s="10" t="s">
        <v>4423</v>
      </c>
      <c r="G12410" s="10" t="s">
        <v>6317</v>
      </c>
      <c r="H12410" s="11">
        <v>44168</v>
      </c>
      <c r="I12410" s="10">
        <v>2020</v>
      </c>
      <c r="J12410" s="10" t="s">
        <v>8436</v>
      </c>
      <c r="K12410" s="10">
        <v>595</v>
      </c>
      <c r="L12410" s="10" t="s">
        <v>52649</v>
      </c>
      <c r="M12410" s="10">
        <v>1</v>
      </c>
      <c r="N12410" s="10" t="s">
        <v>41092</v>
      </c>
      <c r="O12410" s="10"/>
      <c r="P12410" s="10"/>
      <c r="Q12410" s="10">
        <v>378.00819999999999</v>
      </c>
      <c r="R12410" s="10" t="s">
        <v>52650</v>
      </c>
      <c r="S12410" s="10" t="s">
        <v>53</v>
      </c>
      <c r="T12410" s="10" t="s">
        <v>54</v>
      </c>
    </row>
    <row r="12411" spans="1:20" ht="14.5" x14ac:dyDescent="0.35">
      <c r="A12411" s="10" t="s">
        <v>52651</v>
      </c>
      <c r="B12411" s="10" t="str">
        <f>"9783832544843"</f>
        <v>9783832544843</v>
      </c>
      <c r="C12411" s="10" t="str">
        <f>"9783832592509"</f>
        <v>9783832592509</v>
      </c>
      <c r="D12411" s="10" t="s">
        <v>46455</v>
      </c>
      <c r="E12411" s="10" t="s">
        <v>46455</v>
      </c>
      <c r="F12411" s="10" t="s">
        <v>2925</v>
      </c>
      <c r="G12411" s="10" t="s">
        <v>9998</v>
      </c>
      <c r="H12411" s="11">
        <v>42915</v>
      </c>
      <c r="I12411" s="10">
        <v>2017</v>
      </c>
      <c r="J12411" s="10" t="s">
        <v>46455</v>
      </c>
      <c r="K12411" s="10">
        <v>354</v>
      </c>
      <c r="L12411" s="10" t="s">
        <v>52652</v>
      </c>
      <c r="M12411" s="10">
        <v>1</v>
      </c>
      <c r="N12411" s="10"/>
      <c r="O12411" s="10"/>
      <c r="P12411" s="10" t="s">
        <v>52653</v>
      </c>
      <c r="Q12411" s="10">
        <v>371.26</v>
      </c>
      <c r="R12411" s="10" t="s">
        <v>33559</v>
      </c>
      <c r="S12411" s="10" t="s">
        <v>53</v>
      </c>
      <c r="T12411" s="10" t="s">
        <v>9291</v>
      </c>
    </row>
    <row r="12412" spans="1:20" ht="14.5" x14ac:dyDescent="0.35">
      <c r="A12412" s="10" t="s">
        <v>52654</v>
      </c>
      <c r="B12412" s="10" t="str">
        <f>"9788024646909"</f>
        <v>9788024646909</v>
      </c>
      <c r="C12412" s="10" t="str">
        <f>"9788024647074"</f>
        <v>9788024647074</v>
      </c>
      <c r="D12412" s="10" t="s">
        <v>30935</v>
      </c>
      <c r="E12412" s="10" t="s">
        <v>30935</v>
      </c>
      <c r="F12412" s="10" t="s">
        <v>1796</v>
      </c>
      <c r="G12412" s="10" t="s">
        <v>30936</v>
      </c>
      <c r="H12412" s="11">
        <v>44197</v>
      </c>
      <c r="I12412" s="10">
        <v>2020</v>
      </c>
      <c r="J12412" s="10" t="s">
        <v>30935</v>
      </c>
      <c r="K12412" s="10">
        <v>309</v>
      </c>
      <c r="L12412" s="10" t="s">
        <v>52655</v>
      </c>
      <c r="M12412" s="10">
        <v>1</v>
      </c>
      <c r="N12412" s="10"/>
      <c r="O12412" s="10"/>
      <c r="P12412" s="10" t="s">
        <v>52656</v>
      </c>
      <c r="Q12412" s="10">
        <v>929.37400000000002</v>
      </c>
      <c r="R12412" s="10" t="s">
        <v>13858</v>
      </c>
      <c r="S12412" s="10" t="s">
        <v>53</v>
      </c>
      <c r="T12412" s="10" t="s">
        <v>8717</v>
      </c>
    </row>
    <row r="12413" spans="1:20" ht="14.5" x14ac:dyDescent="0.35">
      <c r="A12413" s="10" t="s">
        <v>52657</v>
      </c>
      <c r="B12413" s="10" t="str">
        <f>"9781416629849"</f>
        <v>9781416629849</v>
      </c>
      <c r="C12413" s="10" t="str">
        <f>"9781416629863"</f>
        <v>9781416629863</v>
      </c>
      <c r="D12413" s="10" t="s">
        <v>10014</v>
      </c>
      <c r="E12413" s="10" t="s">
        <v>10015</v>
      </c>
      <c r="F12413" s="10" t="s">
        <v>201</v>
      </c>
      <c r="G12413" s="10" t="s">
        <v>6317</v>
      </c>
      <c r="H12413" s="11">
        <v>44316</v>
      </c>
      <c r="I12413" s="10">
        <v>2021</v>
      </c>
      <c r="J12413" s="10" t="s">
        <v>10015</v>
      </c>
      <c r="K12413" s="10">
        <v>186</v>
      </c>
      <c r="L12413" s="10" t="s">
        <v>13292</v>
      </c>
      <c r="M12413" s="10">
        <v>1</v>
      </c>
      <c r="N12413" s="10"/>
      <c r="O12413" s="10"/>
      <c r="P12413" s="10"/>
      <c r="Q12413" s="10">
        <v>371.20120973000002</v>
      </c>
      <c r="R12413" s="10"/>
      <c r="S12413" s="10" t="s">
        <v>53</v>
      </c>
      <c r="T12413" s="10" t="s">
        <v>54</v>
      </c>
    </row>
    <row r="12414" spans="1:20" ht="14.5" x14ac:dyDescent="0.35">
      <c r="A12414" s="10" t="s">
        <v>52658</v>
      </c>
      <c r="B12414" s="10" t="str">
        <f>"9789004400269"</f>
        <v>9789004400269</v>
      </c>
      <c r="C12414" s="10" t="str">
        <f>"9781848883871"</f>
        <v>9781848883871</v>
      </c>
      <c r="D12414" s="10" t="s">
        <v>8564</v>
      </c>
      <c r="E12414" s="10" t="s">
        <v>8565</v>
      </c>
      <c r="F12414" s="10" t="s">
        <v>1420</v>
      </c>
      <c r="G12414" s="10" t="s">
        <v>6317</v>
      </c>
      <c r="H12414" s="11">
        <v>43997</v>
      </c>
      <c r="I12414" s="10">
        <v>2015</v>
      </c>
      <c r="J12414" s="10" t="s">
        <v>8565</v>
      </c>
      <c r="K12414" s="10">
        <v>110</v>
      </c>
      <c r="L12414" s="10" t="s">
        <v>52659</v>
      </c>
      <c r="M12414" s="10">
        <v>1</v>
      </c>
      <c r="N12414" s="10"/>
      <c r="O12414" s="10"/>
      <c r="P12414" s="10" t="s">
        <v>52660</v>
      </c>
      <c r="Q12414" s="10">
        <v>306.07100000000003</v>
      </c>
      <c r="R12414" s="10" t="s">
        <v>52661</v>
      </c>
      <c r="S12414" s="10" t="s">
        <v>53</v>
      </c>
      <c r="T12414" s="10" t="s">
        <v>6363</v>
      </c>
    </row>
    <row r="12415" spans="1:20" ht="14.5" x14ac:dyDescent="0.35">
      <c r="A12415" s="10" t="s">
        <v>52662</v>
      </c>
      <c r="B12415" s="10" t="str">
        <f>"9789004370982"</f>
        <v>9789004370982</v>
      </c>
      <c r="C12415" s="10" t="str">
        <f>"9781848882942"</f>
        <v>9781848882942</v>
      </c>
      <c r="D12415" s="10" t="s">
        <v>8564</v>
      </c>
      <c r="E12415" s="10" t="s">
        <v>8565</v>
      </c>
      <c r="F12415" s="10" t="s">
        <v>1420</v>
      </c>
      <c r="G12415" s="10" t="s">
        <v>6317</v>
      </c>
      <c r="H12415" s="11">
        <v>43668</v>
      </c>
      <c r="I12415" s="10">
        <v>2014</v>
      </c>
      <c r="J12415" s="10" t="s">
        <v>8565</v>
      </c>
      <c r="K12415" s="10">
        <v>165</v>
      </c>
      <c r="L12415" s="10" t="s">
        <v>52663</v>
      </c>
      <c r="M12415" s="10">
        <v>1</v>
      </c>
      <c r="N12415" s="10"/>
      <c r="O12415" s="10"/>
      <c r="P12415" s="10"/>
      <c r="Q12415" s="10"/>
      <c r="R12415" s="10"/>
      <c r="S12415" s="10" t="s">
        <v>53</v>
      </c>
      <c r="T12415" s="10" t="s">
        <v>54</v>
      </c>
    </row>
    <row r="12416" spans="1:20" ht="14.5" x14ac:dyDescent="0.35">
      <c r="A12416" s="10" t="s">
        <v>52664</v>
      </c>
      <c r="B12416" s="10" t="str">
        <f>"9789004434929"</f>
        <v>9789004434929</v>
      </c>
      <c r="C12416" s="10" t="str">
        <f>"9789004436862"</f>
        <v>9789004436862</v>
      </c>
      <c r="D12416" s="10" t="s">
        <v>8564</v>
      </c>
      <c r="E12416" s="10" t="s">
        <v>8565</v>
      </c>
      <c r="F12416" s="10" t="s">
        <v>1420</v>
      </c>
      <c r="G12416" s="10" t="s">
        <v>6317</v>
      </c>
      <c r="H12416" s="11">
        <v>44056</v>
      </c>
      <c r="I12416" s="10">
        <v>2020</v>
      </c>
      <c r="J12416" s="10" t="s">
        <v>33259</v>
      </c>
      <c r="K12416" s="10">
        <v>197</v>
      </c>
      <c r="L12416" s="10" t="s">
        <v>52665</v>
      </c>
      <c r="M12416" s="10">
        <v>1</v>
      </c>
      <c r="N12416" s="10" t="s">
        <v>51193</v>
      </c>
      <c r="O12416" s="10">
        <v>5</v>
      </c>
      <c r="P12416" s="10"/>
      <c r="Q12416" s="10"/>
      <c r="R12416" s="10"/>
      <c r="S12416" s="10" t="s">
        <v>53</v>
      </c>
      <c r="T12416" s="10" t="s">
        <v>54</v>
      </c>
    </row>
    <row r="12417" spans="1:20" ht="14.5" x14ac:dyDescent="0.35">
      <c r="A12417" s="10" t="s">
        <v>52666</v>
      </c>
      <c r="B12417" s="10" t="str">
        <f>"9789004446496"</f>
        <v>9789004446496</v>
      </c>
      <c r="C12417" s="10" t="str">
        <f>"9789004441477"</f>
        <v>9789004441477</v>
      </c>
      <c r="D12417" s="10" t="s">
        <v>8564</v>
      </c>
      <c r="E12417" s="10" t="s">
        <v>8565</v>
      </c>
      <c r="F12417" s="10" t="s">
        <v>1420</v>
      </c>
      <c r="G12417" s="10" t="s">
        <v>6317</v>
      </c>
      <c r="H12417" s="11">
        <v>44245</v>
      </c>
      <c r="I12417" s="10">
        <v>2021</v>
      </c>
      <c r="J12417" s="10" t="s">
        <v>8565</v>
      </c>
      <c r="K12417" s="10">
        <v>370</v>
      </c>
      <c r="L12417" s="10" t="s">
        <v>52667</v>
      </c>
      <c r="M12417" s="10">
        <v>1</v>
      </c>
      <c r="N12417" s="10" t="s">
        <v>52668</v>
      </c>
      <c r="O12417" s="10">
        <v>2</v>
      </c>
      <c r="P12417" s="10"/>
      <c r="Q12417" s="10"/>
      <c r="R12417" s="10"/>
      <c r="S12417" s="10" t="s">
        <v>53</v>
      </c>
      <c r="T12417" s="10" t="s">
        <v>54</v>
      </c>
    </row>
    <row r="12418" spans="1:20" ht="14.5" x14ac:dyDescent="0.35">
      <c r="A12418" s="10" t="s">
        <v>52669</v>
      </c>
      <c r="B12418" s="10" t="str">
        <f>"9789004374621"</f>
        <v>9789004374621</v>
      </c>
      <c r="C12418" s="10" t="str">
        <f>"9781848883895"</f>
        <v>9781848883895</v>
      </c>
      <c r="D12418" s="10" t="s">
        <v>8564</v>
      </c>
      <c r="E12418" s="10" t="s">
        <v>8565</v>
      </c>
      <c r="F12418" s="10" t="s">
        <v>1420</v>
      </c>
      <c r="G12418" s="10" t="s">
        <v>6317</v>
      </c>
      <c r="H12418" s="11">
        <v>43668</v>
      </c>
      <c r="I12418" s="10">
        <v>2015</v>
      </c>
      <c r="J12418" s="10" t="s">
        <v>8565</v>
      </c>
      <c r="K12418" s="10">
        <v>116</v>
      </c>
      <c r="L12418" s="10" t="s">
        <v>35802</v>
      </c>
      <c r="M12418" s="10">
        <v>1</v>
      </c>
      <c r="N12418" s="10"/>
      <c r="O12418" s="10"/>
      <c r="P12418" s="10"/>
      <c r="Q12418" s="10"/>
      <c r="R12418" s="10"/>
      <c r="S12418" s="10" t="s">
        <v>53</v>
      </c>
      <c r="T12418" s="10" t="s">
        <v>54</v>
      </c>
    </row>
    <row r="12419" spans="1:20" ht="14.5" x14ac:dyDescent="0.35">
      <c r="A12419" s="10" t="s">
        <v>52670</v>
      </c>
      <c r="B12419" s="10" t="str">
        <f>"9788413241661"</f>
        <v>9788413241661</v>
      </c>
      <c r="C12419" s="10" t="str">
        <f>"9788413242262"</f>
        <v>9788413242262</v>
      </c>
      <c r="D12419" s="10" t="s">
        <v>52671</v>
      </c>
      <c r="E12419" s="10" t="s">
        <v>52671</v>
      </c>
      <c r="F12419" s="10" t="s">
        <v>1681</v>
      </c>
      <c r="G12419" s="10" t="s">
        <v>52672</v>
      </c>
      <c r="H12419" s="11">
        <v>43622</v>
      </c>
      <c r="I12419" s="10">
        <v>2019</v>
      </c>
      <c r="J12419" s="10" t="s">
        <v>52671</v>
      </c>
      <c r="K12419" s="10">
        <v>220</v>
      </c>
      <c r="L12419" s="10" t="s">
        <v>52673</v>
      </c>
      <c r="M12419" s="10">
        <v>1</v>
      </c>
      <c r="N12419" s="10"/>
      <c r="O12419" s="10"/>
      <c r="P12419" s="10" t="s">
        <v>52674</v>
      </c>
      <c r="Q12419" s="10"/>
      <c r="R12419" s="10" t="s">
        <v>52675</v>
      </c>
      <c r="S12419" s="10" t="s">
        <v>119</v>
      </c>
      <c r="T12419" s="10" t="s">
        <v>54</v>
      </c>
    </row>
    <row r="12420" spans="1:20" ht="14.5" x14ac:dyDescent="0.35">
      <c r="A12420" s="10" t="s">
        <v>52676</v>
      </c>
      <c r="B12420" s="10" t="str">
        <f>""</f>
        <v/>
      </c>
      <c r="C12420" s="10" t="str">
        <f>"9788413242484"</f>
        <v>9788413242484</v>
      </c>
      <c r="D12420" s="10" t="s">
        <v>52671</v>
      </c>
      <c r="E12420" s="10" t="s">
        <v>52671</v>
      </c>
      <c r="F12420" s="10" t="s">
        <v>1681</v>
      </c>
      <c r="G12420" s="10" t="s">
        <v>52672</v>
      </c>
      <c r="H12420" s="11">
        <v>43641</v>
      </c>
      <c r="I12420" s="10">
        <v>2019</v>
      </c>
      <c r="J12420" s="10" t="s">
        <v>52671</v>
      </c>
      <c r="K12420" s="10">
        <v>159</v>
      </c>
      <c r="L12420" s="10" t="s">
        <v>52677</v>
      </c>
      <c r="M12420" s="10">
        <v>1</v>
      </c>
      <c r="N12420" s="10"/>
      <c r="O12420" s="10"/>
      <c r="P12420" s="10" t="s">
        <v>52678</v>
      </c>
      <c r="Q12420" s="10"/>
      <c r="R12420" s="10" t="s">
        <v>52679</v>
      </c>
      <c r="S12420" s="10" t="s">
        <v>119</v>
      </c>
      <c r="T12420" s="10" t="s">
        <v>54</v>
      </c>
    </row>
    <row r="12421" spans="1:20" ht="14.5" x14ac:dyDescent="0.35">
      <c r="A12421" s="10" t="s">
        <v>52680</v>
      </c>
      <c r="B12421" s="10" t="str">
        <f>"9788413242514"</f>
        <v>9788413242514</v>
      </c>
      <c r="C12421" s="10" t="str">
        <f>"9788413242859"</f>
        <v>9788413242859</v>
      </c>
      <c r="D12421" s="10" t="s">
        <v>52671</v>
      </c>
      <c r="E12421" s="10" t="s">
        <v>52671</v>
      </c>
      <c r="F12421" s="10" t="s">
        <v>1681</v>
      </c>
      <c r="G12421" s="10" t="s">
        <v>52672</v>
      </c>
      <c r="H12421" s="11">
        <v>43640</v>
      </c>
      <c r="I12421" s="10">
        <v>2019</v>
      </c>
      <c r="J12421" s="10" t="s">
        <v>52671</v>
      </c>
      <c r="K12421" s="10">
        <v>266</v>
      </c>
      <c r="L12421" s="10" t="s">
        <v>52681</v>
      </c>
      <c r="M12421" s="10">
        <v>1</v>
      </c>
      <c r="N12421" s="10"/>
      <c r="O12421" s="10"/>
      <c r="P12421" s="10" t="s">
        <v>8561</v>
      </c>
      <c r="Q12421" s="10"/>
      <c r="R12421" s="10" t="s">
        <v>33311</v>
      </c>
      <c r="S12421" s="10" t="s">
        <v>119</v>
      </c>
      <c r="T12421" s="10" t="s">
        <v>54</v>
      </c>
    </row>
    <row r="12422" spans="1:20" ht="14.5" x14ac:dyDescent="0.35">
      <c r="A12422" s="10" t="s">
        <v>52682</v>
      </c>
      <c r="B12422" s="10" t="str">
        <f>"9788413242521"</f>
        <v>9788413242521</v>
      </c>
      <c r="C12422" s="10" t="str">
        <f>"9788413243030"</f>
        <v>9788413243030</v>
      </c>
      <c r="D12422" s="10" t="s">
        <v>52671</v>
      </c>
      <c r="E12422" s="10" t="s">
        <v>52671</v>
      </c>
      <c r="F12422" s="10" t="s">
        <v>1681</v>
      </c>
      <c r="G12422" s="10" t="s">
        <v>52672</v>
      </c>
      <c r="H12422" s="11">
        <v>43664</v>
      </c>
      <c r="I12422" s="10">
        <v>2019</v>
      </c>
      <c r="J12422" s="10" t="s">
        <v>52671</v>
      </c>
      <c r="K12422" s="10">
        <v>208</v>
      </c>
      <c r="L12422" s="10" t="s">
        <v>52683</v>
      </c>
      <c r="M12422" s="10">
        <v>1</v>
      </c>
      <c r="N12422" s="10"/>
      <c r="O12422" s="10"/>
      <c r="P12422" s="10" t="s">
        <v>52678</v>
      </c>
      <c r="Q12422" s="10"/>
      <c r="R12422" s="10" t="s">
        <v>52684</v>
      </c>
      <c r="S12422" s="10" t="s">
        <v>119</v>
      </c>
      <c r="T12422" s="10" t="s">
        <v>54</v>
      </c>
    </row>
    <row r="12423" spans="1:20" ht="14.5" x14ac:dyDescent="0.35">
      <c r="A12423" s="10" t="s">
        <v>52685</v>
      </c>
      <c r="B12423" s="10" t="str">
        <f>"9788413242408"</f>
        <v>9788413242408</v>
      </c>
      <c r="C12423" s="10" t="str">
        <f>"9788413243443"</f>
        <v>9788413243443</v>
      </c>
      <c r="D12423" s="10" t="s">
        <v>52671</v>
      </c>
      <c r="E12423" s="10" t="s">
        <v>52671</v>
      </c>
      <c r="F12423" s="10" t="s">
        <v>1681</v>
      </c>
      <c r="G12423" s="10" t="s">
        <v>52672</v>
      </c>
      <c r="H12423" s="11">
        <v>43710</v>
      </c>
      <c r="I12423" s="10">
        <v>2019</v>
      </c>
      <c r="J12423" s="10" t="s">
        <v>52671</v>
      </c>
      <c r="K12423" s="10">
        <v>200</v>
      </c>
      <c r="L12423" s="10" t="s">
        <v>52686</v>
      </c>
      <c r="M12423" s="10">
        <v>1</v>
      </c>
      <c r="N12423" s="10"/>
      <c r="O12423" s="10"/>
      <c r="P12423" s="10" t="s">
        <v>8561</v>
      </c>
      <c r="Q12423" s="10"/>
      <c r="R12423" s="10" t="s">
        <v>34809</v>
      </c>
      <c r="S12423" s="10" t="s">
        <v>119</v>
      </c>
      <c r="T12423" s="10" t="s">
        <v>54</v>
      </c>
    </row>
    <row r="12424" spans="1:20" ht="14.5" x14ac:dyDescent="0.35">
      <c r="A12424" s="10" t="s">
        <v>52687</v>
      </c>
      <c r="B12424" s="10" t="str">
        <f>""</f>
        <v/>
      </c>
      <c r="C12424" s="10" t="str">
        <f>"9788413243559"</f>
        <v>9788413243559</v>
      </c>
      <c r="D12424" s="10" t="s">
        <v>52671</v>
      </c>
      <c r="E12424" s="10" t="s">
        <v>52671</v>
      </c>
      <c r="F12424" s="10" t="s">
        <v>1681</v>
      </c>
      <c r="G12424" s="10" t="s">
        <v>52672</v>
      </c>
      <c r="H12424" s="11">
        <v>43753</v>
      </c>
      <c r="I12424" s="10">
        <v>2019</v>
      </c>
      <c r="J12424" s="10" t="s">
        <v>52671</v>
      </c>
      <c r="K12424" s="10">
        <v>161</v>
      </c>
      <c r="L12424" s="10" t="s">
        <v>52688</v>
      </c>
      <c r="M12424" s="10">
        <v>1</v>
      </c>
      <c r="N12424" s="10"/>
      <c r="O12424" s="10"/>
      <c r="P12424" s="10" t="s">
        <v>52689</v>
      </c>
      <c r="Q12424" s="10">
        <v>371.3</v>
      </c>
      <c r="R12424" s="10" t="s">
        <v>52690</v>
      </c>
      <c r="S12424" s="10" t="s">
        <v>119</v>
      </c>
      <c r="T12424" s="10" t="s">
        <v>54</v>
      </c>
    </row>
    <row r="12425" spans="1:20" ht="14.5" x14ac:dyDescent="0.35">
      <c r="A12425" s="10" t="s">
        <v>52691</v>
      </c>
      <c r="B12425" s="10" t="str">
        <f>"9788413242156"</f>
        <v>9788413242156</v>
      </c>
      <c r="C12425" s="10" t="str">
        <f>"9788413243634"</f>
        <v>9788413243634</v>
      </c>
      <c r="D12425" s="10" t="s">
        <v>52671</v>
      </c>
      <c r="E12425" s="10" t="s">
        <v>52671</v>
      </c>
      <c r="F12425" s="10" t="s">
        <v>1681</v>
      </c>
      <c r="G12425" s="10" t="s">
        <v>52672</v>
      </c>
      <c r="H12425" s="11">
        <v>43719</v>
      </c>
      <c r="I12425" s="10">
        <v>2019</v>
      </c>
      <c r="J12425" s="10" t="s">
        <v>52671</v>
      </c>
      <c r="K12425" s="10">
        <v>360</v>
      </c>
      <c r="L12425" s="10" t="s">
        <v>52692</v>
      </c>
      <c r="M12425" s="10">
        <v>1</v>
      </c>
      <c r="N12425" s="10"/>
      <c r="O12425" s="10"/>
      <c r="P12425" s="10" t="s">
        <v>52693</v>
      </c>
      <c r="Q12425" s="10"/>
      <c r="R12425" s="10" t="s">
        <v>52694</v>
      </c>
      <c r="S12425" s="10" t="s">
        <v>119</v>
      </c>
      <c r="T12425" s="10" t="s">
        <v>54</v>
      </c>
    </row>
    <row r="12426" spans="1:20" ht="14.5" x14ac:dyDescent="0.35">
      <c r="A12426" s="10" t="s">
        <v>52695</v>
      </c>
      <c r="B12426" s="10" t="str">
        <f>""</f>
        <v/>
      </c>
      <c r="C12426" s="10" t="str">
        <f>"9788413243795"</f>
        <v>9788413243795</v>
      </c>
      <c r="D12426" s="10" t="s">
        <v>52671</v>
      </c>
      <c r="E12426" s="10" t="s">
        <v>52671</v>
      </c>
      <c r="F12426" s="10" t="s">
        <v>1681</v>
      </c>
      <c r="G12426" s="10" t="s">
        <v>52672</v>
      </c>
      <c r="H12426" s="11">
        <v>43865</v>
      </c>
      <c r="I12426" s="10">
        <v>2021</v>
      </c>
      <c r="J12426" s="10" t="s">
        <v>52671</v>
      </c>
      <c r="K12426" s="10">
        <v>920</v>
      </c>
      <c r="L12426" s="10" t="s">
        <v>52696</v>
      </c>
      <c r="M12426" s="10">
        <v>1</v>
      </c>
      <c r="N12426" s="10"/>
      <c r="O12426" s="10"/>
      <c r="P12426" s="10" t="s">
        <v>52697</v>
      </c>
      <c r="Q12426" s="10">
        <v>658.42100000000005</v>
      </c>
      <c r="R12426" s="10" t="s">
        <v>52698</v>
      </c>
      <c r="S12426" s="10" t="s">
        <v>119</v>
      </c>
      <c r="T12426" s="10" t="s">
        <v>6660</v>
      </c>
    </row>
    <row r="12427" spans="1:20" ht="14.5" x14ac:dyDescent="0.35">
      <c r="A12427" s="10" t="s">
        <v>52699</v>
      </c>
      <c r="B12427" s="10" t="str">
        <f>""</f>
        <v/>
      </c>
      <c r="C12427" s="10" t="str">
        <f>"9788413243856"</f>
        <v>9788413243856</v>
      </c>
      <c r="D12427" s="10" t="s">
        <v>52671</v>
      </c>
      <c r="E12427" s="10" t="s">
        <v>52671</v>
      </c>
      <c r="F12427" s="10" t="s">
        <v>1681</v>
      </c>
      <c r="G12427" s="10" t="s">
        <v>52672</v>
      </c>
      <c r="H12427" s="11">
        <v>43735</v>
      </c>
      <c r="I12427" s="10">
        <v>2019</v>
      </c>
      <c r="J12427" s="10" t="s">
        <v>52671</v>
      </c>
      <c r="K12427" s="10">
        <v>321</v>
      </c>
      <c r="L12427" s="10" t="s">
        <v>52700</v>
      </c>
      <c r="M12427" s="10">
        <v>1</v>
      </c>
      <c r="N12427" s="10"/>
      <c r="O12427" s="10"/>
      <c r="P12427" s="10" t="s">
        <v>52701</v>
      </c>
      <c r="Q12427" s="10"/>
      <c r="R12427" s="10" t="s">
        <v>52702</v>
      </c>
      <c r="S12427" s="10" t="s">
        <v>119</v>
      </c>
      <c r="T12427" s="10" t="s">
        <v>54</v>
      </c>
    </row>
    <row r="12428" spans="1:20" ht="14.5" x14ac:dyDescent="0.35">
      <c r="A12428" s="10" t="s">
        <v>52703</v>
      </c>
      <c r="B12428" s="10" t="str">
        <f>""</f>
        <v/>
      </c>
      <c r="C12428" s="10" t="str">
        <f>"9788413243917"</f>
        <v>9788413243917</v>
      </c>
      <c r="D12428" s="10" t="s">
        <v>52671</v>
      </c>
      <c r="E12428" s="10" t="s">
        <v>52671</v>
      </c>
      <c r="F12428" s="10" t="s">
        <v>1681</v>
      </c>
      <c r="G12428" s="10" t="s">
        <v>52672</v>
      </c>
      <c r="H12428" s="11">
        <v>43846</v>
      </c>
      <c r="I12428" s="10">
        <v>2020</v>
      </c>
      <c r="J12428" s="10" t="s">
        <v>52671</v>
      </c>
      <c r="K12428" s="10">
        <v>335</v>
      </c>
      <c r="L12428" s="10" t="s">
        <v>52704</v>
      </c>
      <c r="M12428" s="10">
        <v>1</v>
      </c>
      <c r="N12428" s="10"/>
      <c r="O12428" s="10"/>
      <c r="P12428" s="10" t="s">
        <v>52678</v>
      </c>
      <c r="Q12428" s="10"/>
      <c r="R12428" s="10" t="s">
        <v>52705</v>
      </c>
      <c r="S12428" s="10" t="s">
        <v>119</v>
      </c>
      <c r="T12428" s="10" t="s">
        <v>54</v>
      </c>
    </row>
    <row r="12429" spans="1:20" ht="14.5" x14ac:dyDescent="0.35">
      <c r="A12429" s="10" t="s">
        <v>52706</v>
      </c>
      <c r="B12429" s="10" t="str">
        <f>"9788413243580"</f>
        <v>9788413243580</v>
      </c>
      <c r="C12429" s="10" t="str">
        <f>"9788413244075"</f>
        <v>9788413244075</v>
      </c>
      <c r="D12429" s="10" t="s">
        <v>52671</v>
      </c>
      <c r="E12429" s="10" t="s">
        <v>52671</v>
      </c>
      <c r="F12429" s="10" t="s">
        <v>1681</v>
      </c>
      <c r="G12429" s="10" t="s">
        <v>52672</v>
      </c>
      <c r="H12429" s="11">
        <v>43742</v>
      </c>
      <c r="I12429" s="10">
        <v>2019</v>
      </c>
      <c r="J12429" s="10" t="s">
        <v>52671</v>
      </c>
      <c r="K12429" s="10">
        <v>234</v>
      </c>
      <c r="L12429" s="10" t="s">
        <v>52707</v>
      </c>
      <c r="M12429" s="10">
        <v>1</v>
      </c>
      <c r="N12429" s="10"/>
      <c r="O12429" s="10"/>
      <c r="P12429" s="10" t="s">
        <v>11279</v>
      </c>
      <c r="Q12429" s="10"/>
      <c r="R12429" s="10" t="s">
        <v>52708</v>
      </c>
      <c r="S12429" s="10" t="s">
        <v>119</v>
      </c>
      <c r="T12429" s="10" t="s">
        <v>54</v>
      </c>
    </row>
    <row r="12430" spans="1:20" ht="14.5" x14ac:dyDescent="0.35">
      <c r="A12430" s="10" t="s">
        <v>52709</v>
      </c>
      <c r="B12430" s="10" t="str">
        <f>""</f>
        <v/>
      </c>
      <c r="C12430" s="10" t="str">
        <f>"9788413244730"</f>
        <v>9788413244730</v>
      </c>
      <c r="D12430" s="10" t="s">
        <v>52671</v>
      </c>
      <c r="E12430" s="10" t="s">
        <v>52671</v>
      </c>
      <c r="F12430" s="10" t="s">
        <v>1681</v>
      </c>
      <c r="G12430" s="10" t="s">
        <v>52672</v>
      </c>
      <c r="H12430" s="11">
        <v>43811</v>
      </c>
      <c r="I12430" s="10">
        <v>2019</v>
      </c>
      <c r="J12430" s="10" t="s">
        <v>52671</v>
      </c>
      <c r="K12430" s="10">
        <v>149</v>
      </c>
      <c r="L12430" s="10" t="s">
        <v>52710</v>
      </c>
      <c r="M12430" s="10">
        <v>1</v>
      </c>
      <c r="N12430" s="10"/>
      <c r="O12430" s="10"/>
      <c r="P12430" s="10" t="s">
        <v>52711</v>
      </c>
      <c r="Q12430" s="10">
        <v>4</v>
      </c>
      <c r="R12430" s="10" t="s">
        <v>52712</v>
      </c>
      <c r="S12430" s="10" t="s">
        <v>119</v>
      </c>
      <c r="T12430" s="10" t="s">
        <v>49383</v>
      </c>
    </row>
    <row r="12431" spans="1:20" ht="14.5" x14ac:dyDescent="0.35">
      <c r="A12431" s="10" t="s">
        <v>52713</v>
      </c>
      <c r="B12431" s="10" t="str">
        <f>""</f>
        <v/>
      </c>
      <c r="C12431" s="10" t="str">
        <f>"9788413244891"</f>
        <v>9788413244891</v>
      </c>
      <c r="D12431" s="10" t="s">
        <v>52671</v>
      </c>
      <c r="E12431" s="10" t="s">
        <v>52671</v>
      </c>
      <c r="F12431" s="10" t="s">
        <v>1681</v>
      </c>
      <c r="G12431" s="10" t="s">
        <v>52672</v>
      </c>
      <c r="H12431" s="11">
        <v>43804</v>
      </c>
      <c r="I12431" s="10">
        <v>2019</v>
      </c>
      <c r="J12431" s="10" t="s">
        <v>52671</v>
      </c>
      <c r="K12431" s="10">
        <v>146</v>
      </c>
      <c r="L12431" s="10" t="s">
        <v>52714</v>
      </c>
      <c r="M12431" s="10">
        <v>1</v>
      </c>
      <c r="N12431" s="10"/>
      <c r="O12431" s="10"/>
      <c r="P12431" s="10" t="s">
        <v>8561</v>
      </c>
      <c r="Q12431" s="10"/>
      <c r="R12431" s="10" t="s">
        <v>52715</v>
      </c>
      <c r="S12431" s="10" t="s">
        <v>119</v>
      </c>
      <c r="T12431" s="10" t="s">
        <v>54</v>
      </c>
    </row>
    <row r="12432" spans="1:20" ht="14.5" x14ac:dyDescent="0.35">
      <c r="A12432" s="10" t="s">
        <v>52716</v>
      </c>
      <c r="B12432" s="10" t="str">
        <f>""</f>
        <v/>
      </c>
      <c r="C12432" s="10" t="str">
        <f>"9788413247526"</f>
        <v>9788413247526</v>
      </c>
      <c r="D12432" s="10" t="s">
        <v>52671</v>
      </c>
      <c r="E12432" s="10" t="s">
        <v>52671</v>
      </c>
      <c r="F12432" s="10" t="s">
        <v>1681</v>
      </c>
      <c r="G12432" s="10" t="s">
        <v>52672</v>
      </c>
      <c r="H12432" s="11">
        <v>43941</v>
      </c>
      <c r="I12432" s="10">
        <v>2020</v>
      </c>
      <c r="J12432" s="10" t="s">
        <v>52671</v>
      </c>
      <c r="K12432" s="10">
        <v>687</v>
      </c>
      <c r="L12432" s="10" t="s">
        <v>52717</v>
      </c>
      <c r="M12432" s="10">
        <v>1</v>
      </c>
      <c r="N12432" s="10"/>
      <c r="O12432" s="10"/>
      <c r="P12432" s="10" t="s">
        <v>52718</v>
      </c>
      <c r="Q12432" s="10"/>
      <c r="R12432" s="10" t="s">
        <v>52719</v>
      </c>
      <c r="S12432" s="10" t="s">
        <v>119</v>
      </c>
      <c r="T12432" s="10" t="s">
        <v>54</v>
      </c>
    </row>
    <row r="12433" spans="1:20" ht="14.5" x14ac:dyDescent="0.35">
      <c r="A12433" s="10" t="s">
        <v>52720</v>
      </c>
      <c r="B12433" s="10" t="str">
        <f>"9788413247601"</f>
        <v>9788413247601</v>
      </c>
      <c r="C12433" s="10" t="str">
        <f>"9788413247830"</f>
        <v>9788413247830</v>
      </c>
      <c r="D12433" s="10" t="s">
        <v>52671</v>
      </c>
      <c r="E12433" s="10" t="s">
        <v>52671</v>
      </c>
      <c r="F12433" s="10" t="s">
        <v>1681</v>
      </c>
      <c r="G12433" s="10" t="s">
        <v>52672</v>
      </c>
      <c r="H12433" s="11">
        <v>43955</v>
      </c>
      <c r="I12433" s="10">
        <v>2020</v>
      </c>
      <c r="J12433" s="10" t="s">
        <v>52671</v>
      </c>
      <c r="K12433" s="10">
        <v>130</v>
      </c>
      <c r="L12433" s="10" t="s">
        <v>52721</v>
      </c>
      <c r="M12433" s="10">
        <v>1</v>
      </c>
      <c r="N12433" s="10"/>
      <c r="O12433" s="10"/>
      <c r="P12433" s="10" t="s">
        <v>52722</v>
      </c>
      <c r="Q12433" s="10">
        <v>371.90460000000002</v>
      </c>
      <c r="R12433" s="10" t="s">
        <v>18055</v>
      </c>
      <c r="S12433" s="10" t="s">
        <v>119</v>
      </c>
      <c r="T12433" s="10" t="s">
        <v>54</v>
      </c>
    </row>
    <row r="12434" spans="1:20" ht="14.5" x14ac:dyDescent="0.35">
      <c r="A12434" s="10" t="s">
        <v>52723</v>
      </c>
      <c r="B12434" s="10" t="str">
        <f>""</f>
        <v/>
      </c>
      <c r="C12434" s="10" t="str">
        <f>"9788413247892"</f>
        <v>9788413247892</v>
      </c>
      <c r="D12434" s="10" t="s">
        <v>52671</v>
      </c>
      <c r="E12434" s="10" t="s">
        <v>52671</v>
      </c>
      <c r="F12434" s="10" t="s">
        <v>1681</v>
      </c>
      <c r="G12434" s="10" t="s">
        <v>52672</v>
      </c>
      <c r="H12434" s="11">
        <v>43958</v>
      </c>
      <c r="I12434" s="10">
        <v>2020</v>
      </c>
      <c r="J12434" s="10" t="s">
        <v>52671</v>
      </c>
      <c r="K12434" s="10">
        <v>241</v>
      </c>
      <c r="L12434" s="10" t="s">
        <v>52724</v>
      </c>
      <c r="M12434" s="10">
        <v>1</v>
      </c>
      <c r="N12434" s="10"/>
      <c r="O12434" s="10"/>
      <c r="P12434" s="10" t="s">
        <v>8561</v>
      </c>
      <c r="Q12434" s="10"/>
      <c r="R12434" s="10" t="s">
        <v>52725</v>
      </c>
      <c r="S12434" s="10" t="s">
        <v>119</v>
      </c>
      <c r="T12434" s="10" t="s">
        <v>54</v>
      </c>
    </row>
    <row r="12435" spans="1:20" ht="14.5" x14ac:dyDescent="0.35">
      <c r="A12435" s="10" t="s">
        <v>52726</v>
      </c>
      <c r="B12435" s="10" t="str">
        <f>"9788413247496"</f>
        <v>9788413247496</v>
      </c>
      <c r="C12435" s="10" t="str">
        <f>"9788413247960"</f>
        <v>9788413247960</v>
      </c>
      <c r="D12435" s="10" t="s">
        <v>52671</v>
      </c>
      <c r="E12435" s="10" t="s">
        <v>52671</v>
      </c>
      <c r="F12435" s="10" t="s">
        <v>1681</v>
      </c>
      <c r="G12435" s="10" t="s">
        <v>52672</v>
      </c>
      <c r="H12435" s="11">
        <v>43961</v>
      </c>
      <c r="I12435" s="10">
        <v>2020</v>
      </c>
      <c r="J12435" s="10" t="s">
        <v>52671</v>
      </c>
      <c r="K12435" s="10">
        <v>336</v>
      </c>
      <c r="L12435" s="10" t="s">
        <v>52727</v>
      </c>
      <c r="M12435" s="10">
        <v>1</v>
      </c>
      <c r="N12435" s="10"/>
      <c r="O12435" s="10"/>
      <c r="P12435" s="10" t="s">
        <v>52728</v>
      </c>
      <c r="Q12435" s="10">
        <v>371.90460000000002</v>
      </c>
      <c r="R12435" s="10" t="s">
        <v>18055</v>
      </c>
      <c r="S12435" s="10" t="s">
        <v>119</v>
      </c>
      <c r="T12435" s="10" t="s">
        <v>54</v>
      </c>
    </row>
    <row r="12436" spans="1:20" ht="14.5" x14ac:dyDescent="0.35">
      <c r="A12436" s="10" t="s">
        <v>52729</v>
      </c>
      <c r="B12436" s="10" t="str">
        <f>"9788413246246"</f>
        <v>9788413246246</v>
      </c>
      <c r="C12436" s="10" t="str">
        <f>"9788413248103"</f>
        <v>9788413248103</v>
      </c>
      <c r="D12436" s="10" t="s">
        <v>52671</v>
      </c>
      <c r="E12436" s="10" t="s">
        <v>52671</v>
      </c>
      <c r="F12436" s="10" t="s">
        <v>1681</v>
      </c>
      <c r="G12436" s="10" t="s">
        <v>52672</v>
      </c>
      <c r="H12436" s="11">
        <v>44013</v>
      </c>
      <c r="I12436" s="10">
        <v>2020</v>
      </c>
      <c r="J12436" s="10" t="s">
        <v>52671</v>
      </c>
      <c r="K12436" s="10">
        <v>296</v>
      </c>
      <c r="L12436" s="10" t="s">
        <v>52730</v>
      </c>
      <c r="M12436" s="10">
        <v>1</v>
      </c>
      <c r="N12436" s="10"/>
      <c r="O12436" s="10"/>
      <c r="P12436" s="10" t="s">
        <v>52678</v>
      </c>
      <c r="Q12436" s="10"/>
      <c r="R12436" s="10" t="s">
        <v>52731</v>
      </c>
      <c r="S12436" s="10" t="s">
        <v>119</v>
      </c>
      <c r="T12436" s="10" t="s">
        <v>54</v>
      </c>
    </row>
    <row r="12437" spans="1:20" ht="14.5" x14ac:dyDescent="0.35">
      <c r="A12437" s="10" t="s">
        <v>52732</v>
      </c>
      <c r="B12437" s="10" t="str">
        <f>"9788413247212"</f>
        <v>9788413247212</v>
      </c>
      <c r="C12437" s="10" t="str">
        <f>"9788413248127"</f>
        <v>9788413248127</v>
      </c>
      <c r="D12437" s="10" t="s">
        <v>52671</v>
      </c>
      <c r="E12437" s="10" t="s">
        <v>52671</v>
      </c>
      <c r="F12437" s="10" t="s">
        <v>1681</v>
      </c>
      <c r="G12437" s="10" t="s">
        <v>52672</v>
      </c>
      <c r="H12437" s="11">
        <v>44013</v>
      </c>
      <c r="I12437" s="10">
        <v>2020</v>
      </c>
      <c r="J12437" s="10" t="s">
        <v>52671</v>
      </c>
      <c r="K12437" s="10">
        <v>340</v>
      </c>
      <c r="L12437" s="10" t="s">
        <v>52733</v>
      </c>
      <c r="M12437" s="10">
        <v>1</v>
      </c>
      <c r="N12437" s="10"/>
      <c r="O12437" s="10"/>
      <c r="P12437" s="10" t="s">
        <v>52734</v>
      </c>
      <c r="Q12437" s="10"/>
      <c r="R12437" s="10" t="s">
        <v>52735</v>
      </c>
      <c r="S12437" s="10" t="s">
        <v>119</v>
      </c>
      <c r="T12437" s="10" t="s">
        <v>54</v>
      </c>
    </row>
    <row r="12438" spans="1:20" ht="14.5" x14ac:dyDescent="0.35">
      <c r="A12438" s="10" t="s">
        <v>52736</v>
      </c>
      <c r="B12438" s="10" t="str">
        <f>"9788413247519"</f>
        <v>9788413247519</v>
      </c>
      <c r="C12438" s="10" t="str">
        <f>"9788413248134"</f>
        <v>9788413248134</v>
      </c>
      <c r="D12438" s="10" t="s">
        <v>52671</v>
      </c>
      <c r="E12438" s="10" t="s">
        <v>52671</v>
      </c>
      <c r="F12438" s="10" t="s">
        <v>1681</v>
      </c>
      <c r="G12438" s="10" t="s">
        <v>52672</v>
      </c>
      <c r="H12438" s="11">
        <v>43970</v>
      </c>
      <c r="I12438" s="10">
        <v>2020</v>
      </c>
      <c r="J12438" s="10" t="s">
        <v>52671</v>
      </c>
      <c r="K12438" s="10">
        <v>296</v>
      </c>
      <c r="L12438" s="10" t="s">
        <v>52737</v>
      </c>
      <c r="M12438" s="10">
        <v>1</v>
      </c>
      <c r="N12438" s="10"/>
      <c r="O12438" s="10"/>
      <c r="P12438" s="10" t="s">
        <v>52678</v>
      </c>
      <c r="Q12438" s="10"/>
      <c r="R12438" s="10" t="s">
        <v>52738</v>
      </c>
      <c r="S12438" s="10" t="s">
        <v>119</v>
      </c>
      <c r="T12438" s="10" t="s">
        <v>54</v>
      </c>
    </row>
    <row r="12439" spans="1:20" ht="14.5" x14ac:dyDescent="0.35">
      <c r="A12439" s="10" t="s">
        <v>52739</v>
      </c>
      <c r="B12439" s="10" t="str">
        <f>""</f>
        <v/>
      </c>
      <c r="C12439" s="10" t="str">
        <f>"9788413248530"</f>
        <v>9788413248530</v>
      </c>
      <c r="D12439" s="10" t="s">
        <v>52671</v>
      </c>
      <c r="E12439" s="10" t="s">
        <v>52671</v>
      </c>
      <c r="F12439" s="10" t="s">
        <v>1681</v>
      </c>
      <c r="G12439" s="10" t="s">
        <v>52672</v>
      </c>
      <c r="H12439" s="11">
        <v>44103</v>
      </c>
      <c r="I12439" s="10">
        <v>2020</v>
      </c>
      <c r="J12439" s="10" t="s">
        <v>52671</v>
      </c>
      <c r="K12439" s="10">
        <v>248</v>
      </c>
      <c r="L12439" s="10" t="s">
        <v>52740</v>
      </c>
      <c r="M12439" s="10">
        <v>1</v>
      </c>
      <c r="N12439" s="10"/>
      <c r="O12439" s="10"/>
      <c r="P12439" s="10" t="s">
        <v>52741</v>
      </c>
      <c r="Q12439" s="10"/>
      <c r="R12439" s="10" t="s">
        <v>52742</v>
      </c>
      <c r="S12439" s="10" t="s">
        <v>119</v>
      </c>
      <c r="T12439" s="10" t="s">
        <v>54</v>
      </c>
    </row>
    <row r="12440" spans="1:20" ht="14.5" x14ac:dyDescent="0.35">
      <c r="A12440" s="10" t="s">
        <v>52743</v>
      </c>
      <c r="B12440" s="10" t="str">
        <f>"9788413248202"</f>
        <v>9788413248202</v>
      </c>
      <c r="C12440" s="10" t="str">
        <f>"9788413248691"</f>
        <v>9788413248691</v>
      </c>
      <c r="D12440" s="10" t="s">
        <v>52671</v>
      </c>
      <c r="E12440" s="10" t="s">
        <v>52671</v>
      </c>
      <c r="F12440" s="10" t="s">
        <v>1681</v>
      </c>
      <c r="G12440" s="10" t="s">
        <v>52672</v>
      </c>
      <c r="H12440" s="11">
        <v>44053</v>
      </c>
      <c r="I12440" s="10">
        <v>2020</v>
      </c>
      <c r="J12440" s="10" t="s">
        <v>52671</v>
      </c>
      <c r="K12440" s="10">
        <v>258</v>
      </c>
      <c r="L12440" s="10" t="s">
        <v>52744</v>
      </c>
      <c r="M12440" s="10">
        <v>1</v>
      </c>
      <c r="N12440" s="10"/>
      <c r="O12440" s="10"/>
      <c r="P12440" s="10" t="s">
        <v>52745</v>
      </c>
      <c r="Q12440" s="10">
        <v>371.90460000000002</v>
      </c>
      <c r="R12440" s="10" t="s">
        <v>18055</v>
      </c>
      <c r="S12440" s="10" t="s">
        <v>119</v>
      </c>
      <c r="T12440" s="10" t="s">
        <v>54</v>
      </c>
    </row>
    <row r="12441" spans="1:20" ht="14.5" x14ac:dyDescent="0.35">
      <c r="A12441" s="10" t="s">
        <v>52746</v>
      </c>
      <c r="B12441" s="10" t="str">
        <f>"9788413248783"</f>
        <v>9788413248783</v>
      </c>
      <c r="C12441" s="10" t="str">
        <f>"9788413248820"</f>
        <v>9788413248820</v>
      </c>
      <c r="D12441" s="10" t="s">
        <v>52671</v>
      </c>
      <c r="E12441" s="10" t="s">
        <v>52671</v>
      </c>
      <c r="F12441" s="10" t="s">
        <v>1681</v>
      </c>
      <c r="G12441" s="10" t="s">
        <v>52672</v>
      </c>
      <c r="H12441" s="11">
        <v>44053</v>
      </c>
      <c r="I12441" s="10">
        <v>2020</v>
      </c>
      <c r="J12441" s="10" t="s">
        <v>52671</v>
      </c>
      <c r="K12441" s="10">
        <v>77</v>
      </c>
      <c r="L12441" s="10" t="s">
        <v>52747</v>
      </c>
      <c r="M12441" s="10">
        <v>1</v>
      </c>
      <c r="N12441" s="10"/>
      <c r="O12441" s="10"/>
      <c r="P12441" s="10" t="s">
        <v>52678</v>
      </c>
      <c r="Q12441" s="10"/>
      <c r="R12441" s="10" t="s">
        <v>52748</v>
      </c>
      <c r="S12441" s="10" t="s">
        <v>119</v>
      </c>
      <c r="T12441" s="10" t="s">
        <v>54</v>
      </c>
    </row>
    <row r="12442" spans="1:20" ht="14.5" x14ac:dyDescent="0.35">
      <c r="A12442" s="10" t="s">
        <v>52749</v>
      </c>
      <c r="B12442" s="10" t="str">
        <f>"9788413244259"</f>
        <v>9788413244259</v>
      </c>
      <c r="C12442" s="10" t="str">
        <f>"9788413249988"</f>
        <v>9788413249988</v>
      </c>
      <c r="D12442" s="10" t="s">
        <v>52671</v>
      </c>
      <c r="E12442" s="10" t="s">
        <v>52671</v>
      </c>
      <c r="F12442" s="10" t="s">
        <v>1681</v>
      </c>
      <c r="G12442" s="10" t="s">
        <v>52672</v>
      </c>
      <c r="H12442" s="11">
        <v>44076</v>
      </c>
      <c r="I12442" s="10">
        <v>2020</v>
      </c>
      <c r="J12442" s="10" t="s">
        <v>52671</v>
      </c>
      <c r="K12442" s="10">
        <v>218</v>
      </c>
      <c r="L12442" s="10" t="s">
        <v>52750</v>
      </c>
      <c r="M12442" s="10">
        <v>1</v>
      </c>
      <c r="N12442" s="10"/>
      <c r="O12442" s="10"/>
      <c r="P12442" s="10" t="s">
        <v>8561</v>
      </c>
      <c r="Q12442" s="10"/>
      <c r="R12442" s="10" t="s">
        <v>22554</v>
      </c>
      <c r="S12442" s="10" t="s">
        <v>119</v>
      </c>
      <c r="T12442" s="10" t="s">
        <v>54</v>
      </c>
    </row>
    <row r="12443" spans="1:20" ht="14.5" x14ac:dyDescent="0.35">
      <c r="A12443" s="10" t="s">
        <v>52751</v>
      </c>
      <c r="B12443" s="10" t="str">
        <f>"9788413249742"</f>
        <v>9788413249742</v>
      </c>
      <c r="C12443" s="10" t="str">
        <f>"9788413770536"</f>
        <v>9788413770536</v>
      </c>
      <c r="D12443" s="10" t="s">
        <v>52671</v>
      </c>
      <c r="E12443" s="10" t="s">
        <v>52671</v>
      </c>
      <c r="F12443" s="10" t="s">
        <v>1681</v>
      </c>
      <c r="G12443" s="10" t="s">
        <v>52672</v>
      </c>
      <c r="H12443" s="11">
        <v>44098</v>
      </c>
      <c r="I12443" s="10">
        <v>2020</v>
      </c>
      <c r="J12443" s="10" t="s">
        <v>52671</v>
      </c>
      <c r="K12443" s="10">
        <v>316</v>
      </c>
      <c r="L12443" s="10" t="s">
        <v>52752</v>
      </c>
      <c r="M12443" s="10">
        <v>1</v>
      </c>
      <c r="N12443" s="10"/>
      <c r="O12443" s="10"/>
      <c r="P12443" s="10" t="s">
        <v>8561</v>
      </c>
      <c r="Q12443" s="10"/>
      <c r="R12443" s="10" t="s">
        <v>48067</v>
      </c>
      <c r="S12443" s="10" t="s">
        <v>119</v>
      </c>
      <c r="T12443" s="10" t="s">
        <v>54</v>
      </c>
    </row>
    <row r="12444" spans="1:20" ht="14.5" x14ac:dyDescent="0.35">
      <c r="A12444" s="10" t="s">
        <v>52753</v>
      </c>
      <c r="B12444" s="10" t="str">
        <f>"9788413770260"</f>
        <v>9788413770260</v>
      </c>
      <c r="C12444" s="10" t="str">
        <f>"9788413770970"</f>
        <v>9788413770970</v>
      </c>
      <c r="D12444" s="10" t="s">
        <v>52671</v>
      </c>
      <c r="E12444" s="10" t="s">
        <v>52671</v>
      </c>
      <c r="F12444" s="10" t="s">
        <v>1681</v>
      </c>
      <c r="G12444" s="10" t="s">
        <v>52672</v>
      </c>
      <c r="H12444" s="11">
        <v>44053</v>
      </c>
      <c r="I12444" s="10">
        <v>2020</v>
      </c>
      <c r="J12444" s="10" t="s">
        <v>52671</v>
      </c>
      <c r="K12444" s="10">
        <v>94</v>
      </c>
      <c r="L12444" s="10" t="s">
        <v>52754</v>
      </c>
      <c r="M12444" s="10">
        <v>1</v>
      </c>
      <c r="N12444" s="10"/>
      <c r="O12444" s="10"/>
      <c r="P12444" s="10" t="s">
        <v>52755</v>
      </c>
      <c r="Q12444" s="10">
        <v>306.43</v>
      </c>
      <c r="R12444" s="10" t="s">
        <v>52756</v>
      </c>
      <c r="S12444" s="10" t="s">
        <v>119</v>
      </c>
      <c r="T12444" s="10" t="s">
        <v>6526</v>
      </c>
    </row>
    <row r="12445" spans="1:20" ht="14.5" x14ac:dyDescent="0.35">
      <c r="A12445" s="10" t="s">
        <v>52757</v>
      </c>
      <c r="B12445" s="10" t="str">
        <f>"9788413248851"</f>
        <v>9788413248851</v>
      </c>
      <c r="C12445" s="10" t="str">
        <f>"9788413771212"</f>
        <v>9788413771212</v>
      </c>
      <c r="D12445" s="10" t="s">
        <v>52671</v>
      </c>
      <c r="E12445" s="10" t="s">
        <v>52671</v>
      </c>
      <c r="F12445" s="10" t="s">
        <v>1681</v>
      </c>
      <c r="G12445" s="10" t="s">
        <v>52672</v>
      </c>
      <c r="H12445" s="11">
        <v>44062</v>
      </c>
      <c r="I12445" s="10">
        <v>2020</v>
      </c>
      <c r="J12445" s="10" t="s">
        <v>52671</v>
      </c>
      <c r="K12445" s="10">
        <v>300</v>
      </c>
      <c r="L12445" s="10" t="s">
        <v>52758</v>
      </c>
      <c r="M12445" s="10">
        <v>1</v>
      </c>
      <c r="N12445" s="10"/>
      <c r="O12445" s="10"/>
      <c r="P12445" s="10" t="s">
        <v>52759</v>
      </c>
      <c r="Q12445" s="10">
        <v>362.82920000000001</v>
      </c>
      <c r="R12445" s="10" t="s">
        <v>52760</v>
      </c>
      <c r="S12445" s="10" t="s">
        <v>119</v>
      </c>
      <c r="T12445" s="10" t="s">
        <v>6363</v>
      </c>
    </row>
    <row r="12446" spans="1:20" ht="14.5" x14ac:dyDescent="0.35">
      <c r="A12446" s="10" t="s">
        <v>52761</v>
      </c>
      <c r="B12446" s="10" t="str">
        <f>"9788413770185"</f>
        <v>9788413770185</v>
      </c>
      <c r="C12446" s="10" t="str">
        <f>"9788413771274"</f>
        <v>9788413771274</v>
      </c>
      <c r="D12446" s="10" t="s">
        <v>52671</v>
      </c>
      <c r="E12446" s="10" t="s">
        <v>52671</v>
      </c>
      <c r="F12446" s="10" t="s">
        <v>1681</v>
      </c>
      <c r="G12446" s="10" t="s">
        <v>52672</v>
      </c>
      <c r="H12446" s="11">
        <v>44013</v>
      </c>
      <c r="I12446" s="10">
        <v>2020</v>
      </c>
      <c r="J12446" s="10" t="s">
        <v>52671</v>
      </c>
      <c r="K12446" s="10">
        <v>572</v>
      </c>
      <c r="L12446" s="10" t="s">
        <v>52737</v>
      </c>
      <c r="M12446" s="10">
        <v>1</v>
      </c>
      <c r="N12446" s="10"/>
      <c r="O12446" s="10"/>
      <c r="P12446" s="10" t="s">
        <v>52678</v>
      </c>
      <c r="Q12446" s="10"/>
      <c r="R12446" s="10" t="s">
        <v>52762</v>
      </c>
      <c r="S12446" s="10" t="s">
        <v>119</v>
      </c>
      <c r="T12446" s="10" t="s">
        <v>54</v>
      </c>
    </row>
    <row r="12447" spans="1:20" ht="14.5" x14ac:dyDescent="0.35">
      <c r="A12447" s="10" t="s">
        <v>52763</v>
      </c>
      <c r="B12447" s="10" t="str">
        <f>"9788413770192"</f>
        <v>9788413770192</v>
      </c>
      <c r="C12447" s="10" t="str">
        <f>"9788413771342"</f>
        <v>9788413771342</v>
      </c>
      <c r="D12447" s="10" t="s">
        <v>52671</v>
      </c>
      <c r="E12447" s="10" t="s">
        <v>52671</v>
      </c>
      <c r="F12447" s="10" t="s">
        <v>1681</v>
      </c>
      <c r="G12447" s="10" t="s">
        <v>52672</v>
      </c>
      <c r="H12447" s="11">
        <v>44053</v>
      </c>
      <c r="I12447" s="10">
        <v>2020</v>
      </c>
      <c r="J12447" s="10" t="s">
        <v>52671</v>
      </c>
      <c r="K12447" s="10">
        <v>254</v>
      </c>
      <c r="L12447" s="10" t="s">
        <v>52764</v>
      </c>
      <c r="M12447" s="10">
        <v>1</v>
      </c>
      <c r="N12447" s="10"/>
      <c r="O12447" s="10"/>
      <c r="P12447" s="10" t="s">
        <v>52701</v>
      </c>
      <c r="Q12447" s="10"/>
      <c r="R12447" s="10" t="s">
        <v>52765</v>
      </c>
      <c r="S12447" s="10" t="s">
        <v>119</v>
      </c>
      <c r="T12447" s="10" t="s">
        <v>54</v>
      </c>
    </row>
    <row r="12448" spans="1:20" ht="14.5" x14ac:dyDescent="0.35">
      <c r="A12448" s="10" t="s">
        <v>52766</v>
      </c>
      <c r="B12448" s="10" t="str">
        <f>""</f>
        <v/>
      </c>
      <c r="C12448" s="10" t="str">
        <f>"9788413771410"</f>
        <v>9788413771410</v>
      </c>
      <c r="D12448" s="10" t="s">
        <v>52671</v>
      </c>
      <c r="E12448" s="10" t="s">
        <v>52671</v>
      </c>
      <c r="F12448" s="10" t="s">
        <v>1681</v>
      </c>
      <c r="G12448" s="10" t="s">
        <v>52672</v>
      </c>
      <c r="H12448" s="11">
        <v>44098</v>
      </c>
      <c r="I12448" s="10">
        <v>2020</v>
      </c>
      <c r="J12448" s="10" t="s">
        <v>52671</v>
      </c>
      <c r="K12448" s="10">
        <v>1022</v>
      </c>
      <c r="L12448" s="10" t="s">
        <v>52767</v>
      </c>
      <c r="M12448" s="10">
        <v>1</v>
      </c>
      <c r="N12448" s="10"/>
      <c r="O12448" s="10"/>
      <c r="P12448" s="10" t="s">
        <v>8561</v>
      </c>
      <c r="Q12448" s="10"/>
      <c r="R12448" s="10" t="s">
        <v>48067</v>
      </c>
      <c r="S12448" s="10" t="s">
        <v>119</v>
      </c>
      <c r="T12448" s="10" t="s">
        <v>54</v>
      </c>
    </row>
    <row r="12449" spans="1:20" ht="14.5" x14ac:dyDescent="0.35">
      <c r="A12449" s="10" t="s">
        <v>52768</v>
      </c>
      <c r="B12449" s="10" t="str">
        <f>"9788413771137"</f>
        <v>9788413771137</v>
      </c>
      <c r="C12449" s="10" t="str">
        <f>"9788413771601"</f>
        <v>9788413771601</v>
      </c>
      <c r="D12449" s="10" t="s">
        <v>52671</v>
      </c>
      <c r="E12449" s="10" t="s">
        <v>52671</v>
      </c>
      <c r="F12449" s="10" t="s">
        <v>1681</v>
      </c>
      <c r="G12449" s="10" t="s">
        <v>52672</v>
      </c>
      <c r="H12449" s="11">
        <v>44053</v>
      </c>
      <c r="I12449" s="10">
        <v>2020</v>
      </c>
      <c r="J12449" s="10" t="s">
        <v>52671</v>
      </c>
      <c r="K12449" s="10">
        <v>346</v>
      </c>
      <c r="L12449" s="10" t="s">
        <v>52769</v>
      </c>
      <c r="M12449" s="10">
        <v>1</v>
      </c>
      <c r="N12449" s="10"/>
      <c r="O12449" s="10"/>
      <c r="P12449" s="10" t="s">
        <v>8561</v>
      </c>
      <c r="Q12449" s="10"/>
      <c r="R12449" s="10" t="s">
        <v>52770</v>
      </c>
      <c r="S12449" s="10" t="s">
        <v>119</v>
      </c>
      <c r="T12449" s="10" t="s">
        <v>54</v>
      </c>
    </row>
    <row r="12450" spans="1:20" ht="14.5" x14ac:dyDescent="0.35">
      <c r="A12450" s="10" t="s">
        <v>52771</v>
      </c>
      <c r="B12450" s="10" t="str">
        <f>""</f>
        <v/>
      </c>
      <c r="C12450" s="10" t="str">
        <f>"9788498491906"</f>
        <v>9788498491906</v>
      </c>
      <c r="D12450" s="10" t="s">
        <v>52671</v>
      </c>
      <c r="E12450" s="10" t="s">
        <v>52671</v>
      </c>
      <c r="F12450" s="10" t="s">
        <v>1681</v>
      </c>
      <c r="G12450" s="10" t="s">
        <v>52672</v>
      </c>
      <c r="H12450" s="11">
        <v>39491</v>
      </c>
      <c r="I12450" s="10">
        <v>2020</v>
      </c>
      <c r="J12450" s="10" t="s">
        <v>52671</v>
      </c>
      <c r="K12450" s="10">
        <v>392</v>
      </c>
      <c r="L12450" s="10" t="s">
        <v>52772</v>
      </c>
      <c r="M12450" s="10">
        <v>1</v>
      </c>
      <c r="N12450" s="10"/>
      <c r="O12450" s="10"/>
      <c r="P12450" s="10" t="s">
        <v>52741</v>
      </c>
      <c r="Q12450" s="10"/>
      <c r="R12450" s="10" t="s">
        <v>52773</v>
      </c>
      <c r="S12450" s="10" t="s">
        <v>119</v>
      </c>
      <c r="T12450" s="10" t="s">
        <v>54</v>
      </c>
    </row>
    <row r="12451" spans="1:20" ht="14.5" x14ac:dyDescent="0.35">
      <c r="A12451" s="10" t="s">
        <v>52774</v>
      </c>
      <c r="B12451" s="10" t="str">
        <f>"9789463000758"</f>
        <v>9789463000758</v>
      </c>
      <c r="C12451" s="10" t="str">
        <f>"9789463000765"</f>
        <v>9789463000765</v>
      </c>
      <c r="D12451" s="10" t="s">
        <v>8564</v>
      </c>
      <c r="E12451" s="10" t="s">
        <v>8565</v>
      </c>
      <c r="F12451" s="10" t="s">
        <v>1420</v>
      </c>
      <c r="G12451" s="10" t="s">
        <v>6317</v>
      </c>
      <c r="H12451" s="11">
        <v>42005</v>
      </c>
      <c r="I12451" s="10">
        <v>2015</v>
      </c>
      <c r="J12451" s="10" t="s">
        <v>8565</v>
      </c>
      <c r="K12451" s="10">
        <v>536</v>
      </c>
      <c r="L12451" s="10" t="s">
        <v>52775</v>
      </c>
      <c r="M12451" s="10">
        <v>2</v>
      </c>
      <c r="N12451" s="10" t="s">
        <v>33751</v>
      </c>
      <c r="O12451" s="10">
        <v>47</v>
      </c>
      <c r="P12451" s="10" t="s">
        <v>52776</v>
      </c>
      <c r="Q12451" s="10"/>
      <c r="R12451" s="10"/>
      <c r="S12451" s="10" t="s">
        <v>53</v>
      </c>
      <c r="T12451" s="10" t="s">
        <v>54</v>
      </c>
    </row>
    <row r="12452" spans="1:20" ht="14.5" x14ac:dyDescent="0.35">
      <c r="A12452" s="10" t="s">
        <v>52777</v>
      </c>
      <c r="B12452" s="10" t="str">
        <f>"9789004435063"</f>
        <v>9789004435063</v>
      </c>
      <c r="C12452" s="10" t="str">
        <f>"9789004447837"</f>
        <v>9789004447837</v>
      </c>
      <c r="D12452" s="10" t="s">
        <v>8564</v>
      </c>
      <c r="E12452" s="10" t="s">
        <v>8565</v>
      </c>
      <c r="F12452" s="10" t="s">
        <v>1420</v>
      </c>
      <c r="G12452" s="10" t="s">
        <v>6317</v>
      </c>
      <c r="H12452" s="11">
        <v>44161</v>
      </c>
      <c r="I12452" s="10">
        <v>2021</v>
      </c>
      <c r="J12452" s="10" t="s">
        <v>33259</v>
      </c>
      <c r="K12452" s="10">
        <v>197</v>
      </c>
      <c r="L12452" s="10" t="s">
        <v>52778</v>
      </c>
      <c r="M12452" s="10">
        <v>1</v>
      </c>
      <c r="N12452" s="10" t="s">
        <v>51193</v>
      </c>
      <c r="O12452" s="10">
        <v>6</v>
      </c>
      <c r="P12452" s="10"/>
      <c r="Q12452" s="10"/>
      <c r="R12452" s="10"/>
      <c r="S12452" s="10" t="s">
        <v>53</v>
      </c>
      <c r="T12452" s="10" t="s">
        <v>54</v>
      </c>
    </row>
    <row r="12453" spans="1:20" ht="14.5" x14ac:dyDescent="0.35">
      <c r="A12453" s="10" t="s">
        <v>52779</v>
      </c>
      <c r="B12453" s="10" t="str">
        <f>"9789004449992"</f>
        <v>9789004449992</v>
      </c>
      <c r="C12453" s="10" t="str">
        <f>"9789004450004"</f>
        <v>9789004450004</v>
      </c>
      <c r="D12453" s="10" t="s">
        <v>8564</v>
      </c>
      <c r="E12453" s="10" t="s">
        <v>8565</v>
      </c>
      <c r="F12453" s="10" t="s">
        <v>1420</v>
      </c>
      <c r="G12453" s="10" t="s">
        <v>6317</v>
      </c>
      <c r="H12453" s="11">
        <v>44252</v>
      </c>
      <c r="I12453" s="10">
        <v>2021</v>
      </c>
      <c r="J12453" s="10" t="s">
        <v>33259</v>
      </c>
      <c r="K12453" s="10">
        <v>404</v>
      </c>
      <c r="L12453" s="10" t="s">
        <v>52780</v>
      </c>
      <c r="M12453" s="10">
        <v>1</v>
      </c>
      <c r="N12453" s="10" t="s">
        <v>33716</v>
      </c>
      <c r="O12453" s="10">
        <v>17</v>
      </c>
      <c r="P12453" s="10"/>
      <c r="Q12453" s="10"/>
      <c r="R12453" s="10"/>
      <c r="S12453" s="10" t="s">
        <v>53</v>
      </c>
      <c r="T12453" s="10" t="s">
        <v>54</v>
      </c>
    </row>
    <row r="12454" spans="1:20" ht="14.5" x14ac:dyDescent="0.35">
      <c r="A12454" s="10" t="s">
        <v>52781</v>
      </c>
      <c r="B12454" s="10" t="str">
        <f>"9789004449541"</f>
        <v>9789004449541</v>
      </c>
      <c r="C12454" s="10" t="str">
        <f>"9789004449558"</f>
        <v>9789004449558</v>
      </c>
      <c r="D12454" s="10" t="s">
        <v>8564</v>
      </c>
      <c r="E12454" s="10" t="s">
        <v>8565</v>
      </c>
      <c r="F12454" s="10" t="s">
        <v>1420</v>
      </c>
      <c r="G12454" s="10" t="s">
        <v>6317</v>
      </c>
      <c r="H12454" s="11">
        <v>44252</v>
      </c>
      <c r="I12454" s="10">
        <v>2021</v>
      </c>
      <c r="J12454" s="10" t="s">
        <v>33259</v>
      </c>
      <c r="K12454" s="10">
        <v>402</v>
      </c>
      <c r="L12454" s="10" t="s">
        <v>52782</v>
      </c>
      <c r="M12454" s="10">
        <v>1</v>
      </c>
      <c r="N12454" s="10"/>
      <c r="O12454" s="10"/>
      <c r="P12454" s="10"/>
      <c r="Q12454" s="10"/>
      <c r="R12454" s="10"/>
      <c r="S12454" s="10" t="s">
        <v>53</v>
      </c>
      <c r="T12454" s="10" t="s">
        <v>54</v>
      </c>
    </row>
    <row r="12455" spans="1:20" ht="14.5" x14ac:dyDescent="0.35">
      <c r="A12455" s="10" t="s">
        <v>52783</v>
      </c>
      <c r="B12455" s="10" t="str">
        <f>"9789004420700"</f>
        <v>9789004420700</v>
      </c>
      <c r="C12455" s="10" t="str">
        <f>"9789004445871"</f>
        <v>9789004445871</v>
      </c>
      <c r="D12455" s="10" t="s">
        <v>8564</v>
      </c>
      <c r="E12455" s="10" t="s">
        <v>8565</v>
      </c>
      <c r="F12455" s="10" t="s">
        <v>1420</v>
      </c>
      <c r="G12455" s="10" t="s">
        <v>6317</v>
      </c>
      <c r="H12455" s="11">
        <v>44259</v>
      </c>
      <c r="I12455" s="10">
        <v>2021</v>
      </c>
      <c r="J12455" s="10" t="s">
        <v>33259</v>
      </c>
      <c r="K12455" s="10">
        <v>188</v>
      </c>
      <c r="L12455" s="10" t="s">
        <v>52784</v>
      </c>
      <c r="M12455" s="10">
        <v>1</v>
      </c>
      <c r="N12455" s="10" t="s">
        <v>33751</v>
      </c>
      <c r="O12455" s="10">
        <v>71</v>
      </c>
      <c r="P12455" s="10"/>
      <c r="Q12455" s="10"/>
      <c r="R12455" s="10"/>
      <c r="S12455" s="10" t="s">
        <v>53</v>
      </c>
      <c r="T12455" s="10" t="s">
        <v>54</v>
      </c>
    </row>
    <row r="12456" spans="1:20" ht="14.5" x14ac:dyDescent="0.35">
      <c r="A12456" s="10" t="s">
        <v>52785</v>
      </c>
      <c r="B12456" s="10" t="str">
        <f>"9781787106390"</f>
        <v>9781787106390</v>
      </c>
      <c r="C12456" s="10" t="str">
        <f>"9781787105447"</f>
        <v>9781787105447</v>
      </c>
      <c r="D12456" s="10" t="s">
        <v>9215</v>
      </c>
      <c r="E12456" s="10" t="s">
        <v>50966</v>
      </c>
      <c r="F12456" s="10" t="s">
        <v>324</v>
      </c>
      <c r="G12456" s="10" t="s">
        <v>6317</v>
      </c>
      <c r="H12456" s="11">
        <v>44286</v>
      </c>
      <c r="I12456" s="10">
        <v>2021</v>
      </c>
      <c r="J12456" s="10" t="s">
        <v>50966</v>
      </c>
      <c r="K12456" s="10">
        <v>151</v>
      </c>
      <c r="L12456" s="10" t="s">
        <v>52786</v>
      </c>
      <c r="M12456" s="10"/>
      <c r="N12456" s="10"/>
      <c r="O12456" s="10"/>
      <c r="P12456" s="10" t="s">
        <v>52787</v>
      </c>
      <c r="Q12456" s="10">
        <v>371.93</v>
      </c>
      <c r="R12456" s="10" t="s">
        <v>52788</v>
      </c>
      <c r="S12456" s="10" t="s">
        <v>53</v>
      </c>
      <c r="T12456" s="10" t="s">
        <v>54</v>
      </c>
    </row>
    <row r="12457" spans="1:20" ht="14.5" x14ac:dyDescent="0.35">
      <c r="A12457" s="10" t="s">
        <v>52789</v>
      </c>
      <c r="B12457" s="10" t="str">
        <f>"9781789450118"</f>
        <v>9781789450118</v>
      </c>
      <c r="C12457" s="10" t="str">
        <f>"9781119817949"</f>
        <v>9781119817949</v>
      </c>
      <c r="D12457" s="10" t="s">
        <v>6322</v>
      </c>
      <c r="E12457" s="10" t="s">
        <v>6323</v>
      </c>
      <c r="F12457" s="10" t="s">
        <v>4423</v>
      </c>
      <c r="G12457" s="10" t="s">
        <v>6317</v>
      </c>
      <c r="H12457" s="11">
        <v>44299</v>
      </c>
      <c r="I12457" s="10">
        <v>2021</v>
      </c>
      <c r="J12457" s="10" t="s">
        <v>29411</v>
      </c>
      <c r="K12457" s="10">
        <v>254</v>
      </c>
      <c r="L12457" s="10" t="s">
        <v>52790</v>
      </c>
      <c r="M12457" s="10">
        <v>1</v>
      </c>
      <c r="N12457" s="10"/>
      <c r="O12457" s="10"/>
      <c r="P12457" s="10"/>
      <c r="Q12457" s="10">
        <v>371.904</v>
      </c>
      <c r="R12457" s="10" t="s">
        <v>52791</v>
      </c>
      <c r="S12457" s="10" t="s">
        <v>53</v>
      </c>
      <c r="T12457" s="10" t="s">
        <v>54</v>
      </c>
    </row>
    <row r="12458" spans="1:20" ht="14.5" x14ac:dyDescent="0.35">
      <c r="A12458" s="10" t="s">
        <v>52792</v>
      </c>
      <c r="B12458" s="10" t="str">
        <f>"9783506778376"</f>
        <v>9783506778376</v>
      </c>
      <c r="C12458" s="10" t="str">
        <f>"9783657778379"</f>
        <v>9783657778379</v>
      </c>
      <c r="D12458" s="10" t="s">
        <v>8564</v>
      </c>
      <c r="E12458" s="10" t="s">
        <v>8565</v>
      </c>
      <c r="F12458" s="10" t="s">
        <v>1420</v>
      </c>
      <c r="G12458" s="10" t="s">
        <v>6317</v>
      </c>
      <c r="H12458" s="11">
        <v>43663</v>
      </c>
      <c r="I12458" s="10">
        <v>2014</v>
      </c>
      <c r="J12458" s="10" t="s">
        <v>52793</v>
      </c>
      <c r="K12458" s="10">
        <v>242</v>
      </c>
      <c r="L12458" s="10" t="s">
        <v>52794</v>
      </c>
      <c r="M12458" s="10">
        <v>1</v>
      </c>
      <c r="N12458" s="10" t="s">
        <v>52795</v>
      </c>
      <c r="O12458" s="10"/>
      <c r="P12458" s="10"/>
      <c r="Q12458" s="10"/>
      <c r="R12458" s="10"/>
      <c r="S12458" s="10" t="s">
        <v>1519</v>
      </c>
      <c r="T12458" s="10" t="s">
        <v>54</v>
      </c>
    </row>
    <row r="12459" spans="1:20" ht="14.5" x14ac:dyDescent="0.35">
      <c r="A12459" s="10" t="s">
        <v>52796</v>
      </c>
      <c r="B12459" s="10" t="str">
        <f>"9783506782861"</f>
        <v>9783506782861</v>
      </c>
      <c r="C12459" s="10" t="str">
        <f>"9783657782864"</f>
        <v>9783657782864</v>
      </c>
      <c r="D12459" s="10" t="s">
        <v>8564</v>
      </c>
      <c r="E12459" s="10" t="s">
        <v>8565</v>
      </c>
      <c r="F12459" s="10" t="s">
        <v>1420</v>
      </c>
      <c r="G12459" s="10" t="s">
        <v>6317</v>
      </c>
      <c r="H12459" s="11">
        <v>42186</v>
      </c>
      <c r="I12459" s="10">
        <v>2015</v>
      </c>
      <c r="J12459" s="10" t="s">
        <v>52793</v>
      </c>
      <c r="K12459" s="10">
        <v>216</v>
      </c>
      <c r="L12459" s="10" t="s">
        <v>52797</v>
      </c>
      <c r="M12459" s="10">
        <v>1</v>
      </c>
      <c r="N12459" s="10"/>
      <c r="O12459" s="10"/>
      <c r="P12459" s="10" t="s">
        <v>52798</v>
      </c>
      <c r="Q12459" s="10"/>
      <c r="R12459" s="10"/>
      <c r="S12459" s="10" t="s">
        <v>1519</v>
      </c>
      <c r="T12459" s="10" t="s">
        <v>54</v>
      </c>
    </row>
    <row r="12460" spans="1:20" ht="14.5" x14ac:dyDescent="0.35">
      <c r="A12460" s="10" t="s">
        <v>52799</v>
      </c>
      <c r="B12460" s="10" t="str">
        <f>"9783506770530"</f>
        <v>9783506770530</v>
      </c>
      <c r="C12460" s="10" t="str">
        <f>"9783657770533"</f>
        <v>9783657770533</v>
      </c>
      <c r="D12460" s="10" t="s">
        <v>8564</v>
      </c>
      <c r="E12460" s="10" t="s">
        <v>8565</v>
      </c>
      <c r="F12460" s="10" t="s">
        <v>1420</v>
      </c>
      <c r="G12460" s="10" t="s">
        <v>6317</v>
      </c>
      <c r="H12460" s="11">
        <v>40360</v>
      </c>
      <c r="I12460" s="10">
        <v>2010</v>
      </c>
      <c r="J12460" s="10" t="s">
        <v>52793</v>
      </c>
      <c r="K12460" s="10">
        <v>281</v>
      </c>
      <c r="L12460" s="10" t="s">
        <v>52800</v>
      </c>
      <c r="M12460" s="10">
        <v>1</v>
      </c>
      <c r="N12460" s="10"/>
      <c r="O12460" s="10"/>
      <c r="P12460" s="10"/>
      <c r="Q12460" s="10"/>
      <c r="R12460" s="10"/>
      <c r="S12460" s="10" t="s">
        <v>1519</v>
      </c>
      <c r="T12460" s="10" t="s">
        <v>54</v>
      </c>
    </row>
    <row r="12461" spans="1:20" ht="14.5" x14ac:dyDescent="0.35">
      <c r="A12461" s="10" t="s">
        <v>52801</v>
      </c>
      <c r="B12461" s="10" t="str">
        <f>"9783506779489"</f>
        <v>9783506779489</v>
      </c>
      <c r="C12461" s="10" t="str">
        <f>"9783657779482"</f>
        <v>9783657779482</v>
      </c>
      <c r="D12461" s="10" t="s">
        <v>8564</v>
      </c>
      <c r="E12461" s="10" t="s">
        <v>8565</v>
      </c>
      <c r="F12461" s="10" t="s">
        <v>1420</v>
      </c>
      <c r="G12461" s="10" t="s">
        <v>6317</v>
      </c>
      <c r="H12461" s="11">
        <v>41821</v>
      </c>
      <c r="I12461" s="10">
        <v>2014</v>
      </c>
      <c r="J12461" s="10" t="s">
        <v>52793</v>
      </c>
      <c r="K12461" s="10">
        <v>233</v>
      </c>
      <c r="L12461" s="10" t="s">
        <v>52802</v>
      </c>
      <c r="M12461" s="10">
        <v>1</v>
      </c>
      <c r="N12461" s="10" t="s">
        <v>52803</v>
      </c>
      <c r="O12461" s="10">
        <v>6</v>
      </c>
      <c r="P12461" s="10"/>
      <c r="Q12461" s="10"/>
      <c r="R12461" s="10"/>
      <c r="S12461" s="10" t="s">
        <v>1519</v>
      </c>
      <c r="T12461" s="10" t="s">
        <v>54</v>
      </c>
    </row>
    <row r="12462" spans="1:20" ht="14.5" x14ac:dyDescent="0.35">
      <c r="A12462" s="10" t="s">
        <v>52804</v>
      </c>
      <c r="B12462" s="10" t="str">
        <f>"9788491486602"</f>
        <v>9788491486602</v>
      </c>
      <c r="C12462" s="10" t="str">
        <f>"9788491486985"</f>
        <v>9788491486985</v>
      </c>
      <c r="D12462" s="10" t="s">
        <v>52671</v>
      </c>
      <c r="E12462" s="10" t="s">
        <v>52671</v>
      </c>
      <c r="F12462" s="10" t="s">
        <v>1681</v>
      </c>
      <c r="G12462" s="10" t="s">
        <v>52672</v>
      </c>
      <c r="H12462" s="11">
        <v>43259</v>
      </c>
      <c r="I12462" s="10">
        <v>2018</v>
      </c>
      <c r="J12462" s="10" t="s">
        <v>52671</v>
      </c>
      <c r="K12462" s="10">
        <v>162</v>
      </c>
      <c r="L12462" s="10" t="s">
        <v>52805</v>
      </c>
      <c r="M12462" s="10">
        <v>1</v>
      </c>
      <c r="N12462" s="10"/>
      <c r="O12462" s="10"/>
      <c r="P12462" s="10" t="s">
        <v>52806</v>
      </c>
      <c r="Q12462" s="10">
        <v>650</v>
      </c>
      <c r="R12462" s="10" t="s">
        <v>52807</v>
      </c>
      <c r="S12462" s="10" t="s">
        <v>119</v>
      </c>
      <c r="T12462" s="10" t="s">
        <v>6660</v>
      </c>
    </row>
    <row r="12463" spans="1:20" ht="14.5" x14ac:dyDescent="0.35">
      <c r="A12463" s="10" t="s">
        <v>52808</v>
      </c>
      <c r="B12463" s="10" t="str">
        <f>"9788491482208"</f>
        <v>9788491482208</v>
      </c>
      <c r="C12463" s="10" t="str">
        <f>"9788491486855"</f>
        <v>9788491486855</v>
      </c>
      <c r="D12463" s="10" t="s">
        <v>52671</v>
      </c>
      <c r="E12463" s="10" t="s">
        <v>52671</v>
      </c>
      <c r="F12463" s="10" t="s">
        <v>1681</v>
      </c>
      <c r="G12463" s="10" t="s">
        <v>52672</v>
      </c>
      <c r="H12463" s="11">
        <v>43227</v>
      </c>
      <c r="I12463" s="10">
        <v>2018</v>
      </c>
      <c r="J12463" s="10" t="s">
        <v>52671</v>
      </c>
      <c r="K12463" s="10">
        <v>222</v>
      </c>
      <c r="L12463" s="10" t="s">
        <v>52809</v>
      </c>
      <c r="M12463" s="10">
        <v>1</v>
      </c>
      <c r="N12463" s="10"/>
      <c r="O12463" s="10"/>
      <c r="P12463" s="10" t="s">
        <v>52678</v>
      </c>
      <c r="Q12463" s="10"/>
      <c r="R12463" s="10" t="s">
        <v>49683</v>
      </c>
      <c r="S12463" s="10" t="s">
        <v>119</v>
      </c>
      <c r="T12463" s="10" t="s">
        <v>54</v>
      </c>
    </row>
    <row r="12464" spans="1:20" ht="14.5" x14ac:dyDescent="0.35">
      <c r="A12464" s="10" t="s">
        <v>52810</v>
      </c>
      <c r="B12464" s="10" t="str">
        <f>"9788491486565"</f>
        <v>9788491486565</v>
      </c>
      <c r="C12464" s="10" t="str">
        <f>"9788491486824"</f>
        <v>9788491486824</v>
      </c>
      <c r="D12464" s="10" t="s">
        <v>52671</v>
      </c>
      <c r="E12464" s="10" t="s">
        <v>52671</v>
      </c>
      <c r="F12464" s="10" t="s">
        <v>1681</v>
      </c>
      <c r="G12464" s="10" t="s">
        <v>52672</v>
      </c>
      <c r="H12464" s="11">
        <v>43245</v>
      </c>
      <c r="I12464" s="10">
        <v>2018</v>
      </c>
      <c r="J12464" s="10" t="s">
        <v>52671</v>
      </c>
      <c r="K12464" s="10">
        <v>222</v>
      </c>
      <c r="L12464" s="10" t="s">
        <v>52811</v>
      </c>
      <c r="M12464" s="10">
        <v>1</v>
      </c>
      <c r="N12464" s="10"/>
      <c r="O12464" s="10"/>
      <c r="P12464" s="10" t="s">
        <v>8561</v>
      </c>
      <c r="Q12464" s="10"/>
      <c r="R12464" s="10" t="s">
        <v>52812</v>
      </c>
      <c r="S12464" s="10" t="s">
        <v>119</v>
      </c>
      <c r="T12464" s="10" t="s">
        <v>54</v>
      </c>
    </row>
    <row r="12465" spans="1:20" ht="14.5" x14ac:dyDescent="0.35">
      <c r="A12465" s="10" t="s">
        <v>52813</v>
      </c>
      <c r="B12465" s="10" t="str">
        <f>"9788491487388"</f>
        <v>9788491487388</v>
      </c>
      <c r="C12465" s="10" t="str">
        <f>"9788491488408"</f>
        <v>9788491488408</v>
      </c>
      <c r="D12465" s="10" t="s">
        <v>52671</v>
      </c>
      <c r="E12465" s="10" t="s">
        <v>52671</v>
      </c>
      <c r="F12465" s="10" t="s">
        <v>1681</v>
      </c>
      <c r="G12465" s="10" t="s">
        <v>52672</v>
      </c>
      <c r="H12465" s="11">
        <v>43282</v>
      </c>
      <c r="I12465" s="10">
        <v>2018</v>
      </c>
      <c r="J12465" s="10" t="s">
        <v>52671</v>
      </c>
      <c r="K12465" s="10">
        <v>280</v>
      </c>
      <c r="L12465" s="10" t="s">
        <v>52814</v>
      </c>
      <c r="M12465" s="10">
        <v>1</v>
      </c>
      <c r="N12465" s="10"/>
      <c r="O12465" s="10"/>
      <c r="P12465" s="10" t="s">
        <v>8561</v>
      </c>
      <c r="Q12465" s="10"/>
      <c r="R12465" s="10" t="s">
        <v>52815</v>
      </c>
      <c r="S12465" s="10" t="s">
        <v>119</v>
      </c>
      <c r="T12465" s="10" t="s">
        <v>54</v>
      </c>
    </row>
    <row r="12466" spans="1:20" ht="14.5" x14ac:dyDescent="0.35">
      <c r="A12466" s="10" t="s">
        <v>52816</v>
      </c>
      <c r="B12466" s="10" t="str">
        <f>"9788491486725"</f>
        <v>9788491486725</v>
      </c>
      <c r="C12466" s="10" t="str">
        <f>"9788491486978"</f>
        <v>9788491486978</v>
      </c>
      <c r="D12466" s="10" t="s">
        <v>52671</v>
      </c>
      <c r="E12466" s="10" t="s">
        <v>52671</v>
      </c>
      <c r="F12466" s="10" t="s">
        <v>1681</v>
      </c>
      <c r="G12466" s="10" t="s">
        <v>52672</v>
      </c>
      <c r="H12466" s="11">
        <v>43259</v>
      </c>
      <c r="I12466" s="10">
        <v>2018</v>
      </c>
      <c r="J12466" s="10" t="s">
        <v>52671</v>
      </c>
      <c r="K12466" s="10">
        <v>182</v>
      </c>
      <c r="L12466" s="10" t="s">
        <v>52817</v>
      </c>
      <c r="M12466" s="10">
        <v>1</v>
      </c>
      <c r="N12466" s="10"/>
      <c r="O12466" s="10"/>
      <c r="P12466" s="10" t="s">
        <v>8561</v>
      </c>
      <c r="Q12466" s="10"/>
      <c r="R12466" s="10" t="s">
        <v>52818</v>
      </c>
      <c r="S12466" s="10" t="s">
        <v>119</v>
      </c>
      <c r="T12466" s="10" t="s">
        <v>54</v>
      </c>
    </row>
    <row r="12467" spans="1:20" ht="14.5" x14ac:dyDescent="0.35">
      <c r="A12467" s="10" t="s">
        <v>52819</v>
      </c>
      <c r="B12467" s="10" t="str">
        <f>"9783506779854"</f>
        <v>9783506779854</v>
      </c>
      <c r="C12467" s="10" t="str">
        <f>"9783657779857"</f>
        <v>9783657779857</v>
      </c>
      <c r="D12467" s="10" t="s">
        <v>8564</v>
      </c>
      <c r="E12467" s="10" t="s">
        <v>8565</v>
      </c>
      <c r="F12467" s="10" t="s">
        <v>1420</v>
      </c>
      <c r="G12467" s="10" t="s">
        <v>6317</v>
      </c>
      <c r="H12467" s="11">
        <v>42186</v>
      </c>
      <c r="I12467" s="10">
        <v>2015</v>
      </c>
      <c r="J12467" s="10" t="s">
        <v>52793</v>
      </c>
      <c r="K12467" s="10">
        <v>153</v>
      </c>
      <c r="L12467" s="10" t="s">
        <v>52820</v>
      </c>
      <c r="M12467" s="10">
        <v>1</v>
      </c>
      <c r="N12467" s="10"/>
      <c r="O12467" s="10"/>
      <c r="P12467" s="10"/>
      <c r="Q12467" s="10"/>
      <c r="R12467" s="10"/>
      <c r="S12467" s="10" t="s">
        <v>1519</v>
      </c>
      <c r="T12467" s="10" t="s">
        <v>54</v>
      </c>
    </row>
    <row r="12468" spans="1:20" ht="14.5" x14ac:dyDescent="0.35">
      <c r="A12468" s="10" t="s">
        <v>52821</v>
      </c>
      <c r="B12468" s="10" t="str">
        <f>"9783506715401"</f>
        <v>9783506715401</v>
      </c>
      <c r="C12468" s="10" t="str">
        <f>"9783657715404"</f>
        <v>9783657715404</v>
      </c>
      <c r="D12468" s="10" t="s">
        <v>8564</v>
      </c>
      <c r="E12468" s="10" t="s">
        <v>8565</v>
      </c>
      <c r="F12468" s="10" t="s">
        <v>1420</v>
      </c>
      <c r="G12468" s="10" t="s">
        <v>6317</v>
      </c>
      <c r="H12468" s="11">
        <v>44013</v>
      </c>
      <c r="I12468" s="10">
        <v>2020</v>
      </c>
      <c r="J12468" s="10" t="s">
        <v>52793</v>
      </c>
      <c r="K12468" s="10">
        <v>137</v>
      </c>
      <c r="L12468" s="10" t="s">
        <v>52822</v>
      </c>
      <c r="M12468" s="10">
        <v>1</v>
      </c>
      <c r="N12468" s="10" t="s">
        <v>52823</v>
      </c>
      <c r="O12468" s="10">
        <v>1</v>
      </c>
      <c r="P12468" s="10"/>
      <c r="Q12468" s="10"/>
      <c r="R12468" s="10"/>
      <c r="S12468" s="10" t="s">
        <v>53</v>
      </c>
      <c r="T12468" s="10" t="s">
        <v>54</v>
      </c>
    </row>
    <row r="12469" spans="1:20" ht="14.5" x14ac:dyDescent="0.35">
      <c r="A12469" s="10" t="s">
        <v>52824</v>
      </c>
      <c r="B12469" s="10" t="str">
        <f>"9783506767417"</f>
        <v>9783506767417</v>
      </c>
      <c r="C12469" s="10" t="str">
        <f>"9783657767410"</f>
        <v>9783657767410</v>
      </c>
      <c r="D12469" s="10" t="s">
        <v>8564</v>
      </c>
      <c r="E12469" s="10" t="s">
        <v>8565</v>
      </c>
      <c r="F12469" s="10" t="s">
        <v>1420</v>
      </c>
      <c r="G12469" s="10" t="s">
        <v>6317</v>
      </c>
      <c r="H12469" s="11">
        <v>43703</v>
      </c>
      <c r="I12469" s="10">
        <v>2008</v>
      </c>
      <c r="J12469" s="10" t="s">
        <v>52793</v>
      </c>
      <c r="K12469" s="10">
        <v>177</v>
      </c>
      <c r="L12469" s="10" t="s">
        <v>52825</v>
      </c>
      <c r="M12469" s="10">
        <v>1</v>
      </c>
      <c r="N12469" s="10" t="s">
        <v>52795</v>
      </c>
      <c r="O12469" s="10"/>
      <c r="P12469" s="10"/>
      <c r="Q12469" s="10"/>
      <c r="R12469" s="10"/>
      <c r="S12469" s="10" t="s">
        <v>1519</v>
      </c>
      <c r="T12469" s="10" t="s">
        <v>54</v>
      </c>
    </row>
    <row r="12470" spans="1:20" ht="14.5" x14ac:dyDescent="0.35">
      <c r="A12470" s="10" t="s">
        <v>52826</v>
      </c>
      <c r="B12470" s="10" t="str">
        <f>"9783506776365"</f>
        <v>9783506776365</v>
      </c>
      <c r="C12470" s="10" t="str">
        <f>"9783657776368"</f>
        <v>9783657776368</v>
      </c>
      <c r="D12470" s="10" t="s">
        <v>8564</v>
      </c>
      <c r="E12470" s="10" t="s">
        <v>8565</v>
      </c>
      <c r="F12470" s="10" t="s">
        <v>1420</v>
      </c>
      <c r="G12470" s="10" t="s">
        <v>6317</v>
      </c>
      <c r="H12470" s="11">
        <v>41456</v>
      </c>
      <c r="I12470" s="10">
        <v>2013</v>
      </c>
      <c r="J12470" s="10" t="s">
        <v>52793</v>
      </c>
      <c r="K12470" s="10">
        <v>286</v>
      </c>
      <c r="L12470" s="10" t="s">
        <v>52827</v>
      </c>
      <c r="M12470" s="10">
        <v>1</v>
      </c>
      <c r="N12470" s="10"/>
      <c r="O12470" s="10"/>
      <c r="P12470" s="10"/>
      <c r="Q12470" s="10"/>
      <c r="R12470" s="10"/>
      <c r="S12470" s="10" t="s">
        <v>1519</v>
      </c>
      <c r="T12470" s="10" t="s">
        <v>54</v>
      </c>
    </row>
    <row r="12471" spans="1:20" ht="14.5" x14ac:dyDescent="0.35">
      <c r="A12471" s="10" t="s">
        <v>52828</v>
      </c>
      <c r="B12471" s="10" t="str">
        <f>"9781951075033"</f>
        <v>9781951075033</v>
      </c>
      <c r="C12471" s="10" t="str">
        <f>"9781951075040"</f>
        <v>9781951075040</v>
      </c>
      <c r="D12471" s="10" t="s">
        <v>37580</v>
      </c>
      <c r="E12471" s="10" t="s">
        <v>37581</v>
      </c>
      <c r="F12471" s="10" t="s">
        <v>37623</v>
      </c>
      <c r="G12471" s="10" t="s">
        <v>6317</v>
      </c>
      <c r="H12471" s="11">
        <v>44281</v>
      </c>
      <c r="I12471" s="10">
        <v>2021</v>
      </c>
      <c r="J12471" s="10" t="s">
        <v>37581</v>
      </c>
      <c r="K12471" s="10">
        <v>256</v>
      </c>
      <c r="L12471" s="10" t="s">
        <v>52829</v>
      </c>
      <c r="M12471" s="10">
        <v>1</v>
      </c>
      <c r="N12471" s="10"/>
      <c r="O12471" s="10"/>
      <c r="P12471" s="10"/>
      <c r="Q12471" s="10"/>
      <c r="R12471" s="10"/>
      <c r="S12471" s="10" t="s">
        <v>53</v>
      </c>
      <c r="T12471" s="10" t="s">
        <v>54</v>
      </c>
    </row>
    <row r="12472" spans="1:20" ht="14.5" x14ac:dyDescent="0.35">
      <c r="A12472" s="10" t="s">
        <v>52830</v>
      </c>
      <c r="B12472" s="10" t="str">
        <f>"9783506763501"</f>
        <v>9783506763501</v>
      </c>
      <c r="C12472" s="10" t="str">
        <f>"9783657763504"</f>
        <v>9783657763504</v>
      </c>
      <c r="D12472" s="10" t="s">
        <v>8564</v>
      </c>
      <c r="E12472" s="10" t="s">
        <v>8565</v>
      </c>
      <c r="F12472" s="10" t="s">
        <v>1420</v>
      </c>
      <c r="G12472" s="10" t="s">
        <v>6317</v>
      </c>
      <c r="H12472" s="11">
        <v>43657</v>
      </c>
      <c r="I12472" s="10">
        <v>2008</v>
      </c>
      <c r="J12472" s="10" t="s">
        <v>8565</v>
      </c>
      <c r="K12472" s="10">
        <v>1134</v>
      </c>
      <c r="L12472" s="10" t="s">
        <v>52831</v>
      </c>
      <c r="M12472" s="10">
        <v>1</v>
      </c>
      <c r="N12472" s="10" t="s">
        <v>52832</v>
      </c>
      <c r="O12472" s="10">
        <v>1</v>
      </c>
      <c r="P12472" s="10" t="s">
        <v>52833</v>
      </c>
      <c r="Q12472" s="10"/>
      <c r="R12472" s="10"/>
      <c r="S12472" s="10" t="s">
        <v>1519</v>
      </c>
      <c r="T12472" s="10" t="s">
        <v>54</v>
      </c>
    </row>
    <row r="12473" spans="1:20" ht="14.5" x14ac:dyDescent="0.35">
      <c r="A12473" s="10" t="s">
        <v>52834</v>
      </c>
      <c r="B12473" s="10" t="str">
        <f>"9783770551545"</f>
        <v>9783770551545</v>
      </c>
      <c r="C12473" s="10" t="str">
        <f>"9783846751541"</f>
        <v>9783846751541</v>
      </c>
      <c r="D12473" s="10" t="s">
        <v>8564</v>
      </c>
      <c r="E12473" s="10" t="s">
        <v>8565</v>
      </c>
      <c r="F12473" s="10" t="s">
        <v>1420</v>
      </c>
      <c r="G12473" s="10" t="s">
        <v>6317</v>
      </c>
      <c r="H12473" s="11">
        <v>40725</v>
      </c>
      <c r="I12473" s="10">
        <v>2011</v>
      </c>
      <c r="J12473" s="10" t="s">
        <v>52835</v>
      </c>
      <c r="K12473" s="10">
        <v>237</v>
      </c>
      <c r="L12473" s="10" t="s">
        <v>52836</v>
      </c>
      <c r="M12473" s="10">
        <v>1</v>
      </c>
      <c r="N12473" s="10"/>
      <c r="O12473" s="10"/>
      <c r="P12473" s="10"/>
      <c r="Q12473" s="10"/>
      <c r="R12473" s="10"/>
      <c r="S12473" s="10" t="s">
        <v>1519</v>
      </c>
      <c r="T12473" s="10" t="s">
        <v>54</v>
      </c>
    </row>
    <row r="12474" spans="1:20" ht="14.5" x14ac:dyDescent="0.35">
      <c r="A12474" s="10" t="s">
        <v>52837</v>
      </c>
      <c r="B12474" s="10" t="str">
        <f>"9783506773081"</f>
        <v>9783506773081</v>
      </c>
      <c r="C12474" s="10" t="str">
        <f>"9783657773084"</f>
        <v>9783657773084</v>
      </c>
      <c r="D12474" s="10" t="s">
        <v>8564</v>
      </c>
      <c r="E12474" s="10" t="s">
        <v>8565</v>
      </c>
      <c r="F12474" s="10" t="s">
        <v>1420</v>
      </c>
      <c r="G12474" s="10" t="s">
        <v>6317</v>
      </c>
      <c r="H12474" s="11">
        <v>41456</v>
      </c>
      <c r="I12474" s="10">
        <v>2013</v>
      </c>
      <c r="J12474" s="10" t="s">
        <v>52793</v>
      </c>
      <c r="K12474" s="10">
        <v>261</v>
      </c>
      <c r="L12474" s="10" t="s">
        <v>52838</v>
      </c>
      <c r="M12474" s="10">
        <v>1</v>
      </c>
      <c r="N12474" s="10"/>
      <c r="O12474" s="10"/>
      <c r="P12474" s="10" t="s">
        <v>52839</v>
      </c>
      <c r="Q12474" s="10"/>
      <c r="R12474" s="10"/>
      <c r="S12474" s="10" t="s">
        <v>1519</v>
      </c>
      <c r="T12474" s="10" t="s">
        <v>54</v>
      </c>
    </row>
    <row r="12475" spans="1:20" ht="14.5" x14ac:dyDescent="0.35">
      <c r="A12475" s="10" t="s">
        <v>52840</v>
      </c>
      <c r="B12475" s="10" t="str">
        <f>"9783506773876"</f>
        <v>9783506773876</v>
      </c>
      <c r="C12475" s="10" t="str">
        <f>"9783657773879"</f>
        <v>9783657773879</v>
      </c>
      <c r="D12475" s="10" t="s">
        <v>8564</v>
      </c>
      <c r="E12475" s="10" t="s">
        <v>8565</v>
      </c>
      <c r="F12475" s="10" t="s">
        <v>1420</v>
      </c>
      <c r="G12475" s="10" t="s">
        <v>6317</v>
      </c>
      <c r="H12475" s="11">
        <v>43479</v>
      </c>
      <c r="I12475" s="10">
        <v>2005</v>
      </c>
      <c r="J12475" s="10" t="s">
        <v>52793</v>
      </c>
      <c r="K12475" s="10">
        <v>188</v>
      </c>
      <c r="L12475" s="10" t="s">
        <v>52841</v>
      </c>
      <c r="M12475" s="10">
        <v>1</v>
      </c>
      <c r="N12475" s="10"/>
      <c r="O12475" s="10"/>
      <c r="P12475" s="10"/>
      <c r="Q12475" s="10"/>
      <c r="R12475" s="10" t="s">
        <v>49868</v>
      </c>
      <c r="S12475" s="10" t="s">
        <v>1519</v>
      </c>
      <c r="T12475" s="10" t="s">
        <v>54</v>
      </c>
    </row>
    <row r="12476" spans="1:20" ht="14.5" x14ac:dyDescent="0.35">
      <c r="A12476" s="10" t="s">
        <v>52842</v>
      </c>
      <c r="B12476" s="10" t="str">
        <f>"9783506778000"</f>
        <v>9783506778000</v>
      </c>
      <c r="C12476" s="10" t="str">
        <f>"9783657778003"</f>
        <v>9783657778003</v>
      </c>
      <c r="D12476" s="10" t="s">
        <v>8564</v>
      </c>
      <c r="E12476" s="10" t="s">
        <v>8565</v>
      </c>
      <c r="F12476" s="10" t="s">
        <v>1420</v>
      </c>
      <c r="G12476" s="10" t="s">
        <v>6317</v>
      </c>
      <c r="H12476" s="11">
        <v>41667</v>
      </c>
      <c r="I12476" s="10">
        <v>2013</v>
      </c>
      <c r="J12476" s="10" t="s">
        <v>52793</v>
      </c>
      <c r="K12476" s="10">
        <v>206</v>
      </c>
      <c r="L12476" s="10" t="s">
        <v>52843</v>
      </c>
      <c r="M12476" s="10">
        <v>1</v>
      </c>
      <c r="N12476" s="10"/>
      <c r="O12476" s="10"/>
      <c r="P12476" s="10"/>
      <c r="Q12476" s="10"/>
      <c r="R12476" s="10"/>
      <c r="S12476" s="10" t="s">
        <v>1519</v>
      </c>
      <c r="T12476" s="10" t="s">
        <v>54</v>
      </c>
    </row>
    <row r="12477" spans="1:20" ht="14.5" x14ac:dyDescent="0.35">
      <c r="A12477" s="10" t="s">
        <v>52844</v>
      </c>
      <c r="B12477" s="10" t="str">
        <f>"9783506771971"</f>
        <v>9783506771971</v>
      </c>
      <c r="C12477" s="10" t="str">
        <f>"9783657771974"</f>
        <v>9783657771974</v>
      </c>
      <c r="D12477" s="10" t="s">
        <v>8564</v>
      </c>
      <c r="E12477" s="10" t="s">
        <v>8565</v>
      </c>
      <c r="F12477" s="10" t="s">
        <v>1420</v>
      </c>
      <c r="G12477" s="10" t="s">
        <v>6317</v>
      </c>
      <c r="H12477" s="11">
        <v>43829</v>
      </c>
      <c r="I12477" s="10">
        <v>2012</v>
      </c>
      <c r="J12477" s="10" t="s">
        <v>52793</v>
      </c>
      <c r="K12477" s="10">
        <v>112</v>
      </c>
      <c r="L12477" s="10" t="s">
        <v>52845</v>
      </c>
      <c r="M12477" s="10">
        <v>1</v>
      </c>
      <c r="N12477" s="10" t="s">
        <v>52846</v>
      </c>
      <c r="O12477" s="10"/>
      <c r="P12477" s="10" t="s">
        <v>52847</v>
      </c>
      <c r="Q12477" s="10">
        <v>370.71100000000001</v>
      </c>
      <c r="R12477" s="10" t="s">
        <v>52848</v>
      </c>
      <c r="S12477" s="10" t="s">
        <v>1519</v>
      </c>
      <c r="T12477" s="10" t="s">
        <v>54</v>
      </c>
    </row>
    <row r="12478" spans="1:20" ht="14.5" x14ac:dyDescent="0.35">
      <c r="A12478" s="10" t="s">
        <v>52849</v>
      </c>
      <c r="B12478" s="10" t="str">
        <f>"9783506702609"</f>
        <v>9783506702609</v>
      </c>
      <c r="C12478" s="10" t="str">
        <f>"9783657702602"</f>
        <v>9783657702602</v>
      </c>
      <c r="D12478" s="10" t="s">
        <v>8564</v>
      </c>
      <c r="E12478" s="10" t="s">
        <v>8565</v>
      </c>
      <c r="F12478" s="10" t="s">
        <v>1420</v>
      </c>
      <c r="G12478" s="10" t="s">
        <v>6317</v>
      </c>
      <c r="H12478" s="11">
        <v>43739</v>
      </c>
      <c r="I12478" s="10">
        <v>2019</v>
      </c>
      <c r="J12478" s="10" t="s">
        <v>52793</v>
      </c>
      <c r="K12478" s="10">
        <v>127</v>
      </c>
      <c r="L12478" s="10" t="s">
        <v>52850</v>
      </c>
      <c r="M12478" s="10">
        <v>1</v>
      </c>
      <c r="N12478" s="10" t="s">
        <v>52823</v>
      </c>
      <c r="O12478" s="10">
        <v>6</v>
      </c>
      <c r="P12478" s="10"/>
      <c r="Q12478" s="10"/>
      <c r="R12478" s="10"/>
      <c r="S12478" s="10" t="s">
        <v>53</v>
      </c>
      <c r="T12478" s="10" t="s">
        <v>54</v>
      </c>
    </row>
    <row r="12479" spans="1:20" ht="14.5" x14ac:dyDescent="0.35">
      <c r="A12479" s="10" t="s">
        <v>52851</v>
      </c>
      <c r="B12479" s="10" t="str">
        <f>"9783506769855"</f>
        <v>9783506769855</v>
      </c>
      <c r="C12479" s="10" t="str">
        <f>"9783657769858"</f>
        <v>9783657769858</v>
      </c>
      <c r="D12479" s="10" t="s">
        <v>8564</v>
      </c>
      <c r="E12479" s="10" t="s">
        <v>8565</v>
      </c>
      <c r="F12479" s="10" t="s">
        <v>1420</v>
      </c>
      <c r="G12479" s="10" t="s">
        <v>6317</v>
      </c>
      <c r="H12479" s="11">
        <v>43724</v>
      </c>
      <c r="I12479" s="10">
        <v>2010</v>
      </c>
      <c r="J12479" s="10" t="s">
        <v>52793</v>
      </c>
      <c r="K12479" s="10">
        <v>89</v>
      </c>
      <c r="L12479" s="10" t="s">
        <v>52852</v>
      </c>
      <c r="M12479" s="10">
        <v>1</v>
      </c>
      <c r="N12479" s="10" t="s">
        <v>52853</v>
      </c>
      <c r="O12479" s="10">
        <v>9</v>
      </c>
      <c r="P12479" s="10"/>
      <c r="Q12479" s="10"/>
      <c r="R12479" s="10"/>
      <c r="S12479" s="10" t="s">
        <v>1519</v>
      </c>
      <c r="T12479" s="10" t="s">
        <v>54</v>
      </c>
    </row>
    <row r="12480" spans="1:20" ht="14.5" x14ac:dyDescent="0.35">
      <c r="A12480" s="10" t="s">
        <v>52854</v>
      </c>
      <c r="B12480" s="10" t="str">
        <f>"9783506776426"</f>
        <v>9783506776426</v>
      </c>
      <c r="C12480" s="10" t="str">
        <f>"9783657776429"</f>
        <v>9783657776429</v>
      </c>
      <c r="D12480" s="10" t="s">
        <v>8564</v>
      </c>
      <c r="E12480" s="10" t="s">
        <v>8565</v>
      </c>
      <c r="F12480" s="10" t="s">
        <v>1420</v>
      </c>
      <c r="G12480" s="10" t="s">
        <v>6317</v>
      </c>
      <c r="H12480" s="11">
        <v>43663</v>
      </c>
      <c r="I12480" s="10">
        <v>2013</v>
      </c>
      <c r="J12480" s="10" t="s">
        <v>52793</v>
      </c>
      <c r="K12480" s="10">
        <v>203</v>
      </c>
      <c r="L12480" s="10" t="s">
        <v>52855</v>
      </c>
      <c r="M12480" s="10">
        <v>1</v>
      </c>
      <c r="N12480" s="10"/>
      <c r="O12480" s="10"/>
      <c r="P12480" s="10"/>
      <c r="Q12480" s="10"/>
      <c r="R12480" s="10"/>
      <c r="S12480" s="10" t="s">
        <v>1519</v>
      </c>
      <c r="T12480" s="10" t="s">
        <v>54</v>
      </c>
    </row>
    <row r="12481" spans="1:20" ht="14.5" x14ac:dyDescent="0.35">
      <c r="A12481" s="10" t="s">
        <v>52856</v>
      </c>
      <c r="B12481" s="10" t="str">
        <f>"9783506707024"</f>
        <v>9783506707024</v>
      </c>
      <c r="C12481" s="10" t="str">
        <f>"9783657707027"</f>
        <v>9783657707027</v>
      </c>
      <c r="D12481" s="10" t="s">
        <v>8564</v>
      </c>
      <c r="E12481" s="10" t="s">
        <v>8565</v>
      </c>
      <c r="F12481" s="10" t="s">
        <v>1420</v>
      </c>
      <c r="G12481" s="10" t="s">
        <v>6317</v>
      </c>
      <c r="H12481" s="11">
        <v>43763</v>
      </c>
      <c r="I12481" s="10">
        <v>2020</v>
      </c>
      <c r="J12481" s="10" t="s">
        <v>52793</v>
      </c>
      <c r="K12481" s="10">
        <v>212</v>
      </c>
      <c r="L12481" s="10" t="s">
        <v>52857</v>
      </c>
      <c r="M12481" s="10">
        <v>1</v>
      </c>
      <c r="N12481" s="10" t="s">
        <v>52823</v>
      </c>
      <c r="O12481" s="10">
        <v>7</v>
      </c>
      <c r="P12481" s="10"/>
      <c r="Q12481" s="10"/>
      <c r="R12481" s="10"/>
      <c r="S12481" s="10" t="s">
        <v>53</v>
      </c>
      <c r="T12481" s="10" t="s">
        <v>54</v>
      </c>
    </row>
    <row r="12482" spans="1:20" ht="14.5" x14ac:dyDescent="0.35">
      <c r="A12482" s="10" t="s">
        <v>52858</v>
      </c>
      <c r="B12482" s="10" t="str">
        <f>"9783506776358"</f>
        <v>9783506776358</v>
      </c>
      <c r="C12482" s="10" t="str">
        <f>"9783657776351"</f>
        <v>9783657776351</v>
      </c>
      <c r="D12482" s="10" t="s">
        <v>8564</v>
      </c>
      <c r="E12482" s="10" t="s">
        <v>8565</v>
      </c>
      <c r="F12482" s="10" t="s">
        <v>1420</v>
      </c>
      <c r="G12482" s="10" t="s">
        <v>6317</v>
      </c>
      <c r="H12482" s="11">
        <v>43829</v>
      </c>
      <c r="I12482" s="10">
        <v>2012</v>
      </c>
      <c r="J12482" s="10" t="s">
        <v>52793</v>
      </c>
      <c r="K12482" s="10">
        <v>112</v>
      </c>
      <c r="L12482" s="10" t="s">
        <v>52859</v>
      </c>
      <c r="M12482" s="10">
        <v>1</v>
      </c>
      <c r="N12482" s="10" t="s">
        <v>52846</v>
      </c>
      <c r="O12482" s="10"/>
      <c r="P12482" s="10" t="s">
        <v>52860</v>
      </c>
      <c r="Q12482" s="10">
        <v>155.41820000000001</v>
      </c>
      <c r="R12482" s="10" t="s">
        <v>52861</v>
      </c>
      <c r="S12482" s="10" t="s">
        <v>1519</v>
      </c>
      <c r="T12482" s="10" t="s">
        <v>483</v>
      </c>
    </row>
    <row r="12483" spans="1:20" ht="14.5" x14ac:dyDescent="0.35">
      <c r="A12483" s="10" t="s">
        <v>52862</v>
      </c>
      <c r="B12483" s="10" t="str">
        <f>"9783506725721"</f>
        <v>9783506725721</v>
      </c>
      <c r="C12483" s="10" t="str">
        <f>"9783657725724"</f>
        <v>9783657725724</v>
      </c>
      <c r="D12483" s="10" t="s">
        <v>8564</v>
      </c>
      <c r="E12483" s="10" t="s">
        <v>8565</v>
      </c>
      <c r="F12483" s="10" t="s">
        <v>1420</v>
      </c>
      <c r="G12483" s="10" t="s">
        <v>6317</v>
      </c>
      <c r="H12483" s="11">
        <v>41821</v>
      </c>
      <c r="I12483" s="10">
        <v>2014</v>
      </c>
      <c r="J12483" s="10" t="s">
        <v>52793</v>
      </c>
      <c r="K12483" s="10">
        <v>1168</v>
      </c>
      <c r="L12483" s="10" t="s">
        <v>52863</v>
      </c>
      <c r="M12483" s="10">
        <v>1</v>
      </c>
      <c r="N12483" s="10" t="s">
        <v>52864</v>
      </c>
      <c r="O12483" s="10">
        <v>12</v>
      </c>
      <c r="P12483" s="10"/>
      <c r="Q12483" s="10"/>
      <c r="R12483" s="10"/>
      <c r="S12483" s="10" t="s">
        <v>1519</v>
      </c>
      <c r="T12483" s="10" t="s">
        <v>54</v>
      </c>
    </row>
    <row r="12484" spans="1:20" ht="14.5" x14ac:dyDescent="0.35">
      <c r="A12484" s="10" t="s">
        <v>52865</v>
      </c>
      <c r="B12484" s="10" t="str">
        <f>"9783506772534"</f>
        <v>9783506772534</v>
      </c>
      <c r="C12484" s="10" t="str">
        <f>"9783657772537"</f>
        <v>9783657772537</v>
      </c>
      <c r="D12484" s="10" t="s">
        <v>8564</v>
      </c>
      <c r="E12484" s="10" t="s">
        <v>8565</v>
      </c>
      <c r="F12484" s="10" t="s">
        <v>1420</v>
      </c>
      <c r="G12484" s="10" t="s">
        <v>6317</v>
      </c>
      <c r="H12484" s="11">
        <v>41821</v>
      </c>
      <c r="I12484" s="10">
        <v>2014</v>
      </c>
      <c r="J12484" s="10" t="s">
        <v>52793</v>
      </c>
      <c r="K12484" s="10">
        <v>141</v>
      </c>
      <c r="L12484" s="10" t="s">
        <v>52866</v>
      </c>
      <c r="M12484" s="10">
        <v>1</v>
      </c>
      <c r="N12484" s="10" t="s">
        <v>52867</v>
      </c>
      <c r="O12484" s="10">
        <v>7</v>
      </c>
      <c r="P12484" s="10"/>
      <c r="Q12484" s="10"/>
      <c r="R12484" s="10"/>
      <c r="S12484" s="10" t="s">
        <v>1519</v>
      </c>
      <c r="T12484" s="10" t="s">
        <v>54</v>
      </c>
    </row>
    <row r="12485" spans="1:20" ht="14.5" x14ac:dyDescent="0.35">
      <c r="A12485" s="10" t="s">
        <v>52868</v>
      </c>
      <c r="B12485" s="10" t="str">
        <f>"9783506780843"</f>
        <v>9783506780843</v>
      </c>
      <c r="C12485" s="10" t="str">
        <f>"9783657780846"</f>
        <v>9783657780846</v>
      </c>
      <c r="D12485" s="10" t="s">
        <v>8564</v>
      </c>
      <c r="E12485" s="10" t="s">
        <v>8565</v>
      </c>
      <c r="F12485" s="10" t="s">
        <v>1420</v>
      </c>
      <c r="G12485" s="10" t="s">
        <v>6317</v>
      </c>
      <c r="H12485" s="11">
        <v>42186</v>
      </c>
      <c r="I12485" s="10">
        <v>2015</v>
      </c>
      <c r="J12485" s="10" t="s">
        <v>52793</v>
      </c>
      <c r="K12485" s="10">
        <v>172</v>
      </c>
      <c r="L12485" s="10" t="s">
        <v>52822</v>
      </c>
      <c r="M12485" s="10">
        <v>1</v>
      </c>
      <c r="N12485" s="10" t="s">
        <v>52867</v>
      </c>
      <c r="O12485" s="10">
        <v>9</v>
      </c>
      <c r="P12485" s="10"/>
      <c r="Q12485" s="10"/>
      <c r="R12485" s="10"/>
      <c r="S12485" s="10" t="s">
        <v>1519</v>
      </c>
      <c r="T12485" s="10" t="s">
        <v>54</v>
      </c>
    </row>
    <row r="12486" spans="1:20" ht="14.5" x14ac:dyDescent="0.35">
      <c r="A12486" s="10" t="s">
        <v>52869</v>
      </c>
      <c r="B12486" s="10" t="str">
        <f>"9781421440156"</f>
        <v>9781421440156</v>
      </c>
      <c r="C12486" s="10" t="str">
        <f>"9781421440163"</f>
        <v>9781421440163</v>
      </c>
      <c r="D12486" s="10" t="s">
        <v>884</v>
      </c>
      <c r="E12486" s="10" t="s">
        <v>884</v>
      </c>
      <c r="F12486" s="10" t="s">
        <v>885</v>
      </c>
      <c r="G12486" s="10" t="s">
        <v>6317</v>
      </c>
      <c r="H12486" s="11">
        <v>44278</v>
      </c>
      <c r="I12486" s="10">
        <v>2021</v>
      </c>
      <c r="J12486" s="10" t="s">
        <v>884</v>
      </c>
      <c r="K12486" s="10">
        <v>281</v>
      </c>
      <c r="L12486" s="10" t="s">
        <v>52870</v>
      </c>
      <c r="M12486" s="10">
        <v>1</v>
      </c>
      <c r="N12486" s="10"/>
      <c r="O12486" s="10"/>
      <c r="P12486" s="10"/>
      <c r="Q12486" s="10">
        <v>378.19781999999998</v>
      </c>
      <c r="R12486" s="10"/>
      <c r="S12486" s="10" t="s">
        <v>53</v>
      </c>
      <c r="T12486" s="10" t="s">
        <v>54</v>
      </c>
    </row>
    <row r="12487" spans="1:20" ht="14.5" x14ac:dyDescent="0.35">
      <c r="A12487" s="10" t="s">
        <v>52871</v>
      </c>
      <c r="B12487" s="10" t="str">
        <f>"9781620369869"</f>
        <v>9781620369869</v>
      </c>
      <c r="C12487" s="10" t="str">
        <f>"9781000972863"</f>
        <v>9781000972863</v>
      </c>
      <c r="D12487" s="10" t="s">
        <v>6350</v>
      </c>
      <c r="E12487" s="10" t="s">
        <v>6351</v>
      </c>
      <c r="F12487" s="10" t="s">
        <v>748</v>
      </c>
      <c r="G12487" s="10" t="s">
        <v>6352</v>
      </c>
      <c r="H12487" s="11">
        <v>44239</v>
      </c>
      <c r="I12487" s="10">
        <v>2021</v>
      </c>
      <c r="J12487" s="10" t="s">
        <v>6351</v>
      </c>
      <c r="K12487" s="10">
        <v>337</v>
      </c>
      <c r="L12487" s="10" t="s">
        <v>52872</v>
      </c>
      <c r="M12487" s="10">
        <v>1</v>
      </c>
      <c r="N12487" s="10"/>
      <c r="O12487" s="10"/>
      <c r="P12487" s="10"/>
      <c r="Q12487" s="10">
        <v>371.33446780000003</v>
      </c>
      <c r="R12487" s="10"/>
      <c r="S12487" s="10" t="s">
        <v>53</v>
      </c>
      <c r="T12487" s="10" t="s">
        <v>54</v>
      </c>
    </row>
    <row r="12488" spans="1:20" ht="14.5" x14ac:dyDescent="0.35">
      <c r="A12488" s="10" t="s">
        <v>52873</v>
      </c>
      <c r="B12488" s="10" t="str">
        <f>"9781620369906"</f>
        <v>9781620369906</v>
      </c>
      <c r="C12488" s="10" t="str">
        <f>"9781000972467"</f>
        <v>9781000972467</v>
      </c>
      <c r="D12488" s="10" t="s">
        <v>6350</v>
      </c>
      <c r="E12488" s="10" t="s">
        <v>6351</v>
      </c>
      <c r="F12488" s="10" t="s">
        <v>748</v>
      </c>
      <c r="G12488" s="10" t="s">
        <v>6352</v>
      </c>
      <c r="H12488" s="11">
        <v>44256</v>
      </c>
      <c r="I12488" s="10">
        <v>2021</v>
      </c>
      <c r="J12488" s="10" t="s">
        <v>6351</v>
      </c>
      <c r="K12488" s="10">
        <v>260</v>
      </c>
      <c r="L12488" s="10" t="s">
        <v>52874</v>
      </c>
      <c r="M12488" s="10">
        <v>1</v>
      </c>
      <c r="N12488" s="10"/>
      <c r="O12488" s="10"/>
      <c r="P12488" s="10"/>
      <c r="Q12488" s="10">
        <v>378.73</v>
      </c>
      <c r="R12488" s="10"/>
      <c r="S12488" s="10" t="s">
        <v>53</v>
      </c>
      <c r="T12488" s="10" t="s">
        <v>54</v>
      </c>
    </row>
    <row r="12489" spans="1:20" ht="14.5" x14ac:dyDescent="0.35">
      <c r="A12489" s="10" t="s">
        <v>52875</v>
      </c>
      <c r="B12489" s="10" t="str">
        <f>"9781642671681"</f>
        <v>9781642671681</v>
      </c>
      <c r="C12489" s="10" t="str">
        <f>"9781000972733"</f>
        <v>9781000972733</v>
      </c>
      <c r="D12489" s="10" t="s">
        <v>6350</v>
      </c>
      <c r="E12489" s="10" t="s">
        <v>6351</v>
      </c>
      <c r="F12489" s="10" t="s">
        <v>41227</v>
      </c>
      <c r="G12489" s="10" t="s">
        <v>6317</v>
      </c>
      <c r="H12489" s="11">
        <v>44285</v>
      </c>
      <c r="I12489" s="10">
        <v>2021</v>
      </c>
      <c r="J12489" s="10" t="s">
        <v>6353</v>
      </c>
      <c r="K12489" s="10">
        <v>176</v>
      </c>
      <c r="L12489" s="10" t="s">
        <v>41400</v>
      </c>
      <c r="M12489" s="10">
        <v>1</v>
      </c>
      <c r="N12489" s="10"/>
      <c r="O12489" s="10"/>
      <c r="P12489" s="10" t="s">
        <v>52876</v>
      </c>
      <c r="Q12489" s="10">
        <v>370.15199999999999</v>
      </c>
      <c r="R12489" s="10" t="s">
        <v>52877</v>
      </c>
      <c r="S12489" s="10" t="s">
        <v>53</v>
      </c>
      <c r="T12489" s="10" t="s">
        <v>54</v>
      </c>
    </row>
    <row r="12490" spans="1:20" ht="14.5" x14ac:dyDescent="0.35">
      <c r="A12490" s="10" t="s">
        <v>52878</v>
      </c>
      <c r="B12490" s="10" t="str">
        <f>"9781620369463"</f>
        <v>9781620369463</v>
      </c>
      <c r="C12490" s="10" t="str">
        <f>"9781000973433"</f>
        <v>9781000973433</v>
      </c>
      <c r="D12490" s="10" t="s">
        <v>6350</v>
      </c>
      <c r="E12490" s="10" t="s">
        <v>6351</v>
      </c>
      <c r="F12490" s="10" t="s">
        <v>748</v>
      </c>
      <c r="G12490" s="10" t="s">
        <v>6352</v>
      </c>
      <c r="H12490" s="11">
        <v>44256</v>
      </c>
      <c r="I12490" s="10">
        <v>2021</v>
      </c>
      <c r="J12490" s="10" t="s">
        <v>6351</v>
      </c>
      <c r="K12490" s="10">
        <v>354</v>
      </c>
      <c r="L12490" s="10" t="s">
        <v>52879</v>
      </c>
      <c r="M12490" s="10">
        <v>1</v>
      </c>
      <c r="N12490" s="10"/>
      <c r="O12490" s="10"/>
      <c r="P12490" s="10" t="s">
        <v>52880</v>
      </c>
      <c r="Q12490" s="10">
        <v>378.16914000000003</v>
      </c>
      <c r="R12490" s="10" t="s">
        <v>52881</v>
      </c>
      <c r="S12490" s="10" t="s">
        <v>53</v>
      </c>
      <c r="T12490" s="10" t="s">
        <v>54</v>
      </c>
    </row>
    <row r="12491" spans="1:20" ht="14.5" x14ac:dyDescent="0.35">
      <c r="A12491" s="10" t="s">
        <v>52882</v>
      </c>
      <c r="B12491" s="10" t="str">
        <f>"9781642671001"</f>
        <v>9781642671001</v>
      </c>
      <c r="C12491" s="10" t="str">
        <f>"9781000973211"</f>
        <v>9781000973211</v>
      </c>
      <c r="D12491" s="10" t="s">
        <v>6350</v>
      </c>
      <c r="E12491" s="10" t="s">
        <v>6351</v>
      </c>
      <c r="F12491" s="10" t="s">
        <v>748</v>
      </c>
      <c r="G12491" s="10" t="s">
        <v>6352</v>
      </c>
      <c r="H12491" s="11">
        <v>44285</v>
      </c>
      <c r="I12491" s="10">
        <v>2021</v>
      </c>
      <c r="J12491" s="10" t="s">
        <v>6351</v>
      </c>
      <c r="K12491" s="10">
        <v>246</v>
      </c>
      <c r="L12491" s="10" t="s">
        <v>52883</v>
      </c>
      <c r="M12491" s="10">
        <v>1</v>
      </c>
      <c r="N12491" s="10"/>
      <c r="O12491" s="10"/>
      <c r="P12491" s="10" t="s">
        <v>52884</v>
      </c>
      <c r="Q12491" s="10">
        <v>378.12509729999999</v>
      </c>
      <c r="R12491" s="10" t="s">
        <v>52885</v>
      </c>
      <c r="S12491" s="10" t="s">
        <v>53</v>
      </c>
      <c r="T12491" s="10" t="s">
        <v>54</v>
      </c>
    </row>
    <row r="12492" spans="1:20" ht="14.5" x14ac:dyDescent="0.35">
      <c r="A12492" s="10" t="s">
        <v>52886</v>
      </c>
      <c r="B12492" s="10" t="str">
        <f>""</f>
        <v/>
      </c>
      <c r="C12492" s="10" t="str">
        <f>"9788491482017"</f>
        <v>9788491482017</v>
      </c>
      <c r="D12492" s="10" t="s">
        <v>52671</v>
      </c>
      <c r="E12492" s="10" t="s">
        <v>52671</v>
      </c>
      <c r="F12492" s="10" t="s">
        <v>1681</v>
      </c>
      <c r="G12492" s="10" t="s">
        <v>52672</v>
      </c>
      <c r="H12492" s="11">
        <v>42837</v>
      </c>
      <c r="I12492" s="10">
        <v>2017</v>
      </c>
      <c r="J12492" s="10" t="s">
        <v>52671</v>
      </c>
      <c r="K12492" s="10">
        <v>501</v>
      </c>
      <c r="L12492" s="10" t="s">
        <v>52887</v>
      </c>
      <c r="M12492" s="10">
        <v>1</v>
      </c>
      <c r="N12492" s="10"/>
      <c r="O12492" s="10"/>
      <c r="P12492" s="10" t="s">
        <v>8561</v>
      </c>
      <c r="Q12492" s="10"/>
      <c r="R12492" s="10" t="s">
        <v>52888</v>
      </c>
      <c r="S12492" s="10" t="s">
        <v>119</v>
      </c>
      <c r="T12492" s="10" t="s">
        <v>54</v>
      </c>
    </row>
    <row r="12493" spans="1:20" ht="14.5" x14ac:dyDescent="0.35">
      <c r="A12493" s="10" t="s">
        <v>52889</v>
      </c>
      <c r="B12493" s="10" t="str">
        <f>"9788491483847"</f>
        <v>9788491483847</v>
      </c>
      <c r="C12493" s="10" t="str">
        <f>"9788491484059"</f>
        <v>9788491484059</v>
      </c>
      <c r="D12493" s="10" t="s">
        <v>52671</v>
      </c>
      <c r="E12493" s="10" t="s">
        <v>52671</v>
      </c>
      <c r="F12493" s="10" t="s">
        <v>1681</v>
      </c>
      <c r="G12493" s="10" t="s">
        <v>52672</v>
      </c>
      <c r="H12493" s="11">
        <v>43014</v>
      </c>
      <c r="I12493" s="10">
        <v>2017</v>
      </c>
      <c r="J12493" s="10" t="s">
        <v>52671</v>
      </c>
      <c r="K12493" s="10">
        <v>158</v>
      </c>
      <c r="L12493" s="10" t="s">
        <v>52890</v>
      </c>
      <c r="M12493" s="10">
        <v>1</v>
      </c>
      <c r="N12493" s="10"/>
      <c r="O12493" s="10"/>
      <c r="P12493" s="10" t="s">
        <v>8561</v>
      </c>
      <c r="Q12493" s="10"/>
      <c r="R12493" s="10" t="s">
        <v>52891</v>
      </c>
      <c r="S12493" s="10" t="s">
        <v>119</v>
      </c>
      <c r="T12493" s="10" t="s">
        <v>54</v>
      </c>
    </row>
    <row r="12494" spans="1:20" ht="14.5" x14ac:dyDescent="0.35">
      <c r="A12494" s="10" t="s">
        <v>52892</v>
      </c>
      <c r="B12494" s="10" t="str">
        <f>"9788491482024"</f>
        <v>9788491482024</v>
      </c>
      <c r="C12494" s="10" t="str">
        <f>"9788491482390"</f>
        <v>9788491482390</v>
      </c>
      <c r="D12494" s="10" t="s">
        <v>52671</v>
      </c>
      <c r="E12494" s="10" t="s">
        <v>52671</v>
      </c>
      <c r="F12494" s="10" t="s">
        <v>1681</v>
      </c>
      <c r="G12494" s="10" t="s">
        <v>52672</v>
      </c>
      <c r="H12494" s="11">
        <v>42880</v>
      </c>
      <c r="I12494" s="10">
        <v>2017</v>
      </c>
      <c r="J12494" s="10" t="s">
        <v>52671</v>
      </c>
      <c r="K12494" s="10">
        <v>342</v>
      </c>
      <c r="L12494" s="10" t="s">
        <v>52893</v>
      </c>
      <c r="M12494" s="10">
        <v>1</v>
      </c>
      <c r="N12494" s="10"/>
      <c r="O12494" s="10"/>
      <c r="P12494" s="10" t="s">
        <v>52894</v>
      </c>
      <c r="Q12494" s="10">
        <v>370.1</v>
      </c>
      <c r="R12494" s="10" t="s">
        <v>48067</v>
      </c>
      <c r="S12494" s="10" t="s">
        <v>119</v>
      </c>
      <c r="T12494" s="10" t="s">
        <v>54</v>
      </c>
    </row>
    <row r="12495" spans="1:20" ht="14.5" x14ac:dyDescent="0.35">
      <c r="A12495" s="10" t="s">
        <v>52895</v>
      </c>
      <c r="B12495" s="10" t="str">
        <f>"9788490858875"</f>
        <v>9788490858875</v>
      </c>
      <c r="C12495" s="10" t="str">
        <f>"9788490859360"</f>
        <v>9788490859360</v>
      </c>
      <c r="D12495" s="10" t="s">
        <v>52671</v>
      </c>
      <c r="E12495" s="10" t="s">
        <v>52671</v>
      </c>
      <c r="F12495" s="10" t="s">
        <v>1681</v>
      </c>
      <c r="G12495" s="10" t="s">
        <v>52672</v>
      </c>
      <c r="H12495" s="11">
        <v>42619</v>
      </c>
      <c r="I12495" s="10">
        <v>2016</v>
      </c>
      <c r="J12495" s="10" t="s">
        <v>52671</v>
      </c>
      <c r="K12495" s="10">
        <v>222</v>
      </c>
      <c r="L12495" s="10" t="s">
        <v>52896</v>
      </c>
      <c r="M12495" s="10">
        <v>1</v>
      </c>
      <c r="N12495" s="10"/>
      <c r="O12495" s="10"/>
      <c r="P12495" s="10" t="s">
        <v>8561</v>
      </c>
      <c r="Q12495" s="10"/>
      <c r="R12495" s="10" t="s">
        <v>7957</v>
      </c>
      <c r="S12495" s="10" t="s">
        <v>119</v>
      </c>
      <c r="T12495" s="10" t="s">
        <v>54</v>
      </c>
    </row>
    <row r="12496" spans="1:20" ht="14.5" x14ac:dyDescent="0.35">
      <c r="A12496" s="10" t="s">
        <v>52897</v>
      </c>
      <c r="B12496" s="10" t="str">
        <f>"9788490858714"</f>
        <v>9788490858714</v>
      </c>
      <c r="C12496" s="10" t="str">
        <f>"9788490858950"</f>
        <v>9788490858950</v>
      </c>
      <c r="D12496" s="10" t="s">
        <v>52671</v>
      </c>
      <c r="E12496" s="10" t="s">
        <v>52671</v>
      </c>
      <c r="F12496" s="10" t="s">
        <v>1681</v>
      </c>
      <c r="G12496" s="10" t="s">
        <v>52672</v>
      </c>
      <c r="H12496" s="11">
        <v>42569</v>
      </c>
      <c r="I12496" s="10">
        <v>2016</v>
      </c>
      <c r="J12496" s="10" t="s">
        <v>52671</v>
      </c>
      <c r="K12496" s="10">
        <v>252</v>
      </c>
      <c r="L12496" s="10" t="s">
        <v>52898</v>
      </c>
      <c r="M12496" s="10">
        <v>1</v>
      </c>
      <c r="N12496" s="10"/>
      <c r="O12496" s="10"/>
      <c r="P12496" s="10" t="s">
        <v>8561</v>
      </c>
      <c r="Q12496" s="10"/>
      <c r="R12496" s="10" t="s">
        <v>52899</v>
      </c>
      <c r="S12496" s="10" t="s">
        <v>119</v>
      </c>
      <c r="T12496" s="10" t="s">
        <v>54</v>
      </c>
    </row>
    <row r="12497" spans="1:20" ht="14.5" x14ac:dyDescent="0.35">
      <c r="A12497" s="10" t="s">
        <v>52900</v>
      </c>
      <c r="B12497" s="10" t="str">
        <f>"9788491481508"</f>
        <v>9788491481508</v>
      </c>
      <c r="C12497" s="10" t="str">
        <f>"9788491482345"</f>
        <v>9788491482345</v>
      </c>
      <c r="D12497" s="10" t="s">
        <v>52671</v>
      </c>
      <c r="E12497" s="10" t="s">
        <v>52671</v>
      </c>
      <c r="F12497" s="10" t="s">
        <v>1681</v>
      </c>
      <c r="G12497" s="10" t="s">
        <v>52672</v>
      </c>
      <c r="H12497" s="11">
        <v>42917</v>
      </c>
      <c r="I12497" s="10">
        <v>2017</v>
      </c>
      <c r="J12497" s="10" t="s">
        <v>52671</v>
      </c>
      <c r="K12497" s="10">
        <v>354</v>
      </c>
      <c r="L12497" s="10" t="s">
        <v>52901</v>
      </c>
      <c r="M12497" s="10">
        <v>1</v>
      </c>
      <c r="N12497" s="10"/>
      <c r="O12497" s="10"/>
      <c r="P12497" s="10"/>
      <c r="Q12497" s="10"/>
      <c r="R12497" s="10" t="s">
        <v>52902</v>
      </c>
      <c r="S12497" s="10" t="s">
        <v>119</v>
      </c>
      <c r="T12497" s="10" t="s">
        <v>54</v>
      </c>
    </row>
    <row r="12498" spans="1:20" ht="14.5" x14ac:dyDescent="0.35">
      <c r="A12498" s="10" t="s">
        <v>52903</v>
      </c>
      <c r="B12498" s="10" t="str">
        <f>"9788491484295"</f>
        <v>9788491484295</v>
      </c>
      <c r="C12498" s="10" t="str">
        <f>"9788491484417"</f>
        <v>9788491484417</v>
      </c>
      <c r="D12498" s="10" t="s">
        <v>52671</v>
      </c>
      <c r="E12498" s="10" t="s">
        <v>52671</v>
      </c>
      <c r="F12498" s="10" t="s">
        <v>1681</v>
      </c>
      <c r="G12498" s="10" t="s">
        <v>52672</v>
      </c>
      <c r="H12498" s="11">
        <v>42917</v>
      </c>
      <c r="I12498" s="10">
        <v>2017</v>
      </c>
      <c r="J12498" s="10" t="s">
        <v>52671</v>
      </c>
      <c r="K12498" s="10">
        <v>282</v>
      </c>
      <c r="L12498" s="10" t="s">
        <v>52904</v>
      </c>
      <c r="M12498" s="10">
        <v>1</v>
      </c>
      <c r="N12498" s="10"/>
      <c r="O12498" s="10"/>
      <c r="P12498" s="10" t="s">
        <v>8561</v>
      </c>
      <c r="Q12498" s="10"/>
      <c r="R12498" s="10" t="s">
        <v>48352</v>
      </c>
      <c r="S12498" s="10" t="s">
        <v>119</v>
      </c>
      <c r="T12498" s="10" t="s">
        <v>54</v>
      </c>
    </row>
    <row r="12499" spans="1:20" ht="14.5" x14ac:dyDescent="0.35">
      <c r="A12499" s="10" t="s">
        <v>52905</v>
      </c>
      <c r="B12499" s="10" t="str">
        <f>"9788490858929"</f>
        <v>9788490858929</v>
      </c>
      <c r="C12499" s="10" t="str">
        <f>"9788490859391"</f>
        <v>9788490859391</v>
      </c>
      <c r="D12499" s="10" t="s">
        <v>52671</v>
      </c>
      <c r="E12499" s="10" t="s">
        <v>52671</v>
      </c>
      <c r="F12499" s="10" t="s">
        <v>1681</v>
      </c>
      <c r="G12499" s="10" t="s">
        <v>52672</v>
      </c>
      <c r="H12499" s="11">
        <v>42619</v>
      </c>
      <c r="I12499" s="10">
        <v>2016</v>
      </c>
      <c r="J12499" s="10" t="s">
        <v>52671</v>
      </c>
      <c r="K12499" s="10">
        <v>302</v>
      </c>
      <c r="L12499" s="10" t="s">
        <v>52906</v>
      </c>
      <c r="M12499" s="10">
        <v>1</v>
      </c>
      <c r="N12499" s="10"/>
      <c r="O12499" s="10"/>
      <c r="P12499" s="10" t="s">
        <v>52907</v>
      </c>
      <c r="Q12499" s="10"/>
      <c r="R12499" s="10" t="s">
        <v>52908</v>
      </c>
      <c r="S12499" s="10" t="s">
        <v>119</v>
      </c>
      <c r="T12499" s="10" t="s">
        <v>54</v>
      </c>
    </row>
    <row r="12500" spans="1:20" ht="14.5" x14ac:dyDescent="0.35">
      <c r="A12500" s="10" t="s">
        <v>52909</v>
      </c>
      <c r="B12500" s="10" t="str">
        <f>"9781975502874"</f>
        <v>9781975502874</v>
      </c>
      <c r="C12500" s="10" t="str">
        <f>"9781975502898"</f>
        <v>9781975502898</v>
      </c>
      <c r="D12500" s="10" t="s">
        <v>44271</v>
      </c>
      <c r="E12500" s="10" t="s">
        <v>47266</v>
      </c>
      <c r="F12500" s="10" t="s">
        <v>41227</v>
      </c>
      <c r="G12500" s="10" t="s">
        <v>6317</v>
      </c>
      <c r="H12500" s="11">
        <v>44279</v>
      </c>
      <c r="I12500" s="10">
        <v>2021</v>
      </c>
      <c r="J12500" s="10" t="s">
        <v>47266</v>
      </c>
      <c r="K12500" s="10">
        <v>471</v>
      </c>
      <c r="L12500" s="10" t="s">
        <v>52910</v>
      </c>
      <c r="M12500" s="10">
        <v>1</v>
      </c>
      <c r="N12500" s="10"/>
      <c r="O12500" s="10"/>
      <c r="P12500" s="10"/>
      <c r="Q12500" s="10">
        <v>371.2</v>
      </c>
      <c r="R12500" s="10"/>
      <c r="S12500" s="10" t="s">
        <v>53</v>
      </c>
      <c r="T12500" s="10" t="s">
        <v>54</v>
      </c>
    </row>
    <row r="12501" spans="1:20" ht="14.5" x14ac:dyDescent="0.35">
      <c r="A12501" s="10" t="s">
        <v>52911</v>
      </c>
      <c r="B12501" s="10" t="str">
        <f>"9781416629979"</f>
        <v>9781416629979</v>
      </c>
      <c r="C12501" s="10" t="str">
        <f>"9781416629993"</f>
        <v>9781416629993</v>
      </c>
      <c r="D12501" s="10" t="s">
        <v>10014</v>
      </c>
      <c r="E12501" s="10" t="s">
        <v>10015</v>
      </c>
      <c r="F12501" s="10" t="s">
        <v>201</v>
      </c>
      <c r="G12501" s="10" t="s">
        <v>6317</v>
      </c>
      <c r="H12501" s="11">
        <v>44279</v>
      </c>
      <c r="I12501" s="10">
        <v>2021</v>
      </c>
      <c r="J12501" s="10" t="s">
        <v>10015</v>
      </c>
      <c r="K12501" s="10">
        <v>176</v>
      </c>
      <c r="L12501" s="10" t="s">
        <v>40399</v>
      </c>
      <c r="M12501" s="10">
        <v>1</v>
      </c>
      <c r="N12501" s="10"/>
      <c r="O12501" s="10"/>
      <c r="P12501" s="10" t="s">
        <v>52912</v>
      </c>
      <c r="Q12501" s="10">
        <v>370.15</v>
      </c>
      <c r="R12501" s="10" t="s">
        <v>52913</v>
      </c>
      <c r="S12501" s="10" t="s">
        <v>53</v>
      </c>
      <c r="T12501" s="10" t="s">
        <v>54</v>
      </c>
    </row>
    <row r="12502" spans="1:20" ht="14.5" x14ac:dyDescent="0.35">
      <c r="A12502" s="10" t="s">
        <v>52914</v>
      </c>
      <c r="B12502" s="10" t="str">
        <f>"9780813946481"</f>
        <v>9780813946481</v>
      </c>
      <c r="C12502" s="10" t="str">
        <f>"9780813946498"</f>
        <v>9780813946498</v>
      </c>
      <c r="D12502" s="10" t="s">
        <v>9533</v>
      </c>
      <c r="E12502" s="10" t="s">
        <v>39170</v>
      </c>
      <c r="F12502" s="10" t="s">
        <v>3798</v>
      </c>
      <c r="G12502" s="10" t="s">
        <v>6317</v>
      </c>
      <c r="H12502" s="11">
        <v>44467</v>
      </c>
      <c r="I12502" s="10">
        <v>2021</v>
      </c>
      <c r="J12502" s="10" t="s">
        <v>39170</v>
      </c>
      <c r="K12502" s="10">
        <v>369</v>
      </c>
      <c r="L12502" s="10" t="s">
        <v>52915</v>
      </c>
      <c r="M12502" s="10">
        <v>1</v>
      </c>
      <c r="N12502" s="10"/>
      <c r="O12502" s="10"/>
      <c r="P12502" s="10" t="s">
        <v>52916</v>
      </c>
      <c r="Q12502" s="10">
        <v>378.75548199999997</v>
      </c>
      <c r="R12502" s="10" t="s">
        <v>52917</v>
      </c>
      <c r="S12502" s="10" t="s">
        <v>53</v>
      </c>
      <c r="T12502" s="10" t="s">
        <v>16298</v>
      </c>
    </row>
    <row r="12503" spans="1:20" ht="14.5" x14ac:dyDescent="0.35">
      <c r="A12503" s="10" t="s">
        <v>52918</v>
      </c>
      <c r="B12503" s="10" t="str">
        <f>"9781913453732"</f>
        <v>9781913453732</v>
      </c>
      <c r="C12503" s="10" t="str">
        <f>"9781913453763"</f>
        <v>9781913453763</v>
      </c>
      <c r="D12503" s="10" t="s">
        <v>9533</v>
      </c>
      <c r="E12503" s="10" t="s">
        <v>26840</v>
      </c>
      <c r="F12503" s="10" t="s">
        <v>44053</v>
      </c>
      <c r="G12503" s="10" t="s">
        <v>6352</v>
      </c>
      <c r="H12503" s="11">
        <v>44295</v>
      </c>
      <c r="I12503" s="10">
        <v>2021</v>
      </c>
      <c r="J12503" s="10" t="s">
        <v>26840</v>
      </c>
      <c r="K12503" s="10">
        <v>150</v>
      </c>
      <c r="L12503" s="10" t="s">
        <v>51227</v>
      </c>
      <c r="M12503" s="10">
        <v>1</v>
      </c>
      <c r="N12503" s="10" t="s">
        <v>49096</v>
      </c>
      <c r="O12503" s="10"/>
      <c r="P12503" s="10" t="s">
        <v>52919</v>
      </c>
      <c r="Q12503" s="10">
        <v>371.10019</v>
      </c>
      <c r="R12503" s="10" t="s">
        <v>52920</v>
      </c>
      <c r="S12503" s="10" t="s">
        <v>53</v>
      </c>
      <c r="T12503" s="10" t="s">
        <v>54</v>
      </c>
    </row>
    <row r="12504" spans="1:20" ht="14.5" x14ac:dyDescent="0.35">
      <c r="A12504" s="10" t="s">
        <v>52921</v>
      </c>
      <c r="B12504" s="10" t="str">
        <f>"9781416629900"</f>
        <v>9781416629900</v>
      </c>
      <c r="C12504" s="10" t="str">
        <f>"9781416629917"</f>
        <v>9781416629917</v>
      </c>
      <c r="D12504" s="10" t="s">
        <v>10014</v>
      </c>
      <c r="E12504" s="10" t="s">
        <v>10015</v>
      </c>
      <c r="F12504" s="10" t="s">
        <v>201</v>
      </c>
      <c r="G12504" s="10" t="s">
        <v>6317</v>
      </c>
      <c r="H12504" s="11">
        <v>44280</v>
      </c>
      <c r="I12504" s="10">
        <v>2021</v>
      </c>
      <c r="J12504" s="10" t="s">
        <v>10015</v>
      </c>
      <c r="K12504" s="10">
        <v>149</v>
      </c>
      <c r="L12504" s="10" t="s">
        <v>52922</v>
      </c>
      <c r="M12504" s="10">
        <v>1</v>
      </c>
      <c r="N12504" s="10"/>
      <c r="O12504" s="10"/>
      <c r="P12504" s="10" t="s">
        <v>52923</v>
      </c>
      <c r="Q12504" s="10" t="s">
        <v>7299</v>
      </c>
      <c r="R12504" s="10" t="s">
        <v>52924</v>
      </c>
      <c r="S12504" s="10" t="s">
        <v>53</v>
      </c>
      <c r="T12504" s="10" t="s">
        <v>54</v>
      </c>
    </row>
    <row r="12505" spans="1:20" ht="14.5" x14ac:dyDescent="0.35">
      <c r="A12505" s="10" t="s">
        <v>52925</v>
      </c>
      <c r="B12505" s="10" t="str">
        <f>"9781951075736"</f>
        <v>9781951075736</v>
      </c>
      <c r="C12505" s="10" t="str">
        <f>"9781951075743"</f>
        <v>9781951075743</v>
      </c>
      <c r="D12505" s="10" t="s">
        <v>37580</v>
      </c>
      <c r="E12505" s="10" t="s">
        <v>37581</v>
      </c>
      <c r="F12505" s="10" t="s">
        <v>37623</v>
      </c>
      <c r="G12505" s="10" t="s">
        <v>6317</v>
      </c>
      <c r="H12505" s="11">
        <v>44309</v>
      </c>
      <c r="I12505" s="10">
        <v>2021</v>
      </c>
      <c r="J12505" s="10" t="s">
        <v>37581</v>
      </c>
      <c r="K12505" s="10">
        <v>280</v>
      </c>
      <c r="L12505" s="10" t="s">
        <v>52926</v>
      </c>
      <c r="M12505" s="10">
        <v>1</v>
      </c>
      <c r="N12505" s="10"/>
      <c r="O12505" s="10"/>
      <c r="P12505" s="10"/>
      <c r="Q12505" s="10"/>
      <c r="R12505" s="10"/>
      <c r="S12505" s="10" t="s">
        <v>53</v>
      </c>
      <c r="T12505" s="10" t="s">
        <v>54</v>
      </c>
    </row>
    <row r="12506" spans="1:20" ht="14.5" x14ac:dyDescent="0.35">
      <c r="A12506" s="10" t="s">
        <v>52927</v>
      </c>
      <c r="B12506" s="10" t="str">
        <f>"9789004459656"</f>
        <v>9789004459656</v>
      </c>
      <c r="C12506" s="10" t="str">
        <f>"9789004459663"</f>
        <v>9789004459663</v>
      </c>
      <c r="D12506" s="10" t="s">
        <v>8564</v>
      </c>
      <c r="E12506" s="10" t="s">
        <v>8565</v>
      </c>
      <c r="F12506" s="10" t="s">
        <v>1420</v>
      </c>
      <c r="G12506" s="10" t="s">
        <v>6317</v>
      </c>
      <c r="H12506" s="11">
        <v>44294</v>
      </c>
      <c r="I12506" s="10">
        <v>2021</v>
      </c>
      <c r="J12506" s="10" t="s">
        <v>33259</v>
      </c>
      <c r="K12506" s="10">
        <v>274</v>
      </c>
      <c r="L12506" s="10" t="s">
        <v>52928</v>
      </c>
      <c r="M12506" s="10">
        <v>1</v>
      </c>
      <c r="N12506" s="10" t="s">
        <v>52929</v>
      </c>
      <c r="O12506" s="10">
        <v>4</v>
      </c>
      <c r="P12506" s="10"/>
      <c r="Q12506" s="10"/>
      <c r="R12506" s="10"/>
      <c r="S12506" s="10" t="s">
        <v>53</v>
      </c>
      <c r="T12506" s="10" t="s">
        <v>54</v>
      </c>
    </row>
    <row r="12507" spans="1:20" ht="14.5" x14ac:dyDescent="0.35">
      <c r="A12507" s="10" t="s">
        <v>52930</v>
      </c>
      <c r="B12507" s="10" t="str">
        <f>"9789004432536"</f>
        <v>9789004432536</v>
      </c>
      <c r="C12507" s="10" t="str">
        <f>"9789004447226"</f>
        <v>9789004447226</v>
      </c>
      <c r="D12507" s="10" t="s">
        <v>8564</v>
      </c>
      <c r="E12507" s="10" t="s">
        <v>8565</v>
      </c>
      <c r="F12507" s="10" t="s">
        <v>1420</v>
      </c>
      <c r="G12507" s="10" t="s">
        <v>6317</v>
      </c>
      <c r="H12507" s="11">
        <v>44287</v>
      </c>
      <c r="I12507" s="10">
        <v>2021</v>
      </c>
      <c r="J12507" s="10" t="s">
        <v>33259</v>
      </c>
      <c r="K12507" s="10">
        <v>311</v>
      </c>
      <c r="L12507" s="10" t="s">
        <v>52931</v>
      </c>
      <c r="M12507" s="10">
        <v>1</v>
      </c>
      <c r="N12507" s="10" t="s">
        <v>33307</v>
      </c>
      <c r="O12507" s="10">
        <v>49</v>
      </c>
      <c r="P12507" s="10"/>
      <c r="Q12507" s="10"/>
      <c r="R12507" s="10"/>
      <c r="S12507" s="10" t="s">
        <v>53</v>
      </c>
      <c r="T12507" s="10" t="s">
        <v>54</v>
      </c>
    </row>
    <row r="12508" spans="1:20" ht="14.5" x14ac:dyDescent="0.35">
      <c r="A12508" s="10" t="s">
        <v>52932</v>
      </c>
      <c r="B12508" s="10" t="str">
        <f>"9781952271038"</f>
        <v>9781952271038</v>
      </c>
      <c r="C12508" s="10" t="str">
        <f>"9781952271052"</f>
        <v>9781952271052</v>
      </c>
      <c r="D12508" s="10" t="s">
        <v>38760</v>
      </c>
      <c r="E12508" s="10" t="s">
        <v>38760</v>
      </c>
      <c r="F12508" s="10" t="s">
        <v>5426</v>
      </c>
      <c r="G12508" s="10" t="s">
        <v>6317</v>
      </c>
      <c r="H12508" s="11">
        <v>44348</v>
      </c>
      <c r="I12508" s="10">
        <v>2021</v>
      </c>
      <c r="J12508" s="10" t="s">
        <v>38760</v>
      </c>
      <c r="K12508" s="10">
        <v>352</v>
      </c>
      <c r="L12508" s="10" t="s">
        <v>52933</v>
      </c>
      <c r="M12508" s="10">
        <v>1</v>
      </c>
      <c r="N12508" s="10" t="s">
        <v>43013</v>
      </c>
      <c r="O12508" s="10"/>
      <c r="P12508" s="10" t="s">
        <v>19524</v>
      </c>
      <c r="Q12508" s="10">
        <v>371.334</v>
      </c>
      <c r="R12508" s="10"/>
      <c r="S12508" s="10" t="s">
        <v>53</v>
      </c>
      <c r="T12508" s="10" t="s">
        <v>54</v>
      </c>
    </row>
    <row r="12509" spans="1:20" ht="14.5" x14ac:dyDescent="0.35">
      <c r="A12509" s="10" t="s">
        <v>52934</v>
      </c>
      <c r="B12509" s="10" t="str">
        <f>"9781416629887"</f>
        <v>9781416629887</v>
      </c>
      <c r="C12509" s="10" t="str">
        <f>"9781416630432"</f>
        <v>9781416630432</v>
      </c>
      <c r="D12509" s="10" t="s">
        <v>10014</v>
      </c>
      <c r="E12509" s="10" t="s">
        <v>10015</v>
      </c>
      <c r="F12509" s="10" t="s">
        <v>201</v>
      </c>
      <c r="G12509" s="10" t="s">
        <v>6317</v>
      </c>
      <c r="H12509" s="11">
        <v>44316</v>
      </c>
      <c r="I12509" s="10">
        <v>2021</v>
      </c>
      <c r="J12509" s="10" t="s">
        <v>10015</v>
      </c>
      <c r="K12509" s="10">
        <v>143</v>
      </c>
      <c r="L12509" s="10" t="s">
        <v>52935</v>
      </c>
      <c r="M12509" s="10">
        <v>1</v>
      </c>
      <c r="N12509" s="10"/>
      <c r="O12509" s="10"/>
      <c r="P12509" s="10"/>
      <c r="Q12509" s="10"/>
      <c r="R12509" s="10"/>
      <c r="S12509" s="10" t="s">
        <v>53</v>
      </c>
      <c r="T12509" s="10" t="s">
        <v>54</v>
      </c>
    </row>
    <row r="12510" spans="1:20" ht="14.5" x14ac:dyDescent="0.35">
      <c r="A12510" s="10" t="s">
        <v>52936</v>
      </c>
      <c r="B12510" s="10" t="str">
        <f>"9781416630012"</f>
        <v>9781416630012</v>
      </c>
      <c r="C12510" s="10" t="str">
        <f>"9781416630043"</f>
        <v>9781416630043</v>
      </c>
      <c r="D12510" s="10" t="s">
        <v>10014</v>
      </c>
      <c r="E12510" s="10" t="s">
        <v>10015</v>
      </c>
      <c r="F12510" s="10" t="s">
        <v>201</v>
      </c>
      <c r="G12510" s="10" t="s">
        <v>6317</v>
      </c>
      <c r="H12510" s="11">
        <v>44316</v>
      </c>
      <c r="I12510" s="10">
        <v>2021</v>
      </c>
      <c r="J12510" s="10" t="s">
        <v>10015</v>
      </c>
      <c r="K12510" s="10">
        <v>170</v>
      </c>
      <c r="L12510" s="10" t="s">
        <v>52937</v>
      </c>
      <c r="M12510" s="10">
        <v>1</v>
      </c>
      <c r="N12510" s="10"/>
      <c r="O12510" s="10"/>
      <c r="P12510" s="10"/>
      <c r="Q12510" s="10" t="s">
        <v>8067</v>
      </c>
      <c r="R12510" s="10"/>
      <c r="S12510" s="10" t="s">
        <v>53</v>
      </c>
      <c r="T12510" s="10" t="s">
        <v>54</v>
      </c>
    </row>
    <row r="12511" spans="1:20" ht="14.5" x14ac:dyDescent="0.35">
      <c r="A12511" s="10" t="s">
        <v>52938</v>
      </c>
      <c r="B12511" s="10" t="str">
        <f>"9781682476970"</f>
        <v>9781682476970</v>
      </c>
      <c r="C12511" s="10" t="str">
        <f>"9781682477175"</f>
        <v>9781682477175</v>
      </c>
      <c r="D12511" s="10" t="s">
        <v>9533</v>
      </c>
      <c r="E12511" s="10" t="s">
        <v>52939</v>
      </c>
      <c r="F12511" s="10" t="s">
        <v>25348</v>
      </c>
      <c r="G12511" s="10" t="s">
        <v>6317</v>
      </c>
      <c r="H12511" s="11">
        <v>44510</v>
      </c>
      <c r="I12511" s="10">
        <v>2021</v>
      </c>
      <c r="J12511" s="10" t="s">
        <v>52939</v>
      </c>
      <c r="K12511" s="10">
        <v>368</v>
      </c>
      <c r="L12511" s="10" t="s">
        <v>52940</v>
      </c>
      <c r="M12511" s="10">
        <v>1</v>
      </c>
      <c r="N12511" s="10" t="s">
        <v>52941</v>
      </c>
      <c r="O12511" s="10"/>
      <c r="P12511" s="10" t="s">
        <v>52942</v>
      </c>
      <c r="Q12511" s="10">
        <v>359.96330410000002</v>
      </c>
      <c r="R12511" s="10" t="s">
        <v>52943</v>
      </c>
      <c r="S12511" s="10" t="s">
        <v>53</v>
      </c>
      <c r="T12511" s="10" t="s">
        <v>17165</v>
      </c>
    </row>
    <row r="12512" spans="1:20" ht="14.5" x14ac:dyDescent="0.35">
      <c r="A12512" s="10" t="s">
        <v>52944</v>
      </c>
      <c r="B12512" s="10" t="str">
        <f>""</f>
        <v/>
      </c>
      <c r="C12512" s="10" t="str">
        <f>"9782806294081"</f>
        <v>9782806294081</v>
      </c>
      <c r="D12512" s="10" t="s">
        <v>29172</v>
      </c>
      <c r="E12512" s="10" t="s">
        <v>29173</v>
      </c>
      <c r="F12512" s="10" t="s">
        <v>29181</v>
      </c>
      <c r="G12512" s="10" t="s">
        <v>28737</v>
      </c>
      <c r="H12512" s="11">
        <v>42857</v>
      </c>
      <c r="I12512" s="10">
        <v>2017</v>
      </c>
      <c r="J12512" s="10" t="s">
        <v>29175</v>
      </c>
      <c r="K12512" s="10">
        <v>33</v>
      </c>
      <c r="L12512" s="10" t="s">
        <v>52945</v>
      </c>
      <c r="M12512" s="10">
        <v>1</v>
      </c>
      <c r="N12512" s="10" t="s">
        <v>29177</v>
      </c>
      <c r="O12512" s="10"/>
      <c r="P12512" s="10"/>
      <c r="Q12512" s="10"/>
      <c r="R12512" s="10" t="s">
        <v>52946</v>
      </c>
      <c r="S12512" s="10" t="s">
        <v>5404</v>
      </c>
      <c r="T12512" s="10" t="s">
        <v>29186</v>
      </c>
    </row>
    <row r="12513" spans="1:20" ht="14.5" x14ac:dyDescent="0.35">
      <c r="A12513" s="10" t="s">
        <v>52947</v>
      </c>
      <c r="B12513" s="10" t="str">
        <f>""</f>
        <v/>
      </c>
      <c r="C12513" s="10" t="str">
        <f>"9782806294173"</f>
        <v>9782806294173</v>
      </c>
      <c r="D12513" s="10" t="s">
        <v>29172</v>
      </c>
      <c r="E12513" s="10" t="s">
        <v>29173</v>
      </c>
      <c r="F12513" s="10" t="s">
        <v>29181</v>
      </c>
      <c r="G12513" s="10" t="s">
        <v>28737</v>
      </c>
      <c r="H12513" s="11">
        <v>42857</v>
      </c>
      <c r="I12513" s="10">
        <v>2017</v>
      </c>
      <c r="J12513" s="10" t="s">
        <v>29175</v>
      </c>
      <c r="K12513" s="10">
        <v>38</v>
      </c>
      <c r="L12513" s="10" t="s">
        <v>52948</v>
      </c>
      <c r="M12513" s="10">
        <v>1</v>
      </c>
      <c r="N12513" s="10" t="s">
        <v>29177</v>
      </c>
      <c r="O12513" s="10"/>
      <c r="P12513" s="10"/>
      <c r="Q12513" s="10"/>
      <c r="R12513" s="10" t="s">
        <v>52949</v>
      </c>
      <c r="S12513" s="10" t="s">
        <v>5404</v>
      </c>
      <c r="T12513" s="10" t="s">
        <v>29186</v>
      </c>
    </row>
    <row r="12514" spans="1:20" ht="14.5" x14ac:dyDescent="0.35">
      <c r="A12514" s="10" t="s">
        <v>52950</v>
      </c>
      <c r="B12514" s="10" t="str">
        <f>""</f>
        <v/>
      </c>
      <c r="C12514" s="10" t="str">
        <f>"9782806265548"</f>
        <v>9782806265548</v>
      </c>
      <c r="D12514" s="10" t="s">
        <v>29172</v>
      </c>
      <c r="E12514" s="10" t="s">
        <v>29173</v>
      </c>
      <c r="F12514" s="10" t="s">
        <v>29181</v>
      </c>
      <c r="G12514" s="10" t="s">
        <v>28737</v>
      </c>
      <c r="H12514" s="11">
        <v>42314</v>
      </c>
      <c r="I12514" s="10">
        <v>2015</v>
      </c>
      <c r="J12514" s="10" t="s">
        <v>29175</v>
      </c>
      <c r="K12514" s="10">
        <v>27</v>
      </c>
      <c r="L12514" s="10" t="s">
        <v>52951</v>
      </c>
      <c r="M12514" s="10">
        <v>1</v>
      </c>
      <c r="N12514" s="10" t="s">
        <v>29177</v>
      </c>
      <c r="O12514" s="10"/>
      <c r="P12514" s="10"/>
      <c r="Q12514" s="10"/>
      <c r="R12514" s="10" t="s">
        <v>52952</v>
      </c>
      <c r="S12514" s="10" t="s">
        <v>5404</v>
      </c>
      <c r="T12514" s="10" t="s">
        <v>6568</v>
      </c>
    </row>
    <row r="12515" spans="1:20" ht="14.5" x14ac:dyDescent="0.35">
      <c r="A12515" s="10" t="s">
        <v>52953</v>
      </c>
      <c r="B12515" s="10" t="str">
        <f>""</f>
        <v/>
      </c>
      <c r="C12515" s="10" t="str">
        <f>"9782806293961"</f>
        <v>9782806293961</v>
      </c>
      <c r="D12515" s="10" t="s">
        <v>29172</v>
      </c>
      <c r="E12515" s="10" t="s">
        <v>29173</v>
      </c>
      <c r="F12515" s="10" t="s">
        <v>29181</v>
      </c>
      <c r="G12515" s="10" t="s">
        <v>28737</v>
      </c>
      <c r="H12515" s="11">
        <v>42857</v>
      </c>
      <c r="I12515" s="10">
        <v>2017</v>
      </c>
      <c r="J12515" s="10" t="s">
        <v>29175</v>
      </c>
      <c r="K12515" s="10">
        <v>40</v>
      </c>
      <c r="L12515" s="10" t="s">
        <v>52954</v>
      </c>
      <c r="M12515" s="10">
        <v>1</v>
      </c>
      <c r="N12515" s="10" t="s">
        <v>29177</v>
      </c>
      <c r="O12515" s="10"/>
      <c r="P12515" s="10"/>
      <c r="Q12515" s="10"/>
      <c r="R12515" s="10" t="s">
        <v>52955</v>
      </c>
      <c r="S12515" s="10" t="s">
        <v>5404</v>
      </c>
      <c r="T12515" s="10" t="s">
        <v>29186</v>
      </c>
    </row>
    <row r="12516" spans="1:20" ht="14.5" x14ac:dyDescent="0.35">
      <c r="A12516" s="10" t="s">
        <v>52956</v>
      </c>
      <c r="B12516" s="10" t="str">
        <f>""</f>
        <v/>
      </c>
      <c r="C12516" s="10" t="str">
        <f>"9782806291110"</f>
        <v>9782806291110</v>
      </c>
      <c r="D12516" s="10" t="s">
        <v>29172</v>
      </c>
      <c r="E12516" s="10" t="s">
        <v>29173</v>
      </c>
      <c r="F12516" s="10" t="s">
        <v>29181</v>
      </c>
      <c r="G12516" s="10" t="s">
        <v>28737</v>
      </c>
      <c r="H12516" s="11">
        <v>42732</v>
      </c>
      <c r="I12516" s="10">
        <v>2016</v>
      </c>
      <c r="J12516" s="10" t="s">
        <v>29175</v>
      </c>
      <c r="K12516" s="10">
        <v>33</v>
      </c>
      <c r="L12516" s="10" t="s">
        <v>52957</v>
      </c>
      <c r="M12516" s="10">
        <v>1</v>
      </c>
      <c r="N12516" s="10" t="s">
        <v>29177</v>
      </c>
      <c r="O12516" s="10"/>
      <c r="P12516" s="10"/>
      <c r="Q12516" s="10"/>
      <c r="R12516" s="10" t="s">
        <v>52958</v>
      </c>
      <c r="S12516" s="10" t="s">
        <v>5404</v>
      </c>
      <c r="T12516" s="10" t="s">
        <v>29186</v>
      </c>
    </row>
    <row r="12517" spans="1:20" ht="14.5" x14ac:dyDescent="0.35">
      <c r="A12517" s="10" t="s">
        <v>52959</v>
      </c>
      <c r="B12517" s="10" t="str">
        <f>""</f>
        <v/>
      </c>
      <c r="C12517" s="10" t="str">
        <f>"9782806266521"</f>
        <v>9782806266521</v>
      </c>
      <c r="D12517" s="10" t="s">
        <v>29172</v>
      </c>
      <c r="E12517" s="10" t="s">
        <v>29173</v>
      </c>
      <c r="F12517" s="10" t="s">
        <v>29181</v>
      </c>
      <c r="G12517" s="10" t="s">
        <v>28737</v>
      </c>
      <c r="H12517" s="11">
        <v>42216</v>
      </c>
      <c r="I12517" s="10">
        <v>2015</v>
      </c>
      <c r="J12517" s="10" t="s">
        <v>29175</v>
      </c>
      <c r="K12517" s="10">
        <v>16</v>
      </c>
      <c r="L12517" s="10" t="s">
        <v>31393</v>
      </c>
      <c r="M12517" s="10">
        <v>1</v>
      </c>
      <c r="N12517" s="10" t="s">
        <v>29177</v>
      </c>
      <c r="O12517" s="10"/>
      <c r="P12517" s="10"/>
      <c r="Q12517" s="10"/>
      <c r="R12517" s="10" t="s">
        <v>52960</v>
      </c>
      <c r="S12517" s="10" t="s">
        <v>5404</v>
      </c>
      <c r="T12517" s="10" t="s">
        <v>10454</v>
      </c>
    </row>
    <row r="12518" spans="1:20" ht="14.5" x14ac:dyDescent="0.35">
      <c r="A12518" s="10" t="s">
        <v>52961</v>
      </c>
      <c r="B12518" s="10" t="str">
        <f>""</f>
        <v/>
      </c>
      <c r="C12518" s="10" t="str">
        <f>"9782806220264"</f>
        <v>9782806220264</v>
      </c>
      <c r="D12518" s="10" t="s">
        <v>29172</v>
      </c>
      <c r="E12518" s="10" t="s">
        <v>29173</v>
      </c>
      <c r="F12518" s="10" t="s">
        <v>29181</v>
      </c>
      <c r="G12518" s="10" t="s">
        <v>28737</v>
      </c>
      <c r="H12518" s="11">
        <v>40544</v>
      </c>
      <c r="I12518" s="10">
        <v>2011</v>
      </c>
      <c r="J12518" s="10" t="s">
        <v>29175</v>
      </c>
      <c r="K12518" s="10">
        <v>14</v>
      </c>
      <c r="L12518" s="10" t="s">
        <v>29261</v>
      </c>
      <c r="M12518" s="10">
        <v>1</v>
      </c>
      <c r="N12518" s="10" t="s">
        <v>29177</v>
      </c>
      <c r="O12518" s="10"/>
      <c r="P12518" s="10"/>
      <c r="Q12518" s="10"/>
      <c r="R12518" s="10" t="s">
        <v>52962</v>
      </c>
      <c r="S12518" s="10" t="s">
        <v>5404</v>
      </c>
      <c r="T12518" s="10" t="s">
        <v>29186</v>
      </c>
    </row>
    <row r="12519" spans="1:20" ht="14.5" x14ac:dyDescent="0.35">
      <c r="A12519" s="10" t="s">
        <v>24572</v>
      </c>
      <c r="B12519" s="10" t="str">
        <f>"9781119577409"</f>
        <v>9781119577409</v>
      </c>
      <c r="C12519" s="10" t="str">
        <f>"9781119577393"</f>
        <v>9781119577393</v>
      </c>
      <c r="D12519" s="10" t="s">
        <v>6322</v>
      </c>
      <c r="E12519" s="10" t="s">
        <v>6323</v>
      </c>
      <c r="F12519" s="10" t="s">
        <v>4423</v>
      </c>
      <c r="G12519" s="10" t="s">
        <v>6317</v>
      </c>
      <c r="H12519" s="11">
        <v>44285</v>
      </c>
      <c r="I12519" s="10">
        <v>2021</v>
      </c>
      <c r="J12519" s="10" t="s">
        <v>6324</v>
      </c>
      <c r="K12519" s="10">
        <v>557</v>
      </c>
      <c r="L12519" s="10" t="s">
        <v>52963</v>
      </c>
      <c r="M12519" s="10">
        <v>4</v>
      </c>
      <c r="N12519" s="10"/>
      <c r="O12519" s="10"/>
      <c r="P12519" s="10"/>
      <c r="Q12519" s="10">
        <v>374.97300000000001</v>
      </c>
      <c r="R12519" s="10" t="s">
        <v>52964</v>
      </c>
      <c r="S12519" s="10" t="s">
        <v>53</v>
      </c>
      <c r="T12519" s="10" t="s">
        <v>54</v>
      </c>
    </row>
    <row r="12520" spans="1:20" ht="14.5" x14ac:dyDescent="0.35">
      <c r="A12520" s="10" t="s">
        <v>52965</v>
      </c>
      <c r="B12520" s="10" t="str">
        <f>"9789027208897"</f>
        <v>9789027208897</v>
      </c>
      <c r="C12520" s="10" t="str">
        <f>"9789027259783"</f>
        <v>9789027259783</v>
      </c>
      <c r="D12520" s="10" t="s">
        <v>17335</v>
      </c>
      <c r="E12520" s="10" t="s">
        <v>17336</v>
      </c>
      <c r="F12520" s="10" t="s">
        <v>17385</v>
      </c>
      <c r="G12520" s="10" t="s">
        <v>9233</v>
      </c>
      <c r="H12520" s="11">
        <v>44307</v>
      </c>
      <c r="I12520" s="10">
        <v>2021</v>
      </c>
      <c r="J12520" s="10" t="s">
        <v>17336</v>
      </c>
      <c r="K12520" s="10">
        <v>210</v>
      </c>
      <c r="L12520" s="10" t="s">
        <v>52966</v>
      </c>
      <c r="M12520" s="10">
        <v>1</v>
      </c>
      <c r="N12520" s="10" t="s">
        <v>51681</v>
      </c>
      <c r="O12520" s="10">
        <v>116</v>
      </c>
      <c r="P12520" s="10" t="s">
        <v>16077</v>
      </c>
      <c r="Q12520" s="10">
        <v>418.00709999999998</v>
      </c>
      <c r="R12520" s="10" t="s">
        <v>52967</v>
      </c>
      <c r="S12520" s="10" t="s">
        <v>53</v>
      </c>
      <c r="T12520" s="10" t="s">
        <v>6616</v>
      </c>
    </row>
    <row r="12521" spans="1:20" ht="14.5" x14ac:dyDescent="0.35">
      <c r="A12521" s="10" t="s">
        <v>52968</v>
      </c>
      <c r="B12521" s="10" t="str">
        <f>"9781913453251"</f>
        <v>9781913453251</v>
      </c>
      <c r="C12521" s="10" t="str">
        <f>"9781913453275"</f>
        <v>9781913453275</v>
      </c>
      <c r="D12521" s="10" t="s">
        <v>9533</v>
      </c>
      <c r="E12521" s="10" t="s">
        <v>26840</v>
      </c>
      <c r="F12521" s="10" t="s">
        <v>44053</v>
      </c>
      <c r="G12521" s="10" t="s">
        <v>6352</v>
      </c>
      <c r="H12521" s="11">
        <v>44321</v>
      </c>
      <c r="I12521" s="10">
        <v>2021</v>
      </c>
      <c r="J12521" s="10" t="s">
        <v>26840</v>
      </c>
      <c r="K12521" s="10">
        <v>95</v>
      </c>
      <c r="L12521" s="10" t="s">
        <v>52969</v>
      </c>
      <c r="M12521" s="10">
        <v>1</v>
      </c>
      <c r="N12521" s="10" t="s">
        <v>29029</v>
      </c>
      <c r="O12521" s="10"/>
      <c r="P12521" s="10" t="s">
        <v>52970</v>
      </c>
      <c r="Q12521" s="10">
        <v>374</v>
      </c>
      <c r="R12521" s="10" t="s">
        <v>52971</v>
      </c>
      <c r="S12521" s="10" t="s">
        <v>53</v>
      </c>
      <c r="T12521" s="10" t="s">
        <v>54</v>
      </c>
    </row>
    <row r="12522" spans="1:20" ht="14.5" x14ac:dyDescent="0.35">
      <c r="A12522" s="10" t="s">
        <v>52972</v>
      </c>
      <c r="B12522" s="10" t="str">
        <f>"9781949199987"</f>
        <v>9781949199987</v>
      </c>
      <c r="C12522" s="10" t="str">
        <f>"9781952271007"</f>
        <v>9781952271007</v>
      </c>
      <c r="D12522" s="10" t="s">
        <v>38760</v>
      </c>
      <c r="E12522" s="10" t="s">
        <v>38760</v>
      </c>
      <c r="F12522" s="10" t="s">
        <v>5426</v>
      </c>
      <c r="G12522" s="10" t="s">
        <v>6317</v>
      </c>
      <c r="H12522" s="11">
        <v>44317</v>
      </c>
      <c r="I12522" s="10">
        <v>2021</v>
      </c>
      <c r="J12522" s="10" t="s">
        <v>38760</v>
      </c>
      <c r="K12522" s="10">
        <v>224</v>
      </c>
      <c r="L12522" s="10" t="s">
        <v>52973</v>
      </c>
      <c r="M12522" s="10">
        <v>1</v>
      </c>
      <c r="N12522" s="10" t="s">
        <v>43013</v>
      </c>
      <c r="O12522" s="10"/>
      <c r="P12522" s="10" t="s">
        <v>52974</v>
      </c>
      <c r="Q12522" s="10">
        <v>370.15499999999997</v>
      </c>
      <c r="R12522" s="10"/>
      <c r="S12522" s="10" t="s">
        <v>53</v>
      </c>
      <c r="T12522" s="10" t="s">
        <v>54</v>
      </c>
    </row>
    <row r="12523" spans="1:20" ht="14.5" x14ac:dyDescent="0.35">
      <c r="A12523" s="10" t="s">
        <v>52975</v>
      </c>
      <c r="B12523" s="10" t="str">
        <f>"9789027208880"</f>
        <v>9789027208880</v>
      </c>
      <c r="C12523" s="10" t="str">
        <f>"9789027259790"</f>
        <v>9789027259790</v>
      </c>
      <c r="D12523" s="10" t="s">
        <v>17335</v>
      </c>
      <c r="E12523" s="10" t="s">
        <v>17336</v>
      </c>
      <c r="F12523" s="10" t="s">
        <v>17385</v>
      </c>
      <c r="G12523" s="10" t="s">
        <v>9233</v>
      </c>
      <c r="H12523" s="11">
        <v>44329</v>
      </c>
      <c r="I12523" s="10">
        <v>2021</v>
      </c>
      <c r="J12523" s="10" t="s">
        <v>17336</v>
      </c>
      <c r="K12523" s="10">
        <v>191</v>
      </c>
      <c r="L12523" s="10" t="s">
        <v>52976</v>
      </c>
      <c r="M12523" s="10">
        <v>1</v>
      </c>
      <c r="N12523" s="10" t="s">
        <v>51681</v>
      </c>
      <c r="O12523" s="10">
        <v>115</v>
      </c>
      <c r="P12523" s="10" t="s">
        <v>30774</v>
      </c>
      <c r="Q12523" s="10">
        <v>507.1</v>
      </c>
      <c r="R12523" s="10" t="s">
        <v>52977</v>
      </c>
      <c r="S12523" s="10" t="s">
        <v>53</v>
      </c>
      <c r="T12523" s="10" t="s">
        <v>7193</v>
      </c>
    </row>
    <row r="12524" spans="1:20" ht="14.5" x14ac:dyDescent="0.35">
      <c r="A12524" s="10" t="s">
        <v>52978</v>
      </c>
      <c r="B12524" s="10" t="str">
        <f>"9789004461512"</f>
        <v>9789004461512</v>
      </c>
      <c r="C12524" s="10" t="str">
        <f>"9789004461529"</f>
        <v>9789004461529</v>
      </c>
      <c r="D12524" s="10" t="s">
        <v>8564</v>
      </c>
      <c r="E12524" s="10" t="s">
        <v>8565</v>
      </c>
      <c r="F12524" s="10" t="s">
        <v>1420</v>
      </c>
      <c r="G12524" s="10" t="s">
        <v>6317</v>
      </c>
      <c r="H12524" s="11">
        <v>44294</v>
      </c>
      <c r="I12524" s="10">
        <v>2021</v>
      </c>
      <c r="J12524" s="10" t="s">
        <v>33259</v>
      </c>
      <c r="K12524" s="10">
        <v>199</v>
      </c>
      <c r="L12524" s="10" t="s">
        <v>52979</v>
      </c>
      <c r="M12524" s="10">
        <v>1</v>
      </c>
      <c r="N12524" s="10" t="s">
        <v>33414</v>
      </c>
      <c r="O12524" s="10">
        <v>33</v>
      </c>
      <c r="P12524" s="10"/>
      <c r="Q12524" s="10"/>
      <c r="R12524" s="10"/>
      <c r="S12524" s="10" t="s">
        <v>53</v>
      </c>
      <c r="T12524" s="10" t="s">
        <v>54</v>
      </c>
    </row>
    <row r="12525" spans="1:20" ht="14.5" x14ac:dyDescent="0.35">
      <c r="A12525" s="10" t="s">
        <v>52980</v>
      </c>
      <c r="B12525" s="10" t="str">
        <f>"9781991201140"</f>
        <v>9781991201140</v>
      </c>
      <c r="C12525" s="10" t="str">
        <f>"9781991201157"</f>
        <v>9781991201157</v>
      </c>
      <c r="D12525" s="10" t="s">
        <v>51836</v>
      </c>
      <c r="E12525" s="10" t="s">
        <v>51836</v>
      </c>
      <c r="F12525" s="10" t="s">
        <v>51837</v>
      </c>
      <c r="G12525" s="10" t="s">
        <v>24826</v>
      </c>
      <c r="H12525" s="11">
        <v>44302</v>
      </c>
      <c r="I12525" s="10">
        <v>2021</v>
      </c>
      <c r="J12525" s="10" t="s">
        <v>51836</v>
      </c>
      <c r="K12525" s="10">
        <v>292</v>
      </c>
      <c r="L12525" s="10" t="s">
        <v>52981</v>
      </c>
      <c r="M12525" s="10">
        <v>1</v>
      </c>
      <c r="N12525" s="10"/>
      <c r="O12525" s="10"/>
      <c r="P12525" s="10" t="s">
        <v>52982</v>
      </c>
      <c r="Q12525" s="10">
        <v>372.190946</v>
      </c>
      <c r="R12525" s="10" t="s">
        <v>52983</v>
      </c>
      <c r="S12525" s="10" t="s">
        <v>53</v>
      </c>
      <c r="T12525" s="10" t="s">
        <v>54</v>
      </c>
    </row>
    <row r="12526" spans="1:20" ht="14.5" x14ac:dyDescent="0.35">
      <c r="A12526" s="10" t="s">
        <v>52984</v>
      </c>
      <c r="B12526" s="10" t="str">
        <f>"9781928314882"</f>
        <v>9781928314882</v>
      </c>
      <c r="C12526" s="10" t="str">
        <f>"9781928314875"</f>
        <v>9781928314875</v>
      </c>
      <c r="D12526" s="10" t="s">
        <v>51836</v>
      </c>
      <c r="E12526" s="10" t="s">
        <v>51836</v>
      </c>
      <c r="F12526" s="10" t="s">
        <v>51837</v>
      </c>
      <c r="G12526" s="10" t="s">
        <v>24826</v>
      </c>
      <c r="H12526" s="11">
        <v>44314</v>
      </c>
      <c r="I12526" s="10">
        <v>2021</v>
      </c>
      <c r="J12526" s="10" t="s">
        <v>51836</v>
      </c>
      <c r="K12526" s="10">
        <v>482</v>
      </c>
      <c r="L12526" s="10" t="s">
        <v>52985</v>
      </c>
      <c r="M12526" s="10">
        <v>1</v>
      </c>
      <c r="N12526" s="10"/>
      <c r="O12526" s="10"/>
      <c r="P12526" s="10" t="s">
        <v>52986</v>
      </c>
      <c r="Q12526" s="10">
        <v>378.12</v>
      </c>
      <c r="R12526" s="10" t="s">
        <v>52987</v>
      </c>
      <c r="S12526" s="10" t="s">
        <v>53</v>
      </c>
      <c r="T12526" s="10" t="s">
        <v>54</v>
      </c>
    </row>
    <row r="12527" spans="1:20" ht="14.5" x14ac:dyDescent="0.35">
      <c r="A12527" s="10" t="s">
        <v>52988</v>
      </c>
      <c r="B12527" s="10" t="str">
        <f>"9781991201201"</f>
        <v>9781991201201</v>
      </c>
      <c r="C12527" s="10" t="str">
        <f>"9781991201218"</f>
        <v>9781991201218</v>
      </c>
      <c r="D12527" s="10" t="s">
        <v>51836</v>
      </c>
      <c r="E12527" s="10" t="s">
        <v>51836</v>
      </c>
      <c r="F12527" s="10" t="s">
        <v>51837</v>
      </c>
      <c r="G12527" s="10" t="s">
        <v>24826</v>
      </c>
      <c r="H12527" s="11">
        <v>44306</v>
      </c>
      <c r="I12527" s="10">
        <v>2021</v>
      </c>
      <c r="J12527" s="10" t="s">
        <v>51836</v>
      </c>
      <c r="K12527" s="10">
        <v>219</v>
      </c>
      <c r="L12527" s="10" t="s">
        <v>52989</v>
      </c>
      <c r="M12527" s="10">
        <v>1</v>
      </c>
      <c r="N12527" s="10"/>
      <c r="O12527" s="10"/>
      <c r="P12527" s="10" t="s">
        <v>52990</v>
      </c>
      <c r="Q12527" s="10">
        <v>378.125</v>
      </c>
      <c r="R12527" s="10" t="s">
        <v>52991</v>
      </c>
      <c r="S12527" s="10" t="s">
        <v>53</v>
      </c>
      <c r="T12527" s="10" t="s">
        <v>54</v>
      </c>
    </row>
    <row r="12528" spans="1:20" ht="14.5" x14ac:dyDescent="0.35">
      <c r="A12528" s="10" t="s">
        <v>52992</v>
      </c>
      <c r="B12528" s="10" t="str">
        <f>"9781928314899"</f>
        <v>9781928314899</v>
      </c>
      <c r="C12528" s="10" t="str">
        <f>"9781928314905"</f>
        <v>9781928314905</v>
      </c>
      <c r="D12528" s="10" t="s">
        <v>51836</v>
      </c>
      <c r="E12528" s="10" t="s">
        <v>51836</v>
      </c>
      <c r="F12528" s="10" t="s">
        <v>51837</v>
      </c>
      <c r="G12528" s="10" t="s">
        <v>24826</v>
      </c>
      <c r="H12528" s="11">
        <v>44314</v>
      </c>
      <c r="I12528" s="10">
        <v>2021</v>
      </c>
      <c r="J12528" s="10" t="s">
        <v>51836</v>
      </c>
      <c r="K12528" s="10">
        <v>124</v>
      </c>
      <c r="L12528" s="10" t="s">
        <v>52985</v>
      </c>
      <c r="M12528" s="10">
        <v>1</v>
      </c>
      <c r="N12528" s="10"/>
      <c r="O12528" s="10"/>
      <c r="P12528" s="10" t="s">
        <v>52986</v>
      </c>
      <c r="Q12528" s="10">
        <v>378.12</v>
      </c>
      <c r="R12528" s="10" t="s">
        <v>52993</v>
      </c>
      <c r="S12528" s="10" t="s">
        <v>53</v>
      </c>
      <c r="T12528" s="10" t="s">
        <v>54</v>
      </c>
    </row>
    <row r="12529" spans="1:20" ht="14.5" x14ac:dyDescent="0.35">
      <c r="A12529" s="10" t="s">
        <v>52994</v>
      </c>
      <c r="B12529" s="10" t="str">
        <f>"9781913453657"</f>
        <v>9781913453657</v>
      </c>
      <c r="C12529" s="10" t="str">
        <f>"9781913453688"</f>
        <v>9781913453688</v>
      </c>
      <c r="D12529" s="10" t="s">
        <v>9533</v>
      </c>
      <c r="E12529" s="10" t="s">
        <v>26840</v>
      </c>
      <c r="F12529" s="10" t="s">
        <v>44053</v>
      </c>
      <c r="G12529" s="10" t="s">
        <v>6352</v>
      </c>
      <c r="H12529" s="11">
        <v>44321</v>
      </c>
      <c r="I12529" s="10">
        <v>2021</v>
      </c>
      <c r="J12529" s="10" t="s">
        <v>26840</v>
      </c>
      <c r="K12529" s="10">
        <v>93</v>
      </c>
      <c r="L12529" s="10" t="s">
        <v>52995</v>
      </c>
      <c r="M12529" s="10">
        <v>1</v>
      </c>
      <c r="N12529" s="10" t="s">
        <v>29029</v>
      </c>
      <c r="O12529" s="10"/>
      <c r="P12529" s="10" t="s">
        <v>52996</v>
      </c>
      <c r="Q12529" s="10">
        <v>374</v>
      </c>
      <c r="R12529" s="10" t="s">
        <v>52997</v>
      </c>
      <c r="S12529" s="10" t="s">
        <v>53</v>
      </c>
      <c r="T12529" s="10" t="s">
        <v>54</v>
      </c>
    </row>
    <row r="12530" spans="1:20" ht="14.5" x14ac:dyDescent="0.35">
      <c r="A12530" s="10" t="s">
        <v>52998</v>
      </c>
      <c r="B12530" s="10" t="str">
        <f>"9781839821752"</f>
        <v>9781839821752</v>
      </c>
      <c r="C12530" s="10" t="str">
        <f>"9781839821745"</f>
        <v>9781839821745</v>
      </c>
      <c r="D12530" s="10" t="s">
        <v>8699</v>
      </c>
      <c r="E12530" s="10" t="s">
        <v>8699</v>
      </c>
      <c r="F12530" s="10" t="s">
        <v>559</v>
      </c>
      <c r="G12530" s="10" t="s">
        <v>6352</v>
      </c>
      <c r="H12530" s="11">
        <v>44333</v>
      </c>
      <c r="I12530" s="10">
        <v>2021</v>
      </c>
      <c r="J12530" s="10" t="s">
        <v>8699</v>
      </c>
      <c r="K12530" s="10">
        <v>211</v>
      </c>
      <c r="L12530" s="10" t="s">
        <v>52999</v>
      </c>
      <c r="M12530" s="10">
        <v>1</v>
      </c>
      <c r="N12530" s="10" t="s">
        <v>29541</v>
      </c>
      <c r="O12530" s="10">
        <v>38</v>
      </c>
      <c r="P12530" s="10" t="s">
        <v>27182</v>
      </c>
      <c r="Q12530" s="10" t="s">
        <v>19167</v>
      </c>
      <c r="R12530" s="10"/>
      <c r="S12530" s="10" t="s">
        <v>53</v>
      </c>
      <c r="T12530" s="10" t="s">
        <v>54</v>
      </c>
    </row>
    <row r="12531" spans="1:20" ht="14.5" x14ac:dyDescent="0.35">
      <c r="A12531" s="10" t="s">
        <v>53000</v>
      </c>
      <c r="B12531" s="10" t="str">
        <f>"9781119765011"</f>
        <v>9781119765011</v>
      </c>
      <c r="C12531" s="10" t="str">
        <f>"9781119765035"</f>
        <v>9781119765035</v>
      </c>
      <c r="D12531" s="10" t="s">
        <v>6322</v>
      </c>
      <c r="E12531" s="10" t="s">
        <v>6323</v>
      </c>
      <c r="F12531" s="10" t="s">
        <v>4423</v>
      </c>
      <c r="G12531" s="10" t="s">
        <v>6317</v>
      </c>
      <c r="H12531" s="11">
        <v>44363</v>
      </c>
      <c r="I12531" s="10">
        <v>2021</v>
      </c>
      <c r="J12531" s="10" t="s">
        <v>6324</v>
      </c>
      <c r="K12531" s="10">
        <v>301</v>
      </c>
      <c r="L12531" s="10" t="s">
        <v>53001</v>
      </c>
      <c r="M12531" s="10">
        <v>2</v>
      </c>
      <c r="N12531" s="10"/>
      <c r="O12531" s="10"/>
      <c r="P12531" s="10" t="s">
        <v>53002</v>
      </c>
      <c r="Q12531" s="10">
        <v>371.33446780000003</v>
      </c>
      <c r="R12531" s="10" t="s">
        <v>20377</v>
      </c>
      <c r="S12531" s="10" t="s">
        <v>53</v>
      </c>
      <c r="T12531" s="10" t="s">
        <v>54</v>
      </c>
    </row>
    <row r="12532" spans="1:20" ht="14.5" x14ac:dyDescent="0.35">
      <c r="A12532" s="10" t="s">
        <v>53003</v>
      </c>
      <c r="B12532" s="10" t="str">
        <f>""</f>
        <v/>
      </c>
      <c r="C12532" s="10" t="str">
        <f>"9782806297396"</f>
        <v>9782806297396</v>
      </c>
      <c r="D12532" s="10" t="s">
        <v>29172</v>
      </c>
      <c r="E12532" s="10" t="s">
        <v>29173</v>
      </c>
      <c r="F12532" s="10" t="s">
        <v>29181</v>
      </c>
      <c r="G12532" s="10" t="s">
        <v>28737</v>
      </c>
      <c r="H12532" s="11">
        <v>42916</v>
      </c>
      <c r="I12532" s="10">
        <v>2017</v>
      </c>
      <c r="J12532" s="10" t="s">
        <v>29175</v>
      </c>
      <c r="K12532" s="10">
        <v>35</v>
      </c>
      <c r="L12532" s="10" t="s">
        <v>53004</v>
      </c>
      <c r="M12532" s="10">
        <v>1</v>
      </c>
      <c r="N12532" s="10" t="s">
        <v>29177</v>
      </c>
      <c r="O12532" s="10"/>
      <c r="P12532" s="10"/>
      <c r="Q12532" s="10"/>
      <c r="R12532" s="10"/>
      <c r="S12532" s="10" t="s">
        <v>5404</v>
      </c>
      <c r="T12532" s="10" t="s">
        <v>29186</v>
      </c>
    </row>
    <row r="12533" spans="1:20" ht="14.5" x14ac:dyDescent="0.35">
      <c r="A12533" s="10" t="s">
        <v>53005</v>
      </c>
      <c r="B12533" s="10" t="str">
        <f>""</f>
        <v/>
      </c>
      <c r="C12533" s="10" t="str">
        <f>"9782806287311"</f>
        <v>9782806287311</v>
      </c>
      <c r="D12533" s="10" t="s">
        <v>29172</v>
      </c>
      <c r="E12533" s="10" t="s">
        <v>29173</v>
      </c>
      <c r="F12533" s="10" t="s">
        <v>29181</v>
      </c>
      <c r="G12533" s="10" t="s">
        <v>28737</v>
      </c>
      <c r="H12533" s="11">
        <v>42916</v>
      </c>
      <c r="I12533" s="10">
        <v>2017</v>
      </c>
      <c r="J12533" s="10" t="s">
        <v>29175</v>
      </c>
      <c r="K12533" s="10">
        <v>35</v>
      </c>
      <c r="L12533" s="10" t="s">
        <v>53006</v>
      </c>
      <c r="M12533" s="10">
        <v>1</v>
      </c>
      <c r="N12533" s="10" t="s">
        <v>29177</v>
      </c>
      <c r="O12533" s="10"/>
      <c r="P12533" s="10"/>
      <c r="Q12533" s="10"/>
      <c r="R12533" s="10" t="s">
        <v>53007</v>
      </c>
      <c r="S12533" s="10" t="s">
        <v>5404</v>
      </c>
      <c r="T12533" s="10" t="s">
        <v>29186</v>
      </c>
    </row>
    <row r="12534" spans="1:20" ht="14.5" x14ac:dyDescent="0.35">
      <c r="A12534" s="10" t="s">
        <v>53008</v>
      </c>
      <c r="B12534" s="10" t="str">
        <f>""</f>
        <v/>
      </c>
      <c r="C12534" s="10" t="str">
        <f>"9782806294012"</f>
        <v>9782806294012</v>
      </c>
      <c r="D12534" s="10" t="s">
        <v>29172</v>
      </c>
      <c r="E12534" s="10" t="s">
        <v>29173</v>
      </c>
      <c r="F12534" s="10" t="s">
        <v>29181</v>
      </c>
      <c r="G12534" s="10" t="s">
        <v>28737</v>
      </c>
      <c r="H12534" s="11">
        <v>42916</v>
      </c>
      <c r="I12534" s="10">
        <v>2017</v>
      </c>
      <c r="J12534" s="10" t="s">
        <v>29175</v>
      </c>
      <c r="K12534" s="10">
        <v>37</v>
      </c>
      <c r="L12534" s="10" t="s">
        <v>53009</v>
      </c>
      <c r="M12534" s="10">
        <v>1</v>
      </c>
      <c r="N12534" s="10" t="s">
        <v>29177</v>
      </c>
      <c r="O12534" s="10"/>
      <c r="P12534" s="10"/>
      <c r="Q12534" s="10"/>
      <c r="R12534" s="10" t="s">
        <v>53010</v>
      </c>
      <c r="S12534" s="10" t="s">
        <v>5404</v>
      </c>
      <c r="T12534" s="10" t="s">
        <v>29186</v>
      </c>
    </row>
    <row r="12535" spans="1:20" ht="14.5" x14ac:dyDescent="0.35">
      <c r="A12535" s="10" t="s">
        <v>53011</v>
      </c>
      <c r="B12535" s="10" t="str">
        <f>""</f>
        <v/>
      </c>
      <c r="C12535" s="10" t="str">
        <f>"9782806294449"</f>
        <v>9782806294449</v>
      </c>
      <c r="D12535" s="10" t="s">
        <v>29172</v>
      </c>
      <c r="E12535" s="10" t="s">
        <v>29173</v>
      </c>
      <c r="F12535" s="10" t="s">
        <v>29181</v>
      </c>
      <c r="G12535" s="10" t="s">
        <v>28737</v>
      </c>
      <c r="H12535" s="11">
        <v>43020</v>
      </c>
      <c r="I12535" s="10">
        <v>2017</v>
      </c>
      <c r="J12535" s="10" t="s">
        <v>29175</v>
      </c>
      <c r="K12535" s="10">
        <v>67</v>
      </c>
      <c r="L12535" s="10" t="s">
        <v>53012</v>
      </c>
      <c r="M12535" s="10">
        <v>1</v>
      </c>
      <c r="N12535" s="10" t="s">
        <v>29177</v>
      </c>
      <c r="O12535" s="10"/>
      <c r="P12535" s="10"/>
      <c r="Q12535" s="10"/>
      <c r="R12535" s="10" t="s">
        <v>53013</v>
      </c>
      <c r="S12535" s="10" t="s">
        <v>5404</v>
      </c>
      <c r="T12535" s="10" t="s">
        <v>29186</v>
      </c>
    </row>
    <row r="12536" spans="1:20" ht="14.5" x14ac:dyDescent="0.35">
      <c r="A12536" s="10" t="s">
        <v>53014</v>
      </c>
      <c r="B12536" s="10" t="str">
        <f>""</f>
        <v/>
      </c>
      <c r="C12536" s="10" t="str">
        <f>"9782808003544"</f>
        <v>9782808003544</v>
      </c>
      <c r="D12536" s="10" t="s">
        <v>29172</v>
      </c>
      <c r="E12536" s="10" t="s">
        <v>29173</v>
      </c>
      <c r="F12536" s="10" t="s">
        <v>29181</v>
      </c>
      <c r="G12536" s="10" t="s">
        <v>28737</v>
      </c>
      <c r="H12536" s="11">
        <v>42991</v>
      </c>
      <c r="I12536" s="10">
        <v>2017</v>
      </c>
      <c r="J12536" s="10" t="s">
        <v>29175</v>
      </c>
      <c r="K12536" s="10">
        <v>73</v>
      </c>
      <c r="L12536" s="10" t="s">
        <v>53015</v>
      </c>
      <c r="M12536" s="10">
        <v>1</v>
      </c>
      <c r="N12536" s="10" t="s">
        <v>29177</v>
      </c>
      <c r="O12536" s="10"/>
      <c r="P12536" s="10"/>
      <c r="Q12536" s="10"/>
      <c r="R12536" s="10" t="s">
        <v>53016</v>
      </c>
      <c r="S12536" s="10" t="s">
        <v>5404</v>
      </c>
      <c r="T12536" s="10" t="s">
        <v>6568</v>
      </c>
    </row>
    <row r="12537" spans="1:20" ht="14.5" x14ac:dyDescent="0.35">
      <c r="A12537" s="10" t="s">
        <v>53017</v>
      </c>
      <c r="B12537" s="10" t="str">
        <f>""</f>
        <v/>
      </c>
      <c r="C12537" s="10" t="str">
        <f>"9782808003629"</f>
        <v>9782808003629</v>
      </c>
      <c r="D12537" s="10" t="s">
        <v>29172</v>
      </c>
      <c r="E12537" s="10" t="s">
        <v>29173</v>
      </c>
      <c r="F12537" s="10" t="s">
        <v>29181</v>
      </c>
      <c r="G12537" s="10" t="s">
        <v>28737</v>
      </c>
      <c r="H12537" s="11">
        <v>42991</v>
      </c>
      <c r="I12537" s="10">
        <v>2017</v>
      </c>
      <c r="J12537" s="10" t="s">
        <v>29175</v>
      </c>
      <c r="K12537" s="10">
        <v>65</v>
      </c>
      <c r="L12537" s="10" t="s">
        <v>53018</v>
      </c>
      <c r="M12537" s="10">
        <v>1</v>
      </c>
      <c r="N12537" s="10" t="s">
        <v>29177</v>
      </c>
      <c r="O12537" s="10"/>
      <c r="P12537" s="10"/>
      <c r="Q12537" s="10"/>
      <c r="R12537" s="10" t="s">
        <v>53019</v>
      </c>
      <c r="S12537" s="10" t="s">
        <v>5404</v>
      </c>
      <c r="T12537" s="10" t="s">
        <v>29186</v>
      </c>
    </row>
    <row r="12538" spans="1:20" ht="14.5" x14ac:dyDescent="0.35">
      <c r="A12538" s="10" t="s">
        <v>53020</v>
      </c>
      <c r="B12538" s="10" t="str">
        <f>"9781978820784"</f>
        <v>9781978820784</v>
      </c>
      <c r="C12538" s="10" t="str">
        <f>"9781978820814"</f>
        <v>9781978820814</v>
      </c>
      <c r="D12538" s="10" t="s">
        <v>12251</v>
      </c>
      <c r="E12538" s="10" t="s">
        <v>12251</v>
      </c>
      <c r="F12538" s="10" t="s">
        <v>12451</v>
      </c>
      <c r="G12538" s="10" t="s">
        <v>6317</v>
      </c>
      <c r="H12538" s="11">
        <v>44393</v>
      </c>
      <c r="I12538" s="10">
        <v>2021</v>
      </c>
      <c r="J12538" s="10" t="s">
        <v>12251</v>
      </c>
      <c r="K12538" s="10">
        <v>241</v>
      </c>
      <c r="L12538" s="10" t="s">
        <v>53021</v>
      </c>
      <c r="M12538" s="10">
        <v>1</v>
      </c>
      <c r="N12538" s="10"/>
      <c r="O12538" s="10"/>
      <c r="P12538" s="10" t="s">
        <v>36391</v>
      </c>
      <c r="Q12538" s="10">
        <v>378.73</v>
      </c>
      <c r="R12538" s="10"/>
      <c r="S12538" s="10" t="s">
        <v>53</v>
      </c>
      <c r="T12538" s="10" t="s">
        <v>54</v>
      </c>
    </row>
    <row r="12539" spans="1:20" ht="14.5" x14ac:dyDescent="0.35">
      <c r="A12539" s="10" t="s">
        <v>42830</v>
      </c>
      <c r="B12539" s="10" t="str">
        <f>"9781119765004"</f>
        <v>9781119765004</v>
      </c>
      <c r="C12539" s="10" t="str">
        <f>"9781119763185"</f>
        <v>9781119763185</v>
      </c>
      <c r="D12539" s="10" t="s">
        <v>6322</v>
      </c>
      <c r="E12539" s="10" t="s">
        <v>6323</v>
      </c>
      <c r="F12539" s="10" t="s">
        <v>4423</v>
      </c>
      <c r="G12539" s="10" t="s">
        <v>6317</v>
      </c>
      <c r="H12539" s="11">
        <v>44356</v>
      </c>
      <c r="I12539" s="10">
        <v>2021</v>
      </c>
      <c r="J12539" s="10" t="s">
        <v>6324</v>
      </c>
      <c r="K12539" s="10">
        <v>402</v>
      </c>
      <c r="L12539" s="10" t="s">
        <v>42831</v>
      </c>
      <c r="M12539" s="10">
        <v>3</v>
      </c>
      <c r="N12539" s="10"/>
      <c r="O12539" s="10"/>
      <c r="P12539" s="10"/>
      <c r="Q12539" s="10" t="s">
        <v>8748</v>
      </c>
      <c r="R12539" s="10" t="s">
        <v>53022</v>
      </c>
      <c r="S12539" s="10" t="s">
        <v>53</v>
      </c>
      <c r="T12539" s="10" t="s">
        <v>54</v>
      </c>
    </row>
    <row r="12540" spans="1:20" ht="14.5" x14ac:dyDescent="0.35">
      <c r="A12540" s="10" t="s">
        <v>53023</v>
      </c>
      <c r="B12540" s="10" t="str">
        <f>"9781416629955"</f>
        <v>9781416629955</v>
      </c>
      <c r="C12540" s="10" t="str">
        <f>"9781416630326"</f>
        <v>9781416630326</v>
      </c>
      <c r="D12540" s="10" t="s">
        <v>10014</v>
      </c>
      <c r="E12540" s="10" t="s">
        <v>10015</v>
      </c>
      <c r="F12540" s="10" t="s">
        <v>201</v>
      </c>
      <c r="G12540" s="10" t="s">
        <v>6317</v>
      </c>
      <c r="H12540" s="11">
        <v>44316</v>
      </c>
      <c r="I12540" s="10">
        <v>2021</v>
      </c>
      <c r="J12540" s="10" t="s">
        <v>10015</v>
      </c>
      <c r="K12540" s="10">
        <v>336</v>
      </c>
      <c r="L12540" s="10" t="s">
        <v>53024</v>
      </c>
      <c r="M12540" s="10">
        <v>2</v>
      </c>
      <c r="N12540" s="10"/>
      <c r="O12540" s="10"/>
      <c r="P12540" s="10"/>
      <c r="Q12540" s="10" t="s">
        <v>30701</v>
      </c>
      <c r="R12540" s="10"/>
      <c r="S12540" s="10" t="s">
        <v>53</v>
      </c>
      <c r="T12540" s="10" t="s">
        <v>54</v>
      </c>
    </row>
    <row r="12541" spans="1:20" ht="14.5" x14ac:dyDescent="0.35">
      <c r="A12541" s="10" t="s">
        <v>53025</v>
      </c>
      <c r="B12541" s="10" t="str">
        <f>"9780745341057"</f>
        <v>9780745341057</v>
      </c>
      <c r="C12541" s="10" t="str">
        <f>"9781786808134"</f>
        <v>9781786808134</v>
      </c>
      <c r="D12541" s="10" t="s">
        <v>9533</v>
      </c>
      <c r="E12541" s="10" t="s">
        <v>37535</v>
      </c>
      <c r="F12541" s="10" t="s">
        <v>139</v>
      </c>
      <c r="G12541" s="10" t="s">
        <v>6352</v>
      </c>
      <c r="H12541" s="11">
        <v>44336</v>
      </c>
      <c r="I12541" s="10">
        <v>2021</v>
      </c>
      <c r="J12541" s="10" t="s">
        <v>37535</v>
      </c>
      <c r="K12541" s="10">
        <v>225</v>
      </c>
      <c r="L12541" s="10" t="s">
        <v>23866</v>
      </c>
      <c r="M12541" s="10">
        <v>1</v>
      </c>
      <c r="N12541" s="10"/>
      <c r="O12541" s="10"/>
      <c r="P12541" s="10" t="s">
        <v>53026</v>
      </c>
      <c r="Q12541" s="10">
        <v>378.12</v>
      </c>
      <c r="R12541" s="10" t="s">
        <v>53027</v>
      </c>
      <c r="S12541" s="10" t="s">
        <v>53</v>
      </c>
      <c r="T12541" s="10" t="s">
        <v>54</v>
      </c>
    </row>
    <row r="12542" spans="1:20" ht="14.5" x14ac:dyDescent="0.35">
      <c r="A12542" s="10" t="s">
        <v>53028</v>
      </c>
      <c r="B12542" s="10" t="str">
        <f>"9781642671926"</f>
        <v>9781642671926</v>
      </c>
      <c r="C12542" s="10" t="str">
        <f>"9781000976694"</f>
        <v>9781000976694</v>
      </c>
      <c r="D12542" s="10" t="s">
        <v>6350</v>
      </c>
      <c r="E12542" s="10" t="s">
        <v>6351</v>
      </c>
      <c r="F12542" s="10" t="s">
        <v>748</v>
      </c>
      <c r="G12542" s="10" t="s">
        <v>6352</v>
      </c>
      <c r="H12542" s="11">
        <v>44329</v>
      </c>
      <c r="I12542" s="10">
        <v>2021</v>
      </c>
      <c r="J12542" s="10" t="s">
        <v>6351</v>
      </c>
      <c r="K12542" s="10">
        <v>235</v>
      </c>
      <c r="L12542" s="10" t="s">
        <v>53029</v>
      </c>
      <c r="M12542" s="10">
        <v>1</v>
      </c>
      <c r="N12542" s="10"/>
      <c r="O12542" s="10"/>
      <c r="P12542" s="10" t="s">
        <v>53030</v>
      </c>
      <c r="Q12542" s="10" t="s">
        <v>9298</v>
      </c>
      <c r="R12542" s="10" t="s">
        <v>8224</v>
      </c>
      <c r="S12542" s="10" t="s">
        <v>53</v>
      </c>
      <c r="T12542" s="10" t="s">
        <v>54</v>
      </c>
    </row>
    <row r="12543" spans="1:20" ht="14.5" x14ac:dyDescent="0.35">
      <c r="A12543" s="10" t="s">
        <v>53031</v>
      </c>
      <c r="B12543" s="10" t="str">
        <f>"9789004455122"</f>
        <v>9789004455122</v>
      </c>
      <c r="C12543" s="10" t="str">
        <f>"9789004455344"</f>
        <v>9789004455344</v>
      </c>
      <c r="D12543" s="10" t="s">
        <v>8564</v>
      </c>
      <c r="E12543" s="10" t="s">
        <v>8565</v>
      </c>
      <c r="F12543" s="10" t="s">
        <v>1420</v>
      </c>
      <c r="G12543" s="10" t="s">
        <v>6317</v>
      </c>
      <c r="H12543" s="11">
        <v>44328</v>
      </c>
      <c r="I12543" s="10">
        <v>2021</v>
      </c>
      <c r="J12543" s="10" t="s">
        <v>8565</v>
      </c>
      <c r="K12543" s="10">
        <v>255</v>
      </c>
      <c r="L12543" s="10" t="s">
        <v>53032</v>
      </c>
      <c r="M12543" s="10">
        <v>1</v>
      </c>
      <c r="N12543" s="10" t="s">
        <v>33414</v>
      </c>
      <c r="O12543" s="10">
        <v>32</v>
      </c>
      <c r="P12543" s="10"/>
      <c r="Q12543" s="10"/>
      <c r="R12543" s="10"/>
      <c r="S12543" s="10" t="s">
        <v>53</v>
      </c>
      <c r="T12543" s="10" t="s">
        <v>54</v>
      </c>
    </row>
    <row r="12544" spans="1:20" ht="14.5" x14ac:dyDescent="0.35">
      <c r="A12544" s="10" t="s">
        <v>53033</v>
      </c>
      <c r="B12544" s="10" t="str">
        <f>"9781978821217"</f>
        <v>9781978821217</v>
      </c>
      <c r="C12544" s="10" t="str">
        <f>"9781978821248"</f>
        <v>9781978821248</v>
      </c>
      <c r="D12544" s="10" t="s">
        <v>12251</v>
      </c>
      <c r="E12544" s="10" t="s">
        <v>12251</v>
      </c>
      <c r="F12544" s="10" t="s">
        <v>12451</v>
      </c>
      <c r="G12544" s="10" t="s">
        <v>6317</v>
      </c>
      <c r="H12544" s="11">
        <v>44421</v>
      </c>
      <c r="I12544" s="10">
        <v>2021</v>
      </c>
      <c r="J12544" s="10" t="s">
        <v>12251</v>
      </c>
      <c r="K12544" s="10">
        <v>261</v>
      </c>
      <c r="L12544" s="10" t="s">
        <v>53034</v>
      </c>
      <c r="M12544" s="10">
        <v>1</v>
      </c>
      <c r="N12544" s="10" t="s">
        <v>42697</v>
      </c>
      <c r="O12544" s="10"/>
      <c r="P12544" s="10" t="s">
        <v>53035</v>
      </c>
      <c r="Q12544" s="10" t="s">
        <v>53036</v>
      </c>
      <c r="R12544" s="10"/>
      <c r="S12544" s="10" t="s">
        <v>53</v>
      </c>
      <c r="T12544" s="10" t="s">
        <v>7340</v>
      </c>
    </row>
    <row r="12545" spans="1:20" ht="14.5" x14ac:dyDescent="0.35">
      <c r="A12545" s="10" t="s">
        <v>53037</v>
      </c>
      <c r="B12545" s="10" t="str">
        <f>"9789004464001"</f>
        <v>9789004464001</v>
      </c>
      <c r="C12545" s="10" t="str">
        <f>"9789004464018"</f>
        <v>9789004464018</v>
      </c>
      <c r="D12545" s="10" t="s">
        <v>8564</v>
      </c>
      <c r="E12545" s="10" t="s">
        <v>8565</v>
      </c>
      <c r="F12545" s="10" t="s">
        <v>1420</v>
      </c>
      <c r="G12545" s="10" t="s">
        <v>6317</v>
      </c>
      <c r="H12545" s="11">
        <v>44328</v>
      </c>
      <c r="I12545" s="10">
        <v>2021</v>
      </c>
      <c r="J12545" s="10" t="s">
        <v>8565</v>
      </c>
      <c r="K12545" s="10">
        <v>255</v>
      </c>
      <c r="L12545" s="10" t="s">
        <v>53038</v>
      </c>
      <c r="M12545" s="10">
        <v>1</v>
      </c>
      <c r="N12545" s="10" t="s">
        <v>45027</v>
      </c>
      <c r="O12545" s="10">
        <v>9</v>
      </c>
      <c r="P12545" s="10"/>
      <c r="Q12545" s="10"/>
      <c r="R12545" s="10"/>
      <c r="S12545" s="10" t="s">
        <v>53</v>
      </c>
      <c r="T12545" s="10" t="s">
        <v>54</v>
      </c>
    </row>
    <row r="12546" spans="1:20" ht="14.5" x14ac:dyDescent="0.35">
      <c r="A12546" s="10" t="s">
        <v>53039</v>
      </c>
      <c r="B12546" s="10" t="str">
        <f>"9789004463066"</f>
        <v>9789004463066</v>
      </c>
      <c r="C12546" s="10" t="str">
        <f>"9789004463073"</f>
        <v>9789004463073</v>
      </c>
      <c r="D12546" s="10" t="s">
        <v>8564</v>
      </c>
      <c r="E12546" s="10" t="s">
        <v>8565</v>
      </c>
      <c r="F12546" s="10" t="s">
        <v>1420</v>
      </c>
      <c r="G12546" s="10" t="s">
        <v>6317</v>
      </c>
      <c r="H12546" s="11">
        <v>44316</v>
      </c>
      <c r="I12546" s="10">
        <v>2021</v>
      </c>
      <c r="J12546" s="10" t="s">
        <v>8565</v>
      </c>
      <c r="K12546" s="10">
        <v>304</v>
      </c>
      <c r="L12546" s="10" t="s">
        <v>53040</v>
      </c>
      <c r="M12546" s="10">
        <v>1</v>
      </c>
      <c r="N12546" s="10" t="s">
        <v>33321</v>
      </c>
      <c r="O12546" s="10">
        <v>12</v>
      </c>
      <c r="P12546" s="10"/>
      <c r="Q12546" s="10"/>
      <c r="R12546" s="10"/>
      <c r="S12546" s="10" t="s">
        <v>53</v>
      </c>
      <c r="T12546" s="10" t="s">
        <v>54</v>
      </c>
    </row>
    <row r="12547" spans="1:20" ht="14.5" x14ac:dyDescent="0.35">
      <c r="A12547" s="10" t="s">
        <v>53041</v>
      </c>
      <c r="B12547" s="10" t="str">
        <f>"9789004464995"</f>
        <v>9789004464995</v>
      </c>
      <c r="C12547" s="10" t="str">
        <f>"9789004465008"</f>
        <v>9789004465008</v>
      </c>
      <c r="D12547" s="10" t="s">
        <v>8564</v>
      </c>
      <c r="E12547" s="10" t="s">
        <v>8565</v>
      </c>
      <c r="F12547" s="10" t="s">
        <v>1420</v>
      </c>
      <c r="G12547" s="10" t="s">
        <v>6317</v>
      </c>
      <c r="H12547" s="11">
        <v>44294</v>
      </c>
      <c r="I12547" s="10">
        <v>2021</v>
      </c>
      <c r="J12547" s="10" t="s">
        <v>8565</v>
      </c>
      <c r="K12547" s="10">
        <v>357</v>
      </c>
      <c r="L12547" s="10" t="s">
        <v>53042</v>
      </c>
      <c r="M12547" s="10">
        <v>1</v>
      </c>
      <c r="N12547" s="10" t="s">
        <v>33268</v>
      </c>
      <c r="O12547" s="10">
        <v>16</v>
      </c>
      <c r="P12547" s="10"/>
      <c r="Q12547" s="10"/>
      <c r="R12547" s="10"/>
      <c r="S12547" s="10" t="s">
        <v>53</v>
      </c>
      <c r="T12547" s="10" t="s">
        <v>54</v>
      </c>
    </row>
    <row r="12548" spans="1:20" ht="14.5" x14ac:dyDescent="0.35">
      <c r="A12548" s="10" t="s">
        <v>53043</v>
      </c>
      <c r="B12548" s="10" t="str">
        <f>"9789004460379"</f>
        <v>9789004460379</v>
      </c>
      <c r="C12548" s="10" t="str">
        <f>"9789004460386"</f>
        <v>9789004460386</v>
      </c>
      <c r="D12548" s="10" t="s">
        <v>8564</v>
      </c>
      <c r="E12548" s="10" t="s">
        <v>8565</v>
      </c>
      <c r="F12548" s="10" t="s">
        <v>1420</v>
      </c>
      <c r="G12548" s="10" t="s">
        <v>6317</v>
      </c>
      <c r="H12548" s="11">
        <v>44322</v>
      </c>
      <c r="I12548" s="10">
        <v>2021</v>
      </c>
      <c r="J12548" s="10" t="s">
        <v>8565</v>
      </c>
      <c r="K12548" s="10">
        <v>186</v>
      </c>
      <c r="L12548" s="10" t="s">
        <v>53044</v>
      </c>
      <c r="M12548" s="10">
        <v>1</v>
      </c>
      <c r="N12548" s="10" t="s">
        <v>33580</v>
      </c>
      <c r="O12548" s="10">
        <v>6</v>
      </c>
      <c r="P12548" s="10"/>
      <c r="Q12548" s="10"/>
      <c r="R12548" s="10"/>
      <c r="S12548" s="10" t="s">
        <v>53</v>
      </c>
      <c r="T12548" s="10" t="s">
        <v>54</v>
      </c>
    </row>
    <row r="12549" spans="1:20" ht="14.5" x14ac:dyDescent="0.35">
      <c r="A12549" s="10" t="s">
        <v>53045</v>
      </c>
      <c r="B12549" s="10" t="str">
        <f>"9789004463158"</f>
        <v>9789004463158</v>
      </c>
      <c r="C12549" s="10" t="str">
        <f>"9789004463165"</f>
        <v>9789004463165</v>
      </c>
      <c r="D12549" s="10" t="s">
        <v>8564</v>
      </c>
      <c r="E12549" s="10" t="s">
        <v>8565</v>
      </c>
      <c r="F12549" s="10" t="s">
        <v>1420</v>
      </c>
      <c r="G12549" s="10" t="s">
        <v>6317</v>
      </c>
      <c r="H12549" s="11">
        <v>44328</v>
      </c>
      <c r="I12549" s="10">
        <v>2021</v>
      </c>
      <c r="J12549" s="10" t="s">
        <v>8565</v>
      </c>
      <c r="K12549" s="10">
        <v>246</v>
      </c>
      <c r="L12549" s="10" t="s">
        <v>53046</v>
      </c>
      <c r="M12549" s="10">
        <v>1</v>
      </c>
      <c r="N12549" s="10" t="s">
        <v>33257</v>
      </c>
      <c r="O12549" s="10">
        <v>51</v>
      </c>
      <c r="P12549" s="10"/>
      <c r="Q12549" s="10"/>
      <c r="R12549" s="10"/>
      <c r="S12549" s="10" t="s">
        <v>53</v>
      </c>
      <c r="T12549" s="10" t="s">
        <v>54</v>
      </c>
    </row>
    <row r="12550" spans="1:20" ht="14.5" x14ac:dyDescent="0.35">
      <c r="A12550" s="10" t="s">
        <v>53047</v>
      </c>
      <c r="B12550" s="10" t="str">
        <f>"9789004447936"</f>
        <v>9789004447936</v>
      </c>
      <c r="C12550" s="10" t="str">
        <f>"9789004447943"</f>
        <v>9789004447943</v>
      </c>
      <c r="D12550" s="10" t="s">
        <v>8564</v>
      </c>
      <c r="E12550" s="10" t="s">
        <v>8565</v>
      </c>
      <c r="F12550" s="10" t="s">
        <v>1420</v>
      </c>
      <c r="G12550" s="10" t="s">
        <v>6317</v>
      </c>
      <c r="H12550" s="11">
        <v>44203</v>
      </c>
      <c r="I12550" s="10">
        <v>2021</v>
      </c>
      <c r="J12550" s="10" t="s">
        <v>8565</v>
      </c>
      <c r="K12550" s="10">
        <v>386</v>
      </c>
      <c r="L12550" s="10" t="s">
        <v>53048</v>
      </c>
      <c r="M12550" s="10">
        <v>1</v>
      </c>
      <c r="N12550" s="10"/>
      <c r="O12550" s="10"/>
      <c r="P12550" s="10"/>
      <c r="Q12550" s="10"/>
      <c r="R12550" s="10"/>
      <c r="S12550" s="10" t="s">
        <v>53</v>
      </c>
      <c r="T12550" s="10" t="s">
        <v>54</v>
      </c>
    </row>
    <row r="12551" spans="1:20" ht="14.5" x14ac:dyDescent="0.35">
      <c r="A12551" s="10" t="s">
        <v>53049</v>
      </c>
      <c r="B12551" s="10" t="str">
        <f>"9789004376229"</f>
        <v>9789004376229</v>
      </c>
      <c r="C12551" s="10" t="str">
        <f>"9789004446434"</f>
        <v>9789004446434</v>
      </c>
      <c r="D12551" s="10" t="s">
        <v>8564</v>
      </c>
      <c r="E12551" s="10" t="s">
        <v>8565</v>
      </c>
      <c r="F12551" s="10" t="s">
        <v>1420</v>
      </c>
      <c r="G12551" s="10" t="s">
        <v>6317</v>
      </c>
      <c r="H12551" s="11">
        <v>44316</v>
      </c>
      <c r="I12551" s="10">
        <v>2021</v>
      </c>
      <c r="J12551" s="10" t="s">
        <v>8565</v>
      </c>
      <c r="K12551" s="10">
        <v>491</v>
      </c>
      <c r="L12551" s="10" t="s">
        <v>53050</v>
      </c>
      <c r="M12551" s="10">
        <v>1</v>
      </c>
      <c r="N12551" s="10"/>
      <c r="O12551" s="10"/>
      <c r="P12551" s="10"/>
      <c r="Q12551" s="10"/>
      <c r="R12551" s="10"/>
      <c r="S12551" s="10" t="s">
        <v>53</v>
      </c>
      <c r="T12551" s="10" t="s">
        <v>54</v>
      </c>
    </row>
    <row r="12552" spans="1:20" ht="14.5" x14ac:dyDescent="0.35">
      <c r="A12552" s="10" t="s">
        <v>53051</v>
      </c>
      <c r="B12552" s="10" t="str">
        <f>"9789004462700"</f>
        <v>9789004462700</v>
      </c>
      <c r="C12552" s="10" t="str">
        <f>"9789004462717"</f>
        <v>9789004462717</v>
      </c>
      <c r="D12552" s="10" t="s">
        <v>8564</v>
      </c>
      <c r="E12552" s="10" t="s">
        <v>8565</v>
      </c>
      <c r="F12552" s="10" t="s">
        <v>1420</v>
      </c>
      <c r="G12552" s="10" t="s">
        <v>6317</v>
      </c>
      <c r="H12552" s="11">
        <v>44322</v>
      </c>
      <c r="I12552" s="10">
        <v>2021</v>
      </c>
      <c r="J12552" s="10" t="s">
        <v>8565</v>
      </c>
      <c r="K12552" s="10">
        <v>382</v>
      </c>
      <c r="L12552" s="10" t="s">
        <v>53052</v>
      </c>
      <c r="M12552" s="10">
        <v>1</v>
      </c>
      <c r="N12552" s="10" t="s">
        <v>33257</v>
      </c>
      <c r="O12552" s="10">
        <v>50</v>
      </c>
      <c r="P12552" s="10"/>
      <c r="Q12552" s="10"/>
      <c r="R12552" s="10"/>
      <c r="S12552" s="10" t="s">
        <v>53</v>
      </c>
      <c r="T12552" s="10" t="s">
        <v>54</v>
      </c>
    </row>
    <row r="12553" spans="1:20" ht="14.5" x14ac:dyDescent="0.35">
      <c r="A12553" s="10" t="s">
        <v>53053</v>
      </c>
      <c r="B12553" s="10" t="str">
        <f>""</f>
        <v/>
      </c>
      <c r="C12553" s="10" t="str">
        <f>"9780873537452"</f>
        <v>9780873537452</v>
      </c>
      <c r="D12553" s="10" t="s">
        <v>509</v>
      </c>
      <c r="E12553" s="10" t="s">
        <v>509</v>
      </c>
      <c r="F12553" s="10" t="s">
        <v>52643</v>
      </c>
      <c r="G12553" s="10" t="s">
        <v>6317</v>
      </c>
      <c r="H12553" s="11">
        <v>41456</v>
      </c>
      <c r="I12553" s="10">
        <v>2013</v>
      </c>
      <c r="J12553" s="10" t="s">
        <v>509</v>
      </c>
      <c r="K12553" s="10">
        <v>146</v>
      </c>
      <c r="L12553" s="10" t="s">
        <v>53054</v>
      </c>
      <c r="M12553" s="10">
        <v>1</v>
      </c>
      <c r="N12553" s="10"/>
      <c r="O12553" s="10"/>
      <c r="P12553" s="10" t="s">
        <v>53055</v>
      </c>
      <c r="Q12553" s="10">
        <v>507</v>
      </c>
      <c r="R12553" s="10" t="s">
        <v>53056</v>
      </c>
      <c r="S12553" s="10" t="s">
        <v>53</v>
      </c>
      <c r="T12553" s="10" t="s">
        <v>10979</v>
      </c>
    </row>
    <row r="12554" spans="1:20" ht="14.5" x14ac:dyDescent="0.35">
      <c r="A12554" s="10" t="s">
        <v>53057</v>
      </c>
      <c r="B12554" s="10" t="str">
        <f>"9781914228131"</f>
        <v>9781914228131</v>
      </c>
      <c r="C12554" s="10" t="str">
        <f>"9781914228148"</f>
        <v>9781914228148</v>
      </c>
      <c r="D12554" s="10" t="s">
        <v>9533</v>
      </c>
      <c r="E12554" s="10" t="s">
        <v>53058</v>
      </c>
      <c r="F12554" s="10" t="s">
        <v>53059</v>
      </c>
      <c r="G12554" s="10" t="s">
        <v>6352</v>
      </c>
      <c r="H12554" s="11">
        <v>44404</v>
      </c>
      <c r="I12554" s="10">
        <v>2021</v>
      </c>
      <c r="J12554" s="10" t="s">
        <v>53058</v>
      </c>
      <c r="K12554" s="10">
        <v>141</v>
      </c>
      <c r="L12554" s="10" t="s">
        <v>53060</v>
      </c>
      <c r="M12554" s="10">
        <v>1</v>
      </c>
      <c r="N12554" s="10"/>
      <c r="O12554" s="10"/>
      <c r="P12554" s="10" t="s">
        <v>53061</v>
      </c>
      <c r="Q12554" s="10">
        <v>792.07119999999998</v>
      </c>
      <c r="R12554" s="10" t="s">
        <v>53062</v>
      </c>
      <c r="S12554" s="10" t="s">
        <v>53</v>
      </c>
      <c r="T12554" s="10" t="s">
        <v>11822</v>
      </c>
    </row>
    <row r="12555" spans="1:20" ht="14.5" x14ac:dyDescent="0.35">
      <c r="A12555" s="10" t="s">
        <v>53063</v>
      </c>
      <c r="B12555" s="10" t="str">
        <f>"9789004467422"</f>
        <v>9789004467422</v>
      </c>
      <c r="C12555" s="10" t="str">
        <f>"9789004467439"</f>
        <v>9789004467439</v>
      </c>
      <c r="D12555" s="10" t="s">
        <v>8564</v>
      </c>
      <c r="E12555" s="10" t="s">
        <v>8565</v>
      </c>
      <c r="F12555" s="10" t="s">
        <v>1420</v>
      </c>
      <c r="G12555" s="10" t="s">
        <v>6317</v>
      </c>
      <c r="H12555" s="11">
        <v>44350</v>
      </c>
      <c r="I12555" s="10">
        <v>2021</v>
      </c>
      <c r="J12555" s="10" t="s">
        <v>8565</v>
      </c>
      <c r="K12555" s="10">
        <v>335</v>
      </c>
      <c r="L12555" s="10" t="s">
        <v>53064</v>
      </c>
      <c r="M12555" s="10">
        <v>1</v>
      </c>
      <c r="N12555" s="10" t="s">
        <v>33663</v>
      </c>
      <c r="O12555" s="10">
        <v>43</v>
      </c>
      <c r="P12555" s="10"/>
      <c r="Q12555" s="10"/>
      <c r="R12555" s="10"/>
      <c r="S12555" s="10" t="s">
        <v>53</v>
      </c>
      <c r="T12555" s="10" t="s">
        <v>54</v>
      </c>
    </row>
    <row r="12556" spans="1:20" ht="14.5" x14ac:dyDescent="0.35">
      <c r="A12556" s="10" t="s">
        <v>53065</v>
      </c>
      <c r="B12556" s="10" t="str">
        <f>"9789004465602"</f>
        <v>9789004465602</v>
      </c>
      <c r="C12556" s="10" t="str">
        <f>"9789004465619"</f>
        <v>9789004465619</v>
      </c>
      <c r="D12556" s="10" t="s">
        <v>8564</v>
      </c>
      <c r="E12556" s="10" t="s">
        <v>8565</v>
      </c>
      <c r="F12556" s="10" t="s">
        <v>1420</v>
      </c>
      <c r="G12556" s="10" t="s">
        <v>6317</v>
      </c>
      <c r="H12556" s="11">
        <v>44350</v>
      </c>
      <c r="I12556" s="10">
        <v>2021</v>
      </c>
      <c r="J12556" s="10" t="s">
        <v>8565</v>
      </c>
      <c r="K12556" s="10">
        <v>397</v>
      </c>
      <c r="L12556" s="10" t="s">
        <v>53066</v>
      </c>
      <c r="M12556" s="10">
        <v>1</v>
      </c>
      <c r="N12556" s="10" t="s">
        <v>45027</v>
      </c>
      <c r="O12556" s="10">
        <v>10</v>
      </c>
      <c r="P12556" s="10"/>
      <c r="Q12556" s="10"/>
      <c r="R12556" s="10"/>
      <c r="S12556" s="10" t="s">
        <v>53</v>
      </c>
      <c r="T12556" s="10" t="s">
        <v>54</v>
      </c>
    </row>
    <row r="12557" spans="1:20" ht="14.5" x14ac:dyDescent="0.35">
      <c r="A12557" s="10" t="s">
        <v>53067</v>
      </c>
      <c r="B12557" s="10" t="str">
        <f>"9781477322864"</f>
        <v>9781477322864</v>
      </c>
      <c r="C12557" s="10" t="str">
        <f>"9781477322871"</f>
        <v>9781477322871</v>
      </c>
      <c r="D12557" s="10" t="s">
        <v>39092</v>
      </c>
      <c r="E12557" s="10" t="s">
        <v>39092</v>
      </c>
      <c r="F12557" s="10" t="s">
        <v>597</v>
      </c>
      <c r="G12557" s="10" t="s">
        <v>6317</v>
      </c>
      <c r="H12557" s="11">
        <v>44320</v>
      </c>
      <c r="I12557" s="10">
        <v>2021</v>
      </c>
      <c r="J12557" s="10" t="s">
        <v>39092</v>
      </c>
      <c r="K12557" s="10">
        <v>345</v>
      </c>
      <c r="L12557" s="10" t="s">
        <v>38649</v>
      </c>
      <c r="M12557" s="10">
        <v>1</v>
      </c>
      <c r="N12557" s="10" t="s">
        <v>53068</v>
      </c>
      <c r="O12557" s="10"/>
      <c r="P12557" s="10" t="s">
        <v>53069</v>
      </c>
      <c r="Q12557" s="10">
        <v>796.02373</v>
      </c>
      <c r="R12557" s="10"/>
      <c r="S12557" s="10" t="s">
        <v>53</v>
      </c>
      <c r="T12557" s="10" t="s">
        <v>7340</v>
      </c>
    </row>
    <row r="12558" spans="1:20" ht="14.5" x14ac:dyDescent="0.35">
      <c r="A12558" s="10" t="s">
        <v>53070</v>
      </c>
      <c r="B12558" s="10" t="str">
        <f>"9781464816598"</f>
        <v>9781464816598</v>
      </c>
      <c r="C12558" s="10" t="str">
        <f>"9781464816604"</f>
        <v>9781464816604</v>
      </c>
      <c r="D12558" s="10" t="s">
        <v>14731</v>
      </c>
      <c r="E12558" s="10" t="s">
        <v>14732</v>
      </c>
      <c r="F12558" s="10" t="s">
        <v>11765</v>
      </c>
      <c r="G12558" s="10" t="s">
        <v>6317</v>
      </c>
      <c r="H12558" s="11">
        <v>44256</v>
      </c>
      <c r="I12558" s="10">
        <v>2021</v>
      </c>
      <c r="J12558" s="10" t="s">
        <v>14732</v>
      </c>
      <c r="K12558" s="10">
        <v>163</v>
      </c>
      <c r="L12558" s="10" t="s">
        <v>53071</v>
      </c>
      <c r="M12558" s="10">
        <v>1</v>
      </c>
      <c r="N12558" s="10" t="s">
        <v>53072</v>
      </c>
      <c r="O12558" s="10"/>
      <c r="P12558" s="10" t="s">
        <v>34985</v>
      </c>
      <c r="Q12558" s="10">
        <v>371.26400000000001</v>
      </c>
      <c r="R12558" s="10" t="s">
        <v>53073</v>
      </c>
      <c r="S12558" s="10" t="s">
        <v>53</v>
      </c>
      <c r="T12558" s="10" t="s">
        <v>54</v>
      </c>
    </row>
    <row r="12559" spans="1:20" ht="14.5" x14ac:dyDescent="0.35">
      <c r="A12559" s="10" t="s">
        <v>53074</v>
      </c>
      <c r="B12559" s="10" t="str">
        <f>"9781642672480"</f>
        <v>9781642672480</v>
      </c>
      <c r="C12559" s="10" t="str">
        <f>"9781000972955"</f>
        <v>9781000972955</v>
      </c>
      <c r="D12559" s="10" t="s">
        <v>6350</v>
      </c>
      <c r="E12559" s="10" t="s">
        <v>6351</v>
      </c>
      <c r="F12559" s="10" t="s">
        <v>41227</v>
      </c>
      <c r="G12559" s="10" t="s">
        <v>6317</v>
      </c>
      <c r="H12559" s="11">
        <v>44355</v>
      </c>
      <c r="I12559" s="10">
        <v>2021</v>
      </c>
      <c r="J12559" s="10" t="s">
        <v>6353</v>
      </c>
      <c r="K12559" s="10">
        <v>337</v>
      </c>
      <c r="L12559" s="10" t="s">
        <v>53075</v>
      </c>
      <c r="M12559" s="10">
        <v>1</v>
      </c>
      <c r="N12559" s="10"/>
      <c r="O12559" s="10"/>
      <c r="P12559" s="10" t="s">
        <v>53076</v>
      </c>
      <c r="Q12559" s="10">
        <v>378.73</v>
      </c>
      <c r="R12559" s="10" t="s">
        <v>53077</v>
      </c>
      <c r="S12559" s="10" t="s">
        <v>53</v>
      </c>
      <c r="T12559" s="10" t="s">
        <v>54</v>
      </c>
    </row>
    <row r="12560" spans="1:20" ht="14.5" x14ac:dyDescent="0.35">
      <c r="A12560" s="10" t="s">
        <v>53078</v>
      </c>
      <c r="B12560" s="10" t="str">
        <f>"9781620369104"</f>
        <v>9781620369104</v>
      </c>
      <c r="C12560" s="10" t="str">
        <f>"9781000976441"</f>
        <v>9781000976441</v>
      </c>
      <c r="D12560" s="10" t="s">
        <v>6350</v>
      </c>
      <c r="E12560" s="10" t="s">
        <v>6351</v>
      </c>
      <c r="F12560" s="10" t="s">
        <v>41227</v>
      </c>
      <c r="G12560" s="10" t="s">
        <v>6317</v>
      </c>
      <c r="H12560" s="11">
        <v>44319</v>
      </c>
      <c r="I12560" s="10">
        <v>2021</v>
      </c>
      <c r="J12560" s="10" t="s">
        <v>6353</v>
      </c>
      <c r="K12560" s="10">
        <v>247</v>
      </c>
      <c r="L12560" s="10" t="s">
        <v>53079</v>
      </c>
      <c r="M12560" s="10">
        <v>1</v>
      </c>
      <c r="N12560" s="10"/>
      <c r="O12560" s="10"/>
      <c r="P12560" s="10" t="s">
        <v>53080</v>
      </c>
      <c r="Q12560" s="10">
        <v>378.125</v>
      </c>
      <c r="R12560" s="10" t="s">
        <v>53081</v>
      </c>
      <c r="S12560" s="10" t="s">
        <v>53</v>
      </c>
      <c r="T12560" s="10" t="s">
        <v>54</v>
      </c>
    </row>
    <row r="12561" spans="1:20" ht="14.5" x14ac:dyDescent="0.35">
      <c r="A12561" s="10" t="s">
        <v>53082</v>
      </c>
      <c r="B12561" s="10" t="str">
        <f>"9781978809123"</f>
        <v>9781978809123</v>
      </c>
      <c r="C12561" s="10" t="str">
        <f>"9781978809154"</f>
        <v>9781978809154</v>
      </c>
      <c r="D12561" s="10" t="s">
        <v>12251</v>
      </c>
      <c r="E12561" s="10" t="s">
        <v>12251</v>
      </c>
      <c r="F12561" s="10" t="s">
        <v>12451</v>
      </c>
      <c r="G12561" s="10" t="s">
        <v>6317</v>
      </c>
      <c r="H12561" s="11">
        <v>44421</v>
      </c>
      <c r="I12561" s="10">
        <v>2021</v>
      </c>
      <c r="J12561" s="10" t="s">
        <v>12251</v>
      </c>
      <c r="K12561" s="10">
        <v>249</v>
      </c>
      <c r="L12561" s="10" t="s">
        <v>53083</v>
      </c>
      <c r="M12561" s="10">
        <v>1</v>
      </c>
      <c r="N12561" s="10"/>
      <c r="O12561" s="10"/>
      <c r="P12561" s="10" t="s">
        <v>53084</v>
      </c>
      <c r="Q12561" s="10">
        <v>378.2</v>
      </c>
      <c r="R12561" s="10"/>
      <c r="S12561" s="10" t="s">
        <v>53</v>
      </c>
      <c r="T12561" s="10" t="s">
        <v>54</v>
      </c>
    </row>
    <row r="12562" spans="1:20" ht="14.5" x14ac:dyDescent="0.35">
      <c r="A12562" s="10" t="s">
        <v>53085</v>
      </c>
      <c r="B12562" s="10" t="str">
        <f>"9789264323261"</f>
        <v>9789264323261</v>
      </c>
      <c r="C12562" s="10" t="str">
        <f>"9789264819702"</f>
        <v>9789264819702</v>
      </c>
      <c r="D12562" s="10" t="s">
        <v>52292</v>
      </c>
      <c r="E12562" s="10" t="s">
        <v>52311</v>
      </c>
      <c r="F12562" s="10" t="s">
        <v>194</v>
      </c>
      <c r="G12562" s="10" t="s">
        <v>31597</v>
      </c>
      <c r="H12562" s="11">
        <v>44200</v>
      </c>
      <c r="I12562" s="10">
        <v>2021</v>
      </c>
      <c r="J12562" s="10" t="s">
        <v>52311</v>
      </c>
      <c r="K12562" s="10">
        <v>98</v>
      </c>
      <c r="L12562" s="10" t="s">
        <v>52292</v>
      </c>
      <c r="M12562" s="10">
        <v>1</v>
      </c>
      <c r="N12562" s="10"/>
      <c r="O12562" s="10"/>
      <c r="P12562" s="10"/>
      <c r="Q12562" s="10"/>
      <c r="R12562" s="10"/>
      <c r="S12562" s="10" t="s">
        <v>53</v>
      </c>
      <c r="T12562" s="10" t="s">
        <v>6660</v>
      </c>
    </row>
    <row r="12563" spans="1:20" ht="14.5" x14ac:dyDescent="0.35">
      <c r="A12563" s="10" t="s">
        <v>53086</v>
      </c>
      <c r="B12563" s="10" t="str">
        <f>"9781990995040"</f>
        <v>9781990995040</v>
      </c>
      <c r="C12563" s="10" t="str">
        <f>"9781990995057"</f>
        <v>9781990995057</v>
      </c>
      <c r="D12563" s="10" t="s">
        <v>51836</v>
      </c>
      <c r="E12563" s="10" t="s">
        <v>52559</v>
      </c>
      <c r="F12563" s="10" t="s">
        <v>51837</v>
      </c>
      <c r="G12563" s="10" t="s">
        <v>24826</v>
      </c>
      <c r="H12563" s="11">
        <v>44592</v>
      </c>
      <c r="I12563" s="10">
        <v>2021</v>
      </c>
      <c r="J12563" s="10" t="s">
        <v>52559</v>
      </c>
      <c r="K12563" s="10">
        <v>324</v>
      </c>
      <c r="L12563" s="10" t="s">
        <v>53087</v>
      </c>
      <c r="M12563" s="10">
        <v>1</v>
      </c>
      <c r="N12563" s="10" t="s">
        <v>53088</v>
      </c>
      <c r="O12563" s="10">
        <v>2</v>
      </c>
      <c r="P12563" s="10"/>
      <c r="Q12563" s="10"/>
      <c r="R12563" s="10"/>
      <c r="S12563" s="10" t="s">
        <v>53</v>
      </c>
      <c r="T12563" s="10" t="s">
        <v>54</v>
      </c>
    </row>
    <row r="12564" spans="1:20" ht="14.5" x14ac:dyDescent="0.35">
      <c r="A12564" s="10" t="s">
        <v>53089</v>
      </c>
      <c r="B12564" s="10" t="str">
        <f>"9781975503116"</f>
        <v>9781975503116</v>
      </c>
      <c r="C12564" s="10" t="str">
        <f>"9781975503130"</f>
        <v>9781975503130</v>
      </c>
      <c r="D12564" s="10" t="s">
        <v>44271</v>
      </c>
      <c r="E12564" s="10" t="s">
        <v>47266</v>
      </c>
      <c r="F12564" s="10" t="s">
        <v>41227</v>
      </c>
      <c r="G12564" s="10" t="s">
        <v>6317</v>
      </c>
      <c r="H12564" s="11">
        <v>44362</v>
      </c>
      <c r="I12564" s="10">
        <v>2021</v>
      </c>
      <c r="J12564" s="10" t="s">
        <v>47266</v>
      </c>
      <c r="K12564" s="10">
        <v>237</v>
      </c>
      <c r="L12564" s="10" t="s">
        <v>53090</v>
      </c>
      <c r="M12564" s="10">
        <v>1</v>
      </c>
      <c r="N12564" s="10" t="s">
        <v>53091</v>
      </c>
      <c r="O12564" s="10"/>
      <c r="P12564" s="10"/>
      <c r="Q12564" s="10"/>
      <c r="R12564" s="10"/>
      <c r="S12564" s="10" t="s">
        <v>53</v>
      </c>
      <c r="T12564" s="10" t="s">
        <v>54</v>
      </c>
    </row>
    <row r="12565" spans="1:20" ht="14.5" x14ac:dyDescent="0.35">
      <c r="A12565" s="10" t="s">
        <v>53092</v>
      </c>
      <c r="B12565" s="10" t="str">
        <f>"9780299333102"</f>
        <v>9780299333102</v>
      </c>
      <c r="C12565" s="10" t="str">
        <f>"9780299333133"</f>
        <v>9780299333133</v>
      </c>
      <c r="D12565" s="10" t="s">
        <v>3757</v>
      </c>
      <c r="E12565" s="10" t="s">
        <v>3757</v>
      </c>
      <c r="F12565" s="10" t="s">
        <v>3095</v>
      </c>
      <c r="G12565" s="10" t="s">
        <v>6317</v>
      </c>
      <c r="H12565" s="11">
        <v>44418</v>
      </c>
      <c r="I12565" s="10">
        <v>2022</v>
      </c>
      <c r="J12565" s="10" t="s">
        <v>3757</v>
      </c>
      <c r="K12565" s="10">
        <v>347</v>
      </c>
      <c r="L12565" s="10" t="s">
        <v>53093</v>
      </c>
      <c r="M12565" s="10">
        <v>1</v>
      </c>
      <c r="N12565" s="10" t="s">
        <v>53094</v>
      </c>
      <c r="O12565" s="10"/>
      <c r="P12565" s="10" t="s">
        <v>53095</v>
      </c>
      <c r="Q12565" s="10">
        <v>370.92</v>
      </c>
      <c r="R12565" s="10"/>
      <c r="S12565" s="10" t="s">
        <v>53</v>
      </c>
      <c r="T12565" s="10" t="s">
        <v>54</v>
      </c>
    </row>
    <row r="12566" spans="1:20" ht="14.5" x14ac:dyDescent="0.35">
      <c r="A12566" s="10" t="s">
        <v>53096</v>
      </c>
      <c r="B12566" s="10" t="str">
        <f>"9781642671803"</f>
        <v>9781642671803</v>
      </c>
      <c r="C12566" s="10" t="str">
        <f>"9781000973846"</f>
        <v>9781000973846</v>
      </c>
      <c r="D12566" s="10" t="s">
        <v>6350</v>
      </c>
      <c r="E12566" s="10" t="s">
        <v>6351</v>
      </c>
      <c r="F12566" s="10" t="s">
        <v>748</v>
      </c>
      <c r="G12566" s="10" t="s">
        <v>6352</v>
      </c>
      <c r="H12566" s="11">
        <v>44376</v>
      </c>
      <c r="I12566" s="10">
        <v>2021</v>
      </c>
      <c r="J12566" s="10" t="s">
        <v>6351</v>
      </c>
      <c r="K12566" s="10">
        <v>213</v>
      </c>
      <c r="L12566" s="10" t="s">
        <v>53097</v>
      </c>
      <c r="M12566" s="10">
        <v>1</v>
      </c>
      <c r="N12566" s="10"/>
      <c r="O12566" s="10"/>
      <c r="P12566" s="10" t="s">
        <v>53098</v>
      </c>
      <c r="Q12566" s="10">
        <v>378.73</v>
      </c>
      <c r="R12566" s="10" t="s">
        <v>53099</v>
      </c>
      <c r="S12566" s="10" t="s">
        <v>53</v>
      </c>
      <c r="T12566" s="10" t="s">
        <v>54</v>
      </c>
    </row>
    <row r="12567" spans="1:20" ht="14.5" x14ac:dyDescent="0.35">
      <c r="A12567" s="10" t="s">
        <v>53100</v>
      </c>
      <c r="B12567" s="10" t="str">
        <f>"9781642670882"</f>
        <v>9781642670882</v>
      </c>
      <c r="C12567" s="10" t="str">
        <f>"9781000973365"</f>
        <v>9781000973365</v>
      </c>
      <c r="D12567" s="10" t="s">
        <v>6350</v>
      </c>
      <c r="E12567" s="10" t="s">
        <v>6351</v>
      </c>
      <c r="F12567" s="10" t="s">
        <v>748</v>
      </c>
      <c r="G12567" s="10" t="s">
        <v>6352</v>
      </c>
      <c r="H12567" s="11">
        <v>44375</v>
      </c>
      <c r="I12567" s="10">
        <v>2021</v>
      </c>
      <c r="J12567" s="10" t="s">
        <v>6351</v>
      </c>
      <c r="K12567" s="10">
        <v>216</v>
      </c>
      <c r="L12567" s="10" t="s">
        <v>26635</v>
      </c>
      <c r="M12567" s="10">
        <v>1</v>
      </c>
      <c r="N12567" s="10"/>
      <c r="O12567" s="10"/>
      <c r="P12567" s="10" t="s">
        <v>53101</v>
      </c>
      <c r="Q12567" s="10">
        <v>379.73</v>
      </c>
      <c r="R12567" s="10" t="s">
        <v>53102</v>
      </c>
      <c r="S12567" s="10" t="s">
        <v>53</v>
      </c>
      <c r="T12567" s="10" t="s">
        <v>54</v>
      </c>
    </row>
    <row r="12568" spans="1:20" ht="14.5" x14ac:dyDescent="0.35">
      <c r="A12568" s="10" t="s">
        <v>53103</v>
      </c>
      <c r="B12568" s="10" t="str">
        <f>"9781119789857"</f>
        <v>9781119789857</v>
      </c>
      <c r="C12568" s="10" t="str">
        <f>"9781119789871"</f>
        <v>9781119789871</v>
      </c>
      <c r="D12568" s="10" t="s">
        <v>6322</v>
      </c>
      <c r="E12568" s="10" t="s">
        <v>6323</v>
      </c>
      <c r="F12568" s="10" t="s">
        <v>4423</v>
      </c>
      <c r="G12568" s="10" t="s">
        <v>6317</v>
      </c>
      <c r="H12568" s="11">
        <v>44391</v>
      </c>
      <c r="I12568" s="10">
        <v>2021</v>
      </c>
      <c r="J12568" s="10" t="s">
        <v>6323</v>
      </c>
      <c r="K12568" s="10">
        <v>321</v>
      </c>
      <c r="L12568" s="10" t="s">
        <v>53104</v>
      </c>
      <c r="M12568" s="10">
        <v>1</v>
      </c>
      <c r="N12568" s="10"/>
      <c r="O12568" s="10"/>
      <c r="P12568" s="10" t="s">
        <v>53105</v>
      </c>
      <c r="Q12568" s="10">
        <v>371.334</v>
      </c>
      <c r="R12568" s="10" t="s">
        <v>20377</v>
      </c>
      <c r="S12568" s="10" t="s">
        <v>53</v>
      </c>
      <c r="T12568" s="10" t="s">
        <v>54</v>
      </c>
    </row>
    <row r="12569" spans="1:20" ht="14.5" x14ac:dyDescent="0.35">
      <c r="A12569" s="10" t="s">
        <v>53106</v>
      </c>
      <c r="B12569" s="10" t="str">
        <f>"9789004468153"</f>
        <v>9789004468153</v>
      </c>
      <c r="C12569" s="10" t="str">
        <f>"9789004468160"</f>
        <v>9789004468160</v>
      </c>
      <c r="D12569" s="10" t="s">
        <v>8564</v>
      </c>
      <c r="E12569" s="10" t="s">
        <v>8565</v>
      </c>
      <c r="F12569" s="10" t="s">
        <v>1420</v>
      </c>
      <c r="G12569" s="10" t="s">
        <v>6317</v>
      </c>
      <c r="H12569" s="11">
        <v>44350</v>
      </c>
      <c r="I12569" s="10">
        <v>2021</v>
      </c>
      <c r="J12569" s="10" t="s">
        <v>8565</v>
      </c>
      <c r="K12569" s="10">
        <v>185</v>
      </c>
      <c r="L12569" s="10" t="s">
        <v>51274</v>
      </c>
      <c r="M12569" s="10">
        <v>1</v>
      </c>
      <c r="N12569" s="10" t="s">
        <v>33663</v>
      </c>
      <c r="O12569" s="10">
        <v>45</v>
      </c>
      <c r="P12569" s="10"/>
      <c r="Q12569" s="10"/>
      <c r="R12569" s="10"/>
      <c r="S12569" s="10" t="s">
        <v>53</v>
      </c>
      <c r="T12569" s="10" t="s">
        <v>54</v>
      </c>
    </row>
    <row r="12570" spans="1:20" ht="14.5" x14ac:dyDescent="0.35">
      <c r="A12570" s="10" t="s">
        <v>53107</v>
      </c>
      <c r="B12570" s="10" t="str">
        <f>"9781978821989"</f>
        <v>9781978821989</v>
      </c>
      <c r="C12570" s="10" t="str">
        <f>"9781978822016"</f>
        <v>9781978822016</v>
      </c>
      <c r="D12570" s="10" t="s">
        <v>12251</v>
      </c>
      <c r="E12570" s="10" t="s">
        <v>12251</v>
      </c>
      <c r="F12570" s="10" t="s">
        <v>12451</v>
      </c>
      <c r="G12570" s="10" t="s">
        <v>6317</v>
      </c>
      <c r="H12570" s="11">
        <v>44365</v>
      </c>
      <c r="I12570" s="10">
        <v>2021</v>
      </c>
      <c r="J12570" s="10" t="s">
        <v>12251</v>
      </c>
      <c r="K12570" s="10">
        <v>217</v>
      </c>
      <c r="L12570" s="10" t="s">
        <v>53108</v>
      </c>
      <c r="M12570" s="10">
        <v>1</v>
      </c>
      <c r="N12570" s="10"/>
      <c r="O12570" s="10"/>
      <c r="P12570" s="10" t="s">
        <v>53109</v>
      </c>
      <c r="Q12570" s="10">
        <v>370.71100000000001</v>
      </c>
      <c r="R12570" s="10"/>
      <c r="S12570" s="10" t="s">
        <v>53</v>
      </c>
      <c r="T12570" s="10" t="s">
        <v>54</v>
      </c>
    </row>
    <row r="12571" spans="1:20" ht="14.5" x14ac:dyDescent="0.35">
      <c r="A12571" s="10" t="s">
        <v>53110</v>
      </c>
      <c r="B12571" s="10" t="str">
        <f>"9788413772455"</f>
        <v>9788413772455</v>
      </c>
      <c r="C12571" s="10" t="str">
        <f>"9788413776064"</f>
        <v>9788413776064</v>
      </c>
      <c r="D12571" s="10" t="s">
        <v>52671</v>
      </c>
      <c r="E12571" s="10" t="s">
        <v>52671</v>
      </c>
      <c r="F12571" s="10" t="s">
        <v>1681</v>
      </c>
      <c r="G12571" s="10" t="s">
        <v>52672</v>
      </c>
      <c r="H12571" s="11">
        <v>44196</v>
      </c>
      <c r="I12571" s="10">
        <v>2020</v>
      </c>
      <c r="J12571" s="10" t="s">
        <v>52671</v>
      </c>
      <c r="K12571" s="10">
        <v>242</v>
      </c>
      <c r="L12571" s="10" t="s">
        <v>53111</v>
      </c>
      <c r="M12571" s="10">
        <v>1</v>
      </c>
      <c r="N12571" s="10"/>
      <c r="O12571" s="10"/>
      <c r="P12571" s="10" t="s">
        <v>53112</v>
      </c>
      <c r="Q12571" s="10">
        <v>155.19999999999999</v>
      </c>
      <c r="R12571" s="10" t="s">
        <v>41616</v>
      </c>
      <c r="S12571" s="10" t="s">
        <v>119</v>
      </c>
      <c r="T12571" s="10" t="s">
        <v>483</v>
      </c>
    </row>
    <row r="12572" spans="1:20" ht="14.5" x14ac:dyDescent="0.35">
      <c r="A12572" s="10" t="s">
        <v>53113</v>
      </c>
      <c r="B12572" s="10" t="str">
        <f>""</f>
        <v/>
      </c>
      <c r="C12572" s="10" t="str">
        <f>"9783838275130"</f>
        <v>9783838275130</v>
      </c>
      <c r="D12572" s="10" t="s">
        <v>27189</v>
      </c>
      <c r="E12572" s="10" t="s">
        <v>28981</v>
      </c>
      <c r="F12572" s="10" t="s">
        <v>2925</v>
      </c>
      <c r="G12572" s="10" t="s">
        <v>9998</v>
      </c>
      <c r="H12572" s="11">
        <v>44335</v>
      </c>
      <c r="I12572" s="10">
        <v>2021</v>
      </c>
      <c r="J12572" s="10" t="s">
        <v>28981</v>
      </c>
      <c r="K12572" s="10">
        <v>369</v>
      </c>
      <c r="L12572" s="10" t="s">
        <v>53114</v>
      </c>
      <c r="M12572" s="10"/>
      <c r="N12572" s="10" t="s">
        <v>53115</v>
      </c>
      <c r="O12572" s="10">
        <v>1</v>
      </c>
      <c r="P12572" s="10" t="s">
        <v>53116</v>
      </c>
      <c r="Q12572" s="10">
        <v>418.00285000000002</v>
      </c>
      <c r="R12572" s="10" t="s">
        <v>53117</v>
      </c>
      <c r="S12572" s="10" t="s">
        <v>53</v>
      </c>
      <c r="T12572" s="10" t="s">
        <v>6616</v>
      </c>
    </row>
    <row r="12573" spans="1:20" ht="14.5" x14ac:dyDescent="0.35">
      <c r="A12573" s="10" t="s">
        <v>53118</v>
      </c>
      <c r="B12573" s="10" t="str">
        <f>"9781938113970"</f>
        <v>9781938113970</v>
      </c>
      <c r="C12573" s="10" t="str">
        <f>"9781938113987"</f>
        <v>9781938113987</v>
      </c>
      <c r="D12573" s="10" t="s">
        <v>9533</v>
      </c>
      <c r="E12573" s="10" t="s">
        <v>5950</v>
      </c>
      <c r="F12573" s="10" t="s">
        <v>25348</v>
      </c>
      <c r="G12573" s="10" t="s">
        <v>6317</v>
      </c>
      <c r="H12573" s="11">
        <v>44607</v>
      </c>
      <c r="I12573" s="10">
        <v>2022</v>
      </c>
      <c r="J12573" s="10" t="s">
        <v>5950</v>
      </c>
      <c r="K12573" s="10">
        <v>230</v>
      </c>
      <c r="L12573" s="10" t="s">
        <v>53119</v>
      </c>
      <c r="M12573" s="10">
        <v>1</v>
      </c>
      <c r="N12573" s="10"/>
      <c r="O12573" s="10"/>
      <c r="P12573" s="10" t="s">
        <v>53120</v>
      </c>
      <c r="Q12573" s="10">
        <v>302.23070999999999</v>
      </c>
      <c r="R12573" s="10" t="s">
        <v>53121</v>
      </c>
      <c r="S12573" s="10" t="s">
        <v>53</v>
      </c>
      <c r="T12573" s="10" t="s">
        <v>6363</v>
      </c>
    </row>
    <row r="12574" spans="1:20" ht="14.5" x14ac:dyDescent="0.35">
      <c r="A12574" s="10" t="s">
        <v>53122</v>
      </c>
      <c r="B12574" s="10" t="str">
        <f>"9781416630203"</f>
        <v>9781416630203</v>
      </c>
      <c r="C12574" s="10" t="str">
        <f>"9781416630227"</f>
        <v>9781416630227</v>
      </c>
      <c r="D12574" s="10" t="s">
        <v>10014</v>
      </c>
      <c r="E12574" s="10" t="s">
        <v>10015</v>
      </c>
      <c r="F12574" s="10" t="s">
        <v>201</v>
      </c>
      <c r="G12574" s="10" t="s">
        <v>6317</v>
      </c>
      <c r="H12574" s="11">
        <v>44377</v>
      </c>
      <c r="I12574" s="10">
        <v>2021</v>
      </c>
      <c r="J12574" s="10" t="s">
        <v>10015</v>
      </c>
      <c r="K12574" s="10">
        <v>155</v>
      </c>
      <c r="L12574" s="10" t="s">
        <v>53123</v>
      </c>
      <c r="M12574" s="10">
        <v>1</v>
      </c>
      <c r="N12574" s="10"/>
      <c r="O12574" s="10"/>
      <c r="P12574" s="10"/>
      <c r="Q12574" s="10">
        <v>371.10199999999998</v>
      </c>
      <c r="R12574" s="10"/>
      <c r="S12574" s="10" t="s">
        <v>53</v>
      </c>
      <c r="T12574" s="10" t="s">
        <v>54</v>
      </c>
    </row>
    <row r="12575" spans="1:20" ht="14.5" x14ac:dyDescent="0.35">
      <c r="A12575" s="10" t="s">
        <v>53124</v>
      </c>
      <c r="B12575" s="10" t="str">
        <f>"9781620368701"</f>
        <v>9781620368701</v>
      </c>
      <c r="C12575" s="10" t="str">
        <f>"9781000971774"</f>
        <v>9781000971774</v>
      </c>
      <c r="D12575" s="10" t="s">
        <v>6350</v>
      </c>
      <c r="E12575" s="10" t="s">
        <v>6351</v>
      </c>
      <c r="F12575" s="10" t="s">
        <v>748</v>
      </c>
      <c r="G12575" s="10" t="s">
        <v>6352</v>
      </c>
      <c r="H12575" s="11">
        <v>44396</v>
      </c>
      <c r="I12575" s="10">
        <v>2021</v>
      </c>
      <c r="J12575" s="10" t="s">
        <v>6351</v>
      </c>
      <c r="K12575" s="10">
        <v>252</v>
      </c>
      <c r="L12575" s="10" t="s">
        <v>53125</v>
      </c>
      <c r="M12575" s="10">
        <v>1</v>
      </c>
      <c r="N12575" s="10"/>
      <c r="O12575" s="10"/>
      <c r="P12575" s="10" t="s">
        <v>53126</v>
      </c>
      <c r="Q12575" s="10">
        <v>371.10199999999998</v>
      </c>
      <c r="R12575" s="10" t="s">
        <v>53127</v>
      </c>
      <c r="S12575" s="10" t="s">
        <v>53</v>
      </c>
      <c r="T12575" s="10" t="s">
        <v>54</v>
      </c>
    </row>
    <row r="12576" spans="1:20" ht="14.5" x14ac:dyDescent="0.35">
      <c r="A12576" s="10" t="s">
        <v>53128</v>
      </c>
      <c r="B12576" s="10" t="str">
        <f>"9782343103990"</f>
        <v>9782343103990</v>
      </c>
      <c r="C12576" s="10" t="str">
        <f>"9782140021954"</f>
        <v>9782140021954</v>
      </c>
      <c r="D12576" s="10" t="s">
        <v>31595</v>
      </c>
      <c r="E12576" s="10" t="s">
        <v>51074</v>
      </c>
      <c r="F12576" s="10" t="s">
        <v>194</v>
      </c>
      <c r="G12576" s="10" t="s">
        <v>31597</v>
      </c>
      <c r="H12576" s="11">
        <v>42552</v>
      </c>
      <c r="I12576" s="10">
        <v>2016</v>
      </c>
      <c r="J12576" s="10" t="s">
        <v>51074</v>
      </c>
      <c r="K12576" s="10">
        <v>250</v>
      </c>
      <c r="L12576" s="10" t="s">
        <v>53129</v>
      </c>
      <c r="M12576" s="10">
        <v>1</v>
      </c>
      <c r="N12576" s="10" t="s">
        <v>53130</v>
      </c>
      <c r="O12576" s="10"/>
      <c r="P12576" s="10"/>
      <c r="Q12576" s="10"/>
      <c r="R12576" s="10"/>
      <c r="S12576" s="10" t="s">
        <v>5404</v>
      </c>
      <c r="T12576" s="10" t="s">
        <v>54</v>
      </c>
    </row>
    <row r="12577" spans="1:20" ht="14.5" x14ac:dyDescent="0.35">
      <c r="A12577" s="10" t="s">
        <v>53131</v>
      </c>
      <c r="B12577" s="10" t="str">
        <f>"9782343202655"</f>
        <v>9782343202655</v>
      </c>
      <c r="C12577" s="10" t="str">
        <f>"9782140154805"</f>
        <v>9782140154805</v>
      </c>
      <c r="D12577" s="10" t="s">
        <v>31595</v>
      </c>
      <c r="E12577" s="10" t="s">
        <v>51074</v>
      </c>
      <c r="F12577" s="10" t="s">
        <v>194</v>
      </c>
      <c r="G12577" s="10" t="s">
        <v>31597</v>
      </c>
      <c r="H12577" s="11">
        <v>44036</v>
      </c>
      <c r="I12577" s="10">
        <v>2020</v>
      </c>
      <c r="J12577" s="10" t="s">
        <v>51074</v>
      </c>
      <c r="K12577" s="10">
        <v>181</v>
      </c>
      <c r="L12577" s="10" t="s">
        <v>53132</v>
      </c>
      <c r="M12577" s="10">
        <v>1</v>
      </c>
      <c r="N12577" s="10" t="s">
        <v>53130</v>
      </c>
      <c r="O12577" s="10"/>
      <c r="P12577" s="10"/>
      <c r="Q12577" s="10"/>
      <c r="R12577" s="10" t="s">
        <v>53133</v>
      </c>
      <c r="S12577" s="10" t="s">
        <v>5404</v>
      </c>
      <c r="T12577" s="10" t="s">
        <v>54</v>
      </c>
    </row>
    <row r="12578" spans="1:20" ht="14.5" x14ac:dyDescent="0.35">
      <c r="A12578" s="10" t="s">
        <v>53134</v>
      </c>
      <c r="B12578" s="10" t="str">
        <f>"9782343019413"</f>
        <v>9782343019413</v>
      </c>
      <c r="C12578" s="10" t="str">
        <f>"9782336329062"</f>
        <v>9782336329062</v>
      </c>
      <c r="D12578" s="10" t="s">
        <v>31595</v>
      </c>
      <c r="E12578" s="10" t="s">
        <v>51074</v>
      </c>
      <c r="F12578" s="10" t="s">
        <v>194</v>
      </c>
      <c r="G12578" s="10" t="s">
        <v>31597</v>
      </c>
      <c r="H12578" s="11">
        <v>41579</v>
      </c>
      <c r="I12578" s="10">
        <v>2013</v>
      </c>
      <c r="J12578" s="10" t="s">
        <v>51074</v>
      </c>
      <c r="K12578" s="10">
        <v>134</v>
      </c>
      <c r="L12578" s="10" t="s">
        <v>53135</v>
      </c>
      <c r="M12578" s="10">
        <v>1</v>
      </c>
      <c r="N12578" s="10" t="s">
        <v>53130</v>
      </c>
      <c r="O12578" s="10"/>
      <c r="P12578" s="10"/>
      <c r="Q12578" s="10"/>
      <c r="R12578" s="10"/>
      <c r="S12578" s="10" t="s">
        <v>5404</v>
      </c>
      <c r="T12578" s="10" t="s">
        <v>54</v>
      </c>
    </row>
    <row r="12579" spans="1:20" ht="14.5" x14ac:dyDescent="0.35">
      <c r="A12579" s="10" t="s">
        <v>53136</v>
      </c>
      <c r="B12579" s="10" t="str">
        <f>"9782343007601"</f>
        <v>9782343007601</v>
      </c>
      <c r="C12579" s="10" t="str">
        <f>"9782336320090"</f>
        <v>9782336320090</v>
      </c>
      <c r="D12579" s="10" t="s">
        <v>31595</v>
      </c>
      <c r="E12579" s="10" t="s">
        <v>51074</v>
      </c>
      <c r="F12579" s="10" t="s">
        <v>194</v>
      </c>
      <c r="G12579" s="10" t="s">
        <v>31597</v>
      </c>
      <c r="H12579" s="11">
        <v>41456</v>
      </c>
      <c r="I12579" s="10">
        <v>2013</v>
      </c>
      <c r="J12579" s="10" t="s">
        <v>51074</v>
      </c>
      <c r="K12579" s="10">
        <v>268</v>
      </c>
      <c r="L12579" s="10" t="s">
        <v>53137</v>
      </c>
      <c r="M12579" s="10">
        <v>1</v>
      </c>
      <c r="N12579" s="10" t="s">
        <v>53138</v>
      </c>
      <c r="O12579" s="10"/>
      <c r="P12579" s="10"/>
      <c r="Q12579" s="10"/>
      <c r="R12579" s="10"/>
      <c r="S12579" s="10" t="s">
        <v>5404</v>
      </c>
      <c r="T12579" s="10" t="s">
        <v>54</v>
      </c>
    </row>
    <row r="12580" spans="1:20" ht="14.5" x14ac:dyDescent="0.35">
      <c r="A12580" s="10" t="s">
        <v>53139</v>
      </c>
      <c r="B12580" s="10" t="str">
        <f>"9782296550643"</f>
        <v>9782296550643</v>
      </c>
      <c r="C12580" s="10" t="str">
        <f>"9782296462502"</f>
        <v>9782296462502</v>
      </c>
      <c r="D12580" s="10" t="s">
        <v>31595</v>
      </c>
      <c r="E12580" s="10" t="s">
        <v>51074</v>
      </c>
      <c r="F12580" s="10" t="s">
        <v>194</v>
      </c>
      <c r="G12580" s="10" t="s">
        <v>31597</v>
      </c>
      <c r="H12580" s="11">
        <v>40695</v>
      </c>
      <c r="I12580" s="10">
        <v>2011</v>
      </c>
      <c r="J12580" s="10" t="s">
        <v>51074</v>
      </c>
      <c r="K12580" s="10">
        <v>274</v>
      </c>
      <c r="L12580" s="10" t="s">
        <v>53140</v>
      </c>
      <c r="M12580" s="10">
        <v>1</v>
      </c>
      <c r="N12580" s="10" t="s">
        <v>53130</v>
      </c>
      <c r="O12580" s="10"/>
      <c r="P12580" s="10"/>
      <c r="Q12580" s="10"/>
      <c r="R12580" s="10"/>
      <c r="S12580" s="10" t="s">
        <v>5404</v>
      </c>
      <c r="T12580" s="10" t="s">
        <v>6634</v>
      </c>
    </row>
    <row r="12581" spans="1:20" ht="14.5" x14ac:dyDescent="0.35">
      <c r="A12581" s="10" t="s">
        <v>53141</v>
      </c>
      <c r="B12581" s="10" t="str">
        <f>"9789004467033"</f>
        <v>9789004467033</v>
      </c>
      <c r="C12581" s="10" t="str">
        <f>"9789004467040"</f>
        <v>9789004467040</v>
      </c>
      <c r="D12581" s="10" t="s">
        <v>8564</v>
      </c>
      <c r="E12581" s="10" t="s">
        <v>8565</v>
      </c>
      <c r="F12581" s="10" t="s">
        <v>1420</v>
      </c>
      <c r="G12581" s="10" t="s">
        <v>6317</v>
      </c>
      <c r="H12581" s="11">
        <v>44357</v>
      </c>
      <c r="I12581" s="10">
        <v>2021</v>
      </c>
      <c r="J12581" s="10" t="s">
        <v>8565</v>
      </c>
      <c r="K12581" s="10">
        <v>243</v>
      </c>
      <c r="L12581" s="10" t="s">
        <v>53142</v>
      </c>
      <c r="M12581" s="10">
        <v>1</v>
      </c>
      <c r="N12581" s="10" t="s">
        <v>48242</v>
      </c>
      <c r="O12581" s="10">
        <v>7</v>
      </c>
      <c r="P12581" s="10"/>
      <c r="Q12581" s="10"/>
      <c r="R12581" s="10"/>
      <c r="S12581" s="10" t="s">
        <v>53</v>
      </c>
      <c r="T12581" s="10" t="s">
        <v>54</v>
      </c>
    </row>
    <row r="12582" spans="1:20" ht="14.5" x14ac:dyDescent="0.35">
      <c r="A12582" s="10" t="s">
        <v>53143</v>
      </c>
      <c r="B12582" s="10" t="str">
        <f>"9781928314011"</f>
        <v>9781928314011</v>
      </c>
      <c r="C12582" s="10" t="str">
        <f>"9781928314493"</f>
        <v>9781928314493</v>
      </c>
      <c r="D12582" s="10" t="s">
        <v>51836</v>
      </c>
      <c r="E12582" s="10" t="s">
        <v>51836</v>
      </c>
      <c r="F12582" s="10" t="s">
        <v>51837</v>
      </c>
      <c r="G12582" s="10" t="s">
        <v>24826</v>
      </c>
      <c r="H12582" s="11">
        <v>44377</v>
      </c>
      <c r="I12582" s="10">
        <v>2021</v>
      </c>
      <c r="J12582" s="10" t="s">
        <v>51836</v>
      </c>
      <c r="K12582" s="10">
        <v>164</v>
      </c>
      <c r="L12582" s="10" t="s">
        <v>53144</v>
      </c>
      <c r="M12582" s="10">
        <v>1</v>
      </c>
      <c r="N12582" s="10"/>
      <c r="O12582" s="10"/>
      <c r="P12582" s="10"/>
      <c r="Q12582" s="10"/>
      <c r="R12582" s="10"/>
      <c r="S12582" s="10" t="s">
        <v>53</v>
      </c>
      <c r="T12582" s="10" t="s">
        <v>54</v>
      </c>
    </row>
    <row r="12583" spans="1:20" ht="14.5" x14ac:dyDescent="0.35">
      <c r="A12583" s="10" t="s">
        <v>53145</v>
      </c>
      <c r="B12583" s="10" t="str">
        <f>"9781991201225"</f>
        <v>9781991201225</v>
      </c>
      <c r="C12583" s="10" t="str">
        <f>"9781991201232"</f>
        <v>9781991201232</v>
      </c>
      <c r="D12583" s="10" t="s">
        <v>51836</v>
      </c>
      <c r="E12583" s="10" t="s">
        <v>51836</v>
      </c>
      <c r="F12583" s="10" t="s">
        <v>51837</v>
      </c>
      <c r="G12583" s="10" t="s">
        <v>24826</v>
      </c>
      <c r="H12583" s="11">
        <v>44392</v>
      </c>
      <c r="I12583" s="10">
        <v>2021</v>
      </c>
      <c r="J12583" s="10" t="s">
        <v>51836</v>
      </c>
      <c r="K12583" s="10">
        <v>267</v>
      </c>
      <c r="L12583" s="10" t="s">
        <v>53146</v>
      </c>
      <c r="M12583" s="10">
        <v>1</v>
      </c>
      <c r="N12583" s="10" t="s">
        <v>15823</v>
      </c>
      <c r="O12583" s="10">
        <v>15</v>
      </c>
      <c r="P12583" s="10"/>
      <c r="Q12583" s="10"/>
      <c r="R12583" s="10"/>
      <c r="S12583" s="10" t="s">
        <v>53</v>
      </c>
      <c r="T12583" s="10" t="s">
        <v>54</v>
      </c>
    </row>
    <row r="12584" spans="1:20" ht="14.5" x14ac:dyDescent="0.35">
      <c r="A12584" s="10" t="s">
        <v>53147</v>
      </c>
      <c r="B12584" s="10" t="str">
        <f>"9781938113727"</f>
        <v>9781938113727</v>
      </c>
      <c r="C12584" s="10" t="str">
        <f>"9781938113734"</f>
        <v>9781938113734</v>
      </c>
      <c r="D12584" s="10" t="s">
        <v>9533</v>
      </c>
      <c r="E12584" s="10" t="s">
        <v>5950</v>
      </c>
      <c r="F12584" s="10" t="s">
        <v>25348</v>
      </c>
      <c r="G12584" s="10" t="s">
        <v>6317</v>
      </c>
      <c r="H12584" s="11">
        <v>44138</v>
      </c>
      <c r="I12584" s="10">
        <v>2020</v>
      </c>
      <c r="J12584" s="10" t="s">
        <v>5950</v>
      </c>
      <c r="K12584" s="10">
        <v>205</v>
      </c>
      <c r="L12584" s="10" t="s">
        <v>53148</v>
      </c>
      <c r="M12584" s="10">
        <v>1</v>
      </c>
      <c r="N12584" s="10"/>
      <c r="O12584" s="10"/>
      <c r="P12584" s="10" t="s">
        <v>53149</v>
      </c>
      <c r="Q12584" s="10">
        <v>371.10230000000001</v>
      </c>
      <c r="R12584" s="10" t="s">
        <v>53150</v>
      </c>
      <c r="S12584" s="10" t="s">
        <v>53</v>
      </c>
      <c r="T12584" s="10" t="s">
        <v>54</v>
      </c>
    </row>
    <row r="12585" spans="1:20" ht="14.5" x14ac:dyDescent="0.35">
      <c r="A12585" s="10" t="s">
        <v>53151</v>
      </c>
      <c r="B12585" s="10" t="str">
        <f>"9781416630265"</f>
        <v>9781416630265</v>
      </c>
      <c r="C12585" s="10" t="str">
        <f>"9781416630272"</f>
        <v>9781416630272</v>
      </c>
      <c r="D12585" s="10" t="s">
        <v>10014</v>
      </c>
      <c r="E12585" s="10" t="s">
        <v>10015</v>
      </c>
      <c r="F12585" s="10" t="s">
        <v>201</v>
      </c>
      <c r="G12585" s="10" t="s">
        <v>6317</v>
      </c>
      <c r="H12585" s="11">
        <v>44407</v>
      </c>
      <c r="I12585" s="10">
        <v>2021</v>
      </c>
      <c r="J12585" s="10" t="s">
        <v>10015</v>
      </c>
      <c r="K12585" s="10">
        <v>207</v>
      </c>
      <c r="L12585" s="10" t="s">
        <v>53152</v>
      </c>
      <c r="M12585" s="10">
        <v>1</v>
      </c>
      <c r="N12585" s="10"/>
      <c r="O12585" s="10"/>
      <c r="P12585" s="10"/>
      <c r="Q12585" s="10" t="s">
        <v>9954</v>
      </c>
      <c r="R12585" s="10"/>
      <c r="S12585" s="10" t="s">
        <v>53</v>
      </c>
      <c r="T12585" s="10" t="s">
        <v>54</v>
      </c>
    </row>
    <row r="12586" spans="1:20" ht="14.5" x14ac:dyDescent="0.35">
      <c r="A12586" s="10" t="s">
        <v>53153</v>
      </c>
      <c r="B12586" s="10" t="str">
        <f>""</f>
        <v/>
      </c>
      <c r="C12586" s="10" t="str">
        <f>"9781802620061"</f>
        <v>9781802620061</v>
      </c>
      <c r="D12586" s="10" t="s">
        <v>8699</v>
      </c>
      <c r="E12586" s="10" t="s">
        <v>8699</v>
      </c>
      <c r="F12586" s="10" t="s">
        <v>41843</v>
      </c>
      <c r="G12586" s="10" t="s">
        <v>6352</v>
      </c>
      <c r="H12586" s="11">
        <v>44348</v>
      </c>
      <c r="I12586" s="10">
        <v>2021</v>
      </c>
      <c r="J12586" s="10" t="s">
        <v>8699</v>
      </c>
      <c r="K12586" s="10">
        <v>115</v>
      </c>
      <c r="L12586" s="10" t="s">
        <v>53154</v>
      </c>
      <c r="M12586" s="10">
        <v>1</v>
      </c>
      <c r="N12586" s="10" t="s">
        <v>53155</v>
      </c>
      <c r="O12586" s="10">
        <v>2</v>
      </c>
      <c r="P12586" s="10" t="s">
        <v>53156</v>
      </c>
      <c r="Q12586" s="10">
        <v>371.10199999999998</v>
      </c>
      <c r="R12586" s="10" t="s">
        <v>18604</v>
      </c>
      <c r="S12586" s="10" t="s">
        <v>53</v>
      </c>
      <c r="T12586" s="10" t="s">
        <v>54</v>
      </c>
    </row>
    <row r="12587" spans="1:20" ht="14.5" x14ac:dyDescent="0.35">
      <c r="A12587" s="10" t="s">
        <v>53157</v>
      </c>
      <c r="B12587" s="10" t="str">
        <f>""</f>
        <v/>
      </c>
      <c r="C12587" s="10" t="str">
        <f>"9781802620405"</f>
        <v>9781802620405</v>
      </c>
      <c r="D12587" s="10" t="s">
        <v>8699</v>
      </c>
      <c r="E12587" s="10" t="s">
        <v>8699</v>
      </c>
      <c r="F12587" s="10" t="s">
        <v>41843</v>
      </c>
      <c r="G12587" s="10" t="s">
        <v>6352</v>
      </c>
      <c r="H12587" s="11">
        <v>44340</v>
      </c>
      <c r="I12587" s="10">
        <v>2021</v>
      </c>
      <c r="J12587" s="10" t="s">
        <v>8699</v>
      </c>
      <c r="K12587" s="10">
        <v>103</v>
      </c>
      <c r="L12587" s="10" t="s">
        <v>53158</v>
      </c>
      <c r="M12587" s="10">
        <v>1</v>
      </c>
      <c r="N12587" s="10" t="s">
        <v>48792</v>
      </c>
      <c r="O12587" s="10">
        <v>1</v>
      </c>
      <c r="P12587" s="10" t="s">
        <v>53159</v>
      </c>
      <c r="Q12587" s="10">
        <v>370.95100000000002</v>
      </c>
      <c r="R12587" s="10" t="s">
        <v>53160</v>
      </c>
      <c r="S12587" s="10" t="s">
        <v>53</v>
      </c>
      <c r="T12587" s="10" t="s">
        <v>54</v>
      </c>
    </row>
    <row r="12588" spans="1:20" ht="14.5" x14ac:dyDescent="0.35">
      <c r="A12588" s="10" t="s">
        <v>53161</v>
      </c>
      <c r="B12588" s="10" t="str">
        <f>""</f>
        <v/>
      </c>
      <c r="C12588" s="10" t="str">
        <f>"9781800718562"</f>
        <v>9781800718562</v>
      </c>
      <c r="D12588" s="10" t="s">
        <v>8699</v>
      </c>
      <c r="E12588" s="10" t="s">
        <v>8699</v>
      </c>
      <c r="F12588" s="10" t="s">
        <v>41843</v>
      </c>
      <c r="G12588" s="10" t="s">
        <v>6352</v>
      </c>
      <c r="H12588" s="11">
        <v>44169</v>
      </c>
      <c r="I12588" s="10">
        <v>2020</v>
      </c>
      <c r="J12588" s="10" t="s">
        <v>8699</v>
      </c>
      <c r="K12588" s="10">
        <v>196</v>
      </c>
      <c r="L12588" s="10" t="s">
        <v>53162</v>
      </c>
      <c r="M12588" s="10">
        <v>1</v>
      </c>
      <c r="N12588" s="10" t="s">
        <v>49697</v>
      </c>
      <c r="O12588" s="12">
        <v>45355</v>
      </c>
      <c r="P12588" s="10" t="s">
        <v>53163</v>
      </c>
      <c r="Q12588" s="10">
        <v>362.19624140000002</v>
      </c>
      <c r="R12588" s="10" t="s">
        <v>53164</v>
      </c>
      <c r="S12588" s="10" t="s">
        <v>53</v>
      </c>
      <c r="T12588" s="10" t="s">
        <v>8493</v>
      </c>
    </row>
    <row r="12589" spans="1:20" ht="14.5" x14ac:dyDescent="0.35">
      <c r="A12589" s="10" t="s">
        <v>53165</v>
      </c>
      <c r="B12589" s="10" t="str">
        <f>""</f>
        <v/>
      </c>
      <c r="C12589" s="10" t="str">
        <f>"9781802621129"</f>
        <v>9781802621129</v>
      </c>
      <c r="D12589" s="10" t="s">
        <v>8699</v>
      </c>
      <c r="E12589" s="10" t="s">
        <v>8699</v>
      </c>
      <c r="F12589" s="10" t="s">
        <v>41843</v>
      </c>
      <c r="G12589" s="10" t="s">
        <v>6352</v>
      </c>
      <c r="H12589" s="11">
        <v>44337</v>
      </c>
      <c r="I12589" s="10">
        <v>2021</v>
      </c>
      <c r="J12589" s="10" t="s">
        <v>8699</v>
      </c>
      <c r="K12589" s="10">
        <v>92</v>
      </c>
      <c r="L12589" s="10" t="s">
        <v>53166</v>
      </c>
      <c r="M12589" s="10">
        <v>1</v>
      </c>
      <c r="N12589" s="10" t="s">
        <v>48797</v>
      </c>
      <c r="O12589" s="10">
        <v>2</v>
      </c>
      <c r="P12589" s="10" t="s">
        <v>53167</v>
      </c>
      <c r="Q12589" s="10">
        <v>378</v>
      </c>
      <c r="R12589" s="10" t="s">
        <v>12345</v>
      </c>
      <c r="S12589" s="10" t="s">
        <v>53</v>
      </c>
      <c r="T12589" s="10" t="s">
        <v>54</v>
      </c>
    </row>
    <row r="12590" spans="1:20" ht="14.5" x14ac:dyDescent="0.35">
      <c r="A12590" s="10" t="s">
        <v>53168</v>
      </c>
      <c r="B12590" s="10" t="str">
        <f>"9789004467071"</f>
        <v>9789004467071</v>
      </c>
      <c r="C12590" s="10" t="str">
        <f>"9789004467088"</f>
        <v>9789004467088</v>
      </c>
      <c r="D12590" s="10" t="s">
        <v>8564</v>
      </c>
      <c r="E12590" s="10" t="s">
        <v>8565</v>
      </c>
      <c r="F12590" s="10" t="s">
        <v>1420</v>
      </c>
      <c r="G12590" s="10" t="s">
        <v>6317</v>
      </c>
      <c r="H12590" s="11">
        <v>44371</v>
      </c>
      <c r="I12590" s="10">
        <v>2021</v>
      </c>
      <c r="J12590" s="10" t="s">
        <v>8565</v>
      </c>
      <c r="K12590" s="10">
        <v>154</v>
      </c>
      <c r="L12590" s="10" t="s">
        <v>53169</v>
      </c>
      <c r="M12590" s="10">
        <v>1</v>
      </c>
      <c r="N12590" s="10" t="s">
        <v>53170</v>
      </c>
      <c r="O12590" s="10">
        <v>1</v>
      </c>
      <c r="P12590" s="10"/>
      <c r="Q12590" s="10"/>
      <c r="R12590" s="10"/>
      <c r="S12590" s="10" t="s">
        <v>53</v>
      </c>
      <c r="T12590" s="10" t="s">
        <v>54</v>
      </c>
    </row>
    <row r="12591" spans="1:20" ht="14.5" x14ac:dyDescent="0.35">
      <c r="A12591" s="10" t="s">
        <v>53171</v>
      </c>
      <c r="B12591" s="10" t="str">
        <f>"9789004436466"</f>
        <v>9789004436466</v>
      </c>
      <c r="C12591" s="10" t="str">
        <f>"9789004448643"</f>
        <v>9789004448643</v>
      </c>
      <c r="D12591" s="10" t="s">
        <v>8564</v>
      </c>
      <c r="E12591" s="10" t="s">
        <v>8565</v>
      </c>
      <c r="F12591" s="10" t="s">
        <v>1420</v>
      </c>
      <c r="G12591" s="10" t="s">
        <v>6317</v>
      </c>
      <c r="H12591" s="11">
        <v>44371</v>
      </c>
      <c r="I12591" s="10">
        <v>2021</v>
      </c>
      <c r="J12591" s="10" t="s">
        <v>8565</v>
      </c>
      <c r="K12591" s="10">
        <v>230</v>
      </c>
      <c r="L12591" s="10" t="s">
        <v>53172</v>
      </c>
      <c r="M12591" s="10">
        <v>1</v>
      </c>
      <c r="N12591" s="10" t="s">
        <v>52668</v>
      </c>
      <c r="O12591" s="10">
        <v>3</v>
      </c>
      <c r="P12591" s="10"/>
      <c r="Q12591" s="10"/>
      <c r="R12591" s="10"/>
      <c r="S12591" s="10" t="s">
        <v>53</v>
      </c>
      <c r="T12591" s="10" t="s">
        <v>54</v>
      </c>
    </row>
    <row r="12592" spans="1:20" ht="14.5" x14ac:dyDescent="0.35">
      <c r="A12592" s="10" t="s">
        <v>53173</v>
      </c>
      <c r="B12592" s="10" t="str">
        <f>"9789004461093"</f>
        <v>9789004461093</v>
      </c>
      <c r="C12592" s="10" t="str">
        <f>"9789004461147"</f>
        <v>9789004461147</v>
      </c>
      <c r="D12592" s="10" t="s">
        <v>8564</v>
      </c>
      <c r="E12592" s="10" t="s">
        <v>8565</v>
      </c>
      <c r="F12592" s="10" t="s">
        <v>1420</v>
      </c>
      <c r="G12592" s="10" t="s">
        <v>6317</v>
      </c>
      <c r="H12592" s="11">
        <v>44364</v>
      </c>
      <c r="I12592" s="10">
        <v>2021</v>
      </c>
      <c r="J12592" s="10" t="s">
        <v>8565</v>
      </c>
      <c r="K12592" s="10">
        <v>463</v>
      </c>
      <c r="L12592" s="10" t="s">
        <v>53174</v>
      </c>
      <c r="M12592" s="10">
        <v>1</v>
      </c>
      <c r="N12592" s="10" t="s">
        <v>53175</v>
      </c>
      <c r="O12592" s="10">
        <v>1</v>
      </c>
      <c r="P12592" s="10"/>
      <c r="Q12592" s="10"/>
      <c r="R12592" s="10"/>
      <c r="S12592" s="10" t="s">
        <v>53</v>
      </c>
      <c r="T12592" s="10" t="s">
        <v>4490</v>
      </c>
    </row>
    <row r="12593" spans="1:20" ht="14.5" x14ac:dyDescent="0.35">
      <c r="A12593" s="10" t="s">
        <v>53176</v>
      </c>
      <c r="B12593" s="10" t="str">
        <f>"9789004462458"</f>
        <v>9789004462458</v>
      </c>
      <c r="C12593" s="10" t="str">
        <f>"9789004462465"</f>
        <v>9789004462465</v>
      </c>
      <c r="D12593" s="10" t="s">
        <v>8564</v>
      </c>
      <c r="E12593" s="10" t="s">
        <v>8565</v>
      </c>
      <c r="F12593" s="10" t="s">
        <v>1420</v>
      </c>
      <c r="G12593" s="10" t="s">
        <v>6317</v>
      </c>
      <c r="H12593" s="11">
        <v>44371</v>
      </c>
      <c r="I12593" s="10">
        <v>2021</v>
      </c>
      <c r="J12593" s="10" t="s">
        <v>8565</v>
      </c>
      <c r="K12593" s="10">
        <v>817</v>
      </c>
      <c r="L12593" s="10" t="s">
        <v>53177</v>
      </c>
      <c r="M12593" s="10">
        <v>1</v>
      </c>
      <c r="N12593" s="10"/>
      <c r="O12593" s="10"/>
      <c r="P12593" s="10"/>
      <c r="Q12593" s="10"/>
      <c r="R12593" s="10"/>
      <c r="S12593" s="10" t="s">
        <v>53</v>
      </c>
      <c r="T12593" s="10" t="s">
        <v>54</v>
      </c>
    </row>
    <row r="12594" spans="1:20" ht="14.5" x14ac:dyDescent="0.35">
      <c r="A12594" s="10" t="s">
        <v>53178</v>
      </c>
      <c r="B12594" s="10" t="str">
        <f>"9789004430266"</f>
        <v>9789004430266</v>
      </c>
      <c r="C12594" s="10" t="str">
        <f>"9789004466029"</f>
        <v>9789004466029</v>
      </c>
      <c r="D12594" s="10" t="s">
        <v>8564</v>
      </c>
      <c r="E12594" s="10" t="s">
        <v>8565</v>
      </c>
      <c r="F12594" s="10" t="s">
        <v>1420</v>
      </c>
      <c r="G12594" s="10" t="s">
        <v>6317</v>
      </c>
      <c r="H12594" s="11">
        <v>44357</v>
      </c>
      <c r="I12594" s="10">
        <v>2021</v>
      </c>
      <c r="J12594" s="10" t="s">
        <v>8565</v>
      </c>
      <c r="K12594" s="10">
        <v>327</v>
      </c>
      <c r="L12594" s="10" t="s">
        <v>53179</v>
      </c>
      <c r="M12594" s="10">
        <v>1</v>
      </c>
      <c r="N12594" s="10"/>
      <c r="O12594" s="10"/>
      <c r="P12594" s="10"/>
      <c r="Q12594" s="10"/>
      <c r="R12594" s="10"/>
      <c r="S12594" s="10" t="s">
        <v>53</v>
      </c>
      <c r="T12594" s="10" t="s">
        <v>54</v>
      </c>
    </row>
    <row r="12595" spans="1:20" ht="14.5" x14ac:dyDescent="0.35">
      <c r="A12595" s="10" t="s">
        <v>53180</v>
      </c>
      <c r="B12595" s="10" t="str">
        <f>"9781684351657"</f>
        <v>9781684351657</v>
      </c>
      <c r="C12595" s="10" t="str">
        <f>"9781684351688"</f>
        <v>9781684351688</v>
      </c>
      <c r="D12595" s="10" t="s">
        <v>2455</v>
      </c>
      <c r="E12595" s="10" t="s">
        <v>53181</v>
      </c>
      <c r="F12595" s="10" t="s">
        <v>3101</v>
      </c>
      <c r="G12595" s="10" t="s">
        <v>6317</v>
      </c>
      <c r="H12595" s="11">
        <v>44474</v>
      </c>
      <c r="I12595" s="10">
        <v>2021</v>
      </c>
      <c r="J12595" s="10" t="s">
        <v>53181</v>
      </c>
      <c r="K12595" s="10">
        <v>297</v>
      </c>
      <c r="L12595" s="10" t="s">
        <v>53182</v>
      </c>
      <c r="M12595" s="10"/>
      <c r="N12595" s="10"/>
      <c r="O12595" s="10"/>
      <c r="P12595" s="10" t="s">
        <v>53183</v>
      </c>
      <c r="Q12595" s="10">
        <v>796.32309729999997</v>
      </c>
      <c r="R12595" s="10" t="s">
        <v>53184</v>
      </c>
      <c r="S12595" s="10" t="s">
        <v>53</v>
      </c>
      <c r="T12595" s="10" t="s">
        <v>7340</v>
      </c>
    </row>
    <row r="12596" spans="1:20" ht="14.5" x14ac:dyDescent="0.35">
      <c r="A12596" s="10" t="s">
        <v>53185</v>
      </c>
      <c r="B12596" s="10" t="str">
        <f>"9781416630609"</f>
        <v>9781416630609</v>
      </c>
      <c r="C12596" s="10" t="str">
        <f>"9781416630616"</f>
        <v>9781416630616</v>
      </c>
      <c r="D12596" s="10" t="s">
        <v>10014</v>
      </c>
      <c r="E12596" s="10" t="s">
        <v>10015</v>
      </c>
      <c r="F12596" s="10" t="s">
        <v>201</v>
      </c>
      <c r="G12596" s="10" t="s">
        <v>6317</v>
      </c>
      <c r="H12596" s="11">
        <v>44400</v>
      </c>
      <c r="I12596" s="10">
        <v>2021</v>
      </c>
      <c r="J12596" s="10" t="s">
        <v>10015</v>
      </c>
      <c r="K12596" s="10">
        <v>178</v>
      </c>
      <c r="L12596" s="10" t="s">
        <v>16543</v>
      </c>
      <c r="M12596" s="10">
        <v>3</v>
      </c>
      <c r="N12596" s="10"/>
      <c r="O12596" s="10"/>
      <c r="P12596" s="10" t="s">
        <v>7969</v>
      </c>
      <c r="Q12596" s="10">
        <v>371.3</v>
      </c>
      <c r="R12596" s="10" t="s">
        <v>53186</v>
      </c>
      <c r="S12596" s="10" t="s">
        <v>53</v>
      </c>
      <c r="T12596" s="10" t="s">
        <v>54</v>
      </c>
    </row>
    <row r="12597" spans="1:20" ht="14.5" x14ac:dyDescent="0.35">
      <c r="A12597" s="10" t="s">
        <v>53187</v>
      </c>
      <c r="B12597" s="10" t="str">
        <f>"9781528996259"</f>
        <v>9781528996259</v>
      </c>
      <c r="C12597" s="10" t="str">
        <f>"9781528996273"</f>
        <v>9781528996273</v>
      </c>
      <c r="D12597" s="10" t="s">
        <v>9215</v>
      </c>
      <c r="E12597" s="10" t="s">
        <v>50966</v>
      </c>
      <c r="F12597" s="10" t="s">
        <v>324</v>
      </c>
      <c r="G12597" s="10" t="s">
        <v>6317</v>
      </c>
      <c r="H12597" s="11">
        <v>44407</v>
      </c>
      <c r="I12597" s="10">
        <v>2021</v>
      </c>
      <c r="J12597" s="10" t="s">
        <v>50966</v>
      </c>
      <c r="K12597" s="10">
        <v>69</v>
      </c>
      <c r="L12597" s="10" t="s">
        <v>53188</v>
      </c>
      <c r="M12597" s="10"/>
      <c r="N12597" s="10"/>
      <c r="O12597" s="10"/>
      <c r="P12597" s="10" t="s">
        <v>53189</v>
      </c>
      <c r="Q12597" s="10">
        <v>539.72112000000004</v>
      </c>
      <c r="R12597" s="10" t="s">
        <v>53190</v>
      </c>
      <c r="S12597" s="10" t="s">
        <v>53</v>
      </c>
      <c r="T12597" s="10" t="s">
        <v>53191</v>
      </c>
    </row>
    <row r="12598" spans="1:20" ht="14.5" x14ac:dyDescent="0.35">
      <c r="A12598" s="10" t="s">
        <v>53192</v>
      </c>
      <c r="B12598" s="10" t="str">
        <f>"9780821424643"</f>
        <v>9780821424643</v>
      </c>
      <c r="C12598" s="10" t="str">
        <f>"9780821447505"</f>
        <v>9780821447505</v>
      </c>
      <c r="D12598" s="10" t="s">
        <v>28711</v>
      </c>
      <c r="E12598" s="10" t="s">
        <v>28711</v>
      </c>
      <c r="F12598" s="10" t="s">
        <v>28712</v>
      </c>
      <c r="G12598" s="10" t="s">
        <v>6317</v>
      </c>
      <c r="H12598" s="11">
        <v>44400</v>
      </c>
      <c r="I12598" s="10">
        <v>2021</v>
      </c>
      <c r="J12598" s="10" t="s">
        <v>28711</v>
      </c>
      <c r="K12598" s="10">
        <v>265</v>
      </c>
      <c r="L12598" s="10" t="s">
        <v>53193</v>
      </c>
      <c r="M12598" s="10">
        <v>2</v>
      </c>
      <c r="N12598" s="10" t="s">
        <v>46359</v>
      </c>
      <c r="O12598" s="10"/>
      <c r="P12598" s="10"/>
      <c r="Q12598" s="10">
        <v>796.043092</v>
      </c>
      <c r="R12598" s="10"/>
      <c r="S12598" s="10" t="s">
        <v>53</v>
      </c>
      <c r="T12598" s="10" t="s">
        <v>7340</v>
      </c>
    </row>
    <row r="12599" spans="1:20" ht="14.5" x14ac:dyDescent="0.35">
      <c r="A12599" s="10" t="s">
        <v>53194</v>
      </c>
      <c r="B12599" s="10" t="str">
        <f>"9789004500006"</f>
        <v>9789004500006</v>
      </c>
      <c r="C12599" s="10" t="str">
        <f>"9789004500013"</f>
        <v>9789004500013</v>
      </c>
      <c r="D12599" s="10" t="s">
        <v>8564</v>
      </c>
      <c r="E12599" s="10" t="s">
        <v>8565</v>
      </c>
      <c r="F12599" s="10" t="s">
        <v>1420</v>
      </c>
      <c r="G12599" s="10" t="s">
        <v>6317</v>
      </c>
      <c r="H12599" s="11">
        <v>44406</v>
      </c>
      <c r="I12599" s="10">
        <v>2021</v>
      </c>
      <c r="J12599" s="10" t="s">
        <v>8565</v>
      </c>
      <c r="K12599" s="10">
        <v>198</v>
      </c>
      <c r="L12599" s="10" t="s">
        <v>53195</v>
      </c>
      <c r="M12599" s="10">
        <v>1</v>
      </c>
      <c r="N12599" s="10" t="s">
        <v>48242</v>
      </c>
      <c r="O12599" s="10">
        <v>8</v>
      </c>
      <c r="P12599" s="10"/>
      <c r="Q12599" s="10"/>
      <c r="R12599" s="10"/>
      <c r="S12599" s="10" t="s">
        <v>53</v>
      </c>
      <c r="T12599" s="10" t="s">
        <v>54</v>
      </c>
    </row>
    <row r="12600" spans="1:20" ht="14.5" x14ac:dyDescent="0.35">
      <c r="A12600" s="10" t="s">
        <v>53196</v>
      </c>
      <c r="B12600" s="10" t="str">
        <f>"9781416630142"</f>
        <v>9781416630142</v>
      </c>
      <c r="C12600" s="10" t="str">
        <f>"9781416630159"</f>
        <v>9781416630159</v>
      </c>
      <c r="D12600" s="10" t="s">
        <v>10014</v>
      </c>
      <c r="E12600" s="10" t="s">
        <v>10015</v>
      </c>
      <c r="F12600" s="10" t="s">
        <v>201</v>
      </c>
      <c r="G12600" s="10" t="s">
        <v>6317</v>
      </c>
      <c r="H12600" s="11">
        <v>44407</v>
      </c>
      <c r="I12600" s="10">
        <v>2021</v>
      </c>
      <c r="J12600" s="10" t="s">
        <v>10015</v>
      </c>
      <c r="K12600" s="10">
        <v>217</v>
      </c>
      <c r="L12600" s="10" t="s">
        <v>16000</v>
      </c>
      <c r="M12600" s="10">
        <v>1</v>
      </c>
      <c r="N12600" s="10"/>
      <c r="O12600" s="10"/>
      <c r="P12600" s="10"/>
      <c r="Q12600" s="10"/>
      <c r="R12600" s="10"/>
      <c r="S12600" s="10" t="s">
        <v>53</v>
      </c>
      <c r="T12600" s="10" t="s">
        <v>54</v>
      </c>
    </row>
    <row r="12601" spans="1:20" ht="14.5" x14ac:dyDescent="0.35">
      <c r="A12601" s="10" t="s">
        <v>53197</v>
      </c>
      <c r="B12601" s="10" t="str">
        <f>"9781416630234"</f>
        <v>9781416630234</v>
      </c>
      <c r="C12601" s="10" t="str">
        <f>"9781416630241"</f>
        <v>9781416630241</v>
      </c>
      <c r="D12601" s="10" t="s">
        <v>10014</v>
      </c>
      <c r="E12601" s="10" t="s">
        <v>10015</v>
      </c>
      <c r="F12601" s="10" t="s">
        <v>201</v>
      </c>
      <c r="G12601" s="10" t="s">
        <v>6317</v>
      </c>
      <c r="H12601" s="11">
        <v>44407</v>
      </c>
      <c r="I12601" s="10">
        <v>2021</v>
      </c>
      <c r="J12601" s="10" t="s">
        <v>10015</v>
      </c>
      <c r="K12601" s="10">
        <v>173</v>
      </c>
      <c r="L12601" s="10" t="s">
        <v>43714</v>
      </c>
      <c r="M12601" s="10">
        <v>1</v>
      </c>
      <c r="N12601" s="10"/>
      <c r="O12601" s="10"/>
      <c r="P12601" s="10"/>
      <c r="Q12601" s="10"/>
      <c r="R12601" s="10"/>
      <c r="S12601" s="10" t="s">
        <v>53</v>
      </c>
      <c r="T12601" s="10" t="s">
        <v>54</v>
      </c>
    </row>
    <row r="12602" spans="1:20" ht="14.5" x14ac:dyDescent="0.35">
      <c r="A12602" s="10" t="s">
        <v>53198</v>
      </c>
      <c r="B12602" s="10" t="str">
        <f>"9781920689308"</f>
        <v>9781920689308</v>
      </c>
      <c r="C12602" s="10" t="str">
        <f>"9781920689315"</f>
        <v>9781920689315</v>
      </c>
      <c r="D12602" s="10" t="s">
        <v>51836</v>
      </c>
      <c r="E12602" s="10" t="s">
        <v>51836</v>
      </c>
      <c r="F12602" s="10" t="s">
        <v>51837</v>
      </c>
      <c r="G12602" s="10" t="s">
        <v>24826</v>
      </c>
      <c r="H12602" s="11">
        <v>41791</v>
      </c>
      <c r="I12602" s="10">
        <v>2014</v>
      </c>
      <c r="J12602" s="10" t="s">
        <v>51836</v>
      </c>
      <c r="K12602" s="10">
        <v>206</v>
      </c>
      <c r="L12602" s="10" t="s">
        <v>53199</v>
      </c>
      <c r="M12602" s="10">
        <v>1</v>
      </c>
      <c r="N12602" s="10"/>
      <c r="O12602" s="10"/>
      <c r="P12602" s="10"/>
      <c r="Q12602" s="10"/>
      <c r="R12602" s="10"/>
      <c r="S12602" s="10" t="s">
        <v>53</v>
      </c>
      <c r="T12602" s="10" t="s">
        <v>54</v>
      </c>
    </row>
    <row r="12603" spans="1:20" ht="14.5" x14ac:dyDescent="0.35">
      <c r="A12603" s="10" t="s">
        <v>53200</v>
      </c>
      <c r="B12603" s="10" t="str">
        <f>"9789004466203"</f>
        <v>9789004466203</v>
      </c>
      <c r="C12603" s="10" t="str">
        <f>"9789004466210"</f>
        <v>9789004466210</v>
      </c>
      <c r="D12603" s="10" t="s">
        <v>8564</v>
      </c>
      <c r="E12603" s="10" t="s">
        <v>8565</v>
      </c>
      <c r="F12603" s="10" t="s">
        <v>1420</v>
      </c>
      <c r="G12603" s="10" t="s">
        <v>6317</v>
      </c>
      <c r="H12603" s="11">
        <v>44417</v>
      </c>
      <c r="I12603" s="10">
        <v>2021</v>
      </c>
      <c r="J12603" s="10" t="s">
        <v>8565</v>
      </c>
      <c r="K12603" s="10">
        <v>746</v>
      </c>
      <c r="L12603" s="10" t="s">
        <v>53201</v>
      </c>
      <c r="M12603" s="10">
        <v>4</v>
      </c>
      <c r="N12603" s="10" t="s">
        <v>33533</v>
      </c>
      <c r="O12603" s="10">
        <v>10</v>
      </c>
      <c r="P12603" s="10" t="s">
        <v>53202</v>
      </c>
      <c r="Q12603" s="10">
        <v>331.702</v>
      </c>
      <c r="R12603" s="10"/>
      <c r="S12603" s="10" t="s">
        <v>53</v>
      </c>
      <c r="T12603" s="10" t="s">
        <v>7545</v>
      </c>
    </row>
    <row r="12604" spans="1:20" ht="14.5" x14ac:dyDescent="0.35">
      <c r="A12604" s="10" t="s">
        <v>53203</v>
      </c>
      <c r="B12604" s="10" t="str">
        <f>"9789004468436"</f>
        <v>9789004468436</v>
      </c>
      <c r="C12604" s="10" t="str">
        <f>"9789004468443"</f>
        <v>9789004468443</v>
      </c>
      <c r="D12604" s="10" t="s">
        <v>8564</v>
      </c>
      <c r="E12604" s="10" t="s">
        <v>8565</v>
      </c>
      <c r="F12604" s="10" t="s">
        <v>1420</v>
      </c>
      <c r="G12604" s="10" t="s">
        <v>6317</v>
      </c>
      <c r="H12604" s="11">
        <v>44420</v>
      </c>
      <c r="I12604" s="10">
        <v>2021</v>
      </c>
      <c r="J12604" s="10" t="s">
        <v>8565</v>
      </c>
      <c r="K12604" s="10">
        <v>285</v>
      </c>
      <c r="L12604" s="10" t="s">
        <v>53204</v>
      </c>
      <c r="M12604" s="10">
        <v>1</v>
      </c>
      <c r="N12604" s="10" t="s">
        <v>45027</v>
      </c>
      <c r="O12604" s="10">
        <v>11</v>
      </c>
      <c r="P12604" s="10" t="s">
        <v>53205</v>
      </c>
      <c r="Q12604" s="10"/>
      <c r="R12604" s="10"/>
      <c r="S12604" s="10" t="s">
        <v>53</v>
      </c>
      <c r="T12604" s="10" t="s">
        <v>54</v>
      </c>
    </row>
    <row r="12605" spans="1:20" ht="14.5" x14ac:dyDescent="0.35">
      <c r="A12605" s="10" t="s">
        <v>53206</v>
      </c>
      <c r="B12605" s="10" t="str">
        <f>"9781681088181"</f>
        <v>9781681088181</v>
      </c>
      <c r="C12605" s="10" t="str">
        <f>"9781681088174"</f>
        <v>9781681088174</v>
      </c>
      <c r="D12605" s="10" t="s">
        <v>21815</v>
      </c>
      <c r="E12605" s="10" t="s">
        <v>21815</v>
      </c>
      <c r="F12605" s="10" t="s">
        <v>25848</v>
      </c>
      <c r="G12605" s="10" t="s">
        <v>21817</v>
      </c>
      <c r="H12605" s="11">
        <v>44407</v>
      </c>
      <c r="I12605" s="10">
        <v>2021</v>
      </c>
      <c r="J12605" s="10" t="s">
        <v>21815</v>
      </c>
      <c r="K12605" s="10">
        <v>175</v>
      </c>
      <c r="L12605" s="10" t="s">
        <v>53207</v>
      </c>
      <c r="M12605" s="10">
        <v>1</v>
      </c>
      <c r="N12605" s="10"/>
      <c r="O12605" s="10"/>
      <c r="P12605" s="10"/>
      <c r="Q12605" s="10"/>
      <c r="R12605" s="10"/>
      <c r="S12605" s="10" t="s">
        <v>53</v>
      </c>
      <c r="T12605" s="10" t="s">
        <v>54</v>
      </c>
    </row>
    <row r="12606" spans="1:20" ht="14.5" x14ac:dyDescent="0.35">
      <c r="A12606" s="10" t="s">
        <v>53208</v>
      </c>
      <c r="B12606" s="10" t="str">
        <f>"9781642671360"</f>
        <v>9781642671360</v>
      </c>
      <c r="C12606" s="10" t="str">
        <f>"9781000973617"</f>
        <v>9781000973617</v>
      </c>
      <c r="D12606" s="10" t="s">
        <v>6350</v>
      </c>
      <c r="E12606" s="10" t="s">
        <v>6351</v>
      </c>
      <c r="F12606" s="10" t="s">
        <v>41227</v>
      </c>
      <c r="G12606" s="10" t="s">
        <v>6317</v>
      </c>
      <c r="H12606" s="11">
        <v>44438</v>
      </c>
      <c r="I12606" s="10">
        <v>2021</v>
      </c>
      <c r="J12606" s="10" t="s">
        <v>6353</v>
      </c>
      <c r="K12606" s="10">
        <v>159</v>
      </c>
      <c r="L12606" s="10" t="s">
        <v>53209</v>
      </c>
      <c r="M12606" s="10">
        <v>1</v>
      </c>
      <c r="N12606" s="10"/>
      <c r="O12606" s="10"/>
      <c r="P12606" s="10" t="s">
        <v>53210</v>
      </c>
      <c r="Q12606" s="10">
        <v>378.11200000000002</v>
      </c>
      <c r="R12606" s="10" t="s">
        <v>53211</v>
      </c>
      <c r="S12606" s="10" t="s">
        <v>53</v>
      </c>
      <c r="T12606" s="10" t="s">
        <v>54</v>
      </c>
    </row>
    <row r="12607" spans="1:20" ht="14.5" x14ac:dyDescent="0.35">
      <c r="A12607" s="10" t="s">
        <v>53212</v>
      </c>
      <c r="B12607" s="10" t="str">
        <f>"9781119824138"</f>
        <v>9781119824138</v>
      </c>
      <c r="C12607" s="10" t="str">
        <f>"9781119824152"</f>
        <v>9781119824152</v>
      </c>
      <c r="D12607" s="10" t="s">
        <v>6322</v>
      </c>
      <c r="E12607" s="10" t="s">
        <v>6323</v>
      </c>
      <c r="F12607" s="10" t="s">
        <v>4423</v>
      </c>
      <c r="G12607" s="10" t="s">
        <v>6317</v>
      </c>
      <c r="H12607" s="11">
        <v>44439</v>
      </c>
      <c r="I12607" s="10">
        <v>2021</v>
      </c>
      <c r="J12607" s="10" t="s">
        <v>6324</v>
      </c>
      <c r="K12607" s="10">
        <v>317</v>
      </c>
      <c r="L12607" s="10" t="s">
        <v>53213</v>
      </c>
      <c r="M12607" s="10">
        <v>1</v>
      </c>
      <c r="N12607" s="10"/>
      <c r="O12607" s="10"/>
      <c r="P12607" s="10"/>
      <c r="Q12607" s="10">
        <v>370.11700000000002</v>
      </c>
      <c r="R12607" s="10" t="s">
        <v>48894</v>
      </c>
      <c r="S12607" s="10" t="s">
        <v>53</v>
      </c>
      <c r="T12607" s="10" t="s">
        <v>54</v>
      </c>
    </row>
    <row r="12608" spans="1:20" ht="14.5" x14ac:dyDescent="0.35">
      <c r="A12608" s="10" t="s">
        <v>53214</v>
      </c>
      <c r="B12608" s="10" t="str">
        <f>"9781914171093"</f>
        <v>9781914171093</v>
      </c>
      <c r="C12608" s="10" t="str">
        <f>"9781914171123"</f>
        <v>9781914171123</v>
      </c>
      <c r="D12608" s="10" t="s">
        <v>9533</v>
      </c>
      <c r="E12608" s="10" t="s">
        <v>26840</v>
      </c>
      <c r="F12608" s="10" t="s">
        <v>44053</v>
      </c>
      <c r="G12608" s="10" t="s">
        <v>6352</v>
      </c>
      <c r="H12608" s="11">
        <v>44442</v>
      </c>
      <c r="I12608" s="10">
        <v>2021</v>
      </c>
      <c r="J12608" s="10" t="s">
        <v>26840</v>
      </c>
      <c r="K12608" s="10">
        <v>116</v>
      </c>
      <c r="L12608" s="10" t="s">
        <v>53215</v>
      </c>
      <c r="M12608" s="10">
        <v>1</v>
      </c>
      <c r="N12608" s="10" t="s">
        <v>51231</v>
      </c>
      <c r="O12608" s="10"/>
      <c r="P12608" s="10" t="s">
        <v>53216</v>
      </c>
      <c r="Q12608" s="10">
        <v>370.11500000000001</v>
      </c>
      <c r="R12608" s="10" t="s">
        <v>53217</v>
      </c>
      <c r="S12608" s="10" t="s">
        <v>53</v>
      </c>
      <c r="T12608" s="10" t="s">
        <v>54</v>
      </c>
    </row>
    <row r="12609" spans="1:20" ht="14.5" x14ac:dyDescent="0.35">
      <c r="A12609" s="10" t="s">
        <v>53218</v>
      </c>
      <c r="B12609" s="10" t="str">
        <f>""</f>
        <v/>
      </c>
      <c r="C12609" s="10" t="str">
        <f>"9781564848925"</f>
        <v>9781564848925</v>
      </c>
      <c r="D12609" s="10" t="s">
        <v>9533</v>
      </c>
      <c r="E12609" s="10" t="s">
        <v>45783</v>
      </c>
      <c r="F12609" s="10" t="s">
        <v>25348</v>
      </c>
      <c r="G12609" s="10" t="s">
        <v>6317</v>
      </c>
      <c r="H12609" s="11">
        <v>44425</v>
      </c>
      <c r="I12609" s="10">
        <v>2021</v>
      </c>
      <c r="J12609" s="10" t="s">
        <v>45783</v>
      </c>
      <c r="K12609" s="10">
        <v>248</v>
      </c>
      <c r="L12609" s="10" t="s">
        <v>53219</v>
      </c>
      <c r="M12609" s="10">
        <v>1</v>
      </c>
      <c r="N12609" s="10"/>
      <c r="O12609" s="10"/>
      <c r="P12609" s="10" t="s">
        <v>53220</v>
      </c>
      <c r="Q12609" s="10">
        <v>371.33</v>
      </c>
      <c r="R12609" s="10" t="s">
        <v>53221</v>
      </c>
      <c r="S12609" s="10" t="s">
        <v>53</v>
      </c>
      <c r="T12609" s="10" t="s">
        <v>54</v>
      </c>
    </row>
    <row r="12610" spans="1:20" ht="14.5" x14ac:dyDescent="0.35">
      <c r="A12610" s="10" t="s">
        <v>53222</v>
      </c>
      <c r="B12610" s="10" t="str">
        <f>"9781416630111"</f>
        <v>9781416630111</v>
      </c>
      <c r="C12610" s="10" t="str">
        <f>"9781416630135"</f>
        <v>9781416630135</v>
      </c>
      <c r="D12610" s="10" t="s">
        <v>10014</v>
      </c>
      <c r="E12610" s="10" t="s">
        <v>10015</v>
      </c>
      <c r="F12610" s="10" t="s">
        <v>201</v>
      </c>
      <c r="G12610" s="10" t="s">
        <v>6317</v>
      </c>
      <c r="H12610" s="11">
        <v>44407</v>
      </c>
      <c r="I12610" s="10">
        <v>2021</v>
      </c>
      <c r="J12610" s="10" t="s">
        <v>10015</v>
      </c>
      <c r="K12610" s="10">
        <v>153</v>
      </c>
      <c r="L12610" s="10" t="s">
        <v>53223</v>
      </c>
      <c r="M12610" s="10">
        <v>1</v>
      </c>
      <c r="N12610" s="10"/>
      <c r="O12610" s="10"/>
      <c r="P12610" s="10"/>
      <c r="Q12610" s="10" t="s">
        <v>9954</v>
      </c>
      <c r="R12610" s="10"/>
      <c r="S12610" s="10" t="s">
        <v>53</v>
      </c>
      <c r="T12610" s="10" t="s">
        <v>54</v>
      </c>
    </row>
    <row r="12611" spans="1:20" ht="14.5" x14ac:dyDescent="0.35">
      <c r="A12611" s="10" t="s">
        <v>53224</v>
      </c>
      <c r="B12611" s="10" t="str">
        <f>"9781642672442"</f>
        <v>9781642672442</v>
      </c>
      <c r="C12611" s="10" t="str">
        <f>"9781000973709"</f>
        <v>9781000973709</v>
      </c>
      <c r="D12611" s="10" t="s">
        <v>6350</v>
      </c>
      <c r="E12611" s="10" t="s">
        <v>6351</v>
      </c>
      <c r="F12611" s="10" t="s">
        <v>748</v>
      </c>
      <c r="G12611" s="10" t="s">
        <v>6352</v>
      </c>
      <c r="H12611" s="11">
        <v>44453</v>
      </c>
      <c r="I12611" s="10">
        <v>2021</v>
      </c>
      <c r="J12611" s="10" t="s">
        <v>6351</v>
      </c>
      <c r="K12611" s="10">
        <v>487</v>
      </c>
      <c r="L12611" s="10" t="s">
        <v>53225</v>
      </c>
      <c r="M12611" s="10">
        <v>2</v>
      </c>
      <c r="N12611" s="10"/>
      <c r="O12611" s="10"/>
      <c r="P12611" s="10"/>
      <c r="Q12611" s="10">
        <v>378.101</v>
      </c>
      <c r="R12611" s="10"/>
      <c r="S12611" s="10" t="s">
        <v>53</v>
      </c>
      <c r="T12611" s="10" t="s">
        <v>54</v>
      </c>
    </row>
    <row r="12612" spans="1:20" ht="14.5" x14ac:dyDescent="0.35">
      <c r="A12612" s="10" t="s">
        <v>53226</v>
      </c>
      <c r="B12612" s="10" t="str">
        <f>"9781416630395"</f>
        <v>9781416630395</v>
      </c>
      <c r="C12612" s="10" t="str">
        <f>"9781416630418"</f>
        <v>9781416630418</v>
      </c>
      <c r="D12612" s="10" t="s">
        <v>10014</v>
      </c>
      <c r="E12612" s="10" t="s">
        <v>10015</v>
      </c>
      <c r="F12612" s="10" t="s">
        <v>201</v>
      </c>
      <c r="G12612" s="10" t="s">
        <v>6317</v>
      </c>
      <c r="H12612" s="11">
        <v>44469</v>
      </c>
      <c r="I12612" s="10">
        <v>2021</v>
      </c>
      <c r="J12612" s="10" t="s">
        <v>10015</v>
      </c>
      <c r="K12612" s="10">
        <v>191</v>
      </c>
      <c r="L12612" s="10" t="s">
        <v>53227</v>
      </c>
      <c r="M12612" s="10">
        <v>1</v>
      </c>
      <c r="N12612" s="10"/>
      <c r="O12612" s="10"/>
      <c r="P12612" s="10"/>
      <c r="Q12612" s="10">
        <v>371.2</v>
      </c>
      <c r="R12612" s="10"/>
      <c r="S12612" s="10" t="s">
        <v>53</v>
      </c>
      <c r="T12612" s="10" t="s">
        <v>54</v>
      </c>
    </row>
    <row r="12613" spans="1:20" ht="14.5" x14ac:dyDescent="0.35">
      <c r="A12613" s="10" t="s">
        <v>53228</v>
      </c>
      <c r="B12613" s="10" t="str">
        <f>"9781487508616"</f>
        <v>9781487508616</v>
      </c>
      <c r="C12613" s="10" t="str">
        <f>"9781487538620"</f>
        <v>9781487538620</v>
      </c>
      <c r="D12613" s="10" t="s">
        <v>977</v>
      </c>
      <c r="E12613" s="10" t="s">
        <v>977</v>
      </c>
      <c r="F12613" s="10" t="s">
        <v>901</v>
      </c>
      <c r="G12613" s="10" t="s">
        <v>9536</v>
      </c>
      <c r="H12613" s="11">
        <v>44452</v>
      </c>
      <c r="I12613" s="10">
        <v>2021</v>
      </c>
      <c r="J12613" s="10" t="s">
        <v>977</v>
      </c>
      <c r="K12613" s="10">
        <v>187</v>
      </c>
      <c r="L12613" s="10" t="s">
        <v>53229</v>
      </c>
      <c r="M12613" s="10">
        <v>1</v>
      </c>
      <c r="N12613" s="10"/>
      <c r="O12613" s="10"/>
      <c r="P12613" s="10" t="s">
        <v>53230</v>
      </c>
      <c r="Q12613" s="10">
        <v>378.00720000000001</v>
      </c>
      <c r="R12613" s="10" t="s">
        <v>52514</v>
      </c>
      <c r="S12613" s="10" t="s">
        <v>53</v>
      </c>
      <c r="T12613" s="10" t="s">
        <v>54</v>
      </c>
    </row>
    <row r="12614" spans="1:20" ht="14.5" x14ac:dyDescent="0.35">
      <c r="A12614" s="10" t="s">
        <v>53231</v>
      </c>
      <c r="B12614" s="10" t="str">
        <f>"9781949539899"</f>
        <v>9781949539899</v>
      </c>
      <c r="C12614" s="10" t="str">
        <f>"9781949539905"</f>
        <v>9781949539905</v>
      </c>
      <c r="D12614" s="10" t="s">
        <v>37580</v>
      </c>
      <c r="E12614" s="10" t="s">
        <v>37581</v>
      </c>
      <c r="F12614" s="10" t="s">
        <v>37623</v>
      </c>
      <c r="G12614" s="10" t="s">
        <v>6317</v>
      </c>
      <c r="H12614" s="11">
        <v>44449</v>
      </c>
      <c r="I12614" s="10">
        <v>2022</v>
      </c>
      <c r="J12614" s="10" t="s">
        <v>37581</v>
      </c>
      <c r="K12614" s="10">
        <v>168</v>
      </c>
      <c r="L12614" s="10" t="s">
        <v>53232</v>
      </c>
      <c r="M12614" s="10">
        <v>1</v>
      </c>
      <c r="N12614" s="10"/>
      <c r="O12614" s="10"/>
      <c r="P12614" s="10"/>
      <c r="Q12614" s="10"/>
      <c r="R12614" s="10"/>
      <c r="S12614" s="10" t="s">
        <v>53</v>
      </c>
      <c r="T12614" s="10" t="s">
        <v>54</v>
      </c>
    </row>
    <row r="12615" spans="1:20" ht="14.5" x14ac:dyDescent="0.35">
      <c r="A12615" s="10" t="s">
        <v>53233</v>
      </c>
      <c r="B12615" s="10" t="str">
        <f>"9781416630333"</f>
        <v>9781416630333</v>
      </c>
      <c r="C12615" s="10" t="str">
        <f>"9781416630340"</f>
        <v>9781416630340</v>
      </c>
      <c r="D12615" s="10" t="s">
        <v>10014</v>
      </c>
      <c r="E12615" s="10" t="s">
        <v>10015</v>
      </c>
      <c r="F12615" s="10" t="s">
        <v>201</v>
      </c>
      <c r="G12615" s="10" t="s">
        <v>6317</v>
      </c>
      <c r="H12615" s="11">
        <v>44469</v>
      </c>
      <c r="I12615" s="10">
        <v>2021</v>
      </c>
      <c r="J12615" s="10" t="s">
        <v>10015</v>
      </c>
      <c r="K12615" s="10">
        <v>178</v>
      </c>
      <c r="L12615" s="10" t="s">
        <v>17477</v>
      </c>
      <c r="M12615" s="10">
        <v>1</v>
      </c>
      <c r="N12615" s="10"/>
      <c r="O12615" s="10"/>
      <c r="P12615" s="10"/>
      <c r="Q12615" s="10" t="s">
        <v>15810</v>
      </c>
      <c r="R12615" s="10"/>
      <c r="S12615" s="10" t="s">
        <v>53</v>
      </c>
      <c r="T12615" s="10" t="s">
        <v>54</v>
      </c>
    </row>
    <row r="12616" spans="1:20" ht="14.5" x14ac:dyDescent="0.35">
      <c r="A12616" s="10" t="s">
        <v>53234</v>
      </c>
      <c r="B12616" s="10" t="str">
        <f>"9781642672121"</f>
        <v>9781642672121</v>
      </c>
      <c r="C12616" s="10" t="str">
        <f>"9781000972740"</f>
        <v>9781000972740</v>
      </c>
      <c r="D12616" s="10" t="s">
        <v>6350</v>
      </c>
      <c r="E12616" s="10" t="s">
        <v>6351</v>
      </c>
      <c r="F12616" s="10" t="s">
        <v>3967</v>
      </c>
      <c r="G12616" s="10" t="s">
        <v>6352</v>
      </c>
      <c r="H12616" s="11">
        <v>44460</v>
      </c>
      <c r="I12616" s="10">
        <v>2021</v>
      </c>
      <c r="J12616" s="10" t="s">
        <v>6353</v>
      </c>
      <c r="K12616" s="10">
        <v>277</v>
      </c>
      <c r="L12616" s="10" t="s">
        <v>53235</v>
      </c>
      <c r="M12616" s="10">
        <v>1</v>
      </c>
      <c r="N12616" s="10"/>
      <c r="O12616" s="10"/>
      <c r="P12616" s="10"/>
      <c r="Q12616" s="10">
        <v>371.33097299999997</v>
      </c>
      <c r="R12616" s="10"/>
      <c r="S12616" s="10" t="s">
        <v>53</v>
      </c>
      <c r="T12616" s="10" t="s">
        <v>54</v>
      </c>
    </row>
    <row r="12617" spans="1:20" ht="14.5" x14ac:dyDescent="0.35">
      <c r="A12617" s="10" t="s">
        <v>53236</v>
      </c>
      <c r="B12617" s="10" t="str">
        <f>"9781913453336"</f>
        <v>9781913453336</v>
      </c>
      <c r="C12617" s="10" t="str">
        <f>"9781913453350"</f>
        <v>9781913453350</v>
      </c>
      <c r="D12617" s="10" t="s">
        <v>9533</v>
      </c>
      <c r="E12617" s="10" t="s">
        <v>26840</v>
      </c>
      <c r="F12617" s="10" t="s">
        <v>44053</v>
      </c>
      <c r="G12617" s="10" t="s">
        <v>6352</v>
      </c>
      <c r="H12617" s="11">
        <v>44462</v>
      </c>
      <c r="I12617" s="10">
        <v>2021</v>
      </c>
      <c r="J12617" s="10" t="s">
        <v>26840</v>
      </c>
      <c r="K12617" s="10">
        <v>107</v>
      </c>
      <c r="L12617" s="10" t="s">
        <v>53237</v>
      </c>
      <c r="M12617" s="10">
        <v>1</v>
      </c>
      <c r="N12617" s="10" t="s">
        <v>29029</v>
      </c>
      <c r="O12617" s="10"/>
      <c r="P12617" s="10" t="s">
        <v>53238</v>
      </c>
      <c r="Q12617" s="10">
        <v>370.71100000000001</v>
      </c>
      <c r="R12617" s="10" t="s">
        <v>53239</v>
      </c>
      <c r="S12617" s="10" t="s">
        <v>53</v>
      </c>
      <c r="T12617" s="10" t="s">
        <v>54</v>
      </c>
    </row>
    <row r="12618" spans="1:20" ht="14.5" x14ac:dyDescent="0.35">
      <c r="A12618" s="10" t="s">
        <v>53240</v>
      </c>
      <c r="B12618" s="10" t="str">
        <f>"9789814998529"</f>
        <v>9789814998529</v>
      </c>
      <c r="C12618" s="10" t="str">
        <f>"9789814998512"</f>
        <v>9789814998512</v>
      </c>
      <c r="D12618" s="10" t="s">
        <v>21815</v>
      </c>
      <c r="E12618" s="10" t="s">
        <v>21815</v>
      </c>
      <c r="F12618" s="10" t="s">
        <v>549</v>
      </c>
      <c r="G12618" s="10" t="s">
        <v>8573</v>
      </c>
      <c r="H12618" s="11">
        <v>44419</v>
      </c>
      <c r="I12618" s="10">
        <v>2021</v>
      </c>
      <c r="J12618" s="10" t="s">
        <v>21815</v>
      </c>
      <c r="K12618" s="10">
        <v>131</v>
      </c>
      <c r="L12618" s="10" t="s">
        <v>53241</v>
      </c>
      <c r="M12618" s="10">
        <v>1</v>
      </c>
      <c r="N12618" s="10"/>
      <c r="O12618" s="10"/>
      <c r="P12618" s="10" t="s">
        <v>53242</v>
      </c>
      <c r="Q12618" s="10">
        <v>530.07100000000003</v>
      </c>
      <c r="R12618" s="10" t="s">
        <v>53243</v>
      </c>
      <c r="S12618" s="10" t="s">
        <v>53</v>
      </c>
      <c r="T12618" s="10" t="s">
        <v>11578</v>
      </c>
    </row>
    <row r="12619" spans="1:20" ht="14.5" x14ac:dyDescent="0.35">
      <c r="A12619" s="10" t="s">
        <v>53244</v>
      </c>
      <c r="B12619" s="10" t="str">
        <f>"9781416630449"</f>
        <v>9781416630449</v>
      </c>
      <c r="C12619" s="10" t="str">
        <f>"9781416630456"</f>
        <v>9781416630456</v>
      </c>
      <c r="D12619" s="10" t="s">
        <v>10014</v>
      </c>
      <c r="E12619" s="10" t="s">
        <v>10015</v>
      </c>
      <c r="F12619" s="10" t="s">
        <v>201</v>
      </c>
      <c r="G12619" s="10" t="s">
        <v>6317</v>
      </c>
      <c r="H12619" s="11">
        <v>44469</v>
      </c>
      <c r="I12619" s="10">
        <v>2021</v>
      </c>
      <c r="J12619" s="10" t="s">
        <v>10015</v>
      </c>
      <c r="K12619" s="10">
        <v>167</v>
      </c>
      <c r="L12619" s="10" t="s">
        <v>53245</v>
      </c>
      <c r="M12619" s="10">
        <v>1</v>
      </c>
      <c r="N12619" s="10"/>
      <c r="O12619" s="10"/>
      <c r="P12619" s="10"/>
      <c r="Q12619" s="10" t="s">
        <v>11202</v>
      </c>
      <c r="R12619" s="10"/>
      <c r="S12619" s="10" t="s">
        <v>53</v>
      </c>
      <c r="T12619" s="10" t="s">
        <v>54</v>
      </c>
    </row>
    <row r="12620" spans="1:20" ht="14.5" x14ac:dyDescent="0.35">
      <c r="A12620" s="10" t="s">
        <v>53246</v>
      </c>
      <c r="B12620" s="10" t="str">
        <f>"9781416630517"</f>
        <v>9781416630517</v>
      </c>
      <c r="C12620" s="10" t="str">
        <f>"9781416630531"</f>
        <v>9781416630531</v>
      </c>
      <c r="D12620" s="10" t="s">
        <v>10014</v>
      </c>
      <c r="E12620" s="10" t="s">
        <v>10015</v>
      </c>
      <c r="F12620" s="10" t="s">
        <v>201</v>
      </c>
      <c r="G12620" s="10" t="s">
        <v>6317</v>
      </c>
      <c r="H12620" s="11">
        <v>44469</v>
      </c>
      <c r="I12620" s="10">
        <v>2021</v>
      </c>
      <c r="J12620" s="10" t="s">
        <v>10015</v>
      </c>
      <c r="K12620" s="10">
        <v>144</v>
      </c>
      <c r="L12620" s="10" t="s">
        <v>28699</v>
      </c>
      <c r="M12620" s="10">
        <v>1</v>
      </c>
      <c r="N12620" s="10"/>
      <c r="O12620" s="10"/>
      <c r="P12620" s="10"/>
      <c r="Q12620" s="10">
        <v>371.10199999999998</v>
      </c>
      <c r="R12620" s="10"/>
      <c r="S12620" s="10" t="s">
        <v>53</v>
      </c>
      <c r="T12620" s="10" t="s">
        <v>54</v>
      </c>
    </row>
    <row r="12621" spans="1:20" ht="14.5" x14ac:dyDescent="0.35">
      <c r="A12621" s="10" t="s">
        <v>53247</v>
      </c>
      <c r="B12621" s="10" t="str">
        <f>"9781618215185"</f>
        <v>9781618215185</v>
      </c>
      <c r="C12621" s="10" t="str">
        <f>"9781000495027"</f>
        <v>9781000495027</v>
      </c>
      <c r="D12621" s="10" t="s">
        <v>6350</v>
      </c>
      <c r="E12621" s="10" t="s">
        <v>6351</v>
      </c>
      <c r="F12621" s="10" t="s">
        <v>3967</v>
      </c>
      <c r="G12621" s="10" t="s">
        <v>6352</v>
      </c>
      <c r="H12621" s="11">
        <v>42522</v>
      </c>
      <c r="I12621" s="10">
        <v>2016</v>
      </c>
      <c r="J12621" s="10" t="s">
        <v>6353</v>
      </c>
      <c r="K12621" s="10">
        <v>185</v>
      </c>
      <c r="L12621" s="10" t="s">
        <v>53248</v>
      </c>
      <c r="M12621" s="10">
        <v>1</v>
      </c>
      <c r="N12621" s="10"/>
      <c r="O12621" s="10"/>
      <c r="P12621" s="10" t="s">
        <v>53249</v>
      </c>
      <c r="Q12621" s="10">
        <v>155.45500000000001</v>
      </c>
      <c r="R12621" s="10" t="s">
        <v>46195</v>
      </c>
      <c r="S12621" s="10" t="s">
        <v>53</v>
      </c>
      <c r="T12621" s="10" t="s">
        <v>10711</v>
      </c>
    </row>
    <row r="12622" spans="1:20" ht="14.5" x14ac:dyDescent="0.35">
      <c r="A12622" s="10" t="s">
        <v>53250</v>
      </c>
      <c r="B12622" s="10" t="str">
        <f>"9781951075170"</f>
        <v>9781951075170</v>
      </c>
      <c r="C12622" s="10" t="str">
        <f>"9781951075187"</f>
        <v>9781951075187</v>
      </c>
      <c r="D12622" s="10" t="s">
        <v>37580</v>
      </c>
      <c r="E12622" s="10" t="s">
        <v>37581</v>
      </c>
      <c r="F12622" s="10" t="s">
        <v>37623</v>
      </c>
      <c r="G12622" s="10" t="s">
        <v>6317</v>
      </c>
      <c r="H12622" s="11">
        <v>44463</v>
      </c>
      <c r="I12622" s="10">
        <v>2022</v>
      </c>
      <c r="J12622" s="10" t="s">
        <v>37581</v>
      </c>
      <c r="K12622" s="10">
        <v>176</v>
      </c>
      <c r="L12622" s="10" t="s">
        <v>53251</v>
      </c>
      <c r="M12622" s="10">
        <v>1</v>
      </c>
      <c r="N12622" s="10"/>
      <c r="O12622" s="10"/>
      <c r="P12622" s="10"/>
      <c r="Q12622" s="10"/>
      <c r="R12622" s="10"/>
      <c r="S12622" s="10" t="s">
        <v>53</v>
      </c>
      <c r="T12622" s="10" t="s">
        <v>54</v>
      </c>
    </row>
    <row r="12623" spans="1:20" ht="14.5" x14ac:dyDescent="0.35">
      <c r="A12623" s="10" t="s">
        <v>53252</v>
      </c>
      <c r="B12623" s="10" t="str">
        <f>"9781032144771"</f>
        <v>9781032144771</v>
      </c>
      <c r="C12623" s="10" t="str">
        <f>"9781000503227"</f>
        <v>9781000503227</v>
      </c>
      <c r="D12623" s="10" t="s">
        <v>6350</v>
      </c>
      <c r="E12623" s="10" t="s">
        <v>6351</v>
      </c>
      <c r="F12623" s="10" t="s">
        <v>3967</v>
      </c>
      <c r="G12623" s="10" t="s">
        <v>6352</v>
      </c>
      <c r="H12623" s="11">
        <v>42154</v>
      </c>
      <c r="I12623" s="10">
        <v>2015</v>
      </c>
      <c r="J12623" s="10" t="s">
        <v>6351</v>
      </c>
      <c r="K12623" s="10">
        <v>402</v>
      </c>
      <c r="L12623" s="10" t="s">
        <v>53253</v>
      </c>
      <c r="M12623" s="10">
        <v>1</v>
      </c>
      <c r="N12623" s="10"/>
      <c r="O12623" s="10"/>
      <c r="P12623" s="10" t="s">
        <v>53254</v>
      </c>
      <c r="Q12623" s="10">
        <v>371.95</v>
      </c>
      <c r="R12623" s="10" t="s">
        <v>53255</v>
      </c>
      <c r="S12623" s="10" t="s">
        <v>53</v>
      </c>
      <c r="T12623" s="10" t="s">
        <v>54</v>
      </c>
    </row>
    <row r="12624" spans="1:20" ht="14.5" x14ac:dyDescent="0.35">
      <c r="A12624" s="10" t="s">
        <v>53256</v>
      </c>
      <c r="B12624" s="10" t="str">
        <f>"9781032143712"</f>
        <v>9781032143712</v>
      </c>
      <c r="C12624" s="10" t="str">
        <f>"9781000488906"</f>
        <v>9781000488906</v>
      </c>
      <c r="D12624" s="10" t="s">
        <v>6350</v>
      </c>
      <c r="E12624" s="10" t="s">
        <v>6351</v>
      </c>
      <c r="F12624" s="10" t="s">
        <v>3967</v>
      </c>
      <c r="G12624" s="10" t="s">
        <v>6352</v>
      </c>
      <c r="H12624" s="11">
        <v>43281</v>
      </c>
      <c r="I12624" s="10">
        <v>2018</v>
      </c>
      <c r="J12624" s="10" t="s">
        <v>6351</v>
      </c>
      <c r="K12624" s="10">
        <v>211</v>
      </c>
      <c r="L12624" s="10" t="s">
        <v>53257</v>
      </c>
      <c r="M12624" s="10">
        <v>1</v>
      </c>
      <c r="N12624" s="10"/>
      <c r="O12624" s="10"/>
      <c r="P12624" s="10" t="s">
        <v>53258</v>
      </c>
      <c r="Q12624" s="10">
        <v>371.95</v>
      </c>
      <c r="R12624" s="10" t="s">
        <v>53259</v>
      </c>
      <c r="S12624" s="10" t="s">
        <v>53</v>
      </c>
      <c r="T12624" s="10" t="s">
        <v>54</v>
      </c>
    </row>
    <row r="12625" spans="1:20" ht="14.5" x14ac:dyDescent="0.35">
      <c r="A12625" s="10" t="s">
        <v>53260</v>
      </c>
      <c r="B12625" s="10" t="str">
        <f>"9781032142142"</f>
        <v>9781032142142</v>
      </c>
      <c r="C12625" s="10" t="str">
        <f>"9781000488951"</f>
        <v>9781000488951</v>
      </c>
      <c r="D12625" s="10" t="s">
        <v>6350</v>
      </c>
      <c r="E12625" s="10" t="s">
        <v>6351</v>
      </c>
      <c r="F12625" s="10" t="s">
        <v>3967</v>
      </c>
      <c r="G12625" s="10" t="s">
        <v>6352</v>
      </c>
      <c r="H12625" s="11">
        <v>42200</v>
      </c>
      <c r="I12625" s="10">
        <v>2015</v>
      </c>
      <c r="J12625" s="10" t="s">
        <v>6353</v>
      </c>
      <c r="K12625" s="10">
        <v>288</v>
      </c>
      <c r="L12625" s="10" t="s">
        <v>53257</v>
      </c>
      <c r="M12625" s="10">
        <v>1</v>
      </c>
      <c r="N12625" s="10"/>
      <c r="O12625" s="10"/>
      <c r="P12625" s="10" t="s">
        <v>53261</v>
      </c>
      <c r="Q12625" s="10" t="s">
        <v>27896</v>
      </c>
      <c r="R12625" s="10" t="s">
        <v>53262</v>
      </c>
      <c r="S12625" s="10" t="s">
        <v>53</v>
      </c>
      <c r="T12625" s="10" t="s">
        <v>7193</v>
      </c>
    </row>
    <row r="12626" spans="1:20" ht="14.5" x14ac:dyDescent="0.35">
      <c r="A12626" s="10" t="s">
        <v>53263</v>
      </c>
      <c r="B12626" s="10" t="str">
        <f>"9781421442525"</f>
        <v>9781421442525</v>
      </c>
      <c r="C12626" s="10" t="str">
        <f>"9781421442532"</f>
        <v>9781421442532</v>
      </c>
      <c r="D12626" s="10" t="s">
        <v>884</v>
      </c>
      <c r="E12626" s="10" t="s">
        <v>884</v>
      </c>
      <c r="F12626" s="10" t="s">
        <v>885</v>
      </c>
      <c r="G12626" s="10" t="s">
        <v>6317</v>
      </c>
      <c r="H12626" s="11">
        <v>44488</v>
      </c>
      <c r="I12626" s="10">
        <v>2021</v>
      </c>
      <c r="J12626" s="10" t="s">
        <v>884</v>
      </c>
      <c r="K12626" s="10">
        <v>231</v>
      </c>
      <c r="L12626" s="10" t="s">
        <v>53264</v>
      </c>
      <c r="M12626" s="10">
        <v>1</v>
      </c>
      <c r="N12626" s="10"/>
      <c r="O12626" s="10"/>
      <c r="P12626" s="10"/>
      <c r="Q12626" s="10">
        <v>378.050973</v>
      </c>
      <c r="R12626" s="10"/>
      <c r="S12626" s="10" t="s">
        <v>53</v>
      </c>
      <c r="T12626" s="10" t="s">
        <v>54</v>
      </c>
    </row>
    <row r="12627" spans="1:20" ht="14.5" x14ac:dyDescent="0.35">
      <c r="A12627" s="10" t="s">
        <v>53265</v>
      </c>
      <c r="B12627" s="10" t="str">
        <f>"9781642671605"</f>
        <v>9781642671605</v>
      </c>
      <c r="C12627" s="10" t="str">
        <f>"9781000973280"</f>
        <v>9781000973280</v>
      </c>
      <c r="D12627" s="10" t="s">
        <v>6350</v>
      </c>
      <c r="E12627" s="10" t="s">
        <v>6351</v>
      </c>
      <c r="F12627" s="10" t="s">
        <v>748</v>
      </c>
      <c r="G12627" s="10" t="s">
        <v>6352</v>
      </c>
      <c r="H12627" s="11">
        <v>44469</v>
      </c>
      <c r="I12627" s="10">
        <v>2021</v>
      </c>
      <c r="J12627" s="10" t="s">
        <v>6351</v>
      </c>
      <c r="K12627" s="10">
        <v>332</v>
      </c>
      <c r="L12627" s="10" t="s">
        <v>53266</v>
      </c>
      <c r="M12627" s="10">
        <v>1</v>
      </c>
      <c r="N12627" s="10"/>
      <c r="O12627" s="10"/>
      <c r="P12627" s="10"/>
      <c r="Q12627" s="10">
        <v>378.125</v>
      </c>
      <c r="R12627" s="10" t="s">
        <v>53267</v>
      </c>
      <c r="S12627" s="10" t="s">
        <v>53</v>
      </c>
      <c r="T12627" s="10" t="s">
        <v>54</v>
      </c>
    </row>
    <row r="12628" spans="1:20" ht="14.5" x14ac:dyDescent="0.35">
      <c r="A12628" s="10" t="s">
        <v>53268</v>
      </c>
      <c r="B12628" s="10" t="str">
        <f>"9781642670325"</f>
        <v>9781642670325</v>
      </c>
      <c r="C12628" s="10" t="str">
        <f>"9781000971569"</f>
        <v>9781000971569</v>
      </c>
      <c r="D12628" s="10" t="s">
        <v>6350</v>
      </c>
      <c r="E12628" s="10" t="s">
        <v>6351</v>
      </c>
      <c r="F12628" s="10" t="s">
        <v>748</v>
      </c>
      <c r="G12628" s="10" t="s">
        <v>6352</v>
      </c>
      <c r="H12628" s="11">
        <v>44470</v>
      </c>
      <c r="I12628" s="10">
        <v>2021</v>
      </c>
      <c r="J12628" s="10" t="s">
        <v>6351</v>
      </c>
      <c r="K12628" s="10">
        <v>194</v>
      </c>
      <c r="L12628" s="10" t="s">
        <v>53269</v>
      </c>
      <c r="M12628" s="10">
        <v>1</v>
      </c>
      <c r="N12628" s="10"/>
      <c r="O12628" s="10"/>
      <c r="P12628" s="10"/>
      <c r="Q12628" s="10">
        <v>378.197</v>
      </c>
      <c r="R12628" s="10" t="s">
        <v>53270</v>
      </c>
      <c r="S12628" s="10" t="s">
        <v>53</v>
      </c>
      <c r="T12628" s="10" t="s">
        <v>54</v>
      </c>
    </row>
    <row r="12629" spans="1:20" ht="14.5" x14ac:dyDescent="0.35">
      <c r="A12629" s="10" t="s">
        <v>53271</v>
      </c>
      <c r="B12629" s="10" t="str">
        <f>"9781647120665"</f>
        <v>9781647120665</v>
      </c>
      <c r="C12629" s="10" t="str">
        <f>"9781647120672"</f>
        <v>9781647120672</v>
      </c>
      <c r="D12629" s="10" t="s">
        <v>16084</v>
      </c>
      <c r="E12629" s="10" t="s">
        <v>16084</v>
      </c>
      <c r="F12629" s="10" t="s">
        <v>88</v>
      </c>
      <c r="G12629" s="10" t="s">
        <v>6317</v>
      </c>
      <c r="H12629" s="11">
        <v>44470</v>
      </c>
      <c r="I12629" s="10">
        <v>2021</v>
      </c>
      <c r="J12629" s="10" t="s">
        <v>16084</v>
      </c>
      <c r="K12629" s="10">
        <v>270</v>
      </c>
      <c r="L12629" s="10" t="s">
        <v>53272</v>
      </c>
      <c r="M12629" s="10">
        <v>1</v>
      </c>
      <c r="N12629" s="10"/>
      <c r="O12629" s="10"/>
      <c r="P12629" s="10"/>
      <c r="Q12629" s="10">
        <v>378.12082097299998</v>
      </c>
      <c r="R12629" s="10"/>
      <c r="S12629" s="10" t="s">
        <v>53</v>
      </c>
      <c r="T12629" s="10" t="s">
        <v>54</v>
      </c>
    </row>
    <row r="12630" spans="1:20" ht="14.5" x14ac:dyDescent="0.35">
      <c r="A12630" s="10" t="s">
        <v>53273</v>
      </c>
      <c r="B12630" s="10" t="str">
        <f>""</f>
        <v/>
      </c>
      <c r="C12630" s="10" t="str">
        <f>"9789354790423"</f>
        <v>9789354790423</v>
      </c>
      <c r="D12630" s="10" t="s">
        <v>14562</v>
      </c>
      <c r="E12630" s="10" t="s">
        <v>14563</v>
      </c>
      <c r="F12630" s="10" t="s">
        <v>14564</v>
      </c>
      <c r="G12630" s="10" t="s">
        <v>13425</v>
      </c>
      <c r="H12630" s="11">
        <v>44487</v>
      </c>
      <c r="I12630" s="10">
        <v>2021</v>
      </c>
      <c r="J12630" s="10" t="s">
        <v>14563</v>
      </c>
      <c r="K12630" s="10">
        <v>297</v>
      </c>
      <c r="L12630" s="10" t="s">
        <v>53274</v>
      </c>
      <c r="M12630" s="10">
        <v>1</v>
      </c>
      <c r="N12630" s="10"/>
      <c r="O12630" s="10"/>
      <c r="P12630" s="10" t="s">
        <v>53275</v>
      </c>
      <c r="Q12630" s="10">
        <v>650.0711</v>
      </c>
      <c r="R12630" s="10" t="s">
        <v>53276</v>
      </c>
      <c r="S12630" s="10" t="s">
        <v>53</v>
      </c>
      <c r="T12630" s="10" t="s">
        <v>6660</v>
      </c>
    </row>
    <row r="12631" spans="1:20" ht="14.5" x14ac:dyDescent="0.35">
      <c r="A12631" s="10" t="s">
        <v>53277</v>
      </c>
      <c r="B12631" s="10" t="str">
        <f>"9781978805378"</f>
        <v>9781978805378</v>
      </c>
      <c r="C12631" s="10" t="str">
        <f>"9781978805408"</f>
        <v>9781978805408</v>
      </c>
      <c r="D12631" s="10" t="s">
        <v>12251</v>
      </c>
      <c r="E12631" s="10" t="s">
        <v>12251</v>
      </c>
      <c r="F12631" s="10" t="s">
        <v>12451</v>
      </c>
      <c r="G12631" s="10" t="s">
        <v>6317</v>
      </c>
      <c r="H12631" s="11">
        <v>44540</v>
      </c>
      <c r="I12631" s="10">
        <v>2022</v>
      </c>
      <c r="J12631" s="10" t="s">
        <v>12251</v>
      </c>
      <c r="K12631" s="10">
        <v>368</v>
      </c>
      <c r="L12631" s="10" t="s">
        <v>53278</v>
      </c>
      <c r="M12631" s="10">
        <v>1</v>
      </c>
      <c r="N12631" s="10"/>
      <c r="O12631" s="10"/>
      <c r="P12631" s="10" t="s">
        <v>53279</v>
      </c>
      <c r="Q12631" s="10">
        <v>371.82996072999998</v>
      </c>
      <c r="R12631" s="10"/>
      <c r="S12631" s="10" t="s">
        <v>53</v>
      </c>
      <c r="T12631" s="10" t="s">
        <v>54</v>
      </c>
    </row>
    <row r="12632" spans="1:20" ht="14.5" x14ac:dyDescent="0.35">
      <c r="A12632" s="10" t="s">
        <v>53280</v>
      </c>
      <c r="B12632" s="10" t="str">
        <f>"9781978808331"</f>
        <v>9781978808331</v>
      </c>
      <c r="C12632" s="10" t="str">
        <f>"9781978808362"</f>
        <v>9781978808362</v>
      </c>
      <c r="D12632" s="10" t="s">
        <v>12251</v>
      </c>
      <c r="E12632" s="10" t="s">
        <v>12251</v>
      </c>
      <c r="F12632" s="10" t="s">
        <v>12451</v>
      </c>
      <c r="G12632" s="10" t="s">
        <v>6317</v>
      </c>
      <c r="H12632" s="11">
        <v>44456</v>
      </c>
      <c r="I12632" s="10">
        <v>2022</v>
      </c>
      <c r="J12632" s="10" t="s">
        <v>12251</v>
      </c>
      <c r="K12632" s="10">
        <v>343</v>
      </c>
      <c r="L12632" s="10" t="s">
        <v>53281</v>
      </c>
      <c r="M12632" s="10">
        <v>1</v>
      </c>
      <c r="N12632" s="10"/>
      <c r="O12632" s="10"/>
      <c r="P12632" s="10" t="s">
        <v>28527</v>
      </c>
      <c r="Q12632" s="10">
        <v>378.11109199999999</v>
      </c>
      <c r="R12632" s="10"/>
      <c r="S12632" s="10" t="s">
        <v>53</v>
      </c>
      <c r="T12632" s="10" t="s">
        <v>54</v>
      </c>
    </row>
    <row r="12633" spans="1:20" ht="14.5" x14ac:dyDescent="0.35">
      <c r="A12633" s="10" t="s">
        <v>53282</v>
      </c>
      <c r="B12633" s="10" t="str">
        <f>"9789004471771"</f>
        <v>9789004471771</v>
      </c>
      <c r="C12633" s="10" t="str">
        <f>"9789004471788"</f>
        <v>9789004471788</v>
      </c>
      <c r="D12633" s="10" t="s">
        <v>8564</v>
      </c>
      <c r="E12633" s="10" t="s">
        <v>8565</v>
      </c>
      <c r="F12633" s="10" t="s">
        <v>1420</v>
      </c>
      <c r="G12633" s="10" t="s">
        <v>6317</v>
      </c>
      <c r="H12633" s="11">
        <v>44469</v>
      </c>
      <c r="I12633" s="10">
        <v>2021</v>
      </c>
      <c r="J12633" s="10" t="s">
        <v>8565</v>
      </c>
      <c r="K12633" s="10">
        <v>259</v>
      </c>
      <c r="L12633" s="10" t="s">
        <v>25750</v>
      </c>
      <c r="M12633" s="10">
        <v>1</v>
      </c>
      <c r="N12633" s="10" t="s">
        <v>53283</v>
      </c>
      <c r="O12633" s="10">
        <v>9</v>
      </c>
      <c r="P12633" s="10"/>
      <c r="Q12633" s="10"/>
      <c r="R12633" s="10"/>
      <c r="S12633" s="10" t="s">
        <v>53</v>
      </c>
      <c r="T12633" s="10" t="s">
        <v>8717</v>
      </c>
    </row>
    <row r="12634" spans="1:20" ht="14.5" x14ac:dyDescent="0.35">
      <c r="A12634" s="10" t="s">
        <v>53284</v>
      </c>
      <c r="B12634" s="10" t="str">
        <f>"9781991201348"</f>
        <v>9781991201348</v>
      </c>
      <c r="C12634" s="10" t="str">
        <f>"9781991201355"</f>
        <v>9781991201355</v>
      </c>
      <c r="D12634" s="10" t="s">
        <v>51836</v>
      </c>
      <c r="E12634" s="10" t="s">
        <v>51836</v>
      </c>
      <c r="F12634" s="10" t="s">
        <v>51837</v>
      </c>
      <c r="G12634" s="10" t="s">
        <v>24826</v>
      </c>
      <c r="H12634" s="11">
        <v>44435</v>
      </c>
      <c r="I12634" s="10">
        <v>2021</v>
      </c>
      <c r="J12634" s="10" t="s">
        <v>51836</v>
      </c>
      <c r="K12634" s="10">
        <v>210</v>
      </c>
      <c r="L12634" s="10" t="s">
        <v>53285</v>
      </c>
      <c r="M12634" s="10">
        <v>1</v>
      </c>
      <c r="N12634" s="10" t="s">
        <v>52529</v>
      </c>
      <c r="O12634" s="10">
        <v>3</v>
      </c>
      <c r="P12634" s="10" t="s">
        <v>53286</v>
      </c>
      <c r="Q12634" s="10">
        <v>378.68</v>
      </c>
      <c r="R12634" s="10" t="s">
        <v>53287</v>
      </c>
      <c r="S12634" s="10" t="s">
        <v>53</v>
      </c>
      <c r="T12634" s="10" t="s">
        <v>54</v>
      </c>
    </row>
    <row r="12635" spans="1:20" ht="14.5" x14ac:dyDescent="0.35">
      <c r="A12635" s="10" t="s">
        <v>53288</v>
      </c>
      <c r="B12635" s="10" t="str">
        <f>"9781928314912"</f>
        <v>9781928314912</v>
      </c>
      <c r="C12635" s="10" t="str">
        <f>"9781928314929"</f>
        <v>9781928314929</v>
      </c>
      <c r="D12635" s="10" t="s">
        <v>51836</v>
      </c>
      <c r="E12635" s="10" t="s">
        <v>51836</v>
      </c>
      <c r="F12635" s="10" t="s">
        <v>51837</v>
      </c>
      <c r="G12635" s="10" t="s">
        <v>24826</v>
      </c>
      <c r="H12635" s="11">
        <v>43895</v>
      </c>
      <c r="I12635" s="10">
        <v>2021</v>
      </c>
      <c r="J12635" s="10" t="s">
        <v>51836</v>
      </c>
      <c r="K12635" s="10">
        <v>376</v>
      </c>
      <c r="L12635" s="10" t="s">
        <v>53289</v>
      </c>
      <c r="M12635" s="10">
        <v>1</v>
      </c>
      <c r="N12635" s="10"/>
      <c r="O12635" s="10"/>
      <c r="P12635" s="10" t="s">
        <v>53290</v>
      </c>
      <c r="Q12635" s="10">
        <v>379.6</v>
      </c>
      <c r="R12635" s="10" t="s">
        <v>53291</v>
      </c>
      <c r="S12635" s="10" t="s">
        <v>53</v>
      </c>
      <c r="T12635" s="10" t="s">
        <v>54</v>
      </c>
    </row>
    <row r="12636" spans="1:20" ht="14.5" x14ac:dyDescent="0.35">
      <c r="A12636" s="10" t="s">
        <v>53292</v>
      </c>
      <c r="B12636" s="10" t="str">
        <f>"9781952812156"</f>
        <v>9781952812156</v>
      </c>
      <c r="C12636" s="10" t="str">
        <f>"9781952812163"</f>
        <v>9781952812163</v>
      </c>
      <c r="D12636" s="10" t="s">
        <v>37580</v>
      </c>
      <c r="E12636" s="10" t="s">
        <v>37581</v>
      </c>
      <c r="F12636" s="10" t="s">
        <v>37623</v>
      </c>
      <c r="G12636" s="10" t="s">
        <v>6317</v>
      </c>
      <c r="H12636" s="11">
        <v>44477</v>
      </c>
      <c r="I12636" s="10">
        <v>2022</v>
      </c>
      <c r="J12636" s="10" t="s">
        <v>37581</v>
      </c>
      <c r="K12636" s="10">
        <v>168</v>
      </c>
      <c r="L12636" s="10" t="s">
        <v>53293</v>
      </c>
      <c r="M12636" s="10">
        <v>1</v>
      </c>
      <c r="N12636" s="10"/>
      <c r="O12636" s="10"/>
      <c r="P12636" s="10"/>
      <c r="Q12636" s="10"/>
      <c r="R12636" s="10"/>
      <c r="S12636" s="10" t="s">
        <v>53</v>
      </c>
      <c r="T12636" s="10" t="s">
        <v>54</v>
      </c>
    </row>
    <row r="12637" spans="1:20" ht="14.5" x14ac:dyDescent="0.35">
      <c r="A12637" s="10" t="s">
        <v>53294</v>
      </c>
      <c r="B12637" s="10" t="str">
        <f>"9781683732754"</f>
        <v>9781683732754</v>
      </c>
      <c r="C12637" s="10" t="str">
        <f>"9781683732761"</f>
        <v>9781683732761</v>
      </c>
      <c r="D12637" s="10" t="s">
        <v>51397</v>
      </c>
      <c r="E12637" s="10" t="s">
        <v>51398</v>
      </c>
      <c r="F12637" s="10" t="s">
        <v>51399</v>
      </c>
      <c r="G12637" s="10" t="s">
        <v>6317</v>
      </c>
      <c r="H12637" s="11">
        <v>44120</v>
      </c>
      <c r="I12637" s="10">
        <v>2020</v>
      </c>
      <c r="J12637" s="10" t="s">
        <v>51398</v>
      </c>
      <c r="K12637" s="10">
        <v>109</v>
      </c>
      <c r="L12637" s="10" t="s">
        <v>53295</v>
      </c>
      <c r="M12637" s="10">
        <v>1</v>
      </c>
      <c r="N12637" s="10"/>
      <c r="O12637" s="10"/>
      <c r="P12637" s="10" t="s">
        <v>53296</v>
      </c>
      <c r="Q12637" s="10">
        <v>371.10239999999999</v>
      </c>
      <c r="R12637" s="10" t="s">
        <v>7483</v>
      </c>
      <c r="S12637" s="10" t="s">
        <v>53</v>
      </c>
      <c r="T12637" s="10" t="s">
        <v>54</v>
      </c>
    </row>
    <row r="12638" spans="1:20" ht="14.5" x14ac:dyDescent="0.35">
      <c r="A12638" s="10" t="s">
        <v>53297</v>
      </c>
      <c r="B12638" s="10" t="str">
        <f>"9781421442075"</f>
        <v>9781421442075</v>
      </c>
      <c r="C12638" s="10" t="str">
        <f>"9781421442082"</f>
        <v>9781421442082</v>
      </c>
      <c r="D12638" s="10" t="s">
        <v>884</v>
      </c>
      <c r="E12638" s="10" t="s">
        <v>884</v>
      </c>
      <c r="F12638" s="10" t="s">
        <v>885</v>
      </c>
      <c r="G12638" s="10" t="s">
        <v>6317</v>
      </c>
      <c r="H12638" s="11">
        <v>44537</v>
      </c>
      <c r="I12638" s="10">
        <v>2021</v>
      </c>
      <c r="J12638" s="10" t="s">
        <v>884</v>
      </c>
      <c r="K12638" s="10">
        <v>349</v>
      </c>
      <c r="L12638" s="10" t="s">
        <v>53298</v>
      </c>
      <c r="M12638" s="10">
        <v>1</v>
      </c>
      <c r="N12638" s="10"/>
      <c r="O12638" s="10"/>
      <c r="P12638" s="10"/>
      <c r="Q12638" s="10">
        <v>378.15430973000002</v>
      </c>
      <c r="R12638" s="10"/>
      <c r="S12638" s="10" t="s">
        <v>53</v>
      </c>
      <c r="T12638" s="10" t="s">
        <v>54</v>
      </c>
    </row>
    <row r="12639" spans="1:20" ht="14.5" x14ac:dyDescent="0.35">
      <c r="A12639" s="10" t="s">
        <v>53299</v>
      </c>
      <c r="B12639" s="10" t="str">
        <f>"9781952812859"</f>
        <v>9781952812859</v>
      </c>
      <c r="C12639" s="10" t="str">
        <f>"9781952812866"</f>
        <v>9781952812866</v>
      </c>
      <c r="D12639" s="10" t="s">
        <v>37580</v>
      </c>
      <c r="E12639" s="10" t="s">
        <v>37581</v>
      </c>
      <c r="F12639" s="10" t="s">
        <v>37623</v>
      </c>
      <c r="G12639" s="10" t="s">
        <v>6317</v>
      </c>
      <c r="H12639" s="11">
        <v>44491</v>
      </c>
      <c r="I12639" s="10">
        <v>2022</v>
      </c>
      <c r="J12639" s="10" t="s">
        <v>37581</v>
      </c>
      <c r="K12639" s="10">
        <v>160</v>
      </c>
      <c r="L12639" s="10" t="s">
        <v>44408</v>
      </c>
      <c r="M12639" s="10">
        <v>1</v>
      </c>
      <c r="N12639" s="10"/>
      <c r="O12639" s="10"/>
      <c r="P12639" s="10"/>
      <c r="Q12639" s="10"/>
      <c r="R12639" s="10"/>
      <c r="S12639" s="10" t="s">
        <v>53</v>
      </c>
      <c r="T12639" s="10" t="s">
        <v>54</v>
      </c>
    </row>
    <row r="12640" spans="1:20" ht="14.5" x14ac:dyDescent="0.35">
      <c r="A12640" s="10" t="s">
        <v>53300</v>
      </c>
      <c r="B12640" s="10" t="str">
        <f>"9781421442655"</f>
        <v>9781421442655</v>
      </c>
      <c r="C12640" s="10" t="str">
        <f>"9781421442662"</f>
        <v>9781421442662</v>
      </c>
      <c r="D12640" s="10" t="s">
        <v>884</v>
      </c>
      <c r="E12640" s="10" t="s">
        <v>884</v>
      </c>
      <c r="F12640" s="10" t="s">
        <v>885</v>
      </c>
      <c r="G12640" s="10" t="s">
        <v>6317</v>
      </c>
      <c r="H12640" s="11">
        <v>44537</v>
      </c>
      <c r="I12640" s="10">
        <v>2021</v>
      </c>
      <c r="J12640" s="10" t="s">
        <v>884</v>
      </c>
      <c r="K12640" s="10">
        <v>266</v>
      </c>
      <c r="L12640" s="10" t="s">
        <v>53301</v>
      </c>
      <c r="M12640" s="10">
        <v>1</v>
      </c>
      <c r="N12640" s="10"/>
      <c r="O12640" s="10"/>
      <c r="P12640" s="10"/>
      <c r="Q12640" s="10">
        <v>371.33446780000003</v>
      </c>
      <c r="R12640" s="10"/>
      <c r="S12640" s="10" t="s">
        <v>53</v>
      </c>
      <c r="T12640" s="10" t="s">
        <v>54</v>
      </c>
    </row>
    <row r="12641" spans="1:20" ht="14.5" x14ac:dyDescent="0.35">
      <c r="A12641" s="10" t="s">
        <v>53302</v>
      </c>
      <c r="B12641" s="10" t="str">
        <f>"9781620369944"</f>
        <v>9781620369944</v>
      </c>
      <c r="C12641" s="10" t="str">
        <f>"9781000974973"</f>
        <v>9781000974973</v>
      </c>
      <c r="D12641" s="10" t="s">
        <v>6350</v>
      </c>
      <c r="E12641" s="10" t="s">
        <v>6351</v>
      </c>
      <c r="F12641" s="10" t="s">
        <v>41227</v>
      </c>
      <c r="G12641" s="10" t="s">
        <v>6317</v>
      </c>
      <c r="H12641" s="11">
        <v>44498</v>
      </c>
      <c r="I12641" s="10">
        <v>2021</v>
      </c>
      <c r="J12641" s="10" t="s">
        <v>6353</v>
      </c>
      <c r="K12641" s="10">
        <v>247</v>
      </c>
      <c r="L12641" s="10" t="s">
        <v>53303</v>
      </c>
      <c r="M12641" s="10">
        <v>1</v>
      </c>
      <c r="N12641" s="10"/>
      <c r="O12641" s="10"/>
      <c r="P12641" s="10"/>
      <c r="Q12641" s="10">
        <v>378.17</v>
      </c>
      <c r="R12641" s="10"/>
      <c r="S12641" s="10" t="s">
        <v>53</v>
      </c>
      <c r="T12641" s="10" t="s">
        <v>54</v>
      </c>
    </row>
    <row r="12642" spans="1:20" ht="14.5" x14ac:dyDescent="0.35">
      <c r="A12642" s="10" t="s">
        <v>53304</v>
      </c>
      <c r="B12642" s="10" t="str">
        <f>"9789004471375"</f>
        <v>9789004471375</v>
      </c>
      <c r="C12642" s="10" t="str">
        <f>"9789004471382"</f>
        <v>9789004471382</v>
      </c>
      <c r="D12642" s="10" t="s">
        <v>8564</v>
      </c>
      <c r="E12642" s="10" t="s">
        <v>8565</v>
      </c>
      <c r="F12642" s="10" t="s">
        <v>1420</v>
      </c>
      <c r="G12642" s="10" t="s">
        <v>6317</v>
      </c>
      <c r="H12642" s="11">
        <v>44448</v>
      </c>
      <c r="I12642" s="10">
        <v>2021</v>
      </c>
      <c r="J12642" s="10" t="s">
        <v>8565</v>
      </c>
      <c r="K12642" s="10">
        <v>425</v>
      </c>
      <c r="L12642" s="10" t="s">
        <v>53305</v>
      </c>
      <c r="M12642" s="10">
        <v>1</v>
      </c>
      <c r="N12642" s="10" t="s">
        <v>53170</v>
      </c>
      <c r="O12642" s="10">
        <v>2</v>
      </c>
      <c r="P12642" s="10"/>
      <c r="Q12642" s="10">
        <v>371.33446780000003</v>
      </c>
      <c r="R12642" s="10"/>
      <c r="S12642" s="10" t="s">
        <v>53</v>
      </c>
      <c r="T12642" s="10" t="s">
        <v>54</v>
      </c>
    </row>
    <row r="12643" spans="1:20" ht="14.5" x14ac:dyDescent="0.35">
      <c r="A12643" s="10" t="s">
        <v>53306</v>
      </c>
      <c r="B12643" s="10" t="str">
        <f>"9781421442440"</f>
        <v>9781421442440</v>
      </c>
      <c r="C12643" s="10" t="str">
        <f>"9781421442457"</f>
        <v>9781421442457</v>
      </c>
      <c r="D12643" s="10" t="s">
        <v>884</v>
      </c>
      <c r="E12643" s="10" t="s">
        <v>884</v>
      </c>
      <c r="F12643" s="10" t="s">
        <v>885</v>
      </c>
      <c r="G12643" s="10" t="s">
        <v>6317</v>
      </c>
      <c r="H12643" s="11">
        <v>44565</v>
      </c>
      <c r="I12643" s="10">
        <v>2022</v>
      </c>
      <c r="J12643" s="10" t="s">
        <v>884</v>
      </c>
      <c r="K12643" s="10">
        <v>213</v>
      </c>
      <c r="L12643" s="10" t="s">
        <v>53307</v>
      </c>
      <c r="M12643" s="10">
        <v>1</v>
      </c>
      <c r="N12643" s="10"/>
      <c r="O12643" s="10"/>
      <c r="P12643" s="10" t="s">
        <v>53308</v>
      </c>
      <c r="Q12643" s="10">
        <v>378.73</v>
      </c>
      <c r="R12643" s="10" t="s">
        <v>53309</v>
      </c>
      <c r="S12643" s="10" t="s">
        <v>53</v>
      </c>
      <c r="T12643" s="10" t="s">
        <v>54</v>
      </c>
    </row>
    <row r="12644" spans="1:20" ht="14.5" x14ac:dyDescent="0.35">
      <c r="A12644" s="10" t="s">
        <v>53310</v>
      </c>
      <c r="B12644" s="10" t="str">
        <f>""</f>
        <v/>
      </c>
      <c r="C12644" s="10" t="str">
        <f>"9781564848475"</f>
        <v>9781564848475</v>
      </c>
      <c r="D12644" s="10" t="s">
        <v>9533</v>
      </c>
      <c r="E12644" s="10" t="s">
        <v>45783</v>
      </c>
      <c r="F12644" s="10" t="s">
        <v>25348</v>
      </c>
      <c r="G12644" s="10" t="s">
        <v>6317</v>
      </c>
      <c r="H12644" s="11">
        <v>43984</v>
      </c>
      <c r="I12644" s="10">
        <v>2020</v>
      </c>
      <c r="J12644" s="10" t="s">
        <v>45783</v>
      </c>
      <c r="K12644" s="10">
        <v>141</v>
      </c>
      <c r="L12644" s="10" t="s">
        <v>53311</v>
      </c>
      <c r="M12644" s="10">
        <v>1</v>
      </c>
      <c r="N12644" s="10"/>
      <c r="O12644" s="10"/>
      <c r="P12644" s="10" t="s">
        <v>53312</v>
      </c>
      <c r="Q12644" s="10">
        <v>371.33499999999998</v>
      </c>
      <c r="R12644" s="10" t="s">
        <v>53313</v>
      </c>
      <c r="S12644" s="10" t="s">
        <v>53</v>
      </c>
      <c r="T12644" s="10" t="s">
        <v>54</v>
      </c>
    </row>
    <row r="12645" spans="1:20" ht="14.5" x14ac:dyDescent="0.35">
      <c r="A12645" s="10" t="s">
        <v>53314</v>
      </c>
      <c r="B12645" s="10" t="str">
        <f>""</f>
        <v/>
      </c>
      <c r="C12645" s="10" t="str">
        <f>"9781802627862"</f>
        <v>9781802627862</v>
      </c>
      <c r="D12645" s="10" t="s">
        <v>8699</v>
      </c>
      <c r="E12645" s="10" t="s">
        <v>8699</v>
      </c>
      <c r="F12645" s="10" t="s">
        <v>41843</v>
      </c>
      <c r="G12645" s="10" t="s">
        <v>6352</v>
      </c>
      <c r="H12645" s="11">
        <v>44469</v>
      </c>
      <c r="I12645" s="10">
        <v>2021</v>
      </c>
      <c r="J12645" s="10" t="s">
        <v>8699</v>
      </c>
      <c r="K12645" s="10">
        <v>141</v>
      </c>
      <c r="L12645" s="10" t="s">
        <v>53315</v>
      </c>
      <c r="M12645" s="10">
        <v>1</v>
      </c>
      <c r="N12645" s="10" t="s">
        <v>48122</v>
      </c>
      <c r="O12645" s="10">
        <v>2</v>
      </c>
      <c r="P12645" s="10" t="s">
        <v>53316</v>
      </c>
      <c r="Q12645" s="10">
        <v>371.35</v>
      </c>
      <c r="R12645" s="10" t="s">
        <v>53317</v>
      </c>
      <c r="S12645" s="10" t="s">
        <v>53</v>
      </c>
      <c r="T12645" s="10" t="s">
        <v>54</v>
      </c>
    </row>
    <row r="12646" spans="1:20" ht="14.5" x14ac:dyDescent="0.35">
      <c r="A12646" s="10" t="s">
        <v>53318</v>
      </c>
      <c r="B12646" s="10" t="str">
        <f>""</f>
        <v/>
      </c>
      <c r="C12646" s="10" t="str">
        <f>"9781802621723"</f>
        <v>9781802621723</v>
      </c>
      <c r="D12646" s="10" t="s">
        <v>8699</v>
      </c>
      <c r="E12646" s="10" t="s">
        <v>8699</v>
      </c>
      <c r="F12646" s="10" t="s">
        <v>41843</v>
      </c>
      <c r="G12646" s="10" t="s">
        <v>6352</v>
      </c>
      <c r="H12646" s="11">
        <v>44382</v>
      </c>
      <c r="I12646" s="10">
        <v>2021</v>
      </c>
      <c r="J12646" s="10" t="s">
        <v>8699</v>
      </c>
      <c r="K12646" s="10">
        <v>144</v>
      </c>
      <c r="L12646" s="10" t="s">
        <v>53319</v>
      </c>
      <c r="M12646" s="10">
        <v>1</v>
      </c>
      <c r="N12646" s="10" t="s">
        <v>48338</v>
      </c>
      <c r="O12646" s="10">
        <v>3</v>
      </c>
      <c r="P12646" s="10" t="s">
        <v>53320</v>
      </c>
      <c r="Q12646" s="10">
        <v>371.2</v>
      </c>
      <c r="R12646" s="10" t="s">
        <v>33644</v>
      </c>
      <c r="S12646" s="10" t="s">
        <v>53</v>
      </c>
      <c r="T12646" s="10" t="s">
        <v>54</v>
      </c>
    </row>
    <row r="12647" spans="1:20" ht="14.5" x14ac:dyDescent="0.35">
      <c r="A12647" s="10" t="s">
        <v>53321</v>
      </c>
      <c r="B12647" s="10" t="str">
        <f>""</f>
        <v/>
      </c>
      <c r="C12647" s="10" t="str">
        <f>"9781802621525"</f>
        <v>9781802621525</v>
      </c>
      <c r="D12647" s="10" t="s">
        <v>8699</v>
      </c>
      <c r="E12647" s="10" t="s">
        <v>8699</v>
      </c>
      <c r="F12647" s="10" t="s">
        <v>41843</v>
      </c>
      <c r="G12647" s="10" t="s">
        <v>6352</v>
      </c>
      <c r="H12647" s="11">
        <v>44405</v>
      </c>
      <c r="I12647" s="10">
        <v>2021</v>
      </c>
      <c r="J12647" s="10" t="s">
        <v>8699</v>
      </c>
      <c r="K12647" s="10">
        <v>153</v>
      </c>
      <c r="L12647" s="10" t="s">
        <v>53322</v>
      </c>
      <c r="M12647" s="10">
        <v>1</v>
      </c>
      <c r="N12647" s="10" t="s">
        <v>50567</v>
      </c>
      <c r="O12647" s="10">
        <v>2</v>
      </c>
      <c r="P12647" s="10" t="s">
        <v>53323</v>
      </c>
      <c r="Q12647" s="10">
        <v>415</v>
      </c>
      <c r="R12647" s="10" t="s">
        <v>53324</v>
      </c>
      <c r="S12647" s="10" t="s">
        <v>53</v>
      </c>
      <c r="T12647" s="10" t="s">
        <v>6616</v>
      </c>
    </row>
    <row r="12648" spans="1:20" ht="14.5" x14ac:dyDescent="0.35">
      <c r="A12648" s="10" t="s">
        <v>53325</v>
      </c>
      <c r="B12648" s="10" t="str">
        <f>"9781416630845"</f>
        <v>9781416630845</v>
      </c>
      <c r="C12648" s="10" t="str">
        <f>"9781416630869"</f>
        <v>9781416630869</v>
      </c>
      <c r="D12648" s="10" t="s">
        <v>10014</v>
      </c>
      <c r="E12648" s="10" t="s">
        <v>10015</v>
      </c>
      <c r="F12648" s="10" t="s">
        <v>201</v>
      </c>
      <c r="G12648" s="10" t="s">
        <v>6317</v>
      </c>
      <c r="H12648" s="11">
        <v>44476</v>
      </c>
      <c r="I12648" s="10">
        <v>2022</v>
      </c>
      <c r="J12648" s="10" t="s">
        <v>10015</v>
      </c>
      <c r="K12648" s="10">
        <v>321</v>
      </c>
      <c r="L12648" s="10" t="s">
        <v>53326</v>
      </c>
      <c r="M12648" s="10">
        <v>1</v>
      </c>
      <c r="N12648" s="10"/>
      <c r="O12648" s="10"/>
      <c r="P12648" s="10" t="s">
        <v>39979</v>
      </c>
      <c r="Q12648" s="10">
        <v>371.10199999999998</v>
      </c>
      <c r="R12648" s="10" t="s">
        <v>53327</v>
      </c>
      <c r="S12648" s="10" t="s">
        <v>53</v>
      </c>
      <c r="T12648" s="10" t="s">
        <v>54</v>
      </c>
    </row>
    <row r="12649" spans="1:20" ht="14.5" x14ac:dyDescent="0.35">
      <c r="A12649" s="10" t="s">
        <v>53328</v>
      </c>
      <c r="B12649" s="10" t="str">
        <f>"9781416630548"</f>
        <v>9781416630548</v>
      </c>
      <c r="C12649" s="10" t="str">
        <f>"9781416630968"</f>
        <v>9781416630968</v>
      </c>
      <c r="D12649" s="10" t="s">
        <v>10014</v>
      </c>
      <c r="E12649" s="10" t="s">
        <v>10015</v>
      </c>
      <c r="F12649" s="10" t="s">
        <v>201</v>
      </c>
      <c r="G12649" s="10" t="s">
        <v>6317</v>
      </c>
      <c r="H12649" s="11">
        <v>44499</v>
      </c>
      <c r="I12649" s="10">
        <v>2022</v>
      </c>
      <c r="J12649" s="10" t="s">
        <v>10015</v>
      </c>
      <c r="K12649" s="10">
        <v>156</v>
      </c>
      <c r="L12649" s="10" t="s">
        <v>53329</v>
      </c>
      <c r="M12649" s="10">
        <v>1</v>
      </c>
      <c r="N12649" s="10"/>
      <c r="O12649" s="10"/>
      <c r="P12649" s="10"/>
      <c r="Q12649" s="10">
        <v>372.35044097299999</v>
      </c>
      <c r="R12649" s="10"/>
      <c r="S12649" s="10" t="s">
        <v>53</v>
      </c>
      <c r="T12649" s="10" t="s">
        <v>54</v>
      </c>
    </row>
    <row r="12650" spans="1:20" ht="14.5" x14ac:dyDescent="0.35">
      <c r="A12650" s="10" t="s">
        <v>53330</v>
      </c>
      <c r="B12650" s="10" t="str">
        <f>"9781975504106"</f>
        <v>9781975504106</v>
      </c>
      <c r="C12650" s="10" t="str">
        <f>"9781975504120"</f>
        <v>9781975504120</v>
      </c>
      <c r="D12650" s="10" t="s">
        <v>44271</v>
      </c>
      <c r="E12650" s="10" t="s">
        <v>47266</v>
      </c>
      <c r="F12650" s="10" t="s">
        <v>41227</v>
      </c>
      <c r="G12650" s="10" t="s">
        <v>6317</v>
      </c>
      <c r="H12650" s="11">
        <v>44539</v>
      </c>
      <c r="I12650" s="10">
        <v>2021</v>
      </c>
      <c r="J12650" s="10" t="s">
        <v>47266</v>
      </c>
      <c r="K12650" s="10">
        <v>329</v>
      </c>
      <c r="L12650" s="10" t="s">
        <v>53331</v>
      </c>
      <c r="M12650" s="10">
        <v>1</v>
      </c>
      <c r="N12650" s="10" t="s">
        <v>50866</v>
      </c>
      <c r="O12650" s="10"/>
      <c r="P12650" s="10"/>
      <c r="Q12650" s="10">
        <v>305.23</v>
      </c>
      <c r="R12650" s="10" t="s">
        <v>53332</v>
      </c>
      <c r="S12650" s="10" t="s">
        <v>53</v>
      </c>
      <c r="T12650" s="10" t="s">
        <v>6363</v>
      </c>
    </row>
    <row r="12651" spans="1:20" ht="14.5" x14ac:dyDescent="0.35">
      <c r="A12651" s="10" t="s">
        <v>53333</v>
      </c>
      <c r="B12651" s="10" t="str">
        <f>"9781975503949"</f>
        <v>9781975503949</v>
      </c>
      <c r="C12651" s="10" t="str">
        <f>"9781975503963"</f>
        <v>9781975503963</v>
      </c>
      <c r="D12651" s="10" t="s">
        <v>44271</v>
      </c>
      <c r="E12651" s="10" t="s">
        <v>47266</v>
      </c>
      <c r="F12651" s="10" t="s">
        <v>41227</v>
      </c>
      <c r="G12651" s="10" t="s">
        <v>6317</v>
      </c>
      <c r="H12651" s="11">
        <v>44560</v>
      </c>
      <c r="I12651" s="10">
        <v>2021</v>
      </c>
      <c r="J12651" s="10" t="s">
        <v>47266</v>
      </c>
      <c r="K12651" s="10">
        <v>349</v>
      </c>
      <c r="L12651" s="10" t="s">
        <v>53334</v>
      </c>
      <c r="M12651" s="10">
        <v>1</v>
      </c>
      <c r="N12651" s="10"/>
      <c r="O12651" s="10"/>
      <c r="P12651" s="10" t="s">
        <v>53335</v>
      </c>
      <c r="Q12651" s="10">
        <v>121.4</v>
      </c>
      <c r="R12651" s="10" t="s">
        <v>53336</v>
      </c>
      <c r="S12651" s="10" t="s">
        <v>53</v>
      </c>
      <c r="T12651" s="10" t="s">
        <v>6534</v>
      </c>
    </row>
    <row r="12652" spans="1:20" ht="14.5" x14ac:dyDescent="0.35">
      <c r="A12652" s="10" t="s">
        <v>53337</v>
      </c>
      <c r="B12652" s="10" t="str">
        <f>"9789004505964"</f>
        <v>9789004505964</v>
      </c>
      <c r="C12652" s="10" t="str">
        <f>"9789004505971"</f>
        <v>9789004505971</v>
      </c>
      <c r="D12652" s="10" t="s">
        <v>8564</v>
      </c>
      <c r="E12652" s="10" t="s">
        <v>8565</v>
      </c>
      <c r="F12652" s="10" t="s">
        <v>1420</v>
      </c>
      <c r="G12652" s="10" t="s">
        <v>6317</v>
      </c>
      <c r="H12652" s="11">
        <v>44469</v>
      </c>
      <c r="I12652" s="10">
        <v>2022</v>
      </c>
      <c r="J12652" s="10" t="s">
        <v>8565</v>
      </c>
      <c r="K12652" s="10">
        <v>195</v>
      </c>
      <c r="L12652" s="10" t="s">
        <v>53338</v>
      </c>
      <c r="M12652" s="10">
        <v>1</v>
      </c>
      <c r="N12652" s="10" t="s">
        <v>49581</v>
      </c>
      <c r="O12652" s="10">
        <v>5</v>
      </c>
      <c r="P12652" s="10"/>
      <c r="Q12652" s="10">
        <v>304.2</v>
      </c>
      <c r="R12652" s="10"/>
      <c r="S12652" s="10" t="s">
        <v>53</v>
      </c>
      <c r="T12652" s="10" t="s">
        <v>6363</v>
      </c>
    </row>
    <row r="12653" spans="1:20" ht="14.5" x14ac:dyDescent="0.35">
      <c r="A12653" s="10" t="s">
        <v>53339</v>
      </c>
      <c r="B12653" s="10" t="str">
        <f>"9780253058713"</f>
        <v>9780253058713</v>
      </c>
      <c r="C12653" s="10" t="str">
        <f>"9780253058744"</f>
        <v>9780253058744</v>
      </c>
      <c r="D12653" s="10" t="s">
        <v>2455</v>
      </c>
      <c r="E12653" s="10" t="s">
        <v>2455</v>
      </c>
      <c r="F12653" s="10" t="s">
        <v>3101</v>
      </c>
      <c r="G12653" s="10" t="s">
        <v>6317</v>
      </c>
      <c r="H12653" s="11">
        <v>44684</v>
      </c>
      <c r="I12653" s="10">
        <v>2022</v>
      </c>
      <c r="J12653" s="10" t="s">
        <v>2455</v>
      </c>
      <c r="K12653" s="10">
        <v>282</v>
      </c>
      <c r="L12653" s="10" t="s">
        <v>53340</v>
      </c>
      <c r="M12653" s="10"/>
      <c r="N12653" s="10" t="s">
        <v>53341</v>
      </c>
      <c r="O12653" s="10"/>
      <c r="P12653" s="10" t="s">
        <v>53342</v>
      </c>
      <c r="Q12653" s="10">
        <v>418.40710999999999</v>
      </c>
      <c r="R12653" s="10" t="s">
        <v>53343</v>
      </c>
      <c r="S12653" s="10" t="s">
        <v>53</v>
      </c>
      <c r="T12653" s="10" t="s">
        <v>6634</v>
      </c>
    </row>
    <row r="12654" spans="1:20" ht="14.5" x14ac:dyDescent="0.35">
      <c r="A12654" s="10" t="s">
        <v>53344</v>
      </c>
      <c r="B12654" s="10" t="str">
        <f>"9780252044168"</f>
        <v>9780252044168</v>
      </c>
      <c r="C12654" s="10" t="str">
        <f>"9780252053108"</f>
        <v>9780252053108</v>
      </c>
      <c r="D12654" s="10" t="s">
        <v>3194</v>
      </c>
      <c r="E12654" s="10" t="s">
        <v>3194</v>
      </c>
      <c r="F12654" s="10" t="s">
        <v>2200</v>
      </c>
      <c r="G12654" s="10" t="s">
        <v>6317</v>
      </c>
      <c r="H12654" s="11">
        <v>44495</v>
      </c>
      <c r="I12654" s="10">
        <v>2021</v>
      </c>
      <c r="J12654" s="10" t="s">
        <v>3194</v>
      </c>
      <c r="K12654" s="10">
        <v>142</v>
      </c>
      <c r="L12654" s="10" t="s">
        <v>53345</v>
      </c>
      <c r="M12654" s="10">
        <v>1</v>
      </c>
      <c r="N12654" s="10"/>
      <c r="O12654" s="10"/>
      <c r="P12654" s="10" t="s">
        <v>53346</v>
      </c>
      <c r="Q12654" s="10">
        <v>152.1</v>
      </c>
      <c r="R12654" s="10" t="s">
        <v>53347</v>
      </c>
      <c r="S12654" s="10" t="s">
        <v>53</v>
      </c>
      <c r="T12654" s="10" t="s">
        <v>483</v>
      </c>
    </row>
    <row r="12655" spans="1:20" ht="14.5" x14ac:dyDescent="0.35">
      <c r="A12655" s="10" t="s">
        <v>53348</v>
      </c>
      <c r="B12655" s="10" t="str">
        <f>"9781575069777"</f>
        <v>9781575069777</v>
      </c>
      <c r="C12655" s="10" t="str">
        <f>"9781646022021"</f>
        <v>9781646022021</v>
      </c>
      <c r="D12655" s="10" t="s">
        <v>51324</v>
      </c>
      <c r="E12655" s="10" t="s">
        <v>6087</v>
      </c>
      <c r="F12655" s="10" t="s">
        <v>51325</v>
      </c>
      <c r="G12655" s="10" t="s">
        <v>6317</v>
      </c>
      <c r="H12655" s="11">
        <v>43362</v>
      </c>
      <c r="I12655" s="10">
        <v>2018</v>
      </c>
      <c r="J12655" s="10" t="s">
        <v>53349</v>
      </c>
      <c r="K12655" s="10">
        <v>860</v>
      </c>
      <c r="L12655" s="10" t="s">
        <v>53350</v>
      </c>
      <c r="M12655" s="10">
        <v>1</v>
      </c>
      <c r="N12655" s="10" t="s">
        <v>53351</v>
      </c>
      <c r="O12655" s="10"/>
      <c r="P12655" s="10"/>
      <c r="Q12655" s="10" t="s">
        <v>53352</v>
      </c>
      <c r="R12655" s="10" t="s">
        <v>53353</v>
      </c>
      <c r="S12655" s="10" t="s">
        <v>53</v>
      </c>
      <c r="T12655" s="10" t="s">
        <v>6616</v>
      </c>
    </row>
    <row r="12656" spans="1:20" ht="14.5" x14ac:dyDescent="0.35">
      <c r="A12656" s="10" t="s">
        <v>53354</v>
      </c>
      <c r="B12656" s="10" t="str">
        <f>"9789004503618"</f>
        <v>9789004503618</v>
      </c>
      <c r="C12656" s="10" t="str">
        <f>"9789004503625"</f>
        <v>9789004503625</v>
      </c>
      <c r="D12656" s="10" t="s">
        <v>8564</v>
      </c>
      <c r="E12656" s="10" t="s">
        <v>8565</v>
      </c>
      <c r="F12656" s="10" t="s">
        <v>1420</v>
      </c>
      <c r="G12656" s="10" t="s">
        <v>6317</v>
      </c>
      <c r="H12656" s="11">
        <v>44462</v>
      </c>
      <c r="I12656" s="10">
        <v>2021</v>
      </c>
      <c r="J12656" s="10" t="s">
        <v>8565</v>
      </c>
      <c r="K12656" s="10">
        <v>445</v>
      </c>
      <c r="L12656" s="10" t="s">
        <v>53355</v>
      </c>
      <c r="M12656" s="10">
        <v>1</v>
      </c>
      <c r="N12656" s="10" t="s">
        <v>33332</v>
      </c>
      <c r="O12656" s="10">
        <v>21</v>
      </c>
      <c r="P12656" s="10"/>
      <c r="Q12656" s="10"/>
      <c r="R12656" s="10"/>
      <c r="S12656" s="10" t="s">
        <v>53</v>
      </c>
      <c r="T12656" s="10" t="s">
        <v>54</v>
      </c>
    </row>
    <row r="12657" spans="1:20" ht="14.5" x14ac:dyDescent="0.35">
      <c r="A12657" s="10" t="s">
        <v>53356</v>
      </c>
      <c r="B12657" s="10" t="str">
        <f>"9780113318186"</f>
        <v>9780113318186</v>
      </c>
      <c r="C12657" s="10" t="str">
        <f>"9780113318193"</f>
        <v>9780113318193</v>
      </c>
      <c r="D12657" s="10" t="s">
        <v>43658</v>
      </c>
      <c r="E12657" s="10" t="s">
        <v>50552</v>
      </c>
      <c r="F12657" s="10" t="s">
        <v>139</v>
      </c>
      <c r="G12657" s="10" t="s">
        <v>6352</v>
      </c>
      <c r="H12657" s="11">
        <v>44511</v>
      </c>
      <c r="I12657" s="10">
        <v>2021</v>
      </c>
      <c r="J12657" s="10" t="s">
        <v>50553</v>
      </c>
      <c r="K12657" s="10">
        <v>242</v>
      </c>
      <c r="L12657" s="10" t="s">
        <v>50829</v>
      </c>
      <c r="M12657" s="10"/>
      <c r="N12657" s="10"/>
      <c r="O12657" s="10"/>
      <c r="P12657" s="10"/>
      <c r="Q12657" s="10"/>
      <c r="R12657" s="10"/>
      <c r="S12657" s="10" t="s">
        <v>53</v>
      </c>
      <c r="T12657" s="10" t="s">
        <v>8760</v>
      </c>
    </row>
    <row r="12658" spans="1:20" ht="14.5" x14ac:dyDescent="0.35">
      <c r="A12658" s="10" t="s">
        <v>53357</v>
      </c>
      <c r="B12658" s="10" t="str">
        <f>"9789004506640"</f>
        <v>9789004506640</v>
      </c>
      <c r="C12658" s="10" t="str">
        <f>"9789004506657"</f>
        <v>9789004506657</v>
      </c>
      <c r="D12658" s="10" t="s">
        <v>8564</v>
      </c>
      <c r="E12658" s="10" t="s">
        <v>8565</v>
      </c>
      <c r="F12658" s="10" t="s">
        <v>1420</v>
      </c>
      <c r="G12658" s="10" t="s">
        <v>6317</v>
      </c>
      <c r="H12658" s="11">
        <v>44504</v>
      </c>
      <c r="I12658" s="10">
        <v>2022</v>
      </c>
      <c r="J12658" s="10" t="s">
        <v>8565</v>
      </c>
      <c r="K12658" s="10">
        <v>274</v>
      </c>
      <c r="L12658" s="10" t="s">
        <v>53358</v>
      </c>
      <c r="M12658" s="10">
        <v>1</v>
      </c>
      <c r="N12658" s="10" t="s">
        <v>53359</v>
      </c>
      <c r="O12658" s="10">
        <v>1</v>
      </c>
      <c r="P12658" s="10"/>
      <c r="Q12658" s="10"/>
      <c r="R12658" s="10"/>
      <c r="S12658" s="10" t="s">
        <v>53</v>
      </c>
      <c r="T12658" s="10" t="s">
        <v>54</v>
      </c>
    </row>
    <row r="12659" spans="1:20" ht="14.5" x14ac:dyDescent="0.35">
      <c r="A12659" s="10" t="s">
        <v>53360</v>
      </c>
      <c r="B12659" s="10" t="str">
        <f>"9781937306427"</f>
        <v>9781937306427</v>
      </c>
      <c r="C12659" s="10" t="str">
        <f>"9781937306434"</f>
        <v>9781937306434</v>
      </c>
      <c r="D12659" s="10" t="s">
        <v>9533</v>
      </c>
      <c r="E12659" s="10" t="s">
        <v>53361</v>
      </c>
      <c r="F12659" s="10" t="s">
        <v>25348</v>
      </c>
      <c r="G12659" s="10" t="s">
        <v>6317</v>
      </c>
      <c r="H12659" s="11">
        <v>42959</v>
      </c>
      <c r="I12659" s="10">
        <v>2017</v>
      </c>
      <c r="J12659" s="10" t="s">
        <v>53361</v>
      </c>
      <c r="K12659" s="10">
        <v>246</v>
      </c>
      <c r="L12659" s="10" t="s">
        <v>53362</v>
      </c>
      <c r="M12659" s="10">
        <v>1</v>
      </c>
      <c r="N12659" s="10"/>
      <c r="O12659" s="10"/>
      <c r="P12659" s="10" t="s">
        <v>53363</v>
      </c>
      <c r="Q12659" s="10">
        <v>371.82996072999998</v>
      </c>
      <c r="R12659" s="10" t="s">
        <v>53364</v>
      </c>
      <c r="S12659" s="10" t="s">
        <v>53</v>
      </c>
      <c r="T12659" s="10" t="s">
        <v>54</v>
      </c>
    </row>
    <row r="12660" spans="1:20" ht="14.5" x14ac:dyDescent="0.35">
      <c r="A12660" s="10" t="s">
        <v>53365</v>
      </c>
      <c r="B12660" s="10" t="str">
        <f>"9780745343013"</f>
        <v>9780745343013</v>
      </c>
      <c r="C12660" s="10" t="str">
        <f>"9780745343051"</f>
        <v>9780745343051</v>
      </c>
      <c r="D12660" s="10" t="s">
        <v>9533</v>
      </c>
      <c r="E12660" s="10" t="s">
        <v>37535</v>
      </c>
      <c r="F12660" s="10" t="s">
        <v>139</v>
      </c>
      <c r="G12660" s="10" t="s">
        <v>6352</v>
      </c>
      <c r="H12660" s="11">
        <v>44520</v>
      </c>
      <c r="I12660" s="10">
        <v>2021</v>
      </c>
      <c r="J12660" s="10" t="s">
        <v>37535</v>
      </c>
      <c r="K12660" s="10">
        <v>257</v>
      </c>
      <c r="L12660" s="10" t="s">
        <v>53366</v>
      </c>
      <c r="M12660" s="10">
        <v>1</v>
      </c>
      <c r="N12660" s="10"/>
      <c r="O12660" s="10"/>
      <c r="P12660" s="10" t="s">
        <v>53367</v>
      </c>
      <c r="Q12660" s="10">
        <v>342.73085300000002</v>
      </c>
      <c r="R12660" s="10" t="s">
        <v>53368</v>
      </c>
      <c r="S12660" s="10" t="s">
        <v>53</v>
      </c>
      <c r="T12660" s="10" t="s">
        <v>5396</v>
      </c>
    </row>
    <row r="12661" spans="1:20" ht="14.5" x14ac:dyDescent="0.35">
      <c r="A12661" s="10" t="s">
        <v>53369</v>
      </c>
      <c r="B12661" s="10" t="str">
        <f>"9780252044199"</f>
        <v>9780252044199</v>
      </c>
      <c r="C12661" s="10" t="str">
        <f>"9780252053153"</f>
        <v>9780252053153</v>
      </c>
      <c r="D12661" s="10" t="s">
        <v>3194</v>
      </c>
      <c r="E12661" s="10" t="s">
        <v>3194</v>
      </c>
      <c r="F12661" s="10" t="s">
        <v>2200</v>
      </c>
      <c r="G12661" s="10" t="s">
        <v>6317</v>
      </c>
      <c r="H12661" s="11">
        <v>44544</v>
      </c>
      <c r="I12661" s="10">
        <v>2021</v>
      </c>
      <c r="J12661" s="10" t="s">
        <v>3194</v>
      </c>
      <c r="K12661" s="10">
        <v>185</v>
      </c>
      <c r="L12661" s="10" t="s">
        <v>53370</v>
      </c>
      <c r="M12661" s="10">
        <v>1</v>
      </c>
      <c r="N12661" s="10"/>
      <c r="O12661" s="10"/>
      <c r="P12661" s="10" t="s">
        <v>53371</v>
      </c>
      <c r="Q12661" s="10">
        <v>371.10399999999998</v>
      </c>
      <c r="R12661" s="10" t="s">
        <v>53372</v>
      </c>
      <c r="S12661" s="10" t="s">
        <v>53</v>
      </c>
      <c r="T12661" s="10" t="s">
        <v>54</v>
      </c>
    </row>
    <row r="12662" spans="1:20" ht="14.5" x14ac:dyDescent="0.35">
      <c r="A12662" s="10" t="s">
        <v>53373</v>
      </c>
      <c r="B12662" s="10" t="str">
        <f>"9789004507913"</f>
        <v>9789004507913</v>
      </c>
      <c r="C12662" s="10" t="str">
        <f>"9789004507920"</f>
        <v>9789004507920</v>
      </c>
      <c r="D12662" s="10" t="s">
        <v>8564</v>
      </c>
      <c r="E12662" s="10" t="s">
        <v>8565</v>
      </c>
      <c r="F12662" s="10" t="s">
        <v>1420</v>
      </c>
      <c r="G12662" s="10" t="s">
        <v>6317</v>
      </c>
      <c r="H12662" s="11">
        <v>44518</v>
      </c>
      <c r="I12662" s="10">
        <v>2022</v>
      </c>
      <c r="J12662" s="10" t="s">
        <v>8565</v>
      </c>
      <c r="K12662" s="10">
        <v>194</v>
      </c>
      <c r="L12662" s="10" t="s">
        <v>53374</v>
      </c>
      <c r="M12662" s="10">
        <v>1</v>
      </c>
      <c r="N12662" s="10" t="s">
        <v>33404</v>
      </c>
      <c r="O12662" s="10">
        <v>22</v>
      </c>
      <c r="P12662" s="10"/>
      <c r="Q12662" s="10" t="s">
        <v>8890</v>
      </c>
      <c r="R12662" s="10"/>
      <c r="S12662" s="10" t="s">
        <v>53</v>
      </c>
      <c r="T12662" s="10" t="s">
        <v>6363</v>
      </c>
    </row>
    <row r="12663" spans="1:20" ht="14.5" x14ac:dyDescent="0.35">
      <c r="A12663" s="10" t="s">
        <v>53375</v>
      </c>
      <c r="B12663" s="10" t="str">
        <f>"9781949539073"</f>
        <v>9781949539073</v>
      </c>
      <c r="C12663" s="10" t="str">
        <f>"9781949539080"</f>
        <v>9781949539080</v>
      </c>
      <c r="D12663" s="10" t="s">
        <v>37580</v>
      </c>
      <c r="E12663" s="10" t="s">
        <v>37581</v>
      </c>
      <c r="F12663" s="10" t="s">
        <v>37623</v>
      </c>
      <c r="G12663" s="10" t="s">
        <v>6317</v>
      </c>
      <c r="H12663" s="11">
        <v>44551</v>
      </c>
      <c r="I12663" s="10">
        <v>2022</v>
      </c>
      <c r="J12663" s="10" t="s">
        <v>37581</v>
      </c>
      <c r="K12663" s="10">
        <v>160</v>
      </c>
      <c r="L12663" s="10" t="s">
        <v>53376</v>
      </c>
      <c r="M12663" s="10">
        <v>1</v>
      </c>
      <c r="N12663" s="10"/>
      <c r="O12663" s="10"/>
      <c r="P12663" s="10"/>
      <c r="Q12663" s="10"/>
      <c r="R12663" s="10"/>
      <c r="S12663" s="10" t="s">
        <v>53</v>
      </c>
      <c r="T12663" s="10" t="s">
        <v>54</v>
      </c>
    </row>
    <row r="12664" spans="1:20" ht="14.5" x14ac:dyDescent="0.35">
      <c r="A12664" s="10" t="s">
        <v>53377</v>
      </c>
      <c r="B12664" s="10" t="str">
        <f>"9780117092747"</f>
        <v>9780117092747</v>
      </c>
      <c r="C12664" s="10" t="str">
        <f>"9780117092747"</f>
        <v>9780117092747</v>
      </c>
      <c r="D12664" s="10" t="s">
        <v>43658</v>
      </c>
      <c r="E12664" s="10" t="s">
        <v>50552</v>
      </c>
      <c r="F12664" s="10" t="s">
        <v>139</v>
      </c>
      <c r="G12664" s="10" t="s">
        <v>6352</v>
      </c>
      <c r="H12664" s="11">
        <v>44531</v>
      </c>
      <c r="I12664" s="10">
        <v>2021</v>
      </c>
      <c r="J12664" s="10" t="s">
        <v>50553</v>
      </c>
      <c r="K12664" s="10">
        <v>134</v>
      </c>
      <c r="L12664" s="10" t="s">
        <v>53378</v>
      </c>
      <c r="M12664" s="10"/>
      <c r="N12664" s="10"/>
      <c r="O12664" s="10"/>
      <c r="P12664" s="10"/>
      <c r="Q12664" s="10"/>
      <c r="R12664" s="10"/>
      <c r="S12664" s="10" t="s">
        <v>53</v>
      </c>
      <c r="T12664" s="10" t="s">
        <v>8760</v>
      </c>
    </row>
    <row r="12665" spans="1:20" ht="14.5" x14ac:dyDescent="0.35">
      <c r="A12665" s="10" t="s">
        <v>53379</v>
      </c>
      <c r="B12665" s="10" t="str">
        <f>"9789004393684"</f>
        <v>9789004393684</v>
      </c>
      <c r="C12665" s="10" t="str">
        <f>"9789004505452"</f>
        <v>9789004505452</v>
      </c>
      <c r="D12665" s="10" t="s">
        <v>8564</v>
      </c>
      <c r="E12665" s="10" t="s">
        <v>8565</v>
      </c>
      <c r="F12665" s="10" t="s">
        <v>1420</v>
      </c>
      <c r="G12665" s="10" t="s">
        <v>6317</v>
      </c>
      <c r="H12665" s="11">
        <v>44525</v>
      </c>
      <c r="I12665" s="10">
        <v>2022</v>
      </c>
      <c r="J12665" s="10" t="s">
        <v>8565</v>
      </c>
      <c r="K12665" s="10">
        <v>341</v>
      </c>
      <c r="L12665" s="10" t="s">
        <v>53380</v>
      </c>
      <c r="M12665" s="10">
        <v>1</v>
      </c>
      <c r="N12665" s="10" t="s">
        <v>53381</v>
      </c>
      <c r="O12665" s="10">
        <v>23</v>
      </c>
      <c r="P12665" s="10"/>
      <c r="Q12665" s="10"/>
      <c r="R12665" s="10"/>
      <c r="S12665" s="10" t="s">
        <v>53</v>
      </c>
      <c r="T12665" s="10" t="s">
        <v>54</v>
      </c>
    </row>
    <row r="12666" spans="1:20" ht="14.5" x14ac:dyDescent="0.35">
      <c r="A12666" s="10" t="s">
        <v>53382</v>
      </c>
      <c r="B12666" s="10" t="str">
        <f>"9789004508088"</f>
        <v>9789004508088</v>
      </c>
      <c r="C12666" s="10" t="str">
        <f>"9789004508095"</f>
        <v>9789004508095</v>
      </c>
      <c r="D12666" s="10" t="s">
        <v>8564</v>
      </c>
      <c r="E12666" s="10" t="s">
        <v>8565</v>
      </c>
      <c r="F12666" s="10" t="s">
        <v>1420</v>
      </c>
      <c r="G12666" s="10" t="s">
        <v>6317</v>
      </c>
      <c r="H12666" s="11">
        <v>44525</v>
      </c>
      <c r="I12666" s="10">
        <v>2022</v>
      </c>
      <c r="J12666" s="10" t="s">
        <v>8565</v>
      </c>
      <c r="K12666" s="10">
        <v>142</v>
      </c>
      <c r="L12666" s="10" t="s">
        <v>53383</v>
      </c>
      <c r="M12666" s="10">
        <v>2</v>
      </c>
      <c r="N12666" s="10" t="s">
        <v>43365</v>
      </c>
      <c r="O12666" s="10">
        <v>9</v>
      </c>
      <c r="P12666" s="10"/>
      <c r="Q12666" s="10">
        <v>808.06630580000001</v>
      </c>
      <c r="R12666" s="10"/>
      <c r="S12666" s="10" t="s">
        <v>53</v>
      </c>
      <c r="T12666" s="10" t="s">
        <v>1166</v>
      </c>
    </row>
    <row r="12667" spans="1:20" ht="14.5" x14ac:dyDescent="0.35">
      <c r="A12667" s="10" t="s">
        <v>53384</v>
      </c>
      <c r="B12667" s="10" t="str">
        <f>"9781642672244"</f>
        <v>9781642672244</v>
      </c>
      <c r="C12667" s="10" t="str">
        <f>"9781000975031"</f>
        <v>9781000975031</v>
      </c>
      <c r="D12667" s="10" t="s">
        <v>6350</v>
      </c>
      <c r="E12667" s="10" t="s">
        <v>6351</v>
      </c>
      <c r="F12667" s="10" t="s">
        <v>748</v>
      </c>
      <c r="G12667" s="10" t="s">
        <v>6352</v>
      </c>
      <c r="H12667" s="11">
        <v>44532</v>
      </c>
      <c r="I12667" s="10">
        <v>2022</v>
      </c>
      <c r="J12667" s="10" t="s">
        <v>6351</v>
      </c>
      <c r="K12667" s="10">
        <v>240</v>
      </c>
      <c r="L12667" s="10" t="s">
        <v>53385</v>
      </c>
      <c r="M12667" s="10">
        <v>1</v>
      </c>
      <c r="N12667" s="10"/>
      <c r="O12667" s="10"/>
      <c r="P12667" s="10"/>
      <c r="Q12667" s="10">
        <v>371.2011</v>
      </c>
      <c r="R12667" s="10"/>
      <c r="S12667" s="10" t="s">
        <v>53</v>
      </c>
      <c r="T12667" s="10" t="s">
        <v>54</v>
      </c>
    </row>
    <row r="12668" spans="1:20" ht="14.5" x14ac:dyDescent="0.35">
      <c r="A12668" s="10" t="s">
        <v>53386</v>
      </c>
      <c r="B12668" s="10" t="str">
        <f>"9781416630630"</f>
        <v>9781416630630</v>
      </c>
      <c r="C12668" s="10" t="str">
        <f>"9781416630654"</f>
        <v>9781416630654</v>
      </c>
      <c r="D12668" s="10" t="s">
        <v>10014</v>
      </c>
      <c r="E12668" s="10" t="s">
        <v>10015</v>
      </c>
      <c r="F12668" s="10" t="s">
        <v>201</v>
      </c>
      <c r="G12668" s="10" t="s">
        <v>6317</v>
      </c>
      <c r="H12668" s="11">
        <v>44530</v>
      </c>
      <c r="I12668" s="10">
        <v>2022</v>
      </c>
      <c r="J12668" s="10" t="s">
        <v>10015</v>
      </c>
      <c r="K12668" s="10">
        <v>194</v>
      </c>
      <c r="L12668" s="10" t="s">
        <v>53387</v>
      </c>
      <c r="M12668" s="10">
        <v>1</v>
      </c>
      <c r="N12668" s="10"/>
      <c r="O12668" s="10"/>
      <c r="P12668" s="10"/>
      <c r="Q12668" s="10">
        <v>371.10219999999998</v>
      </c>
      <c r="R12668" s="10"/>
      <c r="S12668" s="10" t="s">
        <v>53</v>
      </c>
      <c r="T12668" s="10" t="s">
        <v>54</v>
      </c>
    </row>
    <row r="12669" spans="1:20" ht="14.5" x14ac:dyDescent="0.35">
      <c r="A12669" s="10" t="s">
        <v>53388</v>
      </c>
      <c r="B12669" s="10" t="str">
        <f>"9781642671124"</f>
        <v>9781642671124</v>
      </c>
      <c r="C12669" s="10" t="str">
        <f>"9781000975628"</f>
        <v>9781000975628</v>
      </c>
      <c r="D12669" s="10" t="s">
        <v>6350</v>
      </c>
      <c r="E12669" s="10" t="s">
        <v>6351</v>
      </c>
      <c r="F12669" s="10" t="s">
        <v>748</v>
      </c>
      <c r="G12669" s="10" t="s">
        <v>6352</v>
      </c>
      <c r="H12669" s="11">
        <v>44560</v>
      </c>
      <c r="I12669" s="10">
        <v>2022</v>
      </c>
      <c r="J12669" s="10" t="s">
        <v>6351</v>
      </c>
      <c r="K12669" s="10">
        <v>582</v>
      </c>
      <c r="L12669" s="10" t="s">
        <v>53389</v>
      </c>
      <c r="M12669" s="10">
        <v>2</v>
      </c>
      <c r="N12669" s="10"/>
      <c r="O12669" s="10"/>
      <c r="P12669" s="10"/>
      <c r="Q12669" s="10">
        <v>370.11599999999999</v>
      </c>
      <c r="R12669" s="10"/>
      <c r="S12669" s="10" t="s">
        <v>53</v>
      </c>
      <c r="T12669" s="10" t="s">
        <v>54</v>
      </c>
    </row>
    <row r="12670" spans="1:20" ht="14.5" x14ac:dyDescent="0.35">
      <c r="A12670" s="10" t="s">
        <v>53390</v>
      </c>
      <c r="B12670" s="10" t="str">
        <f>"9781637421635"</f>
        <v>9781637421635</v>
      </c>
      <c r="C12670" s="10" t="str">
        <f>"9781637421642"</f>
        <v>9781637421642</v>
      </c>
      <c r="D12670" s="10" t="s">
        <v>20574</v>
      </c>
      <c r="E12670" s="10" t="s">
        <v>20574</v>
      </c>
      <c r="F12670" s="10" t="s">
        <v>70</v>
      </c>
      <c r="G12670" s="10" t="s">
        <v>6317</v>
      </c>
      <c r="H12670" s="11">
        <v>44226</v>
      </c>
      <c r="I12670" s="10">
        <v>2021</v>
      </c>
      <c r="J12670" s="10" t="s">
        <v>20574</v>
      </c>
      <c r="K12670" s="10">
        <v>198</v>
      </c>
      <c r="L12670" s="10" t="s">
        <v>53391</v>
      </c>
      <c r="M12670" s="10">
        <v>1</v>
      </c>
      <c r="N12670" s="10"/>
      <c r="O12670" s="10"/>
      <c r="P12670" s="10" t="s">
        <v>53392</v>
      </c>
      <c r="Q12670" s="10">
        <v>378.17344680000002</v>
      </c>
      <c r="R12670" s="10" t="s">
        <v>53393</v>
      </c>
      <c r="S12670" s="10" t="s">
        <v>53</v>
      </c>
      <c r="T12670" s="10" t="s">
        <v>54</v>
      </c>
    </row>
    <row r="12671" spans="1:20" ht="14.5" x14ac:dyDescent="0.35">
      <c r="A12671" s="10" t="s">
        <v>53394</v>
      </c>
      <c r="B12671" s="10" t="str">
        <f>"9781551383521"</f>
        <v>9781551383521</v>
      </c>
      <c r="C12671" s="10" t="str">
        <f>"9781551389530"</f>
        <v>9781551389530</v>
      </c>
      <c r="D12671" s="10" t="s">
        <v>45074</v>
      </c>
      <c r="E12671" s="10" t="s">
        <v>45075</v>
      </c>
      <c r="F12671" s="10" t="s">
        <v>5518</v>
      </c>
      <c r="G12671" s="10" t="s">
        <v>9536</v>
      </c>
      <c r="H12671" s="11">
        <v>44540</v>
      </c>
      <c r="I12671" s="10">
        <v>2021</v>
      </c>
      <c r="J12671" s="10" t="s">
        <v>45075</v>
      </c>
      <c r="K12671" s="10">
        <v>158</v>
      </c>
      <c r="L12671" s="10" t="s">
        <v>47387</v>
      </c>
      <c r="M12671" s="10">
        <v>1</v>
      </c>
      <c r="N12671" s="10"/>
      <c r="O12671" s="10"/>
      <c r="P12671" s="10" t="s">
        <v>53395</v>
      </c>
      <c r="Q12671" s="10">
        <v>808.10709999999995</v>
      </c>
      <c r="R12671" s="10" t="s">
        <v>53396</v>
      </c>
      <c r="S12671" s="10" t="s">
        <v>53</v>
      </c>
      <c r="T12671" s="10" t="s">
        <v>1166</v>
      </c>
    </row>
    <row r="12672" spans="1:20" ht="14.5" x14ac:dyDescent="0.35">
      <c r="A12672" s="10" t="s">
        <v>53397</v>
      </c>
      <c r="B12672" s="10" t="str">
        <f>"9781551383514"</f>
        <v>9781551383514</v>
      </c>
      <c r="C12672" s="10" t="str">
        <f>"9781551389516"</f>
        <v>9781551389516</v>
      </c>
      <c r="D12672" s="10" t="s">
        <v>45074</v>
      </c>
      <c r="E12672" s="10" t="s">
        <v>45075</v>
      </c>
      <c r="F12672" s="10" t="s">
        <v>5518</v>
      </c>
      <c r="G12672" s="10" t="s">
        <v>9536</v>
      </c>
      <c r="H12672" s="11">
        <v>44495</v>
      </c>
      <c r="I12672" s="10">
        <v>2021</v>
      </c>
      <c r="J12672" s="10" t="s">
        <v>45075</v>
      </c>
      <c r="K12672" s="10">
        <v>178</v>
      </c>
      <c r="L12672" s="10" t="s">
        <v>53398</v>
      </c>
      <c r="M12672" s="10">
        <v>1</v>
      </c>
      <c r="N12672" s="10"/>
      <c r="O12672" s="10"/>
      <c r="P12672" s="10"/>
      <c r="Q12672" s="10"/>
      <c r="R12672" s="10"/>
      <c r="S12672" s="10" t="s">
        <v>53</v>
      </c>
      <c r="T12672" s="10" t="s">
        <v>54</v>
      </c>
    </row>
    <row r="12673" spans="1:20" ht="14.5" x14ac:dyDescent="0.35">
      <c r="A12673" s="10" t="s">
        <v>53399</v>
      </c>
      <c r="B12673" s="10" t="str">
        <f>"9781416630722"</f>
        <v>9781416630722</v>
      </c>
      <c r="C12673" s="10" t="str">
        <f>"9781416630739"</f>
        <v>9781416630739</v>
      </c>
      <c r="D12673" s="10" t="s">
        <v>10014</v>
      </c>
      <c r="E12673" s="10" t="s">
        <v>10015</v>
      </c>
      <c r="F12673" s="10" t="s">
        <v>201</v>
      </c>
      <c r="G12673" s="10" t="s">
        <v>6317</v>
      </c>
      <c r="H12673" s="11">
        <v>44560</v>
      </c>
      <c r="I12673" s="10">
        <v>2022</v>
      </c>
      <c r="J12673" s="10" t="s">
        <v>10015</v>
      </c>
      <c r="K12673" s="10">
        <v>210</v>
      </c>
      <c r="L12673" s="10" t="s">
        <v>23580</v>
      </c>
      <c r="M12673" s="10">
        <v>1</v>
      </c>
      <c r="N12673" s="10"/>
      <c r="O12673" s="10"/>
      <c r="P12673" s="10"/>
      <c r="Q12673" s="10">
        <v>370.15</v>
      </c>
      <c r="R12673" s="10"/>
      <c r="S12673" s="10" t="s">
        <v>53</v>
      </c>
      <c r="T12673" s="10" t="s">
        <v>54</v>
      </c>
    </row>
    <row r="12674" spans="1:20" ht="14.5" x14ac:dyDescent="0.35">
      <c r="A12674" s="10" t="s">
        <v>53400</v>
      </c>
      <c r="B12674" s="10" t="str">
        <f>"9789004428317"</f>
        <v>9789004428317</v>
      </c>
      <c r="C12674" s="10" t="str">
        <f>"9789004510470"</f>
        <v>9789004510470</v>
      </c>
      <c r="D12674" s="10" t="s">
        <v>8564</v>
      </c>
      <c r="E12674" s="10" t="s">
        <v>8565</v>
      </c>
      <c r="F12674" s="10" t="s">
        <v>1420</v>
      </c>
      <c r="G12674" s="10" t="s">
        <v>6317</v>
      </c>
      <c r="H12674" s="11">
        <v>44539</v>
      </c>
      <c r="I12674" s="10">
        <v>2022</v>
      </c>
      <c r="J12674" s="10" t="s">
        <v>8565</v>
      </c>
      <c r="K12674" s="10">
        <v>191</v>
      </c>
      <c r="L12674" s="10" t="s">
        <v>53401</v>
      </c>
      <c r="M12674" s="10">
        <v>1</v>
      </c>
      <c r="N12674" s="10" t="s">
        <v>48242</v>
      </c>
      <c r="O12674" s="10">
        <v>10</v>
      </c>
      <c r="P12674" s="10"/>
      <c r="Q12674" s="10"/>
      <c r="R12674" s="10"/>
      <c r="S12674" s="10" t="s">
        <v>53</v>
      </c>
      <c r="T12674" s="10" t="s">
        <v>54</v>
      </c>
    </row>
    <row r="12675" spans="1:20" ht="14.5" x14ac:dyDescent="0.35">
      <c r="A12675" s="10" t="s">
        <v>53402</v>
      </c>
      <c r="B12675" s="10" t="str">
        <f>"9781642673401"</f>
        <v>9781642673401</v>
      </c>
      <c r="C12675" s="10" t="str">
        <f>"9781000976601"</f>
        <v>9781000976601</v>
      </c>
      <c r="D12675" s="10" t="s">
        <v>6350</v>
      </c>
      <c r="E12675" s="10" t="s">
        <v>6351</v>
      </c>
      <c r="F12675" s="10" t="s">
        <v>748</v>
      </c>
      <c r="G12675" s="10" t="s">
        <v>6352</v>
      </c>
      <c r="H12675" s="11">
        <v>44585</v>
      </c>
      <c r="I12675" s="10">
        <v>2022</v>
      </c>
      <c r="J12675" s="10" t="s">
        <v>6351</v>
      </c>
      <c r="K12675" s="10">
        <v>280</v>
      </c>
      <c r="L12675" s="10" t="s">
        <v>53403</v>
      </c>
      <c r="M12675" s="10">
        <v>1</v>
      </c>
      <c r="N12675" s="10"/>
      <c r="O12675" s="10"/>
      <c r="P12675" s="10"/>
      <c r="Q12675" s="10">
        <v>378.73</v>
      </c>
      <c r="R12675" s="10"/>
      <c r="S12675" s="10" t="s">
        <v>53</v>
      </c>
      <c r="T12675" s="10" t="s">
        <v>54</v>
      </c>
    </row>
    <row r="12676" spans="1:20" ht="14.5" x14ac:dyDescent="0.35">
      <c r="A12676" s="10" t="s">
        <v>53404</v>
      </c>
      <c r="B12676" s="10" t="str">
        <f>"9781642672725"</f>
        <v>9781642672725</v>
      </c>
      <c r="C12676" s="10" t="str">
        <f>"9781000971842"</f>
        <v>9781000971842</v>
      </c>
      <c r="D12676" s="10" t="s">
        <v>6350</v>
      </c>
      <c r="E12676" s="10" t="s">
        <v>6351</v>
      </c>
      <c r="F12676" s="10" t="s">
        <v>748</v>
      </c>
      <c r="G12676" s="10" t="s">
        <v>6352</v>
      </c>
      <c r="H12676" s="11">
        <v>44536</v>
      </c>
      <c r="I12676" s="10">
        <v>2022</v>
      </c>
      <c r="J12676" s="10" t="s">
        <v>6351</v>
      </c>
      <c r="K12676" s="10">
        <v>232</v>
      </c>
      <c r="L12676" s="10" t="s">
        <v>53405</v>
      </c>
      <c r="M12676" s="10">
        <v>1</v>
      </c>
      <c r="N12676" s="10"/>
      <c r="O12676" s="10"/>
      <c r="P12676" s="10"/>
      <c r="Q12676" s="10">
        <v>371.40973000000002</v>
      </c>
      <c r="R12676" s="10"/>
      <c r="S12676" s="10" t="s">
        <v>53</v>
      </c>
      <c r="T12676" s="10" t="s">
        <v>54</v>
      </c>
    </row>
    <row r="12677" spans="1:20" ht="14.5" x14ac:dyDescent="0.35">
      <c r="A12677" s="10" t="s">
        <v>53406</v>
      </c>
      <c r="B12677" s="10" t="str">
        <f>"9781975504946"</f>
        <v>9781975504946</v>
      </c>
      <c r="C12677" s="10" t="str">
        <f>"9781975504960"</f>
        <v>9781975504960</v>
      </c>
      <c r="D12677" s="10" t="s">
        <v>44271</v>
      </c>
      <c r="E12677" s="10" t="s">
        <v>47266</v>
      </c>
      <c r="F12677" s="10" t="s">
        <v>41227</v>
      </c>
      <c r="G12677" s="10" t="s">
        <v>6317</v>
      </c>
      <c r="H12677" s="11">
        <v>44559</v>
      </c>
      <c r="I12677" s="10">
        <v>2021</v>
      </c>
      <c r="J12677" s="10" t="s">
        <v>47266</v>
      </c>
      <c r="K12677" s="10">
        <v>221</v>
      </c>
      <c r="L12677" s="10" t="s">
        <v>53407</v>
      </c>
      <c r="M12677" s="10">
        <v>1</v>
      </c>
      <c r="N12677" s="10"/>
      <c r="O12677" s="10"/>
      <c r="P12677" s="10"/>
      <c r="Q12677" s="10">
        <v>370.1</v>
      </c>
      <c r="R12677" s="10" t="s">
        <v>53408</v>
      </c>
      <c r="S12677" s="10" t="s">
        <v>53</v>
      </c>
      <c r="T12677" s="10" t="s">
        <v>54</v>
      </c>
    </row>
    <row r="12678" spans="1:20" ht="14.5" x14ac:dyDescent="0.35">
      <c r="A12678" s="10" t="s">
        <v>53409</v>
      </c>
      <c r="B12678" s="10" t="str">
        <f>"9781642673562"</f>
        <v>9781642673562</v>
      </c>
      <c r="C12678" s="10" t="str">
        <f>"9781000975246"</f>
        <v>9781000975246</v>
      </c>
      <c r="D12678" s="10" t="s">
        <v>6350</v>
      </c>
      <c r="E12678" s="10" t="s">
        <v>6351</v>
      </c>
      <c r="F12678" s="10" t="s">
        <v>748</v>
      </c>
      <c r="G12678" s="10" t="s">
        <v>6352</v>
      </c>
      <c r="H12678" s="11">
        <v>44579</v>
      </c>
      <c r="I12678" s="10">
        <v>2022</v>
      </c>
      <c r="J12678" s="10" t="s">
        <v>6351</v>
      </c>
      <c r="K12678" s="10">
        <v>198</v>
      </c>
      <c r="L12678" s="10" t="s">
        <v>53410</v>
      </c>
      <c r="M12678" s="10">
        <v>1</v>
      </c>
      <c r="N12678" s="10"/>
      <c r="O12678" s="10"/>
      <c r="P12678" s="10"/>
      <c r="Q12678" s="10">
        <v>378.73</v>
      </c>
      <c r="R12678" s="10"/>
      <c r="S12678" s="10" t="s">
        <v>53</v>
      </c>
      <c r="T12678" s="10" t="s">
        <v>54</v>
      </c>
    </row>
    <row r="12679" spans="1:20" ht="14.5" x14ac:dyDescent="0.35">
      <c r="A12679" s="10" t="s">
        <v>53411</v>
      </c>
      <c r="B12679" s="10" t="str">
        <f>"9781620369548"</f>
        <v>9781620369548</v>
      </c>
      <c r="C12679" s="10" t="str">
        <f>"9781000972702"</f>
        <v>9781000972702</v>
      </c>
      <c r="D12679" s="10" t="s">
        <v>6350</v>
      </c>
      <c r="E12679" s="10" t="s">
        <v>6351</v>
      </c>
      <c r="F12679" s="10" t="s">
        <v>748</v>
      </c>
      <c r="G12679" s="10" t="s">
        <v>6352</v>
      </c>
      <c r="H12679" s="11">
        <v>44544</v>
      </c>
      <c r="I12679" s="10">
        <v>2022</v>
      </c>
      <c r="J12679" s="10" t="s">
        <v>6351</v>
      </c>
      <c r="K12679" s="10">
        <v>204</v>
      </c>
      <c r="L12679" s="10" t="s">
        <v>53412</v>
      </c>
      <c r="M12679" s="10">
        <v>1</v>
      </c>
      <c r="N12679" s="10"/>
      <c r="O12679" s="10"/>
      <c r="P12679" s="10"/>
      <c r="Q12679" s="10">
        <v>374.00189999999998</v>
      </c>
      <c r="R12679" s="10"/>
      <c r="S12679" s="10" t="s">
        <v>53</v>
      </c>
      <c r="T12679" s="10" t="s">
        <v>54</v>
      </c>
    </row>
    <row r="12680" spans="1:20" ht="14.5" x14ac:dyDescent="0.35">
      <c r="A12680" s="10" t="s">
        <v>53413</v>
      </c>
      <c r="B12680" s="10" t="str">
        <f>"9781912943401"</f>
        <v>9781912943401</v>
      </c>
      <c r="C12680" s="10" t="str">
        <f>"9781912943418"</f>
        <v>9781912943418</v>
      </c>
      <c r="D12680" s="10" t="s">
        <v>2465</v>
      </c>
      <c r="E12680" s="10" t="s">
        <v>53414</v>
      </c>
      <c r="F12680" s="10" t="s">
        <v>3268</v>
      </c>
      <c r="G12680" s="10" t="s">
        <v>6352</v>
      </c>
      <c r="H12680" s="11">
        <v>44305</v>
      </c>
      <c r="I12680" s="10">
        <v>2021</v>
      </c>
      <c r="J12680" s="10" t="s">
        <v>53415</v>
      </c>
      <c r="K12680" s="10">
        <v>200</v>
      </c>
      <c r="L12680" s="10" t="s">
        <v>53416</v>
      </c>
      <c r="M12680" s="10">
        <v>12</v>
      </c>
      <c r="N12680" s="10"/>
      <c r="O12680" s="10"/>
      <c r="P12680" s="10"/>
      <c r="Q12680" s="10">
        <v>636.08907114099998</v>
      </c>
      <c r="R12680" s="10"/>
      <c r="S12680" s="10" t="s">
        <v>53</v>
      </c>
      <c r="T12680" s="10" t="s">
        <v>12653</v>
      </c>
    </row>
    <row r="12681" spans="1:20" ht="14.5" x14ac:dyDescent="0.35">
      <c r="A12681" s="10" t="s">
        <v>53417</v>
      </c>
      <c r="B12681" s="10" t="str">
        <f>"9781911067528"</f>
        <v>9781911067528</v>
      </c>
      <c r="C12681" s="10" t="str">
        <f>"9781911067535"</f>
        <v>9781911067535</v>
      </c>
      <c r="D12681" s="10" t="s">
        <v>2465</v>
      </c>
      <c r="E12681" s="10" t="s">
        <v>53414</v>
      </c>
      <c r="F12681" s="10" t="s">
        <v>3268</v>
      </c>
      <c r="G12681" s="10" t="s">
        <v>6352</v>
      </c>
      <c r="H12681" s="11">
        <v>42815</v>
      </c>
      <c r="I12681" s="10">
        <v>2017</v>
      </c>
      <c r="J12681" s="10" t="s">
        <v>53415</v>
      </c>
      <c r="K12681" s="10">
        <v>197</v>
      </c>
      <c r="L12681" s="10" t="s">
        <v>53418</v>
      </c>
      <c r="M12681" s="10">
        <v>2</v>
      </c>
      <c r="N12681" s="10"/>
      <c r="O12681" s="10"/>
      <c r="P12681" s="10" t="s">
        <v>53419</v>
      </c>
      <c r="Q12681" s="10">
        <v>650.14</v>
      </c>
      <c r="R12681" s="10" t="s">
        <v>53420</v>
      </c>
      <c r="S12681" s="10" t="s">
        <v>53</v>
      </c>
      <c r="T12681" s="10" t="s">
        <v>6660</v>
      </c>
    </row>
    <row r="12682" spans="1:20" ht="14.5" x14ac:dyDescent="0.35">
      <c r="A12682" s="10" t="s">
        <v>53421</v>
      </c>
      <c r="B12682" s="10" t="str">
        <f>"9781844556403"</f>
        <v>9781844556403</v>
      </c>
      <c r="C12682" s="10" t="str">
        <f>"9781911067597"</f>
        <v>9781911067597</v>
      </c>
      <c r="D12682" s="10" t="s">
        <v>2465</v>
      </c>
      <c r="E12682" s="10" t="s">
        <v>53414</v>
      </c>
      <c r="F12682" s="10" t="s">
        <v>3268</v>
      </c>
      <c r="G12682" s="10" t="s">
        <v>6352</v>
      </c>
      <c r="H12682" s="11">
        <v>42600</v>
      </c>
      <c r="I12682" s="10">
        <v>2016</v>
      </c>
      <c r="J12682" s="10" t="s">
        <v>53415</v>
      </c>
      <c r="K12682" s="10">
        <v>306</v>
      </c>
      <c r="L12682" s="10"/>
      <c r="M12682" s="10">
        <v>5</v>
      </c>
      <c r="N12682" s="10"/>
      <c r="O12682" s="10"/>
      <c r="P12682" s="10"/>
      <c r="Q12682" s="10">
        <v>370.11599999999999</v>
      </c>
      <c r="R12682" s="10"/>
      <c r="S12682" s="10" t="s">
        <v>53</v>
      </c>
      <c r="T12682" s="10" t="s">
        <v>54</v>
      </c>
    </row>
    <row r="12683" spans="1:20" ht="14.5" x14ac:dyDescent="0.35">
      <c r="A12683" s="10" t="s">
        <v>53422</v>
      </c>
      <c r="B12683" s="10" t="str">
        <f>"9781911067603"</f>
        <v>9781911067603</v>
      </c>
      <c r="C12683" s="10" t="str">
        <f>"9781911067610"</f>
        <v>9781911067610</v>
      </c>
      <c r="D12683" s="10" t="s">
        <v>2465</v>
      </c>
      <c r="E12683" s="10" t="s">
        <v>53414</v>
      </c>
      <c r="F12683" s="10" t="s">
        <v>3268</v>
      </c>
      <c r="G12683" s="10" t="s">
        <v>6352</v>
      </c>
      <c r="H12683" s="11">
        <v>43021</v>
      </c>
      <c r="I12683" s="10">
        <v>2017</v>
      </c>
      <c r="J12683" s="10" t="s">
        <v>53415</v>
      </c>
      <c r="K12683" s="10">
        <v>146</v>
      </c>
      <c r="L12683" s="10" t="s">
        <v>53423</v>
      </c>
      <c r="M12683" s="10">
        <v>1</v>
      </c>
      <c r="N12683" s="10"/>
      <c r="O12683" s="10"/>
      <c r="P12683" s="10" t="s">
        <v>53424</v>
      </c>
      <c r="Q12683" s="10">
        <v>502.3</v>
      </c>
      <c r="R12683" s="10" t="s">
        <v>53425</v>
      </c>
      <c r="S12683" s="10" t="s">
        <v>53</v>
      </c>
      <c r="T12683" s="10" t="s">
        <v>7193</v>
      </c>
    </row>
    <row r="12684" spans="1:20" ht="14.5" x14ac:dyDescent="0.35">
      <c r="A12684" s="10" t="s">
        <v>53426</v>
      </c>
      <c r="B12684" s="10" t="str">
        <f>"9781421443515"</f>
        <v>9781421443515</v>
      </c>
      <c r="C12684" s="10" t="str">
        <f>"9781421443522"</f>
        <v>9781421443522</v>
      </c>
      <c r="D12684" s="10" t="s">
        <v>884</v>
      </c>
      <c r="E12684" s="10" t="s">
        <v>884</v>
      </c>
      <c r="F12684" s="10" t="s">
        <v>885</v>
      </c>
      <c r="G12684" s="10" t="s">
        <v>6317</v>
      </c>
      <c r="H12684" s="11">
        <v>44635</v>
      </c>
      <c r="I12684" s="10">
        <v>2022</v>
      </c>
      <c r="J12684" s="10" t="s">
        <v>884</v>
      </c>
      <c r="K12684" s="10">
        <v>241</v>
      </c>
      <c r="L12684" s="10" t="s">
        <v>53427</v>
      </c>
      <c r="M12684" s="10">
        <v>1</v>
      </c>
      <c r="N12684" s="10"/>
      <c r="O12684" s="10"/>
      <c r="P12684" s="10" t="s">
        <v>53428</v>
      </c>
      <c r="Q12684" s="10">
        <v>378.73</v>
      </c>
      <c r="R12684" s="10" t="s">
        <v>53429</v>
      </c>
      <c r="S12684" s="10" t="s">
        <v>53</v>
      </c>
      <c r="T12684" s="10" t="s">
        <v>54</v>
      </c>
    </row>
    <row r="12685" spans="1:20" ht="14.5" x14ac:dyDescent="0.35">
      <c r="A12685" s="10" t="s">
        <v>53430</v>
      </c>
      <c r="B12685" s="10" t="str">
        <f>"9789004425750"</f>
        <v>9789004425750</v>
      </c>
      <c r="C12685" s="10" t="str">
        <f>"9789004425767"</f>
        <v>9789004425767</v>
      </c>
      <c r="D12685" s="10" t="s">
        <v>8564</v>
      </c>
      <c r="E12685" s="10" t="s">
        <v>8565</v>
      </c>
      <c r="F12685" s="10" t="s">
        <v>1420</v>
      </c>
      <c r="G12685" s="10" t="s">
        <v>6317</v>
      </c>
      <c r="H12685" s="11">
        <v>43881</v>
      </c>
      <c r="I12685" s="10">
        <v>2020</v>
      </c>
      <c r="J12685" s="10" t="s">
        <v>33259</v>
      </c>
      <c r="K12685" s="10">
        <v>241</v>
      </c>
      <c r="L12685" s="10" t="s">
        <v>53431</v>
      </c>
      <c r="M12685" s="10">
        <v>1</v>
      </c>
      <c r="N12685" s="10" t="s">
        <v>33257</v>
      </c>
      <c r="O12685" s="10">
        <v>45</v>
      </c>
      <c r="P12685" s="10" t="s">
        <v>53432</v>
      </c>
      <c r="Q12685" s="10">
        <v>378</v>
      </c>
      <c r="R12685" s="10" t="s">
        <v>53433</v>
      </c>
      <c r="S12685" s="10" t="s">
        <v>53</v>
      </c>
      <c r="T12685" s="10" t="s">
        <v>54</v>
      </c>
    </row>
    <row r="12686" spans="1:20" ht="14.5" x14ac:dyDescent="0.35">
      <c r="A12686" s="10" t="s">
        <v>53434</v>
      </c>
      <c r="B12686" s="10" t="str">
        <f>"9789004418905"</f>
        <v>9789004418905</v>
      </c>
      <c r="C12686" s="10" t="str">
        <f>"9789004418912"</f>
        <v>9789004418912</v>
      </c>
      <c r="D12686" s="10" t="s">
        <v>8564</v>
      </c>
      <c r="E12686" s="10" t="s">
        <v>8565</v>
      </c>
      <c r="F12686" s="10" t="s">
        <v>1420</v>
      </c>
      <c r="G12686" s="10" t="s">
        <v>6317</v>
      </c>
      <c r="H12686" s="11">
        <v>43762</v>
      </c>
      <c r="I12686" s="10">
        <v>2020</v>
      </c>
      <c r="J12686" s="10" t="s">
        <v>33259</v>
      </c>
      <c r="K12686" s="10">
        <v>212</v>
      </c>
      <c r="L12686" s="10" t="s">
        <v>53435</v>
      </c>
      <c r="M12686" s="10">
        <v>1</v>
      </c>
      <c r="N12686" s="10" t="s">
        <v>33257</v>
      </c>
      <c r="O12686" s="10">
        <v>43</v>
      </c>
      <c r="P12686" s="10"/>
      <c r="Q12686" s="10"/>
      <c r="R12686" s="10" t="s">
        <v>53436</v>
      </c>
      <c r="S12686" s="10" t="s">
        <v>53</v>
      </c>
      <c r="T12686" s="10" t="s">
        <v>54</v>
      </c>
    </row>
    <row r="12687" spans="1:20" ht="14.5" x14ac:dyDescent="0.35">
      <c r="A12687" s="10" t="s">
        <v>53437</v>
      </c>
      <c r="B12687" s="10" t="str">
        <f>"9789004370180"</f>
        <v>9789004370180</v>
      </c>
      <c r="C12687" s="10" t="str">
        <f>"9781848883659"</f>
        <v>9781848883659</v>
      </c>
      <c r="D12687" s="10" t="s">
        <v>8564</v>
      </c>
      <c r="E12687" s="10" t="s">
        <v>8565</v>
      </c>
      <c r="F12687" s="10" t="s">
        <v>1420</v>
      </c>
      <c r="G12687" s="10" t="s">
        <v>6317</v>
      </c>
      <c r="H12687" s="11">
        <v>43469</v>
      </c>
      <c r="I12687" s="10">
        <v>2016</v>
      </c>
      <c r="J12687" s="10" t="s">
        <v>8565</v>
      </c>
      <c r="K12687" s="10">
        <v>158</v>
      </c>
      <c r="L12687" s="10" t="s">
        <v>53438</v>
      </c>
      <c r="M12687" s="10">
        <v>1</v>
      </c>
      <c r="N12687" s="10"/>
      <c r="O12687" s="10"/>
      <c r="P12687" s="10"/>
      <c r="Q12687" s="10"/>
      <c r="R12687" s="10"/>
      <c r="S12687" s="10" t="s">
        <v>53</v>
      </c>
      <c r="T12687" s="10" t="s">
        <v>54</v>
      </c>
    </row>
    <row r="12688" spans="1:20" ht="14.5" x14ac:dyDescent="0.35">
      <c r="A12688" s="10" t="s">
        <v>53439</v>
      </c>
      <c r="B12688" s="10" t="str">
        <f>"9789004415898"</f>
        <v>9789004415898</v>
      </c>
      <c r="C12688" s="10" t="str">
        <f>"9789004430464"</f>
        <v>9789004430464</v>
      </c>
      <c r="D12688" s="10" t="s">
        <v>8564</v>
      </c>
      <c r="E12688" s="10" t="s">
        <v>8565</v>
      </c>
      <c r="F12688" s="10" t="s">
        <v>1420</v>
      </c>
      <c r="G12688" s="10" t="s">
        <v>6317</v>
      </c>
      <c r="H12688" s="11">
        <v>44035</v>
      </c>
      <c r="I12688" s="10">
        <v>2020</v>
      </c>
      <c r="J12688" s="10" t="s">
        <v>8565</v>
      </c>
      <c r="K12688" s="10">
        <v>335</v>
      </c>
      <c r="L12688" s="10" t="s">
        <v>53440</v>
      </c>
      <c r="M12688" s="10">
        <v>1</v>
      </c>
      <c r="N12688" s="10" t="s">
        <v>40818</v>
      </c>
      <c r="O12688" s="10">
        <v>10</v>
      </c>
      <c r="P12688" s="10" t="s">
        <v>53441</v>
      </c>
      <c r="Q12688" s="10"/>
      <c r="R12688" s="10" t="s">
        <v>53442</v>
      </c>
      <c r="S12688" s="10" t="s">
        <v>53</v>
      </c>
      <c r="T12688" s="10" t="s">
        <v>6384</v>
      </c>
    </row>
    <row r="12689" spans="1:20" ht="14.5" x14ac:dyDescent="0.35">
      <c r="A12689" s="10" t="s">
        <v>53443</v>
      </c>
      <c r="B12689" s="10" t="str">
        <f>"9789004412712"</f>
        <v>9789004412712</v>
      </c>
      <c r="C12689" s="10" t="str">
        <f>"9789004432871"</f>
        <v>9789004432871</v>
      </c>
      <c r="D12689" s="10" t="s">
        <v>8564</v>
      </c>
      <c r="E12689" s="10" t="s">
        <v>8565</v>
      </c>
      <c r="F12689" s="10" t="s">
        <v>1420</v>
      </c>
      <c r="G12689" s="10" t="s">
        <v>6317</v>
      </c>
      <c r="H12689" s="11">
        <v>44042</v>
      </c>
      <c r="I12689" s="10">
        <v>2020</v>
      </c>
      <c r="J12689" s="10" t="s">
        <v>8565</v>
      </c>
      <c r="K12689" s="10">
        <v>152</v>
      </c>
      <c r="L12689" s="10" t="s">
        <v>53444</v>
      </c>
      <c r="M12689" s="10">
        <v>1</v>
      </c>
      <c r="N12689" s="10" t="s">
        <v>33465</v>
      </c>
      <c r="O12689" s="10">
        <v>14</v>
      </c>
      <c r="P12689" s="10"/>
      <c r="Q12689" s="10"/>
      <c r="R12689" s="10" t="s">
        <v>53445</v>
      </c>
      <c r="S12689" s="10" t="s">
        <v>53</v>
      </c>
      <c r="T12689" s="10" t="s">
        <v>54</v>
      </c>
    </row>
    <row r="12690" spans="1:20" ht="14.5" x14ac:dyDescent="0.35">
      <c r="A12690" s="10" t="s">
        <v>53446</v>
      </c>
      <c r="B12690" s="10" t="str">
        <f>"9789004370944"</f>
        <v>9789004370944</v>
      </c>
      <c r="C12690" s="10" t="str">
        <f>"9781848883086"</f>
        <v>9781848883086</v>
      </c>
      <c r="D12690" s="10" t="s">
        <v>8564</v>
      </c>
      <c r="E12690" s="10" t="s">
        <v>8565</v>
      </c>
      <c r="F12690" s="10" t="s">
        <v>1420</v>
      </c>
      <c r="G12690" s="10" t="s">
        <v>6317</v>
      </c>
      <c r="H12690" s="11">
        <v>43469</v>
      </c>
      <c r="I12690" s="10">
        <v>2014</v>
      </c>
      <c r="J12690" s="10" t="s">
        <v>8565</v>
      </c>
      <c r="K12690" s="10">
        <v>169</v>
      </c>
      <c r="L12690" s="10" t="s">
        <v>35802</v>
      </c>
      <c r="M12690" s="10">
        <v>1</v>
      </c>
      <c r="N12690" s="10"/>
      <c r="O12690" s="10"/>
      <c r="P12690" s="10" t="s">
        <v>53447</v>
      </c>
      <c r="Q12690" s="10">
        <v>153.35</v>
      </c>
      <c r="R12690" s="10" t="s">
        <v>53448</v>
      </c>
      <c r="S12690" s="10" t="s">
        <v>53</v>
      </c>
      <c r="T12690" s="10" t="s">
        <v>483</v>
      </c>
    </row>
    <row r="12691" spans="1:20" ht="14.5" x14ac:dyDescent="0.35">
      <c r="A12691" s="10" t="s">
        <v>53449</v>
      </c>
      <c r="B12691" s="10" t="str">
        <f>"9789004392830"</f>
        <v>9789004392830</v>
      </c>
      <c r="C12691" s="10" t="str">
        <f>"9789004392854"</f>
        <v>9789004392854</v>
      </c>
      <c r="D12691" s="10" t="s">
        <v>8564</v>
      </c>
      <c r="E12691" s="10" t="s">
        <v>8565</v>
      </c>
      <c r="F12691" s="10" t="s">
        <v>1420</v>
      </c>
      <c r="G12691" s="10" t="s">
        <v>6317</v>
      </c>
      <c r="H12691" s="11">
        <v>44035</v>
      </c>
      <c r="I12691" s="10">
        <v>2020</v>
      </c>
      <c r="J12691" s="10" t="s">
        <v>8565</v>
      </c>
      <c r="K12691" s="10">
        <v>387</v>
      </c>
      <c r="L12691" s="10" t="s">
        <v>53450</v>
      </c>
      <c r="M12691" s="10">
        <v>1</v>
      </c>
      <c r="N12691" s="10" t="s">
        <v>44388</v>
      </c>
      <c r="O12691" s="10">
        <v>5</v>
      </c>
      <c r="P12691" s="10" t="s">
        <v>53451</v>
      </c>
      <c r="Q12691" s="10"/>
      <c r="R12691" s="10" t="s">
        <v>53452</v>
      </c>
      <c r="S12691" s="10" t="s">
        <v>53</v>
      </c>
      <c r="T12691" s="10" t="s">
        <v>6384</v>
      </c>
    </row>
    <row r="12692" spans="1:20" ht="14.5" x14ac:dyDescent="0.35">
      <c r="A12692" s="10" t="s">
        <v>53453</v>
      </c>
      <c r="B12692" s="10" t="str">
        <f>"9789004411012"</f>
        <v>9789004411012</v>
      </c>
      <c r="C12692" s="10" t="str">
        <f>"9789004406926"</f>
        <v>9789004406926</v>
      </c>
      <c r="D12692" s="10" t="s">
        <v>8564</v>
      </c>
      <c r="E12692" s="10" t="s">
        <v>8565</v>
      </c>
      <c r="F12692" s="10" t="s">
        <v>1420</v>
      </c>
      <c r="G12692" s="10" t="s">
        <v>6317</v>
      </c>
      <c r="H12692" s="11">
        <v>43706</v>
      </c>
      <c r="I12692" s="10">
        <v>2019</v>
      </c>
      <c r="J12692" s="10" t="s">
        <v>8565</v>
      </c>
      <c r="K12692" s="10">
        <v>311</v>
      </c>
      <c r="L12692" s="10" t="s">
        <v>53454</v>
      </c>
      <c r="M12692" s="10">
        <v>1</v>
      </c>
      <c r="N12692" s="10" t="s">
        <v>53455</v>
      </c>
      <c r="O12692" s="10">
        <v>5</v>
      </c>
      <c r="P12692" s="10" t="s">
        <v>53456</v>
      </c>
      <c r="Q12692" s="10">
        <v>370.95100000000002</v>
      </c>
      <c r="R12692" s="10" t="s">
        <v>53457</v>
      </c>
      <c r="S12692" s="10" t="s">
        <v>53</v>
      </c>
      <c r="T12692" s="10" t="s">
        <v>54</v>
      </c>
    </row>
    <row r="12693" spans="1:20" ht="14.5" x14ac:dyDescent="0.35">
      <c r="A12693" s="10" t="s">
        <v>53458</v>
      </c>
      <c r="B12693" s="10" t="str">
        <f>"9781416631033"</f>
        <v>9781416631033</v>
      </c>
      <c r="C12693" s="10" t="str">
        <f>"9781416631057"</f>
        <v>9781416631057</v>
      </c>
      <c r="D12693" s="10" t="s">
        <v>10014</v>
      </c>
      <c r="E12693" s="10" t="s">
        <v>10015</v>
      </c>
      <c r="F12693" s="10" t="s">
        <v>201</v>
      </c>
      <c r="G12693" s="10" t="s">
        <v>6317</v>
      </c>
      <c r="H12693" s="11">
        <v>44591</v>
      </c>
      <c r="I12693" s="10">
        <v>2022</v>
      </c>
      <c r="J12693" s="10" t="s">
        <v>10015</v>
      </c>
      <c r="K12693" s="10">
        <v>152</v>
      </c>
      <c r="L12693" s="10" t="s">
        <v>53459</v>
      </c>
      <c r="M12693" s="10">
        <v>1</v>
      </c>
      <c r="N12693" s="10"/>
      <c r="O12693" s="10"/>
      <c r="P12693" s="10"/>
      <c r="Q12693" s="10">
        <v>371.25400000000002</v>
      </c>
      <c r="R12693" s="10"/>
      <c r="S12693" s="10" t="s">
        <v>53</v>
      </c>
      <c r="T12693" s="10" t="s">
        <v>54</v>
      </c>
    </row>
    <row r="12694" spans="1:20" ht="14.5" x14ac:dyDescent="0.35">
      <c r="A12694" s="10" t="s">
        <v>53460</v>
      </c>
      <c r="B12694" s="10" t="str">
        <f>"9781416630692"</f>
        <v>9781416630692</v>
      </c>
      <c r="C12694" s="10" t="str">
        <f>"9781416630715"</f>
        <v>9781416630715</v>
      </c>
      <c r="D12694" s="10" t="s">
        <v>10014</v>
      </c>
      <c r="E12694" s="10" t="s">
        <v>10015</v>
      </c>
      <c r="F12694" s="10" t="s">
        <v>201</v>
      </c>
      <c r="G12694" s="10" t="s">
        <v>6317</v>
      </c>
      <c r="H12694" s="11">
        <v>44591</v>
      </c>
      <c r="I12694" s="10">
        <v>2022</v>
      </c>
      <c r="J12694" s="10" t="s">
        <v>10015</v>
      </c>
      <c r="K12694" s="10">
        <v>247</v>
      </c>
      <c r="L12694" s="10" t="s">
        <v>48924</v>
      </c>
      <c r="M12694" s="10">
        <v>1</v>
      </c>
      <c r="N12694" s="10"/>
      <c r="O12694" s="10"/>
      <c r="P12694" s="10"/>
      <c r="Q12694" s="10" t="s">
        <v>8916</v>
      </c>
      <c r="R12694" s="10"/>
      <c r="S12694" s="10" t="s">
        <v>53</v>
      </c>
      <c r="T12694" s="10" t="s">
        <v>54</v>
      </c>
    </row>
    <row r="12695" spans="1:20" ht="14.5" x14ac:dyDescent="0.35">
      <c r="A12695" s="10" t="s">
        <v>53461</v>
      </c>
      <c r="B12695" s="10" t="str">
        <f>""</f>
        <v/>
      </c>
      <c r="C12695" s="10" t="str">
        <f>"9781803820965"</f>
        <v>9781803820965</v>
      </c>
      <c r="D12695" s="10" t="s">
        <v>8699</v>
      </c>
      <c r="E12695" s="10" t="s">
        <v>8699</v>
      </c>
      <c r="F12695" s="10" t="s">
        <v>41843</v>
      </c>
      <c r="G12695" s="10" t="s">
        <v>6352</v>
      </c>
      <c r="H12695" s="11">
        <v>44497</v>
      </c>
      <c r="I12695" s="10">
        <v>2021</v>
      </c>
      <c r="J12695" s="10" t="s">
        <v>8699</v>
      </c>
      <c r="K12695" s="10">
        <v>233</v>
      </c>
      <c r="L12695" s="10" t="s">
        <v>53462</v>
      </c>
      <c r="M12695" s="10">
        <v>1</v>
      </c>
      <c r="N12695" s="10" t="s">
        <v>47656</v>
      </c>
      <c r="O12695" s="10">
        <v>4</v>
      </c>
      <c r="P12695" s="10" t="s">
        <v>53463</v>
      </c>
      <c r="Q12695" s="10">
        <v>371.358</v>
      </c>
      <c r="R12695" s="10" t="s">
        <v>53464</v>
      </c>
      <c r="S12695" s="10" t="s">
        <v>53</v>
      </c>
      <c r="T12695" s="10" t="s">
        <v>54</v>
      </c>
    </row>
    <row r="12696" spans="1:20" ht="14.5" x14ac:dyDescent="0.35">
      <c r="A12696" s="10" t="s">
        <v>53465</v>
      </c>
      <c r="B12696" s="10" t="str">
        <f>"9781416630814"</f>
        <v>9781416630814</v>
      </c>
      <c r="C12696" s="10" t="str">
        <f>"9781416630821"</f>
        <v>9781416630821</v>
      </c>
      <c r="D12696" s="10" t="s">
        <v>10014</v>
      </c>
      <c r="E12696" s="10" t="s">
        <v>10015</v>
      </c>
      <c r="F12696" s="10" t="s">
        <v>201</v>
      </c>
      <c r="G12696" s="10" t="s">
        <v>6317</v>
      </c>
      <c r="H12696" s="11">
        <v>44591</v>
      </c>
      <c r="I12696" s="10">
        <v>2022</v>
      </c>
      <c r="J12696" s="10" t="s">
        <v>10015</v>
      </c>
      <c r="K12696" s="10">
        <v>191</v>
      </c>
      <c r="L12696" s="10" t="s">
        <v>32281</v>
      </c>
      <c r="M12696" s="10">
        <v>1</v>
      </c>
      <c r="N12696" s="10"/>
      <c r="O12696" s="10"/>
      <c r="P12696" s="10"/>
      <c r="Q12696" s="10">
        <v>371.20120973000002</v>
      </c>
      <c r="R12696" s="10"/>
      <c r="S12696" s="10" t="s">
        <v>53</v>
      </c>
      <c r="T12696" s="10" t="s">
        <v>54</v>
      </c>
    </row>
    <row r="12697" spans="1:20" ht="14.5" x14ac:dyDescent="0.35">
      <c r="A12697" s="10" t="s">
        <v>53466</v>
      </c>
      <c r="B12697" s="10" t="str">
        <f>"9780253060662"</f>
        <v>9780253060662</v>
      </c>
      <c r="C12697" s="10" t="str">
        <f>"9780253060686"</f>
        <v>9780253060686</v>
      </c>
      <c r="D12697" s="10" t="s">
        <v>2455</v>
      </c>
      <c r="E12697" s="10" t="s">
        <v>2455</v>
      </c>
      <c r="F12697" s="10" t="s">
        <v>3101</v>
      </c>
      <c r="G12697" s="10" t="s">
        <v>6317</v>
      </c>
      <c r="H12697" s="11">
        <v>44719</v>
      </c>
      <c r="I12697" s="10">
        <v>2022</v>
      </c>
      <c r="J12697" s="10" t="s">
        <v>2455</v>
      </c>
      <c r="K12697" s="10">
        <v>377</v>
      </c>
      <c r="L12697" s="10" t="s">
        <v>53467</v>
      </c>
      <c r="M12697" s="10"/>
      <c r="N12697" s="10" t="s">
        <v>53341</v>
      </c>
      <c r="O12697" s="10"/>
      <c r="P12697" s="10" t="s">
        <v>53468</v>
      </c>
      <c r="Q12697" s="10">
        <v>378.125</v>
      </c>
      <c r="R12697" s="10" t="s">
        <v>53469</v>
      </c>
      <c r="S12697" s="10" t="s">
        <v>53</v>
      </c>
      <c r="T12697" s="10" t="s">
        <v>54</v>
      </c>
    </row>
    <row r="12698" spans="1:20" ht="14.5" x14ac:dyDescent="0.35">
      <c r="A12698" s="10" t="s">
        <v>53470</v>
      </c>
      <c r="B12698" s="10" t="str">
        <f>"9781620369425"</f>
        <v>9781620369425</v>
      </c>
      <c r="C12698" s="10" t="str">
        <f>"9781620369449"</f>
        <v>9781620369449</v>
      </c>
      <c r="D12698" s="10" t="s">
        <v>6350</v>
      </c>
      <c r="E12698" s="10" t="s">
        <v>6351</v>
      </c>
      <c r="F12698" s="10" t="s">
        <v>748</v>
      </c>
      <c r="G12698" s="10" t="s">
        <v>6352</v>
      </c>
      <c r="H12698" s="11">
        <v>44568</v>
      </c>
      <c r="I12698" s="10">
        <v>2022</v>
      </c>
      <c r="J12698" s="10" t="s">
        <v>6351</v>
      </c>
      <c r="K12698" s="10">
        <v>278</v>
      </c>
      <c r="L12698" s="10" t="s">
        <v>53471</v>
      </c>
      <c r="M12698" s="10">
        <v>1</v>
      </c>
      <c r="N12698" s="10"/>
      <c r="O12698" s="10"/>
      <c r="P12698" s="10"/>
      <c r="Q12698" s="10">
        <v>379.15800000000002</v>
      </c>
      <c r="R12698" s="10"/>
      <c r="S12698" s="10" t="s">
        <v>53</v>
      </c>
      <c r="T12698" s="10" t="s">
        <v>54</v>
      </c>
    </row>
    <row r="12699" spans="1:20" ht="14.5" x14ac:dyDescent="0.35">
      <c r="A12699" s="10" t="s">
        <v>53472</v>
      </c>
      <c r="B12699" s="10" t="str">
        <f>"9781642673128"</f>
        <v>9781642673128</v>
      </c>
      <c r="C12699" s="10" t="str">
        <f>"9781642673142"</f>
        <v>9781642673142</v>
      </c>
      <c r="D12699" s="10" t="s">
        <v>6350</v>
      </c>
      <c r="E12699" s="10" t="s">
        <v>6351</v>
      </c>
      <c r="F12699" s="10" t="s">
        <v>748</v>
      </c>
      <c r="G12699" s="10" t="s">
        <v>6352</v>
      </c>
      <c r="H12699" s="11">
        <v>44559</v>
      </c>
      <c r="I12699" s="10">
        <v>2022</v>
      </c>
      <c r="J12699" s="10" t="s">
        <v>6351</v>
      </c>
      <c r="K12699" s="10">
        <v>206</v>
      </c>
      <c r="L12699" s="10" t="s">
        <v>53473</v>
      </c>
      <c r="M12699" s="10">
        <v>1</v>
      </c>
      <c r="N12699" s="10"/>
      <c r="O12699" s="10"/>
      <c r="P12699" s="10"/>
      <c r="Q12699" s="10">
        <v>378.125</v>
      </c>
      <c r="R12699" s="10"/>
      <c r="S12699" s="10" t="s">
        <v>53</v>
      </c>
      <c r="T12699" s="10" t="s">
        <v>54</v>
      </c>
    </row>
    <row r="12700" spans="1:20" ht="14.5" x14ac:dyDescent="0.35">
      <c r="A12700" s="10" t="s">
        <v>53474</v>
      </c>
      <c r="B12700" s="10" t="str">
        <f>"9781416630937"</f>
        <v>9781416630937</v>
      </c>
      <c r="C12700" s="10" t="str">
        <f>"9781416630951"</f>
        <v>9781416630951</v>
      </c>
      <c r="D12700" s="10" t="s">
        <v>10014</v>
      </c>
      <c r="E12700" s="10" t="s">
        <v>10015</v>
      </c>
      <c r="F12700" s="10" t="s">
        <v>201</v>
      </c>
      <c r="G12700" s="10" t="s">
        <v>6317</v>
      </c>
      <c r="H12700" s="11">
        <v>44711</v>
      </c>
      <c r="I12700" s="10">
        <v>2022</v>
      </c>
      <c r="J12700" s="10" t="s">
        <v>10015</v>
      </c>
      <c r="K12700" s="10">
        <v>194</v>
      </c>
      <c r="L12700" s="10" t="s">
        <v>53475</v>
      </c>
      <c r="M12700" s="10">
        <v>1</v>
      </c>
      <c r="N12700" s="10"/>
      <c r="O12700" s="10"/>
      <c r="P12700" s="10"/>
      <c r="Q12700" s="10">
        <v>302.23070999999999</v>
      </c>
      <c r="R12700" s="10"/>
      <c r="S12700" s="10" t="s">
        <v>53</v>
      </c>
      <c r="T12700" s="10" t="s">
        <v>6363</v>
      </c>
    </row>
    <row r="12701" spans="1:20" ht="14.5" x14ac:dyDescent="0.35">
      <c r="A12701" s="10" t="s">
        <v>53476</v>
      </c>
      <c r="B12701" s="10" t="str">
        <f>"9781416630784"</f>
        <v>9781416630784</v>
      </c>
      <c r="C12701" s="10" t="str">
        <f>"9781416630791"</f>
        <v>9781416630791</v>
      </c>
      <c r="D12701" s="10" t="s">
        <v>10014</v>
      </c>
      <c r="E12701" s="10" t="s">
        <v>10015</v>
      </c>
      <c r="F12701" s="10" t="s">
        <v>201</v>
      </c>
      <c r="G12701" s="10" t="s">
        <v>6317</v>
      </c>
      <c r="H12701" s="11">
        <v>44593</v>
      </c>
      <c r="I12701" s="10">
        <v>2022</v>
      </c>
      <c r="J12701" s="10" t="s">
        <v>10015</v>
      </c>
      <c r="K12701" s="10">
        <v>290</v>
      </c>
      <c r="L12701" s="10" t="s">
        <v>53477</v>
      </c>
      <c r="M12701" s="10">
        <v>1</v>
      </c>
      <c r="N12701" s="10"/>
      <c r="O12701" s="10"/>
      <c r="P12701" s="10"/>
      <c r="Q12701" s="10" t="s">
        <v>23292</v>
      </c>
      <c r="R12701" s="10"/>
      <c r="S12701" s="10" t="s">
        <v>53</v>
      </c>
      <c r="T12701" s="10" t="s">
        <v>54</v>
      </c>
    </row>
    <row r="12702" spans="1:20" ht="14.5" x14ac:dyDescent="0.35">
      <c r="A12702" s="10" t="s">
        <v>53478</v>
      </c>
      <c r="B12702" s="10" t="str">
        <f>"9781642671322"</f>
        <v>9781642671322</v>
      </c>
      <c r="C12702" s="10" t="str">
        <f>"9781642671346"</f>
        <v>9781642671346</v>
      </c>
      <c r="D12702" s="10" t="s">
        <v>6350</v>
      </c>
      <c r="E12702" s="10" t="s">
        <v>6351</v>
      </c>
      <c r="F12702" s="10" t="s">
        <v>41227</v>
      </c>
      <c r="G12702" s="10" t="s">
        <v>6317</v>
      </c>
      <c r="H12702" s="11">
        <v>44681</v>
      </c>
      <c r="I12702" s="10">
        <v>2022</v>
      </c>
      <c r="J12702" s="10" t="s">
        <v>6353</v>
      </c>
      <c r="K12702" s="10">
        <v>326</v>
      </c>
      <c r="L12702" s="10" t="s">
        <v>53479</v>
      </c>
      <c r="M12702" s="10">
        <v>1</v>
      </c>
      <c r="N12702" s="10"/>
      <c r="O12702" s="10"/>
      <c r="P12702" s="10"/>
      <c r="Q12702" s="10">
        <v>378.16913</v>
      </c>
      <c r="R12702" s="10"/>
      <c r="S12702" s="10" t="s">
        <v>53</v>
      </c>
      <c r="T12702" s="10" t="s">
        <v>54</v>
      </c>
    </row>
    <row r="12703" spans="1:20" ht="14.5" x14ac:dyDescent="0.35">
      <c r="A12703" s="10" t="s">
        <v>53480</v>
      </c>
      <c r="B12703" s="10" t="str">
        <f>"9781517913212"</f>
        <v>9781517913212</v>
      </c>
      <c r="C12703" s="10" t="str">
        <f>"9781452967073"</f>
        <v>9781452967073</v>
      </c>
      <c r="D12703" s="10" t="s">
        <v>11428</v>
      </c>
      <c r="E12703" s="10" t="s">
        <v>11428</v>
      </c>
      <c r="F12703" s="10" t="s">
        <v>2186</v>
      </c>
      <c r="G12703" s="10" t="s">
        <v>6317</v>
      </c>
      <c r="H12703" s="11">
        <v>44670</v>
      </c>
      <c r="I12703" s="10">
        <v>2022</v>
      </c>
      <c r="J12703" s="10" t="s">
        <v>11428</v>
      </c>
      <c r="K12703" s="10">
        <v>99</v>
      </c>
      <c r="L12703" s="10" t="s">
        <v>53481</v>
      </c>
      <c r="M12703" s="10">
        <v>1</v>
      </c>
      <c r="N12703" s="10" t="s">
        <v>53482</v>
      </c>
      <c r="O12703" s="10"/>
      <c r="P12703" s="10" t="s">
        <v>53483</v>
      </c>
      <c r="Q12703" s="10">
        <v>296</v>
      </c>
      <c r="R12703" s="10" t="s">
        <v>45623</v>
      </c>
      <c r="S12703" s="10" t="s">
        <v>53</v>
      </c>
      <c r="T12703" s="10" t="s">
        <v>7863</v>
      </c>
    </row>
    <row r="12704" spans="1:20" ht="14.5" x14ac:dyDescent="0.35">
      <c r="A12704" s="10" t="s">
        <v>53484</v>
      </c>
      <c r="B12704" s="10" t="str">
        <f>"9781912943586"</f>
        <v>9781912943586</v>
      </c>
      <c r="C12704" s="10" t="str">
        <f>"9781912943593"</f>
        <v>9781912943593</v>
      </c>
      <c r="D12704" s="10" t="s">
        <v>2465</v>
      </c>
      <c r="E12704" s="10" t="s">
        <v>53414</v>
      </c>
      <c r="F12704" s="10" t="s">
        <v>3268</v>
      </c>
      <c r="G12704" s="10" t="s">
        <v>6352</v>
      </c>
      <c r="H12704" s="11">
        <v>44635</v>
      </c>
      <c r="I12704" s="10">
        <v>2022</v>
      </c>
      <c r="J12704" s="10" t="s">
        <v>53415</v>
      </c>
      <c r="K12704" s="10">
        <v>172</v>
      </c>
      <c r="L12704" s="10" t="s">
        <v>53416</v>
      </c>
      <c r="M12704" s="10">
        <v>14</v>
      </c>
      <c r="N12704" s="10"/>
      <c r="O12704" s="10"/>
      <c r="P12704" s="10"/>
      <c r="Q12704" s="10">
        <v>340.02341000000001</v>
      </c>
      <c r="R12704" s="10"/>
      <c r="S12704" s="10" t="s">
        <v>53</v>
      </c>
      <c r="T12704" s="10" t="s">
        <v>5396</v>
      </c>
    </row>
    <row r="12705" spans="1:20" ht="14.5" x14ac:dyDescent="0.35">
      <c r="A12705" s="10" t="s">
        <v>53485</v>
      </c>
      <c r="B12705" s="10" t="str">
        <f>"9781912943609"</f>
        <v>9781912943609</v>
      </c>
      <c r="C12705" s="10" t="str">
        <f>"9781912943616"</f>
        <v>9781912943616</v>
      </c>
      <c r="D12705" s="10" t="s">
        <v>2465</v>
      </c>
      <c r="E12705" s="10" t="s">
        <v>53414</v>
      </c>
      <c r="F12705" s="10" t="s">
        <v>3268</v>
      </c>
      <c r="G12705" s="10" t="s">
        <v>6352</v>
      </c>
      <c r="H12705" s="11">
        <v>44635</v>
      </c>
      <c r="I12705" s="10">
        <v>2022</v>
      </c>
      <c r="J12705" s="10" t="s">
        <v>53415</v>
      </c>
      <c r="K12705" s="10">
        <v>113</v>
      </c>
      <c r="L12705" s="10" t="s">
        <v>53486</v>
      </c>
      <c r="M12705" s="10">
        <v>14</v>
      </c>
      <c r="N12705" s="10"/>
      <c r="O12705" s="10"/>
      <c r="P12705" s="10"/>
      <c r="Q12705" s="10">
        <v>150.23410000000001</v>
      </c>
      <c r="R12705" s="10"/>
      <c r="S12705" s="10" t="s">
        <v>53</v>
      </c>
      <c r="T12705" s="10" t="s">
        <v>483</v>
      </c>
    </row>
    <row r="12706" spans="1:20" ht="14.5" x14ac:dyDescent="0.35">
      <c r="A12706" s="10" t="s">
        <v>53487</v>
      </c>
      <c r="B12706" s="10" t="str">
        <f>"9781912943562"</f>
        <v>9781912943562</v>
      </c>
      <c r="C12706" s="10" t="str">
        <f>"9781912943579"</f>
        <v>9781912943579</v>
      </c>
      <c r="D12706" s="10" t="s">
        <v>2465</v>
      </c>
      <c r="E12706" s="10" t="s">
        <v>53414</v>
      </c>
      <c r="F12706" s="10" t="s">
        <v>3268</v>
      </c>
      <c r="G12706" s="10" t="s">
        <v>6352</v>
      </c>
      <c r="H12706" s="11">
        <v>44655</v>
      </c>
      <c r="I12706" s="10">
        <v>2022</v>
      </c>
      <c r="J12706" s="10" t="s">
        <v>53415</v>
      </c>
      <c r="K12706" s="10">
        <v>143</v>
      </c>
      <c r="L12706" s="10" t="s">
        <v>53488</v>
      </c>
      <c r="M12706" s="10">
        <v>12</v>
      </c>
      <c r="N12706" s="10"/>
      <c r="O12706" s="10"/>
      <c r="P12706" s="10"/>
      <c r="Q12706" s="10">
        <v>700.23410000000001</v>
      </c>
      <c r="R12706" s="10"/>
      <c r="S12706" s="10" t="s">
        <v>53</v>
      </c>
      <c r="T12706" s="10" t="s">
        <v>6384</v>
      </c>
    </row>
    <row r="12707" spans="1:20" ht="14.5" x14ac:dyDescent="0.35">
      <c r="A12707" s="10" t="s">
        <v>53489</v>
      </c>
      <c r="B12707" s="10" t="str">
        <f>"9780861969555"</f>
        <v>9780861969555</v>
      </c>
      <c r="C12707" s="10" t="str">
        <f>"9780861969562"</f>
        <v>9780861969562</v>
      </c>
      <c r="D12707" s="10" t="s">
        <v>2455</v>
      </c>
      <c r="E12707" s="10" t="s">
        <v>2455</v>
      </c>
      <c r="F12707" s="10" t="s">
        <v>3101</v>
      </c>
      <c r="G12707" s="10" t="s">
        <v>6317</v>
      </c>
      <c r="H12707" s="11">
        <v>44061</v>
      </c>
      <c r="I12707" s="10">
        <v>2020</v>
      </c>
      <c r="J12707" s="10" t="s">
        <v>53490</v>
      </c>
      <c r="K12707" s="10">
        <v>318</v>
      </c>
      <c r="L12707" s="10" t="s">
        <v>53491</v>
      </c>
      <c r="M12707" s="10"/>
      <c r="N12707" s="10"/>
      <c r="O12707" s="10"/>
      <c r="P12707" s="10" t="s">
        <v>53492</v>
      </c>
      <c r="Q12707" s="10">
        <v>371.33521999999999</v>
      </c>
      <c r="R12707" s="10" t="s">
        <v>53493</v>
      </c>
      <c r="S12707" s="10" t="s">
        <v>53</v>
      </c>
      <c r="T12707" s="10" t="s">
        <v>6815</v>
      </c>
    </row>
    <row r="12708" spans="1:20" ht="14.5" x14ac:dyDescent="0.35">
      <c r="A12708" s="10" t="s">
        <v>53494</v>
      </c>
      <c r="B12708" s="10" t="str">
        <f>"9781642674088"</f>
        <v>9781642674088</v>
      </c>
      <c r="C12708" s="10" t="str">
        <f>"9781000971507"</f>
        <v>9781000971507</v>
      </c>
      <c r="D12708" s="10" t="s">
        <v>6350</v>
      </c>
      <c r="E12708" s="10" t="s">
        <v>6351</v>
      </c>
      <c r="F12708" s="10" t="s">
        <v>748</v>
      </c>
      <c r="G12708" s="10" t="s">
        <v>6352</v>
      </c>
      <c r="H12708" s="11">
        <v>44641</v>
      </c>
      <c r="I12708" s="10">
        <v>2022</v>
      </c>
      <c r="J12708" s="10" t="s">
        <v>6351</v>
      </c>
      <c r="K12708" s="10">
        <v>500</v>
      </c>
      <c r="L12708" s="10" t="s">
        <v>53495</v>
      </c>
      <c r="M12708" s="10">
        <v>2</v>
      </c>
      <c r="N12708" s="10"/>
      <c r="O12708" s="10"/>
      <c r="P12708" s="10"/>
      <c r="Q12708" s="10"/>
      <c r="R12708" s="10"/>
      <c r="S12708" s="10" t="s">
        <v>53</v>
      </c>
      <c r="T12708" s="10" t="s">
        <v>54</v>
      </c>
    </row>
    <row r="12709" spans="1:20" ht="14.5" x14ac:dyDescent="0.35">
      <c r="A12709" s="10" t="s">
        <v>53496</v>
      </c>
      <c r="B12709" s="10" t="str">
        <f>"9781517910259"</f>
        <v>9781517910259</v>
      </c>
      <c r="C12709" s="10" t="str">
        <f>"9781452964713"</f>
        <v>9781452964713</v>
      </c>
      <c r="D12709" s="10" t="s">
        <v>11428</v>
      </c>
      <c r="E12709" s="10" t="s">
        <v>11428</v>
      </c>
      <c r="F12709" s="10" t="s">
        <v>2186</v>
      </c>
      <c r="G12709" s="10" t="s">
        <v>6317</v>
      </c>
      <c r="H12709" s="11">
        <v>44698</v>
      </c>
      <c r="I12709" s="10">
        <v>2022</v>
      </c>
      <c r="J12709" s="10" t="s">
        <v>11428</v>
      </c>
      <c r="K12709" s="10">
        <v>198</v>
      </c>
      <c r="L12709" s="10" t="s">
        <v>53497</v>
      </c>
      <c r="M12709" s="10">
        <v>1</v>
      </c>
      <c r="N12709" s="10"/>
      <c r="O12709" s="10"/>
      <c r="P12709" s="10" t="s">
        <v>53498</v>
      </c>
      <c r="Q12709" s="10">
        <v>371.334</v>
      </c>
      <c r="R12709" s="10" t="s">
        <v>53499</v>
      </c>
      <c r="S12709" s="10" t="s">
        <v>53</v>
      </c>
      <c r="T12709" s="10" t="s">
        <v>54</v>
      </c>
    </row>
    <row r="12710" spans="1:20" ht="14.5" x14ac:dyDescent="0.35">
      <c r="A12710" s="10" t="s">
        <v>53500</v>
      </c>
      <c r="B12710" s="10" t="str">
        <f>"9781412980005"</f>
        <v>9781412980005</v>
      </c>
      <c r="C12710" s="10" t="str">
        <f>"9781412980012"</f>
        <v>9781412980012</v>
      </c>
      <c r="D12710" s="10" t="s">
        <v>22210</v>
      </c>
      <c r="E12710" s="10" t="s">
        <v>22214</v>
      </c>
      <c r="F12710" s="10" t="s">
        <v>333</v>
      </c>
      <c r="G12710" s="10" t="s">
        <v>6317</v>
      </c>
      <c r="H12710" s="11">
        <v>40704</v>
      </c>
      <c r="I12710" s="10">
        <v>2011</v>
      </c>
      <c r="J12710" s="10" t="s">
        <v>22214</v>
      </c>
      <c r="K12710" s="10">
        <v>529</v>
      </c>
      <c r="L12710" s="10" t="s">
        <v>53501</v>
      </c>
      <c r="M12710" s="10">
        <v>2</v>
      </c>
      <c r="N12710" s="10"/>
      <c r="O12710" s="10"/>
      <c r="P12710" s="10"/>
      <c r="Q12710" s="10"/>
      <c r="R12710" s="10" t="s">
        <v>53502</v>
      </c>
      <c r="S12710" s="10" t="s">
        <v>53</v>
      </c>
      <c r="T12710" s="10" t="s">
        <v>54</v>
      </c>
    </row>
    <row r="12711" spans="1:20" ht="14.5" x14ac:dyDescent="0.35">
      <c r="A12711" s="10" t="s">
        <v>53503</v>
      </c>
      <c r="B12711" s="10" t="str">
        <f>"9781975503420"</f>
        <v>9781975503420</v>
      </c>
      <c r="C12711" s="10" t="str">
        <f>"9781975503444"</f>
        <v>9781975503444</v>
      </c>
      <c r="D12711" s="10" t="s">
        <v>44271</v>
      </c>
      <c r="E12711" s="10" t="s">
        <v>47266</v>
      </c>
      <c r="F12711" s="10" t="s">
        <v>41227</v>
      </c>
      <c r="G12711" s="10" t="s">
        <v>6317</v>
      </c>
      <c r="H12711" s="11">
        <v>44656</v>
      </c>
      <c r="I12711" s="10">
        <v>2022</v>
      </c>
      <c r="J12711" s="10" t="s">
        <v>47266</v>
      </c>
      <c r="K12711" s="10">
        <v>379</v>
      </c>
      <c r="L12711" s="10" t="s">
        <v>53504</v>
      </c>
      <c r="M12711" s="10">
        <v>1</v>
      </c>
      <c r="N12711" s="10" t="s">
        <v>53505</v>
      </c>
      <c r="O12711" s="10"/>
      <c r="P12711" s="10"/>
      <c r="Q12711" s="10">
        <v>371.71300000000002</v>
      </c>
      <c r="R12711" s="10" t="s">
        <v>53506</v>
      </c>
      <c r="S12711" s="10" t="s">
        <v>53</v>
      </c>
      <c r="T12711" s="10" t="s">
        <v>54</v>
      </c>
    </row>
    <row r="12712" spans="1:20" ht="14.5" x14ac:dyDescent="0.35">
      <c r="A12712" s="10" t="s">
        <v>53507</v>
      </c>
      <c r="B12712" s="10" t="str">
        <f>"9781551383552"</f>
        <v>9781551383552</v>
      </c>
      <c r="C12712" s="10" t="str">
        <f>"9781551389554"</f>
        <v>9781551389554</v>
      </c>
      <c r="D12712" s="10" t="s">
        <v>45074</v>
      </c>
      <c r="E12712" s="10" t="s">
        <v>45075</v>
      </c>
      <c r="F12712" s="10" t="s">
        <v>901</v>
      </c>
      <c r="G12712" s="10" t="s">
        <v>9536</v>
      </c>
      <c r="H12712" s="11">
        <v>44694</v>
      </c>
      <c r="I12712" s="10">
        <v>2022</v>
      </c>
      <c r="J12712" s="10" t="s">
        <v>45075</v>
      </c>
      <c r="K12712" s="10">
        <v>122</v>
      </c>
      <c r="L12712" s="10" t="s">
        <v>53508</v>
      </c>
      <c r="M12712" s="10">
        <v>1</v>
      </c>
      <c r="N12712" s="10"/>
      <c r="O12712" s="10"/>
      <c r="P12712" s="10"/>
      <c r="Q12712" s="10"/>
      <c r="R12712" s="10"/>
      <c r="S12712" s="10" t="s">
        <v>53</v>
      </c>
      <c r="T12712" s="10" t="s">
        <v>54</v>
      </c>
    </row>
    <row r="12713" spans="1:20" ht="14.5" x14ac:dyDescent="0.35">
      <c r="A12713" s="10" t="s">
        <v>53509</v>
      </c>
      <c r="B12713" s="10" t="str">
        <f>"9781642672565"</f>
        <v>9781642672565</v>
      </c>
      <c r="C12713" s="10" t="str">
        <f>"9781642672589"</f>
        <v>9781642672589</v>
      </c>
      <c r="D12713" s="10" t="s">
        <v>6350</v>
      </c>
      <c r="E12713" s="10" t="s">
        <v>6351</v>
      </c>
      <c r="F12713" s="10" t="s">
        <v>3967</v>
      </c>
      <c r="G12713" s="10" t="s">
        <v>6352</v>
      </c>
      <c r="H12713" s="11">
        <v>44663</v>
      </c>
      <c r="I12713" s="10">
        <v>2022</v>
      </c>
      <c r="J12713" s="10" t="s">
        <v>6353</v>
      </c>
      <c r="K12713" s="10">
        <v>386</v>
      </c>
      <c r="L12713" s="10" t="s">
        <v>53510</v>
      </c>
      <c r="M12713" s="10">
        <v>1</v>
      </c>
      <c r="N12713" s="10"/>
      <c r="O12713" s="10"/>
      <c r="P12713" s="10"/>
      <c r="Q12713" s="10"/>
      <c r="R12713" s="10"/>
      <c r="S12713" s="10" t="s">
        <v>53</v>
      </c>
      <c r="T12713" s="10" t="s">
        <v>54</v>
      </c>
    </row>
    <row r="12714" spans="1:20" ht="14.5" x14ac:dyDescent="0.35">
      <c r="A12714" s="10" t="s">
        <v>53511</v>
      </c>
      <c r="B12714" s="10" t="str">
        <f>""</f>
        <v/>
      </c>
      <c r="C12714" s="10" t="str">
        <f>"9781803826226"</f>
        <v>9781803826226</v>
      </c>
      <c r="D12714" s="10" t="s">
        <v>8699</v>
      </c>
      <c r="E12714" s="10" t="s">
        <v>8699</v>
      </c>
      <c r="F12714" s="10" t="s">
        <v>41843</v>
      </c>
      <c r="G12714" s="10" t="s">
        <v>6352</v>
      </c>
      <c r="H12714" s="11">
        <v>44606</v>
      </c>
      <c r="I12714" s="10">
        <v>2022</v>
      </c>
      <c r="J12714" s="10" t="s">
        <v>8699</v>
      </c>
      <c r="K12714" s="10">
        <v>129</v>
      </c>
      <c r="L12714" s="10" t="s">
        <v>53512</v>
      </c>
      <c r="M12714" s="10">
        <v>1</v>
      </c>
      <c r="N12714" s="10" t="s">
        <v>49194</v>
      </c>
      <c r="O12714" s="10">
        <v>1</v>
      </c>
      <c r="P12714" s="10" t="s">
        <v>53513</v>
      </c>
      <c r="Q12714" s="10">
        <v>929.37400000000002</v>
      </c>
      <c r="R12714" s="10" t="s">
        <v>13858</v>
      </c>
      <c r="S12714" s="10" t="s">
        <v>53</v>
      </c>
      <c r="T12714" s="10" t="s">
        <v>8717</v>
      </c>
    </row>
    <row r="12715" spans="1:20" ht="14.5" x14ac:dyDescent="0.35">
      <c r="A12715" s="10" t="s">
        <v>53514</v>
      </c>
      <c r="B12715" s="10" t="str">
        <f>""</f>
        <v/>
      </c>
      <c r="C12715" s="10" t="str">
        <f>"9781803824529"</f>
        <v>9781803824529</v>
      </c>
      <c r="D12715" s="10" t="s">
        <v>8699</v>
      </c>
      <c r="E12715" s="10" t="s">
        <v>8699</v>
      </c>
      <c r="F12715" s="10" t="s">
        <v>41843</v>
      </c>
      <c r="G12715" s="10" t="s">
        <v>6352</v>
      </c>
      <c r="H12715" s="11">
        <v>44580</v>
      </c>
      <c r="I12715" s="10">
        <v>2022</v>
      </c>
      <c r="J12715" s="10" t="s">
        <v>8699</v>
      </c>
      <c r="K12715" s="10">
        <v>109</v>
      </c>
      <c r="L12715" s="10" t="s">
        <v>53515</v>
      </c>
      <c r="M12715" s="10">
        <v>1</v>
      </c>
      <c r="N12715" s="10" t="s">
        <v>49697</v>
      </c>
      <c r="O12715" s="10">
        <v>1</v>
      </c>
      <c r="P12715" s="10" t="s">
        <v>53516</v>
      </c>
      <c r="Q12715" s="10">
        <v>929.37400000000002</v>
      </c>
      <c r="R12715" s="10" t="s">
        <v>13858</v>
      </c>
      <c r="S12715" s="10" t="s">
        <v>53</v>
      </c>
      <c r="T12715" s="10" t="s">
        <v>8717</v>
      </c>
    </row>
    <row r="12716" spans="1:20" ht="14.5" x14ac:dyDescent="0.35">
      <c r="A12716" s="10" t="s">
        <v>53517</v>
      </c>
      <c r="B12716" s="10" t="str">
        <f>""</f>
        <v/>
      </c>
      <c r="C12716" s="10" t="str">
        <f>"9781803827148"</f>
        <v>9781803827148</v>
      </c>
      <c r="D12716" s="10" t="s">
        <v>8699</v>
      </c>
      <c r="E12716" s="10" t="s">
        <v>8699</v>
      </c>
      <c r="F12716" s="10" t="s">
        <v>41843</v>
      </c>
      <c r="G12716" s="10" t="s">
        <v>6352</v>
      </c>
      <c r="H12716" s="11">
        <v>44614</v>
      </c>
      <c r="I12716" s="10">
        <v>2022</v>
      </c>
      <c r="J12716" s="10" t="s">
        <v>8699</v>
      </c>
      <c r="K12716" s="10">
        <v>121</v>
      </c>
      <c r="L12716" s="10" t="s">
        <v>53518</v>
      </c>
      <c r="M12716" s="10">
        <v>1</v>
      </c>
      <c r="N12716" s="10" t="s">
        <v>48122</v>
      </c>
      <c r="O12716" s="10">
        <v>1</v>
      </c>
      <c r="P12716" s="10" t="s">
        <v>53519</v>
      </c>
      <c r="Q12716" s="10">
        <v>929.37400000000002</v>
      </c>
      <c r="R12716" s="10" t="s">
        <v>13858</v>
      </c>
      <c r="S12716" s="10" t="s">
        <v>53</v>
      </c>
      <c r="T12716" s="10" t="s">
        <v>16298</v>
      </c>
    </row>
    <row r="12717" spans="1:20" ht="14.5" x14ac:dyDescent="0.35">
      <c r="A12717" s="10" t="s">
        <v>53520</v>
      </c>
      <c r="B12717" s="10" t="str">
        <f>""</f>
        <v/>
      </c>
      <c r="C12717" s="10" t="str">
        <f>"9781803829562"</f>
        <v>9781803829562</v>
      </c>
      <c r="D12717" s="10" t="s">
        <v>8699</v>
      </c>
      <c r="E12717" s="10" t="s">
        <v>8699</v>
      </c>
      <c r="F12717" s="10" t="s">
        <v>41843</v>
      </c>
      <c r="G12717" s="10" t="s">
        <v>6352</v>
      </c>
      <c r="H12717" s="11">
        <v>44648</v>
      </c>
      <c r="I12717" s="10">
        <v>2022</v>
      </c>
      <c r="J12717" s="10" t="s">
        <v>8699</v>
      </c>
      <c r="K12717" s="10">
        <v>105</v>
      </c>
      <c r="L12717" s="10" t="s">
        <v>53521</v>
      </c>
      <c r="M12717" s="10">
        <v>1</v>
      </c>
      <c r="N12717" s="10" t="s">
        <v>48037</v>
      </c>
      <c r="O12717" s="10">
        <v>1</v>
      </c>
      <c r="P12717" s="10" t="s">
        <v>53522</v>
      </c>
      <c r="Q12717" s="10" t="s">
        <v>53523</v>
      </c>
      <c r="R12717" s="10" t="s">
        <v>53524</v>
      </c>
      <c r="S12717" s="10" t="s">
        <v>53</v>
      </c>
      <c r="T12717" s="10" t="s">
        <v>54</v>
      </c>
    </row>
    <row r="12718" spans="1:20" ht="14.5" x14ac:dyDescent="0.35">
      <c r="A12718" s="10" t="s">
        <v>53525</v>
      </c>
      <c r="B12718" s="10" t="str">
        <f>""</f>
        <v/>
      </c>
      <c r="C12718" s="10" t="str">
        <f>"9781803826165"</f>
        <v>9781803826165</v>
      </c>
      <c r="D12718" s="10" t="s">
        <v>8699</v>
      </c>
      <c r="E12718" s="10" t="s">
        <v>8699</v>
      </c>
      <c r="F12718" s="10" t="s">
        <v>41843</v>
      </c>
      <c r="G12718" s="10" t="s">
        <v>6352</v>
      </c>
      <c r="H12718" s="11">
        <v>44599</v>
      </c>
      <c r="I12718" s="10">
        <v>2022</v>
      </c>
      <c r="J12718" s="10" t="s">
        <v>8699</v>
      </c>
      <c r="K12718" s="10">
        <v>132</v>
      </c>
      <c r="L12718" s="10" t="s">
        <v>53526</v>
      </c>
      <c r="M12718" s="10">
        <v>1</v>
      </c>
      <c r="N12718" s="10" t="s">
        <v>48338</v>
      </c>
      <c r="O12718" s="10">
        <v>1</v>
      </c>
      <c r="P12718" s="10" t="s">
        <v>53527</v>
      </c>
      <c r="Q12718" s="10" t="s">
        <v>11202</v>
      </c>
      <c r="R12718" s="10" t="s">
        <v>53528</v>
      </c>
      <c r="S12718" s="10" t="s">
        <v>53</v>
      </c>
      <c r="T12718" s="10" t="s">
        <v>54</v>
      </c>
    </row>
    <row r="12719" spans="1:20" ht="14.5" x14ac:dyDescent="0.35">
      <c r="A12719" s="10" t="s">
        <v>53529</v>
      </c>
      <c r="B12719" s="10" t="str">
        <f>""</f>
        <v/>
      </c>
      <c r="C12719" s="10" t="str">
        <f>"9781803827704"</f>
        <v>9781803827704</v>
      </c>
      <c r="D12719" s="10" t="s">
        <v>8699</v>
      </c>
      <c r="E12719" s="10" t="s">
        <v>8699</v>
      </c>
      <c r="F12719" s="10" t="s">
        <v>41843</v>
      </c>
      <c r="G12719" s="10" t="s">
        <v>6352</v>
      </c>
      <c r="H12719" s="11">
        <v>44620</v>
      </c>
      <c r="I12719" s="10">
        <v>2022</v>
      </c>
      <c r="J12719" s="10" t="s">
        <v>8699</v>
      </c>
      <c r="K12719" s="10">
        <v>129</v>
      </c>
      <c r="L12719" s="10" t="s">
        <v>52401</v>
      </c>
      <c r="M12719" s="10">
        <v>1</v>
      </c>
      <c r="N12719" s="10" t="s">
        <v>52402</v>
      </c>
      <c r="O12719" s="12">
        <v>45293</v>
      </c>
      <c r="P12719" s="10" t="s">
        <v>53530</v>
      </c>
      <c r="Q12719" s="10">
        <v>302.23</v>
      </c>
      <c r="R12719" s="10" t="s">
        <v>53531</v>
      </c>
      <c r="S12719" s="10" t="s">
        <v>53</v>
      </c>
      <c r="T12719" s="10" t="s">
        <v>6363</v>
      </c>
    </row>
    <row r="12720" spans="1:20" ht="14.5" x14ac:dyDescent="0.35">
      <c r="A12720" s="10" t="s">
        <v>53532</v>
      </c>
      <c r="B12720" s="10" t="str">
        <f>""</f>
        <v/>
      </c>
      <c r="C12720" s="10" t="str">
        <f>"9781803829364"</f>
        <v>9781803829364</v>
      </c>
      <c r="D12720" s="10" t="s">
        <v>8699</v>
      </c>
      <c r="E12720" s="10" t="s">
        <v>8699</v>
      </c>
      <c r="F12720" s="10" t="s">
        <v>41843</v>
      </c>
      <c r="G12720" s="10" t="s">
        <v>6352</v>
      </c>
      <c r="H12720" s="11">
        <v>44644</v>
      </c>
      <c r="I12720" s="10">
        <v>2022</v>
      </c>
      <c r="J12720" s="10" t="s">
        <v>8699</v>
      </c>
      <c r="K12720" s="10">
        <v>113</v>
      </c>
      <c r="L12720" s="10" t="s">
        <v>53533</v>
      </c>
      <c r="M12720" s="10">
        <v>1</v>
      </c>
      <c r="N12720" s="10" t="s">
        <v>50567</v>
      </c>
      <c r="O12720" s="10">
        <v>1</v>
      </c>
      <c r="P12720" s="10" t="s">
        <v>53534</v>
      </c>
      <c r="Q12720" s="10">
        <v>372.6</v>
      </c>
      <c r="R12720" s="10" t="s">
        <v>53535</v>
      </c>
      <c r="S12720" s="10" t="s">
        <v>53</v>
      </c>
      <c r="T12720" s="10" t="s">
        <v>54</v>
      </c>
    </row>
    <row r="12721" spans="1:20" ht="14.5" x14ac:dyDescent="0.35">
      <c r="A12721" s="10" t="s">
        <v>53536</v>
      </c>
      <c r="B12721" s="10" t="str">
        <f>"9781914171772"</f>
        <v>9781914171772</v>
      </c>
      <c r="C12721" s="10" t="str">
        <f>"9781914171789"</f>
        <v>9781914171789</v>
      </c>
      <c r="D12721" s="10" t="s">
        <v>9533</v>
      </c>
      <c r="E12721" s="10" t="s">
        <v>26840</v>
      </c>
      <c r="F12721" s="10" t="s">
        <v>44053</v>
      </c>
      <c r="G12721" s="10" t="s">
        <v>6352</v>
      </c>
      <c r="H12721" s="11">
        <v>44809</v>
      </c>
      <c r="I12721" s="10">
        <v>2022</v>
      </c>
      <c r="J12721" s="10" t="s">
        <v>26840</v>
      </c>
      <c r="K12721" s="10">
        <v>144</v>
      </c>
      <c r="L12721" s="10" t="s">
        <v>53537</v>
      </c>
      <c r="M12721" s="10">
        <v>1</v>
      </c>
      <c r="N12721" s="10"/>
      <c r="O12721" s="10"/>
      <c r="P12721" s="10" t="s">
        <v>53538</v>
      </c>
      <c r="Q12721" s="10">
        <v>155.51820000000001</v>
      </c>
      <c r="R12721" s="10" t="s">
        <v>53539</v>
      </c>
      <c r="S12721" s="10" t="s">
        <v>53</v>
      </c>
      <c r="T12721" s="10" t="s">
        <v>483</v>
      </c>
    </row>
    <row r="12722" spans="1:20" ht="14.5" x14ac:dyDescent="0.35">
      <c r="A12722" s="10" t="s">
        <v>53540</v>
      </c>
      <c r="B12722" s="10" t="str">
        <f>"9781914171895"</f>
        <v>9781914171895</v>
      </c>
      <c r="C12722" s="10" t="str">
        <f>"9781914171901"</f>
        <v>9781914171901</v>
      </c>
      <c r="D12722" s="10" t="s">
        <v>9533</v>
      </c>
      <c r="E12722" s="10" t="s">
        <v>26840</v>
      </c>
      <c r="F12722" s="10" t="s">
        <v>44053</v>
      </c>
      <c r="G12722" s="10" t="s">
        <v>6352</v>
      </c>
      <c r="H12722" s="11">
        <v>44697</v>
      </c>
      <c r="I12722" s="10">
        <v>2022</v>
      </c>
      <c r="J12722" s="10" t="s">
        <v>26840</v>
      </c>
      <c r="K12722" s="10">
        <v>102</v>
      </c>
      <c r="L12722" s="10" t="s">
        <v>53541</v>
      </c>
      <c r="M12722" s="10">
        <v>1</v>
      </c>
      <c r="N12722" s="10" t="s">
        <v>51231</v>
      </c>
      <c r="O12722" s="10"/>
      <c r="P12722" s="10" t="s">
        <v>53542</v>
      </c>
      <c r="Q12722" s="10" t="s">
        <v>9298</v>
      </c>
      <c r="R12722" s="10" t="s">
        <v>39492</v>
      </c>
      <c r="S12722" s="10" t="s">
        <v>53</v>
      </c>
      <c r="T12722" s="10" t="s">
        <v>54</v>
      </c>
    </row>
    <row r="12723" spans="1:20" ht="14.5" x14ac:dyDescent="0.35">
      <c r="A12723" s="10" t="s">
        <v>53543</v>
      </c>
      <c r="B12723" s="10" t="str">
        <f>"9781914171628"</f>
        <v>9781914171628</v>
      </c>
      <c r="C12723" s="10" t="str">
        <f>"9781914171635"</f>
        <v>9781914171635</v>
      </c>
      <c r="D12723" s="10" t="s">
        <v>9533</v>
      </c>
      <c r="E12723" s="10" t="s">
        <v>26840</v>
      </c>
      <c r="F12723" s="10" t="s">
        <v>44053</v>
      </c>
      <c r="G12723" s="10" t="s">
        <v>6352</v>
      </c>
      <c r="H12723" s="11">
        <v>44838</v>
      </c>
      <c r="I12723" s="10">
        <v>2022</v>
      </c>
      <c r="J12723" s="10" t="s">
        <v>26840</v>
      </c>
      <c r="K12723" s="10">
        <v>488</v>
      </c>
      <c r="L12723" s="10" t="s">
        <v>53544</v>
      </c>
      <c r="M12723" s="10">
        <v>2</v>
      </c>
      <c r="N12723" s="10" t="s">
        <v>26843</v>
      </c>
      <c r="O12723" s="10"/>
      <c r="P12723" s="10" t="s">
        <v>53545</v>
      </c>
      <c r="Q12723" s="10">
        <v>370</v>
      </c>
      <c r="R12723" s="10" t="s">
        <v>25527</v>
      </c>
      <c r="S12723" s="10" t="s">
        <v>53</v>
      </c>
      <c r="T12723" s="10" t="s">
        <v>54</v>
      </c>
    </row>
    <row r="12724" spans="1:20" ht="14.5" x14ac:dyDescent="0.35">
      <c r="A12724" s="10" t="s">
        <v>53546</v>
      </c>
      <c r="B12724" s="10" t="str">
        <f>""</f>
        <v/>
      </c>
      <c r="C12724" s="10" t="str">
        <f>"9781912096411"</f>
        <v>9781912096411</v>
      </c>
      <c r="D12724" s="10" t="s">
        <v>9533</v>
      </c>
      <c r="E12724" s="10" t="s">
        <v>26840</v>
      </c>
      <c r="F12724" s="10" t="s">
        <v>47715</v>
      </c>
      <c r="G12724" s="10" t="s">
        <v>6352</v>
      </c>
      <c r="H12724" s="11">
        <v>43374</v>
      </c>
      <c r="I12724" s="10">
        <v>2018</v>
      </c>
      <c r="J12724" s="10" t="s">
        <v>26840</v>
      </c>
      <c r="K12724" s="10">
        <v>295</v>
      </c>
      <c r="L12724" s="10"/>
      <c r="M12724" s="10">
        <v>1</v>
      </c>
      <c r="N12724" s="10" t="s">
        <v>53547</v>
      </c>
      <c r="O12724" s="10"/>
      <c r="P12724" s="10" t="s">
        <v>53548</v>
      </c>
      <c r="Q12724" s="10">
        <v>375</v>
      </c>
      <c r="R12724" s="10" t="s">
        <v>53549</v>
      </c>
      <c r="S12724" s="10" t="s">
        <v>53</v>
      </c>
      <c r="T12724" s="10" t="s">
        <v>54</v>
      </c>
    </row>
    <row r="12725" spans="1:20" ht="14.5" x14ac:dyDescent="0.35">
      <c r="A12725" s="10" t="s">
        <v>53550</v>
      </c>
      <c r="B12725" s="10" t="str">
        <f>"9781914171710"</f>
        <v>9781914171710</v>
      </c>
      <c r="C12725" s="10" t="str">
        <f>"9781914171727"</f>
        <v>9781914171727</v>
      </c>
      <c r="D12725" s="10" t="s">
        <v>9533</v>
      </c>
      <c r="E12725" s="10" t="s">
        <v>26840</v>
      </c>
      <c r="F12725" s="10" t="s">
        <v>44053</v>
      </c>
      <c r="G12725" s="10" t="s">
        <v>6352</v>
      </c>
      <c r="H12725" s="11">
        <v>44600</v>
      </c>
      <c r="I12725" s="10">
        <v>2022</v>
      </c>
      <c r="J12725" s="10" t="s">
        <v>26840</v>
      </c>
      <c r="K12725" s="10">
        <v>210</v>
      </c>
      <c r="L12725" s="10" t="s">
        <v>53551</v>
      </c>
      <c r="M12725" s="10">
        <v>1</v>
      </c>
      <c r="N12725" s="10"/>
      <c r="O12725" s="10"/>
      <c r="P12725" s="10" t="s">
        <v>53552</v>
      </c>
      <c r="Q12725" s="10">
        <v>360</v>
      </c>
      <c r="R12725" s="10" t="s">
        <v>53553</v>
      </c>
      <c r="S12725" s="10" t="s">
        <v>53</v>
      </c>
      <c r="T12725" s="10" t="s">
        <v>6363</v>
      </c>
    </row>
    <row r="12726" spans="1:20" ht="14.5" x14ac:dyDescent="0.35">
      <c r="A12726" s="10" t="s">
        <v>53554</v>
      </c>
      <c r="B12726" s="10" t="str">
        <f>""</f>
        <v/>
      </c>
      <c r="C12726" s="10" t="str">
        <f>"9781910391365"</f>
        <v>9781910391365</v>
      </c>
      <c r="D12726" s="10" t="s">
        <v>9533</v>
      </c>
      <c r="E12726" s="10" t="s">
        <v>26840</v>
      </c>
      <c r="F12726" s="10" t="s">
        <v>26841</v>
      </c>
      <c r="G12726" s="10" t="s">
        <v>6352</v>
      </c>
      <c r="H12726" s="11">
        <v>42416</v>
      </c>
      <c r="I12726" s="10">
        <v>2016</v>
      </c>
      <c r="J12726" s="10" t="s">
        <v>26840</v>
      </c>
      <c r="K12726" s="10">
        <v>191</v>
      </c>
      <c r="L12726" s="10" t="s">
        <v>53555</v>
      </c>
      <c r="M12726" s="10">
        <v>1</v>
      </c>
      <c r="N12726" s="10" t="s">
        <v>28339</v>
      </c>
      <c r="O12726" s="10"/>
      <c r="P12726" s="10" t="s">
        <v>53556</v>
      </c>
      <c r="Q12726" s="10">
        <v>373.11020940999998</v>
      </c>
      <c r="R12726" s="10" t="s">
        <v>53557</v>
      </c>
      <c r="S12726" s="10" t="s">
        <v>53</v>
      </c>
      <c r="T12726" s="10" t="s">
        <v>54</v>
      </c>
    </row>
    <row r="12727" spans="1:20" ht="14.5" x14ac:dyDescent="0.35">
      <c r="A12727" s="10" t="s">
        <v>53558</v>
      </c>
      <c r="B12727" s="10" t="str">
        <f>"9781914171598"</f>
        <v>9781914171598</v>
      </c>
      <c r="C12727" s="10" t="str">
        <f>"9781914171604"</f>
        <v>9781914171604</v>
      </c>
      <c r="D12727" s="10" t="s">
        <v>9533</v>
      </c>
      <c r="E12727" s="10" t="s">
        <v>26840</v>
      </c>
      <c r="F12727" s="10" t="s">
        <v>44053</v>
      </c>
      <c r="G12727" s="10" t="s">
        <v>6352</v>
      </c>
      <c r="H12727" s="11">
        <v>44663</v>
      </c>
      <c r="I12727" s="10">
        <v>2022</v>
      </c>
      <c r="J12727" s="10" t="s">
        <v>26840</v>
      </c>
      <c r="K12727" s="10">
        <v>203</v>
      </c>
      <c r="L12727" s="10" t="s">
        <v>53559</v>
      </c>
      <c r="M12727" s="10">
        <v>1</v>
      </c>
      <c r="N12727" s="10"/>
      <c r="O12727" s="10"/>
      <c r="P12727" s="10" t="s">
        <v>53560</v>
      </c>
      <c r="Q12727" s="10">
        <v>610.71550000000002</v>
      </c>
      <c r="R12727" s="10" t="s">
        <v>53561</v>
      </c>
      <c r="S12727" s="10" t="s">
        <v>53</v>
      </c>
      <c r="T12727" s="10" t="s">
        <v>10848</v>
      </c>
    </row>
    <row r="12728" spans="1:20" ht="14.5" x14ac:dyDescent="0.35">
      <c r="A12728" s="10" t="s">
        <v>53562</v>
      </c>
      <c r="B12728" s="10" t="str">
        <f>""</f>
        <v/>
      </c>
      <c r="C12728" s="10" t="str">
        <f>"9781912096442"</f>
        <v>9781912096442</v>
      </c>
      <c r="D12728" s="10" t="s">
        <v>9533</v>
      </c>
      <c r="E12728" s="10" t="s">
        <v>26840</v>
      </c>
      <c r="F12728" s="10" t="s">
        <v>47715</v>
      </c>
      <c r="G12728" s="10" t="s">
        <v>6352</v>
      </c>
      <c r="H12728" s="11">
        <v>43374</v>
      </c>
      <c r="I12728" s="10">
        <v>2018</v>
      </c>
      <c r="J12728" s="10" t="s">
        <v>26840</v>
      </c>
      <c r="K12728" s="10">
        <v>342</v>
      </c>
      <c r="L12728" s="10" t="s">
        <v>53563</v>
      </c>
      <c r="M12728" s="10">
        <v>1</v>
      </c>
      <c r="N12728" s="10" t="s">
        <v>53547</v>
      </c>
      <c r="O12728" s="10"/>
      <c r="P12728" s="10" t="s">
        <v>53564</v>
      </c>
      <c r="Q12728" s="10">
        <v>372.94099999999997</v>
      </c>
      <c r="R12728" s="10" t="s">
        <v>53565</v>
      </c>
      <c r="S12728" s="10" t="s">
        <v>53</v>
      </c>
      <c r="T12728" s="10" t="s">
        <v>54</v>
      </c>
    </row>
    <row r="12729" spans="1:20" ht="14.5" x14ac:dyDescent="0.35">
      <c r="A12729" s="10" t="s">
        <v>53566</v>
      </c>
      <c r="B12729" s="10" t="str">
        <f>"9781913453459"</f>
        <v>9781913453459</v>
      </c>
      <c r="C12729" s="10" t="str">
        <f>"9781913453473"</f>
        <v>9781913453473</v>
      </c>
      <c r="D12729" s="10" t="s">
        <v>9533</v>
      </c>
      <c r="E12729" s="10" t="s">
        <v>26840</v>
      </c>
      <c r="F12729" s="10" t="s">
        <v>44053</v>
      </c>
      <c r="G12729" s="10" t="s">
        <v>6352</v>
      </c>
      <c r="H12729" s="11">
        <v>44621</v>
      </c>
      <c r="I12729" s="10">
        <v>2022</v>
      </c>
      <c r="J12729" s="10" t="s">
        <v>26840</v>
      </c>
      <c r="K12729" s="10">
        <v>236</v>
      </c>
      <c r="L12729" s="10" t="s">
        <v>53567</v>
      </c>
      <c r="M12729" s="10">
        <v>1</v>
      </c>
      <c r="N12729" s="10" t="s">
        <v>2393</v>
      </c>
      <c r="O12729" s="10"/>
      <c r="P12729" s="10" t="s">
        <v>53568</v>
      </c>
      <c r="Q12729" s="10">
        <v>378</v>
      </c>
      <c r="R12729" s="10" t="s">
        <v>53569</v>
      </c>
      <c r="S12729" s="10" t="s">
        <v>53</v>
      </c>
      <c r="T12729" s="10" t="s">
        <v>54</v>
      </c>
    </row>
    <row r="12730" spans="1:20" ht="14.5" x14ac:dyDescent="0.35">
      <c r="A12730" s="10" t="s">
        <v>53570</v>
      </c>
      <c r="B12730" s="10" t="str">
        <f>"9781416631163"</f>
        <v>9781416631163</v>
      </c>
      <c r="C12730" s="10" t="str">
        <f>"9781416631187"</f>
        <v>9781416631187</v>
      </c>
      <c r="D12730" s="10" t="s">
        <v>10014</v>
      </c>
      <c r="E12730" s="10" t="s">
        <v>10015</v>
      </c>
      <c r="F12730" s="10" t="s">
        <v>1129</v>
      </c>
      <c r="G12730" s="10" t="s">
        <v>6317</v>
      </c>
      <c r="H12730" s="11">
        <v>44701</v>
      </c>
      <c r="I12730" s="10">
        <v>2022</v>
      </c>
      <c r="J12730" s="10" t="s">
        <v>10015</v>
      </c>
      <c r="K12730" s="10">
        <v>221</v>
      </c>
      <c r="L12730" s="10" t="s">
        <v>53571</v>
      </c>
      <c r="M12730" s="10">
        <v>1</v>
      </c>
      <c r="N12730" s="10"/>
      <c r="O12730" s="10"/>
      <c r="P12730" s="10"/>
      <c r="Q12730" s="10" t="s">
        <v>22300</v>
      </c>
      <c r="R12730" s="10"/>
      <c r="S12730" s="10" t="s">
        <v>53</v>
      </c>
      <c r="T12730" s="10" t="s">
        <v>54</v>
      </c>
    </row>
    <row r="12731" spans="1:20" ht="14.5" x14ac:dyDescent="0.35">
      <c r="A12731" s="10" t="s">
        <v>53572</v>
      </c>
      <c r="B12731" s="10" t="str">
        <f>"9781551383569"</f>
        <v>9781551383569</v>
      </c>
      <c r="C12731" s="10" t="str">
        <f>"9781551389561"</f>
        <v>9781551389561</v>
      </c>
      <c r="D12731" s="10" t="s">
        <v>45074</v>
      </c>
      <c r="E12731" s="10" t="s">
        <v>45075</v>
      </c>
      <c r="F12731" s="10" t="s">
        <v>901</v>
      </c>
      <c r="G12731" s="10" t="s">
        <v>9536</v>
      </c>
      <c r="H12731" s="11">
        <v>44704</v>
      </c>
      <c r="I12731" s="10">
        <v>2022</v>
      </c>
      <c r="J12731" s="10" t="s">
        <v>45075</v>
      </c>
      <c r="K12731" s="10">
        <v>156</v>
      </c>
      <c r="L12731" s="10" t="s">
        <v>53573</v>
      </c>
      <c r="M12731" s="10">
        <v>1</v>
      </c>
      <c r="N12731" s="10"/>
      <c r="O12731" s="10"/>
      <c r="P12731" s="10"/>
      <c r="Q12731" s="10"/>
      <c r="R12731" s="10"/>
      <c r="S12731" s="10" t="s">
        <v>53</v>
      </c>
      <c r="T12731" s="10" t="s">
        <v>54</v>
      </c>
    </row>
    <row r="12732" spans="1:20" ht="14.5" x14ac:dyDescent="0.35">
      <c r="A12732" s="10" t="s">
        <v>53574</v>
      </c>
      <c r="B12732" s="10" t="str">
        <f>"9781914171260"</f>
        <v>9781914171260</v>
      </c>
      <c r="C12732" s="10" t="str">
        <f>"9781914171277"</f>
        <v>9781914171277</v>
      </c>
      <c r="D12732" s="10" t="s">
        <v>9533</v>
      </c>
      <c r="E12732" s="10" t="s">
        <v>26840</v>
      </c>
      <c r="F12732" s="10" t="s">
        <v>44053</v>
      </c>
      <c r="G12732" s="10" t="s">
        <v>6352</v>
      </c>
      <c r="H12732" s="11">
        <v>44824</v>
      </c>
      <c r="I12732" s="10">
        <v>2022</v>
      </c>
      <c r="J12732" s="10" t="s">
        <v>26840</v>
      </c>
      <c r="K12732" s="10">
        <v>210</v>
      </c>
      <c r="L12732" s="10" t="s">
        <v>53575</v>
      </c>
      <c r="M12732" s="10">
        <v>1</v>
      </c>
      <c r="N12732" s="10"/>
      <c r="O12732" s="10"/>
      <c r="P12732" s="10" t="s">
        <v>53576</v>
      </c>
      <c r="Q12732" s="10">
        <v>378</v>
      </c>
      <c r="R12732" s="10" t="s">
        <v>53577</v>
      </c>
      <c r="S12732" s="10" t="s">
        <v>53</v>
      </c>
      <c r="T12732" s="10" t="s">
        <v>49174</v>
      </c>
    </row>
    <row r="12733" spans="1:20" ht="14.5" x14ac:dyDescent="0.35">
      <c r="A12733" s="10" t="s">
        <v>53578</v>
      </c>
      <c r="B12733" s="10" t="str">
        <f>"9781416630975"</f>
        <v>9781416630975</v>
      </c>
      <c r="C12733" s="10" t="str">
        <f>"9781416630999"</f>
        <v>9781416630999</v>
      </c>
      <c r="D12733" s="10" t="s">
        <v>10014</v>
      </c>
      <c r="E12733" s="10" t="s">
        <v>10015</v>
      </c>
      <c r="F12733" s="10" t="s">
        <v>201</v>
      </c>
      <c r="G12733" s="10" t="s">
        <v>6317</v>
      </c>
      <c r="H12733" s="11">
        <v>44678</v>
      </c>
      <c r="I12733" s="10">
        <v>2022</v>
      </c>
      <c r="J12733" s="10" t="s">
        <v>10015</v>
      </c>
      <c r="K12733" s="10">
        <v>282</v>
      </c>
      <c r="L12733" s="10" t="s">
        <v>53579</v>
      </c>
      <c r="M12733" s="10">
        <v>1</v>
      </c>
      <c r="N12733" s="10"/>
      <c r="O12733" s="10"/>
      <c r="P12733" s="10" t="s">
        <v>42587</v>
      </c>
      <c r="Q12733" s="10" t="s">
        <v>53580</v>
      </c>
      <c r="R12733" s="10" t="s">
        <v>53581</v>
      </c>
      <c r="S12733" s="10" t="s">
        <v>53</v>
      </c>
      <c r="T12733" s="10" t="s">
        <v>54</v>
      </c>
    </row>
    <row r="12734" spans="1:20" ht="14.5" x14ac:dyDescent="0.35">
      <c r="A12734" s="10" t="s">
        <v>53582</v>
      </c>
      <c r="B12734" s="10" t="str">
        <f>""</f>
        <v/>
      </c>
      <c r="C12734" s="10" t="str">
        <f>"9781612497549"</f>
        <v>9781612497549</v>
      </c>
      <c r="D12734" s="10" t="s">
        <v>9533</v>
      </c>
      <c r="E12734" s="10" t="s">
        <v>4024</v>
      </c>
      <c r="F12734" s="10" t="s">
        <v>31319</v>
      </c>
      <c r="G12734" s="10" t="s">
        <v>6317</v>
      </c>
      <c r="H12734" s="11">
        <v>44757</v>
      </c>
      <c r="I12734" s="10">
        <v>2022</v>
      </c>
      <c r="J12734" s="10" t="s">
        <v>4024</v>
      </c>
      <c r="K12734" s="10">
        <v>531</v>
      </c>
      <c r="L12734" s="10" t="s">
        <v>53583</v>
      </c>
      <c r="M12734" s="10">
        <v>4</v>
      </c>
      <c r="N12734" s="10"/>
      <c r="O12734" s="10"/>
      <c r="P12734" s="10" t="s">
        <v>53584</v>
      </c>
      <c r="Q12734" s="10">
        <v>630.71</v>
      </c>
      <c r="R12734" s="10" t="s">
        <v>53585</v>
      </c>
      <c r="S12734" s="10" t="s">
        <v>53</v>
      </c>
      <c r="T12734" s="10" t="s">
        <v>12653</v>
      </c>
    </row>
    <row r="12735" spans="1:20" ht="14.5" x14ac:dyDescent="0.35">
      <c r="A12735" s="10" t="s">
        <v>53586</v>
      </c>
      <c r="B12735" s="10" t="str">
        <f>"9781922235862"</f>
        <v>9781922235862</v>
      </c>
      <c r="C12735" s="10" t="str">
        <f>"9781922235879"</f>
        <v>9781922235879</v>
      </c>
      <c r="D12735" s="10" t="s">
        <v>31250</v>
      </c>
      <c r="E12735" s="10" t="s">
        <v>31250</v>
      </c>
      <c r="F12735" s="10" t="s">
        <v>1150</v>
      </c>
      <c r="G12735" s="10" t="s">
        <v>12975</v>
      </c>
      <c r="H12735" s="11">
        <v>42370</v>
      </c>
      <c r="I12735" s="10">
        <v>2016</v>
      </c>
      <c r="J12735" s="10" t="s">
        <v>31250</v>
      </c>
      <c r="K12735" s="10">
        <v>210</v>
      </c>
      <c r="L12735" s="10" t="s">
        <v>53587</v>
      </c>
      <c r="M12735" s="10">
        <v>1</v>
      </c>
      <c r="N12735" s="10" t="s">
        <v>47473</v>
      </c>
      <c r="O12735" s="10"/>
      <c r="P12735" s="10"/>
      <c r="Q12735" s="10">
        <v>4.08352</v>
      </c>
      <c r="R12735" s="10"/>
      <c r="S12735" s="10" t="s">
        <v>53</v>
      </c>
      <c r="T12735" s="10" t="s">
        <v>19959</v>
      </c>
    </row>
    <row r="12736" spans="1:20" ht="14.5" x14ac:dyDescent="0.35">
      <c r="A12736" s="10" t="s">
        <v>53588</v>
      </c>
      <c r="B12736" s="10" t="str">
        <f>"9780980361643"</f>
        <v>9780980361643</v>
      </c>
      <c r="C12736" s="10" t="str">
        <f>"9781925495973"</f>
        <v>9781925495973</v>
      </c>
      <c r="D12736" s="10" t="s">
        <v>31250</v>
      </c>
      <c r="E12736" s="10" t="s">
        <v>31250</v>
      </c>
      <c r="F12736" s="10" t="s">
        <v>1150</v>
      </c>
      <c r="G12736" s="10" t="s">
        <v>12975</v>
      </c>
      <c r="H12736" s="11">
        <v>39387</v>
      </c>
      <c r="I12736" s="10">
        <v>2007</v>
      </c>
      <c r="J12736" s="10" t="s">
        <v>53589</v>
      </c>
      <c r="K12736" s="10">
        <v>290</v>
      </c>
      <c r="L12736" s="10" t="s">
        <v>53590</v>
      </c>
      <c r="M12736" s="10">
        <v>1</v>
      </c>
      <c r="N12736" s="10"/>
      <c r="O12736" s="10"/>
      <c r="P12736" s="10" t="s">
        <v>53591</v>
      </c>
      <c r="Q12736" s="10">
        <v>378.125</v>
      </c>
      <c r="R12736" s="10"/>
      <c r="S12736" s="10" t="s">
        <v>53</v>
      </c>
      <c r="T12736" s="10" t="s">
        <v>54</v>
      </c>
    </row>
    <row r="12737" spans="1:20" ht="14.5" x14ac:dyDescent="0.35">
      <c r="A12737" s="10" t="s">
        <v>53592</v>
      </c>
      <c r="B12737" s="10" t="str">
        <f>"9781642670646"</f>
        <v>9781642670646</v>
      </c>
      <c r="C12737" s="10" t="str">
        <f>"9781000971941"</f>
        <v>9781000971941</v>
      </c>
      <c r="D12737" s="10" t="s">
        <v>6350</v>
      </c>
      <c r="E12737" s="10" t="s">
        <v>6351</v>
      </c>
      <c r="F12737" s="10" t="s">
        <v>748</v>
      </c>
      <c r="G12737" s="10" t="s">
        <v>6352</v>
      </c>
      <c r="H12737" s="11">
        <v>44678</v>
      </c>
      <c r="I12737" s="10">
        <v>2022</v>
      </c>
      <c r="J12737" s="10" t="s">
        <v>6351</v>
      </c>
      <c r="K12737" s="10">
        <v>286</v>
      </c>
      <c r="L12737" s="10" t="s">
        <v>53593</v>
      </c>
      <c r="M12737" s="10">
        <v>1</v>
      </c>
      <c r="N12737" s="10"/>
      <c r="O12737" s="10"/>
      <c r="P12737" s="10"/>
      <c r="Q12737" s="10">
        <v>378.1619</v>
      </c>
      <c r="R12737" s="10"/>
      <c r="S12737" s="10" t="s">
        <v>53</v>
      </c>
      <c r="T12737" s="10" t="s">
        <v>54</v>
      </c>
    </row>
    <row r="12738" spans="1:20" ht="14.5" x14ac:dyDescent="0.35">
      <c r="A12738" s="10" t="s">
        <v>53594</v>
      </c>
      <c r="B12738" s="10" t="str">
        <f>"9789815039849"</f>
        <v>9789815039849</v>
      </c>
      <c r="C12738" s="10" t="str">
        <f>"9789815039832"</f>
        <v>9789815039832</v>
      </c>
      <c r="D12738" s="10" t="s">
        <v>21815</v>
      </c>
      <c r="E12738" s="10" t="s">
        <v>21815</v>
      </c>
      <c r="F12738" s="10" t="s">
        <v>549</v>
      </c>
      <c r="G12738" s="10" t="s">
        <v>8573</v>
      </c>
      <c r="H12738" s="11">
        <v>44657</v>
      </c>
      <c r="I12738" s="10">
        <v>2022</v>
      </c>
      <c r="J12738" s="10" t="s">
        <v>21815</v>
      </c>
      <c r="K12738" s="10">
        <v>172</v>
      </c>
      <c r="L12738" s="10" t="s">
        <v>53595</v>
      </c>
      <c r="M12738" s="10">
        <v>1</v>
      </c>
      <c r="N12738" s="10"/>
      <c r="O12738" s="10"/>
      <c r="P12738" s="10" t="s">
        <v>53596</v>
      </c>
      <c r="Q12738" s="10">
        <v>371.33</v>
      </c>
      <c r="R12738" s="10" t="s">
        <v>29942</v>
      </c>
      <c r="S12738" s="10" t="s">
        <v>53</v>
      </c>
      <c r="T12738" s="10" t="s">
        <v>54</v>
      </c>
    </row>
    <row r="12739" spans="1:20" ht="14.5" x14ac:dyDescent="0.35">
      <c r="A12739" s="10" t="s">
        <v>53597</v>
      </c>
      <c r="B12739" s="10" t="str">
        <f>"9781564849090"</f>
        <v>9781564849090</v>
      </c>
      <c r="C12739" s="10" t="str">
        <f>"9781564849083"</f>
        <v>9781564849083</v>
      </c>
      <c r="D12739" s="10" t="s">
        <v>9533</v>
      </c>
      <c r="E12739" s="10" t="s">
        <v>45783</v>
      </c>
      <c r="F12739" s="10" t="s">
        <v>25348</v>
      </c>
      <c r="G12739" s="10" t="s">
        <v>6317</v>
      </c>
      <c r="H12739" s="11">
        <v>44694</v>
      </c>
      <c r="I12739" s="10">
        <v>2022</v>
      </c>
      <c r="J12739" s="10" t="s">
        <v>45783</v>
      </c>
      <c r="K12739" s="10">
        <v>153</v>
      </c>
      <c r="L12739" s="10" t="s">
        <v>53598</v>
      </c>
      <c r="M12739" s="10">
        <v>1</v>
      </c>
      <c r="N12739" s="10" t="s">
        <v>49724</v>
      </c>
      <c r="O12739" s="10"/>
      <c r="P12739" s="10" t="s">
        <v>53599</v>
      </c>
      <c r="Q12739" s="10">
        <v>27.626000000000001</v>
      </c>
      <c r="R12739" s="10" t="s">
        <v>53600</v>
      </c>
      <c r="S12739" s="10" t="s">
        <v>53</v>
      </c>
      <c r="T12739" s="10" t="s">
        <v>10302</v>
      </c>
    </row>
    <row r="12740" spans="1:20" ht="14.5" x14ac:dyDescent="0.35">
      <c r="A12740" s="10" t="s">
        <v>53601</v>
      </c>
      <c r="B12740" s="10" t="str">
        <f>"9781416631194"</f>
        <v>9781416631194</v>
      </c>
      <c r="C12740" s="10" t="str">
        <f>"9781416631484"</f>
        <v>9781416631484</v>
      </c>
      <c r="D12740" s="10" t="s">
        <v>10014</v>
      </c>
      <c r="E12740" s="10" t="s">
        <v>10015</v>
      </c>
      <c r="F12740" s="10" t="s">
        <v>1129</v>
      </c>
      <c r="G12740" s="10" t="s">
        <v>6317</v>
      </c>
      <c r="H12740" s="11">
        <v>44708</v>
      </c>
      <c r="I12740" s="10">
        <v>2022</v>
      </c>
      <c r="J12740" s="10" t="s">
        <v>10015</v>
      </c>
      <c r="K12740" s="10">
        <v>166</v>
      </c>
      <c r="L12740" s="10" t="s">
        <v>53602</v>
      </c>
      <c r="M12740" s="10">
        <v>1</v>
      </c>
      <c r="N12740" s="10"/>
      <c r="O12740" s="10"/>
      <c r="P12740" s="10"/>
      <c r="Q12740" s="10" t="s">
        <v>9491</v>
      </c>
      <c r="R12740" s="10"/>
      <c r="S12740" s="10" t="s">
        <v>53</v>
      </c>
      <c r="T12740" s="10" t="s">
        <v>54</v>
      </c>
    </row>
    <row r="12741" spans="1:20" ht="14.5" x14ac:dyDescent="0.35">
      <c r="A12741" s="10" t="s">
        <v>53603</v>
      </c>
      <c r="B12741" s="10" t="str">
        <f>"9788024650128"</f>
        <v>9788024650128</v>
      </c>
      <c r="C12741" s="10" t="str">
        <f>"9788024650272"</f>
        <v>9788024650272</v>
      </c>
      <c r="D12741" s="10" t="s">
        <v>30935</v>
      </c>
      <c r="E12741" s="10" t="s">
        <v>30935</v>
      </c>
      <c r="F12741" s="10" t="s">
        <v>1796</v>
      </c>
      <c r="G12741" s="10" t="s">
        <v>30936</v>
      </c>
      <c r="H12741" s="11">
        <v>44621</v>
      </c>
      <c r="I12741" s="10">
        <v>2022</v>
      </c>
      <c r="J12741" s="10" t="s">
        <v>30935</v>
      </c>
      <c r="K12741" s="10">
        <v>228</v>
      </c>
      <c r="L12741" s="10" t="s">
        <v>53604</v>
      </c>
      <c r="M12741" s="10"/>
      <c r="N12741" s="10"/>
      <c r="O12741" s="10"/>
      <c r="P12741" s="10"/>
      <c r="Q12741" s="10"/>
      <c r="R12741" s="10"/>
      <c r="S12741" s="10" t="s">
        <v>53</v>
      </c>
      <c r="T12741" s="10" t="s">
        <v>54</v>
      </c>
    </row>
    <row r="12742" spans="1:20" ht="14.5" x14ac:dyDescent="0.35">
      <c r="A12742" s="10" t="s">
        <v>53605</v>
      </c>
      <c r="B12742" s="10" t="str">
        <f>"9789004507586"</f>
        <v>9789004507586</v>
      </c>
      <c r="C12742" s="10" t="str">
        <f>"9789004507593"</f>
        <v>9789004507593</v>
      </c>
      <c r="D12742" s="10" t="s">
        <v>8564</v>
      </c>
      <c r="E12742" s="10" t="s">
        <v>8565</v>
      </c>
      <c r="F12742" s="10" t="s">
        <v>1420</v>
      </c>
      <c r="G12742" s="10" t="s">
        <v>6317</v>
      </c>
      <c r="H12742" s="11">
        <v>44547</v>
      </c>
      <c r="I12742" s="10">
        <v>2022</v>
      </c>
      <c r="J12742" s="10" t="s">
        <v>8565</v>
      </c>
      <c r="K12742" s="10">
        <v>262</v>
      </c>
      <c r="L12742" s="10" t="s">
        <v>45766</v>
      </c>
      <c r="M12742" s="10">
        <v>1</v>
      </c>
      <c r="N12742" s="10" t="s">
        <v>33751</v>
      </c>
      <c r="O12742" s="10">
        <v>74</v>
      </c>
      <c r="P12742" s="10"/>
      <c r="Q12742" s="10"/>
      <c r="R12742" s="10"/>
      <c r="S12742" s="10" t="s">
        <v>53</v>
      </c>
      <c r="T12742" s="10" t="s">
        <v>54</v>
      </c>
    </row>
    <row r="12743" spans="1:20" ht="14.5" x14ac:dyDescent="0.35">
      <c r="A12743" s="10" t="s">
        <v>53606</v>
      </c>
      <c r="B12743" s="10" t="str">
        <f>"9781641893961"</f>
        <v>9781641893961</v>
      </c>
      <c r="C12743" s="10" t="str">
        <f>"9781802700329"</f>
        <v>9781802700329</v>
      </c>
      <c r="D12743" s="10" t="s">
        <v>13287</v>
      </c>
      <c r="E12743" s="10" t="s">
        <v>50849</v>
      </c>
      <c r="F12743" s="10" t="s">
        <v>1818</v>
      </c>
      <c r="G12743" s="10" t="s">
        <v>9233</v>
      </c>
      <c r="H12743" s="11">
        <v>44712</v>
      </c>
      <c r="I12743" s="10">
        <v>2022</v>
      </c>
      <c r="J12743" s="10" t="s">
        <v>50849</v>
      </c>
      <c r="K12743" s="10">
        <v>238</v>
      </c>
      <c r="L12743" s="10" t="s">
        <v>53607</v>
      </c>
      <c r="M12743" s="10">
        <v>1</v>
      </c>
      <c r="N12743" s="10" t="s">
        <v>53608</v>
      </c>
      <c r="O12743" s="10"/>
      <c r="P12743" s="10"/>
      <c r="Q12743" s="10">
        <v>907.11</v>
      </c>
      <c r="R12743" s="10" t="s">
        <v>53609</v>
      </c>
      <c r="S12743" s="10" t="s">
        <v>53</v>
      </c>
      <c r="T12743" s="10" t="s">
        <v>12094</v>
      </c>
    </row>
    <row r="12744" spans="1:20" ht="14.5" x14ac:dyDescent="0.35">
      <c r="A12744" s="10" t="s">
        <v>53610</v>
      </c>
      <c r="B12744" s="10" t="str">
        <f>""</f>
        <v/>
      </c>
      <c r="C12744" s="10" t="str">
        <f>"9781564849540"</f>
        <v>9781564849540</v>
      </c>
      <c r="D12744" s="10" t="s">
        <v>9533</v>
      </c>
      <c r="E12744" s="10" t="s">
        <v>45783</v>
      </c>
      <c r="F12744" s="10" t="s">
        <v>25348</v>
      </c>
      <c r="G12744" s="10" t="s">
        <v>6317</v>
      </c>
      <c r="H12744" s="11">
        <v>44722</v>
      </c>
      <c r="I12744" s="10">
        <v>2022</v>
      </c>
      <c r="J12744" s="10" t="s">
        <v>45783</v>
      </c>
      <c r="K12744" s="10">
        <v>169</v>
      </c>
      <c r="L12744" s="10" t="s">
        <v>53611</v>
      </c>
      <c r="M12744" s="10">
        <v>1</v>
      </c>
      <c r="N12744" s="10"/>
      <c r="O12744" s="10"/>
      <c r="P12744" s="10" t="s">
        <v>53612</v>
      </c>
      <c r="Q12744" s="10">
        <v>371.14400000000001</v>
      </c>
      <c r="R12744" s="10" t="s">
        <v>41159</v>
      </c>
      <c r="S12744" s="10" t="s">
        <v>53</v>
      </c>
      <c r="T12744" s="10" t="s">
        <v>54</v>
      </c>
    </row>
    <row r="12745" spans="1:20" ht="14.5" x14ac:dyDescent="0.35">
      <c r="A12745" s="10" t="s">
        <v>53613</v>
      </c>
      <c r="B12745" s="10" t="str">
        <f>"9781416631309"</f>
        <v>9781416631309</v>
      </c>
      <c r="C12745" s="10" t="str">
        <f>"9781416631323"</f>
        <v>9781416631323</v>
      </c>
      <c r="D12745" s="10" t="s">
        <v>10014</v>
      </c>
      <c r="E12745" s="10" t="s">
        <v>10015</v>
      </c>
      <c r="F12745" s="10" t="s">
        <v>1129</v>
      </c>
      <c r="G12745" s="10" t="s">
        <v>6317</v>
      </c>
      <c r="H12745" s="11">
        <v>44762</v>
      </c>
      <c r="I12745" s="10">
        <v>2022</v>
      </c>
      <c r="J12745" s="10" t="s">
        <v>10015</v>
      </c>
      <c r="K12745" s="10">
        <v>174</v>
      </c>
      <c r="L12745" s="10" t="s">
        <v>42811</v>
      </c>
      <c r="M12745" s="10">
        <v>1</v>
      </c>
      <c r="N12745" s="10"/>
      <c r="O12745" s="10"/>
      <c r="P12745" s="10"/>
      <c r="Q12745" s="10" t="s">
        <v>11202</v>
      </c>
      <c r="R12745" s="10" t="s">
        <v>53614</v>
      </c>
      <c r="S12745" s="10" t="s">
        <v>53</v>
      </c>
      <c r="T12745" s="10" t="s">
        <v>54</v>
      </c>
    </row>
    <row r="12746" spans="1:20" ht="14.5" x14ac:dyDescent="0.35">
      <c r="A12746" s="10" t="s">
        <v>53615</v>
      </c>
      <c r="B12746" s="10" t="str">
        <f>"9780472037605"</f>
        <v>9780472037605</v>
      </c>
      <c r="C12746" s="10" t="str">
        <f>"9780472126309"</f>
        <v>9780472126309</v>
      </c>
      <c r="D12746" s="10" t="s">
        <v>38702</v>
      </c>
      <c r="E12746" s="10" t="s">
        <v>38702</v>
      </c>
      <c r="F12746" s="10" t="s">
        <v>1103</v>
      </c>
      <c r="G12746" s="10" t="s">
        <v>6317</v>
      </c>
      <c r="H12746" s="11">
        <v>43719</v>
      </c>
      <c r="I12746" s="10">
        <v>2019</v>
      </c>
      <c r="J12746" s="10" t="s">
        <v>38702</v>
      </c>
      <c r="K12746" s="10">
        <v>129</v>
      </c>
      <c r="L12746" s="10" t="s">
        <v>53616</v>
      </c>
      <c r="M12746" s="10">
        <v>1</v>
      </c>
      <c r="N12746" s="10"/>
      <c r="O12746" s="10"/>
      <c r="P12746" s="10" t="s">
        <v>53617</v>
      </c>
      <c r="Q12746" s="10">
        <v>378.19799999999998</v>
      </c>
      <c r="R12746" s="10" t="s">
        <v>53618</v>
      </c>
      <c r="S12746" s="10" t="s">
        <v>53</v>
      </c>
      <c r="T12746" s="10" t="s">
        <v>54</v>
      </c>
    </row>
    <row r="12747" spans="1:20" ht="14.5" x14ac:dyDescent="0.35">
      <c r="A12747" s="10" t="s">
        <v>53619</v>
      </c>
      <c r="B12747" s="10" t="str">
        <f>"9780472036479"</f>
        <v>9780472036479</v>
      </c>
      <c r="C12747" s="10" t="str">
        <f>"9780472125777"</f>
        <v>9780472125777</v>
      </c>
      <c r="D12747" s="10" t="s">
        <v>38702</v>
      </c>
      <c r="E12747" s="10" t="s">
        <v>38702</v>
      </c>
      <c r="F12747" s="10" t="s">
        <v>1103</v>
      </c>
      <c r="G12747" s="10" t="s">
        <v>6317</v>
      </c>
      <c r="H12747" s="11">
        <v>42432</v>
      </c>
      <c r="I12747" s="10">
        <v>2016</v>
      </c>
      <c r="J12747" s="10" t="s">
        <v>38702</v>
      </c>
      <c r="K12747" s="10">
        <v>146</v>
      </c>
      <c r="L12747" s="10" t="s">
        <v>53620</v>
      </c>
      <c r="M12747" s="10">
        <v>1</v>
      </c>
      <c r="N12747" s="10"/>
      <c r="O12747" s="10"/>
      <c r="P12747" s="10" t="s">
        <v>53621</v>
      </c>
      <c r="Q12747" s="10"/>
      <c r="R12747" s="10" t="s">
        <v>53622</v>
      </c>
      <c r="S12747" s="10" t="s">
        <v>53</v>
      </c>
      <c r="T12747" s="10" t="s">
        <v>6616</v>
      </c>
    </row>
    <row r="12748" spans="1:20" ht="14.5" x14ac:dyDescent="0.35">
      <c r="A12748" s="10" t="s">
        <v>53623</v>
      </c>
      <c r="B12748" s="10" t="str">
        <f>"9780472037667"</f>
        <v>9780472037667</v>
      </c>
      <c r="C12748" s="10" t="str">
        <f>"9780472126415"</f>
        <v>9780472126415</v>
      </c>
      <c r="D12748" s="10" t="s">
        <v>38702</v>
      </c>
      <c r="E12748" s="10" t="s">
        <v>38702</v>
      </c>
      <c r="F12748" s="10" t="s">
        <v>1103</v>
      </c>
      <c r="G12748" s="10" t="s">
        <v>6317</v>
      </c>
      <c r="H12748" s="11">
        <v>43955</v>
      </c>
      <c r="I12748" s="10">
        <v>2020</v>
      </c>
      <c r="J12748" s="10" t="s">
        <v>38702</v>
      </c>
      <c r="K12748" s="10">
        <v>121</v>
      </c>
      <c r="L12748" s="10" t="s">
        <v>53624</v>
      </c>
      <c r="M12748" s="10">
        <v>1</v>
      </c>
      <c r="N12748" s="10"/>
      <c r="O12748" s="10"/>
      <c r="P12748" s="10" t="s">
        <v>53625</v>
      </c>
      <c r="Q12748" s="10">
        <v>28.7</v>
      </c>
      <c r="R12748" s="10" t="s">
        <v>53626</v>
      </c>
      <c r="S12748" s="10" t="s">
        <v>53</v>
      </c>
      <c r="T12748" s="10" t="s">
        <v>16990</v>
      </c>
    </row>
    <row r="12749" spans="1:20" ht="14.5" x14ac:dyDescent="0.35">
      <c r="A12749" s="10" t="s">
        <v>53627</v>
      </c>
      <c r="B12749" s="10" t="str">
        <f>"9780472037957"</f>
        <v>9780472037957</v>
      </c>
      <c r="C12749" s="10" t="str">
        <f>"9780472128983"</f>
        <v>9780472128983</v>
      </c>
      <c r="D12749" s="10" t="s">
        <v>38702</v>
      </c>
      <c r="E12749" s="10" t="s">
        <v>38702</v>
      </c>
      <c r="F12749" s="10" t="s">
        <v>1103</v>
      </c>
      <c r="G12749" s="10" t="s">
        <v>6317</v>
      </c>
      <c r="H12749" s="11">
        <v>44257</v>
      </c>
      <c r="I12749" s="10">
        <v>2021</v>
      </c>
      <c r="J12749" s="10" t="s">
        <v>38702</v>
      </c>
      <c r="K12749" s="10">
        <v>71</v>
      </c>
      <c r="L12749" s="10" t="s">
        <v>53616</v>
      </c>
      <c r="M12749" s="10">
        <v>1</v>
      </c>
      <c r="N12749" s="10"/>
      <c r="O12749" s="10"/>
      <c r="P12749" s="10" t="s">
        <v>53628</v>
      </c>
      <c r="Q12749" s="10">
        <v>808.53</v>
      </c>
      <c r="R12749" s="10" t="s">
        <v>53629</v>
      </c>
      <c r="S12749" s="10" t="s">
        <v>53</v>
      </c>
      <c r="T12749" s="10" t="s">
        <v>53630</v>
      </c>
    </row>
    <row r="12750" spans="1:20" ht="14.5" x14ac:dyDescent="0.35">
      <c r="A12750" s="10" t="s">
        <v>53631</v>
      </c>
      <c r="B12750" s="10" t="str">
        <f>"9781138342620"</f>
        <v>9781138342620</v>
      </c>
      <c r="C12750" s="10" t="str">
        <f>"9781000082548"</f>
        <v>9781000082548</v>
      </c>
      <c r="D12750" s="10" t="s">
        <v>6350</v>
      </c>
      <c r="E12750" s="10" t="s">
        <v>6351</v>
      </c>
      <c r="F12750" s="10" t="s">
        <v>3967</v>
      </c>
      <c r="G12750" s="10" t="s">
        <v>6352</v>
      </c>
      <c r="H12750" s="11">
        <v>44042</v>
      </c>
      <c r="I12750" s="10">
        <v>2021</v>
      </c>
      <c r="J12750" s="10" t="s">
        <v>50198</v>
      </c>
      <c r="K12750" s="10">
        <v>213</v>
      </c>
      <c r="L12750" s="10" t="s">
        <v>53632</v>
      </c>
      <c r="M12750" s="10">
        <v>2</v>
      </c>
      <c r="N12750" s="10" t="s">
        <v>53633</v>
      </c>
      <c r="O12750" s="10"/>
      <c r="P12750" s="10" t="s">
        <v>53634</v>
      </c>
      <c r="Q12750" s="10" t="s">
        <v>53635</v>
      </c>
      <c r="R12750" s="10" t="s">
        <v>53636</v>
      </c>
      <c r="S12750" s="10" t="s">
        <v>53</v>
      </c>
      <c r="T12750" s="10" t="s">
        <v>6526</v>
      </c>
    </row>
    <row r="12751" spans="1:20" ht="14.5" x14ac:dyDescent="0.35">
      <c r="A12751" s="10" t="s">
        <v>53637</v>
      </c>
      <c r="B12751" s="10" t="str">
        <f>""</f>
        <v/>
      </c>
      <c r="C12751" s="10" t="str">
        <f>"9781952331091"</f>
        <v>9781952331091</v>
      </c>
      <c r="D12751" s="10" t="s">
        <v>9533</v>
      </c>
      <c r="E12751" s="10" t="s">
        <v>5950</v>
      </c>
      <c r="F12751" s="10" t="s">
        <v>25348</v>
      </c>
      <c r="G12751" s="10" t="s">
        <v>6317</v>
      </c>
      <c r="H12751" s="11">
        <v>44859</v>
      </c>
      <c r="I12751" s="10">
        <v>2022</v>
      </c>
      <c r="J12751" s="10" t="s">
        <v>5950</v>
      </c>
      <c r="K12751" s="10">
        <v>172</v>
      </c>
      <c r="L12751" s="10" t="s">
        <v>53638</v>
      </c>
      <c r="M12751" s="10">
        <v>1</v>
      </c>
      <c r="N12751" s="10"/>
      <c r="O12751" s="10"/>
      <c r="P12751" s="10" t="s">
        <v>53639</v>
      </c>
      <c r="Q12751" s="10">
        <v>372.21</v>
      </c>
      <c r="R12751" s="10" t="s">
        <v>53640</v>
      </c>
      <c r="S12751" s="10" t="s">
        <v>53</v>
      </c>
      <c r="T12751" s="10" t="s">
        <v>54</v>
      </c>
    </row>
    <row r="12752" spans="1:20" ht="14.5" x14ac:dyDescent="0.35">
      <c r="A12752" s="10" t="s">
        <v>53641</v>
      </c>
      <c r="B12752" s="10" t="str">
        <f>""</f>
        <v/>
      </c>
      <c r="C12752" s="10" t="str">
        <f>"9780814100042"</f>
        <v>9780814100042</v>
      </c>
      <c r="D12752" s="10" t="s">
        <v>9533</v>
      </c>
      <c r="E12752" s="10" t="s">
        <v>53642</v>
      </c>
      <c r="F12752" s="10" t="s">
        <v>25348</v>
      </c>
      <c r="G12752" s="10" t="s">
        <v>6317</v>
      </c>
      <c r="H12752" s="11">
        <v>44622</v>
      </c>
      <c r="I12752" s="10">
        <v>2022</v>
      </c>
      <c r="J12752" s="10" t="s">
        <v>53642</v>
      </c>
      <c r="K12752" s="10">
        <v>207</v>
      </c>
      <c r="L12752" s="10" t="s">
        <v>53643</v>
      </c>
      <c r="M12752" s="10">
        <v>1</v>
      </c>
      <c r="N12752" s="10" t="s">
        <v>53644</v>
      </c>
      <c r="O12752" s="10">
        <v>71</v>
      </c>
      <c r="P12752" s="10" t="s">
        <v>53645</v>
      </c>
      <c r="Q12752" s="10">
        <v>344.73074000000003</v>
      </c>
      <c r="R12752" s="10" t="s">
        <v>12345</v>
      </c>
      <c r="S12752" s="10" t="s">
        <v>53</v>
      </c>
      <c r="T12752" s="10" t="s">
        <v>5396</v>
      </c>
    </row>
    <row r="12753" spans="1:20" ht="14.5" x14ac:dyDescent="0.35">
      <c r="A12753" s="10" t="s">
        <v>53646</v>
      </c>
      <c r="B12753" s="10" t="str">
        <f>""</f>
        <v/>
      </c>
      <c r="C12753" s="10" t="str">
        <f>"9780814100141"</f>
        <v>9780814100141</v>
      </c>
      <c r="D12753" s="10" t="s">
        <v>9533</v>
      </c>
      <c r="E12753" s="10" t="s">
        <v>53642</v>
      </c>
      <c r="F12753" s="10" t="s">
        <v>25348</v>
      </c>
      <c r="G12753" s="10" t="s">
        <v>6317</v>
      </c>
      <c r="H12753" s="11">
        <v>44544</v>
      </c>
      <c r="I12753" s="10">
        <v>2022</v>
      </c>
      <c r="J12753" s="10" t="s">
        <v>53642</v>
      </c>
      <c r="K12753" s="10">
        <v>205</v>
      </c>
      <c r="L12753" s="10" t="s">
        <v>53647</v>
      </c>
      <c r="M12753" s="10">
        <v>1</v>
      </c>
      <c r="N12753" s="10"/>
      <c r="O12753" s="10"/>
      <c r="P12753" s="10" t="s">
        <v>53648</v>
      </c>
      <c r="Q12753" s="10">
        <v>371.82100000000003</v>
      </c>
      <c r="R12753" s="10" t="s">
        <v>28381</v>
      </c>
      <c r="S12753" s="10" t="s">
        <v>53</v>
      </c>
      <c r="T12753" s="10" t="s">
        <v>54</v>
      </c>
    </row>
    <row r="12754" spans="1:20" ht="14.5" x14ac:dyDescent="0.35">
      <c r="A12754" s="10" t="s">
        <v>53649</v>
      </c>
      <c r="B12754" s="10" t="str">
        <f>""</f>
        <v/>
      </c>
      <c r="C12754" s="10" t="str">
        <f>"9780814100158"</f>
        <v>9780814100158</v>
      </c>
      <c r="D12754" s="10" t="s">
        <v>9533</v>
      </c>
      <c r="E12754" s="10" t="s">
        <v>53642</v>
      </c>
      <c r="F12754" s="10" t="s">
        <v>25348</v>
      </c>
      <c r="G12754" s="10" t="s">
        <v>6317</v>
      </c>
      <c r="H12754" s="11">
        <v>44544</v>
      </c>
      <c r="I12754" s="10">
        <v>2022</v>
      </c>
      <c r="J12754" s="10" t="s">
        <v>53642</v>
      </c>
      <c r="K12754" s="10">
        <v>241</v>
      </c>
      <c r="L12754" s="10" t="s">
        <v>53650</v>
      </c>
      <c r="M12754" s="10">
        <v>1</v>
      </c>
      <c r="N12754" s="10"/>
      <c r="O12754" s="10"/>
      <c r="P12754" s="10" t="s">
        <v>53651</v>
      </c>
      <c r="Q12754" s="10">
        <v>371.91199999999998</v>
      </c>
      <c r="R12754" s="10" t="s">
        <v>53652</v>
      </c>
      <c r="S12754" s="10" t="s">
        <v>53</v>
      </c>
      <c r="T12754" s="10" t="s">
        <v>6526</v>
      </c>
    </row>
    <row r="12755" spans="1:20" ht="14.5" x14ac:dyDescent="0.35">
      <c r="A12755" s="10" t="s">
        <v>53653</v>
      </c>
      <c r="B12755" s="10" t="str">
        <f>""</f>
        <v/>
      </c>
      <c r="C12755" s="10" t="str">
        <f>"9780814100080"</f>
        <v>9780814100080</v>
      </c>
      <c r="D12755" s="10" t="s">
        <v>9533</v>
      </c>
      <c r="E12755" s="10" t="s">
        <v>53642</v>
      </c>
      <c r="F12755" s="10" t="s">
        <v>25348</v>
      </c>
      <c r="G12755" s="10" t="s">
        <v>6317</v>
      </c>
      <c r="H12755" s="11">
        <v>44386</v>
      </c>
      <c r="I12755" s="10">
        <v>2022</v>
      </c>
      <c r="J12755" s="10" t="s">
        <v>53642</v>
      </c>
      <c r="K12755" s="10">
        <v>135</v>
      </c>
      <c r="L12755" s="10" t="s">
        <v>53654</v>
      </c>
      <c r="M12755" s="10">
        <v>1</v>
      </c>
      <c r="N12755" s="10"/>
      <c r="O12755" s="10"/>
      <c r="P12755" s="10" t="s">
        <v>53655</v>
      </c>
      <c r="Q12755" s="10">
        <v>371.90460000000002</v>
      </c>
      <c r="R12755" s="10" t="s">
        <v>18055</v>
      </c>
      <c r="S12755" s="10" t="s">
        <v>53</v>
      </c>
      <c r="T12755" s="10" t="s">
        <v>54</v>
      </c>
    </row>
    <row r="12756" spans="1:20" ht="14.5" x14ac:dyDescent="0.35">
      <c r="A12756" s="10" t="s">
        <v>53656</v>
      </c>
      <c r="B12756" s="10" t="str">
        <f>""</f>
        <v/>
      </c>
      <c r="C12756" s="10" t="str">
        <f>"9780814100165"</f>
        <v>9780814100165</v>
      </c>
      <c r="D12756" s="10" t="s">
        <v>9533</v>
      </c>
      <c r="E12756" s="10" t="s">
        <v>53642</v>
      </c>
      <c r="F12756" s="10" t="s">
        <v>25348</v>
      </c>
      <c r="G12756" s="10" t="s">
        <v>6317</v>
      </c>
      <c r="H12756" s="11">
        <v>44267</v>
      </c>
      <c r="I12756" s="10">
        <v>2022</v>
      </c>
      <c r="J12756" s="10" t="s">
        <v>53642</v>
      </c>
      <c r="K12756" s="10">
        <v>152</v>
      </c>
      <c r="L12756" s="10" t="s">
        <v>53657</v>
      </c>
      <c r="M12756" s="10">
        <v>2</v>
      </c>
      <c r="N12756" s="10"/>
      <c r="O12756" s="10"/>
      <c r="P12756" s="10" t="s">
        <v>53658</v>
      </c>
      <c r="Q12756" s="10">
        <v>810.80354999999895</v>
      </c>
      <c r="R12756" s="10" t="s">
        <v>13858</v>
      </c>
      <c r="S12756" s="10" t="s">
        <v>53</v>
      </c>
      <c r="T12756" s="10" t="s">
        <v>1166</v>
      </c>
    </row>
    <row r="12757" spans="1:20" ht="14.5" x14ac:dyDescent="0.35">
      <c r="A12757" s="10" t="s">
        <v>53659</v>
      </c>
      <c r="B12757" s="10" t="str">
        <f>""</f>
        <v/>
      </c>
      <c r="C12757" s="10" t="str">
        <f>"9780814100134"</f>
        <v>9780814100134</v>
      </c>
      <c r="D12757" s="10" t="s">
        <v>9533</v>
      </c>
      <c r="E12757" s="10" t="s">
        <v>53642</v>
      </c>
      <c r="F12757" s="10" t="s">
        <v>25348</v>
      </c>
      <c r="G12757" s="10" t="s">
        <v>6317</v>
      </c>
      <c r="H12757" s="11">
        <v>44249</v>
      </c>
      <c r="I12757" s="10">
        <v>2022</v>
      </c>
      <c r="J12757" s="10" t="s">
        <v>53642</v>
      </c>
      <c r="K12757" s="10">
        <v>238</v>
      </c>
      <c r="L12757" s="10" t="s">
        <v>53660</v>
      </c>
      <c r="M12757" s="10">
        <v>1</v>
      </c>
      <c r="N12757" s="10"/>
      <c r="O12757" s="10"/>
      <c r="P12757" s="10" t="s">
        <v>53661</v>
      </c>
      <c r="Q12757" s="10">
        <v>810.80354999999895</v>
      </c>
      <c r="R12757" s="10" t="s">
        <v>44445</v>
      </c>
      <c r="S12757" s="10" t="s">
        <v>53</v>
      </c>
      <c r="T12757" s="10" t="s">
        <v>1166</v>
      </c>
    </row>
    <row r="12758" spans="1:20" ht="14.5" x14ac:dyDescent="0.35">
      <c r="A12758" s="10" t="s">
        <v>53662</v>
      </c>
      <c r="B12758" s="10" t="str">
        <f>""</f>
        <v/>
      </c>
      <c r="C12758" s="10" t="str">
        <f>"9780814100295"</f>
        <v>9780814100295</v>
      </c>
      <c r="D12758" s="10" t="s">
        <v>9533</v>
      </c>
      <c r="E12758" s="10" t="s">
        <v>53642</v>
      </c>
      <c r="F12758" s="10" t="s">
        <v>25348</v>
      </c>
      <c r="G12758" s="10" t="s">
        <v>6317</v>
      </c>
      <c r="H12758" s="11">
        <v>43772</v>
      </c>
      <c r="I12758" s="10">
        <v>2022</v>
      </c>
      <c r="J12758" s="10" t="s">
        <v>53642</v>
      </c>
      <c r="K12758" s="10">
        <v>151</v>
      </c>
      <c r="L12758" s="10" t="s">
        <v>53663</v>
      </c>
      <c r="M12758" s="10">
        <v>1</v>
      </c>
      <c r="N12758" s="10" t="s">
        <v>53664</v>
      </c>
      <c r="O12758" s="10"/>
      <c r="P12758" s="10" t="s">
        <v>53665</v>
      </c>
      <c r="Q12758" s="10">
        <v>810.80354999999997</v>
      </c>
      <c r="R12758" s="10" t="s">
        <v>12345</v>
      </c>
      <c r="S12758" s="10" t="s">
        <v>53</v>
      </c>
      <c r="T12758" s="10" t="s">
        <v>1166</v>
      </c>
    </row>
    <row r="12759" spans="1:20" ht="14.5" x14ac:dyDescent="0.35">
      <c r="A12759" s="10" t="s">
        <v>53666</v>
      </c>
      <c r="B12759" s="10" t="str">
        <f>"9780470753972"</f>
        <v>9780470753972</v>
      </c>
      <c r="C12759" s="10" t="str">
        <f>"9780470744642"</f>
        <v>9780470744642</v>
      </c>
      <c r="D12759" s="10" t="s">
        <v>6322</v>
      </c>
      <c r="E12759" s="10" t="s">
        <v>6323</v>
      </c>
      <c r="F12759" s="10" t="s">
        <v>4423</v>
      </c>
      <c r="G12759" s="10" t="s">
        <v>6317</v>
      </c>
      <c r="H12759" s="11">
        <v>40007</v>
      </c>
      <c r="I12759" s="10">
        <v>2009</v>
      </c>
      <c r="J12759" s="10" t="s">
        <v>8436</v>
      </c>
      <c r="K12759" s="10">
        <v>329</v>
      </c>
      <c r="L12759" s="10" t="s">
        <v>6606</v>
      </c>
      <c r="M12759" s="10">
        <v>1</v>
      </c>
      <c r="N12759" s="10" t="s">
        <v>53667</v>
      </c>
      <c r="O12759" s="10"/>
      <c r="P12759" s="10" t="s">
        <v>53668</v>
      </c>
      <c r="Q12759" s="10">
        <v>371.9</v>
      </c>
      <c r="R12759" s="10" t="s">
        <v>53669</v>
      </c>
      <c r="S12759" s="10" t="s">
        <v>53</v>
      </c>
      <c r="T12759" s="10" t="s">
        <v>54</v>
      </c>
    </row>
    <row r="12760" spans="1:20" ht="14.5" x14ac:dyDescent="0.35">
      <c r="A12760" s="10" t="s">
        <v>53670</v>
      </c>
      <c r="B12760" s="10" t="str">
        <f>"9781405157599"</f>
        <v>9781405157599</v>
      </c>
      <c r="C12760" s="10" t="str">
        <f>"9780470752913"</f>
        <v>9780470752913</v>
      </c>
      <c r="D12760" s="10" t="s">
        <v>6322</v>
      </c>
      <c r="E12760" s="10" t="s">
        <v>6323</v>
      </c>
      <c r="F12760" s="10" t="s">
        <v>4423</v>
      </c>
      <c r="G12760" s="10" t="s">
        <v>6317</v>
      </c>
      <c r="H12760" s="11">
        <v>39140</v>
      </c>
      <c r="I12760" s="10">
        <v>2008</v>
      </c>
      <c r="J12760" s="10" t="s">
        <v>8436</v>
      </c>
      <c r="K12760" s="10">
        <v>682</v>
      </c>
      <c r="L12760" s="10" t="s">
        <v>53671</v>
      </c>
      <c r="M12760" s="10">
        <v>1</v>
      </c>
      <c r="N12760" s="10" t="s">
        <v>53667</v>
      </c>
      <c r="O12760" s="10"/>
      <c r="P12760" s="10" t="s">
        <v>53672</v>
      </c>
      <c r="Q12760" s="10" t="s">
        <v>13351</v>
      </c>
      <c r="R12760" s="10" t="s">
        <v>53673</v>
      </c>
      <c r="S12760" s="10" t="s">
        <v>53</v>
      </c>
      <c r="T12760" s="10" t="s">
        <v>483</v>
      </c>
    </row>
    <row r="12761" spans="1:20" ht="14.5" x14ac:dyDescent="0.35">
      <c r="A12761" s="10" t="s">
        <v>53674</v>
      </c>
      <c r="B12761" s="10" t="str">
        <f>"9780471667322"</f>
        <v>9780471667322</v>
      </c>
      <c r="C12761" s="10" t="str">
        <f>"9780471721710"</f>
        <v>9780471721710</v>
      </c>
      <c r="D12761" s="10" t="s">
        <v>6322</v>
      </c>
      <c r="E12761" s="10" t="s">
        <v>6323</v>
      </c>
      <c r="F12761" s="10" t="s">
        <v>4423</v>
      </c>
      <c r="G12761" s="10" t="s">
        <v>6317</v>
      </c>
      <c r="H12761" s="11">
        <v>38422</v>
      </c>
      <c r="I12761" s="10">
        <v>2005</v>
      </c>
      <c r="J12761" s="10" t="s">
        <v>8436</v>
      </c>
      <c r="K12761" s="10">
        <v>348</v>
      </c>
      <c r="L12761" s="10" t="s">
        <v>53675</v>
      </c>
      <c r="M12761" s="10">
        <v>1</v>
      </c>
      <c r="N12761" s="10" t="s">
        <v>53667</v>
      </c>
      <c r="O12761" s="10"/>
      <c r="P12761" s="10" t="s">
        <v>53676</v>
      </c>
      <c r="Q12761" s="10" t="s">
        <v>53677</v>
      </c>
      <c r="R12761" s="10" t="s">
        <v>53678</v>
      </c>
      <c r="S12761" s="10" t="s">
        <v>53</v>
      </c>
      <c r="T12761" s="10" t="s">
        <v>8510</v>
      </c>
    </row>
    <row r="12762" spans="1:20" ht="14.5" x14ac:dyDescent="0.35">
      <c r="A12762" s="10" t="s">
        <v>53679</v>
      </c>
      <c r="B12762" s="10" t="str">
        <f>"9780471679912"</f>
        <v>9780471679912</v>
      </c>
      <c r="C12762" s="10" t="str">
        <f>"9780471734659"</f>
        <v>9780471734659</v>
      </c>
      <c r="D12762" s="10" t="s">
        <v>6322</v>
      </c>
      <c r="E12762" s="10" t="s">
        <v>6323</v>
      </c>
      <c r="F12762" s="10" t="s">
        <v>4423</v>
      </c>
      <c r="G12762" s="10" t="s">
        <v>6317</v>
      </c>
      <c r="H12762" s="11">
        <v>38470</v>
      </c>
      <c r="I12762" s="10">
        <v>2005</v>
      </c>
      <c r="J12762" s="10" t="s">
        <v>8436</v>
      </c>
      <c r="K12762" s="10">
        <v>590</v>
      </c>
      <c r="L12762" s="10" t="s">
        <v>53680</v>
      </c>
      <c r="M12762" s="10">
        <v>1</v>
      </c>
      <c r="N12762" s="10" t="s">
        <v>53667</v>
      </c>
      <c r="O12762" s="10"/>
      <c r="P12762" s="10" t="s">
        <v>53681</v>
      </c>
      <c r="Q12762" s="10" t="s">
        <v>53682</v>
      </c>
      <c r="R12762" s="10" t="s">
        <v>53683</v>
      </c>
      <c r="S12762" s="10" t="s">
        <v>53</v>
      </c>
      <c r="T12762" s="10" t="s">
        <v>8681</v>
      </c>
    </row>
    <row r="12763" spans="1:20" ht="14.5" x14ac:dyDescent="0.35">
      <c r="A12763" s="10" t="s">
        <v>53684</v>
      </c>
      <c r="B12763" s="10" t="str">
        <f>"9780470874219"</f>
        <v>9780470874219</v>
      </c>
      <c r="C12763" s="10" t="str">
        <f>"9781118122730"</f>
        <v>9781118122730</v>
      </c>
      <c r="D12763" s="10" t="s">
        <v>6322</v>
      </c>
      <c r="E12763" s="10" t="s">
        <v>6323</v>
      </c>
      <c r="F12763" s="10" t="s">
        <v>4423</v>
      </c>
      <c r="G12763" s="10" t="s">
        <v>6317</v>
      </c>
      <c r="H12763" s="11">
        <v>40946</v>
      </c>
      <c r="I12763" s="10">
        <v>2012</v>
      </c>
      <c r="J12763" s="10" t="s">
        <v>6323</v>
      </c>
      <c r="K12763" s="10">
        <v>226</v>
      </c>
      <c r="L12763" s="10" t="s">
        <v>53685</v>
      </c>
      <c r="M12763" s="10">
        <v>1</v>
      </c>
      <c r="N12763" s="10"/>
      <c r="O12763" s="10"/>
      <c r="P12763" s="10"/>
      <c r="Q12763" s="10"/>
      <c r="R12763" s="10" t="s">
        <v>53686</v>
      </c>
      <c r="S12763" s="10" t="s">
        <v>53</v>
      </c>
      <c r="T12763" s="10" t="s">
        <v>53687</v>
      </c>
    </row>
    <row r="12764" spans="1:20" ht="14.5" x14ac:dyDescent="0.35">
      <c r="A12764" s="10" t="s">
        <v>53688</v>
      </c>
      <c r="B12764" s="10" t="str">
        <f>"9781118176917"</f>
        <v>9781118176917</v>
      </c>
      <c r="C12764" s="10" t="str">
        <f>"9781118240182"</f>
        <v>9781118240182</v>
      </c>
      <c r="D12764" s="10" t="s">
        <v>6322</v>
      </c>
      <c r="E12764" s="10" t="s">
        <v>6323</v>
      </c>
      <c r="F12764" s="10" t="s">
        <v>4423</v>
      </c>
      <c r="G12764" s="10" t="s">
        <v>6317</v>
      </c>
      <c r="H12764" s="11">
        <v>41142</v>
      </c>
      <c r="I12764" s="10">
        <v>2012</v>
      </c>
      <c r="J12764" s="10" t="s">
        <v>8436</v>
      </c>
      <c r="K12764" s="10">
        <v>312</v>
      </c>
      <c r="L12764" s="10" t="s">
        <v>53689</v>
      </c>
      <c r="M12764" s="10">
        <v>1</v>
      </c>
      <c r="N12764" s="10" t="s">
        <v>53667</v>
      </c>
      <c r="O12764" s="10"/>
      <c r="P12764" s="10" t="s">
        <v>53690</v>
      </c>
      <c r="Q12764" s="10">
        <v>361.3023</v>
      </c>
      <c r="R12764" s="10" t="s">
        <v>53691</v>
      </c>
      <c r="S12764" s="10" t="s">
        <v>53</v>
      </c>
      <c r="T12764" s="10" t="s">
        <v>6363</v>
      </c>
    </row>
    <row r="12765" spans="1:20" ht="14.5" x14ac:dyDescent="0.35">
      <c r="A12765" s="10" t="s">
        <v>53692</v>
      </c>
      <c r="B12765" s="10" t="str">
        <f>"9781118725894"</f>
        <v>9781118725894</v>
      </c>
      <c r="C12765" s="10" t="str">
        <f>"9781118315040"</f>
        <v>9781118315040</v>
      </c>
      <c r="D12765" s="10" t="s">
        <v>6322</v>
      </c>
      <c r="E12765" s="10" t="s">
        <v>6323</v>
      </c>
      <c r="F12765" s="10" t="s">
        <v>4423</v>
      </c>
      <c r="G12765" s="10" t="s">
        <v>6317</v>
      </c>
      <c r="H12765" s="11">
        <v>41639</v>
      </c>
      <c r="I12765" s="10">
        <v>2014</v>
      </c>
      <c r="J12765" s="10" t="s">
        <v>8436</v>
      </c>
      <c r="K12765" s="10">
        <v>387</v>
      </c>
      <c r="L12765" s="10" t="s">
        <v>53693</v>
      </c>
      <c r="M12765" s="10">
        <v>1</v>
      </c>
      <c r="N12765" s="10" t="s">
        <v>53667</v>
      </c>
      <c r="O12765" s="10"/>
      <c r="P12765" s="10" t="s">
        <v>53694</v>
      </c>
      <c r="Q12765" s="10">
        <v>370.15</v>
      </c>
      <c r="R12765" s="10" t="s">
        <v>53695</v>
      </c>
      <c r="S12765" s="10" t="s">
        <v>53</v>
      </c>
      <c r="T12765" s="10" t="s">
        <v>54</v>
      </c>
    </row>
    <row r="12766" spans="1:20" ht="14.5" x14ac:dyDescent="0.35">
      <c r="A12766" s="10" t="s">
        <v>53696</v>
      </c>
      <c r="B12766" s="10" t="str">
        <f>"9780470447673"</f>
        <v>9780470447673</v>
      </c>
      <c r="C12766" s="10" t="str">
        <f>"9781118418154"</f>
        <v>9781118418154</v>
      </c>
      <c r="D12766" s="10" t="s">
        <v>6322</v>
      </c>
      <c r="E12766" s="10" t="s">
        <v>6323</v>
      </c>
      <c r="F12766" s="10" t="s">
        <v>4423</v>
      </c>
      <c r="G12766" s="10" t="s">
        <v>6317</v>
      </c>
      <c r="H12766" s="11">
        <v>41918</v>
      </c>
      <c r="I12766" s="10">
        <v>2015</v>
      </c>
      <c r="J12766" s="10" t="s">
        <v>8436</v>
      </c>
      <c r="K12766" s="10">
        <v>332</v>
      </c>
      <c r="L12766" s="10" t="s">
        <v>53697</v>
      </c>
      <c r="M12766" s="10">
        <v>1</v>
      </c>
      <c r="N12766" s="10" t="s">
        <v>53667</v>
      </c>
      <c r="O12766" s="10">
        <v>29</v>
      </c>
      <c r="P12766" s="10" t="s">
        <v>53698</v>
      </c>
      <c r="Q12766" s="10" t="s">
        <v>7069</v>
      </c>
      <c r="R12766" s="10" t="s">
        <v>27179</v>
      </c>
      <c r="S12766" s="10" t="s">
        <v>53</v>
      </c>
      <c r="T12766" s="10" t="s">
        <v>54</v>
      </c>
    </row>
    <row r="12767" spans="1:20" ht="14.5" x14ac:dyDescent="0.35">
      <c r="A12767" s="10" t="s">
        <v>53699</v>
      </c>
      <c r="B12767" s="10" t="str">
        <f>"9781118133033"</f>
        <v>9781118133033</v>
      </c>
      <c r="C12767" s="10" t="str">
        <f>"9781118419250"</f>
        <v>9781118419250</v>
      </c>
      <c r="D12767" s="10" t="s">
        <v>6322</v>
      </c>
      <c r="E12767" s="10" t="s">
        <v>6323</v>
      </c>
      <c r="F12767" s="10" t="s">
        <v>4423</v>
      </c>
      <c r="G12767" s="10" t="s">
        <v>6317</v>
      </c>
      <c r="H12767" s="11">
        <v>41582</v>
      </c>
      <c r="I12767" s="10">
        <v>2013</v>
      </c>
      <c r="J12767" s="10" t="s">
        <v>8436</v>
      </c>
      <c r="K12767" s="10">
        <v>210</v>
      </c>
      <c r="L12767" s="10" t="s">
        <v>53700</v>
      </c>
      <c r="M12767" s="10">
        <v>1</v>
      </c>
      <c r="N12767" s="10" t="s">
        <v>53667</v>
      </c>
      <c r="O12767" s="10"/>
      <c r="P12767" s="10" t="s">
        <v>53701</v>
      </c>
      <c r="Q12767" s="10">
        <v>808.06637799999896</v>
      </c>
      <c r="R12767" s="10" t="s">
        <v>53702</v>
      </c>
      <c r="S12767" s="10" t="s">
        <v>53</v>
      </c>
      <c r="T12767" s="10" t="s">
        <v>6568</v>
      </c>
    </row>
    <row r="12768" spans="1:20" ht="14.5" x14ac:dyDescent="0.35">
      <c r="A12768" s="10" t="s">
        <v>53703</v>
      </c>
      <c r="B12768" s="10" t="str">
        <f>"9781118345825"</f>
        <v>9781118345825</v>
      </c>
      <c r="C12768" s="10" t="str">
        <f>"9781118450215"</f>
        <v>9781118450215</v>
      </c>
      <c r="D12768" s="10" t="s">
        <v>6322</v>
      </c>
      <c r="E12768" s="10" t="s">
        <v>6323</v>
      </c>
      <c r="F12768" s="10" t="s">
        <v>4423</v>
      </c>
      <c r="G12768" s="10" t="s">
        <v>6317</v>
      </c>
      <c r="H12768" s="11">
        <v>41624</v>
      </c>
      <c r="I12768" s="10">
        <v>2014</v>
      </c>
      <c r="J12768" s="10" t="s">
        <v>8436</v>
      </c>
      <c r="K12768" s="10">
        <v>226</v>
      </c>
      <c r="L12768" s="10" t="s">
        <v>53704</v>
      </c>
      <c r="M12768" s="10">
        <v>1</v>
      </c>
      <c r="N12768" s="10" t="s">
        <v>53667</v>
      </c>
      <c r="O12768" s="10"/>
      <c r="P12768" s="10" t="s">
        <v>53705</v>
      </c>
      <c r="Q12768" s="10" t="s">
        <v>7069</v>
      </c>
      <c r="R12768" s="10" t="s">
        <v>53706</v>
      </c>
      <c r="S12768" s="10" t="s">
        <v>53</v>
      </c>
      <c r="T12768" s="10" t="s">
        <v>54</v>
      </c>
    </row>
    <row r="12769" spans="1:20" ht="14.5" x14ac:dyDescent="0.35">
      <c r="A12769" s="10" t="s">
        <v>53707</v>
      </c>
      <c r="B12769" s="10" t="str">
        <f>"9781118510087"</f>
        <v>9781118510087</v>
      </c>
      <c r="C12769" s="10" t="str">
        <f>"9781118510285"</f>
        <v>9781118510285</v>
      </c>
      <c r="D12769" s="10" t="s">
        <v>6322</v>
      </c>
      <c r="E12769" s="10" t="s">
        <v>6323</v>
      </c>
      <c r="F12769" s="10" t="s">
        <v>4423</v>
      </c>
      <c r="G12769" s="10" t="s">
        <v>6317</v>
      </c>
      <c r="H12769" s="11">
        <v>41771</v>
      </c>
      <c r="I12769" s="10">
        <v>2013</v>
      </c>
      <c r="J12769" s="10" t="s">
        <v>8436</v>
      </c>
      <c r="K12769" s="10">
        <v>267</v>
      </c>
      <c r="L12769" s="10" t="s">
        <v>53708</v>
      </c>
      <c r="M12769" s="10">
        <v>1</v>
      </c>
      <c r="N12769" s="10" t="s">
        <v>53667</v>
      </c>
      <c r="O12769" s="10"/>
      <c r="P12769" s="10" t="s">
        <v>53709</v>
      </c>
      <c r="Q12769" s="10">
        <v>372.13</v>
      </c>
      <c r="R12769" s="10" t="s">
        <v>53710</v>
      </c>
      <c r="S12769" s="10" t="s">
        <v>53</v>
      </c>
      <c r="T12769" s="10" t="s">
        <v>54</v>
      </c>
    </row>
    <row r="12770" spans="1:20" ht="14.5" x14ac:dyDescent="0.35">
      <c r="A12770" s="10" t="s">
        <v>53711</v>
      </c>
      <c r="B12770" s="10" t="str">
        <f>"9780470659335"</f>
        <v>9780470659335</v>
      </c>
      <c r="C12770" s="10" t="str">
        <f>"9781118541999"</f>
        <v>9781118541999</v>
      </c>
      <c r="D12770" s="10" t="s">
        <v>6322</v>
      </c>
      <c r="E12770" s="10" t="s">
        <v>6323</v>
      </c>
      <c r="F12770" s="10" t="s">
        <v>4423</v>
      </c>
      <c r="G12770" s="10" t="s">
        <v>6317</v>
      </c>
      <c r="H12770" s="11">
        <v>41527</v>
      </c>
      <c r="I12770" s="10">
        <v>2014</v>
      </c>
      <c r="J12770" s="10" t="s">
        <v>8436</v>
      </c>
      <c r="K12770" s="10">
        <v>544</v>
      </c>
      <c r="L12770" s="10" t="s">
        <v>53712</v>
      </c>
      <c r="M12770" s="10">
        <v>1</v>
      </c>
      <c r="N12770" s="10" t="s">
        <v>53667</v>
      </c>
      <c r="O12770" s="10"/>
      <c r="P12770" s="10" t="s">
        <v>53713</v>
      </c>
      <c r="Q12770" s="10">
        <v>373.18970000000002</v>
      </c>
      <c r="R12770" s="10" t="s">
        <v>53714</v>
      </c>
      <c r="S12770" s="10" t="s">
        <v>53</v>
      </c>
      <c r="T12770" s="10" t="s">
        <v>54</v>
      </c>
    </row>
    <row r="12771" spans="1:20" ht="14.5" x14ac:dyDescent="0.35">
      <c r="A12771" s="10" t="s">
        <v>53715</v>
      </c>
      <c r="B12771" s="10" t="str">
        <f>"9781118588734"</f>
        <v>9781118588734</v>
      </c>
      <c r="C12771" s="10" t="str">
        <f>"9781118603796"</f>
        <v>9781118603796</v>
      </c>
      <c r="D12771" s="10" t="s">
        <v>6322</v>
      </c>
      <c r="E12771" s="10" t="s">
        <v>6323</v>
      </c>
      <c r="F12771" s="10" t="s">
        <v>4423</v>
      </c>
      <c r="G12771" s="10" t="s">
        <v>6317</v>
      </c>
      <c r="H12771" s="11">
        <v>42016</v>
      </c>
      <c r="I12771" s="10">
        <v>2015</v>
      </c>
      <c r="J12771" s="10" t="s">
        <v>8436</v>
      </c>
      <c r="K12771" s="10">
        <v>339</v>
      </c>
      <c r="L12771" s="10" t="s">
        <v>53716</v>
      </c>
      <c r="M12771" s="10">
        <v>1</v>
      </c>
      <c r="N12771" s="10" t="s">
        <v>53667</v>
      </c>
      <c r="O12771" s="10"/>
      <c r="P12771" s="10" t="s">
        <v>53717</v>
      </c>
      <c r="Q12771" s="10" t="s">
        <v>7299</v>
      </c>
      <c r="R12771" s="10" t="s">
        <v>53718</v>
      </c>
      <c r="S12771" s="10" t="s">
        <v>53</v>
      </c>
      <c r="T12771" s="10" t="s">
        <v>54</v>
      </c>
    </row>
    <row r="12772" spans="1:20" ht="14.5" x14ac:dyDescent="0.35">
      <c r="A12772" s="10" t="s">
        <v>53719</v>
      </c>
      <c r="B12772" s="10" t="str">
        <f>"9780470889459"</f>
        <v>9780470889459</v>
      </c>
      <c r="C12772" s="10" t="str">
        <f>"9781118627280"</f>
        <v>9781118627280</v>
      </c>
      <c r="D12772" s="10" t="s">
        <v>6322</v>
      </c>
      <c r="E12772" s="10" t="s">
        <v>6323</v>
      </c>
      <c r="F12772" s="10" t="s">
        <v>4423</v>
      </c>
      <c r="G12772" s="10" t="s">
        <v>6317</v>
      </c>
      <c r="H12772" s="11">
        <v>40799</v>
      </c>
      <c r="I12772" s="10">
        <v>2011</v>
      </c>
      <c r="J12772" s="10" t="s">
        <v>8436</v>
      </c>
      <c r="K12772" s="10">
        <v>552</v>
      </c>
      <c r="L12772" s="10" t="s">
        <v>53720</v>
      </c>
      <c r="M12772" s="10">
        <v>1</v>
      </c>
      <c r="N12772" s="10" t="s">
        <v>53667</v>
      </c>
      <c r="O12772" s="10"/>
      <c r="P12772" s="10" t="s">
        <v>53721</v>
      </c>
      <c r="Q12772" s="10">
        <v>300.72699999999901</v>
      </c>
      <c r="R12772" s="10" t="s">
        <v>53722</v>
      </c>
      <c r="S12772" s="10" t="s">
        <v>53</v>
      </c>
      <c r="T12772" s="10" t="s">
        <v>6472</v>
      </c>
    </row>
    <row r="12773" spans="1:20" ht="14.5" x14ac:dyDescent="0.35">
      <c r="A12773" s="10" t="s">
        <v>53723</v>
      </c>
      <c r="B12773" s="10" t="str">
        <f>"9781118723883"</f>
        <v>9781118723883</v>
      </c>
      <c r="C12773" s="10" t="str">
        <f>"9781118723814"</f>
        <v>9781118723814</v>
      </c>
      <c r="D12773" s="10" t="s">
        <v>6322</v>
      </c>
      <c r="E12773" s="10" t="s">
        <v>6323</v>
      </c>
      <c r="F12773" s="10" t="s">
        <v>4423</v>
      </c>
      <c r="G12773" s="10" t="s">
        <v>6317</v>
      </c>
      <c r="H12773" s="11">
        <v>42842</v>
      </c>
      <c r="I12773" s="10">
        <v>2015</v>
      </c>
      <c r="J12773" s="10" t="s">
        <v>8436</v>
      </c>
      <c r="K12773" s="10">
        <v>122</v>
      </c>
      <c r="L12773" s="10" t="s">
        <v>53724</v>
      </c>
      <c r="M12773" s="10">
        <v>1</v>
      </c>
      <c r="N12773" s="10" t="s">
        <v>53667</v>
      </c>
      <c r="O12773" s="10"/>
      <c r="P12773" s="10" t="s">
        <v>53725</v>
      </c>
      <c r="Q12773" s="10">
        <v>610.71</v>
      </c>
      <c r="R12773" s="10" t="s">
        <v>53726</v>
      </c>
      <c r="S12773" s="10" t="s">
        <v>53</v>
      </c>
      <c r="T12773" s="10" t="s">
        <v>8625</v>
      </c>
    </row>
    <row r="12774" spans="1:20" ht="14.5" x14ac:dyDescent="0.35">
      <c r="A12774" s="10" t="s">
        <v>53727</v>
      </c>
      <c r="B12774" s="10" t="str">
        <f>"9781118483619"</f>
        <v>9781118483619</v>
      </c>
      <c r="C12774" s="10" t="str">
        <f>"9781118728086"</f>
        <v>9781118728086</v>
      </c>
      <c r="D12774" s="10" t="s">
        <v>6322</v>
      </c>
      <c r="E12774" s="10" t="s">
        <v>6323</v>
      </c>
      <c r="F12774" s="10" t="s">
        <v>4423</v>
      </c>
      <c r="G12774" s="10" t="s">
        <v>6317</v>
      </c>
      <c r="H12774" s="11">
        <v>41771</v>
      </c>
      <c r="I12774" s="10">
        <v>2014</v>
      </c>
      <c r="J12774" s="10" t="s">
        <v>8436</v>
      </c>
      <c r="K12774" s="10">
        <v>381</v>
      </c>
      <c r="L12774" s="10" t="s">
        <v>53728</v>
      </c>
      <c r="M12774" s="10">
        <v>1</v>
      </c>
      <c r="N12774" s="10" t="s">
        <v>53667</v>
      </c>
      <c r="O12774" s="10"/>
      <c r="P12774" s="10" t="s">
        <v>53729</v>
      </c>
      <c r="Q12774" s="10" t="s">
        <v>6942</v>
      </c>
      <c r="R12774" s="10" t="s">
        <v>53730</v>
      </c>
      <c r="S12774" s="10" t="s">
        <v>53</v>
      </c>
      <c r="T12774" s="10" t="s">
        <v>54</v>
      </c>
    </row>
    <row r="12775" spans="1:20" ht="14.5" x14ac:dyDescent="0.35">
      <c r="A12775" s="10" t="s">
        <v>53731</v>
      </c>
      <c r="B12775" s="10" t="str">
        <f>"9780470674291"</f>
        <v>9780470674291</v>
      </c>
      <c r="C12775" s="10" t="str">
        <f>"9781118885901"</f>
        <v>9781118885901</v>
      </c>
      <c r="D12775" s="10" t="s">
        <v>6322</v>
      </c>
      <c r="E12775" s="10" t="s">
        <v>6323</v>
      </c>
      <c r="F12775" s="10" t="s">
        <v>4423</v>
      </c>
      <c r="G12775" s="10" t="s">
        <v>6317</v>
      </c>
      <c r="H12775" s="11">
        <v>41932</v>
      </c>
      <c r="I12775" s="10">
        <v>2015</v>
      </c>
      <c r="J12775" s="10" t="s">
        <v>8436</v>
      </c>
      <c r="K12775" s="10">
        <v>557</v>
      </c>
      <c r="L12775" s="10" t="s">
        <v>53732</v>
      </c>
      <c r="M12775" s="10">
        <v>1</v>
      </c>
      <c r="N12775" s="10" t="s">
        <v>53667</v>
      </c>
      <c r="O12775" s="10"/>
      <c r="P12775" s="10" t="s">
        <v>53733</v>
      </c>
      <c r="Q12775" s="10">
        <v>372.6</v>
      </c>
      <c r="R12775" s="10" t="s">
        <v>53734</v>
      </c>
      <c r="S12775" s="10" t="s">
        <v>53</v>
      </c>
      <c r="T12775" s="10" t="s">
        <v>54</v>
      </c>
    </row>
    <row r="12776" spans="1:20" ht="14.5" x14ac:dyDescent="0.35">
      <c r="A12776" s="10" t="s">
        <v>53735</v>
      </c>
      <c r="B12776" s="10" t="str">
        <f>"9780631208600"</f>
        <v>9780631208600</v>
      </c>
      <c r="C12776" s="10" t="str">
        <f>"9781118897577"</f>
        <v>9781118897577</v>
      </c>
      <c r="D12776" s="10" t="s">
        <v>6322</v>
      </c>
      <c r="E12776" s="10" t="s">
        <v>6323</v>
      </c>
      <c r="F12776" s="10" t="s">
        <v>4423</v>
      </c>
      <c r="G12776" s="10" t="s">
        <v>6317</v>
      </c>
      <c r="H12776" s="11">
        <v>42051</v>
      </c>
      <c r="I12776" s="10">
        <v>2015</v>
      </c>
      <c r="J12776" s="10" t="s">
        <v>8436</v>
      </c>
      <c r="K12776" s="10">
        <v>229</v>
      </c>
      <c r="L12776" s="10" t="s">
        <v>53736</v>
      </c>
      <c r="M12776" s="10">
        <v>1</v>
      </c>
      <c r="N12776" s="10" t="s">
        <v>53667</v>
      </c>
      <c r="O12776" s="10"/>
      <c r="P12776" s="10" t="s">
        <v>53737</v>
      </c>
      <c r="Q12776" s="10" t="s">
        <v>11314</v>
      </c>
      <c r="R12776" s="10" t="s">
        <v>53738</v>
      </c>
      <c r="S12776" s="10" t="s">
        <v>53</v>
      </c>
      <c r="T12776" s="10" t="s">
        <v>54</v>
      </c>
    </row>
    <row r="12777" spans="1:20" ht="14.5" x14ac:dyDescent="0.35">
      <c r="A12777" s="10" t="s">
        <v>53739</v>
      </c>
      <c r="B12777" s="10" t="str">
        <f>"9781119104490"</f>
        <v>9781119104490</v>
      </c>
      <c r="C12777" s="10" t="str">
        <f>"9781118963944"</f>
        <v>9781118963944</v>
      </c>
      <c r="D12777" s="10" t="s">
        <v>6322</v>
      </c>
      <c r="E12777" s="10" t="s">
        <v>6323</v>
      </c>
      <c r="F12777" s="10" t="s">
        <v>4423</v>
      </c>
      <c r="G12777" s="10" t="s">
        <v>6317</v>
      </c>
      <c r="H12777" s="11">
        <v>42395</v>
      </c>
      <c r="I12777" s="10">
        <v>2016</v>
      </c>
      <c r="J12777" s="10" t="s">
        <v>8436</v>
      </c>
      <c r="K12777" s="10">
        <v>284</v>
      </c>
      <c r="L12777" s="10" t="s">
        <v>53740</v>
      </c>
      <c r="M12777" s="10">
        <v>1</v>
      </c>
      <c r="N12777" s="10" t="s">
        <v>53667</v>
      </c>
      <c r="O12777" s="10"/>
      <c r="P12777" s="10" t="s">
        <v>53741</v>
      </c>
      <c r="Q12777" s="10">
        <v>808.02</v>
      </c>
      <c r="R12777" s="10" t="s">
        <v>53742</v>
      </c>
      <c r="S12777" s="10" t="s">
        <v>53</v>
      </c>
      <c r="T12777" s="10" t="s">
        <v>10454</v>
      </c>
    </row>
    <row r="12778" spans="1:20" ht="14.5" x14ac:dyDescent="0.35">
      <c r="A12778" s="10" t="s">
        <v>53743</v>
      </c>
      <c r="B12778" s="10" t="str">
        <f>"9781118975947"</f>
        <v>9781118975947</v>
      </c>
      <c r="C12778" s="10" t="str">
        <f>"9781118977590"</f>
        <v>9781118977590</v>
      </c>
      <c r="D12778" s="10" t="s">
        <v>6322</v>
      </c>
      <c r="E12778" s="10" t="s">
        <v>6323</v>
      </c>
      <c r="F12778" s="10" t="s">
        <v>4423</v>
      </c>
      <c r="G12778" s="10" t="s">
        <v>6317</v>
      </c>
      <c r="H12778" s="11">
        <v>42731</v>
      </c>
      <c r="I12778" s="10">
        <v>2017</v>
      </c>
      <c r="J12778" s="10" t="s">
        <v>8436</v>
      </c>
      <c r="K12778" s="10">
        <v>288</v>
      </c>
      <c r="L12778" s="10" t="s">
        <v>53744</v>
      </c>
      <c r="M12778" s="10">
        <v>1</v>
      </c>
      <c r="N12778" s="10" t="s">
        <v>53667</v>
      </c>
      <c r="O12778" s="10"/>
      <c r="P12778" s="10" t="s">
        <v>53745</v>
      </c>
      <c r="Q12778" s="10">
        <v>370.15</v>
      </c>
      <c r="R12778" s="10" t="s">
        <v>53746</v>
      </c>
      <c r="S12778" s="10" t="s">
        <v>53</v>
      </c>
      <c r="T12778" s="10" t="s">
        <v>54</v>
      </c>
    </row>
    <row r="12779" spans="1:20" ht="14.5" x14ac:dyDescent="0.35">
      <c r="A12779" s="10" t="s">
        <v>53747</v>
      </c>
      <c r="B12779" s="10" t="str">
        <f>"9781118980040"</f>
        <v>9781118980040</v>
      </c>
      <c r="C12779" s="10" t="str">
        <f>"9781118980118"</f>
        <v>9781118980118</v>
      </c>
      <c r="D12779" s="10" t="s">
        <v>6322</v>
      </c>
      <c r="E12779" s="10" t="s">
        <v>6323</v>
      </c>
      <c r="F12779" s="10" t="s">
        <v>4423</v>
      </c>
      <c r="G12779" s="10" t="s">
        <v>6317</v>
      </c>
      <c r="H12779" s="11">
        <v>42450</v>
      </c>
      <c r="I12779" s="10">
        <v>2016</v>
      </c>
      <c r="J12779" s="10" t="s">
        <v>8436</v>
      </c>
      <c r="K12779" s="10">
        <v>505</v>
      </c>
      <c r="L12779" s="10" t="s">
        <v>16596</v>
      </c>
      <c r="M12779" s="10">
        <v>1</v>
      </c>
      <c r="N12779" s="10" t="s">
        <v>53667</v>
      </c>
      <c r="O12779" s="10"/>
      <c r="P12779" s="10" t="s">
        <v>53748</v>
      </c>
      <c r="Q12779" s="10">
        <v>371.9144</v>
      </c>
      <c r="R12779" s="10" t="s">
        <v>53749</v>
      </c>
      <c r="S12779" s="10" t="s">
        <v>53</v>
      </c>
      <c r="T12779" s="10" t="s">
        <v>54</v>
      </c>
    </row>
    <row r="12780" spans="1:20" ht="14.5" x14ac:dyDescent="0.35">
      <c r="A12780" s="10" t="s">
        <v>53750</v>
      </c>
      <c r="B12780" s="10" t="str">
        <f>"9780470972366"</f>
        <v>9780470972366</v>
      </c>
      <c r="C12780" s="10" t="str">
        <f>"9781119950851"</f>
        <v>9781119950851</v>
      </c>
      <c r="D12780" s="10" t="s">
        <v>6322</v>
      </c>
      <c r="E12780" s="10" t="s">
        <v>6323</v>
      </c>
      <c r="F12780" s="10" t="s">
        <v>4423</v>
      </c>
      <c r="G12780" s="10" t="s">
        <v>6317</v>
      </c>
      <c r="H12780" s="11">
        <v>40833</v>
      </c>
      <c r="I12780" s="10">
        <v>2011</v>
      </c>
      <c r="J12780" s="10" t="s">
        <v>8436</v>
      </c>
      <c r="K12780" s="10">
        <v>243</v>
      </c>
      <c r="L12780" s="10" t="s">
        <v>53751</v>
      </c>
      <c r="M12780" s="10">
        <v>1</v>
      </c>
      <c r="N12780" s="10" t="s">
        <v>53667</v>
      </c>
      <c r="O12780" s="10"/>
      <c r="P12780" s="10" t="s">
        <v>53752</v>
      </c>
      <c r="Q12780" s="10">
        <v>370.72</v>
      </c>
      <c r="R12780" s="10" t="s">
        <v>53753</v>
      </c>
      <c r="S12780" s="10" t="s">
        <v>53</v>
      </c>
      <c r="T12780" s="10" t="s">
        <v>54</v>
      </c>
    </row>
    <row r="12781" spans="1:20" ht="14.5" x14ac:dyDescent="0.35">
      <c r="A12781" s="10" t="s">
        <v>53754</v>
      </c>
      <c r="B12781" s="10" t="str">
        <f>"9781405174022"</f>
        <v>9781405174022</v>
      </c>
      <c r="C12781" s="10" t="str">
        <f>"9781444305180"</f>
        <v>9781444305180</v>
      </c>
      <c r="D12781" s="10" t="s">
        <v>6322</v>
      </c>
      <c r="E12781" s="10" t="s">
        <v>6323</v>
      </c>
      <c r="F12781" s="10" t="s">
        <v>4423</v>
      </c>
      <c r="G12781" s="10" t="s">
        <v>6317</v>
      </c>
      <c r="H12781" s="11">
        <v>39713</v>
      </c>
      <c r="I12781" s="10">
        <v>2008</v>
      </c>
      <c r="J12781" s="10" t="s">
        <v>8436</v>
      </c>
      <c r="K12781" s="10">
        <v>320</v>
      </c>
      <c r="L12781" s="10" t="s">
        <v>53755</v>
      </c>
      <c r="M12781" s="10">
        <v>1</v>
      </c>
      <c r="N12781" s="10" t="s">
        <v>53667</v>
      </c>
      <c r="O12781" s="10"/>
      <c r="P12781" s="10" t="s">
        <v>53756</v>
      </c>
      <c r="Q12781" s="10"/>
      <c r="R12781" s="10" t="s">
        <v>53757</v>
      </c>
      <c r="S12781" s="10" t="s">
        <v>53</v>
      </c>
      <c r="T12781" s="10" t="s">
        <v>483</v>
      </c>
    </row>
    <row r="12782" spans="1:20" ht="14.5" x14ac:dyDescent="0.35">
      <c r="A12782" s="10" t="s">
        <v>53758</v>
      </c>
      <c r="B12782" s="10" t="str">
        <f>""</f>
        <v/>
      </c>
      <c r="C12782" s="10" t="str">
        <f>"9780814100608"</f>
        <v>9780814100608</v>
      </c>
      <c r="D12782" s="10" t="s">
        <v>9533</v>
      </c>
      <c r="E12782" s="10" t="s">
        <v>53642</v>
      </c>
      <c r="F12782" s="10" t="s">
        <v>25348</v>
      </c>
      <c r="G12782" s="10" t="s">
        <v>6317</v>
      </c>
      <c r="H12782" s="11">
        <v>43123</v>
      </c>
      <c r="I12782" s="10">
        <v>2018</v>
      </c>
      <c r="J12782" s="10" t="s">
        <v>53642</v>
      </c>
      <c r="K12782" s="10">
        <v>139</v>
      </c>
      <c r="L12782" s="10" t="s">
        <v>53759</v>
      </c>
      <c r="M12782" s="10">
        <v>1</v>
      </c>
      <c r="N12782" s="10" t="s">
        <v>53664</v>
      </c>
      <c r="O12782" s="10"/>
      <c r="P12782" s="10" t="s">
        <v>53760</v>
      </c>
      <c r="Q12782" s="10">
        <v>371.36</v>
      </c>
      <c r="R12782" s="10" t="s">
        <v>53761</v>
      </c>
      <c r="S12782" s="10" t="s">
        <v>53</v>
      </c>
      <c r="T12782" s="10" t="s">
        <v>54</v>
      </c>
    </row>
    <row r="12783" spans="1:20" ht="14.5" x14ac:dyDescent="0.35">
      <c r="A12783" s="10" t="s">
        <v>53762</v>
      </c>
      <c r="B12783" s="10" t="str">
        <f>"9781636072050"</f>
        <v>9781636072050</v>
      </c>
      <c r="C12783" s="10" t="str">
        <f>"9781636073507"</f>
        <v>9781636073507</v>
      </c>
      <c r="D12783" s="10" t="s">
        <v>9533</v>
      </c>
      <c r="E12783" s="10" t="s">
        <v>53763</v>
      </c>
      <c r="F12783" s="10" t="s">
        <v>25348</v>
      </c>
      <c r="G12783" s="10" t="s">
        <v>6317</v>
      </c>
      <c r="H12783" s="11">
        <v>44091</v>
      </c>
      <c r="I12783" s="10">
        <v>2022</v>
      </c>
      <c r="J12783" s="10" t="s">
        <v>53763</v>
      </c>
      <c r="K12783" s="10">
        <v>115</v>
      </c>
      <c r="L12783" s="10" t="s">
        <v>53764</v>
      </c>
      <c r="M12783" s="10">
        <v>1</v>
      </c>
      <c r="N12783" s="10"/>
      <c r="O12783" s="10"/>
      <c r="P12783" s="10" t="s">
        <v>53765</v>
      </c>
      <c r="Q12783" s="10">
        <v>418.00709999999901</v>
      </c>
      <c r="R12783" s="10" t="s">
        <v>53766</v>
      </c>
      <c r="S12783" s="10" t="s">
        <v>53</v>
      </c>
      <c r="T12783" s="10" t="s">
        <v>6616</v>
      </c>
    </row>
    <row r="12784" spans="1:20" ht="14.5" x14ac:dyDescent="0.35">
      <c r="A12784" s="10" t="s">
        <v>53767</v>
      </c>
      <c r="B12784" s="10" t="str">
        <f>""</f>
        <v/>
      </c>
      <c r="C12784" s="10" t="str">
        <f>"9780814132036"</f>
        <v>9780814132036</v>
      </c>
      <c r="D12784" s="10" t="s">
        <v>9533</v>
      </c>
      <c r="E12784" s="10" t="s">
        <v>53642</v>
      </c>
      <c r="F12784" s="10" t="s">
        <v>25348</v>
      </c>
      <c r="G12784" s="10" t="s">
        <v>6317</v>
      </c>
      <c r="H12784" s="11">
        <v>43412</v>
      </c>
      <c r="I12784" s="10">
        <v>2023</v>
      </c>
      <c r="J12784" s="10" t="s">
        <v>53642</v>
      </c>
      <c r="K12784" s="10">
        <v>237</v>
      </c>
      <c r="L12784" s="10" t="s">
        <v>53768</v>
      </c>
      <c r="M12784" s="10">
        <v>1</v>
      </c>
      <c r="N12784" s="10" t="s">
        <v>53769</v>
      </c>
      <c r="O12784" s="10">
        <v>29</v>
      </c>
      <c r="P12784" s="10" t="s">
        <v>53770</v>
      </c>
      <c r="Q12784" s="10">
        <v>302.22440284999902</v>
      </c>
      <c r="R12784" s="10" t="s">
        <v>53771</v>
      </c>
      <c r="S12784" s="10" t="s">
        <v>53</v>
      </c>
      <c r="T12784" s="10" t="s">
        <v>6526</v>
      </c>
    </row>
    <row r="12785" spans="1:20" ht="14.5" x14ac:dyDescent="0.35">
      <c r="A12785" s="10" t="s">
        <v>53772</v>
      </c>
      <c r="B12785" s="10" t="str">
        <f>""</f>
        <v/>
      </c>
      <c r="C12785" s="10" t="str">
        <f>"9780814151242"</f>
        <v>9780814151242</v>
      </c>
      <c r="D12785" s="10" t="s">
        <v>9533</v>
      </c>
      <c r="E12785" s="10" t="s">
        <v>53642</v>
      </c>
      <c r="F12785" s="10" t="s">
        <v>25348</v>
      </c>
      <c r="G12785" s="10" t="s">
        <v>6317</v>
      </c>
      <c r="H12785" s="11">
        <v>44733</v>
      </c>
      <c r="I12785" s="10">
        <v>2022</v>
      </c>
      <c r="J12785" s="10" t="s">
        <v>53642</v>
      </c>
      <c r="K12785" s="10">
        <v>228</v>
      </c>
      <c r="L12785" s="10" t="s">
        <v>53773</v>
      </c>
      <c r="M12785" s="10">
        <v>1</v>
      </c>
      <c r="N12785" s="10"/>
      <c r="O12785" s="10"/>
      <c r="P12785" s="10" t="s">
        <v>53774</v>
      </c>
      <c r="Q12785" s="10" t="s">
        <v>46167</v>
      </c>
      <c r="R12785" s="10" t="s">
        <v>53775</v>
      </c>
      <c r="S12785" s="10" t="s">
        <v>53</v>
      </c>
      <c r="T12785" s="10" t="s">
        <v>1166</v>
      </c>
    </row>
    <row r="12786" spans="1:20" ht="14.5" x14ac:dyDescent="0.35">
      <c r="A12786" s="10" t="s">
        <v>53776</v>
      </c>
      <c r="B12786" s="10" t="str">
        <f>""</f>
        <v/>
      </c>
      <c r="C12786" s="10" t="str">
        <f>"9780814100400"</f>
        <v>9780814100400</v>
      </c>
      <c r="D12786" s="10" t="s">
        <v>9533</v>
      </c>
      <c r="E12786" s="10" t="s">
        <v>53642</v>
      </c>
      <c r="F12786" s="10" t="s">
        <v>25348</v>
      </c>
      <c r="G12786" s="10" t="s">
        <v>6317</v>
      </c>
      <c r="H12786" s="11">
        <v>43523</v>
      </c>
      <c r="I12786" s="10">
        <v>2019</v>
      </c>
      <c r="J12786" s="10" t="s">
        <v>53642</v>
      </c>
      <c r="K12786" s="10">
        <v>134</v>
      </c>
      <c r="L12786" s="10" t="s">
        <v>53777</v>
      </c>
      <c r="M12786" s="10">
        <v>1</v>
      </c>
      <c r="N12786" s="10" t="s">
        <v>53664</v>
      </c>
      <c r="O12786" s="10"/>
      <c r="P12786" s="10" t="s">
        <v>53778</v>
      </c>
      <c r="Q12786" s="10">
        <v>370.11700000000002</v>
      </c>
      <c r="R12786" s="10" t="s">
        <v>7957</v>
      </c>
      <c r="S12786" s="10" t="s">
        <v>53</v>
      </c>
      <c r="T12786" s="10" t="s">
        <v>54</v>
      </c>
    </row>
    <row r="12787" spans="1:20" ht="14.5" x14ac:dyDescent="0.35">
      <c r="A12787" s="10" t="s">
        <v>53779</v>
      </c>
      <c r="B12787" s="10" t="str">
        <f>"9781911450085"</f>
        <v>9781911450085</v>
      </c>
      <c r="C12787" s="10" t="str">
        <f>"9781912969487"</f>
        <v>9781912969487</v>
      </c>
      <c r="D12787" s="10" t="s">
        <v>9533</v>
      </c>
      <c r="E12787" s="10" t="s">
        <v>53780</v>
      </c>
      <c r="F12787" s="10" t="s">
        <v>25348</v>
      </c>
      <c r="G12787" s="10" t="s">
        <v>6352</v>
      </c>
      <c r="H12787" s="11">
        <v>42766</v>
      </c>
      <c r="I12787" s="10">
        <v>2017</v>
      </c>
      <c r="J12787" s="10" t="s">
        <v>53780</v>
      </c>
      <c r="K12787" s="10">
        <v>444</v>
      </c>
      <c r="L12787" s="10" t="s">
        <v>53781</v>
      </c>
      <c r="M12787" s="10">
        <v>1</v>
      </c>
      <c r="N12787" s="10" t="s">
        <v>53782</v>
      </c>
      <c r="O12787" s="10"/>
      <c r="P12787" s="10" t="s">
        <v>53783</v>
      </c>
      <c r="Q12787" s="10">
        <v>378.125</v>
      </c>
      <c r="R12787" s="10" t="s">
        <v>53784</v>
      </c>
      <c r="S12787" s="10" t="s">
        <v>53</v>
      </c>
      <c r="T12787" s="10" t="s">
        <v>54</v>
      </c>
    </row>
    <row r="12788" spans="1:20" ht="14.5" x14ac:dyDescent="0.35">
      <c r="A12788" s="10" t="s">
        <v>53785</v>
      </c>
      <c r="B12788" s="10" t="str">
        <f>"9781911450153"</f>
        <v>9781911450153</v>
      </c>
      <c r="C12788" s="10" t="str">
        <f>"9781912969449"</f>
        <v>9781912969449</v>
      </c>
      <c r="D12788" s="10" t="s">
        <v>9533</v>
      </c>
      <c r="E12788" s="10" t="s">
        <v>53780</v>
      </c>
      <c r="F12788" s="10" t="s">
        <v>25348</v>
      </c>
      <c r="G12788" s="10" t="s">
        <v>6352</v>
      </c>
      <c r="H12788" s="11">
        <v>43039</v>
      </c>
      <c r="I12788" s="10">
        <v>2017</v>
      </c>
      <c r="J12788" s="10" t="s">
        <v>53780</v>
      </c>
      <c r="K12788" s="10">
        <v>320</v>
      </c>
      <c r="L12788" s="10" t="s">
        <v>53786</v>
      </c>
      <c r="M12788" s="10">
        <v>1</v>
      </c>
      <c r="N12788" s="10" t="s">
        <v>53782</v>
      </c>
      <c r="O12788" s="10"/>
      <c r="P12788" s="10" t="s">
        <v>53787</v>
      </c>
      <c r="Q12788" s="10">
        <v>375.00099999999998</v>
      </c>
      <c r="R12788" s="10" t="s">
        <v>53788</v>
      </c>
      <c r="S12788" s="10" t="s">
        <v>53</v>
      </c>
      <c r="T12788" s="10" t="s">
        <v>54</v>
      </c>
    </row>
    <row r="12789" spans="1:20" ht="14.5" x14ac:dyDescent="0.35">
      <c r="A12789" s="10" t="s">
        <v>53789</v>
      </c>
      <c r="B12789" s="10" t="str">
        <f>"9781911450122"</f>
        <v>9781911450122</v>
      </c>
      <c r="C12789" s="10" t="str">
        <f>"9781912969470"</f>
        <v>9781912969470</v>
      </c>
      <c r="D12789" s="10" t="s">
        <v>9533</v>
      </c>
      <c r="E12789" s="10" t="s">
        <v>53780</v>
      </c>
      <c r="F12789" s="10" t="s">
        <v>25348</v>
      </c>
      <c r="G12789" s="10" t="s">
        <v>6352</v>
      </c>
      <c r="H12789" s="11">
        <v>42916</v>
      </c>
      <c r="I12789" s="10">
        <v>2017</v>
      </c>
      <c r="J12789" s="10" t="s">
        <v>53780</v>
      </c>
      <c r="K12789" s="10">
        <v>306</v>
      </c>
      <c r="L12789" s="10" t="s">
        <v>53790</v>
      </c>
      <c r="M12789" s="10">
        <v>1</v>
      </c>
      <c r="N12789" s="10" t="s">
        <v>53782</v>
      </c>
      <c r="O12789" s="10"/>
      <c r="P12789" s="10" t="s">
        <v>53791</v>
      </c>
      <c r="Q12789" s="10">
        <v>338.04071099999999</v>
      </c>
      <c r="R12789" s="10" t="s">
        <v>53792</v>
      </c>
      <c r="S12789" s="10" t="s">
        <v>53</v>
      </c>
      <c r="T12789" s="10" t="s">
        <v>10311</v>
      </c>
    </row>
    <row r="12790" spans="1:20" ht="14.5" x14ac:dyDescent="0.35">
      <c r="A12790" s="10" t="s">
        <v>53793</v>
      </c>
      <c r="B12790" s="10" t="str">
        <f>"9781911450351"</f>
        <v>9781911450351</v>
      </c>
      <c r="C12790" s="10" t="str">
        <f>"9781912969456"</f>
        <v>9781912969456</v>
      </c>
      <c r="D12790" s="10" t="s">
        <v>9533</v>
      </c>
      <c r="E12790" s="10" t="s">
        <v>53780</v>
      </c>
      <c r="F12790" s="10" t="s">
        <v>25348</v>
      </c>
      <c r="G12790" s="10" t="s">
        <v>6352</v>
      </c>
      <c r="H12790" s="11">
        <v>43434</v>
      </c>
      <c r="I12790" s="10">
        <v>2018</v>
      </c>
      <c r="J12790" s="10" t="s">
        <v>53780</v>
      </c>
      <c r="K12790" s="10">
        <v>248</v>
      </c>
      <c r="L12790" s="10" t="s">
        <v>53794</v>
      </c>
      <c r="M12790" s="10">
        <v>1</v>
      </c>
      <c r="N12790" s="10" t="s">
        <v>53782</v>
      </c>
      <c r="O12790" s="10"/>
      <c r="P12790" s="10" t="s">
        <v>53795</v>
      </c>
      <c r="Q12790" s="10">
        <v>929.60500000000002</v>
      </c>
      <c r="R12790" s="10" t="s">
        <v>53796</v>
      </c>
      <c r="S12790" s="10" t="s">
        <v>53</v>
      </c>
      <c r="T12790" s="10" t="s">
        <v>8717</v>
      </c>
    </row>
    <row r="12791" spans="1:20" ht="14.5" x14ac:dyDescent="0.35">
      <c r="A12791" s="10" t="s">
        <v>53797</v>
      </c>
      <c r="B12791" s="10" t="str">
        <f>"9781909818125"</f>
        <v>9781909818125</v>
      </c>
      <c r="C12791" s="10" t="str">
        <f>"9781912969531"</f>
        <v>9781912969531</v>
      </c>
      <c r="D12791" s="10" t="s">
        <v>9533</v>
      </c>
      <c r="E12791" s="10" t="s">
        <v>53780</v>
      </c>
      <c r="F12791" s="10" t="s">
        <v>25348</v>
      </c>
      <c r="G12791" s="10" t="s">
        <v>6352</v>
      </c>
      <c r="H12791" s="11">
        <v>41639</v>
      </c>
      <c r="I12791" s="10">
        <v>2013</v>
      </c>
      <c r="J12791" s="10" t="s">
        <v>53780</v>
      </c>
      <c r="K12791" s="10">
        <v>280</v>
      </c>
      <c r="L12791" s="10" t="s">
        <v>53798</v>
      </c>
      <c r="M12791" s="10">
        <v>1</v>
      </c>
      <c r="N12791" s="10" t="s">
        <v>53782</v>
      </c>
      <c r="O12791" s="10"/>
      <c r="P12791" s="10" t="s">
        <v>53799</v>
      </c>
      <c r="Q12791" s="10">
        <v>378.12509729999999</v>
      </c>
      <c r="R12791" s="10" t="s">
        <v>53800</v>
      </c>
      <c r="S12791" s="10" t="s">
        <v>53</v>
      </c>
      <c r="T12791" s="10" t="s">
        <v>54</v>
      </c>
    </row>
    <row r="12792" spans="1:20" ht="14.5" x14ac:dyDescent="0.35">
      <c r="A12792" s="10" t="s">
        <v>53801</v>
      </c>
      <c r="B12792" s="10" t="str">
        <f>"9781909818613"</f>
        <v>9781909818613</v>
      </c>
      <c r="C12792" s="10" t="str">
        <f>"9781912969494"</f>
        <v>9781912969494</v>
      </c>
      <c r="D12792" s="10" t="s">
        <v>9533</v>
      </c>
      <c r="E12792" s="10" t="s">
        <v>53780</v>
      </c>
      <c r="F12792" s="10" t="s">
        <v>25348</v>
      </c>
      <c r="G12792" s="10" t="s">
        <v>6352</v>
      </c>
      <c r="H12792" s="11">
        <v>42155</v>
      </c>
      <c r="I12792" s="10">
        <v>2015</v>
      </c>
      <c r="J12792" s="10" t="s">
        <v>53780</v>
      </c>
      <c r="K12792" s="10">
        <v>264</v>
      </c>
      <c r="L12792" s="10" t="s">
        <v>53802</v>
      </c>
      <c r="M12792" s="10">
        <v>1</v>
      </c>
      <c r="N12792" s="10" t="s">
        <v>53782</v>
      </c>
      <c r="O12792" s="10"/>
      <c r="P12792" s="10" t="s">
        <v>53803</v>
      </c>
      <c r="Q12792" s="10">
        <v>378.17340000000002</v>
      </c>
      <c r="R12792" s="10" t="s">
        <v>53804</v>
      </c>
      <c r="S12792" s="10" t="s">
        <v>53</v>
      </c>
      <c r="T12792" s="10" t="s">
        <v>54</v>
      </c>
    </row>
    <row r="12793" spans="1:20" ht="14.5" x14ac:dyDescent="0.35">
      <c r="A12793" s="10" t="s">
        <v>53805</v>
      </c>
      <c r="B12793" s="10" t="str">
        <f>"9781620364598"</f>
        <v>9781620364598</v>
      </c>
      <c r="C12793" s="10" t="str">
        <f>"9781000978056"</f>
        <v>9781000978056</v>
      </c>
      <c r="D12793" s="10" t="s">
        <v>6350</v>
      </c>
      <c r="E12793" s="10" t="s">
        <v>6351</v>
      </c>
      <c r="F12793" s="10" t="s">
        <v>748</v>
      </c>
      <c r="G12793" s="10" t="s">
        <v>6352</v>
      </c>
      <c r="H12793" s="11">
        <v>42473</v>
      </c>
      <c r="I12793" s="10">
        <v>2016</v>
      </c>
      <c r="J12793" s="10" t="s">
        <v>6351</v>
      </c>
      <c r="K12793" s="10">
        <v>281</v>
      </c>
      <c r="L12793" s="10" t="s">
        <v>53806</v>
      </c>
      <c r="M12793" s="10">
        <v>1</v>
      </c>
      <c r="N12793" s="10"/>
      <c r="O12793" s="10"/>
      <c r="P12793" s="10" t="s">
        <v>53807</v>
      </c>
      <c r="Q12793" s="10">
        <v>371.68</v>
      </c>
      <c r="R12793" s="10" t="s">
        <v>53808</v>
      </c>
      <c r="S12793" s="10" t="s">
        <v>53</v>
      </c>
      <c r="T12793" s="10" t="s">
        <v>54</v>
      </c>
    </row>
    <row r="12794" spans="1:20" ht="14.5" x14ac:dyDescent="0.35">
      <c r="A12794" s="10" t="s">
        <v>53809</v>
      </c>
      <c r="B12794" s="10" t="str">
        <f>"9781620363393"</f>
        <v>9781620363393</v>
      </c>
      <c r="C12794" s="10" t="str">
        <f>"9781000976403"</f>
        <v>9781000976403</v>
      </c>
      <c r="D12794" s="10" t="s">
        <v>6350</v>
      </c>
      <c r="E12794" s="10" t="s">
        <v>6351</v>
      </c>
      <c r="F12794" s="10" t="s">
        <v>748</v>
      </c>
      <c r="G12794" s="10" t="s">
        <v>6352</v>
      </c>
      <c r="H12794" s="11">
        <v>42495</v>
      </c>
      <c r="I12794" s="10">
        <v>2016</v>
      </c>
      <c r="J12794" s="10" t="s">
        <v>6351</v>
      </c>
      <c r="K12794" s="10">
        <v>254</v>
      </c>
      <c r="L12794" s="10" t="s">
        <v>53810</v>
      </c>
      <c r="M12794" s="10">
        <v>1</v>
      </c>
      <c r="N12794" s="10"/>
      <c r="O12794" s="10"/>
      <c r="P12794" s="10" t="s">
        <v>53811</v>
      </c>
      <c r="Q12794" s="10" t="s">
        <v>7335</v>
      </c>
      <c r="R12794" s="10" t="s">
        <v>53812</v>
      </c>
      <c r="S12794" s="10" t="s">
        <v>53</v>
      </c>
      <c r="T12794" s="10" t="s">
        <v>54</v>
      </c>
    </row>
    <row r="12795" spans="1:20" ht="14.5" x14ac:dyDescent="0.35">
      <c r="A12795" s="10" t="s">
        <v>53813</v>
      </c>
      <c r="B12795" s="10" t="str">
        <f>"9781620360002"</f>
        <v>9781620360002</v>
      </c>
      <c r="C12795" s="10" t="str">
        <f>"9781000972603"</f>
        <v>9781000972603</v>
      </c>
      <c r="D12795" s="10" t="s">
        <v>6350</v>
      </c>
      <c r="E12795" s="10" t="s">
        <v>6351</v>
      </c>
      <c r="F12795" s="10" t="s">
        <v>748</v>
      </c>
      <c r="G12795" s="10" t="s">
        <v>6352</v>
      </c>
      <c r="H12795" s="11">
        <v>43567</v>
      </c>
      <c r="I12795" s="10">
        <v>2019</v>
      </c>
      <c r="J12795" s="10" t="s">
        <v>6351</v>
      </c>
      <c r="K12795" s="10">
        <v>202</v>
      </c>
      <c r="L12795" s="10" t="s">
        <v>53814</v>
      </c>
      <c r="M12795" s="10">
        <v>1</v>
      </c>
      <c r="N12795" s="10"/>
      <c r="O12795" s="10"/>
      <c r="P12795" s="10"/>
      <c r="Q12795" s="10">
        <v>370.11599999999999</v>
      </c>
      <c r="R12795" s="10" t="s">
        <v>53815</v>
      </c>
      <c r="S12795" s="10" t="s">
        <v>53</v>
      </c>
      <c r="T12795" s="10" t="s">
        <v>54</v>
      </c>
    </row>
    <row r="12796" spans="1:20" ht="14.5" x14ac:dyDescent="0.35">
      <c r="A12796" s="10" t="s">
        <v>53816</v>
      </c>
      <c r="B12796" s="10" t="str">
        <f>"9781620364079"</f>
        <v>9781620364079</v>
      </c>
      <c r="C12796" s="10" t="str">
        <f>"9781000976496"</f>
        <v>9781000976496</v>
      </c>
      <c r="D12796" s="10" t="s">
        <v>6350</v>
      </c>
      <c r="E12796" s="10" t="s">
        <v>6351</v>
      </c>
      <c r="F12796" s="10" t="s">
        <v>3967</v>
      </c>
      <c r="G12796" s="10" t="s">
        <v>6352</v>
      </c>
      <c r="H12796" s="11">
        <v>42530</v>
      </c>
      <c r="I12796" s="10">
        <v>2016</v>
      </c>
      <c r="J12796" s="10" t="s">
        <v>6353</v>
      </c>
      <c r="K12796" s="10">
        <v>181</v>
      </c>
      <c r="L12796" s="10" t="s">
        <v>53817</v>
      </c>
      <c r="M12796" s="10">
        <v>1</v>
      </c>
      <c r="N12796" s="10"/>
      <c r="O12796" s="10"/>
      <c r="P12796" s="10" t="s">
        <v>53818</v>
      </c>
      <c r="Q12796" s="10">
        <v>378.01</v>
      </c>
      <c r="R12796" s="10" t="s">
        <v>53819</v>
      </c>
      <c r="S12796" s="10" t="s">
        <v>53</v>
      </c>
      <c r="T12796" s="10" t="s">
        <v>54</v>
      </c>
    </row>
    <row r="12797" spans="1:20" ht="14.5" x14ac:dyDescent="0.35">
      <c r="A12797" s="10" t="s">
        <v>53820</v>
      </c>
      <c r="B12797" s="10" t="str">
        <f>"9781620364475"</f>
        <v>9781620364475</v>
      </c>
      <c r="C12797" s="10" t="str">
        <f>"9781000979770"</f>
        <v>9781000979770</v>
      </c>
      <c r="D12797" s="10" t="s">
        <v>6350</v>
      </c>
      <c r="E12797" s="10" t="s">
        <v>6351</v>
      </c>
      <c r="F12797" s="10" t="s">
        <v>3967</v>
      </c>
      <c r="G12797" s="10" t="s">
        <v>6352</v>
      </c>
      <c r="H12797" s="11">
        <v>42458</v>
      </c>
      <c r="I12797" s="10">
        <v>2016</v>
      </c>
      <c r="J12797" s="10" t="s">
        <v>6353</v>
      </c>
      <c r="K12797" s="10">
        <v>160</v>
      </c>
      <c r="L12797" s="10" t="s">
        <v>53821</v>
      </c>
      <c r="M12797" s="10">
        <v>1</v>
      </c>
      <c r="N12797" s="10"/>
      <c r="O12797" s="10"/>
      <c r="P12797" s="10"/>
      <c r="Q12797" s="10" t="s">
        <v>14668</v>
      </c>
      <c r="R12797" s="10" t="s">
        <v>53822</v>
      </c>
      <c r="S12797" s="10" t="s">
        <v>53</v>
      </c>
      <c r="T12797" s="10" t="s">
        <v>54</v>
      </c>
    </row>
    <row r="12798" spans="1:20" ht="14.5" x14ac:dyDescent="0.35">
      <c r="A12798" s="10" t="s">
        <v>53823</v>
      </c>
      <c r="B12798" s="10" t="str">
        <f>"9781620361870"</f>
        <v>9781620361870</v>
      </c>
      <c r="C12798" s="10" t="str">
        <f>"9781000979510"</f>
        <v>9781000979510</v>
      </c>
      <c r="D12798" s="10" t="s">
        <v>6350</v>
      </c>
      <c r="E12798" s="10" t="s">
        <v>6351</v>
      </c>
      <c r="F12798" s="10" t="s">
        <v>748</v>
      </c>
      <c r="G12798" s="10" t="s">
        <v>6352</v>
      </c>
      <c r="H12798" s="11">
        <v>42585</v>
      </c>
      <c r="I12798" s="10">
        <v>2016</v>
      </c>
      <c r="J12798" s="10" t="s">
        <v>6351</v>
      </c>
      <c r="K12798" s="10">
        <v>274</v>
      </c>
      <c r="L12798" s="10" t="s">
        <v>53824</v>
      </c>
      <c r="M12798" s="10">
        <v>1</v>
      </c>
      <c r="N12798" s="10"/>
      <c r="O12798" s="10"/>
      <c r="P12798" s="10" t="s">
        <v>53825</v>
      </c>
      <c r="Q12798" s="10" t="s">
        <v>53826</v>
      </c>
      <c r="R12798" s="10" t="s">
        <v>53827</v>
      </c>
      <c r="S12798" s="10" t="s">
        <v>53</v>
      </c>
      <c r="T12798" s="10" t="s">
        <v>7193</v>
      </c>
    </row>
    <row r="12799" spans="1:20" ht="14.5" x14ac:dyDescent="0.35">
      <c r="A12799" s="10" t="s">
        <v>53828</v>
      </c>
      <c r="B12799" s="10" t="str">
        <f>"9781908684561"</f>
        <v>9781908684561</v>
      </c>
      <c r="C12799" s="10" t="str">
        <f>"9781800317956"</f>
        <v>9781800317956</v>
      </c>
      <c r="D12799" s="10" t="s">
        <v>49431</v>
      </c>
      <c r="E12799" s="10" t="s">
        <v>49432</v>
      </c>
      <c r="F12799" s="10" t="s">
        <v>139</v>
      </c>
      <c r="G12799" s="10" t="s">
        <v>6352</v>
      </c>
      <c r="H12799" s="11">
        <v>42321</v>
      </c>
      <c r="I12799" s="10">
        <v>2015</v>
      </c>
      <c r="J12799" s="10" t="s">
        <v>49432</v>
      </c>
      <c r="K12799" s="10">
        <v>45</v>
      </c>
      <c r="L12799" s="10" t="s">
        <v>53829</v>
      </c>
      <c r="M12799" s="10">
        <v>1</v>
      </c>
      <c r="N12799" s="10"/>
      <c r="O12799" s="10"/>
      <c r="P12799" s="10"/>
      <c r="Q12799" s="10"/>
      <c r="R12799" s="10"/>
      <c r="S12799" s="10" t="s">
        <v>53</v>
      </c>
      <c r="T12799" s="10" t="s">
        <v>21304</v>
      </c>
    </row>
    <row r="12800" spans="1:20" ht="14.5" x14ac:dyDescent="0.35">
      <c r="A12800" s="10" t="s">
        <v>53830</v>
      </c>
      <c r="B12800" s="10" t="str">
        <f>"9781908684578"</f>
        <v>9781908684578</v>
      </c>
      <c r="C12800" s="10" t="str">
        <f>"9781800317963"</f>
        <v>9781800317963</v>
      </c>
      <c r="D12800" s="10" t="s">
        <v>49431</v>
      </c>
      <c r="E12800" s="10" t="s">
        <v>49432</v>
      </c>
      <c r="F12800" s="10" t="s">
        <v>139</v>
      </c>
      <c r="G12800" s="10" t="s">
        <v>6352</v>
      </c>
      <c r="H12800" s="11">
        <v>42317</v>
      </c>
      <c r="I12800" s="10">
        <v>2015</v>
      </c>
      <c r="J12800" s="10" t="s">
        <v>49432</v>
      </c>
      <c r="K12800" s="10">
        <v>47</v>
      </c>
      <c r="L12800" s="10" t="s">
        <v>53829</v>
      </c>
      <c r="M12800" s="10">
        <v>1</v>
      </c>
      <c r="N12800" s="10"/>
      <c r="O12800" s="10"/>
      <c r="P12800" s="10"/>
      <c r="Q12800" s="10"/>
      <c r="R12800" s="10"/>
      <c r="S12800" s="10" t="s">
        <v>53</v>
      </c>
      <c r="T12800" s="10" t="s">
        <v>21304</v>
      </c>
    </row>
    <row r="12801" spans="1:20" ht="14.5" x14ac:dyDescent="0.35">
      <c r="A12801" s="10" t="s">
        <v>53831</v>
      </c>
      <c r="B12801" s="10" t="str">
        <f>"9781908684554"</f>
        <v>9781908684554</v>
      </c>
      <c r="C12801" s="10" t="str">
        <f>"9781800317949"</f>
        <v>9781800317949</v>
      </c>
      <c r="D12801" s="10" t="s">
        <v>49431</v>
      </c>
      <c r="E12801" s="10" t="s">
        <v>49432</v>
      </c>
      <c r="F12801" s="10" t="s">
        <v>139</v>
      </c>
      <c r="G12801" s="10" t="s">
        <v>6352</v>
      </c>
      <c r="H12801" s="11">
        <v>42321</v>
      </c>
      <c r="I12801" s="10">
        <v>2015</v>
      </c>
      <c r="J12801" s="10" t="s">
        <v>49432</v>
      </c>
      <c r="K12801" s="10">
        <v>31</v>
      </c>
      <c r="L12801" s="10" t="s">
        <v>53829</v>
      </c>
      <c r="M12801" s="10">
        <v>1</v>
      </c>
      <c r="N12801" s="10"/>
      <c r="O12801" s="10"/>
      <c r="P12801" s="10"/>
      <c r="Q12801" s="10"/>
      <c r="R12801" s="10"/>
      <c r="S12801" s="10" t="s">
        <v>53</v>
      </c>
      <c r="T12801" s="10" t="s">
        <v>19990</v>
      </c>
    </row>
    <row r="12802" spans="1:20" ht="14.5" x14ac:dyDescent="0.35">
      <c r="A12802" s="10" t="s">
        <v>53832</v>
      </c>
      <c r="B12802" s="10" t="str">
        <f>"9781908684547"</f>
        <v>9781908684547</v>
      </c>
      <c r="C12802" s="10" t="str">
        <f>"9781800317932"</f>
        <v>9781800317932</v>
      </c>
      <c r="D12802" s="10" t="s">
        <v>49431</v>
      </c>
      <c r="E12802" s="10" t="s">
        <v>49432</v>
      </c>
      <c r="F12802" s="10" t="s">
        <v>139</v>
      </c>
      <c r="G12802" s="10" t="s">
        <v>6352</v>
      </c>
      <c r="H12802" s="11">
        <v>42321</v>
      </c>
      <c r="I12802" s="10">
        <v>2015</v>
      </c>
      <c r="J12802" s="10" t="s">
        <v>49432</v>
      </c>
      <c r="K12802" s="10">
        <v>32</v>
      </c>
      <c r="L12802" s="10" t="s">
        <v>53829</v>
      </c>
      <c r="M12802" s="10">
        <v>1</v>
      </c>
      <c r="N12802" s="10"/>
      <c r="O12802" s="10"/>
      <c r="P12802" s="10"/>
      <c r="Q12802" s="10"/>
      <c r="R12802" s="10"/>
      <c r="S12802" s="10" t="s">
        <v>53</v>
      </c>
      <c r="T12802" s="10" t="s">
        <v>19990</v>
      </c>
    </row>
    <row r="12803" spans="1:20" ht="14.5" x14ac:dyDescent="0.35">
      <c r="A12803" s="10" t="s">
        <v>53833</v>
      </c>
      <c r="B12803" s="10" t="str">
        <f>"9781464817069"</f>
        <v>9781464817069</v>
      </c>
      <c r="C12803" s="10" t="str">
        <f>"9781464817076"</f>
        <v>9781464817076</v>
      </c>
      <c r="D12803" s="10" t="s">
        <v>14731</v>
      </c>
      <c r="E12803" s="10" t="s">
        <v>14732</v>
      </c>
      <c r="F12803" s="10" t="s">
        <v>11765</v>
      </c>
      <c r="G12803" s="10" t="s">
        <v>6317</v>
      </c>
      <c r="H12803" s="11">
        <v>44530</v>
      </c>
      <c r="I12803" s="10">
        <v>2021</v>
      </c>
      <c r="J12803" s="10" t="s">
        <v>14732</v>
      </c>
      <c r="K12803" s="10">
        <v>217</v>
      </c>
      <c r="L12803" s="10" t="s">
        <v>53834</v>
      </c>
      <c r="M12803" s="10">
        <v>1</v>
      </c>
      <c r="N12803" s="10"/>
      <c r="O12803" s="10"/>
      <c r="P12803" s="10" t="s">
        <v>53835</v>
      </c>
      <c r="Q12803" s="10">
        <v>378.8</v>
      </c>
      <c r="R12803" s="10" t="s">
        <v>53836</v>
      </c>
      <c r="S12803" s="10" t="s">
        <v>53</v>
      </c>
      <c r="T12803" s="10" t="s">
        <v>54</v>
      </c>
    </row>
    <row r="12804" spans="1:20" ht="14.5" x14ac:dyDescent="0.35">
      <c r="A12804" s="10" t="s">
        <v>53837</v>
      </c>
      <c r="B12804" s="10" t="str">
        <f>"9781952271472"</f>
        <v>9781952271472</v>
      </c>
      <c r="C12804" s="10" t="str">
        <f>"9781952271489"</f>
        <v>9781952271489</v>
      </c>
      <c r="D12804" s="10" t="s">
        <v>38760</v>
      </c>
      <c r="E12804" s="10" t="s">
        <v>38760</v>
      </c>
      <c r="F12804" s="10" t="s">
        <v>5426</v>
      </c>
      <c r="G12804" s="10" t="s">
        <v>6317</v>
      </c>
      <c r="H12804" s="11">
        <v>44652</v>
      </c>
      <c r="I12804" s="10">
        <v>2022</v>
      </c>
      <c r="J12804" s="10" t="s">
        <v>38760</v>
      </c>
      <c r="K12804" s="10">
        <v>281</v>
      </c>
      <c r="L12804" s="10" t="s">
        <v>53838</v>
      </c>
      <c r="M12804" s="10">
        <v>1</v>
      </c>
      <c r="N12804" s="10" t="s">
        <v>43013</v>
      </c>
      <c r="O12804" s="10"/>
      <c r="P12804" s="10" t="s">
        <v>7503</v>
      </c>
      <c r="Q12804" s="10">
        <v>371.33</v>
      </c>
      <c r="R12804" s="10" t="s">
        <v>53839</v>
      </c>
      <c r="S12804" s="10" t="s">
        <v>53</v>
      </c>
      <c r="T12804" s="10" t="s">
        <v>54</v>
      </c>
    </row>
    <row r="12805" spans="1:20" ht="14.5" x14ac:dyDescent="0.35">
      <c r="A12805" s="10" t="s">
        <v>53840</v>
      </c>
      <c r="B12805" s="10" t="str">
        <f>"9781952812217"</f>
        <v>9781952812217</v>
      </c>
      <c r="C12805" s="10" t="str">
        <f>"9781952812224"</f>
        <v>9781952812224</v>
      </c>
      <c r="D12805" s="10" t="s">
        <v>37580</v>
      </c>
      <c r="E12805" s="10" t="s">
        <v>37581</v>
      </c>
      <c r="F12805" s="10" t="s">
        <v>37623</v>
      </c>
      <c r="G12805" s="10" t="s">
        <v>6317</v>
      </c>
      <c r="H12805" s="11">
        <v>44566</v>
      </c>
      <c r="I12805" s="10">
        <v>2022</v>
      </c>
      <c r="J12805" s="10" t="s">
        <v>37581</v>
      </c>
      <c r="K12805" s="10">
        <v>272</v>
      </c>
      <c r="L12805" s="10" t="s">
        <v>53841</v>
      </c>
      <c r="M12805" s="10">
        <v>1</v>
      </c>
      <c r="N12805" s="10"/>
      <c r="O12805" s="10"/>
      <c r="P12805" s="10"/>
      <c r="Q12805" s="10"/>
      <c r="R12805" s="10"/>
      <c r="S12805" s="10" t="s">
        <v>53</v>
      </c>
      <c r="T12805" s="10" t="s">
        <v>54</v>
      </c>
    </row>
    <row r="12806" spans="1:20" ht="14.5" x14ac:dyDescent="0.35">
      <c r="A12806" s="10" t="s">
        <v>53842</v>
      </c>
      <c r="B12806" s="10" t="str">
        <f>"9781952812590"</f>
        <v>9781952812590</v>
      </c>
      <c r="C12806" s="10" t="str">
        <f>"9781952812606"</f>
        <v>9781952812606</v>
      </c>
      <c r="D12806" s="10" t="s">
        <v>37580</v>
      </c>
      <c r="E12806" s="10" t="s">
        <v>37581</v>
      </c>
      <c r="F12806" s="10" t="s">
        <v>37623</v>
      </c>
      <c r="G12806" s="10" t="s">
        <v>6317</v>
      </c>
      <c r="H12806" s="11">
        <v>44561</v>
      </c>
      <c r="I12806" s="10">
        <v>2022</v>
      </c>
      <c r="J12806" s="10" t="s">
        <v>37581</v>
      </c>
      <c r="K12806" s="10">
        <v>256</v>
      </c>
      <c r="L12806" s="10" t="s">
        <v>53843</v>
      </c>
      <c r="M12806" s="10">
        <v>1</v>
      </c>
      <c r="N12806" s="10"/>
      <c r="O12806" s="10"/>
      <c r="P12806" s="10"/>
      <c r="Q12806" s="10"/>
      <c r="R12806" s="10"/>
      <c r="S12806" s="10" t="s">
        <v>53</v>
      </c>
      <c r="T12806" s="10" t="s">
        <v>54</v>
      </c>
    </row>
    <row r="12807" spans="1:20" ht="14.5" x14ac:dyDescent="0.35">
      <c r="A12807" s="10" t="s">
        <v>53844</v>
      </c>
      <c r="B12807" s="10" t="str">
        <f>"9781952812378"</f>
        <v>9781952812378</v>
      </c>
      <c r="C12807" s="10" t="str">
        <f>"9781952812385"</f>
        <v>9781952812385</v>
      </c>
      <c r="D12807" s="10" t="s">
        <v>37580</v>
      </c>
      <c r="E12807" s="10" t="s">
        <v>37581</v>
      </c>
      <c r="F12807" s="10" t="s">
        <v>37623</v>
      </c>
      <c r="G12807" s="10" t="s">
        <v>6317</v>
      </c>
      <c r="H12807" s="11">
        <v>44567</v>
      </c>
      <c r="I12807" s="10">
        <v>2022</v>
      </c>
      <c r="J12807" s="10" t="s">
        <v>37581</v>
      </c>
      <c r="K12807" s="10">
        <v>112</v>
      </c>
      <c r="L12807" s="10" t="s">
        <v>53845</v>
      </c>
      <c r="M12807" s="10">
        <v>1</v>
      </c>
      <c r="N12807" s="10"/>
      <c r="O12807" s="10"/>
      <c r="P12807" s="10"/>
      <c r="Q12807" s="10"/>
      <c r="R12807" s="10"/>
      <c r="S12807" s="10" t="s">
        <v>53</v>
      </c>
      <c r="T12807" s="10" t="s">
        <v>54</v>
      </c>
    </row>
    <row r="12808" spans="1:20" ht="14.5" x14ac:dyDescent="0.35">
      <c r="A12808" s="10" t="s">
        <v>53846</v>
      </c>
      <c r="B12808" s="10" t="str">
        <f>""</f>
        <v/>
      </c>
      <c r="C12808" s="10" t="str">
        <f>"9788770226363"</f>
        <v>9788770226363</v>
      </c>
      <c r="D12808" s="10" t="s">
        <v>37560</v>
      </c>
      <c r="E12808" s="10" t="s">
        <v>37560</v>
      </c>
      <c r="F12808" s="10" t="s">
        <v>37561</v>
      </c>
      <c r="G12808" s="10" t="s">
        <v>37405</v>
      </c>
      <c r="H12808" s="11">
        <v>44576</v>
      </c>
      <c r="I12808" s="10">
        <v>2021</v>
      </c>
      <c r="J12808" s="10" t="s">
        <v>37560</v>
      </c>
      <c r="K12808" s="10">
        <v>0</v>
      </c>
      <c r="L12808" s="10" t="s">
        <v>53847</v>
      </c>
      <c r="M12808" s="10">
        <v>1</v>
      </c>
      <c r="N12808" s="10" t="s">
        <v>53848</v>
      </c>
      <c r="O12808" s="10"/>
      <c r="P12808" s="10"/>
      <c r="Q12808" s="10">
        <v>370.72</v>
      </c>
      <c r="R12808" s="10"/>
      <c r="S12808" s="10" t="s">
        <v>53</v>
      </c>
      <c r="T12808" s="10" t="s">
        <v>54</v>
      </c>
    </row>
    <row r="12809" spans="1:20" ht="14.5" x14ac:dyDescent="0.35">
      <c r="A12809" s="10" t="s">
        <v>53849</v>
      </c>
      <c r="B12809" s="10" t="str">
        <f>"9781464816758"</f>
        <v>9781464816758</v>
      </c>
      <c r="C12809" s="10" t="str">
        <f>"9781464817298"</f>
        <v>9781464817298</v>
      </c>
      <c r="D12809" s="10" t="s">
        <v>14731</v>
      </c>
      <c r="E12809" s="10" t="s">
        <v>14732</v>
      </c>
      <c r="F12809" s="10" t="s">
        <v>11765</v>
      </c>
      <c r="G12809" s="10" t="s">
        <v>6317</v>
      </c>
      <c r="H12809" s="11">
        <v>44470</v>
      </c>
      <c r="I12809" s="10">
        <v>2021</v>
      </c>
      <c r="J12809" s="10" t="s">
        <v>14732</v>
      </c>
      <c r="K12809" s="10">
        <v>169</v>
      </c>
      <c r="L12809" s="10" t="s">
        <v>53850</v>
      </c>
      <c r="M12809" s="10">
        <v>1</v>
      </c>
      <c r="N12809" s="10"/>
      <c r="O12809" s="10"/>
      <c r="P12809" s="10" t="s">
        <v>53851</v>
      </c>
      <c r="Q12809" s="10">
        <v>362.1096</v>
      </c>
      <c r="R12809" s="10" t="s">
        <v>53852</v>
      </c>
      <c r="S12809" s="10" t="s">
        <v>53</v>
      </c>
      <c r="T12809" s="10" t="s">
        <v>8368</v>
      </c>
    </row>
    <row r="12810" spans="1:20" ht="14.5" x14ac:dyDescent="0.35">
      <c r="A12810" s="10" t="s">
        <v>53853</v>
      </c>
      <c r="B12810" s="10" t="str">
        <f>"9781936763214"</f>
        <v>9781936763214</v>
      </c>
      <c r="C12810" s="10" t="str">
        <f>"9781936763221"</f>
        <v>9781936763221</v>
      </c>
      <c r="D12810" s="10" t="s">
        <v>37580</v>
      </c>
      <c r="E12810" s="10" t="s">
        <v>37581</v>
      </c>
      <c r="F12810" s="10" t="s">
        <v>37623</v>
      </c>
      <c r="G12810" s="10" t="s">
        <v>6317</v>
      </c>
      <c r="H12810" s="11">
        <v>42293</v>
      </c>
      <c r="I12810" s="10">
        <v>2016</v>
      </c>
      <c r="J12810" s="10" t="s">
        <v>37581</v>
      </c>
      <c r="K12810" s="10">
        <v>168</v>
      </c>
      <c r="L12810" s="10" t="s">
        <v>53854</v>
      </c>
      <c r="M12810" s="10">
        <v>1</v>
      </c>
      <c r="N12810" s="10"/>
      <c r="O12810" s="10"/>
      <c r="P12810" s="10"/>
      <c r="Q12810" s="10"/>
      <c r="R12810" s="10" t="s">
        <v>53855</v>
      </c>
      <c r="S12810" s="10" t="s">
        <v>53</v>
      </c>
      <c r="T12810" s="10" t="s">
        <v>54</v>
      </c>
    </row>
    <row r="12811" spans="1:20" ht="14.5" x14ac:dyDescent="0.35">
      <c r="A12811" s="10" t="s">
        <v>53856</v>
      </c>
      <c r="B12811" s="10" t="str">
        <f>"9781952812293"</f>
        <v>9781952812293</v>
      </c>
      <c r="C12811" s="10" t="str">
        <f>"9781952812309"</f>
        <v>9781952812309</v>
      </c>
      <c r="D12811" s="10" t="s">
        <v>37580</v>
      </c>
      <c r="E12811" s="10" t="s">
        <v>37581</v>
      </c>
      <c r="F12811" s="10" t="s">
        <v>37623</v>
      </c>
      <c r="G12811" s="10" t="s">
        <v>6317</v>
      </c>
      <c r="H12811" s="11">
        <v>44599</v>
      </c>
      <c r="I12811" s="10">
        <v>2022</v>
      </c>
      <c r="J12811" s="10" t="s">
        <v>37581</v>
      </c>
      <c r="K12811" s="10">
        <v>160</v>
      </c>
      <c r="L12811" s="10" t="s">
        <v>53857</v>
      </c>
      <c r="M12811" s="10">
        <v>1</v>
      </c>
      <c r="N12811" s="10"/>
      <c r="O12811" s="10"/>
      <c r="P12811" s="10"/>
      <c r="Q12811" s="10"/>
      <c r="R12811" s="10"/>
      <c r="S12811" s="10" t="s">
        <v>53</v>
      </c>
      <c r="T12811" s="10" t="s">
        <v>54</v>
      </c>
    </row>
    <row r="12812" spans="1:20" ht="14.5" x14ac:dyDescent="0.35">
      <c r="A12812" s="10" t="s">
        <v>53858</v>
      </c>
      <c r="B12812" s="10" t="str">
        <f>"9781421437965"</f>
        <v>9781421437965</v>
      </c>
      <c r="C12812" s="10" t="str">
        <f>"9781421437972"</f>
        <v>9781421437972</v>
      </c>
      <c r="D12812" s="10" t="s">
        <v>884</v>
      </c>
      <c r="E12812" s="10" t="s">
        <v>884</v>
      </c>
      <c r="F12812" s="10" t="s">
        <v>885</v>
      </c>
      <c r="G12812" s="10" t="s">
        <v>6317</v>
      </c>
      <c r="H12812" s="11">
        <v>43956</v>
      </c>
      <c r="I12812" s="10">
        <v>2022</v>
      </c>
      <c r="J12812" s="10" t="s">
        <v>884</v>
      </c>
      <c r="K12812" s="10">
        <v>188</v>
      </c>
      <c r="L12812" s="10" t="s">
        <v>53859</v>
      </c>
      <c r="M12812" s="10">
        <v>1</v>
      </c>
      <c r="N12812" s="10"/>
      <c r="O12812" s="10"/>
      <c r="P12812" s="10" t="s">
        <v>53860</v>
      </c>
      <c r="Q12812" s="10">
        <v>331.12313781209701</v>
      </c>
      <c r="R12812" s="10" t="s">
        <v>53861</v>
      </c>
      <c r="S12812" s="10" t="s">
        <v>53</v>
      </c>
      <c r="T12812" s="10" t="s">
        <v>8003</v>
      </c>
    </row>
    <row r="12813" spans="1:20" ht="14.5" x14ac:dyDescent="0.35">
      <c r="A12813" s="10" t="s">
        <v>53862</v>
      </c>
      <c r="B12813" s="10" t="str">
        <f>"9781952812514"</f>
        <v>9781952812514</v>
      </c>
      <c r="C12813" s="10" t="str">
        <f>"9781952812521"</f>
        <v>9781952812521</v>
      </c>
      <c r="D12813" s="10" t="s">
        <v>37580</v>
      </c>
      <c r="E12813" s="10" t="s">
        <v>37581</v>
      </c>
      <c r="F12813" s="10" t="s">
        <v>37623</v>
      </c>
      <c r="G12813" s="10" t="s">
        <v>6317</v>
      </c>
      <c r="H12813" s="11">
        <v>44644</v>
      </c>
      <c r="I12813" s="10">
        <v>2022</v>
      </c>
      <c r="J12813" s="10" t="s">
        <v>37581</v>
      </c>
      <c r="K12813" s="10">
        <v>144</v>
      </c>
      <c r="L12813" s="10" t="s">
        <v>53863</v>
      </c>
      <c r="M12813" s="10">
        <v>1</v>
      </c>
      <c r="N12813" s="10"/>
      <c r="O12813" s="10"/>
      <c r="P12813" s="10"/>
      <c r="Q12813" s="10"/>
      <c r="R12813" s="10"/>
      <c r="S12813" s="10" t="s">
        <v>53</v>
      </c>
      <c r="T12813" s="10" t="s">
        <v>54</v>
      </c>
    </row>
    <row r="12814" spans="1:20" ht="14.5" x14ac:dyDescent="0.35">
      <c r="A12814" s="10" t="s">
        <v>53864</v>
      </c>
      <c r="B12814" s="10" t="str">
        <f>""</f>
        <v/>
      </c>
      <c r="C12814" s="10" t="str">
        <f>"9781949539578"</f>
        <v>9781949539578</v>
      </c>
      <c r="D12814" s="10" t="s">
        <v>37580</v>
      </c>
      <c r="E12814" s="10" t="s">
        <v>37581</v>
      </c>
      <c r="F12814" s="10" t="s">
        <v>37623</v>
      </c>
      <c r="G12814" s="10" t="s">
        <v>6317</v>
      </c>
      <c r="H12814" s="11">
        <v>44628</v>
      </c>
      <c r="I12814" s="10">
        <v>2022</v>
      </c>
      <c r="J12814" s="10" t="s">
        <v>37581</v>
      </c>
      <c r="K12814" s="10">
        <v>160</v>
      </c>
      <c r="L12814" s="10" t="s">
        <v>53865</v>
      </c>
      <c r="M12814" s="10">
        <v>1</v>
      </c>
      <c r="N12814" s="10"/>
      <c r="O12814" s="10"/>
      <c r="P12814" s="10"/>
      <c r="Q12814" s="10"/>
      <c r="R12814" s="10"/>
      <c r="S12814" s="10" t="s">
        <v>53</v>
      </c>
      <c r="T12814" s="10" t="s">
        <v>54</v>
      </c>
    </row>
    <row r="12815" spans="1:20" ht="14.5" x14ac:dyDescent="0.35">
      <c r="A12815" s="10" t="s">
        <v>53866</v>
      </c>
      <c r="B12815" s="10" t="str">
        <f>""</f>
        <v/>
      </c>
      <c r="C12815" s="10" t="str">
        <f>"9781421445243"</f>
        <v>9781421445243</v>
      </c>
      <c r="D12815" s="10" t="s">
        <v>884</v>
      </c>
      <c r="E12815" s="10" t="s">
        <v>884</v>
      </c>
      <c r="F12815" s="10" t="s">
        <v>885</v>
      </c>
      <c r="G12815" s="10" t="s">
        <v>6317</v>
      </c>
      <c r="H12815" s="11">
        <v>44824</v>
      </c>
      <c r="I12815" s="10">
        <v>2022</v>
      </c>
      <c r="J12815" s="10" t="s">
        <v>884</v>
      </c>
      <c r="K12815" s="10">
        <v>200</v>
      </c>
      <c r="L12815" s="10" t="s">
        <v>53867</v>
      </c>
      <c r="M12815" s="10">
        <v>1</v>
      </c>
      <c r="N12815" s="10" t="s">
        <v>35979</v>
      </c>
      <c r="O12815" s="10"/>
      <c r="P12815" s="10" t="s">
        <v>53868</v>
      </c>
      <c r="Q12815" s="10">
        <v>378.10109729999999</v>
      </c>
      <c r="R12815" s="10" t="s">
        <v>53869</v>
      </c>
      <c r="S12815" s="10" t="s">
        <v>53</v>
      </c>
      <c r="T12815" s="10" t="s">
        <v>54</v>
      </c>
    </row>
    <row r="12816" spans="1:20" ht="14.5" x14ac:dyDescent="0.35">
      <c r="A12816" s="10" t="s">
        <v>53870</v>
      </c>
      <c r="B12816" s="10" t="str">
        <f>""</f>
        <v/>
      </c>
      <c r="C12816" s="10" t="str">
        <f>"9781421443881"</f>
        <v>9781421443881</v>
      </c>
      <c r="D12816" s="10" t="s">
        <v>884</v>
      </c>
      <c r="E12816" s="10" t="s">
        <v>884</v>
      </c>
      <c r="F12816" s="10" t="s">
        <v>885</v>
      </c>
      <c r="G12816" s="10" t="s">
        <v>6317</v>
      </c>
      <c r="H12816" s="11">
        <v>44677</v>
      </c>
      <c r="I12816" s="10">
        <v>2022</v>
      </c>
      <c r="J12816" s="10" t="s">
        <v>884</v>
      </c>
      <c r="K12816" s="10">
        <v>304</v>
      </c>
      <c r="L12816" s="10" t="s">
        <v>53871</v>
      </c>
      <c r="M12816" s="10">
        <v>1</v>
      </c>
      <c r="N12816" s="10"/>
      <c r="O12816" s="10"/>
      <c r="P12816" s="10" t="s">
        <v>53872</v>
      </c>
      <c r="Q12816" s="10">
        <v>378.12130973000001</v>
      </c>
      <c r="R12816" s="10" t="s">
        <v>53873</v>
      </c>
      <c r="S12816" s="10" t="s">
        <v>53</v>
      </c>
      <c r="T12816" s="10" t="s">
        <v>54</v>
      </c>
    </row>
    <row r="12817" spans="1:20" ht="14.5" x14ac:dyDescent="0.35">
      <c r="A12817" s="10" t="s">
        <v>53874</v>
      </c>
      <c r="B12817" s="10" t="str">
        <f>"9781421442778"</f>
        <v>9781421442778</v>
      </c>
      <c r="C12817" s="10" t="str">
        <f>"9781421442785"</f>
        <v>9781421442785</v>
      </c>
      <c r="D12817" s="10" t="s">
        <v>884</v>
      </c>
      <c r="E12817" s="10" t="s">
        <v>884</v>
      </c>
      <c r="F12817" s="10" t="s">
        <v>885</v>
      </c>
      <c r="G12817" s="10" t="s">
        <v>6317</v>
      </c>
      <c r="H12817" s="11">
        <v>44621</v>
      </c>
      <c r="I12817" s="10">
        <v>2022</v>
      </c>
      <c r="J12817" s="10" t="s">
        <v>884</v>
      </c>
      <c r="K12817" s="10">
        <v>229</v>
      </c>
      <c r="L12817" s="10" t="s">
        <v>17146</v>
      </c>
      <c r="M12817" s="10">
        <v>1</v>
      </c>
      <c r="N12817" s="10"/>
      <c r="O12817" s="10"/>
      <c r="P12817" s="10" t="s">
        <v>53875</v>
      </c>
      <c r="Q12817" s="10" t="s">
        <v>53876</v>
      </c>
      <c r="R12817" s="10" t="s">
        <v>53877</v>
      </c>
      <c r="S12817" s="10" t="s">
        <v>53</v>
      </c>
      <c r="T12817" s="10" t="s">
        <v>54</v>
      </c>
    </row>
    <row r="12818" spans="1:20" ht="14.5" x14ac:dyDescent="0.35">
      <c r="A12818" s="10" t="s">
        <v>53878</v>
      </c>
      <c r="B12818" s="10" t="str">
        <f>"9781915097026"</f>
        <v>9781915097026</v>
      </c>
      <c r="C12818" s="10" t="str">
        <f>"9781915097026"</f>
        <v>9781915097026</v>
      </c>
      <c r="D12818" s="10" t="s">
        <v>53879</v>
      </c>
      <c r="E12818" s="10" t="s">
        <v>53880</v>
      </c>
      <c r="F12818" s="10" t="s">
        <v>748</v>
      </c>
      <c r="G12818" s="10" t="s">
        <v>6352</v>
      </c>
      <c r="H12818" s="11">
        <v>44640</v>
      </c>
      <c r="I12818" s="10">
        <v>2022</v>
      </c>
      <c r="J12818" s="10" t="s">
        <v>53880</v>
      </c>
      <c r="K12818" s="10">
        <v>295</v>
      </c>
      <c r="L12818" s="10" t="s">
        <v>53881</v>
      </c>
      <c r="M12818" s="10">
        <v>2</v>
      </c>
      <c r="N12818" s="10"/>
      <c r="O12818" s="10"/>
      <c r="P12818" s="10" t="s">
        <v>53882</v>
      </c>
      <c r="Q12818" s="10">
        <v>338.47910721</v>
      </c>
      <c r="R12818" s="10" t="s">
        <v>33252</v>
      </c>
      <c r="S12818" s="10" t="s">
        <v>53</v>
      </c>
      <c r="T12818" s="10" t="s">
        <v>53883</v>
      </c>
    </row>
    <row r="12819" spans="1:20" ht="14.5" x14ac:dyDescent="0.35">
      <c r="A12819" s="10" t="s">
        <v>53884</v>
      </c>
      <c r="B12819" s="10" t="str">
        <f>"9781952812453"</f>
        <v>9781952812453</v>
      </c>
      <c r="C12819" s="10" t="str">
        <f>"9781952812460"</f>
        <v>9781952812460</v>
      </c>
      <c r="D12819" s="10" t="s">
        <v>37580</v>
      </c>
      <c r="E12819" s="10" t="s">
        <v>37581</v>
      </c>
      <c r="F12819" s="10" t="s">
        <v>37623</v>
      </c>
      <c r="G12819" s="10" t="s">
        <v>6317</v>
      </c>
      <c r="H12819" s="11">
        <v>44679</v>
      </c>
      <c r="I12819" s="10">
        <v>2022</v>
      </c>
      <c r="J12819" s="10" t="s">
        <v>37581</v>
      </c>
      <c r="K12819" s="10">
        <v>256</v>
      </c>
      <c r="L12819" s="10" t="s">
        <v>53885</v>
      </c>
      <c r="M12819" s="10">
        <v>1</v>
      </c>
      <c r="N12819" s="10"/>
      <c r="O12819" s="10"/>
      <c r="P12819" s="10"/>
      <c r="Q12819" s="10"/>
      <c r="R12819" s="10"/>
      <c r="S12819" s="10" t="s">
        <v>53</v>
      </c>
      <c r="T12819" s="10" t="s">
        <v>54</v>
      </c>
    </row>
    <row r="12820" spans="1:20" ht="14.5" x14ac:dyDescent="0.35">
      <c r="A12820" s="10" t="s">
        <v>53886</v>
      </c>
      <c r="B12820" s="10" t="str">
        <f>"9781991201669"</f>
        <v>9781991201669</v>
      </c>
      <c r="C12820" s="10" t="str">
        <f>"9781991201676"</f>
        <v>9781991201676</v>
      </c>
      <c r="D12820" s="10" t="s">
        <v>51836</v>
      </c>
      <c r="E12820" s="10" t="s">
        <v>51836</v>
      </c>
      <c r="F12820" s="10" t="s">
        <v>51837</v>
      </c>
      <c r="G12820" s="10" t="s">
        <v>24826</v>
      </c>
      <c r="H12820" s="11">
        <v>44623</v>
      </c>
      <c r="I12820" s="10">
        <v>2022</v>
      </c>
      <c r="J12820" s="10" t="s">
        <v>51836</v>
      </c>
      <c r="K12820" s="10">
        <v>230</v>
      </c>
      <c r="L12820" s="10" t="s">
        <v>53887</v>
      </c>
      <c r="M12820" s="10">
        <v>1</v>
      </c>
      <c r="N12820" s="10"/>
      <c r="O12820" s="10"/>
      <c r="P12820" s="10" t="s">
        <v>53888</v>
      </c>
      <c r="Q12820" s="10">
        <v>378.68</v>
      </c>
      <c r="R12820" s="10" t="s">
        <v>53889</v>
      </c>
      <c r="S12820" s="10" t="s">
        <v>53</v>
      </c>
      <c r="T12820" s="10" t="s">
        <v>54</v>
      </c>
    </row>
    <row r="12821" spans="1:20" ht="14.5" x14ac:dyDescent="0.35">
      <c r="A12821" s="10" t="s">
        <v>53890</v>
      </c>
      <c r="B12821" s="10" t="str">
        <f>"9781871891478"</f>
        <v>9781871891478</v>
      </c>
      <c r="C12821" s="10" t="str">
        <f>"9781871891485"</f>
        <v>9781871891485</v>
      </c>
      <c r="D12821" s="10" t="s">
        <v>53891</v>
      </c>
      <c r="E12821" s="10" t="s">
        <v>53892</v>
      </c>
      <c r="F12821" s="10" t="s">
        <v>1019</v>
      </c>
      <c r="G12821" s="10" t="s">
        <v>6352</v>
      </c>
      <c r="H12821" s="11">
        <v>44671</v>
      </c>
      <c r="I12821" s="10">
        <v>2022</v>
      </c>
      <c r="J12821" s="10" t="s">
        <v>53892</v>
      </c>
      <c r="K12821" s="10">
        <v>156</v>
      </c>
      <c r="L12821" s="10" t="s">
        <v>53893</v>
      </c>
      <c r="M12821" s="10">
        <v>1</v>
      </c>
      <c r="N12821" s="10"/>
      <c r="O12821" s="10"/>
      <c r="P12821" s="10" t="s">
        <v>24708</v>
      </c>
      <c r="Q12821" s="10">
        <v>371.01</v>
      </c>
      <c r="R12821" s="10" t="s">
        <v>45039</v>
      </c>
      <c r="S12821" s="10" t="s">
        <v>53</v>
      </c>
      <c r="T12821" s="10" t="s">
        <v>54</v>
      </c>
    </row>
    <row r="12822" spans="1:20" ht="14.5" x14ac:dyDescent="0.35">
      <c r="A12822" s="10" t="s">
        <v>53894</v>
      </c>
      <c r="B12822" s="10" t="str">
        <f>"9781871891751"</f>
        <v>9781871891751</v>
      </c>
      <c r="C12822" s="10" t="str">
        <f>"9781871891768"</f>
        <v>9781871891768</v>
      </c>
      <c r="D12822" s="10" t="s">
        <v>53891</v>
      </c>
      <c r="E12822" s="10" t="s">
        <v>53892</v>
      </c>
      <c r="F12822" s="10" t="s">
        <v>1019</v>
      </c>
      <c r="G12822" s="10" t="s">
        <v>6352</v>
      </c>
      <c r="H12822" s="11">
        <v>44595</v>
      </c>
      <c r="I12822" s="10">
        <v>2022</v>
      </c>
      <c r="J12822" s="10" t="s">
        <v>53892</v>
      </c>
      <c r="K12822" s="10">
        <v>166</v>
      </c>
      <c r="L12822" s="10" t="s">
        <v>53895</v>
      </c>
      <c r="M12822" s="10">
        <v>1</v>
      </c>
      <c r="N12822" s="10"/>
      <c r="O12822" s="10"/>
      <c r="P12822" s="10" t="s">
        <v>53896</v>
      </c>
      <c r="Q12822" s="10">
        <v>175</v>
      </c>
      <c r="R12822" s="10" t="s">
        <v>53897</v>
      </c>
      <c r="S12822" s="10" t="s">
        <v>53</v>
      </c>
      <c r="T12822" s="10" t="s">
        <v>53898</v>
      </c>
    </row>
    <row r="12823" spans="1:20" ht="14.5" x14ac:dyDescent="0.35">
      <c r="A12823" s="10" t="s">
        <v>53899</v>
      </c>
      <c r="B12823" s="10" t="str">
        <f>"9781952812934"</f>
        <v>9781952812934</v>
      </c>
      <c r="C12823" s="10" t="str">
        <f>"9781952812941"</f>
        <v>9781952812941</v>
      </c>
      <c r="D12823" s="10" t="s">
        <v>37580</v>
      </c>
      <c r="E12823" s="10" t="s">
        <v>37581</v>
      </c>
      <c r="F12823" s="10" t="s">
        <v>37623</v>
      </c>
      <c r="G12823" s="10" t="s">
        <v>6317</v>
      </c>
      <c r="H12823" s="11">
        <v>44719</v>
      </c>
      <c r="I12823" s="10">
        <v>2022</v>
      </c>
      <c r="J12823" s="10" t="s">
        <v>37581</v>
      </c>
      <c r="K12823" s="10">
        <v>176</v>
      </c>
      <c r="L12823" s="10" t="s">
        <v>53900</v>
      </c>
      <c r="M12823" s="10">
        <v>1</v>
      </c>
      <c r="N12823" s="10"/>
      <c r="O12823" s="10"/>
      <c r="P12823" s="10"/>
      <c r="Q12823" s="10"/>
      <c r="R12823" s="10"/>
      <c r="S12823" s="10" t="s">
        <v>53</v>
      </c>
      <c r="T12823" s="10" t="s">
        <v>54</v>
      </c>
    </row>
    <row r="12824" spans="1:20" ht="14.5" x14ac:dyDescent="0.35">
      <c r="A12824" s="10" t="s">
        <v>53901</v>
      </c>
      <c r="B12824" s="10" t="str">
        <f>"9781952812873"</f>
        <v>9781952812873</v>
      </c>
      <c r="C12824" s="10" t="str">
        <f>"9781952812880"</f>
        <v>9781952812880</v>
      </c>
      <c r="D12824" s="10" t="s">
        <v>37580</v>
      </c>
      <c r="E12824" s="10" t="s">
        <v>37581</v>
      </c>
      <c r="F12824" s="10" t="s">
        <v>37623</v>
      </c>
      <c r="G12824" s="10" t="s">
        <v>6317</v>
      </c>
      <c r="H12824" s="11">
        <v>44736</v>
      </c>
      <c r="I12824" s="10">
        <v>2022</v>
      </c>
      <c r="J12824" s="10" t="s">
        <v>37581</v>
      </c>
      <c r="K12824" s="10">
        <v>136</v>
      </c>
      <c r="L12824" s="10" t="s">
        <v>53902</v>
      </c>
      <c r="M12824" s="10">
        <v>1</v>
      </c>
      <c r="N12824" s="10"/>
      <c r="O12824" s="10"/>
      <c r="P12824" s="10" t="s">
        <v>29034</v>
      </c>
      <c r="Q12824" s="10">
        <v>370.71550000000002</v>
      </c>
      <c r="R12824" s="10" t="s">
        <v>53903</v>
      </c>
      <c r="S12824" s="10" t="s">
        <v>53</v>
      </c>
      <c r="T12824" s="10" t="s">
        <v>54</v>
      </c>
    </row>
    <row r="12825" spans="1:20" ht="14.5" x14ac:dyDescent="0.35">
      <c r="A12825" s="10" t="s">
        <v>53904</v>
      </c>
      <c r="B12825" s="10" t="str">
        <f>"9781949539387"</f>
        <v>9781949539387</v>
      </c>
      <c r="C12825" s="10" t="str">
        <f>"9781954631007"</f>
        <v>9781954631007</v>
      </c>
      <c r="D12825" s="10" t="s">
        <v>37580</v>
      </c>
      <c r="E12825" s="10" t="s">
        <v>37581</v>
      </c>
      <c r="F12825" s="10" t="s">
        <v>37623</v>
      </c>
      <c r="G12825" s="10" t="s">
        <v>6317</v>
      </c>
      <c r="H12825" s="11">
        <v>44784</v>
      </c>
      <c r="I12825" s="10">
        <v>2023</v>
      </c>
      <c r="J12825" s="10" t="s">
        <v>37581</v>
      </c>
      <c r="K12825" s="10">
        <v>152</v>
      </c>
      <c r="L12825" s="10" t="s">
        <v>49418</v>
      </c>
      <c r="M12825" s="10">
        <v>1</v>
      </c>
      <c r="N12825" s="10"/>
      <c r="O12825" s="10"/>
      <c r="P12825" s="10" t="s">
        <v>53905</v>
      </c>
      <c r="Q12825" s="10" t="s">
        <v>12854</v>
      </c>
      <c r="R12825" s="10" t="s">
        <v>53906</v>
      </c>
      <c r="S12825" s="10" t="s">
        <v>53</v>
      </c>
      <c r="T12825" s="10" t="s">
        <v>54</v>
      </c>
    </row>
    <row r="12826" spans="1:20" ht="14.5" x14ac:dyDescent="0.35">
      <c r="A12826" s="10" t="s">
        <v>53907</v>
      </c>
      <c r="B12826" s="10" t="str">
        <f>"9781943874804"</f>
        <v>9781943874804</v>
      </c>
      <c r="C12826" s="10" t="str">
        <f>"9781943874811"</f>
        <v>9781943874811</v>
      </c>
      <c r="D12826" s="10" t="s">
        <v>37580</v>
      </c>
      <c r="E12826" s="10" t="s">
        <v>37581</v>
      </c>
      <c r="F12826" s="10" t="s">
        <v>37623</v>
      </c>
      <c r="G12826" s="10" t="s">
        <v>6317</v>
      </c>
      <c r="H12826" s="11">
        <v>44784</v>
      </c>
      <c r="I12826" s="10">
        <v>2023</v>
      </c>
      <c r="J12826" s="10" t="s">
        <v>37581</v>
      </c>
      <c r="K12826" s="10">
        <v>216</v>
      </c>
      <c r="L12826" s="10" t="s">
        <v>53908</v>
      </c>
      <c r="M12826" s="10">
        <v>1</v>
      </c>
      <c r="N12826" s="10"/>
      <c r="O12826" s="10"/>
      <c r="P12826" s="10"/>
      <c r="Q12826" s="10"/>
      <c r="R12826" s="10" t="s">
        <v>53909</v>
      </c>
      <c r="S12826" s="10" t="s">
        <v>53</v>
      </c>
      <c r="T12826" s="10" t="s">
        <v>54</v>
      </c>
    </row>
    <row r="12827" spans="1:20" ht="14.5" x14ac:dyDescent="0.35">
      <c r="A12827" s="10" t="s">
        <v>53910</v>
      </c>
      <c r="B12827" s="10" t="str">
        <f>"9781416630876"</f>
        <v>9781416630876</v>
      </c>
      <c r="C12827" s="10" t="str">
        <f>"9781416630890"</f>
        <v>9781416630890</v>
      </c>
      <c r="D12827" s="10" t="s">
        <v>10014</v>
      </c>
      <c r="E12827" s="10" t="s">
        <v>10015</v>
      </c>
      <c r="F12827" s="10" t="s">
        <v>201</v>
      </c>
      <c r="G12827" s="10" t="s">
        <v>6317</v>
      </c>
      <c r="H12827" s="11">
        <v>44662</v>
      </c>
      <c r="I12827" s="10">
        <v>2022</v>
      </c>
      <c r="J12827" s="10" t="s">
        <v>10015</v>
      </c>
      <c r="K12827" s="10">
        <v>233</v>
      </c>
      <c r="L12827" s="10" t="s">
        <v>53911</v>
      </c>
      <c r="M12827" s="10">
        <v>1</v>
      </c>
      <c r="N12827" s="10"/>
      <c r="O12827" s="10"/>
      <c r="P12827" s="10" t="s">
        <v>53912</v>
      </c>
      <c r="Q12827" s="10">
        <v>373.11020000000002</v>
      </c>
      <c r="R12827" s="10" t="s">
        <v>53913</v>
      </c>
      <c r="S12827" s="10" t="s">
        <v>53</v>
      </c>
      <c r="T12827" s="10" t="s">
        <v>54</v>
      </c>
    </row>
    <row r="12828" spans="1:20" ht="14.5" x14ac:dyDescent="0.35">
      <c r="A12828" s="10" t="s">
        <v>53914</v>
      </c>
      <c r="B12828" s="10" t="str">
        <f>"9781642675016"</f>
        <v>9781642675016</v>
      </c>
      <c r="C12828" s="10" t="str">
        <f>"9781642675023"</f>
        <v>9781642675023</v>
      </c>
      <c r="D12828" s="10" t="s">
        <v>44271</v>
      </c>
      <c r="E12828" s="10" t="s">
        <v>53915</v>
      </c>
      <c r="F12828" s="10" t="s">
        <v>41227</v>
      </c>
      <c r="G12828" s="10" t="s">
        <v>6317</v>
      </c>
      <c r="H12828" s="11">
        <v>44742</v>
      </c>
      <c r="I12828" s="10">
        <v>2022</v>
      </c>
      <c r="J12828" s="10" t="s">
        <v>53915</v>
      </c>
      <c r="K12828" s="10">
        <v>290</v>
      </c>
      <c r="L12828" s="10" t="s">
        <v>53916</v>
      </c>
      <c r="M12828" s="10">
        <v>3</v>
      </c>
      <c r="N12828" s="10"/>
      <c r="O12828" s="10"/>
      <c r="P12828" s="10" t="s">
        <v>13145</v>
      </c>
      <c r="Q12828" s="10">
        <v>370.15230000000003</v>
      </c>
      <c r="R12828" s="10" t="s">
        <v>53917</v>
      </c>
      <c r="S12828" s="10" t="s">
        <v>53</v>
      </c>
      <c r="T12828" s="10" t="s">
        <v>54</v>
      </c>
    </row>
    <row r="12829" spans="1:20" ht="14.5" x14ac:dyDescent="0.35">
      <c r="A12829" s="10" t="s">
        <v>53918</v>
      </c>
      <c r="B12829" s="10" t="str">
        <f>"9781871891294"</f>
        <v>9781871891294</v>
      </c>
      <c r="C12829" s="10" t="str">
        <f>"9781871891300"</f>
        <v>9781871891300</v>
      </c>
      <c r="D12829" s="10" t="s">
        <v>53891</v>
      </c>
      <c r="E12829" s="10" t="s">
        <v>53892</v>
      </c>
      <c r="F12829" s="10" t="s">
        <v>1019</v>
      </c>
      <c r="G12829" s="10" t="s">
        <v>6352</v>
      </c>
      <c r="H12829" s="11">
        <v>44743</v>
      </c>
      <c r="I12829" s="10">
        <v>2022</v>
      </c>
      <c r="J12829" s="10" t="s">
        <v>53892</v>
      </c>
      <c r="K12829" s="10">
        <v>429</v>
      </c>
      <c r="L12829" s="10" t="s">
        <v>50002</v>
      </c>
      <c r="M12829" s="10">
        <v>1</v>
      </c>
      <c r="N12829" s="10"/>
      <c r="O12829" s="10"/>
      <c r="P12829" s="10"/>
      <c r="Q12829" s="10"/>
      <c r="R12829" s="10"/>
      <c r="S12829" s="10" t="s">
        <v>53</v>
      </c>
      <c r="T12829" s="10" t="s">
        <v>54</v>
      </c>
    </row>
    <row r="12830" spans="1:20" ht="14.5" x14ac:dyDescent="0.35">
      <c r="A12830" s="10" t="s">
        <v>53919</v>
      </c>
      <c r="B12830" s="10" t="str">
        <f>"9781642674651"</f>
        <v>9781642674651</v>
      </c>
      <c r="C12830" s="10" t="str">
        <f>"9781642674668"</f>
        <v>9781642674668</v>
      </c>
      <c r="D12830" s="10" t="s">
        <v>44271</v>
      </c>
      <c r="E12830" s="10" t="s">
        <v>53915</v>
      </c>
      <c r="F12830" s="10" t="s">
        <v>41227</v>
      </c>
      <c r="G12830" s="10" t="s">
        <v>6317</v>
      </c>
      <c r="H12830" s="11">
        <v>44686</v>
      </c>
      <c r="I12830" s="10">
        <v>2022</v>
      </c>
      <c r="J12830" s="10" t="s">
        <v>53915</v>
      </c>
      <c r="K12830" s="10">
        <v>182</v>
      </c>
      <c r="L12830" s="10" t="s">
        <v>53920</v>
      </c>
      <c r="M12830" s="10">
        <v>1</v>
      </c>
      <c r="N12830" s="10"/>
      <c r="O12830" s="10"/>
      <c r="P12830" s="10" t="s">
        <v>15038</v>
      </c>
      <c r="Q12830" s="10">
        <v>370.15</v>
      </c>
      <c r="R12830" s="10" t="s">
        <v>53921</v>
      </c>
      <c r="S12830" s="10" t="s">
        <v>53</v>
      </c>
      <c r="T12830" s="10" t="s">
        <v>54</v>
      </c>
    </row>
    <row r="12831" spans="1:20" ht="14.5" x14ac:dyDescent="0.35">
      <c r="A12831" s="10" t="s">
        <v>53922</v>
      </c>
      <c r="B12831" s="10" t="str">
        <f>"9781416631392"</f>
        <v>9781416631392</v>
      </c>
      <c r="C12831" s="10" t="str">
        <f>"9781416631415"</f>
        <v>9781416631415</v>
      </c>
      <c r="D12831" s="10" t="s">
        <v>10014</v>
      </c>
      <c r="E12831" s="10" t="s">
        <v>10015</v>
      </c>
      <c r="F12831" s="10" t="s">
        <v>1129</v>
      </c>
      <c r="G12831" s="10" t="s">
        <v>6317</v>
      </c>
      <c r="H12831" s="11">
        <v>44840</v>
      </c>
      <c r="I12831" s="10">
        <v>2023</v>
      </c>
      <c r="J12831" s="10" t="s">
        <v>10015</v>
      </c>
      <c r="K12831" s="10">
        <v>188</v>
      </c>
      <c r="L12831" s="10" t="s">
        <v>53923</v>
      </c>
      <c r="M12831" s="10">
        <v>1</v>
      </c>
      <c r="N12831" s="10"/>
      <c r="O12831" s="10"/>
      <c r="P12831" s="10" t="s">
        <v>53924</v>
      </c>
      <c r="Q12831" s="10">
        <v>370.72699999999998</v>
      </c>
      <c r="R12831" s="10" t="s">
        <v>53925</v>
      </c>
      <c r="S12831" s="10" t="s">
        <v>53</v>
      </c>
      <c r="T12831" s="10" t="s">
        <v>54</v>
      </c>
    </row>
    <row r="12832" spans="1:20" ht="14.5" x14ac:dyDescent="0.35">
      <c r="A12832" s="10" t="s">
        <v>53926</v>
      </c>
      <c r="B12832" s="10" t="str">
        <f>"9781416631422"</f>
        <v>9781416631422</v>
      </c>
      <c r="C12832" s="10" t="str">
        <f>"9781416631439"</f>
        <v>9781416631439</v>
      </c>
      <c r="D12832" s="10" t="s">
        <v>10014</v>
      </c>
      <c r="E12832" s="10" t="s">
        <v>10015</v>
      </c>
      <c r="F12832" s="10" t="s">
        <v>1129</v>
      </c>
      <c r="G12832" s="10" t="s">
        <v>6317</v>
      </c>
      <c r="H12832" s="11">
        <v>44848</v>
      </c>
      <c r="I12832" s="10">
        <v>2023</v>
      </c>
      <c r="J12832" s="10" t="s">
        <v>10015</v>
      </c>
      <c r="K12832" s="10">
        <v>168</v>
      </c>
      <c r="L12832" s="10" t="s">
        <v>53927</v>
      </c>
      <c r="M12832" s="10">
        <v>1</v>
      </c>
      <c r="N12832" s="10"/>
      <c r="O12832" s="10"/>
      <c r="P12832" s="10" t="s">
        <v>53928</v>
      </c>
      <c r="Q12832" s="10">
        <v>370.11</v>
      </c>
      <c r="R12832" s="10" t="s">
        <v>53929</v>
      </c>
      <c r="S12832" s="10" t="s">
        <v>53</v>
      </c>
      <c r="T12832" s="10" t="s">
        <v>54</v>
      </c>
    </row>
    <row r="12833" spans="1:20" ht="14.5" x14ac:dyDescent="0.35">
      <c r="A12833" s="10" t="s">
        <v>53930</v>
      </c>
      <c r="B12833" s="10" t="str">
        <f>""</f>
        <v/>
      </c>
      <c r="C12833" s="10" t="str">
        <f>"9789264384026"</f>
        <v>9789264384026</v>
      </c>
      <c r="D12833" s="10" t="s">
        <v>52292</v>
      </c>
      <c r="E12833" s="10" t="s">
        <v>52311</v>
      </c>
      <c r="F12833" s="10" t="s">
        <v>194</v>
      </c>
      <c r="G12833" s="10" t="s">
        <v>31597</v>
      </c>
      <c r="H12833" s="11">
        <v>44621</v>
      </c>
      <c r="I12833" s="10">
        <v>2022</v>
      </c>
      <c r="J12833" s="10" t="s">
        <v>52311</v>
      </c>
      <c r="K12833" s="10">
        <v>106</v>
      </c>
      <c r="L12833" s="10" t="s">
        <v>52292</v>
      </c>
      <c r="M12833" s="10">
        <v>1</v>
      </c>
      <c r="N12833" s="10"/>
      <c r="O12833" s="10"/>
      <c r="P12833" s="10"/>
      <c r="Q12833" s="10"/>
      <c r="R12833" s="10"/>
      <c r="S12833" s="10" t="s">
        <v>53</v>
      </c>
      <c r="T12833" s="10" t="s">
        <v>6660</v>
      </c>
    </row>
    <row r="12834" spans="1:20" ht="14.5" x14ac:dyDescent="0.35">
      <c r="A12834" s="10" t="s">
        <v>53931</v>
      </c>
      <c r="B12834" s="10" t="str">
        <f>""</f>
        <v/>
      </c>
      <c r="C12834" s="10" t="str">
        <f>"9789264859500"</f>
        <v>9789264859500</v>
      </c>
      <c r="D12834" s="10" t="s">
        <v>52292</v>
      </c>
      <c r="E12834" s="10" t="s">
        <v>52311</v>
      </c>
      <c r="F12834" s="10" t="s">
        <v>194</v>
      </c>
      <c r="G12834" s="10" t="s">
        <v>31597</v>
      </c>
      <c r="H12834" s="11">
        <v>44630</v>
      </c>
      <c r="I12834" s="10">
        <v>2022</v>
      </c>
      <c r="J12834" s="10" t="s">
        <v>52311</v>
      </c>
      <c r="K12834" s="10">
        <v>98</v>
      </c>
      <c r="L12834" s="10" t="s">
        <v>52292</v>
      </c>
      <c r="M12834" s="10">
        <v>1</v>
      </c>
      <c r="N12834" s="10"/>
      <c r="O12834" s="10"/>
      <c r="P12834" s="10"/>
      <c r="Q12834" s="10"/>
      <c r="R12834" s="10" t="s">
        <v>24042</v>
      </c>
      <c r="S12834" s="10" t="s">
        <v>53</v>
      </c>
      <c r="T12834" s="10" t="s">
        <v>6660</v>
      </c>
    </row>
    <row r="12835" spans="1:20" ht="14.5" x14ac:dyDescent="0.35">
      <c r="A12835" s="10" t="s">
        <v>53932</v>
      </c>
      <c r="B12835" s="10" t="str">
        <f>"9781641891974"</f>
        <v>9781641891974</v>
      </c>
      <c r="C12835" s="10" t="str">
        <f>"9781802700701"</f>
        <v>9781802700701</v>
      </c>
      <c r="D12835" s="10" t="s">
        <v>13287</v>
      </c>
      <c r="E12835" s="10" t="s">
        <v>50849</v>
      </c>
      <c r="F12835" s="10" t="s">
        <v>1818</v>
      </c>
      <c r="G12835" s="10" t="s">
        <v>9233</v>
      </c>
      <c r="H12835" s="11">
        <v>44834</v>
      </c>
      <c r="I12835" s="10">
        <v>2022</v>
      </c>
      <c r="J12835" s="10" t="s">
        <v>50849</v>
      </c>
      <c r="K12835" s="10">
        <v>118</v>
      </c>
      <c r="L12835" s="10" t="s">
        <v>53933</v>
      </c>
      <c r="M12835" s="10">
        <v>1</v>
      </c>
      <c r="N12835" s="10" t="s">
        <v>50851</v>
      </c>
      <c r="O12835" s="10"/>
      <c r="P12835" s="10" t="s">
        <v>53934</v>
      </c>
      <c r="Q12835" s="10">
        <v>909.07</v>
      </c>
      <c r="R12835" s="10" t="s">
        <v>13858</v>
      </c>
      <c r="S12835" s="10" t="s">
        <v>53</v>
      </c>
      <c r="T12835" s="10" t="s">
        <v>28660</v>
      </c>
    </row>
    <row r="12836" spans="1:20" ht="14.5" x14ac:dyDescent="0.35">
      <c r="A12836" s="10" t="s">
        <v>53935</v>
      </c>
      <c r="B12836" s="10" t="str">
        <f>"9781503613560"</f>
        <v>9781503613560</v>
      </c>
      <c r="C12836" s="10" t="str">
        <f>"9781503633698"</f>
        <v>9781503633698</v>
      </c>
      <c r="D12836" s="10" t="s">
        <v>16213</v>
      </c>
      <c r="E12836" s="10" t="s">
        <v>16213</v>
      </c>
      <c r="F12836" s="10" t="s">
        <v>16214</v>
      </c>
      <c r="G12836" s="10" t="s">
        <v>6317</v>
      </c>
      <c r="H12836" s="11">
        <v>44908</v>
      </c>
      <c r="I12836" s="10">
        <v>2022</v>
      </c>
      <c r="J12836" s="10" t="s">
        <v>16213</v>
      </c>
      <c r="K12836" s="10">
        <v>242</v>
      </c>
      <c r="L12836" s="10" t="s">
        <v>53936</v>
      </c>
      <c r="M12836" s="10">
        <v>1</v>
      </c>
      <c r="N12836" s="10"/>
      <c r="O12836" s="10"/>
      <c r="P12836" s="10"/>
      <c r="Q12836" s="10">
        <v>344.73017613399998</v>
      </c>
      <c r="R12836" s="10" t="s">
        <v>53937</v>
      </c>
      <c r="S12836" s="10" t="s">
        <v>53</v>
      </c>
      <c r="T12836" s="10" t="s">
        <v>5396</v>
      </c>
    </row>
    <row r="12837" spans="1:20" ht="14.5" x14ac:dyDescent="0.35">
      <c r="A12837" s="10" t="s">
        <v>53938</v>
      </c>
      <c r="B12837" s="10" t="str">
        <f>"9781942876939"</f>
        <v>9781942876939</v>
      </c>
      <c r="C12837" s="10" t="str">
        <f>"9781942876946"</f>
        <v>9781942876946</v>
      </c>
      <c r="D12837" s="10" t="s">
        <v>24820</v>
      </c>
      <c r="E12837" s="10" t="s">
        <v>48680</v>
      </c>
      <c r="F12837" s="10" t="s">
        <v>748</v>
      </c>
      <c r="G12837" s="10" t="s">
        <v>24822</v>
      </c>
      <c r="H12837" s="11">
        <v>44739</v>
      </c>
      <c r="I12837" s="10">
        <v>2022</v>
      </c>
      <c r="J12837" s="10" t="s">
        <v>48680</v>
      </c>
      <c r="K12837" s="10">
        <v>64</v>
      </c>
      <c r="L12837" s="10" t="s">
        <v>53939</v>
      </c>
      <c r="M12837" s="10">
        <v>1</v>
      </c>
      <c r="N12837" s="10"/>
      <c r="O12837" s="10"/>
      <c r="P12837" s="10"/>
      <c r="Q12837" s="10"/>
      <c r="R12837" s="10"/>
      <c r="S12837" s="10" t="s">
        <v>53</v>
      </c>
      <c r="T12837" s="10" t="s">
        <v>6800</v>
      </c>
    </row>
    <row r="12838" spans="1:20" ht="14.5" x14ac:dyDescent="0.35">
      <c r="A12838" s="10" t="s">
        <v>53940</v>
      </c>
      <c r="B12838" s="10" t="str">
        <f>"9789087281649"</f>
        <v>9789087281649</v>
      </c>
      <c r="C12838" s="10" t="str">
        <f>"9789400600928"</f>
        <v>9789400600928</v>
      </c>
      <c r="D12838" s="10" t="s">
        <v>13287</v>
      </c>
      <c r="E12838" s="10" t="s">
        <v>13287</v>
      </c>
      <c r="F12838" s="10" t="s">
        <v>1818</v>
      </c>
      <c r="G12838" s="10" t="s">
        <v>9233</v>
      </c>
      <c r="H12838" s="11">
        <v>41609</v>
      </c>
      <c r="I12838" s="10">
        <v>2014</v>
      </c>
      <c r="J12838" s="10" t="s">
        <v>36067</v>
      </c>
      <c r="K12838" s="10">
        <v>269</v>
      </c>
      <c r="L12838" s="10" t="s">
        <v>53941</v>
      </c>
      <c r="M12838" s="10">
        <v>1</v>
      </c>
      <c r="N12838" s="10"/>
      <c r="O12838" s="10"/>
      <c r="P12838" s="10" t="s">
        <v>53942</v>
      </c>
      <c r="Q12838" s="10">
        <v>111.85</v>
      </c>
      <c r="R12838" s="10" t="s">
        <v>53943</v>
      </c>
      <c r="S12838" s="10" t="s">
        <v>53</v>
      </c>
      <c r="T12838" s="10" t="s">
        <v>29774</v>
      </c>
    </row>
    <row r="12839" spans="1:20" ht="14.5" x14ac:dyDescent="0.35">
      <c r="A12839" s="10" t="s">
        <v>53944</v>
      </c>
      <c r="B12839" s="10" t="str">
        <f>""</f>
        <v/>
      </c>
      <c r="C12839" s="10" t="str">
        <f>"9789048555055"</f>
        <v>9789048555055</v>
      </c>
      <c r="D12839" s="10" t="s">
        <v>13287</v>
      </c>
      <c r="E12839" s="10" t="s">
        <v>13287</v>
      </c>
      <c r="F12839" s="10" t="s">
        <v>1818</v>
      </c>
      <c r="G12839" s="10" t="s">
        <v>9233</v>
      </c>
      <c r="H12839" s="11">
        <v>44348</v>
      </c>
      <c r="I12839" s="10">
        <v>2021</v>
      </c>
      <c r="J12839" s="10" t="s">
        <v>13287</v>
      </c>
      <c r="K12839" s="10">
        <v>137</v>
      </c>
      <c r="L12839" s="10" t="s">
        <v>53945</v>
      </c>
      <c r="M12839" s="10">
        <v>1</v>
      </c>
      <c r="N12839" s="10"/>
      <c r="O12839" s="10"/>
      <c r="P12839" s="10"/>
      <c r="Q12839" s="10"/>
      <c r="R12839" s="10" t="s">
        <v>53946</v>
      </c>
      <c r="S12839" s="10" t="s">
        <v>53</v>
      </c>
      <c r="T12839" s="10" t="s">
        <v>16298</v>
      </c>
    </row>
    <row r="12840" spans="1:20" ht="14.5" x14ac:dyDescent="0.35">
      <c r="A12840" s="10" t="s">
        <v>53947</v>
      </c>
      <c r="B12840" s="10" t="str">
        <f>"9780822947264"</f>
        <v>9780822947264</v>
      </c>
      <c r="C12840" s="10" t="str">
        <f>"9780822988984"</f>
        <v>9780822988984</v>
      </c>
      <c r="D12840" s="10" t="s">
        <v>31206</v>
      </c>
      <c r="E12840" s="10" t="s">
        <v>31206</v>
      </c>
      <c r="F12840" s="10" t="s">
        <v>1534</v>
      </c>
      <c r="G12840" s="10" t="s">
        <v>6317</v>
      </c>
      <c r="H12840" s="11">
        <v>44873</v>
      </c>
      <c r="I12840" s="10">
        <v>2022</v>
      </c>
      <c r="J12840" s="10" t="s">
        <v>31206</v>
      </c>
      <c r="K12840" s="10">
        <v>276</v>
      </c>
      <c r="L12840" s="10" t="s">
        <v>53948</v>
      </c>
      <c r="M12840" s="10">
        <v>1</v>
      </c>
      <c r="N12840" s="10" t="s">
        <v>53949</v>
      </c>
      <c r="O12840" s="10"/>
      <c r="P12840" s="10" t="s">
        <v>53950</v>
      </c>
      <c r="Q12840" s="10">
        <v>306.44261073000001</v>
      </c>
      <c r="R12840" s="10" t="s">
        <v>53951</v>
      </c>
      <c r="S12840" s="10" t="s">
        <v>53</v>
      </c>
      <c r="T12840" s="10" t="s">
        <v>8412</v>
      </c>
    </row>
    <row r="12841" spans="1:20" ht="14.5" x14ac:dyDescent="0.35">
      <c r="A12841" s="10" t="s">
        <v>53952</v>
      </c>
      <c r="B12841" s="10" t="str">
        <f>"9789356221765"</f>
        <v>9789356221765</v>
      </c>
      <c r="C12841" s="10" t="str">
        <f>"9789356221765"</f>
        <v>9789356221765</v>
      </c>
      <c r="D12841" s="10" t="s">
        <v>53953</v>
      </c>
      <c r="E12841" s="10" t="s">
        <v>53954</v>
      </c>
      <c r="F12841" s="10" t="s">
        <v>17310</v>
      </c>
      <c r="G12841" s="10" t="s">
        <v>13425</v>
      </c>
      <c r="H12841" s="11">
        <v>44678</v>
      </c>
      <c r="I12841" s="10">
        <v>2022</v>
      </c>
      <c r="J12841" s="10" t="s">
        <v>53954</v>
      </c>
      <c r="K12841" s="10">
        <v>264</v>
      </c>
      <c r="L12841" s="10" t="s">
        <v>53955</v>
      </c>
      <c r="M12841" s="10">
        <v>1</v>
      </c>
      <c r="N12841" s="10"/>
      <c r="O12841" s="10"/>
      <c r="P12841" s="10"/>
      <c r="Q12841" s="10"/>
      <c r="R12841" s="10"/>
      <c r="S12841" s="10" t="s">
        <v>53</v>
      </c>
      <c r="T12841" s="10" t="s">
        <v>54</v>
      </c>
    </row>
    <row r="12842" spans="1:20" ht="14.5" x14ac:dyDescent="0.35">
      <c r="A12842" s="10" t="s">
        <v>53956</v>
      </c>
      <c r="B12842" s="10" t="str">
        <f>"9789356223899"</f>
        <v>9789356223899</v>
      </c>
      <c r="C12842" s="10" t="str">
        <f>"9789356223899"</f>
        <v>9789356223899</v>
      </c>
      <c r="D12842" s="10" t="s">
        <v>53953</v>
      </c>
      <c r="E12842" s="10" t="s">
        <v>53954</v>
      </c>
      <c r="F12842" s="10" t="s">
        <v>17310</v>
      </c>
      <c r="G12842" s="10" t="s">
        <v>13425</v>
      </c>
      <c r="H12842" s="11">
        <v>44820</v>
      </c>
      <c r="I12842" s="10">
        <v>2022</v>
      </c>
      <c r="J12842" s="10" t="s">
        <v>53954</v>
      </c>
      <c r="K12842" s="10">
        <v>322</v>
      </c>
      <c r="L12842" s="10" t="s">
        <v>53957</v>
      </c>
      <c r="M12842" s="10">
        <v>1</v>
      </c>
      <c r="N12842" s="10"/>
      <c r="O12842" s="10"/>
      <c r="P12842" s="10"/>
      <c r="Q12842" s="10"/>
      <c r="R12842" s="10"/>
      <c r="S12842" s="10" t="s">
        <v>53</v>
      </c>
      <c r="T12842" s="10" t="s">
        <v>54</v>
      </c>
    </row>
    <row r="12843" spans="1:20" ht="14.5" x14ac:dyDescent="0.35">
      <c r="A12843" s="10" t="s">
        <v>53958</v>
      </c>
      <c r="B12843" s="10" t="str">
        <f>"9781628375244"</f>
        <v>9781628375244</v>
      </c>
      <c r="C12843" s="10" t="str">
        <f>"9781628375268"</f>
        <v>9781628375268</v>
      </c>
      <c r="D12843" s="10" t="s">
        <v>47416</v>
      </c>
      <c r="E12843" s="10" t="s">
        <v>47416</v>
      </c>
      <c r="F12843" s="10" t="s">
        <v>1507</v>
      </c>
      <c r="G12843" s="10" t="s">
        <v>6317</v>
      </c>
      <c r="H12843" s="11">
        <v>44764</v>
      </c>
      <c r="I12843" s="10">
        <v>2022</v>
      </c>
      <c r="J12843" s="10" t="s">
        <v>47416</v>
      </c>
      <c r="K12843" s="10">
        <v>299</v>
      </c>
      <c r="L12843" s="10" t="s">
        <v>53959</v>
      </c>
      <c r="M12843" s="10">
        <v>1</v>
      </c>
      <c r="N12843" s="10" t="s">
        <v>47419</v>
      </c>
      <c r="O12843" s="10">
        <v>99</v>
      </c>
      <c r="P12843" s="10" t="s">
        <v>53960</v>
      </c>
      <c r="Q12843" s="10"/>
      <c r="R12843" s="10"/>
      <c r="S12843" s="10" t="s">
        <v>53</v>
      </c>
      <c r="T12843" s="10" t="s">
        <v>8346</v>
      </c>
    </row>
    <row r="12844" spans="1:20" ht="14.5" x14ac:dyDescent="0.35">
      <c r="A12844" s="10" t="s">
        <v>53961</v>
      </c>
      <c r="B12844" s="10" t="str">
        <f>""</f>
        <v/>
      </c>
      <c r="C12844" s="10" t="str">
        <f>"9789264062665"</f>
        <v>9789264062665</v>
      </c>
      <c r="D12844" s="10" t="s">
        <v>52292</v>
      </c>
      <c r="E12844" s="10" t="s">
        <v>52311</v>
      </c>
      <c r="F12844" s="10" t="s">
        <v>194</v>
      </c>
      <c r="G12844" s="10" t="s">
        <v>31597</v>
      </c>
      <c r="H12844" s="11">
        <v>41281</v>
      </c>
      <c r="I12844" s="10">
        <v>2013</v>
      </c>
      <c r="J12844" s="10" t="s">
        <v>52311</v>
      </c>
      <c r="K12844" s="10">
        <v>110</v>
      </c>
      <c r="L12844" s="10" t="s">
        <v>53962</v>
      </c>
      <c r="M12844" s="10">
        <v>1</v>
      </c>
      <c r="N12844" s="10"/>
      <c r="O12844" s="10"/>
      <c r="P12844" s="10" t="s">
        <v>53963</v>
      </c>
      <c r="Q12844" s="10"/>
      <c r="R12844" s="10" t="s">
        <v>53964</v>
      </c>
      <c r="S12844" s="10" t="s">
        <v>53</v>
      </c>
      <c r="T12844" s="10" t="s">
        <v>54</v>
      </c>
    </row>
    <row r="12845" spans="1:20" ht="14.5" x14ac:dyDescent="0.35">
      <c r="A12845" s="10" t="s">
        <v>53965</v>
      </c>
      <c r="B12845" s="10" t="str">
        <f>"9789264313064"</f>
        <v>9789264313064</v>
      </c>
      <c r="C12845" s="10" t="str">
        <f>"9789264313071"</f>
        <v>9789264313071</v>
      </c>
      <c r="D12845" s="10" t="s">
        <v>52292</v>
      </c>
      <c r="E12845" s="10" t="s">
        <v>52311</v>
      </c>
      <c r="F12845" s="10" t="s">
        <v>194</v>
      </c>
      <c r="G12845" s="10" t="s">
        <v>31597</v>
      </c>
      <c r="H12845" s="11">
        <v>43574</v>
      </c>
      <c r="I12845" s="10">
        <v>2019</v>
      </c>
      <c r="J12845" s="10" t="s">
        <v>52311</v>
      </c>
      <c r="K12845" s="10">
        <v>142</v>
      </c>
      <c r="L12845" s="10" t="s">
        <v>53966</v>
      </c>
      <c r="M12845" s="10">
        <v>1</v>
      </c>
      <c r="N12845" s="10"/>
      <c r="O12845" s="10"/>
      <c r="P12845" s="10" t="s">
        <v>53967</v>
      </c>
      <c r="Q12845" s="10"/>
      <c r="R12845" s="10" t="s">
        <v>53964</v>
      </c>
      <c r="S12845" s="10" t="s">
        <v>53</v>
      </c>
      <c r="T12845" s="10" t="s">
        <v>54</v>
      </c>
    </row>
    <row r="12846" spans="1:20" ht="14.5" x14ac:dyDescent="0.35">
      <c r="A12846" s="10" t="s">
        <v>49288</v>
      </c>
      <c r="B12846" s="10" t="str">
        <f>""</f>
        <v/>
      </c>
      <c r="C12846" s="10" t="str">
        <f>"9788793609174"</f>
        <v>9788793609174</v>
      </c>
      <c r="D12846" s="10" t="s">
        <v>37560</v>
      </c>
      <c r="E12846" s="10" t="s">
        <v>37560</v>
      </c>
      <c r="F12846" s="10" t="s">
        <v>37561</v>
      </c>
      <c r="G12846" s="10" t="s">
        <v>37405</v>
      </c>
      <c r="H12846" s="11">
        <v>43069</v>
      </c>
      <c r="I12846" s="10">
        <v>2017</v>
      </c>
      <c r="J12846" s="10" t="s">
        <v>37560</v>
      </c>
      <c r="K12846" s="10">
        <v>194</v>
      </c>
      <c r="L12846" s="10" t="s">
        <v>49289</v>
      </c>
      <c r="M12846" s="10">
        <v>1</v>
      </c>
      <c r="N12846" s="10"/>
      <c r="O12846" s="10"/>
      <c r="P12846" s="10"/>
      <c r="Q12846" s="10">
        <v>378.24</v>
      </c>
      <c r="R12846" s="10"/>
      <c r="S12846" s="10" t="s">
        <v>53</v>
      </c>
      <c r="T12846" s="10" t="s">
        <v>54</v>
      </c>
    </row>
    <row r="12847" spans="1:20" ht="14.5" x14ac:dyDescent="0.35">
      <c r="A12847" s="10" t="s">
        <v>53968</v>
      </c>
      <c r="B12847" s="10" t="str">
        <f>""</f>
        <v/>
      </c>
      <c r="C12847" s="10" t="str">
        <f>"9788770224345"</f>
        <v>9788770224345</v>
      </c>
      <c r="D12847" s="10" t="s">
        <v>37560</v>
      </c>
      <c r="E12847" s="10" t="s">
        <v>37560</v>
      </c>
      <c r="F12847" s="10" t="s">
        <v>37561</v>
      </c>
      <c r="G12847" s="10" t="s">
        <v>37405</v>
      </c>
      <c r="H12847" s="11">
        <v>44408</v>
      </c>
      <c r="I12847" s="10">
        <v>2021</v>
      </c>
      <c r="J12847" s="10" t="s">
        <v>37560</v>
      </c>
      <c r="K12847" s="10">
        <v>190</v>
      </c>
      <c r="L12847" s="10" t="s">
        <v>53969</v>
      </c>
      <c r="M12847" s="10">
        <v>1</v>
      </c>
      <c r="N12847" s="10"/>
      <c r="O12847" s="10"/>
      <c r="P12847" s="10" t="s">
        <v>53970</v>
      </c>
      <c r="Q12847" s="10">
        <v>623.04300000000001</v>
      </c>
      <c r="R12847" s="10" t="s">
        <v>53971</v>
      </c>
      <c r="S12847" s="10" t="s">
        <v>53</v>
      </c>
      <c r="T12847" s="10" t="s">
        <v>53972</v>
      </c>
    </row>
    <row r="12848" spans="1:20" ht="14.5" x14ac:dyDescent="0.35">
      <c r="A12848" s="10" t="s">
        <v>53973</v>
      </c>
      <c r="B12848" s="10" t="str">
        <f>"9781773854397"</f>
        <v>9781773854397</v>
      </c>
      <c r="C12848" s="10" t="str">
        <f>"9781773854410"</f>
        <v>9781773854410</v>
      </c>
      <c r="D12848" s="10" t="s">
        <v>18420</v>
      </c>
      <c r="E12848" s="10" t="s">
        <v>53974</v>
      </c>
      <c r="F12848" s="10" t="s">
        <v>742</v>
      </c>
      <c r="G12848" s="10" t="s">
        <v>9536</v>
      </c>
      <c r="H12848" s="11">
        <v>44910</v>
      </c>
      <c r="I12848" s="10">
        <v>2022</v>
      </c>
      <c r="J12848" s="10" t="s">
        <v>53974</v>
      </c>
      <c r="K12848" s="10">
        <v>410</v>
      </c>
      <c r="L12848" s="10" t="s">
        <v>53975</v>
      </c>
      <c r="M12848" s="10">
        <v>1</v>
      </c>
      <c r="N12848" s="10"/>
      <c r="O12848" s="10"/>
      <c r="P12848" s="10"/>
      <c r="Q12848" s="10">
        <v>361.30715500000002</v>
      </c>
      <c r="R12848" s="10" t="s">
        <v>53976</v>
      </c>
      <c r="S12848" s="10" t="s">
        <v>53</v>
      </c>
      <c r="T12848" s="10" t="s">
        <v>6363</v>
      </c>
    </row>
    <row r="12849" spans="1:20" ht="14.5" x14ac:dyDescent="0.35">
      <c r="A12849" s="10" t="s">
        <v>53977</v>
      </c>
      <c r="B12849" s="10" t="str">
        <f>"9781416628361"</f>
        <v>9781416628361</v>
      </c>
      <c r="C12849" s="10" t="str">
        <f>"9781416628873"</f>
        <v>9781416628873</v>
      </c>
      <c r="D12849" s="10" t="s">
        <v>10014</v>
      </c>
      <c r="E12849" s="10" t="s">
        <v>10015</v>
      </c>
      <c r="F12849" s="10" t="s">
        <v>201</v>
      </c>
      <c r="G12849" s="10" t="s">
        <v>6317</v>
      </c>
      <c r="H12849" s="11">
        <v>43889</v>
      </c>
      <c r="I12849" s="10">
        <v>2020</v>
      </c>
      <c r="J12849" s="10" t="s">
        <v>10015</v>
      </c>
      <c r="K12849" s="10">
        <v>266</v>
      </c>
      <c r="L12849" s="10" t="s">
        <v>53978</v>
      </c>
      <c r="M12849" s="10">
        <v>1</v>
      </c>
      <c r="N12849" s="10"/>
      <c r="O12849" s="10"/>
      <c r="P12849" s="10" t="s">
        <v>53979</v>
      </c>
      <c r="Q12849" s="10" t="s">
        <v>15735</v>
      </c>
      <c r="R12849" s="10" t="s">
        <v>53980</v>
      </c>
      <c r="S12849" s="10" t="s">
        <v>53</v>
      </c>
      <c r="T12849" s="10" t="s">
        <v>54</v>
      </c>
    </row>
    <row r="12850" spans="1:20" ht="14.5" x14ac:dyDescent="0.35">
      <c r="A12850" s="10" t="s">
        <v>53981</v>
      </c>
      <c r="B12850" s="10" t="str">
        <f>"9781620366219"</f>
        <v>9781620366219</v>
      </c>
      <c r="C12850" s="10" t="str">
        <f>"9781620366233"</f>
        <v>9781620366233</v>
      </c>
      <c r="D12850" s="10" t="s">
        <v>44271</v>
      </c>
      <c r="E12850" s="10" t="s">
        <v>53915</v>
      </c>
      <c r="F12850" s="10" t="s">
        <v>41227</v>
      </c>
      <c r="G12850" s="10" t="s">
        <v>6317</v>
      </c>
      <c r="H12850" s="11">
        <v>44560</v>
      </c>
      <c r="I12850" s="10">
        <v>2021</v>
      </c>
      <c r="J12850" s="10" t="s">
        <v>53915</v>
      </c>
      <c r="K12850" s="10">
        <v>0</v>
      </c>
      <c r="L12850" s="10" t="s">
        <v>53982</v>
      </c>
      <c r="M12850" s="10">
        <v>1</v>
      </c>
      <c r="N12850" s="10" t="s">
        <v>20888</v>
      </c>
      <c r="O12850" s="10"/>
      <c r="P12850" s="10"/>
      <c r="Q12850" s="10">
        <v>370.15230000000003</v>
      </c>
      <c r="R12850" s="10"/>
      <c r="S12850" s="10" t="s">
        <v>53</v>
      </c>
      <c r="T12850" s="10" t="s">
        <v>54</v>
      </c>
    </row>
    <row r="12851" spans="1:20" ht="14.5" x14ac:dyDescent="0.35">
      <c r="A12851" s="10" t="s">
        <v>53983</v>
      </c>
      <c r="B12851" s="10" t="str">
        <f>"9781771134262"</f>
        <v>9781771134262</v>
      </c>
      <c r="C12851" s="10" t="str">
        <f>"9781771134279"</f>
        <v>9781771134279</v>
      </c>
      <c r="D12851" s="10" t="s">
        <v>18420</v>
      </c>
      <c r="E12851" s="10" t="s">
        <v>53984</v>
      </c>
      <c r="F12851" s="10" t="s">
        <v>901</v>
      </c>
      <c r="G12851" s="10" t="s">
        <v>9536</v>
      </c>
      <c r="H12851" s="11">
        <v>43549</v>
      </c>
      <c r="I12851" s="10">
        <v>2019</v>
      </c>
      <c r="J12851" s="10" t="s">
        <v>53984</v>
      </c>
      <c r="K12851" s="10">
        <v>241</v>
      </c>
      <c r="L12851" s="10" t="s">
        <v>36207</v>
      </c>
      <c r="M12851" s="10">
        <v>1</v>
      </c>
      <c r="N12851" s="10"/>
      <c r="O12851" s="10"/>
      <c r="P12851" s="10" t="s">
        <v>53985</v>
      </c>
      <c r="Q12851" s="10">
        <v>331.1</v>
      </c>
      <c r="R12851" s="10" t="s">
        <v>53986</v>
      </c>
      <c r="S12851" s="10" t="s">
        <v>53</v>
      </c>
      <c r="T12851" s="10" t="s">
        <v>8003</v>
      </c>
    </row>
    <row r="12852" spans="1:20" ht="14.5" x14ac:dyDescent="0.35">
      <c r="A12852" s="10" t="s">
        <v>53987</v>
      </c>
      <c r="B12852" s="10" t="str">
        <f>"9781492671237"</f>
        <v>9781492671237</v>
      </c>
      <c r="C12852" s="10" t="str">
        <f>"9781492673996"</f>
        <v>9781492673996</v>
      </c>
      <c r="D12852" s="10" t="s">
        <v>31621</v>
      </c>
      <c r="E12852" s="10" t="s">
        <v>31622</v>
      </c>
      <c r="F12852" s="10" t="s">
        <v>31623</v>
      </c>
      <c r="G12852" s="10" t="s">
        <v>6317</v>
      </c>
      <c r="H12852" s="11">
        <v>43620</v>
      </c>
      <c r="I12852" s="10">
        <v>2019</v>
      </c>
      <c r="J12852" s="10" t="s">
        <v>31622</v>
      </c>
      <c r="K12852" s="10">
        <v>50</v>
      </c>
      <c r="L12852" s="10" t="s">
        <v>53988</v>
      </c>
      <c r="M12852" s="10">
        <v>1</v>
      </c>
      <c r="N12852" s="10"/>
      <c r="O12852" s="10"/>
      <c r="P12852" s="10" t="s">
        <v>53989</v>
      </c>
      <c r="Q12852" s="10">
        <v>530.12</v>
      </c>
      <c r="R12852" s="10" t="s">
        <v>53990</v>
      </c>
      <c r="S12852" s="10" t="s">
        <v>53</v>
      </c>
      <c r="T12852" s="10" t="s">
        <v>11578</v>
      </c>
    </row>
    <row r="12853" spans="1:20" ht="14.5" x14ac:dyDescent="0.35">
      <c r="A12853" s="10" t="s">
        <v>53991</v>
      </c>
      <c r="B12853" s="10" t="str">
        <f>"9781954631151"</f>
        <v>9781954631151</v>
      </c>
      <c r="C12853" s="10" t="str">
        <f>"9781954631168"</f>
        <v>9781954631168</v>
      </c>
      <c r="D12853" s="10" t="s">
        <v>37580</v>
      </c>
      <c r="E12853" s="10" t="s">
        <v>37581</v>
      </c>
      <c r="F12853" s="10" t="s">
        <v>37623</v>
      </c>
      <c r="G12853" s="10" t="s">
        <v>6317</v>
      </c>
      <c r="H12853" s="11">
        <v>44879</v>
      </c>
      <c r="I12853" s="10">
        <v>2023</v>
      </c>
      <c r="J12853" s="10" t="s">
        <v>37581</v>
      </c>
      <c r="K12853" s="10">
        <v>176</v>
      </c>
      <c r="L12853" s="10" t="s">
        <v>53992</v>
      </c>
      <c r="M12853" s="10">
        <v>1</v>
      </c>
      <c r="N12853" s="10"/>
      <c r="O12853" s="10"/>
      <c r="P12853" s="10" t="s">
        <v>53993</v>
      </c>
      <c r="Q12853" s="10">
        <v>370.71550000000002</v>
      </c>
      <c r="R12853" s="10" t="s">
        <v>53994</v>
      </c>
      <c r="S12853" s="10" t="s">
        <v>53</v>
      </c>
      <c r="T12853" s="10" t="s">
        <v>54</v>
      </c>
    </row>
    <row r="12854" spans="1:20" ht="14.5" x14ac:dyDescent="0.35">
      <c r="A12854" s="10" t="s">
        <v>53995</v>
      </c>
      <c r="B12854" s="10" t="str">
        <f>"9781954631274"</f>
        <v>9781954631274</v>
      </c>
      <c r="C12854" s="10" t="str">
        <f>"9781954631281"</f>
        <v>9781954631281</v>
      </c>
      <c r="D12854" s="10" t="s">
        <v>37580</v>
      </c>
      <c r="E12854" s="10" t="s">
        <v>37581</v>
      </c>
      <c r="F12854" s="10" t="s">
        <v>37623</v>
      </c>
      <c r="G12854" s="10" t="s">
        <v>6317</v>
      </c>
      <c r="H12854" s="11">
        <v>44876</v>
      </c>
      <c r="I12854" s="10">
        <v>2023</v>
      </c>
      <c r="J12854" s="10" t="s">
        <v>37581</v>
      </c>
      <c r="K12854" s="10">
        <v>152</v>
      </c>
      <c r="L12854" s="10" t="s">
        <v>53996</v>
      </c>
      <c r="M12854" s="10">
        <v>1</v>
      </c>
      <c r="N12854" s="10"/>
      <c r="O12854" s="10"/>
      <c r="P12854" s="10" t="s">
        <v>53997</v>
      </c>
      <c r="Q12854" s="10">
        <v>371.1</v>
      </c>
      <c r="R12854" s="10" t="s">
        <v>53998</v>
      </c>
      <c r="S12854" s="10" t="s">
        <v>53</v>
      </c>
      <c r="T12854" s="10" t="s">
        <v>54</v>
      </c>
    </row>
    <row r="12855" spans="1:20" ht="14.5" x14ac:dyDescent="0.35">
      <c r="A12855" s="10" t="s">
        <v>53999</v>
      </c>
      <c r="B12855" s="10" t="str">
        <f>"9789463001236"</f>
        <v>9789463001236</v>
      </c>
      <c r="C12855" s="10" t="str">
        <f>"9789463001243"</f>
        <v>9789463001243</v>
      </c>
      <c r="D12855" s="10" t="s">
        <v>8564</v>
      </c>
      <c r="E12855" s="10" t="s">
        <v>13067</v>
      </c>
      <c r="F12855" s="10" t="s">
        <v>33250</v>
      </c>
      <c r="G12855" s="10" t="s">
        <v>9233</v>
      </c>
      <c r="H12855" s="11">
        <v>42005</v>
      </c>
      <c r="I12855" s="10">
        <v>2015</v>
      </c>
      <c r="J12855" s="10" t="s">
        <v>13067</v>
      </c>
      <c r="K12855" s="10">
        <v>194</v>
      </c>
      <c r="L12855" s="10" t="s">
        <v>54000</v>
      </c>
      <c r="M12855" s="10">
        <v>1</v>
      </c>
      <c r="N12855" s="10" t="s">
        <v>33325</v>
      </c>
      <c r="O12855" s="10">
        <v>107</v>
      </c>
      <c r="P12855" s="10" t="s">
        <v>19534</v>
      </c>
      <c r="Q12855" s="10"/>
      <c r="R12855" s="10" t="s">
        <v>54001</v>
      </c>
      <c r="S12855" s="10" t="s">
        <v>53</v>
      </c>
      <c r="T12855" s="10" t="s">
        <v>54</v>
      </c>
    </row>
    <row r="12856" spans="1:20" ht="14.5" x14ac:dyDescent="0.35">
      <c r="A12856" s="10" t="s">
        <v>54002</v>
      </c>
      <c r="B12856" s="10" t="str">
        <f>"9781631986925"</f>
        <v>9781631986925</v>
      </c>
      <c r="C12856" s="10" t="str">
        <f>"9781631986932"</f>
        <v>9781631986932</v>
      </c>
      <c r="D12856" s="10" t="s">
        <v>49819</v>
      </c>
      <c r="E12856" s="10" t="s">
        <v>54003</v>
      </c>
      <c r="F12856" s="10" t="s">
        <v>49821</v>
      </c>
      <c r="G12856" s="10" t="s">
        <v>6317</v>
      </c>
      <c r="H12856" s="11">
        <v>44859</v>
      </c>
      <c r="I12856" s="10">
        <v>2022</v>
      </c>
      <c r="J12856" s="10" t="s">
        <v>54003</v>
      </c>
      <c r="K12856" s="10">
        <v>152</v>
      </c>
      <c r="L12856" s="10" t="s">
        <v>54004</v>
      </c>
      <c r="M12856" s="10">
        <v>1</v>
      </c>
      <c r="N12856" s="10"/>
      <c r="O12856" s="10"/>
      <c r="P12856" s="10" t="s">
        <v>19420</v>
      </c>
      <c r="Q12856" s="10" t="s">
        <v>54005</v>
      </c>
      <c r="R12856" s="10" t="s">
        <v>54006</v>
      </c>
      <c r="S12856" s="10" t="s">
        <v>53</v>
      </c>
      <c r="T12856" s="10" t="s">
        <v>54</v>
      </c>
    </row>
    <row r="12857" spans="1:20" ht="14.5" x14ac:dyDescent="0.35">
      <c r="A12857" s="10" t="s">
        <v>54007</v>
      </c>
      <c r="B12857" s="10" t="str">
        <f>"9781631983696"</f>
        <v>9781631983696</v>
      </c>
      <c r="C12857" s="10" t="str">
        <f>"9781631983702"</f>
        <v>9781631983702</v>
      </c>
      <c r="D12857" s="10" t="s">
        <v>49819</v>
      </c>
      <c r="E12857" s="10" t="s">
        <v>54003</v>
      </c>
      <c r="F12857" s="10" t="s">
        <v>49821</v>
      </c>
      <c r="G12857" s="10" t="s">
        <v>6317</v>
      </c>
      <c r="H12857" s="11">
        <v>43558</v>
      </c>
      <c r="I12857" s="10">
        <v>2019</v>
      </c>
      <c r="J12857" s="10" t="s">
        <v>54003</v>
      </c>
      <c r="K12857" s="10">
        <v>193</v>
      </c>
      <c r="L12857" s="10" t="s">
        <v>54008</v>
      </c>
      <c r="M12857" s="10">
        <v>1</v>
      </c>
      <c r="N12857" s="10"/>
      <c r="O12857" s="10"/>
      <c r="P12857" s="10"/>
      <c r="Q12857" s="10"/>
      <c r="R12857" s="10" t="s">
        <v>54009</v>
      </c>
      <c r="S12857" s="10" t="s">
        <v>53</v>
      </c>
      <c r="T12857" s="10" t="s">
        <v>54</v>
      </c>
    </row>
    <row r="12858" spans="1:20" ht="14.5" x14ac:dyDescent="0.35">
      <c r="A12858" s="10" t="s">
        <v>54010</v>
      </c>
      <c r="B12858" s="10" t="str">
        <f>"9781631982033"</f>
        <v>9781631982033</v>
      </c>
      <c r="C12858" s="10" t="str">
        <f>"9781631982040"</f>
        <v>9781631982040</v>
      </c>
      <c r="D12858" s="10" t="s">
        <v>49819</v>
      </c>
      <c r="E12858" s="10" t="s">
        <v>54003</v>
      </c>
      <c r="F12858" s="10" t="s">
        <v>49821</v>
      </c>
      <c r="G12858" s="10" t="s">
        <v>6317</v>
      </c>
      <c r="H12858" s="11">
        <v>43035</v>
      </c>
      <c r="I12858" s="10">
        <v>2017</v>
      </c>
      <c r="J12858" s="10" t="s">
        <v>54003</v>
      </c>
      <c r="K12858" s="10">
        <v>209</v>
      </c>
      <c r="L12858" s="10" t="s">
        <v>54011</v>
      </c>
      <c r="M12858" s="10">
        <v>1</v>
      </c>
      <c r="N12858" s="10"/>
      <c r="O12858" s="10"/>
      <c r="P12858" s="10"/>
      <c r="Q12858" s="10"/>
      <c r="R12858" s="10" t="s">
        <v>54012</v>
      </c>
      <c r="S12858" s="10" t="s">
        <v>53</v>
      </c>
      <c r="T12858" s="10" t="s">
        <v>54</v>
      </c>
    </row>
    <row r="12859" spans="1:20" ht="14.5" x14ac:dyDescent="0.35">
      <c r="A12859" s="10" t="s">
        <v>54013</v>
      </c>
      <c r="B12859" s="10" t="str">
        <f>"9781631986321"</f>
        <v>9781631986321</v>
      </c>
      <c r="C12859" s="10" t="str">
        <f>"9781631986338"</f>
        <v>9781631986338</v>
      </c>
      <c r="D12859" s="10" t="s">
        <v>49819</v>
      </c>
      <c r="E12859" s="10" t="s">
        <v>54003</v>
      </c>
      <c r="F12859" s="10" t="s">
        <v>49821</v>
      </c>
      <c r="G12859" s="10" t="s">
        <v>6317</v>
      </c>
      <c r="H12859" s="11">
        <v>44666</v>
      </c>
      <c r="I12859" s="10">
        <v>2022</v>
      </c>
      <c r="J12859" s="10" t="s">
        <v>54003</v>
      </c>
      <c r="K12859" s="10">
        <v>229</v>
      </c>
      <c r="L12859" s="10" t="s">
        <v>54014</v>
      </c>
      <c r="M12859" s="10">
        <v>1</v>
      </c>
      <c r="N12859" s="10"/>
      <c r="O12859" s="10"/>
      <c r="P12859" s="10" t="s">
        <v>9913</v>
      </c>
      <c r="Q12859" s="10">
        <v>155.4</v>
      </c>
      <c r="R12859" s="10" t="s">
        <v>54015</v>
      </c>
      <c r="S12859" s="10" t="s">
        <v>53</v>
      </c>
      <c r="T12859" s="10" t="s">
        <v>483</v>
      </c>
    </row>
    <row r="12860" spans="1:20" ht="14.5" x14ac:dyDescent="0.35">
      <c r="A12860" s="10" t="s">
        <v>54016</v>
      </c>
      <c r="B12860" s="10" t="str">
        <f>"9781631983757"</f>
        <v>9781631983757</v>
      </c>
      <c r="C12860" s="10" t="str">
        <f>"9781631983764"</f>
        <v>9781631983764</v>
      </c>
      <c r="D12860" s="10" t="s">
        <v>49819</v>
      </c>
      <c r="E12860" s="10" t="s">
        <v>54003</v>
      </c>
      <c r="F12860" s="10" t="s">
        <v>49821</v>
      </c>
      <c r="G12860" s="10" t="s">
        <v>6317</v>
      </c>
      <c r="H12860" s="11">
        <v>43531</v>
      </c>
      <c r="I12860" s="10">
        <v>2019</v>
      </c>
      <c r="J12860" s="10" t="s">
        <v>54003</v>
      </c>
      <c r="K12860" s="10">
        <v>217</v>
      </c>
      <c r="L12860" s="10" t="s">
        <v>54017</v>
      </c>
      <c r="M12860" s="10">
        <v>1</v>
      </c>
      <c r="N12860" s="10"/>
      <c r="O12860" s="10"/>
      <c r="P12860" s="10"/>
      <c r="Q12860" s="10"/>
      <c r="R12860" s="10" t="s">
        <v>54018</v>
      </c>
      <c r="S12860" s="10" t="s">
        <v>53</v>
      </c>
      <c r="T12860" s="10" t="s">
        <v>54</v>
      </c>
    </row>
    <row r="12861" spans="1:20" ht="14.5" x14ac:dyDescent="0.35">
      <c r="A12861" s="10" t="s">
        <v>54019</v>
      </c>
      <c r="B12861" s="10" t="str">
        <f>""</f>
        <v/>
      </c>
      <c r="C12861" s="10" t="str">
        <f>"9789463005524"</f>
        <v>9789463005524</v>
      </c>
      <c r="D12861" s="10" t="s">
        <v>8564</v>
      </c>
      <c r="E12861" s="10" t="s">
        <v>8565</v>
      </c>
      <c r="F12861" s="10" t="s">
        <v>1420</v>
      </c>
      <c r="G12861" s="10" t="s">
        <v>6317</v>
      </c>
      <c r="H12861" s="11">
        <v>42370</v>
      </c>
      <c r="I12861" s="10">
        <v>2016</v>
      </c>
      <c r="J12861" s="10" t="s">
        <v>33259</v>
      </c>
      <c r="K12861" s="10">
        <v>247</v>
      </c>
      <c r="L12861" s="10" t="s">
        <v>54020</v>
      </c>
      <c r="M12861" s="10">
        <v>1</v>
      </c>
      <c r="N12861" s="10"/>
      <c r="O12861" s="10"/>
      <c r="P12861" s="10" t="s">
        <v>19534</v>
      </c>
      <c r="Q12861" s="10"/>
      <c r="R12861" s="10"/>
      <c r="S12861" s="10" t="s">
        <v>53</v>
      </c>
      <c r="T12861" s="10" t="s">
        <v>54</v>
      </c>
    </row>
    <row r="12862" spans="1:20" ht="14.5" x14ac:dyDescent="0.35">
      <c r="A12862" s="10" t="s">
        <v>54021</v>
      </c>
      <c r="B12862" s="10" t="str">
        <f>"9781684351459"</f>
        <v>9781684351459</v>
      </c>
      <c r="C12862" s="10" t="str">
        <f>"9781684351473"</f>
        <v>9781684351473</v>
      </c>
      <c r="D12862" s="10" t="s">
        <v>2455</v>
      </c>
      <c r="E12862" s="10" t="s">
        <v>53181</v>
      </c>
      <c r="F12862" s="10" t="s">
        <v>3101</v>
      </c>
      <c r="G12862" s="10" t="s">
        <v>6317</v>
      </c>
      <c r="H12862" s="11">
        <v>44292</v>
      </c>
      <c r="I12862" s="10">
        <v>2021</v>
      </c>
      <c r="J12862" s="10" t="s">
        <v>53181</v>
      </c>
      <c r="K12862" s="10">
        <v>383</v>
      </c>
      <c r="L12862" s="10" t="s">
        <v>54022</v>
      </c>
      <c r="M12862" s="10">
        <v>1</v>
      </c>
      <c r="N12862" s="10"/>
      <c r="O12862" s="10"/>
      <c r="P12862" s="10"/>
      <c r="Q12862" s="10"/>
      <c r="R12862" s="10" t="s">
        <v>54023</v>
      </c>
      <c r="S12862" s="10" t="s">
        <v>53</v>
      </c>
      <c r="T12862" s="10" t="s">
        <v>54024</v>
      </c>
    </row>
    <row r="12863" spans="1:20" ht="14.5" x14ac:dyDescent="0.35">
      <c r="A12863" s="10" t="s">
        <v>53339</v>
      </c>
      <c r="B12863" s="10" t="str">
        <f>"9780253058720"</f>
        <v>9780253058720</v>
      </c>
      <c r="C12863" s="10" t="str">
        <f>"9780253058744"</f>
        <v>9780253058744</v>
      </c>
      <c r="D12863" s="10" t="s">
        <v>2455</v>
      </c>
      <c r="E12863" s="10" t="s">
        <v>2455</v>
      </c>
      <c r="F12863" s="10" t="s">
        <v>3101</v>
      </c>
      <c r="G12863" s="10" t="s">
        <v>6317</v>
      </c>
      <c r="H12863" s="11">
        <v>44684</v>
      </c>
      <c r="I12863" s="10">
        <v>2022</v>
      </c>
      <c r="J12863" s="10" t="s">
        <v>2455</v>
      </c>
      <c r="K12863" s="10">
        <v>306</v>
      </c>
      <c r="L12863" s="10" t="s">
        <v>53340</v>
      </c>
      <c r="M12863" s="10">
        <v>1</v>
      </c>
      <c r="N12863" s="10" t="s">
        <v>23849</v>
      </c>
      <c r="O12863" s="10"/>
      <c r="P12863" s="10" t="s">
        <v>54025</v>
      </c>
      <c r="Q12863" s="10">
        <v>418.40710999999999</v>
      </c>
      <c r="R12863" s="10" t="s">
        <v>53343</v>
      </c>
      <c r="S12863" s="10" t="s">
        <v>53</v>
      </c>
      <c r="T12863" s="10" t="s">
        <v>6634</v>
      </c>
    </row>
    <row r="12864" spans="1:20" ht="14.5" x14ac:dyDescent="0.35">
      <c r="A12864" s="10" t="s">
        <v>54026</v>
      </c>
      <c r="B12864" s="10" t="str">
        <f>"9780253058225"</f>
        <v>9780253058225</v>
      </c>
      <c r="C12864" s="10" t="str">
        <f>"9780253058201"</f>
        <v>9780253058201</v>
      </c>
      <c r="D12864" s="10" t="s">
        <v>2455</v>
      </c>
      <c r="E12864" s="10" t="s">
        <v>2455</v>
      </c>
      <c r="F12864" s="10" t="s">
        <v>3101</v>
      </c>
      <c r="G12864" s="10" t="s">
        <v>6317</v>
      </c>
      <c r="H12864" s="11">
        <v>44509</v>
      </c>
      <c r="I12864" s="10">
        <v>2021</v>
      </c>
      <c r="J12864" s="10" t="s">
        <v>2455</v>
      </c>
      <c r="K12864" s="10">
        <v>328</v>
      </c>
      <c r="L12864" s="10" t="s">
        <v>6380</v>
      </c>
      <c r="M12864" s="10">
        <v>1</v>
      </c>
      <c r="N12864" s="10" t="s">
        <v>12447</v>
      </c>
      <c r="O12864" s="10"/>
      <c r="P12864" s="10" t="s">
        <v>54027</v>
      </c>
      <c r="Q12864" s="10">
        <v>780.71</v>
      </c>
      <c r="R12864" s="10" t="s">
        <v>54028</v>
      </c>
      <c r="S12864" s="10" t="s">
        <v>53</v>
      </c>
      <c r="T12864" s="10" t="s">
        <v>6384</v>
      </c>
    </row>
    <row r="12865" spans="1:20" ht="14.5" x14ac:dyDescent="0.35">
      <c r="A12865" s="10" t="s">
        <v>54029</v>
      </c>
      <c r="B12865" s="10" t="str">
        <f>"9789264557963"</f>
        <v>9789264557963</v>
      </c>
      <c r="C12865" s="10" t="str">
        <f>"9789264436657"</f>
        <v>9789264436657</v>
      </c>
      <c r="D12865" s="10" t="s">
        <v>52292</v>
      </c>
      <c r="E12865" s="10" t="s">
        <v>52311</v>
      </c>
      <c r="F12865" s="10" t="s">
        <v>194</v>
      </c>
      <c r="G12865" s="10" t="s">
        <v>31597</v>
      </c>
      <c r="H12865" s="11">
        <v>44830</v>
      </c>
      <c r="I12865" s="10">
        <v>2022</v>
      </c>
      <c r="J12865" s="10" t="s">
        <v>52311</v>
      </c>
      <c r="K12865" s="10">
        <v>134</v>
      </c>
      <c r="L12865" s="10" t="s">
        <v>52292</v>
      </c>
      <c r="M12865" s="10">
        <v>1</v>
      </c>
      <c r="N12865" s="10"/>
      <c r="O12865" s="10"/>
      <c r="P12865" s="10" t="s">
        <v>54030</v>
      </c>
      <c r="Q12865" s="10">
        <v>370.6</v>
      </c>
      <c r="R12865" s="10" t="s">
        <v>54031</v>
      </c>
      <c r="S12865" s="10" t="s">
        <v>53</v>
      </c>
      <c r="T12865" s="10" t="s">
        <v>6521</v>
      </c>
    </row>
    <row r="12866" spans="1:20" ht="14.5" x14ac:dyDescent="0.35">
      <c r="A12866" s="10" t="s">
        <v>54032</v>
      </c>
      <c r="B12866" s="10" t="str">
        <f>""</f>
        <v/>
      </c>
      <c r="C12866" s="10" t="str">
        <f>"9781928502722"</f>
        <v>9781928502722</v>
      </c>
      <c r="D12866" s="10" t="s">
        <v>24820</v>
      </c>
      <c r="E12866" s="10" t="s">
        <v>24825</v>
      </c>
      <c r="F12866" s="10" t="s">
        <v>748</v>
      </c>
      <c r="G12866" s="10" t="s">
        <v>24826</v>
      </c>
      <c r="H12866" s="11">
        <v>44601</v>
      </c>
      <c r="I12866" s="10">
        <v>2022</v>
      </c>
      <c r="J12866" s="10" t="s">
        <v>24825</v>
      </c>
      <c r="K12866" s="10">
        <v>285</v>
      </c>
      <c r="L12866" s="10" t="s">
        <v>54033</v>
      </c>
      <c r="M12866" s="10">
        <v>1</v>
      </c>
      <c r="N12866" s="10"/>
      <c r="O12866" s="10"/>
      <c r="P12866" s="10" t="s">
        <v>54034</v>
      </c>
      <c r="Q12866" s="10">
        <v>371.33</v>
      </c>
      <c r="R12866" s="10" t="s">
        <v>29942</v>
      </c>
      <c r="S12866" s="10" t="s">
        <v>53</v>
      </c>
      <c r="T12866" s="10" t="s">
        <v>54</v>
      </c>
    </row>
    <row r="12867" spans="1:20" ht="14.5" x14ac:dyDescent="0.35">
      <c r="A12867" s="10" t="s">
        <v>54035</v>
      </c>
      <c r="B12867" s="10" t="str">
        <f>""</f>
        <v/>
      </c>
      <c r="C12867" s="10" t="str">
        <f>"9789987082049"</f>
        <v>9789987082049</v>
      </c>
      <c r="D12867" s="10" t="s">
        <v>24820</v>
      </c>
      <c r="E12867" s="10" t="s">
        <v>54036</v>
      </c>
      <c r="F12867" s="10" t="s">
        <v>748</v>
      </c>
      <c r="G12867" s="10" t="s">
        <v>54037</v>
      </c>
      <c r="H12867" s="11">
        <v>44816</v>
      </c>
      <c r="I12867" s="10">
        <v>2022</v>
      </c>
      <c r="J12867" s="10" t="s">
        <v>54036</v>
      </c>
      <c r="K12867" s="10">
        <v>357</v>
      </c>
      <c r="L12867" s="10" t="s">
        <v>54038</v>
      </c>
      <c r="M12867" s="10">
        <v>1</v>
      </c>
      <c r="N12867" s="10"/>
      <c r="O12867" s="10"/>
      <c r="P12867" s="10" t="s">
        <v>54039</v>
      </c>
      <c r="Q12867" s="10" t="s">
        <v>7299</v>
      </c>
      <c r="R12867" s="10" t="s">
        <v>54040</v>
      </c>
      <c r="S12867" s="10" t="s">
        <v>53</v>
      </c>
      <c r="T12867" s="10" t="s">
        <v>54</v>
      </c>
    </row>
    <row r="12868" spans="1:20" ht="14.5" x14ac:dyDescent="0.35">
      <c r="A12868" s="10" t="s">
        <v>54041</v>
      </c>
      <c r="B12868" s="10" t="str">
        <f>""</f>
        <v/>
      </c>
      <c r="C12868" s="10" t="str">
        <f>"9789766408411"</f>
        <v>9789766408411</v>
      </c>
      <c r="D12868" s="10" t="s">
        <v>40713</v>
      </c>
      <c r="E12868" s="10" t="s">
        <v>40713</v>
      </c>
      <c r="F12868" s="10" t="s">
        <v>626</v>
      </c>
      <c r="G12868" s="10" t="s">
        <v>40714</v>
      </c>
      <c r="H12868" s="11">
        <v>44309</v>
      </c>
      <c r="I12868" s="10">
        <v>2021</v>
      </c>
      <c r="J12868" s="10" t="s">
        <v>40713</v>
      </c>
      <c r="K12868" s="10">
        <v>532</v>
      </c>
      <c r="L12868" s="10" t="s">
        <v>54042</v>
      </c>
      <c r="M12868" s="10">
        <v>1</v>
      </c>
      <c r="N12868" s="10"/>
      <c r="O12868" s="10"/>
      <c r="P12868" s="10" t="s">
        <v>54043</v>
      </c>
      <c r="Q12868" s="10" t="s">
        <v>54044</v>
      </c>
      <c r="R12868" s="10" t="s">
        <v>54045</v>
      </c>
      <c r="S12868" s="10" t="s">
        <v>53</v>
      </c>
      <c r="T12868" s="10" t="s">
        <v>54</v>
      </c>
    </row>
    <row r="12869" spans="1:20" ht="14.5" x14ac:dyDescent="0.35">
      <c r="A12869" s="10" t="s">
        <v>54046</v>
      </c>
      <c r="B12869" s="10" t="str">
        <f>""</f>
        <v/>
      </c>
      <c r="C12869" s="10" t="str">
        <f>"9789766407315"</f>
        <v>9789766407315</v>
      </c>
      <c r="D12869" s="10" t="s">
        <v>40713</v>
      </c>
      <c r="E12869" s="10" t="s">
        <v>40713</v>
      </c>
      <c r="F12869" s="10" t="s">
        <v>626</v>
      </c>
      <c r="G12869" s="10" t="s">
        <v>40714</v>
      </c>
      <c r="H12869" s="11">
        <v>43802</v>
      </c>
      <c r="I12869" s="10">
        <v>2019</v>
      </c>
      <c r="J12869" s="10" t="s">
        <v>40713</v>
      </c>
      <c r="K12869" s="10">
        <v>359</v>
      </c>
      <c r="L12869" s="10" t="s">
        <v>54047</v>
      </c>
      <c r="M12869" s="10">
        <v>1</v>
      </c>
      <c r="N12869" s="10"/>
      <c r="O12869" s="10"/>
      <c r="P12869" s="10" t="s">
        <v>54048</v>
      </c>
      <c r="Q12869" s="10">
        <v>371.82110972919997</v>
      </c>
      <c r="R12869" s="10" t="s">
        <v>54049</v>
      </c>
      <c r="S12869" s="10" t="s">
        <v>53</v>
      </c>
      <c r="T12869" s="10" t="s">
        <v>54</v>
      </c>
    </row>
    <row r="12870" spans="1:20" ht="14.5" x14ac:dyDescent="0.35">
      <c r="A12870" s="10" t="s">
        <v>54050</v>
      </c>
      <c r="B12870" s="10" t="str">
        <f>"9781087648842"</f>
        <v>9781087648842</v>
      </c>
      <c r="C12870" s="10" t="str">
        <f>"9781087648873"</f>
        <v>9781087648873</v>
      </c>
      <c r="D12870" s="10" t="s">
        <v>49819</v>
      </c>
      <c r="E12870" s="10" t="s">
        <v>49820</v>
      </c>
      <c r="F12870" s="10" t="s">
        <v>49853</v>
      </c>
      <c r="G12870" s="10" t="s">
        <v>6317</v>
      </c>
      <c r="H12870" s="11">
        <v>44378</v>
      </c>
      <c r="I12870" s="10">
        <v>2022</v>
      </c>
      <c r="J12870" s="10" t="s">
        <v>49820</v>
      </c>
      <c r="K12870" s="10">
        <v>258</v>
      </c>
      <c r="L12870" s="10" t="s">
        <v>54051</v>
      </c>
      <c r="M12870" s="10">
        <v>2</v>
      </c>
      <c r="N12870" s="10" t="s">
        <v>49895</v>
      </c>
      <c r="O12870" s="10"/>
      <c r="P12870" s="10" t="s">
        <v>54052</v>
      </c>
      <c r="Q12870" s="10">
        <v>371.9</v>
      </c>
      <c r="R12870" s="10" t="s">
        <v>54053</v>
      </c>
      <c r="S12870" s="10" t="s">
        <v>53</v>
      </c>
      <c r="T12870" s="10" t="s">
        <v>54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5785"/>
  <sheetViews>
    <sheetView workbookViewId="0"/>
  </sheetViews>
  <sheetFormatPr defaultRowHeight="12.5" x14ac:dyDescent="0.25"/>
  <cols>
    <col min="1" max="1" width="63.453125" bestFit="1" customWidth="1"/>
    <col min="2" max="2" width="118.90625" bestFit="1" customWidth="1"/>
  </cols>
  <sheetData>
    <row r="1" spans="1:2" ht="14.5" x14ac:dyDescent="0.35">
      <c r="A1" s="6" t="s">
        <v>54054</v>
      </c>
      <c r="B1" s="7" t="s">
        <v>54055</v>
      </c>
    </row>
    <row r="2" spans="1:2" ht="14.5" x14ac:dyDescent="0.35">
      <c r="A2" s="8" t="s">
        <v>54056</v>
      </c>
      <c r="B2" s="8" t="s">
        <v>54057</v>
      </c>
    </row>
    <row r="3" spans="1:2" ht="14.5" x14ac:dyDescent="0.35">
      <c r="A3" s="8" t="s">
        <v>54056</v>
      </c>
      <c r="B3" s="8" t="s">
        <v>54058</v>
      </c>
    </row>
    <row r="4" spans="1:2" ht="14.5" x14ac:dyDescent="0.35">
      <c r="A4" s="8" t="s">
        <v>58498</v>
      </c>
      <c r="B4" s="8" t="s">
        <v>58499</v>
      </c>
    </row>
    <row r="5" spans="1:2" ht="14.5" x14ac:dyDescent="0.35">
      <c r="A5" s="8" t="s">
        <v>58500</v>
      </c>
      <c r="B5" s="8" t="s">
        <v>58501</v>
      </c>
    </row>
    <row r="6" spans="1:2" ht="14.5" x14ac:dyDescent="0.35">
      <c r="A6" s="8" t="s">
        <v>54059</v>
      </c>
      <c r="B6" s="8" t="s">
        <v>54067</v>
      </c>
    </row>
    <row r="7" spans="1:2" ht="14.5" x14ac:dyDescent="0.35">
      <c r="A7" s="8" t="s">
        <v>54059</v>
      </c>
      <c r="B7" s="8" t="s">
        <v>54068</v>
      </c>
    </row>
    <row r="8" spans="1:2" ht="14.5" x14ac:dyDescent="0.35">
      <c r="A8" s="8" t="s">
        <v>54059</v>
      </c>
      <c r="B8" s="8" t="s">
        <v>54069</v>
      </c>
    </row>
    <row r="9" spans="1:2" ht="14.5" x14ac:dyDescent="0.35">
      <c r="A9" s="8" t="s">
        <v>54059</v>
      </c>
      <c r="B9" s="8" t="s">
        <v>54060</v>
      </c>
    </row>
    <row r="10" spans="1:2" ht="14.5" x14ac:dyDescent="0.35">
      <c r="A10" s="8" t="s">
        <v>54059</v>
      </c>
      <c r="B10" s="8" t="s">
        <v>54061</v>
      </c>
    </row>
    <row r="11" spans="1:2" ht="14.5" x14ac:dyDescent="0.35">
      <c r="A11" s="8" t="s">
        <v>54059</v>
      </c>
      <c r="B11" s="8" t="s">
        <v>54062</v>
      </c>
    </row>
    <row r="12" spans="1:2" ht="14.5" x14ac:dyDescent="0.35">
      <c r="A12" s="8" t="s">
        <v>54059</v>
      </c>
      <c r="B12" s="8" t="s">
        <v>54063</v>
      </c>
    </row>
    <row r="13" spans="1:2" ht="14.5" x14ac:dyDescent="0.35">
      <c r="A13" s="8" t="s">
        <v>54059</v>
      </c>
      <c r="B13" s="8" t="s">
        <v>54064</v>
      </c>
    </row>
    <row r="14" spans="1:2" ht="14.5" x14ac:dyDescent="0.35">
      <c r="A14" s="8" t="s">
        <v>54059</v>
      </c>
      <c r="B14" s="8" t="s">
        <v>54065</v>
      </c>
    </row>
    <row r="15" spans="1:2" ht="14.5" x14ac:dyDescent="0.35">
      <c r="A15" s="8" t="s">
        <v>54059</v>
      </c>
      <c r="B15" s="8" t="s">
        <v>54066</v>
      </c>
    </row>
    <row r="16" spans="1:2" ht="14.5" x14ac:dyDescent="0.35">
      <c r="A16" s="8" t="s">
        <v>54059</v>
      </c>
      <c r="B16" s="8" t="s">
        <v>54070</v>
      </c>
    </row>
    <row r="17" spans="1:2" ht="14.5" x14ac:dyDescent="0.35">
      <c r="A17" s="8" t="s">
        <v>54059</v>
      </c>
      <c r="B17" s="8" t="s">
        <v>54071</v>
      </c>
    </row>
    <row r="18" spans="1:2" ht="14.5" x14ac:dyDescent="0.35">
      <c r="A18" s="8" t="s">
        <v>54059</v>
      </c>
      <c r="B18" s="8" t="s">
        <v>54072</v>
      </c>
    </row>
    <row r="19" spans="1:2" ht="14.5" x14ac:dyDescent="0.35">
      <c r="A19" s="8" t="s">
        <v>54059</v>
      </c>
      <c r="B19" s="8" t="s">
        <v>54073</v>
      </c>
    </row>
    <row r="20" spans="1:2" ht="14.5" x14ac:dyDescent="0.35">
      <c r="A20" s="8" t="s">
        <v>54059</v>
      </c>
      <c r="B20" s="8" t="s">
        <v>54074</v>
      </c>
    </row>
    <row r="21" spans="1:2" ht="14.5" x14ac:dyDescent="0.35">
      <c r="A21" s="8" t="s">
        <v>54059</v>
      </c>
      <c r="B21" s="8" t="s">
        <v>54075</v>
      </c>
    </row>
    <row r="22" spans="1:2" ht="14.5" x14ac:dyDescent="0.35">
      <c r="A22" s="8" t="s">
        <v>54059</v>
      </c>
      <c r="B22" s="8" t="s">
        <v>54076</v>
      </c>
    </row>
    <row r="23" spans="1:2" ht="14.5" x14ac:dyDescent="0.35">
      <c r="A23" s="8" t="s">
        <v>54059</v>
      </c>
      <c r="B23" s="8" t="s">
        <v>54077</v>
      </c>
    </row>
    <row r="24" spans="1:2" ht="14.5" x14ac:dyDescent="0.35">
      <c r="A24" s="8" t="s">
        <v>58502</v>
      </c>
      <c r="B24" s="8" t="s">
        <v>58503</v>
      </c>
    </row>
    <row r="25" spans="1:2" ht="14.5" x14ac:dyDescent="0.35">
      <c r="A25" s="8" t="s">
        <v>58837</v>
      </c>
      <c r="B25" s="8" t="s">
        <v>58838</v>
      </c>
    </row>
    <row r="26" spans="1:2" ht="14.5" x14ac:dyDescent="0.35">
      <c r="A26" s="8" t="s">
        <v>58837</v>
      </c>
      <c r="B26" s="8" t="s">
        <v>58839</v>
      </c>
    </row>
    <row r="27" spans="1:2" ht="14.5" x14ac:dyDescent="0.35">
      <c r="A27" s="8" t="s">
        <v>58837</v>
      </c>
      <c r="B27" s="8" t="s">
        <v>58840</v>
      </c>
    </row>
    <row r="28" spans="1:2" ht="14.5" x14ac:dyDescent="0.35">
      <c r="A28" s="8" t="s">
        <v>58837</v>
      </c>
      <c r="B28" s="8" t="s">
        <v>58841</v>
      </c>
    </row>
    <row r="29" spans="1:2" ht="14.5" x14ac:dyDescent="0.35">
      <c r="A29" s="8" t="s">
        <v>58837</v>
      </c>
      <c r="B29" s="8" t="s">
        <v>58842</v>
      </c>
    </row>
    <row r="30" spans="1:2" ht="14.5" x14ac:dyDescent="0.35">
      <c r="A30" s="8" t="s">
        <v>58837</v>
      </c>
      <c r="B30" s="8" t="s">
        <v>58843</v>
      </c>
    </row>
    <row r="31" spans="1:2" ht="14.5" x14ac:dyDescent="0.35">
      <c r="A31" s="8" t="s">
        <v>58837</v>
      </c>
      <c r="B31" s="8" t="s">
        <v>58844</v>
      </c>
    </row>
    <row r="32" spans="1:2" ht="14.5" x14ac:dyDescent="0.35">
      <c r="A32" s="8" t="s">
        <v>58837</v>
      </c>
      <c r="B32" s="8" t="s">
        <v>58845</v>
      </c>
    </row>
    <row r="33" spans="1:2" ht="14.5" x14ac:dyDescent="0.35">
      <c r="A33" s="8" t="s">
        <v>58837</v>
      </c>
      <c r="B33" s="8" t="s">
        <v>58846</v>
      </c>
    </row>
    <row r="34" spans="1:2" ht="14.5" x14ac:dyDescent="0.35">
      <c r="A34" s="8" t="s">
        <v>58837</v>
      </c>
      <c r="B34" s="8" t="s">
        <v>58847</v>
      </c>
    </row>
    <row r="35" spans="1:2" ht="14.5" x14ac:dyDescent="0.35">
      <c r="A35" s="8" t="s">
        <v>58837</v>
      </c>
      <c r="B35" s="8" t="s">
        <v>58848</v>
      </c>
    </row>
    <row r="36" spans="1:2" ht="14.5" x14ac:dyDescent="0.35">
      <c r="A36" s="8" t="s">
        <v>58837</v>
      </c>
      <c r="B36" s="8" t="s">
        <v>58849</v>
      </c>
    </row>
    <row r="37" spans="1:2" ht="14.5" x14ac:dyDescent="0.35">
      <c r="A37" s="8" t="s">
        <v>58837</v>
      </c>
      <c r="B37" s="8" t="s">
        <v>58850</v>
      </c>
    </row>
    <row r="38" spans="1:2" ht="14.5" x14ac:dyDescent="0.35">
      <c r="A38" s="8" t="s">
        <v>58837</v>
      </c>
      <c r="B38" s="8" t="s">
        <v>58851</v>
      </c>
    </row>
    <row r="39" spans="1:2" ht="14.5" x14ac:dyDescent="0.35">
      <c r="A39" s="8" t="s">
        <v>58837</v>
      </c>
      <c r="B39" s="8" t="s">
        <v>58852</v>
      </c>
    </row>
    <row r="40" spans="1:2" ht="14.5" x14ac:dyDescent="0.35">
      <c r="A40" s="8" t="s">
        <v>58837</v>
      </c>
      <c r="B40" s="8" t="s">
        <v>58853</v>
      </c>
    </row>
    <row r="41" spans="1:2" ht="14.5" x14ac:dyDescent="0.35">
      <c r="A41" s="8" t="s">
        <v>58854</v>
      </c>
      <c r="B41" s="8" t="s">
        <v>58911</v>
      </c>
    </row>
    <row r="42" spans="1:2" ht="14.5" x14ac:dyDescent="0.35">
      <c r="A42" s="8" t="s">
        <v>58854</v>
      </c>
      <c r="B42" s="8" t="s">
        <v>59645</v>
      </c>
    </row>
    <row r="43" spans="1:2" ht="14.5" x14ac:dyDescent="0.35">
      <c r="A43" s="8" t="s">
        <v>58854</v>
      </c>
      <c r="B43" s="8" t="s">
        <v>59640</v>
      </c>
    </row>
    <row r="44" spans="1:2" ht="14.5" x14ac:dyDescent="0.35">
      <c r="A44" s="8" t="s">
        <v>58854</v>
      </c>
      <c r="B44" s="8" t="s">
        <v>58904</v>
      </c>
    </row>
    <row r="45" spans="1:2" ht="14.5" x14ac:dyDescent="0.35">
      <c r="A45" s="8" t="s">
        <v>58854</v>
      </c>
      <c r="B45" s="8" t="s">
        <v>59606</v>
      </c>
    </row>
    <row r="46" spans="1:2" ht="14.5" x14ac:dyDescent="0.35">
      <c r="A46" s="8" t="s">
        <v>58854</v>
      </c>
      <c r="B46" s="8" t="s">
        <v>58855</v>
      </c>
    </row>
    <row r="47" spans="1:2" ht="14.5" x14ac:dyDescent="0.35">
      <c r="A47" s="8" t="s">
        <v>58854</v>
      </c>
      <c r="B47" s="8" t="s">
        <v>59623</v>
      </c>
    </row>
    <row r="48" spans="1:2" ht="14.5" x14ac:dyDescent="0.35">
      <c r="A48" s="8" t="s">
        <v>58854</v>
      </c>
      <c r="B48" s="8" t="s">
        <v>59613</v>
      </c>
    </row>
    <row r="49" spans="1:2" ht="14.5" x14ac:dyDescent="0.35">
      <c r="A49" s="8" t="s">
        <v>58854</v>
      </c>
      <c r="B49" s="8" t="s">
        <v>59584</v>
      </c>
    </row>
    <row r="50" spans="1:2" ht="14.5" x14ac:dyDescent="0.35">
      <c r="A50" s="8" t="s">
        <v>58854</v>
      </c>
      <c r="B50" s="8" t="s">
        <v>58885</v>
      </c>
    </row>
    <row r="51" spans="1:2" ht="14.5" x14ac:dyDescent="0.35">
      <c r="A51" s="8" t="s">
        <v>58854</v>
      </c>
      <c r="B51" s="8" t="s">
        <v>59540</v>
      </c>
    </row>
    <row r="52" spans="1:2" ht="14.5" x14ac:dyDescent="0.35">
      <c r="A52" s="8" t="s">
        <v>58854</v>
      </c>
      <c r="B52" s="8" t="s">
        <v>59582</v>
      </c>
    </row>
    <row r="53" spans="1:2" ht="14.5" x14ac:dyDescent="0.35">
      <c r="A53" s="8" t="s">
        <v>58854</v>
      </c>
      <c r="B53" s="8" t="s">
        <v>59366</v>
      </c>
    </row>
    <row r="54" spans="1:2" ht="14.5" x14ac:dyDescent="0.35">
      <c r="A54" s="8" t="s">
        <v>58854</v>
      </c>
      <c r="B54" s="8" t="s">
        <v>59369</v>
      </c>
    </row>
    <row r="55" spans="1:2" ht="14.5" x14ac:dyDescent="0.35">
      <c r="A55" s="8" t="s">
        <v>58854</v>
      </c>
      <c r="B55" s="8" t="s">
        <v>59406</v>
      </c>
    </row>
    <row r="56" spans="1:2" ht="14.5" x14ac:dyDescent="0.35">
      <c r="A56" s="8" t="s">
        <v>58854</v>
      </c>
      <c r="B56" s="8" t="s">
        <v>59379</v>
      </c>
    </row>
    <row r="57" spans="1:2" ht="14.5" x14ac:dyDescent="0.35">
      <c r="A57" s="8" t="s">
        <v>58854</v>
      </c>
      <c r="B57" s="8" t="s">
        <v>59370</v>
      </c>
    </row>
    <row r="58" spans="1:2" ht="14.5" x14ac:dyDescent="0.35">
      <c r="A58" s="8" t="s">
        <v>58854</v>
      </c>
      <c r="B58" s="8" t="s">
        <v>59563</v>
      </c>
    </row>
    <row r="59" spans="1:2" ht="14.5" x14ac:dyDescent="0.35">
      <c r="A59" s="8" t="s">
        <v>58854</v>
      </c>
      <c r="B59" s="8" t="s">
        <v>59583</v>
      </c>
    </row>
    <row r="60" spans="1:2" ht="14.5" x14ac:dyDescent="0.35">
      <c r="A60" s="8" t="s">
        <v>58854</v>
      </c>
      <c r="B60" s="8" t="s">
        <v>59581</v>
      </c>
    </row>
    <row r="61" spans="1:2" ht="14.5" x14ac:dyDescent="0.35">
      <c r="A61" s="8" t="s">
        <v>58854</v>
      </c>
      <c r="B61" s="8" t="s">
        <v>59577</v>
      </c>
    </row>
    <row r="62" spans="1:2" ht="14.5" x14ac:dyDescent="0.35">
      <c r="A62" s="8" t="s">
        <v>58854</v>
      </c>
      <c r="B62" s="8" t="s">
        <v>59588</v>
      </c>
    </row>
    <row r="63" spans="1:2" ht="14.5" x14ac:dyDescent="0.35">
      <c r="A63" s="8" t="s">
        <v>58854</v>
      </c>
      <c r="B63" s="8" t="s">
        <v>59614</v>
      </c>
    </row>
    <row r="64" spans="1:2" ht="14.5" x14ac:dyDescent="0.35">
      <c r="A64" s="8" t="s">
        <v>58854</v>
      </c>
      <c r="B64" s="8" t="s">
        <v>59636</v>
      </c>
    </row>
    <row r="65" spans="1:2" ht="14.5" x14ac:dyDescent="0.35">
      <c r="A65" s="8" t="s">
        <v>58854</v>
      </c>
      <c r="B65" s="8" t="s">
        <v>59533</v>
      </c>
    </row>
    <row r="66" spans="1:2" ht="14.5" x14ac:dyDescent="0.35">
      <c r="A66" s="8" t="s">
        <v>58854</v>
      </c>
      <c r="B66" s="8" t="s">
        <v>59431</v>
      </c>
    </row>
    <row r="67" spans="1:2" ht="14.5" x14ac:dyDescent="0.35">
      <c r="A67" s="8" t="s">
        <v>58854</v>
      </c>
      <c r="B67" s="8" t="s">
        <v>59404</v>
      </c>
    </row>
    <row r="68" spans="1:2" ht="14.5" x14ac:dyDescent="0.35">
      <c r="A68" s="8" t="s">
        <v>58854</v>
      </c>
      <c r="B68" s="8" t="s">
        <v>59417</v>
      </c>
    </row>
    <row r="69" spans="1:2" ht="14.5" x14ac:dyDescent="0.35">
      <c r="A69" s="8" t="s">
        <v>58854</v>
      </c>
      <c r="B69" s="8" t="s">
        <v>59373</v>
      </c>
    </row>
    <row r="70" spans="1:2" ht="14.5" x14ac:dyDescent="0.35">
      <c r="A70" s="8" t="s">
        <v>58854</v>
      </c>
      <c r="B70" s="8" t="s">
        <v>59429</v>
      </c>
    </row>
    <row r="71" spans="1:2" ht="14.5" x14ac:dyDescent="0.35">
      <c r="A71" s="8" t="s">
        <v>58854</v>
      </c>
      <c r="B71" s="8" t="s">
        <v>59371</v>
      </c>
    </row>
    <row r="72" spans="1:2" ht="14.5" x14ac:dyDescent="0.35">
      <c r="A72" s="8" t="s">
        <v>58854</v>
      </c>
      <c r="B72" s="8" t="s">
        <v>59420</v>
      </c>
    </row>
    <row r="73" spans="1:2" ht="14.5" x14ac:dyDescent="0.35">
      <c r="A73" s="8" t="s">
        <v>58854</v>
      </c>
      <c r="B73" s="8" t="s">
        <v>59411</v>
      </c>
    </row>
    <row r="74" spans="1:2" ht="14.5" x14ac:dyDescent="0.35">
      <c r="A74" s="8" t="s">
        <v>58854</v>
      </c>
      <c r="B74" s="8" t="s">
        <v>59401</v>
      </c>
    </row>
    <row r="75" spans="1:2" ht="14.5" x14ac:dyDescent="0.35">
      <c r="A75" s="8" t="s">
        <v>58854</v>
      </c>
      <c r="B75" s="8" t="s">
        <v>59400</v>
      </c>
    </row>
    <row r="76" spans="1:2" ht="14.5" x14ac:dyDescent="0.35">
      <c r="A76" s="8" t="s">
        <v>58854</v>
      </c>
      <c r="B76" s="8" t="s">
        <v>59418</v>
      </c>
    </row>
    <row r="77" spans="1:2" ht="14.5" x14ac:dyDescent="0.35">
      <c r="A77" s="8" t="s">
        <v>58854</v>
      </c>
      <c r="B77" s="8" t="s">
        <v>59439</v>
      </c>
    </row>
    <row r="78" spans="1:2" ht="14.5" x14ac:dyDescent="0.35">
      <c r="A78" s="8" t="s">
        <v>58854</v>
      </c>
      <c r="B78" s="8" t="s">
        <v>59432</v>
      </c>
    </row>
    <row r="79" spans="1:2" ht="14.5" x14ac:dyDescent="0.35">
      <c r="A79" s="8" t="s">
        <v>58854</v>
      </c>
      <c r="B79" s="8" t="s">
        <v>59392</v>
      </c>
    </row>
    <row r="80" spans="1:2" ht="14.5" x14ac:dyDescent="0.35">
      <c r="A80" s="8" t="s">
        <v>58854</v>
      </c>
      <c r="B80" s="8" t="s">
        <v>59419</v>
      </c>
    </row>
    <row r="81" spans="1:2" ht="14.5" x14ac:dyDescent="0.35">
      <c r="A81" s="8" t="s">
        <v>58854</v>
      </c>
      <c r="B81" s="8" t="s">
        <v>59391</v>
      </c>
    </row>
    <row r="82" spans="1:2" ht="14.5" x14ac:dyDescent="0.35">
      <c r="A82" s="8" t="s">
        <v>58854</v>
      </c>
      <c r="B82" s="8" t="s">
        <v>59377</v>
      </c>
    </row>
    <row r="83" spans="1:2" ht="14.5" x14ac:dyDescent="0.35">
      <c r="A83" s="8" t="s">
        <v>58854</v>
      </c>
      <c r="B83" s="8" t="s">
        <v>59574</v>
      </c>
    </row>
    <row r="84" spans="1:2" ht="14.5" x14ac:dyDescent="0.35">
      <c r="A84" s="8" t="s">
        <v>58854</v>
      </c>
      <c r="B84" s="8" t="s">
        <v>58863</v>
      </c>
    </row>
    <row r="85" spans="1:2" ht="14.5" x14ac:dyDescent="0.35">
      <c r="A85" s="8" t="s">
        <v>58854</v>
      </c>
      <c r="B85" s="8" t="s">
        <v>59602</v>
      </c>
    </row>
    <row r="86" spans="1:2" ht="14.5" x14ac:dyDescent="0.35">
      <c r="A86" s="8" t="s">
        <v>58854</v>
      </c>
      <c r="B86" s="8" t="s">
        <v>59603</v>
      </c>
    </row>
    <row r="87" spans="1:2" ht="14.5" x14ac:dyDescent="0.35">
      <c r="A87" s="8" t="s">
        <v>58854</v>
      </c>
      <c r="B87" s="8" t="s">
        <v>58886</v>
      </c>
    </row>
    <row r="88" spans="1:2" ht="14.5" x14ac:dyDescent="0.35">
      <c r="A88" s="8" t="s">
        <v>58854</v>
      </c>
      <c r="B88" s="8" t="s">
        <v>58864</v>
      </c>
    </row>
    <row r="89" spans="1:2" ht="14.5" x14ac:dyDescent="0.35">
      <c r="A89" s="8" t="s">
        <v>58854</v>
      </c>
      <c r="B89" s="8" t="s">
        <v>59416</v>
      </c>
    </row>
    <row r="90" spans="1:2" ht="14.5" x14ac:dyDescent="0.35">
      <c r="A90" s="8" t="s">
        <v>58854</v>
      </c>
      <c r="B90" s="8" t="s">
        <v>59394</v>
      </c>
    </row>
    <row r="91" spans="1:2" ht="14.5" x14ac:dyDescent="0.35">
      <c r="A91" s="8" t="s">
        <v>58854</v>
      </c>
      <c r="B91" s="8" t="s">
        <v>59367</v>
      </c>
    </row>
    <row r="92" spans="1:2" ht="14.5" x14ac:dyDescent="0.35">
      <c r="A92" s="8" t="s">
        <v>58854</v>
      </c>
      <c r="B92" s="8" t="s">
        <v>59427</v>
      </c>
    </row>
    <row r="93" spans="1:2" ht="14.5" x14ac:dyDescent="0.35">
      <c r="A93" s="8" t="s">
        <v>58854</v>
      </c>
      <c r="B93" s="8" t="s">
        <v>59388</v>
      </c>
    </row>
    <row r="94" spans="1:2" ht="14.5" x14ac:dyDescent="0.35">
      <c r="A94" s="8" t="s">
        <v>58854</v>
      </c>
      <c r="B94" s="8" t="s">
        <v>59424</v>
      </c>
    </row>
    <row r="95" spans="1:2" ht="14.5" x14ac:dyDescent="0.35">
      <c r="A95" s="8" t="s">
        <v>58854</v>
      </c>
      <c r="B95" s="8" t="s">
        <v>59436</v>
      </c>
    </row>
    <row r="96" spans="1:2" ht="14.5" x14ac:dyDescent="0.35">
      <c r="A96" s="8" t="s">
        <v>58854</v>
      </c>
      <c r="B96" s="8" t="s">
        <v>59421</v>
      </c>
    </row>
    <row r="97" spans="1:2" ht="14.5" x14ac:dyDescent="0.35">
      <c r="A97" s="8" t="s">
        <v>58854</v>
      </c>
      <c r="B97" s="8" t="s">
        <v>59430</v>
      </c>
    </row>
    <row r="98" spans="1:2" ht="14.5" x14ac:dyDescent="0.35">
      <c r="A98" s="8" t="s">
        <v>58854</v>
      </c>
      <c r="B98" s="8" t="s">
        <v>59362</v>
      </c>
    </row>
    <row r="99" spans="1:2" ht="14.5" x14ac:dyDescent="0.35">
      <c r="A99" s="8" t="s">
        <v>58854</v>
      </c>
      <c r="B99" s="8" t="s">
        <v>59393</v>
      </c>
    </row>
    <row r="100" spans="1:2" ht="14.5" x14ac:dyDescent="0.35">
      <c r="A100" s="8" t="s">
        <v>58854</v>
      </c>
      <c r="B100" s="8" t="s">
        <v>59457</v>
      </c>
    </row>
    <row r="101" spans="1:2" ht="14.5" x14ac:dyDescent="0.35">
      <c r="A101" s="8" t="s">
        <v>58854</v>
      </c>
      <c r="B101" s="8" t="s">
        <v>59567</v>
      </c>
    </row>
    <row r="102" spans="1:2" ht="14.5" x14ac:dyDescent="0.35">
      <c r="A102" s="8" t="s">
        <v>58854</v>
      </c>
      <c r="B102" s="8" t="s">
        <v>60465</v>
      </c>
    </row>
    <row r="103" spans="1:2" ht="14.5" x14ac:dyDescent="0.35">
      <c r="A103" s="8" t="s">
        <v>58854</v>
      </c>
      <c r="B103" s="8" t="s">
        <v>60466</v>
      </c>
    </row>
    <row r="104" spans="1:2" ht="14.5" x14ac:dyDescent="0.35">
      <c r="A104" s="8" t="s">
        <v>58854</v>
      </c>
      <c r="B104" s="8" t="s">
        <v>60467</v>
      </c>
    </row>
    <row r="105" spans="1:2" ht="14.5" x14ac:dyDescent="0.35">
      <c r="A105" s="8" t="s">
        <v>58854</v>
      </c>
      <c r="B105" s="8" t="s">
        <v>60468</v>
      </c>
    </row>
    <row r="106" spans="1:2" ht="14.5" x14ac:dyDescent="0.35">
      <c r="A106" s="8" t="s">
        <v>58854</v>
      </c>
      <c r="B106" s="8" t="s">
        <v>58876</v>
      </c>
    </row>
    <row r="107" spans="1:2" ht="14.5" x14ac:dyDescent="0.35">
      <c r="A107" s="8" t="s">
        <v>58854</v>
      </c>
      <c r="B107" s="8" t="s">
        <v>58915</v>
      </c>
    </row>
    <row r="108" spans="1:2" ht="14.5" x14ac:dyDescent="0.35">
      <c r="A108" s="8" t="s">
        <v>58854</v>
      </c>
      <c r="B108" s="8" t="s">
        <v>59512</v>
      </c>
    </row>
    <row r="109" spans="1:2" ht="14.5" x14ac:dyDescent="0.35">
      <c r="A109" s="8" t="s">
        <v>58854</v>
      </c>
      <c r="B109" s="8" t="s">
        <v>58887</v>
      </c>
    </row>
    <row r="110" spans="1:2" ht="14.5" x14ac:dyDescent="0.35">
      <c r="A110" s="8" t="s">
        <v>58854</v>
      </c>
      <c r="B110" s="8" t="s">
        <v>59478</v>
      </c>
    </row>
    <row r="111" spans="1:2" ht="14.5" x14ac:dyDescent="0.35">
      <c r="A111" s="8" t="s">
        <v>58854</v>
      </c>
      <c r="B111" s="8" t="s">
        <v>58856</v>
      </c>
    </row>
    <row r="112" spans="1:2" ht="14.5" x14ac:dyDescent="0.35">
      <c r="A112" s="8" t="s">
        <v>58854</v>
      </c>
      <c r="B112" s="8" t="s">
        <v>59530</v>
      </c>
    </row>
    <row r="113" spans="1:2" ht="14.5" x14ac:dyDescent="0.35">
      <c r="A113" s="8" t="s">
        <v>58854</v>
      </c>
      <c r="B113" s="8" t="s">
        <v>59541</v>
      </c>
    </row>
    <row r="114" spans="1:2" ht="14.5" x14ac:dyDescent="0.35">
      <c r="A114" s="8" t="s">
        <v>58854</v>
      </c>
      <c r="B114" s="8" t="s">
        <v>59521</v>
      </c>
    </row>
    <row r="115" spans="1:2" ht="14.5" x14ac:dyDescent="0.35">
      <c r="A115" s="8" t="s">
        <v>58854</v>
      </c>
      <c r="B115" s="8" t="s">
        <v>59501</v>
      </c>
    </row>
    <row r="116" spans="1:2" ht="14.5" x14ac:dyDescent="0.35">
      <c r="A116" s="8" t="s">
        <v>58854</v>
      </c>
      <c r="B116" s="8" t="s">
        <v>59507</v>
      </c>
    </row>
    <row r="117" spans="1:2" ht="14.5" x14ac:dyDescent="0.35">
      <c r="A117" s="8" t="s">
        <v>58854</v>
      </c>
      <c r="B117" s="8" t="s">
        <v>58877</v>
      </c>
    </row>
    <row r="118" spans="1:2" ht="14.5" x14ac:dyDescent="0.35">
      <c r="A118" s="8" t="s">
        <v>58854</v>
      </c>
      <c r="B118" s="8" t="s">
        <v>59527</v>
      </c>
    </row>
    <row r="119" spans="1:2" ht="14.5" x14ac:dyDescent="0.35">
      <c r="A119" s="8" t="s">
        <v>58854</v>
      </c>
      <c r="B119" s="8" t="s">
        <v>58865</v>
      </c>
    </row>
    <row r="120" spans="1:2" ht="14.5" x14ac:dyDescent="0.35">
      <c r="A120" s="8" t="s">
        <v>58854</v>
      </c>
      <c r="B120" s="8" t="s">
        <v>59544</v>
      </c>
    </row>
    <row r="121" spans="1:2" ht="14.5" x14ac:dyDescent="0.35">
      <c r="A121" s="8" t="s">
        <v>58854</v>
      </c>
      <c r="B121" s="8" t="s">
        <v>58888</v>
      </c>
    </row>
    <row r="122" spans="1:2" ht="14.5" x14ac:dyDescent="0.35">
      <c r="A122" s="8" t="s">
        <v>58854</v>
      </c>
      <c r="B122" s="8" t="s">
        <v>59546</v>
      </c>
    </row>
    <row r="123" spans="1:2" ht="14.5" x14ac:dyDescent="0.35">
      <c r="A123" s="8" t="s">
        <v>58854</v>
      </c>
      <c r="B123" s="8" t="s">
        <v>59463</v>
      </c>
    </row>
    <row r="124" spans="1:2" ht="14.5" x14ac:dyDescent="0.35">
      <c r="A124" s="8" t="s">
        <v>58854</v>
      </c>
      <c r="B124" s="8" t="s">
        <v>59462</v>
      </c>
    </row>
    <row r="125" spans="1:2" ht="14.5" x14ac:dyDescent="0.35">
      <c r="A125" s="8" t="s">
        <v>58854</v>
      </c>
      <c r="B125" s="8" t="s">
        <v>59469</v>
      </c>
    </row>
    <row r="126" spans="1:2" ht="14.5" x14ac:dyDescent="0.35">
      <c r="A126" s="8" t="s">
        <v>58854</v>
      </c>
      <c r="B126" s="8" t="s">
        <v>58889</v>
      </c>
    </row>
    <row r="127" spans="1:2" ht="14.5" x14ac:dyDescent="0.35">
      <c r="A127" s="8" t="s">
        <v>58854</v>
      </c>
      <c r="B127" s="8" t="s">
        <v>58878</v>
      </c>
    </row>
    <row r="128" spans="1:2" ht="14.5" x14ac:dyDescent="0.35">
      <c r="A128" s="8" t="s">
        <v>58854</v>
      </c>
      <c r="B128" s="8" t="s">
        <v>58857</v>
      </c>
    </row>
    <row r="129" spans="1:2" ht="14.5" x14ac:dyDescent="0.35">
      <c r="A129" s="8" t="s">
        <v>58854</v>
      </c>
      <c r="B129" s="8" t="s">
        <v>59510</v>
      </c>
    </row>
    <row r="130" spans="1:2" ht="14.5" x14ac:dyDescent="0.35">
      <c r="A130" s="8" t="s">
        <v>58854</v>
      </c>
      <c r="B130" s="8" t="s">
        <v>59518</v>
      </c>
    </row>
    <row r="131" spans="1:2" ht="14.5" x14ac:dyDescent="0.35">
      <c r="A131" s="8" t="s">
        <v>58854</v>
      </c>
      <c r="B131" s="8" t="s">
        <v>59531</v>
      </c>
    </row>
    <row r="132" spans="1:2" ht="14.5" x14ac:dyDescent="0.35">
      <c r="A132" s="8" t="s">
        <v>58854</v>
      </c>
      <c r="B132" s="8" t="s">
        <v>59524</v>
      </c>
    </row>
    <row r="133" spans="1:2" ht="14.5" x14ac:dyDescent="0.35">
      <c r="A133" s="8" t="s">
        <v>58854</v>
      </c>
      <c r="B133" s="8" t="s">
        <v>59482</v>
      </c>
    </row>
    <row r="134" spans="1:2" ht="14.5" x14ac:dyDescent="0.35">
      <c r="A134" s="8" t="s">
        <v>58854</v>
      </c>
      <c r="B134" s="8" t="s">
        <v>58879</v>
      </c>
    </row>
    <row r="135" spans="1:2" ht="14.5" x14ac:dyDescent="0.35">
      <c r="A135" s="8" t="s">
        <v>58854</v>
      </c>
      <c r="B135" s="8" t="s">
        <v>58866</v>
      </c>
    </row>
    <row r="136" spans="1:2" ht="14.5" x14ac:dyDescent="0.35">
      <c r="A136" s="8" t="s">
        <v>58854</v>
      </c>
      <c r="B136" s="8" t="s">
        <v>58858</v>
      </c>
    </row>
    <row r="137" spans="1:2" ht="14.5" x14ac:dyDescent="0.35">
      <c r="A137" s="8" t="s">
        <v>58854</v>
      </c>
      <c r="B137" s="8" t="s">
        <v>58905</v>
      </c>
    </row>
    <row r="138" spans="1:2" ht="14.5" x14ac:dyDescent="0.35">
      <c r="A138" s="8" t="s">
        <v>58854</v>
      </c>
      <c r="B138" s="8" t="s">
        <v>60469</v>
      </c>
    </row>
    <row r="139" spans="1:2" ht="14.5" x14ac:dyDescent="0.35">
      <c r="A139" s="8" t="s">
        <v>58854</v>
      </c>
      <c r="B139" s="8" t="s">
        <v>60470</v>
      </c>
    </row>
    <row r="140" spans="1:2" ht="14.5" x14ac:dyDescent="0.35">
      <c r="A140" s="8" t="s">
        <v>58854</v>
      </c>
      <c r="B140" s="8" t="s">
        <v>60471</v>
      </c>
    </row>
    <row r="141" spans="1:2" ht="14.5" x14ac:dyDescent="0.35">
      <c r="A141" s="8" t="s">
        <v>58854</v>
      </c>
      <c r="B141" s="8" t="s">
        <v>60472</v>
      </c>
    </row>
    <row r="142" spans="1:2" ht="14.5" x14ac:dyDescent="0.35">
      <c r="A142" s="8" t="s">
        <v>58854</v>
      </c>
      <c r="B142" s="8" t="s">
        <v>60473</v>
      </c>
    </row>
    <row r="143" spans="1:2" ht="14.5" x14ac:dyDescent="0.35">
      <c r="A143" s="8" t="s">
        <v>58854</v>
      </c>
      <c r="B143" s="8" t="s">
        <v>60474</v>
      </c>
    </row>
    <row r="144" spans="1:2" ht="14.5" x14ac:dyDescent="0.35">
      <c r="A144" s="8" t="s">
        <v>58854</v>
      </c>
      <c r="B144" s="8" t="s">
        <v>60475</v>
      </c>
    </row>
    <row r="145" spans="1:2" ht="14.5" x14ac:dyDescent="0.35">
      <c r="A145" s="8" t="s">
        <v>58854</v>
      </c>
      <c r="B145" s="8" t="s">
        <v>60476</v>
      </c>
    </row>
    <row r="146" spans="1:2" ht="14.5" x14ac:dyDescent="0.35">
      <c r="A146" s="8" t="s">
        <v>58854</v>
      </c>
      <c r="B146" s="8" t="s">
        <v>58916</v>
      </c>
    </row>
    <row r="147" spans="1:2" ht="14.5" x14ac:dyDescent="0.35">
      <c r="A147" s="8" t="s">
        <v>58854</v>
      </c>
      <c r="B147" s="8" t="s">
        <v>60477</v>
      </c>
    </row>
    <row r="148" spans="1:2" ht="14.5" x14ac:dyDescent="0.35">
      <c r="A148" s="8" t="s">
        <v>58854</v>
      </c>
      <c r="B148" s="8" t="s">
        <v>60478</v>
      </c>
    </row>
    <row r="149" spans="1:2" ht="14.5" x14ac:dyDescent="0.35">
      <c r="A149" s="8" t="s">
        <v>58854</v>
      </c>
      <c r="B149" s="8" t="s">
        <v>60479</v>
      </c>
    </row>
    <row r="150" spans="1:2" ht="14.5" x14ac:dyDescent="0.35">
      <c r="A150" s="8" t="s">
        <v>58854</v>
      </c>
      <c r="B150" s="8" t="s">
        <v>60480</v>
      </c>
    </row>
    <row r="151" spans="1:2" ht="14.5" x14ac:dyDescent="0.35">
      <c r="A151" s="8" t="s">
        <v>58854</v>
      </c>
      <c r="B151" s="8" t="s">
        <v>60481</v>
      </c>
    </row>
    <row r="152" spans="1:2" ht="14.5" x14ac:dyDescent="0.35">
      <c r="A152" s="8" t="s">
        <v>58854</v>
      </c>
      <c r="B152" s="8" t="s">
        <v>60482</v>
      </c>
    </row>
    <row r="153" spans="1:2" ht="14.5" x14ac:dyDescent="0.35">
      <c r="A153" s="8" t="s">
        <v>58854</v>
      </c>
      <c r="B153" s="8" t="s">
        <v>60483</v>
      </c>
    </row>
    <row r="154" spans="1:2" ht="14.5" x14ac:dyDescent="0.35">
      <c r="A154" s="8" t="s">
        <v>58854</v>
      </c>
      <c r="B154" s="8" t="s">
        <v>60484</v>
      </c>
    </row>
    <row r="155" spans="1:2" ht="14.5" x14ac:dyDescent="0.35">
      <c r="A155" s="8" t="s">
        <v>58854</v>
      </c>
      <c r="B155" s="8" t="s">
        <v>60485</v>
      </c>
    </row>
    <row r="156" spans="1:2" ht="14.5" x14ac:dyDescent="0.35">
      <c r="A156" s="8" t="s">
        <v>58854</v>
      </c>
      <c r="B156" s="8" t="s">
        <v>60486</v>
      </c>
    </row>
    <row r="157" spans="1:2" ht="14.5" x14ac:dyDescent="0.35">
      <c r="A157" s="8" t="s">
        <v>58854</v>
      </c>
      <c r="B157" s="8" t="s">
        <v>60487</v>
      </c>
    </row>
    <row r="158" spans="1:2" ht="14.5" x14ac:dyDescent="0.35">
      <c r="A158" s="8" t="s">
        <v>58854</v>
      </c>
      <c r="B158" s="8" t="s">
        <v>58906</v>
      </c>
    </row>
    <row r="159" spans="1:2" ht="14.5" x14ac:dyDescent="0.35">
      <c r="A159" s="8" t="s">
        <v>58854</v>
      </c>
      <c r="B159" s="8" t="s">
        <v>59497</v>
      </c>
    </row>
    <row r="160" spans="1:2" ht="14.5" x14ac:dyDescent="0.35">
      <c r="A160" s="8" t="s">
        <v>58854</v>
      </c>
      <c r="B160" s="8" t="s">
        <v>59403</v>
      </c>
    </row>
    <row r="161" spans="1:2" ht="14.5" x14ac:dyDescent="0.35">
      <c r="A161" s="8" t="s">
        <v>58854</v>
      </c>
      <c r="B161" s="8" t="s">
        <v>59398</v>
      </c>
    </row>
    <row r="162" spans="1:2" ht="14.5" x14ac:dyDescent="0.35">
      <c r="A162" s="8" t="s">
        <v>58854</v>
      </c>
      <c r="B162" s="8" t="s">
        <v>59407</v>
      </c>
    </row>
    <row r="163" spans="1:2" ht="14.5" x14ac:dyDescent="0.35">
      <c r="A163" s="8" t="s">
        <v>58854</v>
      </c>
      <c r="B163" s="8" t="s">
        <v>59413</v>
      </c>
    </row>
    <row r="164" spans="1:2" ht="14.5" x14ac:dyDescent="0.35">
      <c r="A164" s="8" t="s">
        <v>58854</v>
      </c>
      <c r="B164" s="8" t="s">
        <v>59435</v>
      </c>
    </row>
    <row r="165" spans="1:2" ht="14.5" x14ac:dyDescent="0.35">
      <c r="A165" s="8" t="s">
        <v>58854</v>
      </c>
      <c r="B165" s="8" t="s">
        <v>59372</v>
      </c>
    </row>
    <row r="166" spans="1:2" ht="14.5" x14ac:dyDescent="0.35">
      <c r="A166" s="8" t="s">
        <v>58854</v>
      </c>
      <c r="B166" s="8" t="s">
        <v>59364</v>
      </c>
    </row>
    <row r="167" spans="1:2" ht="14.5" x14ac:dyDescent="0.35">
      <c r="A167" s="8" t="s">
        <v>58854</v>
      </c>
      <c r="B167" s="8" t="s">
        <v>59573</v>
      </c>
    </row>
    <row r="168" spans="1:2" ht="14.5" x14ac:dyDescent="0.35">
      <c r="A168" s="8" t="s">
        <v>58854</v>
      </c>
      <c r="B168" s="8" t="s">
        <v>59558</v>
      </c>
    </row>
    <row r="169" spans="1:2" ht="14.5" x14ac:dyDescent="0.35">
      <c r="A169" s="8" t="s">
        <v>58854</v>
      </c>
      <c r="B169" s="8" t="s">
        <v>59487</v>
      </c>
    </row>
    <row r="170" spans="1:2" ht="14.5" x14ac:dyDescent="0.35">
      <c r="A170" s="8" t="s">
        <v>58854</v>
      </c>
      <c r="B170" s="8" t="s">
        <v>59514</v>
      </c>
    </row>
    <row r="171" spans="1:2" ht="14.5" x14ac:dyDescent="0.35">
      <c r="A171" s="8" t="s">
        <v>58854</v>
      </c>
      <c r="B171" s="8" t="s">
        <v>59542</v>
      </c>
    </row>
    <row r="172" spans="1:2" ht="14.5" x14ac:dyDescent="0.35">
      <c r="A172" s="8" t="s">
        <v>58854</v>
      </c>
      <c r="B172" s="8" t="s">
        <v>59605</v>
      </c>
    </row>
    <row r="173" spans="1:2" ht="14.5" x14ac:dyDescent="0.35">
      <c r="A173" s="8" t="s">
        <v>58854</v>
      </c>
      <c r="B173" s="8" t="s">
        <v>59561</v>
      </c>
    </row>
    <row r="174" spans="1:2" ht="14.5" x14ac:dyDescent="0.35">
      <c r="A174" s="8" t="s">
        <v>58854</v>
      </c>
      <c r="B174" s="8" t="s">
        <v>59513</v>
      </c>
    </row>
    <row r="175" spans="1:2" ht="14.5" x14ac:dyDescent="0.35">
      <c r="A175" s="8" t="s">
        <v>58854</v>
      </c>
      <c r="B175" s="8" t="s">
        <v>59556</v>
      </c>
    </row>
    <row r="176" spans="1:2" ht="14.5" x14ac:dyDescent="0.35">
      <c r="A176" s="8" t="s">
        <v>58854</v>
      </c>
      <c r="B176" s="8" t="s">
        <v>59485</v>
      </c>
    </row>
    <row r="177" spans="1:2" ht="14.5" x14ac:dyDescent="0.35">
      <c r="A177" s="8" t="s">
        <v>58854</v>
      </c>
      <c r="B177" s="8" t="s">
        <v>9398</v>
      </c>
    </row>
    <row r="178" spans="1:2" ht="14.5" x14ac:dyDescent="0.35">
      <c r="A178" s="8" t="s">
        <v>58854</v>
      </c>
      <c r="B178" s="8" t="s">
        <v>59535</v>
      </c>
    </row>
    <row r="179" spans="1:2" ht="14.5" x14ac:dyDescent="0.35">
      <c r="A179" s="8" t="s">
        <v>58854</v>
      </c>
      <c r="B179" s="8" t="s">
        <v>58867</v>
      </c>
    </row>
    <row r="180" spans="1:2" ht="14.5" x14ac:dyDescent="0.35">
      <c r="A180" s="8" t="s">
        <v>58854</v>
      </c>
      <c r="B180" s="8" t="s">
        <v>58917</v>
      </c>
    </row>
    <row r="181" spans="1:2" ht="14.5" x14ac:dyDescent="0.35">
      <c r="A181" s="8" t="s">
        <v>58854</v>
      </c>
      <c r="B181" s="8" t="s">
        <v>58890</v>
      </c>
    </row>
    <row r="182" spans="1:2" ht="14.5" x14ac:dyDescent="0.35">
      <c r="A182" s="8" t="s">
        <v>58854</v>
      </c>
      <c r="B182" s="8" t="s">
        <v>59489</v>
      </c>
    </row>
    <row r="183" spans="1:2" ht="14.5" x14ac:dyDescent="0.35">
      <c r="A183" s="8" t="s">
        <v>58854</v>
      </c>
      <c r="B183" s="8" t="s">
        <v>59481</v>
      </c>
    </row>
    <row r="184" spans="1:2" ht="14.5" x14ac:dyDescent="0.35">
      <c r="A184" s="8" t="s">
        <v>58854</v>
      </c>
      <c r="B184" s="8" t="s">
        <v>59522</v>
      </c>
    </row>
    <row r="185" spans="1:2" ht="14.5" x14ac:dyDescent="0.35">
      <c r="A185" s="8" t="s">
        <v>58854</v>
      </c>
      <c r="B185" s="8" t="s">
        <v>58918</v>
      </c>
    </row>
    <row r="186" spans="1:2" ht="14.5" x14ac:dyDescent="0.35">
      <c r="A186" s="8" t="s">
        <v>58854</v>
      </c>
      <c r="B186" s="8" t="s">
        <v>59572</v>
      </c>
    </row>
    <row r="187" spans="1:2" ht="14.5" x14ac:dyDescent="0.35">
      <c r="A187" s="8" t="s">
        <v>58854</v>
      </c>
      <c r="B187" s="8" t="s">
        <v>58891</v>
      </c>
    </row>
    <row r="188" spans="1:2" ht="14.5" x14ac:dyDescent="0.35">
      <c r="A188" s="8" t="s">
        <v>58854</v>
      </c>
      <c r="B188" s="8" t="s">
        <v>54821</v>
      </c>
    </row>
    <row r="189" spans="1:2" ht="14.5" x14ac:dyDescent="0.35">
      <c r="A189" s="8" t="s">
        <v>58854</v>
      </c>
      <c r="B189" s="8" t="s">
        <v>58892</v>
      </c>
    </row>
    <row r="190" spans="1:2" ht="14.5" x14ac:dyDescent="0.35">
      <c r="A190" s="8" t="s">
        <v>58854</v>
      </c>
      <c r="B190" s="8" t="s">
        <v>59448</v>
      </c>
    </row>
    <row r="191" spans="1:2" ht="14.5" x14ac:dyDescent="0.35">
      <c r="A191" s="8" t="s">
        <v>58854</v>
      </c>
      <c r="B191" s="8" t="s">
        <v>58859</v>
      </c>
    </row>
    <row r="192" spans="1:2" ht="14.5" x14ac:dyDescent="0.35">
      <c r="A192" s="8" t="s">
        <v>58854</v>
      </c>
      <c r="B192" s="8" t="s">
        <v>59525</v>
      </c>
    </row>
    <row r="193" spans="1:2" ht="14.5" x14ac:dyDescent="0.35">
      <c r="A193" s="8" t="s">
        <v>58854</v>
      </c>
      <c r="B193" s="8" t="s">
        <v>59545</v>
      </c>
    </row>
    <row r="194" spans="1:2" ht="14.5" x14ac:dyDescent="0.35">
      <c r="A194" s="8" t="s">
        <v>58854</v>
      </c>
      <c r="B194" s="8" t="s">
        <v>59619</v>
      </c>
    </row>
    <row r="195" spans="1:2" ht="14.5" x14ac:dyDescent="0.35">
      <c r="A195" s="8" t="s">
        <v>58854</v>
      </c>
      <c r="B195" s="8" t="s">
        <v>59599</v>
      </c>
    </row>
    <row r="196" spans="1:2" ht="14.5" x14ac:dyDescent="0.35">
      <c r="A196" s="8" t="s">
        <v>58854</v>
      </c>
      <c r="B196" s="8" t="s">
        <v>59529</v>
      </c>
    </row>
    <row r="197" spans="1:2" ht="14.5" x14ac:dyDescent="0.35">
      <c r="A197" s="8" t="s">
        <v>58854</v>
      </c>
      <c r="B197" s="8" t="s">
        <v>59559</v>
      </c>
    </row>
    <row r="198" spans="1:2" ht="14.5" x14ac:dyDescent="0.35">
      <c r="A198" s="8" t="s">
        <v>58854</v>
      </c>
      <c r="B198" s="8" t="s">
        <v>59477</v>
      </c>
    </row>
    <row r="199" spans="1:2" ht="14.5" x14ac:dyDescent="0.35">
      <c r="A199" s="8" t="s">
        <v>58854</v>
      </c>
      <c r="B199" s="8" t="s">
        <v>59644</v>
      </c>
    </row>
    <row r="200" spans="1:2" ht="14.5" x14ac:dyDescent="0.35">
      <c r="A200" s="8" t="s">
        <v>58854</v>
      </c>
      <c r="B200" s="8" t="s">
        <v>59638</v>
      </c>
    </row>
    <row r="201" spans="1:2" ht="14.5" x14ac:dyDescent="0.35">
      <c r="A201" s="8" t="s">
        <v>58854</v>
      </c>
      <c r="B201" s="8" t="s">
        <v>58880</v>
      </c>
    </row>
    <row r="202" spans="1:2" ht="14.5" x14ac:dyDescent="0.35">
      <c r="A202" s="8" t="s">
        <v>58854</v>
      </c>
      <c r="B202" s="8" t="s">
        <v>58896</v>
      </c>
    </row>
    <row r="203" spans="1:2" ht="14.5" x14ac:dyDescent="0.35">
      <c r="A203" s="8" t="s">
        <v>58854</v>
      </c>
      <c r="B203" s="8" t="s">
        <v>58919</v>
      </c>
    </row>
    <row r="204" spans="1:2" ht="14.5" x14ac:dyDescent="0.35">
      <c r="A204" s="8" t="s">
        <v>58854</v>
      </c>
      <c r="B204" s="8" t="s">
        <v>58920</v>
      </c>
    </row>
    <row r="205" spans="1:2" ht="14.5" x14ac:dyDescent="0.35">
      <c r="A205" s="8" t="s">
        <v>58854</v>
      </c>
      <c r="B205" s="8" t="s">
        <v>59616</v>
      </c>
    </row>
    <row r="206" spans="1:2" ht="14.5" x14ac:dyDescent="0.35">
      <c r="A206" s="8" t="s">
        <v>58854</v>
      </c>
      <c r="B206" s="8" t="s">
        <v>58897</v>
      </c>
    </row>
    <row r="207" spans="1:2" ht="14.5" x14ac:dyDescent="0.35">
      <c r="A207" s="8" t="s">
        <v>58854</v>
      </c>
      <c r="B207" s="8" t="s">
        <v>60488</v>
      </c>
    </row>
    <row r="208" spans="1:2" ht="14.5" x14ac:dyDescent="0.35">
      <c r="A208" s="8" t="s">
        <v>58854</v>
      </c>
      <c r="B208" s="8" t="s">
        <v>60489</v>
      </c>
    </row>
    <row r="209" spans="1:2" ht="14.5" x14ac:dyDescent="0.35">
      <c r="A209" s="8" t="s">
        <v>58854</v>
      </c>
      <c r="B209" s="8" t="s">
        <v>60490</v>
      </c>
    </row>
    <row r="210" spans="1:2" ht="14.5" x14ac:dyDescent="0.35">
      <c r="A210" s="8" t="s">
        <v>58854</v>
      </c>
      <c r="B210" s="8" t="s">
        <v>60491</v>
      </c>
    </row>
    <row r="211" spans="1:2" ht="14.5" x14ac:dyDescent="0.35">
      <c r="A211" s="8" t="s">
        <v>58854</v>
      </c>
      <c r="B211" s="8" t="s">
        <v>60492</v>
      </c>
    </row>
    <row r="212" spans="1:2" ht="14.5" x14ac:dyDescent="0.35">
      <c r="A212" s="8" t="s">
        <v>58854</v>
      </c>
      <c r="B212" s="8" t="s">
        <v>60493</v>
      </c>
    </row>
    <row r="213" spans="1:2" ht="14.5" x14ac:dyDescent="0.35">
      <c r="A213" s="8" t="s">
        <v>58854</v>
      </c>
      <c r="B213" s="8" t="s">
        <v>60494</v>
      </c>
    </row>
    <row r="214" spans="1:2" ht="14.5" x14ac:dyDescent="0.35">
      <c r="A214" s="8" t="s">
        <v>58854</v>
      </c>
      <c r="B214" s="8" t="s">
        <v>59534</v>
      </c>
    </row>
    <row r="215" spans="1:2" ht="14.5" x14ac:dyDescent="0.35">
      <c r="A215" s="8" t="s">
        <v>58854</v>
      </c>
      <c r="B215" s="8" t="s">
        <v>59503</v>
      </c>
    </row>
    <row r="216" spans="1:2" ht="14.5" x14ac:dyDescent="0.35">
      <c r="A216" s="8" t="s">
        <v>58854</v>
      </c>
      <c r="B216" s="8" t="s">
        <v>59610</v>
      </c>
    </row>
    <row r="217" spans="1:2" ht="14.5" x14ac:dyDescent="0.35">
      <c r="A217" s="8" t="s">
        <v>58854</v>
      </c>
      <c r="B217" s="8" t="s">
        <v>59532</v>
      </c>
    </row>
    <row r="218" spans="1:2" ht="14.5" x14ac:dyDescent="0.35">
      <c r="A218" s="8" t="s">
        <v>58854</v>
      </c>
      <c r="B218" s="8" t="s">
        <v>58868</v>
      </c>
    </row>
    <row r="219" spans="1:2" ht="14.5" x14ac:dyDescent="0.35">
      <c r="A219" s="8" t="s">
        <v>58854</v>
      </c>
      <c r="B219" s="8" t="s">
        <v>59564</v>
      </c>
    </row>
    <row r="220" spans="1:2" ht="14.5" x14ac:dyDescent="0.35">
      <c r="A220" s="8" t="s">
        <v>58854</v>
      </c>
      <c r="B220" s="8" t="s">
        <v>60495</v>
      </c>
    </row>
    <row r="221" spans="1:2" ht="14.5" x14ac:dyDescent="0.35">
      <c r="A221" s="8" t="s">
        <v>58854</v>
      </c>
      <c r="B221" s="8" t="s">
        <v>60496</v>
      </c>
    </row>
    <row r="222" spans="1:2" ht="14.5" x14ac:dyDescent="0.35">
      <c r="A222" s="8" t="s">
        <v>58854</v>
      </c>
      <c r="B222" s="8" t="s">
        <v>60497</v>
      </c>
    </row>
    <row r="223" spans="1:2" ht="14.5" x14ac:dyDescent="0.35">
      <c r="A223" s="8" t="s">
        <v>58854</v>
      </c>
      <c r="B223" s="8" t="s">
        <v>60498</v>
      </c>
    </row>
    <row r="224" spans="1:2" ht="14.5" x14ac:dyDescent="0.35">
      <c r="A224" s="8" t="s">
        <v>58854</v>
      </c>
      <c r="B224" s="8" t="s">
        <v>59642</v>
      </c>
    </row>
    <row r="225" spans="1:2" ht="14.5" x14ac:dyDescent="0.35">
      <c r="A225" s="8" t="s">
        <v>58854</v>
      </c>
      <c r="B225" s="8" t="s">
        <v>59643</v>
      </c>
    </row>
    <row r="226" spans="1:2" ht="14.5" x14ac:dyDescent="0.35">
      <c r="A226" s="8" t="s">
        <v>58854</v>
      </c>
      <c r="B226" s="8" t="s">
        <v>59637</v>
      </c>
    </row>
    <row r="227" spans="1:2" ht="14.5" x14ac:dyDescent="0.35">
      <c r="A227" s="8" t="s">
        <v>58854</v>
      </c>
      <c r="B227" s="8" t="s">
        <v>59641</v>
      </c>
    </row>
    <row r="228" spans="1:2" ht="14.5" x14ac:dyDescent="0.35">
      <c r="A228" s="8" t="s">
        <v>58854</v>
      </c>
      <c r="B228" s="8" t="s">
        <v>59484</v>
      </c>
    </row>
    <row r="229" spans="1:2" ht="14.5" x14ac:dyDescent="0.35">
      <c r="A229" s="8" t="s">
        <v>58854</v>
      </c>
      <c r="B229" s="8" t="s">
        <v>59594</v>
      </c>
    </row>
    <row r="230" spans="1:2" ht="14.5" x14ac:dyDescent="0.35">
      <c r="A230" s="8" t="s">
        <v>58854</v>
      </c>
      <c r="B230" s="8" t="s">
        <v>58869</v>
      </c>
    </row>
    <row r="231" spans="1:2" ht="14.5" x14ac:dyDescent="0.35">
      <c r="A231" s="8" t="s">
        <v>58854</v>
      </c>
      <c r="B231" s="8" t="s">
        <v>59596</v>
      </c>
    </row>
    <row r="232" spans="1:2" ht="14.5" x14ac:dyDescent="0.35">
      <c r="A232" s="8" t="s">
        <v>58854</v>
      </c>
      <c r="B232" s="8" t="s">
        <v>58921</v>
      </c>
    </row>
    <row r="233" spans="1:2" ht="14.5" x14ac:dyDescent="0.35">
      <c r="A233" s="8" t="s">
        <v>58854</v>
      </c>
      <c r="B233" s="8" t="s">
        <v>58922</v>
      </c>
    </row>
    <row r="234" spans="1:2" ht="14.5" x14ac:dyDescent="0.35">
      <c r="A234" s="8" t="s">
        <v>58854</v>
      </c>
      <c r="B234" s="8" t="s">
        <v>59454</v>
      </c>
    </row>
    <row r="235" spans="1:2" ht="14.5" x14ac:dyDescent="0.35">
      <c r="A235" s="8" t="s">
        <v>58854</v>
      </c>
      <c r="B235" s="8" t="s">
        <v>59536</v>
      </c>
    </row>
    <row r="236" spans="1:2" ht="14.5" x14ac:dyDescent="0.35">
      <c r="A236" s="8" t="s">
        <v>58854</v>
      </c>
      <c r="B236" s="8" t="s">
        <v>58923</v>
      </c>
    </row>
    <row r="237" spans="1:2" ht="14.5" x14ac:dyDescent="0.35">
      <c r="A237" s="8" t="s">
        <v>58854</v>
      </c>
      <c r="B237" s="8" t="s">
        <v>59494</v>
      </c>
    </row>
    <row r="238" spans="1:2" ht="14.5" x14ac:dyDescent="0.35">
      <c r="A238" s="8" t="s">
        <v>58854</v>
      </c>
      <c r="B238" s="8" t="s">
        <v>59560</v>
      </c>
    </row>
    <row r="239" spans="1:2" ht="14.5" x14ac:dyDescent="0.35">
      <c r="A239" s="8" t="s">
        <v>58854</v>
      </c>
      <c r="B239" s="8" t="s">
        <v>58912</v>
      </c>
    </row>
    <row r="240" spans="1:2" ht="14.5" x14ac:dyDescent="0.35">
      <c r="A240" s="8" t="s">
        <v>58854</v>
      </c>
      <c r="B240" s="8" t="s">
        <v>59593</v>
      </c>
    </row>
    <row r="241" spans="1:2" ht="14.5" x14ac:dyDescent="0.35">
      <c r="A241" s="8" t="s">
        <v>58854</v>
      </c>
      <c r="B241" s="8" t="s">
        <v>59519</v>
      </c>
    </row>
    <row r="242" spans="1:2" ht="14.5" x14ac:dyDescent="0.35">
      <c r="A242" s="8" t="s">
        <v>58854</v>
      </c>
      <c r="B242" s="8" t="s">
        <v>4501</v>
      </c>
    </row>
    <row r="243" spans="1:2" ht="14.5" x14ac:dyDescent="0.35">
      <c r="A243" s="8" t="s">
        <v>58854</v>
      </c>
      <c r="B243" s="8" t="s">
        <v>58860</v>
      </c>
    </row>
    <row r="244" spans="1:2" ht="14.5" x14ac:dyDescent="0.35">
      <c r="A244" s="8" t="s">
        <v>58854</v>
      </c>
      <c r="B244" s="8" t="s">
        <v>59468</v>
      </c>
    </row>
    <row r="245" spans="1:2" ht="14.5" x14ac:dyDescent="0.35">
      <c r="A245" s="8" t="s">
        <v>58854</v>
      </c>
      <c r="B245" s="8" t="s">
        <v>59517</v>
      </c>
    </row>
    <row r="246" spans="1:2" ht="14.5" x14ac:dyDescent="0.35">
      <c r="A246" s="8" t="s">
        <v>58854</v>
      </c>
      <c r="B246" s="8" t="s">
        <v>59526</v>
      </c>
    </row>
    <row r="247" spans="1:2" ht="14.5" x14ac:dyDescent="0.35">
      <c r="A247" s="8" t="s">
        <v>58854</v>
      </c>
      <c r="B247" s="8" t="s">
        <v>59492</v>
      </c>
    </row>
    <row r="248" spans="1:2" ht="14.5" x14ac:dyDescent="0.35">
      <c r="A248" s="8" t="s">
        <v>58854</v>
      </c>
      <c r="B248" s="8" t="s">
        <v>59639</v>
      </c>
    </row>
    <row r="249" spans="1:2" ht="14.5" x14ac:dyDescent="0.35">
      <c r="A249" s="8" t="s">
        <v>58854</v>
      </c>
      <c r="B249" s="8" t="s">
        <v>59456</v>
      </c>
    </row>
    <row r="250" spans="1:2" ht="14.5" x14ac:dyDescent="0.35">
      <c r="A250" s="8" t="s">
        <v>58854</v>
      </c>
      <c r="B250" s="8" t="s">
        <v>59553</v>
      </c>
    </row>
    <row r="251" spans="1:2" ht="14.5" x14ac:dyDescent="0.35">
      <c r="A251" s="8" t="s">
        <v>58854</v>
      </c>
      <c r="B251" s="8" t="s">
        <v>59615</v>
      </c>
    </row>
    <row r="252" spans="1:2" ht="14.5" x14ac:dyDescent="0.35">
      <c r="A252" s="8" t="s">
        <v>58854</v>
      </c>
      <c r="B252" s="8" t="s">
        <v>59624</v>
      </c>
    </row>
    <row r="253" spans="1:2" ht="14.5" x14ac:dyDescent="0.35">
      <c r="A253" s="8" t="s">
        <v>58854</v>
      </c>
      <c r="B253" s="8" t="s">
        <v>58861</v>
      </c>
    </row>
    <row r="254" spans="1:2" ht="14.5" x14ac:dyDescent="0.35">
      <c r="A254" s="8" t="s">
        <v>58854</v>
      </c>
      <c r="B254" s="8" t="s">
        <v>59552</v>
      </c>
    </row>
    <row r="255" spans="1:2" ht="14.5" x14ac:dyDescent="0.35">
      <c r="A255" s="8" t="s">
        <v>58854</v>
      </c>
      <c r="B255" s="8" t="s">
        <v>59488</v>
      </c>
    </row>
    <row r="256" spans="1:2" ht="14.5" x14ac:dyDescent="0.35">
      <c r="A256" s="8" t="s">
        <v>58854</v>
      </c>
      <c r="B256" s="8" t="s">
        <v>59608</v>
      </c>
    </row>
    <row r="257" spans="1:2" ht="14.5" x14ac:dyDescent="0.35">
      <c r="A257" s="8" t="s">
        <v>58854</v>
      </c>
      <c r="B257" s="8" t="s">
        <v>59498</v>
      </c>
    </row>
    <row r="258" spans="1:2" ht="14.5" x14ac:dyDescent="0.35">
      <c r="A258" s="8" t="s">
        <v>58854</v>
      </c>
      <c r="B258" s="8" t="s">
        <v>59547</v>
      </c>
    </row>
    <row r="259" spans="1:2" ht="14.5" x14ac:dyDescent="0.35">
      <c r="A259" s="8" t="s">
        <v>58854</v>
      </c>
      <c r="B259" s="8" t="s">
        <v>59453</v>
      </c>
    </row>
    <row r="260" spans="1:2" ht="14.5" x14ac:dyDescent="0.35">
      <c r="A260" s="8" t="s">
        <v>58854</v>
      </c>
      <c r="B260" s="8" t="s">
        <v>59611</v>
      </c>
    </row>
    <row r="261" spans="1:2" ht="14.5" x14ac:dyDescent="0.35">
      <c r="A261" s="8" t="s">
        <v>58854</v>
      </c>
      <c r="B261" s="8" t="s">
        <v>59476</v>
      </c>
    </row>
    <row r="262" spans="1:2" ht="14.5" x14ac:dyDescent="0.35">
      <c r="A262" s="8" t="s">
        <v>58854</v>
      </c>
      <c r="B262" s="8" t="s">
        <v>59566</v>
      </c>
    </row>
    <row r="263" spans="1:2" ht="14.5" x14ac:dyDescent="0.35">
      <c r="A263" s="8" t="s">
        <v>58854</v>
      </c>
      <c r="B263" s="8" t="s">
        <v>59523</v>
      </c>
    </row>
    <row r="264" spans="1:2" ht="14.5" x14ac:dyDescent="0.35">
      <c r="A264" s="8" t="s">
        <v>58854</v>
      </c>
      <c r="B264" s="8" t="s">
        <v>59508</v>
      </c>
    </row>
    <row r="265" spans="1:2" ht="14.5" x14ac:dyDescent="0.35">
      <c r="A265" s="8" t="s">
        <v>58854</v>
      </c>
      <c r="B265" s="8" t="s">
        <v>58893</v>
      </c>
    </row>
    <row r="266" spans="1:2" ht="14.5" x14ac:dyDescent="0.35">
      <c r="A266" s="8" t="s">
        <v>58854</v>
      </c>
      <c r="B266" s="8" t="s">
        <v>58862</v>
      </c>
    </row>
    <row r="267" spans="1:2" ht="14.5" x14ac:dyDescent="0.35">
      <c r="A267" s="8" t="s">
        <v>58854</v>
      </c>
      <c r="B267" s="8" t="s">
        <v>59493</v>
      </c>
    </row>
    <row r="268" spans="1:2" ht="14.5" x14ac:dyDescent="0.35">
      <c r="A268" s="8" t="s">
        <v>58854</v>
      </c>
      <c r="B268" s="8" t="s">
        <v>58907</v>
      </c>
    </row>
    <row r="269" spans="1:2" ht="14.5" x14ac:dyDescent="0.35">
      <c r="A269" s="8" t="s">
        <v>58854</v>
      </c>
      <c r="B269" s="8" t="s">
        <v>59538</v>
      </c>
    </row>
    <row r="270" spans="1:2" ht="14.5" x14ac:dyDescent="0.35">
      <c r="A270" s="8" t="s">
        <v>58854</v>
      </c>
      <c r="B270" s="8" t="s">
        <v>59548</v>
      </c>
    </row>
    <row r="271" spans="1:2" ht="14.5" x14ac:dyDescent="0.35">
      <c r="A271" s="8" t="s">
        <v>58854</v>
      </c>
      <c r="B271" s="8" t="s">
        <v>58924</v>
      </c>
    </row>
    <row r="272" spans="1:2" ht="14.5" x14ac:dyDescent="0.35">
      <c r="A272" s="8" t="s">
        <v>58854</v>
      </c>
      <c r="B272" s="8" t="s">
        <v>59491</v>
      </c>
    </row>
    <row r="273" spans="1:2" ht="14.5" x14ac:dyDescent="0.35">
      <c r="A273" s="8" t="s">
        <v>58854</v>
      </c>
      <c r="B273" s="8" t="s">
        <v>59528</v>
      </c>
    </row>
    <row r="274" spans="1:2" ht="14.5" x14ac:dyDescent="0.35">
      <c r="A274" s="8" t="s">
        <v>58854</v>
      </c>
      <c r="B274" s="8" t="s">
        <v>59537</v>
      </c>
    </row>
    <row r="275" spans="1:2" ht="14.5" x14ac:dyDescent="0.35">
      <c r="A275" s="8" t="s">
        <v>58854</v>
      </c>
      <c r="B275" s="8" t="s">
        <v>59515</v>
      </c>
    </row>
    <row r="276" spans="1:2" ht="14.5" x14ac:dyDescent="0.35">
      <c r="A276" s="8" t="s">
        <v>58854</v>
      </c>
      <c r="B276" s="8" t="s">
        <v>59450</v>
      </c>
    </row>
    <row r="277" spans="1:2" ht="14.5" x14ac:dyDescent="0.35">
      <c r="A277" s="8" t="s">
        <v>58854</v>
      </c>
      <c r="B277" s="8" t="s">
        <v>59425</v>
      </c>
    </row>
    <row r="278" spans="1:2" ht="14.5" x14ac:dyDescent="0.35">
      <c r="A278" s="8" t="s">
        <v>58854</v>
      </c>
      <c r="B278" s="8" t="s">
        <v>59387</v>
      </c>
    </row>
    <row r="279" spans="1:2" ht="14.5" x14ac:dyDescent="0.35">
      <c r="A279" s="8" t="s">
        <v>58854</v>
      </c>
      <c r="B279" s="8" t="s">
        <v>59365</v>
      </c>
    </row>
    <row r="280" spans="1:2" ht="14.5" x14ac:dyDescent="0.35">
      <c r="A280" s="8" t="s">
        <v>58854</v>
      </c>
      <c r="B280" s="8" t="s">
        <v>59428</v>
      </c>
    </row>
    <row r="281" spans="1:2" ht="14.5" x14ac:dyDescent="0.35">
      <c r="A281" s="8" t="s">
        <v>58854</v>
      </c>
      <c r="B281" s="8" t="s">
        <v>59380</v>
      </c>
    </row>
    <row r="282" spans="1:2" ht="14.5" x14ac:dyDescent="0.35">
      <c r="A282" s="8" t="s">
        <v>58854</v>
      </c>
      <c r="B282" s="8" t="s">
        <v>59426</v>
      </c>
    </row>
    <row r="283" spans="1:2" ht="14.5" x14ac:dyDescent="0.35">
      <c r="A283" s="8" t="s">
        <v>58854</v>
      </c>
      <c r="B283" s="8" t="s">
        <v>59408</v>
      </c>
    </row>
    <row r="284" spans="1:2" ht="14.5" x14ac:dyDescent="0.35">
      <c r="A284" s="8" t="s">
        <v>58854</v>
      </c>
      <c r="B284" s="8" t="s">
        <v>59402</v>
      </c>
    </row>
    <row r="285" spans="1:2" ht="14.5" x14ac:dyDescent="0.35">
      <c r="A285" s="8" t="s">
        <v>58854</v>
      </c>
      <c r="B285" s="8" t="s">
        <v>59374</v>
      </c>
    </row>
    <row r="286" spans="1:2" ht="14.5" x14ac:dyDescent="0.35">
      <c r="A286" s="8" t="s">
        <v>58854</v>
      </c>
      <c r="B286" s="8" t="s">
        <v>59396</v>
      </c>
    </row>
    <row r="287" spans="1:2" ht="14.5" x14ac:dyDescent="0.35">
      <c r="A287" s="8" t="s">
        <v>58854</v>
      </c>
      <c r="B287" s="8" t="s">
        <v>59376</v>
      </c>
    </row>
    <row r="288" spans="1:2" ht="14.5" x14ac:dyDescent="0.35">
      <c r="A288" s="8" t="s">
        <v>58854</v>
      </c>
      <c r="B288" s="8" t="s">
        <v>59405</v>
      </c>
    </row>
    <row r="289" spans="1:2" ht="14.5" x14ac:dyDescent="0.35">
      <c r="A289" s="8" t="s">
        <v>58854</v>
      </c>
      <c r="B289" s="8" t="s">
        <v>59438</v>
      </c>
    </row>
    <row r="290" spans="1:2" ht="14.5" x14ac:dyDescent="0.35">
      <c r="A290" s="8" t="s">
        <v>58854</v>
      </c>
      <c r="B290" s="8" t="s">
        <v>59414</v>
      </c>
    </row>
    <row r="291" spans="1:2" ht="14.5" x14ac:dyDescent="0.35">
      <c r="A291" s="8" t="s">
        <v>58854</v>
      </c>
      <c r="B291" s="8" t="s">
        <v>59459</v>
      </c>
    </row>
    <row r="292" spans="1:2" ht="14.5" x14ac:dyDescent="0.35">
      <c r="A292" s="8" t="s">
        <v>58854</v>
      </c>
      <c r="B292" s="8" t="s">
        <v>59409</v>
      </c>
    </row>
    <row r="293" spans="1:2" ht="14.5" x14ac:dyDescent="0.35">
      <c r="A293" s="8" t="s">
        <v>58854</v>
      </c>
      <c r="B293" s="8" t="s">
        <v>59368</v>
      </c>
    </row>
    <row r="294" spans="1:2" ht="14.5" x14ac:dyDescent="0.35">
      <c r="A294" s="8" t="s">
        <v>58854</v>
      </c>
      <c r="B294" s="8" t="s">
        <v>59415</v>
      </c>
    </row>
    <row r="295" spans="1:2" ht="14.5" x14ac:dyDescent="0.35">
      <c r="A295" s="8" t="s">
        <v>58854</v>
      </c>
      <c r="B295" s="8" t="s">
        <v>59422</v>
      </c>
    </row>
    <row r="296" spans="1:2" ht="14.5" x14ac:dyDescent="0.35">
      <c r="A296" s="8" t="s">
        <v>58854</v>
      </c>
      <c r="B296" s="8" t="s">
        <v>59460</v>
      </c>
    </row>
    <row r="297" spans="1:2" ht="14.5" x14ac:dyDescent="0.35">
      <c r="A297" s="8" t="s">
        <v>58854</v>
      </c>
      <c r="B297" s="8" t="s">
        <v>58898</v>
      </c>
    </row>
    <row r="298" spans="1:2" ht="14.5" x14ac:dyDescent="0.35">
      <c r="A298" s="8" t="s">
        <v>58854</v>
      </c>
      <c r="B298" s="8" t="s">
        <v>59609</v>
      </c>
    </row>
    <row r="299" spans="1:2" ht="14.5" x14ac:dyDescent="0.35">
      <c r="A299" s="8" t="s">
        <v>58854</v>
      </c>
      <c r="B299" s="8" t="s">
        <v>59551</v>
      </c>
    </row>
    <row r="300" spans="1:2" ht="14.5" x14ac:dyDescent="0.35">
      <c r="A300" s="8" t="s">
        <v>58854</v>
      </c>
      <c r="B300" s="8" t="s">
        <v>59571</v>
      </c>
    </row>
    <row r="301" spans="1:2" ht="14.5" x14ac:dyDescent="0.35">
      <c r="A301" s="8" t="s">
        <v>58854</v>
      </c>
      <c r="B301" s="8" t="s">
        <v>58881</v>
      </c>
    </row>
    <row r="302" spans="1:2" ht="14.5" x14ac:dyDescent="0.35">
      <c r="A302" s="8" t="s">
        <v>58854</v>
      </c>
      <c r="B302" s="8" t="s">
        <v>59471</v>
      </c>
    </row>
    <row r="303" spans="1:2" ht="14.5" x14ac:dyDescent="0.35">
      <c r="A303" s="8" t="s">
        <v>58854</v>
      </c>
      <c r="B303" s="8" t="s">
        <v>59475</v>
      </c>
    </row>
    <row r="304" spans="1:2" ht="14.5" x14ac:dyDescent="0.35">
      <c r="A304" s="8" t="s">
        <v>58854</v>
      </c>
      <c r="B304" s="8" t="s">
        <v>59490</v>
      </c>
    </row>
    <row r="305" spans="1:2" ht="14.5" x14ac:dyDescent="0.35">
      <c r="A305" s="8" t="s">
        <v>58854</v>
      </c>
      <c r="B305" s="8" t="s">
        <v>59550</v>
      </c>
    </row>
    <row r="306" spans="1:2" ht="14.5" x14ac:dyDescent="0.35">
      <c r="A306" s="8" t="s">
        <v>58854</v>
      </c>
      <c r="B306" s="8" t="s">
        <v>59554</v>
      </c>
    </row>
    <row r="307" spans="1:2" ht="14.5" x14ac:dyDescent="0.35">
      <c r="A307" s="8" t="s">
        <v>58854</v>
      </c>
      <c r="B307" s="8" t="s">
        <v>58894</v>
      </c>
    </row>
    <row r="308" spans="1:2" ht="14.5" x14ac:dyDescent="0.35">
      <c r="A308" s="8" t="s">
        <v>58854</v>
      </c>
      <c r="B308" s="8" t="s">
        <v>59543</v>
      </c>
    </row>
    <row r="309" spans="1:2" ht="14.5" x14ac:dyDescent="0.35">
      <c r="A309" s="8" t="s">
        <v>58854</v>
      </c>
      <c r="B309" s="8" t="s">
        <v>59479</v>
      </c>
    </row>
    <row r="310" spans="1:2" ht="14.5" x14ac:dyDescent="0.35">
      <c r="A310" s="8" t="s">
        <v>58854</v>
      </c>
      <c r="B310" s="8" t="s">
        <v>59617</v>
      </c>
    </row>
    <row r="311" spans="1:2" ht="14.5" x14ac:dyDescent="0.35">
      <c r="A311" s="8" t="s">
        <v>58854</v>
      </c>
      <c r="B311" s="8" t="s">
        <v>59597</v>
      </c>
    </row>
    <row r="312" spans="1:2" ht="14.5" x14ac:dyDescent="0.35">
      <c r="A312" s="8" t="s">
        <v>58854</v>
      </c>
      <c r="B312" s="8" t="s">
        <v>59621</v>
      </c>
    </row>
    <row r="313" spans="1:2" ht="14.5" x14ac:dyDescent="0.35">
      <c r="A313" s="8" t="s">
        <v>58854</v>
      </c>
      <c r="B313" s="8" t="s">
        <v>60499</v>
      </c>
    </row>
    <row r="314" spans="1:2" ht="14.5" x14ac:dyDescent="0.35">
      <c r="A314" s="8" t="s">
        <v>58854</v>
      </c>
      <c r="B314" s="8" t="s">
        <v>60500</v>
      </c>
    </row>
    <row r="315" spans="1:2" ht="14.5" x14ac:dyDescent="0.35">
      <c r="A315" s="8" t="s">
        <v>58854</v>
      </c>
      <c r="B315" s="8" t="s">
        <v>60501</v>
      </c>
    </row>
    <row r="316" spans="1:2" ht="14.5" x14ac:dyDescent="0.35">
      <c r="A316" s="8" t="s">
        <v>58854</v>
      </c>
      <c r="B316" s="8" t="s">
        <v>60502</v>
      </c>
    </row>
    <row r="317" spans="1:2" ht="14.5" x14ac:dyDescent="0.35">
      <c r="A317" s="8" t="s">
        <v>58854</v>
      </c>
      <c r="B317" s="8" t="s">
        <v>59604</v>
      </c>
    </row>
    <row r="318" spans="1:2" ht="14.5" x14ac:dyDescent="0.35">
      <c r="A318" s="8" t="s">
        <v>58854</v>
      </c>
      <c r="B318" s="8" t="s">
        <v>59575</v>
      </c>
    </row>
    <row r="319" spans="1:2" ht="14.5" x14ac:dyDescent="0.35">
      <c r="A319" s="8" t="s">
        <v>58854</v>
      </c>
      <c r="B319" s="8" t="s">
        <v>59568</v>
      </c>
    </row>
    <row r="320" spans="1:2" ht="14.5" x14ac:dyDescent="0.35">
      <c r="A320" s="8" t="s">
        <v>58854</v>
      </c>
      <c r="B320" s="8" t="s">
        <v>59620</v>
      </c>
    </row>
    <row r="321" spans="1:2" ht="14.5" x14ac:dyDescent="0.35">
      <c r="A321" s="8" t="s">
        <v>58854</v>
      </c>
      <c r="B321" s="8" t="s">
        <v>59612</v>
      </c>
    </row>
    <row r="322" spans="1:2" ht="14.5" x14ac:dyDescent="0.35">
      <c r="A322" s="8" t="s">
        <v>58854</v>
      </c>
      <c r="B322" s="8" t="s">
        <v>59520</v>
      </c>
    </row>
    <row r="323" spans="1:2" ht="14.5" x14ac:dyDescent="0.35">
      <c r="A323" s="8" t="s">
        <v>58854</v>
      </c>
      <c r="B323" s="8" t="s">
        <v>59562</v>
      </c>
    </row>
    <row r="324" spans="1:2" ht="14.5" x14ac:dyDescent="0.35">
      <c r="A324" s="8" t="s">
        <v>58854</v>
      </c>
      <c r="B324" s="8" t="s">
        <v>59569</v>
      </c>
    </row>
    <row r="325" spans="1:2" ht="14.5" x14ac:dyDescent="0.35">
      <c r="A325" s="8" t="s">
        <v>58854</v>
      </c>
      <c r="B325" s="8" t="s">
        <v>59555</v>
      </c>
    </row>
    <row r="326" spans="1:2" ht="14.5" x14ac:dyDescent="0.35">
      <c r="A326" s="8" t="s">
        <v>58854</v>
      </c>
      <c r="B326" s="8" t="s">
        <v>58913</v>
      </c>
    </row>
    <row r="327" spans="1:2" ht="14.5" x14ac:dyDescent="0.35">
      <c r="A327" s="8" t="s">
        <v>58854</v>
      </c>
      <c r="B327" s="8" t="s">
        <v>59622</v>
      </c>
    </row>
    <row r="328" spans="1:2" ht="14.5" x14ac:dyDescent="0.35">
      <c r="A328" s="8" t="s">
        <v>58854</v>
      </c>
      <c r="B328" s="8" t="s">
        <v>59565</v>
      </c>
    </row>
    <row r="329" spans="1:2" ht="14.5" x14ac:dyDescent="0.35">
      <c r="A329" s="8" t="s">
        <v>58854</v>
      </c>
      <c r="B329" s="8" t="s">
        <v>58870</v>
      </c>
    </row>
    <row r="330" spans="1:2" ht="14.5" x14ac:dyDescent="0.35">
      <c r="A330" s="8" t="s">
        <v>58854</v>
      </c>
      <c r="B330" s="8" t="s">
        <v>59496</v>
      </c>
    </row>
    <row r="331" spans="1:2" ht="14.5" x14ac:dyDescent="0.35">
      <c r="A331" s="8" t="s">
        <v>58854</v>
      </c>
      <c r="B331" s="8" t="s">
        <v>59455</v>
      </c>
    </row>
    <row r="332" spans="1:2" ht="14.5" x14ac:dyDescent="0.35">
      <c r="A332" s="8" t="s">
        <v>58854</v>
      </c>
      <c r="B332" s="8" t="s">
        <v>59458</v>
      </c>
    </row>
    <row r="333" spans="1:2" ht="14.5" x14ac:dyDescent="0.35">
      <c r="A333" s="8" t="s">
        <v>58854</v>
      </c>
      <c r="B333" s="8" t="s">
        <v>59452</v>
      </c>
    </row>
    <row r="334" spans="1:2" ht="14.5" x14ac:dyDescent="0.35">
      <c r="A334" s="8" t="s">
        <v>58854</v>
      </c>
      <c r="B334" s="8" t="s">
        <v>58871</v>
      </c>
    </row>
    <row r="335" spans="1:2" ht="14.5" x14ac:dyDescent="0.35">
      <c r="A335" s="8" t="s">
        <v>58854</v>
      </c>
      <c r="B335" s="8" t="s">
        <v>59474</v>
      </c>
    </row>
    <row r="336" spans="1:2" ht="14.5" x14ac:dyDescent="0.35">
      <c r="A336" s="8" t="s">
        <v>58854</v>
      </c>
      <c r="B336" s="8" t="s">
        <v>5927</v>
      </c>
    </row>
    <row r="337" spans="1:2" ht="14.5" x14ac:dyDescent="0.35">
      <c r="A337" s="8" t="s">
        <v>58854</v>
      </c>
      <c r="B337" s="8" t="s">
        <v>59473</v>
      </c>
    </row>
    <row r="338" spans="1:2" ht="14.5" x14ac:dyDescent="0.35">
      <c r="A338" s="8" t="s">
        <v>58854</v>
      </c>
      <c r="B338" s="8" t="s">
        <v>59472</v>
      </c>
    </row>
    <row r="339" spans="1:2" ht="14.5" x14ac:dyDescent="0.35">
      <c r="A339" s="8" t="s">
        <v>58854</v>
      </c>
      <c r="B339" s="8" t="s">
        <v>59470</v>
      </c>
    </row>
    <row r="340" spans="1:2" ht="14.5" x14ac:dyDescent="0.35">
      <c r="A340" s="8" t="s">
        <v>58854</v>
      </c>
      <c r="B340" s="8" t="s">
        <v>59449</v>
      </c>
    </row>
    <row r="341" spans="1:2" ht="14.5" x14ac:dyDescent="0.35">
      <c r="A341" s="8" t="s">
        <v>58854</v>
      </c>
      <c r="B341" s="8" t="s">
        <v>58872</v>
      </c>
    </row>
    <row r="342" spans="1:2" ht="14.5" x14ac:dyDescent="0.35">
      <c r="A342" s="8" t="s">
        <v>58854</v>
      </c>
      <c r="B342" s="8" t="s">
        <v>58873</v>
      </c>
    </row>
    <row r="343" spans="1:2" ht="14.5" x14ac:dyDescent="0.35">
      <c r="A343" s="8" t="s">
        <v>58854</v>
      </c>
      <c r="B343" s="8" t="s">
        <v>58925</v>
      </c>
    </row>
    <row r="344" spans="1:2" ht="14.5" x14ac:dyDescent="0.35">
      <c r="A344" s="8" t="s">
        <v>58854</v>
      </c>
      <c r="B344" s="8" t="s">
        <v>59506</v>
      </c>
    </row>
    <row r="345" spans="1:2" ht="14.5" x14ac:dyDescent="0.35">
      <c r="A345" s="8" t="s">
        <v>58854</v>
      </c>
      <c r="B345" s="8" t="s">
        <v>59502</v>
      </c>
    </row>
    <row r="346" spans="1:2" ht="14.5" x14ac:dyDescent="0.35">
      <c r="A346" s="8" t="s">
        <v>58854</v>
      </c>
      <c r="B346" s="8" t="s">
        <v>59601</v>
      </c>
    </row>
    <row r="347" spans="1:2" ht="14.5" x14ac:dyDescent="0.35">
      <c r="A347" s="8" t="s">
        <v>58854</v>
      </c>
      <c r="B347" s="8" t="s">
        <v>59595</v>
      </c>
    </row>
    <row r="348" spans="1:2" ht="14.5" x14ac:dyDescent="0.35">
      <c r="A348" s="8" t="s">
        <v>58854</v>
      </c>
      <c r="B348" s="8" t="s">
        <v>59499</v>
      </c>
    </row>
    <row r="349" spans="1:2" ht="14.5" x14ac:dyDescent="0.35">
      <c r="A349" s="8" t="s">
        <v>58854</v>
      </c>
      <c r="B349" s="8" t="s">
        <v>59598</v>
      </c>
    </row>
    <row r="350" spans="1:2" ht="14.5" x14ac:dyDescent="0.35">
      <c r="A350" s="8" t="s">
        <v>58854</v>
      </c>
      <c r="B350" s="8" t="s">
        <v>59509</v>
      </c>
    </row>
    <row r="351" spans="1:2" ht="14.5" x14ac:dyDescent="0.35">
      <c r="A351" s="8" t="s">
        <v>58854</v>
      </c>
      <c r="B351" s="8" t="s">
        <v>59483</v>
      </c>
    </row>
    <row r="352" spans="1:2" ht="14.5" x14ac:dyDescent="0.35">
      <c r="A352" s="8" t="s">
        <v>58854</v>
      </c>
      <c r="B352" s="8" t="s">
        <v>59539</v>
      </c>
    </row>
    <row r="353" spans="1:2" ht="14.5" x14ac:dyDescent="0.35">
      <c r="A353" s="8" t="s">
        <v>58854</v>
      </c>
      <c r="B353" s="8" t="s">
        <v>58882</v>
      </c>
    </row>
    <row r="354" spans="1:2" ht="14.5" x14ac:dyDescent="0.35">
      <c r="A354" s="8" t="s">
        <v>58854</v>
      </c>
      <c r="B354" s="8" t="s">
        <v>59557</v>
      </c>
    </row>
    <row r="355" spans="1:2" ht="14.5" x14ac:dyDescent="0.35">
      <c r="A355" s="8" t="s">
        <v>58854</v>
      </c>
      <c r="B355" s="8" t="s">
        <v>60503</v>
      </c>
    </row>
    <row r="356" spans="1:2" ht="14.5" x14ac:dyDescent="0.35">
      <c r="A356" s="8" t="s">
        <v>58854</v>
      </c>
      <c r="B356" s="8" t="s">
        <v>60504</v>
      </c>
    </row>
    <row r="357" spans="1:2" ht="14.5" x14ac:dyDescent="0.35">
      <c r="A357" s="8" t="s">
        <v>58854</v>
      </c>
      <c r="B357" s="8" t="s">
        <v>60505</v>
      </c>
    </row>
    <row r="358" spans="1:2" ht="14.5" x14ac:dyDescent="0.35">
      <c r="A358" s="8" t="s">
        <v>58854</v>
      </c>
      <c r="B358" s="8" t="s">
        <v>60506</v>
      </c>
    </row>
    <row r="359" spans="1:2" ht="14.5" x14ac:dyDescent="0.35">
      <c r="A359" s="8" t="s">
        <v>58854</v>
      </c>
      <c r="B359" s="8" t="s">
        <v>60507</v>
      </c>
    </row>
    <row r="360" spans="1:2" ht="14.5" x14ac:dyDescent="0.35">
      <c r="A360" s="8" t="s">
        <v>58854</v>
      </c>
      <c r="B360" s="8" t="s">
        <v>58926</v>
      </c>
    </row>
    <row r="361" spans="1:2" ht="14.5" x14ac:dyDescent="0.35">
      <c r="A361" s="8" t="s">
        <v>58854</v>
      </c>
      <c r="B361" s="8" t="s">
        <v>58874</v>
      </c>
    </row>
    <row r="362" spans="1:2" ht="14.5" x14ac:dyDescent="0.35">
      <c r="A362" s="8" t="s">
        <v>58854</v>
      </c>
      <c r="B362" s="8" t="s">
        <v>58883</v>
      </c>
    </row>
    <row r="363" spans="1:2" ht="14.5" x14ac:dyDescent="0.35">
      <c r="A363" s="8" t="s">
        <v>58854</v>
      </c>
      <c r="B363" s="8" t="s">
        <v>58895</v>
      </c>
    </row>
    <row r="364" spans="1:2" ht="14.5" x14ac:dyDescent="0.35">
      <c r="A364" s="8" t="s">
        <v>58854</v>
      </c>
      <c r="B364" s="8" t="s">
        <v>59504</v>
      </c>
    </row>
    <row r="365" spans="1:2" ht="14.5" x14ac:dyDescent="0.35">
      <c r="A365" s="8" t="s">
        <v>58854</v>
      </c>
      <c r="B365" s="8" t="s">
        <v>59607</v>
      </c>
    </row>
    <row r="366" spans="1:2" ht="14.5" x14ac:dyDescent="0.35">
      <c r="A366" s="8" t="s">
        <v>58854</v>
      </c>
      <c r="B366" s="8" t="s">
        <v>58908</v>
      </c>
    </row>
    <row r="367" spans="1:2" ht="14.5" x14ac:dyDescent="0.35">
      <c r="A367" s="8" t="s">
        <v>58854</v>
      </c>
      <c r="B367" s="8" t="s">
        <v>59516</v>
      </c>
    </row>
    <row r="368" spans="1:2" ht="14.5" x14ac:dyDescent="0.35">
      <c r="A368" s="8" t="s">
        <v>58854</v>
      </c>
      <c r="B368" s="8" t="s">
        <v>59495</v>
      </c>
    </row>
    <row r="369" spans="1:2" ht="14.5" x14ac:dyDescent="0.35">
      <c r="A369" s="8" t="s">
        <v>58854</v>
      </c>
      <c r="B369" s="8" t="s">
        <v>59511</v>
      </c>
    </row>
    <row r="370" spans="1:2" ht="14.5" x14ac:dyDescent="0.35">
      <c r="A370" s="8" t="s">
        <v>58854</v>
      </c>
      <c r="B370" s="8" t="s">
        <v>59600</v>
      </c>
    </row>
    <row r="371" spans="1:2" ht="14.5" x14ac:dyDescent="0.35">
      <c r="A371" s="8" t="s">
        <v>58854</v>
      </c>
      <c r="B371" s="8" t="s">
        <v>59618</v>
      </c>
    </row>
    <row r="372" spans="1:2" ht="14.5" x14ac:dyDescent="0.35">
      <c r="A372" s="8" t="s">
        <v>58854</v>
      </c>
      <c r="B372" s="8" t="s">
        <v>59570</v>
      </c>
    </row>
    <row r="373" spans="1:2" ht="14.5" x14ac:dyDescent="0.35">
      <c r="A373" s="8" t="s">
        <v>58854</v>
      </c>
      <c r="B373" s="8" t="s">
        <v>58927</v>
      </c>
    </row>
    <row r="374" spans="1:2" ht="14.5" x14ac:dyDescent="0.35">
      <c r="A374" s="8" t="s">
        <v>58854</v>
      </c>
      <c r="B374" s="8" t="s">
        <v>58899</v>
      </c>
    </row>
    <row r="375" spans="1:2" ht="14.5" x14ac:dyDescent="0.35">
      <c r="A375" s="8" t="s">
        <v>58854</v>
      </c>
      <c r="B375" s="8" t="s">
        <v>58884</v>
      </c>
    </row>
    <row r="376" spans="1:2" ht="14.5" x14ac:dyDescent="0.35">
      <c r="A376" s="8" t="s">
        <v>58854</v>
      </c>
      <c r="B376" s="8" t="s">
        <v>58900</v>
      </c>
    </row>
    <row r="377" spans="1:2" ht="14.5" x14ac:dyDescent="0.35">
      <c r="A377" s="8" t="s">
        <v>58854</v>
      </c>
      <c r="B377" s="8" t="s">
        <v>59378</v>
      </c>
    </row>
    <row r="378" spans="1:2" ht="14.5" x14ac:dyDescent="0.35">
      <c r="A378" s="8" t="s">
        <v>58854</v>
      </c>
      <c r="B378" s="8" t="s">
        <v>59399</v>
      </c>
    </row>
    <row r="379" spans="1:2" ht="14.5" x14ac:dyDescent="0.35">
      <c r="A379" s="8" t="s">
        <v>58854</v>
      </c>
      <c r="B379" s="8" t="s">
        <v>59412</v>
      </c>
    </row>
    <row r="380" spans="1:2" ht="14.5" x14ac:dyDescent="0.35">
      <c r="A380" s="8" t="s">
        <v>58854</v>
      </c>
      <c r="B380" s="8" t="s">
        <v>59505</v>
      </c>
    </row>
    <row r="381" spans="1:2" ht="14.5" x14ac:dyDescent="0.35">
      <c r="A381" s="8" t="s">
        <v>58854</v>
      </c>
      <c r="B381" s="8" t="s">
        <v>59480</v>
      </c>
    </row>
    <row r="382" spans="1:2" ht="14.5" x14ac:dyDescent="0.35">
      <c r="A382" s="8" t="s">
        <v>58854</v>
      </c>
      <c r="B382" s="8" t="s">
        <v>58901</v>
      </c>
    </row>
    <row r="383" spans="1:2" ht="14.5" x14ac:dyDescent="0.35">
      <c r="A383" s="8" t="s">
        <v>58854</v>
      </c>
      <c r="B383" s="8" t="s">
        <v>59578</v>
      </c>
    </row>
    <row r="384" spans="1:2" ht="14.5" x14ac:dyDescent="0.35">
      <c r="A384" s="8" t="s">
        <v>58854</v>
      </c>
      <c r="B384" s="8" t="s">
        <v>58902</v>
      </c>
    </row>
    <row r="385" spans="1:2" ht="14.5" x14ac:dyDescent="0.35">
      <c r="A385" s="8" t="s">
        <v>58854</v>
      </c>
      <c r="B385" s="8" t="s">
        <v>59586</v>
      </c>
    </row>
    <row r="386" spans="1:2" ht="14.5" x14ac:dyDescent="0.35">
      <c r="A386" s="8" t="s">
        <v>58854</v>
      </c>
      <c r="B386" s="8" t="s">
        <v>59486</v>
      </c>
    </row>
    <row r="387" spans="1:2" ht="14.5" x14ac:dyDescent="0.35">
      <c r="A387" s="8" t="s">
        <v>58854</v>
      </c>
      <c r="B387" s="8" t="s">
        <v>59585</v>
      </c>
    </row>
    <row r="388" spans="1:2" ht="14.5" x14ac:dyDescent="0.35">
      <c r="A388" s="8" t="s">
        <v>58854</v>
      </c>
      <c r="B388" s="8" t="s">
        <v>59587</v>
      </c>
    </row>
    <row r="389" spans="1:2" ht="14.5" x14ac:dyDescent="0.35">
      <c r="A389" s="8" t="s">
        <v>58854</v>
      </c>
      <c r="B389" s="8" t="s">
        <v>59580</v>
      </c>
    </row>
    <row r="390" spans="1:2" ht="14.5" x14ac:dyDescent="0.35">
      <c r="A390" s="8" t="s">
        <v>58854</v>
      </c>
      <c r="B390" s="8" t="s">
        <v>59579</v>
      </c>
    </row>
    <row r="391" spans="1:2" ht="14.5" x14ac:dyDescent="0.35">
      <c r="A391" s="8" t="s">
        <v>58854</v>
      </c>
      <c r="B391" s="8" t="s">
        <v>58903</v>
      </c>
    </row>
    <row r="392" spans="1:2" ht="14.5" x14ac:dyDescent="0.35">
      <c r="A392" s="8" t="s">
        <v>58854</v>
      </c>
      <c r="B392" s="8" t="s">
        <v>58914</v>
      </c>
    </row>
    <row r="393" spans="1:2" ht="14.5" x14ac:dyDescent="0.35">
      <c r="A393" s="8" t="s">
        <v>58854</v>
      </c>
      <c r="B393" s="8" t="s">
        <v>58875</v>
      </c>
    </row>
    <row r="394" spans="1:2" ht="14.5" x14ac:dyDescent="0.35">
      <c r="A394" s="8" t="s">
        <v>58854</v>
      </c>
      <c r="B394" s="8" t="s">
        <v>58909</v>
      </c>
    </row>
    <row r="395" spans="1:2" ht="14.5" x14ac:dyDescent="0.35">
      <c r="A395" s="8" t="s">
        <v>58854</v>
      </c>
      <c r="B395" s="8" t="s">
        <v>59461</v>
      </c>
    </row>
    <row r="396" spans="1:2" ht="14.5" x14ac:dyDescent="0.35">
      <c r="A396" s="8" t="s">
        <v>58854</v>
      </c>
      <c r="B396" s="8" t="s">
        <v>59434</v>
      </c>
    </row>
    <row r="397" spans="1:2" ht="14.5" x14ac:dyDescent="0.35">
      <c r="A397" s="8" t="s">
        <v>58854</v>
      </c>
      <c r="B397" s="8" t="s">
        <v>59395</v>
      </c>
    </row>
    <row r="398" spans="1:2" ht="14.5" x14ac:dyDescent="0.35">
      <c r="A398" s="8" t="s">
        <v>58854</v>
      </c>
      <c r="B398" s="8" t="s">
        <v>59433</v>
      </c>
    </row>
    <row r="399" spans="1:2" ht="14.5" x14ac:dyDescent="0.35">
      <c r="A399" s="8" t="s">
        <v>58854</v>
      </c>
      <c r="B399" s="8" t="s">
        <v>59389</v>
      </c>
    </row>
    <row r="400" spans="1:2" ht="14.5" x14ac:dyDescent="0.35">
      <c r="A400" s="8" t="s">
        <v>58854</v>
      </c>
      <c r="B400" s="8" t="s">
        <v>59437</v>
      </c>
    </row>
    <row r="401" spans="1:2" ht="14.5" x14ac:dyDescent="0.35">
      <c r="A401" s="8" t="s">
        <v>58854</v>
      </c>
      <c r="B401" s="8" t="s">
        <v>59386</v>
      </c>
    </row>
    <row r="402" spans="1:2" ht="14.5" x14ac:dyDescent="0.35">
      <c r="A402" s="8" t="s">
        <v>58854</v>
      </c>
      <c r="B402" s="8" t="s">
        <v>59384</v>
      </c>
    </row>
    <row r="403" spans="1:2" ht="14.5" x14ac:dyDescent="0.35">
      <c r="A403" s="8" t="s">
        <v>58854</v>
      </c>
      <c r="B403" s="8" t="s">
        <v>59375</v>
      </c>
    </row>
    <row r="404" spans="1:2" ht="14.5" x14ac:dyDescent="0.35">
      <c r="A404" s="8" t="s">
        <v>58854</v>
      </c>
      <c r="B404" s="8" t="s">
        <v>59410</v>
      </c>
    </row>
    <row r="405" spans="1:2" ht="14.5" x14ac:dyDescent="0.35">
      <c r="A405" s="8" t="s">
        <v>58854</v>
      </c>
      <c r="B405" s="8" t="s">
        <v>59381</v>
      </c>
    </row>
    <row r="406" spans="1:2" ht="14.5" x14ac:dyDescent="0.35">
      <c r="A406" s="8" t="s">
        <v>58854</v>
      </c>
      <c r="B406" s="8" t="s">
        <v>59423</v>
      </c>
    </row>
    <row r="407" spans="1:2" ht="14.5" x14ac:dyDescent="0.35">
      <c r="A407" s="8" t="s">
        <v>58854</v>
      </c>
      <c r="B407" s="8" t="s">
        <v>59383</v>
      </c>
    </row>
    <row r="408" spans="1:2" ht="14.5" x14ac:dyDescent="0.35">
      <c r="A408" s="8" t="s">
        <v>58854</v>
      </c>
      <c r="B408" s="8" t="s">
        <v>59385</v>
      </c>
    </row>
    <row r="409" spans="1:2" ht="14.5" x14ac:dyDescent="0.35">
      <c r="A409" s="8" t="s">
        <v>58854</v>
      </c>
      <c r="B409" s="8" t="s">
        <v>59397</v>
      </c>
    </row>
    <row r="410" spans="1:2" ht="14.5" x14ac:dyDescent="0.35">
      <c r="A410" s="8" t="s">
        <v>58854</v>
      </c>
      <c r="B410" s="8" t="s">
        <v>59382</v>
      </c>
    </row>
    <row r="411" spans="1:2" ht="14.5" x14ac:dyDescent="0.35">
      <c r="A411" s="8" t="s">
        <v>58854</v>
      </c>
      <c r="B411" s="8" t="s">
        <v>59451</v>
      </c>
    </row>
    <row r="412" spans="1:2" ht="14.5" x14ac:dyDescent="0.35">
      <c r="A412" s="8" t="s">
        <v>58854</v>
      </c>
      <c r="B412" s="8" t="s">
        <v>58910</v>
      </c>
    </row>
    <row r="413" spans="1:2" ht="14.5" x14ac:dyDescent="0.35">
      <c r="A413" s="8" t="s">
        <v>58854</v>
      </c>
      <c r="B413" s="8" t="s">
        <v>59363</v>
      </c>
    </row>
    <row r="414" spans="1:2" ht="14.5" x14ac:dyDescent="0.35">
      <c r="A414" s="8" t="s">
        <v>58854</v>
      </c>
      <c r="B414" s="8" t="s">
        <v>59390</v>
      </c>
    </row>
    <row r="415" spans="1:2" ht="14.5" x14ac:dyDescent="0.35">
      <c r="A415" s="8" t="s">
        <v>58504</v>
      </c>
      <c r="B415" s="8" t="s">
        <v>58505</v>
      </c>
    </row>
    <row r="416" spans="1:2" ht="14.5" x14ac:dyDescent="0.35">
      <c r="A416" s="8" t="s">
        <v>593</v>
      </c>
      <c r="B416" s="8" t="s">
        <v>58715</v>
      </c>
    </row>
    <row r="417" spans="1:2" ht="14.5" x14ac:dyDescent="0.35">
      <c r="A417" s="8" t="s">
        <v>593</v>
      </c>
      <c r="B417" s="8" t="s">
        <v>58730</v>
      </c>
    </row>
    <row r="418" spans="1:2" ht="14.5" x14ac:dyDescent="0.35">
      <c r="A418" s="8" t="s">
        <v>593</v>
      </c>
      <c r="B418" s="8" t="s">
        <v>58728</v>
      </c>
    </row>
    <row r="419" spans="1:2" ht="14.5" x14ac:dyDescent="0.35">
      <c r="A419" s="8" t="s">
        <v>593</v>
      </c>
      <c r="B419" s="8" t="s">
        <v>58747</v>
      </c>
    </row>
    <row r="420" spans="1:2" ht="14.5" x14ac:dyDescent="0.35">
      <c r="A420" s="8" t="s">
        <v>593</v>
      </c>
      <c r="B420" s="8" t="s">
        <v>58740</v>
      </c>
    </row>
    <row r="421" spans="1:2" ht="14.5" x14ac:dyDescent="0.35">
      <c r="A421" s="8" t="s">
        <v>593</v>
      </c>
      <c r="B421" s="8" t="s">
        <v>58719</v>
      </c>
    </row>
    <row r="422" spans="1:2" ht="14.5" x14ac:dyDescent="0.35">
      <c r="A422" s="8" t="s">
        <v>593</v>
      </c>
      <c r="B422" s="8" t="s">
        <v>58722</v>
      </c>
    </row>
    <row r="423" spans="1:2" ht="14.5" x14ac:dyDescent="0.35">
      <c r="A423" s="8" t="s">
        <v>593</v>
      </c>
      <c r="B423" s="8" t="s">
        <v>58726</v>
      </c>
    </row>
    <row r="424" spans="1:2" ht="14.5" x14ac:dyDescent="0.35">
      <c r="A424" s="8" t="s">
        <v>593</v>
      </c>
      <c r="B424" s="8" t="s">
        <v>58727</v>
      </c>
    </row>
    <row r="425" spans="1:2" ht="14.5" x14ac:dyDescent="0.35">
      <c r="A425" s="8" t="s">
        <v>593</v>
      </c>
      <c r="B425" s="8" t="s">
        <v>58729</v>
      </c>
    </row>
    <row r="426" spans="1:2" ht="14.5" x14ac:dyDescent="0.35">
      <c r="A426" s="8" t="s">
        <v>593</v>
      </c>
      <c r="B426" s="8" t="s">
        <v>54078</v>
      </c>
    </row>
    <row r="427" spans="1:2" ht="14.5" x14ac:dyDescent="0.35">
      <c r="A427" s="8" t="s">
        <v>593</v>
      </c>
      <c r="B427" s="8" t="s">
        <v>54079</v>
      </c>
    </row>
    <row r="428" spans="1:2" ht="14.5" x14ac:dyDescent="0.35">
      <c r="A428" s="8" t="s">
        <v>593</v>
      </c>
      <c r="B428" s="8" t="s">
        <v>58721</v>
      </c>
    </row>
    <row r="429" spans="1:2" ht="14.5" x14ac:dyDescent="0.35">
      <c r="A429" s="8" t="s">
        <v>593</v>
      </c>
      <c r="B429" s="8" t="s">
        <v>58723</v>
      </c>
    </row>
    <row r="430" spans="1:2" ht="14.5" x14ac:dyDescent="0.35">
      <c r="A430" s="8" t="s">
        <v>593</v>
      </c>
      <c r="B430" s="8" t="s">
        <v>58735</v>
      </c>
    </row>
    <row r="431" spans="1:2" ht="14.5" x14ac:dyDescent="0.35">
      <c r="A431" s="8" t="s">
        <v>593</v>
      </c>
      <c r="B431" s="8" t="s">
        <v>58736</v>
      </c>
    </row>
    <row r="432" spans="1:2" ht="14.5" x14ac:dyDescent="0.35">
      <c r="A432" s="8" t="s">
        <v>593</v>
      </c>
      <c r="B432" s="8" t="s">
        <v>58737</v>
      </c>
    </row>
    <row r="433" spans="1:2" ht="14.5" x14ac:dyDescent="0.35">
      <c r="A433" s="8" t="s">
        <v>593</v>
      </c>
      <c r="B433" s="8" t="s">
        <v>58738</v>
      </c>
    </row>
    <row r="434" spans="1:2" ht="14.5" x14ac:dyDescent="0.35">
      <c r="A434" s="8" t="s">
        <v>593</v>
      </c>
      <c r="B434" s="8" t="s">
        <v>58739</v>
      </c>
    </row>
    <row r="435" spans="1:2" ht="14.5" x14ac:dyDescent="0.35">
      <c r="A435" s="8" t="s">
        <v>593</v>
      </c>
      <c r="B435" s="8" t="s">
        <v>54083</v>
      </c>
    </row>
    <row r="436" spans="1:2" ht="14.5" x14ac:dyDescent="0.35">
      <c r="A436" s="8" t="s">
        <v>593</v>
      </c>
      <c r="B436" s="8" t="s">
        <v>58713</v>
      </c>
    </row>
    <row r="437" spans="1:2" ht="14.5" x14ac:dyDescent="0.35">
      <c r="A437" s="8" t="s">
        <v>593</v>
      </c>
      <c r="B437" s="8" t="s">
        <v>58741</v>
      </c>
    </row>
    <row r="438" spans="1:2" ht="14.5" x14ac:dyDescent="0.35">
      <c r="A438" s="8" t="s">
        <v>593</v>
      </c>
      <c r="B438" s="8" t="s">
        <v>54080</v>
      </c>
    </row>
    <row r="439" spans="1:2" ht="14.5" x14ac:dyDescent="0.35">
      <c r="A439" s="8" t="s">
        <v>593</v>
      </c>
      <c r="B439" s="8" t="s">
        <v>58720</v>
      </c>
    </row>
    <row r="440" spans="1:2" ht="14.5" x14ac:dyDescent="0.35">
      <c r="A440" s="8" t="s">
        <v>593</v>
      </c>
      <c r="B440" s="8" t="s">
        <v>58744</v>
      </c>
    </row>
    <row r="441" spans="1:2" ht="14.5" x14ac:dyDescent="0.35">
      <c r="A441" s="8" t="s">
        <v>593</v>
      </c>
      <c r="B441" s="8" t="s">
        <v>58745</v>
      </c>
    </row>
    <row r="442" spans="1:2" ht="14.5" x14ac:dyDescent="0.35">
      <c r="A442" s="8" t="s">
        <v>593</v>
      </c>
      <c r="B442" s="8" t="s">
        <v>58746</v>
      </c>
    </row>
    <row r="443" spans="1:2" ht="14.5" x14ac:dyDescent="0.35">
      <c r="A443" s="8" t="s">
        <v>593</v>
      </c>
      <c r="B443" s="8" t="s">
        <v>54081</v>
      </c>
    </row>
    <row r="444" spans="1:2" ht="14.5" x14ac:dyDescent="0.35">
      <c r="A444" s="8" t="s">
        <v>593</v>
      </c>
      <c r="B444" s="8" t="s">
        <v>58711</v>
      </c>
    </row>
    <row r="445" spans="1:2" ht="14.5" x14ac:dyDescent="0.35">
      <c r="A445" s="8" t="s">
        <v>593</v>
      </c>
      <c r="B445" s="8" t="s">
        <v>58707</v>
      </c>
    </row>
    <row r="446" spans="1:2" ht="14.5" x14ac:dyDescent="0.35">
      <c r="A446" s="8" t="s">
        <v>593</v>
      </c>
      <c r="B446" s="8" t="s">
        <v>58708</v>
      </c>
    </row>
    <row r="447" spans="1:2" ht="14.5" x14ac:dyDescent="0.35">
      <c r="A447" s="8" t="s">
        <v>593</v>
      </c>
      <c r="B447" s="8" t="s">
        <v>58742</v>
      </c>
    </row>
    <row r="448" spans="1:2" ht="14.5" x14ac:dyDescent="0.35">
      <c r="A448" s="8" t="s">
        <v>593</v>
      </c>
      <c r="B448" s="8" t="s">
        <v>58724</v>
      </c>
    </row>
    <row r="449" spans="1:2" ht="14.5" x14ac:dyDescent="0.35">
      <c r="A449" s="8" t="s">
        <v>593</v>
      </c>
      <c r="B449" s="8" t="s">
        <v>58725</v>
      </c>
    </row>
    <row r="450" spans="1:2" ht="14.5" x14ac:dyDescent="0.35">
      <c r="A450" s="8" t="s">
        <v>593</v>
      </c>
      <c r="B450" s="8" t="s">
        <v>54082</v>
      </c>
    </row>
    <row r="451" spans="1:2" ht="14.5" x14ac:dyDescent="0.35">
      <c r="A451" s="8" t="s">
        <v>593</v>
      </c>
      <c r="B451" s="8" t="s">
        <v>58710</v>
      </c>
    </row>
    <row r="452" spans="1:2" ht="14.5" x14ac:dyDescent="0.35">
      <c r="A452" s="8" t="s">
        <v>593</v>
      </c>
      <c r="B452" s="8" t="s">
        <v>58731</v>
      </c>
    </row>
    <row r="453" spans="1:2" ht="14.5" x14ac:dyDescent="0.35">
      <c r="A453" s="8" t="s">
        <v>593</v>
      </c>
      <c r="B453" s="8" t="s">
        <v>58734</v>
      </c>
    </row>
    <row r="454" spans="1:2" ht="14.5" x14ac:dyDescent="0.35">
      <c r="A454" s="8" t="s">
        <v>593</v>
      </c>
      <c r="B454" s="8" t="s">
        <v>58743</v>
      </c>
    </row>
    <row r="455" spans="1:2" ht="14.5" x14ac:dyDescent="0.35">
      <c r="A455" s="8" t="s">
        <v>593</v>
      </c>
      <c r="B455" s="8" t="s">
        <v>58712</v>
      </c>
    </row>
    <row r="456" spans="1:2" ht="14.5" x14ac:dyDescent="0.35">
      <c r="A456" s="8" t="s">
        <v>593</v>
      </c>
      <c r="B456" s="8" t="s">
        <v>58732</v>
      </c>
    </row>
    <row r="457" spans="1:2" ht="14.5" x14ac:dyDescent="0.35">
      <c r="A457" s="8" t="s">
        <v>593</v>
      </c>
      <c r="B457" s="8" t="s">
        <v>58709</v>
      </c>
    </row>
    <row r="458" spans="1:2" ht="14.5" x14ac:dyDescent="0.35">
      <c r="A458" s="8" t="s">
        <v>593</v>
      </c>
      <c r="B458" s="8" t="s">
        <v>54084</v>
      </c>
    </row>
    <row r="459" spans="1:2" ht="14.5" x14ac:dyDescent="0.35">
      <c r="A459" s="8" t="s">
        <v>593</v>
      </c>
      <c r="B459" s="8" t="s">
        <v>58714</v>
      </c>
    </row>
    <row r="460" spans="1:2" ht="14.5" x14ac:dyDescent="0.35">
      <c r="A460" s="8" t="s">
        <v>593</v>
      </c>
      <c r="B460" s="8" t="s">
        <v>58733</v>
      </c>
    </row>
    <row r="461" spans="1:2" ht="14.5" x14ac:dyDescent="0.35">
      <c r="A461" s="8" t="s">
        <v>593</v>
      </c>
      <c r="B461" s="8" t="s">
        <v>54085</v>
      </c>
    </row>
    <row r="462" spans="1:2" ht="14.5" x14ac:dyDescent="0.35">
      <c r="A462" s="8" t="s">
        <v>593</v>
      </c>
      <c r="B462" s="8" t="s">
        <v>54086</v>
      </c>
    </row>
    <row r="463" spans="1:2" ht="14.5" x14ac:dyDescent="0.35">
      <c r="A463" s="8" t="s">
        <v>593</v>
      </c>
      <c r="B463" s="8" t="s">
        <v>58716</v>
      </c>
    </row>
    <row r="464" spans="1:2" ht="14.5" x14ac:dyDescent="0.35">
      <c r="A464" s="8" t="s">
        <v>593</v>
      </c>
      <c r="B464" s="8" t="s">
        <v>58717</v>
      </c>
    </row>
    <row r="465" spans="1:2" ht="14.5" x14ac:dyDescent="0.35">
      <c r="A465" s="8" t="s">
        <v>593</v>
      </c>
      <c r="B465" s="8" t="s">
        <v>58718</v>
      </c>
    </row>
    <row r="466" spans="1:2" ht="14.5" x14ac:dyDescent="0.35">
      <c r="A466" s="8" t="s">
        <v>593</v>
      </c>
      <c r="B466" s="8" t="s">
        <v>54087</v>
      </c>
    </row>
    <row r="467" spans="1:2" ht="14.5" x14ac:dyDescent="0.35">
      <c r="A467" s="8" t="s">
        <v>54088</v>
      </c>
      <c r="B467" s="8" t="s">
        <v>58651</v>
      </c>
    </row>
    <row r="468" spans="1:2" ht="14.5" x14ac:dyDescent="0.35">
      <c r="A468" s="8" t="s">
        <v>54088</v>
      </c>
      <c r="B468" s="8" t="s">
        <v>54089</v>
      </c>
    </row>
    <row r="469" spans="1:2" ht="14.5" x14ac:dyDescent="0.35">
      <c r="A469" s="8" t="s">
        <v>54088</v>
      </c>
      <c r="B469" s="8" t="s">
        <v>54103</v>
      </c>
    </row>
    <row r="470" spans="1:2" ht="14.5" x14ac:dyDescent="0.35">
      <c r="A470" s="8" t="s">
        <v>54088</v>
      </c>
      <c r="B470" s="8" t="s">
        <v>54090</v>
      </c>
    </row>
    <row r="471" spans="1:2" ht="14.5" x14ac:dyDescent="0.35">
      <c r="A471" s="8" t="s">
        <v>54088</v>
      </c>
      <c r="B471" s="8" t="s">
        <v>54091</v>
      </c>
    </row>
    <row r="472" spans="1:2" ht="14.5" x14ac:dyDescent="0.35">
      <c r="A472" s="8" t="s">
        <v>54088</v>
      </c>
      <c r="B472" s="8" t="s">
        <v>58507</v>
      </c>
    </row>
    <row r="473" spans="1:2" ht="14.5" x14ac:dyDescent="0.35">
      <c r="A473" s="8" t="s">
        <v>54088</v>
      </c>
      <c r="B473" s="8" t="s">
        <v>54104</v>
      </c>
    </row>
    <row r="474" spans="1:2" ht="14.5" x14ac:dyDescent="0.35">
      <c r="A474" s="8" t="s">
        <v>54088</v>
      </c>
      <c r="B474" s="8" t="s">
        <v>54093</v>
      </c>
    </row>
    <row r="475" spans="1:2" ht="14.5" x14ac:dyDescent="0.35">
      <c r="A475" s="8" t="s">
        <v>54088</v>
      </c>
      <c r="B475" s="8" t="s">
        <v>54105</v>
      </c>
    </row>
    <row r="476" spans="1:2" ht="14.5" x14ac:dyDescent="0.35">
      <c r="A476" s="8" t="s">
        <v>54088</v>
      </c>
      <c r="B476" s="8" t="s">
        <v>54094</v>
      </c>
    </row>
    <row r="477" spans="1:2" ht="14.5" x14ac:dyDescent="0.35">
      <c r="A477" s="8" t="s">
        <v>54088</v>
      </c>
      <c r="B477" s="8" t="s">
        <v>54095</v>
      </c>
    </row>
    <row r="478" spans="1:2" ht="14.5" x14ac:dyDescent="0.35">
      <c r="A478" s="8" t="s">
        <v>54088</v>
      </c>
      <c r="B478" s="8" t="s">
        <v>54106</v>
      </c>
    </row>
    <row r="479" spans="1:2" ht="14.5" x14ac:dyDescent="0.35">
      <c r="A479" s="8" t="s">
        <v>54088</v>
      </c>
      <c r="B479" s="8" t="s">
        <v>54107</v>
      </c>
    </row>
    <row r="480" spans="1:2" ht="14.5" x14ac:dyDescent="0.35">
      <c r="A480" s="8" t="s">
        <v>54088</v>
      </c>
      <c r="B480" s="8" t="s">
        <v>54092</v>
      </c>
    </row>
    <row r="481" spans="1:2" ht="14.5" x14ac:dyDescent="0.35">
      <c r="A481" s="8" t="s">
        <v>54088</v>
      </c>
      <c r="B481" s="8" t="s">
        <v>54108</v>
      </c>
    </row>
    <row r="482" spans="1:2" ht="14.5" x14ac:dyDescent="0.35">
      <c r="A482" s="8" t="s">
        <v>54088</v>
      </c>
      <c r="B482" s="8" t="s">
        <v>58506</v>
      </c>
    </row>
    <row r="483" spans="1:2" ht="14.5" x14ac:dyDescent="0.35">
      <c r="A483" s="8" t="s">
        <v>54088</v>
      </c>
      <c r="B483" s="8" t="s">
        <v>54096</v>
      </c>
    </row>
    <row r="484" spans="1:2" ht="14.5" x14ac:dyDescent="0.35">
      <c r="A484" s="8" t="s">
        <v>54088</v>
      </c>
      <c r="B484" s="8" t="s">
        <v>58652</v>
      </c>
    </row>
    <row r="485" spans="1:2" ht="14.5" x14ac:dyDescent="0.35">
      <c r="A485" s="8" t="s">
        <v>54088</v>
      </c>
      <c r="B485" s="8" t="s">
        <v>58653</v>
      </c>
    </row>
    <row r="486" spans="1:2" ht="14.5" x14ac:dyDescent="0.35">
      <c r="A486" s="8" t="s">
        <v>58508</v>
      </c>
      <c r="B486" s="8" t="s">
        <v>58509</v>
      </c>
    </row>
    <row r="487" spans="1:2" ht="14.5" x14ac:dyDescent="0.35">
      <c r="A487" s="8" t="s">
        <v>54109</v>
      </c>
      <c r="B487" s="8" t="s">
        <v>54110</v>
      </c>
    </row>
    <row r="488" spans="1:2" ht="14.5" x14ac:dyDescent="0.35">
      <c r="A488" s="8" t="s">
        <v>54109</v>
      </c>
      <c r="B488" s="8" t="s">
        <v>54120</v>
      </c>
    </row>
    <row r="489" spans="1:2" ht="14.5" x14ac:dyDescent="0.35">
      <c r="A489" s="8" t="s">
        <v>54109</v>
      </c>
      <c r="B489" s="8" t="s">
        <v>54111</v>
      </c>
    </row>
    <row r="490" spans="1:2" ht="14.5" x14ac:dyDescent="0.35">
      <c r="A490" s="8" t="s">
        <v>54109</v>
      </c>
      <c r="B490" s="8" t="s">
        <v>54112</v>
      </c>
    </row>
    <row r="491" spans="1:2" ht="14.5" x14ac:dyDescent="0.35">
      <c r="A491" s="8" t="s">
        <v>54109</v>
      </c>
      <c r="B491" s="8" t="s">
        <v>54113</v>
      </c>
    </row>
    <row r="492" spans="1:2" ht="14.5" x14ac:dyDescent="0.35">
      <c r="A492" s="8" t="s">
        <v>54109</v>
      </c>
      <c r="B492" s="8" t="s">
        <v>54114</v>
      </c>
    </row>
    <row r="493" spans="1:2" ht="14.5" x14ac:dyDescent="0.35">
      <c r="A493" s="8" t="s">
        <v>54109</v>
      </c>
      <c r="B493" s="8" t="s">
        <v>54115</v>
      </c>
    </row>
    <row r="494" spans="1:2" ht="14.5" x14ac:dyDescent="0.35">
      <c r="A494" s="8" t="s">
        <v>54109</v>
      </c>
      <c r="B494" s="8" t="s">
        <v>54116</v>
      </c>
    </row>
    <row r="495" spans="1:2" ht="14.5" x14ac:dyDescent="0.35">
      <c r="A495" s="8" t="s">
        <v>54109</v>
      </c>
      <c r="B495" s="8" t="s">
        <v>54121</v>
      </c>
    </row>
    <row r="496" spans="1:2" ht="14.5" x14ac:dyDescent="0.35">
      <c r="A496" s="8" t="s">
        <v>54109</v>
      </c>
      <c r="B496" s="8" t="s">
        <v>54117</v>
      </c>
    </row>
    <row r="497" spans="1:2" ht="14.5" x14ac:dyDescent="0.35">
      <c r="A497" s="8" t="s">
        <v>54109</v>
      </c>
      <c r="B497" s="8" t="s">
        <v>54118</v>
      </c>
    </row>
    <row r="498" spans="1:2" ht="14.5" x14ac:dyDescent="0.35">
      <c r="A498" s="8" t="s">
        <v>54109</v>
      </c>
      <c r="B498" s="8" t="s">
        <v>54122</v>
      </c>
    </row>
    <row r="499" spans="1:2" ht="14.5" x14ac:dyDescent="0.35">
      <c r="A499" s="8" t="s">
        <v>54109</v>
      </c>
      <c r="B499" s="8" t="s">
        <v>54119</v>
      </c>
    </row>
    <row r="500" spans="1:2" ht="14.5" x14ac:dyDescent="0.35">
      <c r="A500" s="8" t="s">
        <v>54123</v>
      </c>
      <c r="B500" s="8" t="s">
        <v>54125</v>
      </c>
    </row>
    <row r="501" spans="1:2" ht="14.5" x14ac:dyDescent="0.35">
      <c r="A501" s="8" t="s">
        <v>54123</v>
      </c>
      <c r="B501" s="8" t="s">
        <v>54126</v>
      </c>
    </row>
    <row r="502" spans="1:2" ht="14.5" x14ac:dyDescent="0.35">
      <c r="A502" s="8" t="s">
        <v>54123</v>
      </c>
      <c r="B502" s="8" t="s">
        <v>54127</v>
      </c>
    </row>
    <row r="503" spans="1:2" ht="14.5" x14ac:dyDescent="0.35">
      <c r="A503" s="8" t="s">
        <v>54123</v>
      </c>
      <c r="B503" s="8" t="s">
        <v>54124</v>
      </c>
    </row>
    <row r="504" spans="1:2" ht="14.5" x14ac:dyDescent="0.35">
      <c r="A504" s="8" t="s">
        <v>54123</v>
      </c>
      <c r="B504" s="8" t="s">
        <v>54128</v>
      </c>
    </row>
    <row r="505" spans="1:2" ht="14.5" x14ac:dyDescent="0.35">
      <c r="A505" s="8" t="s">
        <v>58510</v>
      </c>
      <c r="B505" s="8" t="s">
        <v>58511</v>
      </c>
    </row>
    <row r="506" spans="1:2" ht="14.5" x14ac:dyDescent="0.35">
      <c r="A506" s="8" t="s">
        <v>58645</v>
      </c>
      <c r="B506" s="8" t="s">
        <v>58646</v>
      </c>
    </row>
    <row r="507" spans="1:2" ht="14.5" x14ac:dyDescent="0.35">
      <c r="A507" s="8" t="s">
        <v>58512</v>
      </c>
      <c r="B507" s="8" t="s">
        <v>58513</v>
      </c>
    </row>
    <row r="508" spans="1:2" ht="14.5" x14ac:dyDescent="0.35">
      <c r="A508" s="8" t="s">
        <v>58514</v>
      </c>
      <c r="B508" s="8" t="s">
        <v>58515</v>
      </c>
    </row>
    <row r="509" spans="1:2" ht="14.5" x14ac:dyDescent="0.35">
      <c r="A509" s="8" t="s">
        <v>58516</v>
      </c>
      <c r="B509" s="8" t="s">
        <v>58517</v>
      </c>
    </row>
    <row r="510" spans="1:2" ht="14.5" x14ac:dyDescent="0.35">
      <c r="A510" s="8" t="s">
        <v>54129</v>
      </c>
      <c r="B510" s="8" t="s">
        <v>54132</v>
      </c>
    </row>
    <row r="511" spans="1:2" ht="14.5" x14ac:dyDescent="0.35">
      <c r="A511" s="8" t="s">
        <v>54129</v>
      </c>
      <c r="B511" s="8" t="s">
        <v>54130</v>
      </c>
    </row>
    <row r="512" spans="1:2" ht="14.5" x14ac:dyDescent="0.35">
      <c r="A512" s="8" t="s">
        <v>54129</v>
      </c>
      <c r="B512" s="8" t="s">
        <v>54133</v>
      </c>
    </row>
    <row r="513" spans="1:2" ht="14.5" x14ac:dyDescent="0.35">
      <c r="A513" s="8" t="s">
        <v>54129</v>
      </c>
      <c r="B513" s="8" t="s">
        <v>54134</v>
      </c>
    </row>
    <row r="514" spans="1:2" ht="14.5" x14ac:dyDescent="0.35">
      <c r="A514" s="8" t="s">
        <v>54129</v>
      </c>
      <c r="B514" s="8" t="s">
        <v>54135</v>
      </c>
    </row>
    <row r="515" spans="1:2" ht="14.5" x14ac:dyDescent="0.35">
      <c r="A515" s="8" t="s">
        <v>54129</v>
      </c>
      <c r="B515" s="8" t="s">
        <v>54136</v>
      </c>
    </row>
    <row r="516" spans="1:2" ht="14.5" x14ac:dyDescent="0.35">
      <c r="A516" s="8" t="s">
        <v>54129</v>
      </c>
      <c r="B516" s="8" t="s">
        <v>54131</v>
      </c>
    </row>
    <row r="517" spans="1:2" ht="14.5" x14ac:dyDescent="0.35">
      <c r="A517" s="8" t="s">
        <v>54129</v>
      </c>
      <c r="B517" s="8" t="s">
        <v>54137</v>
      </c>
    </row>
    <row r="518" spans="1:2" ht="14.5" x14ac:dyDescent="0.35">
      <c r="A518" s="8" t="s">
        <v>54138</v>
      </c>
      <c r="B518" s="8" t="s">
        <v>54139</v>
      </c>
    </row>
    <row r="519" spans="1:2" ht="14.5" x14ac:dyDescent="0.35">
      <c r="A519" s="8" t="s">
        <v>54138</v>
      </c>
      <c r="B519" s="8" t="s">
        <v>54140</v>
      </c>
    </row>
    <row r="520" spans="1:2" ht="14.5" x14ac:dyDescent="0.35">
      <c r="A520" s="8" t="s">
        <v>54138</v>
      </c>
      <c r="B520" s="8" t="s">
        <v>54166</v>
      </c>
    </row>
    <row r="521" spans="1:2" ht="14.5" x14ac:dyDescent="0.35">
      <c r="A521" s="8" t="s">
        <v>54138</v>
      </c>
      <c r="B521" s="8" t="s">
        <v>54141</v>
      </c>
    </row>
    <row r="522" spans="1:2" ht="14.5" x14ac:dyDescent="0.35">
      <c r="A522" s="8" t="s">
        <v>54138</v>
      </c>
      <c r="B522" s="8" t="s">
        <v>54167</v>
      </c>
    </row>
    <row r="523" spans="1:2" ht="14.5" x14ac:dyDescent="0.35">
      <c r="A523" s="8" t="s">
        <v>54138</v>
      </c>
      <c r="B523" s="8" t="s">
        <v>54168</v>
      </c>
    </row>
    <row r="524" spans="1:2" ht="14.5" x14ac:dyDescent="0.35">
      <c r="A524" s="8" t="s">
        <v>54138</v>
      </c>
      <c r="B524" s="8" t="s">
        <v>54156</v>
      </c>
    </row>
    <row r="525" spans="1:2" ht="14.5" x14ac:dyDescent="0.35">
      <c r="A525" s="8" t="s">
        <v>54138</v>
      </c>
      <c r="B525" s="8" t="s">
        <v>54157</v>
      </c>
    </row>
    <row r="526" spans="1:2" ht="14.5" x14ac:dyDescent="0.35">
      <c r="A526" s="8" t="s">
        <v>54138</v>
      </c>
      <c r="B526" s="8" t="s">
        <v>54158</v>
      </c>
    </row>
    <row r="527" spans="1:2" ht="14.5" x14ac:dyDescent="0.35">
      <c r="A527" s="8" t="s">
        <v>54138</v>
      </c>
      <c r="B527" s="8" t="s">
        <v>54159</v>
      </c>
    </row>
    <row r="528" spans="1:2" ht="14.5" x14ac:dyDescent="0.35">
      <c r="A528" s="8" t="s">
        <v>54138</v>
      </c>
      <c r="B528" s="8" t="s">
        <v>54160</v>
      </c>
    </row>
    <row r="529" spans="1:2" ht="14.5" x14ac:dyDescent="0.35">
      <c r="A529" s="8" t="s">
        <v>54138</v>
      </c>
      <c r="B529" s="8" t="s">
        <v>54161</v>
      </c>
    </row>
    <row r="530" spans="1:2" ht="14.5" x14ac:dyDescent="0.35">
      <c r="A530" s="8" t="s">
        <v>54138</v>
      </c>
      <c r="B530" s="8" t="s">
        <v>54142</v>
      </c>
    </row>
    <row r="531" spans="1:2" ht="14.5" x14ac:dyDescent="0.35">
      <c r="A531" s="8" t="s">
        <v>54138</v>
      </c>
      <c r="B531" s="8" t="s">
        <v>54169</v>
      </c>
    </row>
    <row r="532" spans="1:2" ht="14.5" x14ac:dyDescent="0.35">
      <c r="A532" s="8" t="s">
        <v>54138</v>
      </c>
      <c r="B532" s="8" t="s">
        <v>54170</v>
      </c>
    </row>
    <row r="533" spans="1:2" ht="14.5" x14ac:dyDescent="0.35">
      <c r="A533" s="8" t="s">
        <v>54138</v>
      </c>
      <c r="B533" s="8" t="s">
        <v>54143</v>
      </c>
    </row>
    <row r="534" spans="1:2" ht="14.5" x14ac:dyDescent="0.35">
      <c r="A534" s="8" t="s">
        <v>54138</v>
      </c>
      <c r="B534" s="8" t="s">
        <v>54171</v>
      </c>
    </row>
    <row r="535" spans="1:2" ht="14.5" x14ac:dyDescent="0.35">
      <c r="A535" s="8" t="s">
        <v>54138</v>
      </c>
      <c r="B535" s="8" t="s">
        <v>54162</v>
      </c>
    </row>
    <row r="536" spans="1:2" ht="14.5" x14ac:dyDescent="0.35">
      <c r="A536" s="8" t="s">
        <v>54138</v>
      </c>
      <c r="B536" s="8" t="s">
        <v>54163</v>
      </c>
    </row>
    <row r="537" spans="1:2" ht="14.5" x14ac:dyDescent="0.35">
      <c r="A537" s="8" t="s">
        <v>54138</v>
      </c>
      <c r="B537" s="8" t="s">
        <v>54164</v>
      </c>
    </row>
    <row r="538" spans="1:2" ht="14.5" x14ac:dyDescent="0.35">
      <c r="A538" s="8" t="s">
        <v>54138</v>
      </c>
      <c r="B538" s="8" t="s">
        <v>54144</v>
      </c>
    </row>
    <row r="539" spans="1:2" ht="14.5" x14ac:dyDescent="0.35">
      <c r="A539" s="8" t="s">
        <v>54138</v>
      </c>
      <c r="B539" s="8" t="s">
        <v>54172</v>
      </c>
    </row>
    <row r="540" spans="1:2" ht="14.5" x14ac:dyDescent="0.35">
      <c r="A540" s="8" t="s">
        <v>54138</v>
      </c>
      <c r="B540" s="8" t="s">
        <v>54173</v>
      </c>
    </row>
    <row r="541" spans="1:2" ht="14.5" x14ac:dyDescent="0.35">
      <c r="A541" s="8" t="s">
        <v>54138</v>
      </c>
      <c r="B541" s="8" t="s">
        <v>54174</v>
      </c>
    </row>
    <row r="542" spans="1:2" ht="14.5" x14ac:dyDescent="0.35">
      <c r="A542" s="8" t="s">
        <v>54138</v>
      </c>
      <c r="B542" s="8" t="s">
        <v>54145</v>
      </c>
    </row>
    <row r="543" spans="1:2" ht="14.5" x14ac:dyDescent="0.35">
      <c r="A543" s="8" t="s">
        <v>54138</v>
      </c>
      <c r="B543" s="8" t="s">
        <v>54165</v>
      </c>
    </row>
    <row r="544" spans="1:2" ht="14.5" x14ac:dyDescent="0.35">
      <c r="A544" s="8" t="s">
        <v>54138</v>
      </c>
      <c r="B544" s="8" t="s">
        <v>54146</v>
      </c>
    </row>
    <row r="545" spans="1:2" ht="14.5" x14ac:dyDescent="0.35">
      <c r="A545" s="8" t="s">
        <v>54138</v>
      </c>
      <c r="B545" s="8" t="s">
        <v>54147</v>
      </c>
    </row>
    <row r="546" spans="1:2" ht="14.5" x14ac:dyDescent="0.35">
      <c r="A546" s="8" t="s">
        <v>54138</v>
      </c>
      <c r="B546" s="8" t="s">
        <v>54148</v>
      </c>
    </row>
    <row r="547" spans="1:2" ht="14.5" x14ac:dyDescent="0.35">
      <c r="A547" s="8" t="s">
        <v>54138</v>
      </c>
      <c r="B547" s="8" t="s">
        <v>54175</v>
      </c>
    </row>
    <row r="548" spans="1:2" ht="14.5" x14ac:dyDescent="0.35">
      <c r="A548" s="8" t="s">
        <v>54138</v>
      </c>
      <c r="B548" s="8" t="s">
        <v>54176</v>
      </c>
    </row>
    <row r="549" spans="1:2" ht="14.5" x14ac:dyDescent="0.35">
      <c r="A549" s="8" t="s">
        <v>54138</v>
      </c>
      <c r="B549" s="8" t="s">
        <v>54177</v>
      </c>
    </row>
    <row r="550" spans="1:2" ht="14.5" x14ac:dyDescent="0.35">
      <c r="A550" s="8" t="s">
        <v>54138</v>
      </c>
      <c r="B550" s="8" t="s">
        <v>54149</v>
      </c>
    </row>
    <row r="551" spans="1:2" ht="14.5" x14ac:dyDescent="0.35">
      <c r="A551" s="8" t="s">
        <v>54138</v>
      </c>
      <c r="B551" s="8" t="s">
        <v>54178</v>
      </c>
    </row>
    <row r="552" spans="1:2" ht="14.5" x14ac:dyDescent="0.35">
      <c r="A552" s="8" t="s">
        <v>54138</v>
      </c>
      <c r="B552" s="8" t="s">
        <v>54179</v>
      </c>
    </row>
    <row r="553" spans="1:2" ht="14.5" x14ac:dyDescent="0.35">
      <c r="A553" s="8" t="s">
        <v>54138</v>
      </c>
      <c r="B553" s="8" t="s">
        <v>54180</v>
      </c>
    </row>
    <row r="554" spans="1:2" ht="14.5" x14ac:dyDescent="0.35">
      <c r="A554" s="8" t="s">
        <v>54138</v>
      </c>
      <c r="B554" s="8" t="s">
        <v>54181</v>
      </c>
    </row>
    <row r="555" spans="1:2" ht="14.5" x14ac:dyDescent="0.35">
      <c r="A555" s="8" t="s">
        <v>54138</v>
      </c>
      <c r="B555" s="8" t="s">
        <v>54150</v>
      </c>
    </row>
    <row r="556" spans="1:2" ht="14.5" x14ac:dyDescent="0.35">
      <c r="A556" s="8" t="s">
        <v>54138</v>
      </c>
      <c r="B556" s="8" t="s">
        <v>54182</v>
      </c>
    </row>
    <row r="557" spans="1:2" ht="14.5" x14ac:dyDescent="0.35">
      <c r="A557" s="8" t="s">
        <v>54138</v>
      </c>
      <c r="B557" s="8" t="s">
        <v>54183</v>
      </c>
    </row>
    <row r="558" spans="1:2" ht="14.5" x14ac:dyDescent="0.35">
      <c r="A558" s="8" t="s">
        <v>54138</v>
      </c>
      <c r="B558" s="8" t="s">
        <v>54184</v>
      </c>
    </row>
    <row r="559" spans="1:2" ht="14.5" x14ac:dyDescent="0.35">
      <c r="A559" s="8" t="s">
        <v>54138</v>
      </c>
      <c r="B559" s="8" t="s">
        <v>54185</v>
      </c>
    </row>
    <row r="560" spans="1:2" ht="14.5" x14ac:dyDescent="0.35">
      <c r="A560" s="8" t="s">
        <v>54138</v>
      </c>
      <c r="B560" s="8" t="s">
        <v>54186</v>
      </c>
    </row>
    <row r="561" spans="1:2" ht="14.5" x14ac:dyDescent="0.35">
      <c r="A561" s="8" t="s">
        <v>54138</v>
      </c>
      <c r="B561" s="8" t="s">
        <v>54151</v>
      </c>
    </row>
    <row r="562" spans="1:2" ht="14.5" x14ac:dyDescent="0.35">
      <c r="A562" s="8" t="s">
        <v>54138</v>
      </c>
      <c r="B562" s="8" t="s">
        <v>54187</v>
      </c>
    </row>
    <row r="563" spans="1:2" ht="14.5" x14ac:dyDescent="0.35">
      <c r="A563" s="8" t="s">
        <v>54138</v>
      </c>
      <c r="B563" s="8" t="s">
        <v>54152</v>
      </c>
    </row>
    <row r="564" spans="1:2" ht="14.5" x14ac:dyDescent="0.35">
      <c r="A564" s="8" t="s">
        <v>54138</v>
      </c>
      <c r="B564" s="8" t="s">
        <v>54188</v>
      </c>
    </row>
    <row r="565" spans="1:2" ht="14.5" x14ac:dyDescent="0.35">
      <c r="A565" s="8" t="s">
        <v>54138</v>
      </c>
      <c r="B565" s="8" t="s">
        <v>54153</v>
      </c>
    </row>
    <row r="566" spans="1:2" ht="14.5" x14ac:dyDescent="0.35">
      <c r="A566" s="8" t="s">
        <v>54138</v>
      </c>
      <c r="B566" s="8" t="s">
        <v>54154</v>
      </c>
    </row>
    <row r="567" spans="1:2" ht="14.5" x14ac:dyDescent="0.35">
      <c r="A567" s="8" t="s">
        <v>54138</v>
      </c>
      <c r="B567" s="8" t="s">
        <v>54189</v>
      </c>
    </row>
    <row r="568" spans="1:2" ht="14.5" x14ac:dyDescent="0.35">
      <c r="A568" s="8" t="s">
        <v>54138</v>
      </c>
      <c r="B568" s="8" t="s">
        <v>54190</v>
      </c>
    </row>
    <row r="569" spans="1:2" ht="14.5" x14ac:dyDescent="0.35">
      <c r="A569" s="8" t="s">
        <v>54138</v>
      </c>
      <c r="B569" s="8" t="s">
        <v>54191</v>
      </c>
    </row>
    <row r="570" spans="1:2" ht="14.5" x14ac:dyDescent="0.35">
      <c r="A570" s="8" t="s">
        <v>54138</v>
      </c>
      <c r="B570" s="8" t="s">
        <v>54155</v>
      </c>
    </row>
    <row r="571" spans="1:2" ht="14.5" x14ac:dyDescent="0.35">
      <c r="A571" s="8" t="s">
        <v>54138</v>
      </c>
      <c r="B571" s="8" t="s">
        <v>54192</v>
      </c>
    </row>
    <row r="572" spans="1:2" ht="14.5" x14ac:dyDescent="0.35">
      <c r="A572" s="8" t="s">
        <v>58518</v>
      </c>
      <c r="B572" s="8" t="s">
        <v>58519</v>
      </c>
    </row>
    <row r="573" spans="1:2" ht="14.5" x14ac:dyDescent="0.35">
      <c r="A573" s="8" t="s">
        <v>59653</v>
      </c>
      <c r="B573" s="8" t="s">
        <v>59042</v>
      </c>
    </row>
    <row r="574" spans="1:2" ht="14.5" x14ac:dyDescent="0.35">
      <c r="A574" s="8" t="s">
        <v>59653</v>
      </c>
      <c r="B574" s="8" t="s">
        <v>59038</v>
      </c>
    </row>
    <row r="575" spans="1:2" ht="14.5" x14ac:dyDescent="0.35">
      <c r="A575" s="8" t="s">
        <v>59653</v>
      </c>
      <c r="B575" s="8" t="s">
        <v>59036</v>
      </c>
    </row>
    <row r="576" spans="1:2" ht="14.5" x14ac:dyDescent="0.35">
      <c r="A576" s="8" t="s">
        <v>59653</v>
      </c>
      <c r="B576" s="8" t="s">
        <v>59039</v>
      </c>
    </row>
    <row r="577" spans="1:2" ht="14.5" x14ac:dyDescent="0.35">
      <c r="A577" s="8" t="s">
        <v>59653</v>
      </c>
      <c r="B577" s="8" t="s">
        <v>59040</v>
      </c>
    </row>
    <row r="578" spans="1:2" ht="14.5" x14ac:dyDescent="0.35">
      <c r="A578" s="8" t="s">
        <v>59653</v>
      </c>
      <c r="B578" s="8" t="s">
        <v>59037</v>
      </c>
    </row>
    <row r="579" spans="1:2" ht="14.5" x14ac:dyDescent="0.35">
      <c r="A579" s="8" t="s">
        <v>59653</v>
      </c>
      <c r="B579" s="8" t="s">
        <v>59041</v>
      </c>
    </row>
    <row r="580" spans="1:2" ht="14.5" x14ac:dyDescent="0.35">
      <c r="A580" s="8" t="s">
        <v>54193</v>
      </c>
      <c r="B580" s="8" t="s">
        <v>54194</v>
      </c>
    </row>
    <row r="581" spans="1:2" ht="14.5" x14ac:dyDescent="0.35">
      <c r="A581" s="8" t="s">
        <v>54193</v>
      </c>
      <c r="B581" s="8" t="s">
        <v>54195</v>
      </c>
    </row>
    <row r="582" spans="1:2" ht="14.5" x14ac:dyDescent="0.35">
      <c r="A582" s="8" t="s">
        <v>58520</v>
      </c>
      <c r="B582" s="8" t="s">
        <v>58521</v>
      </c>
    </row>
    <row r="583" spans="1:2" ht="14.5" x14ac:dyDescent="0.35">
      <c r="A583" s="8" t="s">
        <v>58647</v>
      </c>
      <c r="B583" s="8" t="s">
        <v>58648</v>
      </c>
    </row>
    <row r="584" spans="1:2" ht="14.5" x14ac:dyDescent="0.35">
      <c r="A584" s="8" t="s">
        <v>22211</v>
      </c>
      <c r="B584" s="8" t="s">
        <v>54196</v>
      </c>
    </row>
    <row r="585" spans="1:2" ht="14.5" x14ac:dyDescent="0.35">
      <c r="A585" s="8" t="s">
        <v>22211</v>
      </c>
      <c r="B585" s="8" t="s">
        <v>54197</v>
      </c>
    </row>
    <row r="586" spans="1:2" ht="14.5" x14ac:dyDescent="0.35">
      <c r="A586" s="8" t="s">
        <v>22211</v>
      </c>
      <c r="B586" s="8" t="s">
        <v>54198</v>
      </c>
    </row>
    <row r="587" spans="1:2" ht="14.5" x14ac:dyDescent="0.35">
      <c r="A587" s="8" t="s">
        <v>22211</v>
      </c>
      <c r="B587" s="8" t="s">
        <v>54199</v>
      </c>
    </row>
    <row r="588" spans="1:2" ht="14.5" x14ac:dyDescent="0.35">
      <c r="A588" s="8" t="s">
        <v>22211</v>
      </c>
      <c r="B588" s="8" t="s">
        <v>54200</v>
      </c>
    </row>
    <row r="589" spans="1:2" ht="14.5" x14ac:dyDescent="0.35">
      <c r="A589" s="8" t="s">
        <v>22211</v>
      </c>
      <c r="B589" s="8" t="s">
        <v>54201</v>
      </c>
    </row>
    <row r="590" spans="1:2" ht="14.5" x14ac:dyDescent="0.35">
      <c r="A590" s="8" t="s">
        <v>22211</v>
      </c>
      <c r="B590" s="8" t="s">
        <v>54202</v>
      </c>
    </row>
    <row r="591" spans="1:2" ht="14.5" x14ac:dyDescent="0.35">
      <c r="A591" s="8" t="s">
        <v>22211</v>
      </c>
      <c r="B591" s="8" t="s">
        <v>54203</v>
      </c>
    </row>
    <row r="592" spans="1:2" ht="14.5" x14ac:dyDescent="0.35">
      <c r="A592" s="8" t="s">
        <v>22211</v>
      </c>
      <c r="B592" s="8" t="s">
        <v>54204</v>
      </c>
    </row>
    <row r="593" spans="1:2" ht="14.5" x14ac:dyDescent="0.35">
      <c r="A593" s="8" t="s">
        <v>22211</v>
      </c>
      <c r="B593" s="8" t="s">
        <v>54205</v>
      </c>
    </row>
    <row r="594" spans="1:2" ht="14.5" x14ac:dyDescent="0.35">
      <c r="A594" s="8" t="s">
        <v>58641</v>
      </c>
      <c r="B594" s="8" t="s">
        <v>58642</v>
      </c>
    </row>
    <row r="595" spans="1:2" ht="14.5" x14ac:dyDescent="0.35">
      <c r="A595" s="8" t="s">
        <v>59654</v>
      </c>
      <c r="B595" s="8" t="s">
        <v>59591</v>
      </c>
    </row>
    <row r="596" spans="1:2" ht="14.5" x14ac:dyDescent="0.35">
      <c r="A596" s="8" t="s">
        <v>59654</v>
      </c>
      <c r="B596" s="8" t="s">
        <v>59592</v>
      </c>
    </row>
    <row r="597" spans="1:2" ht="14.5" x14ac:dyDescent="0.35">
      <c r="A597" s="8" t="s">
        <v>59654</v>
      </c>
      <c r="B597" s="8" t="s">
        <v>59549</v>
      </c>
    </row>
    <row r="598" spans="1:2" ht="14.5" x14ac:dyDescent="0.35">
      <c r="A598" s="8" t="s">
        <v>59654</v>
      </c>
      <c r="B598" s="8" t="s">
        <v>59590</v>
      </c>
    </row>
    <row r="599" spans="1:2" ht="14.5" x14ac:dyDescent="0.35">
      <c r="A599" s="8" t="s">
        <v>59654</v>
      </c>
      <c r="B599" s="8" t="s">
        <v>59440</v>
      </c>
    </row>
    <row r="600" spans="1:2" ht="14.5" x14ac:dyDescent="0.35">
      <c r="A600" s="8" t="s">
        <v>59654</v>
      </c>
      <c r="B600" s="8" t="s">
        <v>59632</v>
      </c>
    </row>
    <row r="601" spans="1:2" ht="14.5" x14ac:dyDescent="0.35">
      <c r="A601" s="8" t="s">
        <v>59654</v>
      </c>
      <c r="B601" s="8" t="s">
        <v>59466</v>
      </c>
    </row>
    <row r="602" spans="1:2" ht="14.5" x14ac:dyDescent="0.35">
      <c r="A602" s="8" t="s">
        <v>59654</v>
      </c>
      <c r="B602" s="8" t="s">
        <v>59633</v>
      </c>
    </row>
    <row r="603" spans="1:2" ht="14.5" x14ac:dyDescent="0.35">
      <c r="A603" s="8" t="s">
        <v>59654</v>
      </c>
      <c r="B603" s="8" t="s">
        <v>59626</v>
      </c>
    </row>
    <row r="604" spans="1:2" ht="14.5" x14ac:dyDescent="0.35">
      <c r="A604" s="8" t="s">
        <v>59654</v>
      </c>
      <c r="B604" s="8" t="s">
        <v>59589</v>
      </c>
    </row>
    <row r="605" spans="1:2" ht="14.5" x14ac:dyDescent="0.35">
      <c r="A605" s="8" t="s">
        <v>59654</v>
      </c>
      <c r="B605" s="8" t="s">
        <v>59625</v>
      </c>
    </row>
    <row r="606" spans="1:2" ht="14.5" x14ac:dyDescent="0.35">
      <c r="A606" s="8" t="s">
        <v>59654</v>
      </c>
      <c r="B606" s="8" t="s">
        <v>59465</v>
      </c>
    </row>
    <row r="607" spans="1:2" ht="14.5" x14ac:dyDescent="0.35">
      <c r="A607" s="8" t="s">
        <v>59654</v>
      </c>
      <c r="B607" s="8" t="s">
        <v>59649</v>
      </c>
    </row>
    <row r="608" spans="1:2" ht="14.5" x14ac:dyDescent="0.35">
      <c r="A608" s="8" t="s">
        <v>59654</v>
      </c>
      <c r="B608" s="8" t="s">
        <v>59464</v>
      </c>
    </row>
    <row r="609" spans="1:2" ht="14.5" x14ac:dyDescent="0.35">
      <c r="A609" s="8" t="s">
        <v>59654</v>
      </c>
      <c r="B609" s="8" t="s">
        <v>59576</v>
      </c>
    </row>
    <row r="610" spans="1:2" ht="14.5" x14ac:dyDescent="0.35">
      <c r="A610" s="8" t="s">
        <v>59654</v>
      </c>
      <c r="B610" s="8" t="s">
        <v>59646</v>
      </c>
    </row>
    <row r="611" spans="1:2" ht="14.5" x14ac:dyDescent="0.35">
      <c r="A611" s="8" t="s">
        <v>59654</v>
      </c>
      <c r="B611" s="8" t="s">
        <v>59447</v>
      </c>
    </row>
    <row r="612" spans="1:2" ht="14.5" x14ac:dyDescent="0.35">
      <c r="A612" s="8" t="s">
        <v>59654</v>
      </c>
      <c r="B612" s="8" t="s">
        <v>59500</v>
      </c>
    </row>
    <row r="613" spans="1:2" ht="14.5" x14ac:dyDescent="0.35">
      <c r="A613" s="8" t="s">
        <v>59654</v>
      </c>
      <c r="B613" s="8" t="s">
        <v>59467</v>
      </c>
    </row>
    <row r="614" spans="1:2" ht="14.5" x14ac:dyDescent="0.35">
      <c r="A614" s="8" t="s">
        <v>59654</v>
      </c>
      <c r="B614" s="8" t="s">
        <v>60508</v>
      </c>
    </row>
    <row r="615" spans="1:2" ht="14.5" x14ac:dyDescent="0.35">
      <c r="A615" s="8" t="s">
        <v>59654</v>
      </c>
      <c r="B615" s="8" t="s">
        <v>59647</v>
      </c>
    </row>
    <row r="616" spans="1:2" ht="14.5" x14ac:dyDescent="0.35">
      <c r="A616" s="8" t="s">
        <v>59654</v>
      </c>
      <c r="B616" s="8" t="s">
        <v>59627</v>
      </c>
    </row>
    <row r="617" spans="1:2" ht="14.5" x14ac:dyDescent="0.35">
      <c r="A617" s="8" t="s">
        <v>59654</v>
      </c>
      <c r="B617" s="8" t="s">
        <v>59631</v>
      </c>
    </row>
    <row r="618" spans="1:2" ht="14.5" x14ac:dyDescent="0.35">
      <c r="A618" s="8" t="s">
        <v>59654</v>
      </c>
      <c r="B618" s="8" t="s">
        <v>59635</v>
      </c>
    </row>
    <row r="619" spans="1:2" ht="14.5" x14ac:dyDescent="0.35">
      <c r="A619" s="8" t="s">
        <v>59654</v>
      </c>
      <c r="B619" s="8" t="s">
        <v>59652</v>
      </c>
    </row>
    <row r="620" spans="1:2" ht="14.5" x14ac:dyDescent="0.35">
      <c r="A620" s="8" t="s">
        <v>59654</v>
      </c>
      <c r="B620" s="8" t="s">
        <v>59651</v>
      </c>
    </row>
    <row r="621" spans="1:2" ht="14.5" x14ac:dyDescent="0.35">
      <c r="A621" s="8" t="s">
        <v>59654</v>
      </c>
      <c r="B621" s="8" t="s">
        <v>59648</v>
      </c>
    </row>
    <row r="622" spans="1:2" ht="14.5" x14ac:dyDescent="0.35">
      <c r="A622" s="8" t="s">
        <v>59654</v>
      </c>
      <c r="B622" s="8" t="s">
        <v>59628</v>
      </c>
    </row>
    <row r="623" spans="1:2" ht="14.5" x14ac:dyDescent="0.35">
      <c r="A623" s="8" t="s">
        <v>59654</v>
      </c>
      <c r="B623" s="8" t="s">
        <v>59629</v>
      </c>
    </row>
    <row r="624" spans="1:2" ht="14.5" x14ac:dyDescent="0.35">
      <c r="A624" s="8" t="s">
        <v>59654</v>
      </c>
      <c r="B624" s="8" t="s">
        <v>59446</v>
      </c>
    </row>
    <row r="625" spans="1:2" ht="14.5" x14ac:dyDescent="0.35">
      <c r="A625" s="8" t="s">
        <v>59654</v>
      </c>
      <c r="B625" s="8" t="s">
        <v>59650</v>
      </c>
    </row>
    <row r="626" spans="1:2" ht="14.5" x14ac:dyDescent="0.35">
      <c r="A626" s="8" t="s">
        <v>59654</v>
      </c>
      <c r="B626" s="8" t="s">
        <v>59634</v>
      </c>
    </row>
    <row r="627" spans="1:2" ht="14.5" x14ac:dyDescent="0.35">
      <c r="A627" s="8" t="s">
        <v>59654</v>
      </c>
      <c r="B627" s="8" t="s">
        <v>59630</v>
      </c>
    </row>
    <row r="628" spans="1:2" ht="14.5" x14ac:dyDescent="0.35">
      <c r="A628" s="8" t="s">
        <v>59654</v>
      </c>
      <c r="B628" s="8" t="s">
        <v>59441</v>
      </c>
    </row>
    <row r="629" spans="1:2" ht="14.5" x14ac:dyDescent="0.35">
      <c r="A629" s="8" t="s">
        <v>58522</v>
      </c>
      <c r="B629" s="8" t="s">
        <v>58523</v>
      </c>
    </row>
    <row r="630" spans="1:2" ht="14.5" x14ac:dyDescent="0.35">
      <c r="A630" s="8" t="s">
        <v>58524</v>
      </c>
      <c r="B630" s="8" t="s">
        <v>58525</v>
      </c>
    </row>
    <row r="631" spans="1:2" ht="14.5" x14ac:dyDescent="0.35">
      <c r="A631" s="8" t="s">
        <v>54206</v>
      </c>
      <c r="B631" s="8" t="s">
        <v>54207</v>
      </c>
    </row>
    <row r="632" spans="1:2" ht="14.5" x14ac:dyDescent="0.35">
      <c r="A632" s="8" t="s">
        <v>54206</v>
      </c>
      <c r="B632" s="8" t="s">
        <v>54208</v>
      </c>
    </row>
    <row r="633" spans="1:2" ht="14.5" x14ac:dyDescent="0.35">
      <c r="A633" s="8" t="s">
        <v>54206</v>
      </c>
      <c r="B633" s="8" t="s">
        <v>54209</v>
      </c>
    </row>
    <row r="634" spans="1:2" ht="14.5" x14ac:dyDescent="0.35">
      <c r="A634" s="8" t="s">
        <v>54206</v>
      </c>
      <c r="B634" s="8" t="s">
        <v>54210</v>
      </c>
    </row>
    <row r="635" spans="1:2" ht="14.5" x14ac:dyDescent="0.35">
      <c r="A635" s="8" t="s">
        <v>54206</v>
      </c>
      <c r="B635" s="8" t="s">
        <v>58526</v>
      </c>
    </row>
    <row r="636" spans="1:2" ht="14.5" x14ac:dyDescent="0.35">
      <c r="A636" s="8" t="s">
        <v>54206</v>
      </c>
      <c r="B636" s="8" t="s">
        <v>54211</v>
      </c>
    </row>
    <row r="637" spans="1:2" ht="14.5" x14ac:dyDescent="0.35">
      <c r="A637" s="8" t="s">
        <v>54206</v>
      </c>
      <c r="B637" s="8" t="s">
        <v>54212</v>
      </c>
    </row>
    <row r="638" spans="1:2" ht="14.5" x14ac:dyDescent="0.35">
      <c r="A638" s="8" t="s">
        <v>54206</v>
      </c>
      <c r="B638" s="8" t="s">
        <v>54213</v>
      </c>
    </row>
    <row r="639" spans="1:2" ht="14.5" x14ac:dyDescent="0.35">
      <c r="A639" s="8" t="s">
        <v>54206</v>
      </c>
      <c r="B639" s="8" t="s">
        <v>54214</v>
      </c>
    </row>
    <row r="640" spans="1:2" ht="14.5" x14ac:dyDescent="0.35">
      <c r="A640" s="8" t="s">
        <v>54206</v>
      </c>
      <c r="B640" s="8" t="s">
        <v>54215</v>
      </c>
    </row>
    <row r="641" spans="1:2" ht="14.5" x14ac:dyDescent="0.35">
      <c r="A641" s="8" t="s">
        <v>54206</v>
      </c>
      <c r="B641" s="8" t="s">
        <v>54216</v>
      </c>
    </row>
    <row r="642" spans="1:2" ht="14.5" x14ac:dyDescent="0.35">
      <c r="A642" s="8" t="s">
        <v>54206</v>
      </c>
      <c r="B642" s="8" t="s">
        <v>54217</v>
      </c>
    </row>
    <row r="643" spans="1:2" ht="14.5" x14ac:dyDescent="0.35">
      <c r="A643" s="8" t="s">
        <v>54206</v>
      </c>
      <c r="B643" s="8" t="s">
        <v>54218</v>
      </c>
    </row>
    <row r="644" spans="1:2" ht="14.5" x14ac:dyDescent="0.35">
      <c r="A644" s="8" t="s">
        <v>54206</v>
      </c>
      <c r="B644" s="8" t="s">
        <v>54219</v>
      </c>
    </row>
    <row r="645" spans="1:2" ht="14.5" x14ac:dyDescent="0.35">
      <c r="A645" s="8" t="s">
        <v>58527</v>
      </c>
      <c r="B645" s="8" t="s">
        <v>58528</v>
      </c>
    </row>
    <row r="646" spans="1:2" ht="14.5" x14ac:dyDescent="0.35">
      <c r="A646" s="8" t="s">
        <v>58529</v>
      </c>
      <c r="B646" s="8" t="s">
        <v>58530</v>
      </c>
    </row>
    <row r="647" spans="1:2" ht="14.5" x14ac:dyDescent="0.35">
      <c r="A647" s="8" t="s">
        <v>58531</v>
      </c>
      <c r="B647" s="8" t="s">
        <v>58532</v>
      </c>
    </row>
    <row r="648" spans="1:2" ht="14.5" x14ac:dyDescent="0.35">
      <c r="A648" s="8" t="s">
        <v>1783</v>
      </c>
      <c r="B648" s="8" t="s">
        <v>58944</v>
      </c>
    </row>
    <row r="649" spans="1:2" ht="14.5" x14ac:dyDescent="0.35">
      <c r="A649" s="8" t="s">
        <v>1783</v>
      </c>
      <c r="B649" s="8" t="s">
        <v>59067</v>
      </c>
    </row>
    <row r="650" spans="1:2" ht="14.5" x14ac:dyDescent="0.35">
      <c r="A650" s="8" t="s">
        <v>1783</v>
      </c>
      <c r="B650" s="8" t="s">
        <v>59020</v>
      </c>
    </row>
    <row r="651" spans="1:2" ht="14.5" x14ac:dyDescent="0.35">
      <c r="A651" s="8" t="s">
        <v>1783</v>
      </c>
      <c r="B651" s="8" t="s">
        <v>59077</v>
      </c>
    </row>
    <row r="652" spans="1:2" ht="14.5" x14ac:dyDescent="0.35">
      <c r="A652" s="8" t="s">
        <v>1783</v>
      </c>
      <c r="B652" s="8" t="s">
        <v>59031</v>
      </c>
    </row>
    <row r="653" spans="1:2" ht="14.5" x14ac:dyDescent="0.35">
      <c r="A653" s="8" t="s">
        <v>1783</v>
      </c>
      <c r="B653" s="8" t="s">
        <v>58971</v>
      </c>
    </row>
    <row r="654" spans="1:2" ht="14.5" x14ac:dyDescent="0.35">
      <c r="A654" s="8" t="s">
        <v>1783</v>
      </c>
      <c r="B654" s="8" t="s">
        <v>59084</v>
      </c>
    </row>
    <row r="655" spans="1:2" ht="14.5" x14ac:dyDescent="0.35">
      <c r="A655" s="8" t="s">
        <v>1783</v>
      </c>
      <c r="B655" s="8" t="s">
        <v>59029</v>
      </c>
    </row>
    <row r="656" spans="1:2" ht="14.5" x14ac:dyDescent="0.35">
      <c r="A656" s="8" t="s">
        <v>1783</v>
      </c>
      <c r="B656" s="8" t="s">
        <v>59004</v>
      </c>
    </row>
    <row r="657" spans="1:2" ht="14.5" x14ac:dyDescent="0.35">
      <c r="A657" s="8" t="s">
        <v>1783</v>
      </c>
      <c r="B657" s="8" t="s">
        <v>59060</v>
      </c>
    </row>
    <row r="658" spans="1:2" ht="14.5" x14ac:dyDescent="0.35">
      <c r="A658" s="8" t="s">
        <v>1783</v>
      </c>
      <c r="B658" s="8" t="s">
        <v>59070</v>
      </c>
    </row>
    <row r="659" spans="1:2" ht="14.5" x14ac:dyDescent="0.35">
      <c r="A659" s="8" t="s">
        <v>1783</v>
      </c>
      <c r="B659" s="8" t="s">
        <v>59080</v>
      </c>
    </row>
    <row r="660" spans="1:2" ht="14.5" x14ac:dyDescent="0.35">
      <c r="A660" s="8" t="s">
        <v>1783</v>
      </c>
      <c r="B660" s="8" t="s">
        <v>59069</v>
      </c>
    </row>
    <row r="661" spans="1:2" ht="14.5" x14ac:dyDescent="0.35">
      <c r="A661" s="8" t="s">
        <v>1783</v>
      </c>
      <c r="B661" s="8" t="s">
        <v>58961</v>
      </c>
    </row>
    <row r="662" spans="1:2" ht="14.5" x14ac:dyDescent="0.35">
      <c r="A662" s="8" t="s">
        <v>1783</v>
      </c>
      <c r="B662" s="8" t="s">
        <v>58962</v>
      </c>
    </row>
    <row r="663" spans="1:2" ht="14.5" x14ac:dyDescent="0.35">
      <c r="A663" s="8" t="s">
        <v>1783</v>
      </c>
      <c r="B663" s="8" t="s">
        <v>59075</v>
      </c>
    </row>
    <row r="664" spans="1:2" ht="14.5" x14ac:dyDescent="0.35">
      <c r="A664" s="8" t="s">
        <v>1783</v>
      </c>
      <c r="B664" s="8" t="s">
        <v>59179</v>
      </c>
    </row>
    <row r="665" spans="1:2" ht="14.5" x14ac:dyDescent="0.35">
      <c r="A665" s="8" t="s">
        <v>1783</v>
      </c>
      <c r="B665" s="8" t="s">
        <v>59160</v>
      </c>
    </row>
    <row r="666" spans="1:2" ht="14.5" x14ac:dyDescent="0.35">
      <c r="A666" s="8" t="s">
        <v>1783</v>
      </c>
      <c r="B666" s="8" t="s">
        <v>59180</v>
      </c>
    </row>
    <row r="667" spans="1:2" ht="14.5" x14ac:dyDescent="0.35">
      <c r="A667" s="8" t="s">
        <v>1783</v>
      </c>
      <c r="B667" s="8" t="s">
        <v>59168</v>
      </c>
    </row>
    <row r="668" spans="1:2" ht="14.5" x14ac:dyDescent="0.35">
      <c r="A668" s="8" t="s">
        <v>1783</v>
      </c>
      <c r="B668" s="8" t="s">
        <v>59000</v>
      </c>
    </row>
    <row r="669" spans="1:2" ht="14.5" x14ac:dyDescent="0.35">
      <c r="A669" s="8" t="s">
        <v>1783</v>
      </c>
      <c r="B669" s="8" t="s">
        <v>58940</v>
      </c>
    </row>
    <row r="670" spans="1:2" ht="14.5" x14ac:dyDescent="0.35">
      <c r="A670" s="8" t="s">
        <v>1783</v>
      </c>
      <c r="B670" s="8" t="s">
        <v>59174</v>
      </c>
    </row>
    <row r="671" spans="1:2" ht="14.5" x14ac:dyDescent="0.35">
      <c r="A671" s="8" t="s">
        <v>1783</v>
      </c>
      <c r="B671" s="8" t="s">
        <v>59155</v>
      </c>
    </row>
    <row r="672" spans="1:2" ht="14.5" x14ac:dyDescent="0.35">
      <c r="A672" s="8" t="s">
        <v>1783</v>
      </c>
      <c r="B672" s="8" t="s">
        <v>59164</v>
      </c>
    </row>
    <row r="673" spans="1:2" ht="14.5" x14ac:dyDescent="0.35">
      <c r="A673" s="8" t="s">
        <v>1783</v>
      </c>
      <c r="B673" s="8" t="s">
        <v>59052</v>
      </c>
    </row>
    <row r="674" spans="1:2" ht="14.5" x14ac:dyDescent="0.35">
      <c r="A674" s="8" t="s">
        <v>1783</v>
      </c>
      <c r="B674" s="8" t="s">
        <v>59175</v>
      </c>
    </row>
    <row r="675" spans="1:2" ht="14.5" x14ac:dyDescent="0.35">
      <c r="A675" s="8" t="s">
        <v>1783</v>
      </c>
      <c r="B675" s="8" t="s">
        <v>59010</v>
      </c>
    </row>
    <row r="676" spans="1:2" ht="14.5" x14ac:dyDescent="0.35">
      <c r="A676" s="8" t="s">
        <v>1783</v>
      </c>
      <c r="B676" s="8" t="s">
        <v>59079</v>
      </c>
    </row>
    <row r="677" spans="1:2" ht="14.5" x14ac:dyDescent="0.35">
      <c r="A677" s="8" t="s">
        <v>1783</v>
      </c>
      <c r="B677" s="8" t="s">
        <v>59003</v>
      </c>
    </row>
    <row r="678" spans="1:2" ht="14.5" x14ac:dyDescent="0.35">
      <c r="A678" s="8" t="s">
        <v>1783</v>
      </c>
      <c r="B678" s="8" t="s">
        <v>58959</v>
      </c>
    </row>
    <row r="679" spans="1:2" ht="14.5" x14ac:dyDescent="0.35">
      <c r="A679" s="8" t="s">
        <v>1783</v>
      </c>
      <c r="B679" s="8" t="s">
        <v>59021</v>
      </c>
    </row>
    <row r="680" spans="1:2" ht="14.5" x14ac:dyDescent="0.35">
      <c r="A680" s="8" t="s">
        <v>1783</v>
      </c>
      <c r="B680" s="8" t="s">
        <v>59025</v>
      </c>
    </row>
    <row r="681" spans="1:2" ht="14.5" x14ac:dyDescent="0.35">
      <c r="A681" s="8" t="s">
        <v>1783</v>
      </c>
      <c r="B681" s="8" t="s">
        <v>59034</v>
      </c>
    </row>
    <row r="682" spans="1:2" ht="14.5" x14ac:dyDescent="0.35">
      <c r="A682" s="8" t="s">
        <v>1783</v>
      </c>
      <c r="B682" s="8" t="s">
        <v>59015</v>
      </c>
    </row>
    <row r="683" spans="1:2" ht="14.5" x14ac:dyDescent="0.35">
      <c r="A683" s="8" t="s">
        <v>1783</v>
      </c>
      <c r="B683" s="8" t="s">
        <v>59026</v>
      </c>
    </row>
    <row r="684" spans="1:2" ht="14.5" x14ac:dyDescent="0.35">
      <c r="A684" s="8" t="s">
        <v>1783</v>
      </c>
      <c r="B684" s="8" t="s">
        <v>59006</v>
      </c>
    </row>
    <row r="685" spans="1:2" ht="14.5" x14ac:dyDescent="0.35">
      <c r="A685" s="8" t="s">
        <v>1783</v>
      </c>
      <c r="B685" s="8" t="s">
        <v>59169</v>
      </c>
    </row>
    <row r="686" spans="1:2" ht="14.5" x14ac:dyDescent="0.35">
      <c r="A686" s="8" t="s">
        <v>1783</v>
      </c>
      <c r="B686" s="8" t="s">
        <v>59177</v>
      </c>
    </row>
    <row r="687" spans="1:2" ht="14.5" x14ac:dyDescent="0.35">
      <c r="A687" s="8" t="s">
        <v>1783</v>
      </c>
      <c r="B687" s="8" t="s">
        <v>58945</v>
      </c>
    </row>
    <row r="688" spans="1:2" ht="14.5" x14ac:dyDescent="0.35">
      <c r="A688" s="8" t="s">
        <v>1783</v>
      </c>
      <c r="B688" s="8" t="s">
        <v>59013</v>
      </c>
    </row>
    <row r="689" spans="1:2" ht="14.5" x14ac:dyDescent="0.35">
      <c r="A689" s="8" t="s">
        <v>1783</v>
      </c>
      <c r="B689" s="8" t="s">
        <v>59055</v>
      </c>
    </row>
    <row r="690" spans="1:2" ht="14.5" x14ac:dyDescent="0.35">
      <c r="A690" s="8" t="s">
        <v>1783</v>
      </c>
      <c r="B690" s="8" t="s">
        <v>58998</v>
      </c>
    </row>
    <row r="691" spans="1:2" ht="14.5" x14ac:dyDescent="0.35">
      <c r="A691" s="8" t="s">
        <v>1783</v>
      </c>
      <c r="B691" s="8" t="s">
        <v>59065</v>
      </c>
    </row>
    <row r="692" spans="1:2" ht="14.5" x14ac:dyDescent="0.35">
      <c r="A692" s="8" t="s">
        <v>1783</v>
      </c>
      <c r="B692" s="8" t="s">
        <v>59022</v>
      </c>
    </row>
    <row r="693" spans="1:2" ht="14.5" x14ac:dyDescent="0.35">
      <c r="A693" s="8" t="s">
        <v>1783</v>
      </c>
      <c r="B693" s="8" t="s">
        <v>59001</v>
      </c>
    </row>
    <row r="694" spans="1:2" ht="14.5" x14ac:dyDescent="0.35">
      <c r="A694" s="8" t="s">
        <v>1783</v>
      </c>
      <c r="B694" s="8" t="s">
        <v>58970</v>
      </c>
    </row>
    <row r="695" spans="1:2" ht="14.5" x14ac:dyDescent="0.35">
      <c r="A695" s="8" t="s">
        <v>1783</v>
      </c>
      <c r="B695" s="8" t="s">
        <v>59012</v>
      </c>
    </row>
    <row r="696" spans="1:2" ht="14.5" x14ac:dyDescent="0.35">
      <c r="A696" s="8" t="s">
        <v>1783</v>
      </c>
      <c r="B696" s="8" t="s">
        <v>59058</v>
      </c>
    </row>
    <row r="697" spans="1:2" ht="14.5" x14ac:dyDescent="0.35">
      <c r="A697" s="8" t="s">
        <v>1783</v>
      </c>
      <c r="B697" s="8" t="s">
        <v>59028</v>
      </c>
    </row>
    <row r="698" spans="1:2" ht="14.5" x14ac:dyDescent="0.35">
      <c r="A698" s="8" t="s">
        <v>1783</v>
      </c>
      <c r="B698" s="8" t="s">
        <v>58999</v>
      </c>
    </row>
    <row r="699" spans="1:2" ht="14.5" x14ac:dyDescent="0.35">
      <c r="A699" s="8" t="s">
        <v>1783</v>
      </c>
      <c r="B699" s="8" t="s">
        <v>58965</v>
      </c>
    </row>
    <row r="700" spans="1:2" ht="14.5" x14ac:dyDescent="0.35">
      <c r="A700" s="8" t="s">
        <v>1783</v>
      </c>
      <c r="B700" s="8" t="s">
        <v>59176</v>
      </c>
    </row>
    <row r="701" spans="1:2" ht="14.5" x14ac:dyDescent="0.35">
      <c r="A701" s="8" t="s">
        <v>1783</v>
      </c>
      <c r="B701" s="8" t="s">
        <v>58955</v>
      </c>
    </row>
    <row r="702" spans="1:2" ht="14.5" x14ac:dyDescent="0.35">
      <c r="A702" s="8" t="s">
        <v>1783</v>
      </c>
      <c r="B702" s="8" t="s">
        <v>58947</v>
      </c>
    </row>
    <row r="703" spans="1:2" ht="14.5" x14ac:dyDescent="0.35">
      <c r="A703" s="8" t="s">
        <v>1783</v>
      </c>
      <c r="B703" s="8" t="s">
        <v>58942</v>
      </c>
    </row>
    <row r="704" spans="1:2" ht="14.5" x14ac:dyDescent="0.35">
      <c r="A704" s="8" t="s">
        <v>1783</v>
      </c>
      <c r="B704" s="8" t="s">
        <v>58957</v>
      </c>
    </row>
    <row r="705" spans="1:2" ht="14.5" x14ac:dyDescent="0.35">
      <c r="A705" s="8" t="s">
        <v>1783</v>
      </c>
      <c r="B705" s="8" t="s">
        <v>59068</v>
      </c>
    </row>
    <row r="706" spans="1:2" ht="14.5" x14ac:dyDescent="0.35">
      <c r="A706" s="8" t="s">
        <v>1783</v>
      </c>
      <c r="B706" s="8" t="s">
        <v>59073</v>
      </c>
    </row>
    <row r="707" spans="1:2" ht="14.5" x14ac:dyDescent="0.35">
      <c r="A707" s="8" t="s">
        <v>1783</v>
      </c>
      <c r="B707" s="8" t="s">
        <v>58969</v>
      </c>
    </row>
    <row r="708" spans="1:2" ht="14.5" x14ac:dyDescent="0.35">
      <c r="A708" s="8" t="s">
        <v>1783</v>
      </c>
      <c r="B708" s="8" t="s">
        <v>59182</v>
      </c>
    </row>
    <row r="709" spans="1:2" ht="14.5" x14ac:dyDescent="0.35">
      <c r="A709" s="8" t="s">
        <v>1783</v>
      </c>
      <c r="B709" s="8" t="s">
        <v>59053</v>
      </c>
    </row>
    <row r="710" spans="1:2" ht="14.5" x14ac:dyDescent="0.35">
      <c r="A710" s="8" t="s">
        <v>1783</v>
      </c>
      <c r="B710" s="8" t="s">
        <v>59172</v>
      </c>
    </row>
    <row r="711" spans="1:2" ht="14.5" x14ac:dyDescent="0.35">
      <c r="A711" s="8" t="s">
        <v>1783</v>
      </c>
      <c r="B711" s="8" t="s">
        <v>59154</v>
      </c>
    </row>
    <row r="712" spans="1:2" ht="14.5" x14ac:dyDescent="0.35">
      <c r="A712" s="8" t="s">
        <v>1783</v>
      </c>
      <c r="B712" s="8" t="s">
        <v>59024</v>
      </c>
    </row>
    <row r="713" spans="1:2" ht="14.5" x14ac:dyDescent="0.35">
      <c r="A713" s="8" t="s">
        <v>1783</v>
      </c>
      <c r="B713" s="8" t="s">
        <v>59011</v>
      </c>
    </row>
    <row r="714" spans="1:2" ht="14.5" x14ac:dyDescent="0.35">
      <c r="A714" s="8" t="s">
        <v>1783</v>
      </c>
      <c r="B714" s="8" t="s">
        <v>59163</v>
      </c>
    </row>
    <row r="715" spans="1:2" ht="14.5" x14ac:dyDescent="0.35">
      <c r="A715" s="8" t="s">
        <v>1783</v>
      </c>
      <c r="B715" s="8" t="s">
        <v>59173</v>
      </c>
    </row>
    <row r="716" spans="1:2" ht="14.5" x14ac:dyDescent="0.35">
      <c r="A716" s="8" t="s">
        <v>1783</v>
      </c>
      <c r="B716" s="8" t="s">
        <v>59152</v>
      </c>
    </row>
    <row r="717" spans="1:2" ht="14.5" x14ac:dyDescent="0.35">
      <c r="A717" s="8" t="s">
        <v>1783</v>
      </c>
      <c r="B717" s="8" t="s">
        <v>59033</v>
      </c>
    </row>
    <row r="718" spans="1:2" ht="14.5" x14ac:dyDescent="0.35">
      <c r="A718" s="8" t="s">
        <v>1783</v>
      </c>
      <c r="B718" s="8" t="s">
        <v>59153</v>
      </c>
    </row>
    <row r="719" spans="1:2" ht="14.5" x14ac:dyDescent="0.35">
      <c r="A719" s="8" t="s">
        <v>1783</v>
      </c>
      <c r="B719" s="8" t="s">
        <v>58997</v>
      </c>
    </row>
    <row r="720" spans="1:2" ht="14.5" x14ac:dyDescent="0.35">
      <c r="A720" s="8" t="s">
        <v>1783</v>
      </c>
      <c r="B720" s="8" t="s">
        <v>59016</v>
      </c>
    </row>
    <row r="721" spans="1:2" ht="14.5" x14ac:dyDescent="0.35">
      <c r="A721" s="8" t="s">
        <v>1783</v>
      </c>
      <c r="B721" s="8" t="s">
        <v>59018</v>
      </c>
    </row>
    <row r="722" spans="1:2" ht="14.5" x14ac:dyDescent="0.35">
      <c r="A722" s="8" t="s">
        <v>1783</v>
      </c>
      <c r="B722" s="8" t="s">
        <v>59057</v>
      </c>
    </row>
    <row r="723" spans="1:2" ht="14.5" x14ac:dyDescent="0.35">
      <c r="A723" s="8" t="s">
        <v>1783</v>
      </c>
      <c r="B723" s="8" t="s">
        <v>59005</v>
      </c>
    </row>
    <row r="724" spans="1:2" ht="14.5" x14ac:dyDescent="0.35">
      <c r="A724" s="8" t="s">
        <v>1783</v>
      </c>
      <c r="B724" s="8" t="s">
        <v>59019</v>
      </c>
    </row>
    <row r="725" spans="1:2" ht="14.5" x14ac:dyDescent="0.35">
      <c r="A725" s="8" t="s">
        <v>1783</v>
      </c>
      <c r="B725" s="8" t="s">
        <v>59023</v>
      </c>
    </row>
    <row r="726" spans="1:2" ht="14.5" x14ac:dyDescent="0.35">
      <c r="A726" s="8" t="s">
        <v>1783</v>
      </c>
      <c r="B726" s="8" t="s">
        <v>58967</v>
      </c>
    </row>
    <row r="727" spans="1:2" ht="14.5" x14ac:dyDescent="0.35">
      <c r="A727" s="8" t="s">
        <v>1783</v>
      </c>
      <c r="B727" s="8" t="s">
        <v>59162</v>
      </c>
    </row>
    <row r="728" spans="1:2" ht="14.5" x14ac:dyDescent="0.35">
      <c r="A728" s="8" t="s">
        <v>1783</v>
      </c>
      <c r="B728" s="8" t="s">
        <v>59165</v>
      </c>
    </row>
    <row r="729" spans="1:2" ht="14.5" x14ac:dyDescent="0.35">
      <c r="A729" s="8" t="s">
        <v>1783</v>
      </c>
      <c r="B729" s="8" t="s">
        <v>59062</v>
      </c>
    </row>
    <row r="730" spans="1:2" ht="14.5" x14ac:dyDescent="0.35">
      <c r="A730" s="8" t="s">
        <v>1783</v>
      </c>
      <c r="B730" s="8" t="s">
        <v>59030</v>
      </c>
    </row>
    <row r="731" spans="1:2" ht="14.5" x14ac:dyDescent="0.35">
      <c r="A731" s="8" t="s">
        <v>1783</v>
      </c>
      <c r="B731" s="8" t="s">
        <v>59083</v>
      </c>
    </row>
    <row r="732" spans="1:2" ht="14.5" x14ac:dyDescent="0.35">
      <c r="A732" s="8" t="s">
        <v>1783</v>
      </c>
      <c r="B732" s="8" t="s">
        <v>59076</v>
      </c>
    </row>
    <row r="733" spans="1:2" ht="14.5" x14ac:dyDescent="0.35">
      <c r="A733" s="8" t="s">
        <v>1783</v>
      </c>
      <c r="B733" s="8" t="s">
        <v>58958</v>
      </c>
    </row>
    <row r="734" spans="1:2" ht="14.5" x14ac:dyDescent="0.35">
      <c r="A734" s="8" t="s">
        <v>1783</v>
      </c>
      <c r="B734" s="8" t="s">
        <v>59059</v>
      </c>
    </row>
    <row r="735" spans="1:2" ht="14.5" x14ac:dyDescent="0.35">
      <c r="A735" s="8" t="s">
        <v>1783</v>
      </c>
      <c r="B735" s="8" t="s">
        <v>59081</v>
      </c>
    </row>
    <row r="736" spans="1:2" ht="14.5" x14ac:dyDescent="0.35">
      <c r="A736" s="8" t="s">
        <v>1783</v>
      </c>
      <c r="B736" s="8" t="s">
        <v>59009</v>
      </c>
    </row>
    <row r="737" spans="1:2" ht="14.5" x14ac:dyDescent="0.35">
      <c r="A737" s="8" t="s">
        <v>1783</v>
      </c>
      <c r="B737" s="8" t="s">
        <v>59032</v>
      </c>
    </row>
    <row r="738" spans="1:2" ht="14.5" x14ac:dyDescent="0.35">
      <c r="A738" s="8" t="s">
        <v>1783</v>
      </c>
      <c r="B738" s="8" t="s">
        <v>58953</v>
      </c>
    </row>
    <row r="739" spans="1:2" ht="14.5" x14ac:dyDescent="0.35">
      <c r="A739" s="8" t="s">
        <v>1783</v>
      </c>
      <c r="B739" s="8" t="s">
        <v>59007</v>
      </c>
    </row>
    <row r="740" spans="1:2" ht="14.5" x14ac:dyDescent="0.35">
      <c r="A740" s="8" t="s">
        <v>1783</v>
      </c>
      <c r="B740" s="8" t="s">
        <v>58960</v>
      </c>
    </row>
    <row r="741" spans="1:2" ht="14.5" x14ac:dyDescent="0.35">
      <c r="A741" s="8" t="s">
        <v>1783</v>
      </c>
      <c r="B741" s="8" t="s">
        <v>58972</v>
      </c>
    </row>
    <row r="742" spans="1:2" ht="14.5" x14ac:dyDescent="0.35">
      <c r="A742" s="8" t="s">
        <v>1783</v>
      </c>
      <c r="B742" s="8" t="s">
        <v>58968</v>
      </c>
    </row>
    <row r="743" spans="1:2" ht="14.5" x14ac:dyDescent="0.35">
      <c r="A743" s="8" t="s">
        <v>1783</v>
      </c>
      <c r="B743" s="8" t="s">
        <v>58952</v>
      </c>
    </row>
    <row r="744" spans="1:2" ht="14.5" x14ac:dyDescent="0.35">
      <c r="A744" s="8" t="s">
        <v>1783</v>
      </c>
      <c r="B744" s="8" t="s">
        <v>59008</v>
      </c>
    </row>
    <row r="745" spans="1:2" ht="14.5" x14ac:dyDescent="0.35">
      <c r="A745" s="8" t="s">
        <v>1783</v>
      </c>
      <c r="B745" s="8" t="s">
        <v>58939</v>
      </c>
    </row>
    <row r="746" spans="1:2" ht="14.5" x14ac:dyDescent="0.35">
      <c r="A746" s="8" t="s">
        <v>1783</v>
      </c>
      <c r="B746" s="8" t="s">
        <v>58974</v>
      </c>
    </row>
    <row r="747" spans="1:2" ht="14.5" x14ac:dyDescent="0.35">
      <c r="A747" s="8" t="s">
        <v>1783</v>
      </c>
      <c r="B747" s="8" t="s">
        <v>58948</v>
      </c>
    </row>
    <row r="748" spans="1:2" ht="14.5" x14ac:dyDescent="0.35">
      <c r="A748" s="8" t="s">
        <v>1783</v>
      </c>
      <c r="B748" s="8" t="s">
        <v>58946</v>
      </c>
    </row>
    <row r="749" spans="1:2" ht="14.5" x14ac:dyDescent="0.35">
      <c r="A749" s="8" t="s">
        <v>1783</v>
      </c>
      <c r="B749" s="8" t="s">
        <v>59171</v>
      </c>
    </row>
    <row r="750" spans="1:2" ht="14.5" x14ac:dyDescent="0.35">
      <c r="A750" s="8" t="s">
        <v>1783</v>
      </c>
      <c r="B750" s="8" t="s">
        <v>59170</v>
      </c>
    </row>
    <row r="751" spans="1:2" ht="14.5" x14ac:dyDescent="0.35">
      <c r="A751" s="8" t="s">
        <v>1783</v>
      </c>
      <c r="B751" s="8" t="s">
        <v>59158</v>
      </c>
    </row>
    <row r="752" spans="1:2" ht="14.5" x14ac:dyDescent="0.35">
      <c r="A752" s="8" t="s">
        <v>1783</v>
      </c>
      <c r="B752" s="8" t="s">
        <v>59184</v>
      </c>
    </row>
    <row r="753" spans="1:2" ht="14.5" x14ac:dyDescent="0.35">
      <c r="A753" s="8" t="s">
        <v>1783</v>
      </c>
      <c r="B753" s="8" t="s">
        <v>59178</v>
      </c>
    </row>
    <row r="754" spans="1:2" ht="14.5" x14ac:dyDescent="0.35">
      <c r="A754" s="8" t="s">
        <v>1783</v>
      </c>
      <c r="B754" s="8" t="s">
        <v>59066</v>
      </c>
    </row>
    <row r="755" spans="1:2" ht="14.5" x14ac:dyDescent="0.35">
      <c r="A755" s="8" t="s">
        <v>1783</v>
      </c>
      <c r="B755" s="8" t="s">
        <v>59002</v>
      </c>
    </row>
    <row r="756" spans="1:2" ht="14.5" x14ac:dyDescent="0.35">
      <c r="A756" s="8" t="s">
        <v>1783</v>
      </c>
      <c r="B756" s="8" t="s">
        <v>59063</v>
      </c>
    </row>
    <row r="757" spans="1:2" ht="14.5" x14ac:dyDescent="0.35">
      <c r="A757" s="8" t="s">
        <v>1783</v>
      </c>
      <c r="B757" s="8" t="s">
        <v>59056</v>
      </c>
    </row>
    <row r="758" spans="1:2" ht="14.5" x14ac:dyDescent="0.35">
      <c r="A758" s="8" t="s">
        <v>1783</v>
      </c>
      <c r="B758" s="8" t="s">
        <v>59014</v>
      </c>
    </row>
    <row r="759" spans="1:2" ht="14.5" x14ac:dyDescent="0.35">
      <c r="A759" s="8" t="s">
        <v>1783</v>
      </c>
      <c r="B759" s="8" t="s">
        <v>59166</v>
      </c>
    </row>
    <row r="760" spans="1:2" ht="14.5" x14ac:dyDescent="0.35">
      <c r="A760" s="8" t="s">
        <v>1783</v>
      </c>
      <c r="B760" s="8" t="s">
        <v>58941</v>
      </c>
    </row>
    <row r="761" spans="1:2" ht="14.5" x14ac:dyDescent="0.35">
      <c r="A761" s="8" t="s">
        <v>1783</v>
      </c>
      <c r="B761" s="8" t="s">
        <v>59183</v>
      </c>
    </row>
    <row r="762" spans="1:2" ht="14.5" x14ac:dyDescent="0.35">
      <c r="A762" s="8" t="s">
        <v>1783</v>
      </c>
      <c r="B762" s="8" t="s">
        <v>58954</v>
      </c>
    </row>
    <row r="763" spans="1:2" ht="14.5" x14ac:dyDescent="0.35">
      <c r="A763" s="8" t="s">
        <v>1783</v>
      </c>
      <c r="B763" s="8" t="s">
        <v>59027</v>
      </c>
    </row>
    <row r="764" spans="1:2" ht="14.5" x14ac:dyDescent="0.35">
      <c r="A764" s="8" t="s">
        <v>1783</v>
      </c>
      <c r="B764" s="8" t="s">
        <v>58976</v>
      </c>
    </row>
    <row r="765" spans="1:2" ht="14.5" x14ac:dyDescent="0.35">
      <c r="A765" s="8" t="s">
        <v>1783</v>
      </c>
      <c r="B765" s="8" t="s">
        <v>58975</v>
      </c>
    </row>
    <row r="766" spans="1:2" ht="14.5" x14ac:dyDescent="0.35">
      <c r="A766" s="8" t="s">
        <v>1783</v>
      </c>
      <c r="B766" s="8" t="s">
        <v>58963</v>
      </c>
    </row>
    <row r="767" spans="1:2" ht="14.5" x14ac:dyDescent="0.35">
      <c r="A767" s="8" t="s">
        <v>1783</v>
      </c>
      <c r="B767" s="8" t="s">
        <v>58973</v>
      </c>
    </row>
    <row r="768" spans="1:2" ht="14.5" x14ac:dyDescent="0.35">
      <c r="A768" s="8" t="s">
        <v>1783</v>
      </c>
      <c r="B768" s="8" t="s">
        <v>58951</v>
      </c>
    </row>
    <row r="769" spans="1:2" ht="14.5" x14ac:dyDescent="0.35">
      <c r="A769" s="8" t="s">
        <v>1783</v>
      </c>
      <c r="B769" s="8" t="s">
        <v>59035</v>
      </c>
    </row>
    <row r="770" spans="1:2" ht="14.5" x14ac:dyDescent="0.35">
      <c r="A770" s="8" t="s">
        <v>1783</v>
      </c>
      <c r="B770" s="8" t="s">
        <v>59159</v>
      </c>
    </row>
    <row r="771" spans="1:2" ht="14.5" x14ac:dyDescent="0.35">
      <c r="A771" s="8" t="s">
        <v>1783</v>
      </c>
      <c r="B771" s="8" t="s">
        <v>59157</v>
      </c>
    </row>
    <row r="772" spans="1:2" ht="14.5" x14ac:dyDescent="0.35">
      <c r="A772" s="8" t="s">
        <v>1783</v>
      </c>
      <c r="B772" s="8" t="s">
        <v>59156</v>
      </c>
    </row>
    <row r="773" spans="1:2" ht="14.5" x14ac:dyDescent="0.35">
      <c r="A773" s="8" t="s">
        <v>1783</v>
      </c>
      <c r="B773" s="8" t="s">
        <v>59050</v>
      </c>
    </row>
    <row r="774" spans="1:2" ht="14.5" x14ac:dyDescent="0.35">
      <c r="A774" s="8" t="s">
        <v>1783</v>
      </c>
      <c r="B774" s="8" t="s">
        <v>58950</v>
      </c>
    </row>
    <row r="775" spans="1:2" ht="14.5" x14ac:dyDescent="0.35">
      <c r="A775" s="8" t="s">
        <v>1783</v>
      </c>
      <c r="B775" s="8" t="s">
        <v>59072</v>
      </c>
    </row>
    <row r="776" spans="1:2" ht="14.5" x14ac:dyDescent="0.35">
      <c r="A776" s="8" t="s">
        <v>1783</v>
      </c>
      <c r="B776" s="8" t="s">
        <v>59064</v>
      </c>
    </row>
    <row r="777" spans="1:2" ht="14.5" x14ac:dyDescent="0.35">
      <c r="A777" s="8" t="s">
        <v>1783</v>
      </c>
      <c r="B777" s="8" t="s">
        <v>59078</v>
      </c>
    </row>
    <row r="778" spans="1:2" ht="14.5" x14ac:dyDescent="0.35">
      <c r="A778" s="8" t="s">
        <v>1783</v>
      </c>
      <c r="B778" s="8" t="s">
        <v>59167</v>
      </c>
    </row>
    <row r="779" spans="1:2" ht="14.5" x14ac:dyDescent="0.35">
      <c r="A779" s="8" t="s">
        <v>1783</v>
      </c>
      <c r="B779" s="8" t="s">
        <v>58966</v>
      </c>
    </row>
    <row r="780" spans="1:2" ht="14.5" x14ac:dyDescent="0.35">
      <c r="A780" s="8" t="s">
        <v>1783</v>
      </c>
      <c r="B780" s="8" t="s">
        <v>58964</v>
      </c>
    </row>
    <row r="781" spans="1:2" ht="14.5" x14ac:dyDescent="0.35">
      <c r="A781" s="8" t="s">
        <v>1783</v>
      </c>
      <c r="B781" s="8" t="s">
        <v>59071</v>
      </c>
    </row>
    <row r="782" spans="1:2" ht="14.5" x14ac:dyDescent="0.35">
      <c r="A782" s="8" t="s">
        <v>1783</v>
      </c>
      <c r="B782" s="8" t="s">
        <v>59061</v>
      </c>
    </row>
    <row r="783" spans="1:2" ht="14.5" x14ac:dyDescent="0.35">
      <c r="A783" s="8" t="s">
        <v>1783</v>
      </c>
      <c r="B783" s="8" t="s">
        <v>59017</v>
      </c>
    </row>
    <row r="784" spans="1:2" ht="14.5" x14ac:dyDescent="0.35">
      <c r="A784" s="8" t="s">
        <v>1783</v>
      </c>
      <c r="B784" s="8" t="s">
        <v>58943</v>
      </c>
    </row>
    <row r="785" spans="1:2" ht="14.5" x14ac:dyDescent="0.35">
      <c r="A785" s="8" t="s">
        <v>1783</v>
      </c>
      <c r="B785" s="8" t="s">
        <v>59181</v>
      </c>
    </row>
    <row r="786" spans="1:2" ht="14.5" x14ac:dyDescent="0.35">
      <c r="A786" s="8" t="s">
        <v>1783</v>
      </c>
      <c r="B786" s="8" t="s">
        <v>59161</v>
      </c>
    </row>
    <row r="787" spans="1:2" ht="14.5" x14ac:dyDescent="0.35">
      <c r="A787" s="8" t="s">
        <v>1783</v>
      </c>
      <c r="B787" s="8" t="s">
        <v>59054</v>
      </c>
    </row>
    <row r="788" spans="1:2" ht="14.5" x14ac:dyDescent="0.35">
      <c r="A788" s="8" t="s">
        <v>1783</v>
      </c>
      <c r="B788" s="8" t="s">
        <v>59085</v>
      </c>
    </row>
    <row r="789" spans="1:2" ht="14.5" x14ac:dyDescent="0.35">
      <c r="A789" s="8" t="s">
        <v>1783</v>
      </c>
      <c r="B789" s="8" t="s">
        <v>58956</v>
      </c>
    </row>
    <row r="790" spans="1:2" ht="14.5" x14ac:dyDescent="0.35">
      <c r="A790" s="8" t="s">
        <v>1783</v>
      </c>
      <c r="B790" s="8" t="s">
        <v>59051</v>
      </c>
    </row>
    <row r="791" spans="1:2" ht="14.5" x14ac:dyDescent="0.35">
      <c r="A791" s="8" t="s">
        <v>1783</v>
      </c>
      <c r="B791" s="8" t="s">
        <v>59082</v>
      </c>
    </row>
    <row r="792" spans="1:2" ht="14.5" x14ac:dyDescent="0.35">
      <c r="A792" s="8" t="s">
        <v>1783</v>
      </c>
      <c r="B792" s="8" t="s">
        <v>58977</v>
      </c>
    </row>
    <row r="793" spans="1:2" ht="14.5" x14ac:dyDescent="0.35">
      <c r="A793" s="8" t="s">
        <v>1783</v>
      </c>
      <c r="B793" s="8" t="s">
        <v>59074</v>
      </c>
    </row>
    <row r="794" spans="1:2" ht="14.5" x14ac:dyDescent="0.35">
      <c r="A794" s="8" t="s">
        <v>1783</v>
      </c>
      <c r="B794" s="8" t="s">
        <v>58949</v>
      </c>
    </row>
    <row r="795" spans="1:2" ht="14.5" x14ac:dyDescent="0.35">
      <c r="A795" s="8" t="s">
        <v>54220</v>
      </c>
      <c r="B795" s="8" t="s">
        <v>59444</v>
      </c>
    </row>
    <row r="796" spans="1:2" ht="14.5" x14ac:dyDescent="0.35">
      <c r="A796" s="8" t="s">
        <v>54220</v>
      </c>
      <c r="B796" s="8" t="s">
        <v>54221</v>
      </c>
    </row>
    <row r="797" spans="1:2" ht="14.5" x14ac:dyDescent="0.35">
      <c r="A797" s="8" t="s">
        <v>54220</v>
      </c>
      <c r="B797" s="8" t="s">
        <v>59445</v>
      </c>
    </row>
    <row r="798" spans="1:2" ht="14.5" x14ac:dyDescent="0.35">
      <c r="A798" s="8" t="s">
        <v>54220</v>
      </c>
      <c r="B798" s="8" t="s">
        <v>54223</v>
      </c>
    </row>
    <row r="799" spans="1:2" ht="14.5" x14ac:dyDescent="0.35">
      <c r="A799" s="8" t="s">
        <v>54220</v>
      </c>
      <c r="B799" s="8" t="s">
        <v>54222</v>
      </c>
    </row>
    <row r="800" spans="1:2" ht="14.5" x14ac:dyDescent="0.35">
      <c r="A800" s="8" t="s">
        <v>54220</v>
      </c>
      <c r="B800" s="8" t="s">
        <v>54224</v>
      </c>
    </row>
    <row r="801" spans="1:2" ht="14.5" x14ac:dyDescent="0.35">
      <c r="A801" s="8" t="s">
        <v>54220</v>
      </c>
      <c r="B801" s="8" t="s">
        <v>59443</v>
      </c>
    </row>
    <row r="802" spans="1:2" ht="14.5" x14ac:dyDescent="0.35">
      <c r="A802" s="8" t="s">
        <v>54220</v>
      </c>
      <c r="B802" s="8" t="s">
        <v>59442</v>
      </c>
    </row>
    <row r="803" spans="1:2" ht="14.5" x14ac:dyDescent="0.35">
      <c r="A803" s="8" t="s">
        <v>58533</v>
      </c>
      <c r="B803" s="8" t="s">
        <v>58534</v>
      </c>
    </row>
    <row r="804" spans="1:2" ht="14.5" x14ac:dyDescent="0.35">
      <c r="A804" s="8" t="s">
        <v>54225</v>
      </c>
      <c r="B804" s="8" t="s">
        <v>54226</v>
      </c>
    </row>
    <row r="805" spans="1:2" ht="14.5" x14ac:dyDescent="0.35">
      <c r="A805" s="8" t="s">
        <v>54225</v>
      </c>
      <c r="B805" s="8" t="s">
        <v>54227</v>
      </c>
    </row>
    <row r="806" spans="1:2" ht="14.5" x14ac:dyDescent="0.35">
      <c r="A806" s="8" t="s">
        <v>54225</v>
      </c>
      <c r="B806" s="8" t="s">
        <v>54228</v>
      </c>
    </row>
    <row r="807" spans="1:2" ht="14.5" x14ac:dyDescent="0.35">
      <c r="A807" s="8" t="s">
        <v>54225</v>
      </c>
      <c r="B807" s="8" t="s">
        <v>54229</v>
      </c>
    </row>
    <row r="808" spans="1:2" ht="14.5" x14ac:dyDescent="0.35">
      <c r="A808" s="8" t="s">
        <v>54225</v>
      </c>
      <c r="B808" s="8" t="s">
        <v>54230</v>
      </c>
    </row>
    <row r="809" spans="1:2" ht="14.5" x14ac:dyDescent="0.35">
      <c r="A809" s="8" t="s">
        <v>54225</v>
      </c>
      <c r="B809" s="8" t="s">
        <v>54231</v>
      </c>
    </row>
    <row r="810" spans="1:2" ht="14.5" x14ac:dyDescent="0.35">
      <c r="A810" s="8" t="s">
        <v>58535</v>
      </c>
      <c r="B810" s="8" t="s">
        <v>58536</v>
      </c>
    </row>
    <row r="811" spans="1:2" ht="14.5" x14ac:dyDescent="0.35">
      <c r="A811" s="8" t="s">
        <v>54232</v>
      </c>
      <c r="B811" s="8" t="s">
        <v>58698</v>
      </c>
    </row>
    <row r="812" spans="1:2" ht="14.5" x14ac:dyDescent="0.35">
      <c r="A812" s="8" t="s">
        <v>54232</v>
      </c>
      <c r="B812" s="8" t="s">
        <v>54240</v>
      </c>
    </row>
    <row r="813" spans="1:2" ht="14.5" x14ac:dyDescent="0.35">
      <c r="A813" s="8" t="s">
        <v>54232</v>
      </c>
      <c r="B813" s="8" t="s">
        <v>54241</v>
      </c>
    </row>
    <row r="814" spans="1:2" ht="14.5" x14ac:dyDescent="0.35">
      <c r="A814" s="8" t="s">
        <v>54232</v>
      </c>
      <c r="B814" s="8" t="s">
        <v>54238</v>
      </c>
    </row>
    <row r="815" spans="1:2" ht="14.5" x14ac:dyDescent="0.35">
      <c r="A815" s="8" t="s">
        <v>54232</v>
      </c>
      <c r="B815" s="8" t="s">
        <v>54233</v>
      </c>
    </row>
    <row r="816" spans="1:2" ht="14.5" x14ac:dyDescent="0.35">
      <c r="A816" s="8" t="s">
        <v>54232</v>
      </c>
      <c r="B816" s="8" t="s">
        <v>54242</v>
      </c>
    </row>
    <row r="817" spans="1:2" ht="14.5" x14ac:dyDescent="0.35">
      <c r="A817" s="8" t="s">
        <v>54232</v>
      </c>
      <c r="B817" s="8" t="s">
        <v>54243</v>
      </c>
    </row>
    <row r="818" spans="1:2" ht="14.5" x14ac:dyDescent="0.35">
      <c r="A818" s="8" t="s">
        <v>54232</v>
      </c>
      <c r="B818" s="8" t="s">
        <v>58702</v>
      </c>
    </row>
    <row r="819" spans="1:2" ht="14.5" x14ac:dyDescent="0.35">
      <c r="A819" s="8" t="s">
        <v>54232</v>
      </c>
      <c r="B819" s="8" t="s">
        <v>58703</v>
      </c>
    </row>
    <row r="820" spans="1:2" ht="14.5" x14ac:dyDescent="0.35">
      <c r="A820" s="8" t="s">
        <v>54232</v>
      </c>
      <c r="B820" s="8" t="s">
        <v>54244</v>
      </c>
    </row>
    <row r="821" spans="1:2" ht="14.5" x14ac:dyDescent="0.35">
      <c r="A821" s="8" t="s">
        <v>54232</v>
      </c>
      <c r="B821" s="8" t="s">
        <v>54245</v>
      </c>
    </row>
    <row r="822" spans="1:2" ht="14.5" x14ac:dyDescent="0.35">
      <c r="A822" s="8" t="s">
        <v>54232</v>
      </c>
      <c r="B822" s="8" t="s">
        <v>58705</v>
      </c>
    </row>
    <row r="823" spans="1:2" ht="14.5" x14ac:dyDescent="0.35">
      <c r="A823" s="8" t="s">
        <v>54232</v>
      </c>
      <c r="B823" s="8" t="s">
        <v>54246</v>
      </c>
    </row>
    <row r="824" spans="1:2" ht="14.5" x14ac:dyDescent="0.35">
      <c r="A824" s="8" t="s">
        <v>54232</v>
      </c>
      <c r="B824" s="8" t="s">
        <v>54234</v>
      </c>
    </row>
    <row r="825" spans="1:2" ht="14.5" x14ac:dyDescent="0.35">
      <c r="A825" s="8" t="s">
        <v>54232</v>
      </c>
      <c r="B825" s="8" t="s">
        <v>54247</v>
      </c>
    </row>
    <row r="826" spans="1:2" ht="14.5" x14ac:dyDescent="0.35">
      <c r="A826" s="8" t="s">
        <v>54232</v>
      </c>
      <c r="B826" s="8" t="s">
        <v>54248</v>
      </c>
    </row>
    <row r="827" spans="1:2" ht="14.5" x14ac:dyDescent="0.35">
      <c r="A827" s="8" t="s">
        <v>54232</v>
      </c>
      <c r="B827" s="8" t="s">
        <v>54235</v>
      </c>
    </row>
    <row r="828" spans="1:2" ht="14.5" x14ac:dyDescent="0.35">
      <c r="A828" s="8" t="s">
        <v>54232</v>
      </c>
      <c r="B828" s="8" t="s">
        <v>58699</v>
      </c>
    </row>
    <row r="829" spans="1:2" ht="14.5" x14ac:dyDescent="0.35">
      <c r="A829" s="8" t="s">
        <v>54232</v>
      </c>
      <c r="B829" s="8" t="s">
        <v>54236</v>
      </c>
    </row>
    <row r="830" spans="1:2" ht="14.5" x14ac:dyDescent="0.35">
      <c r="A830" s="8" t="s">
        <v>54232</v>
      </c>
      <c r="B830" s="8" t="s">
        <v>54249</v>
      </c>
    </row>
    <row r="831" spans="1:2" ht="14.5" x14ac:dyDescent="0.35">
      <c r="A831" s="8" t="s">
        <v>54232</v>
      </c>
      <c r="B831" s="8" t="s">
        <v>58706</v>
      </c>
    </row>
    <row r="832" spans="1:2" ht="14.5" x14ac:dyDescent="0.35">
      <c r="A832" s="8" t="s">
        <v>54232</v>
      </c>
      <c r="B832" s="8" t="s">
        <v>58537</v>
      </c>
    </row>
    <row r="833" spans="1:2" ht="14.5" x14ac:dyDescent="0.35">
      <c r="A833" s="8" t="s">
        <v>54232</v>
      </c>
      <c r="B833" s="8" t="s">
        <v>54239</v>
      </c>
    </row>
    <row r="834" spans="1:2" ht="14.5" x14ac:dyDescent="0.35">
      <c r="A834" s="8" t="s">
        <v>54232</v>
      </c>
      <c r="B834" s="8" t="s">
        <v>58700</v>
      </c>
    </row>
    <row r="835" spans="1:2" ht="14.5" x14ac:dyDescent="0.35">
      <c r="A835" s="8" t="s">
        <v>54232</v>
      </c>
      <c r="B835" s="8" t="s">
        <v>58701</v>
      </c>
    </row>
    <row r="836" spans="1:2" ht="14.5" x14ac:dyDescent="0.35">
      <c r="A836" s="8" t="s">
        <v>54232</v>
      </c>
      <c r="B836" s="8" t="s">
        <v>58704</v>
      </c>
    </row>
    <row r="837" spans="1:2" ht="14.5" x14ac:dyDescent="0.35">
      <c r="A837" s="8" t="s">
        <v>54232</v>
      </c>
      <c r="B837" s="8" t="s">
        <v>58697</v>
      </c>
    </row>
    <row r="838" spans="1:2" ht="14.5" x14ac:dyDescent="0.35">
      <c r="A838" s="8" t="s">
        <v>54232</v>
      </c>
      <c r="B838" s="8" t="s">
        <v>54237</v>
      </c>
    </row>
    <row r="839" spans="1:2" ht="14.5" x14ac:dyDescent="0.35">
      <c r="A839" s="8" t="s">
        <v>54250</v>
      </c>
      <c r="B839" s="8" t="s">
        <v>54251</v>
      </c>
    </row>
    <row r="840" spans="1:2" ht="14.5" x14ac:dyDescent="0.35">
      <c r="A840" s="8" t="s">
        <v>54250</v>
      </c>
      <c r="B840" s="8" t="s">
        <v>54252</v>
      </c>
    </row>
    <row r="841" spans="1:2" ht="14.5" x14ac:dyDescent="0.35">
      <c r="A841" s="8" t="s">
        <v>54250</v>
      </c>
      <c r="B841" s="8" t="s">
        <v>54253</v>
      </c>
    </row>
    <row r="842" spans="1:2" ht="14.5" x14ac:dyDescent="0.35">
      <c r="A842" s="8" t="s">
        <v>54250</v>
      </c>
      <c r="B842" s="8" t="s">
        <v>54254</v>
      </c>
    </row>
    <row r="843" spans="1:2" ht="14.5" x14ac:dyDescent="0.35">
      <c r="A843" s="8" t="s">
        <v>58538</v>
      </c>
      <c r="B843" s="8" t="s">
        <v>58539</v>
      </c>
    </row>
    <row r="844" spans="1:2" ht="14.5" x14ac:dyDescent="0.35">
      <c r="A844" s="8" t="s">
        <v>54255</v>
      </c>
      <c r="B844" s="8" t="s">
        <v>54256</v>
      </c>
    </row>
    <row r="845" spans="1:2" ht="14.5" x14ac:dyDescent="0.35">
      <c r="A845" s="8" t="s">
        <v>54255</v>
      </c>
      <c r="B845" s="8" t="s">
        <v>54257</v>
      </c>
    </row>
    <row r="846" spans="1:2" ht="14.5" x14ac:dyDescent="0.35">
      <c r="A846" s="8" t="s">
        <v>54255</v>
      </c>
      <c r="B846" s="8" t="s">
        <v>54258</v>
      </c>
    </row>
    <row r="847" spans="1:2" ht="14.5" x14ac:dyDescent="0.35">
      <c r="A847" s="8" t="s">
        <v>54255</v>
      </c>
      <c r="B847" s="8" t="s">
        <v>54259</v>
      </c>
    </row>
    <row r="848" spans="1:2" ht="14.5" x14ac:dyDescent="0.35">
      <c r="A848" s="8" t="s">
        <v>54255</v>
      </c>
      <c r="B848" s="8" t="s">
        <v>54260</v>
      </c>
    </row>
    <row r="849" spans="1:2" ht="14.5" x14ac:dyDescent="0.35">
      <c r="A849" s="8" t="s">
        <v>54255</v>
      </c>
      <c r="B849" s="8" t="s">
        <v>54261</v>
      </c>
    </row>
    <row r="850" spans="1:2" ht="14.5" x14ac:dyDescent="0.35">
      <c r="A850" s="8" t="s">
        <v>54255</v>
      </c>
      <c r="B850" s="8" t="s">
        <v>54262</v>
      </c>
    </row>
    <row r="851" spans="1:2" ht="14.5" x14ac:dyDescent="0.35">
      <c r="A851" s="8" t="s">
        <v>54255</v>
      </c>
      <c r="B851" s="8" t="s">
        <v>54263</v>
      </c>
    </row>
    <row r="852" spans="1:2" ht="14.5" x14ac:dyDescent="0.35">
      <c r="A852" s="8" t="s">
        <v>54255</v>
      </c>
      <c r="B852" s="8" t="s">
        <v>54264</v>
      </c>
    </row>
    <row r="853" spans="1:2" ht="14.5" x14ac:dyDescent="0.35">
      <c r="A853" s="8" t="s">
        <v>54255</v>
      </c>
      <c r="B853" s="8" t="s">
        <v>54265</v>
      </c>
    </row>
    <row r="854" spans="1:2" ht="14.5" x14ac:dyDescent="0.35">
      <c r="A854" s="8" t="s">
        <v>54255</v>
      </c>
      <c r="B854" s="8" t="s">
        <v>54266</v>
      </c>
    </row>
    <row r="855" spans="1:2" ht="14.5" x14ac:dyDescent="0.35">
      <c r="A855" s="8" t="s">
        <v>54255</v>
      </c>
      <c r="B855" s="8" t="s">
        <v>54267</v>
      </c>
    </row>
    <row r="856" spans="1:2" ht="14.5" x14ac:dyDescent="0.35">
      <c r="A856" s="8" t="s">
        <v>54255</v>
      </c>
      <c r="B856" s="8" t="s">
        <v>54268</v>
      </c>
    </row>
    <row r="857" spans="1:2" ht="14.5" x14ac:dyDescent="0.35">
      <c r="A857" s="8" t="s">
        <v>54255</v>
      </c>
      <c r="B857" s="8" t="s">
        <v>54269</v>
      </c>
    </row>
    <row r="858" spans="1:2" ht="14.5" x14ac:dyDescent="0.35">
      <c r="A858" s="8" t="s">
        <v>54255</v>
      </c>
      <c r="B858" s="8" t="s">
        <v>54270</v>
      </c>
    </row>
    <row r="859" spans="1:2" ht="14.5" x14ac:dyDescent="0.35">
      <c r="A859" s="8" t="s">
        <v>54255</v>
      </c>
      <c r="B859" s="8" t="s">
        <v>54271</v>
      </c>
    </row>
    <row r="860" spans="1:2" ht="14.5" x14ac:dyDescent="0.35">
      <c r="A860" s="8" t="s">
        <v>54255</v>
      </c>
      <c r="B860" s="8" t="s">
        <v>54272</v>
      </c>
    </row>
    <row r="861" spans="1:2" ht="14.5" x14ac:dyDescent="0.35">
      <c r="A861" s="8" t="s">
        <v>54255</v>
      </c>
      <c r="B861" s="8" t="s">
        <v>54273</v>
      </c>
    </row>
    <row r="862" spans="1:2" ht="14.5" x14ac:dyDescent="0.35">
      <c r="A862" s="8" t="s">
        <v>54255</v>
      </c>
      <c r="B862" s="8" t="s">
        <v>54274</v>
      </c>
    </row>
    <row r="863" spans="1:2" ht="14.5" x14ac:dyDescent="0.35">
      <c r="A863" s="8" t="s">
        <v>54255</v>
      </c>
      <c r="B863" s="8" t="s">
        <v>54275</v>
      </c>
    </row>
    <row r="864" spans="1:2" ht="14.5" x14ac:dyDescent="0.35">
      <c r="A864" s="8" t="s">
        <v>54255</v>
      </c>
      <c r="B864" s="8" t="s">
        <v>54276</v>
      </c>
    </row>
    <row r="865" spans="1:2" ht="14.5" x14ac:dyDescent="0.35">
      <c r="A865" s="8" t="s">
        <v>54255</v>
      </c>
      <c r="B865" s="8" t="s">
        <v>54277</v>
      </c>
    </row>
    <row r="866" spans="1:2" ht="14.5" x14ac:dyDescent="0.35">
      <c r="A866" s="8" t="s">
        <v>58540</v>
      </c>
      <c r="B866" s="8" t="s">
        <v>58541</v>
      </c>
    </row>
    <row r="867" spans="1:2" ht="14.5" x14ac:dyDescent="0.35">
      <c r="A867" s="8" t="s">
        <v>54278</v>
      </c>
      <c r="B867" s="8" t="s">
        <v>54279</v>
      </c>
    </row>
    <row r="868" spans="1:2" ht="14.5" x14ac:dyDescent="0.35">
      <c r="A868" s="8" t="s">
        <v>54278</v>
      </c>
      <c r="B868" s="8" t="s">
        <v>54284</v>
      </c>
    </row>
    <row r="869" spans="1:2" ht="14.5" x14ac:dyDescent="0.35">
      <c r="A869" s="8" t="s">
        <v>54278</v>
      </c>
      <c r="B869" s="8" t="s">
        <v>54288</v>
      </c>
    </row>
    <row r="870" spans="1:2" ht="14.5" x14ac:dyDescent="0.35">
      <c r="A870" s="8" t="s">
        <v>54278</v>
      </c>
      <c r="B870" s="8" t="s">
        <v>54280</v>
      </c>
    </row>
    <row r="871" spans="1:2" ht="14.5" x14ac:dyDescent="0.35">
      <c r="A871" s="8" t="s">
        <v>54278</v>
      </c>
      <c r="B871" s="8" t="s">
        <v>54285</v>
      </c>
    </row>
    <row r="872" spans="1:2" ht="14.5" x14ac:dyDescent="0.35">
      <c r="A872" s="8" t="s">
        <v>54278</v>
      </c>
      <c r="B872" s="8" t="s">
        <v>54289</v>
      </c>
    </row>
    <row r="873" spans="1:2" ht="14.5" x14ac:dyDescent="0.35">
      <c r="A873" s="8" t="s">
        <v>54278</v>
      </c>
      <c r="B873" s="8" t="s">
        <v>54290</v>
      </c>
    </row>
    <row r="874" spans="1:2" ht="14.5" x14ac:dyDescent="0.35">
      <c r="A874" s="8" t="s">
        <v>54278</v>
      </c>
      <c r="B874" s="8" t="s">
        <v>54286</v>
      </c>
    </row>
    <row r="875" spans="1:2" ht="14.5" x14ac:dyDescent="0.35">
      <c r="A875" s="8" t="s">
        <v>54278</v>
      </c>
      <c r="B875" s="8" t="s">
        <v>54287</v>
      </c>
    </row>
    <row r="876" spans="1:2" ht="14.5" x14ac:dyDescent="0.35">
      <c r="A876" s="8" t="s">
        <v>54278</v>
      </c>
      <c r="B876" s="8" t="s">
        <v>54281</v>
      </c>
    </row>
    <row r="877" spans="1:2" ht="14.5" x14ac:dyDescent="0.35">
      <c r="A877" s="8" t="s">
        <v>54278</v>
      </c>
      <c r="B877" s="8" t="s">
        <v>54282</v>
      </c>
    </row>
    <row r="878" spans="1:2" ht="14.5" x14ac:dyDescent="0.35">
      <c r="A878" s="8" t="s">
        <v>54278</v>
      </c>
      <c r="B878" s="8" t="s">
        <v>54283</v>
      </c>
    </row>
    <row r="879" spans="1:2" ht="14.5" x14ac:dyDescent="0.35">
      <c r="A879" s="8" t="s">
        <v>58542</v>
      </c>
      <c r="B879" s="8" t="s">
        <v>58543</v>
      </c>
    </row>
    <row r="880" spans="1:2" ht="14.5" x14ac:dyDescent="0.35">
      <c r="A880" s="8" t="s">
        <v>54291</v>
      </c>
      <c r="B880" s="8" t="s">
        <v>54292</v>
      </c>
    </row>
    <row r="881" spans="1:2" ht="14.5" x14ac:dyDescent="0.35">
      <c r="A881" s="8" t="s">
        <v>54291</v>
      </c>
      <c r="B881" s="8" t="s">
        <v>54293</v>
      </c>
    </row>
    <row r="882" spans="1:2" ht="14.5" x14ac:dyDescent="0.35">
      <c r="A882" s="8" t="s">
        <v>54291</v>
      </c>
      <c r="B882" s="8" t="s">
        <v>54294</v>
      </c>
    </row>
    <row r="883" spans="1:2" ht="14.5" x14ac:dyDescent="0.35">
      <c r="A883" s="8" t="s">
        <v>54291</v>
      </c>
      <c r="B883" s="8" t="s">
        <v>54295</v>
      </c>
    </row>
    <row r="884" spans="1:2" ht="14.5" x14ac:dyDescent="0.35">
      <c r="A884" s="8" t="s">
        <v>54291</v>
      </c>
      <c r="B884" s="8" t="s">
        <v>54296</v>
      </c>
    </row>
    <row r="885" spans="1:2" ht="14.5" x14ac:dyDescent="0.35">
      <c r="A885" s="8" t="s">
        <v>54291</v>
      </c>
      <c r="B885" s="8" t="s">
        <v>54297</v>
      </c>
    </row>
    <row r="886" spans="1:2" ht="14.5" x14ac:dyDescent="0.35">
      <c r="A886" s="8" t="s">
        <v>54291</v>
      </c>
      <c r="B886" s="8" t="s">
        <v>54298</v>
      </c>
    </row>
    <row r="887" spans="1:2" ht="14.5" x14ac:dyDescent="0.35">
      <c r="A887" s="8" t="s">
        <v>54291</v>
      </c>
      <c r="B887" s="8" t="s">
        <v>54299</v>
      </c>
    </row>
    <row r="888" spans="1:2" ht="14.5" x14ac:dyDescent="0.35">
      <c r="A888" s="8" t="s">
        <v>54291</v>
      </c>
      <c r="B888" s="8" t="s">
        <v>54302</v>
      </c>
    </row>
    <row r="889" spans="1:2" ht="14.5" x14ac:dyDescent="0.35">
      <c r="A889" s="8" t="s">
        <v>54291</v>
      </c>
      <c r="B889" s="8" t="s">
        <v>54303</v>
      </c>
    </row>
    <row r="890" spans="1:2" ht="14.5" x14ac:dyDescent="0.35">
      <c r="A890" s="8" t="s">
        <v>54291</v>
      </c>
      <c r="B890" s="8" t="s">
        <v>54304</v>
      </c>
    </row>
    <row r="891" spans="1:2" ht="14.5" x14ac:dyDescent="0.35">
      <c r="A891" s="8" t="s">
        <v>54291</v>
      </c>
      <c r="B891" s="8" t="s">
        <v>54305</v>
      </c>
    </row>
    <row r="892" spans="1:2" ht="14.5" x14ac:dyDescent="0.35">
      <c r="A892" s="8" t="s">
        <v>54291</v>
      </c>
      <c r="B892" s="8" t="s">
        <v>54300</v>
      </c>
    </row>
    <row r="893" spans="1:2" ht="14.5" x14ac:dyDescent="0.35">
      <c r="A893" s="8" t="s">
        <v>69</v>
      </c>
      <c r="B893" s="8" t="s">
        <v>58544</v>
      </c>
    </row>
    <row r="894" spans="1:2" ht="14.5" x14ac:dyDescent="0.35">
      <c r="A894" s="8" t="s">
        <v>58545</v>
      </c>
      <c r="B894" s="8" t="s">
        <v>58546</v>
      </c>
    </row>
    <row r="895" spans="1:2" ht="14.5" x14ac:dyDescent="0.35">
      <c r="A895" s="8" t="s">
        <v>54306</v>
      </c>
      <c r="B895" s="8" t="s">
        <v>58826</v>
      </c>
    </row>
    <row r="896" spans="1:2" ht="14.5" x14ac:dyDescent="0.35">
      <c r="A896" s="8" t="s">
        <v>54306</v>
      </c>
      <c r="B896" s="8" t="s">
        <v>58818</v>
      </c>
    </row>
    <row r="897" spans="1:2" ht="14.5" x14ac:dyDescent="0.35">
      <c r="A897" s="8" t="s">
        <v>54306</v>
      </c>
      <c r="B897" s="8" t="s">
        <v>58816</v>
      </c>
    </row>
    <row r="898" spans="1:2" ht="14.5" x14ac:dyDescent="0.35">
      <c r="A898" s="8" t="s">
        <v>54306</v>
      </c>
      <c r="B898" s="8" t="s">
        <v>55210</v>
      </c>
    </row>
    <row r="899" spans="1:2" ht="14.5" x14ac:dyDescent="0.35">
      <c r="A899" s="8" t="s">
        <v>54306</v>
      </c>
      <c r="B899" s="8" t="s">
        <v>58819</v>
      </c>
    </row>
    <row r="900" spans="1:2" ht="14.5" x14ac:dyDescent="0.35">
      <c r="A900" s="8" t="s">
        <v>54306</v>
      </c>
      <c r="B900" s="8" t="s">
        <v>58822</v>
      </c>
    </row>
    <row r="901" spans="1:2" ht="14.5" x14ac:dyDescent="0.35">
      <c r="A901" s="8" t="s">
        <v>54306</v>
      </c>
      <c r="B901" s="8" t="s">
        <v>54307</v>
      </c>
    </row>
    <row r="902" spans="1:2" ht="14.5" x14ac:dyDescent="0.35">
      <c r="A902" s="8" t="s">
        <v>54306</v>
      </c>
      <c r="B902" s="8" t="s">
        <v>54308</v>
      </c>
    </row>
    <row r="903" spans="1:2" ht="14.5" x14ac:dyDescent="0.35">
      <c r="A903" s="8" t="s">
        <v>54306</v>
      </c>
      <c r="B903" s="8" t="s">
        <v>58823</v>
      </c>
    </row>
    <row r="904" spans="1:2" ht="14.5" x14ac:dyDescent="0.35">
      <c r="A904" s="8" t="s">
        <v>54306</v>
      </c>
      <c r="B904" s="8" t="s">
        <v>58825</v>
      </c>
    </row>
    <row r="905" spans="1:2" ht="14.5" x14ac:dyDescent="0.35">
      <c r="A905" s="8" t="s">
        <v>54306</v>
      </c>
      <c r="B905" s="8" t="s">
        <v>58829</v>
      </c>
    </row>
    <row r="906" spans="1:2" ht="14.5" x14ac:dyDescent="0.35">
      <c r="A906" s="8" t="s">
        <v>54306</v>
      </c>
      <c r="B906" s="8" t="s">
        <v>54309</v>
      </c>
    </row>
    <row r="907" spans="1:2" ht="14.5" x14ac:dyDescent="0.35">
      <c r="A907" s="8" t="s">
        <v>54306</v>
      </c>
      <c r="B907" s="8" t="s">
        <v>389</v>
      </c>
    </row>
    <row r="908" spans="1:2" ht="14.5" x14ac:dyDescent="0.35">
      <c r="A908" s="8" t="s">
        <v>54306</v>
      </c>
      <c r="B908" s="8" t="s">
        <v>58827</v>
      </c>
    </row>
    <row r="909" spans="1:2" ht="14.5" x14ac:dyDescent="0.35">
      <c r="A909" s="8" t="s">
        <v>54306</v>
      </c>
      <c r="B909" s="8" t="s">
        <v>54310</v>
      </c>
    </row>
    <row r="910" spans="1:2" ht="14.5" x14ac:dyDescent="0.35">
      <c r="A910" s="8" t="s">
        <v>54306</v>
      </c>
      <c r="B910" s="8" t="s">
        <v>58820</v>
      </c>
    </row>
    <row r="911" spans="1:2" ht="14.5" x14ac:dyDescent="0.35">
      <c r="A911" s="8" t="s">
        <v>54306</v>
      </c>
      <c r="B911" s="8" t="s">
        <v>54311</v>
      </c>
    </row>
    <row r="912" spans="1:2" ht="14.5" x14ac:dyDescent="0.35">
      <c r="A912" s="8" t="s">
        <v>54306</v>
      </c>
      <c r="B912" s="8" t="s">
        <v>58830</v>
      </c>
    </row>
    <row r="913" spans="1:2" ht="14.5" x14ac:dyDescent="0.35">
      <c r="A913" s="8" t="s">
        <v>54306</v>
      </c>
      <c r="B913" s="8" t="s">
        <v>58828</v>
      </c>
    </row>
    <row r="914" spans="1:2" ht="14.5" x14ac:dyDescent="0.35">
      <c r="A914" s="8" t="s">
        <v>54306</v>
      </c>
      <c r="B914" s="8" t="s">
        <v>58831</v>
      </c>
    </row>
    <row r="915" spans="1:2" ht="14.5" x14ac:dyDescent="0.35">
      <c r="A915" s="8" t="s">
        <v>54306</v>
      </c>
      <c r="B915" s="8" t="s">
        <v>54312</v>
      </c>
    </row>
    <row r="916" spans="1:2" ht="14.5" x14ac:dyDescent="0.35">
      <c r="A916" s="8" t="s">
        <v>54306</v>
      </c>
      <c r="B916" s="8" t="s">
        <v>58832</v>
      </c>
    </row>
    <row r="917" spans="1:2" ht="14.5" x14ac:dyDescent="0.35">
      <c r="A917" s="8" t="s">
        <v>54306</v>
      </c>
      <c r="B917" s="8" t="s">
        <v>54313</v>
      </c>
    </row>
    <row r="918" spans="1:2" ht="14.5" x14ac:dyDescent="0.35">
      <c r="A918" s="8" t="s">
        <v>54306</v>
      </c>
      <c r="B918" s="8" t="s">
        <v>58817</v>
      </c>
    </row>
    <row r="919" spans="1:2" ht="14.5" x14ac:dyDescent="0.35">
      <c r="A919" s="8" t="s">
        <v>54306</v>
      </c>
      <c r="B919" s="8" t="s">
        <v>58824</v>
      </c>
    </row>
    <row r="920" spans="1:2" ht="14.5" x14ac:dyDescent="0.35">
      <c r="A920" s="8" t="s">
        <v>54306</v>
      </c>
      <c r="B920" s="8" t="s">
        <v>54314</v>
      </c>
    </row>
    <row r="921" spans="1:2" ht="14.5" x14ac:dyDescent="0.35">
      <c r="A921" s="8" t="s">
        <v>54306</v>
      </c>
      <c r="B921" s="8" t="s">
        <v>58821</v>
      </c>
    </row>
    <row r="922" spans="1:2" ht="14.5" x14ac:dyDescent="0.35">
      <c r="A922" s="8" t="s">
        <v>58547</v>
      </c>
      <c r="B922" s="8" t="s">
        <v>58548</v>
      </c>
    </row>
    <row r="923" spans="1:2" ht="14.5" x14ac:dyDescent="0.35">
      <c r="A923" s="8" t="s">
        <v>58549</v>
      </c>
      <c r="B923" s="8" t="s">
        <v>58550</v>
      </c>
    </row>
    <row r="924" spans="1:2" ht="14.5" x14ac:dyDescent="0.35">
      <c r="A924" s="8" t="s">
        <v>54315</v>
      </c>
      <c r="B924" s="8" t="s">
        <v>54316</v>
      </c>
    </row>
    <row r="925" spans="1:2" ht="14.5" x14ac:dyDescent="0.35">
      <c r="A925" s="8" t="s">
        <v>54315</v>
      </c>
      <c r="B925" s="8" t="s">
        <v>54321</v>
      </c>
    </row>
    <row r="926" spans="1:2" ht="14.5" x14ac:dyDescent="0.35">
      <c r="A926" s="8" t="s">
        <v>54315</v>
      </c>
      <c r="B926" s="8" t="s">
        <v>54317</v>
      </c>
    </row>
    <row r="927" spans="1:2" ht="14.5" x14ac:dyDescent="0.35">
      <c r="A927" s="8" t="s">
        <v>54315</v>
      </c>
      <c r="B927" s="8" t="s">
        <v>54318</v>
      </c>
    </row>
    <row r="928" spans="1:2" ht="14.5" x14ac:dyDescent="0.35">
      <c r="A928" s="8" t="s">
        <v>54315</v>
      </c>
      <c r="B928" s="8" t="s">
        <v>54319</v>
      </c>
    </row>
    <row r="929" spans="1:2" ht="14.5" x14ac:dyDescent="0.35">
      <c r="A929" s="8" t="s">
        <v>54315</v>
      </c>
      <c r="B929" s="8" t="s">
        <v>54320</v>
      </c>
    </row>
    <row r="930" spans="1:2" ht="14.5" x14ac:dyDescent="0.35">
      <c r="A930" s="8" t="s">
        <v>54315</v>
      </c>
      <c r="B930" s="8" t="s">
        <v>54322</v>
      </c>
    </row>
    <row r="931" spans="1:2" ht="14.5" x14ac:dyDescent="0.35">
      <c r="A931" s="8" t="s">
        <v>54315</v>
      </c>
      <c r="B931" s="8" t="s">
        <v>54323</v>
      </c>
    </row>
    <row r="932" spans="1:2" ht="14.5" x14ac:dyDescent="0.35">
      <c r="A932" s="8" t="s">
        <v>54315</v>
      </c>
      <c r="B932" s="8" t="s">
        <v>54324</v>
      </c>
    </row>
    <row r="933" spans="1:2" ht="14.5" x14ac:dyDescent="0.35">
      <c r="A933" s="8" t="s">
        <v>58551</v>
      </c>
      <c r="B933" s="8" t="s">
        <v>58552</v>
      </c>
    </row>
    <row r="934" spans="1:2" ht="14.5" x14ac:dyDescent="0.35">
      <c r="A934" s="8" t="s">
        <v>58553</v>
      </c>
      <c r="B934" s="8" t="s">
        <v>58554</v>
      </c>
    </row>
    <row r="935" spans="1:2" ht="14.5" x14ac:dyDescent="0.35">
      <c r="A935" s="8" t="s">
        <v>58555</v>
      </c>
      <c r="B935" s="8" t="s">
        <v>58556</v>
      </c>
    </row>
    <row r="936" spans="1:2" ht="14.5" x14ac:dyDescent="0.35">
      <c r="A936" s="8" t="s">
        <v>54325</v>
      </c>
      <c r="B936" s="8" t="s">
        <v>54326</v>
      </c>
    </row>
    <row r="937" spans="1:2" ht="14.5" x14ac:dyDescent="0.35">
      <c r="A937" s="8" t="s">
        <v>54325</v>
      </c>
      <c r="B937" s="8" t="s">
        <v>54327</v>
      </c>
    </row>
    <row r="938" spans="1:2" ht="14.5" x14ac:dyDescent="0.35">
      <c r="A938" s="8" t="s">
        <v>54325</v>
      </c>
      <c r="B938" s="8" t="s">
        <v>54328</v>
      </c>
    </row>
    <row r="939" spans="1:2" ht="14.5" x14ac:dyDescent="0.35">
      <c r="A939" s="8" t="s">
        <v>54325</v>
      </c>
      <c r="B939" s="8" t="s">
        <v>54329</v>
      </c>
    </row>
    <row r="940" spans="1:2" ht="14.5" x14ac:dyDescent="0.35">
      <c r="A940" s="8" t="s">
        <v>54325</v>
      </c>
      <c r="B940" s="8" t="s">
        <v>54330</v>
      </c>
    </row>
    <row r="941" spans="1:2" ht="14.5" x14ac:dyDescent="0.35">
      <c r="A941" s="8" t="s">
        <v>54325</v>
      </c>
      <c r="B941" s="8" t="s">
        <v>58557</v>
      </c>
    </row>
    <row r="942" spans="1:2" ht="14.5" x14ac:dyDescent="0.35">
      <c r="A942" s="8" t="s">
        <v>54325</v>
      </c>
      <c r="B942" s="8" t="s">
        <v>54331</v>
      </c>
    </row>
    <row r="943" spans="1:2" ht="14.5" x14ac:dyDescent="0.35">
      <c r="A943" s="8" t="s">
        <v>54332</v>
      </c>
      <c r="B943" s="8" t="s">
        <v>54333</v>
      </c>
    </row>
    <row r="944" spans="1:2" ht="14.5" x14ac:dyDescent="0.35">
      <c r="A944" s="8" t="s">
        <v>54332</v>
      </c>
      <c r="B944" s="8" t="s">
        <v>54334</v>
      </c>
    </row>
    <row r="945" spans="1:2" ht="14.5" x14ac:dyDescent="0.35">
      <c r="A945" s="8" t="s">
        <v>54332</v>
      </c>
      <c r="B945" s="8" t="s">
        <v>54335</v>
      </c>
    </row>
    <row r="946" spans="1:2" ht="14.5" x14ac:dyDescent="0.35">
      <c r="A946" s="8" t="s">
        <v>54332</v>
      </c>
      <c r="B946" s="8" t="s">
        <v>54336</v>
      </c>
    </row>
    <row r="947" spans="1:2" ht="14.5" x14ac:dyDescent="0.35">
      <c r="A947" s="8" t="s">
        <v>54332</v>
      </c>
      <c r="B947" s="8" t="s">
        <v>54337</v>
      </c>
    </row>
    <row r="948" spans="1:2" ht="14.5" x14ac:dyDescent="0.35">
      <c r="A948" s="8" t="s">
        <v>54332</v>
      </c>
      <c r="B948" s="8" t="s">
        <v>54338</v>
      </c>
    </row>
    <row r="949" spans="1:2" ht="14.5" x14ac:dyDescent="0.35">
      <c r="A949" s="8" t="s">
        <v>54339</v>
      </c>
      <c r="B949" s="8" t="s">
        <v>54343</v>
      </c>
    </row>
    <row r="950" spans="1:2" ht="14.5" x14ac:dyDescent="0.35">
      <c r="A950" s="8" t="s">
        <v>54339</v>
      </c>
      <c r="B950" s="8" t="s">
        <v>54344</v>
      </c>
    </row>
    <row r="951" spans="1:2" ht="14.5" x14ac:dyDescent="0.35">
      <c r="A951" s="8" t="s">
        <v>54339</v>
      </c>
      <c r="B951" s="8" t="s">
        <v>54345</v>
      </c>
    </row>
    <row r="952" spans="1:2" ht="14.5" x14ac:dyDescent="0.35">
      <c r="A952" s="8" t="s">
        <v>54339</v>
      </c>
      <c r="B952" s="8" t="s">
        <v>54346</v>
      </c>
    </row>
    <row r="953" spans="1:2" ht="14.5" x14ac:dyDescent="0.35">
      <c r="A953" s="8" t="s">
        <v>54339</v>
      </c>
      <c r="B953" s="8" t="s">
        <v>54347</v>
      </c>
    </row>
    <row r="954" spans="1:2" ht="14.5" x14ac:dyDescent="0.35">
      <c r="A954" s="8" t="s">
        <v>54339</v>
      </c>
      <c r="B954" s="8" t="s">
        <v>54348</v>
      </c>
    </row>
    <row r="955" spans="1:2" ht="14.5" x14ac:dyDescent="0.35">
      <c r="A955" s="8" t="s">
        <v>54339</v>
      </c>
      <c r="B955" s="8" t="s">
        <v>58665</v>
      </c>
    </row>
    <row r="956" spans="1:2" ht="14.5" x14ac:dyDescent="0.35">
      <c r="A956" s="8" t="s">
        <v>54339</v>
      </c>
      <c r="B956" s="8" t="s">
        <v>54349</v>
      </c>
    </row>
    <row r="957" spans="1:2" ht="14.5" x14ac:dyDescent="0.35">
      <c r="A957" s="8" t="s">
        <v>54339</v>
      </c>
      <c r="B957" s="8" t="s">
        <v>54350</v>
      </c>
    </row>
    <row r="958" spans="1:2" ht="14.5" x14ac:dyDescent="0.35">
      <c r="A958" s="8" t="s">
        <v>54339</v>
      </c>
      <c r="B958" s="8" t="s">
        <v>58672</v>
      </c>
    </row>
    <row r="959" spans="1:2" ht="14.5" x14ac:dyDescent="0.35">
      <c r="A959" s="8" t="s">
        <v>54339</v>
      </c>
      <c r="B959" s="8" t="s">
        <v>58685</v>
      </c>
    </row>
    <row r="960" spans="1:2" ht="14.5" x14ac:dyDescent="0.35">
      <c r="A960" s="8" t="s">
        <v>54339</v>
      </c>
      <c r="B960" s="8" t="s">
        <v>54389</v>
      </c>
    </row>
    <row r="961" spans="1:2" ht="14.5" x14ac:dyDescent="0.35">
      <c r="A961" s="8" t="s">
        <v>54339</v>
      </c>
      <c r="B961" s="8" t="s">
        <v>58680</v>
      </c>
    </row>
    <row r="962" spans="1:2" ht="14.5" x14ac:dyDescent="0.35">
      <c r="A962" s="8" t="s">
        <v>54339</v>
      </c>
      <c r="B962" s="8" t="s">
        <v>58668</v>
      </c>
    </row>
    <row r="963" spans="1:2" ht="14.5" x14ac:dyDescent="0.35">
      <c r="A963" s="8" t="s">
        <v>54339</v>
      </c>
      <c r="B963" s="8" t="s">
        <v>56682</v>
      </c>
    </row>
    <row r="964" spans="1:2" ht="14.5" x14ac:dyDescent="0.35">
      <c r="A964" s="8" t="s">
        <v>54339</v>
      </c>
      <c r="B964" s="8" t="s">
        <v>54351</v>
      </c>
    </row>
    <row r="965" spans="1:2" ht="14.5" x14ac:dyDescent="0.35">
      <c r="A965" s="8" t="s">
        <v>54339</v>
      </c>
      <c r="B965" s="8" t="s">
        <v>54352</v>
      </c>
    </row>
    <row r="966" spans="1:2" ht="14.5" x14ac:dyDescent="0.35">
      <c r="A966" s="8" t="s">
        <v>54339</v>
      </c>
      <c r="B966" s="8" t="s">
        <v>58666</v>
      </c>
    </row>
    <row r="967" spans="1:2" ht="14.5" x14ac:dyDescent="0.35">
      <c r="A967" s="8" t="s">
        <v>54339</v>
      </c>
      <c r="B967" s="8" t="s">
        <v>54353</v>
      </c>
    </row>
    <row r="968" spans="1:2" ht="14.5" x14ac:dyDescent="0.35">
      <c r="A968" s="8" t="s">
        <v>54339</v>
      </c>
      <c r="B968" s="8" t="s">
        <v>58660</v>
      </c>
    </row>
    <row r="969" spans="1:2" ht="14.5" x14ac:dyDescent="0.35">
      <c r="A969" s="8" t="s">
        <v>54339</v>
      </c>
      <c r="B969" s="8" t="s">
        <v>54354</v>
      </c>
    </row>
    <row r="970" spans="1:2" ht="14.5" x14ac:dyDescent="0.35">
      <c r="A970" s="8" t="s">
        <v>54339</v>
      </c>
      <c r="B970" s="8" t="s">
        <v>54355</v>
      </c>
    </row>
    <row r="971" spans="1:2" ht="14.5" x14ac:dyDescent="0.35">
      <c r="A971" s="8" t="s">
        <v>54339</v>
      </c>
      <c r="B971" s="8" t="s">
        <v>58661</v>
      </c>
    </row>
    <row r="972" spans="1:2" ht="14.5" x14ac:dyDescent="0.35">
      <c r="A972" s="8" t="s">
        <v>54339</v>
      </c>
      <c r="B972" s="8" t="s">
        <v>58691</v>
      </c>
    </row>
    <row r="973" spans="1:2" ht="14.5" x14ac:dyDescent="0.35">
      <c r="A973" s="8" t="s">
        <v>54339</v>
      </c>
      <c r="B973" s="8" t="s">
        <v>54356</v>
      </c>
    </row>
    <row r="974" spans="1:2" ht="14.5" x14ac:dyDescent="0.35">
      <c r="A974" s="8" t="s">
        <v>54339</v>
      </c>
      <c r="B974" s="8" t="s">
        <v>54357</v>
      </c>
    </row>
    <row r="975" spans="1:2" ht="14.5" x14ac:dyDescent="0.35">
      <c r="A975" s="8" t="s">
        <v>54339</v>
      </c>
      <c r="B975" s="8" t="s">
        <v>54358</v>
      </c>
    </row>
    <row r="976" spans="1:2" ht="14.5" x14ac:dyDescent="0.35">
      <c r="A976" s="8" t="s">
        <v>54339</v>
      </c>
      <c r="B976" s="8" t="s">
        <v>54359</v>
      </c>
    </row>
    <row r="977" spans="1:2" ht="14.5" x14ac:dyDescent="0.35">
      <c r="A977" s="8" t="s">
        <v>54339</v>
      </c>
      <c r="B977" s="8" t="s">
        <v>54360</v>
      </c>
    </row>
    <row r="978" spans="1:2" ht="14.5" x14ac:dyDescent="0.35">
      <c r="A978" s="8" t="s">
        <v>54339</v>
      </c>
      <c r="B978" s="8" t="s">
        <v>54361</v>
      </c>
    </row>
    <row r="979" spans="1:2" ht="14.5" x14ac:dyDescent="0.35">
      <c r="A979" s="8" t="s">
        <v>54339</v>
      </c>
      <c r="B979" s="8" t="s">
        <v>54362</v>
      </c>
    </row>
    <row r="980" spans="1:2" ht="14.5" x14ac:dyDescent="0.35">
      <c r="A980" s="8" t="s">
        <v>54339</v>
      </c>
      <c r="B980" s="8" t="s">
        <v>54390</v>
      </c>
    </row>
    <row r="981" spans="1:2" ht="14.5" x14ac:dyDescent="0.35">
      <c r="A981" s="8" t="s">
        <v>54339</v>
      </c>
      <c r="B981" s="8" t="s">
        <v>58676</v>
      </c>
    </row>
    <row r="982" spans="1:2" ht="14.5" x14ac:dyDescent="0.35">
      <c r="A982" s="8" t="s">
        <v>54339</v>
      </c>
      <c r="B982" s="8" t="s">
        <v>54363</v>
      </c>
    </row>
    <row r="983" spans="1:2" ht="14.5" x14ac:dyDescent="0.35">
      <c r="A983" s="8" t="s">
        <v>54339</v>
      </c>
      <c r="B983" s="8" t="s">
        <v>58669</v>
      </c>
    </row>
    <row r="984" spans="1:2" ht="14.5" x14ac:dyDescent="0.35">
      <c r="A984" s="8" t="s">
        <v>54339</v>
      </c>
      <c r="B984" s="8" t="s">
        <v>54391</v>
      </c>
    </row>
    <row r="985" spans="1:2" ht="14.5" x14ac:dyDescent="0.35">
      <c r="A985" s="8" t="s">
        <v>54339</v>
      </c>
      <c r="B985" s="8" t="s">
        <v>58673</v>
      </c>
    </row>
    <row r="986" spans="1:2" ht="14.5" x14ac:dyDescent="0.35">
      <c r="A986" s="8" t="s">
        <v>54339</v>
      </c>
      <c r="B986" s="8" t="s">
        <v>54364</v>
      </c>
    </row>
    <row r="987" spans="1:2" ht="14.5" x14ac:dyDescent="0.35">
      <c r="A987" s="8" t="s">
        <v>54339</v>
      </c>
      <c r="B987" s="8" t="s">
        <v>54365</v>
      </c>
    </row>
    <row r="988" spans="1:2" ht="14.5" x14ac:dyDescent="0.35">
      <c r="A988" s="8" t="s">
        <v>54339</v>
      </c>
      <c r="B988" s="8" t="s">
        <v>58677</v>
      </c>
    </row>
    <row r="989" spans="1:2" ht="14.5" x14ac:dyDescent="0.35">
      <c r="A989" s="8" t="s">
        <v>54339</v>
      </c>
      <c r="B989" s="8" t="s">
        <v>58678</v>
      </c>
    </row>
    <row r="990" spans="1:2" ht="14.5" x14ac:dyDescent="0.35">
      <c r="A990" s="8" t="s">
        <v>54339</v>
      </c>
      <c r="B990" s="8" t="s">
        <v>58662</v>
      </c>
    </row>
    <row r="991" spans="1:2" ht="14.5" x14ac:dyDescent="0.35">
      <c r="A991" s="8" t="s">
        <v>54339</v>
      </c>
      <c r="B991" s="8" t="s">
        <v>54366</v>
      </c>
    </row>
    <row r="992" spans="1:2" ht="14.5" x14ac:dyDescent="0.35">
      <c r="A992" s="8" t="s">
        <v>54339</v>
      </c>
      <c r="B992" s="8" t="s">
        <v>58681</v>
      </c>
    </row>
    <row r="993" spans="1:2" ht="14.5" x14ac:dyDescent="0.35">
      <c r="A993" s="8" t="s">
        <v>54339</v>
      </c>
      <c r="B993" s="8" t="s">
        <v>58261</v>
      </c>
    </row>
    <row r="994" spans="1:2" ht="14.5" x14ac:dyDescent="0.35">
      <c r="A994" s="8" t="s">
        <v>54339</v>
      </c>
      <c r="B994" s="8" t="s">
        <v>58658</v>
      </c>
    </row>
    <row r="995" spans="1:2" ht="14.5" x14ac:dyDescent="0.35">
      <c r="A995" s="8" t="s">
        <v>54339</v>
      </c>
      <c r="B995" s="8" t="s">
        <v>58659</v>
      </c>
    </row>
    <row r="996" spans="1:2" ht="14.5" x14ac:dyDescent="0.35">
      <c r="A996" s="8" t="s">
        <v>54339</v>
      </c>
      <c r="B996" s="8" t="s">
        <v>56694</v>
      </c>
    </row>
    <row r="997" spans="1:2" ht="14.5" x14ac:dyDescent="0.35">
      <c r="A997" s="8" t="s">
        <v>54339</v>
      </c>
      <c r="B997" s="8" t="s">
        <v>58686</v>
      </c>
    </row>
    <row r="998" spans="1:2" ht="14.5" x14ac:dyDescent="0.35">
      <c r="A998" s="8" t="s">
        <v>54339</v>
      </c>
      <c r="B998" s="8" t="s">
        <v>58674</v>
      </c>
    </row>
    <row r="999" spans="1:2" ht="14.5" x14ac:dyDescent="0.35">
      <c r="A999" s="8" t="s">
        <v>54339</v>
      </c>
      <c r="B999" s="8" t="s">
        <v>58689</v>
      </c>
    </row>
    <row r="1000" spans="1:2" ht="14.5" x14ac:dyDescent="0.35">
      <c r="A1000" s="8" t="s">
        <v>54339</v>
      </c>
      <c r="B1000" s="8" t="s">
        <v>58663</v>
      </c>
    </row>
    <row r="1001" spans="1:2" ht="14.5" x14ac:dyDescent="0.35">
      <c r="A1001" s="8" t="s">
        <v>54339</v>
      </c>
      <c r="B1001" s="8" t="s">
        <v>54367</v>
      </c>
    </row>
    <row r="1002" spans="1:2" ht="14.5" x14ac:dyDescent="0.35">
      <c r="A1002" s="8" t="s">
        <v>54339</v>
      </c>
      <c r="B1002" s="8" t="s">
        <v>54368</v>
      </c>
    </row>
    <row r="1003" spans="1:2" ht="14.5" x14ac:dyDescent="0.35">
      <c r="A1003" s="8" t="s">
        <v>54339</v>
      </c>
      <c r="B1003" s="8" t="s">
        <v>54369</v>
      </c>
    </row>
    <row r="1004" spans="1:2" ht="14.5" x14ac:dyDescent="0.35">
      <c r="A1004" s="8" t="s">
        <v>54339</v>
      </c>
      <c r="B1004" s="8" t="s">
        <v>54370</v>
      </c>
    </row>
    <row r="1005" spans="1:2" ht="14.5" x14ac:dyDescent="0.35">
      <c r="A1005" s="8" t="s">
        <v>54339</v>
      </c>
      <c r="B1005" s="8" t="s">
        <v>58687</v>
      </c>
    </row>
    <row r="1006" spans="1:2" ht="14.5" x14ac:dyDescent="0.35">
      <c r="A1006" s="8" t="s">
        <v>54339</v>
      </c>
      <c r="B1006" s="8" t="s">
        <v>54371</v>
      </c>
    </row>
    <row r="1007" spans="1:2" ht="14.5" x14ac:dyDescent="0.35">
      <c r="A1007" s="8" t="s">
        <v>54339</v>
      </c>
      <c r="B1007" s="8" t="s">
        <v>54372</v>
      </c>
    </row>
    <row r="1008" spans="1:2" ht="14.5" x14ac:dyDescent="0.35">
      <c r="A1008" s="8" t="s">
        <v>54339</v>
      </c>
      <c r="B1008" s="8" t="s">
        <v>58694</v>
      </c>
    </row>
    <row r="1009" spans="1:2" ht="14.5" x14ac:dyDescent="0.35">
      <c r="A1009" s="8" t="s">
        <v>54339</v>
      </c>
      <c r="B1009" s="8" t="s">
        <v>58695</v>
      </c>
    </row>
    <row r="1010" spans="1:2" ht="14.5" x14ac:dyDescent="0.35">
      <c r="A1010" s="8" t="s">
        <v>54339</v>
      </c>
      <c r="B1010" s="8" t="s">
        <v>58696</v>
      </c>
    </row>
    <row r="1011" spans="1:2" ht="14.5" x14ac:dyDescent="0.35">
      <c r="A1011" s="8" t="s">
        <v>54339</v>
      </c>
      <c r="B1011" s="8" t="s">
        <v>54373</v>
      </c>
    </row>
    <row r="1012" spans="1:2" ht="14.5" x14ac:dyDescent="0.35">
      <c r="A1012" s="8" t="s">
        <v>54339</v>
      </c>
      <c r="B1012" s="8" t="s">
        <v>54374</v>
      </c>
    </row>
    <row r="1013" spans="1:2" ht="14.5" x14ac:dyDescent="0.35">
      <c r="A1013" s="8" t="s">
        <v>54339</v>
      </c>
      <c r="B1013" s="8" t="s">
        <v>54375</v>
      </c>
    </row>
    <row r="1014" spans="1:2" ht="14.5" x14ac:dyDescent="0.35">
      <c r="A1014" s="8" t="s">
        <v>54339</v>
      </c>
      <c r="B1014" s="8" t="s">
        <v>54376</v>
      </c>
    </row>
    <row r="1015" spans="1:2" ht="14.5" x14ac:dyDescent="0.35">
      <c r="A1015" s="8" t="s">
        <v>54339</v>
      </c>
      <c r="B1015" s="8" t="s">
        <v>58690</v>
      </c>
    </row>
    <row r="1016" spans="1:2" ht="14.5" x14ac:dyDescent="0.35">
      <c r="A1016" s="8" t="s">
        <v>54339</v>
      </c>
      <c r="B1016" s="8" t="s">
        <v>58667</v>
      </c>
    </row>
    <row r="1017" spans="1:2" ht="14.5" x14ac:dyDescent="0.35">
      <c r="A1017" s="8" t="s">
        <v>54339</v>
      </c>
      <c r="B1017" s="8" t="s">
        <v>58682</v>
      </c>
    </row>
    <row r="1018" spans="1:2" ht="14.5" x14ac:dyDescent="0.35">
      <c r="A1018" s="8" t="s">
        <v>54339</v>
      </c>
      <c r="B1018" s="8" t="s">
        <v>54341</v>
      </c>
    </row>
    <row r="1019" spans="1:2" ht="14.5" x14ac:dyDescent="0.35">
      <c r="A1019" s="8" t="s">
        <v>54339</v>
      </c>
      <c r="B1019" s="8" t="s">
        <v>54377</v>
      </c>
    </row>
    <row r="1020" spans="1:2" ht="14.5" x14ac:dyDescent="0.35">
      <c r="A1020" s="8" t="s">
        <v>54339</v>
      </c>
      <c r="B1020" s="8" t="s">
        <v>54378</v>
      </c>
    </row>
    <row r="1021" spans="1:2" ht="14.5" x14ac:dyDescent="0.35">
      <c r="A1021" s="8" t="s">
        <v>54339</v>
      </c>
      <c r="B1021" s="8" t="s">
        <v>58683</v>
      </c>
    </row>
    <row r="1022" spans="1:2" ht="14.5" x14ac:dyDescent="0.35">
      <c r="A1022" s="8" t="s">
        <v>54339</v>
      </c>
      <c r="B1022" s="8" t="s">
        <v>54379</v>
      </c>
    </row>
    <row r="1023" spans="1:2" ht="14.5" x14ac:dyDescent="0.35">
      <c r="A1023" s="8" t="s">
        <v>54339</v>
      </c>
      <c r="B1023" s="8" t="s">
        <v>58679</v>
      </c>
    </row>
    <row r="1024" spans="1:2" ht="14.5" x14ac:dyDescent="0.35">
      <c r="A1024" s="8" t="s">
        <v>54339</v>
      </c>
      <c r="B1024" s="8" t="s">
        <v>58675</v>
      </c>
    </row>
    <row r="1025" spans="1:2" ht="14.5" x14ac:dyDescent="0.35">
      <c r="A1025" s="8" t="s">
        <v>54339</v>
      </c>
      <c r="B1025" s="8" t="s">
        <v>58684</v>
      </c>
    </row>
    <row r="1026" spans="1:2" ht="14.5" x14ac:dyDescent="0.35">
      <c r="A1026" s="8" t="s">
        <v>54339</v>
      </c>
      <c r="B1026" s="8" t="s">
        <v>58688</v>
      </c>
    </row>
    <row r="1027" spans="1:2" ht="14.5" x14ac:dyDescent="0.35">
      <c r="A1027" s="8" t="s">
        <v>54339</v>
      </c>
      <c r="B1027" s="8" t="s">
        <v>58670</v>
      </c>
    </row>
    <row r="1028" spans="1:2" ht="14.5" x14ac:dyDescent="0.35">
      <c r="A1028" s="8" t="s">
        <v>54339</v>
      </c>
      <c r="B1028" s="8" t="s">
        <v>54380</v>
      </c>
    </row>
    <row r="1029" spans="1:2" ht="14.5" x14ac:dyDescent="0.35">
      <c r="A1029" s="8" t="s">
        <v>54339</v>
      </c>
      <c r="B1029" s="8" t="s">
        <v>54381</v>
      </c>
    </row>
    <row r="1030" spans="1:2" ht="14.5" x14ac:dyDescent="0.35">
      <c r="A1030" s="8" t="s">
        <v>54339</v>
      </c>
      <c r="B1030" s="8" t="s">
        <v>58671</v>
      </c>
    </row>
    <row r="1031" spans="1:2" ht="14.5" x14ac:dyDescent="0.35">
      <c r="A1031" s="8" t="s">
        <v>54339</v>
      </c>
      <c r="B1031" s="8" t="s">
        <v>54382</v>
      </c>
    </row>
    <row r="1032" spans="1:2" ht="14.5" x14ac:dyDescent="0.35">
      <c r="A1032" s="8" t="s">
        <v>54339</v>
      </c>
      <c r="B1032" s="8" t="s">
        <v>58692</v>
      </c>
    </row>
    <row r="1033" spans="1:2" ht="14.5" x14ac:dyDescent="0.35">
      <c r="A1033" s="8" t="s">
        <v>54339</v>
      </c>
      <c r="B1033" s="8" t="s">
        <v>58693</v>
      </c>
    </row>
    <row r="1034" spans="1:2" ht="14.5" x14ac:dyDescent="0.35">
      <c r="A1034" s="8" t="s">
        <v>54339</v>
      </c>
      <c r="B1034" s="8" t="s">
        <v>54383</v>
      </c>
    </row>
    <row r="1035" spans="1:2" ht="14.5" x14ac:dyDescent="0.35">
      <c r="A1035" s="8" t="s">
        <v>54339</v>
      </c>
      <c r="B1035" s="8" t="s">
        <v>54342</v>
      </c>
    </row>
    <row r="1036" spans="1:2" ht="14.5" x14ac:dyDescent="0.35">
      <c r="A1036" s="8" t="s">
        <v>54339</v>
      </c>
      <c r="B1036" s="8" t="s">
        <v>58664</v>
      </c>
    </row>
    <row r="1037" spans="1:2" ht="14.5" x14ac:dyDescent="0.35">
      <c r="A1037" s="8" t="s">
        <v>54339</v>
      </c>
      <c r="B1037" s="8" t="s">
        <v>54384</v>
      </c>
    </row>
    <row r="1038" spans="1:2" ht="14.5" x14ac:dyDescent="0.35">
      <c r="A1038" s="8" t="s">
        <v>54339</v>
      </c>
      <c r="B1038" s="8" t="s">
        <v>54385</v>
      </c>
    </row>
    <row r="1039" spans="1:2" ht="14.5" x14ac:dyDescent="0.35">
      <c r="A1039" s="8" t="s">
        <v>54339</v>
      </c>
      <c r="B1039" s="8" t="s">
        <v>54386</v>
      </c>
    </row>
    <row r="1040" spans="1:2" ht="14.5" x14ac:dyDescent="0.35">
      <c r="A1040" s="8" t="s">
        <v>54339</v>
      </c>
      <c r="B1040" s="8" t="s">
        <v>54387</v>
      </c>
    </row>
    <row r="1041" spans="1:2" ht="14.5" x14ac:dyDescent="0.35">
      <c r="A1041" s="8" t="s">
        <v>54392</v>
      </c>
      <c r="B1041" s="8" t="s">
        <v>54393</v>
      </c>
    </row>
    <row r="1042" spans="1:2" ht="14.5" x14ac:dyDescent="0.35">
      <c r="A1042" s="8" t="s">
        <v>54392</v>
      </c>
      <c r="B1042" s="8" t="s">
        <v>54394</v>
      </c>
    </row>
    <row r="1043" spans="1:2" ht="14.5" x14ac:dyDescent="0.35">
      <c r="A1043" s="8" t="s">
        <v>54392</v>
      </c>
      <c r="B1043" s="8" t="s">
        <v>54395</v>
      </c>
    </row>
    <row r="1044" spans="1:2" ht="14.5" x14ac:dyDescent="0.35">
      <c r="A1044" s="8" t="s">
        <v>54392</v>
      </c>
      <c r="B1044" s="8" t="s">
        <v>54396</v>
      </c>
    </row>
    <row r="1045" spans="1:2" ht="14.5" x14ac:dyDescent="0.35">
      <c r="A1045" s="8" t="s">
        <v>54392</v>
      </c>
      <c r="B1045" s="8" t="s">
        <v>54397</v>
      </c>
    </row>
    <row r="1046" spans="1:2" ht="14.5" x14ac:dyDescent="0.35">
      <c r="A1046" s="8" t="s">
        <v>54392</v>
      </c>
      <c r="B1046" s="8" t="s">
        <v>54398</v>
      </c>
    </row>
    <row r="1047" spans="1:2" ht="14.5" x14ac:dyDescent="0.35">
      <c r="A1047" s="8" t="s">
        <v>54392</v>
      </c>
      <c r="B1047" s="8" t="s">
        <v>54399</v>
      </c>
    </row>
    <row r="1048" spans="1:2" ht="14.5" x14ac:dyDescent="0.35">
      <c r="A1048" s="8" t="s">
        <v>54392</v>
      </c>
      <c r="B1048" s="8" t="s">
        <v>54400</v>
      </c>
    </row>
    <row r="1049" spans="1:2" ht="14.5" x14ac:dyDescent="0.35">
      <c r="A1049" s="8" t="s">
        <v>54392</v>
      </c>
      <c r="B1049" s="8" t="s">
        <v>54401</v>
      </c>
    </row>
    <row r="1050" spans="1:2" ht="14.5" x14ac:dyDescent="0.35">
      <c r="A1050" s="8" t="s">
        <v>54392</v>
      </c>
      <c r="B1050" s="8" t="s">
        <v>54402</v>
      </c>
    </row>
    <row r="1051" spans="1:2" ht="14.5" x14ac:dyDescent="0.35">
      <c r="A1051" s="8" t="s">
        <v>54392</v>
      </c>
      <c r="B1051" s="8" t="s">
        <v>54403</v>
      </c>
    </row>
    <row r="1052" spans="1:2" ht="14.5" x14ac:dyDescent="0.35">
      <c r="A1052" s="8" t="s">
        <v>58558</v>
      </c>
      <c r="B1052" s="8" t="s">
        <v>58559</v>
      </c>
    </row>
    <row r="1053" spans="1:2" ht="14.5" x14ac:dyDescent="0.35">
      <c r="A1053" s="8" t="s">
        <v>58649</v>
      </c>
      <c r="B1053" s="8" t="s">
        <v>58650</v>
      </c>
    </row>
    <row r="1054" spans="1:2" ht="14.5" x14ac:dyDescent="0.35">
      <c r="A1054" s="8" t="s">
        <v>54404</v>
      </c>
      <c r="B1054" s="8" t="s">
        <v>54405</v>
      </c>
    </row>
    <row r="1055" spans="1:2" ht="14.5" x14ac:dyDescent="0.35">
      <c r="A1055" s="8" t="s">
        <v>54404</v>
      </c>
      <c r="B1055" s="8" t="s">
        <v>54406</v>
      </c>
    </row>
    <row r="1056" spans="1:2" ht="14.5" x14ac:dyDescent="0.35">
      <c r="A1056" s="8" t="s">
        <v>58560</v>
      </c>
      <c r="B1056" s="8" t="s">
        <v>58561</v>
      </c>
    </row>
    <row r="1057" spans="1:2" ht="14.5" x14ac:dyDescent="0.35">
      <c r="A1057" s="8" t="s">
        <v>58562</v>
      </c>
      <c r="B1057" s="8" t="s">
        <v>58563</v>
      </c>
    </row>
    <row r="1058" spans="1:2" ht="14.5" x14ac:dyDescent="0.35">
      <c r="A1058" s="8" t="s">
        <v>54407</v>
      </c>
      <c r="B1058" s="8" t="s">
        <v>54408</v>
      </c>
    </row>
    <row r="1059" spans="1:2" ht="14.5" x14ac:dyDescent="0.35">
      <c r="A1059" s="8" t="s">
        <v>54407</v>
      </c>
      <c r="B1059" s="8" t="s">
        <v>54409</v>
      </c>
    </row>
    <row r="1060" spans="1:2" ht="14.5" x14ac:dyDescent="0.35">
      <c r="A1060" s="8" t="s">
        <v>54407</v>
      </c>
      <c r="B1060" s="8" t="s">
        <v>54410</v>
      </c>
    </row>
    <row r="1061" spans="1:2" ht="14.5" x14ac:dyDescent="0.35">
      <c r="A1061" s="8" t="s">
        <v>54407</v>
      </c>
      <c r="B1061" s="8" t="s">
        <v>54411</v>
      </c>
    </row>
    <row r="1062" spans="1:2" ht="14.5" x14ac:dyDescent="0.35">
      <c r="A1062" s="8" t="s">
        <v>54407</v>
      </c>
      <c r="B1062" s="8" t="s">
        <v>54412</v>
      </c>
    </row>
    <row r="1063" spans="1:2" ht="14.5" x14ac:dyDescent="0.35">
      <c r="A1063" s="8" t="s">
        <v>54407</v>
      </c>
      <c r="B1063" s="8" t="s">
        <v>54413</v>
      </c>
    </row>
    <row r="1064" spans="1:2" ht="14.5" x14ac:dyDescent="0.35">
      <c r="A1064" s="8" t="s">
        <v>54407</v>
      </c>
      <c r="B1064" s="8" t="s">
        <v>54414</v>
      </c>
    </row>
    <row r="1065" spans="1:2" ht="14.5" x14ac:dyDescent="0.35">
      <c r="A1065" s="8" t="s">
        <v>54407</v>
      </c>
      <c r="B1065" s="8" t="s">
        <v>54415</v>
      </c>
    </row>
    <row r="1066" spans="1:2" ht="14.5" x14ac:dyDescent="0.35">
      <c r="A1066" s="8" t="s">
        <v>54407</v>
      </c>
      <c r="B1066" s="8" t="s">
        <v>54416</v>
      </c>
    </row>
    <row r="1067" spans="1:2" ht="14.5" x14ac:dyDescent="0.35">
      <c r="A1067" s="8" t="s">
        <v>54407</v>
      </c>
      <c r="B1067" s="8" t="s">
        <v>54427</v>
      </c>
    </row>
    <row r="1068" spans="1:2" ht="14.5" x14ac:dyDescent="0.35">
      <c r="A1068" s="8" t="s">
        <v>54407</v>
      </c>
      <c r="B1068" s="8" t="s">
        <v>54417</v>
      </c>
    </row>
    <row r="1069" spans="1:2" ht="14.5" x14ac:dyDescent="0.35">
      <c r="A1069" s="8" t="s">
        <v>54407</v>
      </c>
      <c r="B1069" s="8" t="s">
        <v>54418</v>
      </c>
    </row>
    <row r="1070" spans="1:2" ht="14.5" x14ac:dyDescent="0.35">
      <c r="A1070" s="8" t="s">
        <v>54407</v>
      </c>
      <c r="B1070" s="8" t="s">
        <v>54419</v>
      </c>
    </row>
    <row r="1071" spans="1:2" ht="14.5" x14ac:dyDescent="0.35">
      <c r="A1071" s="8" t="s">
        <v>54407</v>
      </c>
      <c r="B1071" s="8" t="s">
        <v>54420</v>
      </c>
    </row>
    <row r="1072" spans="1:2" ht="14.5" x14ac:dyDescent="0.35">
      <c r="A1072" s="8" t="s">
        <v>54407</v>
      </c>
      <c r="B1072" s="8" t="s">
        <v>54421</v>
      </c>
    </row>
    <row r="1073" spans="1:2" ht="14.5" x14ac:dyDescent="0.35">
      <c r="A1073" s="8" t="s">
        <v>54407</v>
      </c>
      <c r="B1073" s="8" t="s">
        <v>54428</v>
      </c>
    </row>
    <row r="1074" spans="1:2" ht="14.5" x14ac:dyDescent="0.35">
      <c r="A1074" s="8" t="s">
        <v>54407</v>
      </c>
      <c r="B1074" s="8" t="s">
        <v>54422</v>
      </c>
    </row>
    <row r="1075" spans="1:2" ht="14.5" x14ac:dyDescent="0.35">
      <c r="A1075" s="8" t="s">
        <v>54407</v>
      </c>
      <c r="B1075" s="8" t="s">
        <v>54423</v>
      </c>
    </row>
    <row r="1076" spans="1:2" ht="14.5" x14ac:dyDescent="0.35">
      <c r="A1076" s="8" t="s">
        <v>54407</v>
      </c>
      <c r="B1076" s="8" t="s">
        <v>54424</v>
      </c>
    </row>
    <row r="1077" spans="1:2" ht="14.5" x14ac:dyDescent="0.35">
      <c r="A1077" s="8" t="s">
        <v>54407</v>
      </c>
      <c r="B1077" s="8" t="s">
        <v>54425</v>
      </c>
    </row>
    <row r="1078" spans="1:2" ht="14.5" x14ac:dyDescent="0.35">
      <c r="A1078" s="8" t="s">
        <v>54407</v>
      </c>
      <c r="B1078" s="8" t="s">
        <v>54426</v>
      </c>
    </row>
    <row r="1079" spans="1:2" ht="14.5" x14ac:dyDescent="0.35">
      <c r="A1079" s="8" t="s">
        <v>54429</v>
      </c>
      <c r="B1079" s="8" t="s">
        <v>54437</v>
      </c>
    </row>
    <row r="1080" spans="1:2" ht="14.5" x14ac:dyDescent="0.35">
      <c r="A1080" s="8" t="s">
        <v>54429</v>
      </c>
      <c r="B1080" s="8" t="s">
        <v>54444</v>
      </c>
    </row>
    <row r="1081" spans="1:2" ht="14.5" x14ac:dyDescent="0.35">
      <c r="A1081" s="8" t="s">
        <v>54429</v>
      </c>
      <c r="B1081" s="8" t="s">
        <v>54441</v>
      </c>
    </row>
    <row r="1082" spans="1:2" ht="14.5" x14ac:dyDescent="0.35">
      <c r="A1082" s="8" t="s">
        <v>54429</v>
      </c>
      <c r="B1082" s="8" t="s">
        <v>54449</v>
      </c>
    </row>
    <row r="1083" spans="1:2" ht="14.5" x14ac:dyDescent="0.35">
      <c r="A1083" s="8" t="s">
        <v>54429</v>
      </c>
      <c r="B1083" s="8" t="s">
        <v>54430</v>
      </c>
    </row>
    <row r="1084" spans="1:2" ht="14.5" x14ac:dyDescent="0.35">
      <c r="A1084" s="8" t="s">
        <v>54429</v>
      </c>
      <c r="B1084" s="8" t="s">
        <v>54450</v>
      </c>
    </row>
    <row r="1085" spans="1:2" ht="14.5" x14ac:dyDescent="0.35">
      <c r="A1085" s="8" t="s">
        <v>54429</v>
      </c>
      <c r="B1085" s="8" t="s">
        <v>54445</v>
      </c>
    </row>
    <row r="1086" spans="1:2" ht="14.5" x14ac:dyDescent="0.35">
      <c r="A1086" s="8" t="s">
        <v>54429</v>
      </c>
      <c r="B1086" s="8" t="s">
        <v>54438</v>
      </c>
    </row>
    <row r="1087" spans="1:2" ht="14.5" x14ac:dyDescent="0.35">
      <c r="A1087" s="8" t="s">
        <v>54429</v>
      </c>
      <c r="B1087" s="8" t="s">
        <v>54451</v>
      </c>
    </row>
    <row r="1088" spans="1:2" ht="14.5" x14ac:dyDescent="0.35">
      <c r="A1088" s="8" t="s">
        <v>54429</v>
      </c>
      <c r="B1088" s="8" t="s">
        <v>54433</v>
      </c>
    </row>
    <row r="1089" spans="1:2" ht="14.5" x14ac:dyDescent="0.35">
      <c r="A1089" s="8" t="s">
        <v>54429</v>
      </c>
      <c r="B1089" s="8" t="s">
        <v>54434</v>
      </c>
    </row>
    <row r="1090" spans="1:2" ht="14.5" x14ac:dyDescent="0.35">
      <c r="A1090" s="8" t="s">
        <v>54429</v>
      </c>
      <c r="B1090" s="8" t="s">
        <v>54446</v>
      </c>
    </row>
    <row r="1091" spans="1:2" ht="14.5" x14ac:dyDescent="0.35">
      <c r="A1091" s="8" t="s">
        <v>54429</v>
      </c>
      <c r="B1091" s="8" t="s">
        <v>54431</v>
      </c>
    </row>
    <row r="1092" spans="1:2" ht="14.5" x14ac:dyDescent="0.35">
      <c r="A1092" s="8" t="s">
        <v>54429</v>
      </c>
      <c r="B1092" s="8" t="s">
        <v>54432</v>
      </c>
    </row>
    <row r="1093" spans="1:2" ht="14.5" x14ac:dyDescent="0.35">
      <c r="A1093" s="8" t="s">
        <v>54429</v>
      </c>
      <c r="B1093" s="8" t="s">
        <v>54442</v>
      </c>
    </row>
    <row r="1094" spans="1:2" ht="14.5" x14ac:dyDescent="0.35">
      <c r="A1094" s="8" t="s">
        <v>54429</v>
      </c>
      <c r="B1094" s="8" t="s">
        <v>54443</v>
      </c>
    </row>
    <row r="1095" spans="1:2" ht="14.5" x14ac:dyDescent="0.35">
      <c r="A1095" s="8" t="s">
        <v>54429</v>
      </c>
      <c r="B1095" s="8" t="s">
        <v>54435</v>
      </c>
    </row>
    <row r="1096" spans="1:2" ht="14.5" x14ac:dyDescent="0.35">
      <c r="A1096" s="8" t="s">
        <v>54429</v>
      </c>
      <c r="B1096" s="8" t="s">
        <v>54436</v>
      </c>
    </row>
    <row r="1097" spans="1:2" ht="14.5" x14ac:dyDescent="0.35">
      <c r="A1097" s="8" t="s">
        <v>54429</v>
      </c>
      <c r="B1097" s="8" t="s">
        <v>54439</v>
      </c>
    </row>
    <row r="1098" spans="1:2" ht="14.5" x14ac:dyDescent="0.35">
      <c r="A1098" s="8" t="s">
        <v>54429</v>
      </c>
      <c r="B1098" s="8" t="s">
        <v>54447</v>
      </c>
    </row>
    <row r="1099" spans="1:2" ht="14.5" x14ac:dyDescent="0.35">
      <c r="A1099" s="8" t="s">
        <v>54429</v>
      </c>
      <c r="B1099" s="8" t="s">
        <v>54440</v>
      </c>
    </row>
    <row r="1100" spans="1:2" ht="14.5" x14ac:dyDescent="0.35">
      <c r="A1100" s="8" t="s">
        <v>54429</v>
      </c>
      <c r="B1100" s="8" t="s">
        <v>54448</v>
      </c>
    </row>
    <row r="1101" spans="1:2" ht="14.5" x14ac:dyDescent="0.35">
      <c r="A1101" s="8" t="s">
        <v>54452</v>
      </c>
      <c r="B1101" s="8" t="s">
        <v>54453</v>
      </c>
    </row>
    <row r="1102" spans="1:2" ht="14.5" x14ac:dyDescent="0.35">
      <c r="A1102" s="8" t="s">
        <v>54452</v>
      </c>
      <c r="B1102" s="8" t="s">
        <v>54454</v>
      </c>
    </row>
    <row r="1103" spans="1:2" ht="14.5" x14ac:dyDescent="0.35">
      <c r="A1103" s="8" t="s">
        <v>54452</v>
      </c>
      <c r="B1103" s="8" t="s">
        <v>54455</v>
      </c>
    </row>
    <row r="1104" spans="1:2" ht="14.5" x14ac:dyDescent="0.35">
      <c r="A1104" s="8" t="s">
        <v>54452</v>
      </c>
      <c r="B1104" s="8" t="s">
        <v>54456</v>
      </c>
    </row>
    <row r="1105" spans="1:2" ht="14.5" x14ac:dyDescent="0.35">
      <c r="A1105" s="8" t="s">
        <v>54452</v>
      </c>
      <c r="B1105" s="8" t="s">
        <v>54457</v>
      </c>
    </row>
    <row r="1106" spans="1:2" ht="14.5" x14ac:dyDescent="0.35">
      <c r="A1106" s="8" t="s">
        <v>54452</v>
      </c>
      <c r="B1106" s="8" t="s">
        <v>54458</v>
      </c>
    </row>
    <row r="1107" spans="1:2" ht="14.5" x14ac:dyDescent="0.35">
      <c r="A1107" s="8" t="s">
        <v>54452</v>
      </c>
      <c r="B1107" s="8" t="s">
        <v>54459</v>
      </c>
    </row>
    <row r="1108" spans="1:2" ht="14.5" x14ac:dyDescent="0.35">
      <c r="A1108" s="8" t="s">
        <v>54452</v>
      </c>
      <c r="B1108" s="8" t="s">
        <v>54460</v>
      </c>
    </row>
    <row r="1109" spans="1:2" ht="14.5" x14ac:dyDescent="0.35">
      <c r="A1109" s="8" t="s">
        <v>54452</v>
      </c>
      <c r="B1109" s="8" t="s">
        <v>54461</v>
      </c>
    </row>
    <row r="1110" spans="1:2" ht="14.5" x14ac:dyDescent="0.35">
      <c r="A1110" s="8" t="s">
        <v>54452</v>
      </c>
      <c r="B1110" s="8" t="s">
        <v>54462</v>
      </c>
    </row>
    <row r="1111" spans="1:2" ht="14.5" x14ac:dyDescent="0.35">
      <c r="A1111" s="8" t="s">
        <v>54452</v>
      </c>
      <c r="B1111" s="8" t="s">
        <v>54463</v>
      </c>
    </row>
    <row r="1112" spans="1:2" ht="14.5" x14ac:dyDescent="0.35">
      <c r="A1112" s="8" t="s">
        <v>54452</v>
      </c>
      <c r="B1112" s="8" t="s">
        <v>54464</v>
      </c>
    </row>
    <row r="1113" spans="1:2" ht="14.5" x14ac:dyDescent="0.35">
      <c r="A1113" s="8" t="s">
        <v>54452</v>
      </c>
      <c r="B1113" s="8" t="s">
        <v>54465</v>
      </c>
    </row>
    <row r="1114" spans="1:2" ht="14.5" x14ac:dyDescent="0.35">
      <c r="A1114" s="8" t="s">
        <v>54452</v>
      </c>
      <c r="B1114" s="8" t="s">
        <v>54466</v>
      </c>
    </row>
    <row r="1115" spans="1:2" ht="14.5" x14ac:dyDescent="0.35">
      <c r="A1115" s="8" t="s">
        <v>54452</v>
      </c>
      <c r="B1115" s="8" t="s">
        <v>54467</v>
      </c>
    </row>
    <row r="1116" spans="1:2" ht="14.5" x14ac:dyDescent="0.35">
      <c r="A1116" s="8" t="s">
        <v>54452</v>
      </c>
      <c r="B1116" s="8" t="s">
        <v>54468</v>
      </c>
    </row>
    <row r="1117" spans="1:2" ht="14.5" x14ac:dyDescent="0.35">
      <c r="A1117" s="8" t="s">
        <v>54452</v>
      </c>
      <c r="B1117" s="8" t="s">
        <v>54560</v>
      </c>
    </row>
    <row r="1118" spans="1:2" ht="14.5" x14ac:dyDescent="0.35">
      <c r="A1118" s="8" t="s">
        <v>54452</v>
      </c>
      <c r="B1118" s="8" t="s">
        <v>54469</v>
      </c>
    </row>
    <row r="1119" spans="1:2" ht="14.5" x14ac:dyDescent="0.35">
      <c r="A1119" s="8" t="s">
        <v>54452</v>
      </c>
      <c r="B1119" s="8" t="s">
        <v>54502</v>
      </c>
    </row>
    <row r="1120" spans="1:2" ht="14.5" x14ac:dyDescent="0.35">
      <c r="A1120" s="8" t="s">
        <v>54452</v>
      </c>
      <c r="B1120" s="8" t="s">
        <v>58754</v>
      </c>
    </row>
    <row r="1121" spans="1:2" ht="14.5" x14ac:dyDescent="0.35">
      <c r="A1121" s="8" t="s">
        <v>54452</v>
      </c>
      <c r="B1121" s="8" t="s">
        <v>58755</v>
      </c>
    </row>
    <row r="1122" spans="1:2" ht="14.5" x14ac:dyDescent="0.35">
      <c r="A1122" s="8" t="s">
        <v>54452</v>
      </c>
      <c r="B1122" s="8" t="s">
        <v>54523</v>
      </c>
    </row>
    <row r="1123" spans="1:2" ht="14.5" x14ac:dyDescent="0.35">
      <c r="A1123" s="8" t="s">
        <v>54452</v>
      </c>
      <c r="B1123" s="8" t="s">
        <v>54533</v>
      </c>
    </row>
    <row r="1124" spans="1:2" ht="14.5" x14ac:dyDescent="0.35">
      <c r="A1124" s="8" t="s">
        <v>54452</v>
      </c>
      <c r="B1124" s="8" t="s">
        <v>54543</v>
      </c>
    </row>
    <row r="1125" spans="1:2" ht="14.5" x14ac:dyDescent="0.35">
      <c r="A1125" s="8" t="s">
        <v>54452</v>
      </c>
      <c r="B1125" s="8" t="s">
        <v>54544</v>
      </c>
    </row>
    <row r="1126" spans="1:2" ht="14.5" x14ac:dyDescent="0.35">
      <c r="A1126" s="8" t="s">
        <v>54452</v>
      </c>
      <c r="B1126" s="8" t="s">
        <v>54545</v>
      </c>
    </row>
    <row r="1127" spans="1:2" ht="14.5" x14ac:dyDescent="0.35">
      <c r="A1127" s="8" t="s">
        <v>54452</v>
      </c>
      <c r="B1127" s="8" t="s">
        <v>54546</v>
      </c>
    </row>
    <row r="1128" spans="1:2" ht="14.5" x14ac:dyDescent="0.35">
      <c r="A1128" s="8" t="s">
        <v>54452</v>
      </c>
      <c r="B1128" s="8" t="s">
        <v>54470</v>
      </c>
    </row>
    <row r="1129" spans="1:2" ht="14.5" x14ac:dyDescent="0.35">
      <c r="A1129" s="8" t="s">
        <v>54452</v>
      </c>
      <c r="B1129" s="8" t="s">
        <v>54471</v>
      </c>
    </row>
    <row r="1130" spans="1:2" ht="14.5" x14ac:dyDescent="0.35">
      <c r="A1130" s="8" t="s">
        <v>54452</v>
      </c>
      <c r="B1130" s="8" t="s">
        <v>54622</v>
      </c>
    </row>
    <row r="1131" spans="1:2" ht="14.5" x14ac:dyDescent="0.35">
      <c r="A1131" s="8" t="s">
        <v>54452</v>
      </c>
      <c r="B1131" s="8" t="s">
        <v>54472</v>
      </c>
    </row>
    <row r="1132" spans="1:2" ht="14.5" x14ac:dyDescent="0.35">
      <c r="A1132" s="8" t="s">
        <v>54452</v>
      </c>
      <c r="B1132" s="8" t="s">
        <v>54623</v>
      </c>
    </row>
    <row r="1133" spans="1:2" ht="14.5" x14ac:dyDescent="0.35">
      <c r="A1133" s="8" t="s">
        <v>54452</v>
      </c>
      <c r="B1133" s="8" t="s">
        <v>58756</v>
      </c>
    </row>
    <row r="1134" spans="1:2" ht="14.5" x14ac:dyDescent="0.35">
      <c r="A1134" s="8" t="s">
        <v>54452</v>
      </c>
      <c r="B1134" s="8" t="s">
        <v>54585</v>
      </c>
    </row>
    <row r="1135" spans="1:2" ht="14.5" x14ac:dyDescent="0.35">
      <c r="A1135" s="8" t="s">
        <v>54452</v>
      </c>
      <c r="B1135" s="8" t="s">
        <v>54473</v>
      </c>
    </row>
    <row r="1136" spans="1:2" ht="14.5" x14ac:dyDescent="0.35">
      <c r="A1136" s="8" t="s">
        <v>54452</v>
      </c>
      <c r="B1136" s="8" t="s">
        <v>54561</v>
      </c>
    </row>
    <row r="1137" spans="1:2" ht="14.5" x14ac:dyDescent="0.35">
      <c r="A1137" s="8" t="s">
        <v>54452</v>
      </c>
      <c r="B1137" s="8" t="s">
        <v>54562</v>
      </c>
    </row>
    <row r="1138" spans="1:2" ht="14.5" x14ac:dyDescent="0.35">
      <c r="A1138" s="8" t="s">
        <v>54452</v>
      </c>
      <c r="B1138" s="8" t="s">
        <v>54563</v>
      </c>
    </row>
    <row r="1139" spans="1:2" ht="14.5" x14ac:dyDescent="0.35">
      <c r="A1139" s="8" t="s">
        <v>54452</v>
      </c>
      <c r="B1139" s="8" t="s">
        <v>58757</v>
      </c>
    </row>
    <row r="1140" spans="1:2" ht="14.5" x14ac:dyDescent="0.35">
      <c r="A1140" s="8" t="s">
        <v>54452</v>
      </c>
      <c r="B1140" s="8" t="s">
        <v>58758</v>
      </c>
    </row>
    <row r="1141" spans="1:2" ht="14.5" x14ac:dyDescent="0.35">
      <c r="A1141" s="8" t="s">
        <v>54452</v>
      </c>
      <c r="B1141" s="8" t="s">
        <v>58759</v>
      </c>
    </row>
    <row r="1142" spans="1:2" ht="14.5" x14ac:dyDescent="0.35">
      <c r="A1142" s="8" t="s">
        <v>54452</v>
      </c>
      <c r="B1142" s="8" t="s">
        <v>54524</v>
      </c>
    </row>
    <row r="1143" spans="1:2" ht="14.5" x14ac:dyDescent="0.35">
      <c r="A1143" s="8" t="s">
        <v>54452</v>
      </c>
      <c r="B1143" s="8" t="s">
        <v>58760</v>
      </c>
    </row>
    <row r="1144" spans="1:2" ht="14.5" x14ac:dyDescent="0.35">
      <c r="A1144" s="8" t="s">
        <v>54452</v>
      </c>
      <c r="B1144" s="8" t="s">
        <v>54564</v>
      </c>
    </row>
    <row r="1145" spans="1:2" ht="14.5" x14ac:dyDescent="0.35">
      <c r="A1145" s="8" t="s">
        <v>54452</v>
      </c>
      <c r="B1145" s="8" t="s">
        <v>54525</v>
      </c>
    </row>
    <row r="1146" spans="1:2" ht="14.5" x14ac:dyDescent="0.35">
      <c r="A1146" s="8" t="s">
        <v>54452</v>
      </c>
      <c r="B1146" s="8" t="s">
        <v>58761</v>
      </c>
    </row>
    <row r="1147" spans="1:2" ht="14.5" x14ac:dyDescent="0.35">
      <c r="A1147" s="8" t="s">
        <v>54452</v>
      </c>
      <c r="B1147" s="8" t="s">
        <v>54474</v>
      </c>
    </row>
    <row r="1148" spans="1:2" ht="14.5" x14ac:dyDescent="0.35">
      <c r="A1148" s="8" t="s">
        <v>54452</v>
      </c>
      <c r="B1148" s="8" t="s">
        <v>54503</v>
      </c>
    </row>
    <row r="1149" spans="1:2" ht="14.5" x14ac:dyDescent="0.35">
      <c r="A1149" s="8" t="s">
        <v>54452</v>
      </c>
      <c r="B1149" s="8" t="s">
        <v>54526</v>
      </c>
    </row>
    <row r="1150" spans="1:2" ht="14.5" x14ac:dyDescent="0.35">
      <c r="A1150" s="8" t="s">
        <v>54452</v>
      </c>
      <c r="B1150" s="8" t="s">
        <v>54534</v>
      </c>
    </row>
    <row r="1151" spans="1:2" ht="14.5" x14ac:dyDescent="0.35">
      <c r="A1151" s="8" t="s">
        <v>54452</v>
      </c>
      <c r="B1151" s="8" t="s">
        <v>54547</v>
      </c>
    </row>
    <row r="1152" spans="1:2" ht="14.5" x14ac:dyDescent="0.35">
      <c r="A1152" s="8" t="s">
        <v>54452</v>
      </c>
      <c r="B1152" s="8" t="s">
        <v>54504</v>
      </c>
    </row>
    <row r="1153" spans="1:2" ht="14.5" x14ac:dyDescent="0.35">
      <c r="A1153" s="8" t="s">
        <v>54452</v>
      </c>
      <c r="B1153" s="8" t="s">
        <v>54475</v>
      </c>
    </row>
    <row r="1154" spans="1:2" ht="14.5" x14ac:dyDescent="0.35">
      <c r="A1154" s="8" t="s">
        <v>54452</v>
      </c>
      <c r="B1154" s="8" t="s">
        <v>54565</v>
      </c>
    </row>
    <row r="1155" spans="1:2" ht="14.5" x14ac:dyDescent="0.35">
      <c r="A1155" s="8" t="s">
        <v>54452</v>
      </c>
      <c r="B1155" s="8" t="s">
        <v>54586</v>
      </c>
    </row>
    <row r="1156" spans="1:2" ht="14.5" x14ac:dyDescent="0.35">
      <c r="A1156" s="8" t="s">
        <v>54452</v>
      </c>
      <c r="B1156" s="8" t="s">
        <v>54587</v>
      </c>
    </row>
    <row r="1157" spans="1:2" ht="14.5" x14ac:dyDescent="0.35">
      <c r="A1157" s="8" t="s">
        <v>54452</v>
      </c>
      <c r="B1157" s="8" t="s">
        <v>54553</v>
      </c>
    </row>
    <row r="1158" spans="1:2" ht="14.5" x14ac:dyDescent="0.35">
      <c r="A1158" s="8" t="s">
        <v>54452</v>
      </c>
      <c r="B1158" s="8" t="s">
        <v>54624</v>
      </c>
    </row>
    <row r="1159" spans="1:2" ht="14.5" x14ac:dyDescent="0.35">
      <c r="A1159" s="8" t="s">
        <v>54452</v>
      </c>
      <c r="B1159" s="8" t="s">
        <v>58762</v>
      </c>
    </row>
    <row r="1160" spans="1:2" ht="14.5" x14ac:dyDescent="0.35">
      <c r="A1160" s="8" t="s">
        <v>54452</v>
      </c>
      <c r="B1160" s="8" t="s">
        <v>58763</v>
      </c>
    </row>
    <row r="1161" spans="1:2" ht="14.5" x14ac:dyDescent="0.35">
      <c r="A1161" s="8" t="s">
        <v>54452</v>
      </c>
      <c r="B1161" s="8" t="s">
        <v>58764</v>
      </c>
    </row>
    <row r="1162" spans="1:2" ht="14.5" x14ac:dyDescent="0.35">
      <c r="A1162" s="8" t="s">
        <v>54452</v>
      </c>
      <c r="B1162" s="8" t="s">
        <v>58765</v>
      </c>
    </row>
    <row r="1163" spans="1:2" ht="14.5" x14ac:dyDescent="0.35">
      <c r="A1163" s="8" t="s">
        <v>54452</v>
      </c>
      <c r="B1163" s="8" t="s">
        <v>58766</v>
      </c>
    </row>
    <row r="1164" spans="1:2" ht="14.5" x14ac:dyDescent="0.35">
      <c r="A1164" s="8" t="s">
        <v>54452</v>
      </c>
      <c r="B1164" s="8" t="s">
        <v>54505</v>
      </c>
    </row>
    <row r="1165" spans="1:2" ht="14.5" x14ac:dyDescent="0.35">
      <c r="A1165" s="8" t="s">
        <v>54452</v>
      </c>
      <c r="B1165" s="8" t="s">
        <v>54535</v>
      </c>
    </row>
    <row r="1166" spans="1:2" ht="14.5" x14ac:dyDescent="0.35">
      <c r="A1166" s="8" t="s">
        <v>54452</v>
      </c>
      <c r="B1166" s="8" t="s">
        <v>54536</v>
      </c>
    </row>
    <row r="1167" spans="1:2" ht="14.5" x14ac:dyDescent="0.35">
      <c r="A1167" s="8" t="s">
        <v>54452</v>
      </c>
      <c r="B1167" s="8" t="s">
        <v>58767</v>
      </c>
    </row>
    <row r="1168" spans="1:2" ht="14.5" x14ac:dyDescent="0.35">
      <c r="A1168" s="8" t="s">
        <v>54452</v>
      </c>
      <c r="B1168" s="8" t="s">
        <v>58768</v>
      </c>
    </row>
    <row r="1169" spans="1:2" ht="14.5" x14ac:dyDescent="0.35">
      <c r="A1169" s="8" t="s">
        <v>54452</v>
      </c>
      <c r="B1169" s="8" t="s">
        <v>58769</v>
      </c>
    </row>
    <row r="1170" spans="1:2" ht="14.5" x14ac:dyDescent="0.35">
      <c r="A1170" s="8" t="s">
        <v>54452</v>
      </c>
      <c r="B1170" s="8" t="s">
        <v>54506</v>
      </c>
    </row>
    <row r="1171" spans="1:2" ht="14.5" x14ac:dyDescent="0.35">
      <c r="A1171" s="8" t="s">
        <v>54452</v>
      </c>
      <c r="B1171" s="8" t="s">
        <v>58770</v>
      </c>
    </row>
    <row r="1172" spans="1:2" ht="14.5" x14ac:dyDescent="0.35">
      <c r="A1172" s="8" t="s">
        <v>54452</v>
      </c>
      <c r="B1172" s="8" t="s">
        <v>54476</v>
      </c>
    </row>
    <row r="1173" spans="1:2" ht="14.5" x14ac:dyDescent="0.35">
      <c r="A1173" s="8" t="s">
        <v>54452</v>
      </c>
      <c r="B1173" s="8" t="s">
        <v>54494</v>
      </c>
    </row>
    <row r="1174" spans="1:2" ht="14.5" x14ac:dyDescent="0.35">
      <c r="A1174" s="8" t="s">
        <v>54452</v>
      </c>
      <c r="B1174" s="8" t="s">
        <v>54495</v>
      </c>
    </row>
    <row r="1175" spans="1:2" ht="14.5" x14ac:dyDescent="0.35">
      <c r="A1175" s="8" t="s">
        <v>54452</v>
      </c>
      <c r="B1175" s="8" t="s">
        <v>54548</v>
      </c>
    </row>
    <row r="1176" spans="1:2" ht="14.5" x14ac:dyDescent="0.35">
      <c r="A1176" s="8" t="s">
        <v>54452</v>
      </c>
      <c r="B1176" s="8" t="s">
        <v>54625</v>
      </c>
    </row>
    <row r="1177" spans="1:2" ht="14.5" x14ac:dyDescent="0.35">
      <c r="A1177" s="8" t="s">
        <v>54452</v>
      </c>
      <c r="B1177" s="8" t="s">
        <v>54626</v>
      </c>
    </row>
    <row r="1178" spans="1:2" ht="14.5" x14ac:dyDescent="0.35">
      <c r="A1178" s="8" t="s">
        <v>54452</v>
      </c>
      <c r="B1178" s="8" t="s">
        <v>54566</v>
      </c>
    </row>
    <row r="1179" spans="1:2" ht="14.5" x14ac:dyDescent="0.35">
      <c r="A1179" s="8" t="s">
        <v>54452</v>
      </c>
      <c r="B1179" s="8" t="s">
        <v>58771</v>
      </c>
    </row>
    <row r="1180" spans="1:2" ht="14.5" x14ac:dyDescent="0.35">
      <c r="A1180" s="8" t="s">
        <v>54452</v>
      </c>
      <c r="B1180" s="8" t="s">
        <v>54588</v>
      </c>
    </row>
    <row r="1181" spans="1:2" ht="14.5" x14ac:dyDescent="0.35">
      <c r="A1181" s="8" t="s">
        <v>54452</v>
      </c>
      <c r="B1181" s="8" t="s">
        <v>54589</v>
      </c>
    </row>
    <row r="1182" spans="1:2" ht="14.5" x14ac:dyDescent="0.35">
      <c r="A1182" s="8" t="s">
        <v>54452</v>
      </c>
      <c r="B1182" s="8" t="s">
        <v>54590</v>
      </c>
    </row>
    <row r="1183" spans="1:2" ht="14.5" x14ac:dyDescent="0.35">
      <c r="A1183" s="8" t="s">
        <v>54452</v>
      </c>
      <c r="B1183" s="8" t="s">
        <v>54477</v>
      </c>
    </row>
    <row r="1184" spans="1:2" ht="14.5" x14ac:dyDescent="0.35">
      <c r="A1184" s="8" t="s">
        <v>54452</v>
      </c>
      <c r="B1184" s="8" t="s">
        <v>54478</v>
      </c>
    </row>
    <row r="1185" spans="1:2" ht="14.5" x14ac:dyDescent="0.35">
      <c r="A1185" s="8" t="s">
        <v>54452</v>
      </c>
      <c r="B1185" s="8" t="s">
        <v>54479</v>
      </c>
    </row>
    <row r="1186" spans="1:2" ht="14.5" x14ac:dyDescent="0.35">
      <c r="A1186" s="8" t="s">
        <v>54452</v>
      </c>
      <c r="B1186" s="8" t="s">
        <v>54480</v>
      </c>
    </row>
    <row r="1187" spans="1:2" ht="14.5" x14ac:dyDescent="0.35">
      <c r="A1187" s="8" t="s">
        <v>54452</v>
      </c>
      <c r="B1187" s="8" t="s">
        <v>54481</v>
      </c>
    </row>
    <row r="1188" spans="1:2" ht="14.5" x14ac:dyDescent="0.35">
      <c r="A1188" s="8" t="s">
        <v>54452</v>
      </c>
      <c r="B1188" s="8" t="s">
        <v>54482</v>
      </c>
    </row>
    <row r="1189" spans="1:2" ht="14.5" x14ac:dyDescent="0.35">
      <c r="A1189" s="8" t="s">
        <v>54452</v>
      </c>
      <c r="B1189" s="8" t="s">
        <v>54483</v>
      </c>
    </row>
    <row r="1190" spans="1:2" ht="14.5" x14ac:dyDescent="0.35">
      <c r="A1190" s="8" t="s">
        <v>54452</v>
      </c>
      <c r="B1190" s="8" t="s">
        <v>54591</v>
      </c>
    </row>
    <row r="1191" spans="1:2" ht="14.5" x14ac:dyDescent="0.35">
      <c r="A1191" s="8" t="s">
        <v>54452</v>
      </c>
      <c r="B1191" s="8" t="s">
        <v>54592</v>
      </c>
    </row>
    <row r="1192" spans="1:2" ht="14.5" x14ac:dyDescent="0.35">
      <c r="A1192" s="8" t="s">
        <v>54452</v>
      </c>
      <c r="B1192" s="8" t="s">
        <v>54593</v>
      </c>
    </row>
    <row r="1193" spans="1:2" ht="14.5" x14ac:dyDescent="0.35">
      <c r="A1193" s="8" t="s">
        <v>54452</v>
      </c>
      <c r="B1193" s="8" t="s">
        <v>54594</v>
      </c>
    </row>
    <row r="1194" spans="1:2" ht="14.5" x14ac:dyDescent="0.35">
      <c r="A1194" s="8" t="s">
        <v>54452</v>
      </c>
      <c r="B1194" s="8" t="s">
        <v>54595</v>
      </c>
    </row>
    <row r="1195" spans="1:2" ht="14.5" x14ac:dyDescent="0.35">
      <c r="A1195" s="8" t="s">
        <v>54452</v>
      </c>
      <c r="B1195" s="8" t="s">
        <v>54596</v>
      </c>
    </row>
    <row r="1196" spans="1:2" ht="14.5" x14ac:dyDescent="0.35">
      <c r="A1196" s="8" t="s">
        <v>54452</v>
      </c>
      <c r="B1196" s="8" t="s">
        <v>54597</v>
      </c>
    </row>
    <row r="1197" spans="1:2" ht="14.5" x14ac:dyDescent="0.35">
      <c r="A1197" s="8" t="s">
        <v>54452</v>
      </c>
      <c r="B1197" s="8" t="s">
        <v>54598</v>
      </c>
    </row>
    <row r="1198" spans="1:2" ht="14.5" x14ac:dyDescent="0.35">
      <c r="A1198" s="8" t="s">
        <v>54452</v>
      </c>
      <c r="B1198" s="8" t="s">
        <v>54599</v>
      </c>
    </row>
    <row r="1199" spans="1:2" ht="14.5" x14ac:dyDescent="0.35">
      <c r="A1199" s="8" t="s">
        <v>54452</v>
      </c>
      <c r="B1199" s="8" t="s">
        <v>54600</v>
      </c>
    </row>
    <row r="1200" spans="1:2" ht="14.5" x14ac:dyDescent="0.35">
      <c r="A1200" s="8" t="s">
        <v>54452</v>
      </c>
      <c r="B1200" s="8" t="s">
        <v>54484</v>
      </c>
    </row>
    <row r="1201" spans="1:2" ht="14.5" x14ac:dyDescent="0.35">
      <c r="A1201" s="8" t="s">
        <v>54452</v>
      </c>
      <c r="B1201" s="8" t="s">
        <v>58772</v>
      </c>
    </row>
    <row r="1202" spans="1:2" ht="14.5" x14ac:dyDescent="0.35">
      <c r="A1202" s="8" t="s">
        <v>54452</v>
      </c>
      <c r="B1202" s="8" t="s">
        <v>54601</v>
      </c>
    </row>
    <row r="1203" spans="1:2" ht="14.5" x14ac:dyDescent="0.35">
      <c r="A1203" s="8" t="s">
        <v>54452</v>
      </c>
      <c r="B1203" s="8" t="s">
        <v>58773</v>
      </c>
    </row>
    <row r="1204" spans="1:2" ht="14.5" x14ac:dyDescent="0.35">
      <c r="A1204" s="8" t="s">
        <v>54452</v>
      </c>
      <c r="B1204" s="8" t="s">
        <v>58774</v>
      </c>
    </row>
    <row r="1205" spans="1:2" ht="14.5" x14ac:dyDescent="0.35">
      <c r="A1205" s="8" t="s">
        <v>54452</v>
      </c>
      <c r="B1205" s="8" t="s">
        <v>58775</v>
      </c>
    </row>
    <row r="1206" spans="1:2" ht="14.5" x14ac:dyDescent="0.35">
      <c r="A1206" s="8" t="s">
        <v>54452</v>
      </c>
      <c r="B1206" s="8" t="s">
        <v>58776</v>
      </c>
    </row>
    <row r="1207" spans="1:2" ht="14.5" x14ac:dyDescent="0.35">
      <c r="A1207" s="8" t="s">
        <v>54452</v>
      </c>
      <c r="B1207" s="8" t="s">
        <v>58777</v>
      </c>
    </row>
    <row r="1208" spans="1:2" ht="14.5" x14ac:dyDescent="0.35">
      <c r="A1208" s="8" t="s">
        <v>54452</v>
      </c>
      <c r="B1208" s="8" t="s">
        <v>54574</v>
      </c>
    </row>
    <row r="1209" spans="1:2" ht="14.5" x14ac:dyDescent="0.35">
      <c r="A1209" s="8" t="s">
        <v>54452</v>
      </c>
      <c r="B1209" s="8" t="s">
        <v>58778</v>
      </c>
    </row>
    <row r="1210" spans="1:2" ht="14.5" x14ac:dyDescent="0.35">
      <c r="A1210" s="8" t="s">
        <v>54452</v>
      </c>
      <c r="B1210" s="8" t="s">
        <v>58779</v>
      </c>
    </row>
    <row r="1211" spans="1:2" ht="14.5" x14ac:dyDescent="0.35">
      <c r="A1211" s="8" t="s">
        <v>54452</v>
      </c>
      <c r="B1211" s="8" t="s">
        <v>54575</v>
      </c>
    </row>
    <row r="1212" spans="1:2" ht="14.5" x14ac:dyDescent="0.35">
      <c r="A1212" s="8" t="s">
        <v>54452</v>
      </c>
      <c r="B1212" s="8" t="s">
        <v>58780</v>
      </c>
    </row>
    <row r="1213" spans="1:2" ht="14.5" x14ac:dyDescent="0.35">
      <c r="A1213" s="8" t="s">
        <v>54452</v>
      </c>
      <c r="B1213" s="8" t="s">
        <v>54572</v>
      </c>
    </row>
    <row r="1214" spans="1:2" ht="14.5" x14ac:dyDescent="0.35">
      <c r="A1214" s="8" t="s">
        <v>54452</v>
      </c>
      <c r="B1214" s="8" t="s">
        <v>54576</v>
      </c>
    </row>
    <row r="1215" spans="1:2" ht="14.5" x14ac:dyDescent="0.35">
      <c r="A1215" s="8" t="s">
        <v>54452</v>
      </c>
      <c r="B1215" s="8" t="s">
        <v>58781</v>
      </c>
    </row>
    <row r="1216" spans="1:2" ht="14.5" x14ac:dyDescent="0.35">
      <c r="A1216" s="8" t="s">
        <v>54452</v>
      </c>
      <c r="B1216" s="8" t="s">
        <v>58782</v>
      </c>
    </row>
    <row r="1217" spans="1:2" ht="14.5" x14ac:dyDescent="0.35">
      <c r="A1217" s="8" t="s">
        <v>54452</v>
      </c>
      <c r="B1217" s="8" t="s">
        <v>58783</v>
      </c>
    </row>
    <row r="1218" spans="1:2" ht="14.5" x14ac:dyDescent="0.35">
      <c r="A1218" s="8" t="s">
        <v>54452</v>
      </c>
      <c r="B1218" s="8" t="s">
        <v>58784</v>
      </c>
    </row>
    <row r="1219" spans="1:2" ht="14.5" x14ac:dyDescent="0.35">
      <c r="A1219" s="8" t="s">
        <v>54452</v>
      </c>
      <c r="B1219" s="8" t="s">
        <v>58785</v>
      </c>
    </row>
    <row r="1220" spans="1:2" ht="14.5" x14ac:dyDescent="0.35">
      <c r="A1220" s="8" t="s">
        <v>54452</v>
      </c>
      <c r="B1220" s="8" t="s">
        <v>58786</v>
      </c>
    </row>
    <row r="1221" spans="1:2" ht="14.5" x14ac:dyDescent="0.35">
      <c r="A1221" s="8" t="s">
        <v>54452</v>
      </c>
      <c r="B1221" s="8" t="s">
        <v>58787</v>
      </c>
    </row>
    <row r="1222" spans="1:2" ht="14.5" x14ac:dyDescent="0.35">
      <c r="A1222" s="8" t="s">
        <v>54452</v>
      </c>
      <c r="B1222" s="8" t="s">
        <v>54558</v>
      </c>
    </row>
    <row r="1223" spans="1:2" ht="14.5" x14ac:dyDescent="0.35">
      <c r="A1223" s="8" t="s">
        <v>54452</v>
      </c>
      <c r="B1223" s="8" t="s">
        <v>54496</v>
      </c>
    </row>
    <row r="1224" spans="1:2" ht="14.5" x14ac:dyDescent="0.35">
      <c r="A1224" s="8" t="s">
        <v>54452</v>
      </c>
      <c r="B1224" s="8" t="s">
        <v>54488</v>
      </c>
    </row>
    <row r="1225" spans="1:2" ht="14.5" x14ac:dyDescent="0.35">
      <c r="A1225" s="8" t="s">
        <v>54452</v>
      </c>
      <c r="B1225" s="8" t="s">
        <v>54485</v>
      </c>
    </row>
    <row r="1226" spans="1:2" ht="14.5" x14ac:dyDescent="0.35">
      <c r="A1226" s="8" t="s">
        <v>54452</v>
      </c>
      <c r="B1226" s="8" t="s">
        <v>58788</v>
      </c>
    </row>
    <row r="1227" spans="1:2" ht="14.5" x14ac:dyDescent="0.35">
      <c r="A1227" s="8" t="s">
        <v>54452</v>
      </c>
      <c r="B1227" s="8" t="s">
        <v>58789</v>
      </c>
    </row>
    <row r="1228" spans="1:2" ht="14.5" x14ac:dyDescent="0.35">
      <c r="A1228" s="8" t="s">
        <v>54452</v>
      </c>
      <c r="B1228" s="8" t="s">
        <v>54577</v>
      </c>
    </row>
    <row r="1229" spans="1:2" ht="14.5" x14ac:dyDescent="0.35">
      <c r="A1229" s="8" t="s">
        <v>54452</v>
      </c>
      <c r="B1229" s="8" t="s">
        <v>54497</v>
      </c>
    </row>
    <row r="1230" spans="1:2" ht="14.5" x14ac:dyDescent="0.35">
      <c r="A1230" s="8" t="s">
        <v>54452</v>
      </c>
      <c r="B1230" s="8" t="s">
        <v>54498</v>
      </c>
    </row>
    <row r="1231" spans="1:2" ht="14.5" x14ac:dyDescent="0.35">
      <c r="A1231" s="8" t="s">
        <v>54452</v>
      </c>
      <c r="B1231" s="8" t="s">
        <v>54537</v>
      </c>
    </row>
    <row r="1232" spans="1:2" ht="14.5" x14ac:dyDescent="0.35">
      <c r="A1232" s="8" t="s">
        <v>54452</v>
      </c>
      <c r="B1232" s="8" t="s">
        <v>54538</v>
      </c>
    </row>
    <row r="1233" spans="1:2" ht="14.5" x14ac:dyDescent="0.35">
      <c r="A1233" s="8" t="s">
        <v>54452</v>
      </c>
      <c r="B1233" s="8" t="s">
        <v>54549</v>
      </c>
    </row>
    <row r="1234" spans="1:2" ht="14.5" x14ac:dyDescent="0.35">
      <c r="A1234" s="8" t="s">
        <v>54452</v>
      </c>
      <c r="B1234" s="8" t="s">
        <v>54527</v>
      </c>
    </row>
    <row r="1235" spans="1:2" ht="14.5" x14ac:dyDescent="0.35">
      <c r="A1235" s="8" t="s">
        <v>54452</v>
      </c>
      <c r="B1235" s="8" t="s">
        <v>54567</v>
      </c>
    </row>
    <row r="1236" spans="1:2" ht="14.5" x14ac:dyDescent="0.35">
      <c r="A1236" s="8" t="s">
        <v>54452</v>
      </c>
      <c r="B1236" s="8" t="s">
        <v>54528</v>
      </c>
    </row>
    <row r="1237" spans="1:2" ht="14.5" x14ac:dyDescent="0.35">
      <c r="A1237" s="8" t="s">
        <v>54452</v>
      </c>
      <c r="B1237" s="8" t="s">
        <v>54507</v>
      </c>
    </row>
    <row r="1238" spans="1:2" ht="14.5" x14ac:dyDescent="0.35">
      <c r="A1238" s="8" t="s">
        <v>54452</v>
      </c>
      <c r="B1238" s="8" t="s">
        <v>58790</v>
      </c>
    </row>
    <row r="1239" spans="1:2" ht="14.5" x14ac:dyDescent="0.35">
      <c r="A1239" s="8" t="s">
        <v>54452</v>
      </c>
      <c r="B1239" s="8" t="s">
        <v>54627</v>
      </c>
    </row>
    <row r="1240" spans="1:2" ht="14.5" x14ac:dyDescent="0.35">
      <c r="A1240" s="8" t="s">
        <v>54452</v>
      </c>
      <c r="B1240" s="8" t="s">
        <v>54602</v>
      </c>
    </row>
    <row r="1241" spans="1:2" ht="14.5" x14ac:dyDescent="0.35">
      <c r="A1241" s="8" t="s">
        <v>54452</v>
      </c>
      <c r="B1241" s="8" t="s">
        <v>54603</v>
      </c>
    </row>
    <row r="1242" spans="1:2" ht="14.5" x14ac:dyDescent="0.35">
      <c r="A1242" s="8" t="s">
        <v>54452</v>
      </c>
      <c r="B1242" s="8" t="s">
        <v>54578</v>
      </c>
    </row>
    <row r="1243" spans="1:2" ht="14.5" x14ac:dyDescent="0.35">
      <c r="A1243" s="8" t="s">
        <v>54452</v>
      </c>
      <c r="B1243" s="8" t="s">
        <v>54579</v>
      </c>
    </row>
    <row r="1244" spans="1:2" ht="14.5" x14ac:dyDescent="0.35">
      <c r="A1244" s="8" t="s">
        <v>54452</v>
      </c>
      <c r="B1244" s="8" t="s">
        <v>54580</v>
      </c>
    </row>
    <row r="1245" spans="1:2" ht="14.5" x14ac:dyDescent="0.35">
      <c r="A1245" s="8" t="s">
        <v>54452</v>
      </c>
      <c r="B1245" s="8" t="s">
        <v>54581</v>
      </c>
    </row>
    <row r="1246" spans="1:2" ht="14.5" x14ac:dyDescent="0.35">
      <c r="A1246" s="8" t="s">
        <v>54452</v>
      </c>
      <c r="B1246" s="8" t="s">
        <v>54582</v>
      </c>
    </row>
    <row r="1247" spans="1:2" ht="14.5" x14ac:dyDescent="0.35">
      <c r="A1247" s="8" t="s">
        <v>54452</v>
      </c>
      <c r="B1247" s="8" t="s">
        <v>54508</v>
      </c>
    </row>
    <row r="1248" spans="1:2" ht="14.5" x14ac:dyDescent="0.35">
      <c r="A1248" s="8" t="s">
        <v>54452</v>
      </c>
      <c r="B1248" s="8" t="s">
        <v>54568</v>
      </c>
    </row>
    <row r="1249" spans="1:2" ht="14.5" x14ac:dyDescent="0.35">
      <c r="A1249" s="8" t="s">
        <v>54452</v>
      </c>
      <c r="B1249" s="8" t="s">
        <v>58791</v>
      </c>
    </row>
    <row r="1250" spans="1:2" ht="14.5" x14ac:dyDescent="0.35">
      <c r="A1250" s="8" t="s">
        <v>54452</v>
      </c>
      <c r="B1250" s="8" t="s">
        <v>54499</v>
      </c>
    </row>
    <row r="1251" spans="1:2" ht="14.5" x14ac:dyDescent="0.35">
      <c r="A1251" s="8" t="s">
        <v>54452</v>
      </c>
      <c r="B1251" s="8" t="s">
        <v>58792</v>
      </c>
    </row>
    <row r="1252" spans="1:2" ht="14.5" x14ac:dyDescent="0.35">
      <c r="A1252" s="8" t="s">
        <v>54452</v>
      </c>
      <c r="B1252" s="8" t="s">
        <v>54604</v>
      </c>
    </row>
    <row r="1253" spans="1:2" ht="14.5" x14ac:dyDescent="0.35">
      <c r="A1253" s="8" t="s">
        <v>54452</v>
      </c>
      <c r="B1253" s="8" t="s">
        <v>58793</v>
      </c>
    </row>
    <row r="1254" spans="1:2" ht="14.5" x14ac:dyDescent="0.35">
      <c r="A1254" s="8" t="s">
        <v>54452</v>
      </c>
      <c r="B1254" s="8" t="s">
        <v>58794</v>
      </c>
    </row>
    <row r="1255" spans="1:2" ht="14.5" x14ac:dyDescent="0.35">
      <c r="A1255" s="8" t="s">
        <v>54452</v>
      </c>
      <c r="B1255" s="8" t="s">
        <v>58795</v>
      </c>
    </row>
    <row r="1256" spans="1:2" ht="14.5" x14ac:dyDescent="0.35">
      <c r="A1256" s="8" t="s">
        <v>54452</v>
      </c>
      <c r="B1256" s="8" t="s">
        <v>58796</v>
      </c>
    </row>
    <row r="1257" spans="1:2" ht="14.5" x14ac:dyDescent="0.35">
      <c r="A1257" s="8" t="s">
        <v>54452</v>
      </c>
      <c r="B1257" s="8" t="s">
        <v>54550</v>
      </c>
    </row>
    <row r="1258" spans="1:2" ht="14.5" x14ac:dyDescent="0.35">
      <c r="A1258" s="8" t="s">
        <v>54452</v>
      </c>
      <c r="B1258" s="8" t="s">
        <v>54513</v>
      </c>
    </row>
    <row r="1259" spans="1:2" ht="14.5" x14ac:dyDescent="0.35">
      <c r="A1259" s="8" t="s">
        <v>54452</v>
      </c>
      <c r="B1259" s="8" t="s">
        <v>54514</v>
      </c>
    </row>
    <row r="1260" spans="1:2" ht="14.5" x14ac:dyDescent="0.35">
      <c r="A1260" s="8" t="s">
        <v>54452</v>
      </c>
      <c r="B1260" s="8" t="s">
        <v>54515</v>
      </c>
    </row>
    <row r="1261" spans="1:2" ht="14.5" x14ac:dyDescent="0.35">
      <c r="A1261" s="8" t="s">
        <v>54452</v>
      </c>
      <c r="B1261" s="8" t="s">
        <v>54516</v>
      </c>
    </row>
    <row r="1262" spans="1:2" ht="14.5" x14ac:dyDescent="0.35">
      <c r="A1262" s="8" t="s">
        <v>54452</v>
      </c>
      <c r="B1262" s="8" t="s">
        <v>54517</v>
      </c>
    </row>
    <row r="1263" spans="1:2" ht="14.5" x14ac:dyDescent="0.35">
      <c r="A1263" s="8" t="s">
        <v>54452</v>
      </c>
      <c r="B1263" s="8" t="s">
        <v>54518</v>
      </c>
    </row>
    <row r="1264" spans="1:2" ht="14.5" x14ac:dyDescent="0.35">
      <c r="A1264" s="8" t="s">
        <v>54452</v>
      </c>
      <c r="B1264" s="8" t="s">
        <v>54519</v>
      </c>
    </row>
    <row r="1265" spans="1:2" ht="14.5" x14ac:dyDescent="0.35">
      <c r="A1265" s="8" t="s">
        <v>54452</v>
      </c>
      <c r="B1265" s="8" t="s">
        <v>54520</v>
      </c>
    </row>
    <row r="1266" spans="1:2" ht="14.5" x14ac:dyDescent="0.35">
      <c r="A1266" s="8" t="s">
        <v>54452</v>
      </c>
      <c r="B1266" s="8" t="s">
        <v>54521</v>
      </c>
    </row>
    <row r="1267" spans="1:2" ht="14.5" x14ac:dyDescent="0.35">
      <c r="A1267" s="8" t="s">
        <v>54452</v>
      </c>
      <c r="B1267" s="8" t="s">
        <v>54522</v>
      </c>
    </row>
    <row r="1268" spans="1:2" ht="14.5" x14ac:dyDescent="0.35">
      <c r="A1268" s="8" t="s">
        <v>54452</v>
      </c>
      <c r="B1268" s="8" t="s">
        <v>54489</v>
      </c>
    </row>
    <row r="1269" spans="1:2" ht="14.5" x14ac:dyDescent="0.35">
      <c r="A1269" s="8" t="s">
        <v>54452</v>
      </c>
      <c r="B1269" s="8" t="s">
        <v>54571</v>
      </c>
    </row>
    <row r="1270" spans="1:2" ht="14.5" x14ac:dyDescent="0.35">
      <c r="A1270" s="8" t="s">
        <v>54452</v>
      </c>
      <c r="B1270" s="8" t="s">
        <v>54490</v>
      </c>
    </row>
    <row r="1271" spans="1:2" ht="14.5" x14ac:dyDescent="0.35">
      <c r="A1271" s="8" t="s">
        <v>54452</v>
      </c>
      <c r="B1271" s="8" t="s">
        <v>54486</v>
      </c>
    </row>
    <row r="1272" spans="1:2" ht="14.5" x14ac:dyDescent="0.35">
      <c r="A1272" s="8" t="s">
        <v>54452</v>
      </c>
      <c r="B1272" s="8" t="s">
        <v>54573</v>
      </c>
    </row>
    <row r="1273" spans="1:2" ht="14.5" x14ac:dyDescent="0.35">
      <c r="A1273" s="8" t="s">
        <v>54452</v>
      </c>
      <c r="B1273" s="8" t="s">
        <v>54491</v>
      </c>
    </row>
    <row r="1274" spans="1:2" ht="14.5" x14ac:dyDescent="0.35">
      <c r="A1274" s="8" t="s">
        <v>54452</v>
      </c>
      <c r="B1274" s="8" t="s">
        <v>54532</v>
      </c>
    </row>
    <row r="1275" spans="1:2" ht="14.5" x14ac:dyDescent="0.35">
      <c r="A1275" s="8" t="s">
        <v>54452</v>
      </c>
      <c r="B1275" s="8" t="s">
        <v>54605</v>
      </c>
    </row>
    <row r="1276" spans="1:2" ht="14.5" x14ac:dyDescent="0.35">
      <c r="A1276" s="8" t="s">
        <v>54452</v>
      </c>
      <c r="B1276" s="8" t="s">
        <v>54509</v>
      </c>
    </row>
    <row r="1277" spans="1:2" ht="14.5" x14ac:dyDescent="0.35">
      <c r="A1277" s="8" t="s">
        <v>54452</v>
      </c>
      <c r="B1277" s="8" t="s">
        <v>58797</v>
      </c>
    </row>
    <row r="1278" spans="1:2" ht="14.5" x14ac:dyDescent="0.35">
      <c r="A1278" s="8" t="s">
        <v>54452</v>
      </c>
      <c r="B1278" s="8" t="s">
        <v>54559</v>
      </c>
    </row>
    <row r="1279" spans="1:2" ht="14.5" x14ac:dyDescent="0.35">
      <c r="A1279" s="8" t="s">
        <v>54452</v>
      </c>
      <c r="B1279" s="8" t="s">
        <v>54628</v>
      </c>
    </row>
    <row r="1280" spans="1:2" ht="14.5" x14ac:dyDescent="0.35">
      <c r="A1280" s="8" t="s">
        <v>54452</v>
      </c>
      <c r="B1280" s="8" t="s">
        <v>54529</v>
      </c>
    </row>
    <row r="1281" spans="1:2" ht="14.5" x14ac:dyDescent="0.35">
      <c r="A1281" s="8" t="s">
        <v>54452</v>
      </c>
      <c r="B1281" s="8" t="s">
        <v>54606</v>
      </c>
    </row>
    <row r="1282" spans="1:2" ht="14.5" x14ac:dyDescent="0.35">
      <c r="A1282" s="8" t="s">
        <v>54452</v>
      </c>
      <c r="B1282" s="8" t="s">
        <v>54539</v>
      </c>
    </row>
    <row r="1283" spans="1:2" ht="14.5" x14ac:dyDescent="0.35">
      <c r="A1283" s="8" t="s">
        <v>54452</v>
      </c>
      <c r="B1283" s="8" t="s">
        <v>54510</v>
      </c>
    </row>
    <row r="1284" spans="1:2" ht="14.5" x14ac:dyDescent="0.35">
      <c r="A1284" s="8" t="s">
        <v>54452</v>
      </c>
      <c r="B1284" s="8" t="s">
        <v>54629</v>
      </c>
    </row>
    <row r="1285" spans="1:2" ht="14.5" x14ac:dyDescent="0.35">
      <c r="A1285" s="8" t="s">
        <v>54452</v>
      </c>
      <c r="B1285" s="8" t="s">
        <v>54630</v>
      </c>
    </row>
    <row r="1286" spans="1:2" ht="14.5" x14ac:dyDescent="0.35">
      <c r="A1286" s="8" t="s">
        <v>54452</v>
      </c>
      <c r="B1286" s="8" t="s">
        <v>54540</v>
      </c>
    </row>
    <row r="1287" spans="1:2" ht="14.5" x14ac:dyDescent="0.35">
      <c r="A1287" s="8" t="s">
        <v>54452</v>
      </c>
      <c r="B1287" s="8" t="s">
        <v>58798</v>
      </c>
    </row>
    <row r="1288" spans="1:2" ht="14.5" x14ac:dyDescent="0.35">
      <c r="A1288" s="8" t="s">
        <v>54452</v>
      </c>
      <c r="B1288" s="8" t="s">
        <v>54583</v>
      </c>
    </row>
    <row r="1289" spans="1:2" ht="14.5" x14ac:dyDescent="0.35">
      <c r="A1289" s="8" t="s">
        <v>54452</v>
      </c>
      <c r="B1289" s="8" t="s">
        <v>54584</v>
      </c>
    </row>
    <row r="1290" spans="1:2" ht="14.5" x14ac:dyDescent="0.35">
      <c r="A1290" s="8" t="s">
        <v>54452</v>
      </c>
      <c r="B1290" s="8" t="s">
        <v>54554</v>
      </c>
    </row>
    <row r="1291" spans="1:2" ht="14.5" x14ac:dyDescent="0.35">
      <c r="A1291" s="8" t="s">
        <v>54452</v>
      </c>
      <c r="B1291" s="8" t="s">
        <v>54555</v>
      </c>
    </row>
    <row r="1292" spans="1:2" ht="14.5" x14ac:dyDescent="0.35">
      <c r="A1292" s="8" t="s">
        <v>54452</v>
      </c>
      <c r="B1292" s="8" t="s">
        <v>58799</v>
      </c>
    </row>
    <row r="1293" spans="1:2" ht="14.5" x14ac:dyDescent="0.35">
      <c r="A1293" s="8" t="s">
        <v>54452</v>
      </c>
      <c r="B1293" s="8" t="s">
        <v>54556</v>
      </c>
    </row>
    <row r="1294" spans="1:2" ht="14.5" x14ac:dyDescent="0.35">
      <c r="A1294" s="8" t="s">
        <v>54452</v>
      </c>
      <c r="B1294" s="8" t="s">
        <v>54607</v>
      </c>
    </row>
    <row r="1295" spans="1:2" ht="14.5" x14ac:dyDescent="0.35">
      <c r="A1295" s="8" t="s">
        <v>54452</v>
      </c>
      <c r="B1295" s="8" t="s">
        <v>54492</v>
      </c>
    </row>
    <row r="1296" spans="1:2" ht="14.5" x14ac:dyDescent="0.35">
      <c r="A1296" s="8" t="s">
        <v>54452</v>
      </c>
      <c r="B1296" s="8" t="s">
        <v>54487</v>
      </c>
    </row>
    <row r="1297" spans="1:2" ht="14.5" x14ac:dyDescent="0.35">
      <c r="A1297" s="8" t="s">
        <v>54452</v>
      </c>
      <c r="B1297" s="8" t="s">
        <v>58800</v>
      </c>
    </row>
    <row r="1298" spans="1:2" ht="14.5" x14ac:dyDescent="0.35">
      <c r="A1298" s="8" t="s">
        <v>54452</v>
      </c>
      <c r="B1298" s="8" t="s">
        <v>54569</v>
      </c>
    </row>
    <row r="1299" spans="1:2" ht="14.5" x14ac:dyDescent="0.35">
      <c r="A1299" s="8" t="s">
        <v>54452</v>
      </c>
      <c r="B1299" s="8" t="s">
        <v>54493</v>
      </c>
    </row>
    <row r="1300" spans="1:2" ht="14.5" x14ac:dyDescent="0.35">
      <c r="A1300" s="8" t="s">
        <v>54452</v>
      </c>
      <c r="B1300" s="8" t="s">
        <v>54557</v>
      </c>
    </row>
    <row r="1301" spans="1:2" ht="14.5" x14ac:dyDescent="0.35">
      <c r="A1301" s="8" t="s">
        <v>54452</v>
      </c>
      <c r="B1301" s="8" t="s">
        <v>54551</v>
      </c>
    </row>
    <row r="1302" spans="1:2" ht="14.5" x14ac:dyDescent="0.35">
      <c r="A1302" s="8" t="s">
        <v>54452</v>
      </c>
      <c r="B1302" s="8" t="s">
        <v>58801</v>
      </c>
    </row>
    <row r="1303" spans="1:2" ht="14.5" x14ac:dyDescent="0.35">
      <c r="A1303" s="8" t="s">
        <v>54452</v>
      </c>
      <c r="B1303" s="8" t="s">
        <v>58802</v>
      </c>
    </row>
    <row r="1304" spans="1:2" ht="14.5" x14ac:dyDescent="0.35">
      <c r="A1304" s="8" t="s">
        <v>54452</v>
      </c>
      <c r="B1304" s="8" t="s">
        <v>58803</v>
      </c>
    </row>
    <row r="1305" spans="1:2" ht="14.5" x14ac:dyDescent="0.35">
      <c r="A1305" s="8" t="s">
        <v>54452</v>
      </c>
      <c r="B1305" s="8" t="s">
        <v>58804</v>
      </c>
    </row>
    <row r="1306" spans="1:2" ht="14.5" x14ac:dyDescent="0.35">
      <c r="A1306" s="8" t="s">
        <v>54452</v>
      </c>
      <c r="B1306" s="8" t="s">
        <v>54608</v>
      </c>
    </row>
    <row r="1307" spans="1:2" ht="14.5" x14ac:dyDescent="0.35">
      <c r="A1307" s="8" t="s">
        <v>54452</v>
      </c>
      <c r="B1307" s="8" t="s">
        <v>54541</v>
      </c>
    </row>
    <row r="1308" spans="1:2" ht="14.5" x14ac:dyDescent="0.35">
      <c r="A1308" s="8" t="s">
        <v>54452</v>
      </c>
      <c r="B1308" s="8" t="s">
        <v>58805</v>
      </c>
    </row>
    <row r="1309" spans="1:2" ht="14.5" x14ac:dyDescent="0.35">
      <c r="A1309" s="8" t="s">
        <v>54452</v>
      </c>
      <c r="B1309" s="8" t="s">
        <v>58806</v>
      </c>
    </row>
    <row r="1310" spans="1:2" ht="14.5" x14ac:dyDescent="0.35">
      <c r="A1310" s="8" t="s">
        <v>54452</v>
      </c>
      <c r="B1310" s="8" t="s">
        <v>58807</v>
      </c>
    </row>
    <row r="1311" spans="1:2" ht="14.5" x14ac:dyDescent="0.35">
      <c r="A1311" s="8" t="s">
        <v>54452</v>
      </c>
      <c r="B1311" s="8" t="s">
        <v>54530</v>
      </c>
    </row>
    <row r="1312" spans="1:2" ht="14.5" x14ac:dyDescent="0.35">
      <c r="A1312" s="8" t="s">
        <v>54452</v>
      </c>
      <c r="B1312" s="8" t="s">
        <v>58808</v>
      </c>
    </row>
    <row r="1313" spans="1:2" ht="14.5" x14ac:dyDescent="0.35">
      <c r="A1313" s="8" t="s">
        <v>54452</v>
      </c>
      <c r="B1313" s="8" t="s">
        <v>58809</v>
      </c>
    </row>
    <row r="1314" spans="1:2" ht="14.5" x14ac:dyDescent="0.35">
      <c r="A1314" s="8" t="s">
        <v>54452</v>
      </c>
      <c r="B1314" s="8" t="s">
        <v>58810</v>
      </c>
    </row>
    <row r="1315" spans="1:2" ht="14.5" x14ac:dyDescent="0.35">
      <c r="A1315" s="8" t="s">
        <v>54452</v>
      </c>
      <c r="B1315" s="8" t="s">
        <v>58811</v>
      </c>
    </row>
    <row r="1316" spans="1:2" ht="14.5" x14ac:dyDescent="0.35">
      <c r="A1316" s="8" t="s">
        <v>54452</v>
      </c>
      <c r="B1316" s="8" t="s">
        <v>58812</v>
      </c>
    </row>
    <row r="1317" spans="1:2" ht="14.5" x14ac:dyDescent="0.35">
      <c r="A1317" s="8" t="s">
        <v>54452</v>
      </c>
      <c r="B1317" s="8" t="s">
        <v>54511</v>
      </c>
    </row>
    <row r="1318" spans="1:2" ht="14.5" x14ac:dyDescent="0.35">
      <c r="A1318" s="8" t="s">
        <v>54452</v>
      </c>
      <c r="B1318" s="8" t="s">
        <v>54500</v>
      </c>
    </row>
    <row r="1319" spans="1:2" ht="14.5" x14ac:dyDescent="0.35">
      <c r="A1319" s="8" t="s">
        <v>54452</v>
      </c>
      <c r="B1319" s="8" t="s">
        <v>54609</v>
      </c>
    </row>
    <row r="1320" spans="1:2" ht="14.5" x14ac:dyDescent="0.35">
      <c r="A1320" s="8" t="s">
        <v>54452</v>
      </c>
      <c r="B1320" s="8" t="s">
        <v>58813</v>
      </c>
    </row>
    <row r="1321" spans="1:2" ht="14.5" x14ac:dyDescent="0.35">
      <c r="A1321" s="8" t="s">
        <v>54452</v>
      </c>
      <c r="B1321" s="8" t="s">
        <v>54610</v>
      </c>
    </row>
    <row r="1322" spans="1:2" ht="14.5" x14ac:dyDescent="0.35">
      <c r="A1322" s="8" t="s">
        <v>54452</v>
      </c>
      <c r="B1322" s="8" t="s">
        <v>58814</v>
      </c>
    </row>
    <row r="1323" spans="1:2" ht="14.5" x14ac:dyDescent="0.35">
      <c r="A1323" s="8" t="s">
        <v>54452</v>
      </c>
      <c r="B1323" s="8" t="s">
        <v>54611</v>
      </c>
    </row>
    <row r="1324" spans="1:2" ht="14.5" x14ac:dyDescent="0.35">
      <c r="A1324" s="8" t="s">
        <v>54452</v>
      </c>
      <c r="B1324" s="8" t="s">
        <v>58815</v>
      </c>
    </row>
    <row r="1325" spans="1:2" ht="14.5" x14ac:dyDescent="0.35">
      <c r="A1325" s="8" t="s">
        <v>54452</v>
      </c>
      <c r="B1325" s="8" t="s">
        <v>54612</v>
      </c>
    </row>
    <row r="1326" spans="1:2" ht="14.5" x14ac:dyDescent="0.35">
      <c r="A1326" s="8" t="s">
        <v>54452</v>
      </c>
      <c r="B1326" s="8" t="s">
        <v>54613</v>
      </c>
    </row>
    <row r="1327" spans="1:2" ht="14.5" x14ac:dyDescent="0.35">
      <c r="A1327" s="8" t="s">
        <v>54452</v>
      </c>
      <c r="B1327" s="8" t="s">
        <v>54614</v>
      </c>
    </row>
    <row r="1328" spans="1:2" ht="14.5" x14ac:dyDescent="0.35">
      <c r="A1328" s="8" t="s">
        <v>54452</v>
      </c>
      <c r="B1328" s="8" t="s">
        <v>54570</v>
      </c>
    </row>
    <row r="1329" spans="1:2" ht="14.5" x14ac:dyDescent="0.35">
      <c r="A1329" s="8" t="s">
        <v>54452</v>
      </c>
      <c r="B1329" s="8" t="s">
        <v>54615</v>
      </c>
    </row>
    <row r="1330" spans="1:2" ht="14.5" x14ac:dyDescent="0.35">
      <c r="A1330" s="8" t="s">
        <v>54452</v>
      </c>
      <c r="B1330" s="8" t="s">
        <v>54616</v>
      </c>
    </row>
    <row r="1331" spans="1:2" ht="14.5" x14ac:dyDescent="0.35">
      <c r="A1331" s="8" t="s">
        <v>54452</v>
      </c>
      <c r="B1331" s="8" t="s">
        <v>54617</v>
      </c>
    </row>
    <row r="1332" spans="1:2" ht="14.5" x14ac:dyDescent="0.35">
      <c r="A1332" s="8" t="s">
        <v>54452</v>
      </c>
      <c r="B1332" s="8" t="s">
        <v>54618</v>
      </c>
    </row>
    <row r="1333" spans="1:2" ht="14.5" x14ac:dyDescent="0.35">
      <c r="A1333" s="8" t="s">
        <v>54452</v>
      </c>
      <c r="B1333" s="8" t="s">
        <v>54512</v>
      </c>
    </row>
    <row r="1334" spans="1:2" ht="14.5" x14ac:dyDescent="0.35">
      <c r="A1334" s="8" t="s">
        <v>54452</v>
      </c>
      <c r="B1334" s="8" t="s">
        <v>54531</v>
      </c>
    </row>
    <row r="1335" spans="1:2" ht="14.5" x14ac:dyDescent="0.35">
      <c r="A1335" s="8" t="s">
        <v>54452</v>
      </c>
      <c r="B1335" s="8" t="s">
        <v>54542</v>
      </c>
    </row>
    <row r="1336" spans="1:2" ht="14.5" x14ac:dyDescent="0.35">
      <c r="A1336" s="8" t="s">
        <v>54452</v>
      </c>
      <c r="B1336" s="8" t="s">
        <v>54552</v>
      </c>
    </row>
    <row r="1337" spans="1:2" ht="14.5" x14ac:dyDescent="0.35">
      <c r="A1337" s="8" t="s">
        <v>54452</v>
      </c>
      <c r="B1337" s="8" t="s">
        <v>54619</v>
      </c>
    </row>
    <row r="1338" spans="1:2" ht="14.5" x14ac:dyDescent="0.35">
      <c r="A1338" s="8" t="s">
        <v>54452</v>
      </c>
      <c r="B1338" s="8" t="s">
        <v>54620</v>
      </c>
    </row>
    <row r="1339" spans="1:2" ht="14.5" x14ac:dyDescent="0.35">
      <c r="A1339" s="8" t="s">
        <v>54452</v>
      </c>
      <c r="B1339" s="8" t="s">
        <v>54621</v>
      </c>
    </row>
    <row r="1340" spans="1:2" ht="14.5" x14ac:dyDescent="0.35">
      <c r="A1340" s="8" t="s">
        <v>54452</v>
      </c>
      <c r="B1340" s="8" t="s">
        <v>54501</v>
      </c>
    </row>
    <row r="1341" spans="1:2" ht="14.5" x14ac:dyDescent="0.35">
      <c r="A1341" s="8" t="s">
        <v>58564</v>
      </c>
      <c r="B1341" s="8" t="s">
        <v>58565</v>
      </c>
    </row>
    <row r="1342" spans="1:2" ht="14.5" x14ac:dyDescent="0.35">
      <c r="A1342" s="8" t="s">
        <v>58566</v>
      </c>
      <c r="B1342" s="8" t="s">
        <v>58567</v>
      </c>
    </row>
    <row r="1343" spans="1:2" ht="14.5" x14ac:dyDescent="0.35">
      <c r="A1343" s="8" t="s">
        <v>58568</v>
      </c>
      <c r="B1343" s="8" t="s">
        <v>58569</v>
      </c>
    </row>
    <row r="1344" spans="1:2" ht="14.5" x14ac:dyDescent="0.35">
      <c r="A1344" s="8" t="s">
        <v>58570</v>
      </c>
      <c r="B1344" s="8" t="s">
        <v>58571</v>
      </c>
    </row>
    <row r="1345" spans="1:2" ht="14.5" x14ac:dyDescent="0.35">
      <c r="A1345" s="8" t="s">
        <v>54631</v>
      </c>
      <c r="B1345" s="8" t="s">
        <v>54632</v>
      </c>
    </row>
    <row r="1346" spans="1:2" ht="14.5" x14ac:dyDescent="0.35">
      <c r="A1346" s="8" t="s">
        <v>54631</v>
      </c>
      <c r="B1346" s="8" t="s">
        <v>54633</v>
      </c>
    </row>
    <row r="1347" spans="1:2" ht="14.5" x14ac:dyDescent="0.35">
      <c r="A1347" s="8" t="s">
        <v>54631</v>
      </c>
      <c r="B1347" s="8" t="s">
        <v>54634</v>
      </c>
    </row>
    <row r="1348" spans="1:2" ht="14.5" x14ac:dyDescent="0.35">
      <c r="A1348" s="8" t="s">
        <v>54631</v>
      </c>
      <c r="B1348" s="8" t="s">
        <v>54635</v>
      </c>
    </row>
    <row r="1349" spans="1:2" ht="14.5" x14ac:dyDescent="0.35">
      <c r="A1349" s="8" t="s">
        <v>54631</v>
      </c>
      <c r="B1349" s="8" t="s">
        <v>54636</v>
      </c>
    </row>
    <row r="1350" spans="1:2" ht="14.5" x14ac:dyDescent="0.35">
      <c r="A1350" s="8" t="s">
        <v>54631</v>
      </c>
      <c r="B1350" s="8" t="s">
        <v>54637</v>
      </c>
    </row>
    <row r="1351" spans="1:2" ht="14.5" x14ac:dyDescent="0.35">
      <c r="A1351" s="8" t="s">
        <v>54631</v>
      </c>
      <c r="B1351" s="8" t="s">
        <v>54638</v>
      </c>
    </row>
    <row r="1352" spans="1:2" ht="14.5" x14ac:dyDescent="0.35">
      <c r="A1352" s="8" t="s">
        <v>54631</v>
      </c>
      <c r="B1352" s="8" t="s">
        <v>54639</v>
      </c>
    </row>
    <row r="1353" spans="1:2" ht="14.5" x14ac:dyDescent="0.35">
      <c r="A1353" s="8" t="s">
        <v>54631</v>
      </c>
      <c r="B1353" s="8" t="s">
        <v>54640</v>
      </c>
    </row>
    <row r="1354" spans="1:2" ht="14.5" x14ac:dyDescent="0.35">
      <c r="A1354" s="8" t="s">
        <v>54631</v>
      </c>
      <c r="B1354" s="8" t="s">
        <v>54641</v>
      </c>
    </row>
    <row r="1355" spans="1:2" ht="14.5" x14ac:dyDescent="0.35">
      <c r="A1355" s="8" t="s">
        <v>54631</v>
      </c>
      <c r="B1355" s="8" t="s">
        <v>58572</v>
      </c>
    </row>
    <row r="1356" spans="1:2" ht="14.5" x14ac:dyDescent="0.35">
      <c r="A1356" s="8" t="s">
        <v>54631</v>
      </c>
      <c r="B1356" s="8" t="s">
        <v>54642</v>
      </c>
    </row>
    <row r="1357" spans="1:2" ht="14.5" x14ac:dyDescent="0.35">
      <c r="A1357" s="8" t="s">
        <v>54643</v>
      </c>
      <c r="B1357" s="8" t="s">
        <v>54644</v>
      </c>
    </row>
    <row r="1358" spans="1:2" ht="14.5" x14ac:dyDescent="0.35">
      <c r="A1358" s="8" t="s">
        <v>54643</v>
      </c>
      <c r="B1358" s="8" t="s">
        <v>54645</v>
      </c>
    </row>
    <row r="1359" spans="1:2" ht="14.5" x14ac:dyDescent="0.35">
      <c r="A1359" s="8" t="s">
        <v>54646</v>
      </c>
      <c r="B1359" s="8" t="s">
        <v>54647</v>
      </c>
    </row>
    <row r="1360" spans="1:2" ht="14.5" x14ac:dyDescent="0.35">
      <c r="A1360" s="8" t="s">
        <v>54646</v>
      </c>
      <c r="B1360" s="8" t="s">
        <v>54648</v>
      </c>
    </row>
    <row r="1361" spans="1:2" ht="14.5" x14ac:dyDescent="0.35">
      <c r="A1361" s="8" t="s">
        <v>54646</v>
      </c>
      <c r="B1361" s="8" t="s">
        <v>54649</v>
      </c>
    </row>
    <row r="1362" spans="1:2" ht="14.5" x14ac:dyDescent="0.35">
      <c r="A1362" s="8" t="s">
        <v>54646</v>
      </c>
      <c r="B1362" s="8" t="s">
        <v>54650</v>
      </c>
    </row>
    <row r="1363" spans="1:2" ht="14.5" x14ac:dyDescent="0.35">
      <c r="A1363" s="8" t="s">
        <v>54646</v>
      </c>
      <c r="B1363" s="8" t="s">
        <v>54651</v>
      </c>
    </row>
    <row r="1364" spans="1:2" ht="14.5" x14ac:dyDescent="0.35">
      <c r="A1364" s="8" t="s">
        <v>54646</v>
      </c>
      <c r="B1364" s="8" t="s">
        <v>54652</v>
      </c>
    </row>
    <row r="1365" spans="1:2" ht="14.5" x14ac:dyDescent="0.35">
      <c r="A1365" s="8" t="s">
        <v>54646</v>
      </c>
      <c r="B1365" s="8" t="s">
        <v>54653</v>
      </c>
    </row>
    <row r="1366" spans="1:2" ht="14.5" x14ac:dyDescent="0.35">
      <c r="A1366" s="8" t="s">
        <v>54646</v>
      </c>
      <c r="B1366" s="8" t="s">
        <v>54654</v>
      </c>
    </row>
    <row r="1367" spans="1:2" ht="14.5" x14ac:dyDescent="0.35">
      <c r="A1367" s="8" t="s">
        <v>54646</v>
      </c>
      <c r="B1367" s="8" t="s">
        <v>54655</v>
      </c>
    </row>
    <row r="1368" spans="1:2" ht="14.5" x14ac:dyDescent="0.35">
      <c r="A1368" s="8" t="s">
        <v>54646</v>
      </c>
      <c r="B1368" s="8" t="s">
        <v>54656</v>
      </c>
    </row>
    <row r="1369" spans="1:2" ht="14.5" x14ac:dyDescent="0.35">
      <c r="A1369" s="8" t="s">
        <v>54646</v>
      </c>
      <c r="B1369" s="8" t="s">
        <v>54657</v>
      </c>
    </row>
    <row r="1370" spans="1:2" ht="14.5" x14ac:dyDescent="0.35">
      <c r="A1370" s="8" t="s">
        <v>54646</v>
      </c>
      <c r="B1370" s="8" t="s">
        <v>54658</v>
      </c>
    </row>
    <row r="1371" spans="1:2" ht="14.5" x14ac:dyDescent="0.35">
      <c r="A1371" s="8" t="s">
        <v>54646</v>
      </c>
      <c r="B1371" s="8" t="s">
        <v>54659</v>
      </c>
    </row>
    <row r="1372" spans="1:2" ht="14.5" x14ac:dyDescent="0.35">
      <c r="A1372" s="8" t="s">
        <v>54646</v>
      </c>
      <c r="B1372" s="8" t="s">
        <v>54660</v>
      </c>
    </row>
    <row r="1373" spans="1:2" ht="14.5" x14ac:dyDescent="0.35">
      <c r="A1373" s="8" t="s">
        <v>54646</v>
      </c>
      <c r="B1373" s="8" t="s">
        <v>54661</v>
      </c>
    </row>
    <row r="1374" spans="1:2" ht="14.5" x14ac:dyDescent="0.35">
      <c r="A1374" s="8" t="s">
        <v>54646</v>
      </c>
      <c r="B1374" s="8" t="s">
        <v>54662</v>
      </c>
    </row>
    <row r="1375" spans="1:2" ht="14.5" x14ac:dyDescent="0.35">
      <c r="A1375" s="8" t="s">
        <v>54646</v>
      </c>
      <c r="B1375" s="8" t="s">
        <v>54663</v>
      </c>
    </row>
    <row r="1376" spans="1:2" ht="14.5" x14ac:dyDescent="0.35">
      <c r="A1376" s="8" t="s">
        <v>54646</v>
      </c>
      <c r="B1376" s="8" t="s">
        <v>54664</v>
      </c>
    </row>
    <row r="1377" spans="1:2" ht="14.5" x14ac:dyDescent="0.35">
      <c r="A1377" s="8" t="s">
        <v>54646</v>
      </c>
      <c r="B1377" s="8" t="s">
        <v>54665</v>
      </c>
    </row>
    <row r="1378" spans="1:2" ht="14.5" x14ac:dyDescent="0.35">
      <c r="A1378" s="8" t="s">
        <v>54646</v>
      </c>
      <c r="B1378" s="8" t="s">
        <v>54666</v>
      </c>
    </row>
    <row r="1379" spans="1:2" ht="14.5" x14ac:dyDescent="0.35">
      <c r="A1379" s="8" t="s">
        <v>54646</v>
      </c>
      <c r="B1379" s="8" t="s">
        <v>54667</v>
      </c>
    </row>
    <row r="1380" spans="1:2" ht="14.5" x14ac:dyDescent="0.35">
      <c r="A1380" s="8" t="s">
        <v>58573</v>
      </c>
      <c r="B1380" s="8" t="s">
        <v>58574</v>
      </c>
    </row>
    <row r="1381" spans="1:2" ht="14.5" x14ac:dyDescent="0.35">
      <c r="A1381" s="8" t="s">
        <v>58575</v>
      </c>
      <c r="B1381" s="8" t="s">
        <v>58576</v>
      </c>
    </row>
    <row r="1382" spans="1:2" ht="14.5" x14ac:dyDescent="0.35">
      <c r="A1382" s="8" t="s">
        <v>58577</v>
      </c>
      <c r="B1382" s="8" t="s">
        <v>58578</v>
      </c>
    </row>
    <row r="1383" spans="1:2" ht="14.5" x14ac:dyDescent="0.35">
      <c r="A1383" s="8" t="s">
        <v>58579</v>
      </c>
      <c r="B1383" s="8" t="s">
        <v>58580</v>
      </c>
    </row>
    <row r="1384" spans="1:2" ht="14.5" x14ac:dyDescent="0.35">
      <c r="A1384" s="8" t="s">
        <v>54668</v>
      </c>
      <c r="B1384" s="8" t="s">
        <v>54669</v>
      </c>
    </row>
    <row r="1385" spans="1:2" ht="14.5" x14ac:dyDescent="0.35">
      <c r="A1385" s="8" t="s">
        <v>54668</v>
      </c>
      <c r="B1385" s="8" t="s">
        <v>54670</v>
      </c>
    </row>
    <row r="1386" spans="1:2" ht="14.5" x14ac:dyDescent="0.35">
      <c r="A1386" s="8" t="s">
        <v>54668</v>
      </c>
      <c r="B1386" s="8" t="s">
        <v>54672</v>
      </c>
    </row>
    <row r="1387" spans="1:2" ht="14.5" x14ac:dyDescent="0.35">
      <c r="A1387" s="8" t="s">
        <v>54668</v>
      </c>
      <c r="B1387" s="8" t="s">
        <v>54673</v>
      </c>
    </row>
    <row r="1388" spans="1:2" ht="14.5" x14ac:dyDescent="0.35">
      <c r="A1388" s="8" t="s">
        <v>54668</v>
      </c>
      <c r="B1388" s="8" t="s">
        <v>54674</v>
      </c>
    </row>
    <row r="1389" spans="1:2" ht="14.5" x14ac:dyDescent="0.35">
      <c r="A1389" s="8" t="s">
        <v>54668</v>
      </c>
      <c r="B1389" s="8" t="s">
        <v>54675</v>
      </c>
    </row>
    <row r="1390" spans="1:2" ht="14.5" x14ac:dyDescent="0.35">
      <c r="A1390" s="8" t="s">
        <v>54668</v>
      </c>
      <c r="B1390" s="8" t="s">
        <v>54676</v>
      </c>
    </row>
    <row r="1391" spans="1:2" ht="14.5" x14ac:dyDescent="0.35">
      <c r="A1391" s="8" t="s">
        <v>54668</v>
      </c>
      <c r="B1391" s="8" t="s">
        <v>54677</v>
      </c>
    </row>
    <row r="1392" spans="1:2" ht="14.5" x14ac:dyDescent="0.35">
      <c r="A1392" s="8" t="s">
        <v>54668</v>
      </c>
      <c r="B1392" s="8" t="s">
        <v>54678</v>
      </c>
    </row>
    <row r="1393" spans="1:2" ht="14.5" x14ac:dyDescent="0.35">
      <c r="A1393" s="8" t="s">
        <v>54668</v>
      </c>
      <c r="B1393" s="8" t="s">
        <v>54679</v>
      </c>
    </row>
    <row r="1394" spans="1:2" ht="14.5" x14ac:dyDescent="0.35">
      <c r="A1394" s="8" t="s">
        <v>54680</v>
      </c>
      <c r="B1394" s="8" t="s">
        <v>54681</v>
      </c>
    </row>
    <row r="1395" spans="1:2" ht="14.5" x14ac:dyDescent="0.35">
      <c r="A1395" s="8" t="s">
        <v>54680</v>
      </c>
      <c r="B1395" s="8" t="s">
        <v>54682</v>
      </c>
    </row>
    <row r="1396" spans="1:2" ht="14.5" x14ac:dyDescent="0.35">
      <c r="A1396" s="8" t="s">
        <v>54680</v>
      </c>
      <c r="B1396" s="8" t="s">
        <v>54683</v>
      </c>
    </row>
    <row r="1397" spans="1:2" ht="14.5" x14ac:dyDescent="0.35">
      <c r="A1397" s="8" t="s">
        <v>54680</v>
      </c>
      <c r="B1397" s="8" t="s">
        <v>54684</v>
      </c>
    </row>
    <row r="1398" spans="1:2" ht="14.5" x14ac:dyDescent="0.35">
      <c r="A1398" s="8" t="s">
        <v>54680</v>
      </c>
      <c r="B1398" s="8" t="s">
        <v>54685</v>
      </c>
    </row>
    <row r="1399" spans="1:2" ht="14.5" x14ac:dyDescent="0.35">
      <c r="A1399" s="8" t="s">
        <v>54680</v>
      </c>
      <c r="B1399" s="8" t="s">
        <v>54686</v>
      </c>
    </row>
    <row r="1400" spans="1:2" ht="14.5" x14ac:dyDescent="0.35">
      <c r="A1400" s="8" t="s">
        <v>54680</v>
      </c>
      <c r="B1400" s="8" t="s">
        <v>54687</v>
      </c>
    </row>
    <row r="1401" spans="1:2" ht="14.5" x14ac:dyDescent="0.35">
      <c r="A1401" s="8" t="s">
        <v>54680</v>
      </c>
      <c r="B1401" s="8" t="s">
        <v>54688</v>
      </c>
    </row>
    <row r="1402" spans="1:2" ht="14.5" x14ac:dyDescent="0.35">
      <c r="A1402" s="8" t="s">
        <v>54680</v>
      </c>
      <c r="B1402" s="8" t="s">
        <v>54689</v>
      </c>
    </row>
    <row r="1403" spans="1:2" ht="14.5" x14ac:dyDescent="0.35">
      <c r="A1403" s="8" t="s">
        <v>54680</v>
      </c>
      <c r="B1403" s="8" t="s">
        <v>54690</v>
      </c>
    </row>
    <row r="1404" spans="1:2" ht="14.5" x14ac:dyDescent="0.35">
      <c r="A1404" s="8" t="s">
        <v>54680</v>
      </c>
      <c r="B1404" s="8" t="s">
        <v>54691</v>
      </c>
    </row>
    <row r="1405" spans="1:2" ht="14.5" x14ac:dyDescent="0.35">
      <c r="A1405" s="8" t="s">
        <v>54680</v>
      </c>
      <c r="B1405" s="8" t="s">
        <v>54692</v>
      </c>
    </row>
    <row r="1406" spans="1:2" ht="14.5" x14ac:dyDescent="0.35">
      <c r="A1406" s="8" t="s">
        <v>54680</v>
      </c>
      <c r="B1406" s="8" t="s">
        <v>54693</v>
      </c>
    </row>
    <row r="1407" spans="1:2" ht="14.5" x14ac:dyDescent="0.35">
      <c r="A1407" s="8" t="s">
        <v>58581</v>
      </c>
      <c r="B1407" s="8" t="s">
        <v>58582</v>
      </c>
    </row>
    <row r="1408" spans="1:2" ht="14.5" x14ac:dyDescent="0.35">
      <c r="A1408" s="8" t="s">
        <v>58654</v>
      </c>
      <c r="B1408" s="8" t="s">
        <v>58655</v>
      </c>
    </row>
    <row r="1409" spans="1:2" ht="14.5" x14ac:dyDescent="0.35">
      <c r="A1409" s="8" t="s">
        <v>58654</v>
      </c>
      <c r="B1409" s="8" t="s">
        <v>58656</v>
      </c>
    </row>
    <row r="1410" spans="1:2" ht="14.5" x14ac:dyDescent="0.35">
      <c r="A1410" s="8" t="s">
        <v>58654</v>
      </c>
      <c r="B1410" s="8" t="s">
        <v>58657</v>
      </c>
    </row>
    <row r="1411" spans="1:2" ht="14.5" x14ac:dyDescent="0.35">
      <c r="A1411" s="8" t="s">
        <v>54694</v>
      </c>
      <c r="B1411" s="8" t="s">
        <v>54695</v>
      </c>
    </row>
    <row r="1412" spans="1:2" ht="14.5" x14ac:dyDescent="0.35">
      <c r="A1412" s="8" t="s">
        <v>54694</v>
      </c>
      <c r="B1412" s="8" t="s">
        <v>54696</v>
      </c>
    </row>
    <row r="1413" spans="1:2" ht="14.5" x14ac:dyDescent="0.35">
      <c r="A1413" s="8" t="s">
        <v>54694</v>
      </c>
      <c r="B1413" s="8" t="s">
        <v>54697</v>
      </c>
    </row>
    <row r="1414" spans="1:2" ht="14.5" x14ac:dyDescent="0.35">
      <c r="A1414" s="8" t="s">
        <v>54671</v>
      </c>
      <c r="B1414" s="8" t="s">
        <v>54097</v>
      </c>
    </row>
    <row r="1415" spans="1:2" ht="14.5" x14ac:dyDescent="0.35">
      <c r="A1415" s="8" t="s">
        <v>54671</v>
      </c>
      <c r="B1415" s="8" t="s">
        <v>54098</v>
      </c>
    </row>
    <row r="1416" spans="1:2" ht="14.5" x14ac:dyDescent="0.35">
      <c r="A1416" s="8" t="s">
        <v>54671</v>
      </c>
      <c r="B1416" s="8" t="s">
        <v>58836</v>
      </c>
    </row>
    <row r="1417" spans="1:2" ht="14.5" x14ac:dyDescent="0.35">
      <c r="A1417" s="8" t="s">
        <v>54671</v>
      </c>
      <c r="B1417" s="8" t="s">
        <v>58833</v>
      </c>
    </row>
    <row r="1418" spans="1:2" ht="14.5" x14ac:dyDescent="0.35">
      <c r="A1418" s="8" t="s">
        <v>54671</v>
      </c>
      <c r="B1418" s="8" t="s">
        <v>58835</v>
      </c>
    </row>
    <row r="1419" spans="1:2" ht="14.5" x14ac:dyDescent="0.35">
      <c r="A1419" s="8" t="s">
        <v>54671</v>
      </c>
      <c r="B1419" s="8" t="s">
        <v>58834</v>
      </c>
    </row>
    <row r="1420" spans="1:2" ht="14.5" x14ac:dyDescent="0.35">
      <c r="A1420" s="8" t="s">
        <v>54698</v>
      </c>
      <c r="B1420" s="8" t="s">
        <v>54699</v>
      </c>
    </row>
    <row r="1421" spans="1:2" ht="14.5" x14ac:dyDescent="0.35">
      <c r="A1421" s="8" t="s">
        <v>54698</v>
      </c>
      <c r="B1421" s="8" t="s">
        <v>54700</v>
      </c>
    </row>
    <row r="1422" spans="1:2" ht="14.5" x14ac:dyDescent="0.35">
      <c r="A1422" s="8" t="s">
        <v>54698</v>
      </c>
      <c r="B1422" s="8" t="s">
        <v>54701</v>
      </c>
    </row>
    <row r="1423" spans="1:2" ht="14.5" x14ac:dyDescent="0.35">
      <c r="A1423" s="8" t="s">
        <v>58583</v>
      </c>
      <c r="B1423" s="8" t="s">
        <v>58584</v>
      </c>
    </row>
    <row r="1424" spans="1:2" ht="14.5" x14ac:dyDescent="0.35">
      <c r="A1424" s="8" t="s">
        <v>58585</v>
      </c>
      <c r="B1424" s="8" t="s">
        <v>58586</v>
      </c>
    </row>
    <row r="1425" spans="1:2" ht="14.5" x14ac:dyDescent="0.35">
      <c r="A1425" s="8" t="s">
        <v>58639</v>
      </c>
      <c r="B1425" s="8" t="s">
        <v>58640</v>
      </c>
    </row>
    <row r="1426" spans="1:2" ht="14.5" x14ac:dyDescent="0.35">
      <c r="A1426" s="8" t="s">
        <v>58587</v>
      </c>
      <c r="B1426" s="8" t="s">
        <v>58588</v>
      </c>
    </row>
    <row r="1427" spans="1:2" ht="14.5" x14ac:dyDescent="0.35">
      <c r="A1427" s="8" t="s">
        <v>58589</v>
      </c>
      <c r="B1427" s="8" t="s">
        <v>58590</v>
      </c>
    </row>
    <row r="1428" spans="1:2" ht="14.5" x14ac:dyDescent="0.35">
      <c r="A1428" s="8" t="s">
        <v>54702</v>
      </c>
      <c r="B1428" s="8" t="s">
        <v>54720</v>
      </c>
    </row>
    <row r="1429" spans="1:2" ht="14.5" x14ac:dyDescent="0.35">
      <c r="A1429" s="8" t="s">
        <v>54702</v>
      </c>
      <c r="B1429" s="8" t="s">
        <v>54703</v>
      </c>
    </row>
    <row r="1430" spans="1:2" ht="14.5" x14ac:dyDescent="0.35">
      <c r="A1430" s="8" t="s">
        <v>54702</v>
      </c>
      <c r="B1430" s="8" t="s">
        <v>54704</v>
      </c>
    </row>
    <row r="1431" spans="1:2" ht="14.5" x14ac:dyDescent="0.35">
      <c r="A1431" s="8" t="s">
        <v>54702</v>
      </c>
      <c r="B1431" s="8" t="s">
        <v>54721</v>
      </c>
    </row>
    <row r="1432" spans="1:2" ht="14.5" x14ac:dyDescent="0.35">
      <c r="A1432" s="8" t="s">
        <v>54702</v>
      </c>
      <c r="B1432" s="8" t="s">
        <v>54705</v>
      </c>
    </row>
    <row r="1433" spans="1:2" ht="14.5" x14ac:dyDescent="0.35">
      <c r="A1433" s="8" t="s">
        <v>54702</v>
      </c>
      <c r="B1433" s="8" t="s">
        <v>54706</v>
      </c>
    </row>
    <row r="1434" spans="1:2" ht="14.5" x14ac:dyDescent="0.35">
      <c r="A1434" s="8" t="s">
        <v>54702</v>
      </c>
      <c r="B1434" s="8" t="s">
        <v>54722</v>
      </c>
    </row>
    <row r="1435" spans="1:2" ht="14.5" x14ac:dyDescent="0.35">
      <c r="A1435" s="8" t="s">
        <v>54702</v>
      </c>
      <c r="B1435" s="8" t="s">
        <v>54723</v>
      </c>
    </row>
    <row r="1436" spans="1:2" ht="14.5" x14ac:dyDescent="0.35">
      <c r="A1436" s="8" t="s">
        <v>54702</v>
      </c>
      <c r="B1436" s="8" t="s">
        <v>54724</v>
      </c>
    </row>
    <row r="1437" spans="1:2" ht="14.5" x14ac:dyDescent="0.35">
      <c r="A1437" s="8" t="s">
        <v>54702</v>
      </c>
      <c r="B1437" s="8" t="s">
        <v>54725</v>
      </c>
    </row>
    <row r="1438" spans="1:2" ht="14.5" x14ac:dyDescent="0.35">
      <c r="A1438" s="8" t="s">
        <v>54702</v>
      </c>
      <c r="B1438" s="8" t="s">
        <v>54726</v>
      </c>
    </row>
    <row r="1439" spans="1:2" ht="14.5" x14ac:dyDescent="0.35">
      <c r="A1439" s="8" t="s">
        <v>54702</v>
      </c>
      <c r="B1439" s="8" t="s">
        <v>54727</v>
      </c>
    </row>
    <row r="1440" spans="1:2" ht="14.5" x14ac:dyDescent="0.35">
      <c r="A1440" s="8" t="s">
        <v>54702</v>
      </c>
      <c r="B1440" s="8" t="s">
        <v>54728</v>
      </c>
    </row>
    <row r="1441" spans="1:2" ht="14.5" x14ac:dyDescent="0.35">
      <c r="A1441" s="8" t="s">
        <v>54702</v>
      </c>
      <c r="B1441" s="8" t="s">
        <v>54729</v>
      </c>
    </row>
    <row r="1442" spans="1:2" ht="14.5" x14ac:dyDescent="0.35">
      <c r="A1442" s="8" t="s">
        <v>54702</v>
      </c>
      <c r="B1442" s="8" t="s">
        <v>54730</v>
      </c>
    </row>
    <row r="1443" spans="1:2" ht="14.5" x14ac:dyDescent="0.35">
      <c r="A1443" s="8" t="s">
        <v>54702</v>
      </c>
      <c r="B1443" s="8" t="s">
        <v>54731</v>
      </c>
    </row>
    <row r="1444" spans="1:2" ht="14.5" x14ac:dyDescent="0.35">
      <c r="A1444" s="8" t="s">
        <v>54702</v>
      </c>
      <c r="B1444" s="8" t="s">
        <v>54732</v>
      </c>
    </row>
    <row r="1445" spans="1:2" ht="14.5" x14ac:dyDescent="0.35">
      <c r="A1445" s="8" t="s">
        <v>54702</v>
      </c>
      <c r="B1445" s="8" t="s">
        <v>54733</v>
      </c>
    </row>
    <row r="1446" spans="1:2" ht="14.5" x14ac:dyDescent="0.35">
      <c r="A1446" s="8" t="s">
        <v>54702</v>
      </c>
      <c r="B1446" s="8" t="s">
        <v>54707</v>
      </c>
    </row>
    <row r="1447" spans="1:2" ht="14.5" x14ac:dyDescent="0.35">
      <c r="A1447" s="8" t="s">
        <v>54702</v>
      </c>
      <c r="B1447" s="8" t="s">
        <v>54708</v>
      </c>
    </row>
    <row r="1448" spans="1:2" ht="14.5" x14ac:dyDescent="0.35">
      <c r="A1448" s="8" t="s">
        <v>54702</v>
      </c>
      <c r="B1448" s="8" t="s">
        <v>54734</v>
      </c>
    </row>
    <row r="1449" spans="1:2" ht="14.5" x14ac:dyDescent="0.35">
      <c r="A1449" s="8" t="s">
        <v>54702</v>
      </c>
      <c r="B1449" s="8" t="s">
        <v>54709</v>
      </c>
    </row>
    <row r="1450" spans="1:2" ht="14.5" x14ac:dyDescent="0.35">
      <c r="A1450" s="8" t="s">
        <v>54702</v>
      </c>
      <c r="B1450" s="8" t="s">
        <v>54710</v>
      </c>
    </row>
    <row r="1451" spans="1:2" ht="14.5" x14ac:dyDescent="0.35">
      <c r="A1451" s="8" t="s">
        <v>54702</v>
      </c>
      <c r="B1451" s="8" t="s">
        <v>54711</v>
      </c>
    </row>
    <row r="1452" spans="1:2" ht="14.5" x14ac:dyDescent="0.35">
      <c r="A1452" s="8" t="s">
        <v>54702</v>
      </c>
      <c r="B1452" s="8" t="s">
        <v>54712</v>
      </c>
    </row>
    <row r="1453" spans="1:2" ht="14.5" x14ac:dyDescent="0.35">
      <c r="A1453" s="8" t="s">
        <v>54702</v>
      </c>
      <c r="B1453" s="8" t="s">
        <v>54713</v>
      </c>
    </row>
    <row r="1454" spans="1:2" ht="14.5" x14ac:dyDescent="0.35">
      <c r="A1454" s="8" t="s">
        <v>54702</v>
      </c>
      <c r="B1454" s="8" t="s">
        <v>54714</v>
      </c>
    </row>
    <row r="1455" spans="1:2" ht="14.5" x14ac:dyDescent="0.35">
      <c r="A1455" s="8" t="s">
        <v>54702</v>
      </c>
      <c r="B1455" s="8" t="s">
        <v>54715</v>
      </c>
    </row>
    <row r="1456" spans="1:2" ht="14.5" x14ac:dyDescent="0.35">
      <c r="A1456" s="8" t="s">
        <v>54702</v>
      </c>
      <c r="B1456" s="8" t="s">
        <v>54716</v>
      </c>
    </row>
    <row r="1457" spans="1:2" ht="14.5" x14ac:dyDescent="0.35">
      <c r="A1457" s="8" t="s">
        <v>54702</v>
      </c>
      <c r="B1457" s="8" t="s">
        <v>54717</v>
      </c>
    </row>
    <row r="1458" spans="1:2" ht="14.5" x14ac:dyDescent="0.35">
      <c r="A1458" s="8" t="s">
        <v>54702</v>
      </c>
      <c r="B1458" s="8" t="s">
        <v>54718</v>
      </c>
    </row>
    <row r="1459" spans="1:2" ht="14.5" x14ac:dyDescent="0.35">
      <c r="A1459" s="8" t="s">
        <v>54702</v>
      </c>
      <c r="B1459" s="8" t="s">
        <v>54719</v>
      </c>
    </row>
    <row r="1460" spans="1:2" ht="14.5" x14ac:dyDescent="0.35">
      <c r="A1460" s="8" t="s">
        <v>54735</v>
      </c>
      <c r="B1460" s="8" t="s">
        <v>58985</v>
      </c>
    </row>
    <row r="1461" spans="1:2" ht="14.5" x14ac:dyDescent="0.35">
      <c r="A1461" s="8" t="s">
        <v>54735</v>
      </c>
      <c r="B1461" s="8" t="s">
        <v>58984</v>
      </c>
    </row>
    <row r="1462" spans="1:2" ht="14.5" x14ac:dyDescent="0.35">
      <c r="A1462" s="8" t="s">
        <v>54735</v>
      </c>
      <c r="B1462" s="8" t="s">
        <v>59217</v>
      </c>
    </row>
    <row r="1463" spans="1:2" ht="14.5" x14ac:dyDescent="0.35">
      <c r="A1463" s="8" t="s">
        <v>54735</v>
      </c>
      <c r="B1463" s="8" t="s">
        <v>59101</v>
      </c>
    </row>
    <row r="1464" spans="1:2" ht="14.5" x14ac:dyDescent="0.35">
      <c r="A1464" s="8" t="s">
        <v>54735</v>
      </c>
      <c r="B1464" s="8" t="s">
        <v>59102</v>
      </c>
    </row>
    <row r="1465" spans="1:2" ht="14.5" x14ac:dyDescent="0.35">
      <c r="A1465" s="8" t="s">
        <v>54735</v>
      </c>
      <c r="B1465" s="8" t="s">
        <v>59098</v>
      </c>
    </row>
    <row r="1466" spans="1:2" ht="14.5" x14ac:dyDescent="0.35">
      <c r="A1466" s="8" t="s">
        <v>54735</v>
      </c>
      <c r="B1466" s="8" t="s">
        <v>59099</v>
      </c>
    </row>
    <row r="1467" spans="1:2" ht="14.5" x14ac:dyDescent="0.35">
      <c r="A1467" s="8" t="s">
        <v>54735</v>
      </c>
      <c r="B1467" s="8" t="s">
        <v>59195</v>
      </c>
    </row>
    <row r="1468" spans="1:2" ht="14.5" x14ac:dyDescent="0.35">
      <c r="A1468" s="8" t="s">
        <v>54735</v>
      </c>
      <c r="B1468" s="8" t="s">
        <v>59186</v>
      </c>
    </row>
    <row r="1469" spans="1:2" ht="14.5" x14ac:dyDescent="0.35">
      <c r="A1469" s="8" t="s">
        <v>54735</v>
      </c>
      <c r="B1469" s="8" t="s">
        <v>59100</v>
      </c>
    </row>
    <row r="1470" spans="1:2" ht="14.5" x14ac:dyDescent="0.35">
      <c r="A1470" s="8" t="s">
        <v>54735</v>
      </c>
      <c r="B1470" s="8" t="s">
        <v>59097</v>
      </c>
    </row>
    <row r="1471" spans="1:2" ht="14.5" x14ac:dyDescent="0.35">
      <c r="A1471" s="8" t="s">
        <v>54735</v>
      </c>
      <c r="B1471" s="8" t="s">
        <v>58931</v>
      </c>
    </row>
    <row r="1472" spans="1:2" ht="14.5" x14ac:dyDescent="0.35">
      <c r="A1472" s="8" t="s">
        <v>54735</v>
      </c>
      <c r="B1472" s="8" t="s">
        <v>59094</v>
      </c>
    </row>
    <row r="1473" spans="1:2" ht="14.5" x14ac:dyDescent="0.35">
      <c r="A1473" s="8" t="s">
        <v>54735</v>
      </c>
      <c r="B1473" s="8" t="s">
        <v>59194</v>
      </c>
    </row>
    <row r="1474" spans="1:2" ht="14.5" x14ac:dyDescent="0.35">
      <c r="A1474" s="8" t="s">
        <v>54735</v>
      </c>
      <c r="B1474" s="8" t="s">
        <v>59209</v>
      </c>
    </row>
    <row r="1475" spans="1:2" ht="14.5" x14ac:dyDescent="0.35">
      <c r="A1475" s="8" t="s">
        <v>54735</v>
      </c>
      <c r="B1475" s="8" t="s">
        <v>58591</v>
      </c>
    </row>
    <row r="1476" spans="1:2" ht="14.5" x14ac:dyDescent="0.35">
      <c r="A1476" s="8" t="s">
        <v>54735</v>
      </c>
      <c r="B1476" s="8" t="s">
        <v>59188</v>
      </c>
    </row>
    <row r="1477" spans="1:2" ht="14.5" x14ac:dyDescent="0.35">
      <c r="A1477" s="8" t="s">
        <v>54735</v>
      </c>
      <c r="B1477" s="8" t="s">
        <v>59087</v>
      </c>
    </row>
    <row r="1478" spans="1:2" ht="14.5" x14ac:dyDescent="0.35">
      <c r="A1478" s="8" t="s">
        <v>54735</v>
      </c>
      <c r="B1478" s="8" t="s">
        <v>59193</v>
      </c>
    </row>
    <row r="1479" spans="1:2" ht="14.5" x14ac:dyDescent="0.35">
      <c r="A1479" s="8" t="s">
        <v>54735</v>
      </c>
      <c r="B1479" s="8" t="s">
        <v>59212</v>
      </c>
    </row>
    <row r="1480" spans="1:2" ht="14.5" x14ac:dyDescent="0.35">
      <c r="A1480" s="8" t="s">
        <v>54735</v>
      </c>
      <c r="B1480" s="8" t="s">
        <v>59192</v>
      </c>
    </row>
    <row r="1481" spans="1:2" ht="14.5" x14ac:dyDescent="0.35">
      <c r="A1481" s="8" t="s">
        <v>54735</v>
      </c>
      <c r="B1481" s="8" t="s">
        <v>581</v>
      </c>
    </row>
    <row r="1482" spans="1:2" ht="14.5" x14ac:dyDescent="0.35">
      <c r="A1482" s="8" t="s">
        <v>54735</v>
      </c>
      <c r="B1482" s="8" t="s">
        <v>59206</v>
      </c>
    </row>
    <row r="1483" spans="1:2" ht="14.5" x14ac:dyDescent="0.35">
      <c r="A1483" s="8" t="s">
        <v>54735</v>
      </c>
      <c r="B1483" s="8" t="s">
        <v>58592</v>
      </c>
    </row>
    <row r="1484" spans="1:2" ht="14.5" x14ac:dyDescent="0.35">
      <c r="A1484" s="8" t="s">
        <v>54735</v>
      </c>
      <c r="B1484" s="8" t="s">
        <v>58593</v>
      </c>
    </row>
    <row r="1485" spans="1:2" ht="14.5" x14ac:dyDescent="0.35">
      <c r="A1485" s="8" t="s">
        <v>54735</v>
      </c>
      <c r="B1485" s="8" t="s">
        <v>59361</v>
      </c>
    </row>
    <row r="1486" spans="1:2" ht="14.5" x14ac:dyDescent="0.35">
      <c r="A1486" s="8" t="s">
        <v>54735</v>
      </c>
      <c r="B1486" s="8" t="s">
        <v>59189</v>
      </c>
    </row>
    <row r="1487" spans="1:2" ht="14.5" x14ac:dyDescent="0.35">
      <c r="A1487" s="8" t="s">
        <v>54735</v>
      </c>
      <c r="B1487" s="8" t="s">
        <v>59203</v>
      </c>
    </row>
    <row r="1488" spans="1:2" ht="14.5" x14ac:dyDescent="0.35">
      <c r="A1488" s="8" t="s">
        <v>54735</v>
      </c>
      <c r="B1488" s="8" t="s">
        <v>59187</v>
      </c>
    </row>
    <row r="1489" spans="1:2" ht="14.5" x14ac:dyDescent="0.35">
      <c r="A1489" s="8" t="s">
        <v>54735</v>
      </c>
      <c r="B1489" s="8" t="s">
        <v>59210</v>
      </c>
    </row>
    <row r="1490" spans="1:2" ht="14.5" x14ac:dyDescent="0.35">
      <c r="A1490" s="8" t="s">
        <v>54735</v>
      </c>
      <c r="B1490" s="8" t="s">
        <v>59204</v>
      </c>
    </row>
    <row r="1491" spans="1:2" ht="14.5" x14ac:dyDescent="0.35">
      <c r="A1491" s="8" t="s">
        <v>54735</v>
      </c>
      <c r="B1491" s="8" t="s">
        <v>59201</v>
      </c>
    </row>
    <row r="1492" spans="1:2" ht="14.5" x14ac:dyDescent="0.35">
      <c r="A1492" s="8" t="s">
        <v>54735</v>
      </c>
      <c r="B1492" s="8" t="s">
        <v>59092</v>
      </c>
    </row>
    <row r="1493" spans="1:2" ht="14.5" x14ac:dyDescent="0.35">
      <c r="A1493" s="8" t="s">
        <v>54735</v>
      </c>
      <c r="B1493" s="8" t="s">
        <v>58594</v>
      </c>
    </row>
    <row r="1494" spans="1:2" ht="14.5" x14ac:dyDescent="0.35">
      <c r="A1494" s="8" t="s">
        <v>54735</v>
      </c>
      <c r="B1494" s="8" t="s">
        <v>59095</v>
      </c>
    </row>
    <row r="1495" spans="1:2" ht="14.5" x14ac:dyDescent="0.35">
      <c r="A1495" s="8" t="s">
        <v>54735</v>
      </c>
      <c r="B1495" s="8" t="s">
        <v>59090</v>
      </c>
    </row>
    <row r="1496" spans="1:2" ht="14.5" x14ac:dyDescent="0.35">
      <c r="A1496" s="8" t="s">
        <v>54735</v>
      </c>
      <c r="B1496" s="8" t="s">
        <v>59185</v>
      </c>
    </row>
    <row r="1497" spans="1:2" ht="14.5" x14ac:dyDescent="0.35">
      <c r="A1497" s="8" t="s">
        <v>54735</v>
      </c>
      <c r="B1497" s="8" t="s">
        <v>58980</v>
      </c>
    </row>
    <row r="1498" spans="1:2" ht="14.5" x14ac:dyDescent="0.35">
      <c r="A1498" s="8" t="s">
        <v>54735</v>
      </c>
      <c r="B1498" s="8" t="s">
        <v>59043</v>
      </c>
    </row>
    <row r="1499" spans="1:2" ht="14.5" x14ac:dyDescent="0.35">
      <c r="A1499" s="8" t="s">
        <v>54735</v>
      </c>
      <c r="B1499" s="8" t="s">
        <v>59208</v>
      </c>
    </row>
    <row r="1500" spans="1:2" ht="14.5" x14ac:dyDescent="0.35">
      <c r="A1500" s="8" t="s">
        <v>54735</v>
      </c>
      <c r="B1500" s="8" t="s">
        <v>58978</v>
      </c>
    </row>
    <row r="1501" spans="1:2" ht="14.5" x14ac:dyDescent="0.35">
      <c r="A1501" s="8" t="s">
        <v>54735</v>
      </c>
      <c r="B1501" s="8" t="s">
        <v>58982</v>
      </c>
    </row>
    <row r="1502" spans="1:2" ht="14.5" x14ac:dyDescent="0.35">
      <c r="A1502" s="8" t="s">
        <v>54735</v>
      </c>
      <c r="B1502" s="8" t="s">
        <v>58595</v>
      </c>
    </row>
    <row r="1503" spans="1:2" ht="14.5" x14ac:dyDescent="0.35">
      <c r="A1503" s="8" t="s">
        <v>54735</v>
      </c>
      <c r="B1503" s="8" t="s">
        <v>59200</v>
      </c>
    </row>
    <row r="1504" spans="1:2" ht="14.5" x14ac:dyDescent="0.35">
      <c r="A1504" s="8" t="s">
        <v>54735</v>
      </c>
      <c r="B1504" s="8" t="s">
        <v>58932</v>
      </c>
    </row>
    <row r="1505" spans="1:2" ht="14.5" x14ac:dyDescent="0.35">
      <c r="A1505" s="8" t="s">
        <v>54735</v>
      </c>
      <c r="B1505" s="8" t="s">
        <v>59196</v>
      </c>
    </row>
    <row r="1506" spans="1:2" ht="14.5" x14ac:dyDescent="0.35">
      <c r="A1506" s="8" t="s">
        <v>54735</v>
      </c>
      <c r="B1506" s="8" t="s">
        <v>59199</v>
      </c>
    </row>
    <row r="1507" spans="1:2" ht="14.5" x14ac:dyDescent="0.35">
      <c r="A1507" s="8" t="s">
        <v>54735</v>
      </c>
      <c r="B1507" s="8" t="s">
        <v>59086</v>
      </c>
    </row>
    <row r="1508" spans="1:2" ht="14.5" x14ac:dyDescent="0.35">
      <c r="A1508" s="8" t="s">
        <v>54735</v>
      </c>
      <c r="B1508" s="8" t="s">
        <v>59198</v>
      </c>
    </row>
    <row r="1509" spans="1:2" ht="14.5" x14ac:dyDescent="0.35">
      <c r="A1509" s="8" t="s">
        <v>54735</v>
      </c>
      <c r="B1509" s="8" t="s">
        <v>59211</v>
      </c>
    </row>
    <row r="1510" spans="1:2" ht="14.5" x14ac:dyDescent="0.35">
      <c r="A1510" s="8" t="s">
        <v>54735</v>
      </c>
      <c r="B1510" s="8" t="s">
        <v>59207</v>
      </c>
    </row>
    <row r="1511" spans="1:2" ht="14.5" x14ac:dyDescent="0.35">
      <c r="A1511" s="8" t="s">
        <v>54735</v>
      </c>
      <c r="B1511" s="8" t="s">
        <v>59205</v>
      </c>
    </row>
    <row r="1512" spans="1:2" ht="14.5" x14ac:dyDescent="0.35">
      <c r="A1512" s="8" t="s">
        <v>54735</v>
      </c>
      <c r="B1512" s="8" t="s">
        <v>59089</v>
      </c>
    </row>
    <row r="1513" spans="1:2" ht="14.5" x14ac:dyDescent="0.35">
      <c r="A1513" s="8" t="s">
        <v>54735</v>
      </c>
      <c r="B1513" s="8" t="s">
        <v>59108</v>
      </c>
    </row>
    <row r="1514" spans="1:2" ht="14.5" x14ac:dyDescent="0.35">
      <c r="A1514" s="8" t="s">
        <v>54735</v>
      </c>
      <c r="B1514" s="8" t="s">
        <v>59265</v>
      </c>
    </row>
    <row r="1515" spans="1:2" ht="14.5" x14ac:dyDescent="0.35">
      <c r="A1515" s="8" t="s">
        <v>54735</v>
      </c>
      <c r="B1515" s="8" t="s">
        <v>58979</v>
      </c>
    </row>
    <row r="1516" spans="1:2" ht="14.5" x14ac:dyDescent="0.35">
      <c r="A1516" s="8" t="s">
        <v>54735</v>
      </c>
      <c r="B1516" s="8" t="s">
        <v>59045</v>
      </c>
    </row>
    <row r="1517" spans="1:2" ht="14.5" x14ac:dyDescent="0.35">
      <c r="A1517" s="8" t="s">
        <v>54735</v>
      </c>
      <c r="B1517" s="8" t="s">
        <v>58596</v>
      </c>
    </row>
    <row r="1518" spans="1:2" ht="14.5" x14ac:dyDescent="0.35">
      <c r="A1518" s="8" t="s">
        <v>54735</v>
      </c>
      <c r="B1518" s="8" t="s">
        <v>59103</v>
      </c>
    </row>
    <row r="1519" spans="1:2" ht="14.5" x14ac:dyDescent="0.35">
      <c r="A1519" s="8" t="s">
        <v>54735</v>
      </c>
      <c r="B1519" s="8" t="s">
        <v>59104</v>
      </c>
    </row>
    <row r="1520" spans="1:2" ht="14.5" x14ac:dyDescent="0.35">
      <c r="A1520" s="8" t="s">
        <v>54735</v>
      </c>
      <c r="B1520" s="8" t="s">
        <v>59111</v>
      </c>
    </row>
    <row r="1521" spans="1:2" ht="14.5" x14ac:dyDescent="0.35">
      <c r="A1521" s="8" t="s">
        <v>54735</v>
      </c>
      <c r="B1521" s="8" t="s">
        <v>59107</v>
      </c>
    </row>
    <row r="1522" spans="1:2" ht="14.5" x14ac:dyDescent="0.35">
      <c r="A1522" s="8" t="s">
        <v>54735</v>
      </c>
      <c r="B1522" s="8" t="s">
        <v>59117</v>
      </c>
    </row>
    <row r="1523" spans="1:2" ht="14.5" x14ac:dyDescent="0.35">
      <c r="A1523" s="8" t="s">
        <v>54735</v>
      </c>
      <c r="B1523" s="8" t="s">
        <v>59262</v>
      </c>
    </row>
    <row r="1524" spans="1:2" ht="14.5" x14ac:dyDescent="0.35">
      <c r="A1524" s="8" t="s">
        <v>54735</v>
      </c>
      <c r="B1524" s="8" t="s">
        <v>59116</v>
      </c>
    </row>
    <row r="1525" spans="1:2" ht="14.5" x14ac:dyDescent="0.35">
      <c r="A1525" s="8" t="s">
        <v>54735</v>
      </c>
      <c r="B1525" s="8" t="s">
        <v>59288</v>
      </c>
    </row>
    <row r="1526" spans="1:2" ht="14.5" x14ac:dyDescent="0.35">
      <c r="A1526" s="8" t="s">
        <v>54735</v>
      </c>
      <c r="B1526" s="8" t="s">
        <v>60509</v>
      </c>
    </row>
    <row r="1527" spans="1:2" ht="14.5" x14ac:dyDescent="0.35">
      <c r="A1527" s="8" t="s">
        <v>54735</v>
      </c>
      <c r="B1527" s="8" t="s">
        <v>58988</v>
      </c>
    </row>
    <row r="1528" spans="1:2" ht="14.5" x14ac:dyDescent="0.35">
      <c r="A1528" s="8" t="s">
        <v>54735</v>
      </c>
      <c r="B1528" s="8" t="s">
        <v>59113</v>
      </c>
    </row>
    <row r="1529" spans="1:2" ht="14.5" x14ac:dyDescent="0.35">
      <c r="A1529" s="8" t="s">
        <v>54735</v>
      </c>
      <c r="B1529" s="8" t="s">
        <v>59112</v>
      </c>
    </row>
    <row r="1530" spans="1:2" ht="14.5" x14ac:dyDescent="0.35">
      <c r="A1530" s="8" t="s">
        <v>54735</v>
      </c>
      <c r="B1530" s="8" t="s">
        <v>59109</v>
      </c>
    </row>
    <row r="1531" spans="1:2" ht="14.5" x14ac:dyDescent="0.35">
      <c r="A1531" s="8" t="s">
        <v>54735</v>
      </c>
      <c r="B1531" s="8" t="s">
        <v>59105</v>
      </c>
    </row>
    <row r="1532" spans="1:2" ht="14.5" x14ac:dyDescent="0.35">
      <c r="A1532" s="8" t="s">
        <v>54735</v>
      </c>
      <c r="B1532" s="8" t="s">
        <v>59292</v>
      </c>
    </row>
    <row r="1533" spans="1:2" ht="14.5" x14ac:dyDescent="0.35">
      <c r="A1533" s="8" t="s">
        <v>54735</v>
      </c>
      <c r="B1533" s="8" t="s">
        <v>59254</v>
      </c>
    </row>
    <row r="1534" spans="1:2" ht="14.5" x14ac:dyDescent="0.35">
      <c r="A1534" s="8" t="s">
        <v>54735</v>
      </c>
      <c r="B1534" s="8" t="s">
        <v>58934</v>
      </c>
    </row>
    <row r="1535" spans="1:2" ht="14.5" x14ac:dyDescent="0.35">
      <c r="A1535" s="8" t="s">
        <v>54735</v>
      </c>
      <c r="B1535" s="8" t="s">
        <v>59284</v>
      </c>
    </row>
    <row r="1536" spans="1:2" ht="14.5" x14ac:dyDescent="0.35">
      <c r="A1536" s="8" t="s">
        <v>54735</v>
      </c>
      <c r="B1536" s="8" t="s">
        <v>59046</v>
      </c>
    </row>
    <row r="1537" spans="1:2" ht="14.5" x14ac:dyDescent="0.35">
      <c r="A1537" s="8" t="s">
        <v>54735</v>
      </c>
      <c r="B1537" s="8" t="s">
        <v>59259</v>
      </c>
    </row>
    <row r="1538" spans="1:2" ht="14.5" x14ac:dyDescent="0.35">
      <c r="A1538" s="8" t="s">
        <v>54735</v>
      </c>
      <c r="B1538" s="8" t="s">
        <v>58981</v>
      </c>
    </row>
    <row r="1539" spans="1:2" ht="14.5" x14ac:dyDescent="0.35">
      <c r="A1539" s="8" t="s">
        <v>54735</v>
      </c>
      <c r="B1539" s="8" t="s">
        <v>58986</v>
      </c>
    </row>
    <row r="1540" spans="1:2" ht="14.5" x14ac:dyDescent="0.35">
      <c r="A1540" s="8" t="s">
        <v>54735</v>
      </c>
      <c r="B1540" s="8" t="s">
        <v>59268</v>
      </c>
    </row>
    <row r="1541" spans="1:2" ht="14.5" x14ac:dyDescent="0.35">
      <c r="A1541" s="8" t="s">
        <v>54735</v>
      </c>
      <c r="B1541" s="8" t="s">
        <v>59267</v>
      </c>
    </row>
    <row r="1542" spans="1:2" ht="14.5" x14ac:dyDescent="0.35">
      <c r="A1542" s="8" t="s">
        <v>54735</v>
      </c>
      <c r="B1542" s="8" t="s">
        <v>59272</v>
      </c>
    </row>
    <row r="1543" spans="1:2" ht="14.5" x14ac:dyDescent="0.35">
      <c r="A1543" s="8" t="s">
        <v>54735</v>
      </c>
      <c r="B1543" s="8" t="s">
        <v>59291</v>
      </c>
    </row>
    <row r="1544" spans="1:2" ht="14.5" x14ac:dyDescent="0.35">
      <c r="A1544" s="8" t="s">
        <v>54735</v>
      </c>
      <c r="B1544" s="8" t="s">
        <v>59114</v>
      </c>
    </row>
    <row r="1545" spans="1:2" ht="14.5" x14ac:dyDescent="0.35">
      <c r="A1545" s="8" t="s">
        <v>54735</v>
      </c>
      <c r="B1545" s="8" t="s">
        <v>59273</v>
      </c>
    </row>
    <row r="1546" spans="1:2" ht="14.5" x14ac:dyDescent="0.35">
      <c r="A1546" s="8" t="s">
        <v>54735</v>
      </c>
      <c r="B1546" s="8" t="s">
        <v>59277</v>
      </c>
    </row>
    <row r="1547" spans="1:2" ht="14.5" x14ac:dyDescent="0.35">
      <c r="A1547" s="8" t="s">
        <v>54735</v>
      </c>
      <c r="B1547" s="8" t="s">
        <v>59285</v>
      </c>
    </row>
    <row r="1548" spans="1:2" ht="14.5" x14ac:dyDescent="0.35">
      <c r="A1548" s="8" t="s">
        <v>54735</v>
      </c>
      <c r="B1548" s="8" t="s">
        <v>59279</v>
      </c>
    </row>
    <row r="1549" spans="1:2" ht="14.5" x14ac:dyDescent="0.35">
      <c r="A1549" s="8" t="s">
        <v>54735</v>
      </c>
      <c r="B1549" s="8" t="s">
        <v>58597</v>
      </c>
    </row>
    <row r="1550" spans="1:2" ht="14.5" x14ac:dyDescent="0.35">
      <c r="A1550" s="8" t="s">
        <v>54735</v>
      </c>
      <c r="B1550" s="8" t="s">
        <v>58933</v>
      </c>
    </row>
    <row r="1551" spans="1:2" ht="14.5" x14ac:dyDescent="0.35">
      <c r="A1551" s="8" t="s">
        <v>54735</v>
      </c>
      <c r="B1551" s="8" t="s">
        <v>58598</v>
      </c>
    </row>
    <row r="1552" spans="1:2" ht="14.5" x14ac:dyDescent="0.35">
      <c r="A1552" s="8" t="s">
        <v>54735</v>
      </c>
      <c r="B1552" s="8" t="s">
        <v>59264</v>
      </c>
    </row>
    <row r="1553" spans="1:2" ht="14.5" x14ac:dyDescent="0.35">
      <c r="A1553" s="8" t="s">
        <v>54735</v>
      </c>
      <c r="B1553" s="8" t="s">
        <v>59115</v>
      </c>
    </row>
    <row r="1554" spans="1:2" ht="14.5" x14ac:dyDescent="0.35">
      <c r="A1554" s="8" t="s">
        <v>54735</v>
      </c>
      <c r="B1554" s="8" t="s">
        <v>58599</v>
      </c>
    </row>
    <row r="1555" spans="1:2" ht="14.5" x14ac:dyDescent="0.35">
      <c r="A1555" s="8" t="s">
        <v>54735</v>
      </c>
      <c r="B1555" s="8" t="s">
        <v>59276</v>
      </c>
    </row>
    <row r="1556" spans="1:2" ht="14.5" x14ac:dyDescent="0.35">
      <c r="A1556" s="8" t="s">
        <v>54735</v>
      </c>
      <c r="B1556" s="8" t="s">
        <v>59274</v>
      </c>
    </row>
    <row r="1557" spans="1:2" ht="14.5" x14ac:dyDescent="0.35">
      <c r="A1557" s="8" t="s">
        <v>54735</v>
      </c>
      <c r="B1557" s="8" t="s">
        <v>59255</v>
      </c>
    </row>
    <row r="1558" spans="1:2" ht="14.5" x14ac:dyDescent="0.35">
      <c r="A1558" s="8" t="s">
        <v>54735</v>
      </c>
      <c r="B1558" s="8" t="s">
        <v>59278</v>
      </c>
    </row>
    <row r="1559" spans="1:2" ht="14.5" x14ac:dyDescent="0.35">
      <c r="A1559" s="8" t="s">
        <v>54735</v>
      </c>
      <c r="B1559" s="8" t="s">
        <v>59266</v>
      </c>
    </row>
    <row r="1560" spans="1:2" ht="14.5" x14ac:dyDescent="0.35">
      <c r="A1560" s="8" t="s">
        <v>54735</v>
      </c>
      <c r="B1560" s="8" t="s">
        <v>59280</v>
      </c>
    </row>
    <row r="1561" spans="1:2" ht="14.5" x14ac:dyDescent="0.35">
      <c r="A1561" s="8" t="s">
        <v>54735</v>
      </c>
      <c r="B1561" s="8" t="s">
        <v>59294</v>
      </c>
    </row>
    <row r="1562" spans="1:2" ht="14.5" x14ac:dyDescent="0.35">
      <c r="A1562" s="8" t="s">
        <v>54735</v>
      </c>
      <c r="B1562" s="8" t="s">
        <v>59257</v>
      </c>
    </row>
    <row r="1563" spans="1:2" ht="14.5" x14ac:dyDescent="0.35">
      <c r="A1563" s="8" t="s">
        <v>54735</v>
      </c>
      <c r="B1563" s="8" t="s">
        <v>59275</v>
      </c>
    </row>
    <row r="1564" spans="1:2" ht="14.5" x14ac:dyDescent="0.35">
      <c r="A1564" s="8" t="s">
        <v>54735</v>
      </c>
      <c r="B1564" s="8" t="s">
        <v>59271</v>
      </c>
    </row>
    <row r="1565" spans="1:2" ht="14.5" x14ac:dyDescent="0.35">
      <c r="A1565" s="8" t="s">
        <v>54735</v>
      </c>
      <c r="B1565" s="8" t="s">
        <v>58600</v>
      </c>
    </row>
    <row r="1566" spans="1:2" ht="14.5" x14ac:dyDescent="0.35">
      <c r="A1566" s="8" t="s">
        <v>54735</v>
      </c>
      <c r="B1566" s="8" t="s">
        <v>59286</v>
      </c>
    </row>
    <row r="1567" spans="1:2" ht="14.5" x14ac:dyDescent="0.35">
      <c r="A1567" s="8" t="s">
        <v>54735</v>
      </c>
      <c r="B1567" s="8" t="s">
        <v>59261</v>
      </c>
    </row>
    <row r="1568" spans="1:2" ht="14.5" x14ac:dyDescent="0.35">
      <c r="A1568" s="8" t="s">
        <v>54735</v>
      </c>
      <c r="B1568" s="8" t="s">
        <v>59270</v>
      </c>
    </row>
    <row r="1569" spans="1:2" ht="14.5" x14ac:dyDescent="0.35">
      <c r="A1569" s="8" t="s">
        <v>54735</v>
      </c>
      <c r="B1569" s="8" t="s">
        <v>58987</v>
      </c>
    </row>
    <row r="1570" spans="1:2" ht="14.5" x14ac:dyDescent="0.35">
      <c r="A1570" s="8" t="s">
        <v>54735</v>
      </c>
      <c r="B1570" s="8" t="s">
        <v>59106</v>
      </c>
    </row>
    <row r="1571" spans="1:2" ht="14.5" x14ac:dyDescent="0.35">
      <c r="A1571" s="8" t="s">
        <v>54735</v>
      </c>
      <c r="B1571" s="8" t="s">
        <v>59293</v>
      </c>
    </row>
    <row r="1572" spans="1:2" ht="14.5" x14ac:dyDescent="0.35">
      <c r="A1572" s="8" t="s">
        <v>54735</v>
      </c>
      <c r="B1572" s="8" t="s">
        <v>58989</v>
      </c>
    </row>
    <row r="1573" spans="1:2" ht="14.5" x14ac:dyDescent="0.35">
      <c r="A1573" s="8" t="s">
        <v>54735</v>
      </c>
      <c r="B1573" s="8" t="s">
        <v>59289</v>
      </c>
    </row>
    <row r="1574" spans="1:2" ht="14.5" x14ac:dyDescent="0.35">
      <c r="A1574" s="8" t="s">
        <v>54735</v>
      </c>
      <c r="B1574" s="8" t="s">
        <v>59287</v>
      </c>
    </row>
    <row r="1575" spans="1:2" ht="14.5" x14ac:dyDescent="0.35">
      <c r="A1575" s="8" t="s">
        <v>54735</v>
      </c>
      <c r="B1575" s="8" t="s">
        <v>59269</v>
      </c>
    </row>
    <row r="1576" spans="1:2" ht="14.5" x14ac:dyDescent="0.35">
      <c r="A1576" s="8" t="s">
        <v>54735</v>
      </c>
      <c r="B1576" s="8" t="s">
        <v>59295</v>
      </c>
    </row>
    <row r="1577" spans="1:2" ht="14.5" x14ac:dyDescent="0.35">
      <c r="A1577" s="8" t="s">
        <v>54735</v>
      </c>
      <c r="B1577" s="8" t="s">
        <v>59263</v>
      </c>
    </row>
    <row r="1578" spans="1:2" ht="14.5" x14ac:dyDescent="0.35">
      <c r="A1578" s="8" t="s">
        <v>54735</v>
      </c>
      <c r="B1578" s="8" t="s">
        <v>59290</v>
      </c>
    </row>
    <row r="1579" spans="1:2" ht="14.5" x14ac:dyDescent="0.35">
      <c r="A1579" s="8" t="s">
        <v>54735</v>
      </c>
      <c r="B1579" s="8" t="s">
        <v>59241</v>
      </c>
    </row>
    <row r="1580" spans="1:2" ht="14.5" x14ac:dyDescent="0.35">
      <c r="A1580" s="8" t="s">
        <v>54735</v>
      </c>
      <c r="B1580" s="8" t="s">
        <v>59247</v>
      </c>
    </row>
    <row r="1581" spans="1:2" ht="14.5" x14ac:dyDescent="0.35">
      <c r="A1581" s="8" t="s">
        <v>54735</v>
      </c>
      <c r="B1581" s="8" t="s">
        <v>59228</v>
      </c>
    </row>
    <row r="1582" spans="1:2" ht="14.5" x14ac:dyDescent="0.35">
      <c r="A1582" s="8" t="s">
        <v>54735</v>
      </c>
      <c r="B1582" s="8" t="s">
        <v>59215</v>
      </c>
    </row>
    <row r="1583" spans="1:2" ht="14.5" x14ac:dyDescent="0.35">
      <c r="A1583" s="8" t="s">
        <v>54735</v>
      </c>
      <c r="B1583" s="8" t="s">
        <v>59219</v>
      </c>
    </row>
    <row r="1584" spans="1:2" ht="14.5" x14ac:dyDescent="0.35">
      <c r="A1584" s="8" t="s">
        <v>54735</v>
      </c>
      <c r="B1584" s="8" t="s">
        <v>59231</v>
      </c>
    </row>
    <row r="1585" spans="1:2" ht="14.5" x14ac:dyDescent="0.35">
      <c r="A1585" s="8" t="s">
        <v>54735</v>
      </c>
      <c r="B1585" s="8" t="s">
        <v>59224</v>
      </c>
    </row>
    <row r="1586" spans="1:2" ht="14.5" x14ac:dyDescent="0.35">
      <c r="A1586" s="8" t="s">
        <v>54735</v>
      </c>
      <c r="B1586" s="8" t="s">
        <v>59220</v>
      </c>
    </row>
    <row r="1587" spans="1:2" ht="14.5" x14ac:dyDescent="0.35">
      <c r="A1587" s="8" t="s">
        <v>54735</v>
      </c>
      <c r="B1587" s="8" t="s">
        <v>59242</v>
      </c>
    </row>
    <row r="1588" spans="1:2" ht="14.5" x14ac:dyDescent="0.35">
      <c r="A1588" s="8" t="s">
        <v>54735</v>
      </c>
      <c r="B1588" s="8" t="s">
        <v>59248</v>
      </c>
    </row>
    <row r="1589" spans="1:2" ht="14.5" x14ac:dyDescent="0.35">
      <c r="A1589" s="8" t="s">
        <v>54735</v>
      </c>
      <c r="B1589" s="8" t="s">
        <v>59223</v>
      </c>
    </row>
    <row r="1590" spans="1:2" ht="14.5" x14ac:dyDescent="0.35">
      <c r="A1590" s="8" t="s">
        <v>54735</v>
      </c>
      <c r="B1590" s="8" t="s">
        <v>59222</v>
      </c>
    </row>
    <row r="1591" spans="1:2" ht="14.5" x14ac:dyDescent="0.35">
      <c r="A1591" s="8" t="s">
        <v>54735</v>
      </c>
      <c r="B1591" s="8" t="s">
        <v>59250</v>
      </c>
    </row>
    <row r="1592" spans="1:2" ht="14.5" x14ac:dyDescent="0.35">
      <c r="A1592" s="8" t="s">
        <v>54735</v>
      </c>
      <c r="B1592" s="8" t="s">
        <v>59226</v>
      </c>
    </row>
    <row r="1593" spans="1:2" ht="14.5" x14ac:dyDescent="0.35">
      <c r="A1593" s="8" t="s">
        <v>54735</v>
      </c>
      <c r="B1593" s="8" t="s">
        <v>59251</v>
      </c>
    </row>
    <row r="1594" spans="1:2" ht="14.5" x14ac:dyDescent="0.35">
      <c r="A1594" s="8" t="s">
        <v>54735</v>
      </c>
      <c r="B1594" s="8" t="s">
        <v>59232</v>
      </c>
    </row>
    <row r="1595" spans="1:2" ht="14.5" x14ac:dyDescent="0.35">
      <c r="A1595" s="8" t="s">
        <v>54735</v>
      </c>
      <c r="B1595" s="8" t="s">
        <v>59229</v>
      </c>
    </row>
    <row r="1596" spans="1:2" ht="14.5" x14ac:dyDescent="0.35">
      <c r="A1596" s="8" t="s">
        <v>54735</v>
      </c>
      <c r="B1596" s="8" t="s">
        <v>59246</v>
      </c>
    </row>
    <row r="1597" spans="1:2" ht="14.5" x14ac:dyDescent="0.35">
      <c r="A1597" s="8" t="s">
        <v>54735</v>
      </c>
      <c r="B1597" s="8" t="s">
        <v>59216</v>
      </c>
    </row>
    <row r="1598" spans="1:2" ht="14.5" x14ac:dyDescent="0.35">
      <c r="A1598" s="8" t="s">
        <v>54735</v>
      </c>
      <c r="B1598" s="8" t="s">
        <v>58928</v>
      </c>
    </row>
    <row r="1599" spans="1:2" ht="14.5" x14ac:dyDescent="0.35">
      <c r="A1599" s="8" t="s">
        <v>54735</v>
      </c>
      <c r="B1599" s="8" t="s">
        <v>59252</v>
      </c>
    </row>
    <row r="1600" spans="1:2" ht="14.5" x14ac:dyDescent="0.35">
      <c r="A1600" s="8" t="s">
        <v>54735</v>
      </c>
      <c r="B1600" s="8" t="s">
        <v>59245</v>
      </c>
    </row>
    <row r="1601" spans="1:2" ht="14.5" x14ac:dyDescent="0.35">
      <c r="A1601" s="8" t="s">
        <v>54735</v>
      </c>
      <c r="B1601" s="8" t="s">
        <v>59243</v>
      </c>
    </row>
    <row r="1602" spans="1:2" ht="14.5" x14ac:dyDescent="0.35">
      <c r="A1602" s="8" t="s">
        <v>54735</v>
      </c>
      <c r="B1602" s="8" t="s">
        <v>59249</v>
      </c>
    </row>
    <row r="1603" spans="1:2" ht="14.5" x14ac:dyDescent="0.35">
      <c r="A1603" s="8" t="s">
        <v>54735</v>
      </c>
      <c r="B1603" s="8" t="s">
        <v>59044</v>
      </c>
    </row>
    <row r="1604" spans="1:2" ht="14.5" x14ac:dyDescent="0.35">
      <c r="A1604" s="8" t="s">
        <v>54735</v>
      </c>
      <c r="B1604" s="8" t="s">
        <v>59253</v>
      </c>
    </row>
    <row r="1605" spans="1:2" ht="14.5" x14ac:dyDescent="0.35">
      <c r="A1605" s="8" t="s">
        <v>54735</v>
      </c>
      <c r="B1605" s="8" t="s">
        <v>59214</v>
      </c>
    </row>
    <row r="1606" spans="1:2" ht="14.5" x14ac:dyDescent="0.35">
      <c r="A1606" s="8" t="s">
        <v>54735</v>
      </c>
      <c r="B1606" s="8" t="s">
        <v>59238</v>
      </c>
    </row>
    <row r="1607" spans="1:2" ht="14.5" x14ac:dyDescent="0.35">
      <c r="A1607" s="8" t="s">
        <v>54735</v>
      </c>
      <c r="B1607" s="8" t="s">
        <v>59230</v>
      </c>
    </row>
    <row r="1608" spans="1:2" ht="14.5" x14ac:dyDescent="0.35">
      <c r="A1608" s="8" t="s">
        <v>54735</v>
      </c>
      <c r="B1608" s="8" t="s">
        <v>59234</v>
      </c>
    </row>
    <row r="1609" spans="1:2" ht="14.5" x14ac:dyDescent="0.35">
      <c r="A1609" s="8" t="s">
        <v>54735</v>
      </c>
      <c r="B1609" s="8" t="s">
        <v>59235</v>
      </c>
    </row>
    <row r="1610" spans="1:2" ht="14.5" x14ac:dyDescent="0.35">
      <c r="A1610" s="8" t="s">
        <v>54735</v>
      </c>
      <c r="B1610" s="8" t="s">
        <v>59221</v>
      </c>
    </row>
    <row r="1611" spans="1:2" ht="14.5" x14ac:dyDescent="0.35">
      <c r="A1611" s="8" t="s">
        <v>54735</v>
      </c>
      <c r="B1611" s="8" t="s">
        <v>59227</v>
      </c>
    </row>
    <row r="1612" spans="1:2" ht="14.5" x14ac:dyDescent="0.35">
      <c r="A1612" s="8" t="s">
        <v>54735</v>
      </c>
      <c r="B1612" s="8" t="s">
        <v>59240</v>
      </c>
    </row>
    <row r="1613" spans="1:2" ht="14.5" x14ac:dyDescent="0.35">
      <c r="A1613" s="8" t="s">
        <v>54735</v>
      </c>
      <c r="B1613" s="8" t="s">
        <v>59237</v>
      </c>
    </row>
    <row r="1614" spans="1:2" ht="14.5" x14ac:dyDescent="0.35">
      <c r="A1614" s="8" t="s">
        <v>54735</v>
      </c>
      <c r="B1614" s="8" t="s">
        <v>59233</v>
      </c>
    </row>
    <row r="1615" spans="1:2" ht="14.5" x14ac:dyDescent="0.35">
      <c r="A1615" s="8" t="s">
        <v>54735</v>
      </c>
      <c r="B1615" s="8" t="s">
        <v>59244</v>
      </c>
    </row>
    <row r="1616" spans="1:2" ht="14.5" x14ac:dyDescent="0.35">
      <c r="A1616" s="8" t="s">
        <v>54735</v>
      </c>
      <c r="B1616" s="8" t="s">
        <v>59218</v>
      </c>
    </row>
    <row r="1617" spans="1:2" ht="14.5" x14ac:dyDescent="0.35">
      <c r="A1617" s="8" t="s">
        <v>54735</v>
      </c>
      <c r="B1617" s="8" t="s">
        <v>58601</v>
      </c>
    </row>
    <row r="1618" spans="1:2" ht="14.5" x14ac:dyDescent="0.35">
      <c r="A1618" s="8" t="s">
        <v>54735</v>
      </c>
      <c r="B1618" s="8" t="s">
        <v>58602</v>
      </c>
    </row>
    <row r="1619" spans="1:2" ht="14.5" x14ac:dyDescent="0.35">
      <c r="A1619" s="8" t="s">
        <v>54735</v>
      </c>
      <c r="B1619" s="8" t="s">
        <v>59236</v>
      </c>
    </row>
    <row r="1620" spans="1:2" ht="14.5" x14ac:dyDescent="0.35">
      <c r="A1620" s="8" t="s">
        <v>54735</v>
      </c>
      <c r="B1620" s="8" t="s">
        <v>59225</v>
      </c>
    </row>
    <row r="1621" spans="1:2" ht="14.5" x14ac:dyDescent="0.35">
      <c r="A1621" s="8" t="s">
        <v>54735</v>
      </c>
      <c r="B1621" s="8" t="s">
        <v>58603</v>
      </c>
    </row>
    <row r="1622" spans="1:2" ht="14.5" x14ac:dyDescent="0.35">
      <c r="A1622" s="8" t="s">
        <v>54735</v>
      </c>
      <c r="B1622" s="8" t="s">
        <v>59239</v>
      </c>
    </row>
    <row r="1623" spans="1:2" ht="14.5" x14ac:dyDescent="0.35">
      <c r="A1623" s="8" t="s">
        <v>54735</v>
      </c>
      <c r="B1623" s="8" t="s">
        <v>59088</v>
      </c>
    </row>
    <row r="1624" spans="1:2" ht="14.5" x14ac:dyDescent="0.35">
      <c r="A1624" s="8" t="s">
        <v>54735</v>
      </c>
      <c r="B1624" s="8" t="s">
        <v>59191</v>
      </c>
    </row>
    <row r="1625" spans="1:2" ht="14.5" x14ac:dyDescent="0.35">
      <c r="A1625" s="8" t="s">
        <v>54735</v>
      </c>
      <c r="B1625" s="8" t="s">
        <v>59096</v>
      </c>
    </row>
    <row r="1626" spans="1:2" ht="14.5" x14ac:dyDescent="0.35">
      <c r="A1626" s="8" t="s">
        <v>54735</v>
      </c>
      <c r="B1626" s="8" t="s">
        <v>59202</v>
      </c>
    </row>
    <row r="1627" spans="1:2" ht="14.5" x14ac:dyDescent="0.35">
      <c r="A1627" s="8" t="s">
        <v>54735</v>
      </c>
      <c r="B1627" s="8" t="s">
        <v>59213</v>
      </c>
    </row>
    <row r="1628" spans="1:2" ht="14.5" x14ac:dyDescent="0.35">
      <c r="A1628" s="8" t="s">
        <v>54735</v>
      </c>
      <c r="B1628" s="8" t="s">
        <v>59190</v>
      </c>
    </row>
    <row r="1629" spans="1:2" ht="14.5" x14ac:dyDescent="0.35">
      <c r="A1629" s="8" t="s">
        <v>54735</v>
      </c>
      <c r="B1629" s="8" t="s">
        <v>58983</v>
      </c>
    </row>
    <row r="1630" spans="1:2" ht="14.5" x14ac:dyDescent="0.35">
      <c r="A1630" s="8" t="s">
        <v>54735</v>
      </c>
      <c r="B1630" s="8" t="s">
        <v>59093</v>
      </c>
    </row>
    <row r="1631" spans="1:2" ht="14.5" x14ac:dyDescent="0.35">
      <c r="A1631" s="8" t="s">
        <v>54735</v>
      </c>
      <c r="B1631" s="8" t="s">
        <v>58930</v>
      </c>
    </row>
    <row r="1632" spans="1:2" ht="14.5" x14ac:dyDescent="0.35">
      <c r="A1632" s="8" t="s">
        <v>54735</v>
      </c>
      <c r="B1632" s="8" t="s">
        <v>59140</v>
      </c>
    </row>
    <row r="1633" spans="1:2" ht="14.5" x14ac:dyDescent="0.35">
      <c r="A1633" s="8" t="s">
        <v>54735</v>
      </c>
      <c r="B1633" s="8" t="s">
        <v>59049</v>
      </c>
    </row>
    <row r="1634" spans="1:2" ht="14.5" x14ac:dyDescent="0.35">
      <c r="A1634" s="8" t="s">
        <v>54735</v>
      </c>
      <c r="B1634" s="8" t="s">
        <v>59091</v>
      </c>
    </row>
    <row r="1635" spans="1:2" ht="14.5" x14ac:dyDescent="0.35">
      <c r="A1635" s="8" t="s">
        <v>54735</v>
      </c>
      <c r="B1635" s="8" t="s">
        <v>59312</v>
      </c>
    </row>
    <row r="1636" spans="1:2" ht="14.5" x14ac:dyDescent="0.35">
      <c r="A1636" s="8" t="s">
        <v>54735</v>
      </c>
      <c r="B1636" s="8" t="s">
        <v>59197</v>
      </c>
    </row>
    <row r="1637" spans="1:2" ht="14.5" x14ac:dyDescent="0.35">
      <c r="A1637" s="8" t="s">
        <v>54735</v>
      </c>
      <c r="B1637" s="8" t="s">
        <v>60510</v>
      </c>
    </row>
    <row r="1638" spans="1:2" ht="14.5" x14ac:dyDescent="0.35">
      <c r="A1638" s="8" t="s">
        <v>54735</v>
      </c>
      <c r="B1638" s="8" t="s">
        <v>59315</v>
      </c>
    </row>
    <row r="1639" spans="1:2" ht="14.5" x14ac:dyDescent="0.35">
      <c r="A1639" s="8" t="s">
        <v>54735</v>
      </c>
      <c r="B1639" s="8" t="s">
        <v>59141</v>
      </c>
    </row>
    <row r="1640" spans="1:2" ht="14.5" x14ac:dyDescent="0.35">
      <c r="A1640" s="8" t="s">
        <v>54735</v>
      </c>
      <c r="B1640" s="8" t="s">
        <v>59311</v>
      </c>
    </row>
    <row r="1641" spans="1:2" ht="14.5" x14ac:dyDescent="0.35">
      <c r="A1641" s="8" t="s">
        <v>54735</v>
      </c>
      <c r="B1641" s="8" t="s">
        <v>59322</v>
      </c>
    </row>
    <row r="1642" spans="1:2" ht="14.5" x14ac:dyDescent="0.35">
      <c r="A1642" s="8" t="s">
        <v>54735</v>
      </c>
      <c r="B1642" s="8" t="s">
        <v>60511</v>
      </c>
    </row>
    <row r="1643" spans="1:2" ht="14.5" x14ac:dyDescent="0.35">
      <c r="A1643" s="8" t="s">
        <v>54735</v>
      </c>
      <c r="B1643" s="8" t="s">
        <v>58936</v>
      </c>
    </row>
    <row r="1644" spans="1:2" ht="14.5" x14ac:dyDescent="0.35">
      <c r="A1644" s="8" t="s">
        <v>54735</v>
      </c>
      <c r="B1644" s="8" t="s">
        <v>59333</v>
      </c>
    </row>
    <row r="1645" spans="1:2" ht="14.5" x14ac:dyDescent="0.35">
      <c r="A1645" s="8" t="s">
        <v>54735</v>
      </c>
      <c r="B1645" s="8" t="s">
        <v>59314</v>
      </c>
    </row>
    <row r="1646" spans="1:2" ht="14.5" x14ac:dyDescent="0.35">
      <c r="A1646" s="8" t="s">
        <v>54735</v>
      </c>
      <c r="B1646" s="8" t="s">
        <v>59318</v>
      </c>
    </row>
    <row r="1647" spans="1:2" ht="14.5" x14ac:dyDescent="0.35">
      <c r="A1647" s="8" t="s">
        <v>54735</v>
      </c>
      <c r="B1647" s="8" t="s">
        <v>59142</v>
      </c>
    </row>
    <row r="1648" spans="1:2" ht="14.5" x14ac:dyDescent="0.35">
      <c r="A1648" s="8" t="s">
        <v>54735</v>
      </c>
      <c r="B1648" s="8" t="s">
        <v>59341</v>
      </c>
    </row>
    <row r="1649" spans="1:2" ht="14.5" x14ac:dyDescent="0.35">
      <c r="A1649" s="8" t="s">
        <v>54735</v>
      </c>
      <c r="B1649" s="8" t="s">
        <v>59128</v>
      </c>
    </row>
    <row r="1650" spans="1:2" ht="14.5" x14ac:dyDescent="0.35">
      <c r="A1650" s="8" t="s">
        <v>54735</v>
      </c>
      <c r="B1650" s="8" t="s">
        <v>59345</v>
      </c>
    </row>
    <row r="1651" spans="1:2" ht="14.5" x14ac:dyDescent="0.35">
      <c r="A1651" s="8" t="s">
        <v>54735</v>
      </c>
      <c r="B1651" s="8" t="s">
        <v>59316</v>
      </c>
    </row>
    <row r="1652" spans="1:2" ht="14.5" x14ac:dyDescent="0.35">
      <c r="A1652" s="8" t="s">
        <v>54735</v>
      </c>
      <c r="B1652" s="8" t="s">
        <v>59340</v>
      </c>
    </row>
    <row r="1653" spans="1:2" ht="14.5" x14ac:dyDescent="0.35">
      <c r="A1653" s="8" t="s">
        <v>54735</v>
      </c>
      <c r="B1653" s="8" t="s">
        <v>59338</v>
      </c>
    </row>
    <row r="1654" spans="1:2" ht="14.5" x14ac:dyDescent="0.35">
      <c r="A1654" s="8" t="s">
        <v>54735</v>
      </c>
      <c r="B1654" s="8" t="s">
        <v>59342</v>
      </c>
    </row>
    <row r="1655" spans="1:2" ht="14.5" x14ac:dyDescent="0.35">
      <c r="A1655" s="8" t="s">
        <v>54735</v>
      </c>
      <c r="B1655" s="8" t="s">
        <v>59339</v>
      </c>
    </row>
    <row r="1656" spans="1:2" ht="14.5" x14ac:dyDescent="0.35">
      <c r="A1656" s="8" t="s">
        <v>54735</v>
      </c>
      <c r="B1656" s="8" t="s">
        <v>59124</v>
      </c>
    </row>
    <row r="1657" spans="1:2" ht="14.5" x14ac:dyDescent="0.35">
      <c r="A1657" s="8" t="s">
        <v>54735</v>
      </c>
      <c r="B1657" s="8" t="s">
        <v>59145</v>
      </c>
    </row>
    <row r="1658" spans="1:2" ht="14.5" x14ac:dyDescent="0.35">
      <c r="A1658" s="8" t="s">
        <v>54735</v>
      </c>
      <c r="B1658" s="8" t="s">
        <v>58991</v>
      </c>
    </row>
    <row r="1659" spans="1:2" ht="14.5" x14ac:dyDescent="0.35">
      <c r="A1659" s="8" t="s">
        <v>54735</v>
      </c>
      <c r="B1659" s="8" t="s">
        <v>58604</v>
      </c>
    </row>
    <row r="1660" spans="1:2" ht="14.5" x14ac:dyDescent="0.35">
      <c r="A1660" s="8" t="s">
        <v>54735</v>
      </c>
      <c r="B1660" s="8" t="s">
        <v>58605</v>
      </c>
    </row>
    <row r="1661" spans="1:2" ht="14.5" x14ac:dyDescent="0.35">
      <c r="A1661" s="8" t="s">
        <v>54735</v>
      </c>
      <c r="B1661" s="8" t="s">
        <v>60512</v>
      </c>
    </row>
    <row r="1662" spans="1:2" ht="14.5" x14ac:dyDescent="0.35">
      <c r="A1662" s="8" t="s">
        <v>54735</v>
      </c>
      <c r="B1662" s="8" t="s">
        <v>60513</v>
      </c>
    </row>
    <row r="1663" spans="1:2" ht="14.5" x14ac:dyDescent="0.35">
      <c r="A1663" s="8" t="s">
        <v>54735</v>
      </c>
      <c r="B1663" s="8" t="s">
        <v>60514</v>
      </c>
    </row>
    <row r="1664" spans="1:2" ht="14.5" x14ac:dyDescent="0.35">
      <c r="A1664" s="8" t="s">
        <v>54735</v>
      </c>
      <c r="B1664" s="8" t="s">
        <v>60515</v>
      </c>
    </row>
    <row r="1665" spans="1:2" ht="14.5" x14ac:dyDescent="0.35">
      <c r="A1665" s="8" t="s">
        <v>54735</v>
      </c>
      <c r="B1665" s="8" t="s">
        <v>58992</v>
      </c>
    </row>
    <row r="1666" spans="1:2" ht="14.5" x14ac:dyDescent="0.35">
      <c r="A1666" s="8" t="s">
        <v>54735</v>
      </c>
      <c r="B1666" s="8" t="s">
        <v>59144</v>
      </c>
    </row>
    <row r="1667" spans="1:2" ht="14.5" x14ac:dyDescent="0.35">
      <c r="A1667" s="8" t="s">
        <v>54735</v>
      </c>
      <c r="B1667" s="8" t="s">
        <v>59320</v>
      </c>
    </row>
    <row r="1668" spans="1:2" ht="14.5" x14ac:dyDescent="0.35">
      <c r="A1668" s="8" t="s">
        <v>54735</v>
      </c>
      <c r="B1668" s="8" t="s">
        <v>59337</v>
      </c>
    </row>
    <row r="1669" spans="1:2" ht="14.5" x14ac:dyDescent="0.35">
      <c r="A1669" s="8" t="s">
        <v>54735</v>
      </c>
      <c r="B1669" s="8" t="s">
        <v>59344</v>
      </c>
    </row>
    <row r="1670" spans="1:2" ht="14.5" x14ac:dyDescent="0.35">
      <c r="A1670" s="8" t="s">
        <v>54735</v>
      </c>
      <c r="B1670" s="8" t="s">
        <v>59336</v>
      </c>
    </row>
    <row r="1671" spans="1:2" ht="14.5" x14ac:dyDescent="0.35">
      <c r="A1671" s="8" t="s">
        <v>54735</v>
      </c>
      <c r="B1671" s="8" t="s">
        <v>59334</v>
      </c>
    </row>
    <row r="1672" spans="1:2" ht="14.5" x14ac:dyDescent="0.35">
      <c r="A1672" s="8" t="s">
        <v>54735</v>
      </c>
      <c r="B1672" s="8" t="s">
        <v>59347</v>
      </c>
    </row>
    <row r="1673" spans="1:2" ht="14.5" x14ac:dyDescent="0.35">
      <c r="A1673" s="8" t="s">
        <v>54735</v>
      </c>
      <c r="B1673" s="8" t="s">
        <v>58606</v>
      </c>
    </row>
    <row r="1674" spans="1:2" ht="14.5" x14ac:dyDescent="0.35">
      <c r="A1674" s="8" t="s">
        <v>54735</v>
      </c>
      <c r="B1674" s="8" t="s">
        <v>59313</v>
      </c>
    </row>
    <row r="1675" spans="1:2" ht="14.5" x14ac:dyDescent="0.35">
      <c r="A1675" s="8" t="s">
        <v>54735</v>
      </c>
      <c r="B1675" s="8" t="s">
        <v>58993</v>
      </c>
    </row>
    <row r="1676" spans="1:2" ht="14.5" x14ac:dyDescent="0.35">
      <c r="A1676" s="8" t="s">
        <v>54735</v>
      </c>
      <c r="B1676" s="8" t="s">
        <v>58994</v>
      </c>
    </row>
    <row r="1677" spans="1:2" ht="14.5" x14ac:dyDescent="0.35">
      <c r="A1677" s="8" t="s">
        <v>54735</v>
      </c>
      <c r="B1677" s="8" t="s">
        <v>59127</v>
      </c>
    </row>
    <row r="1678" spans="1:2" ht="14.5" x14ac:dyDescent="0.35">
      <c r="A1678" s="8" t="s">
        <v>54735</v>
      </c>
      <c r="B1678" s="8" t="s">
        <v>60516</v>
      </c>
    </row>
    <row r="1679" spans="1:2" ht="14.5" x14ac:dyDescent="0.35">
      <c r="A1679" s="8" t="s">
        <v>54735</v>
      </c>
      <c r="B1679" s="8" t="s">
        <v>59335</v>
      </c>
    </row>
    <row r="1680" spans="1:2" ht="14.5" x14ac:dyDescent="0.35">
      <c r="A1680" s="8" t="s">
        <v>54735</v>
      </c>
      <c r="B1680" s="8" t="s">
        <v>59346</v>
      </c>
    </row>
    <row r="1681" spans="1:2" ht="14.5" x14ac:dyDescent="0.35">
      <c r="A1681" s="8" t="s">
        <v>54735</v>
      </c>
      <c r="B1681" s="8" t="s">
        <v>59343</v>
      </c>
    </row>
    <row r="1682" spans="1:2" ht="14.5" x14ac:dyDescent="0.35">
      <c r="A1682" s="8" t="s">
        <v>54735</v>
      </c>
      <c r="B1682" s="8" t="s">
        <v>59319</v>
      </c>
    </row>
    <row r="1683" spans="1:2" ht="14.5" x14ac:dyDescent="0.35">
      <c r="A1683" s="8" t="s">
        <v>54735</v>
      </c>
      <c r="B1683" s="8" t="s">
        <v>54736</v>
      </c>
    </row>
    <row r="1684" spans="1:2" ht="14.5" x14ac:dyDescent="0.35">
      <c r="A1684" s="8" t="s">
        <v>54735</v>
      </c>
      <c r="B1684" s="8" t="s">
        <v>54737</v>
      </c>
    </row>
    <row r="1685" spans="1:2" ht="14.5" x14ac:dyDescent="0.35">
      <c r="A1685" s="8" t="s">
        <v>54735</v>
      </c>
      <c r="B1685" s="8" t="s">
        <v>59331</v>
      </c>
    </row>
    <row r="1686" spans="1:2" ht="14.5" x14ac:dyDescent="0.35">
      <c r="A1686" s="8" t="s">
        <v>54735</v>
      </c>
      <c r="B1686" s="8" t="s">
        <v>59317</v>
      </c>
    </row>
    <row r="1687" spans="1:2" ht="14.5" x14ac:dyDescent="0.35">
      <c r="A1687" s="8" t="s">
        <v>54735</v>
      </c>
      <c r="B1687" s="8" t="s">
        <v>59299</v>
      </c>
    </row>
    <row r="1688" spans="1:2" ht="14.5" x14ac:dyDescent="0.35">
      <c r="A1688" s="8" t="s">
        <v>54735</v>
      </c>
      <c r="B1688" s="8" t="s">
        <v>59118</v>
      </c>
    </row>
    <row r="1689" spans="1:2" ht="14.5" x14ac:dyDescent="0.35">
      <c r="A1689" s="8" t="s">
        <v>54735</v>
      </c>
      <c r="B1689" s="8" t="s">
        <v>59110</v>
      </c>
    </row>
    <row r="1690" spans="1:2" ht="14.5" x14ac:dyDescent="0.35">
      <c r="A1690" s="8" t="s">
        <v>54735</v>
      </c>
      <c r="B1690" s="8" t="s">
        <v>59283</v>
      </c>
    </row>
    <row r="1691" spans="1:2" ht="14.5" x14ac:dyDescent="0.35">
      <c r="A1691" s="8" t="s">
        <v>54735</v>
      </c>
      <c r="B1691" s="8" t="s">
        <v>60517</v>
      </c>
    </row>
    <row r="1692" spans="1:2" ht="14.5" x14ac:dyDescent="0.35">
      <c r="A1692" s="8" t="s">
        <v>54735</v>
      </c>
      <c r="B1692" s="8" t="s">
        <v>59281</v>
      </c>
    </row>
    <row r="1693" spans="1:2" ht="14.5" x14ac:dyDescent="0.35">
      <c r="A1693" s="8" t="s">
        <v>54735</v>
      </c>
      <c r="B1693" s="8" t="s">
        <v>59297</v>
      </c>
    </row>
    <row r="1694" spans="1:2" ht="14.5" x14ac:dyDescent="0.35">
      <c r="A1694" s="8" t="s">
        <v>54735</v>
      </c>
      <c r="B1694" s="8" t="s">
        <v>52580</v>
      </c>
    </row>
    <row r="1695" spans="1:2" ht="14.5" x14ac:dyDescent="0.35">
      <c r="A1695" s="8" t="s">
        <v>54735</v>
      </c>
      <c r="B1695" s="8" t="s">
        <v>59047</v>
      </c>
    </row>
    <row r="1696" spans="1:2" ht="14.5" x14ac:dyDescent="0.35">
      <c r="A1696" s="8" t="s">
        <v>54735</v>
      </c>
      <c r="B1696" s="8" t="s">
        <v>59282</v>
      </c>
    </row>
    <row r="1697" spans="1:2" ht="14.5" x14ac:dyDescent="0.35">
      <c r="A1697" s="8" t="s">
        <v>54735</v>
      </c>
      <c r="B1697" s="8" t="s">
        <v>59260</v>
      </c>
    </row>
    <row r="1698" spans="1:2" ht="14.5" x14ac:dyDescent="0.35">
      <c r="A1698" s="8" t="s">
        <v>54735</v>
      </c>
      <c r="B1698" s="8" t="s">
        <v>59298</v>
      </c>
    </row>
    <row r="1699" spans="1:2" ht="14.5" x14ac:dyDescent="0.35">
      <c r="A1699" s="8" t="s">
        <v>54735</v>
      </c>
      <c r="B1699" s="8" t="s">
        <v>58929</v>
      </c>
    </row>
    <row r="1700" spans="1:2" ht="14.5" x14ac:dyDescent="0.35">
      <c r="A1700" s="8" t="s">
        <v>54735</v>
      </c>
      <c r="B1700" s="8" t="s">
        <v>59256</v>
      </c>
    </row>
    <row r="1701" spans="1:2" ht="14.5" x14ac:dyDescent="0.35">
      <c r="A1701" s="8" t="s">
        <v>54735</v>
      </c>
      <c r="B1701" s="8" t="s">
        <v>59296</v>
      </c>
    </row>
    <row r="1702" spans="1:2" ht="14.5" x14ac:dyDescent="0.35">
      <c r="A1702" s="8" t="s">
        <v>54735</v>
      </c>
      <c r="B1702" s="8" t="s">
        <v>59258</v>
      </c>
    </row>
    <row r="1703" spans="1:2" ht="14.5" x14ac:dyDescent="0.35">
      <c r="A1703" s="8" t="s">
        <v>54735</v>
      </c>
      <c r="B1703" s="8" t="s">
        <v>59119</v>
      </c>
    </row>
    <row r="1704" spans="1:2" ht="14.5" x14ac:dyDescent="0.35">
      <c r="A1704" s="8" t="s">
        <v>54735</v>
      </c>
      <c r="B1704" s="8" t="s">
        <v>59136</v>
      </c>
    </row>
    <row r="1705" spans="1:2" ht="14.5" x14ac:dyDescent="0.35">
      <c r="A1705" s="8" t="s">
        <v>54735</v>
      </c>
      <c r="B1705" s="8" t="s">
        <v>59120</v>
      </c>
    </row>
    <row r="1706" spans="1:2" ht="14.5" x14ac:dyDescent="0.35">
      <c r="A1706" s="8" t="s">
        <v>54735</v>
      </c>
      <c r="B1706" s="8" t="s">
        <v>59132</v>
      </c>
    </row>
    <row r="1707" spans="1:2" ht="14.5" x14ac:dyDescent="0.35">
      <c r="A1707" s="8" t="s">
        <v>54735</v>
      </c>
      <c r="B1707" s="8" t="s">
        <v>58607</v>
      </c>
    </row>
    <row r="1708" spans="1:2" ht="14.5" x14ac:dyDescent="0.35">
      <c r="A1708" s="8" t="s">
        <v>54735</v>
      </c>
      <c r="B1708" s="8" t="s">
        <v>59309</v>
      </c>
    </row>
    <row r="1709" spans="1:2" ht="14.5" x14ac:dyDescent="0.35">
      <c r="A1709" s="8" t="s">
        <v>54735</v>
      </c>
      <c r="B1709" s="8" t="s">
        <v>58608</v>
      </c>
    </row>
    <row r="1710" spans="1:2" ht="14.5" x14ac:dyDescent="0.35">
      <c r="A1710" s="8" t="s">
        <v>54735</v>
      </c>
      <c r="B1710" s="8" t="s">
        <v>59300</v>
      </c>
    </row>
    <row r="1711" spans="1:2" ht="14.5" x14ac:dyDescent="0.35">
      <c r="A1711" s="8" t="s">
        <v>54735</v>
      </c>
      <c r="B1711" s="8" t="s">
        <v>59327</v>
      </c>
    </row>
    <row r="1712" spans="1:2" ht="14.5" x14ac:dyDescent="0.35">
      <c r="A1712" s="8" t="s">
        <v>54735</v>
      </c>
      <c r="B1712" s="8" t="s">
        <v>59332</v>
      </c>
    </row>
    <row r="1713" spans="1:2" ht="14.5" x14ac:dyDescent="0.35">
      <c r="A1713" s="8" t="s">
        <v>54735</v>
      </c>
      <c r="B1713" s="8" t="s">
        <v>59123</v>
      </c>
    </row>
    <row r="1714" spans="1:2" ht="14.5" x14ac:dyDescent="0.35">
      <c r="A1714" s="8" t="s">
        <v>54735</v>
      </c>
      <c r="B1714" s="8" t="s">
        <v>59329</v>
      </c>
    </row>
    <row r="1715" spans="1:2" ht="14.5" x14ac:dyDescent="0.35">
      <c r="A1715" s="8" t="s">
        <v>54735</v>
      </c>
      <c r="B1715" s="8" t="s">
        <v>59304</v>
      </c>
    </row>
    <row r="1716" spans="1:2" ht="14.5" x14ac:dyDescent="0.35">
      <c r="A1716" s="8" t="s">
        <v>54735</v>
      </c>
      <c r="B1716" s="8" t="s">
        <v>58938</v>
      </c>
    </row>
    <row r="1717" spans="1:2" ht="14.5" x14ac:dyDescent="0.35">
      <c r="A1717" s="8" t="s">
        <v>54735</v>
      </c>
      <c r="B1717" s="8" t="s">
        <v>59330</v>
      </c>
    </row>
    <row r="1718" spans="1:2" ht="14.5" x14ac:dyDescent="0.35">
      <c r="A1718" s="8" t="s">
        <v>54735</v>
      </c>
      <c r="B1718" s="8" t="s">
        <v>59350</v>
      </c>
    </row>
    <row r="1719" spans="1:2" ht="14.5" x14ac:dyDescent="0.35">
      <c r="A1719" s="8" t="s">
        <v>54735</v>
      </c>
      <c r="B1719" s="8" t="s">
        <v>59323</v>
      </c>
    </row>
    <row r="1720" spans="1:2" ht="14.5" x14ac:dyDescent="0.35">
      <c r="A1720" s="8" t="s">
        <v>54735</v>
      </c>
      <c r="B1720" s="8" t="s">
        <v>59306</v>
      </c>
    </row>
    <row r="1721" spans="1:2" ht="14.5" x14ac:dyDescent="0.35">
      <c r="A1721" s="8" t="s">
        <v>54735</v>
      </c>
      <c r="B1721" s="8" t="s">
        <v>58935</v>
      </c>
    </row>
    <row r="1722" spans="1:2" ht="14.5" x14ac:dyDescent="0.35">
      <c r="A1722" s="8" t="s">
        <v>54735</v>
      </c>
      <c r="B1722" s="8" t="s">
        <v>59302</v>
      </c>
    </row>
    <row r="1723" spans="1:2" ht="14.5" x14ac:dyDescent="0.35">
      <c r="A1723" s="8" t="s">
        <v>54735</v>
      </c>
      <c r="B1723" s="8" t="s">
        <v>58609</v>
      </c>
    </row>
    <row r="1724" spans="1:2" ht="14.5" x14ac:dyDescent="0.35">
      <c r="A1724" s="8" t="s">
        <v>54735</v>
      </c>
      <c r="B1724" s="8" t="s">
        <v>59307</v>
      </c>
    </row>
    <row r="1725" spans="1:2" ht="14.5" x14ac:dyDescent="0.35">
      <c r="A1725" s="8" t="s">
        <v>54735</v>
      </c>
      <c r="B1725" s="8" t="s">
        <v>59349</v>
      </c>
    </row>
    <row r="1726" spans="1:2" ht="14.5" x14ac:dyDescent="0.35">
      <c r="A1726" s="8" t="s">
        <v>54735</v>
      </c>
      <c r="B1726" s="8" t="s">
        <v>59325</v>
      </c>
    </row>
    <row r="1727" spans="1:2" ht="14.5" x14ac:dyDescent="0.35">
      <c r="A1727" s="8" t="s">
        <v>54735</v>
      </c>
      <c r="B1727" s="8" t="s">
        <v>59131</v>
      </c>
    </row>
    <row r="1728" spans="1:2" ht="14.5" x14ac:dyDescent="0.35">
      <c r="A1728" s="8" t="s">
        <v>54735</v>
      </c>
      <c r="B1728" s="8" t="s">
        <v>59122</v>
      </c>
    </row>
    <row r="1729" spans="1:2" ht="14.5" x14ac:dyDescent="0.35">
      <c r="A1729" s="8" t="s">
        <v>54735</v>
      </c>
      <c r="B1729" s="8" t="s">
        <v>58990</v>
      </c>
    </row>
    <row r="1730" spans="1:2" ht="14.5" x14ac:dyDescent="0.35">
      <c r="A1730" s="8" t="s">
        <v>54735</v>
      </c>
      <c r="B1730" s="8" t="s">
        <v>58610</v>
      </c>
    </row>
    <row r="1731" spans="1:2" ht="14.5" x14ac:dyDescent="0.35">
      <c r="A1731" s="8" t="s">
        <v>54735</v>
      </c>
      <c r="B1731" s="8" t="s">
        <v>59308</v>
      </c>
    </row>
    <row r="1732" spans="1:2" ht="14.5" x14ac:dyDescent="0.35">
      <c r="A1732" s="8" t="s">
        <v>54735</v>
      </c>
      <c r="B1732" s="8" t="s">
        <v>59146</v>
      </c>
    </row>
    <row r="1733" spans="1:2" ht="14.5" x14ac:dyDescent="0.35">
      <c r="A1733" s="8" t="s">
        <v>54735</v>
      </c>
      <c r="B1733" s="8" t="s">
        <v>59324</v>
      </c>
    </row>
    <row r="1734" spans="1:2" ht="14.5" x14ac:dyDescent="0.35">
      <c r="A1734" s="8" t="s">
        <v>54735</v>
      </c>
      <c r="B1734" s="8" t="s">
        <v>59348</v>
      </c>
    </row>
    <row r="1735" spans="1:2" ht="14.5" x14ac:dyDescent="0.35">
      <c r="A1735" s="8" t="s">
        <v>54735</v>
      </c>
      <c r="B1735" s="8" t="s">
        <v>59301</v>
      </c>
    </row>
    <row r="1736" spans="1:2" ht="14.5" x14ac:dyDescent="0.35">
      <c r="A1736" s="8" t="s">
        <v>54735</v>
      </c>
      <c r="B1736" s="8" t="s">
        <v>58611</v>
      </c>
    </row>
    <row r="1737" spans="1:2" ht="14.5" x14ac:dyDescent="0.35">
      <c r="A1737" s="8" t="s">
        <v>54735</v>
      </c>
      <c r="B1737" s="8" t="s">
        <v>59133</v>
      </c>
    </row>
    <row r="1738" spans="1:2" ht="14.5" x14ac:dyDescent="0.35">
      <c r="A1738" s="8" t="s">
        <v>54735</v>
      </c>
      <c r="B1738" s="8" t="s">
        <v>58612</v>
      </c>
    </row>
    <row r="1739" spans="1:2" ht="14.5" x14ac:dyDescent="0.35">
      <c r="A1739" s="8" t="s">
        <v>54735</v>
      </c>
      <c r="B1739" s="8" t="s">
        <v>59121</v>
      </c>
    </row>
    <row r="1740" spans="1:2" ht="14.5" x14ac:dyDescent="0.35">
      <c r="A1740" s="8" t="s">
        <v>54735</v>
      </c>
      <c r="B1740" s="8" t="s">
        <v>59303</v>
      </c>
    </row>
    <row r="1741" spans="1:2" ht="14.5" x14ac:dyDescent="0.35">
      <c r="A1741" s="8" t="s">
        <v>54735</v>
      </c>
      <c r="B1741" s="8" t="s">
        <v>59048</v>
      </c>
    </row>
    <row r="1742" spans="1:2" ht="14.5" x14ac:dyDescent="0.35">
      <c r="A1742" s="8" t="s">
        <v>54735</v>
      </c>
      <c r="B1742" s="8" t="s">
        <v>59326</v>
      </c>
    </row>
    <row r="1743" spans="1:2" ht="14.5" x14ac:dyDescent="0.35">
      <c r="A1743" s="8" t="s">
        <v>54735</v>
      </c>
      <c r="B1743" s="8" t="s">
        <v>59328</v>
      </c>
    </row>
    <row r="1744" spans="1:2" ht="14.5" x14ac:dyDescent="0.35">
      <c r="A1744" s="8" t="s">
        <v>54735</v>
      </c>
      <c r="B1744" s="8" t="s">
        <v>58613</v>
      </c>
    </row>
    <row r="1745" spans="1:2" ht="14.5" x14ac:dyDescent="0.35">
      <c r="A1745" s="8" t="s">
        <v>54735</v>
      </c>
      <c r="B1745" s="8" t="s">
        <v>58937</v>
      </c>
    </row>
    <row r="1746" spans="1:2" ht="14.5" x14ac:dyDescent="0.35">
      <c r="A1746" s="8" t="s">
        <v>54735</v>
      </c>
      <c r="B1746" s="8" t="s">
        <v>59138</v>
      </c>
    </row>
    <row r="1747" spans="1:2" ht="14.5" x14ac:dyDescent="0.35">
      <c r="A1747" s="8" t="s">
        <v>54735</v>
      </c>
      <c r="B1747" s="8" t="s">
        <v>59130</v>
      </c>
    </row>
    <row r="1748" spans="1:2" ht="14.5" x14ac:dyDescent="0.35">
      <c r="A1748" s="8" t="s">
        <v>54735</v>
      </c>
      <c r="B1748" s="8" t="s">
        <v>59135</v>
      </c>
    </row>
    <row r="1749" spans="1:2" ht="14.5" x14ac:dyDescent="0.35">
      <c r="A1749" s="8" t="s">
        <v>54735</v>
      </c>
      <c r="B1749" s="8" t="s">
        <v>59305</v>
      </c>
    </row>
    <row r="1750" spans="1:2" ht="14.5" x14ac:dyDescent="0.35">
      <c r="A1750" s="8" t="s">
        <v>54735</v>
      </c>
      <c r="B1750" s="8" t="s">
        <v>59310</v>
      </c>
    </row>
    <row r="1751" spans="1:2" ht="14.5" x14ac:dyDescent="0.35">
      <c r="A1751" s="8" t="s">
        <v>54735</v>
      </c>
      <c r="B1751" s="8" t="s">
        <v>59137</v>
      </c>
    </row>
    <row r="1752" spans="1:2" ht="14.5" x14ac:dyDescent="0.35">
      <c r="A1752" s="8" t="s">
        <v>54735</v>
      </c>
      <c r="B1752" s="8" t="s">
        <v>58614</v>
      </c>
    </row>
    <row r="1753" spans="1:2" ht="14.5" x14ac:dyDescent="0.35">
      <c r="A1753" s="8" t="s">
        <v>54735</v>
      </c>
      <c r="B1753" s="8" t="s">
        <v>59134</v>
      </c>
    </row>
    <row r="1754" spans="1:2" ht="14.5" x14ac:dyDescent="0.35">
      <c r="A1754" s="8" t="s">
        <v>54735</v>
      </c>
      <c r="B1754" s="8" t="s">
        <v>59139</v>
      </c>
    </row>
    <row r="1755" spans="1:2" ht="14.5" x14ac:dyDescent="0.35">
      <c r="A1755" s="8" t="s">
        <v>54735</v>
      </c>
      <c r="B1755" s="8" t="s">
        <v>59129</v>
      </c>
    </row>
    <row r="1756" spans="1:2" ht="14.5" x14ac:dyDescent="0.35">
      <c r="A1756" s="8" t="s">
        <v>54735</v>
      </c>
      <c r="B1756" s="8" t="s">
        <v>59126</v>
      </c>
    </row>
    <row r="1757" spans="1:2" ht="14.5" x14ac:dyDescent="0.35">
      <c r="A1757" s="8" t="s">
        <v>54735</v>
      </c>
      <c r="B1757" s="8" t="s">
        <v>59150</v>
      </c>
    </row>
    <row r="1758" spans="1:2" ht="14.5" x14ac:dyDescent="0.35">
      <c r="A1758" s="8" t="s">
        <v>54735</v>
      </c>
      <c r="B1758" s="8" t="s">
        <v>59143</v>
      </c>
    </row>
    <row r="1759" spans="1:2" ht="14.5" x14ac:dyDescent="0.35">
      <c r="A1759" s="8" t="s">
        <v>54735</v>
      </c>
      <c r="B1759" s="8" t="s">
        <v>59125</v>
      </c>
    </row>
    <row r="1760" spans="1:2" ht="14.5" x14ac:dyDescent="0.35">
      <c r="A1760" s="8" t="s">
        <v>54735</v>
      </c>
      <c r="B1760" s="8" t="s">
        <v>59151</v>
      </c>
    </row>
    <row r="1761" spans="1:2" ht="14.5" x14ac:dyDescent="0.35">
      <c r="A1761" s="8" t="s">
        <v>54735</v>
      </c>
      <c r="B1761" s="8" t="s">
        <v>59321</v>
      </c>
    </row>
    <row r="1762" spans="1:2" ht="14.5" x14ac:dyDescent="0.35">
      <c r="A1762" s="8" t="s">
        <v>54735</v>
      </c>
      <c r="B1762" s="8" t="s">
        <v>60518</v>
      </c>
    </row>
    <row r="1763" spans="1:2" ht="14.5" x14ac:dyDescent="0.35">
      <c r="A1763" s="8" t="s">
        <v>54735</v>
      </c>
      <c r="B1763" s="8" t="s">
        <v>59357</v>
      </c>
    </row>
    <row r="1764" spans="1:2" ht="14.5" x14ac:dyDescent="0.35">
      <c r="A1764" s="8" t="s">
        <v>54735</v>
      </c>
      <c r="B1764" s="8" t="s">
        <v>59360</v>
      </c>
    </row>
    <row r="1765" spans="1:2" ht="14.5" x14ac:dyDescent="0.35">
      <c r="A1765" s="8" t="s">
        <v>54735</v>
      </c>
      <c r="B1765" s="8" t="s">
        <v>59356</v>
      </c>
    </row>
    <row r="1766" spans="1:2" ht="14.5" x14ac:dyDescent="0.35">
      <c r="A1766" s="8" t="s">
        <v>54735</v>
      </c>
      <c r="B1766" s="8" t="s">
        <v>59359</v>
      </c>
    </row>
    <row r="1767" spans="1:2" ht="14.5" x14ac:dyDescent="0.35">
      <c r="A1767" s="8" t="s">
        <v>54735</v>
      </c>
      <c r="B1767" s="8" t="s">
        <v>59355</v>
      </c>
    </row>
    <row r="1768" spans="1:2" ht="14.5" x14ac:dyDescent="0.35">
      <c r="A1768" s="8" t="s">
        <v>54735</v>
      </c>
      <c r="B1768" s="8" t="s">
        <v>59352</v>
      </c>
    </row>
    <row r="1769" spans="1:2" ht="14.5" x14ac:dyDescent="0.35">
      <c r="A1769" s="8" t="s">
        <v>54735</v>
      </c>
      <c r="B1769" s="8" t="s">
        <v>59353</v>
      </c>
    </row>
    <row r="1770" spans="1:2" ht="14.5" x14ac:dyDescent="0.35">
      <c r="A1770" s="8" t="s">
        <v>54735</v>
      </c>
      <c r="B1770" s="8" t="s">
        <v>59147</v>
      </c>
    </row>
    <row r="1771" spans="1:2" ht="14.5" x14ac:dyDescent="0.35">
      <c r="A1771" s="8" t="s">
        <v>54735</v>
      </c>
      <c r="B1771" s="8" t="s">
        <v>59351</v>
      </c>
    </row>
    <row r="1772" spans="1:2" ht="14.5" x14ac:dyDescent="0.35">
      <c r="A1772" s="8" t="s">
        <v>54735</v>
      </c>
      <c r="B1772" s="8" t="s">
        <v>58615</v>
      </c>
    </row>
    <row r="1773" spans="1:2" ht="14.5" x14ac:dyDescent="0.35">
      <c r="A1773" s="8" t="s">
        <v>54735</v>
      </c>
      <c r="B1773" s="8" t="s">
        <v>59149</v>
      </c>
    </row>
    <row r="1774" spans="1:2" ht="14.5" x14ac:dyDescent="0.35">
      <c r="A1774" s="8" t="s">
        <v>54735</v>
      </c>
      <c r="B1774" s="8" t="s">
        <v>58996</v>
      </c>
    </row>
    <row r="1775" spans="1:2" ht="14.5" x14ac:dyDescent="0.35">
      <c r="A1775" s="8" t="s">
        <v>54735</v>
      </c>
      <c r="B1775" s="8" t="s">
        <v>59148</v>
      </c>
    </row>
    <row r="1776" spans="1:2" ht="14.5" x14ac:dyDescent="0.35">
      <c r="A1776" s="8" t="s">
        <v>54735</v>
      </c>
      <c r="B1776" s="8" t="s">
        <v>58995</v>
      </c>
    </row>
    <row r="1777" spans="1:2" ht="14.5" x14ac:dyDescent="0.35">
      <c r="A1777" s="8" t="s">
        <v>54735</v>
      </c>
      <c r="B1777" s="8" t="s">
        <v>59354</v>
      </c>
    </row>
    <row r="1778" spans="1:2" ht="14.5" x14ac:dyDescent="0.35">
      <c r="A1778" s="8" t="s">
        <v>54735</v>
      </c>
      <c r="B1778" s="8" t="s">
        <v>59358</v>
      </c>
    </row>
    <row r="1779" spans="1:2" ht="14.5" x14ac:dyDescent="0.35">
      <c r="A1779" s="8" t="s">
        <v>54738</v>
      </c>
      <c r="B1779" s="8" t="s">
        <v>54747</v>
      </c>
    </row>
    <row r="1780" spans="1:2" ht="14.5" x14ac:dyDescent="0.35">
      <c r="A1780" s="8" t="s">
        <v>54738</v>
      </c>
      <c r="B1780" s="8" t="s">
        <v>54739</v>
      </c>
    </row>
    <row r="1781" spans="1:2" ht="14.5" x14ac:dyDescent="0.35">
      <c r="A1781" s="8" t="s">
        <v>54738</v>
      </c>
      <c r="B1781" s="8" t="s">
        <v>54740</v>
      </c>
    </row>
    <row r="1782" spans="1:2" ht="14.5" x14ac:dyDescent="0.35">
      <c r="A1782" s="8" t="s">
        <v>54738</v>
      </c>
      <c r="B1782" s="8" t="s">
        <v>54741</v>
      </c>
    </row>
    <row r="1783" spans="1:2" ht="14.5" x14ac:dyDescent="0.35">
      <c r="A1783" s="8" t="s">
        <v>54738</v>
      </c>
      <c r="B1783" s="8" t="s">
        <v>54742</v>
      </c>
    </row>
    <row r="1784" spans="1:2" ht="14.5" x14ac:dyDescent="0.35">
      <c r="A1784" s="8" t="s">
        <v>54738</v>
      </c>
      <c r="B1784" s="8" t="s">
        <v>54743</v>
      </c>
    </row>
    <row r="1785" spans="1:2" ht="14.5" x14ac:dyDescent="0.35">
      <c r="A1785" s="8" t="s">
        <v>54738</v>
      </c>
      <c r="B1785" s="8" t="s">
        <v>54748</v>
      </c>
    </row>
    <row r="1786" spans="1:2" ht="14.5" x14ac:dyDescent="0.35">
      <c r="A1786" s="8" t="s">
        <v>54738</v>
      </c>
      <c r="B1786" s="8" t="s">
        <v>54744</v>
      </c>
    </row>
    <row r="1787" spans="1:2" ht="14.5" x14ac:dyDescent="0.35">
      <c r="A1787" s="8" t="s">
        <v>54738</v>
      </c>
      <c r="B1787" s="8" t="s">
        <v>54749</v>
      </c>
    </row>
    <row r="1788" spans="1:2" ht="14.5" x14ac:dyDescent="0.35">
      <c r="A1788" s="8" t="s">
        <v>54738</v>
      </c>
      <c r="B1788" s="8" t="s">
        <v>54745</v>
      </c>
    </row>
    <row r="1789" spans="1:2" ht="14.5" x14ac:dyDescent="0.35">
      <c r="A1789" s="8" t="s">
        <v>54750</v>
      </c>
      <c r="B1789" s="8" t="s">
        <v>54751</v>
      </c>
    </row>
    <row r="1790" spans="1:2" ht="14.5" x14ac:dyDescent="0.35">
      <c r="A1790" s="8" t="s">
        <v>54750</v>
      </c>
      <c r="B1790" s="8" t="s">
        <v>54752</v>
      </c>
    </row>
    <row r="1791" spans="1:2" ht="14.5" x14ac:dyDescent="0.35">
      <c r="A1791" s="8" t="s">
        <v>54750</v>
      </c>
      <c r="B1791" s="8" t="s">
        <v>54753</v>
      </c>
    </row>
    <row r="1792" spans="1:2" ht="14.5" x14ac:dyDescent="0.35">
      <c r="A1792" s="8" t="s">
        <v>54750</v>
      </c>
      <c r="B1792" s="8" t="s">
        <v>54754</v>
      </c>
    </row>
    <row r="1793" spans="1:2" ht="14.5" x14ac:dyDescent="0.35">
      <c r="A1793" s="8" t="s">
        <v>54750</v>
      </c>
      <c r="B1793" s="8" t="s">
        <v>54755</v>
      </c>
    </row>
    <row r="1794" spans="1:2" ht="14.5" x14ac:dyDescent="0.35">
      <c r="A1794" s="8" t="s">
        <v>58616</v>
      </c>
      <c r="B1794" s="8" t="s">
        <v>58617</v>
      </c>
    </row>
    <row r="1795" spans="1:2" ht="14.5" x14ac:dyDescent="0.35">
      <c r="A1795" s="8" t="s">
        <v>27972</v>
      </c>
      <c r="B1795" s="8" t="s">
        <v>54756</v>
      </c>
    </row>
    <row r="1796" spans="1:2" ht="14.5" x14ac:dyDescent="0.35">
      <c r="A1796" s="8" t="s">
        <v>27972</v>
      </c>
      <c r="B1796" s="8" t="s">
        <v>54757</v>
      </c>
    </row>
    <row r="1797" spans="1:2" ht="14.5" x14ac:dyDescent="0.35">
      <c r="A1797" s="8" t="s">
        <v>27972</v>
      </c>
      <c r="B1797" s="8" t="s">
        <v>54758</v>
      </c>
    </row>
    <row r="1798" spans="1:2" ht="14.5" x14ac:dyDescent="0.35">
      <c r="A1798" s="8" t="s">
        <v>27972</v>
      </c>
      <c r="B1798" s="8" t="s">
        <v>58752</v>
      </c>
    </row>
    <row r="1799" spans="1:2" ht="14.5" x14ac:dyDescent="0.35">
      <c r="A1799" s="8" t="s">
        <v>27972</v>
      </c>
      <c r="B1799" s="8" t="s">
        <v>58753</v>
      </c>
    </row>
    <row r="1800" spans="1:2" ht="14.5" x14ac:dyDescent="0.35">
      <c r="A1800" s="8" t="s">
        <v>27972</v>
      </c>
      <c r="B1800" s="8" t="s">
        <v>54759</v>
      </c>
    </row>
    <row r="1801" spans="1:2" ht="14.5" x14ac:dyDescent="0.35">
      <c r="A1801" s="8" t="s">
        <v>27972</v>
      </c>
      <c r="B1801" s="8" t="s">
        <v>54760</v>
      </c>
    </row>
    <row r="1802" spans="1:2" ht="14.5" x14ac:dyDescent="0.35">
      <c r="A1802" s="8" t="s">
        <v>27972</v>
      </c>
      <c r="B1802" s="8" t="s">
        <v>54761</v>
      </c>
    </row>
    <row r="1803" spans="1:2" ht="14.5" x14ac:dyDescent="0.35">
      <c r="A1803" s="8" t="s">
        <v>27972</v>
      </c>
      <c r="B1803" s="8" t="s">
        <v>54762</v>
      </c>
    </row>
    <row r="1804" spans="1:2" ht="14.5" x14ac:dyDescent="0.35">
      <c r="A1804" s="8" t="s">
        <v>27972</v>
      </c>
      <c r="B1804" s="8" t="s">
        <v>54763</v>
      </c>
    </row>
    <row r="1805" spans="1:2" ht="14.5" x14ac:dyDescent="0.35">
      <c r="A1805" s="8" t="s">
        <v>27972</v>
      </c>
      <c r="B1805" s="8" t="s">
        <v>54764</v>
      </c>
    </row>
    <row r="1806" spans="1:2" ht="14.5" x14ac:dyDescent="0.35">
      <c r="A1806" s="8" t="s">
        <v>27972</v>
      </c>
      <c r="B1806" s="8" t="s">
        <v>54765</v>
      </c>
    </row>
    <row r="1807" spans="1:2" ht="14.5" x14ac:dyDescent="0.35">
      <c r="A1807" s="8" t="s">
        <v>27972</v>
      </c>
      <c r="B1807" s="8" t="s">
        <v>54766</v>
      </c>
    </row>
    <row r="1808" spans="1:2" ht="14.5" x14ac:dyDescent="0.35">
      <c r="A1808" s="8" t="s">
        <v>27972</v>
      </c>
      <c r="B1808" s="8" t="s">
        <v>54767</v>
      </c>
    </row>
    <row r="1809" spans="1:2" ht="14.5" x14ac:dyDescent="0.35">
      <c r="A1809" s="8" t="s">
        <v>27972</v>
      </c>
      <c r="B1809" s="8" t="s">
        <v>54768</v>
      </c>
    </row>
    <row r="1810" spans="1:2" ht="14.5" x14ac:dyDescent="0.35">
      <c r="A1810" s="8" t="s">
        <v>27972</v>
      </c>
      <c r="B1810" s="8" t="s">
        <v>54769</v>
      </c>
    </row>
    <row r="1811" spans="1:2" ht="14.5" x14ac:dyDescent="0.35">
      <c r="A1811" s="8" t="s">
        <v>27972</v>
      </c>
      <c r="B1811" s="8" t="s">
        <v>54770</v>
      </c>
    </row>
    <row r="1812" spans="1:2" ht="14.5" x14ac:dyDescent="0.35">
      <c r="A1812" s="8" t="s">
        <v>27972</v>
      </c>
      <c r="B1812" s="8" t="s">
        <v>54771</v>
      </c>
    </row>
    <row r="1813" spans="1:2" ht="14.5" x14ac:dyDescent="0.35">
      <c r="A1813" s="8" t="s">
        <v>27972</v>
      </c>
      <c r="B1813" s="8" t="s">
        <v>54772</v>
      </c>
    </row>
    <row r="1814" spans="1:2" ht="14.5" x14ac:dyDescent="0.35">
      <c r="A1814" s="8" t="s">
        <v>27972</v>
      </c>
      <c r="B1814" s="8" t="s">
        <v>54773</v>
      </c>
    </row>
    <row r="1815" spans="1:2" ht="14.5" x14ac:dyDescent="0.35">
      <c r="A1815" s="8" t="s">
        <v>27972</v>
      </c>
      <c r="B1815" s="8" t="s">
        <v>54774</v>
      </c>
    </row>
    <row r="1816" spans="1:2" ht="14.5" x14ac:dyDescent="0.35">
      <c r="A1816" s="8" t="s">
        <v>27972</v>
      </c>
      <c r="B1816" s="8" t="s">
        <v>54775</v>
      </c>
    </row>
    <row r="1817" spans="1:2" ht="14.5" x14ac:dyDescent="0.35">
      <c r="A1817" s="8" t="s">
        <v>27972</v>
      </c>
      <c r="B1817" s="8" t="s">
        <v>54776</v>
      </c>
    </row>
    <row r="1818" spans="1:2" ht="14.5" x14ac:dyDescent="0.35">
      <c r="A1818" s="8" t="s">
        <v>27972</v>
      </c>
      <c r="B1818" s="8" t="s">
        <v>54777</v>
      </c>
    </row>
    <row r="1819" spans="1:2" ht="14.5" x14ac:dyDescent="0.35">
      <c r="A1819" s="8" t="s">
        <v>27972</v>
      </c>
      <c r="B1819" s="8" t="s">
        <v>54778</v>
      </c>
    </row>
    <row r="1820" spans="1:2" ht="14.5" x14ac:dyDescent="0.35">
      <c r="A1820" s="8" t="s">
        <v>27972</v>
      </c>
      <c r="B1820" s="8" t="s">
        <v>54779</v>
      </c>
    </row>
    <row r="1821" spans="1:2" ht="14.5" x14ac:dyDescent="0.35">
      <c r="A1821" s="8" t="s">
        <v>27972</v>
      </c>
      <c r="B1821" s="8" t="s">
        <v>54780</v>
      </c>
    </row>
    <row r="1822" spans="1:2" ht="14.5" x14ac:dyDescent="0.35">
      <c r="A1822" s="8" t="s">
        <v>27972</v>
      </c>
      <c r="B1822" s="8" t="s">
        <v>58751</v>
      </c>
    </row>
    <row r="1823" spans="1:2" ht="14.5" x14ac:dyDescent="0.35">
      <c r="A1823" s="8" t="s">
        <v>27972</v>
      </c>
      <c r="B1823" s="8" t="s">
        <v>54781</v>
      </c>
    </row>
    <row r="1824" spans="1:2" ht="14.5" x14ac:dyDescent="0.35">
      <c r="A1824" s="8" t="s">
        <v>27972</v>
      </c>
      <c r="B1824" s="8" t="s">
        <v>54782</v>
      </c>
    </row>
    <row r="1825" spans="1:2" ht="14.5" x14ac:dyDescent="0.35">
      <c r="A1825" s="8" t="s">
        <v>27972</v>
      </c>
      <c r="B1825" s="8" t="s">
        <v>54783</v>
      </c>
    </row>
    <row r="1826" spans="1:2" ht="14.5" x14ac:dyDescent="0.35">
      <c r="A1826" s="8" t="s">
        <v>27972</v>
      </c>
      <c r="B1826" s="8" t="s">
        <v>54784</v>
      </c>
    </row>
    <row r="1827" spans="1:2" ht="14.5" x14ac:dyDescent="0.35">
      <c r="A1827" s="8" t="s">
        <v>27972</v>
      </c>
      <c r="B1827" s="8" t="s">
        <v>54785</v>
      </c>
    </row>
    <row r="1828" spans="1:2" ht="14.5" x14ac:dyDescent="0.35">
      <c r="A1828" s="8" t="s">
        <v>27972</v>
      </c>
      <c r="B1828" s="8" t="s">
        <v>54786</v>
      </c>
    </row>
    <row r="1829" spans="1:2" ht="14.5" x14ac:dyDescent="0.35">
      <c r="A1829" s="8" t="s">
        <v>27972</v>
      </c>
      <c r="B1829" s="8" t="s">
        <v>54787</v>
      </c>
    </row>
    <row r="1830" spans="1:2" ht="14.5" x14ac:dyDescent="0.35">
      <c r="A1830" s="8" t="s">
        <v>27972</v>
      </c>
      <c r="B1830" s="8" t="s">
        <v>54788</v>
      </c>
    </row>
    <row r="1831" spans="1:2" ht="14.5" x14ac:dyDescent="0.35">
      <c r="A1831" s="8" t="s">
        <v>27972</v>
      </c>
      <c r="B1831" s="8" t="s">
        <v>54789</v>
      </c>
    </row>
    <row r="1832" spans="1:2" ht="14.5" x14ac:dyDescent="0.35">
      <c r="A1832" s="8" t="s">
        <v>27972</v>
      </c>
      <c r="B1832" s="8" t="s">
        <v>54790</v>
      </c>
    </row>
    <row r="1833" spans="1:2" ht="14.5" x14ac:dyDescent="0.35">
      <c r="A1833" s="8" t="s">
        <v>27972</v>
      </c>
      <c r="B1833" s="8" t="s">
        <v>54791</v>
      </c>
    </row>
    <row r="1834" spans="1:2" ht="14.5" x14ac:dyDescent="0.35">
      <c r="A1834" s="8" t="s">
        <v>27972</v>
      </c>
      <c r="B1834" s="8" t="s">
        <v>54792</v>
      </c>
    </row>
    <row r="1835" spans="1:2" ht="14.5" x14ac:dyDescent="0.35">
      <c r="A1835" s="8" t="s">
        <v>27972</v>
      </c>
      <c r="B1835" s="8" t="s">
        <v>58748</v>
      </c>
    </row>
    <row r="1836" spans="1:2" ht="14.5" x14ac:dyDescent="0.35">
      <c r="A1836" s="8" t="s">
        <v>27972</v>
      </c>
      <c r="B1836" s="8" t="s">
        <v>58749</v>
      </c>
    </row>
    <row r="1837" spans="1:2" ht="14.5" x14ac:dyDescent="0.35">
      <c r="A1837" s="8" t="s">
        <v>27972</v>
      </c>
      <c r="B1837" s="8" t="s">
        <v>58750</v>
      </c>
    </row>
    <row r="1838" spans="1:2" ht="14.5" x14ac:dyDescent="0.35">
      <c r="A1838" s="8" t="s">
        <v>27972</v>
      </c>
      <c r="B1838" s="8" t="s">
        <v>54793</v>
      </c>
    </row>
    <row r="1839" spans="1:2" ht="14.5" x14ac:dyDescent="0.35">
      <c r="A1839" s="8" t="s">
        <v>27972</v>
      </c>
      <c r="B1839" s="8" t="s">
        <v>54794</v>
      </c>
    </row>
    <row r="1840" spans="1:2" ht="14.5" x14ac:dyDescent="0.35">
      <c r="A1840" s="8" t="s">
        <v>27972</v>
      </c>
      <c r="B1840" s="8" t="s">
        <v>54795</v>
      </c>
    </row>
    <row r="1841" spans="1:2" ht="14.5" x14ac:dyDescent="0.35">
      <c r="A1841" s="8" t="s">
        <v>27972</v>
      </c>
      <c r="B1841" s="8" t="s">
        <v>54796</v>
      </c>
    </row>
    <row r="1842" spans="1:2" ht="14.5" x14ac:dyDescent="0.35">
      <c r="A1842" s="8" t="s">
        <v>27972</v>
      </c>
      <c r="B1842" s="8" t="s">
        <v>54797</v>
      </c>
    </row>
    <row r="1843" spans="1:2" ht="14.5" x14ac:dyDescent="0.35">
      <c r="A1843" s="8" t="s">
        <v>27972</v>
      </c>
      <c r="B1843" s="8" t="s">
        <v>54798</v>
      </c>
    </row>
    <row r="1844" spans="1:2" ht="14.5" x14ac:dyDescent="0.35">
      <c r="A1844" s="8" t="s">
        <v>27972</v>
      </c>
      <c r="B1844" s="8" t="s">
        <v>54799</v>
      </c>
    </row>
    <row r="1845" spans="1:2" ht="14.5" x14ac:dyDescent="0.35">
      <c r="A1845" s="8" t="s">
        <v>27972</v>
      </c>
      <c r="B1845" s="8" t="s">
        <v>54800</v>
      </c>
    </row>
    <row r="1846" spans="1:2" ht="14.5" x14ac:dyDescent="0.35">
      <c r="A1846" s="8" t="s">
        <v>27972</v>
      </c>
      <c r="B1846" s="8" t="s">
        <v>54801</v>
      </c>
    </row>
    <row r="1847" spans="1:2" ht="14.5" x14ac:dyDescent="0.35">
      <c r="A1847" s="8" t="s">
        <v>27972</v>
      </c>
      <c r="B1847" s="8" t="s">
        <v>54802</v>
      </c>
    </row>
    <row r="1848" spans="1:2" ht="14.5" x14ac:dyDescent="0.35">
      <c r="A1848" s="8" t="s">
        <v>27972</v>
      </c>
      <c r="B1848" s="8" t="s">
        <v>54803</v>
      </c>
    </row>
    <row r="1849" spans="1:2" ht="14.5" x14ac:dyDescent="0.35">
      <c r="A1849" s="8" t="s">
        <v>27972</v>
      </c>
      <c r="B1849" s="8" t="s">
        <v>54804</v>
      </c>
    </row>
    <row r="1850" spans="1:2" ht="14.5" x14ac:dyDescent="0.35">
      <c r="A1850" s="8" t="s">
        <v>27972</v>
      </c>
      <c r="B1850" s="8" t="s">
        <v>54805</v>
      </c>
    </row>
    <row r="1851" spans="1:2" ht="14.5" x14ac:dyDescent="0.35">
      <c r="A1851" s="8" t="s">
        <v>27972</v>
      </c>
      <c r="B1851" s="8" t="s">
        <v>54806</v>
      </c>
    </row>
    <row r="1852" spans="1:2" ht="14.5" x14ac:dyDescent="0.35">
      <c r="A1852" s="8" t="s">
        <v>27972</v>
      </c>
      <c r="B1852" s="8" t="s">
        <v>54807</v>
      </c>
    </row>
    <row r="1853" spans="1:2" ht="14.5" x14ac:dyDescent="0.35">
      <c r="A1853" s="8" t="s">
        <v>27972</v>
      </c>
      <c r="B1853" s="8" t="s">
        <v>54808</v>
      </c>
    </row>
    <row r="1854" spans="1:2" ht="14.5" x14ac:dyDescent="0.35">
      <c r="A1854" s="8" t="s">
        <v>27972</v>
      </c>
      <c r="B1854" s="8" t="s">
        <v>54809</v>
      </c>
    </row>
    <row r="1855" spans="1:2" ht="14.5" x14ac:dyDescent="0.35">
      <c r="A1855" s="8" t="s">
        <v>27972</v>
      </c>
      <c r="B1855" s="8" t="s">
        <v>54810</v>
      </c>
    </row>
    <row r="1856" spans="1:2" ht="14.5" x14ac:dyDescent="0.35">
      <c r="A1856" s="8" t="s">
        <v>27972</v>
      </c>
      <c r="B1856" s="8" t="s">
        <v>54811</v>
      </c>
    </row>
    <row r="1857" spans="1:2" ht="14.5" x14ac:dyDescent="0.35">
      <c r="A1857" s="8" t="s">
        <v>27972</v>
      </c>
      <c r="B1857" s="8" t="s">
        <v>54812</v>
      </c>
    </row>
    <row r="1858" spans="1:2" ht="14.5" x14ac:dyDescent="0.35">
      <c r="A1858" s="8" t="s">
        <v>27972</v>
      </c>
      <c r="B1858" s="8" t="s">
        <v>54813</v>
      </c>
    </row>
    <row r="1859" spans="1:2" ht="14.5" x14ac:dyDescent="0.35">
      <c r="A1859" s="8" t="s">
        <v>27972</v>
      </c>
      <c r="B1859" s="8" t="s">
        <v>54814</v>
      </c>
    </row>
    <row r="1860" spans="1:2" ht="14.5" x14ac:dyDescent="0.35">
      <c r="A1860" s="8" t="s">
        <v>27972</v>
      </c>
      <c r="B1860" s="8" t="s">
        <v>54815</v>
      </c>
    </row>
    <row r="1861" spans="1:2" ht="14.5" x14ac:dyDescent="0.35">
      <c r="A1861" s="8" t="s">
        <v>27972</v>
      </c>
      <c r="B1861" s="8" t="s">
        <v>54816</v>
      </c>
    </row>
    <row r="1862" spans="1:2" ht="14.5" x14ac:dyDescent="0.35">
      <c r="A1862" s="8" t="s">
        <v>27972</v>
      </c>
      <c r="B1862" s="8" t="s">
        <v>54817</v>
      </c>
    </row>
    <row r="1863" spans="1:2" ht="14.5" x14ac:dyDescent="0.35">
      <c r="A1863" s="8" t="s">
        <v>27972</v>
      </c>
      <c r="B1863" s="8" t="s">
        <v>54818</v>
      </c>
    </row>
    <row r="1864" spans="1:2" ht="14.5" x14ac:dyDescent="0.35">
      <c r="A1864" s="8" t="s">
        <v>27972</v>
      </c>
      <c r="B1864" s="8" t="s">
        <v>54819</v>
      </c>
    </row>
    <row r="1865" spans="1:2" ht="14.5" x14ac:dyDescent="0.35">
      <c r="A1865" s="8" t="s">
        <v>58618</v>
      </c>
      <c r="B1865" s="8" t="s">
        <v>58619</v>
      </c>
    </row>
    <row r="1866" spans="1:2" ht="14.5" x14ac:dyDescent="0.35">
      <c r="A1866" s="8" t="s">
        <v>54820</v>
      </c>
      <c r="B1866" s="8" t="s">
        <v>58620</v>
      </c>
    </row>
    <row r="1867" spans="1:2" ht="14.5" x14ac:dyDescent="0.35">
      <c r="A1867" s="8" t="s">
        <v>54820</v>
      </c>
      <c r="B1867" s="8" t="s">
        <v>54822</v>
      </c>
    </row>
    <row r="1868" spans="1:2" ht="14.5" x14ac:dyDescent="0.35">
      <c r="A1868" s="8" t="s">
        <v>54820</v>
      </c>
      <c r="B1868" s="8" t="s">
        <v>54823</v>
      </c>
    </row>
    <row r="1869" spans="1:2" ht="14.5" x14ac:dyDescent="0.35">
      <c r="A1869" s="8" t="s">
        <v>54820</v>
      </c>
      <c r="B1869" s="8" t="s">
        <v>54824</v>
      </c>
    </row>
    <row r="1870" spans="1:2" ht="14.5" x14ac:dyDescent="0.35">
      <c r="A1870" s="8" t="s">
        <v>54825</v>
      </c>
      <c r="B1870" s="8" t="s">
        <v>54830</v>
      </c>
    </row>
    <row r="1871" spans="1:2" ht="14.5" x14ac:dyDescent="0.35">
      <c r="A1871" s="8" t="s">
        <v>54825</v>
      </c>
      <c r="B1871" s="8" t="s">
        <v>54831</v>
      </c>
    </row>
    <row r="1872" spans="1:2" ht="14.5" x14ac:dyDescent="0.35">
      <c r="A1872" s="8" t="s">
        <v>54825</v>
      </c>
      <c r="B1872" s="8" t="s">
        <v>54832</v>
      </c>
    </row>
    <row r="1873" spans="1:2" ht="14.5" x14ac:dyDescent="0.35">
      <c r="A1873" s="8" t="s">
        <v>54825</v>
      </c>
      <c r="B1873" s="8" t="s">
        <v>54833</v>
      </c>
    </row>
    <row r="1874" spans="1:2" ht="14.5" x14ac:dyDescent="0.35">
      <c r="A1874" s="8" t="s">
        <v>54825</v>
      </c>
      <c r="B1874" s="8" t="s">
        <v>54834</v>
      </c>
    </row>
    <row r="1875" spans="1:2" ht="14.5" x14ac:dyDescent="0.35">
      <c r="A1875" s="8" t="s">
        <v>54825</v>
      </c>
      <c r="B1875" s="8" t="s">
        <v>54835</v>
      </c>
    </row>
    <row r="1876" spans="1:2" ht="14.5" x14ac:dyDescent="0.35">
      <c r="A1876" s="8" t="s">
        <v>54825</v>
      </c>
      <c r="B1876" s="8" t="s">
        <v>54836</v>
      </c>
    </row>
    <row r="1877" spans="1:2" ht="14.5" x14ac:dyDescent="0.35">
      <c r="A1877" s="8" t="s">
        <v>54825</v>
      </c>
      <c r="B1877" s="8" t="s">
        <v>54837</v>
      </c>
    </row>
    <row r="1878" spans="1:2" ht="14.5" x14ac:dyDescent="0.35">
      <c r="A1878" s="8" t="s">
        <v>54825</v>
      </c>
      <c r="B1878" s="8" t="s">
        <v>54838</v>
      </c>
    </row>
    <row r="1879" spans="1:2" ht="14.5" x14ac:dyDescent="0.35">
      <c r="A1879" s="8" t="s">
        <v>54825</v>
      </c>
      <c r="B1879" s="8" t="s">
        <v>54839</v>
      </c>
    </row>
    <row r="1880" spans="1:2" ht="14.5" x14ac:dyDescent="0.35">
      <c r="A1880" s="8" t="s">
        <v>54825</v>
      </c>
      <c r="B1880" s="8" t="s">
        <v>54840</v>
      </c>
    </row>
    <row r="1881" spans="1:2" ht="14.5" x14ac:dyDescent="0.35">
      <c r="A1881" s="8" t="s">
        <v>54825</v>
      </c>
      <c r="B1881" s="8" t="s">
        <v>54841</v>
      </c>
    </row>
    <row r="1882" spans="1:2" ht="14.5" x14ac:dyDescent="0.35">
      <c r="A1882" s="8" t="s">
        <v>54825</v>
      </c>
      <c r="B1882" s="8" t="s">
        <v>54842</v>
      </c>
    </row>
    <row r="1883" spans="1:2" ht="14.5" x14ac:dyDescent="0.35">
      <c r="A1883" s="8" t="s">
        <v>54825</v>
      </c>
      <c r="B1883" s="8" t="s">
        <v>54843</v>
      </c>
    </row>
    <row r="1884" spans="1:2" ht="14.5" x14ac:dyDescent="0.35">
      <c r="A1884" s="8" t="s">
        <v>54825</v>
      </c>
      <c r="B1884" s="8" t="s">
        <v>54844</v>
      </c>
    </row>
    <row r="1885" spans="1:2" ht="14.5" x14ac:dyDescent="0.35">
      <c r="A1885" s="8" t="s">
        <v>54825</v>
      </c>
      <c r="B1885" s="8" t="s">
        <v>54845</v>
      </c>
    </row>
    <row r="1886" spans="1:2" ht="14.5" x14ac:dyDescent="0.35">
      <c r="A1886" s="8" t="s">
        <v>54825</v>
      </c>
      <c r="B1886" s="8" t="s">
        <v>54846</v>
      </c>
    </row>
    <row r="1887" spans="1:2" ht="14.5" x14ac:dyDescent="0.35">
      <c r="A1887" s="8" t="s">
        <v>54825</v>
      </c>
      <c r="B1887" s="8" t="s">
        <v>54847</v>
      </c>
    </row>
    <row r="1888" spans="1:2" ht="14.5" x14ac:dyDescent="0.35">
      <c r="A1888" s="8" t="s">
        <v>54825</v>
      </c>
      <c r="B1888" s="8" t="s">
        <v>54826</v>
      </c>
    </row>
    <row r="1889" spans="1:2" ht="14.5" x14ac:dyDescent="0.35">
      <c r="A1889" s="8" t="s">
        <v>54825</v>
      </c>
      <c r="B1889" s="8" t="s">
        <v>54848</v>
      </c>
    </row>
    <row r="1890" spans="1:2" ht="14.5" x14ac:dyDescent="0.35">
      <c r="A1890" s="8" t="s">
        <v>54825</v>
      </c>
      <c r="B1890" s="8" t="s">
        <v>54849</v>
      </c>
    </row>
    <row r="1891" spans="1:2" ht="14.5" x14ac:dyDescent="0.35">
      <c r="A1891" s="8" t="s">
        <v>54825</v>
      </c>
      <c r="B1891" s="8" t="s">
        <v>54850</v>
      </c>
    </row>
    <row r="1892" spans="1:2" ht="14.5" x14ac:dyDescent="0.35">
      <c r="A1892" s="8" t="s">
        <v>54825</v>
      </c>
      <c r="B1892" s="8" t="s">
        <v>54827</v>
      </c>
    </row>
    <row r="1893" spans="1:2" ht="14.5" x14ac:dyDescent="0.35">
      <c r="A1893" s="8" t="s">
        <v>54825</v>
      </c>
      <c r="B1893" s="8" t="s">
        <v>54851</v>
      </c>
    </row>
    <row r="1894" spans="1:2" ht="14.5" x14ac:dyDescent="0.35">
      <c r="A1894" s="8" t="s">
        <v>54825</v>
      </c>
      <c r="B1894" s="8" t="s">
        <v>54852</v>
      </c>
    </row>
    <row r="1895" spans="1:2" ht="14.5" x14ac:dyDescent="0.35">
      <c r="A1895" s="8" t="s">
        <v>54825</v>
      </c>
      <c r="B1895" s="8" t="s">
        <v>54853</v>
      </c>
    </row>
    <row r="1896" spans="1:2" ht="14.5" x14ac:dyDescent="0.35">
      <c r="A1896" s="8" t="s">
        <v>54825</v>
      </c>
      <c r="B1896" s="8" t="s">
        <v>54854</v>
      </c>
    </row>
    <row r="1897" spans="1:2" ht="14.5" x14ac:dyDescent="0.35">
      <c r="A1897" s="8" t="s">
        <v>54825</v>
      </c>
      <c r="B1897" s="8" t="s">
        <v>54855</v>
      </c>
    </row>
    <row r="1898" spans="1:2" ht="14.5" x14ac:dyDescent="0.35">
      <c r="A1898" s="8" t="s">
        <v>54825</v>
      </c>
      <c r="B1898" s="8" t="s">
        <v>54856</v>
      </c>
    </row>
    <row r="1899" spans="1:2" ht="14.5" x14ac:dyDescent="0.35">
      <c r="A1899" s="8" t="s">
        <v>54825</v>
      </c>
      <c r="B1899" s="8" t="s">
        <v>54857</v>
      </c>
    </row>
    <row r="1900" spans="1:2" ht="14.5" x14ac:dyDescent="0.35">
      <c r="A1900" s="8" t="s">
        <v>54825</v>
      </c>
      <c r="B1900" s="8" t="s">
        <v>54858</v>
      </c>
    </row>
    <row r="1901" spans="1:2" ht="14.5" x14ac:dyDescent="0.35">
      <c r="A1901" s="8" t="s">
        <v>54825</v>
      </c>
      <c r="B1901" s="8" t="s">
        <v>54859</v>
      </c>
    </row>
    <row r="1902" spans="1:2" ht="14.5" x14ac:dyDescent="0.35">
      <c r="A1902" s="8" t="s">
        <v>54825</v>
      </c>
      <c r="B1902" s="8" t="s">
        <v>54828</v>
      </c>
    </row>
    <row r="1903" spans="1:2" ht="14.5" x14ac:dyDescent="0.35">
      <c r="A1903" s="8" t="s">
        <v>54825</v>
      </c>
      <c r="B1903" s="8" t="s">
        <v>54860</v>
      </c>
    </row>
    <row r="1904" spans="1:2" ht="14.5" x14ac:dyDescent="0.35">
      <c r="A1904" s="8" t="s">
        <v>54825</v>
      </c>
      <c r="B1904" s="8" t="s">
        <v>54829</v>
      </c>
    </row>
    <row r="1905" spans="1:2" ht="14.5" x14ac:dyDescent="0.35">
      <c r="A1905" s="8" t="s">
        <v>54825</v>
      </c>
      <c r="B1905" s="8" t="s">
        <v>54861</v>
      </c>
    </row>
    <row r="1906" spans="1:2" ht="14.5" x14ac:dyDescent="0.35">
      <c r="A1906" s="8" t="s">
        <v>54825</v>
      </c>
      <c r="B1906" s="8" t="s">
        <v>54862</v>
      </c>
    </row>
    <row r="1907" spans="1:2" ht="14.5" x14ac:dyDescent="0.35">
      <c r="A1907" s="8" t="s">
        <v>54825</v>
      </c>
      <c r="B1907" s="8" t="s">
        <v>54863</v>
      </c>
    </row>
    <row r="1908" spans="1:2" ht="14.5" x14ac:dyDescent="0.35">
      <c r="A1908" s="8" t="s">
        <v>54825</v>
      </c>
      <c r="B1908" s="8" t="s">
        <v>54864</v>
      </c>
    </row>
    <row r="1909" spans="1:2" ht="14.5" x14ac:dyDescent="0.35">
      <c r="A1909" s="8" t="s">
        <v>54825</v>
      </c>
      <c r="B1909" s="8" t="s">
        <v>54865</v>
      </c>
    </row>
    <row r="1910" spans="1:2" ht="14.5" x14ac:dyDescent="0.35">
      <c r="A1910" s="8" t="s">
        <v>54825</v>
      </c>
      <c r="B1910" s="8" t="s">
        <v>54866</v>
      </c>
    </row>
    <row r="1911" spans="1:2" ht="14.5" x14ac:dyDescent="0.35">
      <c r="A1911" s="8" t="s">
        <v>54825</v>
      </c>
      <c r="B1911" s="8" t="s">
        <v>54867</v>
      </c>
    </row>
    <row r="1912" spans="1:2" ht="14.5" x14ac:dyDescent="0.35">
      <c r="A1912" s="8" t="s">
        <v>54825</v>
      </c>
      <c r="B1912" s="8" t="s">
        <v>54868</v>
      </c>
    </row>
    <row r="1913" spans="1:2" ht="14.5" x14ac:dyDescent="0.35">
      <c r="A1913" s="8" t="s">
        <v>54869</v>
      </c>
      <c r="B1913" s="8" t="s">
        <v>54870</v>
      </c>
    </row>
    <row r="1914" spans="1:2" ht="14.5" x14ac:dyDescent="0.35">
      <c r="A1914" s="8" t="s">
        <v>54869</v>
      </c>
      <c r="B1914" s="8" t="s">
        <v>54871</v>
      </c>
    </row>
    <row r="1915" spans="1:2" ht="14.5" x14ac:dyDescent="0.35">
      <c r="A1915" s="8" t="s">
        <v>54869</v>
      </c>
      <c r="B1915" s="8" t="s">
        <v>54872</v>
      </c>
    </row>
    <row r="1916" spans="1:2" ht="14.5" x14ac:dyDescent="0.35">
      <c r="A1916" s="8" t="s">
        <v>54869</v>
      </c>
      <c r="B1916" s="8" t="s">
        <v>54873</v>
      </c>
    </row>
    <row r="1917" spans="1:2" ht="14.5" x14ac:dyDescent="0.35">
      <c r="A1917" s="8" t="s">
        <v>58643</v>
      </c>
      <c r="B1917" s="8" t="s">
        <v>58644</v>
      </c>
    </row>
    <row r="1918" spans="1:2" ht="14.5" x14ac:dyDescent="0.35">
      <c r="A1918" s="8" t="s">
        <v>54874</v>
      </c>
      <c r="B1918" s="8" t="s">
        <v>54875</v>
      </c>
    </row>
    <row r="1919" spans="1:2" ht="14.5" x14ac:dyDescent="0.35">
      <c r="A1919" s="8" t="s">
        <v>54874</v>
      </c>
      <c r="B1919" s="8" t="s">
        <v>54876</v>
      </c>
    </row>
    <row r="1920" spans="1:2" ht="14.5" x14ac:dyDescent="0.35">
      <c r="A1920" s="8" t="s">
        <v>54874</v>
      </c>
      <c r="B1920" s="8" t="s">
        <v>54877</v>
      </c>
    </row>
    <row r="1921" spans="1:2" ht="14.5" x14ac:dyDescent="0.35">
      <c r="A1921" s="8" t="s">
        <v>54874</v>
      </c>
      <c r="B1921" s="8" t="s">
        <v>54878</v>
      </c>
    </row>
    <row r="1922" spans="1:2" ht="14.5" x14ac:dyDescent="0.35">
      <c r="A1922" s="8" t="s">
        <v>54874</v>
      </c>
      <c r="B1922" s="8" t="s">
        <v>54879</v>
      </c>
    </row>
    <row r="1923" spans="1:2" ht="14.5" x14ac:dyDescent="0.35">
      <c r="A1923" s="8" t="s">
        <v>58621</v>
      </c>
      <c r="B1923" s="8" t="s">
        <v>55198</v>
      </c>
    </row>
    <row r="1924" spans="1:2" ht="14.5" x14ac:dyDescent="0.35">
      <c r="A1924" s="8" t="s">
        <v>54880</v>
      </c>
      <c r="B1924" s="8" t="s">
        <v>54883</v>
      </c>
    </row>
    <row r="1925" spans="1:2" ht="14.5" x14ac:dyDescent="0.35">
      <c r="A1925" s="8" t="s">
        <v>54880</v>
      </c>
      <c r="B1925" s="8" t="s">
        <v>54</v>
      </c>
    </row>
    <row r="1926" spans="1:2" ht="14.5" x14ac:dyDescent="0.35">
      <c r="A1926" s="8" t="s">
        <v>54880</v>
      </c>
      <c r="B1926" s="8" t="s">
        <v>54884</v>
      </c>
    </row>
    <row r="1927" spans="1:2" ht="14.5" x14ac:dyDescent="0.35">
      <c r="A1927" s="8" t="s">
        <v>54880</v>
      </c>
      <c r="B1927" s="8" t="s">
        <v>54881</v>
      </c>
    </row>
    <row r="1928" spans="1:2" ht="14.5" x14ac:dyDescent="0.35">
      <c r="A1928" s="8" t="s">
        <v>54880</v>
      </c>
      <c r="B1928" s="8" t="s">
        <v>54885</v>
      </c>
    </row>
    <row r="1929" spans="1:2" ht="14.5" x14ac:dyDescent="0.35">
      <c r="A1929" s="8" t="s">
        <v>54880</v>
      </c>
      <c r="B1929" s="8" t="s">
        <v>54882</v>
      </c>
    </row>
    <row r="1930" spans="1:2" ht="14.5" x14ac:dyDescent="0.35">
      <c r="A1930" s="8" t="s">
        <v>54886</v>
      </c>
      <c r="B1930" s="8" t="s">
        <v>54887</v>
      </c>
    </row>
    <row r="1931" spans="1:2" ht="14.5" x14ac:dyDescent="0.35">
      <c r="A1931" s="8" t="s">
        <v>54886</v>
      </c>
      <c r="B1931" s="8" t="s">
        <v>54888</v>
      </c>
    </row>
    <row r="1932" spans="1:2" ht="14.5" x14ac:dyDescent="0.35">
      <c r="A1932" s="8" t="s">
        <v>54886</v>
      </c>
      <c r="B1932" s="8" t="s">
        <v>54889</v>
      </c>
    </row>
    <row r="1933" spans="1:2" ht="14.5" x14ac:dyDescent="0.35">
      <c r="A1933" s="8" t="s">
        <v>54890</v>
      </c>
      <c r="B1933" s="8" t="s">
        <v>54891</v>
      </c>
    </row>
    <row r="1934" spans="1:2" ht="14.5" x14ac:dyDescent="0.35">
      <c r="A1934" s="8" t="s">
        <v>54890</v>
      </c>
      <c r="B1934" s="8" t="s">
        <v>54892</v>
      </c>
    </row>
    <row r="1935" spans="1:2" ht="14.5" x14ac:dyDescent="0.35">
      <c r="A1935" s="8" t="s">
        <v>54890</v>
      </c>
      <c r="B1935" s="8" t="s">
        <v>54893</v>
      </c>
    </row>
    <row r="1936" spans="1:2" ht="14.5" x14ac:dyDescent="0.35">
      <c r="A1936" s="8" t="s">
        <v>54894</v>
      </c>
      <c r="B1936" s="8" t="s">
        <v>57565</v>
      </c>
    </row>
    <row r="1937" spans="1:2" ht="14.5" x14ac:dyDescent="0.35">
      <c r="A1937" s="8" t="s">
        <v>54894</v>
      </c>
      <c r="B1937" s="8" t="s">
        <v>57555</v>
      </c>
    </row>
    <row r="1938" spans="1:2" ht="14.5" x14ac:dyDescent="0.35">
      <c r="A1938" s="8" t="s">
        <v>54894</v>
      </c>
      <c r="B1938" s="8" t="s">
        <v>55726</v>
      </c>
    </row>
    <row r="1939" spans="1:2" ht="14.5" x14ac:dyDescent="0.35">
      <c r="A1939" s="8" t="s">
        <v>54894</v>
      </c>
      <c r="B1939" s="8" t="s">
        <v>55727</v>
      </c>
    </row>
    <row r="1940" spans="1:2" ht="14.5" x14ac:dyDescent="0.35">
      <c r="A1940" s="8" t="s">
        <v>54894</v>
      </c>
      <c r="B1940" s="8" t="s">
        <v>57556</v>
      </c>
    </row>
    <row r="1941" spans="1:2" ht="14.5" x14ac:dyDescent="0.35">
      <c r="A1941" s="8" t="s">
        <v>54894</v>
      </c>
      <c r="B1941" s="8" t="s">
        <v>57557</v>
      </c>
    </row>
    <row r="1942" spans="1:2" ht="14.5" x14ac:dyDescent="0.35">
      <c r="A1942" s="8" t="s">
        <v>54894</v>
      </c>
      <c r="B1942" s="8" t="s">
        <v>57558</v>
      </c>
    </row>
    <row r="1943" spans="1:2" ht="14.5" x14ac:dyDescent="0.35">
      <c r="A1943" s="8" t="s">
        <v>54894</v>
      </c>
      <c r="B1943" s="8" t="s">
        <v>57559</v>
      </c>
    </row>
    <row r="1944" spans="1:2" ht="14.5" x14ac:dyDescent="0.35">
      <c r="A1944" s="8" t="s">
        <v>54894</v>
      </c>
      <c r="B1944" s="8" t="s">
        <v>57560</v>
      </c>
    </row>
    <row r="1945" spans="1:2" ht="14.5" x14ac:dyDescent="0.35">
      <c r="A1945" s="8" t="s">
        <v>54894</v>
      </c>
      <c r="B1945" s="8" t="s">
        <v>54895</v>
      </c>
    </row>
    <row r="1946" spans="1:2" ht="14.5" x14ac:dyDescent="0.35">
      <c r="A1946" s="8" t="s">
        <v>54894</v>
      </c>
      <c r="B1946" s="8" t="s">
        <v>58034</v>
      </c>
    </row>
    <row r="1947" spans="1:2" ht="14.5" x14ac:dyDescent="0.35">
      <c r="A1947" s="8" t="s">
        <v>54894</v>
      </c>
      <c r="B1947" s="8" t="s">
        <v>56625</v>
      </c>
    </row>
    <row r="1948" spans="1:2" ht="14.5" x14ac:dyDescent="0.35">
      <c r="A1948" s="8" t="s">
        <v>54894</v>
      </c>
      <c r="B1948" s="8" t="s">
        <v>56503</v>
      </c>
    </row>
    <row r="1949" spans="1:2" ht="14.5" x14ac:dyDescent="0.35">
      <c r="A1949" s="8" t="s">
        <v>54894</v>
      </c>
      <c r="B1949" s="8" t="s">
        <v>56262</v>
      </c>
    </row>
    <row r="1950" spans="1:2" ht="14.5" x14ac:dyDescent="0.35">
      <c r="A1950" s="8" t="s">
        <v>54894</v>
      </c>
      <c r="B1950" s="8" t="s">
        <v>56263</v>
      </c>
    </row>
    <row r="1951" spans="1:2" ht="14.5" x14ac:dyDescent="0.35">
      <c r="A1951" s="8" t="s">
        <v>54894</v>
      </c>
      <c r="B1951" s="8" t="s">
        <v>57841</v>
      </c>
    </row>
    <row r="1952" spans="1:2" ht="14.5" x14ac:dyDescent="0.35">
      <c r="A1952" s="8" t="s">
        <v>54894</v>
      </c>
      <c r="B1952" s="8" t="s">
        <v>55644</v>
      </c>
    </row>
    <row r="1953" spans="1:2" ht="14.5" x14ac:dyDescent="0.35">
      <c r="A1953" s="8" t="s">
        <v>54894</v>
      </c>
      <c r="B1953" s="8" t="s">
        <v>57982</v>
      </c>
    </row>
    <row r="1954" spans="1:2" ht="14.5" x14ac:dyDescent="0.35">
      <c r="A1954" s="8" t="s">
        <v>54894</v>
      </c>
      <c r="B1954" s="8" t="s">
        <v>56504</v>
      </c>
    </row>
    <row r="1955" spans="1:2" ht="14.5" x14ac:dyDescent="0.35">
      <c r="A1955" s="8" t="s">
        <v>54894</v>
      </c>
      <c r="B1955" s="8" t="s">
        <v>54932</v>
      </c>
    </row>
    <row r="1956" spans="1:2" ht="14.5" x14ac:dyDescent="0.35">
      <c r="A1956" s="8" t="s">
        <v>54894</v>
      </c>
      <c r="B1956" s="8" t="s">
        <v>54933</v>
      </c>
    </row>
    <row r="1957" spans="1:2" ht="14.5" x14ac:dyDescent="0.35">
      <c r="A1957" s="8" t="s">
        <v>54894</v>
      </c>
      <c r="B1957" s="8" t="s">
        <v>58035</v>
      </c>
    </row>
    <row r="1958" spans="1:2" ht="14.5" x14ac:dyDescent="0.35">
      <c r="A1958" s="8" t="s">
        <v>54894</v>
      </c>
      <c r="B1958" s="8" t="s">
        <v>57774</v>
      </c>
    </row>
    <row r="1959" spans="1:2" ht="14.5" x14ac:dyDescent="0.35">
      <c r="A1959" s="8" t="s">
        <v>54894</v>
      </c>
      <c r="B1959" s="8" t="s">
        <v>57774</v>
      </c>
    </row>
    <row r="1960" spans="1:2" ht="14.5" x14ac:dyDescent="0.35">
      <c r="A1960" s="8" t="s">
        <v>54894</v>
      </c>
      <c r="B1960" s="8" t="s">
        <v>55513</v>
      </c>
    </row>
    <row r="1961" spans="1:2" ht="14.5" x14ac:dyDescent="0.35">
      <c r="A1961" s="8" t="s">
        <v>54894</v>
      </c>
      <c r="B1961" s="8" t="s">
        <v>56496</v>
      </c>
    </row>
    <row r="1962" spans="1:2" ht="14.5" x14ac:dyDescent="0.35">
      <c r="A1962" s="8" t="s">
        <v>54894</v>
      </c>
      <c r="B1962" s="8" t="s">
        <v>57183</v>
      </c>
    </row>
    <row r="1963" spans="1:2" ht="14.5" x14ac:dyDescent="0.35">
      <c r="A1963" s="8" t="s">
        <v>54894</v>
      </c>
      <c r="B1963" s="8" t="s">
        <v>55965</v>
      </c>
    </row>
    <row r="1964" spans="1:2" ht="14.5" x14ac:dyDescent="0.35">
      <c r="A1964" s="8" t="s">
        <v>54894</v>
      </c>
      <c r="B1964" s="8" t="s">
        <v>57732</v>
      </c>
    </row>
    <row r="1965" spans="1:2" ht="14.5" x14ac:dyDescent="0.35">
      <c r="A1965" s="8" t="s">
        <v>54894</v>
      </c>
      <c r="B1965" s="8" t="s">
        <v>57700</v>
      </c>
    </row>
    <row r="1966" spans="1:2" ht="14.5" x14ac:dyDescent="0.35">
      <c r="A1966" s="8" t="s">
        <v>54894</v>
      </c>
      <c r="B1966" s="8" t="s">
        <v>57820</v>
      </c>
    </row>
    <row r="1967" spans="1:2" ht="14.5" x14ac:dyDescent="0.35">
      <c r="A1967" s="8" t="s">
        <v>54894</v>
      </c>
      <c r="B1967" s="8" t="s">
        <v>57822</v>
      </c>
    </row>
    <row r="1968" spans="1:2" ht="14.5" x14ac:dyDescent="0.35">
      <c r="A1968" s="8" t="s">
        <v>54894</v>
      </c>
      <c r="B1968" s="8" t="s">
        <v>58036</v>
      </c>
    </row>
    <row r="1969" spans="1:2" ht="14.5" x14ac:dyDescent="0.35">
      <c r="A1969" s="8" t="s">
        <v>54894</v>
      </c>
      <c r="B1969" s="8" t="s">
        <v>57706</v>
      </c>
    </row>
    <row r="1970" spans="1:2" ht="14.5" x14ac:dyDescent="0.35">
      <c r="A1970" s="8" t="s">
        <v>54894</v>
      </c>
      <c r="B1970" s="8" t="s">
        <v>57271</v>
      </c>
    </row>
    <row r="1971" spans="1:2" ht="14.5" x14ac:dyDescent="0.35">
      <c r="A1971" s="8" t="s">
        <v>54894</v>
      </c>
      <c r="B1971" s="8" t="s">
        <v>58037</v>
      </c>
    </row>
    <row r="1972" spans="1:2" ht="14.5" x14ac:dyDescent="0.35">
      <c r="A1972" s="8" t="s">
        <v>54894</v>
      </c>
      <c r="B1972" s="8" t="s">
        <v>58038</v>
      </c>
    </row>
    <row r="1973" spans="1:2" ht="14.5" x14ac:dyDescent="0.35">
      <c r="A1973" s="8" t="s">
        <v>54894</v>
      </c>
      <c r="B1973" s="8" t="s">
        <v>56454</v>
      </c>
    </row>
    <row r="1974" spans="1:2" ht="14.5" x14ac:dyDescent="0.35">
      <c r="A1974" s="8" t="s">
        <v>54894</v>
      </c>
      <c r="B1974" s="8" t="s">
        <v>58039</v>
      </c>
    </row>
    <row r="1975" spans="1:2" ht="14.5" x14ac:dyDescent="0.35">
      <c r="A1975" s="8" t="s">
        <v>54894</v>
      </c>
      <c r="B1975" s="8" t="s">
        <v>56279</v>
      </c>
    </row>
    <row r="1976" spans="1:2" ht="14.5" x14ac:dyDescent="0.35">
      <c r="A1976" s="8" t="s">
        <v>54894</v>
      </c>
      <c r="B1976" s="8" t="s">
        <v>56280</v>
      </c>
    </row>
    <row r="1977" spans="1:2" ht="14.5" x14ac:dyDescent="0.35">
      <c r="A1977" s="8" t="s">
        <v>54894</v>
      </c>
      <c r="B1977" s="8" t="s">
        <v>54934</v>
      </c>
    </row>
    <row r="1978" spans="1:2" ht="14.5" x14ac:dyDescent="0.35">
      <c r="A1978" s="8" t="s">
        <v>54894</v>
      </c>
      <c r="B1978" s="8" t="s">
        <v>55499</v>
      </c>
    </row>
    <row r="1979" spans="1:2" ht="14.5" x14ac:dyDescent="0.35">
      <c r="A1979" s="8" t="s">
        <v>54894</v>
      </c>
      <c r="B1979" s="8" t="s">
        <v>58337</v>
      </c>
    </row>
    <row r="1980" spans="1:2" ht="14.5" x14ac:dyDescent="0.35">
      <c r="A1980" s="8" t="s">
        <v>54894</v>
      </c>
      <c r="B1980" s="8" t="s">
        <v>55458</v>
      </c>
    </row>
    <row r="1981" spans="1:2" ht="14.5" x14ac:dyDescent="0.35">
      <c r="A1981" s="8" t="s">
        <v>54894</v>
      </c>
      <c r="B1981" s="8" t="s">
        <v>56036</v>
      </c>
    </row>
    <row r="1982" spans="1:2" ht="14.5" x14ac:dyDescent="0.35">
      <c r="A1982" s="8" t="s">
        <v>54894</v>
      </c>
      <c r="B1982" s="8" t="s">
        <v>58204</v>
      </c>
    </row>
    <row r="1983" spans="1:2" ht="14.5" x14ac:dyDescent="0.35">
      <c r="A1983" s="8" t="s">
        <v>54894</v>
      </c>
      <c r="B1983" s="8" t="s">
        <v>56037</v>
      </c>
    </row>
    <row r="1984" spans="1:2" ht="14.5" x14ac:dyDescent="0.35">
      <c r="A1984" s="8" t="s">
        <v>54894</v>
      </c>
      <c r="B1984" s="8" t="s">
        <v>56038</v>
      </c>
    </row>
    <row r="1985" spans="1:2" ht="14.5" x14ac:dyDescent="0.35">
      <c r="A1985" s="8" t="s">
        <v>54894</v>
      </c>
      <c r="B1985" s="8" t="s">
        <v>57879</v>
      </c>
    </row>
    <row r="1986" spans="1:2" ht="14.5" x14ac:dyDescent="0.35">
      <c r="A1986" s="8" t="s">
        <v>54894</v>
      </c>
      <c r="B1986" s="8" t="s">
        <v>55482</v>
      </c>
    </row>
    <row r="1987" spans="1:2" ht="14.5" x14ac:dyDescent="0.35">
      <c r="A1987" s="8" t="s">
        <v>54894</v>
      </c>
      <c r="B1987" s="8" t="s">
        <v>57272</v>
      </c>
    </row>
    <row r="1988" spans="1:2" ht="14.5" x14ac:dyDescent="0.35">
      <c r="A1988" s="8" t="s">
        <v>54894</v>
      </c>
      <c r="B1988" s="8" t="s">
        <v>56039</v>
      </c>
    </row>
    <row r="1989" spans="1:2" ht="14.5" x14ac:dyDescent="0.35">
      <c r="A1989" s="8" t="s">
        <v>54894</v>
      </c>
      <c r="B1989" s="8" t="s">
        <v>57130</v>
      </c>
    </row>
    <row r="1990" spans="1:2" ht="14.5" x14ac:dyDescent="0.35">
      <c r="A1990" s="8" t="s">
        <v>54894</v>
      </c>
      <c r="B1990" s="8" t="s">
        <v>55706</v>
      </c>
    </row>
    <row r="1991" spans="1:2" ht="14.5" x14ac:dyDescent="0.35">
      <c r="A1991" s="8" t="s">
        <v>54894</v>
      </c>
      <c r="B1991" s="8" t="s">
        <v>56163</v>
      </c>
    </row>
    <row r="1992" spans="1:2" ht="14.5" x14ac:dyDescent="0.35">
      <c r="A1992" s="8" t="s">
        <v>54894</v>
      </c>
      <c r="B1992" s="8" t="s">
        <v>55620</v>
      </c>
    </row>
    <row r="1993" spans="1:2" ht="14.5" x14ac:dyDescent="0.35">
      <c r="A1993" s="8" t="s">
        <v>54894</v>
      </c>
      <c r="B1993" s="8" t="s">
        <v>56155</v>
      </c>
    </row>
    <row r="1994" spans="1:2" ht="14.5" x14ac:dyDescent="0.35">
      <c r="A1994" s="8" t="s">
        <v>54894</v>
      </c>
      <c r="B1994" s="8" t="s">
        <v>57793</v>
      </c>
    </row>
    <row r="1995" spans="1:2" ht="14.5" x14ac:dyDescent="0.35">
      <c r="A1995" s="8" t="s">
        <v>54894</v>
      </c>
      <c r="B1995" s="8" t="s">
        <v>57566</v>
      </c>
    </row>
    <row r="1996" spans="1:2" ht="14.5" x14ac:dyDescent="0.35">
      <c r="A1996" s="8" t="s">
        <v>54894</v>
      </c>
      <c r="B1996" s="8" t="s">
        <v>55946</v>
      </c>
    </row>
    <row r="1997" spans="1:2" ht="14.5" x14ac:dyDescent="0.35">
      <c r="A1997" s="8" t="s">
        <v>54894</v>
      </c>
      <c r="B1997" s="8" t="s">
        <v>56040</v>
      </c>
    </row>
    <row r="1998" spans="1:2" ht="14.5" x14ac:dyDescent="0.35">
      <c r="A1998" s="8" t="s">
        <v>54894</v>
      </c>
      <c r="B1998" s="8" t="s">
        <v>55966</v>
      </c>
    </row>
    <row r="1999" spans="1:2" ht="14.5" x14ac:dyDescent="0.35">
      <c r="A1999" s="8" t="s">
        <v>54894</v>
      </c>
      <c r="B1999" s="8" t="s">
        <v>56512</v>
      </c>
    </row>
    <row r="2000" spans="1:2" ht="14.5" x14ac:dyDescent="0.35">
      <c r="A2000" s="8" t="s">
        <v>54894</v>
      </c>
      <c r="B2000" s="8" t="s">
        <v>55593</v>
      </c>
    </row>
    <row r="2001" spans="1:2" ht="14.5" x14ac:dyDescent="0.35">
      <c r="A2001" s="8" t="s">
        <v>54894</v>
      </c>
      <c r="B2001" s="8" t="s">
        <v>56374</v>
      </c>
    </row>
    <row r="2002" spans="1:2" ht="14.5" x14ac:dyDescent="0.35">
      <c r="A2002" s="8" t="s">
        <v>54894</v>
      </c>
      <c r="B2002" s="8" t="s">
        <v>57567</v>
      </c>
    </row>
    <row r="2003" spans="1:2" ht="14.5" x14ac:dyDescent="0.35">
      <c r="A2003" s="8" t="s">
        <v>54894</v>
      </c>
      <c r="B2003" s="8" t="s">
        <v>56041</v>
      </c>
    </row>
    <row r="2004" spans="1:2" ht="14.5" x14ac:dyDescent="0.35">
      <c r="A2004" s="8" t="s">
        <v>54894</v>
      </c>
      <c r="B2004" s="8" t="s">
        <v>55621</v>
      </c>
    </row>
    <row r="2005" spans="1:2" ht="14.5" x14ac:dyDescent="0.35">
      <c r="A2005" s="8" t="s">
        <v>54894</v>
      </c>
      <c r="B2005" s="8" t="s">
        <v>55602</v>
      </c>
    </row>
    <row r="2006" spans="1:2" ht="14.5" x14ac:dyDescent="0.35">
      <c r="A2006" s="8" t="s">
        <v>54894</v>
      </c>
      <c r="B2006" s="8" t="s">
        <v>56042</v>
      </c>
    </row>
    <row r="2007" spans="1:2" ht="14.5" x14ac:dyDescent="0.35">
      <c r="A2007" s="8" t="s">
        <v>54894</v>
      </c>
      <c r="B2007" s="8" t="s">
        <v>55853</v>
      </c>
    </row>
    <row r="2008" spans="1:2" ht="14.5" x14ac:dyDescent="0.35">
      <c r="A2008" s="8" t="s">
        <v>54894</v>
      </c>
      <c r="B2008" s="8" t="s">
        <v>55622</v>
      </c>
    </row>
    <row r="2009" spans="1:2" ht="14.5" x14ac:dyDescent="0.35">
      <c r="A2009" s="8" t="s">
        <v>54894</v>
      </c>
      <c r="B2009" s="8" t="s">
        <v>56043</v>
      </c>
    </row>
    <row r="2010" spans="1:2" ht="14.5" x14ac:dyDescent="0.35">
      <c r="A2010" s="8" t="s">
        <v>54894</v>
      </c>
      <c r="B2010" s="8" t="s">
        <v>55736</v>
      </c>
    </row>
    <row r="2011" spans="1:2" ht="14.5" x14ac:dyDescent="0.35">
      <c r="A2011" s="8" t="s">
        <v>54894</v>
      </c>
      <c r="B2011" s="8" t="s">
        <v>57165</v>
      </c>
    </row>
    <row r="2012" spans="1:2" ht="14.5" x14ac:dyDescent="0.35">
      <c r="A2012" s="8" t="s">
        <v>54894</v>
      </c>
      <c r="B2012" s="8" t="s">
        <v>57165</v>
      </c>
    </row>
    <row r="2013" spans="1:2" ht="14.5" x14ac:dyDescent="0.35">
      <c r="A2013" s="8" t="s">
        <v>54894</v>
      </c>
      <c r="B2013" s="8" t="s">
        <v>56370</v>
      </c>
    </row>
    <row r="2014" spans="1:2" ht="14.5" x14ac:dyDescent="0.35">
      <c r="A2014" s="8" t="s">
        <v>54894</v>
      </c>
      <c r="B2014" s="8" t="s">
        <v>56572</v>
      </c>
    </row>
    <row r="2015" spans="1:2" ht="14.5" x14ac:dyDescent="0.35">
      <c r="A2015" s="8" t="s">
        <v>54894</v>
      </c>
      <c r="B2015" s="8" t="s">
        <v>58268</v>
      </c>
    </row>
    <row r="2016" spans="1:2" ht="14.5" x14ac:dyDescent="0.35">
      <c r="A2016" s="8" t="s">
        <v>54894</v>
      </c>
      <c r="B2016" s="8" t="s">
        <v>56319</v>
      </c>
    </row>
    <row r="2017" spans="1:2" ht="14.5" x14ac:dyDescent="0.35">
      <c r="A2017" s="8" t="s">
        <v>54894</v>
      </c>
      <c r="B2017" s="8" t="s">
        <v>56651</v>
      </c>
    </row>
    <row r="2018" spans="1:2" ht="14.5" x14ac:dyDescent="0.35">
      <c r="A2018" s="8" t="s">
        <v>54894</v>
      </c>
      <c r="B2018" s="8" t="s">
        <v>56169</v>
      </c>
    </row>
    <row r="2019" spans="1:2" ht="14.5" x14ac:dyDescent="0.35">
      <c r="A2019" s="8" t="s">
        <v>54894</v>
      </c>
      <c r="B2019" s="8" t="s">
        <v>57057</v>
      </c>
    </row>
    <row r="2020" spans="1:2" ht="14.5" x14ac:dyDescent="0.35">
      <c r="A2020" s="8" t="s">
        <v>54894</v>
      </c>
      <c r="B2020" s="8" t="s">
        <v>57880</v>
      </c>
    </row>
    <row r="2021" spans="1:2" ht="14.5" x14ac:dyDescent="0.35">
      <c r="A2021" s="8" t="s">
        <v>54894</v>
      </c>
      <c r="B2021" s="8" t="s">
        <v>11051</v>
      </c>
    </row>
    <row r="2022" spans="1:2" ht="14.5" x14ac:dyDescent="0.35">
      <c r="A2022" s="8" t="s">
        <v>54894</v>
      </c>
      <c r="B2022" s="8" t="s">
        <v>57678</v>
      </c>
    </row>
    <row r="2023" spans="1:2" ht="14.5" x14ac:dyDescent="0.35">
      <c r="A2023" s="8" t="s">
        <v>54894</v>
      </c>
      <c r="B2023" s="8" t="s">
        <v>56567</v>
      </c>
    </row>
    <row r="2024" spans="1:2" ht="14.5" x14ac:dyDescent="0.35">
      <c r="A2024" s="8" t="s">
        <v>54894</v>
      </c>
      <c r="B2024" s="8" t="s">
        <v>55636</v>
      </c>
    </row>
    <row r="2025" spans="1:2" ht="14.5" x14ac:dyDescent="0.35">
      <c r="A2025" s="8" t="s">
        <v>54894</v>
      </c>
      <c r="B2025" s="8" t="s">
        <v>55707</v>
      </c>
    </row>
    <row r="2026" spans="1:2" ht="14.5" x14ac:dyDescent="0.35">
      <c r="A2026" s="8" t="s">
        <v>54894</v>
      </c>
      <c r="B2026" s="8" t="s">
        <v>56403</v>
      </c>
    </row>
    <row r="2027" spans="1:2" ht="14.5" x14ac:dyDescent="0.35">
      <c r="A2027" s="8" t="s">
        <v>54894</v>
      </c>
      <c r="B2027" s="8" t="s">
        <v>57568</v>
      </c>
    </row>
    <row r="2028" spans="1:2" ht="14.5" x14ac:dyDescent="0.35">
      <c r="A2028" s="8" t="s">
        <v>54894</v>
      </c>
      <c r="B2028" s="8" t="s">
        <v>57024</v>
      </c>
    </row>
    <row r="2029" spans="1:2" ht="14.5" x14ac:dyDescent="0.35">
      <c r="A2029" s="8" t="s">
        <v>54894</v>
      </c>
      <c r="B2029" s="8" t="s">
        <v>58040</v>
      </c>
    </row>
    <row r="2030" spans="1:2" ht="14.5" x14ac:dyDescent="0.35">
      <c r="A2030" s="8" t="s">
        <v>54894</v>
      </c>
      <c r="B2030" s="8" t="s">
        <v>58263</v>
      </c>
    </row>
    <row r="2031" spans="1:2" ht="14.5" x14ac:dyDescent="0.35">
      <c r="A2031" s="8" t="s">
        <v>54894</v>
      </c>
      <c r="B2031" s="8" t="s">
        <v>55708</v>
      </c>
    </row>
    <row r="2032" spans="1:2" ht="14.5" x14ac:dyDescent="0.35">
      <c r="A2032" s="8" t="s">
        <v>54894</v>
      </c>
      <c r="B2032" s="8" t="s">
        <v>57200</v>
      </c>
    </row>
    <row r="2033" spans="1:2" ht="14.5" x14ac:dyDescent="0.35">
      <c r="A2033" s="8" t="s">
        <v>54894</v>
      </c>
      <c r="B2033" s="8" t="s">
        <v>57569</v>
      </c>
    </row>
    <row r="2034" spans="1:2" ht="14.5" x14ac:dyDescent="0.35">
      <c r="A2034" s="8" t="s">
        <v>54894</v>
      </c>
      <c r="B2034" s="8" t="s">
        <v>56365</v>
      </c>
    </row>
    <row r="2035" spans="1:2" ht="14.5" x14ac:dyDescent="0.35">
      <c r="A2035" s="8" t="s">
        <v>54894</v>
      </c>
      <c r="B2035" s="8" t="s">
        <v>57788</v>
      </c>
    </row>
    <row r="2036" spans="1:2" ht="14.5" x14ac:dyDescent="0.35">
      <c r="A2036" s="8" t="s">
        <v>54894</v>
      </c>
      <c r="B2036" s="8" t="s">
        <v>55249</v>
      </c>
    </row>
    <row r="2037" spans="1:2" ht="14.5" x14ac:dyDescent="0.35">
      <c r="A2037" s="8" t="s">
        <v>54894</v>
      </c>
      <c r="B2037" s="8" t="s">
        <v>56709</v>
      </c>
    </row>
    <row r="2038" spans="1:2" ht="14.5" x14ac:dyDescent="0.35">
      <c r="A2038" s="8" t="s">
        <v>54894</v>
      </c>
      <c r="B2038" s="8" t="s">
        <v>57058</v>
      </c>
    </row>
    <row r="2039" spans="1:2" ht="14.5" x14ac:dyDescent="0.35">
      <c r="A2039" s="8" t="s">
        <v>54894</v>
      </c>
      <c r="B2039" s="8" t="s">
        <v>56573</v>
      </c>
    </row>
    <row r="2040" spans="1:2" ht="14.5" x14ac:dyDescent="0.35">
      <c r="A2040" s="8" t="s">
        <v>54894</v>
      </c>
      <c r="B2040" s="8" t="s">
        <v>56574</v>
      </c>
    </row>
    <row r="2041" spans="1:2" ht="14.5" x14ac:dyDescent="0.35">
      <c r="A2041" s="8" t="s">
        <v>54894</v>
      </c>
      <c r="B2041" s="8" t="s">
        <v>55880</v>
      </c>
    </row>
    <row r="2042" spans="1:2" ht="14.5" x14ac:dyDescent="0.35">
      <c r="A2042" s="8" t="s">
        <v>54894</v>
      </c>
      <c r="B2042" s="8" t="s">
        <v>57360</v>
      </c>
    </row>
    <row r="2043" spans="1:2" ht="14.5" x14ac:dyDescent="0.35">
      <c r="A2043" s="8" t="s">
        <v>54894</v>
      </c>
      <c r="B2043" s="8" t="s">
        <v>57981</v>
      </c>
    </row>
    <row r="2044" spans="1:2" ht="14.5" x14ac:dyDescent="0.35">
      <c r="A2044" s="8" t="s">
        <v>54894</v>
      </c>
      <c r="B2044" s="8" t="s">
        <v>56179</v>
      </c>
    </row>
    <row r="2045" spans="1:2" ht="14.5" x14ac:dyDescent="0.35">
      <c r="A2045" s="8" t="s">
        <v>54894</v>
      </c>
      <c r="B2045" s="8" t="s">
        <v>56710</v>
      </c>
    </row>
    <row r="2046" spans="1:2" ht="14.5" x14ac:dyDescent="0.35">
      <c r="A2046" s="8" t="s">
        <v>54894</v>
      </c>
      <c r="B2046" s="8" t="s">
        <v>58193</v>
      </c>
    </row>
    <row r="2047" spans="1:2" ht="14.5" x14ac:dyDescent="0.35">
      <c r="A2047" s="8" t="s">
        <v>54894</v>
      </c>
      <c r="B2047" s="8" t="s">
        <v>56711</v>
      </c>
    </row>
    <row r="2048" spans="1:2" ht="14.5" x14ac:dyDescent="0.35">
      <c r="A2048" s="8" t="s">
        <v>54894</v>
      </c>
      <c r="B2048" s="8" t="s">
        <v>54973</v>
      </c>
    </row>
    <row r="2049" spans="1:2" ht="14.5" x14ac:dyDescent="0.35">
      <c r="A2049" s="8" t="s">
        <v>54894</v>
      </c>
      <c r="B2049" s="8" t="s">
        <v>57926</v>
      </c>
    </row>
    <row r="2050" spans="1:2" ht="14.5" x14ac:dyDescent="0.35">
      <c r="A2050" s="8" t="s">
        <v>54894</v>
      </c>
      <c r="B2050" s="8" t="s">
        <v>56366</v>
      </c>
    </row>
    <row r="2051" spans="1:2" ht="14.5" x14ac:dyDescent="0.35">
      <c r="A2051" s="8" t="s">
        <v>54894</v>
      </c>
      <c r="B2051" s="8" t="s">
        <v>56367</v>
      </c>
    </row>
    <row r="2052" spans="1:2" ht="14.5" x14ac:dyDescent="0.35">
      <c r="A2052" s="8" t="s">
        <v>54894</v>
      </c>
      <c r="B2052" s="8" t="s">
        <v>55514</v>
      </c>
    </row>
    <row r="2053" spans="1:2" ht="14.5" x14ac:dyDescent="0.35">
      <c r="A2053" s="8" t="s">
        <v>54894</v>
      </c>
      <c r="B2053" s="8" t="s">
        <v>58166</v>
      </c>
    </row>
    <row r="2054" spans="1:2" ht="14.5" x14ac:dyDescent="0.35">
      <c r="A2054" s="8" t="s">
        <v>54894</v>
      </c>
      <c r="B2054" s="8" t="s">
        <v>55215</v>
      </c>
    </row>
    <row r="2055" spans="1:2" ht="14.5" x14ac:dyDescent="0.35">
      <c r="A2055" s="8" t="s">
        <v>54894</v>
      </c>
      <c r="B2055" s="8" t="s">
        <v>55483</v>
      </c>
    </row>
    <row r="2056" spans="1:2" ht="14.5" x14ac:dyDescent="0.35">
      <c r="A2056" s="8" t="s">
        <v>54894</v>
      </c>
      <c r="B2056" s="8" t="s">
        <v>57893</v>
      </c>
    </row>
    <row r="2057" spans="1:2" ht="14.5" x14ac:dyDescent="0.35">
      <c r="A2057" s="8" t="s">
        <v>54894</v>
      </c>
      <c r="B2057" s="8" t="s">
        <v>55194</v>
      </c>
    </row>
    <row r="2058" spans="1:2" ht="14.5" x14ac:dyDescent="0.35">
      <c r="A2058" s="8" t="s">
        <v>54894</v>
      </c>
      <c r="B2058" s="8" t="s">
        <v>55876</v>
      </c>
    </row>
    <row r="2059" spans="1:2" ht="14.5" x14ac:dyDescent="0.35">
      <c r="A2059" s="8" t="s">
        <v>54894</v>
      </c>
      <c r="B2059" s="8" t="s">
        <v>58327</v>
      </c>
    </row>
    <row r="2060" spans="1:2" ht="14.5" x14ac:dyDescent="0.35">
      <c r="A2060" s="8" t="s">
        <v>54894</v>
      </c>
      <c r="B2060" s="8" t="s">
        <v>56199</v>
      </c>
    </row>
    <row r="2061" spans="1:2" ht="14.5" x14ac:dyDescent="0.35">
      <c r="A2061" s="8" t="s">
        <v>54894</v>
      </c>
      <c r="B2061" s="8" t="s">
        <v>55854</v>
      </c>
    </row>
    <row r="2062" spans="1:2" ht="14.5" x14ac:dyDescent="0.35">
      <c r="A2062" s="8" t="s">
        <v>54894</v>
      </c>
      <c r="B2062" s="8" t="s">
        <v>56161</v>
      </c>
    </row>
    <row r="2063" spans="1:2" ht="14.5" x14ac:dyDescent="0.35">
      <c r="A2063" s="8" t="s">
        <v>54894</v>
      </c>
      <c r="B2063" s="8" t="s">
        <v>55475</v>
      </c>
    </row>
    <row r="2064" spans="1:2" ht="14.5" x14ac:dyDescent="0.35">
      <c r="A2064" s="8" t="s">
        <v>54894</v>
      </c>
      <c r="B2064" s="8" t="s">
        <v>55475</v>
      </c>
    </row>
    <row r="2065" spans="1:2" ht="14.5" x14ac:dyDescent="0.35">
      <c r="A2065" s="8" t="s">
        <v>54894</v>
      </c>
      <c r="B2065" s="8" t="s">
        <v>57174</v>
      </c>
    </row>
    <row r="2066" spans="1:2" ht="14.5" x14ac:dyDescent="0.35">
      <c r="A2066" s="8" t="s">
        <v>54894</v>
      </c>
      <c r="B2066" s="8" t="s">
        <v>57175</v>
      </c>
    </row>
    <row r="2067" spans="1:2" ht="14.5" x14ac:dyDescent="0.35">
      <c r="A2067" s="8" t="s">
        <v>54894</v>
      </c>
      <c r="B2067" s="8" t="s">
        <v>58330</v>
      </c>
    </row>
    <row r="2068" spans="1:2" ht="14.5" x14ac:dyDescent="0.35">
      <c r="A2068" s="8" t="s">
        <v>54894</v>
      </c>
      <c r="B2068" s="8" t="s">
        <v>54983</v>
      </c>
    </row>
    <row r="2069" spans="1:2" ht="14.5" x14ac:dyDescent="0.35">
      <c r="A2069" s="8" t="s">
        <v>54894</v>
      </c>
      <c r="B2069" s="8" t="s">
        <v>55652</v>
      </c>
    </row>
    <row r="2070" spans="1:2" ht="14.5" x14ac:dyDescent="0.35">
      <c r="A2070" s="8" t="s">
        <v>54894</v>
      </c>
      <c r="B2070" s="8" t="s">
        <v>57297</v>
      </c>
    </row>
    <row r="2071" spans="1:2" ht="14.5" x14ac:dyDescent="0.35">
      <c r="A2071" s="8" t="s">
        <v>54894</v>
      </c>
      <c r="B2071" s="8" t="s">
        <v>56712</v>
      </c>
    </row>
    <row r="2072" spans="1:2" ht="14.5" x14ac:dyDescent="0.35">
      <c r="A2072" s="8" t="s">
        <v>54894</v>
      </c>
      <c r="B2072" s="8" t="s">
        <v>55459</v>
      </c>
    </row>
    <row r="2073" spans="1:2" ht="14.5" x14ac:dyDescent="0.35">
      <c r="A2073" s="8" t="s">
        <v>54894</v>
      </c>
      <c r="B2073" s="8" t="s">
        <v>56044</v>
      </c>
    </row>
    <row r="2074" spans="1:2" ht="14.5" x14ac:dyDescent="0.35">
      <c r="A2074" s="8" t="s">
        <v>54894</v>
      </c>
      <c r="B2074" s="8" t="s">
        <v>55110</v>
      </c>
    </row>
    <row r="2075" spans="1:2" ht="14.5" x14ac:dyDescent="0.35">
      <c r="A2075" s="8" t="s">
        <v>54894</v>
      </c>
      <c r="B2075" s="8" t="s">
        <v>55111</v>
      </c>
    </row>
    <row r="2076" spans="1:2" ht="14.5" x14ac:dyDescent="0.35">
      <c r="A2076" s="8" t="s">
        <v>54894</v>
      </c>
      <c r="B2076" s="8" t="s">
        <v>54984</v>
      </c>
    </row>
    <row r="2077" spans="1:2" ht="14.5" x14ac:dyDescent="0.35">
      <c r="A2077" s="8" t="s">
        <v>54894</v>
      </c>
      <c r="B2077" s="8" t="s">
        <v>57969</v>
      </c>
    </row>
    <row r="2078" spans="1:2" ht="14.5" x14ac:dyDescent="0.35">
      <c r="A2078" s="8" t="s">
        <v>54894</v>
      </c>
      <c r="B2078" s="8" t="s">
        <v>57361</v>
      </c>
    </row>
    <row r="2079" spans="1:2" ht="14.5" x14ac:dyDescent="0.35">
      <c r="A2079" s="8" t="s">
        <v>54894</v>
      </c>
      <c r="B2079" s="8" t="s">
        <v>55653</v>
      </c>
    </row>
    <row r="2080" spans="1:2" ht="14.5" x14ac:dyDescent="0.35">
      <c r="A2080" s="8" t="s">
        <v>54894</v>
      </c>
      <c r="B2080" s="8" t="s">
        <v>56575</v>
      </c>
    </row>
    <row r="2081" spans="1:2" ht="14.5" x14ac:dyDescent="0.35">
      <c r="A2081" s="8" t="s">
        <v>54894</v>
      </c>
      <c r="B2081" s="8" t="s">
        <v>58041</v>
      </c>
    </row>
    <row r="2082" spans="1:2" ht="14.5" x14ac:dyDescent="0.35">
      <c r="A2082" s="8" t="s">
        <v>54894</v>
      </c>
      <c r="B2082" s="8" t="s">
        <v>57733</v>
      </c>
    </row>
    <row r="2083" spans="1:2" ht="14.5" x14ac:dyDescent="0.35">
      <c r="A2083" s="8" t="s">
        <v>54894</v>
      </c>
      <c r="B2083" s="8" t="s">
        <v>57932</v>
      </c>
    </row>
    <row r="2084" spans="1:2" ht="14.5" x14ac:dyDescent="0.35">
      <c r="A2084" s="8" t="s">
        <v>54894</v>
      </c>
      <c r="B2084" s="8" t="s">
        <v>56713</v>
      </c>
    </row>
    <row r="2085" spans="1:2" ht="14.5" x14ac:dyDescent="0.35">
      <c r="A2085" s="8" t="s">
        <v>54894</v>
      </c>
      <c r="B2085" s="8" t="s">
        <v>55753</v>
      </c>
    </row>
    <row r="2086" spans="1:2" ht="14.5" x14ac:dyDescent="0.35">
      <c r="A2086" s="8" t="s">
        <v>54894</v>
      </c>
      <c r="B2086" s="8" t="s">
        <v>57362</v>
      </c>
    </row>
    <row r="2087" spans="1:2" ht="14.5" x14ac:dyDescent="0.35">
      <c r="A2087" s="8" t="s">
        <v>54894</v>
      </c>
      <c r="B2087" s="8" t="s">
        <v>56516</v>
      </c>
    </row>
    <row r="2088" spans="1:2" ht="14.5" x14ac:dyDescent="0.35">
      <c r="A2088" s="8" t="s">
        <v>54894</v>
      </c>
      <c r="B2088" s="8" t="s">
        <v>56045</v>
      </c>
    </row>
    <row r="2089" spans="1:2" ht="14.5" x14ac:dyDescent="0.35">
      <c r="A2089" s="8" t="s">
        <v>54894</v>
      </c>
      <c r="B2089" s="8" t="s">
        <v>57160</v>
      </c>
    </row>
    <row r="2090" spans="1:2" ht="14.5" x14ac:dyDescent="0.35">
      <c r="A2090" s="8" t="s">
        <v>54894</v>
      </c>
      <c r="B2090" s="8" t="s">
        <v>56016</v>
      </c>
    </row>
    <row r="2091" spans="1:2" ht="14.5" x14ac:dyDescent="0.35">
      <c r="A2091" s="8" t="s">
        <v>54894</v>
      </c>
      <c r="B2091" s="8" t="s">
        <v>56017</v>
      </c>
    </row>
    <row r="2092" spans="1:2" ht="14.5" x14ac:dyDescent="0.35">
      <c r="A2092" s="8" t="s">
        <v>54894</v>
      </c>
      <c r="B2092" s="8" t="s">
        <v>56018</v>
      </c>
    </row>
    <row r="2093" spans="1:2" ht="14.5" x14ac:dyDescent="0.35">
      <c r="A2093" s="8" t="s">
        <v>54894</v>
      </c>
      <c r="B2093" s="8" t="s">
        <v>56019</v>
      </c>
    </row>
    <row r="2094" spans="1:2" ht="14.5" x14ac:dyDescent="0.35">
      <c r="A2094" s="8" t="s">
        <v>54894</v>
      </c>
      <c r="B2094" s="8" t="s">
        <v>56455</v>
      </c>
    </row>
    <row r="2095" spans="1:2" ht="14.5" x14ac:dyDescent="0.35">
      <c r="A2095" s="8" t="s">
        <v>54894</v>
      </c>
      <c r="B2095" s="8" t="s">
        <v>56456</v>
      </c>
    </row>
    <row r="2096" spans="1:2" ht="14.5" x14ac:dyDescent="0.35">
      <c r="A2096" s="8" t="s">
        <v>54894</v>
      </c>
      <c r="B2096" s="8" t="s">
        <v>55199</v>
      </c>
    </row>
    <row r="2097" spans="1:2" ht="14.5" x14ac:dyDescent="0.35">
      <c r="A2097" s="8" t="s">
        <v>54894</v>
      </c>
      <c r="B2097" s="8" t="s">
        <v>58338</v>
      </c>
    </row>
    <row r="2098" spans="1:2" ht="14.5" x14ac:dyDescent="0.35">
      <c r="A2098" s="8" t="s">
        <v>54894</v>
      </c>
      <c r="B2098" s="8" t="s">
        <v>55209</v>
      </c>
    </row>
    <row r="2099" spans="1:2" ht="14.5" x14ac:dyDescent="0.35">
      <c r="A2099" s="8" t="s">
        <v>54894</v>
      </c>
      <c r="B2099" s="8" t="s">
        <v>58042</v>
      </c>
    </row>
    <row r="2100" spans="1:2" ht="14.5" x14ac:dyDescent="0.35">
      <c r="A2100" s="8" t="s">
        <v>54894</v>
      </c>
      <c r="B2100" s="8" t="s">
        <v>56714</v>
      </c>
    </row>
    <row r="2101" spans="1:2" ht="14.5" x14ac:dyDescent="0.35">
      <c r="A2101" s="8" t="s">
        <v>54894</v>
      </c>
      <c r="B2101" s="8" t="s">
        <v>56715</v>
      </c>
    </row>
    <row r="2102" spans="1:2" ht="14.5" x14ac:dyDescent="0.35">
      <c r="A2102" s="8" t="s">
        <v>54894</v>
      </c>
      <c r="B2102" s="8" t="s">
        <v>56716</v>
      </c>
    </row>
    <row r="2103" spans="1:2" ht="14.5" x14ac:dyDescent="0.35">
      <c r="A2103" s="8" t="s">
        <v>54894</v>
      </c>
      <c r="B2103" s="8" t="s">
        <v>56717</v>
      </c>
    </row>
    <row r="2104" spans="1:2" ht="14.5" x14ac:dyDescent="0.35">
      <c r="A2104" s="8" t="s">
        <v>54894</v>
      </c>
      <c r="B2104" s="8" t="s">
        <v>56718</v>
      </c>
    </row>
    <row r="2105" spans="1:2" ht="14.5" x14ac:dyDescent="0.35">
      <c r="A2105" s="8" t="s">
        <v>54894</v>
      </c>
      <c r="B2105" s="8" t="s">
        <v>55997</v>
      </c>
    </row>
    <row r="2106" spans="1:2" ht="14.5" x14ac:dyDescent="0.35">
      <c r="A2106" s="8" t="s">
        <v>54894</v>
      </c>
      <c r="B2106" s="8" t="s">
        <v>55907</v>
      </c>
    </row>
    <row r="2107" spans="1:2" ht="14.5" x14ac:dyDescent="0.35">
      <c r="A2107" s="8" t="s">
        <v>54894</v>
      </c>
      <c r="B2107" s="8" t="s">
        <v>56616</v>
      </c>
    </row>
    <row r="2108" spans="1:2" ht="14.5" x14ac:dyDescent="0.35">
      <c r="A2108" s="8" t="s">
        <v>54894</v>
      </c>
      <c r="B2108" s="8" t="s">
        <v>56617</v>
      </c>
    </row>
    <row r="2109" spans="1:2" ht="14.5" x14ac:dyDescent="0.35">
      <c r="A2109" s="8" t="s">
        <v>54894</v>
      </c>
      <c r="B2109" s="8" t="s">
        <v>56655</v>
      </c>
    </row>
    <row r="2110" spans="1:2" ht="14.5" x14ac:dyDescent="0.35">
      <c r="A2110" s="8" t="s">
        <v>54894</v>
      </c>
      <c r="B2110" s="8" t="s">
        <v>58167</v>
      </c>
    </row>
    <row r="2111" spans="1:2" ht="14.5" x14ac:dyDescent="0.35">
      <c r="A2111" s="8" t="s">
        <v>54894</v>
      </c>
      <c r="B2111" s="8" t="s">
        <v>56438</v>
      </c>
    </row>
    <row r="2112" spans="1:2" ht="14.5" x14ac:dyDescent="0.35">
      <c r="A2112" s="8" t="s">
        <v>54894</v>
      </c>
      <c r="B2112" s="8" t="s">
        <v>56352</v>
      </c>
    </row>
    <row r="2113" spans="1:2" ht="14.5" x14ac:dyDescent="0.35">
      <c r="A2113" s="8" t="s">
        <v>54894</v>
      </c>
      <c r="B2113" s="8" t="s">
        <v>56353</v>
      </c>
    </row>
    <row r="2114" spans="1:2" ht="14.5" x14ac:dyDescent="0.35">
      <c r="A2114" s="8" t="s">
        <v>54894</v>
      </c>
      <c r="B2114" s="8" t="s">
        <v>57933</v>
      </c>
    </row>
    <row r="2115" spans="1:2" ht="14.5" x14ac:dyDescent="0.35">
      <c r="A2115" s="8" t="s">
        <v>54894</v>
      </c>
      <c r="B2115" s="8" t="s">
        <v>57934</v>
      </c>
    </row>
    <row r="2116" spans="1:2" ht="14.5" x14ac:dyDescent="0.35">
      <c r="A2116" s="8" t="s">
        <v>54894</v>
      </c>
      <c r="B2116" s="8" t="s">
        <v>57531</v>
      </c>
    </row>
    <row r="2117" spans="1:2" ht="14.5" x14ac:dyDescent="0.35">
      <c r="A2117" s="8" t="s">
        <v>54894</v>
      </c>
      <c r="B2117" s="8" t="s">
        <v>58302</v>
      </c>
    </row>
    <row r="2118" spans="1:2" ht="14.5" x14ac:dyDescent="0.35">
      <c r="A2118" s="8" t="s">
        <v>54894</v>
      </c>
      <c r="B2118" s="8" t="s">
        <v>57983</v>
      </c>
    </row>
    <row r="2119" spans="1:2" ht="14.5" x14ac:dyDescent="0.35">
      <c r="A2119" s="8" t="s">
        <v>54894</v>
      </c>
      <c r="B2119" s="8" t="s">
        <v>57139</v>
      </c>
    </row>
    <row r="2120" spans="1:2" ht="14.5" x14ac:dyDescent="0.35">
      <c r="A2120" s="8" t="s">
        <v>54894</v>
      </c>
      <c r="B2120" s="8" t="s">
        <v>57012</v>
      </c>
    </row>
    <row r="2121" spans="1:2" ht="14.5" x14ac:dyDescent="0.35">
      <c r="A2121" s="8" t="s">
        <v>54894</v>
      </c>
      <c r="B2121" s="8" t="s">
        <v>57013</v>
      </c>
    </row>
    <row r="2122" spans="1:2" ht="14.5" x14ac:dyDescent="0.35">
      <c r="A2122" s="8" t="s">
        <v>54894</v>
      </c>
      <c r="B2122" s="8" t="s">
        <v>55016</v>
      </c>
    </row>
    <row r="2123" spans="1:2" ht="14.5" x14ac:dyDescent="0.35">
      <c r="A2123" s="8" t="s">
        <v>54894</v>
      </c>
      <c r="B2123" s="8" t="s">
        <v>55017</v>
      </c>
    </row>
    <row r="2124" spans="1:2" ht="14.5" x14ac:dyDescent="0.35">
      <c r="A2124" s="8" t="s">
        <v>54894</v>
      </c>
      <c r="B2124" s="8" t="s">
        <v>55018</v>
      </c>
    </row>
    <row r="2125" spans="1:2" ht="14.5" x14ac:dyDescent="0.35">
      <c r="A2125" s="8" t="s">
        <v>54894</v>
      </c>
      <c r="B2125" s="8" t="s">
        <v>55018</v>
      </c>
    </row>
    <row r="2126" spans="1:2" ht="14.5" x14ac:dyDescent="0.35">
      <c r="A2126" s="8" t="s">
        <v>54894</v>
      </c>
      <c r="B2126" s="8" t="s">
        <v>57244</v>
      </c>
    </row>
    <row r="2127" spans="1:2" ht="14.5" x14ac:dyDescent="0.35">
      <c r="A2127" s="8" t="s">
        <v>54894</v>
      </c>
      <c r="B2127" s="8" t="s">
        <v>10341</v>
      </c>
    </row>
    <row r="2128" spans="1:2" ht="14.5" x14ac:dyDescent="0.35">
      <c r="A2128" s="8" t="s">
        <v>54894</v>
      </c>
      <c r="B2128" s="8" t="s">
        <v>10341</v>
      </c>
    </row>
    <row r="2129" spans="1:2" ht="14.5" x14ac:dyDescent="0.35">
      <c r="A2129" s="8" t="s">
        <v>54894</v>
      </c>
      <c r="B2129" s="8" t="s">
        <v>10341</v>
      </c>
    </row>
    <row r="2130" spans="1:2" ht="14.5" x14ac:dyDescent="0.35">
      <c r="A2130" s="8" t="s">
        <v>54894</v>
      </c>
      <c r="B2130" s="8" t="s">
        <v>57690</v>
      </c>
    </row>
    <row r="2131" spans="1:2" ht="14.5" x14ac:dyDescent="0.35">
      <c r="A2131" s="8" t="s">
        <v>54894</v>
      </c>
      <c r="B2131" s="8" t="s">
        <v>57691</v>
      </c>
    </row>
    <row r="2132" spans="1:2" ht="14.5" x14ac:dyDescent="0.35">
      <c r="A2132" s="8" t="s">
        <v>54894</v>
      </c>
      <c r="B2132" s="8" t="s">
        <v>57692</v>
      </c>
    </row>
    <row r="2133" spans="1:2" ht="14.5" x14ac:dyDescent="0.35">
      <c r="A2133" s="8" t="s">
        <v>54894</v>
      </c>
      <c r="B2133" s="8" t="s">
        <v>57693</v>
      </c>
    </row>
    <row r="2134" spans="1:2" ht="14.5" x14ac:dyDescent="0.35">
      <c r="A2134" s="8" t="s">
        <v>54894</v>
      </c>
      <c r="B2134" s="8" t="s">
        <v>56555</v>
      </c>
    </row>
    <row r="2135" spans="1:2" ht="14.5" x14ac:dyDescent="0.35">
      <c r="A2135" s="8" t="s">
        <v>54894</v>
      </c>
      <c r="B2135" s="8" t="s">
        <v>56556</v>
      </c>
    </row>
    <row r="2136" spans="1:2" ht="14.5" x14ac:dyDescent="0.35">
      <c r="A2136" s="8" t="s">
        <v>54894</v>
      </c>
      <c r="B2136" s="8" t="s">
        <v>55918</v>
      </c>
    </row>
    <row r="2137" spans="1:2" ht="14.5" x14ac:dyDescent="0.35">
      <c r="A2137" s="8" t="s">
        <v>54894</v>
      </c>
      <c r="B2137" s="8" t="s">
        <v>55919</v>
      </c>
    </row>
    <row r="2138" spans="1:2" ht="14.5" x14ac:dyDescent="0.35">
      <c r="A2138" s="8" t="s">
        <v>54894</v>
      </c>
      <c r="B2138" s="8" t="s">
        <v>55920</v>
      </c>
    </row>
    <row r="2139" spans="1:2" ht="14.5" x14ac:dyDescent="0.35">
      <c r="A2139" s="8" t="s">
        <v>54894</v>
      </c>
      <c r="B2139" s="8" t="s">
        <v>55921</v>
      </c>
    </row>
    <row r="2140" spans="1:2" ht="14.5" x14ac:dyDescent="0.35">
      <c r="A2140" s="8" t="s">
        <v>54894</v>
      </c>
      <c r="B2140" s="8" t="s">
        <v>55922</v>
      </c>
    </row>
    <row r="2141" spans="1:2" ht="14.5" x14ac:dyDescent="0.35">
      <c r="A2141" s="8" t="s">
        <v>54894</v>
      </c>
      <c r="B2141" s="8" t="s">
        <v>56719</v>
      </c>
    </row>
    <row r="2142" spans="1:2" ht="14.5" x14ac:dyDescent="0.35">
      <c r="A2142" s="8" t="s">
        <v>54894</v>
      </c>
      <c r="B2142" s="8" t="s">
        <v>56720</v>
      </c>
    </row>
    <row r="2143" spans="1:2" ht="14.5" x14ac:dyDescent="0.35">
      <c r="A2143" s="8" t="s">
        <v>54894</v>
      </c>
      <c r="B2143" s="8" t="s">
        <v>55851</v>
      </c>
    </row>
    <row r="2144" spans="1:2" ht="14.5" x14ac:dyDescent="0.35">
      <c r="A2144" s="8" t="s">
        <v>54894</v>
      </c>
      <c r="B2144" s="8" t="s">
        <v>55852</v>
      </c>
    </row>
    <row r="2145" spans="1:2" ht="14.5" x14ac:dyDescent="0.35">
      <c r="A2145" s="8" t="s">
        <v>54894</v>
      </c>
      <c r="B2145" s="8" t="s">
        <v>57909</v>
      </c>
    </row>
    <row r="2146" spans="1:2" ht="14.5" x14ac:dyDescent="0.35">
      <c r="A2146" s="8" t="s">
        <v>54894</v>
      </c>
      <c r="B2146" s="8" t="s">
        <v>57222</v>
      </c>
    </row>
    <row r="2147" spans="1:2" ht="14.5" x14ac:dyDescent="0.35">
      <c r="A2147" s="8" t="s">
        <v>54894</v>
      </c>
      <c r="B2147" s="8" t="s">
        <v>57223</v>
      </c>
    </row>
    <row r="2148" spans="1:2" ht="14.5" x14ac:dyDescent="0.35">
      <c r="A2148" s="8" t="s">
        <v>54894</v>
      </c>
      <c r="B2148" s="8" t="s">
        <v>57734</v>
      </c>
    </row>
    <row r="2149" spans="1:2" ht="14.5" x14ac:dyDescent="0.35">
      <c r="A2149" s="8" t="s">
        <v>54894</v>
      </c>
      <c r="B2149" s="8" t="s">
        <v>57735</v>
      </c>
    </row>
    <row r="2150" spans="1:2" ht="14.5" x14ac:dyDescent="0.35">
      <c r="A2150" s="8" t="s">
        <v>54894</v>
      </c>
      <c r="B2150" s="8" t="s">
        <v>58205</v>
      </c>
    </row>
    <row r="2151" spans="1:2" ht="14.5" x14ac:dyDescent="0.35">
      <c r="A2151" s="8" t="s">
        <v>54894</v>
      </c>
      <c r="B2151" s="8" t="s">
        <v>56568</v>
      </c>
    </row>
    <row r="2152" spans="1:2" ht="14.5" x14ac:dyDescent="0.35">
      <c r="A2152" s="8" t="s">
        <v>54894</v>
      </c>
      <c r="B2152" s="8" t="s">
        <v>55417</v>
      </c>
    </row>
    <row r="2153" spans="1:2" ht="14.5" x14ac:dyDescent="0.35">
      <c r="A2153" s="8" t="s">
        <v>54894</v>
      </c>
      <c r="B2153" s="8" t="s">
        <v>55337</v>
      </c>
    </row>
    <row r="2154" spans="1:2" ht="14.5" x14ac:dyDescent="0.35">
      <c r="A2154" s="8" t="s">
        <v>54894</v>
      </c>
      <c r="B2154" s="8" t="s">
        <v>55337</v>
      </c>
    </row>
    <row r="2155" spans="1:2" ht="14.5" x14ac:dyDescent="0.35">
      <c r="A2155" s="8" t="s">
        <v>54894</v>
      </c>
      <c r="B2155" s="8" t="s">
        <v>58043</v>
      </c>
    </row>
    <row r="2156" spans="1:2" ht="14.5" x14ac:dyDescent="0.35">
      <c r="A2156" s="8" t="s">
        <v>54894</v>
      </c>
      <c r="B2156" s="8" t="s">
        <v>55338</v>
      </c>
    </row>
    <row r="2157" spans="1:2" ht="14.5" x14ac:dyDescent="0.35">
      <c r="A2157" s="8" t="s">
        <v>54894</v>
      </c>
      <c r="B2157" s="8" t="s">
        <v>55339</v>
      </c>
    </row>
    <row r="2158" spans="1:2" ht="14.5" x14ac:dyDescent="0.35">
      <c r="A2158" s="8" t="s">
        <v>54894</v>
      </c>
      <c r="B2158" s="8" t="s">
        <v>55339</v>
      </c>
    </row>
    <row r="2159" spans="1:2" ht="14.5" x14ac:dyDescent="0.35">
      <c r="A2159" s="8" t="s">
        <v>54894</v>
      </c>
      <c r="B2159" s="8" t="s">
        <v>58044</v>
      </c>
    </row>
    <row r="2160" spans="1:2" ht="14.5" x14ac:dyDescent="0.35">
      <c r="A2160" s="8" t="s">
        <v>54894</v>
      </c>
      <c r="B2160" s="8" t="s">
        <v>55340</v>
      </c>
    </row>
    <row r="2161" spans="1:2" ht="14.5" x14ac:dyDescent="0.35">
      <c r="A2161" s="8" t="s">
        <v>54894</v>
      </c>
      <c r="B2161" s="8" t="s">
        <v>55340</v>
      </c>
    </row>
    <row r="2162" spans="1:2" ht="14.5" x14ac:dyDescent="0.35">
      <c r="A2162" s="8" t="s">
        <v>54894</v>
      </c>
      <c r="B2162" s="8" t="s">
        <v>58045</v>
      </c>
    </row>
    <row r="2163" spans="1:2" ht="14.5" x14ac:dyDescent="0.35">
      <c r="A2163" s="8" t="s">
        <v>54894</v>
      </c>
      <c r="B2163" s="8" t="s">
        <v>55341</v>
      </c>
    </row>
    <row r="2164" spans="1:2" ht="14.5" x14ac:dyDescent="0.35">
      <c r="A2164" s="8" t="s">
        <v>54894</v>
      </c>
      <c r="B2164" s="8" t="s">
        <v>55341</v>
      </c>
    </row>
    <row r="2165" spans="1:2" ht="14.5" x14ac:dyDescent="0.35">
      <c r="A2165" s="8" t="s">
        <v>54894</v>
      </c>
      <c r="B2165" s="8" t="s">
        <v>55342</v>
      </c>
    </row>
    <row r="2166" spans="1:2" ht="14.5" x14ac:dyDescent="0.35">
      <c r="A2166" s="8" t="s">
        <v>54894</v>
      </c>
      <c r="B2166" s="8" t="s">
        <v>55342</v>
      </c>
    </row>
    <row r="2167" spans="1:2" ht="14.5" x14ac:dyDescent="0.35">
      <c r="A2167" s="8" t="s">
        <v>54894</v>
      </c>
      <c r="B2167" s="8" t="s">
        <v>55343</v>
      </c>
    </row>
    <row r="2168" spans="1:2" ht="14.5" x14ac:dyDescent="0.35">
      <c r="A2168" s="8" t="s">
        <v>54894</v>
      </c>
      <c r="B2168" s="8" t="s">
        <v>55344</v>
      </c>
    </row>
    <row r="2169" spans="1:2" ht="14.5" x14ac:dyDescent="0.35">
      <c r="A2169" s="8" t="s">
        <v>54894</v>
      </c>
      <c r="B2169" s="8" t="s">
        <v>55345</v>
      </c>
    </row>
    <row r="2170" spans="1:2" ht="14.5" x14ac:dyDescent="0.35">
      <c r="A2170" s="8" t="s">
        <v>54894</v>
      </c>
      <c r="B2170" s="8" t="s">
        <v>55346</v>
      </c>
    </row>
    <row r="2171" spans="1:2" ht="14.5" x14ac:dyDescent="0.35">
      <c r="A2171" s="8" t="s">
        <v>54894</v>
      </c>
      <c r="B2171" s="8" t="s">
        <v>55411</v>
      </c>
    </row>
    <row r="2172" spans="1:2" ht="14.5" x14ac:dyDescent="0.35">
      <c r="A2172" s="8" t="s">
        <v>54894</v>
      </c>
      <c r="B2172" s="8" t="s">
        <v>56973</v>
      </c>
    </row>
    <row r="2173" spans="1:2" ht="14.5" x14ac:dyDescent="0.35">
      <c r="A2173" s="8" t="s">
        <v>54894</v>
      </c>
      <c r="B2173" s="8" t="s">
        <v>56180</v>
      </c>
    </row>
    <row r="2174" spans="1:2" ht="14.5" x14ac:dyDescent="0.35">
      <c r="A2174" s="8" t="s">
        <v>54894</v>
      </c>
      <c r="B2174" s="8" t="s">
        <v>56181</v>
      </c>
    </row>
    <row r="2175" spans="1:2" ht="14.5" x14ac:dyDescent="0.35">
      <c r="A2175" s="8" t="s">
        <v>54894</v>
      </c>
      <c r="B2175" s="8" t="s">
        <v>57927</v>
      </c>
    </row>
    <row r="2176" spans="1:2" ht="14.5" x14ac:dyDescent="0.35">
      <c r="A2176" s="8" t="s">
        <v>54894</v>
      </c>
      <c r="B2176" s="8" t="s">
        <v>57026</v>
      </c>
    </row>
    <row r="2177" spans="1:2" ht="14.5" x14ac:dyDescent="0.35">
      <c r="A2177" s="8" t="s">
        <v>54894</v>
      </c>
      <c r="B2177" s="8" t="s">
        <v>57363</v>
      </c>
    </row>
    <row r="2178" spans="1:2" ht="14.5" x14ac:dyDescent="0.35">
      <c r="A2178" s="8" t="s">
        <v>54894</v>
      </c>
      <c r="B2178" s="8" t="s">
        <v>56046</v>
      </c>
    </row>
    <row r="2179" spans="1:2" ht="14.5" x14ac:dyDescent="0.35">
      <c r="A2179" s="8" t="s">
        <v>54894</v>
      </c>
      <c r="B2179" s="8" t="s">
        <v>57794</v>
      </c>
    </row>
    <row r="2180" spans="1:2" ht="14.5" x14ac:dyDescent="0.35">
      <c r="A2180" s="8" t="s">
        <v>54894</v>
      </c>
      <c r="B2180" s="8" t="s">
        <v>57201</v>
      </c>
    </row>
    <row r="2181" spans="1:2" ht="14.5" x14ac:dyDescent="0.35">
      <c r="A2181" s="8" t="s">
        <v>54894</v>
      </c>
      <c r="B2181" s="8" t="s">
        <v>57154</v>
      </c>
    </row>
    <row r="2182" spans="1:2" ht="14.5" x14ac:dyDescent="0.35">
      <c r="A2182" s="8" t="s">
        <v>54894</v>
      </c>
      <c r="B2182" s="8" t="s">
        <v>57155</v>
      </c>
    </row>
    <row r="2183" spans="1:2" ht="14.5" x14ac:dyDescent="0.35">
      <c r="A2183" s="8" t="s">
        <v>54894</v>
      </c>
      <c r="B2183" s="8" t="s">
        <v>58341</v>
      </c>
    </row>
    <row r="2184" spans="1:2" ht="14.5" x14ac:dyDescent="0.35">
      <c r="A2184" s="8" t="s">
        <v>54894</v>
      </c>
      <c r="B2184" s="8" t="s">
        <v>55848</v>
      </c>
    </row>
    <row r="2185" spans="1:2" ht="14.5" x14ac:dyDescent="0.35">
      <c r="A2185" s="8" t="s">
        <v>54894</v>
      </c>
      <c r="B2185" s="8" t="s">
        <v>55923</v>
      </c>
    </row>
    <row r="2186" spans="1:2" ht="14.5" x14ac:dyDescent="0.35">
      <c r="A2186" s="8" t="s">
        <v>54894</v>
      </c>
      <c r="B2186" s="8" t="s">
        <v>55943</v>
      </c>
    </row>
    <row r="2187" spans="1:2" ht="14.5" x14ac:dyDescent="0.35">
      <c r="A2187" s="8" t="s">
        <v>54894</v>
      </c>
      <c r="B2187" s="8" t="s">
        <v>56586</v>
      </c>
    </row>
    <row r="2188" spans="1:2" ht="14.5" x14ac:dyDescent="0.35">
      <c r="A2188" s="8" t="s">
        <v>54894</v>
      </c>
      <c r="B2188" s="8" t="s">
        <v>56587</v>
      </c>
    </row>
    <row r="2189" spans="1:2" ht="14.5" x14ac:dyDescent="0.35">
      <c r="A2189" s="8" t="s">
        <v>54894</v>
      </c>
      <c r="B2189" s="8" t="s">
        <v>58445</v>
      </c>
    </row>
    <row r="2190" spans="1:2" ht="14.5" x14ac:dyDescent="0.35">
      <c r="A2190" s="8" t="s">
        <v>54894</v>
      </c>
      <c r="B2190" s="8" t="s">
        <v>58431</v>
      </c>
    </row>
    <row r="2191" spans="1:2" ht="14.5" x14ac:dyDescent="0.35">
      <c r="A2191" s="8" t="s">
        <v>54894</v>
      </c>
      <c r="B2191" s="8" t="s">
        <v>55843</v>
      </c>
    </row>
    <row r="2192" spans="1:2" ht="14.5" x14ac:dyDescent="0.35">
      <c r="A2192" s="8" t="s">
        <v>54894</v>
      </c>
      <c r="B2192" s="8" t="s">
        <v>55565</v>
      </c>
    </row>
    <row r="2193" spans="1:2" ht="14.5" x14ac:dyDescent="0.35">
      <c r="A2193" s="8" t="s">
        <v>54894</v>
      </c>
      <c r="B2193" s="8" t="s">
        <v>55954</v>
      </c>
    </row>
    <row r="2194" spans="1:2" ht="14.5" x14ac:dyDescent="0.35">
      <c r="A2194" s="8" t="s">
        <v>54894</v>
      </c>
      <c r="B2194" s="8" t="s">
        <v>56448</v>
      </c>
    </row>
    <row r="2195" spans="1:2" ht="14.5" x14ac:dyDescent="0.35">
      <c r="A2195" s="8" t="s">
        <v>54894</v>
      </c>
      <c r="B2195" s="8" t="s">
        <v>56047</v>
      </c>
    </row>
    <row r="2196" spans="1:2" ht="14.5" x14ac:dyDescent="0.35">
      <c r="A2196" s="8" t="s">
        <v>54894</v>
      </c>
      <c r="B2196" s="8" t="s">
        <v>57570</v>
      </c>
    </row>
    <row r="2197" spans="1:2" ht="14.5" x14ac:dyDescent="0.35">
      <c r="A2197" s="8" t="s">
        <v>54894</v>
      </c>
      <c r="B2197" s="8" t="s">
        <v>57950</v>
      </c>
    </row>
    <row r="2198" spans="1:2" ht="14.5" x14ac:dyDescent="0.35">
      <c r="A2198" s="8" t="s">
        <v>54894</v>
      </c>
      <c r="B2198" s="8" t="s">
        <v>58206</v>
      </c>
    </row>
    <row r="2199" spans="1:2" ht="14.5" x14ac:dyDescent="0.35">
      <c r="A2199" s="8" t="s">
        <v>54894</v>
      </c>
      <c r="B2199" s="8" t="s">
        <v>58207</v>
      </c>
    </row>
    <row r="2200" spans="1:2" ht="14.5" x14ac:dyDescent="0.35">
      <c r="A2200" s="8" t="s">
        <v>54894</v>
      </c>
      <c r="B2200" s="8" t="s">
        <v>56557</v>
      </c>
    </row>
    <row r="2201" spans="1:2" ht="14.5" x14ac:dyDescent="0.35">
      <c r="A2201" s="8" t="s">
        <v>54894</v>
      </c>
      <c r="B2201" s="8" t="s">
        <v>56339</v>
      </c>
    </row>
    <row r="2202" spans="1:2" ht="14.5" x14ac:dyDescent="0.35">
      <c r="A2202" s="8" t="s">
        <v>54894</v>
      </c>
      <c r="B2202" s="8" t="s">
        <v>57842</v>
      </c>
    </row>
    <row r="2203" spans="1:2" ht="14.5" x14ac:dyDescent="0.35">
      <c r="A2203" s="8" t="s">
        <v>54894</v>
      </c>
      <c r="B2203" s="8" t="s">
        <v>57571</v>
      </c>
    </row>
    <row r="2204" spans="1:2" ht="14.5" x14ac:dyDescent="0.35">
      <c r="A2204" s="8" t="s">
        <v>54894</v>
      </c>
      <c r="B2204" s="8" t="s">
        <v>55480</v>
      </c>
    </row>
    <row r="2205" spans="1:2" ht="14.5" x14ac:dyDescent="0.35">
      <c r="A2205" s="8" t="s">
        <v>54894</v>
      </c>
      <c r="B2205" s="8" t="s">
        <v>57864</v>
      </c>
    </row>
    <row r="2206" spans="1:2" ht="14.5" x14ac:dyDescent="0.35">
      <c r="A2206" s="8" t="s">
        <v>54894</v>
      </c>
      <c r="B2206" s="8" t="s">
        <v>58046</v>
      </c>
    </row>
    <row r="2207" spans="1:2" ht="14.5" x14ac:dyDescent="0.35">
      <c r="A2207" s="8" t="s">
        <v>54894</v>
      </c>
      <c r="B2207" s="8" t="s">
        <v>58159</v>
      </c>
    </row>
    <row r="2208" spans="1:2" ht="14.5" x14ac:dyDescent="0.35">
      <c r="A2208" s="8" t="s">
        <v>54894</v>
      </c>
      <c r="B2208" s="8" t="s">
        <v>57730</v>
      </c>
    </row>
    <row r="2209" spans="1:2" ht="14.5" x14ac:dyDescent="0.35">
      <c r="A2209" s="8" t="s">
        <v>54894</v>
      </c>
      <c r="B2209" s="8" t="s">
        <v>57542</v>
      </c>
    </row>
    <row r="2210" spans="1:2" ht="14.5" x14ac:dyDescent="0.35">
      <c r="A2210" s="8" t="s">
        <v>54894</v>
      </c>
      <c r="B2210" s="8" t="s">
        <v>57543</v>
      </c>
    </row>
    <row r="2211" spans="1:2" ht="14.5" x14ac:dyDescent="0.35">
      <c r="A2211" s="8" t="s">
        <v>54894</v>
      </c>
      <c r="B2211" s="8" t="s">
        <v>57544</v>
      </c>
    </row>
    <row r="2212" spans="1:2" ht="14.5" x14ac:dyDescent="0.35">
      <c r="A2212" s="8" t="s">
        <v>54894</v>
      </c>
      <c r="B2212" s="8" t="s">
        <v>55908</v>
      </c>
    </row>
    <row r="2213" spans="1:2" ht="14.5" x14ac:dyDescent="0.35">
      <c r="A2213" s="8" t="s">
        <v>54894</v>
      </c>
      <c r="B2213" s="8" t="s">
        <v>56200</v>
      </c>
    </row>
    <row r="2214" spans="1:2" ht="14.5" x14ac:dyDescent="0.35">
      <c r="A2214" s="8" t="s">
        <v>54894</v>
      </c>
      <c r="B2214" s="8" t="s">
        <v>54899</v>
      </c>
    </row>
    <row r="2215" spans="1:2" ht="14.5" x14ac:dyDescent="0.35">
      <c r="A2215" s="8" t="s">
        <v>54894</v>
      </c>
      <c r="B2215" s="8" t="s">
        <v>58047</v>
      </c>
    </row>
    <row r="2216" spans="1:2" ht="14.5" x14ac:dyDescent="0.35">
      <c r="A2216" s="8" t="s">
        <v>54894</v>
      </c>
      <c r="B2216" s="8" t="s">
        <v>58208</v>
      </c>
    </row>
    <row r="2217" spans="1:2" ht="14.5" x14ac:dyDescent="0.35">
      <c r="A2217" s="8" t="s">
        <v>54894</v>
      </c>
      <c r="B2217" s="8" t="s">
        <v>55431</v>
      </c>
    </row>
    <row r="2218" spans="1:2" ht="14.5" x14ac:dyDescent="0.35">
      <c r="A2218" s="8" t="s">
        <v>54894</v>
      </c>
      <c r="B2218" s="8" t="s">
        <v>55844</v>
      </c>
    </row>
    <row r="2219" spans="1:2" ht="14.5" x14ac:dyDescent="0.35">
      <c r="A2219" s="8" t="s">
        <v>54894</v>
      </c>
      <c r="B2219" s="8" t="s">
        <v>55108</v>
      </c>
    </row>
    <row r="2220" spans="1:2" ht="14.5" x14ac:dyDescent="0.35">
      <c r="A2220" s="8" t="s">
        <v>54894</v>
      </c>
      <c r="B2220" s="8" t="s">
        <v>55109</v>
      </c>
    </row>
    <row r="2221" spans="1:2" ht="14.5" x14ac:dyDescent="0.35">
      <c r="A2221" s="8" t="s">
        <v>54894</v>
      </c>
      <c r="B2221" s="8" t="s">
        <v>58048</v>
      </c>
    </row>
    <row r="2222" spans="1:2" ht="14.5" x14ac:dyDescent="0.35">
      <c r="A2222" s="8" t="s">
        <v>54894</v>
      </c>
      <c r="B2222" s="8" t="s">
        <v>55989</v>
      </c>
    </row>
    <row r="2223" spans="1:2" ht="14.5" x14ac:dyDescent="0.35">
      <c r="A2223" s="8" t="s">
        <v>54894</v>
      </c>
      <c r="B2223" s="8" t="s">
        <v>57489</v>
      </c>
    </row>
    <row r="2224" spans="1:2" ht="14.5" x14ac:dyDescent="0.35">
      <c r="A2224" s="8" t="s">
        <v>54894</v>
      </c>
      <c r="B2224" s="8" t="s">
        <v>58049</v>
      </c>
    </row>
    <row r="2225" spans="1:2" ht="14.5" x14ac:dyDescent="0.35">
      <c r="A2225" s="8" t="s">
        <v>54894</v>
      </c>
      <c r="B2225" s="8" t="s">
        <v>56164</v>
      </c>
    </row>
    <row r="2226" spans="1:2" ht="14.5" x14ac:dyDescent="0.35">
      <c r="A2226" s="8" t="s">
        <v>54894</v>
      </c>
      <c r="B2226" s="8" t="s">
        <v>56347</v>
      </c>
    </row>
    <row r="2227" spans="1:2" ht="14.5" x14ac:dyDescent="0.35">
      <c r="A2227" s="8" t="s">
        <v>54894</v>
      </c>
      <c r="B2227" s="8" t="s">
        <v>56348</v>
      </c>
    </row>
    <row r="2228" spans="1:2" ht="14.5" x14ac:dyDescent="0.35">
      <c r="A2228" s="8" t="s">
        <v>54894</v>
      </c>
      <c r="B2228" s="8" t="s">
        <v>55147</v>
      </c>
    </row>
    <row r="2229" spans="1:2" ht="14.5" x14ac:dyDescent="0.35">
      <c r="A2229" s="8" t="s">
        <v>54894</v>
      </c>
      <c r="B2229" s="8" t="s">
        <v>57527</v>
      </c>
    </row>
    <row r="2230" spans="1:2" ht="14.5" x14ac:dyDescent="0.35">
      <c r="A2230" s="8" t="s">
        <v>54894</v>
      </c>
      <c r="B2230" s="8" t="s">
        <v>56588</v>
      </c>
    </row>
    <row r="2231" spans="1:2" ht="14.5" x14ac:dyDescent="0.35">
      <c r="A2231" s="8" t="s">
        <v>54894</v>
      </c>
      <c r="B2231" s="8" t="s">
        <v>56589</v>
      </c>
    </row>
    <row r="2232" spans="1:2" ht="14.5" x14ac:dyDescent="0.35">
      <c r="A2232" s="8" t="s">
        <v>54894</v>
      </c>
      <c r="B2232" s="8" t="s">
        <v>56590</v>
      </c>
    </row>
    <row r="2233" spans="1:2" ht="14.5" x14ac:dyDescent="0.35">
      <c r="A2233" s="8" t="s">
        <v>54894</v>
      </c>
      <c r="B2233" s="8" t="s">
        <v>55148</v>
      </c>
    </row>
    <row r="2234" spans="1:2" ht="14.5" x14ac:dyDescent="0.35">
      <c r="A2234" s="8" t="s">
        <v>54894</v>
      </c>
      <c r="B2234" s="8" t="s">
        <v>55149</v>
      </c>
    </row>
    <row r="2235" spans="1:2" ht="14.5" x14ac:dyDescent="0.35">
      <c r="A2235" s="8" t="s">
        <v>54894</v>
      </c>
      <c r="B2235" s="8" t="s">
        <v>55947</v>
      </c>
    </row>
    <row r="2236" spans="1:2" ht="14.5" x14ac:dyDescent="0.35">
      <c r="A2236" s="8" t="s">
        <v>54894</v>
      </c>
      <c r="B2236" s="8" t="s">
        <v>57946</v>
      </c>
    </row>
    <row r="2237" spans="1:2" ht="14.5" x14ac:dyDescent="0.35">
      <c r="A2237" s="8" t="s">
        <v>54894</v>
      </c>
      <c r="B2237" s="8" t="s">
        <v>55557</v>
      </c>
    </row>
    <row r="2238" spans="1:2" ht="14.5" x14ac:dyDescent="0.35">
      <c r="A2238" s="8" t="s">
        <v>54894</v>
      </c>
      <c r="B2238" s="8" t="s">
        <v>56687</v>
      </c>
    </row>
    <row r="2239" spans="1:2" ht="14.5" x14ac:dyDescent="0.35">
      <c r="A2239" s="8" t="s">
        <v>54894</v>
      </c>
      <c r="B2239" s="8" t="s">
        <v>56417</v>
      </c>
    </row>
    <row r="2240" spans="1:2" ht="14.5" x14ac:dyDescent="0.35">
      <c r="A2240" s="8" t="s">
        <v>54894</v>
      </c>
      <c r="B2240" s="8" t="s">
        <v>54900</v>
      </c>
    </row>
    <row r="2241" spans="1:2" ht="14.5" x14ac:dyDescent="0.35">
      <c r="A2241" s="8" t="s">
        <v>54894</v>
      </c>
      <c r="B2241" s="8" t="s">
        <v>55216</v>
      </c>
    </row>
    <row r="2242" spans="1:2" ht="14.5" x14ac:dyDescent="0.35">
      <c r="A2242" s="8" t="s">
        <v>54894</v>
      </c>
      <c r="B2242" s="8" t="s">
        <v>57572</v>
      </c>
    </row>
    <row r="2243" spans="1:2" ht="14.5" x14ac:dyDescent="0.35">
      <c r="A2243" s="8" t="s">
        <v>54894</v>
      </c>
      <c r="B2243" s="8" t="s">
        <v>58050</v>
      </c>
    </row>
    <row r="2244" spans="1:2" ht="14.5" x14ac:dyDescent="0.35">
      <c r="A2244" s="8" t="s">
        <v>54894</v>
      </c>
      <c r="B2244" s="8" t="s">
        <v>56550</v>
      </c>
    </row>
    <row r="2245" spans="1:2" ht="14.5" x14ac:dyDescent="0.35">
      <c r="A2245" s="8" t="s">
        <v>54894</v>
      </c>
      <c r="B2245" s="8" t="s">
        <v>58446</v>
      </c>
    </row>
    <row r="2246" spans="1:2" ht="14.5" x14ac:dyDescent="0.35">
      <c r="A2246" s="8" t="s">
        <v>54894</v>
      </c>
      <c r="B2246" s="8" t="s">
        <v>56048</v>
      </c>
    </row>
    <row r="2247" spans="1:2" ht="14.5" x14ac:dyDescent="0.35">
      <c r="A2247" s="8" t="s">
        <v>54894</v>
      </c>
      <c r="B2247" s="8" t="s">
        <v>55951</v>
      </c>
    </row>
    <row r="2248" spans="1:2" ht="14.5" x14ac:dyDescent="0.35">
      <c r="A2248" s="8" t="s">
        <v>54894</v>
      </c>
      <c r="B2248" s="8" t="s">
        <v>58051</v>
      </c>
    </row>
    <row r="2249" spans="1:2" ht="14.5" x14ac:dyDescent="0.35">
      <c r="A2249" s="8" t="s">
        <v>54894</v>
      </c>
      <c r="B2249" s="8" t="s">
        <v>55164</v>
      </c>
    </row>
    <row r="2250" spans="1:2" ht="14.5" x14ac:dyDescent="0.35">
      <c r="A2250" s="8" t="s">
        <v>54894</v>
      </c>
      <c r="B2250" s="8" t="s">
        <v>55165</v>
      </c>
    </row>
    <row r="2251" spans="1:2" ht="14.5" x14ac:dyDescent="0.35">
      <c r="A2251" s="8" t="s">
        <v>54894</v>
      </c>
      <c r="B2251" s="8" t="s">
        <v>55166</v>
      </c>
    </row>
    <row r="2252" spans="1:2" ht="14.5" x14ac:dyDescent="0.35">
      <c r="A2252" s="8" t="s">
        <v>54894</v>
      </c>
      <c r="B2252" s="8" t="s">
        <v>55167</v>
      </c>
    </row>
    <row r="2253" spans="1:2" ht="14.5" x14ac:dyDescent="0.35">
      <c r="A2253" s="8" t="s">
        <v>54894</v>
      </c>
      <c r="B2253" s="8" t="s">
        <v>55168</v>
      </c>
    </row>
    <row r="2254" spans="1:2" ht="14.5" x14ac:dyDescent="0.35">
      <c r="A2254" s="8" t="s">
        <v>54894</v>
      </c>
      <c r="B2254" s="8" t="s">
        <v>55169</v>
      </c>
    </row>
    <row r="2255" spans="1:2" ht="14.5" x14ac:dyDescent="0.35">
      <c r="A2255" s="8" t="s">
        <v>54894</v>
      </c>
      <c r="B2255" s="8" t="s">
        <v>56672</v>
      </c>
    </row>
    <row r="2256" spans="1:2" ht="14.5" x14ac:dyDescent="0.35">
      <c r="A2256" s="8" t="s">
        <v>54894</v>
      </c>
      <c r="B2256" s="8" t="s">
        <v>56049</v>
      </c>
    </row>
    <row r="2257" spans="1:2" ht="14.5" x14ac:dyDescent="0.35">
      <c r="A2257" s="8" t="s">
        <v>54894</v>
      </c>
      <c r="B2257" s="8" t="s">
        <v>57532</v>
      </c>
    </row>
    <row r="2258" spans="1:2" ht="14.5" x14ac:dyDescent="0.35">
      <c r="A2258" s="8" t="s">
        <v>54894</v>
      </c>
      <c r="B2258" s="8" t="s">
        <v>58346</v>
      </c>
    </row>
    <row r="2259" spans="1:2" ht="14.5" x14ac:dyDescent="0.35">
      <c r="A2259" s="8" t="s">
        <v>54894</v>
      </c>
      <c r="B2259" s="8" t="s">
        <v>58371</v>
      </c>
    </row>
    <row r="2260" spans="1:2" ht="14.5" x14ac:dyDescent="0.35">
      <c r="A2260" s="8" t="s">
        <v>54894</v>
      </c>
      <c r="B2260" s="8" t="s">
        <v>58347</v>
      </c>
    </row>
    <row r="2261" spans="1:2" ht="14.5" x14ac:dyDescent="0.35">
      <c r="A2261" s="8" t="s">
        <v>54894</v>
      </c>
      <c r="B2261" s="8" t="s">
        <v>58348</v>
      </c>
    </row>
    <row r="2262" spans="1:2" ht="14.5" x14ac:dyDescent="0.35">
      <c r="A2262" s="8" t="s">
        <v>54894</v>
      </c>
      <c r="B2262" s="8" t="s">
        <v>58349</v>
      </c>
    </row>
    <row r="2263" spans="1:2" ht="14.5" x14ac:dyDescent="0.35">
      <c r="A2263" s="8" t="s">
        <v>54894</v>
      </c>
      <c r="B2263" s="8" t="s">
        <v>58350</v>
      </c>
    </row>
    <row r="2264" spans="1:2" ht="14.5" x14ac:dyDescent="0.35">
      <c r="A2264" s="8" t="s">
        <v>54894</v>
      </c>
      <c r="B2264" s="8" t="s">
        <v>58351</v>
      </c>
    </row>
    <row r="2265" spans="1:2" ht="14.5" x14ac:dyDescent="0.35">
      <c r="A2265" s="8" t="s">
        <v>54894</v>
      </c>
      <c r="B2265" s="8" t="s">
        <v>58352</v>
      </c>
    </row>
    <row r="2266" spans="1:2" ht="14.5" x14ac:dyDescent="0.35">
      <c r="A2266" s="8" t="s">
        <v>54894</v>
      </c>
      <c r="B2266" s="8" t="s">
        <v>58353</v>
      </c>
    </row>
    <row r="2267" spans="1:2" ht="14.5" x14ac:dyDescent="0.35">
      <c r="A2267" s="8" t="s">
        <v>54894</v>
      </c>
      <c r="B2267" s="8" t="s">
        <v>58372</v>
      </c>
    </row>
    <row r="2268" spans="1:2" ht="14.5" x14ac:dyDescent="0.35">
      <c r="A2268" s="8" t="s">
        <v>54894</v>
      </c>
      <c r="B2268" s="8" t="s">
        <v>58354</v>
      </c>
    </row>
    <row r="2269" spans="1:2" ht="14.5" x14ac:dyDescent="0.35">
      <c r="A2269" s="8" t="s">
        <v>54894</v>
      </c>
      <c r="B2269" s="8" t="s">
        <v>57533</v>
      </c>
    </row>
    <row r="2270" spans="1:2" ht="14.5" x14ac:dyDescent="0.35">
      <c r="A2270" s="8" t="s">
        <v>54894</v>
      </c>
      <c r="B2270" s="8" t="s">
        <v>58443</v>
      </c>
    </row>
    <row r="2271" spans="1:2" ht="14.5" x14ac:dyDescent="0.35">
      <c r="A2271" s="8" t="s">
        <v>54894</v>
      </c>
      <c r="B2271" s="8" t="s">
        <v>57047</v>
      </c>
    </row>
    <row r="2272" spans="1:2" ht="14.5" x14ac:dyDescent="0.35">
      <c r="A2272" s="8" t="s">
        <v>54894</v>
      </c>
      <c r="B2272" s="8" t="s">
        <v>56621</v>
      </c>
    </row>
    <row r="2273" spans="1:2" ht="14.5" x14ac:dyDescent="0.35">
      <c r="A2273" s="8" t="s">
        <v>54894</v>
      </c>
      <c r="B2273" s="8" t="s">
        <v>58317</v>
      </c>
    </row>
    <row r="2274" spans="1:2" ht="14.5" x14ac:dyDescent="0.35">
      <c r="A2274" s="8" t="s">
        <v>54894</v>
      </c>
      <c r="B2274" s="8" t="s">
        <v>56395</v>
      </c>
    </row>
    <row r="2275" spans="1:2" ht="14.5" x14ac:dyDescent="0.35">
      <c r="A2275" s="8" t="s">
        <v>54894</v>
      </c>
      <c r="B2275" s="8" t="s">
        <v>56396</v>
      </c>
    </row>
    <row r="2276" spans="1:2" ht="14.5" x14ac:dyDescent="0.35">
      <c r="A2276" s="8" t="s">
        <v>54894</v>
      </c>
      <c r="B2276" s="8" t="s">
        <v>55637</v>
      </c>
    </row>
    <row r="2277" spans="1:2" ht="14.5" x14ac:dyDescent="0.35">
      <c r="A2277" s="8" t="s">
        <v>54894</v>
      </c>
      <c r="B2277" s="8" t="s">
        <v>55181</v>
      </c>
    </row>
    <row r="2278" spans="1:2" ht="14.5" x14ac:dyDescent="0.35">
      <c r="A2278" s="8" t="s">
        <v>54894</v>
      </c>
      <c r="B2278" s="8" t="s">
        <v>57534</v>
      </c>
    </row>
    <row r="2279" spans="1:2" ht="14.5" x14ac:dyDescent="0.35">
      <c r="A2279" s="8" t="s">
        <v>54894</v>
      </c>
      <c r="B2279" s="8" t="s">
        <v>58052</v>
      </c>
    </row>
    <row r="2280" spans="1:2" ht="14.5" x14ac:dyDescent="0.35">
      <c r="A2280" s="8" t="s">
        <v>54894</v>
      </c>
      <c r="B2280" s="8" t="s">
        <v>56050</v>
      </c>
    </row>
    <row r="2281" spans="1:2" ht="14.5" x14ac:dyDescent="0.35">
      <c r="A2281" s="8" t="s">
        <v>54894</v>
      </c>
      <c r="B2281" s="8" t="s">
        <v>55102</v>
      </c>
    </row>
    <row r="2282" spans="1:2" ht="14.5" x14ac:dyDescent="0.35">
      <c r="A2282" s="8" t="s">
        <v>54894</v>
      </c>
      <c r="B2282" s="8" t="s">
        <v>57865</v>
      </c>
    </row>
    <row r="2283" spans="1:2" ht="14.5" x14ac:dyDescent="0.35">
      <c r="A2283" s="8" t="s">
        <v>54894</v>
      </c>
      <c r="B2283" s="8" t="s">
        <v>55052</v>
      </c>
    </row>
    <row r="2284" spans="1:2" ht="14.5" x14ac:dyDescent="0.35">
      <c r="A2284" s="8" t="s">
        <v>54894</v>
      </c>
      <c r="B2284" s="8" t="s">
        <v>58053</v>
      </c>
    </row>
    <row r="2285" spans="1:2" ht="14.5" x14ac:dyDescent="0.35">
      <c r="A2285" s="8" t="s">
        <v>54894</v>
      </c>
      <c r="B2285" s="8" t="s">
        <v>56051</v>
      </c>
    </row>
    <row r="2286" spans="1:2" ht="14.5" x14ac:dyDescent="0.35">
      <c r="A2286" s="8" t="s">
        <v>54894</v>
      </c>
      <c r="B2286" s="8" t="s">
        <v>58194</v>
      </c>
    </row>
    <row r="2287" spans="1:2" ht="14.5" x14ac:dyDescent="0.35">
      <c r="A2287" s="8" t="s">
        <v>54894</v>
      </c>
      <c r="B2287" s="8" t="s">
        <v>57505</v>
      </c>
    </row>
    <row r="2288" spans="1:2" ht="14.5" x14ac:dyDescent="0.35">
      <c r="A2288" s="8" t="s">
        <v>54894</v>
      </c>
      <c r="B2288" s="8" t="s">
        <v>57573</v>
      </c>
    </row>
    <row r="2289" spans="1:2" ht="14.5" x14ac:dyDescent="0.35">
      <c r="A2289" s="8" t="s">
        <v>54894</v>
      </c>
      <c r="B2289" s="8" t="s">
        <v>56688</v>
      </c>
    </row>
    <row r="2290" spans="1:2" ht="14.5" x14ac:dyDescent="0.35">
      <c r="A2290" s="8" t="s">
        <v>54894</v>
      </c>
      <c r="B2290" s="8" t="s">
        <v>55154</v>
      </c>
    </row>
    <row r="2291" spans="1:2" ht="14.5" x14ac:dyDescent="0.35">
      <c r="A2291" s="8" t="s">
        <v>54894</v>
      </c>
      <c r="B2291" s="8" t="s">
        <v>56375</v>
      </c>
    </row>
    <row r="2292" spans="1:2" ht="14.5" x14ac:dyDescent="0.35">
      <c r="A2292" s="8" t="s">
        <v>54894</v>
      </c>
      <c r="B2292" s="8" t="s">
        <v>58264</v>
      </c>
    </row>
    <row r="2293" spans="1:2" ht="14.5" x14ac:dyDescent="0.35">
      <c r="A2293" s="8" t="s">
        <v>54894</v>
      </c>
      <c r="B2293" s="8" t="s">
        <v>57679</v>
      </c>
    </row>
    <row r="2294" spans="1:2" ht="14.5" x14ac:dyDescent="0.35">
      <c r="A2294" s="8" t="s">
        <v>54894</v>
      </c>
      <c r="B2294" s="8" t="s">
        <v>56004</v>
      </c>
    </row>
    <row r="2295" spans="1:2" ht="14.5" x14ac:dyDescent="0.35">
      <c r="A2295" s="8" t="s">
        <v>54894</v>
      </c>
      <c r="B2295" s="8" t="s">
        <v>58379</v>
      </c>
    </row>
    <row r="2296" spans="1:2" ht="14.5" x14ac:dyDescent="0.35">
      <c r="A2296" s="8" t="s">
        <v>54894</v>
      </c>
      <c r="B2296" s="8" t="s">
        <v>56678</v>
      </c>
    </row>
    <row r="2297" spans="1:2" ht="14.5" x14ac:dyDescent="0.35">
      <c r="A2297" s="8" t="s">
        <v>54894</v>
      </c>
      <c r="B2297" s="8" t="s">
        <v>56552</v>
      </c>
    </row>
    <row r="2298" spans="1:2" ht="14.5" x14ac:dyDescent="0.35">
      <c r="A2298" s="8" t="s">
        <v>54894</v>
      </c>
      <c r="B2298" s="8" t="s">
        <v>58054</v>
      </c>
    </row>
    <row r="2299" spans="1:2" ht="14.5" x14ac:dyDescent="0.35">
      <c r="A2299" s="8" t="s">
        <v>54894</v>
      </c>
      <c r="B2299" s="8" t="s">
        <v>56634</v>
      </c>
    </row>
    <row r="2300" spans="1:2" ht="14.5" x14ac:dyDescent="0.35">
      <c r="A2300" s="8" t="s">
        <v>54894</v>
      </c>
      <c r="B2300" s="8" t="s">
        <v>55195</v>
      </c>
    </row>
    <row r="2301" spans="1:2" ht="14.5" x14ac:dyDescent="0.35">
      <c r="A2301" s="8" t="s">
        <v>54894</v>
      </c>
      <c r="B2301" s="8" t="s">
        <v>57314</v>
      </c>
    </row>
    <row r="2302" spans="1:2" ht="14.5" x14ac:dyDescent="0.35">
      <c r="A2302" s="8" t="s">
        <v>54894</v>
      </c>
      <c r="B2302" s="8" t="s">
        <v>57315</v>
      </c>
    </row>
    <row r="2303" spans="1:2" ht="14.5" x14ac:dyDescent="0.35">
      <c r="A2303" s="8" t="s">
        <v>54894</v>
      </c>
      <c r="B2303" s="8" t="s">
        <v>57757</v>
      </c>
    </row>
    <row r="2304" spans="1:2" ht="14.5" x14ac:dyDescent="0.35">
      <c r="A2304" s="8" t="s">
        <v>54894</v>
      </c>
      <c r="B2304" s="8" t="s">
        <v>54969</v>
      </c>
    </row>
    <row r="2305" spans="1:2" ht="14.5" x14ac:dyDescent="0.35">
      <c r="A2305" s="8" t="s">
        <v>54894</v>
      </c>
      <c r="B2305" s="8" t="s">
        <v>56201</v>
      </c>
    </row>
    <row r="2306" spans="1:2" ht="14.5" x14ac:dyDescent="0.35">
      <c r="A2306" s="8" t="s">
        <v>54894</v>
      </c>
      <c r="B2306" s="8" t="s">
        <v>56201</v>
      </c>
    </row>
    <row r="2307" spans="1:2" ht="14.5" x14ac:dyDescent="0.35">
      <c r="A2307" s="8" t="s">
        <v>54894</v>
      </c>
      <c r="B2307" s="8" t="s">
        <v>56052</v>
      </c>
    </row>
    <row r="2308" spans="1:2" ht="14.5" x14ac:dyDescent="0.35">
      <c r="A2308" s="8" t="s">
        <v>54894</v>
      </c>
      <c r="B2308" s="8" t="s">
        <v>56538</v>
      </c>
    </row>
    <row r="2309" spans="1:2" ht="14.5" x14ac:dyDescent="0.35">
      <c r="A2309" s="8" t="s">
        <v>54894</v>
      </c>
      <c r="B2309" s="8" t="s">
        <v>55681</v>
      </c>
    </row>
    <row r="2310" spans="1:2" ht="14.5" x14ac:dyDescent="0.35">
      <c r="A2310" s="8" t="s">
        <v>54894</v>
      </c>
      <c r="B2310" s="8" t="s">
        <v>57036</v>
      </c>
    </row>
    <row r="2311" spans="1:2" ht="14.5" x14ac:dyDescent="0.35">
      <c r="A2311" s="8" t="s">
        <v>54894</v>
      </c>
      <c r="B2311" s="8" t="s">
        <v>57947</v>
      </c>
    </row>
    <row r="2312" spans="1:2" ht="14.5" x14ac:dyDescent="0.35">
      <c r="A2312" s="8" t="s">
        <v>54894</v>
      </c>
      <c r="B2312" s="8" t="s">
        <v>6921</v>
      </c>
    </row>
    <row r="2313" spans="1:2" ht="14.5" x14ac:dyDescent="0.35">
      <c r="A2313" s="8" t="s">
        <v>54894</v>
      </c>
      <c r="B2313" s="8" t="s">
        <v>56721</v>
      </c>
    </row>
    <row r="2314" spans="1:2" ht="14.5" x14ac:dyDescent="0.35">
      <c r="A2314" s="8" t="s">
        <v>54894</v>
      </c>
      <c r="B2314" s="8" t="s">
        <v>56722</v>
      </c>
    </row>
    <row r="2315" spans="1:2" ht="14.5" x14ac:dyDescent="0.35">
      <c r="A2315" s="8" t="s">
        <v>54894</v>
      </c>
      <c r="B2315" s="8" t="s">
        <v>58311</v>
      </c>
    </row>
    <row r="2316" spans="1:2" ht="14.5" x14ac:dyDescent="0.35">
      <c r="A2316" s="8" t="s">
        <v>54894</v>
      </c>
      <c r="B2316" s="8" t="s">
        <v>55563</v>
      </c>
    </row>
    <row r="2317" spans="1:2" ht="14.5" x14ac:dyDescent="0.35">
      <c r="A2317" s="8" t="s">
        <v>54894</v>
      </c>
      <c r="B2317" s="8" t="s">
        <v>57984</v>
      </c>
    </row>
    <row r="2318" spans="1:2" ht="14.5" x14ac:dyDescent="0.35">
      <c r="A2318" s="8" t="s">
        <v>54894</v>
      </c>
      <c r="B2318" s="8" t="s">
        <v>58447</v>
      </c>
    </row>
    <row r="2319" spans="1:2" ht="14.5" x14ac:dyDescent="0.35">
      <c r="A2319" s="8" t="s">
        <v>54894</v>
      </c>
      <c r="B2319" s="8" t="s">
        <v>57189</v>
      </c>
    </row>
    <row r="2320" spans="1:2" ht="14.5" x14ac:dyDescent="0.35">
      <c r="A2320" s="8" t="s">
        <v>54894</v>
      </c>
      <c r="B2320" s="8" t="s">
        <v>57985</v>
      </c>
    </row>
    <row r="2321" spans="1:2" ht="14.5" x14ac:dyDescent="0.35">
      <c r="A2321" s="8" t="s">
        <v>54894</v>
      </c>
      <c r="B2321" s="8" t="s">
        <v>55515</v>
      </c>
    </row>
    <row r="2322" spans="1:2" ht="14.5" x14ac:dyDescent="0.35">
      <c r="A2322" s="8" t="s">
        <v>54894</v>
      </c>
      <c r="B2322" s="8" t="s">
        <v>58055</v>
      </c>
    </row>
    <row r="2323" spans="1:2" ht="14.5" x14ac:dyDescent="0.35">
      <c r="A2323" s="8" t="s">
        <v>54894</v>
      </c>
      <c r="B2323" s="8" t="s">
        <v>55566</v>
      </c>
    </row>
    <row r="2324" spans="1:2" ht="14.5" x14ac:dyDescent="0.35">
      <c r="A2324" s="8" t="s">
        <v>54894</v>
      </c>
      <c r="B2324" s="8" t="s">
        <v>55971</v>
      </c>
    </row>
    <row r="2325" spans="1:2" ht="14.5" x14ac:dyDescent="0.35">
      <c r="A2325" s="8" t="s">
        <v>54894</v>
      </c>
      <c r="B2325" s="8" t="s">
        <v>57545</v>
      </c>
    </row>
    <row r="2326" spans="1:2" ht="14.5" x14ac:dyDescent="0.35">
      <c r="A2326" s="8" t="s">
        <v>54894</v>
      </c>
      <c r="B2326" s="8" t="s">
        <v>56053</v>
      </c>
    </row>
    <row r="2327" spans="1:2" ht="14.5" x14ac:dyDescent="0.35">
      <c r="A2327" s="8" t="s">
        <v>54894</v>
      </c>
      <c r="B2327" s="8" t="s">
        <v>56591</v>
      </c>
    </row>
    <row r="2328" spans="1:2" ht="14.5" x14ac:dyDescent="0.35">
      <c r="A2328" s="8" t="s">
        <v>54894</v>
      </c>
      <c r="B2328" s="8" t="s">
        <v>56592</v>
      </c>
    </row>
    <row r="2329" spans="1:2" ht="14.5" x14ac:dyDescent="0.35">
      <c r="A2329" s="8" t="s">
        <v>54894</v>
      </c>
      <c r="B2329" s="8" t="s">
        <v>57105</v>
      </c>
    </row>
    <row r="2330" spans="1:2" ht="14.5" x14ac:dyDescent="0.35">
      <c r="A2330" s="8" t="s">
        <v>54894</v>
      </c>
      <c r="B2330" s="8" t="s">
        <v>54935</v>
      </c>
    </row>
    <row r="2331" spans="1:2" ht="14.5" x14ac:dyDescent="0.35">
      <c r="A2331" s="8" t="s">
        <v>54894</v>
      </c>
      <c r="B2331" s="8" t="s">
        <v>56054</v>
      </c>
    </row>
    <row r="2332" spans="1:2" ht="14.5" x14ac:dyDescent="0.35">
      <c r="A2332" s="8" t="s">
        <v>54894</v>
      </c>
      <c r="B2332" s="8" t="s">
        <v>57292</v>
      </c>
    </row>
    <row r="2333" spans="1:2" ht="14.5" x14ac:dyDescent="0.35">
      <c r="A2333" s="8" t="s">
        <v>54894</v>
      </c>
      <c r="B2333" s="8" t="s">
        <v>57293</v>
      </c>
    </row>
    <row r="2334" spans="1:2" ht="14.5" x14ac:dyDescent="0.35">
      <c r="A2334" s="8" t="s">
        <v>54894</v>
      </c>
      <c r="B2334" s="8" t="s">
        <v>55217</v>
      </c>
    </row>
    <row r="2335" spans="1:2" ht="14.5" x14ac:dyDescent="0.35">
      <c r="A2335" s="8" t="s">
        <v>54894</v>
      </c>
      <c r="B2335" s="8" t="s">
        <v>55218</v>
      </c>
    </row>
    <row r="2336" spans="1:2" ht="14.5" x14ac:dyDescent="0.35">
      <c r="A2336" s="8" t="s">
        <v>54894</v>
      </c>
      <c r="B2336" s="8" t="s">
        <v>57918</v>
      </c>
    </row>
    <row r="2337" spans="1:2" ht="14.5" x14ac:dyDescent="0.35">
      <c r="A2337" s="8" t="s">
        <v>54894</v>
      </c>
      <c r="B2337" s="8" t="s">
        <v>56723</v>
      </c>
    </row>
    <row r="2338" spans="1:2" ht="14.5" x14ac:dyDescent="0.35">
      <c r="A2338" s="8" t="s">
        <v>54894</v>
      </c>
      <c r="B2338" s="8" t="s">
        <v>56724</v>
      </c>
    </row>
    <row r="2339" spans="1:2" ht="14.5" x14ac:dyDescent="0.35">
      <c r="A2339" s="8" t="s">
        <v>54894</v>
      </c>
      <c r="B2339" s="8" t="s">
        <v>56725</v>
      </c>
    </row>
    <row r="2340" spans="1:2" ht="14.5" x14ac:dyDescent="0.35">
      <c r="A2340" s="8" t="s">
        <v>54894</v>
      </c>
      <c r="B2340" s="8" t="s">
        <v>55904</v>
      </c>
    </row>
    <row r="2341" spans="1:2" ht="14.5" x14ac:dyDescent="0.35">
      <c r="A2341" s="8" t="s">
        <v>54894</v>
      </c>
      <c r="B2341" s="8" t="s">
        <v>56264</v>
      </c>
    </row>
    <row r="2342" spans="1:2" ht="14.5" x14ac:dyDescent="0.35">
      <c r="A2342" s="8" t="s">
        <v>54894</v>
      </c>
      <c r="B2342" s="8" t="s">
        <v>58168</v>
      </c>
    </row>
    <row r="2343" spans="1:2" ht="14.5" x14ac:dyDescent="0.35">
      <c r="A2343" s="8" t="s">
        <v>54894</v>
      </c>
      <c r="B2343" s="8" t="s">
        <v>57986</v>
      </c>
    </row>
    <row r="2344" spans="1:2" ht="14.5" x14ac:dyDescent="0.35">
      <c r="A2344" s="8" t="s">
        <v>54894</v>
      </c>
      <c r="B2344" s="8" t="s">
        <v>56055</v>
      </c>
    </row>
    <row r="2345" spans="1:2" ht="14.5" x14ac:dyDescent="0.35">
      <c r="A2345" s="8" t="s">
        <v>54894</v>
      </c>
      <c r="B2345" s="8" t="s">
        <v>57574</v>
      </c>
    </row>
    <row r="2346" spans="1:2" ht="14.5" x14ac:dyDescent="0.35">
      <c r="A2346" s="8" t="s">
        <v>54894</v>
      </c>
      <c r="B2346" s="8" t="s">
        <v>55008</v>
      </c>
    </row>
    <row r="2347" spans="1:2" ht="14.5" x14ac:dyDescent="0.35">
      <c r="A2347" s="8" t="s">
        <v>54894</v>
      </c>
      <c r="B2347" s="8" t="s">
        <v>55009</v>
      </c>
    </row>
    <row r="2348" spans="1:2" ht="14.5" x14ac:dyDescent="0.35">
      <c r="A2348" s="8" t="s">
        <v>54894</v>
      </c>
      <c r="B2348" s="8" t="s">
        <v>57506</v>
      </c>
    </row>
    <row r="2349" spans="1:2" ht="14.5" x14ac:dyDescent="0.35">
      <c r="A2349" s="8" t="s">
        <v>54894</v>
      </c>
      <c r="B2349" s="8" t="s">
        <v>58300</v>
      </c>
    </row>
    <row r="2350" spans="1:2" ht="14.5" x14ac:dyDescent="0.35">
      <c r="A2350" s="8" t="s">
        <v>54894</v>
      </c>
      <c r="B2350" s="8" t="s">
        <v>56412</v>
      </c>
    </row>
    <row r="2351" spans="1:2" ht="14.5" x14ac:dyDescent="0.35">
      <c r="A2351" s="8" t="s">
        <v>54894</v>
      </c>
      <c r="B2351" s="8" t="s">
        <v>55740</v>
      </c>
    </row>
    <row r="2352" spans="1:2" ht="14.5" x14ac:dyDescent="0.35">
      <c r="A2352" s="8" t="s">
        <v>54894</v>
      </c>
      <c r="B2352" s="8" t="s">
        <v>55741</v>
      </c>
    </row>
    <row r="2353" spans="1:2" ht="14.5" x14ac:dyDescent="0.35">
      <c r="A2353" s="8" t="s">
        <v>54894</v>
      </c>
      <c r="B2353" s="8" t="s">
        <v>57753</v>
      </c>
    </row>
    <row r="2354" spans="1:2" ht="14.5" x14ac:dyDescent="0.35">
      <c r="A2354" s="8" t="s">
        <v>54894</v>
      </c>
      <c r="B2354" s="8" t="s">
        <v>57960</v>
      </c>
    </row>
    <row r="2355" spans="1:2" ht="14.5" x14ac:dyDescent="0.35">
      <c r="A2355" s="8" t="s">
        <v>54894</v>
      </c>
      <c r="B2355" s="8" t="s">
        <v>57961</v>
      </c>
    </row>
    <row r="2356" spans="1:2" ht="14.5" x14ac:dyDescent="0.35">
      <c r="A2356" s="8" t="s">
        <v>54894</v>
      </c>
      <c r="B2356" s="8" t="s">
        <v>57962</v>
      </c>
    </row>
    <row r="2357" spans="1:2" ht="14.5" x14ac:dyDescent="0.35">
      <c r="A2357" s="8" t="s">
        <v>54894</v>
      </c>
      <c r="B2357" s="8" t="s">
        <v>57963</v>
      </c>
    </row>
    <row r="2358" spans="1:2" ht="14.5" x14ac:dyDescent="0.35">
      <c r="A2358" s="8" t="s">
        <v>54894</v>
      </c>
      <c r="B2358" s="8" t="s">
        <v>57964</v>
      </c>
    </row>
    <row r="2359" spans="1:2" ht="14.5" x14ac:dyDescent="0.35">
      <c r="A2359" s="8" t="s">
        <v>54894</v>
      </c>
      <c r="B2359" s="8" t="s">
        <v>57965</v>
      </c>
    </row>
    <row r="2360" spans="1:2" ht="14.5" x14ac:dyDescent="0.35">
      <c r="A2360" s="8" t="s">
        <v>54894</v>
      </c>
      <c r="B2360" s="8" t="s">
        <v>56663</v>
      </c>
    </row>
    <row r="2361" spans="1:2" ht="14.5" x14ac:dyDescent="0.35">
      <c r="A2361" s="8" t="s">
        <v>54894</v>
      </c>
      <c r="B2361" s="8" t="s">
        <v>57364</v>
      </c>
    </row>
    <row r="2362" spans="1:2" ht="14.5" x14ac:dyDescent="0.35">
      <c r="A2362" s="8" t="s">
        <v>54894</v>
      </c>
      <c r="B2362" s="8" t="s">
        <v>57131</v>
      </c>
    </row>
    <row r="2363" spans="1:2" ht="14.5" x14ac:dyDescent="0.35">
      <c r="A2363" s="8" t="s">
        <v>54894</v>
      </c>
      <c r="B2363" s="8" t="s">
        <v>57575</v>
      </c>
    </row>
    <row r="2364" spans="1:2" ht="14.5" x14ac:dyDescent="0.35">
      <c r="A2364" s="8" t="s">
        <v>54894</v>
      </c>
      <c r="B2364" s="8" t="s">
        <v>57224</v>
      </c>
    </row>
    <row r="2365" spans="1:2" ht="14.5" x14ac:dyDescent="0.35">
      <c r="A2365" s="8" t="s">
        <v>54894</v>
      </c>
      <c r="B2365" s="8" t="s">
        <v>57576</v>
      </c>
    </row>
    <row r="2366" spans="1:2" ht="14.5" x14ac:dyDescent="0.35">
      <c r="A2366" s="8" t="s">
        <v>54894</v>
      </c>
      <c r="B2366" s="8" t="s">
        <v>54999</v>
      </c>
    </row>
    <row r="2367" spans="1:2" ht="14.5" x14ac:dyDescent="0.35">
      <c r="A2367" s="8" t="s">
        <v>54894</v>
      </c>
      <c r="B2367" s="8" t="s">
        <v>57577</v>
      </c>
    </row>
    <row r="2368" spans="1:2" ht="14.5" x14ac:dyDescent="0.35">
      <c r="A2368" s="8" t="s">
        <v>54894</v>
      </c>
      <c r="B2368" s="8" t="s">
        <v>54974</v>
      </c>
    </row>
    <row r="2369" spans="1:2" ht="14.5" x14ac:dyDescent="0.35">
      <c r="A2369" s="8" t="s">
        <v>54894</v>
      </c>
      <c r="B2369" s="8" t="s">
        <v>57059</v>
      </c>
    </row>
    <row r="2370" spans="1:2" ht="14.5" x14ac:dyDescent="0.35">
      <c r="A2370" s="8" t="s">
        <v>54894</v>
      </c>
      <c r="B2370" s="8" t="s">
        <v>57696</v>
      </c>
    </row>
    <row r="2371" spans="1:2" ht="14.5" x14ac:dyDescent="0.35">
      <c r="A2371" s="8" t="s">
        <v>54894</v>
      </c>
      <c r="B2371" s="8" t="s">
        <v>56726</v>
      </c>
    </row>
    <row r="2372" spans="1:2" ht="14.5" x14ac:dyDescent="0.35">
      <c r="A2372" s="8" t="s">
        <v>54894</v>
      </c>
      <c r="B2372" s="8" t="s">
        <v>56727</v>
      </c>
    </row>
    <row r="2373" spans="1:2" ht="14.5" x14ac:dyDescent="0.35">
      <c r="A2373" s="8" t="s">
        <v>54894</v>
      </c>
      <c r="B2373" s="8" t="s">
        <v>56728</v>
      </c>
    </row>
    <row r="2374" spans="1:2" ht="14.5" x14ac:dyDescent="0.35">
      <c r="A2374" s="8" t="s">
        <v>54894</v>
      </c>
      <c r="B2374" s="8" t="s">
        <v>57351</v>
      </c>
    </row>
    <row r="2375" spans="1:2" ht="14.5" x14ac:dyDescent="0.35">
      <c r="A2375" s="8" t="s">
        <v>54894</v>
      </c>
      <c r="B2375" s="8" t="s">
        <v>55058</v>
      </c>
    </row>
    <row r="2376" spans="1:2" ht="14.5" x14ac:dyDescent="0.35">
      <c r="A2376" s="8" t="s">
        <v>54894</v>
      </c>
      <c r="B2376" s="8" t="s">
        <v>57912</v>
      </c>
    </row>
    <row r="2377" spans="1:2" ht="14.5" x14ac:dyDescent="0.35">
      <c r="A2377" s="8" t="s">
        <v>54894</v>
      </c>
      <c r="B2377" s="8" t="s">
        <v>57789</v>
      </c>
    </row>
    <row r="2378" spans="1:2" ht="14.5" x14ac:dyDescent="0.35">
      <c r="A2378" s="8" t="s">
        <v>54894</v>
      </c>
      <c r="B2378" s="8" t="s">
        <v>55924</v>
      </c>
    </row>
    <row r="2379" spans="1:2" ht="14.5" x14ac:dyDescent="0.35">
      <c r="A2379" s="8" t="s">
        <v>54894</v>
      </c>
      <c r="B2379" s="8" t="s">
        <v>56056</v>
      </c>
    </row>
    <row r="2380" spans="1:2" ht="14.5" x14ac:dyDescent="0.35">
      <c r="A2380" s="8" t="s">
        <v>54894</v>
      </c>
      <c r="B2380" s="8" t="s">
        <v>56468</v>
      </c>
    </row>
    <row r="2381" spans="1:2" ht="14.5" x14ac:dyDescent="0.35">
      <c r="A2381" s="8" t="s">
        <v>54894</v>
      </c>
      <c r="B2381" s="8" t="s">
        <v>58056</v>
      </c>
    </row>
    <row r="2382" spans="1:2" ht="14.5" x14ac:dyDescent="0.35">
      <c r="A2382" s="8" t="s">
        <v>54894</v>
      </c>
      <c r="B2382" s="8" t="s">
        <v>58057</v>
      </c>
    </row>
    <row r="2383" spans="1:2" ht="14.5" x14ac:dyDescent="0.35">
      <c r="A2383" s="8" t="s">
        <v>54894</v>
      </c>
      <c r="B2383" s="8" t="s">
        <v>56469</v>
      </c>
    </row>
    <row r="2384" spans="1:2" ht="14.5" x14ac:dyDescent="0.35">
      <c r="A2384" s="8" t="s">
        <v>54894</v>
      </c>
      <c r="B2384" s="8" t="s">
        <v>54901</v>
      </c>
    </row>
    <row r="2385" spans="1:2" ht="14.5" x14ac:dyDescent="0.35">
      <c r="A2385" s="8" t="s">
        <v>54894</v>
      </c>
      <c r="B2385" s="8" t="s">
        <v>57318</v>
      </c>
    </row>
    <row r="2386" spans="1:2" ht="14.5" x14ac:dyDescent="0.35">
      <c r="A2386" s="8" t="s">
        <v>54894</v>
      </c>
      <c r="B2386" s="8" t="s">
        <v>55759</v>
      </c>
    </row>
    <row r="2387" spans="1:2" ht="14.5" x14ac:dyDescent="0.35">
      <c r="A2387" s="8" t="s">
        <v>54894</v>
      </c>
      <c r="B2387" s="8" t="s">
        <v>55760</v>
      </c>
    </row>
    <row r="2388" spans="1:2" ht="14.5" x14ac:dyDescent="0.35">
      <c r="A2388" s="8" t="s">
        <v>54894</v>
      </c>
      <c r="B2388" s="8" t="s">
        <v>55761</v>
      </c>
    </row>
    <row r="2389" spans="1:2" ht="14.5" x14ac:dyDescent="0.35">
      <c r="A2389" s="8" t="s">
        <v>54894</v>
      </c>
      <c r="B2389" s="8" t="s">
        <v>56005</v>
      </c>
    </row>
    <row r="2390" spans="1:2" ht="14.5" x14ac:dyDescent="0.35">
      <c r="A2390" s="8" t="s">
        <v>54894</v>
      </c>
      <c r="B2390" s="8" t="s">
        <v>56674</v>
      </c>
    </row>
    <row r="2391" spans="1:2" ht="14.5" x14ac:dyDescent="0.35">
      <c r="A2391" s="8" t="s">
        <v>54894</v>
      </c>
      <c r="B2391" s="8" t="s">
        <v>55762</v>
      </c>
    </row>
    <row r="2392" spans="1:2" ht="14.5" x14ac:dyDescent="0.35">
      <c r="A2392" s="8" t="s">
        <v>54894</v>
      </c>
      <c r="B2392" s="8" t="s">
        <v>56729</v>
      </c>
    </row>
    <row r="2393" spans="1:2" ht="14.5" x14ac:dyDescent="0.35">
      <c r="A2393" s="8" t="s">
        <v>54894</v>
      </c>
      <c r="B2393" s="8" t="s">
        <v>56440</v>
      </c>
    </row>
    <row r="2394" spans="1:2" ht="14.5" x14ac:dyDescent="0.35">
      <c r="A2394" s="8" t="s">
        <v>54894</v>
      </c>
      <c r="B2394" s="8" t="s">
        <v>56730</v>
      </c>
    </row>
    <row r="2395" spans="1:2" ht="14.5" x14ac:dyDescent="0.35">
      <c r="A2395" s="8" t="s">
        <v>54894</v>
      </c>
      <c r="B2395" s="8" t="s">
        <v>55251</v>
      </c>
    </row>
    <row r="2396" spans="1:2" ht="14.5" x14ac:dyDescent="0.35">
      <c r="A2396" s="8" t="s">
        <v>54894</v>
      </c>
      <c r="B2396" s="8" t="s">
        <v>55252</v>
      </c>
    </row>
    <row r="2397" spans="1:2" ht="14.5" x14ac:dyDescent="0.35">
      <c r="A2397" s="8" t="s">
        <v>54894</v>
      </c>
      <c r="B2397" s="8" t="s">
        <v>55253</v>
      </c>
    </row>
    <row r="2398" spans="1:2" ht="14.5" x14ac:dyDescent="0.35">
      <c r="A2398" s="8" t="s">
        <v>54894</v>
      </c>
      <c r="B2398" s="8" t="s">
        <v>55254</v>
      </c>
    </row>
    <row r="2399" spans="1:2" ht="14.5" x14ac:dyDescent="0.35">
      <c r="A2399" s="8" t="s">
        <v>54894</v>
      </c>
      <c r="B2399" s="8" t="s">
        <v>56202</v>
      </c>
    </row>
    <row r="2400" spans="1:2" ht="14.5" x14ac:dyDescent="0.35">
      <c r="A2400" s="8" t="s">
        <v>54894</v>
      </c>
      <c r="B2400" s="8" t="s">
        <v>55504</v>
      </c>
    </row>
    <row r="2401" spans="1:2" ht="14.5" x14ac:dyDescent="0.35">
      <c r="A2401" s="8" t="s">
        <v>54894</v>
      </c>
      <c r="B2401" s="8" t="s">
        <v>55505</v>
      </c>
    </row>
    <row r="2402" spans="1:2" ht="14.5" x14ac:dyDescent="0.35">
      <c r="A2402" s="8" t="s">
        <v>54894</v>
      </c>
      <c r="B2402" s="8" t="s">
        <v>7133</v>
      </c>
    </row>
    <row r="2403" spans="1:2" ht="14.5" x14ac:dyDescent="0.35">
      <c r="A2403" s="8" t="s">
        <v>54894</v>
      </c>
      <c r="B2403" s="8" t="s">
        <v>58416</v>
      </c>
    </row>
    <row r="2404" spans="1:2" ht="14.5" x14ac:dyDescent="0.35">
      <c r="A2404" s="8" t="s">
        <v>54894</v>
      </c>
      <c r="B2404" s="8" t="s">
        <v>56731</v>
      </c>
    </row>
    <row r="2405" spans="1:2" ht="14.5" x14ac:dyDescent="0.35">
      <c r="A2405" s="8" t="s">
        <v>54894</v>
      </c>
      <c r="B2405" s="8" t="s">
        <v>57060</v>
      </c>
    </row>
    <row r="2406" spans="1:2" ht="14.5" x14ac:dyDescent="0.35">
      <c r="A2406" s="8" t="s">
        <v>54894</v>
      </c>
      <c r="B2406" s="8" t="s">
        <v>56648</v>
      </c>
    </row>
    <row r="2407" spans="1:2" ht="14.5" x14ac:dyDescent="0.35">
      <c r="A2407" s="8" t="s">
        <v>54894</v>
      </c>
      <c r="B2407" s="8" t="s">
        <v>57176</v>
      </c>
    </row>
    <row r="2408" spans="1:2" ht="14.5" x14ac:dyDescent="0.35">
      <c r="A2408" s="8" t="s">
        <v>54894</v>
      </c>
      <c r="B2408" s="8" t="s">
        <v>55654</v>
      </c>
    </row>
    <row r="2409" spans="1:2" ht="14.5" x14ac:dyDescent="0.35">
      <c r="A2409" s="8" t="s">
        <v>54894</v>
      </c>
      <c r="B2409" s="8" t="s">
        <v>55694</v>
      </c>
    </row>
    <row r="2410" spans="1:2" ht="14.5" x14ac:dyDescent="0.35">
      <c r="A2410" s="8" t="s">
        <v>54894</v>
      </c>
      <c r="B2410" s="8" t="s">
        <v>56170</v>
      </c>
    </row>
    <row r="2411" spans="1:2" ht="14.5" x14ac:dyDescent="0.35">
      <c r="A2411" s="8" t="s">
        <v>54894</v>
      </c>
      <c r="B2411" s="8" t="s">
        <v>55291</v>
      </c>
    </row>
    <row r="2412" spans="1:2" ht="14.5" x14ac:dyDescent="0.35">
      <c r="A2412" s="8" t="s">
        <v>54894</v>
      </c>
      <c r="B2412" s="8" t="s">
        <v>57724</v>
      </c>
    </row>
    <row r="2413" spans="1:2" ht="14.5" x14ac:dyDescent="0.35">
      <c r="A2413" s="8" t="s">
        <v>54894</v>
      </c>
      <c r="B2413" s="8" t="s">
        <v>56732</v>
      </c>
    </row>
    <row r="2414" spans="1:2" ht="14.5" x14ac:dyDescent="0.35">
      <c r="A2414" s="8" t="s">
        <v>54894</v>
      </c>
      <c r="B2414" s="8" t="s">
        <v>56733</v>
      </c>
    </row>
    <row r="2415" spans="1:2" ht="14.5" x14ac:dyDescent="0.35">
      <c r="A2415" s="8" t="s">
        <v>54894</v>
      </c>
      <c r="B2415" s="8" t="s">
        <v>55059</v>
      </c>
    </row>
    <row r="2416" spans="1:2" ht="14.5" x14ac:dyDescent="0.35">
      <c r="A2416" s="8" t="s">
        <v>54894</v>
      </c>
      <c r="B2416" s="8" t="s">
        <v>55060</v>
      </c>
    </row>
    <row r="2417" spans="1:2" ht="14.5" x14ac:dyDescent="0.35">
      <c r="A2417" s="8" t="s">
        <v>54894</v>
      </c>
      <c r="B2417" s="8" t="s">
        <v>55061</v>
      </c>
    </row>
    <row r="2418" spans="1:2" ht="14.5" x14ac:dyDescent="0.35">
      <c r="A2418" s="8" t="s">
        <v>54894</v>
      </c>
      <c r="B2418" s="8" t="s">
        <v>57913</v>
      </c>
    </row>
    <row r="2419" spans="1:2" ht="14.5" x14ac:dyDescent="0.35">
      <c r="A2419" s="8" t="s">
        <v>54894</v>
      </c>
      <c r="B2419" s="8" t="s">
        <v>55103</v>
      </c>
    </row>
    <row r="2420" spans="1:2" ht="14.5" x14ac:dyDescent="0.35">
      <c r="A2420" s="8" t="s">
        <v>54894</v>
      </c>
      <c r="B2420" s="8" t="s">
        <v>55103</v>
      </c>
    </row>
    <row r="2421" spans="1:2" ht="14.5" x14ac:dyDescent="0.35">
      <c r="A2421" s="8" t="s">
        <v>54894</v>
      </c>
      <c r="B2421" s="8" t="s">
        <v>56656</v>
      </c>
    </row>
    <row r="2422" spans="1:2" ht="14.5" x14ac:dyDescent="0.35">
      <c r="A2422" s="8" t="s">
        <v>54894</v>
      </c>
      <c r="B2422" s="8" t="s">
        <v>58169</v>
      </c>
    </row>
    <row r="2423" spans="1:2" ht="14.5" x14ac:dyDescent="0.35">
      <c r="A2423" s="8" t="s">
        <v>54894</v>
      </c>
      <c r="B2423" s="8" t="s">
        <v>56418</v>
      </c>
    </row>
    <row r="2424" spans="1:2" ht="14.5" x14ac:dyDescent="0.35">
      <c r="A2424" s="8" t="s">
        <v>54894</v>
      </c>
      <c r="B2424" s="8" t="s">
        <v>56419</v>
      </c>
    </row>
    <row r="2425" spans="1:2" ht="14.5" x14ac:dyDescent="0.35">
      <c r="A2425" s="8" t="s">
        <v>54894</v>
      </c>
      <c r="B2425" s="8" t="s">
        <v>57052</v>
      </c>
    </row>
    <row r="2426" spans="1:2" ht="14.5" x14ac:dyDescent="0.35">
      <c r="A2426" s="8" t="s">
        <v>54894</v>
      </c>
      <c r="B2426" s="8" t="s">
        <v>55567</v>
      </c>
    </row>
    <row r="2427" spans="1:2" ht="14.5" x14ac:dyDescent="0.35">
      <c r="A2427" s="8" t="s">
        <v>54894</v>
      </c>
      <c r="B2427" s="8" t="s">
        <v>57365</v>
      </c>
    </row>
    <row r="2428" spans="1:2" ht="14.5" x14ac:dyDescent="0.35">
      <c r="A2428" s="8" t="s">
        <v>54894</v>
      </c>
      <c r="B2428" s="8" t="s">
        <v>56382</v>
      </c>
    </row>
    <row r="2429" spans="1:2" ht="14.5" x14ac:dyDescent="0.35">
      <c r="A2429" s="8" t="s">
        <v>54894</v>
      </c>
      <c r="B2429" s="8" t="s">
        <v>55170</v>
      </c>
    </row>
    <row r="2430" spans="1:2" ht="14.5" x14ac:dyDescent="0.35">
      <c r="A2430" s="8" t="s">
        <v>54894</v>
      </c>
      <c r="B2430" s="8" t="s">
        <v>58058</v>
      </c>
    </row>
    <row r="2431" spans="1:2" ht="14.5" x14ac:dyDescent="0.35">
      <c r="A2431" s="8" t="s">
        <v>54894</v>
      </c>
      <c r="B2431" s="8" t="s">
        <v>6751</v>
      </c>
    </row>
    <row r="2432" spans="1:2" ht="14.5" x14ac:dyDescent="0.35">
      <c r="A2432" s="8" t="s">
        <v>54894</v>
      </c>
      <c r="B2432" s="8" t="s">
        <v>55298</v>
      </c>
    </row>
    <row r="2433" spans="1:2" ht="14.5" x14ac:dyDescent="0.35">
      <c r="A2433" s="8" t="s">
        <v>54894</v>
      </c>
      <c r="B2433" s="8" t="s">
        <v>56376</v>
      </c>
    </row>
    <row r="2434" spans="1:2" ht="14.5" x14ac:dyDescent="0.35">
      <c r="A2434" s="8" t="s">
        <v>54894</v>
      </c>
      <c r="B2434" s="8" t="s">
        <v>56165</v>
      </c>
    </row>
    <row r="2435" spans="1:2" ht="14.5" x14ac:dyDescent="0.35">
      <c r="A2435" s="8" t="s">
        <v>54894</v>
      </c>
      <c r="B2435" s="8" t="s">
        <v>57288</v>
      </c>
    </row>
    <row r="2436" spans="1:2" ht="14.5" x14ac:dyDescent="0.35">
      <c r="A2436" s="8" t="s">
        <v>54894</v>
      </c>
      <c r="B2436" s="8" t="s">
        <v>57535</v>
      </c>
    </row>
    <row r="2437" spans="1:2" ht="14.5" x14ac:dyDescent="0.35">
      <c r="A2437" s="8" t="s">
        <v>54894</v>
      </c>
      <c r="B2437" s="8" t="s">
        <v>57938</v>
      </c>
    </row>
    <row r="2438" spans="1:2" ht="14.5" x14ac:dyDescent="0.35">
      <c r="A2438" s="8" t="s">
        <v>54894</v>
      </c>
      <c r="B2438" s="8" t="s">
        <v>55890</v>
      </c>
    </row>
    <row r="2439" spans="1:2" ht="14.5" x14ac:dyDescent="0.35">
      <c r="A2439" s="8" t="s">
        <v>54894</v>
      </c>
      <c r="B2439" s="8" t="s">
        <v>57987</v>
      </c>
    </row>
    <row r="2440" spans="1:2" ht="14.5" x14ac:dyDescent="0.35">
      <c r="A2440" s="8" t="s">
        <v>54894</v>
      </c>
      <c r="B2440" s="8" t="s">
        <v>58059</v>
      </c>
    </row>
    <row r="2441" spans="1:2" ht="14.5" x14ac:dyDescent="0.35">
      <c r="A2441" s="8" t="s">
        <v>54894</v>
      </c>
      <c r="B2441" s="8" t="s">
        <v>56457</v>
      </c>
    </row>
    <row r="2442" spans="1:2" ht="14.5" x14ac:dyDescent="0.35">
      <c r="A2442" s="8" t="s">
        <v>54894</v>
      </c>
      <c r="B2442" s="8" t="s">
        <v>57759</v>
      </c>
    </row>
    <row r="2443" spans="1:2" ht="14.5" x14ac:dyDescent="0.35">
      <c r="A2443" s="8" t="s">
        <v>54894</v>
      </c>
      <c r="B2443" s="8" t="s">
        <v>58257</v>
      </c>
    </row>
    <row r="2444" spans="1:2" ht="14.5" x14ac:dyDescent="0.35">
      <c r="A2444" s="8" t="s">
        <v>54894</v>
      </c>
      <c r="B2444" s="8" t="s">
        <v>55484</v>
      </c>
    </row>
    <row r="2445" spans="1:2" ht="14.5" x14ac:dyDescent="0.35">
      <c r="A2445" s="8" t="s">
        <v>54894</v>
      </c>
      <c r="B2445" s="8" t="s">
        <v>55062</v>
      </c>
    </row>
    <row r="2446" spans="1:2" ht="14.5" x14ac:dyDescent="0.35">
      <c r="A2446" s="8" t="s">
        <v>54894</v>
      </c>
      <c r="B2446" s="8" t="s">
        <v>57760</v>
      </c>
    </row>
    <row r="2447" spans="1:2" ht="14.5" x14ac:dyDescent="0.35">
      <c r="A2447" s="8" t="s">
        <v>54894</v>
      </c>
      <c r="B2447" s="8" t="s">
        <v>57760</v>
      </c>
    </row>
    <row r="2448" spans="1:2" ht="14.5" x14ac:dyDescent="0.35">
      <c r="A2448" s="8" t="s">
        <v>54894</v>
      </c>
      <c r="B2448" s="8" t="s">
        <v>57760</v>
      </c>
    </row>
    <row r="2449" spans="1:2" ht="14.5" x14ac:dyDescent="0.35">
      <c r="A2449" s="8" t="s">
        <v>54894</v>
      </c>
      <c r="B2449" s="8" t="s">
        <v>57195</v>
      </c>
    </row>
    <row r="2450" spans="1:2" ht="14.5" x14ac:dyDescent="0.35">
      <c r="A2450" s="8" t="s">
        <v>54894</v>
      </c>
      <c r="B2450" s="8" t="s">
        <v>57195</v>
      </c>
    </row>
    <row r="2451" spans="1:2" ht="14.5" x14ac:dyDescent="0.35">
      <c r="A2451" s="8" t="s">
        <v>54894</v>
      </c>
      <c r="B2451" s="8" t="s">
        <v>55055</v>
      </c>
    </row>
    <row r="2452" spans="1:2" ht="14.5" x14ac:dyDescent="0.35">
      <c r="A2452" s="8" t="s">
        <v>54894</v>
      </c>
      <c r="B2452" s="8" t="s">
        <v>56540</v>
      </c>
    </row>
    <row r="2453" spans="1:2" ht="14.5" x14ac:dyDescent="0.35">
      <c r="A2453" s="8" t="s">
        <v>54894</v>
      </c>
      <c r="B2453" s="8" t="s">
        <v>56541</v>
      </c>
    </row>
    <row r="2454" spans="1:2" ht="14.5" x14ac:dyDescent="0.35">
      <c r="A2454" s="8" t="s">
        <v>54894</v>
      </c>
      <c r="B2454" s="8" t="s">
        <v>55432</v>
      </c>
    </row>
    <row r="2455" spans="1:2" ht="14.5" x14ac:dyDescent="0.35">
      <c r="A2455" s="8" t="s">
        <v>54894</v>
      </c>
      <c r="B2455" s="8" t="s">
        <v>55449</v>
      </c>
    </row>
    <row r="2456" spans="1:2" ht="14.5" x14ac:dyDescent="0.35">
      <c r="A2456" s="8" t="s">
        <v>54894</v>
      </c>
      <c r="B2456" s="8" t="s">
        <v>55398</v>
      </c>
    </row>
    <row r="2457" spans="1:2" ht="14.5" x14ac:dyDescent="0.35">
      <c r="A2457" s="8" t="s">
        <v>54894</v>
      </c>
      <c r="B2457" s="8" t="s">
        <v>55325</v>
      </c>
    </row>
    <row r="2458" spans="1:2" ht="14.5" x14ac:dyDescent="0.35">
      <c r="A2458" s="8" t="s">
        <v>54894</v>
      </c>
      <c r="B2458" s="8" t="s">
        <v>55320</v>
      </c>
    </row>
    <row r="2459" spans="1:2" ht="14.5" x14ac:dyDescent="0.35">
      <c r="A2459" s="8" t="s">
        <v>54894</v>
      </c>
      <c r="B2459" s="8" t="s">
        <v>55424</v>
      </c>
    </row>
    <row r="2460" spans="1:2" ht="14.5" x14ac:dyDescent="0.35">
      <c r="A2460" s="8" t="s">
        <v>54894</v>
      </c>
      <c r="B2460" s="8" t="s">
        <v>55418</v>
      </c>
    </row>
    <row r="2461" spans="1:2" ht="14.5" x14ac:dyDescent="0.35">
      <c r="A2461" s="8" t="s">
        <v>54894</v>
      </c>
      <c r="B2461" s="8" t="s">
        <v>55330</v>
      </c>
    </row>
    <row r="2462" spans="1:2" ht="14.5" x14ac:dyDescent="0.35">
      <c r="A2462" s="8" t="s">
        <v>54894</v>
      </c>
      <c r="B2462" s="8" t="s">
        <v>55399</v>
      </c>
    </row>
    <row r="2463" spans="1:2" ht="14.5" x14ac:dyDescent="0.35">
      <c r="A2463" s="8" t="s">
        <v>54894</v>
      </c>
      <c r="B2463" s="8" t="s">
        <v>55347</v>
      </c>
    </row>
    <row r="2464" spans="1:2" ht="14.5" x14ac:dyDescent="0.35">
      <c r="A2464" s="8" t="s">
        <v>54894</v>
      </c>
      <c r="B2464" s="8" t="s">
        <v>55439</v>
      </c>
    </row>
    <row r="2465" spans="1:2" ht="14.5" x14ac:dyDescent="0.35">
      <c r="A2465" s="8" t="s">
        <v>54894</v>
      </c>
      <c r="B2465" s="8" t="s">
        <v>55433</v>
      </c>
    </row>
    <row r="2466" spans="1:2" ht="14.5" x14ac:dyDescent="0.35">
      <c r="A2466" s="8" t="s">
        <v>54894</v>
      </c>
      <c r="B2466" s="8" t="s">
        <v>55321</v>
      </c>
    </row>
    <row r="2467" spans="1:2" ht="14.5" x14ac:dyDescent="0.35">
      <c r="A2467" s="8" t="s">
        <v>54894</v>
      </c>
      <c r="B2467" s="8" t="s">
        <v>55450</v>
      </c>
    </row>
    <row r="2468" spans="1:2" ht="14.5" x14ac:dyDescent="0.35">
      <c r="A2468" s="8" t="s">
        <v>54894</v>
      </c>
      <c r="B2468" s="8" t="s">
        <v>55400</v>
      </c>
    </row>
    <row r="2469" spans="1:2" ht="14.5" x14ac:dyDescent="0.35">
      <c r="A2469" s="8" t="s">
        <v>54894</v>
      </c>
      <c r="B2469" s="8" t="s">
        <v>55326</v>
      </c>
    </row>
    <row r="2470" spans="1:2" ht="14.5" x14ac:dyDescent="0.35">
      <c r="A2470" s="8" t="s">
        <v>54894</v>
      </c>
      <c r="B2470" s="8" t="s">
        <v>55331</v>
      </c>
    </row>
    <row r="2471" spans="1:2" ht="14.5" x14ac:dyDescent="0.35">
      <c r="A2471" s="8" t="s">
        <v>54894</v>
      </c>
      <c r="B2471" s="8" t="s">
        <v>55425</v>
      </c>
    </row>
    <row r="2472" spans="1:2" ht="14.5" x14ac:dyDescent="0.35">
      <c r="A2472" s="8" t="s">
        <v>54894</v>
      </c>
      <c r="B2472" s="8" t="s">
        <v>55419</v>
      </c>
    </row>
    <row r="2473" spans="1:2" ht="14.5" x14ac:dyDescent="0.35">
      <c r="A2473" s="8" t="s">
        <v>54894</v>
      </c>
      <c r="B2473" s="8" t="s">
        <v>55332</v>
      </c>
    </row>
    <row r="2474" spans="1:2" ht="14.5" x14ac:dyDescent="0.35">
      <c r="A2474" s="8" t="s">
        <v>54894</v>
      </c>
      <c r="B2474" s="8" t="s">
        <v>55401</v>
      </c>
    </row>
    <row r="2475" spans="1:2" ht="14.5" x14ac:dyDescent="0.35">
      <c r="A2475" s="8" t="s">
        <v>54894</v>
      </c>
      <c r="B2475" s="8" t="s">
        <v>55348</v>
      </c>
    </row>
    <row r="2476" spans="1:2" ht="14.5" x14ac:dyDescent="0.35">
      <c r="A2476" s="8" t="s">
        <v>54894</v>
      </c>
      <c r="B2476" s="8" t="s">
        <v>55440</v>
      </c>
    </row>
    <row r="2477" spans="1:2" ht="14.5" x14ac:dyDescent="0.35">
      <c r="A2477" s="8" t="s">
        <v>54894</v>
      </c>
      <c r="B2477" s="8" t="s">
        <v>55434</v>
      </c>
    </row>
    <row r="2478" spans="1:2" ht="14.5" x14ac:dyDescent="0.35">
      <c r="A2478" s="8" t="s">
        <v>54894</v>
      </c>
      <c r="B2478" s="8" t="s">
        <v>55327</v>
      </c>
    </row>
    <row r="2479" spans="1:2" ht="14.5" x14ac:dyDescent="0.35">
      <c r="A2479" s="8" t="s">
        <v>54894</v>
      </c>
      <c r="B2479" s="8" t="s">
        <v>55426</v>
      </c>
    </row>
    <row r="2480" spans="1:2" ht="14.5" x14ac:dyDescent="0.35">
      <c r="A2480" s="8" t="s">
        <v>54894</v>
      </c>
      <c r="B2480" s="8" t="s">
        <v>55333</v>
      </c>
    </row>
    <row r="2481" spans="1:2" ht="14.5" x14ac:dyDescent="0.35">
      <c r="A2481" s="8" t="s">
        <v>54894</v>
      </c>
      <c r="B2481" s="8" t="s">
        <v>55349</v>
      </c>
    </row>
    <row r="2482" spans="1:2" ht="14.5" x14ac:dyDescent="0.35">
      <c r="A2482" s="8" t="s">
        <v>54894</v>
      </c>
      <c r="B2482" s="8" t="s">
        <v>55334</v>
      </c>
    </row>
    <row r="2483" spans="1:2" ht="14.5" x14ac:dyDescent="0.35">
      <c r="A2483" s="8" t="s">
        <v>54894</v>
      </c>
      <c r="B2483" s="8" t="s">
        <v>55350</v>
      </c>
    </row>
    <row r="2484" spans="1:2" ht="14.5" x14ac:dyDescent="0.35">
      <c r="A2484" s="8" t="s">
        <v>54894</v>
      </c>
      <c r="B2484" s="8" t="s">
        <v>55451</v>
      </c>
    </row>
    <row r="2485" spans="1:2" ht="14.5" x14ac:dyDescent="0.35">
      <c r="A2485" s="8" t="s">
        <v>54894</v>
      </c>
      <c r="B2485" s="8" t="s">
        <v>55441</v>
      </c>
    </row>
    <row r="2486" spans="1:2" ht="14.5" x14ac:dyDescent="0.35">
      <c r="A2486" s="8" t="s">
        <v>54894</v>
      </c>
      <c r="B2486" s="8" t="s">
        <v>55402</v>
      </c>
    </row>
    <row r="2487" spans="1:2" ht="14.5" x14ac:dyDescent="0.35">
      <c r="A2487" s="8" t="s">
        <v>54894</v>
      </c>
      <c r="B2487" s="8" t="s">
        <v>55322</v>
      </c>
    </row>
    <row r="2488" spans="1:2" ht="14.5" x14ac:dyDescent="0.35">
      <c r="A2488" s="8" t="s">
        <v>54894</v>
      </c>
      <c r="B2488" s="8" t="s">
        <v>55323</v>
      </c>
    </row>
    <row r="2489" spans="1:2" ht="14.5" x14ac:dyDescent="0.35">
      <c r="A2489" s="8" t="s">
        <v>54894</v>
      </c>
      <c r="B2489" s="8" t="s">
        <v>55452</v>
      </c>
    </row>
    <row r="2490" spans="1:2" ht="14.5" x14ac:dyDescent="0.35">
      <c r="A2490" s="8" t="s">
        <v>54894</v>
      </c>
      <c r="B2490" s="8" t="s">
        <v>55328</v>
      </c>
    </row>
    <row r="2491" spans="1:2" ht="14.5" x14ac:dyDescent="0.35">
      <c r="A2491" s="8" t="s">
        <v>54894</v>
      </c>
      <c r="B2491" s="8" t="s">
        <v>55329</v>
      </c>
    </row>
    <row r="2492" spans="1:2" ht="14.5" x14ac:dyDescent="0.35">
      <c r="A2492" s="8" t="s">
        <v>54894</v>
      </c>
      <c r="B2492" s="8" t="s">
        <v>55403</v>
      </c>
    </row>
    <row r="2493" spans="1:2" ht="14.5" x14ac:dyDescent="0.35">
      <c r="A2493" s="8" t="s">
        <v>54894</v>
      </c>
      <c r="B2493" s="8" t="s">
        <v>55404</v>
      </c>
    </row>
    <row r="2494" spans="1:2" ht="14.5" x14ac:dyDescent="0.35">
      <c r="A2494" s="8" t="s">
        <v>54894</v>
      </c>
      <c r="B2494" s="8" t="s">
        <v>55442</v>
      </c>
    </row>
    <row r="2495" spans="1:2" ht="14.5" x14ac:dyDescent="0.35">
      <c r="A2495" s="8" t="s">
        <v>54894</v>
      </c>
      <c r="B2495" s="8" t="s">
        <v>55405</v>
      </c>
    </row>
    <row r="2496" spans="1:2" ht="14.5" x14ac:dyDescent="0.35">
      <c r="A2496" s="8" t="s">
        <v>54894</v>
      </c>
      <c r="B2496" s="8" t="s">
        <v>55453</v>
      </c>
    </row>
    <row r="2497" spans="1:2" ht="14.5" x14ac:dyDescent="0.35">
      <c r="A2497" s="8" t="s">
        <v>54894</v>
      </c>
      <c r="B2497" s="8" t="s">
        <v>55435</v>
      </c>
    </row>
    <row r="2498" spans="1:2" ht="14.5" x14ac:dyDescent="0.35">
      <c r="A2498" s="8" t="s">
        <v>54894</v>
      </c>
      <c r="B2498" s="8" t="s">
        <v>55420</v>
      </c>
    </row>
    <row r="2499" spans="1:2" ht="14.5" x14ac:dyDescent="0.35">
      <c r="A2499" s="8" t="s">
        <v>54894</v>
      </c>
      <c r="B2499" s="8" t="s">
        <v>55454</v>
      </c>
    </row>
    <row r="2500" spans="1:2" ht="14.5" x14ac:dyDescent="0.35">
      <c r="A2500" s="8" t="s">
        <v>54894</v>
      </c>
      <c r="B2500" s="8" t="s">
        <v>55427</v>
      </c>
    </row>
    <row r="2501" spans="1:2" ht="14.5" x14ac:dyDescent="0.35">
      <c r="A2501" s="8" t="s">
        <v>54894</v>
      </c>
      <c r="B2501" s="8" t="s">
        <v>55428</v>
      </c>
    </row>
    <row r="2502" spans="1:2" ht="14.5" x14ac:dyDescent="0.35">
      <c r="A2502" s="8" t="s">
        <v>54894</v>
      </c>
      <c r="B2502" s="8" t="s">
        <v>55324</v>
      </c>
    </row>
    <row r="2503" spans="1:2" ht="14.5" x14ac:dyDescent="0.35">
      <c r="A2503" s="8" t="s">
        <v>54894</v>
      </c>
      <c r="B2503" s="8" t="s">
        <v>55406</v>
      </c>
    </row>
    <row r="2504" spans="1:2" ht="14.5" x14ac:dyDescent="0.35">
      <c r="A2504" s="8" t="s">
        <v>54894</v>
      </c>
      <c r="B2504" s="8" t="s">
        <v>55407</v>
      </c>
    </row>
    <row r="2505" spans="1:2" ht="14.5" x14ac:dyDescent="0.35">
      <c r="A2505" s="8" t="s">
        <v>54894</v>
      </c>
      <c r="B2505" s="8" t="s">
        <v>55436</v>
      </c>
    </row>
    <row r="2506" spans="1:2" ht="14.5" x14ac:dyDescent="0.35">
      <c r="A2506" s="8" t="s">
        <v>54894</v>
      </c>
      <c r="B2506" s="8" t="s">
        <v>55429</v>
      </c>
    </row>
    <row r="2507" spans="1:2" ht="14.5" x14ac:dyDescent="0.35">
      <c r="A2507" s="8" t="s">
        <v>54894</v>
      </c>
      <c r="B2507" s="8" t="s">
        <v>55408</v>
      </c>
    </row>
    <row r="2508" spans="1:2" ht="14.5" x14ac:dyDescent="0.35">
      <c r="A2508" s="8" t="s">
        <v>54894</v>
      </c>
      <c r="B2508" s="8" t="s">
        <v>55409</v>
      </c>
    </row>
    <row r="2509" spans="1:2" ht="14.5" x14ac:dyDescent="0.35">
      <c r="A2509" s="8" t="s">
        <v>54894</v>
      </c>
      <c r="B2509" s="8" t="s">
        <v>55410</v>
      </c>
    </row>
    <row r="2510" spans="1:2" ht="14.5" x14ac:dyDescent="0.35">
      <c r="A2510" s="8" t="s">
        <v>54894</v>
      </c>
      <c r="B2510" s="8" t="s">
        <v>56020</v>
      </c>
    </row>
    <row r="2511" spans="1:2" ht="14.5" x14ac:dyDescent="0.35">
      <c r="A2511" s="8" t="s">
        <v>54894</v>
      </c>
      <c r="B2511" s="8" t="s">
        <v>56021</v>
      </c>
    </row>
    <row r="2512" spans="1:2" ht="14.5" x14ac:dyDescent="0.35">
      <c r="A2512" s="8" t="s">
        <v>54894</v>
      </c>
      <c r="B2512" s="8" t="s">
        <v>56022</v>
      </c>
    </row>
    <row r="2513" spans="1:2" ht="14.5" x14ac:dyDescent="0.35">
      <c r="A2513" s="8" t="s">
        <v>54894</v>
      </c>
      <c r="B2513" s="8" t="s">
        <v>56023</v>
      </c>
    </row>
    <row r="2514" spans="1:2" ht="14.5" x14ac:dyDescent="0.35">
      <c r="A2514" s="8" t="s">
        <v>54894</v>
      </c>
      <c r="B2514" s="8" t="s">
        <v>55316</v>
      </c>
    </row>
    <row r="2515" spans="1:2" ht="14.5" x14ac:dyDescent="0.35">
      <c r="A2515" s="8" t="s">
        <v>54894</v>
      </c>
      <c r="B2515" s="8" t="s">
        <v>57578</v>
      </c>
    </row>
    <row r="2516" spans="1:2" ht="14.5" x14ac:dyDescent="0.35">
      <c r="A2516" s="8" t="s">
        <v>54894</v>
      </c>
      <c r="B2516" s="8" t="s">
        <v>57061</v>
      </c>
    </row>
    <row r="2517" spans="1:2" ht="14.5" x14ac:dyDescent="0.35">
      <c r="A2517" s="8" t="s">
        <v>54894</v>
      </c>
      <c r="B2517" s="8" t="s">
        <v>56689</v>
      </c>
    </row>
    <row r="2518" spans="1:2" ht="14.5" x14ac:dyDescent="0.35">
      <c r="A2518" s="8" t="s">
        <v>54894</v>
      </c>
      <c r="B2518" s="8" t="s">
        <v>56974</v>
      </c>
    </row>
    <row r="2519" spans="1:2" ht="14.5" x14ac:dyDescent="0.35">
      <c r="A2519" s="8" t="s">
        <v>54894</v>
      </c>
      <c r="B2519" s="8" t="s">
        <v>58060</v>
      </c>
    </row>
    <row r="2520" spans="1:2" ht="14.5" x14ac:dyDescent="0.35">
      <c r="A2520" s="8" t="s">
        <v>54894</v>
      </c>
      <c r="B2520" s="8" t="s">
        <v>57337</v>
      </c>
    </row>
    <row r="2521" spans="1:2" ht="14.5" x14ac:dyDescent="0.35">
      <c r="A2521" s="8" t="s">
        <v>54894</v>
      </c>
      <c r="B2521" s="8" t="s">
        <v>57166</v>
      </c>
    </row>
    <row r="2522" spans="1:2" ht="14.5" x14ac:dyDescent="0.35">
      <c r="A2522" s="8" t="s">
        <v>54894</v>
      </c>
      <c r="B2522" s="8" t="s">
        <v>55314</v>
      </c>
    </row>
    <row r="2523" spans="1:2" ht="14.5" x14ac:dyDescent="0.35">
      <c r="A2523" s="8" t="s">
        <v>54894</v>
      </c>
      <c r="B2523" s="8" t="s">
        <v>57507</v>
      </c>
    </row>
    <row r="2524" spans="1:2" ht="14.5" x14ac:dyDescent="0.35">
      <c r="A2524" s="8" t="s">
        <v>54894</v>
      </c>
      <c r="B2524" s="8" t="s">
        <v>57890</v>
      </c>
    </row>
    <row r="2525" spans="1:2" ht="14.5" x14ac:dyDescent="0.35">
      <c r="A2525" s="8" t="s">
        <v>54894</v>
      </c>
      <c r="B2525" s="8" t="s">
        <v>55698</v>
      </c>
    </row>
    <row r="2526" spans="1:2" ht="14.5" x14ac:dyDescent="0.35">
      <c r="A2526" s="8" t="s">
        <v>54894</v>
      </c>
      <c r="B2526" s="8" t="s">
        <v>56166</v>
      </c>
    </row>
    <row r="2527" spans="1:2" ht="14.5" x14ac:dyDescent="0.35">
      <c r="A2527" s="8" t="s">
        <v>54894</v>
      </c>
      <c r="B2527" s="8" t="s">
        <v>57975</v>
      </c>
    </row>
    <row r="2528" spans="1:2" ht="14.5" x14ac:dyDescent="0.35">
      <c r="A2528" s="8" t="s">
        <v>54894</v>
      </c>
      <c r="B2528" s="8" t="s">
        <v>55265</v>
      </c>
    </row>
    <row r="2529" spans="1:2" ht="14.5" x14ac:dyDescent="0.35">
      <c r="A2529" s="8" t="s">
        <v>54894</v>
      </c>
      <c r="B2529" s="8" t="s">
        <v>55763</v>
      </c>
    </row>
    <row r="2530" spans="1:2" ht="14.5" x14ac:dyDescent="0.35">
      <c r="A2530" s="8" t="s">
        <v>54894</v>
      </c>
      <c r="B2530" s="8" t="s">
        <v>56734</v>
      </c>
    </row>
    <row r="2531" spans="1:2" ht="14.5" x14ac:dyDescent="0.35">
      <c r="A2531" s="8" t="s">
        <v>54894</v>
      </c>
      <c r="B2531" s="8" t="s">
        <v>56735</v>
      </c>
    </row>
    <row r="2532" spans="1:2" ht="14.5" x14ac:dyDescent="0.35">
      <c r="A2532" s="8" t="s">
        <v>54894</v>
      </c>
      <c r="B2532" s="8" t="s">
        <v>56736</v>
      </c>
    </row>
    <row r="2533" spans="1:2" ht="14.5" x14ac:dyDescent="0.35">
      <c r="A2533" s="8" t="s">
        <v>54894</v>
      </c>
      <c r="B2533" s="8" t="s">
        <v>55700</v>
      </c>
    </row>
    <row r="2534" spans="1:2" ht="14.5" x14ac:dyDescent="0.35">
      <c r="A2534" s="8" t="s">
        <v>54894</v>
      </c>
      <c r="B2534" s="8" t="s">
        <v>58170</v>
      </c>
    </row>
    <row r="2535" spans="1:2" ht="14.5" x14ac:dyDescent="0.35">
      <c r="A2535" s="8" t="s">
        <v>54894</v>
      </c>
      <c r="B2535" s="8" t="s">
        <v>57355</v>
      </c>
    </row>
    <row r="2536" spans="1:2" ht="14.5" x14ac:dyDescent="0.35">
      <c r="A2536" s="8" t="s">
        <v>54894</v>
      </c>
      <c r="B2536" s="8" t="s">
        <v>55351</v>
      </c>
    </row>
    <row r="2537" spans="1:2" ht="14.5" x14ac:dyDescent="0.35">
      <c r="A2537" s="8" t="s">
        <v>54894</v>
      </c>
      <c r="B2537" s="8" t="s">
        <v>55352</v>
      </c>
    </row>
    <row r="2538" spans="1:2" ht="14.5" x14ac:dyDescent="0.35">
      <c r="A2538" s="8" t="s">
        <v>54894</v>
      </c>
      <c r="B2538" s="8" t="s">
        <v>55353</v>
      </c>
    </row>
    <row r="2539" spans="1:2" ht="14.5" x14ac:dyDescent="0.35">
      <c r="A2539" s="8" t="s">
        <v>54894</v>
      </c>
      <c r="B2539" s="8" t="s">
        <v>55354</v>
      </c>
    </row>
    <row r="2540" spans="1:2" ht="14.5" x14ac:dyDescent="0.35">
      <c r="A2540" s="8" t="s">
        <v>54894</v>
      </c>
      <c r="B2540" s="8" t="s">
        <v>55035</v>
      </c>
    </row>
    <row r="2541" spans="1:2" ht="14.5" x14ac:dyDescent="0.35">
      <c r="A2541" s="8" t="s">
        <v>54894</v>
      </c>
      <c r="B2541" s="8" t="s">
        <v>57225</v>
      </c>
    </row>
    <row r="2542" spans="1:2" ht="14.5" x14ac:dyDescent="0.35">
      <c r="A2542" s="8" t="s">
        <v>54894</v>
      </c>
      <c r="B2542" s="8" t="s">
        <v>57226</v>
      </c>
    </row>
    <row r="2543" spans="1:2" ht="14.5" x14ac:dyDescent="0.35">
      <c r="A2543" s="8" t="s">
        <v>54894</v>
      </c>
      <c r="B2543" s="8" t="s">
        <v>58418</v>
      </c>
    </row>
    <row r="2544" spans="1:2" ht="14.5" x14ac:dyDescent="0.35">
      <c r="A2544" s="8" t="s">
        <v>54894</v>
      </c>
      <c r="B2544" s="8" t="s">
        <v>57939</v>
      </c>
    </row>
    <row r="2545" spans="1:2" ht="14.5" x14ac:dyDescent="0.35">
      <c r="A2545" s="8" t="s">
        <v>54894</v>
      </c>
      <c r="B2545" s="8" t="s">
        <v>57273</v>
      </c>
    </row>
    <row r="2546" spans="1:2" ht="14.5" x14ac:dyDescent="0.35">
      <c r="A2546" s="8" t="s">
        <v>54894</v>
      </c>
      <c r="B2546" s="8" t="s">
        <v>57273</v>
      </c>
    </row>
    <row r="2547" spans="1:2" ht="14.5" x14ac:dyDescent="0.35">
      <c r="A2547" s="8" t="s">
        <v>54894</v>
      </c>
      <c r="B2547" s="8" t="s">
        <v>57273</v>
      </c>
    </row>
    <row r="2548" spans="1:2" ht="14.5" x14ac:dyDescent="0.35">
      <c r="A2548" s="8" t="s">
        <v>54894</v>
      </c>
      <c r="B2548" s="8" t="s">
        <v>57273</v>
      </c>
    </row>
    <row r="2549" spans="1:2" ht="14.5" x14ac:dyDescent="0.35">
      <c r="A2549" s="8" t="s">
        <v>54894</v>
      </c>
      <c r="B2549" s="8" t="s">
        <v>58269</v>
      </c>
    </row>
    <row r="2550" spans="1:2" ht="14.5" x14ac:dyDescent="0.35">
      <c r="A2550" s="8" t="s">
        <v>54894</v>
      </c>
      <c r="B2550" s="8" t="s">
        <v>55603</v>
      </c>
    </row>
    <row r="2551" spans="1:2" ht="14.5" x14ac:dyDescent="0.35">
      <c r="A2551" s="8" t="s">
        <v>54894</v>
      </c>
      <c r="B2551" s="8" t="s">
        <v>55288</v>
      </c>
    </row>
    <row r="2552" spans="1:2" ht="14.5" x14ac:dyDescent="0.35">
      <c r="A2552" s="8" t="s">
        <v>54894</v>
      </c>
      <c r="B2552" s="8" t="s">
        <v>55294</v>
      </c>
    </row>
    <row r="2553" spans="1:2" ht="14.5" x14ac:dyDescent="0.35">
      <c r="A2553" s="8" t="s">
        <v>54894</v>
      </c>
      <c r="B2553" s="8" t="s">
        <v>56526</v>
      </c>
    </row>
    <row r="2554" spans="1:2" ht="14.5" x14ac:dyDescent="0.35">
      <c r="A2554" s="8" t="s">
        <v>54894</v>
      </c>
      <c r="B2554" s="8" t="s">
        <v>57667</v>
      </c>
    </row>
    <row r="2555" spans="1:2" ht="14.5" x14ac:dyDescent="0.35">
      <c r="A2555" s="8" t="s">
        <v>54894</v>
      </c>
      <c r="B2555" s="8" t="s">
        <v>57795</v>
      </c>
    </row>
    <row r="2556" spans="1:2" ht="14.5" x14ac:dyDescent="0.35">
      <c r="A2556" s="8" t="s">
        <v>54894</v>
      </c>
      <c r="B2556" s="8" t="s">
        <v>56635</v>
      </c>
    </row>
    <row r="2557" spans="1:2" ht="14.5" x14ac:dyDescent="0.35">
      <c r="A2557" s="8" t="s">
        <v>54894</v>
      </c>
      <c r="B2557" s="8" t="s">
        <v>55112</v>
      </c>
    </row>
    <row r="2558" spans="1:2" ht="14.5" x14ac:dyDescent="0.35">
      <c r="A2558" s="8" t="s">
        <v>54894</v>
      </c>
      <c r="B2558" s="8" t="s">
        <v>56057</v>
      </c>
    </row>
    <row r="2559" spans="1:2" ht="14.5" x14ac:dyDescent="0.35">
      <c r="A2559" s="8" t="s">
        <v>54894</v>
      </c>
      <c r="B2559" s="8" t="s">
        <v>56737</v>
      </c>
    </row>
    <row r="2560" spans="1:2" ht="14.5" x14ac:dyDescent="0.35">
      <c r="A2560" s="8" t="s">
        <v>54894</v>
      </c>
      <c r="B2560" s="8" t="s">
        <v>56738</v>
      </c>
    </row>
    <row r="2561" spans="1:2" ht="14.5" x14ac:dyDescent="0.35">
      <c r="A2561" s="8" t="s">
        <v>54894</v>
      </c>
      <c r="B2561" s="8" t="s">
        <v>55210</v>
      </c>
    </row>
    <row r="2562" spans="1:2" ht="14.5" x14ac:dyDescent="0.35">
      <c r="A2562" s="8" t="s">
        <v>54894</v>
      </c>
      <c r="B2562" s="8" t="s">
        <v>57579</v>
      </c>
    </row>
    <row r="2563" spans="1:2" ht="14.5" x14ac:dyDescent="0.35">
      <c r="A2563" s="8" t="s">
        <v>54894</v>
      </c>
      <c r="B2563" s="8" t="s">
        <v>55549</v>
      </c>
    </row>
    <row r="2564" spans="1:2" ht="14.5" x14ac:dyDescent="0.35">
      <c r="A2564" s="8" t="s">
        <v>54894</v>
      </c>
      <c r="B2564" s="8" t="s">
        <v>54441</v>
      </c>
    </row>
    <row r="2565" spans="1:2" ht="14.5" x14ac:dyDescent="0.35">
      <c r="A2565" s="8" t="s">
        <v>54894</v>
      </c>
      <c r="B2565" s="8" t="s">
        <v>55612</v>
      </c>
    </row>
    <row r="2566" spans="1:2" ht="14.5" x14ac:dyDescent="0.35">
      <c r="A2566" s="8" t="s">
        <v>54894</v>
      </c>
      <c r="B2566" s="8" t="s">
        <v>55613</v>
      </c>
    </row>
    <row r="2567" spans="1:2" ht="14.5" x14ac:dyDescent="0.35">
      <c r="A2567" s="8" t="s">
        <v>54894</v>
      </c>
      <c r="B2567" s="8" t="s">
        <v>57684</v>
      </c>
    </row>
    <row r="2568" spans="1:2" ht="14.5" x14ac:dyDescent="0.35">
      <c r="A2568" s="8" t="s">
        <v>54894</v>
      </c>
      <c r="B2568" s="8" t="s">
        <v>56439</v>
      </c>
    </row>
    <row r="2569" spans="1:2" ht="14.5" x14ac:dyDescent="0.35">
      <c r="A2569" s="8" t="s">
        <v>54894</v>
      </c>
      <c r="B2569" s="8" t="s">
        <v>57062</v>
      </c>
    </row>
    <row r="2570" spans="1:2" ht="14.5" x14ac:dyDescent="0.35">
      <c r="A2570" s="8" t="s">
        <v>54894</v>
      </c>
      <c r="B2570" s="8" t="s">
        <v>55219</v>
      </c>
    </row>
    <row r="2571" spans="1:2" ht="14.5" x14ac:dyDescent="0.35">
      <c r="A2571" s="8" t="s">
        <v>54894</v>
      </c>
      <c r="B2571" s="8" t="s">
        <v>57866</v>
      </c>
    </row>
    <row r="2572" spans="1:2" ht="14.5" x14ac:dyDescent="0.35">
      <c r="A2572" s="8" t="s">
        <v>54894</v>
      </c>
      <c r="B2572" s="8" t="s">
        <v>55538</v>
      </c>
    </row>
    <row r="2573" spans="1:2" ht="14.5" x14ac:dyDescent="0.35">
      <c r="A2573" s="8" t="s">
        <v>54894</v>
      </c>
      <c r="B2573" s="8" t="s">
        <v>55909</v>
      </c>
    </row>
    <row r="2574" spans="1:2" ht="14.5" x14ac:dyDescent="0.35">
      <c r="A2574" s="8" t="s">
        <v>54894</v>
      </c>
      <c r="B2574" s="8" t="s">
        <v>57580</v>
      </c>
    </row>
    <row r="2575" spans="1:2" ht="14.5" x14ac:dyDescent="0.35">
      <c r="A2575" s="8" t="s">
        <v>54894</v>
      </c>
      <c r="B2575" s="8" t="s">
        <v>58392</v>
      </c>
    </row>
    <row r="2576" spans="1:2" ht="14.5" x14ac:dyDescent="0.35">
      <c r="A2576" s="8" t="s">
        <v>54894</v>
      </c>
      <c r="B2576" s="8" t="s">
        <v>57940</v>
      </c>
    </row>
    <row r="2577" spans="1:2" ht="14.5" x14ac:dyDescent="0.35">
      <c r="A2577" s="8" t="s">
        <v>54894</v>
      </c>
      <c r="B2577" s="8" t="s">
        <v>58393</v>
      </c>
    </row>
    <row r="2578" spans="1:2" ht="14.5" x14ac:dyDescent="0.35">
      <c r="A2578" s="8" t="s">
        <v>54894</v>
      </c>
      <c r="B2578" s="8" t="s">
        <v>56058</v>
      </c>
    </row>
    <row r="2579" spans="1:2" ht="14.5" x14ac:dyDescent="0.35">
      <c r="A2579" s="8" t="s">
        <v>54894</v>
      </c>
      <c r="B2579" s="8" t="s">
        <v>57262</v>
      </c>
    </row>
    <row r="2580" spans="1:2" ht="14.5" x14ac:dyDescent="0.35">
      <c r="A2580" s="8" t="s">
        <v>54894</v>
      </c>
      <c r="B2580" s="8" t="s">
        <v>55692</v>
      </c>
    </row>
    <row r="2581" spans="1:2" ht="14.5" x14ac:dyDescent="0.35">
      <c r="A2581" s="8" t="s">
        <v>54894</v>
      </c>
      <c r="B2581" s="8" t="s">
        <v>57290</v>
      </c>
    </row>
    <row r="2582" spans="1:2" ht="14.5" x14ac:dyDescent="0.35">
      <c r="A2582" s="8" t="s">
        <v>54894</v>
      </c>
      <c r="B2582" s="8" t="s">
        <v>55972</v>
      </c>
    </row>
    <row r="2583" spans="1:2" ht="14.5" x14ac:dyDescent="0.35">
      <c r="A2583" s="8" t="s">
        <v>54894</v>
      </c>
      <c r="B2583" s="8" t="s">
        <v>55437</v>
      </c>
    </row>
    <row r="2584" spans="1:2" ht="14.5" x14ac:dyDescent="0.35">
      <c r="A2584" s="8" t="s">
        <v>54894</v>
      </c>
      <c r="B2584" s="8" t="s">
        <v>56246</v>
      </c>
    </row>
    <row r="2585" spans="1:2" ht="14.5" x14ac:dyDescent="0.35">
      <c r="A2585" s="8" t="s">
        <v>54894</v>
      </c>
      <c r="B2585" s="8" t="s">
        <v>55312</v>
      </c>
    </row>
    <row r="2586" spans="1:2" ht="14.5" x14ac:dyDescent="0.35">
      <c r="A2586" s="8" t="s">
        <v>54894</v>
      </c>
      <c r="B2586" s="8" t="s">
        <v>57184</v>
      </c>
    </row>
    <row r="2587" spans="1:2" ht="14.5" x14ac:dyDescent="0.35">
      <c r="A2587" s="8" t="s">
        <v>54894</v>
      </c>
      <c r="B2587" s="8" t="s">
        <v>57581</v>
      </c>
    </row>
    <row r="2588" spans="1:2" ht="14.5" x14ac:dyDescent="0.35">
      <c r="A2588" s="8" t="s">
        <v>54894</v>
      </c>
      <c r="B2588" s="8" t="s">
        <v>54953</v>
      </c>
    </row>
    <row r="2589" spans="1:2" ht="14.5" x14ac:dyDescent="0.35">
      <c r="A2589" s="8" t="s">
        <v>54894</v>
      </c>
      <c r="B2589" s="8" t="s">
        <v>57843</v>
      </c>
    </row>
    <row r="2590" spans="1:2" ht="14.5" x14ac:dyDescent="0.35">
      <c r="A2590" s="8" t="s">
        <v>54894</v>
      </c>
      <c r="B2590" s="8" t="s">
        <v>54954</v>
      </c>
    </row>
    <row r="2591" spans="1:2" ht="14.5" x14ac:dyDescent="0.35">
      <c r="A2591" s="8" t="s">
        <v>54894</v>
      </c>
      <c r="B2591" s="8" t="s">
        <v>55682</v>
      </c>
    </row>
    <row r="2592" spans="1:2" ht="14.5" x14ac:dyDescent="0.35">
      <c r="A2592" s="8" t="s">
        <v>54894</v>
      </c>
      <c r="B2592" s="8" t="s">
        <v>55682</v>
      </c>
    </row>
    <row r="2593" spans="1:2" ht="14.5" x14ac:dyDescent="0.35">
      <c r="A2593" s="8" t="s">
        <v>54894</v>
      </c>
      <c r="B2593" s="8" t="s">
        <v>54955</v>
      </c>
    </row>
    <row r="2594" spans="1:2" ht="14.5" x14ac:dyDescent="0.35">
      <c r="A2594" s="8" t="s">
        <v>54894</v>
      </c>
      <c r="B2594" s="8" t="s">
        <v>54956</v>
      </c>
    </row>
    <row r="2595" spans="1:2" ht="14.5" x14ac:dyDescent="0.35">
      <c r="A2595" s="8" t="s">
        <v>54894</v>
      </c>
      <c r="B2595" s="8" t="s">
        <v>57202</v>
      </c>
    </row>
    <row r="2596" spans="1:2" ht="14.5" x14ac:dyDescent="0.35">
      <c r="A2596" s="8" t="s">
        <v>54894</v>
      </c>
      <c r="B2596" s="8" t="s">
        <v>54957</v>
      </c>
    </row>
    <row r="2597" spans="1:2" ht="14.5" x14ac:dyDescent="0.35">
      <c r="A2597" s="8" t="s">
        <v>54894</v>
      </c>
      <c r="B2597" s="8" t="s">
        <v>57002</v>
      </c>
    </row>
    <row r="2598" spans="1:2" ht="14.5" x14ac:dyDescent="0.35">
      <c r="A2598" s="8" t="s">
        <v>54894</v>
      </c>
      <c r="B2598" s="8" t="s">
        <v>56691</v>
      </c>
    </row>
    <row r="2599" spans="1:2" ht="14.5" x14ac:dyDescent="0.35">
      <c r="A2599" s="8" t="s">
        <v>54894</v>
      </c>
      <c r="B2599" s="8" t="s">
        <v>57844</v>
      </c>
    </row>
    <row r="2600" spans="1:2" ht="14.5" x14ac:dyDescent="0.35">
      <c r="A2600" s="8" t="s">
        <v>54894</v>
      </c>
      <c r="B2600" s="8" t="s">
        <v>58023</v>
      </c>
    </row>
    <row r="2601" spans="1:2" ht="14.5" x14ac:dyDescent="0.35">
      <c r="A2601" s="8" t="s">
        <v>54894</v>
      </c>
      <c r="B2601" s="8" t="s">
        <v>57386</v>
      </c>
    </row>
    <row r="2602" spans="1:2" ht="14.5" x14ac:dyDescent="0.35">
      <c r="A2602" s="8" t="s">
        <v>54894</v>
      </c>
      <c r="B2602" s="8" t="s">
        <v>57845</v>
      </c>
    </row>
    <row r="2603" spans="1:2" ht="14.5" x14ac:dyDescent="0.35">
      <c r="A2603" s="8" t="s">
        <v>54894</v>
      </c>
      <c r="B2603" s="8" t="s">
        <v>55182</v>
      </c>
    </row>
    <row r="2604" spans="1:2" ht="14.5" x14ac:dyDescent="0.35">
      <c r="A2604" s="8" t="s">
        <v>54894</v>
      </c>
      <c r="B2604" s="8" t="s">
        <v>55182</v>
      </c>
    </row>
    <row r="2605" spans="1:2" ht="14.5" x14ac:dyDescent="0.35">
      <c r="A2605" s="8" t="s">
        <v>54894</v>
      </c>
      <c r="B2605" s="8" t="s">
        <v>55182</v>
      </c>
    </row>
    <row r="2606" spans="1:2" ht="14.5" x14ac:dyDescent="0.35">
      <c r="A2606" s="8" t="s">
        <v>54894</v>
      </c>
      <c r="B2606" s="8" t="s">
        <v>57227</v>
      </c>
    </row>
    <row r="2607" spans="1:2" ht="14.5" x14ac:dyDescent="0.35">
      <c r="A2607" s="8" t="s">
        <v>54894</v>
      </c>
      <c r="B2607" s="8" t="s">
        <v>58331</v>
      </c>
    </row>
    <row r="2608" spans="1:2" ht="14.5" x14ac:dyDescent="0.35">
      <c r="A2608" s="8" t="s">
        <v>54894</v>
      </c>
      <c r="B2608" s="8" t="s">
        <v>58432</v>
      </c>
    </row>
    <row r="2609" spans="1:2" ht="14.5" x14ac:dyDescent="0.35">
      <c r="A2609" s="8" t="s">
        <v>54894</v>
      </c>
      <c r="B2609" s="8" t="s">
        <v>56517</v>
      </c>
    </row>
    <row r="2610" spans="1:2" ht="14.5" x14ac:dyDescent="0.35">
      <c r="A2610" s="8" t="s">
        <v>54894</v>
      </c>
      <c r="B2610" s="8" t="s">
        <v>56518</v>
      </c>
    </row>
    <row r="2611" spans="1:2" ht="14.5" x14ac:dyDescent="0.35">
      <c r="A2611" s="8" t="s">
        <v>54894</v>
      </c>
      <c r="B2611" s="8" t="s">
        <v>57266</v>
      </c>
    </row>
    <row r="2612" spans="1:2" ht="14.5" x14ac:dyDescent="0.35">
      <c r="A2612" s="8" t="s">
        <v>54894</v>
      </c>
      <c r="B2612" s="8" t="s">
        <v>57267</v>
      </c>
    </row>
    <row r="2613" spans="1:2" ht="14.5" x14ac:dyDescent="0.35">
      <c r="A2613" s="8" t="s">
        <v>54894</v>
      </c>
      <c r="B2613" s="8" t="s">
        <v>57268</v>
      </c>
    </row>
    <row r="2614" spans="1:2" ht="14.5" x14ac:dyDescent="0.35">
      <c r="A2614" s="8" t="s">
        <v>54894</v>
      </c>
      <c r="B2614" s="8" t="s">
        <v>57269</v>
      </c>
    </row>
    <row r="2615" spans="1:2" ht="14.5" x14ac:dyDescent="0.35">
      <c r="A2615" s="8" t="s">
        <v>54894</v>
      </c>
      <c r="B2615" s="8" t="s">
        <v>56475</v>
      </c>
    </row>
    <row r="2616" spans="1:2" ht="14.5" x14ac:dyDescent="0.35">
      <c r="A2616" s="8" t="s">
        <v>54894</v>
      </c>
      <c r="B2616" s="8" t="s">
        <v>57169</v>
      </c>
    </row>
    <row r="2617" spans="1:2" ht="14.5" x14ac:dyDescent="0.35">
      <c r="A2617" s="8" t="s">
        <v>54894</v>
      </c>
      <c r="B2617" s="8" t="s">
        <v>57169</v>
      </c>
    </row>
    <row r="2618" spans="1:2" ht="14.5" x14ac:dyDescent="0.35">
      <c r="A2618" s="8" t="s">
        <v>54894</v>
      </c>
      <c r="B2618" s="8" t="s">
        <v>55295</v>
      </c>
    </row>
    <row r="2619" spans="1:2" ht="14.5" x14ac:dyDescent="0.35">
      <c r="A2619" s="8" t="s">
        <v>54894</v>
      </c>
      <c r="B2619" s="8" t="s">
        <v>56643</v>
      </c>
    </row>
    <row r="2620" spans="1:2" ht="14.5" x14ac:dyDescent="0.35">
      <c r="A2620" s="8" t="s">
        <v>54894</v>
      </c>
      <c r="B2620" s="8" t="s">
        <v>57063</v>
      </c>
    </row>
    <row r="2621" spans="1:2" ht="14.5" x14ac:dyDescent="0.35">
      <c r="A2621" s="8" t="s">
        <v>54894</v>
      </c>
      <c r="B2621" s="8" t="s">
        <v>56337</v>
      </c>
    </row>
    <row r="2622" spans="1:2" ht="14.5" x14ac:dyDescent="0.35">
      <c r="A2622" s="8" t="s">
        <v>54894</v>
      </c>
      <c r="B2622" s="8" t="s">
        <v>56337</v>
      </c>
    </row>
    <row r="2623" spans="1:2" ht="14.5" x14ac:dyDescent="0.35">
      <c r="A2623" s="8" t="s">
        <v>54894</v>
      </c>
      <c r="B2623" s="8" t="s">
        <v>56338</v>
      </c>
    </row>
    <row r="2624" spans="1:2" ht="14.5" x14ac:dyDescent="0.35">
      <c r="A2624" s="8" t="s">
        <v>54894</v>
      </c>
      <c r="B2624" s="8" t="s">
        <v>55238</v>
      </c>
    </row>
    <row r="2625" spans="1:2" ht="14.5" x14ac:dyDescent="0.35">
      <c r="A2625" s="8" t="s">
        <v>54894</v>
      </c>
      <c r="B2625" s="8" t="s">
        <v>56668</v>
      </c>
    </row>
    <row r="2626" spans="1:2" ht="14.5" x14ac:dyDescent="0.35">
      <c r="A2626" s="8" t="s">
        <v>54894</v>
      </c>
      <c r="B2626" s="8" t="s">
        <v>55598</v>
      </c>
    </row>
    <row r="2627" spans="1:2" ht="14.5" x14ac:dyDescent="0.35">
      <c r="A2627" s="8" t="s">
        <v>54894</v>
      </c>
      <c r="B2627" s="8" t="s">
        <v>56682</v>
      </c>
    </row>
    <row r="2628" spans="1:2" ht="14.5" x14ac:dyDescent="0.35">
      <c r="A2628" s="8" t="s">
        <v>54894</v>
      </c>
      <c r="B2628" s="8" t="s">
        <v>56682</v>
      </c>
    </row>
    <row r="2629" spans="1:2" ht="14.5" x14ac:dyDescent="0.35">
      <c r="A2629" s="8" t="s">
        <v>54894</v>
      </c>
      <c r="B2629" s="8" t="s">
        <v>56641</v>
      </c>
    </row>
    <row r="2630" spans="1:2" ht="14.5" x14ac:dyDescent="0.35">
      <c r="A2630" s="8" t="s">
        <v>54894</v>
      </c>
      <c r="B2630" s="8" t="s">
        <v>57703</v>
      </c>
    </row>
    <row r="2631" spans="1:2" ht="14.5" x14ac:dyDescent="0.35">
      <c r="A2631" s="8" t="s">
        <v>54894</v>
      </c>
      <c r="B2631" s="8" t="s">
        <v>55063</v>
      </c>
    </row>
    <row r="2632" spans="1:2" ht="14.5" x14ac:dyDescent="0.35">
      <c r="A2632" s="8" t="s">
        <v>54894</v>
      </c>
      <c r="B2632" s="8" t="s">
        <v>55064</v>
      </c>
    </row>
    <row r="2633" spans="1:2" ht="14.5" x14ac:dyDescent="0.35">
      <c r="A2633" s="8" t="s">
        <v>54894</v>
      </c>
      <c r="B2633" s="8" t="s">
        <v>55065</v>
      </c>
    </row>
    <row r="2634" spans="1:2" ht="14.5" x14ac:dyDescent="0.35">
      <c r="A2634" s="8" t="s">
        <v>54894</v>
      </c>
      <c r="B2634" s="8" t="s">
        <v>57310</v>
      </c>
    </row>
    <row r="2635" spans="1:2" ht="14.5" x14ac:dyDescent="0.35">
      <c r="A2635" s="8" t="s">
        <v>54894</v>
      </c>
      <c r="B2635" s="8" t="s">
        <v>57311</v>
      </c>
    </row>
    <row r="2636" spans="1:2" ht="14.5" x14ac:dyDescent="0.35">
      <c r="A2636" s="8" t="s">
        <v>54894</v>
      </c>
      <c r="B2636" s="8" t="s">
        <v>55200</v>
      </c>
    </row>
    <row r="2637" spans="1:2" ht="14.5" x14ac:dyDescent="0.35">
      <c r="A2637" s="8" t="s">
        <v>54894</v>
      </c>
      <c r="B2637" s="8" t="s">
        <v>56739</v>
      </c>
    </row>
    <row r="2638" spans="1:2" ht="14.5" x14ac:dyDescent="0.35">
      <c r="A2638" s="8" t="s">
        <v>54894</v>
      </c>
      <c r="B2638" s="8" t="s">
        <v>56740</v>
      </c>
    </row>
    <row r="2639" spans="1:2" ht="14.5" x14ac:dyDescent="0.35">
      <c r="A2639" s="8" t="s">
        <v>54894</v>
      </c>
      <c r="B2639" s="8" t="s">
        <v>57134</v>
      </c>
    </row>
    <row r="2640" spans="1:2" ht="14.5" x14ac:dyDescent="0.35">
      <c r="A2640" s="8" t="s">
        <v>54894</v>
      </c>
      <c r="B2640" s="8" t="s">
        <v>56059</v>
      </c>
    </row>
    <row r="2641" spans="1:2" ht="14.5" x14ac:dyDescent="0.35">
      <c r="A2641" s="8" t="s">
        <v>54894</v>
      </c>
      <c r="B2641" s="8" t="s">
        <v>55489</v>
      </c>
    </row>
    <row r="2642" spans="1:2" ht="14.5" x14ac:dyDescent="0.35">
      <c r="A2642" s="8" t="s">
        <v>54894</v>
      </c>
      <c r="B2642" s="8" t="s">
        <v>58061</v>
      </c>
    </row>
    <row r="2643" spans="1:2" ht="14.5" x14ac:dyDescent="0.35">
      <c r="A2643" s="8" t="s">
        <v>54894</v>
      </c>
      <c r="B2643" s="8" t="s">
        <v>55581</v>
      </c>
    </row>
    <row r="2644" spans="1:2" ht="14.5" x14ac:dyDescent="0.35">
      <c r="A2644" s="8" t="s">
        <v>54894</v>
      </c>
      <c r="B2644" s="8" t="s">
        <v>55764</v>
      </c>
    </row>
    <row r="2645" spans="1:2" ht="14.5" x14ac:dyDescent="0.35">
      <c r="A2645" s="8" t="s">
        <v>54894</v>
      </c>
      <c r="B2645" s="8" t="s">
        <v>56741</v>
      </c>
    </row>
    <row r="2646" spans="1:2" ht="14.5" x14ac:dyDescent="0.35">
      <c r="A2646" s="8" t="s">
        <v>54894</v>
      </c>
      <c r="B2646" s="8" t="s">
        <v>58062</v>
      </c>
    </row>
    <row r="2647" spans="1:2" ht="14.5" x14ac:dyDescent="0.35">
      <c r="A2647" s="8" t="s">
        <v>54894</v>
      </c>
      <c r="B2647" s="8" t="s">
        <v>56408</v>
      </c>
    </row>
    <row r="2648" spans="1:2" ht="14.5" x14ac:dyDescent="0.35">
      <c r="A2648" s="8" t="s">
        <v>54894</v>
      </c>
      <c r="B2648" s="8" t="s">
        <v>54902</v>
      </c>
    </row>
    <row r="2649" spans="1:2" ht="14.5" x14ac:dyDescent="0.35">
      <c r="A2649" s="8" t="s">
        <v>54894</v>
      </c>
      <c r="B2649" s="8" t="s">
        <v>56354</v>
      </c>
    </row>
    <row r="2650" spans="1:2" ht="14.5" x14ac:dyDescent="0.35">
      <c r="A2650" s="8" t="s">
        <v>54894</v>
      </c>
      <c r="B2650" s="8" t="s">
        <v>56355</v>
      </c>
    </row>
    <row r="2651" spans="1:2" ht="14.5" x14ac:dyDescent="0.35">
      <c r="A2651" s="8" t="s">
        <v>54894</v>
      </c>
      <c r="B2651" s="8" t="s">
        <v>56519</v>
      </c>
    </row>
    <row r="2652" spans="1:2" ht="14.5" x14ac:dyDescent="0.35">
      <c r="A2652" s="8" t="s">
        <v>54894</v>
      </c>
      <c r="B2652" s="8" t="s">
        <v>56398</v>
      </c>
    </row>
    <row r="2653" spans="1:2" ht="14.5" x14ac:dyDescent="0.35">
      <c r="A2653" s="8" t="s">
        <v>54894</v>
      </c>
      <c r="B2653" s="8" t="s">
        <v>55131</v>
      </c>
    </row>
    <row r="2654" spans="1:2" ht="14.5" x14ac:dyDescent="0.35">
      <c r="A2654" s="8" t="s">
        <v>54894</v>
      </c>
      <c r="B2654" s="8" t="s">
        <v>55113</v>
      </c>
    </row>
    <row r="2655" spans="1:2" ht="14.5" x14ac:dyDescent="0.35">
      <c r="A2655" s="8" t="s">
        <v>54894</v>
      </c>
      <c r="B2655" s="8" t="s">
        <v>58250</v>
      </c>
    </row>
    <row r="2656" spans="1:2" ht="14.5" x14ac:dyDescent="0.35">
      <c r="A2656" s="8" t="s">
        <v>54894</v>
      </c>
      <c r="B2656" s="8" t="s">
        <v>55568</v>
      </c>
    </row>
    <row r="2657" spans="1:2" ht="14.5" x14ac:dyDescent="0.35">
      <c r="A2657" s="8" t="s">
        <v>54894</v>
      </c>
      <c r="B2657" s="8" t="s">
        <v>55568</v>
      </c>
    </row>
    <row r="2658" spans="1:2" ht="14.5" x14ac:dyDescent="0.35">
      <c r="A2658" s="8" t="s">
        <v>54894</v>
      </c>
      <c r="B2658" s="8" t="s">
        <v>57582</v>
      </c>
    </row>
    <row r="2659" spans="1:2" ht="14.5" x14ac:dyDescent="0.35">
      <c r="A2659" s="8" t="s">
        <v>54894</v>
      </c>
      <c r="B2659" s="8" t="s">
        <v>58251</v>
      </c>
    </row>
    <row r="2660" spans="1:2" ht="14.5" x14ac:dyDescent="0.35">
      <c r="A2660" s="8" t="s">
        <v>54894</v>
      </c>
      <c r="B2660" s="8" t="s">
        <v>57536</v>
      </c>
    </row>
    <row r="2661" spans="1:2" ht="14.5" x14ac:dyDescent="0.35">
      <c r="A2661" s="8" t="s">
        <v>54894</v>
      </c>
      <c r="B2661" s="8" t="s">
        <v>55655</v>
      </c>
    </row>
    <row r="2662" spans="1:2" ht="14.5" x14ac:dyDescent="0.35">
      <c r="A2662" s="8" t="s">
        <v>54894</v>
      </c>
      <c r="B2662" s="8" t="s">
        <v>58252</v>
      </c>
    </row>
    <row r="2663" spans="1:2" ht="14.5" x14ac:dyDescent="0.35">
      <c r="A2663" s="8" t="s">
        <v>54894</v>
      </c>
      <c r="B2663" s="8" t="s">
        <v>55728</v>
      </c>
    </row>
    <row r="2664" spans="1:2" ht="14.5" x14ac:dyDescent="0.35">
      <c r="A2664" s="8" t="s">
        <v>54894</v>
      </c>
      <c r="B2664" s="8" t="s">
        <v>55569</v>
      </c>
    </row>
    <row r="2665" spans="1:2" ht="14.5" x14ac:dyDescent="0.35">
      <c r="A2665" s="8" t="s">
        <v>54894</v>
      </c>
      <c r="B2665" s="8" t="s">
        <v>55476</v>
      </c>
    </row>
    <row r="2666" spans="1:2" ht="14.5" x14ac:dyDescent="0.35">
      <c r="A2666" s="8" t="s">
        <v>54894</v>
      </c>
      <c r="B2666" s="8" t="s">
        <v>57944</v>
      </c>
    </row>
    <row r="2667" spans="1:2" ht="14.5" x14ac:dyDescent="0.35">
      <c r="A2667" s="8" t="s">
        <v>54894</v>
      </c>
      <c r="B2667" s="8" t="s">
        <v>58394</v>
      </c>
    </row>
    <row r="2668" spans="1:2" ht="14.5" x14ac:dyDescent="0.35">
      <c r="A2668" s="8" t="s">
        <v>54894</v>
      </c>
      <c r="B2668" s="8" t="s">
        <v>58285</v>
      </c>
    </row>
    <row r="2669" spans="1:2" ht="14.5" x14ac:dyDescent="0.35">
      <c r="A2669" s="8" t="s">
        <v>54894</v>
      </c>
      <c r="B2669" s="8" t="s">
        <v>58417</v>
      </c>
    </row>
    <row r="2670" spans="1:2" ht="14.5" x14ac:dyDescent="0.35">
      <c r="A2670" s="8" t="s">
        <v>54894</v>
      </c>
      <c r="B2670" s="8" t="s">
        <v>58395</v>
      </c>
    </row>
    <row r="2671" spans="1:2" ht="14.5" x14ac:dyDescent="0.35">
      <c r="A2671" s="8" t="s">
        <v>54894</v>
      </c>
      <c r="B2671" s="8" t="s">
        <v>57158</v>
      </c>
    </row>
    <row r="2672" spans="1:2" ht="14.5" x14ac:dyDescent="0.35">
      <c r="A2672" s="8" t="s">
        <v>54894</v>
      </c>
      <c r="B2672" s="8" t="s">
        <v>58286</v>
      </c>
    </row>
    <row r="2673" spans="1:2" ht="14.5" x14ac:dyDescent="0.35">
      <c r="A2673" s="8" t="s">
        <v>54894</v>
      </c>
      <c r="B2673" s="8" t="s">
        <v>57583</v>
      </c>
    </row>
    <row r="2674" spans="1:2" ht="14.5" x14ac:dyDescent="0.35">
      <c r="A2674" s="8" t="s">
        <v>54894</v>
      </c>
      <c r="B2674" s="8" t="s">
        <v>57846</v>
      </c>
    </row>
    <row r="2675" spans="1:2" ht="14.5" x14ac:dyDescent="0.35">
      <c r="A2675" s="8" t="s">
        <v>54894</v>
      </c>
      <c r="B2675" s="8" t="s">
        <v>56182</v>
      </c>
    </row>
    <row r="2676" spans="1:2" ht="14.5" x14ac:dyDescent="0.35">
      <c r="A2676" s="8" t="s">
        <v>54894</v>
      </c>
      <c r="B2676" s="8" t="s">
        <v>58389</v>
      </c>
    </row>
    <row r="2677" spans="1:2" ht="14.5" x14ac:dyDescent="0.35">
      <c r="A2677" s="8" t="s">
        <v>54894</v>
      </c>
      <c r="B2677" s="8" t="s">
        <v>55701</v>
      </c>
    </row>
    <row r="2678" spans="1:2" ht="14.5" x14ac:dyDescent="0.35">
      <c r="A2678" s="8" t="s">
        <v>54894</v>
      </c>
      <c r="B2678" s="8" t="s">
        <v>56742</v>
      </c>
    </row>
    <row r="2679" spans="1:2" ht="14.5" x14ac:dyDescent="0.35">
      <c r="A2679" s="8" t="s">
        <v>54894</v>
      </c>
      <c r="B2679" s="8" t="s">
        <v>56326</v>
      </c>
    </row>
    <row r="2680" spans="1:2" ht="14.5" x14ac:dyDescent="0.35">
      <c r="A2680" s="8" t="s">
        <v>54894</v>
      </c>
      <c r="B2680" s="8" t="s">
        <v>56593</v>
      </c>
    </row>
    <row r="2681" spans="1:2" ht="14.5" x14ac:dyDescent="0.35">
      <c r="A2681" s="8" t="s">
        <v>54894</v>
      </c>
      <c r="B2681" s="8" t="s">
        <v>56594</v>
      </c>
    </row>
    <row r="2682" spans="1:2" ht="14.5" x14ac:dyDescent="0.35">
      <c r="A2682" s="8" t="s">
        <v>54894</v>
      </c>
      <c r="B2682" s="8" t="s">
        <v>56595</v>
      </c>
    </row>
    <row r="2683" spans="1:2" ht="14.5" x14ac:dyDescent="0.35">
      <c r="A2683" s="8" t="s">
        <v>54894</v>
      </c>
      <c r="B2683" s="8" t="s">
        <v>56675</v>
      </c>
    </row>
    <row r="2684" spans="1:2" ht="14.5" x14ac:dyDescent="0.35">
      <c r="A2684" s="8" t="s">
        <v>54894</v>
      </c>
      <c r="B2684" s="8" t="s">
        <v>56596</v>
      </c>
    </row>
    <row r="2685" spans="1:2" ht="14.5" x14ac:dyDescent="0.35">
      <c r="A2685" s="8" t="s">
        <v>54894</v>
      </c>
      <c r="B2685" s="8" t="s">
        <v>56597</v>
      </c>
    </row>
    <row r="2686" spans="1:2" ht="14.5" x14ac:dyDescent="0.35">
      <c r="A2686" s="8" t="s">
        <v>54894</v>
      </c>
      <c r="B2686" s="8" t="s">
        <v>56598</v>
      </c>
    </row>
    <row r="2687" spans="1:2" ht="14.5" x14ac:dyDescent="0.35">
      <c r="A2687" s="8" t="s">
        <v>54894</v>
      </c>
      <c r="B2687" s="8" t="s">
        <v>56599</v>
      </c>
    </row>
    <row r="2688" spans="1:2" ht="14.5" x14ac:dyDescent="0.35">
      <c r="A2688" s="8" t="s">
        <v>54894</v>
      </c>
      <c r="B2688" s="8" t="s">
        <v>56558</v>
      </c>
    </row>
    <row r="2689" spans="1:2" ht="14.5" x14ac:dyDescent="0.35">
      <c r="A2689" s="8" t="s">
        <v>54894</v>
      </c>
      <c r="B2689" s="8" t="s">
        <v>56600</v>
      </c>
    </row>
    <row r="2690" spans="1:2" ht="14.5" x14ac:dyDescent="0.35">
      <c r="A2690" s="8" t="s">
        <v>54894</v>
      </c>
      <c r="B2690" s="8" t="s">
        <v>56601</v>
      </c>
    </row>
    <row r="2691" spans="1:2" ht="14.5" x14ac:dyDescent="0.35">
      <c r="A2691" s="8" t="s">
        <v>54894</v>
      </c>
      <c r="B2691" s="8" t="s">
        <v>56602</v>
      </c>
    </row>
    <row r="2692" spans="1:2" ht="14.5" x14ac:dyDescent="0.35">
      <c r="A2692" s="8" t="s">
        <v>54894</v>
      </c>
      <c r="B2692" s="8" t="s">
        <v>56666</v>
      </c>
    </row>
    <row r="2693" spans="1:2" ht="14.5" x14ac:dyDescent="0.35">
      <c r="A2693" s="8" t="s">
        <v>54894</v>
      </c>
      <c r="B2693" s="8" t="s">
        <v>56743</v>
      </c>
    </row>
    <row r="2694" spans="1:2" ht="14.5" x14ac:dyDescent="0.35">
      <c r="A2694" s="8" t="s">
        <v>54894</v>
      </c>
      <c r="B2694" s="8" t="s">
        <v>58312</v>
      </c>
    </row>
    <row r="2695" spans="1:2" ht="14.5" x14ac:dyDescent="0.35">
      <c r="A2695" s="8" t="s">
        <v>54894</v>
      </c>
      <c r="B2695" s="8" t="s">
        <v>57000</v>
      </c>
    </row>
    <row r="2696" spans="1:2" ht="14.5" x14ac:dyDescent="0.35">
      <c r="A2696" s="8" t="s">
        <v>54894</v>
      </c>
      <c r="B2696" s="8" t="s">
        <v>55683</v>
      </c>
    </row>
    <row r="2697" spans="1:2" ht="14.5" x14ac:dyDescent="0.35">
      <c r="A2697" s="8" t="s">
        <v>54894</v>
      </c>
      <c r="B2697" s="8" t="s">
        <v>56436</v>
      </c>
    </row>
    <row r="2698" spans="1:2" ht="14.5" x14ac:dyDescent="0.35">
      <c r="A2698" s="8" t="s">
        <v>54894</v>
      </c>
      <c r="B2698" s="8" t="s">
        <v>56437</v>
      </c>
    </row>
    <row r="2699" spans="1:2" ht="14.5" x14ac:dyDescent="0.35">
      <c r="A2699" s="8" t="s">
        <v>54894</v>
      </c>
      <c r="B2699" s="8" t="s">
        <v>56527</v>
      </c>
    </row>
    <row r="2700" spans="1:2" ht="14.5" x14ac:dyDescent="0.35">
      <c r="A2700" s="8" t="s">
        <v>54894</v>
      </c>
      <c r="B2700" s="8" t="s">
        <v>56528</v>
      </c>
    </row>
    <row r="2701" spans="1:2" ht="14.5" x14ac:dyDescent="0.35">
      <c r="A2701" s="8" t="s">
        <v>54894</v>
      </c>
      <c r="B2701" s="8" t="s">
        <v>56060</v>
      </c>
    </row>
    <row r="2702" spans="1:2" ht="14.5" x14ac:dyDescent="0.35">
      <c r="A2702" s="8" t="s">
        <v>54894</v>
      </c>
      <c r="B2702" s="8" t="s">
        <v>58018</v>
      </c>
    </row>
    <row r="2703" spans="1:2" ht="14.5" x14ac:dyDescent="0.35">
      <c r="A2703" s="8" t="s">
        <v>54894</v>
      </c>
      <c r="B2703" s="8" t="s">
        <v>57338</v>
      </c>
    </row>
    <row r="2704" spans="1:2" ht="14.5" x14ac:dyDescent="0.35">
      <c r="A2704" s="8" t="s">
        <v>54894</v>
      </c>
      <c r="B2704" s="8" t="s">
        <v>55604</v>
      </c>
    </row>
    <row r="2705" spans="1:2" ht="14.5" x14ac:dyDescent="0.35">
      <c r="A2705" s="8" t="s">
        <v>54894</v>
      </c>
      <c r="B2705" s="8" t="s">
        <v>56327</v>
      </c>
    </row>
    <row r="2706" spans="1:2" ht="14.5" x14ac:dyDescent="0.35">
      <c r="A2706" s="8" t="s">
        <v>54894</v>
      </c>
      <c r="B2706" s="8" t="s">
        <v>55855</v>
      </c>
    </row>
    <row r="2707" spans="1:2" ht="14.5" x14ac:dyDescent="0.35">
      <c r="A2707" s="8" t="s">
        <v>54894</v>
      </c>
      <c r="B2707" s="8" t="s">
        <v>55207</v>
      </c>
    </row>
    <row r="2708" spans="1:2" ht="14.5" x14ac:dyDescent="0.35">
      <c r="A2708" s="8" t="s">
        <v>54894</v>
      </c>
      <c r="B2708" s="8" t="s">
        <v>55605</v>
      </c>
    </row>
    <row r="2709" spans="1:2" ht="14.5" x14ac:dyDescent="0.35">
      <c r="A2709" s="8" t="s">
        <v>54894</v>
      </c>
      <c r="B2709" s="8" t="s">
        <v>57102</v>
      </c>
    </row>
    <row r="2710" spans="1:2" ht="14.5" x14ac:dyDescent="0.35">
      <c r="A2710" s="8" t="s">
        <v>54894</v>
      </c>
      <c r="B2710" s="8" t="s">
        <v>58024</v>
      </c>
    </row>
    <row r="2711" spans="1:2" ht="14.5" x14ac:dyDescent="0.35">
      <c r="A2711" s="8" t="s">
        <v>54894</v>
      </c>
      <c r="B2711" s="8" t="s">
        <v>55201</v>
      </c>
    </row>
    <row r="2712" spans="1:2" ht="14.5" x14ac:dyDescent="0.35">
      <c r="A2712" s="8" t="s">
        <v>54894</v>
      </c>
      <c r="B2712" s="8" t="s">
        <v>56744</v>
      </c>
    </row>
    <row r="2713" spans="1:2" ht="14.5" x14ac:dyDescent="0.35">
      <c r="A2713" s="8" t="s">
        <v>54894</v>
      </c>
      <c r="B2713" s="8" t="s">
        <v>56745</v>
      </c>
    </row>
    <row r="2714" spans="1:2" ht="14.5" x14ac:dyDescent="0.35">
      <c r="A2714" s="8" t="s">
        <v>54894</v>
      </c>
      <c r="B2714" s="8" t="s">
        <v>56746</v>
      </c>
    </row>
    <row r="2715" spans="1:2" ht="14.5" x14ac:dyDescent="0.35">
      <c r="A2715" s="8" t="s">
        <v>54894</v>
      </c>
      <c r="B2715" s="8" t="s">
        <v>56747</v>
      </c>
    </row>
    <row r="2716" spans="1:2" ht="14.5" x14ac:dyDescent="0.35">
      <c r="A2716" s="8" t="s">
        <v>54894</v>
      </c>
      <c r="B2716" s="8" t="s">
        <v>56748</v>
      </c>
    </row>
    <row r="2717" spans="1:2" ht="14.5" x14ac:dyDescent="0.35">
      <c r="A2717" s="8" t="s">
        <v>54894</v>
      </c>
      <c r="B2717" s="8" t="s">
        <v>56749</v>
      </c>
    </row>
    <row r="2718" spans="1:2" ht="14.5" x14ac:dyDescent="0.35">
      <c r="A2718" s="8" t="s">
        <v>54894</v>
      </c>
      <c r="B2718" s="8" t="s">
        <v>57022</v>
      </c>
    </row>
    <row r="2719" spans="1:2" ht="14.5" x14ac:dyDescent="0.35">
      <c r="A2719" s="8" t="s">
        <v>54894</v>
      </c>
      <c r="B2719" s="8" t="s">
        <v>57022</v>
      </c>
    </row>
    <row r="2720" spans="1:2" ht="14.5" x14ac:dyDescent="0.35">
      <c r="A2720" s="8" t="s">
        <v>54894</v>
      </c>
      <c r="B2720" s="8" t="s">
        <v>57022</v>
      </c>
    </row>
    <row r="2721" spans="1:2" ht="14.5" x14ac:dyDescent="0.35">
      <c r="A2721" s="8" t="s">
        <v>54894</v>
      </c>
      <c r="B2721" s="8" t="s">
        <v>55019</v>
      </c>
    </row>
    <row r="2722" spans="1:2" ht="14.5" x14ac:dyDescent="0.35">
      <c r="A2722" s="8" t="s">
        <v>54894</v>
      </c>
      <c r="B2722" s="8" t="s">
        <v>55020</v>
      </c>
    </row>
    <row r="2723" spans="1:2" ht="14.5" x14ac:dyDescent="0.35">
      <c r="A2723" s="8" t="s">
        <v>54894</v>
      </c>
      <c r="B2723" s="8" t="s">
        <v>55021</v>
      </c>
    </row>
    <row r="2724" spans="1:2" ht="14.5" x14ac:dyDescent="0.35">
      <c r="A2724" s="8" t="s">
        <v>54894</v>
      </c>
      <c r="B2724" s="8" t="s">
        <v>55036</v>
      </c>
    </row>
    <row r="2725" spans="1:2" ht="14.5" x14ac:dyDescent="0.35">
      <c r="A2725" s="8" t="s">
        <v>54894</v>
      </c>
      <c r="B2725" s="8" t="s">
        <v>57876</v>
      </c>
    </row>
    <row r="2726" spans="1:2" ht="14.5" x14ac:dyDescent="0.35">
      <c r="A2726" s="8" t="s">
        <v>54894</v>
      </c>
      <c r="B2726" s="8" t="s">
        <v>57877</v>
      </c>
    </row>
    <row r="2727" spans="1:2" ht="14.5" x14ac:dyDescent="0.35">
      <c r="A2727" s="8" t="s">
        <v>54894</v>
      </c>
      <c r="B2727" s="8" t="s">
        <v>55973</v>
      </c>
    </row>
    <row r="2728" spans="1:2" ht="14.5" x14ac:dyDescent="0.35">
      <c r="A2728" s="8" t="s">
        <v>54894</v>
      </c>
      <c r="B2728" s="8" t="s">
        <v>58427</v>
      </c>
    </row>
    <row r="2729" spans="1:2" ht="14.5" x14ac:dyDescent="0.35">
      <c r="A2729" s="8" t="s">
        <v>54894</v>
      </c>
      <c r="B2729" s="8" t="s">
        <v>56061</v>
      </c>
    </row>
    <row r="2730" spans="1:2" ht="14.5" x14ac:dyDescent="0.35">
      <c r="A2730" s="8" t="s">
        <v>54894</v>
      </c>
      <c r="B2730" s="8" t="s">
        <v>57584</v>
      </c>
    </row>
    <row r="2731" spans="1:2" ht="14.5" x14ac:dyDescent="0.35">
      <c r="A2731" s="8" t="s">
        <v>54894</v>
      </c>
      <c r="B2731" s="8" t="s">
        <v>57585</v>
      </c>
    </row>
    <row r="2732" spans="1:2" ht="14.5" x14ac:dyDescent="0.35">
      <c r="A2732" s="8" t="s">
        <v>54894</v>
      </c>
      <c r="B2732" s="8" t="s">
        <v>56203</v>
      </c>
    </row>
    <row r="2733" spans="1:2" ht="14.5" x14ac:dyDescent="0.35">
      <c r="A2733" s="8" t="s">
        <v>54894</v>
      </c>
      <c r="B2733" s="8" t="s">
        <v>55202</v>
      </c>
    </row>
    <row r="2734" spans="1:2" ht="14.5" x14ac:dyDescent="0.35">
      <c r="A2734" s="8" t="s">
        <v>54894</v>
      </c>
      <c r="B2734" s="8" t="s">
        <v>55220</v>
      </c>
    </row>
    <row r="2735" spans="1:2" ht="14.5" x14ac:dyDescent="0.35">
      <c r="A2735" s="8" t="s">
        <v>54894</v>
      </c>
      <c r="B2735" s="8" t="s">
        <v>56204</v>
      </c>
    </row>
    <row r="2736" spans="1:2" ht="14.5" x14ac:dyDescent="0.35">
      <c r="A2736" s="8" t="s">
        <v>54894</v>
      </c>
      <c r="B2736" s="8" t="s">
        <v>57988</v>
      </c>
    </row>
    <row r="2737" spans="1:2" ht="14.5" x14ac:dyDescent="0.35">
      <c r="A2737" s="8" t="s">
        <v>54894</v>
      </c>
      <c r="B2737" s="8" t="s">
        <v>58063</v>
      </c>
    </row>
    <row r="2738" spans="1:2" ht="14.5" x14ac:dyDescent="0.35">
      <c r="A2738" s="8" t="s">
        <v>54894</v>
      </c>
      <c r="B2738" s="8" t="s">
        <v>57228</v>
      </c>
    </row>
    <row r="2739" spans="1:2" ht="14.5" x14ac:dyDescent="0.35">
      <c r="A2739" s="8" t="s">
        <v>54894</v>
      </c>
      <c r="B2739" s="8" t="s">
        <v>57387</v>
      </c>
    </row>
    <row r="2740" spans="1:2" ht="14.5" x14ac:dyDescent="0.35">
      <c r="A2740" s="8" t="s">
        <v>54894</v>
      </c>
      <c r="B2740" s="8" t="s">
        <v>1579</v>
      </c>
    </row>
    <row r="2741" spans="1:2" ht="14.5" x14ac:dyDescent="0.35">
      <c r="A2741" s="8" t="s">
        <v>54894</v>
      </c>
      <c r="B2741" s="8" t="s">
        <v>55998</v>
      </c>
    </row>
    <row r="2742" spans="1:2" ht="14.5" x14ac:dyDescent="0.35">
      <c r="A2742" s="8" t="s">
        <v>54894</v>
      </c>
      <c r="B2742" s="8" t="s">
        <v>57924</v>
      </c>
    </row>
    <row r="2743" spans="1:2" ht="14.5" x14ac:dyDescent="0.35">
      <c r="A2743" s="8" t="s">
        <v>54894</v>
      </c>
      <c r="B2743" s="8" t="s">
        <v>55872</v>
      </c>
    </row>
    <row r="2744" spans="1:2" ht="14.5" x14ac:dyDescent="0.35">
      <c r="A2744" s="8" t="s">
        <v>54894</v>
      </c>
      <c r="B2744" s="8" t="s">
        <v>55196</v>
      </c>
    </row>
    <row r="2745" spans="1:2" ht="14.5" x14ac:dyDescent="0.35">
      <c r="A2745" s="8" t="s">
        <v>54894</v>
      </c>
      <c r="B2745" s="8" t="s">
        <v>56750</v>
      </c>
    </row>
    <row r="2746" spans="1:2" ht="14.5" x14ac:dyDescent="0.35">
      <c r="A2746" s="8" t="s">
        <v>54894</v>
      </c>
      <c r="B2746" s="8" t="s">
        <v>56751</v>
      </c>
    </row>
    <row r="2747" spans="1:2" ht="14.5" x14ac:dyDescent="0.35">
      <c r="A2747" s="8" t="s">
        <v>54894</v>
      </c>
      <c r="B2747" s="8" t="s">
        <v>56752</v>
      </c>
    </row>
    <row r="2748" spans="1:2" ht="14.5" x14ac:dyDescent="0.35">
      <c r="A2748" s="8" t="s">
        <v>54894</v>
      </c>
      <c r="B2748" s="8" t="s">
        <v>55066</v>
      </c>
    </row>
    <row r="2749" spans="1:2" ht="14.5" x14ac:dyDescent="0.35">
      <c r="A2749" s="8" t="s">
        <v>54894</v>
      </c>
      <c r="B2749" s="8" t="s">
        <v>55067</v>
      </c>
    </row>
    <row r="2750" spans="1:2" ht="14.5" x14ac:dyDescent="0.35">
      <c r="A2750" s="8" t="s">
        <v>54894</v>
      </c>
      <c r="B2750" s="8" t="s">
        <v>55068</v>
      </c>
    </row>
    <row r="2751" spans="1:2" ht="14.5" x14ac:dyDescent="0.35">
      <c r="A2751" s="8" t="s">
        <v>54894</v>
      </c>
      <c r="B2751" s="8" t="s">
        <v>55069</v>
      </c>
    </row>
    <row r="2752" spans="1:2" ht="14.5" x14ac:dyDescent="0.35">
      <c r="A2752" s="8" t="s">
        <v>54894</v>
      </c>
      <c r="B2752" s="8" t="s">
        <v>55070</v>
      </c>
    </row>
    <row r="2753" spans="1:2" ht="14.5" x14ac:dyDescent="0.35">
      <c r="A2753" s="8" t="s">
        <v>54894</v>
      </c>
      <c r="B2753" s="8" t="s">
        <v>57508</v>
      </c>
    </row>
    <row r="2754" spans="1:2" ht="14.5" x14ac:dyDescent="0.35">
      <c r="A2754" s="8" t="s">
        <v>54894</v>
      </c>
      <c r="B2754" s="8" t="s">
        <v>55236</v>
      </c>
    </row>
    <row r="2755" spans="1:2" ht="14.5" x14ac:dyDescent="0.35">
      <c r="A2755" s="8" t="s">
        <v>54894</v>
      </c>
      <c r="B2755" s="8" t="s">
        <v>57586</v>
      </c>
    </row>
    <row r="2756" spans="1:2" ht="14.5" x14ac:dyDescent="0.35">
      <c r="A2756" s="8" t="s">
        <v>54894</v>
      </c>
      <c r="B2756" s="8" t="s">
        <v>58209</v>
      </c>
    </row>
    <row r="2757" spans="1:2" ht="14.5" x14ac:dyDescent="0.35">
      <c r="A2757" s="8" t="s">
        <v>54894</v>
      </c>
      <c r="B2757" s="8" t="s">
        <v>55702</v>
      </c>
    </row>
    <row r="2758" spans="1:2" ht="14.5" x14ac:dyDescent="0.35">
      <c r="A2758" s="8" t="s">
        <v>54894</v>
      </c>
      <c r="B2758" s="8" t="s">
        <v>57974</v>
      </c>
    </row>
    <row r="2759" spans="1:2" ht="14.5" x14ac:dyDescent="0.35">
      <c r="A2759" s="8" t="s">
        <v>54894</v>
      </c>
      <c r="B2759" s="8" t="s">
        <v>58437</v>
      </c>
    </row>
    <row r="2760" spans="1:2" ht="14.5" x14ac:dyDescent="0.35">
      <c r="A2760" s="8" t="s">
        <v>54894</v>
      </c>
      <c r="B2760" s="8" t="s">
        <v>55755</v>
      </c>
    </row>
    <row r="2761" spans="1:2" ht="14.5" x14ac:dyDescent="0.35">
      <c r="A2761" s="8" t="s">
        <v>54894</v>
      </c>
      <c r="B2761" s="8" t="s">
        <v>56062</v>
      </c>
    </row>
    <row r="2762" spans="1:2" ht="14.5" x14ac:dyDescent="0.35">
      <c r="A2762" s="8" t="s">
        <v>54894</v>
      </c>
      <c r="B2762" s="8" t="s">
        <v>56281</v>
      </c>
    </row>
    <row r="2763" spans="1:2" ht="14.5" x14ac:dyDescent="0.35">
      <c r="A2763" s="8" t="s">
        <v>54894</v>
      </c>
      <c r="B2763" s="8" t="s">
        <v>56618</v>
      </c>
    </row>
    <row r="2764" spans="1:2" ht="14.5" x14ac:dyDescent="0.35">
      <c r="A2764" s="8" t="s">
        <v>54894</v>
      </c>
      <c r="B2764" s="8" t="s">
        <v>58210</v>
      </c>
    </row>
    <row r="2765" spans="1:2" ht="14.5" x14ac:dyDescent="0.35">
      <c r="A2765" s="8" t="s">
        <v>54894</v>
      </c>
      <c r="B2765" s="8" t="s">
        <v>56265</v>
      </c>
    </row>
    <row r="2766" spans="1:2" ht="14.5" x14ac:dyDescent="0.35">
      <c r="A2766" s="8" t="s">
        <v>54894</v>
      </c>
      <c r="B2766" s="8" t="s">
        <v>56576</v>
      </c>
    </row>
    <row r="2767" spans="1:2" ht="14.5" x14ac:dyDescent="0.35">
      <c r="A2767" s="8" t="s">
        <v>54894</v>
      </c>
      <c r="B2767" s="8" t="s">
        <v>56340</v>
      </c>
    </row>
    <row r="2768" spans="1:2" ht="14.5" x14ac:dyDescent="0.35">
      <c r="A2768" s="8" t="s">
        <v>54894</v>
      </c>
      <c r="B2768" s="8" t="s">
        <v>56063</v>
      </c>
    </row>
    <row r="2769" spans="1:2" ht="14.5" x14ac:dyDescent="0.35">
      <c r="A2769" s="8" t="s">
        <v>54894</v>
      </c>
      <c r="B2769" s="8" t="s">
        <v>55465</v>
      </c>
    </row>
    <row r="2770" spans="1:2" ht="14.5" x14ac:dyDescent="0.35">
      <c r="A2770" s="8" t="s">
        <v>54894</v>
      </c>
      <c r="B2770" s="8" t="s">
        <v>55466</v>
      </c>
    </row>
    <row r="2771" spans="1:2" ht="14.5" x14ac:dyDescent="0.35">
      <c r="A2771" s="8" t="s">
        <v>54894</v>
      </c>
      <c r="B2771" s="8" t="s">
        <v>55467</v>
      </c>
    </row>
    <row r="2772" spans="1:2" ht="14.5" x14ac:dyDescent="0.35">
      <c r="A2772" s="8" t="s">
        <v>54894</v>
      </c>
      <c r="B2772" s="8" t="s">
        <v>58404</v>
      </c>
    </row>
    <row r="2773" spans="1:2" ht="14.5" x14ac:dyDescent="0.35">
      <c r="A2773" s="8" t="s">
        <v>54894</v>
      </c>
      <c r="B2773" s="8" t="s">
        <v>58448</v>
      </c>
    </row>
    <row r="2774" spans="1:2" ht="14.5" x14ac:dyDescent="0.35">
      <c r="A2774" s="8" t="s">
        <v>54894</v>
      </c>
      <c r="B2774" s="8" t="s">
        <v>55071</v>
      </c>
    </row>
    <row r="2775" spans="1:2" ht="14.5" x14ac:dyDescent="0.35">
      <c r="A2775" s="8" t="s">
        <v>54894</v>
      </c>
      <c r="B2775" s="8" t="s">
        <v>55570</v>
      </c>
    </row>
    <row r="2776" spans="1:2" ht="14.5" x14ac:dyDescent="0.35">
      <c r="A2776" s="8" t="s">
        <v>54894</v>
      </c>
      <c r="B2776" s="8" t="s">
        <v>55183</v>
      </c>
    </row>
    <row r="2777" spans="1:2" ht="14.5" x14ac:dyDescent="0.35">
      <c r="A2777" s="8" t="s">
        <v>54894</v>
      </c>
      <c r="B2777" s="8" t="s">
        <v>57796</v>
      </c>
    </row>
    <row r="2778" spans="1:2" ht="14.5" x14ac:dyDescent="0.35">
      <c r="A2778" s="8" t="s">
        <v>54894</v>
      </c>
      <c r="B2778" s="8" t="s">
        <v>57298</v>
      </c>
    </row>
    <row r="2779" spans="1:2" ht="14.5" x14ac:dyDescent="0.35">
      <c r="A2779" s="8" t="s">
        <v>54894</v>
      </c>
      <c r="B2779" s="8" t="s">
        <v>57828</v>
      </c>
    </row>
    <row r="2780" spans="1:2" ht="14.5" x14ac:dyDescent="0.35">
      <c r="A2780" s="8" t="s">
        <v>54894</v>
      </c>
      <c r="B2780" s="8" t="s">
        <v>57190</v>
      </c>
    </row>
    <row r="2781" spans="1:2" ht="14.5" x14ac:dyDescent="0.35">
      <c r="A2781" s="8" t="s">
        <v>54894</v>
      </c>
      <c r="B2781" s="8" t="s">
        <v>57388</v>
      </c>
    </row>
    <row r="2782" spans="1:2" ht="14.5" x14ac:dyDescent="0.35">
      <c r="A2782" s="8" t="s">
        <v>54894</v>
      </c>
      <c r="B2782" s="8" t="s">
        <v>57245</v>
      </c>
    </row>
    <row r="2783" spans="1:2" ht="14.5" x14ac:dyDescent="0.35">
      <c r="A2783" s="8" t="s">
        <v>54894</v>
      </c>
      <c r="B2783" s="8" t="s">
        <v>56159</v>
      </c>
    </row>
    <row r="2784" spans="1:2" ht="14.5" x14ac:dyDescent="0.35">
      <c r="A2784" s="8" t="s">
        <v>54894</v>
      </c>
      <c r="B2784" s="8" t="s">
        <v>56160</v>
      </c>
    </row>
    <row r="2785" spans="1:2" ht="14.5" x14ac:dyDescent="0.35">
      <c r="A2785" s="8" t="s">
        <v>54894</v>
      </c>
      <c r="B2785" s="8" t="s">
        <v>55486</v>
      </c>
    </row>
    <row r="2786" spans="1:2" ht="14.5" x14ac:dyDescent="0.35">
      <c r="A2786" s="8" t="s">
        <v>54894</v>
      </c>
      <c r="B2786" s="8" t="s">
        <v>55486</v>
      </c>
    </row>
    <row r="2787" spans="1:2" ht="14.5" x14ac:dyDescent="0.35">
      <c r="A2787" s="8" t="s">
        <v>54894</v>
      </c>
      <c r="B2787" s="8" t="s">
        <v>55486</v>
      </c>
    </row>
    <row r="2788" spans="1:2" ht="14.5" x14ac:dyDescent="0.35">
      <c r="A2788" s="8" t="s">
        <v>54894</v>
      </c>
      <c r="B2788" s="8" t="s">
        <v>57587</v>
      </c>
    </row>
    <row r="2789" spans="1:2" ht="14.5" x14ac:dyDescent="0.35">
      <c r="A2789" s="8" t="s">
        <v>54894</v>
      </c>
      <c r="B2789" s="8" t="s">
        <v>57588</v>
      </c>
    </row>
    <row r="2790" spans="1:2" ht="14.5" x14ac:dyDescent="0.35">
      <c r="A2790" s="8" t="s">
        <v>54894</v>
      </c>
      <c r="B2790" s="8" t="s">
        <v>1643</v>
      </c>
    </row>
    <row r="2791" spans="1:2" ht="14.5" x14ac:dyDescent="0.35">
      <c r="A2791" s="8" t="s">
        <v>54894</v>
      </c>
      <c r="B2791" s="8" t="s">
        <v>56024</v>
      </c>
    </row>
    <row r="2792" spans="1:2" ht="14.5" x14ac:dyDescent="0.35">
      <c r="A2792" s="8" t="s">
        <v>54894</v>
      </c>
      <c r="B2792" s="8" t="s">
        <v>56025</v>
      </c>
    </row>
    <row r="2793" spans="1:2" ht="14.5" x14ac:dyDescent="0.35">
      <c r="A2793" s="8" t="s">
        <v>54894</v>
      </c>
      <c r="B2793" s="8" t="s">
        <v>56026</v>
      </c>
    </row>
    <row r="2794" spans="1:2" ht="14.5" x14ac:dyDescent="0.35">
      <c r="A2794" s="8" t="s">
        <v>54894</v>
      </c>
      <c r="B2794" s="8" t="s">
        <v>56027</v>
      </c>
    </row>
    <row r="2795" spans="1:2" ht="14.5" x14ac:dyDescent="0.35">
      <c r="A2795" s="8" t="s">
        <v>54894</v>
      </c>
      <c r="B2795" s="8" t="s">
        <v>57389</v>
      </c>
    </row>
    <row r="2796" spans="1:2" ht="14.5" x14ac:dyDescent="0.35">
      <c r="A2796" s="8" t="s">
        <v>54894</v>
      </c>
      <c r="B2796" s="8" t="s">
        <v>57390</v>
      </c>
    </row>
    <row r="2797" spans="1:2" ht="14.5" x14ac:dyDescent="0.35">
      <c r="A2797" s="8" t="s">
        <v>54894</v>
      </c>
      <c r="B2797" s="8" t="s">
        <v>57064</v>
      </c>
    </row>
    <row r="2798" spans="1:2" ht="14.5" x14ac:dyDescent="0.35">
      <c r="A2798" s="8" t="s">
        <v>54894</v>
      </c>
      <c r="B2798" s="8" t="s">
        <v>57064</v>
      </c>
    </row>
    <row r="2799" spans="1:2" ht="14.5" x14ac:dyDescent="0.35">
      <c r="A2799" s="8" t="s">
        <v>54894</v>
      </c>
      <c r="B2799" s="8" t="s">
        <v>56984</v>
      </c>
    </row>
    <row r="2800" spans="1:2" ht="14.5" x14ac:dyDescent="0.35">
      <c r="A2800" s="8" t="s">
        <v>54894</v>
      </c>
      <c r="B2800" s="8" t="s">
        <v>56985</v>
      </c>
    </row>
    <row r="2801" spans="1:2" ht="14.5" x14ac:dyDescent="0.35">
      <c r="A2801" s="8" t="s">
        <v>54894</v>
      </c>
      <c r="B2801" s="8" t="s">
        <v>56986</v>
      </c>
    </row>
    <row r="2802" spans="1:2" ht="14.5" x14ac:dyDescent="0.35">
      <c r="A2802" s="8" t="s">
        <v>54894</v>
      </c>
      <c r="B2802" s="8" t="s">
        <v>56987</v>
      </c>
    </row>
    <row r="2803" spans="1:2" ht="14.5" x14ac:dyDescent="0.35">
      <c r="A2803" s="8" t="s">
        <v>54894</v>
      </c>
      <c r="B2803" s="8" t="s">
        <v>56356</v>
      </c>
    </row>
    <row r="2804" spans="1:2" ht="14.5" x14ac:dyDescent="0.35">
      <c r="A2804" s="8" t="s">
        <v>54894</v>
      </c>
      <c r="B2804" s="8" t="s">
        <v>56357</v>
      </c>
    </row>
    <row r="2805" spans="1:2" ht="14.5" x14ac:dyDescent="0.35">
      <c r="A2805" s="8" t="s">
        <v>54894</v>
      </c>
      <c r="B2805" s="8" t="s">
        <v>57589</v>
      </c>
    </row>
    <row r="2806" spans="1:2" ht="14.5" x14ac:dyDescent="0.35">
      <c r="A2806" s="8" t="s">
        <v>54894</v>
      </c>
      <c r="B2806" s="8" t="s">
        <v>58195</v>
      </c>
    </row>
    <row r="2807" spans="1:2" ht="14.5" x14ac:dyDescent="0.35">
      <c r="A2807" s="8" t="s">
        <v>54894</v>
      </c>
      <c r="B2807" s="8" t="s">
        <v>57894</v>
      </c>
    </row>
    <row r="2808" spans="1:2" ht="14.5" x14ac:dyDescent="0.35">
      <c r="A2808" s="8" t="s">
        <v>54894</v>
      </c>
      <c r="B2808" s="8" t="s">
        <v>58303</v>
      </c>
    </row>
    <row r="2809" spans="1:2" ht="14.5" x14ac:dyDescent="0.35">
      <c r="A2809" s="8" t="s">
        <v>54894</v>
      </c>
      <c r="B2809" s="8" t="s">
        <v>56186</v>
      </c>
    </row>
    <row r="2810" spans="1:2" ht="14.5" x14ac:dyDescent="0.35">
      <c r="A2810" s="8" t="s">
        <v>54894</v>
      </c>
      <c r="B2810" s="8" t="s">
        <v>56187</v>
      </c>
    </row>
    <row r="2811" spans="1:2" ht="14.5" x14ac:dyDescent="0.35">
      <c r="A2811" s="8" t="s">
        <v>54894</v>
      </c>
      <c r="B2811" s="8" t="s">
        <v>57881</v>
      </c>
    </row>
    <row r="2812" spans="1:2" ht="14.5" x14ac:dyDescent="0.35">
      <c r="A2812" s="8" t="s">
        <v>54894</v>
      </c>
      <c r="B2812" s="8" t="s">
        <v>57797</v>
      </c>
    </row>
    <row r="2813" spans="1:2" ht="14.5" x14ac:dyDescent="0.35">
      <c r="A2813" s="8" t="s">
        <v>54894</v>
      </c>
      <c r="B2813" s="8" t="s">
        <v>57882</v>
      </c>
    </row>
    <row r="2814" spans="1:2" ht="14.5" x14ac:dyDescent="0.35">
      <c r="A2814" s="8" t="s">
        <v>54894</v>
      </c>
      <c r="B2814" s="8" t="s">
        <v>57798</v>
      </c>
    </row>
    <row r="2815" spans="1:2" ht="14.5" x14ac:dyDescent="0.35">
      <c r="A2815" s="8" t="s">
        <v>54894</v>
      </c>
      <c r="B2815" s="8" t="s">
        <v>55974</v>
      </c>
    </row>
    <row r="2816" spans="1:2" ht="14.5" x14ac:dyDescent="0.35">
      <c r="A2816" s="8" t="s">
        <v>54894</v>
      </c>
      <c r="B2816" s="8" t="s">
        <v>57919</v>
      </c>
    </row>
    <row r="2817" spans="1:2" ht="14.5" x14ac:dyDescent="0.35">
      <c r="A2817" s="8" t="s">
        <v>54894</v>
      </c>
      <c r="B2817" s="8" t="s">
        <v>57590</v>
      </c>
    </row>
    <row r="2818" spans="1:2" ht="14.5" x14ac:dyDescent="0.35">
      <c r="A2818" s="8" t="s">
        <v>54894</v>
      </c>
      <c r="B2818" s="8" t="s">
        <v>56753</v>
      </c>
    </row>
    <row r="2819" spans="1:2" ht="14.5" x14ac:dyDescent="0.35">
      <c r="A2819" s="8" t="s">
        <v>54894</v>
      </c>
      <c r="B2819" s="8" t="s">
        <v>56754</v>
      </c>
    </row>
    <row r="2820" spans="1:2" ht="14.5" x14ac:dyDescent="0.35">
      <c r="A2820" s="8" t="s">
        <v>54894</v>
      </c>
      <c r="B2820" s="8" t="s">
        <v>56755</v>
      </c>
    </row>
    <row r="2821" spans="1:2" ht="14.5" x14ac:dyDescent="0.35">
      <c r="A2821" s="8" t="s">
        <v>54894</v>
      </c>
      <c r="B2821" s="8" t="s">
        <v>56756</v>
      </c>
    </row>
    <row r="2822" spans="1:2" ht="14.5" x14ac:dyDescent="0.35">
      <c r="A2822" s="8" t="s">
        <v>54894</v>
      </c>
      <c r="B2822" s="8" t="s">
        <v>56757</v>
      </c>
    </row>
    <row r="2823" spans="1:2" ht="14.5" x14ac:dyDescent="0.35">
      <c r="A2823" s="8" t="s">
        <v>54894</v>
      </c>
      <c r="B2823" s="8" t="s">
        <v>58211</v>
      </c>
    </row>
    <row r="2824" spans="1:2" ht="14.5" x14ac:dyDescent="0.35">
      <c r="A2824" s="8" t="s">
        <v>54894</v>
      </c>
      <c r="B2824" s="8" t="s">
        <v>56064</v>
      </c>
    </row>
    <row r="2825" spans="1:2" ht="14.5" x14ac:dyDescent="0.35">
      <c r="A2825" s="8" t="s">
        <v>54894</v>
      </c>
      <c r="B2825" s="8" t="s">
        <v>57591</v>
      </c>
    </row>
    <row r="2826" spans="1:2" ht="14.5" x14ac:dyDescent="0.35">
      <c r="A2826" s="8" t="s">
        <v>54894</v>
      </c>
      <c r="B2826" s="8" t="s">
        <v>57065</v>
      </c>
    </row>
    <row r="2827" spans="1:2" ht="14.5" x14ac:dyDescent="0.35">
      <c r="A2827" s="8" t="s">
        <v>54894</v>
      </c>
      <c r="B2827" s="8" t="s">
        <v>57066</v>
      </c>
    </row>
    <row r="2828" spans="1:2" ht="14.5" x14ac:dyDescent="0.35">
      <c r="A2828" s="8" t="s">
        <v>54894</v>
      </c>
      <c r="B2828" s="8" t="s">
        <v>57067</v>
      </c>
    </row>
    <row r="2829" spans="1:2" ht="14.5" x14ac:dyDescent="0.35">
      <c r="A2829" s="8" t="s">
        <v>54894</v>
      </c>
      <c r="B2829" s="8" t="s">
        <v>57068</v>
      </c>
    </row>
    <row r="2830" spans="1:2" ht="14.5" x14ac:dyDescent="0.35">
      <c r="A2830" s="8" t="s">
        <v>54894</v>
      </c>
      <c r="B2830" s="8" t="s">
        <v>57069</v>
      </c>
    </row>
    <row r="2831" spans="1:2" ht="14.5" x14ac:dyDescent="0.35">
      <c r="A2831" s="8" t="s">
        <v>54894</v>
      </c>
      <c r="B2831" s="8" t="s">
        <v>55546</v>
      </c>
    </row>
    <row r="2832" spans="1:2" ht="14.5" x14ac:dyDescent="0.35">
      <c r="A2832" s="8" t="s">
        <v>54894</v>
      </c>
      <c r="B2832" s="8" t="s">
        <v>55547</v>
      </c>
    </row>
    <row r="2833" spans="1:2" ht="14.5" x14ac:dyDescent="0.35">
      <c r="A2833" s="8" t="s">
        <v>54894</v>
      </c>
      <c r="B2833" s="8" t="s">
        <v>55548</v>
      </c>
    </row>
    <row r="2834" spans="1:2" ht="14.5" x14ac:dyDescent="0.35">
      <c r="A2834" s="8" t="s">
        <v>54894</v>
      </c>
      <c r="B2834" s="8" t="s">
        <v>57044</v>
      </c>
    </row>
    <row r="2835" spans="1:2" ht="14.5" x14ac:dyDescent="0.35">
      <c r="A2835" s="8" t="s">
        <v>54894</v>
      </c>
      <c r="B2835" s="8" t="s">
        <v>57045</v>
      </c>
    </row>
    <row r="2836" spans="1:2" ht="14.5" x14ac:dyDescent="0.35">
      <c r="A2836" s="8" t="s">
        <v>54894</v>
      </c>
      <c r="B2836" s="8" t="s">
        <v>58287</v>
      </c>
    </row>
    <row r="2837" spans="1:2" ht="14.5" x14ac:dyDescent="0.35">
      <c r="A2837" s="8" t="s">
        <v>54894</v>
      </c>
      <c r="B2837" s="8" t="s">
        <v>58288</v>
      </c>
    </row>
    <row r="2838" spans="1:2" ht="14.5" x14ac:dyDescent="0.35">
      <c r="A2838" s="8" t="s">
        <v>54894</v>
      </c>
      <c r="B2838" s="8" t="s">
        <v>57170</v>
      </c>
    </row>
    <row r="2839" spans="1:2" ht="14.5" x14ac:dyDescent="0.35">
      <c r="A2839" s="8" t="s">
        <v>54894</v>
      </c>
      <c r="B2839" s="8" t="s">
        <v>57170</v>
      </c>
    </row>
    <row r="2840" spans="1:2" ht="14.5" x14ac:dyDescent="0.35">
      <c r="A2840" s="8" t="s">
        <v>54894</v>
      </c>
      <c r="B2840" s="8" t="s">
        <v>57170</v>
      </c>
    </row>
    <row r="2841" spans="1:2" ht="14.5" x14ac:dyDescent="0.35">
      <c r="A2841" s="8" t="s">
        <v>54894</v>
      </c>
      <c r="B2841" s="8" t="s">
        <v>58289</v>
      </c>
    </row>
    <row r="2842" spans="1:2" ht="14.5" x14ac:dyDescent="0.35">
      <c r="A2842" s="8" t="s">
        <v>54894</v>
      </c>
      <c r="B2842" s="8" t="s">
        <v>56065</v>
      </c>
    </row>
    <row r="2843" spans="1:2" ht="14.5" x14ac:dyDescent="0.35">
      <c r="A2843" s="8" t="s">
        <v>54894</v>
      </c>
      <c r="B2843" s="8" t="s">
        <v>56422</v>
      </c>
    </row>
    <row r="2844" spans="1:2" ht="14.5" x14ac:dyDescent="0.35">
      <c r="A2844" s="8" t="s">
        <v>54894</v>
      </c>
      <c r="B2844" s="8" t="s">
        <v>56423</v>
      </c>
    </row>
    <row r="2845" spans="1:2" ht="14.5" x14ac:dyDescent="0.35">
      <c r="A2845" s="8" t="s">
        <v>54894</v>
      </c>
      <c r="B2845" s="8" t="s">
        <v>56758</v>
      </c>
    </row>
    <row r="2846" spans="1:2" ht="14.5" x14ac:dyDescent="0.35">
      <c r="A2846" s="8" t="s">
        <v>54894</v>
      </c>
      <c r="B2846" s="8" t="s">
        <v>57106</v>
      </c>
    </row>
    <row r="2847" spans="1:2" ht="14.5" x14ac:dyDescent="0.35">
      <c r="A2847" s="8" t="s">
        <v>54894</v>
      </c>
      <c r="B2847" s="8" t="s">
        <v>57561</v>
      </c>
    </row>
    <row r="2848" spans="1:2" ht="14.5" x14ac:dyDescent="0.35">
      <c r="A2848" s="8" t="s">
        <v>54894</v>
      </c>
      <c r="B2848" s="8" t="s">
        <v>57562</v>
      </c>
    </row>
    <row r="2849" spans="1:2" ht="14.5" x14ac:dyDescent="0.35">
      <c r="A2849" s="8" t="s">
        <v>54894</v>
      </c>
      <c r="B2849" s="8" t="s">
        <v>57870</v>
      </c>
    </row>
    <row r="2850" spans="1:2" ht="14.5" x14ac:dyDescent="0.35">
      <c r="A2850" s="8" t="s">
        <v>54894</v>
      </c>
      <c r="B2850" s="8" t="s">
        <v>57391</v>
      </c>
    </row>
    <row r="2851" spans="1:2" ht="14.5" x14ac:dyDescent="0.35">
      <c r="A2851" s="8" t="s">
        <v>54894</v>
      </c>
      <c r="B2851" s="8" t="s">
        <v>56577</v>
      </c>
    </row>
    <row r="2852" spans="1:2" ht="14.5" x14ac:dyDescent="0.35">
      <c r="A2852" s="8" t="s">
        <v>54894</v>
      </c>
      <c r="B2852" s="8" t="s">
        <v>57274</v>
      </c>
    </row>
    <row r="2853" spans="1:2" ht="14.5" x14ac:dyDescent="0.35">
      <c r="A2853" s="8" t="s">
        <v>54894</v>
      </c>
      <c r="B2853" s="8" t="s">
        <v>55585</v>
      </c>
    </row>
    <row r="2854" spans="1:2" ht="14.5" x14ac:dyDescent="0.35">
      <c r="A2854" s="8" t="s">
        <v>54894</v>
      </c>
      <c r="B2854" s="8" t="s">
        <v>56341</v>
      </c>
    </row>
    <row r="2855" spans="1:2" ht="14.5" x14ac:dyDescent="0.35">
      <c r="A2855" s="8" t="s">
        <v>54894</v>
      </c>
      <c r="B2855" s="8" t="s">
        <v>55221</v>
      </c>
    </row>
    <row r="2856" spans="1:2" ht="14.5" x14ac:dyDescent="0.35">
      <c r="A2856" s="8" t="s">
        <v>54894</v>
      </c>
      <c r="B2856" s="8" t="s">
        <v>58419</v>
      </c>
    </row>
    <row r="2857" spans="1:2" ht="14.5" x14ac:dyDescent="0.35">
      <c r="A2857" s="8" t="s">
        <v>54894</v>
      </c>
      <c r="B2857" s="8" t="s">
        <v>55606</v>
      </c>
    </row>
    <row r="2858" spans="1:2" ht="14.5" x14ac:dyDescent="0.35">
      <c r="A2858" s="8" t="s">
        <v>54894</v>
      </c>
      <c r="B2858" s="8" t="s">
        <v>55684</v>
      </c>
    </row>
    <row r="2859" spans="1:2" ht="14.5" x14ac:dyDescent="0.35">
      <c r="A2859" s="8" t="s">
        <v>54894</v>
      </c>
      <c r="B2859" s="8" t="s">
        <v>57948</v>
      </c>
    </row>
    <row r="2860" spans="1:2" ht="14.5" x14ac:dyDescent="0.35">
      <c r="A2860" s="8" t="s">
        <v>54894</v>
      </c>
      <c r="B2860" s="8" t="s">
        <v>57509</v>
      </c>
    </row>
    <row r="2861" spans="1:2" ht="14.5" x14ac:dyDescent="0.35">
      <c r="A2861" s="8" t="s">
        <v>54894</v>
      </c>
      <c r="B2861" s="8" t="s">
        <v>55709</v>
      </c>
    </row>
    <row r="2862" spans="1:2" ht="14.5" x14ac:dyDescent="0.35">
      <c r="A2862" s="8" t="s">
        <v>54894</v>
      </c>
      <c r="B2862" s="8" t="s">
        <v>57004</v>
      </c>
    </row>
    <row r="2863" spans="1:2" ht="14.5" x14ac:dyDescent="0.35">
      <c r="A2863" s="8" t="s">
        <v>54894</v>
      </c>
      <c r="B2863" s="8" t="s">
        <v>57715</v>
      </c>
    </row>
    <row r="2864" spans="1:2" ht="14.5" x14ac:dyDescent="0.35">
      <c r="A2864" s="8" t="s">
        <v>54894</v>
      </c>
      <c r="B2864" s="8" t="s">
        <v>56424</v>
      </c>
    </row>
    <row r="2865" spans="1:2" ht="14.5" x14ac:dyDescent="0.35">
      <c r="A2865" s="8" t="s">
        <v>54894</v>
      </c>
      <c r="B2865" s="8" t="s">
        <v>57392</v>
      </c>
    </row>
    <row r="2866" spans="1:2" ht="14.5" x14ac:dyDescent="0.35">
      <c r="A2866" s="8" t="s">
        <v>54894</v>
      </c>
      <c r="B2866" s="8" t="s">
        <v>57847</v>
      </c>
    </row>
    <row r="2867" spans="1:2" ht="14.5" x14ac:dyDescent="0.35">
      <c r="A2867" s="8" t="s">
        <v>54894</v>
      </c>
      <c r="B2867" s="8" t="s">
        <v>56490</v>
      </c>
    </row>
    <row r="2868" spans="1:2" ht="14.5" x14ac:dyDescent="0.35">
      <c r="A2868" s="8" t="s">
        <v>54894</v>
      </c>
      <c r="B2868" s="8" t="s">
        <v>56491</v>
      </c>
    </row>
    <row r="2869" spans="1:2" ht="14.5" x14ac:dyDescent="0.35">
      <c r="A2869" s="8" t="s">
        <v>54894</v>
      </c>
      <c r="B2869" s="8" t="s">
        <v>55638</v>
      </c>
    </row>
    <row r="2870" spans="1:2" ht="14.5" x14ac:dyDescent="0.35">
      <c r="A2870" s="8" t="s">
        <v>54894</v>
      </c>
      <c r="B2870" s="8" t="s">
        <v>56539</v>
      </c>
    </row>
    <row r="2871" spans="1:2" ht="14.5" x14ac:dyDescent="0.35">
      <c r="A2871" s="8" t="s">
        <v>54894</v>
      </c>
      <c r="B2871" s="8" t="s">
        <v>56520</v>
      </c>
    </row>
    <row r="2872" spans="1:2" ht="14.5" x14ac:dyDescent="0.35">
      <c r="A2872" s="8" t="s">
        <v>54894</v>
      </c>
      <c r="B2872" s="8" t="s">
        <v>56542</v>
      </c>
    </row>
    <row r="2873" spans="1:2" ht="14.5" x14ac:dyDescent="0.35">
      <c r="A2873" s="8" t="s">
        <v>54894</v>
      </c>
      <c r="B2873" s="8" t="s">
        <v>2806</v>
      </c>
    </row>
    <row r="2874" spans="1:2" ht="14.5" x14ac:dyDescent="0.35">
      <c r="A2874" s="8" t="s">
        <v>54894</v>
      </c>
      <c r="B2874" s="8" t="s">
        <v>55614</v>
      </c>
    </row>
    <row r="2875" spans="1:2" ht="14.5" x14ac:dyDescent="0.35">
      <c r="A2875" s="8" t="s">
        <v>54894</v>
      </c>
      <c r="B2875" s="8" t="s">
        <v>55615</v>
      </c>
    </row>
    <row r="2876" spans="1:2" ht="14.5" x14ac:dyDescent="0.35">
      <c r="A2876" s="8" t="s">
        <v>54894</v>
      </c>
      <c r="B2876" s="8" t="s">
        <v>56759</v>
      </c>
    </row>
    <row r="2877" spans="1:2" ht="14.5" x14ac:dyDescent="0.35">
      <c r="A2877" s="8" t="s">
        <v>54894</v>
      </c>
      <c r="B2877" s="8" t="s">
        <v>56760</v>
      </c>
    </row>
    <row r="2878" spans="1:2" ht="14.5" x14ac:dyDescent="0.35">
      <c r="A2878" s="8" t="s">
        <v>54894</v>
      </c>
      <c r="B2878" s="8" t="s">
        <v>56761</v>
      </c>
    </row>
    <row r="2879" spans="1:2" ht="14.5" x14ac:dyDescent="0.35">
      <c r="A2879" s="8" t="s">
        <v>54894</v>
      </c>
      <c r="B2879" s="8" t="s">
        <v>56762</v>
      </c>
    </row>
    <row r="2880" spans="1:2" ht="14.5" x14ac:dyDescent="0.35">
      <c r="A2880" s="8" t="s">
        <v>54894</v>
      </c>
      <c r="B2880" s="8" t="s">
        <v>56763</v>
      </c>
    </row>
    <row r="2881" spans="1:2" ht="14.5" x14ac:dyDescent="0.35">
      <c r="A2881" s="8" t="s">
        <v>54894</v>
      </c>
      <c r="B2881" s="8" t="s">
        <v>55554</v>
      </c>
    </row>
    <row r="2882" spans="1:2" ht="14.5" x14ac:dyDescent="0.35">
      <c r="A2882" s="8" t="s">
        <v>54894</v>
      </c>
      <c r="B2882" s="8" t="s">
        <v>55555</v>
      </c>
    </row>
    <row r="2883" spans="1:2" ht="14.5" x14ac:dyDescent="0.35">
      <c r="A2883" s="8" t="s">
        <v>54894</v>
      </c>
      <c r="B2883" s="8" t="s">
        <v>55556</v>
      </c>
    </row>
    <row r="2884" spans="1:2" ht="14.5" x14ac:dyDescent="0.35">
      <c r="A2884" s="8" t="s">
        <v>54894</v>
      </c>
      <c r="B2884" s="8" t="s">
        <v>55925</v>
      </c>
    </row>
    <row r="2885" spans="1:2" ht="14.5" x14ac:dyDescent="0.35">
      <c r="A2885" s="8" t="s">
        <v>54894</v>
      </c>
      <c r="B2885" s="8" t="s">
        <v>53</v>
      </c>
    </row>
    <row r="2886" spans="1:2" ht="14.5" x14ac:dyDescent="0.35">
      <c r="A2886" s="8" t="s">
        <v>54894</v>
      </c>
      <c r="B2886" s="8" t="s">
        <v>53</v>
      </c>
    </row>
    <row r="2887" spans="1:2" ht="14.5" x14ac:dyDescent="0.35">
      <c r="A2887" s="8" t="s">
        <v>54894</v>
      </c>
      <c r="B2887" s="8" t="s">
        <v>53</v>
      </c>
    </row>
    <row r="2888" spans="1:2" ht="14.5" x14ac:dyDescent="0.35">
      <c r="A2888" s="8" t="s">
        <v>54894</v>
      </c>
      <c r="B2888" s="8" t="s">
        <v>53</v>
      </c>
    </row>
    <row r="2889" spans="1:2" ht="14.5" x14ac:dyDescent="0.35">
      <c r="A2889" s="8" t="s">
        <v>54894</v>
      </c>
      <c r="B2889" s="8" t="s">
        <v>53</v>
      </c>
    </row>
    <row r="2890" spans="1:2" ht="14.5" x14ac:dyDescent="0.35">
      <c r="A2890" s="8" t="s">
        <v>54894</v>
      </c>
      <c r="B2890" s="8" t="s">
        <v>55281</v>
      </c>
    </row>
    <row r="2891" spans="1:2" ht="14.5" x14ac:dyDescent="0.35">
      <c r="A2891" s="8" t="s">
        <v>54894</v>
      </c>
      <c r="B2891" s="8" t="s">
        <v>58294</v>
      </c>
    </row>
    <row r="2892" spans="1:2" ht="14.5" x14ac:dyDescent="0.35">
      <c r="A2892" s="8" t="s">
        <v>54894</v>
      </c>
      <c r="B2892" s="8" t="s">
        <v>55560</v>
      </c>
    </row>
    <row r="2893" spans="1:2" ht="14.5" x14ac:dyDescent="0.35">
      <c r="A2893" s="8" t="s">
        <v>54894</v>
      </c>
      <c r="B2893" s="8" t="s">
        <v>55560</v>
      </c>
    </row>
    <row r="2894" spans="1:2" ht="14.5" x14ac:dyDescent="0.35">
      <c r="A2894" s="8" t="s">
        <v>54894</v>
      </c>
      <c r="B2894" s="8" t="s">
        <v>56157</v>
      </c>
    </row>
    <row r="2895" spans="1:2" ht="14.5" x14ac:dyDescent="0.35">
      <c r="A2895" s="8" t="s">
        <v>54894</v>
      </c>
      <c r="B2895" s="8" t="s">
        <v>57726</v>
      </c>
    </row>
    <row r="2896" spans="1:2" ht="14.5" x14ac:dyDescent="0.35">
      <c r="A2896" s="8" t="s">
        <v>54894</v>
      </c>
      <c r="B2896" s="8" t="s">
        <v>55255</v>
      </c>
    </row>
    <row r="2897" spans="1:2" ht="14.5" x14ac:dyDescent="0.35">
      <c r="A2897" s="8" t="s">
        <v>54894</v>
      </c>
      <c r="B2897" s="8" t="s">
        <v>55256</v>
      </c>
    </row>
    <row r="2898" spans="1:2" ht="14.5" x14ac:dyDescent="0.35">
      <c r="A2898" s="8" t="s">
        <v>54894</v>
      </c>
      <c r="B2898" s="8" t="s">
        <v>55257</v>
      </c>
    </row>
    <row r="2899" spans="1:2" ht="14.5" x14ac:dyDescent="0.35">
      <c r="A2899" s="8" t="s">
        <v>54894</v>
      </c>
      <c r="B2899" s="8" t="s">
        <v>55258</v>
      </c>
    </row>
    <row r="2900" spans="1:2" ht="14.5" x14ac:dyDescent="0.35">
      <c r="A2900" s="8" t="s">
        <v>54894</v>
      </c>
      <c r="B2900" s="8" t="s">
        <v>55999</v>
      </c>
    </row>
    <row r="2901" spans="1:2" ht="14.5" x14ac:dyDescent="0.35">
      <c r="A2901" s="8" t="s">
        <v>54894</v>
      </c>
      <c r="B2901" s="8" t="s">
        <v>55975</v>
      </c>
    </row>
    <row r="2902" spans="1:2" ht="14.5" x14ac:dyDescent="0.35">
      <c r="A2902" s="8" t="s">
        <v>54894</v>
      </c>
      <c r="B2902" s="8" t="s">
        <v>55317</v>
      </c>
    </row>
    <row r="2903" spans="1:2" ht="14.5" x14ac:dyDescent="0.35">
      <c r="A2903" s="8" t="s">
        <v>54894</v>
      </c>
      <c r="B2903" s="8" t="s">
        <v>57813</v>
      </c>
    </row>
    <row r="2904" spans="1:2" ht="14.5" x14ac:dyDescent="0.35">
      <c r="A2904" s="8" t="s">
        <v>54894</v>
      </c>
      <c r="B2904" s="8" t="s">
        <v>55184</v>
      </c>
    </row>
    <row r="2905" spans="1:2" ht="14.5" x14ac:dyDescent="0.35">
      <c r="A2905" s="8" t="s">
        <v>54894</v>
      </c>
      <c r="B2905" s="8" t="s">
        <v>57510</v>
      </c>
    </row>
    <row r="2906" spans="1:2" ht="14.5" x14ac:dyDescent="0.35">
      <c r="A2906" s="8" t="s">
        <v>54894</v>
      </c>
      <c r="B2906" s="8" t="s">
        <v>57366</v>
      </c>
    </row>
    <row r="2907" spans="1:2" ht="14.5" x14ac:dyDescent="0.35">
      <c r="A2907" s="8" t="s">
        <v>54894</v>
      </c>
      <c r="B2907" s="8" t="s">
        <v>58328</v>
      </c>
    </row>
    <row r="2908" spans="1:2" ht="14.5" x14ac:dyDescent="0.35">
      <c r="A2908" s="8" t="s">
        <v>54894</v>
      </c>
      <c r="B2908" s="8" t="s">
        <v>54097</v>
      </c>
    </row>
    <row r="2909" spans="1:2" ht="14.5" x14ac:dyDescent="0.35">
      <c r="A2909" s="8" t="s">
        <v>54894</v>
      </c>
      <c r="B2909" s="8" t="s">
        <v>54097</v>
      </c>
    </row>
    <row r="2910" spans="1:2" ht="14.5" x14ac:dyDescent="0.35">
      <c r="A2910" s="8" t="s">
        <v>54894</v>
      </c>
      <c r="B2910" s="8" t="s">
        <v>56153</v>
      </c>
    </row>
    <row r="2911" spans="1:2" ht="14.5" x14ac:dyDescent="0.35">
      <c r="A2911" s="8" t="s">
        <v>54894</v>
      </c>
      <c r="B2911" s="8" t="s">
        <v>56132</v>
      </c>
    </row>
    <row r="2912" spans="1:2" ht="14.5" x14ac:dyDescent="0.35">
      <c r="A2912" s="8" t="s">
        <v>54894</v>
      </c>
      <c r="B2912" s="8" t="s">
        <v>56132</v>
      </c>
    </row>
    <row r="2913" spans="1:2" ht="14.5" x14ac:dyDescent="0.35">
      <c r="A2913" s="8" t="s">
        <v>54894</v>
      </c>
      <c r="B2913" s="8" t="s">
        <v>56133</v>
      </c>
    </row>
    <row r="2914" spans="1:2" ht="14.5" x14ac:dyDescent="0.35">
      <c r="A2914" s="8" t="s">
        <v>54894</v>
      </c>
      <c r="B2914" s="8" t="s">
        <v>56133</v>
      </c>
    </row>
    <row r="2915" spans="1:2" ht="14.5" x14ac:dyDescent="0.35">
      <c r="A2915" s="8" t="s">
        <v>54894</v>
      </c>
      <c r="B2915" s="8" t="s">
        <v>55891</v>
      </c>
    </row>
    <row r="2916" spans="1:2" ht="14.5" x14ac:dyDescent="0.35">
      <c r="A2916" s="8" t="s">
        <v>54894</v>
      </c>
      <c r="B2916" s="8" t="s">
        <v>55891</v>
      </c>
    </row>
    <row r="2917" spans="1:2" ht="14.5" x14ac:dyDescent="0.35">
      <c r="A2917" s="8" t="s">
        <v>54894</v>
      </c>
      <c r="B2917" s="8" t="s">
        <v>55891</v>
      </c>
    </row>
    <row r="2918" spans="1:2" ht="14.5" x14ac:dyDescent="0.35">
      <c r="A2918" s="8" t="s">
        <v>54894</v>
      </c>
      <c r="B2918" s="8" t="s">
        <v>55892</v>
      </c>
    </row>
    <row r="2919" spans="1:2" ht="14.5" x14ac:dyDescent="0.35">
      <c r="A2919" s="8" t="s">
        <v>54894</v>
      </c>
      <c r="B2919" s="8" t="s">
        <v>55892</v>
      </c>
    </row>
    <row r="2920" spans="1:2" ht="14.5" x14ac:dyDescent="0.35">
      <c r="A2920" s="8" t="s">
        <v>54894</v>
      </c>
      <c r="B2920" s="8" t="s">
        <v>55892</v>
      </c>
    </row>
    <row r="2921" spans="1:2" ht="14.5" x14ac:dyDescent="0.35">
      <c r="A2921" s="8" t="s">
        <v>54894</v>
      </c>
      <c r="B2921" s="8" t="s">
        <v>55893</v>
      </c>
    </row>
    <row r="2922" spans="1:2" ht="14.5" x14ac:dyDescent="0.35">
      <c r="A2922" s="8" t="s">
        <v>54894</v>
      </c>
      <c r="B2922" s="8" t="s">
        <v>55893</v>
      </c>
    </row>
    <row r="2923" spans="1:2" ht="14.5" x14ac:dyDescent="0.35">
      <c r="A2923" s="8" t="s">
        <v>54894</v>
      </c>
      <c r="B2923" s="8" t="s">
        <v>55893</v>
      </c>
    </row>
    <row r="2924" spans="1:2" ht="14.5" x14ac:dyDescent="0.35">
      <c r="A2924" s="8" t="s">
        <v>54894</v>
      </c>
      <c r="B2924" s="8" t="s">
        <v>55894</v>
      </c>
    </row>
    <row r="2925" spans="1:2" ht="14.5" x14ac:dyDescent="0.35">
      <c r="A2925" s="8" t="s">
        <v>54894</v>
      </c>
      <c r="B2925" s="8" t="s">
        <v>55894</v>
      </c>
    </row>
    <row r="2926" spans="1:2" ht="14.5" x14ac:dyDescent="0.35">
      <c r="A2926" s="8" t="s">
        <v>54894</v>
      </c>
      <c r="B2926" s="8" t="s">
        <v>55895</v>
      </c>
    </row>
    <row r="2927" spans="1:2" ht="14.5" x14ac:dyDescent="0.35">
      <c r="A2927" s="8" t="s">
        <v>54894</v>
      </c>
      <c r="B2927" s="8" t="s">
        <v>55895</v>
      </c>
    </row>
    <row r="2928" spans="1:2" ht="14.5" x14ac:dyDescent="0.35">
      <c r="A2928" s="8" t="s">
        <v>54894</v>
      </c>
      <c r="B2928" s="8" t="s">
        <v>55896</v>
      </c>
    </row>
    <row r="2929" spans="1:2" ht="14.5" x14ac:dyDescent="0.35">
      <c r="A2929" s="8" t="s">
        <v>54894</v>
      </c>
      <c r="B2929" s="8" t="s">
        <v>55896</v>
      </c>
    </row>
    <row r="2930" spans="1:2" ht="14.5" x14ac:dyDescent="0.35">
      <c r="A2930" s="8" t="s">
        <v>54894</v>
      </c>
      <c r="B2930" s="8" t="s">
        <v>56134</v>
      </c>
    </row>
    <row r="2931" spans="1:2" ht="14.5" x14ac:dyDescent="0.35">
      <c r="A2931" s="8" t="s">
        <v>54894</v>
      </c>
      <c r="B2931" s="8" t="s">
        <v>54098</v>
      </c>
    </row>
    <row r="2932" spans="1:2" ht="14.5" x14ac:dyDescent="0.35">
      <c r="A2932" s="8" t="s">
        <v>54894</v>
      </c>
      <c r="B2932" s="8" t="s">
        <v>54098</v>
      </c>
    </row>
    <row r="2933" spans="1:2" ht="14.5" x14ac:dyDescent="0.35">
      <c r="A2933" s="8" t="s">
        <v>54894</v>
      </c>
      <c r="B2933" s="8" t="s">
        <v>56135</v>
      </c>
    </row>
    <row r="2934" spans="1:2" ht="14.5" x14ac:dyDescent="0.35">
      <c r="A2934" s="8" t="s">
        <v>54894</v>
      </c>
      <c r="B2934" s="8" t="s">
        <v>56135</v>
      </c>
    </row>
    <row r="2935" spans="1:2" ht="14.5" x14ac:dyDescent="0.35">
      <c r="A2935" s="8" t="s">
        <v>54894</v>
      </c>
      <c r="B2935" s="8" t="s">
        <v>56136</v>
      </c>
    </row>
    <row r="2936" spans="1:2" ht="14.5" x14ac:dyDescent="0.35">
      <c r="A2936" s="8" t="s">
        <v>54894</v>
      </c>
      <c r="B2936" s="8" t="s">
        <v>56136</v>
      </c>
    </row>
    <row r="2937" spans="1:2" ht="14.5" x14ac:dyDescent="0.35">
      <c r="A2937" s="8" t="s">
        <v>54894</v>
      </c>
      <c r="B2937" s="8" t="s">
        <v>56136</v>
      </c>
    </row>
    <row r="2938" spans="1:2" ht="14.5" x14ac:dyDescent="0.35">
      <c r="A2938" s="8" t="s">
        <v>54894</v>
      </c>
      <c r="B2938" s="8" t="s">
        <v>56137</v>
      </c>
    </row>
    <row r="2939" spans="1:2" ht="14.5" x14ac:dyDescent="0.35">
      <c r="A2939" s="8" t="s">
        <v>54894</v>
      </c>
      <c r="B2939" s="8" t="s">
        <v>56137</v>
      </c>
    </row>
    <row r="2940" spans="1:2" ht="14.5" x14ac:dyDescent="0.35">
      <c r="A2940" s="8" t="s">
        <v>54894</v>
      </c>
      <c r="B2940" s="8" t="s">
        <v>56138</v>
      </c>
    </row>
    <row r="2941" spans="1:2" ht="14.5" x14ac:dyDescent="0.35">
      <c r="A2941" s="8" t="s">
        <v>54894</v>
      </c>
      <c r="B2941" s="8" t="s">
        <v>56138</v>
      </c>
    </row>
    <row r="2942" spans="1:2" ht="14.5" x14ac:dyDescent="0.35">
      <c r="A2942" s="8" t="s">
        <v>54894</v>
      </c>
      <c r="B2942" s="8" t="s">
        <v>56139</v>
      </c>
    </row>
    <row r="2943" spans="1:2" ht="14.5" x14ac:dyDescent="0.35">
      <c r="A2943" s="8" t="s">
        <v>54894</v>
      </c>
      <c r="B2943" s="8" t="s">
        <v>56139</v>
      </c>
    </row>
    <row r="2944" spans="1:2" ht="14.5" x14ac:dyDescent="0.35">
      <c r="A2944" s="8" t="s">
        <v>54894</v>
      </c>
      <c r="B2944" s="8" t="s">
        <v>56154</v>
      </c>
    </row>
    <row r="2945" spans="1:2" ht="14.5" x14ac:dyDescent="0.35">
      <c r="A2945" s="8" t="s">
        <v>54894</v>
      </c>
      <c r="B2945" s="8" t="s">
        <v>56140</v>
      </c>
    </row>
    <row r="2946" spans="1:2" ht="14.5" x14ac:dyDescent="0.35">
      <c r="A2946" s="8" t="s">
        <v>54894</v>
      </c>
      <c r="B2946" s="8" t="s">
        <v>56141</v>
      </c>
    </row>
    <row r="2947" spans="1:2" ht="14.5" x14ac:dyDescent="0.35">
      <c r="A2947" s="8" t="s">
        <v>54894</v>
      </c>
      <c r="B2947" s="8" t="s">
        <v>56142</v>
      </c>
    </row>
    <row r="2948" spans="1:2" ht="14.5" x14ac:dyDescent="0.35">
      <c r="A2948" s="8" t="s">
        <v>54894</v>
      </c>
      <c r="B2948" s="8" t="s">
        <v>56143</v>
      </c>
    </row>
    <row r="2949" spans="1:2" ht="14.5" x14ac:dyDescent="0.35">
      <c r="A2949" s="8" t="s">
        <v>54894</v>
      </c>
      <c r="B2949" s="8" t="s">
        <v>54099</v>
      </c>
    </row>
    <row r="2950" spans="1:2" ht="14.5" x14ac:dyDescent="0.35">
      <c r="A2950" s="8" t="s">
        <v>54894</v>
      </c>
      <c r="B2950" s="8" t="s">
        <v>54099</v>
      </c>
    </row>
    <row r="2951" spans="1:2" ht="14.5" x14ac:dyDescent="0.35">
      <c r="A2951" s="8" t="s">
        <v>54894</v>
      </c>
      <c r="B2951" s="8" t="s">
        <v>56144</v>
      </c>
    </row>
    <row r="2952" spans="1:2" ht="14.5" x14ac:dyDescent="0.35">
      <c r="A2952" s="8" t="s">
        <v>54894</v>
      </c>
      <c r="B2952" s="8" t="s">
        <v>56145</v>
      </c>
    </row>
    <row r="2953" spans="1:2" ht="14.5" x14ac:dyDescent="0.35">
      <c r="A2953" s="8" t="s">
        <v>54894</v>
      </c>
      <c r="B2953" s="8" t="s">
        <v>56146</v>
      </c>
    </row>
    <row r="2954" spans="1:2" ht="14.5" x14ac:dyDescent="0.35">
      <c r="A2954" s="8" t="s">
        <v>54894</v>
      </c>
      <c r="B2954" s="8" t="s">
        <v>56147</v>
      </c>
    </row>
    <row r="2955" spans="1:2" ht="14.5" x14ac:dyDescent="0.35">
      <c r="A2955" s="8" t="s">
        <v>54894</v>
      </c>
      <c r="B2955" s="8" t="s">
        <v>54100</v>
      </c>
    </row>
    <row r="2956" spans="1:2" ht="14.5" x14ac:dyDescent="0.35">
      <c r="A2956" s="8" t="s">
        <v>54894</v>
      </c>
      <c r="B2956" s="8" t="s">
        <v>54100</v>
      </c>
    </row>
    <row r="2957" spans="1:2" ht="14.5" x14ac:dyDescent="0.35">
      <c r="A2957" s="8" t="s">
        <v>54894</v>
      </c>
      <c r="B2957" s="8" t="s">
        <v>54101</v>
      </c>
    </row>
    <row r="2958" spans="1:2" ht="14.5" x14ac:dyDescent="0.35">
      <c r="A2958" s="8" t="s">
        <v>54894</v>
      </c>
      <c r="B2958" s="8" t="s">
        <v>54101</v>
      </c>
    </row>
    <row r="2959" spans="1:2" ht="14.5" x14ac:dyDescent="0.35">
      <c r="A2959" s="8" t="s">
        <v>54894</v>
      </c>
      <c r="B2959" s="8" t="s">
        <v>54101</v>
      </c>
    </row>
    <row r="2960" spans="1:2" ht="14.5" x14ac:dyDescent="0.35">
      <c r="A2960" s="8" t="s">
        <v>54894</v>
      </c>
      <c r="B2960" s="8" t="s">
        <v>54101</v>
      </c>
    </row>
    <row r="2961" spans="1:2" ht="14.5" x14ac:dyDescent="0.35">
      <c r="A2961" s="8" t="s">
        <v>54894</v>
      </c>
      <c r="B2961" s="8" t="s">
        <v>54101</v>
      </c>
    </row>
    <row r="2962" spans="1:2" ht="14.5" x14ac:dyDescent="0.35">
      <c r="A2962" s="8" t="s">
        <v>54894</v>
      </c>
      <c r="B2962" s="8" t="s">
        <v>54102</v>
      </c>
    </row>
    <row r="2963" spans="1:2" ht="14.5" x14ac:dyDescent="0.35">
      <c r="A2963" s="8" t="s">
        <v>54894</v>
      </c>
      <c r="B2963" s="8" t="s">
        <v>54102</v>
      </c>
    </row>
    <row r="2964" spans="1:2" ht="14.5" x14ac:dyDescent="0.35">
      <c r="A2964" s="8" t="s">
        <v>54894</v>
      </c>
      <c r="B2964" s="8" t="s">
        <v>54102</v>
      </c>
    </row>
    <row r="2965" spans="1:2" ht="14.5" x14ac:dyDescent="0.35">
      <c r="A2965" s="8" t="s">
        <v>54894</v>
      </c>
      <c r="B2965" s="8" t="s">
        <v>56148</v>
      </c>
    </row>
    <row r="2966" spans="1:2" ht="14.5" x14ac:dyDescent="0.35">
      <c r="A2966" s="8" t="s">
        <v>54894</v>
      </c>
      <c r="B2966" s="8" t="s">
        <v>56148</v>
      </c>
    </row>
    <row r="2967" spans="1:2" ht="14.5" x14ac:dyDescent="0.35">
      <c r="A2967" s="8" t="s">
        <v>54894</v>
      </c>
      <c r="B2967" s="8" t="s">
        <v>56149</v>
      </c>
    </row>
    <row r="2968" spans="1:2" ht="14.5" x14ac:dyDescent="0.35">
      <c r="A2968" s="8" t="s">
        <v>54894</v>
      </c>
      <c r="B2968" s="8" t="s">
        <v>56149</v>
      </c>
    </row>
    <row r="2969" spans="1:2" ht="14.5" x14ac:dyDescent="0.35">
      <c r="A2969" s="8" t="s">
        <v>54894</v>
      </c>
      <c r="B2969" s="8" t="s">
        <v>56150</v>
      </c>
    </row>
    <row r="2970" spans="1:2" ht="14.5" x14ac:dyDescent="0.35">
      <c r="A2970" s="8" t="s">
        <v>54894</v>
      </c>
      <c r="B2970" s="8" t="s">
        <v>56150</v>
      </c>
    </row>
    <row r="2971" spans="1:2" ht="14.5" x14ac:dyDescent="0.35">
      <c r="A2971" s="8" t="s">
        <v>54894</v>
      </c>
      <c r="B2971" s="8" t="s">
        <v>56150</v>
      </c>
    </row>
    <row r="2972" spans="1:2" ht="14.5" x14ac:dyDescent="0.35">
      <c r="A2972" s="8" t="s">
        <v>54894</v>
      </c>
      <c r="B2972" s="8" t="s">
        <v>57070</v>
      </c>
    </row>
    <row r="2973" spans="1:2" ht="14.5" x14ac:dyDescent="0.35">
      <c r="A2973" s="8" t="s">
        <v>54894</v>
      </c>
      <c r="B2973" s="8" t="s">
        <v>57920</v>
      </c>
    </row>
    <row r="2974" spans="1:2" ht="14.5" x14ac:dyDescent="0.35">
      <c r="A2974" s="8" t="s">
        <v>54894</v>
      </c>
      <c r="B2974" s="8" t="s">
        <v>56183</v>
      </c>
    </row>
    <row r="2975" spans="1:2" ht="14.5" x14ac:dyDescent="0.35">
      <c r="A2975" s="8" t="s">
        <v>54894</v>
      </c>
      <c r="B2975" s="8" t="s">
        <v>57592</v>
      </c>
    </row>
    <row r="2976" spans="1:2" ht="14.5" x14ac:dyDescent="0.35">
      <c r="A2976" s="8" t="s">
        <v>54894</v>
      </c>
      <c r="B2976" s="8" t="s">
        <v>57716</v>
      </c>
    </row>
    <row r="2977" spans="1:2" ht="14.5" x14ac:dyDescent="0.35">
      <c r="A2977" s="8" t="s">
        <v>54894</v>
      </c>
      <c r="B2977" s="8" t="s">
        <v>55699</v>
      </c>
    </row>
    <row r="2978" spans="1:2" ht="14.5" x14ac:dyDescent="0.35">
      <c r="A2978" s="8" t="s">
        <v>54894</v>
      </c>
      <c r="B2978" s="8" t="s">
        <v>57027</v>
      </c>
    </row>
    <row r="2979" spans="1:2" ht="14.5" x14ac:dyDescent="0.35">
      <c r="A2979" s="8" t="s">
        <v>54894</v>
      </c>
      <c r="B2979" s="8" t="s">
        <v>56529</v>
      </c>
    </row>
    <row r="2980" spans="1:2" ht="14.5" x14ac:dyDescent="0.35">
      <c r="A2980" s="8" t="s">
        <v>54894</v>
      </c>
      <c r="B2980" s="8" t="s">
        <v>56521</v>
      </c>
    </row>
    <row r="2981" spans="1:2" ht="14.5" x14ac:dyDescent="0.35">
      <c r="A2981" s="8" t="s">
        <v>54894</v>
      </c>
      <c r="B2981" s="8" t="s">
        <v>58253</v>
      </c>
    </row>
    <row r="2982" spans="1:2" ht="14.5" x14ac:dyDescent="0.35">
      <c r="A2982" s="8" t="s">
        <v>54894</v>
      </c>
      <c r="B2982" s="8" t="s">
        <v>57593</v>
      </c>
    </row>
    <row r="2983" spans="1:2" ht="14.5" x14ac:dyDescent="0.35">
      <c r="A2983" s="8" t="s">
        <v>54894</v>
      </c>
      <c r="B2983" s="8" t="s">
        <v>55656</v>
      </c>
    </row>
    <row r="2984" spans="1:2" ht="14.5" x14ac:dyDescent="0.35">
      <c r="A2984" s="8" t="s">
        <v>54894</v>
      </c>
      <c r="B2984" s="8" t="s">
        <v>55671</v>
      </c>
    </row>
    <row r="2985" spans="1:2" ht="14.5" x14ac:dyDescent="0.35">
      <c r="A2985" s="8" t="s">
        <v>54894</v>
      </c>
      <c r="B2985" s="8" t="s">
        <v>55672</v>
      </c>
    </row>
    <row r="2986" spans="1:2" ht="14.5" x14ac:dyDescent="0.35">
      <c r="A2986" s="8" t="s">
        <v>54894</v>
      </c>
      <c r="B2986" s="8" t="s">
        <v>55037</v>
      </c>
    </row>
    <row r="2987" spans="1:2" ht="14.5" x14ac:dyDescent="0.35">
      <c r="A2987" s="8" t="s">
        <v>54894</v>
      </c>
      <c r="B2987" s="8" t="s">
        <v>56066</v>
      </c>
    </row>
    <row r="2988" spans="1:2" ht="14.5" x14ac:dyDescent="0.35">
      <c r="A2988" s="8" t="s">
        <v>54894</v>
      </c>
      <c r="B2988" s="8" t="s">
        <v>58449</v>
      </c>
    </row>
    <row r="2989" spans="1:2" ht="14.5" x14ac:dyDescent="0.35">
      <c r="A2989" s="8" t="s">
        <v>54894</v>
      </c>
      <c r="B2989" s="8" t="s">
        <v>56764</v>
      </c>
    </row>
    <row r="2990" spans="1:2" ht="14.5" x14ac:dyDescent="0.35">
      <c r="A2990" s="8" t="s">
        <v>54894</v>
      </c>
      <c r="B2990" s="8" t="s">
        <v>57548</v>
      </c>
    </row>
    <row r="2991" spans="1:2" ht="14.5" x14ac:dyDescent="0.35">
      <c r="A2991" s="8" t="s">
        <v>54894</v>
      </c>
      <c r="B2991" s="8" t="s">
        <v>57071</v>
      </c>
    </row>
    <row r="2992" spans="1:2" ht="14.5" x14ac:dyDescent="0.35">
      <c r="A2992" s="8" t="s">
        <v>54894</v>
      </c>
      <c r="B2992" s="8" t="s">
        <v>55222</v>
      </c>
    </row>
    <row r="2993" spans="1:2" ht="14.5" x14ac:dyDescent="0.35">
      <c r="A2993" s="8" t="s">
        <v>54894</v>
      </c>
      <c r="B2993" s="8" t="s">
        <v>55222</v>
      </c>
    </row>
    <row r="2994" spans="1:2" ht="14.5" x14ac:dyDescent="0.35">
      <c r="A2994" s="8" t="s">
        <v>54894</v>
      </c>
      <c r="B2994" s="8" t="s">
        <v>57594</v>
      </c>
    </row>
    <row r="2995" spans="1:2" ht="14.5" x14ac:dyDescent="0.35">
      <c r="A2995" s="8" t="s">
        <v>54894</v>
      </c>
      <c r="B2995" s="8" t="s">
        <v>57595</v>
      </c>
    </row>
    <row r="2996" spans="1:2" ht="14.5" x14ac:dyDescent="0.35">
      <c r="A2996" s="8" t="s">
        <v>54894</v>
      </c>
      <c r="B2996" s="8" t="s">
        <v>58064</v>
      </c>
    </row>
    <row r="2997" spans="1:2" ht="14.5" x14ac:dyDescent="0.35">
      <c r="A2997" s="8" t="s">
        <v>54894</v>
      </c>
      <c r="B2997" s="8" t="s">
        <v>56067</v>
      </c>
    </row>
    <row r="2998" spans="1:2" ht="14.5" x14ac:dyDescent="0.35">
      <c r="A2998" s="8" t="s">
        <v>54894</v>
      </c>
      <c r="B2998" s="8" t="s">
        <v>55710</v>
      </c>
    </row>
    <row r="2999" spans="1:2" ht="14.5" x14ac:dyDescent="0.35">
      <c r="A2999" s="8" t="s">
        <v>54894</v>
      </c>
      <c r="B2999" s="8" t="s">
        <v>55711</v>
      </c>
    </row>
    <row r="3000" spans="1:2" ht="14.5" x14ac:dyDescent="0.35">
      <c r="A3000" s="8" t="s">
        <v>54894</v>
      </c>
      <c r="B3000" s="8" t="s">
        <v>55306</v>
      </c>
    </row>
    <row r="3001" spans="1:2" ht="14.5" x14ac:dyDescent="0.35">
      <c r="A3001" s="8" t="s">
        <v>54894</v>
      </c>
      <c r="B3001" s="8" t="s">
        <v>55237</v>
      </c>
    </row>
    <row r="3002" spans="1:2" ht="14.5" x14ac:dyDescent="0.35">
      <c r="A3002" s="8" t="s">
        <v>54894</v>
      </c>
      <c r="B3002" s="8" t="s">
        <v>55237</v>
      </c>
    </row>
    <row r="3003" spans="1:2" ht="14.5" x14ac:dyDescent="0.35">
      <c r="A3003" s="8" t="s">
        <v>54894</v>
      </c>
      <c r="B3003" s="8" t="s">
        <v>57596</v>
      </c>
    </row>
    <row r="3004" spans="1:2" ht="14.5" x14ac:dyDescent="0.35">
      <c r="A3004" s="8" t="s">
        <v>54894</v>
      </c>
      <c r="B3004" s="8" t="s">
        <v>55693</v>
      </c>
    </row>
    <row r="3005" spans="1:2" ht="14.5" x14ac:dyDescent="0.35">
      <c r="A3005" s="8" t="s">
        <v>54894</v>
      </c>
      <c r="B3005" s="8" t="s">
        <v>57490</v>
      </c>
    </row>
    <row r="3006" spans="1:2" ht="14.5" x14ac:dyDescent="0.35">
      <c r="A3006" s="8" t="s">
        <v>54894</v>
      </c>
      <c r="B3006" s="8" t="s">
        <v>55239</v>
      </c>
    </row>
    <row r="3007" spans="1:2" ht="14.5" x14ac:dyDescent="0.35">
      <c r="A3007" s="8" t="s">
        <v>54894</v>
      </c>
      <c r="B3007" s="8" t="s">
        <v>57597</v>
      </c>
    </row>
    <row r="3008" spans="1:2" ht="14.5" x14ac:dyDescent="0.35">
      <c r="A3008" s="8" t="s">
        <v>54894</v>
      </c>
      <c r="B3008" s="8" t="s">
        <v>58025</v>
      </c>
    </row>
    <row r="3009" spans="1:2" ht="14.5" x14ac:dyDescent="0.35">
      <c r="A3009" s="8" t="s">
        <v>54894</v>
      </c>
      <c r="B3009" s="8" t="s">
        <v>54985</v>
      </c>
    </row>
    <row r="3010" spans="1:2" ht="14.5" x14ac:dyDescent="0.35">
      <c r="A3010" s="8" t="s">
        <v>54894</v>
      </c>
      <c r="B3010" s="8" t="s">
        <v>58405</v>
      </c>
    </row>
    <row r="3011" spans="1:2" ht="14.5" x14ac:dyDescent="0.35">
      <c r="A3011" s="8" t="s">
        <v>54894</v>
      </c>
      <c r="B3011" s="8" t="s">
        <v>56205</v>
      </c>
    </row>
    <row r="3012" spans="1:2" ht="14.5" x14ac:dyDescent="0.35">
      <c r="A3012" s="8" t="s">
        <v>54894</v>
      </c>
      <c r="B3012" s="8" t="s">
        <v>55211</v>
      </c>
    </row>
    <row r="3013" spans="1:2" ht="14.5" x14ac:dyDescent="0.35">
      <c r="A3013" s="8" t="s">
        <v>54894</v>
      </c>
      <c r="B3013" s="8" t="s">
        <v>57107</v>
      </c>
    </row>
    <row r="3014" spans="1:2" ht="14.5" x14ac:dyDescent="0.35">
      <c r="A3014" s="8" t="s">
        <v>54894</v>
      </c>
      <c r="B3014" s="8" t="s">
        <v>58387</v>
      </c>
    </row>
    <row r="3015" spans="1:2" ht="14.5" x14ac:dyDescent="0.35">
      <c r="A3015" s="8" t="s">
        <v>54894</v>
      </c>
      <c r="B3015" s="8" t="s">
        <v>58388</v>
      </c>
    </row>
    <row r="3016" spans="1:2" ht="14.5" x14ac:dyDescent="0.35">
      <c r="A3016" s="8" t="s">
        <v>54894</v>
      </c>
      <c r="B3016" s="8" t="s">
        <v>56349</v>
      </c>
    </row>
    <row r="3017" spans="1:2" ht="14.5" x14ac:dyDescent="0.35">
      <c r="A3017" s="8" t="s">
        <v>54894</v>
      </c>
      <c r="B3017" s="8" t="s">
        <v>56510</v>
      </c>
    </row>
    <row r="3018" spans="1:2" ht="14.5" x14ac:dyDescent="0.35">
      <c r="A3018" s="8" t="s">
        <v>54894</v>
      </c>
      <c r="B3018" s="8" t="s">
        <v>56282</v>
      </c>
    </row>
    <row r="3019" spans="1:2" ht="14.5" x14ac:dyDescent="0.35">
      <c r="A3019" s="8" t="s">
        <v>54894</v>
      </c>
      <c r="B3019" s="8" t="s">
        <v>56636</v>
      </c>
    </row>
    <row r="3020" spans="1:2" ht="14.5" x14ac:dyDescent="0.35">
      <c r="A3020" s="8" t="s">
        <v>54894</v>
      </c>
      <c r="B3020" s="8" t="s">
        <v>57761</v>
      </c>
    </row>
    <row r="3021" spans="1:2" ht="14.5" x14ac:dyDescent="0.35">
      <c r="A3021" s="8" t="s">
        <v>54894</v>
      </c>
      <c r="B3021" s="8" t="s">
        <v>57762</v>
      </c>
    </row>
    <row r="3022" spans="1:2" ht="14.5" x14ac:dyDescent="0.35">
      <c r="A3022" s="8" t="s">
        <v>54894</v>
      </c>
      <c r="B3022" s="8" t="s">
        <v>56669</v>
      </c>
    </row>
    <row r="3023" spans="1:2" ht="14.5" x14ac:dyDescent="0.35">
      <c r="A3023" s="8" t="s">
        <v>54894</v>
      </c>
      <c r="B3023" s="8" t="s">
        <v>55072</v>
      </c>
    </row>
    <row r="3024" spans="1:2" ht="14.5" x14ac:dyDescent="0.35">
      <c r="A3024" s="8" t="s">
        <v>54894</v>
      </c>
      <c r="B3024" s="8" t="s">
        <v>55073</v>
      </c>
    </row>
    <row r="3025" spans="1:2" ht="14.5" x14ac:dyDescent="0.35">
      <c r="A3025" s="8" t="s">
        <v>54894</v>
      </c>
      <c r="B3025" s="8" t="s">
        <v>55074</v>
      </c>
    </row>
    <row r="3026" spans="1:2" ht="14.5" x14ac:dyDescent="0.35">
      <c r="A3026" s="8" t="s">
        <v>54894</v>
      </c>
      <c r="B3026" s="8" t="s">
        <v>55075</v>
      </c>
    </row>
    <row r="3027" spans="1:2" ht="14.5" x14ac:dyDescent="0.35">
      <c r="A3027" s="8" t="s">
        <v>54894</v>
      </c>
      <c r="B3027" s="8" t="s">
        <v>55076</v>
      </c>
    </row>
    <row r="3028" spans="1:2" ht="14.5" x14ac:dyDescent="0.35">
      <c r="A3028" s="8" t="s">
        <v>54894</v>
      </c>
      <c r="B3028" s="8" t="s">
        <v>55077</v>
      </c>
    </row>
    <row r="3029" spans="1:2" ht="14.5" x14ac:dyDescent="0.35">
      <c r="A3029" s="8" t="s">
        <v>54894</v>
      </c>
      <c r="B3029" s="8" t="s">
        <v>55078</v>
      </c>
    </row>
    <row r="3030" spans="1:2" ht="14.5" x14ac:dyDescent="0.35">
      <c r="A3030" s="8" t="s">
        <v>54894</v>
      </c>
      <c r="B3030" s="8" t="s">
        <v>55079</v>
      </c>
    </row>
    <row r="3031" spans="1:2" ht="14.5" x14ac:dyDescent="0.35">
      <c r="A3031" s="8" t="s">
        <v>54894</v>
      </c>
      <c r="B3031" s="8" t="s">
        <v>55080</v>
      </c>
    </row>
    <row r="3032" spans="1:2" ht="14.5" x14ac:dyDescent="0.35">
      <c r="A3032" s="8" t="s">
        <v>54894</v>
      </c>
      <c r="B3032" s="8" t="s">
        <v>55443</v>
      </c>
    </row>
    <row r="3033" spans="1:2" ht="14.5" x14ac:dyDescent="0.35">
      <c r="A3033" s="8" t="s">
        <v>54894</v>
      </c>
      <c r="B3033" s="8" t="s">
        <v>56256</v>
      </c>
    </row>
    <row r="3034" spans="1:2" ht="14.5" x14ac:dyDescent="0.35">
      <c r="A3034" s="8" t="s">
        <v>54894</v>
      </c>
      <c r="B3034" s="8" t="s">
        <v>56257</v>
      </c>
    </row>
    <row r="3035" spans="1:2" ht="14.5" x14ac:dyDescent="0.35">
      <c r="A3035" s="8" t="s">
        <v>54894</v>
      </c>
      <c r="B3035" s="8" t="s">
        <v>56328</v>
      </c>
    </row>
    <row r="3036" spans="1:2" ht="14.5" x14ac:dyDescent="0.35">
      <c r="A3036" s="8" t="s">
        <v>54894</v>
      </c>
      <c r="B3036" s="8" t="s">
        <v>55208</v>
      </c>
    </row>
    <row r="3037" spans="1:2" ht="14.5" x14ac:dyDescent="0.35">
      <c r="A3037" s="8" t="s">
        <v>54894</v>
      </c>
      <c r="B3037" s="8" t="s">
        <v>55171</v>
      </c>
    </row>
    <row r="3038" spans="1:2" ht="14.5" x14ac:dyDescent="0.35">
      <c r="A3038" s="8" t="s">
        <v>54894</v>
      </c>
      <c r="B3038" s="8" t="s">
        <v>56383</v>
      </c>
    </row>
    <row r="3039" spans="1:2" ht="14.5" x14ac:dyDescent="0.35">
      <c r="A3039" s="8" t="s">
        <v>54894</v>
      </c>
      <c r="B3039" s="8" t="s">
        <v>56384</v>
      </c>
    </row>
    <row r="3040" spans="1:2" ht="14.5" x14ac:dyDescent="0.35">
      <c r="A3040" s="8" t="s">
        <v>54894</v>
      </c>
      <c r="B3040" s="8" t="s">
        <v>55976</v>
      </c>
    </row>
    <row r="3041" spans="1:2" ht="14.5" x14ac:dyDescent="0.35">
      <c r="A3041" s="8" t="s">
        <v>54894</v>
      </c>
      <c r="B3041" s="8" t="s">
        <v>55592</v>
      </c>
    </row>
    <row r="3042" spans="1:2" ht="14.5" x14ac:dyDescent="0.35">
      <c r="A3042" s="8" t="s">
        <v>54894</v>
      </c>
      <c r="B3042" s="8" t="s">
        <v>56206</v>
      </c>
    </row>
    <row r="3043" spans="1:2" ht="14.5" x14ac:dyDescent="0.35">
      <c r="A3043" s="8" t="s">
        <v>54894</v>
      </c>
      <c r="B3043" s="8" t="s">
        <v>56206</v>
      </c>
    </row>
    <row r="3044" spans="1:2" ht="14.5" x14ac:dyDescent="0.35">
      <c r="A3044" s="8" t="s">
        <v>54894</v>
      </c>
      <c r="B3044" s="8" t="s">
        <v>55172</v>
      </c>
    </row>
    <row r="3045" spans="1:2" ht="14.5" x14ac:dyDescent="0.35">
      <c r="A3045" s="8" t="s">
        <v>54894</v>
      </c>
      <c r="B3045" s="8" t="s">
        <v>57763</v>
      </c>
    </row>
    <row r="3046" spans="1:2" ht="14.5" x14ac:dyDescent="0.35">
      <c r="A3046" s="8" t="s">
        <v>54894</v>
      </c>
      <c r="B3046" s="8" t="s">
        <v>55873</v>
      </c>
    </row>
    <row r="3047" spans="1:2" ht="14.5" x14ac:dyDescent="0.35">
      <c r="A3047" s="8" t="s">
        <v>54894</v>
      </c>
      <c r="B3047" s="8" t="s">
        <v>56441</v>
      </c>
    </row>
    <row r="3048" spans="1:2" ht="14.5" x14ac:dyDescent="0.35">
      <c r="A3048" s="8" t="s">
        <v>54894</v>
      </c>
      <c r="B3048" s="8" t="s">
        <v>56442</v>
      </c>
    </row>
    <row r="3049" spans="1:2" ht="14.5" x14ac:dyDescent="0.35">
      <c r="A3049" s="8" t="s">
        <v>54894</v>
      </c>
      <c r="B3049" s="8" t="s">
        <v>56765</v>
      </c>
    </row>
    <row r="3050" spans="1:2" ht="14.5" x14ac:dyDescent="0.35">
      <c r="A3050" s="8" t="s">
        <v>54894</v>
      </c>
      <c r="B3050" s="8" t="s">
        <v>56766</v>
      </c>
    </row>
    <row r="3051" spans="1:2" ht="14.5" x14ac:dyDescent="0.35">
      <c r="A3051" s="8" t="s">
        <v>54894</v>
      </c>
      <c r="B3051" s="8" t="s">
        <v>56673</v>
      </c>
    </row>
    <row r="3052" spans="1:2" ht="14.5" x14ac:dyDescent="0.35">
      <c r="A3052" s="8" t="s">
        <v>54894</v>
      </c>
      <c r="B3052" s="8" t="s">
        <v>57955</v>
      </c>
    </row>
    <row r="3053" spans="1:2" ht="14.5" x14ac:dyDescent="0.35">
      <c r="A3053" s="8" t="s">
        <v>54894</v>
      </c>
      <c r="B3053" s="8" t="s">
        <v>54897</v>
      </c>
    </row>
    <row r="3054" spans="1:2" ht="14.5" x14ac:dyDescent="0.35">
      <c r="A3054" s="8" t="s">
        <v>54894</v>
      </c>
      <c r="B3054" s="8" t="s">
        <v>56449</v>
      </c>
    </row>
    <row r="3055" spans="1:2" ht="14.5" x14ac:dyDescent="0.35">
      <c r="A3055" s="8" t="s">
        <v>54894</v>
      </c>
      <c r="B3055" s="8" t="s">
        <v>56492</v>
      </c>
    </row>
    <row r="3056" spans="1:2" ht="14.5" x14ac:dyDescent="0.35">
      <c r="A3056" s="8" t="s">
        <v>54894</v>
      </c>
      <c r="B3056" s="8" t="s">
        <v>57914</v>
      </c>
    </row>
    <row r="3057" spans="1:2" ht="14.5" x14ac:dyDescent="0.35">
      <c r="A3057" s="8" t="s">
        <v>54894</v>
      </c>
      <c r="B3057" s="8" t="s">
        <v>57525</v>
      </c>
    </row>
    <row r="3058" spans="1:2" ht="14.5" x14ac:dyDescent="0.35">
      <c r="A3058" s="8" t="s">
        <v>54894</v>
      </c>
      <c r="B3058" s="8" t="s">
        <v>57563</v>
      </c>
    </row>
    <row r="3059" spans="1:2" ht="14.5" x14ac:dyDescent="0.35">
      <c r="A3059" s="8" t="s">
        <v>54894</v>
      </c>
      <c r="B3059" s="8" t="s">
        <v>58065</v>
      </c>
    </row>
    <row r="3060" spans="1:2" ht="14.5" x14ac:dyDescent="0.35">
      <c r="A3060" s="8" t="s">
        <v>54894</v>
      </c>
      <c r="B3060" s="8" t="s">
        <v>57048</v>
      </c>
    </row>
    <row r="3061" spans="1:2" ht="14.5" x14ac:dyDescent="0.35">
      <c r="A3061" s="8" t="s">
        <v>54894</v>
      </c>
      <c r="B3061" s="8" t="s">
        <v>55053</v>
      </c>
    </row>
    <row r="3062" spans="1:2" ht="14.5" x14ac:dyDescent="0.35">
      <c r="A3062" s="8" t="s">
        <v>54894</v>
      </c>
      <c r="B3062" s="8" t="s">
        <v>57809</v>
      </c>
    </row>
    <row r="3063" spans="1:2" ht="14.5" x14ac:dyDescent="0.35">
      <c r="A3063" s="8" t="s">
        <v>54894</v>
      </c>
      <c r="B3063" s="8" t="s">
        <v>55460</v>
      </c>
    </row>
    <row r="3064" spans="1:2" ht="14.5" x14ac:dyDescent="0.35">
      <c r="A3064" s="8" t="s">
        <v>54894</v>
      </c>
      <c r="B3064" s="8" t="s">
        <v>55461</v>
      </c>
    </row>
    <row r="3065" spans="1:2" ht="14.5" x14ac:dyDescent="0.35">
      <c r="A3065" s="8" t="s">
        <v>54894</v>
      </c>
      <c r="B3065" s="8" t="s">
        <v>56603</v>
      </c>
    </row>
    <row r="3066" spans="1:2" ht="14.5" x14ac:dyDescent="0.35">
      <c r="A3066" s="8" t="s">
        <v>54894</v>
      </c>
      <c r="B3066" s="8" t="s">
        <v>56604</v>
      </c>
    </row>
    <row r="3067" spans="1:2" ht="14.5" x14ac:dyDescent="0.35">
      <c r="A3067" s="8" t="s">
        <v>54894</v>
      </c>
      <c r="B3067" s="8" t="s">
        <v>55269</v>
      </c>
    </row>
    <row r="3068" spans="1:2" ht="14.5" x14ac:dyDescent="0.35">
      <c r="A3068" s="8" t="s">
        <v>54894</v>
      </c>
      <c r="B3068" s="8" t="s">
        <v>8913</v>
      </c>
    </row>
    <row r="3069" spans="1:2" ht="14.5" x14ac:dyDescent="0.35">
      <c r="A3069" s="8" t="s">
        <v>54894</v>
      </c>
      <c r="B3069" s="8" t="s">
        <v>58406</v>
      </c>
    </row>
    <row r="3070" spans="1:2" ht="14.5" x14ac:dyDescent="0.35">
      <c r="A3070" s="8" t="s">
        <v>54894</v>
      </c>
      <c r="B3070" s="8" t="s">
        <v>54946</v>
      </c>
    </row>
    <row r="3071" spans="1:2" ht="14.5" x14ac:dyDescent="0.35">
      <c r="A3071" s="8" t="s">
        <v>54894</v>
      </c>
      <c r="B3071" s="8" t="s">
        <v>54947</v>
      </c>
    </row>
    <row r="3072" spans="1:2" ht="14.5" x14ac:dyDescent="0.35">
      <c r="A3072" s="8" t="s">
        <v>54894</v>
      </c>
      <c r="B3072" s="8" t="s">
        <v>58270</v>
      </c>
    </row>
    <row r="3073" spans="1:2" ht="14.5" x14ac:dyDescent="0.35">
      <c r="A3073" s="8" t="s">
        <v>54894</v>
      </c>
      <c r="B3073" s="8" t="s">
        <v>54970</v>
      </c>
    </row>
    <row r="3074" spans="1:2" ht="14.5" x14ac:dyDescent="0.35">
      <c r="A3074" s="8" t="s">
        <v>54894</v>
      </c>
      <c r="B3074" s="8" t="s">
        <v>58212</v>
      </c>
    </row>
    <row r="3075" spans="1:2" ht="14.5" x14ac:dyDescent="0.35">
      <c r="A3075" s="8" t="s">
        <v>54894</v>
      </c>
      <c r="B3075" s="8" t="s">
        <v>57848</v>
      </c>
    </row>
    <row r="3076" spans="1:2" ht="14.5" x14ac:dyDescent="0.35">
      <c r="A3076" s="8" t="s">
        <v>54894</v>
      </c>
      <c r="B3076" s="8" t="s">
        <v>55516</v>
      </c>
    </row>
    <row r="3077" spans="1:2" ht="14.5" x14ac:dyDescent="0.35">
      <c r="A3077" s="8" t="s">
        <v>54894</v>
      </c>
      <c r="B3077" s="8" t="s">
        <v>55246</v>
      </c>
    </row>
    <row r="3078" spans="1:2" ht="14.5" x14ac:dyDescent="0.35">
      <c r="A3078" s="8" t="s">
        <v>54894</v>
      </c>
      <c r="B3078" s="8" t="s">
        <v>55247</v>
      </c>
    </row>
    <row r="3079" spans="1:2" ht="14.5" x14ac:dyDescent="0.35">
      <c r="A3079" s="8" t="s">
        <v>54894</v>
      </c>
      <c r="B3079" s="8" t="s">
        <v>57598</v>
      </c>
    </row>
    <row r="3080" spans="1:2" ht="14.5" x14ac:dyDescent="0.35">
      <c r="A3080" s="8" t="s">
        <v>54894</v>
      </c>
      <c r="B3080" s="8" t="s">
        <v>55712</v>
      </c>
    </row>
    <row r="3081" spans="1:2" ht="14.5" x14ac:dyDescent="0.35">
      <c r="A3081" s="8" t="s">
        <v>54894</v>
      </c>
      <c r="B3081" s="8" t="s">
        <v>57599</v>
      </c>
    </row>
    <row r="3082" spans="1:2" ht="14.5" x14ac:dyDescent="0.35">
      <c r="A3082" s="8" t="s">
        <v>54894</v>
      </c>
      <c r="B3082" s="8" t="s">
        <v>57103</v>
      </c>
    </row>
    <row r="3083" spans="1:2" ht="14.5" x14ac:dyDescent="0.35">
      <c r="A3083" s="8" t="s">
        <v>54894</v>
      </c>
      <c r="B3083" s="8" t="s">
        <v>57906</v>
      </c>
    </row>
    <row r="3084" spans="1:2" ht="14.5" x14ac:dyDescent="0.35">
      <c r="A3084" s="8" t="s">
        <v>54894</v>
      </c>
      <c r="B3084" s="8" t="s">
        <v>57764</v>
      </c>
    </row>
    <row r="3085" spans="1:2" ht="14.5" x14ac:dyDescent="0.35">
      <c r="A3085" s="8" t="s">
        <v>54894</v>
      </c>
      <c r="B3085" s="8" t="s">
        <v>57246</v>
      </c>
    </row>
    <row r="3086" spans="1:2" ht="14.5" x14ac:dyDescent="0.35">
      <c r="A3086" s="8" t="s">
        <v>54894</v>
      </c>
      <c r="B3086" s="8" t="s">
        <v>57247</v>
      </c>
    </row>
    <row r="3087" spans="1:2" ht="14.5" x14ac:dyDescent="0.35">
      <c r="A3087" s="8" t="s">
        <v>54894</v>
      </c>
      <c r="B3087" s="8" t="s">
        <v>57185</v>
      </c>
    </row>
    <row r="3088" spans="1:2" ht="14.5" x14ac:dyDescent="0.35">
      <c r="A3088" s="8" t="s">
        <v>54894</v>
      </c>
      <c r="B3088" s="8" t="s">
        <v>57186</v>
      </c>
    </row>
    <row r="3089" spans="1:2" ht="14.5" x14ac:dyDescent="0.35">
      <c r="A3089" s="8" t="s">
        <v>54894</v>
      </c>
      <c r="B3089" s="8" t="s">
        <v>58282</v>
      </c>
    </row>
    <row r="3090" spans="1:2" ht="14.5" x14ac:dyDescent="0.35">
      <c r="A3090" s="8" t="s">
        <v>54894</v>
      </c>
      <c r="B3090" s="8" t="s">
        <v>56302</v>
      </c>
    </row>
    <row r="3091" spans="1:2" ht="14.5" x14ac:dyDescent="0.35">
      <c r="A3091" s="8" t="s">
        <v>54894</v>
      </c>
      <c r="B3091" s="8" t="s">
        <v>54950</v>
      </c>
    </row>
    <row r="3092" spans="1:2" ht="14.5" x14ac:dyDescent="0.35">
      <c r="A3092" s="8" t="s">
        <v>54894</v>
      </c>
      <c r="B3092" s="8" t="s">
        <v>58066</v>
      </c>
    </row>
    <row r="3093" spans="1:2" ht="14.5" x14ac:dyDescent="0.35">
      <c r="A3093" s="8" t="s">
        <v>54894</v>
      </c>
      <c r="B3093" s="8" t="s">
        <v>57005</v>
      </c>
    </row>
    <row r="3094" spans="1:2" ht="14.5" x14ac:dyDescent="0.35">
      <c r="A3094" s="8" t="s">
        <v>54894</v>
      </c>
      <c r="B3094" s="8" t="s">
        <v>58067</v>
      </c>
    </row>
    <row r="3095" spans="1:2" ht="14.5" x14ac:dyDescent="0.35">
      <c r="A3095" s="8" t="s">
        <v>54894</v>
      </c>
      <c r="B3095" s="8" t="s">
        <v>56425</v>
      </c>
    </row>
    <row r="3096" spans="1:2" ht="14.5" x14ac:dyDescent="0.35">
      <c r="A3096" s="8" t="s">
        <v>54894</v>
      </c>
      <c r="B3096" s="8" t="s">
        <v>58290</v>
      </c>
    </row>
    <row r="3097" spans="1:2" ht="14.5" x14ac:dyDescent="0.35">
      <c r="A3097" s="8" t="s">
        <v>54894</v>
      </c>
      <c r="B3097" s="8" t="s">
        <v>56342</v>
      </c>
    </row>
    <row r="3098" spans="1:2" ht="14.5" x14ac:dyDescent="0.35">
      <c r="A3098" s="8" t="s">
        <v>54894</v>
      </c>
      <c r="B3098" s="8" t="s">
        <v>56343</v>
      </c>
    </row>
    <row r="3099" spans="1:2" ht="14.5" x14ac:dyDescent="0.35">
      <c r="A3099" s="8" t="s">
        <v>54894</v>
      </c>
      <c r="B3099" s="8" t="s">
        <v>55940</v>
      </c>
    </row>
    <row r="3100" spans="1:2" ht="14.5" x14ac:dyDescent="0.35">
      <c r="A3100" s="8" t="s">
        <v>54894</v>
      </c>
      <c r="B3100" s="8" t="s">
        <v>57503</v>
      </c>
    </row>
    <row r="3101" spans="1:2" ht="14.5" x14ac:dyDescent="0.35">
      <c r="A3101" s="8" t="s">
        <v>54894</v>
      </c>
      <c r="B3101" s="8" t="s">
        <v>57503</v>
      </c>
    </row>
    <row r="3102" spans="1:2" ht="14.5" x14ac:dyDescent="0.35">
      <c r="A3102" s="8" t="s">
        <v>54894</v>
      </c>
      <c r="B3102" s="8" t="s">
        <v>57503</v>
      </c>
    </row>
    <row r="3103" spans="1:2" ht="14.5" x14ac:dyDescent="0.35">
      <c r="A3103" s="8" t="s">
        <v>54894</v>
      </c>
      <c r="B3103" s="8" t="s">
        <v>57504</v>
      </c>
    </row>
    <row r="3104" spans="1:2" ht="14.5" x14ac:dyDescent="0.35">
      <c r="A3104" s="8" t="s">
        <v>54894</v>
      </c>
      <c r="B3104" s="8" t="s">
        <v>57504</v>
      </c>
    </row>
    <row r="3105" spans="1:2" ht="14.5" x14ac:dyDescent="0.35">
      <c r="A3105" s="8" t="s">
        <v>54894</v>
      </c>
      <c r="B3105" s="8" t="s">
        <v>57504</v>
      </c>
    </row>
    <row r="3106" spans="1:2" ht="14.5" x14ac:dyDescent="0.35">
      <c r="A3106" s="8" t="s">
        <v>54894</v>
      </c>
      <c r="B3106" s="8" t="s">
        <v>57072</v>
      </c>
    </row>
    <row r="3107" spans="1:2" ht="14.5" x14ac:dyDescent="0.35">
      <c r="A3107" s="8" t="s">
        <v>54894</v>
      </c>
      <c r="B3107" s="8" t="s">
        <v>56426</v>
      </c>
    </row>
    <row r="3108" spans="1:2" ht="14.5" x14ac:dyDescent="0.35">
      <c r="A3108" s="8" t="s">
        <v>54894</v>
      </c>
      <c r="B3108" s="8" t="s">
        <v>56427</v>
      </c>
    </row>
    <row r="3109" spans="1:2" ht="14.5" x14ac:dyDescent="0.35">
      <c r="A3109" s="8" t="s">
        <v>54894</v>
      </c>
      <c r="B3109" s="8" t="s">
        <v>56767</v>
      </c>
    </row>
    <row r="3110" spans="1:2" ht="14.5" x14ac:dyDescent="0.35">
      <c r="A3110" s="8" t="s">
        <v>54894</v>
      </c>
      <c r="B3110" s="8" t="s">
        <v>58258</v>
      </c>
    </row>
    <row r="3111" spans="1:2" ht="14.5" x14ac:dyDescent="0.35">
      <c r="A3111" s="8" t="s">
        <v>54894</v>
      </c>
      <c r="B3111" s="8" t="s">
        <v>57694</v>
      </c>
    </row>
    <row r="3112" spans="1:2" ht="14.5" x14ac:dyDescent="0.35">
      <c r="A3112" s="8" t="s">
        <v>54894</v>
      </c>
      <c r="B3112" s="8" t="s">
        <v>57161</v>
      </c>
    </row>
    <row r="3113" spans="1:2" ht="14.5" x14ac:dyDescent="0.35">
      <c r="A3113" s="8" t="s">
        <v>54894</v>
      </c>
      <c r="B3113" s="8" t="s">
        <v>57162</v>
      </c>
    </row>
    <row r="3114" spans="1:2" ht="14.5" x14ac:dyDescent="0.35">
      <c r="A3114" s="8" t="s">
        <v>54894</v>
      </c>
      <c r="B3114" s="8" t="s">
        <v>55282</v>
      </c>
    </row>
    <row r="3115" spans="1:2" ht="14.5" x14ac:dyDescent="0.35">
      <c r="A3115" s="8" t="s">
        <v>54894</v>
      </c>
      <c r="B3115" s="8" t="s">
        <v>54903</v>
      </c>
    </row>
    <row r="3116" spans="1:2" ht="14.5" x14ac:dyDescent="0.35">
      <c r="A3116" s="8" t="s">
        <v>54894</v>
      </c>
      <c r="B3116" s="8" t="s">
        <v>57492</v>
      </c>
    </row>
    <row r="3117" spans="1:2" ht="14.5" x14ac:dyDescent="0.35">
      <c r="A3117" s="8" t="s">
        <v>54894</v>
      </c>
      <c r="B3117" s="8" t="s">
        <v>58068</v>
      </c>
    </row>
    <row r="3118" spans="1:2" ht="14.5" x14ac:dyDescent="0.35">
      <c r="A3118" s="8" t="s">
        <v>54894</v>
      </c>
      <c r="B3118" s="8" t="s">
        <v>57294</v>
      </c>
    </row>
    <row r="3119" spans="1:2" ht="14.5" x14ac:dyDescent="0.35">
      <c r="A3119" s="8" t="s">
        <v>54894</v>
      </c>
      <c r="B3119" s="8" t="s">
        <v>57989</v>
      </c>
    </row>
    <row r="3120" spans="1:2" ht="14.5" x14ac:dyDescent="0.35">
      <c r="A3120" s="8" t="s">
        <v>54894</v>
      </c>
      <c r="B3120" s="8" t="s">
        <v>58304</v>
      </c>
    </row>
    <row r="3121" spans="1:2" ht="14.5" x14ac:dyDescent="0.35">
      <c r="A3121" s="8" t="s">
        <v>54894</v>
      </c>
      <c r="B3121" s="8" t="s">
        <v>55765</v>
      </c>
    </row>
    <row r="3122" spans="1:2" ht="14.5" x14ac:dyDescent="0.35">
      <c r="A3122" s="8" t="s">
        <v>54894</v>
      </c>
      <c r="B3122" s="8" t="s">
        <v>57857</v>
      </c>
    </row>
    <row r="3123" spans="1:2" ht="14.5" x14ac:dyDescent="0.35">
      <c r="A3123" s="8" t="s">
        <v>54894</v>
      </c>
      <c r="B3123" s="8" t="s">
        <v>57858</v>
      </c>
    </row>
    <row r="3124" spans="1:2" ht="14.5" x14ac:dyDescent="0.35">
      <c r="A3124" s="8" t="s">
        <v>54894</v>
      </c>
      <c r="B3124" s="8" t="s">
        <v>56768</v>
      </c>
    </row>
    <row r="3125" spans="1:2" ht="14.5" x14ac:dyDescent="0.35">
      <c r="A3125" s="8" t="s">
        <v>54894</v>
      </c>
      <c r="B3125" s="8" t="s">
        <v>56769</v>
      </c>
    </row>
    <row r="3126" spans="1:2" ht="14.5" x14ac:dyDescent="0.35">
      <c r="A3126" s="8" t="s">
        <v>54894</v>
      </c>
      <c r="B3126" s="8" t="s">
        <v>56770</v>
      </c>
    </row>
    <row r="3127" spans="1:2" ht="14.5" x14ac:dyDescent="0.35">
      <c r="A3127" s="8" t="s">
        <v>54894</v>
      </c>
      <c r="B3127" s="8" t="s">
        <v>56770</v>
      </c>
    </row>
    <row r="3128" spans="1:2" ht="14.5" x14ac:dyDescent="0.35">
      <c r="A3128" s="8" t="s">
        <v>54894</v>
      </c>
      <c r="B3128" s="8" t="s">
        <v>57367</v>
      </c>
    </row>
    <row r="3129" spans="1:2" ht="14.5" x14ac:dyDescent="0.35">
      <c r="A3129" s="8" t="s">
        <v>54894</v>
      </c>
      <c r="B3129" s="8" t="s">
        <v>57073</v>
      </c>
    </row>
    <row r="3130" spans="1:2" ht="14.5" x14ac:dyDescent="0.35">
      <c r="A3130" s="8" t="s">
        <v>54894</v>
      </c>
      <c r="B3130" s="8" t="s">
        <v>58213</v>
      </c>
    </row>
    <row r="3131" spans="1:2" ht="14.5" x14ac:dyDescent="0.35">
      <c r="A3131" s="8" t="s">
        <v>54894</v>
      </c>
      <c r="B3131" s="8" t="s">
        <v>56068</v>
      </c>
    </row>
    <row r="3132" spans="1:2" ht="14.5" x14ac:dyDescent="0.35">
      <c r="A3132" s="8" t="s">
        <v>54894</v>
      </c>
      <c r="B3132" s="8" t="s">
        <v>57196</v>
      </c>
    </row>
    <row r="3133" spans="1:2" ht="14.5" x14ac:dyDescent="0.35">
      <c r="A3133" s="8" t="s">
        <v>54894</v>
      </c>
      <c r="B3133" s="8" t="s">
        <v>57248</v>
      </c>
    </row>
    <row r="3134" spans="1:2" ht="14.5" x14ac:dyDescent="0.35">
      <c r="A3134" s="8" t="s">
        <v>54894</v>
      </c>
      <c r="B3134" s="8" t="s">
        <v>57829</v>
      </c>
    </row>
    <row r="3135" spans="1:2" ht="14.5" x14ac:dyDescent="0.35">
      <c r="A3135" s="8" t="s">
        <v>54894</v>
      </c>
      <c r="B3135" s="8" t="s">
        <v>57299</v>
      </c>
    </row>
    <row r="3136" spans="1:2" ht="14.5" x14ac:dyDescent="0.35">
      <c r="A3136" s="8" t="s">
        <v>54894</v>
      </c>
      <c r="B3136" s="8" t="s">
        <v>57074</v>
      </c>
    </row>
    <row r="3137" spans="1:2" ht="14.5" x14ac:dyDescent="0.35">
      <c r="A3137" s="8" t="s">
        <v>54894</v>
      </c>
      <c r="B3137" s="8" t="s">
        <v>58069</v>
      </c>
    </row>
    <row r="3138" spans="1:2" ht="14.5" x14ac:dyDescent="0.35">
      <c r="A3138" s="8" t="s">
        <v>54894</v>
      </c>
      <c r="B3138" s="8" t="s">
        <v>56277</v>
      </c>
    </row>
    <row r="3139" spans="1:2" ht="14.5" x14ac:dyDescent="0.35">
      <c r="A3139" s="8" t="s">
        <v>54894</v>
      </c>
      <c r="B3139" s="8" t="s">
        <v>56278</v>
      </c>
    </row>
    <row r="3140" spans="1:2" ht="14.5" x14ac:dyDescent="0.35">
      <c r="A3140" s="8" t="s">
        <v>54894</v>
      </c>
      <c r="B3140" s="8" t="s">
        <v>57736</v>
      </c>
    </row>
    <row r="3141" spans="1:2" ht="14.5" x14ac:dyDescent="0.35">
      <c r="A3141" s="8" t="s">
        <v>54894</v>
      </c>
      <c r="B3141" s="8" t="s">
        <v>54904</v>
      </c>
    </row>
    <row r="3142" spans="1:2" ht="14.5" x14ac:dyDescent="0.35">
      <c r="A3142" s="8" t="s">
        <v>54894</v>
      </c>
      <c r="B3142" s="8" t="s">
        <v>58450</v>
      </c>
    </row>
    <row r="3143" spans="1:2" ht="14.5" x14ac:dyDescent="0.35">
      <c r="A3143" s="8" t="s">
        <v>54894</v>
      </c>
      <c r="B3143" s="8" t="s">
        <v>55132</v>
      </c>
    </row>
    <row r="3144" spans="1:2" ht="14.5" x14ac:dyDescent="0.35">
      <c r="A3144" s="8" t="s">
        <v>54894</v>
      </c>
      <c r="B3144" s="8" t="s">
        <v>58407</v>
      </c>
    </row>
    <row r="3145" spans="1:2" ht="14.5" x14ac:dyDescent="0.35">
      <c r="A3145" s="8" t="s">
        <v>54894</v>
      </c>
      <c r="B3145" s="8" t="s">
        <v>55292</v>
      </c>
    </row>
    <row r="3146" spans="1:2" ht="14.5" x14ac:dyDescent="0.35">
      <c r="A3146" s="8" t="s">
        <v>54894</v>
      </c>
      <c r="B3146" s="8" t="s">
        <v>58438</v>
      </c>
    </row>
    <row r="3147" spans="1:2" ht="14.5" x14ac:dyDescent="0.35">
      <c r="A3147" s="8" t="s">
        <v>54894</v>
      </c>
      <c r="B3147" s="8" t="s">
        <v>57600</v>
      </c>
    </row>
    <row r="3148" spans="1:2" ht="14.5" x14ac:dyDescent="0.35">
      <c r="A3148" s="8" t="s">
        <v>54894</v>
      </c>
      <c r="B3148" s="8" t="s">
        <v>57339</v>
      </c>
    </row>
    <row r="3149" spans="1:2" ht="14.5" x14ac:dyDescent="0.35">
      <c r="A3149" s="8" t="s">
        <v>54894</v>
      </c>
      <c r="B3149" s="8" t="s">
        <v>55766</v>
      </c>
    </row>
    <row r="3150" spans="1:2" ht="14.5" x14ac:dyDescent="0.35">
      <c r="A3150" s="8" t="s">
        <v>54894</v>
      </c>
      <c r="B3150" s="8" t="s">
        <v>55767</v>
      </c>
    </row>
    <row r="3151" spans="1:2" ht="14.5" x14ac:dyDescent="0.35">
      <c r="A3151" s="8" t="s">
        <v>54894</v>
      </c>
      <c r="B3151" s="8" t="s">
        <v>55768</v>
      </c>
    </row>
    <row r="3152" spans="1:2" ht="14.5" x14ac:dyDescent="0.35">
      <c r="A3152" s="8" t="s">
        <v>54894</v>
      </c>
      <c r="B3152" s="8" t="s">
        <v>55769</v>
      </c>
    </row>
    <row r="3153" spans="1:2" ht="14.5" x14ac:dyDescent="0.35">
      <c r="A3153" s="8" t="s">
        <v>54894</v>
      </c>
      <c r="B3153" s="8" t="s">
        <v>55770</v>
      </c>
    </row>
    <row r="3154" spans="1:2" ht="14.5" x14ac:dyDescent="0.35">
      <c r="A3154" s="8" t="s">
        <v>54894</v>
      </c>
      <c r="B3154" s="8" t="s">
        <v>55771</v>
      </c>
    </row>
    <row r="3155" spans="1:2" ht="14.5" x14ac:dyDescent="0.35">
      <c r="A3155" s="8" t="s">
        <v>54894</v>
      </c>
      <c r="B3155" s="8" t="s">
        <v>55772</v>
      </c>
    </row>
    <row r="3156" spans="1:2" ht="14.5" x14ac:dyDescent="0.35">
      <c r="A3156" s="8" t="s">
        <v>54894</v>
      </c>
      <c r="B3156" s="8" t="s">
        <v>55773</v>
      </c>
    </row>
    <row r="3157" spans="1:2" ht="14.5" x14ac:dyDescent="0.35">
      <c r="A3157" s="8" t="s">
        <v>54894</v>
      </c>
      <c r="B3157" s="8" t="s">
        <v>58070</v>
      </c>
    </row>
    <row r="3158" spans="1:2" ht="14.5" x14ac:dyDescent="0.35">
      <c r="A3158" s="8" t="s">
        <v>54894</v>
      </c>
      <c r="B3158" s="8" t="s">
        <v>57601</v>
      </c>
    </row>
    <row r="3159" spans="1:2" ht="14.5" x14ac:dyDescent="0.35">
      <c r="A3159" s="8" t="s">
        <v>54894</v>
      </c>
      <c r="B3159" s="8" t="s">
        <v>57776</v>
      </c>
    </row>
    <row r="3160" spans="1:2" ht="14.5" x14ac:dyDescent="0.35">
      <c r="A3160" s="8" t="s">
        <v>54894</v>
      </c>
      <c r="B3160" s="8" t="s">
        <v>57777</v>
      </c>
    </row>
    <row r="3161" spans="1:2" ht="14.5" x14ac:dyDescent="0.35">
      <c r="A3161" s="8" t="s">
        <v>54894</v>
      </c>
      <c r="B3161" s="8" t="s">
        <v>57778</v>
      </c>
    </row>
    <row r="3162" spans="1:2" ht="14.5" x14ac:dyDescent="0.35">
      <c r="A3162" s="8" t="s">
        <v>54894</v>
      </c>
      <c r="B3162" s="8" t="s">
        <v>57779</v>
      </c>
    </row>
    <row r="3163" spans="1:2" ht="14.5" x14ac:dyDescent="0.35">
      <c r="A3163" s="8" t="s">
        <v>54894</v>
      </c>
      <c r="B3163" s="8" t="s">
        <v>57780</v>
      </c>
    </row>
    <row r="3164" spans="1:2" ht="14.5" x14ac:dyDescent="0.35">
      <c r="A3164" s="8" t="s">
        <v>54894</v>
      </c>
      <c r="B3164" s="8" t="s">
        <v>57319</v>
      </c>
    </row>
    <row r="3165" spans="1:2" ht="14.5" x14ac:dyDescent="0.35">
      <c r="A3165" s="8" t="s">
        <v>54894</v>
      </c>
      <c r="B3165" s="8" t="s">
        <v>57319</v>
      </c>
    </row>
    <row r="3166" spans="1:2" ht="14.5" x14ac:dyDescent="0.35">
      <c r="A3166" s="8" t="s">
        <v>54894</v>
      </c>
      <c r="B3166" s="8" t="s">
        <v>57319</v>
      </c>
    </row>
    <row r="3167" spans="1:2" ht="14.5" x14ac:dyDescent="0.35">
      <c r="A3167" s="8" t="s">
        <v>54894</v>
      </c>
      <c r="B3167" s="8" t="s">
        <v>57319</v>
      </c>
    </row>
    <row r="3168" spans="1:2" ht="14.5" x14ac:dyDescent="0.35">
      <c r="A3168" s="8" t="s">
        <v>54894</v>
      </c>
      <c r="B3168" s="8" t="s">
        <v>56297</v>
      </c>
    </row>
    <row r="3169" spans="1:2" ht="14.5" x14ac:dyDescent="0.35">
      <c r="A3169" s="8" t="s">
        <v>54894</v>
      </c>
      <c r="B3169" s="8" t="s">
        <v>56434</v>
      </c>
    </row>
    <row r="3170" spans="1:2" ht="14.5" x14ac:dyDescent="0.35">
      <c r="A3170" s="8" t="s">
        <v>54894</v>
      </c>
      <c r="B3170" s="8" t="s">
        <v>56399</v>
      </c>
    </row>
    <row r="3171" spans="1:2" ht="14.5" x14ac:dyDescent="0.35">
      <c r="A3171" s="8" t="s">
        <v>54894</v>
      </c>
      <c r="B3171" s="8" t="s">
        <v>56400</v>
      </c>
    </row>
    <row r="3172" spans="1:2" ht="14.5" x14ac:dyDescent="0.35">
      <c r="A3172" s="8" t="s">
        <v>54894</v>
      </c>
      <c r="B3172" s="8" t="s">
        <v>58400</v>
      </c>
    </row>
    <row r="3173" spans="1:2" ht="14.5" x14ac:dyDescent="0.35">
      <c r="A3173" s="8" t="s">
        <v>54894</v>
      </c>
      <c r="B3173" s="8" t="s">
        <v>57537</v>
      </c>
    </row>
    <row r="3174" spans="1:2" ht="14.5" x14ac:dyDescent="0.35">
      <c r="A3174" s="8" t="s">
        <v>54894</v>
      </c>
      <c r="B3174" s="8" t="s">
        <v>58439</v>
      </c>
    </row>
    <row r="3175" spans="1:2" ht="14.5" x14ac:dyDescent="0.35">
      <c r="A3175" s="8" t="s">
        <v>54894</v>
      </c>
      <c r="B3175" s="8" t="s">
        <v>55571</v>
      </c>
    </row>
    <row r="3176" spans="1:2" ht="14.5" x14ac:dyDescent="0.35">
      <c r="A3176" s="8" t="s">
        <v>54894</v>
      </c>
      <c r="B3176" s="8" t="s">
        <v>57275</v>
      </c>
    </row>
    <row r="3177" spans="1:2" ht="14.5" x14ac:dyDescent="0.35">
      <c r="A3177" s="8" t="s">
        <v>54894</v>
      </c>
      <c r="B3177" s="8" t="s">
        <v>57275</v>
      </c>
    </row>
    <row r="3178" spans="1:2" ht="14.5" x14ac:dyDescent="0.35">
      <c r="A3178" s="8" t="s">
        <v>54894</v>
      </c>
      <c r="B3178" s="8" t="s">
        <v>58355</v>
      </c>
    </row>
    <row r="3179" spans="1:2" ht="14.5" x14ac:dyDescent="0.35">
      <c r="A3179" s="8" t="s">
        <v>54894</v>
      </c>
      <c r="B3179" s="8" t="s">
        <v>58356</v>
      </c>
    </row>
    <row r="3180" spans="1:2" ht="14.5" x14ac:dyDescent="0.35">
      <c r="A3180" s="8" t="s">
        <v>54894</v>
      </c>
      <c r="B3180" s="8" t="s">
        <v>56614</v>
      </c>
    </row>
    <row r="3181" spans="1:2" ht="14.5" x14ac:dyDescent="0.35">
      <c r="A3181" s="8" t="s">
        <v>54894</v>
      </c>
      <c r="B3181" s="8" t="s">
        <v>58420</v>
      </c>
    </row>
    <row r="3182" spans="1:2" ht="14.5" x14ac:dyDescent="0.35">
      <c r="A3182" s="8" t="s">
        <v>54894</v>
      </c>
      <c r="B3182" s="8" t="s">
        <v>55300</v>
      </c>
    </row>
    <row r="3183" spans="1:2" ht="14.5" x14ac:dyDescent="0.35">
      <c r="A3183" s="8" t="s">
        <v>54894</v>
      </c>
      <c r="B3183" s="8" t="s">
        <v>57249</v>
      </c>
    </row>
    <row r="3184" spans="1:2" ht="14.5" x14ac:dyDescent="0.35">
      <c r="A3184" s="8" t="s">
        <v>54894</v>
      </c>
      <c r="B3184" s="8" t="s">
        <v>55223</v>
      </c>
    </row>
    <row r="3185" spans="1:2" ht="14.5" x14ac:dyDescent="0.35">
      <c r="A3185" s="8" t="s">
        <v>54894</v>
      </c>
      <c r="B3185" s="8" t="s">
        <v>55223</v>
      </c>
    </row>
    <row r="3186" spans="1:2" ht="14.5" x14ac:dyDescent="0.35">
      <c r="A3186" s="8" t="s">
        <v>54894</v>
      </c>
      <c r="B3186" s="8" t="s">
        <v>58214</v>
      </c>
    </row>
    <row r="3187" spans="1:2" ht="14.5" x14ac:dyDescent="0.35">
      <c r="A3187" s="8" t="s">
        <v>54894</v>
      </c>
      <c r="B3187" s="8" t="s">
        <v>57602</v>
      </c>
    </row>
    <row r="3188" spans="1:2" ht="14.5" x14ac:dyDescent="0.35">
      <c r="A3188" s="8" t="s">
        <v>54894</v>
      </c>
      <c r="B3188" s="8" t="s">
        <v>55696</v>
      </c>
    </row>
    <row r="3189" spans="1:2" ht="14.5" x14ac:dyDescent="0.35">
      <c r="A3189" s="8" t="s">
        <v>54894</v>
      </c>
      <c r="B3189" s="8" t="s">
        <v>55697</v>
      </c>
    </row>
    <row r="3190" spans="1:2" ht="14.5" x14ac:dyDescent="0.35">
      <c r="A3190" s="8" t="s">
        <v>54894</v>
      </c>
      <c r="B3190" s="8" t="s">
        <v>56605</v>
      </c>
    </row>
    <row r="3191" spans="1:2" ht="14.5" x14ac:dyDescent="0.35">
      <c r="A3191" s="8" t="s">
        <v>54894</v>
      </c>
      <c r="B3191" s="8" t="s">
        <v>57006</v>
      </c>
    </row>
    <row r="3192" spans="1:2" ht="14.5" x14ac:dyDescent="0.35">
      <c r="A3192" s="8" t="s">
        <v>54894</v>
      </c>
      <c r="B3192" s="8" t="s">
        <v>55270</v>
      </c>
    </row>
    <row r="3193" spans="1:2" ht="14.5" x14ac:dyDescent="0.35">
      <c r="A3193" s="8" t="s">
        <v>54894</v>
      </c>
      <c r="B3193" s="8" t="s">
        <v>57990</v>
      </c>
    </row>
    <row r="3194" spans="1:2" ht="14.5" x14ac:dyDescent="0.35">
      <c r="A3194" s="8" t="s">
        <v>54894</v>
      </c>
      <c r="B3194" s="8" t="s">
        <v>57393</v>
      </c>
    </row>
    <row r="3195" spans="1:2" ht="14.5" x14ac:dyDescent="0.35">
      <c r="A3195" s="8" t="s">
        <v>54894</v>
      </c>
      <c r="B3195" s="8" t="s">
        <v>56771</v>
      </c>
    </row>
    <row r="3196" spans="1:2" ht="14.5" x14ac:dyDescent="0.35">
      <c r="A3196" s="8" t="s">
        <v>54894</v>
      </c>
      <c r="B3196" s="8" t="s">
        <v>56443</v>
      </c>
    </row>
    <row r="3197" spans="1:2" ht="14.5" x14ac:dyDescent="0.35">
      <c r="A3197" s="8" t="s">
        <v>54894</v>
      </c>
      <c r="B3197" s="8" t="s">
        <v>56443</v>
      </c>
    </row>
    <row r="3198" spans="1:2" ht="14.5" x14ac:dyDescent="0.35">
      <c r="A3198" s="8" t="s">
        <v>54894</v>
      </c>
      <c r="B3198" s="8" t="s">
        <v>57394</v>
      </c>
    </row>
    <row r="3199" spans="1:2" ht="14.5" x14ac:dyDescent="0.35">
      <c r="A3199" s="8" t="s">
        <v>54894</v>
      </c>
      <c r="B3199" s="8" t="s">
        <v>55468</v>
      </c>
    </row>
    <row r="3200" spans="1:2" ht="14.5" x14ac:dyDescent="0.35">
      <c r="A3200" s="8" t="s">
        <v>54894</v>
      </c>
      <c r="B3200" s="8" t="s">
        <v>58444</v>
      </c>
    </row>
    <row r="3201" spans="1:2" ht="14.5" x14ac:dyDescent="0.35">
      <c r="A3201" s="8" t="s">
        <v>54894</v>
      </c>
      <c r="B3201" s="8" t="s">
        <v>55162</v>
      </c>
    </row>
    <row r="3202" spans="1:2" ht="14.5" x14ac:dyDescent="0.35">
      <c r="A3202" s="8" t="s">
        <v>54894</v>
      </c>
      <c r="B3202" s="8" t="s">
        <v>56069</v>
      </c>
    </row>
    <row r="3203" spans="1:2" ht="14.5" x14ac:dyDescent="0.35">
      <c r="A3203" s="8" t="s">
        <v>54894</v>
      </c>
      <c r="B3203" s="8" t="s">
        <v>56070</v>
      </c>
    </row>
    <row r="3204" spans="1:2" ht="14.5" x14ac:dyDescent="0.35">
      <c r="A3204" s="8" t="s">
        <v>54894</v>
      </c>
      <c r="B3204" s="8" t="s">
        <v>55884</v>
      </c>
    </row>
    <row r="3205" spans="1:2" ht="14.5" x14ac:dyDescent="0.35">
      <c r="A3205" s="8" t="s">
        <v>54894</v>
      </c>
      <c r="B3205" s="8" t="s">
        <v>57991</v>
      </c>
    </row>
    <row r="3206" spans="1:2" ht="14.5" x14ac:dyDescent="0.35">
      <c r="A3206" s="8" t="s">
        <v>54894</v>
      </c>
      <c r="B3206" s="8" t="s">
        <v>56071</v>
      </c>
    </row>
    <row r="3207" spans="1:2" ht="14.5" x14ac:dyDescent="0.35">
      <c r="A3207" s="8" t="s">
        <v>54894</v>
      </c>
      <c r="B3207" s="8" t="s">
        <v>55240</v>
      </c>
    </row>
    <row r="3208" spans="1:2" ht="14.5" x14ac:dyDescent="0.35">
      <c r="A3208" s="8" t="s">
        <v>54894</v>
      </c>
      <c r="B3208" s="8" t="s">
        <v>55296</v>
      </c>
    </row>
    <row r="3209" spans="1:2" ht="14.5" x14ac:dyDescent="0.35">
      <c r="A3209" s="8" t="s">
        <v>54894</v>
      </c>
      <c r="B3209" s="8" t="s">
        <v>55897</v>
      </c>
    </row>
    <row r="3210" spans="1:2" ht="14.5" x14ac:dyDescent="0.35">
      <c r="A3210" s="8" t="s">
        <v>54894</v>
      </c>
      <c r="B3210" s="8" t="s">
        <v>58071</v>
      </c>
    </row>
    <row r="3211" spans="1:2" ht="14.5" x14ac:dyDescent="0.35">
      <c r="A3211" s="8" t="s">
        <v>54894</v>
      </c>
      <c r="B3211" s="8" t="s">
        <v>56308</v>
      </c>
    </row>
    <row r="3212" spans="1:2" ht="14.5" x14ac:dyDescent="0.35">
      <c r="A3212" s="8" t="s">
        <v>54894</v>
      </c>
      <c r="B3212" s="8" t="s">
        <v>56309</v>
      </c>
    </row>
    <row r="3213" spans="1:2" ht="14.5" x14ac:dyDescent="0.35">
      <c r="A3213" s="8" t="s">
        <v>54894</v>
      </c>
      <c r="B3213" s="8" t="s">
        <v>58451</v>
      </c>
    </row>
    <row r="3214" spans="1:2" ht="14.5" x14ac:dyDescent="0.35">
      <c r="A3214" s="8" t="s">
        <v>54894</v>
      </c>
      <c r="B3214" s="8" t="s">
        <v>57790</v>
      </c>
    </row>
    <row r="3215" spans="1:2" ht="14.5" x14ac:dyDescent="0.35">
      <c r="A3215" s="8" t="s">
        <v>54894</v>
      </c>
      <c r="B3215" s="8" t="s">
        <v>58265</v>
      </c>
    </row>
    <row r="3216" spans="1:2" ht="14.5" x14ac:dyDescent="0.35">
      <c r="A3216" s="8" t="s">
        <v>54894</v>
      </c>
      <c r="B3216" s="8" t="s">
        <v>56207</v>
      </c>
    </row>
    <row r="3217" spans="1:2" ht="14.5" x14ac:dyDescent="0.35">
      <c r="A3217" s="8" t="s">
        <v>54894</v>
      </c>
      <c r="B3217" s="8" t="s">
        <v>57915</v>
      </c>
    </row>
    <row r="3218" spans="1:2" ht="14.5" x14ac:dyDescent="0.35">
      <c r="A3218" s="8" t="s">
        <v>54894</v>
      </c>
      <c r="B3218" s="8" t="s">
        <v>56772</v>
      </c>
    </row>
    <row r="3219" spans="1:2" ht="14.5" x14ac:dyDescent="0.35">
      <c r="A3219" s="8" t="s">
        <v>54894</v>
      </c>
      <c r="B3219" s="8" t="s">
        <v>56072</v>
      </c>
    </row>
    <row r="3220" spans="1:2" ht="14.5" x14ac:dyDescent="0.35">
      <c r="A3220" s="8" t="s">
        <v>54894</v>
      </c>
      <c r="B3220" s="8" t="s">
        <v>54905</v>
      </c>
    </row>
    <row r="3221" spans="1:2" ht="14.5" x14ac:dyDescent="0.35">
      <c r="A3221" s="8" t="s">
        <v>54894</v>
      </c>
      <c r="B3221" s="8" t="s">
        <v>58072</v>
      </c>
    </row>
    <row r="3222" spans="1:2" ht="14.5" x14ac:dyDescent="0.35">
      <c r="A3222" s="8" t="s">
        <v>54894</v>
      </c>
      <c r="B3222" s="8" t="s">
        <v>55885</v>
      </c>
    </row>
    <row r="3223" spans="1:2" ht="14.5" x14ac:dyDescent="0.35">
      <c r="A3223" s="8" t="s">
        <v>54894</v>
      </c>
      <c r="B3223" s="8" t="s">
        <v>55885</v>
      </c>
    </row>
    <row r="3224" spans="1:2" ht="14.5" x14ac:dyDescent="0.35">
      <c r="A3224" s="8" t="s">
        <v>54894</v>
      </c>
      <c r="B3224" s="8" t="s">
        <v>55885</v>
      </c>
    </row>
    <row r="3225" spans="1:2" ht="14.5" x14ac:dyDescent="0.35">
      <c r="A3225" s="8" t="s">
        <v>54894</v>
      </c>
      <c r="B3225" s="8" t="s">
        <v>56266</v>
      </c>
    </row>
    <row r="3226" spans="1:2" ht="14.5" x14ac:dyDescent="0.35">
      <c r="A3226" s="8" t="s">
        <v>54894</v>
      </c>
      <c r="B3226" s="8" t="s">
        <v>58073</v>
      </c>
    </row>
    <row r="3227" spans="1:2" ht="14.5" x14ac:dyDescent="0.35">
      <c r="A3227" s="8" t="s">
        <v>54894</v>
      </c>
      <c r="B3227" s="8" t="s">
        <v>57511</v>
      </c>
    </row>
    <row r="3228" spans="1:2" ht="14.5" x14ac:dyDescent="0.35">
      <c r="A3228" s="8" t="s">
        <v>54894</v>
      </c>
      <c r="B3228" s="8" t="s">
        <v>54936</v>
      </c>
    </row>
    <row r="3229" spans="1:2" ht="14.5" x14ac:dyDescent="0.35">
      <c r="A3229" s="8" t="s">
        <v>54894</v>
      </c>
      <c r="B3229" s="8" t="s">
        <v>57680</v>
      </c>
    </row>
    <row r="3230" spans="1:2" ht="14.5" x14ac:dyDescent="0.35">
      <c r="A3230" s="8" t="s">
        <v>54894</v>
      </c>
      <c r="B3230" s="8" t="s">
        <v>55271</v>
      </c>
    </row>
    <row r="3231" spans="1:2" ht="14.5" x14ac:dyDescent="0.35">
      <c r="A3231" s="8" t="s">
        <v>54894</v>
      </c>
      <c r="B3231" s="8" t="s">
        <v>55910</v>
      </c>
    </row>
    <row r="3232" spans="1:2" ht="14.5" x14ac:dyDescent="0.35">
      <c r="A3232" s="8" t="s">
        <v>54894</v>
      </c>
      <c r="B3232" s="8" t="s">
        <v>57300</v>
      </c>
    </row>
    <row r="3233" spans="1:2" ht="14.5" x14ac:dyDescent="0.35">
      <c r="A3233" s="8" t="s">
        <v>54894</v>
      </c>
      <c r="B3233" s="8" t="s">
        <v>55056</v>
      </c>
    </row>
    <row r="3234" spans="1:2" ht="14.5" x14ac:dyDescent="0.35">
      <c r="A3234" s="8" t="s">
        <v>54894</v>
      </c>
      <c r="B3234" s="8" t="s">
        <v>55056</v>
      </c>
    </row>
    <row r="3235" spans="1:2" ht="14.5" x14ac:dyDescent="0.35">
      <c r="A3235" s="8" t="s">
        <v>54894</v>
      </c>
      <c r="B3235" s="8" t="s">
        <v>55056</v>
      </c>
    </row>
    <row r="3236" spans="1:2" ht="14.5" x14ac:dyDescent="0.35">
      <c r="A3236" s="8" t="s">
        <v>54894</v>
      </c>
      <c r="B3236" s="8" t="s">
        <v>54965</v>
      </c>
    </row>
    <row r="3237" spans="1:2" ht="14.5" x14ac:dyDescent="0.35">
      <c r="A3237" s="8" t="s">
        <v>54894</v>
      </c>
      <c r="B3237" s="8" t="s">
        <v>56530</v>
      </c>
    </row>
    <row r="3238" spans="1:2" ht="14.5" x14ac:dyDescent="0.35">
      <c r="A3238" s="8" t="s">
        <v>54894</v>
      </c>
      <c r="B3238" s="8" t="s">
        <v>56531</v>
      </c>
    </row>
    <row r="3239" spans="1:2" ht="14.5" x14ac:dyDescent="0.35">
      <c r="A3239" s="8" t="s">
        <v>54894</v>
      </c>
      <c r="B3239" s="8" t="s">
        <v>57765</v>
      </c>
    </row>
    <row r="3240" spans="1:2" ht="14.5" x14ac:dyDescent="0.35">
      <c r="A3240" s="8" t="s">
        <v>54894</v>
      </c>
      <c r="B3240" s="8" t="s">
        <v>57668</v>
      </c>
    </row>
    <row r="3241" spans="1:2" ht="14.5" x14ac:dyDescent="0.35">
      <c r="A3241" s="8" t="s">
        <v>54894</v>
      </c>
      <c r="B3241" s="8" t="s">
        <v>55747</v>
      </c>
    </row>
    <row r="3242" spans="1:2" ht="14.5" x14ac:dyDescent="0.35">
      <c r="A3242" s="8" t="s">
        <v>54894</v>
      </c>
      <c r="B3242" s="8" t="s">
        <v>55748</v>
      </c>
    </row>
    <row r="3243" spans="1:2" ht="14.5" x14ac:dyDescent="0.35">
      <c r="A3243" s="8" t="s">
        <v>54894</v>
      </c>
      <c r="B3243" s="8" t="s">
        <v>55749</v>
      </c>
    </row>
    <row r="3244" spans="1:2" ht="14.5" x14ac:dyDescent="0.35">
      <c r="A3244" s="8" t="s">
        <v>54894</v>
      </c>
      <c r="B3244" s="8" t="s">
        <v>57191</v>
      </c>
    </row>
    <row r="3245" spans="1:2" ht="14.5" x14ac:dyDescent="0.35">
      <c r="A3245" s="8" t="s">
        <v>54894</v>
      </c>
      <c r="B3245" s="8" t="s">
        <v>55657</v>
      </c>
    </row>
    <row r="3246" spans="1:2" ht="14.5" x14ac:dyDescent="0.35">
      <c r="A3246" s="8" t="s">
        <v>54894</v>
      </c>
      <c r="B3246" s="8" t="s">
        <v>56409</v>
      </c>
    </row>
    <row r="3247" spans="1:2" ht="14.5" x14ac:dyDescent="0.35">
      <c r="A3247" s="8" t="s">
        <v>54894</v>
      </c>
      <c r="B3247" s="8" t="s">
        <v>56773</v>
      </c>
    </row>
    <row r="3248" spans="1:2" ht="14.5" x14ac:dyDescent="0.35">
      <c r="A3248" s="8" t="s">
        <v>54894</v>
      </c>
      <c r="B3248" s="8" t="s">
        <v>56774</v>
      </c>
    </row>
    <row r="3249" spans="1:2" ht="14.5" x14ac:dyDescent="0.35">
      <c r="A3249" s="8" t="s">
        <v>54894</v>
      </c>
      <c r="B3249" s="8" t="s">
        <v>56775</v>
      </c>
    </row>
    <row r="3250" spans="1:2" ht="14.5" x14ac:dyDescent="0.35">
      <c r="A3250" s="8" t="s">
        <v>54894</v>
      </c>
      <c r="B3250" s="8" t="s">
        <v>56776</v>
      </c>
    </row>
    <row r="3251" spans="1:2" ht="14.5" x14ac:dyDescent="0.35">
      <c r="A3251" s="8" t="s">
        <v>54894</v>
      </c>
      <c r="B3251" s="8" t="s">
        <v>56777</v>
      </c>
    </row>
    <row r="3252" spans="1:2" ht="14.5" x14ac:dyDescent="0.35">
      <c r="A3252" s="8" t="s">
        <v>54894</v>
      </c>
      <c r="B3252" s="8" t="s">
        <v>56778</v>
      </c>
    </row>
    <row r="3253" spans="1:2" ht="14.5" x14ac:dyDescent="0.35">
      <c r="A3253" s="8" t="s">
        <v>54894</v>
      </c>
      <c r="B3253" s="8" t="s">
        <v>55658</v>
      </c>
    </row>
    <row r="3254" spans="1:2" ht="14.5" x14ac:dyDescent="0.35">
      <c r="A3254" s="8" t="s">
        <v>54894</v>
      </c>
      <c r="B3254" s="8" t="s">
        <v>55022</v>
      </c>
    </row>
    <row r="3255" spans="1:2" ht="14.5" x14ac:dyDescent="0.35">
      <c r="A3255" s="8" t="s">
        <v>54894</v>
      </c>
      <c r="B3255" s="8" t="s">
        <v>55659</v>
      </c>
    </row>
    <row r="3256" spans="1:2" ht="14.5" x14ac:dyDescent="0.35">
      <c r="A3256" s="8" t="s">
        <v>54894</v>
      </c>
      <c r="B3256" s="8" t="s">
        <v>55673</v>
      </c>
    </row>
    <row r="3257" spans="1:2" ht="14.5" x14ac:dyDescent="0.35">
      <c r="A3257" s="8" t="s">
        <v>54894</v>
      </c>
      <c r="B3257" s="8" t="s">
        <v>55677</v>
      </c>
    </row>
    <row r="3258" spans="1:2" ht="14.5" x14ac:dyDescent="0.35">
      <c r="A3258" s="8" t="s">
        <v>54894</v>
      </c>
      <c r="B3258" s="8" t="s">
        <v>55038</v>
      </c>
    </row>
    <row r="3259" spans="1:2" ht="14.5" x14ac:dyDescent="0.35">
      <c r="A3259" s="8" t="s">
        <v>54894</v>
      </c>
      <c r="B3259" s="8" t="s">
        <v>55678</v>
      </c>
    </row>
    <row r="3260" spans="1:2" ht="14.5" x14ac:dyDescent="0.35">
      <c r="A3260" s="8" t="s">
        <v>54894</v>
      </c>
      <c r="B3260" s="8" t="s">
        <v>57340</v>
      </c>
    </row>
    <row r="3261" spans="1:2" ht="14.5" x14ac:dyDescent="0.35">
      <c r="A3261" s="8" t="s">
        <v>54894</v>
      </c>
      <c r="B3261" s="8" t="s">
        <v>57928</v>
      </c>
    </row>
    <row r="3262" spans="1:2" ht="14.5" x14ac:dyDescent="0.35">
      <c r="A3262" s="8" t="s">
        <v>54894</v>
      </c>
      <c r="B3262" s="8" t="s">
        <v>55272</v>
      </c>
    </row>
    <row r="3263" spans="1:2" ht="14.5" x14ac:dyDescent="0.35">
      <c r="A3263" s="8" t="s">
        <v>54894</v>
      </c>
      <c r="B3263" s="8" t="s">
        <v>58322</v>
      </c>
    </row>
    <row r="3264" spans="1:2" ht="14.5" x14ac:dyDescent="0.35">
      <c r="A3264" s="8" t="s">
        <v>54894</v>
      </c>
      <c r="B3264" s="8" t="s">
        <v>57603</v>
      </c>
    </row>
    <row r="3265" spans="1:2" ht="14.5" x14ac:dyDescent="0.35">
      <c r="A3265" s="8" t="s">
        <v>54894</v>
      </c>
      <c r="B3265" s="8" t="s">
        <v>58373</v>
      </c>
    </row>
    <row r="3266" spans="1:2" ht="14.5" x14ac:dyDescent="0.35">
      <c r="A3266" s="8" t="s">
        <v>54894</v>
      </c>
      <c r="B3266" s="8" t="s">
        <v>58357</v>
      </c>
    </row>
    <row r="3267" spans="1:2" ht="14.5" x14ac:dyDescent="0.35">
      <c r="A3267" s="8" t="s">
        <v>54894</v>
      </c>
      <c r="B3267" s="8" t="s">
        <v>58358</v>
      </c>
    </row>
    <row r="3268" spans="1:2" ht="14.5" x14ac:dyDescent="0.35">
      <c r="A3268" s="8" t="s">
        <v>54894</v>
      </c>
      <c r="B3268" s="8" t="s">
        <v>58359</v>
      </c>
    </row>
    <row r="3269" spans="1:2" ht="14.5" x14ac:dyDescent="0.35">
      <c r="A3269" s="8" t="s">
        <v>54894</v>
      </c>
      <c r="B3269" s="8" t="s">
        <v>58401</v>
      </c>
    </row>
    <row r="3270" spans="1:2" ht="14.5" x14ac:dyDescent="0.35">
      <c r="A3270" s="8" t="s">
        <v>54894</v>
      </c>
      <c r="B3270" s="8" t="s">
        <v>58074</v>
      </c>
    </row>
    <row r="3271" spans="1:2" ht="14.5" x14ac:dyDescent="0.35">
      <c r="A3271" s="8" t="s">
        <v>54894</v>
      </c>
      <c r="B3271" s="8" t="s">
        <v>57097</v>
      </c>
    </row>
    <row r="3272" spans="1:2" ht="14.5" x14ac:dyDescent="0.35">
      <c r="A3272" s="8" t="s">
        <v>54894</v>
      </c>
      <c r="B3272" s="8" t="s">
        <v>57098</v>
      </c>
    </row>
    <row r="3273" spans="1:2" ht="14.5" x14ac:dyDescent="0.35">
      <c r="A3273" s="8" t="s">
        <v>54894</v>
      </c>
      <c r="B3273" s="8" t="s">
        <v>57099</v>
      </c>
    </row>
    <row r="3274" spans="1:2" ht="14.5" x14ac:dyDescent="0.35">
      <c r="A3274" s="8" t="s">
        <v>54894</v>
      </c>
      <c r="B3274" s="8" t="s">
        <v>57100</v>
      </c>
    </row>
    <row r="3275" spans="1:2" ht="14.5" x14ac:dyDescent="0.35">
      <c r="A3275" s="8" t="s">
        <v>54894</v>
      </c>
      <c r="B3275" s="8" t="s">
        <v>57101</v>
      </c>
    </row>
    <row r="3276" spans="1:2" ht="14.5" x14ac:dyDescent="0.35">
      <c r="A3276" s="8" t="s">
        <v>54894</v>
      </c>
      <c r="B3276" s="8" t="s">
        <v>57229</v>
      </c>
    </row>
    <row r="3277" spans="1:2" ht="14.5" x14ac:dyDescent="0.35">
      <c r="A3277" s="8" t="s">
        <v>54894</v>
      </c>
      <c r="B3277" s="8" t="s">
        <v>56208</v>
      </c>
    </row>
    <row r="3278" spans="1:2" ht="14.5" x14ac:dyDescent="0.35">
      <c r="A3278" s="8" t="s">
        <v>54894</v>
      </c>
      <c r="B3278" s="8" t="s">
        <v>55224</v>
      </c>
    </row>
    <row r="3279" spans="1:2" ht="14.5" x14ac:dyDescent="0.35">
      <c r="A3279" s="8" t="s">
        <v>54894</v>
      </c>
      <c r="B3279" s="8" t="s">
        <v>7054</v>
      </c>
    </row>
    <row r="3280" spans="1:2" ht="14.5" x14ac:dyDescent="0.35">
      <c r="A3280" s="8" t="s">
        <v>54894</v>
      </c>
      <c r="B3280" s="8" t="s">
        <v>55616</v>
      </c>
    </row>
    <row r="3281" spans="1:2" ht="14.5" x14ac:dyDescent="0.35">
      <c r="A3281" s="8" t="s">
        <v>54894</v>
      </c>
      <c r="B3281" s="8" t="s">
        <v>55617</v>
      </c>
    </row>
    <row r="3282" spans="1:2" ht="14.5" x14ac:dyDescent="0.35">
      <c r="A3282" s="8" t="s">
        <v>54894</v>
      </c>
      <c r="B3282" s="8" t="s">
        <v>58075</v>
      </c>
    </row>
    <row r="3283" spans="1:2" ht="14.5" x14ac:dyDescent="0.35">
      <c r="A3283" s="8" t="s">
        <v>54894</v>
      </c>
      <c r="B3283" s="8" t="s">
        <v>57395</v>
      </c>
    </row>
    <row r="3284" spans="1:2" ht="14.5" x14ac:dyDescent="0.35">
      <c r="A3284" s="8" t="s">
        <v>54894</v>
      </c>
      <c r="B3284" s="8" t="s">
        <v>56779</v>
      </c>
    </row>
    <row r="3285" spans="1:2" ht="14.5" x14ac:dyDescent="0.35">
      <c r="A3285" s="8" t="s">
        <v>54894</v>
      </c>
      <c r="B3285" s="8" t="s">
        <v>57396</v>
      </c>
    </row>
    <row r="3286" spans="1:2" ht="14.5" x14ac:dyDescent="0.35">
      <c r="A3286" s="8" t="s">
        <v>54894</v>
      </c>
      <c r="B3286" s="8" t="s">
        <v>57849</v>
      </c>
    </row>
    <row r="3287" spans="1:2" ht="14.5" x14ac:dyDescent="0.35">
      <c r="A3287" s="8" t="s">
        <v>54894</v>
      </c>
      <c r="B3287" s="8" t="s">
        <v>55713</v>
      </c>
    </row>
    <row r="3288" spans="1:2" ht="14.5" x14ac:dyDescent="0.35">
      <c r="A3288" s="8" t="s">
        <v>54894</v>
      </c>
      <c r="B3288" s="8" t="s">
        <v>57075</v>
      </c>
    </row>
    <row r="3289" spans="1:2" ht="14.5" x14ac:dyDescent="0.35">
      <c r="A3289" s="8" t="s">
        <v>54894</v>
      </c>
      <c r="B3289" s="8" t="s">
        <v>55714</v>
      </c>
    </row>
    <row r="3290" spans="1:2" ht="14.5" x14ac:dyDescent="0.35">
      <c r="A3290" s="8" t="s">
        <v>54894</v>
      </c>
      <c r="B3290" s="8" t="s">
        <v>57799</v>
      </c>
    </row>
    <row r="3291" spans="1:2" ht="14.5" x14ac:dyDescent="0.35">
      <c r="A3291" s="8" t="s">
        <v>54894</v>
      </c>
      <c r="B3291" s="8" t="s">
        <v>57276</v>
      </c>
    </row>
    <row r="3292" spans="1:2" ht="14.5" x14ac:dyDescent="0.35">
      <c r="A3292" s="8" t="s">
        <v>54894</v>
      </c>
      <c r="B3292" s="8" t="s">
        <v>56780</v>
      </c>
    </row>
    <row r="3293" spans="1:2" ht="14.5" x14ac:dyDescent="0.35">
      <c r="A3293" s="8" t="s">
        <v>54894</v>
      </c>
      <c r="B3293" s="8" t="s">
        <v>57973</v>
      </c>
    </row>
    <row r="3294" spans="1:2" ht="14.5" x14ac:dyDescent="0.35">
      <c r="A3294" s="8" t="s">
        <v>54894</v>
      </c>
      <c r="B3294" s="8" t="s">
        <v>57977</v>
      </c>
    </row>
    <row r="3295" spans="1:2" ht="14.5" x14ac:dyDescent="0.35">
      <c r="A3295" s="8" t="s">
        <v>54894</v>
      </c>
      <c r="B3295" s="8" t="s">
        <v>57368</v>
      </c>
    </row>
    <row r="3296" spans="1:2" ht="14.5" x14ac:dyDescent="0.35">
      <c r="A3296" s="8" t="s">
        <v>54894</v>
      </c>
      <c r="B3296" s="8" t="s">
        <v>55729</v>
      </c>
    </row>
    <row r="3297" spans="1:2" ht="14.5" x14ac:dyDescent="0.35">
      <c r="A3297" s="8" t="s">
        <v>54894</v>
      </c>
      <c r="B3297" s="8" t="s">
        <v>55582</v>
      </c>
    </row>
    <row r="3298" spans="1:2" ht="14.5" x14ac:dyDescent="0.35">
      <c r="A3298" s="8" t="s">
        <v>54894</v>
      </c>
      <c r="B3298" s="8" t="s">
        <v>55266</v>
      </c>
    </row>
    <row r="3299" spans="1:2" ht="14.5" x14ac:dyDescent="0.35">
      <c r="A3299" s="8" t="s">
        <v>54894</v>
      </c>
      <c r="B3299" s="8" t="s">
        <v>55267</v>
      </c>
    </row>
    <row r="3300" spans="1:2" ht="14.5" x14ac:dyDescent="0.35">
      <c r="A3300" s="8" t="s">
        <v>54894</v>
      </c>
      <c r="B3300" s="8" t="s">
        <v>58215</v>
      </c>
    </row>
    <row r="3301" spans="1:2" ht="14.5" x14ac:dyDescent="0.35">
      <c r="A3301" s="8" t="s">
        <v>54894</v>
      </c>
      <c r="B3301" s="8" t="s">
        <v>55241</v>
      </c>
    </row>
    <row r="3302" spans="1:2" ht="14.5" x14ac:dyDescent="0.35">
      <c r="A3302" s="8" t="s">
        <v>54894</v>
      </c>
      <c r="B3302" s="8" t="s">
        <v>55313</v>
      </c>
    </row>
    <row r="3303" spans="1:2" ht="14.5" x14ac:dyDescent="0.35">
      <c r="A3303" s="8" t="s">
        <v>54894</v>
      </c>
      <c r="B3303" s="8" t="s">
        <v>57604</v>
      </c>
    </row>
    <row r="3304" spans="1:2" ht="14.5" x14ac:dyDescent="0.35">
      <c r="A3304" s="8" t="s">
        <v>54894</v>
      </c>
      <c r="B3304" s="8" t="s">
        <v>56385</v>
      </c>
    </row>
    <row r="3305" spans="1:2" ht="14.5" x14ac:dyDescent="0.35">
      <c r="A3305" s="8" t="s">
        <v>54894</v>
      </c>
      <c r="B3305" s="8" t="s">
        <v>58216</v>
      </c>
    </row>
    <row r="3306" spans="1:2" ht="14.5" x14ac:dyDescent="0.35">
      <c r="A3306" s="8" t="s">
        <v>54894</v>
      </c>
      <c r="B3306" s="8" t="s">
        <v>56781</v>
      </c>
    </row>
    <row r="3307" spans="1:2" ht="14.5" x14ac:dyDescent="0.35">
      <c r="A3307" s="8" t="s">
        <v>54894</v>
      </c>
      <c r="B3307" s="8" t="s">
        <v>56782</v>
      </c>
    </row>
    <row r="3308" spans="1:2" ht="14.5" x14ac:dyDescent="0.35">
      <c r="A3308" s="8" t="s">
        <v>54894</v>
      </c>
      <c r="B3308" s="8" t="s">
        <v>56783</v>
      </c>
    </row>
    <row r="3309" spans="1:2" ht="14.5" x14ac:dyDescent="0.35">
      <c r="A3309" s="8" t="s">
        <v>54894</v>
      </c>
      <c r="B3309" s="8" t="s">
        <v>56497</v>
      </c>
    </row>
    <row r="3310" spans="1:2" ht="14.5" x14ac:dyDescent="0.35">
      <c r="A3310" s="8" t="s">
        <v>54894</v>
      </c>
      <c r="B3310" s="8" t="s">
        <v>56506</v>
      </c>
    </row>
    <row r="3311" spans="1:2" ht="14.5" x14ac:dyDescent="0.35">
      <c r="A3311" s="8" t="s">
        <v>54894</v>
      </c>
      <c r="B3311" s="8" t="s">
        <v>56507</v>
      </c>
    </row>
    <row r="3312" spans="1:2" ht="14.5" x14ac:dyDescent="0.35">
      <c r="A3312" s="8" t="s">
        <v>54894</v>
      </c>
      <c r="B3312" s="8" t="s">
        <v>55212</v>
      </c>
    </row>
    <row r="3313" spans="1:2" ht="14.5" x14ac:dyDescent="0.35">
      <c r="A3313" s="8" t="s">
        <v>54894</v>
      </c>
      <c r="B3313" s="8" t="s">
        <v>4490</v>
      </c>
    </row>
    <row r="3314" spans="1:2" ht="14.5" x14ac:dyDescent="0.35">
      <c r="A3314" s="8" t="s">
        <v>54894</v>
      </c>
      <c r="B3314" s="8" t="s">
        <v>4490</v>
      </c>
    </row>
    <row r="3315" spans="1:2" ht="14.5" x14ac:dyDescent="0.35">
      <c r="A3315" s="8" t="s">
        <v>54894</v>
      </c>
      <c r="B3315" s="8" t="s">
        <v>56784</v>
      </c>
    </row>
    <row r="3316" spans="1:2" ht="14.5" x14ac:dyDescent="0.35">
      <c r="A3316" s="8" t="s">
        <v>54894</v>
      </c>
      <c r="B3316" s="8" t="s">
        <v>56785</v>
      </c>
    </row>
    <row r="3317" spans="1:2" ht="14.5" x14ac:dyDescent="0.35">
      <c r="A3317" s="8" t="s">
        <v>54894</v>
      </c>
      <c r="B3317" s="8" t="s">
        <v>55774</v>
      </c>
    </row>
    <row r="3318" spans="1:2" ht="14.5" x14ac:dyDescent="0.35">
      <c r="A3318" s="8" t="s">
        <v>54894</v>
      </c>
      <c r="B3318" s="8" t="s">
        <v>57748</v>
      </c>
    </row>
    <row r="3319" spans="1:2" ht="14.5" x14ac:dyDescent="0.35">
      <c r="A3319" s="8" t="s">
        <v>54894</v>
      </c>
      <c r="B3319" s="8" t="s">
        <v>57301</v>
      </c>
    </row>
    <row r="3320" spans="1:2" ht="14.5" x14ac:dyDescent="0.35">
      <c r="A3320" s="8" t="s">
        <v>54894</v>
      </c>
      <c r="B3320" s="8" t="s">
        <v>58160</v>
      </c>
    </row>
    <row r="3321" spans="1:2" ht="14.5" x14ac:dyDescent="0.35">
      <c r="A3321" s="8" t="s">
        <v>54894</v>
      </c>
      <c r="B3321" s="8" t="s">
        <v>55959</v>
      </c>
    </row>
    <row r="3322" spans="1:2" ht="14.5" x14ac:dyDescent="0.35">
      <c r="A3322" s="8" t="s">
        <v>54894</v>
      </c>
      <c r="B3322" s="8" t="s">
        <v>56786</v>
      </c>
    </row>
    <row r="3323" spans="1:2" ht="14.5" x14ac:dyDescent="0.35">
      <c r="A3323" s="8" t="s">
        <v>54894</v>
      </c>
      <c r="B3323" s="8" t="s">
        <v>56787</v>
      </c>
    </row>
    <row r="3324" spans="1:2" ht="14.5" x14ac:dyDescent="0.35">
      <c r="A3324" s="8" t="s">
        <v>54894</v>
      </c>
      <c r="B3324" s="8" t="s">
        <v>56788</v>
      </c>
    </row>
    <row r="3325" spans="1:2" ht="14.5" x14ac:dyDescent="0.35">
      <c r="A3325" s="8" t="s">
        <v>54894</v>
      </c>
      <c r="B3325" s="8" t="s">
        <v>56789</v>
      </c>
    </row>
    <row r="3326" spans="1:2" ht="14.5" x14ac:dyDescent="0.35">
      <c r="A3326" s="8" t="s">
        <v>54894</v>
      </c>
      <c r="B3326" s="8" t="s">
        <v>56790</v>
      </c>
    </row>
    <row r="3327" spans="1:2" ht="14.5" x14ac:dyDescent="0.35">
      <c r="A3327" s="8" t="s">
        <v>54894</v>
      </c>
      <c r="B3327" s="8" t="s">
        <v>56791</v>
      </c>
    </row>
    <row r="3328" spans="1:2" ht="14.5" x14ac:dyDescent="0.35">
      <c r="A3328" s="8" t="s">
        <v>54894</v>
      </c>
      <c r="B3328" s="8" t="s">
        <v>56792</v>
      </c>
    </row>
    <row r="3329" spans="1:2" ht="14.5" x14ac:dyDescent="0.35">
      <c r="A3329" s="8" t="s">
        <v>54894</v>
      </c>
      <c r="B3329" s="8" t="s">
        <v>56793</v>
      </c>
    </row>
    <row r="3330" spans="1:2" ht="14.5" x14ac:dyDescent="0.35">
      <c r="A3330" s="8" t="s">
        <v>54894</v>
      </c>
      <c r="B3330" s="8" t="s">
        <v>56209</v>
      </c>
    </row>
    <row r="3331" spans="1:2" ht="14.5" x14ac:dyDescent="0.35">
      <c r="A3331" s="8" t="s">
        <v>54894</v>
      </c>
      <c r="B3331" s="8" t="s">
        <v>19360</v>
      </c>
    </row>
    <row r="3332" spans="1:2" ht="14.5" x14ac:dyDescent="0.35">
      <c r="A3332" s="8" t="s">
        <v>54894</v>
      </c>
      <c r="B3332" s="8" t="s">
        <v>58271</v>
      </c>
    </row>
    <row r="3333" spans="1:2" ht="14.5" x14ac:dyDescent="0.35">
      <c r="A3333" s="8" t="s">
        <v>54894</v>
      </c>
      <c r="B3333" s="8" t="s">
        <v>55886</v>
      </c>
    </row>
    <row r="3334" spans="1:2" ht="14.5" x14ac:dyDescent="0.35">
      <c r="A3334" s="8" t="s">
        <v>54894</v>
      </c>
      <c r="B3334" s="8" t="s">
        <v>55203</v>
      </c>
    </row>
    <row r="3335" spans="1:2" ht="14.5" x14ac:dyDescent="0.35">
      <c r="A3335" s="8" t="s">
        <v>54894</v>
      </c>
      <c r="B3335" s="8" t="s">
        <v>55462</v>
      </c>
    </row>
    <row r="3336" spans="1:2" ht="14.5" x14ac:dyDescent="0.35">
      <c r="A3336" s="8" t="s">
        <v>54894</v>
      </c>
      <c r="B3336" s="8" t="s">
        <v>56794</v>
      </c>
    </row>
    <row r="3337" spans="1:2" ht="14.5" x14ac:dyDescent="0.35">
      <c r="A3337" s="8" t="s">
        <v>54894</v>
      </c>
      <c r="B3337" s="8" t="s">
        <v>54906</v>
      </c>
    </row>
    <row r="3338" spans="1:2" ht="14.5" x14ac:dyDescent="0.35">
      <c r="A3338" s="8" t="s">
        <v>54894</v>
      </c>
      <c r="B3338" s="8" t="s">
        <v>58217</v>
      </c>
    </row>
    <row r="3339" spans="1:2" ht="14.5" x14ac:dyDescent="0.35">
      <c r="A3339" s="8" t="s">
        <v>54894</v>
      </c>
      <c r="B3339" s="8" t="s">
        <v>55421</v>
      </c>
    </row>
    <row r="3340" spans="1:2" ht="14.5" x14ac:dyDescent="0.35">
      <c r="A3340" s="8" t="s">
        <v>54894</v>
      </c>
      <c r="B3340" s="8" t="s">
        <v>58218</v>
      </c>
    </row>
    <row r="3341" spans="1:2" ht="14.5" x14ac:dyDescent="0.35">
      <c r="A3341" s="8" t="s">
        <v>54894</v>
      </c>
      <c r="B3341" s="8" t="s">
        <v>58433</v>
      </c>
    </row>
    <row r="3342" spans="1:2" ht="14.5" x14ac:dyDescent="0.35">
      <c r="A3342" s="8" t="s">
        <v>54894</v>
      </c>
      <c r="B3342" s="8" t="s">
        <v>57546</v>
      </c>
    </row>
    <row r="3343" spans="1:2" ht="14.5" x14ac:dyDescent="0.35">
      <c r="A3343" s="8" t="s">
        <v>54894</v>
      </c>
      <c r="B3343" s="8" t="s">
        <v>57895</v>
      </c>
    </row>
    <row r="3344" spans="1:2" ht="14.5" x14ac:dyDescent="0.35">
      <c r="A3344" s="8" t="s">
        <v>54894</v>
      </c>
      <c r="B3344" s="8" t="s">
        <v>58076</v>
      </c>
    </row>
    <row r="3345" spans="1:2" ht="14.5" x14ac:dyDescent="0.35">
      <c r="A3345" s="8" t="s">
        <v>54894</v>
      </c>
      <c r="B3345" s="8" t="s">
        <v>58077</v>
      </c>
    </row>
    <row r="3346" spans="1:2" ht="14.5" x14ac:dyDescent="0.35">
      <c r="A3346" s="8" t="s">
        <v>54894</v>
      </c>
      <c r="B3346" s="8" t="s">
        <v>58078</v>
      </c>
    </row>
    <row r="3347" spans="1:2" ht="14.5" x14ac:dyDescent="0.35">
      <c r="A3347" s="8" t="s">
        <v>54894</v>
      </c>
      <c r="B3347" s="8" t="s">
        <v>58079</v>
      </c>
    </row>
    <row r="3348" spans="1:2" ht="14.5" x14ac:dyDescent="0.35">
      <c r="A3348" s="8" t="s">
        <v>54894</v>
      </c>
      <c r="B3348" s="8" t="s">
        <v>58080</v>
      </c>
    </row>
    <row r="3349" spans="1:2" ht="14.5" x14ac:dyDescent="0.35">
      <c r="A3349" s="8" t="s">
        <v>54894</v>
      </c>
      <c r="B3349" s="8" t="s">
        <v>58080</v>
      </c>
    </row>
    <row r="3350" spans="1:2" ht="14.5" x14ac:dyDescent="0.35">
      <c r="A3350" s="8" t="s">
        <v>54894</v>
      </c>
      <c r="B3350" s="8" t="s">
        <v>55490</v>
      </c>
    </row>
    <row r="3351" spans="1:2" ht="14.5" x14ac:dyDescent="0.35">
      <c r="A3351" s="8" t="s">
        <v>54894</v>
      </c>
      <c r="B3351" s="8" t="s">
        <v>58081</v>
      </c>
    </row>
    <row r="3352" spans="1:2" ht="14.5" x14ac:dyDescent="0.35">
      <c r="A3352" s="8" t="s">
        <v>54894</v>
      </c>
      <c r="B3352" s="8" t="s">
        <v>57837</v>
      </c>
    </row>
    <row r="3353" spans="1:2" ht="14.5" x14ac:dyDescent="0.35">
      <c r="A3353" s="8" t="s">
        <v>54894</v>
      </c>
      <c r="B3353" s="8" t="s">
        <v>57838</v>
      </c>
    </row>
    <row r="3354" spans="1:2" ht="14.5" x14ac:dyDescent="0.35">
      <c r="A3354" s="8" t="s">
        <v>54894</v>
      </c>
      <c r="B3354" s="8" t="s">
        <v>57238</v>
      </c>
    </row>
    <row r="3355" spans="1:2" ht="14.5" x14ac:dyDescent="0.35">
      <c r="A3355" s="8" t="s">
        <v>54894</v>
      </c>
      <c r="B3355" s="8" t="s">
        <v>58082</v>
      </c>
    </row>
    <row r="3356" spans="1:2" ht="14.5" x14ac:dyDescent="0.35">
      <c r="A3356" s="8" t="s">
        <v>54894</v>
      </c>
      <c r="B3356" s="8" t="s">
        <v>58083</v>
      </c>
    </row>
    <row r="3357" spans="1:2" ht="14.5" x14ac:dyDescent="0.35">
      <c r="A3357" s="8" t="s">
        <v>54894</v>
      </c>
      <c r="B3357" s="8" t="s">
        <v>58083</v>
      </c>
    </row>
    <row r="3358" spans="1:2" ht="14.5" x14ac:dyDescent="0.35">
      <c r="A3358" s="8" t="s">
        <v>54894</v>
      </c>
      <c r="B3358" s="8" t="s">
        <v>58084</v>
      </c>
    </row>
    <row r="3359" spans="1:2" ht="14.5" x14ac:dyDescent="0.35">
      <c r="A3359" s="8" t="s">
        <v>54894</v>
      </c>
      <c r="B3359" s="8" t="s">
        <v>58085</v>
      </c>
    </row>
    <row r="3360" spans="1:2" ht="14.5" x14ac:dyDescent="0.35">
      <c r="A3360" s="8" t="s">
        <v>54894</v>
      </c>
      <c r="B3360" s="8" t="s">
        <v>58086</v>
      </c>
    </row>
    <row r="3361" spans="1:2" ht="14.5" x14ac:dyDescent="0.35">
      <c r="A3361" s="8" t="s">
        <v>54894</v>
      </c>
      <c r="B3361" s="8" t="s">
        <v>55307</v>
      </c>
    </row>
    <row r="3362" spans="1:2" ht="14.5" x14ac:dyDescent="0.35">
      <c r="A3362" s="8" t="s">
        <v>54894</v>
      </c>
      <c r="B3362" s="8" t="s">
        <v>58087</v>
      </c>
    </row>
    <row r="3363" spans="1:2" ht="14.5" x14ac:dyDescent="0.35">
      <c r="A3363" s="8" t="s">
        <v>54894</v>
      </c>
      <c r="B3363" s="8" t="s">
        <v>55491</v>
      </c>
    </row>
    <row r="3364" spans="1:2" ht="14.5" x14ac:dyDescent="0.35">
      <c r="A3364" s="8" t="s">
        <v>54894</v>
      </c>
      <c r="B3364" s="8" t="s">
        <v>58088</v>
      </c>
    </row>
    <row r="3365" spans="1:2" ht="14.5" x14ac:dyDescent="0.35">
      <c r="A3365" s="8" t="s">
        <v>54894</v>
      </c>
      <c r="B3365" s="8" t="s">
        <v>58089</v>
      </c>
    </row>
    <row r="3366" spans="1:2" ht="14.5" x14ac:dyDescent="0.35">
      <c r="A3366" s="8" t="s">
        <v>54894</v>
      </c>
      <c r="B3366" s="8" t="s">
        <v>56795</v>
      </c>
    </row>
    <row r="3367" spans="1:2" ht="14.5" x14ac:dyDescent="0.35">
      <c r="A3367" s="8" t="s">
        <v>54894</v>
      </c>
      <c r="B3367" s="8" t="s">
        <v>56210</v>
      </c>
    </row>
    <row r="3368" spans="1:2" ht="14.5" x14ac:dyDescent="0.35">
      <c r="A3368" s="8" t="s">
        <v>54894</v>
      </c>
      <c r="B3368" s="8" t="s">
        <v>55517</v>
      </c>
    </row>
    <row r="3369" spans="1:2" ht="14.5" x14ac:dyDescent="0.35">
      <c r="A3369" s="8" t="s">
        <v>54894</v>
      </c>
      <c r="B3369" s="8" t="s">
        <v>56796</v>
      </c>
    </row>
    <row r="3370" spans="1:2" ht="14.5" x14ac:dyDescent="0.35">
      <c r="A3370" s="8" t="s">
        <v>54894</v>
      </c>
      <c r="B3370" s="8" t="s">
        <v>57198</v>
      </c>
    </row>
    <row r="3371" spans="1:2" ht="14.5" x14ac:dyDescent="0.35">
      <c r="A3371" s="8" t="s">
        <v>54894</v>
      </c>
      <c r="B3371" s="8" t="s">
        <v>57781</v>
      </c>
    </row>
    <row r="3372" spans="1:2" ht="14.5" x14ac:dyDescent="0.35">
      <c r="A3372" s="8" t="s">
        <v>54894</v>
      </c>
      <c r="B3372" s="8" t="s">
        <v>57782</v>
      </c>
    </row>
    <row r="3373" spans="1:2" ht="14.5" x14ac:dyDescent="0.35">
      <c r="A3373" s="8" t="s">
        <v>54894</v>
      </c>
      <c r="B3373" s="8" t="s">
        <v>57783</v>
      </c>
    </row>
    <row r="3374" spans="1:2" ht="14.5" x14ac:dyDescent="0.35">
      <c r="A3374" s="8" t="s">
        <v>54894</v>
      </c>
      <c r="B3374" s="8" t="s">
        <v>57784</v>
      </c>
    </row>
    <row r="3375" spans="1:2" ht="14.5" x14ac:dyDescent="0.35">
      <c r="A3375" s="8" t="s">
        <v>54894</v>
      </c>
      <c r="B3375" s="8" t="s">
        <v>57681</v>
      </c>
    </row>
    <row r="3376" spans="1:2" ht="14.5" x14ac:dyDescent="0.35">
      <c r="A3376" s="8" t="s">
        <v>54894</v>
      </c>
      <c r="B3376" s="8" t="s">
        <v>55114</v>
      </c>
    </row>
    <row r="3377" spans="1:2" ht="14.5" x14ac:dyDescent="0.35">
      <c r="A3377" s="8" t="s">
        <v>54894</v>
      </c>
      <c r="B3377" s="8" t="s">
        <v>55308</v>
      </c>
    </row>
    <row r="3378" spans="1:2" ht="14.5" x14ac:dyDescent="0.35">
      <c r="A3378" s="8" t="s">
        <v>54894</v>
      </c>
      <c r="B3378" s="8" t="s">
        <v>55115</v>
      </c>
    </row>
    <row r="3379" spans="1:2" ht="14.5" x14ac:dyDescent="0.35">
      <c r="A3379" s="8" t="s">
        <v>54894</v>
      </c>
      <c r="B3379" s="8" t="s">
        <v>55136</v>
      </c>
    </row>
    <row r="3380" spans="1:2" ht="14.5" x14ac:dyDescent="0.35">
      <c r="A3380" s="8" t="s">
        <v>54894</v>
      </c>
      <c r="B3380" s="8" t="s">
        <v>55116</v>
      </c>
    </row>
    <row r="3381" spans="1:2" ht="14.5" x14ac:dyDescent="0.35">
      <c r="A3381" s="8" t="s">
        <v>54894</v>
      </c>
      <c r="B3381" s="8" t="s">
        <v>55137</v>
      </c>
    </row>
    <row r="3382" spans="1:2" ht="14.5" x14ac:dyDescent="0.35">
      <c r="A3382" s="8" t="s">
        <v>54894</v>
      </c>
      <c r="B3382" s="8" t="s">
        <v>55138</v>
      </c>
    </row>
    <row r="3383" spans="1:2" ht="14.5" x14ac:dyDescent="0.35">
      <c r="A3383" s="8" t="s">
        <v>54894</v>
      </c>
      <c r="B3383" s="8" t="s">
        <v>55117</v>
      </c>
    </row>
    <row r="3384" spans="1:2" ht="14.5" x14ac:dyDescent="0.35">
      <c r="A3384" s="8" t="s">
        <v>54894</v>
      </c>
      <c r="B3384" s="8" t="s">
        <v>55139</v>
      </c>
    </row>
    <row r="3385" spans="1:2" ht="14.5" x14ac:dyDescent="0.35">
      <c r="A3385" s="8" t="s">
        <v>54894</v>
      </c>
      <c r="B3385" s="8" t="s">
        <v>56797</v>
      </c>
    </row>
    <row r="3386" spans="1:2" ht="14.5" x14ac:dyDescent="0.35">
      <c r="A3386" s="8" t="s">
        <v>54894</v>
      </c>
      <c r="B3386" s="8" t="s">
        <v>55140</v>
      </c>
    </row>
    <row r="3387" spans="1:2" ht="14.5" x14ac:dyDescent="0.35">
      <c r="A3387" s="8" t="s">
        <v>54894</v>
      </c>
      <c r="B3387" s="8" t="s">
        <v>55141</v>
      </c>
    </row>
    <row r="3388" spans="1:2" ht="14.5" x14ac:dyDescent="0.35">
      <c r="A3388" s="8" t="s">
        <v>54894</v>
      </c>
      <c r="B3388" s="8" t="s">
        <v>55118</v>
      </c>
    </row>
    <row r="3389" spans="1:2" ht="14.5" x14ac:dyDescent="0.35">
      <c r="A3389" s="8" t="s">
        <v>54894</v>
      </c>
      <c r="B3389" s="8" t="s">
        <v>55142</v>
      </c>
    </row>
    <row r="3390" spans="1:2" ht="14.5" x14ac:dyDescent="0.35">
      <c r="A3390" s="8" t="s">
        <v>54894</v>
      </c>
      <c r="B3390" s="8" t="s">
        <v>58090</v>
      </c>
    </row>
    <row r="3391" spans="1:2" ht="14.5" x14ac:dyDescent="0.35">
      <c r="A3391" s="8" t="s">
        <v>54894</v>
      </c>
      <c r="B3391" s="8" t="s">
        <v>55119</v>
      </c>
    </row>
    <row r="3392" spans="1:2" ht="14.5" x14ac:dyDescent="0.35">
      <c r="A3392" s="8" t="s">
        <v>54894</v>
      </c>
      <c r="B3392" s="8" t="s">
        <v>55143</v>
      </c>
    </row>
    <row r="3393" spans="1:2" ht="14.5" x14ac:dyDescent="0.35">
      <c r="A3393" s="8" t="s">
        <v>54894</v>
      </c>
      <c r="B3393" s="8" t="s">
        <v>55144</v>
      </c>
    </row>
    <row r="3394" spans="1:2" ht="14.5" x14ac:dyDescent="0.35">
      <c r="A3394" s="8" t="s">
        <v>54894</v>
      </c>
      <c r="B3394" s="8" t="s">
        <v>55145</v>
      </c>
    </row>
    <row r="3395" spans="1:2" ht="14.5" x14ac:dyDescent="0.35">
      <c r="A3395" s="8" t="s">
        <v>54894</v>
      </c>
      <c r="B3395" s="8" t="s">
        <v>55146</v>
      </c>
    </row>
    <row r="3396" spans="1:2" ht="14.5" x14ac:dyDescent="0.35">
      <c r="A3396" s="8" t="s">
        <v>54894</v>
      </c>
      <c r="B3396" s="8" t="s">
        <v>56798</v>
      </c>
    </row>
    <row r="3397" spans="1:2" ht="14.5" x14ac:dyDescent="0.35">
      <c r="A3397" s="8" t="s">
        <v>54894</v>
      </c>
      <c r="B3397" s="8" t="s">
        <v>56799</v>
      </c>
    </row>
    <row r="3398" spans="1:2" ht="14.5" x14ac:dyDescent="0.35">
      <c r="A3398" s="8" t="s">
        <v>54894</v>
      </c>
      <c r="B3398" s="8" t="s">
        <v>57493</v>
      </c>
    </row>
    <row r="3399" spans="1:2" ht="14.5" x14ac:dyDescent="0.35">
      <c r="A3399" s="8" t="s">
        <v>54894</v>
      </c>
      <c r="B3399" s="8" t="s">
        <v>56522</v>
      </c>
    </row>
    <row r="3400" spans="1:2" ht="14.5" x14ac:dyDescent="0.35">
      <c r="A3400" s="8" t="s">
        <v>54894</v>
      </c>
      <c r="B3400" s="8" t="s">
        <v>57992</v>
      </c>
    </row>
    <row r="3401" spans="1:2" ht="14.5" x14ac:dyDescent="0.35">
      <c r="A3401" s="8" t="s">
        <v>54894</v>
      </c>
      <c r="B3401" s="8" t="s">
        <v>56073</v>
      </c>
    </row>
    <row r="3402" spans="1:2" ht="14.5" x14ac:dyDescent="0.35">
      <c r="A3402" s="8" t="s">
        <v>54894</v>
      </c>
      <c r="B3402" s="8" t="s">
        <v>55469</v>
      </c>
    </row>
    <row r="3403" spans="1:2" ht="14.5" x14ac:dyDescent="0.35">
      <c r="A3403" s="8" t="s">
        <v>54894</v>
      </c>
      <c r="B3403" s="8" t="s">
        <v>55470</v>
      </c>
    </row>
    <row r="3404" spans="1:2" ht="14.5" x14ac:dyDescent="0.35">
      <c r="A3404" s="8" t="s">
        <v>54894</v>
      </c>
      <c r="B3404" s="8" t="s">
        <v>57605</v>
      </c>
    </row>
    <row r="3405" spans="1:2" ht="14.5" x14ac:dyDescent="0.35">
      <c r="A3405" s="8" t="s">
        <v>54894</v>
      </c>
      <c r="B3405" s="8" t="s">
        <v>55518</v>
      </c>
    </row>
    <row r="3406" spans="1:2" ht="14.5" x14ac:dyDescent="0.35">
      <c r="A3406" s="8" t="s">
        <v>54894</v>
      </c>
      <c r="B3406" s="8" t="s">
        <v>55519</v>
      </c>
    </row>
    <row r="3407" spans="1:2" ht="14.5" x14ac:dyDescent="0.35">
      <c r="A3407" s="8" t="s">
        <v>54894</v>
      </c>
      <c r="B3407" s="8" t="s">
        <v>58434</v>
      </c>
    </row>
    <row r="3408" spans="1:2" ht="14.5" x14ac:dyDescent="0.35">
      <c r="A3408" s="8" t="s">
        <v>54894</v>
      </c>
      <c r="B3408" s="8" t="s">
        <v>56543</v>
      </c>
    </row>
    <row r="3409" spans="1:2" ht="14.5" x14ac:dyDescent="0.35">
      <c r="A3409" s="8" t="s">
        <v>54894</v>
      </c>
      <c r="B3409" s="8" t="s">
        <v>56544</v>
      </c>
    </row>
    <row r="3410" spans="1:2" ht="14.5" x14ac:dyDescent="0.35">
      <c r="A3410" s="8" t="s">
        <v>54894</v>
      </c>
      <c r="B3410" s="8" t="s">
        <v>55500</v>
      </c>
    </row>
    <row r="3411" spans="1:2" ht="14.5" x14ac:dyDescent="0.35">
      <c r="A3411" s="8" t="s">
        <v>54894</v>
      </c>
      <c r="B3411" s="8" t="s">
        <v>55500</v>
      </c>
    </row>
    <row r="3412" spans="1:2" ht="14.5" x14ac:dyDescent="0.35">
      <c r="A3412" s="8" t="s">
        <v>54894</v>
      </c>
      <c r="B3412" s="8" t="s">
        <v>55500</v>
      </c>
    </row>
    <row r="3413" spans="1:2" ht="14.5" x14ac:dyDescent="0.35">
      <c r="A3413" s="8" t="s">
        <v>54894</v>
      </c>
      <c r="B3413" s="8" t="s">
        <v>57606</v>
      </c>
    </row>
    <row r="3414" spans="1:2" ht="14.5" x14ac:dyDescent="0.35">
      <c r="A3414" s="8" t="s">
        <v>54894</v>
      </c>
      <c r="B3414" s="8" t="s">
        <v>57203</v>
      </c>
    </row>
    <row r="3415" spans="1:2" ht="14.5" x14ac:dyDescent="0.35">
      <c r="A3415" s="8" t="s">
        <v>54894</v>
      </c>
      <c r="B3415" s="8" t="s">
        <v>56493</v>
      </c>
    </row>
    <row r="3416" spans="1:2" ht="14.5" x14ac:dyDescent="0.35">
      <c r="A3416" s="8" t="s">
        <v>54894</v>
      </c>
      <c r="B3416" s="8" t="s">
        <v>54940</v>
      </c>
    </row>
    <row r="3417" spans="1:2" ht="14.5" x14ac:dyDescent="0.35">
      <c r="A3417" s="8" t="s">
        <v>54894</v>
      </c>
      <c r="B3417" s="8" t="s">
        <v>56074</v>
      </c>
    </row>
    <row r="3418" spans="1:2" ht="14.5" x14ac:dyDescent="0.35">
      <c r="A3418" s="8" t="s">
        <v>54894</v>
      </c>
      <c r="B3418" s="8" t="s">
        <v>57512</v>
      </c>
    </row>
    <row r="3419" spans="1:2" ht="14.5" x14ac:dyDescent="0.35">
      <c r="A3419" s="8" t="s">
        <v>54894</v>
      </c>
      <c r="B3419" s="8" t="s">
        <v>57397</v>
      </c>
    </row>
    <row r="3420" spans="1:2" ht="14.5" x14ac:dyDescent="0.35">
      <c r="A3420" s="8" t="s">
        <v>54894</v>
      </c>
      <c r="B3420" s="8" t="s">
        <v>57398</v>
      </c>
    </row>
    <row r="3421" spans="1:2" ht="14.5" x14ac:dyDescent="0.35">
      <c r="A3421" s="8" t="s">
        <v>54894</v>
      </c>
      <c r="B3421" s="8" t="s">
        <v>57399</v>
      </c>
    </row>
    <row r="3422" spans="1:2" ht="14.5" x14ac:dyDescent="0.35">
      <c r="A3422" s="8" t="s">
        <v>54894</v>
      </c>
      <c r="B3422" s="8" t="s">
        <v>57400</v>
      </c>
    </row>
    <row r="3423" spans="1:2" ht="14.5" x14ac:dyDescent="0.35">
      <c r="A3423" s="8" t="s">
        <v>54894</v>
      </c>
      <c r="B3423" s="8" t="s">
        <v>57401</v>
      </c>
    </row>
    <row r="3424" spans="1:2" ht="14.5" x14ac:dyDescent="0.35">
      <c r="A3424" s="8" t="s">
        <v>54894</v>
      </c>
      <c r="B3424" s="8" t="s">
        <v>57402</v>
      </c>
    </row>
    <row r="3425" spans="1:2" ht="14.5" x14ac:dyDescent="0.35">
      <c r="A3425" s="8" t="s">
        <v>54894</v>
      </c>
      <c r="B3425" s="8" t="s">
        <v>57403</v>
      </c>
    </row>
    <row r="3426" spans="1:2" ht="14.5" x14ac:dyDescent="0.35">
      <c r="A3426" s="8" t="s">
        <v>54894</v>
      </c>
      <c r="B3426" s="8" t="s">
        <v>57404</v>
      </c>
    </row>
    <row r="3427" spans="1:2" ht="14.5" x14ac:dyDescent="0.35">
      <c r="A3427" s="8" t="s">
        <v>54894</v>
      </c>
      <c r="B3427" s="8" t="s">
        <v>57405</v>
      </c>
    </row>
    <row r="3428" spans="1:2" ht="14.5" x14ac:dyDescent="0.35">
      <c r="A3428" s="8" t="s">
        <v>54894</v>
      </c>
      <c r="B3428" s="8" t="s">
        <v>57406</v>
      </c>
    </row>
    <row r="3429" spans="1:2" ht="14.5" x14ac:dyDescent="0.35">
      <c r="A3429" s="8" t="s">
        <v>54894</v>
      </c>
      <c r="B3429" s="8" t="s">
        <v>57407</v>
      </c>
    </row>
    <row r="3430" spans="1:2" ht="14.5" x14ac:dyDescent="0.35">
      <c r="A3430" s="8" t="s">
        <v>54894</v>
      </c>
      <c r="B3430" s="8" t="s">
        <v>57408</v>
      </c>
    </row>
    <row r="3431" spans="1:2" ht="14.5" x14ac:dyDescent="0.35">
      <c r="A3431" s="8" t="s">
        <v>54894</v>
      </c>
      <c r="B3431" s="8" t="s">
        <v>57409</v>
      </c>
    </row>
    <row r="3432" spans="1:2" ht="14.5" x14ac:dyDescent="0.35">
      <c r="A3432" s="8" t="s">
        <v>54894</v>
      </c>
      <c r="B3432" s="8" t="s">
        <v>57410</v>
      </c>
    </row>
    <row r="3433" spans="1:2" ht="14.5" x14ac:dyDescent="0.35">
      <c r="A3433" s="8" t="s">
        <v>54894</v>
      </c>
      <c r="B3433" s="8" t="s">
        <v>57411</v>
      </c>
    </row>
    <row r="3434" spans="1:2" ht="14.5" x14ac:dyDescent="0.35">
      <c r="A3434" s="8" t="s">
        <v>54894</v>
      </c>
      <c r="B3434" s="8" t="s">
        <v>57412</v>
      </c>
    </row>
    <row r="3435" spans="1:2" ht="14.5" x14ac:dyDescent="0.35">
      <c r="A3435" s="8" t="s">
        <v>54894</v>
      </c>
      <c r="B3435" s="8" t="s">
        <v>57413</v>
      </c>
    </row>
    <row r="3436" spans="1:2" ht="14.5" x14ac:dyDescent="0.35">
      <c r="A3436" s="8" t="s">
        <v>54894</v>
      </c>
      <c r="B3436" s="8" t="s">
        <v>57414</v>
      </c>
    </row>
    <row r="3437" spans="1:2" ht="14.5" x14ac:dyDescent="0.35">
      <c r="A3437" s="8" t="s">
        <v>54894</v>
      </c>
      <c r="B3437" s="8" t="s">
        <v>57415</v>
      </c>
    </row>
    <row r="3438" spans="1:2" ht="14.5" x14ac:dyDescent="0.35">
      <c r="A3438" s="8" t="s">
        <v>54894</v>
      </c>
      <c r="B3438" s="8" t="s">
        <v>57416</v>
      </c>
    </row>
    <row r="3439" spans="1:2" ht="14.5" x14ac:dyDescent="0.35">
      <c r="A3439" s="8" t="s">
        <v>54894</v>
      </c>
      <c r="B3439" s="8" t="s">
        <v>57417</v>
      </c>
    </row>
    <row r="3440" spans="1:2" ht="14.5" x14ac:dyDescent="0.35">
      <c r="A3440" s="8" t="s">
        <v>54894</v>
      </c>
      <c r="B3440" s="8" t="s">
        <v>57418</v>
      </c>
    </row>
    <row r="3441" spans="1:2" ht="14.5" x14ac:dyDescent="0.35">
      <c r="A3441" s="8" t="s">
        <v>54894</v>
      </c>
      <c r="B3441" s="8" t="s">
        <v>57419</v>
      </c>
    </row>
    <row r="3442" spans="1:2" ht="14.5" x14ac:dyDescent="0.35">
      <c r="A3442" s="8" t="s">
        <v>54894</v>
      </c>
      <c r="B3442" s="8" t="s">
        <v>57420</v>
      </c>
    </row>
    <row r="3443" spans="1:2" ht="14.5" x14ac:dyDescent="0.35">
      <c r="A3443" s="8" t="s">
        <v>54894</v>
      </c>
      <c r="B3443" s="8" t="s">
        <v>57421</v>
      </c>
    </row>
    <row r="3444" spans="1:2" ht="14.5" x14ac:dyDescent="0.35">
      <c r="A3444" s="8" t="s">
        <v>54894</v>
      </c>
      <c r="B3444" s="8" t="s">
        <v>57422</v>
      </c>
    </row>
    <row r="3445" spans="1:2" ht="14.5" x14ac:dyDescent="0.35">
      <c r="A3445" s="8" t="s">
        <v>54894</v>
      </c>
      <c r="B3445" s="8" t="s">
        <v>57423</v>
      </c>
    </row>
    <row r="3446" spans="1:2" ht="14.5" x14ac:dyDescent="0.35">
      <c r="A3446" s="8" t="s">
        <v>54894</v>
      </c>
      <c r="B3446" s="8" t="s">
        <v>57424</v>
      </c>
    </row>
    <row r="3447" spans="1:2" ht="14.5" x14ac:dyDescent="0.35">
      <c r="A3447" s="8" t="s">
        <v>54894</v>
      </c>
      <c r="B3447" s="8" t="s">
        <v>57425</v>
      </c>
    </row>
    <row r="3448" spans="1:2" ht="14.5" x14ac:dyDescent="0.35">
      <c r="A3448" s="8" t="s">
        <v>54894</v>
      </c>
      <c r="B3448" s="8" t="s">
        <v>57426</v>
      </c>
    </row>
    <row r="3449" spans="1:2" ht="14.5" x14ac:dyDescent="0.35">
      <c r="A3449" s="8" t="s">
        <v>54894</v>
      </c>
      <c r="B3449" s="8" t="s">
        <v>57427</v>
      </c>
    </row>
    <row r="3450" spans="1:2" ht="14.5" x14ac:dyDescent="0.35">
      <c r="A3450" s="8" t="s">
        <v>54894</v>
      </c>
      <c r="B3450" s="8" t="s">
        <v>58091</v>
      </c>
    </row>
    <row r="3451" spans="1:2" ht="14.5" x14ac:dyDescent="0.35">
      <c r="A3451" s="8" t="s">
        <v>54894</v>
      </c>
      <c r="B3451" s="8" t="s">
        <v>55911</v>
      </c>
    </row>
    <row r="3452" spans="1:2" ht="14.5" x14ac:dyDescent="0.35">
      <c r="A3452" s="8" t="s">
        <v>54894</v>
      </c>
      <c r="B3452" s="8" t="s">
        <v>56211</v>
      </c>
    </row>
    <row r="3453" spans="1:2" ht="14.5" x14ac:dyDescent="0.35">
      <c r="A3453" s="8" t="s">
        <v>54894</v>
      </c>
      <c r="B3453" s="8" t="s">
        <v>56212</v>
      </c>
    </row>
    <row r="3454" spans="1:2" ht="14.5" x14ac:dyDescent="0.35">
      <c r="A3454" s="8" t="s">
        <v>54894</v>
      </c>
      <c r="B3454" s="8" t="s">
        <v>56213</v>
      </c>
    </row>
    <row r="3455" spans="1:2" ht="14.5" x14ac:dyDescent="0.35">
      <c r="A3455" s="8" t="s">
        <v>54894</v>
      </c>
      <c r="B3455" s="8" t="s">
        <v>56214</v>
      </c>
    </row>
    <row r="3456" spans="1:2" ht="14.5" x14ac:dyDescent="0.35">
      <c r="A3456" s="8" t="s">
        <v>54894</v>
      </c>
      <c r="B3456" s="8" t="s">
        <v>56215</v>
      </c>
    </row>
    <row r="3457" spans="1:2" ht="14.5" x14ac:dyDescent="0.35">
      <c r="A3457" s="8" t="s">
        <v>54894</v>
      </c>
      <c r="B3457" s="8" t="s">
        <v>56216</v>
      </c>
    </row>
    <row r="3458" spans="1:2" ht="14.5" x14ac:dyDescent="0.35">
      <c r="A3458" s="8" t="s">
        <v>54894</v>
      </c>
      <c r="B3458" s="8" t="s">
        <v>57007</v>
      </c>
    </row>
    <row r="3459" spans="1:2" ht="14.5" x14ac:dyDescent="0.35">
      <c r="A3459" s="8" t="s">
        <v>54894</v>
      </c>
      <c r="B3459" s="8" t="s">
        <v>55520</v>
      </c>
    </row>
    <row r="3460" spans="1:2" ht="14.5" x14ac:dyDescent="0.35">
      <c r="A3460" s="8" t="s">
        <v>54894</v>
      </c>
      <c r="B3460" s="8" t="s">
        <v>55521</v>
      </c>
    </row>
    <row r="3461" spans="1:2" ht="14.5" x14ac:dyDescent="0.35">
      <c r="A3461" s="8" t="s">
        <v>54894</v>
      </c>
      <c r="B3461" s="8" t="s">
        <v>55522</v>
      </c>
    </row>
    <row r="3462" spans="1:2" ht="14.5" x14ac:dyDescent="0.35">
      <c r="A3462" s="8" t="s">
        <v>54894</v>
      </c>
      <c r="B3462" s="8" t="s">
        <v>57883</v>
      </c>
    </row>
    <row r="3463" spans="1:2" ht="14.5" x14ac:dyDescent="0.35">
      <c r="A3463" s="8" t="s">
        <v>54894</v>
      </c>
      <c r="B3463" s="8" t="s">
        <v>57945</v>
      </c>
    </row>
    <row r="3464" spans="1:2" ht="14.5" x14ac:dyDescent="0.35">
      <c r="A3464" s="8" t="s">
        <v>54894</v>
      </c>
      <c r="B3464" s="8" t="s">
        <v>57230</v>
      </c>
    </row>
    <row r="3465" spans="1:2" ht="14.5" x14ac:dyDescent="0.35">
      <c r="A3465" s="8" t="s">
        <v>54894</v>
      </c>
      <c r="B3465" s="8" t="s">
        <v>57737</v>
      </c>
    </row>
    <row r="3466" spans="1:2" ht="14.5" x14ac:dyDescent="0.35">
      <c r="A3466" s="8" t="s">
        <v>54894</v>
      </c>
      <c r="B3466" s="8" t="s">
        <v>57738</v>
      </c>
    </row>
    <row r="3467" spans="1:2" ht="14.5" x14ac:dyDescent="0.35">
      <c r="A3467" s="8" t="s">
        <v>54894</v>
      </c>
      <c r="B3467" s="8" t="s">
        <v>57231</v>
      </c>
    </row>
    <row r="3468" spans="1:2" ht="14.5" x14ac:dyDescent="0.35">
      <c r="A3468" s="8" t="s">
        <v>54894</v>
      </c>
      <c r="B3468" s="8" t="s">
        <v>56377</v>
      </c>
    </row>
    <row r="3469" spans="1:2" ht="14.5" x14ac:dyDescent="0.35">
      <c r="A3469" s="8" t="s">
        <v>54894</v>
      </c>
      <c r="B3469" s="8" t="s">
        <v>56217</v>
      </c>
    </row>
    <row r="3470" spans="1:2" ht="14.5" x14ac:dyDescent="0.35">
      <c r="A3470" s="8" t="s">
        <v>54894</v>
      </c>
      <c r="B3470" s="8" t="s">
        <v>57076</v>
      </c>
    </row>
    <row r="3471" spans="1:2" ht="14.5" x14ac:dyDescent="0.35">
      <c r="A3471" s="8" t="s">
        <v>54894</v>
      </c>
      <c r="B3471" s="8" t="s">
        <v>56368</v>
      </c>
    </row>
    <row r="3472" spans="1:2" ht="14.5" x14ac:dyDescent="0.35">
      <c r="A3472" s="8" t="s">
        <v>54894</v>
      </c>
      <c r="B3472" s="8" t="s">
        <v>56452</v>
      </c>
    </row>
    <row r="3473" spans="1:2" ht="14.5" x14ac:dyDescent="0.35">
      <c r="A3473" s="8" t="s">
        <v>54894</v>
      </c>
      <c r="B3473" s="8" t="s">
        <v>57758</v>
      </c>
    </row>
    <row r="3474" spans="1:2" ht="14.5" x14ac:dyDescent="0.35">
      <c r="A3474" s="8" t="s">
        <v>54894</v>
      </c>
      <c r="B3474" s="8" t="s">
        <v>55120</v>
      </c>
    </row>
    <row r="3475" spans="1:2" ht="14.5" x14ac:dyDescent="0.35">
      <c r="A3475" s="8" t="s">
        <v>54894</v>
      </c>
      <c r="B3475" s="8" t="s">
        <v>57140</v>
      </c>
    </row>
    <row r="3476" spans="1:2" ht="14.5" x14ac:dyDescent="0.35">
      <c r="A3476" s="8" t="s">
        <v>54894</v>
      </c>
      <c r="B3476" s="8" t="s">
        <v>57141</v>
      </c>
    </row>
    <row r="3477" spans="1:2" ht="14.5" x14ac:dyDescent="0.35">
      <c r="A3477" s="8" t="s">
        <v>54894</v>
      </c>
      <c r="B3477" s="8" t="s">
        <v>56505</v>
      </c>
    </row>
    <row r="3478" spans="1:2" ht="14.5" x14ac:dyDescent="0.35">
      <c r="A3478" s="8" t="s">
        <v>54894</v>
      </c>
      <c r="B3478" s="8" t="s">
        <v>54094</v>
      </c>
    </row>
    <row r="3479" spans="1:2" ht="14.5" x14ac:dyDescent="0.35">
      <c r="A3479" s="8" t="s">
        <v>54894</v>
      </c>
      <c r="B3479" s="8" t="s">
        <v>54094</v>
      </c>
    </row>
    <row r="3480" spans="1:2" ht="14.5" x14ac:dyDescent="0.35">
      <c r="A3480" s="8" t="s">
        <v>54894</v>
      </c>
      <c r="B3480" s="8" t="s">
        <v>55189</v>
      </c>
    </row>
    <row r="3481" spans="1:2" ht="14.5" x14ac:dyDescent="0.35">
      <c r="A3481" s="8" t="s">
        <v>54894</v>
      </c>
      <c r="B3481" s="8" t="s">
        <v>55190</v>
      </c>
    </row>
    <row r="3482" spans="1:2" ht="14.5" x14ac:dyDescent="0.35">
      <c r="A3482" s="8" t="s">
        <v>54894</v>
      </c>
      <c r="B3482" s="8" t="s">
        <v>55191</v>
      </c>
    </row>
    <row r="3483" spans="1:2" ht="14.5" x14ac:dyDescent="0.35">
      <c r="A3483" s="8" t="s">
        <v>54894</v>
      </c>
      <c r="B3483" s="8" t="s">
        <v>55192</v>
      </c>
    </row>
    <row r="3484" spans="1:2" ht="14.5" x14ac:dyDescent="0.35">
      <c r="A3484" s="8" t="s">
        <v>54894</v>
      </c>
      <c r="B3484" s="8" t="s">
        <v>55193</v>
      </c>
    </row>
    <row r="3485" spans="1:2" ht="14.5" x14ac:dyDescent="0.35">
      <c r="A3485" s="8" t="s">
        <v>54894</v>
      </c>
      <c r="B3485" s="8" t="s">
        <v>57966</v>
      </c>
    </row>
    <row r="3486" spans="1:2" ht="14.5" x14ac:dyDescent="0.35">
      <c r="A3486" s="8" t="s">
        <v>54894</v>
      </c>
      <c r="B3486" s="8" t="s">
        <v>57147</v>
      </c>
    </row>
    <row r="3487" spans="1:2" ht="14.5" x14ac:dyDescent="0.35">
      <c r="A3487" s="8" t="s">
        <v>54894</v>
      </c>
      <c r="B3487" s="8" t="s">
        <v>57232</v>
      </c>
    </row>
    <row r="3488" spans="1:2" ht="14.5" x14ac:dyDescent="0.35">
      <c r="A3488" s="8" t="s">
        <v>54894</v>
      </c>
      <c r="B3488" s="8" t="s">
        <v>57233</v>
      </c>
    </row>
    <row r="3489" spans="1:2" ht="14.5" x14ac:dyDescent="0.35">
      <c r="A3489" s="8" t="s">
        <v>54894</v>
      </c>
      <c r="B3489" s="8" t="s">
        <v>54907</v>
      </c>
    </row>
    <row r="3490" spans="1:2" ht="14.5" x14ac:dyDescent="0.35">
      <c r="A3490" s="8" t="s">
        <v>54894</v>
      </c>
      <c r="B3490" s="8" t="s">
        <v>58332</v>
      </c>
    </row>
    <row r="3491" spans="1:2" ht="14.5" x14ac:dyDescent="0.35">
      <c r="A3491" s="8" t="s">
        <v>54894</v>
      </c>
      <c r="B3491" s="8" t="s">
        <v>57607</v>
      </c>
    </row>
    <row r="3492" spans="1:2" ht="14.5" x14ac:dyDescent="0.35">
      <c r="A3492" s="8" t="s">
        <v>54894</v>
      </c>
      <c r="B3492" s="8" t="s">
        <v>57018</v>
      </c>
    </row>
    <row r="3493" spans="1:2" ht="14.5" x14ac:dyDescent="0.35">
      <c r="A3493" s="8" t="s">
        <v>54894</v>
      </c>
      <c r="B3493" s="8" t="s">
        <v>55685</v>
      </c>
    </row>
    <row r="3494" spans="1:2" ht="14.5" x14ac:dyDescent="0.35">
      <c r="A3494" s="8" t="s">
        <v>54894</v>
      </c>
      <c r="B3494" s="8" t="s">
        <v>55155</v>
      </c>
    </row>
    <row r="3495" spans="1:2" ht="14.5" x14ac:dyDescent="0.35">
      <c r="A3495" s="8" t="s">
        <v>54894</v>
      </c>
      <c r="B3495" s="8" t="s">
        <v>55155</v>
      </c>
    </row>
    <row r="3496" spans="1:2" ht="14.5" x14ac:dyDescent="0.35">
      <c r="A3496" s="8" t="s">
        <v>54894</v>
      </c>
      <c r="B3496" s="8" t="s">
        <v>57800</v>
      </c>
    </row>
    <row r="3497" spans="1:2" ht="14.5" x14ac:dyDescent="0.35">
      <c r="A3497" s="8" t="s">
        <v>54894</v>
      </c>
      <c r="B3497" s="8" t="s">
        <v>55477</v>
      </c>
    </row>
    <row r="3498" spans="1:2" ht="14.5" x14ac:dyDescent="0.35">
      <c r="A3498" s="8" t="s">
        <v>54894</v>
      </c>
      <c r="B3498" s="8" t="s">
        <v>57884</v>
      </c>
    </row>
    <row r="3499" spans="1:2" ht="14.5" x14ac:dyDescent="0.35">
      <c r="A3499" s="8" t="s">
        <v>54894</v>
      </c>
      <c r="B3499" s="8" t="s">
        <v>57814</v>
      </c>
    </row>
    <row r="3500" spans="1:2" ht="14.5" x14ac:dyDescent="0.35">
      <c r="A3500" s="8" t="s">
        <v>54894</v>
      </c>
      <c r="B3500" s="8" t="s">
        <v>58026</v>
      </c>
    </row>
    <row r="3501" spans="1:2" ht="14.5" x14ac:dyDescent="0.35">
      <c r="A3501" s="8" t="s">
        <v>54894</v>
      </c>
      <c r="B3501" s="8" t="s">
        <v>57341</v>
      </c>
    </row>
    <row r="3502" spans="1:2" ht="14.5" x14ac:dyDescent="0.35">
      <c r="A3502" s="8" t="s">
        <v>54894</v>
      </c>
      <c r="B3502" s="8" t="s">
        <v>58219</v>
      </c>
    </row>
    <row r="3503" spans="1:2" ht="14.5" x14ac:dyDescent="0.35">
      <c r="A3503" s="8" t="s">
        <v>54894</v>
      </c>
      <c r="B3503" s="8" t="s">
        <v>57342</v>
      </c>
    </row>
    <row r="3504" spans="1:2" ht="14.5" x14ac:dyDescent="0.35">
      <c r="A3504" s="8" t="s">
        <v>54894</v>
      </c>
      <c r="B3504" s="8" t="s">
        <v>57323</v>
      </c>
    </row>
    <row r="3505" spans="1:2" ht="14.5" x14ac:dyDescent="0.35">
      <c r="A3505" s="8" t="s">
        <v>54894</v>
      </c>
      <c r="B3505" s="8" t="s">
        <v>57324</v>
      </c>
    </row>
    <row r="3506" spans="1:2" ht="14.5" x14ac:dyDescent="0.35">
      <c r="A3506" s="8" t="s">
        <v>54894</v>
      </c>
      <c r="B3506" s="8" t="s">
        <v>54966</v>
      </c>
    </row>
    <row r="3507" spans="1:2" ht="14.5" x14ac:dyDescent="0.35">
      <c r="A3507" s="8" t="s">
        <v>54894</v>
      </c>
      <c r="B3507" s="8" t="s">
        <v>55273</v>
      </c>
    </row>
    <row r="3508" spans="1:2" ht="14.5" x14ac:dyDescent="0.35">
      <c r="A3508" s="8" t="s">
        <v>54894</v>
      </c>
      <c r="B3508" s="8" t="s">
        <v>57815</v>
      </c>
    </row>
    <row r="3509" spans="1:2" ht="14.5" x14ac:dyDescent="0.35">
      <c r="A3509" s="8" t="s">
        <v>54894</v>
      </c>
      <c r="B3509" s="8" t="s">
        <v>56444</v>
      </c>
    </row>
    <row r="3510" spans="1:2" ht="14.5" x14ac:dyDescent="0.35">
      <c r="A3510" s="8" t="s">
        <v>54894</v>
      </c>
      <c r="B3510" s="8" t="s">
        <v>56445</v>
      </c>
    </row>
    <row r="3511" spans="1:2" ht="14.5" x14ac:dyDescent="0.35">
      <c r="A3511" s="8" t="s">
        <v>54894</v>
      </c>
      <c r="B3511" s="8" t="s">
        <v>54937</v>
      </c>
    </row>
    <row r="3512" spans="1:2" ht="14.5" x14ac:dyDescent="0.35">
      <c r="A3512" s="8" t="s">
        <v>54894</v>
      </c>
      <c r="B3512" s="8" t="s">
        <v>54938</v>
      </c>
    </row>
    <row r="3513" spans="1:2" ht="14.5" x14ac:dyDescent="0.35">
      <c r="A3513" s="8" t="s">
        <v>54894</v>
      </c>
      <c r="B3513" s="8" t="s">
        <v>58259</v>
      </c>
    </row>
    <row r="3514" spans="1:2" ht="14.5" x14ac:dyDescent="0.35">
      <c r="A3514" s="8" t="s">
        <v>54894</v>
      </c>
      <c r="B3514" s="8" t="s">
        <v>57109</v>
      </c>
    </row>
    <row r="3515" spans="1:2" ht="14.5" x14ac:dyDescent="0.35">
      <c r="A3515" s="8" t="s">
        <v>54894</v>
      </c>
      <c r="B3515" s="8" t="s">
        <v>57110</v>
      </c>
    </row>
    <row r="3516" spans="1:2" ht="14.5" x14ac:dyDescent="0.35">
      <c r="A3516" s="8" t="s">
        <v>54894</v>
      </c>
      <c r="B3516" s="8" t="s">
        <v>58092</v>
      </c>
    </row>
    <row r="3517" spans="1:2" ht="14.5" x14ac:dyDescent="0.35">
      <c r="A3517" s="8" t="s">
        <v>54894</v>
      </c>
      <c r="B3517" s="8" t="s">
        <v>57921</v>
      </c>
    </row>
    <row r="3518" spans="1:2" ht="14.5" x14ac:dyDescent="0.35">
      <c r="A3518" s="8" t="s">
        <v>54894</v>
      </c>
      <c r="B3518" s="8" t="s">
        <v>56075</v>
      </c>
    </row>
    <row r="3519" spans="1:2" ht="14.5" x14ac:dyDescent="0.35">
      <c r="A3519" s="8" t="s">
        <v>54894</v>
      </c>
      <c r="B3519" s="8" t="s">
        <v>55963</v>
      </c>
    </row>
    <row r="3520" spans="1:2" ht="14.5" x14ac:dyDescent="0.35">
      <c r="A3520" s="8" t="s">
        <v>54894</v>
      </c>
      <c r="B3520" s="8" t="s">
        <v>57142</v>
      </c>
    </row>
    <row r="3521" spans="1:2" ht="14.5" x14ac:dyDescent="0.35">
      <c r="A3521" s="8" t="s">
        <v>54894</v>
      </c>
      <c r="B3521" s="8" t="s">
        <v>57143</v>
      </c>
    </row>
    <row r="3522" spans="1:2" ht="14.5" x14ac:dyDescent="0.35">
      <c r="A3522" s="8" t="s">
        <v>54894</v>
      </c>
      <c r="B3522" s="8" t="s">
        <v>57708</v>
      </c>
    </row>
    <row r="3523" spans="1:2" ht="14.5" x14ac:dyDescent="0.35">
      <c r="A3523" s="8" t="s">
        <v>54894</v>
      </c>
      <c r="B3523" s="8" t="s">
        <v>55703</v>
      </c>
    </row>
    <row r="3524" spans="1:2" ht="14.5" x14ac:dyDescent="0.35">
      <c r="A3524" s="8" t="s">
        <v>54894</v>
      </c>
      <c r="B3524" s="8" t="s">
        <v>56657</v>
      </c>
    </row>
    <row r="3525" spans="1:2" ht="14.5" x14ac:dyDescent="0.35">
      <c r="A3525" s="8" t="s">
        <v>54894</v>
      </c>
      <c r="B3525" s="8" t="s">
        <v>56551</v>
      </c>
    </row>
    <row r="3526" spans="1:2" ht="14.5" x14ac:dyDescent="0.35">
      <c r="A3526" s="8" t="s">
        <v>54894</v>
      </c>
      <c r="B3526" s="8" t="s">
        <v>55263</v>
      </c>
    </row>
    <row r="3527" spans="1:2" ht="14.5" x14ac:dyDescent="0.35">
      <c r="A3527" s="8" t="s">
        <v>54894</v>
      </c>
      <c r="B3527" s="8" t="s">
        <v>57241</v>
      </c>
    </row>
    <row r="3528" spans="1:2" ht="14.5" x14ac:dyDescent="0.35">
      <c r="A3528" s="8" t="s">
        <v>54894</v>
      </c>
      <c r="B3528" s="8" t="s">
        <v>56324</v>
      </c>
    </row>
    <row r="3529" spans="1:2" ht="14.5" x14ac:dyDescent="0.35">
      <c r="A3529" s="8" t="s">
        <v>54894</v>
      </c>
      <c r="B3529" s="8" t="s">
        <v>56151</v>
      </c>
    </row>
    <row r="3530" spans="1:2" ht="14.5" x14ac:dyDescent="0.35">
      <c r="A3530" s="8" t="s">
        <v>54894</v>
      </c>
      <c r="B3530" s="8" t="s">
        <v>56152</v>
      </c>
    </row>
    <row r="3531" spans="1:2" ht="14.5" x14ac:dyDescent="0.35">
      <c r="A3531" s="8" t="s">
        <v>54894</v>
      </c>
      <c r="B3531" s="8" t="s">
        <v>55977</v>
      </c>
    </row>
    <row r="3532" spans="1:2" ht="14.5" x14ac:dyDescent="0.35">
      <c r="A3532" s="8" t="s">
        <v>54894</v>
      </c>
      <c r="B3532" s="8" t="s">
        <v>57727</v>
      </c>
    </row>
    <row r="3533" spans="1:2" ht="14.5" x14ac:dyDescent="0.35">
      <c r="A3533" s="8" t="s">
        <v>54894</v>
      </c>
      <c r="B3533" s="8" t="s">
        <v>58272</v>
      </c>
    </row>
    <row r="3534" spans="1:2" ht="14.5" x14ac:dyDescent="0.35">
      <c r="A3534" s="8" t="s">
        <v>54894</v>
      </c>
      <c r="B3534" s="8" t="s">
        <v>57526</v>
      </c>
    </row>
    <row r="3535" spans="1:2" ht="14.5" x14ac:dyDescent="0.35">
      <c r="A3535" s="8" t="s">
        <v>54894</v>
      </c>
      <c r="B3535" s="8" t="s">
        <v>56476</v>
      </c>
    </row>
    <row r="3536" spans="1:2" ht="14.5" x14ac:dyDescent="0.35">
      <c r="A3536" s="8" t="s">
        <v>54894</v>
      </c>
      <c r="B3536" s="8" t="s">
        <v>56303</v>
      </c>
    </row>
    <row r="3537" spans="1:2" ht="14.5" x14ac:dyDescent="0.35">
      <c r="A3537" s="8" t="s">
        <v>54894</v>
      </c>
      <c r="B3537" s="8" t="s">
        <v>58319</v>
      </c>
    </row>
    <row r="3538" spans="1:2" ht="14.5" x14ac:dyDescent="0.35">
      <c r="A3538" s="8" t="s">
        <v>54894</v>
      </c>
      <c r="B3538" s="8" t="s">
        <v>58093</v>
      </c>
    </row>
    <row r="3539" spans="1:2" ht="14.5" x14ac:dyDescent="0.35">
      <c r="A3539" s="8" t="s">
        <v>54894</v>
      </c>
      <c r="B3539" s="8" t="s">
        <v>55412</v>
      </c>
    </row>
    <row r="3540" spans="1:2" ht="14.5" x14ac:dyDescent="0.35">
      <c r="A3540" s="8" t="s">
        <v>54894</v>
      </c>
      <c r="B3540" s="8" t="s">
        <v>55213</v>
      </c>
    </row>
    <row r="3541" spans="1:2" ht="14.5" x14ac:dyDescent="0.35">
      <c r="A3541" s="8" t="s">
        <v>54894</v>
      </c>
      <c r="B3541" s="8" t="s">
        <v>56513</v>
      </c>
    </row>
    <row r="3542" spans="1:2" ht="14.5" x14ac:dyDescent="0.35">
      <c r="A3542" s="8" t="s">
        <v>54894</v>
      </c>
      <c r="B3542" s="8" t="s">
        <v>57029</v>
      </c>
    </row>
    <row r="3543" spans="1:2" ht="14.5" x14ac:dyDescent="0.35">
      <c r="A3543" s="8" t="s">
        <v>54894</v>
      </c>
      <c r="B3543" s="8" t="s">
        <v>56622</v>
      </c>
    </row>
    <row r="3544" spans="1:2" ht="14.5" x14ac:dyDescent="0.35">
      <c r="A3544" s="8" t="s">
        <v>54894</v>
      </c>
      <c r="B3544" s="8" t="s">
        <v>56404</v>
      </c>
    </row>
    <row r="3545" spans="1:2" ht="14.5" x14ac:dyDescent="0.35">
      <c r="A3545" s="8" t="s">
        <v>54894</v>
      </c>
      <c r="B3545" s="8" t="s">
        <v>56486</v>
      </c>
    </row>
    <row r="3546" spans="1:2" ht="14.5" x14ac:dyDescent="0.35">
      <c r="A3546" s="8" t="s">
        <v>54894</v>
      </c>
      <c r="B3546" s="8" t="s">
        <v>57125</v>
      </c>
    </row>
    <row r="3547" spans="1:2" ht="14.5" x14ac:dyDescent="0.35">
      <c r="A3547" s="8" t="s">
        <v>54894</v>
      </c>
      <c r="B3547" s="8" t="s">
        <v>56378</v>
      </c>
    </row>
    <row r="3548" spans="1:2" ht="14.5" x14ac:dyDescent="0.35">
      <c r="A3548" s="8" t="s">
        <v>54894</v>
      </c>
      <c r="B3548" s="8" t="s">
        <v>56379</v>
      </c>
    </row>
    <row r="3549" spans="1:2" ht="14.5" x14ac:dyDescent="0.35">
      <c r="A3549" s="8" t="s">
        <v>54894</v>
      </c>
      <c r="B3549" s="8" t="s">
        <v>56386</v>
      </c>
    </row>
    <row r="3550" spans="1:2" ht="14.5" x14ac:dyDescent="0.35">
      <c r="A3550" s="8" t="s">
        <v>54894</v>
      </c>
      <c r="B3550" s="8" t="s">
        <v>56267</v>
      </c>
    </row>
    <row r="3551" spans="1:2" ht="14.5" x14ac:dyDescent="0.35">
      <c r="A3551" s="8" t="s">
        <v>54894</v>
      </c>
      <c r="B3551" s="8" t="s">
        <v>56487</v>
      </c>
    </row>
    <row r="3552" spans="1:2" ht="14.5" x14ac:dyDescent="0.35">
      <c r="A3552" s="8" t="s">
        <v>54894</v>
      </c>
      <c r="B3552" s="8" t="s">
        <v>58027</v>
      </c>
    </row>
    <row r="3553" spans="1:2" ht="14.5" x14ac:dyDescent="0.35">
      <c r="A3553" s="8" t="s">
        <v>54894</v>
      </c>
      <c r="B3553" s="8" t="s">
        <v>56358</v>
      </c>
    </row>
    <row r="3554" spans="1:2" ht="14.5" x14ac:dyDescent="0.35">
      <c r="A3554" s="8" t="s">
        <v>54894</v>
      </c>
      <c r="B3554" s="8" t="s">
        <v>56298</v>
      </c>
    </row>
    <row r="3555" spans="1:2" ht="14.5" x14ac:dyDescent="0.35">
      <c r="A3555" s="8" t="s">
        <v>54894</v>
      </c>
      <c r="B3555" s="8" t="s">
        <v>58094</v>
      </c>
    </row>
    <row r="3556" spans="1:2" ht="14.5" x14ac:dyDescent="0.35">
      <c r="A3556" s="8" t="s">
        <v>54894</v>
      </c>
      <c r="B3556" s="8" t="s">
        <v>14221</v>
      </c>
    </row>
    <row r="3557" spans="1:2" ht="14.5" x14ac:dyDescent="0.35">
      <c r="A3557" s="8" t="s">
        <v>54894</v>
      </c>
      <c r="B3557" s="8" t="s">
        <v>14221</v>
      </c>
    </row>
    <row r="3558" spans="1:2" ht="14.5" x14ac:dyDescent="0.35">
      <c r="A3558" s="8" t="s">
        <v>54894</v>
      </c>
      <c r="B3558" s="8" t="s">
        <v>55259</v>
      </c>
    </row>
    <row r="3559" spans="1:2" ht="14.5" x14ac:dyDescent="0.35">
      <c r="A3559" s="8" t="s">
        <v>54894</v>
      </c>
      <c r="B3559" s="8" t="s">
        <v>55260</v>
      </c>
    </row>
    <row r="3560" spans="1:2" ht="14.5" x14ac:dyDescent="0.35">
      <c r="A3560" s="8" t="s">
        <v>54894</v>
      </c>
      <c r="B3560" s="8" t="s">
        <v>55261</v>
      </c>
    </row>
    <row r="3561" spans="1:2" ht="14.5" x14ac:dyDescent="0.35">
      <c r="A3561" s="8" t="s">
        <v>54894</v>
      </c>
      <c r="B3561" s="8" t="s">
        <v>55262</v>
      </c>
    </row>
    <row r="3562" spans="1:2" ht="14.5" x14ac:dyDescent="0.35">
      <c r="A3562" s="8" t="s">
        <v>54894</v>
      </c>
      <c r="B3562" s="8" t="s">
        <v>57952</v>
      </c>
    </row>
    <row r="3563" spans="1:2" ht="14.5" x14ac:dyDescent="0.35">
      <c r="A3563" s="8" t="s">
        <v>54894</v>
      </c>
      <c r="B3563" s="8" t="s">
        <v>56800</v>
      </c>
    </row>
    <row r="3564" spans="1:2" ht="14.5" x14ac:dyDescent="0.35">
      <c r="A3564" s="8" t="s">
        <v>54894</v>
      </c>
      <c r="B3564" s="8" t="s">
        <v>56801</v>
      </c>
    </row>
    <row r="3565" spans="1:2" ht="14.5" x14ac:dyDescent="0.35">
      <c r="A3565" s="8" t="s">
        <v>54894</v>
      </c>
      <c r="B3565" s="8" t="s">
        <v>56802</v>
      </c>
    </row>
    <row r="3566" spans="1:2" ht="14.5" x14ac:dyDescent="0.35">
      <c r="A3566" s="8" t="s">
        <v>54894</v>
      </c>
      <c r="B3566" s="8" t="s">
        <v>56803</v>
      </c>
    </row>
    <row r="3567" spans="1:2" ht="14.5" x14ac:dyDescent="0.35">
      <c r="A3567" s="8" t="s">
        <v>54894</v>
      </c>
      <c r="B3567" s="8" t="s">
        <v>56804</v>
      </c>
    </row>
    <row r="3568" spans="1:2" ht="14.5" x14ac:dyDescent="0.35">
      <c r="A3568" s="8" t="s">
        <v>54894</v>
      </c>
      <c r="B3568" s="8" t="s">
        <v>57953</v>
      </c>
    </row>
    <row r="3569" spans="1:2" ht="14.5" x14ac:dyDescent="0.35">
      <c r="A3569" s="8" t="s">
        <v>54894</v>
      </c>
      <c r="B3569" s="8" t="s">
        <v>55156</v>
      </c>
    </row>
    <row r="3570" spans="1:2" ht="14.5" x14ac:dyDescent="0.35">
      <c r="A3570" s="8" t="s">
        <v>54894</v>
      </c>
      <c r="B3570" s="8" t="s">
        <v>57151</v>
      </c>
    </row>
    <row r="3571" spans="1:2" ht="14.5" x14ac:dyDescent="0.35">
      <c r="A3571" s="8" t="s">
        <v>54894</v>
      </c>
      <c r="B3571" s="8" t="s">
        <v>58452</v>
      </c>
    </row>
    <row r="3572" spans="1:2" ht="14.5" x14ac:dyDescent="0.35">
      <c r="A3572" s="8" t="s">
        <v>54894</v>
      </c>
      <c r="B3572" s="8" t="s">
        <v>56569</v>
      </c>
    </row>
    <row r="3573" spans="1:2" ht="14.5" x14ac:dyDescent="0.35">
      <c r="A3573" s="8" t="s">
        <v>54894</v>
      </c>
      <c r="B3573" s="8" t="s">
        <v>55523</v>
      </c>
    </row>
    <row r="3574" spans="1:2" ht="14.5" x14ac:dyDescent="0.35">
      <c r="A3574" s="8" t="s">
        <v>54894</v>
      </c>
      <c r="B3574" s="8" t="s">
        <v>55004</v>
      </c>
    </row>
    <row r="3575" spans="1:2" ht="14.5" x14ac:dyDescent="0.35">
      <c r="A3575" s="8" t="s">
        <v>54894</v>
      </c>
      <c r="B3575" s="8" t="s">
        <v>55000</v>
      </c>
    </row>
    <row r="3576" spans="1:2" ht="14.5" x14ac:dyDescent="0.35">
      <c r="A3576" s="8" t="s">
        <v>54894</v>
      </c>
      <c r="B3576" s="8" t="s">
        <v>55524</v>
      </c>
    </row>
    <row r="3577" spans="1:2" ht="14.5" x14ac:dyDescent="0.35">
      <c r="A3577" s="8" t="s">
        <v>54894</v>
      </c>
      <c r="B3577" s="8" t="s">
        <v>55639</v>
      </c>
    </row>
    <row r="3578" spans="1:2" ht="14.5" x14ac:dyDescent="0.35">
      <c r="A3578" s="8" t="s">
        <v>54894</v>
      </c>
      <c r="B3578" s="8" t="s">
        <v>57538</v>
      </c>
    </row>
    <row r="3579" spans="1:2" ht="14.5" x14ac:dyDescent="0.35">
      <c r="A3579" s="8" t="s">
        <v>54894</v>
      </c>
      <c r="B3579" s="8" t="s">
        <v>55586</v>
      </c>
    </row>
    <row r="3580" spans="1:2" ht="14.5" x14ac:dyDescent="0.35">
      <c r="A3580" s="8" t="s">
        <v>54894</v>
      </c>
      <c r="B3580" s="8" t="s">
        <v>55104</v>
      </c>
    </row>
    <row r="3581" spans="1:2" ht="14.5" x14ac:dyDescent="0.35">
      <c r="A3581" s="8" t="s">
        <v>54894</v>
      </c>
      <c r="B3581" s="8" t="s">
        <v>55660</v>
      </c>
    </row>
    <row r="3582" spans="1:2" ht="14.5" x14ac:dyDescent="0.35">
      <c r="A3582" s="8" t="s">
        <v>54894</v>
      </c>
      <c r="B3582" s="8" t="s">
        <v>55674</v>
      </c>
    </row>
    <row r="3583" spans="1:2" ht="14.5" x14ac:dyDescent="0.35">
      <c r="A3583" s="8" t="s">
        <v>54894</v>
      </c>
      <c r="B3583" s="8" t="s">
        <v>55675</v>
      </c>
    </row>
    <row r="3584" spans="1:2" ht="14.5" x14ac:dyDescent="0.35">
      <c r="A3584" s="8" t="s">
        <v>54894</v>
      </c>
      <c r="B3584" s="8" t="s">
        <v>55661</v>
      </c>
    </row>
    <row r="3585" spans="1:2" ht="14.5" x14ac:dyDescent="0.35">
      <c r="A3585" s="8" t="s">
        <v>54894</v>
      </c>
      <c r="B3585" s="8" t="s">
        <v>55742</v>
      </c>
    </row>
    <row r="3586" spans="1:2" ht="14.5" x14ac:dyDescent="0.35">
      <c r="A3586" s="8" t="s">
        <v>54894</v>
      </c>
      <c r="B3586" s="8" t="s">
        <v>57976</v>
      </c>
    </row>
    <row r="3587" spans="1:2" ht="14.5" x14ac:dyDescent="0.35">
      <c r="A3587" s="8" t="s">
        <v>54894</v>
      </c>
      <c r="B3587" s="8" t="s">
        <v>55594</v>
      </c>
    </row>
    <row r="3588" spans="1:2" ht="14.5" x14ac:dyDescent="0.35">
      <c r="A3588" s="8" t="s">
        <v>54894</v>
      </c>
      <c r="B3588" s="8" t="s">
        <v>57053</v>
      </c>
    </row>
    <row r="3589" spans="1:2" ht="14.5" x14ac:dyDescent="0.35">
      <c r="A3589" s="8" t="s">
        <v>54894</v>
      </c>
      <c r="B3589" s="8" t="s">
        <v>55583</v>
      </c>
    </row>
    <row r="3590" spans="1:2" ht="14.5" x14ac:dyDescent="0.35">
      <c r="A3590" s="8" t="s">
        <v>54894</v>
      </c>
      <c r="B3590" s="8" t="s">
        <v>58297</v>
      </c>
    </row>
    <row r="3591" spans="1:2" ht="14.5" x14ac:dyDescent="0.35">
      <c r="A3591" s="8" t="s">
        <v>54894</v>
      </c>
      <c r="B3591" s="8" t="s">
        <v>58402</v>
      </c>
    </row>
    <row r="3592" spans="1:2" ht="14.5" x14ac:dyDescent="0.35">
      <c r="A3592" s="8" t="s">
        <v>54894</v>
      </c>
      <c r="B3592" s="8" t="s">
        <v>55881</v>
      </c>
    </row>
    <row r="3593" spans="1:2" ht="14.5" x14ac:dyDescent="0.35">
      <c r="A3593" s="8" t="s">
        <v>54894</v>
      </c>
      <c r="B3593" s="8" t="s">
        <v>58171</v>
      </c>
    </row>
    <row r="3594" spans="1:2" ht="14.5" x14ac:dyDescent="0.35">
      <c r="A3594" s="8" t="s">
        <v>54894</v>
      </c>
      <c r="B3594" s="8" t="s">
        <v>58172</v>
      </c>
    </row>
    <row r="3595" spans="1:2" ht="14.5" x14ac:dyDescent="0.35">
      <c r="A3595" s="8" t="s">
        <v>54894</v>
      </c>
      <c r="B3595" s="8" t="s">
        <v>58440</v>
      </c>
    </row>
    <row r="3596" spans="1:2" ht="14.5" x14ac:dyDescent="0.35">
      <c r="A3596" s="8" t="s">
        <v>54894</v>
      </c>
      <c r="B3596" s="8" t="s">
        <v>56299</v>
      </c>
    </row>
    <row r="3597" spans="1:2" ht="14.5" x14ac:dyDescent="0.35">
      <c r="A3597" s="8" t="s">
        <v>54894</v>
      </c>
      <c r="B3597" s="8" t="s">
        <v>55926</v>
      </c>
    </row>
    <row r="3598" spans="1:2" ht="14.5" x14ac:dyDescent="0.35">
      <c r="A3598" s="8" t="s">
        <v>54894</v>
      </c>
      <c r="B3598" s="8" t="s">
        <v>55927</v>
      </c>
    </row>
    <row r="3599" spans="1:2" ht="14.5" x14ac:dyDescent="0.35">
      <c r="A3599" s="8" t="s">
        <v>54894</v>
      </c>
      <c r="B3599" s="8" t="s">
        <v>55928</v>
      </c>
    </row>
    <row r="3600" spans="1:2" ht="14.5" x14ac:dyDescent="0.35">
      <c r="A3600" s="8" t="s">
        <v>54894</v>
      </c>
      <c r="B3600" s="8" t="s">
        <v>55572</v>
      </c>
    </row>
    <row r="3601" spans="1:2" ht="14.5" x14ac:dyDescent="0.35">
      <c r="A3601" s="8" t="s">
        <v>54894</v>
      </c>
      <c r="B3601" s="8" t="s">
        <v>55938</v>
      </c>
    </row>
    <row r="3602" spans="1:2" ht="14.5" x14ac:dyDescent="0.35">
      <c r="A3602" s="8" t="s">
        <v>54894</v>
      </c>
      <c r="B3602" s="8" t="s">
        <v>56559</v>
      </c>
    </row>
    <row r="3603" spans="1:2" ht="14.5" x14ac:dyDescent="0.35">
      <c r="A3603" s="8" t="s">
        <v>54894</v>
      </c>
      <c r="B3603" s="8" t="s">
        <v>56076</v>
      </c>
    </row>
    <row r="3604" spans="1:2" ht="14.5" x14ac:dyDescent="0.35">
      <c r="A3604" s="8" t="s">
        <v>54894</v>
      </c>
      <c r="B3604" s="8" t="s">
        <v>56405</v>
      </c>
    </row>
    <row r="3605" spans="1:2" ht="14.5" x14ac:dyDescent="0.35">
      <c r="A3605" s="8" t="s">
        <v>54894</v>
      </c>
      <c r="B3605" s="8" t="s">
        <v>56310</v>
      </c>
    </row>
    <row r="3606" spans="1:2" ht="14.5" x14ac:dyDescent="0.35">
      <c r="A3606" s="8" t="s">
        <v>54894</v>
      </c>
      <c r="B3606" s="8" t="s">
        <v>55662</v>
      </c>
    </row>
    <row r="3607" spans="1:2" ht="14.5" x14ac:dyDescent="0.35">
      <c r="A3607" s="8" t="s">
        <v>54894</v>
      </c>
      <c r="B3607" s="8" t="s">
        <v>56077</v>
      </c>
    </row>
    <row r="3608" spans="1:2" ht="14.5" x14ac:dyDescent="0.35">
      <c r="A3608" s="8" t="s">
        <v>54894</v>
      </c>
      <c r="B3608" s="8" t="s">
        <v>55744</v>
      </c>
    </row>
    <row r="3609" spans="1:2" ht="14.5" x14ac:dyDescent="0.35">
      <c r="A3609" s="8" t="s">
        <v>54894</v>
      </c>
      <c r="B3609" s="8" t="s">
        <v>55898</v>
      </c>
    </row>
    <row r="3610" spans="1:2" ht="14.5" x14ac:dyDescent="0.35">
      <c r="A3610" s="8" t="s">
        <v>54894</v>
      </c>
      <c r="B3610" s="8" t="s">
        <v>57156</v>
      </c>
    </row>
    <row r="3611" spans="1:2" ht="14.5" x14ac:dyDescent="0.35">
      <c r="A3611" s="8" t="s">
        <v>54894</v>
      </c>
      <c r="B3611" s="8" t="s">
        <v>57008</v>
      </c>
    </row>
    <row r="3612" spans="1:2" ht="14.5" x14ac:dyDescent="0.35">
      <c r="A3612" s="8" t="s">
        <v>54894</v>
      </c>
      <c r="B3612" s="8" t="s">
        <v>58247</v>
      </c>
    </row>
    <row r="3613" spans="1:2" ht="14.5" x14ac:dyDescent="0.35">
      <c r="A3613" s="8" t="s">
        <v>54894</v>
      </c>
      <c r="B3613" s="8" t="s">
        <v>58248</v>
      </c>
    </row>
    <row r="3614" spans="1:2" ht="14.5" x14ac:dyDescent="0.35">
      <c r="A3614" s="8" t="s">
        <v>54894</v>
      </c>
      <c r="B3614" s="8" t="s">
        <v>58173</v>
      </c>
    </row>
    <row r="3615" spans="1:2" ht="14.5" x14ac:dyDescent="0.35">
      <c r="A3615" s="8" t="s">
        <v>54894</v>
      </c>
      <c r="B3615" s="8" t="s">
        <v>58254</v>
      </c>
    </row>
    <row r="3616" spans="1:2" ht="14.5" x14ac:dyDescent="0.35">
      <c r="A3616" s="8" t="s">
        <v>54894</v>
      </c>
      <c r="B3616" s="8" t="s">
        <v>58220</v>
      </c>
    </row>
    <row r="3617" spans="1:2" ht="14.5" x14ac:dyDescent="0.35">
      <c r="A3617" s="8" t="s">
        <v>54894</v>
      </c>
      <c r="B3617" s="8" t="s">
        <v>55941</v>
      </c>
    </row>
    <row r="3618" spans="1:2" ht="14.5" x14ac:dyDescent="0.35">
      <c r="A3618" s="8" t="s">
        <v>54894</v>
      </c>
      <c r="B3618" s="8" t="s">
        <v>55173</v>
      </c>
    </row>
    <row r="3619" spans="1:2" ht="14.5" x14ac:dyDescent="0.35">
      <c r="A3619" s="8" t="s">
        <v>54894</v>
      </c>
      <c r="B3619" s="8" t="s">
        <v>57077</v>
      </c>
    </row>
    <row r="3620" spans="1:2" ht="14.5" x14ac:dyDescent="0.35">
      <c r="A3620" s="8" t="s">
        <v>54894</v>
      </c>
      <c r="B3620" s="8" t="s">
        <v>55942</v>
      </c>
    </row>
    <row r="3621" spans="1:2" ht="14.5" x14ac:dyDescent="0.35">
      <c r="A3621" s="8" t="s">
        <v>54894</v>
      </c>
      <c r="B3621" s="8" t="s">
        <v>57993</v>
      </c>
    </row>
    <row r="3622" spans="1:2" ht="14.5" x14ac:dyDescent="0.35">
      <c r="A3622" s="8" t="s">
        <v>54894</v>
      </c>
      <c r="B3622" s="8" t="s">
        <v>56680</v>
      </c>
    </row>
    <row r="3623" spans="1:2" ht="14.5" x14ac:dyDescent="0.35">
      <c r="A3623" s="8" t="s">
        <v>54894</v>
      </c>
      <c r="B3623" s="8" t="s">
        <v>58333</v>
      </c>
    </row>
    <row r="3624" spans="1:2" ht="14.5" x14ac:dyDescent="0.35">
      <c r="A3624" s="8" t="s">
        <v>54894</v>
      </c>
      <c r="B3624" s="8" t="s">
        <v>56401</v>
      </c>
    </row>
    <row r="3625" spans="1:2" ht="14.5" x14ac:dyDescent="0.35">
      <c r="A3625" s="8" t="s">
        <v>54894</v>
      </c>
      <c r="B3625" s="8" t="s">
        <v>56243</v>
      </c>
    </row>
    <row r="3626" spans="1:2" ht="14.5" x14ac:dyDescent="0.35">
      <c r="A3626" s="8" t="s">
        <v>54894</v>
      </c>
      <c r="B3626" s="8" t="s">
        <v>56244</v>
      </c>
    </row>
    <row r="3627" spans="1:2" ht="14.5" x14ac:dyDescent="0.35">
      <c r="A3627" s="8" t="s">
        <v>54894</v>
      </c>
      <c r="B3627" s="8" t="s">
        <v>56245</v>
      </c>
    </row>
    <row r="3628" spans="1:2" ht="14.5" x14ac:dyDescent="0.35">
      <c r="A3628" s="8" t="s">
        <v>54894</v>
      </c>
      <c r="B3628" s="8" t="s">
        <v>58313</v>
      </c>
    </row>
    <row r="3629" spans="1:2" ht="14.5" x14ac:dyDescent="0.35">
      <c r="A3629" s="8" t="s">
        <v>54894</v>
      </c>
      <c r="B3629" s="8" t="s">
        <v>56359</v>
      </c>
    </row>
    <row r="3630" spans="1:2" ht="14.5" x14ac:dyDescent="0.35">
      <c r="A3630" s="8" t="s">
        <v>54894</v>
      </c>
      <c r="B3630" s="8" t="s">
        <v>56360</v>
      </c>
    </row>
    <row r="3631" spans="1:2" ht="14.5" x14ac:dyDescent="0.35">
      <c r="A3631" s="8" t="s">
        <v>54894</v>
      </c>
      <c r="B3631" s="8" t="s">
        <v>55732</v>
      </c>
    </row>
    <row r="3632" spans="1:2" ht="14.5" x14ac:dyDescent="0.35">
      <c r="A3632" s="8" t="s">
        <v>54894</v>
      </c>
      <c r="B3632" s="8" t="s">
        <v>55775</v>
      </c>
    </row>
    <row r="3633" spans="1:2" ht="14.5" x14ac:dyDescent="0.35">
      <c r="A3633" s="8" t="s">
        <v>54894</v>
      </c>
      <c r="B3633" s="8" t="s">
        <v>55776</v>
      </c>
    </row>
    <row r="3634" spans="1:2" ht="14.5" x14ac:dyDescent="0.35">
      <c r="A3634" s="8" t="s">
        <v>54894</v>
      </c>
      <c r="B3634" s="8" t="s">
        <v>55777</v>
      </c>
    </row>
    <row r="3635" spans="1:2" ht="14.5" x14ac:dyDescent="0.35">
      <c r="A3635" s="8" t="s">
        <v>54894</v>
      </c>
      <c r="B3635" s="8" t="s">
        <v>58095</v>
      </c>
    </row>
    <row r="3636" spans="1:2" ht="14.5" x14ac:dyDescent="0.35">
      <c r="A3636" s="8" t="s">
        <v>54894</v>
      </c>
      <c r="B3636" s="8" t="s">
        <v>56988</v>
      </c>
    </row>
    <row r="3637" spans="1:2" ht="14.5" x14ac:dyDescent="0.35">
      <c r="A3637" s="8" t="s">
        <v>54894</v>
      </c>
      <c r="B3637" s="8" t="s">
        <v>56989</v>
      </c>
    </row>
    <row r="3638" spans="1:2" ht="14.5" x14ac:dyDescent="0.35">
      <c r="A3638" s="8" t="s">
        <v>54894</v>
      </c>
      <c r="B3638" s="8" t="s">
        <v>56805</v>
      </c>
    </row>
    <row r="3639" spans="1:2" ht="14.5" x14ac:dyDescent="0.35">
      <c r="A3639" s="8" t="s">
        <v>54894</v>
      </c>
      <c r="B3639" s="8" t="s">
        <v>56990</v>
      </c>
    </row>
    <row r="3640" spans="1:2" ht="14.5" x14ac:dyDescent="0.35">
      <c r="A3640" s="8" t="s">
        <v>54894</v>
      </c>
      <c r="B3640" s="8" t="s">
        <v>56991</v>
      </c>
    </row>
    <row r="3641" spans="1:2" ht="14.5" x14ac:dyDescent="0.35">
      <c r="A3641" s="8" t="s">
        <v>54894</v>
      </c>
      <c r="B3641" s="8" t="s">
        <v>57020</v>
      </c>
    </row>
    <row r="3642" spans="1:2" ht="14.5" x14ac:dyDescent="0.35">
      <c r="A3642" s="8" t="s">
        <v>54894</v>
      </c>
      <c r="B3642" s="8" t="s">
        <v>57021</v>
      </c>
    </row>
    <row r="3643" spans="1:2" ht="14.5" x14ac:dyDescent="0.35">
      <c r="A3643" s="8" t="s">
        <v>54894</v>
      </c>
      <c r="B3643" s="8" t="s">
        <v>55733</v>
      </c>
    </row>
    <row r="3644" spans="1:2" ht="14.5" x14ac:dyDescent="0.35">
      <c r="A3644" s="8" t="s">
        <v>54894</v>
      </c>
      <c r="B3644" s="8" t="s">
        <v>56361</v>
      </c>
    </row>
    <row r="3645" spans="1:2" ht="14.5" x14ac:dyDescent="0.35">
      <c r="A3645" s="8" t="s">
        <v>54894</v>
      </c>
      <c r="B3645" s="8" t="s">
        <v>56362</v>
      </c>
    </row>
    <row r="3646" spans="1:2" ht="14.5" x14ac:dyDescent="0.35">
      <c r="A3646" s="8" t="s">
        <v>54894</v>
      </c>
      <c r="B3646" s="8" t="s">
        <v>58096</v>
      </c>
    </row>
    <row r="3647" spans="1:2" ht="14.5" x14ac:dyDescent="0.35">
      <c r="A3647" s="8" t="s">
        <v>54894</v>
      </c>
      <c r="B3647" s="8" t="s">
        <v>56806</v>
      </c>
    </row>
    <row r="3648" spans="1:2" ht="14.5" x14ac:dyDescent="0.35">
      <c r="A3648" s="8" t="s">
        <v>54894</v>
      </c>
      <c r="B3648" s="8" t="s">
        <v>56304</v>
      </c>
    </row>
    <row r="3649" spans="1:2" ht="14.5" x14ac:dyDescent="0.35">
      <c r="A3649" s="8" t="s">
        <v>54894</v>
      </c>
      <c r="B3649" s="8" t="s">
        <v>56992</v>
      </c>
    </row>
    <row r="3650" spans="1:2" ht="14.5" x14ac:dyDescent="0.35">
      <c r="A3650" s="8" t="s">
        <v>54894</v>
      </c>
      <c r="B3650" s="8" t="s">
        <v>55778</v>
      </c>
    </row>
    <row r="3651" spans="1:2" ht="14.5" x14ac:dyDescent="0.35">
      <c r="A3651" s="8" t="s">
        <v>54894</v>
      </c>
      <c r="B3651" s="8" t="s">
        <v>55779</v>
      </c>
    </row>
    <row r="3652" spans="1:2" ht="14.5" x14ac:dyDescent="0.35">
      <c r="A3652" s="8" t="s">
        <v>54894</v>
      </c>
      <c r="B3652" s="8" t="s">
        <v>55780</v>
      </c>
    </row>
    <row r="3653" spans="1:2" ht="14.5" x14ac:dyDescent="0.35">
      <c r="A3653" s="8" t="s">
        <v>54894</v>
      </c>
      <c r="B3653" s="8" t="s">
        <v>55781</v>
      </c>
    </row>
    <row r="3654" spans="1:2" ht="14.5" x14ac:dyDescent="0.35">
      <c r="A3654" s="8" t="s">
        <v>54894</v>
      </c>
      <c r="B3654" s="8" t="s">
        <v>55782</v>
      </c>
    </row>
    <row r="3655" spans="1:2" ht="14.5" x14ac:dyDescent="0.35">
      <c r="A3655" s="8" t="s">
        <v>54894</v>
      </c>
      <c r="B3655" s="8" t="s">
        <v>55783</v>
      </c>
    </row>
    <row r="3656" spans="1:2" ht="14.5" x14ac:dyDescent="0.35">
      <c r="A3656" s="8" t="s">
        <v>54894</v>
      </c>
      <c r="B3656" s="8" t="s">
        <v>55784</v>
      </c>
    </row>
    <row r="3657" spans="1:2" ht="14.5" x14ac:dyDescent="0.35">
      <c r="A3657" s="8" t="s">
        <v>54894</v>
      </c>
      <c r="B3657" s="8" t="s">
        <v>55785</v>
      </c>
    </row>
    <row r="3658" spans="1:2" ht="14.5" x14ac:dyDescent="0.35">
      <c r="A3658" s="8" t="s">
        <v>54894</v>
      </c>
      <c r="B3658" s="8" t="s">
        <v>55786</v>
      </c>
    </row>
    <row r="3659" spans="1:2" ht="14.5" x14ac:dyDescent="0.35">
      <c r="A3659" s="8" t="s">
        <v>54894</v>
      </c>
      <c r="B3659" s="8" t="s">
        <v>56993</v>
      </c>
    </row>
    <row r="3660" spans="1:2" ht="14.5" x14ac:dyDescent="0.35">
      <c r="A3660" s="8" t="s">
        <v>54894</v>
      </c>
      <c r="B3660" s="8" t="s">
        <v>56807</v>
      </c>
    </row>
    <row r="3661" spans="1:2" ht="14.5" x14ac:dyDescent="0.35">
      <c r="A3661" s="8" t="s">
        <v>54894</v>
      </c>
      <c r="B3661" s="8" t="s">
        <v>58097</v>
      </c>
    </row>
    <row r="3662" spans="1:2" ht="14.5" x14ac:dyDescent="0.35">
      <c r="A3662" s="8" t="s">
        <v>54894</v>
      </c>
      <c r="B3662" s="8" t="s">
        <v>56994</v>
      </c>
    </row>
    <row r="3663" spans="1:2" ht="14.5" x14ac:dyDescent="0.35">
      <c r="A3663" s="8" t="s">
        <v>54894</v>
      </c>
      <c r="B3663" s="8" t="s">
        <v>56995</v>
      </c>
    </row>
    <row r="3664" spans="1:2" ht="14.5" x14ac:dyDescent="0.35">
      <c r="A3664" s="8" t="s">
        <v>54894</v>
      </c>
      <c r="B3664" s="8" t="s">
        <v>55734</v>
      </c>
    </row>
    <row r="3665" spans="1:2" ht="14.5" x14ac:dyDescent="0.35">
      <c r="A3665" s="8" t="s">
        <v>54894</v>
      </c>
      <c r="B3665" s="8" t="s">
        <v>55735</v>
      </c>
    </row>
    <row r="3666" spans="1:2" ht="14.5" x14ac:dyDescent="0.35">
      <c r="A3666" s="8" t="s">
        <v>54894</v>
      </c>
      <c r="B3666" s="8" t="s">
        <v>56808</v>
      </c>
    </row>
    <row r="3667" spans="1:2" ht="14.5" x14ac:dyDescent="0.35">
      <c r="A3667" s="8" t="s">
        <v>54894</v>
      </c>
      <c r="B3667" s="8" t="s">
        <v>56809</v>
      </c>
    </row>
    <row r="3668" spans="1:2" ht="14.5" x14ac:dyDescent="0.35">
      <c r="A3668" s="8" t="s">
        <v>54894</v>
      </c>
      <c r="B3668" s="8" t="s">
        <v>56810</v>
      </c>
    </row>
    <row r="3669" spans="1:2" ht="14.5" x14ac:dyDescent="0.35">
      <c r="A3669" s="8" t="s">
        <v>54894</v>
      </c>
      <c r="B3669" s="8" t="s">
        <v>56811</v>
      </c>
    </row>
    <row r="3670" spans="1:2" ht="14.5" x14ac:dyDescent="0.35">
      <c r="A3670" s="8" t="s">
        <v>54894</v>
      </c>
      <c r="B3670" s="8" t="s">
        <v>58190</v>
      </c>
    </row>
    <row r="3671" spans="1:2" ht="14.5" x14ac:dyDescent="0.35">
      <c r="A3671" s="8" t="s">
        <v>54894</v>
      </c>
      <c r="B3671" s="8" t="s">
        <v>55787</v>
      </c>
    </row>
    <row r="3672" spans="1:2" ht="14.5" x14ac:dyDescent="0.35">
      <c r="A3672" s="8" t="s">
        <v>54894</v>
      </c>
      <c r="B3672" s="8" t="s">
        <v>55788</v>
      </c>
    </row>
    <row r="3673" spans="1:2" ht="14.5" x14ac:dyDescent="0.35">
      <c r="A3673" s="8" t="s">
        <v>54894</v>
      </c>
      <c r="B3673" s="8" t="s">
        <v>55789</v>
      </c>
    </row>
    <row r="3674" spans="1:2" ht="14.5" x14ac:dyDescent="0.35">
      <c r="A3674" s="8" t="s">
        <v>54894</v>
      </c>
      <c r="B3674" s="8" t="s">
        <v>56812</v>
      </c>
    </row>
    <row r="3675" spans="1:2" ht="14.5" x14ac:dyDescent="0.35">
      <c r="A3675" s="8" t="s">
        <v>54894</v>
      </c>
      <c r="B3675" s="8" t="s">
        <v>56470</v>
      </c>
    </row>
    <row r="3676" spans="1:2" ht="14.5" x14ac:dyDescent="0.35">
      <c r="A3676" s="8" t="s">
        <v>54894</v>
      </c>
      <c r="B3676" s="8" t="s">
        <v>57055</v>
      </c>
    </row>
    <row r="3677" spans="1:2" ht="14.5" x14ac:dyDescent="0.35">
      <c r="A3677" s="8" t="s">
        <v>54894</v>
      </c>
      <c r="B3677" s="8" t="s">
        <v>58191</v>
      </c>
    </row>
    <row r="3678" spans="1:2" ht="14.5" x14ac:dyDescent="0.35">
      <c r="A3678" s="8" t="s">
        <v>54894</v>
      </c>
      <c r="B3678" s="8" t="s">
        <v>56996</v>
      </c>
    </row>
    <row r="3679" spans="1:2" ht="14.5" x14ac:dyDescent="0.35">
      <c r="A3679" s="8" t="s">
        <v>54894</v>
      </c>
      <c r="B3679" s="8" t="s">
        <v>58192</v>
      </c>
    </row>
    <row r="3680" spans="1:2" ht="14.5" x14ac:dyDescent="0.35">
      <c r="A3680" s="8" t="s">
        <v>54894</v>
      </c>
      <c r="B3680" s="8" t="s">
        <v>56997</v>
      </c>
    </row>
    <row r="3681" spans="1:2" ht="14.5" x14ac:dyDescent="0.35">
      <c r="A3681" s="8" t="s">
        <v>54894</v>
      </c>
      <c r="B3681" s="8" t="s">
        <v>56813</v>
      </c>
    </row>
    <row r="3682" spans="1:2" ht="14.5" x14ac:dyDescent="0.35">
      <c r="A3682" s="8" t="s">
        <v>54894</v>
      </c>
      <c r="B3682" s="8" t="s">
        <v>55790</v>
      </c>
    </row>
    <row r="3683" spans="1:2" ht="14.5" x14ac:dyDescent="0.35">
      <c r="A3683" s="8" t="s">
        <v>54894</v>
      </c>
      <c r="B3683" s="8" t="s">
        <v>56998</v>
      </c>
    </row>
    <row r="3684" spans="1:2" ht="14.5" x14ac:dyDescent="0.35">
      <c r="A3684" s="8" t="s">
        <v>54894</v>
      </c>
      <c r="B3684" s="8" t="s">
        <v>56999</v>
      </c>
    </row>
    <row r="3685" spans="1:2" ht="14.5" x14ac:dyDescent="0.35">
      <c r="A3685" s="8" t="s">
        <v>54894</v>
      </c>
      <c r="B3685" s="8" t="s">
        <v>57056</v>
      </c>
    </row>
    <row r="3686" spans="1:2" ht="14.5" x14ac:dyDescent="0.35">
      <c r="A3686" s="8" t="s">
        <v>54894</v>
      </c>
      <c r="B3686" s="8" t="s">
        <v>55550</v>
      </c>
    </row>
    <row r="3687" spans="1:2" ht="14.5" x14ac:dyDescent="0.35">
      <c r="A3687" s="8" t="s">
        <v>54894</v>
      </c>
      <c r="B3687" s="8" t="s">
        <v>57994</v>
      </c>
    </row>
    <row r="3688" spans="1:2" ht="14.5" x14ac:dyDescent="0.35">
      <c r="A3688" s="8" t="s">
        <v>54894</v>
      </c>
      <c r="B3688" s="8" t="s">
        <v>55543</v>
      </c>
    </row>
    <row r="3689" spans="1:2" ht="14.5" x14ac:dyDescent="0.35">
      <c r="A3689" s="8" t="s">
        <v>54894</v>
      </c>
      <c r="B3689" s="8" t="s">
        <v>56814</v>
      </c>
    </row>
    <row r="3690" spans="1:2" ht="14.5" x14ac:dyDescent="0.35">
      <c r="A3690" s="8" t="s">
        <v>54894</v>
      </c>
      <c r="B3690" s="8" t="s">
        <v>57867</v>
      </c>
    </row>
    <row r="3691" spans="1:2" ht="14.5" x14ac:dyDescent="0.35">
      <c r="A3691" s="8" t="s">
        <v>54894</v>
      </c>
      <c r="B3691" s="8" t="s">
        <v>56458</v>
      </c>
    </row>
    <row r="3692" spans="1:2" ht="14.5" x14ac:dyDescent="0.35">
      <c r="A3692" s="8" t="s">
        <v>54894</v>
      </c>
      <c r="B3692" s="8" t="s">
        <v>56459</v>
      </c>
    </row>
    <row r="3693" spans="1:2" ht="14.5" x14ac:dyDescent="0.35">
      <c r="A3693" s="8" t="s">
        <v>54894</v>
      </c>
      <c r="B3693" s="8" t="s">
        <v>57785</v>
      </c>
    </row>
    <row r="3694" spans="1:2" ht="14.5" x14ac:dyDescent="0.35">
      <c r="A3694" s="8" t="s">
        <v>54894</v>
      </c>
      <c r="B3694" s="8" t="s">
        <v>56692</v>
      </c>
    </row>
    <row r="3695" spans="1:2" ht="14.5" x14ac:dyDescent="0.35">
      <c r="A3695" s="8" t="s">
        <v>54894</v>
      </c>
      <c r="B3695" s="8" t="s">
        <v>55492</v>
      </c>
    </row>
    <row r="3696" spans="1:2" ht="14.5" x14ac:dyDescent="0.35">
      <c r="A3696" s="8" t="s">
        <v>54894</v>
      </c>
      <c r="B3696" s="8" t="s">
        <v>55493</v>
      </c>
    </row>
    <row r="3697" spans="1:2" ht="14.5" x14ac:dyDescent="0.35">
      <c r="A3697" s="8" t="s">
        <v>54894</v>
      </c>
      <c r="B3697" s="8" t="s">
        <v>57302</v>
      </c>
    </row>
    <row r="3698" spans="1:2" ht="14.5" x14ac:dyDescent="0.35">
      <c r="A3698" s="8" t="s">
        <v>54894</v>
      </c>
      <c r="B3698" s="8" t="s">
        <v>58249</v>
      </c>
    </row>
    <row r="3699" spans="1:2" ht="14.5" x14ac:dyDescent="0.35">
      <c r="A3699" s="8" t="s">
        <v>54894</v>
      </c>
      <c r="B3699" s="8" t="s">
        <v>55978</v>
      </c>
    </row>
    <row r="3700" spans="1:2" ht="14.5" x14ac:dyDescent="0.35">
      <c r="A3700" s="8" t="s">
        <v>54894</v>
      </c>
      <c r="B3700" s="8" t="s">
        <v>57204</v>
      </c>
    </row>
    <row r="3701" spans="1:2" ht="14.5" x14ac:dyDescent="0.35">
      <c r="A3701" s="8" t="s">
        <v>54894</v>
      </c>
      <c r="B3701" s="8" t="s">
        <v>54908</v>
      </c>
    </row>
    <row r="3702" spans="1:2" ht="14.5" x14ac:dyDescent="0.35">
      <c r="A3702" s="8" t="s">
        <v>54894</v>
      </c>
      <c r="B3702" s="8" t="s">
        <v>55081</v>
      </c>
    </row>
    <row r="3703" spans="1:2" ht="14.5" x14ac:dyDescent="0.35">
      <c r="A3703" s="8" t="s">
        <v>54894</v>
      </c>
      <c r="B3703" s="8" t="s">
        <v>56626</v>
      </c>
    </row>
    <row r="3704" spans="1:2" ht="14.5" x14ac:dyDescent="0.35">
      <c r="A3704" s="8" t="s">
        <v>54894</v>
      </c>
      <c r="B3704" s="8" t="s">
        <v>58174</v>
      </c>
    </row>
    <row r="3705" spans="1:2" ht="14.5" x14ac:dyDescent="0.35">
      <c r="A3705" s="8" t="s">
        <v>54894</v>
      </c>
      <c r="B3705" s="8" t="s">
        <v>56248</v>
      </c>
    </row>
    <row r="3706" spans="1:2" ht="14.5" x14ac:dyDescent="0.35">
      <c r="A3706" s="8" t="s">
        <v>54894</v>
      </c>
      <c r="B3706" s="8" t="s">
        <v>56249</v>
      </c>
    </row>
    <row r="3707" spans="1:2" ht="14.5" x14ac:dyDescent="0.35">
      <c r="A3707" s="8" t="s">
        <v>54894</v>
      </c>
      <c r="B3707" s="8" t="s">
        <v>54987</v>
      </c>
    </row>
    <row r="3708" spans="1:2" ht="14.5" x14ac:dyDescent="0.35">
      <c r="A3708" s="8" t="s">
        <v>54894</v>
      </c>
      <c r="B3708" s="8" t="s">
        <v>56078</v>
      </c>
    </row>
    <row r="3709" spans="1:2" ht="14.5" x14ac:dyDescent="0.35">
      <c r="A3709" s="8" t="s">
        <v>54894</v>
      </c>
      <c r="B3709" s="8" t="s">
        <v>58098</v>
      </c>
    </row>
    <row r="3710" spans="1:2" ht="14.5" x14ac:dyDescent="0.35">
      <c r="A3710" s="8" t="s">
        <v>54894</v>
      </c>
      <c r="B3710" s="8" t="s">
        <v>58099</v>
      </c>
    </row>
    <row r="3711" spans="1:2" ht="14.5" x14ac:dyDescent="0.35">
      <c r="A3711" s="8" t="s">
        <v>54894</v>
      </c>
      <c r="B3711" s="8" t="s">
        <v>55874</v>
      </c>
    </row>
    <row r="3712" spans="1:2" ht="14.5" x14ac:dyDescent="0.35">
      <c r="A3712" s="8" t="s">
        <v>54894</v>
      </c>
      <c r="B3712" s="8" t="s">
        <v>57810</v>
      </c>
    </row>
    <row r="3713" spans="1:2" ht="14.5" x14ac:dyDescent="0.35">
      <c r="A3713" s="8" t="s">
        <v>54894</v>
      </c>
      <c r="B3713" s="8" t="s">
        <v>55315</v>
      </c>
    </row>
    <row r="3714" spans="1:2" ht="14.5" x14ac:dyDescent="0.35">
      <c r="A3714" s="8" t="s">
        <v>54894</v>
      </c>
      <c r="B3714" s="8" t="s">
        <v>55686</v>
      </c>
    </row>
    <row r="3715" spans="1:2" ht="14.5" x14ac:dyDescent="0.35">
      <c r="A3715" s="8" t="s">
        <v>54894</v>
      </c>
      <c r="B3715" s="8" t="s">
        <v>57608</v>
      </c>
    </row>
    <row r="3716" spans="1:2" ht="14.5" x14ac:dyDescent="0.35">
      <c r="A3716" s="8" t="s">
        <v>54894</v>
      </c>
      <c r="B3716" s="8" t="s">
        <v>55640</v>
      </c>
    </row>
    <row r="3717" spans="1:2" ht="14.5" x14ac:dyDescent="0.35">
      <c r="A3717" s="8" t="s">
        <v>54894</v>
      </c>
      <c r="B3717" s="8" t="s">
        <v>55174</v>
      </c>
    </row>
    <row r="3718" spans="1:2" ht="14.5" x14ac:dyDescent="0.35">
      <c r="A3718" s="8" t="s">
        <v>54894</v>
      </c>
      <c r="B3718" s="8" t="s">
        <v>55335</v>
      </c>
    </row>
    <row r="3719" spans="1:2" ht="14.5" x14ac:dyDescent="0.35">
      <c r="A3719" s="8" t="s">
        <v>54894</v>
      </c>
      <c r="B3719" s="8" t="s">
        <v>58100</v>
      </c>
    </row>
    <row r="3720" spans="1:2" ht="14.5" x14ac:dyDescent="0.35">
      <c r="A3720" s="8" t="s">
        <v>54894</v>
      </c>
      <c r="B3720" s="8" t="s">
        <v>8147</v>
      </c>
    </row>
    <row r="3721" spans="1:2" ht="14.5" x14ac:dyDescent="0.35">
      <c r="A3721" s="8" t="s">
        <v>54894</v>
      </c>
      <c r="B3721" s="8" t="s">
        <v>55607</v>
      </c>
    </row>
    <row r="3722" spans="1:2" ht="14.5" x14ac:dyDescent="0.35">
      <c r="A3722" s="8" t="s">
        <v>54894</v>
      </c>
      <c r="B3722" s="8" t="s">
        <v>58028</v>
      </c>
    </row>
    <row r="3723" spans="1:2" ht="14.5" x14ac:dyDescent="0.35">
      <c r="A3723" s="8" t="s">
        <v>54894</v>
      </c>
      <c r="B3723" s="8" t="s">
        <v>55599</v>
      </c>
    </row>
    <row r="3724" spans="1:2" ht="14.5" x14ac:dyDescent="0.35">
      <c r="A3724" s="8" t="s">
        <v>54894</v>
      </c>
      <c r="B3724" s="8" t="s">
        <v>58380</v>
      </c>
    </row>
    <row r="3725" spans="1:2" ht="14.5" x14ac:dyDescent="0.35">
      <c r="A3725" s="8" t="s">
        <v>54894</v>
      </c>
      <c r="B3725" s="8" t="s">
        <v>57850</v>
      </c>
    </row>
    <row r="3726" spans="1:2" ht="14.5" x14ac:dyDescent="0.35">
      <c r="A3726" s="8" t="s">
        <v>54894</v>
      </c>
      <c r="B3726" s="8" t="s">
        <v>56311</v>
      </c>
    </row>
    <row r="3727" spans="1:2" ht="14.5" x14ac:dyDescent="0.35">
      <c r="A3727" s="8" t="s">
        <v>54894</v>
      </c>
      <c r="B3727" s="8" t="s">
        <v>57303</v>
      </c>
    </row>
    <row r="3728" spans="1:2" ht="14.5" x14ac:dyDescent="0.35">
      <c r="A3728" s="8" t="s">
        <v>54894</v>
      </c>
      <c r="B3728" s="8" t="s">
        <v>57823</v>
      </c>
    </row>
    <row r="3729" spans="1:2" ht="14.5" x14ac:dyDescent="0.35">
      <c r="A3729" s="8" t="s">
        <v>54894</v>
      </c>
      <c r="B3729" s="8" t="s">
        <v>55039</v>
      </c>
    </row>
    <row r="3730" spans="1:2" ht="14.5" x14ac:dyDescent="0.35">
      <c r="A3730" s="8" t="s">
        <v>54894</v>
      </c>
      <c r="B3730" s="8" t="s">
        <v>55040</v>
      </c>
    </row>
    <row r="3731" spans="1:2" ht="14.5" x14ac:dyDescent="0.35">
      <c r="A3731" s="8" t="s">
        <v>54894</v>
      </c>
      <c r="B3731" s="8" t="s">
        <v>55023</v>
      </c>
    </row>
    <row r="3732" spans="1:2" ht="14.5" x14ac:dyDescent="0.35">
      <c r="A3732" s="8" t="s">
        <v>54894</v>
      </c>
      <c r="B3732" s="8" t="s">
        <v>55041</v>
      </c>
    </row>
    <row r="3733" spans="1:2" ht="14.5" x14ac:dyDescent="0.35">
      <c r="A3733" s="8" t="s">
        <v>54894</v>
      </c>
      <c r="B3733" s="8" t="s">
        <v>55024</v>
      </c>
    </row>
    <row r="3734" spans="1:2" ht="14.5" x14ac:dyDescent="0.35">
      <c r="A3734" s="8" t="s">
        <v>54894</v>
      </c>
      <c r="B3734" s="8" t="s">
        <v>55175</v>
      </c>
    </row>
    <row r="3735" spans="1:2" ht="14.5" x14ac:dyDescent="0.35">
      <c r="A3735" s="8" t="s">
        <v>54894</v>
      </c>
      <c r="B3735" s="8" t="s">
        <v>55791</v>
      </c>
    </row>
    <row r="3736" spans="1:2" ht="14.5" x14ac:dyDescent="0.35">
      <c r="A3736" s="8" t="s">
        <v>54894</v>
      </c>
      <c r="B3736" s="8" t="s">
        <v>55792</v>
      </c>
    </row>
    <row r="3737" spans="1:2" ht="14.5" x14ac:dyDescent="0.35">
      <c r="A3737" s="8" t="s">
        <v>54894</v>
      </c>
      <c r="B3737" s="8" t="s">
        <v>57178</v>
      </c>
    </row>
    <row r="3738" spans="1:2" ht="14.5" x14ac:dyDescent="0.35">
      <c r="A3738" s="8" t="s">
        <v>54894</v>
      </c>
      <c r="B3738" s="8" t="s">
        <v>55793</v>
      </c>
    </row>
    <row r="3739" spans="1:2" ht="14.5" x14ac:dyDescent="0.35">
      <c r="A3739" s="8" t="s">
        <v>54894</v>
      </c>
      <c r="B3739" s="8" t="s">
        <v>55794</v>
      </c>
    </row>
    <row r="3740" spans="1:2" ht="14.5" x14ac:dyDescent="0.35">
      <c r="A3740" s="8" t="s">
        <v>54894</v>
      </c>
      <c r="B3740" s="8" t="s">
        <v>57179</v>
      </c>
    </row>
    <row r="3741" spans="1:2" ht="14.5" x14ac:dyDescent="0.35">
      <c r="A3741" s="8" t="s">
        <v>54894</v>
      </c>
      <c r="B3741" s="8" t="s">
        <v>57180</v>
      </c>
    </row>
    <row r="3742" spans="1:2" ht="14.5" x14ac:dyDescent="0.35">
      <c r="A3742" s="8" t="s">
        <v>54894</v>
      </c>
      <c r="B3742" s="8" t="s">
        <v>57181</v>
      </c>
    </row>
    <row r="3743" spans="1:2" ht="14.5" x14ac:dyDescent="0.35">
      <c r="A3743" s="8" t="s">
        <v>54894</v>
      </c>
      <c r="B3743" s="8" t="s">
        <v>57487</v>
      </c>
    </row>
    <row r="3744" spans="1:2" ht="14.5" x14ac:dyDescent="0.35">
      <c r="A3744" s="8" t="s">
        <v>54894</v>
      </c>
      <c r="B3744" s="8" t="s">
        <v>57487</v>
      </c>
    </row>
    <row r="3745" spans="1:2" ht="14.5" x14ac:dyDescent="0.35">
      <c r="A3745" s="8" t="s">
        <v>54894</v>
      </c>
      <c r="B3745" s="8" t="s">
        <v>56363</v>
      </c>
    </row>
    <row r="3746" spans="1:2" ht="14.5" x14ac:dyDescent="0.35">
      <c r="A3746" s="8" t="s">
        <v>54894</v>
      </c>
      <c r="B3746" s="8" t="s">
        <v>57868</v>
      </c>
    </row>
    <row r="3747" spans="1:2" ht="14.5" x14ac:dyDescent="0.35">
      <c r="A3747" s="8" t="s">
        <v>54894</v>
      </c>
      <c r="B3747" s="8" t="s">
        <v>56639</v>
      </c>
    </row>
    <row r="3748" spans="1:2" ht="14.5" x14ac:dyDescent="0.35">
      <c r="A3748" s="8" t="s">
        <v>54894</v>
      </c>
      <c r="B3748" s="8" t="s">
        <v>56640</v>
      </c>
    </row>
    <row r="3749" spans="1:2" ht="14.5" x14ac:dyDescent="0.35">
      <c r="A3749" s="8" t="s">
        <v>54894</v>
      </c>
      <c r="B3749" s="8" t="s">
        <v>55646</v>
      </c>
    </row>
    <row r="3750" spans="1:2" ht="14.5" x14ac:dyDescent="0.35">
      <c r="A3750" s="8" t="s">
        <v>54894</v>
      </c>
      <c r="B3750" s="8" t="s">
        <v>55647</v>
      </c>
    </row>
    <row r="3751" spans="1:2" ht="14.5" x14ac:dyDescent="0.35">
      <c r="A3751" s="8" t="s">
        <v>54894</v>
      </c>
      <c r="B3751" s="8" t="s">
        <v>56283</v>
      </c>
    </row>
    <row r="3752" spans="1:2" ht="14.5" x14ac:dyDescent="0.35">
      <c r="A3752" s="8" t="s">
        <v>54894</v>
      </c>
      <c r="B3752" s="8" t="s">
        <v>58101</v>
      </c>
    </row>
    <row r="3753" spans="1:2" ht="14.5" x14ac:dyDescent="0.35">
      <c r="A3753" s="8" t="s">
        <v>54894</v>
      </c>
      <c r="B3753" s="8" t="s">
        <v>54975</v>
      </c>
    </row>
    <row r="3754" spans="1:2" ht="14.5" x14ac:dyDescent="0.35">
      <c r="A3754" s="8" t="s">
        <v>54894</v>
      </c>
      <c r="B3754" s="8" t="s">
        <v>58102</v>
      </c>
    </row>
    <row r="3755" spans="1:2" ht="14.5" x14ac:dyDescent="0.35">
      <c r="A3755" s="8" t="s">
        <v>54894</v>
      </c>
      <c r="B3755" s="8" t="s">
        <v>57916</v>
      </c>
    </row>
    <row r="3756" spans="1:2" ht="14.5" x14ac:dyDescent="0.35">
      <c r="A3756" s="8" t="s">
        <v>54894</v>
      </c>
      <c r="B3756" s="8" t="s">
        <v>57766</v>
      </c>
    </row>
    <row r="3757" spans="1:2" ht="14.5" x14ac:dyDescent="0.35">
      <c r="A3757" s="8" t="s">
        <v>54894</v>
      </c>
      <c r="B3757" s="8" t="s">
        <v>56695</v>
      </c>
    </row>
    <row r="3758" spans="1:2" ht="14.5" x14ac:dyDescent="0.35">
      <c r="A3758" s="8" t="s">
        <v>54894</v>
      </c>
      <c r="B3758" s="8" t="s">
        <v>56695</v>
      </c>
    </row>
    <row r="3759" spans="1:2" ht="14.5" x14ac:dyDescent="0.35">
      <c r="A3759" s="8" t="s">
        <v>54894</v>
      </c>
      <c r="B3759" s="8" t="s">
        <v>56695</v>
      </c>
    </row>
    <row r="3760" spans="1:2" ht="14.5" x14ac:dyDescent="0.35">
      <c r="A3760" s="8" t="s">
        <v>54894</v>
      </c>
      <c r="B3760" s="8" t="s">
        <v>56695</v>
      </c>
    </row>
    <row r="3761" spans="1:2" ht="14.5" x14ac:dyDescent="0.35">
      <c r="A3761" s="8" t="s">
        <v>54894</v>
      </c>
      <c r="B3761" s="8" t="s">
        <v>57250</v>
      </c>
    </row>
    <row r="3762" spans="1:2" ht="14.5" x14ac:dyDescent="0.35">
      <c r="A3762" s="8" t="s">
        <v>54894</v>
      </c>
      <c r="B3762" s="8" t="s">
        <v>57428</v>
      </c>
    </row>
    <row r="3763" spans="1:2" ht="14.5" x14ac:dyDescent="0.35">
      <c r="A3763" s="8" t="s">
        <v>54894</v>
      </c>
      <c r="B3763" s="8" t="s">
        <v>57192</v>
      </c>
    </row>
    <row r="3764" spans="1:2" ht="14.5" x14ac:dyDescent="0.35">
      <c r="A3764" s="8" t="s">
        <v>54894</v>
      </c>
      <c r="B3764" s="8" t="s">
        <v>56079</v>
      </c>
    </row>
    <row r="3765" spans="1:2" ht="14.5" x14ac:dyDescent="0.35">
      <c r="A3765" s="8" t="s">
        <v>54894</v>
      </c>
      <c r="B3765" s="8" t="s">
        <v>56080</v>
      </c>
    </row>
    <row r="3766" spans="1:2" ht="14.5" x14ac:dyDescent="0.35">
      <c r="A3766" s="8" t="s">
        <v>54894</v>
      </c>
      <c r="B3766" s="8" t="s">
        <v>56081</v>
      </c>
    </row>
    <row r="3767" spans="1:2" ht="14.5" x14ac:dyDescent="0.35">
      <c r="A3767" s="8" t="s">
        <v>54894</v>
      </c>
      <c r="B3767" s="8" t="s">
        <v>57701</v>
      </c>
    </row>
    <row r="3768" spans="1:2" ht="14.5" x14ac:dyDescent="0.35">
      <c r="A3768" s="8" t="s">
        <v>54894</v>
      </c>
      <c r="B3768" s="8" t="s">
        <v>54989</v>
      </c>
    </row>
    <row r="3769" spans="1:2" ht="14.5" x14ac:dyDescent="0.35">
      <c r="A3769" s="8" t="s">
        <v>54894</v>
      </c>
      <c r="B3769" s="8" t="s">
        <v>54990</v>
      </c>
    </row>
    <row r="3770" spans="1:2" ht="14.5" x14ac:dyDescent="0.35">
      <c r="A3770" s="8" t="s">
        <v>54894</v>
      </c>
      <c r="B3770" s="8" t="s">
        <v>54991</v>
      </c>
    </row>
    <row r="3771" spans="1:2" ht="14.5" x14ac:dyDescent="0.35">
      <c r="A3771" s="8" t="s">
        <v>54894</v>
      </c>
      <c r="B3771" s="8" t="s">
        <v>55551</v>
      </c>
    </row>
    <row r="3772" spans="1:2" ht="14.5" x14ac:dyDescent="0.35">
      <c r="A3772" s="8" t="s">
        <v>54894</v>
      </c>
      <c r="B3772" s="8" t="s">
        <v>57429</v>
      </c>
    </row>
    <row r="3773" spans="1:2" ht="14.5" x14ac:dyDescent="0.35">
      <c r="A3773" s="8" t="s">
        <v>54894</v>
      </c>
      <c r="B3773" s="8" t="s">
        <v>11574</v>
      </c>
    </row>
    <row r="3774" spans="1:2" ht="14.5" x14ac:dyDescent="0.35">
      <c r="A3774" s="8" t="s">
        <v>54894</v>
      </c>
      <c r="B3774" s="8" t="s">
        <v>56258</v>
      </c>
    </row>
    <row r="3775" spans="1:2" ht="14.5" x14ac:dyDescent="0.35">
      <c r="A3775" s="8" t="s">
        <v>54894</v>
      </c>
      <c r="B3775" s="8" t="s">
        <v>58196</v>
      </c>
    </row>
    <row r="3776" spans="1:2" ht="14.5" x14ac:dyDescent="0.35">
      <c r="A3776" s="8" t="s">
        <v>54894</v>
      </c>
      <c r="B3776" s="8" t="s">
        <v>56815</v>
      </c>
    </row>
    <row r="3777" spans="1:2" ht="14.5" x14ac:dyDescent="0.35">
      <c r="A3777" s="8" t="s">
        <v>54894</v>
      </c>
      <c r="B3777" s="8" t="s">
        <v>57682</v>
      </c>
    </row>
    <row r="3778" spans="1:2" ht="14.5" x14ac:dyDescent="0.35">
      <c r="A3778" s="8" t="s">
        <v>54894</v>
      </c>
      <c r="B3778" s="8" t="s">
        <v>57152</v>
      </c>
    </row>
    <row r="3779" spans="1:2" ht="14.5" x14ac:dyDescent="0.35">
      <c r="A3779" s="8" t="s">
        <v>54894</v>
      </c>
      <c r="B3779" s="8" t="s">
        <v>55676</v>
      </c>
    </row>
    <row r="3780" spans="1:2" ht="14.5" x14ac:dyDescent="0.35">
      <c r="A3780" s="8" t="s">
        <v>54894</v>
      </c>
      <c r="B3780" s="8" t="s">
        <v>57979</v>
      </c>
    </row>
    <row r="3781" spans="1:2" ht="14.5" x14ac:dyDescent="0.35">
      <c r="A3781" s="8" t="s">
        <v>54894</v>
      </c>
      <c r="B3781" s="8" t="s">
        <v>55506</v>
      </c>
    </row>
    <row r="3782" spans="1:2" ht="14.5" x14ac:dyDescent="0.35">
      <c r="A3782" s="8" t="s">
        <v>54894</v>
      </c>
      <c r="B3782" s="8" t="s">
        <v>55507</v>
      </c>
    </row>
    <row r="3783" spans="1:2" ht="14.5" x14ac:dyDescent="0.35">
      <c r="A3783" s="8" t="s">
        <v>54894</v>
      </c>
      <c r="B3783" s="8" t="s">
        <v>55501</v>
      </c>
    </row>
    <row r="3784" spans="1:2" ht="14.5" x14ac:dyDescent="0.35">
      <c r="A3784" s="8" t="s">
        <v>54894</v>
      </c>
      <c r="B3784" s="8" t="s">
        <v>56816</v>
      </c>
    </row>
    <row r="3785" spans="1:2" ht="14.5" x14ac:dyDescent="0.35">
      <c r="A3785" s="8" t="s">
        <v>54894</v>
      </c>
      <c r="B3785" s="8" t="s">
        <v>55641</v>
      </c>
    </row>
    <row r="3786" spans="1:2" ht="14.5" x14ac:dyDescent="0.35">
      <c r="A3786" s="8" t="s">
        <v>54894</v>
      </c>
      <c r="B3786" s="8" t="s">
        <v>58019</v>
      </c>
    </row>
    <row r="3787" spans="1:2" ht="14.5" x14ac:dyDescent="0.35">
      <c r="A3787" s="8" t="s">
        <v>54894</v>
      </c>
      <c r="B3787" s="8" t="s">
        <v>4456</v>
      </c>
    </row>
    <row r="3788" spans="1:2" ht="14.5" x14ac:dyDescent="0.35">
      <c r="A3788" s="8" t="s">
        <v>54894</v>
      </c>
      <c r="B3788" s="8" t="s">
        <v>4456</v>
      </c>
    </row>
    <row r="3789" spans="1:2" ht="14.5" x14ac:dyDescent="0.35">
      <c r="A3789" s="8" t="s">
        <v>54894</v>
      </c>
      <c r="B3789" s="8" t="s">
        <v>56817</v>
      </c>
    </row>
    <row r="3790" spans="1:2" ht="14.5" x14ac:dyDescent="0.35">
      <c r="A3790" s="8" t="s">
        <v>54894</v>
      </c>
      <c r="B3790" s="8" t="s">
        <v>56818</v>
      </c>
    </row>
    <row r="3791" spans="1:2" ht="14.5" x14ac:dyDescent="0.35">
      <c r="A3791" s="8" t="s">
        <v>54894</v>
      </c>
      <c r="B3791" s="8" t="s">
        <v>56819</v>
      </c>
    </row>
    <row r="3792" spans="1:2" ht="14.5" x14ac:dyDescent="0.35">
      <c r="A3792" s="8" t="s">
        <v>54894</v>
      </c>
      <c r="B3792" s="8" t="s">
        <v>56820</v>
      </c>
    </row>
    <row r="3793" spans="1:2" ht="14.5" x14ac:dyDescent="0.35">
      <c r="A3793" s="8" t="s">
        <v>54894</v>
      </c>
      <c r="B3793" s="8" t="s">
        <v>56821</v>
      </c>
    </row>
    <row r="3794" spans="1:2" ht="14.5" x14ac:dyDescent="0.35">
      <c r="A3794" s="8" t="s">
        <v>54894</v>
      </c>
      <c r="B3794" s="8" t="s">
        <v>56822</v>
      </c>
    </row>
    <row r="3795" spans="1:2" ht="14.5" x14ac:dyDescent="0.35">
      <c r="A3795" s="8" t="s">
        <v>54894</v>
      </c>
      <c r="B3795" s="8" t="s">
        <v>58374</v>
      </c>
    </row>
    <row r="3796" spans="1:2" ht="14.5" x14ac:dyDescent="0.35">
      <c r="A3796" s="8" t="s">
        <v>54894</v>
      </c>
      <c r="B3796" s="8" t="s">
        <v>56823</v>
      </c>
    </row>
    <row r="3797" spans="1:2" ht="14.5" x14ac:dyDescent="0.35">
      <c r="A3797" s="8" t="s">
        <v>54894</v>
      </c>
      <c r="B3797" s="8" t="s">
        <v>58197</v>
      </c>
    </row>
    <row r="3798" spans="1:2" ht="14.5" x14ac:dyDescent="0.35">
      <c r="A3798" s="8" t="s">
        <v>54894</v>
      </c>
      <c r="B3798" s="8" t="s">
        <v>56824</v>
      </c>
    </row>
    <row r="3799" spans="1:2" ht="14.5" x14ac:dyDescent="0.35">
      <c r="A3799" s="8" t="s">
        <v>54894</v>
      </c>
      <c r="B3799" s="8" t="s">
        <v>56825</v>
      </c>
    </row>
    <row r="3800" spans="1:2" ht="14.5" x14ac:dyDescent="0.35">
      <c r="A3800" s="8" t="s">
        <v>54894</v>
      </c>
      <c r="B3800" s="8" t="s">
        <v>58198</v>
      </c>
    </row>
    <row r="3801" spans="1:2" ht="14.5" x14ac:dyDescent="0.35">
      <c r="A3801" s="8" t="s">
        <v>54894</v>
      </c>
      <c r="B3801" s="8" t="s">
        <v>57205</v>
      </c>
    </row>
    <row r="3802" spans="1:2" ht="14.5" x14ac:dyDescent="0.35">
      <c r="A3802" s="8" t="s">
        <v>54894</v>
      </c>
      <c r="B3802" s="8" t="s">
        <v>57193</v>
      </c>
    </row>
    <row r="3803" spans="1:2" ht="14.5" x14ac:dyDescent="0.35">
      <c r="A3803" s="8" t="s">
        <v>54894</v>
      </c>
      <c r="B3803" s="8" t="s">
        <v>56284</v>
      </c>
    </row>
    <row r="3804" spans="1:2" ht="14.5" x14ac:dyDescent="0.35">
      <c r="A3804" s="8" t="s">
        <v>54894</v>
      </c>
      <c r="B3804" s="8" t="s">
        <v>56285</v>
      </c>
    </row>
    <row r="3805" spans="1:2" ht="14.5" x14ac:dyDescent="0.35">
      <c r="A3805" s="8" t="s">
        <v>54894</v>
      </c>
      <c r="B3805" s="8" t="s">
        <v>56975</v>
      </c>
    </row>
    <row r="3806" spans="1:2" ht="14.5" x14ac:dyDescent="0.35">
      <c r="A3806" s="8" t="s">
        <v>54894</v>
      </c>
      <c r="B3806" s="8" t="s">
        <v>57304</v>
      </c>
    </row>
    <row r="3807" spans="1:2" ht="14.5" x14ac:dyDescent="0.35">
      <c r="A3807" s="8" t="s">
        <v>54894</v>
      </c>
      <c r="B3807" s="8" t="s">
        <v>57513</v>
      </c>
    </row>
    <row r="3808" spans="1:2" ht="14.5" x14ac:dyDescent="0.35">
      <c r="A3808" s="8" t="s">
        <v>54894</v>
      </c>
      <c r="B3808" s="8" t="s">
        <v>56683</v>
      </c>
    </row>
    <row r="3809" spans="1:2" ht="14.5" x14ac:dyDescent="0.35">
      <c r="A3809" s="8" t="s">
        <v>54894</v>
      </c>
      <c r="B3809" s="8" t="s">
        <v>58342</v>
      </c>
    </row>
    <row r="3810" spans="1:2" ht="14.5" x14ac:dyDescent="0.35">
      <c r="A3810" s="8" t="s">
        <v>54894</v>
      </c>
      <c r="B3810" s="8" t="s">
        <v>55293</v>
      </c>
    </row>
    <row r="3811" spans="1:2" ht="14.5" x14ac:dyDescent="0.35">
      <c r="A3811" s="8" t="s">
        <v>54894</v>
      </c>
      <c r="B3811" s="8" t="s">
        <v>56387</v>
      </c>
    </row>
    <row r="3812" spans="1:2" ht="14.5" x14ac:dyDescent="0.35">
      <c r="A3812" s="8" t="s">
        <v>54894</v>
      </c>
      <c r="B3812" s="8" t="s">
        <v>56388</v>
      </c>
    </row>
    <row r="3813" spans="1:2" ht="14.5" x14ac:dyDescent="0.35">
      <c r="A3813" s="8" t="s">
        <v>54894</v>
      </c>
      <c r="B3813" s="8" t="s">
        <v>58343</v>
      </c>
    </row>
    <row r="3814" spans="1:2" ht="14.5" x14ac:dyDescent="0.35">
      <c r="A3814" s="8" t="s">
        <v>54894</v>
      </c>
      <c r="B3814" s="8" t="s">
        <v>57896</v>
      </c>
    </row>
    <row r="3815" spans="1:2" ht="14.5" x14ac:dyDescent="0.35">
      <c r="A3815" s="8" t="s">
        <v>54894</v>
      </c>
      <c r="B3815" s="8" t="s">
        <v>58344</v>
      </c>
    </row>
    <row r="3816" spans="1:2" ht="14.5" x14ac:dyDescent="0.35">
      <c r="A3816" s="8" t="s">
        <v>54894</v>
      </c>
      <c r="B3816" s="8" t="s">
        <v>57816</v>
      </c>
    </row>
    <row r="3817" spans="1:2" ht="14.5" x14ac:dyDescent="0.35">
      <c r="A3817" s="8" t="s">
        <v>54894</v>
      </c>
      <c r="B3817" s="8" t="s">
        <v>54898</v>
      </c>
    </row>
    <row r="3818" spans="1:2" ht="14.5" x14ac:dyDescent="0.35">
      <c r="A3818" s="8" t="s">
        <v>54894</v>
      </c>
      <c r="B3818" s="8" t="s">
        <v>56218</v>
      </c>
    </row>
    <row r="3819" spans="1:2" ht="14.5" x14ac:dyDescent="0.35">
      <c r="A3819" s="8" t="s">
        <v>54894</v>
      </c>
      <c r="B3819" s="8" t="s">
        <v>56218</v>
      </c>
    </row>
    <row r="3820" spans="1:2" ht="14.5" x14ac:dyDescent="0.35">
      <c r="A3820" s="8" t="s">
        <v>54894</v>
      </c>
      <c r="B3820" s="8" t="s">
        <v>56218</v>
      </c>
    </row>
    <row r="3821" spans="1:2" ht="14.5" x14ac:dyDescent="0.35">
      <c r="A3821" s="8" t="s">
        <v>54894</v>
      </c>
      <c r="B3821" s="8" t="s">
        <v>58221</v>
      </c>
    </row>
    <row r="3822" spans="1:2" ht="14.5" x14ac:dyDescent="0.35">
      <c r="A3822" s="8" t="s">
        <v>54894</v>
      </c>
      <c r="B3822" s="8" t="s">
        <v>57609</v>
      </c>
    </row>
    <row r="3823" spans="1:2" ht="14.5" x14ac:dyDescent="0.35">
      <c r="A3823" s="8" t="s">
        <v>54894</v>
      </c>
      <c r="B3823" s="8" t="s">
        <v>56389</v>
      </c>
    </row>
    <row r="3824" spans="1:2" ht="14.5" x14ac:dyDescent="0.35">
      <c r="A3824" s="8" t="s">
        <v>54894</v>
      </c>
      <c r="B3824" s="8" t="s">
        <v>55561</v>
      </c>
    </row>
    <row r="3825" spans="1:2" ht="14.5" x14ac:dyDescent="0.35">
      <c r="A3825" s="8" t="s">
        <v>54894</v>
      </c>
      <c r="B3825" s="8" t="s">
        <v>55562</v>
      </c>
    </row>
    <row r="3826" spans="1:2" ht="14.5" x14ac:dyDescent="0.35">
      <c r="A3826" s="8" t="s">
        <v>54894</v>
      </c>
      <c r="B3826" s="8" t="s">
        <v>55663</v>
      </c>
    </row>
    <row r="3827" spans="1:2" ht="14.5" x14ac:dyDescent="0.35">
      <c r="A3827" s="8" t="s">
        <v>54894</v>
      </c>
      <c r="B3827" s="8" t="s">
        <v>55642</v>
      </c>
    </row>
    <row r="3828" spans="1:2" ht="14.5" x14ac:dyDescent="0.35">
      <c r="A3828" s="8" t="s">
        <v>54894</v>
      </c>
      <c r="B3828" s="8" t="s">
        <v>58222</v>
      </c>
    </row>
    <row r="3829" spans="1:2" ht="14.5" x14ac:dyDescent="0.35">
      <c r="A3829" s="8" t="s">
        <v>54894</v>
      </c>
      <c r="B3829" s="8" t="s">
        <v>56082</v>
      </c>
    </row>
    <row r="3830" spans="1:2" ht="14.5" x14ac:dyDescent="0.35">
      <c r="A3830" s="8" t="s">
        <v>54894</v>
      </c>
      <c r="B3830" s="8" t="s">
        <v>57972</v>
      </c>
    </row>
    <row r="3831" spans="1:2" ht="14.5" x14ac:dyDescent="0.35">
      <c r="A3831" s="8" t="s">
        <v>54894</v>
      </c>
      <c r="B3831" s="8" t="s">
        <v>57111</v>
      </c>
    </row>
    <row r="3832" spans="1:2" ht="14.5" x14ac:dyDescent="0.35">
      <c r="A3832" s="8" t="s">
        <v>54894</v>
      </c>
      <c r="B3832" s="8" t="s">
        <v>55743</v>
      </c>
    </row>
    <row r="3833" spans="1:2" ht="14.5" x14ac:dyDescent="0.35">
      <c r="A3833" s="8" t="s">
        <v>54894</v>
      </c>
      <c r="B3833" s="8" t="s">
        <v>55587</v>
      </c>
    </row>
    <row r="3834" spans="1:2" ht="14.5" x14ac:dyDescent="0.35">
      <c r="A3834" s="8" t="s">
        <v>54894</v>
      </c>
      <c r="B3834" s="8" t="s">
        <v>55645</v>
      </c>
    </row>
    <row r="3835" spans="1:2" ht="14.5" x14ac:dyDescent="0.35">
      <c r="A3835" s="8" t="s">
        <v>54894</v>
      </c>
      <c r="B3835" s="8" t="s">
        <v>58103</v>
      </c>
    </row>
    <row r="3836" spans="1:2" ht="14.5" x14ac:dyDescent="0.35">
      <c r="A3836" s="8" t="s">
        <v>54894</v>
      </c>
      <c r="B3836" s="8" t="s">
        <v>55471</v>
      </c>
    </row>
    <row r="3837" spans="1:2" ht="14.5" x14ac:dyDescent="0.35">
      <c r="A3837" s="8" t="s">
        <v>54894</v>
      </c>
      <c r="B3837" s="8" t="s">
        <v>58175</v>
      </c>
    </row>
    <row r="3838" spans="1:2" ht="14.5" x14ac:dyDescent="0.35">
      <c r="A3838" s="8" t="s">
        <v>54894</v>
      </c>
      <c r="B3838" s="8" t="s">
        <v>55979</v>
      </c>
    </row>
    <row r="3839" spans="1:2" ht="14.5" x14ac:dyDescent="0.35">
      <c r="A3839" s="8" t="s">
        <v>54894</v>
      </c>
      <c r="B3839" s="8" t="s">
        <v>56460</v>
      </c>
    </row>
    <row r="3840" spans="1:2" ht="14.5" x14ac:dyDescent="0.35">
      <c r="A3840" s="8" t="s">
        <v>54894</v>
      </c>
      <c r="B3840" s="8" t="s">
        <v>56461</v>
      </c>
    </row>
    <row r="3841" spans="1:2" ht="14.5" x14ac:dyDescent="0.35">
      <c r="A3841" s="8" t="s">
        <v>54894</v>
      </c>
      <c r="B3841" s="8" t="s">
        <v>56606</v>
      </c>
    </row>
    <row r="3842" spans="1:2" ht="14.5" x14ac:dyDescent="0.35">
      <c r="A3842" s="8" t="s">
        <v>54894</v>
      </c>
      <c r="B3842" s="8" t="s">
        <v>56083</v>
      </c>
    </row>
    <row r="3843" spans="1:2" ht="14.5" x14ac:dyDescent="0.35">
      <c r="A3843" s="8" t="s">
        <v>54894</v>
      </c>
      <c r="B3843" s="8" t="s">
        <v>55481</v>
      </c>
    </row>
    <row r="3844" spans="1:2" ht="14.5" x14ac:dyDescent="0.35">
      <c r="A3844" s="8" t="s">
        <v>54894</v>
      </c>
      <c r="B3844" s="8" t="s">
        <v>55715</v>
      </c>
    </row>
    <row r="3845" spans="1:2" ht="14.5" x14ac:dyDescent="0.35">
      <c r="A3845" s="8" t="s">
        <v>54894</v>
      </c>
      <c r="B3845" s="8" t="s">
        <v>58273</v>
      </c>
    </row>
    <row r="3846" spans="1:2" ht="14.5" x14ac:dyDescent="0.35">
      <c r="A3846" s="8" t="s">
        <v>54894</v>
      </c>
      <c r="B3846" s="8" t="s">
        <v>54909</v>
      </c>
    </row>
    <row r="3847" spans="1:2" ht="14.5" x14ac:dyDescent="0.35">
      <c r="A3847" s="8" t="s">
        <v>54894</v>
      </c>
      <c r="B3847" s="8" t="s">
        <v>57878</v>
      </c>
    </row>
    <row r="3848" spans="1:2" ht="14.5" x14ac:dyDescent="0.35">
      <c r="A3848" s="8" t="s">
        <v>54894</v>
      </c>
      <c r="B3848" s="8" t="s">
        <v>58104</v>
      </c>
    </row>
    <row r="3849" spans="1:2" ht="14.5" x14ac:dyDescent="0.35">
      <c r="A3849" s="8" t="s">
        <v>54894</v>
      </c>
      <c r="B3849" s="8" t="s">
        <v>54971</v>
      </c>
    </row>
    <row r="3850" spans="1:2" ht="14.5" x14ac:dyDescent="0.35">
      <c r="A3850" s="8" t="s">
        <v>54894</v>
      </c>
      <c r="B3850" s="8" t="s">
        <v>4501</v>
      </c>
    </row>
    <row r="3851" spans="1:2" ht="14.5" x14ac:dyDescent="0.35">
      <c r="A3851" s="8" t="s">
        <v>54894</v>
      </c>
      <c r="B3851" s="8" t="s">
        <v>56471</v>
      </c>
    </row>
    <row r="3852" spans="1:2" ht="14.5" x14ac:dyDescent="0.35">
      <c r="A3852" s="8" t="s">
        <v>54894</v>
      </c>
      <c r="B3852" s="8" t="s">
        <v>57078</v>
      </c>
    </row>
    <row r="3853" spans="1:2" ht="14.5" x14ac:dyDescent="0.35">
      <c r="A3853" s="8" t="s">
        <v>54894</v>
      </c>
      <c r="B3853" s="8" t="s">
        <v>57157</v>
      </c>
    </row>
    <row r="3854" spans="1:2" ht="14.5" x14ac:dyDescent="0.35">
      <c r="A3854" s="8" t="s">
        <v>54894</v>
      </c>
      <c r="B3854" s="8" t="s">
        <v>57277</v>
      </c>
    </row>
    <row r="3855" spans="1:2" ht="14.5" x14ac:dyDescent="0.35">
      <c r="A3855" s="8" t="s">
        <v>54894</v>
      </c>
      <c r="B3855" s="8" t="s">
        <v>56615</v>
      </c>
    </row>
    <row r="3856" spans="1:2" ht="14.5" x14ac:dyDescent="0.35">
      <c r="A3856" s="8" t="s">
        <v>54894</v>
      </c>
      <c r="B3856" s="8" t="s">
        <v>56156</v>
      </c>
    </row>
    <row r="3857" spans="1:2" ht="14.5" x14ac:dyDescent="0.35">
      <c r="A3857" s="8" t="s">
        <v>54894</v>
      </c>
      <c r="B3857" s="8" t="s">
        <v>58105</v>
      </c>
    </row>
    <row r="3858" spans="1:2" ht="14.5" x14ac:dyDescent="0.35">
      <c r="A3858" s="8" t="s">
        <v>54894</v>
      </c>
      <c r="B3858" s="8" t="s">
        <v>56312</v>
      </c>
    </row>
    <row r="3859" spans="1:2" ht="14.5" x14ac:dyDescent="0.35">
      <c r="A3859" s="8" t="s">
        <v>54894</v>
      </c>
      <c r="B3859" s="8" t="s">
        <v>56247</v>
      </c>
    </row>
    <row r="3860" spans="1:2" ht="14.5" x14ac:dyDescent="0.35">
      <c r="A3860" s="8" t="s">
        <v>54894</v>
      </c>
      <c r="B3860" s="8" t="s">
        <v>56219</v>
      </c>
    </row>
    <row r="3861" spans="1:2" ht="14.5" x14ac:dyDescent="0.35">
      <c r="A3861" s="8" t="s">
        <v>54894</v>
      </c>
      <c r="B3861" s="8" t="s">
        <v>57767</v>
      </c>
    </row>
    <row r="3862" spans="1:2" ht="14.5" x14ac:dyDescent="0.35">
      <c r="A3862" s="8" t="s">
        <v>54894</v>
      </c>
      <c r="B3862" s="8" t="s">
        <v>56220</v>
      </c>
    </row>
    <row r="3863" spans="1:2" ht="14.5" x14ac:dyDescent="0.35">
      <c r="A3863" s="8" t="s">
        <v>54894</v>
      </c>
      <c r="B3863" s="8" t="s">
        <v>55944</v>
      </c>
    </row>
    <row r="3864" spans="1:2" ht="14.5" x14ac:dyDescent="0.35">
      <c r="A3864" s="8" t="s">
        <v>54894</v>
      </c>
      <c r="B3864" s="8" t="s">
        <v>56826</v>
      </c>
    </row>
    <row r="3865" spans="1:2" ht="14.5" x14ac:dyDescent="0.35">
      <c r="A3865" s="8" t="s">
        <v>54894</v>
      </c>
      <c r="B3865" s="8" t="s">
        <v>57791</v>
      </c>
    </row>
    <row r="3866" spans="1:2" ht="14.5" x14ac:dyDescent="0.35">
      <c r="A3866" s="8" t="s">
        <v>54894</v>
      </c>
      <c r="B3866" s="8" t="s">
        <v>56488</v>
      </c>
    </row>
    <row r="3867" spans="1:2" ht="14.5" x14ac:dyDescent="0.35">
      <c r="A3867" s="8" t="s">
        <v>54894</v>
      </c>
      <c r="B3867" s="8" t="s">
        <v>57163</v>
      </c>
    </row>
    <row r="3868" spans="1:2" ht="14.5" x14ac:dyDescent="0.35">
      <c r="A3868" s="8" t="s">
        <v>54894</v>
      </c>
      <c r="B3868" s="8" t="s">
        <v>57132</v>
      </c>
    </row>
    <row r="3869" spans="1:2" ht="14.5" x14ac:dyDescent="0.35">
      <c r="A3869" s="8" t="s">
        <v>54894</v>
      </c>
      <c r="B3869" s="8" t="s">
        <v>54896</v>
      </c>
    </row>
    <row r="3870" spans="1:2" ht="14.5" x14ac:dyDescent="0.35">
      <c r="A3870" s="8" t="s">
        <v>54894</v>
      </c>
      <c r="B3870" s="8" t="s">
        <v>58291</v>
      </c>
    </row>
    <row r="3871" spans="1:2" ht="14.5" x14ac:dyDescent="0.35">
      <c r="A3871" s="8" t="s">
        <v>54894</v>
      </c>
      <c r="B3871" s="8" t="s">
        <v>57731</v>
      </c>
    </row>
    <row r="3872" spans="1:2" ht="14.5" x14ac:dyDescent="0.35">
      <c r="A3872" s="8" t="s">
        <v>54894</v>
      </c>
      <c r="B3872" s="8" t="s">
        <v>56084</v>
      </c>
    </row>
    <row r="3873" spans="1:2" ht="14.5" x14ac:dyDescent="0.35">
      <c r="A3873" s="8" t="s">
        <v>54894</v>
      </c>
      <c r="B3873" s="8" t="s">
        <v>55176</v>
      </c>
    </row>
    <row r="3874" spans="1:2" ht="14.5" x14ac:dyDescent="0.35">
      <c r="A3874" s="8" t="s">
        <v>54894</v>
      </c>
      <c r="B3874" s="8" t="s">
        <v>57009</v>
      </c>
    </row>
    <row r="3875" spans="1:2" ht="14.5" x14ac:dyDescent="0.35">
      <c r="A3875" s="8" t="s">
        <v>54894</v>
      </c>
      <c r="B3875" s="8" t="s">
        <v>56827</v>
      </c>
    </row>
    <row r="3876" spans="1:2" ht="14.5" x14ac:dyDescent="0.35">
      <c r="A3876" s="8" t="s">
        <v>54894</v>
      </c>
      <c r="B3876" s="8" t="s">
        <v>55225</v>
      </c>
    </row>
    <row r="3877" spans="1:2" ht="14.5" x14ac:dyDescent="0.35">
      <c r="A3877" s="8" t="s">
        <v>54894</v>
      </c>
      <c r="B3877" s="8" t="s">
        <v>7577</v>
      </c>
    </row>
    <row r="3878" spans="1:2" ht="14.5" x14ac:dyDescent="0.35">
      <c r="A3878" s="8" t="s">
        <v>54894</v>
      </c>
      <c r="B3878" s="8" t="s">
        <v>55226</v>
      </c>
    </row>
    <row r="3879" spans="1:2" ht="14.5" x14ac:dyDescent="0.35">
      <c r="A3879" s="8" t="s">
        <v>54894</v>
      </c>
      <c r="B3879" s="8" t="s">
        <v>57514</v>
      </c>
    </row>
    <row r="3880" spans="1:2" ht="14.5" x14ac:dyDescent="0.35">
      <c r="A3880" s="8" t="s">
        <v>54894</v>
      </c>
      <c r="B3880" s="8" t="s">
        <v>57251</v>
      </c>
    </row>
    <row r="3881" spans="1:2" ht="14.5" x14ac:dyDescent="0.35">
      <c r="A3881" s="8" t="s">
        <v>54894</v>
      </c>
      <c r="B3881" s="8" t="s">
        <v>57676</v>
      </c>
    </row>
    <row r="3882" spans="1:2" ht="14.5" x14ac:dyDescent="0.35">
      <c r="A3882" s="8" t="s">
        <v>54894</v>
      </c>
      <c r="B3882" s="8" t="s">
        <v>56514</v>
      </c>
    </row>
    <row r="3883" spans="1:2" ht="14.5" x14ac:dyDescent="0.35">
      <c r="A3883" s="8" t="s">
        <v>54894</v>
      </c>
      <c r="B3883" s="8" t="s">
        <v>55001</v>
      </c>
    </row>
    <row r="3884" spans="1:2" ht="14.5" x14ac:dyDescent="0.35">
      <c r="A3884" s="8" t="s">
        <v>54894</v>
      </c>
      <c r="B3884" s="8" t="s">
        <v>56532</v>
      </c>
    </row>
    <row r="3885" spans="1:2" ht="14.5" x14ac:dyDescent="0.35">
      <c r="A3885" s="8" t="s">
        <v>54894</v>
      </c>
      <c r="B3885" s="8" t="s">
        <v>56533</v>
      </c>
    </row>
    <row r="3886" spans="1:2" ht="14.5" x14ac:dyDescent="0.35">
      <c r="A3886" s="8" t="s">
        <v>54894</v>
      </c>
      <c r="B3886" s="8" t="s">
        <v>57739</v>
      </c>
    </row>
    <row r="3887" spans="1:2" ht="14.5" x14ac:dyDescent="0.35">
      <c r="A3887" s="8" t="s">
        <v>54894</v>
      </c>
      <c r="B3887" s="8" t="s">
        <v>57740</v>
      </c>
    </row>
    <row r="3888" spans="1:2" ht="14.5" x14ac:dyDescent="0.35">
      <c r="A3888" s="8" t="s">
        <v>54894</v>
      </c>
      <c r="B3888" s="8" t="s">
        <v>57216</v>
      </c>
    </row>
    <row r="3889" spans="1:2" ht="14.5" x14ac:dyDescent="0.35">
      <c r="A3889" s="8" t="s">
        <v>54894</v>
      </c>
      <c r="B3889" s="8" t="s">
        <v>57217</v>
      </c>
    </row>
    <row r="3890" spans="1:2" ht="14.5" x14ac:dyDescent="0.35">
      <c r="A3890" s="8" t="s">
        <v>54894</v>
      </c>
      <c r="B3890" s="8" t="s">
        <v>56329</v>
      </c>
    </row>
    <row r="3891" spans="1:2" ht="14.5" x14ac:dyDescent="0.35">
      <c r="A3891" s="8" t="s">
        <v>54894</v>
      </c>
      <c r="B3891" s="8" t="s">
        <v>56330</v>
      </c>
    </row>
    <row r="3892" spans="1:2" ht="14.5" x14ac:dyDescent="0.35">
      <c r="A3892" s="8" t="s">
        <v>54894</v>
      </c>
      <c r="B3892" s="8" t="s">
        <v>57935</v>
      </c>
    </row>
    <row r="3893" spans="1:2" ht="14.5" x14ac:dyDescent="0.35">
      <c r="A3893" s="8" t="s">
        <v>54894</v>
      </c>
      <c r="B3893" s="8" t="s">
        <v>55005</v>
      </c>
    </row>
    <row r="3894" spans="1:2" ht="14.5" x14ac:dyDescent="0.35">
      <c r="A3894" s="8" t="s">
        <v>54894</v>
      </c>
      <c r="B3894" s="8" t="s">
        <v>57929</v>
      </c>
    </row>
    <row r="3895" spans="1:2" ht="14.5" x14ac:dyDescent="0.35">
      <c r="A3895" s="8" t="s">
        <v>54894</v>
      </c>
      <c r="B3895" s="8" t="s">
        <v>56498</v>
      </c>
    </row>
    <row r="3896" spans="1:2" ht="14.5" x14ac:dyDescent="0.35">
      <c r="A3896" s="8" t="s">
        <v>54894</v>
      </c>
      <c r="B3896" s="8" t="s">
        <v>57329</v>
      </c>
    </row>
    <row r="3897" spans="1:2" ht="14.5" x14ac:dyDescent="0.35">
      <c r="A3897" s="8" t="s">
        <v>54894</v>
      </c>
      <c r="B3897" s="8" t="s">
        <v>56828</v>
      </c>
    </row>
    <row r="3898" spans="1:2" ht="14.5" x14ac:dyDescent="0.35">
      <c r="A3898" s="8" t="s">
        <v>54894</v>
      </c>
      <c r="B3898" s="8" t="s">
        <v>58292</v>
      </c>
    </row>
    <row r="3899" spans="1:2" ht="14.5" x14ac:dyDescent="0.35">
      <c r="A3899" s="8" t="s">
        <v>54894</v>
      </c>
      <c r="B3899" s="8" t="s">
        <v>57995</v>
      </c>
    </row>
    <row r="3900" spans="1:2" ht="14.5" x14ac:dyDescent="0.35">
      <c r="A3900" s="8" t="s">
        <v>54894</v>
      </c>
      <c r="B3900" s="8" t="s">
        <v>55939</v>
      </c>
    </row>
    <row r="3901" spans="1:2" ht="14.5" x14ac:dyDescent="0.35">
      <c r="A3901" s="8" t="s">
        <v>54894</v>
      </c>
      <c r="B3901" s="8" t="s">
        <v>55730</v>
      </c>
    </row>
    <row r="3902" spans="1:2" ht="14.5" x14ac:dyDescent="0.35">
      <c r="A3902" s="8" t="s">
        <v>54894</v>
      </c>
      <c r="B3902" s="8" t="s">
        <v>57980</v>
      </c>
    </row>
    <row r="3903" spans="1:2" ht="14.5" x14ac:dyDescent="0.35">
      <c r="A3903" s="8" t="s">
        <v>54894</v>
      </c>
      <c r="B3903" s="8" t="s">
        <v>58260</v>
      </c>
    </row>
    <row r="3904" spans="1:2" ht="14.5" x14ac:dyDescent="0.35">
      <c r="A3904" s="8" t="s">
        <v>54894</v>
      </c>
      <c r="B3904" s="8" t="s">
        <v>58323</v>
      </c>
    </row>
    <row r="3905" spans="1:2" ht="14.5" x14ac:dyDescent="0.35">
      <c r="A3905" s="8" t="s">
        <v>54894</v>
      </c>
      <c r="B3905" s="8" t="s">
        <v>55584</v>
      </c>
    </row>
    <row r="3906" spans="1:2" ht="14.5" x14ac:dyDescent="0.35">
      <c r="A3906" s="8" t="s">
        <v>54894</v>
      </c>
      <c r="B3906" s="8" t="s">
        <v>57079</v>
      </c>
    </row>
    <row r="3907" spans="1:2" ht="14.5" x14ac:dyDescent="0.35">
      <c r="A3907" s="8" t="s">
        <v>54894</v>
      </c>
      <c r="B3907" s="8" t="s">
        <v>57133</v>
      </c>
    </row>
    <row r="3908" spans="1:2" ht="14.5" x14ac:dyDescent="0.35">
      <c r="A3908" s="8" t="s">
        <v>54894</v>
      </c>
      <c r="B3908" s="8" t="s">
        <v>56428</v>
      </c>
    </row>
    <row r="3909" spans="1:2" ht="14.5" x14ac:dyDescent="0.35">
      <c r="A3909" s="8" t="s">
        <v>54894</v>
      </c>
      <c r="B3909" s="8" t="s">
        <v>56006</v>
      </c>
    </row>
    <row r="3910" spans="1:2" ht="14.5" x14ac:dyDescent="0.35">
      <c r="A3910" s="8" t="s">
        <v>54894</v>
      </c>
      <c r="B3910" s="8" t="s">
        <v>56429</v>
      </c>
    </row>
    <row r="3911" spans="1:2" ht="14.5" x14ac:dyDescent="0.35">
      <c r="A3911" s="8" t="s">
        <v>54894</v>
      </c>
      <c r="B3911" s="8" t="s">
        <v>56693</v>
      </c>
    </row>
    <row r="3912" spans="1:2" ht="14.5" x14ac:dyDescent="0.35">
      <c r="A3912" s="8" t="s">
        <v>54894</v>
      </c>
      <c r="B3912" s="8" t="s">
        <v>57749</v>
      </c>
    </row>
    <row r="3913" spans="1:2" ht="14.5" x14ac:dyDescent="0.35">
      <c r="A3913" s="8" t="s">
        <v>54894</v>
      </c>
      <c r="B3913" s="8" t="s">
        <v>57750</v>
      </c>
    </row>
    <row r="3914" spans="1:2" ht="14.5" x14ac:dyDescent="0.35">
      <c r="A3914" s="8" t="s">
        <v>54894</v>
      </c>
      <c r="B3914" s="8" t="s">
        <v>57751</v>
      </c>
    </row>
    <row r="3915" spans="1:2" ht="14.5" x14ac:dyDescent="0.35">
      <c r="A3915" s="8" t="s">
        <v>54894</v>
      </c>
      <c r="B3915" s="8" t="s">
        <v>57752</v>
      </c>
    </row>
    <row r="3916" spans="1:2" ht="14.5" x14ac:dyDescent="0.35">
      <c r="A3916" s="8" t="s">
        <v>54894</v>
      </c>
      <c r="B3916" s="8" t="s">
        <v>55956</v>
      </c>
    </row>
    <row r="3917" spans="1:2" ht="14.5" x14ac:dyDescent="0.35">
      <c r="A3917" s="8" t="s">
        <v>54894</v>
      </c>
      <c r="B3917" s="8" t="s">
        <v>55956</v>
      </c>
    </row>
    <row r="3918" spans="1:2" ht="14.5" x14ac:dyDescent="0.35">
      <c r="A3918" s="8" t="s">
        <v>54894</v>
      </c>
      <c r="B3918" s="8" t="s">
        <v>55956</v>
      </c>
    </row>
    <row r="3919" spans="1:2" ht="14.5" x14ac:dyDescent="0.35">
      <c r="A3919" s="8" t="s">
        <v>54894</v>
      </c>
      <c r="B3919" s="8" t="s">
        <v>55956</v>
      </c>
    </row>
    <row r="3920" spans="1:2" ht="14.5" x14ac:dyDescent="0.35">
      <c r="A3920" s="8" t="s">
        <v>54894</v>
      </c>
      <c r="B3920" s="8" t="s">
        <v>55956</v>
      </c>
    </row>
    <row r="3921" spans="1:2" ht="14.5" x14ac:dyDescent="0.35">
      <c r="A3921" s="8" t="s">
        <v>54894</v>
      </c>
      <c r="B3921" s="8" t="s">
        <v>55956</v>
      </c>
    </row>
    <row r="3922" spans="1:2" ht="14.5" x14ac:dyDescent="0.35">
      <c r="A3922" s="8" t="s">
        <v>54894</v>
      </c>
      <c r="B3922" s="8" t="s">
        <v>57320</v>
      </c>
    </row>
    <row r="3923" spans="1:2" ht="14.5" x14ac:dyDescent="0.35">
      <c r="A3923" s="8" t="s">
        <v>54894</v>
      </c>
      <c r="B3923" s="8" t="s">
        <v>57330</v>
      </c>
    </row>
    <row r="3924" spans="1:2" ht="14.5" x14ac:dyDescent="0.35">
      <c r="A3924" s="8" t="s">
        <v>54894</v>
      </c>
      <c r="B3924" s="8" t="s">
        <v>56313</v>
      </c>
    </row>
    <row r="3925" spans="1:2" ht="14.5" x14ac:dyDescent="0.35">
      <c r="A3925" s="8" t="s">
        <v>54894</v>
      </c>
      <c r="B3925" s="8" t="s">
        <v>57851</v>
      </c>
    </row>
    <row r="3926" spans="1:2" ht="14.5" x14ac:dyDescent="0.35">
      <c r="A3926" s="8" t="s">
        <v>54894</v>
      </c>
      <c r="B3926" s="8" t="s">
        <v>56976</v>
      </c>
    </row>
    <row r="3927" spans="1:2" ht="14.5" x14ac:dyDescent="0.35">
      <c r="A3927" s="8" t="s">
        <v>54894</v>
      </c>
      <c r="B3927" s="8" t="s">
        <v>57817</v>
      </c>
    </row>
    <row r="3928" spans="1:2" ht="14.5" x14ac:dyDescent="0.35">
      <c r="A3928" s="8" t="s">
        <v>54894</v>
      </c>
      <c r="B3928" s="8" t="s">
        <v>56406</v>
      </c>
    </row>
    <row r="3929" spans="1:2" ht="14.5" x14ac:dyDescent="0.35">
      <c r="A3929" s="8" t="s">
        <v>54894</v>
      </c>
      <c r="B3929" s="8" t="s">
        <v>57321</v>
      </c>
    </row>
    <row r="3930" spans="1:2" ht="14.5" x14ac:dyDescent="0.35">
      <c r="A3930" s="8" t="s">
        <v>54894</v>
      </c>
      <c r="B3930" s="8" t="s">
        <v>56477</v>
      </c>
    </row>
    <row r="3931" spans="1:2" ht="14.5" x14ac:dyDescent="0.35">
      <c r="A3931" s="8" t="s">
        <v>54894</v>
      </c>
      <c r="B3931" s="8" t="s">
        <v>56489</v>
      </c>
    </row>
    <row r="3932" spans="1:2" ht="14.5" x14ac:dyDescent="0.35">
      <c r="A3932" s="8" t="s">
        <v>54894</v>
      </c>
      <c r="B3932" s="8" t="s">
        <v>57897</v>
      </c>
    </row>
    <row r="3933" spans="1:2" ht="14.5" x14ac:dyDescent="0.35">
      <c r="A3933" s="8" t="s">
        <v>54894</v>
      </c>
      <c r="B3933" s="8" t="s">
        <v>56578</v>
      </c>
    </row>
    <row r="3934" spans="1:2" ht="14.5" x14ac:dyDescent="0.35">
      <c r="A3934" s="8" t="s">
        <v>54894</v>
      </c>
      <c r="B3934" s="8" t="s">
        <v>57996</v>
      </c>
    </row>
    <row r="3935" spans="1:2" ht="14.5" x14ac:dyDescent="0.35">
      <c r="A3935" s="8" t="s">
        <v>54894</v>
      </c>
      <c r="B3935" s="8" t="s">
        <v>57741</v>
      </c>
    </row>
    <row r="3936" spans="1:2" ht="14.5" x14ac:dyDescent="0.35">
      <c r="A3936" s="8" t="s">
        <v>54894</v>
      </c>
      <c r="B3936" s="8" t="s">
        <v>57741</v>
      </c>
    </row>
    <row r="3937" spans="1:2" ht="14.5" x14ac:dyDescent="0.35">
      <c r="A3937" s="8" t="s">
        <v>54894</v>
      </c>
      <c r="B3937" s="8" t="s">
        <v>56627</v>
      </c>
    </row>
    <row r="3938" spans="1:2" ht="14.5" x14ac:dyDescent="0.35">
      <c r="A3938" s="8" t="s">
        <v>54894</v>
      </c>
      <c r="B3938" s="8" t="s">
        <v>56628</v>
      </c>
    </row>
    <row r="3939" spans="1:2" ht="14.5" x14ac:dyDescent="0.35">
      <c r="A3939" s="8" t="s">
        <v>54894</v>
      </c>
      <c r="B3939" s="8" t="s">
        <v>55964</v>
      </c>
    </row>
    <row r="3940" spans="1:2" ht="14.5" x14ac:dyDescent="0.35">
      <c r="A3940" s="8" t="s">
        <v>54894</v>
      </c>
      <c r="B3940" s="8" t="s">
        <v>56221</v>
      </c>
    </row>
    <row r="3941" spans="1:2" ht="14.5" x14ac:dyDescent="0.35">
      <c r="A3941" s="8" t="s">
        <v>54894</v>
      </c>
      <c r="B3941" s="8" t="s">
        <v>58274</v>
      </c>
    </row>
    <row r="3942" spans="1:2" ht="14.5" x14ac:dyDescent="0.35">
      <c r="A3942" s="8" t="s">
        <v>54894</v>
      </c>
      <c r="B3942" s="8" t="s">
        <v>58274</v>
      </c>
    </row>
    <row r="3943" spans="1:2" ht="14.5" x14ac:dyDescent="0.35">
      <c r="A3943" s="8" t="s">
        <v>54894</v>
      </c>
      <c r="B3943" s="8" t="s">
        <v>57907</v>
      </c>
    </row>
    <row r="3944" spans="1:2" ht="14.5" x14ac:dyDescent="0.35">
      <c r="A3944" s="8" t="s">
        <v>54894</v>
      </c>
      <c r="B3944" s="8" t="s">
        <v>57369</v>
      </c>
    </row>
    <row r="3945" spans="1:2" ht="14.5" x14ac:dyDescent="0.35">
      <c r="A3945" s="8" t="s">
        <v>54894</v>
      </c>
      <c r="B3945" s="8" t="s">
        <v>57971</v>
      </c>
    </row>
    <row r="3946" spans="1:2" ht="14.5" x14ac:dyDescent="0.35">
      <c r="A3946" s="8" t="s">
        <v>54894</v>
      </c>
      <c r="B3946" s="8" t="s">
        <v>58314</v>
      </c>
    </row>
    <row r="3947" spans="1:2" ht="14.5" x14ac:dyDescent="0.35">
      <c r="A3947" s="8" t="s">
        <v>54894</v>
      </c>
      <c r="B3947" s="8" t="s">
        <v>58315</v>
      </c>
    </row>
    <row r="3948" spans="1:2" ht="14.5" x14ac:dyDescent="0.35">
      <c r="A3948" s="8" t="s">
        <v>54894</v>
      </c>
      <c r="B3948" s="8" t="s">
        <v>58316</v>
      </c>
    </row>
    <row r="3949" spans="1:2" ht="14.5" x14ac:dyDescent="0.35">
      <c r="A3949" s="8" t="s">
        <v>54894</v>
      </c>
      <c r="B3949" s="8" t="s">
        <v>56177</v>
      </c>
    </row>
    <row r="3950" spans="1:2" ht="14.5" x14ac:dyDescent="0.35">
      <c r="A3950" s="8" t="s">
        <v>54894</v>
      </c>
      <c r="B3950" s="8" t="s">
        <v>56690</v>
      </c>
    </row>
    <row r="3951" spans="1:2" ht="14.5" x14ac:dyDescent="0.35">
      <c r="A3951" s="8" t="s">
        <v>54894</v>
      </c>
      <c r="B3951" s="8" t="s">
        <v>57610</v>
      </c>
    </row>
    <row r="3952" spans="1:2" ht="14.5" x14ac:dyDescent="0.35">
      <c r="A3952" s="8" t="s">
        <v>54894</v>
      </c>
      <c r="B3952" s="8" t="s">
        <v>55309</v>
      </c>
    </row>
    <row r="3953" spans="1:2" ht="14.5" x14ac:dyDescent="0.35">
      <c r="A3953" s="8" t="s">
        <v>54894</v>
      </c>
      <c r="B3953" s="8" t="s">
        <v>55227</v>
      </c>
    </row>
    <row r="3954" spans="1:2" ht="14.5" x14ac:dyDescent="0.35">
      <c r="A3954" s="8" t="s">
        <v>54894</v>
      </c>
      <c r="B3954" s="8" t="s">
        <v>56222</v>
      </c>
    </row>
    <row r="3955" spans="1:2" ht="14.5" x14ac:dyDescent="0.35">
      <c r="A3955" s="8" t="s">
        <v>54894</v>
      </c>
      <c r="B3955" s="8" t="s">
        <v>58381</v>
      </c>
    </row>
    <row r="3956" spans="1:2" ht="14.5" x14ac:dyDescent="0.35">
      <c r="A3956" s="8" t="s">
        <v>54894</v>
      </c>
      <c r="B3956" s="8" t="s">
        <v>57356</v>
      </c>
    </row>
    <row r="3957" spans="1:2" ht="14.5" x14ac:dyDescent="0.35">
      <c r="A3957" s="8" t="s">
        <v>54894</v>
      </c>
      <c r="B3957" s="8" t="s">
        <v>56268</v>
      </c>
    </row>
    <row r="3958" spans="1:2" ht="14.5" x14ac:dyDescent="0.35">
      <c r="A3958" s="8" t="s">
        <v>54894</v>
      </c>
      <c r="B3958" s="8" t="s">
        <v>56269</v>
      </c>
    </row>
    <row r="3959" spans="1:2" ht="14.5" x14ac:dyDescent="0.35">
      <c r="A3959" s="8" t="s">
        <v>54894</v>
      </c>
      <c r="B3959" s="8" t="s">
        <v>55957</v>
      </c>
    </row>
    <row r="3960" spans="1:2" ht="14.5" x14ac:dyDescent="0.35">
      <c r="A3960" s="8" t="s">
        <v>54894</v>
      </c>
      <c r="B3960" s="8" t="s">
        <v>55958</v>
      </c>
    </row>
    <row r="3961" spans="1:2" ht="14.5" x14ac:dyDescent="0.35">
      <c r="A3961" s="8" t="s">
        <v>54894</v>
      </c>
      <c r="B3961" s="8" t="s">
        <v>58106</v>
      </c>
    </row>
    <row r="3962" spans="1:2" ht="14.5" x14ac:dyDescent="0.35">
      <c r="A3962" s="8" t="s">
        <v>54894</v>
      </c>
      <c r="B3962" s="8" t="s">
        <v>57539</v>
      </c>
    </row>
    <row r="3963" spans="1:2" ht="14.5" x14ac:dyDescent="0.35">
      <c r="A3963" s="8" t="s">
        <v>54894</v>
      </c>
      <c r="B3963" s="8" t="s">
        <v>55754</v>
      </c>
    </row>
    <row r="3964" spans="1:2" ht="14.5" x14ac:dyDescent="0.35">
      <c r="A3964" s="8" t="s">
        <v>54894</v>
      </c>
      <c r="B3964" s="8" t="s">
        <v>57611</v>
      </c>
    </row>
    <row r="3965" spans="1:2" ht="14.5" x14ac:dyDescent="0.35">
      <c r="A3965" s="8" t="s">
        <v>54894</v>
      </c>
      <c r="B3965" s="8" t="s">
        <v>58176</v>
      </c>
    </row>
    <row r="3966" spans="1:2" ht="14.5" x14ac:dyDescent="0.35">
      <c r="A3966" s="8" t="s">
        <v>54894</v>
      </c>
      <c r="B3966" s="8" t="s">
        <v>55573</v>
      </c>
    </row>
    <row r="3967" spans="1:2" ht="14.5" x14ac:dyDescent="0.35">
      <c r="A3967" s="8" t="s">
        <v>54894</v>
      </c>
      <c r="B3967" s="8" t="s">
        <v>56829</v>
      </c>
    </row>
    <row r="3968" spans="1:2" ht="14.5" x14ac:dyDescent="0.35">
      <c r="A3968" s="8" t="s">
        <v>54894</v>
      </c>
      <c r="B3968" s="8" t="s">
        <v>56007</v>
      </c>
    </row>
    <row r="3969" spans="1:2" ht="14.5" x14ac:dyDescent="0.35">
      <c r="A3969" s="8" t="s">
        <v>54894</v>
      </c>
      <c r="B3969" s="8" t="s">
        <v>56008</v>
      </c>
    </row>
    <row r="3970" spans="1:2" ht="14.5" x14ac:dyDescent="0.35">
      <c r="A3970" s="8" t="s">
        <v>54894</v>
      </c>
      <c r="B3970" s="8" t="s">
        <v>56472</v>
      </c>
    </row>
    <row r="3971" spans="1:2" ht="14.5" x14ac:dyDescent="0.35">
      <c r="A3971" s="8" t="s">
        <v>54894</v>
      </c>
      <c r="B3971" s="8" t="s">
        <v>58255</v>
      </c>
    </row>
    <row r="3972" spans="1:2" ht="14.5" x14ac:dyDescent="0.35">
      <c r="A3972" s="8" t="s">
        <v>54894</v>
      </c>
      <c r="B3972" s="8" t="s">
        <v>57997</v>
      </c>
    </row>
    <row r="3973" spans="1:2" ht="14.5" x14ac:dyDescent="0.35">
      <c r="A3973" s="8" t="s">
        <v>54894</v>
      </c>
      <c r="B3973" s="8" t="s">
        <v>56085</v>
      </c>
    </row>
    <row r="3974" spans="1:2" ht="14.5" x14ac:dyDescent="0.35">
      <c r="A3974" s="8" t="s">
        <v>54894</v>
      </c>
      <c r="B3974" s="8" t="s">
        <v>55525</v>
      </c>
    </row>
    <row r="3975" spans="1:2" ht="14.5" x14ac:dyDescent="0.35">
      <c r="A3975" s="8" t="s">
        <v>54894</v>
      </c>
      <c r="B3975" s="8" t="s">
        <v>58107</v>
      </c>
    </row>
    <row r="3976" spans="1:2" ht="14.5" x14ac:dyDescent="0.35">
      <c r="A3976" s="8" t="s">
        <v>54894</v>
      </c>
      <c r="B3976" s="8" t="s">
        <v>57023</v>
      </c>
    </row>
    <row r="3977" spans="1:2" ht="14.5" x14ac:dyDescent="0.35">
      <c r="A3977" s="8" t="s">
        <v>54894</v>
      </c>
      <c r="B3977" s="8" t="s">
        <v>58339</v>
      </c>
    </row>
    <row r="3978" spans="1:2" ht="14.5" x14ac:dyDescent="0.35">
      <c r="A3978" s="8" t="s">
        <v>54894</v>
      </c>
      <c r="B3978" s="8" t="s">
        <v>55912</v>
      </c>
    </row>
    <row r="3979" spans="1:2" ht="14.5" x14ac:dyDescent="0.35">
      <c r="A3979" s="8" t="s">
        <v>54894</v>
      </c>
      <c r="B3979" s="8" t="s">
        <v>55952</v>
      </c>
    </row>
    <row r="3980" spans="1:2" ht="14.5" x14ac:dyDescent="0.35">
      <c r="A3980" s="8" t="s">
        <v>54894</v>
      </c>
      <c r="B3980" s="8" t="s">
        <v>57612</v>
      </c>
    </row>
    <row r="3981" spans="1:2" ht="14.5" x14ac:dyDescent="0.35">
      <c r="A3981" s="8" t="s">
        <v>54894</v>
      </c>
      <c r="B3981" s="8" t="s">
        <v>55478</v>
      </c>
    </row>
    <row r="3982" spans="1:2" ht="14.5" x14ac:dyDescent="0.35">
      <c r="A3982" s="8" t="s">
        <v>54894</v>
      </c>
      <c r="B3982" s="8" t="s">
        <v>57698</v>
      </c>
    </row>
    <row r="3983" spans="1:2" ht="14.5" x14ac:dyDescent="0.35">
      <c r="A3983" s="8" t="s">
        <v>54894</v>
      </c>
      <c r="B3983" s="8" t="s">
        <v>55795</v>
      </c>
    </row>
    <row r="3984" spans="1:2" ht="14.5" x14ac:dyDescent="0.35">
      <c r="A3984" s="8" t="s">
        <v>54894</v>
      </c>
      <c r="B3984" s="8" t="s">
        <v>55264</v>
      </c>
    </row>
    <row r="3985" spans="1:2" ht="14.5" x14ac:dyDescent="0.35">
      <c r="A3985" s="8" t="s">
        <v>54894</v>
      </c>
      <c r="B3985" s="8" t="s">
        <v>58161</v>
      </c>
    </row>
    <row r="3986" spans="1:2" ht="14.5" x14ac:dyDescent="0.35">
      <c r="A3986" s="8" t="s">
        <v>54894</v>
      </c>
      <c r="B3986" s="8" t="s">
        <v>57695</v>
      </c>
    </row>
    <row r="3987" spans="1:2" ht="14.5" x14ac:dyDescent="0.35">
      <c r="A3987" s="8" t="s">
        <v>54894</v>
      </c>
      <c r="B3987" s="8" t="s">
        <v>57695</v>
      </c>
    </row>
    <row r="3988" spans="1:2" ht="14.5" x14ac:dyDescent="0.35">
      <c r="A3988" s="8" t="s">
        <v>54894</v>
      </c>
      <c r="B3988" s="8" t="s">
        <v>57754</v>
      </c>
    </row>
    <row r="3989" spans="1:2" ht="14.5" x14ac:dyDescent="0.35">
      <c r="A3989" s="8" t="s">
        <v>54894</v>
      </c>
      <c r="B3989" s="8" t="s">
        <v>55274</v>
      </c>
    </row>
    <row r="3990" spans="1:2" ht="14.5" x14ac:dyDescent="0.35">
      <c r="A3990" s="8" t="s">
        <v>54894</v>
      </c>
      <c r="B3990" s="8" t="s">
        <v>55361</v>
      </c>
    </row>
    <row r="3991" spans="1:2" ht="14.5" x14ac:dyDescent="0.35">
      <c r="A3991" s="8" t="s">
        <v>54894</v>
      </c>
      <c r="B3991" s="8" t="s">
        <v>55362</v>
      </c>
    </row>
    <row r="3992" spans="1:2" ht="14.5" x14ac:dyDescent="0.35">
      <c r="A3992" s="8" t="s">
        <v>54894</v>
      </c>
      <c r="B3992" s="8" t="s">
        <v>55363</v>
      </c>
    </row>
    <row r="3993" spans="1:2" ht="14.5" x14ac:dyDescent="0.35">
      <c r="A3993" s="8" t="s">
        <v>54894</v>
      </c>
      <c r="B3993" s="8" t="s">
        <v>55364</v>
      </c>
    </row>
    <row r="3994" spans="1:2" ht="14.5" x14ac:dyDescent="0.35">
      <c r="A3994" s="8" t="s">
        <v>54894</v>
      </c>
      <c r="B3994" s="8" t="s">
        <v>55365</v>
      </c>
    </row>
    <row r="3995" spans="1:2" ht="14.5" x14ac:dyDescent="0.35">
      <c r="A3995" s="8" t="s">
        <v>54894</v>
      </c>
      <c r="B3995" s="8" t="s">
        <v>55366</v>
      </c>
    </row>
    <row r="3996" spans="1:2" ht="14.5" x14ac:dyDescent="0.35">
      <c r="A3996" s="8" t="s">
        <v>54894</v>
      </c>
      <c r="B3996" s="8" t="s">
        <v>55367</v>
      </c>
    </row>
    <row r="3997" spans="1:2" ht="14.5" x14ac:dyDescent="0.35">
      <c r="A3997" s="8" t="s">
        <v>54894</v>
      </c>
      <c r="B3997" s="8" t="s">
        <v>55368</v>
      </c>
    </row>
    <row r="3998" spans="1:2" ht="14.5" x14ac:dyDescent="0.35">
      <c r="A3998" s="8" t="s">
        <v>54894</v>
      </c>
      <c r="B3998" s="8" t="s">
        <v>55369</v>
      </c>
    </row>
    <row r="3999" spans="1:2" ht="14.5" x14ac:dyDescent="0.35">
      <c r="A3999" s="8" t="s">
        <v>54894</v>
      </c>
      <c r="B3999" s="8" t="s">
        <v>55370</v>
      </c>
    </row>
    <row r="4000" spans="1:2" ht="14.5" x14ac:dyDescent="0.35">
      <c r="A4000" s="8" t="s">
        <v>54894</v>
      </c>
      <c r="B4000" s="8" t="s">
        <v>55371</v>
      </c>
    </row>
    <row r="4001" spans="1:2" ht="14.5" x14ac:dyDescent="0.35">
      <c r="A4001" s="8" t="s">
        <v>54894</v>
      </c>
      <c r="B4001" s="8" t="s">
        <v>55372</v>
      </c>
    </row>
    <row r="4002" spans="1:2" ht="14.5" x14ac:dyDescent="0.35">
      <c r="A4002" s="8" t="s">
        <v>54894</v>
      </c>
      <c r="B4002" s="8" t="s">
        <v>55373</v>
      </c>
    </row>
    <row r="4003" spans="1:2" ht="14.5" x14ac:dyDescent="0.35">
      <c r="A4003" s="8" t="s">
        <v>54894</v>
      </c>
      <c r="B4003" s="8" t="s">
        <v>55374</v>
      </c>
    </row>
    <row r="4004" spans="1:2" ht="14.5" x14ac:dyDescent="0.35">
      <c r="A4004" s="8" t="s">
        <v>54894</v>
      </c>
      <c r="B4004" s="8" t="s">
        <v>55375</v>
      </c>
    </row>
    <row r="4005" spans="1:2" ht="14.5" x14ac:dyDescent="0.35">
      <c r="A4005" s="8" t="s">
        <v>54894</v>
      </c>
      <c r="B4005" s="8" t="s">
        <v>55376</v>
      </c>
    </row>
    <row r="4006" spans="1:2" ht="14.5" x14ac:dyDescent="0.35">
      <c r="A4006" s="8" t="s">
        <v>54894</v>
      </c>
      <c r="B4006" s="8" t="s">
        <v>55377</v>
      </c>
    </row>
    <row r="4007" spans="1:2" ht="14.5" x14ac:dyDescent="0.35">
      <c r="A4007" s="8" t="s">
        <v>54894</v>
      </c>
      <c r="B4007" s="8" t="s">
        <v>55378</v>
      </c>
    </row>
    <row r="4008" spans="1:2" ht="14.5" x14ac:dyDescent="0.35">
      <c r="A4008" s="8" t="s">
        <v>54894</v>
      </c>
      <c r="B4008" s="8" t="s">
        <v>55379</v>
      </c>
    </row>
    <row r="4009" spans="1:2" ht="14.5" x14ac:dyDescent="0.35">
      <c r="A4009" s="8" t="s">
        <v>54894</v>
      </c>
      <c r="B4009" s="8" t="s">
        <v>55380</v>
      </c>
    </row>
    <row r="4010" spans="1:2" ht="14.5" x14ac:dyDescent="0.35">
      <c r="A4010" s="8" t="s">
        <v>54894</v>
      </c>
      <c r="B4010" s="8" t="s">
        <v>55381</v>
      </c>
    </row>
    <row r="4011" spans="1:2" ht="14.5" x14ac:dyDescent="0.35">
      <c r="A4011" s="8" t="s">
        <v>54894</v>
      </c>
      <c r="B4011" s="8" t="s">
        <v>55382</v>
      </c>
    </row>
    <row r="4012" spans="1:2" ht="14.5" x14ac:dyDescent="0.35">
      <c r="A4012" s="8" t="s">
        <v>54894</v>
      </c>
      <c r="B4012" s="8" t="s">
        <v>55383</v>
      </c>
    </row>
    <row r="4013" spans="1:2" ht="14.5" x14ac:dyDescent="0.35">
      <c r="A4013" s="8" t="s">
        <v>54894</v>
      </c>
      <c r="B4013" s="8" t="s">
        <v>55384</v>
      </c>
    </row>
    <row r="4014" spans="1:2" ht="14.5" x14ac:dyDescent="0.35">
      <c r="A4014" s="8" t="s">
        <v>54894</v>
      </c>
      <c r="B4014" s="8" t="s">
        <v>55385</v>
      </c>
    </row>
    <row r="4015" spans="1:2" ht="14.5" x14ac:dyDescent="0.35">
      <c r="A4015" s="8" t="s">
        <v>54894</v>
      </c>
      <c r="B4015" s="8" t="s">
        <v>55386</v>
      </c>
    </row>
    <row r="4016" spans="1:2" ht="14.5" x14ac:dyDescent="0.35">
      <c r="A4016" s="8" t="s">
        <v>54894</v>
      </c>
      <c r="B4016" s="8" t="s">
        <v>55387</v>
      </c>
    </row>
    <row r="4017" spans="1:2" ht="14.5" x14ac:dyDescent="0.35">
      <c r="A4017" s="8" t="s">
        <v>54894</v>
      </c>
      <c r="B4017" s="8" t="s">
        <v>55388</v>
      </c>
    </row>
    <row r="4018" spans="1:2" ht="14.5" x14ac:dyDescent="0.35">
      <c r="A4018" s="8" t="s">
        <v>54894</v>
      </c>
      <c r="B4018" s="8" t="s">
        <v>55389</v>
      </c>
    </row>
    <row r="4019" spans="1:2" ht="14.5" x14ac:dyDescent="0.35">
      <c r="A4019" s="8" t="s">
        <v>54894</v>
      </c>
      <c r="B4019" s="8" t="s">
        <v>55390</v>
      </c>
    </row>
    <row r="4020" spans="1:2" ht="14.5" x14ac:dyDescent="0.35">
      <c r="A4020" s="8" t="s">
        <v>54894</v>
      </c>
      <c r="B4020" s="8" t="s">
        <v>55391</v>
      </c>
    </row>
    <row r="4021" spans="1:2" ht="14.5" x14ac:dyDescent="0.35">
      <c r="A4021" s="8" t="s">
        <v>54894</v>
      </c>
      <c r="B4021" s="8" t="s">
        <v>55392</v>
      </c>
    </row>
    <row r="4022" spans="1:2" ht="14.5" x14ac:dyDescent="0.35">
      <c r="A4022" s="8" t="s">
        <v>54894</v>
      </c>
      <c r="B4022" s="8" t="s">
        <v>55393</v>
      </c>
    </row>
    <row r="4023" spans="1:2" ht="14.5" x14ac:dyDescent="0.35">
      <c r="A4023" s="8" t="s">
        <v>54894</v>
      </c>
      <c r="B4023" s="8" t="s">
        <v>55394</v>
      </c>
    </row>
    <row r="4024" spans="1:2" ht="14.5" x14ac:dyDescent="0.35">
      <c r="A4024" s="8" t="s">
        <v>54894</v>
      </c>
      <c r="B4024" s="8" t="s">
        <v>55395</v>
      </c>
    </row>
    <row r="4025" spans="1:2" ht="14.5" x14ac:dyDescent="0.35">
      <c r="A4025" s="8" t="s">
        <v>54894</v>
      </c>
      <c r="B4025" s="8" t="s">
        <v>57717</v>
      </c>
    </row>
    <row r="4026" spans="1:2" ht="14.5" x14ac:dyDescent="0.35">
      <c r="A4026" s="8" t="s">
        <v>54894</v>
      </c>
      <c r="B4026" s="8" t="s">
        <v>57718</v>
      </c>
    </row>
    <row r="4027" spans="1:2" ht="14.5" x14ac:dyDescent="0.35">
      <c r="A4027" s="8" t="s">
        <v>54894</v>
      </c>
      <c r="B4027" s="8" t="s">
        <v>55608</v>
      </c>
    </row>
    <row r="4028" spans="1:2" ht="14.5" x14ac:dyDescent="0.35">
      <c r="A4028" s="8" t="s">
        <v>54894</v>
      </c>
      <c r="B4028" s="8" t="s">
        <v>55609</v>
      </c>
    </row>
    <row r="4029" spans="1:2" ht="14.5" x14ac:dyDescent="0.35">
      <c r="A4029" s="8" t="s">
        <v>54894</v>
      </c>
      <c r="B4029" s="8" t="s">
        <v>57768</v>
      </c>
    </row>
    <row r="4030" spans="1:2" ht="14.5" x14ac:dyDescent="0.35">
      <c r="A4030" s="8" t="s">
        <v>54894</v>
      </c>
      <c r="B4030" s="8" t="s">
        <v>57370</v>
      </c>
    </row>
    <row r="4031" spans="1:2" ht="14.5" x14ac:dyDescent="0.35">
      <c r="A4031" s="8" t="s">
        <v>54894</v>
      </c>
      <c r="B4031" s="8" t="s">
        <v>57891</v>
      </c>
    </row>
    <row r="4032" spans="1:2" ht="14.5" x14ac:dyDescent="0.35">
      <c r="A4032" s="8" t="s">
        <v>54894</v>
      </c>
      <c r="B4032" s="8" t="s">
        <v>57613</v>
      </c>
    </row>
    <row r="4033" spans="1:2" ht="14.5" x14ac:dyDescent="0.35">
      <c r="A4033" s="8" t="s">
        <v>54894</v>
      </c>
      <c r="B4033" s="8" t="s">
        <v>56371</v>
      </c>
    </row>
    <row r="4034" spans="1:2" ht="14.5" x14ac:dyDescent="0.35">
      <c r="A4034" s="8" t="s">
        <v>54894</v>
      </c>
      <c r="B4034" s="8" t="s">
        <v>57501</v>
      </c>
    </row>
    <row r="4035" spans="1:2" ht="14.5" x14ac:dyDescent="0.35">
      <c r="A4035" s="8" t="s">
        <v>54894</v>
      </c>
      <c r="B4035" s="8" t="s">
        <v>57549</v>
      </c>
    </row>
    <row r="4036" spans="1:2" ht="14.5" x14ac:dyDescent="0.35">
      <c r="A4036" s="8" t="s">
        <v>54894</v>
      </c>
      <c r="B4036" s="8" t="s">
        <v>57550</v>
      </c>
    </row>
    <row r="4037" spans="1:2" ht="14.5" x14ac:dyDescent="0.35">
      <c r="A4037" s="8" t="s">
        <v>54894</v>
      </c>
      <c r="B4037" s="8" t="s">
        <v>56623</v>
      </c>
    </row>
    <row r="4038" spans="1:2" ht="14.5" x14ac:dyDescent="0.35">
      <c r="A4038" s="8" t="s">
        <v>54894</v>
      </c>
      <c r="B4038" s="8" t="s">
        <v>56649</v>
      </c>
    </row>
    <row r="4039" spans="1:2" ht="14.5" x14ac:dyDescent="0.35">
      <c r="A4039" s="8" t="s">
        <v>54894</v>
      </c>
      <c r="B4039" s="8" t="s">
        <v>56650</v>
      </c>
    </row>
    <row r="4040" spans="1:2" ht="14.5" x14ac:dyDescent="0.35">
      <c r="A4040" s="8" t="s">
        <v>54894</v>
      </c>
      <c r="B4040" s="8" t="s">
        <v>56560</v>
      </c>
    </row>
    <row r="4041" spans="1:2" ht="14.5" x14ac:dyDescent="0.35">
      <c r="A4041" s="8" t="s">
        <v>54894</v>
      </c>
      <c r="B4041" s="8" t="s">
        <v>56561</v>
      </c>
    </row>
    <row r="4042" spans="1:2" ht="14.5" x14ac:dyDescent="0.35">
      <c r="A4042" s="8" t="s">
        <v>54894</v>
      </c>
      <c r="B4042" s="8" t="s">
        <v>57818</v>
      </c>
    </row>
    <row r="4043" spans="1:2" ht="14.5" x14ac:dyDescent="0.35">
      <c r="A4043" s="8" t="s">
        <v>54894</v>
      </c>
      <c r="B4043" s="8" t="s">
        <v>57551</v>
      </c>
    </row>
    <row r="4044" spans="1:2" ht="14.5" x14ac:dyDescent="0.35">
      <c r="A4044" s="8" t="s">
        <v>54894</v>
      </c>
      <c r="B4044" s="8" t="s">
        <v>57383</v>
      </c>
    </row>
    <row r="4045" spans="1:2" ht="14.5" x14ac:dyDescent="0.35">
      <c r="A4045" s="8" t="s">
        <v>54894</v>
      </c>
      <c r="B4045" s="8" t="s">
        <v>57010</v>
      </c>
    </row>
    <row r="4046" spans="1:2" ht="14.5" x14ac:dyDescent="0.35">
      <c r="A4046" s="8" t="s">
        <v>54894</v>
      </c>
      <c r="B4046" s="8" t="s">
        <v>55242</v>
      </c>
    </row>
    <row r="4047" spans="1:2" ht="14.5" x14ac:dyDescent="0.35">
      <c r="A4047" s="8" t="s">
        <v>54894</v>
      </c>
      <c r="B4047" s="8" t="s">
        <v>56462</v>
      </c>
    </row>
    <row r="4048" spans="1:2" ht="14.5" x14ac:dyDescent="0.35">
      <c r="A4048" s="8" t="s">
        <v>54894</v>
      </c>
      <c r="B4048" s="8" t="s">
        <v>56463</v>
      </c>
    </row>
    <row r="4049" spans="1:2" ht="14.5" x14ac:dyDescent="0.35">
      <c r="A4049" s="8" t="s">
        <v>54894</v>
      </c>
      <c r="B4049" s="8" t="s">
        <v>55588</v>
      </c>
    </row>
    <row r="4050" spans="1:2" ht="14.5" x14ac:dyDescent="0.35">
      <c r="A4050" s="8" t="s">
        <v>54894</v>
      </c>
      <c r="B4050" s="8" t="s">
        <v>57824</v>
      </c>
    </row>
    <row r="4051" spans="1:2" ht="14.5" x14ac:dyDescent="0.35">
      <c r="A4051" s="8" t="s">
        <v>54894</v>
      </c>
      <c r="B4051" s="8" t="s">
        <v>54941</v>
      </c>
    </row>
    <row r="4052" spans="1:2" ht="14.5" x14ac:dyDescent="0.35">
      <c r="A4052" s="8" t="s">
        <v>54894</v>
      </c>
      <c r="B4052" s="8" t="s">
        <v>56830</v>
      </c>
    </row>
    <row r="4053" spans="1:2" ht="14.5" x14ac:dyDescent="0.35">
      <c r="A4053" s="8" t="s">
        <v>54894</v>
      </c>
      <c r="B4053" s="8" t="s">
        <v>56831</v>
      </c>
    </row>
    <row r="4054" spans="1:2" ht="14.5" x14ac:dyDescent="0.35">
      <c r="A4054" s="8" t="s">
        <v>54894</v>
      </c>
      <c r="B4054" s="8" t="s">
        <v>56832</v>
      </c>
    </row>
    <row r="4055" spans="1:2" ht="14.5" x14ac:dyDescent="0.35">
      <c r="A4055" s="8" t="s">
        <v>54894</v>
      </c>
      <c r="B4055" s="8" t="s">
        <v>56833</v>
      </c>
    </row>
    <row r="4056" spans="1:2" ht="14.5" x14ac:dyDescent="0.35">
      <c r="A4056" s="8" t="s">
        <v>54894</v>
      </c>
      <c r="B4056" s="8" t="s">
        <v>56834</v>
      </c>
    </row>
    <row r="4057" spans="1:2" ht="14.5" x14ac:dyDescent="0.35">
      <c r="A4057" s="8" t="s">
        <v>54894</v>
      </c>
      <c r="B4057" s="8" t="s">
        <v>58108</v>
      </c>
    </row>
    <row r="4058" spans="1:2" ht="14.5" x14ac:dyDescent="0.35">
      <c r="A4058" s="8" t="s">
        <v>54894</v>
      </c>
      <c r="B4058" s="8" t="s">
        <v>55929</v>
      </c>
    </row>
    <row r="4059" spans="1:2" ht="14.5" x14ac:dyDescent="0.35">
      <c r="A4059" s="8" t="s">
        <v>54894</v>
      </c>
      <c r="B4059" s="8" t="s">
        <v>55930</v>
      </c>
    </row>
    <row r="4060" spans="1:2" ht="14.5" x14ac:dyDescent="0.35">
      <c r="A4060" s="8" t="s">
        <v>54894</v>
      </c>
      <c r="B4060" s="8" t="s">
        <v>57852</v>
      </c>
    </row>
    <row r="4061" spans="1:2" ht="14.5" x14ac:dyDescent="0.35">
      <c r="A4061" s="8" t="s">
        <v>54894</v>
      </c>
      <c r="B4061" s="8" t="s">
        <v>57998</v>
      </c>
    </row>
    <row r="4062" spans="1:2" ht="14.5" x14ac:dyDescent="0.35">
      <c r="A4062" s="8" t="s">
        <v>54894</v>
      </c>
      <c r="B4062" s="8" t="s">
        <v>55931</v>
      </c>
    </row>
    <row r="4063" spans="1:2" ht="14.5" x14ac:dyDescent="0.35">
      <c r="A4063" s="8" t="s">
        <v>54894</v>
      </c>
      <c r="B4063" s="8" t="s">
        <v>58109</v>
      </c>
    </row>
    <row r="4064" spans="1:2" ht="14.5" x14ac:dyDescent="0.35">
      <c r="A4064" s="8" t="s">
        <v>54894</v>
      </c>
      <c r="B4064" s="8" t="s">
        <v>56162</v>
      </c>
    </row>
    <row r="4065" spans="1:2" ht="14.5" x14ac:dyDescent="0.35">
      <c r="A4065" s="8" t="s">
        <v>54894</v>
      </c>
      <c r="B4065" s="8" t="s">
        <v>55526</v>
      </c>
    </row>
    <row r="4066" spans="1:2" ht="14.5" x14ac:dyDescent="0.35">
      <c r="A4066" s="8" t="s">
        <v>54894</v>
      </c>
      <c r="B4066" s="8" t="s">
        <v>55527</v>
      </c>
    </row>
    <row r="4067" spans="1:2" ht="14.5" x14ac:dyDescent="0.35">
      <c r="A4067" s="8" t="s">
        <v>54894</v>
      </c>
      <c r="B4067" s="8" t="s">
        <v>56523</v>
      </c>
    </row>
    <row r="4068" spans="1:2" ht="14.5" x14ac:dyDescent="0.35">
      <c r="A4068" s="8" t="s">
        <v>54894</v>
      </c>
      <c r="B4068" s="8" t="s">
        <v>55204</v>
      </c>
    </row>
    <row r="4069" spans="1:2" ht="14.5" x14ac:dyDescent="0.35">
      <c r="A4069" s="8" t="s">
        <v>54894</v>
      </c>
      <c r="B4069" s="8" t="s">
        <v>57910</v>
      </c>
    </row>
    <row r="4070" spans="1:2" ht="14.5" x14ac:dyDescent="0.35">
      <c r="A4070" s="8" t="s">
        <v>54894</v>
      </c>
      <c r="B4070" s="8" t="s">
        <v>57614</v>
      </c>
    </row>
    <row r="4071" spans="1:2" ht="14.5" x14ac:dyDescent="0.35">
      <c r="A4071" s="8" t="s">
        <v>54894</v>
      </c>
      <c r="B4071" s="8" t="s">
        <v>58453</v>
      </c>
    </row>
    <row r="4072" spans="1:2" ht="14.5" x14ac:dyDescent="0.35">
      <c r="A4072" s="8" t="s">
        <v>54894</v>
      </c>
      <c r="B4072" s="8" t="s">
        <v>55623</v>
      </c>
    </row>
    <row r="4073" spans="1:2" ht="14.5" x14ac:dyDescent="0.35">
      <c r="A4073" s="8" t="s">
        <v>54894</v>
      </c>
      <c r="B4073" s="8" t="s">
        <v>57564</v>
      </c>
    </row>
    <row r="4074" spans="1:2" ht="14.5" x14ac:dyDescent="0.35">
      <c r="A4074" s="8" t="s">
        <v>54894</v>
      </c>
      <c r="B4074" s="8" t="s">
        <v>57239</v>
      </c>
    </row>
    <row r="4075" spans="1:2" ht="14.5" x14ac:dyDescent="0.35">
      <c r="A4075" s="8" t="s">
        <v>54894</v>
      </c>
      <c r="B4075" s="8" t="s">
        <v>57240</v>
      </c>
    </row>
    <row r="4076" spans="1:2" ht="14.5" x14ac:dyDescent="0.35">
      <c r="A4076" s="8" t="s">
        <v>54894</v>
      </c>
      <c r="B4076" s="8" t="s">
        <v>57615</v>
      </c>
    </row>
    <row r="4077" spans="1:2" ht="14.5" x14ac:dyDescent="0.35">
      <c r="A4077" s="8" t="s">
        <v>54894</v>
      </c>
      <c r="B4077" s="8" t="s">
        <v>57616</v>
      </c>
    </row>
    <row r="4078" spans="1:2" ht="14.5" x14ac:dyDescent="0.35">
      <c r="A4078" s="8" t="s">
        <v>54894</v>
      </c>
      <c r="B4078" s="8" t="s">
        <v>55228</v>
      </c>
    </row>
    <row r="4079" spans="1:2" ht="14.5" x14ac:dyDescent="0.35">
      <c r="A4079" s="8" t="s">
        <v>54894</v>
      </c>
      <c r="B4079" s="8" t="s">
        <v>56223</v>
      </c>
    </row>
    <row r="4080" spans="1:2" ht="14.5" x14ac:dyDescent="0.35">
      <c r="A4080" s="8" t="s">
        <v>54894</v>
      </c>
      <c r="B4080" s="8" t="s">
        <v>57011</v>
      </c>
    </row>
    <row r="4081" spans="1:2" ht="14.5" x14ac:dyDescent="0.35">
      <c r="A4081" s="8" t="s">
        <v>54894</v>
      </c>
      <c r="B4081" s="8" t="s">
        <v>55010</v>
      </c>
    </row>
    <row r="4082" spans="1:2" ht="14.5" x14ac:dyDescent="0.35">
      <c r="A4082" s="8" t="s">
        <v>54894</v>
      </c>
      <c r="B4082" s="8" t="s">
        <v>57080</v>
      </c>
    </row>
    <row r="4083" spans="1:2" ht="14.5" x14ac:dyDescent="0.35">
      <c r="A4083" s="8" t="s">
        <v>54894</v>
      </c>
      <c r="B4083" s="8" t="s">
        <v>55980</v>
      </c>
    </row>
    <row r="4084" spans="1:2" ht="14.5" x14ac:dyDescent="0.35">
      <c r="A4084" s="8" t="s">
        <v>54894</v>
      </c>
      <c r="B4084" s="8" t="s">
        <v>55981</v>
      </c>
    </row>
    <row r="4085" spans="1:2" ht="14.5" x14ac:dyDescent="0.35">
      <c r="A4085" s="8" t="s">
        <v>54894</v>
      </c>
      <c r="B4085" s="8" t="s">
        <v>55528</v>
      </c>
    </row>
    <row r="4086" spans="1:2" ht="14.5" x14ac:dyDescent="0.35">
      <c r="A4086" s="8" t="s">
        <v>54894</v>
      </c>
      <c r="B4086" s="8" t="s">
        <v>56562</v>
      </c>
    </row>
    <row r="4087" spans="1:2" ht="14.5" x14ac:dyDescent="0.35">
      <c r="A4087" s="8" t="s">
        <v>54894</v>
      </c>
      <c r="B4087" s="8" t="s">
        <v>56563</v>
      </c>
    </row>
    <row r="4088" spans="1:2" ht="14.5" x14ac:dyDescent="0.35">
      <c r="A4088" s="8" t="s">
        <v>54894</v>
      </c>
      <c r="B4088" s="8" t="s">
        <v>55229</v>
      </c>
    </row>
    <row r="4089" spans="1:2" ht="14.5" x14ac:dyDescent="0.35">
      <c r="A4089" s="8" t="s">
        <v>54894</v>
      </c>
      <c r="B4089" s="8" t="s">
        <v>57081</v>
      </c>
    </row>
    <row r="4090" spans="1:2" ht="14.5" x14ac:dyDescent="0.35">
      <c r="A4090" s="8" t="s">
        <v>54894</v>
      </c>
      <c r="B4090" s="8" t="s">
        <v>57082</v>
      </c>
    </row>
    <row r="4091" spans="1:2" ht="14.5" x14ac:dyDescent="0.35">
      <c r="A4091" s="8" t="s">
        <v>54894</v>
      </c>
      <c r="B4091" s="8" t="s">
        <v>56534</v>
      </c>
    </row>
    <row r="4092" spans="1:2" ht="14.5" x14ac:dyDescent="0.35">
      <c r="A4092" s="8" t="s">
        <v>54894</v>
      </c>
      <c r="B4092" s="8" t="s">
        <v>58307</v>
      </c>
    </row>
    <row r="4093" spans="1:2" ht="14.5" x14ac:dyDescent="0.35">
      <c r="A4093" s="8" t="s">
        <v>54894</v>
      </c>
      <c r="B4093" s="8" t="s">
        <v>57617</v>
      </c>
    </row>
    <row r="4094" spans="1:2" ht="14.5" x14ac:dyDescent="0.35">
      <c r="A4094" s="8" t="s">
        <v>54894</v>
      </c>
      <c r="B4094" s="8" t="s">
        <v>55589</v>
      </c>
    </row>
    <row r="4095" spans="1:2" ht="14.5" x14ac:dyDescent="0.35">
      <c r="A4095" s="8" t="s">
        <v>54894</v>
      </c>
      <c r="B4095" s="8" t="s">
        <v>56272</v>
      </c>
    </row>
    <row r="4096" spans="1:2" ht="14.5" x14ac:dyDescent="0.35">
      <c r="A4096" s="8" t="s">
        <v>54894</v>
      </c>
      <c r="B4096" s="8" t="s">
        <v>56188</v>
      </c>
    </row>
    <row r="4097" spans="1:2" ht="14.5" x14ac:dyDescent="0.35">
      <c r="A4097" s="8" t="s">
        <v>54894</v>
      </c>
      <c r="B4097" s="8" t="s">
        <v>57371</v>
      </c>
    </row>
    <row r="4098" spans="1:2" ht="14.5" x14ac:dyDescent="0.35">
      <c r="A4098" s="8" t="s">
        <v>54894</v>
      </c>
      <c r="B4098" s="8" t="s">
        <v>57054</v>
      </c>
    </row>
    <row r="4099" spans="1:2" ht="14.5" x14ac:dyDescent="0.35">
      <c r="A4099" s="8" t="s">
        <v>54894</v>
      </c>
      <c r="B4099" s="8" t="s">
        <v>57054</v>
      </c>
    </row>
    <row r="4100" spans="1:2" ht="14.5" x14ac:dyDescent="0.35">
      <c r="A4100" s="8" t="s">
        <v>54894</v>
      </c>
      <c r="B4100" s="8" t="s">
        <v>58435</v>
      </c>
    </row>
    <row r="4101" spans="1:2" ht="14.5" x14ac:dyDescent="0.35">
      <c r="A4101" s="8" t="s">
        <v>54894</v>
      </c>
      <c r="B4101" s="8" t="s">
        <v>57430</v>
      </c>
    </row>
    <row r="4102" spans="1:2" ht="14.5" x14ac:dyDescent="0.35">
      <c r="A4102" s="8" t="s">
        <v>54894</v>
      </c>
      <c r="B4102" s="8" t="s">
        <v>55529</v>
      </c>
    </row>
    <row r="4103" spans="1:2" ht="14.5" x14ac:dyDescent="0.35">
      <c r="A4103" s="8" t="s">
        <v>54894</v>
      </c>
      <c r="B4103" s="8" t="s">
        <v>55530</v>
      </c>
    </row>
    <row r="4104" spans="1:2" ht="14.5" x14ac:dyDescent="0.35">
      <c r="A4104" s="8" t="s">
        <v>54894</v>
      </c>
      <c r="B4104" s="8" t="s">
        <v>56629</v>
      </c>
    </row>
    <row r="4105" spans="1:2" ht="14.5" x14ac:dyDescent="0.35">
      <c r="A4105" s="8" t="s">
        <v>54894</v>
      </c>
      <c r="B4105" s="8" t="s">
        <v>55479</v>
      </c>
    </row>
    <row r="4106" spans="1:2" ht="14.5" x14ac:dyDescent="0.35">
      <c r="A4106" s="8" t="s">
        <v>54894</v>
      </c>
      <c r="B4106" s="8" t="s">
        <v>57264</v>
      </c>
    </row>
    <row r="4107" spans="1:2" ht="14.5" x14ac:dyDescent="0.35">
      <c r="A4107" s="8" t="s">
        <v>54894</v>
      </c>
      <c r="B4107" s="8" t="s">
        <v>55455</v>
      </c>
    </row>
    <row r="4108" spans="1:2" ht="14.5" x14ac:dyDescent="0.35">
      <c r="A4108" s="8" t="s">
        <v>54894</v>
      </c>
      <c r="B4108" s="8" t="s">
        <v>58223</v>
      </c>
    </row>
    <row r="4109" spans="1:2" ht="14.5" x14ac:dyDescent="0.35">
      <c r="A4109" s="8" t="s">
        <v>54894</v>
      </c>
      <c r="B4109" s="8" t="s">
        <v>58224</v>
      </c>
    </row>
    <row r="4110" spans="1:2" ht="14.5" x14ac:dyDescent="0.35">
      <c r="A4110" s="8" t="s">
        <v>54894</v>
      </c>
      <c r="B4110" s="8" t="s">
        <v>57206</v>
      </c>
    </row>
    <row r="4111" spans="1:2" ht="14.5" x14ac:dyDescent="0.35">
      <c r="A4111" s="8" t="s">
        <v>54894</v>
      </c>
      <c r="B4111" s="8" t="s">
        <v>57207</v>
      </c>
    </row>
    <row r="4112" spans="1:2" ht="14.5" x14ac:dyDescent="0.35">
      <c r="A4112" s="8" t="s">
        <v>54894</v>
      </c>
      <c r="B4112" s="8" t="s">
        <v>57215</v>
      </c>
    </row>
    <row r="4113" spans="1:2" ht="14.5" x14ac:dyDescent="0.35">
      <c r="A4113" s="8" t="s">
        <v>54894</v>
      </c>
      <c r="B4113" s="8" t="s">
        <v>55508</v>
      </c>
    </row>
    <row r="4114" spans="1:2" ht="14.5" x14ac:dyDescent="0.35">
      <c r="A4114" s="8" t="s">
        <v>54894</v>
      </c>
      <c r="B4114" s="8" t="s">
        <v>55509</v>
      </c>
    </row>
    <row r="4115" spans="1:2" ht="14.5" x14ac:dyDescent="0.35">
      <c r="A4115" s="8" t="s">
        <v>54894</v>
      </c>
      <c r="B4115" s="8" t="s">
        <v>57801</v>
      </c>
    </row>
    <row r="4116" spans="1:2" ht="14.5" x14ac:dyDescent="0.35">
      <c r="A4116" s="8" t="s">
        <v>54894</v>
      </c>
      <c r="B4116" s="8" t="s">
        <v>57911</v>
      </c>
    </row>
    <row r="4117" spans="1:2" ht="14.5" x14ac:dyDescent="0.35">
      <c r="A4117" s="8" t="s">
        <v>54894</v>
      </c>
      <c r="B4117" s="8" t="s">
        <v>56086</v>
      </c>
    </row>
    <row r="4118" spans="1:2" ht="14.5" x14ac:dyDescent="0.35">
      <c r="A4118" s="8" t="s">
        <v>54894</v>
      </c>
      <c r="B4118" s="8" t="s">
        <v>58261</v>
      </c>
    </row>
    <row r="4119" spans="1:2" ht="14.5" x14ac:dyDescent="0.35">
      <c r="A4119" s="8" t="s">
        <v>54894</v>
      </c>
      <c r="B4119" s="8" t="s">
        <v>58428</v>
      </c>
    </row>
    <row r="4120" spans="1:2" ht="14.5" x14ac:dyDescent="0.35">
      <c r="A4120" s="8" t="s">
        <v>54894</v>
      </c>
      <c r="B4120" s="8" t="s">
        <v>58305</v>
      </c>
    </row>
    <row r="4121" spans="1:2" ht="14.5" x14ac:dyDescent="0.35">
      <c r="A4121" s="8" t="s">
        <v>54894</v>
      </c>
      <c r="B4121" s="8" t="s">
        <v>56087</v>
      </c>
    </row>
    <row r="4122" spans="1:2" ht="14.5" x14ac:dyDescent="0.35">
      <c r="A4122" s="8" t="s">
        <v>54894</v>
      </c>
      <c r="B4122" s="8" t="s">
        <v>56011</v>
      </c>
    </row>
    <row r="4123" spans="1:2" ht="14.5" x14ac:dyDescent="0.35">
      <c r="A4123" s="8" t="s">
        <v>54894</v>
      </c>
      <c r="B4123" s="8" t="s">
        <v>56012</v>
      </c>
    </row>
    <row r="4124" spans="1:2" ht="14.5" x14ac:dyDescent="0.35">
      <c r="A4124" s="8" t="s">
        <v>54894</v>
      </c>
      <c r="B4124" s="8" t="s">
        <v>56013</v>
      </c>
    </row>
    <row r="4125" spans="1:2" ht="14.5" x14ac:dyDescent="0.35">
      <c r="A4125" s="8" t="s">
        <v>54894</v>
      </c>
      <c r="B4125" s="8" t="s">
        <v>58110</v>
      </c>
    </row>
    <row r="4126" spans="1:2" ht="14.5" x14ac:dyDescent="0.35">
      <c r="A4126" s="8" t="s">
        <v>54894</v>
      </c>
      <c r="B4126" s="8" t="s">
        <v>58225</v>
      </c>
    </row>
    <row r="4127" spans="1:2" ht="14.5" x14ac:dyDescent="0.35">
      <c r="A4127" s="8" t="s">
        <v>54894</v>
      </c>
      <c r="B4127" s="8" t="s">
        <v>57494</v>
      </c>
    </row>
    <row r="4128" spans="1:2" ht="14.5" x14ac:dyDescent="0.35">
      <c r="A4128" s="8" t="s">
        <v>54894</v>
      </c>
      <c r="B4128" s="8" t="s">
        <v>56664</v>
      </c>
    </row>
    <row r="4129" spans="1:2" ht="14.5" x14ac:dyDescent="0.35">
      <c r="A4129" s="8" t="s">
        <v>54894</v>
      </c>
      <c r="B4129" s="8" t="s">
        <v>56088</v>
      </c>
    </row>
    <row r="4130" spans="1:2" ht="14.5" x14ac:dyDescent="0.35">
      <c r="A4130" s="8" t="s">
        <v>54894</v>
      </c>
      <c r="B4130" s="8" t="s">
        <v>58414</v>
      </c>
    </row>
    <row r="4131" spans="1:2" ht="14.5" x14ac:dyDescent="0.35">
      <c r="A4131" s="8" t="s">
        <v>54894</v>
      </c>
      <c r="B4131" s="8" t="s">
        <v>55967</v>
      </c>
    </row>
    <row r="4132" spans="1:2" ht="14.5" x14ac:dyDescent="0.35">
      <c r="A4132" s="8" t="s">
        <v>54894</v>
      </c>
      <c r="B4132" s="8" t="s">
        <v>55301</v>
      </c>
    </row>
    <row r="4133" spans="1:2" ht="14.5" x14ac:dyDescent="0.35">
      <c r="A4133" s="8" t="s">
        <v>54894</v>
      </c>
      <c r="B4133" s="8" t="s">
        <v>55968</v>
      </c>
    </row>
    <row r="4134" spans="1:2" ht="14.5" x14ac:dyDescent="0.35">
      <c r="A4134" s="8" t="s">
        <v>54894</v>
      </c>
      <c r="B4134" s="8" t="s">
        <v>55687</v>
      </c>
    </row>
    <row r="4135" spans="1:2" ht="14.5" x14ac:dyDescent="0.35">
      <c r="A4135" s="8" t="s">
        <v>54894</v>
      </c>
      <c r="B4135" s="8" t="s">
        <v>58111</v>
      </c>
    </row>
    <row r="4136" spans="1:2" ht="14.5" x14ac:dyDescent="0.35">
      <c r="A4136" s="8" t="s">
        <v>54894</v>
      </c>
      <c r="B4136" s="8" t="s">
        <v>56652</v>
      </c>
    </row>
    <row r="4137" spans="1:2" ht="14.5" x14ac:dyDescent="0.35">
      <c r="A4137" s="8" t="s">
        <v>54894</v>
      </c>
      <c r="B4137" s="8" t="s">
        <v>55133</v>
      </c>
    </row>
    <row r="4138" spans="1:2" ht="14.5" x14ac:dyDescent="0.35">
      <c r="A4138" s="8" t="s">
        <v>54894</v>
      </c>
      <c r="B4138" s="8" t="s">
        <v>55121</v>
      </c>
    </row>
    <row r="4139" spans="1:2" ht="14.5" x14ac:dyDescent="0.35">
      <c r="A4139" s="8" t="s">
        <v>54894</v>
      </c>
      <c r="B4139" s="8" t="s">
        <v>56553</v>
      </c>
    </row>
    <row r="4140" spans="1:2" ht="14.5" x14ac:dyDescent="0.35">
      <c r="A4140" s="8" t="s">
        <v>54894</v>
      </c>
      <c r="B4140" s="8" t="s">
        <v>57618</v>
      </c>
    </row>
    <row r="4141" spans="1:2" ht="14.5" x14ac:dyDescent="0.35">
      <c r="A4141" s="8" t="s">
        <v>54894</v>
      </c>
      <c r="B4141" s="8" t="s">
        <v>57187</v>
      </c>
    </row>
    <row r="4142" spans="1:2" ht="14.5" x14ac:dyDescent="0.35">
      <c r="A4142" s="8" t="s">
        <v>54894</v>
      </c>
      <c r="B4142" s="8" t="s">
        <v>58112</v>
      </c>
    </row>
    <row r="4143" spans="1:2" ht="14.5" x14ac:dyDescent="0.35">
      <c r="A4143" s="8" t="s">
        <v>54894</v>
      </c>
      <c r="B4143" s="8" t="s">
        <v>56224</v>
      </c>
    </row>
    <row r="4144" spans="1:2" ht="14.5" x14ac:dyDescent="0.35">
      <c r="A4144" s="8" t="s">
        <v>54894</v>
      </c>
      <c r="B4144" s="8" t="s">
        <v>56089</v>
      </c>
    </row>
    <row r="4145" spans="1:2" ht="14.5" x14ac:dyDescent="0.35">
      <c r="A4145" s="8" t="s">
        <v>54894</v>
      </c>
      <c r="B4145" s="8" t="s">
        <v>58454</v>
      </c>
    </row>
    <row r="4146" spans="1:2" ht="14.5" x14ac:dyDescent="0.35">
      <c r="A4146" s="8" t="s">
        <v>54894</v>
      </c>
      <c r="B4146" s="8" t="s">
        <v>58275</v>
      </c>
    </row>
    <row r="4147" spans="1:2" ht="14.5" x14ac:dyDescent="0.35">
      <c r="A4147" s="8" t="s">
        <v>54894</v>
      </c>
      <c r="B4147" s="8" t="s">
        <v>58276</v>
      </c>
    </row>
    <row r="4148" spans="1:2" ht="14.5" x14ac:dyDescent="0.35">
      <c r="A4148" s="8" t="s">
        <v>54894</v>
      </c>
      <c r="B4148" s="8" t="s">
        <v>58162</v>
      </c>
    </row>
    <row r="4149" spans="1:2" ht="14.5" x14ac:dyDescent="0.35">
      <c r="A4149" s="8" t="s">
        <v>54894</v>
      </c>
      <c r="B4149" s="8" t="s">
        <v>58163</v>
      </c>
    </row>
    <row r="4150" spans="1:2" ht="14.5" x14ac:dyDescent="0.35">
      <c r="A4150" s="8" t="s">
        <v>54894</v>
      </c>
      <c r="B4150" s="8" t="s">
        <v>55057</v>
      </c>
    </row>
    <row r="4151" spans="1:2" ht="14.5" x14ac:dyDescent="0.35">
      <c r="A4151" s="8" t="s">
        <v>54894</v>
      </c>
      <c r="B4151" s="8" t="s">
        <v>57001</v>
      </c>
    </row>
    <row r="4152" spans="1:2" ht="14.5" x14ac:dyDescent="0.35">
      <c r="A4152" s="8" t="s">
        <v>54894</v>
      </c>
      <c r="B4152" s="8" t="s">
        <v>57709</v>
      </c>
    </row>
    <row r="4153" spans="1:2" ht="14.5" x14ac:dyDescent="0.35">
      <c r="A4153" s="8" t="s">
        <v>54894</v>
      </c>
      <c r="B4153" s="8" t="s">
        <v>58455</v>
      </c>
    </row>
    <row r="4154" spans="1:2" ht="14.5" x14ac:dyDescent="0.35">
      <c r="A4154" s="8" t="s">
        <v>54894</v>
      </c>
      <c r="B4154" s="8" t="s">
        <v>54942</v>
      </c>
    </row>
    <row r="4155" spans="1:2" ht="14.5" x14ac:dyDescent="0.35">
      <c r="A4155" s="8" t="s">
        <v>54894</v>
      </c>
      <c r="B4155" s="8" t="s">
        <v>58113</v>
      </c>
    </row>
    <row r="4156" spans="1:2" ht="14.5" x14ac:dyDescent="0.35">
      <c r="A4156" s="8" t="s">
        <v>54894</v>
      </c>
      <c r="B4156" s="8" t="s">
        <v>57352</v>
      </c>
    </row>
    <row r="4157" spans="1:2" ht="14.5" x14ac:dyDescent="0.35">
      <c r="A4157" s="8" t="s">
        <v>54894</v>
      </c>
      <c r="B4157" s="8" t="s">
        <v>58456</v>
      </c>
    </row>
    <row r="4158" spans="1:2" ht="14.5" x14ac:dyDescent="0.35">
      <c r="A4158" s="8" t="s">
        <v>54894</v>
      </c>
      <c r="B4158" s="8" t="s">
        <v>56090</v>
      </c>
    </row>
    <row r="4159" spans="1:2" ht="14.5" x14ac:dyDescent="0.35">
      <c r="A4159" s="8" t="s">
        <v>54894</v>
      </c>
      <c r="B4159" s="8" t="s">
        <v>58340</v>
      </c>
    </row>
    <row r="4160" spans="1:2" ht="14.5" x14ac:dyDescent="0.35">
      <c r="A4160" s="8" t="s">
        <v>54894</v>
      </c>
      <c r="B4160" s="8" t="s">
        <v>55531</v>
      </c>
    </row>
    <row r="4161" spans="1:2" ht="14.5" x14ac:dyDescent="0.35">
      <c r="A4161" s="8" t="s">
        <v>54894</v>
      </c>
      <c r="B4161" s="8" t="s">
        <v>57956</v>
      </c>
    </row>
    <row r="4162" spans="1:2" ht="14.5" x14ac:dyDescent="0.35">
      <c r="A4162" s="8" t="s">
        <v>54894</v>
      </c>
      <c r="B4162" s="8" t="s">
        <v>54746</v>
      </c>
    </row>
    <row r="4163" spans="1:2" ht="14.5" x14ac:dyDescent="0.35">
      <c r="A4163" s="8" t="s">
        <v>54894</v>
      </c>
      <c r="B4163" s="8" t="s">
        <v>55960</v>
      </c>
    </row>
    <row r="4164" spans="1:2" ht="14.5" x14ac:dyDescent="0.35">
      <c r="A4164" s="8" t="s">
        <v>54894</v>
      </c>
      <c r="B4164" s="8" t="s">
        <v>55157</v>
      </c>
    </row>
    <row r="4165" spans="1:2" ht="14.5" x14ac:dyDescent="0.35">
      <c r="A4165" s="8" t="s">
        <v>54894</v>
      </c>
      <c r="B4165" s="8" t="s">
        <v>55539</v>
      </c>
    </row>
    <row r="4166" spans="1:2" ht="14.5" x14ac:dyDescent="0.35">
      <c r="A4166" s="8" t="s">
        <v>54894</v>
      </c>
      <c r="B4166" s="8" t="s">
        <v>57669</v>
      </c>
    </row>
    <row r="4167" spans="1:2" ht="14.5" x14ac:dyDescent="0.35">
      <c r="A4167" s="8" t="s">
        <v>54894</v>
      </c>
      <c r="B4167" s="8" t="s">
        <v>56273</v>
      </c>
    </row>
    <row r="4168" spans="1:2" ht="14.5" x14ac:dyDescent="0.35">
      <c r="A4168" s="8" t="s">
        <v>54894</v>
      </c>
      <c r="B4168" s="8" t="s">
        <v>55945</v>
      </c>
    </row>
    <row r="4169" spans="1:2" ht="14.5" x14ac:dyDescent="0.35">
      <c r="A4169" s="8" t="s">
        <v>54894</v>
      </c>
      <c r="B4169" s="8" t="s">
        <v>56130</v>
      </c>
    </row>
    <row r="4170" spans="1:2" ht="14.5" x14ac:dyDescent="0.35">
      <c r="A4170" s="8" t="s">
        <v>54894</v>
      </c>
      <c r="B4170" s="8" t="s">
        <v>56130</v>
      </c>
    </row>
    <row r="4171" spans="1:2" ht="14.5" x14ac:dyDescent="0.35">
      <c r="A4171" s="8" t="s">
        <v>54894</v>
      </c>
      <c r="B4171" s="8" t="s">
        <v>56130</v>
      </c>
    </row>
    <row r="4172" spans="1:2" ht="14.5" x14ac:dyDescent="0.35">
      <c r="A4172" s="8" t="s">
        <v>54894</v>
      </c>
      <c r="B4172" s="8" t="s">
        <v>56131</v>
      </c>
    </row>
    <row r="4173" spans="1:2" ht="14.5" x14ac:dyDescent="0.35">
      <c r="A4173" s="8" t="s">
        <v>54894</v>
      </c>
      <c r="B4173" s="8" t="s">
        <v>56131</v>
      </c>
    </row>
    <row r="4174" spans="1:2" ht="14.5" x14ac:dyDescent="0.35">
      <c r="A4174" s="8" t="s">
        <v>54894</v>
      </c>
      <c r="B4174" s="8" t="s">
        <v>56131</v>
      </c>
    </row>
    <row r="4175" spans="1:2" ht="14.5" x14ac:dyDescent="0.35">
      <c r="A4175" s="8" t="s">
        <v>54894</v>
      </c>
      <c r="B4175" s="8" t="s">
        <v>58472</v>
      </c>
    </row>
    <row r="4176" spans="1:2" ht="14.5" x14ac:dyDescent="0.35">
      <c r="A4176" s="8" t="s">
        <v>54894</v>
      </c>
      <c r="B4176" s="8" t="s">
        <v>57265</v>
      </c>
    </row>
    <row r="4177" spans="1:2" ht="14.5" x14ac:dyDescent="0.35">
      <c r="A4177" s="8" t="s">
        <v>54894</v>
      </c>
      <c r="B4177" s="8" t="s">
        <v>57252</v>
      </c>
    </row>
    <row r="4178" spans="1:2" ht="14.5" x14ac:dyDescent="0.35">
      <c r="A4178" s="8" t="s">
        <v>54894</v>
      </c>
      <c r="B4178" s="8" t="s">
        <v>57112</v>
      </c>
    </row>
    <row r="4179" spans="1:2" ht="14.5" x14ac:dyDescent="0.35">
      <c r="A4179" s="8" t="s">
        <v>54894</v>
      </c>
      <c r="B4179" s="8" t="s">
        <v>55845</v>
      </c>
    </row>
    <row r="4180" spans="1:2" ht="14.5" x14ac:dyDescent="0.35">
      <c r="A4180" s="8" t="s">
        <v>54894</v>
      </c>
      <c r="B4180" s="8" t="s">
        <v>57083</v>
      </c>
    </row>
    <row r="4181" spans="1:2" ht="14.5" x14ac:dyDescent="0.35">
      <c r="A4181" s="8" t="s">
        <v>54894</v>
      </c>
      <c r="B4181" s="8" t="s">
        <v>56413</v>
      </c>
    </row>
    <row r="4182" spans="1:2" ht="14.5" x14ac:dyDescent="0.35">
      <c r="A4182" s="8" t="s">
        <v>54894</v>
      </c>
      <c r="B4182" s="8" t="s">
        <v>57515</v>
      </c>
    </row>
    <row r="4183" spans="1:2" ht="14.5" x14ac:dyDescent="0.35">
      <c r="A4183" s="8" t="s">
        <v>54894</v>
      </c>
      <c r="B4183" s="8" t="s">
        <v>57728</v>
      </c>
    </row>
    <row r="4184" spans="1:2" ht="14.5" x14ac:dyDescent="0.35">
      <c r="A4184" s="8" t="s">
        <v>54894</v>
      </c>
      <c r="B4184" s="8" t="s">
        <v>57885</v>
      </c>
    </row>
    <row r="4185" spans="1:2" ht="14.5" x14ac:dyDescent="0.35">
      <c r="A4185" s="8" t="s">
        <v>54894</v>
      </c>
      <c r="B4185" s="8" t="s">
        <v>56835</v>
      </c>
    </row>
    <row r="4186" spans="1:2" ht="14.5" x14ac:dyDescent="0.35">
      <c r="A4186" s="8" t="s">
        <v>54894</v>
      </c>
      <c r="B4186" s="8" t="s">
        <v>58029</v>
      </c>
    </row>
    <row r="4187" spans="1:2" ht="14.5" x14ac:dyDescent="0.35">
      <c r="A4187" s="8" t="s">
        <v>54894</v>
      </c>
      <c r="B4187" s="8" t="s">
        <v>56570</v>
      </c>
    </row>
    <row r="4188" spans="1:2" ht="14.5" x14ac:dyDescent="0.35">
      <c r="A4188" s="8" t="s">
        <v>54894</v>
      </c>
      <c r="B4188" s="8" t="s">
        <v>56644</v>
      </c>
    </row>
    <row r="4189" spans="1:2" ht="14.5" x14ac:dyDescent="0.35">
      <c r="A4189" s="8" t="s">
        <v>54894</v>
      </c>
      <c r="B4189" s="8" t="s">
        <v>57295</v>
      </c>
    </row>
    <row r="4190" spans="1:2" ht="14.5" x14ac:dyDescent="0.35">
      <c r="A4190" s="8" t="s">
        <v>54894</v>
      </c>
      <c r="B4190" s="8" t="s">
        <v>55177</v>
      </c>
    </row>
    <row r="4191" spans="1:2" ht="14.5" x14ac:dyDescent="0.35">
      <c r="A4191" s="8" t="s">
        <v>54894</v>
      </c>
      <c r="B4191" s="8" t="s">
        <v>54943</v>
      </c>
    </row>
    <row r="4192" spans="1:2" ht="14.5" x14ac:dyDescent="0.35">
      <c r="A4192" s="8" t="s">
        <v>54894</v>
      </c>
      <c r="B4192" s="8" t="s">
        <v>58457</v>
      </c>
    </row>
    <row r="4193" spans="1:2" ht="14.5" x14ac:dyDescent="0.35">
      <c r="A4193" s="8" t="s">
        <v>54894</v>
      </c>
      <c r="B4193" s="8" t="s">
        <v>55595</v>
      </c>
    </row>
    <row r="4194" spans="1:2" ht="14.5" x14ac:dyDescent="0.35">
      <c r="A4194" s="8" t="s">
        <v>54894</v>
      </c>
      <c r="B4194" s="8" t="s">
        <v>55230</v>
      </c>
    </row>
    <row r="4195" spans="1:2" ht="14.5" x14ac:dyDescent="0.35">
      <c r="A4195" s="8" t="s">
        <v>54894</v>
      </c>
      <c r="B4195" s="8" t="s">
        <v>55231</v>
      </c>
    </row>
    <row r="4196" spans="1:2" ht="14.5" x14ac:dyDescent="0.35">
      <c r="A4196" s="8" t="s">
        <v>54894</v>
      </c>
      <c r="B4196" s="8" t="s">
        <v>57859</v>
      </c>
    </row>
    <row r="4197" spans="1:2" ht="14.5" x14ac:dyDescent="0.35">
      <c r="A4197" s="8" t="s">
        <v>54894</v>
      </c>
      <c r="B4197" s="8" t="s">
        <v>56836</v>
      </c>
    </row>
    <row r="4198" spans="1:2" ht="14.5" x14ac:dyDescent="0.35">
      <c r="A4198" s="8" t="s">
        <v>54894</v>
      </c>
      <c r="B4198" s="8" t="s">
        <v>58114</v>
      </c>
    </row>
    <row r="4199" spans="1:2" ht="14.5" x14ac:dyDescent="0.35">
      <c r="A4199" s="8" t="s">
        <v>54894</v>
      </c>
      <c r="B4199" s="8" t="s">
        <v>55232</v>
      </c>
    </row>
    <row r="4200" spans="1:2" ht="14.5" x14ac:dyDescent="0.35">
      <c r="A4200" s="8" t="s">
        <v>54894</v>
      </c>
      <c r="B4200" s="8" t="s">
        <v>55232</v>
      </c>
    </row>
    <row r="4201" spans="1:2" ht="14.5" x14ac:dyDescent="0.35">
      <c r="A4201" s="8" t="s">
        <v>54894</v>
      </c>
      <c r="B4201" s="8" t="s">
        <v>56225</v>
      </c>
    </row>
    <row r="4202" spans="1:2" ht="14.5" x14ac:dyDescent="0.35">
      <c r="A4202" s="8" t="s">
        <v>54894</v>
      </c>
      <c r="B4202" s="8" t="s">
        <v>56837</v>
      </c>
    </row>
    <row r="4203" spans="1:2" ht="14.5" x14ac:dyDescent="0.35">
      <c r="A4203" s="8" t="s">
        <v>54894</v>
      </c>
      <c r="B4203" s="8" t="s">
        <v>58115</v>
      </c>
    </row>
    <row r="4204" spans="1:2" ht="14.5" x14ac:dyDescent="0.35">
      <c r="A4204" s="8" t="s">
        <v>54894</v>
      </c>
      <c r="B4204" s="8" t="s">
        <v>56091</v>
      </c>
    </row>
    <row r="4205" spans="1:2" ht="14.5" x14ac:dyDescent="0.35">
      <c r="A4205" s="8" t="s">
        <v>54894</v>
      </c>
      <c r="B4205" s="8" t="s">
        <v>56607</v>
      </c>
    </row>
    <row r="4206" spans="1:2" ht="14.5" x14ac:dyDescent="0.35">
      <c r="A4206" s="8" t="s">
        <v>54894</v>
      </c>
      <c r="B4206" s="8" t="s">
        <v>58116</v>
      </c>
    </row>
    <row r="4207" spans="1:2" ht="14.5" x14ac:dyDescent="0.35">
      <c r="A4207" s="8" t="s">
        <v>54894</v>
      </c>
      <c r="B4207" s="8" t="s">
        <v>55289</v>
      </c>
    </row>
    <row r="4208" spans="1:2" ht="14.5" x14ac:dyDescent="0.35">
      <c r="A4208" s="8" t="s">
        <v>54894</v>
      </c>
      <c r="B4208" s="8" t="s">
        <v>56414</v>
      </c>
    </row>
    <row r="4209" spans="1:2" ht="14.5" x14ac:dyDescent="0.35">
      <c r="A4209" s="8" t="s">
        <v>54894</v>
      </c>
      <c r="B4209" s="8" t="s">
        <v>56415</v>
      </c>
    </row>
    <row r="4210" spans="1:2" ht="14.5" x14ac:dyDescent="0.35">
      <c r="A4210" s="8" t="s">
        <v>54894</v>
      </c>
      <c r="B4210" s="8" t="s">
        <v>56416</v>
      </c>
    </row>
    <row r="4211" spans="1:2" ht="14.5" x14ac:dyDescent="0.35">
      <c r="A4211" s="8" t="s">
        <v>54894</v>
      </c>
      <c r="B4211" s="8" t="s">
        <v>56838</v>
      </c>
    </row>
    <row r="4212" spans="1:2" ht="14.5" x14ac:dyDescent="0.35">
      <c r="A4212" s="8" t="s">
        <v>54894</v>
      </c>
      <c r="B4212" s="8" t="s">
        <v>56839</v>
      </c>
    </row>
    <row r="4213" spans="1:2" ht="14.5" x14ac:dyDescent="0.35">
      <c r="A4213" s="8" t="s">
        <v>54894</v>
      </c>
      <c r="B4213" s="8" t="s">
        <v>56840</v>
      </c>
    </row>
    <row r="4214" spans="1:2" ht="14.5" x14ac:dyDescent="0.35">
      <c r="A4214" s="8" t="s">
        <v>54894</v>
      </c>
      <c r="B4214" s="8" t="s">
        <v>55502</v>
      </c>
    </row>
    <row r="4215" spans="1:2" ht="14.5" x14ac:dyDescent="0.35">
      <c r="A4215" s="8" t="s">
        <v>54894</v>
      </c>
      <c r="B4215" s="8" t="s">
        <v>57084</v>
      </c>
    </row>
    <row r="4216" spans="1:2" ht="14.5" x14ac:dyDescent="0.35">
      <c r="A4216" s="8" t="s">
        <v>54894</v>
      </c>
      <c r="B4216" s="8" t="s">
        <v>57719</v>
      </c>
    </row>
    <row r="4217" spans="1:2" ht="14.5" x14ac:dyDescent="0.35">
      <c r="A4217" s="8" t="s">
        <v>54894</v>
      </c>
      <c r="B4217" s="8" t="s">
        <v>57720</v>
      </c>
    </row>
    <row r="4218" spans="1:2" ht="14.5" x14ac:dyDescent="0.35">
      <c r="A4218" s="8" t="s">
        <v>54894</v>
      </c>
      <c r="B4218" s="8" t="s">
        <v>57721</v>
      </c>
    </row>
    <row r="4219" spans="1:2" ht="14.5" x14ac:dyDescent="0.35">
      <c r="A4219" s="8" t="s">
        <v>54894</v>
      </c>
      <c r="B4219" s="8" t="s">
        <v>55304</v>
      </c>
    </row>
    <row r="4220" spans="1:2" ht="14.5" x14ac:dyDescent="0.35">
      <c r="A4220" s="8" t="s">
        <v>54894</v>
      </c>
      <c r="B4220" s="8" t="s">
        <v>57172</v>
      </c>
    </row>
    <row r="4221" spans="1:2" ht="14.5" x14ac:dyDescent="0.35">
      <c r="A4221" s="8" t="s">
        <v>54894</v>
      </c>
      <c r="B4221" s="8" t="s">
        <v>58117</v>
      </c>
    </row>
    <row r="4222" spans="1:2" ht="14.5" x14ac:dyDescent="0.35">
      <c r="A4222" s="8" t="s">
        <v>54894</v>
      </c>
      <c r="B4222" s="8" t="s">
        <v>56841</v>
      </c>
    </row>
    <row r="4223" spans="1:2" ht="14.5" x14ac:dyDescent="0.35">
      <c r="A4223" s="8" t="s">
        <v>54894</v>
      </c>
      <c r="B4223" s="8" t="s">
        <v>56842</v>
      </c>
    </row>
    <row r="4224" spans="1:2" ht="14.5" x14ac:dyDescent="0.35">
      <c r="A4224" s="8" t="s">
        <v>54894</v>
      </c>
      <c r="B4224" s="8" t="s">
        <v>56843</v>
      </c>
    </row>
    <row r="4225" spans="1:2" ht="14.5" x14ac:dyDescent="0.35">
      <c r="A4225" s="8" t="s">
        <v>54894</v>
      </c>
      <c r="B4225" s="8" t="s">
        <v>56844</v>
      </c>
    </row>
    <row r="4226" spans="1:2" ht="14.5" x14ac:dyDescent="0.35">
      <c r="A4226" s="8" t="s">
        <v>54894</v>
      </c>
      <c r="B4226" s="8" t="s">
        <v>56845</v>
      </c>
    </row>
    <row r="4227" spans="1:2" ht="14.5" x14ac:dyDescent="0.35">
      <c r="A4227" s="8" t="s">
        <v>54894</v>
      </c>
      <c r="B4227" s="8" t="s">
        <v>55688</v>
      </c>
    </row>
    <row r="4228" spans="1:2" ht="14.5" x14ac:dyDescent="0.35">
      <c r="A4228" s="8" t="s">
        <v>54894</v>
      </c>
      <c r="B4228" s="8" t="s">
        <v>57871</v>
      </c>
    </row>
    <row r="4229" spans="1:2" ht="14.5" x14ac:dyDescent="0.35">
      <c r="A4229" s="8" t="s">
        <v>54894</v>
      </c>
      <c r="B4229" s="8" t="s">
        <v>57957</v>
      </c>
    </row>
    <row r="4230" spans="1:2" ht="14.5" x14ac:dyDescent="0.35">
      <c r="A4230" s="8" t="s">
        <v>54894</v>
      </c>
      <c r="B4230" s="8" t="s">
        <v>56250</v>
      </c>
    </row>
    <row r="4231" spans="1:2" ht="14.5" x14ac:dyDescent="0.35">
      <c r="A4231" s="8" t="s">
        <v>54894</v>
      </c>
      <c r="B4231" s="8" t="s">
        <v>56694</v>
      </c>
    </row>
    <row r="4232" spans="1:2" ht="14.5" x14ac:dyDescent="0.35">
      <c r="A4232" s="8" t="s">
        <v>54894</v>
      </c>
      <c r="B4232" s="8" t="s">
        <v>4987</v>
      </c>
    </row>
    <row r="4233" spans="1:2" ht="14.5" x14ac:dyDescent="0.35">
      <c r="A4233" s="8" t="s">
        <v>54894</v>
      </c>
      <c r="B4233" s="8" t="s">
        <v>56608</v>
      </c>
    </row>
    <row r="4234" spans="1:2" ht="14.5" x14ac:dyDescent="0.35">
      <c r="A4234" s="8" t="s">
        <v>54894</v>
      </c>
      <c r="B4234" s="8" t="s">
        <v>55796</v>
      </c>
    </row>
    <row r="4235" spans="1:2" ht="14.5" x14ac:dyDescent="0.35">
      <c r="A4235" s="8" t="s">
        <v>54894</v>
      </c>
      <c r="B4235" s="8" t="s">
        <v>55797</v>
      </c>
    </row>
    <row r="4236" spans="1:2" ht="14.5" x14ac:dyDescent="0.35">
      <c r="A4236" s="8" t="s">
        <v>54894</v>
      </c>
      <c r="B4236" s="8" t="s">
        <v>55798</v>
      </c>
    </row>
    <row r="4237" spans="1:2" ht="14.5" x14ac:dyDescent="0.35">
      <c r="A4237" s="8" t="s">
        <v>54894</v>
      </c>
      <c r="B4237" s="8" t="s">
        <v>56609</v>
      </c>
    </row>
    <row r="4238" spans="1:2" ht="14.5" x14ac:dyDescent="0.35">
      <c r="A4238" s="8" t="s">
        <v>54894</v>
      </c>
      <c r="B4238" s="8" t="s">
        <v>56610</v>
      </c>
    </row>
    <row r="4239" spans="1:2" ht="14.5" x14ac:dyDescent="0.35">
      <c r="A4239" s="8" t="s">
        <v>54894</v>
      </c>
      <c r="B4239" s="8" t="s">
        <v>55002</v>
      </c>
    </row>
    <row r="4240" spans="1:2" ht="14.5" x14ac:dyDescent="0.35">
      <c r="A4240" s="8" t="s">
        <v>54894</v>
      </c>
      <c r="B4240" s="8" t="s">
        <v>56846</v>
      </c>
    </row>
    <row r="4241" spans="1:2" ht="14.5" x14ac:dyDescent="0.35">
      <c r="A4241" s="8" t="s">
        <v>54894</v>
      </c>
      <c r="B4241" s="8" t="s">
        <v>57722</v>
      </c>
    </row>
    <row r="4242" spans="1:2" ht="14.5" x14ac:dyDescent="0.35">
      <c r="A4242" s="8" t="s">
        <v>54894</v>
      </c>
      <c r="B4242" s="8" t="s">
        <v>58277</v>
      </c>
    </row>
    <row r="4243" spans="1:2" ht="14.5" x14ac:dyDescent="0.35">
      <c r="A4243" s="8" t="s">
        <v>54894</v>
      </c>
      <c r="B4243" s="8" t="s">
        <v>55396</v>
      </c>
    </row>
    <row r="4244" spans="1:2" ht="14.5" x14ac:dyDescent="0.35">
      <c r="A4244" s="8" t="s">
        <v>54894</v>
      </c>
      <c r="B4244" s="8" t="s">
        <v>55025</v>
      </c>
    </row>
    <row r="4245" spans="1:2" ht="14.5" x14ac:dyDescent="0.35">
      <c r="A4245" s="8" t="s">
        <v>54894</v>
      </c>
      <c r="B4245" s="8" t="s">
        <v>55042</v>
      </c>
    </row>
    <row r="4246" spans="1:2" ht="14.5" x14ac:dyDescent="0.35">
      <c r="A4246" s="8" t="s">
        <v>54894</v>
      </c>
      <c r="B4246" s="8" t="s">
        <v>55026</v>
      </c>
    </row>
    <row r="4247" spans="1:2" ht="14.5" x14ac:dyDescent="0.35">
      <c r="A4247" s="8" t="s">
        <v>54894</v>
      </c>
      <c r="B4247" s="8" t="s">
        <v>58278</v>
      </c>
    </row>
    <row r="4248" spans="1:2" ht="14.5" x14ac:dyDescent="0.35">
      <c r="A4248" s="8" t="s">
        <v>54894</v>
      </c>
      <c r="B4248" s="8" t="s">
        <v>58279</v>
      </c>
    </row>
    <row r="4249" spans="1:2" ht="14.5" x14ac:dyDescent="0.35">
      <c r="A4249" s="8" t="s">
        <v>54894</v>
      </c>
      <c r="B4249" s="8" t="s">
        <v>55969</v>
      </c>
    </row>
    <row r="4250" spans="1:2" ht="14.5" x14ac:dyDescent="0.35">
      <c r="A4250" s="8" t="s">
        <v>54894</v>
      </c>
      <c r="B4250" s="8" t="s">
        <v>55970</v>
      </c>
    </row>
    <row r="4251" spans="1:2" ht="14.5" x14ac:dyDescent="0.35">
      <c r="A4251" s="8" t="s">
        <v>54894</v>
      </c>
      <c r="B4251" s="8" t="s">
        <v>58293</v>
      </c>
    </row>
    <row r="4252" spans="1:2" ht="14.5" x14ac:dyDescent="0.35">
      <c r="A4252" s="8" t="s">
        <v>54894</v>
      </c>
      <c r="B4252" s="8" t="s">
        <v>57325</v>
      </c>
    </row>
    <row r="4253" spans="1:2" ht="14.5" x14ac:dyDescent="0.35">
      <c r="A4253" s="8" t="s">
        <v>54894</v>
      </c>
      <c r="B4253" s="8" t="s">
        <v>57830</v>
      </c>
    </row>
    <row r="4254" spans="1:2" ht="14.5" x14ac:dyDescent="0.35">
      <c r="A4254" s="8" t="s">
        <v>54894</v>
      </c>
      <c r="B4254" s="8" t="s">
        <v>56564</v>
      </c>
    </row>
    <row r="4255" spans="1:2" ht="14.5" x14ac:dyDescent="0.35">
      <c r="A4255" s="8" t="s">
        <v>54894</v>
      </c>
      <c r="B4255" s="8" t="s">
        <v>54748</v>
      </c>
    </row>
    <row r="4256" spans="1:2" ht="14.5" x14ac:dyDescent="0.35">
      <c r="A4256" s="8" t="s">
        <v>54894</v>
      </c>
      <c r="B4256" s="8" t="s">
        <v>55510</v>
      </c>
    </row>
    <row r="4257" spans="1:2" ht="14.5" x14ac:dyDescent="0.35">
      <c r="A4257" s="8" t="s">
        <v>54894</v>
      </c>
      <c r="B4257" s="8" t="s">
        <v>56847</v>
      </c>
    </row>
    <row r="4258" spans="1:2" ht="14.5" x14ac:dyDescent="0.35">
      <c r="A4258" s="8" t="s">
        <v>54894</v>
      </c>
      <c r="B4258" s="8" t="s">
        <v>55716</v>
      </c>
    </row>
    <row r="4259" spans="1:2" ht="14.5" x14ac:dyDescent="0.35">
      <c r="A4259" s="8" t="s">
        <v>54894</v>
      </c>
      <c r="B4259" s="8" t="s">
        <v>55717</v>
      </c>
    </row>
    <row r="4260" spans="1:2" ht="14.5" x14ac:dyDescent="0.35">
      <c r="A4260" s="8" t="s">
        <v>54894</v>
      </c>
      <c r="B4260" s="8" t="s">
        <v>55158</v>
      </c>
    </row>
    <row r="4261" spans="1:2" ht="14.5" x14ac:dyDescent="0.35">
      <c r="A4261" s="8" t="s">
        <v>54894</v>
      </c>
      <c r="B4261" s="8" t="s">
        <v>57014</v>
      </c>
    </row>
    <row r="4262" spans="1:2" ht="14.5" x14ac:dyDescent="0.35">
      <c r="A4262" s="8" t="s">
        <v>54894</v>
      </c>
      <c r="B4262" s="8" t="s">
        <v>57704</v>
      </c>
    </row>
    <row r="4263" spans="1:2" ht="14.5" x14ac:dyDescent="0.35">
      <c r="A4263" s="8" t="s">
        <v>54894</v>
      </c>
      <c r="B4263" s="8" t="s">
        <v>55122</v>
      </c>
    </row>
    <row r="4264" spans="1:2" ht="14.5" x14ac:dyDescent="0.35">
      <c r="A4264" s="8" t="s">
        <v>54894</v>
      </c>
      <c r="B4264" s="8" t="s">
        <v>55122</v>
      </c>
    </row>
    <row r="4265" spans="1:2" ht="14.5" x14ac:dyDescent="0.35">
      <c r="A4265" s="8" t="s">
        <v>54894</v>
      </c>
      <c r="B4265" s="8" t="s">
        <v>55123</v>
      </c>
    </row>
    <row r="4266" spans="1:2" ht="14.5" x14ac:dyDescent="0.35">
      <c r="A4266" s="8" t="s">
        <v>54894</v>
      </c>
      <c r="B4266" s="8" t="s">
        <v>56092</v>
      </c>
    </row>
    <row r="4267" spans="1:2" ht="14.5" x14ac:dyDescent="0.35">
      <c r="A4267" s="8" t="s">
        <v>54894</v>
      </c>
      <c r="B4267" s="8" t="s">
        <v>56028</v>
      </c>
    </row>
    <row r="4268" spans="1:2" ht="14.5" x14ac:dyDescent="0.35">
      <c r="A4268" s="8" t="s">
        <v>54894</v>
      </c>
      <c r="B4268" s="8" t="s">
        <v>56029</v>
      </c>
    </row>
    <row r="4269" spans="1:2" ht="14.5" x14ac:dyDescent="0.35">
      <c r="A4269" s="8" t="s">
        <v>54894</v>
      </c>
      <c r="B4269" s="8" t="s">
        <v>56030</v>
      </c>
    </row>
    <row r="4270" spans="1:2" ht="14.5" x14ac:dyDescent="0.35">
      <c r="A4270" s="8" t="s">
        <v>54894</v>
      </c>
      <c r="B4270" s="8" t="s">
        <v>56031</v>
      </c>
    </row>
    <row r="4271" spans="1:2" ht="14.5" x14ac:dyDescent="0.35">
      <c r="A4271" s="8" t="s">
        <v>54894</v>
      </c>
      <c r="B4271" s="8" t="s">
        <v>57353</v>
      </c>
    </row>
    <row r="4272" spans="1:2" ht="14.5" x14ac:dyDescent="0.35">
      <c r="A4272" s="8" t="s">
        <v>54894</v>
      </c>
      <c r="B4272" s="8" t="s">
        <v>58226</v>
      </c>
    </row>
    <row r="4273" spans="1:2" ht="14.5" x14ac:dyDescent="0.35">
      <c r="A4273" s="8" t="s">
        <v>54894</v>
      </c>
      <c r="B4273" s="8" t="s">
        <v>56977</v>
      </c>
    </row>
    <row r="4274" spans="1:2" ht="14.5" x14ac:dyDescent="0.35">
      <c r="A4274" s="8" t="s">
        <v>54894</v>
      </c>
      <c r="B4274" s="8" t="s">
        <v>58408</v>
      </c>
    </row>
    <row r="4275" spans="1:2" ht="14.5" x14ac:dyDescent="0.35">
      <c r="A4275" s="8" t="s">
        <v>54894</v>
      </c>
      <c r="B4275" s="8" t="s">
        <v>57619</v>
      </c>
    </row>
    <row r="4276" spans="1:2" ht="14.5" x14ac:dyDescent="0.35">
      <c r="A4276" s="8" t="s">
        <v>54894</v>
      </c>
      <c r="B4276" s="8" t="s">
        <v>56184</v>
      </c>
    </row>
    <row r="4277" spans="1:2" ht="14.5" x14ac:dyDescent="0.35">
      <c r="A4277" s="8" t="s">
        <v>54894</v>
      </c>
      <c r="B4277" s="8" t="s">
        <v>58329</v>
      </c>
    </row>
    <row r="4278" spans="1:2" ht="14.5" x14ac:dyDescent="0.35">
      <c r="A4278" s="8" t="s">
        <v>54894</v>
      </c>
      <c r="B4278" s="8" t="s">
        <v>54992</v>
      </c>
    </row>
    <row r="4279" spans="1:2" ht="14.5" x14ac:dyDescent="0.35">
      <c r="A4279" s="8" t="s">
        <v>54894</v>
      </c>
      <c r="B4279" s="8" t="s">
        <v>54993</v>
      </c>
    </row>
    <row r="4280" spans="1:2" ht="14.5" x14ac:dyDescent="0.35">
      <c r="A4280" s="8" t="s">
        <v>54894</v>
      </c>
      <c r="B4280" s="8" t="s">
        <v>57326</v>
      </c>
    </row>
    <row r="4281" spans="1:2" ht="14.5" x14ac:dyDescent="0.35">
      <c r="A4281" s="8" t="s">
        <v>54894</v>
      </c>
      <c r="B4281" s="8" t="s">
        <v>55610</v>
      </c>
    </row>
    <row r="4282" spans="1:2" ht="14.5" x14ac:dyDescent="0.35">
      <c r="A4282" s="8" t="s">
        <v>54894</v>
      </c>
      <c r="B4282" s="8" t="s">
        <v>57343</v>
      </c>
    </row>
    <row r="4283" spans="1:2" ht="14.5" x14ac:dyDescent="0.35">
      <c r="A4283" s="8" t="s">
        <v>54894</v>
      </c>
      <c r="B4283" s="8" t="s">
        <v>56848</v>
      </c>
    </row>
    <row r="4284" spans="1:2" ht="14.5" x14ac:dyDescent="0.35">
      <c r="A4284" s="8" t="s">
        <v>54894</v>
      </c>
      <c r="B4284" s="8" t="s">
        <v>56849</v>
      </c>
    </row>
    <row r="4285" spans="1:2" ht="14.5" x14ac:dyDescent="0.35">
      <c r="A4285" s="8" t="s">
        <v>54894</v>
      </c>
      <c r="B4285" s="8" t="s">
        <v>56850</v>
      </c>
    </row>
    <row r="4286" spans="1:2" ht="14.5" x14ac:dyDescent="0.35">
      <c r="A4286" s="8" t="s">
        <v>54894</v>
      </c>
      <c r="B4286" s="8" t="s">
        <v>56851</v>
      </c>
    </row>
    <row r="4287" spans="1:2" ht="14.5" x14ac:dyDescent="0.35">
      <c r="A4287" s="8" t="s">
        <v>54894</v>
      </c>
      <c r="B4287" s="8" t="s">
        <v>56852</v>
      </c>
    </row>
    <row r="4288" spans="1:2" ht="14.5" x14ac:dyDescent="0.35">
      <c r="A4288" s="8" t="s">
        <v>54894</v>
      </c>
      <c r="B4288" s="8" t="s">
        <v>58227</v>
      </c>
    </row>
    <row r="4289" spans="1:2" ht="14.5" x14ac:dyDescent="0.35">
      <c r="A4289" s="8" t="s">
        <v>54894</v>
      </c>
      <c r="B4289" s="8" t="s">
        <v>58283</v>
      </c>
    </row>
    <row r="4290" spans="1:2" ht="14.5" x14ac:dyDescent="0.35">
      <c r="A4290" s="8" t="s">
        <v>54894</v>
      </c>
      <c r="B4290" s="8" t="s">
        <v>57085</v>
      </c>
    </row>
    <row r="4291" spans="1:2" ht="14.5" x14ac:dyDescent="0.35">
      <c r="A4291" s="8" t="s">
        <v>54894</v>
      </c>
      <c r="B4291" s="8" t="s">
        <v>57291</v>
      </c>
    </row>
    <row r="4292" spans="1:2" ht="14.5" x14ac:dyDescent="0.35">
      <c r="A4292" s="8" t="s">
        <v>54894</v>
      </c>
      <c r="B4292" s="8" t="s">
        <v>57253</v>
      </c>
    </row>
    <row r="4293" spans="1:2" ht="14.5" x14ac:dyDescent="0.35">
      <c r="A4293" s="8" t="s">
        <v>54894</v>
      </c>
      <c r="B4293" s="8" t="s">
        <v>57254</v>
      </c>
    </row>
    <row r="4294" spans="1:2" ht="14.5" x14ac:dyDescent="0.35">
      <c r="A4294" s="8" t="s">
        <v>54894</v>
      </c>
      <c r="B4294" s="8" t="s">
        <v>56364</v>
      </c>
    </row>
    <row r="4295" spans="1:2" ht="14.5" x14ac:dyDescent="0.35">
      <c r="A4295" s="8" t="s">
        <v>54894</v>
      </c>
      <c r="B4295" s="8" t="s">
        <v>58228</v>
      </c>
    </row>
    <row r="4296" spans="1:2" ht="14.5" x14ac:dyDescent="0.35">
      <c r="A4296" s="8" t="s">
        <v>54894</v>
      </c>
      <c r="B4296" s="8" t="s">
        <v>54967</v>
      </c>
    </row>
    <row r="4297" spans="1:2" ht="14.5" x14ac:dyDescent="0.35">
      <c r="A4297" s="8" t="s">
        <v>54894</v>
      </c>
      <c r="B4297" s="8" t="s">
        <v>57930</v>
      </c>
    </row>
    <row r="4298" spans="1:2" ht="14.5" x14ac:dyDescent="0.35">
      <c r="A4298" s="8" t="s">
        <v>54894</v>
      </c>
      <c r="B4298" s="8" t="s">
        <v>57126</v>
      </c>
    </row>
    <row r="4299" spans="1:2" ht="14.5" x14ac:dyDescent="0.35">
      <c r="A4299" s="8" t="s">
        <v>54894</v>
      </c>
      <c r="B4299" s="8" t="s">
        <v>57620</v>
      </c>
    </row>
    <row r="4300" spans="1:2" ht="14.5" x14ac:dyDescent="0.35">
      <c r="A4300" s="8" t="s">
        <v>54894</v>
      </c>
      <c r="B4300" s="8" t="s">
        <v>55134</v>
      </c>
    </row>
    <row r="4301" spans="1:2" ht="14.5" x14ac:dyDescent="0.35">
      <c r="A4301" s="8" t="s">
        <v>54894</v>
      </c>
      <c r="B4301" s="8" t="s">
        <v>55624</v>
      </c>
    </row>
    <row r="4302" spans="1:2" ht="14.5" x14ac:dyDescent="0.35">
      <c r="A4302" s="8" t="s">
        <v>54894</v>
      </c>
      <c r="B4302" s="8" t="s">
        <v>54972</v>
      </c>
    </row>
    <row r="4303" spans="1:2" ht="14.5" x14ac:dyDescent="0.35">
      <c r="A4303" s="8" t="s">
        <v>54894</v>
      </c>
      <c r="B4303" s="8" t="s">
        <v>55243</v>
      </c>
    </row>
    <row r="4304" spans="1:2" ht="14.5" x14ac:dyDescent="0.35">
      <c r="A4304" s="8" t="s">
        <v>54894</v>
      </c>
      <c r="B4304" s="8" t="s">
        <v>56653</v>
      </c>
    </row>
    <row r="4305" spans="1:2" ht="14.5" x14ac:dyDescent="0.35">
      <c r="A4305" s="8" t="s">
        <v>54894</v>
      </c>
      <c r="B4305" s="8" t="s">
        <v>57199</v>
      </c>
    </row>
    <row r="4306" spans="1:2" ht="14.5" x14ac:dyDescent="0.35">
      <c r="A4306" s="8" t="s">
        <v>54894</v>
      </c>
      <c r="B4306" s="8" t="s">
        <v>57673</v>
      </c>
    </row>
    <row r="4307" spans="1:2" ht="14.5" x14ac:dyDescent="0.35">
      <c r="A4307" s="8" t="s">
        <v>54894</v>
      </c>
      <c r="B4307" s="8" t="s">
        <v>58118</v>
      </c>
    </row>
    <row r="4308" spans="1:2" ht="14.5" x14ac:dyDescent="0.35">
      <c r="A4308" s="8" t="s">
        <v>54894</v>
      </c>
      <c r="B4308" s="8" t="s">
        <v>55286</v>
      </c>
    </row>
    <row r="4309" spans="1:2" ht="14.5" x14ac:dyDescent="0.35">
      <c r="A4309" s="8" t="s">
        <v>54894</v>
      </c>
      <c r="B4309" s="8" t="s">
        <v>55286</v>
      </c>
    </row>
    <row r="4310" spans="1:2" ht="14.5" x14ac:dyDescent="0.35">
      <c r="A4310" s="8" t="s">
        <v>54894</v>
      </c>
      <c r="B4310" s="8" t="s">
        <v>55286</v>
      </c>
    </row>
    <row r="4311" spans="1:2" ht="14.5" x14ac:dyDescent="0.35">
      <c r="A4311" s="8" t="s">
        <v>54894</v>
      </c>
      <c r="B4311" s="8" t="s">
        <v>55286</v>
      </c>
    </row>
    <row r="4312" spans="1:2" ht="14.5" x14ac:dyDescent="0.35">
      <c r="A4312" s="8" t="s">
        <v>54894</v>
      </c>
      <c r="B4312" s="8" t="s">
        <v>55286</v>
      </c>
    </row>
    <row r="4313" spans="1:2" ht="14.5" x14ac:dyDescent="0.35">
      <c r="A4313" s="8" t="s">
        <v>54894</v>
      </c>
      <c r="B4313" s="8" t="s">
        <v>55286</v>
      </c>
    </row>
    <row r="4314" spans="1:2" ht="14.5" x14ac:dyDescent="0.35">
      <c r="A4314" s="8" t="s">
        <v>54894</v>
      </c>
      <c r="B4314" s="8" t="s">
        <v>55541</v>
      </c>
    </row>
    <row r="4315" spans="1:2" ht="14.5" x14ac:dyDescent="0.35">
      <c r="A4315" s="8" t="s">
        <v>54894</v>
      </c>
      <c r="B4315" s="8" t="s">
        <v>55961</v>
      </c>
    </row>
    <row r="4316" spans="1:2" ht="14.5" x14ac:dyDescent="0.35">
      <c r="A4316" s="8" t="s">
        <v>54894</v>
      </c>
      <c r="B4316" s="8" t="s">
        <v>54981</v>
      </c>
    </row>
    <row r="4317" spans="1:2" ht="14.5" x14ac:dyDescent="0.35">
      <c r="A4317" s="8" t="s">
        <v>54894</v>
      </c>
      <c r="B4317" s="8" t="s">
        <v>54910</v>
      </c>
    </row>
    <row r="4318" spans="1:2" ht="14.5" x14ac:dyDescent="0.35">
      <c r="A4318" s="8" t="s">
        <v>54894</v>
      </c>
      <c r="B4318" s="8" t="s">
        <v>54910</v>
      </c>
    </row>
    <row r="4319" spans="1:2" ht="14.5" x14ac:dyDescent="0.35">
      <c r="A4319" s="8" t="s">
        <v>54894</v>
      </c>
      <c r="B4319" s="8" t="s">
        <v>54910</v>
      </c>
    </row>
    <row r="4320" spans="1:2" ht="14.5" x14ac:dyDescent="0.35">
      <c r="A4320" s="8" t="s">
        <v>54894</v>
      </c>
      <c r="B4320" s="8" t="s">
        <v>55799</v>
      </c>
    </row>
    <row r="4321" spans="1:2" ht="14.5" x14ac:dyDescent="0.35">
      <c r="A4321" s="8" t="s">
        <v>54894</v>
      </c>
      <c r="B4321" s="8" t="s">
        <v>55800</v>
      </c>
    </row>
    <row r="4322" spans="1:2" ht="14.5" x14ac:dyDescent="0.35">
      <c r="A4322" s="8" t="s">
        <v>54894</v>
      </c>
      <c r="B4322" s="8" t="s">
        <v>55801</v>
      </c>
    </row>
    <row r="4323" spans="1:2" ht="14.5" x14ac:dyDescent="0.35">
      <c r="A4323" s="8" t="s">
        <v>54894</v>
      </c>
      <c r="B4323" s="8" t="s">
        <v>57115</v>
      </c>
    </row>
    <row r="4324" spans="1:2" ht="14.5" x14ac:dyDescent="0.35">
      <c r="A4324" s="8" t="s">
        <v>54894</v>
      </c>
      <c r="B4324" s="8" t="s">
        <v>57431</v>
      </c>
    </row>
    <row r="4325" spans="1:2" ht="14.5" x14ac:dyDescent="0.35">
      <c r="A4325" s="8" t="s">
        <v>54894</v>
      </c>
      <c r="B4325" s="8" t="s">
        <v>57316</v>
      </c>
    </row>
    <row r="4326" spans="1:2" ht="14.5" x14ac:dyDescent="0.35">
      <c r="A4326" s="8" t="s">
        <v>54894</v>
      </c>
      <c r="B4326" s="8" t="s">
        <v>57432</v>
      </c>
    </row>
    <row r="4327" spans="1:2" ht="14.5" x14ac:dyDescent="0.35">
      <c r="A4327" s="8" t="s">
        <v>54894</v>
      </c>
      <c r="B4327" s="8" t="s">
        <v>57433</v>
      </c>
    </row>
    <row r="4328" spans="1:2" ht="14.5" x14ac:dyDescent="0.35">
      <c r="A4328" s="8" t="s">
        <v>54894</v>
      </c>
      <c r="B4328" s="8" t="s">
        <v>55802</v>
      </c>
    </row>
    <row r="4329" spans="1:2" ht="14.5" x14ac:dyDescent="0.35">
      <c r="A4329" s="8" t="s">
        <v>54894</v>
      </c>
      <c r="B4329" s="8" t="s">
        <v>55803</v>
      </c>
    </row>
    <row r="4330" spans="1:2" ht="14.5" x14ac:dyDescent="0.35">
      <c r="A4330" s="8" t="s">
        <v>54894</v>
      </c>
      <c r="B4330" s="8" t="s">
        <v>54911</v>
      </c>
    </row>
    <row r="4331" spans="1:2" ht="14.5" x14ac:dyDescent="0.35">
      <c r="A4331" s="8" t="s">
        <v>54894</v>
      </c>
      <c r="B4331" s="8" t="s">
        <v>54911</v>
      </c>
    </row>
    <row r="4332" spans="1:2" ht="14.5" x14ac:dyDescent="0.35">
      <c r="A4332" s="8" t="s">
        <v>54894</v>
      </c>
      <c r="B4332" s="8" t="s">
        <v>55804</v>
      </c>
    </row>
    <row r="4333" spans="1:2" ht="14.5" x14ac:dyDescent="0.35">
      <c r="A4333" s="8" t="s">
        <v>54894</v>
      </c>
      <c r="B4333" s="8" t="s">
        <v>55805</v>
      </c>
    </row>
    <row r="4334" spans="1:2" ht="14.5" x14ac:dyDescent="0.35">
      <c r="A4334" s="8" t="s">
        <v>54894</v>
      </c>
      <c r="B4334" s="8" t="s">
        <v>57086</v>
      </c>
    </row>
    <row r="4335" spans="1:2" ht="14.5" x14ac:dyDescent="0.35">
      <c r="A4335" s="8" t="s">
        <v>54894</v>
      </c>
      <c r="B4335" s="8" t="s">
        <v>56979</v>
      </c>
    </row>
    <row r="4336" spans="1:2" ht="14.5" x14ac:dyDescent="0.35">
      <c r="A4336" s="8" t="s">
        <v>54894</v>
      </c>
      <c r="B4336" s="8" t="s">
        <v>57434</v>
      </c>
    </row>
    <row r="4337" spans="1:2" ht="14.5" x14ac:dyDescent="0.35">
      <c r="A4337" s="8" t="s">
        <v>54894</v>
      </c>
      <c r="B4337" s="8" t="s">
        <v>57435</v>
      </c>
    </row>
    <row r="4338" spans="1:2" ht="14.5" x14ac:dyDescent="0.35">
      <c r="A4338" s="8" t="s">
        <v>54894</v>
      </c>
      <c r="B4338" s="8" t="s">
        <v>57435</v>
      </c>
    </row>
    <row r="4339" spans="1:2" ht="14.5" x14ac:dyDescent="0.35">
      <c r="A4339" s="8" t="s">
        <v>54894</v>
      </c>
      <c r="B4339" s="8" t="s">
        <v>55806</v>
      </c>
    </row>
    <row r="4340" spans="1:2" ht="14.5" x14ac:dyDescent="0.35">
      <c r="A4340" s="8" t="s">
        <v>54894</v>
      </c>
      <c r="B4340" s="8" t="s">
        <v>55807</v>
      </c>
    </row>
    <row r="4341" spans="1:2" ht="14.5" x14ac:dyDescent="0.35">
      <c r="A4341" s="8" t="s">
        <v>54894</v>
      </c>
      <c r="B4341" s="8" t="s">
        <v>55808</v>
      </c>
    </row>
    <row r="4342" spans="1:2" ht="14.5" x14ac:dyDescent="0.35">
      <c r="A4342" s="8" t="s">
        <v>54894</v>
      </c>
      <c r="B4342" s="8" t="s">
        <v>57436</v>
      </c>
    </row>
    <row r="4343" spans="1:2" ht="14.5" x14ac:dyDescent="0.35">
      <c r="A4343" s="8" t="s">
        <v>54894</v>
      </c>
      <c r="B4343" s="8" t="s">
        <v>57437</v>
      </c>
    </row>
    <row r="4344" spans="1:2" ht="14.5" x14ac:dyDescent="0.35">
      <c r="A4344" s="8" t="s">
        <v>54894</v>
      </c>
      <c r="B4344" s="8" t="s">
        <v>57116</v>
      </c>
    </row>
    <row r="4345" spans="1:2" ht="14.5" x14ac:dyDescent="0.35">
      <c r="A4345" s="8" t="s">
        <v>54894</v>
      </c>
      <c r="B4345" s="8" t="s">
        <v>57516</v>
      </c>
    </row>
    <row r="4346" spans="1:2" ht="14.5" x14ac:dyDescent="0.35">
      <c r="A4346" s="8" t="s">
        <v>54894</v>
      </c>
      <c r="B4346" s="8" t="s">
        <v>55809</v>
      </c>
    </row>
    <row r="4347" spans="1:2" ht="14.5" x14ac:dyDescent="0.35">
      <c r="A4347" s="8" t="s">
        <v>54894</v>
      </c>
      <c r="B4347" s="8" t="s">
        <v>56853</v>
      </c>
    </row>
    <row r="4348" spans="1:2" ht="14.5" x14ac:dyDescent="0.35">
      <c r="A4348" s="8" t="s">
        <v>54894</v>
      </c>
      <c r="B4348" s="8" t="s">
        <v>56854</v>
      </c>
    </row>
    <row r="4349" spans="1:2" ht="14.5" x14ac:dyDescent="0.35">
      <c r="A4349" s="8" t="s">
        <v>54894</v>
      </c>
      <c r="B4349" s="8" t="s">
        <v>56855</v>
      </c>
    </row>
    <row r="4350" spans="1:2" ht="14.5" x14ac:dyDescent="0.35">
      <c r="A4350" s="8" t="s">
        <v>54894</v>
      </c>
      <c r="B4350" s="8" t="s">
        <v>56856</v>
      </c>
    </row>
    <row r="4351" spans="1:2" ht="14.5" x14ac:dyDescent="0.35">
      <c r="A4351" s="8" t="s">
        <v>54894</v>
      </c>
      <c r="B4351" s="8" t="s">
        <v>56857</v>
      </c>
    </row>
    <row r="4352" spans="1:2" ht="14.5" x14ac:dyDescent="0.35">
      <c r="A4352" s="8" t="s">
        <v>54894</v>
      </c>
      <c r="B4352" s="8" t="s">
        <v>56858</v>
      </c>
    </row>
    <row r="4353" spans="1:2" ht="14.5" x14ac:dyDescent="0.35">
      <c r="A4353" s="8" t="s">
        <v>54894</v>
      </c>
      <c r="B4353" s="8" t="s">
        <v>56859</v>
      </c>
    </row>
    <row r="4354" spans="1:2" ht="14.5" x14ac:dyDescent="0.35">
      <c r="A4354" s="8" t="s">
        <v>54894</v>
      </c>
      <c r="B4354" s="8" t="s">
        <v>56860</v>
      </c>
    </row>
    <row r="4355" spans="1:2" ht="14.5" x14ac:dyDescent="0.35">
      <c r="A4355" s="8" t="s">
        <v>54894</v>
      </c>
      <c r="B4355" s="8" t="s">
        <v>56861</v>
      </c>
    </row>
    <row r="4356" spans="1:2" ht="14.5" x14ac:dyDescent="0.35">
      <c r="A4356" s="8" t="s">
        <v>54894</v>
      </c>
      <c r="B4356" s="8" t="s">
        <v>56862</v>
      </c>
    </row>
    <row r="4357" spans="1:2" ht="14.5" x14ac:dyDescent="0.35">
      <c r="A4357" s="8" t="s">
        <v>54894</v>
      </c>
      <c r="B4357" s="8" t="s">
        <v>56863</v>
      </c>
    </row>
    <row r="4358" spans="1:2" ht="14.5" x14ac:dyDescent="0.35">
      <c r="A4358" s="8" t="s">
        <v>54894</v>
      </c>
      <c r="B4358" s="8" t="s">
        <v>56864</v>
      </c>
    </row>
    <row r="4359" spans="1:2" ht="14.5" x14ac:dyDescent="0.35">
      <c r="A4359" s="8" t="s">
        <v>54894</v>
      </c>
      <c r="B4359" s="8" t="s">
        <v>56865</v>
      </c>
    </row>
    <row r="4360" spans="1:2" ht="14.5" x14ac:dyDescent="0.35">
      <c r="A4360" s="8" t="s">
        <v>54894</v>
      </c>
      <c r="B4360" s="8" t="s">
        <v>56866</v>
      </c>
    </row>
    <row r="4361" spans="1:2" ht="14.5" x14ac:dyDescent="0.35">
      <c r="A4361" s="8" t="s">
        <v>54894</v>
      </c>
      <c r="B4361" s="8" t="s">
        <v>57438</v>
      </c>
    </row>
    <row r="4362" spans="1:2" ht="14.5" x14ac:dyDescent="0.35">
      <c r="A4362" s="8" t="s">
        <v>54894</v>
      </c>
      <c r="B4362" s="8" t="s">
        <v>57438</v>
      </c>
    </row>
    <row r="4363" spans="1:2" ht="14.5" x14ac:dyDescent="0.35">
      <c r="A4363" s="8" t="s">
        <v>54894</v>
      </c>
      <c r="B4363" s="8" t="s">
        <v>57438</v>
      </c>
    </row>
    <row r="4364" spans="1:2" ht="14.5" x14ac:dyDescent="0.35">
      <c r="A4364" s="8" t="s">
        <v>54894</v>
      </c>
      <c r="B4364" s="8" t="s">
        <v>56032</v>
      </c>
    </row>
    <row r="4365" spans="1:2" ht="14.5" x14ac:dyDescent="0.35">
      <c r="A4365" s="8" t="s">
        <v>54894</v>
      </c>
      <c r="B4365" s="8" t="s">
        <v>56033</v>
      </c>
    </row>
    <row r="4366" spans="1:2" ht="14.5" x14ac:dyDescent="0.35">
      <c r="A4366" s="8" t="s">
        <v>54894</v>
      </c>
      <c r="B4366" s="8" t="s">
        <v>57439</v>
      </c>
    </row>
    <row r="4367" spans="1:2" ht="14.5" x14ac:dyDescent="0.35">
      <c r="A4367" s="8" t="s">
        <v>54894</v>
      </c>
      <c r="B4367" s="8" t="s">
        <v>56034</v>
      </c>
    </row>
    <row r="4368" spans="1:2" ht="14.5" x14ac:dyDescent="0.35">
      <c r="A4368" s="8" t="s">
        <v>54894</v>
      </c>
      <c r="B4368" s="8" t="s">
        <v>55810</v>
      </c>
    </row>
    <row r="4369" spans="1:2" ht="14.5" x14ac:dyDescent="0.35">
      <c r="A4369" s="8" t="s">
        <v>54894</v>
      </c>
      <c r="B4369" s="8" t="s">
        <v>55811</v>
      </c>
    </row>
    <row r="4370" spans="1:2" ht="14.5" x14ac:dyDescent="0.35">
      <c r="A4370" s="8" t="s">
        <v>54894</v>
      </c>
      <c r="B4370" s="8" t="s">
        <v>56035</v>
      </c>
    </row>
    <row r="4371" spans="1:2" ht="14.5" x14ac:dyDescent="0.35">
      <c r="A4371" s="8" t="s">
        <v>54894</v>
      </c>
      <c r="B4371" s="8" t="s">
        <v>57440</v>
      </c>
    </row>
    <row r="4372" spans="1:2" ht="14.5" x14ac:dyDescent="0.35">
      <c r="A4372" s="8" t="s">
        <v>54894</v>
      </c>
      <c r="B4372" s="8" t="s">
        <v>54912</v>
      </c>
    </row>
    <row r="4373" spans="1:2" ht="14.5" x14ac:dyDescent="0.35">
      <c r="A4373" s="8" t="s">
        <v>54894</v>
      </c>
      <c r="B4373" s="8" t="s">
        <v>54912</v>
      </c>
    </row>
    <row r="4374" spans="1:2" ht="14.5" x14ac:dyDescent="0.35">
      <c r="A4374" s="8" t="s">
        <v>54894</v>
      </c>
      <c r="B4374" s="8" t="s">
        <v>54912</v>
      </c>
    </row>
    <row r="4375" spans="1:2" ht="14.5" x14ac:dyDescent="0.35">
      <c r="A4375" s="8" t="s">
        <v>54894</v>
      </c>
      <c r="B4375" s="8" t="s">
        <v>55812</v>
      </c>
    </row>
    <row r="4376" spans="1:2" ht="14.5" x14ac:dyDescent="0.35">
      <c r="A4376" s="8" t="s">
        <v>54894</v>
      </c>
      <c r="B4376" s="8" t="s">
        <v>55813</v>
      </c>
    </row>
    <row r="4377" spans="1:2" ht="14.5" x14ac:dyDescent="0.35">
      <c r="A4377" s="8" t="s">
        <v>54894</v>
      </c>
      <c r="B4377" s="8" t="s">
        <v>55814</v>
      </c>
    </row>
    <row r="4378" spans="1:2" ht="14.5" x14ac:dyDescent="0.35">
      <c r="A4378" s="8" t="s">
        <v>54894</v>
      </c>
      <c r="B4378" s="8" t="s">
        <v>57441</v>
      </c>
    </row>
    <row r="4379" spans="1:2" ht="14.5" x14ac:dyDescent="0.35">
      <c r="A4379" s="8" t="s">
        <v>54894</v>
      </c>
      <c r="B4379" s="8" t="s">
        <v>55632</v>
      </c>
    </row>
    <row r="4380" spans="1:2" ht="14.5" x14ac:dyDescent="0.35">
      <c r="A4380" s="8" t="s">
        <v>54894</v>
      </c>
      <c r="B4380" s="8" t="s">
        <v>57442</v>
      </c>
    </row>
    <row r="4381" spans="1:2" ht="14.5" x14ac:dyDescent="0.35">
      <c r="A4381" s="8" t="s">
        <v>54894</v>
      </c>
      <c r="B4381" s="8" t="s">
        <v>54913</v>
      </c>
    </row>
    <row r="4382" spans="1:2" ht="14.5" x14ac:dyDescent="0.35">
      <c r="A4382" s="8" t="s">
        <v>54894</v>
      </c>
      <c r="B4382" s="8" t="s">
        <v>54913</v>
      </c>
    </row>
    <row r="4383" spans="1:2" ht="14.5" x14ac:dyDescent="0.35">
      <c r="A4383" s="8" t="s">
        <v>54894</v>
      </c>
      <c r="B4383" s="8" t="s">
        <v>56696</v>
      </c>
    </row>
    <row r="4384" spans="1:2" ht="14.5" x14ac:dyDescent="0.35">
      <c r="A4384" s="8" t="s">
        <v>54894</v>
      </c>
      <c r="B4384" s="8" t="s">
        <v>55633</v>
      </c>
    </row>
    <row r="4385" spans="1:2" ht="14.5" x14ac:dyDescent="0.35">
      <c r="A4385" s="8" t="s">
        <v>54894</v>
      </c>
      <c r="B4385" s="8" t="s">
        <v>57443</v>
      </c>
    </row>
    <row r="4386" spans="1:2" ht="14.5" x14ac:dyDescent="0.35">
      <c r="A4386" s="8" t="s">
        <v>54894</v>
      </c>
      <c r="B4386" s="8" t="s">
        <v>57444</v>
      </c>
    </row>
    <row r="4387" spans="1:2" ht="14.5" x14ac:dyDescent="0.35">
      <c r="A4387" s="8" t="s">
        <v>54894</v>
      </c>
      <c r="B4387" s="8" t="s">
        <v>54914</v>
      </c>
    </row>
    <row r="4388" spans="1:2" ht="14.5" x14ac:dyDescent="0.35">
      <c r="A4388" s="8" t="s">
        <v>54894</v>
      </c>
      <c r="B4388" s="8" t="s">
        <v>54915</v>
      </c>
    </row>
    <row r="4389" spans="1:2" ht="14.5" x14ac:dyDescent="0.35">
      <c r="A4389" s="8" t="s">
        <v>54894</v>
      </c>
      <c r="B4389" s="8" t="s">
        <v>57117</v>
      </c>
    </row>
    <row r="4390" spans="1:2" ht="14.5" x14ac:dyDescent="0.35">
      <c r="A4390" s="8" t="s">
        <v>54894</v>
      </c>
      <c r="B4390" s="8" t="s">
        <v>57237</v>
      </c>
    </row>
    <row r="4391" spans="1:2" ht="14.5" x14ac:dyDescent="0.35">
      <c r="A4391" s="8" t="s">
        <v>54894</v>
      </c>
      <c r="B4391" s="8" t="s">
        <v>57237</v>
      </c>
    </row>
    <row r="4392" spans="1:2" ht="14.5" x14ac:dyDescent="0.35">
      <c r="A4392" s="8" t="s">
        <v>54894</v>
      </c>
      <c r="B4392" s="8" t="s">
        <v>57237</v>
      </c>
    </row>
    <row r="4393" spans="1:2" ht="14.5" x14ac:dyDescent="0.35">
      <c r="A4393" s="8" t="s">
        <v>54894</v>
      </c>
      <c r="B4393" s="8" t="s">
        <v>57237</v>
      </c>
    </row>
    <row r="4394" spans="1:2" ht="14.5" x14ac:dyDescent="0.35">
      <c r="A4394" s="8" t="s">
        <v>54894</v>
      </c>
      <c r="B4394" s="8" t="s">
        <v>55815</v>
      </c>
    </row>
    <row r="4395" spans="1:2" ht="14.5" x14ac:dyDescent="0.35">
      <c r="A4395" s="8" t="s">
        <v>54894</v>
      </c>
      <c r="B4395" s="8" t="s">
        <v>55816</v>
      </c>
    </row>
    <row r="4396" spans="1:2" ht="14.5" x14ac:dyDescent="0.35">
      <c r="A4396" s="8" t="s">
        <v>54894</v>
      </c>
      <c r="B4396" s="8" t="s">
        <v>57445</v>
      </c>
    </row>
    <row r="4397" spans="1:2" ht="14.5" x14ac:dyDescent="0.35">
      <c r="A4397" s="8" t="s">
        <v>54894</v>
      </c>
      <c r="B4397" s="8" t="s">
        <v>55817</v>
      </c>
    </row>
    <row r="4398" spans="1:2" ht="14.5" x14ac:dyDescent="0.35">
      <c r="A4398" s="8" t="s">
        <v>54894</v>
      </c>
      <c r="B4398" s="8" t="s">
        <v>55818</v>
      </c>
    </row>
    <row r="4399" spans="1:2" ht="14.5" x14ac:dyDescent="0.35">
      <c r="A4399" s="8" t="s">
        <v>54894</v>
      </c>
      <c r="B4399" s="8" t="s">
        <v>56697</v>
      </c>
    </row>
    <row r="4400" spans="1:2" ht="14.5" x14ac:dyDescent="0.35">
      <c r="A4400" s="8" t="s">
        <v>54894</v>
      </c>
      <c r="B4400" s="8" t="s">
        <v>55819</v>
      </c>
    </row>
    <row r="4401" spans="1:2" ht="14.5" x14ac:dyDescent="0.35">
      <c r="A4401" s="8" t="s">
        <v>54894</v>
      </c>
      <c r="B4401" s="8" t="s">
        <v>57446</v>
      </c>
    </row>
    <row r="4402" spans="1:2" ht="14.5" x14ac:dyDescent="0.35">
      <c r="A4402" s="8" t="s">
        <v>54894</v>
      </c>
      <c r="B4402" s="8" t="s">
        <v>57621</v>
      </c>
    </row>
    <row r="4403" spans="1:2" ht="14.5" x14ac:dyDescent="0.35">
      <c r="A4403" s="8" t="s">
        <v>54894</v>
      </c>
      <c r="B4403" s="8" t="s">
        <v>58119</v>
      </c>
    </row>
    <row r="4404" spans="1:2" ht="14.5" x14ac:dyDescent="0.35">
      <c r="A4404" s="8" t="s">
        <v>54894</v>
      </c>
      <c r="B4404" s="8" t="s">
        <v>57447</v>
      </c>
    </row>
    <row r="4405" spans="1:2" ht="14.5" x14ac:dyDescent="0.35">
      <c r="A4405" s="8" t="s">
        <v>54894</v>
      </c>
      <c r="B4405" s="8" t="s">
        <v>57622</v>
      </c>
    </row>
    <row r="4406" spans="1:2" ht="14.5" x14ac:dyDescent="0.35">
      <c r="A4406" s="8" t="s">
        <v>54894</v>
      </c>
      <c r="B4406" s="8" t="s">
        <v>57448</v>
      </c>
    </row>
    <row r="4407" spans="1:2" ht="14.5" x14ac:dyDescent="0.35">
      <c r="A4407" s="8" t="s">
        <v>54894</v>
      </c>
      <c r="B4407" s="8" t="s">
        <v>57449</v>
      </c>
    </row>
    <row r="4408" spans="1:2" ht="14.5" x14ac:dyDescent="0.35">
      <c r="A4408" s="8" t="s">
        <v>54894</v>
      </c>
      <c r="B4408" s="8" t="s">
        <v>55820</v>
      </c>
    </row>
    <row r="4409" spans="1:2" ht="14.5" x14ac:dyDescent="0.35">
      <c r="A4409" s="8" t="s">
        <v>54894</v>
      </c>
      <c r="B4409" s="8" t="s">
        <v>55821</v>
      </c>
    </row>
    <row r="4410" spans="1:2" ht="14.5" x14ac:dyDescent="0.35">
      <c r="A4410" s="8" t="s">
        <v>54894</v>
      </c>
      <c r="B4410" s="8" t="s">
        <v>55822</v>
      </c>
    </row>
    <row r="4411" spans="1:2" ht="14.5" x14ac:dyDescent="0.35">
      <c r="A4411" s="8" t="s">
        <v>54894</v>
      </c>
      <c r="B4411" s="8" t="s">
        <v>55823</v>
      </c>
    </row>
    <row r="4412" spans="1:2" ht="14.5" x14ac:dyDescent="0.35">
      <c r="A4412" s="8" t="s">
        <v>54894</v>
      </c>
      <c r="B4412" s="8" t="s">
        <v>57450</v>
      </c>
    </row>
    <row r="4413" spans="1:2" ht="14.5" x14ac:dyDescent="0.35">
      <c r="A4413" s="8" t="s">
        <v>54894</v>
      </c>
      <c r="B4413" s="8" t="s">
        <v>57451</v>
      </c>
    </row>
    <row r="4414" spans="1:2" ht="14.5" x14ac:dyDescent="0.35">
      <c r="A4414" s="8" t="s">
        <v>54894</v>
      </c>
      <c r="B4414" s="8" t="s">
        <v>57452</v>
      </c>
    </row>
    <row r="4415" spans="1:2" ht="14.5" x14ac:dyDescent="0.35">
      <c r="A4415" s="8" t="s">
        <v>54894</v>
      </c>
      <c r="B4415" s="8" t="s">
        <v>55824</v>
      </c>
    </row>
    <row r="4416" spans="1:2" ht="14.5" x14ac:dyDescent="0.35">
      <c r="A4416" s="8" t="s">
        <v>54894</v>
      </c>
      <c r="B4416" s="8" t="s">
        <v>55310</v>
      </c>
    </row>
    <row r="4417" spans="1:2" ht="14.5" x14ac:dyDescent="0.35">
      <c r="A4417" s="8" t="s">
        <v>54894</v>
      </c>
      <c r="B4417" s="8" t="s">
        <v>57453</v>
      </c>
    </row>
    <row r="4418" spans="1:2" ht="14.5" x14ac:dyDescent="0.35">
      <c r="A4418" s="8" t="s">
        <v>54894</v>
      </c>
      <c r="B4418" s="8" t="s">
        <v>54916</v>
      </c>
    </row>
    <row r="4419" spans="1:2" ht="14.5" x14ac:dyDescent="0.35">
      <c r="A4419" s="8" t="s">
        <v>54894</v>
      </c>
      <c r="B4419" s="8" t="s">
        <v>54916</v>
      </c>
    </row>
    <row r="4420" spans="1:2" ht="14.5" x14ac:dyDescent="0.35">
      <c r="A4420" s="8" t="s">
        <v>54894</v>
      </c>
      <c r="B4420" s="8" t="s">
        <v>54917</v>
      </c>
    </row>
    <row r="4421" spans="1:2" ht="14.5" x14ac:dyDescent="0.35">
      <c r="A4421" s="8" t="s">
        <v>54894</v>
      </c>
      <c r="B4421" s="8" t="s">
        <v>57454</v>
      </c>
    </row>
    <row r="4422" spans="1:2" ht="14.5" x14ac:dyDescent="0.35">
      <c r="A4422" s="8" t="s">
        <v>54894</v>
      </c>
      <c r="B4422" s="8" t="s">
        <v>54918</v>
      </c>
    </row>
    <row r="4423" spans="1:2" ht="14.5" x14ac:dyDescent="0.35">
      <c r="A4423" s="8" t="s">
        <v>54894</v>
      </c>
      <c r="B4423" s="8" t="s">
        <v>57455</v>
      </c>
    </row>
    <row r="4424" spans="1:2" ht="14.5" x14ac:dyDescent="0.35">
      <c r="A4424" s="8" t="s">
        <v>54894</v>
      </c>
      <c r="B4424" s="8" t="s">
        <v>57455</v>
      </c>
    </row>
    <row r="4425" spans="1:2" ht="14.5" x14ac:dyDescent="0.35">
      <c r="A4425" s="8" t="s">
        <v>54894</v>
      </c>
      <c r="B4425" s="8" t="s">
        <v>56980</v>
      </c>
    </row>
    <row r="4426" spans="1:2" ht="14.5" x14ac:dyDescent="0.35">
      <c r="A4426" s="8" t="s">
        <v>54894</v>
      </c>
      <c r="B4426" s="8" t="s">
        <v>57046</v>
      </c>
    </row>
    <row r="4427" spans="1:2" ht="14.5" x14ac:dyDescent="0.35">
      <c r="A4427" s="8" t="s">
        <v>54894</v>
      </c>
      <c r="B4427" s="8" t="s">
        <v>57118</v>
      </c>
    </row>
    <row r="4428" spans="1:2" ht="14.5" x14ac:dyDescent="0.35">
      <c r="A4428" s="8" t="s">
        <v>54894</v>
      </c>
      <c r="B4428" s="8" t="s">
        <v>57118</v>
      </c>
    </row>
    <row r="4429" spans="1:2" ht="14.5" x14ac:dyDescent="0.35">
      <c r="A4429" s="8" t="s">
        <v>54894</v>
      </c>
      <c r="B4429" s="8" t="s">
        <v>57118</v>
      </c>
    </row>
    <row r="4430" spans="1:2" ht="14.5" x14ac:dyDescent="0.35">
      <c r="A4430" s="8" t="s">
        <v>54894</v>
      </c>
      <c r="B4430" s="8" t="s">
        <v>57456</v>
      </c>
    </row>
    <row r="4431" spans="1:2" ht="14.5" x14ac:dyDescent="0.35">
      <c r="A4431" s="8" t="s">
        <v>54894</v>
      </c>
      <c r="B4431" s="8" t="s">
        <v>55825</v>
      </c>
    </row>
    <row r="4432" spans="1:2" ht="14.5" x14ac:dyDescent="0.35">
      <c r="A4432" s="8" t="s">
        <v>54894</v>
      </c>
      <c r="B4432" s="8" t="s">
        <v>56867</v>
      </c>
    </row>
    <row r="4433" spans="1:2" ht="14.5" x14ac:dyDescent="0.35">
      <c r="A4433" s="8" t="s">
        <v>54894</v>
      </c>
      <c r="B4433" s="8" t="s">
        <v>55826</v>
      </c>
    </row>
    <row r="4434" spans="1:2" ht="14.5" x14ac:dyDescent="0.35">
      <c r="A4434" s="8" t="s">
        <v>54894</v>
      </c>
      <c r="B4434" s="8" t="s">
        <v>56868</v>
      </c>
    </row>
    <row r="4435" spans="1:2" ht="14.5" x14ac:dyDescent="0.35">
      <c r="A4435" s="8" t="s">
        <v>54894</v>
      </c>
      <c r="B4435" s="8" t="s">
        <v>55827</v>
      </c>
    </row>
    <row r="4436" spans="1:2" ht="14.5" x14ac:dyDescent="0.35">
      <c r="A4436" s="8" t="s">
        <v>54894</v>
      </c>
      <c r="B4436" s="8" t="s">
        <v>55828</v>
      </c>
    </row>
    <row r="4437" spans="1:2" ht="14.5" x14ac:dyDescent="0.35">
      <c r="A4437" s="8" t="s">
        <v>54894</v>
      </c>
      <c r="B4437" s="8" t="s">
        <v>56869</v>
      </c>
    </row>
    <row r="4438" spans="1:2" ht="14.5" x14ac:dyDescent="0.35">
      <c r="A4438" s="8" t="s">
        <v>54894</v>
      </c>
      <c r="B4438" s="8" t="s">
        <v>56698</v>
      </c>
    </row>
    <row r="4439" spans="1:2" ht="14.5" x14ac:dyDescent="0.35">
      <c r="A4439" s="8" t="s">
        <v>54894</v>
      </c>
      <c r="B4439" s="8" t="s">
        <v>57457</v>
      </c>
    </row>
    <row r="4440" spans="1:2" ht="14.5" x14ac:dyDescent="0.35">
      <c r="A4440" s="8" t="s">
        <v>54894</v>
      </c>
      <c r="B4440" s="8" t="s">
        <v>56093</v>
      </c>
    </row>
    <row r="4441" spans="1:2" ht="14.5" x14ac:dyDescent="0.35">
      <c r="A4441" s="8" t="s">
        <v>54894</v>
      </c>
      <c r="B4441" s="8" t="s">
        <v>56870</v>
      </c>
    </row>
    <row r="4442" spans="1:2" ht="14.5" x14ac:dyDescent="0.35">
      <c r="A4442" s="8" t="s">
        <v>54894</v>
      </c>
      <c r="B4442" s="8" t="s">
        <v>56871</v>
      </c>
    </row>
    <row r="4443" spans="1:2" ht="14.5" x14ac:dyDescent="0.35">
      <c r="A4443" s="8" t="s">
        <v>54894</v>
      </c>
      <c r="B4443" s="8" t="s">
        <v>56872</v>
      </c>
    </row>
    <row r="4444" spans="1:2" ht="14.5" x14ac:dyDescent="0.35">
      <c r="A4444" s="8" t="s">
        <v>54894</v>
      </c>
      <c r="B4444" s="8" t="s">
        <v>56873</v>
      </c>
    </row>
    <row r="4445" spans="1:2" ht="14.5" x14ac:dyDescent="0.35">
      <c r="A4445" s="8" t="s">
        <v>54894</v>
      </c>
      <c r="B4445" s="8" t="s">
        <v>56874</v>
      </c>
    </row>
    <row r="4446" spans="1:2" ht="14.5" x14ac:dyDescent="0.35">
      <c r="A4446" s="8" t="s">
        <v>54894</v>
      </c>
      <c r="B4446" s="8" t="s">
        <v>56875</v>
      </c>
    </row>
    <row r="4447" spans="1:2" ht="14.5" x14ac:dyDescent="0.35">
      <c r="A4447" s="8" t="s">
        <v>54894</v>
      </c>
      <c r="B4447" s="8" t="s">
        <v>56876</v>
      </c>
    </row>
    <row r="4448" spans="1:2" ht="14.5" x14ac:dyDescent="0.35">
      <c r="A4448" s="8" t="s">
        <v>54894</v>
      </c>
      <c r="B4448" s="8" t="s">
        <v>56877</v>
      </c>
    </row>
    <row r="4449" spans="1:2" ht="14.5" x14ac:dyDescent="0.35">
      <c r="A4449" s="8" t="s">
        <v>54894</v>
      </c>
      <c r="B4449" s="8" t="s">
        <v>56878</v>
      </c>
    </row>
    <row r="4450" spans="1:2" ht="14.5" x14ac:dyDescent="0.35">
      <c r="A4450" s="8" t="s">
        <v>54894</v>
      </c>
      <c r="B4450" s="8" t="s">
        <v>56879</v>
      </c>
    </row>
    <row r="4451" spans="1:2" ht="14.5" x14ac:dyDescent="0.35">
      <c r="A4451" s="8" t="s">
        <v>54894</v>
      </c>
      <c r="B4451" s="8" t="s">
        <v>56880</v>
      </c>
    </row>
    <row r="4452" spans="1:2" ht="14.5" x14ac:dyDescent="0.35">
      <c r="A4452" s="8" t="s">
        <v>54894</v>
      </c>
      <c r="B4452" s="8" t="s">
        <v>56881</v>
      </c>
    </row>
    <row r="4453" spans="1:2" ht="14.5" x14ac:dyDescent="0.35">
      <c r="A4453" s="8" t="s">
        <v>54894</v>
      </c>
      <c r="B4453" s="8" t="s">
        <v>57119</v>
      </c>
    </row>
    <row r="4454" spans="1:2" ht="14.5" x14ac:dyDescent="0.35">
      <c r="A4454" s="8" t="s">
        <v>54894</v>
      </c>
      <c r="B4454" s="8" t="s">
        <v>57135</v>
      </c>
    </row>
    <row r="4455" spans="1:2" ht="14.5" x14ac:dyDescent="0.35">
      <c r="A4455" s="8" t="s">
        <v>54894</v>
      </c>
      <c r="B4455" s="8" t="s">
        <v>55737</v>
      </c>
    </row>
    <row r="4456" spans="1:2" ht="14.5" x14ac:dyDescent="0.35">
      <c r="A4456" s="8" t="s">
        <v>54894</v>
      </c>
      <c r="B4456" s="8" t="s">
        <v>58120</v>
      </c>
    </row>
    <row r="4457" spans="1:2" ht="14.5" x14ac:dyDescent="0.35">
      <c r="A4457" s="8" t="s">
        <v>54894</v>
      </c>
      <c r="B4457" s="8" t="s">
        <v>56014</v>
      </c>
    </row>
    <row r="4458" spans="1:2" ht="14.5" x14ac:dyDescent="0.35">
      <c r="A4458" s="8" t="s">
        <v>54894</v>
      </c>
      <c r="B4458" s="8" t="s">
        <v>56882</v>
      </c>
    </row>
    <row r="4459" spans="1:2" ht="14.5" x14ac:dyDescent="0.35">
      <c r="A4459" s="8" t="s">
        <v>54894</v>
      </c>
      <c r="B4459" s="8" t="s">
        <v>56883</v>
      </c>
    </row>
    <row r="4460" spans="1:2" ht="14.5" x14ac:dyDescent="0.35">
      <c r="A4460" s="8" t="s">
        <v>54894</v>
      </c>
      <c r="B4460" s="8" t="s">
        <v>56884</v>
      </c>
    </row>
    <row r="4461" spans="1:2" ht="14.5" x14ac:dyDescent="0.35">
      <c r="A4461" s="8" t="s">
        <v>54894</v>
      </c>
      <c r="B4461" s="8" t="s">
        <v>56885</v>
      </c>
    </row>
    <row r="4462" spans="1:2" ht="14.5" x14ac:dyDescent="0.35">
      <c r="A4462" s="8" t="s">
        <v>54894</v>
      </c>
      <c r="B4462" s="8" t="s">
        <v>56886</v>
      </c>
    </row>
    <row r="4463" spans="1:2" ht="14.5" x14ac:dyDescent="0.35">
      <c r="A4463" s="8" t="s">
        <v>54894</v>
      </c>
      <c r="B4463" s="8" t="s">
        <v>56887</v>
      </c>
    </row>
    <row r="4464" spans="1:2" ht="14.5" x14ac:dyDescent="0.35">
      <c r="A4464" s="8" t="s">
        <v>54894</v>
      </c>
      <c r="B4464" s="8" t="s">
        <v>55718</v>
      </c>
    </row>
    <row r="4465" spans="1:2" ht="14.5" x14ac:dyDescent="0.35">
      <c r="A4465" s="8" t="s">
        <v>54894</v>
      </c>
      <c r="B4465" s="8" t="s">
        <v>55297</v>
      </c>
    </row>
    <row r="4466" spans="1:2" ht="14.5" x14ac:dyDescent="0.35">
      <c r="A4466" s="8" t="s">
        <v>54894</v>
      </c>
      <c r="B4466" s="8" t="s">
        <v>58409</v>
      </c>
    </row>
    <row r="4467" spans="1:2" ht="14.5" x14ac:dyDescent="0.35">
      <c r="A4467" s="8" t="s">
        <v>54894</v>
      </c>
      <c r="B4467" s="8" t="s">
        <v>57623</v>
      </c>
    </row>
    <row r="4468" spans="1:2" ht="14.5" x14ac:dyDescent="0.35">
      <c r="A4468" s="8" t="s">
        <v>54894</v>
      </c>
      <c r="B4468" s="8" t="s">
        <v>56185</v>
      </c>
    </row>
    <row r="4469" spans="1:2" ht="14.5" x14ac:dyDescent="0.35">
      <c r="A4469" s="8" t="s">
        <v>54894</v>
      </c>
      <c r="B4469" s="8" t="s">
        <v>57860</v>
      </c>
    </row>
    <row r="4470" spans="1:2" ht="14.5" x14ac:dyDescent="0.35">
      <c r="A4470" s="8" t="s">
        <v>54894</v>
      </c>
      <c r="B4470" s="8" t="s">
        <v>56314</v>
      </c>
    </row>
    <row r="4471" spans="1:2" ht="14.5" x14ac:dyDescent="0.35">
      <c r="A4471" s="8" t="s">
        <v>54894</v>
      </c>
      <c r="B4471" s="8" t="s">
        <v>56315</v>
      </c>
    </row>
    <row r="4472" spans="1:2" ht="14.5" x14ac:dyDescent="0.35">
      <c r="A4472" s="8" t="s">
        <v>54894</v>
      </c>
      <c r="B4472" s="8" t="s">
        <v>58030</v>
      </c>
    </row>
    <row r="4473" spans="1:2" ht="14.5" x14ac:dyDescent="0.35">
      <c r="A4473" s="8" t="s">
        <v>54894</v>
      </c>
      <c r="B4473" s="8" t="s">
        <v>56226</v>
      </c>
    </row>
    <row r="4474" spans="1:2" ht="14.5" x14ac:dyDescent="0.35">
      <c r="A4474" s="8" t="s">
        <v>54894</v>
      </c>
      <c r="B4474" s="8" t="s">
        <v>56888</v>
      </c>
    </row>
    <row r="4475" spans="1:2" ht="14.5" x14ac:dyDescent="0.35">
      <c r="A4475" s="8" t="s">
        <v>54894</v>
      </c>
      <c r="B4475" s="8" t="s">
        <v>56889</v>
      </c>
    </row>
    <row r="4476" spans="1:2" ht="14.5" x14ac:dyDescent="0.35">
      <c r="A4476" s="8" t="s">
        <v>54894</v>
      </c>
      <c r="B4476" s="8" t="s">
        <v>58199</v>
      </c>
    </row>
    <row r="4477" spans="1:2" ht="14.5" x14ac:dyDescent="0.35">
      <c r="A4477" s="8" t="s">
        <v>54894</v>
      </c>
      <c r="B4477" s="8" t="s">
        <v>56890</v>
      </c>
    </row>
    <row r="4478" spans="1:2" ht="14.5" x14ac:dyDescent="0.35">
      <c r="A4478" s="8" t="s">
        <v>54894</v>
      </c>
      <c r="B4478" s="8" t="s">
        <v>55829</v>
      </c>
    </row>
    <row r="4479" spans="1:2" ht="14.5" x14ac:dyDescent="0.35">
      <c r="A4479" s="8" t="s">
        <v>54894</v>
      </c>
      <c r="B4479" s="8" t="s">
        <v>58200</v>
      </c>
    </row>
    <row r="4480" spans="1:2" ht="14.5" x14ac:dyDescent="0.35">
      <c r="A4480" s="8" t="s">
        <v>54894</v>
      </c>
      <c r="B4480" s="8" t="s">
        <v>58266</v>
      </c>
    </row>
    <row r="4481" spans="1:2" ht="14.5" x14ac:dyDescent="0.35">
      <c r="A4481" s="8" t="s">
        <v>54894</v>
      </c>
      <c r="B4481" s="8" t="s">
        <v>55558</v>
      </c>
    </row>
    <row r="4482" spans="1:2" ht="14.5" x14ac:dyDescent="0.35">
      <c r="A4482" s="8" t="s">
        <v>54894</v>
      </c>
      <c r="B4482" s="8" t="s">
        <v>57685</v>
      </c>
    </row>
    <row r="4483" spans="1:2" ht="14.5" x14ac:dyDescent="0.35">
      <c r="A4483" s="8" t="s">
        <v>54894</v>
      </c>
      <c r="B4483" s="8" t="s">
        <v>54388</v>
      </c>
    </row>
    <row r="4484" spans="1:2" ht="14.5" x14ac:dyDescent="0.35">
      <c r="A4484" s="8" t="s">
        <v>54894</v>
      </c>
      <c r="B4484" s="8" t="s">
        <v>55544</v>
      </c>
    </row>
    <row r="4485" spans="1:2" ht="14.5" x14ac:dyDescent="0.35">
      <c r="A4485" s="8" t="s">
        <v>54894</v>
      </c>
      <c r="B4485" s="8" t="s">
        <v>55933</v>
      </c>
    </row>
    <row r="4486" spans="1:2" ht="14.5" x14ac:dyDescent="0.35">
      <c r="A4486" s="8" t="s">
        <v>54894</v>
      </c>
      <c r="B4486" s="8" t="s">
        <v>55933</v>
      </c>
    </row>
    <row r="4487" spans="1:2" ht="14.5" x14ac:dyDescent="0.35">
      <c r="A4487" s="8" t="s">
        <v>54894</v>
      </c>
      <c r="B4487" s="8" t="s">
        <v>55934</v>
      </c>
    </row>
    <row r="4488" spans="1:2" ht="14.5" x14ac:dyDescent="0.35">
      <c r="A4488" s="8" t="s">
        <v>54894</v>
      </c>
      <c r="B4488" s="8" t="s">
        <v>55934</v>
      </c>
    </row>
    <row r="4489" spans="1:2" ht="14.5" x14ac:dyDescent="0.35">
      <c r="A4489" s="8" t="s">
        <v>54894</v>
      </c>
      <c r="B4489" s="8" t="s">
        <v>55935</v>
      </c>
    </row>
    <row r="4490" spans="1:2" ht="14.5" x14ac:dyDescent="0.35">
      <c r="A4490" s="8" t="s">
        <v>54894</v>
      </c>
      <c r="B4490" s="8" t="s">
        <v>55936</v>
      </c>
    </row>
    <row r="4491" spans="1:2" ht="14.5" x14ac:dyDescent="0.35">
      <c r="A4491" s="8" t="s">
        <v>54894</v>
      </c>
      <c r="B4491" s="8" t="s">
        <v>55937</v>
      </c>
    </row>
    <row r="4492" spans="1:2" ht="14.5" x14ac:dyDescent="0.35">
      <c r="A4492" s="8" t="s">
        <v>54894</v>
      </c>
      <c r="B4492" s="8" t="s">
        <v>56094</v>
      </c>
    </row>
    <row r="4493" spans="1:2" ht="14.5" x14ac:dyDescent="0.35">
      <c r="A4493" s="8" t="s">
        <v>54894</v>
      </c>
      <c r="B4493" s="8" t="s">
        <v>55849</v>
      </c>
    </row>
    <row r="4494" spans="1:2" ht="14.5" x14ac:dyDescent="0.35">
      <c r="A4494" s="8" t="s">
        <v>54894</v>
      </c>
      <c r="B4494" s="8" t="s">
        <v>56891</v>
      </c>
    </row>
    <row r="4495" spans="1:2" ht="14.5" x14ac:dyDescent="0.35">
      <c r="A4495" s="8" t="s">
        <v>54894</v>
      </c>
      <c r="B4495" s="8" t="s">
        <v>57517</v>
      </c>
    </row>
    <row r="4496" spans="1:2" ht="14.5" x14ac:dyDescent="0.35">
      <c r="A4496" s="8" t="s">
        <v>54894</v>
      </c>
      <c r="B4496" s="8" t="s">
        <v>55318</v>
      </c>
    </row>
    <row r="4497" spans="1:2" ht="14.5" x14ac:dyDescent="0.35">
      <c r="A4497" s="8" t="s">
        <v>54894</v>
      </c>
      <c r="B4497" s="8" t="s">
        <v>57624</v>
      </c>
    </row>
    <row r="4498" spans="1:2" ht="14.5" x14ac:dyDescent="0.35">
      <c r="A4498" s="8" t="s">
        <v>54894</v>
      </c>
      <c r="B4498" s="8" t="s">
        <v>58177</v>
      </c>
    </row>
    <row r="4499" spans="1:2" ht="14.5" x14ac:dyDescent="0.35">
      <c r="A4499" s="8" t="s">
        <v>54894</v>
      </c>
      <c r="B4499" s="8" t="s">
        <v>56095</v>
      </c>
    </row>
    <row r="4500" spans="1:2" ht="14.5" x14ac:dyDescent="0.35">
      <c r="A4500" s="8" t="s">
        <v>54894</v>
      </c>
      <c r="B4500" s="8" t="s">
        <v>57153</v>
      </c>
    </row>
    <row r="4501" spans="1:2" ht="14.5" x14ac:dyDescent="0.35">
      <c r="A4501" s="8" t="s">
        <v>54894</v>
      </c>
      <c r="B4501" s="8" t="s">
        <v>56571</v>
      </c>
    </row>
    <row r="4502" spans="1:2" ht="14.5" x14ac:dyDescent="0.35">
      <c r="A4502" s="8" t="s">
        <v>54894</v>
      </c>
      <c r="B4502" s="8" t="s">
        <v>57032</v>
      </c>
    </row>
    <row r="4503" spans="1:2" ht="14.5" x14ac:dyDescent="0.35">
      <c r="A4503" s="8" t="s">
        <v>54894</v>
      </c>
      <c r="B4503" s="8" t="s">
        <v>56545</v>
      </c>
    </row>
    <row r="4504" spans="1:2" ht="14.5" x14ac:dyDescent="0.35">
      <c r="A4504" s="8" t="s">
        <v>54894</v>
      </c>
      <c r="B4504" s="8" t="s">
        <v>57033</v>
      </c>
    </row>
    <row r="4505" spans="1:2" ht="14.5" x14ac:dyDescent="0.35">
      <c r="A4505" s="8" t="s">
        <v>54894</v>
      </c>
      <c r="B4505" s="8" t="s">
        <v>57149</v>
      </c>
    </row>
    <row r="4506" spans="1:2" ht="14.5" x14ac:dyDescent="0.35">
      <c r="A4506" s="8" t="s">
        <v>54894</v>
      </c>
      <c r="B4506" s="8" t="s">
        <v>57853</v>
      </c>
    </row>
    <row r="4507" spans="1:2" ht="14.5" x14ac:dyDescent="0.35">
      <c r="A4507" s="8" t="s">
        <v>54894</v>
      </c>
      <c r="B4507" s="8" t="s">
        <v>56334</v>
      </c>
    </row>
    <row r="4508" spans="1:2" ht="14.5" x14ac:dyDescent="0.35">
      <c r="A4508" s="8" t="s">
        <v>54894</v>
      </c>
      <c r="B4508" s="8" t="s">
        <v>56274</v>
      </c>
    </row>
    <row r="4509" spans="1:2" ht="14.5" x14ac:dyDescent="0.35">
      <c r="A4509" s="8" t="s">
        <v>54894</v>
      </c>
      <c r="B4509" s="8" t="s">
        <v>55355</v>
      </c>
    </row>
    <row r="4510" spans="1:2" ht="14.5" x14ac:dyDescent="0.35">
      <c r="A4510" s="8" t="s">
        <v>54894</v>
      </c>
      <c r="B4510" s="8" t="s">
        <v>57999</v>
      </c>
    </row>
    <row r="4511" spans="1:2" ht="14.5" x14ac:dyDescent="0.35">
      <c r="A4511" s="8" t="s">
        <v>54894</v>
      </c>
      <c r="B4511" s="8" t="s">
        <v>56096</v>
      </c>
    </row>
    <row r="4512" spans="1:2" ht="14.5" x14ac:dyDescent="0.35">
      <c r="A4512" s="8" t="s">
        <v>54894</v>
      </c>
      <c r="B4512" s="8" t="s">
        <v>57625</v>
      </c>
    </row>
    <row r="4513" spans="1:2" ht="14.5" x14ac:dyDescent="0.35">
      <c r="A4513" s="8" t="s">
        <v>54894</v>
      </c>
      <c r="B4513" s="8" t="s">
        <v>57034</v>
      </c>
    </row>
    <row r="4514" spans="1:2" ht="14.5" x14ac:dyDescent="0.35">
      <c r="A4514" s="8" t="s">
        <v>54894</v>
      </c>
      <c r="B4514" s="8" t="s">
        <v>56097</v>
      </c>
    </row>
    <row r="4515" spans="1:2" ht="14.5" x14ac:dyDescent="0.35">
      <c r="A4515" s="8" t="s">
        <v>54894</v>
      </c>
      <c r="B4515" s="8" t="s">
        <v>54944</v>
      </c>
    </row>
    <row r="4516" spans="1:2" ht="14.5" x14ac:dyDescent="0.35">
      <c r="A4516" s="8" t="s">
        <v>54894</v>
      </c>
      <c r="B4516" s="8" t="s">
        <v>56098</v>
      </c>
    </row>
    <row r="4517" spans="1:2" ht="14.5" x14ac:dyDescent="0.35">
      <c r="A4517" s="8" t="s">
        <v>54894</v>
      </c>
      <c r="B4517" s="8" t="s">
        <v>56227</v>
      </c>
    </row>
    <row r="4518" spans="1:2" ht="14.5" x14ac:dyDescent="0.35">
      <c r="A4518" s="8" t="s">
        <v>54894</v>
      </c>
      <c r="B4518" s="8" t="s">
        <v>57839</v>
      </c>
    </row>
    <row r="4519" spans="1:2" ht="14.5" x14ac:dyDescent="0.35">
      <c r="A4519" s="8" t="s">
        <v>54894</v>
      </c>
      <c r="B4519" s="8" t="s">
        <v>57016</v>
      </c>
    </row>
    <row r="4520" spans="1:2" ht="14.5" x14ac:dyDescent="0.35">
      <c r="A4520" s="8" t="s">
        <v>54894</v>
      </c>
      <c r="B4520" s="8" t="s">
        <v>54939</v>
      </c>
    </row>
    <row r="4521" spans="1:2" ht="14.5" x14ac:dyDescent="0.35">
      <c r="A4521" s="8" t="s">
        <v>54894</v>
      </c>
      <c r="B4521" s="8" t="s">
        <v>58000</v>
      </c>
    </row>
    <row r="4522" spans="1:2" ht="14.5" x14ac:dyDescent="0.35">
      <c r="A4522" s="8" t="s">
        <v>54894</v>
      </c>
      <c r="B4522" s="8" t="s">
        <v>56259</v>
      </c>
    </row>
    <row r="4523" spans="1:2" ht="14.5" x14ac:dyDescent="0.35">
      <c r="A4523" s="8" t="s">
        <v>54894</v>
      </c>
      <c r="B4523" s="8" t="s">
        <v>56259</v>
      </c>
    </row>
    <row r="4524" spans="1:2" ht="14.5" x14ac:dyDescent="0.35">
      <c r="A4524" s="8" t="s">
        <v>54894</v>
      </c>
      <c r="B4524" s="8" t="s">
        <v>55463</v>
      </c>
    </row>
    <row r="4525" spans="1:2" ht="14.5" x14ac:dyDescent="0.35">
      <c r="A4525" s="8" t="s">
        <v>54894</v>
      </c>
      <c r="B4525" s="8" t="s">
        <v>58382</v>
      </c>
    </row>
    <row r="4526" spans="1:2" ht="14.5" x14ac:dyDescent="0.35">
      <c r="A4526" s="8" t="s">
        <v>54894</v>
      </c>
      <c r="B4526" s="8" t="s">
        <v>58383</v>
      </c>
    </row>
    <row r="4527" spans="1:2" ht="14.5" x14ac:dyDescent="0.35">
      <c r="A4527" s="8" t="s">
        <v>54894</v>
      </c>
      <c r="B4527" s="8" t="s">
        <v>56099</v>
      </c>
    </row>
    <row r="4528" spans="1:2" ht="14.5" x14ac:dyDescent="0.35">
      <c r="A4528" s="8" t="s">
        <v>54894</v>
      </c>
      <c r="B4528" s="8" t="s">
        <v>55043</v>
      </c>
    </row>
    <row r="4529" spans="1:2" ht="14.5" x14ac:dyDescent="0.35">
      <c r="A4529" s="8" t="s">
        <v>54894</v>
      </c>
      <c r="B4529" s="8" t="s">
        <v>55899</v>
      </c>
    </row>
    <row r="4530" spans="1:2" ht="14.5" x14ac:dyDescent="0.35">
      <c r="A4530" s="8" t="s">
        <v>54894</v>
      </c>
      <c r="B4530" s="8" t="s">
        <v>56892</v>
      </c>
    </row>
    <row r="4531" spans="1:2" ht="14.5" x14ac:dyDescent="0.35">
      <c r="A4531" s="8" t="s">
        <v>54894</v>
      </c>
      <c r="B4531" s="8" t="s">
        <v>55275</v>
      </c>
    </row>
    <row r="4532" spans="1:2" ht="14.5" x14ac:dyDescent="0.35">
      <c r="A4532" s="8" t="s">
        <v>54894</v>
      </c>
      <c r="B4532" s="8" t="s">
        <v>55745</v>
      </c>
    </row>
    <row r="4533" spans="1:2" ht="14.5" x14ac:dyDescent="0.35">
      <c r="A4533" s="8" t="s">
        <v>54894</v>
      </c>
      <c r="B4533" s="8" t="s">
        <v>56228</v>
      </c>
    </row>
    <row r="4534" spans="1:2" ht="14.5" x14ac:dyDescent="0.35">
      <c r="A4534" s="8" t="s">
        <v>54894</v>
      </c>
      <c r="B4534" s="8" t="s">
        <v>56229</v>
      </c>
    </row>
    <row r="4535" spans="1:2" ht="14.5" x14ac:dyDescent="0.35">
      <c r="A4535" s="8" t="s">
        <v>54894</v>
      </c>
      <c r="B4535" s="8" t="s">
        <v>57286</v>
      </c>
    </row>
    <row r="4536" spans="1:2" ht="14.5" x14ac:dyDescent="0.35">
      <c r="A4536" s="8" t="s">
        <v>54894</v>
      </c>
      <c r="B4536" s="8" t="s">
        <v>57136</v>
      </c>
    </row>
    <row r="4537" spans="1:2" ht="14.5" x14ac:dyDescent="0.35">
      <c r="A4537" s="8" t="s">
        <v>54894</v>
      </c>
      <c r="B4537" s="8" t="s">
        <v>55679</v>
      </c>
    </row>
    <row r="4538" spans="1:2" ht="14.5" x14ac:dyDescent="0.35">
      <c r="A4538" s="8" t="s">
        <v>54894</v>
      </c>
      <c r="B4538" s="8" t="s">
        <v>55680</v>
      </c>
    </row>
    <row r="4539" spans="1:2" ht="14.5" x14ac:dyDescent="0.35">
      <c r="A4539" s="8" t="s">
        <v>54894</v>
      </c>
      <c r="B4539" s="8" t="s">
        <v>58178</v>
      </c>
    </row>
    <row r="4540" spans="1:2" ht="14.5" x14ac:dyDescent="0.35">
      <c r="A4540" s="8" t="s">
        <v>54894</v>
      </c>
      <c r="B4540" s="8" t="s">
        <v>55464</v>
      </c>
    </row>
    <row r="4541" spans="1:2" ht="14.5" x14ac:dyDescent="0.35">
      <c r="A4541" s="8" t="s">
        <v>54894</v>
      </c>
      <c r="B4541" s="8" t="s">
        <v>55178</v>
      </c>
    </row>
    <row r="4542" spans="1:2" ht="14.5" x14ac:dyDescent="0.35">
      <c r="A4542" s="8" t="s">
        <v>54894</v>
      </c>
      <c r="B4542" s="8" t="s">
        <v>57626</v>
      </c>
    </row>
    <row r="4543" spans="1:2" ht="14.5" x14ac:dyDescent="0.35">
      <c r="A4543" s="8" t="s">
        <v>54894</v>
      </c>
      <c r="B4543" s="8" t="s">
        <v>57626</v>
      </c>
    </row>
    <row r="4544" spans="1:2" ht="14.5" x14ac:dyDescent="0.35">
      <c r="A4544" s="8" t="s">
        <v>54894</v>
      </c>
      <c r="B4544" s="8" t="s">
        <v>58121</v>
      </c>
    </row>
    <row r="4545" spans="1:2" ht="14.5" x14ac:dyDescent="0.35">
      <c r="A4545" s="8" t="s">
        <v>54894</v>
      </c>
      <c r="B4545" s="8" t="s">
        <v>57825</v>
      </c>
    </row>
    <row r="4546" spans="1:2" ht="14.5" x14ac:dyDescent="0.35">
      <c r="A4546" s="8" t="s">
        <v>54894</v>
      </c>
      <c r="B4546" s="8" t="s">
        <v>57742</v>
      </c>
    </row>
    <row r="4547" spans="1:2" ht="14.5" x14ac:dyDescent="0.35">
      <c r="A4547" s="8" t="s">
        <v>54894</v>
      </c>
      <c r="B4547" s="8" t="s">
        <v>55485</v>
      </c>
    </row>
    <row r="4548" spans="1:2" ht="14.5" x14ac:dyDescent="0.35">
      <c r="A4548" s="8" t="s">
        <v>54894</v>
      </c>
      <c r="B4548" s="8" t="s">
        <v>55574</v>
      </c>
    </row>
    <row r="4549" spans="1:2" ht="14.5" x14ac:dyDescent="0.35">
      <c r="A4549" s="8" t="s">
        <v>54894</v>
      </c>
      <c r="B4549" s="8" t="s">
        <v>57627</v>
      </c>
    </row>
    <row r="4550" spans="1:2" ht="14.5" x14ac:dyDescent="0.35">
      <c r="A4550" s="8" t="s">
        <v>54894</v>
      </c>
      <c r="B4550" s="8" t="s">
        <v>57628</v>
      </c>
    </row>
    <row r="4551" spans="1:2" ht="14.5" x14ac:dyDescent="0.35">
      <c r="A4551" s="8" t="s">
        <v>54894</v>
      </c>
      <c r="B4551" s="8" t="s">
        <v>56703</v>
      </c>
    </row>
    <row r="4552" spans="1:2" ht="14.5" x14ac:dyDescent="0.35">
      <c r="A4552" s="8" t="s">
        <v>54894</v>
      </c>
      <c r="B4552" s="8" t="s">
        <v>58001</v>
      </c>
    </row>
    <row r="4553" spans="1:2" ht="14.5" x14ac:dyDescent="0.35">
      <c r="A4553" s="8" t="s">
        <v>54894</v>
      </c>
      <c r="B4553" s="8" t="s">
        <v>56000</v>
      </c>
    </row>
    <row r="4554" spans="1:2" ht="14.5" x14ac:dyDescent="0.35">
      <c r="A4554" s="8" t="s">
        <v>54894</v>
      </c>
      <c r="B4554" s="8" t="s">
        <v>57354</v>
      </c>
    </row>
    <row r="4555" spans="1:2" ht="14.5" x14ac:dyDescent="0.35">
      <c r="A4555" s="8" t="s">
        <v>54894</v>
      </c>
      <c r="B4555" s="8" t="s">
        <v>56100</v>
      </c>
    </row>
    <row r="4556" spans="1:2" ht="14.5" x14ac:dyDescent="0.35">
      <c r="A4556" s="8" t="s">
        <v>54894</v>
      </c>
      <c r="B4556" s="8" t="s">
        <v>58320</v>
      </c>
    </row>
    <row r="4557" spans="1:2" ht="14.5" x14ac:dyDescent="0.35">
      <c r="A4557" s="8" t="s">
        <v>54894</v>
      </c>
      <c r="B4557" s="8" t="s">
        <v>56286</v>
      </c>
    </row>
    <row r="4558" spans="1:2" ht="14.5" x14ac:dyDescent="0.35">
      <c r="A4558" s="8" t="s">
        <v>54894</v>
      </c>
      <c r="B4558" s="8" t="s">
        <v>56287</v>
      </c>
    </row>
    <row r="4559" spans="1:2" ht="14.5" x14ac:dyDescent="0.35">
      <c r="A4559" s="8" t="s">
        <v>54894</v>
      </c>
      <c r="B4559" s="8" t="s">
        <v>56251</v>
      </c>
    </row>
    <row r="4560" spans="1:2" ht="14.5" x14ac:dyDescent="0.35">
      <c r="A4560" s="8" t="s">
        <v>54894</v>
      </c>
      <c r="B4560" s="8" t="s">
        <v>56252</v>
      </c>
    </row>
    <row r="4561" spans="1:2" ht="14.5" x14ac:dyDescent="0.35">
      <c r="A4561" s="8" t="s">
        <v>54894</v>
      </c>
      <c r="B4561" s="8" t="s">
        <v>56981</v>
      </c>
    </row>
    <row r="4562" spans="1:2" ht="14.5" x14ac:dyDescent="0.35">
      <c r="A4562" s="8" t="s">
        <v>54894</v>
      </c>
      <c r="B4562" s="8" t="s">
        <v>56288</v>
      </c>
    </row>
    <row r="4563" spans="1:2" ht="14.5" x14ac:dyDescent="0.35">
      <c r="A4563" s="8" t="s">
        <v>54894</v>
      </c>
      <c r="B4563" s="8" t="s">
        <v>56289</v>
      </c>
    </row>
    <row r="4564" spans="1:2" ht="14.5" x14ac:dyDescent="0.35">
      <c r="A4564" s="8" t="s">
        <v>54894</v>
      </c>
      <c r="B4564" s="8" t="s">
        <v>56290</v>
      </c>
    </row>
    <row r="4565" spans="1:2" ht="14.5" x14ac:dyDescent="0.35">
      <c r="A4565" s="8" t="s">
        <v>54894</v>
      </c>
      <c r="B4565" s="8" t="s">
        <v>56253</v>
      </c>
    </row>
    <row r="4566" spans="1:2" ht="14.5" x14ac:dyDescent="0.35">
      <c r="A4566" s="8" t="s">
        <v>54894</v>
      </c>
      <c r="B4566" s="8" t="s">
        <v>55625</v>
      </c>
    </row>
    <row r="4567" spans="1:2" ht="14.5" x14ac:dyDescent="0.35">
      <c r="A4567" s="8" t="s">
        <v>54894</v>
      </c>
      <c r="B4567" s="8" t="s">
        <v>56260</v>
      </c>
    </row>
    <row r="4568" spans="1:2" ht="14.5" x14ac:dyDescent="0.35">
      <c r="A4568" s="8" t="s">
        <v>54894</v>
      </c>
      <c r="B4568" s="8" t="s">
        <v>56260</v>
      </c>
    </row>
    <row r="4569" spans="1:2" ht="14.5" x14ac:dyDescent="0.35">
      <c r="A4569" s="8" t="s">
        <v>54894</v>
      </c>
      <c r="B4569" s="8" t="s">
        <v>56260</v>
      </c>
    </row>
    <row r="4570" spans="1:2" ht="14.5" x14ac:dyDescent="0.35">
      <c r="A4570" s="8" t="s">
        <v>54894</v>
      </c>
      <c r="B4570" s="8" t="s">
        <v>56260</v>
      </c>
    </row>
    <row r="4571" spans="1:2" ht="14.5" x14ac:dyDescent="0.35">
      <c r="A4571" s="8" t="s">
        <v>54894</v>
      </c>
      <c r="B4571" s="8" t="s">
        <v>57017</v>
      </c>
    </row>
    <row r="4572" spans="1:2" ht="14.5" x14ac:dyDescent="0.35">
      <c r="A4572" s="8" t="s">
        <v>54894</v>
      </c>
      <c r="B4572" s="8" t="s">
        <v>57357</v>
      </c>
    </row>
    <row r="4573" spans="1:2" ht="14.5" x14ac:dyDescent="0.35">
      <c r="A4573" s="8" t="s">
        <v>54894</v>
      </c>
      <c r="B4573" s="8" t="s">
        <v>55664</v>
      </c>
    </row>
    <row r="4574" spans="1:2" ht="14.5" x14ac:dyDescent="0.35">
      <c r="A4574" s="8" t="s">
        <v>54894</v>
      </c>
      <c r="B4574" s="8" t="s">
        <v>55665</v>
      </c>
    </row>
    <row r="4575" spans="1:2" ht="14.5" x14ac:dyDescent="0.35">
      <c r="A4575" s="8" t="s">
        <v>54894</v>
      </c>
      <c r="B4575" s="8" t="s">
        <v>56704</v>
      </c>
    </row>
    <row r="4576" spans="1:2" ht="14.5" x14ac:dyDescent="0.35">
      <c r="A4576" s="8" t="s">
        <v>54894</v>
      </c>
      <c r="B4576" s="8" t="s">
        <v>55511</v>
      </c>
    </row>
    <row r="4577" spans="1:2" ht="14.5" x14ac:dyDescent="0.35">
      <c r="A4577" s="8" t="s">
        <v>54894</v>
      </c>
      <c r="B4577" s="8" t="s">
        <v>55512</v>
      </c>
    </row>
    <row r="4578" spans="1:2" ht="14.5" x14ac:dyDescent="0.35">
      <c r="A4578" s="8" t="s">
        <v>54894</v>
      </c>
      <c r="B4578" s="8" t="s">
        <v>58301</v>
      </c>
    </row>
    <row r="4579" spans="1:2" ht="14.5" x14ac:dyDescent="0.35">
      <c r="A4579" s="8" t="s">
        <v>54894</v>
      </c>
      <c r="B4579" s="8" t="s">
        <v>56230</v>
      </c>
    </row>
    <row r="4580" spans="1:2" ht="14.5" x14ac:dyDescent="0.35">
      <c r="A4580" s="8" t="s">
        <v>54894</v>
      </c>
      <c r="B4580" s="8" t="s">
        <v>55850</v>
      </c>
    </row>
    <row r="4581" spans="1:2" ht="14.5" x14ac:dyDescent="0.35">
      <c r="A4581" s="8" t="s">
        <v>54894</v>
      </c>
      <c r="B4581" s="8" t="s">
        <v>55875</v>
      </c>
    </row>
    <row r="4582" spans="1:2" ht="14.5" x14ac:dyDescent="0.35">
      <c r="A4582" s="8" t="s">
        <v>54894</v>
      </c>
      <c r="B4582" s="8" t="s">
        <v>54958</v>
      </c>
    </row>
    <row r="4583" spans="1:2" ht="14.5" x14ac:dyDescent="0.35">
      <c r="A4583" s="8" t="s">
        <v>54894</v>
      </c>
      <c r="B4583" s="8" t="s">
        <v>57518</v>
      </c>
    </row>
    <row r="4584" spans="1:2" ht="14.5" x14ac:dyDescent="0.35">
      <c r="A4584" s="8" t="s">
        <v>54894</v>
      </c>
      <c r="B4584" s="8" t="s">
        <v>57786</v>
      </c>
    </row>
    <row r="4585" spans="1:2" ht="14.5" x14ac:dyDescent="0.35">
      <c r="A4585" s="8" t="s">
        <v>54894</v>
      </c>
      <c r="B4585" s="8" t="s">
        <v>56893</v>
      </c>
    </row>
    <row r="4586" spans="1:2" ht="14.5" x14ac:dyDescent="0.35">
      <c r="A4586" s="8" t="s">
        <v>54894</v>
      </c>
      <c r="B4586" s="8" t="s">
        <v>55990</v>
      </c>
    </row>
    <row r="4587" spans="1:2" ht="14.5" x14ac:dyDescent="0.35">
      <c r="A4587" s="8" t="s">
        <v>54894</v>
      </c>
      <c r="B4587" s="8" t="s">
        <v>55991</v>
      </c>
    </row>
    <row r="4588" spans="1:2" ht="14.5" x14ac:dyDescent="0.35">
      <c r="A4588" s="8" t="s">
        <v>54894</v>
      </c>
      <c r="B4588" s="8" t="s">
        <v>55992</v>
      </c>
    </row>
    <row r="4589" spans="1:2" ht="14.5" x14ac:dyDescent="0.35">
      <c r="A4589" s="8" t="s">
        <v>54894</v>
      </c>
      <c r="B4589" s="8" t="s">
        <v>55993</v>
      </c>
    </row>
    <row r="4590" spans="1:2" ht="14.5" x14ac:dyDescent="0.35">
      <c r="A4590" s="8" t="s">
        <v>54894</v>
      </c>
      <c r="B4590" s="8" t="s">
        <v>55994</v>
      </c>
    </row>
    <row r="4591" spans="1:2" ht="14.5" x14ac:dyDescent="0.35">
      <c r="A4591" s="8" t="s">
        <v>54894</v>
      </c>
      <c r="B4591" s="8" t="s">
        <v>55995</v>
      </c>
    </row>
    <row r="4592" spans="1:2" ht="14.5" x14ac:dyDescent="0.35">
      <c r="A4592" s="8" t="s">
        <v>54894</v>
      </c>
      <c r="B4592" s="8" t="s">
        <v>58031</v>
      </c>
    </row>
    <row r="4593" spans="1:2" ht="14.5" x14ac:dyDescent="0.35">
      <c r="A4593" s="8" t="s">
        <v>54894</v>
      </c>
      <c r="B4593" s="8" t="s">
        <v>56101</v>
      </c>
    </row>
    <row r="4594" spans="1:2" ht="14.5" x14ac:dyDescent="0.35">
      <c r="A4594" s="8" t="s">
        <v>54894</v>
      </c>
      <c r="B4594" s="8" t="s">
        <v>56102</v>
      </c>
    </row>
    <row r="4595" spans="1:2" ht="14.5" x14ac:dyDescent="0.35">
      <c r="A4595" s="8" t="s">
        <v>54894</v>
      </c>
      <c r="B4595" s="8" t="s">
        <v>57629</v>
      </c>
    </row>
    <row r="4596" spans="1:2" ht="14.5" x14ac:dyDescent="0.35">
      <c r="A4596" s="8" t="s">
        <v>54894</v>
      </c>
      <c r="B4596" s="8" t="s">
        <v>56894</v>
      </c>
    </row>
    <row r="4597" spans="1:2" ht="14.5" x14ac:dyDescent="0.35">
      <c r="A4597" s="8" t="s">
        <v>54894</v>
      </c>
      <c r="B4597" s="8" t="s">
        <v>56895</v>
      </c>
    </row>
    <row r="4598" spans="1:2" ht="14.5" x14ac:dyDescent="0.35">
      <c r="A4598" s="8" t="s">
        <v>54894</v>
      </c>
      <c r="B4598" s="8" t="s">
        <v>56896</v>
      </c>
    </row>
    <row r="4599" spans="1:2" ht="14.5" x14ac:dyDescent="0.35">
      <c r="A4599" s="8" t="s">
        <v>54894</v>
      </c>
      <c r="B4599" s="8" t="s">
        <v>56897</v>
      </c>
    </row>
    <row r="4600" spans="1:2" ht="14.5" x14ac:dyDescent="0.35">
      <c r="A4600" s="8" t="s">
        <v>54894</v>
      </c>
      <c r="B4600" s="8" t="s">
        <v>56898</v>
      </c>
    </row>
    <row r="4601" spans="1:2" ht="14.5" x14ac:dyDescent="0.35">
      <c r="A4601" s="8" t="s">
        <v>54894</v>
      </c>
      <c r="B4601" s="8" t="s">
        <v>56899</v>
      </c>
    </row>
    <row r="4602" spans="1:2" ht="14.5" x14ac:dyDescent="0.35">
      <c r="A4602" s="8" t="s">
        <v>54894</v>
      </c>
      <c r="B4602" s="8" t="s">
        <v>56900</v>
      </c>
    </row>
    <row r="4603" spans="1:2" ht="14.5" x14ac:dyDescent="0.35">
      <c r="A4603" s="8" t="s">
        <v>54894</v>
      </c>
      <c r="B4603" s="8" t="s">
        <v>58002</v>
      </c>
    </row>
    <row r="4604" spans="1:2" ht="14.5" x14ac:dyDescent="0.35">
      <c r="A4604" s="8" t="s">
        <v>54894</v>
      </c>
      <c r="B4604" s="8" t="s">
        <v>56705</v>
      </c>
    </row>
    <row r="4605" spans="1:2" ht="14.5" x14ac:dyDescent="0.35">
      <c r="A4605" s="8" t="s">
        <v>54894</v>
      </c>
      <c r="B4605" s="8" t="s">
        <v>56901</v>
      </c>
    </row>
    <row r="4606" spans="1:2" ht="14.5" x14ac:dyDescent="0.35">
      <c r="A4606" s="8" t="s">
        <v>54894</v>
      </c>
      <c r="B4606" s="8" t="s">
        <v>55214</v>
      </c>
    </row>
    <row r="4607" spans="1:2" ht="14.5" x14ac:dyDescent="0.35">
      <c r="A4607" s="8" t="s">
        <v>54894</v>
      </c>
      <c r="B4607" s="8" t="s">
        <v>57380</v>
      </c>
    </row>
    <row r="4608" spans="1:2" ht="14.5" x14ac:dyDescent="0.35">
      <c r="A4608" s="8" t="s">
        <v>54894</v>
      </c>
      <c r="B4608" s="8" t="s">
        <v>57381</v>
      </c>
    </row>
    <row r="4609" spans="1:2" ht="14.5" x14ac:dyDescent="0.35">
      <c r="A4609" s="8" t="s">
        <v>54894</v>
      </c>
      <c r="B4609" s="8" t="s">
        <v>57382</v>
      </c>
    </row>
    <row r="4610" spans="1:2" ht="14.5" x14ac:dyDescent="0.35">
      <c r="A4610" s="8" t="s">
        <v>54894</v>
      </c>
      <c r="B4610" s="8" t="s">
        <v>56171</v>
      </c>
    </row>
    <row r="4611" spans="1:2" ht="14.5" x14ac:dyDescent="0.35">
      <c r="A4611" s="8" t="s">
        <v>54894</v>
      </c>
      <c r="B4611" s="8" t="s">
        <v>58003</v>
      </c>
    </row>
    <row r="4612" spans="1:2" ht="14.5" x14ac:dyDescent="0.35">
      <c r="A4612" s="8" t="s">
        <v>54894</v>
      </c>
      <c r="B4612" s="8" t="s">
        <v>57019</v>
      </c>
    </row>
    <row r="4613" spans="1:2" ht="14.5" x14ac:dyDescent="0.35">
      <c r="A4613" s="8" t="s">
        <v>54894</v>
      </c>
      <c r="B4613" s="8" t="s">
        <v>57769</v>
      </c>
    </row>
    <row r="4614" spans="1:2" ht="14.5" x14ac:dyDescent="0.35">
      <c r="A4614" s="8" t="s">
        <v>54894</v>
      </c>
      <c r="B4614" s="8" t="s">
        <v>55082</v>
      </c>
    </row>
    <row r="4615" spans="1:2" ht="14.5" x14ac:dyDescent="0.35">
      <c r="A4615" s="8" t="s">
        <v>54894</v>
      </c>
      <c r="B4615" s="8" t="s">
        <v>55083</v>
      </c>
    </row>
    <row r="4616" spans="1:2" ht="14.5" x14ac:dyDescent="0.35">
      <c r="A4616" s="8" t="s">
        <v>54894</v>
      </c>
      <c r="B4616" s="8" t="s">
        <v>56579</v>
      </c>
    </row>
    <row r="4617" spans="1:2" ht="14.5" x14ac:dyDescent="0.35">
      <c r="A4617" s="8" t="s">
        <v>54894</v>
      </c>
      <c r="B4617" s="8" t="s">
        <v>58280</v>
      </c>
    </row>
    <row r="4618" spans="1:2" ht="14.5" x14ac:dyDescent="0.35">
      <c r="A4618" s="8" t="s">
        <v>54894</v>
      </c>
      <c r="B4618" s="8" t="s">
        <v>58280</v>
      </c>
    </row>
    <row r="4619" spans="1:2" ht="14.5" x14ac:dyDescent="0.35">
      <c r="A4619" s="8" t="s">
        <v>54894</v>
      </c>
      <c r="B4619" s="8" t="s">
        <v>55044</v>
      </c>
    </row>
    <row r="4620" spans="1:2" ht="14.5" x14ac:dyDescent="0.35">
      <c r="A4620" s="8" t="s">
        <v>54894</v>
      </c>
      <c r="B4620" s="8" t="s">
        <v>55045</v>
      </c>
    </row>
    <row r="4621" spans="1:2" ht="14.5" x14ac:dyDescent="0.35">
      <c r="A4621" s="8" t="s">
        <v>54894</v>
      </c>
      <c r="B4621" s="8" t="s">
        <v>55027</v>
      </c>
    </row>
    <row r="4622" spans="1:2" ht="14.5" x14ac:dyDescent="0.35">
      <c r="A4622" s="8" t="s">
        <v>54894</v>
      </c>
      <c r="B4622" s="8" t="s">
        <v>55046</v>
      </c>
    </row>
    <row r="4623" spans="1:2" ht="14.5" x14ac:dyDescent="0.35">
      <c r="A4623" s="8" t="s">
        <v>54894</v>
      </c>
      <c r="B4623" s="8" t="s">
        <v>55047</v>
      </c>
    </row>
    <row r="4624" spans="1:2" ht="14.5" x14ac:dyDescent="0.35">
      <c r="A4624" s="8" t="s">
        <v>54894</v>
      </c>
      <c r="B4624" s="8" t="s">
        <v>58004</v>
      </c>
    </row>
    <row r="4625" spans="1:2" ht="14.5" x14ac:dyDescent="0.35">
      <c r="A4625" s="8" t="s">
        <v>54894</v>
      </c>
      <c r="B4625" s="8" t="s">
        <v>56667</v>
      </c>
    </row>
    <row r="4626" spans="1:2" ht="14.5" x14ac:dyDescent="0.35">
      <c r="A4626" s="8" t="s">
        <v>54894</v>
      </c>
      <c r="B4626" s="8" t="s">
        <v>57743</v>
      </c>
    </row>
    <row r="4627" spans="1:2" ht="14.5" x14ac:dyDescent="0.35">
      <c r="A4627" s="8" t="s">
        <v>54894</v>
      </c>
      <c r="B4627" s="8" t="s">
        <v>57744</v>
      </c>
    </row>
    <row r="4628" spans="1:2" ht="14.5" x14ac:dyDescent="0.35">
      <c r="A4628" s="8" t="s">
        <v>54894</v>
      </c>
      <c r="B4628" s="8" t="s">
        <v>57495</v>
      </c>
    </row>
    <row r="4629" spans="1:2" ht="14.5" x14ac:dyDescent="0.35">
      <c r="A4629" s="8" t="s">
        <v>54894</v>
      </c>
      <c r="B4629" s="8" t="s">
        <v>57908</v>
      </c>
    </row>
    <row r="4630" spans="1:2" ht="14.5" x14ac:dyDescent="0.35">
      <c r="A4630" s="8" t="s">
        <v>54894</v>
      </c>
      <c r="B4630" s="8" t="s">
        <v>56231</v>
      </c>
    </row>
    <row r="4631" spans="1:2" ht="14.5" x14ac:dyDescent="0.35">
      <c r="A4631" s="8" t="s">
        <v>54894</v>
      </c>
      <c r="B4631" s="8" t="s">
        <v>56103</v>
      </c>
    </row>
    <row r="4632" spans="1:2" ht="14.5" x14ac:dyDescent="0.35">
      <c r="A4632" s="8" t="s">
        <v>54894</v>
      </c>
      <c r="B4632" s="8" t="s">
        <v>57488</v>
      </c>
    </row>
    <row r="4633" spans="1:2" ht="14.5" x14ac:dyDescent="0.35">
      <c r="A4633" s="8" t="s">
        <v>54894</v>
      </c>
      <c r="B4633" s="8" t="s">
        <v>55233</v>
      </c>
    </row>
    <row r="4634" spans="1:2" ht="14.5" x14ac:dyDescent="0.35">
      <c r="A4634" s="8" t="s">
        <v>54894</v>
      </c>
      <c r="B4634" s="8" t="s">
        <v>56902</v>
      </c>
    </row>
    <row r="4635" spans="1:2" ht="14.5" x14ac:dyDescent="0.35">
      <c r="A4635" s="8" t="s">
        <v>54894</v>
      </c>
      <c r="B4635" s="8" t="s">
        <v>57312</v>
      </c>
    </row>
    <row r="4636" spans="1:2" ht="14.5" x14ac:dyDescent="0.35">
      <c r="A4636" s="8" t="s">
        <v>54894</v>
      </c>
      <c r="B4636" s="8" t="s">
        <v>57087</v>
      </c>
    </row>
    <row r="4637" spans="1:2" ht="14.5" x14ac:dyDescent="0.35">
      <c r="A4637" s="8" t="s">
        <v>54894</v>
      </c>
      <c r="B4637" s="8" t="s">
        <v>57220</v>
      </c>
    </row>
    <row r="4638" spans="1:2" ht="14.5" x14ac:dyDescent="0.35">
      <c r="A4638" s="8" t="s">
        <v>54894</v>
      </c>
      <c r="B4638" s="8" t="s">
        <v>55179</v>
      </c>
    </row>
    <row r="4639" spans="1:2" ht="14.5" x14ac:dyDescent="0.35">
      <c r="A4639" s="8" t="s">
        <v>54894</v>
      </c>
      <c r="B4639" s="8" t="s">
        <v>57941</v>
      </c>
    </row>
    <row r="4640" spans="1:2" ht="14.5" x14ac:dyDescent="0.35">
      <c r="A4640" s="8" t="s">
        <v>54894</v>
      </c>
      <c r="B4640" s="8" t="s">
        <v>57171</v>
      </c>
    </row>
    <row r="4641" spans="1:2" ht="14.5" x14ac:dyDescent="0.35">
      <c r="A4641" s="8" t="s">
        <v>54894</v>
      </c>
      <c r="B4641" s="8" t="s">
        <v>57171</v>
      </c>
    </row>
    <row r="4642" spans="1:2" ht="14.5" x14ac:dyDescent="0.35">
      <c r="A4642" s="8" t="s">
        <v>54894</v>
      </c>
      <c r="B4642" s="8" t="s">
        <v>58005</v>
      </c>
    </row>
    <row r="4643" spans="1:2" ht="14.5" x14ac:dyDescent="0.35">
      <c r="A4643" s="8" t="s">
        <v>54894</v>
      </c>
      <c r="B4643" s="8" t="s">
        <v>58403</v>
      </c>
    </row>
    <row r="4644" spans="1:2" ht="14.5" x14ac:dyDescent="0.35">
      <c r="A4644" s="8" t="s">
        <v>54894</v>
      </c>
      <c r="B4644" s="8" t="s">
        <v>58122</v>
      </c>
    </row>
    <row r="4645" spans="1:2" ht="14.5" x14ac:dyDescent="0.35">
      <c r="A4645" s="8" t="s">
        <v>54894</v>
      </c>
      <c r="B4645" s="8" t="s">
        <v>56178</v>
      </c>
    </row>
    <row r="4646" spans="1:2" ht="14.5" x14ac:dyDescent="0.35">
      <c r="A4646" s="8" t="s">
        <v>54894</v>
      </c>
      <c r="B4646" s="8" t="s">
        <v>56464</v>
      </c>
    </row>
    <row r="4647" spans="1:2" ht="14.5" x14ac:dyDescent="0.35">
      <c r="A4647" s="8" t="s">
        <v>54894</v>
      </c>
      <c r="B4647" s="8" t="s">
        <v>56465</v>
      </c>
    </row>
    <row r="4648" spans="1:2" ht="14.5" x14ac:dyDescent="0.35">
      <c r="A4648" s="8" t="s">
        <v>54894</v>
      </c>
      <c r="B4648" s="8" t="s">
        <v>58179</v>
      </c>
    </row>
    <row r="4649" spans="1:2" ht="14.5" x14ac:dyDescent="0.35">
      <c r="A4649" s="8" t="s">
        <v>54894</v>
      </c>
      <c r="B4649" s="8" t="s">
        <v>54605</v>
      </c>
    </row>
    <row r="4650" spans="1:2" ht="14.5" x14ac:dyDescent="0.35">
      <c r="A4650" s="8" t="s">
        <v>54894</v>
      </c>
      <c r="B4650" s="8" t="s">
        <v>55756</v>
      </c>
    </row>
    <row r="4651" spans="1:2" ht="14.5" x14ac:dyDescent="0.35">
      <c r="A4651" s="8" t="s">
        <v>54894</v>
      </c>
      <c r="B4651" s="8" t="s">
        <v>56232</v>
      </c>
    </row>
    <row r="4652" spans="1:2" ht="14.5" x14ac:dyDescent="0.35">
      <c r="A4652" s="8" t="s">
        <v>54894</v>
      </c>
      <c r="B4652" s="8" t="s">
        <v>57263</v>
      </c>
    </row>
    <row r="4653" spans="1:2" ht="14.5" x14ac:dyDescent="0.35">
      <c r="A4653" s="8" t="s">
        <v>54894</v>
      </c>
      <c r="B4653" s="8" t="s">
        <v>57372</v>
      </c>
    </row>
    <row r="4654" spans="1:2" ht="14.5" x14ac:dyDescent="0.35">
      <c r="A4654" s="8" t="s">
        <v>54894</v>
      </c>
      <c r="B4654" s="8" t="s">
        <v>55643</v>
      </c>
    </row>
    <row r="4655" spans="1:2" ht="14.5" x14ac:dyDescent="0.35">
      <c r="A4655" s="8" t="s">
        <v>54894</v>
      </c>
      <c r="B4655" s="8" t="s">
        <v>56104</v>
      </c>
    </row>
    <row r="4656" spans="1:2" ht="14.5" x14ac:dyDescent="0.35">
      <c r="A4656" s="8" t="s">
        <v>54894</v>
      </c>
      <c r="B4656" s="8" t="s">
        <v>57729</v>
      </c>
    </row>
    <row r="4657" spans="1:2" ht="14.5" x14ac:dyDescent="0.35">
      <c r="A4657" s="8" t="s">
        <v>54894</v>
      </c>
      <c r="B4657" s="8" t="s">
        <v>57922</v>
      </c>
    </row>
    <row r="4658" spans="1:2" ht="14.5" x14ac:dyDescent="0.35">
      <c r="A4658" s="8" t="s">
        <v>54894</v>
      </c>
      <c r="B4658" s="8" t="s">
        <v>55494</v>
      </c>
    </row>
    <row r="4659" spans="1:2" ht="14.5" x14ac:dyDescent="0.35">
      <c r="A4659" s="8" t="s">
        <v>54894</v>
      </c>
      <c r="B4659" s="8" t="s">
        <v>55495</v>
      </c>
    </row>
    <row r="4660" spans="1:2" ht="14.5" x14ac:dyDescent="0.35">
      <c r="A4660" s="8" t="s">
        <v>54894</v>
      </c>
      <c r="B4660" s="8" t="s">
        <v>55413</v>
      </c>
    </row>
    <row r="4661" spans="1:2" ht="14.5" x14ac:dyDescent="0.35">
      <c r="A4661" s="8" t="s">
        <v>54894</v>
      </c>
      <c r="B4661" s="8" t="s">
        <v>55414</v>
      </c>
    </row>
    <row r="4662" spans="1:2" ht="14.5" x14ac:dyDescent="0.35">
      <c r="A4662" s="8" t="s">
        <v>54894</v>
      </c>
      <c r="B4662" s="8" t="s">
        <v>57519</v>
      </c>
    </row>
    <row r="4663" spans="1:2" ht="14.5" x14ac:dyDescent="0.35">
      <c r="A4663" s="8" t="s">
        <v>54894</v>
      </c>
      <c r="B4663" s="8" t="s">
        <v>58334</v>
      </c>
    </row>
    <row r="4664" spans="1:2" ht="14.5" x14ac:dyDescent="0.35">
      <c r="A4664" s="8" t="s">
        <v>54894</v>
      </c>
      <c r="B4664" s="8" t="s">
        <v>58458</v>
      </c>
    </row>
    <row r="4665" spans="1:2" ht="14.5" x14ac:dyDescent="0.35">
      <c r="A4665" s="8" t="s">
        <v>54894</v>
      </c>
      <c r="B4665" s="8" t="s">
        <v>56105</v>
      </c>
    </row>
    <row r="4666" spans="1:2" ht="14.5" x14ac:dyDescent="0.35">
      <c r="A4666" s="8" t="s">
        <v>54894</v>
      </c>
      <c r="B4666" s="8" t="s">
        <v>56432</v>
      </c>
    </row>
    <row r="4667" spans="1:2" ht="14.5" x14ac:dyDescent="0.35">
      <c r="A4667" s="8" t="s">
        <v>54894</v>
      </c>
      <c r="B4667" s="8" t="s">
        <v>57287</v>
      </c>
    </row>
    <row r="4668" spans="1:2" ht="14.5" x14ac:dyDescent="0.35">
      <c r="A4668" s="8" t="s">
        <v>54894</v>
      </c>
      <c r="B4668" s="8" t="s">
        <v>54919</v>
      </c>
    </row>
    <row r="4669" spans="1:2" ht="14.5" x14ac:dyDescent="0.35">
      <c r="A4669" s="8" t="s">
        <v>54894</v>
      </c>
      <c r="B4669" s="8" t="s">
        <v>56189</v>
      </c>
    </row>
    <row r="4670" spans="1:2" ht="14.5" x14ac:dyDescent="0.35">
      <c r="A4670" s="8" t="s">
        <v>54894</v>
      </c>
      <c r="B4670" s="8" t="s">
        <v>56190</v>
      </c>
    </row>
    <row r="4671" spans="1:2" ht="14.5" x14ac:dyDescent="0.35">
      <c r="A4671" s="8" t="s">
        <v>54894</v>
      </c>
      <c r="B4671" s="8" t="s">
        <v>57821</v>
      </c>
    </row>
    <row r="4672" spans="1:2" ht="14.5" x14ac:dyDescent="0.35">
      <c r="A4672" s="8" t="s">
        <v>54894</v>
      </c>
      <c r="B4672" s="8" t="s">
        <v>56658</v>
      </c>
    </row>
    <row r="4673" spans="1:2" ht="14.5" x14ac:dyDescent="0.35">
      <c r="A4673" s="8" t="s">
        <v>54894</v>
      </c>
      <c r="B4673" s="8" t="s">
        <v>55299</v>
      </c>
    </row>
    <row r="4674" spans="1:2" ht="14.5" x14ac:dyDescent="0.35">
      <c r="A4674" s="8" t="s">
        <v>54894</v>
      </c>
      <c r="B4674" s="8" t="s">
        <v>57520</v>
      </c>
    </row>
    <row r="4675" spans="1:2" ht="14.5" x14ac:dyDescent="0.35">
      <c r="A4675" s="8" t="s">
        <v>54894</v>
      </c>
      <c r="B4675" s="8" t="s">
        <v>58123</v>
      </c>
    </row>
    <row r="4676" spans="1:2" ht="14.5" x14ac:dyDescent="0.35">
      <c r="A4676" s="8" t="s">
        <v>54894</v>
      </c>
      <c r="B4676" s="8" t="s">
        <v>57373</v>
      </c>
    </row>
    <row r="4677" spans="1:2" ht="14.5" x14ac:dyDescent="0.35">
      <c r="A4677" s="8" t="s">
        <v>54894</v>
      </c>
      <c r="B4677" s="8" t="s">
        <v>54945</v>
      </c>
    </row>
    <row r="4678" spans="1:2" ht="14.5" x14ac:dyDescent="0.35">
      <c r="A4678" s="8" t="s">
        <v>54894</v>
      </c>
      <c r="B4678" s="8" t="s">
        <v>56508</v>
      </c>
    </row>
    <row r="4679" spans="1:2" ht="14.5" x14ac:dyDescent="0.35">
      <c r="A4679" s="8" t="s">
        <v>54894</v>
      </c>
      <c r="B4679" s="8" t="s">
        <v>56509</v>
      </c>
    </row>
    <row r="4680" spans="1:2" ht="14.5" x14ac:dyDescent="0.35">
      <c r="A4680" s="8" t="s">
        <v>54894</v>
      </c>
      <c r="B4680" s="8" t="s">
        <v>55689</v>
      </c>
    </row>
    <row r="4681" spans="1:2" ht="14.5" x14ac:dyDescent="0.35">
      <c r="A4681" s="8" t="s">
        <v>54894</v>
      </c>
      <c r="B4681" s="8" t="s">
        <v>57088</v>
      </c>
    </row>
    <row r="4682" spans="1:2" ht="14.5" x14ac:dyDescent="0.35">
      <c r="A4682" s="8" t="s">
        <v>54894</v>
      </c>
      <c r="B4682" s="8" t="s">
        <v>56233</v>
      </c>
    </row>
    <row r="4683" spans="1:2" ht="14.5" x14ac:dyDescent="0.35">
      <c r="A4683" s="8" t="s">
        <v>54894</v>
      </c>
      <c r="B4683" s="8" t="s">
        <v>55268</v>
      </c>
    </row>
    <row r="4684" spans="1:2" ht="14.5" x14ac:dyDescent="0.35">
      <c r="A4684" s="8" t="s">
        <v>54894</v>
      </c>
      <c r="B4684" s="8" t="s">
        <v>57745</v>
      </c>
    </row>
    <row r="4685" spans="1:2" ht="14.5" x14ac:dyDescent="0.35">
      <c r="A4685" s="8" t="s">
        <v>54894</v>
      </c>
      <c r="B4685" s="8" t="s">
        <v>57746</v>
      </c>
    </row>
    <row r="4686" spans="1:2" ht="14.5" x14ac:dyDescent="0.35">
      <c r="A4686" s="8" t="s">
        <v>54894</v>
      </c>
      <c r="B4686" s="8" t="s">
        <v>57747</v>
      </c>
    </row>
    <row r="4687" spans="1:2" ht="14.5" x14ac:dyDescent="0.35">
      <c r="A4687" s="8" t="s">
        <v>54894</v>
      </c>
      <c r="B4687" s="8" t="s">
        <v>57113</v>
      </c>
    </row>
    <row r="4688" spans="1:2" ht="14.5" x14ac:dyDescent="0.35">
      <c r="A4688" s="8" t="s">
        <v>54894</v>
      </c>
      <c r="B4688" s="8" t="s">
        <v>56106</v>
      </c>
    </row>
    <row r="4689" spans="1:2" ht="14.5" x14ac:dyDescent="0.35">
      <c r="A4689" s="8" t="s">
        <v>54894</v>
      </c>
      <c r="B4689" s="8" t="s">
        <v>56515</v>
      </c>
    </row>
    <row r="4690" spans="1:2" ht="14.5" x14ac:dyDescent="0.35">
      <c r="A4690" s="8" t="s">
        <v>54894</v>
      </c>
      <c r="B4690" s="8" t="s">
        <v>58459</v>
      </c>
    </row>
    <row r="4691" spans="1:2" ht="14.5" x14ac:dyDescent="0.35">
      <c r="A4691" s="8" t="s">
        <v>54894</v>
      </c>
      <c r="B4691" s="8" t="s">
        <v>57374</v>
      </c>
    </row>
    <row r="4692" spans="1:2" ht="14.5" x14ac:dyDescent="0.35">
      <c r="A4692" s="8" t="s">
        <v>54894</v>
      </c>
      <c r="B4692" s="8" t="s">
        <v>55666</v>
      </c>
    </row>
    <row r="4693" spans="1:2" ht="14.5" x14ac:dyDescent="0.35">
      <c r="A4693" s="8" t="s">
        <v>54894</v>
      </c>
      <c r="B4693" s="8" t="s">
        <v>55028</v>
      </c>
    </row>
    <row r="4694" spans="1:2" ht="14.5" x14ac:dyDescent="0.35">
      <c r="A4694" s="8" t="s">
        <v>54894</v>
      </c>
      <c r="B4694" s="8" t="s">
        <v>58124</v>
      </c>
    </row>
    <row r="4695" spans="1:2" ht="14.5" x14ac:dyDescent="0.35">
      <c r="A4695" s="8" t="s">
        <v>54894</v>
      </c>
      <c r="B4695" s="8" t="s">
        <v>57942</v>
      </c>
    </row>
    <row r="4696" spans="1:2" ht="14.5" x14ac:dyDescent="0.35">
      <c r="A4696" s="8" t="s">
        <v>54894</v>
      </c>
      <c r="B4696" s="8" t="s">
        <v>56107</v>
      </c>
    </row>
    <row r="4697" spans="1:2" ht="14.5" x14ac:dyDescent="0.35">
      <c r="A4697" s="8" t="s">
        <v>54894</v>
      </c>
      <c r="B4697" s="8" t="s">
        <v>57521</v>
      </c>
    </row>
    <row r="4698" spans="1:2" ht="14.5" x14ac:dyDescent="0.35">
      <c r="A4698" s="8" t="s">
        <v>54894</v>
      </c>
      <c r="B4698" s="8" t="s">
        <v>58284</v>
      </c>
    </row>
    <row r="4699" spans="1:2" ht="14.5" x14ac:dyDescent="0.35">
      <c r="A4699" s="8" t="s">
        <v>54894</v>
      </c>
      <c r="B4699" s="8" t="s">
        <v>57522</v>
      </c>
    </row>
    <row r="4700" spans="1:2" ht="14.5" x14ac:dyDescent="0.35">
      <c r="A4700" s="8" t="s">
        <v>54894</v>
      </c>
      <c r="B4700" s="8" t="s">
        <v>57528</v>
      </c>
    </row>
    <row r="4701" spans="1:2" ht="14.5" x14ac:dyDescent="0.35">
      <c r="A4701" s="8" t="s">
        <v>54894</v>
      </c>
      <c r="B4701" s="8" t="s">
        <v>57630</v>
      </c>
    </row>
    <row r="4702" spans="1:2" ht="14.5" x14ac:dyDescent="0.35">
      <c r="A4702" s="8" t="s">
        <v>54894</v>
      </c>
      <c r="B4702" s="8" t="s">
        <v>56234</v>
      </c>
    </row>
    <row r="4703" spans="1:2" ht="14.5" x14ac:dyDescent="0.35">
      <c r="A4703" s="8" t="s">
        <v>54894</v>
      </c>
      <c r="B4703" s="8" t="s">
        <v>57631</v>
      </c>
    </row>
    <row r="4704" spans="1:2" ht="14.5" x14ac:dyDescent="0.35">
      <c r="A4704" s="8" t="s">
        <v>54894</v>
      </c>
      <c r="B4704" s="8" t="s">
        <v>57035</v>
      </c>
    </row>
    <row r="4705" spans="1:2" ht="14.5" x14ac:dyDescent="0.35">
      <c r="A4705" s="8" t="s">
        <v>54894</v>
      </c>
      <c r="B4705" s="8" t="s">
        <v>57958</v>
      </c>
    </row>
    <row r="4706" spans="1:2" ht="14.5" x14ac:dyDescent="0.35">
      <c r="A4706" s="8" t="s">
        <v>54894</v>
      </c>
      <c r="B4706" s="8" t="s">
        <v>58006</v>
      </c>
    </row>
    <row r="4707" spans="1:2" ht="14.5" x14ac:dyDescent="0.35">
      <c r="A4707" s="8" t="s">
        <v>54894</v>
      </c>
      <c r="B4707" s="8" t="s">
        <v>57959</v>
      </c>
    </row>
    <row r="4708" spans="1:2" ht="14.5" x14ac:dyDescent="0.35">
      <c r="A4708" s="8" t="s">
        <v>54894</v>
      </c>
      <c r="B4708" s="8" t="s">
        <v>56235</v>
      </c>
    </row>
    <row r="4709" spans="1:2" ht="14.5" x14ac:dyDescent="0.35">
      <c r="A4709" s="8" t="s">
        <v>54894</v>
      </c>
      <c r="B4709" s="8" t="s">
        <v>58360</v>
      </c>
    </row>
    <row r="4710" spans="1:2" ht="14.5" x14ac:dyDescent="0.35">
      <c r="A4710" s="8" t="s">
        <v>54894</v>
      </c>
      <c r="B4710" s="8" t="s">
        <v>58361</v>
      </c>
    </row>
    <row r="4711" spans="1:2" ht="14.5" x14ac:dyDescent="0.35">
      <c r="A4711" s="8" t="s">
        <v>54894</v>
      </c>
      <c r="B4711" s="8" t="s">
        <v>58375</v>
      </c>
    </row>
    <row r="4712" spans="1:2" ht="14.5" x14ac:dyDescent="0.35">
      <c r="A4712" s="8" t="s">
        <v>54894</v>
      </c>
      <c r="B4712" s="8" t="s">
        <v>58362</v>
      </c>
    </row>
    <row r="4713" spans="1:2" ht="14.5" x14ac:dyDescent="0.35">
      <c r="A4713" s="8" t="s">
        <v>54894</v>
      </c>
      <c r="B4713" s="8" t="s">
        <v>58363</v>
      </c>
    </row>
    <row r="4714" spans="1:2" ht="14.5" x14ac:dyDescent="0.35">
      <c r="A4714" s="8" t="s">
        <v>54894</v>
      </c>
      <c r="B4714" s="8" t="s">
        <v>56684</v>
      </c>
    </row>
    <row r="4715" spans="1:2" ht="14.5" x14ac:dyDescent="0.35">
      <c r="A4715" s="8" t="s">
        <v>54894</v>
      </c>
      <c r="B4715" s="8" t="s">
        <v>56158</v>
      </c>
    </row>
    <row r="4716" spans="1:2" ht="14.5" x14ac:dyDescent="0.35">
      <c r="A4716" s="8" t="s">
        <v>54894</v>
      </c>
      <c r="B4716" s="8" t="s">
        <v>57350</v>
      </c>
    </row>
    <row r="4717" spans="1:2" ht="14.5" x14ac:dyDescent="0.35">
      <c r="A4717" s="8" t="s">
        <v>54894</v>
      </c>
      <c r="B4717" s="8" t="s">
        <v>58298</v>
      </c>
    </row>
    <row r="4718" spans="1:2" ht="14.5" x14ac:dyDescent="0.35">
      <c r="A4718" s="8" t="s">
        <v>54894</v>
      </c>
      <c r="B4718" s="8" t="s">
        <v>57670</v>
      </c>
    </row>
    <row r="4719" spans="1:2" ht="14.5" x14ac:dyDescent="0.35">
      <c r="A4719" s="8" t="s">
        <v>54894</v>
      </c>
      <c r="B4719" s="8" t="s">
        <v>58244</v>
      </c>
    </row>
    <row r="4720" spans="1:2" ht="14.5" x14ac:dyDescent="0.35">
      <c r="A4720" s="8" t="s">
        <v>54894</v>
      </c>
      <c r="B4720" s="8" t="s">
        <v>55532</v>
      </c>
    </row>
    <row r="4721" spans="1:2" ht="14.5" x14ac:dyDescent="0.35">
      <c r="A4721" s="8" t="s">
        <v>54894</v>
      </c>
      <c r="B4721" s="8" t="s">
        <v>57671</v>
      </c>
    </row>
    <row r="4722" spans="1:2" ht="14.5" x14ac:dyDescent="0.35">
      <c r="A4722" s="8" t="s">
        <v>54894</v>
      </c>
      <c r="B4722" s="8" t="s">
        <v>58125</v>
      </c>
    </row>
    <row r="4723" spans="1:2" ht="14.5" x14ac:dyDescent="0.35">
      <c r="A4723" s="8" t="s">
        <v>54894</v>
      </c>
      <c r="B4723" s="8" t="s">
        <v>5557</v>
      </c>
    </row>
    <row r="4724" spans="1:2" ht="14.5" x14ac:dyDescent="0.35">
      <c r="A4724" s="8" t="s">
        <v>54894</v>
      </c>
      <c r="B4724" s="8" t="s">
        <v>5557</v>
      </c>
    </row>
    <row r="4725" spans="1:2" ht="14.5" x14ac:dyDescent="0.35">
      <c r="A4725" s="8" t="s">
        <v>54894</v>
      </c>
      <c r="B4725" s="8" t="s">
        <v>5557</v>
      </c>
    </row>
    <row r="4726" spans="1:2" ht="14.5" x14ac:dyDescent="0.35">
      <c r="A4726" s="8" t="s">
        <v>54894</v>
      </c>
      <c r="B4726" s="8" t="s">
        <v>5557</v>
      </c>
    </row>
    <row r="4727" spans="1:2" ht="14.5" x14ac:dyDescent="0.35">
      <c r="A4727" s="8" t="s">
        <v>54894</v>
      </c>
      <c r="B4727" s="8" t="s">
        <v>5557</v>
      </c>
    </row>
    <row r="4728" spans="1:2" ht="14.5" x14ac:dyDescent="0.35">
      <c r="A4728" s="8" t="s">
        <v>54894</v>
      </c>
      <c r="B4728" s="8" t="s">
        <v>5557</v>
      </c>
    </row>
    <row r="4729" spans="1:2" ht="14.5" x14ac:dyDescent="0.35">
      <c r="A4729" s="8" t="s">
        <v>54894</v>
      </c>
      <c r="B4729" s="8" t="s">
        <v>5557</v>
      </c>
    </row>
    <row r="4730" spans="1:2" ht="14.5" x14ac:dyDescent="0.35">
      <c r="A4730" s="8" t="s">
        <v>54894</v>
      </c>
      <c r="B4730" s="8" t="s">
        <v>57322</v>
      </c>
    </row>
    <row r="4731" spans="1:2" ht="14.5" x14ac:dyDescent="0.35">
      <c r="A4731" s="8" t="s">
        <v>54894</v>
      </c>
      <c r="B4731" s="8" t="s">
        <v>56108</v>
      </c>
    </row>
    <row r="4732" spans="1:2" ht="14.5" x14ac:dyDescent="0.35">
      <c r="A4732" s="8" t="s">
        <v>54894</v>
      </c>
      <c r="B4732" s="8" t="s">
        <v>55596</v>
      </c>
    </row>
    <row r="4733" spans="1:2" ht="14.5" x14ac:dyDescent="0.35">
      <c r="A4733" s="8" t="s">
        <v>54894</v>
      </c>
      <c r="B4733" s="8" t="s">
        <v>55597</v>
      </c>
    </row>
    <row r="4734" spans="1:2" ht="14.5" x14ac:dyDescent="0.35">
      <c r="A4734" s="8" t="s">
        <v>54894</v>
      </c>
      <c r="B4734" s="8" t="s">
        <v>56659</v>
      </c>
    </row>
    <row r="4735" spans="1:2" ht="14.5" x14ac:dyDescent="0.35">
      <c r="A4735" s="8" t="s">
        <v>54894</v>
      </c>
      <c r="B4735" s="8" t="s">
        <v>56450</v>
      </c>
    </row>
    <row r="4736" spans="1:2" ht="14.5" x14ac:dyDescent="0.35">
      <c r="A4736" s="8" t="s">
        <v>54894</v>
      </c>
      <c r="B4736" s="8" t="s">
        <v>57854</v>
      </c>
    </row>
    <row r="4737" spans="1:2" ht="14.5" x14ac:dyDescent="0.35">
      <c r="A4737" s="8" t="s">
        <v>54894</v>
      </c>
      <c r="B4737" s="8" t="s">
        <v>55982</v>
      </c>
    </row>
    <row r="4738" spans="1:2" ht="14.5" x14ac:dyDescent="0.35">
      <c r="A4738" s="8" t="s">
        <v>54894</v>
      </c>
      <c r="B4738" s="8" t="s">
        <v>56261</v>
      </c>
    </row>
    <row r="4739" spans="1:2" ht="14.5" x14ac:dyDescent="0.35">
      <c r="A4739" s="8" t="s">
        <v>54894</v>
      </c>
      <c r="B4739" s="8" t="s">
        <v>56435</v>
      </c>
    </row>
    <row r="4740" spans="1:2" ht="14.5" x14ac:dyDescent="0.35">
      <c r="A4740" s="8" t="s">
        <v>54894</v>
      </c>
      <c r="B4740" s="8" t="s">
        <v>56903</v>
      </c>
    </row>
    <row r="4741" spans="1:2" ht="14.5" x14ac:dyDescent="0.35">
      <c r="A4741" s="8" t="s">
        <v>54894</v>
      </c>
      <c r="B4741" s="8" t="s">
        <v>55983</v>
      </c>
    </row>
    <row r="4742" spans="1:2" ht="14.5" x14ac:dyDescent="0.35">
      <c r="A4742" s="8" t="s">
        <v>54894</v>
      </c>
      <c r="B4742" s="8" t="s">
        <v>57037</v>
      </c>
    </row>
    <row r="4743" spans="1:2" ht="14.5" x14ac:dyDescent="0.35">
      <c r="A4743" s="8" t="s">
        <v>54894</v>
      </c>
      <c r="B4743" s="8" t="s">
        <v>58460</v>
      </c>
    </row>
    <row r="4744" spans="1:2" ht="14.5" x14ac:dyDescent="0.35">
      <c r="A4744" s="8" t="s">
        <v>54894</v>
      </c>
      <c r="B4744" s="8" t="s">
        <v>56344</v>
      </c>
    </row>
    <row r="4745" spans="1:2" ht="14.5" x14ac:dyDescent="0.35">
      <c r="A4745" s="8" t="s">
        <v>54894</v>
      </c>
      <c r="B4745" s="8" t="s">
        <v>57038</v>
      </c>
    </row>
    <row r="4746" spans="1:2" ht="14.5" x14ac:dyDescent="0.35">
      <c r="A4746" s="8" t="s">
        <v>54894</v>
      </c>
      <c r="B4746" s="8" t="s">
        <v>58007</v>
      </c>
    </row>
    <row r="4747" spans="1:2" ht="14.5" x14ac:dyDescent="0.35">
      <c r="A4747" s="8" t="s">
        <v>54894</v>
      </c>
      <c r="B4747" s="8" t="s">
        <v>56109</v>
      </c>
    </row>
    <row r="4748" spans="1:2" ht="14.5" x14ac:dyDescent="0.35">
      <c r="A4748" s="8" t="s">
        <v>54894</v>
      </c>
      <c r="B4748" s="8" t="s">
        <v>55287</v>
      </c>
    </row>
    <row r="4749" spans="1:2" ht="14.5" x14ac:dyDescent="0.35">
      <c r="A4749" s="8" t="s">
        <v>54894</v>
      </c>
      <c r="B4749" s="8" t="s">
        <v>55287</v>
      </c>
    </row>
    <row r="4750" spans="1:2" ht="14.5" x14ac:dyDescent="0.35">
      <c r="A4750" s="8" t="s">
        <v>54894</v>
      </c>
      <c r="B4750" s="8" t="s">
        <v>55287</v>
      </c>
    </row>
    <row r="4751" spans="1:2" ht="14.5" x14ac:dyDescent="0.35">
      <c r="A4751" s="8" t="s">
        <v>54894</v>
      </c>
      <c r="B4751" s="8" t="s">
        <v>55287</v>
      </c>
    </row>
    <row r="4752" spans="1:2" ht="14.5" x14ac:dyDescent="0.35">
      <c r="A4752" s="8" t="s">
        <v>54894</v>
      </c>
      <c r="B4752" s="8" t="s">
        <v>55287</v>
      </c>
    </row>
    <row r="4753" spans="1:2" ht="14.5" x14ac:dyDescent="0.35">
      <c r="A4753" s="8" t="s">
        <v>54894</v>
      </c>
      <c r="B4753" s="8" t="s">
        <v>55287</v>
      </c>
    </row>
    <row r="4754" spans="1:2" ht="14.5" x14ac:dyDescent="0.35">
      <c r="A4754" s="8" t="s">
        <v>54894</v>
      </c>
      <c r="B4754" s="8" t="s">
        <v>55542</v>
      </c>
    </row>
    <row r="4755" spans="1:2" ht="14.5" x14ac:dyDescent="0.35">
      <c r="A4755" s="8" t="s">
        <v>54894</v>
      </c>
      <c r="B4755" s="8" t="s">
        <v>55962</v>
      </c>
    </row>
    <row r="4756" spans="1:2" ht="14.5" x14ac:dyDescent="0.35">
      <c r="A4756" s="8" t="s">
        <v>54894</v>
      </c>
      <c r="B4756" s="8" t="s">
        <v>58295</v>
      </c>
    </row>
    <row r="4757" spans="1:2" ht="14.5" x14ac:dyDescent="0.35">
      <c r="A4757" s="8" t="s">
        <v>54894</v>
      </c>
      <c r="B4757" s="8" t="s">
        <v>54920</v>
      </c>
    </row>
    <row r="4758" spans="1:2" ht="14.5" x14ac:dyDescent="0.35">
      <c r="A4758" s="8" t="s">
        <v>54894</v>
      </c>
      <c r="B4758" s="8" t="s">
        <v>57120</v>
      </c>
    </row>
    <row r="4759" spans="1:2" ht="14.5" x14ac:dyDescent="0.35">
      <c r="A4759" s="8" t="s">
        <v>54894</v>
      </c>
      <c r="B4759" s="8" t="s">
        <v>57458</v>
      </c>
    </row>
    <row r="4760" spans="1:2" ht="14.5" x14ac:dyDescent="0.35">
      <c r="A4760" s="8" t="s">
        <v>54894</v>
      </c>
      <c r="B4760" s="8" t="s">
        <v>57459</v>
      </c>
    </row>
    <row r="4761" spans="1:2" ht="14.5" x14ac:dyDescent="0.35">
      <c r="A4761" s="8" t="s">
        <v>54894</v>
      </c>
      <c r="B4761" s="8" t="s">
        <v>57459</v>
      </c>
    </row>
    <row r="4762" spans="1:2" ht="14.5" x14ac:dyDescent="0.35">
      <c r="A4762" s="8" t="s">
        <v>54894</v>
      </c>
      <c r="B4762" s="8" t="s">
        <v>57317</v>
      </c>
    </row>
    <row r="4763" spans="1:2" ht="14.5" x14ac:dyDescent="0.35">
      <c r="A4763" s="8" t="s">
        <v>54894</v>
      </c>
      <c r="B4763" s="8" t="s">
        <v>57460</v>
      </c>
    </row>
    <row r="4764" spans="1:2" ht="14.5" x14ac:dyDescent="0.35">
      <c r="A4764" s="8" t="s">
        <v>54894</v>
      </c>
      <c r="B4764" s="8" t="s">
        <v>57461</v>
      </c>
    </row>
    <row r="4765" spans="1:2" ht="14.5" x14ac:dyDescent="0.35">
      <c r="A4765" s="8" t="s">
        <v>54894</v>
      </c>
      <c r="B4765" s="8" t="s">
        <v>57121</v>
      </c>
    </row>
    <row r="4766" spans="1:2" ht="14.5" x14ac:dyDescent="0.35">
      <c r="A4766" s="8" t="s">
        <v>54894</v>
      </c>
      <c r="B4766" s="8" t="s">
        <v>57089</v>
      </c>
    </row>
    <row r="4767" spans="1:2" ht="14.5" x14ac:dyDescent="0.35">
      <c r="A4767" s="8" t="s">
        <v>54894</v>
      </c>
      <c r="B4767" s="8" t="s">
        <v>56982</v>
      </c>
    </row>
    <row r="4768" spans="1:2" ht="14.5" x14ac:dyDescent="0.35">
      <c r="A4768" s="8" t="s">
        <v>54894</v>
      </c>
      <c r="B4768" s="8" t="s">
        <v>57462</v>
      </c>
    </row>
    <row r="4769" spans="1:2" ht="14.5" x14ac:dyDescent="0.35">
      <c r="A4769" s="8" t="s">
        <v>54894</v>
      </c>
      <c r="B4769" s="8" t="s">
        <v>57463</v>
      </c>
    </row>
    <row r="4770" spans="1:2" ht="14.5" x14ac:dyDescent="0.35">
      <c r="A4770" s="8" t="s">
        <v>54894</v>
      </c>
      <c r="B4770" s="8" t="s">
        <v>57464</v>
      </c>
    </row>
    <row r="4771" spans="1:2" ht="14.5" x14ac:dyDescent="0.35">
      <c r="A4771" s="8" t="s">
        <v>54894</v>
      </c>
      <c r="B4771" s="8" t="s">
        <v>57465</v>
      </c>
    </row>
    <row r="4772" spans="1:2" ht="14.5" x14ac:dyDescent="0.35">
      <c r="A4772" s="8" t="s">
        <v>54894</v>
      </c>
      <c r="B4772" s="8" t="s">
        <v>57465</v>
      </c>
    </row>
    <row r="4773" spans="1:2" ht="14.5" x14ac:dyDescent="0.35">
      <c r="A4773" s="8" t="s">
        <v>54894</v>
      </c>
      <c r="B4773" s="8" t="s">
        <v>55856</v>
      </c>
    </row>
    <row r="4774" spans="1:2" ht="14.5" x14ac:dyDescent="0.35">
      <c r="A4774" s="8" t="s">
        <v>54894</v>
      </c>
      <c r="B4774" s="8" t="s">
        <v>55856</v>
      </c>
    </row>
    <row r="4775" spans="1:2" ht="14.5" x14ac:dyDescent="0.35">
      <c r="A4775" s="8" t="s">
        <v>54894</v>
      </c>
      <c r="B4775" s="8" t="s">
        <v>55856</v>
      </c>
    </row>
    <row r="4776" spans="1:2" ht="14.5" x14ac:dyDescent="0.35">
      <c r="A4776" s="8" t="s">
        <v>54894</v>
      </c>
      <c r="B4776" s="8" t="s">
        <v>56699</v>
      </c>
    </row>
    <row r="4777" spans="1:2" ht="14.5" x14ac:dyDescent="0.35">
      <c r="A4777" s="8" t="s">
        <v>54894</v>
      </c>
      <c r="B4777" s="8" t="s">
        <v>55830</v>
      </c>
    </row>
    <row r="4778" spans="1:2" ht="14.5" x14ac:dyDescent="0.35">
      <c r="A4778" s="8" t="s">
        <v>54894</v>
      </c>
      <c r="B4778" s="8" t="s">
        <v>55831</v>
      </c>
    </row>
    <row r="4779" spans="1:2" ht="14.5" x14ac:dyDescent="0.35">
      <c r="A4779" s="8" t="s">
        <v>54894</v>
      </c>
      <c r="B4779" s="8" t="s">
        <v>55832</v>
      </c>
    </row>
    <row r="4780" spans="1:2" ht="14.5" x14ac:dyDescent="0.35">
      <c r="A4780" s="8" t="s">
        <v>54894</v>
      </c>
      <c r="B4780" s="8" t="s">
        <v>57466</v>
      </c>
    </row>
    <row r="4781" spans="1:2" ht="14.5" x14ac:dyDescent="0.35">
      <c r="A4781" s="8" t="s">
        <v>54894</v>
      </c>
      <c r="B4781" s="8" t="s">
        <v>57467</v>
      </c>
    </row>
    <row r="4782" spans="1:2" ht="14.5" x14ac:dyDescent="0.35">
      <c r="A4782" s="8" t="s">
        <v>54894</v>
      </c>
      <c r="B4782" s="8" t="s">
        <v>57122</v>
      </c>
    </row>
    <row r="4783" spans="1:2" ht="14.5" x14ac:dyDescent="0.35">
      <c r="A4783" s="8" t="s">
        <v>54894</v>
      </c>
      <c r="B4783" s="8" t="s">
        <v>54921</v>
      </c>
    </row>
    <row r="4784" spans="1:2" ht="14.5" x14ac:dyDescent="0.35">
      <c r="A4784" s="8" t="s">
        <v>54894</v>
      </c>
      <c r="B4784" s="8" t="s">
        <v>55857</v>
      </c>
    </row>
    <row r="4785" spans="1:2" ht="14.5" x14ac:dyDescent="0.35">
      <c r="A4785" s="8" t="s">
        <v>54894</v>
      </c>
      <c r="B4785" s="8" t="s">
        <v>57523</v>
      </c>
    </row>
    <row r="4786" spans="1:2" ht="14.5" x14ac:dyDescent="0.35">
      <c r="A4786" s="8" t="s">
        <v>54894</v>
      </c>
      <c r="B4786" s="8" t="s">
        <v>55858</v>
      </c>
    </row>
    <row r="4787" spans="1:2" ht="14.5" x14ac:dyDescent="0.35">
      <c r="A4787" s="8" t="s">
        <v>54894</v>
      </c>
      <c r="B4787" s="8" t="s">
        <v>55858</v>
      </c>
    </row>
    <row r="4788" spans="1:2" ht="14.5" x14ac:dyDescent="0.35">
      <c r="A4788" s="8" t="s">
        <v>54894</v>
      </c>
      <c r="B4788" s="8" t="s">
        <v>57468</v>
      </c>
    </row>
    <row r="4789" spans="1:2" ht="14.5" x14ac:dyDescent="0.35">
      <c r="A4789" s="8" t="s">
        <v>54894</v>
      </c>
      <c r="B4789" s="8" t="s">
        <v>55859</v>
      </c>
    </row>
    <row r="4790" spans="1:2" ht="14.5" x14ac:dyDescent="0.35">
      <c r="A4790" s="8" t="s">
        <v>54894</v>
      </c>
      <c r="B4790" s="8" t="s">
        <v>57469</v>
      </c>
    </row>
    <row r="4791" spans="1:2" ht="14.5" x14ac:dyDescent="0.35">
      <c r="A4791" s="8" t="s">
        <v>54894</v>
      </c>
      <c r="B4791" s="8" t="s">
        <v>55860</v>
      </c>
    </row>
    <row r="4792" spans="1:2" ht="14.5" x14ac:dyDescent="0.35">
      <c r="A4792" s="8" t="s">
        <v>54894</v>
      </c>
      <c r="B4792" s="8" t="s">
        <v>57470</v>
      </c>
    </row>
    <row r="4793" spans="1:2" ht="14.5" x14ac:dyDescent="0.35">
      <c r="A4793" s="8" t="s">
        <v>54894</v>
      </c>
      <c r="B4793" s="8" t="s">
        <v>57471</v>
      </c>
    </row>
    <row r="4794" spans="1:2" ht="14.5" x14ac:dyDescent="0.35">
      <c r="A4794" s="8" t="s">
        <v>54894</v>
      </c>
      <c r="B4794" s="8" t="s">
        <v>57472</v>
      </c>
    </row>
    <row r="4795" spans="1:2" ht="14.5" x14ac:dyDescent="0.35">
      <c r="A4795" s="8" t="s">
        <v>54894</v>
      </c>
      <c r="B4795" s="8" t="s">
        <v>58296</v>
      </c>
    </row>
    <row r="4796" spans="1:2" ht="14.5" x14ac:dyDescent="0.35">
      <c r="A4796" s="8" t="s">
        <v>54894</v>
      </c>
      <c r="B4796" s="8" t="s">
        <v>57473</v>
      </c>
    </row>
    <row r="4797" spans="1:2" ht="14.5" x14ac:dyDescent="0.35">
      <c r="A4797" s="8" t="s">
        <v>54894</v>
      </c>
      <c r="B4797" s="8" t="s">
        <v>56700</v>
      </c>
    </row>
    <row r="4798" spans="1:2" ht="14.5" x14ac:dyDescent="0.35">
      <c r="A4798" s="8" t="s">
        <v>54894</v>
      </c>
      <c r="B4798" s="8" t="s">
        <v>57714</v>
      </c>
    </row>
    <row r="4799" spans="1:2" ht="14.5" x14ac:dyDescent="0.35">
      <c r="A4799" s="8" t="s">
        <v>54894</v>
      </c>
      <c r="B4799" s="8" t="s">
        <v>57474</v>
      </c>
    </row>
    <row r="4800" spans="1:2" ht="14.5" x14ac:dyDescent="0.35">
      <c r="A4800" s="8" t="s">
        <v>54894</v>
      </c>
      <c r="B4800" s="8" t="s">
        <v>55833</v>
      </c>
    </row>
    <row r="4801" spans="1:2" ht="14.5" x14ac:dyDescent="0.35">
      <c r="A4801" s="8" t="s">
        <v>54894</v>
      </c>
      <c r="B4801" s="8" t="s">
        <v>57123</v>
      </c>
    </row>
    <row r="4802" spans="1:2" ht="14.5" x14ac:dyDescent="0.35">
      <c r="A4802" s="8" t="s">
        <v>54894</v>
      </c>
      <c r="B4802" s="8" t="s">
        <v>55861</v>
      </c>
    </row>
    <row r="4803" spans="1:2" ht="14.5" x14ac:dyDescent="0.35">
      <c r="A4803" s="8" t="s">
        <v>54894</v>
      </c>
      <c r="B4803" s="8" t="s">
        <v>55861</v>
      </c>
    </row>
    <row r="4804" spans="1:2" ht="14.5" x14ac:dyDescent="0.35">
      <c r="A4804" s="8" t="s">
        <v>54894</v>
      </c>
      <c r="B4804" s="8" t="s">
        <v>55861</v>
      </c>
    </row>
    <row r="4805" spans="1:2" ht="14.5" x14ac:dyDescent="0.35">
      <c r="A4805" s="8" t="s">
        <v>54894</v>
      </c>
      <c r="B4805" s="8" t="s">
        <v>55861</v>
      </c>
    </row>
    <row r="4806" spans="1:2" ht="14.5" x14ac:dyDescent="0.35">
      <c r="A4806" s="8" t="s">
        <v>54894</v>
      </c>
      <c r="B4806" s="8" t="s">
        <v>55861</v>
      </c>
    </row>
    <row r="4807" spans="1:2" ht="14.5" x14ac:dyDescent="0.35">
      <c r="A4807" s="8" t="s">
        <v>54894</v>
      </c>
      <c r="B4807" s="8" t="s">
        <v>55834</v>
      </c>
    </row>
    <row r="4808" spans="1:2" ht="14.5" x14ac:dyDescent="0.35">
      <c r="A4808" s="8" t="s">
        <v>54894</v>
      </c>
      <c r="B4808" s="8" t="s">
        <v>55835</v>
      </c>
    </row>
    <row r="4809" spans="1:2" ht="14.5" x14ac:dyDescent="0.35">
      <c r="A4809" s="8" t="s">
        <v>54894</v>
      </c>
      <c r="B4809" s="8" t="s">
        <v>55836</v>
      </c>
    </row>
    <row r="4810" spans="1:2" ht="14.5" x14ac:dyDescent="0.35">
      <c r="A4810" s="8" t="s">
        <v>54894</v>
      </c>
      <c r="B4810" s="8" t="s">
        <v>55837</v>
      </c>
    </row>
    <row r="4811" spans="1:2" ht="14.5" x14ac:dyDescent="0.35">
      <c r="A4811" s="8" t="s">
        <v>54894</v>
      </c>
      <c r="B4811" s="8" t="s">
        <v>57475</v>
      </c>
    </row>
    <row r="4812" spans="1:2" ht="14.5" x14ac:dyDescent="0.35">
      <c r="A4812" s="8" t="s">
        <v>54894</v>
      </c>
      <c r="B4812" s="8" t="s">
        <v>55838</v>
      </c>
    </row>
    <row r="4813" spans="1:2" ht="14.5" x14ac:dyDescent="0.35">
      <c r="A4813" s="8" t="s">
        <v>54894</v>
      </c>
      <c r="B4813" s="8" t="s">
        <v>55634</v>
      </c>
    </row>
    <row r="4814" spans="1:2" ht="14.5" x14ac:dyDescent="0.35">
      <c r="A4814" s="8" t="s">
        <v>54894</v>
      </c>
      <c r="B4814" s="8" t="s">
        <v>56701</v>
      </c>
    </row>
    <row r="4815" spans="1:2" ht="14.5" x14ac:dyDescent="0.35">
      <c r="A4815" s="8" t="s">
        <v>54894</v>
      </c>
      <c r="B4815" s="8" t="s">
        <v>57476</v>
      </c>
    </row>
    <row r="4816" spans="1:2" ht="14.5" x14ac:dyDescent="0.35">
      <c r="A4816" s="8" t="s">
        <v>54894</v>
      </c>
      <c r="B4816" s="8" t="s">
        <v>57477</v>
      </c>
    </row>
    <row r="4817" spans="1:2" ht="14.5" x14ac:dyDescent="0.35">
      <c r="A4817" s="8" t="s">
        <v>54894</v>
      </c>
      <c r="B4817" s="8" t="s">
        <v>54982</v>
      </c>
    </row>
    <row r="4818" spans="1:2" ht="14.5" x14ac:dyDescent="0.35">
      <c r="A4818" s="8" t="s">
        <v>54894</v>
      </c>
      <c r="B4818" s="8" t="s">
        <v>55862</v>
      </c>
    </row>
    <row r="4819" spans="1:2" ht="14.5" x14ac:dyDescent="0.35">
      <c r="A4819" s="8" t="s">
        <v>54894</v>
      </c>
      <c r="B4819" s="8" t="s">
        <v>58126</v>
      </c>
    </row>
    <row r="4820" spans="1:2" ht="14.5" x14ac:dyDescent="0.35">
      <c r="A4820" s="8" t="s">
        <v>54894</v>
      </c>
      <c r="B4820" s="8" t="s">
        <v>57478</v>
      </c>
    </row>
    <row r="4821" spans="1:2" ht="14.5" x14ac:dyDescent="0.35">
      <c r="A4821" s="8" t="s">
        <v>54894</v>
      </c>
      <c r="B4821" s="8" t="s">
        <v>57478</v>
      </c>
    </row>
    <row r="4822" spans="1:2" ht="14.5" x14ac:dyDescent="0.35">
      <c r="A4822" s="8" t="s">
        <v>54894</v>
      </c>
      <c r="B4822" s="8" t="s">
        <v>57479</v>
      </c>
    </row>
    <row r="4823" spans="1:2" ht="14.5" x14ac:dyDescent="0.35">
      <c r="A4823" s="8" t="s">
        <v>54894</v>
      </c>
      <c r="B4823" s="8" t="s">
        <v>55863</v>
      </c>
    </row>
    <row r="4824" spans="1:2" ht="14.5" x14ac:dyDescent="0.35">
      <c r="A4824" s="8" t="s">
        <v>54894</v>
      </c>
      <c r="B4824" s="8" t="s">
        <v>55864</v>
      </c>
    </row>
    <row r="4825" spans="1:2" ht="14.5" x14ac:dyDescent="0.35">
      <c r="A4825" s="8" t="s">
        <v>54894</v>
      </c>
      <c r="B4825" s="8" t="s">
        <v>55864</v>
      </c>
    </row>
    <row r="4826" spans="1:2" ht="14.5" x14ac:dyDescent="0.35">
      <c r="A4826" s="8" t="s">
        <v>54894</v>
      </c>
      <c r="B4826" s="8" t="s">
        <v>55864</v>
      </c>
    </row>
    <row r="4827" spans="1:2" ht="14.5" x14ac:dyDescent="0.35">
      <c r="A4827" s="8" t="s">
        <v>54894</v>
      </c>
      <c r="B4827" s="8" t="s">
        <v>57480</v>
      </c>
    </row>
    <row r="4828" spans="1:2" ht="14.5" x14ac:dyDescent="0.35">
      <c r="A4828" s="8" t="s">
        <v>54894</v>
      </c>
      <c r="B4828" s="8" t="s">
        <v>54922</v>
      </c>
    </row>
    <row r="4829" spans="1:2" ht="14.5" x14ac:dyDescent="0.35">
      <c r="A4829" s="8" t="s">
        <v>54894</v>
      </c>
      <c r="B4829" s="8" t="s">
        <v>54923</v>
      </c>
    </row>
    <row r="4830" spans="1:2" ht="14.5" x14ac:dyDescent="0.35">
      <c r="A4830" s="8" t="s">
        <v>54894</v>
      </c>
      <c r="B4830" s="8" t="s">
        <v>57481</v>
      </c>
    </row>
    <row r="4831" spans="1:2" ht="14.5" x14ac:dyDescent="0.35">
      <c r="A4831" s="8" t="s">
        <v>54894</v>
      </c>
      <c r="B4831" s="8" t="s">
        <v>54924</v>
      </c>
    </row>
    <row r="4832" spans="1:2" ht="14.5" x14ac:dyDescent="0.35">
      <c r="A4832" s="8" t="s">
        <v>54894</v>
      </c>
      <c r="B4832" s="8" t="s">
        <v>54924</v>
      </c>
    </row>
    <row r="4833" spans="1:2" ht="14.5" x14ac:dyDescent="0.35">
      <c r="A4833" s="8" t="s">
        <v>54894</v>
      </c>
      <c r="B4833" s="8" t="s">
        <v>56904</v>
      </c>
    </row>
    <row r="4834" spans="1:2" ht="14.5" x14ac:dyDescent="0.35">
      <c r="A4834" s="8" t="s">
        <v>54894</v>
      </c>
      <c r="B4834" s="8" t="s">
        <v>56905</v>
      </c>
    </row>
    <row r="4835" spans="1:2" ht="14.5" x14ac:dyDescent="0.35">
      <c r="A4835" s="8" t="s">
        <v>54894</v>
      </c>
      <c r="B4835" s="8" t="s">
        <v>56906</v>
      </c>
    </row>
    <row r="4836" spans="1:2" ht="14.5" x14ac:dyDescent="0.35">
      <c r="A4836" s="8" t="s">
        <v>54894</v>
      </c>
      <c r="B4836" s="8" t="s">
        <v>56907</v>
      </c>
    </row>
    <row r="4837" spans="1:2" ht="14.5" x14ac:dyDescent="0.35">
      <c r="A4837" s="8" t="s">
        <v>54894</v>
      </c>
      <c r="B4837" s="8" t="s">
        <v>56908</v>
      </c>
    </row>
    <row r="4838" spans="1:2" ht="14.5" x14ac:dyDescent="0.35">
      <c r="A4838" s="8" t="s">
        <v>54894</v>
      </c>
      <c r="B4838" s="8" t="s">
        <v>56909</v>
      </c>
    </row>
    <row r="4839" spans="1:2" ht="14.5" x14ac:dyDescent="0.35">
      <c r="A4839" s="8" t="s">
        <v>54894</v>
      </c>
      <c r="B4839" s="8" t="s">
        <v>56910</v>
      </c>
    </row>
    <row r="4840" spans="1:2" ht="14.5" x14ac:dyDescent="0.35">
      <c r="A4840" s="8" t="s">
        <v>54894</v>
      </c>
      <c r="B4840" s="8" t="s">
        <v>56911</v>
      </c>
    </row>
    <row r="4841" spans="1:2" ht="14.5" x14ac:dyDescent="0.35">
      <c r="A4841" s="8" t="s">
        <v>54894</v>
      </c>
      <c r="B4841" s="8" t="s">
        <v>56912</v>
      </c>
    </row>
    <row r="4842" spans="1:2" ht="14.5" x14ac:dyDescent="0.35">
      <c r="A4842" s="8" t="s">
        <v>54894</v>
      </c>
      <c r="B4842" s="8" t="s">
        <v>56913</v>
      </c>
    </row>
    <row r="4843" spans="1:2" ht="14.5" x14ac:dyDescent="0.35">
      <c r="A4843" s="8" t="s">
        <v>54894</v>
      </c>
      <c r="B4843" s="8" t="s">
        <v>56914</v>
      </c>
    </row>
    <row r="4844" spans="1:2" ht="14.5" x14ac:dyDescent="0.35">
      <c r="A4844" s="8" t="s">
        <v>54894</v>
      </c>
      <c r="B4844" s="8" t="s">
        <v>56915</v>
      </c>
    </row>
    <row r="4845" spans="1:2" ht="14.5" x14ac:dyDescent="0.35">
      <c r="A4845" s="8" t="s">
        <v>54894</v>
      </c>
      <c r="B4845" s="8" t="s">
        <v>56916</v>
      </c>
    </row>
    <row r="4846" spans="1:2" ht="14.5" x14ac:dyDescent="0.35">
      <c r="A4846" s="8" t="s">
        <v>54894</v>
      </c>
      <c r="B4846" s="8" t="s">
        <v>56917</v>
      </c>
    </row>
    <row r="4847" spans="1:2" ht="14.5" x14ac:dyDescent="0.35">
      <c r="A4847" s="8" t="s">
        <v>54894</v>
      </c>
      <c r="B4847" s="8" t="s">
        <v>56918</v>
      </c>
    </row>
    <row r="4848" spans="1:2" ht="14.5" x14ac:dyDescent="0.35">
      <c r="A4848" s="8" t="s">
        <v>54894</v>
      </c>
      <c r="B4848" s="8" t="s">
        <v>56919</v>
      </c>
    </row>
    <row r="4849" spans="1:2" ht="14.5" x14ac:dyDescent="0.35">
      <c r="A4849" s="8" t="s">
        <v>54894</v>
      </c>
      <c r="B4849" s="8" t="s">
        <v>56920</v>
      </c>
    </row>
    <row r="4850" spans="1:2" ht="14.5" x14ac:dyDescent="0.35">
      <c r="A4850" s="8" t="s">
        <v>54894</v>
      </c>
      <c r="B4850" s="8" t="s">
        <v>54925</v>
      </c>
    </row>
    <row r="4851" spans="1:2" ht="14.5" x14ac:dyDescent="0.35">
      <c r="A4851" s="8" t="s">
        <v>54894</v>
      </c>
      <c r="B4851" s="8" t="s">
        <v>57482</v>
      </c>
    </row>
    <row r="4852" spans="1:2" ht="14.5" x14ac:dyDescent="0.35">
      <c r="A4852" s="8" t="s">
        <v>54894</v>
      </c>
      <c r="B4852" s="8" t="s">
        <v>56983</v>
      </c>
    </row>
    <row r="4853" spans="1:2" ht="14.5" x14ac:dyDescent="0.35">
      <c r="A4853" s="8" t="s">
        <v>54894</v>
      </c>
      <c r="B4853" s="8" t="s">
        <v>54926</v>
      </c>
    </row>
    <row r="4854" spans="1:2" ht="14.5" x14ac:dyDescent="0.35">
      <c r="A4854" s="8" t="s">
        <v>54894</v>
      </c>
      <c r="B4854" s="8" t="s">
        <v>54926</v>
      </c>
    </row>
    <row r="4855" spans="1:2" ht="14.5" x14ac:dyDescent="0.35">
      <c r="A4855" s="8" t="s">
        <v>54894</v>
      </c>
      <c r="B4855" s="8" t="s">
        <v>54926</v>
      </c>
    </row>
    <row r="4856" spans="1:2" ht="14.5" x14ac:dyDescent="0.35">
      <c r="A4856" s="8" t="s">
        <v>54894</v>
      </c>
      <c r="B4856" s="8" t="s">
        <v>54926</v>
      </c>
    </row>
    <row r="4857" spans="1:2" ht="14.5" x14ac:dyDescent="0.35">
      <c r="A4857" s="8" t="s">
        <v>54894</v>
      </c>
      <c r="B4857" s="8" t="s">
        <v>54926</v>
      </c>
    </row>
    <row r="4858" spans="1:2" ht="14.5" x14ac:dyDescent="0.35">
      <c r="A4858" s="8" t="s">
        <v>54894</v>
      </c>
      <c r="B4858" s="8" t="s">
        <v>54926</v>
      </c>
    </row>
    <row r="4859" spans="1:2" ht="14.5" x14ac:dyDescent="0.35">
      <c r="A4859" s="8" t="s">
        <v>54894</v>
      </c>
      <c r="B4859" s="8" t="s">
        <v>54926</v>
      </c>
    </row>
    <row r="4860" spans="1:2" ht="14.5" x14ac:dyDescent="0.35">
      <c r="A4860" s="8" t="s">
        <v>54894</v>
      </c>
      <c r="B4860" s="8" t="s">
        <v>57483</v>
      </c>
    </row>
    <row r="4861" spans="1:2" ht="14.5" x14ac:dyDescent="0.35">
      <c r="A4861" s="8" t="s">
        <v>54894</v>
      </c>
      <c r="B4861" s="8" t="s">
        <v>56702</v>
      </c>
    </row>
    <row r="4862" spans="1:2" ht="14.5" x14ac:dyDescent="0.35">
      <c r="A4862" s="8" t="s">
        <v>54894</v>
      </c>
      <c r="B4862" s="8" t="s">
        <v>55635</v>
      </c>
    </row>
    <row r="4863" spans="1:2" ht="14.5" x14ac:dyDescent="0.35">
      <c r="A4863" s="8" t="s">
        <v>54894</v>
      </c>
      <c r="B4863" s="8" t="s">
        <v>57484</v>
      </c>
    </row>
    <row r="4864" spans="1:2" ht="14.5" x14ac:dyDescent="0.35">
      <c r="A4864" s="8" t="s">
        <v>54894</v>
      </c>
      <c r="B4864" s="8" t="s">
        <v>57485</v>
      </c>
    </row>
    <row r="4865" spans="1:2" ht="14.5" x14ac:dyDescent="0.35">
      <c r="A4865" s="8" t="s">
        <v>54894</v>
      </c>
      <c r="B4865" s="8" t="s">
        <v>58127</v>
      </c>
    </row>
    <row r="4866" spans="1:2" ht="14.5" x14ac:dyDescent="0.35">
      <c r="A4866" s="8" t="s">
        <v>54894</v>
      </c>
      <c r="B4866" s="8" t="s">
        <v>55865</v>
      </c>
    </row>
    <row r="4867" spans="1:2" ht="14.5" x14ac:dyDescent="0.35">
      <c r="A4867" s="8" t="s">
        <v>54894</v>
      </c>
      <c r="B4867" s="8" t="s">
        <v>55866</v>
      </c>
    </row>
    <row r="4868" spans="1:2" ht="14.5" x14ac:dyDescent="0.35">
      <c r="A4868" s="8" t="s">
        <v>54894</v>
      </c>
      <c r="B4868" s="8" t="s">
        <v>55867</v>
      </c>
    </row>
    <row r="4869" spans="1:2" ht="14.5" x14ac:dyDescent="0.35">
      <c r="A4869" s="8" t="s">
        <v>54894</v>
      </c>
      <c r="B4869" s="8" t="s">
        <v>55868</v>
      </c>
    </row>
    <row r="4870" spans="1:2" ht="14.5" x14ac:dyDescent="0.35">
      <c r="A4870" s="8" t="s">
        <v>54894</v>
      </c>
      <c r="B4870" s="8" t="s">
        <v>57486</v>
      </c>
    </row>
    <row r="4871" spans="1:2" ht="14.5" x14ac:dyDescent="0.35">
      <c r="A4871" s="8" t="s">
        <v>54894</v>
      </c>
      <c r="B4871" s="8" t="s">
        <v>57124</v>
      </c>
    </row>
    <row r="4872" spans="1:2" ht="14.5" x14ac:dyDescent="0.35">
      <c r="A4872" s="8" t="s">
        <v>54894</v>
      </c>
      <c r="B4872" s="8" t="s">
        <v>57826</v>
      </c>
    </row>
    <row r="4873" spans="1:2" ht="14.5" x14ac:dyDescent="0.35">
      <c r="A4873" s="8" t="s">
        <v>54894</v>
      </c>
      <c r="B4873" s="8" t="s">
        <v>57827</v>
      </c>
    </row>
    <row r="4874" spans="1:2" ht="14.5" x14ac:dyDescent="0.35">
      <c r="A4874" s="8" t="s">
        <v>54894</v>
      </c>
      <c r="B4874" s="8" t="s">
        <v>55738</v>
      </c>
    </row>
    <row r="4875" spans="1:2" ht="14.5" x14ac:dyDescent="0.35">
      <c r="A4875" s="8" t="s">
        <v>54894</v>
      </c>
      <c r="B4875" s="8" t="s">
        <v>56015</v>
      </c>
    </row>
    <row r="4876" spans="1:2" ht="14.5" x14ac:dyDescent="0.35">
      <c r="A4876" s="8" t="s">
        <v>54894</v>
      </c>
      <c r="B4876" s="8" t="s">
        <v>57674</v>
      </c>
    </row>
    <row r="4877" spans="1:2" ht="14.5" x14ac:dyDescent="0.35">
      <c r="A4877" s="8" t="s">
        <v>54894</v>
      </c>
      <c r="B4877" s="8" t="s">
        <v>58469</v>
      </c>
    </row>
    <row r="4878" spans="1:2" ht="14.5" x14ac:dyDescent="0.35">
      <c r="A4878" s="8" t="s">
        <v>54894</v>
      </c>
      <c r="B4878" s="8" t="s">
        <v>56921</v>
      </c>
    </row>
    <row r="4879" spans="1:2" ht="14.5" x14ac:dyDescent="0.35">
      <c r="A4879" s="8" t="s">
        <v>54894</v>
      </c>
      <c r="B4879" s="8" t="s">
        <v>55905</v>
      </c>
    </row>
    <row r="4880" spans="1:2" ht="14.5" x14ac:dyDescent="0.35">
      <c r="A4880" s="8" t="s">
        <v>54894</v>
      </c>
      <c r="B4880" s="8" t="s">
        <v>57632</v>
      </c>
    </row>
    <row r="4881" spans="1:2" ht="14.5" x14ac:dyDescent="0.35">
      <c r="A4881" s="8" t="s">
        <v>54894</v>
      </c>
      <c r="B4881" s="8" t="s">
        <v>56706</v>
      </c>
    </row>
    <row r="4882" spans="1:2" ht="14.5" x14ac:dyDescent="0.35">
      <c r="A4882" s="8" t="s">
        <v>54894</v>
      </c>
      <c r="B4882" s="8" t="s">
        <v>57344</v>
      </c>
    </row>
    <row r="4883" spans="1:2" ht="14.5" x14ac:dyDescent="0.35">
      <c r="A4883" s="8" t="s">
        <v>54894</v>
      </c>
      <c r="B4883" s="8" t="s">
        <v>57030</v>
      </c>
    </row>
    <row r="4884" spans="1:2" ht="14.5" x14ac:dyDescent="0.35">
      <c r="A4884" s="8" t="s">
        <v>54894</v>
      </c>
      <c r="B4884" s="8" t="s">
        <v>56345</v>
      </c>
    </row>
    <row r="4885" spans="1:2" ht="14.5" x14ac:dyDescent="0.35">
      <c r="A4885" s="8" t="s">
        <v>54894</v>
      </c>
      <c r="B4885" s="8" t="s">
        <v>58306</v>
      </c>
    </row>
    <row r="4886" spans="1:2" ht="14.5" x14ac:dyDescent="0.35">
      <c r="A4886" s="8" t="s">
        <v>54894</v>
      </c>
      <c r="B4886" s="8" t="s">
        <v>56922</v>
      </c>
    </row>
    <row r="4887" spans="1:2" ht="14.5" x14ac:dyDescent="0.35">
      <c r="A4887" s="8" t="s">
        <v>54894</v>
      </c>
      <c r="B4887" s="8" t="s">
        <v>57936</v>
      </c>
    </row>
    <row r="4888" spans="1:2" ht="14.5" x14ac:dyDescent="0.35">
      <c r="A4888" s="8" t="s">
        <v>54894</v>
      </c>
      <c r="B4888" s="8" t="s">
        <v>57802</v>
      </c>
    </row>
    <row r="4889" spans="1:2" ht="14.5" x14ac:dyDescent="0.35">
      <c r="A4889" s="8" t="s">
        <v>54894</v>
      </c>
      <c r="B4889" s="8" t="s">
        <v>56236</v>
      </c>
    </row>
    <row r="4890" spans="1:2" ht="14.5" x14ac:dyDescent="0.35">
      <c r="A4890" s="8" t="s">
        <v>54894</v>
      </c>
      <c r="B4890" s="8" t="s">
        <v>56237</v>
      </c>
    </row>
    <row r="4891" spans="1:2" ht="14.5" x14ac:dyDescent="0.35">
      <c r="A4891" s="8" t="s">
        <v>54894</v>
      </c>
      <c r="B4891" s="8" t="s">
        <v>57699</v>
      </c>
    </row>
    <row r="4892" spans="1:2" ht="14.5" x14ac:dyDescent="0.35">
      <c r="A4892" s="8" t="s">
        <v>54894</v>
      </c>
      <c r="B4892" s="8" t="s">
        <v>57255</v>
      </c>
    </row>
    <row r="4893" spans="1:2" ht="14.5" x14ac:dyDescent="0.35">
      <c r="A4893" s="8" t="s">
        <v>54894</v>
      </c>
      <c r="B4893" s="8" t="s">
        <v>56511</v>
      </c>
    </row>
    <row r="4894" spans="1:2" ht="14.5" x14ac:dyDescent="0.35">
      <c r="A4894" s="8" t="s">
        <v>54894</v>
      </c>
      <c r="B4894" s="8" t="s">
        <v>56300</v>
      </c>
    </row>
    <row r="4895" spans="1:2" ht="14.5" x14ac:dyDescent="0.35">
      <c r="A4895" s="8" t="s">
        <v>54894</v>
      </c>
      <c r="B4895" s="8" t="s">
        <v>57787</v>
      </c>
    </row>
    <row r="4896" spans="1:2" ht="14.5" x14ac:dyDescent="0.35">
      <c r="A4896" s="8" t="s">
        <v>54894</v>
      </c>
      <c r="B4896" s="8" t="s">
        <v>57886</v>
      </c>
    </row>
    <row r="4897" spans="1:2" ht="14.5" x14ac:dyDescent="0.35">
      <c r="A4897" s="8" t="s">
        <v>54894</v>
      </c>
      <c r="B4897" s="8" t="s">
        <v>56580</v>
      </c>
    </row>
    <row r="4898" spans="1:2" ht="14.5" x14ac:dyDescent="0.35">
      <c r="A4898" s="8" t="s">
        <v>54894</v>
      </c>
      <c r="B4898" s="8" t="s">
        <v>56581</v>
      </c>
    </row>
    <row r="4899" spans="1:2" ht="14.5" x14ac:dyDescent="0.35">
      <c r="A4899" s="8" t="s">
        <v>54894</v>
      </c>
      <c r="B4899" s="8" t="s">
        <v>5615</v>
      </c>
    </row>
    <row r="4900" spans="1:2" ht="14.5" x14ac:dyDescent="0.35">
      <c r="A4900" s="8" t="s">
        <v>54894</v>
      </c>
      <c r="B4900" s="8" t="s">
        <v>56172</v>
      </c>
    </row>
    <row r="4901" spans="1:2" ht="14.5" x14ac:dyDescent="0.35">
      <c r="A4901" s="8" t="s">
        <v>54894</v>
      </c>
      <c r="B4901" s="8" t="s">
        <v>57496</v>
      </c>
    </row>
    <row r="4902" spans="1:2" ht="14.5" x14ac:dyDescent="0.35">
      <c r="A4902" s="8" t="s">
        <v>54894</v>
      </c>
      <c r="B4902" s="8" t="s">
        <v>57633</v>
      </c>
    </row>
    <row r="4903" spans="1:2" ht="14.5" x14ac:dyDescent="0.35">
      <c r="A4903" s="8" t="s">
        <v>54894</v>
      </c>
      <c r="B4903" s="8" t="s">
        <v>58180</v>
      </c>
    </row>
    <row r="4904" spans="1:2" ht="14.5" x14ac:dyDescent="0.35">
      <c r="A4904" s="8" t="s">
        <v>54894</v>
      </c>
      <c r="B4904" s="8" t="s">
        <v>55704</v>
      </c>
    </row>
    <row r="4905" spans="1:2" ht="14.5" x14ac:dyDescent="0.35">
      <c r="A4905" s="8" t="s">
        <v>54894</v>
      </c>
      <c r="B4905" s="8" t="s">
        <v>54994</v>
      </c>
    </row>
    <row r="4906" spans="1:2" ht="14.5" x14ac:dyDescent="0.35">
      <c r="A4906" s="8" t="s">
        <v>54894</v>
      </c>
      <c r="B4906" s="8" t="s">
        <v>54995</v>
      </c>
    </row>
    <row r="4907" spans="1:2" ht="14.5" x14ac:dyDescent="0.35">
      <c r="A4907" s="8" t="s">
        <v>54894</v>
      </c>
      <c r="B4907" s="8" t="s">
        <v>57137</v>
      </c>
    </row>
    <row r="4908" spans="1:2" ht="14.5" x14ac:dyDescent="0.35">
      <c r="A4908" s="8" t="s">
        <v>54894</v>
      </c>
      <c r="B4908" s="8" t="s">
        <v>55628</v>
      </c>
    </row>
    <row r="4909" spans="1:2" ht="14.5" x14ac:dyDescent="0.35">
      <c r="A4909" s="8" t="s">
        <v>54894</v>
      </c>
      <c r="B4909" s="8" t="s">
        <v>55628</v>
      </c>
    </row>
    <row r="4910" spans="1:2" ht="14.5" x14ac:dyDescent="0.35">
      <c r="A4910" s="8" t="s">
        <v>54894</v>
      </c>
      <c r="B4910" s="8" t="s">
        <v>55629</v>
      </c>
    </row>
    <row r="4911" spans="1:2" ht="14.5" x14ac:dyDescent="0.35">
      <c r="A4911" s="8" t="s">
        <v>54894</v>
      </c>
      <c r="B4911" s="8" t="s">
        <v>55630</v>
      </c>
    </row>
    <row r="4912" spans="1:2" ht="14.5" x14ac:dyDescent="0.35">
      <c r="A4912" s="8" t="s">
        <v>54894</v>
      </c>
      <c r="B4912" s="8" t="s">
        <v>55305</v>
      </c>
    </row>
    <row r="4913" spans="1:2" ht="14.5" x14ac:dyDescent="0.35">
      <c r="A4913" s="8" t="s">
        <v>54894</v>
      </c>
      <c r="B4913" s="8" t="s">
        <v>56320</v>
      </c>
    </row>
    <row r="4914" spans="1:2" ht="14.5" x14ac:dyDescent="0.35">
      <c r="A4914" s="8" t="s">
        <v>54894</v>
      </c>
      <c r="B4914" s="8" t="s">
        <v>56321</v>
      </c>
    </row>
    <row r="4915" spans="1:2" ht="14.5" x14ac:dyDescent="0.35">
      <c r="A4915" s="8" t="s">
        <v>54894</v>
      </c>
      <c r="B4915" s="8" t="s">
        <v>55631</v>
      </c>
    </row>
    <row r="4916" spans="1:2" ht="14.5" x14ac:dyDescent="0.35">
      <c r="A4916" s="8" t="s">
        <v>54894</v>
      </c>
      <c r="B4916" s="8" t="s">
        <v>57770</v>
      </c>
    </row>
    <row r="4917" spans="1:2" ht="14.5" x14ac:dyDescent="0.35">
      <c r="A4917" s="8" t="s">
        <v>54894</v>
      </c>
      <c r="B4917" s="8" t="s">
        <v>57917</v>
      </c>
    </row>
    <row r="4918" spans="1:2" ht="14.5" x14ac:dyDescent="0.35">
      <c r="A4918" s="8" t="s">
        <v>54894</v>
      </c>
      <c r="B4918" s="8" t="s">
        <v>58384</v>
      </c>
    </row>
    <row r="4919" spans="1:2" ht="14.5" x14ac:dyDescent="0.35">
      <c r="A4919" s="8" t="s">
        <v>54894</v>
      </c>
      <c r="B4919" s="8" t="s">
        <v>58256</v>
      </c>
    </row>
    <row r="4920" spans="1:2" ht="14.5" x14ac:dyDescent="0.35">
      <c r="A4920" s="8" t="s">
        <v>54894</v>
      </c>
      <c r="B4920" s="8" t="s">
        <v>57039</v>
      </c>
    </row>
    <row r="4921" spans="1:2" ht="14.5" x14ac:dyDescent="0.35">
      <c r="A4921" s="8" t="s">
        <v>54894</v>
      </c>
      <c r="B4921" s="8" t="s">
        <v>58345</v>
      </c>
    </row>
    <row r="4922" spans="1:2" ht="14.5" x14ac:dyDescent="0.35">
      <c r="A4922" s="8" t="s">
        <v>54894</v>
      </c>
      <c r="B4922" s="8" t="s">
        <v>57900</v>
      </c>
    </row>
    <row r="4923" spans="1:2" ht="14.5" x14ac:dyDescent="0.35">
      <c r="A4923" s="8" t="s">
        <v>54894</v>
      </c>
      <c r="B4923" s="8" t="s">
        <v>58128</v>
      </c>
    </row>
    <row r="4924" spans="1:2" ht="14.5" x14ac:dyDescent="0.35">
      <c r="A4924" s="8" t="s">
        <v>54894</v>
      </c>
      <c r="B4924" s="8" t="s">
        <v>58229</v>
      </c>
    </row>
    <row r="4925" spans="1:2" ht="14.5" x14ac:dyDescent="0.35">
      <c r="A4925" s="8" t="s">
        <v>54894</v>
      </c>
      <c r="B4925" s="8" t="s">
        <v>58008</v>
      </c>
    </row>
    <row r="4926" spans="1:2" ht="14.5" x14ac:dyDescent="0.35">
      <c r="A4926" s="8" t="s">
        <v>54894</v>
      </c>
      <c r="B4926" s="8" t="s">
        <v>58009</v>
      </c>
    </row>
    <row r="4927" spans="1:2" ht="14.5" x14ac:dyDescent="0.35">
      <c r="A4927" s="8" t="s">
        <v>54894</v>
      </c>
      <c r="B4927" s="8" t="s">
        <v>55667</v>
      </c>
    </row>
    <row r="4928" spans="1:2" ht="14.5" x14ac:dyDescent="0.35">
      <c r="A4928" s="8" t="s">
        <v>54894</v>
      </c>
      <c r="B4928" s="8" t="s">
        <v>55668</v>
      </c>
    </row>
    <row r="4929" spans="1:2" ht="14.5" x14ac:dyDescent="0.35">
      <c r="A4929" s="8" t="s">
        <v>54894</v>
      </c>
      <c r="B4929" s="8" t="s">
        <v>57540</v>
      </c>
    </row>
    <row r="4930" spans="1:2" ht="14.5" x14ac:dyDescent="0.35">
      <c r="A4930" s="8" t="s">
        <v>54894</v>
      </c>
      <c r="B4930" s="8" t="s">
        <v>57375</v>
      </c>
    </row>
    <row r="4931" spans="1:2" ht="14.5" x14ac:dyDescent="0.35">
      <c r="A4931" s="8" t="s">
        <v>54894</v>
      </c>
      <c r="B4931" s="8" t="s">
        <v>58441</v>
      </c>
    </row>
    <row r="4932" spans="1:2" ht="14.5" x14ac:dyDescent="0.35">
      <c r="A4932" s="8" t="s">
        <v>54894</v>
      </c>
      <c r="B4932" s="8" t="s">
        <v>58181</v>
      </c>
    </row>
    <row r="4933" spans="1:2" ht="14.5" x14ac:dyDescent="0.35">
      <c r="A4933" s="8" t="s">
        <v>54894</v>
      </c>
      <c r="B4933" s="8" t="s">
        <v>57872</v>
      </c>
    </row>
    <row r="4934" spans="1:2" ht="14.5" x14ac:dyDescent="0.35">
      <c r="A4934" s="8" t="s">
        <v>54894</v>
      </c>
      <c r="B4934" s="8" t="s">
        <v>57256</v>
      </c>
    </row>
    <row r="4935" spans="1:2" ht="14.5" x14ac:dyDescent="0.35">
      <c r="A4935" s="8" t="s">
        <v>54894</v>
      </c>
      <c r="B4935" s="8" t="s">
        <v>57257</v>
      </c>
    </row>
    <row r="4936" spans="1:2" ht="14.5" x14ac:dyDescent="0.35">
      <c r="A4936" s="8" t="s">
        <v>54894</v>
      </c>
      <c r="B4936" s="8" t="s">
        <v>57258</v>
      </c>
    </row>
    <row r="4937" spans="1:2" ht="14.5" x14ac:dyDescent="0.35">
      <c r="A4937" s="8" t="s">
        <v>54894</v>
      </c>
      <c r="B4937" s="8" t="s">
        <v>57259</v>
      </c>
    </row>
    <row r="4938" spans="1:2" ht="14.5" x14ac:dyDescent="0.35">
      <c r="A4938" s="8" t="s">
        <v>54894</v>
      </c>
      <c r="B4938" s="8" t="s">
        <v>58020</v>
      </c>
    </row>
    <row r="4939" spans="1:2" ht="14.5" x14ac:dyDescent="0.35">
      <c r="A4939" s="8" t="s">
        <v>54894</v>
      </c>
      <c r="B4939" s="8" t="s">
        <v>57278</v>
      </c>
    </row>
    <row r="4940" spans="1:2" ht="14.5" x14ac:dyDescent="0.35">
      <c r="A4940" s="8" t="s">
        <v>54894</v>
      </c>
      <c r="B4940" s="8" t="s">
        <v>56331</v>
      </c>
    </row>
    <row r="4941" spans="1:2" ht="14.5" x14ac:dyDescent="0.35">
      <c r="A4941" s="8" t="s">
        <v>54894</v>
      </c>
      <c r="B4941" s="8" t="s">
        <v>56332</v>
      </c>
    </row>
    <row r="4942" spans="1:2" ht="14.5" x14ac:dyDescent="0.35">
      <c r="A4942" s="8" t="s">
        <v>54894</v>
      </c>
      <c r="B4942" s="8" t="s">
        <v>58129</v>
      </c>
    </row>
    <row r="4943" spans="1:2" ht="14.5" x14ac:dyDescent="0.35">
      <c r="A4943" s="8" t="s">
        <v>54894</v>
      </c>
      <c r="B4943" s="8" t="s">
        <v>55846</v>
      </c>
    </row>
    <row r="4944" spans="1:2" ht="14.5" x14ac:dyDescent="0.35">
      <c r="A4944" s="8" t="s">
        <v>54894</v>
      </c>
      <c r="B4944" s="8" t="s">
        <v>55575</v>
      </c>
    </row>
    <row r="4945" spans="1:2" ht="14.5" x14ac:dyDescent="0.35">
      <c r="A4945" s="8" t="s">
        <v>54894</v>
      </c>
      <c r="B4945" s="8" t="s">
        <v>55882</v>
      </c>
    </row>
    <row r="4946" spans="1:2" ht="14.5" x14ac:dyDescent="0.35">
      <c r="A4946" s="8" t="s">
        <v>54894</v>
      </c>
      <c r="B4946" s="8" t="s">
        <v>56499</v>
      </c>
    </row>
    <row r="4947" spans="1:2" ht="14.5" x14ac:dyDescent="0.35">
      <c r="A4947" s="8" t="s">
        <v>54894</v>
      </c>
      <c r="B4947" s="8" t="s">
        <v>56923</v>
      </c>
    </row>
    <row r="4948" spans="1:2" ht="14.5" x14ac:dyDescent="0.35">
      <c r="A4948" s="8" t="s">
        <v>54894</v>
      </c>
      <c r="B4948" s="8" t="s">
        <v>55948</v>
      </c>
    </row>
    <row r="4949" spans="1:2" ht="14.5" x14ac:dyDescent="0.35">
      <c r="A4949" s="8" t="s">
        <v>54894</v>
      </c>
      <c r="B4949" s="8" t="s">
        <v>58130</v>
      </c>
    </row>
    <row r="4950" spans="1:2" ht="14.5" x14ac:dyDescent="0.35">
      <c r="A4950" s="8" t="s">
        <v>54894</v>
      </c>
      <c r="B4950" s="8" t="s">
        <v>55949</v>
      </c>
    </row>
    <row r="4951" spans="1:2" ht="14.5" x14ac:dyDescent="0.35">
      <c r="A4951" s="8" t="s">
        <v>54894</v>
      </c>
      <c r="B4951" s="8" t="s">
        <v>57242</v>
      </c>
    </row>
    <row r="4952" spans="1:2" ht="14.5" x14ac:dyDescent="0.35">
      <c r="A4952" s="8" t="s">
        <v>54894</v>
      </c>
      <c r="B4952" s="8" t="s">
        <v>55559</v>
      </c>
    </row>
    <row r="4953" spans="1:2" ht="14.5" x14ac:dyDescent="0.35">
      <c r="A4953" s="8" t="s">
        <v>54894</v>
      </c>
      <c r="B4953" s="8" t="s">
        <v>56191</v>
      </c>
    </row>
    <row r="4954" spans="1:2" ht="14.5" x14ac:dyDescent="0.35">
      <c r="A4954" s="8" t="s">
        <v>54894</v>
      </c>
      <c r="B4954" s="8" t="s">
        <v>55180</v>
      </c>
    </row>
    <row r="4955" spans="1:2" ht="14.5" x14ac:dyDescent="0.35">
      <c r="A4955" s="8" t="s">
        <v>54894</v>
      </c>
      <c r="B4955" s="8" t="s">
        <v>55618</v>
      </c>
    </row>
    <row r="4956" spans="1:2" ht="14.5" x14ac:dyDescent="0.35">
      <c r="A4956" s="8" t="s">
        <v>54894</v>
      </c>
      <c r="B4956" s="8" t="s">
        <v>55619</v>
      </c>
    </row>
    <row r="4957" spans="1:2" ht="14.5" x14ac:dyDescent="0.35">
      <c r="A4957" s="8" t="s">
        <v>54894</v>
      </c>
      <c r="B4957" s="8" t="s">
        <v>58032</v>
      </c>
    </row>
    <row r="4958" spans="1:2" ht="14.5" x14ac:dyDescent="0.35">
      <c r="A4958" s="8" t="s">
        <v>54894</v>
      </c>
      <c r="B4958" s="8" t="s">
        <v>58421</v>
      </c>
    </row>
    <row r="4959" spans="1:2" ht="14.5" x14ac:dyDescent="0.35">
      <c r="A4959" s="8" t="s">
        <v>54894</v>
      </c>
      <c r="B4959" s="8" t="s">
        <v>57090</v>
      </c>
    </row>
    <row r="4960" spans="1:2" ht="14.5" x14ac:dyDescent="0.35">
      <c r="A4960" s="8" t="s">
        <v>54894</v>
      </c>
      <c r="B4960" s="8" t="s">
        <v>55472</v>
      </c>
    </row>
    <row r="4961" spans="1:2" ht="14.5" x14ac:dyDescent="0.35">
      <c r="A4961" s="8" t="s">
        <v>54894</v>
      </c>
      <c r="B4961" s="8" t="s">
        <v>56275</v>
      </c>
    </row>
    <row r="4962" spans="1:2" ht="14.5" x14ac:dyDescent="0.35">
      <c r="A4962" s="8" t="s">
        <v>54894</v>
      </c>
      <c r="B4962" s="8" t="s">
        <v>58385</v>
      </c>
    </row>
    <row r="4963" spans="1:2" ht="14.5" x14ac:dyDescent="0.35">
      <c r="A4963" s="8" t="s">
        <v>54894</v>
      </c>
      <c r="B4963" s="8" t="s">
        <v>56110</v>
      </c>
    </row>
    <row r="4964" spans="1:2" ht="14.5" x14ac:dyDescent="0.35">
      <c r="A4964" s="8" t="s">
        <v>54894</v>
      </c>
      <c r="B4964" s="8" t="s">
        <v>56924</v>
      </c>
    </row>
    <row r="4965" spans="1:2" ht="14.5" x14ac:dyDescent="0.35">
      <c r="A4965" s="8" t="s">
        <v>54894</v>
      </c>
      <c r="B4965" s="8" t="s">
        <v>56925</v>
      </c>
    </row>
    <row r="4966" spans="1:2" ht="14.5" x14ac:dyDescent="0.35">
      <c r="A4966" s="8" t="s">
        <v>54894</v>
      </c>
      <c r="B4966" s="8" t="s">
        <v>56926</v>
      </c>
    </row>
    <row r="4967" spans="1:2" ht="14.5" x14ac:dyDescent="0.35">
      <c r="A4967" s="8" t="s">
        <v>54894</v>
      </c>
      <c r="B4967" s="8" t="s">
        <v>56927</v>
      </c>
    </row>
    <row r="4968" spans="1:2" ht="14.5" x14ac:dyDescent="0.35">
      <c r="A4968" s="8" t="s">
        <v>54894</v>
      </c>
      <c r="B4968" s="8" t="s">
        <v>56928</v>
      </c>
    </row>
    <row r="4969" spans="1:2" ht="14.5" x14ac:dyDescent="0.35">
      <c r="A4969" s="8" t="s">
        <v>54894</v>
      </c>
      <c r="B4969" s="8" t="s">
        <v>55887</v>
      </c>
    </row>
    <row r="4970" spans="1:2" ht="14.5" x14ac:dyDescent="0.35">
      <c r="A4970" s="8" t="s">
        <v>54894</v>
      </c>
      <c r="B4970" s="8" t="s">
        <v>56929</v>
      </c>
    </row>
    <row r="4971" spans="1:2" ht="14.5" x14ac:dyDescent="0.35">
      <c r="A4971" s="8" t="s">
        <v>54894</v>
      </c>
      <c r="B4971" s="8" t="s">
        <v>56930</v>
      </c>
    </row>
    <row r="4972" spans="1:2" ht="14.5" x14ac:dyDescent="0.35">
      <c r="A4972" s="8" t="s">
        <v>54894</v>
      </c>
      <c r="B4972" s="8" t="s">
        <v>56931</v>
      </c>
    </row>
    <row r="4973" spans="1:2" ht="14.5" x14ac:dyDescent="0.35">
      <c r="A4973" s="8" t="s">
        <v>54894</v>
      </c>
      <c r="B4973" s="8" t="s">
        <v>56932</v>
      </c>
    </row>
    <row r="4974" spans="1:2" ht="14.5" x14ac:dyDescent="0.35">
      <c r="A4974" s="8" t="s">
        <v>54894</v>
      </c>
      <c r="B4974" s="8" t="s">
        <v>56390</v>
      </c>
    </row>
    <row r="4975" spans="1:2" ht="14.5" x14ac:dyDescent="0.35">
      <c r="A4975" s="8" t="s">
        <v>54894</v>
      </c>
      <c r="B4975" s="8" t="s">
        <v>57049</v>
      </c>
    </row>
    <row r="4976" spans="1:2" ht="14.5" x14ac:dyDescent="0.35">
      <c r="A4976" s="8" t="s">
        <v>54894</v>
      </c>
      <c r="B4976" s="8" t="s">
        <v>57970</v>
      </c>
    </row>
    <row r="4977" spans="1:2" ht="14.5" x14ac:dyDescent="0.35">
      <c r="A4977" s="8" t="s">
        <v>54894</v>
      </c>
      <c r="B4977" s="8" t="s">
        <v>55011</v>
      </c>
    </row>
    <row r="4978" spans="1:2" ht="14.5" x14ac:dyDescent="0.35">
      <c r="A4978" s="8" t="s">
        <v>54894</v>
      </c>
      <c r="B4978" s="8" t="s">
        <v>55012</v>
      </c>
    </row>
    <row r="4979" spans="1:2" ht="14.5" x14ac:dyDescent="0.35">
      <c r="A4979" s="8" t="s">
        <v>54894</v>
      </c>
      <c r="B4979" s="8" t="s">
        <v>56451</v>
      </c>
    </row>
    <row r="4980" spans="1:2" ht="14.5" x14ac:dyDescent="0.35">
      <c r="A4980" s="8" t="s">
        <v>54894</v>
      </c>
      <c r="B4980" s="8" t="s">
        <v>57529</v>
      </c>
    </row>
    <row r="4981" spans="1:2" ht="14.5" x14ac:dyDescent="0.35">
      <c r="A4981" s="8" t="s">
        <v>54894</v>
      </c>
      <c r="B4981" s="8" t="s">
        <v>57218</v>
      </c>
    </row>
    <row r="4982" spans="1:2" ht="14.5" x14ac:dyDescent="0.35">
      <c r="A4982" s="8" t="s">
        <v>54894</v>
      </c>
      <c r="B4982" s="8" t="s">
        <v>57167</v>
      </c>
    </row>
    <row r="4983" spans="1:2" ht="14.5" x14ac:dyDescent="0.35">
      <c r="A4983" s="8" t="s">
        <v>54894</v>
      </c>
      <c r="B4983" s="8" t="s">
        <v>57168</v>
      </c>
    </row>
    <row r="4984" spans="1:2" ht="14.5" x14ac:dyDescent="0.35">
      <c r="A4984" s="8" t="s">
        <v>54894</v>
      </c>
      <c r="B4984" s="8" t="s">
        <v>7518</v>
      </c>
    </row>
    <row r="4985" spans="1:2" ht="14.5" x14ac:dyDescent="0.35">
      <c r="A4985" s="8" t="s">
        <v>54894</v>
      </c>
      <c r="B4985" s="8" t="s">
        <v>56238</v>
      </c>
    </row>
    <row r="4986" spans="1:2" ht="14.5" x14ac:dyDescent="0.35">
      <c r="A4986" s="8" t="s">
        <v>54894</v>
      </c>
      <c r="B4986" s="8" t="s">
        <v>57634</v>
      </c>
    </row>
    <row r="4987" spans="1:2" ht="14.5" x14ac:dyDescent="0.35">
      <c r="A4987" s="8" t="s">
        <v>54894</v>
      </c>
      <c r="B4987" s="8" t="s">
        <v>54927</v>
      </c>
    </row>
    <row r="4988" spans="1:2" ht="14.5" x14ac:dyDescent="0.35">
      <c r="A4988" s="8" t="s">
        <v>54894</v>
      </c>
      <c r="B4988" s="8" t="s">
        <v>54928</v>
      </c>
    </row>
    <row r="4989" spans="1:2" ht="14.5" x14ac:dyDescent="0.35">
      <c r="A4989" s="8" t="s">
        <v>54894</v>
      </c>
      <c r="B4989" s="8" t="s">
        <v>57712</v>
      </c>
    </row>
    <row r="4990" spans="1:2" ht="14.5" x14ac:dyDescent="0.35">
      <c r="A4990" s="8" t="s">
        <v>54894</v>
      </c>
      <c r="B4990" s="8" t="s">
        <v>56239</v>
      </c>
    </row>
    <row r="4991" spans="1:2" ht="14.5" x14ac:dyDescent="0.35">
      <c r="A4991" s="8" t="s">
        <v>54894</v>
      </c>
      <c r="B4991" s="8" t="s">
        <v>57345</v>
      </c>
    </row>
    <row r="4992" spans="1:2" ht="14.5" x14ac:dyDescent="0.35">
      <c r="A4992" s="8" t="s">
        <v>54894</v>
      </c>
      <c r="B4992" s="8" t="s">
        <v>57279</v>
      </c>
    </row>
    <row r="4993" spans="1:2" ht="14.5" x14ac:dyDescent="0.35">
      <c r="A4993" s="8" t="s">
        <v>54894</v>
      </c>
      <c r="B4993" s="8" t="s">
        <v>58131</v>
      </c>
    </row>
    <row r="4994" spans="1:2" ht="14.5" x14ac:dyDescent="0.35">
      <c r="A4994" s="8" t="s">
        <v>54894</v>
      </c>
      <c r="B4994" s="8" t="s">
        <v>56111</v>
      </c>
    </row>
    <row r="4995" spans="1:2" ht="14.5" x14ac:dyDescent="0.35">
      <c r="A4995" s="8" t="s">
        <v>54894</v>
      </c>
      <c r="B4995" s="8" t="s">
        <v>57672</v>
      </c>
    </row>
    <row r="4996" spans="1:2" ht="14.5" x14ac:dyDescent="0.35">
      <c r="A4996" s="8" t="s">
        <v>54894</v>
      </c>
      <c r="B4996" s="8" t="s">
        <v>58132</v>
      </c>
    </row>
    <row r="4997" spans="1:2" ht="14.5" x14ac:dyDescent="0.35">
      <c r="A4997" s="8" t="s">
        <v>54894</v>
      </c>
      <c r="B4997" s="8" t="s">
        <v>55913</v>
      </c>
    </row>
    <row r="4998" spans="1:2" ht="14.5" x14ac:dyDescent="0.35">
      <c r="A4998" s="8" t="s">
        <v>54894</v>
      </c>
      <c r="B4998" s="8" t="s">
        <v>56554</v>
      </c>
    </row>
    <row r="4999" spans="1:2" ht="14.5" x14ac:dyDescent="0.35">
      <c r="A4999" s="8" t="s">
        <v>54894</v>
      </c>
      <c r="B4999" s="8" t="s">
        <v>57305</v>
      </c>
    </row>
    <row r="5000" spans="1:2" ht="14.5" x14ac:dyDescent="0.35">
      <c r="A5000" s="8" t="s">
        <v>54894</v>
      </c>
      <c r="B5000" s="8" t="s">
        <v>54976</v>
      </c>
    </row>
    <row r="5001" spans="1:2" ht="14.5" x14ac:dyDescent="0.35">
      <c r="A5001" s="8" t="s">
        <v>54894</v>
      </c>
      <c r="B5001" s="8" t="s">
        <v>55757</v>
      </c>
    </row>
    <row r="5002" spans="1:2" ht="14.5" x14ac:dyDescent="0.35">
      <c r="A5002" s="8" t="s">
        <v>54894</v>
      </c>
      <c r="B5002" s="8" t="s">
        <v>55883</v>
      </c>
    </row>
    <row r="5003" spans="1:2" ht="14.5" x14ac:dyDescent="0.35">
      <c r="A5003" s="8" t="s">
        <v>54894</v>
      </c>
      <c r="B5003" s="8" t="s">
        <v>55758</v>
      </c>
    </row>
    <row r="5004" spans="1:2" ht="14.5" x14ac:dyDescent="0.35">
      <c r="A5004" s="8" t="s">
        <v>54894</v>
      </c>
      <c r="B5004" s="8" t="s">
        <v>56500</v>
      </c>
    </row>
    <row r="5005" spans="1:2" ht="14.5" x14ac:dyDescent="0.35">
      <c r="A5005" s="8" t="s">
        <v>54894</v>
      </c>
      <c r="B5005" s="8" t="s">
        <v>54977</v>
      </c>
    </row>
    <row r="5006" spans="1:2" ht="14.5" x14ac:dyDescent="0.35">
      <c r="A5006" s="8" t="s">
        <v>54894</v>
      </c>
      <c r="B5006" s="8" t="s">
        <v>56681</v>
      </c>
    </row>
    <row r="5007" spans="1:2" ht="14.5" x14ac:dyDescent="0.35">
      <c r="A5007" s="8" t="s">
        <v>54894</v>
      </c>
      <c r="B5007" s="8" t="s">
        <v>58267</v>
      </c>
    </row>
    <row r="5008" spans="1:2" ht="14.5" x14ac:dyDescent="0.35">
      <c r="A5008" s="8" t="s">
        <v>54894</v>
      </c>
      <c r="B5008" s="8" t="s">
        <v>55914</v>
      </c>
    </row>
    <row r="5009" spans="1:2" ht="14.5" x14ac:dyDescent="0.35">
      <c r="A5009" s="8" t="s">
        <v>54894</v>
      </c>
      <c r="B5009" s="8" t="s">
        <v>54929</v>
      </c>
    </row>
    <row r="5010" spans="1:2" ht="14.5" x14ac:dyDescent="0.35">
      <c r="A5010" s="8" t="s">
        <v>54894</v>
      </c>
      <c r="B5010" s="8" t="s">
        <v>58133</v>
      </c>
    </row>
    <row r="5011" spans="1:2" ht="14.5" x14ac:dyDescent="0.35">
      <c r="A5011" s="8" t="s">
        <v>54894</v>
      </c>
      <c r="B5011" s="8" t="s">
        <v>55533</v>
      </c>
    </row>
    <row r="5012" spans="1:2" ht="14.5" x14ac:dyDescent="0.35">
      <c r="A5012" s="8" t="s">
        <v>54894</v>
      </c>
      <c r="B5012" s="8" t="s">
        <v>57530</v>
      </c>
    </row>
    <row r="5013" spans="1:2" ht="14.5" x14ac:dyDescent="0.35">
      <c r="A5013" s="8" t="s">
        <v>54894</v>
      </c>
      <c r="B5013" s="8" t="s">
        <v>57792</v>
      </c>
    </row>
    <row r="5014" spans="1:2" ht="14.5" x14ac:dyDescent="0.35">
      <c r="A5014" s="8" t="s">
        <v>54894</v>
      </c>
      <c r="B5014" s="8" t="s">
        <v>55695</v>
      </c>
    </row>
    <row r="5015" spans="1:2" ht="14.5" x14ac:dyDescent="0.35">
      <c r="A5015" s="8" t="s">
        <v>54894</v>
      </c>
      <c r="B5015" s="8" t="s">
        <v>58245</v>
      </c>
    </row>
    <row r="5016" spans="1:2" ht="14.5" x14ac:dyDescent="0.35">
      <c r="A5016" s="8" t="s">
        <v>54894</v>
      </c>
      <c r="B5016" s="8" t="s">
        <v>57028</v>
      </c>
    </row>
    <row r="5017" spans="1:2" ht="14.5" x14ac:dyDescent="0.35">
      <c r="A5017" s="8" t="s">
        <v>54894</v>
      </c>
      <c r="B5017" s="8" t="s">
        <v>55746</v>
      </c>
    </row>
    <row r="5018" spans="1:2" ht="14.5" x14ac:dyDescent="0.35">
      <c r="A5018" s="8" t="s">
        <v>54894</v>
      </c>
      <c r="B5018" s="8" t="s">
        <v>55705</v>
      </c>
    </row>
    <row r="5019" spans="1:2" ht="14.5" x14ac:dyDescent="0.35">
      <c r="A5019" s="8" t="s">
        <v>54894</v>
      </c>
      <c r="B5019" s="8" t="s">
        <v>54979</v>
      </c>
    </row>
    <row r="5020" spans="1:2" ht="14.5" x14ac:dyDescent="0.35">
      <c r="A5020" s="8" t="s">
        <v>54894</v>
      </c>
      <c r="B5020" s="8" t="s">
        <v>54980</v>
      </c>
    </row>
    <row r="5021" spans="1:2" ht="14.5" x14ac:dyDescent="0.35">
      <c r="A5021" s="8" t="s">
        <v>54894</v>
      </c>
      <c r="B5021" s="8" t="s">
        <v>56611</v>
      </c>
    </row>
    <row r="5022" spans="1:2" ht="14.5" x14ac:dyDescent="0.35">
      <c r="A5022" s="8" t="s">
        <v>54894</v>
      </c>
      <c r="B5022" s="8" t="s">
        <v>56612</v>
      </c>
    </row>
    <row r="5023" spans="1:2" ht="14.5" x14ac:dyDescent="0.35">
      <c r="A5023" s="8" t="s">
        <v>54894</v>
      </c>
      <c r="B5023" s="8" t="s">
        <v>56933</v>
      </c>
    </row>
    <row r="5024" spans="1:2" ht="14.5" x14ac:dyDescent="0.35">
      <c r="A5024" s="8" t="s">
        <v>54894</v>
      </c>
      <c r="B5024" s="8" t="s">
        <v>56934</v>
      </c>
    </row>
    <row r="5025" spans="1:2" ht="14.5" x14ac:dyDescent="0.35">
      <c r="A5025" s="8" t="s">
        <v>54894</v>
      </c>
      <c r="B5025" s="8" t="s">
        <v>57497</v>
      </c>
    </row>
    <row r="5026" spans="1:2" ht="14.5" x14ac:dyDescent="0.35">
      <c r="A5026" s="8" t="s">
        <v>54894</v>
      </c>
      <c r="B5026" s="8" t="s">
        <v>57243</v>
      </c>
    </row>
    <row r="5027" spans="1:2" ht="14.5" x14ac:dyDescent="0.35">
      <c r="A5027" s="8" t="s">
        <v>54894</v>
      </c>
      <c r="B5027" s="8" t="s">
        <v>58182</v>
      </c>
    </row>
    <row r="5028" spans="1:2" ht="14.5" x14ac:dyDescent="0.35">
      <c r="A5028" s="8" t="s">
        <v>54894</v>
      </c>
      <c r="B5028" s="8" t="s">
        <v>57498</v>
      </c>
    </row>
    <row r="5029" spans="1:2" ht="14.5" x14ac:dyDescent="0.35">
      <c r="A5029" s="8" t="s">
        <v>54894</v>
      </c>
      <c r="B5029" s="8" t="s">
        <v>55669</v>
      </c>
    </row>
    <row r="5030" spans="1:2" ht="14.5" x14ac:dyDescent="0.35">
      <c r="A5030" s="8" t="s">
        <v>54894</v>
      </c>
      <c r="B5030" s="8" t="s">
        <v>55336</v>
      </c>
    </row>
    <row r="5031" spans="1:2" ht="14.5" x14ac:dyDescent="0.35">
      <c r="A5031" s="8" t="s">
        <v>54894</v>
      </c>
      <c r="B5031" s="8" t="s">
        <v>55336</v>
      </c>
    </row>
    <row r="5032" spans="1:2" ht="14.5" x14ac:dyDescent="0.35">
      <c r="A5032" s="8" t="s">
        <v>54894</v>
      </c>
      <c r="B5032" s="8" t="s">
        <v>55336</v>
      </c>
    </row>
    <row r="5033" spans="1:2" ht="14.5" x14ac:dyDescent="0.35">
      <c r="A5033" s="8" t="s">
        <v>54894</v>
      </c>
      <c r="B5033" s="8" t="s">
        <v>55430</v>
      </c>
    </row>
    <row r="5034" spans="1:2" ht="14.5" x14ac:dyDescent="0.35">
      <c r="A5034" s="8" t="s">
        <v>54894</v>
      </c>
      <c r="B5034" s="8" t="s">
        <v>56935</v>
      </c>
    </row>
    <row r="5035" spans="1:2" ht="14.5" x14ac:dyDescent="0.35">
      <c r="A5035" s="8" t="s">
        <v>54894</v>
      </c>
      <c r="B5035" s="8" t="s">
        <v>58410</v>
      </c>
    </row>
    <row r="5036" spans="1:2" ht="14.5" x14ac:dyDescent="0.35">
      <c r="A5036" s="8" t="s">
        <v>54894</v>
      </c>
      <c r="B5036" s="8" t="s">
        <v>56167</v>
      </c>
    </row>
    <row r="5037" spans="1:2" ht="14.5" x14ac:dyDescent="0.35">
      <c r="A5037" s="8" t="s">
        <v>54894</v>
      </c>
      <c r="B5037" s="8" t="s">
        <v>56936</v>
      </c>
    </row>
    <row r="5038" spans="1:2" ht="14.5" x14ac:dyDescent="0.35">
      <c r="A5038" s="8" t="s">
        <v>54894</v>
      </c>
      <c r="B5038" s="8" t="s">
        <v>8177</v>
      </c>
    </row>
    <row r="5039" spans="1:2" ht="14.5" x14ac:dyDescent="0.35">
      <c r="A5039" s="8" t="s">
        <v>54894</v>
      </c>
      <c r="B5039" s="8" t="s">
        <v>56937</v>
      </c>
    </row>
    <row r="5040" spans="1:2" ht="14.5" x14ac:dyDescent="0.35">
      <c r="A5040" s="8" t="s">
        <v>54894</v>
      </c>
      <c r="B5040" s="8" t="s">
        <v>56938</v>
      </c>
    </row>
    <row r="5041" spans="1:2" ht="14.5" x14ac:dyDescent="0.35">
      <c r="A5041" s="8" t="s">
        <v>54894</v>
      </c>
      <c r="B5041" s="8" t="s">
        <v>56939</v>
      </c>
    </row>
    <row r="5042" spans="1:2" ht="14.5" x14ac:dyDescent="0.35">
      <c r="A5042" s="8" t="s">
        <v>54894</v>
      </c>
      <c r="B5042" s="8" t="s">
        <v>56940</v>
      </c>
    </row>
    <row r="5043" spans="1:2" ht="14.5" x14ac:dyDescent="0.35">
      <c r="A5043" s="8" t="s">
        <v>54894</v>
      </c>
      <c r="B5043" s="8" t="s">
        <v>56941</v>
      </c>
    </row>
    <row r="5044" spans="1:2" ht="14.5" x14ac:dyDescent="0.35">
      <c r="A5044" s="8" t="s">
        <v>54894</v>
      </c>
      <c r="B5044" s="8" t="s">
        <v>56350</v>
      </c>
    </row>
    <row r="5045" spans="1:2" ht="14.5" x14ac:dyDescent="0.35">
      <c r="A5045" s="8" t="s">
        <v>54894</v>
      </c>
      <c r="B5045" s="8" t="s">
        <v>56942</v>
      </c>
    </row>
    <row r="5046" spans="1:2" ht="14.5" x14ac:dyDescent="0.35">
      <c r="A5046" s="8" t="s">
        <v>54894</v>
      </c>
      <c r="B5046" s="8" t="s">
        <v>56001</v>
      </c>
    </row>
    <row r="5047" spans="1:2" ht="14.5" x14ac:dyDescent="0.35">
      <c r="A5047" s="8" t="s">
        <v>54894</v>
      </c>
      <c r="B5047" s="8" t="s">
        <v>57635</v>
      </c>
    </row>
    <row r="5048" spans="1:2" ht="14.5" x14ac:dyDescent="0.35">
      <c r="A5048" s="8" t="s">
        <v>54894</v>
      </c>
      <c r="B5048" s="8" t="s">
        <v>56325</v>
      </c>
    </row>
    <row r="5049" spans="1:2" ht="14.5" x14ac:dyDescent="0.35">
      <c r="A5049" s="8" t="s">
        <v>54894</v>
      </c>
      <c r="B5049" s="8" t="s">
        <v>57015</v>
      </c>
    </row>
    <row r="5050" spans="1:2" ht="14.5" x14ac:dyDescent="0.35">
      <c r="A5050" s="8" t="s">
        <v>54894</v>
      </c>
      <c r="B5050" s="8" t="s">
        <v>55084</v>
      </c>
    </row>
    <row r="5051" spans="1:2" ht="14.5" x14ac:dyDescent="0.35">
      <c r="A5051" s="8" t="s">
        <v>54894</v>
      </c>
      <c r="B5051" s="8" t="s">
        <v>55085</v>
      </c>
    </row>
    <row r="5052" spans="1:2" ht="14.5" x14ac:dyDescent="0.35">
      <c r="A5052" s="8" t="s">
        <v>54894</v>
      </c>
      <c r="B5052" s="8" t="s">
        <v>55086</v>
      </c>
    </row>
    <row r="5053" spans="1:2" ht="14.5" x14ac:dyDescent="0.35">
      <c r="A5053" s="8" t="s">
        <v>54894</v>
      </c>
      <c r="B5053" s="8" t="s">
        <v>55087</v>
      </c>
    </row>
    <row r="5054" spans="1:2" ht="14.5" x14ac:dyDescent="0.35">
      <c r="A5054" s="8" t="s">
        <v>54894</v>
      </c>
      <c r="B5054" s="8" t="s">
        <v>55088</v>
      </c>
    </row>
    <row r="5055" spans="1:2" ht="14.5" x14ac:dyDescent="0.35">
      <c r="A5055" s="8" t="s">
        <v>54894</v>
      </c>
      <c r="B5055" s="8" t="s">
        <v>55089</v>
      </c>
    </row>
    <row r="5056" spans="1:2" ht="14.5" x14ac:dyDescent="0.35">
      <c r="A5056" s="8" t="s">
        <v>54894</v>
      </c>
      <c r="B5056" s="8" t="s">
        <v>55090</v>
      </c>
    </row>
    <row r="5057" spans="1:2" ht="14.5" x14ac:dyDescent="0.35">
      <c r="A5057" s="8" t="s">
        <v>54894</v>
      </c>
      <c r="B5057" s="8" t="s">
        <v>55091</v>
      </c>
    </row>
    <row r="5058" spans="1:2" ht="14.5" x14ac:dyDescent="0.35">
      <c r="A5058" s="8" t="s">
        <v>54894</v>
      </c>
      <c r="B5058" s="8" t="s">
        <v>55092</v>
      </c>
    </row>
    <row r="5059" spans="1:2" ht="14.5" x14ac:dyDescent="0.35">
      <c r="A5059" s="8" t="s">
        <v>54894</v>
      </c>
      <c r="B5059" s="8" t="s">
        <v>58422</v>
      </c>
    </row>
    <row r="5060" spans="1:2" ht="14.5" x14ac:dyDescent="0.35">
      <c r="A5060" s="8" t="s">
        <v>54894</v>
      </c>
      <c r="B5060" s="8" t="s">
        <v>58396</v>
      </c>
    </row>
    <row r="5061" spans="1:2" ht="14.5" x14ac:dyDescent="0.35">
      <c r="A5061" s="8" t="s">
        <v>54894</v>
      </c>
      <c r="B5061" s="8" t="s">
        <v>58397</v>
      </c>
    </row>
    <row r="5062" spans="1:2" ht="14.5" x14ac:dyDescent="0.35">
      <c r="A5062" s="8" t="s">
        <v>54894</v>
      </c>
      <c r="B5062" s="8" t="s">
        <v>58398</v>
      </c>
    </row>
    <row r="5063" spans="1:2" ht="14.5" x14ac:dyDescent="0.35">
      <c r="A5063" s="8" t="s">
        <v>54894</v>
      </c>
      <c r="B5063" s="8" t="s">
        <v>58399</v>
      </c>
    </row>
    <row r="5064" spans="1:2" ht="14.5" x14ac:dyDescent="0.35">
      <c r="A5064" s="8" t="s">
        <v>54894</v>
      </c>
      <c r="B5064" s="8" t="s">
        <v>58010</v>
      </c>
    </row>
    <row r="5065" spans="1:2" ht="14.5" x14ac:dyDescent="0.35">
      <c r="A5065" s="8" t="s">
        <v>54894</v>
      </c>
      <c r="B5065" s="8" t="s">
        <v>57346</v>
      </c>
    </row>
    <row r="5066" spans="1:2" ht="14.5" x14ac:dyDescent="0.35">
      <c r="A5066" s="8" t="s">
        <v>54894</v>
      </c>
      <c r="B5066" s="8" t="s">
        <v>58442</v>
      </c>
    </row>
    <row r="5067" spans="1:2" ht="14.5" x14ac:dyDescent="0.35">
      <c r="A5067" s="8" t="s">
        <v>54894</v>
      </c>
      <c r="B5067" s="8" t="s">
        <v>57636</v>
      </c>
    </row>
    <row r="5068" spans="1:2" ht="14.5" x14ac:dyDescent="0.35">
      <c r="A5068" s="8" t="s">
        <v>54894</v>
      </c>
      <c r="B5068" s="8" t="s">
        <v>56630</v>
      </c>
    </row>
    <row r="5069" spans="1:2" ht="14.5" x14ac:dyDescent="0.35">
      <c r="A5069" s="8" t="s">
        <v>54894</v>
      </c>
      <c r="B5069" s="8" t="s">
        <v>55029</v>
      </c>
    </row>
    <row r="5070" spans="1:2" ht="14.5" x14ac:dyDescent="0.35">
      <c r="A5070" s="8" t="s">
        <v>54894</v>
      </c>
      <c r="B5070" s="8" t="s">
        <v>55397</v>
      </c>
    </row>
    <row r="5071" spans="1:2" ht="14.5" x14ac:dyDescent="0.35">
      <c r="A5071" s="8" t="s">
        <v>54894</v>
      </c>
      <c r="B5071" s="8" t="s">
        <v>55048</v>
      </c>
    </row>
    <row r="5072" spans="1:2" ht="14.5" x14ac:dyDescent="0.35">
      <c r="A5072" s="8" t="s">
        <v>54894</v>
      </c>
      <c r="B5072" s="8" t="s">
        <v>55030</v>
      </c>
    </row>
    <row r="5073" spans="1:2" ht="14.5" x14ac:dyDescent="0.35">
      <c r="A5073" s="8" t="s">
        <v>54894</v>
      </c>
      <c r="B5073" s="8" t="s">
        <v>55276</v>
      </c>
    </row>
    <row r="5074" spans="1:2" ht="14.5" x14ac:dyDescent="0.35">
      <c r="A5074" s="8" t="s">
        <v>54894</v>
      </c>
      <c r="B5074" s="8" t="s">
        <v>57552</v>
      </c>
    </row>
    <row r="5075" spans="1:2" ht="14.5" x14ac:dyDescent="0.35">
      <c r="A5075" s="8" t="s">
        <v>54894</v>
      </c>
      <c r="B5075" s="8" t="s">
        <v>57553</v>
      </c>
    </row>
    <row r="5076" spans="1:2" ht="14.5" x14ac:dyDescent="0.35">
      <c r="A5076" s="8" t="s">
        <v>54894</v>
      </c>
      <c r="B5076" s="8" t="s">
        <v>57803</v>
      </c>
    </row>
    <row r="5077" spans="1:2" ht="14.5" x14ac:dyDescent="0.35">
      <c r="A5077" s="8" t="s">
        <v>54894</v>
      </c>
      <c r="B5077" s="8" t="s">
        <v>56240</v>
      </c>
    </row>
    <row r="5078" spans="1:2" ht="14.5" x14ac:dyDescent="0.35">
      <c r="A5078" s="8" t="s">
        <v>54894</v>
      </c>
      <c r="B5078" s="8" t="s">
        <v>55576</v>
      </c>
    </row>
    <row r="5079" spans="1:2" ht="14.5" x14ac:dyDescent="0.35">
      <c r="A5079" s="8" t="s">
        <v>54894</v>
      </c>
      <c r="B5079" s="8" t="s">
        <v>58183</v>
      </c>
    </row>
    <row r="5080" spans="1:2" ht="14.5" x14ac:dyDescent="0.35">
      <c r="A5080" s="8" t="s">
        <v>54894</v>
      </c>
      <c r="B5080" s="8" t="s">
        <v>55888</v>
      </c>
    </row>
    <row r="5081" spans="1:2" ht="14.5" x14ac:dyDescent="0.35">
      <c r="A5081" s="8" t="s">
        <v>54894</v>
      </c>
      <c r="B5081" s="8" t="s">
        <v>55915</v>
      </c>
    </row>
    <row r="5082" spans="1:2" ht="14.5" x14ac:dyDescent="0.35">
      <c r="A5082" s="8" t="s">
        <v>54894</v>
      </c>
      <c r="B5082" s="8" t="s">
        <v>55456</v>
      </c>
    </row>
    <row r="5083" spans="1:2" ht="14.5" x14ac:dyDescent="0.35">
      <c r="A5083" s="8" t="s">
        <v>54894</v>
      </c>
      <c r="B5083" s="8" t="s">
        <v>57804</v>
      </c>
    </row>
    <row r="5084" spans="1:2" ht="14.5" x14ac:dyDescent="0.35">
      <c r="A5084" s="8" t="s">
        <v>54894</v>
      </c>
      <c r="B5084" s="8" t="s">
        <v>58134</v>
      </c>
    </row>
    <row r="5085" spans="1:2" ht="14.5" x14ac:dyDescent="0.35">
      <c r="A5085" s="8" t="s">
        <v>54894</v>
      </c>
      <c r="B5085" s="8" t="s">
        <v>58423</v>
      </c>
    </row>
    <row r="5086" spans="1:2" ht="14.5" x14ac:dyDescent="0.35">
      <c r="A5086" s="8" t="s">
        <v>54894</v>
      </c>
      <c r="B5086" s="8" t="s">
        <v>57805</v>
      </c>
    </row>
    <row r="5087" spans="1:2" ht="14.5" x14ac:dyDescent="0.35">
      <c r="A5087" s="8" t="s">
        <v>54894</v>
      </c>
      <c r="B5087" s="8" t="s">
        <v>56112</v>
      </c>
    </row>
    <row r="5088" spans="1:2" ht="14.5" x14ac:dyDescent="0.35">
      <c r="A5088" s="8" t="s">
        <v>54894</v>
      </c>
      <c r="B5088" s="8" t="s">
        <v>57949</v>
      </c>
    </row>
    <row r="5089" spans="1:2" ht="14.5" x14ac:dyDescent="0.35">
      <c r="A5089" s="8" t="s">
        <v>54894</v>
      </c>
      <c r="B5089" s="8" t="s">
        <v>57861</v>
      </c>
    </row>
    <row r="5090" spans="1:2" ht="14.5" x14ac:dyDescent="0.35">
      <c r="A5090" s="8" t="s">
        <v>54894</v>
      </c>
      <c r="B5090" s="8" t="s">
        <v>57771</v>
      </c>
    </row>
    <row r="5091" spans="1:2" ht="14.5" x14ac:dyDescent="0.35">
      <c r="A5091" s="8" t="s">
        <v>54894</v>
      </c>
      <c r="B5091" s="8" t="s">
        <v>57931</v>
      </c>
    </row>
    <row r="5092" spans="1:2" ht="14.5" x14ac:dyDescent="0.35">
      <c r="A5092" s="8" t="s">
        <v>54894</v>
      </c>
      <c r="B5092" s="8" t="s">
        <v>58411</v>
      </c>
    </row>
    <row r="5093" spans="1:2" ht="14.5" x14ac:dyDescent="0.35">
      <c r="A5093" s="8" t="s">
        <v>54894</v>
      </c>
      <c r="B5093" s="8" t="s">
        <v>56113</v>
      </c>
    </row>
    <row r="5094" spans="1:2" ht="14.5" x14ac:dyDescent="0.35">
      <c r="A5094" s="8" t="s">
        <v>54894</v>
      </c>
      <c r="B5094" s="8" t="s">
        <v>56535</v>
      </c>
    </row>
    <row r="5095" spans="1:2" ht="14.5" x14ac:dyDescent="0.35">
      <c r="A5095" s="8" t="s">
        <v>54894</v>
      </c>
      <c r="B5095" s="8" t="s">
        <v>56536</v>
      </c>
    </row>
    <row r="5096" spans="1:2" ht="14.5" x14ac:dyDescent="0.35">
      <c r="A5096" s="8" t="s">
        <v>54894</v>
      </c>
      <c r="B5096" s="8" t="s">
        <v>56943</v>
      </c>
    </row>
    <row r="5097" spans="1:2" ht="14.5" x14ac:dyDescent="0.35">
      <c r="A5097" s="8" t="s">
        <v>54894</v>
      </c>
      <c r="B5097" s="8" t="s">
        <v>57855</v>
      </c>
    </row>
    <row r="5098" spans="1:2" ht="14.5" x14ac:dyDescent="0.35">
      <c r="A5098" s="8" t="s">
        <v>54894</v>
      </c>
      <c r="B5098" s="8" t="s">
        <v>57524</v>
      </c>
    </row>
    <row r="5099" spans="1:2" ht="14.5" x14ac:dyDescent="0.35">
      <c r="A5099" s="8" t="s">
        <v>54894</v>
      </c>
      <c r="B5099" s="8" t="s">
        <v>57221</v>
      </c>
    </row>
    <row r="5100" spans="1:2" ht="14.5" x14ac:dyDescent="0.35">
      <c r="A5100" s="8" t="s">
        <v>54894</v>
      </c>
      <c r="B5100" s="8" t="s">
        <v>56335</v>
      </c>
    </row>
    <row r="5101" spans="1:2" ht="14.5" x14ac:dyDescent="0.35">
      <c r="A5101" s="8" t="s">
        <v>54894</v>
      </c>
      <c r="B5101" s="8" t="s">
        <v>56433</v>
      </c>
    </row>
    <row r="5102" spans="1:2" ht="14.5" x14ac:dyDescent="0.35">
      <c r="A5102" s="8" t="s">
        <v>54894</v>
      </c>
      <c r="B5102" s="8" t="s">
        <v>56291</v>
      </c>
    </row>
    <row r="5103" spans="1:2" ht="14.5" x14ac:dyDescent="0.35">
      <c r="A5103" s="8" t="s">
        <v>54894</v>
      </c>
      <c r="B5103" s="8" t="s">
        <v>56292</v>
      </c>
    </row>
    <row r="5104" spans="1:2" ht="14.5" x14ac:dyDescent="0.35">
      <c r="A5104" s="8" t="s">
        <v>54894</v>
      </c>
      <c r="B5104" s="8" t="s">
        <v>57831</v>
      </c>
    </row>
    <row r="5105" spans="1:2" ht="14.5" x14ac:dyDescent="0.35">
      <c r="A5105" s="8" t="s">
        <v>54894</v>
      </c>
      <c r="B5105" s="8" t="s">
        <v>58429</v>
      </c>
    </row>
    <row r="5106" spans="1:2" ht="14.5" x14ac:dyDescent="0.35">
      <c r="A5106" s="8" t="s">
        <v>54894</v>
      </c>
      <c r="B5106" s="8" t="s">
        <v>55900</v>
      </c>
    </row>
    <row r="5107" spans="1:2" ht="14.5" x14ac:dyDescent="0.35">
      <c r="A5107" s="8" t="s">
        <v>54894</v>
      </c>
      <c r="B5107" s="8" t="s">
        <v>55900</v>
      </c>
    </row>
    <row r="5108" spans="1:2" ht="14.5" x14ac:dyDescent="0.35">
      <c r="A5108" s="8" t="s">
        <v>54894</v>
      </c>
      <c r="B5108" s="8" t="s">
        <v>57280</v>
      </c>
    </row>
    <row r="5109" spans="1:2" ht="14.5" x14ac:dyDescent="0.35">
      <c r="A5109" s="8" t="s">
        <v>54894</v>
      </c>
      <c r="B5109" s="8" t="s">
        <v>57281</v>
      </c>
    </row>
    <row r="5110" spans="1:2" ht="14.5" x14ac:dyDescent="0.35">
      <c r="A5110" s="8" t="s">
        <v>54894</v>
      </c>
      <c r="B5110" s="8" t="s">
        <v>56582</v>
      </c>
    </row>
    <row r="5111" spans="1:2" ht="14.5" x14ac:dyDescent="0.35">
      <c r="A5111" s="8" t="s">
        <v>54894</v>
      </c>
      <c r="B5111" s="8" t="s">
        <v>56582</v>
      </c>
    </row>
    <row r="5112" spans="1:2" ht="14.5" x14ac:dyDescent="0.35">
      <c r="A5112" s="8" t="s">
        <v>54894</v>
      </c>
      <c r="B5112" s="8" t="s">
        <v>57675</v>
      </c>
    </row>
    <row r="5113" spans="1:2" ht="14.5" x14ac:dyDescent="0.35">
      <c r="A5113" s="8" t="s">
        <v>54894</v>
      </c>
      <c r="B5113" s="8" t="s">
        <v>57637</v>
      </c>
    </row>
    <row r="5114" spans="1:2" ht="14.5" x14ac:dyDescent="0.35">
      <c r="A5114" s="8" t="s">
        <v>54894</v>
      </c>
      <c r="B5114" s="8" t="s">
        <v>55003</v>
      </c>
    </row>
    <row r="5115" spans="1:2" ht="14.5" x14ac:dyDescent="0.35">
      <c r="A5115" s="8" t="s">
        <v>54894</v>
      </c>
      <c r="B5115" s="8" t="s">
        <v>57755</v>
      </c>
    </row>
    <row r="5116" spans="1:2" ht="14.5" x14ac:dyDescent="0.35">
      <c r="A5116" s="8" t="s">
        <v>54894</v>
      </c>
      <c r="B5116" s="8" t="s">
        <v>58324</v>
      </c>
    </row>
    <row r="5117" spans="1:2" ht="14.5" x14ac:dyDescent="0.35">
      <c r="A5117" s="8" t="s">
        <v>54894</v>
      </c>
      <c r="B5117" s="8" t="s">
        <v>57713</v>
      </c>
    </row>
    <row r="5118" spans="1:2" ht="14.5" x14ac:dyDescent="0.35">
      <c r="A5118" s="8" t="s">
        <v>54894</v>
      </c>
      <c r="B5118" s="8" t="s">
        <v>57296</v>
      </c>
    </row>
    <row r="5119" spans="1:2" ht="14.5" x14ac:dyDescent="0.35">
      <c r="A5119" s="8" t="s">
        <v>54894</v>
      </c>
      <c r="B5119" s="8" t="s">
        <v>57638</v>
      </c>
    </row>
    <row r="5120" spans="1:2" ht="14.5" x14ac:dyDescent="0.35">
      <c r="A5120" s="8" t="s">
        <v>54894</v>
      </c>
      <c r="B5120" s="8" t="s">
        <v>55006</v>
      </c>
    </row>
    <row r="5121" spans="1:2" ht="14.5" x14ac:dyDescent="0.35">
      <c r="A5121" s="8" t="s">
        <v>54894</v>
      </c>
      <c r="B5121" s="8" t="s">
        <v>55719</v>
      </c>
    </row>
    <row r="5122" spans="1:2" ht="14.5" x14ac:dyDescent="0.35">
      <c r="A5122" s="8" t="s">
        <v>54894</v>
      </c>
      <c r="B5122" s="8" t="s">
        <v>55720</v>
      </c>
    </row>
    <row r="5123" spans="1:2" ht="14.5" x14ac:dyDescent="0.35">
      <c r="A5123" s="8" t="s">
        <v>54894</v>
      </c>
      <c r="B5123" s="8" t="s">
        <v>56301</v>
      </c>
    </row>
    <row r="5124" spans="1:2" ht="14.5" x14ac:dyDescent="0.35">
      <c r="A5124" s="8" t="s">
        <v>54894</v>
      </c>
      <c r="B5124" s="8" t="s">
        <v>57194</v>
      </c>
    </row>
    <row r="5125" spans="1:2" ht="14.5" x14ac:dyDescent="0.35">
      <c r="A5125" s="8" t="s">
        <v>54894</v>
      </c>
      <c r="B5125" s="8" t="s">
        <v>57150</v>
      </c>
    </row>
    <row r="5126" spans="1:2" ht="14.5" x14ac:dyDescent="0.35">
      <c r="A5126" s="8" t="s">
        <v>54894</v>
      </c>
      <c r="B5126" s="8" t="s">
        <v>55750</v>
      </c>
    </row>
    <row r="5127" spans="1:2" ht="14.5" x14ac:dyDescent="0.35">
      <c r="A5127" s="8" t="s">
        <v>54894</v>
      </c>
      <c r="B5127" s="8" t="s">
        <v>55751</v>
      </c>
    </row>
    <row r="5128" spans="1:2" ht="14.5" x14ac:dyDescent="0.35">
      <c r="A5128" s="8" t="s">
        <v>54894</v>
      </c>
      <c r="B5128" s="8" t="s">
        <v>55752</v>
      </c>
    </row>
    <row r="5129" spans="1:2" ht="14.5" x14ac:dyDescent="0.35">
      <c r="A5129" s="8" t="s">
        <v>54894</v>
      </c>
      <c r="B5129" s="8" t="s">
        <v>58135</v>
      </c>
    </row>
    <row r="5130" spans="1:2" ht="14.5" x14ac:dyDescent="0.35">
      <c r="A5130" s="8" t="s">
        <v>54894</v>
      </c>
      <c r="B5130" s="8" t="s">
        <v>56346</v>
      </c>
    </row>
    <row r="5131" spans="1:2" ht="14.5" x14ac:dyDescent="0.35">
      <c r="A5131" s="8" t="s">
        <v>54894</v>
      </c>
      <c r="B5131" s="8" t="s">
        <v>58415</v>
      </c>
    </row>
    <row r="5132" spans="1:2" ht="14.5" x14ac:dyDescent="0.35">
      <c r="A5132" s="8" t="s">
        <v>54894</v>
      </c>
      <c r="B5132" s="8" t="s">
        <v>55244</v>
      </c>
    </row>
    <row r="5133" spans="1:2" ht="14.5" x14ac:dyDescent="0.35">
      <c r="A5133" s="8" t="s">
        <v>54894</v>
      </c>
      <c r="B5133" s="8" t="s">
        <v>57091</v>
      </c>
    </row>
    <row r="5134" spans="1:2" ht="14.5" x14ac:dyDescent="0.35">
      <c r="A5134" s="8" t="s">
        <v>54894</v>
      </c>
      <c r="B5134" s="8" t="s">
        <v>55245</v>
      </c>
    </row>
    <row r="5135" spans="1:2" ht="14.5" x14ac:dyDescent="0.35">
      <c r="A5135" s="8" t="s">
        <v>54894</v>
      </c>
      <c r="B5135" s="8" t="s">
        <v>58412</v>
      </c>
    </row>
    <row r="5136" spans="1:2" ht="14.5" x14ac:dyDescent="0.35">
      <c r="A5136" s="8" t="s">
        <v>54894</v>
      </c>
      <c r="B5136" s="8" t="s">
        <v>56685</v>
      </c>
    </row>
    <row r="5137" spans="1:2" ht="14.5" x14ac:dyDescent="0.35">
      <c r="A5137" s="8" t="s">
        <v>54894</v>
      </c>
      <c r="B5137" s="8" t="s">
        <v>56686</v>
      </c>
    </row>
    <row r="5138" spans="1:2" ht="14.5" x14ac:dyDescent="0.35">
      <c r="A5138" s="8" t="s">
        <v>54894</v>
      </c>
      <c r="B5138" s="8" t="s">
        <v>57639</v>
      </c>
    </row>
    <row r="5139" spans="1:2" ht="14.5" x14ac:dyDescent="0.35">
      <c r="A5139" s="8" t="s">
        <v>54894</v>
      </c>
      <c r="B5139" s="8" t="s">
        <v>55356</v>
      </c>
    </row>
    <row r="5140" spans="1:2" ht="14.5" x14ac:dyDescent="0.35">
      <c r="A5140" s="8" t="s">
        <v>54894</v>
      </c>
      <c r="B5140" s="8" t="s">
        <v>57640</v>
      </c>
    </row>
    <row r="5141" spans="1:2" ht="14.5" x14ac:dyDescent="0.35">
      <c r="A5141" s="8" t="s">
        <v>54894</v>
      </c>
      <c r="B5141" s="8" t="s">
        <v>58246</v>
      </c>
    </row>
    <row r="5142" spans="1:2" ht="14.5" x14ac:dyDescent="0.35">
      <c r="A5142" s="8" t="s">
        <v>54894</v>
      </c>
      <c r="B5142" s="8" t="s">
        <v>55487</v>
      </c>
    </row>
    <row r="5143" spans="1:2" ht="14.5" x14ac:dyDescent="0.35">
      <c r="A5143" s="8" t="s">
        <v>54894</v>
      </c>
      <c r="B5143" s="8" t="s">
        <v>55488</v>
      </c>
    </row>
    <row r="5144" spans="1:2" ht="14.5" x14ac:dyDescent="0.35">
      <c r="A5144" s="8" t="s">
        <v>54894</v>
      </c>
      <c r="B5144" s="8" t="s">
        <v>55444</v>
      </c>
    </row>
    <row r="5145" spans="1:2" ht="14.5" x14ac:dyDescent="0.35">
      <c r="A5145" s="8" t="s">
        <v>54894</v>
      </c>
      <c r="B5145" s="8" t="s">
        <v>57641</v>
      </c>
    </row>
    <row r="5146" spans="1:2" ht="14.5" x14ac:dyDescent="0.35">
      <c r="A5146" s="8" t="s">
        <v>54894</v>
      </c>
      <c r="B5146" s="8" t="s">
        <v>6484</v>
      </c>
    </row>
    <row r="5147" spans="1:2" ht="14.5" x14ac:dyDescent="0.35">
      <c r="A5147" s="8" t="s">
        <v>54894</v>
      </c>
      <c r="B5147" s="8" t="s">
        <v>57219</v>
      </c>
    </row>
    <row r="5148" spans="1:2" ht="14.5" x14ac:dyDescent="0.35">
      <c r="A5148" s="8" t="s">
        <v>54894</v>
      </c>
      <c r="B5148" s="8" t="s">
        <v>57887</v>
      </c>
    </row>
    <row r="5149" spans="1:2" ht="14.5" x14ac:dyDescent="0.35">
      <c r="A5149" s="8" t="s">
        <v>54894</v>
      </c>
      <c r="B5149" s="8" t="s">
        <v>55445</v>
      </c>
    </row>
    <row r="5150" spans="1:2" ht="14.5" x14ac:dyDescent="0.35">
      <c r="A5150" s="8" t="s">
        <v>54894</v>
      </c>
      <c r="B5150" s="8" t="s">
        <v>56420</v>
      </c>
    </row>
    <row r="5151" spans="1:2" ht="14.5" x14ac:dyDescent="0.35">
      <c r="A5151" s="8" t="s">
        <v>54894</v>
      </c>
      <c r="B5151" s="8" t="s">
        <v>56114</v>
      </c>
    </row>
    <row r="5152" spans="1:2" ht="14.5" x14ac:dyDescent="0.35">
      <c r="A5152" s="8" t="s">
        <v>54894</v>
      </c>
      <c r="B5152" s="8" t="s">
        <v>58136</v>
      </c>
    </row>
    <row r="5153" spans="1:2" ht="14.5" x14ac:dyDescent="0.35">
      <c r="A5153" s="8" t="s">
        <v>54894</v>
      </c>
      <c r="B5153" s="8" t="s">
        <v>56115</v>
      </c>
    </row>
    <row r="5154" spans="1:2" ht="14.5" x14ac:dyDescent="0.35">
      <c r="A5154" s="8" t="s">
        <v>54894</v>
      </c>
      <c r="B5154" s="8" t="s">
        <v>55446</v>
      </c>
    </row>
    <row r="5155" spans="1:2" ht="14.5" x14ac:dyDescent="0.35">
      <c r="A5155" s="8" t="s">
        <v>54894</v>
      </c>
      <c r="B5155" s="8" t="s">
        <v>55447</v>
      </c>
    </row>
    <row r="5156" spans="1:2" ht="14.5" x14ac:dyDescent="0.35">
      <c r="A5156" s="8" t="s">
        <v>54894</v>
      </c>
      <c r="B5156" s="8" t="s">
        <v>55448</v>
      </c>
    </row>
    <row r="5157" spans="1:2" ht="14.5" x14ac:dyDescent="0.35">
      <c r="A5157" s="8" t="s">
        <v>54894</v>
      </c>
      <c r="B5157" s="8" t="s">
        <v>58021</v>
      </c>
    </row>
    <row r="5158" spans="1:2" ht="14.5" x14ac:dyDescent="0.35">
      <c r="A5158" s="8" t="s">
        <v>54894</v>
      </c>
      <c r="B5158" s="8" t="s">
        <v>58137</v>
      </c>
    </row>
    <row r="5159" spans="1:2" ht="14.5" x14ac:dyDescent="0.35">
      <c r="A5159" s="8" t="s">
        <v>54894</v>
      </c>
      <c r="B5159" s="8" t="s">
        <v>57642</v>
      </c>
    </row>
    <row r="5160" spans="1:2" ht="14.5" x14ac:dyDescent="0.35">
      <c r="A5160" s="8" t="s">
        <v>54894</v>
      </c>
      <c r="B5160" s="8" t="s">
        <v>56421</v>
      </c>
    </row>
    <row r="5161" spans="1:2" ht="14.5" x14ac:dyDescent="0.35">
      <c r="A5161" s="8" t="s">
        <v>54894</v>
      </c>
      <c r="B5161" s="8" t="s">
        <v>57937</v>
      </c>
    </row>
    <row r="5162" spans="1:2" ht="14.5" x14ac:dyDescent="0.35">
      <c r="A5162" s="8" t="s">
        <v>54894</v>
      </c>
      <c r="B5162" s="8" t="s">
        <v>57331</v>
      </c>
    </row>
    <row r="5163" spans="1:2" ht="14.5" x14ac:dyDescent="0.35">
      <c r="A5163" s="8" t="s">
        <v>54894</v>
      </c>
      <c r="B5163" s="8" t="s">
        <v>57332</v>
      </c>
    </row>
    <row r="5164" spans="1:2" ht="14.5" x14ac:dyDescent="0.35">
      <c r="A5164" s="8" t="s">
        <v>54894</v>
      </c>
      <c r="B5164" s="8" t="s">
        <v>57707</v>
      </c>
    </row>
    <row r="5165" spans="1:2" ht="14.5" x14ac:dyDescent="0.35">
      <c r="A5165" s="8" t="s">
        <v>54894</v>
      </c>
      <c r="B5165" s="8" t="s">
        <v>57756</v>
      </c>
    </row>
    <row r="5166" spans="1:2" ht="14.5" x14ac:dyDescent="0.35">
      <c r="A5166" s="8" t="s">
        <v>54894</v>
      </c>
      <c r="B5166" s="8" t="s">
        <v>56391</v>
      </c>
    </row>
    <row r="5167" spans="1:2" ht="14.5" x14ac:dyDescent="0.35">
      <c r="A5167" s="8" t="s">
        <v>54894</v>
      </c>
      <c r="B5167" s="8" t="s">
        <v>56546</v>
      </c>
    </row>
    <row r="5168" spans="1:2" ht="14.5" x14ac:dyDescent="0.35">
      <c r="A5168" s="8" t="s">
        <v>54894</v>
      </c>
      <c r="B5168" s="8" t="s">
        <v>56645</v>
      </c>
    </row>
    <row r="5169" spans="1:2" ht="14.5" x14ac:dyDescent="0.35">
      <c r="A5169" s="8" t="s">
        <v>54894</v>
      </c>
      <c r="B5169" s="8" t="s">
        <v>56372</v>
      </c>
    </row>
    <row r="5170" spans="1:2" ht="14.5" x14ac:dyDescent="0.35">
      <c r="A5170" s="8" t="s">
        <v>54894</v>
      </c>
      <c r="B5170" s="8" t="s">
        <v>56373</v>
      </c>
    </row>
    <row r="5171" spans="1:2" ht="14.5" x14ac:dyDescent="0.35">
      <c r="A5171" s="8" t="s">
        <v>54894</v>
      </c>
      <c r="B5171" s="8" t="s">
        <v>58202</v>
      </c>
    </row>
    <row r="5172" spans="1:2" ht="14.5" x14ac:dyDescent="0.35">
      <c r="A5172" s="8" t="s">
        <v>54894</v>
      </c>
      <c r="B5172" s="8" t="s">
        <v>56613</v>
      </c>
    </row>
    <row r="5173" spans="1:2" ht="14.5" x14ac:dyDescent="0.35">
      <c r="A5173" s="8" t="s">
        <v>54894</v>
      </c>
      <c r="B5173" s="8" t="s">
        <v>54968</v>
      </c>
    </row>
    <row r="5174" spans="1:2" ht="14.5" x14ac:dyDescent="0.35">
      <c r="A5174" s="8" t="s">
        <v>54894</v>
      </c>
      <c r="B5174" s="8" t="s">
        <v>5910</v>
      </c>
    </row>
    <row r="5175" spans="1:2" ht="14.5" x14ac:dyDescent="0.35">
      <c r="A5175" s="8" t="s">
        <v>54894</v>
      </c>
      <c r="B5175" s="8" t="s">
        <v>57888</v>
      </c>
    </row>
    <row r="5176" spans="1:2" ht="14.5" x14ac:dyDescent="0.35">
      <c r="A5176" s="8" t="s">
        <v>54894</v>
      </c>
      <c r="B5176" s="8" t="s">
        <v>57954</v>
      </c>
    </row>
    <row r="5177" spans="1:2" ht="14.5" x14ac:dyDescent="0.35">
      <c r="A5177" s="8" t="s">
        <v>54894</v>
      </c>
      <c r="B5177" s="8" t="s">
        <v>55564</v>
      </c>
    </row>
    <row r="5178" spans="1:2" ht="14.5" x14ac:dyDescent="0.35">
      <c r="A5178" s="8" t="s">
        <v>54894</v>
      </c>
      <c r="B5178" s="8" t="s">
        <v>56637</v>
      </c>
    </row>
    <row r="5179" spans="1:2" ht="14.5" x14ac:dyDescent="0.35">
      <c r="A5179" s="8" t="s">
        <v>54894</v>
      </c>
      <c r="B5179" s="8" t="s">
        <v>56638</v>
      </c>
    </row>
    <row r="5180" spans="1:2" ht="14.5" x14ac:dyDescent="0.35">
      <c r="A5180" s="8" t="s">
        <v>54894</v>
      </c>
      <c r="B5180" s="8" t="s">
        <v>56944</v>
      </c>
    </row>
    <row r="5181" spans="1:2" ht="14.5" x14ac:dyDescent="0.35">
      <c r="A5181" s="8" t="s">
        <v>54894</v>
      </c>
      <c r="B5181" s="8" t="s">
        <v>56254</v>
      </c>
    </row>
    <row r="5182" spans="1:2" ht="14.5" x14ac:dyDescent="0.35">
      <c r="A5182" s="8" t="s">
        <v>54894</v>
      </c>
      <c r="B5182" s="8" t="s">
        <v>55277</v>
      </c>
    </row>
    <row r="5183" spans="1:2" ht="14.5" x14ac:dyDescent="0.35">
      <c r="A5183" s="8" t="s">
        <v>54894</v>
      </c>
      <c r="B5183" s="8" t="s">
        <v>58299</v>
      </c>
    </row>
    <row r="5184" spans="1:2" ht="14.5" x14ac:dyDescent="0.35">
      <c r="A5184" s="8" t="s">
        <v>54894</v>
      </c>
      <c r="B5184" s="8" t="s">
        <v>56631</v>
      </c>
    </row>
    <row r="5185" spans="1:2" ht="14.5" x14ac:dyDescent="0.35">
      <c r="A5185" s="8" t="s">
        <v>54894</v>
      </c>
      <c r="B5185" s="8" t="s">
        <v>55278</v>
      </c>
    </row>
    <row r="5186" spans="1:2" ht="14.5" x14ac:dyDescent="0.35">
      <c r="A5186" s="8" t="s">
        <v>54894</v>
      </c>
      <c r="B5186" s="8" t="s">
        <v>56660</v>
      </c>
    </row>
    <row r="5187" spans="1:2" ht="14.5" x14ac:dyDescent="0.35">
      <c r="A5187" s="8" t="s">
        <v>54894</v>
      </c>
      <c r="B5187" s="8" t="s">
        <v>56661</v>
      </c>
    </row>
    <row r="5188" spans="1:2" ht="14.5" x14ac:dyDescent="0.35">
      <c r="A5188" s="8" t="s">
        <v>54894</v>
      </c>
      <c r="B5188" s="8" t="s">
        <v>55031</v>
      </c>
    </row>
    <row r="5189" spans="1:2" ht="14.5" x14ac:dyDescent="0.35">
      <c r="A5189" s="8" t="s">
        <v>54894</v>
      </c>
      <c r="B5189" s="8" t="s">
        <v>55032</v>
      </c>
    </row>
    <row r="5190" spans="1:2" ht="14.5" x14ac:dyDescent="0.35">
      <c r="A5190" s="8" t="s">
        <v>54894</v>
      </c>
      <c r="B5190" s="8" t="s">
        <v>55049</v>
      </c>
    </row>
    <row r="5191" spans="1:2" ht="14.5" x14ac:dyDescent="0.35">
      <c r="A5191" s="8" t="s">
        <v>54894</v>
      </c>
      <c r="B5191" s="8" t="s">
        <v>55050</v>
      </c>
    </row>
    <row r="5192" spans="1:2" ht="14.5" x14ac:dyDescent="0.35">
      <c r="A5192" s="8" t="s">
        <v>54894</v>
      </c>
      <c r="B5192" s="8" t="s">
        <v>55051</v>
      </c>
    </row>
    <row r="5193" spans="1:2" ht="14.5" x14ac:dyDescent="0.35">
      <c r="A5193" s="8" t="s">
        <v>54894</v>
      </c>
      <c r="B5193" s="8" t="s">
        <v>55033</v>
      </c>
    </row>
    <row r="5194" spans="1:2" ht="14.5" x14ac:dyDescent="0.35">
      <c r="A5194" s="8" t="s">
        <v>54894</v>
      </c>
      <c r="B5194" s="8" t="s">
        <v>55034</v>
      </c>
    </row>
    <row r="5195" spans="1:2" ht="14.5" x14ac:dyDescent="0.35">
      <c r="A5195" s="8" t="s">
        <v>54894</v>
      </c>
      <c r="B5195" s="8" t="s">
        <v>56632</v>
      </c>
    </row>
    <row r="5196" spans="1:2" ht="14.5" x14ac:dyDescent="0.35">
      <c r="A5196" s="8" t="s">
        <v>54894</v>
      </c>
      <c r="B5196" s="8" t="s">
        <v>56633</v>
      </c>
    </row>
    <row r="5197" spans="1:2" ht="14.5" x14ac:dyDescent="0.35">
      <c r="A5197" s="8" t="s">
        <v>54894</v>
      </c>
      <c r="B5197" s="8" t="s">
        <v>56293</v>
      </c>
    </row>
    <row r="5198" spans="1:2" ht="14.5" x14ac:dyDescent="0.35">
      <c r="A5198" s="8" t="s">
        <v>54894</v>
      </c>
      <c r="B5198" s="8" t="s">
        <v>56192</v>
      </c>
    </row>
    <row r="5199" spans="1:2" ht="14.5" x14ac:dyDescent="0.35">
      <c r="A5199" s="8" t="s">
        <v>54894</v>
      </c>
      <c r="B5199" s="8" t="s">
        <v>56193</v>
      </c>
    </row>
    <row r="5200" spans="1:2" ht="14.5" x14ac:dyDescent="0.35">
      <c r="A5200" s="8" t="s">
        <v>54894</v>
      </c>
      <c r="B5200" s="8" t="s">
        <v>56194</v>
      </c>
    </row>
    <row r="5201" spans="1:2" ht="14.5" x14ac:dyDescent="0.35">
      <c r="A5201" s="8" t="s">
        <v>54894</v>
      </c>
      <c r="B5201" s="8" t="s">
        <v>56195</v>
      </c>
    </row>
    <row r="5202" spans="1:2" ht="14.5" x14ac:dyDescent="0.35">
      <c r="A5202" s="8" t="s">
        <v>54894</v>
      </c>
      <c r="B5202" s="8" t="s">
        <v>56196</v>
      </c>
    </row>
    <row r="5203" spans="1:2" ht="14.5" x14ac:dyDescent="0.35">
      <c r="A5203" s="8" t="s">
        <v>54894</v>
      </c>
      <c r="B5203" s="8" t="s">
        <v>56197</v>
      </c>
    </row>
    <row r="5204" spans="1:2" ht="14.5" x14ac:dyDescent="0.35">
      <c r="A5204" s="8" t="s">
        <v>54894</v>
      </c>
      <c r="B5204" s="8" t="s">
        <v>57951</v>
      </c>
    </row>
    <row r="5205" spans="1:2" ht="14.5" x14ac:dyDescent="0.35">
      <c r="A5205" s="8" t="s">
        <v>54894</v>
      </c>
      <c r="B5205" s="8" t="s">
        <v>57819</v>
      </c>
    </row>
    <row r="5206" spans="1:2" ht="14.5" x14ac:dyDescent="0.35">
      <c r="A5206" s="8" t="s">
        <v>54894</v>
      </c>
      <c r="B5206" s="8" t="s">
        <v>57889</v>
      </c>
    </row>
    <row r="5207" spans="1:2" ht="14.5" x14ac:dyDescent="0.35">
      <c r="A5207" s="8" t="s">
        <v>54894</v>
      </c>
      <c r="B5207" s="8" t="s">
        <v>58203</v>
      </c>
    </row>
    <row r="5208" spans="1:2" ht="14.5" x14ac:dyDescent="0.35">
      <c r="A5208" s="8" t="s">
        <v>54894</v>
      </c>
      <c r="B5208" s="8" t="s">
        <v>57772</v>
      </c>
    </row>
    <row r="5209" spans="1:2" ht="14.5" x14ac:dyDescent="0.35">
      <c r="A5209" s="8" t="s">
        <v>54894</v>
      </c>
      <c r="B5209" s="8" t="s">
        <v>55626</v>
      </c>
    </row>
    <row r="5210" spans="1:2" ht="14.5" x14ac:dyDescent="0.35">
      <c r="A5210" s="8" t="s">
        <v>54894</v>
      </c>
      <c r="B5210" s="8" t="s">
        <v>55007</v>
      </c>
    </row>
    <row r="5211" spans="1:2" ht="14.5" x14ac:dyDescent="0.35">
      <c r="A5211" s="8" t="s">
        <v>54894</v>
      </c>
      <c r="B5211" s="8" t="s">
        <v>57173</v>
      </c>
    </row>
    <row r="5212" spans="1:2" ht="14.5" x14ac:dyDescent="0.35">
      <c r="A5212" s="8" t="s">
        <v>54894</v>
      </c>
      <c r="B5212" s="8" t="s">
        <v>58138</v>
      </c>
    </row>
    <row r="5213" spans="1:2" ht="14.5" x14ac:dyDescent="0.35">
      <c r="A5213" s="8" t="s">
        <v>54894</v>
      </c>
      <c r="B5213" s="8" t="s">
        <v>56583</v>
      </c>
    </row>
    <row r="5214" spans="1:2" ht="14.5" x14ac:dyDescent="0.35">
      <c r="A5214" s="8" t="s">
        <v>54894</v>
      </c>
      <c r="B5214" s="8" t="s">
        <v>57643</v>
      </c>
    </row>
    <row r="5215" spans="1:2" ht="14.5" x14ac:dyDescent="0.35">
      <c r="A5215" s="8" t="s">
        <v>54894</v>
      </c>
      <c r="B5215" s="8" t="s">
        <v>57644</v>
      </c>
    </row>
    <row r="5216" spans="1:2" ht="14.5" x14ac:dyDescent="0.35">
      <c r="A5216" s="8" t="s">
        <v>54894</v>
      </c>
      <c r="B5216" s="8" t="s">
        <v>57645</v>
      </c>
    </row>
    <row r="5217" spans="1:2" ht="14.5" x14ac:dyDescent="0.35">
      <c r="A5217" s="8" t="s">
        <v>54894</v>
      </c>
      <c r="B5217" s="8" t="s">
        <v>57710</v>
      </c>
    </row>
    <row r="5218" spans="1:2" ht="14.5" x14ac:dyDescent="0.35">
      <c r="A5218" s="8" t="s">
        <v>54894</v>
      </c>
      <c r="B5218" s="8" t="s">
        <v>57646</v>
      </c>
    </row>
    <row r="5219" spans="1:2" ht="14.5" x14ac:dyDescent="0.35">
      <c r="A5219" s="8" t="s">
        <v>54894</v>
      </c>
      <c r="B5219" s="8" t="s">
        <v>56584</v>
      </c>
    </row>
    <row r="5220" spans="1:2" ht="14.5" x14ac:dyDescent="0.35">
      <c r="A5220" s="8" t="s">
        <v>54894</v>
      </c>
      <c r="B5220" s="8" t="s">
        <v>57647</v>
      </c>
    </row>
    <row r="5221" spans="1:2" ht="14.5" x14ac:dyDescent="0.35">
      <c r="A5221" s="8" t="s">
        <v>54894</v>
      </c>
      <c r="B5221" s="8" t="s">
        <v>56945</v>
      </c>
    </row>
    <row r="5222" spans="1:2" ht="14.5" x14ac:dyDescent="0.35">
      <c r="A5222" s="8" t="s">
        <v>54894</v>
      </c>
      <c r="B5222" s="8" t="s">
        <v>57840</v>
      </c>
    </row>
    <row r="5223" spans="1:2" ht="14.5" x14ac:dyDescent="0.35">
      <c r="A5223" s="8" t="s">
        <v>54894</v>
      </c>
      <c r="B5223" s="8" t="s">
        <v>58157</v>
      </c>
    </row>
    <row r="5224" spans="1:2" ht="14.5" x14ac:dyDescent="0.35">
      <c r="A5224" s="8" t="s">
        <v>54894</v>
      </c>
      <c r="B5224" s="8" t="s">
        <v>56173</v>
      </c>
    </row>
    <row r="5225" spans="1:2" ht="14.5" x14ac:dyDescent="0.35">
      <c r="A5225" s="8" t="s">
        <v>54894</v>
      </c>
      <c r="B5225" s="8" t="s">
        <v>56670</v>
      </c>
    </row>
    <row r="5226" spans="1:2" ht="14.5" x14ac:dyDescent="0.35">
      <c r="A5226" s="8" t="s">
        <v>54894</v>
      </c>
      <c r="B5226" s="8" t="s">
        <v>54092</v>
      </c>
    </row>
    <row r="5227" spans="1:2" ht="14.5" x14ac:dyDescent="0.35">
      <c r="A5227" s="8" t="s">
        <v>54894</v>
      </c>
      <c r="B5227" s="8" t="s">
        <v>54092</v>
      </c>
    </row>
    <row r="5228" spans="1:2" ht="14.5" x14ac:dyDescent="0.35">
      <c r="A5228" s="8" t="s">
        <v>54894</v>
      </c>
      <c r="B5228" s="8" t="s">
        <v>57025</v>
      </c>
    </row>
    <row r="5229" spans="1:2" ht="14.5" x14ac:dyDescent="0.35">
      <c r="A5229" s="8" t="s">
        <v>54894</v>
      </c>
      <c r="B5229" s="8" t="s">
        <v>57686</v>
      </c>
    </row>
    <row r="5230" spans="1:2" ht="14.5" x14ac:dyDescent="0.35">
      <c r="A5230" s="8" t="s">
        <v>54894</v>
      </c>
      <c r="B5230" s="8" t="s">
        <v>55721</v>
      </c>
    </row>
    <row r="5231" spans="1:2" ht="14.5" x14ac:dyDescent="0.35">
      <c r="A5231" s="8" t="s">
        <v>54894</v>
      </c>
      <c r="B5231" s="8" t="s">
        <v>55722</v>
      </c>
    </row>
    <row r="5232" spans="1:2" ht="14.5" x14ac:dyDescent="0.35">
      <c r="A5232" s="8" t="s">
        <v>54894</v>
      </c>
      <c r="B5232" s="8" t="s">
        <v>57648</v>
      </c>
    </row>
    <row r="5233" spans="1:2" ht="14.5" x14ac:dyDescent="0.35">
      <c r="A5233" s="8" t="s">
        <v>54894</v>
      </c>
      <c r="B5233" s="8" t="s">
        <v>57649</v>
      </c>
    </row>
    <row r="5234" spans="1:2" ht="14.5" x14ac:dyDescent="0.35">
      <c r="A5234" s="8" t="s">
        <v>54894</v>
      </c>
      <c r="B5234" s="8" t="s">
        <v>56410</v>
      </c>
    </row>
    <row r="5235" spans="1:2" ht="14.5" x14ac:dyDescent="0.35">
      <c r="A5235" s="8" t="s">
        <v>54894</v>
      </c>
      <c r="B5235" s="8" t="s">
        <v>55839</v>
      </c>
    </row>
    <row r="5236" spans="1:2" ht="14.5" x14ac:dyDescent="0.35">
      <c r="A5236" s="8" t="s">
        <v>54894</v>
      </c>
      <c r="B5236" s="8" t="s">
        <v>58184</v>
      </c>
    </row>
    <row r="5237" spans="1:2" ht="14.5" x14ac:dyDescent="0.35">
      <c r="A5237" s="8" t="s">
        <v>54894</v>
      </c>
      <c r="B5237" s="8" t="s">
        <v>57138</v>
      </c>
    </row>
    <row r="5238" spans="1:2" ht="14.5" x14ac:dyDescent="0.35">
      <c r="A5238" s="8" t="s">
        <v>54894</v>
      </c>
      <c r="B5238" s="8" t="s">
        <v>56547</v>
      </c>
    </row>
    <row r="5239" spans="1:2" ht="14.5" x14ac:dyDescent="0.35">
      <c r="A5239" s="8" t="s">
        <v>54894</v>
      </c>
      <c r="B5239" s="8" t="s">
        <v>55105</v>
      </c>
    </row>
    <row r="5240" spans="1:2" ht="14.5" x14ac:dyDescent="0.35">
      <c r="A5240" s="8" t="s">
        <v>54894</v>
      </c>
      <c r="B5240" s="8" t="s">
        <v>58185</v>
      </c>
    </row>
    <row r="5241" spans="1:2" ht="14.5" x14ac:dyDescent="0.35">
      <c r="A5241" s="8" t="s">
        <v>54894</v>
      </c>
      <c r="B5241" s="8" t="s">
        <v>58139</v>
      </c>
    </row>
    <row r="5242" spans="1:2" ht="14.5" x14ac:dyDescent="0.35">
      <c r="A5242" s="8" t="s">
        <v>54894</v>
      </c>
      <c r="B5242" s="8" t="s">
        <v>58140</v>
      </c>
    </row>
    <row r="5243" spans="1:2" ht="14.5" x14ac:dyDescent="0.35">
      <c r="A5243" s="8" t="s">
        <v>54894</v>
      </c>
      <c r="B5243" s="8" t="s">
        <v>55150</v>
      </c>
    </row>
    <row r="5244" spans="1:2" ht="14.5" x14ac:dyDescent="0.35">
      <c r="A5244" s="8" t="s">
        <v>54894</v>
      </c>
      <c r="B5244" s="8" t="s">
        <v>55151</v>
      </c>
    </row>
    <row r="5245" spans="1:2" ht="14.5" x14ac:dyDescent="0.35">
      <c r="A5245" s="8" t="s">
        <v>54894</v>
      </c>
      <c r="B5245" s="8" t="s">
        <v>55152</v>
      </c>
    </row>
    <row r="5246" spans="1:2" ht="14.5" x14ac:dyDescent="0.35">
      <c r="A5246" s="8" t="s">
        <v>54894</v>
      </c>
      <c r="B5246" s="8" t="s">
        <v>58335</v>
      </c>
    </row>
    <row r="5247" spans="1:2" ht="14.5" x14ac:dyDescent="0.35">
      <c r="A5247" s="8" t="s">
        <v>54894</v>
      </c>
      <c r="B5247" s="8" t="s">
        <v>55153</v>
      </c>
    </row>
    <row r="5248" spans="1:2" ht="14.5" x14ac:dyDescent="0.35">
      <c r="A5248" s="8" t="s">
        <v>54894</v>
      </c>
      <c r="B5248" s="8" t="s">
        <v>57811</v>
      </c>
    </row>
    <row r="5249" spans="1:2" ht="14.5" x14ac:dyDescent="0.35">
      <c r="A5249" s="8" t="s">
        <v>54894</v>
      </c>
      <c r="B5249" s="8" t="s">
        <v>57812</v>
      </c>
    </row>
    <row r="5250" spans="1:2" ht="14.5" x14ac:dyDescent="0.35">
      <c r="A5250" s="8" t="s">
        <v>54894</v>
      </c>
      <c r="B5250" s="8" t="s">
        <v>57901</v>
      </c>
    </row>
    <row r="5251" spans="1:2" ht="14.5" x14ac:dyDescent="0.35">
      <c r="A5251" s="8" t="s">
        <v>54894</v>
      </c>
      <c r="B5251" s="8" t="s">
        <v>58461</v>
      </c>
    </row>
    <row r="5252" spans="1:2" ht="14.5" x14ac:dyDescent="0.35">
      <c r="A5252" s="8" t="s">
        <v>54894</v>
      </c>
      <c r="B5252" s="8" t="s">
        <v>56524</v>
      </c>
    </row>
    <row r="5253" spans="1:2" ht="14.5" x14ac:dyDescent="0.35">
      <c r="A5253" s="8" t="s">
        <v>54894</v>
      </c>
      <c r="B5253" s="8" t="s">
        <v>57874</v>
      </c>
    </row>
    <row r="5254" spans="1:2" ht="14.5" x14ac:dyDescent="0.35">
      <c r="A5254" s="8" t="s">
        <v>54894</v>
      </c>
      <c r="B5254" s="8" t="s">
        <v>57092</v>
      </c>
    </row>
    <row r="5255" spans="1:2" ht="14.5" x14ac:dyDescent="0.35">
      <c r="A5255" s="8" t="s">
        <v>54894</v>
      </c>
      <c r="B5255" s="8" t="s">
        <v>57650</v>
      </c>
    </row>
    <row r="5256" spans="1:2" ht="14.5" x14ac:dyDescent="0.35">
      <c r="A5256" s="8" t="s">
        <v>54894</v>
      </c>
      <c r="B5256" s="8" t="s">
        <v>58186</v>
      </c>
    </row>
    <row r="5257" spans="1:2" ht="14.5" x14ac:dyDescent="0.35">
      <c r="A5257" s="8" t="s">
        <v>54894</v>
      </c>
      <c r="B5257" s="8" t="s">
        <v>57234</v>
      </c>
    </row>
    <row r="5258" spans="1:2" ht="14.5" x14ac:dyDescent="0.35">
      <c r="A5258" s="8" t="s">
        <v>54894</v>
      </c>
      <c r="B5258" s="8" t="s">
        <v>55496</v>
      </c>
    </row>
    <row r="5259" spans="1:2" ht="14.5" x14ac:dyDescent="0.35">
      <c r="A5259" s="8" t="s">
        <v>54894</v>
      </c>
      <c r="B5259" s="8" t="s">
        <v>55284</v>
      </c>
    </row>
    <row r="5260" spans="1:2" ht="14.5" x14ac:dyDescent="0.35">
      <c r="A5260" s="8" t="s">
        <v>54894</v>
      </c>
      <c r="B5260" s="8" t="s">
        <v>56619</v>
      </c>
    </row>
    <row r="5261" spans="1:2" ht="14.5" x14ac:dyDescent="0.35">
      <c r="A5261" s="8" t="s">
        <v>54894</v>
      </c>
      <c r="B5261" s="8" t="s">
        <v>56620</v>
      </c>
    </row>
    <row r="5262" spans="1:2" ht="14.5" x14ac:dyDescent="0.35">
      <c r="A5262" s="8" t="s">
        <v>54894</v>
      </c>
      <c r="B5262" s="8" t="s">
        <v>56009</v>
      </c>
    </row>
    <row r="5263" spans="1:2" ht="14.5" x14ac:dyDescent="0.35">
      <c r="A5263" s="8" t="s">
        <v>54894</v>
      </c>
      <c r="B5263" s="8" t="s">
        <v>58230</v>
      </c>
    </row>
    <row r="5264" spans="1:2" ht="14.5" x14ac:dyDescent="0.35">
      <c r="A5264" s="8" t="s">
        <v>54894</v>
      </c>
      <c r="B5264" s="8" t="s">
        <v>56116</v>
      </c>
    </row>
    <row r="5265" spans="1:2" ht="14.5" x14ac:dyDescent="0.35">
      <c r="A5265" s="8" t="s">
        <v>54894</v>
      </c>
      <c r="B5265" s="8" t="s">
        <v>57050</v>
      </c>
    </row>
    <row r="5266" spans="1:2" ht="14.5" x14ac:dyDescent="0.35">
      <c r="A5266" s="8" t="s">
        <v>54894</v>
      </c>
      <c r="B5266" s="8" t="s">
        <v>56117</v>
      </c>
    </row>
    <row r="5267" spans="1:2" ht="14.5" x14ac:dyDescent="0.35">
      <c r="A5267" s="8" t="s">
        <v>54894</v>
      </c>
      <c r="B5267" s="8" t="s">
        <v>55690</v>
      </c>
    </row>
    <row r="5268" spans="1:2" ht="14.5" x14ac:dyDescent="0.35">
      <c r="A5268" s="8" t="s">
        <v>54894</v>
      </c>
      <c r="B5268" s="8" t="s">
        <v>56316</v>
      </c>
    </row>
    <row r="5269" spans="1:2" ht="14.5" x14ac:dyDescent="0.35">
      <c r="A5269" s="8" t="s">
        <v>54894</v>
      </c>
      <c r="B5269" s="8" t="s">
        <v>56317</v>
      </c>
    </row>
    <row r="5270" spans="1:2" ht="14.5" x14ac:dyDescent="0.35">
      <c r="A5270" s="8" t="s">
        <v>54894</v>
      </c>
      <c r="B5270" s="8" t="s">
        <v>55185</v>
      </c>
    </row>
    <row r="5271" spans="1:2" ht="14.5" x14ac:dyDescent="0.35">
      <c r="A5271" s="8" t="s">
        <v>54894</v>
      </c>
      <c r="B5271" s="8" t="s">
        <v>58141</v>
      </c>
    </row>
    <row r="5272" spans="1:2" ht="14.5" x14ac:dyDescent="0.35">
      <c r="A5272" s="8" t="s">
        <v>54894</v>
      </c>
      <c r="B5272" s="8" t="s">
        <v>55186</v>
      </c>
    </row>
    <row r="5273" spans="1:2" ht="14.5" x14ac:dyDescent="0.35">
      <c r="A5273" s="8" t="s">
        <v>54894</v>
      </c>
      <c r="B5273" s="8" t="s">
        <v>58462</v>
      </c>
    </row>
    <row r="5274" spans="1:2" ht="14.5" x14ac:dyDescent="0.35">
      <c r="A5274" s="8" t="s">
        <v>54894</v>
      </c>
      <c r="B5274" s="8" t="s">
        <v>58231</v>
      </c>
    </row>
    <row r="5275" spans="1:2" ht="14.5" x14ac:dyDescent="0.35">
      <c r="A5275" s="8" t="s">
        <v>54894</v>
      </c>
      <c r="B5275" s="8" t="s">
        <v>55986</v>
      </c>
    </row>
    <row r="5276" spans="1:2" ht="14.5" x14ac:dyDescent="0.35">
      <c r="A5276" s="8" t="s">
        <v>54894</v>
      </c>
      <c r="B5276" s="8" t="s">
        <v>57042</v>
      </c>
    </row>
    <row r="5277" spans="1:2" ht="14.5" x14ac:dyDescent="0.35">
      <c r="A5277" s="8" t="s">
        <v>54894</v>
      </c>
      <c r="B5277" s="8" t="s">
        <v>57902</v>
      </c>
    </row>
    <row r="5278" spans="1:2" ht="14.5" x14ac:dyDescent="0.35">
      <c r="A5278" s="8" t="s">
        <v>54894</v>
      </c>
      <c r="B5278" s="8" t="s">
        <v>55648</v>
      </c>
    </row>
    <row r="5279" spans="1:2" ht="14.5" x14ac:dyDescent="0.35">
      <c r="A5279" s="8" t="s">
        <v>54894</v>
      </c>
      <c r="B5279" s="8" t="s">
        <v>57773</v>
      </c>
    </row>
    <row r="5280" spans="1:2" ht="14.5" x14ac:dyDescent="0.35">
      <c r="A5280" s="8" t="s">
        <v>54894</v>
      </c>
      <c r="B5280" s="8" t="s">
        <v>55649</v>
      </c>
    </row>
    <row r="5281" spans="1:2" ht="14.5" x14ac:dyDescent="0.35">
      <c r="A5281" s="8" t="s">
        <v>54894</v>
      </c>
      <c r="B5281" s="8" t="s">
        <v>57651</v>
      </c>
    </row>
    <row r="5282" spans="1:2" ht="14.5" x14ac:dyDescent="0.35">
      <c r="A5282" s="8" t="s">
        <v>54894</v>
      </c>
      <c r="B5282" s="8" t="s">
        <v>56537</v>
      </c>
    </row>
    <row r="5283" spans="1:2" ht="14.5" x14ac:dyDescent="0.35">
      <c r="A5283" s="8" t="s">
        <v>54894</v>
      </c>
      <c r="B5283" s="8" t="s">
        <v>57652</v>
      </c>
    </row>
    <row r="5284" spans="1:2" ht="14.5" x14ac:dyDescent="0.35">
      <c r="A5284" s="8" t="s">
        <v>54894</v>
      </c>
      <c r="B5284" s="8" t="s">
        <v>58142</v>
      </c>
    </row>
    <row r="5285" spans="1:2" ht="14.5" x14ac:dyDescent="0.35">
      <c r="A5285" s="8" t="s">
        <v>54894</v>
      </c>
      <c r="B5285" s="8" t="s">
        <v>56010</v>
      </c>
    </row>
    <row r="5286" spans="1:2" ht="14.5" x14ac:dyDescent="0.35">
      <c r="A5286" s="8" t="s">
        <v>54894</v>
      </c>
      <c r="B5286" s="8" t="s">
        <v>56525</v>
      </c>
    </row>
    <row r="5287" spans="1:2" ht="14.5" x14ac:dyDescent="0.35">
      <c r="A5287" s="8" t="s">
        <v>54894</v>
      </c>
      <c r="B5287" s="8" t="s">
        <v>56397</v>
      </c>
    </row>
    <row r="5288" spans="1:2" ht="14.5" x14ac:dyDescent="0.35">
      <c r="A5288" s="8" t="s">
        <v>54894</v>
      </c>
      <c r="B5288" s="8" t="s">
        <v>58390</v>
      </c>
    </row>
    <row r="5289" spans="1:2" ht="14.5" x14ac:dyDescent="0.35">
      <c r="A5289" s="8" t="s">
        <v>54894</v>
      </c>
      <c r="B5289" s="8" t="s">
        <v>55552</v>
      </c>
    </row>
    <row r="5290" spans="1:2" ht="14.5" x14ac:dyDescent="0.35">
      <c r="A5290" s="8" t="s">
        <v>54894</v>
      </c>
      <c r="B5290" s="8" t="s">
        <v>58143</v>
      </c>
    </row>
    <row r="5291" spans="1:2" ht="14.5" x14ac:dyDescent="0.35">
      <c r="A5291" s="8" t="s">
        <v>54894</v>
      </c>
      <c r="B5291" s="8" t="s">
        <v>56478</v>
      </c>
    </row>
    <row r="5292" spans="1:2" ht="14.5" x14ac:dyDescent="0.35">
      <c r="A5292" s="8" t="s">
        <v>54894</v>
      </c>
      <c r="B5292" s="8" t="s">
        <v>56478</v>
      </c>
    </row>
    <row r="5293" spans="1:2" ht="14.5" x14ac:dyDescent="0.35">
      <c r="A5293" s="8" t="s">
        <v>54894</v>
      </c>
      <c r="B5293" s="8" t="s">
        <v>56479</v>
      </c>
    </row>
    <row r="5294" spans="1:2" ht="14.5" x14ac:dyDescent="0.35">
      <c r="A5294" s="8" t="s">
        <v>54894</v>
      </c>
      <c r="B5294" s="8" t="s">
        <v>56485</v>
      </c>
    </row>
    <row r="5295" spans="1:2" ht="14.5" x14ac:dyDescent="0.35">
      <c r="A5295" s="8" t="s">
        <v>54894</v>
      </c>
      <c r="B5295" s="8" t="s">
        <v>56480</v>
      </c>
    </row>
    <row r="5296" spans="1:2" ht="14.5" x14ac:dyDescent="0.35">
      <c r="A5296" s="8" t="s">
        <v>54894</v>
      </c>
      <c r="B5296" s="8" t="s">
        <v>56481</v>
      </c>
    </row>
    <row r="5297" spans="1:2" ht="14.5" x14ac:dyDescent="0.35">
      <c r="A5297" s="8" t="s">
        <v>54894</v>
      </c>
      <c r="B5297" s="8" t="s">
        <v>55627</v>
      </c>
    </row>
    <row r="5298" spans="1:2" ht="14.5" x14ac:dyDescent="0.35">
      <c r="A5298" s="8" t="s">
        <v>54894</v>
      </c>
      <c r="B5298" s="8" t="s">
        <v>55691</v>
      </c>
    </row>
    <row r="5299" spans="1:2" ht="14.5" x14ac:dyDescent="0.35">
      <c r="A5299" s="8" t="s">
        <v>54894</v>
      </c>
      <c r="B5299" s="8" t="s">
        <v>56946</v>
      </c>
    </row>
    <row r="5300" spans="1:2" ht="14.5" x14ac:dyDescent="0.35">
      <c r="A5300" s="8" t="s">
        <v>54894</v>
      </c>
      <c r="B5300" s="8" t="s">
        <v>58336</v>
      </c>
    </row>
    <row r="5301" spans="1:2" ht="14.5" x14ac:dyDescent="0.35">
      <c r="A5301" s="8" t="s">
        <v>54894</v>
      </c>
      <c r="B5301" s="8" t="s">
        <v>57702</v>
      </c>
    </row>
    <row r="5302" spans="1:2" ht="14.5" x14ac:dyDescent="0.35">
      <c r="A5302" s="8" t="s">
        <v>54894</v>
      </c>
      <c r="B5302" s="8" t="s">
        <v>55285</v>
      </c>
    </row>
    <row r="5303" spans="1:2" ht="14.5" x14ac:dyDescent="0.35">
      <c r="A5303" s="8" t="s">
        <v>54894</v>
      </c>
      <c r="B5303" s="8" t="s">
        <v>55987</v>
      </c>
    </row>
    <row r="5304" spans="1:2" ht="14.5" x14ac:dyDescent="0.35">
      <c r="A5304" s="8" t="s">
        <v>54894</v>
      </c>
      <c r="B5304" s="8" t="s">
        <v>58413</v>
      </c>
    </row>
    <row r="5305" spans="1:2" ht="14.5" x14ac:dyDescent="0.35">
      <c r="A5305" s="8" t="s">
        <v>54894</v>
      </c>
      <c r="B5305" s="8" t="s">
        <v>55723</v>
      </c>
    </row>
    <row r="5306" spans="1:2" ht="14.5" x14ac:dyDescent="0.35">
      <c r="A5306" s="8" t="s">
        <v>54894</v>
      </c>
      <c r="B5306" s="8" t="s">
        <v>55724</v>
      </c>
    </row>
    <row r="5307" spans="1:2" ht="14.5" x14ac:dyDescent="0.35">
      <c r="A5307" s="8" t="s">
        <v>54894</v>
      </c>
      <c r="B5307" s="8" t="s">
        <v>55984</v>
      </c>
    </row>
    <row r="5308" spans="1:2" ht="14.5" x14ac:dyDescent="0.35">
      <c r="A5308" s="8" t="s">
        <v>54894</v>
      </c>
      <c r="B5308" s="8" t="s">
        <v>56482</v>
      </c>
    </row>
    <row r="5309" spans="1:2" ht="14.5" x14ac:dyDescent="0.35">
      <c r="A5309" s="8" t="s">
        <v>54894</v>
      </c>
      <c r="B5309" s="8" t="s">
        <v>57358</v>
      </c>
    </row>
    <row r="5310" spans="1:2" ht="14.5" x14ac:dyDescent="0.35">
      <c r="A5310" s="8" t="s">
        <v>54894</v>
      </c>
      <c r="B5310" s="8" t="s">
        <v>57892</v>
      </c>
    </row>
    <row r="5311" spans="1:2" ht="14.5" x14ac:dyDescent="0.35">
      <c r="A5311" s="8" t="s">
        <v>54894</v>
      </c>
      <c r="B5311" s="8" t="s">
        <v>54930</v>
      </c>
    </row>
    <row r="5312" spans="1:2" ht="14.5" x14ac:dyDescent="0.35">
      <c r="A5312" s="8" t="s">
        <v>54894</v>
      </c>
      <c r="B5312" s="8" t="s">
        <v>55279</v>
      </c>
    </row>
    <row r="5313" spans="1:2" ht="14.5" x14ac:dyDescent="0.35">
      <c r="A5313" s="8" t="s">
        <v>54894</v>
      </c>
      <c r="B5313" s="8" t="s">
        <v>55187</v>
      </c>
    </row>
    <row r="5314" spans="1:2" ht="14.5" x14ac:dyDescent="0.35">
      <c r="A5314" s="8" t="s">
        <v>54894</v>
      </c>
      <c r="B5314" s="8" t="s">
        <v>55503</v>
      </c>
    </row>
    <row r="5315" spans="1:2" ht="14.5" x14ac:dyDescent="0.35">
      <c r="A5315" s="8" t="s">
        <v>54894</v>
      </c>
      <c r="B5315" s="8" t="s">
        <v>56671</v>
      </c>
    </row>
    <row r="5316" spans="1:2" ht="14.5" x14ac:dyDescent="0.35">
      <c r="A5316" s="8" t="s">
        <v>54894</v>
      </c>
      <c r="B5316" s="8" t="s">
        <v>56947</v>
      </c>
    </row>
    <row r="5317" spans="1:2" ht="14.5" x14ac:dyDescent="0.35">
      <c r="A5317" s="8" t="s">
        <v>54894</v>
      </c>
      <c r="B5317" s="8" t="s">
        <v>57541</v>
      </c>
    </row>
    <row r="5318" spans="1:2" ht="14.5" x14ac:dyDescent="0.35">
      <c r="A5318" s="8" t="s">
        <v>54894</v>
      </c>
      <c r="B5318" s="8" t="s">
        <v>55457</v>
      </c>
    </row>
    <row r="5319" spans="1:2" ht="14.5" x14ac:dyDescent="0.35">
      <c r="A5319" s="8" t="s">
        <v>54894</v>
      </c>
      <c r="B5319" s="8" t="s">
        <v>58463</v>
      </c>
    </row>
    <row r="5320" spans="1:2" ht="14.5" x14ac:dyDescent="0.35">
      <c r="A5320" s="8" t="s">
        <v>54894</v>
      </c>
      <c r="B5320" s="8" t="s">
        <v>57347</v>
      </c>
    </row>
    <row r="5321" spans="1:2" ht="14.5" x14ac:dyDescent="0.35">
      <c r="A5321" s="8" t="s">
        <v>54894</v>
      </c>
      <c r="B5321" s="8" t="s">
        <v>58436</v>
      </c>
    </row>
    <row r="5322" spans="1:2" ht="14.5" x14ac:dyDescent="0.35">
      <c r="A5322" s="8" t="s">
        <v>54894</v>
      </c>
      <c r="B5322" s="8" t="s">
        <v>55473</v>
      </c>
    </row>
    <row r="5323" spans="1:2" ht="14.5" x14ac:dyDescent="0.35">
      <c r="A5323" s="8" t="s">
        <v>54894</v>
      </c>
      <c r="B5323" s="8" t="s">
        <v>54402</v>
      </c>
    </row>
    <row r="5324" spans="1:2" ht="14.5" x14ac:dyDescent="0.35">
      <c r="A5324" s="8" t="s">
        <v>54894</v>
      </c>
      <c r="B5324" s="8" t="s">
        <v>56411</v>
      </c>
    </row>
    <row r="5325" spans="1:2" ht="14.5" x14ac:dyDescent="0.35">
      <c r="A5325" s="8" t="s">
        <v>54894</v>
      </c>
      <c r="B5325" s="8" t="s">
        <v>57306</v>
      </c>
    </row>
    <row r="5326" spans="1:2" ht="14.5" x14ac:dyDescent="0.35">
      <c r="A5326" s="8" t="s">
        <v>54894</v>
      </c>
      <c r="B5326" s="8" t="s">
        <v>56294</v>
      </c>
    </row>
    <row r="5327" spans="1:2" ht="14.5" x14ac:dyDescent="0.35">
      <c r="A5327" s="8" t="s">
        <v>54894</v>
      </c>
      <c r="B5327" s="8" t="s">
        <v>56295</v>
      </c>
    </row>
    <row r="5328" spans="1:2" ht="14.5" x14ac:dyDescent="0.35">
      <c r="A5328" s="8" t="s">
        <v>54894</v>
      </c>
      <c r="B5328" s="8" t="s">
        <v>57903</v>
      </c>
    </row>
    <row r="5329" spans="1:2" ht="14.5" x14ac:dyDescent="0.35">
      <c r="A5329" s="8" t="s">
        <v>54894</v>
      </c>
      <c r="B5329" s="8" t="s">
        <v>58325</v>
      </c>
    </row>
    <row r="5330" spans="1:2" ht="14.5" x14ac:dyDescent="0.35">
      <c r="A5330" s="8" t="s">
        <v>54894</v>
      </c>
      <c r="B5330" s="8" t="s">
        <v>58232</v>
      </c>
    </row>
    <row r="5331" spans="1:2" ht="14.5" x14ac:dyDescent="0.35">
      <c r="A5331" s="8" t="s">
        <v>54894</v>
      </c>
      <c r="B5331" s="8" t="s">
        <v>57093</v>
      </c>
    </row>
    <row r="5332" spans="1:2" ht="14.5" x14ac:dyDescent="0.35">
      <c r="A5332" s="8" t="s">
        <v>54894</v>
      </c>
      <c r="B5332" s="8" t="s">
        <v>56453</v>
      </c>
    </row>
    <row r="5333" spans="1:2" ht="14.5" x14ac:dyDescent="0.35">
      <c r="A5333" s="8" t="s">
        <v>54894</v>
      </c>
      <c r="B5333" s="8" t="s">
        <v>56453</v>
      </c>
    </row>
    <row r="5334" spans="1:2" ht="14.5" x14ac:dyDescent="0.35">
      <c r="A5334" s="8" t="s">
        <v>54894</v>
      </c>
      <c r="B5334" s="8" t="s">
        <v>58233</v>
      </c>
    </row>
    <row r="5335" spans="1:2" ht="14.5" x14ac:dyDescent="0.35">
      <c r="A5335" s="8" t="s">
        <v>54894</v>
      </c>
      <c r="B5335" s="8" t="s">
        <v>56948</v>
      </c>
    </row>
    <row r="5336" spans="1:2" ht="14.5" x14ac:dyDescent="0.35">
      <c r="A5336" s="8" t="s">
        <v>54894</v>
      </c>
      <c r="B5336" s="8" t="s">
        <v>58187</v>
      </c>
    </row>
    <row r="5337" spans="1:2" ht="14.5" x14ac:dyDescent="0.35">
      <c r="A5337" s="8" t="s">
        <v>54894</v>
      </c>
      <c r="B5337" s="8" t="s">
        <v>58326</v>
      </c>
    </row>
    <row r="5338" spans="1:2" ht="14.5" x14ac:dyDescent="0.35">
      <c r="A5338" s="8" t="s">
        <v>54894</v>
      </c>
      <c r="B5338" s="8" t="s">
        <v>55497</v>
      </c>
    </row>
    <row r="5339" spans="1:2" ht="14.5" x14ac:dyDescent="0.35">
      <c r="A5339" s="8" t="s">
        <v>54894</v>
      </c>
      <c r="B5339" s="8" t="s">
        <v>57491</v>
      </c>
    </row>
    <row r="5340" spans="1:2" ht="14.5" x14ac:dyDescent="0.35">
      <c r="A5340" s="8" t="s">
        <v>54894</v>
      </c>
      <c r="B5340" s="8" t="s">
        <v>57348</v>
      </c>
    </row>
    <row r="5341" spans="1:2" ht="14.5" x14ac:dyDescent="0.35">
      <c r="A5341" s="8" t="s">
        <v>54894</v>
      </c>
      <c r="B5341" s="8" t="s">
        <v>56118</v>
      </c>
    </row>
    <row r="5342" spans="1:2" ht="14.5" x14ac:dyDescent="0.35">
      <c r="A5342" s="8" t="s">
        <v>54894</v>
      </c>
      <c r="B5342" s="8" t="s">
        <v>57349</v>
      </c>
    </row>
    <row r="5343" spans="1:2" ht="14.5" x14ac:dyDescent="0.35">
      <c r="A5343" s="8" t="s">
        <v>54894</v>
      </c>
      <c r="B5343" s="8" t="s">
        <v>55988</v>
      </c>
    </row>
    <row r="5344" spans="1:2" ht="14.5" x14ac:dyDescent="0.35">
      <c r="A5344" s="8" t="s">
        <v>54894</v>
      </c>
      <c r="B5344" s="8" t="s">
        <v>54931</v>
      </c>
    </row>
    <row r="5345" spans="1:2" ht="14.5" x14ac:dyDescent="0.35">
      <c r="A5345" s="8" t="s">
        <v>54894</v>
      </c>
      <c r="B5345" s="8" t="s">
        <v>56174</v>
      </c>
    </row>
    <row r="5346" spans="1:2" ht="14.5" x14ac:dyDescent="0.35">
      <c r="A5346" s="8" t="s">
        <v>54894</v>
      </c>
      <c r="B5346" s="8" t="s">
        <v>57094</v>
      </c>
    </row>
    <row r="5347" spans="1:2" ht="14.5" x14ac:dyDescent="0.35">
      <c r="A5347" s="8" t="s">
        <v>54894</v>
      </c>
      <c r="B5347" s="8" t="s">
        <v>58144</v>
      </c>
    </row>
    <row r="5348" spans="1:2" ht="14.5" x14ac:dyDescent="0.35">
      <c r="A5348" s="8" t="s">
        <v>54894</v>
      </c>
      <c r="B5348" s="8" t="s">
        <v>54569</v>
      </c>
    </row>
    <row r="5349" spans="1:2" ht="14.5" x14ac:dyDescent="0.35">
      <c r="A5349" s="8" t="s">
        <v>54894</v>
      </c>
      <c r="B5349" s="8" t="s">
        <v>55474</v>
      </c>
    </row>
    <row r="5350" spans="1:2" ht="14.5" x14ac:dyDescent="0.35">
      <c r="A5350" s="8" t="s">
        <v>54894</v>
      </c>
      <c r="B5350" s="8" t="s">
        <v>57127</v>
      </c>
    </row>
    <row r="5351" spans="1:2" ht="14.5" x14ac:dyDescent="0.35">
      <c r="A5351" s="8" t="s">
        <v>54894</v>
      </c>
      <c r="B5351" s="8" t="s">
        <v>57128</v>
      </c>
    </row>
    <row r="5352" spans="1:2" ht="14.5" x14ac:dyDescent="0.35">
      <c r="A5352" s="8" t="s">
        <v>54894</v>
      </c>
      <c r="B5352" s="8" t="s">
        <v>57129</v>
      </c>
    </row>
    <row r="5353" spans="1:2" ht="14.5" x14ac:dyDescent="0.35">
      <c r="A5353" s="8" t="s">
        <v>54894</v>
      </c>
      <c r="B5353" s="8" t="s">
        <v>55280</v>
      </c>
    </row>
    <row r="5354" spans="1:2" ht="14.5" x14ac:dyDescent="0.35">
      <c r="A5354" s="8" t="s">
        <v>54894</v>
      </c>
      <c r="B5354" s="8" t="s">
        <v>55054</v>
      </c>
    </row>
    <row r="5355" spans="1:2" ht="14.5" x14ac:dyDescent="0.35">
      <c r="A5355" s="8" t="s">
        <v>54894</v>
      </c>
      <c r="B5355" s="8" t="s">
        <v>57378</v>
      </c>
    </row>
    <row r="5356" spans="1:2" ht="14.5" x14ac:dyDescent="0.35">
      <c r="A5356" s="8" t="s">
        <v>54894</v>
      </c>
      <c r="B5356" s="8" t="s">
        <v>57144</v>
      </c>
    </row>
    <row r="5357" spans="1:2" ht="14.5" x14ac:dyDescent="0.35">
      <c r="A5357" s="8" t="s">
        <v>54894</v>
      </c>
      <c r="B5357" s="8" t="s">
        <v>57145</v>
      </c>
    </row>
    <row r="5358" spans="1:2" ht="14.5" x14ac:dyDescent="0.35">
      <c r="A5358" s="8" t="s">
        <v>54894</v>
      </c>
      <c r="B5358" s="8" t="s">
        <v>57146</v>
      </c>
    </row>
    <row r="5359" spans="1:2" ht="14.5" x14ac:dyDescent="0.35">
      <c r="A5359" s="8" t="s">
        <v>54894</v>
      </c>
      <c r="B5359" s="8" t="s">
        <v>57197</v>
      </c>
    </row>
    <row r="5360" spans="1:2" ht="14.5" x14ac:dyDescent="0.35">
      <c r="A5360" s="8" t="s">
        <v>54894</v>
      </c>
      <c r="B5360" s="8" t="s">
        <v>57898</v>
      </c>
    </row>
    <row r="5361" spans="1:2" ht="14.5" x14ac:dyDescent="0.35">
      <c r="A5361" s="8" t="s">
        <v>54894</v>
      </c>
      <c r="B5361" s="8" t="s">
        <v>57697</v>
      </c>
    </row>
    <row r="5362" spans="1:2" ht="14.5" x14ac:dyDescent="0.35">
      <c r="A5362" s="8" t="s">
        <v>54894</v>
      </c>
      <c r="B5362" s="8" t="s">
        <v>57270</v>
      </c>
    </row>
    <row r="5363" spans="1:2" ht="14.5" x14ac:dyDescent="0.35">
      <c r="A5363" s="8" t="s">
        <v>54894</v>
      </c>
      <c r="B5363" s="8" t="s">
        <v>57327</v>
      </c>
    </row>
    <row r="5364" spans="1:2" ht="14.5" x14ac:dyDescent="0.35">
      <c r="A5364" s="8" t="s">
        <v>54894</v>
      </c>
      <c r="B5364" s="8" t="s">
        <v>57328</v>
      </c>
    </row>
    <row r="5365" spans="1:2" ht="14.5" x14ac:dyDescent="0.35">
      <c r="A5365" s="8" t="s">
        <v>54894</v>
      </c>
      <c r="B5365" s="8" t="s">
        <v>57904</v>
      </c>
    </row>
    <row r="5366" spans="1:2" ht="14.5" x14ac:dyDescent="0.35">
      <c r="A5366" s="8" t="s">
        <v>54894</v>
      </c>
      <c r="B5366" s="8" t="s">
        <v>57875</v>
      </c>
    </row>
    <row r="5367" spans="1:2" ht="14.5" x14ac:dyDescent="0.35">
      <c r="A5367" s="8" t="s">
        <v>54894</v>
      </c>
      <c r="B5367" s="8" t="s">
        <v>56119</v>
      </c>
    </row>
    <row r="5368" spans="1:2" ht="14.5" x14ac:dyDescent="0.35">
      <c r="A5368" s="8" t="s">
        <v>54894</v>
      </c>
      <c r="B5368" s="8" t="s">
        <v>56120</v>
      </c>
    </row>
    <row r="5369" spans="1:2" ht="14.5" x14ac:dyDescent="0.35">
      <c r="A5369" s="8" t="s">
        <v>54894</v>
      </c>
      <c r="B5369" s="8" t="s">
        <v>56121</v>
      </c>
    </row>
    <row r="5370" spans="1:2" ht="14.5" x14ac:dyDescent="0.35">
      <c r="A5370" s="8" t="s">
        <v>54894</v>
      </c>
      <c r="B5370" s="8" t="s">
        <v>57235</v>
      </c>
    </row>
    <row r="5371" spans="1:2" ht="14.5" x14ac:dyDescent="0.35">
      <c r="A5371" s="8" t="s">
        <v>54894</v>
      </c>
      <c r="B5371" s="8" t="s">
        <v>56122</v>
      </c>
    </row>
    <row r="5372" spans="1:2" ht="14.5" x14ac:dyDescent="0.35">
      <c r="A5372" s="8" t="s">
        <v>54894</v>
      </c>
      <c r="B5372" s="8" t="s">
        <v>57379</v>
      </c>
    </row>
    <row r="5373" spans="1:2" ht="14.5" x14ac:dyDescent="0.35">
      <c r="A5373" s="8" t="s">
        <v>54894</v>
      </c>
      <c r="B5373" s="8" t="s">
        <v>56322</v>
      </c>
    </row>
    <row r="5374" spans="1:2" ht="14.5" x14ac:dyDescent="0.35">
      <c r="A5374" s="8" t="s">
        <v>54894</v>
      </c>
      <c r="B5374" s="8" t="s">
        <v>56323</v>
      </c>
    </row>
    <row r="5375" spans="1:2" ht="14.5" x14ac:dyDescent="0.35">
      <c r="A5375" s="8" t="s">
        <v>54894</v>
      </c>
      <c r="B5375" s="8" t="s">
        <v>55650</v>
      </c>
    </row>
    <row r="5376" spans="1:2" ht="14.5" x14ac:dyDescent="0.35">
      <c r="A5376" s="8" t="s">
        <v>54894</v>
      </c>
      <c r="B5376" s="8" t="s">
        <v>57653</v>
      </c>
    </row>
    <row r="5377" spans="1:2" ht="14.5" x14ac:dyDescent="0.35">
      <c r="A5377" s="8" t="s">
        <v>54894</v>
      </c>
      <c r="B5377" s="8" t="s">
        <v>57313</v>
      </c>
    </row>
    <row r="5378" spans="1:2" ht="14.5" x14ac:dyDescent="0.35">
      <c r="A5378" s="8" t="s">
        <v>54894</v>
      </c>
      <c r="B5378" s="8" t="s">
        <v>58464</v>
      </c>
    </row>
    <row r="5379" spans="1:2" ht="14.5" x14ac:dyDescent="0.35">
      <c r="A5379" s="8" t="s">
        <v>54894</v>
      </c>
      <c r="B5379" s="8" t="s">
        <v>56402</v>
      </c>
    </row>
    <row r="5380" spans="1:2" ht="14.5" x14ac:dyDescent="0.35">
      <c r="A5380" s="8" t="s">
        <v>54894</v>
      </c>
      <c r="B5380" s="8" t="s">
        <v>58164</v>
      </c>
    </row>
    <row r="5381" spans="1:2" ht="14.5" x14ac:dyDescent="0.35">
      <c r="A5381" s="8" t="s">
        <v>54894</v>
      </c>
      <c r="B5381" s="8" t="s">
        <v>57095</v>
      </c>
    </row>
    <row r="5382" spans="1:2" ht="14.5" x14ac:dyDescent="0.35">
      <c r="A5382" s="8" t="s">
        <v>54894</v>
      </c>
      <c r="B5382" s="8" t="s">
        <v>55877</v>
      </c>
    </row>
    <row r="5383" spans="1:2" ht="14.5" x14ac:dyDescent="0.35">
      <c r="A5383" s="8" t="s">
        <v>54894</v>
      </c>
      <c r="B5383" s="8" t="s">
        <v>55093</v>
      </c>
    </row>
    <row r="5384" spans="1:2" ht="14.5" x14ac:dyDescent="0.35">
      <c r="A5384" s="8" t="s">
        <v>54894</v>
      </c>
      <c r="B5384" s="8" t="s">
        <v>55094</v>
      </c>
    </row>
    <row r="5385" spans="1:2" ht="14.5" x14ac:dyDescent="0.35">
      <c r="A5385" s="8" t="s">
        <v>54894</v>
      </c>
      <c r="B5385" s="8" t="s">
        <v>55095</v>
      </c>
    </row>
    <row r="5386" spans="1:2" ht="14.5" x14ac:dyDescent="0.35">
      <c r="A5386" s="8" t="s">
        <v>54894</v>
      </c>
      <c r="B5386" s="8" t="s">
        <v>55096</v>
      </c>
    </row>
    <row r="5387" spans="1:2" ht="14.5" x14ac:dyDescent="0.35">
      <c r="A5387" s="8" t="s">
        <v>54894</v>
      </c>
      <c r="B5387" s="8" t="s">
        <v>55097</v>
      </c>
    </row>
    <row r="5388" spans="1:2" ht="14.5" x14ac:dyDescent="0.35">
      <c r="A5388" s="8" t="s">
        <v>54894</v>
      </c>
      <c r="B5388" s="8" t="s">
        <v>55098</v>
      </c>
    </row>
    <row r="5389" spans="1:2" ht="14.5" x14ac:dyDescent="0.35">
      <c r="A5389" s="8" t="s">
        <v>54894</v>
      </c>
      <c r="B5389" s="8" t="s">
        <v>55099</v>
      </c>
    </row>
    <row r="5390" spans="1:2" ht="14.5" x14ac:dyDescent="0.35">
      <c r="A5390" s="8" t="s">
        <v>54894</v>
      </c>
      <c r="B5390" s="8" t="s">
        <v>55100</v>
      </c>
    </row>
    <row r="5391" spans="1:2" ht="14.5" x14ac:dyDescent="0.35">
      <c r="A5391" s="8" t="s">
        <v>54894</v>
      </c>
      <c r="B5391" s="8" t="s">
        <v>55101</v>
      </c>
    </row>
    <row r="5392" spans="1:2" ht="14.5" x14ac:dyDescent="0.35">
      <c r="A5392" s="8" t="s">
        <v>54894</v>
      </c>
      <c r="B5392" s="8" t="s">
        <v>58424</v>
      </c>
    </row>
    <row r="5393" spans="1:2" ht="14.5" x14ac:dyDescent="0.35">
      <c r="A5393" s="8" t="s">
        <v>54894</v>
      </c>
      <c r="B5393" s="8" t="s">
        <v>58145</v>
      </c>
    </row>
    <row r="5394" spans="1:2" ht="14.5" x14ac:dyDescent="0.35">
      <c r="A5394" s="8" t="s">
        <v>54894</v>
      </c>
      <c r="B5394" s="8" t="s">
        <v>55878</v>
      </c>
    </row>
    <row r="5395" spans="1:2" ht="14.5" x14ac:dyDescent="0.35">
      <c r="A5395" s="8" t="s">
        <v>54894</v>
      </c>
      <c r="B5395" s="8" t="s">
        <v>56949</v>
      </c>
    </row>
    <row r="5396" spans="1:2" ht="14.5" x14ac:dyDescent="0.35">
      <c r="A5396" s="8" t="s">
        <v>54894</v>
      </c>
      <c r="B5396" s="8" t="s">
        <v>58165</v>
      </c>
    </row>
    <row r="5397" spans="1:2" ht="14.5" x14ac:dyDescent="0.35">
      <c r="A5397" s="8" t="s">
        <v>54894</v>
      </c>
      <c r="B5397" s="8" t="s">
        <v>57654</v>
      </c>
    </row>
    <row r="5398" spans="1:2" ht="14.5" x14ac:dyDescent="0.35">
      <c r="A5398" s="8" t="s">
        <v>54894</v>
      </c>
      <c r="B5398" s="8" t="s">
        <v>56123</v>
      </c>
    </row>
    <row r="5399" spans="1:2" ht="14.5" x14ac:dyDescent="0.35">
      <c r="A5399" s="8" t="s">
        <v>54894</v>
      </c>
      <c r="B5399" s="8" t="s">
        <v>58470</v>
      </c>
    </row>
    <row r="5400" spans="1:2" ht="14.5" x14ac:dyDescent="0.35">
      <c r="A5400" s="8" t="s">
        <v>54894</v>
      </c>
      <c r="B5400" s="8" t="s">
        <v>57043</v>
      </c>
    </row>
    <row r="5401" spans="1:2" ht="14.5" x14ac:dyDescent="0.35">
      <c r="A5401" s="8" t="s">
        <v>54894</v>
      </c>
      <c r="B5401" s="8" t="s">
        <v>56466</v>
      </c>
    </row>
    <row r="5402" spans="1:2" ht="14.5" x14ac:dyDescent="0.35">
      <c r="A5402" s="8" t="s">
        <v>54894</v>
      </c>
      <c r="B5402" s="8" t="s">
        <v>56467</v>
      </c>
    </row>
    <row r="5403" spans="1:2" ht="14.5" x14ac:dyDescent="0.35">
      <c r="A5403" s="8" t="s">
        <v>54894</v>
      </c>
      <c r="B5403" s="8" t="s">
        <v>55651</v>
      </c>
    </row>
    <row r="5404" spans="1:2" ht="14.5" x14ac:dyDescent="0.35">
      <c r="A5404" s="8" t="s">
        <v>54894</v>
      </c>
      <c r="B5404" s="8" t="s">
        <v>55534</v>
      </c>
    </row>
    <row r="5405" spans="1:2" ht="14.5" x14ac:dyDescent="0.35">
      <c r="A5405" s="8" t="s">
        <v>54894</v>
      </c>
      <c r="B5405" s="8" t="s">
        <v>55553</v>
      </c>
    </row>
    <row r="5406" spans="1:2" ht="14.5" x14ac:dyDescent="0.35">
      <c r="A5406" s="8" t="s">
        <v>54894</v>
      </c>
      <c r="B5406" s="8" t="s">
        <v>57711</v>
      </c>
    </row>
    <row r="5407" spans="1:2" ht="14.5" x14ac:dyDescent="0.35">
      <c r="A5407" s="8" t="s">
        <v>54894</v>
      </c>
      <c r="B5407" s="8" t="s">
        <v>54096</v>
      </c>
    </row>
    <row r="5408" spans="1:2" ht="14.5" x14ac:dyDescent="0.35">
      <c r="A5408" s="8" t="s">
        <v>54894</v>
      </c>
      <c r="B5408" s="8" t="s">
        <v>58234</v>
      </c>
    </row>
    <row r="5409" spans="1:2" ht="14.5" x14ac:dyDescent="0.35">
      <c r="A5409" s="8" t="s">
        <v>54894</v>
      </c>
      <c r="B5409" s="8" t="s">
        <v>58235</v>
      </c>
    </row>
    <row r="5410" spans="1:2" ht="14.5" x14ac:dyDescent="0.35">
      <c r="A5410" s="8" t="s">
        <v>54894</v>
      </c>
      <c r="B5410" s="8" t="s">
        <v>58236</v>
      </c>
    </row>
    <row r="5411" spans="1:2" ht="14.5" x14ac:dyDescent="0.35">
      <c r="A5411" s="8" t="s">
        <v>54894</v>
      </c>
      <c r="B5411" s="8" t="s">
        <v>58237</v>
      </c>
    </row>
    <row r="5412" spans="1:2" ht="14.5" x14ac:dyDescent="0.35">
      <c r="A5412" s="8" t="s">
        <v>54894</v>
      </c>
      <c r="B5412" s="8" t="s">
        <v>57655</v>
      </c>
    </row>
    <row r="5413" spans="1:2" ht="14.5" x14ac:dyDescent="0.35">
      <c r="A5413" s="8" t="s">
        <v>54894</v>
      </c>
      <c r="B5413" s="8" t="s">
        <v>56392</v>
      </c>
    </row>
    <row r="5414" spans="1:2" ht="14.5" x14ac:dyDescent="0.35">
      <c r="A5414" s="8" t="s">
        <v>54894</v>
      </c>
      <c r="B5414" s="8" t="s">
        <v>56393</v>
      </c>
    </row>
    <row r="5415" spans="1:2" ht="14.5" x14ac:dyDescent="0.35">
      <c r="A5415" s="8" t="s">
        <v>54894</v>
      </c>
      <c r="B5415" s="8" t="s">
        <v>56950</v>
      </c>
    </row>
    <row r="5416" spans="1:2" ht="14.5" x14ac:dyDescent="0.35">
      <c r="A5416" s="8" t="s">
        <v>54894</v>
      </c>
      <c r="B5416" s="8" t="s">
        <v>56951</v>
      </c>
    </row>
    <row r="5417" spans="1:2" ht="14.5" x14ac:dyDescent="0.35">
      <c r="A5417" s="8" t="s">
        <v>54894</v>
      </c>
      <c r="B5417" s="8" t="s">
        <v>56952</v>
      </c>
    </row>
    <row r="5418" spans="1:2" ht="14.5" x14ac:dyDescent="0.35">
      <c r="A5418" s="8" t="s">
        <v>54894</v>
      </c>
      <c r="B5418" s="8" t="s">
        <v>56953</v>
      </c>
    </row>
    <row r="5419" spans="1:2" ht="14.5" x14ac:dyDescent="0.35">
      <c r="A5419" s="8" t="s">
        <v>54894</v>
      </c>
      <c r="B5419" s="8" t="s">
        <v>56954</v>
      </c>
    </row>
    <row r="5420" spans="1:2" ht="14.5" x14ac:dyDescent="0.35">
      <c r="A5420" s="8" t="s">
        <v>54894</v>
      </c>
      <c r="B5420" s="8" t="s">
        <v>56955</v>
      </c>
    </row>
    <row r="5421" spans="1:2" ht="14.5" x14ac:dyDescent="0.35">
      <c r="A5421" s="8" t="s">
        <v>54894</v>
      </c>
      <c r="B5421" s="8" t="s">
        <v>58471</v>
      </c>
    </row>
    <row r="5422" spans="1:2" ht="14.5" x14ac:dyDescent="0.35">
      <c r="A5422" s="8" t="s">
        <v>54894</v>
      </c>
      <c r="B5422" s="8" t="s">
        <v>55840</v>
      </c>
    </row>
    <row r="5423" spans="1:2" ht="14.5" x14ac:dyDescent="0.35">
      <c r="A5423" s="8" t="s">
        <v>54894</v>
      </c>
      <c r="B5423" s="8" t="s">
        <v>55841</v>
      </c>
    </row>
    <row r="5424" spans="1:2" ht="14.5" x14ac:dyDescent="0.35">
      <c r="A5424" s="8" t="s">
        <v>54894</v>
      </c>
      <c r="B5424" s="8" t="s">
        <v>55842</v>
      </c>
    </row>
    <row r="5425" spans="1:2" ht="14.5" x14ac:dyDescent="0.35">
      <c r="A5425" s="8" t="s">
        <v>54894</v>
      </c>
      <c r="B5425" s="8" t="s">
        <v>57164</v>
      </c>
    </row>
    <row r="5426" spans="1:2" ht="14.5" x14ac:dyDescent="0.35">
      <c r="A5426" s="8" t="s">
        <v>54894</v>
      </c>
      <c r="B5426" s="8" t="s">
        <v>55197</v>
      </c>
    </row>
    <row r="5427" spans="1:2" ht="14.5" x14ac:dyDescent="0.35">
      <c r="A5427" s="8" t="s">
        <v>54894</v>
      </c>
      <c r="B5427" s="8" t="s">
        <v>57384</v>
      </c>
    </row>
    <row r="5428" spans="1:2" ht="14.5" x14ac:dyDescent="0.35">
      <c r="A5428" s="8" t="s">
        <v>54894</v>
      </c>
      <c r="B5428" s="8" t="s">
        <v>57978</v>
      </c>
    </row>
    <row r="5429" spans="1:2" ht="14.5" x14ac:dyDescent="0.35">
      <c r="A5429" s="8" t="s">
        <v>54894</v>
      </c>
      <c r="B5429" s="8" t="s">
        <v>56241</v>
      </c>
    </row>
    <row r="5430" spans="1:2" ht="14.5" x14ac:dyDescent="0.35">
      <c r="A5430" s="8" t="s">
        <v>54894</v>
      </c>
      <c r="B5430" s="8" t="s">
        <v>58318</v>
      </c>
    </row>
    <row r="5431" spans="1:2" ht="14.5" x14ac:dyDescent="0.35">
      <c r="A5431" s="8" t="s">
        <v>54894</v>
      </c>
      <c r="B5431" s="8" t="s">
        <v>58465</v>
      </c>
    </row>
    <row r="5432" spans="1:2" ht="14.5" x14ac:dyDescent="0.35">
      <c r="A5432" s="8" t="s">
        <v>54894</v>
      </c>
      <c r="B5432" s="8" t="s">
        <v>57905</v>
      </c>
    </row>
    <row r="5433" spans="1:2" ht="14.5" x14ac:dyDescent="0.35">
      <c r="A5433" s="8" t="s">
        <v>54894</v>
      </c>
      <c r="B5433" s="8" t="s">
        <v>56956</v>
      </c>
    </row>
    <row r="5434" spans="1:2" ht="14.5" x14ac:dyDescent="0.35">
      <c r="A5434" s="8" t="s">
        <v>54894</v>
      </c>
      <c r="B5434" s="8" t="s">
        <v>56957</v>
      </c>
    </row>
    <row r="5435" spans="1:2" ht="14.5" x14ac:dyDescent="0.35">
      <c r="A5435" s="8" t="s">
        <v>54894</v>
      </c>
      <c r="B5435" s="8" t="s">
        <v>56654</v>
      </c>
    </row>
    <row r="5436" spans="1:2" ht="14.5" x14ac:dyDescent="0.35">
      <c r="A5436" s="8" t="s">
        <v>54894</v>
      </c>
      <c r="B5436" s="8" t="s">
        <v>56270</v>
      </c>
    </row>
    <row r="5437" spans="1:2" ht="14.5" x14ac:dyDescent="0.35">
      <c r="A5437" s="8" t="s">
        <v>54894</v>
      </c>
      <c r="B5437" s="8" t="s">
        <v>55901</v>
      </c>
    </row>
    <row r="5438" spans="1:2" ht="14.5" x14ac:dyDescent="0.35">
      <c r="A5438" s="8" t="s">
        <v>54894</v>
      </c>
      <c r="B5438" s="8" t="s">
        <v>56494</v>
      </c>
    </row>
    <row r="5439" spans="1:2" ht="14.5" x14ac:dyDescent="0.35">
      <c r="A5439" s="8" t="s">
        <v>54894</v>
      </c>
      <c r="B5439" s="8" t="s">
        <v>57656</v>
      </c>
    </row>
    <row r="5440" spans="1:2" ht="14.5" x14ac:dyDescent="0.35">
      <c r="A5440" s="8" t="s">
        <v>54894</v>
      </c>
      <c r="B5440" s="8" t="s">
        <v>57657</v>
      </c>
    </row>
    <row r="5441" spans="1:2" ht="14.5" x14ac:dyDescent="0.35">
      <c r="A5441" s="8" t="s">
        <v>54894</v>
      </c>
      <c r="B5441" s="8" t="s">
        <v>56473</v>
      </c>
    </row>
    <row r="5442" spans="1:2" ht="14.5" x14ac:dyDescent="0.35">
      <c r="A5442" s="8" t="s">
        <v>54894</v>
      </c>
      <c r="B5442" s="8" t="s">
        <v>56474</v>
      </c>
    </row>
    <row r="5443" spans="1:2" ht="14.5" x14ac:dyDescent="0.35">
      <c r="A5443" s="8" t="s">
        <v>54894</v>
      </c>
      <c r="B5443" s="8" t="s">
        <v>55950</v>
      </c>
    </row>
    <row r="5444" spans="1:2" ht="14.5" x14ac:dyDescent="0.35">
      <c r="A5444" s="8" t="s">
        <v>54894</v>
      </c>
      <c r="B5444" s="8" t="s">
        <v>55535</v>
      </c>
    </row>
    <row r="5445" spans="1:2" ht="14.5" x14ac:dyDescent="0.35">
      <c r="A5445" s="8" t="s">
        <v>54894</v>
      </c>
      <c r="B5445" s="8" t="s">
        <v>58146</v>
      </c>
    </row>
    <row r="5446" spans="1:2" ht="14.5" x14ac:dyDescent="0.35">
      <c r="A5446" s="8" t="s">
        <v>54894</v>
      </c>
      <c r="B5446" s="8" t="s">
        <v>54986</v>
      </c>
    </row>
    <row r="5447" spans="1:2" ht="14.5" x14ac:dyDescent="0.35">
      <c r="A5447" s="8" t="s">
        <v>54894</v>
      </c>
      <c r="B5447" s="8" t="s">
        <v>58147</v>
      </c>
    </row>
    <row r="5448" spans="1:2" ht="14.5" x14ac:dyDescent="0.35">
      <c r="A5448" s="8" t="s">
        <v>54894</v>
      </c>
      <c r="B5448" s="8" t="s">
        <v>58148</v>
      </c>
    </row>
    <row r="5449" spans="1:2" ht="14.5" x14ac:dyDescent="0.35">
      <c r="A5449" s="8" t="s">
        <v>54894</v>
      </c>
      <c r="B5449" s="8" t="s">
        <v>57376</v>
      </c>
    </row>
    <row r="5450" spans="1:2" ht="14.5" x14ac:dyDescent="0.35">
      <c r="A5450" s="8" t="s">
        <v>54894</v>
      </c>
      <c r="B5450" s="8" t="s">
        <v>55577</v>
      </c>
    </row>
    <row r="5451" spans="1:2" ht="14.5" x14ac:dyDescent="0.35">
      <c r="A5451" s="8" t="s">
        <v>54894</v>
      </c>
      <c r="B5451" s="8" t="s">
        <v>57499</v>
      </c>
    </row>
    <row r="5452" spans="1:2" ht="14.5" x14ac:dyDescent="0.35">
      <c r="A5452" s="8" t="s">
        <v>54894</v>
      </c>
      <c r="B5452" s="8" t="s">
        <v>55578</v>
      </c>
    </row>
    <row r="5453" spans="1:2" ht="14.5" x14ac:dyDescent="0.35">
      <c r="A5453" s="8" t="s">
        <v>54894</v>
      </c>
      <c r="B5453" s="8" t="s">
        <v>56305</v>
      </c>
    </row>
    <row r="5454" spans="1:2" ht="14.5" x14ac:dyDescent="0.35">
      <c r="A5454" s="8" t="s">
        <v>54894</v>
      </c>
      <c r="B5454" s="8" t="s">
        <v>57159</v>
      </c>
    </row>
    <row r="5455" spans="1:2" ht="14.5" x14ac:dyDescent="0.35">
      <c r="A5455" s="8" t="s">
        <v>54894</v>
      </c>
      <c r="B5455" s="8" t="s">
        <v>57159</v>
      </c>
    </row>
    <row r="5456" spans="1:2" ht="14.5" x14ac:dyDescent="0.35">
      <c r="A5456" s="8" t="s">
        <v>54894</v>
      </c>
      <c r="B5456" s="8" t="s">
        <v>57159</v>
      </c>
    </row>
    <row r="5457" spans="1:2" ht="14.5" x14ac:dyDescent="0.35">
      <c r="A5457" s="8" t="s">
        <v>54894</v>
      </c>
      <c r="B5457" s="8" t="s">
        <v>57159</v>
      </c>
    </row>
    <row r="5458" spans="1:2" ht="14.5" x14ac:dyDescent="0.35">
      <c r="A5458" s="8" t="s">
        <v>54894</v>
      </c>
      <c r="B5458" s="8" t="s">
        <v>57159</v>
      </c>
    </row>
    <row r="5459" spans="1:2" ht="14.5" x14ac:dyDescent="0.35">
      <c r="A5459" s="8" t="s">
        <v>54894</v>
      </c>
      <c r="B5459" s="8" t="s">
        <v>57159</v>
      </c>
    </row>
    <row r="5460" spans="1:2" ht="14.5" x14ac:dyDescent="0.35">
      <c r="A5460" s="8" t="s">
        <v>54894</v>
      </c>
      <c r="B5460" s="8" t="s">
        <v>58011</v>
      </c>
    </row>
    <row r="5461" spans="1:2" ht="14.5" x14ac:dyDescent="0.35">
      <c r="A5461" s="8" t="s">
        <v>54894</v>
      </c>
      <c r="B5461" s="8" t="s">
        <v>58158</v>
      </c>
    </row>
    <row r="5462" spans="1:2" ht="14.5" x14ac:dyDescent="0.35">
      <c r="A5462" s="8" t="s">
        <v>54894</v>
      </c>
      <c r="B5462" s="8" t="s">
        <v>58012</v>
      </c>
    </row>
    <row r="5463" spans="1:2" ht="14.5" x14ac:dyDescent="0.35">
      <c r="A5463" s="8" t="s">
        <v>54894</v>
      </c>
      <c r="B5463" s="8" t="s">
        <v>58238</v>
      </c>
    </row>
    <row r="5464" spans="1:2" ht="14.5" x14ac:dyDescent="0.35">
      <c r="A5464" s="8" t="s">
        <v>54894</v>
      </c>
      <c r="B5464" s="8" t="s">
        <v>57943</v>
      </c>
    </row>
    <row r="5465" spans="1:2" ht="14.5" x14ac:dyDescent="0.35">
      <c r="A5465" s="8" t="s">
        <v>54894</v>
      </c>
      <c r="B5465" s="8" t="s">
        <v>57003</v>
      </c>
    </row>
    <row r="5466" spans="1:2" ht="14.5" x14ac:dyDescent="0.35">
      <c r="A5466" s="8" t="s">
        <v>54894</v>
      </c>
      <c r="B5466" s="8" t="s">
        <v>58239</v>
      </c>
    </row>
    <row r="5467" spans="1:2" ht="14.5" x14ac:dyDescent="0.35">
      <c r="A5467" s="8" t="s">
        <v>54894</v>
      </c>
      <c r="B5467" s="8" t="s">
        <v>57289</v>
      </c>
    </row>
    <row r="5468" spans="1:2" ht="14.5" x14ac:dyDescent="0.35">
      <c r="A5468" s="8" t="s">
        <v>54894</v>
      </c>
      <c r="B5468" s="8" t="s">
        <v>58391</v>
      </c>
    </row>
    <row r="5469" spans="1:2" ht="14.5" x14ac:dyDescent="0.35">
      <c r="A5469" s="8" t="s">
        <v>54894</v>
      </c>
      <c r="B5469" s="8" t="s">
        <v>57554</v>
      </c>
    </row>
    <row r="5470" spans="1:2" ht="14.5" x14ac:dyDescent="0.35">
      <c r="A5470" s="8" t="s">
        <v>54894</v>
      </c>
      <c r="B5470" s="8" t="s">
        <v>55159</v>
      </c>
    </row>
    <row r="5471" spans="1:2" ht="14.5" x14ac:dyDescent="0.35">
      <c r="A5471" s="8" t="s">
        <v>54894</v>
      </c>
      <c r="B5471" s="8" t="s">
        <v>57658</v>
      </c>
    </row>
    <row r="5472" spans="1:2" ht="14.5" x14ac:dyDescent="0.35">
      <c r="A5472" s="8" t="s">
        <v>54894</v>
      </c>
      <c r="B5472" s="8" t="s">
        <v>57177</v>
      </c>
    </row>
    <row r="5473" spans="1:2" ht="14.5" x14ac:dyDescent="0.35">
      <c r="A5473" s="8" t="s">
        <v>54894</v>
      </c>
      <c r="B5473" s="8" t="s">
        <v>57177</v>
      </c>
    </row>
    <row r="5474" spans="1:2" ht="14.5" x14ac:dyDescent="0.35">
      <c r="A5474" s="8" t="s">
        <v>54894</v>
      </c>
      <c r="B5474" s="8" t="s">
        <v>55590</v>
      </c>
    </row>
    <row r="5475" spans="1:2" ht="14.5" x14ac:dyDescent="0.35">
      <c r="A5475" s="8" t="s">
        <v>54894</v>
      </c>
      <c r="B5475" s="8" t="s">
        <v>55847</v>
      </c>
    </row>
    <row r="5476" spans="1:2" ht="14.5" x14ac:dyDescent="0.35">
      <c r="A5476" s="8" t="s">
        <v>54894</v>
      </c>
      <c r="B5476" s="8" t="s">
        <v>55106</v>
      </c>
    </row>
    <row r="5477" spans="1:2" ht="14.5" x14ac:dyDescent="0.35">
      <c r="A5477" s="8" t="s">
        <v>54894</v>
      </c>
      <c r="B5477" s="8" t="s">
        <v>58188</v>
      </c>
    </row>
    <row r="5478" spans="1:2" ht="14.5" x14ac:dyDescent="0.35">
      <c r="A5478" s="8" t="s">
        <v>54894</v>
      </c>
      <c r="B5478" s="8" t="s">
        <v>58240</v>
      </c>
    </row>
    <row r="5479" spans="1:2" ht="14.5" x14ac:dyDescent="0.35">
      <c r="A5479" s="8" t="s">
        <v>54894</v>
      </c>
      <c r="B5479" s="8" t="s">
        <v>56175</v>
      </c>
    </row>
    <row r="5480" spans="1:2" ht="14.5" x14ac:dyDescent="0.35">
      <c r="A5480" s="8" t="s">
        <v>54894</v>
      </c>
      <c r="B5480" s="8" t="s">
        <v>56124</v>
      </c>
    </row>
    <row r="5481" spans="1:2" ht="14.5" x14ac:dyDescent="0.35">
      <c r="A5481" s="8" t="s">
        <v>54894</v>
      </c>
      <c r="B5481" s="8" t="s">
        <v>55731</v>
      </c>
    </row>
    <row r="5482" spans="1:2" ht="14.5" x14ac:dyDescent="0.35">
      <c r="A5482" s="8" t="s">
        <v>54894</v>
      </c>
      <c r="B5482" s="8" t="s">
        <v>54996</v>
      </c>
    </row>
    <row r="5483" spans="1:2" ht="14.5" x14ac:dyDescent="0.35">
      <c r="A5483" s="8" t="s">
        <v>54894</v>
      </c>
      <c r="B5483" s="8" t="s">
        <v>54997</v>
      </c>
    </row>
    <row r="5484" spans="1:2" ht="14.5" x14ac:dyDescent="0.35">
      <c r="A5484" s="8" t="s">
        <v>54894</v>
      </c>
      <c r="B5484" s="8" t="s">
        <v>54998</v>
      </c>
    </row>
    <row r="5485" spans="1:2" ht="14.5" x14ac:dyDescent="0.35">
      <c r="A5485" s="8" t="s">
        <v>54894</v>
      </c>
      <c r="B5485" s="8" t="s">
        <v>58013</v>
      </c>
    </row>
    <row r="5486" spans="1:2" ht="14.5" x14ac:dyDescent="0.35">
      <c r="A5486" s="8" t="s">
        <v>54894</v>
      </c>
      <c r="B5486" s="8" t="s">
        <v>57873</v>
      </c>
    </row>
    <row r="5487" spans="1:2" ht="14.5" x14ac:dyDescent="0.35">
      <c r="A5487" s="8" t="s">
        <v>54894</v>
      </c>
      <c r="B5487" s="8" t="s">
        <v>57832</v>
      </c>
    </row>
    <row r="5488" spans="1:2" ht="14.5" x14ac:dyDescent="0.35">
      <c r="A5488" s="8" t="s">
        <v>54894</v>
      </c>
      <c r="B5488" s="8" t="s">
        <v>57659</v>
      </c>
    </row>
    <row r="5489" spans="1:2" ht="14.5" x14ac:dyDescent="0.35">
      <c r="A5489" s="8" t="s">
        <v>54894</v>
      </c>
      <c r="B5489" s="8" t="s">
        <v>57833</v>
      </c>
    </row>
    <row r="5490" spans="1:2" ht="14.5" x14ac:dyDescent="0.35">
      <c r="A5490" s="8" t="s">
        <v>54894</v>
      </c>
      <c r="B5490" s="8" t="s">
        <v>57834</v>
      </c>
    </row>
    <row r="5491" spans="1:2" ht="14.5" x14ac:dyDescent="0.35">
      <c r="A5491" s="8" t="s">
        <v>54894</v>
      </c>
      <c r="B5491" s="8" t="s">
        <v>56296</v>
      </c>
    </row>
    <row r="5492" spans="1:2" ht="14.5" x14ac:dyDescent="0.35">
      <c r="A5492" s="8" t="s">
        <v>54894</v>
      </c>
      <c r="B5492" s="8" t="s">
        <v>57236</v>
      </c>
    </row>
    <row r="5493" spans="1:2" ht="14.5" x14ac:dyDescent="0.35">
      <c r="A5493" s="8" t="s">
        <v>54894</v>
      </c>
      <c r="B5493" s="8" t="s">
        <v>57925</v>
      </c>
    </row>
    <row r="5494" spans="1:2" ht="14.5" x14ac:dyDescent="0.35">
      <c r="A5494" s="8" t="s">
        <v>54894</v>
      </c>
      <c r="B5494" s="8" t="s">
        <v>56679</v>
      </c>
    </row>
    <row r="5495" spans="1:2" ht="14.5" x14ac:dyDescent="0.35">
      <c r="A5495" s="8" t="s">
        <v>54894</v>
      </c>
      <c r="B5495" s="8" t="s">
        <v>56125</v>
      </c>
    </row>
    <row r="5496" spans="1:2" ht="14.5" x14ac:dyDescent="0.35">
      <c r="A5496" s="8" t="s">
        <v>54894</v>
      </c>
      <c r="B5496" s="8" t="s">
        <v>54959</v>
      </c>
    </row>
    <row r="5497" spans="1:2" ht="14.5" x14ac:dyDescent="0.35">
      <c r="A5497" s="8" t="s">
        <v>54894</v>
      </c>
      <c r="B5497" s="8" t="s">
        <v>58149</v>
      </c>
    </row>
    <row r="5498" spans="1:2" ht="14.5" x14ac:dyDescent="0.35">
      <c r="A5498" s="8" t="s">
        <v>54894</v>
      </c>
      <c r="B5498" s="8" t="s">
        <v>54960</v>
      </c>
    </row>
    <row r="5499" spans="1:2" ht="14.5" x14ac:dyDescent="0.35">
      <c r="A5499" s="8" t="s">
        <v>54894</v>
      </c>
      <c r="B5499" s="8" t="s">
        <v>54961</v>
      </c>
    </row>
    <row r="5500" spans="1:2" ht="14.5" x14ac:dyDescent="0.35">
      <c r="A5500" s="8" t="s">
        <v>54894</v>
      </c>
      <c r="B5500" s="8" t="s">
        <v>54962</v>
      </c>
    </row>
    <row r="5501" spans="1:2" ht="14.5" x14ac:dyDescent="0.35">
      <c r="A5501" s="8" t="s">
        <v>54894</v>
      </c>
      <c r="B5501" s="8" t="s">
        <v>54963</v>
      </c>
    </row>
    <row r="5502" spans="1:2" ht="14.5" x14ac:dyDescent="0.35">
      <c r="A5502" s="8" t="s">
        <v>54894</v>
      </c>
      <c r="B5502" s="8" t="s">
        <v>54964</v>
      </c>
    </row>
    <row r="5503" spans="1:2" ht="14.5" x14ac:dyDescent="0.35">
      <c r="A5503" s="8" t="s">
        <v>54894</v>
      </c>
      <c r="B5503" s="8" t="s">
        <v>57775</v>
      </c>
    </row>
    <row r="5504" spans="1:2" ht="14.5" x14ac:dyDescent="0.35">
      <c r="A5504" s="8" t="s">
        <v>54894</v>
      </c>
      <c r="B5504" s="8" t="s">
        <v>55611</v>
      </c>
    </row>
    <row r="5505" spans="1:2" ht="14.5" x14ac:dyDescent="0.35">
      <c r="A5505" s="8" t="s">
        <v>54894</v>
      </c>
      <c r="B5505" s="8" t="s">
        <v>55290</v>
      </c>
    </row>
    <row r="5506" spans="1:2" ht="14.5" x14ac:dyDescent="0.35">
      <c r="A5506" s="8" t="s">
        <v>54894</v>
      </c>
      <c r="B5506" s="8" t="s">
        <v>57677</v>
      </c>
    </row>
    <row r="5507" spans="1:2" ht="14.5" x14ac:dyDescent="0.35">
      <c r="A5507" s="8" t="s">
        <v>54894</v>
      </c>
      <c r="B5507" s="8" t="s">
        <v>57040</v>
      </c>
    </row>
    <row r="5508" spans="1:2" ht="14.5" x14ac:dyDescent="0.35">
      <c r="A5508" s="8" t="s">
        <v>54894</v>
      </c>
      <c r="B5508" s="8" t="s">
        <v>55906</v>
      </c>
    </row>
    <row r="5509" spans="1:2" ht="14.5" x14ac:dyDescent="0.35">
      <c r="A5509" s="8" t="s">
        <v>54894</v>
      </c>
      <c r="B5509" s="8" t="s">
        <v>55579</v>
      </c>
    </row>
    <row r="5510" spans="1:2" ht="14.5" x14ac:dyDescent="0.35">
      <c r="A5510" s="8" t="s">
        <v>54894</v>
      </c>
      <c r="B5510" s="8" t="s">
        <v>55163</v>
      </c>
    </row>
    <row r="5511" spans="1:2" ht="14.5" x14ac:dyDescent="0.35">
      <c r="A5511" s="8" t="s">
        <v>54894</v>
      </c>
      <c r="B5511" s="8" t="s">
        <v>57051</v>
      </c>
    </row>
    <row r="5512" spans="1:2" ht="14.5" x14ac:dyDescent="0.35">
      <c r="A5512" s="8" t="s">
        <v>54894</v>
      </c>
      <c r="B5512" s="8" t="s">
        <v>55234</v>
      </c>
    </row>
    <row r="5513" spans="1:2" ht="14.5" x14ac:dyDescent="0.35">
      <c r="A5513" s="8" t="s">
        <v>54894</v>
      </c>
      <c r="B5513" s="8" t="s">
        <v>56242</v>
      </c>
    </row>
    <row r="5514" spans="1:2" ht="14.5" x14ac:dyDescent="0.35">
      <c r="A5514" s="8" t="s">
        <v>54894</v>
      </c>
      <c r="B5514" s="8" t="s">
        <v>58466</v>
      </c>
    </row>
    <row r="5515" spans="1:2" ht="14.5" x14ac:dyDescent="0.35">
      <c r="A5515" s="8" t="s">
        <v>54894</v>
      </c>
      <c r="B5515" s="8" t="s">
        <v>56676</v>
      </c>
    </row>
    <row r="5516" spans="1:2" ht="14.5" x14ac:dyDescent="0.35">
      <c r="A5516" s="8" t="s">
        <v>54894</v>
      </c>
      <c r="B5516" s="8" t="s">
        <v>56677</v>
      </c>
    </row>
    <row r="5517" spans="1:2" ht="14.5" x14ac:dyDescent="0.35">
      <c r="A5517" s="8" t="s">
        <v>54894</v>
      </c>
      <c r="B5517" s="8" t="s">
        <v>58150</v>
      </c>
    </row>
    <row r="5518" spans="1:2" ht="14.5" x14ac:dyDescent="0.35">
      <c r="A5518" s="8" t="s">
        <v>54894</v>
      </c>
      <c r="B5518" s="8" t="s">
        <v>58308</v>
      </c>
    </row>
    <row r="5519" spans="1:2" ht="14.5" x14ac:dyDescent="0.35">
      <c r="A5519" s="8" t="s">
        <v>54894</v>
      </c>
      <c r="B5519" s="8" t="s">
        <v>55591</v>
      </c>
    </row>
    <row r="5520" spans="1:2" ht="14.5" x14ac:dyDescent="0.35">
      <c r="A5520" s="8" t="s">
        <v>54894</v>
      </c>
      <c r="B5520" s="8" t="s">
        <v>57182</v>
      </c>
    </row>
    <row r="5521" spans="1:2" ht="14.5" x14ac:dyDescent="0.35">
      <c r="A5521" s="8" t="s">
        <v>54894</v>
      </c>
      <c r="B5521" s="8" t="s">
        <v>55248</v>
      </c>
    </row>
    <row r="5522" spans="1:2" ht="14.5" x14ac:dyDescent="0.35">
      <c r="A5522" s="8" t="s">
        <v>54894</v>
      </c>
      <c r="B5522" s="8" t="s">
        <v>55188</v>
      </c>
    </row>
    <row r="5523" spans="1:2" ht="14.5" x14ac:dyDescent="0.35">
      <c r="A5523" s="8" t="s">
        <v>54894</v>
      </c>
      <c r="B5523" s="8" t="s">
        <v>58309</v>
      </c>
    </row>
    <row r="5524" spans="1:2" ht="14.5" x14ac:dyDescent="0.35">
      <c r="A5524" s="8" t="s">
        <v>54894</v>
      </c>
      <c r="B5524" s="8" t="s">
        <v>58310</v>
      </c>
    </row>
    <row r="5525" spans="1:2" ht="14.5" x14ac:dyDescent="0.35">
      <c r="A5525" s="8" t="s">
        <v>54894</v>
      </c>
      <c r="B5525" s="8" t="s">
        <v>54988</v>
      </c>
    </row>
    <row r="5526" spans="1:2" ht="14.5" x14ac:dyDescent="0.35">
      <c r="A5526" s="8" t="s">
        <v>54894</v>
      </c>
      <c r="B5526" s="8" t="s">
        <v>58241</v>
      </c>
    </row>
    <row r="5527" spans="1:2" ht="14.5" x14ac:dyDescent="0.35">
      <c r="A5527" s="8" t="s">
        <v>54894</v>
      </c>
      <c r="B5527" s="8" t="s">
        <v>58242</v>
      </c>
    </row>
    <row r="5528" spans="1:2" ht="14.5" x14ac:dyDescent="0.35">
      <c r="A5528" s="8" t="s">
        <v>54894</v>
      </c>
      <c r="B5528" s="8" t="s">
        <v>58243</v>
      </c>
    </row>
    <row r="5529" spans="1:2" ht="14.5" x14ac:dyDescent="0.35">
      <c r="A5529" s="8" t="s">
        <v>54894</v>
      </c>
      <c r="B5529" s="8" t="s">
        <v>57806</v>
      </c>
    </row>
    <row r="5530" spans="1:2" ht="14.5" x14ac:dyDescent="0.35">
      <c r="A5530" s="8" t="s">
        <v>54894</v>
      </c>
      <c r="B5530" s="8" t="s">
        <v>56665</v>
      </c>
    </row>
    <row r="5531" spans="1:2" ht="14.5" x14ac:dyDescent="0.35">
      <c r="A5531" s="8" t="s">
        <v>54894</v>
      </c>
      <c r="B5531" s="8" t="s">
        <v>56318</v>
      </c>
    </row>
    <row r="5532" spans="1:2" ht="14.5" x14ac:dyDescent="0.35">
      <c r="A5532" s="8" t="s">
        <v>54894</v>
      </c>
      <c r="B5532" s="8" t="s">
        <v>56407</v>
      </c>
    </row>
    <row r="5533" spans="1:2" ht="14.5" x14ac:dyDescent="0.35">
      <c r="A5533" s="8" t="s">
        <v>54894</v>
      </c>
      <c r="B5533" s="8" t="s">
        <v>57031</v>
      </c>
    </row>
    <row r="5534" spans="1:2" ht="14.5" x14ac:dyDescent="0.35">
      <c r="A5534" s="8" t="s">
        <v>54894</v>
      </c>
      <c r="B5534" s="8" t="s">
        <v>55600</v>
      </c>
    </row>
    <row r="5535" spans="1:2" ht="14.5" x14ac:dyDescent="0.35">
      <c r="A5535" s="8" t="s">
        <v>54894</v>
      </c>
      <c r="B5535" s="8" t="s">
        <v>56255</v>
      </c>
    </row>
    <row r="5536" spans="1:2" ht="14.5" x14ac:dyDescent="0.35">
      <c r="A5536" s="8" t="s">
        <v>54894</v>
      </c>
      <c r="B5536" s="8" t="s">
        <v>57660</v>
      </c>
    </row>
    <row r="5537" spans="1:2" ht="14.5" x14ac:dyDescent="0.35">
      <c r="A5537" s="8" t="s">
        <v>54894</v>
      </c>
      <c r="B5537" s="8" t="s">
        <v>57661</v>
      </c>
    </row>
    <row r="5538" spans="1:2" ht="14.5" x14ac:dyDescent="0.35">
      <c r="A5538" s="8" t="s">
        <v>54894</v>
      </c>
      <c r="B5538" s="8" t="s">
        <v>58151</v>
      </c>
    </row>
    <row r="5539" spans="1:2" ht="14.5" x14ac:dyDescent="0.35">
      <c r="A5539" s="8" t="s">
        <v>54894</v>
      </c>
      <c r="B5539" s="8" t="s">
        <v>57662</v>
      </c>
    </row>
    <row r="5540" spans="1:2" ht="14.5" x14ac:dyDescent="0.35">
      <c r="A5540" s="8" t="s">
        <v>54894</v>
      </c>
      <c r="B5540" s="8" t="s">
        <v>55250</v>
      </c>
    </row>
    <row r="5541" spans="1:2" ht="14.5" x14ac:dyDescent="0.35">
      <c r="A5541" s="8" t="s">
        <v>54894</v>
      </c>
      <c r="B5541" s="8" t="s">
        <v>57687</v>
      </c>
    </row>
    <row r="5542" spans="1:2" ht="14.5" x14ac:dyDescent="0.35">
      <c r="A5542" s="8" t="s">
        <v>54894</v>
      </c>
      <c r="B5542" s="8" t="s">
        <v>56126</v>
      </c>
    </row>
    <row r="5543" spans="1:2" ht="14.5" x14ac:dyDescent="0.35">
      <c r="A5543" s="8" t="s">
        <v>54894</v>
      </c>
      <c r="B5543" s="8" t="s">
        <v>57663</v>
      </c>
    </row>
    <row r="5544" spans="1:2" ht="14.5" x14ac:dyDescent="0.35">
      <c r="A5544" s="8" t="s">
        <v>54894</v>
      </c>
      <c r="B5544" s="8" t="s">
        <v>55932</v>
      </c>
    </row>
    <row r="5545" spans="1:2" ht="14.5" x14ac:dyDescent="0.35">
      <c r="A5545" s="8" t="s">
        <v>54894</v>
      </c>
      <c r="B5545" s="8" t="s">
        <v>55996</v>
      </c>
    </row>
    <row r="5546" spans="1:2" ht="14.5" x14ac:dyDescent="0.35">
      <c r="A5546" s="8" t="s">
        <v>54894</v>
      </c>
      <c r="B5546" s="8" t="s">
        <v>55869</v>
      </c>
    </row>
    <row r="5547" spans="1:2" ht="14.5" x14ac:dyDescent="0.35">
      <c r="A5547" s="8" t="s">
        <v>54894</v>
      </c>
      <c r="B5547" s="8" t="s">
        <v>56565</v>
      </c>
    </row>
    <row r="5548" spans="1:2" ht="14.5" x14ac:dyDescent="0.35">
      <c r="A5548" s="8" t="s">
        <v>54894</v>
      </c>
      <c r="B5548" s="8" t="s">
        <v>56548</v>
      </c>
    </row>
    <row r="5549" spans="1:2" ht="14.5" x14ac:dyDescent="0.35">
      <c r="A5549" s="8" t="s">
        <v>54894</v>
      </c>
      <c r="B5549" s="8" t="s">
        <v>57282</v>
      </c>
    </row>
    <row r="5550" spans="1:2" ht="14.5" x14ac:dyDescent="0.35">
      <c r="A5550" s="8" t="s">
        <v>54894</v>
      </c>
      <c r="B5550" s="8" t="s">
        <v>55985</v>
      </c>
    </row>
    <row r="5551" spans="1:2" ht="14.5" x14ac:dyDescent="0.35">
      <c r="A5551" s="8" t="s">
        <v>54894</v>
      </c>
      <c r="B5551" s="8" t="s">
        <v>56276</v>
      </c>
    </row>
    <row r="5552" spans="1:2" ht="14.5" x14ac:dyDescent="0.35">
      <c r="A5552" s="8" t="s">
        <v>54894</v>
      </c>
      <c r="B5552" s="8" t="s">
        <v>58281</v>
      </c>
    </row>
    <row r="5553" spans="1:2" ht="14.5" x14ac:dyDescent="0.35">
      <c r="A5553" s="8" t="s">
        <v>54894</v>
      </c>
      <c r="B5553" s="8" t="s">
        <v>58152</v>
      </c>
    </row>
    <row r="5554" spans="1:2" ht="14.5" x14ac:dyDescent="0.35">
      <c r="A5554" s="8" t="s">
        <v>54894</v>
      </c>
      <c r="B5554" s="8" t="s">
        <v>55498</v>
      </c>
    </row>
    <row r="5555" spans="1:2" ht="14.5" x14ac:dyDescent="0.35">
      <c r="A5555" s="8" t="s">
        <v>54894</v>
      </c>
      <c r="B5555" s="8" t="s">
        <v>56662</v>
      </c>
    </row>
    <row r="5556" spans="1:2" ht="14.5" x14ac:dyDescent="0.35">
      <c r="A5556" s="8" t="s">
        <v>54894</v>
      </c>
      <c r="B5556" s="8" t="s">
        <v>56430</v>
      </c>
    </row>
    <row r="5557" spans="1:2" ht="14.5" x14ac:dyDescent="0.35">
      <c r="A5557" s="8" t="s">
        <v>54894</v>
      </c>
      <c r="B5557" s="8" t="s">
        <v>56351</v>
      </c>
    </row>
    <row r="5558" spans="1:2" ht="14.5" x14ac:dyDescent="0.35">
      <c r="A5558" s="8" t="s">
        <v>54894</v>
      </c>
      <c r="B5558" s="8" t="s">
        <v>56707</v>
      </c>
    </row>
    <row r="5559" spans="1:2" ht="14.5" x14ac:dyDescent="0.35">
      <c r="A5559" s="8" t="s">
        <v>54894</v>
      </c>
      <c r="B5559" s="8" t="s">
        <v>58430</v>
      </c>
    </row>
    <row r="5560" spans="1:2" ht="14.5" x14ac:dyDescent="0.35">
      <c r="A5560" s="8" t="s">
        <v>54894</v>
      </c>
      <c r="B5560" s="8" t="s">
        <v>55870</v>
      </c>
    </row>
    <row r="5561" spans="1:2" ht="14.5" x14ac:dyDescent="0.35">
      <c r="A5561" s="8" t="s">
        <v>54894</v>
      </c>
      <c r="B5561" s="8" t="s">
        <v>55871</v>
      </c>
    </row>
    <row r="5562" spans="1:2" ht="14.5" x14ac:dyDescent="0.35">
      <c r="A5562" s="8" t="s">
        <v>54894</v>
      </c>
      <c r="B5562" s="8" t="s">
        <v>57862</v>
      </c>
    </row>
    <row r="5563" spans="1:2" ht="14.5" x14ac:dyDescent="0.35">
      <c r="A5563" s="8" t="s">
        <v>54894</v>
      </c>
      <c r="B5563" s="8" t="s">
        <v>57863</v>
      </c>
    </row>
    <row r="5564" spans="1:2" ht="14.5" x14ac:dyDescent="0.35">
      <c r="A5564" s="8" t="s">
        <v>54894</v>
      </c>
      <c r="B5564" s="8" t="s">
        <v>58189</v>
      </c>
    </row>
    <row r="5565" spans="1:2" ht="14.5" x14ac:dyDescent="0.35">
      <c r="A5565" s="8" t="s">
        <v>54894</v>
      </c>
      <c r="B5565" s="8" t="s">
        <v>58014</v>
      </c>
    </row>
    <row r="5566" spans="1:2" ht="14.5" x14ac:dyDescent="0.35">
      <c r="A5566" s="8" t="s">
        <v>54894</v>
      </c>
      <c r="B5566" s="8" t="s">
        <v>56566</v>
      </c>
    </row>
    <row r="5567" spans="1:2" ht="14.5" x14ac:dyDescent="0.35">
      <c r="A5567" s="8" t="s">
        <v>54894</v>
      </c>
      <c r="B5567" s="8" t="s">
        <v>55205</v>
      </c>
    </row>
    <row r="5568" spans="1:2" ht="14.5" x14ac:dyDescent="0.35">
      <c r="A5568" s="8" t="s">
        <v>54894</v>
      </c>
      <c r="B5568" s="8" t="s">
        <v>56127</v>
      </c>
    </row>
    <row r="5569" spans="1:2" ht="14.5" x14ac:dyDescent="0.35">
      <c r="A5569" s="8" t="s">
        <v>54894</v>
      </c>
      <c r="B5569" s="8" t="s">
        <v>55670</v>
      </c>
    </row>
    <row r="5570" spans="1:2" ht="14.5" x14ac:dyDescent="0.35">
      <c r="A5570" s="8" t="s">
        <v>54894</v>
      </c>
      <c r="B5570" s="8" t="s">
        <v>56958</v>
      </c>
    </row>
    <row r="5571" spans="1:2" ht="14.5" x14ac:dyDescent="0.35">
      <c r="A5571" s="8" t="s">
        <v>54894</v>
      </c>
      <c r="B5571" s="8" t="s">
        <v>56959</v>
      </c>
    </row>
    <row r="5572" spans="1:2" ht="14.5" x14ac:dyDescent="0.35">
      <c r="A5572" s="8" t="s">
        <v>54894</v>
      </c>
      <c r="B5572" s="8" t="s">
        <v>55135</v>
      </c>
    </row>
    <row r="5573" spans="1:2" ht="14.5" x14ac:dyDescent="0.35">
      <c r="A5573" s="8" t="s">
        <v>54894</v>
      </c>
      <c r="B5573" s="8" t="s">
        <v>55357</v>
      </c>
    </row>
    <row r="5574" spans="1:2" ht="14.5" x14ac:dyDescent="0.35">
      <c r="A5574" s="8" t="s">
        <v>54894</v>
      </c>
      <c r="B5574" s="8" t="s">
        <v>55124</v>
      </c>
    </row>
    <row r="5575" spans="1:2" ht="14.5" x14ac:dyDescent="0.35">
      <c r="A5575" s="8" t="s">
        <v>54894</v>
      </c>
      <c r="B5575" s="8" t="s">
        <v>55206</v>
      </c>
    </row>
    <row r="5576" spans="1:2" ht="14.5" x14ac:dyDescent="0.35">
      <c r="A5576" s="8" t="s">
        <v>54894</v>
      </c>
      <c r="B5576" s="8" t="s">
        <v>55953</v>
      </c>
    </row>
    <row r="5577" spans="1:2" ht="14.5" x14ac:dyDescent="0.35">
      <c r="A5577" s="8" t="s">
        <v>54894</v>
      </c>
      <c r="B5577" s="8" t="s">
        <v>57283</v>
      </c>
    </row>
    <row r="5578" spans="1:2" ht="14.5" x14ac:dyDescent="0.35">
      <c r="A5578" s="8" t="s">
        <v>54894</v>
      </c>
      <c r="B5578" s="8" t="s">
        <v>55125</v>
      </c>
    </row>
    <row r="5579" spans="1:2" ht="14.5" x14ac:dyDescent="0.35">
      <c r="A5579" s="8" t="s">
        <v>54894</v>
      </c>
      <c r="B5579" s="8" t="s">
        <v>55125</v>
      </c>
    </row>
    <row r="5580" spans="1:2" ht="14.5" x14ac:dyDescent="0.35">
      <c r="A5580" s="8" t="s">
        <v>54894</v>
      </c>
      <c r="B5580" s="8" t="s">
        <v>55126</v>
      </c>
    </row>
    <row r="5581" spans="1:2" ht="14.5" x14ac:dyDescent="0.35">
      <c r="A5581" s="8" t="s">
        <v>54894</v>
      </c>
      <c r="B5581" s="8" t="s">
        <v>55127</v>
      </c>
    </row>
    <row r="5582" spans="1:2" ht="14.5" x14ac:dyDescent="0.35">
      <c r="A5582" s="8" t="s">
        <v>54894</v>
      </c>
      <c r="B5582" s="8" t="s">
        <v>57725</v>
      </c>
    </row>
    <row r="5583" spans="1:2" ht="14.5" x14ac:dyDescent="0.35">
      <c r="A5583" s="8" t="s">
        <v>54894</v>
      </c>
      <c r="B5583" s="8" t="s">
        <v>58015</v>
      </c>
    </row>
    <row r="5584" spans="1:2" ht="14.5" x14ac:dyDescent="0.35">
      <c r="A5584" s="8" t="s">
        <v>54894</v>
      </c>
      <c r="B5584" s="8" t="s">
        <v>58262</v>
      </c>
    </row>
    <row r="5585" spans="1:2" ht="14.5" x14ac:dyDescent="0.35">
      <c r="A5585" s="8" t="s">
        <v>54894</v>
      </c>
      <c r="B5585" s="8" t="s">
        <v>56002</v>
      </c>
    </row>
    <row r="5586" spans="1:2" ht="14.5" x14ac:dyDescent="0.35">
      <c r="A5586" s="8" t="s">
        <v>54894</v>
      </c>
      <c r="B5586" s="8" t="s">
        <v>55128</v>
      </c>
    </row>
    <row r="5587" spans="1:2" ht="14.5" x14ac:dyDescent="0.35">
      <c r="A5587" s="8" t="s">
        <v>54894</v>
      </c>
      <c r="B5587" s="8" t="s">
        <v>55129</v>
      </c>
    </row>
    <row r="5588" spans="1:2" ht="14.5" x14ac:dyDescent="0.35">
      <c r="A5588" s="8" t="s">
        <v>54894</v>
      </c>
      <c r="B5588" s="8" t="s">
        <v>55130</v>
      </c>
    </row>
    <row r="5589" spans="1:2" ht="14.5" x14ac:dyDescent="0.35">
      <c r="A5589" s="8" t="s">
        <v>54894</v>
      </c>
      <c r="B5589" s="8" t="s">
        <v>55438</v>
      </c>
    </row>
    <row r="5590" spans="1:2" ht="14.5" x14ac:dyDescent="0.35">
      <c r="A5590" s="8" t="s">
        <v>54894</v>
      </c>
      <c r="B5590" s="8" t="s">
        <v>55358</v>
      </c>
    </row>
    <row r="5591" spans="1:2" ht="14.5" x14ac:dyDescent="0.35">
      <c r="A5591" s="8" t="s">
        <v>54894</v>
      </c>
      <c r="B5591" s="8" t="s">
        <v>55359</v>
      </c>
    </row>
    <row r="5592" spans="1:2" ht="14.5" x14ac:dyDescent="0.35">
      <c r="A5592" s="8" t="s">
        <v>54894</v>
      </c>
      <c r="B5592" s="8" t="s">
        <v>55360</v>
      </c>
    </row>
    <row r="5593" spans="1:2" ht="14.5" x14ac:dyDescent="0.35">
      <c r="A5593" s="8" t="s">
        <v>54894</v>
      </c>
      <c r="B5593" s="8" t="s">
        <v>55415</v>
      </c>
    </row>
    <row r="5594" spans="1:2" ht="14.5" x14ac:dyDescent="0.35">
      <c r="A5594" s="8" t="s">
        <v>54894</v>
      </c>
      <c r="B5594" s="8" t="s">
        <v>55415</v>
      </c>
    </row>
    <row r="5595" spans="1:2" ht="14.5" x14ac:dyDescent="0.35">
      <c r="A5595" s="8" t="s">
        <v>54894</v>
      </c>
      <c r="B5595" s="8" t="s">
        <v>55422</v>
      </c>
    </row>
    <row r="5596" spans="1:2" ht="14.5" x14ac:dyDescent="0.35">
      <c r="A5596" s="8" t="s">
        <v>54894</v>
      </c>
      <c r="B5596" s="8" t="s">
        <v>55416</v>
      </c>
    </row>
    <row r="5597" spans="1:2" ht="14.5" x14ac:dyDescent="0.35">
      <c r="A5597" s="8" t="s">
        <v>54894</v>
      </c>
      <c r="B5597" s="8" t="s">
        <v>55423</v>
      </c>
    </row>
    <row r="5598" spans="1:2" ht="14.5" x14ac:dyDescent="0.35">
      <c r="A5598" s="8" t="s">
        <v>54894</v>
      </c>
      <c r="B5598" s="8" t="s">
        <v>58153</v>
      </c>
    </row>
    <row r="5599" spans="1:2" ht="14.5" x14ac:dyDescent="0.35">
      <c r="A5599" s="8" t="s">
        <v>54894</v>
      </c>
      <c r="B5599" s="8" t="s">
        <v>56501</v>
      </c>
    </row>
    <row r="5600" spans="1:2" ht="14.5" x14ac:dyDescent="0.35">
      <c r="A5600" s="8" t="s">
        <v>54894</v>
      </c>
      <c r="B5600" s="8" t="s">
        <v>55879</v>
      </c>
    </row>
    <row r="5601" spans="1:2" ht="14.5" x14ac:dyDescent="0.35">
      <c r="A5601" s="8" t="s">
        <v>54894</v>
      </c>
      <c r="B5601" s="8" t="s">
        <v>58016</v>
      </c>
    </row>
    <row r="5602" spans="1:2" ht="14.5" x14ac:dyDescent="0.35">
      <c r="A5602" s="8" t="s">
        <v>54894</v>
      </c>
      <c r="B5602" s="8" t="s">
        <v>56446</v>
      </c>
    </row>
    <row r="5603" spans="1:2" ht="14.5" x14ac:dyDescent="0.35">
      <c r="A5603" s="8" t="s">
        <v>54894</v>
      </c>
      <c r="B5603" s="8" t="s">
        <v>56483</v>
      </c>
    </row>
    <row r="5604" spans="1:2" ht="14.5" x14ac:dyDescent="0.35">
      <c r="A5604" s="8" t="s">
        <v>54894</v>
      </c>
      <c r="B5604" s="8" t="s">
        <v>56484</v>
      </c>
    </row>
    <row r="5605" spans="1:2" ht="14.5" x14ac:dyDescent="0.35">
      <c r="A5605" s="8" t="s">
        <v>54894</v>
      </c>
      <c r="B5605" s="8" t="s">
        <v>57500</v>
      </c>
    </row>
    <row r="5606" spans="1:2" ht="14.5" x14ac:dyDescent="0.35">
      <c r="A5606" s="8" t="s">
        <v>54894</v>
      </c>
      <c r="B5606" s="8" t="s">
        <v>56176</v>
      </c>
    </row>
    <row r="5607" spans="1:2" ht="14.5" x14ac:dyDescent="0.35">
      <c r="A5607" s="8" t="s">
        <v>54894</v>
      </c>
      <c r="B5607" s="8" t="s">
        <v>57359</v>
      </c>
    </row>
    <row r="5608" spans="1:2" ht="14.5" x14ac:dyDescent="0.35">
      <c r="A5608" s="8" t="s">
        <v>54894</v>
      </c>
      <c r="B5608" s="8" t="s">
        <v>55916</v>
      </c>
    </row>
    <row r="5609" spans="1:2" ht="14.5" x14ac:dyDescent="0.35">
      <c r="A5609" s="8" t="s">
        <v>54894</v>
      </c>
      <c r="B5609" s="8" t="s">
        <v>55917</v>
      </c>
    </row>
    <row r="5610" spans="1:2" ht="14.5" x14ac:dyDescent="0.35">
      <c r="A5610" s="8" t="s">
        <v>54894</v>
      </c>
      <c r="B5610" s="8" t="s">
        <v>56447</v>
      </c>
    </row>
    <row r="5611" spans="1:2" ht="14.5" x14ac:dyDescent="0.35">
      <c r="A5611" s="8" t="s">
        <v>54894</v>
      </c>
      <c r="B5611" s="8" t="s">
        <v>57502</v>
      </c>
    </row>
    <row r="5612" spans="1:2" ht="14.5" x14ac:dyDescent="0.35">
      <c r="A5612" s="8" t="s">
        <v>54894</v>
      </c>
      <c r="B5612" s="8" t="s">
        <v>55536</v>
      </c>
    </row>
    <row r="5613" spans="1:2" ht="14.5" x14ac:dyDescent="0.35">
      <c r="A5613" s="8" t="s">
        <v>54894</v>
      </c>
      <c r="B5613" s="8" t="s">
        <v>56380</v>
      </c>
    </row>
    <row r="5614" spans="1:2" ht="14.5" x14ac:dyDescent="0.35">
      <c r="A5614" s="8" t="s">
        <v>54894</v>
      </c>
      <c r="B5614" s="8" t="s">
        <v>56381</v>
      </c>
    </row>
    <row r="5615" spans="1:2" ht="14.5" x14ac:dyDescent="0.35">
      <c r="A5615" s="8" t="s">
        <v>54894</v>
      </c>
      <c r="B5615" s="8" t="s">
        <v>56960</v>
      </c>
    </row>
    <row r="5616" spans="1:2" ht="14.5" x14ac:dyDescent="0.35">
      <c r="A5616" s="8" t="s">
        <v>54894</v>
      </c>
      <c r="B5616" s="8" t="s">
        <v>57923</v>
      </c>
    </row>
    <row r="5617" spans="1:2" ht="14.5" x14ac:dyDescent="0.35">
      <c r="A5617" s="8" t="s">
        <v>54894</v>
      </c>
      <c r="B5617" s="8" t="s">
        <v>57723</v>
      </c>
    </row>
    <row r="5618" spans="1:2" ht="14.5" x14ac:dyDescent="0.35">
      <c r="A5618" s="8" t="s">
        <v>54894</v>
      </c>
      <c r="B5618" s="8" t="s">
        <v>58426</v>
      </c>
    </row>
    <row r="5619" spans="1:2" ht="14.5" x14ac:dyDescent="0.35">
      <c r="A5619" s="8" t="s">
        <v>54894</v>
      </c>
      <c r="B5619" s="8" t="s">
        <v>56168</v>
      </c>
    </row>
    <row r="5620" spans="1:2" ht="14.5" x14ac:dyDescent="0.35">
      <c r="A5620" s="8" t="s">
        <v>54894</v>
      </c>
      <c r="B5620" s="8" t="s">
        <v>55601</v>
      </c>
    </row>
    <row r="5621" spans="1:2" ht="14.5" x14ac:dyDescent="0.35">
      <c r="A5621" s="8" t="s">
        <v>54894</v>
      </c>
      <c r="B5621" s="8" t="s">
        <v>55013</v>
      </c>
    </row>
    <row r="5622" spans="1:2" ht="14.5" x14ac:dyDescent="0.35">
      <c r="A5622" s="8" t="s">
        <v>54894</v>
      </c>
      <c r="B5622" s="8" t="s">
        <v>55014</v>
      </c>
    </row>
    <row r="5623" spans="1:2" ht="14.5" x14ac:dyDescent="0.35">
      <c r="A5623" s="8" t="s">
        <v>54894</v>
      </c>
      <c r="B5623" s="8" t="s">
        <v>58467</v>
      </c>
    </row>
    <row r="5624" spans="1:2" ht="14.5" x14ac:dyDescent="0.35">
      <c r="A5624" s="8" t="s">
        <v>54894</v>
      </c>
      <c r="B5624" s="8" t="s">
        <v>55739</v>
      </c>
    </row>
    <row r="5625" spans="1:2" ht="14.5" x14ac:dyDescent="0.35">
      <c r="A5625" s="8" t="s">
        <v>54894</v>
      </c>
      <c r="B5625" s="8" t="s">
        <v>56369</v>
      </c>
    </row>
    <row r="5626" spans="1:2" ht="14.5" x14ac:dyDescent="0.35">
      <c r="A5626" s="8" t="s">
        <v>54894</v>
      </c>
      <c r="B5626" s="8" t="s">
        <v>56585</v>
      </c>
    </row>
    <row r="5627" spans="1:2" ht="14.5" x14ac:dyDescent="0.35">
      <c r="A5627" s="8" t="s">
        <v>54894</v>
      </c>
      <c r="B5627" s="8" t="s">
        <v>58033</v>
      </c>
    </row>
    <row r="5628" spans="1:2" ht="14.5" x14ac:dyDescent="0.35">
      <c r="A5628" s="8" t="s">
        <v>54894</v>
      </c>
      <c r="B5628" s="8" t="s">
        <v>57683</v>
      </c>
    </row>
    <row r="5629" spans="1:2" ht="14.5" x14ac:dyDescent="0.35">
      <c r="A5629" s="8" t="s">
        <v>54894</v>
      </c>
      <c r="B5629" s="8" t="s">
        <v>58364</v>
      </c>
    </row>
    <row r="5630" spans="1:2" ht="14.5" x14ac:dyDescent="0.35">
      <c r="A5630" s="8" t="s">
        <v>54894</v>
      </c>
      <c r="B5630" s="8" t="s">
        <v>58365</v>
      </c>
    </row>
    <row r="5631" spans="1:2" ht="14.5" x14ac:dyDescent="0.35">
      <c r="A5631" s="8" t="s">
        <v>54894</v>
      </c>
      <c r="B5631" s="8" t="s">
        <v>58376</v>
      </c>
    </row>
    <row r="5632" spans="1:2" ht="14.5" x14ac:dyDescent="0.35">
      <c r="A5632" s="8" t="s">
        <v>54894</v>
      </c>
      <c r="B5632" s="8" t="s">
        <v>58366</v>
      </c>
    </row>
    <row r="5633" spans="1:2" ht="14.5" x14ac:dyDescent="0.35">
      <c r="A5633" s="8" t="s">
        <v>54894</v>
      </c>
      <c r="B5633" s="8" t="s">
        <v>58367</v>
      </c>
    </row>
    <row r="5634" spans="1:2" ht="14.5" x14ac:dyDescent="0.35">
      <c r="A5634" s="8" t="s">
        <v>54894</v>
      </c>
      <c r="B5634" s="8" t="s">
        <v>58368</v>
      </c>
    </row>
    <row r="5635" spans="1:2" ht="14.5" x14ac:dyDescent="0.35">
      <c r="A5635" s="8" t="s">
        <v>54894</v>
      </c>
      <c r="B5635" s="8" t="s">
        <v>58369</v>
      </c>
    </row>
    <row r="5636" spans="1:2" ht="14.5" x14ac:dyDescent="0.35">
      <c r="A5636" s="8" t="s">
        <v>54894</v>
      </c>
      <c r="B5636" s="8" t="s">
        <v>58370</v>
      </c>
    </row>
    <row r="5637" spans="1:2" ht="14.5" x14ac:dyDescent="0.35">
      <c r="A5637" s="8" t="s">
        <v>54894</v>
      </c>
      <c r="B5637" s="8" t="s">
        <v>58377</v>
      </c>
    </row>
    <row r="5638" spans="1:2" ht="14.5" x14ac:dyDescent="0.35">
      <c r="A5638" s="8" t="s">
        <v>54894</v>
      </c>
      <c r="B5638" s="8" t="s">
        <v>58378</v>
      </c>
    </row>
    <row r="5639" spans="1:2" ht="14.5" x14ac:dyDescent="0.35">
      <c r="A5639" s="8" t="s">
        <v>54894</v>
      </c>
      <c r="B5639" s="8" t="s">
        <v>57899</v>
      </c>
    </row>
    <row r="5640" spans="1:2" ht="14.5" x14ac:dyDescent="0.35">
      <c r="A5640" s="8" t="s">
        <v>54894</v>
      </c>
      <c r="B5640" s="8" t="s">
        <v>56306</v>
      </c>
    </row>
    <row r="5641" spans="1:2" ht="14.5" x14ac:dyDescent="0.35">
      <c r="A5641" s="8" t="s">
        <v>54894</v>
      </c>
      <c r="B5641" s="8" t="s">
        <v>56198</v>
      </c>
    </row>
    <row r="5642" spans="1:2" ht="14.5" x14ac:dyDescent="0.35">
      <c r="A5642" s="8" t="s">
        <v>54894</v>
      </c>
      <c r="B5642" s="8" t="s">
        <v>54951</v>
      </c>
    </row>
    <row r="5643" spans="1:2" ht="14.5" x14ac:dyDescent="0.35">
      <c r="A5643" s="8" t="s">
        <v>54894</v>
      </c>
      <c r="B5643" s="8" t="s">
        <v>56708</v>
      </c>
    </row>
    <row r="5644" spans="1:2" ht="14.5" x14ac:dyDescent="0.35">
      <c r="A5644" s="8" t="s">
        <v>54894</v>
      </c>
      <c r="B5644" s="8" t="s">
        <v>55889</v>
      </c>
    </row>
    <row r="5645" spans="1:2" ht="14.5" x14ac:dyDescent="0.35">
      <c r="A5645" s="8" t="s">
        <v>54894</v>
      </c>
      <c r="B5645" s="8" t="s">
        <v>57856</v>
      </c>
    </row>
    <row r="5646" spans="1:2" ht="14.5" x14ac:dyDescent="0.35">
      <c r="A5646" s="8" t="s">
        <v>54894</v>
      </c>
      <c r="B5646" s="8" t="s">
        <v>57547</v>
      </c>
    </row>
    <row r="5647" spans="1:2" ht="14.5" x14ac:dyDescent="0.35">
      <c r="A5647" s="8" t="s">
        <v>54894</v>
      </c>
      <c r="B5647" s="8" t="s">
        <v>56128</v>
      </c>
    </row>
    <row r="5648" spans="1:2" ht="14.5" x14ac:dyDescent="0.35">
      <c r="A5648" s="8" t="s">
        <v>54894</v>
      </c>
      <c r="B5648" s="8" t="s">
        <v>55160</v>
      </c>
    </row>
    <row r="5649" spans="1:2" ht="14.5" x14ac:dyDescent="0.35">
      <c r="A5649" s="8" t="s">
        <v>54894</v>
      </c>
      <c r="B5649" s="8" t="s">
        <v>55161</v>
      </c>
    </row>
    <row r="5650" spans="1:2" ht="14.5" x14ac:dyDescent="0.35">
      <c r="A5650" s="8" t="s">
        <v>54894</v>
      </c>
      <c r="B5650" s="8" t="s">
        <v>58017</v>
      </c>
    </row>
    <row r="5651" spans="1:2" ht="14.5" x14ac:dyDescent="0.35">
      <c r="A5651" s="8" t="s">
        <v>54894</v>
      </c>
      <c r="B5651" s="8" t="s">
        <v>57664</v>
      </c>
    </row>
    <row r="5652" spans="1:2" ht="14.5" x14ac:dyDescent="0.35">
      <c r="A5652" s="8" t="s">
        <v>54894</v>
      </c>
      <c r="B5652" s="8" t="s">
        <v>57208</v>
      </c>
    </row>
    <row r="5653" spans="1:2" ht="14.5" x14ac:dyDescent="0.35">
      <c r="A5653" s="8" t="s">
        <v>54894</v>
      </c>
      <c r="B5653" s="8" t="s">
        <v>57209</v>
      </c>
    </row>
    <row r="5654" spans="1:2" ht="14.5" x14ac:dyDescent="0.35">
      <c r="A5654" s="8" t="s">
        <v>54894</v>
      </c>
      <c r="B5654" s="8" t="s">
        <v>57210</v>
      </c>
    </row>
    <row r="5655" spans="1:2" ht="14.5" x14ac:dyDescent="0.35">
      <c r="A5655" s="8" t="s">
        <v>54894</v>
      </c>
      <c r="B5655" s="8" t="s">
        <v>57211</v>
      </c>
    </row>
    <row r="5656" spans="1:2" ht="14.5" x14ac:dyDescent="0.35">
      <c r="A5656" s="8" t="s">
        <v>54894</v>
      </c>
      <c r="B5656" s="8" t="s">
        <v>57212</v>
      </c>
    </row>
    <row r="5657" spans="1:2" ht="14.5" x14ac:dyDescent="0.35">
      <c r="A5657" s="8" t="s">
        <v>54894</v>
      </c>
      <c r="B5657" s="8" t="s">
        <v>57213</v>
      </c>
    </row>
    <row r="5658" spans="1:2" ht="14.5" x14ac:dyDescent="0.35">
      <c r="A5658" s="8" t="s">
        <v>54894</v>
      </c>
      <c r="B5658" s="8" t="s">
        <v>57214</v>
      </c>
    </row>
    <row r="5659" spans="1:2" ht="14.5" x14ac:dyDescent="0.35">
      <c r="A5659" s="8" t="s">
        <v>54894</v>
      </c>
      <c r="B5659" s="8" t="s">
        <v>56502</v>
      </c>
    </row>
    <row r="5660" spans="1:2" ht="14.5" x14ac:dyDescent="0.35">
      <c r="A5660" s="8" t="s">
        <v>54894</v>
      </c>
      <c r="B5660" s="8" t="s">
        <v>57967</v>
      </c>
    </row>
    <row r="5661" spans="1:2" ht="14.5" x14ac:dyDescent="0.35">
      <c r="A5661" s="8" t="s">
        <v>54894</v>
      </c>
      <c r="B5661" s="8" t="s">
        <v>57968</v>
      </c>
    </row>
    <row r="5662" spans="1:2" ht="14.5" x14ac:dyDescent="0.35">
      <c r="A5662" s="8" t="s">
        <v>54894</v>
      </c>
      <c r="B5662" s="8" t="s">
        <v>57148</v>
      </c>
    </row>
    <row r="5663" spans="1:2" ht="14.5" x14ac:dyDescent="0.35">
      <c r="A5663" s="8" t="s">
        <v>54894</v>
      </c>
      <c r="B5663" s="8" t="s">
        <v>57148</v>
      </c>
    </row>
    <row r="5664" spans="1:2" ht="14.5" x14ac:dyDescent="0.35">
      <c r="A5664" s="8" t="s">
        <v>54894</v>
      </c>
      <c r="B5664" s="8" t="s">
        <v>57148</v>
      </c>
    </row>
    <row r="5665" spans="1:2" ht="14.5" x14ac:dyDescent="0.35">
      <c r="A5665" s="8" t="s">
        <v>54894</v>
      </c>
      <c r="B5665" s="8" t="s">
        <v>54952</v>
      </c>
    </row>
    <row r="5666" spans="1:2" ht="14.5" x14ac:dyDescent="0.35">
      <c r="A5666" s="8" t="s">
        <v>54894</v>
      </c>
      <c r="B5666" s="8" t="s">
        <v>57307</v>
      </c>
    </row>
    <row r="5667" spans="1:2" ht="14.5" x14ac:dyDescent="0.35">
      <c r="A5667" s="8" t="s">
        <v>54894</v>
      </c>
      <c r="B5667" s="8" t="s">
        <v>57188</v>
      </c>
    </row>
    <row r="5668" spans="1:2" ht="14.5" x14ac:dyDescent="0.35">
      <c r="A5668" s="8" t="s">
        <v>54894</v>
      </c>
      <c r="B5668" s="8" t="s">
        <v>55725</v>
      </c>
    </row>
    <row r="5669" spans="1:2" ht="14.5" x14ac:dyDescent="0.35">
      <c r="A5669" s="8" t="s">
        <v>54894</v>
      </c>
      <c r="B5669" s="8" t="s">
        <v>56271</v>
      </c>
    </row>
    <row r="5670" spans="1:2" ht="14.5" x14ac:dyDescent="0.35">
      <c r="A5670" s="8" t="s">
        <v>54894</v>
      </c>
      <c r="B5670" s="8" t="s">
        <v>57869</v>
      </c>
    </row>
    <row r="5671" spans="1:2" ht="14.5" x14ac:dyDescent="0.35">
      <c r="A5671" s="8" t="s">
        <v>54894</v>
      </c>
      <c r="B5671" s="8" t="s">
        <v>55545</v>
      </c>
    </row>
    <row r="5672" spans="1:2" ht="14.5" x14ac:dyDescent="0.35">
      <c r="A5672" s="8" t="s">
        <v>54894</v>
      </c>
      <c r="B5672" s="8" t="s">
        <v>57665</v>
      </c>
    </row>
    <row r="5673" spans="1:2" ht="14.5" x14ac:dyDescent="0.35">
      <c r="A5673" s="8" t="s">
        <v>54894</v>
      </c>
      <c r="B5673" s="8" t="s">
        <v>55902</v>
      </c>
    </row>
    <row r="5674" spans="1:2" ht="14.5" x14ac:dyDescent="0.35">
      <c r="A5674" s="8" t="s">
        <v>54894</v>
      </c>
      <c r="B5674" s="8" t="s">
        <v>55903</v>
      </c>
    </row>
    <row r="5675" spans="1:2" ht="14.5" x14ac:dyDescent="0.35">
      <c r="A5675" s="8" t="s">
        <v>54894</v>
      </c>
      <c r="B5675" s="8" t="s">
        <v>56549</v>
      </c>
    </row>
    <row r="5676" spans="1:2" ht="14.5" x14ac:dyDescent="0.35">
      <c r="A5676" s="8" t="s">
        <v>54894</v>
      </c>
      <c r="B5676" s="8" t="s">
        <v>56495</v>
      </c>
    </row>
    <row r="5677" spans="1:2" ht="14.5" x14ac:dyDescent="0.35">
      <c r="A5677" s="8" t="s">
        <v>54894</v>
      </c>
      <c r="B5677" s="8" t="s">
        <v>58154</v>
      </c>
    </row>
    <row r="5678" spans="1:2" ht="14.5" x14ac:dyDescent="0.35">
      <c r="A5678" s="8" t="s">
        <v>54894</v>
      </c>
      <c r="B5678" s="8" t="s">
        <v>56333</v>
      </c>
    </row>
    <row r="5679" spans="1:2" ht="14.5" x14ac:dyDescent="0.35">
      <c r="A5679" s="8" t="s">
        <v>54894</v>
      </c>
      <c r="B5679" s="8" t="s">
        <v>55580</v>
      </c>
    </row>
    <row r="5680" spans="1:2" ht="14.5" x14ac:dyDescent="0.35">
      <c r="A5680" s="8" t="s">
        <v>54894</v>
      </c>
      <c r="B5680" s="8" t="s">
        <v>57377</v>
      </c>
    </row>
    <row r="5681" spans="1:2" ht="14.5" x14ac:dyDescent="0.35">
      <c r="A5681" s="8" t="s">
        <v>54894</v>
      </c>
      <c r="B5681" s="8" t="s">
        <v>55302</v>
      </c>
    </row>
    <row r="5682" spans="1:2" ht="14.5" x14ac:dyDescent="0.35">
      <c r="A5682" s="8" t="s">
        <v>54894</v>
      </c>
      <c r="B5682" s="8" t="s">
        <v>55303</v>
      </c>
    </row>
    <row r="5683" spans="1:2" ht="14.5" x14ac:dyDescent="0.35">
      <c r="A5683" s="8" t="s">
        <v>54894</v>
      </c>
      <c r="B5683" s="8" t="s">
        <v>57108</v>
      </c>
    </row>
    <row r="5684" spans="1:2" ht="14.5" x14ac:dyDescent="0.35">
      <c r="A5684" s="8" t="s">
        <v>54894</v>
      </c>
      <c r="B5684" s="8" t="s">
        <v>56307</v>
      </c>
    </row>
    <row r="5685" spans="1:2" ht="14.5" x14ac:dyDescent="0.35">
      <c r="A5685" s="8" t="s">
        <v>54894</v>
      </c>
      <c r="B5685" s="8" t="s">
        <v>56961</v>
      </c>
    </row>
    <row r="5686" spans="1:2" ht="14.5" x14ac:dyDescent="0.35">
      <c r="A5686" s="8" t="s">
        <v>54894</v>
      </c>
      <c r="B5686" s="8" t="s">
        <v>56642</v>
      </c>
    </row>
    <row r="5687" spans="1:2" ht="14.5" x14ac:dyDescent="0.35">
      <c r="A5687" s="8" t="s">
        <v>54894</v>
      </c>
      <c r="B5687" s="8" t="s">
        <v>56129</v>
      </c>
    </row>
    <row r="5688" spans="1:2" ht="14.5" x14ac:dyDescent="0.35">
      <c r="A5688" s="8" t="s">
        <v>54894</v>
      </c>
      <c r="B5688" s="8" t="s">
        <v>54978</v>
      </c>
    </row>
    <row r="5689" spans="1:2" ht="14.5" x14ac:dyDescent="0.35">
      <c r="A5689" s="8" t="s">
        <v>54894</v>
      </c>
      <c r="B5689" s="8" t="s">
        <v>57096</v>
      </c>
    </row>
    <row r="5690" spans="1:2" ht="14.5" x14ac:dyDescent="0.35">
      <c r="A5690" s="8" t="s">
        <v>54894</v>
      </c>
      <c r="B5690" s="8" t="s">
        <v>57705</v>
      </c>
    </row>
    <row r="5691" spans="1:2" ht="14.5" x14ac:dyDescent="0.35">
      <c r="A5691" s="8" t="s">
        <v>54894</v>
      </c>
      <c r="B5691" s="8" t="s">
        <v>56962</v>
      </c>
    </row>
    <row r="5692" spans="1:2" ht="14.5" x14ac:dyDescent="0.35">
      <c r="A5692" s="8" t="s">
        <v>54894</v>
      </c>
      <c r="B5692" s="8" t="s">
        <v>57260</v>
      </c>
    </row>
    <row r="5693" spans="1:2" ht="14.5" x14ac:dyDescent="0.35">
      <c r="A5693" s="8" t="s">
        <v>54894</v>
      </c>
      <c r="B5693" s="8" t="s">
        <v>57260</v>
      </c>
    </row>
    <row r="5694" spans="1:2" ht="14.5" x14ac:dyDescent="0.35">
      <c r="A5694" s="8" t="s">
        <v>54894</v>
      </c>
      <c r="B5694" s="8" t="s">
        <v>55235</v>
      </c>
    </row>
    <row r="5695" spans="1:2" ht="14.5" x14ac:dyDescent="0.35">
      <c r="A5695" s="8" t="s">
        <v>54894</v>
      </c>
      <c r="B5695" s="8" t="s">
        <v>57835</v>
      </c>
    </row>
    <row r="5696" spans="1:2" ht="14.5" x14ac:dyDescent="0.35">
      <c r="A5696" s="8" t="s">
        <v>54894</v>
      </c>
      <c r="B5696" s="8" t="s">
        <v>57836</v>
      </c>
    </row>
    <row r="5697" spans="1:2" ht="14.5" x14ac:dyDescent="0.35">
      <c r="A5697" s="8" t="s">
        <v>54894</v>
      </c>
      <c r="B5697" s="8" t="s">
        <v>57807</v>
      </c>
    </row>
    <row r="5698" spans="1:2" ht="14.5" x14ac:dyDescent="0.35">
      <c r="A5698" s="8" t="s">
        <v>54894</v>
      </c>
      <c r="B5698" s="8" t="s">
        <v>55311</v>
      </c>
    </row>
    <row r="5699" spans="1:2" ht="14.5" x14ac:dyDescent="0.35">
      <c r="A5699" s="8" t="s">
        <v>54894</v>
      </c>
      <c r="B5699" s="8" t="s">
        <v>57284</v>
      </c>
    </row>
    <row r="5700" spans="1:2" ht="14.5" x14ac:dyDescent="0.35">
      <c r="A5700" s="8" t="s">
        <v>54894</v>
      </c>
      <c r="B5700" s="8" t="s">
        <v>58425</v>
      </c>
    </row>
    <row r="5701" spans="1:2" ht="14.5" x14ac:dyDescent="0.35">
      <c r="A5701" s="8" t="s">
        <v>54894</v>
      </c>
      <c r="B5701" s="8" t="s">
        <v>57385</v>
      </c>
    </row>
    <row r="5702" spans="1:2" ht="14.5" x14ac:dyDescent="0.35">
      <c r="A5702" s="8" t="s">
        <v>54894</v>
      </c>
      <c r="B5702" s="8" t="s">
        <v>56003</v>
      </c>
    </row>
    <row r="5703" spans="1:2" ht="14.5" x14ac:dyDescent="0.35">
      <c r="A5703" s="8" t="s">
        <v>54894</v>
      </c>
      <c r="B5703" s="8" t="s">
        <v>56646</v>
      </c>
    </row>
    <row r="5704" spans="1:2" ht="14.5" x14ac:dyDescent="0.35">
      <c r="A5704" s="8" t="s">
        <v>54894</v>
      </c>
      <c r="B5704" s="8" t="s">
        <v>56647</v>
      </c>
    </row>
    <row r="5705" spans="1:2" ht="14.5" x14ac:dyDescent="0.35">
      <c r="A5705" s="8" t="s">
        <v>54894</v>
      </c>
      <c r="B5705" s="8" t="s">
        <v>57261</v>
      </c>
    </row>
    <row r="5706" spans="1:2" ht="14.5" x14ac:dyDescent="0.35">
      <c r="A5706" s="8" t="s">
        <v>54894</v>
      </c>
      <c r="B5706" s="8" t="s">
        <v>55015</v>
      </c>
    </row>
    <row r="5707" spans="1:2" ht="14.5" x14ac:dyDescent="0.35">
      <c r="A5707" s="8" t="s">
        <v>54894</v>
      </c>
      <c r="B5707" s="8" t="s">
        <v>57285</v>
      </c>
    </row>
    <row r="5708" spans="1:2" ht="14.5" x14ac:dyDescent="0.35">
      <c r="A5708" s="8" t="s">
        <v>54894</v>
      </c>
      <c r="B5708" s="8" t="s">
        <v>57808</v>
      </c>
    </row>
    <row r="5709" spans="1:2" ht="14.5" x14ac:dyDescent="0.35">
      <c r="A5709" s="8" t="s">
        <v>54894</v>
      </c>
      <c r="B5709" s="8" t="s">
        <v>57308</v>
      </c>
    </row>
    <row r="5710" spans="1:2" ht="14.5" x14ac:dyDescent="0.35">
      <c r="A5710" s="8" t="s">
        <v>54894</v>
      </c>
      <c r="B5710" s="8" t="s">
        <v>57309</v>
      </c>
    </row>
    <row r="5711" spans="1:2" ht="14.5" x14ac:dyDescent="0.35">
      <c r="A5711" s="8" t="s">
        <v>54894</v>
      </c>
      <c r="B5711" s="8" t="s">
        <v>57104</v>
      </c>
    </row>
    <row r="5712" spans="1:2" ht="14.5" x14ac:dyDescent="0.35">
      <c r="A5712" s="8" t="s">
        <v>54894</v>
      </c>
      <c r="B5712" s="8" t="s">
        <v>54948</v>
      </c>
    </row>
    <row r="5713" spans="1:2" ht="14.5" x14ac:dyDescent="0.35">
      <c r="A5713" s="8" t="s">
        <v>54894</v>
      </c>
      <c r="B5713" s="8" t="s">
        <v>54949</v>
      </c>
    </row>
    <row r="5714" spans="1:2" ht="14.5" x14ac:dyDescent="0.35">
      <c r="A5714" s="8" t="s">
        <v>54894</v>
      </c>
      <c r="B5714" s="8" t="s">
        <v>56978</v>
      </c>
    </row>
    <row r="5715" spans="1:2" ht="14.5" x14ac:dyDescent="0.35">
      <c r="A5715" s="8" t="s">
        <v>54894</v>
      </c>
      <c r="B5715" s="8" t="s">
        <v>56963</v>
      </c>
    </row>
    <row r="5716" spans="1:2" ht="14.5" x14ac:dyDescent="0.35">
      <c r="A5716" s="8" t="s">
        <v>54894</v>
      </c>
      <c r="B5716" s="8" t="s">
        <v>55319</v>
      </c>
    </row>
    <row r="5717" spans="1:2" ht="14.5" x14ac:dyDescent="0.35">
      <c r="A5717" s="8" t="s">
        <v>54894</v>
      </c>
      <c r="B5717" s="8" t="s">
        <v>56431</v>
      </c>
    </row>
    <row r="5718" spans="1:2" ht="14.5" x14ac:dyDescent="0.35">
      <c r="A5718" s="8" t="s">
        <v>54894</v>
      </c>
      <c r="B5718" s="8" t="s">
        <v>58022</v>
      </c>
    </row>
    <row r="5719" spans="1:2" ht="14.5" x14ac:dyDescent="0.35">
      <c r="A5719" s="8" t="s">
        <v>54894</v>
      </c>
      <c r="B5719" s="8" t="s">
        <v>56964</v>
      </c>
    </row>
    <row r="5720" spans="1:2" ht="14.5" x14ac:dyDescent="0.35">
      <c r="A5720" s="8" t="s">
        <v>54894</v>
      </c>
      <c r="B5720" s="8" t="s">
        <v>56965</v>
      </c>
    </row>
    <row r="5721" spans="1:2" ht="14.5" x14ac:dyDescent="0.35">
      <c r="A5721" s="8" t="s">
        <v>54894</v>
      </c>
      <c r="B5721" s="8" t="s">
        <v>56966</v>
      </c>
    </row>
    <row r="5722" spans="1:2" ht="14.5" x14ac:dyDescent="0.35">
      <c r="A5722" s="8" t="s">
        <v>54894</v>
      </c>
      <c r="B5722" s="8" t="s">
        <v>56967</v>
      </c>
    </row>
    <row r="5723" spans="1:2" ht="14.5" x14ac:dyDescent="0.35">
      <c r="A5723" s="8" t="s">
        <v>54894</v>
      </c>
      <c r="B5723" s="8" t="s">
        <v>56968</v>
      </c>
    </row>
    <row r="5724" spans="1:2" ht="14.5" x14ac:dyDescent="0.35">
      <c r="A5724" s="8" t="s">
        <v>54894</v>
      </c>
      <c r="B5724" s="8" t="s">
        <v>56969</v>
      </c>
    </row>
    <row r="5725" spans="1:2" ht="14.5" x14ac:dyDescent="0.35">
      <c r="A5725" s="8" t="s">
        <v>54894</v>
      </c>
      <c r="B5725" s="8" t="s">
        <v>56394</v>
      </c>
    </row>
    <row r="5726" spans="1:2" ht="14.5" x14ac:dyDescent="0.35">
      <c r="A5726" s="8" t="s">
        <v>54894</v>
      </c>
      <c r="B5726" s="8" t="s">
        <v>56970</v>
      </c>
    </row>
    <row r="5727" spans="1:2" ht="14.5" x14ac:dyDescent="0.35">
      <c r="A5727" s="8" t="s">
        <v>54894</v>
      </c>
      <c r="B5727" s="8" t="s">
        <v>56971</v>
      </c>
    </row>
    <row r="5728" spans="1:2" ht="14.5" x14ac:dyDescent="0.35">
      <c r="A5728" s="8" t="s">
        <v>54894</v>
      </c>
      <c r="B5728" s="8" t="s">
        <v>56972</v>
      </c>
    </row>
    <row r="5729" spans="1:2" ht="14.5" x14ac:dyDescent="0.35">
      <c r="A5729" s="8" t="s">
        <v>54894</v>
      </c>
      <c r="B5729" s="8" t="s">
        <v>58201</v>
      </c>
    </row>
    <row r="5730" spans="1:2" ht="14.5" x14ac:dyDescent="0.35">
      <c r="A5730" s="8" t="s">
        <v>54894</v>
      </c>
      <c r="B5730" s="8" t="s">
        <v>55955</v>
      </c>
    </row>
    <row r="5731" spans="1:2" ht="14.5" x14ac:dyDescent="0.35">
      <c r="A5731" s="8" t="s">
        <v>54894</v>
      </c>
      <c r="B5731" s="8" t="s">
        <v>57333</v>
      </c>
    </row>
    <row r="5732" spans="1:2" ht="14.5" x14ac:dyDescent="0.35">
      <c r="A5732" s="8" t="s">
        <v>54894</v>
      </c>
      <c r="B5732" s="8" t="s">
        <v>57334</v>
      </c>
    </row>
    <row r="5733" spans="1:2" ht="14.5" x14ac:dyDescent="0.35">
      <c r="A5733" s="8" t="s">
        <v>54894</v>
      </c>
      <c r="B5733" s="8" t="s">
        <v>57335</v>
      </c>
    </row>
    <row r="5734" spans="1:2" ht="14.5" x14ac:dyDescent="0.35">
      <c r="A5734" s="8" t="s">
        <v>54894</v>
      </c>
      <c r="B5734" s="8" t="s">
        <v>57336</v>
      </c>
    </row>
    <row r="5735" spans="1:2" ht="14.5" x14ac:dyDescent="0.35">
      <c r="A5735" s="8" t="s">
        <v>54894</v>
      </c>
      <c r="B5735" s="8" t="s">
        <v>58155</v>
      </c>
    </row>
    <row r="5736" spans="1:2" ht="14.5" x14ac:dyDescent="0.35">
      <c r="A5736" s="8" t="s">
        <v>54894</v>
      </c>
      <c r="B5736" s="8" t="s">
        <v>55283</v>
      </c>
    </row>
    <row r="5737" spans="1:2" ht="14.5" x14ac:dyDescent="0.35">
      <c r="A5737" s="8" t="s">
        <v>54894</v>
      </c>
      <c r="B5737" s="8" t="s">
        <v>56336</v>
      </c>
    </row>
    <row r="5738" spans="1:2" ht="14.5" x14ac:dyDescent="0.35">
      <c r="A5738" s="8" t="s">
        <v>54894</v>
      </c>
      <c r="B5738" s="8" t="s">
        <v>55107</v>
      </c>
    </row>
    <row r="5739" spans="1:2" ht="14.5" x14ac:dyDescent="0.35">
      <c r="A5739" s="8" t="s">
        <v>54894</v>
      </c>
      <c r="B5739" s="8" t="s">
        <v>56624</v>
      </c>
    </row>
    <row r="5740" spans="1:2" ht="14.5" x14ac:dyDescent="0.35">
      <c r="A5740" s="8" t="s">
        <v>54894</v>
      </c>
      <c r="B5740" s="8" t="s">
        <v>55537</v>
      </c>
    </row>
    <row r="5741" spans="1:2" ht="14.5" x14ac:dyDescent="0.35">
      <c r="A5741" s="8" t="s">
        <v>54894</v>
      </c>
      <c r="B5741" s="8" t="s">
        <v>57688</v>
      </c>
    </row>
    <row r="5742" spans="1:2" ht="14.5" x14ac:dyDescent="0.35">
      <c r="A5742" s="8" t="s">
        <v>54894</v>
      </c>
      <c r="B5742" s="8" t="s">
        <v>57689</v>
      </c>
    </row>
    <row r="5743" spans="1:2" ht="14.5" x14ac:dyDescent="0.35">
      <c r="A5743" s="8" t="s">
        <v>54894</v>
      </c>
      <c r="B5743" s="8" t="s">
        <v>57666</v>
      </c>
    </row>
    <row r="5744" spans="1:2" ht="14.5" x14ac:dyDescent="0.35">
      <c r="A5744" s="8" t="s">
        <v>54894</v>
      </c>
      <c r="B5744" s="8" t="s">
        <v>58321</v>
      </c>
    </row>
    <row r="5745" spans="1:2" ht="14.5" x14ac:dyDescent="0.35">
      <c r="A5745" s="8" t="s">
        <v>54894</v>
      </c>
      <c r="B5745" s="8" t="s">
        <v>58156</v>
      </c>
    </row>
    <row r="5746" spans="1:2" ht="14.5" x14ac:dyDescent="0.35">
      <c r="A5746" s="8" t="s">
        <v>54894</v>
      </c>
      <c r="B5746" s="8" t="s">
        <v>55540</v>
      </c>
    </row>
    <row r="5747" spans="1:2" ht="14.5" x14ac:dyDescent="0.35">
      <c r="A5747" s="8" t="s">
        <v>54894</v>
      </c>
      <c r="B5747" s="8" t="s">
        <v>58468</v>
      </c>
    </row>
    <row r="5748" spans="1:2" ht="14.5" x14ac:dyDescent="0.35">
      <c r="A5748" s="8" t="s">
        <v>54894</v>
      </c>
      <c r="B5748" s="8" t="s">
        <v>57114</v>
      </c>
    </row>
    <row r="5749" spans="1:2" ht="14.5" x14ac:dyDescent="0.35">
      <c r="A5749" s="8" t="s">
        <v>54894</v>
      </c>
      <c r="B5749" s="8" t="s">
        <v>58386</v>
      </c>
    </row>
    <row r="5750" spans="1:2" ht="14.5" x14ac:dyDescent="0.35">
      <c r="A5750" s="8" t="s">
        <v>58473</v>
      </c>
      <c r="B5750" s="8" t="s">
        <v>58474</v>
      </c>
    </row>
    <row r="5751" spans="1:2" ht="14.5" x14ac:dyDescent="0.35">
      <c r="A5751" s="8" t="s">
        <v>58473</v>
      </c>
      <c r="B5751" s="8" t="s">
        <v>58475</v>
      </c>
    </row>
    <row r="5752" spans="1:2" ht="14.5" x14ac:dyDescent="0.35">
      <c r="A5752" s="8" t="s">
        <v>58627</v>
      </c>
      <c r="B5752" s="8" t="s">
        <v>58628</v>
      </c>
    </row>
    <row r="5753" spans="1:2" ht="14.5" x14ac:dyDescent="0.35">
      <c r="A5753" s="8" t="s">
        <v>58627</v>
      </c>
      <c r="B5753" s="8" t="s">
        <v>58629</v>
      </c>
    </row>
    <row r="5754" spans="1:2" ht="14.5" x14ac:dyDescent="0.35">
      <c r="A5754" s="8" t="s">
        <v>58627</v>
      </c>
      <c r="B5754" s="8" t="s">
        <v>58630</v>
      </c>
    </row>
    <row r="5755" spans="1:2" ht="14.5" x14ac:dyDescent="0.35">
      <c r="A5755" s="8" t="s">
        <v>58627</v>
      </c>
      <c r="B5755" s="8" t="s">
        <v>58631</v>
      </c>
    </row>
    <row r="5756" spans="1:2" ht="14.5" x14ac:dyDescent="0.35">
      <c r="A5756" s="8" t="s">
        <v>58627</v>
      </c>
      <c r="B5756" s="8" t="s">
        <v>58632</v>
      </c>
    </row>
    <row r="5757" spans="1:2" ht="14.5" x14ac:dyDescent="0.35">
      <c r="A5757" s="8" t="s">
        <v>58627</v>
      </c>
      <c r="B5757" s="8" t="s">
        <v>58633</v>
      </c>
    </row>
    <row r="5758" spans="1:2" ht="14.5" x14ac:dyDescent="0.35">
      <c r="A5758" s="8" t="s">
        <v>58627</v>
      </c>
      <c r="B5758" s="8" t="s">
        <v>58634</v>
      </c>
    </row>
    <row r="5759" spans="1:2" ht="14.5" x14ac:dyDescent="0.35">
      <c r="A5759" s="8" t="s">
        <v>58627</v>
      </c>
      <c r="B5759" s="8" t="s">
        <v>58635</v>
      </c>
    </row>
    <row r="5760" spans="1:2" ht="14.5" x14ac:dyDescent="0.35">
      <c r="A5760" s="8" t="s">
        <v>58627</v>
      </c>
      <c r="B5760" s="8" t="s">
        <v>58636</v>
      </c>
    </row>
    <row r="5761" spans="1:2" ht="14.5" x14ac:dyDescent="0.35">
      <c r="A5761" s="8" t="s">
        <v>58627</v>
      </c>
      <c r="B5761" s="8" t="s">
        <v>58637</v>
      </c>
    </row>
    <row r="5762" spans="1:2" ht="14.5" x14ac:dyDescent="0.35">
      <c r="A5762" s="8" t="s">
        <v>58627</v>
      </c>
      <c r="B5762" s="8" t="s">
        <v>58638</v>
      </c>
    </row>
    <row r="5763" spans="1:2" ht="14.5" x14ac:dyDescent="0.35">
      <c r="A5763" s="8" t="s">
        <v>58476</v>
      </c>
      <c r="B5763" s="8" t="s">
        <v>58477</v>
      </c>
    </row>
    <row r="5764" spans="1:2" ht="14.5" x14ac:dyDescent="0.35">
      <c r="A5764" s="8" t="s">
        <v>58476</v>
      </c>
      <c r="B5764" s="8" t="s">
        <v>58478</v>
      </c>
    </row>
    <row r="5765" spans="1:2" ht="14.5" x14ac:dyDescent="0.35">
      <c r="A5765" s="8" t="s">
        <v>58476</v>
      </c>
      <c r="B5765" s="8" t="s">
        <v>58483</v>
      </c>
    </row>
    <row r="5766" spans="1:2" ht="14.5" x14ac:dyDescent="0.35">
      <c r="A5766" s="8" t="s">
        <v>58476</v>
      </c>
      <c r="B5766" s="8" t="s">
        <v>58484</v>
      </c>
    </row>
    <row r="5767" spans="1:2" ht="14.5" x14ac:dyDescent="0.35">
      <c r="A5767" s="8" t="s">
        <v>58476</v>
      </c>
      <c r="B5767" s="8" t="s">
        <v>58479</v>
      </c>
    </row>
    <row r="5768" spans="1:2" ht="14.5" x14ac:dyDescent="0.35">
      <c r="A5768" s="8" t="s">
        <v>58476</v>
      </c>
      <c r="B5768" s="8" t="s">
        <v>58622</v>
      </c>
    </row>
    <row r="5769" spans="1:2" ht="14.5" x14ac:dyDescent="0.35">
      <c r="A5769" s="8" t="s">
        <v>58476</v>
      </c>
      <c r="B5769" s="8" t="s">
        <v>58485</v>
      </c>
    </row>
    <row r="5770" spans="1:2" ht="14.5" x14ac:dyDescent="0.35">
      <c r="A5770" s="8" t="s">
        <v>58476</v>
      </c>
      <c r="B5770" s="8" t="s">
        <v>58486</v>
      </c>
    </row>
    <row r="5771" spans="1:2" ht="14.5" x14ac:dyDescent="0.35">
      <c r="A5771" s="8" t="s">
        <v>58476</v>
      </c>
      <c r="B5771" s="8" t="s">
        <v>58487</v>
      </c>
    </row>
    <row r="5772" spans="1:2" ht="14.5" x14ac:dyDescent="0.35">
      <c r="A5772" s="8" t="s">
        <v>58476</v>
      </c>
      <c r="B5772" s="8" t="s">
        <v>58488</v>
      </c>
    </row>
    <row r="5773" spans="1:2" ht="14.5" x14ac:dyDescent="0.35">
      <c r="A5773" s="8" t="s">
        <v>58476</v>
      </c>
      <c r="B5773" s="8" t="s">
        <v>58489</v>
      </c>
    </row>
    <row r="5774" spans="1:2" ht="14.5" x14ac:dyDescent="0.35">
      <c r="A5774" s="8" t="s">
        <v>58476</v>
      </c>
      <c r="B5774" s="8" t="s">
        <v>58480</v>
      </c>
    </row>
    <row r="5775" spans="1:2" ht="14.5" x14ac:dyDescent="0.35">
      <c r="A5775" s="8" t="s">
        <v>58476</v>
      </c>
      <c r="B5775" s="8" t="s">
        <v>58490</v>
      </c>
    </row>
    <row r="5776" spans="1:2" ht="14.5" x14ac:dyDescent="0.35">
      <c r="A5776" s="8" t="s">
        <v>58476</v>
      </c>
      <c r="B5776" s="8" t="s">
        <v>58481</v>
      </c>
    </row>
    <row r="5777" spans="1:2" ht="14.5" x14ac:dyDescent="0.35">
      <c r="A5777" s="8" t="s">
        <v>58476</v>
      </c>
      <c r="B5777" s="8" t="s">
        <v>58482</v>
      </c>
    </row>
    <row r="5778" spans="1:2" ht="14.5" x14ac:dyDescent="0.35">
      <c r="A5778" s="8" t="s">
        <v>58476</v>
      </c>
      <c r="B5778" s="8" t="s">
        <v>58491</v>
      </c>
    </row>
    <row r="5779" spans="1:2" ht="14.5" x14ac:dyDescent="0.35">
      <c r="A5779" s="8" t="s">
        <v>58623</v>
      </c>
      <c r="B5779" s="8" t="s">
        <v>58624</v>
      </c>
    </row>
    <row r="5780" spans="1:2" ht="14.5" x14ac:dyDescent="0.35">
      <c r="A5780" s="8" t="s">
        <v>58492</v>
      </c>
      <c r="B5780" s="8" t="s">
        <v>58493</v>
      </c>
    </row>
    <row r="5781" spans="1:2" ht="14.5" x14ac:dyDescent="0.35">
      <c r="A5781" s="8" t="s">
        <v>58492</v>
      </c>
      <c r="B5781" s="8" t="s">
        <v>58494</v>
      </c>
    </row>
    <row r="5782" spans="1:2" ht="14.5" x14ac:dyDescent="0.35">
      <c r="A5782" s="8" t="s">
        <v>58492</v>
      </c>
      <c r="B5782" s="8" t="s">
        <v>58495</v>
      </c>
    </row>
    <row r="5783" spans="1:2" ht="14.5" x14ac:dyDescent="0.35">
      <c r="A5783" s="8" t="s">
        <v>58492</v>
      </c>
      <c r="B5783" s="8" t="s">
        <v>58496</v>
      </c>
    </row>
    <row r="5784" spans="1:2" ht="14.5" x14ac:dyDescent="0.35">
      <c r="A5784" s="8" t="s">
        <v>58492</v>
      </c>
      <c r="B5784" s="8" t="s">
        <v>58497</v>
      </c>
    </row>
    <row r="5785" spans="1:2" ht="14.5" x14ac:dyDescent="0.35">
      <c r="A5785" s="8" t="s">
        <v>58625</v>
      </c>
      <c r="B5785" s="8" t="s">
        <v>58626</v>
      </c>
    </row>
  </sheetData>
  <sortState xmlns:xlrd2="http://schemas.microsoft.com/office/spreadsheetml/2017/richdata2" ref="A2:B5785">
    <sortCondition ref="A2:A5785"/>
    <sortCondition ref="B2:B5785"/>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886"/>
  <sheetViews>
    <sheetView workbookViewId="0"/>
  </sheetViews>
  <sheetFormatPr defaultRowHeight="12.5" x14ac:dyDescent="0.25"/>
  <cols>
    <col min="1" max="1" width="16.36328125" bestFit="1" customWidth="1"/>
    <col min="2" max="2" width="65" bestFit="1" customWidth="1"/>
  </cols>
  <sheetData>
    <row r="1" spans="1:2" ht="14.5" x14ac:dyDescent="0.35">
      <c r="A1" s="6" t="s">
        <v>60464</v>
      </c>
      <c r="B1" s="6" t="s">
        <v>0</v>
      </c>
    </row>
    <row r="2" spans="1:2" ht="14.5" x14ac:dyDescent="0.35">
      <c r="A2" s="8" t="s">
        <v>59655</v>
      </c>
      <c r="B2" s="8" t="s">
        <v>60073</v>
      </c>
    </row>
    <row r="3" spans="1:2" ht="14.5" x14ac:dyDescent="0.35">
      <c r="A3" s="8" t="s">
        <v>59655</v>
      </c>
      <c r="B3" s="8" t="s">
        <v>60034</v>
      </c>
    </row>
    <row r="4" spans="1:2" ht="14.5" x14ac:dyDescent="0.35">
      <c r="A4" s="8" t="s">
        <v>59655</v>
      </c>
      <c r="B4" s="8" t="s">
        <v>59973</v>
      </c>
    </row>
    <row r="5" spans="1:2" ht="14.5" x14ac:dyDescent="0.35">
      <c r="A5" s="8" t="s">
        <v>59655</v>
      </c>
      <c r="B5" s="8" t="s">
        <v>59978</v>
      </c>
    </row>
    <row r="6" spans="1:2" ht="14.5" x14ac:dyDescent="0.35">
      <c r="A6" s="8" t="s">
        <v>59655</v>
      </c>
      <c r="B6" s="8" t="s">
        <v>60075</v>
      </c>
    </row>
    <row r="7" spans="1:2" ht="14.5" x14ac:dyDescent="0.35">
      <c r="A7" s="8" t="s">
        <v>59655</v>
      </c>
      <c r="B7" s="8" t="s">
        <v>60076</v>
      </c>
    </row>
    <row r="8" spans="1:2" ht="14.5" x14ac:dyDescent="0.35">
      <c r="A8" s="8" t="s">
        <v>59655</v>
      </c>
      <c r="B8" s="8" t="s">
        <v>60077</v>
      </c>
    </row>
    <row r="9" spans="1:2" ht="14.5" x14ac:dyDescent="0.35">
      <c r="A9" s="8" t="s">
        <v>59655</v>
      </c>
      <c r="B9" s="8" t="s">
        <v>60081</v>
      </c>
    </row>
    <row r="10" spans="1:2" ht="14.5" x14ac:dyDescent="0.35">
      <c r="A10" s="8" t="s">
        <v>59655</v>
      </c>
      <c r="B10" s="8" t="s">
        <v>60082</v>
      </c>
    </row>
    <row r="11" spans="1:2" ht="14.5" x14ac:dyDescent="0.35">
      <c r="A11" s="8" t="s">
        <v>59655</v>
      </c>
      <c r="B11" s="8" t="s">
        <v>60083</v>
      </c>
    </row>
    <row r="12" spans="1:2" ht="14.5" x14ac:dyDescent="0.35">
      <c r="A12" s="8" t="s">
        <v>59655</v>
      </c>
      <c r="B12" s="8" t="s">
        <v>60084</v>
      </c>
    </row>
    <row r="13" spans="1:2" ht="14.5" x14ac:dyDescent="0.35">
      <c r="A13" s="8" t="s">
        <v>59655</v>
      </c>
      <c r="B13" s="8" t="s">
        <v>60085</v>
      </c>
    </row>
    <row r="14" spans="1:2" ht="14.5" x14ac:dyDescent="0.35">
      <c r="A14" s="8" t="s">
        <v>59655</v>
      </c>
      <c r="B14" s="8" t="s">
        <v>60086</v>
      </c>
    </row>
    <row r="15" spans="1:2" ht="14.5" x14ac:dyDescent="0.35">
      <c r="A15" s="8" t="s">
        <v>59655</v>
      </c>
      <c r="B15" s="8" t="s">
        <v>60087</v>
      </c>
    </row>
    <row r="16" spans="1:2" ht="14.5" x14ac:dyDescent="0.35">
      <c r="A16" s="8" t="s">
        <v>59655</v>
      </c>
      <c r="B16" s="8" t="s">
        <v>59657</v>
      </c>
    </row>
    <row r="17" spans="1:2" ht="14.5" x14ac:dyDescent="0.35">
      <c r="A17" s="8" t="s">
        <v>59655</v>
      </c>
      <c r="B17" s="8" t="s">
        <v>60354</v>
      </c>
    </row>
    <row r="18" spans="1:2" ht="14.5" x14ac:dyDescent="0.35">
      <c r="A18" s="8" t="s">
        <v>59655</v>
      </c>
      <c r="B18" s="8" t="s">
        <v>44505</v>
      </c>
    </row>
    <row r="19" spans="1:2" ht="14.5" x14ac:dyDescent="0.35">
      <c r="A19" s="8" t="s">
        <v>59655</v>
      </c>
      <c r="B19" s="8" t="s">
        <v>60160</v>
      </c>
    </row>
    <row r="20" spans="1:2" ht="14.5" x14ac:dyDescent="0.35">
      <c r="A20" s="8" t="s">
        <v>59655</v>
      </c>
      <c r="B20" s="8" t="s">
        <v>59656</v>
      </c>
    </row>
    <row r="21" spans="1:2" ht="14.5" x14ac:dyDescent="0.35">
      <c r="A21" s="8" t="s">
        <v>59655</v>
      </c>
      <c r="B21" s="8" t="s">
        <v>60373</v>
      </c>
    </row>
    <row r="22" spans="1:2" ht="14.5" x14ac:dyDescent="0.35">
      <c r="A22" s="8" t="s">
        <v>59655</v>
      </c>
      <c r="B22" s="8" t="s">
        <v>60000</v>
      </c>
    </row>
    <row r="23" spans="1:2" ht="14.5" x14ac:dyDescent="0.35">
      <c r="A23" s="8" t="s">
        <v>59655</v>
      </c>
      <c r="B23" s="8" t="s">
        <v>60380</v>
      </c>
    </row>
    <row r="24" spans="1:2" ht="14.5" x14ac:dyDescent="0.35">
      <c r="A24" s="8" t="s">
        <v>59655</v>
      </c>
      <c r="B24" s="8" t="s">
        <v>60381</v>
      </c>
    </row>
    <row r="25" spans="1:2" ht="14.5" x14ac:dyDescent="0.35">
      <c r="A25" s="8" t="s">
        <v>59655</v>
      </c>
      <c r="B25" s="8" t="s">
        <v>60382</v>
      </c>
    </row>
    <row r="26" spans="1:2" ht="14.5" x14ac:dyDescent="0.35">
      <c r="A26" s="8" t="s">
        <v>59655</v>
      </c>
      <c r="B26" s="8" t="s">
        <v>60387</v>
      </c>
    </row>
    <row r="27" spans="1:2" ht="14.5" x14ac:dyDescent="0.35">
      <c r="A27" s="8" t="s">
        <v>59655</v>
      </c>
      <c r="B27" s="8" t="s">
        <v>60390</v>
      </c>
    </row>
    <row r="28" spans="1:2" ht="14.5" x14ac:dyDescent="0.35">
      <c r="A28" s="8" t="s">
        <v>59655</v>
      </c>
      <c r="B28" s="8" t="s">
        <v>60393</v>
      </c>
    </row>
    <row r="29" spans="1:2" ht="14.5" x14ac:dyDescent="0.35">
      <c r="A29" s="8" t="s">
        <v>59655</v>
      </c>
      <c r="B29" s="8" t="s">
        <v>60394</v>
      </c>
    </row>
    <row r="30" spans="1:2" ht="14.5" x14ac:dyDescent="0.35">
      <c r="A30" s="8" t="s">
        <v>59655</v>
      </c>
      <c r="B30" s="8" t="s">
        <v>60091</v>
      </c>
    </row>
    <row r="31" spans="1:2" ht="14.5" x14ac:dyDescent="0.35">
      <c r="A31" s="8" t="s">
        <v>59655</v>
      </c>
      <c r="B31" s="8" t="s">
        <v>60397</v>
      </c>
    </row>
    <row r="32" spans="1:2" ht="14.5" x14ac:dyDescent="0.35">
      <c r="A32" s="8" t="s">
        <v>59655</v>
      </c>
      <c r="B32" s="8" t="s">
        <v>60398</v>
      </c>
    </row>
    <row r="33" spans="1:2" ht="14.5" x14ac:dyDescent="0.35">
      <c r="A33" s="8" t="s">
        <v>59655</v>
      </c>
      <c r="B33" s="8" t="s">
        <v>60399</v>
      </c>
    </row>
    <row r="34" spans="1:2" ht="14.5" x14ac:dyDescent="0.35">
      <c r="A34" s="8" t="s">
        <v>59655</v>
      </c>
      <c r="B34" s="8" t="s">
        <v>60402</v>
      </c>
    </row>
    <row r="35" spans="1:2" ht="14.5" x14ac:dyDescent="0.35">
      <c r="A35" s="8" t="s">
        <v>59655</v>
      </c>
      <c r="B35" s="8" t="s">
        <v>60161</v>
      </c>
    </row>
    <row r="36" spans="1:2" ht="14.5" x14ac:dyDescent="0.35">
      <c r="A36" s="8" t="s">
        <v>59655</v>
      </c>
      <c r="B36" s="8" t="s">
        <v>60162</v>
      </c>
    </row>
    <row r="37" spans="1:2" ht="14.5" x14ac:dyDescent="0.35">
      <c r="A37" s="8" t="s">
        <v>59655</v>
      </c>
      <c r="B37" s="8" t="s">
        <v>60421</v>
      </c>
    </row>
    <row r="38" spans="1:2" ht="14.5" x14ac:dyDescent="0.35">
      <c r="A38" s="8" t="s">
        <v>59655</v>
      </c>
      <c r="B38" s="8" t="s">
        <v>60422</v>
      </c>
    </row>
    <row r="39" spans="1:2" ht="14.5" x14ac:dyDescent="0.35">
      <c r="A39" s="8" t="s">
        <v>59655</v>
      </c>
      <c r="B39" s="8" t="s">
        <v>60424</v>
      </c>
    </row>
    <row r="40" spans="1:2" ht="14.5" x14ac:dyDescent="0.35">
      <c r="A40" s="8" t="s">
        <v>59655</v>
      </c>
      <c r="B40" s="8" t="s">
        <v>60098</v>
      </c>
    </row>
    <row r="41" spans="1:2" ht="14.5" x14ac:dyDescent="0.35">
      <c r="A41" s="8" t="s">
        <v>59655</v>
      </c>
      <c r="B41" s="8" t="s">
        <v>60432</v>
      </c>
    </row>
    <row r="42" spans="1:2" ht="14.5" x14ac:dyDescent="0.35">
      <c r="A42" s="8" t="s">
        <v>59655</v>
      </c>
      <c r="B42" s="8" t="s">
        <v>60444</v>
      </c>
    </row>
    <row r="43" spans="1:2" ht="14.5" x14ac:dyDescent="0.35">
      <c r="A43" s="8" t="s">
        <v>59655</v>
      </c>
      <c r="B43" s="8" t="s">
        <v>60446</v>
      </c>
    </row>
    <row r="44" spans="1:2" ht="14.5" x14ac:dyDescent="0.35">
      <c r="A44" s="8" t="s">
        <v>59655</v>
      </c>
      <c r="B44" s="8" t="s">
        <v>60451</v>
      </c>
    </row>
    <row r="45" spans="1:2" ht="14.5" x14ac:dyDescent="0.35">
      <c r="A45" s="8" t="s">
        <v>59655</v>
      </c>
      <c r="B45" s="8" t="s">
        <v>60163</v>
      </c>
    </row>
    <row r="46" spans="1:2" ht="14.5" x14ac:dyDescent="0.35">
      <c r="A46" s="8" t="s">
        <v>59655</v>
      </c>
      <c r="B46" s="8" t="s">
        <v>60457</v>
      </c>
    </row>
    <row r="47" spans="1:2" ht="14.5" x14ac:dyDescent="0.35">
      <c r="A47" s="8" t="s">
        <v>59655</v>
      </c>
      <c r="B47" s="8" t="s">
        <v>60108</v>
      </c>
    </row>
    <row r="48" spans="1:2" ht="14.5" x14ac:dyDescent="0.35">
      <c r="A48" s="8" t="s">
        <v>59655</v>
      </c>
      <c r="B48" s="8" t="s">
        <v>60115</v>
      </c>
    </row>
    <row r="49" spans="1:2" ht="14.5" x14ac:dyDescent="0.35">
      <c r="A49" s="8" t="s">
        <v>59655</v>
      </c>
      <c r="B49" s="8" t="s">
        <v>59892</v>
      </c>
    </row>
    <row r="50" spans="1:2" ht="14.5" x14ac:dyDescent="0.35">
      <c r="A50" s="8" t="s">
        <v>59655</v>
      </c>
      <c r="B50" s="8" t="s">
        <v>60315</v>
      </c>
    </row>
    <row r="51" spans="1:2" ht="14.5" x14ac:dyDescent="0.35">
      <c r="A51" s="8" t="s">
        <v>59655</v>
      </c>
      <c r="B51" s="8" t="s">
        <v>60164</v>
      </c>
    </row>
    <row r="52" spans="1:2" ht="14.5" x14ac:dyDescent="0.35">
      <c r="A52" s="8" t="s">
        <v>59655</v>
      </c>
      <c r="B52" s="8" t="s">
        <v>60165</v>
      </c>
    </row>
    <row r="53" spans="1:2" ht="14.5" x14ac:dyDescent="0.35">
      <c r="A53" s="8" t="s">
        <v>59655</v>
      </c>
      <c r="B53" s="8" t="s">
        <v>60128</v>
      </c>
    </row>
    <row r="54" spans="1:2" ht="14.5" x14ac:dyDescent="0.35">
      <c r="A54" s="8" t="s">
        <v>59655</v>
      </c>
      <c r="B54" s="8" t="s">
        <v>60129</v>
      </c>
    </row>
    <row r="55" spans="1:2" ht="14.5" x14ac:dyDescent="0.35">
      <c r="A55" s="8" t="s">
        <v>59655</v>
      </c>
      <c r="B55" s="8" t="s">
        <v>60130</v>
      </c>
    </row>
    <row r="56" spans="1:2" ht="14.5" x14ac:dyDescent="0.35">
      <c r="A56" s="8" t="s">
        <v>59655</v>
      </c>
      <c r="B56" s="8" t="s">
        <v>60131</v>
      </c>
    </row>
    <row r="57" spans="1:2" ht="14.5" x14ac:dyDescent="0.35">
      <c r="A57" s="8" t="s">
        <v>59655</v>
      </c>
      <c r="B57" s="8" t="s">
        <v>60135</v>
      </c>
    </row>
    <row r="58" spans="1:2" ht="14.5" x14ac:dyDescent="0.35">
      <c r="A58" s="8" t="s">
        <v>59655</v>
      </c>
      <c r="B58" s="8" t="s">
        <v>60138</v>
      </c>
    </row>
    <row r="59" spans="1:2" ht="14.5" x14ac:dyDescent="0.35">
      <c r="A59" s="8" t="s">
        <v>59655</v>
      </c>
      <c r="B59" s="8" t="s">
        <v>60139</v>
      </c>
    </row>
    <row r="60" spans="1:2" ht="14.5" x14ac:dyDescent="0.35">
      <c r="A60" s="8" t="s">
        <v>59655</v>
      </c>
      <c r="B60" s="8" t="s">
        <v>60032</v>
      </c>
    </row>
    <row r="61" spans="1:2" ht="14.5" x14ac:dyDescent="0.35">
      <c r="A61" s="8" t="s">
        <v>60004</v>
      </c>
      <c r="B61" s="8" t="s">
        <v>11051</v>
      </c>
    </row>
    <row r="62" spans="1:2" ht="14.5" x14ac:dyDescent="0.35">
      <c r="A62" s="8" t="s">
        <v>60004</v>
      </c>
      <c r="B62" s="8" t="s">
        <v>60166</v>
      </c>
    </row>
    <row r="63" spans="1:2" ht="14.5" x14ac:dyDescent="0.35">
      <c r="A63" s="8" t="s">
        <v>60004</v>
      </c>
      <c r="B63" s="8" t="s">
        <v>60167</v>
      </c>
    </row>
    <row r="64" spans="1:2" ht="14.5" x14ac:dyDescent="0.35">
      <c r="A64" s="8" t="s">
        <v>60004</v>
      </c>
      <c r="B64" s="8" t="s">
        <v>60351</v>
      </c>
    </row>
    <row r="65" spans="1:2" ht="14.5" x14ac:dyDescent="0.35">
      <c r="A65" s="8" t="s">
        <v>60004</v>
      </c>
      <c r="B65" s="8" t="s">
        <v>60168</v>
      </c>
    </row>
    <row r="66" spans="1:2" ht="14.5" x14ac:dyDescent="0.35">
      <c r="A66" s="8" t="s">
        <v>60004</v>
      </c>
      <c r="B66" s="8" t="s">
        <v>60362</v>
      </c>
    </row>
    <row r="67" spans="1:2" ht="14.5" x14ac:dyDescent="0.35">
      <c r="A67" s="8" t="s">
        <v>60004</v>
      </c>
      <c r="B67" s="8" t="s">
        <v>60169</v>
      </c>
    </row>
    <row r="68" spans="1:2" ht="14.5" x14ac:dyDescent="0.35">
      <c r="A68" s="8" t="s">
        <v>60004</v>
      </c>
      <c r="B68" s="8" t="s">
        <v>60170</v>
      </c>
    </row>
    <row r="69" spans="1:2" ht="14.5" x14ac:dyDescent="0.35">
      <c r="A69" s="8" t="s">
        <v>60004</v>
      </c>
      <c r="B69" s="8" t="s">
        <v>60171</v>
      </c>
    </row>
    <row r="70" spans="1:2" ht="14.5" x14ac:dyDescent="0.35">
      <c r="A70" s="8" t="s">
        <v>60004</v>
      </c>
      <c r="B70" s="8" t="s">
        <v>60367</v>
      </c>
    </row>
    <row r="71" spans="1:2" ht="14.5" x14ac:dyDescent="0.35">
      <c r="A71" s="8" t="s">
        <v>60004</v>
      </c>
      <c r="B71" s="8" t="s">
        <v>60372</v>
      </c>
    </row>
    <row r="72" spans="1:2" ht="14.5" x14ac:dyDescent="0.35">
      <c r="A72" s="8" t="s">
        <v>60004</v>
      </c>
      <c r="B72" s="8" t="s">
        <v>60374</v>
      </c>
    </row>
    <row r="73" spans="1:2" ht="14.5" x14ac:dyDescent="0.35">
      <c r="A73" s="8" t="s">
        <v>60004</v>
      </c>
      <c r="B73" s="8" t="s">
        <v>60172</v>
      </c>
    </row>
    <row r="74" spans="1:2" ht="14.5" x14ac:dyDescent="0.35">
      <c r="A74" s="8" t="s">
        <v>60004</v>
      </c>
      <c r="B74" s="8" t="s">
        <v>60173</v>
      </c>
    </row>
    <row r="75" spans="1:2" ht="14.5" x14ac:dyDescent="0.35">
      <c r="A75" s="8" t="s">
        <v>60004</v>
      </c>
      <c r="B75" s="8" t="s">
        <v>60005</v>
      </c>
    </row>
    <row r="76" spans="1:2" ht="14.5" x14ac:dyDescent="0.35">
      <c r="A76" s="8" t="s">
        <v>60004</v>
      </c>
      <c r="B76" s="8" t="s">
        <v>60385</v>
      </c>
    </row>
    <row r="77" spans="1:2" ht="14.5" x14ac:dyDescent="0.35">
      <c r="A77" s="8" t="s">
        <v>60004</v>
      </c>
      <c r="B77" s="8" t="s">
        <v>60386</v>
      </c>
    </row>
    <row r="78" spans="1:2" ht="14.5" x14ac:dyDescent="0.35">
      <c r="A78" s="8" t="s">
        <v>60004</v>
      </c>
      <c r="B78" s="8" t="s">
        <v>60200</v>
      </c>
    </row>
    <row r="79" spans="1:2" ht="14.5" x14ac:dyDescent="0.35">
      <c r="A79" s="8" t="s">
        <v>60004</v>
      </c>
      <c r="B79" s="8" t="s">
        <v>60463</v>
      </c>
    </row>
    <row r="80" spans="1:2" ht="14.5" x14ac:dyDescent="0.35">
      <c r="A80" s="8" t="s">
        <v>60004</v>
      </c>
      <c r="B80" s="8" t="s">
        <v>60174</v>
      </c>
    </row>
    <row r="81" spans="1:2" ht="14.5" x14ac:dyDescent="0.35">
      <c r="A81" s="8" t="s">
        <v>60004</v>
      </c>
      <c r="B81" s="8" t="s">
        <v>60175</v>
      </c>
    </row>
    <row r="82" spans="1:2" ht="14.5" x14ac:dyDescent="0.35">
      <c r="A82" s="8" t="s">
        <v>60004</v>
      </c>
      <c r="B82" s="8" t="s">
        <v>60176</v>
      </c>
    </row>
    <row r="83" spans="1:2" ht="14.5" x14ac:dyDescent="0.35">
      <c r="A83" s="8" t="s">
        <v>60004</v>
      </c>
      <c r="B83" s="8" t="s">
        <v>60395</v>
      </c>
    </row>
    <row r="84" spans="1:2" ht="14.5" x14ac:dyDescent="0.35">
      <c r="A84" s="8" t="s">
        <v>60004</v>
      </c>
      <c r="B84" s="8" t="s">
        <v>60396</v>
      </c>
    </row>
    <row r="85" spans="1:2" ht="14.5" x14ac:dyDescent="0.35">
      <c r="A85" s="8" t="s">
        <v>60004</v>
      </c>
      <c r="B85" s="8" t="s">
        <v>60177</v>
      </c>
    </row>
    <row r="86" spans="1:2" ht="14.5" x14ac:dyDescent="0.35">
      <c r="A86" s="8" t="s">
        <v>60004</v>
      </c>
      <c r="B86" s="8" t="s">
        <v>60178</v>
      </c>
    </row>
    <row r="87" spans="1:2" ht="14.5" x14ac:dyDescent="0.35">
      <c r="A87" s="8" t="s">
        <v>60004</v>
      </c>
      <c r="B87" s="8" t="s">
        <v>60401</v>
      </c>
    </row>
    <row r="88" spans="1:2" ht="14.5" x14ac:dyDescent="0.35">
      <c r="A88" s="8" t="s">
        <v>60004</v>
      </c>
      <c r="B88" s="8" t="s">
        <v>60216</v>
      </c>
    </row>
    <row r="89" spans="1:2" ht="14.5" x14ac:dyDescent="0.35">
      <c r="A89" s="8" t="s">
        <v>60004</v>
      </c>
      <c r="B89" s="8" t="s">
        <v>60403</v>
      </c>
    </row>
    <row r="90" spans="1:2" ht="14.5" x14ac:dyDescent="0.35">
      <c r="A90" s="8" t="s">
        <v>60004</v>
      </c>
      <c r="B90" s="8" t="s">
        <v>60406</v>
      </c>
    </row>
    <row r="91" spans="1:2" ht="14.5" x14ac:dyDescent="0.35">
      <c r="A91" s="8" t="s">
        <v>60004</v>
      </c>
      <c r="B91" s="8" t="s">
        <v>18340</v>
      </c>
    </row>
    <row r="92" spans="1:2" ht="14.5" x14ac:dyDescent="0.35">
      <c r="A92" s="8" t="s">
        <v>60004</v>
      </c>
      <c r="B92" s="8" t="s">
        <v>60179</v>
      </c>
    </row>
    <row r="93" spans="1:2" ht="14.5" x14ac:dyDescent="0.35">
      <c r="A93" s="8" t="s">
        <v>60004</v>
      </c>
      <c r="B93" s="8" t="s">
        <v>60180</v>
      </c>
    </row>
    <row r="94" spans="1:2" ht="14.5" x14ac:dyDescent="0.35">
      <c r="A94" s="8" t="s">
        <v>60004</v>
      </c>
      <c r="B94" s="8" t="s">
        <v>60249</v>
      </c>
    </row>
    <row r="95" spans="1:2" ht="14.5" x14ac:dyDescent="0.35">
      <c r="A95" s="8" t="s">
        <v>60004</v>
      </c>
      <c r="B95" s="8" t="s">
        <v>60420</v>
      </c>
    </row>
    <row r="96" spans="1:2" ht="14.5" x14ac:dyDescent="0.35">
      <c r="A96" s="8" t="s">
        <v>60004</v>
      </c>
      <c r="B96" s="8" t="s">
        <v>60423</v>
      </c>
    </row>
    <row r="97" spans="1:2" ht="14.5" x14ac:dyDescent="0.35">
      <c r="A97" s="8" t="s">
        <v>60004</v>
      </c>
      <c r="B97" s="8" t="s">
        <v>60253</v>
      </c>
    </row>
    <row r="98" spans="1:2" ht="14.5" x14ac:dyDescent="0.35">
      <c r="A98" s="8" t="s">
        <v>60004</v>
      </c>
      <c r="B98" s="8" t="s">
        <v>60426</v>
      </c>
    </row>
    <row r="99" spans="1:2" ht="14.5" x14ac:dyDescent="0.35">
      <c r="A99" s="8" t="s">
        <v>60004</v>
      </c>
      <c r="B99" s="8" t="s">
        <v>60265</v>
      </c>
    </row>
    <row r="100" spans="1:2" ht="14.5" x14ac:dyDescent="0.35">
      <c r="A100" s="8" t="s">
        <v>60004</v>
      </c>
      <c r="B100" s="8" t="s">
        <v>60181</v>
      </c>
    </row>
    <row r="101" spans="1:2" ht="14.5" x14ac:dyDescent="0.35">
      <c r="A101" s="8" t="s">
        <v>60004</v>
      </c>
      <c r="B101" s="8" t="s">
        <v>60278</v>
      </c>
    </row>
    <row r="102" spans="1:2" ht="14.5" x14ac:dyDescent="0.35">
      <c r="A102" s="8" t="s">
        <v>60004</v>
      </c>
      <c r="B102" s="8" t="s">
        <v>60182</v>
      </c>
    </row>
    <row r="103" spans="1:2" ht="14.5" x14ac:dyDescent="0.35">
      <c r="A103" s="8" t="s">
        <v>60004</v>
      </c>
      <c r="B103" s="8" t="s">
        <v>60286</v>
      </c>
    </row>
    <row r="104" spans="1:2" ht="14.5" x14ac:dyDescent="0.35">
      <c r="A104" s="8" t="s">
        <v>60004</v>
      </c>
      <c r="B104" s="8" t="s">
        <v>60443</v>
      </c>
    </row>
    <row r="105" spans="1:2" ht="14.5" x14ac:dyDescent="0.35">
      <c r="A105" s="8" t="s">
        <v>60004</v>
      </c>
      <c r="B105" s="8" t="s">
        <v>60183</v>
      </c>
    </row>
    <row r="106" spans="1:2" ht="14.5" x14ac:dyDescent="0.35">
      <c r="A106" s="8" t="s">
        <v>60004</v>
      </c>
      <c r="B106" s="8" t="s">
        <v>60184</v>
      </c>
    </row>
    <row r="107" spans="1:2" ht="14.5" x14ac:dyDescent="0.35">
      <c r="A107" s="8" t="s">
        <v>60004</v>
      </c>
      <c r="B107" s="8" t="s">
        <v>60290</v>
      </c>
    </row>
    <row r="108" spans="1:2" ht="14.5" x14ac:dyDescent="0.35">
      <c r="A108" s="8" t="s">
        <v>60004</v>
      </c>
      <c r="B108" s="8" t="s">
        <v>60291</v>
      </c>
    </row>
    <row r="109" spans="1:2" ht="14.5" x14ac:dyDescent="0.35">
      <c r="A109" s="8" t="s">
        <v>60004</v>
      </c>
      <c r="B109" s="8" t="s">
        <v>60294</v>
      </c>
    </row>
    <row r="110" spans="1:2" ht="14.5" x14ac:dyDescent="0.35">
      <c r="A110" s="8" t="s">
        <v>60004</v>
      </c>
      <c r="B110" s="8" t="s">
        <v>60459</v>
      </c>
    </row>
    <row r="111" spans="1:2" ht="14.5" x14ac:dyDescent="0.35">
      <c r="A111" s="8" t="s">
        <v>60004</v>
      </c>
      <c r="B111" s="8" t="s">
        <v>60185</v>
      </c>
    </row>
    <row r="112" spans="1:2" ht="14.5" x14ac:dyDescent="0.35">
      <c r="A112" s="8" t="s">
        <v>60004</v>
      </c>
      <c r="B112" s="8" t="s">
        <v>60186</v>
      </c>
    </row>
    <row r="113" spans="1:2" ht="14.5" x14ac:dyDescent="0.35">
      <c r="A113" s="8" t="s">
        <v>60004</v>
      </c>
      <c r="B113" s="8" t="s">
        <v>60132</v>
      </c>
    </row>
    <row r="114" spans="1:2" ht="14.5" x14ac:dyDescent="0.35">
      <c r="A114" s="8" t="s">
        <v>43</v>
      </c>
      <c r="B114" s="8" t="s">
        <v>59667</v>
      </c>
    </row>
    <row r="115" spans="1:2" ht="14.5" x14ac:dyDescent="0.35">
      <c r="A115" s="8" t="s">
        <v>43</v>
      </c>
      <c r="B115" s="8" t="s">
        <v>59668</v>
      </c>
    </row>
    <row r="116" spans="1:2" ht="14.5" x14ac:dyDescent="0.35">
      <c r="A116" s="8" t="s">
        <v>43</v>
      </c>
      <c r="B116" s="8" t="s">
        <v>59817</v>
      </c>
    </row>
    <row r="117" spans="1:2" ht="14.5" x14ac:dyDescent="0.35">
      <c r="A117" s="8" t="s">
        <v>43</v>
      </c>
      <c r="B117" s="8" t="s">
        <v>59818</v>
      </c>
    </row>
    <row r="118" spans="1:2" ht="14.5" x14ac:dyDescent="0.35">
      <c r="A118" s="8" t="s">
        <v>43</v>
      </c>
      <c r="B118" s="8" t="s">
        <v>59819</v>
      </c>
    </row>
    <row r="119" spans="1:2" ht="14.5" x14ac:dyDescent="0.35">
      <c r="A119" s="8" t="s">
        <v>43</v>
      </c>
      <c r="B119" s="8" t="s">
        <v>59820</v>
      </c>
    </row>
    <row r="120" spans="1:2" ht="14.5" x14ac:dyDescent="0.35">
      <c r="A120" s="8" t="s">
        <v>43</v>
      </c>
      <c r="B120" s="8" t="s">
        <v>59821</v>
      </c>
    </row>
    <row r="121" spans="1:2" ht="14.5" x14ac:dyDescent="0.35">
      <c r="A121" s="8" t="s">
        <v>43</v>
      </c>
      <c r="B121" s="8" t="s">
        <v>59669</v>
      </c>
    </row>
    <row r="122" spans="1:2" ht="14.5" x14ac:dyDescent="0.35">
      <c r="A122" s="8" t="s">
        <v>43</v>
      </c>
      <c r="B122" s="8" t="s">
        <v>59670</v>
      </c>
    </row>
    <row r="123" spans="1:2" ht="14.5" x14ac:dyDescent="0.35">
      <c r="A123" s="8" t="s">
        <v>43</v>
      </c>
      <c r="B123" s="8" t="s">
        <v>59671</v>
      </c>
    </row>
    <row r="124" spans="1:2" ht="14.5" x14ac:dyDescent="0.35">
      <c r="A124" s="8" t="s">
        <v>43</v>
      </c>
      <c r="B124" s="8" t="s">
        <v>60035</v>
      </c>
    </row>
    <row r="125" spans="1:2" ht="14.5" x14ac:dyDescent="0.35">
      <c r="A125" s="8" t="s">
        <v>43</v>
      </c>
      <c r="B125" s="8" t="s">
        <v>59672</v>
      </c>
    </row>
    <row r="126" spans="1:2" ht="14.5" x14ac:dyDescent="0.35">
      <c r="A126" s="8" t="s">
        <v>43</v>
      </c>
      <c r="B126" s="8" t="s">
        <v>59673</v>
      </c>
    </row>
    <row r="127" spans="1:2" ht="14.5" x14ac:dyDescent="0.35">
      <c r="A127" s="8" t="s">
        <v>43</v>
      </c>
      <c r="B127" s="8" t="s">
        <v>59823</v>
      </c>
    </row>
    <row r="128" spans="1:2" ht="14.5" x14ac:dyDescent="0.35">
      <c r="A128" s="8" t="s">
        <v>43</v>
      </c>
      <c r="B128" s="8" t="s">
        <v>59674</v>
      </c>
    </row>
    <row r="129" spans="1:2" ht="14.5" x14ac:dyDescent="0.35">
      <c r="A129" s="8" t="s">
        <v>43</v>
      </c>
      <c r="B129" s="8" t="s">
        <v>59824</v>
      </c>
    </row>
    <row r="130" spans="1:2" ht="14.5" x14ac:dyDescent="0.35">
      <c r="A130" s="8" t="s">
        <v>43</v>
      </c>
      <c r="B130" s="8" t="s">
        <v>59825</v>
      </c>
    </row>
    <row r="131" spans="1:2" ht="14.5" x14ac:dyDescent="0.35">
      <c r="A131" s="8" t="s">
        <v>43</v>
      </c>
      <c r="B131" s="8" t="s">
        <v>59675</v>
      </c>
    </row>
    <row r="132" spans="1:2" ht="14.5" x14ac:dyDescent="0.35">
      <c r="A132" s="8" t="s">
        <v>43</v>
      </c>
      <c r="B132" s="8" t="s">
        <v>59676</v>
      </c>
    </row>
    <row r="133" spans="1:2" ht="14.5" x14ac:dyDescent="0.35">
      <c r="A133" s="8" t="s">
        <v>43</v>
      </c>
      <c r="B133" s="8" t="s">
        <v>59677</v>
      </c>
    </row>
    <row r="134" spans="1:2" ht="14.5" x14ac:dyDescent="0.35">
      <c r="A134" s="8" t="s">
        <v>43</v>
      </c>
      <c r="B134" s="8" t="s">
        <v>168</v>
      </c>
    </row>
    <row r="135" spans="1:2" ht="14.5" x14ac:dyDescent="0.35">
      <c r="A135" s="8" t="s">
        <v>43</v>
      </c>
      <c r="B135" s="8" t="s">
        <v>59678</v>
      </c>
    </row>
    <row r="136" spans="1:2" ht="14.5" x14ac:dyDescent="0.35">
      <c r="A136" s="8" t="s">
        <v>43</v>
      </c>
      <c r="B136" s="8" t="s">
        <v>59679</v>
      </c>
    </row>
    <row r="137" spans="1:2" ht="14.5" x14ac:dyDescent="0.35">
      <c r="A137" s="8" t="s">
        <v>43</v>
      </c>
      <c r="B137" s="8" t="s">
        <v>59826</v>
      </c>
    </row>
    <row r="138" spans="1:2" ht="14.5" x14ac:dyDescent="0.35">
      <c r="A138" s="8" t="s">
        <v>43</v>
      </c>
      <c r="B138" s="8" t="s">
        <v>58263</v>
      </c>
    </row>
    <row r="139" spans="1:2" ht="14.5" x14ac:dyDescent="0.35">
      <c r="A139" s="8" t="s">
        <v>43</v>
      </c>
      <c r="B139" s="8" t="s">
        <v>59827</v>
      </c>
    </row>
    <row r="140" spans="1:2" ht="14.5" x14ac:dyDescent="0.35">
      <c r="A140" s="8" t="s">
        <v>43</v>
      </c>
      <c r="B140" s="8" t="s">
        <v>59680</v>
      </c>
    </row>
    <row r="141" spans="1:2" ht="14.5" x14ac:dyDescent="0.35">
      <c r="A141" s="8" t="s">
        <v>43</v>
      </c>
      <c r="B141" s="8" t="s">
        <v>59681</v>
      </c>
    </row>
    <row r="142" spans="1:2" ht="14.5" x14ac:dyDescent="0.35">
      <c r="A142" s="8" t="s">
        <v>43</v>
      </c>
      <c r="B142" s="8" t="s">
        <v>60187</v>
      </c>
    </row>
    <row r="143" spans="1:2" ht="14.5" x14ac:dyDescent="0.35">
      <c r="A143" s="8" t="s">
        <v>43</v>
      </c>
      <c r="B143" s="8" t="s">
        <v>59682</v>
      </c>
    </row>
    <row r="144" spans="1:2" ht="14.5" x14ac:dyDescent="0.35">
      <c r="A144" s="8" t="s">
        <v>43</v>
      </c>
      <c r="B144" s="8" t="s">
        <v>59828</v>
      </c>
    </row>
    <row r="145" spans="1:2" ht="14.5" x14ac:dyDescent="0.35">
      <c r="A145" s="8" t="s">
        <v>43</v>
      </c>
      <c r="B145" s="8" t="s">
        <v>59683</v>
      </c>
    </row>
    <row r="146" spans="1:2" ht="14.5" x14ac:dyDescent="0.35">
      <c r="A146" s="8" t="s">
        <v>43</v>
      </c>
      <c r="B146" s="8" t="s">
        <v>59829</v>
      </c>
    </row>
    <row r="147" spans="1:2" ht="14.5" x14ac:dyDescent="0.35">
      <c r="A147" s="8" t="s">
        <v>43</v>
      </c>
      <c r="B147" s="8" t="s">
        <v>59830</v>
      </c>
    </row>
    <row r="148" spans="1:2" ht="14.5" x14ac:dyDescent="0.35">
      <c r="A148" s="8" t="s">
        <v>43</v>
      </c>
      <c r="B148" s="8" t="s">
        <v>60036</v>
      </c>
    </row>
    <row r="149" spans="1:2" ht="14.5" x14ac:dyDescent="0.35">
      <c r="A149" s="8" t="s">
        <v>43</v>
      </c>
      <c r="B149" s="8" t="s">
        <v>59684</v>
      </c>
    </row>
    <row r="150" spans="1:2" ht="14.5" x14ac:dyDescent="0.35">
      <c r="A150" s="8" t="s">
        <v>43</v>
      </c>
      <c r="B150" s="8" t="s">
        <v>59685</v>
      </c>
    </row>
    <row r="151" spans="1:2" ht="14.5" x14ac:dyDescent="0.35">
      <c r="A151" s="8" t="s">
        <v>43</v>
      </c>
      <c r="B151" s="8" t="s">
        <v>59686</v>
      </c>
    </row>
    <row r="152" spans="1:2" ht="14.5" x14ac:dyDescent="0.35">
      <c r="A152" s="8" t="s">
        <v>43</v>
      </c>
      <c r="B152" s="8" t="s">
        <v>59831</v>
      </c>
    </row>
    <row r="153" spans="1:2" ht="14.5" x14ac:dyDescent="0.35">
      <c r="A153" s="8" t="s">
        <v>43</v>
      </c>
      <c r="B153" s="8" t="s">
        <v>59832</v>
      </c>
    </row>
    <row r="154" spans="1:2" ht="14.5" x14ac:dyDescent="0.35">
      <c r="A154" s="8" t="s">
        <v>43</v>
      </c>
      <c r="B154" s="8" t="s">
        <v>59833</v>
      </c>
    </row>
    <row r="155" spans="1:2" ht="14.5" x14ac:dyDescent="0.35">
      <c r="A155" s="8" t="s">
        <v>43</v>
      </c>
      <c r="B155" s="8" t="s">
        <v>59835</v>
      </c>
    </row>
    <row r="156" spans="1:2" ht="14.5" x14ac:dyDescent="0.35">
      <c r="A156" s="8" t="s">
        <v>43</v>
      </c>
      <c r="B156" s="8" t="s">
        <v>59836</v>
      </c>
    </row>
    <row r="157" spans="1:2" ht="14.5" x14ac:dyDescent="0.35">
      <c r="A157" s="8" t="s">
        <v>43</v>
      </c>
      <c r="B157" s="8" t="s">
        <v>59687</v>
      </c>
    </row>
    <row r="158" spans="1:2" ht="14.5" x14ac:dyDescent="0.35">
      <c r="A158" s="8" t="s">
        <v>43</v>
      </c>
      <c r="B158" s="8" t="s">
        <v>40281</v>
      </c>
    </row>
    <row r="159" spans="1:2" ht="14.5" x14ac:dyDescent="0.35">
      <c r="A159" s="8" t="s">
        <v>43</v>
      </c>
      <c r="B159" s="8" t="s">
        <v>59837</v>
      </c>
    </row>
    <row r="160" spans="1:2" ht="14.5" x14ac:dyDescent="0.35">
      <c r="A160" s="8" t="s">
        <v>43</v>
      </c>
      <c r="B160" s="8" t="s">
        <v>59838</v>
      </c>
    </row>
    <row r="161" spans="1:2" ht="14.5" x14ac:dyDescent="0.35">
      <c r="A161" s="8" t="s">
        <v>43</v>
      </c>
      <c r="B161" s="8" t="s">
        <v>279</v>
      </c>
    </row>
    <row r="162" spans="1:2" ht="14.5" x14ac:dyDescent="0.35">
      <c r="A162" s="8" t="s">
        <v>43</v>
      </c>
      <c r="B162" s="8" t="s">
        <v>419</v>
      </c>
    </row>
    <row r="163" spans="1:2" ht="14.5" x14ac:dyDescent="0.35">
      <c r="A163" s="8" t="s">
        <v>43</v>
      </c>
      <c r="B163" s="8" t="s">
        <v>59688</v>
      </c>
    </row>
    <row r="164" spans="1:2" ht="14.5" x14ac:dyDescent="0.35">
      <c r="A164" s="8" t="s">
        <v>43</v>
      </c>
      <c r="B164" s="8" t="s">
        <v>59839</v>
      </c>
    </row>
    <row r="165" spans="1:2" ht="14.5" x14ac:dyDescent="0.35">
      <c r="A165" s="8" t="s">
        <v>43</v>
      </c>
      <c r="B165" s="8" t="s">
        <v>59840</v>
      </c>
    </row>
    <row r="166" spans="1:2" ht="14.5" x14ac:dyDescent="0.35">
      <c r="A166" s="8" t="s">
        <v>43</v>
      </c>
      <c r="B166" s="8" t="s">
        <v>60037</v>
      </c>
    </row>
    <row r="167" spans="1:2" ht="14.5" x14ac:dyDescent="0.35">
      <c r="A167" s="8" t="s">
        <v>43</v>
      </c>
      <c r="B167" s="8" t="s">
        <v>59980</v>
      </c>
    </row>
    <row r="168" spans="1:2" ht="14.5" x14ac:dyDescent="0.35">
      <c r="A168" s="8" t="s">
        <v>43</v>
      </c>
      <c r="B168" s="8" t="s">
        <v>59841</v>
      </c>
    </row>
    <row r="169" spans="1:2" ht="14.5" x14ac:dyDescent="0.35">
      <c r="A169" s="8" t="s">
        <v>43</v>
      </c>
      <c r="B169" s="8" t="s">
        <v>60188</v>
      </c>
    </row>
    <row r="170" spans="1:2" ht="14.5" x14ac:dyDescent="0.35">
      <c r="A170" s="8" t="s">
        <v>43</v>
      </c>
      <c r="B170" s="8" t="s">
        <v>59842</v>
      </c>
    </row>
    <row r="171" spans="1:2" ht="14.5" x14ac:dyDescent="0.35">
      <c r="A171" s="8" t="s">
        <v>43</v>
      </c>
      <c r="B171" s="8" t="s">
        <v>60189</v>
      </c>
    </row>
    <row r="172" spans="1:2" ht="14.5" x14ac:dyDescent="0.35">
      <c r="A172" s="8" t="s">
        <v>43</v>
      </c>
      <c r="B172" s="8" t="s">
        <v>59689</v>
      </c>
    </row>
    <row r="173" spans="1:2" ht="14.5" x14ac:dyDescent="0.35">
      <c r="A173" s="8" t="s">
        <v>43</v>
      </c>
      <c r="B173" s="8" t="s">
        <v>59981</v>
      </c>
    </row>
    <row r="174" spans="1:2" ht="14.5" x14ac:dyDescent="0.35">
      <c r="A174" s="8" t="s">
        <v>43</v>
      </c>
      <c r="B174" s="8" t="s">
        <v>60190</v>
      </c>
    </row>
    <row r="175" spans="1:2" ht="14.5" x14ac:dyDescent="0.35">
      <c r="A175" s="8" t="s">
        <v>43</v>
      </c>
      <c r="B175" s="8" t="s">
        <v>59843</v>
      </c>
    </row>
    <row r="176" spans="1:2" ht="14.5" x14ac:dyDescent="0.35">
      <c r="A176" s="8" t="s">
        <v>43</v>
      </c>
      <c r="B176" s="8" t="s">
        <v>59844</v>
      </c>
    </row>
    <row r="177" spans="1:2" ht="14.5" x14ac:dyDescent="0.35">
      <c r="A177" s="8" t="s">
        <v>43</v>
      </c>
      <c r="B177" s="8" t="s">
        <v>513</v>
      </c>
    </row>
    <row r="178" spans="1:2" ht="14.5" x14ac:dyDescent="0.35">
      <c r="A178" s="8" t="s">
        <v>43</v>
      </c>
      <c r="B178" s="8" t="s">
        <v>59690</v>
      </c>
    </row>
    <row r="179" spans="1:2" ht="14.5" x14ac:dyDescent="0.35">
      <c r="A179" s="8" t="s">
        <v>43</v>
      </c>
      <c r="B179" s="8" t="s">
        <v>59846</v>
      </c>
    </row>
    <row r="180" spans="1:2" ht="14.5" x14ac:dyDescent="0.35">
      <c r="A180" s="8" t="s">
        <v>43</v>
      </c>
      <c r="B180" s="8" t="s">
        <v>59847</v>
      </c>
    </row>
    <row r="181" spans="1:2" ht="14.5" x14ac:dyDescent="0.35">
      <c r="A181" s="8" t="s">
        <v>43</v>
      </c>
      <c r="B181" s="8" t="s">
        <v>59691</v>
      </c>
    </row>
    <row r="182" spans="1:2" ht="14.5" x14ac:dyDescent="0.35">
      <c r="A182" s="8" t="s">
        <v>43</v>
      </c>
      <c r="B182" s="8" t="s">
        <v>59692</v>
      </c>
    </row>
    <row r="183" spans="1:2" ht="14.5" x14ac:dyDescent="0.35">
      <c r="A183" s="8" t="s">
        <v>43</v>
      </c>
      <c r="B183" s="8" t="s">
        <v>593</v>
      </c>
    </row>
    <row r="184" spans="1:2" ht="14.5" x14ac:dyDescent="0.35">
      <c r="A184" s="8" t="s">
        <v>43</v>
      </c>
      <c r="B184" s="8" t="s">
        <v>59848</v>
      </c>
    </row>
    <row r="185" spans="1:2" ht="14.5" x14ac:dyDescent="0.35">
      <c r="A185" s="8" t="s">
        <v>43</v>
      </c>
      <c r="B185" s="8" t="s">
        <v>59849</v>
      </c>
    </row>
    <row r="186" spans="1:2" ht="14.5" x14ac:dyDescent="0.35">
      <c r="A186" s="8" t="s">
        <v>43</v>
      </c>
      <c r="B186" s="8" t="s">
        <v>59693</v>
      </c>
    </row>
    <row r="187" spans="1:2" ht="14.5" x14ac:dyDescent="0.35">
      <c r="A187" s="8" t="s">
        <v>43</v>
      </c>
      <c r="B187" s="8" t="s">
        <v>59694</v>
      </c>
    </row>
    <row r="188" spans="1:2" ht="14.5" x14ac:dyDescent="0.35">
      <c r="A188" s="8" t="s">
        <v>43</v>
      </c>
      <c r="B188" s="8" t="s">
        <v>59695</v>
      </c>
    </row>
    <row r="189" spans="1:2" ht="14.5" x14ac:dyDescent="0.35">
      <c r="A189" s="8" t="s">
        <v>43</v>
      </c>
      <c r="B189" s="8" t="s">
        <v>59850</v>
      </c>
    </row>
    <row r="190" spans="1:2" ht="14.5" x14ac:dyDescent="0.35">
      <c r="A190" s="8" t="s">
        <v>43</v>
      </c>
      <c r="B190" s="8" t="s">
        <v>59851</v>
      </c>
    </row>
    <row r="191" spans="1:2" ht="14.5" x14ac:dyDescent="0.35">
      <c r="A191" s="8" t="s">
        <v>43</v>
      </c>
      <c r="B191" s="8" t="s">
        <v>54340</v>
      </c>
    </row>
    <row r="192" spans="1:2" ht="14.5" x14ac:dyDescent="0.35">
      <c r="A192" s="8" t="s">
        <v>43</v>
      </c>
      <c r="B192" s="8" t="s">
        <v>59696</v>
      </c>
    </row>
    <row r="193" spans="1:2" ht="14.5" x14ac:dyDescent="0.35">
      <c r="A193" s="8" t="s">
        <v>43</v>
      </c>
      <c r="B193" s="8" t="s">
        <v>59852</v>
      </c>
    </row>
    <row r="194" spans="1:2" ht="14.5" x14ac:dyDescent="0.35">
      <c r="A194" s="8" t="s">
        <v>43</v>
      </c>
      <c r="B194" s="8" t="s">
        <v>59853</v>
      </c>
    </row>
    <row r="195" spans="1:2" ht="14.5" x14ac:dyDescent="0.35">
      <c r="A195" s="8" t="s">
        <v>43</v>
      </c>
      <c r="B195" s="8" t="s">
        <v>59697</v>
      </c>
    </row>
    <row r="196" spans="1:2" ht="14.5" x14ac:dyDescent="0.35">
      <c r="A196" s="8" t="s">
        <v>43</v>
      </c>
      <c r="B196" s="8" t="s">
        <v>60191</v>
      </c>
    </row>
    <row r="197" spans="1:2" ht="14.5" x14ac:dyDescent="0.35">
      <c r="A197" s="8" t="s">
        <v>43</v>
      </c>
      <c r="B197" s="8" t="s">
        <v>703</v>
      </c>
    </row>
    <row r="198" spans="1:2" ht="14.5" x14ac:dyDescent="0.35">
      <c r="A198" s="8" t="s">
        <v>43</v>
      </c>
      <c r="B198" s="8" t="s">
        <v>59854</v>
      </c>
    </row>
    <row r="199" spans="1:2" ht="14.5" x14ac:dyDescent="0.35">
      <c r="A199" s="8" t="s">
        <v>43</v>
      </c>
      <c r="B199" s="8" t="s">
        <v>60079</v>
      </c>
    </row>
    <row r="200" spans="1:2" ht="14.5" x14ac:dyDescent="0.35">
      <c r="A200" s="8" t="s">
        <v>43</v>
      </c>
      <c r="B200" s="8" t="s">
        <v>59855</v>
      </c>
    </row>
    <row r="201" spans="1:2" ht="14.5" x14ac:dyDescent="0.35">
      <c r="A201" s="8" t="s">
        <v>43</v>
      </c>
      <c r="B201" s="8" t="s">
        <v>59856</v>
      </c>
    </row>
    <row r="202" spans="1:2" ht="14.5" x14ac:dyDescent="0.35">
      <c r="A202" s="8" t="s">
        <v>43</v>
      </c>
      <c r="B202" s="8" t="s">
        <v>60080</v>
      </c>
    </row>
    <row r="203" spans="1:2" ht="14.5" x14ac:dyDescent="0.35">
      <c r="A203" s="8" t="s">
        <v>43</v>
      </c>
      <c r="B203" s="8" t="s">
        <v>60192</v>
      </c>
    </row>
    <row r="204" spans="1:2" ht="14.5" x14ac:dyDescent="0.35">
      <c r="A204" s="8" t="s">
        <v>43</v>
      </c>
      <c r="B204" s="8" t="s">
        <v>59857</v>
      </c>
    </row>
    <row r="205" spans="1:2" ht="14.5" x14ac:dyDescent="0.35">
      <c r="A205" s="8" t="s">
        <v>43</v>
      </c>
      <c r="B205" s="8" t="s">
        <v>59858</v>
      </c>
    </row>
    <row r="206" spans="1:2" ht="14.5" x14ac:dyDescent="0.35">
      <c r="A206" s="8" t="s">
        <v>43</v>
      </c>
      <c r="B206" s="8" t="s">
        <v>59698</v>
      </c>
    </row>
    <row r="207" spans="1:2" ht="14.5" x14ac:dyDescent="0.35">
      <c r="A207" s="8" t="s">
        <v>43</v>
      </c>
      <c r="B207" s="8" t="s">
        <v>59859</v>
      </c>
    </row>
    <row r="208" spans="1:2" ht="14.5" x14ac:dyDescent="0.35">
      <c r="A208" s="8" t="s">
        <v>43</v>
      </c>
      <c r="B208" s="8" t="s">
        <v>59860</v>
      </c>
    </row>
    <row r="209" spans="1:2" ht="14.5" x14ac:dyDescent="0.35">
      <c r="A209" s="8" t="s">
        <v>43</v>
      </c>
      <c r="B209" s="8" t="s">
        <v>59861</v>
      </c>
    </row>
    <row r="210" spans="1:2" ht="14.5" x14ac:dyDescent="0.35">
      <c r="A210" s="8" t="s">
        <v>43</v>
      </c>
      <c r="B210" s="8" t="s">
        <v>59862</v>
      </c>
    </row>
    <row r="211" spans="1:2" ht="14.5" x14ac:dyDescent="0.35">
      <c r="A211" s="8" t="s">
        <v>43</v>
      </c>
      <c r="B211" s="8" t="s">
        <v>59863</v>
      </c>
    </row>
    <row r="212" spans="1:2" ht="14.5" x14ac:dyDescent="0.35">
      <c r="A212" s="8" t="s">
        <v>43</v>
      </c>
      <c r="B212" s="8" t="s">
        <v>59699</v>
      </c>
    </row>
    <row r="213" spans="1:2" ht="14.5" x14ac:dyDescent="0.35">
      <c r="A213" s="8" t="s">
        <v>43</v>
      </c>
      <c r="B213" s="8" t="s">
        <v>59864</v>
      </c>
    </row>
    <row r="214" spans="1:2" ht="14.5" x14ac:dyDescent="0.35">
      <c r="A214" s="8" t="s">
        <v>43</v>
      </c>
      <c r="B214" s="8" t="s">
        <v>59865</v>
      </c>
    </row>
    <row r="215" spans="1:2" ht="14.5" x14ac:dyDescent="0.35">
      <c r="A215" s="8" t="s">
        <v>43</v>
      </c>
      <c r="B215" s="8" t="s">
        <v>59701</v>
      </c>
    </row>
    <row r="216" spans="1:2" ht="14.5" x14ac:dyDescent="0.35">
      <c r="A216" s="8" t="s">
        <v>43</v>
      </c>
      <c r="B216" s="8" t="s">
        <v>59866</v>
      </c>
    </row>
    <row r="217" spans="1:2" ht="14.5" x14ac:dyDescent="0.35">
      <c r="A217" s="8" t="s">
        <v>43</v>
      </c>
      <c r="B217" s="8" t="s">
        <v>59702</v>
      </c>
    </row>
    <row r="218" spans="1:2" ht="14.5" x14ac:dyDescent="0.35">
      <c r="A218" s="8" t="s">
        <v>43</v>
      </c>
      <c r="B218" s="8" t="s">
        <v>59867</v>
      </c>
    </row>
    <row r="219" spans="1:2" ht="14.5" x14ac:dyDescent="0.35">
      <c r="A219" s="8" t="s">
        <v>43</v>
      </c>
      <c r="B219" s="8" t="s">
        <v>6921</v>
      </c>
    </row>
    <row r="220" spans="1:2" ht="14.5" x14ac:dyDescent="0.35">
      <c r="A220" s="8" t="s">
        <v>43</v>
      </c>
      <c r="B220" s="8" t="s">
        <v>59703</v>
      </c>
    </row>
    <row r="221" spans="1:2" ht="14.5" x14ac:dyDescent="0.35">
      <c r="A221" s="8" t="s">
        <v>43</v>
      </c>
      <c r="B221" s="8" t="s">
        <v>59704</v>
      </c>
    </row>
    <row r="222" spans="1:2" ht="14.5" x14ac:dyDescent="0.35">
      <c r="A222" s="8" t="s">
        <v>43</v>
      </c>
      <c r="B222" s="8" t="s">
        <v>60041</v>
      </c>
    </row>
    <row r="223" spans="1:2" ht="14.5" x14ac:dyDescent="0.35">
      <c r="A223" s="8" t="s">
        <v>43</v>
      </c>
      <c r="B223" s="8" t="s">
        <v>59868</v>
      </c>
    </row>
    <row r="224" spans="1:2" ht="14.5" x14ac:dyDescent="0.35">
      <c r="A224" s="8" t="s">
        <v>43</v>
      </c>
      <c r="B224" s="8" t="s">
        <v>60352</v>
      </c>
    </row>
    <row r="225" spans="1:2" ht="14.5" x14ac:dyDescent="0.35">
      <c r="A225" s="8" t="s">
        <v>43</v>
      </c>
      <c r="B225" s="8" t="s">
        <v>59705</v>
      </c>
    </row>
    <row r="226" spans="1:2" ht="14.5" x14ac:dyDescent="0.35">
      <c r="A226" s="8" t="s">
        <v>43</v>
      </c>
      <c r="B226" s="8" t="s">
        <v>59869</v>
      </c>
    </row>
    <row r="227" spans="1:2" ht="14.5" x14ac:dyDescent="0.35">
      <c r="A227" s="8" t="s">
        <v>43</v>
      </c>
      <c r="B227" s="8" t="s">
        <v>59706</v>
      </c>
    </row>
    <row r="228" spans="1:2" ht="14.5" x14ac:dyDescent="0.35">
      <c r="A228" s="8" t="s">
        <v>43</v>
      </c>
      <c r="B228" s="8" t="s">
        <v>60353</v>
      </c>
    </row>
    <row r="229" spans="1:2" ht="14.5" x14ac:dyDescent="0.35">
      <c r="A229" s="8" t="s">
        <v>43</v>
      </c>
      <c r="B229" s="8" t="s">
        <v>59707</v>
      </c>
    </row>
    <row r="230" spans="1:2" ht="14.5" x14ac:dyDescent="0.35">
      <c r="A230" s="8" t="s">
        <v>43</v>
      </c>
      <c r="B230" s="8" t="s">
        <v>59870</v>
      </c>
    </row>
    <row r="231" spans="1:2" ht="14.5" x14ac:dyDescent="0.35">
      <c r="A231" s="8" t="s">
        <v>43</v>
      </c>
      <c r="B231" s="8" t="s">
        <v>59871</v>
      </c>
    </row>
    <row r="232" spans="1:2" ht="14.5" x14ac:dyDescent="0.35">
      <c r="A232" s="8" t="s">
        <v>43</v>
      </c>
      <c r="B232" s="8" t="s">
        <v>59708</v>
      </c>
    </row>
    <row r="233" spans="1:2" ht="14.5" x14ac:dyDescent="0.35">
      <c r="A233" s="8" t="s">
        <v>43</v>
      </c>
      <c r="B233" s="8" t="s">
        <v>59709</v>
      </c>
    </row>
    <row r="234" spans="1:2" ht="14.5" x14ac:dyDescent="0.35">
      <c r="A234" s="8" t="s">
        <v>43</v>
      </c>
      <c r="B234" s="8" t="s">
        <v>59872</v>
      </c>
    </row>
    <row r="235" spans="1:2" ht="14.5" x14ac:dyDescent="0.35">
      <c r="A235" s="8" t="s">
        <v>43</v>
      </c>
      <c r="B235" s="8" t="s">
        <v>59710</v>
      </c>
    </row>
    <row r="236" spans="1:2" ht="14.5" x14ac:dyDescent="0.35">
      <c r="A236" s="8" t="s">
        <v>43</v>
      </c>
      <c r="B236" s="8" t="s">
        <v>59711</v>
      </c>
    </row>
    <row r="237" spans="1:2" ht="14.5" x14ac:dyDescent="0.35">
      <c r="A237" s="8" t="s">
        <v>43</v>
      </c>
      <c r="B237" s="8" t="s">
        <v>56202</v>
      </c>
    </row>
    <row r="238" spans="1:2" ht="14.5" x14ac:dyDescent="0.35">
      <c r="A238" s="8" t="s">
        <v>43</v>
      </c>
      <c r="B238" s="8" t="s">
        <v>60042</v>
      </c>
    </row>
    <row r="239" spans="1:2" ht="14.5" x14ac:dyDescent="0.35">
      <c r="A239" s="8" t="s">
        <v>43</v>
      </c>
      <c r="B239" s="8" t="s">
        <v>59712</v>
      </c>
    </row>
    <row r="240" spans="1:2" ht="14.5" x14ac:dyDescent="0.35">
      <c r="A240" s="8" t="s">
        <v>43</v>
      </c>
      <c r="B240" s="8" t="s">
        <v>59713</v>
      </c>
    </row>
    <row r="241" spans="1:2" ht="14.5" x14ac:dyDescent="0.35">
      <c r="A241" s="8" t="s">
        <v>43</v>
      </c>
      <c r="B241" s="8" t="s">
        <v>59714</v>
      </c>
    </row>
    <row r="242" spans="1:2" ht="14.5" x14ac:dyDescent="0.35">
      <c r="A242" s="8" t="s">
        <v>43</v>
      </c>
      <c r="B242" s="8" t="s">
        <v>59715</v>
      </c>
    </row>
    <row r="243" spans="1:2" ht="14.5" x14ac:dyDescent="0.35">
      <c r="A243" s="8" t="s">
        <v>43</v>
      </c>
      <c r="B243" s="8" t="s">
        <v>59716</v>
      </c>
    </row>
    <row r="244" spans="1:2" ht="14.5" x14ac:dyDescent="0.35">
      <c r="A244" s="8" t="s">
        <v>43</v>
      </c>
      <c r="B244" s="8" t="s">
        <v>59875</v>
      </c>
    </row>
    <row r="245" spans="1:2" ht="14.5" x14ac:dyDescent="0.35">
      <c r="A245" s="8" t="s">
        <v>43</v>
      </c>
      <c r="B245" s="8" t="s">
        <v>57760</v>
      </c>
    </row>
    <row r="246" spans="1:2" ht="14.5" x14ac:dyDescent="0.35">
      <c r="A246" s="8" t="s">
        <v>43</v>
      </c>
      <c r="B246" s="8" t="s">
        <v>59873</v>
      </c>
    </row>
    <row r="247" spans="1:2" ht="14.5" x14ac:dyDescent="0.35">
      <c r="A247" s="8" t="s">
        <v>43</v>
      </c>
      <c r="B247" s="8" t="s">
        <v>59717</v>
      </c>
    </row>
    <row r="248" spans="1:2" ht="14.5" x14ac:dyDescent="0.35">
      <c r="A248" s="8" t="s">
        <v>43</v>
      </c>
      <c r="B248" s="8" t="s">
        <v>59876</v>
      </c>
    </row>
    <row r="249" spans="1:2" ht="14.5" x14ac:dyDescent="0.35">
      <c r="A249" s="8" t="s">
        <v>43</v>
      </c>
      <c r="B249" s="8" t="s">
        <v>59718</v>
      </c>
    </row>
    <row r="250" spans="1:2" ht="14.5" x14ac:dyDescent="0.35">
      <c r="A250" s="8" t="s">
        <v>43</v>
      </c>
      <c r="B250" s="8" t="s">
        <v>60355</v>
      </c>
    </row>
    <row r="251" spans="1:2" ht="14.5" x14ac:dyDescent="0.35">
      <c r="A251" s="8" t="s">
        <v>43</v>
      </c>
      <c r="B251" s="8" t="s">
        <v>59877</v>
      </c>
    </row>
    <row r="252" spans="1:2" ht="14.5" x14ac:dyDescent="0.35">
      <c r="A252" s="8" t="s">
        <v>43</v>
      </c>
      <c r="B252" s="8" t="s">
        <v>60356</v>
      </c>
    </row>
    <row r="253" spans="1:2" ht="14.5" x14ac:dyDescent="0.35">
      <c r="A253" s="8" t="s">
        <v>43</v>
      </c>
      <c r="B253" s="8" t="s">
        <v>60357</v>
      </c>
    </row>
    <row r="254" spans="1:2" ht="14.5" x14ac:dyDescent="0.35">
      <c r="A254" s="8" t="s">
        <v>43</v>
      </c>
      <c r="B254" s="8" t="s">
        <v>57166</v>
      </c>
    </row>
    <row r="255" spans="1:2" ht="14.5" x14ac:dyDescent="0.35">
      <c r="A255" s="8" t="s">
        <v>43</v>
      </c>
      <c r="B255" s="8" t="s">
        <v>59878</v>
      </c>
    </row>
    <row r="256" spans="1:2" ht="14.5" x14ac:dyDescent="0.35">
      <c r="A256" s="8" t="s">
        <v>43</v>
      </c>
      <c r="B256" s="8" t="s">
        <v>59879</v>
      </c>
    </row>
    <row r="257" spans="1:2" ht="14.5" x14ac:dyDescent="0.35">
      <c r="A257" s="8" t="s">
        <v>43</v>
      </c>
      <c r="B257" s="8" t="s">
        <v>59880</v>
      </c>
    </row>
    <row r="258" spans="1:2" ht="14.5" x14ac:dyDescent="0.35">
      <c r="A258" s="8" t="s">
        <v>43</v>
      </c>
      <c r="B258" s="8" t="s">
        <v>59719</v>
      </c>
    </row>
    <row r="259" spans="1:2" ht="14.5" x14ac:dyDescent="0.35">
      <c r="A259" s="8" t="s">
        <v>43</v>
      </c>
      <c r="B259" s="8" t="s">
        <v>59881</v>
      </c>
    </row>
    <row r="260" spans="1:2" ht="14.5" x14ac:dyDescent="0.35">
      <c r="A260" s="8" t="s">
        <v>43</v>
      </c>
      <c r="B260" s="8" t="s">
        <v>59720</v>
      </c>
    </row>
    <row r="261" spans="1:2" ht="14.5" x14ac:dyDescent="0.35">
      <c r="A261" s="8" t="s">
        <v>43</v>
      </c>
      <c r="B261" s="8" t="s">
        <v>59721</v>
      </c>
    </row>
    <row r="262" spans="1:2" ht="14.5" x14ac:dyDescent="0.35">
      <c r="A262" s="8" t="s">
        <v>43</v>
      </c>
      <c r="B262" s="8" t="s">
        <v>59882</v>
      </c>
    </row>
    <row r="263" spans="1:2" ht="14.5" x14ac:dyDescent="0.35">
      <c r="A263" s="8" t="s">
        <v>43</v>
      </c>
      <c r="B263" s="8" t="s">
        <v>59883</v>
      </c>
    </row>
    <row r="264" spans="1:2" ht="14.5" x14ac:dyDescent="0.35">
      <c r="A264" s="8" t="s">
        <v>43</v>
      </c>
      <c r="B264" s="8" t="s">
        <v>60358</v>
      </c>
    </row>
    <row r="265" spans="1:2" ht="14.5" x14ac:dyDescent="0.35">
      <c r="A265" s="8" t="s">
        <v>43</v>
      </c>
      <c r="B265" s="8" t="s">
        <v>59884</v>
      </c>
    </row>
    <row r="266" spans="1:2" ht="14.5" x14ac:dyDescent="0.35">
      <c r="A266" s="8" t="s">
        <v>43</v>
      </c>
      <c r="B266" s="8" t="s">
        <v>60359</v>
      </c>
    </row>
    <row r="267" spans="1:2" ht="14.5" x14ac:dyDescent="0.35">
      <c r="A267" s="8" t="s">
        <v>43</v>
      </c>
      <c r="B267" s="8" t="s">
        <v>59885</v>
      </c>
    </row>
    <row r="268" spans="1:2" ht="14.5" x14ac:dyDescent="0.35">
      <c r="A268" s="8" t="s">
        <v>43</v>
      </c>
      <c r="B268" s="8" t="s">
        <v>59722</v>
      </c>
    </row>
    <row r="269" spans="1:2" ht="14.5" x14ac:dyDescent="0.35">
      <c r="A269" s="8" t="s">
        <v>43</v>
      </c>
      <c r="B269" s="8" t="s">
        <v>59723</v>
      </c>
    </row>
    <row r="270" spans="1:2" ht="14.5" x14ac:dyDescent="0.35">
      <c r="A270" s="8" t="s">
        <v>43</v>
      </c>
      <c r="B270" s="8" t="s">
        <v>59724</v>
      </c>
    </row>
    <row r="271" spans="1:2" ht="14.5" x14ac:dyDescent="0.35">
      <c r="A271" s="8" t="s">
        <v>43</v>
      </c>
      <c r="B271" s="8" t="s">
        <v>59886</v>
      </c>
    </row>
    <row r="272" spans="1:2" ht="14.5" x14ac:dyDescent="0.35">
      <c r="A272" s="8" t="s">
        <v>43</v>
      </c>
      <c r="B272" s="8" t="s">
        <v>1333</v>
      </c>
    </row>
    <row r="273" spans="1:2" ht="14.5" x14ac:dyDescent="0.35">
      <c r="A273" s="8" t="s">
        <v>43</v>
      </c>
      <c r="B273" s="8" t="s">
        <v>59887</v>
      </c>
    </row>
    <row r="274" spans="1:2" ht="14.5" x14ac:dyDescent="0.35">
      <c r="A274" s="8" t="s">
        <v>43</v>
      </c>
      <c r="B274" s="8" t="s">
        <v>59725</v>
      </c>
    </row>
    <row r="275" spans="1:2" ht="14.5" x14ac:dyDescent="0.35">
      <c r="A275" s="8" t="s">
        <v>43</v>
      </c>
      <c r="B275" s="8" t="s">
        <v>59888</v>
      </c>
    </row>
    <row r="276" spans="1:2" ht="14.5" x14ac:dyDescent="0.35">
      <c r="A276" s="8" t="s">
        <v>43</v>
      </c>
      <c r="B276" s="8" t="s">
        <v>59889</v>
      </c>
    </row>
    <row r="277" spans="1:2" ht="14.5" x14ac:dyDescent="0.35">
      <c r="A277" s="8" t="s">
        <v>43</v>
      </c>
      <c r="B277" s="8" t="s">
        <v>59726</v>
      </c>
    </row>
    <row r="278" spans="1:2" ht="14.5" x14ac:dyDescent="0.35">
      <c r="A278" s="8" t="s">
        <v>43</v>
      </c>
      <c r="B278" s="8" t="s">
        <v>59727</v>
      </c>
    </row>
    <row r="279" spans="1:2" ht="14.5" x14ac:dyDescent="0.35">
      <c r="A279" s="8" t="s">
        <v>43</v>
      </c>
      <c r="B279" s="8" t="s">
        <v>60360</v>
      </c>
    </row>
    <row r="280" spans="1:2" ht="14.5" x14ac:dyDescent="0.35">
      <c r="A280" s="8" t="s">
        <v>43</v>
      </c>
      <c r="B280" s="8" t="s">
        <v>60361</v>
      </c>
    </row>
    <row r="281" spans="1:2" ht="14.5" x14ac:dyDescent="0.35">
      <c r="A281" s="8" t="s">
        <v>43</v>
      </c>
      <c r="B281" s="8" t="s">
        <v>59890</v>
      </c>
    </row>
    <row r="282" spans="1:2" ht="14.5" x14ac:dyDescent="0.35">
      <c r="A282" s="8" t="s">
        <v>43</v>
      </c>
      <c r="B282" s="8" t="s">
        <v>59891</v>
      </c>
    </row>
    <row r="283" spans="1:2" ht="14.5" x14ac:dyDescent="0.35">
      <c r="A283" s="8" t="s">
        <v>43</v>
      </c>
      <c r="B283" s="8" t="s">
        <v>59728</v>
      </c>
    </row>
    <row r="284" spans="1:2" ht="14.5" x14ac:dyDescent="0.35">
      <c r="A284" s="8" t="s">
        <v>43</v>
      </c>
      <c r="B284" s="8" t="s">
        <v>59729</v>
      </c>
    </row>
    <row r="285" spans="1:2" ht="14.5" x14ac:dyDescent="0.35">
      <c r="A285" s="8" t="s">
        <v>43</v>
      </c>
      <c r="B285" s="8" t="s">
        <v>59893</v>
      </c>
    </row>
    <row r="286" spans="1:2" ht="14.5" x14ac:dyDescent="0.35">
      <c r="A286" s="8" t="s">
        <v>43</v>
      </c>
      <c r="B286" s="8" t="s">
        <v>60193</v>
      </c>
    </row>
    <row r="287" spans="1:2" ht="14.5" x14ac:dyDescent="0.35">
      <c r="A287" s="8" t="s">
        <v>43</v>
      </c>
      <c r="B287" s="8" t="s">
        <v>59894</v>
      </c>
    </row>
    <row r="288" spans="1:2" ht="14.5" x14ac:dyDescent="0.35">
      <c r="A288" s="8" t="s">
        <v>43</v>
      </c>
      <c r="B288" s="8" t="s">
        <v>59730</v>
      </c>
    </row>
    <row r="289" spans="1:2" ht="14.5" x14ac:dyDescent="0.35">
      <c r="A289" s="8" t="s">
        <v>43</v>
      </c>
      <c r="B289" s="8" t="s">
        <v>59731</v>
      </c>
    </row>
    <row r="290" spans="1:2" ht="14.5" x14ac:dyDescent="0.35">
      <c r="A290" s="8" t="s">
        <v>43</v>
      </c>
      <c r="B290" s="8" t="s">
        <v>60364</v>
      </c>
    </row>
    <row r="291" spans="1:2" ht="14.5" x14ac:dyDescent="0.35">
      <c r="A291" s="8" t="s">
        <v>43</v>
      </c>
      <c r="B291" s="8" t="s">
        <v>60365</v>
      </c>
    </row>
    <row r="292" spans="1:2" ht="14.5" x14ac:dyDescent="0.35">
      <c r="A292" s="8" t="s">
        <v>43</v>
      </c>
      <c r="B292" s="8" t="s">
        <v>59732</v>
      </c>
    </row>
    <row r="293" spans="1:2" ht="14.5" x14ac:dyDescent="0.35">
      <c r="A293" s="8" t="s">
        <v>43</v>
      </c>
      <c r="B293" s="8" t="s">
        <v>59895</v>
      </c>
    </row>
    <row r="294" spans="1:2" ht="14.5" x14ac:dyDescent="0.35">
      <c r="A294" s="8" t="s">
        <v>43</v>
      </c>
      <c r="B294" s="8" t="s">
        <v>60366</v>
      </c>
    </row>
    <row r="295" spans="1:2" ht="14.5" x14ac:dyDescent="0.35">
      <c r="A295" s="8" t="s">
        <v>43</v>
      </c>
      <c r="B295" s="8" t="s">
        <v>59733</v>
      </c>
    </row>
    <row r="296" spans="1:2" ht="14.5" x14ac:dyDescent="0.35">
      <c r="A296" s="8" t="s">
        <v>43</v>
      </c>
      <c r="B296" s="8" t="s">
        <v>59896</v>
      </c>
    </row>
    <row r="297" spans="1:2" ht="14.5" x14ac:dyDescent="0.35">
      <c r="A297" s="8" t="s">
        <v>43</v>
      </c>
      <c r="B297" s="8" t="s">
        <v>55182</v>
      </c>
    </row>
    <row r="298" spans="1:2" ht="14.5" x14ac:dyDescent="0.35">
      <c r="A298" s="8" t="s">
        <v>43</v>
      </c>
      <c r="B298" s="8" t="s">
        <v>60089</v>
      </c>
    </row>
    <row r="299" spans="1:2" ht="14.5" x14ac:dyDescent="0.35">
      <c r="A299" s="8" t="s">
        <v>43</v>
      </c>
      <c r="B299" s="8" t="s">
        <v>59734</v>
      </c>
    </row>
    <row r="300" spans="1:2" ht="14.5" x14ac:dyDescent="0.35">
      <c r="A300" s="8" t="s">
        <v>43</v>
      </c>
      <c r="B300" s="8" t="s">
        <v>59735</v>
      </c>
    </row>
    <row r="301" spans="1:2" ht="14.5" x14ac:dyDescent="0.35">
      <c r="A301" s="8" t="s">
        <v>43</v>
      </c>
      <c r="B301" s="8" t="s">
        <v>33095</v>
      </c>
    </row>
    <row r="302" spans="1:2" ht="14.5" x14ac:dyDescent="0.35">
      <c r="A302" s="8" t="s">
        <v>43</v>
      </c>
      <c r="B302" s="8" t="s">
        <v>59898</v>
      </c>
    </row>
    <row r="303" spans="1:2" ht="14.5" x14ac:dyDescent="0.35">
      <c r="A303" s="8" t="s">
        <v>43</v>
      </c>
      <c r="B303" s="8" t="s">
        <v>59899</v>
      </c>
    </row>
    <row r="304" spans="1:2" ht="14.5" x14ac:dyDescent="0.35">
      <c r="A304" s="8" t="s">
        <v>43</v>
      </c>
      <c r="B304" s="8" t="s">
        <v>60368</v>
      </c>
    </row>
    <row r="305" spans="1:2" ht="14.5" x14ac:dyDescent="0.35">
      <c r="A305" s="8" t="s">
        <v>43</v>
      </c>
      <c r="B305" s="8" t="s">
        <v>59900</v>
      </c>
    </row>
    <row r="306" spans="1:2" ht="14.5" x14ac:dyDescent="0.35">
      <c r="A306" s="8" t="s">
        <v>43</v>
      </c>
      <c r="B306" s="8" t="s">
        <v>59901</v>
      </c>
    </row>
    <row r="307" spans="1:2" ht="14.5" x14ac:dyDescent="0.35">
      <c r="A307" s="8" t="s">
        <v>43</v>
      </c>
      <c r="B307" s="8" t="s">
        <v>59902</v>
      </c>
    </row>
    <row r="308" spans="1:2" ht="14.5" x14ac:dyDescent="0.35">
      <c r="A308" s="8" t="s">
        <v>43</v>
      </c>
      <c r="B308" s="8" t="s">
        <v>59903</v>
      </c>
    </row>
    <row r="309" spans="1:2" ht="14.5" x14ac:dyDescent="0.35">
      <c r="A309" s="8" t="s">
        <v>43</v>
      </c>
      <c r="B309" s="8" t="s">
        <v>59834</v>
      </c>
    </row>
    <row r="310" spans="1:2" ht="14.5" x14ac:dyDescent="0.35">
      <c r="A310" s="8" t="s">
        <v>43</v>
      </c>
      <c r="B310" s="8" t="s">
        <v>59904</v>
      </c>
    </row>
    <row r="311" spans="1:2" ht="14.5" x14ac:dyDescent="0.35">
      <c r="A311" s="8" t="s">
        <v>43</v>
      </c>
      <c r="B311" s="8" t="s">
        <v>60369</v>
      </c>
    </row>
    <row r="312" spans="1:2" ht="14.5" x14ac:dyDescent="0.35">
      <c r="A312" s="8" t="s">
        <v>43</v>
      </c>
      <c r="B312" s="8" t="s">
        <v>59736</v>
      </c>
    </row>
    <row r="313" spans="1:2" ht="14.5" x14ac:dyDescent="0.35">
      <c r="A313" s="8" t="s">
        <v>43</v>
      </c>
      <c r="B313" s="8" t="s">
        <v>60194</v>
      </c>
    </row>
    <row r="314" spans="1:2" ht="14.5" x14ac:dyDescent="0.35">
      <c r="A314" s="8" t="s">
        <v>43</v>
      </c>
      <c r="B314" s="8" t="s">
        <v>60195</v>
      </c>
    </row>
    <row r="315" spans="1:2" ht="14.5" x14ac:dyDescent="0.35">
      <c r="A315" s="8" t="s">
        <v>43</v>
      </c>
      <c r="B315" s="8" t="s">
        <v>60196</v>
      </c>
    </row>
    <row r="316" spans="1:2" ht="14.5" x14ac:dyDescent="0.35">
      <c r="A316" s="8" t="s">
        <v>43</v>
      </c>
      <c r="B316" s="8" t="s">
        <v>60370</v>
      </c>
    </row>
    <row r="317" spans="1:2" ht="14.5" x14ac:dyDescent="0.35">
      <c r="A317" s="8" t="s">
        <v>43</v>
      </c>
      <c r="B317" s="8" t="s">
        <v>59905</v>
      </c>
    </row>
    <row r="318" spans="1:2" ht="14.5" x14ac:dyDescent="0.35">
      <c r="A318" s="8" t="s">
        <v>43</v>
      </c>
      <c r="B318" s="8" t="s">
        <v>59737</v>
      </c>
    </row>
    <row r="319" spans="1:2" ht="14.5" x14ac:dyDescent="0.35">
      <c r="A319" s="8" t="s">
        <v>43</v>
      </c>
      <c r="B319" s="8" t="s">
        <v>59738</v>
      </c>
    </row>
    <row r="320" spans="1:2" ht="14.5" x14ac:dyDescent="0.35">
      <c r="A320" s="8" t="s">
        <v>43</v>
      </c>
      <c r="B320" s="8" t="s">
        <v>60458</v>
      </c>
    </row>
    <row r="321" spans="1:2" ht="14.5" x14ac:dyDescent="0.35">
      <c r="A321" s="8" t="s">
        <v>43</v>
      </c>
      <c r="B321" s="8" t="s">
        <v>59906</v>
      </c>
    </row>
    <row r="322" spans="1:2" ht="14.5" x14ac:dyDescent="0.35">
      <c r="A322" s="8" t="s">
        <v>43</v>
      </c>
      <c r="B322" s="8" t="s">
        <v>59739</v>
      </c>
    </row>
    <row r="323" spans="1:2" ht="14.5" x14ac:dyDescent="0.35">
      <c r="A323" s="8" t="s">
        <v>43</v>
      </c>
      <c r="B323" s="8" t="s">
        <v>60197</v>
      </c>
    </row>
    <row r="324" spans="1:2" ht="14.5" x14ac:dyDescent="0.35">
      <c r="A324" s="8" t="s">
        <v>43</v>
      </c>
      <c r="B324" s="8" t="s">
        <v>59740</v>
      </c>
    </row>
    <row r="325" spans="1:2" ht="14.5" x14ac:dyDescent="0.35">
      <c r="A325" s="8" t="s">
        <v>43</v>
      </c>
      <c r="B325" s="8" t="s">
        <v>59907</v>
      </c>
    </row>
    <row r="326" spans="1:2" ht="14.5" x14ac:dyDescent="0.35">
      <c r="A326" s="8" t="s">
        <v>43</v>
      </c>
      <c r="B326" s="8" t="s">
        <v>59908</v>
      </c>
    </row>
    <row r="327" spans="1:2" ht="14.5" x14ac:dyDescent="0.35">
      <c r="A327" s="8" t="s">
        <v>43</v>
      </c>
      <c r="B327" s="8" t="s">
        <v>59910</v>
      </c>
    </row>
    <row r="328" spans="1:2" ht="14.5" x14ac:dyDescent="0.35">
      <c r="A328" s="8" t="s">
        <v>43</v>
      </c>
      <c r="B328" s="8" t="s">
        <v>59911</v>
      </c>
    </row>
    <row r="329" spans="1:2" ht="14.5" x14ac:dyDescent="0.35">
      <c r="A329" s="8" t="s">
        <v>43</v>
      </c>
      <c r="B329" s="8" t="s">
        <v>59741</v>
      </c>
    </row>
    <row r="330" spans="1:2" ht="14.5" x14ac:dyDescent="0.35">
      <c r="A330" s="8" t="s">
        <v>43</v>
      </c>
      <c r="B330" s="8" t="s">
        <v>60375</v>
      </c>
    </row>
    <row r="331" spans="1:2" ht="14.5" x14ac:dyDescent="0.35">
      <c r="A331" s="8" t="s">
        <v>43</v>
      </c>
      <c r="B331" s="8" t="s">
        <v>60159</v>
      </c>
    </row>
    <row r="332" spans="1:2" ht="14.5" x14ac:dyDescent="0.35">
      <c r="A332" s="8" t="s">
        <v>43</v>
      </c>
      <c r="B332" s="8" t="s">
        <v>59742</v>
      </c>
    </row>
    <row r="333" spans="1:2" ht="14.5" x14ac:dyDescent="0.35">
      <c r="A333" s="8" t="s">
        <v>43</v>
      </c>
      <c r="B333" s="8" t="s">
        <v>59912</v>
      </c>
    </row>
    <row r="334" spans="1:2" ht="14.5" x14ac:dyDescent="0.35">
      <c r="A334" s="8" t="s">
        <v>43</v>
      </c>
      <c r="B334" s="8" t="s">
        <v>59743</v>
      </c>
    </row>
    <row r="335" spans="1:2" ht="14.5" x14ac:dyDescent="0.35">
      <c r="A335" s="8" t="s">
        <v>43</v>
      </c>
      <c r="B335" s="8" t="s">
        <v>60376</v>
      </c>
    </row>
    <row r="336" spans="1:2" ht="14.5" x14ac:dyDescent="0.35">
      <c r="A336" s="8" t="s">
        <v>43</v>
      </c>
      <c r="B336" s="8" t="s">
        <v>59744</v>
      </c>
    </row>
    <row r="337" spans="1:2" ht="14.5" x14ac:dyDescent="0.35">
      <c r="A337" s="8" t="s">
        <v>43</v>
      </c>
      <c r="B337" s="8" t="s">
        <v>59745</v>
      </c>
    </row>
    <row r="338" spans="1:2" ht="14.5" x14ac:dyDescent="0.35">
      <c r="A338" s="8" t="s">
        <v>43</v>
      </c>
      <c r="B338" s="8" t="s">
        <v>59746</v>
      </c>
    </row>
    <row r="339" spans="1:2" ht="14.5" x14ac:dyDescent="0.35">
      <c r="A339" s="8" t="s">
        <v>43</v>
      </c>
      <c r="B339" s="8" t="s">
        <v>59747</v>
      </c>
    </row>
    <row r="340" spans="1:2" ht="14.5" x14ac:dyDescent="0.35">
      <c r="A340" s="8" t="s">
        <v>43</v>
      </c>
      <c r="B340" s="8" t="s">
        <v>59748</v>
      </c>
    </row>
    <row r="341" spans="1:2" ht="14.5" x14ac:dyDescent="0.35">
      <c r="A341" s="8" t="s">
        <v>43</v>
      </c>
      <c r="B341" s="8" t="s">
        <v>59913</v>
      </c>
    </row>
    <row r="342" spans="1:2" ht="14.5" x14ac:dyDescent="0.35">
      <c r="A342" s="8" t="s">
        <v>43</v>
      </c>
      <c r="B342" s="8" t="s">
        <v>59914</v>
      </c>
    </row>
    <row r="343" spans="1:2" ht="14.5" x14ac:dyDescent="0.35">
      <c r="A343" s="8" t="s">
        <v>43</v>
      </c>
      <c r="B343" s="8" t="s">
        <v>59845</v>
      </c>
    </row>
    <row r="344" spans="1:2" ht="14.5" x14ac:dyDescent="0.35">
      <c r="A344" s="8" t="s">
        <v>43</v>
      </c>
      <c r="B344" s="8" t="s">
        <v>59750</v>
      </c>
    </row>
    <row r="345" spans="1:2" ht="14.5" x14ac:dyDescent="0.35">
      <c r="A345" s="8" t="s">
        <v>43</v>
      </c>
      <c r="B345" s="8" t="s">
        <v>59751</v>
      </c>
    </row>
    <row r="346" spans="1:2" ht="14.5" x14ac:dyDescent="0.35">
      <c r="A346" s="8" t="s">
        <v>43</v>
      </c>
      <c r="B346" s="8" t="s">
        <v>59999</v>
      </c>
    </row>
    <row r="347" spans="1:2" ht="14.5" x14ac:dyDescent="0.35">
      <c r="A347" s="8" t="s">
        <v>43</v>
      </c>
      <c r="B347" s="8" t="s">
        <v>44366</v>
      </c>
    </row>
    <row r="348" spans="1:2" ht="14.5" x14ac:dyDescent="0.35">
      <c r="A348" s="8" t="s">
        <v>43</v>
      </c>
      <c r="B348" s="8" t="s">
        <v>59915</v>
      </c>
    </row>
    <row r="349" spans="1:2" ht="14.5" x14ac:dyDescent="0.35">
      <c r="A349" s="8" t="s">
        <v>43</v>
      </c>
      <c r="B349" s="8" t="s">
        <v>60377</v>
      </c>
    </row>
    <row r="350" spans="1:2" ht="14.5" x14ac:dyDescent="0.35">
      <c r="A350" s="8" t="s">
        <v>43</v>
      </c>
      <c r="B350" s="8" t="s">
        <v>59916</v>
      </c>
    </row>
    <row r="351" spans="1:2" ht="14.5" x14ac:dyDescent="0.35">
      <c r="A351" s="8" t="s">
        <v>43</v>
      </c>
      <c r="B351" s="8" t="s">
        <v>59752</v>
      </c>
    </row>
    <row r="352" spans="1:2" ht="14.5" x14ac:dyDescent="0.35">
      <c r="A352" s="8" t="s">
        <v>43</v>
      </c>
      <c r="B352" s="8" t="s">
        <v>59917</v>
      </c>
    </row>
    <row r="353" spans="1:2" ht="14.5" x14ac:dyDescent="0.35">
      <c r="A353" s="8" t="s">
        <v>43</v>
      </c>
      <c r="B353" s="8" t="s">
        <v>59919</v>
      </c>
    </row>
    <row r="354" spans="1:2" ht="14.5" x14ac:dyDescent="0.35">
      <c r="A354" s="8" t="s">
        <v>43</v>
      </c>
      <c r="B354" s="8" t="s">
        <v>59920</v>
      </c>
    </row>
    <row r="355" spans="1:2" ht="14.5" x14ac:dyDescent="0.35">
      <c r="A355" s="8" t="s">
        <v>43</v>
      </c>
      <c r="B355" s="8" t="s">
        <v>59921</v>
      </c>
    </row>
    <row r="356" spans="1:2" ht="14.5" x14ac:dyDescent="0.35">
      <c r="A356" s="8" t="s">
        <v>43</v>
      </c>
      <c r="B356" s="8" t="s">
        <v>59922</v>
      </c>
    </row>
    <row r="357" spans="1:2" ht="14.5" x14ac:dyDescent="0.35">
      <c r="A357" s="8" t="s">
        <v>43</v>
      </c>
      <c r="B357" s="8" t="s">
        <v>60198</v>
      </c>
    </row>
    <row r="358" spans="1:2" ht="14.5" x14ac:dyDescent="0.35">
      <c r="A358" s="8" t="s">
        <v>43</v>
      </c>
      <c r="B358" s="8" t="s">
        <v>41501</v>
      </c>
    </row>
    <row r="359" spans="1:2" ht="14.5" x14ac:dyDescent="0.35">
      <c r="A359" s="8" t="s">
        <v>43</v>
      </c>
      <c r="B359" s="8" t="s">
        <v>59923</v>
      </c>
    </row>
    <row r="360" spans="1:2" ht="14.5" x14ac:dyDescent="0.35">
      <c r="A360" s="8" t="s">
        <v>43</v>
      </c>
      <c r="B360" s="8" t="s">
        <v>59753</v>
      </c>
    </row>
    <row r="361" spans="1:2" ht="14.5" x14ac:dyDescent="0.35">
      <c r="A361" s="8" t="s">
        <v>43</v>
      </c>
      <c r="B361" s="8" t="s">
        <v>60199</v>
      </c>
    </row>
    <row r="362" spans="1:2" ht="14.5" x14ac:dyDescent="0.35">
      <c r="A362" s="8" t="s">
        <v>43</v>
      </c>
      <c r="B362" s="8" t="s">
        <v>1595</v>
      </c>
    </row>
    <row r="363" spans="1:2" ht="14.5" x14ac:dyDescent="0.35">
      <c r="A363" s="8" t="s">
        <v>43</v>
      </c>
      <c r="B363" s="8" t="s">
        <v>59924</v>
      </c>
    </row>
    <row r="364" spans="1:2" ht="14.5" x14ac:dyDescent="0.35">
      <c r="A364" s="8" t="s">
        <v>43</v>
      </c>
      <c r="B364" s="8" t="s">
        <v>22714</v>
      </c>
    </row>
    <row r="365" spans="1:2" ht="14.5" x14ac:dyDescent="0.35">
      <c r="A365" s="8" t="s">
        <v>43</v>
      </c>
      <c r="B365" s="8" t="s">
        <v>59925</v>
      </c>
    </row>
    <row r="366" spans="1:2" ht="14.5" x14ac:dyDescent="0.35">
      <c r="A366" s="8" t="s">
        <v>43</v>
      </c>
      <c r="B366" s="8" t="s">
        <v>59926</v>
      </c>
    </row>
    <row r="367" spans="1:2" ht="14.5" x14ac:dyDescent="0.35">
      <c r="A367" s="8" t="s">
        <v>43</v>
      </c>
      <c r="B367" s="8" t="s">
        <v>59927</v>
      </c>
    </row>
    <row r="368" spans="1:2" ht="14.5" x14ac:dyDescent="0.35">
      <c r="A368" s="8" t="s">
        <v>43</v>
      </c>
      <c r="B368" s="8" t="s">
        <v>59754</v>
      </c>
    </row>
    <row r="369" spans="1:2" ht="14.5" x14ac:dyDescent="0.35">
      <c r="A369" s="8" t="s">
        <v>43</v>
      </c>
      <c r="B369" s="8" t="s">
        <v>59755</v>
      </c>
    </row>
    <row r="370" spans="1:2" ht="14.5" x14ac:dyDescent="0.35">
      <c r="A370" s="8" t="s">
        <v>43</v>
      </c>
      <c r="B370" s="8" t="s">
        <v>58303</v>
      </c>
    </row>
    <row r="371" spans="1:2" ht="14.5" x14ac:dyDescent="0.35">
      <c r="A371" s="8" t="s">
        <v>43</v>
      </c>
      <c r="B371" s="8" t="s">
        <v>59756</v>
      </c>
    </row>
    <row r="372" spans="1:2" ht="14.5" x14ac:dyDescent="0.35">
      <c r="A372" s="8" t="s">
        <v>43</v>
      </c>
      <c r="B372" s="8" t="s">
        <v>59928</v>
      </c>
    </row>
    <row r="373" spans="1:2" ht="14.5" x14ac:dyDescent="0.35">
      <c r="A373" s="8" t="s">
        <v>43</v>
      </c>
      <c r="B373" s="8" t="s">
        <v>59929</v>
      </c>
    </row>
    <row r="374" spans="1:2" ht="14.5" x14ac:dyDescent="0.35">
      <c r="A374" s="8" t="s">
        <v>43</v>
      </c>
      <c r="B374" s="8" t="s">
        <v>60378</v>
      </c>
    </row>
    <row r="375" spans="1:2" ht="14.5" x14ac:dyDescent="0.35">
      <c r="A375" s="8" t="s">
        <v>43</v>
      </c>
      <c r="B375" s="8" t="s">
        <v>59757</v>
      </c>
    </row>
    <row r="376" spans="1:2" ht="14.5" x14ac:dyDescent="0.35">
      <c r="A376" s="8" t="s">
        <v>43</v>
      </c>
      <c r="B376" s="8" t="s">
        <v>59897</v>
      </c>
    </row>
    <row r="377" spans="1:2" ht="14.5" x14ac:dyDescent="0.35">
      <c r="A377" s="8" t="s">
        <v>43</v>
      </c>
      <c r="B377" s="8" t="s">
        <v>60228</v>
      </c>
    </row>
    <row r="378" spans="1:2" ht="14.5" x14ac:dyDescent="0.35">
      <c r="A378" s="8" t="s">
        <v>43</v>
      </c>
      <c r="B378" s="8" t="s">
        <v>59930</v>
      </c>
    </row>
    <row r="379" spans="1:2" ht="14.5" x14ac:dyDescent="0.35">
      <c r="A379" s="8" t="s">
        <v>43</v>
      </c>
      <c r="B379" s="8" t="s">
        <v>59931</v>
      </c>
    </row>
    <row r="380" spans="1:2" ht="14.5" x14ac:dyDescent="0.35">
      <c r="A380" s="8" t="s">
        <v>43</v>
      </c>
      <c r="B380" s="8" t="s">
        <v>59758</v>
      </c>
    </row>
    <row r="381" spans="1:2" ht="14.5" x14ac:dyDescent="0.35">
      <c r="A381" s="8" t="s">
        <v>43</v>
      </c>
      <c r="B381" s="8" t="s">
        <v>59770</v>
      </c>
    </row>
    <row r="382" spans="1:2" ht="14.5" x14ac:dyDescent="0.35">
      <c r="A382" s="8" t="s">
        <v>43</v>
      </c>
      <c r="B382" s="8" t="s">
        <v>1863</v>
      </c>
    </row>
    <row r="383" spans="1:2" ht="14.5" x14ac:dyDescent="0.35">
      <c r="A383" s="8" t="s">
        <v>43</v>
      </c>
      <c r="B383" s="8" t="s">
        <v>1903</v>
      </c>
    </row>
    <row r="384" spans="1:2" ht="14.5" x14ac:dyDescent="0.35">
      <c r="A384" s="8" t="s">
        <v>43</v>
      </c>
      <c r="B384" s="8" t="s">
        <v>59760</v>
      </c>
    </row>
    <row r="385" spans="1:2" ht="14.5" x14ac:dyDescent="0.35">
      <c r="A385" s="8" t="s">
        <v>43</v>
      </c>
      <c r="B385" s="8" t="s">
        <v>59761</v>
      </c>
    </row>
    <row r="386" spans="1:2" ht="14.5" x14ac:dyDescent="0.35">
      <c r="A386" s="8" t="s">
        <v>43</v>
      </c>
      <c r="B386" s="8" t="s">
        <v>59762</v>
      </c>
    </row>
    <row r="387" spans="1:2" ht="14.5" x14ac:dyDescent="0.35">
      <c r="A387" s="8" t="s">
        <v>43</v>
      </c>
      <c r="B387" s="8" t="s">
        <v>59932</v>
      </c>
    </row>
    <row r="388" spans="1:2" ht="14.5" x14ac:dyDescent="0.35">
      <c r="A388" s="8" t="s">
        <v>43</v>
      </c>
      <c r="B388" s="8" t="s">
        <v>60379</v>
      </c>
    </row>
    <row r="389" spans="1:2" ht="14.5" x14ac:dyDescent="0.35">
      <c r="A389" s="8" t="s">
        <v>43</v>
      </c>
      <c r="B389" s="8" t="s">
        <v>59763</v>
      </c>
    </row>
    <row r="390" spans="1:2" ht="14.5" x14ac:dyDescent="0.35">
      <c r="A390" s="8" t="s">
        <v>43</v>
      </c>
      <c r="B390" s="8" t="s">
        <v>59764</v>
      </c>
    </row>
    <row r="391" spans="1:2" ht="14.5" x14ac:dyDescent="0.35">
      <c r="A391" s="8" t="s">
        <v>43</v>
      </c>
      <c r="B391" s="8" t="s">
        <v>59933</v>
      </c>
    </row>
    <row r="392" spans="1:2" ht="14.5" x14ac:dyDescent="0.35">
      <c r="A392" s="8" t="s">
        <v>43</v>
      </c>
      <c r="B392" s="8" t="s">
        <v>59934</v>
      </c>
    </row>
    <row r="393" spans="1:2" ht="14.5" x14ac:dyDescent="0.35">
      <c r="A393" s="8" t="s">
        <v>43</v>
      </c>
      <c r="B393" s="8" t="s">
        <v>59765</v>
      </c>
    </row>
    <row r="394" spans="1:2" ht="14.5" x14ac:dyDescent="0.35">
      <c r="A394" s="8" t="s">
        <v>43</v>
      </c>
      <c r="B394" s="8" t="s">
        <v>59766</v>
      </c>
    </row>
    <row r="395" spans="1:2" ht="14.5" x14ac:dyDescent="0.35">
      <c r="A395" s="8" t="s">
        <v>43</v>
      </c>
      <c r="B395" s="8" t="s">
        <v>56577</v>
      </c>
    </row>
    <row r="396" spans="1:2" ht="14.5" x14ac:dyDescent="0.35">
      <c r="A396" s="8" t="s">
        <v>43</v>
      </c>
      <c r="B396" s="8" t="s">
        <v>59935</v>
      </c>
    </row>
    <row r="397" spans="1:2" ht="14.5" x14ac:dyDescent="0.35">
      <c r="A397" s="8" t="s">
        <v>43</v>
      </c>
      <c r="B397" s="8" t="s">
        <v>59767</v>
      </c>
    </row>
    <row r="398" spans="1:2" ht="14.5" x14ac:dyDescent="0.35">
      <c r="A398" s="8" t="s">
        <v>43</v>
      </c>
      <c r="B398" s="8" t="s">
        <v>59768</v>
      </c>
    </row>
    <row r="399" spans="1:2" ht="14.5" x14ac:dyDescent="0.35">
      <c r="A399" s="8" t="s">
        <v>43</v>
      </c>
      <c r="B399" s="8" t="s">
        <v>2029</v>
      </c>
    </row>
    <row r="400" spans="1:2" ht="14.5" x14ac:dyDescent="0.35">
      <c r="A400" s="8" t="s">
        <v>43</v>
      </c>
      <c r="B400" s="8" t="s">
        <v>59769</v>
      </c>
    </row>
    <row r="401" spans="1:2" ht="14.5" x14ac:dyDescent="0.35">
      <c r="A401" s="8" t="s">
        <v>43</v>
      </c>
      <c r="B401" s="8" t="s">
        <v>13710</v>
      </c>
    </row>
    <row r="402" spans="1:2" ht="14.5" x14ac:dyDescent="0.35">
      <c r="A402" s="8" t="s">
        <v>43</v>
      </c>
      <c r="B402" s="8" t="s">
        <v>59937</v>
      </c>
    </row>
    <row r="403" spans="1:2" ht="14.5" x14ac:dyDescent="0.35">
      <c r="A403" s="8" t="s">
        <v>43</v>
      </c>
      <c r="B403" s="8" t="s">
        <v>59938</v>
      </c>
    </row>
    <row r="404" spans="1:2" ht="14.5" x14ac:dyDescent="0.35">
      <c r="A404" s="8" t="s">
        <v>43</v>
      </c>
      <c r="B404" s="8" t="s">
        <v>60383</v>
      </c>
    </row>
    <row r="405" spans="1:2" ht="14.5" x14ac:dyDescent="0.35">
      <c r="A405" s="8" t="s">
        <v>43</v>
      </c>
      <c r="B405" s="8" t="s">
        <v>59939</v>
      </c>
    </row>
    <row r="406" spans="1:2" ht="14.5" x14ac:dyDescent="0.35">
      <c r="A406" s="8" t="s">
        <v>43</v>
      </c>
      <c r="B406" s="8" t="s">
        <v>59940</v>
      </c>
    </row>
    <row r="407" spans="1:2" ht="14.5" x14ac:dyDescent="0.35">
      <c r="A407" s="8" t="s">
        <v>43</v>
      </c>
      <c r="B407" s="8" t="s">
        <v>59771</v>
      </c>
    </row>
    <row r="408" spans="1:2" ht="14.5" x14ac:dyDescent="0.35">
      <c r="A408" s="8" t="s">
        <v>43</v>
      </c>
      <c r="B408" s="8" t="s">
        <v>59772</v>
      </c>
    </row>
    <row r="409" spans="1:2" ht="14.5" x14ac:dyDescent="0.35">
      <c r="A409" s="8" t="s">
        <v>43</v>
      </c>
      <c r="B409" s="8" t="s">
        <v>60384</v>
      </c>
    </row>
    <row r="410" spans="1:2" ht="14.5" x14ac:dyDescent="0.35">
      <c r="A410" s="8" t="s">
        <v>43</v>
      </c>
      <c r="B410" s="8" t="s">
        <v>20590</v>
      </c>
    </row>
    <row r="411" spans="1:2" ht="14.5" x14ac:dyDescent="0.35">
      <c r="A411" s="8" t="s">
        <v>43</v>
      </c>
      <c r="B411" s="8" t="s">
        <v>59759</v>
      </c>
    </row>
    <row r="412" spans="1:2" ht="14.5" x14ac:dyDescent="0.35">
      <c r="A412" s="8" t="s">
        <v>43</v>
      </c>
      <c r="B412" s="8" t="s">
        <v>59773</v>
      </c>
    </row>
    <row r="413" spans="1:2" ht="14.5" x14ac:dyDescent="0.35">
      <c r="A413" s="8" t="s">
        <v>43</v>
      </c>
      <c r="B413" s="8" t="s">
        <v>59941</v>
      </c>
    </row>
    <row r="414" spans="1:2" ht="14.5" x14ac:dyDescent="0.35">
      <c r="A414" s="8" t="s">
        <v>43</v>
      </c>
      <c r="B414" s="8" t="s">
        <v>59774</v>
      </c>
    </row>
    <row r="415" spans="1:2" ht="14.5" x14ac:dyDescent="0.35">
      <c r="A415" s="8" t="s">
        <v>43</v>
      </c>
      <c r="B415" s="8" t="s">
        <v>59942</v>
      </c>
    </row>
    <row r="416" spans="1:2" ht="14.5" x14ac:dyDescent="0.35">
      <c r="A416" s="8" t="s">
        <v>43</v>
      </c>
      <c r="B416" s="8" t="s">
        <v>59776</v>
      </c>
    </row>
    <row r="417" spans="1:2" ht="14.5" x14ac:dyDescent="0.35">
      <c r="A417" s="8" t="s">
        <v>43</v>
      </c>
      <c r="B417" s="8" t="s">
        <v>59777</v>
      </c>
    </row>
    <row r="418" spans="1:2" ht="14.5" x14ac:dyDescent="0.35">
      <c r="A418" s="8" t="s">
        <v>43</v>
      </c>
      <c r="B418" s="8" t="s">
        <v>59944</v>
      </c>
    </row>
    <row r="419" spans="1:2" ht="14.5" x14ac:dyDescent="0.35">
      <c r="A419" s="8" t="s">
        <v>43</v>
      </c>
      <c r="B419" s="8" t="s">
        <v>59945</v>
      </c>
    </row>
    <row r="420" spans="1:2" ht="14.5" x14ac:dyDescent="0.35">
      <c r="A420" s="8" t="s">
        <v>43</v>
      </c>
      <c r="B420" s="8" t="s">
        <v>59946</v>
      </c>
    </row>
    <row r="421" spans="1:2" ht="14.5" x14ac:dyDescent="0.35">
      <c r="A421" s="8" t="s">
        <v>43</v>
      </c>
      <c r="B421" s="8" t="s">
        <v>59947</v>
      </c>
    </row>
    <row r="422" spans="1:2" ht="14.5" x14ac:dyDescent="0.35">
      <c r="A422" s="8" t="s">
        <v>43</v>
      </c>
      <c r="B422" s="8" t="s">
        <v>59948</v>
      </c>
    </row>
    <row r="423" spans="1:2" ht="14.5" x14ac:dyDescent="0.35">
      <c r="A423" s="8" t="s">
        <v>43</v>
      </c>
      <c r="B423" s="8" t="s">
        <v>59949</v>
      </c>
    </row>
    <row r="424" spans="1:2" ht="14.5" x14ac:dyDescent="0.35">
      <c r="A424" s="8" t="s">
        <v>43</v>
      </c>
      <c r="B424" s="8" t="s">
        <v>59779</v>
      </c>
    </row>
    <row r="425" spans="1:2" ht="14.5" x14ac:dyDescent="0.35">
      <c r="A425" s="8" t="s">
        <v>43</v>
      </c>
      <c r="B425" s="8" t="s">
        <v>59950</v>
      </c>
    </row>
    <row r="426" spans="1:2" ht="14.5" x14ac:dyDescent="0.35">
      <c r="A426" s="8" t="s">
        <v>43</v>
      </c>
      <c r="B426" s="8" t="s">
        <v>59951</v>
      </c>
    </row>
    <row r="427" spans="1:2" ht="14.5" x14ac:dyDescent="0.35">
      <c r="A427" s="8" t="s">
        <v>43</v>
      </c>
      <c r="B427" s="8" t="s">
        <v>59952</v>
      </c>
    </row>
    <row r="428" spans="1:2" ht="14.5" x14ac:dyDescent="0.35">
      <c r="A428" s="8" t="s">
        <v>43</v>
      </c>
      <c r="B428" s="8" t="s">
        <v>59953</v>
      </c>
    </row>
    <row r="429" spans="1:2" ht="14.5" x14ac:dyDescent="0.35">
      <c r="A429" s="8" t="s">
        <v>43</v>
      </c>
      <c r="B429" s="8" t="s">
        <v>60201</v>
      </c>
    </row>
    <row r="430" spans="1:2" ht="14.5" x14ac:dyDescent="0.35">
      <c r="A430" s="8" t="s">
        <v>43</v>
      </c>
      <c r="B430" s="8" t="s">
        <v>60202</v>
      </c>
    </row>
    <row r="431" spans="1:2" ht="14.5" x14ac:dyDescent="0.35">
      <c r="A431" s="8" t="s">
        <v>43</v>
      </c>
      <c r="B431" s="8" t="s">
        <v>59780</v>
      </c>
    </row>
    <row r="432" spans="1:2" ht="14.5" x14ac:dyDescent="0.35">
      <c r="A432" s="8" t="s">
        <v>43</v>
      </c>
      <c r="B432" s="8" t="s">
        <v>59781</v>
      </c>
    </row>
    <row r="433" spans="1:2" ht="14.5" x14ac:dyDescent="0.35">
      <c r="A433" s="8" t="s">
        <v>43</v>
      </c>
      <c r="B433" s="8" t="s">
        <v>59782</v>
      </c>
    </row>
    <row r="434" spans="1:2" ht="14.5" x14ac:dyDescent="0.35">
      <c r="A434" s="8" t="s">
        <v>43</v>
      </c>
      <c r="B434" s="8" t="s">
        <v>59783</v>
      </c>
    </row>
    <row r="435" spans="1:2" ht="14.5" x14ac:dyDescent="0.35">
      <c r="A435" s="8" t="s">
        <v>43</v>
      </c>
      <c r="B435" s="8" t="s">
        <v>59784</v>
      </c>
    </row>
    <row r="436" spans="1:2" ht="14.5" x14ac:dyDescent="0.35">
      <c r="A436" s="8" t="s">
        <v>43</v>
      </c>
      <c r="B436" s="8" t="s">
        <v>59785</v>
      </c>
    </row>
    <row r="437" spans="1:2" ht="14.5" x14ac:dyDescent="0.35">
      <c r="A437" s="8" t="s">
        <v>43</v>
      </c>
      <c r="B437" s="8" t="s">
        <v>59786</v>
      </c>
    </row>
    <row r="438" spans="1:2" ht="14.5" x14ac:dyDescent="0.35">
      <c r="A438" s="8" t="s">
        <v>43</v>
      </c>
      <c r="B438" s="8" t="s">
        <v>59787</v>
      </c>
    </row>
    <row r="439" spans="1:2" ht="14.5" x14ac:dyDescent="0.35">
      <c r="A439" s="8" t="s">
        <v>43</v>
      </c>
      <c r="B439" s="8" t="s">
        <v>59788</v>
      </c>
    </row>
    <row r="440" spans="1:2" ht="14.5" x14ac:dyDescent="0.35">
      <c r="A440" s="8" t="s">
        <v>43</v>
      </c>
      <c r="B440" s="8" t="s">
        <v>60389</v>
      </c>
    </row>
    <row r="441" spans="1:2" ht="14.5" x14ac:dyDescent="0.35">
      <c r="A441" s="8" t="s">
        <v>43</v>
      </c>
      <c r="B441" s="8" t="s">
        <v>57694</v>
      </c>
    </row>
    <row r="442" spans="1:2" ht="14.5" x14ac:dyDescent="0.35">
      <c r="A442" s="8" t="s">
        <v>43</v>
      </c>
      <c r="B442" s="8" t="s">
        <v>59790</v>
      </c>
    </row>
    <row r="443" spans="1:2" ht="14.5" x14ac:dyDescent="0.35">
      <c r="A443" s="8" t="s">
        <v>43</v>
      </c>
      <c r="B443" s="8" t="s">
        <v>59791</v>
      </c>
    </row>
    <row r="444" spans="1:2" ht="14.5" x14ac:dyDescent="0.35">
      <c r="A444" s="8" t="s">
        <v>43</v>
      </c>
      <c r="B444" s="8" t="s">
        <v>59792</v>
      </c>
    </row>
    <row r="445" spans="1:2" ht="14.5" x14ac:dyDescent="0.35">
      <c r="A445" s="8" t="s">
        <v>43</v>
      </c>
      <c r="B445" s="8" t="s">
        <v>59954</v>
      </c>
    </row>
    <row r="446" spans="1:2" ht="14.5" x14ac:dyDescent="0.35">
      <c r="A446" s="8" t="s">
        <v>43</v>
      </c>
      <c r="B446" s="8" t="s">
        <v>59793</v>
      </c>
    </row>
    <row r="447" spans="1:2" ht="14.5" x14ac:dyDescent="0.35">
      <c r="A447" s="8" t="s">
        <v>43</v>
      </c>
      <c r="B447" s="8" t="s">
        <v>59955</v>
      </c>
    </row>
    <row r="448" spans="1:2" ht="14.5" x14ac:dyDescent="0.35">
      <c r="A448" s="8" t="s">
        <v>43</v>
      </c>
      <c r="B448" s="8" t="s">
        <v>60203</v>
      </c>
    </row>
    <row r="449" spans="1:2" ht="14.5" x14ac:dyDescent="0.35">
      <c r="A449" s="8" t="s">
        <v>43</v>
      </c>
      <c r="B449" s="8" t="s">
        <v>60391</v>
      </c>
    </row>
    <row r="450" spans="1:2" ht="14.5" x14ac:dyDescent="0.35">
      <c r="A450" s="8" t="s">
        <v>43</v>
      </c>
      <c r="B450" s="8" t="s">
        <v>59956</v>
      </c>
    </row>
    <row r="451" spans="1:2" ht="14.5" x14ac:dyDescent="0.35">
      <c r="A451" s="8" t="s">
        <v>43</v>
      </c>
      <c r="B451" s="8" t="s">
        <v>59794</v>
      </c>
    </row>
    <row r="452" spans="1:2" ht="14.5" x14ac:dyDescent="0.35">
      <c r="A452" s="8" t="s">
        <v>43</v>
      </c>
      <c r="B452" s="8" t="s">
        <v>58407</v>
      </c>
    </row>
    <row r="453" spans="1:2" ht="14.5" x14ac:dyDescent="0.35">
      <c r="A453" s="8" t="s">
        <v>43</v>
      </c>
      <c r="B453" s="8" t="s">
        <v>60392</v>
      </c>
    </row>
    <row r="454" spans="1:2" ht="14.5" x14ac:dyDescent="0.35">
      <c r="A454" s="8" t="s">
        <v>43</v>
      </c>
      <c r="B454" s="8" t="s">
        <v>59957</v>
      </c>
    </row>
    <row r="455" spans="1:2" ht="14.5" x14ac:dyDescent="0.35">
      <c r="A455" s="8" t="s">
        <v>43</v>
      </c>
      <c r="B455" s="8" t="s">
        <v>60204</v>
      </c>
    </row>
    <row r="456" spans="1:2" ht="14.5" x14ac:dyDescent="0.35">
      <c r="A456" s="8" t="s">
        <v>43</v>
      </c>
      <c r="B456" s="8" t="s">
        <v>59958</v>
      </c>
    </row>
    <row r="457" spans="1:2" ht="14.5" x14ac:dyDescent="0.35">
      <c r="A457" s="8" t="s">
        <v>43</v>
      </c>
      <c r="B457" s="8" t="s">
        <v>60205</v>
      </c>
    </row>
    <row r="458" spans="1:2" ht="14.5" x14ac:dyDescent="0.35">
      <c r="A458" s="8" t="s">
        <v>43</v>
      </c>
      <c r="B458" s="8" t="s">
        <v>60206</v>
      </c>
    </row>
    <row r="459" spans="1:2" ht="14.5" x14ac:dyDescent="0.35">
      <c r="A459" s="8" t="s">
        <v>43</v>
      </c>
      <c r="B459" s="8" t="s">
        <v>59795</v>
      </c>
    </row>
    <row r="460" spans="1:2" ht="14.5" x14ac:dyDescent="0.35">
      <c r="A460" s="8" t="s">
        <v>43</v>
      </c>
      <c r="B460" s="8" t="s">
        <v>60207</v>
      </c>
    </row>
    <row r="461" spans="1:2" ht="14.5" x14ac:dyDescent="0.35">
      <c r="A461" s="8" t="s">
        <v>43</v>
      </c>
      <c r="B461" s="8" t="s">
        <v>59959</v>
      </c>
    </row>
    <row r="462" spans="1:2" ht="14.5" x14ac:dyDescent="0.35">
      <c r="A462" s="8" t="s">
        <v>43</v>
      </c>
      <c r="B462" s="8" t="s">
        <v>59796</v>
      </c>
    </row>
    <row r="463" spans="1:2" ht="14.5" x14ac:dyDescent="0.35">
      <c r="A463" s="8" t="s">
        <v>43</v>
      </c>
      <c r="B463" s="8" t="s">
        <v>59797</v>
      </c>
    </row>
    <row r="464" spans="1:2" ht="14.5" x14ac:dyDescent="0.35">
      <c r="A464" s="8" t="s">
        <v>43</v>
      </c>
      <c r="B464" s="8" t="s">
        <v>59960</v>
      </c>
    </row>
    <row r="465" spans="1:2" ht="14.5" x14ac:dyDescent="0.35">
      <c r="A465" s="8" t="s">
        <v>43</v>
      </c>
      <c r="B465" s="8" t="s">
        <v>59798</v>
      </c>
    </row>
    <row r="466" spans="1:2" ht="14.5" x14ac:dyDescent="0.35">
      <c r="A466" s="8" t="s">
        <v>43</v>
      </c>
      <c r="B466" s="8" t="s">
        <v>59799</v>
      </c>
    </row>
    <row r="467" spans="1:2" ht="14.5" x14ac:dyDescent="0.35">
      <c r="A467" s="8" t="s">
        <v>43</v>
      </c>
      <c r="B467" s="8" t="s">
        <v>60208</v>
      </c>
    </row>
    <row r="468" spans="1:2" ht="14.5" x14ac:dyDescent="0.35">
      <c r="A468" s="8" t="s">
        <v>43</v>
      </c>
      <c r="B468" s="8" t="s">
        <v>59800</v>
      </c>
    </row>
    <row r="469" spans="1:2" ht="14.5" x14ac:dyDescent="0.35">
      <c r="A469" s="8" t="s">
        <v>43</v>
      </c>
      <c r="B469" s="8" t="s">
        <v>59961</v>
      </c>
    </row>
    <row r="470" spans="1:2" ht="14.5" x14ac:dyDescent="0.35">
      <c r="A470" s="8" t="s">
        <v>43</v>
      </c>
      <c r="B470" s="8" t="s">
        <v>55271</v>
      </c>
    </row>
    <row r="471" spans="1:2" ht="14.5" x14ac:dyDescent="0.35">
      <c r="A471" s="8" t="s">
        <v>43</v>
      </c>
      <c r="B471" s="8" t="s">
        <v>59801</v>
      </c>
    </row>
    <row r="472" spans="1:2" ht="14.5" x14ac:dyDescent="0.35">
      <c r="A472" s="8" t="s">
        <v>43</v>
      </c>
      <c r="B472" s="8" t="s">
        <v>59962</v>
      </c>
    </row>
    <row r="473" spans="1:2" ht="14.5" x14ac:dyDescent="0.35">
      <c r="A473" s="8" t="s">
        <v>43</v>
      </c>
      <c r="B473" s="8" t="s">
        <v>59802</v>
      </c>
    </row>
    <row r="474" spans="1:2" ht="14.5" x14ac:dyDescent="0.35">
      <c r="A474" s="8" t="s">
        <v>43</v>
      </c>
      <c r="B474" s="8" t="s">
        <v>60209</v>
      </c>
    </row>
    <row r="475" spans="1:2" ht="14.5" x14ac:dyDescent="0.35">
      <c r="A475" s="8" t="s">
        <v>43</v>
      </c>
      <c r="B475" s="8" t="s">
        <v>59803</v>
      </c>
    </row>
    <row r="476" spans="1:2" ht="14.5" x14ac:dyDescent="0.35">
      <c r="A476" s="8" t="s">
        <v>43</v>
      </c>
      <c r="B476" s="8" t="s">
        <v>59804</v>
      </c>
    </row>
    <row r="477" spans="1:2" ht="14.5" x14ac:dyDescent="0.35">
      <c r="A477" s="8" t="s">
        <v>43</v>
      </c>
      <c r="B477" s="8" t="s">
        <v>2358</v>
      </c>
    </row>
    <row r="478" spans="1:2" ht="14.5" x14ac:dyDescent="0.35">
      <c r="A478" s="8" t="s">
        <v>43</v>
      </c>
      <c r="B478" s="8" t="s">
        <v>60050</v>
      </c>
    </row>
    <row r="479" spans="1:2" ht="14.5" x14ac:dyDescent="0.35">
      <c r="A479" s="8" t="s">
        <v>43</v>
      </c>
      <c r="B479" s="8" t="s">
        <v>59805</v>
      </c>
    </row>
    <row r="480" spans="1:2" ht="14.5" x14ac:dyDescent="0.35">
      <c r="A480" s="8" t="s">
        <v>43</v>
      </c>
      <c r="B480" s="8" t="s">
        <v>59806</v>
      </c>
    </row>
    <row r="481" spans="1:2" ht="14.5" x14ac:dyDescent="0.35">
      <c r="A481" s="8" t="s">
        <v>43</v>
      </c>
      <c r="B481" s="8" t="s">
        <v>59807</v>
      </c>
    </row>
    <row r="482" spans="1:2" ht="14.5" x14ac:dyDescent="0.35">
      <c r="A482" s="8" t="s">
        <v>43</v>
      </c>
      <c r="B482" s="8" t="s">
        <v>60210</v>
      </c>
    </row>
    <row r="483" spans="1:2" ht="14.5" x14ac:dyDescent="0.35">
      <c r="A483" s="8" t="s">
        <v>43</v>
      </c>
      <c r="B483" s="8" t="s">
        <v>59963</v>
      </c>
    </row>
    <row r="484" spans="1:2" ht="14.5" x14ac:dyDescent="0.35">
      <c r="A484" s="8" t="s">
        <v>43</v>
      </c>
      <c r="B484" s="8" t="s">
        <v>60301</v>
      </c>
    </row>
    <row r="485" spans="1:2" ht="14.5" x14ac:dyDescent="0.35">
      <c r="A485" s="8" t="s">
        <v>43</v>
      </c>
      <c r="B485" s="8" t="s">
        <v>59808</v>
      </c>
    </row>
    <row r="486" spans="1:2" ht="14.5" x14ac:dyDescent="0.35">
      <c r="A486" s="8" t="s">
        <v>43</v>
      </c>
      <c r="B486" s="8" t="s">
        <v>2393</v>
      </c>
    </row>
    <row r="487" spans="1:2" ht="14.5" x14ac:dyDescent="0.35">
      <c r="A487" s="8" t="s">
        <v>43</v>
      </c>
      <c r="B487" s="8" t="s">
        <v>59809</v>
      </c>
    </row>
    <row r="488" spans="1:2" ht="14.5" x14ac:dyDescent="0.35">
      <c r="A488" s="8" t="s">
        <v>43</v>
      </c>
      <c r="B488" s="8" t="s">
        <v>59810</v>
      </c>
    </row>
    <row r="489" spans="1:2" ht="14.5" x14ac:dyDescent="0.35">
      <c r="A489" s="8" t="s">
        <v>43</v>
      </c>
      <c r="B489" s="8" t="s">
        <v>59811</v>
      </c>
    </row>
    <row r="490" spans="1:2" ht="14.5" x14ac:dyDescent="0.35">
      <c r="A490" s="8" t="s">
        <v>43</v>
      </c>
      <c r="B490" s="8" t="s">
        <v>60051</v>
      </c>
    </row>
    <row r="491" spans="1:2" ht="14.5" x14ac:dyDescent="0.35">
      <c r="A491" s="8" t="s">
        <v>43</v>
      </c>
      <c r="B491" s="8" t="s">
        <v>59812</v>
      </c>
    </row>
    <row r="492" spans="1:2" ht="14.5" x14ac:dyDescent="0.35">
      <c r="A492" s="8" t="s">
        <v>43</v>
      </c>
      <c r="B492" s="8" t="s">
        <v>59813</v>
      </c>
    </row>
    <row r="493" spans="1:2" ht="14.5" x14ac:dyDescent="0.35">
      <c r="A493" s="8" t="s">
        <v>43</v>
      </c>
      <c r="B493" s="8" t="s">
        <v>59814</v>
      </c>
    </row>
    <row r="494" spans="1:2" ht="14.5" x14ac:dyDescent="0.35">
      <c r="A494" s="8" t="s">
        <v>43</v>
      </c>
      <c r="B494" s="8" t="s">
        <v>59815</v>
      </c>
    </row>
    <row r="495" spans="1:2" ht="14.5" x14ac:dyDescent="0.35">
      <c r="A495" s="8" t="s">
        <v>43</v>
      </c>
      <c r="B495" s="8" t="s">
        <v>59816</v>
      </c>
    </row>
    <row r="496" spans="1:2" ht="14.5" x14ac:dyDescent="0.35">
      <c r="A496" s="8" t="s">
        <v>43</v>
      </c>
      <c r="B496" s="8" t="s">
        <v>19360</v>
      </c>
    </row>
    <row r="497" spans="1:2" ht="14.5" x14ac:dyDescent="0.35">
      <c r="A497" s="8" t="s">
        <v>43</v>
      </c>
      <c r="B497" s="8" t="s">
        <v>55203</v>
      </c>
    </row>
    <row r="498" spans="1:2" ht="14.5" x14ac:dyDescent="0.35">
      <c r="A498" s="8" t="s">
        <v>43</v>
      </c>
      <c r="B498" s="8" t="s">
        <v>60211</v>
      </c>
    </row>
    <row r="499" spans="1:2" ht="14.5" x14ac:dyDescent="0.35">
      <c r="A499" s="8" t="s">
        <v>43</v>
      </c>
      <c r="B499" s="8" t="s">
        <v>59965</v>
      </c>
    </row>
    <row r="500" spans="1:2" ht="14.5" x14ac:dyDescent="0.35">
      <c r="A500" s="8" t="s">
        <v>43</v>
      </c>
      <c r="B500" s="8" t="s">
        <v>60212</v>
      </c>
    </row>
    <row r="501" spans="1:2" ht="14.5" x14ac:dyDescent="0.35">
      <c r="A501" s="8" t="s">
        <v>43</v>
      </c>
      <c r="B501" s="8" t="s">
        <v>60213</v>
      </c>
    </row>
    <row r="502" spans="1:2" ht="14.5" x14ac:dyDescent="0.35">
      <c r="A502" s="8" t="s">
        <v>43</v>
      </c>
      <c r="B502" s="8" t="s">
        <v>59778</v>
      </c>
    </row>
    <row r="503" spans="1:2" ht="14.5" x14ac:dyDescent="0.35">
      <c r="A503" s="8" t="s">
        <v>43</v>
      </c>
      <c r="B503" s="8" t="s">
        <v>55155</v>
      </c>
    </row>
    <row r="504" spans="1:2" ht="14.5" x14ac:dyDescent="0.35">
      <c r="A504" s="8" t="s">
        <v>43</v>
      </c>
      <c r="B504" s="8" t="s">
        <v>60214</v>
      </c>
    </row>
    <row r="505" spans="1:2" ht="14.5" x14ac:dyDescent="0.35">
      <c r="A505" s="8" t="s">
        <v>43</v>
      </c>
      <c r="B505" s="8" t="s">
        <v>60008</v>
      </c>
    </row>
    <row r="506" spans="1:2" ht="14.5" x14ac:dyDescent="0.35">
      <c r="A506" s="8" t="s">
        <v>43</v>
      </c>
      <c r="B506" s="8" t="s">
        <v>60400</v>
      </c>
    </row>
    <row r="507" spans="1:2" ht="14.5" x14ac:dyDescent="0.35">
      <c r="A507" s="8" t="s">
        <v>43</v>
      </c>
      <c r="B507" s="8" t="s">
        <v>59874</v>
      </c>
    </row>
    <row r="508" spans="1:2" ht="14.5" x14ac:dyDescent="0.35">
      <c r="A508" s="8" t="s">
        <v>43</v>
      </c>
      <c r="B508" s="8" t="s">
        <v>60215</v>
      </c>
    </row>
    <row r="509" spans="1:2" ht="14.5" x14ac:dyDescent="0.35">
      <c r="A509" s="8" t="s">
        <v>43</v>
      </c>
      <c r="B509" s="8" t="s">
        <v>60217</v>
      </c>
    </row>
    <row r="510" spans="1:2" ht="14.5" x14ac:dyDescent="0.35">
      <c r="A510" s="8" t="s">
        <v>43</v>
      </c>
      <c r="B510" s="8" t="s">
        <v>60218</v>
      </c>
    </row>
    <row r="511" spans="1:2" ht="14.5" x14ac:dyDescent="0.35">
      <c r="A511" s="8" t="s">
        <v>43</v>
      </c>
      <c r="B511" s="8" t="s">
        <v>60404</v>
      </c>
    </row>
    <row r="512" spans="1:2" ht="14.5" x14ac:dyDescent="0.35">
      <c r="A512" s="8" t="s">
        <v>43</v>
      </c>
      <c r="B512" s="8" t="s">
        <v>60219</v>
      </c>
    </row>
    <row r="513" spans="1:2" ht="14.5" x14ac:dyDescent="0.35">
      <c r="A513" s="8" t="s">
        <v>43</v>
      </c>
      <c r="B513" s="8" t="s">
        <v>60220</v>
      </c>
    </row>
    <row r="514" spans="1:2" ht="14.5" x14ac:dyDescent="0.35">
      <c r="A514" s="8" t="s">
        <v>43</v>
      </c>
      <c r="B514" s="8" t="s">
        <v>60405</v>
      </c>
    </row>
    <row r="515" spans="1:2" ht="14.5" x14ac:dyDescent="0.35">
      <c r="A515" s="8" t="s">
        <v>43</v>
      </c>
      <c r="B515" s="8" t="s">
        <v>60221</v>
      </c>
    </row>
    <row r="516" spans="1:2" ht="14.5" x14ac:dyDescent="0.35">
      <c r="A516" s="8" t="s">
        <v>43</v>
      </c>
      <c r="B516" s="8" t="s">
        <v>60222</v>
      </c>
    </row>
    <row r="517" spans="1:2" ht="14.5" x14ac:dyDescent="0.35">
      <c r="A517" s="8" t="s">
        <v>43</v>
      </c>
      <c r="B517" s="8" t="s">
        <v>60223</v>
      </c>
    </row>
    <row r="518" spans="1:2" ht="14.5" x14ac:dyDescent="0.35">
      <c r="A518" s="8" t="s">
        <v>43</v>
      </c>
      <c r="B518" s="8" t="s">
        <v>60224</v>
      </c>
    </row>
    <row r="519" spans="1:2" ht="14.5" x14ac:dyDescent="0.35">
      <c r="A519" s="8" t="s">
        <v>43</v>
      </c>
      <c r="B519" s="8" t="s">
        <v>60225</v>
      </c>
    </row>
    <row r="520" spans="1:2" ht="14.5" x14ac:dyDescent="0.35">
      <c r="A520" s="8" t="s">
        <v>43</v>
      </c>
      <c r="B520" s="8" t="s">
        <v>60407</v>
      </c>
    </row>
    <row r="521" spans="1:2" ht="14.5" x14ac:dyDescent="0.35">
      <c r="A521" s="8" t="s">
        <v>43</v>
      </c>
      <c r="B521" s="8" t="s">
        <v>60226</v>
      </c>
    </row>
    <row r="522" spans="1:2" ht="14.5" x14ac:dyDescent="0.35">
      <c r="A522" s="8" t="s">
        <v>43</v>
      </c>
      <c r="B522" s="8" t="s">
        <v>60053</v>
      </c>
    </row>
    <row r="523" spans="1:2" ht="14.5" x14ac:dyDescent="0.35">
      <c r="A523" s="8" t="s">
        <v>43</v>
      </c>
      <c r="B523" s="8" t="s">
        <v>60227</v>
      </c>
    </row>
    <row r="524" spans="1:2" ht="14.5" x14ac:dyDescent="0.35">
      <c r="A524" s="8" t="s">
        <v>43</v>
      </c>
      <c r="B524" s="8" t="s">
        <v>58571</v>
      </c>
    </row>
    <row r="525" spans="1:2" ht="14.5" x14ac:dyDescent="0.35">
      <c r="A525" s="8" t="s">
        <v>43</v>
      </c>
      <c r="B525" s="8" t="s">
        <v>60229</v>
      </c>
    </row>
    <row r="526" spans="1:2" ht="14.5" x14ac:dyDescent="0.35">
      <c r="A526" s="8" t="s">
        <v>43</v>
      </c>
      <c r="B526" s="8" t="s">
        <v>60230</v>
      </c>
    </row>
    <row r="527" spans="1:2" ht="14.5" x14ac:dyDescent="0.35">
      <c r="A527" s="8" t="s">
        <v>43</v>
      </c>
      <c r="B527" s="8" t="s">
        <v>60231</v>
      </c>
    </row>
    <row r="528" spans="1:2" ht="14.5" x14ac:dyDescent="0.35">
      <c r="A528" s="8" t="s">
        <v>43</v>
      </c>
      <c r="B528" s="8" t="s">
        <v>60232</v>
      </c>
    </row>
    <row r="529" spans="1:2" ht="14.5" x14ac:dyDescent="0.35">
      <c r="A529" s="8" t="s">
        <v>43</v>
      </c>
      <c r="B529" s="8" t="s">
        <v>60233</v>
      </c>
    </row>
    <row r="530" spans="1:2" ht="14.5" x14ac:dyDescent="0.35">
      <c r="A530" s="8" t="s">
        <v>43</v>
      </c>
      <c r="B530" s="8" t="s">
        <v>49705</v>
      </c>
    </row>
    <row r="531" spans="1:2" ht="14.5" x14ac:dyDescent="0.35">
      <c r="A531" s="8" t="s">
        <v>43</v>
      </c>
      <c r="B531" s="8" t="s">
        <v>60409</v>
      </c>
    </row>
    <row r="532" spans="1:2" ht="14.5" x14ac:dyDescent="0.35">
      <c r="A532" s="8" t="s">
        <v>43</v>
      </c>
      <c r="B532" s="8" t="s">
        <v>60234</v>
      </c>
    </row>
    <row r="533" spans="1:2" ht="14.5" x14ac:dyDescent="0.35">
      <c r="A533" s="8" t="s">
        <v>43</v>
      </c>
      <c r="B533" s="8" t="s">
        <v>60235</v>
      </c>
    </row>
    <row r="534" spans="1:2" ht="14.5" x14ac:dyDescent="0.35">
      <c r="A534" s="8" t="s">
        <v>43</v>
      </c>
      <c r="B534" s="8" t="s">
        <v>59909</v>
      </c>
    </row>
    <row r="535" spans="1:2" ht="14.5" x14ac:dyDescent="0.35">
      <c r="A535" s="8" t="s">
        <v>43</v>
      </c>
      <c r="B535" s="8" t="s">
        <v>60410</v>
      </c>
    </row>
    <row r="536" spans="1:2" ht="14.5" x14ac:dyDescent="0.35">
      <c r="A536" s="8" t="s">
        <v>43</v>
      </c>
      <c r="B536" s="8" t="s">
        <v>60411</v>
      </c>
    </row>
    <row r="537" spans="1:2" ht="14.5" x14ac:dyDescent="0.35">
      <c r="A537" s="8" t="s">
        <v>43</v>
      </c>
      <c r="B537" s="8" t="s">
        <v>60412</v>
      </c>
    </row>
    <row r="538" spans="1:2" ht="14.5" x14ac:dyDescent="0.35">
      <c r="A538" s="8" t="s">
        <v>43</v>
      </c>
      <c r="B538" s="8" t="s">
        <v>60236</v>
      </c>
    </row>
    <row r="539" spans="1:2" ht="14.5" x14ac:dyDescent="0.35">
      <c r="A539" s="8" t="s">
        <v>43</v>
      </c>
      <c r="B539" s="8" t="s">
        <v>60237</v>
      </c>
    </row>
    <row r="540" spans="1:2" ht="14.5" x14ac:dyDescent="0.35">
      <c r="A540" s="8" t="s">
        <v>43</v>
      </c>
      <c r="B540" s="8" t="s">
        <v>4456</v>
      </c>
    </row>
    <row r="541" spans="1:2" ht="14.5" x14ac:dyDescent="0.35">
      <c r="A541" s="8" t="s">
        <v>43</v>
      </c>
      <c r="B541" s="8" t="s">
        <v>60238</v>
      </c>
    </row>
    <row r="542" spans="1:2" ht="14.5" x14ac:dyDescent="0.35">
      <c r="A542" s="8" t="s">
        <v>43</v>
      </c>
      <c r="B542" s="8" t="s">
        <v>60413</v>
      </c>
    </row>
    <row r="543" spans="1:2" ht="14.5" x14ac:dyDescent="0.35">
      <c r="A543" s="8" t="s">
        <v>43</v>
      </c>
      <c r="B543" s="8" t="s">
        <v>60239</v>
      </c>
    </row>
    <row r="544" spans="1:2" ht="14.5" x14ac:dyDescent="0.35">
      <c r="A544" s="8" t="s">
        <v>43</v>
      </c>
      <c r="B544" s="8" t="s">
        <v>60414</v>
      </c>
    </row>
    <row r="545" spans="1:2" ht="14.5" x14ac:dyDescent="0.35">
      <c r="A545" s="8" t="s">
        <v>43</v>
      </c>
      <c r="B545" s="8" t="s">
        <v>60415</v>
      </c>
    </row>
    <row r="546" spans="1:2" ht="14.5" x14ac:dyDescent="0.35">
      <c r="A546" s="8" t="s">
        <v>43</v>
      </c>
      <c r="B546" s="8" t="s">
        <v>59775</v>
      </c>
    </row>
    <row r="547" spans="1:2" ht="14.5" x14ac:dyDescent="0.35">
      <c r="A547" s="8" t="s">
        <v>43</v>
      </c>
      <c r="B547" s="8" t="s">
        <v>60416</v>
      </c>
    </row>
    <row r="548" spans="1:2" ht="14.5" x14ac:dyDescent="0.35">
      <c r="A548" s="8" t="s">
        <v>43</v>
      </c>
      <c r="B548" s="8" t="s">
        <v>60240</v>
      </c>
    </row>
    <row r="549" spans="1:2" ht="14.5" x14ac:dyDescent="0.35">
      <c r="A549" s="8" t="s">
        <v>43</v>
      </c>
      <c r="B549" s="8" t="s">
        <v>57041</v>
      </c>
    </row>
    <row r="550" spans="1:2" ht="14.5" x14ac:dyDescent="0.35">
      <c r="A550" s="8" t="s">
        <v>43</v>
      </c>
      <c r="B550" s="8" t="s">
        <v>10389</v>
      </c>
    </row>
    <row r="551" spans="1:2" ht="14.5" x14ac:dyDescent="0.35">
      <c r="A551" s="8" t="s">
        <v>43</v>
      </c>
      <c r="B551" s="8" t="s">
        <v>54327</v>
      </c>
    </row>
    <row r="552" spans="1:2" ht="14.5" x14ac:dyDescent="0.35">
      <c r="A552" s="8" t="s">
        <v>43</v>
      </c>
      <c r="B552" s="8" t="s">
        <v>60241</v>
      </c>
    </row>
    <row r="553" spans="1:2" ht="14.5" x14ac:dyDescent="0.35">
      <c r="A553" s="8" t="s">
        <v>43</v>
      </c>
      <c r="B553" s="8" t="s">
        <v>60242</v>
      </c>
    </row>
    <row r="554" spans="1:2" ht="14.5" x14ac:dyDescent="0.35">
      <c r="A554" s="8" t="s">
        <v>43</v>
      </c>
      <c r="B554" s="8" t="s">
        <v>60243</v>
      </c>
    </row>
    <row r="555" spans="1:2" ht="14.5" x14ac:dyDescent="0.35">
      <c r="A555" s="8" t="s">
        <v>43</v>
      </c>
      <c r="B555" s="8" t="s">
        <v>58720</v>
      </c>
    </row>
    <row r="556" spans="1:2" ht="14.5" x14ac:dyDescent="0.35">
      <c r="A556" s="8" t="s">
        <v>43</v>
      </c>
      <c r="B556" s="8" t="s">
        <v>60244</v>
      </c>
    </row>
    <row r="557" spans="1:2" ht="14.5" x14ac:dyDescent="0.35">
      <c r="A557" s="8" t="s">
        <v>43</v>
      </c>
      <c r="B557" s="8" t="s">
        <v>60245</v>
      </c>
    </row>
    <row r="558" spans="1:2" ht="14.5" x14ac:dyDescent="0.35">
      <c r="A558" s="8" t="s">
        <v>43</v>
      </c>
      <c r="B558" s="8" t="s">
        <v>60417</v>
      </c>
    </row>
    <row r="559" spans="1:2" ht="14.5" x14ac:dyDescent="0.35">
      <c r="A559" s="8" t="s">
        <v>43</v>
      </c>
      <c r="B559" s="8" t="s">
        <v>55952</v>
      </c>
    </row>
    <row r="560" spans="1:2" ht="14.5" x14ac:dyDescent="0.35">
      <c r="A560" s="8" t="s">
        <v>43</v>
      </c>
      <c r="B560" s="8" t="s">
        <v>59966</v>
      </c>
    </row>
    <row r="561" spans="1:2" ht="14.5" x14ac:dyDescent="0.35">
      <c r="A561" s="8" t="s">
        <v>43</v>
      </c>
      <c r="B561" s="8" t="s">
        <v>60246</v>
      </c>
    </row>
    <row r="562" spans="1:2" ht="14.5" x14ac:dyDescent="0.35">
      <c r="A562" s="8" t="s">
        <v>43</v>
      </c>
      <c r="B562" s="8" t="s">
        <v>60247</v>
      </c>
    </row>
    <row r="563" spans="1:2" ht="14.5" x14ac:dyDescent="0.35">
      <c r="A563" s="8" t="s">
        <v>43</v>
      </c>
      <c r="B563" s="8" t="s">
        <v>60248</v>
      </c>
    </row>
    <row r="564" spans="1:2" ht="14.5" x14ac:dyDescent="0.35">
      <c r="A564" s="8" t="s">
        <v>43</v>
      </c>
      <c r="B564" s="8" t="s">
        <v>60418</v>
      </c>
    </row>
    <row r="565" spans="1:2" ht="14.5" x14ac:dyDescent="0.35">
      <c r="A565" s="8" t="s">
        <v>43</v>
      </c>
      <c r="B565" s="8" t="s">
        <v>60419</v>
      </c>
    </row>
    <row r="566" spans="1:2" ht="14.5" x14ac:dyDescent="0.35">
      <c r="A566" s="8" t="s">
        <v>43</v>
      </c>
      <c r="B566" s="8" t="s">
        <v>60250</v>
      </c>
    </row>
    <row r="567" spans="1:2" ht="14.5" x14ac:dyDescent="0.35">
      <c r="A567" s="8" t="s">
        <v>43</v>
      </c>
      <c r="B567" s="8" t="s">
        <v>6410</v>
      </c>
    </row>
    <row r="568" spans="1:2" ht="14.5" x14ac:dyDescent="0.35">
      <c r="A568" s="8" t="s">
        <v>43</v>
      </c>
      <c r="B568" s="8" t="s">
        <v>60251</v>
      </c>
    </row>
    <row r="569" spans="1:2" ht="14.5" x14ac:dyDescent="0.35">
      <c r="A569" s="8" t="s">
        <v>43</v>
      </c>
      <c r="B569" s="8" t="s">
        <v>60252</v>
      </c>
    </row>
    <row r="570" spans="1:2" ht="14.5" x14ac:dyDescent="0.35">
      <c r="A570" s="8" t="s">
        <v>43</v>
      </c>
      <c r="B570" s="8" t="s">
        <v>59967</v>
      </c>
    </row>
    <row r="571" spans="1:2" ht="14.5" x14ac:dyDescent="0.35">
      <c r="A571" s="8" t="s">
        <v>43</v>
      </c>
      <c r="B571" s="8" t="s">
        <v>4656</v>
      </c>
    </row>
    <row r="572" spans="1:2" ht="14.5" x14ac:dyDescent="0.35">
      <c r="A572" s="8" t="s">
        <v>43</v>
      </c>
      <c r="B572" s="8" t="s">
        <v>60254</v>
      </c>
    </row>
    <row r="573" spans="1:2" ht="14.5" x14ac:dyDescent="0.35">
      <c r="A573" s="8" t="s">
        <v>43</v>
      </c>
      <c r="B573" s="8" t="s">
        <v>60255</v>
      </c>
    </row>
    <row r="574" spans="1:2" ht="14.5" x14ac:dyDescent="0.35">
      <c r="A574" s="8" t="s">
        <v>43</v>
      </c>
      <c r="B574" s="8" t="s">
        <v>60425</v>
      </c>
    </row>
    <row r="575" spans="1:2" ht="14.5" x14ac:dyDescent="0.35">
      <c r="A575" s="8" t="s">
        <v>43</v>
      </c>
      <c r="B575" s="8" t="s">
        <v>60256</v>
      </c>
    </row>
    <row r="576" spans="1:2" ht="14.5" x14ac:dyDescent="0.35">
      <c r="A576" s="8" t="s">
        <v>43</v>
      </c>
      <c r="B576" s="8" t="s">
        <v>60427</v>
      </c>
    </row>
    <row r="577" spans="1:2" ht="14.5" x14ac:dyDescent="0.35">
      <c r="A577" s="8" t="s">
        <v>43</v>
      </c>
      <c r="B577" s="8" t="s">
        <v>60099</v>
      </c>
    </row>
    <row r="578" spans="1:2" ht="14.5" x14ac:dyDescent="0.35">
      <c r="A578" s="8" t="s">
        <v>43</v>
      </c>
      <c r="B578" s="8" t="s">
        <v>60257</v>
      </c>
    </row>
    <row r="579" spans="1:2" ht="14.5" x14ac:dyDescent="0.35">
      <c r="A579" s="8" t="s">
        <v>43</v>
      </c>
      <c r="B579" s="8" t="s">
        <v>60258</v>
      </c>
    </row>
    <row r="580" spans="1:2" ht="14.5" x14ac:dyDescent="0.35">
      <c r="A580" s="8" t="s">
        <v>43</v>
      </c>
      <c r="B580" s="8" t="s">
        <v>60259</v>
      </c>
    </row>
    <row r="581" spans="1:2" ht="14.5" x14ac:dyDescent="0.35">
      <c r="A581" s="8" t="s">
        <v>43</v>
      </c>
      <c r="B581" s="8" t="s">
        <v>60260</v>
      </c>
    </row>
    <row r="582" spans="1:2" ht="14.5" x14ac:dyDescent="0.35">
      <c r="A582" s="8" t="s">
        <v>43</v>
      </c>
      <c r="B582" s="8" t="s">
        <v>60261</v>
      </c>
    </row>
    <row r="583" spans="1:2" ht="14.5" x14ac:dyDescent="0.35">
      <c r="A583" s="8" t="s">
        <v>43</v>
      </c>
      <c r="B583" s="8" t="s">
        <v>60262</v>
      </c>
    </row>
    <row r="584" spans="1:2" ht="14.5" x14ac:dyDescent="0.35">
      <c r="A584" s="8" t="s">
        <v>43</v>
      </c>
      <c r="B584" s="8" t="s">
        <v>60428</v>
      </c>
    </row>
    <row r="585" spans="1:2" ht="14.5" x14ac:dyDescent="0.35">
      <c r="A585" s="8" t="s">
        <v>43</v>
      </c>
      <c r="B585" s="8" t="s">
        <v>60429</v>
      </c>
    </row>
    <row r="586" spans="1:2" ht="14.5" x14ac:dyDescent="0.35">
      <c r="A586" s="8" t="s">
        <v>43</v>
      </c>
      <c r="B586" s="8" t="s">
        <v>60263</v>
      </c>
    </row>
    <row r="587" spans="1:2" ht="14.5" x14ac:dyDescent="0.35">
      <c r="A587" s="8" t="s">
        <v>43</v>
      </c>
      <c r="B587" s="8" t="s">
        <v>60430</v>
      </c>
    </row>
    <row r="588" spans="1:2" ht="14.5" x14ac:dyDescent="0.35">
      <c r="A588" s="8" t="s">
        <v>43</v>
      </c>
      <c r="B588" s="8" t="s">
        <v>60431</v>
      </c>
    </row>
    <row r="589" spans="1:2" ht="14.5" x14ac:dyDescent="0.35">
      <c r="A589" s="8" t="s">
        <v>43</v>
      </c>
      <c r="B589" s="8" t="s">
        <v>54746</v>
      </c>
    </row>
    <row r="590" spans="1:2" ht="14.5" x14ac:dyDescent="0.35">
      <c r="A590" s="8" t="s">
        <v>43</v>
      </c>
      <c r="B590" s="8" t="s">
        <v>60264</v>
      </c>
    </row>
    <row r="591" spans="1:2" ht="14.5" x14ac:dyDescent="0.35">
      <c r="A591" s="8" t="s">
        <v>43</v>
      </c>
      <c r="B591" s="8" t="s">
        <v>60433</v>
      </c>
    </row>
    <row r="592" spans="1:2" ht="14.5" x14ac:dyDescent="0.35">
      <c r="A592" s="8" t="s">
        <v>43</v>
      </c>
      <c r="B592" s="8" t="s">
        <v>60054</v>
      </c>
    </row>
    <row r="593" spans="1:2" ht="14.5" x14ac:dyDescent="0.35">
      <c r="A593" s="8" t="s">
        <v>43</v>
      </c>
      <c r="B593" s="8" t="s">
        <v>60434</v>
      </c>
    </row>
    <row r="594" spans="1:2" ht="14.5" x14ac:dyDescent="0.35">
      <c r="A594" s="8" t="s">
        <v>43</v>
      </c>
      <c r="B594" s="8" t="s">
        <v>60435</v>
      </c>
    </row>
    <row r="595" spans="1:2" ht="14.5" x14ac:dyDescent="0.35">
      <c r="A595" s="8" t="s">
        <v>43</v>
      </c>
      <c r="B595" s="8" t="s">
        <v>56570</v>
      </c>
    </row>
    <row r="596" spans="1:2" ht="14.5" x14ac:dyDescent="0.35">
      <c r="A596" s="8" t="s">
        <v>43</v>
      </c>
      <c r="B596" s="8" t="s">
        <v>57295</v>
      </c>
    </row>
    <row r="597" spans="1:2" ht="14.5" x14ac:dyDescent="0.35">
      <c r="A597" s="8" t="s">
        <v>43</v>
      </c>
      <c r="B597" s="8" t="s">
        <v>60436</v>
      </c>
    </row>
    <row r="598" spans="1:2" ht="14.5" x14ac:dyDescent="0.35">
      <c r="A598" s="8" t="s">
        <v>43</v>
      </c>
      <c r="B598" s="8" t="s">
        <v>60266</v>
      </c>
    </row>
    <row r="599" spans="1:2" ht="14.5" x14ac:dyDescent="0.35">
      <c r="A599" s="8" t="s">
        <v>43</v>
      </c>
      <c r="B599" s="8" t="s">
        <v>60267</v>
      </c>
    </row>
    <row r="600" spans="1:2" ht="14.5" x14ac:dyDescent="0.35">
      <c r="A600" s="8" t="s">
        <v>43</v>
      </c>
      <c r="B600" s="8" t="s">
        <v>60268</v>
      </c>
    </row>
    <row r="601" spans="1:2" ht="14.5" x14ac:dyDescent="0.35">
      <c r="A601" s="8" t="s">
        <v>43</v>
      </c>
      <c r="B601" s="8" t="s">
        <v>60437</v>
      </c>
    </row>
    <row r="602" spans="1:2" ht="14.5" x14ac:dyDescent="0.35">
      <c r="A602" s="8" t="s">
        <v>43</v>
      </c>
      <c r="B602" s="8" t="s">
        <v>57957</v>
      </c>
    </row>
    <row r="603" spans="1:2" ht="14.5" x14ac:dyDescent="0.35">
      <c r="A603" s="8" t="s">
        <v>43</v>
      </c>
      <c r="B603" s="8" t="s">
        <v>4977</v>
      </c>
    </row>
    <row r="604" spans="1:2" ht="14.5" x14ac:dyDescent="0.35">
      <c r="A604" s="8" t="s">
        <v>43</v>
      </c>
      <c r="B604" s="8" t="s">
        <v>60269</v>
      </c>
    </row>
    <row r="605" spans="1:2" ht="14.5" x14ac:dyDescent="0.35">
      <c r="A605" s="8" t="s">
        <v>43</v>
      </c>
      <c r="B605" s="8" t="s">
        <v>60270</v>
      </c>
    </row>
    <row r="606" spans="1:2" ht="14.5" x14ac:dyDescent="0.35">
      <c r="A606" s="8" t="s">
        <v>43</v>
      </c>
      <c r="B606" s="8" t="s">
        <v>60271</v>
      </c>
    </row>
    <row r="607" spans="1:2" ht="14.5" x14ac:dyDescent="0.35">
      <c r="A607" s="8" t="s">
        <v>43</v>
      </c>
      <c r="B607" s="8" t="s">
        <v>8946</v>
      </c>
    </row>
    <row r="608" spans="1:2" ht="14.5" x14ac:dyDescent="0.35">
      <c r="A608" s="8" t="s">
        <v>43</v>
      </c>
      <c r="B608" s="8" t="s">
        <v>60438</v>
      </c>
    </row>
    <row r="609" spans="1:2" ht="14.5" x14ac:dyDescent="0.35">
      <c r="A609" s="8" t="s">
        <v>43</v>
      </c>
      <c r="B609" s="8" t="s">
        <v>60272</v>
      </c>
    </row>
    <row r="610" spans="1:2" ht="14.5" x14ac:dyDescent="0.35">
      <c r="A610" s="8" t="s">
        <v>43</v>
      </c>
      <c r="B610" s="8" t="s">
        <v>60273</v>
      </c>
    </row>
    <row r="611" spans="1:2" ht="14.5" x14ac:dyDescent="0.35">
      <c r="A611" s="8" t="s">
        <v>43</v>
      </c>
      <c r="B611" s="8" t="s">
        <v>7987</v>
      </c>
    </row>
    <row r="612" spans="1:2" ht="14.5" x14ac:dyDescent="0.35">
      <c r="A612" s="8" t="s">
        <v>43</v>
      </c>
      <c r="B612" s="8" t="s">
        <v>60274</v>
      </c>
    </row>
    <row r="613" spans="1:2" ht="14.5" x14ac:dyDescent="0.35">
      <c r="A613" s="8" t="s">
        <v>43</v>
      </c>
      <c r="B613" s="8" t="s">
        <v>60275</v>
      </c>
    </row>
    <row r="614" spans="1:2" ht="14.5" x14ac:dyDescent="0.35">
      <c r="A614" s="8" t="s">
        <v>43</v>
      </c>
      <c r="B614" s="8" t="s">
        <v>5033</v>
      </c>
    </row>
    <row r="615" spans="1:2" ht="14.5" x14ac:dyDescent="0.35">
      <c r="A615" s="8" t="s">
        <v>43</v>
      </c>
      <c r="B615" s="8" t="s">
        <v>60276</v>
      </c>
    </row>
    <row r="616" spans="1:2" ht="14.5" x14ac:dyDescent="0.35">
      <c r="A616" s="8" t="s">
        <v>43</v>
      </c>
      <c r="B616" s="8" t="s">
        <v>60440</v>
      </c>
    </row>
    <row r="617" spans="1:2" ht="14.5" x14ac:dyDescent="0.35">
      <c r="A617" s="8" t="s">
        <v>43</v>
      </c>
      <c r="B617" s="8" t="s">
        <v>60277</v>
      </c>
    </row>
    <row r="618" spans="1:2" ht="14.5" x14ac:dyDescent="0.35">
      <c r="A618" s="8" t="s">
        <v>43</v>
      </c>
      <c r="B618" s="8" t="s">
        <v>60022</v>
      </c>
    </row>
    <row r="619" spans="1:2" ht="14.5" x14ac:dyDescent="0.35">
      <c r="A619" s="8" t="s">
        <v>43</v>
      </c>
      <c r="B619" s="8" t="s">
        <v>60279</v>
      </c>
    </row>
    <row r="620" spans="1:2" ht="14.5" x14ac:dyDescent="0.35">
      <c r="A620" s="8" t="s">
        <v>43</v>
      </c>
      <c r="B620" s="8" t="s">
        <v>54388</v>
      </c>
    </row>
    <row r="621" spans="1:2" ht="14.5" x14ac:dyDescent="0.35">
      <c r="A621" s="8" t="s">
        <v>43</v>
      </c>
      <c r="B621" s="8" t="s">
        <v>11643</v>
      </c>
    </row>
    <row r="622" spans="1:2" ht="14.5" x14ac:dyDescent="0.35">
      <c r="A622" s="8" t="s">
        <v>43</v>
      </c>
      <c r="B622" s="8" t="s">
        <v>60280</v>
      </c>
    </row>
    <row r="623" spans="1:2" ht="14.5" x14ac:dyDescent="0.35">
      <c r="A623" s="8" t="s">
        <v>43</v>
      </c>
      <c r="B623" s="8" t="s">
        <v>60281</v>
      </c>
    </row>
    <row r="624" spans="1:2" ht="14.5" x14ac:dyDescent="0.35">
      <c r="A624" s="8" t="s">
        <v>43</v>
      </c>
      <c r="B624" s="8" t="s">
        <v>60441</v>
      </c>
    </row>
    <row r="625" spans="1:2" ht="14.5" x14ac:dyDescent="0.35">
      <c r="A625" s="8" t="s">
        <v>43</v>
      </c>
      <c r="B625" s="8" t="s">
        <v>60282</v>
      </c>
    </row>
    <row r="626" spans="1:2" ht="14.5" x14ac:dyDescent="0.35">
      <c r="A626" s="8" t="s">
        <v>43</v>
      </c>
      <c r="B626" s="8" t="s">
        <v>46065</v>
      </c>
    </row>
    <row r="627" spans="1:2" ht="14.5" x14ac:dyDescent="0.35">
      <c r="A627" s="8" t="s">
        <v>43</v>
      </c>
      <c r="B627" s="8" t="s">
        <v>60283</v>
      </c>
    </row>
    <row r="628" spans="1:2" ht="14.5" x14ac:dyDescent="0.35">
      <c r="A628" s="8" t="s">
        <v>43</v>
      </c>
      <c r="B628" s="8" t="s">
        <v>60284</v>
      </c>
    </row>
    <row r="629" spans="1:2" ht="14.5" x14ac:dyDescent="0.35">
      <c r="A629" s="8" t="s">
        <v>43</v>
      </c>
      <c r="B629" s="8" t="s">
        <v>60285</v>
      </c>
    </row>
    <row r="630" spans="1:2" ht="14.5" x14ac:dyDescent="0.35">
      <c r="A630" s="8" t="s">
        <v>43</v>
      </c>
      <c r="B630" s="8" t="s">
        <v>60442</v>
      </c>
    </row>
    <row r="631" spans="1:2" ht="14.5" x14ac:dyDescent="0.35">
      <c r="A631" s="8" t="s">
        <v>43</v>
      </c>
      <c r="B631" s="8" t="s">
        <v>60287</v>
      </c>
    </row>
    <row r="632" spans="1:2" ht="14.5" x14ac:dyDescent="0.35">
      <c r="A632" s="8" t="s">
        <v>43</v>
      </c>
      <c r="B632" s="8" t="s">
        <v>6604</v>
      </c>
    </row>
    <row r="633" spans="1:2" ht="14.5" x14ac:dyDescent="0.35">
      <c r="A633" s="8" t="s">
        <v>43</v>
      </c>
      <c r="B633" s="8" t="s">
        <v>60288</v>
      </c>
    </row>
    <row r="634" spans="1:2" ht="14.5" x14ac:dyDescent="0.35">
      <c r="A634" s="8" t="s">
        <v>43</v>
      </c>
      <c r="B634" s="8" t="s">
        <v>59822</v>
      </c>
    </row>
    <row r="635" spans="1:2" ht="14.5" x14ac:dyDescent="0.35">
      <c r="A635" s="8" t="s">
        <v>43</v>
      </c>
      <c r="B635" s="8" t="s">
        <v>60445</v>
      </c>
    </row>
    <row r="636" spans="1:2" ht="14.5" x14ac:dyDescent="0.35">
      <c r="A636" s="8" t="s">
        <v>43</v>
      </c>
      <c r="B636" s="8" t="s">
        <v>60289</v>
      </c>
    </row>
    <row r="637" spans="1:2" ht="14.5" x14ac:dyDescent="0.35">
      <c r="A637" s="8" t="s">
        <v>43</v>
      </c>
      <c r="B637" s="8" t="s">
        <v>60447</v>
      </c>
    </row>
    <row r="638" spans="1:2" ht="14.5" x14ac:dyDescent="0.35">
      <c r="A638" s="8" t="s">
        <v>43</v>
      </c>
      <c r="B638" s="8" t="s">
        <v>60292</v>
      </c>
    </row>
    <row r="639" spans="1:2" ht="14.5" x14ac:dyDescent="0.35">
      <c r="A639" s="8" t="s">
        <v>43</v>
      </c>
      <c r="B639" s="8" t="s">
        <v>60448</v>
      </c>
    </row>
    <row r="640" spans="1:2" ht="14.5" x14ac:dyDescent="0.35">
      <c r="A640" s="8" t="s">
        <v>43</v>
      </c>
      <c r="B640" s="8" t="s">
        <v>60293</v>
      </c>
    </row>
    <row r="641" spans="1:2" ht="14.5" x14ac:dyDescent="0.35">
      <c r="A641" s="8" t="s">
        <v>43</v>
      </c>
      <c r="B641" s="8" t="s">
        <v>60453</v>
      </c>
    </row>
    <row r="642" spans="1:2" ht="14.5" x14ac:dyDescent="0.35">
      <c r="A642" s="8" t="s">
        <v>43</v>
      </c>
      <c r="B642" s="8" t="s">
        <v>60295</v>
      </c>
    </row>
    <row r="643" spans="1:2" ht="14.5" x14ac:dyDescent="0.35">
      <c r="A643" s="8" t="s">
        <v>43</v>
      </c>
      <c r="B643" s="8" t="s">
        <v>60296</v>
      </c>
    </row>
    <row r="644" spans="1:2" ht="14.5" x14ac:dyDescent="0.35">
      <c r="A644" s="8" t="s">
        <v>43</v>
      </c>
      <c r="B644" s="8" t="s">
        <v>60454</v>
      </c>
    </row>
    <row r="645" spans="1:2" ht="14.5" x14ac:dyDescent="0.35">
      <c r="A645" s="8" t="s">
        <v>43</v>
      </c>
      <c r="B645" s="8" t="s">
        <v>59964</v>
      </c>
    </row>
    <row r="646" spans="1:2" ht="14.5" x14ac:dyDescent="0.35">
      <c r="A646" s="8" t="s">
        <v>43</v>
      </c>
      <c r="B646" s="8" t="s">
        <v>60297</v>
      </c>
    </row>
    <row r="647" spans="1:2" ht="14.5" x14ac:dyDescent="0.35">
      <c r="A647" s="8" t="s">
        <v>43</v>
      </c>
      <c r="B647" s="8" t="s">
        <v>60298</v>
      </c>
    </row>
    <row r="648" spans="1:2" ht="14.5" x14ac:dyDescent="0.35">
      <c r="A648" s="8" t="s">
        <v>43</v>
      </c>
      <c r="B648" s="8" t="s">
        <v>60299</v>
      </c>
    </row>
    <row r="649" spans="1:2" ht="14.5" x14ac:dyDescent="0.35">
      <c r="A649" s="8" t="s">
        <v>43</v>
      </c>
      <c r="B649" s="8" t="s">
        <v>60103</v>
      </c>
    </row>
    <row r="650" spans="1:2" ht="14.5" x14ac:dyDescent="0.35">
      <c r="A650" s="8" t="s">
        <v>43</v>
      </c>
      <c r="B650" s="8" t="s">
        <v>60455</v>
      </c>
    </row>
    <row r="651" spans="1:2" ht="14.5" x14ac:dyDescent="0.35">
      <c r="A651" s="8" t="s">
        <v>43</v>
      </c>
      <c r="B651" s="8" t="s">
        <v>60456</v>
      </c>
    </row>
    <row r="652" spans="1:2" ht="14.5" x14ac:dyDescent="0.35">
      <c r="A652" s="8" t="s">
        <v>43</v>
      </c>
      <c r="B652" s="8" t="s">
        <v>5564</v>
      </c>
    </row>
    <row r="653" spans="1:2" ht="14.5" x14ac:dyDescent="0.35">
      <c r="A653" s="8" t="s">
        <v>43</v>
      </c>
      <c r="B653" s="8" t="s">
        <v>60300</v>
      </c>
    </row>
    <row r="654" spans="1:2" ht="14.5" x14ac:dyDescent="0.35">
      <c r="A654" s="8" t="s">
        <v>43</v>
      </c>
      <c r="B654" s="8" t="s">
        <v>59789</v>
      </c>
    </row>
    <row r="655" spans="1:2" ht="14.5" x14ac:dyDescent="0.35">
      <c r="A655" s="8" t="s">
        <v>43</v>
      </c>
      <c r="B655" s="8" t="s">
        <v>59789</v>
      </c>
    </row>
    <row r="656" spans="1:2" ht="14.5" x14ac:dyDescent="0.35">
      <c r="A656" s="8" t="s">
        <v>43</v>
      </c>
      <c r="B656" s="8" t="s">
        <v>60460</v>
      </c>
    </row>
    <row r="657" spans="1:2" ht="14.5" x14ac:dyDescent="0.35">
      <c r="A657" s="8" t="s">
        <v>43</v>
      </c>
      <c r="B657" s="8" t="s">
        <v>56345</v>
      </c>
    </row>
    <row r="658" spans="1:2" ht="14.5" x14ac:dyDescent="0.35">
      <c r="A658" s="8" t="s">
        <v>43</v>
      </c>
      <c r="B658" s="8" t="s">
        <v>60461</v>
      </c>
    </row>
    <row r="659" spans="1:2" ht="14.5" x14ac:dyDescent="0.35">
      <c r="A659" s="8" t="s">
        <v>43</v>
      </c>
      <c r="B659" s="8" t="s">
        <v>60302</v>
      </c>
    </row>
    <row r="660" spans="1:2" ht="14.5" x14ac:dyDescent="0.35">
      <c r="A660" s="8" t="s">
        <v>43</v>
      </c>
      <c r="B660" s="8" t="s">
        <v>60303</v>
      </c>
    </row>
    <row r="661" spans="1:2" ht="14.5" x14ac:dyDescent="0.35">
      <c r="A661" s="8" t="s">
        <v>43</v>
      </c>
      <c r="B661" s="8" t="s">
        <v>60462</v>
      </c>
    </row>
    <row r="662" spans="1:2" ht="14.5" x14ac:dyDescent="0.35">
      <c r="A662" s="8" t="s">
        <v>43</v>
      </c>
      <c r="B662" s="8" t="s">
        <v>60304</v>
      </c>
    </row>
    <row r="663" spans="1:2" ht="14.5" x14ac:dyDescent="0.35">
      <c r="A663" s="8" t="s">
        <v>43</v>
      </c>
      <c r="B663" s="8" t="s">
        <v>60305</v>
      </c>
    </row>
    <row r="664" spans="1:2" ht="14.5" x14ac:dyDescent="0.35">
      <c r="A664" s="8" t="s">
        <v>43</v>
      </c>
      <c r="B664" s="8" t="s">
        <v>5615</v>
      </c>
    </row>
    <row r="665" spans="1:2" ht="14.5" x14ac:dyDescent="0.35">
      <c r="A665" s="8" t="s">
        <v>43</v>
      </c>
      <c r="B665" s="8" t="s">
        <v>60306</v>
      </c>
    </row>
    <row r="666" spans="1:2" ht="14.5" x14ac:dyDescent="0.35">
      <c r="A666" s="8" t="s">
        <v>43</v>
      </c>
      <c r="B666" s="8" t="s">
        <v>60307</v>
      </c>
    </row>
    <row r="667" spans="1:2" ht="14.5" x14ac:dyDescent="0.35">
      <c r="A667" s="8" t="s">
        <v>43</v>
      </c>
      <c r="B667" s="8" t="s">
        <v>60104</v>
      </c>
    </row>
    <row r="668" spans="1:2" ht="14.5" x14ac:dyDescent="0.35">
      <c r="A668" s="8" t="s">
        <v>43</v>
      </c>
      <c r="B668" s="8" t="s">
        <v>60105</v>
      </c>
    </row>
    <row r="669" spans="1:2" ht="14.5" x14ac:dyDescent="0.35">
      <c r="A669" s="8" t="s">
        <v>43</v>
      </c>
      <c r="B669" s="8" t="s">
        <v>60106</v>
      </c>
    </row>
    <row r="670" spans="1:2" ht="14.5" x14ac:dyDescent="0.35">
      <c r="A670" s="8" t="s">
        <v>43</v>
      </c>
      <c r="B670" s="8" t="s">
        <v>60308</v>
      </c>
    </row>
    <row r="671" spans="1:2" ht="14.5" x14ac:dyDescent="0.35">
      <c r="A671" s="8" t="s">
        <v>43</v>
      </c>
      <c r="B671" s="8" t="s">
        <v>60109</v>
      </c>
    </row>
    <row r="672" spans="1:2" ht="14.5" x14ac:dyDescent="0.35">
      <c r="A672" s="8" t="s">
        <v>43</v>
      </c>
      <c r="B672" s="8" t="s">
        <v>60309</v>
      </c>
    </row>
    <row r="673" spans="1:2" ht="14.5" x14ac:dyDescent="0.35">
      <c r="A673" s="8" t="s">
        <v>43</v>
      </c>
      <c r="B673" s="8" t="s">
        <v>60310</v>
      </c>
    </row>
    <row r="674" spans="1:2" ht="14.5" x14ac:dyDescent="0.35">
      <c r="A674" s="8" t="s">
        <v>43</v>
      </c>
      <c r="B674" s="8" t="s">
        <v>60311</v>
      </c>
    </row>
    <row r="675" spans="1:2" ht="14.5" x14ac:dyDescent="0.35">
      <c r="A675" s="8" t="s">
        <v>43</v>
      </c>
      <c r="B675" s="8" t="s">
        <v>60312</v>
      </c>
    </row>
    <row r="676" spans="1:2" ht="14.5" x14ac:dyDescent="0.35">
      <c r="A676" s="8" t="s">
        <v>43</v>
      </c>
      <c r="B676" s="8" t="s">
        <v>60313</v>
      </c>
    </row>
    <row r="677" spans="1:2" ht="14.5" x14ac:dyDescent="0.35">
      <c r="A677" s="8" t="s">
        <v>43</v>
      </c>
      <c r="B677" s="8" t="s">
        <v>60110</v>
      </c>
    </row>
    <row r="678" spans="1:2" ht="14.5" x14ac:dyDescent="0.35">
      <c r="A678" s="8" t="s">
        <v>43</v>
      </c>
      <c r="B678" s="8" t="s">
        <v>60111</v>
      </c>
    </row>
    <row r="679" spans="1:2" ht="14.5" x14ac:dyDescent="0.35">
      <c r="A679" s="8" t="s">
        <v>43</v>
      </c>
      <c r="B679" s="8" t="s">
        <v>6674</v>
      </c>
    </row>
    <row r="680" spans="1:2" ht="14.5" x14ac:dyDescent="0.35">
      <c r="A680" s="8" t="s">
        <v>43</v>
      </c>
      <c r="B680" s="8" t="s">
        <v>60314</v>
      </c>
    </row>
    <row r="681" spans="1:2" ht="14.5" x14ac:dyDescent="0.35">
      <c r="A681" s="8" t="s">
        <v>43</v>
      </c>
      <c r="B681" s="8" t="s">
        <v>17314</v>
      </c>
    </row>
    <row r="682" spans="1:2" ht="14.5" x14ac:dyDescent="0.35">
      <c r="A682" s="8" t="s">
        <v>43</v>
      </c>
      <c r="B682" s="8" t="s">
        <v>14193</v>
      </c>
    </row>
    <row r="683" spans="1:2" ht="14.5" x14ac:dyDescent="0.35">
      <c r="A683" s="8" t="s">
        <v>43</v>
      </c>
      <c r="B683" s="8" t="s">
        <v>60029</v>
      </c>
    </row>
    <row r="684" spans="1:2" ht="14.5" x14ac:dyDescent="0.35">
      <c r="A684" s="8" t="s">
        <v>43</v>
      </c>
      <c r="B684" s="8" t="s">
        <v>60113</v>
      </c>
    </row>
    <row r="685" spans="1:2" ht="14.5" x14ac:dyDescent="0.35">
      <c r="A685" s="8" t="s">
        <v>43</v>
      </c>
      <c r="B685" s="8" t="s">
        <v>60114</v>
      </c>
    </row>
    <row r="686" spans="1:2" ht="14.5" x14ac:dyDescent="0.35">
      <c r="A686" s="8" t="s">
        <v>43</v>
      </c>
      <c r="B686" s="8" t="s">
        <v>60316</v>
      </c>
    </row>
    <row r="687" spans="1:2" ht="14.5" x14ac:dyDescent="0.35">
      <c r="A687" s="8" t="s">
        <v>43</v>
      </c>
      <c r="B687" s="8" t="s">
        <v>60317</v>
      </c>
    </row>
    <row r="688" spans="1:2" ht="14.5" x14ac:dyDescent="0.35">
      <c r="A688" s="8" t="s">
        <v>43</v>
      </c>
      <c r="B688" s="8" t="s">
        <v>60318</v>
      </c>
    </row>
    <row r="689" spans="1:2" ht="14.5" x14ac:dyDescent="0.35">
      <c r="A689" s="8" t="s">
        <v>43</v>
      </c>
      <c r="B689" s="8" t="s">
        <v>60319</v>
      </c>
    </row>
    <row r="690" spans="1:2" ht="14.5" x14ac:dyDescent="0.35">
      <c r="A690" s="8" t="s">
        <v>43</v>
      </c>
      <c r="B690" s="8" t="s">
        <v>60320</v>
      </c>
    </row>
    <row r="691" spans="1:2" ht="14.5" x14ac:dyDescent="0.35">
      <c r="A691" s="8" t="s">
        <v>43</v>
      </c>
      <c r="B691" s="8" t="s">
        <v>60116</v>
      </c>
    </row>
    <row r="692" spans="1:2" ht="14.5" x14ac:dyDescent="0.35">
      <c r="A692" s="8" t="s">
        <v>43</v>
      </c>
      <c r="B692" s="8" t="s">
        <v>59968</v>
      </c>
    </row>
    <row r="693" spans="1:2" ht="14.5" x14ac:dyDescent="0.35">
      <c r="A693" s="8" t="s">
        <v>43</v>
      </c>
      <c r="B693" s="8" t="s">
        <v>60046</v>
      </c>
    </row>
    <row r="694" spans="1:2" ht="14.5" x14ac:dyDescent="0.35">
      <c r="A694" s="8" t="s">
        <v>43</v>
      </c>
      <c r="B694" s="8" t="s">
        <v>54301</v>
      </c>
    </row>
    <row r="695" spans="1:2" ht="14.5" x14ac:dyDescent="0.35">
      <c r="A695" s="8" t="s">
        <v>43</v>
      </c>
      <c r="B695" s="8" t="s">
        <v>60118</v>
      </c>
    </row>
    <row r="696" spans="1:2" ht="14.5" x14ac:dyDescent="0.35">
      <c r="A696" s="8" t="s">
        <v>43</v>
      </c>
      <c r="B696" s="8" t="s">
        <v>60321</v>
      </c>
    </row>
    <row r="697" spans="1:2" ht="14.5" x14ac:dyDescent="0.35">
      <c r="A697" s="8" t="s">
        <v>43</v>
      </c>
      <c r="B697" s="8" t="s">
        <v>60119</v>
      </c>
    </row>
    <row r="698" spans="1:2" ht="14.5" x14ac:dyDescent="0.35">
      <c r="A698" s="8" t="s">
        <v>43</v>
      </c>
      <c r="B698" s="8" t="s">
        <v>60322</v>
      </c>
    </row>
    <row r="699" spans="1:2" ht="14.5" x14ac:dyDescent="0.35">
      <c r="A699" s="8" t="s">
        <v>43</v>
      </c>
      <c r="B699" s="8" t="s">
        <v>60120</v>
      </c>
    </row>
    <row r="700" spans="1:2" ht="14.5" x14ac:dyDescent="0.35">
      <c r="A700" s="8" t="s">
        <v>43</v>
      </c>
      <c r="B700" s="8" t="s">
        <v>60121</v>
      </c>
    </row>
    <row r="701" spans="1:2" ht="14.5" x14ac:dyDescent="0.35">
      <c r="A701" s="8" t="s">
        <v>43</v>
      </c>
      <c r="B701" s="8" t="s">
        <v>60122</v>
      </c>
    </row>
    <row r="702" spans="1:2" ht="14.5" x14ac:dyDescent="0.35">
      <c r="A702" s="8" t="s">
        <v>43</v>
      </c>
      <c r="B702" s="8" t="s">
        <v>60323</v>
      </c>
    </row>
    <row r="703" spans="1:2" ht="14.5" x14ac:dyDescent="0.35">
      <c r="A703" s="8" t="s">
        <v>43</v>
      </c>
      <c r="B703" s="8" t="s">
        <v>58709</v>
      </c>
    </row>
    <row r="704" spans="1:2" ht="14.5" x14ac:dyDescent="0.35">
      <c r="A704" s="8" t="s">
        <v>43</v>
      </c>
      <c r="B704" s="8" t="s">
        <v>60123</v>
      </c>
    </row>
    <row r="705" spans="1:2" ht="14.5" x14ac:dyDescent="0.35">
      <c r="A705" s="8" t="s">
        <v>43</v>
      </c>
      <c r="B705" s="8" t="s">
        <v>60324</v>
      </c>
    </row>
    <row r="706" spans="1:2" ht="14.5" x14ac:dyDescent="0.35">
      <c r="A706" s="8" t="s">
        <v>43</v>
      </c>
      <c r="B706" s="8" t="s">
        <v>60325</v>
      </c>
    </row>
    <row r="707" spans="1:2" ht="14.5" x14ac:dyDescent="0.35">
      <c r="A707" s="8" t="s">
        <v>43</v>
      </c>
      <c r="B707" s="8" t="s">
        <v>59943</v>
      </c>
    </row>
    <row r="708" spans="1:2" ht="14.5" x14ac:dyDescent="0.35">
      <c r="A708" s="8" t="s">
        <v>43</v>
      </c>
      <c r="B708" s="8" t="s">
        <v>59918</v>
      </c>
    </row>
    <row r="709" spans="1:2" ht="14.5" x14ac:dyDescent="0.35">
      <c r="A709" s="8" t="s">
        <v>43</v>
      </c>
      <c r="B709" s="8" t="s">
        <v>60326</v>
      </c>
    </row>
    <row r="710" spans="1:2" ht="14.5" x14ac:dyDescent="0.35">
      <c r="A710" s="8" t="s">
        <v>43</v>
      </c>
      <c r="B710" s="8" t="s">
        <v>60327</v>
      </c>
    </row>
    <row r="711" spans="1:2" ht="14.5" x14ac:dyDescent="0.35">
      <c r="A711" s="8" t="s">
        <v>43</v>
      </c>
      <c r="B711" s="8" t="s">
        <v>60124</v>
      </c>
    </row>
    <row r="712" spans="1:2" ht="14.5" x14ac:dyDescent="0.35">
      <c r="A712" s="8" t="s">
        <v>43</v>
      </c>
      <c r="B712" s="8" t="s">
        <v>60328</v>
      </c>
    </row>
    <row r="713" spans="1:2" ht="14.5" x14ac:dyDescent="0.35">
      <c r="A713" s="8" t="s">
        <v>43</v>
      </c>
      <c r="B713" s="8" t="s">
        <v>60329</v>
      </c>
    </row>
    <row r="714" spans="1:2" ht="14.5" x14ac:dyDescent="0.35">
      <c r="A714" s="8" t="s">
        <v>43</v>
      </c>
      <c r="B714" s="8" t="s">
        <v>54331</v>
      </c>
    </row>
    <row r="715" spans="1:2" ht="14.5" x14ac:dyDescent="0.35">
      <c r="A715" s="8" t="s">
        <v>43</v>
      </c>
      <c r="B715" s="8" t="s">
        <v>60330</v>
      </c>
    </row>
    <row r="716" spans="1:2" ht="14.5" x14ac:dyDescent="0.35">
      <c r="A716" s="8" t="s">
        <v>43</v>
      </c>
      <c r="B716" s="8" t="s">
        <v>7814</v>
      </c>
    </row>
    <row r="717" spans="1:2" ht="14.5" x14ac:dyDescent="0.35">
      <c r="A717" s="8" t="s">
        <v>43</v>
      </c>
      <c r="B717" s="8" t="s">
        <v>60331</v>
      </c>
    </row>
    <row r="718" spans="1:2" ht="14.5" x14ac:dyDescent="0.35">
      <c r="A718" s="8" t="s">
        <v>43</v>
      </c>
      <c r="B718" s="8" t="s">
        <v>60332</v>
      </c>
    </row>
    <row r="719" spans="1:2" ht="14.5" x14ac:dyDescent="0.35">
      <c r="A719" s="8" t="s">
        <v>43</v>
      </c>
      <c r="B719" s="8" t="s">
        <v>59975</v>
      </c>
    </row>
    <row r="720" spans="1:2" ht="14.5" x14ac:dyDescent="0.35">
      <c r="A720" s="8" t="s">
        <v>43</v>
      </c>
      <c r="B720" s="8" t="s">
        <v>60125</v>
      </c>
    </row>
    <row r="721" spans="1:2" ht="14.5" x14ac:dyDescent="0.35">
      <c r="A721" s="8" t="s">
        <v>43</v>
      </c>
      <c r="B721" s="8" t="s">
        <v>60126</v>
      </c>
    </row>
    <row r="722" spans="1:2" ht="14.5" x14ac:dyDescent="0.35">
      <c r="A722" s="8" t="s">
        <v>43</v>
      </c>
      <c r="B722" s="8" t="s">
        <v>57159</v>
      </c>
    </row>
    <row r="723" spans="1:2" ht="14.5" x14ac:dyDescent="0.35">
      <c r="A723" s="8" t="s">
        <v>43</v>
      </c>
      <c r="B723" s="8" t="s">
        <v>60127</v>
      </c>
    </row>
    <row r="724" spans="1:2" ht="14.5" x14ac:dyDescent="0.35">
      <c r="A724" s="8" t="s">
        <v>43</v>
      </c>
      <c r="B724" s="8" t="s">
        <v>60333</v>
      </c>
    </row>
    <row r="725" spans="1:2" ht="14.5" x14ac:dyDescent="0.35">
      <c r="A725" s="8" t="s">
        <v>43</v>
      </c>
      <c r="B725" s="8" t="s">
        <v>60334</v>
      </c>
    </row>
    <row r="726" spans="1:2" ht="14.5" x14ac:dyDescent="0.35">
      <c r="A726" s="8" t="s">
        <v>43</v>
      </c>
      <c r="B726" s="8" t="s">
        <v>60335</v>
      </c>
    </row>
    <row r="727" spans="1:2" ht="14.5" x14ac:dyDescent="0.35">
      <c r="A727" s="8" t="s">
        <v>43</v>
      </c>
      <c r="B727" s="8" t="s">
        <v>60336</v>
      </c>
    </row>
    <row r="728" spans="1:2" ht="14.5" x14ac:dyDescent="0.35">
      <c r="A728" s="8" t="s">
        <v>43</v>
      </c>
      <c r="B728" s="8" t="s">
        <v>60133</v>
      </c>
    </row>
    <row r="729" spans="1:2" ht="14.5" x14ac:dyDescent="0.35">
      <c r="A729" s="8" t="s">
        <v>43</v>
      </c>
      <c r="B729" s="8" t="s">
        <v>60337</v>
      </c>
    </row>
    <row r="730" spans="1:2" ht="14.5" x14ac:dyDescent="0.35">
      <c r="A730" s="8" t="s">
        <v>43</v>
      </c>
      <c r="B730" s="8" t="s">
        <v>60136</v>
      </c>
    </row>
    <row r="731" spans="1:2" ht="14.5" x14ac:dyDescent="0.35">
      <c r="A731" s="8" t="s">
        <v>43</v>
      </c>
      <c r="B731" s="8" t="s">
        <v>60338</v>
      </c>
    </row>
    <row r="732" spans="1:2" ht="14.5" x14ac:dyDescent="0.35">
      <c r="A732" s="8" t="s">
        <v>43</v>
      </c>
      <c r="B732" s="8" t="s">
        <v>6143</v>
      </c>
    </row>
    <row r="733" spans="1:2" ht="14.5" x14ac:dyDescent="0.35">
      <c r="A733" s="8" t="s">
        <v>43</v>
      </c>
      <c r="B733" s="8" t="s">
        <v>60339</v>
      </c>
    </row>
    <row r="734" spans="1:2" ht="14.5" x14ac:dyDescent="0.35">
      <c r="A734" s="8" t="s">
        <v>43</v>
      </c>
      <c r="B734" s="8" t="s">
        <v>60141</v>
      </c>
    </row>
    <row r="735" spans="1:2" ht="14.5" x14ac:dyDescent="0.35">
      <c r="A735" s="8" t="s">
        <v>43</v>
      </c>
      <c r="B735" s="8" t="s">
        <v>60340</v>
      </c>
    </row>
    <row r="736" spans="1:2" ht="14.5" x14ac:dyDescent="0.35">
      <c r="A736" s="8" t="s">
        <v>43</v>
      </c>
      <c r="B736" s="8" t="s">
        <v>60341</v>
      </c>
    </row>
    <row r="737" spans="1:2" ht="14.5" x14ac:dyDescent="0.35">
      <c r="A737" s="8" t="s">
        <v>43</v>
      </c>
      <c r="B737" s="8" t="s">
        <v>60142</v>
      </c>
    </row>
    <row r="738" spans="1:2" ht="14.5" x14ac:dyDescent="0.35">
      <c r="A738" s="8" t="s">
        <v>43</v>
      </c>
      <c r="B738" s="8" t="s">
        <v>60158</v>
      </c>
    </row>
    <row r="739" spans="1:2" ht="14.5" x14ac:dyDescent="0.35">
      <c r="A739" s="8" t="s">
        <v>43</v>
      </c>
      <c r="B739" s="8" t="s">
        <v>60342</v>
      </c>
    </row>
    <row r="740" spans="1:2" ht="14.5" x14ac:dyDescent="0.35">
      <c r="A740" s="8" t="s">
        <v>43</v>
      </c>
      <c r="B740" s="8" t="s">
        <v>60343</v>
      </c>
    </row>
    <row r="741" spans="1:2" ht="14.5" x14ac:dyDescent="0.35">
      <c r="A741" s="8" t="s">
        <v>43</v>
      </c>
      <c r="B741" s="8" t="s">
        <v>60143</v>
      </c>
    </row>
    <row r="742" spans="1:2" ht="14.5" x14ac:dyDescent="0.35">
      <c r="A742" s="8" t="s">
        <v>43</v>
      </c>
      <c r="B742" s="8" t="s">
        <v>60344</v>
      </c>
    </row>
    <row r="743" spans="1:2" ht="14.5" x14ac:dyDescent="0.35">
      <c r="A743" s="8" t="s">
        <v>43</v>
      </c>
      <c r="B743" s="8" t="s">
        <v>60144</v>
      </c>
    </row>
    <row r="744" spans="1:2" ht="14.5" x14ac:dyDescent="0.35">
      <c r="A744" s="8" t="s">
        <v>43</v>
      </c>
      <c r="B744" s="8" t="s">
        <v>60157</v>
      </c>
    </row>
    <row r="745" spans="1:2" ht="14.5" x14ac:dyDescent="0.35">
      <c r="A745" s="8" t="s">
        <v>43</v>
      </c>
      <c r="B745" s="8" t="s">
        <v>60146</v>
      </c>
    </row>
    <row r="746" spans="1:2" ht="14.5" x14ac:dyDescent="0.35">
      <c r="A746" s="8" t="s">
        <v>43</v>
      </c>
      <c r="B746" s="8" t="s">
        <v>60147</v>
      </c>
    </row>
    <row r="747" spans="1:2" ht="14.5" x14ac:dyDescent="0.35">
      <c r="A747" s="8" t="s">
        <v>43</v>
      </c>
      <c r="B747" s="8" t="s">
        <v>60345</v>
      </c>
    </row>
    <row r="748" spans="1:2" ht="14.5" x14ac:dyDescent="0.35">
      <c r="A748" s="8" t="s">
        <v>43</v>
      </c>
      <c r="B748" s="8" t="s">
        <v>60346</v>
      </c>
    </row>
    <row r="749" spans="1:2" ht="14.5" x14ac:dyDescent="0.35">
      <c r="A749" s="8" t="s">
        <v>43</v>
      </c>
      <c r="B749" s="8" t="s">
        <v>60148</v>
      </c>
    </row>
    <row r="750" spans="1:2" ht="14.5" x14ac:dyDescent="0.35">
      <c r="A750" s="8" t="s">
        <v>43</v>
      </c>
      <c r="B750" s="8" t="s">
        <v>60347</v>
      </c>
    </row>
    <row r="751" spans="1:2" ht="14.5" x14ac:dyDescent="0.35">
      <c r="A751" s="8" t="s">
        <v>43</v>
      </c>
      <c r="B751" s="8" t="s">
        <v>60149</v>
      </c>
    </row>
    <row r="752" spans="1:2" ht="14.5" x14ac:dyDescent="0.35">
      <c r="A752" s="8" t="s">
        <v>60094</v>
      </c>
      <c r="B752" s="8" t="s">
        <v>60095</v>
      </c>
    </row>
    <row r="753" spans="1:2" ht="14.5" x14ac:dyDescent="0.35">
      <c r="A753" s="8" t="s">
        <v>59663</v>
      </c>
      <c r="B753" s="8" t="s">
        <v>59665</v>
      </c>
    </row>
    <row r="754" spans="1:2" ht="14.5" x14ac:dyDescent="0.35">
      <c r="A754" s="8" t="s">
        <v>59663</v>
      </c>
      <c r="B754" s="8" t="s">
        <v>59979</v>
      </c>
    </row>
    <row r="755" spans="1:2" ht="14.5" x14ac:dyDescent="0.35">
      <c r="A755" s="8" t="s">
        <v>59663</v>
      </c>
      <c r="B755" s="8" t="s">
        <v>59700</v>
      </c>
    </row>
    <row r="756" spans="1:2" ht="14.5" x14ac:dyDescent="0.35">
      <c r="A756" s="8" t="s">
        <v>59663</v>
      </c>
      <c r="B756" s="8" t="s">
        <v>60056</v>
      </c>
    </row>
    <row r="757" spans="1:2" ht="14.5" x14ac:dyDescent="0.35">
      <c r="A757" s="8" t="s">
        <v>59663</v>
      </c>
      <c r="B757" s="8" t="s">
        <v>60363</v>
      </c>
    </row>
    <row r="758" spans="1:2" ht="14.5" x14ac:dyDescent="0.35">
      <c r="A758" s="8" t="s">
        <v>59663</v>
      </c>
      <c r="B758" s="8" t="s">
        <v>60371</v>
      </c>
    </row>
    <row r="759" spans="1:2" ht="14.5" x14ac:dyDescent="0.35">
      <c r="A759" s="8" t="s">
        <v>59663</v>
      </c>
      <c r="B759" s="8" t="s">
        <v>59749</v>
      </c>
    </row>
    <row r="760" spans="1:2" ht="14.5" x14ac:dyDescent="0.35">
      <c r="A760" s="8" t="s">
        <v>59663</v>
      </c>
      <c r="B760" s="8" t="s">
        <v>60154</v>
      </c>
    </row>
    <row r="761" spans="1:2" ht="14.5" x14ac:dyDescent="0.35">
      <c r="A761" s="8" t="s">
        <v>59663</v>
      </c>
      <c r="B761" s="8" t="s">
        <v>60047</v>
      </c>
    </row>
    <row r="762" spans="1:2" ht="14.5" x14ac:dyDescent="0.35">
      <c r="A762" s="8" t="s">
        <v>59663</v>
      </c>
      <c r="B762" s="8" t="s">
        <v>60388</v>
      </c>
    </row>
    <row r="763" spans="1:2" ht="14.5" x14ac:dyDescent="0.35">
      <c r="A763" s="8" t="s">
        <v>59663</v>
      </c>
      <c r="B763" s="8" t="s">
        <v>60048</v>
      </c>
    </row>
    <row r="764" spans="1:2" ht="14.5" x14ac:dyDescent="0.35">
      <c r="A764" s="8" t="s">
        <v>59663</v>
      </c>
      <c r="B764" s="8" t="s">
        <v>60152</v>
      </c>
    </row>
    <row r="765" spans="1:2" ht="14.5" x14ac:dyDescent="0.35">
      <c r="A765" s="8" t="s">
        <v>59663</v>
      </c>
      <c r="B765" s="8" t="s">
        <v>60092</v>
      </c>
    </row>
    <row r="766" spans="1:2" ht="14.5" x14ac:dyDescent="0.35">
      <c r="A766" s="8" t="s">
        <v>59663</v>
      </c>
      <c r="B766" s="8" t="s">
        <v>60052</v>
      </c>
    </row>
    <row r="767" spans="1:2" ht="14.5" x14ac:dyDescent="0.35">
      <c r="A767" s="8" t="s">
        <v>59663</v>
      </c>
      <c r="B767" s="8" t="s">
        <v>59666</v>
      </c>
    </row>
    <row r="768" spans="1:2" ht="14.5" x14ac:dyDescent="0.35">
      <c r="A768" s="8" t="s">
        <v>59663</v>
      </c>
      <c r="B768" s="8" t="s">
        <v>60093</v>
      </c>
    </row>
    <row r="769" spans="1:2" ht="14.5" x14ac:dyDescent="0.35">
      <c r="A769" s="8" t="s">
        <v>59663</v>
      </c>
      <c r="B769" s="8" t="s">
        <v>60153</v>
      </c>
    </row>
    <row r="770" spans="1:2" ht="14.5" x14ac:dyDescent="0.35">
      <c r="A770" s="8" t="s">
        <v>59663</v>
      </c>
      <c r="B770" s="8" t="s">
        <v>60096</v>
      </c>
    </row>
    <row r="771" spans="1:2" ht="14.5" x14ac:dyDescent="0.35">
      <c r="A771" s="8" t="s">
        <v>59663</v>
      </c>
      <c r="B771" s="8" t="s">
        <v>60100</v>
      </c>
    </row>
    <row r="772" spans="1:2" ht="14.5" x14ac:dyDescent="0.35">
      <c r="A772" s="8" t="s">
        <v>59663</v>
      </c>
      <c r="B772" s="8" t="s">
        <v>60101</v>
      </c>
    </row>
    <row r="773" spans="1:2" ht="14.5" x14ac:dyDescent="0.35">
      <c r="A773" s="8" t="s">
        <v>59663</v>
      </c>
      <c r="B773" s="8" t="s">
        <v>58030</v>
      </c>
    </row>
    <row r="774" spans="1:2" ht="14.5" x14ac:dyDescent="0.35">
      <c r="A774" s="8" t="s">
        <v>59663</v>
      </c>
      <c r="B774" s="8" t="s">
        <v>59664</v>
      </c>
    </row>
    <row r="775" spans="1:2" ht="14.5" x14ac:dyDescent="0.35">
      <c r="A775" s="8" t="s">
        <v>59663</v>
      </c>
      <c r="B775" s="8" t="s">
        <v>60102</v>
      </c>
    </row>
    <row r="776" spans="1:2" ht="14.5" x14ac:dyDescent="0.35">
      <c r="A776" s="8" t="s">
        <v>59663</v>
      </c>
      <c r="B776" s="8" t="s">
        <v>60452</v>
      </c>
    </row>
    <row r="777" spans="1:2" ht="14.5" x14ac:dyDescent="0.35">
      <c r="A777" s="8" t="s">
        <v>59663</v>
      </c>
      <c r="B777" s="8" t="s">
        <v>60107</v>
      </c>
    </row>
    <row r="778" spans="1:2" ht="14.5" x14ac:dyDescent="0.35">
      <c r="A778" s="8" t="s">
        <v>59663</v>
      </c>
      <c r="B778" s="8" t="s">
        <v>60155</v>
      </c>
    </row>
    <row r="779" spans="1:2" ht="14.5" x14ac:dyDescent="0.35">
      <c r="A779" s="8" t="s">
        <v>59663</v>
      </c>
      <c r="B779" s="8" t="s">
        <v>60117</v>
      </c>
    </row>
    <row r="780" spans="1:2" ht="14.5" x14ac:dyDescent="0.35">
      <c r="A780" s="8" t="s">
        <v>59663</v>
      </c>
      <c r="B780" s="8" t="s">
        <v>60151</v>
      </c>
    </row>
    <row r="781" spans="1:2" ht="14.5" x14ac:dyDescent="0.35">
      <c r="A781" s="8" t="s">
        <v>59663</v>
      </c>
      <c r="B781" s="8" t="s">
        <v>60140</v>
      </c>
    </row>
    <row r="782" spans="1:2" ht="14.5" x14ac:dyDescent="0.35">
      <c r="A782" s="8" t="s">
        <v>59663</v>
      </c>
      <c r="B782" s="8" t="s">
        <v>60156</v>
      </c>
    </row>
    <row r="783" spans="1:2" ht="14.5" x14ac:dyDescent="0.35">
      <c r="A783" s="8" t="s">
        <v>59663</v>
      </c>
      <c r="B783" s="8" t="s">
        <v>60145</v>
      </c>
    </row>
    <row r="784" spans="1:2" ht="14.5" x14ac:dyDescent="0.35">
      <c r="A784" s="8" t="s">
        <v>59658</v>
      </c>
      <c r="B784" s="8" t="s">
        <v>59969</v>
      </c>
    </row>
    <row r="785" spans="1:2" ht="14.5" x14ac:dyDescent="0.35">
      <c r="A785" s="8" t="s">
        <v>59658</v>
      </c>
      <c r="B785" s="8" t="s">
        <v>59970</v>
      </c>
    </row>
    <row r="786" spans="1:2" ht="14.5" x14ac:dyDescent="0.35">
      <c r="A786" s="8" t="s">
        <v>59658</v>
      </c>
      <c r="B786" s="8" t="s">
        <v>59971</v>
      </c>
    </row>
    <row r="787" spans="1:2" ht="14.5" x14ac:dyDescent="0.35">
      <c r="A787" s="8" t="s">
        <v>59658</v>
      </c>
      <c r="B787" s="8" t="s">
        <v>59976</v>
      </c>
    </row>
    <row r="788" spans="1:2" ht="14.5" x14ac:dyDescent="0.35">
      <c r="A788" s="8" t="s">
        <v>59658</v>
      </c>
      <c r="B788" s="8" t="s">
        <v>59977</v>
      </c>
    </row>
    <row r="789" spans="1:2" ht="14.5" x14ac:dyDescent="0.35">
      <c r="A789" s="8" t="s">
        <v>59658</v>
      </c>
      <c r="B789" s="8" t="s">
        <v>59660</v>
      </c>
    </row>
    <row r="790" spans="1:2" ht="14.5" x14ac:dyDescent="0.35">
      <c r="A790" s="8" t="s">
        <v>59658</v>
      </c>
      <c r="B790" s="8" t="s">
        <v>59982</v>
      </c>
    </row>
    <row r="791" spans="1:2" ht="14.5" x14ac:dyDescent="0.35">
      <c r="A791" s="8" t="s">
        <v>59658</v>
      </c>
      <c r="B791" s="8" t="s">
        <v>60040</v>
      </c>
    </row>
    <row r="792" spans="1:2" ht="14.5" x14ac:dyDescent="0.35">
      <c r="A792" s="8" t="s">
        <v>59658</v>
      </c>
      <c r="B792" s="8" t="s">
        <v>59984</v>
      </c>
    </row>
    <row r="793" spans="1:2" ht="14.5" x14ac:dyDescent="0.35">
      <c r="A793" s="8" t="s">
        <v>59658</v>
      </c>
      <c r="B793" s="8" t="s">
        <v>59985</v>
      </c>
    </row>
    <row r="794" spans="1:2" ht="14.5" x14ac:dyDescent="0.35">
      <c r="A794" s="8" t="s">
        <v>59658</v>
      </c>
      <c r="B794" s="8" t="s">
        <v>59987</v>
      </c>
    </row>
    <row r="795" spans="1:2" ht="14.5" x14ac:dyDescent="0.35">
      <c r="A795" s="8" t="s">
        <v>59658</v>
      </c>
      <c r="B795" s="8" t="s">
        <v>59989</v>
      </c>
    </row>
    <row r="796" spans="1:2" ht="14.5" x14ac:dyDescent="0.35">
      <c r="A796" s="8" t="s">
        <v>59658</v>
      </c>
      <c r="B796" s="8" t="s">
        <v>59990</v>
      </c>
    </row>
    <row r="797" spans="1:2" ht="14.5" x14ac:dyDescent="0.35">
      <c r="A797" s="8" t="s">
        <v>59658</v>
      </c>
      <c r="B797" s="8" t="s">
        <v>59991</v>
      </c>
    </row>
    <row r="798" spans="1:2" ht="14.5" x14ac:dyDescent="0.35">
      <c r="A798" s="8" t="s">
        <v>59658</v>
      </c>
      <c r="B798" s="8" t="s">
        <v>59993</v>
      </c>
    </row>
    <row r="799" spans="1:2" ht="14.5" x14ac:dyDescent="0.35">
      <c r="A799" s="8" t="s">
        <v>59658</v>
      </c>
      <c r="B799" s="8" t="s">
        <v>60064</v>
      </c>
    </row>
    <row r="800" spans="1:2" ht="14.5" x14ac:dyDescent="0.35">
      <c r="A800" s="8" t="s">
        <v>59658</v>
      </c>
      <c r="B800" s="8" t="s">
        <v>59994</v>
      </c>
    </row>
    <row r="801" spans="1:2" ht="14.5" x14ac:dyDescent="0.35">
      <c r="A801" s="8" t="s">
        <v>59658</v>
      </c>
      <c r="B801" s="8" t="s">
        <v>59995</v>
      </c>
    </row>
    <row r="802" spans="1:2" ht="14.5" x14ac:dyDescent="0.35">
      <c r="A802" s="8" t="s">
        <v>59658</v>
      </c>
      <c r="B802" s="8" t="s">
        <v>59996</v>
      </c>
    </row>
    <row r="803" spans="1:2" ht="14.5" x14ac:dyDescent="0.35">
      <c r="A803" s="8" t="s">
        <v>59658</v>
      </c>
      <c r="B803" s="8" t="s">
        <v>59661</v>
      </c>
    </row>
    <row r="804" spans="1:2" ht="14.5" x14ac:dyDescent="0.35">
      <c r="A804" s="8" t="s">
        <v>59658</v>
      </c>
      <c r="B804" s="8" t="s">
        <v>60065</v>
      </c>
    </row>
    <row r="805" spans="1:2" ht="14.5" x14ac:dyDescent="0.35">
      <c r="A805" s="8" t="s">
        <v>59658</v>
      </c>
      <c r="B805" s="8" t="s">
        <v>60043</v>
      </c>
    </row>
    <row r="806" spans="1:2" ht="14.5" x14ac:dyDescent="0.35">
      <c r="A806" s="8" t="s">
        <v>59658</v>
      </c>
      <c r="B806" s="8" t="s">
        <v>59659</v>
      </c>
    </row>
    <row r="807" spans="1:2" ht="14.5" x14ac:dyDescent="0.35">
      <c r="A807" s="8" t="s">
        <v>59658</v>
      </c>
      <c r="B807" s="8" t="s">
        <v>60348</v>
      </c>
    </row>
    <row r="808" spans="1:2" ht="14.5" x14ac:dyDescent="0.35">
      <c r="A808" s="8" t="s">
        <v>59658</v>
      </c>
      <c r="B808" s="8" t="s">
        <v>59997</v>
      </c>
    </row>
    <row r="809" spans="1:2" ht="14.5" x14ac:dyDescent="0.35">
      <c r="A809" s="8" t="s">
        <v>59658</v>
      </c>
      <c r="B809" s="8" t="s">
        <v>60090</v>
      </c>
    </row>
    <row r="810" spans="1:2" ht="14.5" x14ac:dyDescent="0.35">
      <c r="A810" s="8" t="s">
        <v>59658</v>
      </c>
      <c r="B810" s="8" t="s">
        <v>59998</v>
      </c>
    </row>
    <row r="811" spans="1:2" ht="14.5" x14ac:dyDescent="0.35">
      <c r="A811" s="8" t="s">
        <v>59658</v>
      </c>
      <c r="B811" s="8" t="s">
        <v>60002</v>
      </c>
    </row>
    <row r="812" spans="1:2" ht="14.5" x14ac:dyDescent="0.35">
      <c r="A812" s="8" t="s">
        <v>59658</v>
      </c>
      <c r="B812" s="8" t="s">
        <v>60003</v>
      </c>
    </row>
    <row r="813" spans="1:2" ht="14.5" x14ac:dyDescent="0.35">
      <c r="A813" s="8" t="s">
        <v>59658</v>
      </c>
      <c r="B813" s="8" t="s">
        <v>60349</v>
      </c>
    </row>
    <row r="814" spans="1:2" ht="14.5" x14ac:dyDescent="0.35">
      <c r="A814" s="8" t="s">
        <v>59658</v>
      </c>
      <c r="B814" s="8" t="s">
        <v>60068</v>
      </c>
    </row>
    <row r="815" spans="1:2" ht="14.5" x14ac:dyDescent="0.35">
      <c r="A815" s="8" t="s">
        <v>59658</v>
      </c>
      <c r="B815" s="8" t="s">
        <v>60049</v>
      </c>
    </row>
    <row r="816" spans="1:2" ht="14.5" x14ac:dyDescent="0.35">
      <c r="A816" s="8" t="s">
        <v>59658</v>
      </c>
      <c r="B816" s="8" t="s">
        <v>60058</v>
      </c>
    </row>
    <row r="817" spans="1:2" ht="14.5" x14ac:dyDescent="0.35">
      <c r="A817" s="8" t="s">
        <v>59658</v>
      </c>
      <c r="B817" s="8" t="s">
        <v>60350</v>
      </c>
    </row>
    <row r="818" spans="1:2" ht="14.5" x14ac:dyDescent="0.35">
      <c r="A818" s="8" t="s">
        <v>59658</v>
      </c>
      <c r="B818" s="8" t="s">
        <v>60009</v>
      </c>
    </row>
    <row r="819" spans="1:2" ht="14.5" x14ac:dyDescent="0.35">
      <c r="A819" s="8" t="s">
        <v>59658</v>
      </c>
      <c r="B819" s="8" t="s">
        <v>60069</v>
      </c>
    </row>
    <row r="820" spans="1:2" ht="14.5" x14ac:dyDescent="0.35">
      <c r="A820" s="8" t="s">
        <v>59658</v>
      </c>
      <c r="B820" s="8" t="s">
        <v>60070</v>
      </c>
    </row>
    <row r="821" spans="1:2" ht="14.5" x14ac:dyDescent="0.35">
      <c r="A821" s="8" t="s">
        <v>59658</v>
      </c>
      <c r="B821" s="8" t="s">
        <v>60011</v>
      </c>
    </row>
    <row r="822" spans="1:2" ht="14.5" x14ac:dyDescent="0.35">
      <c r="A822" s="8" t="s">
        <v>59658</v>
      </c>
      <c r="B822" s="8" t="s">
        <v>60015</v>
      </c>
    </row>
    <row r="823" spans="1:2" ht="14.5" x14ac:dyDescent="0.35">
      <c r="A823" s="8" t="s">
        <v>59658</v>
      </c>
      <c r="B823" s="8" t="s">
        <v>60016</v>
      </c>
    </row>
    <row r="824" spans="1:2" ht="14.5" x14ac:dyDescent="0.35">
      <c r="A824" s="8" t="s">
        <v>59658</v>
      </c>
      <c r="B824" s="8" t="s">
        <v>60017</v>
      </c>
    </row>
    <row r="825" spans="1:2" ht="14.5" x14ac:dyDescent="0.35">
      <c r="A825" s="8" t="s">
        <v>59658</v>
      </c>
      <c r="B825" s="8" t="s">
        <v>60018</v>
      </c>
    </row>
    <row r="826" spans="1:2" ht="14.5" x14ac:dyDescent="0.35">
      <c r="A826" s="8" t="s">
        <v>59658</v>
      </c>
      <c r="B826" s="8" t="s">
        <v>60055</v>
      </c>
    </row>
    <row r="827" spans="1:2" ht="14.5" x14ac:dyDescent="0.35">
      <c r="A827" s="8" t="s">
        <v>59658</v>
      </c>
      <c r="B827" s="8" t="s">
        <v>60021</v>
      </c>
    </row>
    <row r="828" spans="1:2" ht="14.5" x14ac:dyDescent="0.35">
      <c r="A828" s="8" t="s">
        <v>59658</v>
      </c>
      <c r="B828" s="8" t="s">
        <v>60024</v>
      </c>
    </row>
    <row r="829" spans="1:2" ht="14.5" x14ac:dyDescent="0.35">
      <c r="A829" s="8" t="s">
        <v>59658</v>
      </c>
      <c r="B829" s="8" t="s">
        <v>60026</v>
      </c>
    </row>
    <row r="830" spans="1:2" ht="14.5" x14ac:dyDescent="0.35">
      <c r="A830" s="8" t="s">
        <v>59658</v>
      </c>
      <c r="B830" s="8" t="s">
        <v>60027</v>
      </c>
    </row>
    <row r="831" spans="1:2" ht="14.5" x14ac:dyDescent="0.35">
      <c r="A831" s="8" t="s">
        <v>59658</v>
      </c>
      <c r="B831" s="8" t="s">
        <v>60028</v>
      </c>
    </row>
    <row r="832" spans="1:2" ht="14.5" x14ac:dyDescent="0.35">
      <c r="A832" s="8" t="s">
        <v>59658</v>
      </c>
      <c r="B832" s="8" t="s">
        <v>59936</v>
      </c>
    </row>
    <row r="833" spans="1:2" ht="14.5" x14ac:dyDescent="0.35">
      <c r="A833" s="8" t="s">
        <v>59658</v>
      </c>
      <c r="B833" s="8" t="s">
        <v>59988</v>
      </c>
    </row>
    <row r="834" spans="1:2" ht="14.5" x14ac:dyDescent="0.35">
      <c r="A834" s="8" t="s">
        <v>59658</v>
      </c>
      <c r="B834" s="8" t="s">
        <v>60134</v>
      </c>
    </row>
    <row r="835" spans="1:2" ht="14.5" x14ac:dyDescent="0.35">
      <c r="A835" s="8" t="s">
        <v>59658</v>
      </c>
      <c r="B835" s="8" t="s">
        <v>60150</v>
      </c>
    </row>
    <row r="836" spans="1:2" ht="14.5" x14ac:dyDescent="0.35">
      <c r="A836" s="8" t="s">
        <v>59662</v>
      </c>
      <c r="B836" s="8" t="s">
        <v>60074</v>
      </c>
    </row>
    <row r="837" spans="1:2" ht="14.5" x14ac:dyDescent="0.35">
      <c r="A837" s="8" t="s">
        <v>59662</v>
      </c>
      <c r="B837" s="8" t="s">
        <v>59974</v>
      </c>
    </row>
    <row r="838" spans="1:2" ht="14.5" x14ac:dyDescent="0.35">
      <c r="A838" s="8" t="s">
        <v>59662</v>
      </c>
      <c r="B838" s="8" t="s">
        <v>60038</v>
      </c>
    </row>
    <row r="839" spans="1:2" ht="14.5" x14ac:dyDescent="0.35">
      <c r="A839" s="8" t="s">
        <v>59662</v>
      </c>
      <c r="B839" s="8" t="s">
        <v>23880</v>
      </c>
    </row>
    <row r="840" spans="1:2" ht="14.5" x14ac:dyDescent="0.35">
      <c r="A840" s="8" t="s">
        <v>59662</v>
      </c>
      <c r="B840" s="8" t="s">
        <v>59983</v>
      </c>
    </row>
    <row r="841" spans="1:2" ht="14.5" x14ac:dyDescent="0.35">
      <c r="A841" s="8" t="s">
        <v>59662</v>
      </c>
      <c r="B841" s="8" t="s">
        <v>60039</v>
      </c>
    </row>
    <row r="842" spans="1:2" ht="14.5" x14ac:dyDescent="0.35">
      <c r="A842" s="8" t="s">
        <v>59662</v>
      </c>
      <c r="B842" s="8" t="s">
        <v>60059</v>
      </c>
    </row>
    <row r="843" spans="1:2" ht="14.5" x14ac:dyDescent="0.35">
      <c r="A843" s="8" t="s">
        <v>59662</v>
      </c>
      <c r="B843" s="8" t="s">
        <v>14430</v>
      </c>
    </row>
    <row r="844" spans="1:2" ht="14.5" x14ac:dyDescent="0.35">
      <c r="A844" s="8" t="s">
        <v>59662</v>
      </c>
      <c r="B844" s="8" t="s">
        <v>60078</v>
      </c>
    </row>
    <row r="845" spans="1:2" ht="14.5" x14ac:dyDescent="0.35">
      <c r="A845" s="8" t="s">
        <v>59662</v>
      </c>
      <c r="B845" s="8" t="s">
        <v>59986</v>
      </c>
    </row>
    <row r="846" spans="1:2" ht="14.5" x14ac:dyDescent="0.35">
      <c r="A846" s="8" t="s">
        <v>59662</v>
      </c>
      <c r="B846" s="8" t="s">
        <v>34807</v>
      </c>
    </row>
    <row r="847" spans="1:2" ht="14.5" x14ac:dyDescent="0.35">
      <c r="A847" s="8" t="s">
        <v>59662</v>
      </c>
      <c r="B847" s="8" t="s">
        <v>60088</v>
      </c>
    </row>
    <row r="848" spans="1:2" ht="14.5" x14ac:dyDescent="0.35">
      <c r="A848" s="8" t="s">
        <v>59662</v>
      </c>
      <c r="B848" s="8" t="s">
        <v>59992</v>
      </c>
    </row>
    <row r="849" spans="1:2" ht="14.5" x14ac:dyDescent="0.35">
      <c r="A849" s="8" t="s">
        <v>59662</v>
      </c>
      <c r="B849" s="8" t="s">
        <v>60044</v>
      </c>
    </row>
    <row r="850" spans="1:2" ht="14.5" x14ac:dyDescent="0.35">
      <c r="A850" s="8" t="s">
        <v>59662</v>
      </c>
      <c r="B850" s="8" t="s">
        <v>60045</v>
      </c>
    </row>
    <row r="851" spans="1:2" ht="14.5" x14ac:dyDescent="0.35">
      <c r="A851" s="8" t="s">
        <v>59662</v>
      </c>
      <c r="B851" s="8" t="s">
        <v>29725</v>
      </c>
    </row>
    <row r="852" spans="1:2" ht="14.5" x14ac:dyDescent="0.35">
      <c r="A852" s="8" t="s">
        <v>59662</v>
      </c>
      <c r="B852" s="8" t="s">
        <v>60001</v>
      </c>
    </row>
    <row r="853" spans="1:2" ht="14.5" x14ac:dyDescent="0.35">
      <c r="A853" s="8" t="s">
        <v>59662</v>
      </c>
      <c r="B853" s="8" t="s">
        <v>8453</v>
      </c>
    </row>
    <row r="854" spans="1:2" ht="14.5" x14ac:dyDescent="0.35">
      <c r="A854" s="8" t="s">
        <v>59662</v>
      </c>
      <c r="B854" s="8" t="s">
        <v>60072</v>
      </c>
    </row>
    <row r="855" spans="1:2" ht="14.5" x14ac:dyDescent="0.35">
      <c r="A855" s="8" t="s">
        <v>59662</v>
      </c>
      <c r="B855" s="8" t="s">
        <v>60063</v>
      </c>
    </row>
    <row r="856" spans="1:2" ht="14.5" x14ac:dyDescent="0.35">
      <c r="A856" s="8" t="s">
        <v>59662</v>
      </c>
      <c r="B856" s="8" t="s">
        <v>17891</v>
      </c>
    </row>
    <row r="857" spans="1:2" ht="14.5" x14ac:dyDescent="0.35">
      <c r="A857" s="8" t="s">
        <v>59662</v>
      </c>
      <c r="B857" s="8" t="s">
        <v>60006</v>
      </c>
    </row>
    <row r="858" spans="1:2" ht="14.5" x14ac:dyDescent="0.35">
      <c r="A858" s="8" t="s">
        <v>59662</v>
      </c>
      <c r="B858" s="8" t="s">
        <v>60060</v>
      </c>
    </row>
    <row r="859" spans="1:2" ht="14.5" x14ac:dyDescent="0.35">
      <c r="A859" s="8" t="s">
        <v>59662</v>
      </c>
      <c r="B859" s="8" t="s">
        <v>60007</v>
      </c>
    </row>
    <row r="860" spans="1:2" ht="14.5" x14ac:dyDescent="0.35">
      <c r="A860" s="8" t="s">
        <v>59662</v>
      </c>
      <c r="B860" s="8" t="s">
        <v>60010</v>
      </c>
    </row>
    <row r="861" spans="1:2" ht="14.5" x14ac:dyDescent="0.35">
      <c r="A861" s="8" t="s">
        <v>59662</v>
      </c>
      <c r="B861" s="8" t="s">
        <v>60057</v>
      </c>
    </row>
    <row r="862" spans="1:2" ht="14.5" x14ac:dyDescent="0.35">
      <c r="A862" s="8" t="s">
        <v>59662</v>
      </c>
      <c r="B862" s="8" t="s">
        <v>60061</v>
      </c>
    </row>
    <row r="863" spans="1:2" ht="14.5" x14ac:dyDescent="0.35">
      <c r="A863" s="8" t="s">
        <v>59662</v>
      </c>
      <c r="B863" s="8" t="s">
        <v>60408</v>
      </c>
    </row>
    <row r="864" spans="1:2" ht="14.5" x14ac:dyDescent="0.35">
      <c r="A864" s="8" t="s">
        <v>59662</v>
      </c>
      <c r="B864" s="8" t="s">
        <v>60067</v>
      </c>
    </row>
    <row r="865" spans="1:2" ht="14.5" x14ac:dyDescent="0.35">
      <c r="A865" s="8" t="s">
        <v>59662</v>
      </c>
      <c r="B865" s="8" t="s">
        <v>59972</v>
      </c>
    </row>
    <row r="866" spans="1:2" ht="14.5" x14ac:dyDescent="0.35">
      <c r="A866" s="8" t="s">
        <v>59662</v>
      </c>
      <c r="B866" s="8" t="s">
        <v>60012</v>
      </c>
    </row>
    <row r="867" spans="1:2" ht="14.5" x14ac:dyDescent="0.35">
      <c r="A867" s="8" t="s">
        <v>59662</v>
      </c>
      <c r="B867" s="8" t="s">
        <v>60013</v>
      </c>
    </row>
    <row r="868" spans="1:2" ht="14.5" x14ac:dyDescent="0.35">
      <c r="A868" s="8" t="s">
        <v>59662</v>
      </c>
      <c r="B868" s="8" t="s">
        <v>60014</v>
      </c>
    </row>
    <row r="869" spans="1:2" ht="14.5" x14ac:dyDescent="0.35">
      <c r="A869" s="8" t="s">
        <v>59662</v>
      </c>
      <c r="B869" s="8" t="s">
        <v>60097</v>
      </c>
    </row>
    <row r="870" spans="1:2" ht="14.5" x14ac:dyDescent="0.35">
      <c r="A870" s="8" t="s">
        <v>59662</v>
      </c>
      <c r="B870" s="8" t="s">
        <v>8503</v>
      </c>
    </row>
    <row r="871" spans="1:2" ht="14.5" x14ac:dyDescent="0.35">
      <c r="A871" s="8" t="s">
        <v>59662</v>
      </c>
      <c r="B871" s="8" t="s">
        <v>60019</v>
      </c>
    </row>
    <row r="872" spans="1:2" ht="14.5" x14ac:dyDescent="0.35">
      <c r="A872" s="8" t="s">
        <v>59662</v>
      </c>
      <c r="B872" s="8" t="s">
        <v>60020</v>
      </c>
    </row>
    <row r="873" spans="1:2" ht="14.5" x14ac:dyDescent="0.35">
      <c r="A873" s="8" t="s">
        <v>59662</v>
      </c>
      <c r="B873" s="8" t="s">
        <v>28490</v>
      </c>
    </row>
    <row r="874" spans="1:2" ht="14.5" x14ac:dyDescent="0.35">
      <c r="A874" s="8" t="s">
        <v>59662</v>
      </c>
      <c r="B874" s="8" t="s">
        <v>60439</v>
      </c>
    </row>
    <row r="875" spans="1:2" ht="14.5" x14ac:dyDescent="0.35">
      <c r="A875" s="8" t="s">
        <v>59662</v>
      </c>
      <c r="B875" s="8" t="s">
        <v>60066</v>
      </c>
    </row>
    <row r="876" spans="1:2" ht="14.5" x14ac:dyDescent="0.35">
      <c r="A876" s="8" t="s">
        <v>59662</v>
      </c>
      <c r="B876" s="8" t="s">
        <v>60023</v>
      </c>
    </row>
    <row r="877" spans="1:2" ht="14.5" x14ac:dyDescent="0.35">
      <c r="A877" s="8" t="s">
        <v>59662</v>
      </c>
      <c r="B877" s="8" t="s">
        <v>60071</v>
      </c>
    </row>
    <row r="878" spans="1:2" ht="14.5" x14ac:dyDescent="0.35">
      <c r="A878" s="8" t="s">
        <v>59662</v>
      </c>
      <c r="B878" s="8" t="s">
        <v>60449</v>
      </c>
    </row>
    <row r="879" spans="1:2" ht="14.5" x14ac:dyDescent="0.35">
      <c r="A879" s="8" t="s">
        <v>59662</v>
      </c>
      <c r="B879" s="8" t="s">
        <v>60450</v>
      </c>
    </row>
    <row r="880" spans="1:2" ht="14.5" x14ac:dyDescent="0.35">
      <c r="A880" s="8" t="s">
        <v>59662</v>
      </c>
      <c r="B880" s="8" t="s">
        <v>60025</v>
      </c>
    </row>
    <row r="881" spans="1:2" ht="14.5" x14ac:dyDescent="0.35">
      <c r="A881" s="8" t="s">
        <v>59662</v>
      </c>
      <c r="B881" s="8" t="s">
        <v>60112</v>
      </c>
    </row>
    <row r="882" spans="1:2" ht="14.5" x14ac:dyDescent="0.35">
      <c r="A882" s="8" t="s">
        <v>59662</v>
      </c>
      <c r="B882" s="8" t="s">
        <v>60030</v>
      </c>
    </row>
    <row r="883" spans="1:2" ht="14.5" x14ac:dyDescent="0.35">
      <c r="A883" s="8" t="s">
        <v>59662</v>
      </c>
      <c r="B883" s="8" t="s">
        <v>60137</v>
      </c>
    </row>
    <row r="884" spans="1:2" ht="14.5" x14ac:dyDescent="0.35">
      <c r="A884" s="8" t="s">
        <v>59662</v>
      </c>
      <c r="B884" s="8" t="s">
        <v>60031</v>
      </c>
    </row>
    <row r="885" spans="1:2" ht="14.5" x14ac:dyDescent="0.35">
      <c r="A885" s="8" t="s">
        <v>59662</v>
      </c>
      <c r="B885" s="8" t="s">
        <v>60062</v>
      </c>
    </row>
    <row r="886" spans="1:2" ht="14.5" x14ac:dyDescent="0.35">
      <c r="A886" s="8" t="s">
        <v>59662</v>
      </c>
      <c r="B886" s="8" t="s">
        <v>60033</v>
      </c>
    </row>
  </sheetData>
  <sortState xmlns:xlrd2="http://schemas.microsoft.com/office/spreadsheetml/2017/richdata2" ref="A2:B886">
    <sortCondition ref="A2:A886"/>
    <sortCondition ref="B2:B886"/>
  </sortState>
  <pageMargins left="0.7" right="0.7" top="0.75" bottom="0.75" header="0.3" footer="0.3"/>
</worksheet>
</file>

<file path=docMetadata/LabelInfo.xml><?xml version="1.0" encoding="utf-8"?>
<clbl:labelList xmlns:clbl="http://schemas.microsoft.com/office/2020/mipLabelMetadata">
  <clbl:label id="{127fa96e-00b4-429e-95f9-72c2828437a4}" enabled="0" method="" siteId="{127fa96e-00b4-429e-95f9-72c2828437a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Serials</vt:lpstr>
      <vt:lpstr>Books</vt:lpstr>
      <vt:lpstr>Videos</vt:lpstr>
      <vt:lpstr>Topic Pages</vt:lpstr>
      <vt:lpstr>Serials!Print_Titles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Kessler</dc:creator>
  <cp:lastModifiedBy>Matt Wenzel</cp:lastModifiedBy>
  <dcterms:created xsi:type="dcterms:W3CDTF">2024-03-13T19:16:37Z</dcterms:created>
  <dcterms:modified xsi:type="dcterms:W3CDTF">2024-04-01T14:06:54Z</dcterms:modified>
</cp:coreProperties>
</file>